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codeName="ThisWorkbook" defaultThemeVersion="124226"/>
  <mc:AlternateContent xmlns:mc="http://schemas.openxmlformats.org/markup-compatibility/2006">
    <mc:Choice Requires="x15">
      <x15ac:absPath xmlns:x15ac="http://schemas.microsoft.com/office/spreadsheetml/2010/11/ac" url="P:\DSS\APD\Forms-Tables-Checklist-Guidance\Field Creation Folder\Traci Spencer\1 Working\2023\Dec\Project 2941\"/>
    </mc:Choice>
  </mc:AlternateContent>
  <xr:revisionPtr revIDLastSave="0" documentId="13_ncr:1_{7960B64D-322E-4918-9863-828C2DC7CE3F}" xr6:coauthVersionLast="47" xr6:coauthVersionMax="47" xr10:uidLastSave="{00000000-0000-0000-0000-000000000000}"/>
  <workbookProtection workbookAlgorithmName="SHA-512" workbookHashValue="buPiOTUoUr7uPB5LpjL1lFdVDvypGS1ODnG8jPvWYAXaqqB4p0N/neR+nC8aaW5xtFRoAGX1csRmZfuX9+tEpA==" workbookSaltValue="Dhfs8DAZfvfSBjs0MxlqVw==" workbookSpinCount="100000" lockStructure="1"/>
  <bookViews>
    <workbookView xWindow="-120" yWindow="-120" windowWidth="29040" windowHeight="15840" tabRatio="789" firstSheet="3" activeTab="3" xr2:uid="{4F2D270E-79C4-49AC-A358-718656A8AB6E}"/>
  </bookViews>
  <sheets>
    <sheet name="Reference" sheetId="67" state="veryHidden" r:id="rId1"/>
    <sheet name="notes" sheetId="66" state="veryHidden" r:id="rId2"/>
    <sheet name="NoDownwash" sheetId="50" state="veryHidden" r:id="rId3"/>
    <sheet name="Instructions" sheetId="13" r:id="rId4"/>
    <sheet name="Species" sheetId="52" r:id="rId5"/>
    <sheet name="PI-1-TankLoading" sheetId="43" r:id="rId6"/>
    <sheet name="Fees" sheetId="44" r:id="rId7"/>
    <sheet name="Tank Loss 1" sheetId="60" state="veryHidden" r:id="rId8"/>
    <sheet name="Tank Loss 2" sheetId="61" state="veryHidden" r:id="rId9"/>
    <sheet name="Tank Loss 3" sheetId="62" state="veryHidden" r:id="rId10"/>
    <sheet name="Tank Loss 4" sheetId="63" state="veryHidden" r:id="rId11"/>
    <sheet name="Tank Loss 5" sheetId="64" state="veryHidden" r:id="rId12"/>
    <sheet name="TANKS Calculations" sheetId="59" state="veryHidden" r:id="rId13"/>
    <sheet name="TANKS Data" sheetId="57" state="veryHidden" r:id="rId14"/>
    <sheet name="TANKS Vapor Fx" sheetId="58" state="veryHidden" r:id="rId15"/>
    <sheet name="Tank1" sheetId="3" r:id="rId16"/>
    <sheet name="Tank2" sheetId="37" r:id="rId17"/>
    <sheet name="Tank3" sheetId="38" r:id="rId18"/>
    <sheet name="Tank4" sheetId="39" r:id="rId19"/>
    <sheet name="Tank5" sheetId="40" r:id="rId20"/>
    <sheet name="Loading-drum,tote" sheetId="25" r:id="rId21"/>
    <sheet name="Loading-truck" sheetId="24" r:id="rId22"/>
    <sheet name="Loading-rail" sheetId="18" r:id="rId23"/>
    <sheet name="Flare" sheetId="30" r:id="rId24"/>
    <sheet name="VCU" sheetId="32" r:id="rId25"/>
    <sheet name="CAS" sheetId="31" r:id="rId26"/>
    <sheet name="Hidden Inputs" sheetId="16" state="veryHidden" r:id="rId27"/>
    <sheet name="Impacts" sheetId="51" r:id="rId28"/>
    <sheet name="EmissionSummary" sheetId="12" r:id="rId29"/>
    <sheet name="Baseline" sheetId="65" r:id="rId30"/>
    <sheet name="FederalApplicability" sheetId="48" r:id="rId31"/>
    <sheet name="Downwash" sheetId="29" state="veryHidden" r:id="rId32"/>
    <sheet name="BACT" sheetId="11" r:id="rId33"/>
    <sheet name="CND" sheetId="49" r:id="rId34"/>
    <sheet name="PublicNotice" sheetId="45" r:id="rId35"/>
  </sheets>
  <definedNames>
    <definedName name="_xlnm._FilterDatabase" localSheetId="26" hidden="1">'Hidden Inputs'!$I$2:$W$4154</definedName>
    <definedName name="_xlnm._FilterDatabase" localSheetId="34" hidden="1">PublicNotice!$A$1:$G$68</definedName>
    <definedName name="_xlnm._FilterDatabase" localSheetId="4" hidden="1">Species!$A$5:$B$4151</definedName>
    <definedName name="_xlnm._FilterDatabase" localSheetId="13" hidden="1">'TANKS Data'!$G$95:$H$95</definedName>
    <definedName name="_xlnm._FilterDatabase" localSheetId="14" hidden="1">'TANKS Vapor Fx'!$A$2:$J$2</definedName>
    <definedName name="Access">'TANKS Data'!$B$98:$B$100</definedName>
    <definedName name="CASNo">'Hidden Inputs'!$I$3:$I$4147</definedName>
    <definedName name="Conti">'TANKS Data'!$B$226:$B$228</definedName>
    <definedName name="ControlDevices">'Hidden Inputs'!$G$3:$G$6</definedName>
    <definedName name="ControlEfficiency">'Hidden Inputs'!$H$3:$H$6</definedName>
    <definedName name="ControlInfo">'Hidden Inputs'!$G$2:$H$6</definedName>
    <definedName name="ControlRequired">'Hidden Inputs'!$G$4:$G$6</definedName>
    <definedName name="Counties">'Hidden Inputs'!$B$3:$B$256</definedName>
    <definedName name="DeckIFR">'TANKS Data'!$B$143</definedName>
    <definedName name="DeckPontoon">'TANKS Data'!$B$146:$B$148</definedName>
    <definedName name="DoubleDeck">'TANKS Data'!$B$151:$B$153</definedName>
    <definedName name="Downwash">Downwash!$A$4:$W$23</definedName>
    <definedName name="EFRSeals">'Hidden Inputs'!$BT$2:$BT$10</definedName>
    <definedName name="ExternalTankVP">'Hidden Inputs'!$BA$7:$BA$8</definedName>
    <definedName name="FixedTankVP">'Hidden Inputs'!$BA$3:$BA$5</definedName>
    <definedName name="FRSCol">'TANKS Data'!$B$103:$B$107</definedName>
    <definedName name="GasTermTankControls">'Hidden Inputs'!$G$3:$G$5</definedName>
    <definedName name="GFWell">'TANKS Data'!$B$127:$B$129</definedName>
    <definedName name="GHatch">'TANKS Data'!$B$132:$B$134</definedName>
    <definedName name="IFRSeals">'Hidden Inputs'!$BT$11:$BT$17</definedName>
    <definedName name="InternalTankVP">'Hidden Inputs'!$BA$11:$BA$13</definedName>
    <definedName name="LadderGuide">'TANKS Data'!$B$167:$B$169</definedName>
    <definedName name="LadderWell">'TANKS Data'!$B$163:$B$164</definedName>
    <definedName name="NoControl">'Hidden Inputs'!$G$3</definedName>
    <definedName name="NoDownwash">NoDownwash!$A$4:$V$22</definedName>
    <definedName name="NoOpen">'TANKS Data'!$B$156</definedName>
    <definedName name="Panel">'TANKS Data'!$B$229:$B$230</definedName>
    <definedName name="_xlnm.Print_Area" localSheetId="32">BACT!$A$2:$A$36</definedName>
    <definedName name="_xlnm.Print_Area" localSheetId="29">Baseline!$A$5:$J$19</definedName>
    <definedName name="_xlnm.Print_Area" localSheetId="25">CAS!$A$2:$E$167</definedName>
    <definedName name="_xlnm.Print_Area" localSheetId="33">CND!$A$2:$D$298</definedName>
    <definedName name="_xlnm.Print_Area" localSheetId="28">EmissionSummary!$A$2:$U$30</definedName>
    <definedName name="_xlnm.Print_Area" localSheetId="30">FederalApplicability!$A$6:$F$108</definedName>
    <definedName name="_xlnm.Print_Area" localSheetId="6">Fees!$A$7:$G$47</definedName>
    <definedName name="_xlnm.Print_Area" localSheetId="23">Flare!$A$2:$E$185</definedName>
    <definedName name="_xlnm.Print_Area" localSheetId="27">Impacts!$A$2:$G$166</definedName>
    <definedName name="_xlnm.Print_Area" localSheetId="3">Instructions!$A$2:$D$73</definedName>
    <definedName name="_xlnm.Print_Area" localSheetId="20">'Loading-drum,tote'!$A$2:$F$48</definedName>
    <definedName name="_xlnm.Print_Area" localSheetId="22">'Loading-rail'!$A$2:$F$48</definedName>
    <definedName name="_xlnm.Print_Area" localSheetId="21">'Loading-truck'!$A$2:$F$48</definedName>
    <definedName name="_xlnm.Print_Area" localSheetId="5">'PI-1-TankLoading'!$A$2:$G$209</definedName>
    <definedName name="_xlnm.Print_Area" localSheetId="34">PublicNotice!$A$7:$G$79</definedName>
    <definedName name="_xlnm.Print_Area" localSheetId="15">Tank1!$A$2:$D$49</definedName>
    <definedName name="_xlnm.Print_Area" localSheetId="16">Tank2!$A$2:$D$49</definedName>
    <definedName name="_xlnm.Print_Area" localSheetId="17">Tank3!$A$2:$D$49</definedName>
    <definedName name="_xlnm.Print_Area" localSheetId="18">Tank4!$A$2:$D$49</definedName>
    <definedName name="_xlnm.Print_Area" localSheetId="19">Tank5!$A$2:$D$49</definedName>
    <definedName name="_xlnm.Print_Area" localSheetId="24">VCU!$A$2:$E$193</definedName>
    <definedName name="_xlnm.Print_Titles" localSheetId="29">Baseline!$A:$A</definedName>
    <definedName name="_xlnm.Print_Titles" localSheetId="27">Impacts!$29:$30</definedName>
    <definedName name="ReleaseHeight">Downwash!$B$3:$W$3</definedName>
    <definedName name="RimVent">'TANKS Data'!$B$159:$B$160</definedName>
    <definedName name="Riveted">'TANKS Data'!$C$13</definedName>
    <definedName name="SelectedSpecies">'Hidden Inputs'!$AG$1:$AH$137</definedName>
    <definedName name="SiteType">'Hidden Inputs'!$X$2:$X$5</definedName>
    <definedName name="Slotted">'TANKS Data'!$B$117:$B$124</definedName>
    <definedName name="Species">'Hidden Inputs'!$J$3:$J$4147</definedName>
    <definedName name="SpeciesDataTable">'Hidden Inputs'!$I$2:$K$4147</definedName>
    <definedName name="SpeciesESL">'Hidden Inputs'!$J$2:$K$4147</definedName>
    <definedName name="Stub">'TANKS Data'!$B$140</definedName>
    <definedName name="Subsystem1">'TANKS Data'!$D$4:$D$6</definedName>
    <definedName name="Subsystem2">'TANKS Data'!$D$7:$D$9</definedName>
    <definedName name="TankSizeMost">'Hidden Inputs'!$BB$2:$BC$2</definedName>
    <definedName name="TankSizeSmall">'Hidden Inputs'!$BB$6</definedName>
    <definedName name="TitleRegion1.a14.g21.3">Fees!$A$13</definedName>
    <definedName name="TitleRegion1.a19.g38.7">PublicNotice!$A$14</definedName>
    <definedName name="TitleRegion2.a25.g28.3">Fees!$A$24</definedName>
    <definedName name="TitleRegion3.a35.g40.3">Fees!$A$32</definedName>
    <definedName name="TruckLoadCollectEff">'Hidden Inputs'!$Y$2:$Y$4</definedName>
    <definedName name="Unslotted">'TANKS Data'!$B$110:$B$114</definedName>
    <definedName name="Vacuum">'TANKS Data'!$B$137:$B$138</definedName>
    <definedName name="Welded">'TANKS Data'!$K$4:$K$6</definedName>
    <definedName name="YN">'Hidden Inputs'!$A$3:$A$4</definedName>
    <definedName name="Zones">'Hidden Inputs'!$F$3:$F$5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5" i="13" l="1"/>
  <c r="C16" i="48" l="1"/>
  <c r="BK30" i="16" l="1"/>
  <c r="BR5" i="16"/>
  <c r="B67" i="48" l="1"/>
  <c r="B68" i="48"/>
  <c r="K8" i="48" l="1"/>
  <c r="J3" i="48" l="1"/>
  <c r="K9" i="48"/>
  <c r="J70" i="48" l="1"/>
  <c r="J51" i="48"/>
  <c r="J43" i="48"/>
  <c r="J96" i="48"/>
  <c r="J83" i="48"/>
  <c r="J8" i="48"/>
  <c r="J10" i="48"/>
  <c r="J9" i="48"/>
  <c r="J2" i="48"/>
  <c r="I17" i="48"/>
  <c r="I11" i="48"/>
  <c r="I55" i="48"/>
  <c r="J45" i="48" l="1"/>
  <c r="J44" i="48"/>
  <c r="J46" i="48"/>
  <c r="J47" i="48"/>
  <c r="J48" i="48"/>
  <c r="J49" i="48"/>
  <c r="J50" i="48"/>
  <c r="BK2" i="16"/>
  <c r="BH27" i="16" l="1"/>
  <c r="BH25" i="16"/>
  <c r="BH22" i="16"/>
  <c r="BH21" i="16"/>
  <c r="BH16" i="16"/>
  <c r="BH15" i="16"/>
  <c r="BH12" i="16"/>
  <c r="BH9" i="16"/>
  <c r="BH2" i="16"/>
  <c r="BK40" i="16" l="1"/>
  <c r="BM28" i="16"/>
  <c r="G42" i="48" l="1"/>
  <c r="A8" i="65"/>
  <c r="M3434" i="16" l="1"/>
  <c r="F14" i="51" l="1"/>
  <c r="F15" i="51"/>
  <c r="F13" i="51"/>
  <c r="F12" i="51"/>
  <c r="F11" i="51"/>
  <c r="F10" i="51"/>
  <c r="F9" i="51"/>
  <c r="F8" i="51"/>
  <c r="A24" i="11" l="1"/>
  <c r="C201" i="49" l="1"/>
  <c r="BT33" i="16" l="1"/>
  <c r="BT32" i="16"/>
  <c r="BT31" i="16"/>
  <c r="BT30" i="16"/>
  <c r="BT29" i="16"/>
  <c r="BT25" i="16"/>
  <c r="BT24" i="16"/>
  <c r="BT23" i="16"/>
  <c r="BT22" i="16"/>
  <c r="BT21" i="16"/>
  <c r="B234" i="49"/>
  <c r="B200" i="49"/>
  <c r="C236" i="49"/>
  <c r="B219" i="49"/>
  <c r="B187" i="49"/>
  <c r="D31" i="31" l="1"/>
  <c r="B268" i="49" l="1"/>
  <c r="BS32" i="16" l="1"/>
  <c r="BS33" i="16"/>
  <c r="BS31" i="16"/>
  <c r="BS30" i="16"/>
  <c r="BS29" i="16"/>
  <c r="BS28" i="16"/>
  <c r="C117" i="49"/>
  <c r="C118" i="49"/>
  <c r="C119" i="49"/>
  <c r="C120" i="49"/>
  <c r="C121" i="49"/>
  <c r="C122" i="49"/>
  <c r="C123" i="49"/>
  <c r="C124" i="49"/>
  <c r="C125" i="49"/>
  <c r="C126" i="49"/>
  <c r="C127" i="49"/>
  <c r="C128" i="49"/>
  <c r="C129" i="49"/>
  <c r="C130" i="49"/>
  <c r="C131" i="49"/>
  <c r="C132" i="49"/>
  <c r="C116" i="49"/>
  <c r="B117" i="49"/>
  <c r="B118" i="49"/>
  <c r="B119" i="49"/>
  <c r="B120" i="49"/>
  <c r="B121" i="49"/>
  <c r="B122" i="49"/>
  <c r="B123" i="49"/>
  <c r="B124" i="49"/>
  <c r="B125" i="49"/>
  <c r="B126" i="49"/>
  <c r="B127" i="49"/>
  <c r="B128" i="49"/>
  <c r="B129" i="49"/>
  <c r="B130" i="49"/>
  <c r="B131" i="49"/>
  <c r="B132" i="49"/>
  <c r="B116" i="49"/>
  <c r="C100" i="49"/>
  <c r="C101" i="49"/>
  <c r="C102" i="49"/>
  <c r="C103" i="49"/>
  <c r="C104" i="49"/>
  <c r="C105" i="49"/>
  <c r="C106" i="49"/>
  <c r="C107" i="49"/>
  <c r="C108" i="49"/>
  <c r="C109" i="49"/>
  <c r="C110" i="49"/>
  <c r="C111" i="49"/>
  <c r="C112" i="49"/>
  <c r="C113" i="49"/>
  <c r="C114" i="49"/>
  <c r="C115" i="49"/>
  <c r="C99" i="49"/>
  <c r="B100" i="49"/>
  <c r="B101" i="49"/>
  <c r="B102" i="49"/>
  <c r="B103" i="49"/>
  <c r="B104" i="49"/>
  <c r="B105" i="49"/>
  <c r="B106" i="49"/>
  <c r="B107" i="49"/>
  <c r="B108" i="49"/>
  <c r="B109" i="49"/>
  <c r="B110" i="49"/>
  <c r="B111" i="49"/>
  <c r="B112" i="49"/>
  <c r="B113" i="49"/>
  <c r="B114" i="49"/>
  <c r="B115" i="49"/>
  <c r="B99" i="49"/>
  <c r="C83" i="49"/>
  <c r="C84" i="49"/>
  <c r="C85" i="49"/>
  <c r="C86" i="49"/>
  <c r="C87" i="49"/>
  <c r="C88" i="49"/>
  <c r="C89" i="49"/>
  <c r="C90" i="49"/>
  <c r="C91" i="49"/>
  <c r="C92" i="49"/>
  <c r="C93" i="49"/>
  <c r="C94" i="49"/>
  <c r="C95" i="49"/>
  <c r="C96" i="49"/>
  <c r="C97" i="49"/>
  <c r="C98" i="49"/>
  <c r="C82" i="49"/>
  <c r="B83" i="49"/>
  <c r="B84" i="49"/>
  <c r="B85" i="49"/>
  <c r="B86" i="49"/>
  <c r="B87" i="49"/>
  <c r="B88" i="49"/>
  <c r="B89" i="49"/>
  <c r="B90" i="49"/>
  <c r="B91" i="49"/>
  <c r="B92" i="49"/>
  <c r="B93" i="49"/>
  <c r="B94" i="49"/>
  <c r="B95" i="49"/>
  <c r="B96" i="49"/>
  <c r="B97" i="49"/>
  <c r="B98" i="49"/>
  <c r="B82" i="49"/>
  <c r="B81" i="49"/>
  <c r="C66" i="49"/>
  <c r="C67" i="49"/>
  <c r="C68" i="49"/>
  <c r="C69" i="49"/>
  <c r="C70" i="49"/>
  <c r="C71" i="49"/>
  <c r="C72" i="49"/>
  <c r="C73" i="49"/>
  <c r="C74" i="49"/>
  <c r="C75" i="49"/>
  <c r="C76" i="49"/>
  <c r="C77" i="49"/>
  <c r="C78" i="49"/>
  <c r="C79" i="49"/>
  <c r="C80" i="49"/>
  <c r="C81" i="49"/>
  <c r="C65" i="49"/>
  <c r="B66" i="49"/>
  <c r="B67" i="49"/>
  <c r="B68" i="49"/>
  <c r="B69" i="49"/>
  <c r="B70" i="49"/>
  <c r="B71" i="49"/>
  <c r="B72" i="49"/>
  <c r="B73" i="49"/>
  <c r="B74" i="49"/>
  <c r="B75" i="49"/>
  <c r="B76" i="49"/>
  <c r="B77" i="49"/>
  <c r="B78" i="49"/>
  <c r="B79" i="49"/>
  <c r="B80" i="49"/>
  <c r="B65" i="49"/>
  <c r="C49" i="49"/>
  <c r="C50" i="49"/>
  <c r="C51" i="49"/>
  <c r="C52" i="49"/>
  <c r="C53" i="49"/>
  <c r="C54" i="49"/>
  <c r="C55" i="49"/>
  <c r="C56" i="49"/>
  <c r="C57" i="49"/>
  <c r="C58" i="49"/>
  <c r="C59" i="49"/>
  <c r="C60" i="49"/>
  <c r="C61" i="49"/>
  <c r="C62" i="49"/>
  <c r="C63" i="49"/>
  <c r="C64" i="49"/>
  <c r="C48" i="49"/>
  <c r="B48" i="49"/>
  <c r="B134" i="49" l="1"/>
  <c r="B53" i="49"/>
  <c r="B54" i="49"/>
  <c r="B62" i="49"/>
  <c r="B61" i="49"/>
  <c r="B56" i="49"/>
  <c r="B64" i="49"/>
  <c r="B55" i="49"/>
  <c r="B49" i="49"/>
  <c r="B57" i="49"/>
  <c r="B63" i="49"/>
  <c r="B50" i="49"/>
  <c r="B58" i="49"/>
  <c r="B59" i="49"/>
  <c r="B51" i="49"/>
  <c r="B52" i="49"/>
  <c r="B60" i="49"/>
  <c r="O7" i="12"/>
  <c r="U11" i="12"/>
  <c r="U10" i="12"/>
  <c r="U9" i="12"/>
  <c r="U8" i="12"/>
  <c r="U7" i="12"/>
  <c r="C271" i="49" l="1"/>
  <c r="C272" i="49"/>
  <c r="C29" i="32" l="1"/>
  <c r="D38" i="44"/>
  <c r="A27" i="11" l="1"/>
  <c r="S11" i="12" l="1"/>
  <c r="S10" i="12"/>
  <c r="S9" i="12"/>
  <c r="S8" i="12"/>
  <c r="CM71" i="16" l="1"/>
  <c r="CM70" i="16"/>
  <c r="CM69" i="16"/>
  <c r="CM68" i="16"/>
  <c r="CM67" i="16"/>
  <c r="CM66" i="16"/>
  <c r="CM65" i="16"/>
  <c r="CM64" i="16"/>
  <c r="CM63" i="16"/>
  <c r="CM62" i="16"/>
  <c r="CM61" i="16"/>
  <c r="CL71" i="16"/>
  <c r="CL70" i="16"/>
  <c r="CL69" i="16"/>
  <c r="CL68" i="16"/>
  <c r="CL67" i="16"/>
  <c r="CL66" i="16"/>
  <c r="CL65" i="16"/>
  <c r="CL64" i="16"/>
  <c r="CL63" i="16"/>
  <c r="CL62" i="16"/>
  <c r="CL61" i="16"/>
  <c r="CK71" i="16"/>
  <c r="CK70" i="16"/>
  <c r="CK69" i="16"/>
  <c r="CK68" i="16"/>
  <c r="CK67" i="16"/>
  <c r="CK66" i="16"/>
  <c r="CK65" i="16"/>
  <c r="CK64" i="16"/>
  <c r="CK63" i="16"/>
  <c r="CK62" i="16"/>
  <c r="CK61" i="16"/>
  <c r="CJ71" i="16"/>
  <c r="CJ70" i="16"/>
  <c r="CJ69" i="16"/>
  <c r="CJ68" i="16"/>
  <c r="CJ67" i="16"/>
  <c r="CJ66" i="16"/>
  <c r="CJ65" i="16"/>
  <c r="CJ64" i="16"/>
  <c r="CJ63" i="16"/>
  <c r="CJ62" i="16"/>
  <c r="CJ61" i="16"/>
  <c r="T18" i="12" l="1"/>
  <c r="BO18" i="16" s="1"/>
  <c r="R18" i="12"/>
  <c r="BO15" i="16" s="1"/>
  <c r="E51" i="32" l="1"/>
  <c r="G47" i="44" l="1"/>
  <c r="G116" i="43" l="1"/>
  <c r="E55" i="32" l="1"/>
  <c r="E54" i="32"/>
  <c r="E53" i="32"/>
  <c r="B21" i="64" l="1"/>
  <c r="AD115" i="57"/>
  <c r="AD114" i="57"/>
  <c r="AD113" i="57"/>
  <c r="AD112" i="57"/>
  <c r="AD111" i="57"/>
  <c r="AD110" i="57"/>
  <c r="AD109" i="57"/>
  <c r="AD108" i="57"/>
  <c r="AD107" i="57"/>
  <c r="AD106" i="57"/>
  <c r="AD105" i="57"/>
  <c r="AD104" i="57"/>
  <c r="AD103" i="57"/>
  <c r="AD102" i="57"/>
  <c r="AD101" i="57"/>
  <c r="AD100" i="57"/>
  <c r="AD99" i="57"/>
  <c r="AD98" i="57"/>
  <c r="AD97" i="57"/>
  <c r="AD96" i="57"/>
  <c r="Y115" i="57"/>
  <c r="Y114" i="57"/>
  <c r="Y113" i="57"/>
  <c r="Y112" i="57"/>
  <c r="Y111" i="57"/>
  <c r="Y110" i="57"/>
  <c r="Y109" i="57"/>
  <c r="Y108" i="57"/>
  <c r="Y107" i="57"/>
  <c r="Y106" i="57"/>
  <c r="Y105" i="57"/>
  <c r="Y104" i="57"/>
  <c r="Y103" i="57"/>
  <c r="Y102" i="57"/>
  <c r="Y101" i="57"/>
  <c r="Y100" i="57"/>
  <c r="Y99" i="57"/>
  <c r="Y98" i="57"/>
  <c r="Y97" i="57"/>
  <c r="T115" i="57"/>
  <c r="T114" i="57"/>
  <c r="T113" i="57"/>
  <c r="T112" i="57"/>
  <c r="T111" i="57"/>
  <c r="T110" i="57"/>
  <c r="T109" i="57"/>
  <c r="T108" i="57"/>
  <c r="T107" i="57"/>
  <c r="T106" i="57"/>
  <c r="T105" i="57"/>
  <c r="T104" i="57"/>
  <c r="T103" i="57"/>
  <c r="T102" i="57"/>
  <c r="T101" i="57"/>
  <c r="T100" i="57"/>
  <c r="T99" i="57"/>
  <c r="T98" i="57"/>
  <c r="T97" i="57"/>
  <c r="Y96" i="57"/>
  <c r="T96" i="57"/>
  <c r="O115" i="57"/>
  <c r="O114" i="57"/>
  <c r="O113" i="57"/>
  <c r="O112" i="57"/>
  <c r="O111" i="57"/>
  <c r="O110" i="57"/>
  <c r="O109" i="57"/>
  <c r="O108" i="57"/>
  <c r="O107" i="57"/>
  <c r="O106" i="57"/>
  <c r="O105" i="57"/>
  <c r="O104" i="57"/>
  <c r="O103" i="57"/>
  <c r="O102" i="57"/>
  <c r="O101" i="57"/>
  <c r="O100" i="57"/>
  <c r="O99" i="57"/>
  <c r="O98" i="57"/>
  <c r="O97" i="57"/>
  <c r="J115" i="57"/>
  <c r="J114" i="57"/>
  <c r="J113" i="57"/>
  <c r="J112" i="57"/>
  <c r="J111" i="57"/>
  <c r="J110" i="57"/>
  <c r="J109" i="57"/>
  <c r="J108" i="57"/>
  <c r="J107" i="57"/>
  <c r="J106" i="57"/>
  <c r="J105" i="57"/>
  <c r="J104" i="57"/>
  <c r="J103" i="57"/>
  <c r="J102" i="57"/>
  <c r="J101" i="57"/>
  <c r="J100" i="57"/>
  <c r="J99" i="57"/>
  <c r="J98" i="57"/>
  <c r="J97" i="57"/>
  <c r="O96" i="57"/>
  <c r="J96" i="57"/>
  <c r="CE67" i="16" l="1"/>
  <c r="CD67" i="16"/>
  <c r="CC67" i="16"/>
  <c r="CB67" i="16"/>
  <c r="CA67" i="16"/>
  <c r="BZ67" i="16"/>
  <c r="BY67" i="16"/>
  <c r="BX67" i="16"/>
  <c r="BW67" i="16"/>
  <c r="BV67" i="16"/>
  <c r="CE66" i="16"/>
  <c r="CD66" i="16"/>
  <c r="CC66" i="16"/>
  <c r="CB66" i="16"/>
  <c r="CA66" i="16"/>
  <c r="BZ66" i="16"/>
  <c r="BY66" i="16"/>
  <c r="BX66" i="16"/>
  <c r="BW66" i="16"/>
  <c r="BV66" i="16"/>
  <c r="CI67" i="16"/>
  <c r="CI66" i="16"/>
  <c r="CF67" i="16"/>
  <c r="CF66" i="16"/>
  <c r="CH67" i="16"/>
  <c r="CH66" i="16"/>
  <c r="CG66" i="16"/>
  <c r="CG67" i="16"/>
  <c r="CG68" i="16"/>
  <c r="CF68" i="16"/>
  <c r="CI68" i="16"/>
  <c r="CH68" i="16"/>
  <c r="CE68" i="16"/>
  <c r="CD68" i="16"/>
  <c r="CC68" i="16"/>
  <c r="CB68" i="16"/>
  <c r="CA68" i="16"/>
  <c r="BZ68" i="16"/>
  <c r="BY68" i="16"/>
  <c r="BX68" i="16"/>
  <c r="BW68" i="16"/>
  <c r="BV68" i="16"/>
  <c r="CI71" i="16"/>
  <c r="CH71" i="16"/>
  <c r="CG71" i="16"/>
  <c r="CF71" i="16"/>
  <c r="CE71" i="16"/>
  <c r="CD71" i="16"/>
  <c r="CC71" i="16"/>
  <c r="CB71" i="16"/>
  <c r="CA71" i="16"/>
  <c r="BZ71" i="16"/>
  <c r="BY71" i="16"/>
  <c r="BX71" i="16"/>
  <c r="BW71" i="16"/>
  <c r="CI70" i="16"/>
  <c r="CH70" i="16"/>
  <c r="CG70" i="16"/>
  <c r="CF70" i="16"/>
  <c r="CE70" i="16"/>
  <c r="CD70" i="16"/>
  <c r="CC70" i="16"/>
  <c r="CB70" i="16"/>
  <c r="CA70" i="16"/>
  <c r="BZ70" i="16"/>
  <c r="BY70" i="16"/>
  <c r="BX70" i="16"/>
  <c r="BW70" i="16"/>
  <c r="CI69" i="16"/>
  <c r="CH69" i="16"/>
  <c r="CG69" i="16"/>
  <c r="CF69" i="16"/>
  <c r="CE69" i="16"/>
  <c r="CD69" i="16"/>
  <c r="CC69" i="16"/>
  <c r="CB69" i="16"/>
  <c r="CA69" i="16"/>
  <c r="BZ69" i="16"/>
  <c r="BY69" i="16"/>
  <c r="BX69" i="16"/>
  <c r="BW69" i="16"/>
  <c r="BV71" i="16"/>
  <c r="BV70" i="16"/>
  <c r="BV69" i="16"/>
  <c r="CG65" i="16"/>
  <c r="CG64" i="16"/>
  <c r="CG63" i="16"/>
  <c r="CF65" i="16"/>
  <c r="CF64" i="16"/>
  <c r="CF63" i="16"/>
  <c r="CG62" i="16"/>
  <c r="CF62" i="16"/>
  <c r="CI65" i="16"/>
  <c r="CH65" i="16"/>
  <c r="CE65" i="16"/>
  <c r="CD65" i="16"/>
  <c r="CC65" i="16"/>
  <c r="CB65" i="16"/>
  <c r="CA65" i="16"/>
  <c r="BZ65" i="16"/>
  <c r="BY65" i="16"/>
  <c r="BX65" i="16"/>
  <c r="BW65" i="16"/>
  <c r="CI64" i="16"/>
  <c r="CH64" i="16"/>
  <c r="CE64" i="16"/>
  <c r="CD64" i="16"/>
  <c r="CC64" i="16"/>
  <c r="CB64" i="16"/>
  <c r="CA64" i="16"/>
  <c r="BZ64" i="16"/>
  <c r="BY64" i="16"/>
  <c r="BX64" i="16"/>
  <c r="BW64" i="16"/>
  <c r="CI63" i="16"/>
  <c r="CH63" i="16"/>
  <c r="CE63" i="16"/>
  <c r="CD63" i="16"/>
  <c r="CC63" i="16"/>
  <c r="CB63" i="16"/>
  <c r="CA63" i="16"/>
  <c r="BZ63" i="16"/>
  <c r="BY63" i="16"/>
  <c r="BX63" i="16"/>
  <c r="BW63" i="16"/>
  <c r="CI62" i="16"/>
  <c r="CH62" i="16"/>
  <c r="CE62" i="16"/>
  <c r="CD62" i="16"/>
  <c r="CC62" i="16"/>
  <c r="CB62" i="16"/>
  <c r="CA62" i="16"/>
  <c r="BZ62" i="16"/>
  <c r="BY62" i="16"/>
  <c r="BX62" i="16"/>
  <c r="BW62" i="16"/>
  <c r="BV65" i="16"/>
  <c r="BV64" i="16"/>
  <c r="BV63" i="16"/>
  <c r="BV62" i="16"/>
  <c r="CG61" i="16"/>
  <c r="CF61" i="16"/>
  <c r="CI61" i="16"/>
  <c r="CH61" i="16"/>
  <c r="CE61" i="16"/>
  <c r="CD61" i="16"/>
  <c r="CC61" i="16"/>
  <c r="CB61" i="16"/>
  <c r="CA61" i="16"/>
  <c r="BZ61" i="16"/>
  <c r="BY61" i="16"/>
  <c r="BX61" i="16"/>
  <c r="BW61" i="16"/>
  <c r="BV61" i="16"/>
  <c r="F18" i="12" l="1"/>
  <c r="D18" i="12"/>
  <c r="H18" i="12"/>
  <c r="J18" i="12"/>
  <c r="L18" i="12"/>
  <c r="N18" i="12"/>
  <c r="P18" i="12"/>
  <c r="BL12" i="16" s="1"/>
  <c r="BS21" i="16" l="1"/>
  <c r="BS20" i="16"/>
  <c r="BW11" i="16"/>
  <c r="BS22" i="16" l="1"/>
  <c r="BS23" i="16"/>
  <c r="BS24" i="16" l="1"/>
  <c r="AX6" i="16"/>
  <c r="AX5" i="16"/>
  <c r="AX4" i="16"/>
  <c r="AX2" i="16"/>
  <c r="AX3" i="16"/>
  <c r="BS25" i="16" l="1"/>
  <c r="B135" i="49" s="1"/>
  <c r="O8" i="12"/>
  <c r="O9" i="12"/>
  <c r="BM26" i="16" l="1"/>
  <c r="BP36" i="16"/>
  <c r="BL2" i="16" l="1"/>
  <c r="BM2" i="16" l="1"/>
  <c r="BN2" i="16" l="1"/>
  <c r="A18" i="11"/>
  <c r="A15" i="11"/>
  <c r="A12" i="11"/>
  <c r="A9" i="11"/>
  <c r="A6" i="11"/>
  <c r="F18" i="51"/>
  <c r="F17" i="51"/>
  <c r="F16" i="51"/>
  <c r="M16" i="12"/>
  <c r="M18" i="12" s="1"/>
  <c r="K16" i="12"/>
  <c r="K18" i="12" s="1"/>
  <c r="I16" i="12"/>
  <c r="I18" i="12" s="1"/>
  <c r="E52" i="32"/>
  <c r="G16" i="12" s="1"/>
  <c r="C31" i="30"/>
  <c r="AA15" i="16" s="1"/>
  <c r="A18" i="65" l="1"/>
  <c r="A17" i="65"/>
  <c r="A16" i="65"/>
  <c r="A15" i="65"/>
  <c r="A14" i="65"/>
  <c r="A13" i="65"/>
  <c r="A12" i="65"/>
  <c r="A11" i="65"/>
  <c r="A10" i="65"/>
  <c r="A9" i="65"/>
  <c r="BL18" i="16"/>
  <c r="BL15" i="16"/>
  <c r="CF49" i="16" l="1"/>
  <c r="CE49" i="16"/>
  <c r="CD49" i="16"/>
  <c r="CC49" i="16"/>
  <c r="CB49" i="16"/>
  <c r="CA49" i="16"/>
  <c r="BZ49" i="16"/>
  <c r="BY49" i="16"/>
  <c r="BX49" i="16"/>
  <c r="BW49" i="16"/>
  <c r="BV49" i="16"/>
  <c r="CG45" i="16"/>
  <c r="CD45" i="16"/>
  <c r="CB45" i="16"/>
  <c r="CA45" i="16"/>
  <c r="CG44" i="16"/>
  <c r="CD44" i="16"/>
  <c r="CB44" i="16"/>
  <c r="CA44" i="16"/>
  <c r="BZ44" i="16"/>
  <c r="BY44" i="16"/>
  <c r="BX44" i="16"/>
  <c r="BW44" i="16"/>
  <c r="BV44" i="16"/>
  <c r="CG43" i="16"/>
  <c r="CD43" i="16"/>
  <c r="CB43" i="16"/>
  <c r="CA43" i="16"/>
  <c r="BW43" i="16"/>
  <c r="BV43" i="16"/>
  <c r="CG42" i="16"/>
  <c r="CD42" i="16"/>
  <c r="CB42" i="16"/>
  <c r="CA42" i="16"/>
  <c r="BZ42" i="16"/>
  <c r="BY42" i="16"/>
  <c r="BX42" i="16"/>
  <c r="BW42" i="16"/>
  <c r="BV42" i="16"/>
  <c r="CG41" i="16"/>
  <c r="CD41" i="16"/>
  <c r="CB41" i="16"/>
  <c r="CA41" i="16"/>
  <c r="BZ41" i="16"/>
  <c r="BY41" i="16"/>
  <c r="BX41" i="16"/>
  <c r="BW41" i="16"/>
  <c r="BV41" i="16"/>
  <c r="CG40" i="16"/>
  <c r="CD40" i="16"/>
  <c r="CB40" i="16"/>
  <c r="CA40" i="16"/>
  <c r="BZ40" i="16"/>
  <c r="BY40" i="16"/>
  <c r="BX40" i="16"/>
  <c r="BW40" i="16"/>
  <c r="BV40" i="16"/>
  <c r="CG39" i="16"/>
  <c r="CD39" i="16"/>
  <c r="CG38" i="16"/>
  <c r="CD38" i="16"/>
  <c r="CG37" i="16"/>
  <c r="CD37" i="16"/>
  <c r="CG36" i="16"/>
  <c r="CD36" i="16"/>
  <c r="CB39" i="16"/>
  <c r="CB38" i="16"/>
  <c r="CB37" i="16"/>
  <c r="CB36" i="16"/>
  <c r="CG35" i="16"/>
  <c r="CD35" i="16"/>
  <c r="CB35" i="16"/>
  <c r="BZ31" i="16"/>
  <c r="BY31" i="16"/>
  <c r="BX31" i="16"/>
  <c r="BW31" i="16"/>
  <c r="BV31" i="16"/>
  <c r="BZ29" i="16"/>
  <c r="BY29" i="16"/>
  <c r="BX29" i="16"/>
  <c r="CA25" i="16"/>
  <c r="BZ25" i="16"/>
  <c r="BY25" i="16"/>
  <c r="BX25" i="16"/>
  <c r="BW25" i="16"/>
  <c r="BV25" i="16"/>
  <c r="CA24" i="16"/>
  <c r="BZ24" i="16"/>
  <c r="BY24" i="16"/>
  <c r="BX24" i="16"/>
  <c r="BW24" i="16"/>
  <c r="BV24" i="16"/>
  <c r="CA23" i="16"/>
  <c r="BZ23" i="16"/>
  <c r="BY23" i="16"/>
  <c r="BX23" i="16"/>
  <c r="BW23" i="16"/>
  <c r="BV23" i="16"/>
  <c r="CA22" i="16"/>
  <c r="BZ22" i="16"/>
  <c r="BY22" i="16"/>
  <c r="BX22" i="16"/>
  <c r="BW22" i="16"/>
  <c r="BV22" i="16"/>
  <c r="CA21" i="16"/>
  <c r="BZ21" i="16"/>
  <c r="BY21" i="16"/>
  <c r="BX21" i="16"/>
  <c r="BW21" i="16"/>
  <c r="BV21" i="16"/>
  <c r="CH9" i="16"/>
  <c r="CG25" i="16" s="1"/>
  <c r="CE9" i="16"/>
  <c r="CD25" i="16" s="1"/>
  <c r="CC9" i="16"/>
  <c r="CB25" i="16" s="1"/>
  <c r="CH8" i="16"/>
  <c r="CG24" i="16" s="1"/>
  <c r="CE8" i="16"/>
  <c r="CD24" i="16" s="1"/>
  <c r="CC8" i="16"/>
  <c r="CB24" i="16" s="1"/>
  <c r="CH7" i="16"/>
  <c r="CG23" i="16" s="1"/>
  <c r="CE7" i="16"/>
  <c r="CD23" i="16" s="1"/>
  <c r="CC7" i="16"/>
  <c r="CB23" i="16" s="1"/>
  <c r="CB58" i="16" l="1"/>
  <c r="CB57" i="16"/>
  <c r="CB56" i="16"/>
  <c r="CC55" i="16"/>
  <c r="CC56" i="16"/>
  <c r="CC57" i="16"/>
  <c r="CA58" i="16"/>
  <c r="CA57" i="16"/>
  <c r="CA56" i="16"/>
  <c r="CD58" i="16"/>
  <c r="CD56" i="16"/>
  <c r="CD57" i="16"/>
  <c r="BW58" i="16"/>
  <c r="BW57" i="16"/>
  <c r="BW56" i="16"/>
  <c r="CE58" i="16"/>
  <c r="CE56" i="16"/>
  <c r="CE57" i="16"/>
  <c r="CF58" i="16"/>
  <c r="CF56" i="16"/>
  <c r="CF57" i="16"/>
  <c r="BY55" i="16"/>
  <c r="BY57" i="16"/>
  <c r="BY56" i="16"/>
  <c r="BZ58" i="16"/>
  <c r="BZ57" i="16"/>
  <c r="BZ56" i="16"/>
  <c r="BX58" i="16"/>
  <c r="BX56" i="16"/>
  <c r="BX57" i="16"/>
  <c r="BV58" i="16"/>
  <c r="BV56" i="16"/>
  <c r="BV57" i="16"/>
  <c r="CA46" i="16"/>
  <c r="CC50" i="16"/>
  <c r="BY52" i="16"/>
  <c r="CE53" i="16"/>
  <c r="CA55" i="16"/>
  <c r="BW46" i="16"/>
  <c r="CA51" i="16"/>
  <c r="BW53" i="16"/>
  <c r="CC54" i="16"/>
  <c r="BY58" i="16"/>
  <c r="BY50" i="16"/>
  <c r="BW51" i="16"/>
  <c r="CE51" i="16"/>
  <c r="CC52" i="16"/>
  <c r="CA53" i="16"/>
  <c r="BY54" i="16"/>
  <c r="BW55" i="16"/>
  <c r="CE55" i="16"/>
  <c r="CC58" i="16"/>
  <c r="BW50" i="16"/>
  <c r="CA50" i="16"/>
  <c r="CE50" i="16"/>
  <c r="BY51" i="16"/>
  <c r="CC51" i="16"/>
  <c r="BW52" i="16"/>
  <c r="CA52" i="16"/>
  <c r="CE52" i="16"/>
  <c r="BY53" i="16"/>
  <c r="CC53" i="16"/>
  <c r="BW54" i="16"/>
  <c r="CA54" i="16"/>
  <c r="CE54" i="16"/>
  <c r="BV51" i="16"/>
  <c r="BV53" i="16"/>
  <c r="BV55" i="16"/>
  <c r="BV50" i="16"/>
  <c r="BX50" i="16"/>
  <c r="BZ50" i="16"/>
  <c r="CB50" i="16"/>
  <c r="CD50" i="16"/>
  <c r="CF50" i="16"/>
  <c r="BV52" i="16"/>
  <c r="BV54" i="16"/>
  <c r="BX51" i="16"/>
  <c r="BZ51" i="16"/>
  <c r="CB51" i="16"/>
  <c r="CD51" i="16"/>
  <c r="CF51" i="16"/>
  <c r="BX52" i="16"/>
  <c r="BZ52" i="16"/>
  <c r="CB52" i="16"/>
  <c r="CD52" i="16"/>
  <c r="CF52" i="16"/>
  <c r="BX53" i="16"/>
  <c r="BZ53" i="16"/>
  <c r="CB53" i="16"/>
  <c r="CD53" i="16"/>
  <c r="CF53" i="16"/>
  <c r="BX54" i="16"/>
  <c r="BZ54" i="16"/>
  <c r="CB54" i="16"/>
  <c r="CD54" i="16"/>
  <c r="CF54" i="16"/>
  <c r="BX55" i="16"/>
  <c r="BZ55" i="16"/>
  <c r="CB55" i="16"/>
  <c r="CD55" i="16"/>
  <c r="CF55" i="16"/>
  <c r="BY46" i="16"/>
  <c r="BV46" i="16"/>
  <c r="BX46" i="16"/>
  <c r="BZ46" i="16"/>
  <c r="CD46" i="16"/>
  <c r="CG46" i="16"/>
  <c r="CB46" i="16"/>
  <c r="CG56" i="16" l="1"/>
  <c r="CG57" i="16"/>
  <c r="CG58" i="16"/>
  <c r="CG53" i="16"/>
  <c r="CG55" i="16"/>
  <c r="CG51" i="16"/>
  <c r="CG50" i="16"/>
  <c r="CG54" i="16"/>
  <c r="CG52" i="16"/>
  <c r="P4154" i="16" l="1"/>
  <c r="O4154" i="16"/>
  <c r="P4153" i="16"/>
  <c r="O4153" i="16"/>
  <c r="P4152" i="16"/>
  <c r="O4152" i="16"/>
  <c r="P4151" i="16"/>
  <c r="O4151" i="16"/>
  <c r="P4150" i="16"/>
  <c r="O4150" i="16"/>
  <c r="P4149" i="16"/>
  <c r="O4149" i="16"/>
  <c r="P4148" i="16"/>
  <c r="O4148" i="16"/>
  <c r="P4147" i="16"/>
  <c r="O4147" i="16"/>
  <c r="P4146" i="16"/>
  <c r="O4146" i="16"/>
  <c r="P4145" i="16"/>
  <c r="O4145" i="16"/>
  <c r="P4144" i="16"/>
  <c r="O4144" i="16"/>
  <c r="P4143" i="16"/>
  <c r="O4143" i="16"/>
  <c r="P4142" i="16"/>
  <c r="O4142" i="16"/>
  <c r="P4141" i="16"/>
  <c r="O4141" i="16"/>
  <c r="P4140" i="16"/>
  <c r="O4140" i="16"/>
  <c r="P4139" i="16"/>
  <c r="O4139" i="16"/>
  <c r="P4138" i="16"/>
  <c r="O4138" i="16"/>
  <c r="P4137" i="16"/>
  <c r="O4137" i="16"/>
  <c r="P4136" i="16"/>
  <c r="O4136" i="16"/>
  <c r="P4135" i="16"/>
  <c r="O4135" i="16"/>
  <c r="P4134" i="16"/>
  <c r="O4134" i="16"/>
  <c r="P4133" i="16"/>
  <c r="O4133" i="16"/>
  <c r="P4132" i="16"/>
  <c r="O4132" i="16"/>
  <c r="P4131" i="16"/>
  <c r="O4131" i="16"/>
  <c r="P4130" i="16"/>
  <c r="O4130" i="16"/>
  <c r="P4129" i="16"/>
  <c r="O4129" i="16"/>
  <c r="P4128" i="16"/>
  <c r="O4128" i="16"/>
  <c r="P4127" i="16"/>
  <c r="O4127" i="16"/>
  <c r="P4126" i="16"/>
  <c r="O4126" i="16"/>
  <c r="P4125" i="16"/>
  <c r="O4125" i="16"/>
  <c r="P4124" i="16"/>
  <c r="O4124" i="16"/>
  <c r="P4123" i="16"/>
  <c r="O4123" i="16"/>
  <c r="P4122" i="16"/>
  <c r="O4122" i="16"/>
  <c r="P4121" i="16"/>
  <c r="O4121" i="16"/>
  <c r="P4120" i="16"/>
  <c r="O4120" i="16"/>
  <c r="P4119" i="16"/>
  <c r="O4119" i="16"/>
  <c r="P4118" i="16"/>
  <c r="O4118" i="16"/>
  <c r="P4117" i="16"/>
  <c r="O4117" i="16"/>
  <c r="P4116" i="16"/>
  <c r="O4116" i="16"/>
  <c r="P4115" i="16"/>
  <c r="O4115" i="16"/>
  <c r="P4114" i="16"/>
  <c r="O4114" i="16"/>
  <c r="P4113" i="16"/>
  <c r="O4113" i="16"/>
  <c r="P4112" i="16"/>
  <c r="O4112" i="16"/>
  <c r="P4111" i="16"/>
  <c r="O4111" i="16"/>
  <c r="P4110" i="16"/>
  <c r="O4110" i="16"/>
  <c r="P4109" i="16"/>
  <c r="O4109" i="16"/>
  <c r="P4108" i="16"/>
  <c r="O4108" i="16"/>
  <c r="P4107" i="16"/>
  <c r="O4107" i="16"/>
  <c r="P4106" i="16"/>
  <c r="O4106" i="16"/>
  <c r="P4105" i="16"/>
  <c r="O4105" i="16"/>
  <c r="P4104" i="16"/>
  <c r="O4104" i="16"/>
  <c r="P4103" i="16"/>
  <c r="O4103" i="16"/>
  <c r="P4102" i="16"/>
  <c r="O4102" i="16"/>
  <c r="P4101" i="16"/>
  <c r="O4101" i="16"/>
  <c r="P4100" i="16"/>
  <c r="O4100" i="16"/>
  <c r="P4099" i="16"/>
  <c r="O4099" i="16"/>
  <c r="P4098" i="16"/>
  <c r="O4098" i="16"/>
  <c r="P4097" i="16"/>
  <c r="O4097" i="16"/>
  <c r="P4096" i="16"/>
  <c r="O4096" i="16"/>
  <c r="P4095" i="16"/>
  <c r="O4095" i="16"/>
  <c r="P4094" i="16"/>
  <c r="O4094" i="16"/>
  <c r="P4093" i="16"/>
  <c r="O4093" i="16"/>
  <c r="P4092" i="16"/>
  <c r="O4092" i="16"/>
  <c r="P4091" i="16"/>
  <c r="O4091" i="16"/>
  <c r="P4090" i="16"/>
  <c r="O4090" i="16"/>
  <c r="P4089" i="16"/>
  <c r="O4089" i="16"/>
  <c r="P4088" i="16"/>
  <c r="O4088" i="16"/>
  <c r="P4087" i="16"/>
  <c r="O4087" i="16"/>
  <c r="P4086" i="16"/>
  <c r="O4086" i="16"/>
  <c r="P4085" i="16"/>
  <c r="O4085" i="16"/>
  <c r="P4084" i="16"/>
  <c r="O4084" i="16"/>
  <c r="P4083" i="16"/>
  <c r="O4083" i="16"/>
  <c r="P4082" i="16"/>
  <c r="O4082" i="16"/>
  <c r="P4081" i="16"/>
  <c r="O4081" i="16"/>
  <c r="P4080" i="16"/>
  <c r="O4080" i="16"/>
  <c r="P4079" i="16"/>
  <c r="O4079" i="16"/>
  <c r="P4078" i="16"/>
  <c r="O4078" i="16"/>
  <c r="P4077" i="16"/>
  <c r="O4077" i="16"/>
  <c r="P4076" i="16"/>
  <c r="O4076" i="16"/>
  <c r="P4075" i="16"/>
  <c r="O4075" i="16"/>
  <c r="P4074" i="16"/>
  <c r="O4074" i="16"/>
  <c r="P4073" i="16"/>
  <c r="O4073" i="16"/>
  <c r="P4072" i="16"/>
  <c r="O4072" i="16"/>
  <c r="P4071" i="16"/>
  <c r="O4071" i="16"/>
  <c r="P4070" i="16"/>
  <c r="O4070" i="16"/>
  <c r="P4069" i="16"/>
  <c r="O4069" i="16"/>
  <c r="P4068" i="16"/>
  <c r="O4068" i="16"/>
  <c r="P4067" i="16"/>
  <c r="O4067" i="16"/>
  <c r="P4066" i="16"/>
  <c r="O4066" i="16"/>
  <c r="P4065" i="16"/>
  <c r="O4065" i="16"/>
  <c r="P4064" i="16"/>
  <c r="O4064" i="16"/>
  <c r="P4063" i="16"/>
  <c r="O4063" i="16"/>
  <c r="P4062" i="16"/>
  <c r="O4062" i="16"/>
  <c r="P4061" i="16"/>
  <c r="O4061" i="16"/>
  <c r="P4060" i="16"/>
  <c r="O4060" i="16"/>
  <c r="P4059" i="16"/>
  <c r="O4059" i="16"/>
  <c r="P4058" i="16"/>
  <c r="O4058" i="16"/>
  <c r="P4057" i="16"/>
  <c r="O4057" i="16"/>
  <c r="P4056" i="16"/>
  <c r="O4056" i="16"/>
  <c r="P4055" i="16"/>
  <c r="O4055" i="16"/>
  <c r="P4054" i="16"/>
  <c r="O4054" i="16"/>
  <c r="P4053" i="16"/>
  <c r="O4053" i="16"/>
  <c r="P4052" i="16"/>
  <c r="O4052" i="16"/>
  <c r="P4051" i="16"/>
  <c r="O4051" i="16"/>
  <c r="P4050" i="16"/>
  <c r="O4050" i="16"/>
  <c r="P4049" i="16"/>
  <c r="O4049" i="16"/>
  <c r="P4048" i="16"/>
  <c r="O4048" i="16"/>
  <c r="P4047" i="16"/>
  <c r="O4047" i="16"/>
  <c r="P4046" i="16"/>
  <c r="O4046" i="16"/>
  <c r="P4045" i="16"/>
  <c r="O4045" i="16"/>
  <c r="P4044" i="16"/>
  <c r="O4044" i="16"/>
  <c r="P4043" i="16"/>
  <c r="O4043" i="16"/>
  <c r="P4042" i="16"/>
  <c r="O4042" i="16"/>
  <c r="P4041" i="16"/>
  <c r="O4041" i="16"/>
  <c r="P4040" i="16"/>
  <c r="O4040" i="16"/>
  <c r="P4039" i="16"/>
  <c r="O4039" i="16"/>
  <c r="P4038" i="16"/>
  <c r="O4038" i="16"/>
  <c r="P4037" i="16"/>
  <c r="O4037" i="16"/>
  <c r="P4036" i="16"/>
  <c r="O4036" i="16"/>
  <c r="P4035" i="16"/>
  <c r="O4035" i="16"/>
  <c r="P4034" i="16"/>
  <c r="O4034" i="16"/>
  <c r="P4033" i="16"/>
  <c r="O4033" i="16"/>
  <c r="P4032" i="16"/>
  <c r="O4032" i="16"/>
  <c r="P4031" i="16"/>
  <c r="O4031" i="16"/>
  <c r="P4030" i="16"/>
  <c r="O4030" i="16"/>
  <c r="P4029" i="16"/>
  <c r="O4029" i="16"/>
  <c r="P4028" i="16"/>
  <c r="O4028" i="16"/>
  <c r="P4027" i="16"/>
  <c r="O4027" i="16"/>
  <c r="P4026" i="16"/>
  <c r="O4026" i="16"/>
  <c r="P4025" i="16"/>
  <c r="O4025" i="16"/>
  <c r="P4024" i="16"/>
  <c r="O4024" i="16"/>
  <c r="P4023" i="16"/>
  <c r="O4023" i="16"/>
  <c r="P4022" i="16"/>
  <c r="O4022" i="16"/>
  <c r="P4021" i="16"/>
  <c r="O4021" i="16"/>
  <c r="P4020" i="16"/>
  <c r="O4020" i="16"/>
  <c r="P4019" i="16"/>
  <c r="O4019" i="16"/>
  <c r="P4018" i="16"/>
  <c r="O4018" i="16"/>
  <c r="P4017" i="16"/>
  <c r="O4017" i="16"/>
  <c r="P4016" i="16"/>
  <c r="O4016" i="16"/>
  <c r="P4015" i="16"/>
  <c r="O4015" i="16"/>
  <c r="P4014" i="16"/>
  <c r="O4014" i="16"/>
  <c r="P4013" i="16"/>
  <c r="O4013" i="16"/>
  <c r="P4012" i="16"/>
  <c r="O4012" i="16"/>
  <c r="P4011" i="16"/>
  <c r="O4011" i="16"/>
  <c r="P4010" i="16"/>
  <c r="O4010" i="16"/>
  <c r="P4009" i="16"/>
  <c r="O4009" i="16"/>
  <c r="P4008" i="16"/>
  <c r="O4008" i="16"/>
  <c r="P4007" i="16"/>
  <c r="O4007" i="16"/>
  <c r="P4006" i="16"/>
  <c r="O4006" i="16"/>
  <c r="P4005" i="16"/>
  <c r="O4005" i="16"/>
  <c r="P4004" i="16"/>
  <c r="O4004" i="16"/>
  <c r="P4003" i="16"/>
  <c r="O4003" i="16"/>
  <c r="P4002" i="16"/>
  <c r="O4002" i="16"/>
  <c r="P4001" i="16"/>
  <c r="O4001" i="16"/>
  <c r="P4000" i="16"/>
  <c r="O4000" i="16"/>
  <c r="P3999" i="16"/>
  <c r="O3999" i="16"/>
  <c r="P3998" i="16"/>
  <c r="O3998" i="16"/>
  <c r="P3997" i="16"/>
  <c r="O3997" i="16"/>
  <c r="P3996" i="16"/>
  <c r="O3996" i="16"/>
  <c r="P3995" i="16"/>
  <c r="O3995" i="16"/>
  <c r="P3994" i="16"/>
  <c r="O3994" i="16"/>
  <c r="P3993" i="16"/>
  <c r="O3993" i="16"/>
  <c r="P3992" i="16"/>
  <c r="O3992" i="16"/>
  <c r="P3991" i="16"/>
  <c r="O3991" i="16"/>
  <c r="P3990" i="16"/>
  <c r="O3990" i="16"/>
  <c r="P3989" i="16"/>
  <c r="O3989" i="16"/>
  <c r="P3988" i="16"/>
  <c r="O3988" i="16"/>
  <c r="P3987" i="16"/>
  <c r="O3987" i="16"/>
  <c r="P3986" i="16"/>
  <c r="O3986" i="16"/>
  <c r="P3985" i="16"/>
  <c r="O3985" i="16"/>
  <c r="P3984" i="16"/>
  <c r="O3984" i="16"/>
  <c r="P3983" i="16"/>
  <c r="O3983" i="16"/>
  <c r="P3982" i="16"/>
  <c r="O3982" i="16"/>
  <c r="P3981" i="16"/>
  <c r="O3981" i="16"/>
  <c r="P3980" i="16"/>
  <c r="O3980" i="16"/>
  <c r="P3979" i="16"/>
  <c r="O3979" i="16"/>
  <c r="P3978" i="16"/>
  <c r="O3978" i="16"/>
  <c r="P3977" i="16"/>
  <c r="O3977" i="16"/>
  <c r="P3976" i="16"/>
  <c r="O3976" i="16"/>
  <c r="P3975" i="16"/>
  <c r="O3975" i="16"/>
  <c r="P3974" i="16"/>
  <c r="O3974" i="16"/>
  <c r="P3973" i="16"/>
  <c r="O3973" i="16"/>
  <c r="P3972" i="16"/>
  <c r="O3972" i="16"/>
  <c r="P3971" i="16"/>
  <c r="O3971" i="16"/>
  <c r="P3970" i="16"/>
  <c r="O3970" i="16"/>
  <c r="P3969" i="16"/>
  <c r="O3969" i="16"/>
  <c r="P3968" i="16"/>
  <c r="O3968" i="16"/>
  <c r="P3967" i="16"/>
  <c r="O3967" i="16"/>
  <c r="P3966" i="16"/>
  <c r="O3966" i="16"/>
  <c r="P3965" i="16"/>
  <c r="O3965" i="16"/>
  <c r="P3964" i="16"/>
  <c r="O3964" i="16"/>
  <c r="P3963" i="16"/>
  <c r="O3963" i="16"/>
  <c r="P3962" i="16"/>
  <c r="O3962" i="16"/>
  <c r="P3961" i="16"/>
  <c r="O3961" i="16"/>
  <c r="P3960" i="16"/>
  <c r="O3960" i="16"/>
  <c r="P3959" i="16"/>
  <c r="O3959" i="16"/>
  <c r="P3958" i="16"/>
  <c r="O3958" i="16"/>
  <c r="P3957" i="16"/>
  <c r="O3957" i="16"/>
  <c r="P3956" i="16"/>
  <c r="O3956" i="16"/>
  <c r="P3955" i="16"/>
  <c r="O3955" i="16"/>
  <c r="P3954" i="16"/>
  <c r="O3954" i="16"/>
  <c r="P3953" i="16"/>
  <c r="O3953" i="16"/>
  <c r="P3952" i="16"/>
  <c r="O3952" i="16"/>
  <c r="P3951" i="16"/>
  <c r="O3951" i="16"/>
  <c r="P3950" i="16"/>
  <c r="O3950" i="16"/>
  <c r="P3949" i="16"/>
  <c r="O3949" i="16"/>
  <c r="P3948" i="16"/>
  <c r="O3948" i="16"/>
  <c r="P3947" i="16"/>
  <c r="O3947" i="16"/>
  <c r="P3946" i="16"/>
  <c r="O3946" i="16"/>
  <c r="P3945" i="16"/>
  <c r="O3945" i="16"/>
  <c r="P3944" i="16"/>
  <c r="O3944" i="16"/>
  <c r="P3943" i="16"/>
  <c r="O3943" i="16"/>
  <c r="P3942" i="16"/>
  <c r="O3942" i="16"/>
  <c r="P3941" i="16"/>
  <c r="O3941" i="16"/>
  <c r="P3940" i="16"/>
  <c r="O3940" i="16"/>
  <c r="P3939" i="16"/>
  <c r="O3939" i="16"/>
  <c r="P3938" i="16"/>
  <c r="O3938" i="16"/>
  <c r="P3937" i="16"/>
  <c r="O3937" i="16"/>
  <c r="P3936" i="16"/>
  <c r="O3936" i="16"/>
  <c r="P3935" i="16"/>
  <c r="O3935" i="16"/>
  <c r="P3934" i="16"/>
  <c r="O3934" i="16"/>
  <c r="P3933" i="16"/>
  <c r="O3933" i="16"/>
  <c r="P3932" i="16"/>
  <c r="O3932" i="16"/>
  <c r="P3931" i="16"/>
  <c r="O3931" i="16"/>
  <c r="P3930" i="16"/>
  <c r="O3930" i="16"/>
  <c r="P3929" i="16"/>
  <c r="O3929" i="16"/>
  <c r="P3928" i="16"/>
  <c r="O3928" i="16"/>
  <c r="P3927" i="16"/>
  <c r="O3927" i="16"/>
  <c r="P3926" i="16"/>
  <c r="O3926" i="16"/>
  <c r="P3925" i="16"/>
  <c r="O3925" i="16"/>
  <c r="P3924" i="16"/>
  <c r="O3924" i="16"/>
  <c r="P3923" i="16"/>
  <c r="O3923" i="16"/>
  <c r="P3922" i="16"/>
  <c r="O3922" i="16"/>
  <c r="P3921" i="16"/>
  <c r="O3921" i="16"/>
  <c r="P3920" i="16"/>
  <c r="O3920" i="16"/>
  <c r="P3919" i="16"/>
  <c r="O3919" i="16"/>
  <c r="P3918" i="16"/>
  <c r="O3918" i="16"/>
  <c r="P3917" i="16"/>
  <c r="O3917" i="16"/>
  <c r="P3916" i="16"/>
  <c r="O3916" i="16"/>
  <c r="P3915" i="16"/>
  <c r="O3915" i="16"/>
  <c r="P3914" i="16"/>
  <c r="O3914" i="16"/>
  <c r="P3913" i="16"/>
  <c r="O3913" i="16"/>
  <c r="P3912" i="16"/>
  <c r="O3912" i="16"/>
  <c r="P3911" i="16"/>
  <c r="O3911" i="16"/>
  <c r="P3910" i="16"/>
  <c r="O3910" i="16"/>
  <c r="P3909" i="16"/>
  <c r="O3909" i="16"/>
  <c r="P3908" i="16"/>
  <c r="O3908" i="16"/>
  <c r="P3907" i="16"/>
  <c r="O3907" i="16"/>
  <c r="P3906" i="16"/>
  <c r="O3906" i="16"/>
  <c r="P3905" i="16"/>
  <c r="O3905" i="16"/>
  <c r="P3904" i="16"/>
  <c r="O3904" i="16"/>
  <c r="P3903" i="16"/>
  <c r="O3903" i="16"/>
  <c r="P3902" i="16"/>
  <c r="O3902" i="16"/>
  <c r="P3901" i="16"/>
  <c r="O3901" i="16"/>
  <c r="P3900" i="16"/>
  <c r="O3900" i="16"/>
  <c r="P3899" i="16"/>
  <c r="O3899" i="16"/>
  <c r="P3898" i="16"/>
  <c r="O3898" i="16"/>
  <c r="P3897" i="16"/>
  <c r="O3897" i="16"/>
  <c r="P3896" i="16"/>
  <c r="O3896" i="16"/>
  <c r="P3895" i="16"/>
  <c r="O3895" i="16"/>
  <c r="P3894" i="16"/>
  <c r="O3894" i="16"/>
  <c r="P3893" i="16"/>
  <c r="O3893" i="16"/>
  <c r="P3892" i="16"/>
  <c r="O3892" i="16"/>
  <c r="P3891" i="16"/>
  <c r="O3891" i="16"/>
  <c r="P3890" i="16"/>
  <c r="O3890" i="16"/>
  <c r="P3889" i="16"/>
  <c r="O3889" i="16"/>
  <c r="P3888" i="16"/>
  <c r="O3888" i="16"/>
  <c r="P3887" i="16"/>
  <c r="O3887" i="16"/>
  <c r="P3886" i="16"/>
  <c r="O3886" i="16"/>
  <c r="P3885" i="16"/>
  <c r="O3885" i="16"/>
  <c r="P3884" i="16"/>
  <c r="O3884" i="16"/>
  <c r="P3883" i="16"/>
  <c r="O3883" i="16"/>
  <c r="P3882" i="16"/>
  <c r="O3882" i="16"/>
  <c r="P3881" i="16"/>
  <c r="O3881" i="16"/>
  <c r="P3880" i="16"/>
  <c r="O3880" i="16"/>
  <c r="P3879" i="16"/>
  <c r="O3879" i="16"/>
  <c r="P3878" i="16"/>
  <c r="O3878" i="16"/>
  <c r="P3877" i="16"/>
  <c r="O3877" i="16"/>
  <c r="P3876" i="16"/>
  <c r="O3876" i="16"/>
  <c r="P3875" i="16"/>
  <c r="O3875" i="16"/>
  <c r="P3874" i="16"/>
  <c r="O3874" i="16"/>
  <c r="P3873" i="16"/>
  <c r="O3873" i="16"/>
  <c r="P3872" i="16"/>
  <c r="O3872" i="16"/>
  <c r="P3871" i="16"/>
  <c r="O3871" i="16"/>
  <c r="P3870" i="16"/>
  <c r="O3870" i="16"/>
  <c r="P3869" i="16"/>
  <c r="O3869" i="16"/>
  <c r="P3868" i="16"/>
  <c r="O3868" i="16"/>
  <c r="P3867" i="16"/>
  <c r="O3867" i="16"/>
  <c r="P3866" i="16"/>
  <c r="O3866" i="16"/>
  <c r="P3865" i="16"/>
  <c r="O3865" i="16"/>
  <c r="P3864" i="16"/>
  <c r="O3864" i="16"/>
  <c r="P3863" i="16"/>
  <c r="O3863" i="16"/>
  <c r="P3862" i="16"/>
  <c r="O3862" i="16"/>
  <c r="P3861" i="16"/>
  <c r="O3861" i="16"/>
  <c r="P3860" i="16"/>
  <c r="O3860" i="16"/>
  <c r="P3859" i="16"/>
  <c r="O3859" i="16"/>
  <c r="P3858" i="16"/>
  <c r="O3858" i="16"/>
  <c r="P3857" i="16"/>
  <c r="O3857" i="16"/>
  <c r="P3856" i="16"/>
  <c r="O3856" i="16"/>
  <c r="P3855" i="16"/>
  <c r="O3855" i="16"/>
  <c r="P3854" i="16"/>
  <c r="O3854" i="16"/>
  <c r="P3853" i="16"/>
  <c r="O3853" i="16"/>
  <c r="P3852" i="16"/>
  <c r="O3852" i="16"/>
  <c r="P3851" i="16"/>
  <c r="O3851" i="16"/>
  <c r="P3850" i="16"/>
  <c r="O3850" i="16"/>
  <c r="P3849" i="16"/>
  <c r="O3849" i="16"/>
  <c r="P3848" i="16"/>
  <c r="O3848" i="16"/>
  <c r="P3847" i="16"/>
  <c r="O3847" i="16"/>
  <c r="P3846" i="16"/>
  <c r="O3846" i="16"/>
  <c r="P3845" i="16"/>
  <c r="O3845" i="16"/>
  <c r="P3844" i="16"/>
  <c r="O3844" i="16"/>
  <c r="P3843" i="16"/>
  <c r="O3843" i="16"/>
  <c r="P3842" i="16"/>
  <c r="O3842" i="16"/>
  <c r="P3841" i="16"/>
  <c r="O3841" i="16"/>
  <c r="P3840" i="16"/>
  <c r="O3840" i="16"/>
  <c r="P3839" i="16"/>
  <c r="O3839" i="16"/>
  <c r="P3838" i="16"/>
  <c r="O3838" i="16"/>
  <c r="P3837" i="16"/>
  <c r="O3837" i="16"/>
  <c r="P3836" i="16"/>
  <c r="O3836" i="16"/>
  <c r="P3835" i="16"/>
  <c r="O3835" i="16"/>
  <c r="P3834" i="16"/>
  <c r="O3834" i="16"/>
  <c r="P3833" i="16"/>
  <c r="O3833" i="16"/>
  <c r="P3832" i="16"/>
  <c r="O3832" i="16"/>
  <c r="P3831" i="16"/>
  <c r="O3831" i="16"/>
  <c r="P3830" i="16"/>
  <c r="O3830" i="16"/>
  <c r="P3829" i="16"/>
  <c r="O3829" i="16"/>
  <c r="P3828" i="16"/>
  <c r="O3828" i="16"/>
  <c r="P3827" i="16"/>
  <c r="O3827" i="16"/>
  <c r="P3826" i="16"/>
  <c r="O3826" i="16"/>
  <c r="P3825" i="16"/>
  <c r="O3825" i="16"/>
  <c r="P3824" i="16"/>
  <c r="O3824" i="16"/>
  <c r="P3823" i="16"/>
  <c r="O3823" i="16"/>
  <c r="P3822" i="16"/>
  <c r="O3822" i="16"/>
  <c r="P3821" i="16"/>
  <c r="O3821" i="16"/>
  <c r="P3820" i="16"/>
  <c r="O3820" i="16"/>
  <c r="P3819" i="16"/>
  <c r="O3819" i="16"/>
  <c r="P3818" i="16"/>
  <c r="O3818" i="16"/>
  <c r="P3817" i="16"/>
  <c r="O3817" i="16"/>
  <c r="P3816" i="16"/>
  <c r="O3816" i="16"/>
  <c r="P3815" i="16"/>
  <c r="O3815" i="16"/>
  <c r="P3814" i="16"/>
  <c r="O3814" i="16"/>
  <c r="P3813" i="16"/>
  <c r="O3813" i="16"/>
  <c r="P3812" i="16"/>
  <c r="O3812" i="16"/>
  <c r="P3811" i="16"/>
  <c r="O3811" i="16"/>
  <c r="P3810" i="16"/>
  <c r="O3810" i="16"/>
  <c r="P3809" i="16"/>
  <c r="O3809" i="16"/>
  <c r="P3808" i="16"/>
  <c r="O3808" i="16"/>
  <c r="P3807" i="16"/>
  <c r="O3807" i="16"/>
  <c r="P3806" i="16"/>
  <c r="O3806" i="16"/>
  <c r="P3805" i="16"/>
  <c r="O3805" i="16"/>
  <c r="P3804" i="16"/>
  <c r="O3804" i="16"/>
  <c r="P3803" i="16"/>
  <c r="O3803" i="16"/>
  <c r="P3802" i="16"/>
  <c r="O3802" i="16"/>
  <c r="P3801" i="16"/>
  <c r="O3801" i="16"/>
  <c r="P3800" i="16"/>
  <c r="O3800" i="16"/>
  <c r="P3799" i="16"/>
  <c r="O3799" i="16"/>
  <c r="P3798" i="16"/>
  <c r="O3798" i="16"/>
  <c r="P3797" i="16"/>
  <c r="O3797" i="16"/>
  <c r="P3796" i="16"/>
  <c r="O3796" i="16"/>
  <c r="P3795" i="16"/>
  <c r="O3795" i="16"/>
  <c r="P3794" i="16"/>
  <c r="O3794" i="16"/>
  <c r="P3793" i="16"/>
  <c r="O3793" i="16"/>
  <c r="P3792" i="16"/>
  <c r="O3792" i="16"/>
  <c r="P3791" i="16"/>
  <c r="O3791" i="16"/>
  <c r="P3790" i="16"/>
  <c r="O3790" i="16"/>
  <c r="P3789" i="16"/>
  <c r="O3789" i="16"/>
  <c r="P3788" i="16"/>
  <c r="O3788" i="16"/>
  <c r="P3787" i="16"/>
  <c r="O3787" i="16"/>
  <c r="P3786" i="16"/>
  <c r="O3786" i="16"/>
  <c r="P3785" i="16"/>
  <c r="O3785" i="16"/>
  <c r="P3784" i="16"/>
  <c r="O3784" i="16"/>
  <c r="P3783" i="16"/>
  <c r="O3783" i="16"/>
  <c r="P3782" i="16"/>
  <c r="O3782" i="16"/>
  <c r="P3781" i="16"/>
  <c r="O3781" i="16"/>
  <c r="P3780" i="16"/>
  <c r="O3780" i="16"/>
  <c r="P3779" i="16"/>
  <c r="O3779" i="16"/>
  <c r="P3778" i="16"/>
  <c r="O3778" i="16"/>
  <c r="P3777" i="16"/>
  <c r="O3777" i="16"/>
  <c r="P3776" i="16"/>
  <c r="O3776" i="16"/>
  <c r="P3775" i="16"/>
  <c r="O3775" i="16"/>
  <c r="P3774" i="16"/>
  <c r="O3774" i="16"/>
  <c r="P3773" i="16"/>
  <c r="O3773" i="16"/>
  <c r="P3772" i="16"/>
  <c r="O3772" i="16"/>
  <c r="P3771" i="16"/>
  <c r="O3771" i="16"/>
  <c r="P3770" i="16"/>
  <c r="O3770" i="16"/>
  <c r="P3769" i="16"/>
  <c r="O3769" i="16"/>
  <c r="P3768" i="16"/>
  <c r="O3768" i="16"/>
  <c r="P3767" i="16"/>
  <c r="O3767" i="16"/>
  <c r="P3766" i="16"/>
  <c r="O3766" i="16"/>
  <c r="P3765" i="16"/>
  <c r="O3765" i="16"/>
  <c r="P3764" i="16"/>
  <c r="O3764" i="16"/>
  <c r="P3763" i="16"/>
  <c r="O3763" i="16"/>
  <c r="P3762" i="16"/>
  <c r="O3762" i="16"/>
  <c r="P3761" i="16"/>
  <c r="O3761" i="16"/>
  <c r="P3760" i="16"/>
  <c r="O3760" i="16"/>
  <c r="P3759" i="16"/>
  <c r="O3759" i="16"/>
  <c r="P3758" i="16"/>
  <c r="O3758" i="16"/>
  <c r="P3757" i="16"/>
  <c r="O3757" i="16"/>
  <c r="P3756" i="16"/>
  <c r="O3756" i="16"/>
  <c r="P3755" i="16"/>
  <c r="O3755" i="16"/>
  <c r="P3754" i="16"/>
  <c r="O3754" i="16"/>
  <c r="P3753" i="16"/>
  <c r="O3753" i="16"/>
  <c r="P3752" i="16"/>
  <c r="O3752" i="16"/>
  <c r="P3751" i="16"/>
  <c r="O3751" i="16"/>
  <c r="P3750" i="16"/>
  <c r="O3750" i="16"/>
  <c r="P3749" i="16"/>
  <c r="O3749" i="16"/>
  <c r="P3748" i="16"/>
  <c r="O3748" i="16"/>
  <c r="P3747" i="16"/>
  <c r="O3747" i="16"/>
  <c r="P3746" i="16"/>
  <c r="O3746" i="16"/>
  <c r="P3745" i="16"/>
  <c r="O3745" i="16"/>
  <c r="P3744" i="16"/>
  <c r="O3744" i="16"/>
  <c r="P3743" i="16"/>
  <c r="O3743" i="16"/>
  <c r="P3742" i="16"/>
  <c r="O3742" i="16"/>
  <c r="P3741" i="16"/>
  <c r="O3741" i="16"/>
  <c r="P3740" i="16"/>
  <c r="O3740" i="16"/>
  <c r="P3739" i="16"/>
  <c r="O3739" i="16"/>
  <c r="P3738" i="16"/>
  <c r="O3738" i="16"/>
  <c r="P3737" i="16"/>
  <c r="O3737" i="16"/>
  <c r="P3736" i="16"/>
  <c r="O3736" i="16"/>
  <c r="P3735" i="16"/>
  <c r="O3735" i="16"/>
  <c r="P3734" i="16"/>
  <c r="O3734" i="16"/>
  <c r="P3733" i="16"/>
  <c r="O3733" i="16"/>
  <c r="P3732" i="16"/>
  <c r="O3732" i="16"/>
  <c r="P3731" i="16"/>
  <c r="O3731" i="16"/>
  <c r="P3730" i="16"/>
  <c r="O3730" i="16"/>
  <c r="P3729" i="16"/>
  <c r="O3729" i="16"/>
  <c r="P3728" i="16"/>
  <c r="O3728" i="16"/>
  <c r="P3727" i="16"/>
  <c r="O3727" i="16"/>
  <c r="P3726" i="16"/>
  <c r="O3726" i="16"/>
  <c r="P3725" i="16"/>
  <c r="O3725" i="16"/>
  <c r="P3724" i="16"/>
  <c r="O3724" i="16"/>
  <c r="P3723" i="16"/>
  <c r="O3723" i="16"/>
  <c r="P3722" i="16"/>
  <c r="O3722" i="16"/>
  <c r="P3721" i="16"/>
  <c r="O3721" i="16"/>
  <c r="P3720" i="16"/>
  <c r="O3720" i="16"/>
  <c r="P3719" i="16"/>
  <c r="O3719" i="16"/>
  <c r="P3718" i="16"/>
  <c r="O3718" i="16"/>
  <c r="P3717" i="16"/>
  <c r="O3717" i="16"/>
  <c r="P3716" i="16"/>
  <c r="O3716" i="16"/>
  <c r="P3715" i="16"/>
  <c r="O3715" i="16"/>
  <c r="P3714" i="16"/>
  <c r="O3714" i="16"/>
  <c r="P3713" i="16"/>
  <c r="O3713" i="16"/>
  <c r="P3712" i="16"/>
  <c r="O3712" i="16"/>
  <c r="P3711" i="16"/>
  <c r="O3711" i="16"/>
  <c r="P3710" i="16"/>
  <c r="O3710" i="16"/>
  <c r="P3709" i="16"/>
  <c r="O3709" i="16"/>
  <c r="P3708" i="16"/>
  <c r="O3708" i="16"/>
  <c r="P3707" i="16"/>
  <c r="O3707" i="16"/>
  <c r="P3706" i="16"/>
  <c r="O3706" i="16"/>
  <c r="P3705" i="16"/>
  <c r="O3705" i="16"/>
  <c r="P3704" i="16"/>
  <c r="O3704" i="16"/>
  <c r="P3703" i="16"/>
  <c r="O3703" i="16"/>
  <c r="P3702" i="16"/>
  <c r="O3702" i="16"/>
  <c r="P3701" i="16"/>
  <c r="O3701" i="16"/>
  <c r="P3700" i="16"/>
  <c r="O3700" i="16"/>
  <c r="P3699" i="16"/>
  <c r="O3699" i="16"/>
  <c r="P3698" i="16"/>
  <c r="O3698" i="16"/>
  <c r="P3697" i="16"/>
  <c r="O3697" i="16"/>
  <c r="P3696" i="16"/>
  <c r="O3696" i="16"/>
  <c r="P3695" i="16"/>
  <c r="O3695" i="16"/>
  <c r="P3694" i="16"/>
  <c r="O3694" i="16"/>
  <c r="P3693" i="16"/>
  <c r="O3693" i="16"/>
  <c r="P3692" i="16"/>
  <c r="O3692" i="16"/>
  <c r="P3691" i="16"/>
  <c r="O3691" i="16"/>
  <c r="P3690" i="16"/>
  <c r="O3690" i="16"/>
  <c r="P3689" i="16"/>
  <c r="O3689" i="16"/>
  <c r="P3688" i="16"/>
  <c r="O3688" i="16"/>
  <c r="P3687" i="16"/>
  <c r="O3687" i="16"/>
  <c r="P3686" i="16"/>
  <c r="O3686" i="16"/>
  <c r="P3685" i="16"/>
  <c r="O3685" i="16"/>
  <c r="P3684" i="16"/>
  <c r="O3684" i="16"/>
  <c r="P3683" i="16"/>
  <c r="O3683" i="16"/>
  <c r="P3682" i="16"/>
  <c r="O3682" i="16"/>
  <c r="P3681" i="16"/>
  <c r="O3681" i="16"/>
  <c r="P3680" i="16"/>
  <c r="O3680" i="16"/>
  <c r="P3679" i="16"/>
  <c r="O3679" i="16"/>
  <c r="P3678" i="16"/>
  <c r="O3678" i="16"/>
  <c r="P3677" i="16"/>
  <c r="O3677" i="16"/>
  <c r="P3676" i="16"/>
  <c r="O3676" i="16"/>
  <c r="P3675" i="16"/>
  <c r="O3675" i="16"/>
  <c r="P3674" i="16"/>
  <c r="O3674" i="16"/>
  <c r="P3673" i="16"/>
  <c r="O3673" i="16"/>
  <c r="P3672" i="16"/>
  <c r="O3672" i="16"/>
  <c r="P3671" i="16"/>
  <c r="O3671" i="16"/>
  <c r="P3670" i="16"/>
  <c r="O3670" i="16"/>
  <c r="P3669" i="16"/>
  <c r="O3669" i="16"/>
  <c r="P3668" i="16"/>
  <c r="O3668" i="16"/>
  <c r="P3667" i="16"/>
  <c r="O3667" i="16"/>
  <c r="P3666" i="16"/>
  <c r="O3666" i="16"/>
  <c r="P3665" i="16"/>
  <c r="O3665" i="16"/>
  <c r="P3664" i="16"/>
  <c r="O3664" i="16"/>
  <c r="P3663" i="16"/>
  <c r="O3663" i="16"/>
  <c r="P3662" i="16"/>
  <c r="O3662" i="16"/>
  <c r="P3661" i="16"/>
  <c r="O3661" i="16"/>
  <c r="P3660" i="16"/>
  <c r="O3660" i="16"/>
  <c r="P3659" i="16"/>
  <c r="O3659" i="16"/>
  <c r="P3658" i="16"/>
  <c r="O3658" i="16"/>
  <c r="P3657" i="16"/>
  <c r="O3657" i="16"/>
  <c r="P3656" i="16"/>
  <c r="O3656" i="16"/>
  <c r="P3655" i="16"/>
  <c r="O3655" i="16"/>
  <c r="P3654" i="16"/>
  <c r="O3654" i="16"/>
  <c r="P3653" i="16"/>
  <c r="O3653" i="16"/>
  <c r="P3652" i="16"/>
  <c r="O3652" i="16"/>
  <c r="P3651" i="16"/>
  <c r="O3651" i="16"/>
  <c r="P3650" i="16"/>
  <c r="O3650" i="16"/>
  <c r="P3649" i="16"/>
  <c r="O3649" i="16"/>
  <c r="P3648" i="16"/>
  <c r="O3648" i="16"/>
  <c r="P3647" i="16"/>
  <c r="O3647" i="16"/>
  <c r="P3646" i="16"/>
  <c r="O3646" i="16"/>
  <c r="P3645" i="16"/>
  <c r="O3645" i="16"/>
  <c r="P3644" i="16"/>
  <c r="O3644" i="16"/>
  <c r="P3643" i="16"/>
  <c r="O3643" i="16"/>
  <c r="P3642" i="16"/>
  <c r="O3642" i="16"/>
  <c r="P3641" i="16"/>
  <c r="O3641" i="16"/>
  <c r="P3640" i="16"/>
  <c r="O3640" i="16"/>
  <c r="P3639" i="16"/>
  <c r="O3639" i="16"/>
  <c r="P3638" i="16"/>
  <c r="O3638" i="16"/>
  <c r="P3637" i="16"/>
  <c r="O3637" i="16"/>
  <c r="P3636" i="16"/>
  <c r="O3636" i="16"/>
  <c r="P3635" i="16"/>
  <c r="O3635" i="16"/>
  <c r="P3634" i="16"/>
  <c r="O3634" i="16"/>
  <c r="P3633" i="16"/>
  <c r="O3633" i="16"/>
  <c r="P3632" i="16"/>
  <c r="O3632" i="16"/>
  <c r="P3631" i="16"/>
  <c r="O3631" i="16"/>
  <c r="P3630" i="16"/>
  <c r="O3630" i="16"/>
  <c r="P3629" i="16"/>
  <c r="O3629" i="16"/>
  <c r="P3628" i="16"/>
  <c r="O3628" i="16"/>
  <c r="P3627" i="16"/>
  <c r="O3627" i="16"/>
  <c r="P3626" i="16"/>
  <c r="O3626" i="16"/>
  <c r="P3625" i="16"/>
  <c r="O3625" i="16"/>
  <c r="P3624" i="16"/>
  <c r="O3624" i="16"/>
  <c r="P3623" i="16"/>
  <c r="O3623" i="16"/>
  <c r="P3622" i="16"/>
  <c r="O3622" i="16"/>
  <c r="P3621" i="16"/>
  <c r="O3621" i="16"/>
  <c r="P3620" i="16"/>
  <c r="O3620" i="16"/>
  <c r="P3619" i="16"/>
  <c r="O3619" i="16"/>
  <c r="P3618" i="16"/>
  <c r="O3618" i="16"/>
  <c r="P3617" i="16"/>
  <c r="O3617" i="16"/>
  <c r="P3616" i="16"/>
  <c r="O3616" i="16"/>
  <c r="P3615" i="16"/>
  <c r="O3615" i="16"/>
  <c r="P3614" i="16"/>
  <c r="O3614" i="16"/>
  <c r="P3613" i="16"/>
  <c r="O3613" i="16"/>
  <c r="P3612" i="16"/>
  <c r="O3612" i="16"/>
  <c r="P3611" i="16"/>
  <c r="O3611" i="16"/>
  <c r="P3610" i="16"/>
  <c r="O3610" i="16"/>
  <c r="P3609" i="16"/>
  <c r="O3609" i="16"/>
  <c r="P3608" i="16"/>
  <c r="O3608" i="16"/>
  <c r="P3607" i="16"/>
  <c r="O3607" i="16"/>
  <c r="P3606" i="16"/>
  <c r="O3606" i="16"/>
  <c r="P3605" i="16"/>
  <c r="O3605" i="16"/>
  <c r="P3604" i="16"/>
  <c r="O3604" i="16"/>
  <c r="P3603" i="16"/>
  <c r="O3603" i="16"/>
  <c r="P3602" i="16"/>
  <c r="O3602" i="16"/>
  <c r="P3601" i="16"/>
  <c r="O3601" i="16"/>
  <c r="P3600" i="16"/>
  <c r="O3600" i="16"/>
  <c r="P3599" i="16"/>
  <c r="O3599" i="16"/>
  <c r="P3598" i="16"/>
  <c r="O3598" i="16"/>
  <c r="P3597" i="16"/>
  <c r="O3597" i="16"/>
  <c r="P3596" i="16"/>
  <c r="O3596" i="16"/>
  <c r="P3595" i="16"/>
  <c r="O3595" i="16"/>
  <c r="P3594" i="16"/>
  <c r="O3594" i="16"/>
  <c r="P3593" i="16"/>
  <c r="O3593" i="16"/>
  <c r="P3592" i="16"/>
  <c r="O3592" i="16"/>
  <c r="P3591" i="16"/>
  <c r="O3591" i="16"/>
  <c r="P3590" i="16"/>
  <c r="O3590" i="16"/>
  <c r="P3589" i="16"/>
  <c r="O3589" i="16"/>
  <c r="P3588" i="16"/>
  <c r="O3588" i="16"/>
  <c r="P3587" i="16"/>
  <c r="O3587" i="16"/>
  <c r="P3586" i="16"/>
  <c r="O3586" i="16"/>
  <c r="P3585" i="16"/>
  <c r="O3585" i="16"/>
  <c r="P3584" i="16"/>
  <c r="O3584" i="16"/>
  <c r="P3583" i="16"/>
  <c r="O3583" i="16"/>
  <c r="P3582" i="16"/>
  <c r="O3582" i="16"/>
  <c r="P3581" i="16"/>
  <c r="O3581" i="16"/>
  <c r="P3580" i="16"/>
  <c r="O3580" i="16"/>
  <c r="P3579" i="16"/>
  <c r="O3579" i="16"/>
  <c r="P3578" i="16"/>
  <c r="O3578" i="16"/>
  <c r="P3577" i="16"/>
  <c r="O3577" i="16"/>
  <c r="P3576" i="16"/>
  <c r="O3576" i="16"/>
  <c r="P3575" i="16"/>
  <c r="O3575" i="16"/>
  <c r="P3574" i="16"/>
  <c r="O3574" i="16"/>
  <c r="P3573" i="16"/>
  <c r="O3573" i="16"/>
  <c r="P3572" i="16"/>
  <c r="O3572" i="16"/>
  <c r="P3571" i="16"/>
  <c r="O3571" i="16"/>
  <c r="P3570" i="16"/>
  <c r="O3570" i="16"/>
  <c r="P3569" i="16"/>
  <c r="O3569" i="16"/>
  <c r="P3568" i="16"/>
  <c r="O3568" i="16"/>
  <c r="P3567" i="16"/>
  <c r="O3567" i="16"/>
  <c r="P3566" i="16"/>
  <c r="O3566" i="16"/>
  <c r="P3565" i="16"/>
  <c r="O3565" i="16"/>
  <c r="P3564" i="16"/>
  <c r="O3564" i="16"/>
  <c r="P3563" i="16"/>
  <c r="O3563" i="16"/>
  <c r="P3562" i="16"/>
  <c r="O3562" i="16"/>
  <c r="P3561" i="16"/>
  <c r="O3561" i="16"/>
  <c r="P3560" i="16"/>
  <c r="O3560" i="16"/>
  <c r="P3559" i="16"/>
  <c r="O3559" i="16"/>
  <c r="P3558" i="16"/>
  <c r="O3558" i="16"/>
  <c r="P3557" i="16"/>
  <c r="O3557" i="16"/>
  <c r="P3556" i="16"/>
  <c r="O3556" i="16"/>
  <c r="P3555" i="16"/>
  <c r="O3555" i="16"/>
  <c r="P3554" i="16"/>
  <c r="O3554" i="16"/>
  <c r="P3553" i="16"/>
  <c r="O3553" i="16"/>
  <c r="P3552" i="16"/>
  <c r="O3552" i="16"/>
  <c r="P3551" i="16"/>
  <c r="O3551" i="16"/>
  <c r="P3550" i="16"/>
  <c r="O3550" i="16"/>
  <c r="P3549" i="16"/>
  <c r="O3549" i="16"/>
  <c r="P3548" i="16"/>
  <c r="O3548" i="16"/>
  <c r="P3547" i="16"/>
  <c r="O3547" i="16"/>
  <c r="P3546" i="16"/>
  <c r="O3546" i="16"/>
  <c r="P3545" i="16"/>
  <c r="O3545" i="16"/>
  <c r="P3544" i="16"/>
  <c r="O3544" i="16"/>
  <c r="P3543" i="16"/>
  <c r="O3543" i="16"/>
  <c r="P3542" i="16"/>
  <c r="O3542" i="16"/>
  <c r="P3541" i="16"/>
  <c r="O3541" i="16"/>
  <c r="P3540" i="16"/>
  <c r="O3540" i="16"/>
  <c r="P3539" i="16"/>
  <c r="O3539" i="16"/>
  <c r="P3538" i="16"/>
  <c r="O3538" i="16"/>
  <c r="P3537" i="16"/>
  <c r="O3537" i="16"/>
  <c r="P3536" i="16"/>
  <c r="O3536" i="16"/>
  <c r="P3535" i="16"/>
  <c r="O3535" i="16"/>
  <c r="P3534" i="16"/>
  <c r="O3534" i="16"/>
  <c r="P3533" i="16"/>
  <c r="O3533" i="16"/>
  <c r="P3532" i="16"/>
  <c r="O3532" i="16"/>
  <c r="P3531" i="16"/>
  <c r="O3531" i="16"/>
  <c r="P3530" i="16"/>
  <c r="O3530" i="16"/>
  <c r="P3529" i="16"/>
  <c r="O3529" i="16"/>
  <c r="P3528" i="16"/>
  <c r="O3528" i="16"/>
  <c r="P3527" i="16"/>
  <c r="O3527" i="16"/>
  <c r="P3526" i="16"/>
  <c r="O3526" i="16"/>
  <c r="P3525" i="16"/>
  <c r="O3525" i="16"/>
  <c r="P3524" i="16"/>
  <c r="O3524" i="16"/>
  <c r="P3523" i="16"/>
  <c r="O3523" i="16"/>
  <c r="P3522" i="16"/>
  <c r="O3522" i="16"/>
  <c r="P3521" i="16"/>
  <c r="O3521" i="16"/>
  <c r="P3520" i="16"/>
  <c r="O3520" i="16"/>
  <c r="P3519" i="16"/>
  <c r="O3519" i="16"/>
  <c r="P3518" i="16"/>
  <c r="O3518" i="16"/>
  <c r="P3517" i="16"/>
  <c r="O3517" i="16"/>
  <c r="P3516" i="16"/>
  <c r="O3516" i="16"/>
  <c r="P3515" i="16"/>
  <c r="O3515" i="16"/>
  <c r="P3514" i="16"/>
  <c r="O3514" i="16"/>
  <c r="P3513" i="16"/>
  <c r="O3513" i="16"/>
  <c r="P3512" i="16"/>
  <c r="O3512" i="16"/>
  <c r="P3511" i="16"/>
  <c r="O3511" i="16"/>
  <c r="P3510" i="16"/>
  <c r="O3510" i="16"/>
  <c r="P3509" i="16"/>
  <c r="O3509" i="16"/>
  <c r="P3508" i="16"/>
  <c r="O3508" i="16"/>
  <c r="P3507" i="16"/>
  <c r="O3507" i="16"/>
  <c r="P3506" i="16"/>
  <c r="O3506" i="16"/>
  <c r="P3505" i="16"/>
  <c r="O3505" i="16"/>
  <c r="P3504" i="16"/>
  <c r="O3504" i="16"/>
  <c r="P3503" i="16"/>
  <c r="O3503" i="16"/>
  <c r="P3502" i="16"/>
  <c r="O3502" i="16"/>
  <c r="P3501" i="16"/>
  <c r="O3501" i="16"/>
  <c r="P3500" i="16"/>
  <c r="O3500" i="16"/>
  <c r="P3499" i="16"/>
  <c r="O3499" i="16"/>
  <c r="P3498" i="16"/>
  <c r="O3498" i="16"/>
  <c r="P3497" i="16"/>
  <c r="O3497" i="16"/>
  <c r="P3496" i="16"/>
  <c r="O3496" i="16"/>
  <c r="P3495" i="16"/>
  <c r="O3495" i="16"/>
  <c r="P3494" i="16"/>
  <c r="O3494" i="16"/>
  <c r="P3493" i="16"/>
  <c r="O3493" i="16"/>
  <c r="P3492" i="16"/>
  <c r="O3492" i="16"/>
  <c r="P3491" i="16"/>
  <c r="O3491" i="16"/>
  <c r="P3490" i="16"/>
  <c r="O3490" i="16"/>
  <c r="P3489" i="16"/>
  <c r="O3489" i="16"/>
  <c r="P3488" i="16"/>
  <c r="O3488" i="16"/>
  <c r="P3487" i="16"/>
  <c r="O3487" i="16"/>
  <c r="P3486" i="16"/>
  <c r="O3486" i="16"/>
  <c r="P3485" i="16"/>
  <c r="O3485" i="16"/>
  <c r="P3484" i="16"/>
  <c r="O3484" i="16"/>
  <c r="P3483" i="16"/>
  <c r="O3483" i="16"/>
  <c r="P3482" i="16"/>
  <c r="O3482" i="16"/>
  <c r="P3481" i="16"/>
  <c r="O3481" i="16"/>
  <c r="P3480" i="16"/>
  <c r="O3480" i="16"/>
  <c r="P3479" i="16"/>
  <c r="O3479" i="16"/>
  <c r="P3478" i="16"/>
  <c r="O3478" i="16"/>
  <c r="P3477" i="16"/>
  <c r="O3477" i="16"/>
  <c r="P3476" i="16"/>
  <c r="O3476" i="16"/>
  <c r="P3475" i="16"/>
  <c r="O3475" i="16"/>
  <c r="P3474" i="16"/>
  <c r="O3474" i="16"/>
  <c r="P3473" i="16"/>
  <c r="O3473" i="16"/>
  <c r="P3472" i="16"/>
  <c r="O3472" i="16"/>
  <c r="P3471" i="16"/>
  <c r="O3471" i="16"/>
  <c r="P3470" i="16"/>
  <c r="O3470" i="16"/>
  <c r="P3469" i="16"/>
  <c r="O3469" i="16"/>
  <c r="P3468" i="16"/>
  <c r="O3468" i="16"/>
  <c r="P3467" i="16"/>
  <c r="O3467" i="16"/>
  <c r="P3466" i="16"/>
  <c r="O3466" i="16"/>
  <c r="P3465" i="16"/>
  <c r="O3465" i="16"/>
  <c r="P3464" i="16"/>
  <c r="O3464" i="16"/>
  <c r="P3463" i="16"/>
  <c r="O3463" i="16"/>
  <c r="P3462" i="16"/>
  <c r="O3462" i="16"/>
  <c r="P3461" i="16"/>
  <c r="O3461" i="16"/>
  <c r="P3460" i="16"/>
  <c r="O3460" i="16"/>
  <c r="P3459" i="16"/>
  <c r="O3459" i="16"/>
  <c r="P3458" i="16"/>
  <c r="O3458" i="16"/>
  <c r="P3457" i="16"/>
  <c r="O3457" i="16"/>
  <c r="P3456" i="16"/>
  <c r="O3456" i="16"/>
  <c r="P3455" i="16"/>
  <c r="O3455" i="16"/>
  <c r="P3454" i="16"/>
  <c r="O3454" i="16"/>
  <c r="P3453" i="16"/>
  <c r="O3453" i="16"/>
  <c r="P3452" i="16"/>
  <c r="O3452" i="16"/>
  <c r="P3451" i="16"/>
  <c r="O3451" i="16"/>
  <c r="P3450" i="16"/>
  <c r="O3450" i="16"/>
  <c r="P3449" i="16"/>
  <c r="O3449" i="16"/>
  <c r="P3448" i="16"/>
  <c r="O3448" i="16"/>
  <c r="P3447" i="16"/>
  <c r="O3447" i="16"/>
  <c r="P3446" i="16"/>
  <c r="O3446" i="16"/>
  <c r="P3445" i="16"/>
  <c r="O3445" i="16"/>
  <c r="P3444" i="16"/>
  <c r="O3444" i="16"/>
  <c r="P3443" i="16"/>
  <c r="O3443" i="16"/>
  <c r="P3442" i="16"/>
  <c r="O3442" i="16"/>
  <c r="P3441" i="16"/>
  <c r="O3441" i="16"/>
  <c r="P3440" i="16"/>
  <c r="O3440" i="16"/>
  <c r="P3439" i="16"/>
  <c r="O3439" i="16"/>
  <c r="P3438" i="16"/>
  <c r="O3438" i="16"/>
  <c r="P3437" i="16"/>
  <c r="O3437" i="16"/>
  <c r="P3436" i="16"/>
  <c r="O3436" i="16"/>
  <c r="P3435" i="16"/>
  <c r="O3435" i="16"/>
  <c r="P3434" i="16"/>
  <c r="O3434" i="16"/>
  <c r="P3433" i="16"/>
  <c r="O3433" i="16"/>
  <c r="P3432" i="16"/>
  <c r="O3432" i="16"/>
  <c r="P3431" i="16"/>
  <c r="O3431" i="16"/>
  <c r="P3430" i="16"/>
  <c r="O3430" i="16"/>
  <c r="P3429" i="16"/>
  <c r="O3429" i="16"/>
  <c r="P3428" i="16"/>
  <c r="O3428" i="16"/>
  <c r="P3427" i="16"/>
  <c r="O3427" i="16"/>
  <c r="P3426" i="16"/>
  <c r="O3426" i="16"/>
  <c r="P3425" i="16"/>
  <c r="O3425" i="16"/>
  <c r="P3424" i="16"/>
  <c r="O3424" i="16"/>
  <c r="P3423" i="16"/>
  <c r="O3423" i="16"/>
  <c r="P3422" i="16"/>
  <c r="O3422" i="16"/>
  <c r="P3421" i="16"/>
  <c r="O3421" i="16"/>
  <c r="P3420" i="16"/>
  <c r="O3420" i="16"/>
  <c r="P3419" i="16"/>
  <c r="O3419" i="16"/>
  <c r="P3418" i="16"/>
  <c r="O3418" i="16"/>
  <c r="P3417" i="16"/>
  <c r="O3417" i="16"/>
  <c r="P3416" i="16"/>
  <c r="O3416" i="16"/>
  <c r="P3415" i="16"/>
  <c r="O3415" i="16"/>
  <c r="P3414" i="16"/>
  <c r="O3414" i="16"/>
  <c r="P3413" i="16"/>
  <c r="O3413" i="16"/>
  <c r="P3412" i="16"/>
  <c r="O3412" i="16"/>
  <c r="P3411" i="16"/>
  <c r="O3411" i="16"/>
  <c r="P3410" i="16"/>
  <c r="O3410" i="16"/>
  <c r="P3409" i="16"/>
  <c r="O3409" i="16"/>
  <c r="P3408" i="16"/>
  <c r="O3408" i="16"/>
  <c r="P3407" i="16"/>
  <c r="O3407" i="16"/>
  <c r="P3406" i="16"/>
  <c r="O3406" i="16"/>
  <c r="P3405" i="16"/>
  <c r="O3405" i="16"/>
  <c r="P3404" i="16"/>
  <c r="O3404" i="16"/>
  <c r="P3403" i="16"/>
  <c r="O3403" i="16"/>
  <c r="P3402" i="16"/>
  <c r="O3402" i="16"/>
  <c r="P3401" i="16"/>
  <c r="O3401" i="16"/>
  <c r="P3400" i="16"/>
  <c r="O3400" i="16"/>
  <c r="P3399" i="16"/>
  <c r="O3399" i="16"/>
  <c r="P3398" i="16"/>
  <c r="O3398" i="16"/>
  <c r="P3397" i="16"/>
  <c r="O3397" i="16"/>
  <c r="P3396" i="16"/>
  <c r="O3396" i="16"/>
  <c r="P3395" i="16"/>
  <c r="O3395" i="16"/>
  <c r="P3394" i="16"/>
  <c r="O3394" i="16"/>
  <c r="P3393" i="16"/>
  <c r="O3393" i="16"/>
  <c r="P3392" i="16"/>
  <c r="O3392" i="16"/>
  <c r="P3391" i="16"/>
  <c r="O3391" i="16"/>
  <c r="P3390" i="16"/>
  <c r="O3390" i="16"/>
  <c r="P3389" i="16"/>
  <c r="O3389" i="16"/>
  <c r="P3388" i="16"/>
  <c r="O3388" i="16"/>
  <c r="P3387" i="16"/>
  <c r="O3387" i="16"/>
  <c r="P3386" i="16"/>
  <c r="O3386" i="16"/>
  <c r="P3385" i="16"/>
  <c r="O3385" i="16"/>
  <c r="P3384" i="16"/>
  <c r="O3384" i="16"/>
  <c r="P3383" i="16"/>
  <c r="O3383" i="16"/>
  <c r="P3382" i="16"/>
  <c r="O3382" i="16"/>
  <c r="P3381" i="16"/>
  <c r="O3381" i="16"/>
  <c r="P3380" i="16"/>
  <c r="O3380" i="16"/>
  <c r="P3379" i="16"/>
  <c r="O3379" i="16"/>
  <c r="P3378" i="16"/>
  <c r="O3378" i="16"/>
  <c r="P3377" i="16"/>
  <c r="O3377" i="16"/>
  <c r="P3376" i="16"/>
  <c r="O3376" i="16"/>
  <c r="P3375" i="16"/>
  <c r="O3375" i="16"/>
  <c r="P3374" i="16"/>
  <c r="O3374" i="16"/>
  <c r="P3373" i="16"/>
  <c r="O3373" i="16"/>
  <c r="P3372" i="16"/>
  <c r="O3372" i="16"/>
  <c r="P3371" i="16"/>
  <c r="O3371" i="16"/>
  <c r="P3370" i="16"/>
  <c r="O3370" i="16"/>
  <c r="P3369" i="16"/>
  <c r="O3369" i="16"/>
  <c r="P3368" i="16"/>
  <c r="O3368" i="16"/>
  <c r="P3367" i="16"/>
  <c r="O3367" i="16"/>
  <c r="P3366" i="16"/>
  <c r="O3366" i="16"/>
  <c r="P3365" i="16"/>
  <c r="O3365" i="16"/>
  <c r="P3364" i="16"/>
  <c r="O3364" i="16"/>
  <c r="P3363" i="16"/>
  <c r="O3363" i="16"/>
  <c r="P3362" i="16"/>
  <c r="O3362" i="16"/>
  <c r="P3361" i="16"/>
  <c r="O3361" i="16"/>
  <c r="P3360" i="16"/>
  <c r="O3360" i="16"/>
  <c r="P3359" i="16"/>
  <c r="O3359" i="16"/>
  <c r="P3358" i="16"/>
  <c r="O3358" i="16"/>
  <c r="P3357" i="16"/>
  <c r="O3357" i="16"/>
  <c r="P3356" i="16"/>
  <c r="O3356" i="16"/>
  <c r="P3355" i="16"/>
  <c r="O3355" i="16"/>
  <c r="P3354" i="16"/>
  <c r="O3354" i="16"/>
  <c r="P3353" i="16"/>
  <c r="O3353" i="16"/>
  <c r="P3352" i="16"/>
  <c r="O3352" i="16"/>
  <c r="P3351" i="16"/>
  <c r="O3351" i="16"/>
  <c r="P3350" i="16"/>
  <c r="O3350" i="16"/>
  <c r="P3349" i="16"/>
  <c r="O3349" i="16"/>
  <c r="P3348" i="16"/>
  <c r="O3348" i="16"/>
  <c r="P3347" i="16"/>
  <c r="O3347" i="16"/>
  <c r="P3346" i="16"/>
  <c r="O3346" i="16"/>
  <c r="P3345" i="16"/>
  <c r="O3345" i="16"/>
  <c r="P3344" i="16"/>
  <c r="O3344" i="16"/>
  <c r="P3343" i="16"/>
  <c r="O3343" i="16"/>
  <c r="P3342" i="16"/>
  <c r="O3342" i="16"/>
  <c r="P3341" i="16"/>
  <c r="O3341" i="16"/>
  <c r="P3340" i="16"/>
  <c r="O3340" i="16"/>
  <c r="P3339" i="16"/>
  <c r="O3339" i="16"/>
  <c r="P3338" i="16"/>
  <c r="O3338" i="16"/>
  <c r="P3337" i="16"/>
  <c r="O3337" i="16"/>
  <c r="P3336" i="16"/>
  <c r="O3336" i="16"/>
  <c r="P3335" i="16"/>
  <c r="O3335" i="16"/>
  <c r="P3334" i="16"/>
  <c r="O3334" i="16"/>
  <c r="P3333" i="16"/>
  <c r="O3333" i="16"/>
  <c r="P3332" i="16"/>
  <c r="O3332" i="16"/>
  <c r="P3331" i="16"/>
  <c r="O3331" i="16"/>
  <c r="P3330" i="16"/>
  <c r="O3330" i="16"/>
  <c r="P3329" i="16"/>
  <c r="O3329" i="16"/>
  <c r="P3328" i="16"/>
  <c r="O3328" i="16"/>
  <c r="P3327" i="16"/>
  <c r="O3327" i="16"/>
  <c r="P3326" i="16"/>
  <c r="O3326" i="16"/>
  <c r="P3325" i="16"/>
  <c r="O3325" i="16"/>
  <c r="P3324" i="16"/>
  <c r="O3324" i="16"/>
  <c r="P3323" i="16"/>
  <c r="O3323" i="16"/>
  <c r="P3322" i="16"/>
  <c r="O3322" i="16"/>
  <c r="P3321" i="16"/>
  <c r="O3321" i="16"/>
  <c r="P3320" i="16"/>
  <c r="O3320" i="16"/>
  <c r="P3319" i="16"/>
  <c r="O3319" i="16"/>
  <c r="P3318" i="16"/>
  <c r="O3318" i="16"/>
  <c r="P3317" i="16"/>
  <c r="O3317" i="16"/>
  <c r="P3316" i="16"/>
  <c r="O3316" i="16"/>
  <c r="P3315" i="16"/>
  <c r="O3315" i="16"/>
  <c r="P3314" i="16"/>
  <c r="O3314" i="16"/>
  <c r="P3313" i="16"/>
  <c r="O3313" i="16"/>
  <c r="P3312" i="16"/>
  <c r="O3312" i="16"/>
  <c r="P3311" i="16"/>
  <c r="O3311" i="16"/>
  <c r="P3310" i="16"/>
  <c r="O3310" i="16"/>
  <c r="P3309" i="16"/>
  <c r="O3309" i="16"/>
  <c r="P3308" i="16"/>
  <c r="O3308" i="16"/>
  <c r="P3307" i="16"/>
  <c r="O3307" i="16"/>
  <c r="P3306" i="16"/>
  <c r="O3306" i="16"/>
  <c r="P3305" i="16"/>
  <c r="O3305" i="16"/>
  <c r="P3304" i="16"/>
  <c r="O3304" i="16"/>
  <c r="P3303" i="16"/>
  <c r="O3303" i="16"/>
  <c r="P3302" i="16"/>
  <c r="O3302" i="16"/>
  <c r="P3301" i="16"/>
  <c r="O3301" i="16"/>
  <c r="P3300" i="16"/>
  <c r="O3300" i="16"/>
  <c r="P3299" i="16"/>
  <c r="O3299" i="16"/>
  <c r="P3298" i="16"/>
  <c r="O3298" i="16"/>
  <c r="P3297" i="16"/>
  <c r="O3297" i="16"/>
  <c r="P3296" i="16"/>
  <c r="O3296" i="16"/>
  <c r="P3295" i="16"/>
  <c r="O3295" i="16"/>
  <c r="P3294" i="16"/>
  <c r="O3294" i="16"/>
  <c r="P3293" i="16"/>
  <c r="O3293" i="16"/>
  <c r="P3292" i="16"/>
  <c r="O3292" i="16"/>
  <c r="P3291" i="16"/>
  <c r="O3291" i="16"/>
  <c r="P3290" i="16"/>
  <c r="O3290" i="16"/>
  <c r="P3289" i="16"/>
  <c r="O3289" i="16"/>
  <c r="P3288" i="16"/>
  <c r="O3288" i="16"/>
  <c r="P3287" i="16"/>
  <c r="O3287" i="16"/>
  <c r="P3286" i="16"/>
  <c r="O3286" i="16"/>
  <c r="P3285" i="16"/>
  <c r="O3285" i="16"/>
  <c r="P3284" i="16"/>
  <c r="O3284" i="16"/>
  <c r="P3283" i="16"/>
  <c r="O3283" i="16"/>
  <c r="P3282" i="16"/>
  <c r="O3282" i="16"/>
  <c r="P3281" i="16"/>
  <c r="O3281" i="16"/>
  <c r="P3280" i="16"/>
  <c r="O3280" i="16"/>
  <c r="P3279" i="16"/>
  <c r="O3279" i="16"/>
  <c r="P3278" i="16"/>
  <c r="O3278" i="16"/>
  <c r="P3277" i="16"/>
  <c r="O3277" i="16"/>
  <c r="P3276" i="16"/>
  <c r="O3276" i="16"/>
  <c r="P3275" i="16"/>
  <c r="O3275" i="16"/>
  <c r="P3274" i="16"/>
  <c r="O3274" i="16"/>
  <c r="P3273" i="16"/>
  <c r="O3273" i="16"/>
  <c r="P3272" i="16"/>
  <c r="O3272" i="16"/>
  <c r="P3271" i="16"/>
  <c r="O3271" i="16"/>
  <c r="P3270" i="16"/>
  <c r="O3270" i="16"/>
  <c r="P3269" i="16"/>
  <c r="O3269" i="16"/>
  <c r="P3268" i="16"/>
  <c r="O3268" i="16"/>
  <c r="P3267" i="16"/>
  <c r="O3267" i="16"/>
  <c r="P3266" i="16"/>
  <c r="O3266" i="16"/>
  <c r="P3265" i="16"/>
  <c r="O3265" i="16"/>
  <c r="P3264" i="16"/>
  <c r="O3264" i="16"/>
  <c r="P3263" i="16"/>
  <c r="O3263" i="16"/>
  <c r="P3262" i="16"/>
  <c r="O3262" i="16"/>
  <c r="P3261" i="16"/>
  <c r="O3261" i="16"/>
  <c r="P3260" i="16"/>
  <c r="O3260" i="16"/>
  <c r="P3259" i="16"/>
  <c r="O3259" i="16"/>
  <c r="P3258" i="16"/>
  <c r="O3258" i="16"/>
  <c r="P3257" i="16"/>
  <c r="O3257" i="16"/>
  <c r="P3256" i="16"/>
  <c r="O3256" i="16"/>
  <c r="P3255" i="16"/>
  <c r="O3255" i="16"/>
  <c r="P3254" i="16"/>
  <c r="O3254" i="16"/>
  <c r="P3253" i="16"/>
  <c r="O3253" i="16"/>
  <c r="P3252" i="16"/>
  <c r="O3252" i="16"/>
  <c r="P3251" i="16"/>
  <c r="O3251" i="16"/>
  <c r="P3250" i="16"/>
  <c r="O3250" i="16"/>
  <c r="P3249" i="16"/>
  <c r="O3249" i="16"/>
  <c r="P3248" i="16"/>
  <c r="O3248" i="16"/>
  <c r="P3247" i="16"/>
  <c r="O3247" i="16"/>
  <c r="P3246" i="16"/>
  <c r="O3246" i="16"/>
  <c r="P3245" i="16"/>
  <c r="O3245" i="16"/>
  <c r="P3244" i="16"/>
  <c r="O3244" i="16"/>
  <c r="P3243" i="16"/>
  <c r="O3243" i="16"/>
  <c r="P3242" i="16"/>
  <c r="O3242" i="16"/>
  <c r="P3241" i="16"/>
  <c r="O3241" i="16"/>
  <c r="P3240" i="16"/>
  <c r="O3240" i="16"/>
  <c r="P3239" i="16"/>
  <c r="O3239" i="16"/>
  <c r="P3238" i="16"/>
  <c r="O3238" i="16"/>
  <c r="P3237" i="16"/>
  <c r="O3237" i="16"/>
  <c r="P3236" i="16"/>
  <c r="O3236" i="16"/>
  <c r="P3235" i="16"/>
  <c r="O3235" i="16"/>
  <c r="P3234" i="16"/>
  <c r="O3234" i="16"/>
  <c r="P3233" i="16"/>
  <c r="O3233" i="16"/>
  <c r="P3232" i="16"/>
  <c r="O3232" i="16"/>
  <c r="P3231" i="16"/>
  <c r="O3231" i="16"/>
  <c r="P3230" i="16"/>
  <c r="O3230" i="16"/>
  <c r="P3229" i="16"/>
  <c r="O3229" i="16"/>
  <c r="P3228" i="16"/>
  <c r="O3228" i="16"/>
  <c r="P3227" i="16"/>
  <c r="O3227" i="16"/>
  <c r="P3226" i="16"/>
  <c r="O3226" i="16"/>
  <c r="P3225" i="16"/>
  <c r="O3225" i="16"/>
  <c r="P3224" i="16"/>
  <c r="O3224" i="16"/>
  <c r="P3223" i="16"/>
  <c r="O3223" i="16"/>
  <c r="P3222" i="16"/>
  <c r="O3222" i="16"/>
  <c r="P3221" i="16"/>
  <c r="O3221" i="16"/>
  <c r="P3220" i="16"/>
  <c r="O3220" i="16"/>
  <c r="P3219" i="16"/>
  <c r="O3219" i="16"/>
  <c r="P3218" i="16"/>
  <c r="O3218" i="16"/>
  <c r="P3217" i="16"/>
  <c r="O3217" i="16"/>
  <c r="P3216" i="16"/>
  <c r="O3216" i="16"/>
  <c r="P3215" i="16"/>
  <c r="O3215" i="16"/>
  <c r="P3214" i="16"/>
  <c r="O3214" i="16"/>
  <c r="P3213" i="16"/>
  <c r="O3213" i="16"/>
  <c r="P3212" i="16"/>
  <c r="O3212" i="16"/>
  <c r="P3211" i="16"/>
  <c r="O3211" i="16"/>
  <c r="P3210" i="16"/>
  <c r="O3210" i="16"/>
  <c r="P3209" i="16"/>
  <c r="O3209" i="16"/>
  <c r="P3208" i="16"/>
  <c r="O3208" i="16"/>
  <c r="P3207" i="16"/>
  <c r="O3207" i="16"/>
  <c r="P3206" i="16"/>
  <c r="O3206" i="16"/>
  <c r="P3205" i="16"/>
  <c r="O3205" i="16"/>
  <c r="P3204" i="16"/>
  <c r="O3204" i="16"/>
  <c r="P3203" i="16"/>
  <c r="O3203" i="16"/>
  <c r="P3202" i="16"/>
  <c r="O3202" i="16"/>
  <c r="P3201" i="16"/>
  <c r="O3201" i="16"/>
  <c r="P3200" i="16"/>
  <c r="O3200" i="16"/>
  <c r="P3199" i="16"/>
  <c r="O3199" i="16"/>
  <c r="P3198" i="16"/>
  <c r="O3198" i="16"/>
  <c r="P3197" i="16"/>
  <c r="O3197" i="16"/>
  <c r="P3196" i="16"/>
  <c r="O3196" i="16"/>
  <c r="P3195" i="16"/>
  <c r="O3195" i="16"/>
  <c r="P3194" i="16"/>
  <c r="O3194" i="16"/>
  <c r="P3193" i="16"/>
  <c r="O3193" i="16"/>
  <c r="P3192" i="16"/>
  <c r="O3192" i="16"/>
  <c r="P3191" i="16"/>
  <c r="O3191" i="16"/>
  <c r="P3190" i="16"/>
  <c r="O3190" i="16"/>
  <c r="P3189" i="16"/>
  <c r="O3189" i="16"/>
  <c r="P3188" i="16"/>
  <c r="O3188" i="16"/>
  <c r="P3187" i="16"/>
  <c r="O3187" i="16"/>
  <c r="P3186" i="16"/>
  <c r="O3186" i="16"/>
  <c r="P3185" i="16"/>
  <c r="O3185" i="16"/>
  <c r="P3184" i="16"/>
  <c r="O3184" i="16"/>
  <c r="P3183" i="16"/>
  <c r="O3183" i="16"/>
  <c r="P3182" i="16"/>
  <c r="O3182" i="16"/>
  <c r="P3181" i="16"/>
  <c r="O3181" i="16"/>
  <c r="P3180" i="16"/>
  <c r="O3180" i="16"/>
  <c r="P3179" i="16"/>
  <c r="O3179" i="16"/>
  <c r="P3178" i="16"/>
  <c r="O3178" i="16"/>
  <c r="P3177" i="16"/>
  <c r="O3177" i="16"/>
  <c r="P3176" i="16"/>
  <c r="O3176" i="16"/>
  <c r="P3175" i="16"/>
  <c r="O3175" i="16"/>
  <c r="P3174" i="16"/>
  <c r="O3174" i="16"/>
  <c r="P3173" i="16"/>
  <c r="O3173" i="16"/>
  <c r="P3172" i="16"/>
  <c r="O3172" i="16"/>
  <c r="P3171" i="16"/>
  <c r="O3171" i="16"/>
  <c r="P3170" i="16"/>
  <c r="O3170" i="16"/>
  <c r="P3169" i="16"/>
  <c r="O3169" i="16"/>
  <c r="P3168" i="16"/>
  <c r="O3168" i="16"/>
  <c r="P3167" i="16"/>
  <c r="O3167" i="16"/>
  <c r="P3166" i="16"/>
  <c r="O3166" i="16"/>
  <c r="P3165" i="16"/>
  <c r="O3165" i="16"/>
  <c r="P3164" i="16"/>
  <c r="O3164" i="16"/>
  <c r="P3163" i="16"/>
  <c r="O3163" i="16"/>
  <c r="P3162" i="16"/>
  <c r="O3162" i="16"/>
  <c r="P3161" i="16"/>
  <c r="O3161" i="16"/>
  <c r="P3160" i="16"/>
  <c r="O3160" i="16"/>
  <c r="P3159" i="16"/>
  <c r="O3159" i="16"/>
  <c r="P3158" i="16"/>
  <c r="O3158" i="16"/>
  <c r="P3157" i="16"/>
  <c r="O3157" i="16"/>
  <c r="P3156" i="16"/>
  <c r="O3156" i="16"/>
  <c r="P3155" i="16"/>
  <c r="O3155" i="16"/>
  <c r="P3154" i="16"/>
  <c r="O3154" i="16"/>
  <c r="P3153" i="16"/>
  <c r="O3153" i="16"/>
  <c r="P3152" i="16"/>
  <c r="O3152" i="16"/>
  <c r="P3151" i="16"/>
  <c r="O3151" i="16"/>
  <c r="P3150" i="16"/>
  <c r="O3150" i="16"/>
  <c r="P3149" i="16"/>
  <c r="O3149" i="16"/>
  <c r="P3148" i="16"/>
  <c r="O3148" i="16"/>
  <c r="P3147" i="16"/>
  <c r="O3147" i="16"/>
  <c r="P3146" i="16"/>
  <c r="O3146" i="16"/>
  <c r="P3145" i="16"/>
  <c r="O3145" i="16"/>
  <c r="P3144" i="16"/>
  <c r="O3144" i="16"/>
  <c r="P3143" i="16"/>
  <c r="O3143" i="16"/>
  <c r="P3142" i="16"/>
  <c r="O3142" i="16"/>
  <c r="P3141" i="16"/>
  <c r="O3141" i="16"/>
  <c r="P3140" i="16"/>
  <c r="O3140" i="16"/>
  <c r="P3139" i="16"/>
  <c r="O3139" i="16"/>
  <c r="P3138" i="16"/>
  <c r="O3138" i="16"/>
  <c r="P3137" i="16"/>
  <c r="O3137" i="16"/>
  <c r="P3136" i="16"/>
  <c r="O3136" i="16"/>
  <c r="P3135" i="16"/>
  <c r="O3135" i="16"/>
  <c r="P3134" i="16"/>
  <c r="O3134" i="16"/>
  <c r="P3133" i="16"/>
  <c r="O3133" i="16"/>
  <c r="P3132" i="16"/>
  <c r="O3132" i="16"/>
  <c r="P3131" i="16"/>
  <c r="O3131" i="16"/>
  <c r="P3130" i="16"/>
  <c r="O3130" i="16"/>
  <c r="P3129" i="16"/>
  <c r="O3129" i="16"/>
  <c r="P3128" i="16"/>
  <c r="O3128" i="16"/>
  <c r="P3127" i="16"/>
  <c r="O3127" i="16"/>
  <c r="P3126" i="16"/>
  <c r="O3126" i="16"/>
  <c r="P3125" i="16"/>
  <c r="O3125" i="16"/>
  <c r="P3124" i="16"/>
  <c r="O3124" i="16"/>
  <c r="P3123" i="16"/>
  <c r="O3123" i="16"/>
  <c r="P3122" i="16"/>
  <c r="O3122" i="16"/>
  <c r="P3121" i="16"/>
  <c r="O3121" i="16"/>
  <c r="P3120" i="16"/>
  <c r="O3120" i="16"/>
  <c r="P3119" i="16"/>
  <c r="O3119" i="16"/>
  <c r="P3118" i="16"/>
  <c r="O3118" i="16"/>
  <c r="P3117" i="16"/>
  <c r="O3117" i="16"/>
  <c r="P3116" i="16"/>
  <c r="O3116" i="16"/>
  <c r="P3115" i="16"/>
  <c r="O3115" i="16"/>
  <c r="P3114" i="16"/>
  <c r="O3114" i="16"/>
  <c r="P3113" i="16"/>
  <c r="O3113" i="16"/>
  <c r="P3112" i="16"/>
  <c r="O3112" i="16"/>
  <c r="P3111" i="16"/>
  <c r="O3111" i="16"/>
  <c r="P3110" i="16"/>
  <c r="O3110" i="16"/>
  <c r="P3109" i="16"/>
  <c r="O3109" i="16"/>
  <c r="P3108" i="16"/>
  <c r="O3108" i="16"/>
  <c r="P3107" i="16"/>
  <c r="O3107" i="16"/>
  <c r="P3106" i="16"/>
  <c r="O3106" i="16"/>
  <c r="P3105" i="16"/>
  <c r="O3105" i="16"/>
  <c r="P3104" i="16"/>
  <c r="O3104" i="16"/>
  <c r="P3103" i="16"/>
  <c r="O3103" i="16"/>
  <c r="P3102" i="16"/>
  <c r="O3102" i="16"/>
  <c r="P3101" i="16"/>
  <c r="O3101" i="16"/>
  <c r="P3100" i="16"/>
  <c r="O3100" i="16"/>
  <c r="P3099" i="16"/>
  <c r="O3099" i="16"/>
  <c r="P3098" i="16"/>
  <c r="O3098" i="16"/>
  <c r="P3097" i="16"/>
  <c r="O3097" i="16"/>
  <c r="P3096" i="16"/>
  <c r="O3096" i="16"/>
  <c r="P3095" i="16"/>
  <c r="O3095" i="16"/>
  <c r="P3094" i="16"/>
  <c r="O3094" i="16"/>
  <c r="P3093" i="16"/>
  <c r="O3093" i="16"/>
  <c r="P3092" i="16"/>
  <c r="O3092" i="16"/>
  <c r="P3091" i="16"/>
  <c r="O3091" i="16"/>
  <c r="P3090" i="16"/>
  <c r="O3090" i="16"/>
  <c r="P3089" i="16"/>
  <c r="O3089" i="16"/>
  <c r="P3088" i="16"/>
  <c r="O3088" i="16"/>
  <c r="P3087" i="16"/>
  <c r="O3087" i="16"/>
  <c r="P3086" i="16"/>
  <c r="O3086" i="16"/>
  <c r="P3085" i="16"/>
  <c r="O3085" i="16"/>
  <c r="P3084" i="16"/>
  <c r="O3084" i="16"/>
  <c r="P3083" i="16"/>
  <c r="O3083" i="16"/>
  <c r="P3082" i="16"/>
  <c r="O3082" i="16"/>
  <c r="P3081" i="16"/>
  <c r="O3081" i="16"/>
  <c r="P3080" i="16"/>
  <c r="O3080" i="16"/>
  <c r="P3079" i="16"/>
  <c r="O3079" i="16"/>
  <c r="P3078" i="16"/>
  <c r="O3078" i="16"/>
  <c r="P3077" i="16"/>
  <c r="O3077" i="16"/>
  <c r="P3076" i="16"/>
  <c r="O3076" i="16"/>
  <c r="P3075" i="16"/>
  <c r="O3075" i="16"/>
  <c r="P3074" i="16"/>
  <c r="O3074" i="16"/>
  <c r="P3073" i="16"/>
  <c r="O3073" i="16"/>
  <c r="P3072" i="16"/>
  <c r="O3072" i="16"/>
  <c r="P3071" i="16"/>
  <c r="O3071" i="16"/>
  <c r="P3070" i="16"/>
  <c r="O3070" i="16"/>
  <c r="P3069" i="16"/>
  <c r="O3069" i="16"/>
  <c r="P3068" i="16"/>
  <c r="O3068" i="16"/>
  <c r="P3067" i="16"/>
  <c r="O3067" i="16"/>
  <c r="P3066" i="16"/>
  <c r="O3066" i="16"/>
  <c r="P3065" i="16"/>
  <c r="O3065" i="16"/>
  <c r="P3064" i="16"/>
  <c r="O3064" i="16"/>
  <c r="P3063" i="16"/>
  <c r="O3063" i="16"/>
  <c r="P3062" i="16"/>
  <c r="O3062" i="16"/>
  <c r="P3061" i="16"/>
  <c r="O3061" i="16"/>
  <c r="P3060" i="16"/>
  <c r="O3060" i="16"/>
  <c r="P3059" i="16"/>
  <c r="O3059" i="16"/>
  <c r="P3058" i="16"/>
  <c r="O3058" i="16"/>
  <c r="P3057" i="16"/>
  <c r="O3057" i="16"/>
  <c r="P3056" i="16"/>
  <c r="O3056" i="16"/>
  <c r="P3055" i="16"/>
  <c r="O3055" i="16"/>
  <c r="P3054" i="16"/>
  <c r="O3054" i="16"/>
  <c r="P3053" i="16"/>
  <c r="O3053" i="16"/>
  <c r="P3052" i="16"/>
  <c r="O3052" i="16"/>
  <c r="P3051" i="16"/>
  <c r="O3051" i="16"/>
  <c r="P3050" i="16"/>
  <c r="O3050" i="16"/>
  <c r="P3049" i="16"/>
  <c r="O3049" i="16"/>
  <c r="P3048" i="16"/>
  <c r="O3048" i="16"/>
  <c r="P3047" i="16"/>
  <c r="O3047" i="16"/>
  <c r="P3046" i="16"/>
  <c r="O3046" i="16"/>
  <c r="P3045" i="16"/>
  <c r="O3045" i="16"/>
  <c r="P3044" i="16"/>
  <c r="O3044" i="16"/>
  <c r="P3043" i="16"/>
  <c r="O3043" i="16"/>
  <c r="P3042" i="16"/>
  <c r="O3042" i="16"/>
  <c r="P3041" i="16"/>
  <c r="O3041" i="16"/>
  <c r="P3040" i="16"/>
  <c r="O3040" i="16"/>
  <c r="P3039" i="16"/>
  <c r="O3039" i="16"/>
  <c r="P3038" i="16"/>
  <c r="O3038" i="16"/>
  <c r="P3037" i="16"/>
  <c r="O3037" i="16"/>
  <c r="P3036" i="16"/>
  <c r="O3036" i="16"/>
  <c r="P3035" i="16"/>
  <c r="O3035" i="16"/>
  <c r="P3034" i="16"/>
  <c r="O3034" i="16"/>
  <c r="P3033" i="16"/>
  <c r="O3033" i="16"/>
  <c r="P3032" i="16"/>
  <c r="O3032" i="16"/>
  <c r="P3031" i="16"/>
  <c r="O3031" i="16"/>
  <c r="P3030" i="16"/>
  <c r="O3030" i="16"/>
  <c r="P3029" i="16"/>
  <c r="O3029" i="16"/>
  <c r="P3028" i="16"/>
  <c r="O3028" i="16"/>
  <c r="P3027" i="16"/>
  <c r="O3027" i="16"/>
  <c r="P3026" i="16"/>
  <c r="O3026" i="16"/>
  <c r="P3025" i="16"/>
  <c r="O3025" i="16"/>
  <c r="P3024" i="16"/>
  <c r="O3024" i="16"/>
  <c r="P3023" i="16"/>
  <c r="O3023" i="16"/>
  <c r="P3022" i="16"/>
  <c r="O3022" i="16"/>
  <c r="P3021" i="16"/>
  <c r="O3021" i="16"/>
  <c r="P3020" i="16"/>
  <c r="O3020" i="16"/>
  <c r="P3019" i="16"/>
  <c r="O3019" i="16"/>
  <c r="P3018" i="16"/>
  <c r="O3018" i="16"/>
  <c r="P3017" i="16"/>
  <c r="O3017" i="16"/>
  <c r="P3016" i="16"/>
  <c r="O3016" i="16"/>
  <c r="P3015" i="16"/>
  <c r="O3015" i="16"/>
  <c r="P3014" i="16"/>
  <c r="O3014" i="16"/>
  <c r="P3013" i="16"/>
  <c r="O3013" i="16"/>
  <c r="P3012" i="16"/>
  <c r="O3012" i="16"/>
  <c r="P3011" i="16"/>
  <c r="O3011" i="16"/>
  <c r="P3010" i="16"/>
  <c r="O3010" i="16"/>
  <c r="P3009" i="16"/>
  <c r="O3009" i="16"/>
  <c r="P3008" i="16"/>
  <c r="O3008" i="16"/>
  <c r="P3007" i="16"/>
  <c r="O3007" i="16"/>
  <c r="P3006" i="16"/>
  <c r="O3006" i="16"/>
  <c r="P3005" i="16"/>
  <c r="O3005" i="16"/>
  <c r="P3004" i="16"/>
  <c r="O3004" i="16"/>
  <c r="P3003" i="16"/>
  <c r="O3003" i="16"/>
  <c r="P3002" i="16"/>
  <c r="O3002" i="16"/>
  <c r="P3001" i="16"/>
  <c r="O3001" i="16"/>
  <c r="P3000" i="16"/>
  <c r="O3000" i="16"/>
  <c r="P2999" i="16"/>
  <c r="O2999" i="16"/>
  <c r="P2998" i="16"/>
  <c r="O2998" i="16"/>
  <c r="P2997" i="16"/>
  <c r="O2997" i="16"/>
  <c r="P2996" i="16"/>
  <c r="O2996" i="16"/>
  <c r="P2995" i="16"/>
  <c r="O2995" i="16"/>
  <c r="P2994" i="16"/>
  <c r="O2994" i="16"/>
  <c r="P2993" i="16"/>
  <c r="O2993" i="16"/>
  <c r="P2992" i="16"/>
  <c r="O2992" i="16"/>
  <c r="P2991" i="16"/>
  <c r="O2991" i="16"/>
  <c r="P2990" i="16"/>
  <c r="O2990" i="16"/>
  <c r="P2989" i="16"/>
  <c r="O2989" i="16"/>
  <c r="P2988" i="16"/>
  <c r="O2988" i="16"/>
  <c r="P2987" i="16"/>
  <c r="O2987" i="16"/>
  <c r="P2986" i="16"/>
  <c r="O2986" i="16"/>
  <c r="P2985" i="16"/>
  <c r="O2985" i="16"/>
  <c r="P2984" i="16"/>
  <c r="O2984" i="16"/>
  <c r="P2983" i="16"/>
  <c r="O2983" i="16"/>
  <c r="P2982" i="16"/>
  <c r="O2982" i="16"/>
  <c r="P2981" i="16"/>
  <c r="O2981" i="16"/>
  <c r="P2980" i="16"/>
  <c r="O2980" i="16"/>
  <c r="P2979" i="16"/>
  <c r="O2979" i="16"/>
  <c r="P2978" i="16"/>
  <c r="O2978" i="16"/>
  <c r="P2977" i="16"/>
  <c r="O2977" i="16"/>
  <c r="P2976" i="16"/>
  <c r="O2976" i="16"/>
  <c r="P2975" i="16"/>
  <c r="O2975" i="16"/>
  <c r="P2974" i="16"/>
  <c r="O2974" i="16"/>
  <c r="P2973" i="16"/>
  <c r="O2973" i="16"/>
  <c r="P2972" i="16"/>
  <c r="O2972" i="16"/>
  <c r="P2971" i="16"/>
  <c r="O2971" i="16"/>
  <c r="P2970" i="16"/>
  <c r="O2970" i="16"/>
  <c r="P2969" i="16"/>
  <c r="O2969" i="16"/>
  <c r="P2968" i="16"/>
  <c r="O2968" i="16"/>
  <c r="P2967" i="16"/>
  <c r="O2967" i="16"/>
  <c r="P2966" i="16"/>
  <c r="O2966" i="16"/>
  <c r="P2965" i="16"/>
  <c r="O2965" i="16"/>
  <c r="P2964" i="16"/>
  <c r="O2964" i="16"/>
  <c r="P2963" i="16"/>
  <c r="O2963" i="16"/>
  <c r="P2962" i="16"/>
  <c r="O2962" i="16"/>
  <c r="P2961" i="16"/>
  <c r="O2961" i="16"/>
  <c r="P2960" i="16"/>
  <c r="O2960" i="16"/>
  <c r="P2959" i="16"/>
  <c r="O2959" i="16"/>
  <c r="P2958" i="16"/>
  <c r="O2958" i="16"/>
  <c r="P2957" i="16"/>
  <c r="O2957" i="16"/>
  <c r="P2956" i="16"/>
  <c r="O2956" i="16"/>
  <c r="P2955" i="16"/>
  <c r="O2955" i="16"/>
  <c r="P2954" i="16"/>
  <c r="O2954" i="16"/>
  <c r="P2953" i="16"/>
  <c r="O2953" i="16"/>
  <c r="P2952" i="16"/>
  <c r="O2952" i="16"/>
  <c r="P2951" i="16"/>
  <c r="O2951" i="16"/>
  <c r="P2950" i="16"/>
  <c r="O2950" i="16"/>
  <c r="P2949" i="16"/>
  <c r="O2949" i="16"/>
  <c r="P2948" i="16"/>
  <c r="O2948" i="16"/>
  <c r="P2947" i="16"/>
  <c r="O2947" i="16"/>
  <c r="P2946" i="16"/>
  <c r="O2946" i="16"/>
  <c r="P2945" i="16"/>
  <c r="O2945" i="16"/>
  <c r="P2944" i="16"/>
  <c r="O2944" i="16"/>
  <c r="P2943" i="16"/>
  <c r="O2943" i="16"/>
  <c r="P2942" i="16"/>
  <c r="O2942" i="16"/>
  <c r="P2941" i="16"/>
  <c r="O2941" i="16"/>
  <c r="P2940" i="16"/>
  <c r="O2940" i="16"/>
  <c r="P2939" i="16"/>
  <c r="O2939" i="16"/>
  <c r="P2938" i="16"/>
  <c r="O2938" i="16"/>
  <c r="P2937" i="16"/>
  <c r="O2937" i="16"/>
  <c r="P2936" i="16"/>
  <c r="O2936" i="16"/>
  <c r="P2935" i="16"/>
  <c r="O2935" i="16"/>
  <c r="P2934" i="16"/>
  <c r="O2934" i="16"/>
  <c r="P2933" i="16"/>
  <c r="O2933" i="16"/>
  <c r="P2932" i="16"/>
  <c r="O2932" i="16"/>
  <c r="P2931" i="16"/>
  <c r="O2931" i="16"/>
  <c r="P2930" i="16"/>
  <c r="O2930" i="16"/>
  <c r="P2929" i="16"/>
  <c r="O2929" i="16"/>
  <c r="P2928" i="16"/>
  <c r="O2928" i="16"/>
  <c r="P2927" i="16"/>
  <c r="O2927" i="16"/>
  <c r="P2926" i="16"/>
  <c r="O2926" i="16"/>
  <c r="P2925" i="16"/>
  <c r="O2925" i="16"/>
  <c r="P2924" i="16"/>
  <c r="O2924" i="16"/>
  <c r="P2923" i="16"/>
  <c r="O2923" i="16"/>
  <c r="P2922" i="16"/>
  <c r="O2922" i="16"/>
  <c r="P2921" i="16"/>
  <c r="O2921" i="16"/>
  <c r="P2920" i="16"/>
  <c r="O2920" i="16"/>
  <c r="P2919" i="16"/>
  <c r="O2919" i="16"/>
  <c r="P2918" i="16"/>
  <c r="O2918" i="16"/>
  <c r="P2917" i="16"/>
  <c r="O2917" i="16"/>
  <c r="P2916" i="16"/>
  <c r="O2916" i="16"/>
  <c r="P2915" i="16"/>
  <c r="O2915" i="16"/>
  <c r="P2914" i="16"/>
  <c r="O2914" i="16"/>
  <c r="P2913" i="16"/>
  <c r="O2913" i="16"/>
  <c r="P2912" i="16"/>
  <c r="O2912" i="16"/>
  <c r="P2911" i="16"/>
  <c r="O2911" i="16"/>
  <c r="P2910" i="16"/>
  <c r="O2910" i="16"/>
  <c r="P2909" i="16"/>
  <c r="O2909" i="16"/>
  <c r="P2908" i="16"/>
  <c r="O2908" i="16"/>
  <c r="P2907" i="16"/>
  <c r="O2907" i="16"/>
  <c r="P2906" i="16"/>
  <c r="O2906" i="16"/>
  <c r="P2905" i="16"/>
  <c r="O2905" i="16"/>
  <c r="P2904" i="16"/>
  <c r="O2904" i="16"/>
  <c r="P2903" i="16"/>
  <c r="O2903" i="16"/>
  <c r="P2902" i="16"/>
  <c r="O2902" i="16"/>
  <c r="P2901" i="16"/>
  <c r="O2901" i="16"/>
  <c r="P2900" i="16"/>
  <c r="O2900" i="16"/>
  <c r="P2899" i="16"/>
  <c r="O2899" i="16"/>
  <c r="P2898" i="16"/>
  <c r="O2898" i="16"/>
  <c r="P2897" i="16"/>
  <c r="O2897" i="16"/>
  <c r="P2896" i="16"/>
  <c r="O2896" i="16"/>
  <c r="P2895" i="16"/>
  <c r="O2895" i="16"/>
  <c r="P2894" i="16"/>
  <c r="O2894" i="16"/>
  <c r="P2893" i="16"/>
  <c r="O2893" i="16"/>
  <c r="P2892" i="16"/>
  <c r="O2892" i="16"/>
  <c r="P2891" i="16"/>
  <c r="O2891" i="16"/>
  <c r="P2890" i="16"/>
  <c r="O2890" i="16"/>
  <c r="P2889" i="16"/>
  <c r="O2889" i="16"/>
  <c r="P2888" i="16"/>
  <c r="O2888" i="16"/>
  <c r="P2887" i="16"/>
  <c r="O2887" i="16"/>
  <c r="P2886" i="16"/>
  <c r="O2886" i="16"/>
  <c r="P2885" i="16"/>
  <c r="O2885" i="16"/>
  <c r="P2884" i="16"/>
  <c r="O2884" i="16"/>
  <c r="P2883" i="16"/>
  <c r="O2883" i="16"/>
  <c r="P2882" i="16"/>
  <c r="O2882" i="16"/>
  <c r="P2881" i="16"/>
  <c r="O2881" i="16"/>
  <c r="P2880" i="16"/>
  <c r="O2880" i="16"/>
  <c r="P2879" i="16"/>
  <c r="O2879" i="16"/>
  <c r="P2878" i="16"/>
  <c r="O2878" i="16"/>
  <c r="P2877" i="16"/>
  <c r="O2877" i="16"/>
  <c r="P2876" i="16"/>
  <c r="O2876" i="16"/>
  <c r="P2875" i="16"/>
  <c r="O2875" i="16"/>
  <c r="P2874" i="16"/>
  <c r="O2874" i="16"/>
  <c r="P2873" i="16"/>
  <c r="O2873" i="16"/>
  <c r="P2872" i="16"/>
  <c r="O2872" i="16"/>
  <c r="P2871" i="16"/>
  <c r="O2871" i="16"/>
  <c r="P2870" i="16"/>
  <c r="O2870" i="16"/>
  <c r="P2869" i="16"/>
  <c r="O2869" i="16"/>
  <c r="P2868" i="16"/>
  <c r="O2868" i="16"/>
  <c r="P2867" i="16"/>
  <c r="O2867" i="16"/>
  <c r="P2866" i="16"/>
  <c r="O2866" i="16"/>
  <c r="P2865" i="16"/>
  <c r="O2865" i="16"/>
  <c r="P2864" i="16"/>
  <c r="O2864" i="16"/>
  <c r="P2863" i="16"/>
  <c r="O2863" i="16"/>
  <c r="P2862" i="16"/>
  <c r="O2862" i="16"/>
  <c r="P2861" i="16"/>
  <c r="O2861" i="16"/>
  <c r="P2860" i="16"/>
  <c r="O2860" i="16"/>
  <c r="P2859" i="16"/>
  <c r="O2859" i="16"/>
  <c r="P2858" i="16"/>
  <c r="O2858" i="16"/>
  <c r="P2857" i="16"/>
  <c r="O2857" i="16"/>
  <c r="P2856" i="16"/>
  <c r="O2856" i="16"/>
  <c r="P2855" i="16"/>
  <c r="O2855" i="16"/>
  <c r="P2854" i="16"/>
  <c r="O2854" i="16"/>
  <c r="P2853" i="16"/>
  <c r="O2853" i="16"/>
  <c r="P2852" i="16"/>
  <c r="O2852" i="16"/>
  <c r="P2851" i="16"/>
  <c r="O2851" i="16"/>
  <c r="P2850" i="16"/>
  <c r="O2850" i="16"/>
  <c r="P2849" i="16"/>
  <c r="O2849" i="16"/>
  <c r="P2848" i="16"/>
  <c r="O2848" i="16"/>
  <c r="P2847" i="16"/>
  <c r="O2847" i="16"/>
  <c r="P2846" i="16"/>
  <c r="O2846" i="16"/>
  <c r="P2845" i="16"/>
  <c r="O2845" i="16"/>
  <c r="P2844" i="16"/>
  <c r="O2844" i="16"/>
  <c r="P2843" i="16"/>
  <c r="O2843" i="16"/>
  <c r="P2842" i="16"/>
  <c r="O2842" i="16"/>
  <c r="P2841" i="16"/>
  <c r="O2841" i="16"/>
  <c r="P2840" i="16"/>
  <c r="O2840" i="16"/>
  <c r="P2839" i="16"/>
  <c r="O2839" i="16"/>
  <c r="P2838" i="16"/>
  <c r="O2838" i="16"/>
  <c r="P2837" i="16"/>
  <c r="O2837" i="16"/>
  <c r="P2836" i="16"/>
  <c r="O2836" i="16"/>
  <c r="P2835" i="16"/>
  <c r="O2835" i="16"/>
  <c r="P2834" i="16"/>
  <c r="O2834" i="16"/>
  <c r="P2833" i="16"/>
  <c r="O2833" i="16"/>
  <c r="P2832" i="16"/>
  <c r="O2832" i="16"/>
  <c r="P2831" i="16"/>
  <c r="O2831" i="16"/>
  <c r="P2830" i="16"/>
  <c r="O2830" i="16"/>
  <c r="P2829" i="16"/>
  <c r="O2829" i="16"/>
  <c r="P2828" i="16"/>
  <c r="O2828" i="16"/>
  <c r="P2827" i="16"/>
  <c r="O2827" i="16"/>
  <c r="P2826" i="16"/>
  <c r="O2826" i="16"/>
  <c r="P2825" i="16"/>
  <c r="O2825" i="16"/>
  <c r="P2824" i="16"/>
  <c r="O2824" i="16"/>
  <c r="P2823" i="16"/>
  <c r="O2823" i="16"/>
  <c r="P2822" i="16"/>
  <c r="O2822" i="16"/>
  <c r="P2821" i="16"/>
  <c r="O2821" i="16"/>
  <c r="P2820" i="16"/>
  <c r="O2820" i="16"/>
  <c r="P2819" i="16"/>
  <c r="O2819" i="16"/>
  <c r="P2818" i="16"/>
  <c r="O2818" i="16"/>
  <c r="P2817" i="16"/>
  <c r="O2817" i="16"/>
  <c r="P2816" i="16"/>
  <c r="O2816" i="16"/>
  <c r="P2815" i="16"/>
  <c r="O2815" i="16"/>
  <c r="P2814" i="16"/>
  <c r="O2814" i="16"/>
  <c r="P2813" i="16"/>
  <c r="O2813" i="16"/>
  <c r="P2812" i="16"/>
  <c r="O2812" i="16"/>
  <c r="P2811" i="16"/>
  <c r="O2811" i="16"/>
  <c r="P2810" i="16"/>
  <c r="O2810" i="16"/>
  <c r="P2809" i="16"/>
  <c r="O2809" i="16"/>
  <c r="P2808" i="16"/>
  <c r="O2808" i="16"/>
  <c r="P2807" i="16"/>
  <c r="O2807" i="16"/>
  <c r="P2806" i="16"/>
  <c r="O2806" i="16"/>
  <c r="P2805" i="16"/>
  <c r="O2805" i="16"/>
  <c r="P2804" i="16"/>
  <c r="O2804" i="16"/>
  <c r="P2803" i="16"/>
  <c r="O2803" i="16"/>
  <c r="P2802" i="16"/>
  <c r="O2802" i="16"/>
  <c r="P2801" i="16"/>
  <c r="O2801" i="16"/>
  <c r="P2800" i="16"/>
  <c r="O2800" i="16"/>
  <c r="P2799" i="16"/>
  <c r="O2799" i="16"/>
  <c r="P2798" i="16"/>
  <c r="O2798" i="16"/>
  <c r="P2797" i="16"/>
  <c r="O2797" i="16"/>
  <c r="P2796" i="16"/>
  <c r="O2796" i="16"/>
  <c r="P2795" i="16"/>
  <c r="O2795" i="16"/>
  <c r="P2794" i="16"/>
  <c r="O2794" i="16"/>
  <c r="P2793" i="16"/>
  <c r="O2793" i="16"/>
  <c r="P2792" i="16"/>
  <c r="O2792" i="16"/>
  <c r="P2791" i="16"/>
  <c r="O2791" i="16"/>
  <c r="P2790" i="16"/>
  <c r="O2790" i="16"/>
  <c r="P2789" i="16"/>
  <c r="O2789" i="16"/>
  <c r="P2788" i="16"/>
  <c r="O2788" i="16"/>
  <c r="P2787" i="16"/>
  <c r="O2787" i="16"/>
  <c r="P2786" i="16"/>
  <c r="O2786" i="16"/>
  <c r="P2785" i="16"/>
  <c r="O2785" i="16"/>
  <c r="P2784" i="16"/>
  <c r="O2784" i="16"/>
  <c r="P2783" i="16"/>
  <c r="O2783" i="16"/>
  <c r="P2782" i="16"/>
  <c r="O2782" i="16"/>
  <c r="P2781" i="16"/>
  <c r="O2781" i="16"/>
  <c r="P2780" i="16"/>
  <c r="O2780" i="16"/>
  <c r="P2779" i="16"/>
  <c r="O2779" i="16"/>
  <c r="P2778" i="16"/>
  <c r="O2778" i="16"/>
  <c r="P2777" i="16"/>
  <c r="O2777" i="16"/>
  <c r="P2776" i="16"/>
  <c r="O2776" i="16"/>
  <c r="P2775" i="16"/>
  <c r="O2775" i="16"/>
  <c r="P2774" i="16"/>
  <c r="O2774" i="16"/>
  <c r="P2773" i="16"/>
  <c r="O2773" i="16"/>
  <c r="P2772" i="16"/>
  <c r="O2772" i="16"/>
  <c r="P2771" i="16"/>
  <c r="O2771" i="16"/>
  <c r="P2770" i="16"/>
  <c r="O2770" i="16"/>
  <c r="P2769" i="16"/>
  <c r="O2769" i="16"/>
  <c r="P2768" i="16"/>
  <c r="O2768" i="16"/>
  <c r="P2767" i="16"/>
  <c r="O2767" i="16"/>
  <c r="P2766" i="16"/>
  <c r="O2766" i="16"/>
  <c r="P2765" i="16"/>
  <c r="O2765" i="16"/>
  <c r="P2764" i="16"/>
  <c r="O2764" i="16"/>
  <c r="P2763" i="16"/>
  <c r="O2763" i="16"/>
  <c r="P2762" i="16"/>
  <c r="O2762" i="16"/>
  <c r="P2761" i="16"/>
  <c r="O2761" i="16"/>
  <c r="P2760" i="16"/>
  <c r="O2760" i="16"/>
  <c r="P2759" i="16"/>
  <c r="O2759" i="16"/>
  <c r="P2758" i="16"/>
  <c r="O2758" i="16"/>
  <c r="P2757" i="16"/>
  <c r="O2757" i="16"/>
  <c r="P2756" i="16"/>
  <c r="O2756" i="16"/>
  <c r="P2755" i="16"/>
  <c r="O2755" i="16"/>
  <c r="P2754" i="16"/>
  <c r="O2754" i="16"/>
  <c r="P2753" i="16"/>
  <c r="O2753" i="16"/>
  <c r="P2752" i="16"/>
  <c r="O2752" i="16"/>
  <c r="P2751" i="16"/>
  <c r="O2751" i="16"/>
  <c r="P2750" i="16"/>
  <c r="O2750" i="16"/>
  <c r="P2749" i="16"/>
  <c r="O2749" i="16"/>
  <c r="P2748" i="16"/>
  <c r="O2748" i="16"/>
  <c r="P2747" i="16"/>
  <c r="O2747" i="16"/>
  <c r="P2746" i="16"/>
  <c r="O2746" i="16"/>
  <c r="P2745" i="16"/>
  <c r="O2745" i="16"/>
  <c r="P2744" i="16"/>
  <c r="O2744" i="16"/>
  <c r="P2743" i="16"/>
  <c r="O2743" i="16"/>
  <c r="P2742" i="16"/>
  <c r="O2742" i="16"/>
  <c r="P2741" i="16"/>
  <c r="O2741" i="16"/>
  <c r="P2740" i="16"/>
  <c r="O2740" i="16"/>
  <c r="P2739" i="16"/>
  <c r="O2739" i="16"/>
  <c r="P2738" i="16"/>
  <c r="O2738" i="16"/>
  <c r="P2737" i="16"/>
  <c r="O2737" i="16"/>
  <c r="P2736" i="16"/>
  <c r="O2736" i="16"/>
  <c r="P2735" i="16"/>
  <c r="O2735" i="16"/>
  <c r="P2734" i="16"/>
  <c r="O2734" i="16"/>
  <c r="P2733" i="16"/>
  <c r="O2733" i="16"/>
  <c r="P2732" i="16"/>
  <c r="O2732" i="16"/>
  <c r="P2731" i="16"/>
  <c r="O2731" i="16"/>
  <c r="P2730" i="16"/>
  <c r="O2730" i="16"/>
  <c r="P2729" i="16"/>
  <c r="O2729" i="16"/>
  <c r="P2728" i="16"/>
  <c r="O2728" i="16"/>
  <c r="P2727" i="16"/>
  <c r="O2727" i="16"/>
  <c r="P2726" i="16"/>
  <c r="O2726" i="16"/>
  <c r="P2725" i="16"/>
  <c r="O2725" i="16"/>
  <c r="P2724" i="16"/>
  <c r="O2724" i="16"/>
  <c r="P2723" i="16"/>
  <c r="O2723" i="16"/>
  <c r="P2722" i="16"/>
  <c r="O2722" i="16"/>
  <c r="P2721" i="16"/>
  <c r="O2721" i="16"/>
  <c r="P2720" i="16"/>
  <c r="O2720" i="16"/>
  <c r="P2719" i="16"/>
  <c r="O2719" i="16"/>
  <c r="P2718" i="16"/>
  <c r="O2718" i="16"/>
  <c r="P2717" i="16"/>
  <c r="O2717" i="16"/>
  <c r="P2716" i="16"/>
  <c r="O2716" i="16"/>
  <c r="P2715" i="16"/>
  <c r="O2715" i="16"/>
  <c r="P2714" i="16"/>
  <c r="O2714" i="16"/>
  <c r="P2713" i="16"/>
  <c r="O2713" i="16"/>
  <c r="P2712" i="16"/>
  <c r="O2712" i="16"/>
  <c r="P2711" i="16"/>
  <c r="O2711" i="16"/>
  <c r="P2710" i="16"/>
  <c r="O2710" i="16"/>
  <c r="P2709" i="16"/>
  <c r="O2709" i="16"/>
  <c r="P2708" i="16"/>
  <c r="O2708" i="16"/>
  <c r="P2707" i="16"/>
  <c r="O2707" i="16"/>
  <c r="P2706" i="16"/>
  <c r="O2706" i="16"/>
  <c r="P2705" i="16"/>
  <c r="O2705" i="16"/>
  <c r="P2704" i="16"/>
  <c r="O2704" i="16"/>
  <c r="P2703" i="16"/>
  <c r="O2703" i="16"/>
  <c r="P2702" i="16"/>
  <c r="O2702" i="16"/>
  <c r="P2701" i="16"/>
  <c r="O2701" i="16"/>
  <c r="P2700" i="16"/>
  <c r="O2700" i="16"/>
  <c r="P2699" i="16"/>
  <c r="O2699" i="16"/>
  <c r="P2698" i="16"/>
  <c r="O2698" i="16"/>
  <c r="P2697" i="16"/>
  <c r="O2697" i="16"/>
  <c r="P2696" i="16"/>
  <c r="O2696" i="16"/>
  <c r="P2695" i="16"/>
  <c r="O2695" i="16"/>
  <c r="P2694" i="16"/>
  <c r="O2694" i="16"/>
  <c r="P2693" i="16"/>
  <c r="O2693" i="16"/>
  <c r="P2692" i="16"/>
  <c r="O2692" i="16"/>
  <c r="P2691" i="16"/>
  <c r="O2691" i="16"/>
  <c r="P2690" i="16"/>
  <c r="O2690" i="16"/>
  <c r="P2689" i="16"/>
  <c r="O2689" i="16"/>
  <c r="P2688" i="16"/>
  <c r="O2688" i="16"/>
  <c r="P2687" i="16"/>
  <c r="O2687" i="16"/>
  <c r="P2686" i="16"/>
  <c r="O2686" i="16"/>
  <c r="P2685" i="16"/>
  <c r="O2685" i="16"/>
  <c r="P2684" i="16"/>
  <c r="O2684" i="16"/>
  <c r="P2683" i="16"/>
  <c r="O2683" i="16"/>
  <c r="P2682" i="16"/>
  <c r="O2682" i="16"/>
  <c r="P2681" i="16"/>
  <c r="O2681" i="16"/>
  <c r="P2680" i="16"/>
  <c r="O2680" i="16"/>
  <c r="P2679" i="16"/>
  <c r="O2679" i="16"/>
  <c r="P2678" i="16"/>
  <c r="O2678" i="16"/>
  <c r="P2677" i="16"/>
  <c r="O2677" i="16"/>
  <c r="P2676" i="16"/>
  <c r="O2676" i="16"/>
  <c r="P2675" i="16"/>
  <c r="O2675" i="16"/>
  <c r="P2674" i="16"/>
  <c r="O2674" i="16"/>
  <c r="P2673" i="16"/>
  <c r="O2673" i="16"/>
  <c r="P2672" i="16"/>
  <c r="O2672" i="16"/>
  <c r="P2671" i="16"/>
  <c r="O2671" i="16"/>
  <c r="P2670" i="16"/>
  <c r="O2670" i="16"/>
  <c r="P2669" i="16"/>
  <c r="O2669" i="16"/>
  <c r="P2668" i="16"/>
  <c r="O2668" i="16"/>
  <c r="P2667" i="16"/>
  <c r="O2667" i="16"/>
  <c r="P2666" i="16"/>
  <c r="O2666" i="16"/>
  <c r="P2665" i="16"/>
  <c r="O2665" i="16"/>
  <c r="P2664" i="16"/>
  <c r="O2664" i="16"/>
  <c r="P2663" i="16"/>
  <c r="O2663" i="16"/>
  <c r="P2662" i="16"/>
  <c r="O2662" i="16"/>
  <c r="P2661" i="16"/>
  <c r="O2661" i="16"/>
  <c r="P2660" i="16"/>
  <c r="O2660" i="16"/>
  <c r="P2659" i="16"/>
  <c r="O2659" i="16"/>
  <c r="P2658" i="16"/>
  <c r="O2658" i="16"/>
  <c r="P2657" i="16"/>
  <c r="O2657" i="16"/>
  <c r="P2656" i="16"/>
  <c r="O2656" i="16"/>
  <c r="P2655" i="16"/>
  <c r="O2655" i="16"/>
  <c r="P2654" i="16"/>
  <c r="O2654" i="16"/>
  <c r="P2653" i="16"/>
  <c r="O2653" i="16"/>
  <c r="P2652" i="16"/>
  <c r="O2652" i="16"/>
  <c r="P2651" i="16"/>
  <c r="O2651" i="16"/>
  <c r="P2650" i="16"/>
  <c r="O2650" i="16"/>
  <c r="P2649" i="16"/>
  <c r="O2649" i="16"/>
  <c r="P2648" i="16"/>
  <c r="O2648" i="16"/>
  <c r="P2647" i="16"/>
  <c r="O2647" i="16"/>
  <c r="P2646" i="16"/>
  <c r="O2646" i="16"/>
  <c r="P2645" i="16"/>
  <c r="O2645" i="16"/>
  <c r="P2644" i="16"/>
  <c r="O2644" i="16"/>
  <c r="P2643" i="16"/>
  <c r="O2643" i="16"/>
  <c r="P2642" i="16"/>
  <c r="O2642" i="16"/>
  <c r="P2641" i="16"/>
  <c r="O2641" i="16"/>
  <c r="P2640" i="16"/>
  <c r="O2640" i="16"/>
  <c r="P2639" i="16"/>
  <c r="O2639" i="16"/>
  <c r="P2638" i="16"/>
  <c r="O2638" i="16"/>
  <c r="P2637" i="16"/>
  <c r="O2637" i="16"/>
  <c r="P2636" i="16"/>
  <c r="O2636" i="16"/>
  <c r="P2635" i="16"/>
  <c r="O2635" i="16"/>
  <c r="P2634" i="16"/>
  <c r="O2634" i="16"/>
  <c r="P2633" i="16"/>
  <c r="O2633" i="16"/>
  <c r="P2632" i="16"/>
  <c r="O2632" i="16"/>
  <c r="P2631" i="16"/>
  <c r="O2631" i="16"/>
  <c r="P2630" i="16"/>
  <c r="O2630" i="16"/>
  <c r="P2629" i="16"/>
  <c r="O2629" i="16"/>
  <c r="P2628" i="16"/>
  <c r="O2628" i="16"/>
  <c r="P2627" i="16"/>
  <c r="O2627" i="16"/>
  <c r="P2626" i="16"/>
  <c r="O2626" i="16"/>
  <c r="P2625" i="16"/>
  <c r="O2625" i="16"/>
  <c r="P2624" i="16"/>
  <c r="O2624" i="16"/>
  <c r="P2623" i="16"/>
  <c r="O2623" i="16"/>
  <c r="P2622" i="16"/>
  <c r="O2622" i="16"/>
  <c r="P2621" i="16"/>
  <c r="O2621" i="16"/>
  <c r="P2620" i="16"/>
  <c r="O2620" i="16"/>
  <c r="P2619" i="16"/>
  <c r="O2619" i="16"/>
  <c r="P2618" i="16"/>
  <c r="O2618" i="16"/>
  <c r="P2617" i="16"/>
  <c r="O2617" i="16"/>
  <c r="P2616" i="16"/>
  <c r="O2616" i="16"/>
  <c r="P2615" i="16"/>
  <c r="O2615" i="16"/>
  <c r="P2614" i="16"/>
  <c r="O2614" i="16"/>
  <c r="P2613" i="16"/>
  <c r="O2613" i="16"/>
  <c r="P2612" i="16"/>
  <c r="O2612" i="16"/>
  <c r="P2611" i="16"/>
  <c r="O2611" i="16"/>
  <c r="P2610" i="16"/>
  <c r="O2610" i="16"/>
  <c r="P2609" i="16"/>
  <c r="O2609" i="16"/>
  <c r="P2608" i="16"/>
  <c r="O2608" i="16"/>
  <c r="P2607" i="16"/>
  <c r="O2607" i="16"/>
  <c r="P2606" i="16"/>
  <c r="O2606" i="16"/>
  <c r="P2605" i="16"/>
  <c r="O2605" i="16"/>
  <c r="P2604" i="16"/>
  <c r="O2604" i="16"/>
  <c r="P2603" i="16"/>
  <c r="O2603" i="16"/>
  <c r="P2602" i="16"/>
  <c r="O2602" i="16"/>
  <c r="P2601" i="16"/>
  <c r="O2601" i="16"/>
  <c r="P2600" i="16"/>
  <c r="O2600" i="16"/>
  <c r="P2599" i="16"/>
  <c r="O2599" i="16"/>
  <c r="P2598" i="16"/>
  <c r="O2598" i="16"/>
  <c r="P2597" i="16"/>
  <c r="O2597" i="16"/>
  <c r="P2596" i="16"/>
  <c r="O2596" i="16"/>
  <c r="P2595" i="16"/>
  <c r="O2595" i="16"/>
  <c r="P2594" i="16"/>
  <c r="O2594" i="16"/>
  <c r="P2593" i="16"/>
  <c r="O2593" i="16"/>
  <c r="P2592" i="16"/>
  <c r="O2592" i="16"/>
  <c r="P2591" i="16"/>
  <c r="O2591" i="16"/>
  <c r="P2590" i="16"/>
  <c r="O2590" i="16"/>
  <c r="P2589" i="16"/>
  <c r="O2589" i="16"/>
  <c r="P2588" i="16"/>
  <c r="O2588" i="16"/>
  <c r="P2587" i="16"/>
  <c r="O2587" i="16"/>
  <c r="P2586" i="16"/>
  <c r="O2586" i="16"/>
  <c r="P2585" i="16"/>
  <c r="O2585" i="16"/>
  <c r="P2584" i="16"/>
  <c r="O2584" i="16"/>
  <c r="P2583" i="16"/>
  <c r="O2583" i="16"/>
  <c r="P2582" i="16"/>
  <c r="O2582" i="16"/>
  <c r="P2581" i="16"/>
  <c r="O2581" i="16"/>
  <c r="P2580" i="16"/>
  <c r="O2580" i="16"/>
  <c r="P2579" i="16"/>
  <c r="O2579" i="16"/>
  <c r="P2578" i="16"/>
  <c r="O2578" i="16"/>
  <c r="P2577" i="16"/>
  <c r="O2577" i="16"/>
  <c r="P2576" i="16"/>
  <c r="O2576" i="16"/>
  <c r="P2575" i="16"/>
  <c r="O2575" i="16"/>
  <c r="P2574" i="16"/>
  <c r="O2574" i="16"/>
  <c r="P2573" i="16"/>
  <c r="O2573" i="16"/>
  <c r="P2572" i="16"/>
  <c r="O2572" i="16"/>
  <c r="P2571" i="16"/>
  <c r="O2571" i="16"/>
  <c r="P2570" i="16"/>
  <c r="O2570" i="16"/>
  <c r="P2569" i="16"/>
  <c r="O2569" i="16"/>
  <c r="P2568" i="16"/>
  <c r="O2568" i="16"/>
  <c r="P2567" i="16"/>
  <c r="O2567" i="16"/>
  <c r="P2566" i="16"/>
  <c r="O2566" i="16"/>
  <c r="P2565" i="16"/>
  <c r="O2565" i="16"/>
  <c r="P2564" i="16"/>
  <c r="O2564" i="16"/>
  <c r="P2563" i="16"/>
  <c r="O2563" i="16"/>
  <c r="P2562" i="16"/>
  <c r="O2562" i="16"/>
  <c r="P2561" i="16"/>
  <c r="O2561" i="16"/>
  <c r="P2560" i="16"/>
  <c r="O2560" i="16"/>
  <c r="P2559" i="16"/>
  <c r="O2559" i="16"/>
  <c r="P2558" i="16"/>
  <c r="O2558" i="16"/>
  <c r="P2557" i="16"/>
  <c r="O2557" i="16"/>
  <c r="P2556" i="16"/>
  <c r="O2556" i="16"/>
  <c r="P2555" i="16"/>
  <c r="O2555" i="16"/>
  <c r="P2554" i="16"/>
  <c r="O2554" i="16"/>
  <c r="P2553" i="16"/>
  <c r="O2553" i="16"/>
  <c r="P2552" i="16"/>
  <c r="O2552" i="16"/>
  <c r="P2551" i="16"/>
  <c r="O2551" i="16"/>
  <c r="P2550" i="16"/>
  <c r="O2550" i="16"/>
  <c r="P2549" i="16"/>
  <c r="O2549" i="16"/>
  <c r="P2548" i="16"/>
  <c r="O2548" i="16"/>
  <c r="P2547" i="16"/>
  <c r="O2547" i="16"/>
  <c r="P2546" i="16"/>
  <c r="O2546" i="16"/>
  <c r="P2545" i="16"/>
  <c r="O2545" i="16"/>
  <c r="P2544" i="16"/>
  <c r="O2544" i="16"/>
  <c r="P2543" i="16"/>
  <c r="O2543" i="16"/>
  <c r="P2542" i="16"/>
  <c r="O2542" i="16"/>
  <c r="P2541" i="16"/>
  <c r="O2541" i="16"/>
  <c r="P2540" i="16"/>
  <c r="O2540" i="16"/>
  <c r="P2539" i="16"/>
  <c r="O2539" i="16"/>
  <c r="P2538" i="16"/>
  <c r="O2538" i="16"/>
  <c r="P2537" i="16"/>
  <c r="O2537" i="16"/>
  <c r="P2536" i="16"/>
  <c r="O2536" i="16"/>
  <c r="P2535" i="16"/>
  <c r="O2535" i="16"/>
  <c r="P2534" i="16"/>
  <c r="O2534" i="16"/>
  <c r="P2533" i="16"/>
  <c r="O2533" i="16"/>
  <c r="P2532" i="16"/>
  <c r="O2532" i="16"/>
  <c r="P2531" i="16"/>
  <c r="O2531" i="16"/>
  <c r="P2530" i="16"/>
  <c r="O2530" i="16"/>
  <c r="P2529" i="16"/>
  <c r="O2529" i="16"/>
  <c r="P2528" i="16"/>
  <c r="O2528" i="16"/>
  <c r="P2527" i="16"/>
  <c r="O2527" i="16"/>
  <c r="P2526" i="16"/>
  <c r="O2526" i="16"/>
  <c r="P2525" i="16"/>
  <c r="O2525" i="16"/>
  <c r="P2524" i="16"/>
  <c r="O2524" i="16"/>
  <c r="P2523" i="16"/>
  <c r="O2523" i="16"/>
  <c r="P2522" i="16"/>
  <c r="O2522" i="16"/>
  <c r="P2521" i="16"/>
  <c r="O2521" i="16"/>
  <c r="P2520" i="16"/>
  <c r="O2520" i="16"/>
  <c r="P2519" i="16"/>
  <c r="O2519" i="16"/>
  <c r="P2518" i="16"/>
  <c r="O2518" i="16"/>
  <c r="P2517" i="16"/>
  <c r="O2517" i="16"/>
  <c r="P2516" i="16"/>
  <c r="O2516" i="16"/>
  <c r="P2515" i="16"/>
  <c r="O2515" i="16"/>
  <c r="P2514" i="16"/>
  <c r="O2514" i="16"/>
  <c r="P2513" i="16"/>
  <c r="O2513" i="16"/>
  <c r="P2512" i="16"/>
  <c r="O2512" i="16"/>
  <c r="P2511" i="16"/>
  <c r="O2511" i="16"/>
  <c r="P2510" i="16"/>
  <c r="O2510" i="16"/>
  <c r="P2509" i="16"/>
  <c r="O2509" i="16"/>
  <c r="P2508" i="16"/>
  <c r="O2508" i="16"/>
  <c r="P2507" i="16"/>
  <c r="O2507" i="16"/>
  <c r="P2506" i="16"/>
  <c r="O2506" i="16"/>
  <c r="P2505" i="16"/>
  <c r="O2505" i="16"/>
  <c r="P2504" i="16"/>
  <c r="O2504" i="16"/>
  <c r="P2503" i="16"/>
  <c r="O2503" i="16"/>
  <c r="P2502" i="16"/>
  <c r="O2502" i="16"/>
  <c r="P2501" i="16"/>
  <c r="O2501" i="16"/>
  <c r="P2500" i="16"/>
  <c r="O2500" i="16"/>
  <c r="P2499" i="16"/>
  <c r="O2499" i="16"/>
  <c r="P2498" i="16"/>
  <c r="O2498" i="16"/>
  <c r="P2497" i="16"/>
  <c r="O2497" i="16"/>
  <c r="P2496" i="16"/>
  <c r="O2496" i="16"/>
  <c r="P2495" i="16"/>
  <c r="O2495" i="16"/>
  <c r="P2494" i="16"/>
  <c r="O2494" i="16"/>
  <c r="P2493" i="16"/>
  <c r="O2493" i="16"/>
  <c r="P2492" i="16"/>
  <c r="O2492" i="16"/>
  <c r="P2491" i="16"/>
  <c r="O2491" i="16"/>
  <c r="P2490" i="16"/>
  <c r="O2490" i="16"/>
  <c r="P2489" i="16"/>
  <c r="O2489" i="16"/>
  <c r="P2488" i="16"/>
  <c r="O2488" i="16"/>
  <c r="P2487" i="16"/>
  <c r="O2487" i="16"/>
  <c r="P2486" i="16"/>
  <c r="O2486" i="16"/>
  <c r="P2485" i="16"/>
  <c r="O2485" i="16"/>
  <c r="P2484" i="16"/>
  <c r="O2484" i="16"/>
  <c r="P2483" i="16"/>
  <c r="O2483" i="16"/>
  <c r="P2482" i="16"/>
  <c r="O2482" i="16"/>
  <c r="P2481" i="16"/>
  <c r="O2481" i="16"/>
  <c r="P2480" i="16"/>
  <c r="O2480" i="16"/>
  <c r="P2479" i="16"/>
  <c r="O2479" i="16"/>
  <c r="P2478" i="16"/>
  <c r="O2478" i="16"/>
  <c r="P2477" i="16"/>
  <c r="O2477" i="16"/>
  <c r="P2476" i="16"/>
  <c r="O2476" i="16"/>
  <c r="P2475" i="16"/>
  <c r="O2475" i="16"/>
  <c r="P2474" i="16"/>
  <c r="O2474" i="16"/>
  <c r="P2473" i="16"/>
  <c r="O2473" i="16"/>
  <c r="P2472" i="16"/>
  <c r="O2472" i="16"/>
  <c r="P2471" i="16"/>
  <c r="O2471" i="16"/>
  <c r="P2470" i="16"/>
  <c r="O2470" i="16"/>
  <c r="P2469" i="16"/>
  <c r="O2469" i="16"/>
  <c r="P2468" i="16"/>
  <c r="O2468" i="16"/>
  <c r="P2467" i="16"/>
  <c r="O2467" i="16"/>
  <c r="P2466" i="16"/>
  <c r="O2466" i="16"/>
  <c r="P2465" i="16"/>
  <c r="O2465" i="16"/>
  <c r="P2464" i="16"/>
  <c r="O2464" i="16"/>
  <c r="P2463" i="16"/>
  <c r="O2463" i="16"/>
  <c r="P2462" i="16"/>
  <c r="O2462" i="16"/>
  <c r="P2461" i="16"/>
  <c r="O2461" i="16"/>
  <c r="P2460" i="16"/>
  <c r="O2460" i="16"/>
  <c r="P2459" i="16"/>
  <c r="O2459" i="16"/>
  <c r="P2458" i="16"/>
  <c r="O2458" i="16"/>
  <c r="P2457" i="16"/>
  <c r="O2457" i="16"/>
  <c r="P2456" i="16"/>
  <c r="O2456" i="16"/>
  <c r="P2455" i="16"/>
  <c r="O2455" i="16"/>
  <c r="P2454" i="16"/>
  <c r="O2454" i="16"/>
  <c r="P2453" i="16"/>
  <c r="O2453" i="16"/>
  <c r="P2452" i="16"/>
  <c r="O2452" i="16"/>
  <c r="P2451" i="16"/>
  <c r="O2451" i="16"/>
  <c r="P2450" i="16"/>
  <c r="O2450" i="16"/>
  <c r="P2449" i="16"/>
  <c r="O2449" i="16"/>
  <c r="P2448" i="16"/>
  <c r="O2448" i="16"/>
  <c r="P2447" i="16"/>
  <c r="O2447" i="16"/>
  <c r="P2446" i="16"/>
  <c r="O2446" i="16"/>
  <c r="P2445" i="16"/>
  <c r="O2445" i="16"/>
  <c r="P2444" i="16"/>
  <c r="O2444" i="16"/>
  <c r="P2443" i="16"/>
  <c r="O2443" i="16"/>
  <c r="P2442" i="16"/>
  <c r="O2442" i="16"/>
  <c r="P2441" i="16"/>
  <c r="O2441" i="16"/>
  <c r="P2440" i="16"/>
  <c r="O2440" i="16"/>
  <c r="P2439" i="16"/>
  <c r="O2439" i="16"/>
  <c r="P2438" i="16"/>
  <c r="O2438" i="16"/>
  <c r="P2437" i="16"/>
  <c r="O2437" i="16"/>
  <c r="P2436" i="16"/>
  <c r="O2436" i="16"/>
  <c r="P2435" i="16"/>
  <c r="O2435" i="16"/>
  <c r="P2434" i="16"/>
  <c r="O2434" i="16"/>
  <c r="P2433" i="16"/>
  <c r="O2433" i="16"/>
  <c r="P2432" i="16"/>
  <c r="O2432" i="16"/>
  <c r="P2431" i="16"/>
  <c r="O2431" i="16"/>
  <c r="P2430" i="16"/>
  <c r="O2430" i="16"/>
  <c r="P2429" i="16"/>
  <c r="O2429" i="16"/>
  <c r="P2428" i="16"/>
  <c r="O2428" i="16"/>
  <c r="P2427" i="16"/>
  <c r="O2427" i="16"/>
  <c r="P2426" i="16"/>
  <c r="O2426" i="16"/>
  <c r="P2425" i="16"/>
  <c r="O2425" i="16"/>
  <c r="P2424" i="16"/>
  <c r="O2424" i="16"/>
  <c r="P2423" i="16"/>
  <c r="O2423" i="16"/>
  <c r="P2422" i="16"/>
  <c r="O2422" i="16"/>
  <c r="P2421" i="16"/>
  <c r="O2421" i="16"/>
  <c r="P2420" i="16"/>
  <c r="O2420" i="16"/>
  <c r="P2419" i="16"/>
  <c r="O2419" i="16"/>
  <c r="P2418" i="16"/>
  <c r="O2418" i="16"/>
  <c r="P2417" i="16"/>
  <c r="O2417" i="16"/>
  <c r="P2416" i="16"/>
  <c r="O2416" i="16"/>
  <c r="P2415" i="16"/>
  <c r="O2415" i="16"/>
  <c r="P2414" i="16"/>
  <c r="O2414" i="16"/>
  <c r="P2413" i="16"/>
  <c r="O2413" i="16"/>
  <c r="P2412" i="16"/>
  <c r="O2412" i="16"/>
  <c r="P2411" i="16"/>
  <c r="O2411" i="16"/>
  <c r="P2410" i="16"/>
  <c r="O2410" i="16"/>
  <c r="P2409" i="16"/>
  <c r="O2409" i="16"/>
  <c r="P2408" i="16"/>
  <c r="O2408" i="16"/>
  <c r="P2407" i="16"/>
  <c r="O2407" i="16"/>
  <c r="P2406" i="16"/>
  <c r="O2406" i="16"/>
  <c r="P2405" i="16"/>
  <c r="O2405" i="16"/>
  <c r="P2404" i="16"/>
  <c r="O2404" i="16"/>
  <c r="P2403" i="16"/>
  <c r="O2403" i="16"/>
  <c r="P2402" i="16"/>
  <c r="O2402" i="16"/>
  <c r="P2401" i="16"/>
  <c r="O2401" i="16"/>
  <c r="P2400" i="16"/>
  <c r="O2400" i="16"/>
  <c r="P2399" i="16"/>
  <c r="O2399" i="16"/>
  <c r="P2398" i="16"/>
  <c r="O2398" i="16"/>
  <c r="P2397" i="16"/>
  <c r="O2397" i="16"/>
  <c r="P2396" i="16"/>
  <c r="O2396" i="16"/>
  <c r="P2395" i="16"/>
  <c r="O2395" i="16"/>
  <c r="P2394" i="16"/>
  <c r="O2394" i="16"/>
  <c r="P2393" i="16"/>
  <c r="O2393" i="16"/>
  <c r="P2392" i="16"/>
  <c r="O2392" i="16"/>
  <c r="P2391" i="16"/>
  <c r="O2391" i="16"/>
  <c r="P2390" i="16"/>
  <c r="O2390" i="16"/>
  <c r="P2389" i="16"/>
  <c r="O2389" i="16"/>
  <c r="P2388" i="16"/>
  <c r="O2388" i="16"/>
  <c r="P2387" i="16"/>
  <c r="O2387" i="16"/>
  <c r="P2386" i="16"/>
  <c r="O2386" i="16"/>
  <c r="P2385" i="16"/>
  <c r="O2385" i="16"/>
  <c r="P2384" i="16"/>
  <c r="O2384" i="16"/>
  <c r="P2383" i="16"/>
  <c r="O2383" i="16"/>
  <c r="P2382" i="16"/>
  <c r="O2382" i="16"/>
  <c r="P2381" i="16"/>
  <c r="O2381" i="16"/>
  <c r="P2380" i="16"/>
  <c r="O2380" i="16"/>
  <c r="P2379" i="16"/>
  <c r="O2379" i="16"/>
  <c r="P2378" i="16"/>
  <c r="O2378" i="16"/>
  <c r="P2377" i="16"/>
  <c r="O2377" i="16"/>
  <c r="P2376" i="16"/>
  <c r="O2376" i="16"/>
  <c r="P2375" i="16"/>
  <c r="O2375" i="16"/>
  <c r="P2374" i="16"/>
  <c r="O2374" i="16"/>
  <c r="P2373" i="16"/>
  <c r="O2373" i="16"/>
  <c r="P2372" i="16"/>
  <c r="O2372" i="16"/>
  <c r="P2371" i="16"/>
  <c r="O2371" i="16"/>
  <c r="P2370" i="16"/>
  <c r="O2370" i="16"/>
  <c r="P2369" i="16"/>
  <c r="O2369" i="16"/>
  <c r="P2368" i="16"/>
  <c r="O2368" i="16"/>
  <c r="P2367" i="16"/>
  <c r="O2367" i="16"/>
  <c r="P2366" i="16"/>
  <c r="O2366" i="16"/>
  <c r="P2365" i="16"/>
  <c r="O2365" i="16"/>
  <c r="P2364" i="16"/>
  <c r="O2364" i="16"/>
  <c r="P2363" i="16"/>
  <c r="O2363" i="16"/>
  <c r="P2362" i="16"/>
  <c r="O2362" i="16"/>
  <c r="P2361" i="16"/>
  <c r="O2361" i="16"/>
  <c r="P2360" i="16"/>
  <c r="O2360" i="16"/>
  <c r="P2359" i="16"/>
  <c r="O2359" i="16"/>
  <c r="P2358" i="16"/>
  <c r="O2358" i="16"/>
  <c r="P2357" i="16"/>
  <c r="O2357" i="16"/>
  <c r="P2356" i="16"/>
  <c r="O2356" i="16"/>
  <c r="P2355" i="16"/>
  <c r="O2355" i="16"/>
  <c r="P2354" i="16"/>
  <c r="O2354" i="16"/>
  <c r="P2353" i="16"/>
  <c r="O2353" i="16"/>
  <c r="P2352" i="16"/>
  <c r="O2352" i="16"/>
  <c r="P2351" i="16"/>
  <c r="O2351" i="16"/>
  <c r="P2350" i="16"/>
  <c r="O2350" i="16"/>
  <c r="P2349" i="16"/>
  <c r="O2349" i="16"/>
  <c r="P2348" i="16"/>
  <c r="O2348" i="16"/>
  <c r="P2347" i="16"/>
  <c r="O2347" i="16"/>
  <c r="P2346" i="16"/>
  <c r="O2346" i="16"/>
  <c r="P2345" i="16"/>
  <c r="O2345" i="16"/>
  <c r="P2344" i="16"/>
  <c r="O2344" i="16"/>
  <c r="P2343" i="16"/>
  <c r="O2343" i="16"/>
  <c r="P2342" i="16"/>
  <c r="O2342" i="16"/>
  <c r="P2341" i="16"/>
  <c r="O2341" i="16"/>
  <c r="P2340" i="16"/>
  <c r="O2340" i="16"/>
  <c r="P2339" i="16"/>
  <c r="O2339" i="16"/>
  <c r="P2338" i="16"/>
  <c r="O2338" i="16"/>
  <c r="P2337" i="16"/>
  <c r="O2337" i="16"/>
  <c r="P2336" i="16"/>
  <c r="O2336" i="16"/>
  <c r="P2335" i="16"/>
  <c r="O2335" i="16"/>
  <c r="P2334" i="16"/>
  <c r="O2334" i="16"/>
  <c r="P2333" i="16"/>
  <c r="O2333" i="16"/>
  <c r="P2332" i="16"/>
  <c r="O2332" i="16"/>
  <c r="P2331" i="16"/>
  <c r="O2331" i="16"/>
  <c r="P2330" i="16"/>
  <c r="O2330" i="16"/>
  <c r="P2329" i="16"/>
  <c r="O2329" i="16"/>
  <c r="P2328" i="16"/>
  <c r="O2328" i="16"/>
  <c r="P2327" i="16"/>
  <c r="O2327" i="16"/>
  <c r="P2326" i="16"/>
  <c r="O2326" i="16"/>
  <c r="P2325" i="16"/>
  <c r="O2325" i="16"/>
  <c r="P2324" i="16"/>
  <c r="O2324" i="16"/>
  <c r="P2323" i="16"/>
  <c r="O2323" i="16"/>
  <c r="P2322" i="16"/>
  <c r="O2322" i="16"/>
  <c r="P2321" i="16"/>
  <c r="O2321" i="16"/>
  <c r="P2320" i="16"/>
  <c r="O2320" i="16"/>
  <c r="P2319" i="16"/>
  <c r="O2319" i="16"/>
  <c r="P2318" i="16"/>
  <c r="O2318" i="16"/>
  <c r="P2317" i="16"/>
  <c r="O2317" i="16"/>
  <c r="P2316" i="16"/>
  <c r="O2316" i="16"/>
  <c r="P2315" i="16"/>
  <c r="O2315" i="16"/>
  <c r="P2314" i="16"/>
  <c r="O2314" i="16"/>
  <c r="P2313" i="16"/>
  <c r="O2313" i="16"/>
  <c r="P2312" i="16"/>
  <c r="O2312" i="16"/>
  <c r="P2311" i="16"/>
  <c r="O2311" i="16"/>
  <c r="P2310" i="16"/>
  <c r="O2310" i="16"/>
  <c r="P2309" i="16"/>
  <c r="O2309" i="16"/>
  <c r="P2308" i="16"/>
  <c r="O2308" i="16"/>
  <c r="P2307" i="16"/>
  <c r="O2307" i="16"/>
  <c r="P2306" i="16"/>
  <c r="O2306" i="16"/>
  <c r="P2305" i="16"/>
  <c r="O2305" i="16"/>
  <c r="P2304" i="16"/>
  <c r="O2304" i="16"/>
  <c r="P2303" i="16"/>
  <c r="O2303" i="16"/>
  <c r="P2302" i="16"/>
  <c r="O2302" i="16"/>
  <c r="P2301" i="16"/>
  <c r="O2301" i="16"/>
  <c r="P2300" i="16"/>
  <c r="O2300" i="16"/>
  <c r="P2299" i="16"/>
  <c r="O2299" i="16"/>
  <c r="P2298" i="16"/>
  <c r="O2298" i="16"/>
  <c r="P2297" i="16"/>
  <c r="O2297" i="16"/>
  <c r="P2296" i="16"/>
  <c r="O2296" i="16"/>
  <c r="P2295" i="16"/>
  <c r="O2295" i="16"/>
  <c r="P2294" i="16"/>
  <c r="O2294" i="16"/>
  <c r="P2293" i="16"/>
  <c r="O2293" i="16"/>
  <c r="P2292" i="16"/>
  <c r="O2292" i="16"/>
  <c r="P2291" i="16"/>
  <c r="O2291" i="16"/>
  <c r="P2290" i="16"/>
  <c r="O2290" i="16"/>
  <c r="P2289" i="16"/>
  <c r="O2289" i="16"/>
  <c r="P2288" i="16"/>
  <c r="O2288" i="16"/>
  <c r="P2287" i="16"/>
  <c r="O2287" i="16"/>
  <c r="P2286" i="16"/>
  <c r="O2286" i="16"/>
  <c r="P2285" i="16"/>
  <c r="O2285" i="16"/>
  <c r="P2284" i="16"/>
  <c r="O2284" i="16"/>
  <c r="P2283" i="16"/>
  <c r="O2283" i="16"/>
  <c r="P2282" i="16"/>
  <c r="O2282" i="16"/>
  <c r="P2281" i="16"/>
  <c r="O2281" i="16"/>
  <c r="P2280" i="16"/>
  <c r="O2280" i="16"/>
  <c r="P2279" i="16"/>
  <c r="O2279" i="16"/>
  <c r="P2278" i="16"/>
  <c r="O2278" i="16"/>
  <c r="P2277" i="16"/>
  <c r="O2277" i="16"/>
  <c r="P2276" i="16"/>
  <c r="O2276" i="16"/>
  <c r="P2275" i="16"/>
  <c r="O2275" i="16"/>
  <c r="P2274" i="16"/>
  <c r="O2274" i="16"/>
  <c r="P2273" i="16"/>
  <c r="O2273" i="16"/>
  <c r="P2272" i="16"/>
  <c r="O2272" i="16"/>
  <c r="P2271" i="16"/>
  <c r="O2271" i="16"/>
  <c r="P2270" i="16"/>
  <c r="O2270" i="16"/>
  <c r="P2269" i="16"/>
  <c r="O2269" i="16"/>
  <c r="P2268" i="16"/>
  <c r="O2268" i="16"/>
  <c r="P2267" i="16"/>
  <c r="O2267" i="16"/>
  <c r="P2266" i="16"/>
  <c r="O2266" i="16"/>
  <c r="P2265" i="16"/>
  <c r="O2265" i="16"/>
  <c r="P2264" i="16"/>
  <c r="O2264" i="16"/>
  <c r="P2263" i="16"/>
  <c r="O2263" i="16"/>
  <c r="P2262" i="16"/>
  <c r="O2262" i="16"/>
  <c r="P2261" i="16"/>
  <c r="O2261" i="16"/>
  <c r="P2260" i="16"/>
  <c r="O2260" i="16"/>
  <c r="P2259" i="16"/>
  <c r="O2259" i="16"/>
  <c r="P2258" i="16"/>
  <c r="O2258" i="16"/>
  <c r="P2257" i="16"/>
  <c r="O2257" i="16"/>
  <c r="P2256" i="16"/>
  <c r="O2256" i="16"/>
  <c r="P2255" i="16"/>
  <c r="O2255" i="16"/>
  <c r="P2254" i="16"/>
  <c r="O2254" i="16"/>
  <c r="P2253" i="16"/>
  <c r="O2253" i="16"/>
  <c r="P2252" i="16"/>
  <c r="O2252" i="16"/>
  <c r="P2251" i="16"/>
  <c r="O2251" i="16"/>
  <c r="P2250" i="16"/>
  <c r="O2250" i="16"/>
  <c r="P2249" i="16"/>
  <c r="O2249" i="16"/>
  <c r="P2248" i="16"/>
  <c r="O2248" i="16"/>
  <c r="P2247" i="16"/>
  <c r="O2247" i="16"/>
  <c r="P2246" i="16"/>
  <c r="O2246" i="16"/>
  <c r="P2245" i="16"/>
  <c r="O2245" i="16"/>
  <c r="P2244" i="16"/>
  <c r="O2244" i="16"/>
  <c r="P2243" i="16"/>
  <c r="O2243" i="16"/>
  <c r="P2242" i="16"/>
  <c r="O2242" i="16"/>
  <c r="P2241" i="16"/>
  <c r="O2241" i="16"/>
  <c r="P2240" i="16"/>
  <c r="O2240" i="16"/>
  <c r="P2239" i="16"/>
  <c r="O2239" i="16"/>
  <c r="P2238" i="16"/>
  <c r="O2238" i="16"/>
  <c r="P2237" i="16"/>
  <c r="O2237" i="16"/>
  <c r="P2236" i="16"/>
  <c r="O2236" i="16"/>
  <c r="P2235" i="16"/>
  <c r="O2235" i="16"/>
  <c r="P2234" i="16"/>
  <c r="O2234" i="16"/>
  <c r="P2233" i="16"/>
  <c r="O2233" i="16"/>
  <c r="P2232" i="16"/>
  <c r="O2232" i="16"/>
  <c r="P2231" i="16"/>
  <c r="O2231" i="16"/>
  <c r="P2230" i="16"/>
  <c r="O2230" i="16"/>
  <c r="P2229" i="16"/>
  <c r="O2229" i="16"/>
  <c r="P2228" i="16"/>
  <c r="O2228" i="16"/>
  <c r="P2227" i="16"/>
  <c r="O2227" i="16"/>
  <c r="P2226" i="16"/>
  <c r="O2226" i="16"/>
  <c r="P2225" i="16"/>
  <c r="O2225" i="16"/>
  <c r="P2224" i="16"/>
  <c r="O2224" i="16"/>
  <c r="P2223" i="16"/>
  <c r="O2223" i="16"/>
  <c r="P2222" i="16"/>
  <c r="O2222" i="16"/>
  <c r="P2221" i="16"/>
  <c r="O2221" i="16"/>
  <c r="P2220" i="16"/>
  <c r="O2220" i="16"/>
  <c r="P2219" i="16"/>
  <c r="O2219" i="16"/>
  <c r="P2218" i="16"/>
  <c r="O2218" i="16"/>
  <c r="P2217" i="16"/>
  <c r="O2217" i="16"/>
  <c r="P2216" i="16"/>
  <c r="O2216" i="16"/>
  <c r="P2215" i="16"/>
  <c r="O2215" i="16"/>
  <c r="P2214" i="16"/>
  <c r="O2214" i="16"/>
  <c r="P2213" i="16"/>
  <c r="O2213" i="16"/>
  <c r="P2212" i="16"/>
  <c r="O2212" i="16"/>
  <c r="P2211" i="16"/>
  <c r="O2211" i="16"/>
  <c r="P2210" i="16"/>
  <c r="O2210" i="16"/>
  <c r="P2209" i="16"/>
  <c r="O2209" i="16"/>
  <c r="P2208" i="16"/>
  <c r="O2208" i="16"/>
  <c r="P2207" i="16"/>
  <c r="O2207" i="16"/>
  <c r="P2206" i="16"/>
  <c r="O2206" i="16"/>
  <c r="P2205" i="16"/>
  <c r="O2205" i="16"/>
  <c r="P2204" i="16"/>
  <c r="O2204" i="16"/>
  <c r="P2203" i="16"/>
  <c r="O2203" i="16"/>
  <c r="P2202" i="16"/>
  <c r="O2202" i="16"/>
  <c r="P2201" i="16"/>
  <c r="O2201" i="16"/>
  <c r="P2200" i="16"/>
  <c r="O2200" i="16"/>
  <c r="P2199" i="16"/>
  <c r="O2199" i="16"/>
  <c r="P2198" i="16"/>
  <c r="O2198" i="16"/>
  <c r="P2197" i="16"/>
  <c r="O2197" i="16"/>
  <c r="P2196" i="16"/>
  <c r="O2196" i="16"/>
  <c r="P2195" i="16"/>
  <c r="O2195" i="16"/>
  <c r="P2194" i="16"/>
  <c r="O2194" i="16"/>
  <c r="P2193" i="16"/>
  <c r="O2193" i="16"/>
  <c r="P2192" i="16"/>
  <c r="O2192" i="16"/>
  <c r="P2191" i="16"/>
  <c r="O2191" i="16"/>
  <c r="P2190" i="16"/>
  <c r="O2190" i="16"/>
  <c r="P2189" i="16"/>
  <c r="O2189" i="16"/>
  <c r="P2188" i="16"/>
  <c r="O2188" i="16"/>
  <c r="P2187" i="16"/>
  <c r="O2187" i="16"/>
  <c r="P2186" i="16"/>
  <c r="O2186" i="16"/>
  <c r="P2185" i="16"/>
  <c r="O2185" i="16"/>
  <c r="P2184" i="16"/>
  <c r="O2184" i="16"/>
  <c r="P2183" i="16"/>
  <c r="O2183" i="16"/>
  <c r="P2182" i="16"/>
  <c r="O2182" i="16"/>
  <c r="P2181" i="16"/>
  <c r="O2181" i="16"/>
  <c r="P2180" i="16"/>
  <c r="O2180" i="16"/>
  <c r="P2179" i="16"/>
  <c r="O2179" i="16"/>
  <c r="P2178" i="16"/>
  <c r="O2178" i="16"/>
  <c r="P2177" i="16"/>
  <c r="O2177" i="16"/>
  <c r="P2176" i="16"/>
  <c r="O2176" i="16"/>
  <c r="P2175" i="16"/>
  <c r="O2175" i="16"/>
  <c r="P2174" i="16"/>
  <c r="O2174" i="16"/>
  <c r="P2173" i="16"/>
  <c r="O2173" i="16"/>
  <c r="P2172" i="16"/>
  <c r="O2172" i="16"/>
  <c r="P2171" i="16"/>
  <c r="O2171" i="16"/>
  <c r="P2170" i="16"/>
  <c r="O2170" i="16"/>
  <c r="P2169" i="16"/>
  <c r="O2169" i="16"/>
  <c r="P2168" i="16"/>
  <c r="O2168" i="16"/>
  <c r="P2167" i="16"/>
  <c r="O2167" i="16"/>
  <c r="P2166" i="16"/>
  <c r="O2166" i="16"/>
  <c r="P2165" i="16"/>
  <c r="O2165" i="16"/>
  <c r="P2164" i="16"/>
  <c r="O2164" i="16"/>
  <c r="P2163" i="16"/>
  <c r="O2163" i="16"/>
  <c r="P2162" i="16"/>
  <c r="O2162" i="16"/>
  <c r="P2161" i="16"/>
  <c r="O2161" i="16"/>
  <c r="P2160" i="16"/>
  <c r="O2160" i="16"/>
  <c r="P2159" i="16"/>
  <c r="O2159" i="16"/>
  <c r="P2158" i="16"/>
  <c r="O2158" i="16"/>
  <c r="P2157" i="16"/>
  <c r="O2157" i="16"/>
  <c r="P2156" i="16"/>
  <c r="O2156" i="16"/>
  <c r="P2155" i="16"/>
  <c r="O2155" i="16"/>
  <c r="P2154" i="16"/>
  <c r="O2154" i="16"/>
  <c r="P2153" i="16"/>
  <c r="O2153" i="16"/>
  <c r="P2152" i="16"/>
  <c r="O2152" i="16"/>
  <c r="P2151" i="16"/>
  <c r="O2151" i="16"/>
  <c r="P2150" i="16"/>
  <c r="O2150" i="16"/>
  <c r="P2149" i="16"/>
  <c r="O2149" i="16"/>
  <c r="P2148" i="16"/>
  <c r="O2148" i="16"/>
  <c r="P2147" i="16"/>
  <c r="O2147" i="16"/>
  <c r="P2146" i="16"/>
  <c r="O2146" i="16"/>
  <c r="P2145" i="16"/>
  <c r="O2145" i="16"/>
  <c r="P2144" i="16"/>
  <c r="O2144" i="16"/>
  <c r="P2143" i="16"/>
  <c r="O2143" i="16"/>
  <c r="P2142" i="16"/>
  <c r="O2142" i="16"/>
  <c r="P2141" i="16"/>
  <c r="O2141" i="16"/>
  <c r="P2140" i="16"/>
  <c r="O2140" i="16"/>
  <c r="P2139" i="16"/>
  <c r="O2139" i="16"/>
  <c r="P2138" i="16"/>
  <c r="O2138" i="16"/>
  <c r="P2137" i="16"/>
  <c r="O2137" i="16"/>
  <c r="P2136" i="16"/>
  <c r="O2136" i="16"/>
  <c r="P2135" i="16"/>
  <c r="O2135" i="16"/>
  <c r="P2134" i="16"/>
  <c r="O2134" i="16"/>
  <c r="P2133" i="16"/>
  <c r="O2133" i="16"/>
  <c r="P2132" i="16"/>
  <c r="O2132" i="16"/>
  <c r="P2131" i="16"/>
  <c r="O2131" i="16"/>
  <c r="P2130" i="16"/>
  <c r="O2130" i="16"/>
  <c r="P2129" i="16"/>
  <c r="O2129" i="16"/>
  <c r="P2128" i="16"/>
  <c r="O2128" i="16"/>
  <c r="P2127" i="16"/>
  <c r="O2127" i="16"/>
  <c r="P2126" i="16"/>
  <c r="O2126" i="16"/>
  <c r="P2125" i="16"/>
  <c r="O2125" i="16"/>
  <c r="P2124" i="16"/>
  <c r="O2124" i="16"/>
  <c r="P2123" i="16"/>
  <c r="O2123" i="16"/>
  <c r="P2122" i="16"/>
  <c r="O2122" i="16"/>
  <c r="P2121" i="16"/>
  <c r="O2121" i="16"/>
  <c r="P2120" i="16"/>
  <c r="O2120" i="16"/>
  <c r="P2119" i="16"/>
  <c r="O2119" i="16"/>
  <c r="P2118" i="16"/>
  <c r="O2118" i="16"/>
  <c r="P2117" i="16"/>
  <c r="O2117" i="16"/>
  <c r="P2116" i="16"/>
  <c r="O2116" i="16"/>
  <c r="P2115" i="16"/>
  <c r="O2115" i="16"/>
  <c r="P2114" i="16"/>
  <c r="O2114" i="16"/>
  <c r="P2113" i="16"/>
  <c r="O2113" i="16"/>
  <c r="P2112" i="16"/>
  <c r="O2112" i="16"/>
  <c r="P2111" i="16"/>
  <c r="O2111" i="16"/>
  <c r="P2110" i="16"/>
  <c r="O2110" i="16"/>
  <c r="P2109" i="16"/>
  <c r="O2109" i="16"/>
  <c r="P2108" i="16"/>
  <c r="O2108" i="16"/>
  <c r="P2107" i="16"/>
  <c r="O2107" i="16"/>
  <c r="P2106" i="16"/>
  <c r="O2106" i="16"/>
  <c r="P2105" i="16"/>
  <c r="O2105" i="16"/>
  <c r="P2104" i="16"/>
  <c r="O2104" i="16"/>
  <c r="P2103" i="16"/>
  <c r="O2103" i="16"/>
  <c r="P2102" i="16"/>
  <c r="O2102" i="16"/>
  <c r="P2101" i="16"/>
  <c r="O2101" i="16"/>
  <c r="P2100" i="16"/>
  <c r="O2100" i="16"/>
  <c r="P2099" i="16"/>
  <c r="O2099" i="16"/>
  <c r="P2098" i="16"/>
  <c r="O2098" i="16"/>
  <c r="P2097" i="16"/>
  <c r="O2097" i="16"/>
  <c r="P2096" i="16"/>
  <c r="O2096" i="16"/>
  <c r="P2095" i="16"/>
  <c r="O2095" i="16"/>
  <c r="P2094" i="16"/>
  <c r="O2094" i="16"/>
  <c r="P2093" i="16"/>
  <c r="O2093" i="16"/>
  <c r="P2092" i="16"/>
  <c r="O2092" i="16"/>
  <c r="P2091" i="16"/>
  <c r="O2091" i="16"/>
  <c r="P2090" i="16"/>
  <c r="O2090" i="16"/>
  <c r="P2089" i="16"/>
  <c r="O2089" i="16"/>
  <c r="P2088" i="16"/>
  <c r="O2088" i="16"/>
  <c r="P2087" i="16"/>
  <c r="O2087" i="16"/>
  <c r="P2086" i="16"/>
  <c r="O2086" i="16"/>
  <c r="P2085" i="16"/>
  <c r="O2085" i="16"/>
  <c r="P2084" i="16"/>
  <c r="O2084" i="16"/>
  <c r="P2083" i="16"/>
  <c r="O2083" i="16"/>
  <c r="P2082" i="16"/>
  <c r="O2082" i="16"/>
  <c r="P2081" i="16"/>
  <c r="O2081" i="16"/>
  <c r="P2080" i="16"/>
  <c r="O2080" i="16"/>
  <c r="P2079" i="16"/>
  <c r="O2079" i="16"/>
  <c r="P2078" i="16"/>
  <c r="O2078" i="16"/>
  <c r="P2077" i="16"/>
  <c r="O2077" i="16"/>
  <c r="P2076" i="16"/>
  <c r="O2076" i="16"/>
  <c r="P2075" i="16"/>
  <c r="O2075" i="16"/>
  <c r="P2074" i="16"/>
  <c r="O2074" i="16"/>
  <c r="P2073" i="16"/>
  <c r="O2073" i="16"/>
  <c r="P2072" i="16"/>
  <c r="O2072" i="16"/>
  <c r="P2071" i="16"/>
  <c r="O2071" i="16"/>
  <c r="P2070" i="16"/>
  <c r="O2070" i="16"/>
  <c r="P2069" i="16"/>
  <c r="O2069" i="16"/>
  <c r="P2068" i="16"/>
  <c r="O2068" i="16"/>
  <c r="P2067" i="16"/>
  <c r="O2067" i="16"/>
  <c r="P2066" i="16"/>
  <c r="O2066" i="16"/>
  <c r="P2065" i="16"/>
  <c r="O2065" i="16"/>
  <c r="P2064" i="16"/>
  <c r="O2064" i="16"/>
  <c r="P2063" i="16"/>
  <c r="O2063" i="16"/>
  <c r="P2062" i="16"/>
  <c r="O2062" i="16"/>
  <c r="P2061" i="16"/>
  <c r="O2061" i="16"/>
  <c r="P2060" i="16"/>
  <c r="O2060" i="16"/>
  <c r="P2059" i="16"/>
  <c r="O2059" i="16"/>
  <c r="P2058" i="16"/>
  <c r="O2058" i="16"/>
  <c r="P2057" i="16"/>
  <c r="O2057" i="16"/>
  <c r="P2056" i="16"/>
  <c r="O2056" i="16"/>
  <c r="P2055" i="16"/>
  <c r="O2055" i="16"/>
  <c r="P2054" i="16"/>
  <c r="O2054" i="16"/>
  <c r="P2053" i="16"/>
  <c r="O2053" i="16"/>
  <c r="P2052" i="16"/>
  <c r="O2052" i="16"/>
  <c r="P2051" i="16"/>
  <c r="O2051" i="16"/>
  <c r="P2050" i="16"/>
  <c r="O2050" i="16"/>
  <c r="P2049" i="16"/>
  <c r="O2049" i="16"/>
  <c r="P2048" i="16"/>
  <c r="O2048" i="16"/>
  <c r="P2047" i="16"/>
  <c r="O2047" i="16"/>
  <c r="P2046" i="16"/>
  <c r="O2046" i="16"/>
  <c r="P2045" i="16"/>
  <c r="O2045" i="16"/>
  <c r="P2044" i="16"/>
  <c r="O2044" i="16"/>
  <c r="P2043" i="16"/>
  <c r="O2043" i="16"/>
  <c r="P2042" i="16"/>
  <c r="O2042" i="16"/>
  <c r="P2041" i="16"/>
  <c r="O2041" i="16"/>
  <c r="P2040" i="16"/>
  <c r="O2040" i="16"/>
  <c r="P2039" i="16"/>
  <c r="O2039" i="16"/>
  <c r="P2038" i="16"/>
  <c r="O2038" i="16"/>
  <c r="P2037" i="16"/>
  <c r="O2037" i="16"/>
  <c r="P2036" i="16"/>
  <c r="O2036" i="16"/>
  <c r="P2035" i="16"/>
  <c r="O2035" i="16"/>
  <c r="P2034" i="16"/>
  <c r="O2034" i="16"/>
  <c r="P2033" i="16"/>
  <c r="O2033" i="16"/>
  <c r="P2032" i="16"/>
  <c r="O2032" i="16"/>
  <c r="P2031" i="16"/>
  <c r="O2031" i="16"/>
  <c r="P2030" i="16"/>
  <c r="O2030" i="16"/>
  <c r="P2029" i="16"/>
  <c r="O2029" i="16"/>
  <c r="P2028" i="16"/>
  <c r="O2028" i="16"/>
  <c r="P2027" i="16"/>
  <c r="O2027" i="16"/>
  <c r="P2026" i="16"/>
  <c r="O2026" i="16"/>
  <c r="P2025" i="16"/>
  <c r="O2025" i="16"/>
  <c r="P2024" i="16"/>
  <c r="O2024" i="16"/>
  <c r="P2023" i="16"/>
  <c r="O2023" i="16"/>
  <c r="P2022" i="16"/>
  <c r="O2022" i="16"/>
  <c r="P2021" i="16"/>
  <c r="O2021" i="16"/>
  <c r="P2020" i="16"/>
  <c r="O2020" i="16"/>
  <c r="P2019" i="16"/>
  <c r="O2019" i="16"/>
  <c r="P2018" i="16"/>
  <c r="O2018" i="16"/>
  <c r="P2017" i="16"/>
  <c r="O2017" i="16"/>
  <c r="P2016" i="16"/>
  <c r="O2016" i="16"/>
  <c r="P2015" i="16"/>
  <c r="O2015" i="16"/>
  <c r="P2014" i="16"/>
  <c r="O2014" i="16"/>
  <c r="P2013" i="16"/>
  <c r="O2013" i="16"/>
  <c r="P2012" i="16"/>
  <c r="O2012" i="16"/>
  <c r="P2011" i="16"/>
  <c r="O2011" i="16"/>
  <c r="P2010" i="16"/>
  <c r="O2010" i="16"/>
  <c r="P2009" i="16"/>
  <c r="O2009" i="16"/>
  <c r="P2008" i="16"/>
  <c r="O2008" i="16"/>
  <c r="P2007" i="16"/>
  <c r="O2007" i="16"/>
  <c r="P2006" i="16"/>
  <c r="O2006" i="16"/>
  <c r="P2005" i="16"/>
  <c r="O2005" i="16"/>
  <c r="P2004" i="16"/>
  <c r="O2004" i="16"/>
  <c r="P2003" i="16"/>
  <c r="O2003" i="16"/>
  <c r="P2002" i="16"/>
  <c r="O2002" i="16"/>
  <c r="P2001" i="16"/>
  <c r="O2001" i="16"/>
  <c r="P2000" i="16"/>
  <c r="O2000" i="16"/>
  <c r="P1999" i="16"/>
  <c r="O1999" i="16"/>
  <c r="P1998" i="16"/>
  <c r="O1998" i="16"/>
  <c r="P1997" i="16"/>
  <c r="O1997" i="16"/>
  <c r="P1996" i="16"/>
  <c r="O1996" i="16"/>
  <c r="P1995" i="16"/>
  <c r="O1995" i="16"/>
  <c r="P1994" i="16"/>
  <c r="O1994" i="16"/>
  <c r="P1993" i="16"/>
  <c r="O1993" i="16"/>
  <c r="P1992" i="16"/>
  <c r="O1992" i="16"/>
  <c r="P1991" i="16"/>
  <c r="O1991" i="16"/>
  <c r="P1990" i="16"/>
  <c r="O1990" i="16"/>
  <c r="P1989" i="16"/>
  <c r="O1989" i="16"/>
  <c r="P1988" i="16"/>
  <c r="O1988" i="16"/>
  <c r="P1987" i="16"/>
  <c r="O1987" i="16"/>
  <c r="P1986" i="16"/>
  <c r="O1986" i="16"/>
  <c r="P1985" i="16"/>
  <c r="O1985" i="16"/>
  <c r="P1984" i="16"/>
  <c r="O1984" i="16"/>
  <c r="P1983" i="16"/>
  <c r="O1983" i="16"/>
  <c r="P1982" i="16"/>
  <c r="O1982" i="16"/>
  <c r="P1981" i="16"/>
  <c r="O1981" i="16"/>
  <c r="P1980" i="16"/>
  <c r="O1980" i="16"/>
  <c r="P1979" i="16"/>
  <c r="O1979" i="16"/>
  <c r="P1978" i="16"/>
  <c r="O1978" i="16"/>
  <c r="P1977" i="16"/>
  <c r="O1977" i="16"/>
  <c r="P1976" i="16"/>
  <c r="O1976" i="16"/>
  <c r="P1975" i="16"/>
  <c r="O1975" i="16"/>
  <c r="P1974" i="16"/>
  <c r="O1974" i="16"/>
  <c r="P1973" i="16"/>
  <c r="O1973" i="16"/>
  <c r="P1972" i="16"/>
  <c r="O1972" i="16"/>
  <c r="P1971" i="16"/>
  <c r="O1971" i="16"/>
  <c r="P1970" i="16"/>
  <c r="O1970" i="16"/>
  <c r="P1969" i="16"/>
  <c r="O1969" i="16"/>
  <c r="P1968" i="16"/>
  <c r="O1968" i="16"/>
  <c r="P1967" i="16"/>
  <c r="O1967" i="16"/>
  <c r="P1966" i="16"/>
  <c r="O1966" i="16"/>
  <c r="P1965" i="16"/>
  <c r="O1965" i="16"/>
  <c r="P1964" i="16"/>
  <c r="O1964" i="16"/>
  <c r="P1963" i="16"/>
  <c r="O1963" i="16"/>
  <c r="P1962" i="16"/>
  <c r="O1962" i="16"/>
  <c r="P1961" i="16"/>
  <c r="O1961" i="16"/>
  <c r="P1960" i="16"/>
  <c r="O1960" i="16"/>
  <c r="P1959" i="16"/>
  <c r="O1959" i="16"/>
  <c r="P1958" i="16"/>
  <c r="O1958" i="16"/>
  <c r="P1957" i="16"/>
  <c r="O1957" i="16"/>
  <c r="P1956" i="16"/>
  <c r="O1956" i="16"/>
  <c r="P1955" i="16"/>
  <c r="O1955" i="16"/>
  <c r="P1954" i="16"/>
  <c r="O1954" i="16"/>
  <c r="P1953" i="16"/>
  <c r="O1953" i="16"/>
  <c r="P1952" i="16"/>
  <c r="O1952" i="16"/>
  <c r="P1951" i="16"/>
  <c r="O1951" i="16"/>
  <c r="P1950" i="16"/>
  <c r="O1950" i="16"/>
  <c r="P1949" i="16"/>
  <c r="O1949" i="16"/>
  <c r="P1948" i="16"/>
  <c r="O1948" i="16"/>
  <c r="P1947" i="16"/>
  <c r="O1947" i="16"/>
  <c r="P1946" i="16"/>
  <c r="O1946" i="16"/>
  <c r="P1945" i="16"/>
  <c r="O1945" i="16"/>
  <c r="P1944" i="16"/>
  <c r="O1944" i="16"/>
  <c r="P1943" i="16"/>
  <c r="O1943" i="16"/>
  <c r="P1942" i="16"/>
  <c r="O1942" i="16"/>
  <c r="P1941" i="16"/>
  <c r="O1941" i="16"/>
  <c r="P1940" i="16"/>
  <c r="O1940" i="16"/>
  <c r="P1939" i="16"/>
  <c r="O1939" i="16"/>
  <c r="P1938" i="16"/>
  <c r="O1938" i="16"/>
  <c r="P1937" i="16"/>
  <c r="O1937" i="16"/>
  <c r="P1936" i="16"/>
  <c r="O1936" i="16"/>
  <c r="P1935" i="16"/>
  <c r="O1935" i="16"/>
  <c r="P1934" i="16"/>
  <c r="O1934" i="16"/>
  <c r="P1933" i="16"/>
  <c r="O1933" i="16"/>
  <c r="P1932" i="16"/>
  <c r="O1932" i="16"/>
  <c r="P1931" i="16"/>
  <c r="O1931" i="16"/>
  <c r="P1930" i="16"/>
  <c r="O1930" i="16"/>
  <c r="P1929" i="16"/>
  <c r="O1929" i="16"/>
  <c r="P1928" i="16"/>
  <c r="O1928" i="16"/>
  <c r="P1927" i="16"/>
  <c r="O1927" i="16"/>
  <c r="P1926" i="16"/>
  <c r="O1926" i="16"/>
  <c r="P1925" i="16"/>
  <c r="O1925" i="16"/>
  <c r="P1924" i="16"/>
  <c r="O1924" i="16"/>
  <c r="P1923" i="16"/>
  <c r="O1923" i="16"/>
  <c r="P1922" i="16"/>
  <c r="O1922" i="16"/>
  <c r="P1921" i="16"/>
  <c r="O1921" i="16"/>
  <c r="P1920" i="16"/>
  <c r="O1920" i="16"/>
  <c r="P1919" i="16"/>
  <c r="O1919" i="16"/>
  <c r="P1918" i="16"/>
  <c r="O1918" i="16"/>
  <c r="P1917" i="16"/>
  <c r="O1917" i="16"/>
  <c r="P1916" i="16"/>
  <c r="O1916" i="16"/>
  <c r="P1915" i="16"/>
  <c r="O1915" i="16"/>
  <c r="P1914" i="16"/>
  <c r="O1914" i="16"/>
  <c r="P1913" i="16"/>
  <c r="O1913" i="16"/>
  <c r="P1912" i="16"/>
  <c r="O1912" i="16"/>
  <c r="P1911" i="16"/>
  <c r="O1911" i="16"/>
  <c r="P1910" i="16"/>
  <c r="O1910" i="16"/>
  <c r="P1909" i="16"/>
  <c r="O1909" i="16"/>
  <c r="P1908" i="16"/>
  <c r="O1908" i="16"/>
  <c r="P1907" i="16"/>
  <c r="O1907" i="16"/>
  <c r="P1906" i="16"/>
  <c r="O1906" i="16"/>
  <c r="P1905" i="16"/>
  <c r="O1905" i="16"/>
  <c r="P1904" i="16"/>
  <c r="O1904" i="16"/>
  <c r="P1903" i="16"/>
  <c r="O1903" i="16"/>
  <c r="P1902" i="16"/>
  <c r="O1902" i="16"/>
  <c r="P1901" i="16"/>
  <c r="O1901" i="16"/>
  <c r="P1900" i="16"/>
  <c r="O1900" i="16"/>
  <c r="P1899" i="16"/>
  <c r="O1899" i="16"/>
  <c r="P1898" i="16"/>
  <c r="O1898" i="16"/>
  <c r="P1897" i="16"/>
  <c r="O1897" i="16"/>
  <c r="P1896" i="16"/>
  <c r="O1896" i="16"/>
  <c r="P1895" i="16"/>
  <c r="O1895" i="16"/>
  <c r="P1894" i="16"/>
  <c r="O1894" i="16"/>
  <c r="P1893" i="16"/>
  <c r="O1893" i="16"/>
  <c r="P1892" i="16"/>
  <c r="O1892" i="16"/>
  <c r="P1891" i="16"/>
  <c r="O1891" i="16"/>
  <c r="P1890" i="16"/>
  <c r="O1890" i="16"/>
  <c r="P1889" i="16"/>
  <c r="O1889" i="16"/>
  <c r="P1888" i="16"/>
  <c r="O1888" i="16"/>
  <c r="P1887" i="16"/>
  <c r="O1887" i="16"/>
  <c r="P1886" i="16"/>
  <c r="O1886" i="16"/>
  <c r="P1885" i="16"/>
  <c r="O1885" i="16"/>
  <c r="P1884" i="16"/>
  <c r="O1884" i="16"/>
  <c r="P1883" i="16"/>
  <c r="O1883" i="16"/>
  <c r="P1882" i="16"/>
  <c r="O1882" i="16"/>
  <c r="P1881" i="16"/>
  <c r="O1881" i="16"/>
  <c r="P1880" i="16"/>
  <c r="O1880" i="16"/>
  <c r="P1879" i="16"/>
  <c r="O1879" i="16"/>
  <c r="P1878" i="16"/>
  <c r="O1878" i="16"/>
  <c r="P1877" i="16"/>
  <c r="O1877" i="16"/>
  <c r="P1876" i="16"/>
  <c r="O1876" i="16"/>
  <c r="P1875" i="16"/>
  <c r="O1875" i="16"/>
  <c r="P1874" i="16"/>
  <c r="O1874" i="16"/>
  <c r="P1873" i="16"/>
  <c r="O1873" i="16"/>
  <c r="P1872" i="16"/>
  <c r="O1872" i="16"/>
  <c r="P1871" i="16"/>
  <c r="O1871" i="16"/>
  <c r="P1870" i="16"/>
  <c r="O1870" i="16"/>
  <c r="P1869" i="16"/>
  <c r="O1869" i="16"/>
  <c r="P1868" i="16"/>
  <c r="O1868" i="16"/>
  <c r="P1867" i="16"/>
  <c r="O1867" i="16"/>
  <c r="P1866" i="16"/>
  <c r="O1866" i="16"/>
  <c r="P1865" i="16"/>
  <c r="O1865" i="16"/>
  <c r="P1864" i="16"/>
  <c r="O1864" i="16"/>
  <c r="P1863" i="16"/>
  <c r="O1863" i="16"/>
  <c r="P1862" i="16"/>
  <c r="O1862" i="16"/>
  <c r="P1861" i="16"/>
  <c r="O1861" i="16"/>
  <c r="P1860" i="16"/>
  <c r="O1860" i="16"/>
  <c r="P1859" i="16"/>
  <c r="O1859" i="16"/>
  <c r="P1858" i="16"/>
  <c r="O1858" i="16"/>
  <c r="P1857" i="16"/>
  <c r="O1857" i="16"/>
  <c r="P1856" i="16"/>
  <c r="O1856" i="16"/>
  <c r="P1855" i="16"/>
  <c r="O1855" i="16"/>
  <c r="P1854" i="16"/>
  <c r="O1854" i="16"/>
  <c r="P1853" i="16"/>
  <c r="O1853" i="16"/>
  <c r="P1852" i="16"/>
  <c r="O1852" i="16"/>
  <c r="P1851" i="16"/>
  <c r="O1851" i="16"/>
  <c r="P1850" i="16"/>
  <c r="O1850" i="16"/>
  <c r="P1849" i="16"/>
  <c r="O1849" i="16"/>
  <c r="P1848" i="16"/>
  <c r="O1848" i="16"/>
  <c r="P1847" i="16"/>
  <c r="O1847" i="16"/>
  <c r="P1846" i="16"/>
  <c r="O1846" i="16"/>
  <c r="P1845" i="16"/>
  <c r="O1845" i="16"/>
  <c r="P1844" i="16"/>
  <c r="O1844" i="16"/>
  <c r="P1843" i="16"/>
  <c r="O1843" i="16"/>
  <c r="P1842" i="16"/>
  <c r="O1842" i="16"/>
  <c r="P1841" i="16"/>
  <c r="O1841" i="16"/>
  <c r="P1840" i="16"/>
  <c r="O1840" i="16"/>
  <c r="P1839" i="16"/>
  <c r="O1839" i="16"/>
  <c r="P1838" i="16"/>
  <c r="O1838" i="16"/>
  <c r="P1837" i="16"/>
  <c r="O1837" i="16"/>
  <c r="P1836" i="16"/>
  <c r="O1836" i="16"/>
  <c r="P1835" i="16"/>
  <c r="O1835" i="16"/>
  <c r="P1834" i="16"/>
  <c r="O1834" i="16"/>
  <c r="P1833" i="16"/>
  <c r="O1833" i="16"/>
  <c r="P1832" i="16"/>
  <c r="O1832" i="16"/>
  <c r="P1831" i="16"/>
  <c r="O1831" i="16"/>
  <c r="P1830" i="16"/>
  <c r="O1830" i="16"/>
  <c r="P1829" i="16"/>
  <c r="O1829" i="16"/>
  <c r="P1828" i="16"/>
  <c r="O1828" i="16"/>
  <c r="P1827" i="16"/>
  <c r="O1827" i="16"/>
  <c r="P1826" i="16"/>
  <c r="O1826" i="16"/>
  <c r="P1825" i="16"/>
  <c r="O1825" i="16"/>
  <c r="P1824" i="16"/>
  <c r="O1824" i="16"/>
  <c r="P1823" i="16"/>
  <c r="O1823" i="16"/>
  <c r="P1822" i="16"/>
  <c r="O1822" i="16"/>
  <c r="P1821" i="16"/>
  <c r="O1821" i="16"/>
  <c r="P1820" i="16"/>
  <c r="O1820" i="16"/>
  <c r="P1819" i="16"/>
  <c r="O1819" i="16"/>
  <c r="P1818" i="16"/>
  <c r="O1818" i="16"/>
  <c r="P1817" i="16"/>
  <c r="O1817" i="16"/>
  <c r="P1816" i="16"/>
  <c r="O1816" i="16"/>
  <c r="P1815" i="16"/>
  <c r="O1815" i="16"/>
  <c r="P1814" i="16"/>
  <c r="O1814" i="16"/>
  <c r="P1813" i="16"/>
  <c r="O1813" i="16"/>
  <c r="P1812" i="16"/>
  <c r="O1812" i="16"/>
  <c r="P1811" i="16"/>
  <c r="O1811" i="16"/>
  <c r="P1810" i="16"/>
  <c r="O1810" i="16"/>
  <c r="P1809" i="16"/>
  <c r="O1809" i="16"/>
  <c r="P1808" i="16"/>
  <c r="O1808" i="16"/>
  <c r="P1807" i="16"/>
  <c r="O1807" i="16"/>
  <c r="P1806" i="16"/>
  <c r="O1806" i="16"/>
  <c r="P1805" i="16"/>
  <c r="O1805" i="16"/>
  <c r="P1804" i="16"/>
  <c r="O1804" i="16"/>
  <c r="P1803" i="16"/>
  <c r="O1803" i="16"/>
  <c r="P1802" i="16"/>
  <c r="O1802" i="16"/>
  <c r="P1801" i="16"/>
  <c r="O1801" i="16"/>
  <c r="P1800" i="16"/>
  <c r="O1800" i="16"/>
  <c r="P1799" i="16"/>
  <c r="O1799" i="16"/>
  <c r="P1798" i="16"/>
  <c r="O1798" i="16"/>
  <c r="P1797" i="16"/>
  <c r="O1797" i="16"/>
  <c r="P1796" i="16"/>
  <c r="O1796" i="16"/>
  <c r="P1795" i="16"/>
  <c r="O1795" i="16"/>
  <c r="P1794" i="16"/>
  <c r="O1794" i="16"/>
  <c r="P1793" i="16"/>
  <c r="O1793" i="16"/>
  <c r="P1792" i="16"/>
  <c r="O1792" i="16"/>
  <c r="P1791" i="16"/>
  <c r="O1791" i="16"/>
  <c r="P1790" i="16"/>
  <c r="O1790" i="16"/>
  <c r="P1789" i="16"/>
  <c r="O1789" i="16"/>
  <c r="P1788" i="16"/>
  <c r="O1788" i="16"/>
  <c r="P1787" i="16"/>
  <c r="O1787" i="16"/>
  <c r="P1786" i="16"/>
  <c r="O1786" i="16"/>
  <c r="P1785" i="16"/>
  <c r="O1785" i="16"/>
  <c r="P1784" i="16"/>
  <c r="O1784" i="16"/>
  <c r="P1783" i="16"/>
  <c r="O1783" i="16"/>
  <c r="P1782" i="16"/>
  <c r="O1782" i="16"/>
  <c r="P1781" i="16"/>
  <c r="O1781" i="16"/>
  <c r="P1780" i="16"/>
  <c r="O1780" i="16"/>
  <c r="P1779" i="16"/>
  <c r="O1779" i="16"/>
  <c r="P1778" i="16"/>
  <c r="O1778" i="16"/>
  <c r="P1777" i="16"/>
  <c r="O1777" i="16"/>
  <c r="P1776" i="16"/>
  <c r="O1776" i="16"/>
  <c r="P1775" i="16"/>
  <c r="O1775" i="16"/>
  <c r="P1774" i="16"/>
  <c r="O1774" i="16"/>
  <c r="P1773" i="16"/>
  <c r="O1773" i="16"/>
  <c r="P1772" i="16"/>
  <c r="O1772" i="16"/>
  <c r="P1771" i="16"/>
  <c r="O1771" i="16"/>
  <c r="P1770" i="16"/>
  <c r="O1770" i="16"/>
  <c r="P1769" i="16"/>
  <c r="O1769" i="16"/>
  <c r="P1768" i="16"/>
  <c r="O1768" i="16"/>
  <c r="P1767" i="16"/>
  <c r="O1767" i="16"/>
  <c r="P1766" i="16"/>
  <c r="O1766" i="16"/>
  <c r="P1765" i="16"/>
  <c r="O1765" i="16"/>
  <c r="P1764" i="16"/>
  <c r="O1764" i="16"/>
  <c r="P1763" i="16"/>
  <c r="O1763" i="16"/>
  <c r="P1762" i="16"/>
  <c r="O1762" i="16"/>
  <c r="P1761" i="16"/>
  <c r="O1761" i="16"/>
  <c r="P1760" i="16"/>
  <c r="O1760" i="16"/>
  <c r="P1759" i="16"/>
  <c r="O1759" i="16"/>
  <c r="P1758" i="16"/>
  <c r="O1758" i="16"/>
  <c r="P1757" i="16"/>
  <c r="O1757" i="16"/>
  <c r="P1756" i="16"/>
  <c r="O1756" i="16"/>
  <c r="P1755" i="16"/>
  <c r="O1755" i="16"/>
  <c r="P1754" i="16"/>
  <c r="O1754" i="16"/>
  <c r="P1753" i="16"/>
  <c r="O1753" i="16"/>
  <c r="P1752" i="16"/>
  <c r="O1752" i="16"/>
  <c r="P1751" i="16"/>
  <c r="O1751" i="16"/>
  <c r="P1750" i="16"/>
  <c r="O1750" i="16"/>
  <c r="P1749" i="16"/>
  <c r="O1749" i="16"/>
  <c r="P1748" i="16"/>
  <c r="O1748" i="16"/>
  <c r="P1747" i="16"/>
  <c r="O1747" i="16"/>
  <c r="P1746" i="16"/>
  <c r="O1746" i="16"/>
  <c r="P1745" i="16"/>
  <c r="O1745" i="16"/>
  <c r="P1744" i="16"/>
  <c r="O1744" i="16"/>
  <c r="P1743" i="16"/>
  <c r="O1743" i="16"/>
  <c r="P1742" i="16"/>
  <c r="O1742" i="16"/>
  <c r="P1741" i="16"/>
  <c r="O1741" i="16"/>
  <c r="P1740" i="16"/>
  <c r="O1740" i="16"/>
  <c r="P1739" i="16"/>
  <c r="O1739" i="16"/>
  <c r="P1738" i="16"/>
  <c r="O1738" i="16"/>
  <c r="P1737" i="16"/>
  <c r="O1737" i="16"/>
  <c r="P1736" i="16"/>
  <c r="O1736" i="16"/>
  <c r="P1735" i="16"/>
  <c r="O1735" i="16"/>
  <c r="P1734" i="16"/>
  <c r="O1734" i="16"/>
  <c r="P1733" i="16"/>
  <c r="O1733" i="16"/>
  <c r="P1732" i="16"/>
  <c r="O1732" i="16"/>
  <c r="P1731" i="16"/>
  <c r="O1731" i="16"/>
  <c r="P1730" i="16"/>
  <c r="O1730" i="16"/>
  <c r="P1729" i="16"/>
  <c r="O1729" i="16"/>
  <c r="P1728" i="16"/>
  <c r="O1728" i="16"/>
  <c r="P1727" i="16"/>
  <c r="O1727" i="16"/>
  <c r="P1726" i="16"/>
  <c r="O1726" i="16"/>
  <c r="P1725" i="16"/>
  <c r="O1725" i="16"/>
  <c r="P1724" i="16"/>
  <c r="O1724" i="16"/>
  <c r="P1723" i="16"/>
  <c r="O1723" i="16"/>
  <c r="P1722" i="16"/>
  <c r="O1722" i="16"/>
  <c r="P1721" i="16"/>
  <c r="O1721" i="16"/>
  <c r="P1720" i="16"/>
  <c r="O1720" i="16"/>
  <c r="P1719" i="16"/>
  <c r="O1719" i="16"/>
  <c r="P1718" i="16"/>
  <c r="O1718" i="16"/>
  <c r="P1717" i="16"/>
  <c r="O1717" i="16"/>
  <c r="P1716" i="16"/>
  <c r="O1716" i="16"/>
  <c r="P1715" i="16"/>
  <c r="O1715" i="16"/>
  <c r="P1714" i="16"/>
  <c r="O1714" i="16"/>
  <c r="P1713" i="16"/>
  <c r="O1713" i="16"/>
  <c r="P1712" i="16"/>
  <c r="O1712" i="16"/>
  <c r="P1711" i="16"/>
  <c r="O1711" i="16"/>
  <c r="P1710" i="16"/>
  <c r="O1710" i="16"/>
  <c r="P1709" i="16"/>
  <c r="O1709" i="16"/>
  <c r="P1708" i="16"/>
  <c r="O1708" i="16"/>
  <c r="P1707" i="16"/>
  <c r="O1707" i="16"/>
  <c r="P1706" i="16"/>
  <c r="O1706" i="16"/>
  <c r="P1705" i="16"/>
  <c r="O1705" i="16"/>
  <c r="P1704" i="16"/>
  <c r="O1704" i="16"/>
  <c r="P1703" i="16"/>
  <c r="O1703" i="16"/>
  <c r="P1702" i="16"/>
  <c r="O1702" i="16"/>
  <c r="P1701" i="16"/>
  <c r="O1701" i="16"/>
  <c r="P1700" i="16"/>
  <c r="O1700" i="16"/>
  <c r="P1699" i="16"/>
  <c r="O1699" i="16"/>
  <c r="P1698" i="16"/>
  <c r="O1698" i="16"/>
  <c r="P1697" i="16"/>
  <c r="O1697" i="16"/>
  <c r="P1696" i="16"/>
  <c r="O1696" i="16"/>
  <c r="P1695" i="16"/>
  <c r="O1695" i="16"/>
  <c r="P1694" i="16"/>
  <c r="O1694" i="16"/>
  <c r="P1693" i="16"/>
  <c r="O1693" i="16"/>
  <c r="P1692" i="16"/>
  <c r="O1692" i="16"/>
  <c r="P1691" i="16"/>
  <c r="O1691" i="16"/>
  <c r="P1690" i="16"/>
  <c r="O1690" i="16"/>
  <c r="P1689" i="16"/>
  <c r="O1689" i="16"/>
  <c r="P1688" i="16"/>
  <c r="O1688" i="16"/>
  <c r="P1687" i="16"/>
  <c r="O1687" i="16"/>
  <c r="P1686" i="16"/>
  <c r="O1686" i="16"/>
  <c r="P1685" i="16"/>
  <c r="O1685" i="16"/>
  <c r="P1684" i="16"/>
  <c r="O1684" i="16"/>
  <c r="P1683" i="16"/>
  <c r="O1683" i="16"/>
  <c r="P1682" i="16"/>
  <c r="O1682" i="16"/>
  <c r="P1681" i="16"/>
  <c r="O1681" i="16"/>
  <c r="P1680" i="16"/>
  <c r="O1680" i="16"/>
  <c r="P1679" i="16"/>
  <c r="O1679" i="16"/>
  <c r="P1678" i="16"/>
  <c r="O1678" i="16"/>
  <c r="P1677" i="16"/>
  <c r="O1677" i="16"/>
  <c r="P1676" i="16"/>
  <c r="O1676" i="16"/>
  <c r="P1675" i="16"/>
  <c r="O1675" i="16"/>
  <c r="P1674" i="16"/>
  <c r="O1674" i="16"/>
  <c r="P1673" i="16"/>
  <c r="O1673" i="16"/>
  <c r="P1672" i="16"/>
  <c r="O1672" i="16"/>
  <c r="P1671" i="16"/>
  <c r="O1671" i="16"/>
  <c r="P1670" i="16"/>
  <c r="O1670" i="16"/>
  <c r="P1669" i="16"/>
  <c r="O1669" i="16"/>
  <c r="P1668" i="16"/>
  <c r="O1668" i="16"/>
  <c r="P1667" i="16"/>
  <c r="O1667" i="16"/>
  <c r="P1666" i="16"/>
  <c r="O1666" i="16"/>
  <c r="P1665" i="16"/>
  <c r="O1665" i="16"/>
  <c r="P1664" i="16"/>
  <c r="O1664" i="16"/>
  <c r="P1663" i="16"/>
  <c r="O1663" i="16"/>
  <c r="P1662" i="16"/>
  <c r="O1662" i="16"/>
  <c r="P1661" i="16"/>
  <c r="O1661" i="16"/>
  <c r="P1660" i="16"/>
  <c r="O1660" i="16"/>
  <c r="P1659" i="16"/>
  <c r="O1659" i="16"/>
  <c r="P1658" i="16"/>
  <c r="O1658" i="16"/>
  <c r="P1657" i="16"/>
  <c r="O1657" i="16"/>
  <c r="P1656" i="16"/>
  <c r="O1656" i="16"/>
  <c r="P1655" i="16"/>
  <c r="O1655" i="16"/>
  <c r="P1654" i="16"/>
  <c r="O1654" i="16"/>
  <c r="P1653" i="16"/>
  <c r="O1653" i="16"/>
  <c r="P1652" i="16"/>
  <c r="O1652" i="16"/>
  <c r="P1651" i="16"/>
  <c r="O1651" i="16"/>
  <c r="P1650" i="16"/>
  <c r="O1650" i="16"/>
  <c r="P1649" i="16"/>
  <c r="O1649" i="16"/>
  <c r="P1648" i="16"/>
  <c r="O1648" i="16"/>
  <c r="P1647" i="16"/>
  <c r="O1647" i="16"/>
  <c r="P1646" i="16"/>
  <c r="O1646" i="16"/>
  <c r="P1645" i="16"/>
  <c r="O1645" i="16"/>
  <c r="P1644" i="16"/>
  <c r="O1644" i="16"/>
  <c r="P1643" i="16"/>
  <c r="O1643" i="16"/>
  <c r="P1642" i="16"/>
  <c r="O1642" i="16"/>
  <c r="P1641" i="16"/>
  <c r="O1641" i="16"/>
  <c r="P1640" i="16"/>
  <c r="O1640" i="16"/>
  <c r="P1639" i="16"/>
  <c r="O1639" i="16"/>
  <c r="P1638" i="16"/>
  <c r="O1638" i="16"/>
  <c r="P1637" i="16"/>
  <c r="O1637" i="16"/>
  <c r="P1636" i="16"/>
  <c r="O1636" i="16"/>
  <c r="P1635" i="16"/>
  <c r="O1635" i="16"/>
  <c r="P1634" i="16"/>
  <c r="O1634" i="16"/>
  <c r="P1633" i="16"/>
  <c r="O1633" i="16"/>
  <c r="P1632" i="16"/>
  <c r="O1632" i="16"/>
  <c r="P1631" i="16"/>
  <c r="O1631" i="16"/>
  <c r="P1630" i="16"/>
  <c r="O1630" i="16"/>
  <c r="P1629" i="16"/>
  <c r="O1629" i="16"/>
  <c r="P1628" i="16"/>
  <c r="O1628" i="16"/>
  <c r="P1627" i="16"/>
  <c r="O1627" i="16"/>
  <c r="P1626" i="16"/>
  <c r="O1626" i="16"/>
  <c r="P1625" i="16"/>
  <c r="O1625" i="16"/>
  <c r="P1624" i="16"/>
  <c r="O1624" i="16"/>
  <c r="P1623" i="16"/>
  <c r="O1623" i="16"/>
  <c r="P1622" i="16"/>
  <c r="O1622" i="16"/>
  <c r="P1621" i="16"/>
  <c r="O1621" i="16"/>
  <c r="P1620" i="16"/>
  <c r="O1620" i="16"/>
  <c r="P1619" i="16"/>
  <c r="O1619" i="16"/>
  <c r="P1618" i="16"/>
  <c r="O1618" i="16"/>
  <c r="P1617" i="16"/>
  <c r="O1617" i="16"/>
  <c r="P1616" i="16"/>
  <c r="O1616" i="16"/>
  <c r="P1615" i="16"/>
  <c r="O1615" i="16"/>
  <c r="P1614" i="16"/>
  <c r="O1614" i="16"/>
  <c r="P1613" i="16"/>
  <c r="O1613" i="16"/>
  <c r="P1612" i="16"/>
  <c r="O1612" i="16"/>
  <c r="P1611" i="16"/>
  <c r="O1611" i="16"/>
  <c r="P1610" i="16"/>
  <c r="O1610" i="16"/>
  <c r="P1609" i="16"/>
  <c r="O1609" i="16"/>
  <c r="P1608" i="16"/>
  <c r="O1608" i="16"/>
  <c r="P1607" i="16"/>
  <c r="O1607" i="16"/>
  <c r="P1606" i="16"/>
  <c r="O1606" i="16"/>
  <c r="P1605" i="16"/>
  <c r="O1605" i="16"/>
  <c r="P1604" i="16"/>
  <c r="O1604" i="16"/>
  <c r="P1603" i="16"/>
  <c r="O1603" i="16"/>
  <c r="P1602" i="16"/>
  <c r="O1602" i="16"/>
  <c r="P1601" i="16"/>
  <c r="O1601" i="16"/>
  <c r="P1600" i="16"/>
  <c r="O1600" i="16"/>
  <c r="P1599" i="16"/>
  <c r="O1599" i="16"/>
  <c r="P1598" i="16"/>
  <c r="O1598" i="16"/>
  <c r="P1597" i="16"/>
  <c r="O1597" i="16"/>
  <c r="P1596" i="16"/>
  <c r="O1596" i="16"/>
  <c r="P1595" i="16"/>
  <c r="O1595" i="16"/>
  <c r="P1594" i="16"/>
  <c r="O1594" i="16"/>
  <c r="P1593" i="16"/>
  <c r="O1593" i="16"/>
  <c r="P1592" i="16"/>
  <c r="O1592" i="16"/>
  <c r="P1591" i="16"/>
  <c r="O1591" i="16"/>
  <c r="P1590" i="16"/>
  <c r="O1590" i="16"/>
  <c r="P1589" i="16"/>
  <c r="O1589" i="16"/>
  <c r="P1588" i="16"/>
  <c r="O1588" i="16"/>
  <c r="P1587" i="16"/>
  <c r="O1587" i="16"/>
  <c r="P1586" i="16"/>
  <c r="O1586" i="16"/>
  <c r="P1585" i="16"/>
  <c r="O1585" i="16"/>
  <c r="P1584" i="16"/>
  <c r="O1584" i="16"/>
  <c r="P1583" i="16"/>
  <c r="O1583" i="16"/>
  <c r="P1582" i="16"/>
  <c r="O1582" i="16"/>
  <c r="P1581" i="16"/>
  <c r="O1581" i="16"/>
  <c r="P1580" i="16"/>
  <c r="O1580" i="16"/>
  <c r="P1579" i="16"/>
  <c r="O1579" i="16"/>
  <c r="P1578" i="16"/>
  <c r="O1578" i="16"/>
  <c r="P1577" i="16"/>
  <c r="O1577" i="16"/>
  <c r="P1576" i="16"/>
  <c r="O1576" i="16"/>
  <c r="P1575" i="16"/>
  <c r="O1575" i="16"/>
  <c r="P1574" i="16"/>
  <c r="O1574" i="16"/>
  <c r="P1573" i="16"/>
  <c r="O1573" i="16"/>
  <c r="P1572" i="16"/>
  <c r="O1572" i="16"/>
  <c r="P1571" i="16"/>
  <c r="O1571" i="16"/>
  <c r="P1570" i="16"/>
  <c r="O1570" i="16"/>
  <c r="P1569" i="16"/>
  <c r="O1569" i="16"/>
  <c r="P1568" i="16"/>
  <c r="O1568" i="16"/>
  <c r="P1567" i="16"/>
  <c r="O1567" i="16"/>
  <c r="P1566" i="16"/>
  <c r="O1566" i="16"/>
  <c r="P1565" i="16"/>
  <c r="O1565" i="16"/>
  <c r="P1564" i="16"/>
  <c r="O1564" i="16"/>
  <c r="P1563" i="16"/>
  <c r="O1563" i="16"/>
  <c r="P1562" i="16"/>
  <c r="O1562" i="16"/>
  <c r="P1561" i="16"/>
  <c r="O1561" i="16"/>
  <c r="P1560" i="16"/>
  <c r="O1560" i="16"/>
  <c r="P1559" i="16"/>
  <c r="O1559" i="16"/>
  <c r="P1558" i="16"/>
  <c r="O1558" i="16"/>
  <c r="P1557" i="16"/>
  <c r="O1557" i="16"/>
  <c r="P1556" i="16"/>
  <c r="O1556" i="16"/>
  <c r="P1555" i="16"/>
  <c r="O1555" i="16"/>
  <c r="P1554" i="16"/>
  <c r="O1554" i="16"/>
  <c r="P1553" i="16"/>
  <c r="O1553" i="16"/>
  <c r="P1552" i="16"/>
  <c r="O1552" i="16"/>
  <c r="P1551" i="16"/>
  <c r="O1551" i="16"/>
  <c r="P1550" i="16"/>
  <c r="O1550" i="16"/>
  <c r="P1549" i="16"/>
  <c r="O1549" i="16"/>
  <c r="P1548" i="16"/>
  <c r="O1548" i="16"/>
  <c r="P1547" i="16"/>
  <c r="O1547" i="16"/>
  <c r="P1546" i="16"/>
  <c r="O1546" i="16"/>
  <c r="P1545" i="16"/>
  <c r="O1545" i="16"/>
  <c r="P1544" i="16"/>
  <c r="O1544" i="16"/>
  <c r="P1543" i="16"/>
  <c r="O1543" i="16"/>
  <c r="P1542" i="16"/>
  <c r="O1542" i="16"/>
  <c r="P1541" i="16"/>
  <c r="O1541" i="16"/>
  <c r="P1540" i="16"/>
  <c r="O1540" i="16"/>
  <c r="P1539" i="16"/>
  <c r="O1539" i="16"/>
  <c r="P1538" i="16"/>
  <c r="O1538" i="16"/>
  <c r="P1537" i="16"/>
  <c r="O1537" i="16"/>
  <c r="P1536" i="16"/>
  <c r="O1536" i="16"/>
  <c r="P1535" i="16"/>
  <c r="O1535" i="16"/>
  <c r="P1534" i="16"/>
  <c r="O1534" i="16"/>
  <c r="P1533" i="16"/>
  <c r="O1533" i="16"/>
  <c r="P1532" i="16"/>
  <c r="O1532" i="16"/>
  <c r="P1531" i="16"/>
  <c r="O1531" i="16"/>
  <c r="P1530" i="16"/>
  <c r="O1530" i="16"/>
  <c r="P1529" i="16"/>
  <c r="O1529" i="16"/>
  <c r="P1528" i="16"/>
  <c r="O1528" i="16"/>
  <c r="P1527" i="16"/>
  <c r="O1527" i="16"/>
  <c r="P1526" i="16"/>
  <c r="O1526" i="16"/>
  <c r="P1525" i="16"/>
  <c r="O1525" i="16"/>
  <c r="P1524" i="16"/>
  <c r="O1524" i="16"/>
  <c r="P1523" i="16"/>
  <c r="O1523" i="16"/>
  <c r="P1522" i="16"/>
  <c r="O1522" i="16"/>
  <c r="P1521" i="16"/>
  <c r="O1521" i="16"/>
  <c r="P1520" i="16"/>
  <c r="O1520" i="16"/>
  <c r="P1519" i="16"/>
  <c r="O1519" i="16"/>
  <c r="P1518" i="16"/>
  <c r="O1518" i="16"/>
  <c r="P1517" i="16"/>
  <c r="O1517" i="16"/>
  <c r="P1516" i="16"/>
  <c r="O1516" i="16"/>
  <c r="P1515" i="16"/>
  <c r="O1515" i="16"/>
  <c r="P1514" i="16"/>
  <c r="O1514" i="16"/>
  <c r="P1513" i="16"/>
  <c r="O1513" i="16"/>
  <c r="P1512" i="16"/>
  <c r="O1512" i="16"/>
  <c r="P1511" i="16"/>
  <c r="O1511" i="16"/>
  <c r="P1510" i="16"/>
  <c r="O1510" i="16"/>
  <c r="P1509" i="16"/>
  <c r="O1509" i="16"/>
  <c r="P1508" i="16"/>
  <c r="O1508" i="16"/>
  <c r="P1507" i="16"/>
  <c r="O1507" i="16"/>
  <c r="P1506" i="16"/>
  <c r="O1506" i="16"/>
  <c r="P1505" i="16"/>
  <c r="O1505" i="16"/>
  <c r="P1504" i="16"/>
  <c r="O1504" i="16"/>
  <c r="P1503" i="16"/>
  <c r="O1503" i="16"/>
  <c r="P1502" i="16"/>
  <c r="O1502" i="16"/>
  <c r="P1501" i="16"/>
  <c r="O1501" i="16"/>
  <c r="P1500" i="16"/>
  <c r="O1500" i="16"/>
  <c r="P1499" i="16"/>
  <c r="O1499" i="16"/>
  <c r="P1498" i="16"/>
  <c r="O1498" i="16"/>
  <c r="P1497" i="16"/>
  <c r="O1497" i="16"/>
  <c r="P1496" i="16"/>
  <c r="O1496" i="16"/>
  <c r="P1495" i="16"/>
  <c r="O1495" i="16"/>
  <c r="P1494" i="16"/>
  <c r="O1494" i="16"/>
  <c r="P1493" i="16"/>
  <c r="O1493" i="16"/>
  <c r="P1492" i="16"/>
  <c r="O1492" i="16"/>
  <c r="P1491" i="16"/>
  <c r="O1491" i="16"/>
  <c r="P1490" i="16"/>
  <c r="O1490" i="16"/>
  <c r="P1489" i="16"/>
  <c r="O1489" i="16"/>
  <c r="P1488" i="16"/>
  <c r="O1488" i="16"/>
  <c r="P1487" i="16"/>
  <c r="O1487" i="16"/>
  <c r="P1486" i="16"/>
  <c r="O1486" i="16"/>
  <c r="P1485" i="16"/>
  <c r="O1485" i="16"/>
  <c r="P1484" i="16"/>
  <c r="O1484" i="16"/>
  <c r="P1483" i="16"/>
  <c r="O1483" i="16"/>
  <c r="P1482" i="16"/>
  <c r="O1482" i="16"/>
  <c r="P1481" i="16"/>
  <c r="O1481" i="16"/>
  <c r="P1480" i="16"/>
  <c r="O1480" i="16"/>
  <c r="P1479" i="16"/>
  <c r="O1479" i="16"/>
  <c r="P1478" i="16"/>
  <c r="O1478" i="16"/>
  <c r="P1477" i="16"/>
  <c r="O1477" i="16"/>
  <c r="P1476" i="16"/>
  <c r="O1476" i="16"/>
  <c r="P1475" i="16"/>
  <c r="O1475" i="16"/>
  <c r="P1474" i="16"/>
  <c r="O1474" i="16"/>
  <c r="P1473" i="16"/>
  <c r="O1473" i="16"/>
  <c r="P1472" i="16"/>
  <c r="O1472" i="16"/>
  <c r="P1471" i="16"/>
  <c r="O1471" i="16"/>
  <c r="P1470" i="16"/>
  <c r="O1470" i="16"/>
  <c r="P1469" i="16"/>
  <c r="O1469" i="16"/>
  <c r="P1468" i="16"/>
  <c r="O1468" i="16"/>
  <c r="P1467" i="16"/>
  <c r="O1467" i="16"/>
  <c r="P1466" i="16"/>
  <c r="O1466" i="16"/>
  <c r="P1465" i="16"/>
  <c r="O1465" i="16"/>
  <c r="P1464" i="16"/>
  <c r="O1464" i="16"/>
  <c r="P1463" i="16"/>
  <c r="O1463" i="16"/>
  <c r="P1462" i="16"/>
  <c r="O1462" i="16"/>
  <c r="P1461" i="16"/>
  <c r="O1461" i="16"/>
  <c r="P1460" i="16"/>
  <c r="O1460" i="16"/>
  <c r="P1459" i="16"/>
  <c r="O1459" i="16"/>
  <c r="P1458" i="16"/>
  <c r="O1458" i="16"/>
  <c r="P1457" i="16"/>
  <c r="O1457" i="16"/>
  <c r="P1456" i="16"/>
  <c r="O1456" i="16"/>
  <c r="P1455" i="16"/>
  <c r="O1455" i="16"/>
  <c r="P1454" i="16"/>
  <c r="O1454" i="16"/>
  <c r="P1453" i="16"/>
  <c r="O1453" i="16"/>
  <c r="P1452" i="16"/>
  <c r="O1452" i="16"/>
  <c r="P1451" i="16"/>
  <c r="O1451" i="16"/>
  <c r="P1450" i="16"/>
  <c r="O1450" i="16"/>
  <c r="P1449" i="16"/>
  <c r="O1449" i="16"/>
  <c r="P1448" i="16"/>
  <c r="O1448" i="16"/>
  <c r="P1447" i="16"/>
  <c r="O1447" i="16"/>
  <c r="P1446" i="16"/>
  <c r="O1446" i="16"/>
  <c r="P1445" i="16"/>
  <c r="O1445" i="16"/>
  <c r="P1444" i="16"/>
  <c r="O1444" i="16"/>
  <c r="P1443" i="16"/>
  <c r="O1443" i="16"/>
  <c r="P1442" i="16"/>
  <c r="O1442" i="16"/>
  <c r="P1441" i="16"/>
  <c r="O1441" i="16"/>
  <c r="P1440" i="16"/>
  <c r="O1440" i="16"/>
  <c r="P1439" i="16"/>
  <c r="O1439" i="16"/>
  <c r="P1438" i="16"/>
  <c r="O1438" i="16"/>
  <c r="P1437" i="16"/>
  <c r="O1437" i="16"/>
  <c r="P1436" i="16"/>
  <c r="O1436" i="16"/>
  <c r="P1435" i="16"/>
  <c r="O1435" i="16"/>
  <c r="P1434" i="16"/>
  <c r="O1434" i="16"/>
  <c r="P1433" i="16"/>
  <c r="O1433" i="16"/>
  <c r="P1432" i="16"/>
  <c r="O1432" i="16"/>
  <c r="P1431" i="16"/>
  <c r="O1431" i="16"/>
  <c r="P1430" i="16"/>
  <c r="O1430" i="16"/>
  <c r="P1429" i="16"/>
  <c r="O1429" i="16"/>
  <c r="P1428" i="16"/>
  <c r="O1428" i="16"/>
  <c r="P1427" i="16"/>
  <c r="O1427" i="16"/>
  <c r="P1426" i="16"/>
  <c r="O1426" i="16"/>
  <c r="P1425" i="16"/>
  <c r="O1425" i="16"/>
  <c r="P1424" i="16"/>
  <c r="O1424" i="16"/>
  <c r="P1423" i="16"/>
  <c r="O1423" i="16"/>
  <c r="P1422" i="16"/>
  <c r="O1422" i="16"/>
  <c r="P1421" i="16"/>
  <c r="O1421" i="16"/>
  <c r="P1420" i="16"/>
  <c r="O1420" i="16"/>
  <c r="P1419" i="16"/>
  <c r="O1419" i="16"/>
  <c r="P1418" i="16"/>
  <c r="O1418" i="16"/>
  <c r="P1417" i="16"/>
  <c r="O1417" i="16"/>
  <c r="P1416" i="16"/>
  <c r="O1416" i="16"/>
  <c r="P1415" i="16"/>
  <c r="O1415" i="16"/>
  <c r="P1414" i="16"/>
  <c r="O1414" i="16"/>
  <c r="P1413" i="16"/>
  <c r="O1413" i="16"/>
  <c r="P1412" i="16"/>
  <c r="O1412" i="16"/>
  <c r="P1411" i="16"/>
  <c r="O1411" i="16"/>
  <c r="P1410" i="16"/>
  <c r="O1410" i="16"/>
  <c r="P1409" i="16"/>
  <c r="O1409" i="16"/>
  <c r="P1408" i="16"/>
  <c r="O1408" i="16"/>
  <c r="P1407" i="16"/>
  <c r="O1407" i="16"/>
  <c r="P1406" i="16"/>
  <c r="O1406" i="16"/>
  <c r="P1405" i="16"/>
  <c r="O1405" i="16"/>
  <c r="P1404" i="16"/>
  <c r="O1404" i="16"/>
  <c r="P1403" i="16"/>
  <c r="O1403" i="16"/>
  <c r="P1402" i="16"/>
  <c r="O1402" i="16"/>
  <c r="P1401" i="16"/>
  <c r="O1401" i="16"/>
  <c r="P1400" i="16"/>
  <c r="O1400" i="16"/>
  <c r="P1399" i="16"/>
  <c r="O1399" i="16"/>
  <c r="P1398" i="16"/>
  <c r="O1398" i="16"/>
  <c r="P1397" i="16"/>
  <c r="O1397" i="16"/>
  <c r="P1396" i="16"/>
  <c r="O1396" i="16"/>
  <c r="P1395" i="16"/>
  <c r="O1395" i="16"/>
  <c r="P1394" i="16"/>
  <c r="O1394" i="16"/>
  <c r="P1393" i="16"/>
  <c r="O1393" i="16"/>
  <c r="P1392" i="16"/>
  <c r="O1392" i="16"/>
  <c r="P1391" i="16"/>
  <c r="O1391" i="16"/>
  <c r="P1390" i="16"/>
  <c r="O1390" i="16"/>
  <c r="P1389" i="16"/>
  <c r="O1389" i="16"/>
  <c r="P1388" i="16"/>
  <c r="O1388" i="16"/>
  <c r="P1387" i="16"/>
  <c r="O1387" i="16"/>
  <c r="P1386" i="16"/>
  <c r="O1386" i="16"/>
  <c r="P1385" i="16"/>
  <c r="O1385" i="16"/>
  <c r="P1384" i="16"/>
  <c r="O1384" i="16"/>
  <c r="P1383" i="16"/>
  <c r="O1383" i="16"/>
  <c r="P1382" i="16"/>
  <c r="O1382" i="16"/>
  <c r="P1381" i="16"/>
  <c r="O1381" i="16"/>
  <c r="P1380" i="16"/>
  <c r="O1380" i="16"/>
  <c r="P1379" i="16"/>
  <c r="O1379" i="16"/>
  <c r="P1378" i="16"/>
  <c r="O1378" i="16"/>
  <c r="P1377" i="16"/>
  <c r="O1377" i="16"/>
  <c r="P1376" i="16"/>
  <c r="O1376" i="16"/>
  <c r="P1375" i="16"/>
  <c r="O1375" i="16"/>
  <c r="P1374" i="16"/>
  <c r="O1374" i="16"/>
  <c r="P1373" i="16"/>
  <c r="O1373" i="16"/>
  <c r="P1372" i="16"/>
  <c r="O1372" i="16"/>
  <c r="P1371" i="16"/>
  <c r="O1371" i="16"/>
  <c r="P1370" i="16"/>
  <c r="O1370" i="16"/>
  <c r="P1369" i="16"/>
  <c r="O1369" i="16"/>
  <c r="P1368" i="16"/>
  <c r="O1368" i="16"/>
  <c r="P1367" i="16"/>
  <c r="O1367" i="16"/>
  <c r="P1366" i="16"/>
  <c r="O1366" i="16"/>
  <c r="P1365" i="16"/>
  <c r="O1365" i="16"/>
  <c r="P1364" i="16"/>
  <c r="O1364" i="16"/>
  <c r="P1363" i="16"/>
  <c r="O1363" i="16"/>
  <c r="P1362" i="16"/>
  <c r="O1362" i="16"/>
  <c r="P1361" i="16"/>
  <c r="O1361" i="16"/>
  <c r="P1360" i="16"/>
  <c r="O1360" i="16"/>
  <c r="P1359" i="16"/>
  <c r="O1359" i="16"/>
  <c r="P1358" i="16"/>
  <c r="O1358" i="16"/>
  <c r="P1357" i="16"/>
  <c r="O1357" i="16"/>
  <c r="P1356" i="16"/>
  <c r="O1356" i="16"/>
  <c r="P1355" i="16"/>
  <c r="O1355" i="16"/>
  <c r="P1354" i="16"/>
  <c r="O1354" i="16"/>
  <c r="P1353" i="16"/>
  <c r="O1353" i="16"/>
  <c r="P1352" i="16"/>
  <c r="O1352" i="16"/>
  <c r="P1351" i="16"/>
  <c r="O1351" i="16"/>
  <c r="P1350" i="16"/>
  <c r="O1350" i="16"/>
  <c r="P1349" i="16"/>
  <c r="O1349" i="16"/>
  <c r="P1348" i="16"/>
  <c r="O1348" i="16"/>
  <c r="P1347" i="16"/>
  <c r="O1347" i="16"/>
  <c r="P1346" i="16"/>
  <c r="O1346" i="16"/>
  <c r="P1345" i="16"/>
  <c r="O1345" i="16"/>
  <c r="P1344" i="16"/>
  <c r="O1344" i="16"/>
  <c r="P1343" i="16"/>
  <c r="O1343" i="16"/>
  <c r="P1342" i="16"/>
  <c r="O1342" i="16"/>
  <c r="P1341" i="16"/>
  <c r="O1341" i="16"/>
  <c r="P1340" i="16"/>
  <c r="O1340" i="16"/>
  <c r="P1339" i="16"/>
  <c r="O1339" i="16"/>
  <c r="P1338" i="16"/>
  <c r="O1338" i="16"/>
  <c r="P1337" i="16"/>
  <c r="O1337" i="16"/>
  <c r="P1336" i="16"/>
  <c r="O1336" i="16"/>
  <c r="P1335" i="16"/>
  <c r="O1335" i="16"/>
  <c r="P1334" i="16"/>
  <c r="O1334" i="16"/>
  <c r="P1333" i="16"/>
  <c r="O1333" i="16"/>
  <c r="P1332" i="16"/>
  <c r="O1332" i="16"/>
  <c r="P1331" i="16"/>
  <c r="O1331" i="16"/>
  <c r="P1330" i="16"/>
  <c r="O1330" i="16"/>
  <c r="P1329" i="16"/>
  <c r="O1329" i="16"/>
  <c r="P1328" i="16"/>
  <c r="O1328" i="16"/>
  <c r="P1327" i="16"/>
  <c r="O1327" i="16"/>
  <c r="P1326" i="16"/>
  <c r="O1326" i="16"/>
  <c r="P1325" i="16"/>
  <c r="O1325" i="16"/>
  <c r="P1324" i="16"/>
  <c r="O1324" i="16"/>
  <c r="P1323" i="16"/>
  <c r="O1323" i="16"/>
  <c r="P1322" i="16"/>
  <c r="O1322" i="16"/>
  <c r="P1321" i="16"/>
  <c r="O1321" i="16"/>
  <c r="P1320" i="16"/>
  <c r="O1320" i="16"/>
  <c r="P1319" i="16"/>
  <c r="O1319" i="16"/>
  <c r="P1318" i="16"/>
  <c r="O1318" i="16"/>
  <c r="P1317" i="16"/>
  <c r="O1317" i="16"/>
  <c r="P1316" i="16"/>
  <c r="O1316" i="16"/>
  <c r="P1315" i="16"/>
  <c r="O1315" i="16"/>
  <c r="P1314" i="16"/>
  <c r="O1314" i="16"/>
  <c r="P1313" i="16"/>
  <c r="O1313" i="16"/>
  <c r="P1312" i="16"/>
  <c r="O1312" i="16"/>
  <c r="P1311" i="16"/>
  <c r="O1311" i="16"/>
  <c r="P1310" i="16"/>
  <c r="O1310" i="16"/>
  <c r="P1309" i="16"/>
  <c r="O1309" i="16"/>
  <c r="P1308" i="16"/>
  <c r="O1308" i="16"/>
  <c r="P1307" i="16"/>
  <c r="O1307" i="16"/>
  <c r="P1306" i="16"/>
  <c r="O1306" i="16"/>
  <c r="P1305" i="16"/>
  <c r="O1305" i="16"/>
  <c r="P1304" i="16"/>
  <c r="O1304" i="16"/>
  <c r="P1303" i="16"/>
  <c r="O1303" i="16"/>
  <c r="P1302" i="16"/>
  <c r="O1302" i="16"/>
  <c r="P1301" i="16"/>
  <c r="O1301" i="16"/>
  <c r="P1300" i="16"/>
  <c r="O1300" i="16"/>
  <c r="P1212" i="16"/>
  <c r="O1212" i="16"/>
  <c r="P1211" i="16"/>
  <c r="O1211" i="16"/>
  <c r="P1210" i="16"/>
  <c r="O1210" i="16"/>
  <c r="P1209" i="16"/>
  <c r="O1209" i="16"/>
  <c r="P1208" i="16"/>
  <c r="O1208" i="16"/>
  <c r="P1207" i="16"/>
  <c r="O1207" i="16"/>
  <c r="P1206" i="16"/>
  <c r="O1206" i="16"/>
  <c r="P1205" i="16"/>
  <c r="O1205" i="16"/>
  <c r="P1204" i="16"/>
  <c r="O1204" i="16"/>
  <c r="P1203" i="16"/>
  <c r="O1203" i="16"/>
  <c r="P1202" i="16"/>
  <c r="O1202" i="16"/>
  <c r="P1201" i="16"/>
  <c r="O1201" i="16"/>
  <c r="P1200" i="16"/>
  <c r="O1200" i="16"/>
  <c r="P1199" i="16"/>
  <c r="O1199" i="16"/>
  <c r="P1198" i="16"/>
  <c r="O1198" i="16"/>
  <c r="P1197" i="16"/>
  <c r="O1197" i="16"/>
  <c r="P1196" i="16"/>
  <c r="O1196" i="16"/>
  <c r="P1195" i="16"/>
  <c r="O1195" i="16"/>
  <c r="P1194" i="16"/>
  <c r="O1194" i="16"/>
  <c r="P1193" i="16"/>
  <c r="O1193" i="16"/>
  <c r="P1192" i="16"/>
  <c r="O1192" i="16"/>
  <c r="P1191" i="16"/>
  <c r="O1191" i="16"/>
  <c r="P1190" i="16"/>
  <c r="O1190" i="16"/>
  <c r="P1189" i="16"/>
  <c r="O1189" i="16"/>
  <c r="P1188" i="16"/>
  <c r="O1188" i="16"/>
  <c r="P1187" i="16"/>
  <c r="O1187" i="16"/>
  <c r="P1186" i="16"/>
  <c r="O1186" i="16"/>
  <c r="P1185" i="16"/>
  <c r="O1185" i="16"/>
  <c r="P1184" i="16"/>
  <c r="O1184" i="16"/>
  <c r="P1183" i="16"/>
  <c r="O1183" i="16"/>
  <c r="P1182" i="16"/>
  <c r="O1182" i="16"/>
  <c r="P1181" i="16"/>
  <c r="O1181" i="16"/>
  <c r="P1180" i="16"/>
  <c r="O1180" i="16"/>
  <c r="P1179" i="16"/>
  <c r="O1179" i="16"/>
  <c r="P1178" i="16"/>
  <c r="O1178" i="16"/>
  <c r="P1177" i="16"/>
  <c r="O1177" i="16"/>
  <c r="P1176" i="16"/>
  <c r="O1176" i="16"/>
  <c r="P1175" i="16"/>
  <c r="O1175" i="16"/>
  <c r="P1174" i="16"/>
  <c r="O1174" i="16"/>
  <c r="P1173" i="16"/>
  <c r="O1173" i="16"/>
  <c r="P1172" i="16"/>
  <c r="O1172" i="16"/>
  <c r="P1171" i="16"/>
  <c r="O1171" i="16"/>
  <c r="P1170" i="16"/>
  <c r="O1170" i="16"/>
  <c r="P1169" i="16"/>
  <c r="O1169" i="16"/>
  <c r="P1168" i="16"/>
  <c r="O1168" i="16"/>
  <c r="P1167" i="16"/>
  <c r="O1167" i="16"/>
  <c r="P1166" i="16"/>
  <c r="O1166" i="16"/>
  <c r="P1165" i="16"/>
  <c r="O1165" i="16"/>
  <c r="P1164" i="16"/>
  <c r="O1164" i="16"/>
  <c r="P1163" i="16"/>
  <c r="O1163" i="16"/>
  <c r="P1162" i="16"/>
  <c r="O1162" i="16"/>
  <c r="P1161" i="16"/>
  <c r="O1161" i="16"/>
  <c r="P1160" i="16"/>
  <c r="O1160" i="16"/>
  <c r="P1159" i="16"/>
  <c r="O1159" i="16"/>
  <c r="P1158" i="16"/>
  <c r="O1158" i="16"/>
  <c r="P1157" i="16"/>
  <c r="O1157" i="16"/>
  <c r="P1156" i="16"/>
  <c r="O1156" i="16"/>
  <c r="P1155" i="16"/>
  <c r="O1155" i="16"/>
  <c r="P1154" i="16"/>
  <c r="O1154" i="16"/>
  <c r="P1153" i="16"/>
  <c r="O1153" i="16"/>
  <c r="P1152" i="16"/>
  <c r="O1152" i="16"/>
  <c r="P1151" i="16"/>
  <c r="O1151" i="16"/>
  <c r="P1150" i="16"/>
  <c r="O1150" i="16"/>
  <c r="P1149" i="16"/>
  <c r="O1149" i="16"/>
  <c r="P1148" i="16"/>
  <c r="O1148" i="16"/>
  <c r="P1147" i="16"/>
  <c r="O1147" i="16"/>
  <c r="P1146" i="16"/>
  <c r="O1146" i="16"/>
  <c r="P1145" i="16"/>
  <c r="O1145" i="16"/>
  <c r="P1144" i="16"/>
  <c r="O1144" i="16"/>
  <c r="P1143" i="16"/>
  <c r="O1143" i="16"/>
  <c r="P1142" i="16"/>
  <c r="O1142" i="16"/>
  <c r="P1141" i="16"/>
  <c r="O1141" i="16"/>
  <c r="P1140" i="16"/>
  <c r="O1140" i="16"/>
  <c r="P1139" i="16"/>
  <c r="O1139" i="16"/>
  <c r="P1138" i="16"/>
  <c r="O1138" i="16"/>
  <c r="P1137" i="16"/>
  <c r="O1137" i="16"/>
  <c r="P1136" i="16"/>
  <c r="O1136" i="16"/>
  <c r="P1135" i="16"/>
  <c r="O1135" i="16"/>
  <c r="P1134" i="16"/>
  <c r="O1134" i="16"/>
  <c r="P1133" i="16"/>
  <c r="O1133" i="16"/>
  <c r="P1132" i="16"/>
  <c r="O1132" i="16"/>
  <c r="P1131" i="16"/>
  <c r="O1131" i="16"/>
  <c r="P1130" i="16"/>
  <c r="O1130" i="16"/>
  <c r="P1129" i="16"/>
  <c r="O1129" i="16"/>
  <c r="P1128" i="16"/>
  <c r="O1128" i="16"/>
  <c r="P1127" i="16"/>
  <c r="O1127" i="16"/>
  <c r="P1126" i="16"/>
  <c r="O1126" i="16"/>
  <c r="P1125" i="16"/>
  <c r="O1125" i="16"/>
  <c r="P1124" i="16"/>
  <c r="O1124" i="16"/>
  <c r="P1123" i="16"/>
  <c r="O1123" i="16"/>
  <c r="P1122" i="16"/>
  <c r="O1122" i="16"/>
  <c r="P1121" i="16"/>
  <c r="O1121" i="16"/>
  <c r="P1120" i="16"/>
  <c r="O1120" i="16"/>
  <c r="P1119" i="16"/>
  <c r="O1119" i="16"/>
  <c r="P1118" i="16"/>
  <c r="O1118" i="16"/>
  <c r="P1117" i="16"/>
  <c r="O1117" i="16"/>
  <c r="P1116" i="16"/>
  <c r="O1116" i="16"/>
  <c r="P1115" i="16"/>
  <c r="O1115" i="16"/>
  <c r="P1114" i="16"/>
  <c r="O1114" i="16"/>
  <c r="P1113" i="16"/>
  <c r="O1113" i="16"/>
  <c r="P1112" i="16"/>
  <c r="O1112" i="16"/>
  <c r="P1111" i="16"/>
  <c r="O1111" i="16"/>
  <c r="P1110" i="16"/>
  <c r="O1110" i="16"/>
  <c r="P1109" i="16"/>
  <c r="O1109" i="16"/>
  <c r="P1108" i="16"/>
  <c r="O1108" i="16"/>
  <c r="P1107" i="16"/>
  <c r="O1107" i="16"/>
  <c r="P1106" i="16"/>
  <c r="O1106" i="16"/>
  <c r="P1105" i="16"/>
  <c r="O1105" i="16"/>
  <c r="P1104" i="16"/>
  <c r="O1104" i="16"/>
  <c r="P1103" i="16"/>
  <c r="O1103" i="16"/>
  <c r="P1102" i="16"/>
  <c r="O1102" i="16"/>
  <c r="P1101" i="16"/>
  <c r="O1101" i="16"/>
  <c r="P1100" i="16"/>
  <c r="O1100" i="16"/>
  <c r="P1099" i="16"/>
  <c r="O1099" i="16"/>
  <c r="P1098" i="16"/>
  <c r="O1098" i="16"/>
  <c r="P1097" i="16"/>
  <c r="O1097" i="16"/>
  <c r="P1096" i="16"/>
  <c r="O1096" i="16"/>
  <c r="P1095" i="16"/>
  <c r="O1095" i="16"/>
  <c r="P1094" i="16"/>
  <c r="O1094" i="16"/>
  <c r="P1093" i="16"/>
  <c r="O1093" i="16"/>
  <c r="P1092" i="16"/>
  <c r="O1092" i="16"/>
  <c r="P1091" i="16"/>
  <c r="O1091" i="16"/>
  <c r="P1090" i="16"/>
  <c r="O1090" i="16"/>
  <c r="P1089" i="16"/>
  <c r="O1089" i="16"/>
  <c r="P1088" i="16"/>
  <c r="O1088" i="16"/>
  <c r="P1087" i="16"/>
  <c r="O1087" i="16"/>
  <c r="P1086" i="16"/>
  <c r="O1086" i="16"/>
  <c r="P1085" i="16"/>
  <c r="O1085" i="16"/>
  <c r="P1084" i="16"/>
  <c r="O1084" i="16"/>
  <c r="P1083" i="16"/>
  <c r="O1083" i="16"/>
  <c r="P1082" i="16"/>
  <c r="O1082" i="16"/>
  <c r="P1081" i="16"/>
  <c r="O1081" i="16"/>
  <c r="P1080" i="16"/>
  <c r="O1080" i="16"/>
  <c r="P1079" i="16"/>
  <c r="O1079" i="16"/>
  <c r="P1078" i="16"/>
  <c r="O1078" i="16"/>
  <c r="P1077" i="16"/>
  <c r="O1077" i="16"/>
  <c r="P1076" i="16"/>
  <c r="O1076" i="16"/>
  <c r="P1075" i="16"/>
  <c r="O1075" i="16"/>
  <c r="P1074" i="16"/>
  <c r="O1074" i="16"/>
  <c r="P1073" i="16"/>
  <c r="O1073" i="16"/>
  <c r="P1072" i="16"/>
  <c r="O1072" i="16"/>
  <c r="P1071" i="16"/>
  <c r="O1071" i="16"/>
  <c r="P1070" i="16"/>
  <c r="O1070" i="16"/>
  <c r="P1069" i="16"/>
  <c r="O1069" i="16"/>
  <c r="P1068" i="16"/>
  <c r="O1068" i="16"/>
  <c r="P1067" i="16"/>
  <c r="O1067" i="16"/>
  <c r="P1066" i="16"/>
  <c r="O1066" i="16"/>
  <c r="P1065" i="16"/>
  <c r="O1065" i="16"/>
  <c r="P1064" i="16"/>
  <c r="O1064" i="16"/>
  <c r="P1063" i="16"/>
  <c r="O1063" i="16"/>
  <c r="P1062" i="16"/>
  <c r="O1062" i="16"/>
  <c r="P1061" i="16"/>
  <c r="O1061" i="16"/>
  <c r="P1060" i="16"/>
  <c r="O1060" i="16"/>
  <c r="P1059" i="16"/>
  <c r="O1059" i="16"/>
  <c r="P1058" i="16"/>
  <c r="O1058" i="16"/>
  <c r="P1057" i="16"/>
  <c r="O1057" i="16"/>
  <c r="P1056" i="16"/>
  <c r="O1056" i="16"/>
  <c r="P1055" i="16"/>
  <c r="O1055" i="16"/>
  <c r="P1054" i="16"/>
  <c r="O1054" i="16"/>
  <c r="P1053" i="16"/>
  <c r="O1053" i="16"/>
  <c r="P1052" i="16"/>
  <c r="O1052" i="16"/>
  <c r="P1051" i="16"/>
  <c r="O1051" i="16"/>
  <c r="P1050" i="16"/>
  <c r="O1050" i="16"/>
  <c r="P1049" i="16"/>
  <c r="O1049" i="16"/>
  <c r="P1048" i="16"/>
  <c r="O1048" i="16"/>
  <c r="P1047" i="16"/>
  <c r="O1047" i="16"/>
  <c r="P1046" i="16"/>
  <c r="O1046" i="16"/>
  <c r="P1045" i="16"/>
  <c r="O1045" i="16"/>
  <c r="P1044" i="16"/>
  <c r="O1044" i="16"/>
  <c r="P1043" i="16"/>
  <c r="O1043" i="16"/>
  <c r="P1042" i="16"/>
  <c r="O1042" i="16"/>
  <c r="P1041" i="16"/>
  <c r="O1041" i="16"/>
  <c r="P1040" i="16"/>
  <c r="O1040" i="16"/>
  <c r="P1039" i="16"/>
  <c r="O1039" i="16"/>
  <c r="P1038" i="16"/>
  <c r="O1038" i="16"/>
  <c r="P1037" i="16"/>
  <c r="O1037" i="16"/>
  <c r="P1036" i="16"/>
  <c r="O1036" i="16"/>
  <c r="P1035" i="16"/>
  <c r="O1035" i="16"/>
  <c r="P1034" i="16"/>
  <c r="O1034" i="16"/>
  <c r="P1033" i="16"/>
  <c r="O1033" i="16"/>
  <c r="P1032" i="16"/>
  <c r="O1032" i="16"/>
  <c r="P1031" i="16"/>
  <c r="O1031" i="16"/>
  <c r="P1030" i="16"/>
  <c r="O1030" i="16"/>
  <c r="P1029" i="16"/>
  <c r="O1029" i="16"/>
  <c r="P1028" i="16"/>
  <c r="O1028" i="16"/>
  <c r="P1027" i="16"/>
  <c r="O1027" i="16"/>
  <c r="P1026" i="16"/>
  <c r="O1026" i="16"/>
  <c r="P1025" i="16"/>
  <c r="O1025" i="16"/>
  <c r="P1024" i="16"/>
  <c r="O1024" i="16"/>
  <c r="P1023" i="16"/>
  <c r="O1023" i="16"/>
  <c r="P1022" i="16"/>
  <c r="O1022" i="16"/>
  <c r="P1021" i="16"/>
  <c r="O1021" i="16"/>
  <c r="P1020" i="16"/>
  <c r="O1020" i="16"/>
  <c r="P1019" i="16"/>
  <c r="O1019" i="16"/>
  <c r="P1018" i="16"/>
  <c r="O1018" i="16"/>
  <c r="P1017" i="16"/>
  <c r="O1017" i="16"/>
  <c r="P1016" i="16"/>
  <c r="O1016" i="16"/>
  <c r="P1015" i="16"/>
  <c r="O1015" i="16"/>
  <c r="P1014" i="16"/>
  <c r="O1014" i="16"/>
  <c r="P1013" i="16"/>
  <c r="O1013" i="16"/>
  <c r="P1012" i="16"/>
  <c r="O1012" i="16"/>
  <c r="P1011" i="16"/>
  <c r="O1011" i="16"/>
  <c r="P1010" i="16"/>
  <c r="O1010" i="16"/>
  <c r="P1009" i="16"/>
  <c r="O1009" i="16"/>
  <c r="P1008" i="16"/>
  <c r="O1008" i="16"/>
  <c r="P1007" i="16"/>
  <c r="O1007" i="16"/>
  <c r="P1006" i="16"/>
  <c r="O1006" i="16"/>
  <c r="P1005" i="16"/>
  <c r="O1005" i="16"/>
  <c r="P1004" i="16"/>
  <c r="O1004" i="16"/>
  <c r="P1003" i="16"/>
  <c r="O1003" i="16"/>
  <c r="P1002" i="16"/>
  <c r="O1002" i="16"/>
  <c r="P1001" i="16"/>
  <c r="O1001" i="16"/>
  <c r="P1000" i="16"/>
  <c r="O1000" i="16"/>
  <c r="P999" i="16"/>
  <c r="O999" i="16"/>
  <c r="P998" i="16"/>
  <c r="O998" i="16"/>
  <c r="P997" i="16"/>
  <c r="O997" i="16"/>
  <c r="P996" i="16"/>
  <c r="O996" i="16"/>
  <c r="P995" i="16"/>
  <c r="O995" i="16"/>
  <c r="P994" i="16"/>
  <c r="O994" i="16"/>
  <c r="P993" i="16"/>
  <c r="O993" i="16"/>
  <c r="P992" i="16"/>
  <c r="O992" i="16"/>
  <c r="P991" i="16"/>
  <c r="O991" i="16"/>
  <c r="P990" i="16"/>
  <c r="O990" i="16"/>
  <c r="P989" i="16"/>
  <c r="O989" i="16"/>
  <c r="P988" i="16"/>
  <c r="O988" i="16"/>
  <c r="P987" i="16"/>
  <c r="O987" i="16"/>
  <c r="P986" i="16"/>
  <c r="O986" i="16"/>
  <c r="P985" i="16"/>
  <c r="O985" i="16"/>
  <c r="P984" i="16"/>
  <c r="O984" i="16"/>
  <c r="P983" i="16"/>
  <c r="O983" i="16"/>
  <c r="P982" i="16"/>
  <c r="O982" i="16"/>
  <c r="P981" i="16"/>
  <c r="O981" i="16"/>
  <c r="P980" i="16"/>
  <c r="O980" i="16"/>
  <c r="P979" i="16"/>
  <c r="O979" i="16"/>
  <c r="P978" i="16"/>
  <c r="O978" i="16"/>
  <c r="P977" i="16"/>
  <c r="O977" i="16"/>
  <c r="P976" i="16"/>
  <c r="O976" i="16"/>
  <c r="P975" i="16"/>
  <c r="O975" i="16"/>
  <c r="P974" i="16"/>
  <c r="O974" i="16"/>
  <c r="P973" i="16"/>
  <c r="O973" i="16"/>
  <c r="P972" i="16"/>
  <c r="O972" i="16"/>
  <c r="P971" i="16"/>
  <c r="O971" i="16"/>
  <c r="P970" i="16"/>
  <c r="O970" i="16"/>
  <c r="P969" i="16"/>
  <c r="O969" i="16"/>
  <c r="P968" i="16"/>
  <c r="O968" i="16"/>
  <c r="P967" i="16"/>
  <c r="O967" i="16"/>
  <c r="P966" i="16"/>
  <c r="O966" i="16"/>
  <c r="P965" i="16"/>
  <c r="O965" i="16"/>
  <c r="P964" i="16"/>
  <c r="O964" i="16"/>
  <c r="P963" i="16"/>
  <c r="O963" i="16"/>
  <c r="P962" i="16"/>
  <c r="O962" i="16"/>
  <c r="P961" i="16"/>
  <c r="O961" i="16"/>
  <c r="P960" i="16"/>
  <c r="O960" i="16"/>
  <c r="P959" i="16"/>
  <c r="O959" i="16"/>
  <c r="P958" i="16"/>
  <c r="O958" i="16"/>
  <c r="P957" i="16"/>
  <c r="O957" i="16"/>
  <c r="P956" i="16"/>
  <c r="O956" i="16"/>
  <c r="P955" i="16"/>
  <c r="O955" i="16"/>
  <c r="P954" i="16"/>
  <c r="O954" i="16"/>
  <c r="P953" i="16"/>
  <c r="O953" i="16"/>
  <c r="P952" i="16"/>
  <c r="O952" i="16"/>
  <c r="P951" i="16"/>
  <c r="O951" i="16"/>
  <c r="P950" i="16"/>
  <c r="O950" i="16"/>
  <c r="P949" i="16"/>
  <c r="O949" i="16"/>
  <c r="P948" i="16"/>
  <c r="O948" i="16"/>
  <c r="P947" i="16"/>
  <c r="O947" i="16"/>
  <c r="P946" i="16"/>
  <c r="O946" i="16"/>
  <c r="P945" i="16"/>
  <c r="O945" i="16"/>
  <c r="P944" i="16"/>
  <c r="O944" i="16"/>
  <c r="P943" i="16"/>
  <c r="O943" i="16"/>
  <c r="P942" i="16"/>
  <c r="O942" i="16"/>
  <c r="P941" i="16"/>
  <c r="O941" i="16"/>
  <c r="P940" i="16"/>
  <c r="O940" i="16"/>
  <c r="P939" i="16"/>
  <c r="O939" i="16"/>
  <c r="P938" i="16"/>
  <c r="O938" i="16"/>
  <c r="P937" i="16"/>
  <c r="O937" i="16"/>
  <c r="P936" i="16"/>
  <c r="O936" i="16"/>
  <c r="P935" i="16"/>
  <c r="O935" i="16"/>
  <c r="P934" i="16"/>
  <c r="O934" i="16"/>
  <c r="P933" i="16"/>
  <c r="O933" i="16"/>
  <c r="P932" i="16"/>
  <c r="O932" i="16"/>
  <c r="P931" i="16"/>
  <c r="O931" i="16"/>
  <c r="P930" i="16"/>
  <c r="O930" i="16"/>
  <c r="P929" i="16"/>
  <c r="O929" i="16"/>
  <c r="P928" i="16"/>
  <c r="O928" i="16"/>
  <c r="P927" i="16"/>
  <c r="O927" i="16"/>
  <c r="P926" i="16"/>
  <c r="O926" i="16"/>
  <c r="P925" i="16"/>
  <c r="O925" i="16"/>
  <c r="P924" i="16"/>
  <c r="O924" i="16"/>
  <c r="P923" i="16"/>
  <c r="O923" i="16"/>
  <c r="P922" i="16"/>
  <c r="O922" i="16"/>
  <c r="P921" i="16"/>
  <c r="O921" i="16"/>
  <c r="P920" i="16"/>
  <c r="O920" i="16"/>
  <c r="P919" i="16"/>
  <c r="O919" i="16"/>
  <c r="P918" i="16"/>
  <c r="O918" i="16"/>
  <c r="P917" i="16"/>
  <c r="O917" i="16"/>
  <c r="P916" i="16"/>
  <c r="O916" i="16"/>
  <c r="P915" i="16"/>
  <c r="O915" i="16"/>
  <c r="P914" i="16"/>
  <c r="O914" i="16"/>
  <c r="P913" i="16"/>
  <c r="O913" i="16"/>
  <c r="P912" i="16"/>
  <c r="O912" i="16"/>
  <c r="P911" i="16"/>
  <c r="O911" i="16"/>
  <c r="P910" i="16"/>
  <c r="O910" i="16"/>
  <c r="P909" i="16"/>
  <c r="O909" i="16"/>
  <c r="P908" i="16"/>
  <c r="O908" i="16"/>
  <c r="P907" i="16"/>
  <c r="O907" i="16"/>
  <c r="P906" i="16"/>
  <c r="O906" i="16"/>
  <c r="P905" i="16"/>
  <c r="O905" i="16"/>
  <c r="P904" i="16"/>
  <c r="O904" i="16"/>
  <c r="P903" i="16"/>
  <c r="O903" i="16"/>
  <c r="P902" i="16"/>
  <c r="O902" i="16"/>
  <c r="P901" i="16"/>
  <c r="O901" i="16"/>
  <c r="P900" i="16"/>
  <c r="O900" i="16"/>
  <c r="P899" i="16"/>
  <c r="O899" i="16"/>
  <c r="P898" i="16"/>
  <c r="O898" i="16"/>
  <c r="P897" i="16"/>
  <c r="O897" i="16"/>
  <c r="P896" i="16"/>
  <c r="O896" i="16"/>
  <c r="P895" i="16"/>
  <c r="O895" i="16"/>
  <c r="P894" i="16"/>
  <c r="O894" i="16"/>
  <c r="P893" i="16"/>
  <c r="O893" i="16"/>
  <c r="P892" i="16"/>
  <c r="O892" i="16"/>
  <c r="P891" i="16"/>
  <c r="O891" i="16"/>
  <c r="P890" i="16"/>
  <c r="O890" i="16"/>
  <c r="P889" i="16"/>
  <c r="O889" i="16"/>
  <c r="P888" i="16"/>
  <c r="O888" i="16"/>
  <c r="P887" i="16"/>
  <c r="O887" i="16"/>
  <c r="P886" i="16"/>
  <c r="O886" i="16"/>
  <c r="P885" i="16"/>
  <c r="O885" i="16"/>
  <c r="P884" i="16"/>
  <c r="O884" i="16"/>
  <c r="P883" i="16"/>
  <c r="O883" i="16"/>
  <c r="P882" i="16"/>
  <c r="O882" i="16"/>
  <c r="P881" i="16"/>
  <c r="O881" i="16"/>
  <c r="P880" i="16"/>
  <c r="O880" i="16"/>
  <c r="P879" i="16"/>
  <c r="O879" i="16"/>
  <c r="P878" i="16"/>
  <c r="O878" i="16"/>
  <c r="P877" i="16"/>
  <c r="O877" i="16"/>
  <c r="P876" i="16"/>
  <c r="O876" i="16"/>
  <c r="P875" i="16"/>
  <c r="O875" i="16"/>
  <c r="P874" i="16"/>
  <c r="O874" i="16"/>
  <c r="P873" i="16"/>
  <c r="O873" i="16"/>
  <c r="P872" i="16"/>
  <c r="O872" i="16"/>
  <c r="P871" i="16"/>
  <c r="O871" i="16"/>
  <c r="P870" i="16"/>
  <c r="O870" i="16"/>
  <c r="P869" i="16"/>
  <c r="O869" i="16"/>
  <c r="P868" i="16"/>
  <c r="O868" i="16"/>
  <c r="P867" i="16"/>
  <c r="O867" i="16"/>
  <c r="P866" i="16"/>
  <c r="O866" i="16"/>
  <c r="P865" i="16"/>
  <c r="O865" i="16"/>
  <c r="P864" i="16"/>
  <c r="O864" i="16"/>
  <c r="P863" i="16"/>
  <c r="O863" i="16"/>
  <c r="P862" i="16"/>
  <c r="O862" i="16"/>
  <c r="P861" i="16"/>
  <c r="O861" i="16"/>
  <c r="P860" i="16"/>
  <c r="O860" i="16"/>
  <c r="P859" i="16"/>
  <c r="O859" i="16"/>
  <c r="P858" i="16"/>
  <c r="O858" i="16"/>
  <c r="P857" i="16"/>
  <c r="O857" i="16"/>
  <c r="P856" i="16"/>
  <c r="O856" i="16"/>
  <c r="P855" i="16"/>
  <c r="O855" i="16"/>
  <c r="P854" i="16"/>
  <c r="O854" i="16"/>
  <c r="P853" i="16"/>
  <c r="O853" i="16"/>
  <c r="P852" i="16"/>
  <c r="O852" i="16"/>
  <c r="P851" i="16"/>
  <c r="O851" i="16"/>
  <c r="P850" i="16"/>
  <c r="O850" i="16"/>
  <c r="P849" i="16"/>
  <c r="O849" i="16"/>
  <c r="P848" i="16"/>
  <c r="O848" i="16"/>
  <c r="P847" i="16"/>
  <c r="O847" i="16"/>
  <c r="P846" i="16"/>
  <c r="O846" i="16"/>
  <c r="P845" i="16"/>
  <c r="O845" i="16"/>
  <c r="P844" i="16"/>
  <c r="O844" i="16"/>
  <c r="P843" i="16"/>
  <c r="O843" i="16"/>
  <c r="P842" i="16"/>
  <c r="O842" i="16"/>
  <c r="P841" i="16"/>
  <c r="O841" i="16"/>
  <c r="P840" i="16"/>
  <c r="O840" i="16"/>
  <c r="P839" i="16"/>
  <c r="O839" i="16"/>
  <c r="P838" i="16"/>
  <c r="O838" i="16"/>
  <c r="P837" i="16"/>
  <c r="O837" i="16"/>
  <c r="P836" i="16"/>
  <c r="O836" i="16"/>
  <c r="P835" i="16"/>
  <c r="O835" i="16"/>
  <c r="P834" i="16"/>
  <c r="O834" i="16"/>
  <c r="P833" i="16"/>
  <c r="O833" i="16"/>
  <c r="P832" i="16"/>
  <c r="O832" i="16"/>
  <c r="P831" i="16"/>
  <c r="O831" i="16"/>
  <c r="P830" i="16"/>
  <c r="O830" i="16"/>
  <c r="P829" i="16"/>
  <c r="O829" i="16"/>
  <c r="P828" i="16"/>
  <c r="O828" i="16"/>
  <c r="P827" i="16"/>
  <c r="O827" i="16"/>
  <c r="P826" i="16"/>
  <c r="O826" i="16"/>
  <c r="P825" i="16"/>
  <c r="O825" i="16"/>
  <c r="P824" i="16"/>
  <c r="O824" i="16"/>
  <c r="P823" i="16"/>
  <c r="O823" i="16"/>
  <c r="P822" i="16"/>
  <c r="O822" i="16"/>
  <c r="P821" i="16"/>
  <c r="O821" i="16"/>
  <c r="P820" i="16"/>
  <c r="O820" i="16"/>
  <c r="P819" i="16"/>
  <c r="O819" i="16"/>
  <c r="P818" i="16"/>
  <c r="O818" i="16"/>
  <c r="P817" i="16"/>
  <c r="O817" i="16"/>
  <c r="P816" i="16"/>
  <c r="O816" i="16"/>
  <c r="P815" i="16"/>
  <c r="O815" i="16"/>
  <c r="P814" i="16"/>
  <c r="O814" i="16"/>
  <c r="P813" i="16"/>
  <c r="O813" i="16"/>
  <c r="P812" i="16"/>
  <c r="O812" i="16"/>
  <c r="P811" i="16"/>
  <c r="O811" i="16"/>
  <c r="P810" i="16"/>
  <c r="O810" i="16"/>
  <c r="P809" i="16"/>
  <c r="O809" i="16"/>
  <c r="P808" i="16"/>
  <c r="O808" i="16"/>
  <c r="P807" i="16"/>
  <c r="O807" i="16"/>
  <c r="P806" i="16"/>
  <c r="O806" i="16"/>
  <c r="P805" i="16"/>
  <c r="O805" i="16"/>
  <c r="P804" i="16"/>
  <c r="O804" i="16"/>
  <c r="P803" i="16"/>
  <c r="O803" i="16"/>
  <c r="P802" i="16"/>
  <c r="O802" i="16"/>
  <c r="P801" i="16"/>
  <c r="O801" i="16"/>
  <c r="P800" i="16"/>
  <c r="O800" i="16"/>
  <c r="P799" i="16"/>
  <c r="O799" i="16"/>
  <c r="P798" i="16"/>
  <c r="O798" i="16"/>
  <c r="P797" i="16"/>
  <c r="O797" i="16"/>
  <c r="P796" i="16"/>
  <c r="O796" i="16"/>
  <c r="P795" i="16"/>
  <c r="O795" i="16"/>
  <c r="P794" i="16"/>
  <c r="O794" i="16"/>
  <c r="P793" i="16"/>
  <c r="O793" i="16"/>
  <c r="P792" i="16"/>
  <c r="O792" i="16"/>
  <c r="P791" i="16"/>
  <c r="O791" i="16"/>
  <c r="P790" i="16"/>
  <c r="O790" i="16"/>
  <c r="P789" i="16"/>
  <c r="O789" i="16"/>
  <c r="P788" i="16"/>
  <c r="O788" i="16"/>
  <c r="P787" i="16"/>
  <c r="O787" i="16"/>
  <c r="P786" i="16"/>
  <c r="O786" i="16"/>
  <c r="P785" i="16"/>
  <c r="O785" i="16"/>
  <c r="P784" i="16"/>
  <c r="O784" i="16"/>
  <c r="P783" i="16"/>
  <c r="O783" i="16"/>
  <c r="P782" i="16"/>
  <c r="O782" i="16"/>
  <c r="P781" i="16"/>
  <c r="O781" i="16"/>
  <c r="P780" i="16"/>
  <c r="O780" i="16"/>
  <c r="P779" i="16"/>
  <c r="O779" i="16"/>
  <c r="P778" i="16"/>
  <c r="O778" i="16"/>
  <c r="P777" i="16"/>
  <c r="O777" i="16"/>
  <c r="P776" i="16"/>
  <c r="O776" i="16"/>
  <c r="P775" i="16"/>
  <c r="O775" i="16"/>
  <c r="P774" i="16"/>
  <c r="O774" i="16"/>
  <c r="P773" i="16"/>
  <c r="O773" i="16"/>
  <c r="P772" i="16"/>
  <c r="O772" i="16"/>
  <c r="P771" i="16"/>
  <c r="O771" i="16"/>
  <c r="P770" i="16"/>
  <c r="O770" i="16"/>
  <c r="P769" i="16"/>
  <c r="O769" i="16"/>
  <c r="P768" i="16"/>
  <c r="O768" i="16"/>
  <c r="P767" i="16"/>
  <c r="O767" i="16"/>
  <c r="P766" i="16"/>
  <c r="O766" i="16"/>
  <c r="P765" i="16"/>
  <c r="O765" i="16"/>
  <c r="P764" i="16"/>
  <c r="O764" i="16"/>
  <c r="P763" i="16"/>
  <c r="O763" i="16"/>
  <c r="P762" i="16"/>
  <c r="O762" i="16"/>
  <c r="P761" i="16"/>
  <c r="O761" i="16"/>
  <c r="P760" i="16"/>
  <c r="O760" i="16"/>
  <c r="P759" i="16"/>
  <c r="O759" i="16"/>
  <c r="P758" i="16"/>
  <c r="O758" i="16"/>
  <c r="P757" i="16"/>
  <c r="O757" i="16"/>
  <c r="P756" i="16"/>
  <c r="O756" i="16"/>
  <c r="P755" i="16"/>
  <c r="O755" i="16"/>
  <c r="P754" i="16"/>
  <c r="O754" i="16"/>
  <c r="P753" i="16"/>
  <c r="O753" i="16"/>
  <c r="P752" i="16"/>
  <c r="O752" i="16"/>
  <c r="P751" i="16"/>
  <c r="O751" i="16"/>
  <c r="P750" i="16"/>
  <c r="O750" i="16"/>
  <c r="P749" i="16"/>
  <c r="O749" i="16"/>
  <c r="P748" i="16"/>
  <c r="O748" i="16"/>
  <c r="P747" i="16"/>
  <c r="O747" i="16"/>
  <c r="P746" i="16"/>
  <c r="O746" i="16"/>
  <c r="P745" i="16"/>
  <c r="O745" i="16"/>
  <c r="P744" i="16"/>
  <c r="O744" i="16"/>
  <c r="P743" i="16"/>
  <c r="O743" i="16"/>
  <c r="P742" i="16"/>
  <c r="O742" i="16"/>
  <c r="P741" i="16"/>
  <c r="O741" i="16"/>
  <c r="P740" i="16"/>
  <c r="O740" i="16"/>
  <c r="P739" i="16"/>
  <c r="O739" i="16"/>
  <c r="P738" i="16"/>
  <c r="O738" i="16"/>
  <c r="P737" i="16"/>
  <c r="O737" i="16"/>
  <c r="P736" i="16"/>
  <c r="O736" i="16"/>
  <c r="P735" i="16"/>
  <c r="O735" i="16"/>
  <c r="P734" i="16"/>
  <c r="O734" i="16"/>
  <c r="P733" i="16"/>
  <c r="O733" i="16"/>
  <c r="P732" i="16"/>
  <c r="O732" i="16"/>
  <c r="P731" i="16"/>
  <c r="O731" i="16"/>
  <c r="P730" i="16"/>
  <c r="O730" i="16"/>
  <c r="P729" i="16"/>
  <c r="O729" i="16"/>
  <c r="P728" i="16"/>
  <c r="O728" i="16"/>
  <c r="P727" i="16"/>
  <c r="O727" i="16"/>
  <c r="P726" i="16"/>
  <c r="O726" i="16"/>
  <c r="P725" i="16"/>
  <c r="O725" i="16"/>
  <c r="P724" i="16"/>
  <c r="O724" i="16"/>
  <c r="P723" i="16"/>
  <c r="O723" i="16"/>
  <c r="P722" i="16"/>
  <c r="O722" i="16"/>
  <c r="P721" i="16"/>
  <c r="O721" i="16"/>
  <c r="P720" i="16"/>
  <c r="O720" i="16"/>
  <c r="P719" i="16"/>
  <c r="O719" i="16"/>
  <c r="P718" i="16"/>
  <c r="O718" i="16"/>
  <c r="P717" i="16"/>
  <c r="O717" i="16"/>
  <c r="P716" i="16"/>
  <c r="O716" i="16"/>
  <c r="P715" i="16"/>
  <c r="O715" i="16"/>
  <c r="P714" i="16"/>
  <c r="O714" i="16"/>
  <c r="P713" i="16"/>
  <c r="O713" i="16"/>
  <c r="P712" i="16"/>
  <c r="O712" i="16"/>
  <c r="P711" i="16"/>
  <c r="O711" i="16"/>
  <c r="P710" i="16"/>
  <c r="O710" i="16"/>
  <c r="P709" i="16"/>
  <c r="O709" i="16"/>
  <c r="P708" i="16"/>
  <c r="O708" i="16"/>
  <c r="P707" i="16"/>
  <c r="O707" i="16"/>
  <c r="P706" i="16"/>
  <c r="O706" i="16"/>
  <c r="P705" i="16"/>
  <c r="O705" i="16"/>
  <c r="P704" i="16"/>
  <c r="O704" i="16"/>
  <c r="P703" i="16"/>
  <c r="O703" i="16"/>
  <c r="P702" i="16"/>
  <c r="O702" i="16"/>
  <c r="P701" i="16"/>
  <c r="O701" i="16"/>
  <c r="P700" i="16"/>
  <c r="O700" i="16"/>
  <c r="P699" i="16"/>
  <c r="O699" i="16"/>
  <c r="P698" i="16"/>
  <c r="O698" i="16"/>
  <c r="P697" i="16"/>
  <c r="O697" i="16"/>
  <c r="P696" i="16"/>
  <c r="O696" i="16"/>
  <c r="P695" i="16"/>
  <c r="O695" i="16"/>
  <c r="P694" i="16"/>
  <c r="O694" i="16"/>
  <c r="P693" i="16"/>
  <c r="O693" i="16"/>
  <c r="P692" i="16"/>
  <c r="O692" i="16"/>
  <c r="P691" i="16"/>
  <c r="O691" i="16"/>
  <c r="P690" i="16"/>
  <c r="O690" i="16"/>
  <c r="P689" i="16"/>
  <c r="O689" i="16"/>
  <c r="P688" i="16"/>
  <c r="O688" i="16"/>
  <c r="P687" i="16"/>
  <c r="O687" i="16"/>
  <c r="P686" i="16"/>
  <c r="O686" i="16"/>
  <c r="P685" i="16"/>
  <c r="O685" i="16"/>
  <c r="P684" i="16"/>
  <c r="O684" i="16"/>
  <c r="P683" i="16"/>
  <c r="O683" i="16"/>
  <c r="P682" i="16"/>
  <c r="O682" i="16"/>
  <c r="P681" i="16"/>
  <c r="O681" i="16"/>
  <c r="P680" i="16"/>
  <c r="O680" i="16"/>
  <c r="P679" i="16"/>
  <c r="O679" i="16"/>
  <c r="P678" i="16"/>
  <c r="O678" i="16"/>
  <c r="P677" i="16"/>
  <c r="O677" i="16"/>
  <c r="P676" i="16"/>
  <c r="O676" i="16"/>
  <c r="P675" i="16"/>
  <c r="O675" i="16"/>
  <c r="P674" i="16"/>
  <c r="O674" i="16"/>
  <c r="P673" i="16"/>
  <c r="O673" i="16"/>
  <c r="P672" i="16"/>
  <c r="O672" i="16"/>
  <c r="P671" i="16"/>
  <c r="O671" i="16"/>
  <c r="P670" i="16"/>
  <c r="O670" i="16"/>
  <c r="P669" i="16"/>
  <c r="O669" i="16"/>
  <c r="P668" i="16"/>
  <c r="O668" i="16"/>
  <c r="P667" i="16"/>
  <c r="O667" i="16"/>
  <c r="P666" i="16"/>
  <c r="O666" i="16"/>
  <c r="P665" i="16"/>
  <c r="O665" i="16"/>
  <c r="P664" i="16"/>
  <c r="O664" i="16"/>
  <c r="P663" i="16"/>
  <c r="O663" i="16"/>
  <c r="P662" i="16"/>
  <c r="O662" i="16"/>
  <c r="P661" i="16"/>
  <c r="O661" i="16"/>
  <c r="P660" i="16"/>
  <c r="O660" i="16"/>
  <c r="P659" i="16"/>
  <c r="O659" i="16"/>
  <c r="P658" i="16"/>
  <c r="O658" i="16"/>
  <c r="P657" i="16"/>
  <c r="O657" i="16"/>
  <c r="P656" i="16"/>
  <c r="O656" i="16"/>
  <c r="P655" i="16"/>
  <c r="O655" i="16"/>
  <c r="P654" i="16"/>
  <c r="O654" i="16"/>
  <c r="P653" i="16"/>
  <c r="O653" i="16"/>
  <c r="P652" i="16"/>
  <c r="O652" i="16"/>
  <c r="P651" i="16"/>
  <c r="O651" i="16"/>
  <c r="P650" i="16"/>
  <c r="O650" i="16"/>
  <c r="P649" i="16"/>
  <c r="O649" i="16"/>
  <c r="P648" i="16"/>
  <c r="O648" i="16"/>
  <c r="P647" i="16"/>
  <c r="O647" i="16"/>
  <c r="P646" i="16"/>
  <c r="O646" i="16"/>
  <c r="P645" i="16"/>
  <c r="O645" i="16"/>
  <c r="P644" i="16"/>
  <c r="O644" i="16"/>
  <c r="P643" i="16"/>
  <c r="O643" i="16"/>
  <c r="P642" i="16"/>
  <c r="O642" i="16"/>
  <c r="P641" i="16"/>
  <c r="O641" i="16"/>
  <c r="P640" i="16"/>
  <c r="O640" i="16"/>
  <c r="P639" i="16"/>
  <c r="O639" i="16"/>
  <c r="P638" i="16"/>
  <c r="O638" i="16"/>
  <c r="P637" i="16"/>
  <c r="O637" i="16"/>
  <c r="P636" i="16"/>
  <c r="O636" i="16"/>
  <c r="P635" i="16"/>
  <c r="O635" i="16"/>
  <c r="P634" i="16"/>
  <c r="O634" i="16"/>
  <c r="P633" i="16"/>
  <c r="O633" i="16"/>
  <c r="P632" i="16"/>
  <c r="O632" i="16"/>
  <c r="P631" i="16"/>
  <c r="O631" i="16"/>
  <c r="P630" i="16"/>
  <c r="O630" i="16"/>
  <c r="P629" i="16"/>
  <c r="O629" i="16"/>
  <c r="P628" i="16"/>
  <c r="O628" i="16"/>
  <c r="P627" i="16"/>
  <c r="O627" i="16"/>
  <c r="P626" i="16"/>
  <c r="O626" i="16"/>
  <c r="P625" i="16"/>
  <c r="O625" i="16"/>
  <c r="P624" i="16"/>
  <c r="O624" i="16"/>
  <c r="P623" i="16"/>
  <c r="O623" i="16"/>
  <c r="P622" i="16"/>
  <c r="O622" i="16"/>
  <c r="P621" i="16"/>
  <c r="O621" i="16"/>
  <c r="P620" i="16"/>
  <c r="O620" i="16"/>
  <c r="P619" i="16"/>
  <c r="O619" i="16"/>
  <c r="P618" i="16"/>
  <c r="O618" i="16"/>
  <c r="P617" i="16"/>
  <c r="O617" i="16"/>
  <c r="P616" i="16"/>
  <c r="O616" i="16"/>
  <c r="P615" i="16"/>
  <c r="O615" i="16"/>
  <c r="P614" i="16"/>
  <c r="O614" i="16"/>
  <c r="P613" i="16"/>
  <c r="O613" i="16"/>
  <c r="P612" i="16"/>
  <c r="O612" i="16"/>
  <c r="P611" i="16"/>
  <c r="O611" i="16"/>
  <c r="P610" i="16"/>
  <c r="O610" i="16"/>
  <c r="P609" i="16"/>
  <c r="O609" i="16"/>
  <c r="P608" i="16"/>
  <c r="O608" i="16"/>
  <c r="P607" i="16"/>
  <c r="O607" i="16"/>
  <c r="P606" i="16"/>
  <c r="O606" i="16"/>
  <c r="P605" i="16"/>
  <c r="O605" i="16"/>
  <c r="P604" i="16"/>
  <c r="O604" i="16"/>
  <c r="P603" i="16"/>
  <c r="O603" i="16"/>
  <c r="P602" i="16"/>
  <c r="O602" i="16"/>
  <c r="P601" i="16"/>
  <c r="O601" i="16"/>
  <c r="P600" i="16"/>
  <c r="O600" i="16"/>
  <c r="P599" i="16"/>
  <c r="O599" i="16"/>
  <c r="P598" i="16"/>
  <c r="O598" i="16"/>
  <c r="P597" i="16"/>
  <c r="O597" i="16"/>
  <c r="P596" i="16"/>
  <c r="O596" i="16"/>
  <c r="P595" i="16"/>
  <c r="O595" i="16"/>
  <c r="P594" i="16"/>
  <c r="O594" i="16"/>
  <c r="P593" i="16"/>
  <c r="O593" i="16"/>
  <c r="P592" i="16"/>
  <c r="O592" i="16"/>
  <c r="P591" i="16"/>
  <c r="O591" i="16"/>
  <c r="P590" i="16"/>
  <c r="O590" i="16"/>
  <c r="P589" i="16"/>
  <c r="O589" i="16"/>
  <c r="P588" i="16"/>
  <c r="O588" i="16"/>
  <c r="P587" i="16"/>
  <c r="O587" i="16"/>
  <c r="P586" i="16"/>
  <c r="O586" i="16"/>
  <c r="P585" i="16"/>
  <c r="O585" i="16"/>
  <c r="P584" i="16"/>
  <c r="O584" i="16"/>
  <c r="P583" i="16"/>
  <c r="O583" i="16"/>
  <c r="P582" i="16"/>
  <c r="O582" i="16"/>
  <c r="P581" i="16"/>
  <c r="O581" i="16"/>
  <c r="P580" i="16"/>
  <c r="O580" i="16"/>
  <c r="P579" i="16"/>
  <c r="O579" i="16"/>
  <c r="P578" i="16"/>
  <c r="O578" i="16"/>
  <c r="P577" i="16"/>
  <c r="O577" i="16"/>
  <c r="P576" i="16"/>
  <c r="O576" i="16"/>
  <c r="P575" i="16"/>
  <c r="O575" i="16"/>
  <c r="P574" i="16"/>
  <c r="O574" i="16"/>
  <c r="P573" i="16"/>
  <c r="O573" i="16"/>
  <c r="P572" i="16"/>
  <c r="O572" i="16"/>
  <c r="P571" i="16"/>
  <c r="O571" i="16"/>
  <c r="P570" i="16"/>
  <c r="O570" i="16"/>
  <c r="P569" i="16"/>
  <c r="O569" i="16"/>
  <c r="P568" i="16"/>
  <c r="O568" i="16"/>
  <c r="P567" i="16"/>
  <c r="O567" i="16"/>
  <c r="P566" i="16"/>
  <c r="O566" i="16"/>
  <c r="P565" i="16"/>
  <c r="O565" i="16"/>
  <c r="P564" i="16"/>
  <c r="O564" i="16"/>
  <c r="P563" i="16"/>
  <c r="O563" i="16"/>
  <c r="P562" i="16"/>
  <c r="O562" i="16"/>
  <c r="P561" i="16"/>
  <c r="O561" i="16"/>
  <c r="P560" i="16"/>
  <c r="O560" i="16"/>
  <c r="P559" i="16"/>
  <c r="O559" i="16"/>
  <c r="P558" i="16"/>
  <c r="O558" i="16"/>
  <c r="P557" i="16"/>
  <c r="O557" i="16"/>
  <c r="P556" i="16"/>
  <c r="O556" i="16"/>
  <c r="P555" i="16"/>
  <c r="O555" i="16"/>
  <c r="P554" i="16"/>
  <c r="O554" i="16"/>
  <c r="P553" i="16"/>
  <c r="O553" i="16"/>
  <c r="P552" i="16"/>
  <c r="O552" i="16"/>
  <c r="P551" i="16"/>
  <c r="O551" i="16"/>
  <c r="P550" i="16"/>
  <c r="O550" i="16"/>
  <c r="P549" i="16"/>
  <c r="O549" i="16"/>
  <c r="P548" i="16"/>
  <c r="O548" i="16"/>
  <c r="P547" i="16"/>
  <c r="O547" i="16"/>
  <c r="P546" i="16"/>
  <c r="O546" i="16"/>
  <c r="P545" i="16"/>
  <c r="O545" i="16"/>
  <c r="P544" i="16"/>
  <c r="O544" i="16"/>
  <c r="P543" i="16"/>
  <c r="O543" i="16"/>
  <c r="P542" i="16"/>
  <c r="O542" i="16"/>
  <c r="P541" i="16"/>
  <c r="O541" i="16"/>
  <c r="P540" i="16"/>
  <c r="O540" i="16"/>
  <c r="P539" i="16"/>
  <c r="O539" i="16"/>
  <c r="P538" i="16"/>
  <c r="O538" i="16"/>
  <c r="P537" i="16"/>
  <c r="O537" i="16"/>
  <c r="P536" i="16"/>
  <c r="O536" i="16"/>
  <c r="P535" i="16"/>
  <c r="O535" i="16"/>
  <c r="P534" i="16"/>
  <c r="O534" i="16"/>
  <c r="P533" i="16"/>
  <c r="O533" i="16"/>
  <c r="P532" i="16"/>
  <c r="O532" i="16"/>
  <c r="P531" i="16"/>
  <c r="O531" i="16"/>
  <c r="P530" i="16"/>
  <c r="O530" i="16"/>
  <c r="P529" i="16"/>
  <c r="O529" i="16"/>
  <c r="P528" i="16"/>
  <c r="O528" i="16"/>
  <c r="P527" i="16"/>
  <c r="O527" i="16"/>
  <c r="P526" i="16"/>
  <c r="O526" i="16"/>
  <c r="P525" i="16"/>
  <c r="O525" i="16"/>
  <c r="P524" i="16"/>
  <c r="O524" i="16"/>
  <c r="P523" i="16"/>
  <c r="O523" i="16"/>
  <c r="P522" i="16"/>
  <c r="O522" i="16"/>
  <c r="P521" i="16"/>
  <c r="O521" i="16"/>
  <c r="P520" i="16"/>
  <c r="O520" i="16"/>
  <c r="P519" i="16"/>
  <c r="O519" i="16"/>
  <c r="P518" i="16"/>
  <c r="O518" i="16"/>
  <c r="P517" i="16"/>
  <c r="O517" i="16"/>
  <c r="P516" i="16"/>
  <c r="O516" i="16"/>
  <c r="P515" i="16"/>
  <c r="O515" i="16"/>
  <c r="P514" i="16"/>
  <c r="O514" i="16"/>
  <c r="P513" i="16"/>
  <c r="O513" i="16"/>
  <c r="P512" i="16"/>
  <c r="O512" i="16"/>
  <c r="P511" i="16"/>
  <c r="O511" i="16"/>
  <c r="P510" i="16"/>
  <c r="O510" i="16"/>
  <c r="P509" i="16"/>
  <c r="O509" i="16"/>
  <c r="P508" i="16"/>
  <c r="O508" i="16"/>
  <c r="P507" i="16"/>
  <c r="O507" i="16"/>
  <c r="P506" i="16"/>
  <c r="O506" i="16"/>
  <c r="P505" i="16"/>
  <c r="O505" i="16"/>
  <c r="P504" i="16"/>
  <c r="O504" i="16"/>
  <c r="P503" i="16"/>
  <c r="O503" i="16"/>
  <c r="P502" i="16"/>
  <c r="O502" i="16"/>
  <c r="P501" i="16"/>
  <c r="O501" i="16"/>
  <c r="P500" i="16"/>
  <c r="O500" i="16"/>
  <c r="P499" i="16"/>
  <c r="O499" i="16"/>
  <c r="P498" i="16"/>
  <c r="O498" i="16"/>
  <c r="P497" i="16"/>
  <c r="O497" i="16"/>
  <c r="P496" i="16"/>
  <c r="O496" i="16"/>
  <c r="P495" i="16"/>
  <c r="O495" i="16"/>
  <c r="P494" i="16"/>
  <c r="O494" i="16"/>
  <c r="P493" i="16"/>
  <c r="O493" i="16"/>
  <c r="P492" i="16"/>
  <c r="O492" i="16"/>
  <c r="P491" i="16"/>
  <c r="O491" i="16"/>
  <c r="P490" i="16"/>
  <c r="O490" i="16"/>
  <c r="P489" i="16"/>
  <c r="O489" i="16"/>
  <c r="P488" i="16"/>
  <c r="O488" i="16"/>
  <c r="P487" i="16"/>
  <c r="O487" i="16"/>
  <c r="P486" i="16"/>
  <c r="O486" i="16"/>
  <c r="P485" i="16"/>
  <c r="O485" i="16"/>
  <c r="P484" i="16"/>
  <c r="O484" i="16"/>
  <c r="P483" i="16"/>
  <c r="O483" i="16"/>
  <c r="P482" i="16"/>
  <c r="O482" i="16"/>
  <c r="P481" i="16"/>
  <c r="O481" i="16"/>
  <c r="P480" i="16"/>
  <c r="O480" i="16"/>
  <c r="P479" i="16"/>
  <c r="O479" i="16"/>
  <c r="P478" i="16"/>
  <c r="O478" i="16"/>
  <c r="P477" i="16"/>
  <c r="O477" i="16"/>
  <c r="P476" i="16"/>
  <c r="O476" i="16"/>
  <c r="P475" i="16"/>
  <c r="O475" i="16"/>
  <c r="P474" i="16"/>
  <c r="O474" i="16"/>
  <c r="P473" i="16"/>
  <c r="O473" i="16"/>
  <c r="P472" i="16"/>
  <c r="O472" i="16"/>
  <c r="P471" i="16"/>
  <c r="O471" i="16"/>
  <c r="P470" i="16"/>
  <c r="O470" i="16"/>
  <c r="P469" i="16"/>
  <c r="O469" i="16"/>
  <c r="P468" i="16"/>
  <c r="O468" i="16"/>
  <c r="P467" i="16"/>
  <c r="O467" i="16"/>
  <c r="P466" i="16"/>
  <c r="O466" i="16"/>
  <c r="P465" i="16"/>
  <c r="O465" i="16"/>
  <c r="P464" i="16"/>
  <c r="O464" i="16"/>
  <c r="P463" i="16"/>
  <c r="O463" i="16"/>
  <c r="P462" i="16"/>
  <c r="O462" i="16"/>
  <c r="P461" i="16"/>
  <c r="O461" i="16"/>
  <c r="P460" i="16"/>
  <c r="O460" i="16"/>
  <c r="P459" i="16"/>
  <c r="O459" i="16"/>
  <c r="P458" i="16"/>
  <c r="O458" i="16"/>
  <c r="P457" i="16"/>
  <c r="O457" i="16"/>
  <c r="P456" i="16"/>
  <c r="O456" i="16"/>
  <c r="P455" i="16"/>
  <c r="O455" i="16"/>
  <c r="P454" i="16"/>
  <c r="O454" i="16"/>
  <c r="P453" i="16"/>
  <c r="O453" i="16"/>
  <c r="P452" i="16"/>
  <c r="O452" i="16"/>
  <c r="P451" i="16"/>
  <c r="O451" i="16"/>
  <c r="P450" i="16"/>
  <c r="O450" i="16"/>
  <c r="P449" i="16"/>
  <c r="O449" i="16"/>
  <c r="P448" i="16"/>
  <c r="O448" i="16"/>
  <c r="P447" i="16"/>
  <c r="O447" i="16"/>
  <c r="P446" i="16"/>
  <c r="O446" i="16"/>
  <c r="P445" i="16"/>
  <c r="O445" i="16"/>
  <c r="P444" i="16"/>
  <c r="O444" i="16"/>
  <c r="P443" i="16"/>
  <c r="O443" i="16"/>
  <c r="P442" i="16"/>
  <c r="O442" i="16"/>
  <c r="P441" i="16"/>
  <c r="O441" i="16"/>
  <c r="P440" i="16"/>
  <c r="O440" i="16"/>
  <c r="P439" i="16"/>
  <c r="O439" i="16"/>
  <c r="P438" i="16"/>
  <c r="O438" i="16"/>
  <c r="P437" i="16"/>
  <c r="O437" i="16"/>
  <c r="P436" i="16"/>
  <c r="O436" i="16"/>
  <c r="P435" i="16"/>
  <c r="O435" i="16"/>
  <c r="P434" i="16"/>
  <c r="O434" i="16"/>
  <c r="P433" i="16"/>
  <c r="O433" i="16"/>
  <c r="P432" i="16"/>
  <c r="O432" i="16"/>
  <c r="P431" i="16"/>
  <c r="O431" i="16"/>
  <c r="P430" i="16"/>
  <c r="O430" i="16"/>
  <c r="P429" i="16"/>
  <c r="O429" i="16"/>
  <c r="P428" i="16"/>
  <c r="O428" i="16"/>
  <c r="P427" i="16"/>
  <c r="O427" i="16"/>
  <c r="P426" i="16"/>
  <c r="O426" i="16"/>
  <c r="P425" i="16"/>
  <c r="O425" i="16"/>
  <c r="P424" i="16"/>
  <c r="O424" i="16"/>
  <c r="P423" i="16"/>
  <c r="O423" i="16"/>
  <c r="P422" i="16"/>
  <c r="O422" i="16"/>
  <c r="P421" i="16"/>
  <c r="O421" i="16"/>
  <c r="P420" i="16"/>
  <c r="O420" i="16"/>
  <c r="P419" i="16"/>
  <c r="O419" i="16"/>
  <c r="P418" i="16"/>
  <c r="O418" i="16"/>
  <c r="P417" i="16"/>
  <c r="O417" i="16"/>
  <c r="P416" i="16"/>
  <c r="O416" i="16"/>
  <c r="P415" i="16"/>
  <c r="O415" i="16"/>
  <c r="P414" i="16"/>
  <c r="O414" i="16"/>
  <c r="P413" i="16"/>
  <c r="O413" i="16"/>
  <c r="P412" i="16"/>
  <c r="O412" i="16"/>
  <c r="P411" i="16"/>
  <c r="O411" i="16"/>
  <c r="P410" i="16"/>
  <c r="O410" i="16"/>
  <c r="P409" i="16"/>
  <c r="O409" i="16"/>
  <c r="P408" i="16"/>
  <c r="O408" i="16"/>
  <c r="P407" i="16"/>
  <c r="O407" i="16"/>
  <c r="P406" i="16"/>
  <c r="O406" i="16"/>
  <c r="P405" i="16"/>
  <c r="O405" i="16"/>
  <c r="P404" i="16"/>
  <c r="O404" i="16"/>
  <c r="P403" i="16"/>
  <c r="O403" i="16"/>
  <c r="P402" i="16"/>
  <c r="O402" i="16"/>
  <c r="P401" i="16"/>
  <c r="O401" i="16"/>
  <c r="P400" i="16"/>
  <c r="O400" i="16"/>
  <c r="P399" i="16"/>
  <c r="O399" i="16"/>
  <c r="P398" i="16"/>
  <c r="O398" i="16"/>
  <c r="P397" i="16"/>
  <c r="O397" i="16"/>
  <c r="P396" i="16"/>
  <c r="O396" i="16"/>
  <c r="P395" i="16"/>
  <c r="O395" i="16"/>
  <c r="P394" i="16"/>
  <c r="O394" i="16"/>
  <c r="P393" i="16"/>
  <c r="O393" i="16"/>
  <c r="P392" i="16"/>
  <c r="O392" i="16"/>
  <c r="P391" i="16"/>
  <c r="O391" i="16"/>
  <c r="P390" i="16"/>
  <c r="O390" i="16"/>
  <c r="P389" i="16"/>
  <c r="O389" i="16"/>
  <c r="P388" i="16"/>
  <c r="O388" i="16"/>
  <c r="P387" i="16"/>
  <c r="O387" i="16"/>
  <c r="P386" i="16"/>
  <c r="O386" i="16"/>
  <c r="P385" i="16"/>
  <c r="O385" i="16"/>
  <c r="P384" i="16"/>
  <c r="O384" i="16"/>
  <c r="P383" i="16"/>
  <c r="O383" i="16"/>
  <c r="P382" i="16"/>
  <c r="O382" i="16"/>
  <c r="P381" i="16"/>
  <c r="O381" i="16"/>
  <c r="P380" i="16"/>
  <c r="O380" i="16"/>
  <c r="P379" i="16"/>
  <c r="O379" i="16"/>
  <c r="P378" i="16"/>
  <c r="O378" i="16"/>
  <c r="P377" i="16"/>
  <c r="O377" i="16"/>
  <c r="P376" i="16"/>
  <c r="O376" i="16"/>
  <c r="P375" i="16"/>
  <c r="O375" i="16"/>
  <c r="P374" i="16"/>
  <c r="O374" i="16"/>
  <c r="P373" i="16"/>
  <c r="O373" i="16"/>
  <c r="P372" i="16"/>
  <c r="O372" i="16"/>
  <c r="P371" i="16"/>
  <c r="O371" i="16"/>
  <c r="P370" i="16"/>
  <c r="O370" i="16"/>
  <c r="P369" i="16"/>
  <c r="O369" i="16"/>
  <c r="P368" i="16"/>
  <c r="O368" i="16"/>
  <c r="P367" i="16"/>
  <c r="O367" i="16"/>
  <c r="P366" i="16"/>
  <c r="O366" i="16"/>
  <c r="P365" i="16"/>
  <c r="O365" i="16"/>
  <c r="P364" i="16"/>
  <c r="O364" i="16"/>
  <c r="P363" i="16"/>
  <c r="O363" i="16"/>
  <c r="P362" i="16"/>
  <c r="O362" i="16"/>
  <c r="P361" i="16"/>
  <c r="O361" i="16"/>
  <c r="P360" i="16"/>
  <c r="O360" i="16"/>
  <c r="P359" i="16"/>
  <c r="O359" i="16"/>
  <c r="P358" i="16"/>
  <c r="O358" i="16"/>
  <c r="P357" i="16"/>
  <c r="O357" i="16"/>
  <c r="P356" i="16"/>
  <c r="O356" i="16"/>
  <c r="P355" i="16"/>
  <c r="O355" i="16"/>
  <c r="P354" i="16"/>
  <c r="O354" i="16"/>
  <c r="P353" i="16"/>
  <c r="O353" i="16"/>
  <c r="P352" i="16"/>
  <c r="O352" i="16"/>
  <c r="P351" i="16"/>
  <c r="O351" i="16"/>
  <c r="P350" i="16"/>
  <c r="O350" i="16"/>
  <c r="P349" i="16"/>
  <c r="O349" i="16"/>
  <c r="P348" i="16"/>
  <c r="O348" i="16"/>
  <c r="P347" i="16"/>
  <c r="O347" i="16"/>
  <c r="P346" i="16"/>
  <c r="O346" i="16"/>
  <c r="P345" i="16"/>
  <c r="O345" i="16"/>
  <c r="P344" i="16"/>
  <c r="O344" i="16"/>
  <c r="P343" i="16"/>
  <c r="O343" i="16"/>
  <c r="P342" i="16"/>
  <c r="O342" i="16"/>
  <c r="P341" i="16"/>
  <c r="O341" i="16"/>
  <c r="P340" i="16"/>
  <c r="O340" i="16"/>
  <c r="P339" i="16"/>
  <c r="O339" i="16"/>
  <c r="P338" i="16"/>
  <c r="O338" i="16"/>
  <c r="P337" i="16"/>
  <c r="O337" i="16"/>
  <c r="P336" i="16"/>
  <c r="O336" i="16"/>
  <c r="P335" i="16"/>
  <c r="O335" i="16"/>
  <c r="P334" i="16"/>
  <c r="O334" i="16"/>
  <c r="P333" i="16"/>
  <c r="O333" i="16"/>
  <c r="P332" i="16"/>
  <c r="O332" i="16"/>
  <c r="P331" i="16"/>
  <c r="O331" i="16"/>
  <c r="P330" i="16"/>
  <c r="O330" i="16"/>
  <c r="P329" i="16"/>
  <c r="O329" i="16"/>
  <c r="P328" i="16"/>
  <c r="O328" i="16"/>
  <c r="P327" i="16"/>
  <c r="O327" i="16"/>
  <c r="P326" i="16"/>
  <c r="O326" i="16"/>
  <c r="P325" i="16"/>
  <c r="O325" i="16"/>
  <c r="P324" i="16"/>
  <c r="O324" i="16"/>
  <c r="P323" i="16"/>
  <c r="O323" i="16"/>
  <c r="P322" i="16"/>
  <c r="O322" i="16"/>
  <c r="P321" i="16"/>
  <c r="O321" i="16"/>
  <c r="P320" i="16"/>
  <c r="O320" i="16"/>
  <c r="P319" i="16"/>
  <c r="O319" i="16"/>
  <c r="P318" i="16"/>
  <c r="O318" i="16"/>
  <c r="P317" i="16"/>
  <c r="O317" i="16"/>
  <c r="P316" i="16"/>
  <c r="O316" i="16"/>
  <c r="P315" i="16"/>
  <c r="O315" i="16"/>
  <c r="P314" i="16"/>
  <c r="O314" i="16"/>
  <c r="P313" i="16"/>
  <c r="O313" i="16"/>
  <c r="P312" i="16"/>
  <c r="O312" i="16"/>
  <c r="P311" i="16"/>
  <c r="O311" i="16"/>
  <c r="P310" i="16"/>
  <c r="O310" i="16"/>
  <c r="P309" i="16"/>
  <c r="O309" i="16"/>
  <c r="P308" i="16"/>
  <c r="O308" i="16"/>
  <c r="P307" i="16"/>
  <c r="O307" i="16"/>
  <c r="P306" i="16"/>
  <c r="O306" i="16"/>
  <c r="P305" i="16"/>
  <c r="O305" i="16"/>
  <c r="P304" i="16"/>
  <c r="O304" i="16"/>
  <c r="P303" i="16"/>
  <c r="O303" i="16"/>
  <c r="P302" i="16"/>
  <c r="O302" i="16"/>
  <c r="P301" i="16"/>
  <c r="O301" i="16"/>
  <c r="P300" i="16"/>
  <c r="O300" i="16"/>
  <c r="P299" i="16"/>
  <c r="O299" i="16"/>
  <c r="P298" i="16"/>
  <c r="O298" i="16"/>
  <c r="P297" i="16"/>
  <c r="O297" i="16"/>
  <c r="P296" i="16"/>
  <c r="O296" i="16"/>
  <c r="P295" i="16"/>
  <c r="O295" i="16"/>
  <c r="P294" i="16"/>
  <c r="O294" i="16"/>
  <c r="P293" i="16"/>
  <c r="O293" i="16"/>
  <c r="P292" i="16"/>
  <c r="O292" i="16"/>
  <c r="P291" i="16"/>
  <c r="O291" i="16"/>
  <c r="P290" i="16"/>
  <c r="O290" i="16"/>
  <c r="P289" i="16"/>
  <c r="O289" i="16"/>
  <c r="P288" i="16"/>
  <c r="O288" i="16"/>
  <c r="P287" i="16"/>
  <c r="O287" i="16"/>
  <c r="P286" i="16"/>
  <c r="O286" i="16"/>
  <c r="P285" i="16"/>
  <c r="O285" i="16"/>
  <c r="P284" i="16"/>
  <c r="O284" i="16"/>
  <c r="P283" i="16"/>
  <c r="O283" i="16"/>
  <c r="P282" i="16"/>
  <c r="O282" i="16"/>
  <c r="P281" i="16"/>
  <c r="O281" i="16"/>
  <c r="P280" i="16"/>
  <c r="O280" i="16"/>
  <c r="P279" i="16"/>
  <c r="O279" i="16"/>
  <c r="P278" i="16"/>
  <c r="O278" i="16"/>
  <c r="P277" i="16"/>
  <c r="O277" i="16"/>
  <c r="P276" i="16"/>
  <c r="O276" i="16"/>
  <c r="P275" i="16"/>
  <c r="O275" i="16"/>
  <c r="P274" i="16"/>
  <c r="O274" i="16"/>
  <c r="P273" i="16"/>
  <c r="O273" i="16"/>
  <c r="P272" i="16"/>
  <c r="O272" i="16"/>
  <c r="P271" i="16"/>
  <c r="O271" i="16"/>
  <c r="P270" i="16"/>
  <c r="O270" i="16"/>
  <c r="P269" i="16"/>
  <c r="O269" i="16"/>
  <c r="P268" i="16"/>
  <c r="O268" i="16"/>
  <c r="P267" i="16"/>
  <c r="O267" i="16"/>
  <c r="P266" i="16"/>
  <c r="O266" i="16"/>
  <c r="P265" i="16"/>
  <c r="O265" i="16"/>
  <c r="P264" i="16"/>
  <c r="O264" i="16"/>
  <c r="P263" i="16"/>
  <c r="O263" i="16"/>
  <c r="P262" i="16"/>
  <c r="O262" i="16"/>
  <c r="P261" i="16"/>
  <c r="O261" i="16"/>
  <c r="P260" i="16"/>
  <c r="O260" i="16"/>
  <c r="P259" i="16"/>
  <c r="O259" i="16"/>
  <c r="P258" i="16"/>
  <c r="O258" i="16"/>
  <c r="P257" i="16"/>
  <c r="O257" i="16"/>
  <c r="P256" i="16"/>
  <c r="O256" i="16"/>
  <c r="P255" i="16"/>
  <c r="O255" i="16"/>
  <c r="P254" i="16"/>
  <c r="O254" i="16"/>
  <c r="P253" i="16"/>
  <c r="O253" i="16"/>
  <c r="P252" i="16"/>
  <c r="O252" i="16"/>
  <c r="P251" i="16"/>
  <c r="O251" i="16"/>
  <c r="P250" i="16"/>
  <c r="O250" i="16"/>
  <c r="P249" i="16"/>
  <c r="O249" i="16"/>
  <c r="P248" i="16"/>
  <c r="O248" i="16"/>
  <c r="P247" i="16"/>
  <c r="O247" i="16"/>
  <c r="P246" i="16"/>
  <c r="O246" i="16"/>
  <c r="P245" i="16"/>
  <c r="O245" i="16"/>
  <c r="P244" i="16"/>
  <c r="O244" i="16"/>
  <c r="P243" i="16"/>
  <c r="O243" i="16"/>
  <c r="P242" i="16"/>
  <c r="O242" i="16"/>
  <c r="P241" i="16"/>
  <c r="O241" i="16"/>
  <c r="P240" i="16"/>
  <c r="O240" i="16"/>
  <c r="P239" i="16"/>
  <c r="O239" i="16"/>
  <c r="P238" i="16"/>
  <c r="O238" i="16"/>
  <c r="P237" i="16"/>
  <c r="O237" i="16"/>
  <c r="P236" i="16"/>
  <c r="O236" i="16"/>
  <c r="P235" i="16"/>
  <c r="O235" i="16"/>
  <c r="P234" i="16"/>
  <c r="O234" i="16"/>
  <c r="P233" i="16"/>
  <c r="O233" i="16"/>
  <c r="P232" i="16"/>
  <c r="O232" i="16"/>
  <c r="P231" i="16"/>
  <c r="O231" i="16"/>
  <c r="P230" i="16"/>
  <c r="O230" i="16"/>
  <c r="P229" i="16"/>
  <c r="O229" i="16"/>
  <c r="P228" i="16"/>
  <c r="O228" i="16"/>
  <c r="P227" i="16"/>
  <c r="O227" i="16"/>
  <c r="P226" i="16"/>
  <c r="O226" i="16"/>
  <c r="P225" i="16"/>
  <c r="O225" i="16"/>
  <c r="P224" i="16"/>
  <c r="O224" i="16"/>
  <c r="P223" i="16"/>
  <c r="O223" i="16"/>
  <c r="P222" i="16"/>
  <c r="O222" i="16"/>
  <c r="P221" i="16"/>
  <c r="O221" i="16"/>
  <c r="P220" i="16"/>
  <c r="O220" i="16"/>
  <c r="P219" i="16"/>
  <c r="O219" i="16"/>
  <c r="P218" i="16"/>
  <c r="O218" i="16"/>
  <c r="P217" i="16"/>
  <c r="O217" i="16"/>
  <c r="P216" i="16"/>
  <c r="O216" i="16"/>
  <c r="P215" i="16"/>
  <c r="O215" i="16"/>
  <c r="P214" i="16"/>
  <c r="O214" i="16"/>
  <c r="P213" i="16"/>
  <c r="O213" i="16"/>
  <c r="P212" i="16"/>
  <c r="O212" i="16"/>
  <c r="P211" i="16"/>
  <c r="O211" i="16"/>
  <c r="P210" i="16"/>
  <c r="O210" i="16"/>
  <c r="P209" i="16"/>
  <c r="O209" i="16"/>
  <c r="P208" i="16"/>
  <c r="O208" i="16"/>
  <c r="P207" i="16"/>
  <c r="O207" i="16"/>
  <c r="P206" i="16"/>
  <c r="O206" i="16"/>
  <c r="P205" i="16"/>
  <c r="O205" i="16"/>
  <c r="P204" i="16"/>
  <c r="O204" i="16"/>
  <c r="P203" i="16"/>
  <c r="O203" i="16"/>
  <c r="P202" i="16"/>
  <c r="O202" i="16"/>
  <c r="P201" i="16"/>
  <c r="O201" i="16"/>
  <c r="P200" i="16"/>
  <c r="O200" i="16"/>
  <c r="P199" i="16"/>
  <c r="O199" i="16"/>
  <c r="P198" i="16"/>
  <c r="O198" i="16"/>
  <c r="P197" i="16"/>
  <c r="O197" i="16"/>
  <c r="P196" i="16"/>
  <c r="O196" i="16"/>
  <c r="P195" i="16"/>
  <c r="O195" i="16"/>
  <c r="P194" i="16"/>
  <c r="O194" i="16"/>
  <c r="P193" i="16"/>
  <c r="O193" i="16"/>
  <c r="P192" i="16"/>
  <c r="O192" i="16"/>
  <c r="P191" i="16"/>
  <c r="O191" i="16"/>
  <c r="P190" i="16"/>
  <c r="O190" i="16"/>
  <c r="P189" i="16"/>
  <c r="O189" i="16"/>
  <c r="P188" i="16"/>
  <c r="O188" i="16"/>
  <c r="P187" i="16"/>
  <c r="O187" i="16"/>
  <c r="P186" i="16"/>
  <c r="O186" i="16"/>
  <c r="P185" i="16"/>
  <c r="O185" i="16"/>
  <c r="P184" i="16"/>
  <c r="O184" i="16"/>
  <c r="P183" i="16"/>
  <c r="O183" i="16"/>
  <c r="P182" i="16"/>
  <c r="O182" i="16"/>
  <c r="P181" i="16"/>
  <c r="O181" i="16"/>
  <c r="P180" i="16"/>
  <c r="O180" i="16"/>
  <c r="P179" i="16"/>
  <c r="O179" i="16"/>
  <c r="P178" i="16"/>
  <c r="O178" i="16"/>
  <c r="P177" i="16"/>
  <c r="O177" i="16"/>
  <c r="P176" i="16"/>
  <c r="O176" i="16"/>
  <c r="P175" i="16"/>
  <c r="O175" i="16"/>
  <c r="P174" i="16"/>
  <c r="O174" i="16"/>
  <c r="P173" i="16"/>
  <c r="O173" i="16"/>
  <c r="P172" i="16"/>
  <c r="O172" i="16"/>
  <c r="P171" i="16"/>
  <c r="O171" i="16"/>
  <c r="P170" i="16"/>
  <c r="O170" i="16"/>
  <c r="P169" i="16"/>
  <c r="O169" i="16"/>
  <c r="P168" i="16"/>
  <c r="O168" i="16"/>
  <c r="P167" i="16"/>
  <c r="O167" i="16"/>
  <c r="P166" i="16"/>
  <c r="O166" i="16"/>
  <c r="P165" i="16"/>
  <c r="O165" i="16"/>
  <c r="P164" i="16"/>
  <c r="O164" i="16"/>
  <c r="P163" i="16"/>
  <c r="O163" i="16"/>
  <c r="P162" i="16"/>
  <c r="O162" i="16"/>
  <c r="P161" i="16"/>
  <c r="O161" i="16"/>
  <c r="P160" i="16"/>
  <c r="O160" i="16"/>
  <c r="P159" i="16"/>
  <c r="O159" i="16"/>
  <c r="P158" i="16"/>
  <c r="O158" i="16"/>
  <c r="P157" i="16"/>
  <c r="O157" i="16"/>
  <c r="P156" i="16"/>
  <c r="O156" i="16"/>
  <c r="P155" i="16"/>
  <c r="O155" i="16"/>
  <c r="P154" i="16"/>
  <c r="O154" i="16"/>
  <c r="P153" i="16"/>
  <c r="O153" i="16"/>
  <c r="P152" i="16"/>
  <c r="O152" i="16"/>
  <c r="P151" i="16"/>
  <c r="O151" i="16"/>
  <c r="P150" i="16"/>
  <c r="O150" i="16"/>
  <c r="P149" i="16"/>
  <c r="O149" i="16"/>
  <c r="P148" i="16"/>
  <c r="O148" i="16"/>
  <c r="P147" i="16"/>
  <c r="O147" i="16"/>
  <c r="P146" i="16"/>
  <c r="O146" i="16"/>
  <c r="P145" i="16"/>
  <c r="O145" i="16"/>
  <c r="P144" i="16"/>
  <c r="O144" i="16"/>
  <c r="P143" i="16"/>
  <c r="O143" i="16"/>
  <c r="P142" i="16"/>
  <c r="O142" i="16"/>
  <c r="P141" i="16"/>
  <c r="O141" i="16"/>
  <c r="P140" i="16"/>
  <c r="O140" i="16"/>
  <c r="P139" i="16"/>
  <c r="O139" i="16"/>
  <c r="P138" i="16"/>
  <c r="O138" i="16"/>
  <c r="P137" i="16"/>
  <c r="O137" i="16"/>
  <c r="P136" i="16"/>
  <c r="O136" i="16"/>
  <c r="P135" i="16"/>
  <c r="O135" i="16"/>
  <c r="P134" i="16"/>
  <c r="O134" i="16"/>
  <c r="P133" i="16"/>
  <c r="O133" i="16"/>
  <c r="P132" i="16"/>
  <c r="O132" i="16"/>
  <c r="P131" i="16"/>
  <c r="O131" i="16"/>
  <c r="P130" i="16"/>
  <c r="O130" i="16"/>
  <c r="P129" i="16"/>
  <c r="O129" i="16"/>
  <c r="P128" i="16"/>
  <c r="O128" i="16"/>
  <c r="P127" i="16"/>
  <c r="O127" i="16"/>
  <c r="P126" i="16"/>
  <c r="O126" i="16"/>
  <c r="P125" i="16"/>
  <c r="O125" i="16"/>
  <c r="P124" i="16"/>
  <c r="O124" i="16"/>
  <c r="P123" i="16"/>
  <c r="O123" i="16"/>
  <c r="P122" i="16"/>
  <c r="O122" i="16"/>
  <c r="P121" i="16"/>
  <c r="O121" i="16"/>
  <c r="P120" i="16"/>
  <c r="O120" i="16"/>
  <c r="P119" i="16"/>
  <c r="O119" i="16"/>
  <c r="P118" i="16"/>
  <c r="O118" i="16"/>
  <c r="P117" i="16"/>
  <c r="O117" i="16"/>
  <c r="P116" i="16"/>
  <c r="O116" i="16"/>
  <c r="P115" i="16"/>
  <c r="O115" i="16"/>
  <c r="P114" i="16"/>
  <c r="O114" i="16"/>
  <c r="P113" i="16"/>
  <c r="O113" i="16"/>
  <c r="P112" i="16"/>
  <c r="O112" i="16"/>
  <c r="P111" i="16"/>
  <c r="O111" i="16"/>
  <c r="P110" i="16"/>
  <c r="O110" i="16"/>
  <c r="P109" i="16"/>
  <c r="O109" i="16"/>
  <c r="P108" i="16"/>
  <c r="O108" i="16"/>
  <c r="P107" i="16"/>
  <c r="O107" i="16"/>
  <c r="P106" i="16"/>
  <c r="O106" i="16"/>
  <c r="P105" i="16"/>
  <c r="O105" i="16"/>
  <c r="P104" i="16"/>
  <c r="O104" i="16"/>
  <c r="P103" i="16"/>
  <c r="O103" i="16"/>
  <c r="P102" i="16"/>
  <c r="O102" i="16"/>
  <c r="P101" i="16"/>
  <c r="O101" i="16"/>
  <c r="P100" i="16"/>
  <c r="O100" i="16"/>
  <c r="P99" i="16"/>
  <c r="O99" i="16"/>
  <c r="P98" i="16"/>
  <c r="O98" i="16"/>
  <c r="P97" i="16"/>
  <c r="O97" i="16"/>
  <c r="P96" i="16"/>
  <c r="O96" i="16"/>
  <c r="P95" i="16"/>
  <c r="O95" i="16"/>
  <c r="P94" i="16"/>
  <c r="O94" i="16"/>
  <c r="P93" i="16"/>
  <c r="O93" i="16"/>
  <c r="P92" i="16"/>
  <c r="O92" i="16"/>
  <c r="P91" i="16"/>
  <c r="O91" i="16"/>
  <c r="P90" i="16"/>
  <c r="O90" i="16"/>
  <c r="P89" i="16"/>
  <c r="O89" i="16"/>
  <c r="P88" i="16"/>
  <c r="O88" i="16"/>
  <c r="P87" i="16"/>
  <c r="O87" i="16"/>
  <c r="P86" i="16"/>
  <c r="O86" i="16"/>
  <c r="P85" i="16"/>
  <c r="O85" i="16"/>
  <c r="P84" i="16"/>
  <c r="O84" i="16"/>
  <c r="P83" i="16"/>
  <c r="O83" i="16"/>
  <c r="P82" i="16"/>
  <c r="O82" i="16"/>
  <c r="P81" i="16"/>
  <c r="O81" i="16"/>
  <c r="P80" i="16"/>
  <c r="O80" i="16"/>
  <c r="P79" i="16"/>
  <c r="O79" i="16"/>
  <c r="P78" i="16"/>
  <c r="O78" i="16"/>
  <c r="P77" i="16"/>
  <c r="O77" i="16"/>
  <c r="P76" i="16"/>
  <c r="O76" i="16"/>
  <c r="P75" i="16"/>
  <c r="O75" i="16"/>
  <c r="P74" i="16"/>
  <c r="O74" i="16"/>
  <c r="P73" i="16"/>
  <c r="O73" i="16"/>
  <c r="P72" i="16"/>
  <c r="O72" i="16"/>
  <c r="P71" i="16"/>
  <c r="O71" i="16"/>
  <c r="P70" i="16"/>
  <c r="O70" i="16"/>
  <c r="P69" i="16"/>
  <c r="O69" i="16"/>
  <c r="P68" i="16"/>
  <c r="O68" i="16"/>
  <c r="P67" i="16"/>
  <c r="O67" i="16"/>
  <c r="P66" i="16"/>
  <c r="O66" i="16"/>
  <c r="P65" i="16"/>
  <c r="O65" i="16"/>
  <c r="P64" i="16"/>
  <c r="O64" i="16"/>
  <c r="P63" i="16"/>
  <c r="O63" i="16"/>
  <c r="P62" i="16"/>
  <c r="O62" i="16"/>
  <c r="P61" i="16"/>
  <c r="O61" i="16"/>
  <c r="P60" i="16"/>
  <c r="O60" i="16"/>
  <c r="P59" i="16"/>
  <c r="O59" i="16"/>
  <c r="P58" i="16"/>
  <c r="O58" i="16"/>
  <c r="P57" i="16"/>
  <c r="O57" i="16"/>
  <c r="P56" i="16"/>
  <c r="O56" i="16"/>
  <c r="P55" i="16"/>
  <c r="O55" i="16"/>
  <c r="P54" i="16"/>
  <c r="O54" i="16"/>
  <c r="P53" i="16"/>
  <c r="O53" i="16"/>
  <c r="P52" i="16"/>
  <c r="O52" i="16"/>
  <c r="P51" i="16"/>
  <c r="O51" i="16"/>
  <c r="P50" i="16"/>
  <c r="O50" i="16"/>
  <c r="P49" i="16"/>
  <c r="O49" i="16"/>
  <c r="P48" i="16"/>
  <c r="O48" i="16"/>
  <c r="P47" i="16"/>
  <c r="O47" i="16"/>
  <c r="P46" i="16"/>
  <c r="O46" i="16"/>
  <c r="P45" i="16"/>
  <c r="O45" i="16"/>
  <c r="P44" i="16"/>
  <c r="O44" i="16"/>
  <c r="P43" i="16"/>
  <c r="O43" i="16"/>
  <c r="P42" i="16"/>
  <c r="O42" i="16"/>
  <c r="P41" i="16"/>
  <c r="O41" i="16"/>
  <c r="P40" i="16"/>
  <c r="O40" i="16"/>
  <c r="P39" i="16"/>
  <c r="O39" i="16"/>
  <c r="P38" i="16"/>
  <c r="O38" i="16"/>
  <c r="P37" i="16"/>
  <c r="O37" i="16"/>
  <c r="P36" i="16"/>
  <c r="O36" i="16"/>
  <c r="P35" i="16"/>
  <c r="O35" i="16"/>
  <c r="P34" i="16"/>
  <c r="O34" i="16"/>
  <c r="P33" i="16"/>
  <c r="O33" i="16"/>
  <c r="P32" i="16"/>
  <c r="O32" i="16"/>
  <c r="P31" i="16"/>
  <c r="O31" i="16"/>
  <c r="P30" i="16"/>
  <c r="O30" i="16"/>
  <c r="P29" i="16"/>
  <c r="O29" i="16"/>
  <c r="P28" i="16"/>
  <c r="O28" i="16"/>
  <c r="P27" i="16"/>
  <c r="O27" i="16"/>
  <c r="P26" i="16"/>
  <c r="O26" i="16"/>
  <c r="P25" i="16"/>
  <c r="O25" i="16"/>
  <c r="P24" i="16"/>
  <c r="O24" i="16"/>
  <c r="P23" i="16"/>
  <c r="O23" i="16"/>
  <c r="P22" i="16"/>
  <c r="O22" i="16"/>
  <c r="P21" i="16"/>
  <c r="O21" i="16"/>
  <c r="P20" i="16"/>
  <c r="O20" i="16"/>
  <c r="P19" i="16"/>
  <c r="O19" i="16"/>
  <c r="P18" i="16"/>
  <c r="O18" i="16"/>
  <c r="P17" i="16"/>
  <c r="O17" i="16"/>
  <c r="P16" i="16"/>
  <c r="O16" i="16"/>
  <c r="P15" i="16"/>
  <c r="O15" i="16"/>
  <c r="P14" i="16"/>
  <c r="O14" i="16"/>
  <c r="P13" i="16"/>
  <c r="O13" i="16"/>
  <c r="P12" i="16"/>
  <c r="O12" i="16"/>
  <c r="P11" i="16"/>
  <c r="O11" i="16"/>
  <c r="P10" i="16"/>
  <c r="O10" i="16"/>
  <c r="P9" i="16"/>
  <c r="O9" i="16"/>
  <c r="P8" i="16"/>
  <c r="O8" i="16"/>
  <c r="P7" i="16"/>
  <c r="O7" i="16"/>
  <c r="P6" i="16"/>
  <c r="O6" i="16"/>
  <c r="P5" i="16"/>
  <c r="O5" i="16"/>
  <c r="P4" i="16"/>
  <c r="O4" i="16"/>
  <c r="P3" i="16"/>
  <c r="O3" i="16"/>
  <c r="C193" i="49" l="1"/>
  <c r="D190" i="49"/>
  <c r="C188" i="49"/>
  <c r="C182" i="49"/>
  <c r="C175" i="49"/>
  <c r="C174" i="49"/>
  <c r="C172" i="49"/>
  <c r="B169" i="49"/>
  <c r="A33" i="11"/>
  <c r="A21" i="11"/>
  <c r="A18" i="51"/>
  <c r="A17" i="51"/>
  <c r="A16" i="51"/>
  <c r="A12" i="51"/>
  <c r="A11" i="51"/>
  <c r="A10" i="51"/>
  <c r="A9" i="51"/>
  <c r="A8" i="51"/>
  <c r="AH137" i="16"/>
  <c r="AK137" i="16" s="1"/>
  <c r="AG137" i="16"/>
  <c r="AH136" i="16"/>
  <c r="AK136" i="16" s="1"/>
  <c r="AG136" i="16"/>
  <c r="AH135" i="16"/>
  <c r="AK135" i="16" s="1"/>
  <c r="AG135" i="16"/>
  <c r="AH134" i="16"/>
  <c r="AJ134" i="16" s="1"/>
  <c r="AG134" i="16"/>
  <c r="AH133" i="16"/>
  <c r="AK133" i="16" s="1"/>
  <c r="AG133" i="16"/>
  <c r="AH132" i="16"/>
  <c r="AG132" i="16"/>
  <c r="AH131" i="16"/>
  <c r="AK131" i="16" s="1"/>
  <c r="AG131" i="16"/>
  <c r="AH130" i="16"/>
  <c r="AJ130" i="16" s="1"/>
  <c r="AG130" i="16"/>
  <c r="AH129" i="16"/>
  <c r="AK129" i="16" s="1"/>
  <c r="AG129" i="16"/>
  <c r="AH128" i="16"/>
  <c r="AK128" i="16" s="1"/>
  <c r="AG128" i="16"/>
  <c r="AH127" i="16"/>
  <c r="AK127" i="16" s="1"/>
  <c r="AG127" i="16"/>
  <c r="AH126" i="16"/>
  <c r="AJ126" i="16" s="1"/>
  <c r="AG126" i="16"/>
  <c r="AH125" i="16"/>
  <c r="AK125" i="16" s="1"/>
  <c r="AG125" i="16"/>
  <c r="AH124" i="16"/>
  <c r="AG124" i="16"/>
  <c r="AH123" i="16"/>
  <c r="AK123" i="16" s="1"/>
  <c r="AG123" i="16"/>
  <c r="AH122" i="16"/>
  <c r="AJ122" i="16" s="1"/>
  <c r="AG122" i="16"/>
  <c r="AH121" i="16"/>
  <c r="AK121" i="16" s="1"/>
  <c r="AG121" i="16"/>
  <c r="AH120" i="16"/>
  <c r="AK120" i="16" s="1"/>
  <c r="AG120" i="16"/>
  <c r="AH119" i="16"/>
  <c r="AK119" i="16" s="1"/>
  <c r="AG119" i="16"/>
  <c r="AH118" i="16"/>
  <c r="AJ118" i="16" s="1"/>
  <c r="AG118" i="16"/>
  <c r="AH117" i="16"/>
  <c r="AK117" i="16" s="1"/>
  <c r="AG117" i="16"/>
  <c r="AH116" i="16"/>
  <c r="AG116" i="16"/>
  <c r="AH115" i="16"/>
  <c r="AK115" i="16" s="1"/>
  <c r="AG115" i="16"/>
  <c r="AH114" i="16"/>
  <c r="AJ114" i="16" s="1"/>
  <c r="AG114" i="16"/>
  <c r="AH113" i="16"/>
  <c r="AK113" i="16" s="1"/>
  <c r="AG113" i="16"/>
  <c r="W113" i="16"/>
  <c r="AH112" i="16"/>
  <c r="AJ112" i="16" s="1"/>
  <c r="AG112" i="16"/>
  <c r="AH111" i="16"/>
  <c r="AK111" i="16" s="1"/>
  <c r="AG111" i="16"/>
  <c r="AH110" i="16"/>
  <c r="AG110" i="16"/>
  <c r="AH109" i="16"/>
  <c r="AK109" i="16" s="1"/>
  <c r="AG109" i="16"/>
  <c r="AH108" i="16"/>
  <c r="AJ108" i="16" s="1"/>
  <c r="AG108" i="16"/>
  <c r="AH107" i="16"/>
  <c r="AK107" i="16" s="1"/>
  <c r="AG107" i="16"/>
  <c r="AH106" i="16"/>
  <c r="AK106" i="16" s="1"/>
  <c r="AG106" i="16"/>
  <c r="AH105" i="16"/>
  <c r="AK105" i="16" s="1"/>
  <c r="AG105" i="16"/>
  <c r="AH104" i="16"/>
  <c r="AG104" i="16"/>
  <c r="AH103" i="16"/>
  <c r="AK103" i="16" s="1"/>
  <c r="AG103" i="16"/>
  <c r="AH102" i="16"/>
  <c r="AG102" i="16"/>
  <c r="AH101" i="16"/>
  <c r="AK101" i="16" s="1"/>
  <c r="AG101" i="16"/>
  <c r="AH100" i="16"/>
  <c r="AJ100" i="16" s="1"/>
  <c r="AG100" i="16"/>
  <c r="AH99" i="16"/>
  <c r="AK99" i="16" s="1"/>
  <c r="AG99" i="16"/>
  <c r="AH98" i="16"/>
  <c r="AK98" i="16" s="1"/>
  <c r="AG98" i="16"/>
  <c r="AH97" i="16"/>
  <c r="AK97" i="16" s="1"/>
  <c r="AG97" i="16"/>
  <c r="AH96" i="16"/>
  <c r="AJ96" i="16" s="1"/>
  <c r="AG96" i="16"/>
  <c r="AH95" i="16"/>
  <c r="AK95" i="16" s="1"/>
  <c r="AG95" i="16"/>
  <c r="AH94" i="16"/>
  <c r="AG94" i="16"/>
  <c r="AH93" i="16"/>
  <c r="AK93" i="16" s="1"/>
  <c r="AG93" i="16"/>
  <c r="AH92" i="16"/>
  <c r="AJ92" i="16" s="1"/>
  <c r="AG92" i="16"/>
  <c r="AH91" i="16"/>
  <c r="AK91" i="16" s="1"/>
  <c r="AG91" i="16"/>
  <c r="AH90" i="16"/>
  <c r="AK90" i="16" s="1"/>
  <c r="AG90" i="16"/>
  <c r="AH89" i="16"/>
  <c r="AK89" i="16" s="1"/>
  <c r="AG89" i="16"/>
  <c r="AH88" i="16"/>
  <c r="AG88" i="16"/>
  <c r="AH87" i="16"/>
  <c r="AG87" i="16"/>
  <c r="AH86" i="16"/>
  <c r="AG86" i="16"/>
  <c r="AH85" i="16"/>
  <c r="AK85" i="16" s="1"/>
  <c r="AG85" i="16"/>
  <c r="AH84" i="16"/>
  <c r="AJ84" i="16" s="1"/>
  <c r="AG84" i="16"/>
  <c r="AH83" i="16"/>
  <c r="AK83" i="16" s="1"/>
  <c r="AG83" i="16"/>
  <c r="AH82" i="16"/>
  <c r="AK82" i="16" s="1"/>
  <c r="AG82" i="16"/>
  <c r="AH81" i="16"/>
  <c r="AK81" i="16" s="1"/>
  <c r="AG81" i="16"/>
  <c r="AH80" i="16"/>
  <c r="AJ80" i="16" s="1"/>
  <c r="AG80" i="16"/>
  <c r="AH79" i="16"/>
  <c r="AK79" i="16" s="1"/>
  <c r="AG79" i="16"/>
  <c r="AH78" i="16"/>
  <c r="AG78" i="16"/>
  <c r="AH77" i="16"/>
  <c r="AK77" i="16" s="1"/>
  <c r="AG77" i="16"/>
  <c r="AH76" i="16"/>
  <c r="AJ76" i="16" s="1"/>
  <c r="AG76" i="16"/>
  <c r="AH75" i="16"/>
  <c r="AK75" i="16" s="1"/>
  <c r="AG75" i="16"/>
  <c r="AH74" i="16"/>
  <c r="AK74" i="16" s="1"/>
  <c r="AG74" i="16"/>
  <c r="AH73" i="16"/>
  <c r="AK73" i="16" s="1"/>
  <c r="AG73" i="16"/>
  <c r="AH72" i="16"/>
  <c r="AJ72" i="16" s="1"/>
  <c r="AG72" i="16"/>
  <c r="AH71" i="16"/>
  <c r="AK71" i="16" s="1"/>
  <c r="AG71" i="16"/>
  <c r="AH70" i="16"/>
  <c r="AG70" i="16"/>
  <c r="AH69" i="16"/>
  <c r="AK69" i="16" s="1"/>
  <c r="AG69" i="16"/>
  <c r="AH68" i="16"/>
  <c r="AJ68" i="16" s="1"/>
  <c r="AG68" i="16"/>
  <c r="AH67" i="16"/>
  <c r="AK67" i="16" s="1"/>
  <c r="AG67" i="16"/>
  <c r="AH66" i="16"/>
  <c r="AK66" i="16" s="1"/>
  <c r="AG66" i="16"/>
  <c r="AH65" i="16"/>
  <c r="AK65" i="16" s="1"/>
  <c r="AG65" i="16"/>
  <c r="AH64" i="16"/>
  <c r="AJ64" i="16" s="1"/>
  <c r="AG64" i="16"/>
  <c r="AH63" i="16"/>
  <c r="AK63" i="16" s="1"/>
  <c r="AG63" i="16"/>
  <c r="AH62" i="16"/>
  <c r="AG62" i="16"/>
  <c r="AH61" i="16"/>
  <c r="AK61" i="16" s="1"/>
  <c r="AG61" i="16"/>
  <c r="AH60" i="16"/>
  <c r="AJ60" i="16" s="1"/>
  <c r="AG60" i="16"/>
  <c r="AH59" i="16"/>
  <c r="AK59" i="16" s="1"/>
  <c r="AG59" i="16"/>
  <c r="AH58" i="16"/>
  <c r="AK58" i="16" s="1"/>
  <c r="AG58" i="16"/>
  <c r="AH57" i="16"/>
  <c r="AK57" i="16" s="1"/>
  <c r="AG57" i="16"/>
  <c r="AH56" i="16"/>
  <c r="AJ56" i="16" s="1"/>
  <c r="AG56" i="16"/>
  <c r="AH55" i="16"/>
  <c r="AK55" i="16" s="1"/>
  <c r="AG55" i="16"/>
  <c r="AH54" i="16"/>
  <c r="AG54" i="16"/>
  <c r="AH53" i="16"/>
  <c r="AK53" i="16" s="1"/>
  <c r="AG53" i="16"/>
  <c r="AH52" i="16"/>
  <c r="AJ52" i="16" s="1"/>
  <c r="AG52" i="16"/>
  <c r="AH51" i="16"/>
  <c r="AK51" i="16" s="1"/>
  <c r="AG51" i="16"/>
  <c r="AH50" i="16"/>
  <c r="AK50" i="16" s="1"/>
  <c r="AG50" i="16"/>
  <c r="AH49" i="16"/>
  <c r="AK49" i="16" s="1"/>
  <c r="AG49" i="16"/>
  <c r="AH48" i="16"/>
  <c r="AJ48" i="16" s="1"/>
  <c r="AG48" i="16"/>
  <c r="AH47" i="16"/>
  <c r="AK47" i="16" s="1"/>
  <c r="AG47" i="16"/>
  <c r="AH46" i="16"/>
  <c r="AG46" i="16"/>
  <c r="BL28" i="16"/>
  <c r="AH45" i="16"/>
  <c r="AJ45" i="16" s="1"/>
  <c r="AG45" i="16"/>
  <c r="AH44" i="16"/>
  <c r="AK44" i="16" s="1"/>
  <c r="AG44" i="16"/>
  <c r="BK28" i="16"/>
  <c r="C56" i="48" s="1"/>
  <c r="AH43" i="16"/>
  <c r="AK43" i="16" s="1"/>
  <c r="AG43" i="16"/>
  <c r="AH42" i="16"/>
  <c r="AG42" i="16"/>
  <c r="AH41" i="16"/>
  <c r="AK41" i="16" s="1"/>
  <c r="AG41" i="16"/>
  <c r="AH40" i="16"/>
  <c r="AK40" i="16" s="1"/>
  <c r="AG40" i="16"/>
  <c r="AH39" i="16"/>
  <c r="AK39" i="16" s="1"/>
  <c r="AG39" i="16"/>
  <c r="AH38" i="16"/>
  <c r="AG38" i="16"/>
  <c r="AH37" i="16"/>
  <c r="AK37" i="16" s="1"/>
  <c r="AG37" i="16"/>
  <c r="AH36" i="16"/>
  <c r="AJ36" i="16" s="1"/>
  <c r="AG36" i="16"/>
  <c r="AH35" i="16"/>
  <c r="AK35" i="16" s="1"/>
  <c r="AG35" i="16"/>
  <c r="AH34" i="16"/>
  <c r="AK34" i="16" s="1"/>
  <c r="AG34" i="16"/>
  <c r="AH33" i="16"/>
  <c r="AK33" i="16" s="1"/>
  <c r="AG33" i="16"/>
  <c r="AH32" i="16"/>
  <c r="AJ32" i="16" s="1"/>
  <c r="AG32" i="16"/>
  <c r="AH31" i="16"/>
  <c r="AK31" i="16" s="1"/>
  <c r="AG31" i="16"/>
  <c r="AH30" i="16"/>
  <c r="AK30" i="16" s="1"/>
  <c r="AG30" i="16"/>
  <c r="AH29" i="16"/>
  <c r="AK29" i="16" s="1"/>
  <c r="AG29" i="16"/>
  <c r="AH28" i="16"/>
  <c r="AK28" i="16" s="1"/>
  <c r="AG28" i="16"/>
  <c r="AH27" i="16"/>
  <c r="AK27" i="16" s="1"/>
  <c r="AG27" i="16"/>
  <c r="AH26" i="16"/>
  <c r="AK26" i="16" s="1"/>
  <c r="AG26" i="16"/>
  <c r="AH25" i="16"/>
  <c r="AK25" i="16" s="1"/>
  <c r="AG25" i="16"/>
  <c r="AH24" i="16"/>
  <c r="AJ24" i="16" s="1"/>
  <c r="AG24" i="16"/>
  <c r="AH23" i="16"/>
  <c r="AK23" i="16" s="1"/>
  <c r="AG23" i="16"/>
  <c r="AH22" i="16"/>
  <c r="AK22" i="16" s="1"/>
  <c r="AG22" i="16"/>
  <c r="AH21" i="16"/>
  <c r="AK21" i="16" s="1"/>
  <c r="AG21" i="16"/>
  <c r="AH20" i="16"/>
  <c r="AK20" i="16" s="1"/>
  <c r="AG20" i="16"/>
  <c r="AH19" i="16"/>
  <c r="AJ19" i="16" s="1"/>
  <c r="AG19" i="16"/>
  <c r="AH18" i="16"/>
  <c r="AK18" i="16" s="1"/>
  <c r="AG18" i="16"/>
  <c r="AH17" i="16"/>
  <c r="AG17" i="16"/>
  <c r="AH16" i="16"/>
  <c r="AK16" i="16" s="1"/>
  <c r="AG16" i="16"/>
  <c r="AH15" i="16"/>
  <c r="AJ15" i="16" s="1"/>
  <c r="AG15" i="16"/>
  <c r="AH14" i="16"/>
  <c r="AK14" i="16" s="1"/>
  <c r="AG14" i="16"/>
  <c r="AH13" i="16"/>
  <c r="AK13" i="16" s="1"/>
  <c r="AG13" i="16"/>
  <c r="AH12" i="16"/>
  <c r="AJ12" i="16" s="1"/>
  <c r="AG12" i="16"/>
  <c r="AH11" i="16"/>
  <c r="AK11" i="16" s="1"/>
  <c r="AG11" i="16"/>
  <c r="AH10" i="16"/>
  <c r="AK10" i="16" s="1"/>
  <c r="AG10" i="16"/>
  <c r="AH9" i="16"/>
  <c r="AK9" i="16" s="1"/>
  <c r="AG9" i="16"/>
  <c r="AA10" i="16"/>
  <c r="AH8" i="16"/>
  <c r="AG8" i="16"/>
  <c r="AA9" i="16"/>
  <c r="A36" i="11" s="1"/>
  <c r="AH7" i="16"/>
  <c r="AK7" i="16" s="1"/>
  <c r="AG7" i="16"/>
  <c r="AH6" i="16"/>
  <c r="AK6" i="16" s="1"/>
  <c r="AG6" i="16"/>
  <c r="AH5" i="16"/>
  <c r="AK5" i="16" s="1"/>
  <c r="AG5" i="16"/>
  <c r="AH4" i="16"/>
  <c r="AG4" i="16"/>
  <c r="AH3" i="16"/>
  <c r="AG3" i="16"/>
  <c r="BR2" i="16"/>
  <c r="AV2" i="16"/>
  <c r="C22" i="30" s="1"/>
  <c r="AA13" i="16" s="1"/>
  <c r="AH2" i="16"/>
  <c r="AG2" i="16"/>
  <c r="A30" i="12"/>
  <c r="B30" i="12" s="1"/>
  <c r="A29" i="12"/>
  <c r="B29" i="12" s="1"/>
  <c r="A28" i="12"/>
  <c r="B28" i="12" s="1"/>
  <c r="A27" i="12"/>
  <c r="B27" i="12" s="1"/>
  <c r="A26" i="12"/>
  <c r="B26" i="12" s="1"/>
  <c r="A25" i="12"/>
  <c r="B25" i="12" s="1"/>
  <c r="A24" i="12"/>
  <c r="B24" i="12" s="1"/>
  <c r="A23" i="12"/>
  <c r="B23" i="12" s="1"/>
  <c r="B17" i="12"/>
  <c r="C17" i="12" s="1"/>
  <c r="B16" i="12"/>
  <c r="C16" i="12" s="1"/>
  <c r="B15" i="12"/>
  <c r="C15" i="12" s="1"/>
  <c r="A14" i="12"/>
  <c r="B14" i="12" s="1"/>
  <c r="A13" i="12"/>
  <c r="B13" i="12" s="1"/>
  <c r="A12" i="12"/>
  <c r="B12" i="12" s="1"/>
  <c r="O11" i="12"/>
  <c r="A11" i="12"/>
  <c r="B11" i="12" s="1"/>
  <c r="O10" i="12"/>
  <c r="A10" i="12"/>
  <c r="B10" i="12" s="1"/>
  <c r="A9" i="12"/>
  <c r="B9" i="12" s="1"/>
  <c r="A8" i="12"/>
  <c r="B8" i="12" s="1"/>
  <c r="A7" i="12"/>
  <c r="B7" i="12" s="1"/>
  <c r="G79" i="45"/>
  <c r="E31" i="31"/>
  <c r="O17" i="12" s="1"/>
  <c r="D57" i="32"/>
  <c r="E16" i="12"/>
  <c r="E48" i="30"/>
  <c r="C23" i="30"/>
  <c r="AA14" i="16" s="1"/>
  <c r="D48" i="18"/>
  <c r="E48" i="18" s="1"/>
  <c r="F48" i="18" s="1"/>
  <c r="B48" i="18"/>
  <c r="D47" i="18"/>
  <c r="E47" i="18" s="1"/>
  <c r="F47" i="18" s="1"/>
  <c r="B47" i="18"/>
  <c r="D46" i="18"/>
  <c r="E46" i="18" s="1"/>
  <c r="F46" i="18" s="1"/>
  <c r="B46" i="18"/>
  <c r="D45" i="18"/>
  <c r="E45" i="18" s="1"/>
  <c r="F45" i="18" s="1"/>
  <c r="B45" i="18"/>
  <c r="D44" i="18"/>
  <c r="E44" i="18" s="1"/>
  <c r="F44" i="18" s="1"/>
  <c r="B44" i="18"/>
  <c r="D43" i="18"/>
  <c r="E43" i="18" s="1"/>
  <c r="F43" i="18" s="1"/>
  <c r="B43" i="18"/>
  <c r="D42" i="18"/>
  <c r="E42" i="18" s="1"/>
  <c r="F42" i="18" s="1"/>
  <c r="B42" i="18"/>
  <c r="D41" i="18"/>
  <c r="E41" i="18" s="1"/>
  <c r="F41" i="18" s="1"/>
  <c r="B41" i="18"/>
  <c r="D40" i="18"/>
  <c r="E40" i="18" s="1"/>
  <c r="F40" i="18" s="1"/>
  <c r="B40" i="18"/>
  <c r="D39" i="18"/>
  <c r="E39" i="18" s="1"/>
  <c r="F39" i="18" s="1"/>
  <c r="B39" i="18"/>
  <c r="D38" i="18"/>
  <c r="E38" i="18" s="1"/>
  <c r="F38" i="18" s="1"/>
  <c r="B38" i="18"/>
  <c r="D37" i="18"/>
  <c r="E37" i="18" s="1"/>
  <c r="F37" i="18" s="1"/>
  <c r="B37" i="18"/>
  <c r="D36" i="18"/>
  <c r="E36" i="18" s="1"/>
  <c r="F36" i="18" s="1"/>
  <c r="B36" i="18"/>
  <c r="D35" i="18"/>
  <c r="E35" i="18" s="1"/>
  <c r="F35" i="18" s="1"/>
  <c r="B35" i="18"/>
  <c r="D34" i="18"/>
  <c r="E34" i="18" s="1"/>
  <c r="F34" i="18" s="1"/>
  <c r="B34" i="18"/>
  <c r="D33" i="18"/>
  <c r="E33" i="18" s="1"/>
  <c r="F33" i="18" s="1"/>
  <c r="B33" i="18"/>
  <c r="D32" i="18"/>
  <c r="E32" i="18" s="1"/>
  <c r="F32" i="18" s="1"/>
  <c r="B32" i="18"/>
  <c r="D31" i="18"/>
  <c r="E31" i="18" s="1"/>
  <c r="D48" i="24"/>
  <c r="E48" i="24" s="1"/>
  <c r="F48" i="24" s="1"/>
  <c r="B48" i="24"/>
  <c r="D47" i="24"/>
  <c r="E47" i="24" s="1"/>
  <c r="F47" i="24" s="1"/>
  <c r="B47" i="24"/>
  <c r="D46" i="24"/>
  <c r="E46" i="24" s="1"/>
  <c r="F46" i="24" s="1"/>
  <c r="B46" i="24"/>
  <c r="D45" i="24"/>
  <c r="E45" i="24" s="1"/>
  <c r="F45" i="24" s="1"/>
  <c r="B45" i="24"/>
  <c r="D44" i="24"/>
  <c r="E44" i="24" s="1"/>
  <c r="F44" i="24" s="1"/>
  <c r="B44" i="24"/>
  <c r="D43" i="24"/>
  <c r="E43" i="24" s="1"/>
  <c r="F43" i="24" s="1"/>
  <c r="B43" i="24"/>
  <c r="D42" i="24"/>
  <c r="E42" i="24" s="1"/>
  <c r="F42" i="24" s="1"/>
  <c r="B42" i="24"/>
  <c r="D41" i="24"/>
  <c r="E41" i="24" s="1"/>
  <c r="F41" i="24" s="1"/>
  <c r="B41" i="24"/>
  <c r="D40" i="24"/>
  <c r="E40" i="24" s="1"/>
  <c r="F40" i="24" s="1"/>
  <c r="B40" i="24"/>
  <c r="D39" i="24"/>
  <c r="E39" i="24" s="1"/>
  <c r="F39" i="24" s="1"/>
  <c r="B39" i="24"/>
  <c r="D38" i="24"/>
  <c r="E38" i="24" s="1"/>
  <c r="F38" i="24" s="1"/>
  <c r="B38" i="24"/>
  <c r="D37" i="24"/>
  <c r="E37" i="24" s="1"/>
  <c r="F37" i="24" s="1"/>
  <c r="B37" i="24"/>
  <c r="D36" i="24"/>
  <c r="E36" i="24" s="1"/>
  <c r="F36" i="24" s="1"/>
  <c r="B36" i="24"/>
  <c r="D35" i="24"/>
  <c r="E35" i="24" s="1"/>
  <c r="F35" i="24" s="1"/>
  <c r="B35" i="24"/>
  <c r="D34" i="24"/>
  <c r="E34" i="24" s="1"/>
  <c r="F34" i="24" s="1"/>
  <c r="B34" i="24"/>
  <c r="D33" i="24"/>
  <c r="E33" i="24" s="1"/>
  <c r="F33" i="24" s="1"/>
  <c r="B33" i="24"/>
  <c r="D32" i="24"/>
  <c r="E32" i="24" s="1"/>
  <c r="F32" i="24" s="1"/>
  <c r="B32" i="24"/>
  <c r="D31" i="24"/>
  <c r="E31" i="24" s="1"/>
  <c r="D48" i="25"/>
  <c r="E48" i="25" s="1"/>
  <c r="F48" i="25" s="1"/>
  <c r="B48" i="25"/>
  <c r="D47" i="25"/>
  <c r="E47" i="25" s="1"/>
  <c r="F47" i="25" s="1"/>
  <c r="B47" i="25"/>
  <c r="D46" i="25"/>
  <c r="E46" i="25" s="1"/>
  <c r="F46" i="25" s="1"/>
  <c r="B46" i="25"/>
  <c r="D45" i="25"/>
  <c r="E45" i="25" s="1"/>
  <c r="F45" i="25" s="1"/>
  <c r="B45" i="25"/>
  <c r="D44" i="25"/>
  <c r="E44" i="25" s="1"/>
  <c r="F44" i="25" s="1"/>
  <c r="B44" i="25"/>
  <c r="D43" i="25"/>
  <c r="E43" i="25" s="1"/>
  <c r="F43" i="25" s="1"/>
  <c r="B43" i="25"/>
  <c r="D42" i="25"/>
  <c r="E42" i="25" s="1"/>
  <c r="F42" i="25" s="1"/>
  <c r="B42" i="25"/>
  <c r="D41" i="25"/>
  <c r="E41" i="25" s="1"/>
  <c r="F41" i="25" s="1"/>
  <c r="B41" i="25"/>
  <c r="D40" i="25"/>
  <c r="E40" i="25" s="1"/>
  <c r="F40" i="25" s="1"/>
  <c r="B40" i="25"/>
  <c r="D39" i="25"/>
  <c r="E39" i="25" s="1"/>
  <c r="F39" i="25" s="1"/>
  <c r="B39" i="25"/>
  <c r="D38" i="25"/>
  <c r="E38" i="25" s="1"/>
  <c r="F38" i="25" s="1"/>
  <c r="B38" i="25"/>
  <c r="D37" i="25"/>
  <c r="E37" i="25" s="1"/>
  <c r="F37" i="25" s="1"/>
  <c r="B37" i="25"/>
  <c r="D36" i="25"/>
  <c r="E36" i="25" s="1"/>
  <c r="F36" i="25" s="1"/>
  <c r="B36" i="25"/>
  <c r="D35" i="25"/>
  <c r="E35" i="25" s="1"/>
  <c r="F35" i="25" s="1"/>
  <c r="B35" i="25"/>
  <c r="D34" i="25"/>
  <c r="E34" i="25" s="1"/>
  <c r="F34" i="25" s="1"/>
  <c r="B34" i="25"/>
  <c r="D33" i="25"/>
  <c r="E33" i="25" s="1"/>
  <c r="F33" i="25" s="1"/>
  <c r="B33" i="25"/>
  <c r="D32" i="25"/>
  <c r="E32" i="25" s="1"/>
  <c r="F32" i="25" s="1"/>
  <c r="B32" i="25"/>
  <c r="D31" i="25"/>
  <c r="E31" i="25" s="1"/>
  <c r="O12" i="12" s="1"/>
  <c r="B49" i="40"/>
  <c r="D132" i="49" s="1"/>
  <c r="B48" i="40"/>
  <c r="D131" i="49" s="1"/>
  <c r="B47" i="40"/>
  <c r="D130" i="49" s="1"/>
  <c r="B46" i="40"/>
  <c r="D129" i="49" s="1"/>
  <c r="B45" i="40"/>
  <c r="D128" i="49" s="1"/>
  <c r="B44" i="40"/>
  <c r="D127" i="49" s="1"/>
  <c r="B43" i="40"/>
  <c r="D126" i="49" s="1"/>
  <c r="B42" i="40"/>
  <c r="D125" i="49" s="1"/>
  <c r="B41" i="40"/>
  <c r="D124" i="49" s="1"/>
  <c r="B40" i="40"/>
  <c r="D123" i="49" s="1"/>
  <c r="B39" i="40"/>
  <c r="D122" i="49" s="1"/>
  <c r="B38" i="40"/>
  <c r="D121" i="49" s="1"/>
  <c r="B37" i="40"/>
  <c r="D120" i="49" s="1"/>
  <c r="B36" i="40"/>
  <c r="D119" i="49" s="1"/>
  <c r="B35" i="40"/>
  <c r="D118" i="49" s="1"/>
  <c r="B34" i="40"/>
  <c r="D117" i="49" s="1"/>
  <c r="B33" i="40"/>
  <c r="D116" i="49" s="1"/>
  <c r="B49" i="39"/>
  <c r="D115" i="49" s="1"/>
  <c r="B48" i="39"/>
  <c r="D114" i="49" s="1"/>
  <c r="B47" i="39"/>
  <c r="D113" i="49" s="1"/>
  <c r="B46" i="39"/>
  <c r="D112" i="49" s="1"/>
  <c r="B45" i="39"/>
  <c r="D111" i="49" s="1"/>
  <c r="B44" i="39"/>
  <c r="D110" i="49" s="1"/>
  <c r="B43" i="39"/>
  <c r="D109" i="49" s="1"/>
  <c r="B42" i="39"/>
  <c r="D108" i="49" s="1"/>
  <c r="B41" i="39"/>
  <c r="D107" i="49" s="1"/>
  <c r="B40" i="39"/>
  <c r="D106" i="49" s="1"/>
  <c r="B39" i="39"/>
  <c r="D105" i="49" s="1"/>
  <c r="B38" i="39"/>
  <c r="D104" i="49" s="1"/>
  <c r="B37" i="39"/>
  <c r="D103" i="49" s="1"/>
  <c r="B36" i="39"/>
  <c r="D102" i="49" s="1"/>
  <c r="B35" i="39"/>
  <c r="D101" i="49" s="1"/>
  <c r="B34" i="39"/>
  <c r="D100" i="49" s="1"/>
  <c r="B33" i="39"/>
  <c r="D99" i="49" s="1"/>
  <c r="B49" i="38"/>
  <c r="D98" i="49" s="1"/>
  <c r="B48" i="38"/>
  <c r="D97" i="49" s="1"/>
  <c r="B47" i="38"/>
  <c r="D96" i="49" s="1"/>
  <c r="B46" i="38"/>
  <c r="D95" i="49" s="1"/>
  <c r="B45" i="38"/>
  <c r="D94" i="49" s="1"/>
  <c r="B44" i="38"/>
  <c r="D93" i="49" s="1"/>
  <c r="B43" i="38"/>
  <c r="D92" i="49" s="1"/>
  <c r="B42" i="38"/>
  <c r="D91" i="49" s="1"/>
  <c r="B41" i="38"/>
  <c r="D90" i="49" s="1"/>
  <c r="B40" i="38"/>
  <c r="D89" i="49" s="1"/>
  <c r="B39" i="38"/>
  <c r="D88" i="49" s="1"/>
  <c r="B38" i="38"/>
  <c r="D87" i="49" s="1"/>
  <c r="B37" i="38"/>
  <c r="D86" i="49" s="1"/>
  <c r="B36" i="38"/>
  <c r="D85" i="49" s="1"/>
  <c r="B35" i="38"/>
  <c r="D84" i="49" s="1"/>
  <c r="B34" i="38"/>
  <c r="D83" i="49" s="1"/>
  <c r="B33" i="38"/>
  <c r="D82" i="49" s="1"/>
  <c r="B49" i="37"/>
  <c r="D81" i="49" s="1"/>
  <c r="B48" i="37"/>
  <c r="D80" i="49" s="1"/>
  <c r="B47" i="37"/>
  <c r="D79" i="49" s="1"/>
  <c r="B46" i="37"/>
  <c r="D78" i="49" s="1"/>
  <c r="B45" i="37"/>
  <c r="D77" i="49" s="1"/>
  <c r="B44" i="37"/>
  <c r="D76" i="49" s="1"/>
  <c r="B43" i="37"/>
  <c r="D75" i="49" s="1"/>
  <c r="B42" i="37"/>
  <c r="D74" i="49" s="1"/>
  <c r="B41" i="37"/>
  <c r="D73" i="49" s="1"/>
  <c r="B40" i="37"/>
  <c r="D72" i="49" s="1"/>
  <c r="B39" i="37"/>
  <c r="D71" i="49" s="1"/>
  <c r="B38" i="37"/>
  <c r="D70" i="49" s="1"/>
  <c r="B37" i="37"/>
  <c r="D69" i="49" s="1"/>
  <c r="B36" i="37"/>
  <c r="D68" i="49" s="1"/>
  <c r="B35" i="37"/>
  <c r="D67" i="49" s="1"/>
  <c r="B34" i="37"/>
  <c r="D66" i="49" s="1"/>
  <c r="B33" i="37"/>
  <c r="D65" i="49" s="1"/>
  <c r="B105" i="3"/>
  <c r="B49" i="3"/>
  <c r="D64" i="49" s="1"/>
  <c r="B48" i="3"/>
  <c r="D63" i="49" s="1"/>
  <c r="B47" i="3"/>
  <c r="D62" i="49" s="1"/>
  <c r="B46" i="3"/>
  <c r="D61" i="49" s="1"/>
  <c r="B45" i="3"/>
  <c r="D60" i="49" s="1"/>
  <c r="B44" i="3"/>
  <c r="D59" i="49" s="1"/>
  <c r="B43" i="3"/>
  <c r="D58" i="49" s="1"/>
  <c r="B42" i="3"/>
  <c r="D57" i="49" s="1"/>
  <c r="B41" i="3"/>
  <c r="D56" i="49" s="1"/>
  <c r="B40" i="3"/>
  <c r="D55" i="49" s="1"/>
  <c r="B39" i="3"/>
  <c r="D54" i="49" s="1"/>
  <c r="B38" i="3"/>
  <c r="D53" i="49" s="1"/>
  <c r="B37" i="3"/>
  <c r="D52" i="49" s="1"/>
  <c r="B36" i="3"/>
  <c r="D51" i="49" s="1"/>
  <c r="B35" i="3"/>
  <c r="D50" i="49" s="1"/>
  <c r="B34" i="3"/>
  <c r="D49" i="49" s="1"/>
  <c r="B33" i="3"/>
  <c r="D48" i="49" s="1"/>
  <c r="E213" i="57"/>
  <c r="D213" i="57"/>
  <c r="E212" i="57"/>
  <c r="D212" i="57"/>
  <c r="E211" i="57"/>
  <c r="D211" i="57"/>
  <c r="E210" i="57"/>
  <c r="D210" i="57"/>
  <c r="E209" i="57"/>
  <c r="D209" i="57"/>
  <c r="E208" i="57"/>
  <c r="D208" i="57"/>
  <c r="E207" i="57"/>
  <c r="D207" i="57"/>
  <c r="E206" i="57"/>
  <c r="D206" i="57"/>
  <c r="E205" i="57"/>
  <c r="D205" i="57"/>
  <c r="E204" i="57"/>
  <c r="D204" i="57"/>
  <c r="E203" i="57"/>
  <c r="D203" i="57"/>
  <c r="E202" i="57"/>
  <c r="D202" i="57"/>
  <c r="E201" i="57"/>
  <c r="D201" i="57"/>
  <c r="E200" i="57"/>
  <c r="D200" i="57"/>
  <c r="E199" i="57"/>
  <c r="D199" i="57"/>
  <c r="E198" i="57"/>
  <c r="D198" i="57"/>
  <c r="E197" i="57"/>
  <c r="D197" i="57"/>
  <c r="E196" i="57"/>
  <c r="D196" i="57"/>
  <c r="E195" i="57"/>
  <c r="D195" i="57"/>
  <c r="E194" i="57"/>
  <c r="D194" i="57"/>
  <c r="E193" i="57"/>
  <c r="D193" i="57"/>
  <c r="E192" i="57"/>
  <c r="D192" i="57"/>
  <c r="E191" i="57"/>
  <c r="D191" i="57"/>
  <c r="E190" i="57"/>
  <c r="D190" i="57"/>
  <c r="E189" i="57"/>
  <c r="D189" i="57"/>
  <c r="A169" i="57"/>
  <c r="A168" i="57"/>
  <c r="A167" i="57"/>
  <c r="A164" i="57"/>
  <c r="A163" i="57"/>
  <c r="A160" i="57"/>
  <c r="A159" i="57"/>
  <c r="A156" i="57"/>
  <c r="A153" i="57"/>
  <c r="A152" i="57"/>
  <c r="A151" i="57"/>
  <c r="A148" i="57"/>
  <c r="A147" i="57"/>
  <c r="A146" i="57"/>
  <c r="A143" i="57"/>
  <c r="A140" i="57"/>
  <c r="A138" i="57"/>
  <c r="A137" i="57"/>
  <c r="A134" i="57"/>
  <c r="A133" i="57"/>
  <c r="A132" i="57"/>
  <c r="A129" i="57"/>
  <c r="A128" i="57"/>
  <c r="A127" i="57"/>
  <c r="A124" i="57"/>
  <c r="A123" i="57"/>
  <c r="A122" i="57"/>
  <c r="A121" i="57"/>
  <c r="A120" i="57"/>
  <c r="A119" i="57"/>
  <c r="A118" i="57"/>
  <c r="A117" i="57"/>
  <c r="A114" i="57"/>
  <c r="A113" i="57"/>
  <c r="A112" i="57"/>
  <c r="A111" i="57"/>
  <c r="A110" i="57"/>
  <c r="A107" i="57"/>
  <c r="A106" i="57"/>
  <c r="A105" i="57"/>
  <c r="A104" i="57"/>
  <c r="A103" i="57"/>
  <c r="A100" i="57"/>
  <c r="A99" i="57"/>
  <c r="A98" i="57"/>
  <c r="F173" i="64" s="1"/>
  <c r="AE111" i="57" s="1"/>
  <c r="F168" i="59"/>
  <c r="E168" i="59"/>
  <c r="D168" i="59"/>
  <c r="C168" i="59"/>
  <c r="B168" i="59"/>
  <c r="F167" i="59"/>
  <c r="E167" i="59"/>
  <c r="D167" i="59"/>
  <c r="C167" i="59"/>
  <c r="B167" i="59"/>
  <c r="F163" i="59"/>
  <c r="E163" i="59"/>
  <c r="D163" i="59"/>
  <c r="C163" i="59"/>
  <c r="B163" i="59"/>
  <c r="F157" i="59"/>
  <c r="E157" i="59"/>
  <c r="D157" i="59"/>
  <c r="C157" i="59"/>
  <c r="B157" i="59"/>
  <c r="F156" i="59"/>
  <c r="E156" i="59"/>
  <c r="D156" i="59"/>
  <c r="C156" i="59"/>
  <c r="B156" i="59"/>
  <c r="F154" i="59"/>
  <c r="B248" i="64" s="1"/>
  <c r="F155" i="59" s="1"/>
  <c r="E154" i="59"/>
  <c r="B248" i="63" s="1"/>
  <c r="E155" i="59" s="1"/>
  <c r="D154" i="59"/>
  <c r="B248" i="62" s="1"/>
  <c r="D155" i="59" s="1"/>
  <c r="C154" i="59"/>
  <c r="B248" i="61" s="1"/>
  <c r="C155" i="59" s="1"/>
  <c r="B154" i="59"/>
  <c r="B248" i="60" s="1"/>
  <c r="B155" i="59" s="1"/>
  <c r="F152" i="59"/>
  <c r="E152" i="59"/>
  <c r="D152" i="59"/>
  <c r="C152" i="59"/>
  <c r="B152" i="59"/>
  <c r="F151" i="59"/>
  <c r="E151" i="59"/>
  <c r="B252" i="63" s="1"/>
  <c r="E159" i="59" s="1"/>
  <c r="D151" i="59"/>
  <c r="B254" i="62" s="1"/>
  <c r="D161" i="59" s="1"/>
  <c r="C151" i="59"/>
  <c r="B254" i="61" s="1"/>
  <c r="C161" i="59" s="1"/>
  <c r="B151" i="59"/>
  <c r="B254" i="60" s="1"/>
  <c r="B161" i="59" s="1"/>
  <c r="F150" i="59"/>
  <c r="E150" i="59"/>
  <c r="D150" i="59"/>
  <c r="C150" i="59"/>
  <c r="B150" i="59"/>
  <c r="F149" i="59"/>
  <c r="E149" i="59"/>
  <c r="D149" i="59"/>
  <c r="C149" i="59"/>
  <c r="B149" i="59"/>
  <c r="F148" i="59"/>
  <c r="E148" i="59"/>
  <c r="D148" i="59"/>
  <c r="C148" i="59"/>
  <c r="B148" i="59"/>
  <c r="F141" i="59"/>
  <c r="E141" i="59"/>
  <c r="D141" i="59"/>
  <c r="C141" i="59"/>
  <c r="B141" i="59"/>
  <c r="F140" i="59"/>
  <c r="E140" i="59"/>
  <c r="D140" i="59"/>
  <c r="C140" i="59"/>
  <c r="B140" i="59"/>
  <c r="F139" i="59"/>
  <c r="E139" i="59"/>
  <c r="D139" i="59"/>
  <c r="C139" i="59"/>
  <c r="B139" i="59"/>
  <c r="F138" i="59"/>
  <c r="E138" i="59"/>
  <c r="D138" i="59"/>
  <c r="C138" i="59"/>
  <c r="B138" i="59"/>
  <c r="F135" i="59"/>
  <c r="E135" i="59"/>
  <c r="D135" i="59"/>
  <c r="C135" i="59"/>
  <c r="B135" i="59"/>
  <c r="F134" i="59"/>
  <c r="E134" i="59"/>
  <c r="D134" i="59"/>
  <c r="C134" i="59"/>
  <c r="B134" i="59"/>
  <c r="F133" i="59"/>
  <c r="E133" i="59"/>
  <c r="D133" i="59"/>
  <c r="C133" i="59"/>
  <c r="B133" i="59"/>
  <c r="F131" i="59"/>
  <c r="E131" i="59"/>
  <c r="D131" i="59"/>
  <c r="C131" i="59"/>
  <c r="B131" i="59"/>
  <c r="F130" i="59"/>
  <c r="E130" i="59"/>
  <c r="D130" i="59"/>
  <c r="C130" i="59"/>
  <c r="B130" i="59"/>
  <c r="F129" i="59"/>
  <c r="E129" i="59"/>
  <c r="D129" i="59"/>
  <c r="C129" i="59"/>
  <c r="B129" i="59"/>
  <c r="F125" i="59"/>
  <c r="E125" i="59"/>
  <c r="D125" i="59"/>
  <c r="C125" i="59"/>
  <c r="B125" i="59"/>
  <c r="F119" i="59"/>
  <c r="E119" i="59"/>
  <c r="D119" i="59"/>
  <c r="C119" i="59"/>
  <c r="B119" i="59"/>
  <c r="V114" i="59"/>
  <c r="U114" i="59"/>
  <c r="T114" i="59"/>
  <c r="S114" i="59"/>
  <c r="R114" i="59"/>
  <c r="Q114" i="59"/>
  <c r="P114" i="59"/>
  <c r="O114" i="59"/>
  <c r="N114" i="59"/>
  <c r="M114" i="59"/>
  <c r="L114" i="59"/>
  <c r="K114" i="59"/>
  <c r="J114" i="59"/>
  <c r="I114" i="59"/>
  <c r="H114" i="59"/>
  <c r="V113" i="59"/>
  <c r="U113" i="59"/>
  <c r="T113" i="59"/>
  <c r="S113" i="59"/>
  <c r="R113" i="59"/>
  <c r="Q113" i="59"/>
  <c r="P113" i="59"/>
  <c r="O113" i="59"/>
  <c r="N113" i="59"/>
  <c r="M113" i="59"/>
  <c r="L113" i="59"/>
  <c r="K113" i="59"/>
  <c r="J113" i="59"/>
  <c r="I113" i="59"/>
  <c r="H113" i="59"/>
  <c r="V112" i="59"/>
  <c r="V129" i="59" s="1"/>
  <c r="U112" i="59"/>
  <c r="T112" i="59"/>
  <c r="T129" i="59" s="1"/>
  <c r="S112" i="59"/>
  <c r="S130" i="59" s="1"/>
  <c r="R112" i="59"/>
  <c r="R129" i="59" s="1"/>
  <c r="Q112" i="59"/>
  <c r="P112" i="59"/>
  <c r="P129" i="59" s="1"/>
  <c r="O112" i="59"/>
  <c r="N112" i="59"/>
  <c r="N129" i="59" s="1"/>
  <c r="M112" i="59"/>
  <c r="L112" i="59"/>
  <c r="L129" i="59" s="1"/>
  <c r="K112" i="59"/>
  <c r="K130" i="59" s="1"/>
  <c r="J112" i="59"/>
  <c r="J129" i="59" s="1"/>
  <c r="I112" i="59"/>
  <c r="H112" i="59"/>
  <c r="H129" i="59" s="1"/>
  <c r="F107" i="59"/>
  <c r="E107" i="59"/>
  <c r="D107" i="59"/>
  <c r="C107" i="59"/>
  <c r="B107" i="59"/>
  <c r="F101" i="59"/>
  <c r="E101" i="59"/>
  <c r="D101" i="59"/>
  <c r="C101" i="59"/>
  <c r="B101" i="59"/>
  <c r="F90" i="59"/>
  <c r="E90" i="59"/>
  <c r="D90" i="59"/>
  <c r="C90" i="59"/>
  <c r="B90" i="59"/>
  <c r="F89" i="59"/>
  <c r="E89" i="59"/>
  <c r="D89" i="59"/>
  <c r="C89" i="59"/>
  <c r="B89" i="59"/>
  <c r="F88" i="59"/>
  <c r="E88" i="59"/>
  <c r="D88" i="59"/>
  <c r="C88" i="59"/>
  <c r="B88" i="59"/>
  <c r="V87" i="59"/>
  <c r="U87" i="59"/>
  <c r="T87" i="59"/>
  <c r="S87" i="59"/>
  <c r="R87" i="59"/>
  <c r="Q87" i="59"/>
  <c r="P87" i="59"/>
  <c r="O87" i="59"/>
  <c r="N87" i="59"/>
  <c r="M87" i="59"/>
  <c r="L87" i="59"/>
  <c r="K87" i="59"/>
  <c r="J87" i="59"/>
  <c r="I87" i="59"/>
  <c r="H87" i="59"/>
  <c r="V86" i="59"/>
  <c r="U86" i="59"/>
  <c r="T86" i="59"/>
  <c r="S86" i="59"/>
  <c r="R86" i="59"/>
  <c r="Q86" i="59"/>
  <c r="P86" i="59"/>
  <c r="O86" i="59"/>
  <c r="N86" i="59"/>
  <c r="M86" i="59"/>
  <c r="L86" i="59"/>
  <c r="K86" i="59"/>
  <c r="J86" i="59"/>
  <c r="I86" i="59"/>
  <c r="H86" i="59"/>
  <c r="F86" i="59"/>
  <c r="E86" i="59"/>
  <c r="D86" i="59"/>
  <c r="C86" i="59"/>
  <c r="B86" i="59"/>
  <c r="V85" i="59"/>
  <c r="V103" i="59" s="1"/>
  <c r="U85" i="59"/>
  <c r="U102" i="59" s="1"/>
  <c r="T85" i="59"/>
  <c r="S85" i="59"/>
  <c r="S102" i="59" s="1"/>
  <c r="R85" i="59"/>
  <c r="R103" i="59" s="1"/>
  <c r="Q85" i="59"/>
  <c r="Q102" i="59" s="1"/>
  <c r="P85" i="59"/>
  <c r="O85" i="59"/>
  <c r="O102" i="59" s="1"/>
  <c r="N85" i="59"/>
  <c r="N103" i="59" s="1"/>
  <c r="M85" i="59"/>
  <c r="M102" i="59" s="1"/>
  <c r="L85" i="59"/>
  <c r="K85" i="59"/>
  <c r="K102" i="59" s="1"/>
  <c r="J85" i="59"/>
  <c r="J103" i="59" s="1"/>
  <c r="I85" i="59"/>
  <c r="I102" i="59" s="1"/>
  <c r="H85" i="59"/>
  <c r="F82" i="59"/>
  <c r="E82" i="59"/>
  <c r="D82" i="59"/>
  <c r="C82" i="59"/>
  <c r="B82" i="59"/>
  <c r="F72" i="59"/>
  <c r="B146" i="64" s="1"/>
  <c r="F75" i="59" s="1"/>
  <c r="E72" i="59"/>
  <c r="B146" i="63" s="1"/>
  <c r="E75" i="59" s="1"/>
  <c r="D72" i="59"/>
  <c r="C72" i="59"/>
  <c r="B146" i="61" s="1"/>
  <c r="C75" i="59" s="1"/>
  <c r="B72" i="59"/>
  <c r="B144" i="60" s="1"/>
  <c r="B73" i="59" s="1"/>
  <c r="F67" i="59"/>
  <c r="E67" i="59"/>
  <c r="D67" i="59"/>
  <c r="C67" i="59"/>
  <c r="B67" i="59"/>
  <c r="V60" i="59"/>
  <c r="U60" i="59"/>
  <c r="T60" i="59"/>
  <c r="S60" i="59"/>
  <c r="R60" i="59"/>
  <c r="Q60" i="59"/>
  <c r="P60" i="59"/>
  <c r="O60" i="59"/>
  <c r="N60" i="59"/>
  <c r="M60" i="59"/>
  <c r="L60" i="59"/>
  <c r="K60" i="59"/>
  <c r="J60" i="59"/>
  <c r="I60" i="59"/>
  <c r="H60" i="59"/>
  <c r="V59" i="59"/>
  <c r="U59" i="59"/>
  <c r="T59" i="59"/>
  <c r="S59" i="59"/>
  <c r="R59" i="59"/>
  <c r="Q59" i="59"/>
  <c r="P59" i="59"/>
  <c r="O59" i="59"/>
  <c r="N59" i="59"/>
  <c r="M59" i="59"/>
  <c r="L59" i="59"/>
  <c r="K59" i="59"/>
  <c r="J59" i="59"/>
  <c r="I59" i="59"/>
  <c r="H59" i="59"/>
  <c r="V58" i="59"/>
  <c r="V75" i="59" s="1"/>
  <c r="U58" i="59"/>
  <c r="T58" i="59"/>
  <c r="T75" i="59" s="1"/>
  <c r="S58" i="59"/>
  <c r="S76" i="59" s="1"/>
  <c r="R58" i="59"/>
  <c r="R75" i="59" s="1"/>
  <c r="Q58" i="59"/>
  <c r="P58" i="59"/>
  <c r="P75" i="59" s="1"/>
  <c r="O58" i="59"/>
  <c r="N58" i="59"/>
  <c r="N75" i="59" s="1"/>
  <c r="M58" i="59"/>
  <c r="L58" i="59"/>
  <c r="L75" i="59" s="1"/>
  <c r="K58" i="59"/>
  <c r="K76" i="59" s="1"/>
  <c r="J58" i="59"/>
  <c r="J75" i="59" s="1"/>
  <c r="I58" i="59"/>
  <c r="H58" i="59"/>
  <c r="H75" i="59" s="1"/>
  <c r="F52" i="59"/>
  <c r="E52" i="59"/>
  <c r="D52" i="59"/>
  <c r="C52" i="59"/>
  <c r="B52" i="59"/>
  <c r="R48" i="59"/>
  <c r="J48" i="59"/>
  <c r="F45" i="59"/>
  <c r="E45" i="59"/>
  <c r="D45" i="59"/>
  <c r="C45" i="59"/>
  <c r="B45" i="59"/>
  <c r="F44" i="59"/>
  <c r="E44" i="59"/>
  <c r="D44" i="59"/>
  <c r="B123" i="62" s="1"/>
  <c r="D46" i="59" s="1"/>
  <c r="C44" i="59"/>
  <c r="B44" i="59"/>
  <c r="V33" i="59"/>
  <c r="U33" i="59"/>
  <c r="T33" i="59"/>
  <c r="S33" i="59"/>
  <c r="R33" i="59"/>
  <c r="Q33" i="59"/>
  <c r="P33" i="59"/>
  <c r="O33" i="59"/>
  <c r="N33" i="59"/>
  <c r="M33" i="59"/>
  <c r="L33" i="59"/>
  <c r="K33" i="59"/>
  <c r="J33" i="59"/>
  <c r="I33" i="59"/>
  <c r="H33" i="59"/>
  <c r="V32" i="59"/>
  <c r="U32" i="59"/>
  <c r="T32" i="59"/>
  <c r="S32" i="59"/>
  <c r="R32" i="59"/>
  <c r="Q32" i="59"/>
  <c r="P32" i="59"/>
  <c r="O32" i="59"/>
  <c r="N32" i="59"/>
  <c r="M32" i="59"/>
  <c r="L32" i="59"/>
  <c r="K32" i="59"/>
  <c r="J32" i="59"/>
  <c r="I32" i="59"/>
  <c r="H32" i="59"/>
  <c r="V31" i="59"/>
  <c r="V49" i="59" s="1"/>
  <c r="U31" i="59"/>
  <c r="U48" i="59" s="1"/>
  <c r="T31" i="59"/>
  <c r="T49" i="59" s="1"/>
  <c r="S31" i="59"/>
  <c r="S48" i="59" s="1"/>
  <c r="R31" i="59"/>
  <c r="R49" i="59" s="1"/>
  <c r="Q31" i="59"/>
  <c r="Q48" i="59" s="1"/>
  <c r="P31" i="59"/>
  <c r="P49" i="59" s="1"/>
  <c r="O31" i="59"/>
  <c r="O48" i="59" s="1"/>
  <c r="N31" i="59"/>
  <c r="N49" i="59" s="1"/>
  <c r="M31" i="59"/>
  <c r="M48" i="59" s="1"/>
  <c r="L31" i="59"/>
  <c r="L49" i="59" s="1"/>
  <c r="K31" i="59"/>
  <c r="K48" i="59" s="1"/>
  <c r="J31" i="59"/>
  <c r="J49" i="59" s="1"/>
  <c r="I31" i="59"/>
  <c r="I48" i="59" s="1"/>
  <c r="H31" i="59"/>
  <c r="H49" i="59" s="1"/>
  <c r="U21" i="59"/>
  <c r="M21" i="59"/>
  <c r="F19" i="59"/>
  <c r="E19" i="59"/>
  <c r="D19" i="59"/>
  <c r="C19" i="59"/>
  <c r="B19" i="59"/>
  <c r="F18" i="59"/>
  <c r="E18" i="59"/>
  <c r="D18" i="59"/>
  <c r="C18" i="59"/>
  <c r="B18" i="59"/>
  <c r="F15" i="59"/>
  <c r="B199" i="64" s="1"/>
  <c r="F92" i="59" s="1"/>
  <c r="E15" i="59"/>
  <c r="B220" i="63" s="1"/>
  <c r="E126" i="59" s="1"/>
  <c r="B222" i="63" s="1"/>
  <c r="E127" i="59" s="1"/>
  <c r="D15" i="59"/>
  <c r="B199" i="62" s="1"/>
  <c r="D92" i="59" s="1"/>
  <c r="C15" i="59"/>
  <c r="B220" i="61" s="1"/>
  <c r="C126" i="59" s="1"/>
  <c r="B222" i="61" s="1"/>
  <c r="C127" i="59" s="1"/>
  <c r="B15" i="59"/>
  <c r="B199" i="60" s="1"/>
  <c r="B92" i="59" s="1"/>
  <c r="F14" i="59"/>
  <c r="E14" i="59"/>
  <c r="D14" i="59"/>
  <c r="C14" i="59"/>
  <c r="B14" i="59"/>
  <c r="F13" i="59"/>
  <c r="E13" i="59"/>
  <c r="D13" i="59"/>
  <c r="C13" i="59"/>
  <c r="B13" i="59"/>
  <c r="F12" i="59"/>
  <c r="B232" i="64" s="1"/>
  <c r="F137" i="59" s="1"/>
  <c r="E12" i="59"/>
  <c r="B232" i="63" s="1"/>
  <c r="E137" i="59" s="1"/>
  <c r="D12" i="59"/>
  <c r="C12" i="59"/>
  <c r="B12" i="59"/>
  <c r="B232" i="60" s="1"/>
  <c r="B137" i="59" s="1"/>
  <c r="F10" i="59"/>
  <c r="E10" i="59"/>
  <c r="D10" i="59"/>
  <c r="B41" i="62" s="1"/>
  <c r="D11" i="59" s="1"/>
  <c r="B43" i="62" s="1"/>
  <c r="D58" i="59" s="1"/>
  <c r="B64" i="62" s="1"/>
  <c r="D60" i="59" s="1"/>
  <c r="C10" i="59"/>
  <c r="B10" i="59"/>
  <c r="B41" i="60" s="1"/>
  <c r="B11" i="59" s="1"/>
  <c r="B43" i="60" s="1"/>
  <c r="B58" i="59" s="1"/>
  <c r="F7" i="59"/>
  <c r="E7" i="59"/>
  <c r="D7" i="59"/>
  <c r="C7" i="59"/>
  <c r="B7" i="59"/>
  <c r="V6" i="59"/>
  <c r="U6" i="59"/>
  <c r="T6" i="59"/>
  <c r="S6" i="59"/>
  <c r="R6" i="59"/>
  <c r="Q6" i="59"/>
  <c r="P6" i="59"/>
  <c r="O6" i="59"/>
  <c r="N6" i="59"/>
  <c r="M6" i="59"/>
  <c r="L6" i="59"/>
  <c r="K6" i="59"/>
  <c r="J6" i="59"/>
  <c r="I6" i="59"/>
  <c r="H6" i="59"/>
  <c r="F6" i="59"/>
  <c r="E6" i="59"/>
  <c r="B39" i="63" s="1"/>
  <c r="E9" i="59" s="1"/>
  <c r="D6" i="59"/>
  <c r="C6" i="59"/>
  <c r="B39" i="61" s="1"/>
  <c r="C9" i="59" s="1"/>
  <c r="B6" i="59"/>
  <c r="V5" i="59"/>
  <c r="U5" i="59"/>
  <c r="T5" i="59"/>
  <c r="S5" i="59"/>
  <c r="R5" i="59"/>
  <c r="Q5" i="59"/>
  <c r="P5" i="59"/>
  <c r="O5" i="59"/>
  <c r="N5" i="59"/>
  <c r="M5" i="59"/>
  <c r="L5" i="59"/>
  <c r="K5" i="59"/>
  <c r="J5" i="59"/>
  <c r="I5" i="59"/>
  <c r="H5" i="59"/>
  <c r="F5" i="59"/>
  <c r="E5" i="59"/>
  <c r="B38" i="63" s="1"/>
  <c r="E8" i="59" s="1"/>
  <c r="D5" i="59"/>
  <c r="B38" i="62" s="1"/>
  <c r="D8" i="59" s="1"/>
  <c r="C5" i="59"/>
  <c r="B38" i="61" s="1"/>
  <c r="C8" i="59" s="1"/>
  <c r="B5" i="59"/>
  <c r="V4" i="59"/>
  <c r="V21" i="59" s="1"/>
  <c r="U4" i="59"/>
  <c r="U22" i="59" s="1"/>
  <c r="T4" i="59"/>
  <c r="T21" i="59" s="1"/>
  <c r="S4" i="59"/>
  <c r="S22" i="59" s="1"/>
  <c r="R4" i="59"/>
  <c r="R21" i="59" s="1"/>
  <c r="Q4" i="59"/>
  <c r="Q22" i="59" s="1"/>
  <c r="P4" i="59"/>
  <c r="P21" i="59" s="1"/>
  <c r="O4" i="59"/>
  <c r="O22" i="59" s="1"/>
  <c r="N4" i="59"/>
  <c r="N21" i="59" s="1"/>
  <c r="M4" i="59"/>
  <c r="M22" i="59" s="1"/>
  <c r="L4" i="59"/>
  <c r="L21" i="59" s="1"/>
  <c r="K4" i="59"/>
  <c r="K22" i="59" s="1"/>
  <c r="J4" i="59"/>
  <c r="J21" i="59" s="1"/>
  <c r="I4" i="59"/>
  <c r="I22" i="59" s="1"/>
  <c r="H4" i="59"/>
  <c r="H21" i="59" s="1"/>
  <c r="P308" i="64"/>
  <c r="O308" i="64"/>
  <c r="N308" i="64"/>
  <c r="M308" i="64"/>
  <c r="L308" i="64"/>
  <c r="K308" i="64"/>
  <c r="J308" i="64"/>
  <c r="I308" i="64"/>
  <c r="H308" i="64"/>
  <c r="G308" i="64"/>
  <c r="F308" i="64"/>
  <c r="E308" i="64"/>
  <c r="D308" i="64"/>
  <c r="C308" i="64"/>
  <c r="B308" i="64"/>
  <c r="P307" i="64"/>
  <c r="O307" i="64"/>
  <c r="N307" i="64"/>
  <c r="M307" i="64"/>
  <c r="L307" i="64"/>
  <c r="K307" i="64"/>
  <c r="J307" i="64"/>
  <c r="I307" i="64"/>
  <c r="H307" i="64"/>
  <c r="G307" i="64"/>
  <c r="F307" i="64"/>
  <c r="E307" i="64"/>
  <c r="D307" i="64"/>
  <c r="C307" i="64"/>
  <c r="B307" i="64"/>
  <c r="P306" i="64"/>
  <c r="O306" i="64"/>
  <c r="N306" i="64"/>
  <c r="M306" i="64"/>
  <c r="L306" i="64"/>
  <c r="K306" i="64"/>
  <c r="J306" i="64"/>
  <c r="I306" i="64"/>
  <c r="H306" i="64"/>
  <c r="G306" i="64"/>
  <c r="F306" i="64"/>
  <c r="E306" i="64"/>
  <c r="D306" i="64"/>
  <c r="C306" i="64"/>
  <c r="B306" i="64"/>
  <c r="P305" i="64"/>
  <c r="O305" i="64"/>
  <c r="N305" i="64"/>
  <c r="M305" i="64"/>
  <c r="L305" i="64"/>
  <c r="K305" i="64"/>
  <c r="J305" i="64"/>
  <c r="I305" i="64"/>
  <c r="H305" i="64"/>
  <c r="G305" i="64"/>
  <c r="F305" i="64"/>
  <c r="E305" i="64"/>
  <c r="D305" i="64"/>
  <c r="C305" i="64"/>
  <c r="B305" i="64"/>
  <c r="P304" i="64"/>
  <c r="O304" i="64"/>
  <c r="N304" i="64"/>
  <c r="M304" i="64"/>
  <c r="L304" i="64"/>
  <c r="K304" i="64"/>
  <c r="J304" i="64"/>
  <c r="I304" i="64"/>
  <c r="H304" i="64"/>
  <c r="G304" i="64"/>
  <c r="F304" i="64"/>
  <c r="E304" i="64"/>
  <c r="D304" i="64"/>
  <c r="C304" i="64"/>
  <c r="B304" i="64"/>
  <c r="P303" i="64"/>
  <c r="O303" i="64"/>
  <c r="N303" i="64"/>
  <c r="M303" i="64"/>
  <c r="L303" i="64"/>
  <c r="K303" i="64"/>
  <c r="J303" i="64"/>
  <c r="I303" i="64"/>
  <c r="H303" i="64"/>
  <c r="G303" i="64"/>
  <c r="F303" i="64"/>
  <c r="E303" i="64"/>
  <c r="D303" i="64"/>
  <c r="C303" i="64"/>
  <c r="B303" i="64"/>
  <c r="P302" i="64"/>
  <c r="O302" i="64"/>
  <c r="N302" i="64"/>
  <c r="M302" i="64"/>
  <c r="L302" i="64"/>
  <c r="K302" i="64"/>
  <c r="J302" i="64"/>
  <c r="I302" i="64"/>
  <c r="H302" i="64"/>
  <c r="G302" i="64"/>
  <c r="F302" i="64"/>
  <c r="E302" i="64"/>
  <c r="D302" i="64"/>
  <c r="C302" i="64"/>
  <c r="Q302" i="64" s="1"/>
  <c r="B302" i="64"/>
  <c r="P301" i="64"/>
  <c r="O301" i="64"/>
  <c r="N301" i="64"/>
  <c r="M301" i="64"/>
  <c r="L301" i="64"/>
  <c r="K301" i="64"/>
  <c r="J301" i="64"/>
  <c r="I301" i="64"/>
  <c r="H301" i="64"/>
  <c r="G301" i="64"/>
  <c r="F301" i="64"/>
  <c r="E301" i="64"/>
  <c r="D301" i="64"/>
  <c r="C301" i="64"/>
  <c r="B301" i="64"/>
  <c r="B289" i="64"/>
  <c r="D289" i="64" s="1"/>
  <c r="B287" i="64"/>
  <c r="F114" i="59" s="1"/>
  <c r="B286" i="64"/>
  <c r="D286" i="64" s="1"/>
  <c r="B284" i="64"/>
  <c r="D284" i="64" s="1"/>
  <c r="B283" i="64"/>
  <c r="D283" i="64" s="1"/>
  <c r="B280" i="64"/>
  <c r="F112" i="59" s="1"/>
  <c r="B279" i="64"/>
  <c r="D279" i="64" s="1"/>
  <c r="B278" i="64"/>
  <c r="F110" i="59" s="1"/>
  <c r="B274" i="64"/>
  <c r="F70" i="59" s="1"/>
  <c r="B273" i="64"/>
  <c r="D273" i="64" s="1"/>
  <c r="B271" i="64"/>
  <c r="F69" i="59" s="1"/>
  <c r="B258" i="64"/>
  <c r="F165" i="59" s="1"/>
  <c r="B221" i="64"/>
  <c r="F128" i="59" s="1"/>
  <c r="B208" i="64"/>
  <c r="F106" i="59" s="1"/>
  <c r="B207" i="64"/>
  <c r="F105" i="59" s="1"/>
  <c r="B201" i="64"/>
  <c r="F99" i="59" s="1"/>
  <c r="B188" i="64"/>
  <c r="F87" i="59" s="1"/>
  <c r="J162" i="64"/>
  <c r="AG100" i="57" s="1"/>
  <c r="B148" i="64"/>
  <c r="F77" i="59" s="1"/>
  <c r="B123" i="64"/>
  <c r="F46" i="59" s="1"/>
  <c r="P117" i="64"/>
  <c r="V135" i="59" s="1"/>
  <c r="O117" i="64"/>
  <c r="U135" i="59" s="1"/>
  <c r="N117" i="64"/>
  <c r="T135" i="59" s="1"/>
  <c r="M117" i="64"/>
  <c r="S135" i="59" s="1"/>
  <c r="L117" i="64"/>
  <c r="R135" i="59" s="1"/>
  <c r="K117" i="64"/>
  <c r="Q135" i="59" s="1"/>
  <c r="J117" i="64"/>
  <c r="P135" i="59" s="1"/>
  <c r="I117" i="64"/>
  <c r="O135" i="59" s="1"/>
  <c r="H117" i="64"/>
  <c r="N135" i="59" s="1"/>
  <c r="G117" i="64"/>
  <c r="M135" i="59" s="1"/>
  <c r="F117" i="64"/>
  <c r="L135" i="59" s="1"/>
  <c r="E117" i="64"/>
  <c r="K135" i="59" s="1"/>
  <c r="D117" i="64"/>
  <c r="J135" i="59" s="1"/>
  <c r="C117" i="64"/>
  <c r="I135" i="59" s="1"/>
  <c r="B117" i="64"/>
  <c r="H135" i="59" s="1"/>
  <c r="P116" i="64"/>
  <c r="V134" i="59" s="1"/>
  <c r="O116" i="64"/>
  <c r="U134" i="59" s="1"/>
  <c r="N116" i="64"/>
  <c r="T134" i="59" s="1"/>
  <c r="M116" i="64"/>
  <c r="S134" i="59" s="1"/>
  <c r="L116" i="64"/>
  <c r="R134" i="59" s="1"/>
  <c r="K116" i="64"/>
  <c r="Q134" i="59" s="1"/>
  <c r="J116" i="64"/>
  <c r="P134" i="59" s="1"/>
  <c r="I116" i="64"/>
  <c r="O134" i="59" s="1"/>
  <c r="H116" i="64"/>
  <c r="N134" i="59" s="1"/>
  <c r="G116" i="64"/>
  <c r="M134" i="59" s="1"/>
  <c r="F116" i="64"/>
  <c r="L134" i="59" s="1"/>
  <c r="E116" i="64"/>
  <c r="K134" i="59" s="1"/>
  <c r="D116" i="64"/>
  <c r="J134" i="59" s="1"/>
  <c r="C116" i="64"/>
  <c r="I134" i="59" s="1"/>
  <c r="B116" i="64"/>
  <c r="P115" i="64"/>
  <c r="V133" i="59" s="1"/>
  <c r="O115" i="64"/>
  <c r="U133" i="59" s="1"/>
  <c r="N115" i="64"/>
  <c r="T133" i="59" s="1"/>
  <c r="M115" i="64"/>
  <c r="S133" i="59" s="1"/>
  <c r="L115" i="64"/>
  <c r="R133" i="59" s="1"/>
  <c r="K115" i="64"/>
  <c r="Q133" i="59" s="1"/>
  <c r="J115" i="64"/>
  <c r="P133" i="59" s="1"/>
  <c r="I115" i="64"/>
  <c r="O133" i="59" s="1"/>
  <c r="H115" i="64"/>
  <c r="N133" i="59" s="1"/>
  <c r="G115" i="64"/>
  <c r="M133" i="59" s="1"/>
  <c r="F115" i="64"/>
  <c r="L133" i="59" s="1"/>
  <c r="E115" i="64"/>
  <c r="K133" i="59" s="1"/>
  <c r="D115" i="64"/>
  <c r="J133" i="59" s="1"/>
  <c r="C115" i="64"/>
  <c r="I133" i="59" s="1"/>
  <c r="B115" i="64"/>
  <c r="H133" i="59" s="1"/>
  <c r="P114" i="64"/>
  <c r="O114" i="64"/>
  <c r="N114" i="64"/>
  <c r="M114" i="64"/>
  <c r="L114" i="64"/>
  <c r="K114" i="64"/>
  <c r="J114" i="64"/>
  <c r="I114" i="64"/>
  <c r="H114" i="64"/>
  <c r="G114" i="64"/>
  <c r="F114" i="64"/>
  <c r="E114" i="64"/>
  <c r="D114" i="64"/>
  <c r="C114" i="64"/>
  <c r="B114" i="64"/>
  <c r="P113" i="64"/>
  <c r="O113" i="64"/>
  <c r="N113" i="64"/>
  <c r="M113" i="64"/>
  <c r="L113" i="64"/>
  <c r="K113" i="64"/>
  <c r="J113" i="64"/>
  <c r="I113" i="64"/>
  <c r="H113" i="64"/>
  <c r="G113" i="64"/>
  <c r="F113" i="64"/>
  <c r="E113" i="64"/>
  <c r="D113" i="64"/>
  <c r="C113" i="64"/>
  <c r="B113" i="64"/>
  <c r="P112" i="64"/>
  <c r="O112" i="64"/>
  <c r="N112" i="64"/>
  <c r="M112" i="64"/>
  <c r="L112" i="64"/>
  <c r="K112" i="64"/>
  <c r="J112" i="64"/>
  <c r="I112" i="64"/>
  <c r="H112" i="64"/>
  <c r="G112" i="64"/>
  <c r="F112" i="64"/>
  <c r="E112" i="64"/>
  <c r="D112" i="64"/>
  <c r="C112" i="64"/>
  <c r="B112" i="64"/>
  <c r="P110" i="64"/>
  <c r="O110" i="64"/>
  <c r="N110" i="64"/>
  <c r="M110" i="64"/>
  <c r="L110" i="64"/>
  <c r="K110" i="64"/>
  <c r="J110" i="64"/>
  <c r="I110" i="64"/>
  <c r="H110" i="64"/>
  <c r="G110" i="64"/>
  <c r="F110" i="64"/>
  <c r="E110" i="64"/>
  <c r="D110" i="64"/>
  <c r="C110" i="64"/>
  <c r="B110" i="64"/>
  <c r="P108" i="64"/>
  <c r="O108" i="64"/>
  <c r="N108" i="64"/>
  <c r="M108" i="64"/>
  <c r="L108" i="64"/>
  <c r="K108" i="64"/>
  <c r="J108" i="64"/>
  <c r="I108" i="64"/>
  <c r="H108" i="64"/>
  <c r="G108" i="64"/>
  <c r="F108" i="64"/>
  <c r="E108" i="64"/>
  <c r="D108" i="64"/>
  <c r="C108" i="64"/>
  <c r="B108" i="64"/>
  <c r="P106" i="64"/>
  <c r="O106" i="64"/>
  <c r="N106" i="64"/>
  <c r="M106" i="64"/>
  <c r="L106" i="64"/>
  <c r="K106" i="64"/>
  <c r="J106" i="64"/>
  <c r="I106" i="64"/>
  <c r="H106" i="64"/>
  <c r="G106" i="64"/>
  <c r="F106" i="64"/>
  <c r="E106" i="64"/>
  <c r="D106" i="64"/>
  <c r="C106" i="64"/>
  <c r="B106" i="64"/>
  <c r="P104" i="64"/>
  <c r="O104" i="64"/>
  <c r="N104" i="64"/>
  <c r="M104" i="64"/>
  <c r="L104" i="64"/>
  <c r="K104" i="64"/>
  <c r="J104" i="64"/>
  <c r="I104" i="64"/>
  <c r="H104" i="64"/>
  <c r="G104" i="64"/>
  <c r="F104" i="64"/>
  <c r="E104" i="64"/>
  <c r="D104" i="64"/>
  <c r="C104" i="64"/>
  <c r="B104" i="64"/>
  <c r="P102" i="64"/>
  <c r="O102" i="64"/>
  <c r="N102" i="64"/>
  <c r="M102" i="64"/>
  <c r="L102" i="64"/>
  <c r="K102" i="64"/>
  <c r="J102" i="64"/>
  <c r="I102" i="64"/>
  <c r="H102" i="64"/>
  <c r="G102" i="64"/>
  <c r="F102" i="64"/>
  <c r="E102" i="64"/>
  <c r="D102" i="64"/>
  <c r="C102" i="64"/>
  <c r="B102" i="64"/>
  <c r="P100" i="64"/>
  <c r="O100" i="64"/>
  <c r="N100" i="64"/>
  <c r="M100" i="64"/>
  <c r="L100" i="64"/>
  <c r="K100" i="64"/>
  <c r="J100" i="64"/>
  <c r="I100" i="64"/>
  <c r="H100" i="64"/>
  <c r="G100" i="64"/>
  <c r="F100" i="64"/>
  <c r="E100" i="64"/>
  <c r="D100" i="64"/>
  <c r="C100" i="64"/>
  <c r="B100" i="64"/>
  <c r="P98" i="64"/>
  <c r="O98" i="64"/>
  <c r="N98" i="64"/>
  <c r="M98" i="64"/>
  <c r="L98" i="64"/>
  <c r="K98" i="64"/>
  <c r="J98" i="64"/>
  <c r="I98" i="64"/>
  <c r="H98" i="64"/>
  <c r="G98" i="64"/>
  <c r="F98" i="64"/>
  <c r="E98" i="64"/>
  <c r="D98" i="64"/>
  <c r="C98" i="64"/>
  <c r="B98" i="64"/>
  <c r="P97" i="64"/>
  <c r="O97" i="64"/>
  <c r="N97" i="64"/>
  <c r="M97" i="64"/>
  <c r="L97" i="64"/>
  <c r="K97" i="64"/>
  <c r="J97" i="64"/>
  <c r="I97" i="64"/>
  <c r="H97" i="64"/>
  <c r="G97" i="64"/>
  <c r="F97" i="64"/>
  <c r="E97" i="64"/>
  <c r="D97" i="64"/>
  <c r="C97" i="64"/>
  <c r="B97" i="64"/>
  <c r="B76" i="64"/>
  <c r="F28" i="59" s="1"/>
  <c r="B77" i="64" s="1"/>
  <c r="F29" i="59" s="1"/>
  <c r="B74" i="64"/>
  <c r="F26" i="59" s="1"/>
  <c r="B73" i="64"/>
  <c r="F25" i="59" s="1"/>
  <c r="B71" i="64"/>
  <c r="F23" i="59" s="1"/>
  <c r="B70" i="64"/>
  <c r="F22" i="59" s="1"/>
  <c r="B63" i="64"/>
  <c r="F59" i="59" s="1"/>
  <c r="B61" i="64"/>
  <c r="F56" i="59" s="1"/>
  <c r="B60" i="64"/>
  <c r="F55" i="59" s="1"/>
  <c r="B59" i="64"/>
  <c r="F54" i="59" s="1"/>
  <c r="B41" i="64"/>
  <c r="F11" i="59" s="1"/>
  <c r="B43" i="64" s="1"/>
  <c r="F58" i="59" s="1"/>
  <c r="B64" i="64" s="1"/>
  <c r="F60" i="59" s="1"/>
  <c r="B39" i="64"/>
  <c r="F9" i="59" s="1"/>
  <c r="B38" i="64"/>
  <c r="F8" i="59" s="1"/>
  <c r="B30" i="64"/>
  <c r="F3" i="59" s="1"/>
  <c r="P25" i="64"/>
  <c r="V118" i="59" s="1"/>
  <c r="O25" i="64"/>
  <c r="U118" i="59" s="1"/>
  <c r="N25" i="64"/>
  <c r="T118" i="59" s="1"/>
  <c r="M25" i="64"/>
  <c r="S118" i="59" s="1"/>
  <c r="L25" i="64"/>
  <c r="R118" i="59" s="1"/>
  <c r="K25" i="64"/>
  <c r="Q118" i="59" s="1"/>
  <c r="J25" i="64"/>
  <c r="P118" i="59" s="1"/>
  <c r="I25" i="64"/>
  <c r="O118" i="59" s="1"/>
  <c r="H25" i="64"/>
  <c r="N118" i="59" s="1"/>
  <c r="G25" i="64"/>
  <c r="M118" i="59" s="1"/>
  <c r="F25" i="64"/>
  <c r="L118" i="59" s="1"/>
  <c r="E25" i="64"/>
  <c r="K118" i="59" s="1"/>
  <c r="D25" i="64"/>
  <c r="J118" i="59" s="1"/>
  <c r="C25" i="64"/>
  <c r="I118" i="59" s="1"/>
  <c r="B25" i="64"/>
  <c r="H118" i="59" s="1"/>
  <c r="P23" i="64"/>
  <c r="V117" i="59" s="1"/>
  <c r="O23" i="64"/>
  <c r="U117" i="59" s="1"/>
  <c r="N23" i="64"/>
  <c r="T117" i="59" s="1"/>
  <c r="M23" i="64"/>
  <c r="S117" i="59" s="1"/>
  <c r="L23" i="64"/>
  <c r="R117" i="59" s="1"/>
  <c r="K23" i="64"/>
  <c r="Q117" i="59" s="1"/>
  <c r="J23" i="64"/>
  <c r="P117" i="59" s="1"/>
  <c r="I23" i="64"/>
  <c r="O117" i="59" s="1"/>
  <c r="H23" i="64"/>
  <c r="N117" i="59" s="1"/>
  <c r="G23" i="64"/>
  <c r="M117" i="59" s="1"/>
  <c r="F23" i="64"/>
  <c r="L117" i="59" s="1"/>
  <c r="E23" i="64"/>
  <c r="K117" i="59" s="1"/>
  <c r="D23" i="64"/>
  <c r="J117" i="59" s="1"/>
  <c r="C23" i="64"/>
  <c r="I117" i="59" s="1"/>
  <c r="B23" i="64"/>
  <c r="H117" i="59" s="1"/>
  <c r="P21" i="64"/>
  <c r="V115" i="59" s="1"/>
  <c r="O21" i="64"/>
  <c r="U115" i="59" s="1"/>
  <c r="N21" i="64"/>
  <c r="T115" i="59" s="1"/>
  <c r="M21" i="64"/>
  <c r="S115" i="59" s="1"/>
  <c r="L21" i="64"/>
  <c r="R115" i="59" s="1"/>
  <c r="K21" i="64"/>
  <c r="Q115" i="59" s="1"/>
  <c r="J21" i="64"/>
  <c r="P115" i="59" s="1"/>
  <c r="I21" i="64"/>
  <c r="O115" i="59" s="1"/>
  <c r="H21" i="64"/>
  <c r="N115" i="59" s="1"/>
  <c r="G21" i="64"/>
  <c r="M115" i="59" s="1"/>
  <c r="F21" i="64"/>
  <c r="L115" i="59" s="1"/>
  <c r="E21" i="64"/>
  <c r="K115" i="59" s="1"/>
  <c r="D21" i="64"/>
  <c r="J115" i="59" s="1"/>
  <c r="C21" i="64"/>
  <c r="I115" i="59" s="1"/>
  <c r="H115" i="59"/>
  <c r="Q20" i="64"/>
  <c r="Q19" i="64"/>
  <c r="P308" i="63"/>
  <c r="O308" i="63"/>
  <c r="N308" i="63"/>
  <c r="M308" i="63"/>
  <c r="L308" i="63"/>
  <c r="K308" i="63"/>
  <c r="J308" i="63"/>
  <c r="I308" i="63"/>
  <c r="H308" i="63"/>
  <c r="G308" i="63"/>
  <c r="F308" i="63"/>
  <c r="E308" i="63"/>
  <c r="D308" i="63"/>
  <c r="C308" i="63"/>
  <c r="B308" i="63"/>
  <c r="P307" i="63"/>
  <c r="O307" i="63"/>
  <c r="N307" i="63"/>
  <c r="M307" i="63"/>
  <c r="L307" i="63"/>
  <c r="K307" i="63"/>
  <c r="J307" i="63"/>
  <c r="I307" i="63"/>
  <c r="H307" i="63"/>
  <c r="G307" i="63"/>
  <c r="F307" i="63"/>
  <c r="E307" i="63"/>
  <c r="D307" i="63"/>
  <c r="C307" i="63"/>
  <c r="B307" i="63"/>
  <c r="P306" i="63"/>
  <c r="O306" i="63"/>
  <c r="N306" i="63"/>
  <c r="M306" i="63"/>
  <c r="L306" i="63"/>
  <c r="K306" i="63"/>
  <c r="J306" i="63"/>
  <c r="I306" i="63"/>
  <c r="H306" i="63"/>
  <c r="G306" i="63"/>
  <c r="F306" i="63"/>
  <c r="E306" i="63"/>
  <c r="D306" i="63"/>
  <c r="C306" i="63"/>
  <c r="B306" i="63"/>
  <c r="P305" i="63"/>
  <c r="O305" i="63"/>
  <c r="N305" i="63"/>
  <c r="M305" i="63"/>
  <c r="L305" i="63"/>
  <c r="K305" i="63"/>
  <c r="J305" i="63"/>
  <c r="I305" i="63"/>
  <c r="H305" i="63"/>
  <c r="G305" i="63"/>
  <c r="F305" i="63"/>
  <c r="E305" i="63"/>
  <c r="D305" i="63"/>
  <c r="C305" i="63"/>
  <c r="B305" i="63"/>
  <c r="P304" i="63"/>
  <c r="O304" i="63"/>
  <c r="N304" i="63"/>
  <c r="M304" i="63"/>
  <c r="L304" i="63"/>
  <c r="K304" i="63"/>
  <c r="J304" i="63"/>
  <c r="I304" i="63"/>
  <c r="H304" i="63"/>
  <c r="G304" i="63"/>
  <c r="F304" i="63"/>
  <c r="E304" i="63"/>
  <c r="D304" i="63"/>
  <c r="C304" i="63"/>
  <c r="B304" i="63"/>
  <c r="P303" i="63"/>
  <c r="O303" i="63"/>
  <c r="N303" i="63"/>
  <c r="M303" i="63"/>
  <c r="L303" i="63"/>
  <c r="K303" i="63"/>
  <c r="J303" i="63"/>
  <c r="I303" i="63"/>
  <c r="H303" i="63"/>
  <c r="G303" i="63"/>
  <c r="F303" i="63"/>
  <c r="E303" i="63"/>
  <c r="D303" i="63"/>
  <c r="C303" i="63"/>
  <c r="B303" i="63"/>
  <c r="P302" i="63"/>
  <c r="O302" i="63"/>
  <c r="N302" i="63"/>
  <c r="M302" i="63"/>
  <c r="L302" i="63"/>
  <c r="K302" i="63"/>
  <c r="J302" i="63"/>
  <c r="I302" i="63"/>
  <c r="H302" i="63"/>
  <c r="G302" i="63"/>
  <c r="F302" i="63"/>
  <c r="E302" i="63"/>
  <c r="D302" i="63"/>
  <c r="C302" i="63"/>
  <c r="B302" i="63"/>
  <c r="P301" i="63"/>
  <c r="O301" i="63"/>
  <c r="N301" i="63"/>
  <c r="M301" i="63"/>
  <c r="L301" i="63"/>
  <c r="K301" i="63"/>
  <c r="J301" i="63"/>
  <c r="I301" i="63"/>
  <c r="H301" i="63"/>
  <c r="G301" i="63"/>
  <c r="F301" i="63"/>
  <c r="E301" i="63"/>
  <c r="D301" i="63"/>
  <c r="C301" i="63"/>
  <c r="B301" i="63"/>
  <c r="B289" i="63"/>
  <c r="E115" i="59" s="1"/>
  <c r="B287" i="63"/>
  <c r="D287" i="63" s="1"/>
  <c r="B286" i="63"/>
  <c r="D286" i="63" s="1"/>
  <c r="B284" i="63"/>
  <c r="D284" i="63" s="1"/>
  <c r="B283" i="63"/>
  <c r="D283" i="63" s="1"/>
  <c r="B280" i="63"/>
  <c r="D280" i="63" s="1"/>
  <c r="B279" i="63"/>
  <c r="E111" i="59" s="1"/>
  <c r="B278" i="63"/>
  <c r="D278" i="63" s="1"/>
  <c r="B274" i="63"/>
  <c r="D274" i="63" s="1"/>
  <c r="B273" i="63"/>
  <c r="D273" i="63" s="1"/>
  <c r="B271" i="63"/>
  <c r="D271" i="63" s="1"/>
  <c r="B258" i="63"/>
  <c r="E165" i="59" s="1"/>
  <c r="B254" i="63"/>
  <c r="E161" i="59" s="1"/>
  <c r="B253" i="63"/>
  <c r="E160" i="59" s="1"/>
  <c r="B221" i="63"/>
  <c r="E128" i="59" s="1"/>
  <c r="B208" i="63"/>
  <c r="E106" i="59" s="1"/>
  <c r="B207" i="63"/>
  <c r="E105" i="59" s="1"/>
  <c r="B201" i="63"/>
  <c r="E99" i="59" s="1"/>
  <c r="B188" i="63"/>
  <c r="E87" i="59" s="1"/>
  <c r="J173" i="63"/>
  <c r="AB111" i="57" s="1"/>
  <c r="J165" i="63"/>
  <c r="AB103" i="57" s="1"/>
  <c r="B148" i="63"/>
  <c r="E77" i="59" s="1"/>
  <c r="P117" i="63"/>
  <c r="V108" i="59" s="1"/>
  <c r="O117" i="63"/>
  <c r="U108" i="59" s="1"/>
  <c r="N117" i="63"/>
  <c r="T108" i="59" s="1"/>
  <c r="M117" i="63"/>
  <c r="S108" i="59" s="1"/>
  <c r="L117" i="63"/>
  <c r="R108" i="59" s="1"/>
  <c r="K117" i="63"/>
  <c r="Q108" i="59" s="1"/>
  <c r="J117" i="63"/>
  <c r="P108" i="59" s="1"/>
  <c r="I117" i="63"/>
  <c r="O108" i="59" s="1"/>
  <c r="H117" i="63"/>
  <c r="N108" i="59" s="1"/>
  <c r="G117" i="63"/>
  <c r="M108" i="59" s="1"/>
  <c r="F117" i="63"/>
  <c r="L108" i="59" s="1"/>
  <c r="E117" i="63"/>
  <c r="K108" i="59" s="1"/>
  <c r="D117" i="63"/>
  <c r="J108" i="59" s="1"/>
  <c r="C117" i="63"/>
  <c r="I108" i="59" s="1"/>
  <c r="B117" i="63"/>
  <c r="P116" i="63"/>
  <c r="V107" i="59" s="1"/>
  <c r="O116" i="63"/>
  <c r="U107" i="59" s="1"/>
  <c r="N116" i="63"/>
  <c r="T107" i="59" s="1"/>
  <c r="M116" i="63"/>
  <c r="S107" i="59" s="1"/>
  <c r="L116" i="63"/>
  <c r="R107" i="59" s="1"/>
  <c r="K116" i="63"/>
  <c r="Q107" i="59" s="1"/>
  <c r="J116" i="63"/>
  <c r="P107" i="59" s="1"/>
  <c r="I116" i="63"/>
  <c r="O107" i="59" s="1"/>
  <c r="H116" i="63"/>
  <c r="N107" i="59" s="1"/>
  <c r="G116" i="63"/>
  <c r="M107" i="59" s="1"/>
  <c r="F116" i="63"/>
  <c r="L107" i="59" s="1"/>
  <c r="E116" i="63"/>
  <c r="K107" i="59" s="1"/>
  <c r="D116" i="63"/>
  <c r="J107" i="59" s="1"/>
  <c r="C116" i="63"/>
  <c r="I107" i="59" s="1"/>
  <c r="B116" i="63"/>
  <c r="H107" i="59" s="1"/>
  <c r="P115" i="63"/>
  <c r="V106" i="59" s="1"/>
  <c r="O115" i="63"/>
  <c r="U106" i="59" s="1"/>
  <c r="N115" i="63"/>
  <c r="T106" i="59" s="1"/>
  <c r="M115" i="63"/>
  <c r="S106" i="59" s="1"/>
  <c r="L115" i="63"/>
  <c r="R106" i="59" s="1"/>
  <c r="K115" i="63"/>
  <c r="Q106" i="59" s="1"/>
  <c r="J115" i="63"/>
  <c r="P106" i="59" s="1"/>
  <c r="I115" i="63"/>
  <c r="O106" i="59" s="1"/>
  <c r="H115" i="63"/>
  <c r="N106" i="59" s="1"/>
  <c r="G115" i="63"/>
  <c r="M106" i="59" s="1"/>
  <c r="F115" i="63"/>
  <c r="L106" i="59" s="1"/>
  <c r="E115" i="63"/>
  <c r="K106" i="59" s="1"/>
  <c r="D115" i="63"/>
  <c r="J106" i="59" s="1"/>
  <c r="C115" i="63"/>
  <c r="I106" i="59" s="1"/>
  <c r="B115" i="63"/>
  <c r="P114" i="63"/>
  <c r="O114" i="63"/>
  <c r="N114" i="63"/>
  <c r="M114" i="63"/>
  <c r="L114" i="63"/>
  <c r="K114" i="63"/>
  <c r="J114" i="63"/>
  <c r="I114" i="63"/>
  <c r="H114" i="63"/>
  <c r="G114" i="63"/>
  <c r="F114" i="63"/>
  <c r="E114" i="63"/>
  <c r="D114" i="63"/>
  <c r="C114" i="63"/>
  <c r="B114" i="63"/>
  <c r="P113" i="63"/>
  <c r="O113" i="63"/>
  <c r="N113" i="63"/>
  <c r="M113" i="63"/>
  <c r="L113" i="63"/>
  <c r="K113" i="63"/>
  <c r="J113" i="63"/>
  <c r="I113" i="63"/>
  <c r="H113" i="63"/>
  <c r="G113" i="63"/>
  <c r="F113" i="63"/>
  <c r="E113" i="63"/>
  <c r="D113" i="63"/>
  <c r="C113" i="63"/>
  <c r="B113" i="63"/>
  <c r="P112" i="63"/>
  <c r="O112" i="63"/>
  <c r="N112" i="63"/>
  <c r="M112" i="63"/>
  <c r="L112" i="63"/>
  <c r="K112" i="63"/>
  <c r="J112" i="63"/>
  <c r="I112" i="63"/>
  <c r="H112" i="63"/>
  <c r="G112" i="63"/>
  <c r="F112" i="63"/>
  <c r="E112" i="63"/>
  <c r="D112" i="63"/>
  <c r="C112" i="63"/>
  <c r="B112" i="63"/>
  <c r="P110" i="63"/>
  <c r="O110" i="63"/>
  <c r="N110" i="63"/>
  <c r="M110" i="63"/>
  <c r="L110" i="63"/>
  <c r="K110" i="63"/>
  <c r="J110" i="63"/>
  <c r="I110" i="63"/>
  <c r="H110" i="63"/>
  <c r="G110" i="63"/>
  <c r="F110" i="63"/>
  <c r="E110" i="63"/>
  <c r="D110" i="63"/>
  <c r="C110" i="63"/>
  <c r="B110" i="63"/>
  <c r="P108" i="63"/>
  <c r="O108" i="63"/>
  <c r="N108" i="63"/>
  <c r="M108" i="63"/>
  <c r="L108" i="63"/>
  <c r="K108" i="63"/>
  <c r="J108" i="63"/>
  <c r="I108" i="63"/>
  <c r="H108" i="63"/>
  <c r="G108" i="63"/>
  <c r="F108" i="63"/>
  <c r="E108" i="63"/>
  <c r="D108" i="63"/>
  <c r="C108" i="63"/>
  <c r="B108" i="63"/>
  <c r="P106" i="63"/>
  <c r="O106" i="63"/>
  <c r="N106" i="63"/>
  <c r="M106" i="63"/>
  <c r="L106" i="63"/>
  <c r="K106" i="63"/>
  <c r="J106" i="63"/>
  <c r="I106" i="63"/>
  <c r="H106" i="63"/>
  <c r="G106" i="63"/>
  <c r="F106" i="63"/>
  <c r="E106" i="63"/>
  <c r="D106" i="63"/>
  <c r="C106" i="63"/>
  <c r="B106" i="63"/>
  <c r="P104" i="63"/>
  <c r="O104" i="63"/>
  <c r="N104" i="63"/>
  <c r="M104" i="63"/>
  <c r="L104" i="63"/>
  <c r="K104" i="63"/>
  <c r="J104" i="63"/>
  <c r="I104" i="63"/>
  <c r="H104" i="63"/>
  <c r="G104" i="63"/>
  <c r="F104" i="63"/>
  <c r="E104" i="63"/>
  <c r="D104" i="63"/>
  <c r="C104" i="63"/>
  <c r="B104" i="63"/>
  <c r="P102" i="63"/>
  <c r="O102" i="63"/>
  <c r="N102" i="63"/>
  <c r="M102" i="63"/>
  <c r="L102" i="63"/>
  <c r="K102" i="63"/>
  <c r="J102" i="63"/>
  <c r="I102" i="63"/>
  <c r="H102" i="63"/>
  <c r="G102" i="63"/>
  <c r="F102" i="63"/>
  <c r="E102" i="63"/>
  <c r="D102" i="63"/>
  <c r="C102" i="63"/>
  <c r="B102" i="63"/>
  <c r="P100" i="63"/>
  <c r="O100" i="63"/>
  <c r="N100" i="63"/>
  <c r="M100" i="63"/>
  <c r="L100" i="63"/>
  <c r="K100" i="63"/>
  <c r="J100" i="63"/>
  <c r="I100" i="63"/>
  <c r="H100" i="63"/>
  <c r="G100" i="63"/>
  <c r="F100" i="63"/>
  <c r="E100" i="63"/>
  <c r="D100" i="63"/>
  <c r="C100" i="63"/>
  <c r="B100" i="63"/>
  <c r="P98" i="63"/>
  <c r="O98" i="63"/>
  <c r="N98" i="63"/>
  <c r="M98" i="63"/>
  <c r="L98" i="63"/>
  <c r="K98" i="63"/>
  <c r="J98" i="63"/>
  <c r="I98" i="63"/>
  <c r="H98" i="63"/>
  <c r="G98" i="63"/>
  <c r="F98" i="63"/>
  <c r="E98" i="63"/>
  <c r="D98" i="63"/>
  <c r="C98" i="63"/>
  <c r="B98" i="63"/>
  <c r="P97" i="63"/>
  <c r="O97" i="63"/>
  <c r="N97" i="63"/>
  <c r="M97" i="63"/>
  <c r="L97" i="63"/>
  <c r="K97" i="63"/>
  <c r="J97" i="63"/>
  <c r="I97" i="63"/>
  <c r="H97" i="63"/>
  <c r="G97" i="63"/>
  <c r="F97" i="63"/>
  <c r="E97" i="63"/>
  <c r="D97" i="63"/>
  <c r="C97" i="63"/>
  <c r="B97" i="63"/>
  <c r="B76" i="63"/>
  <c r="E28" i="59" s="1"/>
  <c r="B77" i="63" s="1"/>
  <c r="E29" i="59" s="1"/>
  <c r="B74" i="63"/>
  <c r="E26" i="59" s="1"/>
  <c r="B73" i="63"/>
  <c r="E25" i="59" s="1"/>
  <c r="B71" i="63"/>
  <c r="E23" i="59" s="1"/>
  <c r="B70" i="63"/>
  <c r="E22" i="59" s="1"/>
  <c r="B63" i="63"/>
  <c r="E59" i="59" s="1"/>
  <c r="B61" i="63"/>
  <c r="E56" i="59" s="1"/>
  <c r="B60" i="63"/>
  <c r="E55" i="59" s="1"/>
  <c r="B59" i="63"/>
  <c r="E54" i="59" s="1"/>
  <c r="B41" i="63"/>
  <c r="E11" i="59" s="1"/>
  <c r="B43" i="63" s="1"/>
  <c r="E58" i="59" s="1"/>
  <c r="B30" i="63"/>
  <c r="E3" i="59" s="1"/>
  <c r="P25" i="63"/>
  <c r="V91" i="59" s="1"/>
  <c r="O25" i="63"/>
  <c r="U91" i="59" s="1"/>
  <c r="N25" i="63"/>
  <c r="T91" i="59" s="1"/>
  <c r="M25" i="63"/>
  <c r="S91" i="59" s="1"/>
  <c r="L25" i="63"/>
  <c r="R91" i="59" s="1"/>
  <c r="K25" i="63"/>
  <c r="Q91" i="59" s="1"/>
  <c r="J25" i="63"/>
  <c r="P91" i="59" s="1"/>
  <c r="I25" i="63"/>
  <c r="O91" i="59" s="1"/>
  <c r="H25" i="63"/>
  <c r="N91" i="59" s="1"/>
  <c r="G25" i="63"/>
  <c r="M91" i="59" s="1"/>
  <c r="F25" i="63"/>
  <c r="L91" i="59" s="1"/>
  <c r="E25" i="63"/>
  <c r="K91" i="59" s="1"/>
  <c r="D25" i="63"/>
  <c r="J91" i="59" s="1"/>
  <c r="C25" i="63"/>
  <c r="I91" i="59" s="1"/>
  <c r="B25" i="63"/>
  <c r="H91" i="59" s="1"/>
  <c r="P23" i="63"/>
  <c r="V90" i="59" s="1"/>
  <c r="O23" i="63"/>
  <c r="U90" i="59" s="1"/>
  <c r="N23" i="63"/>
  <c r="T90" i="59" s="1"/>
  <c r="M23" i="63"/>
  <c r="S90" i="59" s="1"/>
  <c r="L23" i="63"/>
  <c r="R90" i="59" s="1"/>
  <c r="K23" i="63"/>
  <c r="Q90" i="59" s="1"/>
  <c r="J23" i="63"/>
  <c r="P90" i="59" s="1"/>
  <c r="I23" i="63"/>
  <c r="O90" i="59" s="1"/>
  <c r="H23" i="63"/>
  <c r="N90" i="59" s="1"/>
  <c r="G23" i="63"/>
  <c r="M90" i="59" s="1"/>
  <c r="F23" i="63"/>
  <c r="L90" i="59" s="1"/>
  <c r="E23" i="63"/>
  <c r="K90" i="59" s="1"/>
  <c r="D23" i="63"/>
  <c r="J90" i="59" s="1"/>
  <c r="C23" i="63"/>
  <c r="I90" i="59" s="1"/>
  <c r="B23" i="63"/>
  <c r="H90" i="59" s="1"/>
  <c r="P21" i="63"/>
  <c r="V88" i="59" s="1"/>
  <c r="O21" i="63"/>
  <c r="U88" i="59" s="1"/>
  <c r="N21" i="63"/>
  <c r="T88" i="59" s="1"/>
  <c r="M21" i="63"/>
  <c r="S88" i="59" s="1"/>
  <c r="L21" i="63"/>
  <c r="R88" i="59" s="1"/>
  <c r="K21" i="63"/>
  <c r="Q88" i="59" s="1"/>
  <c r="J21" i="63"/>
  <c r="P88" i="59" s="1"/>
  <c r="I21" i="63"/>
  <c r="O88" i="59" s="1"/>
  <c r="H21" i="63"/>
  <c r="N88" i="59" s="1"/>
  <c r="G21" i="63"/>
  <c r="M88" i="59" s="1"/>
  <c r="F21" i="63"/>
  <c r="L88" i="59" s="1"/>
  <c r="E21" i="63"/>
  <c r="K88" i="59" s="1"/>
  <c r="D21" i="63"/>
  <c r="J88" i="59" s="1"/>
  <c r="C21" i="63"/>
  <c r="I88" i="59" s="1"/>
  <c r="B21" i="63"/>
  <c r="H88" i="59" s="1"/>
  <c r="Q20" i="63"/>
  <c r="Q19" i="63"/>
  <c r="P308" i="62"/>
  <c r="O308" i="62"/>
  <c r="N308" i="62"/>
  <c r="M308" i="62"/>
  <c r="L308" i="62"/>
  <c r="K308" i="62"/>
  <c r="J308" i="62"/>
  <c r="I308" i="62"/>
  <c r="H308" i="62"/>
  <c r="G308" i="62"/>
  <c r="F308" i="62"/>
  <c r="E308" i="62"/>
  <c r="D308" i="62"/>
  <c r="C308" i="62"/>
  <c r="B308" i="62"/>
  <c r="P307" i="62"/>
  <c r="O307" i="62"/>
  <c r="N307" i="62"/>
  <c r="M307" i="62"/>
  <c r="L307" i="62"/>
  <c r="K307" i="62"/>
  <c r="J307" i="62"/>
  <c r="I307" i="62"/>
  <c r="H307" i="62"/>
  <c r="G307" i="62"/>
  <c r="F307" i="62"/>
  <c r="E307" i="62"/>
  <c r="D307" i="62"/>
  <c r="C307" i="62"/>
  <c r="B307" i="62"/>
  <c r="P306" i="62"/>
  <c r="O306" i="62"/>
  <c r="N306" i="62"/>
  <c r="M306" i="62"/>
  <c r="L306" i="62"/>
  <c r="K306" i="62"/>
  <c r="J306" i="62"/>
  <c r="I306" i="62"/>
  <c r="H306" i="62"/>
  <c r="G306" i="62"/>
  <c r="F306" i="62"/>
  <c r="E306" i="62"/>
  <c r="D306" i="62"/>
  <c r="C306" i="62"/>
  <c r="B306" i="62"/>
  <c r="P305" i="62"/>
  <c r="O305" i="62"/>
  <c r="N305" i="62"/>
  <c r="M305" i="62"/>
  <c r="L305" i="62"/>
  <c r="K305" i="62"/>
  <c r="J305" i="62"/>
  <c r="I305" i="62"/>
  <c r="H305" i="62"/>
  <c r="G305" i="62"/>
  <c r="F305" i="62"/>
  <c r="E305" i="62"/>
  <c r="D305" i="62"/>
  <c r="C305" i="62"/>
  <c r="B305" i="62"/>
  <c r="P304" i="62"/>
  <c r="O304" i="62"/>
  <c r="N304" i="62"/>
  <c r="M304" i="62"/>
  <c r="L304" i="62"/>
  <c r="K304" i="62"/>
  <c r="J304" i="62"/>
  <c r="I304" i="62"/>
  <c r="H304" i="62"/>
  <c r="G304" i="62"/>
  <c r="F304" i="62"/>
  <c r="E304" i="62"/>
  <c r="D304" i="62"/>
  <c r="C304" i="62"/>
  <c r="B304" i="62"/>
  <c r="P303" i="62"/>
  <c r="O303" i="62"/>
  <c r="N303" i="62"/>
  <c r="M303" i="62"/>
  <c r="L303" i="62"/>
  <c r="K303" i="62"/>
  <c r="J303" i="62"/>
  <c r="I303" i="62"/>
  <c r="H303" i="62"/>
  <c r="G303" i="62"/>
  <c r="F303" i="62"/>
  <c r="E303" i="62"/>
  <c r="D303" i="62"/>
  <c r="C303" i="62"/>
  <c r="B303" i="62"/>
  <c r="P302" i="62"/>
  <c r="O302" i="62"/>
  <c r="N302" i="62"/>
  <c r="M302" i="62"/>
  <c r="L302" i="62"/>
  <c r="K302" i="62"/>
  <c r="J302" i="62"/>
  <c r="I302" i="62"/>
  <c r="H302" i="62"/>
  <c r="G302" i="62"/>
  <c r="F302" i="62"/>
  <c r="E302" i="62"/>
  <c r="D302" i="62"/>
  <c r="C302" i="62"/>
  <c r="B302" i="62"/>
  <c r="P301" i="62"/>
  <c r="O301" i="62"/>
  <c r="N301" i="62"/>
  <c r="M301" i="62"/>
  <c r="L301" i="62"/>
  <c r="K301" i="62"/>
  <c r="J301" i="62"/>
  <c r="I301" i="62"/>
  <c r="H301" i="62"/>
  <c r="G301" i="62"/>
  <c r="F301" i="62"/>
  <c r="E301" i="62"/>
  <c r="D301" i="62"/>
  <c r="C301" i="62"/>
  <c r="B301" i="62"/>
  <c r="B289" i="62"/>
  <c r="D289" i="62" s="1"/>
  <c r="B287" i="62"/>
  <c r="D114" i="59" s="1"/>
  <c r="B286" i="62"/>
  <c r="D286" i="62" s="1"/>
  <c r="B284" i="62"/>
  <c r="D284" i="62" s="1"/>
  <c r="B283" i="62"/>
  <c r="D283" i="62" s="1"/>
  <c r="B280" i="62"/>
  <c r="D112" i="59" s="1"/>
  <c r="B279" i="62"/>
  <c r="D279" i="62" s="1"/>
  <c r="B278" i="62"/>
  <c r="D110" i="59" s="1"/>
  <c r="B274" i="62"/>
  <c r="D70" i="59" s="1"/>
  <c r="B273" i="62"/>
  <c r="D273" i="62" s="1"/>
  <c r="B271" i="62"/>
  <c r="D69" i="59" s="1"/>
  <c r="B258" i="62"/>
  <c r="D165" i="59" s="1"/>
  <c r="B232" i="62"/>
  <c r="D137" i="59" s="1"/>
  <c r="B221" i="62"/>
  <c r="D128" i="59" s="1"/>
  <c r="B208" i="62"/>
  <c r="D106" i="59" s="1"/>
  <c r="B207" i="62"/>
  <c r="D105" i="59" s="1"/>
  <c r="B201" i="62"/>
  <c r="D99" i="59" s="1"/>
  <c r="B188" i="62"/>
  <c r="D87" i="59" s="1"/>
  <c r="J177" i="62"/>
  <c r="W115" i="57" s="1"/>
  <c r="J169" i="62"/>
  <c r="W107" i="57" s="1"/>
  <c r="J161" i="62"/>
  <c r="W99" i="57" s="1"/>
  <c r="B148" i="62"/>
  <c r="D77" i="59" s="1"/>
  <c r="B146" i="62"/>
  <c r="D75" i="59" s="1"/>
  <c r="B145" i="62"/>
  <c r="D74" i="59" s="1"/>
  <c r="B144" i="62"/>
  <c r="D73" i="59" s="1"/>
  <c r="P117" i="62"/>
  <c r="V81" i="59" s="1"/>
  <c r="O117" i="62"/>
  <c r="U81" i="59" s="1"/>
  <c r="N117" i="62"/>
  <c r="T81" i="59" s="1"/>
  <c r="M117" i="62"/>
  <c r="S81" i="59" s="1"/>
  <c r="L117" i="62"/>
  <c r="R81" i="59" s="1"/>
  <c r="K117" i="62"/>
  <c r="Q81" i="59" s="1"/>
  <c r="J117" i="62"/>
  <c r="P81" i="59" s="1"/>
  <c r="I117" i="62"/>
  <c r="O81" i="59" s="1"/>
  <c r="H117" i="62"/>
  <c r="N81" i="59" s="1"/>
  <c r="G117" i="62"/>
  <c r="M81" i="59" s="1"/>
  <c r="F117" i="62"/>
  <c r="L81" i="59" s="1"/>
  <c r="E117" i="62"/>
  <c r="K81" i="59" s="1"/>
  <c r="D117" i="62"/>
  <c r="J81" i="59" s="1"/>
  <c r="C117" i="62"/>
  <c r="I81" i="59" s="1"/>
  <c r="B117" i="62"/>
  <c r="H81" i="59" s="1"/>
  <c r="P116" i="62"/>
  <c r="V80" i="59" s="1"/>
  <c r="O116" i="62"/>
  <c r="U80" i="59" s="1"/>
  <c r="N116" i="62"/>
  <c r="T80" i="59" s="1"/>
  <c r="M116" i="62"/>
  <c r="S80" i="59" s="1"/>
  <c r="L116" i="62"/>
  <c r="R80" i="59" s="1"/>
  <c r="K116" i="62"/>
  <c r="Q80" i="59" s="1"/>
  <c r="J116" i="62"/>
  <c r="P80" i="59" s="1"/>
  <c r="I116" i="62"/>
  <c r="O80" i="59" s="1"/>
  <c r="H116" i="62"/>
  <c r="N80" i="59" s="1"/>
  <c r="G116" i="62"/>
  <c r="M80" i="59" s="1"/>
  <c r="F116" i="62"/>
  <c r="L80" i="59" s="1"/>
  <c r="E116" i="62"/>
  <c r="K80" i="59" s="1"/>
  <c r="D116" i="62"/>
  <c r="J80" i="59" s="1"/>
  <c r="C116" i="62"/>
  <c r="I80" i="59" s="1"/>
  <c r="B116" i="62"/>
  <c r="P115" i="62"/>
  <c r="V79" i="59" s="1"/>
  <c r="O115" i="62"/>
  <c r="U79" i="59" s="1"/>
  <c r="N115" i="62"/>
  <c r="T79" i="59" s="1"/>
  <c r="M115" i="62"/>
  <c r="S79" i="59" s="1"/>
  <c r="L115" i="62"/>
  <c r="R79" i="59" s="1"/>
  <c r="K115" i="62"/>
  <c r="Q79" i="59" s="1"/>
  <c r="J115" i="62"/>
  <c r="P79" i="59" s="1"/>
  <c r="I115" i="62"/>
  <c r="O79" i="59" s="1"/>
  <c r="H115" i="62"/>
  <c r="N79" i="59" s="1"/>
  <c r="G115" i="62"/>
  <c r="M79" i="59" s="1"/>
  <c r="F115" i="62"/>
  <c r="L79" i="59" s="1"/>
  <c r="E115" i="62"/>
  <c r="K79" i="59" s="1"/>
  <c r="D115" i="62"/>
  <c r="J79" i="59" s="1"/>
  <c r="C115" i="62"/>
  <c r="I79" i="59" s="1"/>
  <c r="B115" i="62"/>
  <c r="H79" i="59" s="1"/>
  <c r="P114" i="62"/>
  <c r="O114" i="62"/>
  <c r="N114" i="62"/>
  <c r="M114" i="62"/>
  <c r="L114" i="62"/>
  <c r="K114" i="62"/>
  <c r="J114" i="62"/>
  <c r="I114" i="62"/>
  <c r="H114" i="62"/>
  <c r="G114" i="62"/>
  <c r="F114" i="62"/>
  <c r="E114" i="62"/>
  <c r="D114" i="62"/>
  <c r="C114" i="62"/>
  <c r="B114" i="62"/>
  <c r="P113" i="62"/>
  <c r="O113" i="62"/>
  <c r="N113" i="62"/>
  <c r="M113" i="62"/>
  <c r="L113" i="62"/>
  <c r="K113" i="62"/>
  <c r="J113" i="62"/>
  <c r="I113" i="62"/>
  <c r="H113" i="62"/>
  <c r="G113" i="62"/>
  <c r="F113" i="62"/>
  <c r="E113" i="62"/>
  <c r="D113" i="62"/>
  <c r="C113" i="62"/>
  <c r="B113" i="62"/>
  <c r="P112" i="62"/>
  <c r="O112" i="62"/>
  <c r="N112" i="62"/>
  <c r="M112" i="62"/>
  <c r="L112" i="62"/>
  <c r="K112" i="62"/>
  <c r="J112" i="62"/>
  <c r="I112" i="62"/>
  <c r="H112" i="62"/>
  <c r="G112" i="62"/>
  <c r="F112" i="62"/>
  <c r="E112" i="62"/>
  <c r="D112" i="62"/>
  <c r="C112" i="62"/>
  <c r="B112" i="62"/>
  <c r="P110" i="62"/>
  <c r="O110" i="62"/>
  <c r="N110" i="62"/>
  <c r="M110" i="62"/>
  <c r="L110" i="62"/>
  <c r="K110" i="62"/>
  <c r="J110" i="62"/>
  <c r="I110" i="62"/>
  <c r="H110" i="62"/>
  <c r="G110" i="62"/>
  <c r="F110" i="62"/>
  <c r="E110" i="62"/>
  <c r="D110" i="62"/>
  <c r="C110" i="62"/>
  <c r="B110" i="62"/>
  <c r="P108" i="62"/>
  <c r="O108" i="62"/>
  <c r="N108" i="62"/>
  <c r="M108" i="62"/>
  <c r="L108" i="62"/>
  <c r="K108" i="62"/>
  <c r="J108" i="62"/>
  <c r="I108" i="62"/>
  <c r="H108" i="62"/>
  <c r="G108" i="62"/>
  <c r="F108" i="62"/>
  <c r="E108" i="62"/>
  <c r="D108" i="62"/>
  <c r="C108" i="62"/>
  <c r="B108" i="62"/>
  <c r="P106" i="62"/>
  <c r="O106" i="62"/>
  <c r="N106" i="62"/>
  <c r="M106" i="62"/>
  <c r="L106" i="62"/>
  <c r="K106" i="62"/>
  <c r="J106" i="62"/>
  <c r="I106" i="62"/>
  <c r="H106" i="62"/>
  <c r="G106" i="62"/>
  <c r="F106" i="62"/>
  <c r="E106" i="62"/>
  <c r="D106" i="62"/>
  <c r="C106" i="62"/>
  <c r="B106" i="62"/>
  <c r="P104" i="62"/>
  <c r="O104" i="62"/>
  <c r="N104" i="62"/>
  <c r="M104" i="62"/>
  <c r="L104" i="62"/>
  <c r="K104" i="62"/>
  <c r="J104" i="62"/>
  <c r="I104" i="62"/>
  <c r="H104" i="62"/>
  <c r="G104" i="62"/>
  <c r="F104" i="62"/>
  <c r="E104" i="62"/>
  <c r="D104" i="62"/>
  <c r="C104" i="62"/>
  <c r="B104" i="62"/>
  <c r="P102" i="62"/>
  <c r="O102" i="62"/>
  <c r="N102" i="62"/>
  <c r="M102" i="62"/>
  <c r="L102" i="62"/>
  <c r="K102" i="62"/>
  <c r="J102" i="62"/>
  <c r="I102" i="62"/>
  <c r="H102" i="62"/>
  <c r="G102" i="62"/>
  <c r="F102" i="62"/>
  <c r="E102" i="62"/>
  <c r="D102" i="62"/>
  <c r="C102" i="62"/>
  <c r="B102" i="62"/>
  <c r="P100" i="62"/>
  <c r="O100" i="62"/>
  <c r="N100" i="62"/>
  <c r="M100" i="62"/>
  <c r="L100" i="62"/>
  <c r="K100" i="62"/>
  <c r="J100" i="62"/>
  <c r="I100" i="62"/>
  <c r="H100" i="62"/>
  <c r="G100" i="62"/>
  <c r="F100" i="62"/>
  <c r="E100" i="62"/>
  <c r="D100" i="62"/>
  <c r="C100" i="62"/>
  <c r="B100" i="62"/>
  <c r="P98" i="62"/>
  <c r="O98" i="62"/>
  <c r="N98" i="62"/>
  <c r="M98" i="62"/>
  <c r="L98" i="62"/>
  <c r="K98" i="62"/>
  <c r="J98" i="62"/>
  <c r="I98" i="62"/>
  <c r="H98" i="62"/>
  <c r="G98" i="62"/>
  <c r="F98" i="62"/>
  <c r="E98" i="62"/>
  <c r="D98" i="62"/>
  <c r="C98" i="62"/>
  <c r="B98" i="62"/>
  <c r="P97" i="62"/>
  <c r="O97" i="62"/>
  <c r="N97" i="62"/>
  <c r="M97" i="62"/>
  <c r="L97" i="62"/>
  <c r="K97" i="62"/>
  <c r="J97" i="62"/>
  <c r="I97" i="62"/>
  <c r="H97" i="62"/>
  <c r="G97" i="62"/>
  <c r="F97" i="62"/>
  <c r="E97" i="62"/>
  <c r="D97" i="62"/>
  <c r="C97" i="62"/>
  <c r="B97" i="62"/>
  <c r="B76" i="62"/>
  <c r="D28" i="59" s="1"/>
  <c r="B77" i="62" s="1"/>
  <c r="D29" i="59" s="1"/>
  <c r="B74" i="62"/>
  <c r="D26" i="59" s="1"/>
  <c r="B73" i="62"/>
  <c r="D25" i="59" s="1"/>
  <c r="B71" i="62"/>
  <c r="D23" i="59" s="1"/>
  <c r="B70" i="62"/>
  <c r="B63" i="62"/>
  <c r="D59" i="59" s="1"/>
  <c r="B61" i="62"/>
  <c r="D56" i="59" s="1"/>
  <c r="B60" i="62"/>
  <c r="D55" i="59" s="1"/>
  <c r="B59" i="62"/>
  <c r="D54" i="59" s="1"/>
  <c r="B39" i="62"/>
  <c r="D9" i="59" s="1"/>
  <c r="B30" i="62"/>
  <c r="D3" i="59" s="1"/>
  <c r="D153" i="59" s="1"/>
  <c r="P25" i="62"/>
  <c r="V64" i="59" s="1"/>
  <c r="O25" i="62"/>
  <c r="U64" i="59" s="1"/>
  <c r="N25" i="62"/>
  <c r="T64" i="59" s="1"/>
  <c r="M25" i="62"/>
  <c r="S64" i="59" s="1"/>
  <c r="L25" i="62"/>
  <c r="R64" i="59" s="1"/>
  <c r="K25" i="62"/>
  <c r="Q64" i="59" s="1"/>
  <c r="J25" i="62"/>
  <c r="P64" i="59" s="1"/>
  <c r="I25" i="62"/>
  <c r="O64" i="59" s="1"/>
  <c r="H25" i="62"/>
  <c r="N64" i="59" s="1"/>
  <c r="G25" i="62"/>
  <c r="M64" i="59" s="1"/>
  <c r="F25" i="62"/>
  <c r="L64" i="59" s="1"/>
  <c r="E25" i="62"/>
  <c r="K64" i="59" s="1"/>
  <c r="D25" i="62"/>
  <c r="J64" i="59" s="1"/>
  <c r="C25" i="62"/>
  <c r="I64" i="59" s="1"/>
  <c r="B25" i="62"/>
  <c r="H64" i="59" s="1"/>
  <c r="P23" i="62"/>
  <c r="V63" i="59" s="1"/>
  <c r="O23" i="62"/>
  <c r="U63" i="59" s="1"/>
  <c r="N23" i="62"/>
  <c r="T63" i="59" s="1"/>
  <c r="M23" i="62"/>
  <c r="S63" i="59" s="1"/>
  <c r="L23" i="62"/>
  <c r="R63" i="59" s="1"/>
  <c r="K23" i="62"/>
  <c r="Q63" i="59" s="1"/>
  <c r="J23" i="62"/>
  <c r="P63" i="59" s="1"/>
  <c r="I23" i="62"/>
  <c r="O63" i="59" s="1"/>
  <c r="H23" i="62"/>
  <c r="N63" i="59" s="1"/>
  <c r="G23" i="62"/>
  <c r="M63" i="59" s="1"/>
  <c r="F23" i="62"/>
  <c r="L63" i="59" s="1"/>
  <c r="E23" i="62"/>
  <c r="K63" i="59" s="1"/>
  <c r="D23" i="62"/>
  <c r="J63" i="59" s="1"/>
  <c r="C23" i="62"/>
  <c r="I63" i="59" s="1"/>
  <c r="B23" i="62"/>
  <c r="H63" i="59" s="1"/>
  <c r="P21" i="62"/>
  <c r="V61" i="59" s="1"/>
  <c r="O21" i="62"/>
  <c r="U61" i="59" s="1"/>
  <c r="N21" i="62"/>
  <c r="T61" i="59" s="1"/>
  <c r="M21" i="62"/>
  <c r="S61" i="59" s="1"/>
  <c r="L21" i="62"/>
  <c r="R61" i="59" s="1"/>
  <c r="K21" i="62"/>
  <c r="Q61" i="59" s="1"/>
  <c r="J21" i="62"/>
  <c r="P61" i="59" s="1"/>
  <c r="I21" i="62"/>
  <c r="O61" i="59" s="1"/>
  <c r="H21" i="62"/>
  <c r="N61" i="59" s="1"/>
  <c r="G21" i="62"/>
  <c r="M61" i="59" s="1"/>
  <c r="F21" i="62"/>
  <c r="L61" i="59" s="1"/>
  <c r="E21" i="62"/>
  <c r="K61" i="59" s="1"/>
  <c r="D21" i="62"/>
  <c r="J61" i="59" s="1"/>
  <c r="C21" i="62"/>
  <c r="I61" i="59" s="1"/>
  <c r="B21" i="62"/>
  <c r="H61" i="59" s="1"/>
  <c r="Q20" i="62"/>
  <c r="Q19" i="62"/>
  <c r="P308" i="61"/>
  <c r="O308" i="61"/>
  <c r="N308" i="61"/>
  <c r="M308" i="61"/>
  <c r="L308" i="61"/>
  <c r="K308" i="61"/>
  <c r="J308" i="61"/>
  <c r="I308" i="61"/>
  <c r="H308" i="61"/>
  <c r="G308" i="61"/>
  <c r="F308" i="61"/>
  <c r="E308" i="61"/>
  <c r="D308" i="61"/>
  <c r="C308" i="61"/>
  <c r="B308" i="61"/>
  <c r="P307" i="61"/>
  <c r="O307" i="61"/>
  <c r="N307" i="61"/>
  <c r="M307" i="61"/>
  <c r="L307" i="61"/>
  <c r="K307" i="61"/>
  <c r="J307" i="61"/>
  <c r="I307" i="61"/>
  <c r="H307" i="61"/>
  <c r="G307" i="61"/>
  <c r="F307" i="61"/>
  <c r="E307" i="61"/>
  <c r="D307" i="61"/>
  <c r="C307" i="61"/>
  <c r="B307" i="61"/>
  <c r="P306" i="61"/>
  <c r="O306" i="61"/>
  <c r="N306" i="61"/>
  <c r="M306" i="61"/>
  <c r="L306" i="61"/>
  <c r="K306" i="61"/>
  <c r="J306" i="61"/>
  <c r="I306" i="61"/>
  <c r="H306" i="61"/>
  <c r="G306" i="61"/>
  <c r="F306" i="61"/>
  <c r="E306" i="61"/>
  <c r="D306" i="61"/>
  <c r="C306" i="61"/>
  <c r="B306" i="61"/>
  <c r="P305" i="61"/>
  <c r="O305" i="61"/>
  <c r="N305" i="61"/>
  <c r="M305" i="61"/>
  <c r="L305" i="61"/>
  <c r="K305" i="61"/>
  <c r="J305" i="61"/>
  <c r="I305" i="61"/>
  <c r="H305" i="61"/>
  <c r="G305" i="61"/>
  <c r="F305" i="61"/>
  <c r="E305" i="61"/>
  <c r="D305" i="61"/>
  <c r="C305" i="61"/>
  <c r="B305" i="61"/>
  <c r="P304" i="61"/>
  <c r="O304" i="61"/>
  <c r="N304" i="61"/>
  <c r="M304" i="61"/>
  <c r="L304" i="61"/>
  <c r="K304" i="61"/>
  <c r="J304" i="61"/>
  <c r="I304" i="61"/>
  <c r="H304" i="61"/>
  <c r="G304" i="61"/>
  <c r="F304" i="61"/>
  <c r="E304" i="61"/>
  <c r="D304" i="61"/>
  <c r="C304" i="61"/>
  <c r="B304" i="61"/>
  <c r="P303" i="61"/>
  <c r="O303" i="61"/>
  <c r="N303" i="61"/>
  <c r="M303" i="61"/>
  <c r="L303" i="61"/>
  <c r="K303" i="61"/>
  <c r="J303" i="61"/>
  <c r="I303" i="61"/>
  <c r="H303" i="61"/>
  <c r="G303" i="61"/>
  <c r="F303" i="61"/>
  <c r="E303" i="61"/>
  <c r="D303" i="61"/>
  <c r="C303" i="61"/>
  <c r="B303" i="61"/>
  <c r="P302" i="61"/>
  <c r="O302" i="61"/>
  <c r="N302" i="61"/>
  <c r="M302" i="61"/>
  <c r="L302" i="61"/>
  <c r="K302" i="61"/>
  <c r="J302" i="61"/>
  <c r="I302" i="61"/>
  <c r="H302" i="61"/>
  <c r="G302" i="61"/>
  <c r="F302" i="61"/>
  <c r="E302" i="61"/>
  <c r="D302" i="61"/>
  <c r="C302" i="61"/>
  <c r="B302" i="61"/>
  <c r="P301" i="61"/>
  <c r="O301" i="61"/>
  <c r="N301" i="61"/>
  <c r="M301" i="61"/>
  <c r="L301" i="61"/>
  <c r="K301" i="61"/>
  <c r="J301" i="61"/>
  <c r="I301" i="61"/>
  <c r="H301" i="61"/>
  <c r="G301" i="61"/>
  <c r="F301" i="61"/>
  <c r="E301" i="61"/>
  <c r="D301" i="61"/>
  <c r="C301" i="61"/>
  <c r="B301" i="61"/>
  <c r="B289" i="61"/>
  <c r="C115" i="59" s="1"/>
  <c r="B287" i="61"/>
  <c r="D287" i="61" s="1"/>
  <c r="B286" i="61"/>
  <c r="D286" i="61" s="1"/>
  <c r="B284" i="61"/>
  <c r="D284" i="61" s="1"/>
  <c r="B283" i="61"/>
  <c r="D283" i="61" s="1"/>
  <c r="B280" i="61"/>
  <c r="D280" i="61" s="1"/>
  <c r="B279" i="61"/>
  <c r="C111" i="59" s="1"/>
  <c r="B278" i="61"/>
  <c r="D278" i="61" s="1"/>
  <c r="B274" i="61"/>
  <c r="D274" i="61" s="1"/>
  <c r="B273" i="61"/>
  <c r="D273" i="61" s="1"/>
  <c r="B271" i="61"/>
  <c r="D271" i="61" s="1"/>
  <c r="B258" i="61"/>
  <c r="C165" i="59" s="1"/>
  <c r="B253" i="61"/>
  <c r="C160" i="59" s="1"/>
  <c r="B232" i="61"/>
  <c r="C137" i="59" s="1"/>
  <c r="B221" i="61"/>
  <c r="C128" i="59" s="1"/>
  <c r="B208" i="61"/>
  <c r="C106" i="59" s="1"/>
  <c r="I143" i="59" s="1"/>
  <c r="B207" i="61"/>
  <c r="C105" i="59" s="1"/>
  <c r="B201" i="61"/>
  <c r="C99" i="59" s="1"/>
  <c r="B188" i="61"/>
  <c r="C87" i="59" s="1"/>
  <c r="J177" i="61"/>
  <c r="R115" i="57" s="1"/>
  <c r="J169" i="61"/>
  <c r="R107" i="57" s="1"/>
  <c r="J161" i="61"/>
  <c r="R99" i="57" s="1"/>
  <c r="B148" i="61"/>
  <c r="C77" i="59" s="1"/>
  <c r="B123" i="61"/>
  <c r="C46" i="59" s="1"/>
  <c r="P117" i="61"/>
  <c r="V54" i="59" s="1"/>
  <c r="O117" i="61"/>
  <c r="U54" i="59" s="1"/>
  <c r="N117" i="61"/>
  <c r="T54" i="59" s="1"/>
  <c r="M117" i="61"/>
  <c r="S54" i="59" s="1"/>
  <c r="L117" i="61"/>
  <c r="R54" i="59" s="1"/>
  <c r="K117" i="61"/>
  <c r="Q54" i="59" s="1"/>
  <c r="J117" i="61"/>
  <c r="P54" i="59" s="1"/>
  <c r="I117" i="61"/>
  <c r="O54" i="59" s="1"/>
  <c r="H117" i="61"/>
  <c r="N54" i="59" s="1"/>
  <c r="G117" i="61"/>
  <c r="M54" i="59" s="1"/>
  <c r="F117" i="61"/>
  <c r="L54" i="59" s="1"/>
  <c r="E117" i="61"/>
  <c r="K54" i="59" s="1"/>
  <c r="D117" i="61"/>
  <c r="J54" i="59" s="1"/>
  <c r="C117" i="61"/>
  <c r="I54" i="59" s="1"/>
  <c r="B117" i="61"/>
  <c r="P116" i="61"/>
  <c r="V53" i="59" s="1"/>
  <c r="O116" i="61"/>
  <c r="U53" i="59" s="1"/>
  <c r="N116" i="61"/>
  <c r="T53" i="59" s="1"/>
  <c r="M116" i="61"/>
  <c r="S53" i="59" s="1"/>
  <c r="L116" i="61"/>
  <c r="R53" i="59" s="1"/>
  <c r="K116" i="61"/>
  <c r="Q53" i="59" s="1"/>
  <c r="J116" i="61"/>
  <c r="P53" i="59" s="1"/>
  <c r="I116" i="61"/>
  <c r="O53" i="59" s="1"/>
  <c r="H116" i="61"/>
  <c r="N53" i="59" s="1"/>
  <c r="G116" i="61"/>
  <c r="M53" i="59" s="1"/>
  <c r="F116" i="61"/>
  <c r="L53" i="59" s="1"/>
  <c r="E116" i="61"/>
  <c r="K53" i="59" s="1"/>
  <c r="D116" i="61"/>
  <c r="J53" i="59" s="1"/>
  <c r="C116" i="61"/>
  <c r="I53" i="59" s="1"/>
  <c r="B116" i="61"/>
  <c r="H53" i="59" s="1"/>
  <c r="P115" i="61"/>
  <c r="V52" i="59" s="1"/>
  <c r="O115" i="61"/>
  <c r="U52" i="59" s="1"/>
  <c r="N115" i="61"/>
  <c r="T52" i="59" s="1"/>
  <c r="M115" i="61"/>
  <c r="S52" i="59" s="1"/>
  <c r="L115" i="61"/>
  <c r="R52" i="59" s="1"/>
  <c r="K115" i="61"/>
  <c r="Q52" i="59" s="1"/>
  <c r="J115" i="61"/>
  <c r="P52" i="59" s="1"/>
  <c r="I115" i="61"/>
  <c r="O52" i="59" s="1"/>
  <c r="H115" i="61"/>
  <c r="N52" i="59" s="1"/>
  <c r="G115" i="61"/>
  <c r="M52" i="59" s="1"/>
  <c r="F115" i="61"/>
  <c r="L52" i="59" s="1"/>
  <c r="E115" i="61"/>
  <c r="K52" i="59" s="1"/>
  <c r="D115" i="61"/>
  <c r="J52" i="59" s="1"/>
  <c r="C115" i="61"/>
  <c r="I52" i="59" s="1"/>
  <c r="B115" i="61"/>
  <c r="P114" i="61"/>
  <c r="O114" i="61"/>
  <c r="N114" i="61"/>
  <c r="M114" i="61"/>
  <c r="L114" i="61"/>
  <c r="K114" i="61"/>
  <c r="J114" i="61"/>
  <c r="I114" i="61"/>
  <c r="H114" i="61"/>
  <c r="G114" i="61"/>
  <c r="F114" i="61"/>
  <c r="E114" i="61"/>
  <c r="D114" i="61"/>
  <c r="C114" i="61"/>
  <c r="B114" i="61"/>
  <c r="P113" i="61"/>
  <c r="O113" i="61"/>
  <c r="N113" i="61"/>
  <c r="M113" i="61"/>
  <c r="L113" i="61"/>
  <c r="K113" i="61"/>
  <c r="J113" i="61"/>
  <c r="I113" i="61"/>
  <c r="H113" i="61"/>
  <c r="G113" i="61"/>
  <c r="F113" i="61"/>
  <c r="E113" i="61"/>
  <c r="D113" i="61"/>
  <c r="C113" i="61"/>
  <c r="B113" i="61"/>
  <c r="P112" i="61"/>
  <c r="O112" i="61"/>
  <c r="N112" i="61"/>
  <c r="M112" i="61"/>
  <c r="L112" i="61"/>
  <c r="K112" i="61"/>
  <c r="J112" i="61"/>
  <c r="I112" i="61"/>
  <c r="H112" i="61"/>
  <c r="G112" i="61"/>
  <c r="F112" i="61"/>
  <c r="E112" i="61"/>
  <c r="D112" i="61"/>
  <c r="C112" i="61"/>
  <c r="B112" i="61"/>
  <c r="P110" i="61"/>
  <c r="O110" i="61"/>
  <c r="N110" i="61"/>
  <c r="M110" i="61"/>
  <c r="L110" i="61"/>
  <c r="K110" i="61"/>
  <c r="J110" i="61"/>
  <c r="I110" i="61"/>
  <c r="H110" i="61"/>
  <c r="G110" i="61"/>
  <c r="F110" i="61"/>
  <c r="E110" i="61"/>
  <c r="D110" i="61"/>
  <c r="C110" i="61"/>
  <c r="B110" i="61"/>
  <c r="P108" i="61"/>
  <c r="O108" i="61"/>
  <c r="N108" i="61"/>
  <c r="M108" i="61"/>
  <c r="L108" i="61"/>
  <c r="K108" i="61"/>
  <c r="J108" i="61"/>
  <c r="I108" i="61"/>
  <c r="H108" i="61"/>
  <c r="G108" i="61"/>
  <c r="F108" i="61"/>
  <c r="E108" i="61"/>
  <c r="D108" i="61"/>
  <c r="C108" i="61"/>
  <c r="B108" i="61"/>
  <c r="P106" i="61"/>
  <c r="O106" i="61"/>
  <c r="N106" i="61"/>
  <c r="M106" i="61"/>
  <c r="L106" i="61"/>
  <c r="K106" i="61"/>
  <c r="J106" i="61"/>
  <c r="I106" i="61"/>
  <c r="H106" i="61"/>
  <c r="G106" i="61"/>
  <c r="F106" i="61"/>
  <c r="E106" i="61"/>
  <c r="D106" i="61"/>
  <c r="C106" i="61"/>
  <c r="B106" i="61"/>
  <c r="P104" i="61"/>
  <c r="O104" i="61"/>
  <c r="N104" i="61"/>
  <c r="M104" i="61"/>
  <c r="L104" i="61"/>
  <c r="K104" i="61"/>
  <c r="J104" i="61"/>
  <c r="I104" i="61"/>
  <c r="H104" i="61"/>
  <c r="G104" i="61"/>
  <c r="F104" i="61"/>
  <c r="E104" i="61"/>
  <c r="D104" i="61"/>
  <c r="C104" i="61"/>
  <c r="B104" i="61"/>
  <c r="P102" i="61"/>
  <c r="O102" i="61"/>
  <c r="N102" i="61"/>
  <c r="M102" i="61"/>
  <c r="L102" i="61"/>
  <c r="K102" i="61"/>
  <c r="J102" i="61"/>
  <c r="I102" i="61"/>
  <c r="H102" i="61"/>
  <c r="G102" i="61"/>
  <c r="F102" i="61"/>
  <c r="E102" i="61"/>
  <c r="D102" i="61"/>
  <c r="C102" i="61"/>
  <c r="B102" i="61"/>
  <c r="P100" i="61"/>
  <c r="O100" i="61"/>
  <c r="N100" i="61"/>
  <c r="M100" i="61"/>
  <c r="L100" i="61"/>
  <c r="K100" i="61"/>
  <c r="J100" i="61"/>
  <c r="I100" i="61"/>
  <c r="H100" i="61"/>
  <c r="G100" i="61"/>
  <c r="F100" i="61"/>
  <c r="E100" i="61"/>
  <c r="D100" i="61"/>
  <c r="C100" i="61"/>
  <c r="B100" i="61"/>
  <c r="P98" i="61"/>
  <c r="O98" i="61"/>
  <c r="N98" i="61"/>
  <c r="M98" i="61"/>
  <c r="L98" i="61"/>
  <c r="K98" i="61"/>
  <c r="J98" i="61"/>
  <c r="I98" i="61"/>
  <c r="H98" i="61"/>
  <c r="G98" i="61"/>
  <c r="F98" i="61"/>
  <c r="E98" i="61"/>
  <c r="D98" i="61"/>
  <c r="C98" i="61"/>
  <c r="B98" i="61"/>
  <c r="P97" i="61"/>
  <c r="O97" i="61"/>
  <c r="N97" i="61"/>
  <c r="M97" i="61"/>
  <c r="L97" i="61"/>
  <c r="K97" i="61"/>
  <c r="J97" i="61"/>
  <c r="I97" i="61"/>
  <c r="H97" i="61"/>
  <c r="G97" i="61"/>
  <c r="F97" i="61"/>
  <c r="E97" i="61"/>
  <c r="D97" i="61"/>
  <c r="C97" i="61"/>
  <c r="B97" i="61"/>
  <c r="B76" i="61"/>
  <c r="C28" i="59" s="1"/>
  <c r="B77" i="61" s="1"/>
  <c r="C29" i="59" s="1"/>
  <c r="B74" i="61"/>
  <c r="C26" i="59" s="1"/>
  <c r="B73" i="61"/>
  <c r="C25" i="59" s="1"/>
  <c r="B71" i="61"/>
  <c r="C23" i="59" s="1"/>
  <c r="B70" i="61"/>
  <c r="D22" i="59" s="1"/>
  <c r="B63" i="61"/>
  <c r="C59" i="59" s="1"/>
  <c r="B61" i="61"/>
  <c r="C56" i="59" s="1"/>
  <c r="B60" i="61"/>
  <c r="C55" i="59" s="1"/>
  <c r="B59" i="61"/>
  <c r="C54" i="59" s="1"/>
  <c r="B41" i="61"/>
  <c r="C11" i="59" s="1"/>
  <c r="B30" i="61"/>
  <c r="C3" i="59" s="1"/>
  <c r="P25" i="61"/>
  <c r="V37" i="59" s="1"/>
  <c r="V38" i="59" s="1"/>
  <c r="O25" i="61"/>
  <c r="U37" i="59" s="1"/>
  <c r="N25" i="61"/>
  <c r="T37" i="59" s="1"/>
  <c r="T38" i="59" s="1"/>
  <c r="M25" i="61"/>
  <c r="S37" i="59" s="1"/>
  <c r="L25" i="61"/>
  <c r="R37" i="59" s="1"/>
  <c r="R38" i="59" s="1"/>
  <c r="K25" i="61"/>
  <c r="Q37" i="59" s="1"/>
  <c r="J25" i="61"/>
  <c r="P37" i="59" s="1"/>
  <c r="I25" i="61"/>
  <c r="O37" i="59" s="1"/>
  <c r="H25" i="61"/>
  <c r="N37" i="59" s="1"/>
  <c r="N38" i="59" s="1"/>
  <c r="G25" i="61"/>
  <c r="M37" i="59" s="1"/>
  <c r="F25" i="61"/>
  <c r="L37" i="59" s="1"/>
  <c r="L38" i="59" s="1"/>
  <c r="E25" i="61"/>
  <c r="K37" i="59" s="1"/>
  <c r="D25" i="61"/>
  <c r="J37" i="59" s="1"/>
  <c r="J38" i="59" s="1"/>
  <c r="C25" i="61"/>
  <c r="I37" i="59" s="1"/>
  <c r="B25" i="61"/>
  <c r="H37" i="59" s="1"/>
  <c r="P23" i="61"/>
  <c r="V36" i="59" s="1"/>
  <c r="O23" i="61"/>
  <c r="U36" i="59" s="1"/>
  <c r="N23" i="61"/>
  <c r="T36" i="59" s="1"/>
  <c r="M23" i="61"/>
  <c r="S36" i="59" s="1"/>
  <c r="L23" i="61"/>
  <c r="R36" i="59" s="1"/>
  <c r="K23" i="61"/>
  <c r="Q36" i="59" s="1"/>
  <c r="J23" i="61"/>
  <c r="P36" i="59" s="1"/>
  <c r="I23" i="61"/>
  <c r="O36" i="59" s="1"/>
  <c r="H23" i="61"/>
  <c r="N36" i="59" s="1"/>
  <c r="G23" i="61"/>
  <c r="M36" i="59" s="1"/>
  <c r="F23" i="61"/>
  <c r="L36" i="59" s="1"/>
  <c r="E23" i="61"/>
  <c r="K36" i="59" s="1"/>
  <c r="D23" i="61"/>
  <c r="J36" i="59" s="1"/>
  <c r="C23" i="61"/>
  <c r="I36" i="59" s="1"/>
  <c r="B23" i="61"/>
  <c r="H36" i="59" s="1"/>
  <c r="P21" i="61"/>
  <c r="V34" i="59" s="1"/>
  <c r="O21" i="61"/>
  <c r="U34" i="59" s="1"/>
  <c r="N21" i="61"/>
  <c r="T34" i="59" s="1"/>
  <c r="M21" i="61"/>
  <c r="S34" i="59" s="1"/>
  <c r="L21" i="61"/>
  <c r="R34" i="59" s="1"/>
  <c r="K21" i="61"/>
  <c r="Q34" i="59" s="1"/>
  <c r="J21" i="61"/>
  <c r="P34" i="59" s="1"/>
  <c r="I21" i="61"/>
  <c r="O34" i="59" s="1"/>
  <c r="H21" i="61"/>
  <c r="N34" i="59" s="1"/>
  <c r="G21" i="61"/>
  <c r="M34" i="59" s="1"/>
  <c r="F21" i="61"/>
  <c r="L34" i="59" s="1"/>
  <c r="E21" i="61"/>
  <c r="K34" i="59" s="1"/>
  <c r="D21" i="61"/>
  <c r="J34" i="59" s="1"/>
  <c r="C21" i="61"/>
  <c r="I34" i="59" s="1"/>
  <c r="B21" i="61"/>
  <c r="H34" i="59" s="1"/>
  <c r="Q20" i="61"/>
  <c r="Q19" i="61"/>
  <c r="P308" i="60"/>
  <c r="O308" i="60"/>
  <c r="N308" i="60"/>
  <c r="M308" i="60"/>
  <c r="L308" i="60"/>
  <c r="K308" i="60"/>
  <c r="J308" i="60"/>
  <c r="I308" i="60"/>
  <c r="H308" i="60"/>
  <c r="G308" i="60"/>
  <c r="F308" i="60"/>
  <c r="E308" i="60"/>
  <c r="D308" i="60"/>
  <c r="C308" i="60"/>
  <c r="B308" i="60"/>
  <c r="P307" i="60"/>
  <c r="O307" i="60"/>
  <c r="N307" i="60"/>
  <c r="M307" i="60"/>
  <c r="L307" i="60"/>
  <c r="K307" i="60"/>
  <c r="J307" i="60"/>
  <c r="I307" i="60"/>
  <c r="H307" i="60"/>
  <c r="G307" i="60"/>
  <c r="F307" i="60"/>
  <c r="E307" i="60"/>
  <c r="D307" i="60"/>
  <c r="C307" i="60"/>
  <c r="B307" i="60"/>
  <c r="P306" i="60"/>
  <c r="O306" i="60"/>
  <c r="N306" i="60"/>
  <c r="M306" i="60"/>
  <c r="L306" i="60"/>
  <c r="K306" i="60"/>
  <c r="J306" i="60"/>
  <c r="I306" i="60"/>
  <c r="H306" i="60"/>
  <c r="G306" i="60"/>
  <c r="F306" i="60"/>
  <c r="E306" i="60"/>
  <c r="D306" i="60"/>
  <c r="C306" i="60"/>
  <c r="B306" i="60"/>
  <c r="P305" i="60"/>
  <c r="O305" i="60"/>
  <c r="N305" i="60"/>
  <c r="M305" i="60"/>
  <c r="L305" i="60"/>
  <c r="K305" i="60"/>
  <c r="J305" i="60"/>
  <c r="I305" i="60"/>
  <c r="H305" i="60"/>
  <c r="G305" i="60"/>
  <c r="F305" i="60"/>
  <c r="E305" i="60"/>
  <c r="D305" i="60"/>
  <c r="C305" i="60"/>
  <c r="B305" i="60"/>
  <c r="P304" i="60"/>
  <c r="O304" i="60"/>
  <c r="N304" i="60"/>
  <c r="M304" i="60"/>
  <c r="L304" i="60"/>
  <c r="K304" i="60"/>
  <c r="J304" i="60"/>
  <c r="I304" i="60"/>
  <c r="H304" i="60"/>
  <c r="G304" i="60"/>
  <c r="F304" i="60"/>
  <c r="E304" i="60"/>
  <c r="D304" i="60"/>
  <c r="C304" i="60"/>
  <c r="B304" i="60"/>
  <c r="P303" i="60"/>
  <c r="O303" i="60"/>
  <c r="N303" i="60"/>
  <c r="M303" i="60"/>
  <c r="L303" i="60"/>
  <c r="K303" i="60"/>
  <c r="J303" i="60"/>
  <c r="I303" i="60"/>
  <c r="H303" i="60"/>
  <c r="G303" i="60"/>
  <c r="F303" i="60"/>
  <c r="E303" i="60"/>
  <c r="D303" i="60"/>
  <c r="C303" i="60"/>
  <c r="B303" i="60"/>
  <c r="P302" i="60"/>
  <c r="O302" i="60"/>
  <c r="N302" i="60"/>
  <c r="M302" i="60"/>
  <c r="L302" i="60"/>
  <c r="K302" i="60"/>
  <c r="J302" i="60"/>
  <c r="I302" i="60"/>
  <c r="H302" i="60"/>
  <c r="G302" i="60"/>
  <c r="F302" i="60"/>
  <c r="E302" i="60"/>
  <c r="D302" i="60"/>
  <c r="C302" i="60"/>
  <c r="B302" i="60"/>
  <c r="P301" i="60"/>
  <c r="O301" i="60"/>
  <c r="N301" i="60"/>
  <c r="M301" i="60"/>
  <c r="L301" i="60"/>
  <c r="K301" i="60"/>
  <c r="J301" i="60"/>
  <c r="I301" i="60"/>
  <c r="H301" i="60"/>
  <c r="G301" i="60"/>
  <c r="F301" i="60"/>
  <c r="E301" i="60"/>
  <c r="D301" i="60"/>
  <c r="C301" i="60"/>
  <c r="B301" i="60"/>
  <c r="B289" i="60"/>
  <c r="D289" i="60" s="1"/>
  <c r="B287" i="60"/>
  <c r="B114" i="59" s="1"/>
  <c r="B286" i="60"/>
  <c r="D286" i="60" s="1"/>
  <c r="B284" i="60"/>
  <c r="D284" i="60" s="1"/>
  <c r="B283" i="60"/>
  <c r="D283" i="60" s="1"/>
  <c r="B280" i="60"/>
  <c r="B112" i="59" s="1"/>
  <c r="B279" i="60"/>
  <c r="D279" i="60" s="1"/>
  <c r="B278" i="60"/>
  <c r="B110" i="59" s="1"/>
  <c r="B274" i="60"/>
  <c r="B70" i="59" s="1"/>
  <c r="B273" i="60"/>
  <c r="D273" i="60" s="1"/>
  <c r="B271" i="60"/>
  <c r="B69" i="59" s="1"/>
  <c r="B258" i="60"/>
  <c r="B165" i="59" s="1"/>
  <c r="B221" i="60"/>
  <c r="B128" i="59" s="1"/>
  <c r="B208" i="60"/>
  <c r="B106" i="59" s="1"/>
  <c r="B207" i="60"/>
  <c r="B105" i="59" s="1"/>
  <c r="B201" i="60"/>
  <c r="B99" i="59" s="1"/>
  <c r="B188" i="60"/>
  <c r="B87" i="59" s="1"/>
  <c r="J176" i="60"/>
  <c r="M114" i="57" s="1"/>
  <c r="J168" i="60"/>
  <c r="M106" i="57" s="1"/>
  <c r="J160" i="60"/>
  <c r="M98" i="57" s="1"/>
  <c r="B148" i="60"/>
  <c r="B77" i="59" s="1"/>
  <c r="B146" i="60"/>
  <c r="B75" i="59" s="1"/>
  <c r="B145" i="60"/>
  <c r="B74" i="59" s="1"/>
  <c r="B123" i="60"/>
  <c r="B46" i="59" s="1"/>
  <c r="P117" i="60"/>
  <c r="V27" i="59" s="1"/>
  <c r="O117" i="60"/>
  <c r="U27" i="59" s="1"/>
  <c r="N117" i="60"/>
  <c r="T27" i="59" s="1"/>
  <c r="M117" i="60"/>
  <c r="S27" i="59" s="1"/>
  <c r="L117" i="60"/>
  <c r="R27" i="59" s="1"/>
  <c r="K117" i="60"/>
  <c r="Q27" i="59" s="1"/>
  <c r="J117" i="60"/>
  <c r="P27" i="59" s="1"/>
  <c r="I117" i="60"/>
  <c r="O27" i="59" s="1"/>
  <c r="H117" i="60"/>
  <c r="N27" i="59" s="1"/>
  <c r="G117" i="60"/>
  <c r="M27" i="59" s="1"/>
  <c r="F117" i="60"/>
  <c r="L27" i="59" s="1"/>
  <c r="E117" i="60"/>
  <c r="K27" i="59" s="1"/>
  <c r="D117" i="60"/>
  <c r="J27" i="59" s="1"/>
  <c r="C117" i="60"/>
  <c r="I27" i="59" s="1"/>
  <c r="B117" i="60"/>
  <c r="H27" i="59" s="1"/>
  <c r="P116" i="60"/>
  <c r="V26" i="59" s="1"/>
  <c r="O116" i="60"/>
  <c r="U26" i="59" s="1"/>
  <c r="N116" i="60"/>
  <c r="T26" i="59" s="1"/>
  <c r="M116" i="60"/>
  <c r="S26" i="59" s="1"/>
  <c r="L116" i="60"/>
  <c r="R26" i="59" s="1"/>
  <c r="K116" i="60"/>
  <c r="Q26" i="59" s="1"/>
  <c r="J116" i="60"/>
  <c r="P26" i="59" s="1"/>
  <c r="I116" i="60"/>
  <c r="O26" i="59" s="1"/>
  <c r="H116" i="60"/>
  <c r="N26" i="59" s="1"/>
  <c r="G116" i="60"/>
  <c r="M26" i="59" s="1"/>
  <c r="F116" i="60"/>
  <c r="L26" i="59" s="1"/>
  <c r="E116" i="60"/>
  <c r="K26" i="59" s="1"/>
  <c r="D116" i="60"/>
  <c r="J26" i="59" s="1"/>
  <c r="C116" i="60"/>
  <c r="I26" i="59" s="1"/>
  <c r="B116" i="60"/>
  <c r="P115" i="60"/>
  <c r="V25" i="59" s="1"/>
  <c r="O115" i="60"/>
  <c r="U25" i="59" s="1"/>
  <c r="N115" i="60"/>
  <c r="T25" i="59" s="1"/>
  <c r="M115" i="60"/>
  <c r="S25" i="59" s="1"/>
  <c r="L115" i="60"/>
  <c r="R25" i="59" s="1"/>
  <c r="K115" i="60"/>
  <c r="Q25" i="59" s="1"/>
  <c r="J115" i="60"/>
  <c r="P25" i="59" s="1"/>
  <c r="I115" i="60"/>
  <c r="O25" i="59" s="1"/>
  <c r="H115" i="60"/>
  <c r="N25" i="59" s="1"/>
  <c r="G115" i="60"/>
  <c r="M25" i="59" s="1"/>
  <c r="F115" i="60"/>
  <c r="L25" i="59" s="1"/>
  <c r="E115" i="60"/>
  <c r="K25" i="59" s="1"/>
  <c r="D115" i="60"/>
  <c r="J25" i="59" s="1"/>
  <c r="C115" i="60"/>
  <c r="I25" i="59" s="1"/>
  <c r="B115" i="60"/>
  <c r="H25" i="59" s="1"/>
  <c r="P114" i="60"/>
  <c r="O114" i="60"/>
  <c r="N114" i="60"/>
  <c r="M114" i="60"/>
  <c r="L114" i="60"/>
  <c r="K114" i="60"/>
  <c r="J114" i="60"/>
  <c r="I114" i="60"/>
  <c r="H114" i="60"/>
  <c r="G114" i="60"/>
  <c r="F114" i="60"/>
  <c r="E114" i="60"/>
  <c r="D114" i="60"/>
  <c r="C114" i="60"/>
  <c r="B114" i="60"/>
  <c r="P113" i="60"/>
  <c r="O113" i="60"/>
  <c r="N113" i="60"/>
  <c r="M113" i="60"/>
  <c r="L113" i="60"/>
  <c r="K113" i="60"/>
  <c r="J113" i="60"/>
  <c r="I113" i="60"/>
  <c r="H113" i="60"/>
  <c r="G113" i="60"/>
  <c r="F113" i="60"/>
  <c r="E113" i="60"/>
  <c r="D113" i="60"/>
  <c r="C113" i="60"/>
  <c r="B113" i="60"/>
  <c r="P112" i="60"/>
  <c r="O112" i="60"/>
  <c r="N112" i="60"/>
  <c r="M112" i="60"/>
  <c r="L112" i="60"/>
  <c r="K112" i="60"/>
  <c r="J112" i="60"/>
  <c r="I112" i="60"/>
  <c r="H112" i="60"/>
  <c r="G112" i="60"/>
  <c r="F112" i="60"/>
  <c r="E112" i="60"/>
  <c r="D112" i="60"/>
  <c r="C112" i="60"/>
  <c r="B112" i="60"/>
  <c r="P110" i="60"/>
  <c r="O110" i="60"/>
  <c r="N110" i="60"/>
  <c r="M110" i="60"/>
  <c r="L110" i="60"/>
  <c r="K110" i="60"/>
  <c r="J110" i="60"/>
  <c r="I110" i="60"/>
  <c r="H110" i="60"/>
  <c r="G110" i="60"/>
  <c r="F110" i="60"/>
  <c r="E110" i="60"/>
  <c r="D110" i="60"/>
  <c r="C110" i="60"/>
  <c r="B110" i="60"/>
  <c r="P108" i="60"/>
  <c r="O108" i="60"/>
  <c r="N108" i="60"/>
  <c r="M108" i="60"/>
  <c r="L108" i="60"/>
  <c r="K108" i="60"/>
  <c r="J108" i="60"/>
  <c r="I108" i="60"/>
  <c r="H108" i="60"/>
  <c r="G108" i="60"/>
  <c r="F108" i="60"/>
  <c r="E108" i="60"/>
  <c r="D108" i="60"/>
  <c r="C108" i="60"/>
  <c r="B108" i="60"/>
  <c r="P106" i="60"/>
  <c r="O106" i="60"/>
  <c r="N106" i="60"/>
  <c r="M106" i="60"/>
  <c r="L106" i="60"/>
  <c r="K106" i="60"/>
  <c r="J106" i="60"/>
  <c r="I106" i="60"/>
  <c r="H106" i="60"/>
  <c r="G106" i="60"/>
  <c r="F106" i="60"/>
  <c r="E106" i="60"/>
  <c r="D106" i="60"/>
  <c r="C106" i="60"/>
  <c r="B106" i="60"/>
  <c r="P104" i="60"/>
  <c r="O104" i="60"/>
  <c r="N104" i="60"/>
  <c r="M104" i="60"/>
  <c r="L104" i="60"/>
  <c r="K104" i="60"/>
  <c r="J104" i="60"/>
  <c r="I104" i="60"/>
  <c r="H104" i="60"/>
  <c r="G104" i="60"/>
  <c r="F104" i="60"/>
  <c r="E104" i="60"/>
  <c r="D104" i="60"/>
  <c r="C104" i="60"/>
  <c r="B104" i="60"/>
  <c r="P102" i="60"/>
  <c r="O102" i="60"/>
  <c r="N102" i="60"/>
  <c r="M102" i="60"/>
  <c r="L102" i="60"/>
  <c r="K102" i="60"/>
  <c r="J102" i="60"/>
  <c r="I102" i="60"/>
  <c r="H102" i="60"/>
  <c r="G102" i="60"/>
  <c r="F102" i="60"/>
  <c r="E102" i="60"/>
  <c r="D102" i="60"/>
  <c r="C102" i="60"/>
  <c r="B102" i="60"/>
  <c r="P100" i="60"/>
  <c r="O100" i="60"/>
  <c r="N100" i="60"/>
  <c r="M100" i="60"/>
  <c r="L100" i="60"/>
  <c r="K100" i="60"/>
  <c r="J100" i="60"/>
  <c r="I100" i="60"/>
  <c r="H100" i="60"/>
  <c r="G100" i="60"/>
  <c r="F100" i="60"/>
  <c r="E100" i="60"/>
  <c r="D100" i="60"/>
  <c r="C100" i="60"/>
  <c r="B100" i="60"/>
  <c r="P98" i="60"/>
  <c r="O98" i="60"/>
  <c r="N98" i="60"/>
  <c r="M98" i="60"/>
  <c r="L98" i="60"/>
  <c r="K98" i="60"/>
  <c r="J98" i="60"/>
  <c r="I98" i="60"/>
  <c r="H98" i="60"/>
  <c r="G98" i="60"/>
  <c r="F98" i="60"/>
  <c r="E98" i="60"/>
  <c r="D98" i="60"/>
  <c r="C98" i="60"/>
  <c r="B98" i="60"/>
  <c r="P97" i="60"/>
  <c r="O97" i="60"/>
  <c r="N97" i="60"/>
  <c r="M97" i="60"/>
  <c r="L97" i="60"/>
  <c r="K97" i="60"/>
  <c r="J97" i="60"/>
  <c r="I97" i="60"/>
  <c r="H97" i="60"/>
  <c r="G97" i="60"/>
  <c r="F97" i="60"/>
  <c r="E97" i="60"/>
  <c r="D97" i="60"/>
  <c r="C97" i="60"/>
  <c r="B97" i="60"/>
  <c r="B76" i="60"/>
  <c r="B28" i="59" s="1"/>
  <c r="B77" i="60" s="1"/>
  <c r="B29" i="59" s="1"/>
  <c r="B74" i="60"/>
  <c r="B26" i="59" s="1"/>
  <c r="B73" i="60"/>
  <c r="B25" i="59" s="1"/>
  <c r="B71" i="60"/>
  <c r="B23" i="59" s="1"/>
  <c r="B70" i="60"/>
  <c r="B22" i="59" s="1"/>
  <c r="B63" i="60"/>
  <c r="B59" i="59" s="1"/>
  <c r="B61" i="60"/>
  <c r="B56" i="59" s="1"/>
  <c r="B60" i="60"/>
  <c r="B55" i="59" s="1"/>
  <c r="B59" i="60"/>
  <c r="B54" i="59" s="1"/>
  <c r="B39" i="60"/>
  <c r="B9" i="59" s="1"/>
  <c r="B38" i="60"/>
  <c r="B8" i="59" s="1"/>
  <c r="B30" i="60"/>
  <c r="B3" i="59" s="1"/>
  <c r="B153" i="59" s="1"/>
  <c r="P25" i="60"/>
  <c r="V10" i="59" s="1"/>
  <c r="O25" i="60"/>
  <c r="U10" i="59" s="1"/>
  <c r="U11" i="59" s="1"/>
  <c r="N25" i="60"/>
  <c r="T10" i="59" s="1"/>
  <c r="M25" i="60"/>
  <c r="S10" i="59" s="1"/>
  <c r="S11" i="59" s="1"/>
  <c r="L25" i="60"/>
  <c r="R10" i="59" s="1"/>
  <c r="K25" i="60"/>
  <c r="Q10" i="59" s="1"/>
  <c r="J25" i="60"/>
  <c r="P10" i="59" s="1"/>
  <c r="I25" i="60"/>
  <c r="O10" i="59" s="1"/>
  <c r="O11" i="59" s="1"/>
  <c r="H25" i="60"/>
  <c r="N10" i="59" s="1"/>
  <c r="G25" i="60"/>
  <c r="M10" i="59" s="1"/>
  <c r="M11" i="59" s="1"/>
  <c r="F25" i="60"/>
  <c r="L10" i="59" s="1"/>
  <c r="E25" i="60"/>
  <c r="K10" i="59" s="1"/>
  <c r="K11" i="59" s="1"/>
  <c r="D25" i="60"/>
  <c r="J10" i="59" s="1"/>
  <c r="C25" i="60"/>
  <c r="I10" i="59" s="1"/>
  <c r="B25" i="60"/>
  <c r="H10" i="59" s="1"/>
  <c r="P23" i="60"/>
  <c r="V9" i="59" s="1"/>
  <c r="O23" i="60"/>
  <c r="U9" i="59" s="1"/>
  <c r="N23" i="60"/>
  <c r="T9" i="59" s="1"/>
  <c r="M23" i="60"/>
  <c r="S9" i="59" s="1"/>
  <c r="L23" i="60"/>
  <c r="R9" i="59" s="1"/>
  <c r="K23" i="60"/>
  <c r="Q9" i="59" s="1"/>
  <c r="J23" i="60"/>
  <c r="P9" i="59" s="1"/>
  <c r="I23" i="60"/>
  <c r="O9" i="59" s="1"/>
  <c r="H23" i="60"/>
  <c r="N9" i="59" s="1"/>
  <c r="G23" i="60"/>
  <c r="M9" i="59" s="1"/>
  <c r="F23" i="60"/>
  <c r="L9" i="59" s="1"/>
  <c r="E23" i="60"/>
  <c r="K9" i="59" s="1"/>
  <c r="D23" i="60"/>
  <c r="J9" i="59" s="1"/>
  <c r="C23" i="60"/>
  <c r="I9" i="59" s="1"/>
  <c r="B23" i="60"/>
  <c r="H9" i="59" s="1"/>
  <c r="P21" i="60"/>
  <c r="V7" i="59" s="1"/>
  <c r="O21" i="60"/>
  <c r="U7" i="59" s="1"/>
  <c r="N21" i="60"/>
  <c r="T7" i="59" s="1"/>
  <c r="M21" i="60"/>
  <c r="S7" i="59" s="1"/>
  <c r="L21" i="60"/>
  <c r="R7" i="59" s="1"/>
  <c r="K21" i="60"/>
  <c r="Q7" i="59" s="1"/>
  <c r="J21" i="60"/>
  <c r="P7" i="59" s="1"/>
  <c r="I21" i="60"/>
  <c r="O7" i="59" s="1"/>
  <c r="H21" i="60"/>
  <c r="N7" i="59" s="1"/>
  <c r="G21" i="60"/>
  <c r="M7" i="59" s="1"/>
  <c r="F21" i="60"/>
  <c r="L7" i="59" s="1"/>
  <c r="E21" i="60"/>
  <c r="K7" i="59" s="1"/>
  <c r="D21" i="60"/>
  <c r="J7" i="59" s="1"/>
  <c r="C21" i="60"/>
  <c r="I7" i="59" s="1"/>
  <c r="B21" i="60"/>
  <c r="H7" i="59" s="1"/>
  <c r="Q20" i="60"/>
  <c r="Q19" i="60"/>
  <c r="F28" i="44"/>
  <c r="F21" i="44"/>
  <c r="J171" i="60" l="1"/>
  <c r="M109" i="57" s="1"/>
  <c r="J164" i="61"/>
  <c r="R102" i="57" s="1"/>
  <c r="J165" i="61"/>
  <c r="R103" i="57" s="1"/>
  <c r="J177" i="63"/>
  <c r="AB115" i="57" s="1"/>
  <c r="J172" i="60"/>
  <c r="M110" i="57" s="1"/>
  <c r="J165" i="62"/>
  <c r="W103" i="57" s="1"/>
  <c r="J161" i="63"/>
  <c r="AB99" i="57" s="1"/>
  <c r="J166" i="64"/>
  <c r="AG104" i="57" s="1"/>
  <c r="J159" i="60"/>
  <c r="M97" i="57" s="1"/>
  <c r="J175" i="60"/>
  <c r="M113" i="57" s="1"/>
  <c r="J168" i="61"/>
  <c r="R106" i="57" s="1"/>
  <c r="J168" i="62"/>
  <c r="W106" i="57" s="1"/>
  <c r="Q303" i="62"/>
  <c r="J162" i="63"/>
  <c r="AB100" i="57" s="1"/>
  <c r="M119" i="59"/>
  <c r="U119" i="59"/>
  <c r="J169" i="64"/>
  <c r="AG107" i="57" s="1"/>
  <c r="K129" i="59"/>
  <c r="B64" i="63"/>
  <c r="E60" i="59" s="1"/>
  <c r="J170" i="64"/>
  <c r="AG108" i="57" s="1"/>
  <c r="J163" i="60"/>
  <c r="M101" i="57" s="1"/>
  <c r="B145" i="61"/>
  <c r="C74" i="59" s="1"/>
  <c r="J172" i="61"/>
  <c r="R110" i="57" s="1"/>
  <c r="Q302" i="61"/>
  <c r="Q116" i="62"/>
  <c r="J172" i="62"/>
  <c r="W110" i="57" s="1"/>
  <c r="B220" i="62"/>
  <c r="D126" i="59" s="1"/>
  <c r="B222" i="62" s="1"/>
  <c r="D127" i="59" s="1"/>
  <c r="J166" i="63"/>
  <c r="AB104" i="57" s="1"/>
  <c r="F174" i="64"/>
  <c r="AE112" i="57" s="1"/>
  <c r="J164" i="60"/>
  <c r="M102" i="57" s="1"/>
  <c r="J173" i="61"/>
  <c r="R111" i="57" s="1"/>
  <c r="J173" i="62"/>
  <c r="W111" i="57" s="1"/>
  <c r="J169" i="63"/>
  <c r="AB107" i="57" s="1"/>
  <c r="J158" i="64"/>
  <c r="AG96" i="57" s="1"/>
  <c r="F176" i="64"/>
  <c r="AE114" i="57" s="1"/>
  <c r="B123" i="63"/>
  <c r="E46" i="59" s="1"/>
  <c r="J167" i="60"/>
  <c r="M105" i="57" s="1"/>
  <c r="J160" i="61"/>
  <c r="R98" i="57" s="1"/>
  <c r="J176" i="61"/>
  <c r="R114" i="57" s="1"/>
  <c r="B252" i="61"/>
  <c r="C159" i="59" s="1"/>
  <c r="J160" i="62"/>
  <c r="W98" i="57" s="1"/>
  <c r="J176" i="62"/>
  <c r="W114" i="57" s="1"/>
  <c r="J170" i="63"/>
  <c r="AB108" i="57" s="1"/>
  <c r="J161" i="64"/>
  <c r="AG99" i="57" s="1"/>
  <c r="B220" i="60"/>
  <c r="B126" i="59" s="1"/>
  <c r="B222" i="60" s="1"/>
  <c r="B127" i="59" s="1"/>
  <c r="J164" i="62"/>
  <c r="W102" i="57" s="1"/>
  <c r="J158" i="63"/>
  <c r="AB96" i="57" s="1"/>
  <c r="J174" i="63"/>
  <c r="AB112" i="57" s="1"/>
  <c r="L174" i="63" s="1"/>
  <c r="K119" i="59"/>
  <c r="S119" i="59"/>
  <c r="J165" i="64"/>
  <c r="AG103" i="57" s="1"/>
  <c r="V102" i="59"/>
  <c r="AA12" i="16"/>
  <c r="D37" i="44"/>
  <c r="B251" i="60"/>
  <c r="B158" i="59" s="1"/>
  <c r="B72" i="60"/>
  <c r="B24" i="59" s="1"/>
  <c r="F160" i="60"/>
  <c r="K98" i="57" s="1"/>
  <c r="F164" i="60"/>
  <c r="K102" i="57" s="1"/>
  <c r="F168" i="60"/>
  <c r="K106" i="57" s="1"/>
  <c r="F172" i="60"/>
  <c r="K110" i="57" s="1"/>
  <c r="F176" i="60"/>
  <c r="K114" i="57" s="1"/>
  <c r="Q304" i="60"/>
  <c r="F161" i="61"/>
  <c r="P99" i="57" s="1"/>
  <c r="F165" i="61"/>
  <c r="P103" i="57" s="1"/>
  <c r="L165" i="61" s="1"/>
  <c r="F169" i="61"/>
  <c r="P107" i="57" s="1"/>
  <c r="F173" i="61"/>
  <c r="P111" i="57" s="1"/>
  <c r="F177" i="61"/>
  <c r="P115" i="57" s="1"/>
  <c r="I65" i="59"/>
  <c r="Q65" i="59"/>
  <c r="F161" i="62"/>
  <c r="U99" i="57" s="1"/>
  <c r="F165" i="62"/>
  <c r="U103" i="57" s="1"/>
  <c r="F169" i="62"/>
  <c r="U107" i="57" s="1"/>
  <c r="L169" i="62" s="1"/>
  <c r="F173" i="62"/>
  <c r="U111" i="57" s="1"/>
  <c r="F177" i="62"/>
  <c r="U115" i="57" s="1"/>
  <c r="P92" i="59"/>
  <c r="Q115" i="63"/>
  <c r="F158" i="63"/>
  <c r="Z96" i="57" s="1"/>
  <c r="L158" i="63" s="1"/>
  <c r="F162" i="63"/>
  <c r="Z100" i="57" s="1"/>
  <c r="F166" i="63"/>
  <c r="Z104" i="57" s="1"/>
  <c r="F170" i="63"/>
  <c r="Z108" i="57" s="1"/>
  <c r="L170" i="63" s="1"/>
  <c r="F174" i="63"/>
  <c r="Z112" i="57" s="1"/>
  <c r="Q113" i="64"/>
  <c r="F158" i="64"/>
  <c r="AE96" i="57" s="1"/>
  <c r="L158" i="64" s="1"/>
  <c r="F162" i="64"/>
  <c r="AE100" i="57" s="1"/>
  <c r="F166" i="64"/>
  <c r="AE104" i="57" s="1"/>
  <c r="F170" i="64"/>
  <c r="AE108" i="57" s="1"/>
  <c r="F175" i="64"/>
  <c r="AE113" i="57" s="1"/>
  <c r="B220" i="64"/>
  <c r="F126" i="59" s="1"/>
  <c r="B222" i="64" s="1"/>
  <c r="F127" i="59" s="1"/>
  <c r="L143" i="59" s="1"/>
  <c r="Q21" i="59"/>
  <c r="I11" i="59"/>
  <c r="Q11" i="59"/>
  <c r="F161" i="60"/>
  <c r="K99" i="57" s="1"/>
  <c r="F165" i="60"/>
  <c r="K103" i="57" s="1"/>
  <c r="F169" i="60"/>
  <c r="K107" i="57" s="1"/>
  <c r="F173" i="60"/>
  <c r="K111" i="57" s="1"/>
  <c r="F177" i="60"/>
  <c r="K115" i="57" s="1"/>
  <c r="L177" i="60" s="1"/>
  <c r="Q302" i="60"/>
  <c r="P38" i="59"/>
  <c r="F158" i="61"/>
  <c r="P96" i="57" s="1"/>
  <c r="F162" i="61"/>
  <c r="P100" i="57" s="1"/>
  <c r="F166" i="61"/>
  <c r="P104" i="57" s="1"/>
  <c r="F170" i="61"/>
  <c r="P108" i="57" s="1"/>
  <c r="F174" i="61"/>
  <c r="P112" i="57" s="1"/>
  <c r="K65" i="59"/>
  <c r="S65" i="59"/>
  <c r="F158" i="62"/>
  <c r="U96" i="57" s="1"/>
  <c r="F162" i="62"/>
  <c r="U100" i="57" s="1"/>
  <c r="F166" i="62"/>
  <c r="U104" i="57" s="1"/>
  <c r="F170" i="62"/>
  <c r="U108" i="57" s="1"/>
  <c r="F174" i="62"/>
  <c r="U112" i="57" s="1"/>
  <c r="J92" i="59"/>
  <c r="R92" i="59"/>
  <c r="Q113" i="63"/>
  <c r="F159" i="63"/>
  <c r="Z97" i="57" s="1"/>
  <c r="F163" i="63"/>
  <c r="Z101" i="57" s="1"/>
  <c r="F167" i="63"/>
  <c r="Z105" i="57" s="1"/>
  <c r="F171" i="63"/>
  <c r="Z109" i="57" s="1"/>
  <c r="F175" i="63"/>
  <c r="Z113" i="57" s="1"/>
  <c r="Q305" i="63"/>
  <c r="F159" i="64"/>
  <c r="AE97" i="57" s="1"/>
  <c r="L159" i="64" s="1"/>
  <c r="F163" i="64"/>
  <c r="AE101" i="57" s="1"/>
  <c r="F167" i="64"/>
  <c r="AE105" i="57" s="1"/>
  <c r="F171" i="64"/>
  <c r="AE109" i="57" s="1"/>
  <c r="F177" i="64"/>
  <c r="AE115" i="57" s="1"/>
  <c r="N48" i="59"/>
  <c r="Q307" i="61"/>
  <c r="Q308" i="62"/>
  <c r="J161" i="60"/>
  <c r="M99" i="57" s="1"/>
  <c r="L161" i="60" s="1"/>
  <c r="J177" i="60"/>
  <c r="M115" i="57" s="1"/>
  <c r="B43" i="61"/>
  <c r="C58" i="59" s="1"/>
  <c r="B64" i="61" s="1"/>
  <c r="C60" i="59" s="1"/>
  <c r="J158" i="61"/>
  <c r="R96" i="57" s="1"/>
  <c r="J166" i="61"/>
  <c r="R104" i="57" s="1"/>
  <c r="L166" i="61" s="1"/>
  <c r="J174" i="61"/>
  <c r="R112" i="57" s="1"/>
  <c r="Q112" i="62"/>
  <c r="J166" i="62"/>
  <c r="W104" i="57" s="1"/>
  <c r="J159" i="63"/>
  <c r="AB97" i="57" s="1"/>
  <c r="J167" i="63"/>
  <c r="AB105" i="57" s="1"/>
  <c r="J175" i="63"/>
  <c r="AB113" i="57" s="1"/>
  <c r="J159" i="64"/>
  <c r="AG97" i="57" s="1"/>
  <c r="J171" i="64"/>
  <c r="AG109" i="57" s="1"/>
  <c r="L171" i="64" s="1"/>
  <c r="U14" i="12"/>
  <c r="Q114" i="62"/>
  <c r="Q307" i="64"/>
  <c r="Q113" i="60"/>
  <c r="F158" i="60"/>
  <c r="K96" i="57" s="1"/>
  <c r="F162" i="60"/>
  <c r="K100" i="57" s="1"/>
  <c r="F166" i="60"/>
  <c r="K104" i="57" s="1"/>
  <c r="F170" i="60"/>
  <c r="K108" i="57" s="1"/>
  <c r="F174" i="60"/>
  <c r="K112" i="57" s="1"/>
  <c r="Q307" i="60"/>
  <c r="F159" i="61"/>
  <c r="P97" i="57" s="1"/>
  <c r="F163" i="61"/>
  <c r="P101" i="57" s="1"/>
  <c r="F167" i="61"/>
  <c r="P105" i="57" s="1"/>
  <c r="F171" i="61"/>
  <c r="P109" i="57" s="1"/>
  <c r="F175" i="61"/>
  <c r="P113" i="57" s="1"/>
  <c r="M65" i="59"/>
  <c r="U65" i="59"/>
  <c r="F159" i="62"/>
  <c r="U97" i="57" s="1"/>
  <c r="F163" i="62"/>
  <c r="U101" i="57" s="1"/>
  <c r="L163" i="62" s="1"/>
  <c r="F167" i="62"/>
  <c r="U105" i="57" s="1"/>
  <c r="F171" i="62"/>
  <c r="U109" i="57" s="1"/>
  <c r="F175" i="62"/>
  <c r="U113" i="57" s="1"/>
  <c r="L92" i="59"/>
  <c r="T92" i="59"/>
  <c r="F160" i="63"/>
  <c r="Z98" i="57" s="1"/>
  <c r="F164" i="63"/>
  <c r="Z102" i="57" s="1"/>
  <c r="F168" i="63"/>
  <c r="Z106" i="57" s="1"/>
  <c r="F172" i="63"/>
  <c r="Z110" i="57" s="1"/>
  <c r="F176" i="63"/>
  <c r="Z114" i="57" s="1"/>
  <c r="Q303" i="63"/>
  <c r="O119" i="59"/>
  <c r="F153" i="59"/>
  <c r="B251" i="64" s="1"/>
  <c r="F158" i="59" s="1"/>
  <c r="B72" i="64"/>
  <c r="F24" i="59" s="1"/>
  <c r="B144" i="64"/>
  <c r="F73" i="59" s="1"/>
  <c r="F160" i="64"/>
  <c r="AE98" i="57" s="1"/>
  <c r="F164" i="64"/>
  <c r="AE102" i="57" s="1"/>
  <c r="F168" i="64"/>
  <c r="AE106" i="57" s="1"/>
  <c r="F172" i="64"/>
  <c r="AE110" i="57" s="1"/>
  <c r="V48" i="59"/>
  <c r="N102" i="59"/>
  <c r="L161" i="61"/>
  <c r="J165" i="60"/>
  <c r="M103" i="57" s="1"/>
  <c r="J173" i="60"/>
  <c r="M111" i="57" s="1"/>
  <c r="Q114" i="61"/>
  <c r="J162" i="61"/>
  <c r="R100" i="57" s="1"/>
  <c r="L162" i="61" s="1"/>
  <c r="J162" i="62"/>
  <c r="W100" i="57" s="1"/>
  <c r="J170" i="62"/>
  <c r="W108" i="57" s="1"/>
  <c r="J163" i="63"/>
  <c r="AB101" i="57" s="1"/>
  <c r="J163" i="64"/>
  <c r="AG101" i="57" s="1"/>
  <c r="J167" i="64"/>
  <c r="AG105" i="57" s="1"/>
  <c r="J158" i="60"/>
  <c r="M96" i="57" s="1"/>
  <c r="L158" i="60" s="1"/>
  <c r="J162" i="60"/>
  <c r="M100" i="57" s="1"/>
  <c r="J166" i="60"/>
  <c r="M104" i="57" s="1"/>
  <c r="J170" i="60"/>
  <c r="M108" i="57" s="1"/>
  <c r="J174" i="60"/>
  <c r="M112" i="57" s="1"/>
  <c r="L174" i="60" s="1"/>
  <c r="B253" i="60"/>
  <c r="B160" i="59" s="1"/>
  <c r="J159" i="61"/>
  <c r="R97" i="57" s="1"/>
  <c r="J163" i="61"/>
  <c r="R101" i="57" s="1"/>
  <c r="L163" i="61" s="1"/>
  <c r="J167" i="61"/>
  <c r="R105" i="57" s="1"/>
  <c r="J171" i="61"/>
  <c r="R109" i="57" s="1"/>
  <c r="J175" i="61"/>
  <c r="R113" i="57" s="1"/>
  <c r="Q304" i="61"/>
  <c r="J159" i="62"/>
  <c r="W97" i="57" s="1"/>
  <c r="J163" i="62"/>
  <c r="W101" i="57" s="1"/>
  <c r="J167" i="62"/>
  <c r="W105" i="57" s="1"/>
  <c r="J171" i="62"/>
  <c r="W109" i="57" s="1"/>
  <c r="J175" i="62"/>
  <c r="W113" i="57" s="1"/>
  <c r="L175" i="62" s="1"/>
  <c r="Q305" i="62"/>
  <c r="J160" i="63"/>
  <c r="AB98" i="57" s="1"/>
  <c r="L160" i="63" s="1"/>
  <c r="J164" i="63"/>
  <c r="AB102" i="57" s="1"/>
  <c r="J168" i="63"/>
  <c r="AB106" i="57" s="1"/>
  <c r="J172" i="63"/>
  <c r="AB110" i="57" s="1"/>
  <c r="J176" i="63"/>
  <c r="AB114" i="57" s="1"/>
  <c r="B145" i="64"/>
  <c r="F74" i="59" s="1"/>
  <c r="J160" i="64"/>
  <c r="AG98" i="57" s="1"/>
  <c r="L160" i="64" s="1"/>
  <c r="J164" i="64"/>
  <c r="AG102" i="57" s="1"/>
  <c r="J168" i="64"/>
  <c r="AG106" i="57" s="1"/>
  <c r="L168" i="64" s="1"/>
  <c r="J172" i="64"/>
  <c r="AG110" i="57" s="1"/>
  <c r="Q304" i="64"/>
  <c r="B64" i="60"/>
  <c r="B60" i="59" s="1"/>
  <c r="J169" i="60"/>
  <c r="M107" i="57" s="1"/>
  <c r="J170" i="61"/>
  <c r="R108" i="57" s="1"/>
  <c r="J158" i="62"/>
  <c r="W96" i="57" s="1"/>
  <c r="L158" i="62" s="1"/>
  <c r="J174" i="62"/>
  <c r="W112" i="57" s="1"/>
  <c r="B253" i="62"/>
  <c r="D160" i="59" s="1"/>
  <c r="J171" i="63"/>
  <c r="AB109" i="57" s="1"/>
  <c r="L171" i="63" s="1"/>
  <c r="F159" i="60"/>
  <c r="K97" i="57" s="1"/>
  <c r="F163" i="60"/>
  <c r="K101" i="57" s="1"/>
  <c r="F167" i="60"/>
  <c r="K105" i="57" s="1"/>
  <c r="F171" i="60"/>
  <c r="K109" i="57" s="1"/>
  <c r="F175" i="60"/>
  <c r="K113" i="57" s="1"/>
  <c r="L175" i="60" s="1"/>
  <c r="B62" i="61"/>
  <c r="C57" i="59" s="1"/>
  <c r="F160" i="61"/>
  <c r="P98" i="57" s="1"/>
  <c r="L160" i="61" s="1"/>
  <c r="F164" i="61"/>
  <c r="P102" i="57" s="1"/>
  <c r="L164" i="61" s="1"/>
  <c r="F168" i="61"/>
  <c r="P106" i="57" s="1"/>
  <c r="F172" i="61"/>
  <c r="P110" i="57" s="1"/>
  <c r="F176" i="61"/>
  <c r="P114" i="57" s="1"/>
  <c r="O65" i="59"/>
  <c r="B251" i="62"/>
  <c r="D158" i="59" s="1"/>
  <c r="F160" i="62"/>
  <c r="U98" i="57" s="1"/>
  <c r="F164" i="62"/>
  <c r="U102" i="57" s="1"/>
  <c r="F168" i="62"/>
  <c r="U106" i="57" s="1"/>
  <c r="F172" i="62"/>
  <c r="U110" i="57" s="1"/>
  <c r="F176" i="62"/>
  <c r="U114" i="57" s="1"/>
  <c r="N92" i="59"/>
  <c r="V92" i="59"/>
  <c r="Q117" i="63"/>
  <c r="B145" i="63"/>
  <c r="E74" i="59" s="1"/>
  <c r="F161" i="63"/>
  <c r="Z99" i="57" s="1"/>
  <c r="F165" i="63"/>
  <c r="Z103" i="57" s="1"/>
  <c r="L165" i="63" s="1"/>
  <c r="F169" i="63"/>
  <c r="Z107" i="57" s="1"/>
  <c r="F173" i="63"/>
  <c r="Z111" i="57" s="1"/>
  <c r="F177" i="63"/>
  <c r="Z115" i="57" s="1"/>
  <c r="Q308" i="63"/>
  <c r="I119" i="59"/>
  <c r="Q119" i="59"/>
  <c r="F161" i="64"/>
  <c r="AE99" i="57" s="1"/>
  <c r="F165" i="64"/>
  <c r="AE103" i="57" s="1"/>
  <c r="F169" i="64"/>
  <c r="AE107" i="57" s="1"/>
  <c r="I21" i="59"/>
  <c r="U12" i="12"/>
  <c r="AJ104" i="16"/>
  <c r="AJ88" i="16"/>
  <c r="S13" i="12"/>
  <c r="U13" i="12"/>
  <c r="S12" i="12"/>
  <c r="S14" i="12"/>
  <c r="F31" i="18"/>
  <c r="O14" i="12"/>
  <c r="F31" i="24"/>
  <c r="O13" i="12"/>
  <c r="F31" i="25"/>
  <c r="D49" i="30" s="1"/>
  <c r="E49" i="30" s="1"/>
  <c r="O15" i="12" s="1"/>
  <c r="AK87" i="16"/>
  <c r="A15" i="51"/>
  <c r="A13" i="51"/>
  <c r="A14" i="51"/>
  <c r="S7" i="12"/>
  <c r="E57" i="32"/>
  <c r="O16" i="12" s="1"/>
  <c r="N4154" i="16"/>
  <c r="N4153" i="16"/>
  <c r="N4152" i="16"/>
  <c r="N4151" i="16"/>
  <c r="N4150" i="16"/>
  <c r="N4149" i="16"/>
  <c r="N4148" i="16"/>
  <c r="N4147" i="16"/>
  <c r="N4146" i="16"/>
  <c r="N4145" i="16"/>
  <c r="N4144" i="16"/>
  <c r="N4143" i="16"/>
  <c r="N4142" i="16"/>
  <c r="N4141" i="16"/>
  <c r="N4140" i="16"/>
  <c r="N4139" i="16"/>
  <c r="N4138" i="16"/>
  <c r="N4137" i="16"/>
  <c r="N4136" i="16"/>
  <c r="N4135" i="16"/>
  <c r="N4134" i="16"/>
  <c r="N4133" i="16"/>
  <c r="N4132" i="16"/>
  <c r="N4131" i="16"/>
  <c r="N4130" i="16"/>
  <c r="N4129" i="16"/>
  <c r="N4128" i="16"/>
  <c r="N4127" i="16"/>
  <c r="N4126" i="16"/>
  <c r="N4125" i="16"/>
  <c r="N4124" i="16"/>
  <c r="N4123" i="16"/>
  <c r="N4122" i="16"/>
  <c r="N4121" i="16"/>
  <c r="N4120" i="16"/>
  <c r="N4119" i="16"/>
  <c r="N4118" i="16"/>
  <c r="N4117" i="16"/>
  <c r="N4116" i="16"/>
  <c r="N4115" i="16"/>
  <c r="N4114" i="16"/>
  <c r="N4113" i="16"/>
  <c r="N4112" i="16"/>
  <c r="N4111" i="16"/>
  <c r="N4110" i="16"/>
  <c r="N4109" i="16"/>
  <c r="N4108" i="16"/>
  <c r="N4107" i="16"/>
  <c r="N4106" i="16"/>
  <c r="N4105" i="16"/>
  <c r="N4104" i="16"/>
  <c r="N4103" i="16"/>
  <c r="N4102" i="16"/>
  <c r="N4101" i="16"/>
  <c r="N4100" i="16"/>
  <c r="N4099" i="16"/>
  <c r="N4098" i="16"/>
  <c r="N4097" i="16"/>
  <c r="N4096" i="16"/>
  <c r="N4095" i="16"/>
  <c r="N4094" i="16"/>
  <c r="N4093" i="16"/>
  <c r="N4092" i="16"/>
  <c r="N4091" i="16"/>
  <c r="N4090" i="16"/>
  <c r="N4089" i="16"/>
  <c r="N4088" i="16"/>
  <c r="N4087" i="16"/>
  <c r="N4086" i="16"/>
  <c r="N4085" i="16"/>
  <c r="N4084" i="16"/>
  <c r="N4083" i="16"/>
  <c r="N4082" i="16"/>
  <c r="N4081" i="16"/>
  <c r="N4080" i="16"/>
  <c r="N4079" i="16"/>
  <c r="N4078" i="16"/>
  <c r="N4077" i="16"/>
  <c r="N4076" i="16"/>
  <c r="N4075" i="16"/>
  <c r="N4074" i="16"/>
  <c r="N4073" i="16"/>
  <c r="N4072" i="16"/>
  <c r="N4071" i="16"/>
  <c r="N4070" i="16"/>
  <c r="N4069" i="16"/>
  <c r="N4068" i="16"/>
  <c r="N4067" i="16"/>
  <c r="N4066" i="16"/>
  <c r="N4065" i="16"/>
  <c r="N4064" i="16"/>
  <c r="N4063" i="16"/>
  <c r="N4062" i="16"/>
  <c r="N4061" i="16"/>
  <c r="N4060" i="16"/>
  <c r="N4059" i="16"/>
  <c r="N4058" i="16"/>
  <c r="N4057" i="16"/>
  <c r="N4056" i="16"/>
  <c r="N4055" i="16"/>
  <c r="N4054" i="16"/>
  <c r="N4053" i="16"/>
  <c r="N4052" i="16"/>
  <c r="N4051" i="16"/>
  <c r="N4050" i="16"/>
  <c r="N4049" i="16"/>
  <c r="N4048" i="16"/>
  <c r="N4047" i="16"/>
  <c r="N4046" i="16"/>
  <c r="N4045" i="16"/>
  <c r="N4044" i="16"/>
  <c r="N4043" i="16"/>
  <c r="N4042" i="16"/>
  <c r="N4041" i="16"/>
  <c r="N4040" i="16"/>
  <c r="N4039" i="16"/>
  <c r="N4038" i="16"/>
  <c r="N4037" i="16"/>
  <c r="N4036" i="16"/>
  <c r="N4035" i="16"/>
  <c r="N4034" i="16"/>
  <c r="N4033" i="16"/>
  <c r="N4032" i="16"/>
  <c r="N4031" i="16"/>
  <c r="N4030" i="16"/>
  <c r="N4029" i="16"/>
  <c r="N4028" i="16"/>
  <c r="N4027" i="16"/>
  <c r="N4026" i="16"/>
  <c r="N4025" i="16"/>
  <c r="N4024" i="16"/>
  <c r="N4023" i="16"/>
  <c r="N4022" i="16"/>
  <c r="N4021" i="16"/>
  <c r="N4020" i="16"/>
  <c r="N4019" i="16"/>
  <c r="N4018" i="16"/>
  <c r="N4017" i="16"/>
  <c r="N4016" i="16"/>
  <c r="N4015" i="16"/>
  <c r="N4014" i="16"/>
  <c r="N4013" i="16"/>
  <c r="N4012" i="16"/>
  <c r="N4011" i="16"/>
  <c r="N4010" i="16"/>
  <c r="N4009" i="16"/>
  <c r="N4008" i="16"/>
  <c r="N4007" i="16"/>
  <c r="N4006" i="16"/>
  <c r="N4005" i="16"/>
  <c r="N4004" i="16"/>
  <c r="N4003" i="16"/>
  <c r="N4002" i="16"/>
  <c r="N4001" i="16"/>
  <c r="N4000" i="16"/>
  <c r="N3999" i="16"/>
  <c r="N3998" i="16"/>
  <c r="N3997" i="16"/>
  <c r="N3996" i="16"/>
  <c r="N3995" i="16"/>
  <c r="N3994" i="16"/>
  <c r="N3993" i="16"/>
  <c r="N3992" i="16"/>
  <c r="N3991" i="16"/>
  <c r="N3990" i="16"/>
  <c r="N3989" i="16"/>
  <c r="N3988" i="16"/>
  <c r="N3987" i="16"/>
  <c r="N3986" i="16"/>
  <c r="N3985" i="16"/>
  <c r="N3984" i="16"/>
  <c r="N3983" i="16"/>
  <c r="N3982" i="16"/>
  <c r="N3981" i="16"/>
  <c r="N3980" i="16"/>
  <c r="N3979" i="16"/>
  <c r="N3978" i="16"/>
  <c r="N3977" i="16"/>
  <c r="N3976" i="16"/>
  <c r="N3975" i="16"/>
  <c r="N3974" i="16"/>
  <c r="N3973" i="16"/>
  <c r="N3972" i="16"/>
  <c r="N3971" i="16"/>
  <c r="N3970" i="16"/>
  <c r="N3969" i="16"/>
  <c r="N3968" i="16"/>
  <c r="N3967" i="16"/>
  <c r="N3966" i="16"/>
  <c r="N3965" i="16"/>
  <c r="N3964" i="16"/>
  <c r="N3963" i="16"/>
  <c r="N3962" i="16"/>
  <c r="N3961" i="16"/>
  <c r="N3960" i="16"/>
  <c r="N3959" i="16"/>
  <c r="N3958" i="16"/>
  <c r="N3957" i="16"/>
  <c r="N3956" i="16"/>
  <c r="N3955" i="16"/>
  <c r="N3954" i="16"/>
  <c r="N3953" i="16"/>
  <c r="N3952" i="16"/>
  <c r="N3951" i="16"/>
  <c r="N3950" i="16"/>
  <c r="N3949" i="16"/>
  <c r="N3948" i="16"/>
  <c r="N3947" i="16"/>
  <c r="N3946" i="16"/>
  <c r="N3945" i="16"/>
  <c r="N3944" i="16"/>
  <c r="N3943" i="16"/>
  <c r="N3942" i="16"/>
  <c r="N3941" i="16"/>
  <c r="N3940" i="16"/>
  <c r="N3939" i="16"/>
  <c r="N3938" i="16"/>
  <c r="N3937" i="16"/>
  <c r="N3936" i="16"/>
  <c r="N3935" i="16"/>
  <c r="N3934" i="16"/>
  <c r="N3933" i="16"/>
  <c r="N3932" i="16"/>
  <c r="N3931" i="16"/>
  <c r="N3930" i="16"/>
  <c r="N3929" i="16"/>
  <c r="N3928" i="16"/>
  <c r="N3927" i="16"/>
  <c r="N3926" i="16"/>
  <c r="N3925" i="16"/>
  <c r="N3924" i="16"/>
  <c r="N3923" i="16"/>
  <c r="N3922" i="16"/>
  <c r="N3921" i="16"/>
  <c r="N3920" i="16"/>
  <c r="N3919" i="16"/>
  <c r="N3918" i="16"/>
  <c r="N3917" i="16"/>
  <c r="N3916" i="16"/>
  <c r="N3915" i="16"/>
  <c r="N3914" i="16"/>
  <c r="N3913" i="16"/>
  <c r="N3912" i="16"/>
  <c r="N3911" i="16"/>
  <c r="N3910" i="16"/>
  <c r="N3909" i="16"/>
  <c r="N3908" i="16"/>
  <c r="N3907" i="16"/>
  <c r="N3906" i="16"/>
  <c r="N3905" i="16"/>
  <c r="N3904" i="16"/>
  <c r="N3903" i="16"/>
  <c r="N3902" i="16"/>
  <c r="N3901" i="16"/>
  <c r="N3900" i="16"/>
  <c r="N3899" i="16"/>
  <c r="N3898" i="16"/>
  <c r="N3897" i="16"/>
  <c r="N3896" i="16"/>
  <c r="N3895" i="16"/>
  <c r="N3894" i="16"/>
  <c r="N3893" i="16"/>
  <c r="N3892" i="16"/>
  <c r="N3891" i="16"/>
  <c r="N3890" i="16"/>
  <c r="N3889" i="16"/>
  <c r="N3888" i="16"/>
  <c r="N3887" i="16"/>
  <c r="N3886" i="16"/>
  <c r="N3885" i="16"/>
  <c r="N3884" i="16"/>
  <c r="N3883" i="16"/>
  <c r="N3882" i="16"/>
  <c r="N3881" i="16"/>
  <c r="N3880" i="16"/>
  <c r="N3879" i="16"/>
  <c r="N3878" i="16"/>
  <c r="N3877" i="16"/>
  <c r="N3876" i="16"/>
  <c r="N3875" i="16"/>
  <c r="N3874" i="16"/>
  <c r="N3873" i="16"/>
  <c r="N3872" i="16"/>
  <c r="N3871" i="16"/>
  <c r="N3870" i="16"/>
  <c r="N3869" i="16"/>
  <c r="N3868" i="16"/>
  <c r="N3867" i="16"/>
  <c r="N3866" i="16"/>
  <c r="N3865" i="16"/>
  <c r="N3864" i="16"/>
  <c r="N3863" i="16"/>
  <c r="N3862" i="16"/>
  <c r="N3861" i="16"/>
  <c r="N3860" i="16"/>
  <c r="N3859" i="16"/>
  <c r="N3858" i="16"/>
  <c r="N3857" i="16"/>
  <c r="N3856" i="16"/>
  <c r="N3855" i="16"/>
  <c r="N3854" i="16"/>
  <c r="N3853" i="16"/>
  <c r="N3852" i="16"/>
  <c r="N3851" i="16"/>
  <c r="N3850" i="16"/>
  <c r="N3849" i="16"/>
  <c r="N3848" i="16"/>
  <c r="N3847" i="16"/>
  <c r="N3846" i="16"/>
  <c r="N3845" i="16"/>
  <c r="N3844" i="16"/>
  <c r="N3843" i="16"/>
  <c r="N3842" i="16"/>
  <c r="N3841" i="16"/>
  <c r="N3840" i="16"/>
  <c r="N3839" i="16"/>
  <c r="N3838" i="16"/>
  <c r="N3837" i="16"/>
  <c r="N3836" i="16"/>
  <c r="N3835" i="16"/>
  <c r="N3834" i="16"/>
  <c r="N3833" i="16"/>
  <c r="N3832" i="16"/>
  <c r="N3831" i="16"/>
  <c r="N3830" i="16"/>
  <c r="N3829" i="16"/>
  <c r="N3828" i="16"/>
  <c r="N3827" i="16"/>
  <c r="N3826" i="16"/>
  <c r="N3825" i="16"/>
  <c r="N3824" i="16"/>
  <c r="N3823" i="16"/>
  <c r="N3822" i="16"/>
  <c r="N3821" i="16"/>
  <c r="N3820" i="16"/>
  <c r="N3819" i="16"/>
  <c r="N3818" i="16"/>
  <c r="N3817" i="16"/>
  <c r="N3816" i="16"/>
  <c r="N3815" i="16"/>
  <c r="N3814" i="16"/>
  <c r="N3813" i="16"/>
  <c r="N3812" i="16"/>
  <c r="N3811" i="16"/>
  <c r="N3810" i="16"/>
  <c r="N3809" i="16"/>
  <c r="N3808" i="16"/>
  <c r="N3807" i="16"/>
  <c r="N3806" i="16"/>
  <c r="N3805" i="16"/>
  <c r="N3804" i="16"/>
  <c r="N3803" i="16"/>
  <c r="N3802" i="16"/>
  <c r="N3801" i="16"/>
  <c r="N3800" i="16"/>
  <c r="N3799" i="16"/>
  <c r="N3798" i="16"/>
  <c r="N3797" i="16"/>
  <c r="N3796" i="16"/>
  <c r="N3795" i="16"/>
  <c r="N3794" i="16"/>
  <c r="N3793" i="16"/>
  <c r="N3792" i="16"/>
  <c r="N3791" i="16"/>
  <c r="N3790" i="16"/>
  <c r="N3789" i="16"/>
  <c r="N3788" i="16"/>
  <c r="N3787" i="16"/>
  <c r="N3786" i="16"/>
  <c r="N3785" i="16"/>
  <c r="N3784" i="16"/>
  <c r="N3783" i="16"/>
  <c r="N3782" i="16"/>
  <c r="N3781" i="16"/>
  <c r="N3780" i="16"/>
  <c r="N3779" i="16"/>
  <c r="N3778" i="16"/>
  <c r="N3777" i="16"/>
  <c r="N3776" i="16"/>
  <c r="N3775" i="16"/>
  <c r="N3774" i="16"/>
  <c r="N3773" i="16"/>
  <c r="N3772" i="16"/>
  <c r="N3771" i="16"/>
  <c r="N3770" i="16"/>
  <c r="N3769" i="16"/>
  <c r="N3768" i="16"/>
  <c r="N3767" i="16"/>
  <c r="N3766" i="16"/>
  <c r="N3765" i="16"/>
  <c r="N3764" i="16"/>
  <c r="N3763" i="16"/>
  <c r="N3762" i="16"/>
  <c r="N3761" i="16"/>
  <c r="N3760" i="16"/>
  <c r="N3759" i="16"/>
  <c r="N3758" i="16"/>
  <c r="N3757" i="16"/>
  <c r="N3756" i="16"/>
  <c r="N3755" i="16"/>
  <c r="N3754" i="16"/>
  <c r="N3753" i="16"/>
  <c r="N3752" i="16"/>
  <c r="N3751" i="16"/>
  <c r="N3750" i="16"/>
  <c r="N3749" i="16"/>
  <c r="N3748" i="16"/>
  <c r="N3747" i="16"/>
  <c r="N3746" i="16"/>
  <c r="N3745" i="16"/>
  <c r="N3744" i="16"/>
  <c r="N3743" i="16"/>
  <c r="N3742" i="16"/>
  <c r="N3741" i="16"/>
  <c r="N3740" i="16"/>
  <c r="N3739" i="16"/>
  <c r="N3738" i="16"/>
  <c r="N3737" i="16"/>
  <c r="N3736" i="16"/>
  <c r="N3735" i="16"/>
  <c r="N3734" i="16"/>
  <c r="N3733" i="16"/>
  <c r="N3732" i="16"/>
  <c r="N3731" i="16"/>
  <c r="N3730" i="16"/>
  <c r="N3729" i="16"/>
  <c r="N3728" i="16"/>
  <c r="N3727" i="16"/>
  <c r="N3726" i="16"/>
  <c r="N3725" i="16"/>
  <c r="N3724" i="16"/>
  <c r="N3723" i="16"/>
  <c r="N3722" i="16"/>
  <c r="N3721" i="16"/>
  <c r="N3720" i="16"/>
  <c r="N3719" i="16"/>
  <c r="N3718" i="16"/>
  <c r="N3717" i="16"/>
  <c r="N3716" i="16"/>
  <c r="N3715" i="16"/>
  <c r="N3714" i="16"/>
  <c r="N3713" i="16"/>
  <c r="N3712" i="16"/>
  <c r="N3711" i="16"/>
  <c r="N3710" i="16"/>
  <c r="N3709" i="16"/>
  <c r="N3708" i="16"/>
  <c r="N3707" i="16"/>
  <c r="N3706" i="16"/>
  <c r="N3705" i="16"/>
  <c r="N3704" i="16"/>
  <c r="N3703" i="16"/>
  <c r="N3702" i="16"/>
  <c r="N3701" i="16"/>
  <c r="N3700" i="16"/>
  <c r="N3699" i="16"/>
  <c r="N3698" i="16"/>
  <c r="N3697" i="16"/>
  <c r="N3696" i="16"/>
  <c r="N3695" i="16"/>
  <c r="N3694" i="16"/>
  <c r="N3693" i="16"/>
  <c r="N3692" i="16"/>
  <c r="N3691" i="16"/>
  <c r="N3690" i="16"/>
  <c r="N3689" i="16"/>
  <c r="N3688" i="16"/>
  <c r="N3687" i="16"/>
  <c r="N3686" i="16"/>
  <c r="N3685" i="16"/>
  <c r="N3684" i="16"/>
  <c r="N3683" i="16"/>
  <c r="N3682" i="16"/>
  <c r="N3681" i="16"/>
  <c r="N3680" i="16"/>
  <c r="N3679" i="16"/>
  <c r="N3678" i="16"/>
  <c r="N3677" i="16"/>
  <c r="N3676" i="16"/>
  <c r="N3675" i="16"/>
  <c r="N3674" i="16"/>
  <c r="N3673" i="16"/>
  <c r="N3672" i="16"/>
  <c r="N3671" i="16"/>
  <c r="N3670" i="16"/>
  <c r="N3669" i="16"/>
  <c r="N3668" i="16"/>
  <c r="N3667" i="16"/>
  <c r="N3666" i="16"/>
  <c r="N3665" i="16"/>
  <c r="N3664" i="16"/>
  <c r="N3663" i="16"/>
  <c r="N3662" i="16"/>
  <c r="N3661" i="16"/>
  <c r="N3660" i="16"/>
  <c r="N3659" i="16"/>
  <c r="N3658" i="16"/>
  <c r="N3657" i="16"/>
  <c r="N3656" i="16"/>
  <c r="N3655" i="16"/>
  <c r="N3654" i="16"/>
  <c r="N3653" i="16"/>
  <c r="N3652" i="16"/>
  <c r="N3651" i="16"/>
  <c r="N3650" i="16"/>
  <c r="N3649" i="16"/>
  <c r="N3648" i="16"/>
  <c r="N3647" i="16"/>
  <c r="N3646" i="16"/>
  <c r="N3645" i="16"/>
  <c r="N3644" i="16"/>
  <c r="N3643" i="16"/>
  <c r="N3642" i="16"/>
  <c r="N3641" i="16"/>
  <c r="N3640" i="16"/>
  <c r="N3639" i="16"/>
  <c r="N3638" i="16"/>
  <c r="N3637" i="16"/>
  <c r="N3636" i="16"/>
  <c r="N3635" i="16"/>
  <c r="N3634" i="16"/>
  <c r="N3633" i="16"/>
  <c r="N3632" i="16"/>
  <c r="N3631" i="16"/>
  <c r="N3630" i="16"/>
  <c r="N3629" i="16"/>
  <c r="N3628" i="16"/>
  <c r="N3627" i="16"/>
  <c r="N3626" i="16"/>
  <c r="N3625" i="16"/>
  <c r="N3624" i="16"/>
  <c r="N3623" i="16"/>
  <c r="N3622" i="16"/>
  <c r="N3621" i="16"/>
  <c r="N3620" i="16"/>
  <c r="N3619" i="16"/>
  <c r="N3618" i="16"/>
  <c r="N3617" i="16"/>
  <c r="N3616" i="16"/>
  <c r="N3615" i="16"/>
  <c r="N3614" i="16"/>
  <c r="N3613" i="16"/>
  <c r="N3612" i="16"/>
  <c r="N3611" i="16"/>
  <c r="N3610" i="16"/>
  <c r="N3609" i="16"/>
  <c r="N3608" i="16"/>
  <c r="N3607" i="16"/>
  <c r="N3606" i="16"/>
  <c r="N3605" i="16"/>
  <c r="N3604" i="16"/>
  <c r="N3603" i="16"/>
  <c r="N3602" i="16"/>
  <c r="N3601" i="16"/>
  <c r="N3600" i="16"/>
  <c r="N3599" i="16"/>
  <c r="N3598" i="16"/>
  <c r="N3597" i="16"/>
  <c r="N3596" i="16"/>
  <c r="N3595" i="16"/>
  <c r="N3594" i="16"/>
  <c r="N3593" i="16"/>
  <c r="N3592" i="16"/>
  <c r="N3591" i="16"/>
  <c r="N3590" i="16"/>
  <c r="N3589" i="16"/>
  <c r="N3588" i="16"/>
  <c r="N3587" i="16"/>
  <c r="N3586" i="16"/>
  <c r="N3585" i="16"/>
  <c r="N3584" i="16"/>
  <c r="N3583" i="16"/>
  <c r="N3582" i="16"/>
  <c r="N3581" i="16"/>
  <c r="N3580" i="16"/>
  <c r="N3579" i="16"/>
  <c r="N3578" i="16"/>
  <c r="N3577" i="16"/>
  <c r="N3576" i="16"/>
  <c r="N3575" i="16"/>
  <c r="N3574" i="16"/>
  <c r="N3573" i="16"/>
  <c r="N3572" i="16"/>
  <c r="N3571" i="16"/>
  <c r="N3570" i="16"/>
  <c r="N3569" i="16"/>
  <c r="N3568" i="16"/>
  <c r="N3567" i="16"/>
  <c r="N3566" i="16"/>
  <c r="N3565" i="16"/>
  <c r="N3564" i="16"/>
  <c r="N3563" i="16"/>
  <c r="N3562" i="16"/>
  <c r="N3561" i="16"/>
  <c r="N3560" i="16"/>
  <c r="N3559" i="16"/>
  <c r="N3558" i="16"/>
  <c r="N3557" i="16"/>
  <c r="N3556" i="16"/>
  <c r="N3555" i="16"/>
  <c r="N3554" i="16"/>
  <c r="N3553" i="16"/>
  <c r="N3552" i="16"/>
  <c r="N3551" i="16"/>
  <c r="N3550" i="16"/>
  <c r="N3549" i="16"/>
  <c r="N3548" i="16"/>
  <c r="N3547" i="16"/>
  <c r="N3546" i="16"/>
  <c r="N3545" i="16"/>
  <c r="N3544" i="16"/>
  <c r="N3543" i="16"/>
  <c r="N3542" i="16"/>
  <c r="N3541" i="16"/>
  <c r="N3540" i="16"/>
  <c r="N3539" i="16"/>
  <c r="N3538" i="16"/>
  <c r="N3537" i="16"/>
  <c r="N3536" i="16"/>
  <c r="N3535" i="16"/>
  <c r="N3534" i="16"/>
  <c r="N3533" i="16"/>
  <c r="N3532" i="16"/>
  <c r="N3531" i="16"/>
  <c r="N3530" i="16"/>
  <c r="N3529" i="16"/>
  <c r="N3528" i="16"/>
  <c r="N3527" i="16"/>
  <c r="N3526" i="16"/>
  <c r="N3525" i="16"/>
  <c r="N3524" i="16"/>
  <c r="N3523" i="16"/>
  <c r="N3522" i="16"/>
  <c r="N3521" i="16"/>
  <c r="N3520" i="16"/>
  <c r="N3519" i="16"/>
  <c r="N3518" i="16"/>
  <c r="N3517" i="16"/>
  <c r="N3516" i="16"/>
  <c r="N3515" i="16"/>
  <c r="N3514" i="16"/>
  <c r="N3513" i="16"/>
  <c r="N3512" i="16"/>
  <c r="N3511" i="16"/>
  <c r="N3510" i="16"/>
  <c r="N3509" i="16"/>
  <c r="N3508" i="16"/>
  <c r="N3507" i="16"/>
  <c r="N3506" i="16"/>
  <c r="N3505" i="16"/>
  <c r="N3504" i="16"/>
  <c r="N3503" i="16"/>
  <c r="N3502" i="16"/>
  <c r="N3501" i="16"/>
  <c r="N3500" i="16"/>
  <c r="N3499" i="16"/>
  <c r="N3498" i="16"/>
  <c r="N3497" i="16"/>
  <c r="N3496" i="16"/>
  <c r="N3495" i="16"/>
  <c r="N3494" i="16"/>
  <c r="N3493" i="16"/>
  <c r="N3492" i="16"/>
  <c r="N3491" i="16"/>
  <c r="N3490" i="16"/>
  <c r="N3489" i="16"/>
  <c r="N3488" i="16"/>
  <c r="N3487" i="16"/>
  <c r="N3486" i="16"/>
  <c r="N3485" i="16"/>
  <c r="N3484" i="16"/>
  <c r="N3483" i="16"/>
  <c r="N3482" i="16"/>
  <c r="N3481" i="16"/>
  <c r="N3480" i="16"/>
  <c r="N3479" i="16"/>
  <c r="N3478" i="16"/>
  <c r="N3477" i="16"/>
  <c r="N3476" i="16"/>
  <c r="N3475" i="16"/>
  <c r="N3474" i="16"/>
  <c r="N3473" i="16"/>
  <c r="N3472" i="16"/>
  <c r="N3471" i="16"/>
  <c r="N3470" i="16"/>
  <c r="N3469" i="16"/>
  <c r="N3468" i="16"/>
  <c r="N3467" i="16"/>
  <c r="N3466" i="16"/>
  <c r="N3465" i="16"/>
  <c r="N3464" i="16"/>
  <c r="N3463" i="16"/>
  <c r="N3462" i="16"/>
  <c r="N3461" i="16"/>
  <c r="N3460" i="16"/>
  <c r="N3459" i="16"/>
  <c r="N3458" i="16"/>
  <c r="N3457" i="16"/>
  <c r="N3456" i="16"/>
  <c r="N3455" i="16"/>
  <c r="N3454" i="16"/>
  <c r="N3453" i="16"/>
  <c r="N3452" i="16"/>
  <c r="N3451" i="16"/>
  <c r="N3450" i="16"/>
  <c r="N3449" i="16"/>
  <c r="N3448" i="16"/>
  <c r="N3447" i="16"/>
  <c r="N3446" i="16"/>
  <c r="N3445" i="16"/>
  <c r="N3444" i="16"/>
  <c r="N3443" i="16"/>
  <c r="N3442" i="16"/>
  <c r="N3441" i="16"/>
  <c r="N3440" i="16"/>
  <c r="N3439" i="16"/>
  <c r="N3438" i="16"/>
  <c r="N3437" i="16"/>
  <c r="N3436" i="16"/>
  <c r="N3435" i="16"/>
  <c r="N3434" i="16"/>
  <c r="N3433" i="16"/>
  <c r="N3432" i="16"/>
  <c r="N3431" i="16"/>
  <c r="N3430" i="16"/>
  <c r="N3429" i="16"/>
  <c r="N3428" i="16"/>
  <c r="N3427" i="16"/>
  <c r="N3426" i="16"/>
  <c r="N3425" i="16"/>
  <c r="N3424" i="16"/>
  <c r="N3423" i="16"/>
  <c r="N3422" i="16"/>
  <c r="N3421" i="16"/>
  <c r="N3420" i="16"/>
  <c r="N3419" i="16"/>
  <c r="N3418" i="16"/>
  <c r="N3417" i="16"/>
  <c r="N3416" i="16"/>
  <c r="N3415" i="16"/>
  <c r="N3414" i="16"/>
  <c r="N3413" i="16"/>
  <c r="N3412" i="16"/>
  <c r="N3411" i="16"/>
  <c r="N3410" i="16"/>
  <c r="N3409" i="16"/>
  <c r="N3408" i="16"/>
  <c r="N3407" i="16"/>
  <c r="N3406" i="16"/>
  <c r="N3405" i="16"/>
  <c r="N3404" i="16"/>
  <c r="N3403" i="16"/>
  <c r="N3402" i="16"/>
  <c r="N3401" i="16"/>
  <c r="N3400" i="16"/>
  <c r="N3399" i="16"/>
  <c r="N3398" i="16"/>
  <c r="N3397" i="16"/>
  <c r="N3396" i="16"/>
  <c r="N3395" i="16"/>
  <c r="N3394" i="16"/>
  <c r="N3393" i="16"/>
  <c r="N3392" i="16"/>
  <c r="N3391" i="16"/>
  <c r="N3390" i="16"/>
  <c r="N3389" i="16"/>
  <c r="N3388" i="16"/>
  <c r="N3387" i="16"/>
  <c r="N3386" i="16"/>
  <c r="N3385" i="16"/>
  <c r="N3384" i="16"/>
  <c r="N3383" i="16"/>
  <c r="N3382" i="16"/>
  <c r="N3381" i="16"/>
  <c r="N3380" i="16"/>
  <c r="N3379" i="16"/>
  <c r="N3378" i="16"/>
  <c r="N3377" i="16"/>
  <c r="N3376" i="16"/>
  <c r="N3375" i="16"/>
  <c r="N3374" i="16"/>
  <c r="N3373" i="16"/>
  <c r="N3372" i="16"/>
  <c r="N3371" i="16"/>
  <c r="N3370" i="16"/>
  <c r="N3369" i="16"/>
  <c r="N3368" i="16"/>
  <c r="N3367" i="16"/>
  <c r="N3366" i="16"/>
  <c r="N3365" i="16"/>
  <c r="N3364" i="16"/>
  <c r="N3363" i="16"/>
  <c r="N3362" i="16"/>
  <c r="N3361" i="16"/>
  <c r="N3360" i="16"/>
  <c r="N3359" i="16"/>
  <c r="N3358" i="16"/>
  <c r="N3357" i="16"/>
  <c r="N3356" i="16"/>
  <c r="N3355" i="16"/>
  <c r="N3354" i="16"/>
  <c r="N3353" i="16"/>
  <c r="N3352" i="16"/>
  <c r="N3351" i="16"/>
  <c r="N3350" i="16"/>
  <c r="N3349" i="16"/>
  <c r="N3348" i="16"/>
  <c r="N3347" i="16"/>
  <c r="N3346" i="16"/>
  <c r="N3345" i="16"/>
  <c r="N3344" i="16"/>
  <c r="N3343" i="16"/>
  <c r="N3342" i="16"/>
  <c r="N3341" i="16"/>
  <c r="N3340" i="16"/>
  <c r="N3339" i="16"/>
  <c r="N3338" i="16"/>
  <c r="N3337" i="16"/>
  <c r="N3336" i="16"/>
  <c r="N3335" i="16"/>
  <c r="N3334" i="16"/>
  <c r="N3333" i="16"/>
  <c r="N3332" i="16"/>
  <c r="N3331" i="16"/>
  <c r="N3330" i="16"/>
  <c r="N3329" i="16"/>
  <c r="N3328" i="16"/>
  <c r="N3327" i="16"/>
  <c r="N3326" i="16"/>
  <c r="N3325" i="16"/>
  <c r="N3324" i="16"/>
  <c r="N3323" i="16"/>
  <c r="N3322" i="16"/>
  <c r="N3321" i="16"/>
  <c r="N3320" i="16"/>
  <c r="N3319" i="16"/>
  <c r="N3318" i="16"/>
  <c r="N3317" i="16"/>
  <c r="N3316" i="16"/>
  <c r="N3315" i="16"/>
  <c r="N3314" i="16"/>
  <c r="N3313" i="16"/>
  <c r="N3312" i="16"/>
  <c r="N3311" i="16"/>
  <c r="N3310" i="16"/>
  <c r="N3309" i="16"/>
  <c r="N3308" i="16"/>
  <c r="N3307" i="16"/>
  <c r="N3306" i="16"/>
  <c r="N3305" i="16"/>
  <c r="N3304" i="16"/>
  <c r="N3303" i="16"/>
  <c r="N3302" i="16"/>
  <c r="N3301" i="16"/>
  <c r="N3300" i="16"/>
  <c r="N3299" i="16"/>
  <c r="N3298" i="16"/>
  <c r="N3297" i="16"/>
  <c r="N3296" i="16"/>
  <c r="N3295" i="16"/>
  <c r="N3294" i="16"/>
  <c r="N3293" i="16"/>
  <c r="N3292" i="16"/>
  <c r="N3291" i="16"/>
  <c r="N3290" i="16"/>
  <c r="N3289" i="16"/>
  <c r="N3288" i="16"/>
  <c r="N3287" i="16"/>
  <c r="N3286" i="16"/>
  <c r="N3285" i="16"/>
  <c r="N3284" i="16"/>
  <c r="N3283" i="16"/>
  <c r="N3282" i="16"/>
  <c r="N3281" i="16"/>
  <c r="N3280" i="16"/>
  <c r="N3279" i="16"/>
  <c r="N3278" i="16"/>
  <c r="N3277" i="16"/>
  <c r="N3276" i="16"/>
  <c r="N3275" i="16"/>
  <c r="N3274" i="16"/>
  <c r="N3273" i="16"/>
  <c r="N3272" i="16"/>
  <c r="N3271" i="16"/>
  <c r="N3270" i="16"/>
  <c r="N3269" i="16"/>
  <c r="N3268" i="16"/>
  <c r="N3267" i="16"/>
  <c r="N3266" i="16"/>
  <c r="N3265" i="16"/>
  <c r="N3264" i="16"/>
  <c r="N3263" i="16"/>
  <c r="N3262" i="16"/>
  <c r="N3261" i="16"/>
  <c r="N3260" i="16"/>
  <c r="N3259" i="16"/>
  <c r="N3258" i="16"/>
  <c r="N3257" i="16"/>
  <c r="N3256" i="16"/>
  <c r="N3255" i="16"/>
  <c r="N3254" i="16"/>
  <c r="N3253" i="16"/>
  <c r="N3252" i="16"/>
  <c r="N3251" i="16"/>
  <c r="N3250" i="16"/>
  <c r="N3249" i="16"/>
  <c r="N3248" i="16"/>
  <c r="N3247" i="16"/>
  <c r="N3246" i="16"/>
  <c r="N3245" i="16"/>
  <c r="N3244" i="16"/>
  <c r="N3243" i="16"/>
  <c r="N3242" i="16"/>
  <c r="N3241" i="16"/>
  <c r="N3240" i="16"/>
  <c r="N3239" i="16"/>
  <c r="N3238" i="16"/>
  <c r="N3237" i="16"/>
  <c r="N3236" i="16"/>
  <c r="N3235" i="16"/>
  <c r="N3234" i="16"/>
  <c r="N3233" i="16"/>
  <c r="N3232" i="16"/>
  <c r="N3231" i="16"/>
  <c r="N3230" i="16"/>
  <c r="N3229" i="16"/>
  <c r="N3228" i="16"/>
  <c r="N3227" i="16"/>
  <c r="N3226" i="16"/>
  <c r="N3225" i="16"/>
  <c r="N3224" i="16"/>
  <c r="N3223" i="16"/>
  <c r="N3222" i="16"/>
  <c r="N3221" i="16"/>
  <c r="N3220" i="16"/>
  <c r="N3219" i="16"/>
  <c r="N3218" i="16"/>
  <c r="N3217" i="16"/>
  <c r="N3216" i="16"/>
  <c r="N3215" i="16"/>
  <c r="N3214" i="16"/>
  <c r="N3213" i="16"/>
  <c r="N3212" i="16"/>
  <c r="N3211" i="16"/>
  <c r="N3210" i="16"/>
  <c r="N3209" i="16"/>
  <c r="N3208" i="16"/>
  <c r="N3207" i="16"/>
  <c r="N3206" i="16"/>
  <c r="N3205" i="16"/>
  <c r="N3204" i="16"/>
  <c r="N3203" i="16"/>
  <c r="N3202" i="16"/>
  <c r="N3201" i="16"/>
  <c r="N3200" i="16"/>
  <c r="N3199" i="16"/>
  <c r="N3198" i="16"/>
  <c r="N3197" i="16"/>
  <c r="N3196" i="16"/>
  <c r="N3195" i="16"/>
  <c r="N3194" i="16"/>
  <c r="N3193" i="16"/>
  <c r="N3192" i="16"/>
  <c r="N3191" i="16"/>
  <c r="N3190" i="16"/>
  <c r="N3189" i="16"/>
  <c r="N3188" i="16"/>
  <c r="N3187" i="16"/>
  <c r="N3186" i="16"/>
  <c r="N3185" i="16"/>
  <c r="N3184" i="16"/>
  <c r="N3183" i="16"/>
  <c r="N3182" i="16"/>
  <c r="N3181" i="16"/>
  <c r="N3180" i="16"/>
  <c r="N3179" i="16"/>
  <c r="N3178" i="16"/>
  <c r="N3177" i="16"/>
  <c r="N3176" i="16"/>
  <c r="N3175" i="16"/>
  <c r="N3174" i="16"/>
  <c r="N3173" i="16"/>
  <c r="N3172" i="16"/>
  <c r="N3171" i="16"/>
  <c r="N3170" i="16"/>
  <c r="N3169" i="16"/>
  <c r="N3168" i="16"/>
  <c r="N3167" i="16"/>
  <c r="N3166" i="16"/>
  <c r="N3165" i="16"/>
  <c r="N3164" i="16"/>
  <c r="N3163" i="16"/>
  <c r="N3162" i="16"/>
  <c r="N3161" i="16"/>
  <c r="N3160" i="16"/>
  <c r="N3159" i="16"/>
  <c r="N3158" i="16"/>
  <c r="N3157" i="16"/>
  <c r="N3156" i="16"/>
  <c r="N3155" i="16"/>
  <c r="N3154" i="16"/>
  <c r="N3153" i="16"/>
  <c r="N3152" i="16"/>
  <c r="N3151" i="16"/>
  <c r="N3150" i="16"/>
  <c r="N3149" i="16"/>
  <c r="N3148" i="16"/>
  <c r="N3147" i="16"/>
  <c r="N3146" i="16"/>
  <c r="N3145" i="16"/>
  <c r="N3144" i="16"/>
  <c r="N3143" i="16"/>
  <c r="N3142" i="16"/>
  <c r="N3141" i="16"/>
  <c r="N3140" i="16"/>
  <c r="N3139" i="16"/>
  <c r="N3138" i="16"/>
  <c r="N3137" i="16"/>
  <c r="N3136" i="16"/>
  <c r="N3135" i="16"/>
  <c r="N3134" i="16"/>
  <c r="N3133" i="16"/>
  <c r="N3132" i="16"/>
  <c r="N3131" i="16"/>
  <c r="N3130" i="16"/>
  <c r="N3129" i="16"/>
  <c r="N3128" i="16"/>
  <c r="N3127" i="16"/>
  <c r="N3126" i="16"/>
  <c r="N3125" i="16"/>
  <c r="N3124" i="16"/>
  <c r="N3123" i="16"/>
  <c r="N3122" i="16"/>
  <c r="N3121" i="16"/>
  <c r="N3120" i="16"/>
  <c r="N3119" i="16"/>
  <c r="N3118" i="16"/>
  <c r="N3117" i="16"/>
  <c r="N3116" i="16"/>
  <c r="N3115" i="16"/>
  <c r="N3114" i="16"/>
  <c r="N3113" i="16"/>
  <c r="N3112" i="16"/>
  <c r="N3111" i="16"/>
  <c r="N3110" i="16"/>
  <c r="N3109" i="16"/>
  <c r="N3108" i="16"/>
  <c r="N3107" i="16"/>
  <c r="N3106" i="16"/>
  <c r="N3105" i="16"/>
  <c r="N3104" i="16"/>
  <c r="N3103" i="16"/>
  <c r="N3102" i="16"/>
  <c r="N3101" i="16"/>
  <c r="N3100" i="16"/>
  <c r="N3099" i="16"/>
  <c r="N3098" i="16"/>
  <c r="N3097" i="16"/>
  <c r="N3096" i="16"/>
  <c r="N3095" i="16"/>
  <c r="N3094" i="16"/>
  <c r="N3093" i="16"/>
  <c r="N3092" i="16"/>
  <c r="N3091" i="16"/>
  <c r="N3090" i="16"/>
  <c r="N3089" i="16"/>
  <c r="N3088" i="16"/>
  <c r="N3087" i="16"/>
  <c r="N3086" i="16"/>
  <c r="N3085" i="16"/>
  <c r="N3084" i="16"/>
  <c r="N3083" i="16"/>
  <c r="N3082" i="16"/>
  <c r="N3081" i="16"/>
  <c r="N3080" i="16"/>
  <c r="N3079" i="16"/>
  <c r="N3078" i="16"/>
  <c r="N3077" i="16"/>
  <c r="N3076" i="16"/>
  <c r="N3075" i="16"/>
  <c r="N3074" i="16"/>
  <c r="N3073" i="16"/>
  <c r="N3072" i="16"/>
  <c r="N3071" i="16"/>
  <c r="N3070" i="16"/>
  <c r="N3069" i="16"/>
  <c r="N3068" i="16"/>
  <c r="N3067" i="16"/>
  <c r="N3066" i="16"/>
  <c r="N3065" i="16"/>
  <c r="N3064" i="16"/>
  <c r="N3063" i="16"/>
  <c r="N3062" i="16"/>
  <c r="N3061" i="16"/>
  <c r="N3060" i="16"/>
  <c r="N3059" i="16"/>
  <c r="N3058" i="16"/>
  <c r="N3057" i="16"/>
  <c r="N3056" i="16"/>
  <c r="N3055" i="16"/>
  <c r="N3054" i="16"/>
  <c r="N3053" i="16"/>
  <c r="N3052" i="16"/>
  <c r="N3051" i="16"/>
  <c r="N3050" i="16"/>
  <c r="N3049" i="16"/>
  <c r="N3048" i="16"/>
  <c r="N3047" i="16"/>
  <c r="N3046" i="16"/>
  <c r="N3045" i="16"/>
  <c r="N3044" i="16"/>
  <c r="N3043" i="16"/>
  <c r="N3042" i="16"/>
  <c r="N3041" i="16"/>
  <c r="N3040" i="16"/>
  <c r="N3039" i="16"/>
  <c r="N3038" i="16"/>
  <c r="N3037" i="16"/>
  <c r="N3036" i="16"/>
  <c r="N3035" i="16"/>
  <c r="N3034" i="16"/>
  <c r="N3033" i="16"/>
  <c r="N3032" i="16"/>
  <c r="N3031" i="16"/>
  <c r="N3030" i="16"/>
  <c r="N3029" i="16"/>
  <c r="N3028" i="16"/>
  <c r="N3027" i="16"/>
  <c r="N3026" i="16"/>
  <c r="N3025" i="16"/>
  <c r="N3024" i="16"/>
  <c r="N3023" i="16"/>
  <c r="N3022" i="16"/>
  <c r="N3021" i="16"/>
  <c r="N3020" i="16"/>
  <c r="N3019" i="16"/>
  <c r="N3018" i="16"/>
  <c r="N3017" i="16"/>
  <c r="N3016" i="16"/>
  <c r="N3015" i="16"/>
  <c r="N3014" i="16"/>
  <c r="N3013" i="16"/>
  <c r="N3012" i="16"/>
  <c r="N3011" i="16"/>
  <c r="N3010" i="16"/>
  <c r="N3009" i="16"/>
  <c r="N3008" i="16"/>
  <c r="N3007" i="16"/>
  <c r="N3006" i="16"/>
  <c r="N3005" i="16"/>
  <c r="N3004" i="16"/>
  <c r="N3003" i="16"/>
  <c r="N3002" i="16"/>
  <c r="N3001" i="16"/>
  <c r="N3000" i="16"/>
  <c r="N2999" i="16"/>
  <c r="N2998" i="16"/>
  <c r="N2997" i="16"/>
  <c r="N2996" i="16"/>
  <c r="N2995" i="16"/>
  <c r="N2994" i="16"/>
  <c r="N2993" i="16"/>
  <c r="N2992" i="16"/>
  <c r="N2991" i="16"/>
  <c r="N2990" i="16"/>
  <c r="N2989" i="16"/>
  <c r="N2988" i="16"/>
  <c r="N2987" i="16"/>
  <c r="N2986" i="16"/>
  <c r="N2985" i="16"/>
  <c r="N2984" i="16"/>
  <c r="N2983" i="16"/>
  <c r="N2982" i="16"/>
  <c r="N2981" i="16"/>
  <c r="N2980" i="16"/>
  <c r="N2979" i="16"/>
  <c r="N2978" i="16"/>
  <c r="N2977" i="16"/>
  <c r="N2976" i="16"/>
  <c r="N2975" i="16"/>
  <c r="N2974" i="16"/>
  <c r="N2973" i="16"/>
  <c r="N2972" i="16"/>
  <c r="N2971" i="16"/>
  <c r="N2970" i="16"/>
  <c r="N2969" i="16"/>
  <c r="N2968" i="16"/>
  <c r="N2967" i="16"/>
  <c r="N2966" i="16"/>
  <c r="N2965" i="16"/>
  <c r="N2964" i="16"/>
  <c r="N2963" i="16"/>
  <c r="N2962" i="16"/>
  <c r="N2961" i="16"/>
  <c r="N2960" i="16"/>
  <c r="N2959" i="16"/>
  <c r="N2958" i="16"/>
  <c r="N2957" i="16"/>
  <c r="N2956" i="16"/>
  <c r="N2955" i="16"/>
  <c r="N2954" i="16"/>
  <c r="N2953" i="16"/>
  <c r="N2952" i="16"/>
  <c r="N2951" i="16"/>
  <c r="N2950" i="16"/>
  <c r="N2949" i="16"/>
  <c r="N2948" i="16"/>
  <c r="N2947" i="16"/>
  <c r="N2946" i="16"/>
  <c r="N2945" i="16"/>
  <c r="N2944" i="16"/>
  <c r="N2943" i="16"/>
  <c r="N2942" i="16"/>
  <c r="N2941" i="16"/>
  <c r="N2940" i="16"/>
  <c r="N2939" i="16"/>
  <c r="N2938" i="16"/>
  <c r="N2937" i="16"/>
  <c r="N2936" i="16"/>
  <c r="N2935" i="16"/>
  <c r="N2934" i="16"/>
  <c r="N2933" i="16"/>
  <c r="N2932" i="16"/>
  <c r="N2931" i="16"/>
  <c r="N2930" i="16"/>
  <c r="N2929" i="16"/>
  <c r="N2928" i="16"/>
  <c r="N2927" i="16"/>
  <c r="N2926" i="16"/>
  <c r="N2925" i="16"/>
  <c r="N2924" i="16"/>
  <c r="N2923" i="16"/>
  <c r="N2922" i="16"/>
  <c r="N2921" i="16"/>
  <c r="N2920" i="16"/>
  <c r="N2919" i="16"/>
  <c r="N2918" i="16"/>
  <c r="N2917" i="16"/>
  <c r="N2916" i="16"/>
  <c r="N2915" i="16"/>
  <c r="N2914" i="16"/>
  <c r="N2913" i="16"/>
  <c r="N2912" i="16"/>
  <c r="N2911" i="16"/>
  <c r="N2910" i="16"/>
  <c r="N2909" i="16"/>
  <c r="N2908" i="16"/>
  <c r="N2907" i="16"/>
  <c r="N2906" i="16"/>
  <c r="N2905" i="16"/>
  <c r="N2904" i="16"/>
  <c r="N2903" i="16"/>
  <c r="N2902" i="16"/>
  <c r="N2901" i="16"/>
  <c r="N2900" i="16"/>
  <c r="N2899" i="16"/>
  <c r="N2898" i="16"/>
  <c r="N2897" i="16"/>
  <c r="N2896" i="16"/>
  <c r="N2895" i="16"/>
  <c r="N2894" i="16"/>
  <c r="N2893" i="16"/>
  <c r="N2892" i="16"/>
  <c r="N2891" i="16"/>
  <c r="N2890" i="16"/>
  <c r="N2889" i="16"/>
  <c r="N2888" i="16"/>
  <c r="N2887" i="16"/>
  <c r="N2886" i="16"/>
  <c r="N2885" i="16"/>
  <c r="N2884" i="16"/>
  <c r="N2883" i="16"/>
  <c r="N2882" i="16"/>
  <c r="N2881" i="16"/>
  <c r="N2880" i="16"/>
  <c r="N2879" i="16"/>
  <c r="N2878" i="16"/>
  <c r="N2877" i="16"/>
  <c r="N2876" i="16"/>
  <c r="N2875" i="16"/>
  <c r="N2874" i="16"/>
  <c r="N2873" i="16"/>
  <c r="N2872" i="16"/>
  <c r="N2871" i="16"/>
  <c r="N2870" i="16"/>
  <c r="N2869" i="16"/>
  <c r="N2868" i="16"/>
  <c r="N2867" i="16"/>
  <c r="N2866" i="16"/>
  <c r="N2865" i="16"/>
  <c r="N2864" i="16"/>
  <c r="N2863" i="16"/>
  <c r="N2862" i="16"/>
  <c r="N2861" i="16"/>
  <c r="N2860" i="16"/>
  <c r="N2859" i="16"/>
  <c r="N2858" i="16"/>
  <c r="N2857" i="16"/>
  <c r="N2856" i="16"/>
  <c r="N2855" i="16"/>
  <c r="N2854" i="16"/>
  <c r="N2853" i="16"/>
  <c r="N2852" i="16"/>
  <c r="N2851" i="16"/>
  <c r="N2850" i="16"/>
  <c r="N2849" i="16"/>
  <c r="N2848" i="16"/>
  <c r="N2847" i="16"/>
  <c r="N2846" i="16"/>
  <c r="N2845" i="16"/>
  <c r="N2844" i="16"/>
  <c r="N2843" i="16"/>
  <c r="N2842" i="16"/>
  <c r="N2841" i="16"/>
  <c r="N2840" i="16"/>
  <c r="N2839" i="16"/>
  <c r="N2838" i="16"/>
  <c r="N2837" i="16"/>
  <c r="N2836" i="16"/>
  <c r="N2835" i="16"/>
  <c r="N2834" i="16"/>
  <c r="N2833" i="16"/>
  <c r="N2832" i="16"/>
  <c r="N2831" i="16"/>
  <c r="N2830" i="16"/>
  <c r="N2829" i="16"/>
  <c r="N2828" i="16"/>
  <c r="N2827" i="16"/>
  <c r="N2826" i="16"/>
  <c r="N2825" i="16"/>
  <c r="N2824" i="16"/>
  <c r="N2823" i="16"/>
  <c r="N2822" i="16"/>
  <c r="N2821" i="16"/>
  <c r="N2820" i="16"/>
  <c r="N2819" i="16"/>
  <c r="N2818" i="16"/>
  <c r="N2817" i="16"/>
  <c r="N2816" i="16"/>
  <c r="N2815" i="16"/>
  <c r="N2814" i="16"/>
  <c r="N2813" i="16"/>
  <c r="N2812" i="16"/>
  <c r="N2811" i="16"/>
  <c r="N2810" i="16"/>
  <c r="N2809" i="16"/>
  <c r="N2808" i="16"/>
  <c r="N2807" i="16"/>
  <c r="N2806" i="16"/>
  <c r="N2805" i="16"/>
  <c r="N2804" i="16"/>
  <c r="N2803" i="16"/>
  <c r="N2802" i="16"/>
  <c r="N2801" i="16"/>
  <c r="N2800" i="16"/>
  <c r="N2799" i="16"/>
  <c r="N2798" i="16"/>
  <c r="N2797" i="16"/>
  <c r="N2796" i="16"/>
  <c r="N2795" i="16"/>
  <c r="N2794" i="16"/>
  <c r="N2793" i="16"/>
  <c r="N2792" i="16"/>
  <c r="N2791" i="16"/>
  <c r="N2790" i="16"/>
  <c r="N2789" i="16"/>
  <c r="N2788" i="16"/>
  <c r="N2787" i="16"/>
  <c r="N2786" i="16"/>
  <c r="N2785" i="16"/>
  <c r="N2784" i="16"/>
  <c r="N2783" i="16"/>
  <c r="N2782" i="16"/>
  <c r="N2781" i="16"/>
  <c r="N2780" i="16"/>
  <c r="N2779" i="16"/>
  <c r="N2778" i="16"/>
  <c r="N2777" i="16"/>
  <c r="N2776" i="16"/>
  <c r="N2775" i="16"/>
  <c r="N2774" i="16"/>
  <c r="N2773" i="16"/>
  <c r="N2772" i="16"/>
  <c r="N2771" i="16"/>
  <c r="N2770" i="16"/>
  <c r="N2769" i="16"/>
  <c r="N2768" i="16"/>
  <c r="N2767" i="16"/>
  <c r="N2766" i="16"/>
  <c r="N2765" i="16"/>
  <c r="N2764" i="16"/>
  <c r="N2763" i="16"/>
  <c r="N2762" i="16"/>
  <c r="N2761" i="16"/>
  <c r="N2760" i="16"/>
  <c r="N2759" i="16"/>
  <c r="N2758" i="16"/>
  <c r="N2757" i="16"/>
  <c r="N2756" i="16"/>
  <c r="N2755" i="16"/>
  <c r="N2754" i="16"/>
  <c r="N2753" i="16"/>
  <c r="N2752" i="16"/>
  <c r="N2751" i="16"/>
  <c r="N2750" i="16"/>
  <c r="N2749" i="16"/>
  <c r="N2748" i="16"/>
  <c r="N2747" i="16"/>
  <c r="N2746" i="16"/>
  <c r="N2745" i="16"/>
  <c r="N2744" i="16"/>
  <c r="N2743" i="16"/>
  <c r="N2742" i="16"/>
  <c r="N2741" i="16"/>
  <c r="N2740" i="16"/>
  <c r="N2739" i="16"/>
  <c r="N2738" i="16"/>
  <c r="N2737" i="16"/>
  <c r="N2736" i="16"/>
  <c r="N2735" i="16"/>
  <c r="N2734" i="16"/>
  <c r="N2733" i="16"/>
  <c r="N2732" i="16"/>
  <c r="N2731" i="16"/>
  <c r="N2730" i="16"/>
  <c r="N2729" i="16"/>
  <c r="N2728" i="16"/>
  <c r="N2727" i="16"/>
  <c r="N2726" i="16"/>
  <c r="N2725" i="16"/>
  <c r="N2724" i="16"/>
  <c r="N2723" i="16"/>
  <c r="N2722" i="16"/>
  <c r="N2721" i="16"/>
  <c r="N2720" i="16"/>
  <c r="N2719" i="16"/>
  <c r="N2718" i="16"/>
  <c r="N2717" i="16"/>
  <c r="N2716" i="16"/>
  <c r="N2715" i="16"/>
  <c r="N2714" i="16"/>
  <c r="N2713" i="16"/>
  <c r="N2712" i="16"/>
  <c r="N2711" i="16"/>
  <c r="N2710" i="16"/>
  <c r="N2709" i="16"/>
  <c r="N2708" i="16"/>
  <c r="N2707" i="16"/>
  <c r="N2706" i="16"/>
  <c r="N2705" i="16"/>
  <c r="N2704" i="16"/>
  <c r="N2703" i="16"/>
  <c r="N2702" i="16"/>
  <c r="N2701" i="16"/>
  <c r="N2700" i="16"/>
  <c r="N2699" i="16"/>
  <c r="N2698" i="16"/>
  <c r="N2697" i="16"/>
  <c r="N2696" i="16"/>
  <c r="N2695" i="16"/>
  <c r="N2694" i="16"/>
  <c r="N2693" i="16"/>
  <c r="N2692" i="16"/>
  <c r="N2691" i="16"/>
  <c r="N2690" i="16"/>
  <c r="N2689" i="16"/>
  <c r="N2688" i="16"/>
  <c r="N2687" i="16"/>
  <c r="N2686" i="16"/>
  <c r="N2685" i="16"/>
  <c r="N2684" i="16"/>
  <c r="N2683" i="16"/>
  <c r="N2682" i="16"/>
  <c r="N2681" i="16"/>
  <c r="N2680" i="16"/>
  <c r="N2679" i="16"/>
  <c r="N2678" i="16"/>
  <c r="N2677" i="16"/>
  <c r="N2676" i="16"/>
  <c r="N2675" i="16"/>
  <c r="N2674" i="16"/>
  <c r="N2673" i="16"/>
  <c r="N2672" i="16"/>
  <c r="N2671" i="16"/>
  <c r="N2670" i="16"/>
  <c r="N2669" i="16"/>
  <c r="N2668" i="16"/>
  <c r="N2667" i="16"/>
  <c r="N2666" i="16"/>
  <c r="N2665" i="16"/>
  <c r="N2664" i="16"/>
  <c r="N2663" i="16"/>
  <c r="N2662" i="16"/>
  <c r="N2661" i="16"/>
  <c r="N2660" i="16"/>
  <c r="N2659" i="16"/>
  <c r="N2658" i="16"/>
  <c r="N2657" i="16"/>
  <c r="N2656" i="16"/>
  <c r="N2655" i="16"/>
  <c r="N2654" i="16"/>
  <c r="N2653" i="16"/>
  <c r="N2652" i="16"/>
  <c r="N2651" i="16"/>
  <c r="N2650" i="16"/>
  <c r="N2649" i="16"/>
  <c r="N2648" i="16"/>
  <c r="N2647" i="16"/>
  <c r="N2646" i="16"/>
  <c r="N2645" i="16"/>
  <c r="N2644" i="16"/>
  <c r="N2643" i="16"/>
  <c r="N2642" i="16"/>
  <c r="N2641" i="16"/>
  <c r="N2640" i="16"/>
  <c r="N2639" i="16"/>
  <c r="N2638" i="16"/>
  <c r="N2637" i="16"/>
  <c r="N2636" i="16"/>
  <c r="N2635" i="16"/>
  <c r="N2634" i="16"/>
  <c r="N2633" i="16"/>
  <c r="N2632" i="16"/>
  <c r="N2631" i="16"/>
  <c r="N2630" i="16"/>
  <c r="N2629" i="16"/>
  <c r="N2628" i="16"/>
  <c r="N2627" i="16"/>
  <c r="N2626" i="16"/>
  <c r="N2625" i="16"/>
  <c r="N2624" i="16"/>
  <c r="N2623" i="16"/>
  <c r="N2622" i="16"/>
  <c r="N2621" i="16"/>
  <c r="N2620" i="16"/>
  <c r="N2619" i="16"/>
  <c r="N2618" i="16"/>
  <c r="N2617" i="16"/>
  <c r="N2616" i="16"/>
  <c r="N2615" i="16"/>
  <c r="N2614" i="16"/>
  <c r="N2613" i="16"/>
  <c r="N2612" i="16"/>
  <c r="N2611" i="16"/>
  <c r="N2610" i="16"/>
  <c r="N2609" i="16"/>
  <c r="N2608" i="16"/>
  <c r="N2607" i="16"/>
  <c r="N2606" i="16"/>
  <c r="N2605" i="16"/>
  <c r="N2604" i="16"/>
  <c r="N2603" i="16"/>
  <c r="N2602" i="16"/>
  <c r="N2601" i="16"/>
  <c r="N2600" i="16"/>
  <c r="N2599" i="16"/>
  <c r="N2598" i="16"/>
  <c r="N2597" i="16"/>
  <c r="N2596" i="16"/>
  <c r="N2595" i="16"/>
  <c r="N2594" i="16"/>
  <c r="N2593" i="16"/>
  <c r="N2592" i="16"/>
  <c r="N2591" i="16"/>
  <c r="N2590" i="16"/>
  <c r="N2589" i="16"/>
  <c r="N2588" i="16"/>
  <c r="N2587" i="16"/>
  <c r="N2586" i="16"/>
  <c r="N2585" i="16"/>
  <c r="N2584" i="16"/>
  <c r="N2583" i="16"/>
  <c r="N2582" i="16"/>
  <c r="N2581" i="16"/>
  <c r="N2580" i="16"/>
  <c r="N2579" i="16"/>
  <c r="N2578" i="16"/>
  <c r="N2577" i="16"/>
  <c r="N2576" i="16"/>
  <c r="N2575" i="16"/>
  <c r="N2574" i="16"/>
  <c r="N2573" i="16"/>
  <c r="N2572" i="16"/>
  <c r="N2571" i="16"/>
  <c r="N2570" i="16"/>
  <c r="N2569" i="16"/>
  <c r="N2568" i="16"/>
  <c r="N2567" i="16"/>
  <c r="N2566" i="16"/>
  <c r="N2565" i="16"/>
  <c r="N2564" i="16"/>
  <c r="N2563" i="16"/>
  <c r="N2562" i="16"/>
  <c r="N2561" i="16"/>
  <c r="N2560" i="16"/>
  <c r="N2559" i="16"/>
  <c r="N2558" i="16"/>
  <c r="N2557" i="16"/>
  <c r="N2556" i="16"/>
  <c r="N2555" i="16"/>
  <c r="N2554" i="16"/>
  <c r="N2553" i="16"/>
  <c r="N2552" i="16"/>
  <c r="N2551" i="16"/>
  <c r="N2550" i="16"/>
  <c r="N2549" i="16"/>
  <c r="N2548" i="16"/>
  <c r="N2547" i="16"/>
  <c r="N2546" i="16"/>
  <c r="N2545" i="16"/>
  <c r="N2544" i="16"/>
  <c r="N2543" i="16"/>
  <c r="N2542" i="16"/>
  <c r="N2541" i="16"/>
  <c r="N2540" i="16"/>
  <c r="N2539" i="16"/>
  <c r="N2538" i="16"/>
  <c r="N2537" i="16"/>
  <c r="N2536" i="16"/>
  <c r="N2535" i="16"/>
  <c r="N2534" i="16"/>
  <c r="N2533" i="16"/>
  <c r="N2532" i="16"/>
  <c r="N2531" i="16"/>
  <c r="N2530" i="16"/>
  <c r="N2529" i="16"/>
  <c r="N2528" i="16"/>
  <c r="N2527" i="16"/>
  <c r="N2526" i="16"/>
  <c r="N2525" i="16"/>
  <c r="N2524" i="16"/>
  <c r="N2523" i="16"/>
  <c r="N2522" i="16"/>
  <c r="N2521" i="16"/>
  <c r="N2520" i="16"/>
  <c r="N2519" i="16"/>
  <c r="N2518" i="16"/>
  <c r="N2517" i="16"/>
  <c r="N2516" i="16"/>
  <c r="N2515" i="16"/>
  <c r="N2514" i="16"/>
  <c r="N2513" i="16"/>
  <c r="N2512" i="16"/>
  <c r="N2511" i="16"/>
  <c r="N2510" i="16"/>
  <c r="N2509" i="16"/>
  <c r="N2508" i="16"/>
  <c r="N2507" i="16"/>
  <c r="N2506" i="16"/>
  <c r="N2505" i="16"/>
  <c r="N2504" i="16"/>
  <c r="N2503" i="16"/>
  <c r="N2502" i="16"/>
  <c r="N2501" i="16"/>
  <c r="N2500" i="16"/>
  <c r="N2499" i="16"/>
  <c r="N2498" i="16"/>
  <c r="N2497" i="16"/>
  <c r="N2496" i="16"/>
  <c r="N2495" i="16"/>
  <c r="N2494" i="16"/>
  <c r="N2493" i="16"/>
  <c r="N2492" i="16"/>
  <c r="N2491" i="16"/>
  <c r="N2490" i="16"/>
  <c r="N2489" i="16"/>
  <c r="N2488" i="16"/>
  <c r="N2487" i="16"/>
  <c r="N2486" i="16"/>
  <c r="N2485" i="16"/>
  <c r="N2484" i="16"/>
  <c r="N2483" i="16"/>
  <c r="N2482" i="16"/>
  <c r="N2481" i="16"/>
  <c r="N2480" i="16"/>
  <c r="N2479" i="16"/>
  <c r="N2478" i="16"/>
  <c r="N2477" i="16"/>
  <c r="N2476" i="16"/>
  <c r="N2475" i="16"/>
  <c r="N2474" i="16"/>
  <c r="N2473" i="16"/>
  <c r="N2472" i="16"/>
  <c r="N2471" i="16"/>
  <c r="N2470" i="16"/>
  <c r="N2469" i="16"/>
  <c r="N2468" i="16"/>
  <c r="N2467" i="16"/>
  <c r="N2466" i="16"/>
  <c r="N2465" i="16"/>
  <c r="N2464" i="16"/>
  <c r="N2463" i="16"/>
  <c r="N2462" i="16"/>
  <c r="N2461" i="16"/>
  <c r="N2460" i="16"/>
  <c r="N2459" i="16"/>
  <c r="N2458" i="16"/>
  <c r="N2457" i="16"/>
  <c r="N2456" i="16"/>
  <c r="N2455" i="16"/>
  <c r="N2454" i="16"/>
  <c r="N2453" i="16"/>
  <c r="N2452" i="16"/>
  <c r="N2451" i="16"/>
  <c r="N2450" i="16"/>
  <c r="N2449" i="16"/>
  <c r="N2448" i="16"/>
  <c r="N2447" i="16"/>
  <c r="N2446" i="16"/>
  <c r="N2445" i="16"/>
  <c r="N2444" i="16"/>
  <c r="N2443" i="16"/>
  <c r="N2442" i="16"/>
  <c r="N2441" i="16"/>
  <c r="N2440" i="16"/>
  <c r="N2439" i="16"/>
  <c r="N2438" i="16"/>
  <c r="N2437" i="16"/>
  <c r="N2436" i="16"/>
  <c r="N2435" i="16"/>
  <c r="N2434" i="16"/>
  <c r="N2433" i="16"/>
  <c r="N2432" i="16"/>
  <c r="N2431" i="16"/>
  <c r="N2430" i="16"/>
  <c r="N2429" i="16"/>
  <c r="N2428" i="16"/>
  <c r="N2427" i="16"/>
  <c r="N2426" i="16"/>
  <c r="N2425" i="16"/>
  <c r="N2424" i="16"/>
  <c r="N2423" i="16"/>
  <c r="N2422" i="16"/>
  <c r="N2421" i="16"/>
  <c r="N2420" i="16"/>
  <c r="N2419" i="16"/>
  <c r="N2418" i="16"/>
  <c r="N2417" i="16"/>
  <c r="N2416" i="16"/>
  <c r="N2415" i="16"/>
  <c r="N2414" i="16"/>
  <c r="N2413" i="16"/>
  <c r="N2412" i="16"/>
  <c r="N2411" i="16"/>
  <c r="N2410" i="16"/>
  <c r="N2409" i="16"/>
  <c r="N2408" i="16"/>
  <c r="N2407" i="16"/>
  <c r="N2406" i="16"/>
  <c r="N2405" i="16"/>
  <c r="N2404" i="16"/>
  <c r="N2403" i="16"/>
  <c r="N2402" i="16"/>
  <c r="N2401" i="16"/>
  <c r="N2400" i="16"/>
  <c r="N2399" i="16"/>
  <c r="N2398" i="16"/>
  <c r="N2397" i="16"/>
  <c r="N2396" i="16"/>
  <c r="N2395" i="16"/>
  <c r="N2394" i="16"/>
  <c r="N2393" i="16"/>
  <c r="N2392" i="16"/>
  <c r="N2391" i="16"/>
  <c r="N2390" i="16"/>
  <c r="N2389" i="16"/>
  <c r="N2388" i="16"/>
  <c r="N2387" i="16"/>
  <c r="N2386" i="16"/>
  <c r="N2385" i="16"/>
  <c r="N2384" i="16"/>
  <c r="N2383" i="16"/>
  <c r="N2382" i="16"/>
  <c r="N2381" i="16"/>
  <c r="N2380" i="16"/>
  <c r="N2379" i="16"/>
  <c r="N2378" i="16"/>
  <c r="N2377" i="16"/>
  <c r="N2376" i="16"/>
  <c r="N2375" i="16"/>
  <c r="N2374" i="16"/>
  <c r="N2373" i="16"/>
  <c r="N2372" i="16"/>
  <c r="N2371" i="16"/>
  <c r="N2370" i="16"/>
  <c r="N2369" i="16"/>
  <c r="N2368" i="16"/>
  <c r="N2367" i="16"/>
  <c r="N2366" i="16"/>
  <c r="N2365" i="16"/>
  <c r="N2364" i="16"/>
  <c r="N2363" i="16"/>
  <c r="N2362" i="16"/>
  <c r="N2361" i="16"/>
  <c r="N2360" i="16"/>
  <c r="N2359" i="16"/>
  <c r="N2358" i="16"/>
  <c r="N2357" i="16"/>
  <c r="N2356" i="16"/>
  <c r="N2355" i="16"/>
  <c r="N2354" i="16"/>
  <c r="N2353" i="16"/>
  <c r="N2352" i="16"/>
  <c r="N2351" i="16"/>
  <c r="N2350" i="16"/>
  <c r="N2349" i="16"/>
  <c r="N2348" i="16"/>
  <c r="N2347" i="16"/>
  <c r="N2346" i="16"/>
  <c r="N2345" i="16"/>
  <c r="N2344" i="16"/>
  <c r="N2343" i="16"/>
  <c r="N2342" i="16"/>
  <c r="N2341" i="16"/>
  <c r="N2340" i="16"/>
  <c r="N2339" i="16"/>
  <c r="N2338" i="16"/>
  <c r="N2337" i="16"/>
  <c r="N2336" i="16"/>
  <c r="N2335" i="16"/>
  <c r="N2334" i="16"/>
  <c r="N2333" i="16"/>
  <c r="N2332" i="16"/>
  <c r="N2331" i="16"/>
  <c r="N2330" i="16"/>
  <c r="N2329" i="16"/>
  <c r="N2328" i="16"/>
  <c r="N2327" i="16"/>
  <c r="N2326" i="16"/>
  <c r="N2325" i="16"/>
  <c r="N2324" i="16"/>
  <c r="N2323" i="16"/>
  <c r="N2322" i="16"/>
  <c r="N2321" i="16"/>
  <c r="N2320" i="16"/>
  <c r="N2319" i="16"/>
  <c r="N2318" i="16"/>
  <c r="N2317" i="16"/>
  <c r="N2316" i="16"/>
  <c r="N2315" i="16"/>
  <c r="N2314" i="16"/>
  <c r="N2313" i="16"/>
  <c r="N2312" i="16"/>
  <c r="N2311" i="16"/>
  <c r="N2310" i="16"/>
  <c r="N2309" i="16"/>
  <c r="N2308" i="16"/>
  <c r="N2307" i="16"/>
  <c r="N2306" i="16"/>
  <c r="N2305" i="16"/>
  <c r="N2304" i="16"/>
  <c r="N2303" i="16"/>
  <c r="N2302" i="16"/>
  <c r="N2301" i="16"/>
  <c r="N2300" i="16"/>
  <c r="N2299" i="16"/>
  <c r="N2298" i="16"/>
  <c r="N2297" i="16"/>
  <c r="N2296" i="16"/>
  <c r="N2295" i="16"/>
  <c r="N2294" i="16"/>
  <c r="N2293" i="16"/>
  <c r="N2292" i="16"/>
  <c r="N2291" i="16"/>
  <c r="N2290" i="16"/>
  <c r="N2289" i="16"/>
  <c r="N2288" i="16"/>
  <c r="N2287" i="16"/>
  <c r="N2286" i="16"/>
  <c r="N2285" i="16"/>
  <c r="N2284" i="16"/>
  <c r="N2283" i="16"/>
  <c r="N2282" i="16"/>
  <c r="N2281" i="16"/>
  <c r="N2280" i="16"/>
  <c r="N2279" i="16"/>
  <c r="N2278" i="16"/>
  <c r="N2277" i="16"/>
  <c r="N2276" i="16"/>
  <c r="N2275" i="16"/>
  <c r="N2274" i="16"/>
  <c r="N2273" i="16"/>
  <c r="N2272" i="16"/>
  <c r="N2271" i="16"/>
  <c r="N2270" i="16"/>
  <c r="N2269" i="16"/>
  <c r="N2268" i="16"/>
  <c r="N2267" i="16"/>
  <c r="N2266" i="16"/>
  <c r="N2265" i="16"/>
  <c r="N2264" i="16"/>
  <c r="N2263" i="16"/>
  <c r="N2262" i="16"/>
  <c r="N2261" i="16"/>
  <c r="N2260" i="16"/>
  <c r="N2259" i="16"/>
  <c r="N2258" i="16"/>
  <c r="N2257" i="16"/>
  <c r="N2256" i="16"/>
  <c r="N2255" i="16"/>
  <c r="N2254" i="16"/>
  <c r="N2253" i="16"/>
  <c r="N2252" i="16"/>
  <c r="N2251" i="16"/>
  <c r="N2250" i="16"/>
  <c r="N2249" i="16"/>
  <c r="N2248" i="16"/>
  <c r="N2247" i="16"/>
  <c r="N2246" i="16"/>
  <c r="N2245" i="16"/>
  <c r="N2244" i="16"/>
  <c r="N2243" i="16"/>
  <c r="N2242" i="16"/>
  <c r="N2241" i="16"/>
  <c r="N2240" i="16"/>
  <c r="N2239" i="16"/>
  <c r="N2238" i="16"/>
  <c r="N2237" i="16"/>
  <c r="N2236" i="16"/>
  <c r="N2235" i="16"/>
  <c r="N2234" i="16"/>
  <c r="N2233" i="16"/>
  <c r="N2232" i="16"/>
  <c r="N2231" i="16"/>
  <c r="N2230" i="16"/>
  <c r="N2229" i="16"/>
  <c r="N2228" i="16"/>
  <c r="N2227" i="16"/>
  <c r="N2226" i="16"/>
  <c r="N2225" i="16"/>
  <c r="N2224" i="16"/>
  <c r="N2223" i="16"/>
  <c r="N2222" i="16"/>
  <c r="N2221" i="16"/>
  <c r="N2220" i="16"/>
  <c r="N2219" i="16"/>
  <c r="N2218" i="16"/>
  <c r="N2217" i="16"/>
  <c r="N2216" i="16"/>
  <c r="N2215" i="16"/>
  <c r="N2214" i="16"/>
  <c r="N2213" i="16"/>
  <c r="N2212" i="16"/>
  <c r="N2211" i="16"/>
  <c r="N2210" i="16"/>
  <c r="N2209" i="16"/>
  <c r="N2208" i="16"/>
  <c r="N2207" i="16"/>
  <c r="N2206" i="16"/>
  <c r="N2205" i="16"/>
  <c r="N2204" i="16"/>
  <c r="N2203" i="16"/>
  <c r="N2202" i="16"/>
  <c r="N2201" i="16"/>
  <c r="N2200" i="16"/>
  <c r="N2199" i="16"/>
  <c r="N2198" i="16"/>
  <c r="N2197" i="16"/>
  <c r="N2196" i="16"/>
  <c r="N2195" i="16"/>
  <c r="N2194" i="16"/>
  <c r="N2193" i="16"/>
  <c r="N2192" i="16"/>
  <c r="N2191" i="16"/>
  <c r="N2190" i="16"/>
  <c r="N2189" i="16"/>
  <c r="N2188" i="16"/>
  <c r="N2187" i="16"/>
  <c r="N2186" i="16"/>
  <c r="N2185" i="16"/>
  <c r="N2184" i="16"/>
  <c r="N2183" i="16"/>
  <c r="N2182" i="16"/>
  <c r="N2181" i="16"/>
  <c r="N2180" i="16"/>
  <c r="N2179" i="16"/>
  <c r="N2178" i="16"/>
  <c r="N2177" i="16"/>
  <c r="N2176" i="16"/>
  <c r="N2175" i="16"/>
  <c r="N2174" i="16"/>
  <c r="N2173" i="16"/>
  <c r="N2172" i="16"/>
  <c r="N2171" i="16"/>
  <c r="N2170" i="16"/>
  <c r="N2169" i="16"/>
  <c r="N2168" i="16"/>
  <c r="N2167" i="16"/>
  <c r="N2166" i="16"/>
  <c r="N2165" i="16"/>
  <c r="N2164" i="16"/>
  <c r="N2163" i="16"/>
  <c r="N2162" i="16"/>
  <c r="N2161" i="16"/>
  <c r="N2160" i="16"/>
  <c r="N2159" i="16"/>
  <c r="N2158" i="16"/>
  <c r="N2157" i="16"/>
  <c r="N2156" i="16"/>
  <c r="N2155" i="16"/>
  <c r="N2154" i="16"/>
  <c r="N2153" i="16"/>
  <c r="N2152" i="16"/>
  <c r="N2151" i="16"/>
  <c r="N2150" i="16"/>
  <c r="N2149" i="16"/>
  <c r="N2148" i="16"/>
  <c r="N2147" i="16"/>
  <c r="N2146" i="16"/>
  <c r="N2145" i="16"/>
  <c r="N2144" i="16"/>
  <c r="N2143" i="16"/>
  <c r="N2142" i="16"/>
  <c r="N2141" i="16"/>
  <c r="N2140" i="16"/>
  <c r="N2139" i="16"/>
  <c r="N2138" i="16"/>
  <c r="N2137" i="16"/>
  <c r="N2136" i="16"/>
  <c r="N2135" i="16"/>
  <c r="N2134" i="16"/>
  <c r="N2133" i="16"/>
  <c r="N2132" i="16"/>
  <c r="N2131" i="16"/>
  <c r="N2130" i="16"/>
  <c r="N2129" i="16"/>
  <c r="N2128" i="16"/>
  <c r="N2127" i="16"/>
  <c r="N2126" i="16"/>
  <c r="N2125" i="16"/>
  <c r="N2124" i="16"/>
  <c r="N2123" i="16"/>
  <c r="N2122" i="16"/>
  <c r="N2121" i="16"/>
  <c r="N2120" i="16"/>
  <c r="N2119" i="16"/>
  <c r="N2118" i="16"/>
  <c r="N2117" i="16"/>
  <c r="N2116" i="16"/>
  <c r="N2115" i="16"/>
  <c r="N2114" i="16"/>
  <c r="N2113" i="16"/>
  <c r="N2112" i="16"/>
  <c r="N2111" i="16"/>
  <c r="N2110" i="16"/>
  <c r="N2109" i="16"/>
  <c r="N2108" i="16"/>
  <c r="N2107" i="16"/>
  <c r="N2106" i="16"/>
  <c r="N2105" i="16"/>
  <c r="N2104" i="16"/>
  <c r="N2103" i="16"/>
  <c r="N2102" i="16"/>
  <c r="N2101" i="16"/>
  <c r="N2100" i="16"/>
  <c r="N2099" i="16"/>
  <c r="N2098" i="16"/>
  <c r="N2097" i="16"/>
  <c r="N2096" i="16"/>
  <c r="N2095" i="16"/>
  <c r="N2094" i="16"/>
  <c r="N2093" i="16"/>
  <c r="N2092" i="16"/>
  <c r="N2091" i="16"/>
  <c r="N2090" i="16"/>
  <c r="N2089" i="16"/>
  <c r="N2088" i="16"/>
  <c r="N2087" i="16"/>
  <c r="N2086" i="16"/>
  <c r="N2085" i="16"/>
  <c r="N2084" i="16"/>
  <c r="N2083" i="16"/>
  <c r="N2082" i="16"/>
  <c r="N2081" i="16"/>
  <c r="N2080" i="16"/>
  <c r="N2079" i="16"/>
  <c r="N2078" i="16"/>
  <c r="N2077" i="16"/>
  <c r="N2076" i="16"/>
  <c r="N2075" i="16"/>
  <c r="N2074" i="16"/>
  <c r="N2073" i="16"/>
  <c r="N2072" i="16"/>
  <c r="N2071" i="16"/>
  <c r="N2070" i="16"/>
  <c r="N2069" i="16"/>
  <c r="N2068" i="16"/>
  <c r="N2067" i="16"/>
  <c r="N2066" i="16"/>
  <c r="N2065" i="16"/>
  <c r="N2064" i="16"/>
  <c r="N2063" i="16"/>
  <c r="N2062" i="16"/>
  <c r="N2061" i="16"/>
  <c r="N2060" i="16"/>
  <c r="N2059" i="16"/>
  <c r="N2058" i="16"/>
  <c r="N2057" i="16"/>
  <c r="N2056" i="16"/>
  <c r="N2055" i="16"/>
  <c r="N2054" i="16"/>
  <c r="N2053" i="16"/>
  <c r="N2052" i="16"/>
  <c r="N2051" i="16"/>
  <c r="N2050" i="16"/>
  <c r="N2049" i="16"/>
  <c r="N2048" i="16"/>
  <c r="N2047" i="16"/>
  <c r="N2046" i="16"/>
  <c r="N2045" i="16"/>
  <c r="N2044" i="16"/>
  <c r="N2043" i="16"/>
  <c r="N2042" i="16"/>
  <c r="N2041" i="16"/>
  <c r="N2040" i="16"/>
  <c r="N2039" i="16"/>
  <c r="N2038" i="16"/>
  <c r="N2037" i="16"/>
  <c r="N2036" i="16"/>
  <c r="N2035" i="16"/>
  <c r="N2034" i="16"/>
  <c r="N2033" i="16"/>
  <c r="N2032" i="16"/>
  <c r="N2031" i="16"/>
  <c r="N2030" i="16"/>
  <c r="N2029" i="16"/>
  <c r="N2028" i="16"/>
  <c r="N2027" i="16"/>
  <c r="N2026" i="16"/>
  <c r="N2025" i="16"/>
  <c r="N2024" i="16"/>
  <c r="N2023" i="16"/>
  <c r="N2022" i="16"/>
  <c r="N2021" i="16"/>
  <c r="N2020" i="16"/>
  <c r="N2019" i="16"/>
  <c r="N2018" i="16"/>
  <c r="N2017" i="16"/>
  <c r="N2016" i="16"/>
  <c r="N2015" i="16"/>
  <c r="N2014" i="16"/>
  <c r="N2013" i="16"/>
  <c r="N2012" i="16"/>
  <c r="N2011" i="16"/>
  <c r="N2010" i="16"/>
  <c r="N2009" i="16"/>
  <c r="N2008" i="16"/>
  <c r="N2007" i="16"/>
  <c r="N2006" i="16"/>
  <c r="N2005" i="16"/>
  <c r="N2004" i="16"/>
  <c r="N2003" i="16"/>
  <c r="N2002" i="16"/>
  <c r="N2001" i="16"/>
  <c r="N2000" i="16"/>
  <c r="N1999" i="16"/>
  <c r="N1998" i="16"/>
  <c r="N1997" i="16"/>
  <c r="N1996" i="16"/>
  <c r="N1995" i="16"/>
  <c r="N1994" i="16"/>
  <c r="N1993" i="16"/>
  <c r="N1992" i="16"/>
  <c r="N1991" i="16"/>
  <c r="N1990" i="16"/>
  <c r="N1989" i="16"/>
  <c r="N1988" i="16"/>
  <c r="N1987" i="16"/>
  <c r="N1986" i="16"/>
  <c r="N1985" i="16"/>
  <c r="N1984" i="16"/>
  <c r="N1983" i="16"/>
  <c r="N1982" i="16"/>
  <c r="N1981" i="16"/>
  <c r="N1980" i="16"/>
  <c r="N1979" i="16"/>
  <c r="N1978" i="16"/>
  <c r="N1977" i="16"/>
  <c r="N1976" i="16"/>
  <c r="N1975" i="16"/>
  <c r="N1974" i="16"/>
  <c r="N1973" i="16"/>
  <c r="N1972" i="16"/>
  <c r="N1971" i="16"/>
  <c r="N1970" i="16"/>
  <c r="N1969" i="16"/>
  <c r="N1968" i="16"/>
  <c r="N1967" i="16"/>
  <c r="N1966" i="16"/>
  <c r="N1965" i="16"/>
  <c r="N1964" i="16"/>
  <c r="N1963" i="16"/>
  <c r="N1962" i="16"/>
  <c r="N1961" i="16"/>
  <c r="N1960" i="16"/>
  <c r="N1959" i="16"/>
  <c r="N1958" i="16"/>
  <c r="N1957" i="16"/>
  <c r="N1956" i="16"/>
  <c r="N1955" i="16"/>
  <c r="N1954" i="16"/>
  <c r="N1953" i="16"/>
  <c r="N1952" i="16"/>
  <c r="N1951" i="16"/>
  <c r="N1950" i="16"/>
  <c r="N1949" i="16"/>
  <c r="N1948" i="16"/>
  <c r="N1947" i="16"/>
  <c r="N1946" i="16"/>
  <c r="N1945" i="16"/>
  <c r="N1944" i="16"/>
  <c r="N1943" i="16"/>
  <c r="N1942" i="16"/>
  <c r="N1941" i="16"/>
  <c r="N1940" i="16"/>
  <c r="N1939" i="16"/>
  <c r="N1938" i="16"/>
  <c r="N1937" i="16"/>
  <c r="N1936" i="16"/>
  <c r="N1935" i="16"/>
  <c r="N1934" i="16"/>
  <c r="N1933" i="16"/>
  <c r="N1932" i="16"/>
  <c r="N1931" i="16"/>
  <c r="N1930" i="16"/>
  <c r="N1929" i="16"/>
  <c r="N1928" i="16"/>
  <c r="N1927" i="16"/>
  <c r="N1926" i="16"/>
  <c r="N1925" i="16"/>
  <c r="N1924" i="16"/>
  <c r="N1923" i="16"/>
  <c r="N1922" i="16"/>
  <c r="N1921" i="16"/>
  <c r="N1920" i="16"/>
  <c r="N1919" i="16"/>
  <c r="N1918" i="16"/>
  <c r="N1917" i="16"/>
  <c r="N1916" i="16"/>
  <c r="N1915" i="16"/>
  <c r="N1914" i="16"/>
  <c r="N1913" i="16"/>
  <c r="N1912" i="16"/>
  <c r="N1911" i="16"/>
  <c r="N1910" i="16"/>
  <c r="N1909" i="16"/>
  <c r="N1908" i="16"/>
  <c r="N1907" i="16"/>
  <c r="N1906" i="16"/>
  <c r="N1905" i="16"/>
  <c r="N1904" i="16"/>
  <c r="N1903" i="16"/>
  <c r="N1902" i="16"/>
  <c r="N1901" i="16"/>
  <c r="N1900" i="16"/>
  <c r="N1899" i="16"/>
  <c r="N1898" i="16"/>
  <c r="N1897" i="16"/>
  <c r="N1896" i="16"/>
  <c r="N1895" i="16"/>
  <c r="N1894" i="16"/>
  <c r="N1893" i="16"/>
  <c r="N1892" i="16"/>
  <c r="N1891" i="16"/>
  <c r="N1890" i="16"/>
  <c r="N1889" i="16"/>
  <c r="N1888" i="16"/>
  <c r="N1887" i="16"/>
  <c r="N1886" i="16"/>
  <c r="N1885" i="16"/>
  <c r="N1884" i="16"/>
  <c r="N1883" i="16"/>
  <c r="N1882" i="16"/>
  <c r="N1881" i="16"/>
  <c r="N1880" i="16"/>
  <c r="N1879" i="16"/>
  <c r="N1878" i="16"/>
  <c r="N1877" i="16"/>
  <c r="N1876" i="16"/>
  <c r="N1875" i="16"/>
  <c r="N1874" i="16"/>
  <c r="N1873" i="16"/>
  <c r="N1872" i="16"/>
  <c r="N1871" i="16"/>
  <c r="N1870" i="16"/>
  <c r="N1869" i="16"/>
  <c r="N1868" i="16"/>
  <c r="N1867" i="16"/>
  <c r="N1866" i="16"/>
  <c r="N1865" i="16"/>
  <c r="N1864" i="16"/>
  <c r="N1863" i="16"/>
  <c r="N1862" i="16"/>
  <c r="N1861" i="16"/>
  <c r="N1860" i="16"/>
  <c r="N1859" i="16"/>
  <c r="N1858" i="16"/>
  <c r="N1857" i="16"/>
  <c r="N1856" i="16"/>
  <c r="N1855" i="16"/>
  <c r="N1854" i="16"/>
  <c r="N1853" i="16"/>
  <c r="N1852" i="16"/>
  <c r="N1851" i="16"/>
  <c r="N1850" i="16"/>
  <c r="N1849" i="16"/>
  <c r="N1848" i="16"/>
  <c r="N1847" i="16"/>
  <c r="N1846" i="16"/>
  <c r="N1845" i="16"/>
  <c r="N1844" i="16"/>
  <c r="N1843" i="16"/>
  <c r="N1842" i="16"/>
  <c r="N1841" i="16"/>
  <c r="N1840" i="16"/>
  <c r="N1839" i="16"/>
  <c r="N1838" i="16"/>
  <c r="N1837" i="16"/>
  <c r="N1836" i="16"/>
  <c r="N1835" i="16"/>
  <c r="N1834" i="16"/>
  <c r="N1833" i="16"/>
  <c r="N1832" i="16"/>
  <c r="N1831" i="16"/>
  <c r="N1830" i="16"/>
  <c r="N1829" i="16"/>
  <c r="N1828" i="16"/>
  <c r="N1827" i="16"/>
  <c r="N1826" i="16"/>
  <c r="N1825" i="16"/>
  <c r="N1824" i="16"/>
  <c r="N1823" i="16"/>
  <c r="N1822" i="16"/>
  <c r="N1821" i="16"/>
  <c r="N1820" i="16"/>
  <c r="N1819" i="16"/>
  <c r="N1818" i="16"/>
  <c r="N1817" i="16"/>
  <c r="N1816" i="16"/>
  <c r="N1815" i="16"/>
  <c r="N1814" i="16"/>
  <c r="N1813" i="16"/>
  <c r="N1812" i="16"/>
  <c r="N1811" i="16"/>
  <c r="N1810" i="16"/>
  <c r="N1809" i="16"/>
  <c r="N1808" i="16"/>
  <c r="N1807" i="16"/>
  <c r="N1806" i="16"/>
  <c r="N1805" i="16"/>
  <c r="N1804" i="16"/>
  <c r="N1803" i="16"/>
  <c r="N1802" i="16"/>
  <c r="N1801" i="16"/>
  <c r="N1800" i="16"/>
  <c r="N1799" i="16"/>
  <c r="N1798" i="16"/>
  <c r="N1797" i="16"/>
  <c r="N1796" i="16"/>
  <c r="N1795" i="16"/>
  <c r="N1794" i="16"/>
  <c r="N1793" i="16"/>
  <c r="N1792" i="16"/>
  <c r="N1791" i="16"/>
  <c r="N1790" i="16"/>
  <c r="N1789" i="16"/>
  <c r="N1788" i="16"/>
  <c r="N1787" i="16"/>
  <c r="N1786" i="16"/>
  <c r="N1785" i="16"/>
  <c r="N1784" i="16"/>
  <c r="N1783" i="16"/>
  <c r="N1782" i="16"/>
  <c r="N1781" i="16"/>
  <c r="N1780" i="16"/>
  <c r="N1779" i="16"/>
  <c r="N1778" i="16"/>
  <c r="N1777" i="16"/>
  <c r="N1776" i="16"/>
  <c r="N1775" i="16"/>
  <c r="N1774" i="16"/>
  <c r="N1773" i="16"/>
  <c r="N1772" i="16"/>
  <c r="N1771" i="16"/>
  <c r="N1770" i="16"/>
  <c r="N1769" i="16"/>
  <c r="N1768" i="16"/>
  <c r="N1767" i="16"/>
  <c r="N1766" i="16"/>
  <c r="N1765" i="16"/>
  <c r="N1764" i="16"/>
  <c r="N1763" i="16"/>
  <c r="N1762" i="16"/>
  <c r="N1761" i="16"/>
  <c r="N1760" i="16"/>
  <c r="N1759" i="16"/>
  <c r="N1758" i="16"/>
  <c r="N1757" i="16"/>
  <c r="N1756" i="16"/>
  <c r="N1755" i="16"/>
  <c r="N1754" i="16"/>
  <c r="N1753" i="16"/>
  <c r="N1752" i="16"/>
  <c r="N1751" i="16"/>
  <c r="N1750" i="16"/>
  <c r="N1749" i="16"/>
  <c r="N1748" i="16"/>
  <c r="N1747" i="16"/>
  <c r="N1746" i="16"/>
  <c r="N1745" i="16"/>
  <c r="N1744" i="16"/>
  <c r="N1743" i="16"/>
  <c r="N1742" i="16"/>
  <c r="N1741" i="16"/>
  <c r="N1740" i="16"/>
  <c r="N1739" i="16"/>
  <c r="N1738" i="16"/>
  <c r="N1737" i="16"/>
  <c r="N1736" i="16"/>
  <c r="N1735" i="16"/>
  <c r="N1734" i="16"/>
  <c r="N1733" i="16"/>
  <c r="N1732" i="16"/>
  <c r="N1731" i="16"/>
  <c r="N1730" i="16"/>
  <c r="N1729" i="16"/>
  <c r="N1728" i="16"/>
  <c r="N1727" i="16"/>
  <c r="N1726" i="16"/>
  <c r="N1725" i="16"/>
  <c r="N1724" i="16"/>
  <c r="N1723" i="16"/>
  <c r="N1722" i="16"/>
  <c r="N1721" i="16"/>
  <c r="N1720" i="16"/>
  <c r="N1719" i="16"/>
  <c r="N1718" i="16"/>
  <c r="N1717" i="16"/>
  <c r="N1716" i="16"/>
  <c r="N1715" i="16"/>
  <c r="N1714" i="16"/>
  <c r="N1713" i="16"/>
  <c r="N1712" i="16"/>
  <c r="N1711" i="16"/>
  <c r="N1710" i="16"/>
  <c r="N1709" i="16"/>
  <c r="N1708" i="16"/>
  <c r="N1707" i="16"/>
  <c r="N1706" i="16"/>
  <c r="N1705" i="16"/>
  <c r="N1704" i="16"/>
  <c r="N1703" i="16"/>
  <c r="N1702" i="16"/>
  <c r="N1701" i="16"/>
  <c r="N1700" i="16"/>
  <c r="N1699" i="16"/>
  <c r="N1698" i="16"/>
  <c r="N1697" i="16"/>
  <c r="N1696" i="16"/>
  <c r="N1695" i="16"/>
  <c r="N1694" i="16"/>
  <c r="N1693" i="16"/>
  <c r="N1692" i="16"/>
  <c r="N1691" i="16"/>
  <c r="N1690" i="16"/>
  <c r="N1689" i="16"/>
  <c r="N1688" i="16"/>
  <c r="N1687" i="16"/>
  <c r="N1686" i="16"/>
  <c r="N1685" i="16"/>
  <c r="N1684" i="16"/>
  <c r="N1683" i="16"/>
  <c r="N1682" i="16"/>
  <c r="N1681" i="16"/>
  <c r="N1680" i="16"/>
  <c r="N1679" i="16"/>
  <c r="N1678" i="16"/>
  <c r="N1677" i="16"/>
  <c r="N1676" i="16"/>
  <c r="N1675" i="16"/>
  <c r="N1674" i="16"/>
  <c r="N1673" i="16"/>
  <c r="N1672" i="16"/>
  <c r="N1671" i="16"/>
  <c r="N1670" i="16"/>
  <c r="N1669" i="16"/>
  <c r="N1668" i="16"/>
  <c r="N1667" i="16"/>
  <c r="N1666" i="16"/>
  <c r="N1665" i="16"/>
  <c r="N1664" i="16"/>
  <c r="N1663" i="16"/>
  <c r="N1662" i="16"/>
  <c r="N1661" i="16"/>
  <c r="N1660" i="16"/>
  <c r="N1659" i="16"/>
  <c r="N1658" i="16"/>
  <c r="N1657" i="16"/>
  <c r="N1656" i="16"/>
  <c r="N1655" i="16"/>
  <c r="N1654" i="16"/>
  <c r="N1653" i="16"/>
  <c r="N1652" i="16"/>
  <c r="N1651" i="16"/>
  <c r="N1650" i="16"/>
  <c r="N1649" i="16"/>
  <c r="N1648" i="16"/>
  <c r="N1647" i="16"/>
  <c r="N1646" i="16"/>
  <c r="N1645" i="16"/>
  <c r="N1644" i="16"/>
  <c r="N1643" i="16"/>
  <c r="N1642" i="16"/>
  <c r="N1641" i="16"/>
  <c r="N1640" i="16"/>
  <c r="N1639" i="16"/>
  <c r="N1638" i="16"/>
  <c r="N1637" i="16"/>
  <c r="N1636" i="16"/>
  <c r="N1635" i="16"/>
  <c r="N1634" i="16"/>
  <c r="N1633" i="16"/>
  <c r="N1632" i="16"/>
  <c r="N1631" i="16"/>
  <c r="N1630" i="16"/>
  <c r="N1629" i="16"/>
  <c r="N1628" i="16"/>
  <c r="N1627" i="16"/>
  <c r="N1626" i="16"/>
  <c r="N1625" i="16"/>
  <c r="N1624" i="16"/>
  <c r="N1623" i="16"/>
  <c r="N1622" i="16"/>
  <c r="N1621" i="16"/>
  <c r="N1620" i="16"/>
  <c r="N1619" i="16"/>
  <c r="N1618" i="16"/>
  <c r="N1617" i="16"/>
  <c r="N1616" i="16"/>
  <c r="N1615" i="16"/>
  <c r="N1614" i="16"/>
  <c r="N1613" i="16"/>
  <c r="N1612" i="16"/>
  <c r="N1611" i="16"/>
  <c r="N1610" i="16"/>
  <c r="N1609" i="16"/>
  <c r="N1608" i="16"/>
  <c r="N1607" i="16"/>
  <c r="N1606" i="16"/>
  <c r="N1605" i="16"/>
  <c r="N1604" i="16"/>
  <c r="N1603" i="16"/>
  <c r="N1602" i="16"/>
  <c r="N1601" i="16"/>
  <c r="N1600" i="16"/>
  <c r="N1599" i="16"/>
  <c r="N1598" i="16"/>
  <c r="N1597" i="16"/>
  <c r="N1596" i="16"/>
  <c r="N1595" i="16"/>
  <c r="N1594" i="16"/>
  <c r="N1593" i="16"/>
  <c r="N1592" i="16"/>
  <c r="N1591" i="16"/>
  <c r="N1590" i="16"/>
  <c r="N1589" i="16"/>
  <c r="N1588" i="16"/>
  <c r="N1587" i="16"/>
  <c r="N1586" i="16"/>
  <c r="N1585" i="16"/>
  <c r="N1584" i="16"/>
  <c r="N1583" i="16"/>
  <c r="N1582" i="16"/>
  <c r="N1581" i="16"/>
  <c r="N1580" i="16"/>
  <c r="N1579" i="16"/>
  <c r="N1578" i="16"/>
  <c r="N1577" i="16"/>
  <c r="N1576" i="16"/>
  <c r="N1575" i="16"/>
  <c r="N1574" i="16"/>
  <c r="N1573" i="16"/>
  <c r="N1572" i="16"/>
  <c r="N1571" i="16"/>
  <c r="N1570" i="16"/>
  <c r="N1569" i="16"/>
  <c r="N1568" i="16"/>
  <c r="N1567" i="16"/>
  <c r="N1566" i="16"/>
  <c r="N1565" i="16"/>
  <c r="N1564" i="16"/>
  <c r="N1563" i="16"/>
  <c r="N1562" i="16"/>
  <c r="N1561" i="16"/>
  <c r="N1560" i="16"/>
  <c r="N1559" i="16"/>
  <c r="N1558" i="16"/>
  <c r="N1557" i="16"/>
  <c r="N1556" i="16"/>
  <c r="N1555" i="16"/>
  <c r="N1554" i="16"/>
  <c r="N1553" i="16"/>
  <c r="N1552" i="16"/>
  <c r="N1551" i="16"/>
  <c r="N1550" i="16"/>
  <c r="N1549" i="16"/>
  <c r="N1548" i="16"/>
  <c r="N1547" i="16"/>
  <c r="N1546" i="16"/>
  <c r="N1545" i="16"/>
  <c r="N1544" i="16"/>
  <c r="N1543" i="16"/>
  <c r="N1542" i="16"/>
  <c r="N1541" i="16"/>
  <c r="N1540" i="16"/>
  <c r="N1539" i="16"/>
  <c r="N1538" i="16"/>
  <c r="N1537" i="16"/>
  <c r="N1536" i="16"/>
  <c r="N1535" i="16"/>
  <c r="N1534" i="16"/>
  <c r="N1533" i="16"/>
  <c r="N1532" i="16"/>
  <c r="N1531" i="16"/>
  <c r="N1530" i="16"/>
  <c r="N1529" i="16"/>
  <c r="N1528" i="16"/>
  <c r="N1527" i="16"/>
  <c r="N1526" i="16"/>
  <c r="N1525" i="16"/>
  <c r="N1524" i="16"/>
  <c r="N1523" i="16"/>
  <c r="N1522" i="16"/>
  <c r="N1521" i="16"/>
  <c r="N1520" i="16"/>
  <c r="N1519" i="16"/>
  <c r="N1518" i="16"/>
  <c r="N1517" i="16"/>
  <c r="N1516" i="16"/>
  <c r="N1515" i="16"/>
  <c r="N1514" i="16"/>
  <c r="N1513" i="16"/>
  <c r="N1512" i="16"/>
  <c r="N1511" i="16"/>
  <c r="N1510" i="16"/>
  <c r="N1509" i="16"/>
  <c r="N1508" i="16"/>
  <c r="N1507" i="16"/>
  <c r="N1506" i="16"/>
  <c r="N1505" i="16"/>
  <c r="N1504" i="16"/>
  <c r="N1503" i="16"/>
  <c r="N1502" i="16"/>
  <c r="N1501" i="16"/>
  <c r="N1500" i="16"/>
  <c r="N1499" i="16"/>
  <c r="N1498" i="16"/>
  <c r="N1497" i="16"/>
  <c r="N1496" i="16"/>
  <c r="N1495" i="16"/>
  <c r="N1494" i="16"/>
  <c r="N1493" i="16"/>
  <c r="N1492" i="16"/>
  <c r="N1491" i="16"/>
  <c r="N1490" i="16"/>
  <c r="N1489" i="16"/>
  <c r="N1488" i="16"/>
  <c r="N1487" i="16"/>
  <c r="N1486" i="16"/>
  <c r="N1485" i="16"/>
  <c r="N1484" i="16"/>
  <c r="N1483" i="16"/>
  <c r="N1482" i="16"/>
  <c r="N1481" i="16"/>
  <c r="N1480" i="16"/>
  <c r="N1479" i="16"/>
  <c r="N1478" i="16"/>
  <c r="N1477" i="16"/>
  <c r="N1476" i="16"/>
  <c r="N1475" i="16"/>
  <c r="N1474" i="16"/>
  <c r="N1473" i="16"/>
  <c r="N1472" i="16"/>
  <c r="N1471" i="16"/>
  <c r="N1470" i="16"/>
  <c r="N1469" i="16"/>
  <c r="N1468" i="16"/>
  <c r="N1467" i="16"/>
  <c r="N1466" i="16"/>
  <c r="N1465" i="16"/>
  <c r="N1464" i="16"/>
  <c r="N1463" i="16"/>
  <c r="N1462" i="16"/>
  <c r="N1461" i="16"/>
  <c r="N1460" i="16"/>
  <c r="N1459" i="16"/>
  <c r="N1458" i="16"/>
  <c r="N1457" i="16"/>
  <c r="N1456" i="16"/>
  <c r="N1455" i="16"/>
  <c r="N1454" i="16"/>
  <c r="N1453" i="16"/>
  <c r="N1452" i="16"/>
  <c r="N1451" i="16"/>
  <c r="N1450" i="16"/>
  <c r="N1449" i="16"/>
  <c r="N1448" i="16"/>
  <c r="N1447" i="16"/>
  <c r="N1446" i="16"/>
  <c r="N1445" i="16"/>
  <c r="N1444" i="16"/>
  <c r="N1443" i="16"/>
  <c r="N1442" i="16"/>
  <c r="N1441" i="16"/>
  <c r="N1440" i="16"/>
  <c r="N1439" i="16"/>
  <c r="N1438" i="16"/>
  <c r="N1437" i="16"/>
  <c r="N1436" i="16"/>
  <c r="N1435" i="16"/>
  <c r="N1434" i="16"/>
  <c r="N1433" i="16"/>
  <c r="N1432" i="16"/>
  <c r="N1431" i="16"/>
  <c r="N1430" i="16"/>
  <c r="N1429" i="16"/>
  <c r="N1428" i="16"/>
  <c r="N1427" i="16"/>
  <c r="N1426" i="16"/>
  <c r="N1425" i="16"/>
  <c r="N1424" i="16"/>
  <c r="N1423" i="16"/>
  <c r="N1422" i="16"/>
  <c r="N1421" i="16"/>
  <c r="N1420" i="16"/>
  <c r="N1419" i="16"/>
  <c r="N1418" i="16"/>
  <c r="N1417" i="16"/>
  <c r="N1416" i="16"/>
  <c r="N1415" i="16"/>
  <c r="N1414" i="16"/>
  <c r="N1413" i="16"/>
  <c r="N1412" i="16"/>
  <c r="N1411" i="16"/>
  <c r="N1410" i="16"/>
  <c r="N1409" i="16"/>
  <c r="N1408" i="16"/>
  <c r="N1407" i="16"/>
  <c r="N1406" i="16"/>
  <c r="N1405" i="16"/>
  <c r="N1404" i="16"/>
  <c r="N1403" i="16"/>
  <c r="N1402" i="16"/>
  <c r="N1401" i="16"/>
  <c r="N1400" i="16"/>
  <c r="N1399" i="16"/>
  <c r="N1398" i="16"/>
  <c r="N1397" i="16"/>
  <c r="N1396" i="16"/>
  <c r="N1395" i="16"/>
  <c r="N1394" i="16"/>
  <c r="N1393" i="16"/>
  <c r="N1392" i="16"/>
  <c r="N1391" i="16"/>
  <c r="N1390" i="16"/>
  <c r="N1389" i="16"/>
  <c r="N1388" i="16"/>
  <c r="N1387" i="16"/>
  <c r="N1386" i="16"/>
  <c r="N1385" i="16"/>
  <c r="N1384" i="16"/>
  <c r="N1383" i="16"/>
  <c r="N1382" i="16"/>
  <c r="N1381" i="16"/>
  <c r="N1380" i="16"/>
  <c r="N1379" i="16"/>
  <c r="N1378" i="16"/>
  <c r="N1377" i="16"/>
  <c r="N1376" i="16"/>
  <c r="N1375" i="16"/>
  <c r="N1374" i="16"/>
  <c r="N1373" i="16"/>
  <c r="N1372" i="16"/>
  <c r="N1371" i="16"/>
  <c r="N1370" i="16"/>
  <c r="N1369" i="16"/>
  <c r="N1368" i="16"/>
  <c r="N1367" i="16"/>
  <c r="N1366" i="16"/>
  <c r="N1365" i="16"/>
  <c r="N1364" i="16"/>
  <c r="N1363" i="16"/>
  <c r="N1362" i="16"/>
  <c r="N1361" i="16"/>
  <c r="N1360" i="16"/>
  <c r="N1359" i="16"/>
  <c r="N1358" i="16"/>
  <c r="N1357" i="16"/>
  <c r="N1356" i="16"/>
  <c r="N1355" i="16"/>
  <c r="N1354" i="16"/>
  <c r="N1353" i="16"/>
  <c r="N1352" i="16"/>
  <c r="N1351" i="16"/>
  <c r="N1350" i="16"/>
  <c r="N1349" i="16"/>
  <c r="N1348" i="16"/>
  <c r="N1347" i="16"/>
  <c r="N1346" i="16"/>
  <c r="N1345" i="16"/>
  <c r="N1344" i="16"/>
  <c r="N1343" i="16"/>
  <c r="N1342" i="16"/>
  <c r="N1341" i="16"/>
  <c r="N1340" i="16"/>
  <c r="N1339" i="16"/>
  <c r="N1338" i="16"/>
  <c r="N1337" i="16"/>
  <c r="N1336" i="16"/>
  <c r="N1335" i="16"/>
  <c r="N1334" i="16"/>
  <c r="N1333" i="16"/>
  <c r="N1332" i="16"/>
  <c r="N1331" i="16"/>
  <c r="N1330" i="16"/>
  <c r="N1329" i="16"/>
  <c r="N1328" i="16"/>
  <c r="N1327" i="16"/>
  <c r="N1326" i="16"/>
  <c r="N1325" i="16"/>
  <c r="N1324" i="16"/>
  <c r="N1323" i="16"/>
  <c r="N1322" i="16"/>
  <c r="N1321" i="16"/>
  <c r="N1320" i="16"/>
  <c r="N1319" i="16"/>
  <c r="N1318" i="16"/>
  <c r="N1317" i="16"/>
  <c r="N1316" i="16"/>
  <c r="N1315" i="16"/>
  <c r="N1314" i="16"/>
  <c r="N1313" i="16"/>
  <c r="N1312" i="16"/>
  <c r="N1311" i="16"/>
  <c r="N1310" i="16"/>
  <c r="N1309" i="16"/>
  <c r="N1308" i="16"/>
  <c r="N1307" i="16"/>
  <c r="N1306" i="16"/>
  <c r="N1305" i="16"/>
  <c r="N1304" i="16"/>
  <c r="N1303" i="16"/>
  <c r="N1302" i="16"/>
  <c r="N1301" i="16"/>
  <c r="N1300" i="16"/>
  <c r="N1212" i="16"/>
  <c r="N1211" i="16"/>
  <c r="N1210" i="16"/>
  <c r="N1209" i="16"/>
  <c r="N1208" i="16"/>
  <c r="N1207" i="16"/>
  <c r="N1206" i="16"/>
  <c r="N1205" i="16"/>
  <c r="N1204" i="16"/>
  <c r="N1203" i="16"/>
  <c r="N1202" i="16"/>
  <c r="N1201" i="16"/>
  <c r="N1200" i="16"/>
  <c r="N1199" i="16"/>
  <c r="N1198" i="16"/>
  <c r="N1197" i="16"/>
  <c r="N1196" i="16"/>
  <c r="N1195" i="16"/>
  <c r="N1194" i="16"/>
  <c r="N1193" i="16"/>
  <c r="N1192" i="16"/>
  <c r="N1191" i="16"/>
  <c r="N1190" i="16"/>
  <c r="N1189" i="16"/>
  <c r="N1188" i="16"/>
  <c r="N1187" i="16"/>
  <c r="N1186" i="16"/>
  <c r="N1185" i="16"/>
  <c r="N1184" i="16"/>
  <c r="N1183" i="16"/>
  <c r="N1182" i="16"/>
  <c r="N1181" i="16"/>
  <c r="N1180" i="16"/>
  <c r="N1179" i="16"/>
  <c r="N1178" i="16"/>
  <c r="N1177" i="16"/>
  <c r="N1176" i="16"/>
  <c r="N1175" i="16"/>
  <c r="N1174" i="16"/>
  <c r="N1173" i="16"/>
  <c r="N1172" i="16"/>
  <c r="N1171" i="16"/>
  <c r="N1170" i="16"/>
  <c r="N1169" i="16"/>
  <c r="N1168" i="16"/>
  <c r="N1167" i="16"/>
  <c r="N1166" i="16"/>
  <c r="N1165" i="16"/>
  <c r="N1164" i="16"/>
  <c r="N1163" i="16"/>
  <c r="N1162" i="16"/>
  <c r="N1161" i="16"/>
  <c r="N1160" i="16"/>
  <c r="N1159" i="16"/>
  <c r="N1158" i="16"/>
  <c r="N1157" i="16"/>
  <c r="N1156" i="16"/>
  <c r="N1155" i="16"/>
  <c r="N1154" i="16"/>
  <c r="N1153" i="16"/>
  <c r="N1152" i="16"/>
  <c r="N1151" i="16"/>
  <c r="N1150" i="16"/>
  <c r="N1149" i="16"/>
  <c r="N1148" i="16"/>
  <c r="N1147" i="16"/>
  <c r="N1146" i="16"/>
  <c r="N1145" i="16"/>
  <c r="N1144" i="16"/>
  <c r="N1143" i="16"/>
  <c r="N1142" i="16"/>
  <c r="N1141" i="16"/>
  <c r="N1140" i="16"/>
  <c r="N1139" i="16"/>
  <c r="N1138" i="16"/>
  <c r="N1137" i="16"/>
  <c r="N1136" i="16"/>
  <c r="N1135" i="16"/>
  <c r="N1134" i="16"/>
  <c r="N1133" i="16"/>
  <c r="N1132" i="16"/>
  <c r="N1131" i="16"/>
  <c r="N1130" i="16"/>
  <c r="N1129" i="16"/>
  <c r="N1128" i="16"/>
  <c r="N1127" i="16"/>
  <c r="N1126" i="16"/>
  <c r="N1125" i="16"/>
  <c r="N1124" i="16"/>
  <c r="N1123" i="16"/>
  <c r="N1122" i="16"/>
  <c r="N1121" i="16"/>
  <c r="N1120" i="16"/>
  <c r="N1119" i="16"/>
  <c r="N1118" i="16"/>
  <c r="N1117" i="16"/>
  <c r="N1116" i="16"/>
  <c r="N1115" i="16"/>
  <c r="N1114" i="16"/>
  <c r="N1113" i="16"/>
  <c r="N1112" i="16"/>
  <c r="N1111" i="16"/>
  <c r="N1110" i="16"/>
  <c r="N1109" i="16"/>
  <c r="N1108" i="16"/>
  <c r="N1107" i="16"/>
  <c r="N1106" i="16"/>
  <c r="N1105" i="16"/>
  <c r="N1104" i="16"/>
  <c r="N1103" i="16"/>
  <c r="N1102" i="16"/>
  <c r="N1101" i="16"/>
  <c r="N1100" i="16"/>
  <c r="N1099" i="16"/>
  <c r="N1098" i="16"/>
  <c r="N1097" i="16"/>
  <c r="N1096" i="16"/>
  <c r="N1095" i="16"/>
  <c r="N1094" i="16"/>
  <c r="N1093" i="16"/>
  <c r="N1092" i="16"/>
  <c r="N1091" i="16"/>
  <c r="N1090" i="16"/>
  <c r="N1089" i="16"/>
  <c r="N1088" i="16"/>
  <c r="N1087" i="16"/>
  <c r="N1086" i="16"/>
  <c r="N1085" i="16"/>
  <c r="N1084" i="16"/>
  <c r="N1083" i="16"/>
  <c r="N1082" i="16"/>
  <c r="N1081" i="16"/>
  <c r="N1080" i="16"/>
  <c r="N1079" i="16"/>
  <c r="N1078" i="16"/>
  <c r="N1077" i="16"/>
  <c r="N1076" i="16"/>
  <c r="N1075" i="16"/>
  <c r="N1074" i="16"/>
  <c r="N1073" i="16"/>
  <c r="N1072" i="16"/>
  <c r="N1071" i="16"/>
  <c r="N1070" i="16"/>
  <c r="N1069" i="16"/>
  <c r="N1068" i="16"/>
  <c r="N1067" i="16"/>
  <c r="N1066" i="16"/>
  <c r="N1065" i="16"/>
  <c r="N1064" i="16"/>
  <c r="N1063" i="16"/>
  <c r="N1062" i="16"/>
  <c r="N1061" i="16"/>
  <c r="N1060" i="16"/>
  <c r="N1059" i="16"/>
  <c r="N1058" i="16"/>
  <c r="N1057" i="16"/>
  <c r="N1056" i="16"/>
  <c r="N1055" i="16"/>
  <c r="N1054" i="16"/>
  <c r="N1053" i="16"/>
  <c r="N1052" i="16"/>
  <c r="N1051" i="16"/>
  <c r="N1050" i="16"/>
  <c r="N1049" i="16"/>
  <c r="N1048" i="16"/>
  <c r="N1047" i="16"/>
  <c r="N1046" i="16"/>
  <c r="N1045" i="16"/>
  <c r="N1044" i="16"/>
  <c r="N1043" i="16"/>
  <c r="N1042" i="16"/>
  <c r="N1041" i="16"/>
  <c r="N1040" i="16"/>
  <c r="N1039" i="16"/>
  <c r="N1038" i="16"/>
  <c r="N1037" i="16"/>
  <c r="N1036" i="16"/>
  <c r="N1035" i="16"/>
  <c r="N1034" i="16"/>
  <c r="N1033" i="16"/>
  <c r="N1032" i="16"/>
  <c r="N1031" i="16"/>
  <c r="N1030" i="16"/>
  <c r="N1029" i="16"/>
  <c r="N1028" i="16"/>
  <c r="N1027" i="16"/>
  <c r="N1026" i="16"/>
  <c r="N1025" i="16"/>
  <c r="N1024" i="16"/>
  <c r="N1023" i="16"/>
  <c r="N1022" i="16"/>
  <c r="N1021" i="16"/>
  <c r="N1020" i="16"/>
  <c r="N1019" i="16"/>
  <c r="N1018" i="16"/>
  <c r="N1017" i="16"/>
  <c r="N1016" i="16"/>
  <c r="N1015" i="16"/>
  <c r="N1014" i="16"/>
  <c r="N1013" i="16"/>
  <c r="N1012" i="16"/>
  <c r="N1011" i="16"/>
  <c r="N1010" i="16"/>
  <c r="N1009" i="16"/>
  <c r="N1008" i="16"/>
  <c r="N1007" i="16"/>
  <c r="N1006" i="16"/>
  <c r="N1005" i="16"/>
  <c r="N1004" i="16"/>
  <c r="N1003" i="16"/>
  <c r="N1002" i="16"/>
  <c r="N1001" i="16"/>
  <c r="N1000" i="16"/>
  <c r="N999" i="16"/>
  <c r="N998" i="16"/>
  <c r="N997" i="16"/>
  <c r="N996" i="16"/>
  <c r="N995" i="16"/>
  <c r="N994" i="16"/>
  <c r="N993" i="16"/>
  <c r="N992" i="16"/>
  <c r="N991" i="16"/>
  <c r="N990" i="16"/>
  <c r="N989" i="16"/>
  <c r="N988" i="16"/>
  <c r="N987" i="16"/>
  <c r="N986" i="16"/>
  <c r="N985" i="16"/>
  <c r="N984" i="16"/>
  <c r="N983" i="16"/>
  <c r="N982" i="16"/>
  <c r="N981" i="16"/>
  <c r="N980" i="16"/>
  <c r="N979" i="16"/>
  <c r="N978" i="16"/>
  <c r="N977" i="16"/>
  <c r="N976" i="16"/>
  <c r="N975" i="16"/>
  <c r="N974" i="16"/>
  <c r="N973" i="16"/>
  <c r="N972" i="16"/>
  <c r="N971" i="16"/>
  <c r="N970" i="16"/>
  <c r="N969" i="16"/>
  <c r="N968" i="16"/>
  <c r="N967" i="16"/>
  <c r="N966" i="16"/>
  <c r="N965" i="16"/>
  <c r="N964" i="16"/>
  <c r="N963" i="16"/>
  <c r="N962" i="16"/>
  <c r="N961" i="16"/>
  <c r="N960" i="16"/>
  <c r="N959" i="16"/>
  <c r="N958" i="16"/>
  <c r="N957" i="16"/>
  <c r="N956" i="16"/>
  <c r="N955" i="16"/>
  <c r="N954" i="16"/>
  <c r="N953" i="16"/>
  <c r="N952" i="16"/>
  <c r="N951" i="16"/>
  <c r="N950" i="16"/>
  <c r="N949" i="16"/>
  <c r="N948" i="16"/>
  <c r="N947" i="16"/>
  <c r="N946" i="16"/>
  <c r="N945" i="16"/>
  <c r="N944" i="16"/>
  <c r="N943" i="16"/>
  <c r="N942" i="16"/>
  <c r="N941" i="16"/>
  <c r="N940" i="16"/>
  <c r="N939" i="16"/>
  <c r="N938" i="16"/>
  <c r="N937" i="16"/>
  <c r="N936" i="16"/>
  <c r="N935" i="16"/>
  <c r="N934" i="16"/>
  <c r="N933" i="16"/>
  <c r="N932" i="16"/>
  <c r="N931" i="16"/>
  <c r="N930" i="16"/>
  <c r="N929" i="16"/>
  <c r="N928" i="16"/>
  <c r="N927" i="16"/>
  <c r="N926" i="16"/>
  <c r="N925" i="16"/>
  <c r="N924" i="16"/>
  <c r="N923" i="16"/>
  <c r="N922" i="16"/>
  <c r="N921" i="16"/>
  <c r="N920" i="16"/>
  <c r="N919" i="16"/>
  <c r="N918" i="16"/>
  <c r="N917" i="16"/>
  <c r="N916" i="16"/>
  <c r="N915" i="16"/>
  <c r="N914" i="16"/>
  <c r="N913" i="16"/>
  <c r="N912" i="16"/>
  <c r="N911" i="16"/>
  <c r="N910" i="16"/>
  <c r="N909" i="16"/>
  <c r="N908" i="16"/>
  <c r="N907" i="16"/>
  <c r="N906" i="16"/>
  <c r="N905" i="16"/>
  <c r="N904" i="16"/>
  <c r="N903" i="16"/>
  <c r="N902" i="16"/>
  <c r="N901" i="16"/>
  <c r="N900" i="16"/>
  <c r="N899" i="16"/>
  <c r="N898" i="16"/>
  <c r="N897" i="16"/>
  <c r="N896" i="16"/>
  <c r="N895" i="16"/>
  <c r="N894" i="16"/>
  <c r="N893" i="16"/>
  <c r="N892" i="16"/>
  <c r="N891" i="16"/>
  <c r="N890" i="16"/>
  <c r="N889" i="16"/>
  <c r="N888" i="16"/>
  <c r="N887" i="16"/>
  <c r="N886" i="16"/>
  <c r="N885" i="16"/>
  <c r="N884" i="16"/>
  <c r="N883" i="16"/>
  <c r="N882" i="16"/>
  <c r="N881" i="16"/>
  <c r="N880" i="16"/>
  <c r="N879" i="16"/>
  <c r="N878" i="16"/>
  <c r="N877" i="16"/>
  <c r="N876" i="16"/>
  <c r="N875" i="16"/>
  <c r="N874" i="16"/>
  <c r="N873" i="16"/>
  <c r="N872" i="16"/>
  <c r="N871" i="16"/>
  <c r="N870" i="16"/>
  <c r="N869" i="16"/>
  <c r="N868" i="16"/>
  <c r="N867" i="16"/>
  <c r="N866" i="16"/>
  <c r="N865" i="16"/>
  <c r="N864" i="16"/>
  <c r="N863" i="16"/>
  <c r="N862" i="16"/>
  <c r="N861" i="16"/>
  <c r="N860" i="16"/>
  <c r="N859" i="16"/>
  <c r="N858" i="16"/>
  <c r="N857" i="16"/>
  <c r="N856" i="16"/>
  <c r="N855" i="16"/>
  <c r="N854" i="16"/>
  <c r="N853" i="16"/>
  <c r="N852" i="16"/>
  <c r="N851" i="16"/>
  <c r="N850" i="16"/>
  <c r="N849" i="16"/>
  <c r="N848" i="16"/>
  <c r="N847" i="16"/>
  <c r="N846" i="16"/>
  <c r="N845" i="16"/>
  <c r="N844" i="16"/>
  <c r="N843" i="16"/>
  <c r="N842" i="16"/>
  <c r="N841" i="16"/>
  <c r="N840" i="16"/>
  <c r="N839" i="16"/>
  <c r="N838" i="16"/>
  <c r="N837" i="16"/>
  <c r="N836" i="16"/>
  <c r="N835" i="16"/>
  <c r="N834" i="16"/>
  <c r="N833" i="16"/>
  <c r="N832" i="16"/>
  <c r="N831" i="16"/>
  <c r="N830" i="16"/>
  <c r="N829" i="16"/>
  <c r="N828" i="16"/>
  <c r="N827" i="16"/>
  <c r="N826" i="16"/>
  <c r="N825" i="16"/>
  <c r="N824" i="16"/>
  <c r="N823" i="16"/>
  <c r="N822" i="16"/>
  <c r="N821" i="16"/>
  <c r="N820" i="16"/>
  <c r="N819" i="16"/>
  <c r="N818" i="16"/>
  <c r="N817" i="16"/>
  <c r="N816" i="16"/>
  <c r="N815" i="16"/>
  <c r="N814" i="16"/>
  <c r="N813" i="16"/>
  <c r="N812" i="16"/>
  <c r="N811" i="16"/>
  <c r="N810" i="16"/>
  <c r="N809" i="16"/>
  <c r="N808" i="16"/>
  <c r="N807" i="16"/>
  <c r="N806" i="16"/>
  <c r="N805" i="16"/>
  <c r="N804" i="16"/>
  <c r="N803" i="16"/>
  <c r="N802" i="16"/>
  <c r="N801" i="16"/>
  <c r="N800" i="16"/>
  <c r="N799" i="16"/>
  <c r="N798" i="16"/>
  <c r="N797" i="16"/>
  <c r="N796" i="16"/>
  <c r="N795" i="16"/>
  <c r="N794" i="16"/>
  <c r="N793" i="16"/>
  <c r="N792" i="16"/>
  <c r="N791" i="16"/>
  <c r="N790" i="16"/>
  <c r="N789" i="16"/>
  <c r="N788" i="16"/>
  <c r="N787" i="16"/>
  <c r="N786" i="16"/>
  <c r="N785" i="16"/>
  <c r="N784" i="16"/>
  <c r="N783" i="16"/>
  <c r="N782" i="16"/>
  <c r="N781" i="16"/>
  <c r="N780" i="16"/>
  <c r="N779" i="16"/>
  <c r="N778" i="16"/>
  <c r="N777" i="16"/>
  <c r="N776" i="16"/>
  <c r="N775" i="16"/>
  <c r="N774" i="16"/>
  <c r="N773" i="16"/>
  <c r="N772" i="16"/>
  <c r="N771" i="16"/>
  <c r="N770" i="16"/>
  <c r="N769" i="16"/>
  <c r="N768" i="16"/>
  <c r="N767" i="16"/>
  <c r="N766" i="16"/>
  <c r="N765" i="16"/>
  <c r="N764" i="16"/>
  <c r="N763" i="16"/>
  <c r="N762" i="16"/>
  <c r="N761" i="16"/>
  <c r="N760" i="16"/>
  <c r="N759" i="16"/>
  <c r="N758" i="16"/>
  <c r="N757" i="16"/>
  <c r="N756" i="16"/>
  <c r="N755" i="16"/>
  <c r="N754" i="16"/>
  <c r="N753" i="16"/>
  <c r="N752" i="16"/>
  <c r="N751" i="16"/>
  <c r="N750" i="16"/>
  <c r="N749" i="16"/>
  <c r="N748" i="16"/>
  <c r="N747" i="16"/>
  <c r="N746" i="16"/>
  <c r="N745" i="16"/>
  <c r="N744" i="16"/>
  <c r="N743" i="16"/>
  <c r="N742" i="16"/>
  <c r="N741" i="16"/>
  <c r="N740" i="16"/>
  <c r="N739" i="16"/>
  <c r="N738" i="16"/>
  <c r="N737" i="16"/>
  <c r="N736" i="16"/>
  <c r="N735" i="16"/>
  <c r="N734" i="16"/>
  <c r="N733" i="16"/>
  <c r="N732" i="16"/>
  <c r="N731" i="16"/>
  <c r="N730" i="16"/>
  <c r="N729" i="16"/>
  <c r="N728" i="16"/>
  <c r="N727" i="16"/>
  <c r="N726" i="16"/>
  <c r="N725" i="16"/>
  <c r="N724" i="16"/>
  <c r="N723" i="16"/>
  <c r="N722" i="16"/>
  <c r="N721" i="16"/>
  <c r="N720" i="16"/>
  <c r="N719" i="16"/>
  <c r="N718" i="16"/>
  <c r="N717" i="16"/>
  <c r="N716" i="16"/>
  <c r="N715" i="16"/>
  <c r="N714" i="16"/>
  <c r="N713" i="16"/>
  <c r="N712" i="16"/>
  <c r="N711" i="16"/>
  <c r="N710" i="16"/>
  <c r="N709" i="16"/>
  <c r="N708" i="16"/>
  <c r="N707" i="16"/>
  <c r="N706" i="16"/>
  <c r="N705" i="16"/>
  <c r="N704" i="16"/>
  <c r="N703" i="16"/>
  <c r="N702" i="16"/>
  <c r="N701" i="16"/>
  <c r="N700" i="16"/>
  <c r="N699" i="16"/>
  <c r="N698" i="16"/>
  <c r="N697" i="16"/>
  <c r="N696" i="16"/>
  <c r="N695" i="16"/>
  <c r="N694" i="16"/>
  <c r="N693" i="16"/>
  <c r="N692" i="16"/>
  <c r="N691" i="16"/>
  <c r="N690" i="16"/>
  <c r="N689" i="16"/>
  <c r="N688" i="16"/>
  <c r="N687" i="16"/>
  <c r="N686" i="16"/>
  <c r="N685" i="16"/>
  <c r="N684" i="16"/>
  <c r="N683" i="16"/>
  <c r="N682" i="16"/>
  <c r="N681" i="16"/>
  <c r="N680" i="16"/>
  <c r="N679" i="16"/>
  <c r="N678" i="16"/>
  <c r="N677" i="16"/>
  <c r="N676" i="16"/>
  <c r="N675" i="16"/>
  <c r="N674" i="16"/>
  <c r="N673" i="16"/>
  <c r="N672" i="16"/>
  <c r="N671" i="16"/>
  <c r="N670" i="16"/>
  <c r="N669" i="16"/>
  <c r="N668" i="16"/>
  <c r="N667" i="16"/>
  <c r="N666" i="16"/>
  <c r="N665" i="16"/>
  <c r="N664" i="16"/>
  <c r="N663" i="16"/>
  <c r="N662" i="16"/>
  <c r="N661" i="16"/>
  <c r="N660" i="16"/>
  <c r="N659" i="16"/>
  <c r="N658" i="16"/>
  <c r="N657" i="16"/>
  <c r="N656" i="16"/>
  <c r="N655" i="16"/>
  <c r="N654" i="16"/>
  <c r="N653" i="16"/>
  <c r="N652" i="16"/>
  <c r="N651" i="16"/>
  <c r="N650" i="16"/>
  <c r="N649" i="16"/>
  <c r="N648" i="16"/>
  <c r="N647" i="16"/>
  <c r="N646" i="16"/>
  <c r="N645" i="16"/>
  <c r="N644" i="16"/>
  <c r="N643" i="16"/>
  <c r="N642" i="16"/>
  <c r="N641" i="16"/>
  <c r="N640" i="16"/>
  <c r="N639" i="16"/>
  <c r="N638" i="16"/>
  <c r="N637" i="16"/>
  <c r="N636" i="16"/>
  <c r="N635" i="16"/>
  <c r="N634" i="16"/>
  <c r="N633" i="16"/>
  <c r="N632" i="16"/>
  <c r="N631" i="16"/>
  <c r="N630" i="16"/>
  <c r="N629" i="16"/>
  <c r="N628" i="16"/>
  <c r="N627" i="16"/>
  <c r="N626" i="16"/>
  <c r="N625" i="16"/>
  <c r="N624" i="16"/>
  <c r="N623" i="16"/>
  <c r="N622" i="16"/>
  <c r="N621" i="16"/>
  <c r="N620" i="16"/>
  <c r="N619" i="16"/>
  <c r="N618" i="16"/>
  <c r="N617" i="16"/>
  <c r="N616" i="16"/>
  <c r="N615" i="16"/>
  <c r="N614" i="16"/>
  <c r="N613" i="16"/>
  <c r="N612" i="16"/>
  <c r="N611" i="16"/>
  <c r="N610" i="16"/>
  <c r="N609" i="16"/>
  <c r="N608" i="16"/>
  <c r="N607" i="16"/>
  <c r="N606" i="16"/>
  <c r="N605" i="16"/>
  <c r="N604" i="16"/>
  <c r="N603" i="16"/>
  <c r="N602" i="16"/>
  <c r="N601" i="16"/>
  <c r="N600" i="16"/>
  <c r="N599" i="16"/>
  <c r="N598" i="16"/>
  <c r="N597" i="16"/>
  <c r="N596" i="16"/>
  <c r="N595" i="16"/>
  <c r="N594" i="16"/>
  <c r="N593" i="16"/>
  <c r="N592" i="16"/>
  <c r="N591" i="16"/>
  <c r="N590" i="16"/>
  <c r="N589" i="16"/>
  <c r="N588" i="16"/>
  <c r="N587" i="16"/>
  <c r="N586" i="16"/>
  <c r="N585" i="16"/>
  <c r="N584" i="16"/>
  <c r="N583" i="16"/>
  <c r="N582" i="16"/>
  <c r="N581" i="16"/>
  <c r="N580" i="16"/>
  <c r="N579" i="16"/>
  <c r="N578" i="16"/>
  <c r="N577" i="16"/>
  <c r="N576" i="16"/>
  <c r="N575" i="16"/>
  <c r="N574" i="16"/>
  <c r="N573" i="16"/>
  <c r="N572" i="16"/>
  <c r="N571" i="16"/>
  <c r="N570" i="16"/>
  <c r="N569" i="16"/>
  <c r="N568" i="16"/>
  <c r="N567" i="16"/>
  <c r="N566" i="16"/>
  <c r="N565" i="16"/>
  <c r="N564" i="16"/>
  <c r="N563" i="16"/>
  <c r="N562" i="16"/>
  <c r="N561" i="16"/>
  <c r="N560" i="16"/>
  <c r="N559" i="16"/>
  <c r="N558" i="16"/>
  <c r="N557" i="16"/>
  <c r="N556" i="16"/>
  <c r="N555" i="16"/>
  <c r="N554" i="16"/>
  <c r="N553" i="16"/>
  <c r="N552" i="16"/>
  <c r="N551" i="16"/>
  <c r="N550" i="16"/>
  <c r="N549" i="16"/>
  <c r="N548" i="16"/>
  <c r="N547" i="16"/>
  <c r="N546" i="16"/>
  <c r="N545" i="16"/>
  <c r="N544" i="16"/>
  <c r="N543" i="16"/>
  <c r="N542" i="16"/>
  <c r="N541" i="16"/>
  <c r="N540" i="16"/>
  <c r="N539" i="16"/>
  <c r="N538" i="16"/>
  <c r="N537" i="16"/>
  <c r="N536" i="16"/>
  <c r="N535" i="16"/>
  <c r="N534" i="16"/>
  <c r="N533" i="16"/>
  <c r="N532" i="16"/>
  <c r="N531" i="16"/>
  <c r="N530" i="16"/>
  <c r="N529" i="16"/>
  <c r="N528" i="16"/>
  <c r="N527" i="16"/>
  <c r="N526" i="16"/>
  <c r="N525" i="16"/>
  <c r="N524" i="16"/>
  <c r="N523" i="16"/>
  <c r="N522" i="16"/>
  <c r="N521" i="16"/>
  <c r="N520" i="16"/>
  <c r="N519" i="16"/>
  <c r="N518" i="16"/>
  <c r="N517" i="16"/>
  <c r="N516" i="16"/>
  <c r="N515" i="16"/>
  <c r="N514" i="16"/>
  <c r="N513" i="16"/>
  <c r="N512" i="16"/>
  <c r="N511" i="16"/>
  <c r="N510" i="16"/>
  <c r="N509" i="16"/>
  <c r="N508" i="16"/>
  <c r="N507" i="16"/>
  <c r="N506" i="16"/>
  <c r="N505" i="16"/>
  <c r="N504" i="16"/>
  <c r="N503" i="16"/>
  <c r="N502" i="16"/>
  <c r="N501" i="16"/>
  <c r="N500" i="16"/>
  <c r="N499" i="16"/>
  <c r="N498" i="16"/>
  <c r="N497" i="16"/>
  <c r="N496" i="16"/>
  <c r="N495" i="16"/>
  <c r="N494" i="16"/>
  <c r="N493" i="16"/>
  <c r="N492" i="16"/>
  <c r="N491" i="16"/>
  <c r="N490" i="16"/>
  <c r="N489" i="16"/>
  <c r="N488" i="16"/>
  <c r="N487" i="16"/>
  <c r="N486" i="16"/>
  <c r="N485" i="16"/>
  <c r="N484" i="16"/>
  <c r="N483" i="16"/>
  <c r="N482" i="16"/>
  <c r="N481" i="16"/>
  <c r="N480" i="16"/>
  <c r="N479" i="16"/>
  <c r="N478" i="16"/>
  <c r="N477" i="16"/>
  <c r="N476" i="16"/>
  <c r="N475" i="16"/>
  <c r="N474" i="16"/>
  <c r="N473" i="16"/>
  <c r="N472" i="16"/>
  <c r="N471" i="16"/>
  <c r="N470" i="16"/>
  <c r="N469" i="16"/>
  <c r="N468" i="16"/>
  <c r="N467" i="16"/>
  <c r="N466" i="16"/>
  <c r="N465" i="16"/>
  <c r="N464" i="16"/>
  <c r="N463" i="16"/>
  <c r="N462" i="16"/>
  <c r="N461" i="16"/>
  <c r="N460" i="16"/>
  <c r="N459" i="16"/>
  <c r="N458" i="16"/>
  <c r="N457" i="16"/>
  <c r="N456" i="16"/>
  <c r="N455" i="16"/>
  <c r="N454" i="16"/>
  <c r="N453" i="16"/>
  <c r="N452" i="16"/>
  <c r="N451" i="16"/>
  <c r="N450" i="16"/>
  <c r="N449" i="16"/>
  <c r="N448" i="16"/>
  <c r="N447" i="16"/>
  <c r="N446" i="16"/>
  <c r="N445" i="16"/>
  <c r="N444" i="16"/>
  <c r="N443" i="16"/>
  <c r="N442" i="16"/>
  <c r="N441" i="16"/>
  <c r="N440" i="16"/>
  <c r="N439" i="16"/>
  <c r="N438" i="16"/>
  <c r="N437" i="16"/>
  <c r="N436" i="16"/>
  <c r="N435" i="16"/>
  <c r="N434" i="16"/>
  <c r="N433" i="16"/>
  <c r="N432" i="16"/>
  <c r="N431" i="16"/>
  <c r="N430" i="16"/>
  <c r="N429" i="16"/>
  <c r="N428" i="16"/>
  <c r="N427" i="16"/>
  <c r="N426" i="16"/>
  <c r="N425" i="16"/>
  <c r="N424" i="16"/>
  <c r="N423" i="16"/>
  <c r="N422" i="16"/>
  <c r="N421" i="16"/>
  <c r="N420" i="16"/>
  <c r="N419" i="16"/>
  <c r="N418" i="16"/>
  <c r="N417" i="16"/>
  <c r="N416" i="16"/>
  <c r="N415" i="16"/>
  <c r="N414" i="16"/>
  <c r="N413" i="16"/>
  <c r="N412" i="16"/>
  <c r="N411" i="16"/>
  <c r="N410" i="16"/>
  <c r="N409" i="16"/>
  <c r="N408" i="16"/>
  <c r="N407" i="16"/>
  <c r="N406" i="16"/>
  <c r="N405" i="16"/>
  <c r="N404" i="16"/>
  <c r="N403" i="16"/>
  <c r="N402" i="16"/>
  <c r="N401" i="16"/>
  <c r="N400" i="16"/>
  <c r="N399" i="16"/>
  <c r="N398" i="16"/>
  <c r="N397" i="16"/>
  <c r="N396" i="16"/>
  <c r="N395" i="16"/>
  <c r="N394" i="16"/>
  <c r="N393" i="16"/>
  <c r="N392" i="16"/>
  <c r="N391" i="16"/>
  <c r="N390" i="16"/>
  <c r="N389" i="16"/>
  <c r="N388" i="16"/>
  <c r="N387" i="16"/>
  <c r="N386" i="16"/>
  <c r="N385" i="16"/>
  <c r="N384" i="16"/>
  <c r="N383" i="16"/>
  <c r="N382" i="16"/>
  <c r="N381" i="16"/>
  <c r="N380" i="16"/>
  <c r="N379" i="16"/>
  <c r="N378" i="16"/>
  <c r="N377" i="16"/>
  <c r="N376" i="16"/>
  <c r="N375" i="16"/>
  <c r="N374" i="16"/>
  <c r="N373" i="16"/>
  <c r="N372" i="16"/>
  <c r="N371" i="16"/>
  <c r="N370" i="16"/>
  <c r="N369" i="16"/>
  <c r="N368" i="16"/>
  <c r="N367" i="16"/>
  <c r="N366" i="16"/>
  <c r="N365" i="16"/>
  <c r="N364" i="16"/>
  <c r="N363" i="16"/>
  <c r="N362" i="16"/>
  <c r="N361" i="16"/>
  <c r="N360" i="16"/>
  <c r="N359" i="16"/>
  <c r="N358" i="16"/>
  <c r="N357" i="16"/>
  <c r="N356" i="16"/>
  <c r="N355" i="16"/>
  <c r="N354" i="16"/>
  <c r="N353" i="16"/>
  <c r="N352" i="16"/>
  <c r="N351" i="16"/>
  <c r="N350" i="16"/>
  <c r="N349" i="16"/>
  <c r="N348" i="16"/>
  <c r="N347" i="16"/>
  <c r="N346" i="16"/>
  <c r="N345" i="16"/>
  <c r="N344" i="16"/>
  <c r="N343" i="16"/>
  <c r="N342" i="16"/>
  <c r="N341" i="16"/>
  <c r="N340" i="16"/>
  <c r="N339" i="16"/>
  <c r="N338" i="16"/>
  <c r="N337" i="16"/>
  <c r="N336" i="16"/>
  <c r="N335" i="16"/>
  <c r="N334" i="16"/>
  <c r="N333" i="16"/>
  <c r="N332" i="16"/>
  <c r="N331" i="16"/>
  <c r="N330" i="16"/>
  <c r="N329" i="16"/>
  <c r="N328" i="16"/>
  <c r="N327" i="16"/>
  <c r="N326" i="16"/>
  <c r="N325" i="16"/>
  <c r="N324" i="16"/>
  <c r="N323" i="16"/>
  <c r="N322" i="16"/>
  <c r="N321" i="16"/>
  <c r="N320" i="16"/>
  <c r="N319" i="16"/>
  <c r="N318" i="16"/>
  <c r="N317" i="16"/>
  <c r="N316" i="16"/>
  <c r="N315" i="16"/>
  <c r="N314" i="16"/>
  <c r="N313" i="16"/>
  <c r="N312" i="16"/>
  <c r="N311" i="16"/>
  <c r="N310" i="16"/>
  <c r="N309" i="16"/>
  <c r="N308" i="16"/>
  <c r="N307" i="16"/>
  <c r="N306" i="16"/>
  <c r="N305" i="16"/>
  <c r="N304" i="16"/>
  <c r="N303" i="16"/>
  <c r="N302" i="16"/>
  <c r="N301" i="16"/>
  <c r="N300" i="16"/>
  <c r="N299" i="16"/>
  <c r="N298" i="16"/>
  <c r="N297" i="16"/>
  <c r="N296" i="16"/>
  <c r="N295" i="16"/>
  <c r="N294" i="16"/>
  <c r="N293" i="16"/>
  <c r="N292" i="16"/>
  <c r="N291" i="16"/>
  <c r="N290" i="16"/>
  <c r="N289" i="16"/>
  <c r="N288" i="16"/>
  <c r="N287" i="16"/>
  <c r="N286" i="16"/>
  <c r="N285" i="16"/>
  <c r="N284" i="16"/>
  <c r="N283" i="16"/>
  <c r="N282" i="16"/>
  <c r="N281" i="16"/>
  <c r="N280" i="16"/>
  <c r="N279" i="16"/>
  <c r="N278" i="16"/>
  <c r="N277" i="16"/>
  <c r="N276" i="16"/>
  <c r="N275" i="16"/>
  <c r="N274" i="16"/>
  <c r="N273" i="16"/>
  <c r="N272" i="16"/>
  <c r="N271" i="16"/>
  <c r="N270" i="16"/>
  <c r="N269" i="16"/>
  <c r="N268" i="16"/>
  <c r="N267" i="16"/>
  <c r="N266" i="16"/>
  <c r="N265" i="16"/>
  <c r="N264" i="16"/>
  <c r="N263" i="16"/>
  <c r="N262" i="16"/>
  <c r="N261" i="16"/>
  <c r="N260" i="16"/>
  <c r="N259" i="16"/>
  <c r="N258" i="16"/>
  <c r="N257" i="16"/>
  <c r="N256" i="16"/>
  <c r="N255" i="16"/>
  <c r="N254" i="16"/>
  <c r="N253" i="16"/>
  <c r="N252" i="16"/>
  <c r="N251" i="16"/>
  <c r="N250" i="16"/>
  <c r="N249" i="16"/>
  <c r="N248" i="16"/>
  <c r="N247" i="16"/>
  <c r="N246" i="16"/>
  <c r="N245" i="16"/>
  <c r="N244" i="16"/>
  <c r="N243" i="16"/>
  <c r="N242" i="16"/>
  <c r="N241" i="16"/>
  <c r="N240" i="16"/>
  <c r="N239" i="16"/>
  <c r="N238" i="16"/>
  <c r="N237" i="16"/>
  <c r="N236" i="16"/>
  <c r="N235" i="16"/>
  <c r="N234" i="16"/>
  <c r="N233" i="16"/>
  <c r="N232" i="16"/>
  <c r="N231" i="16"/>
  <c r="N230" i="16"/>
  <c r="N229" i="16"/>
  <c r="N228" i="16"/>
  <c r="N227" i="16"/>
  <c r="N226" i="16"/>
  <c r="N225" i="16"/>
  <c r="N224" i="16"/>
  <c r="N223" i="16"/>
  <c r="N222" i="16"/>
  <c r="N221" i="16"/>
  <c r="N220" i="16"/>
  <c r="N219" i="16"/>
  <c r="N218" i="16"/>
  <c r="N217" i="16"/>
  <c r="N216" i="16"/>
  <c r="N215" i="16"/>
  <c r="N214" i="16"/>
  <c r="N213" i="16"/>
  <c r="N212" i="16"/>
  <c r="N211" i="16"/>
  <c r="N210" i="16"/>
  <c r="N209" i="16"/>
  <c r="N208" i="16"/>
  <c r="N207" i="16"/>
  <c r="N206" i="16"/>
  <c r="N205" i="16"/>
  <c r="N204" i="16"/>
  <c r="N203" i="16"/>
  <c r="N202" i="16"/>
  <c r="N201" i="16"/>
  <c r="N200" i="16"/>
  <c r="N199" i="16"/>
  <c r="N198" i="16"/>
  <c r="N197" i="16"/>
  <c r="N196" i="16"/>
  <c r="N195" i="16"/>
  <c r="N194" i="16"/>
  <c r="N193" i="16"/>
  <c r="N192" i="16"/>
  <c r="N191" i="16"/>
  <c r="N190" i="16"/>
  <c r="N189" i="16"/>
  <c r="N188" i="16"/>
  <c r="N187" i="16"/>
  <c r="N186" i="16"/>
  <c r="N185" i="16"/>
  <c r="N184" i="16"/>
  <c r="N183" i="16"/>
  <c r="N182" i="16"/>
  <c r="N181" i="16"/>
  <c r="N180" i="16"/>
  <c r="N179" i="16"/>
  <c r="N178" i="16"/>
  <c r="N177" i="16"/>
  <c r="N176" i="16"/>
  <c r="N175" i="16"/>
  <c r="N174" i="16"/>
  <c r="N173" i="16"/>
  <c r="N172" i="16"/>
  <c r="N171" i="16"/>
  <c r="N170" i="16"/>
  <c r="N169" i="16"/>
  <c r="N168" i="16"/>
  <c r="N167" i="16"/>
  <c r="N166" i="16"/>
  <c r="N165" i="16"/>
  <c r="N164" i="16"/>
  <c r="N163" i="16"/>
  <c r="N162" i="16"/>
  <c r="N161" i="16"/>
  <c r="N160" i="16"/>
  <c r="N159" i="16"/>
  <c r="N158" i="16"/>
  <c r="N157" i="16"/>
  <c r="N156" i="16"/>
  <c r="N155" i="16"/>
  <c r="N154" i="16"/>
  <c r="N153" i="16"/>
  <c r="N152" i="16"/>
  <c r="N151" i="16"/>
  <c r="N150" i="16"/>
  <c r="N149" i="16"/>
  <c r="N148" i="16"/>
  <c r="N147" i="16"/>
  <c r="N146" i="16"/>
  <c r="N145" i="16"/>
  <c r="N144" i="16"/>
  <c r="N143" i="16"/>
  <c r="N142" i="16"/>
  <c r="N141" i="16"/>
  <c r="N140" i="16"/>
  <c r="N139" i="16"/>
  <c r="N138" i="16"/>
  <c r="N137" i="16"/>
  <c r="N136" i="16"/>
  <c r="N135" i="16"/>
  <c r="N134" i="16"/>
  <c r="N133" i="16"/>
  <c r="N132" i="16"/>
  <c r="N131" i="16"/>
  <c r="N130" i="16"/>
  <c r="N129" i="16"/>
  <c r="N128" i="16"/>
  <c r="N127" i="16"/>
  <c r="N126" i="16"/>
  <c r="N125" i="16"/>
  <c r="N124" i="16"/>
  <c r="N123" i="16"/>
  <c r="N122" i="16"/>
  <c r="N121" i="16"/>
  <c r="N120" i="16"/>
  <c r="N119" i="16"/>
  <c r="N118" i="16"/>
  <c r="N117" i="16"/>
  <c r="N116" i="16"/>
  <c r="N115" i="16"/>
  <c r="N114" i="16"/>
  <c r="N113" i="16"/>
  <c r="N112" i="16"/>
  <c r="N111" i="16"/>
  <c r="N110" i="16"/>
  <c r="N109" i="16"/>
  <c r="N108" i="16"/>
  <c r="N107" i="16"/>
  <c r="N106" i="16"/>
  <c r="N105" i="16"/>
  <c r="N104" i="16"/>
  <c r="N103" i="16"/>
  <c r="N102" i="16"/>
  <c r="N101" i="16"/>
  <c r="N100" i="16"/>
  <c r="N99" i="16"/>
  <c r="N98" i="16"/>
  <c r="N97" i="16"/>
  <c r="N96" i="16"/>
  <c r="N95" i="16"/>
  <c r="N94" i="16"/>
  <c r="N93" i="16"/>
  <c r="N92" i="16"/>
  <c r="N91" i="16"/>
  <c r="N90" i="16"/>
  <c r="N89" i="16"/>
  <c r="N88" i="16"/>
  <c r="N87" i="16"/>
  <c r="N86" i="16"/>
  <c r="N85" i="16"/>
  <c r="N84" i="16"/>
  <c r="N83" i="16"/>
  <c r="N82" i="16"/>
  <c r="N81" i="16"/>
  <c r="N80" i="16"/>
  <c r="N79" i="16"/>
  <c r="N78" i="16"/>
  <c r="N77" i="16"/>
  <c r="N76" i="16"/>
  <c r="N75" i="16"/>
  <c r="N74" i="16"/>
  <c r="N73" i="16"/>
  <c r="N72" i="16"/>
  <c r="N71" i="16"/>
  <c r="N70" i="16"/>
  <c r="N69" i="16"/>
  <c r="N68" i="16"/>
  <c r="N67" i="16"/>
  <c r="N66" i="16"/>
  <c r="N65" i="16"/>
  <c r="N64" i="16"/>
  <c r="N63" i="16"/>
  <c r="N62" i="16"/>
  <c r="N61" i="16"/>
  <c r="N60" i="16"/>
  <c r="N59" i="16"/>
  <c r="N58" i="16"/>
  <c r="N57" i="16"/>
  <c r="N56" i="16"/>
  <c r="N55" i="16"/>
  <c r="N54" i="16"/>
  <c r="N53" i="16"/>
  <c r="N52" i="16"/>
  <c r="N51" i="16"/>
  <c r="N50" i="16"/>
  <c r="N49" i="16"/>
  <c r="N48" i="16"/>
  <c r="N47" i="16"/>
  <c r="N46" i="16"/>
  <c r="N45" i="16"/>
  <c r="N44" i="16"/>
  <c r="N43" i="16"/>
  <c r="N42" i="16"/>
  <c r="N41" i="16"/>
  <c r="N40" i="16"/>
  <c r="N39" i="16"/>
  <c r="N38" i="16"/>
  <c r="N37" i="16"/>
  <c r="N36" i="16"/>
  <c r="N35" i="16"/>
  <c r="N34" i="16"/>
  <c r="N33" i="16"/>
  <c r="N32" i="16"/>
  <c r="N31" i="16"/>
  <c r="N30" i="16"/>
  <c r="N29" i="16"/>
  <c r="N28" i="16"/>
  <c r="N27" i="16"/>
  <c r="N26" i="16"/>
  <c r="N25" i="16"/>
  <c r="N24" i="16"/>
  <c r="N23" i="16"/>
  <c r="N22" i="16"/>
  <c r="N21" i="16"/>
  <c r="N20" i="16"/>
  <c r="N19" i="16"/>
  <c r="N18" i="16"/>
  <c r="N17" i="16"/>
  <c r="N16" i="16"/>
  <c r="N15" i="16"/>
  <c r="N14" i="16"/>
  <c r="N13" i="16"/>
  <c r="N12" i="16"/>
  <c r="N11" i="16"/>
  <c r="N10" i="16"/>
  <c r="N9" i="16"/>
  <c r="N8" i="16"/>
  <c r="N7" i="16"/>
  <c r="N6" i="16"/>
  <c r="N5" i="16"/>
  <c r="N4" i="16"/>
  <c r="N3" i="16"/>
  <c r="M4154" i="16"/>
  <c r="M4153" i="16"/>
  <c r="M4152" i="16"/>
  <c r="M4151" i="16"/>
  <c r="M4150" i="16"/>
  <c r="M4149" i="16"/>
  <c r="M4148" i="16"/>
  <c r="M4147" i="16"/>
  <c r="M4146" i="16"/>
  <c r="M4145" i="16"/>
  <c r="M4144" i="16"/>
  <c r="M4143" i="16"/>
  <c r="M4142" i="16"/>
  <c r="M4141" i="16"/>
  <c r="M4140" i="16"/>
  <c r="M4139" i="16"/>
  <c r="M4138" i="16"/>
  <c r="M4137" i="16"/>
  <c r="M4136" i="16"/>
  <c r="M4135" i="16"/>
  <c r="M4134" i="16"/>
  <c r="M4133" i="16"/>
  <c r="M4132" i="16"/>
  <c r="M4131" i="16"/>
  <c r="M4130" i="16"/>
  <c r="M4129" i="16"/>
  <c r="M4128" i="16"/>
  <c r="M4127" i="16"/>
  <c r="M4126" i="16"/>
  <c r="M4125" i="16"/>
  <c r="M4124" i="16"/>
  <c r="M4123" i="16"/>
  <c r="M4122" i="16"/>
  <c r="M4121" i="16"/>
  <c r="M4120" i="16"/>
  <c r="M4119" i="16"/>
  <c r="M4118" i="16"/>
  <c r="M4117" i="16"/>
  <c r="M4116" i="16"/>
  <c r="M4115" i="16"/>
  <c r="M4114" i="16"/>
  <c r="M4113" i="16"/>
  <c r="M4112" i="16"/>
  <c r="M4111" i="16"/>
  <c r="M4110" i="16"/>
  <c r="M4109" i="16"/>
  <c r="M4108" i="16"/>
  <c r="M4107" i="16"/>
  <c r="M4106" i="16"/>
  <c r="M4105" i="16"/>
  <c r="M4104" i="16"/>
  <c r="M4103" i="16"/>
  <c r="M4102" i="16"/>
  <c r="M4101" i="16"/>
  <c r="M4100" i="16"/>
  <c r="M4099" i="16"/>
  <c r="M4098" i="16"/>
  <c r="M4097" i="16"/>
  <c r="M4096" i="16"/>
  <c r="M4095" i="16"/>
  <c r="M4094" i="16"/>
  <c r="M4093" i="16"/>
  <c r="M4092" i="16"/>
  <c r="M4091" i="16"/>
  <c r="M4090" i="16"/>
  <c r="M4089" i="16"/>
  <c r="M4088" i="16"/>
  <c r="M4087" i="16"/>
  <c r="M4086" i="16"/>
  <c r="M4085" i="16"/>
  <c r="M4084" i="16"/>
  <c r="M4083" i="16"/>
  <c r="M4082" i="16"/>
  <c r="M4081" i="16"/>
  <c r="M4080" i="16"/>
  <c r="M4079" i="16"/>
  <c r="M4078" i="16"/>
  <c r="M4077" i="16"/>
  <c r="M4076" i="16"/>
  <c r="M4075" i="16"/>
  <c r="M4074" i="16"/>
  <c r="M4073" i="16"/>
  <c r="M4072" i="16"/>
  <c r="M4071" i="16"/>
  <c r="M4070" i="16"/>
  <c r="M4069" i="16"/>
  <c r="M4068" i="16"/>
  <c r="M4067" i="16"/>
  <c r="M4066" i="16"/>
  <c r="M4065" i="16"/>
  <c r="M4064" i="16"/>
  <c r="M4063" i="16"/>
  <c r="M4062" i="16"/>
  <c r="M4061" i="16"/>
  <c r="M4060" i="16"/>
  <c r="M4059" i="16"/>
  <c r="M4058" i="16"/>
  <c r="M4057" i="16"/>
  <c r="M4056" i="16"/>
  <c r="M4055" i="16"/>
  <c r="M4054" i="16"/>
  <c r="M4053" i="16"/>
  <c r="M4052" i="16"/>
  <c r="M4051" i="16"/>
  <c r="M4050" i="16"/>
  <c r="M4049" i="16"/>
  <c r="M4048" i="16"/>
  <c r="M4047" i="16"/>
  <c r="M4046" i="16"/>
  <c r="M4045" i="16"/>
  <c r="M4044" i="16"/>
  <c r="M4043" i="16"/>
  <c r="M4042" i="16"/>
  <c r="M4041" i="16"/>
  <c r="M4040" i="16"/>
  <c r="M4039" i="16"/>
  <c r="M4038" i="16"/>
  <c r="M4037" i="16"/>
  <c r="M4036" i="16"/>
  <c r="M4035" i="16"/>
  <c r="M4034" i="16"/>
  <c r="M4033" i="16"/>
  <c r="M4032" i="16"/>
  <c r="M4031" i="16"/>
  <c r="M4030" i="16"/>
  <c r="M4029" i="16"/>
  <c r="M4028" i="16"/>
  <c r="M4027" i="16"/>
  <c r="M4026" i="16"/>
  <c r="M4025" i="16"/>
  <c r="M4024" i="16"/>
  <c r="M4023" i="16"/>
  <c r="M4022" i="16"/>
  <c r="M4021" i="16"/>
  <c r="M4020" i="16"/>
  <c r="M4019" i="16"/>
  <c r="M4018" i="16"/>
  <c r="M4017" i="16"/>
  <c r="M4016" i="16"/>
  <c r="M4015" i="16"/>
  <c r="M4014" i="16"/>
  <c r="M4013" i="16"/>
  <c r="M4012" i="16"/>
  <c r="M4011" i="16"/>
  <c r="M4010" i="16"/>
  <c r="M4009" i="16"/>
  <c r="M4008" i="16"/>
  <c r="M4007" i="16"/>
  <c r="M4006" i="16"/>
  <c r="M4005" i="16"/>
  <c r="M4004" i="16"/>
  <c r="M4003" i="16"/>
  <c r="M4002" i="16"/>
  <c r="M4001" i="16"/>
  <c r="M4000" i="16"/>
  <c r="M3999" i="16"/>
  <c r="M3998" i="16"/>
  <c r="M3997" i="16"/>
  <c r="M3996" i="16"/>
  <c r="M3995" i="16"/>
  <c r="M3994" i="16"/>
  <c r="M3993" i="16"/>
  <c r="M3992" i="16"/>
  <c r="M3991" i="16"/>
  <c r="M3990" i="16"/>
  <c r="M3989" i="16"/>
  <c r="M3988" i="16"/>
  <c r="M3987" i="16"/>
  <c r="M3986" i="16"/>
  <c r="M3985" i="16"/>
  <c r="M3984" i="16"/>
  <c r="M3983" i="16"/>
  <c r="M3982" i="16"/>
  <c r="M3981" i="16"/>
  <c r="M3980" i="16"/>
  <c r="M3979" i="16"/>
  <c r="M3978" i="16"/>
  <c r="M3977" i="16"/>
  <c r="M3976" i="16"/>
  <c r="M3975" i="16"/>
  <c r="M3974" i="16"/>
  <c r="M3973" i="16"/>
  <c r="M3972" i="16"/>
  <c r="M3971" i="16"/>
  <c r="M3970" i="16"/>
  <c r="M3969" i="16"/>
  <c r="M3968" i="16"/>
  <c r="M3967" i="16"/>
  <c r="M3966" i="16"/>
  <c r="M3965" i="16"/>
  <c r="M3964" i="16"/>
  <c r="M3963" i="16"/>
  <c r="M3962" i="16"/>
  <c r="M3961" i="16"/>
  <c r="M3960" i="16"/>
  <c r="M3959" i="16"/>
  <c r="M3958" i="16"/>
  <c r="M3957" i="16"/>
  <c r="M3956" i="16"/>
  <c r="M3955" i="16"/>
  <c r="M3954" i="16"/>
  <c r="M3953" i="16"/>
  <c r="M3952" i="16"/>
  <c r="M3951" i="16"/>
  <c r="M3950" i="16"/>
  <c r="M3949" i="16"/>
  <c r="M3948" i="16"/>
  <c r="M3947" i="16"/>
  <c r="M3946" i="16"/>
  <c r="M3945" i="16"/>
  <c r="M3944" i="16"/>
  <c r="M3943" i="16"/>
  <c r="M3942" i="16"/>
  <c r="M3941" i="16"/>
  <c r="M3940" i="16"/>
  <c r="M3939" i="16"/>
  <c r="M3938" i="16"/>
  <c r="M3937" i="16"/>
  <c r="M3936" i="16"/>
  <c r="M3935" i="16"/>
  <c r="M3934" i="16"/>
  <c r="M3933" i="16"/>
  <c r="M3932" i="16"/>
  <c r="M3931" i="16"/>
  <c r="M3930" i="16"/>
  <c r="M3929" i="16"/>
  <c r="M3928" i="16"/>
  <c r="M3927" i="16"/>
  <c r="M3926" i="16"/>
  <c r="M3925" i="16"/>
  <c r="M3924" i="16"/>
  <c r="M3923" i="16"/>
  <c r="M3922" i="16"/>
  <c r="M3921" i="16"/>
  <c r="M3920" i="16"/>
  <c r="M3919" i="16"/>
  <c r="M3918" i="16"/>
  <c r="M3917" i="16"/>
  <c r="M3916" i="16"/>
  <c r="M3915" i="16"/>
  <c r="M3914" i="16"/>
  <c r="M3913" i="16"/>
  <c r="M3912" i="16"/>
  <c r="M3911" i="16"/>
  <c r="M3910" i="16"/>
  <c r="M3909" i="16"/>
  <c r="M3908" i="16"/>
  <c r="M3907" i="16"/>
  <c r="M3906" i="16"/>
  <c r="M3905" i="16"/>
  <c r="M3904" i="16"/>
  <c r="M3903" i="16"/>
  <c r="M3902" i="16"/>
  <c r="M3901" i="16"/>
  <c r="M3900" i="16"/>
  <c r="M3899" i="16"/>
  <c r="M3898" i="16"/>
  <c r="M3897" i="16"/>
  <c r="M3896" i="16"/>
  <c r="M3895" i="16"/>
  <c r="M3894" i="16"/>
  <c r="M3893" i="16"/>
  <c r="M3892" i="16"/>
  <c r="M3891" i="16"/>
  <c r="M3890" i="16"/>
  <c r="M3889" i="16"/>
  <c r="M3888" i="16"/>
  <c r="M3887" i="16"/>
  <c r="M3886" i="16"/>
  <c r="M3885" i="16"/>
  <c r="M3884" i="16"/>
  <c r="M3883" i="16"/>
  <c r="M3882" i="16"/>
  <c r="M3881" i="16"/>
  <c r="M3880" i="16"/>
  <c r="M3879" i="16"/>
  <c r="M3878" i="16"/>
  <c r="M3877" i="16"/>
  <c r="M3876" i="16"/>
  <c r="M3875" i="16"/>
  <c r="M3874" i="16"/>
  <c r="M3873" i="16"/>
  <c r="M3872" i="16"/>
  <c r="M3871" i="16"/>
  <c r="M3870" i="16"/>
  <c r="M3869" i="16"/>
  <c r="M3868" i="16"/>
  <c r="M3867" i="16"/>
  <c r="M3866" i="16"/>
  <c r="M3865" i="16"/>
  <c r="M3864" i="16"/>
  <c r="M3863" i="16"/>
  <c r="M3862" i="16"/>
  <c r="M3861" i="16"/>
  <c r="M3860" i="16"/>
  <c r="M3859" i="16"/>
  <c r="M3858" i="16"/>
  <c r="M3857" i="16"/>
  <c r="M3856" i="16"/>
  <c r="M3855" i="16"/>
  <c r="M3854" i="16"/>
  <c r="M3853" i="16"/>
  <c r="M3852" i="16"/>
  <c r="M3851" i="16"/>
  <c r="M3850" i="16"/>
  <c r="M3849" i="16"/>
  <c r="M3848" i="16"/>
  <c r="M3847" i="16"/>
  <c r="M3846" i="16"/>
  <c r="M3845" i="16"/>
  <c r="M3844" i="16"/>
  <c r="M3843" i="16"/>
  <c r="M3842" i="16"/>
  <c r="M3841" i="16"/>
  <c r="M3840" i="16"/>
  <c r="M3839" i="16"/>
  <c r="M3838" i="16"/>
  <c r="M3837" i="16"/>
  <c r="M3836" i="16"/>
  <c r="M3835" i="16"/>
  <c r="M3834" i="16"/>
  <c r="M3833" i="16"/>
  <c r="M3832" i="16"/>
  <c r="M3831" i="16"/>
  <c r="M3830" i="16"/>
  <c r="M3829" i="16"/>
  <c r="M3828" i="16"/>
  <c r="M3827" i="16"/>
  <c r="M3826" i="16"/>
  <c r="M3825" i="16"/>
  <c r="M3824" i="16"/>
  <c r="M3823" i="16"/>
  <c r="M3822" i="16"/>
  <c r="M3821" i="16"/>
  <c r="M3820" i="16"/>
  <c r="M3819" i="16"/>
  <c r="M3818" i="16"/>
  <c r="M3817" i="16"/>
  <c r="M3816" i="16"/>
  <c r="M3815" i="16"/>
  <c r="M3814" i="16"/>
  <c r="M3813" i="16"/>
  <c r="M3812" i="16"/>
  <c r="M3811" i="16"/>
  <c r="M3810" i="16"/>
  <c r="M3809" i="16"/>
  <c r="M3808" i="16"/>
  <c r="M3807" i="16"/>
  <c r="M3806" i="16"/>
  <c r="M3805" i="16"/>
  <c r="M3804" i="16"/>
  <c r="M3803" i="16"/>
  <c r="M3802" i="16"/>
  <c r="M3801" i="16"/>
  <c r="M3800" i="16"/>
  <c r="M3799" i="16"/>
  <c r="M3798" i="16"/>
  <c r="M3797" i="16"/>
  <c r="M3796" i="16"/>
  <c r="M3795" i="16"/>
  <c r="M3794" i="16"/>
  <c r="M3793" i="16"/>
  <c r="M3792" i="16"/>
  <c r="M3791" i="16"/>
  <c r="M3790" i="16"/>
  <c r="M3789" i="16"/>
  <c r="M3788" i="16"/>
  <c r="M3787" i="16"/>
  <c r="M3786" i="16"/>
  <c r="M3785" i="16"/>
  <c r="M3784" i="16"/>
  <c r="M3783" i="16"/>
  <c r="M3782" i="16"/>
  <c r="M3781" i="16"/>
  <c r="M3780" i="16"/>
  <c r="M3779" i="16"/>
  <c r="M3778" i="16"/>
  <c r="M3777" i="16"/>
  <c r="M3776" i="16"/>
  <c r="M3775" i="16"/>
  <c r="M3774" i="16"/>
  <c r="M3773" i="16"/>
  <c r="M3772" i="16"/>
  <c r="M3771" i="16"/>
  <c r="M3770" i="16"/>
  <c r="M3769" i="16"/>
  <c r="M3768" i="16"/>
  <c r="M3767" i="16"/>
  <c r="M3766" i="16"/>
  <c r="M3765" i="16"/>
  <c r="M3764" i="16"/>
  <c r="M3763" i="16"/>
  <c r="M3762" i="16"/>
  <c r="M3761" i="16"/>
  <c r="M3760" i="16"/>
  <c r="M3759" i="16"/>
  <c r="M3758" i="16"/>
  <c r="M3757" i="16"/>
  <c r="M3756" i="16"/>
  <c r="M3755" i="16"/>
  <c r="M3754" i="16"/>
  <c r="M3753" i="16"/>
  <c r="M3752" i="16"/>
  <c r="M3751" i="16"/>
  <c r="M3750" i="16"/>
  <c r="M3749" i="16"/>
  <c r="M3748" i="16"/>
  <c r="M3747" i="16"/>
  <c r="M3746" i="16"/>
  <c r="M3745" i="16"/>
  <c r="M3744" i="16"/>
  <c r="M3743" i="16"/>
  <c r="M3742" i="16"/>
  <c r="M3741" i="16"/>
  <c r="M3740" i="16"/>
  <c r="M3739" i="16"/>
  <c r="M3738" i="16"/>
  <c r="M3737" i="16"/>
  <c r="M3736" i="16"/>
  <c r="M3735" i="16"/>
  <c r="M3734" i="16"/>
  <c r="M3733" i="16"/>
  <c r="M3732" i="16"/>
  <c r="M3731" i="16"/>
  <c r="M3730" i="16"/>
  <c r="M3729" i="16"/>
  <c r="M3728" i="16"/>
  <c r="M3727" i="16"/>
  <c r="M3726" i="16"/>
  <c r="M3725" i="16"/>
  <c r="M3724" i="16"/>
  <c r="M3723" i="16"/>
  <c r="M3722" i="16"/>
  <c r="M3721" i="16"/>
  <c r="M3720" i="16"/>
  <c r="M3719" i="16"/>
  <c r="M3718" i="16"/>
  <c r="M3717" i="16"/>
  <c r="M3716" i="16"/>
  <c r="M3715" i="16"/>
  <c r="M3714" i="16"/>
  <c r="M3713" i="16"/>
  <c r="M3712" i="16"/>
  <c r="M3711" i="16"/>
  <c r="M3710" i="16"/>
  <c r="M3709" i="16"/>
  <c r="M3708" i="16"/>
  <c r="M3707" i="16"/>
  <c r="M3706" i="16"/>
  <c r="M3705" i="16"/>
  <c r="M3704" i="16"/>
  <c r="M3703" i="16"/>
  <c r="M3702" i="16"/>
  <c r="M3701" i="16"/>
  <c r="M3700" i="16"/>
  <c r="M3699" i="16"/>
  <c r="M3698" i="16"/>
  <c r="M3697" i="16"/>
  <c r="M3696" i="16"/>
  <c r="M3695" i="16"/>
  <c r="M3694" i="16"/>
  <c r="M3693" i="16"/>
  <c r="M3692" i="16"/>
  <c r="M3691" i="16"/>
  <c r="M3690" i="16"/>
  <c r="M3689" i="16"/>
  <c r="M3688" i="16"/>
  <c r="M3687" i="16"/>
  <c r="M3686" i="16"/>
  <c r="M3685" i="16"/>
  <c r="M3684" i="16"/>
  <c r="M3683" i="16"/>
  <c r="M3682" i="16"/>
  <c r="M3681" i="16"/>
  <c r="M3680" i="16"/>
  <c r="M3679" i="16"/>
  <c r="M3678" i="16"/>
  <c r="M3677" i="16"/>
  <c r="M3676" i="16"/>
  <c r="M3675" i="16"/>
  <c r="M3674" i="16"/>
  <c r="M3673" i="16"/>
  <c r="M3672" i="16"/>
  <c r="M3671" i="16"/>
  <c r="M3670" i="16"/>
  <c r="M3669" i="16"/>
  <c r="M3668" i="16"/>
  <c r="M3667" i="16"/>
  <c r="M3666" i="16"/>
  <c r="M3665" i="16"/>
  <c r="M3664" i="16"/>
  <c r="M3663" i="16"/>
  <c r="M3662" i="16"/>
  <c r="M3661" i="16"/>
  <c r="M3660" i="16"/>
  <c r="M3659" i="16"/>
  <c r="M3658" i="16"/>
  <c r="M3657" i="16"/>
  <c r="M3656" i="16"/>
  <c r="M3655" i="16"/>
  <c r="M3654" i="16"/>
  <c r="M3653" i="16"/>
  <c r="M3652" i="16"/>
  <c r="M3651" i="16"/>
  <c r="M3650" i="16"/>
  <c r="M3649" i="16"/>
  <c r="M3648" i="16"/>
  <c r="M3647" i="16"/>
  <c r="M3646" i="16"/>
  <c r="M3645" i="16"/>
  <c r="M3644" i="16"/>
  <c r="M3643" i="16"/>
  <c r="M3642" i="16"/>
  <c r="M3641" i="16"/>
  <c r="M3640" i="16"/>
  <c r="M3639" i="16"/>
  <c r="M3638" i="16"/>
  <c r="M3637" i="16"/>
  <c r="M3636" i="16"/>
  <c r="M3635" i="16"/>
  <c r="M3634" i="16"/>
  <c r="M3633" i="16"/>
  <c r="M3632" i="16"/>
  <c r="M3631" i="16"/>
  <c r="M3630" i="16"/>
  <c r="M3629" i="16"/>
  <c r="M3628" i="16"/>
  <c r="M3627" i="16"/>
  <c r="M3626" i="16"/>
  <c r="M3625" i="16"/>
  <c r="M3624" i="16"/>
  <c r="M3623" i="16"/>
  <c r="M3622" i="16"/>
  <c r="M3621" i="16"/>
  <c r="M3620" i="16"/>
  <c r="M3619" i="16"/>
  <c r="M3618" i="16"/>
  <c r="M3617" i="16"/>
  <c r="M3616" i="16"/>
  <c r="M3615" i="16"/>
  <c r="M3614" i="16"/>
  <c r="M3613" i="16"/>
  <c r="M3612" i="16"/>
  <c r="M3611" i="16"/>
  <c r="M3610" i="16"/>
  <c r="M3609" i="16"/>
  <c r="M3608" i="16"/>
  <c r="M3607" i="16"/>
  <c r="M3606" i="16"/>
  <c r="M3605" i="16"/>
  <c r="M3604" i="16"/>
  <c r="M3603" i="16"/>
  <c r="M3602" i="16"/>
  <c r="M3601" i="16"/>
  <c r="M3600" i="16"/>
  <c r="M3599" i="16"/>
  <c r="M3598" i="16"/>
  <c r="M3597" i="16"/>
  <c r="M3596" i="16"/>
  <c r="M3595" i="16"/>
  <c r="M3594" i="16"/>
  <c r="M3593" i="16"/>
  <c r="M3592" i="16"/>
  <c r="M3591" i="16"/>
  <c r="M3590" i="16"/>
  <c r="M3589" i="16"/>
  <c r="M3588" i="16"/>
  <c r="M3587" i="16"/>
  <c r="M3586" i="16"/>
  <c r="M3585" i="16"/>
  <c r="M3584" i="16"/>
  <c r="M3583" i="16"/>
  <c r="M3582" i="16"/>
  <c r="M3581" i="16"/>
  <c r="M3580" i="16"/>
  <c r="M3579" i="16"/>
  <c r="M3578" i="16"/>
  <c r="M3577" i="16"/>
  <c r="M3576" i="16"/>
  <c r="M3575" i="16"/>
  <c r="M3574" i="16"/>
  <c r="M3573" i="16"/>
  <c r="M3572" i="16"/>
  <c r="M3571" i="16"/>
  <c r="M3570" i="16"/>
  <c r="M3569" i="16"/>
  <c r="M3568" i="16"/>
  <c r="M3567" i="16"/>
  <c r="M3566" i="16"/>
  <c r="M3565" i="16"/>
  <c r="M3564" i="16"/>
  <c r="M3563" i="16"/>
  <c r="M3562" i="16"/>
  <c r="M3561" i="16"/>
  <c r="M3560" i="16"/>
  <c r="M3559" i="16"/>
  <c r="M3558" i="16"/>
  <c r="M3557" i="16"/>
  <c r="M3556" i="16"/>
  <c r="M3555" i="16"/>
  <c r="M3554" i="16"/>
  <c r="M3553" i="16"/>
  <c r="M3552" i="16"/>
  <c r="M3551" i="16"/>
  <c r="M3550" i="16"/>
  <c r="M3549" i="16"/>
  <c r="M3548" i="16"/>
  <c r="M3547" i="16"/>
  <c r="M3546" i="16"/>
  <c r="M3545" i="16"/>
  <c r="M3544" i="16"/>
  <c r="M3543" i="16"/>
  <c r="M3542" i="16"/>
  <c r="M3541" i="16"/>
  <c r="M3540" i="16"/>
  <c r="M3539" i="16"/>
  <c r="M3538" i="16"/>
  <c r="M3537" i="16"/>
  <c r="M3536" i="16"/>
  <c r="M3535" i="16"/>
  <c r="M3534" i="16"/>
  <c r="M3533" i="16"/>
  <c r="M3532" i="16"/>
  <c r="M3531" i="16"/>
  <c r="M3530" i="16"/>
  <c r="M3529" i="16"/>
  <c r="M3528" i="16"/>
  <c r="M3527" i="16"/>
  <c r="M3526" i="16"/>
  <c r="M3525" i="16"/>
  <c r="M3524" i="16"/>
  <c r="M3523" i="16"/>
  <c r="M3522" i="16"/>
  <c r="M3521" i="16"/>
  <c r="M3520" i="16"/>
  <c r="M3519" i="16"/>
  <c r="M3518" i="16"/>
  <c r="M3517" i="16"/>
  <c r="M3516" i="16"/>
  <c r="M3515" i="16"/>
  <c r="M3514" i="16"/>
  <c r="M3513" i="16"/>
  <c r="M3512" i="16"/>
  <c r="M3511" i="16"/>
  <c r="M3510" i="16"/>
  <c r="M3509" i="16"/>
  <c r="M3508" i="16"/>
  <c r="M3507" i="16"/>
  <c r="M3506" i="16"/>
  <c r="M3505" i="16"/>
  <c r="M3504" i="16"/>
  <c r="M3503" i="16"/>
  <c r="M3502" i="16"/>
  <c r="M3501" i="16"/>
  <c r="M3500" i="16"/>
  <c r="M3499" i="16"/>
  <c r="M3498" i="16"/>
  <c r="M3497" i="16"/>
  <c r="M3496" i="16"/>
  <c r="M3495" i="16"/>
  <c r="M3494" i="16"/>
  <c r="M3493" i="16"/>
  <c r="M3492" i="16"/>
  <c r="M3491" i="16"/>
  <c r="M3490" i="16"/>
  <c r="M3489" i="16"/>
  <c r="M3488" i="16"/>
  <c r="M3487" i="16"/>
  <c r="M3486" i="16"/>
  <c r="M3485" i="16"/>
  <c r="M3484" i="16"/>
  <c r="M3483" i="16"/>
  <c r="M3482" i="16"/>
  <c r="M3481" i="16"/>
  <c r="M3480" i="16"/>
  <c r="M3479" i="16"/>
  <c r="M3478" i="16"/>
  <c r="M3477" i="16"/>
  <c r="M3476" i="16"/>
  <c r="M3475" i="16"/>
  <c r="M3474" i="16"/>
  <c r="M3473" i="16"/>
  <c r="M3472" i="16"/>
  <c r="M3471" i="16"/>
  <c r="M3470" i="16"/>
  <c r="M3469" i="16"/>
  <c r="M3468" i="16"/>
  <c r="M3467" i="16"/>
  <c r="M3466" i="16"/>
  <c r="M3465" i="16"/>
  <c r="M3464" i="16"/>
  <c r="M3463" i="16"/>
  <c r="M3462" i="16"/>
  <c r="M3461" i="16"/>
  <c r="M3460" i="16"/>
  <c r="M3459" i="16"/>
  <c r="M3458" i="16"/>
  <c r="M3457" i="16"/>
  <c r="M3456" i="16"/>
  <c r="M3455" i="16"/>
  <c r="M3454" i="16"/>
  <c r="M3453" i="16"/>
  <c r="M3452" i="16"/>
  <c r="M3451" i="16"/>
  <c r="M3450" i="16"/>
  <c r="M3449" i="16"/>
  <c r="M3448" i="16"/>
  <c r="M3447" i="16"/>
  <c r="M3446" i="16"/>
  <c r="M3445" i="16"/>
  <c r="M3444" i="16"/>
  <c r="M3443" i="16"/>
  <c r="M3442" i="16"/>
  <c r="M3441" i="16"/>
  <c r="M3440" i="16"/>
  <c r="M3439" i="16"/>
  <c r="M3438" i="16"/>
  <c r="M3437" i="16"/>
  <c r="M3436" i="16"/>
  <c r="M3435" i="16"/>
  <c r="M3433" i="16"/>
  <c r="M3432" i="16"/>
  <c r="M3431" i="16"/>
  <c r="M3430" i="16"/>
  <c r="M3429" i="16"/>
  <c r="M3428" i="16"/>
  <c r="M3427" i="16"/>
  <c r="M3426" i="16"/>
  <c r="M3425" i="16"/>
  <c r="M3424" i="16"/>
  <c r="M3423" i="16"/>
  <c r="M3422" i="16"/>
  <c r="M3421" i="16"/>
  <c r="M3420" i="16"/>
  <c r="M3419" i="16"/>
  <c r="M3418" i="16"/>
  <c r="M3417" i="16"/>
  <c r="M3416" i="16"/>
  <c r="M3415" i="16"/>
  <c r="M3414" i="16"/>
  <c r="M3413" i="16"/>
  <c r="M3412" i="16"/>
  <c r="M3411" i="16"/>
  <c r="M3410" i="16"/>
  <c r="M3409" i="16"/>
  <c r="M3408" i="16"/>
  <c r="M3407" i="16"/>
  <c r="M3406" i="16"/>
  <c r="M3405" i="16"/>
  <c r="M3404" i="16"/>
  <c r="M3403" i="16"/>
  <c r="M3402" i="16"/>
  <c r="M3401" i="16"/>
  <c r="M3400" i="16"/>
  <c r="M3399" i="16"/>
  <c r="M3398" i="16"/>
  <c r="M3397" i="16"/>
  <c r="M3396" i="16"/>
  <c r="M3395" i="16"/>
  <c r="M3394" i="16"/>
  <c r="M3393" i="16"/>
  <c r="M3392" i="16"/>
  <c r="M3391" i="16"/>
  <c r="M3390" i="16"/>
  <c r="M3389" i="16"/>
  <c r="M3388" i="16"/>
  <c r="M3387" i="16"/>
  <c r="M3386" i="16"/>
  <c r="M3385" i="16"/>
  <c r="M3384" i="16"/>
  <c r="M3383" i="16"/>
  <c r="M3382" i="16"/>
  <c r="M3381" i="16"/>
  <c r="M3380" i="16"/>
  <c r="M3379" i="16"/>
  <c r="M3378" i="16"/>
  <c r="M3377" i="16"/>
  <c r="M3376" i="16"/>
  <c r="M3375" i="16"/>
  <c r="M3374" i="16"/>
  <c r="M3373" i="16"/>
  <c r="M3372" i="16"/>
  <c r="M3371" i="16"/>
  <c r="M3370" i="16"/>
  <c r="M3369" i="16"/>
  <c r="M3368" i="16"/>
  <c r="M3367" i="16"/>
  <c r="M3366" i="16"/>
  <c r="M3365" i="16"/>
  <c r="M3364" i="16"/>
  <c r="M3363" i="16"/>
  <c r="M3362" i="16"/>
  <c r="M3361" i="16"/>
  <c r="M3360" i="16"/>
  <c r="M3359" i="16"/>
  <c r="M3358" i="16"/>
  <c r="M3357" i="16"/>
  <c r="M3356" i="16"/>
  <c r="M3355" i="16"/>
  <c r="M3354" i="16"/>
  <c r="M3353" i="16"/>
  <c r="M3352" i="16"/>
  <c r="M3351" i="16"/>
  <c r="M3350" i="16"/>
  <c r="M3349" i="16"/>
  <c r="M3348" i="16"/>
  <c r="M3347" i="16"/>
  <c r="M3346" i="16"/>
  <c r="M3345" i="16"/>
  <c r="M3344" i="16"/>
  <c r="M3343" i="16"/>
  <c r="M3342" i="16"/>
  <c r="M3341" i="16"/>
  <c r="M3340" i="16"/>
  <c r="M3339" i="16"/>
  <c r="M3338" i="16"/>
  <c r="M3337" i="16"/>
  <c r="M3336" i="16"/>
  <c r="M3335" i="16"/>
  <c r="M3334" i="16"/>
  <c r="M3333" i="16"/>
  <c r="M3332" i="16"/>
  <c r="M3331" i="16"/>
  <c r="M3330" i="16"/>
  <c r="M3329" i="16"/>
  <c r="M3328" i="16"/>
  <c r="M3327" i="16"/>
  <c r="M3326" i="16"/>
  <c r="M3325" i="16"/>
  <c r="M3324" i="16"/>
  <c r="M3323" i="16"/>
  <c r="M3322" i="16"/>
  <c r="M3321" i="16"/>
  <c r="M3320" i="16"/>
  <c r="M3319" i="16"/>
  <c r="M3318" i="16"/>
  <c r="M3317" i="16"/>
  <c r="M3316" i="16"/>
  <c r="M3315" i="16"/>
  <c r="M3314" i="16"/>
  <c r="M3313" i="16"/>
  <c r="M3312" i="16"/>
  <c r="M3311" i="16"/>
  <c r="M3310" i="16"/>
  <c r="M3309" i="16"/>
  <c r="M3308" i="16"/>
  <c r="M3307" i="16"/>
  <c r="M3306" i="16"/>
  <c r="M3305" i="16"/>
  <c r="M3304" i="16"/>
  <c r="M3303" i="16"/>
  <c r="M3302" i="16"/>
  <c r="M3301" i="16"/>
  <c r="M3300" i="16"/>
  <c r="M3299" i="16"/>
  <c r="M3298" i="16"/>
  <c r="M3297" i="16"/>
  <c r="M3296" i="16"/>
  <c r="M3295" i="16"/>
  <c r="M3294" i="16"/>
  <c r="M3293" i="16"/>
  <c r="M3292" i="16"/>
  <c r="M3291" i="16"/>
  <c r="M3290" i="16"/>
  <c r="M3289" i="16"/>
  <c r="M3288" i="16"/>
  <c r="M3287" i="16"/>
  <c r="M3286" i="16"/>
  <c r="M3285" i="16"/>
  <c r="M3284" i="16"/>
  <c r="M3283" i="16"/>
  <c r="M3282" i="16"/>
  <c r="M3281" i="16"/>
  <c r="M3280" i="16"/>
  <c r="M3279" i="16"/>
  <c r="M3278" i="16"/>
  <c r="M3277" i="16"/>
  <c r="M3276" i="16"/>
  <c r="M3275" i="16"/>
  <c r="M3274" i="16"/>
  <c r="M3273" i="16"/>
  <c r="M3272" i="16"/>
  <c r="M3271" i="16"/>
  <c r="M3270" i="16"/>
  <c r="M3269" i="16"/>
  <c r="M3268" i="16"/>
  <c r="M3267" i="16"/>
  <c r="M3266" i="16"/>
  <c r="M3265" i="16"/>
  <c r="M3264" i="16"/>
  <c r="M3263" i="16"/>
  <c r="M3262" i="16"/>
  <c r="M3261" i="16"/>
  <c r="M3260" i="16"/>
  <c r="M3259" i="16"/>
  <c r="M3258" i="16"/>
  <c r="M3257" i="16"/>
  <c r="M3256" i="16"/>
  <c r="M3255" i="16"/>
  <c r="M3254" i="16"/>
  <c r="M3253" i="16"/>
  <c r="M3252" i="16"/>
  <c r="M3251" i="16"/>
  <c r="M3250" i="16"/>
  <c r="M3249" i="16"/>
  <c r="M3248" i="16"/>
  <c r="M3247" i="16"/>
  <c r="M3246" i="16"/>
  <c r="M3245" i="16"/>
  <c r="M3244" i="16"/>
  <c r="M3243" i="16"/>
  <c r="M3242" i="16"/>
  <c r="M3241" i="16"/>
  <c r="M3240" i="16"/>
  <c r="M3239" i="16"/>
  <c r="M3238" i="16"/>
  <c r="M3237" i="16"/>
  <c r="M3236" i="16"/>
  <c r="M3235" i="16"/>
  <c r="M3234" i="16"/>
  <c r="M3233" i="16"/>
  <c r="M3232" i="16"/>
  <c r="M3231" i="16"/>
  <c r="M3230" i="16"/>
  <c r="M3229" i="16"/>
  <c r="M3228" i="16"/>
  <c r="M3227" i="16"/>
  <c r="M3226" i="16"/>
  <c r="M3225" i="16"/>
  <c r="M3224" i="16"/>
  <c r="M3223" i="16"/>
  <c r="M3222" i="16"/>
  <c r="M3221" i="16"/>
  <c r="M3220" i="16"/>
  <c r="M3219" i="16"/>
  <c r="M3218" i="16"/>
  <c r="M3217" i="16"/>
  <c r="M3216" i="16"/>
  <c r="M3215" i="16"/>
  <c r="M3214" i="16"/>
  <c r="M3213" i="16"/>
  <c r="M3212" i="16"/>
  <c r="M3211" i="16"/>
  <c r="M3210" i="16"/>
  <c r="M3209" i="16"/>
  <c r="M3208" i="16"/>
  <c r="M3207" i="16"/>
  <c r="M3206" i="16"/>
  <c r="M3205" i="16"/>
  <c r="M3204" i="16"/>
  <c r="M3203" i="16"/>
  <c r="M3202" i="16"/>
  <c r="M3201" i="16"/>
  <c r="M3200" i="16"/>
  <c r="M3199" i="16"/>
  <c r="M3198" i="16"/>
  <c r="M3197" i="16"/>
  <c r="M3196" i="16"/>
  <c r="M3195" i="16"/>
  <c r="M3194" i="16"/>
  <c r="M3193" i="16"/>
  <c r="M3192" i="16"/>
  <c r="M3191" i="16"/>
  <c r="M3190" i="16"/>
  <c r="M3189" i="16"/>
  <c r="M3188" i="16"/>
  <c r="M3187" i="16"/>
  <c r="M3186" i="16"/>
  <c r="M3185" i="16"/>
  <c r="M3184" i="16"/>
  <c r="M3183" i="16"/>
  <c r="M3182" i="16"/>
  <c r="M3181" i="16"/>
  <c r="M3180" i="16"/>
  <c r="M3179" i="16"/>
  <c r="M3178" i="16"/>
  <c r="M3177" i="16"/>
  <c r="M3176" i="16"/>
  <c r="M3175" i="16"/>
  <c r="M3174" i="16"/>
  <c r="M3173" i="16"/>
  <c r="M3172" i="16"/>
  <c r="M3171" i="16"/>
  <c r="M3170" i="16"/>
  <c r="M3169" i="16"/>
  <c r="M3168" i="16"/>
  <c r="M3167" i="16"/>
  <c r="M3166" i="16"/>
  <c r="M3165" i="16"/>
  <c r="M3164" i="16"/>
  <c r="M3163" i="16"/>
  <c r="M3162" i="16"/>
  <c r="M3161" i="16"/>
  <c r="M3160" i="16"/>
  <c r="M3159" i="16"/>
  <c r="M3158" i="16"/>
  <c r="M3157" i="16"/>
  <c r="M3156" i="16"/>
  <c r="M3155" i="16"/>
  <c r="M3154" i="16"/>
  <c r="M3153" i="16"/>
  <c r="M3152" i="16"/>
  <c r="M3151" i="16"/>
  <c r="M3150" i="16"/>
  <c r="M3149" i="16"/>
  <c r="M3148" i="16"/>
  <c r="M3147" i="16"/>
  <c r="M3146" i="16"/>
  <c r="M3145" i="16"/>
  <c r="M3144" i="16"/>
  <c r="M3143" i="16"/>
  <c r="M3142" i="16"/>
  <c r="M3141" i="16"/>
  <c r="M3140" i="16"/>
  <c r="M3139" i="16"/>
  <c r="M3138" i="16"/>
  <c r="M3137" i="16"/>
  <c r="M3136" i="16"/>
  <c r="M3135" i="16"/>
  <c r="M3134" i="16"/>
  <c r="M3133" i="16"/>
  <c r="M3132" i="16"/>
  <c r="M3131" i="16"/>
  <c r="M3130" i="16"/>
  <c r="M3129" i="16"/>
  <c r="M3128" i="16"/>
  <c r="M3127" i="16"/>
  <c r="M3126" i="16"/>
  <c r="M3125" i="16"/>
  <c r="M3124" i="16"/>
  <c r="M3123" i="16"/>
  <c r="M3122" i="16"/>
  <c r="M3121" i="16"/>
  <c r="M3120" i="16"/>
  <c r="M3119" i="16"/>
  <c r="M3118" i="16"/>
  <c r="M3117" i="16"/>
  <c r="M3116" i="16"/>
  <c r="M3115" i="16"/>
  <c r="M3114" i="16"/>
  <c r="M3113" i="16"/>
  <c r="M3112" i="16"/>
  <c r="M3111" i="16"/>
  <c r="M3110" i="16"/>
  <c r="M3109" i="16"/>
  <c r="M3108" i="16"/>
  <c r="M3107" i="16"/>
  <c r="M3106" i="16"/>
  <c r="M3105" i="16"/>
  <c r="M3104" i="16"/>
  <c r="M3103" i="16"/>
  <c r="M3102" i="16"/>
  <c r="M3101" i="16"/>
  <c r="M3100" i="16"/>
  <c r="M3099" i="16"/>
  <c r="M3098" i="16"/>
  <c r="M3097" i="16"/>
  <c r="M3096" i="16"/>
  <c r="M3095" i="16"/>
  <c r="M3094" i="16"/>
  <c r="M3093" i="16"/>
  <c r="M3092" i="16"/>
  <c r="M3091" i="16"/>
  <c r="M3090" i="16"/>
  <c r="M3089" i="16"/>
  <c r="M3088" i="16"/>
  <c r="M3087" i="16"/>
  <c r="M3086" i="16"/>
  <c r="M3085" i="16"/>
  <c r="M3084" i="16"/>
  <c r="M3083" i="16"/>
  <c r="M3082" i="16"/>
  <c r="M3081" i="16"/>
  <c r="M3080" i="16"/>
  <c r="M3079" i="16"/>
  <c r="M3078" i="16"/>
  <c r="M3077" i="16"/>
  <c r="M3076" i="16"/>
  <c r="M3075" i="16"/>
  <c r="M3074" i="16"/>
  <c r="M3073" i="16"/>
  <c r="M3072" i="16"/>
  <c r="M3071" i="16"/>
  <c r="M3070" i="16"/>
  <c r="M3069" i="16"/>
  <c r="M3068" i="16"/>
  <c r="M3067" i="16"/>
  <c r="M3066" i="16"/>
  <c r="M3065" i="16"/>
  <c r="M3064" i="16"/>
  <c r="M3063" i="16"/>
  <c r="M3062" i="16"/>
  <c r="M3061" i="16"/>
  <c r="M3060" i="16"/>
  <c r="M3059" i="16"/>
  <c r="M3058" i="16"/>
  <c r="M3057" i="16"/>
  <c r="M3056" i="16"/>
  <c r="M3055" i="16"/>
  <c r="M3054" i="16"/>
  <c r="M3053" i="16"/>
  <c r="M3052" i="16"/>
  <c r="M3051" i="16"/>
  <c r="M3050" i="16"/>
  <c r="M3049" i="16"/>
  <c r="M3048" i="16"/>
  <c r="M3047" i="16"/>
  <c r="M3046" i="16"/>
  <c r="M3045" i="16"/>
  <c r="M3044" i="16"/>
  <c r="M3043" i="16"/>
  <c r="M3042" i="16"/>
  <c r="M3041" i="16"/>
  <c r="M3040" i="16"/>
  <c r="M3039" i="16"/>
  <c r="M3038" i="16"/>
  <c r="M3037" i="16"/>
  <c r="M3036" i="16"/>
  <c r="M3035" i="16"/>
  <c r="M3034" i="16"/>
  <c r="M3033" i="16"/>
  <c r="M3032" i="16"/>
  <c r="M3031" i="16"/>
  <c r="M3030" i="16"/>
  <c r="M3029" i="16"/>
  <c r="M3028" i="16"/>
  <c r="M3027" i="16"/>
  <c r="M3026" i="16"/>
  <c r="M3025" i="16"/>
  <c r="M3024" i="16"/>
  <c r="M3023" i="16"/>
  <c r="M3022" i="16"/>
  <c r="M3021" i="16"/>
  <c r="M3020" i="16"/>
  <c r="M3019" i="16"/>
  <c r="M3018" i="16"/>
  <c r="M3017" i="16"/>
  <c r="M3016" i="16"/>
  <c r="M3015" i="16"/>
  <c r="M3014" i="16"/>
  <c r="M3013" i="16"/>
  <c r="M3012" i="16"/>
  <c r="M3011" i="16"/>
  <c r="M3010" i="16"/>
  <c r="M3009" i="16"/>
  <c r="M3008" i="16"/>
  <c r="M3007" i="16"/>
  <c r="M3006" i="16"/>
  <c r="M3005" i="16"/>
  <c r="M3004" i="16"/>
  <c r="M3003" i="16"/>
  <c r="M3002" i="16"/>
  <c r="M3001" i="16"/>
  <c r="M3000" i="16"/>
  <c r="M2999" i="16"/>
  <c r="M2998" i="16"/>
  <c r="M2997" i="16"/>
  <c r="M2996" i="16"/>
  <c r="M2995" i="16"/>
  <c r="M2994" i="16"/>
  <c r="M2993" i="16"/>
  <c r="M2992" i="16"/>
  <c r="M2991" i="16"/>
  <c r="M2990" i="16"/>
  <c r="M2989" i="16"/>
  <c r="M2988" i="16"/>
  <c r="M2987" i="16"/>
  <c r="M2986" i="16"/>
  <c r="M2985" i="16"/>
  <c r="M2984" i="16"/>
  <c r="M2983" i="16"/>
  <c r="M2982" i="16"/>
  <c r="M2981" i="16"/>
  <c r="M2980" i="16"/>
  <c r="M2979" i="16"/>
  <c r="M2978" i="16"/>
  <c r="M2977" i="16"/>
  <c r="M2976" i="16"/>
  <c r="M2975" i="16"/>
  <c r="M2974" i="16"/>
  <c r="M2973" i="16"/>
  <c r="M2972" i="16"/>
  <c r="M2971" i="16"/>
  <c r="M2970" i="16"/>
  <c r="M2969" i="16"/>
  <c r="M2968" i="16"/>
  <c r="M2967" i="16"/>
  <c r="M2966" i="16"/>
  <c r="M2965" i="16"/>
  <c r="M2964" i="16"/>
  <c r="M2963" i="16"/>
  <c r="M2962" i="16"/>
  <c r="M2961" i="16"/>
  <c r="M2960" i="16"/>
  <c r="M2959" i="16"/>
  <c r="M2958" i="16"/>
  <c r="M2957" i="16"/>
  <c r="M2956" i="16"/>
  <c r="M2955" i="16"/>
  <c r="M2954" i="16"/>
  <c r="M2953" i="16"/>
  <c r="M2952" i="16"/>
  <c r="M2951" i="16"/>
  <c r="M2950" i="16"/>
  <c r="M2949" i="16"/>
  <c r="M2948" i="16"/>
  <c r="M2947" i="16"/>
  <c r="M2946" i="16"/>
  <c r="M2945" i="16"/>
  <c r="M2944" i="16"/>
  <c r="M2943" i="16"/>
  <c r="M2942" i="16"/>
  <c r="M2941" i="16"/>
  <c r="M2940" i="16"/>
  <c r="M2939" i="16"/>
  <c r="M2938" i="16"/>
  <c r="M2937" i="16"/>
  <c r="M2936" i="16"/>
  <c r="M2935" i="16"/>
  <c r="M2934" i="16"/>
  <c r="M2933" i="16"/>
  <c r="M2932" i="16"/>
  <c r="M2931" i="16"/>
  <c r="M2930" i="16"/>
  <c r="M2929" i="16"/>
  <c r="M2928" i="16"/>
  <c r="M2927" i="16"/>
  <c r="M2926" i="16"/>
  <c r="M2925" i="16"/>
  <c r="M2924" i="16"/>
  <c r="M2923" i="16"/>
  <c r="M2922" i="16"/>
  <c r="M2921" i="16"/>
  <c r="M2920" i="16"/>
  <c r="M2919" i="16"/>
  <c r="M2918" i="16"/>
  <c r="M2917" i="16"/>
  <c r="M2916" i="16"/>
  <c r="M2915" i="16"/>
  <c r="M2914" i="16"/>
  <c r="M2913" i="16"/>
  <c r="M2912" i="16"/>
  <c r="M2911" i="16"/>
  <c r="M2910" i="16"/>
  <c r="M2909" i="16"/>
  <c r="M2908" i="16"/>
  <c r="M2907" i="16"/>
  <c r="M2906" i="16"/>
  <c r="M2905" i="16"/>
  <c r="M2904" i="16"/>
  <c r="M2903" i="16"/>
  <c r="M2902" i="16"/>
  <c r="M2901" i="16"/>
  <c r="M2900" i="16"/>
  <c r="M2899" i="16"/>
  <c r="M2898" i="16"/>
  <c r="M2897" i="16"/>
  <c r="M2896" i="16"/>
  <c r="M2895" i="16"/>
  <c r="M2894" i="16"/>
  <c r="M2893" i="16"/>
  <c r="M2892" i="16"/>
  <c r="M2891" i="16"/>
  <c r="M2890" i="16"/>
  <c r="M2889" i="16"/>
  <c r="M2888" i="16"/>
  <c r="M2887" i="16"/>
  <c r="M2886" i="16"/>
  <c r="M2885" i="16"/>
  <c r="M2884" i="16"/>
  <c r="M2883" i="16"/>
  <c r="M2882" i="16"/>
  <c r="M2881" i="16"/>
  <c r="M2880" i="16"/>
  <c r="M2879" i="16"/>
  <c r="M2878" i="16"/>
  <c r="M2877" i="16"/>
  <c r="M2876" i="16"/>
  <c r="M2875" i="16"/>
  <c r="M2874" i="16"/>
  <c r="M2873" i="16"/>
  <c r="M2872" i="16"/>
  <c r="M2871" i="16"/>
  <c r="M2870" i="16"/>
  <c r="M2869" i="16"/>
  <c r="M2868" i="16"/>
  <c r="M2867" i="16"/>
  <c r="M2866" i="16"/>
  <c r="M2865" i="16"/>
  <c r="M2864" i="16"/>
  <c r="M2863" i="16"/>
  <c r="M2862" i="16"/>
  <c r="M2861" i="16"/>
  <c r="M2860" i="16"/>
  <c r="M2859" i="16"/>
  <c r="M2858" i="16"/>
  <c r="M2857" i="16"/>
  <c r="M2856" i="16"/>
  <c r="M2855" i="16"/>
  <c r="M2854" i="16"/>
  <c r="M2853" i="16"/>
  <c r="M2852" i="16"/>
  <c r="M2851" i="16"/>
  <c r="M2850" i="16"/>
  <c r="M2849" i="16"/>
  <c r="M2848" i="16"/>
  <c r="M2847" i="16"/>
  <c r="M2846" i="16"/>
  <c r="M2845" i="16"/>
  <c r="M2844" i="16"/>
  <c r="M2843" i="16"/>
  <c r="M2842" i="16"/>
  <c r="M2841" i="16"/>
  <c r="M2840" i="16"/>
  <c r="M2839" i="16"/>
  <c r="M2838" i="16"/>
  <c r="M2837" i="16"/>
  <c r="M2836" i="16"/>
  <c r="M2835" i="16"/>
  <c r="M2834" i="16"/>
  <c r="M2833" i="16"/>
  <c r="M2832" i="16"/>
  <c r="M2831" i="16"/>
  <c r="M2830" i="16"/>
  <c r="M2829" i="16"/>
  <c r="M2828" i="16"/>
  <c r="M2827" i="16"/>
  <c r="M2826" i="16"/>
  <c r="M2825" i="16"/>
  <c r="M2824" i="16"/>
  <c r="M2823" i="16"/>
  <c r="M2822" i="16"/>
  <c r="M2821" i="16"/>
  <c r="M2820" i="16"/>
  <c r="M2819" i="16"/>
  <c r="M2818" i="16"/>
  <c r="M2817" i="16"/>
  <c r="M2816" i="16"/>
  <c r="M2815" i="16"/>
  <c r="M2814" i="16"/>
  <c r="M2813" i="16"/>
  <c r="M2812" i="16"/>
  <c r="M2811" i="16"/>
  <c r="M2810" i="16"/>
  <c r="M2809" i="16"/>
  <c r="M2808" i="16"/>
  <c r="M2807" i="16"/>
  <c r="M2806" i="16"/>
  <c r="M2805" i="16"/>
  <c r="M2804" i="16"/>
  <c r="M2803" i="16"/>
  <c r="M2802" i="16"/>
  <c r="M2801" i="16"/>
  <c r="M2800" i="16"/>
  <c r="M2799" i="16"/>
  <c r="M2798" i="16"/>
  <c r="M2797" i="16"/>
  <c r="M2796" i="16"/>
  <c r="M2795" i="16"/>
  <c r="M2794" i="16"/>
  <c r="M2793" i="16"/>
  <c r="M2792" i="16"/>
  <c r="M2791" i="16"/>
  <c r="M2790" i="16"/>
  <c r="M2789" i="16"/>
  <c r="M2788" i="16"/>
  <c r="M2787" i="16"/>
  <c r="M2786" i="16"/>
  <c r="M2785" i="16"/>
  <c r="M2784" i="16"/>
  <c r="M2783" i="16"/>
  <c r="M2782" i="16"/>
  <c r="M2781" i="16"/>
  <c r="M2780" i="16"/>
  <c r="M2779" i="16"/>
  <c r="M2778" i="16"/>
  <c r="M2777" i="16"/>
  <c r="M2776" i="16"/>
  <c r="M2775" i="16"/>
  <c r="M2774" i="16"/>
  <c r="M2773" i="16"/>
  <c r="M2772" i="16"/>
  <c r="M2771" i="16"/>
  <c r="M2770" i="16"/>
  <c r="M2769" i="16"/>
  <c r="M2768" i="16"/>
  <c r="M2767" i="16"/>
  <c r="M2766" i="16"/>
  <c r="M2765" i="16"/>
  <c r="M2764" i="16"/>
  <c r="M2763" i="16"/>
  <c r="M2762" i="16"/>
  <c r="M2761" i="16"/>
  <c r="M2760" i="16"/>
  <c r="M2759" i="16"/>
  <c r="M2758" i="16"/>
  <c r="M2757" i="16"/>
  <c r="M2756" i="16"/>
  <c r="M2755" i="16"/>
  <c r="M2754" i="16"/>
  <c r="M2753" i="16"/>
  <c r="M2752" i="16"/>
  <c r="M2751" i="16"/>
  <c r="M2750" i="16"/>
  <c r="M2749" i="16"/>
  <c r="M2748" i="16"/>
  <c r="M2747" i="16"/>
  <c r="M2746" i="16"/>
  <c r="M2745" i="16"/>
  <c r="M2744" i="16"/>
  <c r="M2743" i="16"/>
  <c r="M2742" i="16"/>
  <c r="M2741" i="16"/>
  <c r="M2740" i="16"/>
  <c r="M2739" i="16"/>
  <c r="M2738" i="16"/>
  <c r="M2737" i="16"/>
  <c r="M2736" i="16"/>
  <c r="M2735" i="16"/>
  <c r="M2734" i="16"/>
  <c r="M2733" i="16"/>
  <c r="M2732" i="16"/>
  <c r="M2731" i="16"/>
  <c r="M2730" i="16"/>
  <c r="M2729" i="16"/>
  <c r="M2728" i="16"/>
  <c r="M2727" i="16"/>
  <c r="M2726" i="16"/>
  <c r="M2725" i="16"/>
  <c r="M2724" i="16"/>
  <c r="M2723" i="16"/>
  <c r="M2722" i="16"/>
  <c r="M2721" i="16"/>
  <c r="M2720" i="16"/>
  <c r="M2719" i="16"/>
  <c r="M2718" i="16"/>
  <c r="M2717" i="16"/>
  <c r="M2716" i="16"/>
  <c r="M2715" i="16"/>
  <c r="M2714" i="16"/>
  <c r="M2713" i="16"/>
  <c r="M2712" i="16"/>
  <c r="M2711" i="16"/>
  <c r="M2710" i="16"/>
  <c r="M2709" i="16"/>
  <c r="M2708" i="16"/>
  <c r="M2707" i="16"/>
  <c r="M2706" i="16"/>
  <c r="M2705" i="16"/>
  <c r="M2704" i="16"/>
  <c r="M2703" i="16"/>
  <c r="M2702" i="16"/>
  <c r="M2701" i="16"/>
  <c r="M2700" i="16"/>
  <c r="M2699" i="16"/>
  <c r="M2698" i="16"/>
  <c r="M2697" i="16"/>
  <c r="M2696" i="16"/>
  <c r="M2695" i="16"/>
  <c r="M2694" i="16"/>
  <c r="M2693" i="16"/>
  <c r="M2692" i="16"/>
  <c r="M2691" i="16"/>
  <c r="M2690" i="16"/>
  <c r="M2689" i="16"/>
  <c r="M2688" i="16"/>
  <c r="M2687" i="16"/>
  <c r="M2686" i="16"/>
  <c r="M2685" i="16"/>
  <c r="M2684" i="16"/>
  <c r="M2683" i="16"/>
  <c r="M2682" i="16"/>
  <c r="M2681" i="16"/>
  <c r="M2680" i="16"/>
  <c r="M2679" i="16"/>
  <c r="M2678" i="16"/>
  <c r="M2677" i="16"/>
  <c r="M2676" i="16"/>
  <c r="M2675" i="16"/>
  <c r="M2674" i="16"/>
  <c r="M2673" i="16"/>
  <c r="M2672" i="16"/>
  <c r="M2671" i="16"/>
  <c r="M2670" i="16"/>
  <c r="M2669" i="16"/>
  <c r="M2668" i="16"/>
  <c r="M2667" i="16"/>
  <c r="M2666" i="16"/>
  <c r="M2665" i="16"/>
  <c r="M2664" i="16"/>
  <c r="M2663" i="16"/>
  <c r="M2662" i="16"/>
  <c r="M2661" i="16"/>
  <c r="M2660" i="16"/>
  <c r="M2659" i="16"/>
  <c r="M2658" i="16"/>
  <c r="M2657" i="16"/>
  <c r="M2656" i="16"/>
  <c r="M2655" i="16"/>
  <c r="M2654" i="16"/>
  <c r="M2653" i="16"/>
  <c r="M2652" i="16"/>
  <c r="M2651" i="16"/>
  <c r="M2650" i="16"/>
  <c r="M2649" i="16"/>
  <c r="M2648" i="16"/>
  <c r="M2647" i="16"/>
  <c r="M2646" i="16"/>
  <c r="M2645" i="16"/>
  <c r="M2644" i="16"/>
  <c r="M2643" i="16"/>
  <c r="M2642" i="16"/>
  <c r="M2641" i="16"/>
  <c r="M2640" i="16"/>
  <c r="M2639" i="16"/>
  <c r="M2638" i="16"/>
  <c r="M2637" i="16"/>
  <c r="M2636" i="16"/>
  <c r="M2635" i="16"/>
  <c r="M2634" i="16"/>
  <c r="M2633" i="16"/>
  <c r="M2632" i="16"/>
  <c r="M2631" i="16"/>
  <c r="M2630" i="16"/>
  <c r="M2629" i="16"/>
  <c r="M2628" i="16"/>
  <c r="M2627" i="16"/>
  <c r="M2626" i="16"/>
  <c r="M2625" i="16"/>
  <c r="M2624" i="16"/>
  <c r="M2623" i="16"/>
  <c r="M2622" i="16"/>
  <c r="M2621" i="16"/>
  <c r="M2620" i="16"/>
  <c r="M2619" i="16"/>
  <c r="M2618" i="16"/>
  <c r="M2617" i="16"/>
  <c r="M2616" i="16"/>
  <c r="M2615" i="16"/>
  <c r="M2614" i="16"/>
  <c r="M2613" i="16"/>
  <c r="M2612" i="16"/>
  <c r="M2611" i="16"/>
  <c r="M2610" i="16"/>
  <c r="M2609" i="16"/>
  <c r="M2608" i="16"/>
  <c r="M2607" i="16"/>
  <c r="M2606" i="16"/>
  <c r="M2605" i="16"/>
  <c r="M2604" i="16"/>
  <c r="M2603" i="16"/>
  <c r="M2602" i="16"/>
  <c r="M2601" i="16"/>
  <c r="M2600" i="16"/>
  <c r="M2599" i="16"/>
  <c r="M2598" i="16"/>
  <c r="M2597" i="16"/>
  <c r="M2596" i="16"/>
  <c r="M2595" i="16"/>
  <c r="M2594" i="16"/>
  <c r="M2593" i="16"/>
  <c r="M2592" i="16"/>
  <c r="M2591" i="16"/>
  <c r="M2590" i="16"/>
  <c r="M2589" i="16"/>
  <c r="M2588" i="16"/>
  <c r="M2587" i="16"/>
  <c r="M2586" i="16"/>
  <c r="M2585" i="16"/>
  <c r="M2584" i="16"/>
  <c r="M2583" i="16"/>
  <c r="M2582" i="16"/>
  <c r="M2581" i="16"/>
  <c r="M2580" i="16"/>
  <c r="M2579" i="16"/>
  <c r="M2578" i="16"/>
  <c r="M2577" i="16"/>
  <c r="M2576" i="16"/>
  <c r="M2575" i="16"/>
  <c r="M2574" i="16"/>
  <c r="M2573" i="16"/>
  <c r="M2572" i="16"/>
  <c r="M2571" i="16"/>
  <c r="M2570" i="16"/>
  <c r="M2569" i="16"/>
  <c r="M2568" i="16"/>
  <c r="M2567" i="16"/>
  <c r="M2566" i="16"/>
  <c r="M2565" i="16"/>
  <c r="M2564" i="16"/>
  <c r="M2563" i="16"/>
  <c r="M2562" i="16"/>
  <c r="M2561" i="16"/>
  <c r="M2560" i="16"/>
  <c r="M2559" i="16"/>
  <c r="M2558" i="16"/>
  <c r="M2557" i="16"/>
  <c r="M2556" i="16"/>
  <c r="M2555" i="16"/>
  <c r="M2554" i="16"/>
  <c r="M2553" i="16"/>
  <c r="M2552" i="16"/>
  <c r="M2551" i="16"/>
  <c r="M2550" i="16"/>
  <c r="M2549" i="16"/>
  <c r="M2548" i="16"/>
  <c r="M2547" i="16"/>
  <c r="M2546" i="16"/>
  <c r="M2545" i="16"/>
  <c r="M2544" i="16"/>
  <c r="M2543" i="16"/>
  <c r="M2542" i="16"/>
  <c r="M2541" i="16"/>
  <c r="M2540" i="16"/>
  <c r="M2539" i="16"/>
  <c r="M2538" i="16"/>
  <c r="M2537" i="16"/>
  <c r="M2536" i="16"/>
  <c r="M2535" i="16"/>
  <c r="M2534" i="16"/>
  <c r="M2533" i="16"/>
  <c r="M2532" i="16"/>
  <c r="M2531" i="16"/>
  <c r="M2530" i="16"/>
  <c r="M2529" i="16"/>
  <c r="M2528" i="16"/>
  <c r="M2527" i="16"/>
  <c r="M2526" i="16"/>
  <c r="M2525" i="16"/>
  <c r="M2524" i="16"/>
  <c r="M2523" i="16"/>
  <c r="M2522" i="16"/>
  <c r="M2521" i="16"/>
  <c r="M2520" i="16"/>
  <c r="M2519" i="16"/>
  <c r="M2518" i="16"/>
  <c r="M2517" i="16"/>
  <c r="M2516" i="16"/>
  <c r="M2515" i="16"/>
  <c r="M2514" i="16"/>
  <c r="M2513" i="16"/>
  <c r="M2512" i="16"/>
  <c r="M2511" i="16"/>
  <c r="M2510" i="16"/>
  <c r="M2509" i="16"/>
  <c r="M2508" i="16"/>
  <c r="M2507" i="16"/>
  <c r="M2506" i="16"/>
  <c r="M2505" i="16"/>
  <c r="M2504" i="16"/>
  <c r="M2503" i="16"/>
  <c r="M2502" i="16"/>
  <c r="M2501" i="16"/>
  <c r="M2500" i="16"/>
  <c r="M2499" i="16"/>
  <c r="M2498" i="16"/>
  <c r="M2497" i="16"/>
  <c r="M2496" i="16"/>
  <c r="M2495" i="16"/>
  <c r="M2494" i="16"/>
  <c r="M2493" i="16"/>
  <c r="M2492" i="16"/>
  <c r="M2491" i="16"/>
  <c r="M2490" i="16"/>
  <c r="M2489" i="16"/>
  <c r="M2488" i="16"/>
  <c r="M2487" i="16"/>
  <c r="M2486" i="16"/>
  <c r="M2485" i="16"/>
  <c r="M2484" i="16"/>
  <c r="M2483" i="16"/>
  <c r="M2482" i="16"/>
  <c r="M2481" i="16"/>
  <c r="M2480" i="16"/>
  <c r="M2479" i="16"/>
  <c r="M2478" i="16"/>
  <c r="M2477" i="16"/>
  <c r="M2476" i="16"/>
  <c r="M2475" i="16"/>
  <c r="M2474" i="16"/>
  <c r="M2473" i="16"/>
  <c r="M2472" i="16"/>
  <c r="M2471" i="16"/>
  <c r="M2470" i="16"/>
  <c r="M2469" i="16"/>
  <c r="M2468" i="16"/>
  <c r="M2467" i="16"/>
  <c r="M2466" i="16"/>
  <c r="M2465" i="16"/>
  <c r="M2464" i="16"/>
  <c r="M2463" i="16"/>
  <c r="M2462" i="16"/>
  <c r="M2461" i="16"/>
  <c r="M2460" i="16"/>
  <c r="M2459" i="16"/>
  <c r="M2458" i="16"/>
  <c r="M2457" i="16"/>
  <c r="M2456" i="16"/>
  <c r="M2455" i="16"/>
  <c r="M2454" i="16"/>
  <c r="M2453" i="16"/>
  <c r="M2452" i="16"/>
  <c r="M2451" i="16"/>
  <c r="M2450" i="16"/>
  <c r="M2449" i="16"/>
  <c r="M2448" i="16"/>
  <c r="M2447" i="16"/>
  <c r="M2446" i="16"/>
  <c r="M2445" i="16"/>
  <c r="M2444" i="16"/>
  <c r="M2443" i="16"/>
  <c r="M2442" i="16"/>
  <c r="M2441" i="16"/>
  <c r="M2440" i="16"/>
  <c r="M2439" i="16"/>
  <c r="M2438" i="16"/>
  <c r="M2437" i="16"/>
  <c r="M2436" i="16"/>
  <c r="M2435" i="16"/>
  <c r="M2434" i="16"/>
  <c r="M2433" i="16"/>
  <c r="M2432" i="16"/>
  <c r="M2431" i="16"/>
  <c r="M2430" i="16"/>
  <c r="M2429" i="16"/>
  <c r="M2428" i="16"/>
  <c r="M2427" i="16"/>
  <c r="M2426" i="16"/>
  <c r="M2425" i="16"/>
  <c r="M2424" i="16"/>
  <c r="M2423" i="16"/>
  <c r="M2422" i="16"/>
  <c r="M2421" i="16"/>
  <c r="M2420" i="16"/>
  <c r="M2419" i="16"/>
  <c r="M2418" i="16"/>
  <c r="M2417" i="16"/>
  <c r="M2360" i="16"/>
  <c r="M2359" i="16"/>
  <c r="M2358" i="16"/>
  <c r="M2357" i="16"/>
  <c r="M2356" i="16"/>
  <c r="M2355" i="16"/>
  <c r="M2354" i="16"/>
  <c r="M2353" i="16"/>
  <c r="M2352" i="16"/>
  <c r="M2351" i="16"/>
  <c r="M2350" i="16"/>
  <c r="M2349" i="16"/>
  <c r="M2348" i="16"/>
  <c r="M2347" i="16"/>
  <c r="M2346" i="16"/>
  <c r="M2345" i="16"/>
  <c r="M2344" i="16"/>
  <c r="M2343" i="16"/>
  <c r="M2342" i="16"/>
  <c r="M2341" i="16"/>
  <c r="M2340" i="16"/>
  <c r="M2339" i="16"/>
  <c r="M2338" i="16"/>
  <c r="M2337" i="16"/>
  <c r="M2336" i="16"/>
  <c r="M2335" i="16"/>
  <c r="M2334" i="16"/>
  <c r="M2333" i="16"/>
  <c r="M2332" i="16"/>
  <c r="M2331" i="16"/>
  <c r="M2330" i="16"/>
  <c r="M2329" i="16"/>
  <c r="M2328" i="16"/>
  <c r="M2327" i="16"/>
  <c r="M2326" i="16"/>
  <c r="M2325" i="16"/>
  <c r="M2324" i="16"/>
  <c r="M2323" i="16"/>
  <c r="M2322" i="16"/>
  <c r="M2321" i="16"/>
  <c r="M2320" i="16"/>
  <c r="M2319" i="16"/>
  <c r="M2318" i="16"/>
  <c r="M2317" i="16"/>
  <c r="M2316" i="16"/>
  <c r="M2315" i="16"/>
  <c r="M2314" i="16"/>
  <c r="M2313" i="16"/>
  <c r="M2312" i="16"/>
  <c r="M2311" i="16"/>
  <c r="M2310" i="16"/>
  <c r="M2309" i="16"/>
  <c r="M2308" i="16"/>
  <c r="M2307" i="16"/>
  <c r="M2306" i="16"/>
  <c r="M2305" i="16"/>
  <c r="M2304" i="16"/>
  <c r="M2303" i="16"/>
  <c r="M2302" i="16"/>
  <c r="M2301" i="16"/>
  <c r="M2300" i="16"/>
  <c r="M2299" i="16"/>
  <c r="M2298" i="16"/>
  <c r="M2297" i="16"/>
  <c r="M2296" i="16"/>
  <c r="M2295" i="16"/>
  <c r="M2294" i="16"/>
  <c r="M2293" i="16"/>
  <c r="M2292" i="16"/>
  <c r="M2291" i="16"/>
  <c r="M2290" i="16"/>
  <c r="M2289" i="16"/>
  <c r="M2288" i="16"/>
  <c r="M2287" i="16"/>
  <c r="M2286" i="16"/>
  <c r="M2285" i="16"/>
  <c r="M2284" i="16"/>
  <c r="M2283" i="16"/>
  <c r="M2282" i="16"/>
  <c r="M2281" i="16"/>
  <c r="M2280" i="16"/>
  <c r="M2279" i="16"/>
  <c r="M2278" i="16"/>
  <c r="M2277" i="16"/>
  <c r="M2276" i="16"/>
  <c r="M2275" i="16"/>
  <c r="M2274" i="16"/>
  <c r="M2273" i="16"/>
  <c r="M2272" i="16"/>
  <c r="M2271" i="16"/>
  <c r="M2270" i="16"/>
  <c r="M2269" i="16"/>
  <c r="M2268" i="16"/>
  <c r="M2267" i="16"/>
  <c r="M2266" i="16"/>
  <c r="M2265" i="16"/>
  <c r="M2264" i="16"/>
  <c r="M2263" i="16"/>
  <c r="M2262" i="16"/>
  <c r="M2261" i="16"/>
  <c r="M2260" i="16"/>
  <c r="M2259" i="16"/>
  <c r="M2258" i="16"/>
  <c r="M2257" i="16"/>
  <c r="M2256" i="16"/>
  <c r="M2255" i="16"/>
  <c r="M2254" i="16"/>
  <c r="M2253" i="16"/>
  <c r="M2252" i="16"/>
  <c r="M2251" i="16"/>
  <c r="M2250" i="16"/>
  <c r="M2249" i="16"/>
  <c r="M2248" i="16"/>
  <c r="M2247" i="16"/>
  <c r="M2246" i="16"/>
  <c r="M2245" i="16"/>
  <c r="M2244" i="16"/>
  <c r="M2243" i="16"/>
  <c r="M2242" i="16"/>
  <c r="M2241" i="16"/>
  <c r="M2240" i="16"/>
  <c r="M2239" i="16"/>
  <c r="M2238" i="16"/>
  <c r="M2237" i="16"/>
  <c r="M2236" i="16"/>
  <c r="M2235" i="16"/>
  <c r="M2234" i="16"/>
  <c r="M2233" i="16"/>
  <c r="M2232" i="16"/>
  <c r="M2231" i="16"/>
  <c r="M2230" i="16"/>
  <c r="M2229" i="16"/>
  <c r="M2228" i="16"/>
  <c r="M2227" i="16"/>
  <c r="M2226" i="16"/>
  <c r="M2225" i="16"/>
  <c r="M2224" i="16"/>
  <c r="M2223" i="16"/>
  <c r="M2222" i="16"/>
  <c r="M2221" i="16"/>
  <c r="M2220" i="16"/>
  <c r="M2219" i="16"/>
  <c r="M2218" i="16"/>
  <c r="M2217" i="16"/>
  <c r="M2216" i="16"/>
  <c r="M2215" i="16"/>
  <c r="M2214" i="16"/>
  <c r="M2213" i="16"/>
  <c r="M2212" i="16"/>
  <c r="M2211" i="16"/>
  <c r="M2210" i="16"/>
  <c r="M2209" i="16"/>
  <c r="M2208" i="16"/>
  <c r="M2207" i="16"/>
  <c r="M2206" i="16"/>
  <c r="M2205" i="16"/>
  <c r="M2204" i="16"/>
  <c r="M2203" i="16"/>
  <c r="M2202" i="16"/>
  <c r="M2201" i="16"/>
  <c r="M2200" i="16"/>
  <c r="M2199" i="16"/>
  <c r="M2198" i="16"/>
  <c r="M2197" i="16"/>
  <c r="M2196" i="16"/>
  <c r="M2195" i="16"/>
  <c r="M2194" i="16"/>
  <c r="M2193" i="16"/>
  <c r="M2192" i="16"/>
  <c r="M2191" i="16"/>
  <c r="M2190" i="16"/>
  <c r="M2189" i="16"/>
  <c r="M2188" i="16"/>
  <c r="M2187" i="16"/>
  <c r="M2186" i="16"/>
  <c r="M2185" i="16"/>
  <c r="M2184" i="16"/>
  <c r="M2183" i="16"/>
  <c r="M2182" i="16"/>
  <c r="M2181" i="16"/>
  <c r="M2180" i="16"/>
  <c r="M2179" i="16"/>
  <c r="M2178" i="16"/>
  <c r="M2177" i="16"/>
  <c r="M2176" i="16"/>
  <c r="M2175" i="16"/>
  <c r="M2174" i="16"/>
  <c r="M2173" i="16"/>
  <c r="M2172" i="16"/>
  <c r="M2171" i="16"/>
  <c r="M2170" i="16"/>
  <c r="M2169" i="16"/>
  <c r="M2168" i="16"/>
  <c r="M2167" i="16"/>
  <c r="M2166" i="16"/>
  <c r="M2165" i="16"/>
  <c r="M2164" i="16"/>
  <c r="M2163" i="16"/>
  <c r="M2162" i="16"/>
  <c r="M2161" i="16"/>
  <c r="M2160" i="16"/>
  <c r="M2159" i="16"/>
  <c r="M2158" i="16"/>
  <c r="M2157" i="16"/>
  <c r="M2156" i="16"/>
  <c r="M2155" i="16"/>
  <c r="M2154" i="16"/>
  <c r="M2153" i="16"/>
  <c r="M2152" i="16"/>
  <c r="M2151" i="16"/>
  <c r="M2150" i="16"/>
  <c r="M2149" i="16"/>
  <c r="M2148" i="16"/>
  <c r="M2147" i="16"/>
  <c r="M2146" i="16"/>
  <c r="M2145" i="16"/>
  <c r="M2144" i="16"/>
  <c r="M2143" i="16"/>
  <c r="M2142" i="16"/>
  <c r="M2141" i="16"/>
  <c r="M2140" i="16"/>
  <c r="M2139" i="16"/>
  <c r="M2138" i="16"/>
  <c r="M2137" i="16"/>
  <c r="M2136" i="16"/>
  <c r="M2135" i="16"/>
  <c r="M2134" i="16"/>
  <c r="M2133" i="16"/>
  <c r="M2132" i="16"/>
  <c r="M2131" i="16"/>
  <c r="M2130" i="16"/>
  <c r="M2129" i="16"/>
  <c r="M2128" i="16"/>
  <c r="M2127" i="16"/>
  <c r="M2126" i="16"/>
  <c r="M2125" i="16"/>
  <c r="M2124" i="16"/>
  <c r="M2123" i="16"/>
  <c r="M2122" i="16"/>
  <c r="M2121" i="16"/>
  <c r="M2120" i="16"/>
  <c r="M2119" i="16"/>
  <c r="M2118" i="16"/>
  <c r="M2117" i="16"/>
  <c r="M2116" i="16"/>
  <c r="M2115" i="16"/>
  <c r="M2114" i="16"/>
  <c r="M2113" i="16"/>
  <c r="M2112" i="16"/>
  <c r="M2111" i="16"/>
  <c r="M2110" i="16"/>
  <c r="M2109" i="16"/>
  <c r="M2108" i="16"/>
  <c r="M2107" i="16"/>
  <c r="M2106" i="16"/>
  <c r="M2105" i="16"/>
  <c r="M2104" i="16"/>
  <c r="M2103" i="16"/>
  <c r="M2102" i="16"/>
  <c r="M2101" i="16"/>
  <c r="M2100" i="16"/>
  <c r="M2099" i="16"/>
  <c r="M2098" i="16"/>
  <c r="M2097" i="16"/>
  <c r="M2096" i="16"/>
  <c r="M2095" i="16"/>
  <c r="M2094" i="16"/>
  <c r="M2093" i="16"/>
  <c r="M2092" i="16"/>
  <c r="M2091" i="16"/>
  <c r="M2090" i="16"/>
  <c r="M2089" i="16"/>
  <c r="M2088" i="16"/>
  <c r="M2087" i="16"/>
  <c r="M2086" i="16"/>
  <c r="M2085" i="16"/>
  <c r="M2084" i="16"/>
  <c r="M2083" i="16"/>
  <c r="M2082" i="16"/>
  <c r="M2081" i="16"/>
  <c r="M2080" i="16"/>
  <c r="M2079" i="16"/>
  <c r="M2078" i="16"/>
  <c r="M2077" i="16"/>
  <c r="M2076" i="16"/>
  <c r="M2075" i="16"/>
  <c r="M2074" i="16"/>
  <c r="M2073" i="16"/>
  <c r="M2072" i="16"/>
  <c r="M2071" i="16"/>
  <c r="M2070" i="16"/>
  <c r="M2069" i="16"/>
  <c r="M2068" i="16"/>
  <c r="M2067" i="16"/>
  <c r="M2066" i="16"/>
  <c r="M2065" i="16"/>
  <c r="M2064" i="16"/>
  <c r="M2063" i="16"/>
  <c r="M2062" i="16"/>
  <c r="M2061" i="16"/>
  <c r="M2060" i="16"/>
  <c r="M2059" i="16"/>
  <c r="M2058" i="16"/>
  <c r="M2057" i="16"/>
  <c r="M2056" i="16"/>
  <c r="M2055" i="16"/>
  <c r="M2054" i="16"/>
  <c r="M2053" i="16"/>
  <c r="M2052" i="16"/>
  <c r="M2051" i="16"/>
  <c r="M2050" i="16"/>
  <c r="M2049" i="16"/>
  <c r="M2048" i="16"/>
  <c r="M2047" i="16"/>
  <c r="M2046" i="16"/>
  <c r="M2045" i="16"/>
  <c r="M2044" i="16"/>
  <c r="M2043" i="16"/>
  <c r="M2042" i="16"/>
  <c r="M2041" i="16"/>
  <c r="M2040" i="16"/>
  <c r="M2039" i="16"/>
  <c r="M2038" i="16"/>
  <c r="M2037" i="16"/>
  <c r="M2036" i="16"/>
  <c r="M2035" i="16"/>
  <c r="M2034" i="16"/>
  <c r="M2033" i="16"/>
  <c r="M2032" i="16"/>
  <c r="M2031" i="16"/>
  <c r="M2030" i="16"/>
  <c r="M2029" i="16"/>
  <c r="M2028" i="16"/>
  <c r="M2027" i="16"/>
  <c r="M2026" i="16"/>
  <c r="M2025" i="16"/>
  <c r="M2024" i="16"/>
  <c r="M2023" i="16"/>
  <c r="M2022" i="16"/>
  <c r="M2021" i="16"/>
  <c r="M2020" i="16"/>
  <c r="M2019" i="16"/>
  <c r="M2018" i="16"/>
  <c r="M2017" i="16"/>
  <c r="M2016" i="16"/>
  <c r="M2015" i="16"/>
  <c r="M2014" i="16"/>
  <c r="M2013" i="16"/>
  <c r="M2012" i="16"/>
  <c r="M2011" i="16"/>
  <c r="M2010" i="16"/>
  <c r="M2009" i="16"/>
  <c r="M2008" i="16"/>
  <c r="M2007" i="16"/>
  <c r="M2006" i="16"/>
  <c r="M2005" i="16"/>
  <c r="M2004" i="16"/>
  <c r="M2003" i="16"/>
  <c r="M2002" i="16"/>
  <c r="M2001" i="16"/>
  <c r="M2000" i="16"/>
  <c r="M1999" i="16"/>
  <c r="M1998" i="16"/>
  <c r="M1997" i="16"/>
  <c r="M1996" i="16"/>
  <c r="M1995" i="16"/>
  <c r="M1994" i="16"/>
  <c r="M1993" i="16"/>
  <c r="M1992" i="16"/>
  <c r="M1991" i="16"/>
  <c r="M1990" i="16"/>
  <c r="M1989" i="16"/>
  <c r="M1988" i="16"/>
  <c r="M1987" i="16"/>
  <c r="M1986" i="16"/>
  <c r="M1985" i="16"/>
  <c r="M1984" i="16"/>
  <c r="M1983" i="16"/>
  <c r="M1982" i="16"/>
  <c r="M1981" i="16"/>
  <c r="M1980" i="16"/>
  <c r="M1979" i="16"/>
  <c r="M1978" i="16"/>
  <c r="M1977" i="16"/>
  <c r="M1976" i="16"/>
  <c r="M1975" i="16"/>
  <c r="M1974" i="16"/>
  <c r="M1973" i="16"/>
  <c r="M1972" i="16"/>
  <c r="M1971" i="16"/>
  <c r="M1970" i="16"/>
  <c r="M1969" i="16"/>
  <c r="M1968" i="16"/>
  <c r="M1967" i="16"/>
  <c r="M1966" i="16"/>
  <c r="M1965" i="16"/>
  <c r="M1964" i="16"/>
  <c r="M1963" i="16"/>
  <c r="M1962" i="16"/>
  <c r="M1961" i="16"/>
  <c r="M1960" i="16"/>
  <c r="M1959" i="16"/>
  <c r="M1958" i="16"/>
  <c r="M1957" i="16"/>
  <c r="M1956" i="16"/>
  <c r="M1955" i="16"/>
  <c r="M1954" i="16"/>
  <c r="M1953" i="16"/>
  <c r="M1952" i="16"/>
  <c r="M1951" i="16"/>
  <c r="M1950" i="16"/>
  <c r="M1949" i="16"/>
  <c r="M1948" i="16"/>
  <c r="M1947" i="16"/>
  <c r="M1946" i="16"/>
  <c r="M1945" i="16"/>
  <c r="M1944" i="16"/>
  <c r="M1943" i="16"/>
  <c r="M1942" i="16"/>
  <c r="M1941" i="16"/>
  <c r="M1940" i="16"/>
  <c r="M1939" i="16"/>
  <c r="M1938" i="16"/>
  <c r="M1937" i="16"/>
  <c r="M1936" i="16"/>
  <c r="M1935" i="16"/>
  <c r="M1934" i="16"/>
  <c r="M1933" i="16"/>
  <c r="M1932" i="16"/>
  <c r="M1931" i="16"/>
  <c r="M1930" i="16"/>
  <c r="M1929" i="16"/>
  <c r="M1928" i="16"/>
  <c r="M1927" i="16"/>
  <c r="M1926" i="16"/>
  <c r="M1925" i="16"/>
  <c r="M1924" i="16"/>
  <c r="M1923" i="16"/>
  <c r="M1922" i="16"/>
  <c r="M1921" i="16"/>
  <c r="M1920" i="16"/>
  <c r="M1919" i="16"/>
  <c r="M1918" i="16"/>
  <c r="M1917" i="16"/>
  <c r="M1916" i="16"/>
  <c r="M1915" i="16"/>
  <c r="M1914" i="16"/>
  <c r="M1913" i="16"/>
  <c r="M1912" i="16"/>
  <c r="M1911" i="16"/>
  <c r="M1910" i="16"/>
  <c r="M1909" i="16"/>
  <c r="M1908" i="16"/>
  <c r="M1907" i="16"/>
  <c r="M1906" i="16"/>
  <c r="M1905" i="16"/>
  <c r="M1904" i="16"/>
  <c r="M1903" i="16"/>
  <c r="M1902" i="16"/>
  <c r="M1901" i="16"/>
  <c r="M1900" i="16"/>
  <c r="M1899" i="16"/>
  <c r="M1898" i="16"/>
  <c r="M1897" i="16"/>
  <c r="M1896" i="16"/>
  <c r="M1895" i="16"/>
  <c r="M1894" i="16"/>
  <c r="M1893" i="16"/>
  <c r="M1892" i="16"/>
  <c r="M1891" i="16"/>
  <c r="M1890" i="16"/>
  <c r="M1889" i="16"/>
  <c r="M1888" i="16"/>
  <c r="M1887" i="16"/>
  <c r="M1886" i="16"/>
  <c r="M1885" i="16"/>
  <c r="M1884" i="16"/>
  <c r="M1883" i="16"/>
  <c r="M1882" i="16"/>
  <c r="M1881" i="16"/>
  <c r="M1880" i="16"/>
  <c r="M1879" i="16"/>
  <c r="M1878" i="16"/>
  <c r="M1877" i="16"/>
  <c r="M1876" i="16"/>
  <c r="M1875" i="16"/>
  <c r="M1874" i="16"/>
  <c r="M1873" i="16"/>
  <c r="M1872" i="16"/>
  <c r="M1871" i="16"/>
  <c r="M1870" i="16"/>
  <c r="M1869" i="16"/>
  <c r="M1868" i="16"/>
  <c r="M1867" i="16"/>
  <c r="M1866" i="16"/>
  <c r="M1865" i="16"/>
  <c r="M1864" i="16"/>
  <c r="M1863" i="16"/>
  <c r="M1862" i="16"/>
  <c r="M1861" i="16"/>
  <c r="M1860" i="16"/>
  <c r="M1859" i="16"/>
  <c r="M1858" i="16"/>
  <c r="M1857" i="16"/>
  <c r="M1856" i="16"/>
  <c r="M1855" i="16"/>
  <c r="M1854" i="16"/>
  <c r="M1853" i="16"/>
  <c r="M1852" i="16"/>
  <c r="M1851" i="16"/>
  <c r="M1850" i="16"/>
  <c r="M1849" i="16"/>
  <c r="M1848" i="16"/>
  <c r="M1847" i="16"/>
  <c r="M1846" i="16"/>
  <c r="M1845" i="16"/>
  <c r="M1844" i="16"/>
  <c r="M1843" i="16"/>
  <c r="M1842" i="16"/>
  <c r="M2416" i="16"/>
  <c r="M2415" i="16"/>
  <c r="M2414" i="16"/>
  <c r="M2413" i="16"/>
  <c r="M2412" i="16"/>
  <c r="M2411" i="16"/>
  <c r="M2410" i="16"/>
  <c r="M2409" i="16"/>
  <c r="M2408" i="16"/>
  <c r="M2407" i="16"/>
  <c r="M2406" i="16"/>
  <c r="M2405" i="16"/>
  <c r="M2404" i="16"/>
  <c r="M2403" i="16"/>
  <c r="M2402" i="16"/>
  <c r="M2401" i="16"/>
  <c r="M2400" i="16"/>
  <c r="M2399" i="16"/>
  <c r="M2398" i="16"/>
  <c r="M2397" i="16"/>
  <c r="M2396" i="16"/>
  <c r="M2395" i="16"/>
  <c r="M2394" i="16"/>
  <c r="M2393" i="16"/>
  <c r="M2392" i="16"/>
  <c r="M2391" i="16"/>
  <c r="M2390" i="16"/>
  <c r="M2389" i="16"/>
  <c r="M2388" i="16"/>
  <c r="M2387" i="16"/>
  <c r="M2386" i="16"/>
  <c r="M2385" i="16"/>
  <c r="M2384" i="16"/>
  <c r="M2383" i="16"/>
  <c r="M2382" i="16"/>
  <c r="M2381" i="16"/>
  <c r="M2380" i="16"/>
  <c r="M2379" i="16"/>
  <c r="M2378" i="16"/>
  <c r="M2377" i="16"/>
  <c r="M2376" i="16"/>
  <c r="M2375" i="16"/>
  <c r="M2374" i="16"/>
  <c r="M2373" i="16"/>
  <c r="M2372" i="16"/>
  <c r="M2371" i="16"/>
  <c r="M2370" i="16"/>
  <c r="M2369" i="16"/>
  <c r="M2368" i="16"/>
  <c r="M2367" i="16"/>
  <c r="M2366" i="16"/>
  <c r="M2365" i="16"/>
  <c r="M2364" i="16"/>
  <c r="M2363" i="16"/>
  <c r="M2362" i="16"/>
  <c r="M2361" i="16"/>
  <c r="M1841" i="16"/>
  <c r="M1840" i="16"/>
  <c r="M1839" i="16"/>
  <c r="M1838" i="16"/>
  <c r="M1837" i="16"/>
  <c r="M1836" i="16"/>
  <c r="M1835" i="16"/>
  <c r="M1834" i="16"/>
  <c r="M1833" i="16"/>
  <c r="M1832" i="16"/>
  <c r="M1831" i="16"/>
  <c r="M1830" i="16"/>
  <c r="M1829" i="16"/>
  <c r="M1828" i="16"/>
  <c r="M1827" i="16"/>
  <c r="M1826" i="16"/>
  <c r="M1825" i="16"/>
  <c r="M1824" i="16"/>
  <c r="M1823" i="16"/>
  <c r="M1822" i="16"/>
  <c r="M1821" i="16"/>
  <c r="M1820" i="16"/>
  <c r="M1819" i="16"/>
  <c r="M1818" i="16"/>
  <c r="M1817" i="16"/>
  <c r="M1816" i="16"/>
  <c r="M1815" i="16"/>
  <c r="M1814" i="16"/>
  <c r="M1813" i="16"/>
  <c r="M1812" i="16"/>
  <c r="M1811" i="16"/>
  <c r="M1810" i="16"/>
  <c r="M1809" i="16"/>
  <c r="M1808" i="16"/>
  <c r="M1807" i="16"/>
  <c r="M1806" i="16"/>
  <c r="M1805" i="16"/>
  <c r="M1804" i="16"/>
  <c r="M1803" i="16"/>
  <c r="M1802" i="16"/>
  <c r="M1801" i="16"/>
  <c r="M1800" i="16"/>
  <c r="M1799" i="16"/>
  <c r="M1798" i="16"/>
  <c r="M1797" i="16"/>
  <c r="M1796" i="16"/>
  <c r="M1795" i="16"/>
  <c r="M1794" i="16"/>
  <c r="M1793" i="16"/>
  <c r="M1792" i="16"/>
  <c r="M1791" i="16"/>
  <c r="M1790" i="16"/>
  <c r="M1789" i="16"/>
  <c r="M1788" i="16"/>
  <c r="M1787" i="16"/>
  <c r="M1786" i="16"/>
  <c r="M1785" i="16"/>
  <c r="M1784" i="16"/>
  <c r="M1783" i="16"/>
  <c r="M1782" i="16"/>
  <c r="M1781" i="16"/>
  <c r="M1780" i="16"/>
  <c r="M1779" i="16"/>
  <c r="M1778" i="16"/>
  <c r="M1777" i="16"/>
  <c r="M1776" i="16"/>
  <c r="M1775" i="16"/>
  <c r="M1774" i="16"/>
  <c r="M1773" i="16"/>
  <c r="M1772" i="16"/>
  <c r="M1771" i="16"/>
  <c r="M1770" i="16"/>
  <c r="M1769" i="16"/>
  <c r="M1768" i="16"/>
  <c r="M1767" i="16"/>
  <c r="M1766" i="16"/>
  <c r="M1765" i="16"/>
  <c r="M1764" i="16"/>
  <c r="M1763" i="16"/>
  <c r="M1762" i="16"/>
  <c r="M1761" i="16"/>
  <c r="M1760" i="16"/>
  <c r="M1759" i="16"/>
  <c r="M1758" i="16"/>
  <c r="M1757" i="16"/>
  <c r="M1756" i="16"/>
  <c r="M1755" i="16"/>
  <c r="M1754" i="16"/>
  <c r="M1753" i="16"/>
  <c r="M1752" i="16"/>
  <c r="M1751" i="16"/>
  <c r="M1750" i="16"/>
  <c r="M1749" i="16"/>
  <c r="M1748" i="16"/>
  <c r="M1747" i="16"/>
  <c r="M1746" i="16"/>
  <c r="M1745" i="16"/>
  <c r="M1744" i="16"/>
  <c r="M1743" i="16"/>
  <c r="M1742" i="16"/>
  <c r="M1741" i="16"/>
  <c r="M1740" i="16"/>
  <c r="M1739" i="16"/>
  <c r="M1738" i="16"/>
  <c r="M1737" i="16"/>
  <c r="M1736" i="16"/>
  <c r="M1735" i="16"/>
  <c r="M1734" i="16"/>
  <c r="M1733" i="16"/>
  <c r="M1732" i="16"/>
  <c r="M1731" i="16"/>
  <c r="M1730" i="16"/>
  <c r="M1729" i="16"/>
  <c r="M1728" i="16"/>
  <c r="M1727" i="16"/>
  <c r="M1726" i="16"/>
  <c r="M1725" i="16"/>
  <c r="M1724" i="16"/>
  <c r="M1723" i="16"/>
  <c r="M1722" i="16"/>
  <c r="M1721" i="16"/>
  <c r="M1720" i="16"/>
  <c r="M1719" i="16"/>
  <c r="M1718" i="16"/>
  <c r="M1717" i="16"/>
  <c r="M1716" i="16"/>
  <c r="M1715" i="16"/>
  <c r="M1714" i="16"/>
  <c r="M1713" i="16"/>
  <c r="M1712" i="16"/>
  <c r="M1711" i="16"/>
  <c r="M1710" i="16"/>
  <c r="M1709" i="16"/>
  <c r="M1708" i="16"/>
  <c r="M1707" i="16"/>
  <c r="M1706" i="16"/>
  <c r="M1705" i="16"/>
  <c r="M1704" i="16"/>
  <c r="M1703" i="16"/>
  <c r="M1702" i="16"/>
  <c r="M1701" i="16"/>
  <c r="M1700" i="16"/>
  <c r="M1699" i="16"/>
  <c r="M1698" i="16"/>
  <c r="M1697" i="16"/>
  <c r="M1696" i="16"/>
  <c r="M1695" i="16"/>
  <c r="M1694" i="16"/>
  <c r="M1693" i="16"/>
  <c r="M1692" i="16"/>
  <c r="M1691" i="16"/>
  <c r="M1690" i="16"/>
  <c r="M1689" i="16"/>
  <c r="M1688" i="16"/>
  <c r="M1687" i="16"/>
  <c r="M1686" i="16"/>
  <c r="M1685" i="16"/>
  <c r="M1684" i="16"/>
  <c r="M1683" i="16"/>
  <c r="M1682" i="16"/>
  <c r="M1681" i="16"/>
  <c r="M1680" i="16"/>
  <c r="M1679" i="16"/>
  <c r="M1678" i="16"/>
  <c r="M1677" i="16"/>
  <c r="M1676" i="16"/>
  <c r="M1675" i="16"/>
  <c r="M1674" i="16"/>
  <c r="M1673" i="16"/>
  <c r="M1672" i="16"/>
  <c r="M1671" i="16"/>
  <c r="M1670" i="16"/>
  <c r="M1669" i="16"/>
  <c r="M1668" i="16"/>
  <c r="M1667" i="16"/>
  <c r="M1666" i="16"/>
  <c r="M1665" i="16"/>
  <c r="M1664" i="16"/>
  <c r="M1663" i="16"/>
  <c r="M1662" i="16"/>
  <c r="M1661" i="16"/>
  <c r="M1660" i="16"/>
  <c r="M1659" i="16"/>
  <c r="M1658" i="16"/>
  <c r="M1657" i="16"/>
  <c r="M1656" i="16"/>
  <c r="M1655" i="16"/>
  <c r="M1654" i="16"/>
  <c r="M1653" i="16"/>
  <c r="M1652" i="16"/>
  <c r="M1651" i="16"/>
  <c r="M1650" i="16"/>
  <c r="M1649" i="16"/>
  <c r="M1648" i="16"/>
  <c r="M1647" i="16"/>
  <c r="M1646" i="16"/>
  <c r="M1645" i="16"/>
  <c r="M1644" i="16"/>
  <c r="M1643" i="16"/>
  <c r="M1642" i="16"/>
  <c r="M1641" i="16"/>
  <c r="M1640" i="16"/>
  <c r="M1639" i="16"/>
  <c r="M1638" i="16"/>
  <c r="M1637" i="16"/>
  <c r="M1636" i="16"/>
  <c r="M1635" i="16"/>
  <c r="M1634" i="16"/>
  <c r="M1633" i="16"/>
  <c r="M1632" i="16"/>
  <c r="M1631" i="16"/>
  <c r="M1630" i="16"/>
  <c r="M1629" i="16"/>
  <c r="M1628" i="16"/>
  <c r="M1627" i="16"/>
  <c r="M1626" i="16"/>
  <c r="M1625" i="16"/>
  <c r="M1624" i="16"/>
  <c r="M1623" i="16"/>
  <c r="M1622" i="16"/>
  <c r="M1621" i="16"/>
  <c r="M1620" i="16"/>
  <c r="M1619" i="16"/>
  <c r="M1618" i="16"/>
  <c r="M1617" i="16"/>
  <c r="M1616" i="16"/>
  <c r="M1615" i="16"/>
  <c r="M1614" i="16"/>
  <c r="M1613" i="16"/>
  <c r="M1612" i="16"/>
  <c r="M1611" i="16"/>
  <c r="M1610" i="16"/>
  <c r="M1609" i="16"/>
  <c r="M1608" i="16"/>
  <c r="M1607" i="16"/>
  <c r="M1606" i="16"/>
  <c r="M1605" i="16"/>
  <c r="M1604" i="16"/>
  <c r="M1603" i="16"/>
  <c r="M1602" i="16"/>
  <c r="M1601" i="16"/>
  <c r="M1600" i="16"/>
  <c r="M1599" i="16"/>
  <c r="M1598" i="16"/>
  <c r="M1597" i="16"/>
  <c r="M1596" i="16"/>
  <c r="M1595" i="16"/>
  <c r="M1594" i="16"/>
  <c r="M1593" i="16"/>
  <c r="M1592" i="16"/>
  <c r="M1591" i="16"/>
  <c r="M1590" i="16"/>
  <c r="M1589" i="16"/>
  <c r="M1588" i="16"/>
  <c r="M1587" i="16"/>
  <c r="M1586" i="16"/>
  <c r="M1585" i="16"/>
  <c r="M1584" i="16"/>
  <c r="M1583" i="16"/>
  <c r="M1582" i="16"/>
  <c r="M1581" i="16"/>
  <c r="M1580" i="16"/>
  <c r="M1579" i="16"/>
  <c r="M1578" i="16"/>
  <c r="M1577" i="16"/>
  <c r="M1576" i="16"/>
  <c r="M1575" i="16"/>
  <c r="M1574" i="16"/>
  <c r="M1573" i="16"/>
  <c r="M1572" i="16"/>
  <c r="M1571" i="16"/>
  <c r="M1570" i="16"/>
  <c r="M1569" i="16"/>
  <c r="M1568" i="16"/>
  <c r="M1567" i="16"/>
  <c r="M1566" i="16"/>
  <c r="M1565" i="16"/>
  <c r="M1564" i="16"/>
  <c r="M1563" i="16"/>
  <c r="M1562" i="16"/>
  <c r="M1561" i="16"/>
  <c r="M1560" i="16"/>
  <c r="M1559" i="16"/>
  <c r="M1558" i="16"/>
  <c r="M1557" i="16"/>
  <c r="M1556" i="16"/>
  <c r="M1555" i="16"/>
  <c r="M1554" i="16"/>
  <c r="M1553" i="16"/>
  <c r="M1552" i="16"/>
  <c r="M1551" i="16"/>
  <c r="M1550" i="16"/>
  <c r="M1549" i="16"/>
  <c r="M1548" i="16"/>
  <c r="M1547" i="16"/>
  <c r="M1546" i="16"/>
  <c r="M1545" i="16"/>
  <c r="M1544" i="16"/>
  <c r="M1543" i="16"/>
  <c r="M1542" i="16"/>
  <c r="M1541" i="16"/>
  <c r="M1540" i="16"/>
  <c r="M1539" i="16"/>
  <c r="M1538" i="16"/>
  <c r="M1537" i="16"/>
  <c r="M1536" i="16"/>
  <c r="M1535" i="16"/>
  <c r="M1534" i="16"/>
  <c r="M1533" i="16"/>
  <c r="M1532" i="16"/>
  <c r="M1531" i="16"/>
  <c r="M1530" i="16"/>
  <c r="M1529" i="16"/>
  <c r="M1528" i="16"/>
  <c r="M1527" i="16"/>
  <c r="M1526" i="16"/>
  <c r="M1525" i="16"/>
  <c r="M1524" i="16"/>
  <c r="M1523" i="16"/>
  <c r="M1522" i="16"/>
  <c r="M1521" i="16"/>
  <c r="M1520" i="16"/>
  <c r="M1519" i="16"/>
  <c r="M1518" i="16"/>
  <c r="M1517" i="16"/>
  <c r="M1516" i="16"/>
  <c r="M1515" i="16"/>
  <c r="M1514" i="16"/>
  <c r="M1513" i="16"/>
  <c r="M1512" i="16"/>
  <c r="M1511" i="16"/>
  <c r="M1510" i="16"/>
  <c r="M1509" i="16"/>
  <c r="M1508" i="16"/>
  <c r="M1507" i="16"/>
  <c r="M1506" i="16"/>
  <c r="M1505" i="16"/>
  <c r="M1504" i="16"/>
  <c r="M1503" i="16"/>
  <c r="M1502" i="16"/>
  <c r="M1501" i="16"/>
  <c r="M1500" i="16"/>
  <c r="M1499" i="16"/>
  <c r="M1498" i="16"/>
  <c r="M1497" i="16"/>
  <c r="M1496" i="16"/>
  <c r="M1495" i="16"/>
  <c r="M1494" i="16"/>
  <c r="M1493" i="16"/>
  <c r="M1492" i="16"/>
  <c r="M1491" i="16"/>
  <c r="M1490" i="16"/>
  <c r="M1489" i="16"/>
  <c r="M1488" i="16"/>
  <c r="M1487" i="16"/>
  <c r="M1486" i="16"/>
  <c r="M1485" i="16"/>
  <c r="M1484" i="16"/>
  <c r="M1483" i="16"/>
  <c r="M1482" i="16"/>
  <c r="M1481" i="16"/>
  <c r="M1480" i="16"/>
  <c r="M1479" i="16"/>
  <c r="M1478" i="16"/>
  <c r="M1477" i="16"/>
  <c r="M1476" i="16"/>
  <c r="M1475" i="16"/>
  <c r="M1474" i="16"/>
  <c r="M1473" i="16"/>
  <c r="M1472" i="16"/>
  <c r="M1471" i="16"/>
  <c r="M1470" i="16"/>
  <c r="M1469" i="16"/>
  <c r="M1468" i="16"/>
  <c r="M1467" i="16"/>
  <c r="M1466" i="16"/>
  <c r="M1465" i="16"/>
  <c r="M1464" i="16"/>
  <c r="M1463" i="16"/>
  <c r="M1462" i="16"/>
  <c r="M1461" i="16"/>
  <c r="M1460" i="16"/>
  <c r="M1459" i="16"/>
  <c r="M1458" i="16"/>
  <c r="M1457" i="16"/>
  <c r="M1456" i="16"/>
  <c r="M1455" i="16"/>
  <c r="M1454" i="16"/>
  <c r="M1453" i="16"/>
  <c r="M1452" i="16"/>
  <c r="M1451" i="16"/>
  <c r="M1450" i="16"/>
  <c r="M1449" i="16"/>
  <c r="M1448" i="16"/>
  <c r="M1447" i="16"/>
  <c r="M1446" i="16"/>
  <c r="M1445" i="16"/>
  <c r="M1444" i="16"/>
  <c r="M1443" i="16"/>
  <c r="M1442" i="16"/>
  <c r="M1441" i="16"/>
  <c r="M1440" i="16"/>
  <c r="M1439" i="16"/>
  <c r="M1438" i="16"/>
  <c r="M1437" i="16"/>
  <c r="M1436" i="16"/>
  <c r="M1435" i="16"/>
  <c r="M1434" i="16"/>
  <c r="M1433" i="16"/>
  <c r="M1432" i="16"/>
  <c r="M1431" i="16"/>
  <c r="M1430" i="16"/>
  <c r="M1429" i="16"/>
  <c r="M1428" i="16"/>
  <c r="M1427" i="16"/>
  <c r="M1426" i="16"/>
  <c r="M1425" i="16"/>
  <c r="M1424" i="16"/>
  <c r="M1423" i="16"/>
  <c r="M1422" i="16"/>
  <c r="M1421" i="16"/>
  <c r="M1420" i="16"/>
  <c r="M1419" i="16"/>
  <c r="M1418" i="16"/>
  <c r="M1417" i="16"/>
  <c r="M1416" i="16"/>
  <c r="M1415" i="16"/>
  <c r="M1414" i="16"/>
  <c r="M1413" i="16"/>
  <c r="M1412" i="16"/>
  <c r="M1411" i="16"/>
  <c r="M1410" i="16"/>
  <c r="M1409" i="16"/>
  <c r="M1408" i="16"/>
  <c r="M1407" i="16"/>
  <c r="M1406" i="16"/>
  <c r="M1405" i="16"/>
  <c r="M1404" i="16"/>
  <c r="M1403" i="16"/>
  <c r="M1402" i="16"/>
  <c r="M1401" i="16"/>
  <c r="M1400" i="16"/>
  <c r="M1399" i="16"/>
  <c r="M1398" i="16"/>
  <c r="M1397" i="16"/>
  <c r="M1396" i="16"/>
  <c r="M1395" i="16"/>
  <c r="M1394" i="16"/>
  <c r="M1393" i="16"/>
  <c r="M1392" i="16"/>
  <c r="M1391" i="16"/>
  <c r="M1390" i="16"/>
  <c r="M1389" i="16"/>
  <c r="M1388" i="16"/>
  <c r="M1387" i="16"/>
  <c r="M1386" i="16"/>
  <c r="M1385" i="16"/>
  <c r="M1384" i="16"/>
  <c r="M1383" i="16"/>
  <c r="M1382" i="16"/>
  <c r="M1381" i="16"/>
  <c r="M1380" i="16"/>
  <c r="M1379" i="16"/>
  <c r="M1378" i="16"/>
  <c r="M1377" i="16"/>
  <c r="M1376" i="16"/>
  <c r="M1375" i="16"/>
  <c r="M1374" i="16"/>
  <c r="M1373" i="16"/>
  <c r="M1372" i="16"/>
  <c r="M1371" i="16"/>
  <c r="M1370" i="16"/>
  <c r="M1369" i="16"/>
  <c r="M1368" i="16"/>
  <c r="M1367" i="16"/>
  <c r="M1366" i="16"/>
  <c r="M1365" i="16"/>
  <c r="M1364" i="16"/>
  <c r="M1363" i="16"/>
  <c r="M1362" i="16"/>
  <c r="M1361" i="16"/>
  <c r="M1360" i="16"/>
  <c r="M1359" i="16"/>
  <c r="M1358" i="16"/>
  <c r="M1357" i="16"/>
  <c r="M1356" i="16"/>
  <c r="M1355" i="16"/>
  <c r="M1354" i="16"/>
  <c r="M1353" i="16"/>
  <c r="M1352" i="16"/>
  <c r="M1351" i="16"/>
  <c r="M1350" i="16"/>
  <c r="M1349" i="16"/>
  <c r="M1348" i="16"/>
  <c r="M1347" i="16"/>
  <c r="M1346" i="16"/>
  <c r="M1345" i="16"/>
  <c r="M1344" i="16"/>
  <c r="M1343" i="16"/>
  <c r="M1342" i="16"/>
  <c r="M1341" i="16"/>
  <c r="M1340" i="16"/>
  <c r="M1339" i="16"/>
  <c r="M1338" i="16"/>
  <c r="M1337" i="16"/>
  <c r="M1336" i="16"/>
  <c r="M1335" i="16"/>
  <c r="M1334" i="16"/>
  <c r="M1333" i="16"/>
  <c r="M1332" i="16"/>
  <c r="M1331" i="16"/>
  <c r="M1330" i="16"/>
  <c r="M1329" i="16"/>
  <c r="M1328" i="16"/>
  <c r="M1327" i="16"/>
  <c r="M1326" i="16"/>
  <c r="M1325" i="16"/>
  <c r="M1324" i="16"/>
  <c r="M1323" i="16"/>
  <c r="M1322" i="16"/>
  <c r="M1321" i="16"/>
  <c r="M1320" i="16"/>
  <c r="M1319" i="16"/>
  <c r="M1318" i="16"/>
  <c r="M1317" i="16"/>
  <c r="M1316" i="16"/>
  <c r="M1315" i="16"/>
  <c r="M1314" i="16"/>
  <c r="M1313" i="16"/>
  <c r="M1312" i="16"/>
  <c r="M1311" i="16"/>
  <c r="M1310" i="16"/>
  <c r="M1309" i="16"/>
  <c r="M1308" i="16"/>
  <c r="M1307" i="16"/>
  <c r="M1306" i="16"/>
  <c r="M1305" i="16"/>
  <c r="M1304" i="16"/>
  <c r="M1303" i="16"/>
  <c r="M1302" i="16"/>
  <c r="M1301" i="16"/>
  <c r="M1300" i="16"/>
  <c r="M1212" i="16"/>
  <c r="M1211" i="16"/>
  <c r="M1210" i="16"/>
  <c r="M1209" i="16"/>
  <c r="M1208" i="16"/>
  <c r="M1207" i="16"/>
  <c r="M1206" i="16"/>
  <c r="M1205" i="16"/>
  <c r="M1204" i="16"/>
  <c r="M1203" i="16"/>
  <c r="M1202" i="16"/>
  <c r="M1201" i="16"/>
  <c r="M1200" i="16"/>
  <c r="M1199" i="16"/>
  <c r="M1198" i="16"/>
  <c r="M1197" i="16"/>
  <c r="M1196" i="16"/>
  <c r="M1195" i="16"/>
  <c r="M1194" i="16"/>
  <c r="M1193" i="16"/>
  <c r="M1192" i="16"/>
  <c r="M1191" i="16"/>
  <c r="M1190" i="16"/>
  <c r="M1189" i="16"/>
  <c r="M1188" i="16"/>
  <c r="M1187" i="16"/>
  <c r="M1186" i="16"/>
  <c r="M1185" i="16"/>
  <c r="M1184" i="16"/>
  <c r="M1183" i="16"/>
  <c r="M1182" i="16"/>
  <c r="M1181" i="16"/>
  <c r="M1180" i="16"/>
  <c r="M1179" i="16"/>
  <c r="M1178" i="16"/>
  <c r="M1177" i="16"/>
  <c r="M1176" i="16"/>
  <c r="M1175" i="16"/>
  <c r="M1174" i="16"/>
  <c r="M1173" i="16"/>
  <c r="M1172" i="16"/>
  <c r="M1171" i="16"/>
  <c r="M1170" i="16"/>
  <c r="M1169" i="16"/>
  <c r="M1168" i="16"/>
  <c r="M1167" i="16"/>
  <c r="M1166" i="16"/>
  <c r="M1165" i="16"/>
  <c r="M1164" i="16"/>
  <c r="M1163" i="16"/>
  <c r="M1162" i="16"/>
  <c r="M1161" i="16"/>
  <c r="M1160" i="16"/>
  <c r="M1159" i="16"/>
  <c r="M1158" i="16"/>
  <c r="M1157" i="16"/>
  <c r="M1156" i="16"/>
  <c r="M1155" i="16"/>
  <c r="M1154" i="16"/>
  <c r="M1153" i="16"/>
  <c r="M1152" i="16"/>
  <c r="M1151" i="16"/>
  <c r="M1150" i="16"/>
  <c r="M1149" i="16"/>
  <c r="M1148" i="16"/>
  <c r="M1147" i="16"/>
  <c r="M1146" i="16"/>
  <c r="M1145" i="16"/>
  <c r="M1144" i="16"/>
  <c r="M1143" i="16"/>
  <c r="M1142" i="16"/>
  <c r="M1141" i="16"/>
  <c r="M1140" i="16"/>
  <c r="M1139" i="16"/>
  <c r="M1138" i="16"/>
  <c r="M1137" i="16"/>
  <c r="M1136" i="16"/>
  <c r="M1135" i="16"/>
  <c r="M1134" i="16"/>
  <c r="M1133" i="16"/>
  <c r="M1132" i="16"/>
  <c r="M1131" i="16"/>
  <c r="M1130" i="16"/>
  <c r="M1129" i="16"/>
  <c r="M1128" i="16"/>
  <c r="M1127" i="16"/>
  <c r="M1126" i="16"/>
  <c r="M1125" i="16"/>
  <c r="M1124" i="16"/>
  <c r="M1123" i="16"/>
  <c r="M1122" i="16"/>
  <c r="M1121" i="16"/>
  <c r="M1120" i="16"/>
  <c r="M1119" i="16"/>
  <c r="M1118" i="16"/>
  <c r="M1117" i="16"/>
  <c r="M1116" i="16"/>
  <c r="M1115" i="16"/>
  <c r="M1114" i="16"/>
  <c r="M1113" i="16"/>
  <c r="M1112" i="16"/>
  <c r="M1111" i="16"/>
  <c r="M1110" i="16"/>
  <c r="M1109" i="16"/>
  <c r="M1108" i="16"/>
  <c r="M1107" i="16"/>
  <c r="M1106" i="16"/>
  <c r="M1105" i="16"/>
  <c r="M1104" i="16"/>
  <c r="M1103" i="16"/>
  <c r="M1102" i="16"/>
  <c r="M1101" i="16"/>
  <c r="M1100" i="16"/>
  <c r="M1099" i="16"/>
  <c r="M1098" i="16"/>
  <c r="M1097" i="16"/>
  <c r="M1096" i="16"/>
  <c r="M1095" i="16"/>
  <c r="M1094" i="16"/>
  <c r="M1093" i="16"/>
  <c r="M1092" i="16"/>
  <c r="M1091" i="16"/>
  <c r="M1090" i="16"/>
  <c r="M1089" i="16"/>
  <c r="M1088" i="16"/>
  <c r="M1087" i="16"/>
  <c r="M1086" i="16"/>
  <c r="M1085" i="16"/>
  <c r="M1084" i="16"/>
  <c r="M1083" i="16"/>
  <c r="M1082" i="16"/>
  <c r="M1081" i="16"/>
  <c r="M1080" i="16"/>
  <c r="M1079" i="16"/>
  <c r="M1078" i="16"/>
  <c r="M1077" i="16"/>
  <c r="M1076" i="16"/>
  <c r="M1075" i="16"/>
  <c r="M1074" i="16"/>
  <c r="M1073" i="16"/>
  <c r="M1072" i="16"/>
  <c r="M1071" i="16"/>
  <c r="M1070" i="16"/>
  <c r="M1069" i="16"/>
  <c r="M1068" i="16"/>
  <c r="M1067" i="16"/>
  <c r="M1066" i="16"/>
  <c r="M1065" i="16"/>
  <c r="M1064" i="16"/>
  <c r="M1063" i="16"/>
  <c r="M1062" i="16"/>
  <c r="M1061" i="16"/>
  <c r="M1060" i="16"/>
  <c r="M1059" i="16"/>
  <c r="M1058" i="16"/>
  <c r="M1057" i="16"/>
  <c r="M1056" i="16"/>
  <c r="M1055" i="16"/>
  <c r="M1054" i="16"/>
  <c r="M1053" i="16"/>
  <c r="M1052" i="16"/>
  <c r="M1051" i="16"/>
  <c r="M1050" i="16"/>
  <c r="M1049" i="16"/>
  <c r="M1048" i="16"/>
  <c r="M1047" i="16"/>
  <c r="M1046" i="16"/>
  <c r="M1045" i="16"/>
  <c r="M1044" i="16"/>
  <c r="M1043" i="16"/>
  <c r="M1042" i="16"/>
  <c r="M1041" i="16"/>
  <c r="M1040" i="16"/>
  <c r="M1039" i="16"/>
  <c r="M1038" i="16"/>
  <c r="M1037" i="16"/>
  <c r="M1036" i="16"/>
  <c r="M1035" i="16"/>
  <c r="M1034" i="16"/>
  <c r="M1033" i="16"/>
  <c r="M1032" i="16"/>
  <c r="M1031" i="16"/>
  <c r="M1030" i="16"/>
  <c r="M1029" i="16"/>
  <c r="M1028" i="16"/>
  <c r="M1027" i="16"/>
  <c r="M1026" i="16"/>
  <c r="M1025" i="16"/>
  <c r="M1024" i="16"/>
  <c r="M1023" i="16"/>
  <c r="M1022" i="16"/>
  <c r="M1021" i="16"/>
  <c r="M1020" i="16"/>
  <c r="M1019" i="16"/>
  <c r="M1018" i="16"/>
  <c r="M1017" i="16"/>
  <c r="M1016" i="16"/>
  <c r="M1015" i="16"/>
  <c r="M1014" i="16"/>
  <c r="M1013" i="16"/>
  <c r="M1012" i="16"/>
  <c r="M1011" i="16"/>
  <c r="M1010" i="16"/>
  <c r="M1009" i="16"/>
  <c r="M1008" i="16"/>
  <c r="M1007" i="16"/>
  <c r="M1006" i="16"/>
  <c r="M1005" i="16"/>
  <c r="M1004" i="16"/>
  <c r="M1003" i="16"/>
  <c r="M1002" i="16"/>
  <c r="M1001" i="16"/>
  <c r="M1000" i="16"/>
  <c r="M999" i="16"/>
  <c r="M998" i="16"/>
  <c r="M997" i="16"/>
  <c r="M996" i="16"/>
  <c r="M995" i="16"/>
  <c r="M994" i="16"/>
  <c r="M993" i="16"/>
  <c r="M992" i="16"/>
  <c r="M991" i="16"/>
  <c r="M990" i="16"/>
  <c r="M989" i="16"/>
  <c r="M988" i="16"/>
  <c r="M987" i="16"/>
  <c r="M986" i="16"/>
  <c r="M985" i="16"/>
  <c r="M984" i="16"/>
  <c r="M983" i="16"/>
  <c r="M982" i="16"/>
  <c r="M981" i="16"/>
  <c r="M980" i="16"/>
  <c r="M979" i="16"/>
  <c r="M978" i="16"/>
  <c r="M977" i="16"/>
  <c r="M976" i="16"/>
  <c r="M975" i="16"/>
  <c r="M974" i="16"/>
  <c r="M973" i="16"/>
  <c r="M972" i="16"/>
  <c r="M971" i="16"/>
  <c r="M970" i="16"/>
  <c r="M969" i="16"/>
  <c r="M968" i="16"/>
  <c r="M967" i="16"/>
  <c r="M966" i="16"/>
  <c r="M965" i="16"/>
  <c r="M964" i="16"/>
  <c r="M963" i="16"/>
  <c r="M962" i="16"/>
  <c r="M961" i="16"/>
  <c r="M960" i="16"/>
  <c r="M959" i="16"/>
  <c r="M958" i="16"/>
  <c r="M957" i="16"/>
  <c r="M956" i="16"/>
  <c r="M955" i="16"/>
  <c r="M954" i="16"/>
  <c r="M953" i="16"/>
  <c r="M952" i="16"/>
  <c r="M951" i="16"/>
  <c r="M950" i="16"/>
  <c r="M949" i="16"/>
  <c r="M948" i="16"/>
  <c r="M947" i="16"/>
  <c r="M946" i="16"/>
  <c r="M945" i="16"/>
  <c r="M944" i="16"/>
  <c r="M943" i="16"/>
  <c r="M942" i="16"/>
  <c r="M941" i="16"/>
  <c r="M940" i="16"/>
  <c r="M939" i="16"/>
  <c r="M938" i="16"/>
  <c r="M937" i="16"/>
  <c r="M936" i="16"/>
  <c r="M935" i="16"/>
  <c r="M934" i="16"/>
  <c r="M933" i="16"/>
  <c r="M932" i="16"/>
  <c r="M931" i="16"/>
  <c r="M930" i="16"/>
  <c r="M929" i="16"/>
  <c r="M928" i="16"/>
  <c r="M927" i="16"/>
  <c r="M926" i="16"/>
  <c r="M925" i="16"/>
  <c r="M924" i="16"/>
  <c r="M923" i="16"/>
  <c r="M922" i="16"/>
  <c r="M921" i="16"/>
  <c r="M920" i="16"/>
  <c r="M919" i="16"/>
  <c r="M918" i="16"/>
  <c r="M917" i="16"/>
  <c r="M916" i="16"/>
  <c r="M915" i="16"/>
  <c r="M914" i="16"/>
  <c r="M913" i="16"/>
  <c r="M912" i="16"/>
  <c r="M911" i="16"/>
  <c r="M910" i="16"/>
  <c r="M909" i="16"/>
  <c r="M908" i="16"/>
  <c r="M907" i="16"/>
  <c r="M906" i="16"/>
  <c r="M905" i="16"/>
  <c r="M904" i="16"/>
  <c r="M903" i="16"/>
  <c r="M902" i="16"/>
  <c r="M901" i="16"/>
  <c r="M900" i="16"/>
  <c r="M899" i="16"/>
  <c r="M898" i="16"/>
  <c r="M897" i="16"/>
  <c r="M896" i="16"/>
  <c r="M895" i="16"/>
  <c r="M894" i="16"/>
  <c r="M893" i="16"/>
  <c r="M892" i="16"/>
  <c r="M891" i="16"/>
  <c r="M890" i="16"/>
  <c r="M889" i="16"/>
  <c r="M888" i="16"/>
  <c r="M887" i="16"/>
  <c r="M886" i="16"/>
  <c r="M885" i="16"/>
  <c r="M884" i="16"/>
  <c r="M883" i="16"/>
  <c r="M882" i="16"/>
  <c r="M881" i="16"/>
  <c r="M880" i="16"/>
  <c r="M879" i="16"/>
  <c r="M878" i="16"/>
  <c r="M877" i="16"/>
  <c r="M876" i="16"/>
  <c r="M875" i="16"/>
  <c r="M874" i="16"/>
  <c r="M873" i="16"/>
  <c r="M872" i="16"/>
  <c r="M871" i="16"/>
  <c r="M870" i="16"/>
  <c r="M869" i="16"/>
  <c r="M868" i="16"/>
  <c r="M867" i="16"/>
  <c r="M866" i="16"/>
  <c r="M865" i="16"/>
  <c r="M864" i="16"/>
  <c r="M863" i="16"/>
  <c r="M862" i="16"/>
  <c r="M861" i="16"/>
  <c r="M860" i="16"/>
  <c r="M859" i="16"/>
  <c r="M858" i="16"/>
  <c r="M857" i="16"/>
  <c r="M856" i="16"/>
  <c r="M855" i="16"/>
  <c r="M854" i="16"/>
  <c r="M853" i="16"/>
  <c r="M852" i="16"/>
  <c r="M851" i="16"/>
  <c r="M850" i="16"/>
  <c r="M849" i="16"/>
  <c r="M848" i="16"/>
  <c r="M847" i="16"/>
  <c r="M846" i="16"/>
  <c r="M845" i="16"/>
  <c r="M844" i="16"/>
  <c r="M843" i="16"/>
  <c r="M842" i="16"/>
  <c r="M841" i="16"/>
  <c r="M840" i="16"/>
  <c r="M839" i="16"/>
  <c r="M838" i="16"/>
  <c r="M837" i="16"/>
  <c r="M836" i="16"/>
  <c r="M835" i="16"/>
  <c r="M834" i="16"/>
  <c r="M833" i="16"/>
  <c r="M832" i="16"/>
  <c r="M831" i="16"/>
  <c r="M830" i="16"/>
  <c r="M829" i="16"/>
  <c r="M828" i="16"/>
  <c r="M827" i="16"/>
  <c r="M826" i="16"/>
  <c r="M825" i="16"/>
  <c r="M824" i="16"/>
  <c r="M823" i="16"/>
  <c r="M822" i="16"/>
  <c r="M821" i="16"/>
  <c r="M820" i="16"/>
  <c r="M819" i="16"/>
  <c r="M818" i="16"/>
  <c r="M817" i="16"/>
  <c r="M816" i="16"/>
  <c r="M815" i="16"/>
  <c r="M814" i="16"/>
  <c r="M813" i="16"/>
  <c r="M812" i="16"/>
  <c r="M811" i="16"/>
  <c r="M810" i="16"/>
  <c r="M809" i="16"/>
  <c r="M808" i="16"/>
  <c r="M807" i="16"/>
  <c r="M806" i="16"/>
  <c r="M805" i="16"/>
  <c r="M804" i="16"/>
  <c r="M803" i="16"/>
  <c r="M802" i="16"/>
  <c r="M801" i="16"/>
  <c r="M800" i="16"/>
  <c r="M799" i="16"/>
  <c r="M798" i="16"/>
  <c r="M797" i="16"/>
  <c r="M796" i="16"/>
  <c r="M795" i="16"/>
  <c r="M794" i="16"/>
  <c r="M793" i="16"/>
  <c r="M792" i="16"/>
  <c r="M791" i="16"/>
  <c r="M790" i="16"/>
  <c r="M789" i="16"/>
  <c r="M788" i="16"/>
  <c r="M787" i="16"/>
  <c r="M786" i="16"/>
  <c r="M785" i="16"/>
  <c r="M784" i="16"/>
  <c r="M783" i="16"/>
  <c r="M782" i="16"/>
  <c r="M781" i="16"/>
  <c r="M780" i="16"/>
  <c r="M779" i="16"/>
  <c r="M778" i="16"/>
  <c r="M777" i="16"/>
  <c r="M776" i="16"/>
  <c r="M775" i="16"/>
  <c r="M774" i="16"/>
  <c r="M773" i="16"/>
  <c r="M772" i="16"/>
  <c r="M771" i="16"/>
  <c r="M770" i="16"/>
  <c r="M769" i="16"/>
  <c r="M768" i="16"/>
  <c r="M767" i="16"/>
  <c r="M766" i="16"/>
  <c r="M765" i="16"/>
  <c r="M764" i="16"/>
  <c r="M763" i="16"/>
  <c r="M762" i="16"/>
  <c r="M761" i="16"/>
  <c r="M760" i="16"/>
  <c r="M759" i="16"/>
  <c r="M758" i="16"/>
  <c r="M757" i="16"/>
  <c r="M756" i="16"/>
  <c r="M755" i="16"/>
  <c r="M754" i="16"/>
  <c r="M753" i="16"/>
  <c r="M752" i="16"/>
  <c r="M751" i="16"/>
  <c r="M750" i="16"/>
  <c r="M749" i="16"/>
  <c r="M748" i="16"/>
  <c r="M747" i="16"/>
  <c r="M746" i="16"/>
  <c r="M745" i="16"/>
  <c r="M744" i="16"/>
  <c r="M743" i="16"/>
  <c r="M742" i="16"/>
  <c r="M741" i="16"/>
  <c r="M740" i="16"/>
  <c r="M739" i="16"/>
  <c r="M738" i="16"/>
  <c r="M737" i="16"/>
  <c r="M736" i="16"/>
  <c r="M735" i="16"/>
  <c r="M734" i="16"/>
  <c r="M733" i="16"/>
  <c r="M732" i="16"/>
  <c r="M731" i="16"/>
  <c r="M730" i="16"/>
  <c r="M729" i="16"/>
  <c r="M728" i="16"/>
  <c r="M727" i="16"/>
  <c r="M726" i="16"/>
  <c r="M725" i="16"/>
  <c r="M724" i="16"/>
  <c r="M723" i="16"/>
  <c r="M722" i="16"/>
  <c r="M721" i="16"/>
  <c r="M720" i="16"/>
  <c r="M719" i="16"/>
  <c r="M718" i="16"/>
  <c r="M717" i="16"/>
  <c r="M716" i="16"/>
  <c r="M715" i="16"/>
  <c r="M714" i="16"/>
  <c r="M713" i="16"/>
  <c r="M712" i="16"/>
  <c r="M711" i="16"/>
  <c r="M710" i="16"/>
  <c r="M709" i="16"/>
  <c r="M708" i="16"/>
  <c r="M707" i="16"/>
  <c r="M706" i="16"/>
  <c r="M705" i="16"/>
  <c r="M704" i="16"/>
  <c r="M703" i="16"/>
  <c r="M702" i="16"/>
  <c r="M701" i="16"/>
  <c r="M700" i="16"/>
  <c r="M699" i="16"/>
  <c r="M698" i="16"/>
  <c r="M697" i="16"/>
  <c r="M696" i="16"/>
  <c r="M695" i="16"/>
  <c r="M694" i="16"/>
  <c r="M693" i="16"/>
  <c r="M692" i="16"/>
  <c r="M691" i="16"/>
  <c r="M690" i="16"/>
  <c r="M689" i="16"/>
  <c r="M688" i="16"/>
  <c r="M687" i="16"/>
  <c r="M686" i="16"/>
  <c r="M685" i="16"/>
  <c r="M684" i="16"/>
  <c r="M683" i="16"/>
  <c r="M682" i="16"/>
  <c r="M681" i="16"/>
  <c r="M680" i="16"/>
  <c r="M679" i="16"/>
  <c r="M678" i="16"/>
  <c r="M677" i="16"/>
  <c r="M676" i="16"/>
  <c r="M675" i="16"/>
  <c r="M674" i="16"/>
  <c r="M673" i="16"/>
  <c r="M672" i="16"/>
  <c r="M671" i="16"/>
  <c r="M670" i="16"/>
  <c r="M669" i="16"/>
  <c r="M668" i="16"/>
  <c r="M667" i="16"/>
  <c r="M666" i="16"/>
  <c r="M665" i="16"/>
  <c r="M664" i="16"/>
  <c r="M663" i="16"/>
  <c r="M662" i="16"/>
  <c r="M661" i="16"/>
  <c r="M660" i="16"/>
  <c r="M659" i="16"/>
  <c r="M658" i="16"/>
  <c r="M657" i="16"/>
  <c r="M656" i="16"/>
  <c r="M655" i="16"/>
  <c r="M654" i="16"/>
  <c r="M653" i="16"/>
  <c r="M652" i="16"/>
  <c r="M651" i="16"/>
  <c r="M650" i="16"/>
  <c r="M649" i="16"/>
  <c r="M648" i="16"/>
  <c r="M647" i="16"/>
  <c r="M646" i="16"/>
  <c r="M645" i="16"/>
  <c r="M644" i="16"/>
  <c r="M643" i="16"/>
  <c r="M642" i="16"/>
  <c r="M641" i="16"/>
  <c r="M640" i="16"/>
  <c r="M639" i="16"/>
  <c r="M638" i="16"/>
  <c r="M637" i="16"/>
  <c r="M636" i="16"/>
  <c r="M635" i="16"/>
  <c r="M634" i="16"/>
  <c r="M633" i="16"/>
  <c r="M632" i="16"/>
  <c r="M631" i="16"/>
  <c r="M630" i="16"/>
  <c r="M629" i="16"/>
  <c r="M628" i="16"/>
  <c r="M627" i="16"/>
  <c r="M626" i="16"/>
  <c r="M625" i="16"/>
  <c r="M624" i="16"/>
  <c r="M623" i="16"/>
  <c r="M622" i="16"/>
  <c r="M621" i="16"/>
  <c r="M620" i="16"/>
  <c r="M619" i="16"/>
  <c r="M618" i="16"/>
  <c r="M617" i="16"/>
  <c r="M616" i="16"/>
  <c r="M615" i="16"/>
  <c r="M614" i="16"/>
  <c r="M613" i="16"/>
  <c r="M612" i="16"/>
  <c r="M611" i="16"/>
  <c r="M610" i="16"/>
  <c r="M609" i="16"/>
  <c r="M608" i="16"/>
  <c r="M607" i="16"/>
  <c r="M606" i="16"/>
  <c r="M605" i="16"/>
  <c r="M604" i="16"/>
  <c r="M603" i="16"/>
  <c r="M602" i="16"/>
  <c r="M601" i="16"/>
  <c r="M600" i="16"/>
  <c r="M599" i="16"/>
  <c r="M598" i="16"/>
  <c r="M597" i="16"/>
  <c r="M596" i="16"/>
  <c r="M595" i="16"/>
  <c r="M594" i="16"/>
  <c r="M593" i="16"/>
  <c r="M592" i="16"/>
  <c r="M591" i="16"/>
  <c r="M590" i="16"/>
  <c r="M589" i="16"/>
  <c r="M588" i="16"/>
  <c r="M587" i="16"/>
  <c r="M586" i="16"/>
  <c r="M585" i="16"/>
  <c r="M584" i="16"/>
  <c r="M583" i="16"/>
  <c r="M582" i="16"/>
  <c r="M581" i="16"/>
  <c r="M580" i="16"/>
  <c r="M579" i="16"/>
  <c r="M578" i="16"/>
  <c r="M577" i="16"/>
  <c r="M576" i="16"/>
  <c r="M575" i="16"/>
  <c r="M574" i="16"/>
  <c r="M573" i="16"/>
  <c r="M572" i="16"/>
  <c r="M571" i="16"/>
  <c r="M570" i="16"/>
  <c r="M569" i="16"/>
  <c r="M568" i="16"/>
  <c r="M567" i="16"/>
  <c r="M566" i="16"/>
  <c r="M565" i="16"/>
  <c r="M564" i="16"/>
  <c r="M563" i="16"/>
  <c r="M562" i="16"/>
  <c r="M561" i="16"/>
  <c r="M560" i="16"/>
  <c r="M559" i="16"/>
  <c r="M558" i="16"/>
  <c r="M557" i="16"/>
  <c r="M556" i="16"/>
  <c r="M555" i="16"/>
  <c r="M554" i="16"/>
  <c r="M553" i="16"/>
  <c r="M552" i="16"/>
  <c r="M551" i="16"/>
  <c r="M550" i="16"/>
  <c r="M549" i="16"/>
  <c r="M548" i="16"/>
  <c r="M547" i="16"/>
  <c r="M546" i="16"/>
  <c r="M545" i="16"/>
  <c r="M544" i="16"/>
  <c r="M543" i="16"/>
  <c r="M542" i="16"/>
  <c r="M541" i="16"/>
  <c r="M540" i="16"/>
  <c r="M539" i="16"/>
  <c r="M538" i="16"/>
  <c r="M537" i="16"/>
  <c r="M536" i="16"/>
  <c r="M535" i="16"/>
  <c r="M534" i="16"/>
  <c r="M533" i="16"/>
  <c r="M532" i="16"/>
  <c r="M531" i="16"/>
  <c r="M530" i="16"/>
  <c r="M529" i="16"/>
  <c r="M528" i="16"/>
  <c r="M527" i="16"/>
  <c r="M526" i="16"/>
  <c r="M525" i="16"/>
  <c r="M524" i="16"/>
  <c r="M523" i="16"/>
  <c r="M522" i="16"/>
  <c r="M521" i="16"/>
  <c r="M520" i="16"/>
  <c r="M519" i="16"/>
  <c r="M518" i="16"/>
  <c r="M517" i="16"/>
  <c r="M516" i="16"/>
  <c r="M515" i="16"/>
  <c r="M514" i="16"/>
  <c r="M513" i="16"/>
  <c r="M512" i="16"/>
  <c r="M511" i="16"/>
  <c r="M510" i="16"/>
  <c r="M509" i="16"/>
  <c r="M508" i="16"/>
  <c r="M507" i="16"/>
  <c r="M506" i="16"/>
  <c r="M505" i="16"/>
  <c r="M504" i="16"/>
  <c r="M503" i="16"/>
  <c r="M502" i="16"/>
  <c r="M501" i="16"/>
  <c r="M500" i="16"/>
  <c r="M499" i="16"/>
  <c r="M498" i="16"/>
  <c r="M497" i="16"/>
  <c r="M496" i="16"/>
  <c r="M495" i="16"/>
  <c r="M494" i="16"/>
  <c r="M493" i="16"/>
  <c r="M492" i="16"/>
  <c r="M491" i="16"/>
  <c r="M490" i="16"/>
  <c r="M489" i="16"/>
  <c r="M488" i="16"/>
  <c r="M487" i="16"/>
  <c r="M486" i="16"/>
  <c r="M485" i="16"/>
  <c r="M484" i="16"/>
  <c r="M483" i="16"/>
  <c r="M482" i="16"/>
  <c r="M481" i="16"/>
  <c r="M480" i="16"/>
  <c r="M479" i="16"/>
  <c r="M478" i="16"/>
  <c r="M477" i="16"/>
  <c r="M476" i="16"/>
  <c r="M475" i="16"/>
  <c r="M474" i="16"/>
  <c r="M473" i="16"/>
  <c r="M472" i="16"/>
  <c r="M471" i="16"/>
  <c r="M470" i="16"/>
  <c r="M469" i="16"/>
  <c r="M468" i="16"/>
  <c r="M467" i="16"/>
  <c r="M466" i="16"/>
  <c r="M465" i="16"/>
  <c r="M464" i="16"/>
  <c r="M463" i="16"/>
  <c r="M462" i="16"/>
  <c r="M461" i="16"/>
  <c r="M460" i="16"/>
  <c r="M459" i="16"/>
  <c r="M458" i="16"/>
  <c r="M457" i="16"/>
  <c r="M456" i="16"/>
  <c r="M455" i="16"/>
  <c r="M454" i="16"/>
  <c r="M453" i="16"/>
  <c r="M452" i="16"/>
  <c r="M451" i="16"/>
  <c r="M450" i="16"/>
  <c r="M449" i="16"/>
  <c r="M448" i="16"/>
  <c r="M447" i="16"/>
  <c r="M446" i="16"/>
  <c r="M445" i="16"/>
  <c r="M444" i="16"/>
  <c r="M443" i="16"/>
  <c r="M442" i="16"/>
  <c r="M441" i="16"/>
  <c r="M440" i="16"/>
  <c r="M439" i="16"/>
  <c r="M438" i="16"/>
  <c r="M437" i="16"/>
  <c r="M436" i="16"/>
  <c r="M435" i="16"/>
  <c r="M434" i="16"/>
  <c r="M433" i="16"/>
  <c r="M432" i="16"/>
  <c r="M431" i="16"/>
  <c r="M430" i="16"/>
  <c r="M429" i="16"/>
  <c r="M428" i="16"/>
  <c r="M427" i="16"/>
  <c r="M426" i="16"/>
  <c r="M425" i="16"/>
  <c r="M424" i="16"/>
  <c r="M423" i="16"/>
  <c r="M422" i="16"/>
  <c r="M421" i="16"/>
  <c r="M420" i="16"/>
  <c r="M419" i="16"/>
  <c r="M418" i="16"/>
  <c r="M417" i="16"/>
  <c r="M416" i="16"/>
  <c r="M415" i="16"/>
  <c r="M414" i="16"/>
  <c r="M413" i="16"/>
  <c r="M412" i="16"/>
  <c r="M411" i="16"/>
  <c r="M410" i="16"/>
  <c r="M409" i="16"/>
  <c r="M408" i="16"/>
  <c r="M407" i="16"/>
  <c r="M406" i="16"/>
  <c r="M405" i="16"/>
  <c r="M404" i="16"/>
  <c r="M403" i="16"/>
  <c r="M402" i="16"/>
  <c r="M401" i="16"/>
  <c r="M400" i="16"/>
  <c r="M399" i="16"/>
  <c r="M398" i="16"/>
  <c r="M397" i="16"/>
  <c r="M396" i="16"/>
  <c r="M395" i="16"/>
  <c r="M394" i="16"/>
  <c r="M393" i="16"/>
  <c r="M392" i="16"/>
  <c r="M391" i="16"/>
  <c r="M390" i="16"/>
  <c r="M389" i="16"/>
  <c r="M388" i="16"/>
  <c r="M387" i="16"/>
  <c r="M386" i="16"/>
  <c r="M385" i="16"/>
  <c r="M384" i="16"/>
  <c r="M383" i="16"/>
  <c r="M382" i="16"/>
  <c r="M381" i="16"/>
  <c r="M380" i="16"/>
  <c r="M379" i="16"/>
  <c r="M378" i="16"/>
  <c r="M377" i="16"/>
  <c r="M376" i="16"/>
  <c r="M375" i="16"/>
  <c r="M374" i="16"/>
  <c r="M373" i="16"/>
  <c r="M372" i="16"/>
  <c r="M371" i="16"/>
  <c r="M370" i="16"/>
  <c r="M369" i="16"/>
  <c r="M368" i="16"/>
  <c r="M367" i="16"/>
  <c r="M366" i="16"/>
  <c r="M365" i="16"/>
  <c r="M364" i="16"/>
  <c r="M363" i="16"/>
  <c r="M362" i="16"/>
  <c r="M361" i="16"/>
  <c r="M360" i="16"/>
  <c r="M359" i="16"/>
  <c r="M358" i="16"/>
  <c r="M357" i="16"/>
  <c r="M356" i="16"/>
  <c r="M355" i="16"/>
  <c r="M354" i="16"/>
  <c r="M353" i="16"/>
  <c r="M352" i="16"/>
  <c r="M351" i="16"/>
  <c r="M350" i="16"/>
  <c r="M349" i="16"/>
  <c r="M348" i="16"/>
  <c r="M347" i="16"/>
  <c r="M346" i="16"/>
  <c r="M345" i="16"/>
  <c r="M344" i="16"/>
  <c r="M343" i="16"/>
  <c r="M342" i="16"/>
  <c r="M341" i="16"/>
  <c r="M340" i="16"/>
  <c r="M339" i="16"/>
  <c r="M338" i="16"/>
  <c r="M337" i="16"/>
  <c r="M336" i="16"/>
  <c r="M335" i="16"/>
  <c r="M334" i="16"/>
  <c r="M333" i="16"/>
  <c r="M332" i="16"/>
  <c r="M331" i="16"/>
  <c r="M330" i="16"/>
  <c r="M329" i="16"/>
  <c r="M328" i="16"/>
  <c r="M327" i="16"/>
  <c r="M326" i="16"/>
  <c r="M325" i="16"/>
  <c r="M324" i="16"/>
  <c r="M13" i="16"/>
  <c r="M12" i="16"/>
  <c r="M11" i="16"/>
  <c r="M10" i="16"/>
  <c r="M9" i="16"/>
  <c r="M8" i="16"/>
  <c r="M7" i="16"/>
  <c r="M6" i="16"/>
  <c r="M4" i="16"/>
  <c r="M323" i="16"/>
  <c r="M322" i="16"/>
  <c r="M321" i="16"/>
  <c r="M320" i="16"/>
  <c r="M319" i="16"/>
  <c r="M318" i="16"/>
  <c r="M317" i="16"/>
  <c r="M316" i="16"/>
  <c r="M315" i="16"/>
  <c r="M314" i="16"/>
  <c r="M313" i="16"/>
  <c r="M312" i="16"/>
  <c r="M311" i="16"/>
  <c r="M310" i="16"/>
  <c r="M309" i="16"/>
  <c r="M308" i="16"/>
  <c r="M307" i="16"/>
  <c r="M306" i="16"/>
  <c r="M305" i="16"/>
  <c r="M304" i="16"/>
  <c r="M303" i="16"/>
  <c r="M302" i="16"/>
  <c r="M301" i="16"/>
  <c r="M300" i="16"/>
  <c r="M299" i="16"/>
  <c r="M298" i="16"/>
  <c r="M297" i="16"/>
  <c r="M296" i="16"/>
  <c r="M295" i="16"/>
  <c r="M294" i="16"/>
  <c r="M293" i="16"/>
  <c r="M292" i="16"/>
  <c r="M291" i="16"/>
  <c r="M290" i="16"/>
  <c r="M289" i="16"/>
  <c r="M288" i="16"/>
  <c r="M287" i="16"/>
  <c r="M286" i="16"/>
  <c r="M285" i="16"/>
  <c r="M284" i="16"/>
  <c r="M283" i="16"/>
  <c r="M282" i="16"/>
  <c r="M281" i="16"/>
  <c r="M280" i="16"/>
  <c r="M279" i="16"/>
  <c r="M278" i="16"/>
  <c r="M277" i="16"/>
  <c r="M276" i="16"/>
  <c r="M275" i="16"/>
  <c r="M274" i="16"/>
  <c r="M273" i="16"/>
  <c r="M272" i="16"/>
  <c r="M271" i="16"/>
  <c r="M270" i="16"/>
  <c r="M269" i="16"/>
  <c r="M268" i="16"/>
  <c r="M267" i="16"/>
  <c r="M266" i="16"/>
  <c r="M265" i="16"/>
  <c r="M264" i="16"/>
  <c r="M263" i="16"/>
  <c r="M262" i="16"/>
  <c r="M261" i="16"/>
  <c r="M260" i="16"/>
  <c r="M259" i="16"/>
  <c r="M258" i="16"/>
  <c r="M257" i="16"/>
  <c r="M256" i="16"/>
  <c r="M255" i="16"/>
  <c r="M254" i="16"/>
  <c r="M253" i="16"/>
  <c r="M252" i="16"/>
  <c r="M251" i="16"/>
  <c r="M250" i="16"/>
  <c r="M249" i="16"/>
  <c r="M248" i="16"/>
  <c r="M247" i="16"/>
  <c r="M246" i="16"/>
  <c r="M245" i="16"/>
  <c r="M244" i="16"/>
  <c r="M243" i="16"/>
  <c r="M242" i="16"/>
  <c r="M241" i="16"/>
  <c r="M240" i="16"/>
  <c r="M239" i="16"/>
  <c r="M238" i="16"/>
  <c r="M237" i="16"/>
  <c r="M236" i="16"/>
  <c r="M235" i="16"/>
  <c r="M234" i="16"/>
  <c r="M233" i="16"/>
  <c r="M232" i="16"/>
  <c r="M231" i="16"/>
  <c r="M230" i="16"/>
  <c r="M229" i="16"/>
  <c r="M228" i="16"/>
  <c r="M227" i="16"/>
  <c r="M226" i="16"/>
  <c r="M225" i="16"/>
  <c r="M224" i="16"/>
  <c r="M223" i="16"/>
  <c r="M222" i="16"/>
  <c r="M221" i="16"/>
  <c r="M220" i="16"/>
  <c r="M219" i="16"/>
  <c r="M218" i="16"/>
  <c r="M217" i="16"/>
  <c r="M216" i="16"/>
  <c r="M215" i="16"/>
  <c r="M214" i="16"/>
  <c r="M213" i="16"/>
  <c r="M212" i="16"/>
  <c r="M211" i="16"/>
  <c r="M210" i="16"/>
  <c r="M209" i="16"/>
  <c r="M208" i="16"/>
  <c r="M207" i="16"/>
  <c r="M206" i="16"/>
  <c r="M205" i="16"/>
  <c r="M204" i="16"/>
  <c r="M203" i="16"/>
  <c r="M202" i="16"/>
  <c r="M201" i="16"/>
  <c r="M200" i="16"/>
  <c r="M199" i="16"/>
  <c r="M198" i="16"/>
  <c r="M197" i="16"/>
  <c r="M196" i="16"/>
  <c r="M195" i="16"/>
  <c r="M194" i="16"/>
  <c r="M193" i="16"/>
  <c r="M192" i="16"/>
  <c r="M191" i="16"/>
  <c r="M190" i="16"/>
  <c r="M189" i="16"/>
  <c r="M188" i="16"/>
  <c r="M187" i="16"/>
  <c r="M186" i="16"/>
  <c r="M185" i="16"/>
  <c r="M184" i="16"/>
  <c r="M183" i="16"/>
  <c r="M182" i="16"/>
  <c r="M181" i="16"/>
  <c r="M180" i="16"/>
  <c r="M179" i="16"/>
  <c r="M178" i="16"/>
  <c r="M177" i="16"/>
  <c r="M176" i="16"/>
  <c r="M175" i="16"/>
  <c r="M174" i="16"/>
  <c r="M173" i="16"/>
  <c r="M172" i="16"/>
  <c r="M171" i="16"/>
  <c r="M170" i="16"/>
  <c r="M169" i="16"/>
  <c r="M168" i="16"/>
  <c r="M167" i="16"/>
  <c r="M166" i="16"/>
  <c r="M165" i="16"/>
  <c r="M164" i="16"/>
  <c r="M163" i="16"/>
  <c r="M162" i="16"/>
  <c r="M161" i="16"/>
  <c r="M160" i="16"/>
  <c r="M159" i="16"/>
  <c r="M158" i="16"/>
  <c r="M157" i="16"/>
  <c r="M156" i="16"/>
  <c r="M155" i="16"/>
  <c r="M154" i="16"/>
  <c r="M153" i="16"/>
  <c r="M152" i="16"/>
  <c r="M151" i="16"/>
  <c r="M150" i="16"/>
  <c r="M149" i="16"/>
  <c r="M148" i="16"/>
  <c r="M147" i="16"/>
  <c r="M146" i="16"/>
  <c r="M145" i="16"/>
  <c r="M144" i="16"/>
  <c r="M143" i="16"/>
  <c r="M142" i="16"/>
  <c r="M141" i="16"/>
  <c r="M140" i="16"/>
  <c r="M139" i="16"/>
  <c r="M138" i="16"/>
  <c r="M137" i="16"/>
  <c r="M136" i="16"/>
  <c r="M135" i="16"/>
  <c r="M134" i="16"/>
  <c r="M133" i="16"/>
  <c r="M132" i="16"/>
  <c r="M131" i="16"/>
  <c r="M130" i="16"/>
  <c r="M129" i="16"/>
  <c r="M128" i="16"/>
  <c r="M127" i="16"/>
  <c r="M126" i="16"/>
  <c r="M125" i="16"/>
  <c r="M124" i="16"/>
  <c r="M123" i="16"/>
  <c r="M122" i="16"/>
  <c r="M121" i="16"/>
  <c r="M120" i="16"/>
  <c r="M119" i="16"/>
  <c r="M118" i="16"/>
  <c r="M117" i="16"/>
  <c r="M116" i="16"/>
  <c r="M115" i="16"/>
  <c r="M114" i="16"/>
  <c r="M113" i="16"/>
  <c r="M112" i="16"/>
  <c r="M111" i="16"/>
  <c r="M110" i="16"/>
  <c r="M109" i="16"/>
  <c r="M108" i="16"/>
  <c r="M107" i="16"/>
  <c r="M106" i="16"/>
  <c r="M105" i="16"/>
  <c r="M104" i="16"/>
  <c r="M103" i="16"/>
  <c r="M102" i="16"/>
  <c r="M101" i="16"/>
  <c r="M100" i="16"/>
  <c r="M99" i="16"/>
  <c r="M98" i="16"/>
  <c r="M97" i="16"/>
  <c r="M96" i="16"/>
  <c r="M95" i="16"/>
  <c r="M94" i="16"/>
  <c r="M93" i="16"/>
  <c r="M92" i="16"/>
  <c r="M91" i="16"/>
  <c r="M90" i="16"/>
  <c r="M89" i="16"/>
  <c r="M88" i="16"/>
  <c r="M87" i="16"/>
  <c r="M86" i="16"/>
  <c r="M85" i="16"/>
  <c r="M84" i="16"/>
  <c r="M83" i="16"/>
  <c r="M82" i="16"/>
  <c r="M81" i="16"/>
  <c r="M80" i="16"/>
  <c r="M79" i="16"/>
  <c r="M78" i="16"/>
  <c r="M77" i="16"/>
  <c r="M76" i="16"/>
  <c r="M75" i="16"/>
  <c r="M74" i="16"/>
  <c r="M73" i="16"/>
  <c r="M72" i="16"/>
  <c r="M71" i="16"/>
  <c r="M70" i="16"/>
  <c r="M69" i="16"/>
  <c r="M68" i="16"/>
  <c r="M67" i="16"/>
  <c r="M66" i="16"/>
  <c r="M65" i="16"/>
  <c r="M64" i="16"/>
  <c r="M63" i="16"/>
  <c r="M62" i="16"/>
  <c r="M61" i="16"/>
  <c r="M60" i="16"/>
  <c r="M59" i="16"/>
  <c r="M58" i="16"/>
  <c r="M57" i="16"/>
  <c r="M56" i="16"/>
  <c r="M55" i="16"/>
  <c r="M54" i="16"/>
  <c r="M53" i="16"/>
  <c r="M52" i="16"/>
  <c r="M51" i="16"/>
  <c r="M50" i="16"/>
  <c r="M49" i="16"/>
  <c r="M48" i="16"/>
  <c r="M47" i="16"/>
  <c r="M46" i="16"/>
  <c r="M45" i="16"/>
  <c r="M44" i="16"/>
  <c r="M43" i="16"/>
  <c r="M42" i="16"/>
  <c r="M41" i="16"/>
  <c r="M40" i="16"/>
  <c r="M39" i="16"/>
  <c r="M38" i="16"/>
  <c r="M37" i="16"/>
  <c r="M36" i="16"/>
  <c r="M35" i="16"/>
  <c r="M34" i="16"/>
  <c r="M33" i="16"/>
  <c r="M32" i="16"/>
  <c r="M31" i="16"/>
  <c r="M30" i="16"/>
  <c r="M29" i="16"/>
  <c r="M28" i="16"/>
  <c r="M27" i="16"/>
  <c r="M26" i="16"/>
  <c r="M25" i="16"/>
  <c r="M24" i="16"/>
  <c r="M23" i="16"/>
  <c r="M22" i="16"/>
  <c r="M21" i="16"/>
  <c r="M20" i="16"/>
  <c r="M19" i="16"/>
  <c r="M18" i="16"/>
  <c r="M17" i="16"/>
  <c r="M16" i="16"/>
  <c r="M15" i="16"/>
  <c r="M14" i="16"/>
  <c r="M5" i="16"/>
  <c r="M3" i="16"/>
  <c r="D94" i="48"/>
  <c r="D91" i="48"/>
  <c r="D89" i="48"/>
  <c r="D87" i="48"/>
  <c r="D67" i="48"/>
  <c r="D93" i="48"/>
  <c r="D92" i="48"/>
  <c r="D90" i="48"/>
  <c r="D88" i="48"/>
  <c r="D86" i="48"/>
  <c r="B62" i="63"/>
  <c r="E57" i="59" s="1"/>
  <c r="Q112" i="61"/>
  <c r="W53" i="59"/>
  <c r="W117" i="59"/>
  <c r="W133" i="59"/>
  <c r="B215" i="64" s="1"/>
  <c r="F120" i="59" s="1"/>
  <c r="B231" i="64" s="1"/>
  <c r="F136" i="59" s="1"/>
  <c r="W135" i="59"/>
  <c r="I38" i="59"/>
  <c r="K38" i="59"/>
  <c r="M38" i="59"/>
  <c r="O38" i="59"/>
  <c r="Q38" i="59"/>
  <c r="S38" i="59"/>
  <c r="U38" i="59"/>
  <c r="I76" i="59"/>
  <c r="I77" i="59" s="1"/>
  <c r="I75" i="59"/>
  <c r="M76" i="59"/>
  <c r="M75" i="59"/>
  <c r="O76" i="59"/>
  <c r="O75" i="59"/>
  <c r="Q76" i="59"/>
  <c r="Q75" i="59"/>
  <c r="U76" i="59"/>
  <c r="U77" i="59" s="1"/>
  <c r="U75" i="59"/>
  <c r="S75" i="59"/>
  <c r="B254" i="64"/>
  <c r="F161" i="59" s="1"/>
  <c r="B253" i="64"/>
  <c r="F160" i="59" s="1"/>
  <c r="W9" i="59"/>
  <c r="Q23" i="60" s="1"/>
  <c r="B32" i="60" s="1"/>
  <c r="W25" i="59"/>
  <c r="B215" i="60" s="1"/>
  <c r="B120" i="59" s="1"/>
  <c r="B231" i="60" s="1"/>
  <c r="B136" i="59" s="1"/>
  <c r="W27" i="59"/>
  <c r="Q112" i="60"/>
  <c r="Q114" i="60"/>
  <c r="Q116" i="60"/>
  <c r="L159" i="60"/>
  <c r="L160" i="60"/>
  <c r="L162" i="60"/>
  <c r="L163" i="60"/>
  <c r="L164" i="60"/>
  <c r="L167" i="60"/>
  <c r="L168" i="60"/>
  <c r="L169" i="60"/>
  <c r="L170" i="60"/>
  <c r="L171" i="60"/>
  <c r="L172" i="60"/>
  <c r="L173" i="60"/>
  <c r="L176" i="60"/>
  <c r="Q303" i="60"/>
  <c r="Q305" i="60"/>
  <c r="Q308" i="60"/>
  <c r="B72" i="62"/>
  <c r="D24" i="59" s="1"/>
  <c r="Q113" i="61"/>
  <c r="B125" i="61" s="1"/>
  <c r="C51" i="59" s="1"/>
  <c r="Q115" i="61"/>
  <c r="B147" i="61" s="1"/>
  <c r="C76" i="59" s="1"/>
  <c r="B194" i="61" s="1"/>
  <c r="C96" i="59" s="1"/>
  <c r="Q117" i="61"/>
  <c r="Q303" i="61"/>
  <c r="Q305" i="61"/>
  <c r="Q308" i="61"/>
  <c r="W63" i="59"/>
  <c r="Q113" i="62"/>
  <c r="W79" i="59"/>
  <c r="B215" i="62" s="1"/>
  <c r="D120" i="59" s="1"/>
  <c r="B231" i="62" s="1"/>
  <c r="D136" i="59" s="1"/>
  <c r="W81" i="59"/>
  <c r="Q302" i="62"/>
  <c r="Q304" i="62"/>
  <c r="Q307" i="62"/>
  <c r="Q112" i="63"/>
  <c r="Q114" i="63"/>
  <c r="W107" i="59"/>
  <c r="L159" i="63"/>
  <c r="L161" i="63"/>
  <c r="L162" i="63"/>
  <c r="L164" i="63"/>
  <c r="L166" i="63"/>
  <c r="L167" i="63"/>
  <c r="L169" i="63"/>
  <c r="L172" i="63"/>
  <c r="L173" i="63"/>
  <c r="L175" i="63"/>
  <c r="L177" i="63"/>
  <c r="Q302" i="63"/>
  <c r="Q304" i="63"/>
  <c r="Q307" i="63"/>
  <c r="Q112" i="64"/>
  <c r="Q114" i="64"/>
  <c r="Q116" i="64"/>
  <c r="L161" i="64"/>
  <c r="L162" i="64"/>
  <c r="L163" i="64"/>
  <c r="L164" i="64"/>
  <c r="L165" i="64"/>
  <c r="L167" i="64"/>
  <c r="L169" i="64"/>
  <c r="L170" i="64"/>
  <c r="L172" i="64"/>
  <c r="K75" i="59"/>
  <c r="I130" i="59"/>
  <c r="I129" i="59"/>
  <c r="M130" i="59"/>
  <c r="M129" i="59"/>
  <c r="O130" i="59"/>
  <c r="O129" i="59"/>
  <c r="Q130" i="59"/>
  <c r="Q129" i="59"/>
  <c r="U130" i="59"/>
  <c r="U129" i="59"/>
  <c r="I116" i="59"/>
  <c r="K116" i="59"/>
  <c r="M116" i="59"/>
  <c r="O116" i="59"/>
  <c r="Q116" i="59"/>
  <c r="S116" i="59"/>
  <c r="U116" i="59"/>
  <c r="S129" i="59"/>
  <c r="J177" i="64"/>
  <c r="AG115" i="57" s="1"/>
  <c r="L177" i="64" s="1"/>
  <c r="J176" i="64"/>
  <c r="AG114" i="57" s="1"/>
  <c r="L176" i="64" s="1"/>
  <c r="J175" i="64"/>
  <c r="AG113" i="57" s="1"/>
  <c r="L175" i="64" s="1"/>
  <c r="J174" i="64"/>
  <c r="AG112" i="57" s="1"/>
  <c r="L174" i="64" s="1"/>
  <c r="J173" i="64"/>
  <c r="AG111" i="57" s="1"/>
  <c r="L173" i="64" s="1"/>
  <c r="Q303" i="64"/>
  <c r="Q305" i="64"/>
  <c r="Q308" i="64"/>
  <c r="I8" i="59"/>
  <c r="K8" i="59"/>
  <c r="M8" i="59"/>
  <c r="O8" i="59"/>
  <c r="Q8" i="59"/>
  <c r="S8" i="59"/>
  <c r="U8" i="59"/>
  <c r="K21" i="59"/>
  <c r="O21" i="59"/>
  <c r="S21" i="59"/>
  <c r="H48" i="59"/>
  <c r="L48" i="59"/>
  <c r="P48" i="59"/>
  <c r="T48" i="59"/>
  <c r="I62" i="59"/>
  <c r="K62" i="59"/>
  <c r="M62" i="59"/>
  <c r="O62" i="59"/>
  <c r="Q62" i="59"/>
  <c r="S62" i="59"/>
  <c r="U62" i="59"/>
  <c r="H103" i="59"/>
  <c r="H102" i="59"/>
  <c r="L103" i="59"/>
  <c r="L104" i="59" s="1"/>
  <c r="L102" i="59"/>
  <c r="P103" i="59"/>
  <c r="P102" i="59"/>
  <c r="T103" i="59"/>
  <c r="T102" i="59"/>
  <c r="J102" i="59"/>
  <c r="W102" i="59" s="1"/>
  <c r="B149" i="63" s="1"/>
  <c r="E78" i="59" s="1"/>
  <c r="R102" i="59"/>
  <c r="I92" i="59"/>
  <c r="K92" i="59"/>
  <c r="M92" i="59"/>
  <c r="O92" i="59"/>
  <c r="Q92" i="59"/>
  <c r="S92" i="59"/>
  <c r="U92" i="59"/>
  <c r="H177" i="64"/>
  <c r="AF115" i="57" s="1"/>
  <c r="AK3" i="16"/>
  <c r="AK4" i="16"/>
  <c r="Q15" i="12"/>
  <c r="AF136" i="16"/>
  <c r="AI15" i="16"/>
  <c r="Q3" i="16"/>
  <c r="Q4153" i="16"/>
  <c r="Q4151" i="16"/>
  <c r="Q4149" i="16"/>
  <c r="Q4147" i="16"/>
  <c r="Q4145" i="16"/>
  <c r="Q4143" i="16"/>
  <c r="Q4141" i="16"/>
  <c r="Q4139" i="16"/>
  <c r="Q4137" i="16"/>
  <c r="Q4135" i="16"/>
  <c r="Q4133" i="16"/>
  <c r="Q4131" i="16"/>
  <c r="Q4129" i="16"/>
  <c r="Q4127" i="16"/>
  <c r="Q4125" i="16"/>
  <c r="Q4123" i="16"/>
  <c r="Q4121" i="16"/>
  <c r="Q4119" i="16"/>
  <c r="Q4117" i="16"/>
  <c r="Q4115" i="16"/>
  <c r="Q4113" i="16"/>
  <c r="Q4111" i="16"/>
  <c r="Q4109" i="16"/>
  <c r="Q4107" i="16"/>
  <c r="Q4105" i="16"/>
  <c r="Q4103" i="16"/>
  <c r="Q4101" i="16"/>
  <c r="Q4099" i="16"/>
  <c r="Q4097" i="16"/>
  <c r="Q4095" i="16"/>
  <c r="Q4093" i="16"/>
  <c r="Q4091" i="16"/>
  <c r="Q4089" i="16"/>
  <c r="Q4087" i="16"/>
  <c r="Q4085" i="16"/>
  <c r="Q4083" i="16"/>
  <c r="Q4081" i="16"/>
  <c r="Q4079" i="16"/>
  <c r="Q4077" i="16"/>
  <c r="Q4075" i="16"/>
  <c r="Q4073" i="16"/>
  <c r="Q4071" i="16"/>
  <c r="Q4069" i="16"/>
  <c r="Q4067" i="16"/>
  <c r="Q4065" i="16"/>
  <c r="Q4063" i="16"/>
  <c r="Q4061" i="16"/>
  <c r="Q4059" i="16"/>
  <c r="Q4057" i="16"/>
  <c r="Q4055" i="16"/>
  <c r="Q4053" i="16"/>
  <c r="Q4051" i="16"/>
  <c r="Q4049" i="16"/>
  <c r="Q4047" i="16"/>
  <c r="Q4045" i="16"/>
  <c r="Q4043" i="16"/>
  <c r="Q4041" i="16"/>
  <c r="Q4039" i="16"/>
  <c r="Q4037" i="16"/>
  <c r="Q4035" i="16"/>
  <c r="Q4033" i="16"/>
  <c r="Q4031" i="16"/>
  <c r="Q4029" i="16"/>
  <c r="Q4027" i="16"/>
  <c r="Q4025" i="16"/>
  <c r="Q4023" i="16"/>
  <c r="Q4021" i="16"/>
  <c r="Q4019" i="16"/>
  <c r="Q4017" i="16"/>
  <c r="Q4015" i="16"/>
  <c r="Q4013" i="16"/>
  <c r="Q4011" i="16"/>
  <c r="Q4009" i="16"/>
  <c r="Q4007" i="16"/>
  <c r="Q4005" i="16"/>
  <c r="Q4003" i="16"/>
  <c r="Q4001" i="16"/>
  <c r="Q3999" i="16"/>
  <c r="Q3997" i="16"/>
  <c r="Q3995" i="16"/>
  <c r="Q3993" i="16"/>
  <c r="Q3991" i="16"/>
  <c r="Q3989" i="16"/>
  <c r="Q3987" i="16"/>
  <c r="Q3985" i="16"/>
  <c r="Q3983" i="16"/>
  <c r="Q3981" i="16"/>
  <c r="Q3979" i="16"/>
  <c r="Q3977" i="16"/>
  <c r="Q3975" i="16"/>
  <c r="Q3973" i="16"/>
  <c r="Q3971" i="16"/>
  <c r="Q3969" i="16"/>
  <c r="Q3967" i="16"/>
  <c r="Q3965" i="16"/>
  <c r="Q3963" i="16"/>
  <c r="Q3961" i="16"/>
  <c r="Q3959" i="16"/>
  <c r="Q3957" i="16"/>
  <c r="Q3955" i="16"/>
  <c r="Q3953" i="16"/>
  <c r="Q3951" i="16"/>
  <c r="Q3949" i="16"/>
  <c r="Q3947" i="16"/>
  <c r="Q3945" i="16"/>
  <c r="Q3943" i="16"/>
  <c r="Q3941" i="16"/>
  <c r="Q3939" i="16"/>
  <c r="Q3937" i="16"/>
  <c r="Q3935" i="16"/>
  <c r="Q3933" i="16"/>
  <c r="Q3931" i="16"/>
  <c r="Q3929" i="16"/>
  <c r="Q3927" i="16"/>
  <c r="Q3925" i="16"/>
  <c r="Q3923" i="16"/>
  <c r="Q3921" i="16"/>
  <c r="Q3919" i="16"/>
  <c r="Q3917" i="16"/>
  <c r="Q3915" i="16"/>
  <c r="Q3913" i="16"/>
  <c r="Q3911" i="16"/>
  <c r="Q3909" i="16"/>
  <c r="Q3907" i="16"/>
  <c r="Q3905" i="16"/>
  <c r="Q3903" i="16"/>
  <c r="Q3901" i="16"/>
  <c r="Q3899" i="16"/>
  <c r="Q3897" i="16"/>
  <c r="Q3895" i="16"/>
  <c r="Q3893" i="16"/>
  <c r="Q3891" i="16"/>
  <c r="Q3889" i="16"/>
  <c r="Q3887" i="16"/>
  <c r="Q3885" i="16"/>
  <c r="Q3883" i="16"/>
  <c r="Q3881" i="16"/>
  <c r="Q3879" i="16"/>
  <c r="Q3877" i="16"/>
  <c r="Q3875" i="16"/>
  <c r="Q3873" i="16"/>
  <c r="Q3871" i="16"/>
  <c r="Q3869" i="16"/>
  <c r="Q3867" i="16"/>
  <c r="Q3865" i="16"/>
  <c r="Q3863" i="16"/>
  <c r="Q3861" i="16"/>
  <c r="Q3859" i="16"/>
  <c r="Q3857" i="16"/>
  <c r="Q3855" i="16"/>
  <c r="Q3853" i="16"/>
  <c r="Q3851" i="16"/>
  <c r="Q3849" i="16"/>
  <c r="Q3847" i="16"/>
  <c r="Q3845" i="16"/>
  <c r="Q3843" i="16"/>
  <c r="Q3841" i="16"/>
  <c r="Q3839" i="16"/>
  <c r="Q3837" i="16"/>
  <c r="Q3835" i="16"/>
  <c r="Q3833" i="16"/>
  <c r="Q3831" i="16"/>
  <c r="Q3829" i="16"/>
  <c r="Q3827" i="16"/>
  <c r="Q3825" i="16"/>
  <c r="Q3823" i="16"/>
  <c r="Q3821" i="16"/>
  <c r="Q3819" i="16"/>
  <c r="Q3817" i="16"/>
  <c r="Q3815" i="16"/>
  <c r="Q3813" i="16"/>
  <c r="Q3811" i="16"/>
  <c r="Q3809" i="16"/>
  <c r="Q3807" i="16"/>
  <c r="Q3805" i="16"/>
  <c r="Q3803" i="16"/>
  <c r="Q3801" i="16"/>
  <c r="Q3799" i="16"/>
  <c r="Q3797" i="16"/>
  <c r="Q3795" i="16"/>
  <c r="Q3793" i="16"/>
  <c r="Q3791" i="16"/>
  <c r="Q3789" i="16"/>
  <c r="Q3787" i="16"/>
  <c r="Q3785" i="16"/>
  <c r="Q3783" i="16"/>
  <c r="Q3781" i="16"/>
  <c r="Q3779" i="16"/>
  <c r="Q3777" i="16"/>
  <c r="Q3775" i="16"/>
  <c r="Q3773" i="16"/>
  <c r="Q3771" i="16"/>
  <c r="Q3769" i="16"/>
  <c r="Q3767" i="16"/>
  <c r="Q3765" i="16"/>
  <c r="Q3763" i="16"/>
  <c r="Q3761" i="16"/>
  <c r="Q3759" i="16"/>
  <c r="Q3757" i="16"/>
  <c r="Q3755" i="16"/>
  <c r="Q3753" i="16"/>
  <c r="Q3751" i="16"/>
  <c r="Q3749" i="16"/>
  <c r="Q3747" i="16"/>
  <c r="Q3745" i="16"/>
  <c r="Q3743" i="16"/>
  <c r="Q3741" i="16"/>
  <c r="Q3739" i="16"/>
  <c r="Q3737" i="16"/>
  <c r="Q3735" i="16"/>
  <c r="Q3733" i="16"/>
  <c r="Q3731" i="16"/>
  <c r="Q3729" i="16"/>
  <c r="Q3727" i="16"/>
  <c r="Q3725" i="16"/>
  <c r="Q3723" i="16"/>
  <c r="Q3721" i="16"/>
  <c r="Q3719" i="16"/>
  <c r="Q3717" i="16"/>
  <c r="Q3715" i="16"/>
  <c r="Q3713" i="16"/>
  <c r="Q3711" i="16"/>
  <c r="Q3709" i="16"/>
  <c r="Q3707" i="16"/>
  <c r="Q3705" i="16"/>
  <c r="Q3703" i="16"/>
  <c r="Q3701" i="16"/>
  <c r="Q3699" i="16"/>
  <c r="Q3697" i="16"/>
  <c r="Q3695" i="16"/>
  <c r="Q3693" i="16"/>
  <c r="Q3691" i="16"/>
  <c r="Q3689" i="16"/>
  <c r="Q3687" i="16"/>
  <c r="Q3685" i="16"/>
  <c r="Q3683" i="16"/>
  <c r="Q3681" i="16"/>
  <c r="Q3679" i="16"/>
  <c r="Q3677" i="16"/>
  <c r="Q3675" i="16"/>
  <c r="Q3673" i="16"/>
  <c r="Q3671" i="16"/>
  <c r="Q3669" i="16"/>
  <c r="Q3667" i="16"/>
  <c r="Q3665" i="16"/>
  <c r="Q3663" i="16"/>
  <c r="Q3661" i="16"/>
  <c r="Q3659" i="16"/>
  <c r="Q3657" i="16"/>
  <c r="Q3655" i="16"/>
  <c r="Q3653" i="16"/>
  <c r="Q3651" i="16"/>
  <c r="Q3649" i="16"/>
  <c r="Q3647" i="16"/>
  <c r="Q3645" i="16"/>
  <c r="Q3643" i="16"/>
  <c r="Q3641" i="16"/>
  <c r="Q3639" i="16"/>
  <c r="Q3637" i="16"/>
  <c r="Q3635" i="16"/>
  <c r="Q3633" i="16"/>
  <c r="Q3631" i="16"/>
  <c r="Q3629" i="16"/>
  <c r="Q3627" i="16"/>
  <c r="Q3625" i="16"/>
  <c r="Q3623" i="16"/>
  <c r="Q3621" i="16"/>
  <c r="Q3619" i="16"/>
  <c r="Q3617" i="16"/>
  <c r="Q3615" i="16"/>
  <c r="Q3613" i="16"/>
  <c r="Q3611" i="16"/>
  <c r="Q3609" i="16"/>
  <c r="Q3607" i="16"/>
  <c r="Q3605" i="16"/>
  <c r="Q3603" i="16"/>
  <c r="Q3601" i="16"/>
  <c r="Q3599" i="16"/>
  <c r="Q3597" i="16"/>
  <c r="Q3595" i="16"/>
  <c r="Q3593" i="16"/>
  <c r="Q3591" i="16"/>
  <c r="Q3589" i="16"/>
  <c r="Q3587" i="16"/>
  <c r="Q3585" i="16"/>
  <c r="Q3583" i="16"/>
  <c r="Q3581" i="16"/>
  <c r="Q3579" i="16"/>
  <c r="Q3577" i="16"/>
  <c r="Q3575" i="16"/>
  <c r="Q3573" i="16"/>
  <c r="Q3571" i="16"/>
  <c r="Q3569" i="16"/>
  <c r="Q3567" i="16"/>
  <c r="Q3565" i="16"/>
  <c r="Q3563" i="16"/>
  <c r="Q3561" i="16"/>
  <c r="Q3559" i="16"/>
  <c r="Q3557" i="16"/>
  <c r="Q3555" i="16"/>
  <c r="Q3553" i="16"/>
  <c r="Q3551" i="16"/>
  <c r="Q3549" i="16"/>
  <c r="Q3547" i="16"/>
  <c r="Q3545" i="16"/>
  <c r="Q3543" i="16"/>
  <c r="Q3541" i="16"/>
  <c r="Q3539" i="16"/>
  <c r="Q3537" i="16"/>
  <c r="Q3535" i="16"/>
  <c r="Q3533" i="16"/>
  <c r="Q3531" i="16"/>
  <c r="Q3529" i="16"/>
  <c r="Q3527" i="16"/>
  <c r="Q3525" i="16"/>
  <c r="Q3523" i="16"/>
  <c r="Q3521" i="16"/>
  <c r="Q3519" i="16"/>
  <c r="Q3517" i="16"/>
  <c r="Q3515" i="16"/>
  <c r="Q3513" i="16"/>
  <c r="Q3511" i="16"/>
  <c r="Q3509" i="16"/>
  <c r="Q3507" i="16"/>
  <c r="Q3505" i="16"/>
  <c r="Q3503" i="16"/>
  <c r="Q3501" i="16"/>
  <c r="Q3499" i="16"/>
  <c r="Q3497" i="16"/>
  <c r="Q3495" i="16"/>
  <c r="Q3493" i="16"/>
  <c r="Q3491" i="16"/>
  <c r="Q3489" i="16"/>
  <c r="Q3487" i="16"/>
  <c r="Q3485" i="16"/>
  <c r="Q3483" i="16"/>
  <c r="Q3481" i="16"/>
  <c r="Q3479" i="16"/>
  <c r="Q3477" i="16"/>
  <c r="Q3475" i="16"/>
  <c r="Q3473" i="16"/>
  <c r="Q3471" i="16"/>
  <c r="Q3469" i="16"/>
  <c r="Q3467" i="16"/>
  <c r="Q3465" i="16"/>
  <c r="Q3463" i="16"/>
  <c r="Q3461" i="16"/>
  <c r="Q3459" i="16"/>
  <c r="Q3457" i="16"/>
  <c r="Q3455" i="16"/>
  <c r="Q3453" i="16"/>
  <c r="Q3451" i="16"/>
  <c r="Q3449" i="16"/>
  <c r="Q3447" i="16"/>
  <c r="Q3445" i="16"/>
  <c r="Q3443" i="16"/>
  <c r="Q3441" i="16"/>
  <c r="Q3439" i="16"/>
  <c r="Q3437" i="16"/>
  <c r="Q3435" i="16"/>
  <c r="Q3433" i="16"/>
  <c r="Q3431" i="16"/>
  <c r="Q3429" i="16"/>
  <c r="Q3427" i="16"/>
  <c r="Q3425" i="16"/>
  <c r="Q3423" i="16"/>
  <c r="Q3421" i="16"/>
  <c r="Q3419" i="16"/>
  <c r="Q3417" i="16"/>
  <c r="Q3415" i="16"/>
  <c r="Q3413" i="16"/>
  <c r="Q3411" i="16"/>
  <c r="Q3409" i="16"/>
  <c r="Q3407" i="16"/>
  <c r="Q3405" i="16"/>
  <c r="Q3403" i="16"/>
  <c r="Q3401" i="16"/>
  <c r="Q3399" i="16"/>
  <c r="Q3397" i="16"/>
  <c r="Q3395" i="16"/>
  <c r="Q3393" i="16"/>
  <c r="Q3391" i="16"/>
  <c r="Q3389" i="16"/>
  <c r="Q3387" i="16"/>
  <c r="Q3385" i="16"/>
  <c r="Q3383" i="16"/>
  <c r="Q3381" i="16"/>
  <c r="Q3379" i="16"/>
  <c r="Q3377" i="16"/>
  <c r="Q3375" i="16"/>
  <c r="Q3373" i="16"/>
  <c r="Q3371" i="16"/>
  <c r="Q3369" i="16"/>
  <c r="Q3367" i="16"/>
  <c r="Q3365" i="16"/>
  <c r="Q3363" i="16"/>
  <c r="Q3361" i="16"/>
  <c r="Q3359" i="16"/>
  <c r="Q3357" i="16"/>
  <c r="Q3355" i="16"/>
  <c r="Q3353" i="16"/>
  <c r="Q3351" i="16"/>
  <c r="Q3349" i="16"/>
  <c r="Q3347" i="16"/>
  <c r="Q3345" i="16"/>
  <c r="Q3343" i="16"/>
  <c r="Q3341" i="16"/>
  <c r="Q3339" i="16"/>
  <c r="Q3337" i="16"/>
  <c r="Q3335" i="16"/>
  <c r="Q3333" i="16"/>
  <c r="Q3331" i="16"/>
  <c r="Q3329" i="16"/>
  <c r="Q3327" i="16"/>
  <c r="Q3325" i="16"/>
  <c r="Q3323" i="16"/>
  <c r="Q3321" i="16"/>
  <c r="Q3319" i="16"/>
  <c r="Q3317" i="16"/>
  <c r="Q3315" i="16"/>
  <c r="Q3313" i="16"/>
  <c r="Q3311" i="16"/>
  <c r="Q3309" i="16"/>
  <c r="Q3307" i="16"/>
  <c r="Q3305" i="16"/>
  <c r="Q3303" i="16"/>
  <c r="Q3301" i="16"/>
  <c r="Q3299" i="16"/>
  <c r="Q3297" i="16"/>
  <c r="Q3295" i="16"/>
  <c r="Q3293" i="16"/>
  <c r="Q3291" i="16"/>
  <c r="Q3289" i="16"/>
  <c r="Q3287" i="16"/>
  <c r="Q3285" i="16"/>
  <c r="Q3283" i="16"/>
  <c r="Q3281" i="16"/>
  <c r="Q3279" i="16"/>
  <c r="Q3277" i="16"/>
  <c r="Q3275" i="16"/>
  <c r="Q3273" i="16"/>
  <c r="Q3271" i="16"/>
  <c r="Q3269" i="16"/>
  <c r="Q3267" i="16"/>
  <c r="Q3265" i="16"/>
  <c r="Q3263" i="16"/>
  <c r="Q3261" i="16"/>
  <c r="Q3259" i="16"/>
  <c r="Q3257" i="16"/>
  <c r="Q3255" i="16"/>
  <c r="Q3253" i="16"/>
  <c r="Q3251" i="16"/>
  <c r="Q3249" i="16"/>
  <c r="Q3247" i="16"/>
  <c r="Q3245" i="16"/>
  <c r="Q3243" i="16"/>
  <c r="Q3241" i="16"/>
  <c r="Q3239" i="16"/>
  <c r="Q3237" i="16"/>
  <c r="Q3235" i="16"/>
  <c r="Q3233" i="16"/>
  <c r="Q3231" i="16"/>
  <c r="Q3229" i="16"/>
  <c r="Q3227" i="16"/>
  <c r="Q3225" i="16"/>
  <c r="Q3223" i="16"/>
  <c r="Q3221" i="16"/>
  <c r="Q3219" i="16"/>
  <c r="Q3217" i="16"/>
  <c r="Q3215" i="16"/>
  <c r="Q3213" i="16"/>
  <c r="Q3211" i="16"/>
  <c r="Q3209" i="16"/>
  <c r="Q3207" i="16"/>
  <c r="Q3205" i="16"/>
  <c r="Q3203" i="16"/>
  <c r="Q3201" i="16"/>
  <c r="Q3199" i="16"/>
  <c r="Q3197" i="16"/>
  <c r="Q3195" i="16"/>
  <c r="Q3193" i="16"/>
  <c r="Q3191" i="16"/>
  <c r="Q3189" i="16"/>
  <c r="Q3187" i="16"/>
  <c r="Q3185" i="16"/>
  <c r="Q3183" i="16"/>
  <c r="Q3181" i="16"/>
  <c r="Q3179" i="16"/>
  <c r="Q3177" i="16"/>
  <c r="Q3175" i="16"/>
  <c r="Q3173" i="16"/>
  <c r="Q3171" i="16"/>
  <c r="Q3169" i="16"/>
  <c r="Q3167" i="16"/>
  <c r="Q3165" i="16"/>
  <c r="Q3163" i="16"/>
  <c r="Q3161" i="16"/>
  <c r="Q3159" i="16"/>
  <c r="Q3157" i="16"/>
  <c r="Q3155" i="16"/>
  <c r="Q3153" i="16"/>
  <c r="Q3151" i="16"/>
  <c r="Q3149" i="16"/>
  <c r="Q3147" i="16"/>
  <c r="Q3145" i="16"/>
  <c r="Q3143" i="16"/>
  <c r="Q3141" i="16"/>
  <c r="Q3139" i="16"/>
  <c r="Q3137" i="16"/>
  <c r="Q3135" i="16"/>
  <c r="Q3133" i="16"/>
  <c r="Q3131" i="16"/>
  <c r="Q3129" i="16"/>
  <c r="Q3127" i="16"/>
  <c r="Q3125" i="16"/>
  <c r="Q3123" i="16"/>
  <c r="Q3121" i="16"/>
  <c r="Q3119" i="16"/>
  <c r="Q3117" i="16"/>
  <c r="Q3115" i="16"/>
  <c r="Q3113" i="16"/>
  <c r="Q3111" i="16"/>
  <c r="Q3109" i="16"/>
  <c r="Q3107" i="16"/>
  <c r="Q3105" i="16"/>
  <c r="Q3103" i="16"/>
  <c r="Q3101" i="16"/>
  <c r="Q3099" i="16"/>
  <c r="Q3097" i="16"/>
  <c r="Q3095" i="16"/>
  <c r="Q3093" i="16"/>
  <c r="Q3091" i="16"/>
  <c r="Q3089" i="16"/>
  <c r="Q3087" i="16"/>
  <c r="Q3085" i="16"/>
  <c r="Q3083" i="16"/>
  <c r="Q3081" i="16"/>
  <c r="Q3079" i="16"/>
  <c r="Q3077" i="16"/>
  <c r="Q3075" i="16"/>
  <c r="Q3073" i="16"/>
  <c r="Q3071" i="16"/>
  <c r="Q3069" i="16"/>
  <c r="Q3067" i="16"/>
  <c r="Q3065" i="16"/>
  <c r="Q3063" i="16"/>
  <c r="Q3061" i="16"/>
  <c r="Q3059" i="16"/>
  <c r="Q3057" i="16"/>
  <c r="Q3055" i="16"/>
  <c r="Q3053" i="16"/>
  <c r="Q3051" i="16"/>
  <c r="Q3049" i="16"/>
  <c r="Q3047" i="16"/>
  <c r="Q3045" i="16"/>
  <c r="Q3043" i="16"/>
  <c r="Q3041" i="16"/>
  <c r="Q3039" i="16"/>
  <c r="Q3037" i="16"/>
  <c r="Q3035" i="16"/>
  <c r="Q3033" i="16"/>
  <c r="Q3031" i="16"/>
  <c r="Q3029" i="16"/>
  <c r="Q3027" i="16"/>
  <c r="Q3025" i="16"/>
  <c r="Q3023" i="16"/>
  <c r="Q3021" i="16"/>
  <c r="Q3019" i="16"/>
  <c r="Q3017" i="16"/>
  <c r="Q3015" i="16"/>
  <c r="Q3013" i="16"/>
  <c r="Q3011" i="16"/>
  <c r="Q3009" i="16"/>
  <c r="Q3007" i="16"/>
  <c r="Q3005" i="16"/>
  <c r="Q3003" i="16"/>
  <c r="Q3001" i="16"/>
  <c r="Q2999" i="16"/>
  <c r="Q2997" i="16"/>
  <c r="Q2995" i="16"/>
  <c r="Q2993" i="16"/>
  <c r="Q2991" i="16"/>
  <c r="Q2989" i="16"/>
  <c r="Q2987" i="16"/>
  <c r="Q2985" i="16"/>
  <c r="Q2983" i="16"/>
  <c r="Q2981" i="16"/>
  <c r="Q2979" i="16"/>
  <c r="Q2977" i="16"/>
  <c r="Q2975" i="16"/>
  <c r="Q2973" i="16"/>
  <c r="Q2971" i="16"/>
  <c r="Q2969" i="16"/>
  <c r="Q2967" i="16"/>
  <c r="Q2965" i="16"/>
  <c r="Q2963" i="16"/>
  <c r="Q2961" i="16"/>
  <c r="Q2959" i="16"/>
  <c r="Q2957" i="16"/>
  <c r="Q2955" i="16"/>
  <c r="Q2953" i="16"/>
  <c r="Q2951" i="16"/>
  <c r="Q2949" i="16"/>
  <c r="Q2947" i="16"/>
  <c r="Q2945" i="16"/>
  <c r="Q2943" i="16"/>
  <c r="Q2941" i="16"/>
  <c r="Q2939" i="16"/>
  <c r="Q2937" i="16"/>
  <c r="Q2935" i="16"/>
  <c r="Q2933" i="16"/>
  <c r="Q2931" i="16"/>
  <c r="Q2929" i="16"/>
  <c r="Q2927" i="16"/>
  <c r="Q2925" i="16"/>
  <c r="Q2923" i="16"/>
  <c r="Q2921" i="16"/>
  <c r="Q2919" i="16"/>
  <c r="Q2917" i="16"/>
  <c r="Q2915" i="16"/>
  <c r="Q2913" i="16"/>
  <c r="Q2911" i="16"/>
  <c r="Q2909" i="16"/>
  <c r="Q2907" i="16"/>
  <c r="Q2905" i="16"/>
  <c r="Q2903" i="16"/>
  <c r="Q2901" i="16"/>
  <c r="Q2899" i="16"/>
  <c r="Q2897" i="16"/>
  <c r="Q2895" i="16"/>
  <c r="Q2893" i="16"/>
  <c r="Q2891" i="16"/>
  <c r="Q2889" i="16"/>
  <c r="Q2887" i="16"/>
  <c r="Q2885" i="16"/>
  <c r="Q2883" i="16"/>
  <c r="Q2881" i="16"/>
  <c r="Q2879" i="16"/>
  <c r="Q2877" i="16"/>
  <c r="Q2875" i="16"/>
  <c r="Q2873" i="16"/>
  <c r="Q2871" i="16"/>
  <c r="Q2869" i="16"/>
  <c r="Q2867" i="16"/>
  <c r="Q2865" i="16"/>
  <c r="Q2863" i="16"/>
  <c r="Q2861" i="16"/>
  <c r="Q2859" i="16"/>
  <c r="Q2857" i="16"/>
  <c r="Q2855" i="16"/>
  <c r="Q2853" i="16"/>
  <c r="Q2851" i="16"/>
  <c r="Q2849" i="16"/>
  <c r="Q2847" i="16"/>
  <c r="Q2845" i="16"/>
  <c r="Q2843" i="16"/>
  <c r="Q2841" i="16"/>
  <c r="Q2839" i="16"/>
  <c r="Q2837" i="16"/>
  <c r="Q2835" i="16"/>
  <c r="Q2833" i="16"/>
  <c r="Q2831" i="16"/>
  <c r="Q2829" i="16"/>
  <c r="Q2827" i="16"/>
  <c r="Q2825" i="16"/>
  <c r="Q2823" i="16"/>
  <c r="Q2821" i="16"/>
  <c r="Q2819" i="16"/>
  <c r="Q2817" i="16"/>
  <c r="Q2815" i="16"/>
  <c r="Q2813" i="16"/>
  <c r="Q2811" i="16"/>
  <c r="Q2809" i="16"/>
  <c r="Q2807" i="16"/>
  <c r="Q2805" i="16"/>
  <c r="Q2803" i="16"/>
  <c r="Q2801" i="16"/>
  <c r="Q2799" i="16"/>
  <c r="Q2797" i="16"/>
  <c r="Q2795" i="16"/>
  <c r="Q2793" i="16"/>
  <c r="Q2791" i="16"/>
  <c r="Q2789" i="16"/>
  <c r="Q2787" i="16"/>
  <c r="Q2785" i="16"/>
  <c r="Q2783" i="16"/>
  <c r="Q2781" i="16"/>
  <c r="Q2779" i="16"/>
  <c r="Q2777" i="16"/>
  <c r="Q2775" i="16"/>
  <c r="Q2773" i="16"/>
  <c r="Q2771" i="16"/>
  <c r="Q2769" i="16"/>
  <c r="Q2767" i="16"/>
  <c r="Q2765" i="16"/>
  <c r="Q2763" i="16"/>
  <c r="Q2761" i="16"/>
  <c r="Q2759" i="16"/>
  <c r="Q2757" i="16"/>
  <c r="Q2755" i="16"/>
  <c r="Q2753" i="16"/>
  <c r="Q2751" i="16"/>
  <c r="Q2749" i="16"/>
  <c r="Q2747" i="16"/>
  <c r="Q2745" i="16"/>
  <c r="Q2743" i="16"/>
  <c r="Q2741" i="16"/>
  <c r="Q2739" i="16"/>
  <c r="Q2737" i="16"/>
  <c r="Q2735" i="16"/>
  <c r="Q2733" i="16"/>
  <c r="Q2731" i="16"/>
  <c r="Q2729" i="16"/>
  <c r="Q2727" i="16"/>
  <c r="Q2725" i="16"/>
  <c r="Q2723" i="16"/>
  <c r="Q2721" i="16"/>
  <c r="Q2719" i="16"/>
  <c r="Q2717" i="16"/>
  <c r="Q2715" i="16"/>
  <c r="Q2713" i="16"/>
  <c r="Q2711" i="16"/>
  <c r="Q2709" i="16"/>
  <c r="Q2707" i="16"/>
  <c r="Q2705" i="16"/>
  <c r="Q2703" i="16"/>
  <c r="Q2701" i="16"/>
  <c r="Q2699" i="16"/>
  <c r="Q2697" i="16"/>
  <c r="Q2695" i="16"/>
  <c r="Q2693" i="16"/>
  <c r="Q2691" i="16"/>
  <c r="Q2689" i="16"/>
  <c r="Q2687" i="16"/>
  <c r="Q2685" i="16"/>
  <c r="Q2683" i="16"/>
  <c r="Q2681" i="16"/>
  <c r="Q2679" i="16"/>
  <c r="Q2677" i="16"/>
  <c r="Q2675" i="16"/>
  <c r="Q2673" i="16"/>
  <c r="Q2671" i="16"/>
  <c r="Q2669" i="16"/>
  <c r="Q2667" i="16"/>
  <c r="Q2665" i="16"/>
  <c r="Q2663" i="16"/>
  <c r="Q2661" i="16"/>
  <c r="Q2659" i="16"/>
  <c r="Q2657" i="16"/>
  <c r="Q2655" i="16"/>
  <c r="Q2653" i="16"/>
  <c r="Q2651" i="16"/>
  <c r="Q2649" i="16"/>
  <c r="Q2647" i="16"/>
  <c r="Q2645" i="16"/>
  <c r="Q2643" i="16"/>
  <c r="Q2641" i="16"/>
  <c r="Q2639" i="16"/>
  <c r="Q2637" i="16"/>
  <c r="Q2635" i="16"/>
  <c r="Q2633" i="16"/>
  <c r="Q2631" i="16"/>
  <c r="Q2629" i="16"/>
  <c r="Q2627" i="16"/>
  <c r="Q2625" i="16"/>
  <c r="Q2623" i="16"/>
  <c r="Q2621" i="16"/>
  <c r="Q2619" i="16"/>
  <c r="Q2617" i="16"/>
  <c r="Q2615" i="16"/>
  <c r="Q2613" i="16"/>
  <c r="Q2611" i="16"/>
  <c r="Q2609" i="16"/>
  <c r="Q2607" i="16"/>
  <c r="Q2605" i="16"/>
  <c r="Q2603" i="16"/>
  <c r="Q2601" i="16"/>
  <c r="Q2599" i="16"/>
  <c r="Q2597" i="16"/>
  <c r="Q2595" i="16"/>
  <c r="Q2593" i="16"/>
  <c r="Q2591" i="16"/>
  <c r="Q2589" i="16"/>
  <c r="Q2587" i="16"/>
  <c r="Q2585" i="16"/>
  <c r="Q2583" i="16"/>
  <c r="Q2581" i="16"/>
  <c r="Q2579" i="16"/>
  <c r="Q2577" i="16"/>
  <c r="Q2575" i="16"/>
  <c r="Q2573" i="16"/>
  <c r="Q2571" i="16"/>
  <c r="Q2569" i="16"/>
  <c r="Q2567" i="16"/>
  <c r="Q2565" i="16"/>
  <c r="Q2563" i="16"/>
  <c r="Q2561" i="16"/>
  <c r="Q2559" i="16"/>
  <c r="Q2557" i="16"/>
  <c r="Q2555" i="16"/>
  <c r="Q2553" i="16"/>
  <c r="Q2551" i="16"/>
  <c r="Q2549" i="16"/>
  <c r="Q2547" i="16"/>
  <c r="Q2545" i="16"/>
  <c r="Q2543" i="16"/>
  <c r="Q2541" i="16"/>
  <c r="Q2539" i="16"/>
  <c r="Q2537" i="16"/>
  <c r="Q2535" i="16"/>
  <c r="Q2533" i="16"/>
  <c r="Q2531" i="16"/>
  <c r="Q2529" i="16"/>
  <c r="Q2527" i="16"/>
  <c r="Q2525" i="16"/>
  <c r="Q2523" i="16"/>
  <c r="Q2521" i="16"/>
  <c r="Q2519" i="16"/>
  <c r="Q2517" i="16"/>
  <c r="Q2515" i="16"/>
  <c r="Q2513" i="16"/>
  <c r="Q2511" i="16"/>
  <c r="Q2509" i="16"/>
  <c r="Q2507" i="16"/>
  <c r="Q2505" i="16"/>
  <c r="Q2503" i="16"/>
  <c r="Q2501" i="16"/>
  <c r="Q2499" i="16"/>
  <c r="Q2497" i="16"/>
  <c r="Q2495" i="16"/>
  <c r="Q2493" i="16"/>
  <c r="Q2491" i="16"/>
  <c r="Q2489" i="16"/>
  <c r="Q2487" i="16"/>
  <c r="Q2485" i="16"/>
  <c r="Q2483" i="16"/>
  <c r="Q2481" i="16"/>
  <c r="Q2479" i="16"/>
  <c r="Q2477" i="16"/>
  <c r="Q2475" i="16"/>
  <c r="Q2473" i="16"/>
  <c r="Q2471" i="16"/>
  <c r="Q2469" i="16"/>
  <c r="Q2467" i="16"/>
  <c r="Q2465" i="16"/>
  <c r="Q2463" i="16"/>
  <c r="Q2461" i="16"/>
  <c r="Q2459" i="16"/>
  <c r="Q2457" i="16"/>
  <c r="Q2455" i="16"/>
  <c r="Q2453" i="16"/>
  <c r="Q2451" i="16"/>
  <c r="Q2449" i="16"/>
  <c r="Q2447" i="16"/>
  <c r="Q2445" i="16"/>
  <c r="Q2443" i="16"/>
  <c r="Q2441" i="16"/>
  <c r="Q2439" i="16"/>
  <c r="Q2437" i="16"/>
  <c r="Q2435" i="16"/>
  <c r="Q2433" i="16"/>
  <c r="Q2431" i="16"/>
  <c r="Q2429" i="16"/>
  <c r="Q2427" i="16"/>
  <c r="Q2425" i="16"/>
  <c r="Q2423" i="16"/>
  <c r="Q2421" i="16"/>
  <c r="Q2419" i="16"/>
  <c r="Q2417" i="16"/>
  <c r="Q2415" i="16"/>
  <c r="Q2413" i="16"/>
  <c r="Q2411" i="16"/>
  <c r="Q2409" i="16"/>
  <c r="Q2407" i="16"/>
  <c r="Q2405" i="16"/>
  <c r="Q2403" i="16"/>
  <c r="Q2401" i="16"/>
  <c r="Q2399" i="16"/>
  <c r="Q2397" i="16"/>
  <c r="Q2395" i="16"/>
  <c r="Q2393" i="16"/>
  <c r="Q2391" i="16"/>
  <c r="Q2389" i="16"/>
  <c r="Q2387" i="16"/>
  <c r="Q2385" i="16"/>
  <c r="Q2383" i="16"/>
  <c r="Q2381" i="16"/>
  <c r="Q2379" i="16"/>
  <c r="Q2377" i="16"/>
  <c r="Q2375" i="16"/>
  <c r="Q2373" i="16"/>
  <c r="Q2371" i="16"/>
  <c r="Q2369" i="16"/>
  <c r="Q2367" i="16"/>
  <c r="Q2365" i="16"/>
  <c r="Q2363" i="16"/>
  <c r="Q2361" i="16"/>
  <c r="Q2359" i="16"/>
  <c r="Q2357" i="16"/>
  <c r="Q2355" i="16"/>
  <c r="Q2353" i="16"/>
  <c r="Q2351" i="16"/>
  <c r="Q2349" i="16"/>
  <c r="Q2347" i="16"/>
  <c r="Q2345" i="16"/>
  <c r="Q2343" i="16"/>
  <c r="Q2341" i="16"/>
  <c r="Q2339" i="16"/>
  <c r="Q2337" i="16"/>
  <c r="Q2335" i="16"/>
  <c r="Q2333" i="16"/>
  <c r="Q2331" i="16"/>
  <c r="Q2329" i="16"/>
  <c r="Q2327" i="16"/>
  <c r="Q2325" i="16"/>
  <c r="Q2323" i="16"/>
  <c r="Q2321" i="16"/>
  <c r="Q2319" i="16"/>
  <c r="Q2317" i="16"/>
  <c r="Q2315" i="16"/>
  <c r="Q2313" i="16"/>
  <c r="Q2311" i="16"/>
  <c r="Q2309" i="16"/>
  <c r="Q2307" i="16"/>
  <c r="Q2305" i="16"/>
  <c r="Q2303" i="16"/>
  <c r="Q2301" i="16"/>
  <c r="Q2299" i="16"/>
  <c r="Q2297" i="16"/>
  <c r="Q2295" i="16"/>
  <c r="Q2293" i="16"/>
  <c r="Q2291" i="16"/>
  <c r="Q2289" i="16"/>
  <c r="Q2287" i="16"/>
  <c r="Q2285" i="16"/>
  <c r="Q2283" i="16"/>
  <c r="Q2281" i="16"/>
  <c r="Q2279" i="16"/>
  <c r="Q2277" i="16"/>
  <c r="Q2275" i="16"/>
  <c r="Q2273" i="16"/>
  <c r="Q2271" i="16"/>
  <c r="Q2269" i="16"/>
  <c r="Q2267" i="16"/>
  <c r="Q2265" i="16"/>
  <c r="Q2263" i="16"/>
  <c r="Q2261" i="16"/>
  <c r="Q2259" i="16"/>
  <c r="Q2257" i="16"/>
  <c r="Q2255" i="16"/>
  <c r="Q2253" i="16"/>
  <c r="Q2251" i="16"/>
  <c r="Q2249" i="16"/>
  <c r="Q2247" i="16"/>
  <c r="Q2245" i="16"/>
  <c r="Q2243" i="16"/>
  <c r="Q2241" i="16"/>
  <c r="Q2239" i="16"/>
  <c r="Q2237" i="16"/>
  <c r="Q2235" i="16"/>
  <c r="Q2233" i="16"/>
  <c r="Q2231" i="16"/>
  <c r="Q2229" i="16"/>
  <c r="Q2227" i="16"/>
  <c r="Q2225" i="16"/>
  <c r="Q2223" i="16"/>
  <c r="Q2221" i="16"/>
  <c r="Q2219" i="16"/>
  <c r="Q2217" i="16"/>
  <c r="Q2215" i="16"/>
  <c r="Q2213" i="16"/>
  <c r="Q2211" i="16"/>
  <c r="Q2209" i="16"/>
  <c r="Q2207" i="16"/>
  <c r="Q2205" i="16"/>
  <c r="Q2203" i="16"/>
  <c r="Q2201" i="16"/>
  <c r="Q2199" i="16"/>
  <c r="Q2197" i="16"/>
  <c r="Q2195" i="16"/>
  <c r="Q2193" i="16"/>
  <c r="Q2191" i="16"/>
  <c r="Q2189" i="16"/>
  <c r="Q2187" i="16"/>
  <c r="Q2185" i="16"/>
  <c r="Q2183" i="16"/>
  <c r="Q2181" i="16"/>
  <c r="Q2179" i="16"/>
  <c r="Q2177" i="16"/>
  <c r="Q2175" i="16"/>
  <c r="Q2173" i="16"/>
  <c r="Q2171" i="16"/>
  <c r="Q2169" i="16"/>
  <c r="Q2167" i="16"/>
  <c r="Q2165" i="16"/>
  <c r="Q2163" i="16"/>
  <c r="Q2161" i="16"/>
  <c r="Q2159" i="16"/>
  <c r="Q2157" i="16"/>
  <c r="Q2155" i="16"/>
  <c r="Q2153" i="16"/>
  <c r="Q2151" i="16"/>
  <c r="Q2149" i="16"/>
  <c r="Q2147" i="16"/>
  <c r="Q2145" i="16"/>
  <c r="Q2143" i="16"/>
  <c r="Q2141" i="16"/>
  <c r="Q2139" i="16"/>
  <c r="Q2137" i="16"/>
  <c r="Q2135" i="16"/>
  <c r="Q2133" i="16"/>
  <c r="Q2131" i="16"/>
  <c r="Q2129" i="16"/>
  <c r="Q2127" i="16"/>
  <c r="Q2125" i="16"/>
  <c r="Q2123" i="16"/>
  <c r="Q2121" i="16"/>
  <c r="Q2119" i="16"/>
  <c r="Q2117" i="16"/>
  <c r="Q2115" i="16"/>
  <c r="Q2113" i="16"/>
  <c r="Q2111" i="16"/>
  <c r="Q2109" i="16"/>
  <c r="Q2107" i="16"/>
  <c r="Q2105" i="16"/>
  <c r="Q2103" i="16"/>
  <c r="Q2101" i="16"/>
  <c r="Q2099" i="16"/>
  <c r="Q2097" i="16"/>
  <c r="Q2095" i="16"/>
  <c r="Q2093" i="16"/>
  <c r="Q2091" i="16"/>
  <c r="Q2089" i="16"/>
  <c r="Q2087" i="16"/>
  <c r="Q2085" i="16"/>
  <c r="Q2083" i="16"/>
  <c r="Q2081" i="16"/>
  <c r="Q2079" i="16"/>
  <c r="Q2077" i="16"/>
  <c r="Q2075" i="16"/>
  <c r="Q2073" i="16"/>
  <c r="Q2071" i="16"/>
  <c r="Q2069" i="16"/>
  <c r="Q2067" i="16"/>
  <c r="Q2065" i="16"/>
  <c r="Q2063" i="16"/>
  <c r="Q2061" i="16"/>
  <c r="Q2059" i="16"/>
  <c r="Q2057" i="16"/>
  <c r="Q2055" i="16"/>
  <c r="Q2053" i="16"/>
  <c r="Q2051" i="16"/>
  <c r="Q2049" i="16"/>
  <c r="Q2047" i="16"/>
  <c r="Q2045" i="16"/>
  <c r="Q2043" i="16"/>
  <c r="Q2041" i="16"/>
  <c r="Q2039" i="16"/>
  <c r="Q2037" i="16"/>
  <c r="Q2035" i="16"/>
  <c r="Q2033" i="16"/>
  <c r="Q2031" i="16"/>
  <c r="Q2029" i="16"/>
  <c r="Q2027" i="16"/>
  <c r="Q2025" i="16"/>
  <c r="Q2023" i="16"/>
  <c r="Q2021" i="16"/>
  <c r="Q2019" i="16"/>
  <c r="Q2017" i="16"/>
  <c r="Q2015" i="16"/>
  <c r="Q2013" i="16"/>
  <c r="Q2011" i="16"/>
  <c r="Q4154" i="16"/>
  <c r="Q4152" i="16"/>
  <c r="Q4150" i="16"/>
  <c r="Q4148" i="16"/>
  <c r="Q4146" i="16"/>
  <c r="Q4144" i="16"/>
  <c r="Q4142" i="16"/>
  <c r="Q4140" i="16"/>
  <c r="Q4138" i="16"/>
  <c r="Q4136" i="16"/>
  <c r="Q4134" i="16"/>
  <c r="Q4132" i="16"/>
  <c r="Q4130" i="16"/>
  <c r="Q4128" i="16"/>
  <c r="Q4126" i="16"/>
  <c r="Q4124" i="16"/>
  <c r="Q4122" i="16"/>
  <c r="Q4120" i="16"/>
  <c r="Q4118" i="16"/>
  <c r="Q4116" i="16"/>
  <c r="Q4114" i="16"/>
  <c r="Q4112" i="16"/>
  <c r="Q4110" i="16"/>
  <c r="Q4108" i="16"/>
  <c r="Q4106" i="16"/>
  <c r="Q4104" i="16"/>
  <c r="Q4102" i="16"/>
  <c r="Q4100" i="16"/>
  <c r="Q4098" i="16"/>
  <c r="Q4096" i="16"/>
  <c r="Q4094" i="16"/>
  <c r="Q4092" i="16"/>
  <c r="Q4090" i="16"/>
  <c r="Q4088" i="16"/>
  <c r="Q4086" i="16"/>
  <c r="Q4084" i="16"/>
  <c r="Q4082" i="16"/>
  <c r="Q4080" i="16"/>
  <c r="Q4078" i="16"/>
  <c r="Q4076" i="16"/>
  <c r="Q4074" i="16"/>
  <c r="Q4072" i="16"/>
  <c r="Q4070" i="16"/>
  <c r="Q4068" i="16"/>
  <c r="Q4066" i="16"/>
  <c r="Q4064" i="16"/>
  <c r="Q4062" i="16"/>
  <c r="Q4060" i="16"/>
  <c r="Q4058" i="16"/>
  <c r="Q4056" i="16"/>
  <c r="Q4054" i="16"/>
  <c r="Q4052" i="16"/>
  <c r="Q4050" i="16"/>
  <c r="Q4048" i="16"/>
  <c r="Q4046" i="16"/>
  <c r="Q4044" i="16"/>
  <c r="Q4042" i="16"/>
  <c r="Q4040" i="16"/>
  <c r="Q4038" i="16"/>
  <c r="Q4036" i="16"/>
  <c r="Q4034" i="16"/>
  <c r="Q4032" i="16"/>
  <c r="Q4030" i="16"/>
  <c r="Q4028" i="16"/>
  <c r="Q4026" i="16"/>
  <c r="Q4024" i="16"/>
  <c r="Q4022" i="16"/>
  <c r="Q4020" i="16"/>
  <c r="Q4018" i="16"/>
  <c r="Q4016" i="16"/>
  <c r="Q4014" i="16"/>
  <c r="Q4012" i="16"/>
  <c r="Q4010" i="16"/>
  <c r="Q4008" i="16"/>
  <c r="Q4006" i="16"/>
  <c r="Q4004" i="16"/>
  <c r="Q4002" i="16"/>
  <c r="Q4000" i="16"/>
  <c r="Q3998" i="16"/>
  <c r="Q3996" i="16"/>
  <c r="Q3994" i="16"/>
  <c r="Q3992" i="16"/>
  <c r="Q3990" i="16"/>
  <c r="Q3988" i="16"/>
  <c r="Q3986" i="16"/>
  <c r="Q3984" i="16"/>
  <c r="Q3982" i="16"/>
  <c r="Q3980" i="16"/>
  <c r="Q3978" i="16"/>
  <c r="Q3976" i="16"/>
  <c r="Q3974" i="16"/>
  <c r="Q3972" i="16"/>
  <c r="Q3970" i="16"/>
  <c r="Q3968" i="16"/>
  <c r="Q3966" i="16"/>
  <c r="Q3964" i="16"/>
  <c r="Q3962" i="16"/>
  <c r="Q3960" i="16"/>
  <c r="Q3958" i="16"/>
  <c r="Q3956" i="16"/>
  <c r="Q3954" i="16"/>
  <c r="Q3952" i="16"/>
  <c r="Q3950" i="16"/>
  <c r="Q3948" i="16"/>
  <c r="Q3946" i="16"/>
  <c r="Q3944" i="16"/>
  <c r="Q3942" i="16"/>
  <c r="Q3940" i="16"/>
  <c r="Q3938" i="16"/>
  <c r="Q3936" i="16"/>
  <c r="Q3934" i="16"/>
  <c r="Q3932" i="16"/>
  <c r="Q3930" i="16"/>
  <c r="Q3928" i="16"/>
  <c r="Q3926" i="16"/>
  <c r="Q3924" i="16"/>
  <c r="Q3922" i="16"/>
  <c r="Q3920" i="16"/>
  <c r="Q3918" i="16"/>
  <c r="Q3916" i="16"/>
  <c r="Q3914" i="16"/>
  <c r="Q3912" i="16"/>
  <c r="Q3910" i="16"/>
  <c r="Q3908" i="16"/>
  <c r="Q3906" i="16"/>
  <c r="Q3904" i="16"/>
  <c r="Q3902" i="16"/>
  <c r="Q3900" i="16"/>
  <c r="Q3898" i="16"/>
  <c r="Q3896" i="16"/>
  <c r="Q3894" i="16"/>
  <c r="Q3892" i="16"/>
  <c r="Q3890" i="16"/>
  <c r="Q3888" i="16"/>
  <c r="Q3886" i="16"/>
  <c r="Q3884" i="16"/>
  <c r="Q3882" i="16"/>
  <c r="Q3880" i="16"/>
  <c r="Q3878" i="16"/>
  <c r="Q3876" i="16"/>
  <c r="Q3874" i="16"/>
  <c r="Q3872" i="16"/>
  <c r="Q3870" i="16"/>
  <c r="Q3868" i="16"/>
  <c r="Q3866" i="16"/>
  <c r="Q3864" i="16"/>
  <c r="Q3862" i="16"/>
  <c r="Q3860" i="16"/>
  <c r="Q3858" i="16"/>
  <c r="Q3856" i="16"/>
  <c r="Q3854" i="16"/>
  <c r="Q3852" i="16"/>
  <c r="Q3850" i="16"/>
  <c r="Q3848" i="16"/>
  <c r="Q3846" i="16"/>
  <c r="Q3844" i="16"/>
  <c r="Q3842" i="16"/>
  <c r="Q3840" i="16"/>
  <c r="Q3838" i="16"/>
  <c r="Q3836" i="16"/>
  <c r="Q3834" i="16"/>
  <c r="Q3832" i="16"/>
  <c r="Q3830" i="16"/>
  <c r="Q3828" i="16"/>
  <c r="Q3826" i="16"/>
  <c r="Q3824" i="16"/>
  <c r="Q3822" i="16"/>
  <c r="Q3820" i="16"/>
  <c r="Q3818" i="16"/>
  <c r="Q3816" i="16"/>
  <c r="Q3814" i="16"/>
  <c r="Q3812" i="16"/>
  <c r="Q3810" i="16"/>
  <c r="Q3808" i="16"/>
  <c r="Q3806" i="16"/>
  <c r="Q3804" i="16"/>
  <c r="Q3802" i="16"/>
  <c r="Q3800" i="16"/>
  <c r="Q3798" i="16"/>
  <c r="Q3796" i="16"/>
  <c r="Q3794" i="16"/>
  <c r="Q3792" i="16"/>
  <c r="Q3790" i="16"/>
  <c r="Q3788" i="16"/>
  <c r="Q3786" i="16"/>
  <c r="Q3784" i="16"/>
  <c r="Q3782" i="16"/>
  <c r="Q3780" i="16"/>
  <c r="Q3778" i="16"/>
  <c r="Q3776" i="16"/>
  <c r="Q3774" i="16"/>
  <c r="Q3772" i="16"/>
  <c r="Q3770" i="16"/>
  <c r="Q3768" i="16"/>
  <c r="Q3766" i="16"/>
  <c r="Q3764" i="16"/>
  <c r="Q3762" i="16"/>
  <c r="Q3760" i="16"/>
  <c r="Q3758" i="16"/>
  <c r="Q3756" i="16"/>
  <c r="Q3754" i="16"/>
  <c r="Q3752" i="16"/>
  <c r="Q3750" i="16"/>
  <c r="Q3748" i="16"/>
  <c r="Q3746" i="16"/>
  <c r="Q3744" i="16"/>
  <c r="Q3742" i="16"/>
  <c r="Q3740" i="16"/>
  <c r="Q3738" i="16"/>
  <c r="Q3736" i="16"/>
  <c r="Q3734" i="16"/>
  <c r="Q3732" i="16"/>
  <c r="Q3730" i="16"/>
  <c r="Q3728" i="16"/>
  <c r="Q3726" i="16"/>
  <c r="Q3724" i="16"/>
  <c r="Q3722" i="16"/>
  <c r="Q3720" i="16"/>
  <c r="Q3718" i="16"/>
  <c r="Q3716" i="16"/>
  <c r="Q3714" i="16"/>
  <c r="Q3712" i="16"/>
  <c r="Q3710" i="16"/>
  <c r="Q3708" i="16"/>
  <c r="Q3706" i="16"/>
  <c r="Q3704" i="16"/>
  <c r="Q3702" i="16"/>
  <c r="Q3700" i="16"/>
  <c r="Q3698" i="16"/>
  <c r="Q3696" i="16"/>
  <c r="Q3694" i="16"/>
  <c r="Q3692" i="16"/>
  <c r="Q3690" i="16"/>
  <c r="Q3688" i="16"/>
  <c r="Q3686" i="16"/>
  <c r="Q3684" i="16"/>
  <c r="Q3682" i="16"/>
  <c r="Q3680" i="16"/>
  <c r="Q3678" i="16"/>
  <c r="Q3676" i="16"/>
  <c r="Q3674" i="16"/>
  <c r="Q3672" i="16"/>
  <c r="Q3670" i="16"/>
  <c r="Q3668" i="16"/>
  <c r="Q3666" i="16"/>
  <c r="Q3664" i="16"/>
  <c r="Q3662" i="16"/>
  <c r="Q3660" i="16"/>
  <c r="Q3658" i="16"/>
  <c r="Q3656" i="16"/>
  <c r="Q3654" i="16"/>
  <c r="Q3652" i="16"/>
  <c r="Q3650" i="16"/>
  <c r="Q3648" i="16"/>
  <c r="Q3646" i="16"/>
  <c r="Q3644" i="16"/>
  <c r="Q3642" i="16"/>
  <c r="Q3640" i="16"/>
  <c r="Q3638" i="16"/>
  <c r="Q3636" i="16"/>
  <c r="Q3634" i="16"/>
  <c r="Q3632" i="16"/>
  <c r="Q3630" i="16"/>
  <c r="Q3628" i="16"/>
  <c r="Q3626" i="16"/>
  <c r="Q3624" i="16"/>
  <c r="Q3622" i="16"/>
  <c r="Q3620" i="16"/>
  <c r="Q3618" i="16"/>
  <c r="Q3616" i="16"/>
  <c r="Q3614" i="16"/>
  <c r="Q3612" i="16"/>
  <c r="Q3610" i="16"/>
  <c r="Q3608" i="16"/>
  <c r="Q3606" i="16"/>
  <c r="Q3604" i="16"/>
  <c r="Q3602" i="16"/>
  <c r="Q3600" i="16"/>
  <c r="Q3598" i="16"/>
  <c r="Q3596" i="16"/>
  <c r="Q3594" i="16"/>
  <c r="Q3592" i="16"/>
  <c r="Q3590" i="16"/>
  <c r="Q3588" i="16"/>
  <c r="Q3586" i="16"/>
  <c r="Q3584" i="16"/>
  <c r="Q3582" i="16"/>
  <c r="Q3580" i="16"/>
  <c r="Q3578" i="16"/>
  <c r="Q3576" i="16"/>
  <c r="Q3574" i="16"/>
  <c r="Q3572" i="16"/>
  <c r="Q3570" i="16"/>
  <c r="Q3568" i="16"/>
  <c r="Q3566" i="16"/>
  <c r="Q3564" i="16"/>
  <c r="Q3562" i="16"/>
  <c r="Q3560" i="16"/>
  <c r="Q3558" i="16"/>
  <c r="Q3556" i="16"/>
  <c r="Q3554" i="16"/>
  <c r="Q3552" i="16"/>
  <c r="Q3550" i="16"/>
  <c r="Q3548" i="16"/>
  <c r="Q3546" i="16"/>
  <c r="Q3544" i="16"/>
  <c r="Q3542" i="16"/>
  <c r="Q3540" i="16"/>
  <c r="Q3538" i="16"/>
  <c r="Q3536" i="16"/>
  <c r="Q3534" i="16"/>
  <c r="Q3532" i="16"/>
  <c r="Q3530" i="16"/>
  <c r="Q3528" i="16"/>
  <c r="Q3526" i="16"/>
  <c r="Q3524" i="16"/>
  <c r="Q3522" i="16"/>
  <c r="Q3520" i="16"/>
  <c r="Q3518" i="16"/>
  <c r="Q3516" i="16"/>
  <c r="Q3514" i="16"/>
  <c r="Q3512" i="16"/>
  <c r="Q3510" i="16"/>
  <c r="Q3508" i="16"/>
  <c r="Q3506" i="16"/>
  <c r="Q3504" i="16"/>
  <c r="Q3502" i="16"/>
  <c r="Q3500" i="16"/>
  <c r="Q3498" i="16"/>
  <c r="Q3496" i="16"/>
  <c r="Q3494" i="16"/>
  <c r="Q3492" i="16"/>
  <c r="Q3490" i="16"/>
  <c r="Q3488" i="16"/>
  <c r="Q3486" i="16"/>
  <c r="Q3484" i="16"/>
  <c r="Q3482" i="16"/>
  <c r="Q3480" i="16"/>
  <c r="Q3478" i="16"/>
  <c r="Q3476" i="16"/>
  <c r="Q3474" i="16"/>
  <c r="Q3472" i="16"/>
  <c r="Q3470" i="16"/>
  <c r="Q3468" i="16"/>
  <c r="Q3466" i="16"/>
  <c r="Q3464" i="16"/>
  <c r="Q3462" i="16"/>
  <c r="Q3460" i="16"/>
  <c r="Q3458" i="16"/>
  <c r="Q3456" i="16"/>
  <c r="Q3454" i="16"/>
  <c r="Q3452" i="16"/>
  <c r="Q3450" i="16"/>
  <c r="Q3448" i="16"/>
  <c r="Q3446" i="16"/>
  <c r="Q3444" i="16"/>
  <c r="Q3442" i="16"/>
  <c r="Q3440" i="16"/>
  <c r="Q3438" i="16"/>
  <c r="Q3436" i="16"/>
  <c r="Q3434" i="16"/>
  <c r="Q3432" i="16"/>
  <c r="Q3430" i="16"/>
  <c r="Q3428" i="16"/>
  <c r="Q3426" i="16"/>
  <c r="Q3424" i="16"/>
  <c r="Q3422" i="16"/>
  <c r="Q3420" i="16"/>
  <c r="Q3418" i="16"/>
  <c r="Q3416" i="16"/>
  <c r="Q3414" i="16"/>
  <c r="Q3412" i="16"/>
  <c r="Q3410" i="16"/>
  <c r="Q3408" i="16"/>
  <c r="Q3406" i="16"/>
  <c r="Q3404" i="16"/>
  <c r="Q3402" i="16"/>
  <c r="Q3400" i="16"/>
  <c r="Q3398" i="16"/>
  <c r="Q3396" i="16"/>
  <c r="Q3394" i="16"/>
  <c r="Q3392" i="16"/>
  <c r="Q3390" i="16"/>
  <c r="Q3388" i="16"/>
  <c r="Q3386" i="16"/>
  <c r="Q3384" i="16"/>
  <c r="Q3382" i="16"/>
  <c r="Q3380" i="16"/>
  <c r="Q3378" i="16"/>
  <c r="Q3376" i="16"/>
  <c r="Q3374" i="16"/>
  <c r="Q3372" i="16"/>
  <c r="Q3370" i="16"/>
  <c r="Q3368" i="16"/>
  <c r="Q3366" i="16"/>
  <c r="Q3364" i="16"/>
  <c r="Q3362" i="16"/>
  <c r="Q3360" i="16"/>
  <c r="Q3358" i="16"/>
  <c r="Q3356" i="16"/>
  <c r="Q3354" i="16"/>
  <c r="Q3352" i="16"/>
  <c r="Q3350" i="16"/>
  <c r="Q3348" i="16"/>
  <c r="Q3346" i="16"/>
  <c r="Q3344" i="16"/>
  <c r="Q3342" i="16"/>
  <c r="Q3340" i="16"/>
  <c r="Q3338" i="16"/>
  <c r="Q3336" i="16"/>
  <c r="Q3334" i="16"/>
  <c r="Q3332" i="16"/>
  <c r="Q3330" i="16"/>
  <c r="Q3328" i="16"/>
  <c r="Q3326" i="16"/>
  <c r="Q3324" i="16"/>
  <c r="Q3322" i="16"/>
  <c r="Q3320" i="16"/>
  <c r="Q3318" i="16"/>
  <c r="Q3316" i="16"/>
  <c r="Q3314" i="16"/>
  <c r="Q3312" i="16"/>
  <c r="Q3310" i="16"/>
  <c r="Q3308" i="16"/>
  <c r="Q3306" i="16"/>
  <c r="Q3304" i="16"/>
  <c r="Q3302" i="16"/>
  <c r="Q3300" i="16"/>
  <c r="Q3298" i="16"/>
  <c r="Q3296" i="16"/>
  <c r="Q3294" i="16"/>
  <c r="Q3292" i="16"/>
  <c r="Q3290" i="16"/>
  <c r="Q3288" i="16"/>
  <c r="Q3286" i="16"/>
  <c r="Q3284" i="16"/>
  <c r="Q3282" i="16"/>
  <c r="Q3280" i="16"/>
  <c r="Q3278" i="16"/>
  <c r="Q3276" i="16"/>
  <c r="Q3274" i="16"/>
  <c r="Q3272" i="16"/>
  <c r="Q3270" i="16"/>
  <c r="Q3268" i="16"/>
  <c r="Q3266" i="16"/>
  <c r="Q3264" i="16"/>
  <c r="Q3262" i="16"/>
  <c r="Q3260" i="16"/>
  <c r="Q3258" i="16"/>
  <c r="Q3256" i="16"/>
  <c r="Q3254" i="16"/>
  <c r="Q3252" i="16"/>
  <c r="Q3250" i="16"/>
  <c r="Q3248" i="16"/>
  <c r="Q3246" i="16"/>
  <c r="Q3244" i="16"/>
  <c r="Q3242" i="16"/>
  <c r="Q3240" i="16"/>
  <c r="Q3238" i="16"/>
  <c r="Q3236" i="16"/>
  <c r="Q3234" i="16"/>
  <c r="Q3232" i="16"/>
  <c r="Q3230" i="16"/>
  <c r="Q3228" i="16"/>
  <c r="Q3226" i="16"/>
  <c r="Q3224" i="16"/>
  <c r="Q3222" i="16"/>
  <c r="Q3220" i="16"/>
  <c r="Q3218" i="16"/>
  <c r="Q3216" i="16"/>
  <c r="Q3214" i="16"/>
  <c r="Q3212" i="16"/>
  <c r="Q3210" i="16"/>
  <c r="Q3208" i="16"/>
  <c r="Q3206" i="16"/>
  <c r="Q3204" i="16"/>
  <c r="Q3202" i="16"/>
  <c r="Q3200" i="16"/>
  <c r="Q3198" i="16"/>
  <c r="Q3196" i="16"/>
  <c r="Q3194" i="16"/>
  <c r="Q3192" i="16"/>
  <c r="Q3190" i="16"/>
  <c r="Q3188" i="16"/>
  <c r="Q3186" i="16"/>
  <c r="Q3184" i="16"/>
  <c r="Q3182" i="16"/>
  <c r="Q3180" i="16"/>
  <c r="Q3178" i="16"/>
  <c r="Q3176" i="16"/>
  <c r="Q3174" i="16"/>
  <c r="Q3172" i="16"/>
  <c r="Q3170" i="16"/>
  <c r="Q3168" i="16"/>
  <c r="Q3166" i="16"/>
  <c r="Q3164" i="16"/>
  <c r="Q3162" i="16"/>
  <c r="Q3160" i="16"/>
  <c r="Q3158" i="16"/>
  <c r="Q3156" i="16"/>
  <c r="Q3154" i="16"/>
  <c r="Q3152" i="16"/>
  <c r="Q3150" i="16"/>
  <c r="Q3148" i="16"/>
  <c r="Q3146" i="16"/>
  <c r="Q3144" i="16"/>
  <c r="Q3142" i="16"/>
  <c r="Q3140" i="16"/>
  <c r="Q3138" i="16"/>
  <c r="Q3136" i="16"/>
  <c r="Q3134" i="16"/>
  <c r="Q3132" i="16"/>
  <c r="Q3130" i="16"/>
  <c r="Q3128" i="16"/>
  <c r="Q3126" i="16"/>
  <c r="Q3124" i="16"/>
  <c r="Q3122" i="16"/>
  <c r="Q3120" i="16"/>
  <c r="Q3118" i="16"/>
  <c r="Q3116" i="16"/>
  <c r="Q3114" i="16"/>
  <c r="Q3112" i="16"/>
  <c r="Q3110" i="16"/>
  <c r="Q3108" i="16"/>
  <c r="Q3106" i="16"/>
  <c r="Q3104" i="16"/>
  <c r="Q3102" i="16"/>
  <c r="Q3100" i="16"/>
  <c r="Q3098" i="16"/>
  <c r="Q3096" i="16"/>
  <c r="Q3094" i="16"/>
  <c r="Q3092" i="16"/>
  <c r="Q3090" i="16"/>
  <c r="Q3088" i="16"/>
  <c r="Q3086" i="16"/>
  <c r="Q3084" i="16"/>
  <c r="Q3082" i="16"/>
  <c r="Q3080" i="16"/>
  <c r="Q3078" i="16"/>
  <c r="Q3076" i="16"/>
  <c r="Q3074" i="16"/>
  <c r="Q3072" i="16"/>
  <c r="Q3070" i="16"/>
  <c r="Q3068" i="16"/>
  <c r="Q3066" i="16"/>
  <c r="Q3064" i="16"/>
  <c r="Q3062" i="16"/>
  <c r="Q3060" i="16"/>
  <c r="Q3058" i="16"/>
  <c r="Q3056" i="16"/>
  <c r="Q3054" i="16"/>
  <c r="Q3052" i="16"/>
  <c r="Q3050" i="16"/>
  <c r="Q3048" i="16"/>
  <c r="Q3046" i="16"/>
  <c r="Q3044" i="16"/>
  <c r="Q3042" i="16"/>
  <c r="Q3040" i="16"/>
  <c r="Q3038" i="16"/>
  <c r="Q3036" i="16"/>
  <c r="Q3034" i="16"/>
  <c r="Q3032" i="16"/>
  <c r="Q3030" i="16"/>
  <c r="Q3028" i="16"/>
  <c r="Q3026" i="16"/>
  <c r="Q3024" i="16"/>
  <c r="Q3022" i="16"/>
  <c r="Q3020" i="16"/>
  <c r="Q3018" i="16"/>
  <c r="Q3016" i="16"/>
  <c r="Q3014" i="16"/>
  <c r="Q3012" i="16"/>
  <c r="Q3010" i="16"/>
  <c r="Q3008" i="16"/>
  <c r="Q3006" i="16"/>
  <c r="Q3004" i="16"/>
  <c r="Q3002" i="16"/>
  <c r="Q3000" i="16"/>
  <c r="Q2998" i="16"/>
  <c r="Q2996" i="16"/>
  <c r="Q2994" i="16"/>
  <c r="Q2992" i="16"/>
  <c r="Q2990" i="16"/>
  <c r="Q2988" i="16"/>
  <c r="Q2986" i="16"/>
  <c r="Q2984" i="16"/>
  <c r="Q2982" i="16"/>
  <c r="Q2980" i="16"/>
  <c r="Q2978" i="16"/>
  <c r="Q2976" i="16"/>
  <c r="Q2974" i="16"/>
  <c r="Q2972" i="16"/>
  <c r="Q2970" i="16"/>
  <c r="Q2968" i="16"/>
  <c r="Q2966" i="16"/>
  <c r="Q2964" i="16"/>
  <c r="Q2962" i="16"/>
  <c r="Q2960" i="16"/>
  <c r="Q2958" i="16"/>
  <c r="Q2956" i="16"/>
  <c r="Q2954" i="16"/>
  <c r="Q2952" i="16"/>
  <c r="Q2950" i="16"/>
  <c r="Q2948" i="16"/>
  <c r="Q2946" i="16"/>
  <c r="Q2944" i="16"/>
  <c r="Q2942" i="16"/>
  <c r="Q2940" i="16"/>
  <c r="Q2938" i="16"/>
  <c r="Q2936" i="16"/>
  <c r="Q2934" i="16"/>
  <c r="Q2932" i="16"/>
  <c r="Q2930" i="16"/>
  <c r="Q2928" i="16"/>
  <c r="Q2926" i="16"/>
  <c r="Q2924" i="16"/>
  <c r="Q2922" i="16"/>
  <c r="Q2920" i="16"/>
  <c r="Q2918" i="16"/>
  <c r="Q2916" i="16"/>
  <c r="Q2914" i="16"/>
  <c r="Q2912" i="16"/>
  <c r="Q2910" i="16"/>
  <c r="Q2908" i="16"/>
  <c r="Q2906" i="16"/>
  <c r="Q2904" i="16"/>
  <c r="Q2902" i="16"/>
  <c r="Q2900" i="16"/>
  <c r="Q2898" i="16"/>
  <c r="Q2896" i="16"/>
  <c r="Q2894" i="16"/>
  <c r="Q2892" i="16"/>
  <c r="Q2890" i="16"/>
  <c r="Q2888" i="16"/>
  <c r="Q2886" i="16"/>
  <c r="Q2884" i="16"/>
  <c r="Q2882" i="16"/>
  <c r="Q2880" i="16"/>
  <c r="Q2878" i="16"/>
  <c r="Q2876" i="16"/>
  <c r="Q2874" i="16"/>
  <c r="Q2872" i="16"/>
  <c r="Q2870" i="16"/>
  <c r="Q2868" i="16"/>
  <c r="Q2866" i="16"/>
  <c r="Q2864" i="16"/>
  <c r="Q2862" i="16"/>
  <c r="Q2860" i="16"/>
  <c r="Q2858" i="16"/>
  <c r="Q2856" i="16"/>
  <c r="Q2854" i="16"/>
  <c r="Q2852" i="16"/>
  <c r="Q2850" i="16"/>
  <c r="Q2848" i="16"/>
  <c r="Q2846" i="16"/>
  <c r="Q2844" i="16"/>
  <c r="Q2842" i="16"/>
  <c r="Q2840" i="16"/>
  <c r="Q2838" i="16"/>
  <c r="Q2836" i="16"/>
  <c r="Q2834" i="16"/>
  <c r="Q2832" i="16"/>
  <c r="Q2830" i="16"/>
  <c r="Q2828" i="16"/>
  <c r="Q2826" i="16"/>
  <c r="Q2824" i="16"/>
  <c r="Q2822" i="16"/>
  <c r="Q2820" i="16"/>
  <c r="Q2818" i="16"/>
  <c r="Q2816" i="16"/>
  <c r="Q2814" i="16"/>
  <c r="Q2812" i="16"/>
  <c r="Q2810" i="16"/>
  <c r="Q2808" i="16"/>
  <c r="Q2806" i="16"/>
  <c r="Q2804" i="16"/>
  <c r="Q2802" i="16"/>
  <c r="Q2800" i="16"/>
  <c r="Q2798" i="16"/>
  <c r="Q2796" i="16"/>
  <c r="Q2794" i="16"/>
  <c r="Q2792" i="16"/>
  <c r="Q2790" i="16"/>
  <c r="Q2788" i="16"/>
  <c r="Q2786" i="16"/>
  <c r="Q2784" i="16"/>
  <c r="Q2782" i="16"/>
  <c r="Q2780" i="16"/>
  <c r="Q2778" i="16"/>
  <c r="Q2776" i="16"/>
  <c r="Q2774" i="16"/>
  <c r="Q2772" i="16"/>
  <c r="Q2770" i="16"/>
  <c r="Q2768" i="16"/>
  <c r="Q2766" i="16"/>
  <c r="Q2764" i="16"/>
  <c r="Q2762" i="16"/>
  <c r="Q2760" i="16"/>
  <c r="Q2758" i="16"/>
  <c r="Q2756" i="16"/>
  <c r="Q2754" i="16"/>
  <c r="Q2752" i="16"/>
  <c r="Q2750" i="16"/>
  <c r="Q2748" i="16"/>
  <c r="Q2746" i="16"/>
  <c r="Q2744" i="16"/>
  <c r="Q2742" i="16"/>
  <c r="Q2740" i="16"/>
  <c r="Q2738" i="16"/>
  <c r="Q2736" i="16"/>
  <c r="Q2734" i="16"/>
  <c r="Q2732" i="16"/>
  <c r="Q2730" i="16"/>
  <c r="Q2728" i="16"/>
  <c r="Q2726" i="16"/>
  <c r="Q2724" i="16"/>
  <c r="Q2722" i="16"/>
  <c r="Q2720" i="16"/>
  <c r="Q2718" i="16"/>
  <c r="Q2716" i="16"/>
  <c r="Q2714" i="16"/>
  <c r="Q2712" i="16"/>
  <c r="Q2710" i="16"/>
  <c r="Q2708" i="16"/>
  <c r="Q2706" i="16"/>
  <c r="Q2704" i="16"/>
  <c r="Q2702" i="16"/>
  <c r="Q2700" i="16"/>
  <c r="Q2698" i="16"/>
  <c r="Q2696" i="16"/>
  <c r="Q2694" i="16"/>
  <c r="Q2692" i="16"/>
  <c r="Q2690" i="16"/>
  <c r="Q2688" i="16"/>
  <c r="Q2686" i="16"/>
  <c r="Q2684" i="16"/>
  <c r="Q2682" i="16"/>
  <c r="Q2680" i="16"/>
  <c r="Q2678" i="16"/>
  <c r="Q2676" i="16"/>
  <c r="Q2674" i="16"/>
  <c r="Q2672" i="16"/>
  <c r="Q2670" i="16"/>
  <c r="Q2668" i="16"/>
  <c r="Q2666" i="16"/>
  <c r="Q2664" i="16"/>
  <c r="Q2662" i="16"/>
  <c r="Q2660" i="16"/>
  <c r="Q2658" i="16"/>
  <c r="Q2656" i="16"/>
  <c r="Q2654" i="16"/>
  <c r="Q2652" i="16"/>
  <c r="Q2650" i="16"/>
  <c r="Q2648" i="16"/>
  <c r="Q2646" i="16"/>
  <c r="Q2644" i="16"/>
  <c r="Q2642" i="16"/>
  <c r="Q2640" i="16"/>
  <c r="Q2638" i="16"/>
  <c r="Q2636" i="16"/>
  <c r="Q2634" i="16"/>
  <c r="Q2632" i="16"/>
  <c r="Q2630" i="16"/>
  <c r="Q2628" i="16"/>
  <c r="Q2626" i="16"/>
  <c r="Q2624" i="16"/>
  <c r="Q2622" i="16"/>
  <c r="Q2620" i="16"/>
  <c r="Q2618" i="16"/>
  <c r="Q2616" i="16"/>
  <c r="Q2614" i="16"/>
  <c r="Q2612" i="16"/>
  <c r="Q2610" i="16"/>
  <c r="Q2608" i="16"/>
  <c r="Q2606" i="16"/>
  <c r="Q2604" i="16"/>
  <c r="Q2602" i="16"/>
  <c r="Q2600" i="16"/>
  <c r="Q2598" i="16"/>
  <c r="Q2596" i="16"/>
  <c r="Q2594" i="16"/>
  <c r="Q2592" i="16"/>
  <c r="Q2590" i="16"/>
  <c r="Q2588" i="16"/>
  <c r="Q2586" i="16"/>
  <c r="Q2584" i="16"/>
  <c r="Q2582" i="16"/>
  <c r="Q2580" i="16"/>
  <c r="Q2578" i="16"/>
  <c r="Q2576" i="16"/>
  <c r="Q2574" i="16"/>
  <c r="Q2572" i="16"/>
  <c r="Q2570" i="16"/>
  <c r="Q2568" i="16"/>
  <c r="Q2566" i="16"/>
  <c r="Q2564" i="16"/>
  <c r="Q2562" i="16"/>
  <c r="Q2560" i="16"/>
  <c r="Q2558" i="16"/>
  <c r="Q2556" i="16"/>
  <c r="Q2554" i="16"/>
  <c r="Q2552" i="16"/>
  <c r="Q2550" i="16"/>
  <c r="Q2548" i="16"/>
  <c r="Q2546" i="16"/>
  <c r="Q2544" i="16"/>
  <c r="Q2542" i="16"/>
  <c r="Q2540" i="16"/>
  <c r="Q2538" i="16"/>
  <c r="Q2536" i="16"/>
  <c r="Q2534" i="16"/>
  <c r="Q2532" i="16"/>
  <c r="Q2530" i="16"/>
  <c r="Q2528" i="16"/>
  <c r="Q2526" i="16"/>
  <c r="Q2524" i="16"/>
  <c r="Q2522" i="16"/>
  <c r="Q2520" i="16"/>
  <c r="Q2518" i="16"/>
  <c r="Q2516" i="16"/>
  <c r="Q2514" i="16"/>
  <c r="Q2512" i="16"/>
  <c r="Q2510" i="16"/>
  <c r="Q2508" i="16"/>
  <c r="Q2506" i="16"/>
  <c r="Q2504" i="16"/>
  <c r="Q2502" i="16"/>
  <c r="Q2500" i="16"/>
  <c r="Q2498" i="16"/>
  <c r="Q2496" i="16"/>
  <c r="Q2494" i="16"/>
  <c r="Q2492" i="16"/>
  <c r="Q2490" i="16"/>
  <c r="Q2488" i="16"/>
  <c r="Q2486" i="16"/>
  <c r="Q2484" i="16"/>
  <c r="Q2482" i="16"/>
  <c r="Q2480" i="16"/>
  <c r="Q2478" i="16"/>
  <c r="Q2476" i="16"/>
  <c r="Q2474" i="16"/>
  <c r="Q2472" i="16"/>
  <c r="Q2470" i="16"/>
  <c r="Q2468" i="16"/>
  <c r="Q2466" i="16"/>
  <c r="Q2464" i="16"/>
  <c r="Q2462" i="16"/>
  <c r="Q2460" i="16"/>
  <c r="Q2458" i="16"/>
  <c r="Q2456" i="16"/>
  <c r="Q2454" i="16"/>
  <c r="Q2452" i="16"/>
  <c r="Q2450" i="16"/>
  <c r="Q2448" i="16"/>
  <c r="Q2446" i="16"/>
  <c r="Q2444" i="16"/>
  <c r="Q2442" i="16"/>
  <c r="Q2440" i="16"/>
  <c r="Q2438" i="16"/>
  <c r="Q2436" i="16"/>
  <c r="Q2434" i="16"/>
  <c r="Q2432" i="16"/>
  <c r="Q2430" i="16"/>
  <c r="Q2428" i="16"/>
  <c r="Q2426" i="16"/>
  <c r="Q2424" i="16"/>
  <c r="Q2422" i="16"/>
  <c r="Q2420" i="16"/>
  <c r="Q2418" i="16"/>
  <c r="Q2416" i="16"/>
  <c r="Q2414" i="16"/>
  <c r="Q2412" i="16"/>
  <c r="Q2410" i="16"/>
  <c r="Q2408" i="16"/>
  <c r="Q2406" i="16"/>
  <c r="Q2404" i="16"/>
  <c r="Q2402" i="16"/>
  <c r="Q2400" i="16"/>
  <c r="Q2398" i="16"/>
  <c r="Q2396" i="16"/>
  <c r="Q2394" i="16"/>
  <c r="Q2392" i="16"/>
  <c r="Q2390" i="16"/>
  <c r="Q2388" i="16"/>
  <c r="Q2386" i="16"/>
  <c r="Q2384" i="16"/>
  <c r="Q2382" i="16"/>
  <c r="Q2380" i="16"/>
  <c r="Q2378" i="16"/>
  <c r="Q2376" i="16"/>
  <c r="Q2374" i="16"/>
  <c r="Q2372" i="16"/>
  <c r="Q2370" i="16"/>
  <c r="Q2368" i="16"/>
  <c r="Q2366" i="16"/>
  <c r="Q2364" i="16"/>
  <c r="Q2362" i="16"/>
  <c r="Q2360" i="16"/>
  <c r="Q2358" i="16"/>
  <c r="Q2356" i="16"/>
  <c r="Q2354" i="16"/>
  <c r="Q2352" i="16"/>
  <c r="Q2350" i="16"/>
  <c r="Q2348" i="16"/>
  <c r="Q2346" i="16"/>
  <c r="Q2344" i="16"/>
  <c r="Q2342" i="16"/>
  <c r="Q2340" i="16"/>
  <c r="Q2338" i="16"/>
  <c r="Q2336" i="16"/>
  <c r="Q2334" i="16"/>
  <c r="Q2332" i="16"/>
  <c r="Q2330" i="16"/>
  <c r="Q2328" i="16"/>
  <c r="Q2326" i="16"/>
  <c r="Q2324" i="16"/>
  <c r="Q2322" i="16"/>
  <c r="Q2320" i="16"/>
  <c r="Q2318" i="16"/>
  <c r="Q2316" i="16"/>
  <c r="Q2314" i="16"/>
  <c r="Q2312" i="16"/>
  <c r="Q2310" i="16"/>
  <c r="Q2308" i="16"/>
  <c r="Q2306" i="16"/>
  <c r="Q2304" i="16"/>
  <c r="Q2302" i="16"/>
  <c r="Q2300" i="16"/>
  <c r="Q2298" i="16"/>
  <c r="Q2296" i="16"/>
  <c r="Q2294" i="16"/>
  <c r="Q2292" i="16"/>
  <c r="Q2290" i="16"/>
  <c r="Q2288" i="16"/>
  <c r="Q2286" i="16"/>
  <c r="Q2284" i="16"/>
  <c r="Q2282" i="16"/>
  <c r="Q2280" i="16"/>
  <c r="Q2278" i="16"/>
  <c r="Q2276" i="16"/>
  <c r="Q2274" i="16"/>
  <c r="Q2272" i="16"/>
  <c r="Q2270" i="16"/>
  <c r="Q2268" i="16"/>
  <c r="Q2266" i="16"/>
  <c r="Q2264" i="16"/>
  <c r="Q2262" i="16"/>
  <c r="Q2260" i="16"/>
  <c r="Q2258" i="16"/>
  <c r="Q2256" i="16"/>
  <c r="Q2254" i="16"/>
  <c r="Q2252" i="16"/>
  <c r="Q2250" i="16"/>
  <c r="Q2248" i="16"/>
  <c r="Q2246" i="16"/>
  <c r="Q2244" i="16"/>
  <c r="Q2242" i="16"/>
  <c r="Q2240" i="16"/>
  <c r="Q2238" i="16"/>
  <c r="Q2236" i="16"/>
  <c r="Q2234" i="16"/>
  <c r="Q2232" i="16"/>
  <c r="Q2230" i="16"/>
  <c r="Q2228" i="16"/>
  <c r="Q2226" i="16"/>
  <c r="Q2224" i="16"/>
  <c r="Q2222" i="16"/>
  <c r="Q2220" i="16"/>
  <c r="Q2218" i="16"/>
  <c r="Q2216" i="16"/>
  <c r="Q2214" i="16"/>
  <c r="Q2212" i="16"/>
  <c r="Q2210" i="16"/>
  <c r="Q2208" i="16"/>
  <c r="Q2206" i="16"/>
  <c r="Q2204" i="16"/>
  <c r="Q2202" i="16"/>
  <c r="Q2200" i="16"/>
  <c r="Q2198" i="16"/>
  <c r="Q2196" i="16"/>
  <c r="Q2194" i="16"/>
  <c r="Q2192" i="16"/>
  <c r="Q2190" i="16"/>
  <c r="Q2188" i="16"/>
  <c r="Q2186" i="16"/>
  <c r="Q2184" i="16"/>
  <c r="Q2182" i="16"/>
  <c r="Q2180" i="16"/>
  <c r="Q2178" i="16"/>
  <c r="Q2176" i="16"/>
  <c r="Q2174" i="16"/>
  <c r="Q2172" i="16"/>
  <c r="Q2170" i="16"/>
  <c r="Q2168" i="16"/>
  <c r="Q2166" i="16"/>
  <c r="Q2164" i="16"/>
  <c r="Q2162" i="16"/>
  <c r="Q2160" i="16"/>
  <c r="Q2158" i="16"/>
  <c r="Q2156" i="16"/>
  <c r="Q2154" i="16"/>
  <c r="Q2152" i="16"/>
  <c r="Q2150" i="16"/>
  <c r="Q2148" i="16"/>
  <c r="Q2146" i="16"/>
  <c r="Q2144" i="16"/>
  <c r="Q2142" i="16"/>
  <c r="Q2140" i="16"/>
  <c r="Q2138" i="16"/>
  <c r="Q2136" i="16"/>
  <c r="Q2134" i="16"/>
  <c r="Q2132" i="16"/>
  <c r="Q2130" i="16"/>
  <c r="Q2128" i="16"/>
  <c r="Q2126" i="16"/>
  <c r="Q2124" i="16"/>
  <c r="Q2122" i="16"/>
  <c r="Q2120" i="16"/>
  <c r="Q2118" i="16"/>
  <c r="Q2116" i="16"/>
  <c r="Q2114" i="16"/>
  <c r="Q2112" i="16"/>
  <c r="Q2110" i="16"/>
  <c r="Q2108" i="16"/>
  <c r="Q2106" i="16"/>
  <c r="Q2104" i="16"/>
  <c r="Q2102" i="16"/>
  <c r="Q2100" i="16"/>
  <c r="Q2098" i="16"/>
  <c r="Q2096" i="16"/>
  <c r="Q2094" i="16"/>
  <c r="Q2092" i="16"/>
  <c r="Q2090" i="16"/>
  <c r="Q2088" i="16"/>
  <c r="Q2086" i="16"/>
  <c r="Q2084" i="16"/>
  <c r="Q2082" i="16"/>
  <c r="Q2080" i="16"/>
  <c r="Q2078" i="16"/>
  <c r="Q2076" i="16"/>
  <c r="Q2074" i="16"/>
  <c r="Q2072" i="16"/>
  <c r="Q2070" i="16"/>
  <c r="Q2068" i="16"/>
  <c r="Q2066" i="16"/>
  <c r="Q2064" i="16"/>
  <c r="Q2062" i="16"/>
  <c r="Q2060" i="16"/>
  <c r="Q2058" i="16"/>
  <c r="Q2056" i="16"/>
  <c r="Q2054" i="16"/>
  <c r="Q2052" i="16"/>
  <c r="Q2050" i="16"/>
  <c r="Q2048" i="16"/>
  <c r="Q2046" i="16"/>
  <c r="Q2044" i="16"/>
  <c r="Q2042" i="16"/>
  <c r="Q2040" i="16"/>
  <c r="Q2038" i="16"/>
  <c r="Q2036" i="16"/>
  <c r="Q2034" i="16"/>
  <c r="Q2032" i="16"/>
  <c r="Q2030" i="16"/>
  <c r="Q2028" i="16"/>
  <c r="Q2026" i="16"/>
  <c r="Q2024" i="16"/>
  <c r="Q2022" i="16"/>
  <c r="Q2020" i="16"/>
  <c r="Q2018" i="16"/>
  <c r="Q2016" i="16"/>
  <c r="Q2014" i="16"/>
  <c r="Q2012" i="16"/>
  <c r="Q2009" i="16"/>
  <c r="Q2007" i="16"/>
  <c r="Q2005" i="16"/>
  <c r="Q2003" i="16"/>
  <c r="Q2001" i="16"/>
  <c r="Q1999" i="16"/>
  <c r="Q1997" i="16"/>
  <c r="Q1995" i="16"/>
  <c r="Q1993" i="16"/>
  <c r="Q1991" i="16"/>
  <c r="Q1989" i="16"/>
  <c r="Q1987" i="16"/>
  <c r="Q1985" i="16"/>
  <c r="Q1983" i="16"/>
  <c r="Q1981" i="16"/>
  <c r="Q1979" i="16"/>
  <c r="Q1977" i="16"/>
  <c r="Q1975" i="16"/>
  <c r="Q1973" i="16"/>
  <c r="Q1971" i="16"/>
  <c r="Q1969" i="16"/>
  <c r="Q1967" i="16"/>
  <c r="Q1965" i="16"/>
  <c r="Q1963" i="16"/>
  <c r="Q1961" i="16"/>
  <c r="Q1959" i="16"/>
  <c r="Q1957" i="16"/>
  <c r="Q1955" i="16"/>
  <c r="Q1953" i="16"/>
  <c r="Q1951" i="16"/>
  <c r="Q1949" i="16"/>
  <c r="Q1947" i="16"/>
  <c r="Q1945" i="16"/>
  <c r="Q1943" i="16"/>
  <c r="Q1941" i="16"/>
  <c r="Q1939" i="16"/>
  <c r="Q1937" i="16"/>
  <c r="Q1935" i="16"/>
  <c r="Q1933" i="16"/>
  <c r="Q1931" i="16"/>
  <c r="Q1929" i="16"/>
  <c r="Q1927" i="16"/>
  <c r="Q1925" i="16"/>
  <c r="Q1923" i="16"/>
  <c r="Q1921" i="16"/>
  <c r="Q1919" i="16"/>
  <c r="Q1917" i="16"/>
  <c r="Q1915" i="16"/>
  <c r="Q1913" i="16"/>
  <c r="Q1911" i="16"/>
  <c r="Q1909" i="16"/>
  <c r="Q1907" i="16"/>
  <c r="Q1905" i="16"/>
  <c r="Q1903" i="16"/>
  <c r="Q1901" i="16"/>
  <c r="Q1899" i="16"/>
  <c r="Q1897" i="16"/>
  <c r="Q1895" i="16"/>
  <c r="Q1893" i="16"/>
  <c r="Q1891" i="16"/>
  <c r="Q1889" i="16"/>
  <c r="Q1887" i="16"/>
  <c r="Q1885" i="16"/>
  <c r="Q1883" i="16"/>
  <c r="Q1881" i="16"/>
  <c r="Q1879" i="16"/>
  <c r="Q1877" i="16"/>
  <c r="Q1875" i="16"/>
  <c r="Q1873" i="16"/>
  <c r="Q1871" i="16"/>
  <c r="Q1869" i="16"/>
  <c r="Q1867" i="16"/>
  <c r="Q1865" i="16"/>
  <c r="Q1863" i="16"/>
  <c r="Q1861" i="16"/>
  <c r="Q1859" i="16"/>
  <c r="Q1857" i="16"/>
  <c r="Q1855" i="16"/>
  <c r="Q1853" i="16"/>
  <c r="Q1851" i="16"/>
  <c r="Q1849" i="16"/>
  <c r="Q1847" i="16"/>
  <c r="Q1845" i="16"/>
  <c r="Q1843" i="16"/>
  <c r="Q1841" i="16"/>
  <c r="Q1839" i="16"/>
  <c r="Q1837" i="16"/>
  <c r="Q1835" i="16"/>
  <c r="Q1833" i="16"/>
  <c r="Q1831" i="16"/>
  <c r="Q1829" i="16"/>
  <c r="Q1827" i="16"/>
  <c r="Q1825" i="16"/>
  <c r="Q1823" i="16"/>
  <c r="Q1821" i="16"/>
  <c r="Q1819" i="16"/>
  <c r="Q1817" i="16"/>
  <c r="Q1815" i="16"/>
  <c r="Q1813" i="16"/>
  <c r="Q1811" i="16"/>
  <c r="Q1809" i="16"/>
  <c r="Q1807" i="16"/>
  <c r="Q1805" i="16"/>
  <c r="Q1803" i="16"/>
  <c r="Q1801" i="16"/>
  <c r="Q1799" i="16"/>
  <c r="Q1797" i="16"/>
  <c r="Q1795" i="16"/>
  <c r="Q1793" i="16"/>
  <c r="Q1791" i="16"/>
  <c r="Q1789" i="16"/>
  <c r="Q1787" i="16"/>
  <c r="Q1785" i="16"/>
  <c r="Q1783" i="16"/>
  <c r="Q1781" i="16"/>
  <c r="Q1779" i="16"/>
  <c r="Q1777" i="16"/>
  <c r="Q1775" i="16"/>
  <c r="Q1773" i="16"/>
  <c r="Q1771" i="16"/>
  <c r="Q1769" i="16"/>
  <c r="Q1767" i="16"/>
  <c r="Q1765" i="16"/>
  <c r="Q1763" i="16"/>
  <c r="Q1761" i="16"/>
  <c r="Q1759" i="16"/>
  <c r="Q1757" i="16"/>
  <c r="Q1755" i="16"/>
  <c r="Q1753" i="16"/>
  <c r="Q1751" i="16"/>
  <c r="Q1749" i="16"/>
  <c r="Q1747" i="16"/>
  <c r="Q1745" i="16"/>
  <c r="Q1743" i="16"/>
  <c r="Q1741" i="16"/>
  <c r="Q1739" i="16"/>
  <c r="Q1737" i="16"/>
  <c r="Q1735" i="16"/>
  <c r="Q1733" i="16"/>
  <c r="Q1731" i="16"/>
  <c r="Q1729" i="16"/>
  <c r="Q1727" i="16"/>
  <c r="Q1725" i="16"/>
  <c r="Q1723" i="16"/>
  <c r="Q1721" i="16"/>
  <c r="Q1719" i="16"/>
  <c r="Q1717" i="16"/>
  <c r="Q1715" i="16"/>
  <c r="Q1713" i="16"/>
  <c r="Q1711" i="16"/>
  <c r="Q1709" i="16"/>
  <c r="Q1707" i="16"/>
  <c r="Q1705" i="16"/>
  <c r="Q1703" i="16"/>
  <c r="Q1701" i="16"/>
  <c r="Q1699" i="16"/>
  <c r="Q1697" i="16"/>
  <c r="Q1695" i="16"/>
  <c r="Q1693" i="16"/>
  <c r="Q1691" i="16"/>
  <c r="Q1689" i="16"/>
  <c r="Q1687" i="16"/>
  <c r="Q1685" i="16"/>
  <c r="Q1683" i="16"/>
  <c r="Q1681" i="16"/>
  <c r="Q1679" i="16"/>
  <c r="Q1677" i="16"/>
  <c r="Q1675" i="16"/>
  <c r="Q1673" i="16"/>
  <c r="Q1671" i="16"/>
  <c r="Q1669" i="16"/>
  <c r="Q1667" i="16"/>
  <c r="Q1665" i="16"/>
  <c r="Q1663" i="16"/>
  <c r="Q1661" i="16"/>
  <c r="Q1659" i="16"/>
  <c r="Q1657" i="16"/>
  <c r="Q1655" i="16"/>
  <c r="Q1653" i="16"/>
  <c r="Q1651" i="16"/>
  <c r="Q1649" i="16"/>
  <c r="Q1647" i="16"/>
  <c r="Q1645" i="16"/>
  <c r="Q1643" i="16"/>
  <c r="Q1641" i="16"/>
  <c r="Q1639" i="16"/>
  <c r="Q1637" i="16"/>
  <c r="Q1635" i="16"/>
  <c r="Q1633" i="16"/>
  <c r="Q1631" i="16"/>
  <c r="Q1629" i="16"/>
  <c r="Q1627" i="16"/>
  <c r="Q1625" i="16"/>
  <c r="Q1623" i="16"/>
  <c r="Q1621" i="16"/>
  <c r="Q1619" i="16"/>
  <c r="Q1617" i="16"/>
  <c r="Q1615" i="16"/>
  <c r="Q1613" i="16"/>
  <c r="Q1611" i="16"/>
  <c r="Q1609" i="16"/>
  <c r="Q1607" i="16"/>
  <c r="Q1605" i="16"/>
  <c r="Q1603" i="16"/>
  <c r="Q1601" i="16"/>
  <c r="Q1599" i="16"/>
  <c r="Q1597" i="16"/>
  <c r="Q1595" i="16"/>
  <c r="Q1593" i="16"/>
  <c r="Q1591" i="16"/>
  <c r="Q1589" i="16"/>
  <c r="Q1587" i="16"/>
  <c r="Q1585" i="16"/>
  <c r="Q1583" i="16"/>
  <c r="Q1581" i="16"/>
  <c r="Q1579" i="16"/>
  <c r="Q1577" i="16"/>
  <c r="Q1575" i="16"/>
  <c r="Q1573" i="16"/>
  <c r="Q1571" i="16"/>
  <c r="Q1569" i="16"/>
  <c r="Q1567" i="16"/>
  <c r="Q1565" i="16"/>
  <c r="Q1563" i="16"/>
  <c r="Q1561" i="16"/>
  <c r="Q1559" i="16"/>
  <c r="Q1557" i="16"/>
  <c r="Q1555" i="16"/>
  <c r="Q1553" i="16"/>
  <c r="Q1551" i="16"/>
  <c r="Q1549" i="16"/>
  <c r="Q1547" i="16"/>
  <c r="Q1545" i="16"/>
  <c r="Q1543" i="16"/>
  <c r="Q1541" i="16"/>
  <c r="Q1539" i="16"/>
  <c r="Q1537" i="16"/>
  <c r="Q1535" i="16"/>
  <c r="Q1533" i="16"/>
  <c r="Q1531" i="16"/>
  <c r="Q1529" i="16"/>
  <c r="Q1527" i="16"/>
  <c r="Q1525" i="16"/>
  <c r="Q1523" i="16"/>
  <c r="Q1521" i="16"/>
  <c r="Q1519" i="16"/>
  <c r="Q1517" i="16"/>
  <c r="Q1515" i="16"/>
  <c r="Q1513" i="16"/>
  <c r="Q1511" i="16"/>
  <c r="Q1509" i="16"/>
  <c r="Q1507" i="16"/>
  <c r="Q1505" i="16"/>
  <c r="Q1503" i="16"/>
  <c r="Q1501" i="16"/>
  <c r="Q1499" i="16"/>
  <c r="Q1497" i="16"/>
  <c r="Q1495" i="16"/>
  <c r="Q1493" i="16"/>
  <c r="Q1491" i="16"/>
  <c r="Q1489" i="16"/>
  <c r="Q1487" i="16"/>
  <c r="Q1485" i="16"/>
  <c r="Q1483" i="16"/>
  <c r="Q1481" i="16"/>
  <c r="Q1479" i="16"/>
  <c r="Q1477" i="16"/>
  <c r="Q1475" i="16"/>
  <c r="Q1473" i="16"/>
  <c r="Q1471" i="16"/>
  <c r="Q1469" i="16"/>
  <c r="Q1467" i="16"/>
  <c r="Q1465" i="16"/>
  <c r="Q1463" i="16"/>
  <c r="Q1461" i="16"/>
  <c r="Q1459" i="16"/>
  <c r="Q1457" i="16"/>
  <c r="Q1455" i="16"/>
  <c r="Q1453" i="16"/>
  <c r="Q1451" i="16"/>
  <c r="Q1449" i="16"/>
  <c r="Q1447" i="16"/>
  <c r="Q1445" i="16"/>
  <c r="Q1443" i="16"/>
  <c r="Q1441" i="16"/>
  <c r="Q1439" i="16"/>
  <c r="Q1437" i="16"/>
  <c r="Q1435" i="16"/>
  <c r="Q1433" i="16"/>
  <c r="Q1431" i="16"/>
  <c r="Q1429" i="16"/>
  <c r="Q1427" i="16"/>
  <c r="Q1425" i="16"/>
  <c r="Q1423" i="16"/>
  <c r="Q1421" i="16"/>
  <c r="Q1419" i="16"/>
  <c r="Q1417" i="16"/>
  <c r="Q1415" i="16"/>
  <c r="Q1413" i="16"/>
  <c r="Q1411" i="16"/>
  <c r="Q1409" i="16"/>
  <c r="Q1407" i="16"/>
  <c r="Q1405" i="16"/>
  <c r="Q1403" i="16"/>
  <c r="Q1401" i="16"/>
  <c r="Q1399" i="16"/>
  <c r="Q1397" i="16"/>
  <c r="Q1395" i="16"/>
  <c r="Q1393" i="16"/>
  <c r="Q1391" i="16"/>
  <c r="Q1389" i="16"/>
  <c r="Q1387" i="16"/>
  <c r="Q1385" i="16"/>
  <c r="Q1383" i="16"/>
  <c r="Q1381" i="16"/>
  <c r="Q1379" i="16"/>
  <c r="Q1377" i="16"/>
  <c r="Q1375" i="16"/>
  <c r="Q1373" i="16"/>
  <c r="Q1371" i="16"/>
  <c r="Q1369" i="16"/>
  <c r="Q1367" i="16"/>
  <c r="Q1365" i="16"/>
  <c r="Q1363" i="16"/>
  <c r="Q1361" i="16"/>
  <c r="Q1359" i="16"/>
  <c r="Q1357" i="16"/>
  <c r="Q1355" i="16"/>
  <c r="Q1353" i="16"/>
  <c r="Q1351" i="16"/>
  <c r="Q1349" i="16"/>
  <c r="Q1347" i="16"/>
  <c r="Q1345" i="16"/>
  <c r="Q1343" i="16"/>
  <c r="Q1341" i="16"/>
  <c r="Q1339" i="16"/>
  <c r="Q1337" i="16"/>
  <c r="Q1335" i="16"/>
  <c r="Q1333" i="16"/>
  <c r="Q1331" i="16"/>
  <c r="Q1329" i="16"/>
  <c r="Q1327" i="16"/>
  <c r="Q1325" i="16"/>
  <c r="Q1323" i="16"/>
  <c r="Q1321" i="16"/>
  <c r="Q1319" i="16"/>
  <c r="Q1317" i="16"/>
  <c r="Q1315" i="16"/>
  <c r="Q1313" i="16"/>
  <c r="Q1311" i="16"/>
  <c r="Q1309" i="16"/>
  <c r="Q1307" i="16"/>
  <c r="Q1305" i="16"/>
  <c r="Q1303" i="16"/>
  <c r="Q1301" i="16"/>
  <c r="Q1212" i="16"/>
  <c r="Q1210" i="16"/>
  <c r="Q1208" i="16"/>
  <c r="Q1206" i="16"/>
  <c r="Q1204" i="16"/>
  <c r="Q1202" i="16"/>
  <c r="Q1200" i="16"/>
  <c r="Q1198" i="16"/>
  <c r="Q1196" i="16"/>
  <c r="Q1194" i="16"/>
  <c r="Q1192" i="16"/>
  <c r="Q1190" i="16"/>
  <c r="Q1188" i="16"/>
  <c r="Q1186" i="16"/>
  <c r="Q1184" i="16"/>
  <c r="Q1182" i="16"/>
  <c r="Q1180" i="16"/>
  <c r="Q1178" i="16"/>
  <c r="Q1176" i="16"/>
  <c r="Q1174" i="16"/>
  <c r="Q1172" i="16"/>
  <c r="Q1170" i="16"/>
  <c r="Q1168" i="16"/>
  <c r="Q1166" i="16"/>
  <c r="Q1164" i="16"/>
  <c r="Q1162" i="16"/>
  <c r="Q1160" i="16"/>
  <c r="Q1158" i="16"/>
  <c r="Q1156" i="16"/>
  <c r="Q1154" i="16"/>
  <c r="Q1152" i="16"/>
  <c r="Q1150" i="16"/>
  <c r="Q1148" i="16"/>
  <c r="Q1146" i="16"/>
  <c r="Q1144" i="16"/>
  <c r="Q1142" i="16"/>
  <c r="Q1140" i="16"/>
  <c r="Q1138" i="16"/>
  <c r="Q1136" i="16"/>
  <c r="Q1134" i="16"/>
  <c r="Q1132" i="16"/>
  <c r="Q1130" i="16"/>
  <c r="Q1128" i="16"/>
  <c r="Q1126" i="16"/>
  <c r="Q1124" i="16"/>
  <c r="Q1122" i="16"/>
  <c r="Q1120" i="16"/>
  <c r="Q1118" i="16"/>
  <c r="Q1116" i="16"/>
  <c r="Q1114" i="16"/>
  <c r="Q1112" i="16"/>
  <c r="Q1110" i="16"/>
  <c r="Q1108" i="16"/>
  <c r="Q1106" i="16"/>
  <c r="Q1104" i="16"/>
  <c r="Q1102" i="16"/>
  <c r="Q1100" i="16"/>
  <c r="Q1098" i="16"/>
  <c r="Q1096" i="16"/>
  <c r="Q1094" i="16"/>
  <c r="Q1092" i="16"/>
  <c r="Q1090" i="16"/>
  <c r="Q1088" i="16"/>
  <c r="Q1086" i="16"/>
  <c r="Q1084" i="16"/>
  <c r="Q1082" i="16"/>
  <c r="Q1080" i="16"/>
  <c r="Q1078" i="16"/>
  <c r="Q1076" i="16"/>
  <c r="Q1074" i="16"/>
  <c r="Q1072" i="16"/>
  <c r="Q1070" i="16"/>
  <c r="Q1068" i="16"/>
  <c r="Q1066" i="16"/>
  <c r="Q1064" i="16"/>
  <c r="Q1062" i="16"/>
  <c r="Q1060" i="16"/>
  <c r="Q1058" i="16"/>
  <c r="Q1056" i="16"/>
  <c r="Q1054" i="16"/>
  <c r="Q1052" i="16"/>
  <c r="Q1050" i="16"/>
  <c r="Q1048" i="16"/>
  <c r="Q1046" i="16"/>
  <c r="Q1044" i="16"/>
  <c r="Q1042" i="16"/>
  <c r="Q1040" i="16"/>
  <c r="Q1038" i="16"/>
  <c r="Q1036" i="16"/>
  <c r="Q1034" i="16"/>
  <c r="Q1032" i="16"/>
  <c r="Q1030" i="16"/>
  <c r="Q1028" i="16"/>
  <c r="Q1026" i="16"/>
  <c r="Q1024" i="16"/>
  <c r="Q1022" i="16"/>
  <c r="Q1020" i="16"/>
  <c r="Q1018" i="16"/>
  <c r="Q1016" i="16"/>
  <c r="Q1014" i="16"/>
  <c r="Q1012" i="16"/>
  <c r="Q1010" i="16"/>
  <c r="Q1008" i="16"/>
  <c r="Q1006" i="16"/>
  <c r="Q1004" i="16"/>
  <c r="Q1002" i="16"/>
  <c r="Q1000" i="16"/>
  <c r="Q998" i="16"/>
  <c r="Q996" i="16"/>
  <c r="Q994" i="16"/>
  <c r="Q992" i="16"/>
  <c r="Q990" i="16"/>
  <c r="Q988" i="16"/>
  <c r="Q986" i="16"/>
  <c r="Q984" i="16"/>
  <c r="Q982" i="16"/>
  <c r="Q980" i="16"/>
  <c r="Q978" i="16"/>
  <c r="Q976" i="16"/>
  <c r="Q974" i="16"/>
  <c r="Q972" i="16"/>
  <c r="Q970" i="16"/>
  <c r="Q968" i="16"/>
  <c r="Q966" i="16"/>
  <c r="Q964" i="16"/>
  <c r="Q962" i="16"/>
  <c r="Q960" i="16"/>
  <c r="Q958" i="16"/>
  <c r="Q956" i="16"/>
  <c r="Q954" i="16"/>
  <c r="Q952" i="16"/>
  <c r="Q950" i="16"/>
  <c r="Q948" i="16"/>
  <c r="Q946" i="16"/>
  <c r="Q944" i="16"/>
  <c r="Q942" i="16"/>
  <c r="Q940" i="16"/>
  <c r="Q938" i="16"/>
  <c r="Q936" i="16"/>
  <c r="Q934" i="16"/>
  <c r="Q932" i="16"/>
  <c r="Q930" i="16"/>
  <c r="Q928" i="16"/>
  <c r="Q926" i="16"/>
  <c r="Q924" i="16"/>
  <c r="Q922" i="16"/>
  <c r="Q920" i="16"/>
  <c r="Q918" i="16"/>
  <c r="Q916" i="16"/>
  <c r="Q914" i="16"/>
  <c r="Q912" i="16"/>
  <c r="Q910" i="16"/>
  <c r="Q908" i="16"/>
  <c r="Q906" i="16"/>
  <c r="Q904" i="16"/>
  <c r="Q902" i="16"/>
  <c r="Q900" i="16"/>
  <c r="Q898" i="16"/>
  <c r="Q896" i="16"/>
  <c r="Q894" i="16"/>
  <c r="Q892" i="16"/>
  <c r="Q890" i="16"/>
  <c r="Q888" i="16"/>
  <c r="Q886" i="16"/>
  <c r="Q884" i="16"/>
  <c r="Q882" i="16"/>
  <c r="Q880" i="16"/>
  <c r="Q878" i="16"/>
  <c r="Q876" i="16"/>
  <c r="Q874" i="16"/>
  <c r="Q872" i="16"/>
  <c r="Q870" i="16"/>
  <c r="Q868" i="16"/>
  <c r="Q866" i="16"/>
  <c r="Q864" i="16"/>
  <c r="Q862" i="16"/>
  <c r="Q860" i="16"/>
  <c r="Q858" i="16"/>
  <c r="Q856" i="16"/>
  <c r="Q854" i="16"/>
  <c r="Q852" i="16"/>
  <c r="Q850" i="16"/>
  <c r="Q848" i="16"/>
  <c r="Q846" i="16"/>
  <c r="Q844" i="16"/>
  <c r="Q842" i="16"/>
  <c r="Q840" i="16"/>
  <c r="Q838" i="16"/>
  <c r="Q836" i="16"/>
  <c r="Q834" i="16"/>
  <c r="Q832" i="16"/>
  <c r="Q830" i="16"/>
  <c r="Q828" i="16"/>
  <c r="Q826" i="16"/>
  <c r="Q824" i="16"/>
  <c r="Q822" i="16"/>
  <c r="Q820" i="16"/>
  <c r="Q818" i="16"/>
  <c r="Q816" i="16"/>
  <c r="Q814" i="16"/>
  <c r="Q812" i="16"/>
  <c r="Q810" i="16"/>
  <c r="Q808" i="16"/>
  <c r="Q806" i="16"/>
  <c r="Q804" i="16"/>
  <c r="Q802" i="16"/>
  <c r="Q800" i="16"/>
  <c r="Q798" i="16"/>
  <c r="Q796" i="16"/>
  <c r="Q794" i="16"/>
  <c r="Q792" i="16"/>
  <c r="Q790" i="16"/>
  <c r="Q788" i="16"/>
  <c r="Q786" i="16"/>
  <c r="Q784" i="16"/>
  <c r="Q782" i="16"/>
  <c r="Q780" i="16"/>
  <c r="Q778" i="16"/>
  <c r="Q776" i="16"/>
  <c r="Q774" i="16"/>
  <c r="Q772" i="16"/>
  <c r="Q770" i="16"/>
  <c r="Q768" i="16"/>
  <c r="Q766" i="16"/>
  <c r="Q764" i="16"/>
  <c r="Q762" i="16"/>
  <c r="Q760" i="16"/>
  <c r="Q758" i="16"/>
  <c r="Q756" i="16"/>
  <c r="Q754" i="16"/>
  <c r="Q752" i="16"/>
  <c r="Q750" i="16"/>
  <c r="Q748" i="16"/>
  <c r="Q746" i="16"/>
  <c r="Q744" i="16"/>
  <c r="Q742" i="16"/>
  <c r="Q740" i="16"/>
  <c r="Q738" i="16"/>
  <c r="Q736" i="16"/>
  <c r="Q734" i="16"/>
  <c r="Q732" i="16"/>
  <c r="Q730" i="16"/>
  <c r="Q728" i="16"/>
  <c r="Q726" i="16"/>
  <c r="Q724" i="16"/>
  <c r="Q722" i="16"/>
  <c r="Q720" i="16"/>
  <c r="Q718" i="16"/>
  <c r="Q716" i="16"/>
  <c r="Q714" i="16"/>
  <c r="Q712" i="16"/>
  <c r="Q710" i="16"/>
  <c r="Q708" i="16"/>
  <c r="Q706" i="16"/>
  <c r="Q704" i="16"/>
  <c r="Q702" i="16"/>
  <c r="Q700" i="16"/>
  <c r="Q698" i="16"/>
  <c r="Q696" i="16"/>
  <c r="Q694" i="16"/>
  <c r="Q692" i="16"/>
  <c r="Q690" i="16"/>
  <c r="Q688" i="16"/>
  <c r="Q686" i="16"/>
  <c r="Q684" i="16"/>
  <c r="Q682" i="16"/>
  <c r="Q680" i="16"/>
  <c r="Q678" i="16"/>
  <c r="Q676" i="16"/>
  <c r="Q674" i="16"/>
  <c r="Q672" i="16"/>
  <c r="Q670" i="16"/>
  <c r="Q668" i="16"/>
  <c r="Q666" i="16"/>
  <c r="Q664" i="16"/>
  <c r="Q662" i="16"/>
  <c r="Q660" i="16"/>
  <c r="Q658" i="16"/>
  <c r="Q656" i="16"/>
  <c r="Q654" i="16"/>
  <c r="Q652" i="16"/>
  <c r="Q650" i="16"/>
  <c r="Q648" i="16"/>
  <c r="Q646" i="16"/>
  <c r="Q644" i="16"/>
  <c r="Q642" i="16"/>
  <c r="Q640" i="16"/>
  <c r="Q638" i="16"/>
  <c r="Q636" i="16"/>
  <c r="Q634" i="16"/>
  <c r="Q632" i="16"/>
  <c r="Q630" i="16"/>
  <c r="Q628" i="16"/>
  <c r="Q626" i="16"/>
  <c r="Q624" i="16"/>
  <c r="Q622" i="16"/>
  <c r="Q620" i="16"/>
  <c r="Q618" i="16"/>
  <c r="Q616" i="16"/>
  <c r="Q614" i="16"/>
  <c r="Q612" i="16"/>
  <c r="Q610" i="16"/>
  <c r="Q608" i="16"/>
  <c r="Q606" i="16"/>
  <c r="Q604" i="16"/>
  <c r="Q602" i="16"/>
  <c r="Q600" i="16"/>
  <c r="Q598" i="16"/>
  <c r="Q596" i="16"/>
  <c r="Q594" i="16"/>
  <c r="Q592" i="16"/>
  <c r="Q590" i="16"/>
  <c r="Q588" i="16"/>
  <c r="Q586" i="16"/>
  <c r="Q584" i="16"/>
  <c r="Q582" i="16"/>
  <c r="Q580" i="16"/>
  <c r="Q578" i="16"/>
  <c r="Q576" i="16"/>
  <c r="Q574" i="16"/>
  <c r="Q572" i="16"/>
  <c r="Q570" i="16"/>
  <c r="Q568" i="16"/>
  <c r="Q566" i="16"/>
  <c r="Q564" i="16"/>
  <c r="Q562" i="16"/>
  <c r="Q560" i="16"/>
  <c r="Q558" i="16"/>
  <c r="Q556" i="16"/>
  <c r="Q554" i="16"/>
  <c r="Q552" i="16"/>
  <c r="Q550" i="16"/>
  <c r="Q548" i="16"/>
  <c r="Q546" i="16"/>
  <c r="Q544" i="16"/>
  <c r="Q542" i="16"/>
  <c r="Q540" i="16"/>
  <c r="Q538" i="16"/>
  <c r="Q536" i="16"/>
  <c r="Q534" i="16"/>
  <c r="Q532" i="16"/>
  <c r="Q530" i="16"/>
  <c r="Q528" i="16"/>
  <c r="Q526" i="16"/>
  <c r="Q524" i="16"/>
  <c r="Q522" i="16"/>
  <c r="Q520" i="16"/>
  <c r="Q518" i="16"/>
  <c r="Q516" i="16"/>
  <c r="Q514" i="16"/>
  <c r="Q512" i="16"/>
  <c r="Q510" i="16"/>
  <c r="Q508" i="16"/>
  <c r="Q506" i="16"/>
  <c r="Q504" i="16"/>
  <c r="Q502" i="16"/>
  <c r="Q500" i="16"/>
  <c r="Q498" i="16"/>
  <c r="Q496" i="16"/>
  <c r="Q494" i="16"/>
  <c r="Q492" i="16"/>
  <c r="Q490" i="16"/>
  <c r="Q488" i="16"/>
  <c r="Q486" i="16"/>
  <c r="Q484" i="16"/>
  <c r="Q482" i="16"/>
  <c r="Q480" i="16"/>
  <c r="Q478" i="16"/>
  <c r="Q476" i="16"/>
  <c r="Q474" i="16"/>
  <c r="Q472" i="16"/>
  <c r="Q470" i="16"/>
  <c r="Q468" i="16"/>
  <c r="Q466" i="16"/>
  <c r="Q464" i="16"/>
  <c r="Q462" i="16"/>
  <c r="Q460" i="16"/>
  <c r="Q458" i="16"/>
  <c r="Q456" i="16"/>
  <c r="Q454" i="16"/>
  <c r="Q452" i="16"/>
  <c r="Q450" i="16"/>
  <c r="Q448" i="16"/>
  <c r="Q446" i="16"/>
  <c r="Q444" i="16"/>
  <c r="Q442" i="16"/>
  <c r="Q440" i="16"/>
  <c r="Q438" i="16"/>
  <c r="Q436" i="16"/>
  <c r="Q434" i="16"/>
  <c r="Q432" i="16"/>
  <c r="Q430" i="16"/>
  <c r="Q428" i="16"/>
  <c r="Q426" i="16"/>
  <c r="Q424" i="16"/>
  <c r="Q422" i="16"/>
  <c r="Q420" i="16"/>
  <c r="Q418" i="16"/>
  <c r="Q416" i="16"/>
  <c r="Q414" i="16"/>
  <c r="Q412" i="16"/>
  <c r="Q410" i="16"/>
  <c r="Q408" i="16"/>
  <c r="Q406" i="16"/>
  <c r="Q404" i="16"/>
  <c r="Q402" i="16"/>
  <c r="Q400" i="16"/>
  <c r="Q398" i="16"/>
  <c r="Q396" i="16"/>
  <c r="Q394" i="16"/>
  <c r="Q392" i="16"/>
  <c r="Q390" i="16"/>
  <c r="Q388" i="16"/>
  <c r="Q386" i="16"/>
  <c r="Q384" i="16"/>
  <c r="Q382" i="16"/>
  <c r="Q380" i="16"/>
  <c r="Q378" i="16"/>
  <c r="Q376" i="16"/>
  <c r="Q374" i="16"/>
  <c r="Q372" i="16"/>
  <c r="Q370" i="16"/>
  <c r="Q368" i="16"/>
  <c r="Q366" i="16"/>
  <c r="Q364" i="16"/>
  <c r="Q362" i="16"/>
  <c r="Q360" i="16"/>
  <c r="Q358" i="16"/>
  <c r="Q356" i="16"/>
  <c r="Q354" i="16"/>
  <c r="Q352" i="16"/>
  <c r="Q350" i="16"/>
  <c r="Q348" i="16"/>
  <c r="Q346" i="16"/>
  <c r="Q344" i="16"/>
  <c r="Q342" i="16"/>
  <c r="Q340" i="16"/>
  <c r="Q338" i="16"/>
  <c r="Q336" i="16"/>
  <c r="Q334" i="16"/>
  <c r="Q332" i="16"/>
  <c r="Q330" i="16"/>
  <c r="Q328" i="16"/>
  <c r="Q326" i="16"/>
  <c r="Q324" i="16"/>
  <c r="Q322" i="16"/>
  <c r="Q320" i="16"/>
  <c r="Q318" i="16"/>
  <c r="Q316" i="16"/>
  <c r="Q314" i="16"/>
  <c r="Q312" i="16"/>
  <c r="Q310" i="16"/>
  <c r="Q308" i="16"/>
  <c r="Q306" i="16"/>
  <c r="Q304" i="16"/>
  <c r="Q302" i="16"/>
  <c r="Q300" i="16"/>
  <c r="Q298" i="16"/>
  <c r="Q296" i="16"/>
  <c r="Q294" i="16"/>
  <c r="Q292" i="16"/>
  <c r="Q290" i="16"/>
  <c r="Q288" i="16"/>
  <c r="Q286" i="16"/>
  <c r="Q284" i="16"/>
  <c r="Q282" i="16"/>
  <c r="Q280" i="16"/>
  <c r="Q278" i="16"/>
  <c r="Q276" i="16"/>
  <c r="Q274" i="16"/>
  <c r="Q272" i="16"/>
  <c r="Q270" i="16"/>
  <c r="Q268" i="16"/>
  <c r="Q266" i="16"/>
  <c r="Q264" i="16"/>
  <c r="Q262" i="16"/>
  <c r="Q260" i="16"/>
  <c r="Q258" i="16"/>
  <c r="Q256" i="16"/>
  <c r="Q254" i="16"/>
  <c r="Q252" i="16"/>
  <c r="Q250" i="16"/>
  <c r="Q248" i="16"/>
  <c r="Q246" i="16"/>
  <c r="Q244" i="16"/>
  <c r="Q242" i="16"/>
  <c r="Q240" i="16"/>
  <c r="Q238" i="16"/>
  <c r="Q236" i="16"/>
  <c r="Q234" i="16"/>
  <c r="Q232" i="16"/>
  <c r="Q230" i="16"/>
  <c r="Q228" i="16"/>
  <c r="Q226" i="16"/>
  <c r="Q224" i="16"/>
  <c r="Q222" i="16"/>
  <c r="Q220" i="16"/>
  <c r="Q218" i="16"/>
  <c r="Q216" i="16"/>
  <c r="Q214" i="16"/>
  <c r="Q212" i="16"/>
  <c r="Q210" i="16"/>
  <c r="Q208" i="16"/>
  <c r="Q206" i="16"/>
  <c r="Q204" i="16"/>
  <c r="Q202" i="16"/>
  <c r="Q200" i="16"/>
  <c r="Q198" i="16"/>
  <c r="Q196" i="16"/>
  <c r="Q194" i="16"/>
  <c r="Q192" i="16"/>
  <c r="Q190" i="16"/>
  <c r="Q188" i="16"/>
  <c r="Q186" i="16"/>
  <c r="Q184" i="16"/>
  <c r="Q182" i="16"/>
  <c r="Q180" i="16"/>
  <c r="Q178" i="16"/>
  <c r="Q176" i="16"/>
  <c r="Q174" i="16"/>
  <c r="Q172" i="16"/>
  <c r="Q170" i="16"/>
  <c r="Q168" i="16"/>
  <c r="Q166" i="16"/>
  <c r="Q164" i="16"/>
  <c r="Q162" i="16"/>
  <c r="Q160" i="16"/>
  <c r="Q158" i="16"/>
  <c r="Q156" i="16"/>
  <c r="Q154" i="16"/>
  <c r="Q152" i="16"/>
  <c r="Q150" i="16"/>
  <c r="Q148" i="16"/>
  <c r="Q146" i="16"/>
  <c r="Q144" i="16"/>
  <c r="Q142" i="16"/>
  <c r="Q140" i="16"/>
  <c r="Q138" i="16"/>
  <c r="Q136" i="16"/>
  <c r="Q134" i="16"/>
  <c r="Q132" i="16"/>
  <c r="Q130" i="16"/>
  <c r="Q128" i="16"/>
  <c r="Q126" i="16"/>
  <c r="Q124" i="16"/>
  <c r="Q122" i="16"/>
  <c r="Q120" i="16"/>
  <c r="Q118" i="16"/>
  <c r="Q116" i="16"/>
  <c r="Q114" i="16"/>
  <c r="Q112" i="16"/>
  <c r="Q110" i="16"/>
  <c r="Q108" i="16"/>
  <c r="Q106" i="16"/>
  <c r="Q104" i="16"/>
  <c r="Q102" i="16"/>
  <c r="Q100" i="16"/>
  <c r="Q98" i="16"/>
  <c r="Q96" i="16"/>
  <c r="Q94" i="16"/>
  <c r="Q92" i="16"/>
  <c r="Q90" i="16"/>
  <c r="Q88" i="16"/>
  <c r="Q86" i="16"/>
  <c r="Q84" i="16"/>
  <c r="Q82" i="16"/>
  <c r="Q80" i="16"/>
  <c r="Q78" i="16"/>
  <c r="Q76" i="16"/>
  <c r="Q74" i="16"/>
  <c r="Q72" i="16"/>
  <c r="Q70" i="16"/>
  <c r="Q68" i="16"/>
  <c r="Q66" i="16"/>
  <c r="Q64" i="16"/>
  <c r="Q62" i="16"/>
  <c r="Q60" i="16"/>
  <c r="Q58" i="16"/>
  <c r="Q56" i="16"/>
  <c r="Q54" i="16"/>
  <c r="Q52" i="16"/>
  <c r="Q50" i="16"/>
  <c r="Q48" i="16"/>
  <c r="Q46" i="16"/>
  <c r="Q44" i="16"/>
  <c r="Q42" i="16"/>
  <c r="Q40" i="16"/>
  <c r="Q38" i="16"/>
  <c r="Q36" i="16"/>
  <c r="Q34" i="16"/>
  <c r="Q32" i="16"/>
  <c r="Q30" i="16"/>
  <c r="Q28" i="16"/>
  <c r="Q26" i="16"/>
  <c r="Q24" i="16"/>
  <c r="Q22" i="16"/>
  <c r="Q20" i="16"/>
  <c r="Q18" i="16"/>
  <c r="Q16" i="16"/>
  <c r="Q14" i="16"/>
  <c r="Q12" i="16"/>
  <c r="Q10" i="16"/>
  <c r="Q8" i="16"/>
  <c r="Q6" i="16"/>
  <c r="Q4" i="16"/>
  <c r="Q2010" i="16"/>
  <c r="Q2008" i="16"/>
  <c r="Q2006" i="16"/>
  <c r="Q2004" i="16"/>
  <c r="Q2002" i="16"/>
  <c r="Q2000" i="16"/>
  <c r="Q1998" i="16"/>
  <c r="Q1996" i="16"/>
  <c r="Q1994" i="16"/>
  <c r="Q1992" i="16"/>
  <c r="Q1990" i="16"/>
  <c r="Q1988" i="16"/>
  <c r="Q1986" i="16"/>
  <c r="Q1984" i="16"/>
  <c r="Q1982" i="16"/>
  <c r="Q1980" i="16"/>
  <c r="Q1978" i="16"/>
  <c r="Q1976" i="16"/>
  <c r="Q1974" i="16"/>
  <c r="Q1972" i="16"/>
  <c r="Q1970" i="16"/>
  <c r="Q1968" i="16"/>
  <c r="Q1966" i="16"/>
  <c r="Q1964" i="16"/>
  <c r="Q1962" i="16"/>
  <c r="Q1960" i="16"/>
  <c r="Q1958" i="16"/>
  <c r="Q1956" i="16"/>
  <c r="Q1954" i="16"/>
  <c r="Q1952" i="16"/>
  <c r="Q1950" i="16"/>
  <c r="Q1948" i="16"/>
  <c r="Q1946" i="16"/>
  <c r="Q1944" i="16"/>
  <c r="Q1942" i="16"/>
  <c r="Q1940" i="16"/>
  <c r="Q1938" i="16"/>
  <c r="Q1936" i="16"/>
  <c r="Q1934" i="16"/>
  <c r="Q1932" i="16"/>
  <c r="Q1930" i="16"/>
  <c r="Q1928" i="16"/>
  <c r="Q1926" i="16"/>
  <c r="Q1924" i="16"/>
  <c r="Q1922" i="16"/>
  <c r="Q1920" i="16"/>
  <c r="Q1918" i="16"/>
  <c r="Q1916" i="16"/>
  <c r="Q1914" i="16"/>
  <c r="Q1912" i="16"/>
  <c r="Q1910" i="16"/>
  <c r="Q1908" i="16"/>
  <c r="Q1906" i="16"/>
  <c r="Q1904" i="16"/>
  <c r="Q1902" i="16"/>
  <c r="Q1900" i="16"/>
  <c r="Q1898" i="16"/>
  <c r="Q1896" i="16"/>
  <c r="Q1894" i="16"/>
  <c r="Q1892" i="16"/>
  <c r="Q1890" i="16"/>
  <c r="Q1888" i="16"/>
  <c r="Q1886" i="16"/>
  <c r="Q1884" i="16"/>
  <c r="Q1882" i="16"/>
  <c r="Q1880" i="16"/>
  <c r="Q1878" i="16"/>
  <c r="Q1876" i="16"/>
  <c r="Q1874" i="16"/>
  <c r="Q1872" i="16"/>
  <c r="Q1870" i="16"/>
  <c r="Q1868" i="16"/>
  <c r="Q1866" i="16"/>
  <c r="Q1864" i="16"/>
  <c r="Q1862" i="16"/>
  <c r="Q1860" i="16"/>
  <c r="Q1858" i="16"/>
  <c r="Q1856" i="16"/>
  <c r="Q1854" i="16"/>
  <c r="Q1852" i="16"/>
  <c r="Q1850" i="16"/>
  <c r="Q1848" i="16"/>
  <c r="Q1846" i="16"/>
  <c r="Q1844" i="16"/>
  <c r="Q1842" i="16"/>
  <c r="Q1840" i="16"/>
  <c r="Q1838" i="16"/>
  <c r="Q1836" i="16"/>
  <c r="Q1834" i="16"/>
  <c r="Q1832" i="16"/>
  <c r="Q1830" i="16"/>
  <c r="Q1828" i="16"/>
  <c r="Q1826" i="16"/>
  <c r="Q1824" i="16"/>
  <c r="Q1822" i="16"/>
  <c r="Q1820" i="16"/>
  <c r="Q1818" i="16"/>
  <c r="Q1816" i="16"/>
  <c r="Q1814" i="16"/>
  <c r="Q1812" i="16"/>
  <c r="Q1810" i="16"/>
  <c r="Q1808" i="16"/>
  <c r="Q1806" i="16"/>
  <c r="Q1804" i="16"/>
  <c r="Q1802" i="16"/>
  <c r="Q1800" i="16"/>
  <c r="Q1798" i="16"/>
  <c r="Q1796" i="16"/>
  <c r="Q1794" i="16"/>
  <c r="Q1792" i="16"/>
  <c r="Q1790" i="16"/>
  <c r="Q1788" i="16"/>
  <c r="Q1786" i="16"/>
  <c r="Q1784" i="16"/>
  <c r="Q1782" i="16"/>
  <c r="Q1780" i="16"/>
  <c r="Q1778" i="16"/>
  <c r="Q1776" i="16"/>
  <c r="Q1774" i="16"/>
  <c r="Q1772" i="16"/>
  <c r="Q1770" i="16"/>
  <c r="Q1768" i="16"/>
  <c r="Q1766" i="16"/>
  <c r="Q1764" i="16"/>
  <c r="Q1762" i="16"/>
  <c r="Q1760" i="16"/>
  <c r="Q1758" i="16"/>
  <c r="Q1756" i="16"/>
  <c r="Q1754" i="16"/>
  <c r="Q1752" i="16"/>
  <c r="Q1750" i="16"/>
  <c r="Q1748" i="16"/>
  <c r="Q1746" i="16"/>
  <c r="Q1744" i="16"/>
  <c r="Q1742" i="16"/>
  <c r="Q1740" i="16"/>
  <c r="Q1738" i="16"/>
  <c r="Q1736" i="16"/>
  <c r="Q1734" i="16"/>
  <c r="Q1732" i="16"/>
  <c r="Q1730" i="16"/>
  <c r="Q1728" i="16"/>
  <c r="Q1726" i="16"/>
  <c r="Q1724" i="16"/>
  <c r="Q1722" i="16"/>
  <c r="Q1720" i="16"/>
  <c r="Q1718" i="16"/>
  <c r="Q1716" i="16"/>
  <c r="Q1714" i="16"/>
  <c r="Q1712" i="16"/>
  <c r="Q1710" i="16"/>
  <c r="Q1708" i="16"/>
  <c r="Q1706" i="16"/>
  <c r="Q1704" i="16"/>
  <c r="Q1702" i="16"/>
  <c r="Q1700" i="16"/>
  <c r="Q1698" i="16"/>
  <c r="Q1696" i="16"/>
  <c r="Q1694" i="16"/>
  <c r="Q1692" i="16"/>
  <c r="Q1690" i="16"/>
  <c r="Q1688" i="16"/>
  <c r="Q1686" i="16"/>
  <c r="Q1684" i="16"/>
  <c r="Q1682" i="16"/>
  <c r="Q1680" i="16"/>
  <c r="Q1678" i="16"/>
  <c r="Q1676" i="16"/>
  <c r="Q1674" i="16"/>
  <c r="Q1672" i="16"/>
  <c r="Q1670" i="16"/>
  <c r="Q1668" i="16"/>
  <c r="Q1666" i="16"/>
  <c r="Q1664" i="16"/>
  <c r="Q1662" i="16"/>
  <c r="Q1660" i="16"/>
  <c r="Q1658" i="16"/>
  <c r="Q1656" i="16"/>
  <c r="Q1654" i="16"/>
  <c r="Q1652" i="16"/>
  <c r="Q1650" i="16"/>
  <c r="Q1648" i="16"/>
  <c r="Q1646" i="16"/>
  <c r="Q1644" i="16"/>
  <c r="Q1642" i="16"/>
  <c r="Q1640" i="16"/>
  <c r="Q1638" i="16"/>
  <c r="Q1636" i="16"/>
  <c r="Q1634" i="16"/>
  <c r="Q1632" i="16"/>
  <c r="Q1630" i="16"/>
  <c r="Q1628" i="16"/>
  <c r="Q1626" i="16"/>
  <c r="Q1624" i="16"/>
  <c r="Q1622" i="16"/>
  <c r="Q1620" i="16"/>
  <c r="Q1618" i="16"/>
  <c r="Q1616" i="16"/>
  <c r="Q1614" i="16"/>
  <c r="Q1612" i="16"/>
  <c r="Q1610" i="16"/>
  <c r="Q1608" i="16"/>
  <c r="Q1606" i="16"/>
  <c r="Q1604" i="16"/>
  <c r="Q1602" i="16"/>
  <c r="Q1600" i="16"/>
  <c r="Q1598" i="16"/>
  <c r="Q1596" i="16"/>
  <c r="Q1594" i="16"/>
  <c r="Q1592" i="16"/>
  <c r="Q1590" i="16"/>
  <c r="Q1588" i="16"/>
  <c r="Q1586" i="16"/>
  <c r="Q1584" i="16"/>
  <c r="Q1582" i="16"/>
  <c r="Q1580" i="16"/>
  <c r="Q1578" i="16"/>
  <c r="Q1576" i="16"/>
  <c r="Q1574" i="16"/>
  <c r="Q1572" i="16"/>
  <c r="Q1570" i="16"/>
  <c r="Q1568" i="16"/>
  <c r="Q1566" i="16"/>
  <c r="Q1564" i="16"/>
  <c r="Q1562" i="16"/>
  <c r="Q1560" i="16"/>
  <c r="Q1558" i="16"/>
  <c r="Q1556" i="16"/>
  <c r="Q1554" i="16"/>
  <c r="Q1552" i="16"/>
  <c r="Q1550" i="16"/>
  <c r="Q1548" i="16"/>
  <c r="Q1546" i="16"/>
  <c r="Q1544" i="16"/>
  <c r="Q1542" i="16"/>
  <c r="Q1540" i="16"/>
  <c r="Q1538" i="16"/>
  <c r="Q1536" i="16"/>
  <c r="Q1534" i="16"/>
  <c r="Q1532" i="16"/>
  <c r="Q1530" i="16"/>
  <c r="Q1528" i="16"/>
  <c r="Q1526" i="16"/>
  <c r="Q1524" i="16"/>
  <c r="Q1522" i="16"/>
  <c r="Q1520" i="16"/>
  <c r="Q1518" i="16"/>
  <c r="Q1516" i="16"/>
  <c r="Q1514" i="16"/>
  <c r="Q1512" i="16"/>
  <c r="Q1510" i="16"/>
  <c r="Q1508" i="16"/>
  <c r="Q1506" i="16"/>
  <c r="Q1504" i="16"/>
  <c r="Q1502" i="16"/>
  <c r="Q1500" i="16"/>
  <c r="Q1498" i="16"/>
  <c r="Q1496" i="16"/>
  <c r="Q1494" i="16"/>
  <c r="Q1492" i="16"/>
  <c r="Q1490" i="16"/>
  <c r="Q1488" i="16"/>
  <c r="Q1486" i="16"/>
  <c r="Q1484" i="16"/>
  <c r="Q1482" i="16"/>
  <c r="Q1480" i="16"/>
  <c r="Q1478" i="16"/>
  <c r="Q1476" i="16"/>
  <c r="Q1474" i="16"/>
  <c r="Q1472" i="16"/>
  <c r="Q1470" i="16"/>
  <c r="Q1468" i="16"/>
  <c r="Q1466" i="16"/>
  <c r="Q1464" i="16"/>
  <c r="Q1462" i="16"/>
  <c r="Q1460" i="16"/>
  <c r="Q1458" i="16"/>
  <c r="Q1456" i="16"/>
  <c r="Q1454" i="16"/>
  <c r="Q1452" i="16"/>
  <c r="Q1450" i="16"/>
  <c r="Q1448" i="16"/>
  <c r="Q1446" i="16"/>
  <c r="Q1444" i="16"/>
  <c r="Q1442" i="16"/>
  <c r="Q1440" i="16"/>
  <c r="Q1438" i="16"/>
  <c r="Q1436" i="16"/>
  <c r="Q1434" i="16"/>
  <c r="Q1432" i="16"/>
  <c r="Q1430" i="16"/>
  <c r="Q1428" i="16"/>
  <c r="Q1426" i="16"/>
  <c r="Q1424" i="16"/>
  <c r="Q1422" i="16"/>
  <c r="Q1420" i="16"/>
  <c r="Q1418" i="16"/>
  <c r="Q1416" i="16"/>
  <c r="Q1414" i="16"/>
  <c r="Q1412" i="16"/>
  <c r="Q1410" i="16"/>
  <c r="Q1408" i="16"/>
  <c r="Q1406" i="16"/>
  <c r="Q1404" i="16"/>
  <c r="Q1402" i="16"/>
  <c r="Q1400" i="16"/>
  <c r="Q1398" i="16"/>
  <c r="Q1396" i="16"/>
  <c r="Q1394" i="16"/>
  <c r="Q1392" i="16"/>
  <c r="Q1390" i="16"/>
  <c r="Q1388" i="16"/>
  <c r="Q1386" i="16"/>
  <c r="Q1384" i="16"/>
  <c r="Q1382" i="16"/>
  <c r="Q1380" i="16"/>
  <c r="Q1378" i="16"/>
  <c r="Q1376" i="16"/>
  <c r="Q1374" i="16"/>
  <c r="Q1372" i="16"/>
  <c r="Q1370" i="16"/>
  <c r="Q1368" i="16"/>
  <c r="Q1366" i="16"/>
  <c r="Q1364" i="16"/>
  <c r="Q1362" i="16"/>
  <c r="Q1360" i="16"/>
  <c r="Q1358" i="16"/>
  <c r="Q1356" i="16"/>
  <c r="Q1354" i="16"/>
  <c r="Q1352" i="16"/>
  <c r="Q1350" i="16"/>
  <c r="Q1348" i="16"/>
  <c r="Q1346" i="16"/>
  <c r="Q1344" i="16"/>
  <c r="Q1342" i="16"/>
  <c r="Q1340" i="16"/>
  <c r="Q1338" i="16"/>
  <c r="Q1336" i="16"/>
  <c r="Q1334" i="16"/>
  <c r="Q1332" i="16"/>
  <c r="Q1330" i="16"/>
  <c r="Q1328" i="16"/>
  <c r="Q1326" i="16"/>
  <c r="Q1324" i="16"/>
  <c r="Q1322" i="16"/>
  <c r="Q1320" i="16"/>
  <c r="Q1318" i="16"/>
  <c r="Q1316" i="16"/>
  <c r="Q1314" i="16"/>
  <c r="Q1312" i="16"/>
  <c r="Q1310" i="16"/>
  <c r="Q1308" i="16"/>
  <c r="Q1306" i="16"/>
  <c r="Q1304" i="16"/>
  <c r="Q1302" i="16"/>
  <c r="Q1300" i="16"/>
  <c r="Q1211" i="16"/>
  <c r="Q1209" i="16"/>
  <c r="Q1207" i="16"/>
  <c r="Q1205" i="16"/>
  <c r="Q1203" i="16"/>
  <c r="Q1201" i="16"/>
  <c r="Q1199" i="16"/>
  <c r="Q1197" i="16"/>
  <c r="Q1195" i="16"/>
  <c r="Q1193" i="16"/>
  <c r="Q1191" i="16"/>
  <c r="Q1189" i="16"/>
  <c r="Q1187" i="16"/>
  <c r="Q1185" i="16"/>
  <c r="Q1183" i="16"/>
  <c r="Q1181" i="16"/>
  <c r="Q1179" i="16"/>
  <c r="Q1177" i="16"/>
  <c r="Q1175" i="16"/>
  <c r="Q1173" i="16"/>
  <c r="Q1171" i="16"/>
  <c r="Q1169" i="16"/>
  <c r="Q1167" i="16"/>
  <c r="Q1165" i="16"/>
  <c r="Q1163" i="16"/>
  <c r="Q1161" i="16"/>
  <c r="Q1159" i="16"/>
  <c r="Q1157" i="16"/>
  <c r="Q1155" i="16"/>
  <c r="Q1153" i="16"/>
  <c r="Q1151" i="16"/>
  <c r="Q1149" i="16"/>
  <c r="Q1147" i="16"/>
  <c r="Q1145" i="16"/>
  <c r="Q1143" i="16"/>
  <c r="Q1141" i="16"/>
  <c r="Q1139" i="16"/>
  <c r="Q1137" i="16"/>
  <c r="Q1135" i="16"/>
  <c r="Q1133" i="16"/>
  <c r="Q1131" i="16"/>
  <c r="Q1129" i="16"/>
  <c r="Q1127" i="16"/>
  <c r="Q1125" i="16"/>
  <c r="Q1123" i="16"/>
  <c r="Q1121" i="16"/>
  <c r="Q1119" i="16"/>
  <c r="Q1117" i="16"/>
  <c r="Q1115" i="16"/>
  <c r="Q1113" i="16"/>
  <c r="Q1111" i="16"/>
  <c r="Q1109" i="16"/>
  <c r="Q1107" i="16"/>
  <c r="Q1105" i="16"/>
  <c r="Q1103" i="16"/>
  <c r="Q1101" i="16"/>
  <c r="Q1099" i="16"/>
  <c r="Q1097" i="16"/>
  <c r="Q1095" i="16"/>
  <c r="Q1093" i="16"/>
  <c r="Q1091" i="16"/>
  <c r="Q1089" i="16"/>
  <c r="Q1087" i="16"/>
  <c r="Q1085" i="16"/>
  <c r="Q1083" i="16"/>
  <c r="Q1081" i="16"/>
  <c r="Q1079" i="16"/>
  <c r="Q1077" i="16"/>
  <c r="Q1075" i="16"/>
  <c r="Q1073" i="16"/>
  <c r="Q1071" i="16"/>
  <c r="Q1069" i="16"/>
  <c r="Q1067" i="16"/>
  <c r="Q1065" i="16"/>
  <c r="Q1063" i="16"/>
  <c r="Q1061" i="16"/>
  <c r="Q1059" i="16"/>
  <c r="Q1057" i="16"/>
  <c r="Q1055" i="16"/>
  <c r="Q1053" i="16"/>
  <c r="Q1051" i="16"/>
  <c r="Q1049" i="16"/>
  <c r="Q1047" i="16"/>
  <c r="Q1045" i="16"/>
  <c r="Q1043" i="16"/>
  <c r="Q1041" i="16"/>
  <c r="Q1039" i="16"/>
  <c r="Q1037" i="16"/>
  <c r="Q1035" i="16"/>
  <c r="Q1033" i="16"/>
  <c r="Q1031" i="16"/>
  <c r="Q1029" i="16"/>
  <c r="Q1027" i="16"/>
  <c r="Q1025" i="16"/>
  <c r="Q1023" i="16"/>
  <c r="Q1021" i="16"/>
  <c r="Q1019" i="16"/>
  <c r="Q1017" i="16"/>
  <c r="Q1015" i="16"/>
  <c r="Q1013" i="16"/>
  <c r="Q1011" i="16"/>
  <c r="Q1009" i="16"/>
  <c r="Q1007" i="16"/>
  <c r="Q1005" i="16"/>
  <c r="Q1003" i="16"/>
  <c r="Q1001" i="16"/>
  <c r="Q999" i="16"/>
  <c r="Q997" i="16"/>
  <c r="Q995" i="16"/>
  <c r="Q993" i="16"/>
  <c r="Q991" i="16"/>
  <c r="Q989" i="16"/>
  <c r="Q987" i="16"/>
  <c r="Q985" i="16"/>
  <c r="Q983" i="16"/>
  <c r="Q981" i="16"/>
  <c r="Q979" i="16"/>
  <c r="Q977" i="16"/>
  <c r="Q975" i="16"/>
  <c r="Q973" i="16"/>
  <c r="Q971" i="16"/>
  <c r="Q969" i="16"/>
  <c r="Q967" i="16"/>
  <c r="Q965" i="16"/>
  <c r="Q963" i="16"/>
  <c r="Q961" i="16"/>
  <c r="Q959" i="16"/>
  <c r="Q957" i="16"/>
  <c r="Q955" i="16"/>
  <c r="Q953" i="16"/>
  <c r="Q951" i="16"/>
  <c r="Q949" i="16"/>
  <c r="Q947" i="16"/>
  <c r="Q945" i="16"/>
  <c r="Q943" i="16"/>
  <c r="Q941" i="16"/>
  <c r="Q939" i="16"/>
  <c r="Q937" i="16"/>
  <c r="Q935" i="16"/>
  <c r="Q933" i="16"/>
  <c r="Q931" i="16"/>
  <c r="Q929" i="16"/>
  <c r="Q927" i="16"/>
  <c r="Q925" i="16"/>
  <c r="Q923" i="16"/>
  <c r="Q921" i="16"/>
  <c r="Q919" i="16"/>
  <c r="Q917" i="16"/>
  <c r="Q915" i="16"/>
  <c r="Q913" i="16"/>
  <c r="Q911" i="16"/>
  <c r="Q909" i="16"/>
  <c r="Q907" i="16"/>
  <c r="Q905" i="16"/>
  <c r="Q903" i="16"/>
  <c r="Q901" i="16"/>
  <c r="Q899" i="16"/>
  <c r="Q897" i="16"/>
  <c r="Q895" i="16"/>
  <c r="Q893" i="16"/>
  <c r="Q891" i="16"/>
  <c r="Q889" i="16"/>
  <c r="Q887" i="16"/>
  <c r="Q885" i="16"/>
  <c r="Q883" i="16"/>
  <c r="Q881" i="16"/>
  <c r="Q879" i="16"/>
  <c r="Q877" i="16"/>
  <c r="Q875" i="16"/>
  <c r="Q873" i="16"/>
  <c r="Q871" i="16"/>
  <c r="Q869" i="16"/>
  <c r="Q867" i="16"/>
  <c r="Q865" i="16"/>
  <c r="Q863" i="16"/>
  <c r="Q861" i="16"/>
  <c r="Q859" i="16"/>
  <c r="Q857" i="16"/>
  <c r="Q855" i="16"/>
  <c r="Q853" i="16"/>
  <c r="Q851" i="16"/>
  <c r="Q849" i="16"/>
  <c r="Q847" i="16"/>
  <c r="Q845" i="16"/>
  <c r="Q843" i="16"/>
  <c r="Q841" i="16"/>
  <c r="Q839" i="16"/>
  <c r="Q837" i="16"/>
  <c r="Q835" i="16"/>
  <c r="Q833" i="16"/>
  <c r="Q831" i="16"/>
  <c r="Q829" i="16"/>
  <c r="Q827" i="16"/>
  <c r="Q825" i="16"/>
  <c r="Q823" i="16"/>
  <c r="Q821" i="16"/>
  <c r="Q819" i="16"/>
  <c r="Q817" i="16"/>
  <c r="Q815" i="16"/>
  <c r="Q813" i="16"/>
  <c r="Q811" i="16"/>
  <c r="Q809" i="16"/>
  <c r="Q807" i="16"/>
  <c r="Q805" i="16"/>
  <c r="Q803" i="16"/>
  <c r="Q801" i="16"/>
  <c r="Q799" i="16"/>
  <c r="Q797" i="16"/>
  <c r="Q795" i="16"/>
  <c r="Q793" i="16"/>
  <c r="Q791" i="16"/>
  <c r="Q789" i="16"/>
  <c r="Q787" i="16"/>
  <c r="Q785" i="16"/>
  <c r="Q783" i="16"/>
  <c r="Q781" i="16"/>
  <c r="Q779" i="16"/>
  <c r="Q777" i="16"/>
  <c r="Q775" i="16"/>
  <c r="Q773" i="16"/>
  <c r="Q771" i="16"/>
  <c r="Q769" i="16"/>
  <c r="Q767" i="16"/>
  <c r="Q765" i="16"/>
  <c r="Q763" i="16"/>
  <c r="Q761" i="16"/>
  <c r="Q759" i="16"/>
  <c r="Q757" i="16"/>
  <c r="Q755" i="16"/>
  <c r="Q753" i="16"/>
  <c r="Q751" i="16"/>
  <c r="Q749" i="16"/>
  <c r="Q747" i="16"/>
  <c r="Q745" i="16"/>
  <c r="Q743" i="16"/>
  <c r="Q741" i="16"/>
  <c r="Q739" i="16"/>
  <c r="Q737" i="16"/>
  <c r="Q735" i="16"/>
  <c r="Q733" i="16"/>
  <c r="Q731" i="16"/>
  <c r="Q729" i="16"/>
  <c r="Q727" i="16"/>
  <c r="Q725" i="16"/>
  <c r="Q723" i="16"/>
  <c r="Q721" i="16"/>
  <c r="Q719" i="16"/>
  <c r="Q717" i="16"/>
  <c r="Q715" i="16"/>
  <c r="Q713" i="16"/>
  <c r="Q711" i="16"/>
  <c r="Q709" i="16"/>
  <c r="Q707" i="16"/>
  <c r="Q705" i="16"/>
  <c r="Q703" i="16"/>
  <c r="Q701" i="16"/>
  <c r="Q699" i="16"/>
  <c r="Q697" i="16"/>
  <c r="Q695" i="16"/>
  <c r="Q693" i="16"/>
  <c r="Q691" i="16"/>
  <c r="Q689" i="16"/>
  <c r="Q687" i="16"/>
  <c r="Q685" i="16"/>
  <c r="Q683" i="16"/>
  <c r="Q681" i="16"/>
  <c r="Q679" i="16"/>
  <c r="Q677" i="16"/>
  <c r="Q675" i="16"/>
  <c r="Q673" i="16"/>
  <c r="Q671" i="16"/>
  <c r="Q669" i="16"/>
  <c r="Q667" i="16"/>
  <c r="Q665" i="16"/>
  <c r="Q663" i="16"/>
  <c r="Q661" i="16"/>
  <c r="Q659" i="16"/>
  <c r="Q657" i="16"/>
  <c r="Q655" i="16"/>
  <c r="Q653" i="16"/>
  <c r="Q651" i="16"/>
  <c r="Q649" i="16"/>
  <c r="Q647" i="16"/>
  <c r="Q645" i="16"/>
  <c r="Q643" i="16"/>
  <c r="Q641" i="16"/>
  <c r="Q639" i="16"/>
  <c r="Q637" i="16"/>
  <c r="Q635" i="16"/>
  <c r="Q633" i="16"/>
  <c r="Q631" i="16"/>
  <c r="Q629" i="16"/>
  <c r="Q627" i="16"/>
  <c r="Q625" i="16"/>
  <c r="Q623" i="16"/>
  <c r="Q621" i="16"/>
  <c r="Q619" i="16"/>
  <c r="Q617" i="16"/>
  <c r="Q615" i="16"/>
  <c r="Q613" i="16"/>
  <c r="Q611" i="16"/>
  <c r="Q609" i="16"/>
  <c r="Q607" i="16"/>
  <c r="Q605" i="16"/>
  <c r="Q603" i="16"/>
  <c r="Q601" i="16"/>
  <c r="Q599" i="16"/>
  <c r="Q597" i="16"/>
  <c r="Q595" i="16"/>
  <c r="Q593" i="16"/>
  <c r="Q591" i="16"/>
  <c r="Q589" i="16"/>
  <c r="Q587" i="16"/>
  <c r="Q585" i="16"/>
  <c r="Q583" i="16"/>
  <c r="Q581" i="16"/>
  <c r="Q579" i="16"/>
  <c r="Q577" i="16"/>
  <c r="Q575" i="16"/>
  <c r="Q573" i="16"/>
  <c r="Q571" i="16"/>
  <c r="Q569" i="16"/>
  <c r="Q567" i="16"/>
  <c r="Q565" i="16"/>
  <c r="Q563" i="16"/>
  <c r="Q561" i="16"/>
  <c r="Q559" i="16"/>
  <c r="Q557" i="16"/>
  <c r="Q555" i="16"/>
  <c r="Q553" i="16"/>
  <c r="Q551" i="16"/>
  <c r="Q549" i="16"/>
  <c r="Q547" i="16"/>
  <c r="Q545" i="16"/>
  <c r="Q543" i="16"/>
  <c r="Q541" i="16"/>
  <c r="Q539" i="16"/>
  <c r="Q537" i="16"/>
  <c r="Q535" i="16"/>
  <c r="Q533" i="16"/>
  <c r="Q531" i="16"/>
  <c r="Q529" i="16"/>
  <c r="Q527" i="16"/>
  <c r="Q525" i="16"/>
  <c r="Q523" i="16"/>
  <c r="Q521" i="16"/>
  <c r="Q519" i="16"/>
  <c r="Q517" i="16"/>
  <c r="Q515" i="16"/>
  <c r="Q513" i="16"/>
  <c r="Q511" i="16"/>
  <c r="Q509" i="16"/>
  <c r="Q507" i="16"/>
  <c r="Q505" i="16"/>
  <c r="Q503" i="16"/>
  <c r="Q501" i="16"/>
  <c r="Q499" i="16"/>
  <c r="Q497" i="16"/>
  <c r="Q495" i="16"/>
  <c r="Q493" i="16"/>
  <c r="Q491" i="16"/>
  <c r="Q489" i="16"/>
  <c r="Q487" i="16"/>
  <c r="Q485" i="16"/>
  <c r="Q483" i="16"/>
  <c r="Q481" i="16"/>
  <c r="Q479" i="16"/>
  <c r="Q477" i="16"/>
  <c r="Q475" i="16"/>
  <c r="Q473" i="16"/>
  <c r="Q471" i="16"/>
  <c r="Q469" i="16"/>
  <c r="Q467" i="16"/>
  <c r="Q465" i="16"/>
  <c r="Q463" i="16"/>
  <c r="Q461" i="16"/>
  <c r="Q459" i="16"/>
  <c r="Q457" i="16"/>
  <c r="Q455" i="16"/>
  <c r="Q453" i="16"/>
  <c r="Q451" i="16"/>
  <c r="Q449" i="16"/>
  <c r="Q447" i="16"/>
  <c r="Q445" i="16"/>
  <c r="Q443" i="16"/>
  <c r="Q441" i="16"/>
  <c r="Q439" i="16"/>
  <c r="Q437" i="16"/>
  <c r="Q435" i="16"/>
  <c r="Q433" i="16"/>
  <c r="Q431" i="16"/>
  <c r="Q429" i="16"/>
  <c r="Q427" i="16"/>
  <c r="Q425" i="16"/>
  <c r="Q423" i="16"/>
  <c r="Q421" i="16"/>
  <c r="Q419" i="16"/>
  <c r="Q417" i="16"/>
  <c r="Q415" i="16"/>
  <c r="Q413" i="16"/>
  <c r="Q411" i="16"/>
  <c r="Q409" i="16"/>
  <c r="Q407" i="16"/>
  <c r="Q405" i="16"/>
  <c r="Q403" i="16"/>
  <c r="Q401" i="16"/>
  <c r="Q399" i="16"/>
  <c r="Q397" i="16"/>
  <c r="Q395" i="16"/>
  <c r="Q393" i="16"/>
  <c r="Q391" i="16"/>
  <c r="Q389" i="16"/>
  <c r="Q387" i="16"/>
  <c r="Q385" i="16"/>
  <c r="Q383" i="16"/>
  <c r="Q381" i="16"/>
  <c r="Q379" i="16"/>
  <c r="Q377" i="16"/>
  <c r="Q375" i="16"/>
  <c r="Q373" i="16"/>
  <c r="Q371" i="16"/>
  <c r="Q369" i="16"/>
  <c r="Q367" i="16"/>
  <c r="Q365" i="16"/>
  <c r="Q363" i="16"/>
  <c r="Q361" i="16"/>
  <c r="Q359" i="16"/>
  <c r="Q357" i="16"/>
  <c r="Q355" i="16"/>
  <c r="Q353" i="16"/>
  <c r="Q351" i="16"/>
  <c r="Q349" i="16"/>
  <c r="Q347" i="16"/>
  <c r="Q345" i="16"/>
  <c r="Q343" i="16"/>
  <c r="Q341" i="16"/>
  <c r="Q339" i="16"/>
  <c r="Q337" i="16"/>
  <c r="Q335" i="16"/>
  <c r="Q333" i="16"/>
  <c r="Q331" i="16"/>
  <c r="Q329" i="16"/>
  <c r="Q327" i="16"/>
  <c r="Q325" i="16"/>
  <c r="Q323" i="16"/>
  <c r="Q321" i="16"/>
  <c r="Q319" i="16"/>
  <c r="Q317" i="16"/>
  <c r="Q315" i="16"/>
  <c r="Q313" i="16"/>
  <c r="Q311" i="16"/>
  <c r="Q309" i="16"/>
  <c r="Q307" i="16"/>
  <c r="Q305" i="16"/>
  <c r="Q303" i="16"/>
  <c r="Q301" i="16"/>
  <c r="Q299" i="16"/>
  <c r="Q297" i="16"/>
  <c r="Q295" i="16"/>
  <c r="Q293" i="16"/>
  <c r="Q291" i="16"/>
  <c r="Q289" i="16"/>
  <c r="Q287" i="16"/>
  <c r="Q285" i="16"/>
  <c r="Q283" i="16"/>
  <c r="Q281" i="16"/>
  <c r="Q279" i="16"/>
  <c r="Q277" i="16"/>
  <c r="Q275" i="16"/>
  <c r="Q273" i="16"/>
  <c r="Q271" i="16"/>
  <c r="Q269" i="16"/>
  <c r="Q267" i="16"/>
  <c r="Q265" i="16"/>
  <c r="Q263" i="16"/>
  <c r="Q261" i="16"/>
  <c r="Q259" i="16"/>
  <c r="Q257" i="16"/>
  <c r="Q255" i="16"/>
  <c r="Q253" i="16"/>
  <c r="Q251" i="16"/>
  <c r="Q249" i="16"/>
  <c r="Q247" i="16"/>
  <c r="Q245" i="16"/>
  <c r="Q243" i="16"/>
  <c r="Q241" i="16"/>
  <c r="Q239" i="16"/>
  <c r="Q237" i="16"/>
  <c r="Q235" i="16"/>
  <c r="Q233" i="16"/>
  <c r="Q231" i="16"/>
  <c r="Q229" i="16"/>
  <c r="Q227" i="16"/>
  <c r="Q225" i="16"/>
  <c r="Q223" i="16"/>
  <c r="Q221" i="16"/>
  <c r="Q219" i="16"/>
  <c r="Q217" i="16"/>
  <c r="Q215" i="16"/>
  <c r="Q213" i="16"/>
  <c r="Q211" i="16"/>
  <c r="Q209" i="16"/>
  <c r="Q207" i="16"/>
  <c r="Q205" i="16"/>
  <c r="Q203" i="16"/>
  <c r="Q201" i="16"/>
  <c r="Q199" i="16"/>
  <c r="Q197" i="16"/>
  <c r="Q195" i="16"/>
  <c r="Q193" i="16"/>
  <c r="Q191" i="16"/>
  <c r="Q189" i="16"/>
  <c r="Q187" i="16"/>
  <c r="Q185" i="16"/>
  <c r="Q183" i="16"/>
  <c r="Q181" i="16"/>
  <c r="Q179" i="16"/>
  <c r="Q177" i="16"/>
  <c r="Q175" i="16"/>
  <c r="Q173" i="16"/>
  <c r="Q171" i="16"/>
  <c r="Q169" i="16"/>
  <c r="Q167" i="16"/>
  <c r="Q165" i="16"/>
  <c r="Q163" i="16"/>
  <c r="Q161" i="16"/>
  <c r="Q159" i="16"/>
  <c r="Q157" i="16"/>
  <c r="Q155" i="16"/>
  <c r="Q153" i="16"/>
  <c r="Q151" i="16"/>
  <c r="Q149" i="16"/>
  <c r="Q147" i="16"/>
  <c r="Q145" i="16"/>
  <c r="Q143" i="16"/>
  <c r="Q141" i="16"/>
  <c r="Q139" i="16"/>
  <c r="Q137" i="16"/>
  <c r="Q135" i="16"/>
  <c r="Q133" i="16"/>
  <c r="Q131" i="16"/>
  <c r="Q129" i="16"/>
  <c r="Q127" i="16"/>
  <c r="Q125" i="16"/>
  <c r="Q123" i="16"/>
  <c r="Q121" i="16"/>
  <c r="Q119" i="16"/>
  <c r="Q117" i="16"/>
  <c r="Q115" i="16"/>
  <c r="Q113" i="16"/>
  <c r="Q111" i="16"/>
  <c r="Q109" i="16"/>
  <c r="Q107" i="16"/>
  <c r="Q105" i="16"/>
  <c r="Q103" i="16"/>
  <c r="Q101" i="16"/>
  <c r="Q99" i="16"/>
  <c r="Q97" i="16"/>
  <c r="Q95" i="16"/>
  <c r="Q93" i="16"/>
  <c r="Q91" i="16"/>
  <c r="Q89" i="16"/>
  <c r="Q87" i="16"/>
  <c r="Q85" i="16"/>
  <c r="Q83" i="16"/>
  <c r="Q81" i="16"/>
  <c r="Q79" i="16"/>
  <c r="Q77" i="16"/>
  <c r="Q75" i="16"/>
  <c r="Q73" i="16"/>
  <c r="Q71" i="16"/>
  <c r="Q69" i="16"/>
  <c r="Q67" i="16"/>
  <c r="Q65" i="16"/>
  <c r="Q63" i="16"/>
  <c r="Q61" i="16"/>
  <c r="Q59" i="16"/>
  <c r="Q57" i="16"/>
  <c r="Q55" i="16"/>
  <c r="Q53" i="16"/>
  <c r="Q51" i="16"/>
  <c r="Q49" i="16"/>
  <c r="Q47" i="16"/>
  <c r="Q45" i="16"/>
  <c r="Q43" i="16"/>
  <c r="Q41" i="16"/>
  <c r="Q39" i="16"/>
  <c r="Q37" i="16"/>
  <c r="Q35" i="16"/>
  <c r="Q33" i="16"/>
  <c r="Q31" i="16"/>
  <c r="Q29" i="16"/>
  <c r="Q27" i="16"/>
  <c r="Q25" i="16"/>
  <c r="Q23" i="16"/>
  <c r="Q21" i="16"/>
  <c r="Q19" i="16"/>
  <c r="Q17" i="16"/>
  <c r="Q15" i="16"/>
  <c r="Q13" i="16"/>
  <c r="Q11" i="16"/>
  <c r="Q9" i="16"/>
  <c r="Q7" i="16"/>
  <c r="Q5" i="16"/>
  <c r="R4154" i="16"/>
  <c r="R4153" i="16"/>
  <c r="R4152" i="16"/>
  <c r="R4151" i="16"/>
  <c r="R4150" i="16"/>
  <c r="R4149" i="16"/>
  <c r="R4148" i="16"/>
  <c r="R4147" i="16"/>
  <c r="R4146" i="16"/>
  <c r="R4145" i="16"/>
  <c r="R4144" i="16"/>
  <c r="R4143" i="16"/>
  <c r="R4142" i="16"/>
  <c r="R4141" i="16"/>
  <c r="R4140" i="16"/>
  <c r="R4139" i="16"/>
  <c r="R4138" i="16"/>
  <c r="R4137" i="16"/>
  <c r="R4136" i="16"/>
  <c r="R4135" i="16"/>
  <c r="R4134" i="16"/>
  <c r="R4133" i="16"/>
  <c r="R4132" i="16"/>
  <c r="R4131" i="16"/>
  <c r="R4130" i="16"/>
  <c r="R4129" i="16"/>
  <c r="R4128" i="16"/>
  <c r="R4127" i="16"/>
  <c r="R4126" i="16"/>
  <c r="R4125" i="16"/>
  <c r="R4124" i="16"/>
  <c r="R4123" i="16"/>
  <c r="R4122" i="16"/>
  <c r="R4121" i="16"/>
  <c r="R4120" i="16"/>
  <c r="R4119" i="16"/>
  <c r="R4118" i="16"/>
  <c r="R4117" i="16"/>
  <c r="R4116" i="16"/>
  <c r="R4115" i="16"/>
  <c r="R4114" i="16"/>
  <c r="R4113" i="16"/>
  <c r="R4112" i="16"/>
  <c r="R4111" i="16"/>
  <c r="R4110" i="16"/>
  <c r="R4109" i="16"/>
  <c r="R4108" i="16"/>
  <c r="R4107" i="16"/>
  <c r="R4106" i="16"/>
  <c r="R4105" i="16"/>
  <c r="R4104" i="16"/>
  <c r="R4103" i="16"/>
  <c r="R4102" i="16"/>
  <c r="R4101" i="16"/>
  <c r="R4100" i="16"/>
  <c r="R4099" i="16"/>
  <c r="R4098" i="16"/>
  <c r="R4097" i="16"/>
  <c r="R4096" i="16"/>
  <c r="R4095" i="16"/>
  <c r="R4094" i="16"/>
  <c r="R4093" i="16"/>
  <c r="R4092" i="16"/>
  <c r="R4091" i="16"/>
  <c r="R4090" i="16"/>
  <c r="R4089" i="16"/>
  <c r="R4088" i="16"/>
  <c r="R4087" i="16"/>
  <c r="R4086" i="16"/>
  <c r="R4085" i="16"/>
  <c r="R4084" i="16"/>
  <c r="R4083" i="16"/>
  <c r="R4082" i="16"/>
  <c r="R4081" i="16"/>
  <c r="R4080" i="16"/>
  <c r="R4079" i="16"/>
  <c r="R4078" i="16"/>
  <c r="R4077" i="16"/>
  <c r="R4076" i="16"/>
  <c r="R4075" i="16"/>
  <c r="R4074" i="16"/>
  <c r="R4073" i="16"/>
  <c r="R4072" i="16"/>
  <c r="R4071" i="16"/>
  <c r="R4070" i="16"/>
  <c r="R4069" i="16"/>
  <c r="R4067" i="16"/>
  <c r="R4065" i="16"/>
  <c r="R4063" i="16"/>
  <c r="R4061" i="16"/>
  <c r="R4059" i="16"/>
  <c r="R4057" i="16"/>
  <c r="R4055" i="16"/>
  <c r="R4053" i="16"/>
  <c r="R4051" i="16"/>
  <c r="R4049" i="16"/>
  <c r="R4047" i="16"/>
  <c r="R4045" i="16"/>
  <c r="R4043" i="16"/>
  <c r="R4041" i="16"/>
  <c r="R4039" i="16"/>
  <c r="R4037" i="16"/>
  <c r="R4035" i="16"/>
  <c r="R4033" i="16"/>
  <c r="R4031" i="16"/>
  <c r="R4029" i="16"/>
  <c r="R4027" i="16"/>
  <c r="R4025" i="16"/>
  <c r="R4023" i="16"/>
  <c r="R4021" i="16"/>
  <c r="R4019" i="16"/>
  <c r="R4017" i="16"/>
  <c r="R4015" i="16"/>
  <c r="R4013" i="16"/>
  <c r="R4011" i="16"/>
  <c r="R4009" i="16"/>
  <c r="R4007" i="16"/>
  <c r="R4005" i="16"/>
  <c r="R4003" i="16"/>
  <c r="R4001" i="16"/>
  <c r="R3999" i="16"/>
  <c r="R3997" i="16"/>
  <c r="R3995" i="16"/>
  <c r="R3993" i="16"/>
  <c r="R3991" i="16"/>
  <c r="R3989" i="16"/>
  <c r="R3987" i="16"/>
  <c r="R3985" i="16"/>
  <c r="R3983" i="16"/>
  <c r="R3981" i="16"/>
  <c r="R3979" i="16"/>
  <c r="R3977" i="16"/>
  <c r="R3975" i="16"/>
  <c r="R3973" i="16"/>
  <c r="R3971" i="16"/>
  <c r="R3969" i="16"/>
  <c r="R3967" i="16"/>
  <c r="R3965" i="16"/>
  <c r="R3963" i="16"/>
  <c r="R3961" i="16"/>
  <c r="R3959" i="16"/>
  <c r="R3957" i="16"/>
  <c r="R3955" i="16"/>
  <c r="R3953" i="16"/>
  <c r="R4068" i="16"/>
  <c r="R4066" i="16"/>
  <c r="R4064" i="16"/>
  <c r="R4062" i="16"/>
  <c r="R4060" i="16"/>
  <c r="R4058" i="16"/>
  <c r="R4056" i="16"/>
  <c r="R4054" i="16"/>
  <c r="R4052" i="16"/>
  <c r="R4050" i="16"/>
  <c r="R4048" i="16"/>
  <c r="R4046" i="16"/>
  <c r="R4044" i="16"/>
  <c r="R4042" i="16"/>
  <c r="R4040" i="16"/>
  <c r="R4038" i="16"/>
  <c r="R4036" i="16"/>
  <c r="R4034" i="16"/>
  <c r="R4032" i="16"/>
  <c r="R4030" i="16"/>
  <c r="R4028" i="16"/>
  <c r="R4026" i="16"/>
  <c r="R4024" i="16"/>
  <c r="R4022" i="16"/>
  <c r="R4020" i="16"/>
  <c r="R4018" i="16"/>
  <c r="R4016" i="16"/>
  <c r="R4014" i="16"/>
  <c r="R4012" i="16"/>
  <c r="R4010" i="16"/>
  <c r="R4008" i="16"/>
  <c r="R4006" i="16"/>
  <c r="R4004" i="16"/>
  <c r="R4002" i="16"/>
  <c r="R4000" i="16"/>
  <c r="R3998" i="16"/>
  <c r="R3996" i="16"/>
  <c r="R3994" i="16"/>
  <c r="R3992" i="16"/>
  <c r="R3990" i="16"/>
  <c r="R3988" i="16"/>
  <c r="R3986" i="16"/>
  <c r="R3984" i="16"/>
  <c r="R3982" i="16"/>
  <c r="R3980" i="16"/>
  <c r="R3978" i="16"/>
  <c r="R3976" i="16"/>
  <c r="R3974" i="16"/>
  <c r="R3972" i="16"/>
  <c r="R3970" i="16"/>
  <c r="R3968" i="16"/>
  <c r="R3966" i="16"/>
  <c r="R3964" i="16"/>
  <c r="R3962" i="16"/>
  <c r="R3960" i="16"/>
  <c r="R3958" i="16"/>
  <c r="R3956" i="16"/>
  <c r="R3954" i="16"/>
  <c r="R3952" i="16"/>
  <c r="R3951" i="16"/>
  <c r="R3950" i="16"/>
  <c r="R3949" i="16"/>
  <c r="R3948" i="16"/>
  <c r="R3947" i="16"/>
  <c r="R3946" i="16"/>
  <c r="R3945" i="16"/>
  <c r="R3944" i="16"/>
  <c r="R3943" i="16"/>
  <c r="R3942" i="16"/>
  <c r="R3941" i="16"/>
  <c r="R3940" i="16"/>
  <c r="R3939" i="16"/>
  <c r="R3938" i="16"/>
  <c r="R3937" i="16"/>
  <c r="R3936" i="16"/>
  <c r="R3935" i="16"/>
  <c r="R3934" i="16"/>
  <c r="R3933" i="16"/>
  <c r="R3932" i="16"/>
  <c r="R3931" i="16"/>
  <c r="R3930" i="16"/>
  <c r="R3929" i="16"/>
  <c r="R3928" i="16"/>
  <c r="R3927" i="16"/>
  <c r="R3926" i="16"/>
  <c r="R3924" i="16"/>
  <c r="R3925" i="16"/>
  <c r="R3923" i="16"/>
  <c r="R3922" i="16"/>
  <c r="R3921" i="16"/>
  <c r="R3920" i="16"/>
  <c r="R3919" i="16"/>
  <c r="R3918" i="16"/>
  <c r="R3917" i="16"/>
  <c r="R3916" i="16"/>
  <c r="R3915" i="16"/>
  <c r="R3914" i="16"/>
  <c r="R3913" i="16"/>
  <c r="R3912" i="16"/>
  <c r="R3911" i="16"/>
  <c r="R3910" i="16"/>
  <c r="R3909" i="16"/>
  <c r="R3908" i="16"/>
  <c r="R3907" i="16"/>
  <c r="R3906" i="16"/>
  <c r="R3905" i="16"/>
  <c r="R3904" i="16"/>
  <c r="R3903" i="16"/>
  <c r="R3902" i="16"/>
  <c r="R3901" i="16"/>
  <c r="R3900" i="16"/>
  <c r="R3899" i="16"/>
  <c r="R3898" i="16"/>
  <c r="R3897" i="16"/>
  <c r="R3896" i="16"/>
  <c r="R3895" i="16"/>
  <c r="R3894" i="16"/>
  <c r="R3893" i="16"/>
  <c r="R3892" i="16"/>
  <c r="R3891" i="16"/>
  <c r="R3890" i="16"/>
  <c r="R3889" i="16"/>
  <c r="R3888" i="16"/>
  <c r="R3887" i="16"/>
  <c r="R3886" i="16"/>
  <c r="R3885" i="16"/>
  <c r="R3884" i="16"/>
  <c r="R3883" i="16"/>
  <c r="R3882" i="16"/>
  <c r="R3881" i="16"/>
  <c r="R3880" i="16"/>
  <c r="R3879" i="16"/>
  <c r="R3878" i="16"/>
  <c r="R3877" i="16"/>
  <c r="R3876" i="16"/>
  <c r="R3875" i="16"/>
  <c r="R3874" i="16"/>
  <c r="R3873" i="16"/>
  <c r="R3872" i="16"/>
  <c r="R3871" i="16"/>
  <c r="R3870" i="16"/>
  <c r="R3869" i="16"/>
  <c r="R3868" i="16"/>
  <c r="R3867" i="16"/>
  <c r="R3866" i="16"/>
  <c r="R3865" i="16"/>
  <c r="R3864" i="16"/>
  <c r="R3863" i="16"/>
  <c r="R3862" i="16"/>
  <c r="R3861" i="16"/>
  <c r="R3860" i="16"/>
  <c r="R3859" i="16"/>
  <c r="R3858" i="16"/>
  <c r="R3857" i="16"/>
  <c r="R3856" i="16"/>
  <c r="R3855" i="16"/>
  <c r="R3854" i="16"/>
  <c r="R3853" i="16"/>
  <c r="R3852" i="16"/>
  <c r="R3851" i="16"/>
  <c r="R3850" i="16"/>
  <c r="R3849" i="16"/>
  <c r="R3848" i="16"/>
  <c r="R3847" i="16"/>
  <c r="R3846" i="16"/>
  <c r="R3845" i="16"/>
  <c r="R3844" i="16"/>
  <c r="R3843" i="16"/>
  <c r="R3842" i="16"/>
  <c r="R3841" i="16"/>
  <c r="R3840" i="16"/>
  <c r="R3839" i="16"/>
  <c r="R3838" i="16"/>
  <c r="R3837" i="16"/>
  <c r="R3836" i="16"/>
  <c r="R3835" i="16"/>
  <c r="R3834" i="16"/>
  <c r="R3833" i="16"/>
  <c r="R3832" i="16"/>
  <c r="R3831" i="16"/>
  <c r="R3830" i="16"/>
  <c r="R3829" i="16"/>
  <c r="R3828" i="16"/>
  <c r="R3827" i="16"/>
  <c r="R3826" i="16"/>
  <c r="R3825" i="16"/>
  <c r="R3824" i="16"/>
  <c r="R3823" i="16"/>
  <c r="R3822" i="16"/>
  <c r="R3821" i="16"/>
  <c r="R3820" i="16"/>
  <c r="R3819" i="16"/>
  <c r="R3818" i="16"/>
  <c r="R3817" i="16"/>
  <c r="R3816" i="16"/>
  <c r="R3815" i="16"/>
  <c r="R3814" i="16"/>
  <c r="R3813" i="16"/>
  <c r="R3812" i="16"/>
  <c r="R3811" i="16"/>
  <c r="R3810" i="16"/>
  <c r="R3809" i="16"/>
  <c r="R3808" i="16"/>
  <c r="R3807" i="16"/>
  <c r="R3806" i="16"/>
  <c r="R3805" i="16"/>
  <c r="R3804" i="16"/>
  <c r="R3803" i="16"/>
  <c r="R3802" i="16"/>
  <c r="R3801" i="16"/>
  <c r="R3800" i="16"/>
  <c r="R3799" i="16"/>
  <c r="R3798" i="16"/>
  <c r="R3797" i="16"/>
  <c r="R3796" i="16"/>
  <c r="R3795" i="16"/>
  <c r="R3794" i="16"/>
  <c r="R3793" i="16"/>
  <c r="R3792" i="16"/>
  <c r="R3791" i="16"/>
  <c r="R3790" i="16"/>
  <c r="R3789" i="16"/>
  <c r="R3788" i="16"/>
  <c r="R3787" i="16"/>
  <c r="R3786" i="16"/>
  <c r="R3785" i="16"/>
  <c r="R3784" i="16"/>
  <c r="R3783" i="16"/>
  <c r="R3782" i="16"/>
  <c r="R3781" i="16"/>
  <c r="R3780" i="16"/>
  <c r="R3779" i="16"/>
  <c r="R3778" i="16"/>
  <c r="R3777" i="16"/>
  <c r="R3776" i="16"/>
  <c r="R3775" i="16"/>
  <c r="R3774" i="16"/>
  <c r="R3773" i="16"/>
  <c r="R3772" i="16"/>
  <c r="R3771" i="16"/>
  <c r="R3770" i="16"/>
  <c r="R3769" i="16"/>
  <c r="R3768" i="16"/>
  <c r="R3767" i="16"/>
  <c r="R3766" i="16"/>
  <c r="R3765" i="16"/>
  <c r="R3764" i="16"/>
  <c r="R3763" i="16"/>
  <c r="R3762" i="16"/>
  <c r="R3761" i="16"/>
  <c r="R3760" i="16"/>
  <c r="R3759" i="16"/>
  <c r="R3758" i="16"/>
  <c r="R3757" i="16"/>
  <c r="R3756" i="16"/>
  <c r="R3755" i="16"/>
  <c r="R3754" i="16"/>
  <c r="R3753" i="16"/>
  <c r="R3752" i="16"/>
  <c r="R3751" i="16"/>
  <c r="R3750" i="16"/>
  <c r="R3749" i="16"/>
  <c r="R3748" i="16"/>
  <c r="R3747" i="16"/>
  <c r="R3746" i="16"/>
  <c r="R3745" i="16"/>
  <c r="R3744" i="16"/>
  <c r="R3743" i="16"/>
  <c r="R3742" i="16"/>
  <c r="R3741" i="16"/>
  <c r="R3740" i="16"/>
  <c r="R3739" i="16"/>
  <c r="R3738" i="16"/>
  <c r="R3737" i="16"/>
  <c r="R3736" i="16"/>
  <c r="R3735" i="16"/>
  <c r="R3734" i="16"/>
  <c r="R3733" i="16"/>
  <c r="R3732" i="16"/>
  <c r="R3731" i="16"/>
  <c r="R3730" i="16"/>
  <c r="R3729" i="16"/>
  <c r="R3728" i="16"/>
  <c r="R3727" i="16"/>
  <c r="R3726" i="16"/>
  <c r="R3725" i="16"/>
  <c r="R3724" i="16"/>
  <c r="R3723" i="16"/>
  <c r="R3722" i="16"/>
  <c r="R3721" i="16"/>
  <c r="R3720" i="16"/>
  <c r="R3719" i="16"/>
  <c r="R3718" i="16"/>
  <c r="R3717" i="16"/>
  <c r="R3716" i="16"/>
  <c r="R3715" i="16"/>
  <c r="R3714" i="16"/>
  <c r="R3713" i="16"/>
  <c r="R3712" i="16"/>
  <c r="R3711" i="16"/>
  <c r="R3710" i="16"/>
  <c r="R3709" i="16"/>
  <c r="R3708" i="16"/>
  <c r="R3707" i="16"/>
  <c r="R3706" i="16"/>
  <c r="R3705" i="16"/>
  <c r="R3704" i="16"/>
  <c r="R3703" i="16"/>
  <c r="R3702" i="16"/>
  <c r="R3701" i="16"/>
  <c r="R3700" i="16"/>
  <c r="R3699" i="16"/>
  <c r="R3698" i="16"/>
  <c r="R3697" i="16"/>
  <c r="R3696" i="16"/>
  <c r="R3695" i="16"/>
  <c r="R3694" i="16"/>
  <c r="R3693" i="16"/>
  <c r="R3692" i="16"/>
  <c r="R3691" i="16"/>
  <c r="R3690" i="16"/>
  <c r="R3689" i="16"/>
  <c r="R3688" i="16"/>
  <c r="R3687" i="16"/>
  <c r="R3686" i="16"/>
  <c r="R3685" i="16"/>
  <c r="R3684" i="16"/>
  <c r="R3683" i="16"/>
  <c r="R3682" i="16"/>
  <c r="R3681" i="16"/>
  <c r="R3680" i="16"/>
  <c r="R3679" i="16"/>
  <c r="R3678" i="16"/>
  <c r="R3677" i="16"/>
  <c r="R3676" i="16"/>
  <c r="R3675" i="16"/>
  <c r="R3674" i="16"/>
  <c r="R3673" i="16"/>
  <c r="R3672" i="16"/>
  <c r="R3671" i="16"/>
  <c r="R3670" i="16"/>
  <c r="R3669" i="16"/>
  <c r="R3668" i="16"/>
  <c r="R3667" i="16"/>
  <c r="R3666" i="16"/>
  <c r="R3665" i="16"/>
  <c r="R3664" i="16"/>
  <c r="R3663" i="16"/>
  <c r="R3662" i="16"/>
  <c r="R3661" i="16"/>
  <c r="R3660" i="16"/>
  <c r="R3659" i="16"/>
  <c r="R3658" i="16"/>
  <c r="R3657" i="16"/>
  <c r="R3656" i="16"/>
  <c r="R3655" i="16"/>
  <c r="R3654" i="16"/>
  <c r="R3653" i="16"/>
  <c r="R3652" i="16"/>
  <c r="R3651" i="16"/>
  <c r="R3650" i="16"/>
  <c r="R3649" i="16"/>
  <c r="R3648" i="16"/>
  <c r="R3647" i="16"/>
  <c r="R3646" i="16"/>
  <c r="R3645" i="16"/>
  <c r="R3644" i="16"/>
  <c r="R3643" i="16"/>
  <c r="R3642" i="16"/>
  <c r="R3641" i="16"/>
  <c r="R3640" i="16"/>
  <c r="R3639" i="16"/>
  <c r="R3638" i="16"/>
  <c r="R3637" i="16"/>
  <c r="R3636" i="16"/>
  <c r="R3635" i="16"/>
  <c r="R3634" i="16"/>
  <c r="R3633" i="16"/>
  <c r="R3632" i="16"/>
  <c r="R3631" i="16"/>
  <c r="R3630" i="16"/>
  <c r="R3629" i="16"/>
  <c r="R3628" i="16"/>
  <c r="R3627" i="16"/>
  <c r="R3626" i="16"/>
  <c r="R3625" i="16"/>
  <c r="R3624" i="16"/>
  <c r="R3623" i="16"/>
  <c r="R3622" i="16"/>
  <c r="R3621" i="16"/>
  <c r="R3620" i="16"/>
  <c r="R3619" i="16"/>
  <c r="R3618" i="16"/>
  <c r="R3617" i="16"/>
  <c r="R3616" i="16"/>
  <c r="R3615" i="16"/>
  <c r="R3614" i="16"/>
  <c r="R3613" i="16"/>
  <c r="R3612" i="16"/>
  <c r="R3611" i="16"/>
  <c r="R3610" i="16"/>
  <c r="R3609" i="16"/>
  <c r="R3608" i="16"/>
  <c r="R3607" i="16"/>
  <c r="R3606" i="16"/>
  <c r="R3605" i="16"/>
  <c r="R3604" i="16"/>
  <c r="R3603" i="16"/>
  <c r="R3602" i="16"/>
  <c r="R3601" i="16"/>
  <c r="R3600" i="16"/>
  <c r="R3599" i="16"/>
  <c r="R3598" i="16"/>
  <c r="R3597" i="16"/>
  <c r="R3596" i="16"/>
  <c r="R3595" i="16"/>
  <c r="R3594" i="16"/>
  <c r="R3593" i="16"/>
  <c r="R3592" i="16"/>
  <c r="R3591" i="16"/>
  <c r="R3590" i="16"/>
  <c r="R3589" i="16"/>
  <c r="R3588" i="16"/>
  <c r="R3587" i="16"/>
  <c r="R3586" i="16"/>
  <c r="R3585" i="16"/>
  <c r="R3584" i="16"/>
  <c r="R3583" i="16"/>
  <c r="R3582" i="16"/>
  <c r="R3581" i="16"/>
  <c r="R3580" i="16"/>
  <c r="R3579" i="16"/>
  <c r="R3578" i="16"/>
  <c r="R3577" i="16"/>
  <c r="R3576" i="16"/>
  <c r="R3575" i="16"/>
  <c r="R3574" i="16"/>
  <c r="R3573" i="16"/>
  <c r="R3572" i="16"/>
  <c r="R3571" i="16"/>
  <c r="R3570" i="16"/>
  <c r="R3569" i="16"/>
  <c r="R3568" i="16"/>
  <c r="R3567" i="16"/>
  <c r="R3566" i="16"/>
  <c r="R3565" i="16"/>
  <c r="R3564" i="16"/>
  <c r="R3563" i="16"/>
  <c r="R3562" i="16"/>
  <c r="R3561" i="16"/>
  <c r="R3560" i="16"/>
  <c r="R3559" i="16"/>
  <c r="R3558" i="16"/>
  <c r="R3557" i="16"/>
  <c r="R3556" i="16"/>
  <c r="R3555" i="16"/>
  <c r="R3554" i="16"/>
  <c r="R3553" i="16"/>
  <c r="R3552" i="16"/>
  <c r="R3551" i="16"/>
  <c r="R3550" i="16"/>
  <c r="R3549" i="16"/>
  <c r="R3548" i="16"/>
  <c r="R3547" i="16"/>
  <c r="R3546" i="16"/>
  <c r="R3545" i="16"/>
  <c r="R3544" i="16"/>
  <c r="R3543" i="16"/>
  <c r="R3542" i="16"/>
  <c r="R3541" i="16"/>
  <c r="R3540" i="16"/>
  <c r="R3539" i="16"/>
  <c r="R3538" i="16"/>
  <c r="R3537" i="16"/>
  <c r="R3536" i="16"/>
  <c r="R3535" i="16"/>
  <c r="R3534" i="16"/>
  <c r="R3533" i="16"/>
  <c r="R3532" i="16"/>
  <c r="R3531" i="16"/>
  <c r="R3530" i="16"/>
  <c r="R3529" i="16"/>
  <c r="R3528" i="16"/>
  <c r="R3527" i="16"/>
  <c r="R3526" i="16"/>
  <c r="R3525" i="16"/>
  <c r="R3524" i="16"/>
  <c r="R3523" i="16"/>
  <c r="R3522" i="16"/>
  <c r="R3521" i="16"/>
  <c r="R3520" i="16"/>
  <c r="R3519" i="16"/>
  <c r="R3518" i="16"/>
  <c r="R3517" i="16"/>
  <c r="R3516" i="16"/>
  <c r="R3515" i="16"/>
  <c r="R3514" i="16"/>
  <c r="R3513" i="16"/>
  <c r="R3512" i="16"/>
  <c r="R3511" i="16"/>
  <c r="R3510" i="16"/>
  <c r="R3509" i="16"/>
  <c r="R3508" i="16"/>
  <c r="R3507" i="16"/>
  <c r="R3506" i="16"/>
  <c r="R3505" i="16"/>
  <c r="R3504" i="16"/>
  <c r="R3503" i="16"/>
  <c r="R3502" i="16"/>
  <c r="R3501" i="16"/>
  <c r="R3500" i="16"/>
  <c r="R3499" i="16"/>
  <c r="R3498" i="16"/>
  <c r="R3497" i="16"/>
  <c r="R3496" i="16"/>
  <c r="R3495" i="16"/>
  <c r="R3494" i="16"/>
  <c r="R3493" i="16"/>
  <c r="R3492" i="16"/>
  <c r="R3491" i="16"/>
  <c r="R3490" i="16"/>
  <c r="R3489" i="16"/>
  <c r="R3488" i="16"/>
  <c r="R3487" i="16"/>
  <c r="R3486" i="16"/>
  <c r="R3485" i="16"/>
  <c r="R3484" i="16"/>
  <c r="R3483" i="16"/>
  <c r="R3482" i="16"/>
  <c r="R3481" i="16"/>
  <c r="R3480" i="16"/>
  <c r="R3479" i="16"/>
  <c r="R3478" i="16"/>
  <c r="R3477" i="16"/>
  <c r="R3476" i="16"/>
  <c r="R3475" i="16"/>
  <c r="R3474" i="16"/>
  <c r="R3473" i="16"/>
  <c r="R3472" i="16"/>
  <c r="R3471" i="16"/>
  <c r="R3470" i="16"/>
  <c r="R3469" i="16"/>
  <c r="R3468" i="16"/>
  <c r="R3467" i="16"/>
  <c r="R3466" i="16"/>
  <c r="R3465" i="16"/>
  <c r="R3464" i="16"/>
  <c r="R3463" i="16"/>
  <c r="R3462" i="16"/>
  <c r="R3461" i="16"/>
  <c r="R3460" i="16"/>
  <c r="R3459" i="16"/>
  <c r="R3458" i="16"/>
  <c r="R3457" i="16"/>
  <c r="R3456" i="16"/>
  <c r="R3455" i="16"/>
  <c r="R3454" i="16"/>
  <c r="R3453" i="16"/>
  <c r="R3452" i="16"/>
  <c r="R3451" i="16"/>
  <c r="R3450" i="16"/>
  <c r="R3449" i="16"/>
  <c r="R3448" i="16"/>
  <c r="R3447" i="16"/>
  <c r="R3446" i="16"/>
  <c r="R3445" i="16"/>
  <c r="R3444" i="16"/>
  <c r="R3443" i="16"/>
  <c r="R3442" i="16"/>
  <c r="R3441" i="16"/>
  <c r="R3440" i="16"/>
  <c r="R3439" i="16"/>
  <c r="R3438" i="16"/>
  <c r="R3437" i="16"/>
  <c r="R3436" i="16"/>
  <c r="R3435" i="16"/>
  <c r="R3434" i="16"/>
  <c r="R3433" i="16"/>
  <c r="R3432" i="16"/>
  <c r="R3431" i="16"/>
  <c r="R3430" i="16"/>
  <c r="R3429" i="16"/>
  <c r="R3428" i="16"/>
  <c r="R3427" i="16"/>
  <c r="R3426" i="16"/>
  <c r="R3425" i="16"/>
  <c r="R3424" i="16"/>
  <c r="R3423" i="16"/>
  <c r="R3422" i="16"/>
  <c r="R3421" i="16"/>
  <c r="R3420" i="16"/>
  <c r="R3419" i="16"/>
  <c r="R3418" i="16"/>
  <c r="R3417" i="16"/>
  <c r="R3416" i="16"/>
  <c r="R3415" i="16"/>
  <c r="R3414" i="16"/>
  <c r="R3413" i="16"/>
  <c r="R3412" i="16"/>
  <c r="R3411" i="16"/>
  <c r="R3410" i="16"/>
  <c r="R3409" i="16"/>
  <c r="R3408" i="16"/>
  <c r="R3407" i="16"/>
  <c r="R3406" i="16"/>
  <c r="R3405" i="16"/>
  <c r="R3404" i="16"/>
  <c r="R3403" i="16"/>
  <c r="R3402" i="16"/>
  <c r="R3401" i="16"/>
  <c r="R3400" i="16"/>
  <c r="R3399" i="16"/>
  <c r="R3398" i="16"/>
  <c r="R3397" i="16"/>
  <c r="R3396" i="16"/>
  <c r="R3395" i="16"/>
  <c r="R3394" i="16"/>
  <c r="R3393" i="16"/>
  <c r="R3392" i="16"/>
  <c r="R3391" i="16"/>
  <c r="R3390" i="16"/>
  <c r="R3389" i="16"/>
  <c r="R3388" i="16"/>
  <c r="R3387" i="16"/>
  <c r="R3386" i="16"/>
  <c r="R3385" i="16"/>
  <c r="R3384" i="16"/>
  <c r="R3383" i="16"/>
  <c r="R3382" i="16"/>
  <c r="R3381" i="16"/>
  <c r="R3380" i="16"/>
  <c r="R3379" i="16"/>
  <c r="R3378" i="16"/>
  <c r="R3377" i="16"/>
  <c r="R3376" i="16"/>
  <c r="R3375" i="16"/>
  <c r="R3374" i="16"/>
  <c r="R3373" i="16"/>
  <c r="R3372" i="16"/>
  <c r="R3371" i="16"/>
  <c r="R3370" i="16"/>
  <c r="R3369" i="16"/>
  <c r="R3368" i="16"/>
  <c r="R3367" i="16"/>
  <c r="R3366" i="16"/>
  <c r="R3365" i="16"/>
  <c r="R3364" i="16"/>
  <c r="R3363" i="16"/>
  <c r="R3362" i="16"/>
  <c r="R3361" i="16"/>
  <c r="R3360" i="16"/>
  <c r="R3359" i="16"/>
  <c r="R3358" i="16"/>
  <c r="R3357" i="16"/>
  <c r="R3356" i="16"/>
  <c r="R3355" i="16"/>
  <c r="R3354" i="16"/>
  <c r="R3353" i="16"/>
  <c r="R3352" i="16"/>
  <c r="R3351" i="16"/>
  <c r="R3350" i="16"/>
  <c r="R3349" i="16"/>
  <c r="R3348" i="16"/>
  <c r="R3347" i="16"/>
  <c r="R3346" i="16"/>
  <c r="R3345" i="16"/>
  <c r="R3344" i="16"/>
  <c r="R3343" i="16"/>
  <c r="R3342" i="16"/>
  <c r="R3341" i="16"/>
  <c r="R3340" i="16"/>
  <c r="R3339" i="16"/>
  <c r="R3338" i="16"/>
  <c r="R3337" i="16"/>
  <c r="R3336" i="16"/>
  <c r="R3335" i="16"/>
  <c r="R3334" i="16"/>
  <c r="R3333" i="16"/>
  <c r="R3332" i="16"/>
  <c r="R3331" i="16"/>
  <c r="R3330" i="16"/>
  <c r="R3329" i="16"/>
  <c r="R3328" i="16"/>
  <c r="R3327" i="16"/>
  <c r="R3326" i="16"/>
  <c r="R3325" i="16"/>
  <c r="R3324" i="16"/>
  <c r="R3323" i="16"/>
  <c r="R3322" i="16"/>
  <c r="R3321" i="16"/>
  <c r="R3320" i="16"/>
  <c r="R3319" i="16"/>
  <c r="R3318" i="16"/>
  <c r="R3317" i="16"/>
  <c r="R3316" i="16"/>
  <c r="R3315" i="16"/>
  <c r="R3314" i="16"/>
  <c r="R3313" i="16"/>
  <c r="R3312" i="16"/>
  <c r="R3311" i="16"/>
  <c r="R3310" i="16"/>
  <c r="R3309" i="16"/>
  <c r="R3308" i="16"/>
  <c r="R3307" i="16"/>
  <c r="R3306" i="16"/>
  <c r="R3305" i="16"/>
  <c r="R3304" i="16"/>
  <c r="R3303" i="16"/>
  <c r="R3302" i="16"/>
  <c r="R3301" i="16"/>
  <c r="R3300" i="16"/>
  <c r="R3299" i="16"/>
  <c r="R3298" i="16"/>
  <c r="R3297" i="16"/>
  <c r="R3296" i="16"/>
  <c r="R3295" i="16"/>
  <c r="R3294" i="16"/>
  <c r="R3293" i="16"/>
  <c r="R3292" i="16"/>
  <c r="R3291" i="16"/>
  <c r="R3290" i="16"/>
  <c r="R3289" i="16"/>
  <c r="R3288" i="16"/>
  <c r="R3287" i="16"/>
  <c r="R3286" i="16"/>
  <c r="R3285" i="16"/>
  <c r="R3284" i="16"/>
  <c r="R3283" i="16"/>
  <c r="R3282" i="16"/>
  <c r="R3281" i="16"/>
  <c r="R3280" i="16"/>
  <c r="R3279" i="16"/>
  <c r="R3278" i="16"/>
  <c r="R3277" i="16"/>
  <c r="R3276" i="16"/>
  <c r="R3275" i="16"/>
  <c r="R3274" i="16"/>
  <c r="R3273" i="16"/>
  <c r="R3272" i="16"/>
  <c r="R3271" i="16"/>
  <c r="R3270" i="16"/>
  <c r="R3269" i="16"/>
  <c r="R3268" i="16"/>
  <c r="R3267" i="16"/>
  <c r="R3266" i="16"/>
  <c r="R3265" i="16"/>
  <c r="R3264" i="16"/>
  <c r="R3263" i="16"/>
  <c r="R3262" i="16"/>
  <c r="R3261" i="16"/>
  <c r="R3260" i="16"/>
  <c r="R3259" i="16"/>
  <c r="R3258" i="16"/>
  <c r="R3257" i="16"/>
  <c r="R3256" i="16"/>
  <c r="R3255" i="16"/>
  <c r="R3254" i="16"/>
  <c r="R3253" i="16"/>
  <c r="R3252" i="16"/>
  <c r="R3251" i="16"/>
  <c r="R3250" i="16"/>
  <c r="R3249" i="16"/>
  <c r="R3248" i="16"/>
  <c r="R3247" i="16"/>
  <c r="R3246" i="16"/>
  <c r="R3245" i="16"/>
  <c r="R3244" i="16"/>
  <c r="R3243" i="16"/>
  <c r="R3242" i="16"/>
  <c r="R3241" i="16"/>
  <c r="R3240" i="16"/>
  <c r="R3239" i="16"/>
  <c r="R3238" i="16"/>
  <c r="R3237" i="16"/>
  <c r="R3236" i="16"/>
  <c r="R3235" i="16"/>
  <c r="R3234" i="16"/>
  <c r="R3233" i="16"/>
  <c r="R3232" i="16"/>
  <c r="R3231" i="16"/>
  <c r="R3230" i="16"/>
  <c r="R3229" i="16"/>
  <c r="R3228" i="16"/>
  <c r="R3227" i="16"/>
  <c r="R3226" i="16"/>
  <c r="R3225" i="16"/>
  <c r="R3224" i="16"/>
  <c r="R3223" i="16"/>
  <c r="R3222" i="16"/>
  <c r="R3221" i="16"/>
  <c r="R3220" i="16"/>
  <c r="R3219" i="16"/>
  <c r="R3218" i="16"/>
  <c r="R3217" i="16"/>
  <c r="R3216" i="16"/>
  <c r="R3215" i="16"/>
  <c r="R3214" i="16"/>
  <c r="R3213" i="16"/>
  <c r="R3212" i="16"/>
  <c r="R3211" i="16"/>
  <c r="R3210" i="16"/>
  <c r="R3209" i="16"/>
  <c r="R3208" i="16"/>
  <c r="R3207" i="16"/>
  <c r="R3206" i="16"/>
  <c r="R3205" i="16"/>
  <c r="R3204" i="16"/>
  <c r="R3203" i="16"/>
  <c r="R3202" i="16"/>
  <c r="R3201" i="16"/>
  <c r="R3200" i="16"/>
  <c r="R3199" i="16"/>
  <c r="R3198" i="16"/>
  <c r="R3197" i="16"/>
  <c r="R3196" i="16"/>
  <c r="R3195" i="16"/>
  <c r="R3194" i="16"/>
  <c r="R3193" i="16"/>
  <c r="R3192" i="16"/>
  <c r="R3191" i="16"/>
  <c r="R3190" i="16"/>
  <c r="R3189" i="16"/>
  <c r="R3188" i="16"/>
  <c r="R3187" i="16"/>
  <c r="R3186" i="16"/>
  <c r="R3185" i="16"/>
  <c r="R3184" i="16"/>
  <c r="R3183" i="16"/>
  <c r="R3182" i="16"/>
  <c r="R3181" i="16"/>
  <c r="R3180" i="16"/>
  <c r="R3179" i="16"/>
  <c r="R3178" i="16"/>
  <c r="R3177" i="16"/>
  <c r="R3176" i="16"/>
  <c r="R3175" i="16"/>
  <c r="R3174" i="16"/>
  <c r="R3173" i="16"/>
  <c r="R3172" i="16"/>
  <c r="R3171" i="16"/>
  <c r="R3170" i="16"/>
  <c r="R3169" i="16"/>
  <c r="R3168" i="16"/>
  <c r="R3167" i="16"/>
  <c r="R3166" i="16"/>
  <c r="R3165" i="16"/>
  <c r="R3164" i="16"/>
  <c r="R3163" i="16"/>
  <c r="R3162" i="16"/>
  <c r="R3161" i="16"/>
  <c r="R3160" i="16"/>
  <c r="R3159" i="16"/>
  <c r="R3158" i="16"/>
  <c r="R3157" i="16"/>
  <c r="R3156" i="16"/>
  <c r="R3155" i="16"/>
  <c r="R3154" i="16"/>
  <c r="R3153" i="16"/>
  <c r="R3152" i="16"/>
  <c r="R3151" i="16"/>
  <c r="R3150" i="16"/>
  <c r="R3149" i="16"/>
  <c r="R3148" i="16"/>
  <c r="R3147" i="16"/>
  <c r="R3146" i="16"/>
  <c r="R3145" i="16"/>
  <c r="R3144" i="16"/>
  <c r="R3143" i="16"/>
  <c r="R3142" i="16"/>
  <c r="R3141" i="16"/>
  <c r="R3140" i="16"/>
  <c r="R3139" i="16"/>
  <c r="R3138" i="16"/>
  <c r="R3137" i="16"/>
  <c r="R3136" i="16"/>
  <c r="R3135" i="16"/>
  <c r="R3134" i="16"/>
  <c r="R3133" i="16"/>
  <c r="R3132" i="16"/>
  <c r="R3131" i="16"/>
  <c r="R3130" i="16"/>
  <c r="R3129" i="16"/>
  <c r="R3128" i="16"/>
  <c r="R3127" i="16"/>
  <c r="R3126" i="16"/>
  <c r="R3125" i="16"/>
  <c r="R3124" i="16"/>
  <c r="R3123" i="16"/>
  <c r="R3122" i="16"/>
  <c r="R3121" i="16"/>
  <c r="R3120" i="16"/>
  <c r="R3119" i="16"/>
  <c r="R3118" i="16"/>
  <c r="R3117" i="16"/>
  <c r="R3116" i="16"/>
  <c r="R3115" i="16"/>
  <c r="R3114" i="16"/>
  <c r="R3113" i="16"/>
  <c r="R3112" i="16"/>
  <c r="R3111" i="16"/>
  <c r="R3110" i="16"/>
  <c r="R3109" i="16"/>
  <c r="R3108" i="16"/>
  <c r="R3107" i="16"/>
  <c r="R3106" i="16"/>
  <c r="R3105" i="16"/>
  <c r="R3104" i="16"/>
  <c r="R3103" i="16"/>
  <c r="R3102" i="16"/>
  <c r="R3101" i="16"/>
  <c r="R3100" i="16"/>
  <c r="R3099" i="16"/>
  <c r="R3098" i="16"/>
  <c r="R3097" i="16"/>
  <c r="R3096" i="16"/>
  <c r="R3095" i="16"/>
  <c r="R3094" i="16"/>
  <c r="R3093" i="16"/>
  <c r="R3092" i="16"/>
  <c r="R3091" i="16"/>
  <c r="R3090" i="16"/>
  <c r="R3089" i="16"/>
  <c r="R3088" i="16"/>
  <c r="R3087" i="16"/>
  <c r="R3086" i="16"/>
  <c r="R3085" i="16"/>
  <c r="R3084" i="16"/>
  <c r="R3083" i="16"/>
  <c r="R3082" i="16"/>
  <c r="R3081" i="16"/>
  <c r="R3080" i="16"/>
  <c r="R3079" i="16"/>
  <c r="R3078" i="16"/>
  <c r="R3077" i="16"/>
  <c r="R3076" i="16"/>
  <c r="R3075" i="16"/>
  <c r="R3074" i="16"/>
  <c r="R3073" i="16"/>
  <c r="R3072" i="16"/>
  <c r="R3071" i="16"/>
  <c r="R3070" i="16"/>
  <c r="R3069" i="16"/>
  <c r="R3068" i="16"/>
  <c r="R3067" i="16"/>
  <c r="R3066" i="16"/>
  <c r="R3065" i="16"/>
  <c r="R3064" i="16"/>
  <c r="R3063" i="16"/>
  <c r="R3062" i="16"/>
  <c r="R3061" i="16"/>
  <c r="R3060" i="16"/>
  <c r="R3059" i="16"/>
  <c r="R3058" i="16"/>
  <c r="R3057" i="16"/>
  <c r="R3056" i="16"/>
  <c r="R3055" i="16"/>
  <c r="R3054" i="16"/>
  <c r="R3053" i="16"/>
  <c r="R3052" i="16"/>
  <c r="R3051" i="16"/>
  <c r="R3050" i="16"/>
  <c r="R3049" i="16"/>
  <c r="R3048" i="16"/>
  <c r="R3047" i="16"/>
  <c r="R3046" i="16"/>
  <c r="R3045" i="16"/>
  <c r="R3044" i="16"/>
  <c r="R3043" i="16"/>
  <c r="R3042" i="16"/>
  <c r="R3041" i="16"/>
  <c r="R3040" i="16"/>
  <c r="R3039" i="16"/>
  <c r="R3038" i="16"/>
  <c r="R3037" i="16"/>
  <c r="R3036" i="16"/>
  <c r="R3035" i="16"/>
  <c r="R3034" i="16"/>
  <c r="R3033" i="16"/>
  <c r="R3032" i="16"/>
  <c r="R3031" i="16"/>
  <c r="R3030" i="16"/>
  <c r="R3029" i="16"/>
  <c r="R3028" i="16"/>
  <c r="R3027" i="16"/>
  <c r="R3026" i="16"/>
  <c r="R3025" i="16"/>
  <c r="R3024" i="16"/>
  <c r="R3023" i="16"/>
  <c r="R3022" i="16"/>
  <c r="R3021" i="16"/>
  <c r="R3020" i="16"/>
  <c r="R3019" i="16"/>
  <c r="R3018" i="16"/>
  <c r="R3017" i="16"/>
  <c r="R3016" i="16"/>
  <c r="R3015" i="16"/>
  <c r="R3014" i="16"/>
  <c r="R3013" i="16"/>
  <c r="R3012" i="16"/>
  <c r="R3011" i="16"/>
  <c r="R3010" i="16"/>
  <c r="R3009" i="16"/>
  <c r="R3008" i="16"/>
  <c r="R3007" i="16"/>
  <c r="R3006" i="16"/>
  <c r="R3005" i="16"/>
  <c r="R3004" i="16"/>
  <c r="R3003" i="16"/>
  <c r="R3002" i="16"/>
  <c r="R3001" i="16"/>
  <c r="R3000" i="16"/>
  <c r="R2999" i="16"/>
  <c r="R2998" i="16"/>
  <c r="R2997" i="16"/>
  <c r="R2996" i="16"/>
  <c r="R2995" i="16"/>
  <c r="R2994" i="16"/>
  <c r="R2993" i="16"/>
  <c r="R2992" i="16"/>
  <c r="R2991" i="16"/>
  <c r="R2990" i="16"/>
  <c r="R2989" i="16"/>
  <c r="R2988" i="16"/>
  <c r="R2987" i="16"/>
  <c r="R2986" i="16"/>
  <c r="R2985" i="16"/>
  <c r="R2984" i="16"/>
  <c r="R2983" i="16"/>
  <c r="R2982" i="16"/>
  <c r="R2981" i="16"/>
  <c r="R2980" i="16"/>
  <c r="R2979" i="16"/>
  <c r="R2978" i="16"/>
  <c r="R2977" i="16"/>
  <c r="R2976" i="16"/>
  <c r="R2975" i="16"/>
  <c r="R2974" i="16"/>
  <c r="R2973" i="16"/>
  <c r="R2972" i="16"/>
  <c r="R2971" i="16"/>
  <c r="R2970" i="16"/>
  <c r="R2969" i="16"/>
  <c r="R2968" i="16"/>
  <c r="R2967" i="16"/>
  <c r="R2966" i="16"/>
  <c r="R2965" i="16"/>
  <c r="R2964" i="16"/>
  <c r="R2963" i="16"/>
  <c r="R2962" i="16"/>
  <c r="R2961" i="16"/>
  <c r="R2960" i="16"/>
  <c r="R2959" i="16"/>
  <c r="R2958" i="16"/>
  <c r="R2957" i="16"/>
  <c r="R2956" i="16"/>
  <c r="R2955" i="16"/>
  <c r="R2954" i="16"/>
  <c r="R2953" i="16"/>
  <c r="R2952" i="16"/>
  <c r="R2951" i="16"/>
  <c r="R2950" i="16"/>
  <c r="R2949" i="16"/>
  <c r="R2948" i="16"/>
  <c r="R2947" i="16"/>
  <c r="R2946" i="16"/>
  <c r="R2945" i="16"/>
  <c r="R2944" i="16"/>
  <c r="R2943" i="16"/>
  <c r="R2942" i="16"/>
  <c r="R2941" i="16"/>
  <c r="R2940" i="16"/>
  <c r="R2939" i="16"/>
  <c r="R2938" i="16"/>
  <c r="R2937" i="16"/>
  <c r="R2936" i="16"/>
  <c r="R2935" i="16"/>
  <c r="R2934" i="16"/>
  <c r="R2933" i="16"/>
  <c r="R2932" i="16"/>
  <c r="R2931" i="16"/>
  <c r="R2930" i="16"/>
  <c r="R2929" i="16"/>
  <c r="R2928" i="16"/>
  <c r="R2927" i="16"/>
  <c r="R2926" i="16"/>
  <c r="R2925" i="16"/>
  <c r="R2924" i="16"/>
  <c r="R2923" i="16"/>
  <c r="R2922" i="16"/>
  <c r="R2921" i="16"/>
  <c r="R2920" i="16"/>
  <c r="R2919" i="16"/>
  <c r="R2918" i="16"/>
  <c r="R2917" i="16"/>
  <c r="R2916" i="16"/>
  <c r="R2915" i="16"/>
  <c r="R2914" i="16"/>
  <c r="R2913" i="16"/>
  <c r="R2912" i="16"/>
  <c r="R2911" i="16"/>
  <c r="R2910" i="16"/>
  <c r="R2909" i="16"/>
  <c r="R2908" i="16"/>
  <c r="R2907" i="16"/>
  <c r="R2906" i="16"/>
  <c r="R2905" i="16"/>
  <c r="R2904" i="16"/>
  <c r="R2903" i="16"/>
  <c r="R2902" i="16"/>
  <c r="R2901" i="16"/>
  <c r="R2900" i="16"/>
  <c r="R2899" i="16"/>
  <c r="R2898" i="16"/>
  <c r="R2897" i="16"/>
  <c r="R2896" i="16"/>
  <c r="R2895" i="16"/>
  <c r="R2894" i="16"/>
  <c r="R2893" i="16"/>
  <c r="R2892" i="16"/>
  <c r="R2891" i="16"/>
  <c r="R2890" i="16"/>
  <c r="R2889" i="16"/>
  <c r="R2888" i="16"/>
  <c r="R2887" i="16"/>
  <c r="R2886" i="16"/>
  <c r="R2885" i="16"/>
  <c r="R2884" i="16"/>
  <c r="R2883" i="16"/>
  <c r="R2882" i="16"/>
  <c r="R2881" i="16"/>
  <c r="R2880" i="16"/>
  <c r="R2879" i="16"/>
  <c r="R2878" i="16"/>
  <c r="R2877" i="16"/>
  <c r="R2876" i="16"/>
  <c r="R2875" i="16"/>
  <c r="R2874" i="16"/>
  <c r="R2873" i="16"/>
  <c r="R2872" i="16"/>
  <c r="R2871" i="16"/>
  <c r="R2870" i="16"/>
  <c r="R2869" i="16"/>
  <c r="R2868" i="16"/>
  <c r="R2867" i="16"/>
  <c r="R2866" i="16"/>
  <c r="R2865" i="16"/>
  <c r="R2864" i="16"/>
  <c r="R2863" i="16"/>
  <c r="R2862" i="16"/>
  <c r="R2861" i="16"/>
  <c r="R2860" i="16"/>
  <c r="R2859" i="16"/>
  <c r="R2858" i="16"/>
  <c r="R2857" i="16"/>
  <c r="R2856" i="16"/>
  <c r="R2855" i="16"/>
  <c r="R2854" i="16"/>
  <c r="R2853" i="16"/>
  <c r="R2852" i="16"/>
  <c r="R2851" i="16"/>
  <c r="R2850" i="16"/>
  <c r="R2849" i="16"/>
  <c r="R2848" i="16"/>
  <c r="R2847" i="16"/>
  <c r="R2846" i="16"/>
  <c r="R2845" i="16"/>
  <c r="R2844" i="16"/>
  <c r="R2843" i="16"/>
  <c r="R2842" i="16"/>
  <c r="R2841" i="16"/>
  <c r="R2840" i="16"/>
  <c r="R2839" i="16"/>
  <c r="R2838" i="16"/>
  <c r="R2837" i="16"/>
  <c r="R2836" i="16"/>
  <c r="R2835" i="16"/>
  <c r="R2834" i="16"/>
  <c r="R2833" i="16"/>
  <c r="R2832" i="16"/>
  <c r="R2831" i="16"/>
  <c r="R2830" i="16"/>
  <c r="R2829" i="16"/>
  <c r="R2828" i="16"/>
  <c r="R2827" i="16"/>
  <c r="R2826" i="16"/>
  <c r="R2825" i="16"/>
  <c r="R2824" i="16"/>
  <c r="R2823" i="16"/>
  <c r="R2822" i="16"/>
  <c r="R2821" i="16"/>
  <c r="R2820" i="16"/>
  <c r="R2819" i="16"/>
  <c r="R2818" i="16"/>
  <c r="R2817" i="16"/>
  <c r="R2816" i="16"/>
  <c r="R2815" i="16"/>
  <c r="R2814" i="16"/>
  <c r="R2813" i="16"/>
  <c r="R2812" i="16"/>
  <c r="R2811" i="16"/>
  <c r="R2810" i="16"/>
  <c r="R2809" i="16"/>
  <c r="R2808" i="16"/>
  <c r="R2807" i="16"/>
  <c r="R2806" i="16"/>
  <c r="R2805" i="16"/>
  <c r="R2804" i="16"/>
  <c r="R2803" i="16"/>
  <c r="R2802" i="16"/>
  <c r="R2801" i="16"/>
  <c r="R2800" i="16"/>
  <c r="R2799" i="16"/>
  <c r="R2798" i="16"/>
  <c r="R2797" i="16"/>
  <c r="R2796" i="16"/>
  <c r="R2795" i="16"/>
  <c r="R2794" i="16"/>
  <c r="R2793" i="16"/>
  <c r="R2792" i="16"/>
  <c r="R2791" i="16"/>
  <c r="R2790" i="16"/>
  <c r="R2789" i="16"/>
  <c r="R2788" i="16"/>
  <c r="R2787" i="16"/>
  <c r="R2786" i="16"/>
  <c r="R2785" i="16"/>
  <c r="R2784" i="16"/>
  <c r="R2783" i="16"/>
  <c r="R2782" i="16"/>
  <c r="R2781" i="16"/>
  <c r="R2780" i="16"/>
  <c r="R2779" i="16"/>
  <c r="R2778" i="16"/>
  <c r="R2777" i="16"/>
  <c r="R2776" i="16"/>
  <c r="R2775" i="16"/>
  <c r="R2774" i="16"/>
  <c r="R2773" i="16"/>
  <c r="R2772" i="16"/>
  <c r="R2771" i="16"/>
  <c r="R2770" i="16"/>
  <c r="R2769" i="16"/>
  <c r="R2768" i="16"/>
  <c r="R2767" i="16"/>
  <c r="R2766" i="16"/>
  <c r="R2765" i="16"/>
  <c r="R2764" i="16"/>
  <c r="R2763" i="16"/>
  <c r="R2762" i="16"/>
  <c r="R2761" i="16"/>
  <c r="R2760" i="16"/>
  <c r="R2759" i="16"/>
  <c r="R2758" i="16"/>
  <c r="R2757" i="16"/>
  <c r="R2756" i="16"/>
  <c r="R2755" i="16"/>
  <c r="R2754" i="16"/>
  <c r="R2753" i="16"/>
  <c r="R2752" i="16"/>
  <c r="R2751" i="16"/>
  <c r="R2750" i="16"/>
  <c r="R2749" i="16"/>
  <c r="R2748" i="16"/>
  <c r="R2747" i="16"/>
  <c r="R2746" i="16"/>
  <c r="R2745" i="16"/>
  <c r="R2744" i="16"/>
  <c r="R2743" i="16"/>
  <c r="R2742" i="16"/>
  <c r="R2741" i="16"/>
  <c r="R2740" i="16"/>
  <c r="R2739" i="16"/>
  <c r="R2738" i="16"/>
  <c r="R2737" i="16"/>
  <c r="R2736" i="16"/>
  <c r="R2735" i="16"/>
  <c r="R2734" i="16"/>
  <c r="R2733" i="16"/>
  <c r="R2732" i="16"/>
  <c r="R2731" i="16"/>
  <c r="R2730" i="16"/>
  <c r="R2729" i="16"/>
  <c r="R2728" i="16"/>
  <c r="R2727" i="16"/>
  <c r="R2726" i="16"/>
  <c r="R2725" i="16"/>
  <c r="R2724" i="16"/>
  <c r="R2723" i="16"/>
  <c r="R2722" i="16"/>
  <c r="R2721" i="16"/>
  <c r="R2720" i="16"/>
  <c r="R2719" i="16"/>
  <c r="R2718" i="16"/>
  <c r="R2717" i="16"/>
  <c r="R2716" i="16"/>
  <c r="R2715" i="16"/>
  <c r="R2714" i="16"/>
  <c r="R2713" i="16"/>
  <c r="R2712" i="16"/>
  <c r="R2711" i="16"/>
  <c r="R2710" i="16"/>
  <c r="R2709" i="16"/>
  <c r="R2708" i="16"/>
  <c r="R2707" i="16"/>
  <c r="R2706" i="16"/>
  <c r="R2705" i="16"/>
  <c r="R2704" i="16"/>
  <c r="R2703" i="16"/>
  <c r="R2702" i="16"/>
  <c r="R2701" i="16"/>
  <c r="R2700" i="16"/>
  <c r="R2699" i="16"/>
  <c r="R2698" i="16"/>
  <c r="R2697" i="16"/>
  <c r="R2696" i="16"/>
  <c r="R2695" i="16"/>
  <c r="R2694" i="16"/>
  <c r="R2693" i="16"/>
  <c r="R2692" i="16"/>
  <c r="R2691" i="16"/>
  <c r="R2690" i="16"/>
  <c r="R2689" i="16"/>
  <c r="R2688" i="16"/>
  <c r="R2687" i="16"/>
  <c r="R2686" i="16"/>
  <c r="R2685" i="16"/>
  <c r="R2684" i="16"/>
  <c r="R2683" i="16"/>
  <c r="R2682" i="16"/>
  <c r="R2681" i="16"/>
  <c r="R2680" i="16"/>
  <c r="R2679" i="16"/>
  <c r="R2678" i="16"/>
  <c r="R2677" i="16"/>
  <c r="R2676" i="16"/>
  <c r="R2675" i="16"/>
  <c r="R2674" i="16"/>
  <c r="R2673" i="16"/>
  <c r="R2672" i="16"/>
  <c r="R2671" i="16"/>
  <c r="R2670" i="16"/>
  <c r="R2669" i="16"/>
  <c r="R2668" i="16"/>
  <c r="R2667" i="16"/>
  <c r="R2666" i="16"/>
  <c r="R2665" i="16"/>
  <c r="R2664" i="16"/>
  <c r="R2663" i="16"/>
  <c r="R2662" i="16"/>
  <c r="R2661" i="16"/>
  <c r="R2660" i="16"/>
  <c r="R2659" i="16"/>
  <c r="R2658" i="16"/>
  <c r="R2657" i="16"/>
  <c r="R2656" i="16"/>
  <c r="R2655" i="16"/>
  <c r="R2654" i="16"/>
  <c r="R2653" i="16"/>
  <c r="R2652" i="16"/>
  <c r="R2651" i="16"/>
  <c r="R2650" i="16"/>
  <c r="R2649" i="16"/>
  <c r="R2648" i="16"/>
  <c r="R2647" i="16"/>
  <c r="R2646" i="16"/>
  <c r="R2645" i="16"/>
  <c r="R2644" i="16"/>
  <c r="R2643" i="16"/>
  <c r="R2642" i="16"/>
  <c r="R2641" i="16"/>
  <c r="R2640" i="16"/>
  <c r="R2639" i="16"/>
  <c r="R2638" i="16"/>
  <c r="R2637" i="16"/>
  <c r="R2636" i="16"/>
  <c r="R2635" i="16"/>
  <c r="R2634" i="16"/>
  <c r="R2633" i="16"/>
  <c r="R2632" i="16"/>
  <c r="R2631" i="16"/>
  <c r="R2630" i="16"/>
  <c r="R2629" i="16"/>
  <c r="R2628" i="16"/>
  <c r="R2627" i="16"/>
  <c r="R2626" i="16"/>
  <c r="R2625" i="16"/>
  <c r="R2624" i="16"/>
  <c r="R2623" i="16"/>
  <c r="R2622" i="16"/>
  <c r="R2621" i="16"/>
  <c r="R2620" i="16"/>
  <c r="R2619" i="16"/>
  <c r="R2618" i="16"/>
  <c r="R2617" i="16"/>
  <c r="R2616" i="16"/>
  <c r="R2615" i="16"/>
  <c r="R2614" i="16"/>
  <c r="R2613" i="16"/>
  <c r="R2612" i="16"/>
  <c r="R2611" i="16"/>
  <c r="R2610" i="16"/>
  <c r="R2609" i="16"/>
  <c r="R2608" i="16"/>
  <c r="R2607" i="16"/>
  <c r="R2606" i="16"/>
  <c r="R2605" i="16"/>
  <c r="R2604" i="16"/>
  <c r="R2603" i="16"/>
  <c r="R2602" i="16"/>
  <c r="R2601" i="16"/>
  <c r="R2600" i="16"/>
  <c r="R2599" i="16"/>
  <c r="R2598" i="16"/>
  <c r="R2597" i="16"/>
  <c r="R2596" i="16"/>
  <c r="R2595" i="16"/>
  <c r="R2594" i="16"/>
  <c r="R2593" i="16"/>
  <c r="R2592" i="16"/>
  <c r="R2591" i="16"/>
  <c r="R2590" i="16"/>
  <c r="R2589" i="16"/>
  <c r="R2588" i="16"/>
  <c r="R2587" i="16"/>
  <c r="R2586" i="16"/>
  <c r="R2585" i="16"/>
  <c r="R2584" i="16"/>
  <c r="R2583" i="16"/>
  <c r="R2582" i="16"/>
  <c r="R2581" i="16"/>
  <c r="R2580" i="16"/>
  <c r="R2579" i="16"/>
  <c r="R2578" i="16"/>
  <c r="R2577" i="16"/>
  <c r="R2576" i="16"/>
  <c r="R2575" i="16"/>
  <c r="R2574" i="16"/>
  <c r="R2573" i="16"/>
  <c r="R2572" i="16"/>
  <c r="R2571" i="16"/>
  <c r="R2570" i="16"/>
  <c r="R2569" i="16"/>
  <c r="R2568" i="16"/>
  <c r="R2567" i="16"/>
  <c r="R2566" i="16"/>
  <c r="R2565" i="16"/>
  <c r="R2564" i="16"/>
  <c r="R2563" i="16"/>
  <c r="R2562" i="16"/>
  <c r="R2561" i="16"/>
  <c r="R2560" i="16"/>
  <c r="R2559" i="16"/>
  <c r="R2558" i="16"/>
  <c r="R2557" i="16"/>
  <c r="R2556" i="16"/>
  <c r="R2555" i="16"/>
  <c r="R2554" i="16"/>
  <c r="R2553" i="16"/>
  <c r="R2552" i="16"/>
  <c r="R2551" i="16"/>
  <c r="R2550" i="16"/>
  <c r="R2549" i="16"/>
  <c r="R2548" i="16"/>
  <c r="R2547" i="16"/>
  <c r="R2546" i="16"/>
  <c r="R2545" i="16"/>
  <c r="R2544" i="16"/>
  <c r="R2543" i="16"/>
  <c r="R2542" i="16"/>
  <c r="R2541" i="16"/>
  <c r="R2540" i="16"/>
  <c r="R2539" i="16"/>
  <c r="R2538" i="16"/>
  <c r="R2537" i="16"/>
  <c r="R2536" i="16"/>
  <c r="R2535" i="16"/>
  <c r="R2534" i="16"/>
  <c r="R2533" i="16"/>
  <c r="R2532" i="16"/>
  <c r="R2531" i="16"/>
  <c r="R2530" i="16"/>
  <c r="R2529" i="16"/>
  <c r="R2528" i="16"/>
  <c r="R2527" i="16"/>
  <c r="R2526" i="16"/>
  <c r="R2525" i="16"/>
  <c r="R2524" i="16"/>
  <c r="R2523" i="16"/>
  <c r="R2522" i="16"/>
  <c r="R2521" i="16"/>
  <c r="R2520" i="16"/>
  <c r="R2519" i="16"/>
  <c r="R2518" i="16"/>
  <c r="R2517" i="16"/>
  <c r="R2516" i="16"/>
  <c r="R2515" i="16"/>
  <c r="R2514" i="16"/>
  <c r="R2513" i="16"/>
  <c r="R2512" i="16"/>
  <c r="R2511" i="16"/>
  <c r="R2510" i="16"/>
  <c r="R2509" i="16"/>
  <c r="R2508" i="16"/>
  <c r="R2507" i="16"/>
  <c r="R2506" i="16"/>
  <c r="R2505" i="16"/>
  <c r="R2504" i="16"/>
  <c r="R2503" i="16"/>
  <c r="R2502" i="16"/>
  <c r="R2501" i="16"/>
  <c r="R2500" i="16"/>
  <c r="R2499" i="16"/>
  <c r="R2498" i="16"/>
  <c r="R2497" i="16"/>
  <c r="R2496" i="16"/>
  <c r="R2495" i="16"/>
  <c r="R2494" i="16"/>
  <c r="R2493" i="16"/>
  <c r="R2492" i="16"/>
  <c r="R2491" i="16"/>
  <c r="R2490" i="16"/>
  <c r="R2489" i="16"/>
  <c r="R2488" i="16"/>
  <c r="R2487" i="16"/>
  <c r="R2486" i="16"/>
  <c r="R2485" i="16"/>
  <c r="R2484" i="16"/>
  <c r="R2483" i="16"/>
  <c r="R2482" i="16"/>
  <c r="R2481" i="16"/>
  <c r="R2480" i="16"/>
  <c r="R2479" i="16"/>
  <c r="R2478" i="16"/>
  <c r="R2477" i="16"/>
  <c r="R2476" i="16"/>
  <c r="R2475" i="16"/>
  <c r="R2474" i="16"/>
  <c r="R2473" i="16"/>
  <c r="R2472" i="16"/>
  <c r="R2471" i="16"/>
  <c r="R2470" i="16"/>
  <c r="R2469" i="16"/>
  <c r="R2468" i="16"/>
  <c r="R2467" i="16"/>
  <c r="R2466" i="16"/>
  <c r="R2465" i="16"/>
  <c r="R2464" i="16"/>
  <c r="R2463" i="16"/>
  <c r="R2462" i="16"/>
  <c r="R2461" i="16"/>
  <c r="R2460" i="16"/>
  <c r="R2459" i="16"/>
  <c r="R2458" i="16"/>
  <c r="R2457" i="16"/>
  <c r="R2456" i="16"/>
  <c r="R2455" i="16"/>
  <c r="R2454" i="16"/>
  <c r="R2453" i="16"/>
  <c r="R2452" i="16"/>
  <c r="R2451" i="16"/>
  <c r="R2450" i="16"/>
  <c r="R2449" i="16"/>
  <c r="R2448" i="16"/>
  <c r="R2447" i="16"/>
  <c r="R2446" i="16"/>
  <c r="R2445" i="16"/>
  <c r="R2444" i="16"/>
  <c r="R2443" i="16"/>
  <c r="R2442" i="16"/>
  <c r="R2441" i="16"/>
  <c r="R2440" i="16"/>
  <c r="R2439" i="16"/>
  <c r="R2438" i="16"/>
  <c r="R2437" i="16"/>
  <c r="R2436" i="16"/>
  <c r="R2435" i="16"/>
  <c r="R2434" i="16"/>
  <c r="R2433" i="16"/>
  <c r="R2432" i="16"/>
  <c r="R2431" i="16"/>
  <c r="R2430" i="16"/>
  <c r="R2429" i="16"/>
  <c r="R2428" i="16"/>
  <c r="R2427" i="16"/>
  <c r="R2426" i="16"/>
  <c r="R2425" i="16"/>
  <c r="R2424" i="16"/>
  <c r="R2423" i="16"/>
  <c r="R2422" i="16"/>
  <c r="R2421" i="16"/>
  <c r="R2420" i="16"/>
  <c r="R2419" i="16"/>
  <c r="R2418" i="16"/>
  <c r="R2417" i="16"/>
  <c r="R2416" i="16"/>
  <c r="R2415" i="16"/>
  <c r="R2414" i="16"/>
  <c r="R2413" i="16"/>
  <c r="R2412" i="16"/>
  <c r="R2411" i="16"/>
  <c r="R2410" i="16"/>
  <c r="R2409" i="16"/>
  <c r="R2408" i="16"/>
  <c r="R2407" i="16"/>
  <c r="R2406" i="16"/>
  <c r="R2405" i="16"/>
  <c r="R2404" i="16"/>
  <c r="R2403" i="16"/>
  <c r="R2402" i="16"/>
  <c r="R2401" i="16"/>
  <c r="R2400" i="16"/>
  <c r="R2399" i="16"/>
  <c r="R2398" i="16"/>
  <c r="R2397" i="16"/>
  <c r="R2396" i="16"/>
  <c r="R2395" i="16"/>
  <c r="R2394" i="16"/>
  <c r="R2393" i="16"/>
  <c r="R2392" i="16"/>
  <c r="R2391" i="16"/>
  <c r="R2390" i="16"/>
  <c r="R2389" i="16"/>
  <c r="R2388" i="16"/>
  <c r="R2387" i="16"/>
  <c r="R2386" i="16"/>
  <c r="R2385" i="16"/>
  <c r="R2384" i="16"/>
  <c r="R2383" i="16"/>
  <c r="R2382" i="16"/>
  <c r="R2381" i="16"/>
  <c r="R2380" i="16"/>
  <c r="R2379" i="16"/>
  <c r="R2378" i="16"/>
  <c r="R2377" i="16"/>
  <c r="R2376" i="16"/>
  <c r="R2375" i="16"/>
  <c r="R2374" i="16"/>
  <c r="R2373" i="16"/>
  <c r="R2372" i="16"/>
  <c r="R2371" i="16"/>
  <c r="R2370" i="16"/>
  <c r="R2369" i="16"/>
  <c r="R2368" i="16"/>
  <c r="R2367" i="16"/>
  <c r="R2366" i="16"/>
  <c r="R2365" i="16"/>
  <c r="R2364" i="16"/>
  <c r="R2363" i="16"/>
  <c r="R2362" i="16"/>
  <c r="R2361" i="16"/>
  <c r="R2360" i="16"/>
  <c r="R2359" i="16"/>
  <c r="R2358" i="16"/>
  <c r="R2357" i="16"/>
  <c r="R2356" i="16"/>
  <c r="R2355" i="16"/>
  <c r="R2354" i="16"/>
  <c r="R2353" i="16"/>
  <c r="R2352" i="16"/>
  <c r="R2351" i="16"/>
  <c r="R2350" i="16"/>
  <c r="R2349" i="16"/>
  <c r="R2348" i="16"/>
  <c r="R2347" i="16"/>
  <c r="R2346" i="16"/>
  <c r="R2345" i="16"/>
  <c r="R2344" i="16"/>
  <c r="R2343" i="16"/>
  <c r="R2342" i="16"/>
  <c r="R2341" i="16"/>
  <c r="R2340" i="16"/>
  <c r="R2339" i="16"/>
  <c r="R2338" i="16"/>
  <c r="R2337" i="16"/>
  <c r="R2336" i="16"/>
  <c r="R2335" i="16"/>
  <c r="R2334" i="16"/>
  <c r="R2333" i="16"/>
  <c r="R2332" i="16"/>
  <c r="R2331" i="16"/>
  <c r="R2330" i="16"/>
  <c r="R2329" i="16"/>
  <c r="R2328" i="16"/>
  <c r="R2327" i="16"/>
  <c r="R2326" i="16"/>
  <c r="R2325" i="16"/>
  <c r="R2324" i="16"/>
  <c r="R2323" i="16"/>
  <c r="R2322" i="16"/>
  <c r="R2321" i="16"/>
  <c r="R2320" i="16"/>
  <c r="R2319" i="16"/>
  <c r="R2318" i="16"/>
  <c r="R2317" i="16"/>
  <c r="R2316" i="16"/>
  <c r="R2315" i="16"/>
  <c r="R2314" i="16"/>
  <c r="R2313" i="16"/>
  <c r="R2312" i="16"/>
  <c r="R2311" i="16"/>
  <c r="R2310" i="16"/>
  <c r="R2309" i="16"/>
  <c r="R2308" i="16"/>
  <c r="R2307" i="16"/>
  <c r="R2306" i="16"/>
  <c r="R2305" i="16"/>
  <c r="R2304" i="16"/>
  <c r="R2303" i="16"/>
  <c r="R2302" i="16"/>
  <c r="R2301" i="16"/>
  <c r="R2300" i="16"/>
  <c r="R2299" i="16"/>
  <c r="R2298" i="16"/>
  <c r="R2297" i="16"/>
  <c r="R2296" i="16"/>
  <c r="R2295" i="16"/>
  <c r="R2294" i="16"/>
  <c r="R2293" i="16"/>
  <c r="R2292" i="16"/>
  <c r="R2291" i="16"/>
  <c r="R2290" i="16"/>
  <c r="R2289" i="16"/>
  <c r="R2288" i="16"/>
  <c r="R2287" i="16"/>
  <c r="R2286" i="16"/>
  <c r="R2285" i="16"/>
  <c r="R2284" i="16"/>
  <c r="R2283" i="16"/>
  <c r="R2282" i="16"/>
  <c r="R2281" i="16"/>
  <c r="R2280" i="16"/>
  <c r="R2279" i="16"/>
  <c r="R2278" i="16"/>
  <c r="R2277" i="16"/>
  <c r="R2276" i="16"/>
  <c r="R2275" i="16"/>
  <c r="R2274" i="16"/>
  <c r="R2273" i="16"/>
  <c r="R2272" i="16"/>
  <c r="R2271" i="16"/>
  <c r="R2270" i="16"/>
  <c r="R2269" i="16"/>
  <c r="R2268" i="16"/>
  <c r="R2267" i="16"/>
  <c r="R2266" i="16"/>
  <c r="R2265" i="16"/>
  <c r="R2264" i="16"/>
  <c r="R2263" i="16"/>
  <c r="R2262" i="16"/>
  <c r="R2261" i="16"/>
  <c r="R2260" i="16"/>
  <c r="R2259" i="16"/>
  <c r="R2258" i="16"/>
  <c r="R2257" i="16"/>
  <c r="R2256" i="16"/>
  <c r="R2255" i="16"/>
  <c r="R2254" i="16"/>
  <c r="R2253" i="16"/>
  <c r="R2252" i="16"/>
  <c r="R2251" i="16"/>
  <c r="R2250" i="16"/>
  <c r="R2249" i="16"/>
  <c r="R2248" i="16"/>
  <c r="R2247" i="16"/>
  <c r="R2246" i="16"/>
  <c r="R2245" i="16"/>
  <c r="R2244" i="16"/>
  <c r="R2243" i="16"/>
  <c r="R2242" i="16"/>
  <c r="R2241" i="16"/>
  <c r="R2240" i="16"/>
  <c r="R2239" i="16"/>
  <c r="R2238" i="16"/>
  <c r="R2237" i="16"/>
  <c r="R2236" i="16"/>
  <c r="R2235" i="16"/>
  <c r="R2234" i="16"/>
  <c r="R2233" i="16"/>
  <c r="R2232" i="16"/>
  <c r="R2231" i="16"/>
  <c r="R2230" i="16"/>
  <c r="R2229" i="16"/>
  <c r="R2228" i="16"/>
  <c r="R2227" i="16"/>
  <c r="R2226" i="16"/>
  <c r="R2225" i="16"/>
  <c r="R2224" i="16"/>
  <c r="R2223" i="16"/>
  <c r="R2222" i="16"/>
  <c r="R2221" i="16"/>
  <c r="R2220" i="16"/>
  <c r="R2219" i="16"/>
  <c r="R2218" i="16"/>
  <c r="R2217" i="16"/>
  <c r="R2216" i="16"/>
  <c r="R2215" i="16"/>
  <c r="R2214" i="16"/>
  <c r="R2213" i="16"/>
  <c r="R2212" i="16"/>
  <c r="R2211" i="16"/>
  <c r="R2210" i="16"/>
  <c r="R2209" i="16"/>
  <c r="R2208" i="16"/>
  <c r="R2207" i="16"/>
  <c r="R2206" i="16"/>
  <c r="R2205" i="16"/>
  <c r="R2204" i="16"/>
  <c r="R2203" i="16"/>
  <c r="R2202" i="16"/>
  <c r="R2201" i="16"/>
  <c r="R2200" i="16"/>
  <c r="R2199" i="16"/>
  <c r="R2198" i="16"/>
  <c r="R2197" i="16"/>
  <c r="R2196" i="16"/>
  <c r="R2195" i="16"/>
  <c r="R2194" i="16"/>
  <c r="R2193" i="16"/>
  <c r="R2192" i="16"/>
  <c r="R2191" i="16"/>
  <c r="R2190" i="16"/>
  <c r="R2189" i="16"/>
  <c r="R2188" i="16"/>
  <c r="R2187" i="16"/>
  <c r="R2186" i="16"/>
  <c r="R2185" i="16"/>
  <c r="R2184" i="16"/>
  <c r="R2183" i="16"/>
  <c r="R2182" i="16"/>
  <c r="R2181" i="16"/>
  <c r="R2180" i="16"/>
  <c r="R2179" i="16"/>
  <c r="R2178" i="16"/>
  <c r="R2177" i="16"/>
  <c r="R2176" i="16"/>
  <c r="R2175" i="16"/>
  <c r="R2174" i="16"/>
  <c r="R2173" i="16"/>
  <c r="R2172" i="16"/>
  <c r="R2171" i="16"/>
  <c r="R2170" i="16"/>
  <c r="R2169" i="16"/>
  <c r="R2168" i="16"/>
  <c r="R2167" i="16"/>
  <c r="R2166" i="16"/>
  <c r="R2165" i="16"/>
  <c r="R2164" i="16"/>
  <c r="R2163" i="16"/>
  <c r="R2162" i="16"/>
  <c r="R2161" i="16"/>
  <c r="R2160" i="16"/>
  <c r="R2159" i="16"/>
  <c r="R2158" i="16"/>
  <c r="R2157" i="16"/>
  <c r="R2156" i="16"/>
  <c r="R2155" i="16"/>
  <c r="R2154" i="16"/>
  <c r="R2153" i="16"/>
  <c r="R2152" i="16"/>
  <c r="R2151" i="16"/>
  <c r="R2150" i="16"/>
  <c r="R2149" i="16"/>
  <c r="R2148" i="16"/>
  <c r="R2147" i="16"/>
  <c r="R2146" i="16"/>
  <c r="R2145" i="16"/>
  <c r="R2144" i="16"/>
  <c r="R2143" i="16"/>
  <c r="R2142" i="16"/>
  <c r="R2141" i="16"/>
  <c r="R2140" i="16"/>
  <c r="R2139" i="16"/>
  <c r="R2138" i="16"/>
  <c r="R2137" i="16"/>
  <c r="R2136" i="16"/>
  <c r="R2135" i="16"/>
  <c r="R2134" i="16"/>
  <c r="R2133" i="16"/>
  <c r="R2132" i="16"/>
  <c r="R2131" i="16"/>
  <c r="R2130" i="16"/>
  <c r="R2129" i="16"/>
  <c r="R2128" i="16"/>
  <c r="R2127" i="16"/>
  <c r="R2126" i="16"/>
  <c r="R2125" i="16"/>
  <c r="R2124" i="16"/>
  <c r="R2123" i="16"/>
  <c r="R2122" i="16"/>
  <c r="R2121" i="16"/>
  <c r="R2120" i="16"/>
  <c r="R2119" i="16"/>
  <c r="R2118" i="16"/>
  <c r="R2117" i="16"/>
  <c r="R2116" i="16"/>
  <c r="R2115" i="16"/>
  <c r="R2114" i="16"/>
  <c r="R2113" i="16"/>
  <c r="R2112" i="16"/>
  <c r="R2111" i="16"/>
  <c r="R2110" i="16"/>
  <c r="R2109" i="16"/>
  <c r="R2108" i="16"/>
  <c r="R2107" i="16"/>
  <c r="R2106" i="16"/>
  <c r="R2105" i="16"/>
  <c r="R2104" i="16"/>
  <c r="R2103" i="16"/>
  <c r="R2102" i="16"/>
  <c r="R2101" i="16"/>
  <c r="R2100" i="16"/>
  <c r="R2099" i="16"/>
  <c r="R2098" i="16"/>
  <c r="R2097" i="16"/>
  <c r="R2096" i="16"/>
  <c r="R2095" i="16"/>
  <c r="R2094" i="16"/>
  <c r="R2093" i="16"/>
  <c r="R2092" i="16"/>
  <c r="R2091" i="16"/>
  <c r="R2090" i="16"/>
  <c r="R2089" i="16"/>
  <c r="R2088" i="16"/>
  <c r="R2087" i="16"/>
  <c r="R2086" i="16"/>
  <c r="R2085" i="16"/>
  <c r="R2084" i="16"/>
  <c r="R2083" i="16"/>
  <c r="R2082" i="16"/>
  <c r="R2081" i="16"/>
  <c r="R2080" i="16"/>
  <c r="R2079" i="16"/>
  <c r="R2078" i="16"/>
  <c r="R2077" i="16"/>
  <c r="R2076" i="16"/>
  <c r="R2075" i="16"/>
  <c r="R2074" i="16"/>
  <c r="R2073" i="16"/>
  <c r="R2072" i="16"/>
  <c r="R2071" i="16"/>
  <c r="R2070" i="16"/>
  <c r="R2069" i="16"/>
  <c r="R2068" i="16"/>
  <c r="R2067" i="16"/>
  <c r="R2066" i="16"/>
  <c r="R2065" i="16"/>
  <c r="R2064" i="16"/>
  <c r="R2063" i="16"/>
  <c r="R2062" i="16"/>
  <c r="R2061" i="16"/>
  <c r="R2060" i="16"/>
  <c r="R2059" i="16"/>
  <c r="R2058" i="16"/>
  <c r="R2057" i="16"/>
  <c r="R2056" i="16"/>
  <c r="R2055" i="16"/>
  <c r="R2054" i="16"/>
  <c r="R2053" i="16"/>
  <c r="R2052" i="16"/>
  <c r="R2051" i="16"/>
  <c r="R2050" i="16"/>
  <c r="R2049" i="16"/>
  <c r="R2048" i="16"/>
  <c r="R2047" i="16"/>
  <c r="R2046" i="16"/>
  <c r="R2045" i="16"/>
  <c r="R2044" i="16"/>
  <c r="R2043" i="16"/>
  <c r="R2042" i="16"/>
  <c r="R2041" i="16"/>
  <c r="R2040" i="16"/>
  <c r="R2039" i="16"/>
  <c r="R2038" i="16"/>
  <c r="R2037" i="16"/>
  <c r="R2036" i="16"/>
  <c r="R2035" i="16"/>
  <c r="R2034" i="16"/>
  <c r="R2033" i="16"/>
  <c r="R2032" i="16"/>
  <c r="R2031" i="16"/>
  <c r="R2030" i="16"/>
  <c r="R2029" i="16"/>
  <c r="R2028" i="16"/>
  <c r="R2027" i="16"/>
  <c r="R2026" i="16"/>
  <c r="R2025" i="16"/>
  <c r="R2024" i="16"/>
  <c r="R2023" i="16"/>
  <c r="R2022" i="16"/>
  <c r="R2021" i="16"/>
  <c r="R2020" i="16"/>
  <c r="R2019" i="16"/>
  <c r="R2018" i="16"/>
  <c r="R2017" i="16"/>
  <c r="R2016" i="16"/>
  <c r="R2015" i="16"/>
  <c r="R2014" i="16"/>
  <c r="R2013" i="16"/>
  <c r="R2012" i="16"/>
  <c r="R2011" i="16"/>
  <c r="R2010" i="16"/>
  <c r="R2009" i="16"/>
  <c r="R2008" i="16"/>
  <c r="R2007" i="16"/>
  <c r="R2006" i="16"/>
  <c r="R2005" i="16"/>
  <c r="R2004" i="16"/>
  <c r="R2003" i="16"/>
  <c r="R2002" i="16"/>
  <c r="R2001" i="16"/>
  <c r="R2000" i="16"/>
  <c r="R1999" i="16"/>
  <c r="R1998" i="16"/>
  <c r="R1997" i="16"/>
  <c r="R1996" i="16"/>
  <c r="R1995" i="16"/>
  <c r="R1994" i="16"/>
  <c r="R1993" i="16"/>
  <c r="R1992" i="16"/>
  <c r="R1991" i="16"/>
  <c r="R1990" i="16"/>
  <c r="R1989" i="16"/>
  <c r="R1988" i="16"/>
  <c r="R1987" i="16"/>
  <c r="R1986" i="16"/>
  <c r="R1985" i="16"/>
  <c r="R1984" i="16"/>
  <c r="R1983" i="16"/>
  <c r="R1982" i="16"/>
  <c r="R1981" i="16"/>
  <c r="R1980" i="16"/>
  <c r="R1979" i="16"/>
  <c r="R1978" i="16"/>
  <c r="R1977" i="16"/>
  <c r="R1976" i="16"/>
  <c r="R1975" i="16"/>
  <c r="R1974" i="16"/>
  <c r="R1973" i="16"/>
  <c r="R1972" i="16"/>
  <c r="R1971" i="16"/>
  <c r="R1970" i="16"/>
  <c r="R1969" i="16"/>
  <c r="R1968" i="16"/>
  <c r="R1967" i="16"/>
  <c r="R1966" i="16"/>
  <c r="R1965" i="16"/>
  <c r="R1964" i="16"/>
  <c r="R1963" i="16"/>
  <c r="R1962" i="16"/>
  <c r="R1961" i="16"/>
  <c r="R1960" i="16"/>
  <c r="R1959" i="16"/>
  <c r="R1958" i="16"/>
  <c r="R1957" i="16"/>
  <c r="R1956" i="16"/>
  <c r="R1955" i="16"/>
  <c r="R1954" i="16"/>
  <c r="R1953" i="16"/>
  <c r="R1952" i="16"/>
  <c r="R1951" i="16"/>
  <c r="R1950" i="16"/>
  <c r="R1949" i="16"/>
  <c r="R1948" i="16"/>
  <c r="R1947" i="16"/>
  <c r="R1946" i="16"/>
  <c r="R1945" i="16"/>
  <c r="R1944" i="16"/>
  <c r="R1943" i="16"/>
  <c r="R1942" i="16"/>
  <c r="R1941" i="16"/>
  <c r="R1940" i="16"/>
  <c r="R1939" i="16"/>
  <c r="R1938" i="16"/>
  <c r="R1937" i="16"/>
  <c r="R1936" i="16"/>
  <c r="R1935" i="16"/>
  <c r="R1934" i="16"/>
  <c r="R1933" i="16"/>
  <c r="R1932" i="16"/>
  <c r="R1931" i="16"/>
  <c r="R1930" i="16"/>
  <c r="R1929" i="16"/>
  <c r="R1928" i="16"/>
  <c r="R1927" i="16"/>
  <c r="R1926" i="16"/>
  <c r="R1925" i="16"/>
  <c r="R1924" i="16"/>
  <c r="R1923" i="16"/>
  <c r="R1922" i="16"/>
  <c r="R1921" i="16"/>
  <c r="R1920" i="16"/>
  <c r="R1919" i="16"/>
  <c r="R1918" i="16"/>
  <c r="R1917" i="16"/>
  <c r="R1916" i="16"/>
  <c r="R1915" i="16"/>
  <c r="R1914" i="16"/>
  <c r="R1913" i="16"/>
  <c r="R1912" i="16"/>
  <c r="R1911" i="16"/>
  <c r="R1910" i="16"/>
  <c r="R1909" i="16"/>
  <c r="R1908" i="16"/>
  <c r="R1907" i="16"/>
  <c r="R1906" i="16"/>
  <c r="R1905" i="16"/>
  <c r="R1904" i="16"/>
  <c r="R1903" i="16"/>
  <c r="R1902" i="16"/>
  <c r="R1901" i="16"/>
  <c r="R1900" i="16"/>
  <c r="R1899" i="16"/>
  <c r="R1898" i="16"/>
  <c r="R1897" i="16"/>
  <c r="R1896" i="16"/>
  <c r="R1895" i="16"/>
  <c r="R1894" i="16"/>
  <c r="R1893" i="16"/>
  <c r="R1892" i="16"/>
  <c r="R1891" i="16"/>
  <c r="R1890" i="16"/>
  <c r="R1889" i="16"/>
  <c r="R1888" i="16"/>
  <c r="R1887" i="16"/>
  <c r="R1886" i="16"/>
  <c r="R1885" i="16"/>
  <c r="R1884" i="16"/>
  <c r="R1883" i="16"/>
  <c r="R1882" i="16"/>
  <c r="R1881" i="16"/>
  <c r="R1880" i="16"/>
  <c r="R1879" i="16"/>
  <c r="R1878" i="16"/>
  <c r="R1877" i="16"/>
  <c r="R1876" i="16"/>
  <c r="R1875" i="16"/>
  <c r="R1874" i="16"/>
  <c r="R1873" i="16"/>
  <c r="R1872" i="16"/>
  <c r="R1871" i="16"/>
  <c r="R1870" i="16"/>
  <c r="R1869" i="16"/>
  <c r="R1868" i="16"/>
  <c r="R1867" i="16"/>
  <c r="R1866" i="16"/>
  <c r="R1865" i="16"/>
  <c r="R1864" i="16"/>
  <c r="R1863" i="16"/>
  <c r="R1862" i="16"/>
  <c r="R1861" i="16"/>
  <c r="R1860" i="16"/>
  <c r="R1859" i="16"/>
  <c r="R1858" i="16"/>
  <c r="R1857" i="16"/>
  <c r="R1856" i="16"/>
  <c r="R1855" i="16"/>
  <c r="R1854" i="16"/>
  <c r="R1853" i="16"/>
  <c r="R1852" i="16"/>
  <c r="R1851" i="16"/>
  <c r="R1850" i="16"/>
  <c r="R1849" i="16"/>
  <c r="R1848" i="16"/>
  <c r="R1847" i="16"/>
  <c r="R1846" i="16"/>
  <c r="R1845" i="16"/>
  <c r="R1844" i="16"/>
  <c r="R1843" i="16"/>
  <c r="R1842" i="16"/>
  <c r="R1841" i="16"/>
  <c r="R1840" i="16"/>
  <c r="R1839" i="16"/>
  <c r="R1838" i="16"/>
  <c r="R1837" i="16"/>
  <c r="R1836" i="16"/>
  <c r="R1835" i="16"/>
  <c r="R1834" i="16"/>
  <c r="R1833" i="16"/>
  <c r="R1832" i="16"/>
  <c r="R1831" i="16"/>
  <c r="R1830" i="16"/>
  <c r="R1829" i="16"/>
  <c r="R1828" i="16"/>
  <c r="R1827" i="16"/>
  <c r="R1826" i="16"/>
  <c r="R1825" i="16"/>
  <c r="R1824" i="16"/>
  <c r="R1823" i="16"/>
  <c r="R1822" i="16"/>
  <c r="R1821" i="16"/>
  <c r="R1820" i="16"/>
  <c r="R1819" i="16"/>
  <c r="R1818" i="16"/>
  <c r="R1817" i="16"/>
  <c r="R1816" i="16"/>
  <c r="R1815" i="16"/>
  <c r="R1814" i="16"/>
  <c r="R1813" i="16"/>
  <c r="R1812" i="16"/>
  <c r="R1811" i="16"/>
  <c r="R1810" i="16"/>
  <c r="R1809" i="16"/>
  <c r="R1808" i="16"/>
  <c r="R1807" i="16"/>
  <c r="R1806" i="16"/>
  <c r="R1805" i="16"/>
  <c r="R1804" i="16"/>
  <c r="R1803" i="16"/>
  <c r="R1802" i="16"/>
  <c r="R1801" i="16"/>
  <c r="R1800" i="16"/>
  <c r="R1799" i="16"/>
  <c r="R1798" i="16"/>
  <c r="R1797" i="16"/>
  <c r="R1796" i="16"/>
  <c r="R1795" i="16"/>
  <c r="R1794" i="16"/>
  <c r="R1793" i="16"/>
  <c r="R1792" i="16"/>
  <c r="R1791" i="16"/>
  <c r="R1790" i="16"/>
  <c r="R1789" i="16"/>
  <c r="R1788" i="16"/>
  <c r="R1787" i="16"/>
  <c r="R1786" i="16"/>
  <c r="R1785" i="16"/>
  <c r="R1784" i="16"/>
  <c r="R1783" i="16"/>
  <c r="R1782" i="16"/>
  <c r="R1781" i="16"/>
  <c r="R1780" i="16"/>
  <c r="R1779" i="16"/>
  <c r="R1778" i="16"/>
  <c r="R1776" i="16"/>
  <c r="R1774" i="16"/>
  <c r="R1772" i="16"/>
  <c r="R1770" i="16"/>
  <c r="R1768" i="16"/>
  <c r="R1766" i="16"/>
  <c r="R1764" i="16"/>
  <c r="R1762" i="16"/>
  <c r="R1760" i="16"/>
  <c r="R1758" i="16"/>
  <c r="R1756" i="16"/>
  <c r="R1754" i="16"/>
  <c r="R1752" i="16"/>
  <c r="R1750" i="16"/>
  <c r="R1748" i="16"/>
  <c r="R1746" i="16"/>
  <c r="R1744" i="16"/>
  <c r="R1742" i="16"/>
  <c r="R1740" i="16"/>
  <c r="R1738" i="16"/>
  <c r="R1736" i="16"/>
  <c r="R1734" i="16"/>
  <c r="R1732" i="16"/>
  <c r="R1730" i="16"/>
  <c r="R1728" i="16"/>
  <c r="R1726" i="16"/>
  <c r="R1724" i="16"/>
  <c r="R1722" i="16"/>
  <c r="R1720" i="16"/>
  <c r="R1718" i="16"/>
  <c r="R1716" i="16"/>
  <c r="R1714" i="16"/>
  <c r="R1712" i="16"/>
  <c r="R1710" i="16"/>
  <c r="R1708" i="16"/>
  <c r="R1777" i="16"/>
  <c r="R1775" i="16"/>
  <c r="R1773" i="16"/>
  <c r="R1771" i="16"/>
  <c r="R1769" i="16"/>
  <c r="R1767" i="16"/>
  <c r="R1765" i="16"/>
  <c r="R1763" i="16"/>
  <c r="R1761" i="16"/>
  <c r="R1759" i="16"/>
  <c r="R1757" i="16"/>
  <c r="R1755" i="16"/>
  <c r="R1753" i="16"/>
  <c r="R1751" i="16"/>
  <c r="R1749" i="16"/>
  <c r="R1747" i="16"/>
  <c r="R1745" i="16"/>
  <c r="R1743" i="16"/>
  <c r="R1741" i="16"/>
  <c r="R1739" i="16"/>
  <c r="R1737" i="16"/>
  <c r="R1735" i="16"/>
  <c r="R1733" i="16"/>
  <c r="R1731" i="16"/>
  <c r="R1729" i="16"/>
  <c r="R1727" i="16"/>
  <c r="R1725" i="16"/>
  <c r="R1723" i="16"/>
  <c r="R1721" i="16"/>
  <c r="R1719" i="16"/>
  <c r="R1717" i="16"/>
  <c r="R1715" i="16"/>
  <c r="R1713" i="16"/>
  <c r="R1711" i="16"/>
  <c r="R1709" i="16"/>
  <c r="R1707" i="16"/>
  <c r="R1706" i="16"/>
  <c r="R1705" i="16"/>
  <c r="R1704" i="16"/>
  <c r="R1703" i="16"/>
  <c r="R1702" i="16"/>
  <c r="R1701" i="16"/>
  <c r="R1700" i="16"/>
  <c r="R1699" i="16"/>
  <c r="R1698" i="16"/>
  <c r="R1697" i="16"/>
  <c r="R1696" i="16"/>
  <c r="R1695" i="16"/>
  <c r="R1694" i="16"/>
  <c r="R1693" i="16"/>
  <c r="R1692" i="16"/>
  <c r="R1691" i="16"/>
  <c r="R1690" i="16"/>
  <c r="R1689" i="16"/>
  <c r="R1688" i="16"/>
  <c r="R1687" i="16"/>
  <c r="R1686" i="16"/>
  <c r="R1685" i="16"/>
  <c r="R1684" i="16"/>
  <c r="R1683" i="16"/>
  <c r="R1682" i="16"/>
  <c r="R1681" i="16"/>
  <c r="R1680" i="16"/>
  <c r="R1679" i="16"/>
  <c r="R1678" i="16"/>
  <c r="R1677" i="16"/>
  <c r="R1676" i="16"/>
  <c r="R1675" i="16"/>
  <c r="R1674" i="16"/>
  <c r="R1673" i="16"/>
  <c r="R1672" i="16"/>
  <c r="R1671" i="16"/>
  <c r="R1670" i="16"/>
  <c r="R1669" i="16"/>
  <c r="R1668" i="16"/>
  <c r="R1667" i="16"/>
  <c r="R1666" i="16"/>
  <c r="R1665" i="16"/>
  <c r="R1664" i="16"/>
  <c r="R1663" i="16"/>
  <c r="R1662" i="16"/>
  <c r="R1661" i="16"/>
  <c r="R1660" i="16"/>
  <c r="R1659" i="16"/>
  <c r="R1658" i="16"/>
  <c r="R1657" i="16"/>
  <c r="R1656" i="16"/>
  <c r="R1655" i="16"/>
  <c r="R1654" i="16"/>
  <c r="R1653" i="16"/>
  <c r="R1652" i="16"/>
  <c r="R1651" i="16"/>
  <c r="R1650" i="16"/>
  <c r="R1649" i="16"/>
  <c r="R1648" i="16"/>
  <c r="R1647" i="16"/>
  <c r="R1646" i="16"/>
  <c r="R1645" i="16"/>
  <c r="R1644" i="16"/>
  <c r="R1643" i="16"/>
  <c r="R1642" i="16"/>
  <c r="R1641" i="16"/>
  <c r="R1640" i="16"/>
  <c r="R1639" i="16"/>
  <c r="R1638" i="16"/>
  <c r="R1637" i="16"/>
  <c r="R1636" i="16"/>
  <c r="R1635" i="16"/>
  <c r="R1634" i="16"/>
  <c r="R1633" i="16"/>
  <c r="R1632" i="16"/>
  <c r="R1631" i="16"/>
  <c r="R1630" i="16"/>
  <c r="R1629" i="16"/>
  <c r="R1628" i="16"/>
  <c r="R1627" i="16"/>
  <c r="R1626" i="16"/>
  <c r="R1625" i="16"/>
  <c r="R1624" i="16"/>
  <c r="R1623" i="16"/>
  <c r="R1622" i="16"/>
  <c r="R1621" i="16"/>
  <c r="R1620" i="16"/>
  <c r="R1619" i="16"/>
  <c r="R1618" i="16"/>
  <c r="R1617" i="16"/>
  <c r="R1616" i="16"/>
  <c r="R1615" i="16"/>
  <c r="R1614" i="16"/>
  <c r="R1613" i="16"/>
  <c r="R1612" i="16"/>
  <c r="R1611" i="16"/>
  <c r="R1610" i="16"/>
  <c r="R1609" i="16"/>
  <c r="R1608" i="16"/>
  <c r="R1607" i="16"/>
  <c r="R1606" i="16"/>
  <c r="R1605" i="16"/>
  <c r="R1604" i="16"/>
  <c r="R1603" i="16"/>
  <c r="R1602" i="16"/>
  <c r="R1601" i="16"/>
  <c r="R1600" i="16"/>
  <c r="R1599" i="16"/>
  <c r="R1598" i="16"/>
  <c r="R1597" i="16"/>
  <c r="R1596" i="16"/>
  <c r="R1595" i="16"/>
  <c r="R1594" i="16"/>
  <c r="R1593" i="16"/>
  <c r="R1592" i="16"/>
  <c r="R1591" i="16"/>
  <c r="R1590" i="16"/>
  <c r="R1589" i="16"/>
  <c r="R1588" i="16"/>
  <c r="R1587" i="16"/>
  <c r="R1586" i="16"/>
  <c r="R1585" i="16"/>
  <c r="R1584" i="16"/>
  <c r="R1583" i="16"/>
  <c r="R1582" i="16"/>
  <c r="R1581" i="16"/>
  <c r="R1580" i="16"/>
  <c r="R1579" i="16"/>
  <c r="R1578" i="16"/>
  <c r="R1577" i="16"/>
  <c r="R1576" i="16"/>
  <c r="R1575" i="16"/>
  <c r="R1574" i="16"/>
  <c r="R1573" i="16"/>
  <c r="R1572" i="16"/>
  <c r="R1571" i="16"/>
  <c r="R1570" i="16"/>
  <c r="R1569" i="16"/>
  <c r="R1568" i="16"/>
  <c r="R1567" i="16"/>
  <c r="R1566" i="16"/>
  <c r="R1565" i="16"/>
  <c r="R1564" i="16"/>
  <c r="R1563" i="16"/>
  <c r="R1562" i="16"/>
  <c r="R1561" i="16"/>
  <c r="R1560" i="16"/>
  <c r="R1559" i="16"/>
  <c r="R1558" i="16"/>
  <c r="R1557" i="16"/>
  <c r="R1556" i="16"/>
  <c r="R1555" i="16"/>
  <c r="R1554" i="16"/>
  <c r="R1553" i="16"/>
  <c r="R1552" i="16"/>
  <c r="R1551" i="16"/>
  <c r="R1550" i="16"/>
  <c r="R1549" i="16"/>
  <c r="R1548" i="16"/>
  <c r="R1547" i="16"/>
  <c r="R1546" i="16"/>
  <c r="R1545" i="16"/>
  <c r="R1544" i="16"/>
  <c r="R1543" i="16"/>
  <c r="R1542" i="16"/>
  <c r="R1541" i="16"/>
  <c r="R1540" i="16"/>
  <c r="R1539" i="16"/>
  <c r="R1538" i="16"/>
  <c r="R1537" i="16"/>
  <c r="R1536" i="16"/>
  <c r="R1535" i="16"/>
  <c r="R1534" i="16"/>
  <c r="R1533" i="16"/>
  <c r="R1532" i="16"/>
  <c r="R1531" i="16"/>
  <c r="R1530" i="16"/>
  <c r="R1529" i="16"/>
  <c r="R1528" i="16"/>
  <c r="R1527" i="16"/>
  <c r="R1526" i="16"/>
  <c r="R1525" i="16"/>
  <c r="R1524" i="16"/>
  <c r="R1523" i="16"/>
  <c r="R1522" i="16"/>
  <c r="R1521" i="16"/>
  <c r="R1520" i="16"/>
  <c r="R1519" i="16"/>
  <c r="R1518" i="16"/>
  <c r="R1517" i="16"/>
  <c r="R1516" i="16"/>
  <c r="R1515" i="16"/>
  <c r="R1514" i="16"/>
  <c r="R1513" i="16"/>
  <c r="R1512" i="16"/>
  <c r="R1511" i="16"/>
  <c r="R1510" i="16"/>
  <c r="R1509" i="16"/>
  <c r="R1508" i="16"/>
  <c r="R1507" i="16"/>
  <c r="R1506" i="16"/>
  <c r="R1505" i="16"/>
  <c r="R1504" i="16"/>
  <c r="R1503" i="16"/>
  <c r="R1502" i="16"/>
  <c r="R1501" i="16"/>
  <c r="R1500" i="16"/>
  <c r="R1499" i="16"/>
  <c r="R1498" i="16"/>
  <c r="R1497" i="16"/>
  <c r="R1496" i="16"/>
  <c r="R1495" i="16"/>
  <c r="R1494" i="16"/>
  <c r="R1493" i="16"/>
  <c r="R1492" i="16"/>
  <c r="R1491" i="16"/>
  <c r="R1490" i="16"/>
  <c r="R1489" i="16"/>
  <c r="R1488" i="16"/>
  <c r="R1487" i="16"/>
  <c r="R1486" i="16"/>
  <c r="R1485" i="16"/>
  <c r="R1484" i="16"/>
  <c r="R1483" i="16"/>
  <c r="R1482" i="16"/>
  <c r="R1481" i="16"/>
  <c r="R1480" i="16"/>
  <c r="R1479" i="16"/>
  <c r="R1478" i="16"/>
  <c r="R1477" i="16"/>
  <c r="R1476" i="16"/>
  <c r="R1475" i="16"/>
  <c r="R1474" i="16"/>
  <c r="R1473" i="16"/>
  <c r="R1472" i="16"/>
  <c r="R1471" i="16"/>
  <c r="R1470" i="16"/>
  <c r="R1469" i="16"/>
  <c r="R1468" i="16"/>
  <c r="R1467" i="16"/>
  <c r="R1466" i="16"/>
  <c r="R1465" i="16"/>
  <c r="R1464" i="16"/>
  <c r="R1463" i="16"/>
  <c r="R1462" i="16"/>
  <c r="R1461" i="16"/>
  <c r="R1460" i="16"/>
  <c r="R1459" i="16"/>
  <c r="R1458" i="16"/>
  <c r="R1457" i="16"/>
  <c r="R1456" i="16"/>
  <c r="R1455" i="16"/>
  <c r="R1454" i="16"/>
  <c r="R1453" i="16"/>
  <c r="R1452" i="16"/>
  <c r="R1451" i="16"/>
  <c r="R1450" i="16"/>
  <c r="R1449" i="16"/>
  <c r="R1448" i="16"/>
  <c r="R1447" i="16"/>
  <c r="R1446" i="16"/>
  <c r="R1445" i="16"/>
  <c r="R1444" i="16"/>
  <c r="R1443" i="16"/>
  <c r="R1442" i="16"/>
  <c r="R1441" i="16"/>
  <c r="R1440" i="16"/>
  <c r="R1439" i="16"/>
  <c r="R1438" i="16"/>
  <c r="R1437" i="16"/>
  <c r="R1436" i="16"/>
  <c r="R1435" i="16"/>
  <c r="R1434" i="16"/>
  <c r="R1433" i="16"/>
  <c r="R1432" i="16"/>
  <c r="R1431" i="16"/>
  <c r="R1430" i="16"/>
  <c r="R1429" i="16"/>
  <c r="R1428" i="16"/>
  <c r="R1427" i="16"/>
  <c r="R1426" i="16"/>
  <c r="R1425" i="16"/>
  <c r="R1424" i="16"/>
  <c r="R1423" i="16"/>
  <c r="R1422" i="16"/>
  <c r="R1421" i="16"/>
  <c r="R1420" i="16"/>
  <c r="R1419" i="16"/>
  <c r="R1418" i="16"/>
  <c r="R1417" i="16"/>
  <c r="R1416" i="16"/>
  <c r="R1415" i="16"/>
  <c r="R1414" i="16"/>
  <c r="R1413" i="16"/>
  <c r="R1412" i="16"/>
  <c r="R1411" i="16"/>
  <c r="R1410" i="16"/>
  <c r="R1409" i="16"/>
  <c r="R1408" i="16"/>
  <c r="R1407" i="16"/>
  <c r="R1406" i="16"/>
  <c r="R1405" i="16"/>
  <c r="R1404" i="16"/>
  <c r="R1403" i="16"/>
  <c r="R1402" i="16"/>
  <c r="R1401" i="16"/>
  <c r="R1400" i="16"/>
  <c r="R1399" i="16"/>
  <c r="R1398" i="16"/>
  <c r="R1397" i="16"/>
  <c r="R1396" i="16"/>
  <c r="R1395" i="16"/>
  <c r="R1394" i="16"/>
  <c r="R1393" i="16"/>
  <c r="R1392" i="16"/>
  <c r="R1391" i="16"/>
  <c r="R1390" i="16"/>
  <c r="R1389" i="16"/>
  <c r="R1388" i="16"/>
  <c r="R1387" i="16"/>
  <c r="R1386" i="16"/>
  <c r="R1385" i="16"/>
  <c r="R1384" i="16"/>
  <c r="R1383" i="16"/>
  <c r="R1382" i="16"/>
  <c r="R1381" i="16"/>
  <c r="R1380" i="16"/>
  <c r="R1379" i="16"/>
  <c r="R1378" i="16"/>
  <c r="R1377" i="16"/>
  <c r="R1376" i="16"/>
  <c r="R1375" i="16"/>
  <c r="R1374" i="16"/>
  <c r="R1373" i="16"/>
  <c r="R1372" i="16"/>
  <c r="R1371" i="16"/>
  <c r="R1370" i="16"/>
  <c r="R1369" i="16"/>
  <c r="R1368" i="16"/>
  <c r="R1367" i="16"/>
  <c r="R1366" i="16"/>
  <c r="R1365" i="16"/>
  <c r="R1364" i="16"/>
  <c r="R1363" i="16"/>
  <c r="R1362" i="16"/>
  <c r="R1361" i="16"/>
  <c r="R1360" i="16"/>
  <c r="R1359" i="16"/>
  <c r="R1358" i="16"/>
  <c r="R1357" i="16"/>
  <c r="R1356" i="16"/>
  <c r="R1355" i="16"/>
  <c r="R1354" i="16"/>
  <c r="R1353" i="16"/>
  <c r="R1352" i="16"/>
  <c r="R1351" i="16"/>
  <c r="R1350" i="16"/>
  <c r="R1349" i="16"/>
  <c r="R1348" i="16"/>
  <c r="R1347" i="16"/>
  <c r="R1346" i="16"/>
  <c r="R1345" i="16"/>
  <c r="R1344" i="16"/>
  <c r="R1343" i="16"/>
  <c r="R1342" i="16"/>
  <c r="R1341" i="16"/>
  <c r="R1340" i="16"/>
  <c r="R1339" i="16"/>
  <c r="R1338" i="16"/>
  <c r="R1337" i="16"/>
  <c r="R1336" i="16"/>
  <c r="R1335" i="16"/>
  <c r="R1334" i="16"/>
  <c r="R1333" i="16"/>
  <c r="R1332" i="16"/>
  <c r="R1331" i="16"/>
  <c r="R1330" i="16"/>
  <c r="R1329" i="16"/>
  <c r="R1328" i="16"/>
  <c r="R1327" i="16"/>
  <c r="R1326" i="16"/>
  <c r="R1325" i="16"/>
  <c r="R1324" i="16"/>
  <c r="R1323" i="16"/>
  <c r="R1322" i="16"/>
  <c r="R1321" i="16"/>
  <c r="R1320" i="16"/>
  <c r="R1319" i="16"/>
  <c r="R1318" i="16"/>
  <c r="R1317" i="16"/>
  <c r="R1316" i="16"/>
  <c r="R1315" i="16"/>
  <c r="R1314" i="16"/>
  <c r="R1313" i="16"/>
  <c r="R1312" i="16"/>
  <c r="R1311" i="16"/>
  <c r="R1310" i="16"/>
  <c r="R1309" i="16"/>
  <c r="R1308" i="16"/>
  <c r="R1307" i="16"/>
  <c r="R1306" i="16"/>
  <c r="R1305" i="16"/>
  <c r="R1304" i="16"/>
  <c r="R1303" i="16"/>
  <c r="R1302" i="16"/>
  <c r="R1301" i="16"/>
  <c r="R1300" i="16"/>
  <c r="R1212" i="16"/>
  <c r="R1211" i="16"/>
  <c r="R1210" i="16"/>
  <c r="R1209" i="16"/>
  <c r="R1208" i="16"/>
  <c r="R1207" i="16"/>
  <c r="R1206" i="16"/>
  <c r="R1205" i="16"/>
  <c r="R1204" i="16"/>
  <c r="R1203" i="16"/>
  <c r="R1202" i="16"/>
  <c r="R1201" i="16"/>
  <c r="R1200" i="16"/>
  <c r="R1199" i="16"/>
  <c r="R1198" i="16"/>
  <c r="R1197" i="16"/>
  <c r="R1196" i="16"/>
  <c r="R1195" i="16"/>
  <c r="R1194" i="16"/>
  <c r="R1193" i="16"/>
  <c r="R1192" i="16"/>
  <c r="R1191" i="16"/>
  <c r="R1190" i="16"/>
  <c r="R1189" i="16"/>
  <c r="R1188" i="16"/>
  <c r="R1187" i="16"/>
  <c r="R1186" i="16"/>
  <c r="R1185" i="16"/>
  <c r="R1184" i="16"/>
  <c r="R1183" i="16"/>
  <c r="R1182" i="16"/>
  <c r="R1181" i="16"/>
  <c r="R1180" i="16"/>
  <c r="R1179" i="16"/>
  <c r="R1178" i="16"/>
  <c r="R1177" i="16"/>
  <c r="R1176" i="16"/>
  <c r="R1175" i="16"/>
  <c r="R1174" i="16"/>
  <c r="R1173" i="16"/>
  <c r="R1172" i="16"/>
  <c r="R1171" i="16"/>
  <c r="R1170" i="16"/>
  <c r="R1169" i="16"/>
  <c r="R1168" i="16"/>
  <c r="R1167" i="16"/>
  <c r="R1166" i="16"/>
  <c r="R1165" i="16"/>
  <c r="R1164" i="16"/>
  <c r="R1163" i="16"/>
  <c r="R1162" i="16"/>
  <c r="R1161" i="16"/>
  <c r="R1160" i="16"/>
  <c r="R1159" i="16"/>
  <c r="R1158" i="16"/>
  <c r="R1157" i="16"/>
  <c r="R1156" i="16"/>
  <c r="R1155" i="16"/>
  <c r="R1154" i="16"/>
  <c r="R1153" i="16"/>
  <c r="R1152" i="16"/>
  <c r="R1151" i="16"/>
  <c r="R1150" i="16"/>
  <c r="R1149" i="16"/>
  <c r="R1148" i="16"/>
  <c r="R1147" i="16"/>
  <c r="R1146" i="16"/>
  <c r="R1145" i="16"/>
  <c r="R1144" i="16"/>
  <c r="R1143" i="16"/>
  <c r="R1142" i="16"/>
  <c r="R1141" i="16"/>
  <c r="R1140" i="16"/>
  <c r="R1139" i="16"/>
  <c r="R1138" i="16"/>
  <c r="R1137" i="16"/>
  <c r="R1136" i="16"/>
  <c r="R1135" i="16"/>
  <c r="R1134" i="16"/>
  <c r="R1133" i="16"/>
  <c r="R1132" i="16"/>
  <c r="R1131" i="16"/>
  <c r="R1130" i="16"/>
  <c r="R1129" i="16"/>
  <c r="R1128" i="16"/>
  <c r="R1127" i="16"/>
  <c r="R1126" i="16"/>
  <c r="R1125" i="16"/>
  <c r="R1124" i="16"/>
  <c r="R1123" i="16"/>
  <c r="R1122" i="16"/>
  <c r="R1121" i="16"/>
  <c r="R1120" i="16"/>
  <c r="R1119" i="16"/>
  <c r="R1118" i="16"/>
  <c r="R1117" i="16"/>
  <c r="R1116" i="16"/>
  <c r="R1115" i="16"/>
  <c r="R1114" i="16"/>
  <c r="R1113" i="16"/>
  <c r="R1112" i="16"/>
  <c r="R1111" i="16"/>
  <c r="R1110" i="16"/>
  <c r="R1109" i="16"/>
  <c r="R1108" i="16"/>
  <c r="R1107" i="16"/>
  <c r="R1106" i="16"/>
  <c r="R1105" i="16"/>
  <c r="R1104" i="16"/>
  <c r="R1103" i="16"/>
  <c r="R1102" i="16"/>
  <c r="R1101" i="16"/>
  <c r="R1100" i="16"/>
  <c r="R1099" i="16"/>
  <c r="R1098" i="16"/>
  <c r="R1097" i="16"/>
  <c r="R1096" i="16"/>
  <c r="R1095" i="16"/>
  <c r="R1094" i="16"/>
  <c r="R1093" i="16"/>
  <c r="R1092" i="16"/>
  <c r="R1091" i="16"/>
  <c r="R1090" i="16"/>
  <c r="R1089" i="16"/>
  <c r="R1088" i="16"/>
  <c r="R1087" i="16"/>
  <c r="R1086" i="16"/>
  <c r="R1085" i="16"/>
  <c r="R1084" i="16"/>
  <c r="R1083" i="16"/>
  <c r="R1082" i="16"/>
  <c r="R1081" i="16"/>
  <c r="R1080" i="16"/>
  <c r="R1079" i="16"/>
  <c r="R1078" i="16"/>
  <c r="R1077" i="16"/>
  <c r="R1076" i="16"/>
  <c r="R1075" i="16"/>
  <c r="R1074" i="16"/>
  <c r="R1073" i="16"/>
  <c r="R1072" i="16"/>
  <c r="R1071" i="16"/>
  <c r="R1070" i="16"/>
  <c r="R1069" i="16"/>
  <c r="R1068" i="16"/>
  <c r="R1067" i="16"/>
  <c r="R1066" i="16"/>
  <c r="R1065" i="16"/>
  <c r="R1064" i="16"/>
  <c r="R1063" i="16"/>
  <c r="R1062" i="16"/>
  <c r="R1061" i="16"/>
  <c r="R1060" i="16"/>
  <c r="R1059" i="16"/>
  <c r="R1058" i="16"/>
  <c r="R1057" i="16"/>
  <c r="R1056" i="16"/>
  <c r="R1055" i="16"/>
  <c r="R1054" i="16"/>
  <c r="R1053" i="16"/>
  <c r="R1052" i="16"/>
  <c r="R1051" i="16"/>
  <c r="R1050" i="16"/>
  <c r="R1049" i="16"/>
  <c r="R1048" i="16"/>
  <c r="R1047" i="16"/>
  <c r="R1046" i="16"/>
  <c r="R1045" i="16"/>
  <c r="R1044" i="16"/>
  <c r="R1043" i="16"/>
  <c r="R1042" i="16"/>
  <c r="R1041" i="16"/>
  <c r="R1040" i="16"/>
  <c r="R1039" i="16"/>
  <c r="R1038" i="16"/>
  <c r="R1037" i="16"/>
  <c r="R1036" i="16"/>
  <c r="R1035" i="16"/>
  <c r="R1034" i="16"/>
  <c r="R1033" i="16"/>
  <c r="R1032" i="16"/>
  <c r="R1031" i="16"/>
  <c r="R1030" i="16"/>
  <c r="R1029" i="16"/>
  <c r="R1028" i="16"/>
  <c r="R1027" i="16"/>
  <c r="R1026" i="16"/>
  <c r="R1025" i="16"/>
  <c r="R1024" i="16"/>
  <c r="R1023" i="16"/>
  <c r="R1022" i="16"/>
  <c r="R1021" i="16"/>
  <c r="R1020" i="16"/>
  <c r="R1019" i="16"/>
  <c r="R1018" i="16"/>
  <c r="R1017" i="16"/>
  <c r="R1016" i="16"/>
  <c r="R1015" i="16"/>
  <c r="R1014" i="16"/>
  <c r="R1013" i="16"/>
  <c r="R1012" i="16"/>
  <c r="R1011" i="16"/>
  <c r="R1010" i="16"/>
  <c r="R1009" i="16"/>
  <c r="R1008" i="16"/>
  <c r="R1007" i="16"/>
  <c r="R1006" i="16"/>
  <c r="R1005" i="16"/>
  <c r="R1004" i="16"/>
  <c r="R1003" i="16"/>
  <c r="R1002" i="16"/>
  <c r="R1001" i="16"/>
  <c r="R1000" i="16"/>
  <c r="R999" i="16"/>
  <c r="R998" i="16"/>
  <c r="R997" i="16"/>
  <c r="R996" i="16"/>
  <c r="R995" i="16"/>
  <c r="R994" i="16"/>
  <c r="R993" i="16"/>
  <c r="R992" i="16"/>
  <c r="R991" i="16"/>
  <c r="R990" i="16"/>
  <c r="R989" i="16"/>
  <c r="R988" i="16"/>
  <c r="R987" i="16"/>
  <c r="R986" i="16"/>
  <c r="R985" i="16"/>
  <c r="R984" i="16"/>
  <c r="R983" i="16"/>
  <c r="R982" i="16"/>
  <c r="R981" i="16"/>
  <c r="R980" i="16"/>
  <c r="R979" i="16"/>
  <c r="R978" i="16"/>
  <c r="R977" i="16"/>
  <c r="R976" i="16"/>
  <c r="R975" i="16"/>
  <c r="R974" i="16"/>
  <c r="R973" i="16"/>
  <c r="R972" i="16"/>
  <c r="R971" i="16"/>
  <c r="R970" i="16"/>
  <c r="R969" i="16"/>
  <c r="R968" i="16"/>
  <c r="R967" i="16"/>
  <c r="R966" i="16"/>
  <c r="R965" i="16"/>
  <c r="R964" i="16"/>
  <c r="R963" i="16"/>
  <c r="R962" i="16"/>
  <c r="R961" i="16"/>
  <c r="R960" i="16"/>
  <c r="R959" i="16"/>
  <c r="R958" i="16"/>
  <c r="R957" i="16"/>
  <c r="R956" i="16"/>
  <c r="R955" i="16"/>
  <c r="R954" i="16"/>
  <c r="R953" i="16"/>
  <c r="R952" i="16"/>
  <c r="R951" i="16"/>
  <c r="R950" i="16"/>
  <c r="R949" i="16"/>
  <c r="R948" i="16"/>
  <c r="R947" i="16"/>
  <c r="R946" i="16"/>
  <c r="R945" i="16"/>
  <c r="R944" i="16"/>
  <c r="R943" i="16"/>
  <c r="R942" i="16"/>
  <c r="R941" i="16"/>
  <c r="R940" i="16"/>
  <c r="R939" i="16"/>
  <c r="R938" i="16"/>
  <c r="R937" i="16"/>
  <c r="R936" i="16"/>
  <c r="R935" i="16"/>
  <c r="R934" i="16"/>
  <c r="R933" i="16"/>
  <c r="R932" i="16"/>
  <c r="R931" i="16"/>
  <c r="R930" i="16"/>
  <c r="R929" i="16"/>
  <c r="R928" i="16"/>
  <c r="R927" i="16"/>
  <c r="R926" i="16"/>
  <c r="R925" i="16"/>
  <c r="R924" i="16"/>
  <c r="R923" i="16"/>
  <c r="R922" i="16"/>
  <c r="R921" i="16"/>
  <c r="R920" i="16"/>
  <c r="R919" i="16"/>
  <c r="R918" i="16"/>
  <c r="R917" i="16"/>
  <c r="R916" i="16"/>
  <c r="R915" i="16"/>
  <c r="R914" i="16"/>
  <c r="R913" i="16"/>
  <c r="R912" i="16"/>
  <c r="R911" i="16"/>
  <c r="R910" i="16"/>
  <c r="R909" i="16"/>
  <c r="R908" i="16"/>
  <c r="R907" i="16"/>
  <c r="R906" i="16"/>
  <c r="R905" i="16"/>
  <c r="R904" i="16"/>
  <c r="R903" i="16"/>
  <c r="R902" i="16"/>
  <c r="R901" i="16"/>
  <c r="R900" i="16"/>
  <c r="R899" i="16"/>
  <c r="R898" i="16"/>
  <c r="R897" i="16"/>
  <c r="R896" i="16"/>
  <c r="R895" i="16"/>
  <c r="R894" i="16"/>
  <c r="R893" i="16"/>
  <c r="R892" i="16"/>
  <c r="R891" i="16"/>
  <c r="R890" i="16"/>
  <c r="R889" i="16"/>
  <c r="R888" i="16"/>
  <c r="R887" i="16"/>
  <c r="R886" i="16"/>
  <c r="R885" i="16"/>
  <c r="R884" i="16"/>
  <c r="R883" i="16"/>
  <c r="R882" i="16"/>
  <c r="R881" i="16"/>
  <c r="R880" i="16"/>
  <c r="R879" i="16"/>
  <c r="R878" i="16"/>
  <c r="R877" i="16"/>
  <c r="R876" i="16"/>
  <c r="R875" i="16"/>
  <c r="R874" i="16"/>
  <c r="R873" i="16"/>
  <c r="R872" i="16"/>
  <c r="R871" i="16"/>
  <c r="R870" i="16"/>
  <c r="R869" i="16"/>
  <c r="R868" i="16"/>
  <c r="R867" i="16"/>
  <c r="R866" i="16"/>
  <c r="R865" i="16"/>
  <c r="R864" i="16"/>
  <c r="R863" i="16"/>
  <c r="R862" i="16"/>
  <c r="R861" i="16"/>
  <c r="R860" i="16"/>
  <c r="R859" i="16"/>
  <c r="R858" i="16"/>
  <c r="R857" i="16"/>
  <c r="R856" i="16"/>
  <c r="R855" i="16"/>
  <c r="R854" i="16"/>
  <c r="R853" i="16"/>
  <c r="R852" i="16"/>
  <c r="R851" i="16"/>
  <c r="R850" i="16"/>
  <c r="R849" i="16"/>
  <c r="R848" i="16"/>
  <c r="R847" i="16"/>
  <c r="R846" i="16"/>
  <c r="R845" i="16"/>
  <c r="R844" i="16"/>
  <c r="R843" i="16"/>
  <c r="R842" i="16"/>
  <c r="R841" i="16"/>
  <c r="R840" i="16"/>
  <c r="R839" i="16"/>
  <c r="R838" i="16"/>
  <c r="R837" i="16"/>
  <c r="R836" i="16"/>
  <c r="R835" i="16"/>
  <c r="R834" i="16"/>
  <c r="R833" i="16"/>
  <c r="R832" i="16"/>
  <c r="R831" i="16"/>
  <c r="R830" i="16"/>
  <c r="R829" i="16"/>
  <c r="R828" i="16"/>
  <c r="R827" i="16"/>
  <c r="R826" i="16"/>
  <c r="R825" i="16"/>
  <c r="R824" i="16"/>
  <c r="R823" i="16"/>
  <c r="R822" i="16"/>
  <c r="R821" i="16"/>
  <c r="R820" i="16"/>
  <c r="R819" i="16"/>
  <c r="R818" i="16"/>
  <c r="R817" i="16"/>
  <c r="R816" i="16"/>
  <c r="R815" i="16"/>
  <c r="R814" i="16"/>
  <c r="R813" i="16"/>
  <c r="R812" i="16"/>
  <c r="R811" i="16"/>
  <c r="R810" i="16"/>
  <c r="R809" i="16"/>
  <c r="R808" i="16"/>
  <c r="R807" i="16"/>
  <c r="R806" i="16"/>
  <c r="R805" i="16"/>
  <c r="R804" i="16"/>
  <c r="R803" i="16"/>
  <c r="R802" i="16"/>
  <c r="R801" i="16"/>
  <c r="R800" i="16"/>
  <c r="R799" i="16"/>
  <c r="R798" i="16"/>
  <c r="R797" i="16"/>
  <c r="R796" i="16"/>
  <c r="R795" i="16"/>
  <c r="R794" i="16"/>
  <c r="R793" i="16"/>
  <c r="R792" i="16"/>
  <c r="R791" i="16"/>
  <c r="R790" i="16"/>
  <c r="R789" i="16"/>
  <c r="R788" i="16"/>
  <c r="R787" i="16"/>
  <c r="R786" i="16"/>
  <c r="R785" i="16"/>
  <c r="R784" i="16"/>
  <c r="R783" i="16"/>
  <c r="R782" i="16"/>
  <c r="R781" i="16"/>
  <c r="R780" i="16"/>
  <c r="R779" i="16"/>
  <c r="R778" i="16"/>
  <c r="R777" i="16"/>
  <c r="R776" i="16"/>
  <c r="R775" i="16"/>
  <c r="R774" i="16"/>
  <c r="R773" i="16"/>
  <c r="R772" i="16"/>
  <c r="R771" i="16"/>
  <c r="R770" i="16"/>
  <c r="R769" i="16"/>
  <c r="R768" i="16"/>
  <c r="R767" i="16"/>
  <c r="R766" i="16"/>
  <c r="R765" i="16"/>
  <c r="R764" i="16"/>
  <c r="R763" i="16"/>
  <c r="R762" i="16"/>
  <c r="R761" i="16"/>
  <c r="R760" i="16"/>
  <c r="R759" i="16"/>
  <c r="R758" i="16"/>
  <c r="R757" i="16"/>
  <c r="R756" i="16"/>
  <c r="R755" i="16"/>
  <c r="R754" i="16"/>
  <c r="R753" i="16"/>
  <c r="R752" i="16"/>
  <c r="R751" i="16"/>
  <c r="R750" i="16"/>
  <c r="R749" i="16"/>
  <c r="R748" i="16"/>
  <c r="R747" i="16"/>
  <c r="R746" i="16"/>
  <c r="R745" i="16"/>
  <c r="R744" i="16"/>
  <c r="R743" i="16"/>
  <c r="R742" i="16"/>
  <c r="R741" i="16"/>
  <c r="R740" i="16"/>
  <c r="R739" i="16"/>
  <c r="R738" i="16"/>
  <c r="R737" i="16"/>
  <c r="R736" i="16"/>
  <c r="R735" i="16"/>
  <c r="R734" i="16"/>
  <c r="R733" i="16"/>
  <c r="R732" i="16"/>
  <c r="R731" i="16"/>
  <c r="R730" i="16"/>
  <c r="R729" i="16"/>
  <c r="R728" i="16"/>
  <c r="R727" i="16"/>
  <c r="R726" i="16"/>
  <c r="R725" i="16"/>
  <c r="R724" i="16"/>
  <c r="R723" i="16"/>
  <c r="R722" i="16"/>
  <c r="R721" i="16"/>
  <c r="R720" i="16"/>
  <c r="R719" i="16"/>
  <c r="R718" i="16"/>
  <c r="R717" i="16"/>
  <c r="R716" i="16"/>
  <c r="R715" i="16"/>
  <c r="R714" i="16"/>
  <c r="R713" i="16"/>
  <c r="R712" i="16"/>
  <c r="R711" i="16"/>
  <c r="R710" i="16"/>
  <c r="R709" i="16"/>
  <c r="R708" i="16"/>
  <c r="R707" i="16"/>
  <c r="R706" i="16"/>
  <c r="R705" i="16"/>
  <c r="R704" i="16"/>
  <c r="R703" i="16"/>
  <c r="R702" i="16"/>
  <c r="R701" i="16"/>
  <c r="R700" i="16"/>
  <c r="R699" i="16"/>
  <c r="R698" i="16"/>
  <c r="R697" i="16"/>
  <c r="R696" i="16"/>
  <c r="R695" i="16"/>
  <c r="R694" i="16"/>
  <c r="R693" i="16"/>
  <c r="R692" i="16"/>
  <c r="R691" i="16"/>
  <c r="R690" i="16"/>
  <c r="R689" i="16"/>
  <c r="R688" i="16"/>
  <c r="R687" i="16"/>
  <c r="R686" i="16"/>
  <c r="R685" i="16"/>
  <c r="R684" i="16"/>
  <c r="R683" i="16"/>
  <c r="R682" i="16"/>
  <c r="R681" i="16"/>
  <c r="R680" i="16"/>
  <c r="R679" i="16"/>
  <c r="R678" i="16"/>
  <c r="R677" i="16"/>
  <c r="R676" i="16"/>
  <c r="R675" i="16"/>
  <c r="R674" i="16"/>
  <c r="R673" i="16"/>
  <c r="R672" i="16"/>
  <c r="R671" i="16"/>
  <c r="R670" i="16"/>
  <c r="R669" i="16"/>
  <c r="R668" i="16"/>
  <c r="R667" i="16"/>
  <c r="R666" i="16"/>
  <c r="R665" i="16"/>
  <c r="R664" i="16"/>
  <c r="R663" i="16"/>
  <c r="R662" i="16"/>
  <c r="R661" i="16"/>
  <c r="R660" i="16"/>
  <c r="R659" i="16"/>
  <c r="R658" i="16"/>
  <c r="R657" i="16"/>
  <c r="R656" i="16"/>
  <c r="R655" i="16"/>
  <c r="R654" i="16"/>
  <c r="R653" i="16"/>
  <c r="R652" i="16"/>
  <c r="R651" i="16"/>
  <c r="R650" i="16"/>
  <c r="R649" i="16"/>
  <c r="R648" i="16"/>
  <c r="R647" i="16"/>
  <c r="R646" i="16"/>
  <c r="R645" i="16"/>
  <c r="R644" i="16"/>
  <c r="R643" i="16"/>
  <c r="R642" i="16"/>
  <c r="R641" i="16"/>
  <c r="R640" i="16"/>
  <c r="R639" i="16"/>
  <c r="R638" i="16"/>
  <c r="R637" i="16"/>
  <c r="R636" i="16"/>
  <c r="R635" i="16"/>
  <c r="R634" i="16"/>
  <c r="R633" i="16"/>
  <c r="R632" i="16"/>
  <c r="R631" i="16"/>
  <c r="R630" i="16"/>
  <c r="R629" i="16"/>
  <c r="R628" i="16"/>
  <c r="R627" i="16"/>
  <c r="R626" i="16"/>
  <c r="R625" i="16"/>
  <c r="R624" i="16"/>
  <c r="R623" i="16"/>
  <c r="R622" i="16"/>
  <c r="R621" i="16"/>
  <c r="R620" i="16"/>
  <c r="R619" i="16"/>
  <c r="R618" i="16"/>
  <c r="R617" i="16"/>
  <c r="R616" i="16"/>
  <c r="R615" i="16"/>
  <c r="R614" i="16"/>
  <c r="R613" i="16"/>
  <c r="R612" i="16"/>
  <c r="R611" i="16"/>
  <c r="R610" i="16"/>
  <c r="R609" i="16"/>
  <c r="R608" i="16"/>
  <c r="R607" i="16"/>
  <c r="R606" i="16"/>
  <c r="R605" i="16"/>
  <c r="R604" i="16"/>
  <c r="R603" i="16"/>
  <c r="R602" i="16"/>
  <c r="R601" i="16"/>
  <c r="R600" i="16"/>
  <c r="R599" i="16"/>
  <c r="R598" i="16"/>
  <c r="R597" i="16"/>
  <c r="R596" i="16"/>
  <c r="R595" i="16"/>
  <c r="R594" i="16"/>
  <c r="R593" i="16"/>
  <c r="R592" i="16"/>
  <c r="R591" i="16"/>
  <c r="R590" i="16"/>
  <c r="R589" i="16"/>
  <c r="R588" i="16"/>
  <c r="R587" i="16"/>
  <c r="R586" i="16"/>
  <c r="R585" i="16"/>
  <c r="R584" i="16"/>
  <c r="R583" i="16"/>
  <c r="R582" i="16"/>
  <c r="R581" i="16"/>
  <c r="R580" i="16"/>
  <c r="R579" i="16"/>
  <c r="R578" i="16"/>
  <c r="R577" i="16"/>
  <c r="R576" i="16"/>
  <c r="R575" i="16"/>
  <c r="R574" i="16"/>
  <c r="R573" i="16"/>
  <c r="R572" i="16"/>
  <c r="R571" i="16"/>
  <c r="R570" i="16"/>
  <c r="R569" i="16"/>
  <c r="R568" i="16"/>
  <c r="R567" i="16"/>
  <c r="R566" i="16"/>
  <c r="R565" i="16"/>
  <c r="R564" i="16"/>
  <c r="R563" i="16"/>
  <c r="R562" i="16"/>
  <c r="R561" i="16"/>
  <c r="R560" i="16"/>
  <c r="R559" i="16"/>
  <c r="R558" i="16"/>
  <c r="R557" i="16"/>
  <c r="R556" i="16"/>
  <c r="R555" i="16"/>
  <c r="R554" i="16"/>
  <c r="R553" i="16"/>
  <c r="R552" i="16"/>
  <c r="R551" i="16"/>
  <c r="R550" i="16"/>
  <c r="R549" i="16"/>
  <c r="R548" i="16"/>
  <c r="R547" i="16"/>
  <c r="R546" i="16"/>
  <c r="R545" i="16"/>
  <c r="R544" i="16"/>
  <c r="R543" i="16"/>
  <c r="R542" i="16"/>
  <c r="R541" i="16"/>
  <c r="R540" i="16"/>
  <c r="R539" i="16"/>
  <c r="R538" i="16"/>
  <c r="R537" i="16"/>
  <c r="R536" i="16"/>
  <c r="R535" i="16"/>
  <c r="R534" i="16"/>
  <c r="R533" i="16"/>
  <c r="R532" i="16"/>
  <c r="R531" i="16"/>
  <c r="R530" i="16"/>
  <c r="R529" i="16"/>
  <c r="R528" i="16"/>
  <c r="R527" i="16"/>
  <c r="R526" i="16"/>
  <c r="R525" i="16"/>
  <c r="R524" i="16"/>
  <c r="R523" i="16"/>
  <c r="R522" i="16"/>
  <c r="R521" i="16"/>
  <c r="R520" i="16"/>
  <c r="R519" i="16"/>
  <c r="R518" i="16"/>
  <c r="R517" i="16"/>
  <c r="R516" i="16"/>
  <c r="R515" i="16"/>
  <c r="R514" i="16"/>
  <c r="R513" i="16"/>
  <c r="R512" i="16"/>
  <c r="R511" i="16"/>
  <c r="R510" i="16"/>
  <c r="R509" i="16"/>
  <c r="R508" i="16"/>
  <c r="R507" i="16"/>
  <c r="R506" i="16"/>
  <c r="R505" i="16"/>
  <c r="R504" i="16"/>
  <c r="R503" i="16"/>
  <c r="R502" i="16"/>
  <c r="R501" i="16"/>
  <c r="R500" i="16"/>
  <c r="R499" i="16"/>
  <c r="R498" i="16"/>
  <c r="R497" i="16"/>
  <c r="R496" i="16"/>
  <c r="R495" i="16"/>
  <c r="R494" i="16"/>
  <c r="R493" i="16"/>
  <c r="R492" i="16"/>
  <c r="R491" i="16"/>
  <c r="R490" i="16"/>
  <c r="R489" i="16"/>
  <c r="R488" i="16"/>
  <c r="R487" i="16"/>
  <c r="R486" i="16"/>
  <c r="R485" i="16"/>
  <c r="R484" i="16"/>
  <c r="R483" i="16"/>
  <c r="R482" i="16"/>
  <c r="R481" i="16"/>
  <c r="R480" i="16"/>
  <c r="R479" i="16"/>
  <c r="R478" i="16"/>
  <c r="R477" i="16"/>
  <c r="R476" i="16"/>
  <c r="R475" i="16"/>
  <c r="R474" i="16"/>
  <c r="R473" i="16"/>
  <c r="R472" i="16"/>
  <c r="R471" i="16"/>
  <c r="R470" i="16"/>
  <c r="R469" i="16"/>
  <c r="R468" i="16"/>
  <c r="R467" i="16"/>
  <c r="R466" i="16"/>
  <c r="R465" i="16"/>
  <c r="R464" i="16"/>
  <c r="R463" i="16"/>
  <c r="R462" i="16"/>
  <c r="R461" i="16"/>
  <c r="R460" i="16"/>
  <c r="R459" i="16"/>
  <c r="R458" i="16"/>
  <c r="R457" i="16"/>
  <c r="R456" i="16"/>
  <c r="R455" i="16"/>
  <c r="R454" i="16"/>
  <c r="R453" i="16"/>
  <c r="R452" i="16"/>
  <c r="R451" i="16"/>
  <c r="R450" i="16"/>
  <c r="R449" i="16"/>
  <c r="R448" i="16"/>
  <c r="R447" i="16"/>
  <c r="R446" i="16"/>
  <c r="R445" i="16"/>
  <c r="R444" i="16"/>
  <c r="R443" i="16"/>
  <c r="R442" i="16"/>
  <c r="R441" i="16"/>
  <c r="R440" i="16"/>
  <c r="R439" i="16"/>
  <c r="R438" i="16"/>
  <c r="R437" i="16"/>
  <c r="R436" i="16"/>
  <c r="R435" i="16"/>
  <c r="R434" i="16"/>
  <c r="R433" i="16"/>
  <c r="R432" i="16"/>
  <c r="R431" i="16"/>
  <c r="R430" i="16"/>
  <c r="R429" i="16"/>
  <c r="R428" i="16"/>
  <c r="R427" i="16"/>
  <c r="R426" i="16"/>
  <c r="R425" i="16"/>
  <c r="R424" i="16"/>
  <c r="R423" i="16"/>
  <c r="R422" i="16"/>
  <c r="R421" i="16"/>
  <c r="R420" i="16"/>
  <c r="R419" i="16"/>
  <c r="R418" i="16"/>
  <c r="R417" i="16"/>
  <c r="R416" i="16"/>
  <c r="R415" i="16"/>
  <c r="R414" i="16"/>
  <c r="R413" i="16"/>
  <c r="R412" i="16"/>
  <c r="R411" i="16"/>
  <c r="R410" i="16"/>
  <c r="R409" i="16"/>
  <c r="R408" i="16"/>
  <c r="R407" i="16"/>
  <c r="R406" i="16"/>
  <c r="R405" i="16"/>
  <c r="R404" i="16"/>
  <c r="R403" i="16"/>
  <c r="R402" i="16"/>
  <c r="R401" i="16"/>
  <c r="R400" i="16"/>
  <c r="R399" i="16"/>
  <c r="R398" i="16"/>
  <c r="R397" i="16"/>
  <c r="R396" i="16"/>
  <c r="R395" i="16"/>
  <c r="R394" i="16"/>
  <c r="R393" i="16"/>
  <c r="R392" i="16"/>
  <c r="R391" i="16"/>
  <c r="R390" i="16"/>
  <c r="R389" i="16"/>
  <c r="R388" i="16"/>
  <c r="R387" i="16"/>
  <c r="R386" i="16"/>
  <c r="R385" i="16"/>
  <c r="R384" i="16"/>
  <c r="R383" i="16"/>
  <c r="R382" i="16"/>
  <c r="R381" i="16"/>
  <c r="R380" i="16"/>
  <c r="R379" i="16"/>
  <c r="R378" i="16"/>
  <c r="R377" i="16"/>
  <c r="R376" i="16"/>
  <c r="R375" i="16"/>
  <c r="R374" i="16"/>
  <c r="R373" i="16"/>
  <c r="R372" i="16"/>
  <c r="R371" i="16"/>
  <c r="R370" i="16"/>
  <c r="R369" i="16"/>
  <c r="R368" i="16"/>
  <c r="R367" i="16"/>
  <c r="R366" i="16"/>
  <c r="R365" i="16"/>
  <c r="R364" i="16"/>
  <c r="R363" i="16"/>
  <c r="R362" i="16"/>
  <c r="R361" i="16"/>
  <c r="R360" i="16"/>
  <c r="R359" i="16"/>
  <c r="R358" i="16"/>
  <c r="R357" i="16"/>
  <c r="R356" i="16"/>
  <c r="R355" i="16"/>
  <c r="R354" i="16"/>
  <c r="R353" i="16"/>
  <c r="R352" i="16"/>
  <c r="R351" i="16"/>
  <c r="R350" i="16"/>
  <c r="R349" i="16"/>
  <c r="R348" i="16"/>
  <c r="R347" i="16"/>
  <c r="R346" i="16"/>
  <c r="R345" i="16"/>
  <c r="R344" i="16"/>
  <c r="R343" i="16"/>
  <c r="R342" i="16"/>
  <c r="R341" i="16"/>
  <c r="R340" i="16"/>
  <c r="R339" i="16"/>
  <c r="R338" i="16"/>
  <c r="R337" i="16"/>
  <c r="R336" i="16"/>
  <c r="R335" i="16"/>
  <c r="R334" i="16"/>
  <c r="R333" i="16"/>
  <c r="R332" i="16"/>
  <c r="R331" i="16"/>
  <c r="R330" i="16"/>
  <c r="R329" i="16"/>
  <c r="R328" i="16"/>
  <c r="R327" i="16"/>
  <c r="R326" i="16"/>
  <c r="R325" i="16"/>
  <c r="R324" i="16"/>
  <c r="R323" i="16"/>
  <c r="R322" i="16"/>
  <c r="R321" i="16"/>
  <c r="R320" i="16"/>
  <c r="R319" i="16"/>
  <c r="R318" i="16"/>
  <c r="R317" i="16"/>
  <c r="R316" i="16"/>
  <c r="R315" i="16"/>
  <c r="R314" i="16"/>
  <c r="R313" i="16"/>
  <c r="R312" i="16"/>
  <c r="R311" i="16"/>
  <c r="R310" i="16"/>
  <c r="R309" i="16"/>
  <c r="R308" i="16"/>
  <c r="R307" i="16"/>
  <c r="R306" i="16"/>
  <c r="R305" i="16"/>
  <c r="R304" i="16"/>
  <c r="R303" i="16"/>
  <c r="R302" i="16"/>
  <c r="R301" i="16"/>
  <c r="R300" i="16"/>
  <c r="R299" i="16"/>
  <c r="R298" i="16"/>
  <c r="R297" i="16"/>
  <c r="R296" i="16"/>
  <c r="R295" i="16"/>
  <c r="R294" i="16"/>
  <c r="R293" i="16"/>
  <c r="R292" i="16"/>
  <c r="R291" i="16"/>
  <c r="R290" i="16"/>
  <c r="R289" i="16"/>
  <c r="R288" i="16"/>
  <c r="R287" i="16"/>
  <c r="R286" i="16"/>
  <c r="R285" i="16"/>
  <c r="R284" i="16"/>
  <c r="R283" i="16"/>
  <c r="R282" i="16"/>
  <c r="R281" i="16"/>
  <c r="R280" i="16"/>
  <c r="R279" i="16"/>
  <c r="R278" i="16"/>
  <c r="R277" i="16"/>
  <c r="R276" i="16"/>
  <c r="R275" i="16"/>
  <c r="R274" i="16"/>
  <c r="R273" i="16"/>
  <c r="R272" i="16"/>
  <c r="R271" i="16"/>
  <c r="R270" i="16"/>
  <c r="R269" i="16"/>
  <c r="R268" i="16"/>
  <c r="R267" i="16"/>
  <c r="R266" i="16"/>
  <c r="R265" i="16"/>
  <c r="R264" i="16"/>
  <c r="R263" i="16"/>
  <c r="R262" i="16"/>
  <c r="R261" i="16"/>
  <c r="R260" i="16"/>
  <c r="R259" i="16"/>
  <c r="R258" i="16"/>
  <c r="R257" i="16"/>
  <c r="R256" i="16"/>
  <c r="R255" i="16"/>
  <c r="R254" i="16"/>
  <c r="R253" i="16"/>
  <c r="R252" i="16"/>
  <c r="R251" i="16"/>
  <c r="R250" i="16"/>
  <c r="R249" i="16"/>
  <c r="R248" i="16"/>
  <c r="R247" i="16"/>
  <c r="R246" i="16"/>
  <c r="R245" i="16"/>
  <c r="R244" i="16"/>
  <c r="R243" i="16"/>
  <c r="R242" i="16"/>
  <c r="R241" i="16"/>
  <c r="R240" i="16"/>
  <c r="R239" i="16"/>
  <c r="R238" i="16"/>
  <c r="R237" i="16"/>
  <c r="R236" i="16"/>
  <c r="R235" i="16"/>
  <c r="R234" i="16"/>
  <c r="R233" i="16"/>
  <c r="R232" i="16"/>
  <c r="R231" i="16"/>
  <c r="R230" i="16"/>
  <c r="R229" i="16"/>
  <c r="R228" i="16"/>
  <c r="R227" i="16"/>
  <c r="R226" i="16"/>
  <c r="R225" i="16"/>
  <c r="R224" i="16"/>
  <c r="R223" i="16"/>
  <c r="R222" i="16"/>
  <c r="R221" i="16"/>
  <c r="R220" i="16"/>
  <c r="R219" i="16"/>
  <c r="R218" i="16"/>
  <c r="R217" i="16"/>
  <c r="R216" i="16"/>
  <c r="R215" i="16"/>
  <c r="R214" i="16"/>
  <c r="R213" i="16"/>
  <c r="R212" i="16"/>
  <c r="R211" i="16"/>
  <c r="R210" i="16"/>
  <c r="R209" i="16"/>
  <c r="R208" i="16"/>
  <c r="R207" i="16"/>
  <c r="R206" i="16"/>
  <c r="R205" i="16"/>
  <c r="R204" i="16"/>
  <c r="R203" i="16"/>
  <c r="R202" i="16"/>
  <c r="R201" i="16"/>
  <c r="R200" i="16"/>
  <c r="R199" i="16"/>
  <c r="R198" i="16"/>
  <c r="R197" i="16"/>
  <c r="R196" i="16"/>
  <c r="R195" i="16"/>
  <c r="R194" i="16"/>
  <c r="R193" i="16"/>
  <c r="R192" i="16"/>
  <c r="R191" i="16"/>
  <c r="R190" i="16"/>
  <c r="R189" i="16"/>
  <c r="R188" i="16"/>
  <c r="R187" i="16"/>
  <c r="R186" i="16"/>
  <c r="R185" i="16"/>
  <c r="R184" i="16"/>
  <c r="R183" i="16"/>
  <c r="R182" i="16"/>
  <c r="R181" i="16"/>
  <c r="R180" i="16"/>
  <c r="R179" i="16"/>
  <c r="R178" i="16"/>
  <c r="R177" i="16"/>
  <c r="R176" i="16"/>
  <c r="R175" i="16"/>
  <c r="R174" i="16"/>
  <c r="R173" i="16"/>
  <c r="R172" i="16"/>
  <c r="R171" i="16"/>
  <c r="R170" i="16"/>
  <c r="R169" i="16"/>
  <c r="R168" i="16"/>
  <c r="R167" i="16"/>
  <c r="R166" i="16"/>
  <c r="R165" i="16"/>
  <c r="R164" i="16"/>
  <c r="R163" i="16"/>
  <c r="R162" i="16"/>
  <c r="R161" i="16"/>
  <c r="R160" i="16"/>
  <c r="R159" i="16"/>
  <c r="R158" i="16"/>
  <c r="R157" i="16"/>
  <c r="R156" i="16"/>
  <c r="R155" i="16"/>
  <c r="R154" i="16"/>
  <c r="R153" i="16"/>
  <c r="R152" i="16"/>
  <c r="R151" i="16"/>
  <c r="R150" i="16"/>
  <c r="R149" i="16"/>
  <c r="R148" i="16"/>
  <c r="R147" i="16"/>
  <c r="R146" i="16"/>
  <c r="R145" i="16"/>
  <c r="R144" i="16"/>
  <c r="R143" i="16"/>
  <c r="R142" i="16"/>
  <c r="R141" i="16"/>
  <c r="R140" i="16"/>
  <c r="R139" i="16"/>
  <c r="R138" i="16"/>
  <c r="R137" i="16"/>
  <c r="R136" i="16"/>
  <c r="R135" i="16"/>
  <c r="R134" i="16"/>
  <c r="R133" i="16"/>
  <c r="R132" i="16"/>
  <c r="R131" i="16"/>
  <c r="R130" i="16"/>
  <c r="R129" i="16"/>
  <c r="R128" i="16"/>
  <c r="R127" i="16"/>
  <c r="R126" i="16"/>
  <c r="R125" i="16"/>
  <c r="R124" i="16"/>
  <c r="R123" i="16"/>
  <c r="R122" i="16"/>
  <c r="R121" i="16"/>
  <c r="R120" i="16"/>
  <c r="R119" i="16"/>
  <c r="R118" i="16"/>
  <c r="R117" i="16"/>
  <c r="R116" i="16"/>
  <c r="R115" i="16"/>
  <c r="R114" i="16"/>
  <c r="R113" i="16"/>
  <c r="R112" i="16"/>
  <c r="R111" i="16"/>
  <c r="R110" i="16"/>
  <c r="R109" i="16"/>
  <c r="R108" i="16"/>
  <c r="R107" i="16"/>
  <c r="R106" i="16"/>
  <c r="R105" i="16"/>
  <c r="R104" i="16"/>
  <c r="R103" i="16"/>
  <c r="R102" i="16"/>
  <c r="R101" i="16"/>
  <c r="R100" i="16"/>
  <c r="R99" i="16"/>
  <c r="R98" i="16"/>
  <c r="R97" i="16"/>
  <c r="R96" i="16"/>
  <c r="R95" i="16"/>
  <c r="R94" i="16"/>
  <c r="R93" i="16"/>
  <c r="R92" i="16"/>
  <c r="R91" i="16"/>
  <c r="R90" i="16"/>
  <c r="R89" i="16"/>
  <c r="R88" i="16"/>
  <c r="R87" i="16"/>
  <c r="R86" i="16"/>
  <c r="R85" i="16"/>
  <c r="R84" i="16"/>
  <c r="R83" i="16"/>
  <c r="R82" i="16"/>
  <c r="R81" i="16"/>
  <c r="R80" i="16"/>
  <c r="R79" i="16"/>
  <c r="R78" i="16"/>
  <c r="R77" i="16"/>
  <c r="R76" i="16"/>
  <c r="R75" i="16"/>
  <c r="R74" i="16"/>
  <c r="R73" i="16"/>
  <c r="R72" i="16"/>
  <c r="R71" i="16"/>
  <c r="R70" i="16"/>
  <c r="R69" i="16"/>
  <c r="R68" i="16"/>
  <c r="R67" i="16"/>
  <c r="R66" i="16"/>
  <c r="R65" i="16"/>
  <c r="R64" i="16"/>
  <c r="R63" i="16"/>
  <c r="R62" i="16"/>
  <c r="R61" i="16"/>
  <c r="R60" i="16"/>
  <c r="R59" i="16"/>
  <c r="R58" i="16"/>
  <c r="R57" i="16"/>
  <c r="R56" i="16"/>
  <c r="R55" i="16"/>
  <c r="R54" i="16"/>
  <c r="R53" i="16"/>
  <c r="R52" i="16"/>
  <c r="R51" i="16"/>
  <c r="R50" i="16"/>
  <c r="R49" i="16"/>
  <c r="R48" i="16"/>
  <c r="R47" i="16"/>
  <c r="R46" i="16"/>
  <c r="R45" i="16"/>
  <c r="R44" i="16"/>
  <c r="R43" i="16"/>
  <c r="R42" i="16"/>
  <c r="R41" i="16"/>
  <c r="R40" i="16"/>
  <c r="R39" i="16"/>
  <c r="R38" i="16"/>
  <c r="R37" i="16"/>
  <c r="R36" i="16"/>
  <c r="R35" i="16"/>
  <c r="R34" i="16"/>
  <c r="R33" i="16"/>
  <c r="R32" i="16"/>
  <c r="R31" i="16"/>
  <c r="R30" i="16"/>
  <c r="R29" i="16"/>
  <c r="R28" i="16"/>
  <c r="R27" i="16"/>
  <c r="R26" i="16"/>
  <c r="R25" i="16"/>
  <c r="R24" i="16"/>
  <c r="R23" i="16"/>
  <c r="R22" i="16"/>
  <c r="R21" i="16"/>
  <c r="R20" i="16"/>
  <c r="R19" i="16"/>
  <c r="R18" i="16"/>
  <c r="R17" i="16"/>
  <c r="R16" i="16"/>
  <c r="R15" i="16"/>
  <c r="R14" i="16"/>
  <c r="R13" i="16"/>
  <c r="R12" i="16"/>
  <c r="R11" i="16"/>
  <c r="R10" i="16"/>
  <c r="R9" i="16"/>
  <c r="R8" i="16"/>
  <c r="R7" i="16"/>
  <c r="R6" i="16"/>
  <c r="R5" i="16"/>
  <c r="R4" i="16"/>
  <c r="R3" i="16"/>
  <c r="S4153" i="16"/>
  <c r="S4151" i="16"/>
  <c r="S4149" i="16"/>
  <c r="S4147" i="16"/>
  <c r="S4145" i="16"/>
  <c r="S4143" i="16"/>
  <c r="S4141" i="16"/>
  <c r="S4139" i="16"/>
  <c r="S4137" i="16"/>
  <c r="S4135" i="16"/>
  <c r="S4133" i="16"/>
  <c r="S4131" i="16"/>
  <c r="S4129" i="16"/>
  <c r="S4127" i="16"/>
  <c r="S4125" i="16"/>
  <c r="S4123" i="16"/>
  <c r="S4121" i="16"/>
  <c r="S4119" i="16"/>
  <c r="S4117" i="16"/>
  <c r="S4115" i="16"/>
  <c r="S4113" i="16"/>
  <c r="S4111" i="16"/>
  <c r="S4109" i="16"/>
  <c r="S4107" i="16"/>
  <c r="S4105" i="16"/>
  <c r="S4103" i="16"/>
  <c r="S4101" i="16"/>
  <c r="S4099" i="16"/>
  <c r="S4097" i="16"/>
  <c r="S4095" i="16"/>
  <c r="S4093" i="16"/>
  <c r="S4091" i="16"/>
  <c r="S4089" i="16"/>
  <c r="S4087" i="16"/>
  <c r="S4085" i="16"/>
  <c r="S4083" i="16"/>
  <c r="S4081" i="16"/>
  <c r="S4079" i="16"/>
  <c r="S4078" i="16"/>
  <c r="S4077" i="16"/>
  <c r="S4076" i="16"/>
  <c r="S4075" i="16"/>
  <c r="S4074" i="16"/>
  <c r="S4073" i="16"/>
  <c r="S4072" i="16"/>
  <c r="S4071" i="16"/>
  <c r="S4070" i="16"/>
  <c r="S4069" i="16"/>
  <c r="S4068" i="16"/>
  <c r="S4067" i="16"/>
  <c r="S4066" i="16"/>
  <c r="S4065" i="16"/>
  <c r="S4064" i="16"/>
  <c r="S4063" i="16"/>
  <c r="S4062" i="16"/>
  <c r="S4061" i="16"/>
  <c r="S4060" i="16"/>
  <c r="S4059" i="16"/>
  <c r="S4058" i="16"/>
  <c r="S4057" i="16"/>
  <c r="S4056" i="16"/>
  <c r="S4055" i="16"/>
  <c r="S4054" i="16"/>
  <c r="S4053" i="16"/>
  <c r="S4052" i="16"/>
  <c r="S4051" i="16"/>
  <c r="S4050" i="16"/>
  <c r="S4049" i="16"/>
  <c r="S4048" i="16"/>
  <c r="S4047" i="16"/>
  <c r="S4046" i="16"/>
  <c r="S4045" i="16"/>
  <c r="S4044" i="16"/>
  <c r="S4043" i="16"/>
  <c r="S4042" i="16"/>
  <c r="S4041" i="16"/>
  <c r="S4040" i="16"/>
  <c r="S4039" i="16"/>
  <c r="S4038" i="16"/>
  <c r="S4037" i="16"/>
  <c r="S4036" i="16"/>
  <c r="S4035" i="16"/>
  <c r="S4034" i="16"/>
  <c r="S4033" i="16"/>
  <c r="S4032" i="16"/>
  <c r="S4031" i="16"/>
  <c r="S4030" i="16"/>
  <c r="S4029" i="16"/>
  <c r="S4028" i="16"/>
  <c r="S4027" i="16"/>
  <c r="S4026" i="16"/>
  <c r="S4025" i="16"/>
  <c r="S4024" i="16"/>
  <c r="S4023" i="16"/>
  <c r="S4022" i="16"/>
  <c r="S4021" i="16"/>
  <c r="S4020" i="16"/>
  <c r="S4019" i="16"/>
  <c r="S4018" i="16"/>
  <c r="S4017" i="16"/>
  <c r="S4016" i="16"/>
  <c r="S4015" i="16"/>
  <c r="S4014" i="16"/>
  <c r="S4013" i="16"/>
  <c r="S4012" i="16"/>
  <c r="S4011" i="16"/>
  <c r="S4010" i="16"/>
  <c r="S4009" i="16"/>
  <c r="S4008" i="16"/>
  <c r="S4007" i="16"/>
  <c r="S4006" i="16"/>
  <c r="S4005" i="16"/>
  <c r="S4004" i="16"/>
  <c r="S4003" i="16"/>
  <c r="S4002" i="16"/>
  <c r="S4001" i="16"/>
  <c r="S4000" i="16"/>
  <c r="S3999" i="16"/>
  <c r="S3998" i="16"/>
  <c r="S3997" i="16"/>
  <c r="S3996" i="16"/>
  <c r="S3995" i="16"/>
  <c r="S3994" i="16"/>
  <c r="S3993" i="16"/>
  <c r="S3992" i="16"/>
  <c r="S3991" i="16"/>
  <c r="S3990" i="16"/>
  <c r="S3989" i="16"/>
  <c r="S3988" i="16"/>
  <c r="S3987" i="16"/>
  <c r="S3986" i="16"/>
  <c r="S3985" i="16"/>
  <c r="S3984" i="16"/>
  <c r="S3983" i="16"/>
  <c r="S3982" i="16"/>
  <c r="S3981" i="16"/>
  <c r="S3980" i="16"/>
  <c r="S3979" i="16"/>
  <c r="S3978" i="16"/>
  <c r="S3977" i="16"/>
  <c r="S3976" i="16"/>
  <c r="S3975" i="16"/>
  <c r="S3974" i="16"/>
  <c r="S3973" i="16"/>
  <c r="S3972" i="16"/>
  <c r="S3971" i="16"/>
  <c r="S3970" i="16"/>
  <c r="S3969" i="16"/>
  <c r="S3968" i="16"/>
  <c r="S3967" i="16"/>
  <c r="S3966" i="16"/>
  <c r="S3965" i="16"/>
  <c r="S3964" i="16"/>
  <c r="S3963" i="16"/>
  <c r="S3962" i="16"/>
  <c r="S3961" i="16"/>
  <c r="S3960" i="16"/>
  <c r="S3959" i="16"/>
  <c r="S3958" i="16"/>
  <c r="S3957" i="16"/>
  <c r="S3956" i="16"/>
  <c r="S3955" i="16"/>
  <c r="S3954" i="16"/>
  <c r="S3953" i="16"/>
  <c r="S3952" i="16"/>
  <c r="S4154" i="16"/>
  <c r="S4152" i="16"/>
  <c r="S4150" i="16"/>
  <c r="S4148" i="16"/>
  <c r="S4146" i="16"/>
  <c r="S4144" i="16"/>
  <c r="S4142" i="16"/>
  <c r="S4140" i="16"/>
  <c r="S4138" i="16"/>
  <c r="S4136" i="16"/>
  <c r="S4134" i="16"/>
  <c r="S4132" i="16"/>
  <c r="S4130" i="16"/>
  <c r="S4128" i="16"/>
  <c r="S4126" i="16"/>
  <c r="S4124" i="16"/>
  <c r="S4122" i="16"/>
  <c r="S4120" i="16"/>
  <c r="S4118" i="16"/>
  <c r="S4116" i="16"/>
  <c r="S4114" i="16"/>
  <c r="S4112" i="16"/>
  <c r="S4110" i="16"/>
  <c r="S4108" i="16"/>
  <c r="S4106" i="16"/>
  <c r="S4104" i="16"/>
  <c r="S4102" i="16"/>
  <c r="S4100" i="16"/>
  <c r="S4098" i="16"/>
  <c r="S4096" i="16"/>
  <c r="S4094" i="16"/>
  <c r="S4092" i="16"/>
  <c r="S4090" i="16"/>
  <c r="S4088" i="16"/>
  <c r="S4086" i="16"/>
  <c r="S4084" i="16"/>
  <c r="S4082" i="16"/>
  <c r="S4080" i="16"/>
  <c r="S3951" i="16"/>
  <c r="S3950" i="16"/>
  <c r="S3949" i="16"/>
  <c r="S3948" i="16"/>
  <c r="S3947" i="16"/>
  <c r="S3946" i="16"/>
  <c r="S3945" i="16"/>
  <c r="S3944" i="16"/>
  <c r="S3943" i="16"/>
  <c r="S3942" i="16"/>
  <c r="S3941" i="16"/>
  <c r="S3940" i="16"/>
  <c r="S3939" i="16"/>
  <c r="S3938" i="16"/>
  <c r="S3937" i="16"/>
  <c r="S3936" i="16"/>
  <c r="S3935" i="16"/>
  <c r="S3934" i="16"/>
  <c r="S3933" i="16"/>
  <c r="S3932" i="16"/>
  <c r="S3931" i="16"/>
  <c r="S3930" i="16"/>
  <c r="S3929" i="16"/>
  <c r="S3928" i="16"/>
  <c r="S3927" i="16"/>
  <c r="S3926" i="16"/>
  <c r="S3925" i="16"/>
  <c r="S3924" i="16"/>
  <c r="S3923" i="16"/>
  <c r="S3922" i="16"/>
  <c r="S3921" i="16"/>
  <c r="S3920" i="16"/>
  <c r="S3919" i="16"/>
  <c r="S3918" i="16"/>
  <c r="S3917" i="16"/>
  <c r="S3916" i="16"/>
  <c r="S3915" i="16"/>
  <c r="S3914" i="16"/>
  <c r="S3913" i="16"/>
  <c r="S3912" i="16"/>
  <c r="S3911" i="16"/>
  <c r="S3910" i="16"/>
  <c r="S3909" i="16"/>
  <c r="S3908" i="16"/>
  <c r="S3907" i="16"/>
  <c r="S3906" i="16"/>
  <c r="S3905" i="16"/>
  <c r="S3904" i="16"/>
  <c r="S3903" i="16"/>
  <c r="S3902" i="16"/>
  <c r="S3901" i="16"/>
  <c r="S3900" i="16"/>
  <c r="S3899" i="16"/>
  <c r="S3898" i="16"/>
  <c r="S3897" i="16"/>
  <c r="S3896" i="16"/>
  <c r="S3895" i="16"/>
  <c r="S3894" i="16"/>
  <c r="S3893" i="16"/>
  <c r="S3892" i="16"/>
  <c r="S3891" i="16"/>
  <c r="S3890" i="16"/>
  <c r="S3889" i="16"/>
  <c r="S3888" i="16"/>
  <c r="S3887" i="16"/>
  <c r="S3886" i="16"/>
  <c r="S3885" i="16"/>
  <c r="S3884" i="16"/>
  <c r="S3883" i="16"/>
  <c r="S3882" i="16"/>
  <c r="S3881" i="16"/>
  <c r="S3880" i="16"/>
  <c r="S3879" i="16"/>
  <c r="S3878" i="16"/>
  <c r="S3877" i="16"/>
  <c r="S3876" i="16"/>
  <c r="S3875" i="16"/>
  <c r="S3874" i="16"/>
  <c r="S3873" i="16"/>
  <c r="S3872" i="16"/>
  <c r="S3871" i="16"/>
  <c r="S3870" i="16"/>
  <c r="S3869" i="16"/>
  <c r="S3868" i="16"/>
  <c r="S3867" i="16"/>
  <c r="S3866" i="16"/>
  <c r="S3865" i="16"/>
  <c r="S3864" i="16"/>
  <c r="S3863" i="16"/>
  <c r="S3862" i="16"/>
  <c r="S3861" i="16"/>
  <c r="S3860" i="16"/>
  <c r="S3859" i="16"/>
  <c r="S3858" i="16"/>
  <c r="S3857" i="16"/>
  <c r="S3856" i="16"/>
  <c r="S3855" i="16"/>
  <c r="S3854" i="16"/>
  <c r="S3853" i="16"/>
  <c r="S3852" i="16"/>
  <c r="S3851" i="16"/>
  <c r="S3850" i="16"/>
  <c r="S3849" i="16"/>
  <c r="S3848" i="16"/>
  <c r="S3847" i="16"/>
  <c r="S3846" i="16"/>
  <c r="S3845" i="16"/>
  <c r="S3844" i="16"/>
  <c r="S3843" i="16"/>
  <c r="S3842" i="16"/>
  <c r="S3841" i="16"/>
  <c r="S3840" i="16"/>
  <c r="S3839" i="16"/>
  <c r="S3838" i="16"/>
  <c r="S3837" i="16"/>
  <c r="S3836" i="16"/>
  <c r="S3835" i="16"/>
  <c r="S3834" i="16"/>
  <c r="S3833" i="16"/>
  <c r="S3832" i="16"/>
  <c r="S3831" i="16"/>
  <c r="S3830" i="16"/>
  <c r="S3829" i="16"/>
  <c r="S3828" i="16"/>
  <c r="S3827" i="16"/>
  <c r="S3826" i="16"/>
  <c r="S3825" i="16"/>
  <c r="S3824" i="16"/>
  <c r="S3823" i="16"/>
  <c r="S3822" i="16"/>
  <c r="S3821" i="16"/>
  <c r="S3820" i="16"/>
  <c r="S3819" i="16"/>
  <c r="S3818" i="16"/>
  <c r="S3817" i="16"/>
  <c r="S3816" i="16"/>
  <c r="S3815" i="16"/>
  <c r="S3814" i="16"/>
  <c r="S3813" i="16"/>
  <c r="S3812" i="16"/>
  <c r="S3811" i="16"/>
  <c r="S3810" i="16"/>
  <c r="S3809" i="16"/>
  <c r="S3808" i="16"/>
  <c r="S3807" i="16"/>
  <c r="S3806" i="16"/>
  <c r="S3805" i="16"/>
  <c r="S3804" i="16"/>
  <c r="S3803" i="16"/>
  <c r="S3802" i="16"/>
  <c r="S3801" i="16"/>
  <c r="S3800" i="16"/>
  <c r="S3799" i="16"/>
  <c r="S3798" i="16"/>
  <c r="S3797" i="16"/>
  <c r="S3796" i="16"/>
  <c r="S3795" i="16"/>
  <c r="S3794" i="16"/>
  <c r="S3793" i="16"/>
  <c r="S3792" i="16"/>
  <c r="S3791" i="16"/>
  <c r="S3790" i="16"/>
  <c r="S3789" i="16"/>
  <c r="S3788" i="16"/>
  <c r="S3787" i="16"/>
  <c r="S3786" i="16"/>
  <c r="S3785" i="16"/>
  <c r="S3784" i="16"/>
  <c r="S3783" i="16"/>
  <c r="S3782" i="16"/>
  <c r="S3781" i="16"/>
  <c r="S3780" i="16"/>
  <c r="S3779" i="16"/>
  <c r="S3778" i="16"/>
  <c r="S3777" i="16"/>
  <c r="S3776" i="16"/>
  <c r="S3775" i="16"/>
  <c r="S3774" i="16"/>
  <c r="S3773" i="16"/>
  <c r="S3772" i="16"/>
  <c r="S3771" i="16"/>
  <c r="S3770" i="16"/>
  <c r="S3769" i="16"/>
  <c r="S3768" i="16"/>
  <c r="S3767" i="16"/>
  <c r="S3766" i="16"/>
  <c r="S3765" i="16"/>
  <c r="S3764" i="16"/>
  <c r="S3763" i="16"/>
  <c r="S3762" i="16"/>
  <c r="S3761" i="16"/>
  <c r="S3760" i="16"/>
  <c r="S3759" i="16"/>
  <c r="S3758" i="16"/>
  <c r="S3757" i="16"/>
  <c r="S3756" i="16"/>
  <c r="S3755" i="16"/>
  <c r="S3754" i="16"/>
  <c r="S3753" i="16"/>
  <c r="S3752" i="16"/>
  <c r="S3751" i="16"/>
  <c r="S3750" i="16"/>
  <c r="S3749" i="16"/>
  <c r="S3748" i="16"/>
  <c r="S3747" i="16"/>
  <c r="S3746" i="16"/>
  <c r="S3745" i="16"/>
  <c r="S3744" i="16"/>
  <c r="S3743" i="16"/>
  <c r="S3742" i="16"/>
  <c r="S3741" i="16"/>
  <c r="S3740" i="16"/>
  <c r="S3739" i="16"/>
  <c r="S3738" i="16"/>
  <c r="S3737" i="16"/>
  <c r="S3736" i="16"/>
  <c r="S3735" i="16"/>
  <c r="S3734" i="16"/>
  <c r="S3733" i="16"/>
  <c r="S3732" i="16"/>
  <c r="S3731" i="16"/>
  <c r="S3730" i="16"/>
  <c r="S3729" i="16"/>
  <c r="S3728" i="16"/>
  <c r="S3727" i="16"/>
  <c r="S3726" i="16"/>
  <c r="S3725" i="16"/>
  <c r="S3724" i="16"/>
  <c r="S3723" i="16"/>
  <c r="S3722" i="16"/>
  <c r="S3721" i="16"/>
  <c r="S3720" i="16"/>
  <c r="S3719" i="16"/>
  <c r="S3718" i="16"/>
  <c r="S3717" i="16"/>
  <c r="S3716" i="16"/>
  <c r="S3715" i="16"/>
  <c r="S3714" i="16"/>
  <c r="S3713" i="16"/>
  <c r="S3712" i="16"/>
  <c r="S3711" i="16"/>
  <c r="S3710" i="16"/>
  <c r="S3709" i="16"/>
  <c r="S3708" i="16"/>
  <c r="S3707" i="16"/>
  <c r="S3706" i="16"/>
  <c r="S3705" i="16"/>
  <c r="S3704" i="16"/>
  <c r="S3703" i="16"/>
  <c r="S3702" i="16"/>
  <c r="S3701" i="16"/>
  <c r="S3700" i="16"/>
  <c r="S3699" i="16"/>
  <c r="S3698" i="16"/>
  <c r="S3697" i="16"/>
  <c r="S3696" i="16"/>
  <c r="S3695" i="16"/>
  <c r="S3694" i="16"/>
  <c r="S3693" i="16"/>
  <c r="S3692" i="16"/>
  <c r="S3691" i="16"/>
  <c r="S3690" i="16"/>
  <c r="S3689" i="16"/>
  <c r="S3688" i="16"/>
  <c r="S3687" i="16"/>
  <c r="S3686" i="16"/>
  <c r="S3685" i="16"/>
  <c r="S3684" i="16"/>
  <c r="S3683" i="16"/>
  <c r="S3682" i="16"/>
  <c r="S3681" i="16"/>
  <c r="S3680" i="16"/>
  <c r="S3679" i="16"/>
  <c r="S3678" i="16"/>
  <c r="S3677" i="16"/>
  <c r="S3676" i="16"/>
  <c r="S3675" i="16"/>
  <c r="S3674" i="16"/>
  <c r="S3673" i="16"/>
  <c r="S3672" i="16"/>
  <c r="S3671" i="16"/>
  <c r="S3670" i="16"/>
  <c r="S3669" i="16"/>
  <c r="S3668" i="16"/>
  <c r="S3667" i="16"/>
  <c r="S3666" i="16"/>
  <c r="S3665" i="16"/>
  <c r="S3664" i="16"/>
  <c r="S3663" i="16"/>
  <c r="S3662" i="16"/>
  <c r="S3661" i="16"/>
  <c r="S3660" i="16"/>
  <c r="S3659" i="16"/>
  <c r="S3658" i="16"/>
  <c r="S3657" i="16"/>
  <c r="S3656" i="16"/>
  <c r="S3655" i="16"/>
  <c r="S3654" i="16"/>
  <c r="S3653" i="16"/>
  <c r="S3652" i="16"/>
  <c r="S3651" i="16"/>
  <c r="S3650" i="16"/>
  <c r="S3649" i="16"/>
  <c r="S3648" i="16"/>
  <c r="S3647" i="16"/>
  <c r="S3646" i="16"/>
  <c r="S3645" i="16"/>
  <c r="S3644" i="16"/>
  <c r="S3643" i="16"/>
  <c r="S3642" i="16"/>
  <c r="S3641" i="16"/>
  <c r="S3640" i="16"/>
  <c r="S3639" i="16"/>
  <c r="S3638" i="16"/>
  <c r="S3637" i="16"/>
  <c r="S3636" i="16"/>
  <c r="S3635" i="16"/>
  <c r="S3634" i="16"/>
  <c r="S3633" i="16"/>
  <c r="S3632" i="16"/>
  <c r="S3631" i="16"/>
  <c r="S3630" i="16"/>
  <c r="S3629" i="16"/>
  <c r="S3628" i="16"/>
  <c r="S3627" i="16"/>
  <c r="S3626" i="16"/>
  <c r="S3625" i="16"/>
  <c r="S3624" i="16"/>
  <c r="S3623" i="16"/>
  <c r="S3622" i="16"/>
  <c r="S3621" i="16"/>
  <c r="S3620" i="16"/>
  <c r="S3619" i="16"/>
  <c r="S3618" i="16"/>
  <c r="S3617" i="16"/>
  <c r="S3616" i="16"/>
  <c r="S3615" i="16"/>
  <c r="S3614" i="16"/>
  <c r="S3613" i="16"/>
  <c r="S3612" i="16"/>
  <c r="S3611" i="16"/>
  <c r="S3610" i="16"/>
  <c r="S3609" i="16"/>
  <c r="S3608" i="16"/>
  <c r="S3607" i="16"/>
  <c r="S3606" i="16"/>
  <c r="S3605" i="16"/>
  <c r="S3604" i="16"/>
  <c r="S3603" i="16"/>
  <c r="S3602" i="16"/>
  <c r="S3601" i="16"/>
  <c r="S3600" i="16"/>
  <c r="S3599" i="16"/>
  <c r="S3598" i="16"/>
  <c r="S3597" i="16"/>
  <c r="S3596" i="16"/>
  <c r="S3595" i="16"/>
  <c r="S3594" i="16"/>
  <c r="S3593" i="16"/>
  <c r="S3592" i="16"/>
  <c r="S3591" i="16"/>
  <c r="S3590" i="16"/>
  <c r="S3589" i="16"/>
  <c r="S3588" i="16"/>
  <c r="S3587" i="16"/>
  <c r="S3586" i="16"/>
  <c r="S3585" i="16"/>
  <c r="S3584" i="16"/>
  <c r="S3583" i="16"/>
  <c r="S3582" i="16"/>
  <c r="S3581" i="16"/>
  <c r="S3580" i="16"/>
  <c r="S3579" i="16"/>
  <c r="S3578" i="16"/>
  <c r="S3577" i="16"/>
  <c r="S3576" i="16"/>
  <c r="S3575" i="16"/>
  <c r="S3574" i="16"/>
  <c r="S3573" i="16"/>
  <c r="S3572" i="16"/>
  <c r="S3571" i="16"/>
  <c r="S3570" i="16"/>
  <c r="S3569" i="16"/>
  <c r="S3568" i="16"/>
  <c r="S3567" i="16"/>
  <c r="S3566" i="16"/>
  <c r="S3565" i="16"/>
  <c r="S3564" i="16"/>
  <c r="S3563" i="16"/>
  <c r="S3562" i="16"/>
  <c r="S3561" i="16"/>
  <c r="S3560" i="16"/>
  <c r="S3559" i="16"/>
  <c r="S3558" i="16"/>
  <c r="S3557" i="16"/>
  <c r="S3556" i="16"/>
  <c r="S3555" i="16"/>
  <c r="S3554" i="16"/>
  <c r="S3553" i="16"/>
  <c r="S3552" i="16"/>
  <c r="S3551" i="16"/>
  <c r="S3550" i="16"/>
  <c r="S3549" i="16"/>
  <c r="S3548" i="16"/>
  <c r="S3547" i="16"/>
  <c r="S3546" i="16"/>
  <c r="S3545" i="16"/>
  <c r="S3544" i="16"/>
  <c r="S3543" i="16"/>
  <c r="S3542" i="16"/>
  <c r="S3541" i="16"/>
  <c r="S3540" i="16"/>
  <c r="S3539" i="16"/>
  <c r="S3538" i="16"/>
  <c r="S3537" i="16"/>
  <c r="S3536" i="16"/>
  <c r="S3535" i="16"/>
  <c r="S3534" i="16"/>
  <c r="S3533" i="16"/>
  <c r="S3532" i="16"/>
  <c r="S3531" i="16"/>
  <c r="S3530" i="16"/>
  <c r="S3529" i="16"/>
  <c r="S3528" i="16"/>
  <c r="S3527" i="16"/>
  <c r="S3526" i="16"/>
  <c r="S3525" i="16"/>
  <c r="S3524" i="16"/>
  <c r="S3523" i="16"/>
  <c r="S3522" i="16"/>
  <c r="S3521" i="16"/>
  <c r="S3520" i="16"/>
  <c r="S3519" i="16"/>
  <c r="S3518" i="16"/>
  <c r="S3517" i="16"/>
  <c r="S3516" i="16"/>
  <c r="S3515" i="16"/>
  <c r="S3514" i="16"/>
  <c r="S3513" i="16"/>
  <c r="S3512" i="16"/>
  <c r="S3511" i="16"/>
  <c r="S3510" i="16"/>
  <c r="S3509" i="16"/>
  <c r="S3508" i="16"/>
  <c r="S3507" i="16"/>
  <c r="S3506" i="16"/>
  <c r="S3505" i="16"/>
  <c r="S3504" i="16"/>
  <c r="S3503" i="16"/>
  <c r="S3502" i="16"/>
  <c r="S3501" i="16"/>
  <c r="S3500" i="16"/>
  <c r="S3499" i="16"/>
  <c r="S3498" i="16"/>
  <c r="S3497" i="16"/>
  <c r="S3496" i="16"/>
  <c r="S3495" i="16"/>
  <c r="S3494" i="16"/>
  <c r="S3493" i="16"/>
  <c r="S3492" i="16"/>
  <c r="S3491" i="16"/>
  <c r="S3490" i="16"/>
  <c r="S3489" i="16"/>
  <c r="S3488" i="16"/>
  <c r="S3487" i="16"/>
  <c r="S3486" i="16"/>
  <c r="S3485" i="16"/>
  <c r="S3484" i="16"/>
  <c r="S3483" i="16"/>
  <c r="S3482" i="16"/>
  <c r="S3481" i="16"/>
  <c r="S3480" i="16"/>
  <c r="S3479" i="16"/>
  <c r="S3478" i="16"/>
  <c r="S3477" i="16"/>
  <c r="S3476" i="16"/>
  <c r="S3475" i="16"/>
  <c r="S3474" i="16"/>
  <c r="S3473" i="16"/>
  <c r="S3472" i="16"/>
  <c r="S3471" i="16"/>
  <c r="S3470" i="16"/>
  <c r="S3469" i="16"/>
  <c r="S3468" i="16"/>
  <c r="S3467" i="16"/>
  <c r="S3466" i="16"/>
  <c r="S3465" i="16"/>
  <c r="S3464" i="16"/>
  <c r="S3463" i="16"/>
  <c r="S3462" i="16"/>
  <c r="S3461" i="16"/>
  <c r="S3460" i="16"/>
  <c r="S3459" i="16"/>
  <c r="S3458" i="16"/>
  <c r="S3457" i="16"/>
  <c r="S3456" i="16"/>
  <c r="S3455" i="16"/>
  <c r="S3454" i="16"/>
  <c r="S3453" i="16"/>
  <c r="S3452" i="16"/>
  <c r="S3451" i="16"/>
  <c r="S3450" i="16"/>
  <c r="S3449" i="16"/>
  <c r="S3448" i="16"/>
  <c r="S3447" i="16"/>
  <c r="S3446" i="16"/>
  <c r="S3445" i="16"/>
  <c r="S3444" i="16"/>
  <c r="S3443" i="16"/>
  <c r="S3442" i="16"/>
  <c r="S3441" i="16"/>
  <c r="S3440" i="16"/>
  <c r="S3439" i="16"/>
  <c r="S3438" i="16"/>
  <c r="S3437" i="16"/>
  <c r="S3436" i="16"/>
  <c r="S3435" i="16"/>
  <c r="S3434" i="16"/>
  <c r="S3433" i="16"/>
  <c r="S3432" i="16"/>
  <c r="S3431" i="16"/>
  <c r="S3430" i="16"/>
  <c r="S3429" i="16"/>
  <c r="S3428" i="16"/>
  <c r="S3427" i="16"/>
  <c r="S3426" i="16"/>
  <c r="S3425" i="16"/>
  <c r="S3424" i="16"/>
  <c r="S3423" i="16"/>
  <c r="S3422" i="16"/>
  <c r="S3421" i="16"/>
  <c r="S3420" i="16"/>
  <c r="S3419" i="16"/>
  <c r="S3418" i="16"/>
  <c r="S3417" i="16"/>
  <c r="S3416" i="16"/>
  <c r="S3415" i="16"/>
  <c r="S3414" i="16"/>
  <c r="S3413" i="16"/>
  <c r="S3412" i="16"/>
  <c r="S3411" i="16"/>
  <c r="S3410" i="16"/>
  <c r="S3409" i="16"/>
  <c r="S3408" i="16"/>
  <c r="S3407" i="16"/>
  <c r="S3406" i="16"/>
  <c r="S3405" i="16"/>
  <c r="S3404" i="16"/>
  <c r="S3403" i="16"/>
  <c r="S3402" i="16"/>
  <c r="S3401" i="16"/>
  <c r="S3400" i="16"/>
  <c r="S3399" i="16"/>
  <c r="S3398" i="16"/>
  <c r="S3397" i="16"/>
  <c r="S3396" i="16"/>
  <c r="S3395" i="16"/>
  <c r="S3394" i="16"/>
  <c r="S3393" i="16"/>
  <c r="S3392" i="16"/>
  <c r="S3391" i="16"/>
  <c r="S3390" i="16"/>
  <c r="S3389" i="16"/>
  <c r="S3388" i="16"/>
  <c r="S3387" i="16"/>
  <c r="S3386" i="16"/>
  <c r="S3385" i="16"/>
  <c r="S3384" i="16"/>
  <c r="S3383" i="16"/>
  <c r="S3382" i="16"/>
  <c r="S3381" i="16"/>
  <c r="S3380" i="16"/>
  <c r="S3379" i="16"/>
  <c r="S3378" i="16"/>
  <c r="S3377" i="16"/>
  <c r="S3376" i="16"/>
  <c r="S3375" i="16"/>
  <c r="S3374" i="16"/>
  <c r="S3373" i="16"/>
  <c r="S3372" i="16"/>
  <c r="S3371" i="16"/>
  <c r="S3370" i="16"/>
  <c r="S3369" i="16"/>
  <c r="S3368" i="16"/>
  <c r="S3367" i="16"/>
  <c r="S3366" i="16"/>
  <c r="S3365" i="16"/>
  <c r="S3364" i="16"/>
  <c r="S3363" i="16"/>
  <c r="S3362" i="16"/>
  <c r="S3361" i="16"/>
  <c r="S3360" i="16"/>
  <c r="S3359" i="16"/>
  <c r="S3358" i="16"/>
  <c r="S3357" i="16"/>
  <c r="S3356" i="16"/>
  <c r="S3355" i="16"/>
  <c r="S3354" i="16"/>
  <c r="S3353" i="16"/>
  <c r="S3352" i="16"/>
  <c r="S3351" i="16"/>
  <c r="S3350" i="16"/>
  <c r="S3349" i="16"/>
  <c r="S3348" i="16"/>
  <c r="S3347" i="16"/>
  <c r="S3346" i="16"/>
  <c r="S3345" i="16"/>
  <c r="S3344" i="16"/>
  <c r="S3343" i="16"/>
  <c r="S3342" i="16"/>
  <c r="S3341" i="16"/>
  <c r="S3340" i="16"/>
  <c r="S3339" i="16"/>
  <c r="S3338" i="16"/>
  <c r="S3337" i="16"/>
  <c r="S3336" i="16"/>
  <c r="S3335" i="16"/>
  <c r="S3334" i="16"/>
  <c r="S3333" i="16"/>
  <c r="S3332" i="16"/>
  <c r="S3331" i="16"/>
  <c r="S3330" i="16"/>
  <c r="S3329" i="16"/>
  <c r="S3328" i="16"/>
  <c r="S3327" i="16"/>
  <c r="S3326" i="16"/>
  <c r="S3325" i="16"/>
  <c r="S3324" i="16"/>
  <c r="S3323" i="16"/>
  <c r="S3322" i="16"/>
  <c r="S3321" i="16"/>
  <c r="S3320" i="16"/>
  <c r="S3319" i="16"/>
  <c r="S3318" i="16"/>
  <c r="S3317" i="16"/>
  <c r="S3316" i="16"/>
  <c r="S3315" i="16"/>
  <c r="S3314" i="16"/>
  <c r="S3313" i="16"/>
  <c r="S3312" i="16"/>
  <c r="S3311" i="16"/>
  <c r="S3310" i="16"/>
  <c r="S3309" i="16"/>
  <c r="S3308" i="16"/>
  <c r="S3307" i="16"/>
  <c r="S3306" i="16"/>
  <c r="S3305" i="16"/>
  <c r="S3304" i="16"/>
  <c r="S3303" i="16"/>
  <c r="S3302" i="16"/>
  <c r="S3301" i="16"/>
  <c r="S3300" i="16"/>
  <c r="S3299" i="16"/>
  <c r="S3298" i="16"/>
  <c r="S3297" i="16"/>
  <c r="S3296" i="16"/>
  <c r="S3295" i="16"/>
  <c r="S3294" i="16"/>
  <c r="S3293" i="16"/>
  <c r="S3292" i="16"/>
  <c r="S3291" i="16"/>
  <c r="S3290" i="16"/>
  <c r="S3289" i="16"/>
  <c r="S3288" i="16"/>
  <c r="S3287" i="16"/>
  <c r="S3286" i="16"/>
  <c r="S3285" i="16"/>
  <c r="S3284" i="16"/>
  <c r="S3283" i="16"/>
  <c r="S3282" i="16"/>
  <c r="S3281" i="16"/>
  <c r="S3280" i="16"/>
  <c r="S3279" i="16"/>
  <c r="S3278" i="16"/>
  <c r="S3277" i="16"/>
  <c r="S3276" i="16"/>
  <c r="S3275" i="16"/>
  <c r="S3274" i="16"/>
  <c r="S3273" i="16"/>
  <c r="S3272" i="16"/>
  <c r="S3271" i="16"/>
  <c r="S3270" i="16"/>
  <c r="S3269" i="16"/>
  <c r="S3268" i="16"/>
  <c r="S3267" i="16"/>
  <c r="S3266" i="16"/>
  <c r="S3265" i="16"/>
  <c r="S3264" i="16"/>
  <c r="S3263" i="16"/>
  <c r="S3262" i="16"/>
  <c r="S3261" i="16"/>
  <c r="S3260" i="16"/>
  <c r="S3259" i="16"/>
  <c r="S3258" i="16"/>
  <c r="S3257" i="16"/>
  <c r="S3256" i="16"/>
  <c r="S3255" i="16"/>
  <c r="S3254" i="16"/>
  <c r="S3253" i="16"/>
  <c r="S3252" i="16"/>
  <c r="S3251" i="16"/>
  <c r="S3250" i="16"/>
  <c r="S3249" i="16"/>
  <c r="S3248" i="16"/>
  <c r="S3247" i="16"/>
  <c r="S3246" i="16"/>
  <c r="S3245" i="16"/>
  <c r="S3244" i="16"/>
  <c r="S3243" i="16"/>
  <c r="S3242" i="16"/>
  <c r="S3241" i="16"/>
  <c r="S3240" i="16"/>
  <c r="S3239" i="16"/>
  <c r="S3238" i="16"/>
  <c r="S3237" i="16"/>
  <c r="S3236" i="16"/>
  <c r="S3235" i="16"/>
  <c r="S3234" i="16"/>
  <c r="S3233" i="16"/>
  <c r="S3232" i="16"/>
  <c r="S3231" i="16"/>
  <c r="S3230" i="16"/>
  <c r="S3229" i="16"/>
  <c r="S3228" i="16"/>
  <c r="S3227" i="16"/>
  <c r="S3226" i="16"/>
  <c r="S3225" i="16"/>
  <c r="S3224" i="16"/>
  <c r="S3223" i="16"/>
  <c r="S3222" i="16"/>
  <c r="S3221" i="16"/>
  <c r="S3220" i="16"/>
  <c r="S3219" i="16"/>
  <c r="S3218" i="16"/>
  <c r="S3217" i="16"/>
  <c r="S3216" i="16"/>
  <c r="S3215" i="16"/>
  <c r="S3214" i="16"/>
  <c r="S3213" i="16"/>
  <c r="S3212" i="16"/>
  <c r="S3211" i="16"/>
  <c r="S3210" i="16"/>
  <c r="S3209" i="16"/>
  <c r="S3208" i="16"/>
  <c r="S3207" i="16"/>
  <c r="S3206" i="16"/>
  <c r="S3205" i="16"/>
  <c r="S3204" i="16"/>
  <c r="S3203" i="16"/>
  <c r="S3202" i="16"/>
  <c r="S3201" i="16"/>
  <c r="S3200" i="16"/>
  <c r="S3199" i="16"/>
  <c r="S3198" i="16"/>
  <c r="S3197" i="16"/>
  <c r="S3196" i="16"/>
  <c r="S3195" i="16"/>
  <c r="S3194" i="16"/>
  <c r="S3193" i="16"/>
  <c r="S3192" i="16"/>
  <c r="S3191" i="16"/>
  <c r="S3190" i="16"/>
  <c r="S3189" i="16"/>
  <c r="S3188" i="16"/>
  <c r="S3187" i="16"/>
  <c r="S3186" i="16"/>
  <c r="S3185" i="16"/>
  <c r="S3184" i="16"/>
  <c r="S3183" i="16"/>
  <c r="S3182" i="16"/>
  <c r="S3181" i="16"/>
  <c r="S3180" i="16"/>
  <c r="S3179" i="16"/>
  <c r="S3178" i="16"/>
  <c r="S3177" i="16"/>
  <c r="S3176" i="16"/>
  <c r="S3175" i="16"/>
  <c r="S3174" i="16"/>
  <c r="S3173" i="16"/>
  <c r="S3172" i="16"/>
  <c r="S3171" i="16"/>
  <c r="S3170" i="16"/>
  <c r="S3169" i="16"/>
  <c r="S3168" i="16"/>
  <c r="S3167" i="16"/>
  <c r="S3166" i="16"/>
  <c r="S3165" i="16"/>
  <c r="S3164" i="16"/>
  <c r="S3163" i="16"/>
  <c r="S3162" i="16"/>
  <c r="S3161" i="16"/>
  <c r="S3160" i="16"/>
  <c r="S3159" i="16"/>
  <c r="S3158" i="16"/>
  <c r="S3157" i="16"/>
  <c r="S3156" i="16"/>
  <c r="S3155" i="16"/>
  <c r="S3154" i="16"/>
  <c r="S3153" i="16"/>
  <c r="S3152" i="16"/>
  <c r="S3151" i="16"/>
  <c r="S3150" i="16"/>
  <c r="S3149" i="16"/>
  <c r="S3148" i="16"/>
  <c r="S3147" i="16"/>
  <c r="S3146" i="16"/>
  <c r="S3145" i="16"/>
  <c r="S3144" i="16"/>
  <c r="S3143" i="16"/>
  <c r="S3142" i="16"/>
  <c r="S3141" i="16"/>
  <c r="S3140" i="16"/>
  <c r="S3139" i="16"/>
  <c r="S3138" i="16"/>
  <c r="S3137" i="16"/>
  <c r="S3136" i="16"/>
  <c r="S3135" i="16"/>
  <c r="S3134" i="16"/>
  <c r="S3133" i="16"/>
  <c r="S3132" i="16"/>
  <c r="S3131" i="16"/>
  <c r="S3130" i="16"/>
  <c r="S3129" i="16"/>
  <c r="S3128" i="16"/>
  <c r="S3127" i="16"/>
  <c r="S3126" i="16"/>
  <c r="S3125" i="16"/>
  <c r="S3124" i="16"/>
  <c r="S3123" i="16"/>
  <c r="S3122" i="16"/>
  <c r="S3121" i="16"/>
  <c r="S3120" i="16"/>
  <c r="S3119" i="16"/>
  <c r="S3118" i="16"/>
  <c r="S3117" i="16"/>
  <c r="S3116" i="16"/>
  <c r="S3115" i="16"/>
  <c r="S3114" i="16"/>
  <c r="S3113" i="16"/>
  <c r="S3112" i="16"/>
  <c r="S3111" i="16"/>
  <c r="S3110" i="16"/>
  <c r="S3109" i="16"/>
  <c r="S3108" i="16"/>
  <c r="S3107" i="16"/>
  <c r="S3106" i="16"/>
  <c r="S3105" i="16"/>
  <c r="S3104" i="16"/>
  <c r="S3103" i="16"/>
  <c r="S3102" i="16"/>
  <c r="S3101" i="16"/>
  <c r="S3100" i="16"/>
  <c r="S3099" i="16"/>
  <c r="S3098" i="16"/>
  <c r="S3097" i="16"/>
  <c r="S3096" i="16"/>
  <c r="S3095" i="16"/>
  <c r="S3094" i="16"/>
  <c r="S3093" i="16"/>
  <c r="S3092" i="16"/>
  <c r="S3091" i="16"/>
  <c r="S3090" i="16"/>
  <c r="S3089" i="16"/>
  <c r="S3088" i="16"/>
  <c r="S3087" i="16"/>
  <c r="S3086" i="16"/>
  <c r="S3085" i="16"/>
  <c r="S3084" i="16"/>
  <c r="S3083" i="16"/>
  <c r="S3082" i="16"/>
  <c r="S3081" i="16"/>
  <c r="S3080" i="16"/>
  <c r="S3079" i="16"/>
  <c r="S3078" i="16"/>
  <c r="S3077" i="16"/>
  <c r="S3076" i="16"/>
  <c r="S3075" i="16"/>
  <c r="S3074" i="16"/>
  <c r="S3073" i="16"/>
  <c r="S3072" i="16"/>
  <c r="S3070" i="16"/>
  <c r="S3069" i="16"/>
  <c r="S3068" i="16"/>
  <c r="S3067" i="16"/>
  <c r="S3066" i="16"/>
  <c r="S3065" i="16"/>
  <c r="S3064" i="16"/>
  <c r="S3063" i="16"/>
  <c r="S3062" i="16"/>
  <c r="S3061" i="16"/>
  <c r="S3060" i="16"/>
  <c r="S3059" i="16"/>
  <c r="S3058" i="16"/>
  <c r="S3057" i="16"/>
  <c r="S3056" i="16"/>
  <c r="S3055" i="16"/>
  <c r="S3054" i="16"/>
  <c r="S3053" i="16"/>
  <c r="S3052" i="16"/>
  <c r="S3051" i="16"/>
  <c r="S3050" i="16"/>
  <c r="S3049" i="16"/>
  <c r="S3048" i="16"/>
  <c r="S3047" i="16"/>
  <c r="S3046" i="16"/>
  <c r="S3045" i="16"/>
  <c r="S3044" i="16"/>
  <c r="S3043" i="16"/>
  <c r="S3042" i="16"/>
  <c r="S3041" i="16"/>
  <c r="S3040" i="16"/>
  <c r="S3039" i="16"/>
  <c r="S3038" i="16"/>
  <c r="S3037" i="16"/>
  <c r="S3036" i="16"/>
  <c r="S3035" i="16"/>
  <c r="S3034" i="16"/>
  <c r="S3033" i="16"/>
  <c r="S3032" i="16"/>
  <c r="S3031" i="16"/>
  <c r="S3030" i="16"/>
  <c r="S3029" i="16"/>
  <c r="S3028" i="16"/>
  <c r="S3027" i="16"/>
  <c r="S3026" i="16"/>
  <c r="S3025" i="16"/>
  <c r="S3024" i="16"/>
  <c r="S3023" i="16"/>
  <c r="S3022" i="16"/>
  <c r="S3021" i="16"/>
  <c r="S3020" i="16"/>
  <c r="S3019" i="16"/>
  <c r="S3018" i="16"/>
  <c r="S3017" i="16"/>
  <c r="S3016" i="16"/>
  <c r="S3015" i="16"/>
  <c r="S3014" i="16"/>
  <c r="S3013" i="16"/>
  <c r="S3012" i="16"/>
  <c r="S3011" i="16"/>
  <c r="S3010" i="16"/>
  <c r="S3009" i="16"/>
  <c r="S3008" i="16"/>
  <c r="S3007" i="16"/>
  <c r="S3006" i="16"/>
  <c r="S3005" i="16"/>
  <c r="S3004" i="16"/>
  <c r="S3003" i="16"/>
  <c r="S3002" i="16"/>
  <c r="S3001" i="16"/>
  <c r="S3000" i="16"/>
  <c r="S2999" i="16"/>
  <c r="S2998" i="16"/>
  <c r="S2997" i="16"/>
  <c r="S2996" i="16"/>
  <c r="S2995" i="16"/>
  <c r="S2994" i="16"/>
  <c r="S2993" i="16"/>
  <c r="S2992" i="16"/>
  <c r="S2991" i="16"/>
  <c r="S2990" i="16"/>
  <c r="S2989" i="16"/>
  <c r="S2988" i="16"/>
  <c r="S2987" i="16"/>
  <c r="S2986" i="16"/>
  <c r="S2985" i="16"/>
  <c r="S2984" i="16"/>
  <c r="S2983" i="16"/>
  <c r="S2982" i="16"/>
  <c r="S2981" i="16"/>
  <c r="S2980" i="16"/>
  <c r="S2979" i="16"/>
  <c r="S2978" i="16"/>
  <c r="S2977" i="16"/>
  <c r="S2976" i="16"/>
  <c r="S2975" i="16"/>
  <c r="S2974" i="16"/>
  <c r="S2973" i="16"/>
  <c r="S2972" i="16"/>
  <c r="S2971" i="16"/>
  <c r="S2970" i="16"/>
  <c r="S2969" i="16"/>
  <c r="S2968" i="16"/>
  <c r="S2967" i="16"/>
  <c r="S2966" i="16"/>
  <c r="S2965" i="16"/>
  <c r="S2964" i="16"/>
  <c r="S2963" i="16"/>
  <c r="S2962" i="16"/>
  <c r="S2961" i="16"/>
  <c r="S2960" i="16"/>
  <c r="S2959" i="16"/>
  <c r="S2958" i="16"/>
  <c r="S2957" i="16"/>
  <c r="S2956" i="16"/>
  <c r="S2955" i="16"/>
  <c r="S2954" i="16"/>
  <c r="S2953" i="16"/>
  <c r="S2952" i="16"/>
  <c r="S2951" i="16"/>
  <c r="S2950" i="16"/>
  <c r="S2949" i="16"/>
  <c r="S2948" i="16"/>
  <c r="S2947" i="16"/>
  <c r="S2946" i="16"/>
  <c r="S2945" i="16"/>
  <c r="S2944" i="16"/>
  <c r="S2943" i="16"/>
  <c r="S2942" i="16"/>
  <c r="S2941" i="16"/>
  <c r="S2940" i="16"/>
  <c r="S2939" i="16"/>
  <c r="S2938" i="16"/>
  <c r="S2937" i="16"/>
  <c r="S2936" i="16"/>
  <c r="S2935" i="16"/>
  <c r="S2934" i="16"/>
  <c r="S2933" i="16"/>
  <c r="S2932" i="16"/>
  <c r="S2931" i="16"/>
  <c r="S2930" i="16"/>
  <c r="S2929" i="16"/>
  <c r="S2928" i="16"/>
  <c r="S2927" i="16"/>
  <c r="S2926" i="16"/>
  <c r="S2925" i="16"/>
  <c r="S2924" i="16"/>
  <c r="S2923" i="16"/>
  <c r="S2922" i="16"/>
  <c r="S2921" i="16"/>
  <c r="S2920" i="16"/>
  <c r="S2919" i="16"/>
  <c r="S2918" i="16"/>
  <c r="S2917" i="16"/>
  <c r="S2916" i="16"/>
  <c r="S2915" i="16"/>
  <c r="S2914" i="16"/>
  <c r="S2913" i="16"/>
  <c r="S2912" i="16"/>
  <c r="S2911" i="16"/>
  <c r="S2910" i="16"/>
  <c r="S2909" i="16"/>
  <c r="S2908" i="16"/>
  <c r="S2907" i="16"/>
  <c r="S2906" i="16"/>
  <c r="S2905" i="16"/>
  <c r="S2904" i="16"/>
  <c r="S2903" i="16"/>
  <c r="S2902" i="16"/>
  <c r="S2901" i="16"/>
  <c r="S2900" i="16"/>
  <c r="S2899" i="16"/>
  <c r="S2898" i="16"/>
  <c r="S2897" i="16"/>
  <c r="S2896" i="16"/>
  <c r="S2895" i="16"/>
  <c r="S2894" i="16"/>
  <c r="S2893" i="16"/>
  <c r="S2892" i="16"/>
  <c r="S2891" i="16"/>
  <c r="S2890" i="16"/>
  <c r="S2889" i="16"/>
  <c r="S2888" i="16"/>
  <c r="S2887" i="16"/>
  <c r="S2886" i="16"/>
  <c r="S2885" i="16"/>
  <c r="S2884" i="16"/>
  <c r="S2883" i="16"/>
  <c r="S2882" i="16"/>
  <c r="S2881" i="16"/>
  <c r="S2880" i="16"/>
  <c r="S2879" i="16"/>
  <c r="S2878" i="16"/>
  <c r="S2877" i="16"/>
  <c r="S2876" i="16"/>
  <c r="S2875" i="16"/>
  <c r="S2874" i="16"/>
  <c r="S2873" i="16"/>
  <c r="S2872" i="16"/>
  <c r="S2871" i="16"/>
  <c r="S2870" i="16"/>
  <c r="S2869" i="16"/>
  <c r="S2868" i="16"/>
  <c r="S2867" i="16"/>
  <c r="S2866" i="16"/>
  <c r="S2865" i="16"/>
  <c r="S2864" i="16"/>
  <c r="S2863" i="16"/>
  <c r="S2862" i="16"/>
  <c r="S2861" i="16"/>
  <c r="S2860" i="16"/>
  <c r="S2859" i="16"/>
  <c r="S2858" i="16"/>
  <c r="S2857" i="16"/>
  <c r="S2856" i="16"/>
  <c r="S2855" i="16"/>
  <c r="S2854" i="16"/>
  <c r="S2853" i="16"/>
  <c r="S2852" i="16"/>
  <c r="S2851" i="16"/>
  <c r="S2850" i="16"/>
  <c r="S2849" i="16"/>
  <c r="S2848" i="16"/>
  <c r="S2847" i="16"/>
  <c r="S2846" i="16"/>
  <c r="S2845" i="16"/>
  <c r="S2844" i="16"/>
  <c r="S2843" i="16"/>
  <c r="S2842" i="16"/>
  <c r="S2841" i="16"/>
  <c r="S2840" i="16"/>
  <c r="S2839" i="16"/>
  <c r="S2838" i="16"/>
  <c r="S2837" i="16"/>
  <c r="S2836" i="16"/>
  <c r="S2835" i="16"/>
  <c r="S2834" i="16"/>
  <c r="S2833" i="16"/>
  <c r="S2832" i="16"/>
  <c r="S2831" i="16"/>
  <c r="S2830" i="16"/>
  <c r="S2829" i="16"/>
  <c r="S2828" i="16"/>
  <c r="S2827" i="16"/>
  <c r="S2826" i="16"/>
  <c r="S2825" i="16"/>
  <c r="S2824" i="16"/>
  <c r="S2823" i="16"/>
  <c r="S2822" i="16"/>
  <c r="S2821" i="16"/>
  <c r="S2820" i="16"/>
  <c r="S2819" i="16"/>
  <c r="S2818" i="16"/>
  <c r="S2817" i="16"/>
  <c r="S2816" i="16"/>
  <c r="S2815" i="16"/>
  <c r="S2814" i="16"/>
  <c r="S2813" i="16"/>
  <c r="S2812" i="16"/>
  <c r="S2811" i="16"/>
  <c r="S2810" i="16"/>
  <c r="S2809" i="16"/>
  <c r="S2808" i="16"/>
  <c r="S2807" i="16"/>
  <c r="S2806" i="16"/>
  <c r="S2805" i="16"/>
  <c r="S2804" i="16"/>
  <c r="S2803" i="16"/>
  <c r="S2802" i="16"/>
  <c r="S2801" i="16"/>
  <c r="S2800" i="16"/>
  <c r="S2799" i="16"/>
  <c r="S2798" i="16"/>
  <c r="S2797" i="16"/>
  <c r="S2796" i="16"/>
  <c r="S2795" i="16"/>
  <c r="S2794" i="16"/>
  <c r="S2793" i="16"/>
  <c r="S2792" i="16"/>
  <c r="S2791" i="16"/>
  <c r="S2790" i="16"/>
  <c r="S2789" i="16"/>
  <c r="S2788" i="16"/>
  <c r="S2787" i="16"/>
  <c r="S2786" i="16"/>
  <c r="S2785" i="16"/>
  <c r="S2784" i="16"/>
  <c r="S2783" i="16"/>
  <c r="S2782" i="16"/>
  <c r="S2781" i="16"/>
  <c r="S2780" i="16"/>
  <c r="S2779" i="16"/>
  <c r="S2778" i="16"/>
  <c r="S2777" i="16"/>
  <c r="S2776" i="16"/>
  <c r="S2775" i="16"/>
  <c r="S2774" i="16"/>
  <c r="S2773" i="16"/>
  <c r="S2772" i="16"/>
  <c r="S2771" i="16"/>
  <c r="S2770" i="16"/>
  <c r="S2769" i="16"/>
  <c r="S2768" i="16"/>
  <c r="S2767" i="16"/>
  <c r="S2766" i="16"/>
  <c r="S2765" i="16"/>
  <c r="S2764" i="16"/>
  <c r="S2763" i="16"/>
  <c r="S2762" i="16"/>
  <c r="S2761" i="16"/>
  <c r="S2760" i="16"/>
  <c r="S2759" i="16"/>
  <c r="S2758" i="16"/>
  <c r="S2757" i="16"/>
  <c r="S2756" i="16"/>
  <c r="S2755" i="16"/>
  <c r="S2754" i="16"/>
  <c r="S2753" i="16"/>
  <c r="S2752" i="16"/>
  <c r="S2751" i="16"/>
  <c r="S2750" i="16"/>
  <c r="S2749" i="16"/>
  <c r="S2748" i="16"/>
  <c r="S2747" i="16"/>
  <c r="S2746" i="16"/>
  <c r="S2745" i="16"/>
  <c r="S2744" i="16"/>
  <c r="S2743" i="16"/>
  <c r="S2742" i="16"/>
  <c r="S2741" i="16"/>
  <c r="S2740" i="16"/>
  <c r="S2739" i="16"/>
  <c r="S2738" i="16"/>
  <c r="S2737" i="16"/>
  <c r="S2736" i="16"/>
  <c r="S2735" i="16"/>
  <c r="S2734" i="16"/>
  <c r="S2733" i="16"/>
  <c r="S2732" i="16"/>
  <c r="S2731" i="16"/>
  <c r="S2730" i="16"/>
  <c r="S2729" i="16"/>
  <c r="S2728" i="16"/>
  <c r="S2727" i="16"/>
  <c r="S2726" i="16"/>
  <c r="S2725" i="16"/>
  <c r="S2724" i="16"/>
  <c r="S2723" i="16"/>
  <c r="S2722" i="16"/>
  <c r="S2721" i="16"/>
  <c r="S2720" i="16"/>
  <c r="S2719" i="16"/>
  <c r="S2718" i="16"/>
  <c r="S2717" i="16"/>
  <c r="S2716" i="16"/>
  <c r="S2715" i="16"/>
  <c r="S2714" i="16"/>
  <c r="S2713" i="16"/>
  <c r="S2712" i="16"/>
  <c r="S2711" i="16"/>
  <c r="S2710" i="16"/>
  <c r="S2709" i="16"/>
  <c r="S2708" i="16"/>
  <c r="S2707" i="16"/>
  <c r="S2706" i="16"/>
  <c r="S2705" i="16"/>
  <c r="S2704" i="16"/>
  <c r="S2703" i="16"/>
  <c r="S2702" i="16"/>
  <c r="S2701" i="16"/>
  <c r="S2700" i="16"/>
  <c r="S2699" i="16"/>
  <c r="S2698" i="16"/>
  <c r="S2697" i="16"/>
  <c r="S2696" i="16"/>
  <c r="S2695" i="16"/>
  <c r="S2694" i="16"/>
  <c r="S2693" i="16"/>
  <c r="S2692" i="16"/>
  <c r="S2691" i="16"/>
  <c r="S2690" i="16"/>
  <c r="S2689" i="16"/>
  <c r="S2688" i="16"/>
  <c r="S2687" i="16"/>
  <c r="S2686" i="16"/>
  <c r="S2685" i="16"/>
  <c r="S2684" i="16"/>
  <c r="S2683" i="16"/>
  <c r="S2682" i="16"/>
  <c r="S2681" i="16"/>
  <c r="S2680" i="16"/>
  <c r="S2679" i="16"/>
  <c r="S2678" i="16"/>
  <c r="S2677" i="16"/>
  <c r="S2676" i="16"/>
  <c r="S2675" i="16"/>
  <c r="S2674" i="16"/>
  <c r="S2673" i="16"/>
  <c r="S2672" i="16"/>
  <c r="S2671" i="16"/>
  <c r="S2670" i="16"/>
  <c r="S2669" i="16"/>
  <c r="S2668" i="16"/>
  <c r="S2667" i="16"/>
  <c r="S2666" i="16"/>
  <c r="S2665" i="16"/>
  <c r="S2664" i="16"/>
  <c r="S2663" i="16"/>
  <c r="S2662" i="16"/>
  <c r="S2661" i="16"/>
  <c r="S2660" i="16"/>
  <c r="S2659" i="16"/>
  <c r="S2658" i="16"/>
  <c r="S2657" i="16"/>
  <c r="S2656" i="16"/>
  <c r="S2655" i="16"/>
  <c r="S2654" i="16"/>
  <c r="S2653" i="16"/>
  <c r="S2652" i="16"/>
  <c r="S2651" i="16"/>
  <c r="S2650" i="16"/>
  <c r="S2649" i="16"/>
  <c r="S2648" i="16"/>
  <c r="S2647" i="16"/>
  <c r="S2646" i="16"/>
  <c r="S2645" i="16"/>
  <c r="S2644" i="16"/>
  <c r="S2643" i="16"/>
  <c r="S2642" i="16"/>
  <c r="S2641" i="16"/>
  <c r="S2640" i="16"/>
  <c r="S2639" i="16"/>
  <c r="S2638" i="16"/>
  <c r="S2637" i="16"/>
  <c r="S2636" i="16"/>
  <c r="S2635" i="16"/>
  <c r="S2634" i="16"/>
  <c r="S2633" i="16"/>
  <c r="S2632" i="16"/>
  <c r="S2631" i="16"/>
  <c r="S2630" i="16"/>
  <c r="S2629" i="16"/>
  <c r="S2628" i="16"/>
  <c r="S2627" i="16"/>
  <c r="S2626" i="16"/>
  <c r="S2625" i="16"/>
  <c r="S2624" i="16"/>
  <c r="S2623" i="16"/>
  <c r="S2622" i="16"/>
  <c r="S2621" i="16"/>
  <c r="S2620" i="16"/>
  <c r="S2619" i="16"/>
  <c r="S2618" i="16"/>
  <c r="S2617" i="16"/>
  <c r="S2616" i="16"/>
  <c r="S2615" i="16"/>
  <c r="S2614" i="16"/>
  <c r="S2613" i="16"/>
  <c r="S2612" i="16"/>
  <c r="S2611" i="16"/>
  <c r="S2610" i="16"/>
  <c r="S2609" i="16"/>
  <c r="S2608" i="16"/>
  <c r="S2607" i="16"/>
  <c r="S2606" i="16"/>
  <c r="S2605" i="16"/>
  <c r="S2604" i="16"/>
  <c r="S2603" i="16"/>
  <c r="S2602" i="16"/>
  <c r="S2601" i="16"/>
  <c r="S2600" i="16"/>
  <c r="S2599" i="16"/>
  <c r="S2598" i="16"/>
  <c r="S2597" i="16"/>
  <c r="S2596" i="16"/>
  <c r="S2595" i="16"/>
  <c r="S2594" i="16"/>
  <c r="S2593" i="16"/>
  <c r="S2592" i="16"/>
  <c r="S2591" i="16"/>
  <c r="S2590" i="16"/>
  <c r="S2589" i="16"/>
  <c r="S2588" i="16"/>
  <c r="S2587" i="16"/>
  <c r="S2586" i="16"/>
  <c r="S2585" i="16"/>
  <c r="S2584" i="16"/>
  <c r="S2583" i="16"/>
  <c r="S2582" i="16"/>
  <c r="S2581" i="16"/>
  <c r="S2580" i="16"/>
  <c r="S2579" i="16"/>
  <c r="S2578" i="16"/>
  <c r="S2577" i="16"/>
  <c r="S2576" i="16"/>
  <c r="S2575" i="16"/>
  <c r="S2574" i="16"/>
  <c r="S2573" i="16"/>
  <c r="S2572" i="16"/>
  <c r="S2571" i="16"/>
  <c r="S2570" i="16"/>
  <c r="S2569" i="16"/>
  <c r="S2568" i="16"/>
  <c r="S2567" i="16"/>
  <c r="S2566" i="16"/>
  <c r="S2565" i="16"/>
  <c r="S2564" i="16"/>
  <c r="S2563" i="16"/>
  <c r="S2562" i="16"/>
  <c r="S2561" i="16"/>
  <c r="S2560" i="16"/>
  <c r="S2559" i="16"/>
  <c r="S2558" i="16"/>
  <c r="S2557" i="16"/>
  <c r="S2556" i="16"/>
  <c r="S2555" i="16"/>
  <c r="S2554" i="16"/>
  <c r="S2553" i="16"/>
  <c r="S2552" i="16"/>
  <c r="S2551" i="16"/>
  <c r="S2550" i="16"/>
  <c r="S2549" i="16"/>
  <c r="S2548" i="16"/>
  <c r="S2547" i="16"/>
  <c r="S2546" i="16"/>
  <c r="S2545" i="16"/>
  <c r="S2544" i="16"/>
  <c r="S2543" i="16"/>
  <c r="S2542" i="16"/>
  <c r="S2541" i="16"/>
  <c r="S2540" i="16"/>
  <c r="S2539" i="16"/>
  <c r="S2538" i="16"/>
  <c r="S2537" i="16"/>
  <c r="S2536" i="16"/>
  <c r="S2535" i="16"/>
  <c r="S2534" i="16"/>
  <c r="S2533" i="16"/>
  <c r="S2532" i="16"/>
  <c r="S2531" i="16"/>
  <c r="S2530" i="16"/>
  <c r="S2529" i="16"/>
  <c r="S2528" i="16"/>
  <c r="S2527" i="16"/>
  <c r="S2526" i="16"/>
  <c r="S2525" i="16"/>
  <c r="S2524" i="16"/>
  <c r="S2523" i="16"/>
  <c r="S2522" i="16"/>
  <c r="S2521" i="16"/>
  <c r="S2520" i="16"/>
  <c r="S2519" i="16"/>
  <c r="S2518" i="16"/>
  <c r="S2517" i="16"/>
  <c r="S2516" i="16"/>
  <c r="S2515" i="16"/>
  <c r="S2514" i="16"/>
  <c r="S2513" i="16"/>
  <c r="S2512" i="16"/>
  <c r="S2511" i="16"/>
  <c r="S2510" i="16"/>
  <c r="S2509" i="16"/>
  <c r="S2508" i="16"/>
  <c r="S2507" i="16"/>
  <c r="S2506" i="16"/>
  <c r="S2505" i="16"/>
  <c r="S2504" i="16"/>
  <c r="S2503" i="16"/>
  <c r="S2502" i="16"/>
  <c r="S2501" i="16"/>
  <c r="S2500" i="16"/>
  <c r="S2499" i="16"/>
  <c r="S2498" i="16"/>
  <c r="S2497" i="16"/>
  <c r="S2496" i="16"/>
  <c r="S2495" i="16"/>
  <c r="S2494" i="16"/>
  <c r="S2493" i="16"/>
  <c r="S2492" i="16"/>
  <c r="S2491" i="16"/>
  <c r="S2490" i="16"/>
  <c r="S2489" i="16"/>
  <c r="S2488" i="16"/>
  <c r="S2487" i="16"/>
  <c r="S2486" i="16"/>
  <c r="S2485" i="16"/>
  <c r="S2484" i="16"/>
  <c r="S2483" i="16"/>
  <c r="S2482" i="16"/>
  <c r="S2481" i="16"/>
  <c r="S2480" i="16"/>
  <c r="S2479" i="16"/>
  <c r="S2478" i="16"/>
  <c r="S2477" i="16"/>
  <c r="S2476" i="16"/>
  <c r="S2475" i="16"/>
  <c r="S2474" i="16"/>
  <c r="S2473" i="16"/>
  <c r="S2472" i="16"/>
  <c r="S2471" i="16"/>
  <c r="S2470" i="16"/>
  <c r="S2469" i="16"/>
  <c r="S2468" i="16"/>
  <c r="S2467" i="16"/>
  <c r="S2466" i="16"/>
  <c r="S2465" i="16"/>
  <c r="S2464" i="16"/>
  <c r="S2463" i="16"/>
  <c r="S2462" i="16"/>
  <c r="S2461" i="16"/>
  <c r="S2460" i="16"/>
  <c r="S2459" i="16"/>
  <c r="S2458" i="16"/>
  <c r="S2457" i="16"/>
  <c r="S2456" i="16"/>
  <c r="S2455" i="16"/>
  <c r="S2454" i="16"/>
  <c r="S2453" i="16"/>
  <c r="S2452" i="16"/>
  <c r="S2451" i="16"/>
  <c r="S2450" i="16"/>
  <c r="S2449" i="16"/>
  <c r="S2448" i="16"/>
  <c r="S2447" i="16"/>
  <c r="S2446" i="16"/>
  <c r="S2445" i="16"/>
  <c r="S2444" i="16"/>
  <c r="S2443" i="16"/>
  <c r="S2442" i="16"/>
  <c r="S2441" i="16"/>
  <c r="S2440" i="16"/>
  <c r="S2439" i="16"/>
  <c r="S2438" i="16"/>
  <c r="S2437" i="16"/>
  <c r="S2436" i="16"/>
  <c r="S2435" i="16"/>
  <c r="S2434" i="16"/>
  <c r="S2433" i="16"/>
  <c r="S2432" i="16"/>
  <c r="S2431" i="16"/>
  <c r="S2430" i="16"/>
  <c r="S2429" i="16"/>
  <c r="S2428" i="16"/>
  <c r="S2427" i="16"/>
  <c r="S2426" i="16"/>
  <c r="S2425" i="16"/>
  <c r="S2424" i="16"/>
  <c r="S2423" i="16"/>
  <c r="S2422" i="16"/>
  <c r="S2421" i="16"/>
  <c r="S2420" i="16"/>
  <c r="S2419" i="16"/>
  <c r="S2418" i="16"/>
  <c r="S2417" i="16"/>
  <c r="S2416" i="16"/>
  <c r="S2415" i="16"/>
  <c r="S2414" i="16"/>
  <c r="S2413" i="16"/>
  <c r="S2412" i="16"/>
  <c r="S2411" i="16"/>
  <c r="S2410" i="16"/>
  <c r="S2409" i="16"/>
  <c r="S2408" i="16"/>
  <c r="S2407" i="16"/>
  <c r="S2406" i="16"/>
  <c r="S2405" i="16"/>
  <c r="S2404" i="16"/>
  <c r="S2403" i="16"/>
  <c r="S2402" i="16"/>
  <c r="S2401" i="16"/>
  <c r="S2400" i="16"/>
  <c r="S2399" i="16"/>
  <c r="S2398" i="16"/>
  <c r="S2397" i="16"/>
  <c r="S2396" i="16"/>
  <c r="S2395" i="16"/>
  <c r="S2394" i="16"/>
  <c r="S2393" i="16"/>
  <c r="S2392" i="16"/>
  <c r="S2391" i="16"/>
  <c r="S2390" i="16"/>
  <c r="S2389" i="16"/>
  <c r="S3071" i="16"/>
  <c r="S2388" i="16"/>
  <c r="S2387" i="16"/>
  <c r="S2386" i="16"/>
  <c r="S2385" i="16"/>
  <c r="S2384" i="16"/>
  <c r="S2383" i="16"/>
  <c r="S2382" i="16"/>
  <c r="S2381" i="16"/>
  <c r="S2380" i="16"/>
  <c r="S2379" i="16"/>
  <c r="S2378" i="16"/>
  <c r="S2377" i="16"/>
  <c r="S2376" i="16"/>
  <c r="S2375" i="16"/>
  <c r="S2374" i="16"/>
  <c r="S2373" i="16"/>
  <c r="S2372" i="16"/>
  <c r="S2371" i="16"/>
  <c r="S2370" i="16"/>
  <c r="S2369" i="16"/>
  <c r="S2368" i="16"/>
  <c r="S2367" i="16"/>
  <c r="S2366" i="16"/>
  <c r="S2365" i="16"/>
  <c r="S2364" i="16"/>
  <c r="S2363" i="16"/>
  <c r="S2362" i="16"/>
  <c r="S2361" i="16"/>
  <c r="S2360" i="16"/>
  <c r="S2359" i="16"/>
  <c r="S2358" i="16"/>
  <c r="S2357" i="16"/>
  <c r="S2356" i="16"/>
  <c r="S2355" i="16"/>
  <c r="S2354" i="16"/>
  <c r="S2353" i="16"/>
  <c r="S2352" i="16"/>
  <c r="S2351" i="16"/>
  <c r="S2350" i="16"/>
  <c r="S2349" i="16"/>
  <c r="S2348" i="16"/>
  <c r="S2347" i="16"/>
  <c r="S2346" i="16"/>
  <c r="S2345" i="16"/>
  <c r="S2344" i="16"/>
  <c r="S2343" i="16"/>
  <c r="S2342" i="16"/>
  <c r="S2341" i="16"/>
  <c r="S2340" i="16"/>
  <c r="S2339" i="16"/>
  <c r="S2338" i="16"/>
  <c r="S2337" i="16"/>
  <c r="S2336" i="16"/>
  <c r="S2335" i="16"/>
  <c r="S2334" i="16"/>
  <c r="S2333" i="16"/>
  <c r="S2332" i="16"/>
  <c r="S2331" i="16"/>
  <c r="S2330" i="16"/>
  <c r="S2329" i="16"/>
  <c r="S2328" i="16"/>
  <c r="S2327" i="16"/>
  <c r="S2326" i="16"/>
  <c r="S2325" i="16"/>
  <c r="S2324" i="16"/>
  <c r="S2323" i="16"/>
  <c r="S2322" i="16"/>
  <c r="S2321" i="16"/>
  <c r="S2320" i="16"/>
  <c r="S2319" i="16"/>
  <c r="S2318" i="16"/>
  <c r="S2317" i="16"/>
  <c r="S2316" i="16"/>
  <c r="S2315" i="16"/>
  <c r="S2314" i="16"/>
  <c r="S2313" i="16"/>
  <c r="S2312" i="16"/>
  <c r="S2311" i="16"/>
  <c r="S2310" i="16"/>
  <c r="S2309" i="16"/>
  <c r="S2308" i="16"/>
  <c r="S2307" i="16"/>
  <c r="S2306" i="16"/>
  <c r="S2305" i="16"/>
  <c r="S2304" i="16"/>
  <c r="S2303" i="16"/>
  <c r="S2302" i="16"/>
  <c r="S2301" i="16"/>
  <c r="S2300" i="16"/>
  <c r="S2299" i="16"/>
  <c r="S2298" i="16"/>
  <c r="S2297" i="16"/>
  <c r="S2296" i="16"/>
  <c r="S2295" i="16"/>
  <c r="S2294" i="16"/>
  <c r="S2293" i="16"/>
  <c r="S2292" i="16"/>
  <c r="S2291" i="16"/>
  <c r="S2290" i="16"/>
  <c r="S2289" i="16"/>
  <c r="S2288" i="16"/>
  <c r="S2287" i="16"/>
  <c r="S2286" i="16"/>
  <c r="S2285" i="16"/>
  <c r="S2284" i="16"/>
  <c r="S2283" i="16"/>
  <c r="S2282" i="16"/>
  <c r="S2281" i="16"/>
  <c r="S2280" i="16"/>
  <c r="S2279" i="16"/>
  <c r="S2278" i="16"/>
  <c r="S2277" i="16"/>
  <c r="S2276" i="16"/>
  <c r="S2275" i="16"/>
  <c r="S2274" i="16"/>
  <c r="S2273" i="16"/>
  <c r="S2272" i="16"/>
  <c r="S2271" i="16"/>
  <c r="S2270" i="16"/>
  <c r="S2269" i="16"/>
  <c r="S2268" i="16"/>
  <c r="S2267" i="16"/>
  <c r="S2266" i="16"/>
  <c r="S2265" i="16"/>
  <c r="S2264" i="16"/>
  <c r="S2263" i="16"/>
  <c r="S2262" i="16"/>
  <c r="S2261" i="16"/>
  <c r="S2260" i="16"/>
  <c r="S2259" i="16"/>
  <c r="S2258" i="16"/>
  <c r="S2257" i="16"/>
  <c r="S2256" i="16"/>
  <c r="S2255" i="16"/>
  <c r="S2254" i="16"/>
  <c r="S2253" i="16"/>
  <c r="S2252" i="16"/>
  <c r="S2251" i="16"/>
  <c r="S2250" i="16"/>
  <c r="S2249" i="16"/>
  <c r="S2248" i="16"/>
  <c r="S2247" i="16"/>
  <c r="S2246" i="16"/>
  <c r="S2245" i="16"/>
  <c r="S2244" i="16"/>
  <c r="S2243" i="16"/>
  <c r="S2242" i="16"/>
  <c r="S2241" i="16"/>
  <c r="S2240" i="16"/>
  <c r="S2239" i="16"/>
  <c r="S2238" i="16"/>
  <c r="S2237" i="16"/>
  <c r="S2236" i="16"/>
  <c r="S2235" i="16"/>
  <c r="S2234" i="16"/>
  <c r="S2233" i="16"/>
  <c r="S2232" i="16"/>
  <c r="S2231" i="16"/>
  <c r="S2230" i="16"/>
  <c r="S2229" i="16"/>
  <c r="S2228" i="16"/>
  <c r="S2227" i="16"/>
  <c r="S2226" i="16"/>
  <c r="S2225" i="16"/>
  <c r="S2224" i="16"/>
  <c r="S2223" i="16"/>
  <c r="S2222" i="16"/>
  <c r="S2221" i="16"/>
  <c r="S2220" i="16"/>
  <c r="S2219" i="16"/>
  <c r="S2218" i="16"/>
  <c r="S2217" i="16"/>
  <c r="S2216" i="16"/>
  <c r="S2215" i="16"/>
  <c r="S2214" i="16"/>
  <c r="S2213" i="16"/>
  <c r="S2212" i="16"/>
  <c r="S2211" i="16"/>
  <c r="S2210" i="16"/>
  <c r="S2209" i="16"/>
  <c r="S2208" i="16"/>
  <c r="S2207" i="16"/>
  <c r="S2206" i="16"/>
  <c r="S2205" i="16"/>
  <c r="S2204" i="16"/>
  <c r="S2203" i="16"/>
  <c r="S2202" i="16"/>
  <c r="S2201" i="16"/>
  <c r="S2200" i="16"/>
  <c r="S2199" i="16"/>
  <c r="S2198" i="16"/>
  <c r="S2197" i="16"/>
  <c r="S2196" i="16"/>
  <c r="S2195" i="16"/>
  <c r="S2194" i="16"/>
  <c r="S2193" i="16"/>
  <c r="S2192" i="16"/>
  <c r="S2191" i="16"/>
  <c r="S2190" i="16"/>
  <c r="S2189" i="16"/>
  <c r="S2188" i="16"/>
  <c r="S2187" i="16"/>
  <c r="S2186" i="16"/>
  <c r="S2185" i="16"/>
  <c r="S2184" i="16"/>
  <c r="S2183" i="16"/>
  <c r="S2182" i="16"/>
  <c r="S2181" i="16"/>
  <c r="S2180" i="16"/>
  <c r="S2179" i="16"/>
  <c r="S2178" i="16"/>
  <c r="S2177" i="16"/>
  <c r="S2176" i="16"/>
  <c r="S2175" i="16"/>
  <c r="S2174" i="16"/>
  <c r="S2173" i="16"/>
  <c r="S2172" i="16"/>
  <c r="S2171" i="16"/>
  <c r="S2170" i="16"/>
  <c r="S2169" i="16"/>
  <c r="S2168" i="16"/>
  <c r="S2167" i="16"/>
  <c r="S2166" i="16"/>
  <c r="S2165" i="16"/>
  <c r="S2164" i="16"/>
  <c r="S2163" i="16"/>
  <c r="S2162" i="16"/>
  <c r="S2161" i="16"/>
  <c r="S2160" i="16"/>
  <c r="S2159" i="16"/>
  <c r="S2158" i="16"/>
  <c r="S2157" i="16"/>
  <c r="S2156" i="16"/>
  <c r="S2155" i="16"/>
  <c r="S2154" i="16"/>
  <c r="S2153" i="16"/>
  <c r="S2152" i="16"/>
  <c r="S2151" i="16"/>
  <c r="S2150" i="16"/>
  <c r="S2149" i="16"/>
  <c r="S2148" i="16"/>
  <c r="S2147" i="16"/>
  <c r="S2146" i="16"/>
  <c r="S2145" i="16"/>
  <c r="S2144" i="16"/>
  <c r="S2143" i="16"/>
  <c r="S2142" i="16"/>
  <c r="S2141" i="16"/>
  <c r="S2140" i="16"/>
  <c r="S2139" i="16"/>
  <c r="S2138" i="16"/>
  <c r="S2137" i="16"/>
  <c r="S2136" i="16"/>
  <c r="S2135" i="16"/>
  <c r="S2134" i="16"/>
  <c r="S2133" i="16"/>
  <c r="S2132" i="16"/>
  <c r="S2131" i="16"/>
  <c r="S2130" i="16"/>
  <c r="S2129" i="16"/>
  <c r="S2128" i="16"/>
  <c r="S2127" i="16"/>
  <c r="S2126" i="16"/>
  <c r="S2125" i="16"/>
  <c r="S2124" i="16"/>
  <c r="S2123" i="16"/>
  <c r="S2122" i="16"/>
  <c r="S2121" i="16"/>
  <c r="S2120" i="16"/>
  <c r="S2119" i="16"/>
  <c r="S2118" i="16"/>
  <c r="S2117" i="16"/>
  <c r="S2116" i="16"/>
  <c r="S2115" i="16"/>
  <c r="S2114" i="16"/>
  <c r="S2113" i="16"/>
  <c r="S2112" i="16"/>
  <c r="S2111" i="16"/>
  <c r="S2110" i="16"/>
  <c r="S2109" i="16"/>
  <c r="S2108" i="16"/>
  <c r="S2107" i="16"/>
  <c r="S2106" i="16"/>
  <c r="S2105" i="16"/>
  <c r="S2104" i="16"/>
  <c r="S2103" i="16"/>
  <c r="S2102" i="16"/>
  <c r="S2101" i="16"/>
  <c r="S2100" i="16"/>
  <c r="S2099" i="16"/>
  <c r="S2098" i="16"/>
  <c r="S2097" i="16"/>
  <c r="S2096" i="16"/>
  <c r="S2095" i="16"/>
  <c r="S2094" i="16"/>
  <c r="S2093" i="16"/>
  <c r="S2092" i="16"/>
  <c r="S2091" i="16"/>
  <c r="S2090" i="16"/>
  <c r="S2089" i="16"/>
  <c r="S2088" i="16"/>
  <c r="S2087" i="16"/>
  <c r="S2086" i="16"/>
  <c r="S2085" i="16"/>
  <c r="S2084" i="16"/>
  <c r="S2083" i="16"/>
  <c r="S2082" i="16"/>
  <c r="S2081" i="16"/>
  <c r="S2080" i="16"/>
  <c r="S2079" i="16"/>
  <c r="S2078" i="16"/>
  <c r="S2077" i="16"/>
  <c r="S2076" i="16"/>
  <c r="S2075" i="16"/>
  <c r="S2074" i="16"/>
  <c r="S2073" i="16"/>
  <c r="S2072" i="16"/>
  <c r="S2071" i="16"/>
  <c r="S2070" i="16"/>
  <c r="S2069" i="16"/>
  <c r="S2068" i="16"/>
  <c r="S2067" i="16"/>
  <c r="S2066" i="16"/>
  <c r="S2065" i="16"/>
  <c r="S2064" i="16"/>
  <c r="S2063" i="16"/>
  <c r="S2062" i="16"/>
  <c r="S2061" i="16"/>
  <c r="S2060" i="16"/>
  <c r="S2059" i="16"/>
  <c r="S2058" i="16"/>
  <c r="S2057" i="16"/>
  <c r="S2056" i="16"/>
  <c r="S2055" i="16"/>
  <c r="S2054" i="16"/>
  <c r="S2053" i="16"/>
  <c r="S2052" i="16"/>
  <c r="S2051" i="16"/>
  <c r="S2050" i="16"/>
  <c r="S2049" i="16"/>
  <c r="S2048" i="16"/>
  <c r="S2047" i="16"/>
  <c r="S2046" i="16"/>
  <c r="S2045" i="16"/>
  <c r="S2044" i="16"/>
  <c r="S2043" i="16"/>
  <c r="S2042" i="16"/>
  <c r="S2041" i="16"/>
  <c r="S2040" i="16"/>
  <c r="S2039" i="16"/>
  <c r="S2038" i="16"/>
  <c r="S2037" i="16"/>
  <c r="S2036" i="16"/>
  <c r="S2035" i="16"/>
  <c r="S2034" i="16"/>
  <c r="S2033" i="16"/>
  <c r="S2032" i="16"/>
  <c r="S2031" i="16"/>
  <c r="S2030" i="16"/>
  <c r="S2029" i="16"/>
  <c r="S2028" i="16"/>
  <c r="S2027" i="16"/>
  <c r="S2026" i="16"/>
  <c r="S2025" i="16"/>
  <c r="S2024" i="16"/>
  <c r="S2023" i="16"/>
  <c r="S2022" i="16"/>
  <c r="S2021" i="16"/>
  <c r="S2020" i="16"/>
  <c r="S2019" i="16"/>
  <c r="S2018" i="16"/>
  <c r="S2017" i="16"/>
  <c r="S2016" i="16"/>
  <c r="S2015" i="16"/>
  <c r="S2014" i="16"/>
  <c r="S2013" i="16"/>
  <c r="S2012" i="16"/>
  <c r="S2011" i="16"/>
  <c r="S2010" i="16"/>
  <c r="S2009" i="16"/>
  <c r="S2008" i="16"/>
  <c r="S2007" i="16"/>
  <c r="S2006" i="16"/>
  <c r="S2005" i="16"/>
  <c r="S2004" i="16"/>
  <c r="S2003" i="16"/>
  <c r="S2002" i="16"/>
  <c r="S2001" i="16"/>
  <c r="S2000" i="16"/>
  <c r="S1999" i="16"/>
  <c r="S1998" i="16"/>
  <c r="S1997" i="16"/>
  <c r="S1996" i="16"/>
  <c r="S1995" i="16"/>
  <c r="S1994" i="16"/>
  <c r="S1993" i="16"/>
  <c r="S1992" i="16"/>
  <c r="S1991" i="16"/>
  <c r="S1990" i="16"/>
  <c r="S1989" i="16"/>
  <c r="S1988" i="16"/>
  <c r="S1987" i="16"/>
  <c r="S1986" i="16"/>
  <c r="S1985" i="16"/>
  <c r="S1984" i="16"/>
  <c r="S1983" i="16"/>
  <c r="S1982" i="16"/>
  <c r="S1981" i="16"/>
  <c r="S1980" i="16"/>
  <c r="S1979" i="16"/>
  <c r="S1978" i="16"/>
  <c r="S1977" i="16"/>
  <c r="S1976" i="16"/>
  <c r="S1975" i="16"/>
  <c r="S1974" i="16"/>
  <c r="S1973" i="16"/>
  <c r="S1972" i="16"/>
  <c r="S1971" i="16"/>
  <c r="S1970" i="16"/>
  <c r="S1969" i="16"/>
  <c r="S1968" i="16"/>
  <c r="S1967" i="16"/>
  <c r="S1966" i="16"/>
  <c r="S1965" i="16"/>
  <c r="S1964" i="16"/>
  <c r="S1963" i="16"/>
  <c r="S1962" i="16"/>
  <c r="S1961" i="16"/>
  <c r="S1960" i="16"/>
  <c r="S1959" i="16"/>
  <c r="S1958" i="16"/>
  <c r="S1957" i="16"/>
  <c r="S1956" i="16"/>
  <c r="S1955" i="16"/>
  <c r="S1954" i="16"/>
  <c r="S1953" i="16"/>
  <c r="S1952" i="16"/>
  <c r="S1951" i="16"/>
  <c r="S1950" i="16"/>
  <c r="S1949" i="16"/>
  <c r="S1948" i="16"/>
  <c r="S1947" i="16"/>
  <c r="S1946" i="16"/>
  <c r="S1945" i="16"/>
  <c r="S1944" i="16"/>
  <c r="S1943" i="16"/>
  <c r="S1942" i="16"/>
  <c r="S1941" i="16"/>
  <c r="S1940" i="16"/>
  <c r="S1939" i="16"/>
  <c r="S1938" i="16"/>
  <c r="S1937" i="16"/>
  <c r="S1936" i="16"/>
  <c r="S1935" i="16"/>
  <c r="S1934" i="16"/>
  <c r="S1933" i="16"/>
  <c r="S1932" i="16"/>
  <c r="S1931" i="16"/>
  <c r="S1930" i="16"/>
  <c r="S1929" i="16"/>
  <c r="S1928" i="16"/>
  <c r="S1927" i="16"/>
  <c r="S1926" i="16"/>
  <c r="S1925" i="16"/>
  <c r="S1924" i="16"/>
  <c r="S1923" i="16"/>
  <c r="S1922" i="16"/>
  <c r="S1921" i="16"/>
  <c r="S1920" i="16"/>
  <c r="S1919" i="16"/>
  <c r="S1918" i="16"/>
  <c r="S1917" i="16"/>
  <c r="S1916" i="16"/>
  <c r="S1915" i="16"/>
  <c r="S1914" i="16"/>
  <c r="S1913" i="16"/>
  <c r="S1912" i="16"/>
  <c r="S1911" i="16"/>
  <c r="S1910" i="16"/>
  <c r="S1909" i="16"/>
  <c r="S1908" i="16"/>
  <c r="S1907" i="16"/>
  <c r="S1906" i="16"/>
  <c r="S1905" i="16"/>
  <c r="S1904" i="16"/>
  <c r="S1903" i="16"/>
  <c r="S1902" i="16"/>
  <c r="S1901" i="16"/>
  <c r="S1900" i="16"/>
  <c r="S1899" i="16"/>
  <c r="S1898" i="16"/>
  <c r="S1897" i="16"/>
  <c r="S1896" i="16"/>
  <c r="S1895" i="16"/>
  <c r="S1894" i="16"/>
  <c r="S1893" i="16"/>
  <c r="S1892" i="16"/>
  <c r="S1891" i="16"/>
  <c r="S1890" i="16"/>
  <c r="S1889" i="16"/>
  <c r="S1888" i="16"/>
  <c r="S1887" i="16"/>
  <c r="S1886" i="16"/>
  <c r="S1885" i="16"/>
  <c r="S1884" i="16"/>
  <c r="S1883" i="16"/>
  <c r="S1882" i="16"/>
  <c r="S1881" i="16"/>
  <c r="S1880" i="16"/>
  <c r="S1879" i="16"/>
  <c r="S1878" i="16"/>
  <c r="S1877" i="16"/>
  <c r="S1876" i="16"/>
  <c r="S1875" i="16"/>
  <c r="S1874" i="16"/>
  <c r="S1873" i="16"/>
  <c r="S1872" i="16"/>
  <c r="S1871" i="16"/>
  <c r="S1870" i="16"/>
  <c r="S1869" i="16"/>
  <c r="S1868" i="16"/>
  <c r="S1867" i="16"/>
  <c r="S1866" i="16"/>
  <c r="S1865" i="16"/>
  <c r="S1864" i="16"/>
  <c r="S1863" i="16"/>
  <c r="S1862" i="16"/>
  <c r="S1861" i="16"/>
  <c r="S1860" i="16"/>
  <c r="S1859" i="16"/>
  <c r="S1858" i="16"/>
  <c r="S1857" i="16"/>
  <c r="S1856" i="16"/>
  <c r="S1855" i="16"/>
  <c r="S1854" i="16"/>
  <c r="S1853" i="16"/>
  <c r="S1852" i="16"/>
  <c r="S1851" i="16"/>
  <c r="S1850" i="16"/>
  <c r="S1849" i="16"/>
  <c r="S1848" i="16"/>
  <c r="S1847" i="16"/>
  <c r="S1846" i="16"/>
  <c r="S1845" i="16"/>
  <c r="S1844" i="16"/>
  <c r="S1843" i="16"/>
  <c r="S1842" i="16"/>
  <c r="S1841" i="16"/>
  <c r="S1840" i="16"/>
  <c r="S1839" i="16"/>
  <c r="S1838" i="16"/>
  <c r="S1837" i="16"/>
  <c r="S1836" i="16"/>
  <c r="S1835" i="16"/>
  <c r="S1834" i="16"/>
  <c r="S1833" i="16"/>
  <c r="S1832" i="16"/>
  <c r="S1831" i="16"/>
  <c r="S1830" i="16"/>
  <c r="S1829" i="16"/>
  <c r="S1828" i="16"/>
  <c r="S1827" i="16"/>
  <c r="S1826" i="16"/>
  <c r="S1825" i="16"/>
  <c r="S1824" i="16"/>
  <c r="S1823" i="16"/>
  <c r="S1822" i="16"/>
  <c r="S1821" i="16"/>
  <c r="S1820" i="16"/>
  <c r="S1819" i="16"/>
  <c r="S1818" i="16"/>
  <c r="S1817" i="16"/>
  <c r="S1816" i="16"/>
  <c r="S1815" i="16"/>
  <c r="S1814" i="16"/>
  <c r="S1813" i="16"/>
  <c r="S1812" i="16"/>
  <c r="S1811" i="16"/>
  <c r="S1810" i="16"/>
  <c r="S1809" i="16"/>
  <c r="S1808" i="16"/>
  <c r="S1807" i="16"/>
  <c r="S1806" i="16"/>
  <c r="S1805" i="16"/>
  <c r="S1804" i="16"/>
  <c r="S1803" i="16"/>
  <c r="S1802" i="16"/>
  <c r="S1801" i="16"/>
  <c r="S1800" i="16"/>
  <c r="S1799" i="16"/>
  <c r="S1798" i="16"/>
  <c r="S1797" i="16"/>
  <c r="S1796" i="16"/>
  <c r="S1795" i="16"/>
  <c r="S1794" i="16"/>
  <c r="S1793" i="16"/>
  <c r="S1792" i="16"/>
  <c r="S1791" i="16"/>
  <c r="S1790" i="16"/>
  <c r="S1789" i="16"/>
  <c r="S1788" i="16"/>
  <c r="S1787" i="16"/>
  <c r="S1786" i="16"/>
  <c r="S1785" i="16"/>
  <c r="S1784" i="16"/>
  <c r="S1783" i="16"/>
  <c r="S1782" i="16"/>
  <c r="S1781" i="16"/>
  <c r="S1780" i="16"/>
  <c r="S1779" i="16"/>
  <c r="S1778" i="16"/>
  <c r="S1777" i="16"/>
  <c r="S1776" i="16"/>
  <c r="S1775" i="16"/>
  <c r="S1774" i="16"/>
  <c r="S1773" i="16"/>
  <c r="S1772" i="16"/>
  <c r="S1771" i="16"/>
  <c r="S1770" i="16"/>
  <c r="S1769" i="16"/>
  <c r="S1768" i="16"/>
  <c r="S1767" i="16"/>
  <c r="S1766" i="16"/>
  <c r="S1765" i="16"/>
  <c r="S1764" i="16"/>
  <c r="S1763" i="16"/>
  <c r="S1762" i="16"/>
  <c r="S1761" i="16"/>
  <c r="S1760" i="16"/>
  <c r="S1759" i="16"/>
  <c r="S1758" i="16"/>
  <c r="S1757" i="16"/>
  <c r="S1756" i="16"/>
  <c r="S1755" i="16"/>
  <c r="S1754" i="16"/>
  <c r="S1753" i="16"/>
  <c r="S1752" i="16"/>
  <c r="S1751" i="16"/>
  <c r="S1750" i="16"/>
  <c r="S1749" i="16"/>
  <c r="S1748" i="16"/>
  <c r="S1747" i="16"/>
  <c r="S1746" i="16"/>
  <c r="S1745" i="16"/>
  <c r="S1744" i="16"/>
  <c r="S1743" i="16"/>
  <c r="S1742" i="16"/>
  <c r="S1741" i="16"/>
  <c r="S1740" i="16"/>
  <c r="S1739" i="16"/>
  <c r="S1738" i="16"/>
  <c r="S1737" i="16"/>
  <c r="S1736" i="16"/>
  <c r="S1735" i="16"/>
  <c r="S1734" i="16"/>
  <c r="S1733" i="16"/>
  <c r="S1732" i="16"/>
  <c r="S1731" i="16"/>
  <c r="S1730" i="16"/>
  <c r="S1729" i="16"/>
  <c r="S1728" i="16"/>
  <c r="S1727" i="16"/>
  <c r="S1726" i="16"/>
  <c r="S1725" i="16"/>
  <c r="S1724" i="16"/>
  <c r="S1723" i="16"/>
  <c r="S1722" i="16"/>
  <c r="S1721" i="16"/>
  <c r="S1720" i="16"/>
  <c r="S1719" i="16"/>
  <c r="S1718" i="16"/>
  <c r="S1717" i="16"/>
  <c r="S1716" i="16"/>
  <c r="S1715" i="16"/>
  <c r="S1714" i="16"/>
  <c r="S1713" i="16"/>
  <c r="S1712" i="16"/>
  <c r="S1711" i="16"/>
  <c r="S1710" i="16"/>
  <c r="S1709" i="16"/>
  <c r="S1708" i="16"/>
  <c r="S1707" i="16"/>
  <c r="S1706" i="16"/>
  <c r="S1705" i="16"/>
  <c r="S1704" i="16"/>
  <c r="S1703" i="16"/>
  <c r="S1702" i="16"/>
  <c r="S1701" i="16"/>
  <c r="S1700" i="16"/>
  <c r="S1699" i="16"/>
  <c r="S1698" i="16"/>
  <c r="S1697" i="16"/>
  <c r="S1696" i="16"/>
  <c r="S1695" i="16"/>
  <c r="S1694" i="16"/>
  <c r="S1693" i="16"/>
  <c r="S1692" i="16"/>
  <c r="S1691" i="16"/>
  <c r="S1690" i="16"/>
  <c r="S1689" i="16"/>
  <c r="S1688" i="16"/>
  <c r="S1687" i="16"/>
  <c r="S1686" i="16"/>
  <c r="S1685" i="16"/>
  <c r="S1684" i="16"/>
  <c r="S1683" i="16"/>
  <c r="S1682" i="16"/>
  <c r="S1681" i="16"/>
  <c r="S1680" i="16"/>
  <c r="S1679" i="16"/>
  <c r="S1678" i="16"/>
  <c r="S1677" i="16"/>
  <c r="S1676" i="16"/>
  <c r="S1675" i="16"/>
  <c r="S1674" i="16"/>
  <c r="S1673" i="16"/>
  <c r="S1672" i="16"/>
  <c r="S1671" i="16"/>
  <c r="S1670" i="16"/>
  <c r="S1669" i="16"/>
  <c r="S1668" i="16"/>
  <c r="S1667" i="16"/>
  <c r="S1666" i="16"/>
  <c r="S1665" i="16"/>
  <c r="S1664" i="16"/>
  <c r="S1663" i="16"/>
  <c r="S1662" i="16"/>
  <c r="S1661" i="16"/>
  <c r="S1660" i="16"/>
  <c r="S1659" i="16"/>
  <c r="S1658" i="16"/>
  <c r="S1657" i="16"/>
  <c r="S1656" i="16"/>
  <c r="S1655" i="16"/>
  <c r="S1654" i="16"/>
  <c r="S1653" i="16"/>
  <c r="S1652" i="16"/>
  <c r="S1651" i="16"/>
  <c r="S1650" i="16"/>
  <c r="S1649" i="16"/>
  <c r="S1648" i="16"/>
  <c r="S1647" i="16"/>
  <c r="S1646" i="16"/>
  <c r="S1645" i="16"/>
  <c r="S1644" i="16"/>
  <c r="S1643" i="16"/>
  <c r="S1642" i="16"/>
  <c r="S1641" i="16"/>
  <c r="S1640" i="16"/>
  <c r="S1639" i="16"/>
  <c r="S1638" i="16"/>
  <c r="S1637" i="16"/>
  <c r="S1636" i="16"/>
  <c r="S1635" i="16"/>
  <c r="S1634" i="16"/>
  <c r="S1633" i="16"/>
  <c r="S1632" i="16"/>
  <c r="S1631" i="16"/>
  <c r="S1630" i="16"/>
  <c r="S1629" i="16"/>
  <c r="S1628" i="16"/>
  <c r="S1627" i="16"/>
  <c r="S1626" i="16"/>
  <c r="S1625" i="16"/>
  <c r="S1624" i="16"/>
  <c r="S1623" i="16"/>
  <c r="S1622" i="16"/>
  <c r="S1621" i="16"/>
  <c r="S1620" i="16"/>
  <c r="S1619" i="16"/>
  <c r="S1618" i="16"/>
  <c r="S1617" i="16"/>
  <c r="S1616" i="16"/>
  <c r="S1615" i="16"/>
  <c r="S1614" i="16"/>
  <c r="S1613" i="16"/>
  <c r="S1612" i="16"/>
  <c r="S1611" i="16"/>
  <c r="S1610" i="16"/>
  <c r="S1609" i="16"/>
  <c r="S1608" i="16"/>
  <c r="S1607" i="16"/>
  <c r="S1606" i="16"/>
  <c r="S1605" i="16"/>
  <c r="S1604" i="16"/>
  <c r="S1603" i="16"/>
  <c r="S1602" i="16"/>
  <c r="S1601" i="16"/>
  <c r="S1600" i="16"/>
  <c r="S1599" i="16"/>
  <c r="S1598" i="16"/>
  <c r="S1597" i="16"/>
  <c r="S1596" i="16"/>
  <c r="S1595" i="16"/>
  <c r="S1594" i="16"/>
  <c r="S1593" i="16"/>
  <c r="S1592" i="16"/>
  <c r="S1591" i="16"/>
  <c r="S1590" i="16"/>
  <c r="S1589" i="16"/>
  <c r="S1588" i="16"/>
  <c r="S1587" i="16"/>
  <c r="S1586" i="16"/>
  <c r="S1585" i="16"/>
  <c r="S1584" i="16"/>
  <c r="S1583" i="16"/>
  <c r="S1582" i="16"/>
  <c r="S1581" i="16"/>
  <c r="S1580" i="16"/>
  <c r="S1579" i="16"/>
  <c r="S1578" i="16"/>
  <c r="S1577" i="16"/>
  <c r="S1576" i="16"/>
  <c r="S1575" i="16"/>
  <c r="S1574" i="16"/>
  <c r="S1573" i="16"/>
  <c r="S1572" i="16"/>
  <c r="S1571" i="16"/>
  <c r="S1570" i="16"/>
  <c r="S1569" i="16"/>
  <c r="S1568" i="16"/>
  <c r="S1567" i="16"/>
  <c r="S1566" i="16"/>
  <c r="S1565" i="16"/>
  <c r="S1564" i="16"/>
  <c r="S1563" i="16"/>
  <c r="S1562" i="16"/>
  <c r="S1561" i="16"/>
  <c r="S1560" i="16"/>
  <c r="S1559" i="16"/>
  <c r="S1558" i="16"/>
  <c r="S1557" i="16"/>
  <c r="S1556" i="16"/>
  <c r="S1555" i="16"/>
  <c r="S1554" i="16"/>
  <c r="S1553" i="16"/>
  <c r="S1552" i="16"/>
  <c r="S1551" i="16"/>
  <c r="S1550" i="16"/>
  <c r="S1549" i="16"/>
  <c r="S1548" i="16"/>
  <c r="S1547" i="16"/>
  <c r="S1546" i="16"/>
  <c r="S1545" i="16"/>
  <c r="S1544" i="16"/>
  <c r="S1543" i="16"/>
  <c r="S1542" i="16"/>
  <c r="S1541" i="16"/>
  <c r="S1540" i="16"/>
  <c r="S1539" i="16"/>
  <c r="S1538" i="16"/>
  <c r="S1537" i="16"/>
  <c r="S1536" i="16"/>
  <c r="S1535" i="16"/>
  <c r="S1534" i="16"/>
  <c r="S1533" i="16"/>
  <c r="S1532" i="16"/>
  <c r="S1531" i="16"/>
  <c r="S1530" i="16"/>
  <c r="S1529" i="16"/>
  <c r="S1528" i="16"/>
  <c r="S1527" i="16"/>
  <c r="S1526" i="16"/>
  <c r="S1525" i="16"/>
  <c r="S1524" i="16"/>
  <c r="S1523" i="16"/>
  <c r="S1522" i="16"/>
  <c r="S1521" i="16"/>
  <c r="S1520" i="16"/>
  <c r="S1519" i="16"/>
  <c r="S1518" i="16"/>
  <c r="S1517" i="16"/>
  <c r="S1516" i="16"/>
  <c r="S1515" i="16"/>
  <c r="S1514" i="16"/>
  <c r="S1513" i="16"/>
  <c r="S1512" i="16"/>
  <c r="S1511" i="16"/>
  <c r="S1510" i="16"/>
  <c r="S1509" i="16"/>
  <c r="S1508" i="16"/>
  <c r="S1507" i="16"/>
  <c r="S1506" i="16"/>
  <c r="S1505" i="16"/>
  <c r="S1504" i="16"/>
  <c r="S1503" i="16"/>
  <c r="S1502" i="16"/>
  <c r="S1501" i="16"/>
  <c r="S1500" i="16"/>
  <c r="S1499" i="16"/>
  <c r="S1498" i="16"/>
  <c r="S1497" i="16"/>
  <c r="S1496" i="16"/>
  <c r="S1495" i="16"/>
  <c r="S1494" i="16"/>
  <c r="S1493" i="16"/>
  <c r="S1492" i="16"/>
  <c r="S1491" i="16"/>
  <c r="S1490" i="16"/>
  <c r="S1489" i="16"/>
  <c r="S1488" i="16"/>
  <c r="S1487" i="16"/>
  <c r="S1486" i="16"/>
  <c r="S1485" i="16"/>
  <c r="S1484" i="16"/>
  <c r="S1483" i="16"/>
  <c r="S1482" i="16"/>
  <c r="S1481" i="16"/>
  <c r="S1480" i="16"/>
  <c r="S1479" i="16"/>
  <c r="S1478" i="16"/>
  <c r="S1477" i="16"/>
  <c r="S1476" i="16"/>
  <c r="S1475" i="16"/>
  <c r="S1474" i="16"/>
  <c r="S1473" i="16"/>
  <c r="S1472" i="16"/>
  <c r="S1471" i="16"/>
  <c r="S1470" i="16"/>
  <c r="S1469" i="16"/>
  <c r="S1468" i="16"/>
  <c r="S1467" i="16"/>
  <c r="S1466" i="16"/>
  <c r="S1465" i="16"/>
  <c r="S1464" i="16"/>
  <c r="S1463" i="16"/>
  <c r="S1462" i="16"/>
  <c r="S1461" i="16"/>
  <c r="S1460" i="16"/>
  <c r="S1459" i="16"/>
  <c r="S1458" i="16"/>
  <c r="S1457" i="16"/>
  <c r="S1456" i="16"/>
  <c r="S1455" i="16"/>
  <c r="S1454" i="16"/>
  <c r="S1453" i="16"/>
  <c r="S1452" i="16"/>
  <c r="S1451" i="16"/>
  <c r="S1450" i="16"/>
  <c r="S1449" i="16"/>
  <c r="S1448" i="16"/>
  <c r="S1447" i="16"/>
  <c r="S1446" i="16"/>
  <c r="S1445" i="16"/>
  <c r="S1444" i="16"/>
  <c r="S1443" i="16"/>
  <c r="S1442" i="16"/>
  <c r="S1441" i="16"/>
  <c r="S1440" i="16"/>
  <c r="S1439" i="16"/>
  <c r="S1438" i="16"/>
  <c r="S1437" i="16"/>
  <c r="S1436" i="16"/>
  <c r="S1435" i="16"/>
  <c r="S1434" i="16"/>
  <c r="S1433" i="16"/>
  <c r="S1432" i="16"/>
  <c r="S1431" i="16"/>
  <c r="S1430" i="16"/>
  <c r="S1429" i="16"/>
  <c r="S1428" i="16"/>
  <c r="S1427" i="16"/>
  <c r="S1426" i="16"/>
  <c r="S1425" i="16"/>
  <c r="S1424" i="16"/>
  <c r="S1423" i="16"/>
  <c r="S1422" i="16"/>
  <c r="S1421" i="16"/>
  <c r="S1420" i="16"/>
  <c r="S1419" i="16"/>
  <c r="S1418" i="16"/>
  <c r="S1417" i="16"/>
  <c r="S1416" i="16"/>
  <c r="S1415" i="16"/>
  <c r="S1414" i="16"/>
  <c r="S1413" i="16"/>
  <c r="S1412" i="16"/>
  <c r="S1411" i="16"/>
  <c r="S1410" i="16"/>
  <c r="S1409" i="16"/>
  <c r="S1408" i="16"/>
  <c r="S1407" i="16"/>
  <c r="S1406" i="16"/>
  <c r="S1405" i="16"/>
  <c r="S1404" i="16"/>
  <c r="S1403" i="16"/>
  <c r="S1402" i="16"/>
  <c r="S1401" i="16"/>
  <c r="S1400" i="16"/>
  <c r="S1399" i="16"/>
  <c r="S1398" i="16"/>
  <c r="S1397" i="16"/>
  <c r="S1396" i="16"/>
  <c r="S1395" i="16"/>
  <c r="S1394" i="16"/>
  <c r="S1393" i="16"/>
  <c r="S1392" i="16"/>
  <c r="S1391" i="16"/>
  <c r="S1390" i="16"/>
  <c r="S1389" i="16"/>
  <c r="S1388" i="16"/>
  <c r="S1387" i="16"/>
  <c r="S1386" i="16"/>
  <c r="S1385" i="16"/>
  <c r="S1384" i="16"/>
  <c r="S1383" i="16"/>
  <c r="S1382" i="16"/>
  <c r="S1381" i="16"/>
  <c r="S1380" i="16"/>
  <c r="S1379" i="16"/>
  <c r="S1378" i="16"/>
  <c r="S1377" i="16"/>
  <c r="S1376" i="16"/>
  <c r="S1375" i="16"/>
  <c r="S1374" i="16"/>
  <c r="S1373" i="16"/>
  <c r="S1372" i="16"/>
  <c r="S1371" i="16"/>
  <c r="S1370" i="16"/>
  <c r="S1369" i="16"/>
  <c r="S1368" i="16"/>
  <c r="S1367" i="16"/>
  <c r="S1366" i="16"/>
  <c r="S1365" i="16"/>
  <c r="S1364" i="16"/>
  <c r="S1363" i="16"/>
  <c r="S1362" i="16"/>
  <c r="S1361" i="16"/>
  <c r="S1360" i="16"/>
  <c r="S1359" i="16"/>
  <c r="S1358" i="16"/>
  <c r="S1357" i="16"/>
  <c r="S1356" i="16"/>
  <c r="S1355" i="16"/>
  <c r="S1354" i="16"/>
  <c r="S1353" i="16"/>
  <c r="S1352" i="16"/>
  <c r="S1351" i="16"/>
  <c r="S1350" i="16"/>
  <c r="S1349" i="16"/>
  <c r="S1348" i="16"/>
  <c r="S1347" i="16"/>
  <c r="S1346" i="16"/>
  <c r="S1345" i="16"/>
  <c r="S1344" i="16"/>
  <c r="S1343" i="16"/>
  <c r="S1342" i="16"/>
  <c r="S1341" i="16"/>
  <c r="S1340" i="16"/>
  <c r="S1339" i="16"/>
  <c r="S1338" i="16"/>
  <c r="S1337" i="16"/>
  <c r="S1336" i="16"/>
  <c r="S1335" i="16"/>
  <c r="S1334" i="16"/>
  <c r="S1333" i="16"/>
  <c r="S1332" i="16"/>
  <c r="S1331" i="16"/>
  <c r="S1330" i="16"/>
  <c r="S1329" i="16"/>
  <c r="S1328" i="16"/>
  <c r="S1327" i="16"/>
  <c r="S1326" i="16"/>
  <c r="S1325" i="16"/>
  <c r="S1324" i="16"/>
  <c r="S1323" i="16"/>
  <c r="S1322" i="16"/>
  <c r="S1321" i="16"/>
  <c r="S1320" i="16"/>
  <c r="S1319" i="16"/>
  <c r="S1318" i="16"/>
  <c r="S1317" i="16"/>
  <c r="S1316" i="16"/>
  <c r="S1315" i="16"/>
  <c r="S1314" i="16"/>
  <c r="S1313" i="16"/>
  <c r="S1312" i="16"/>
  <c r="S1311" i="16"/>
  <c r="S1310" i="16"/>
  <c r="S1309" i="16"/>
  <c r="S1308" i="16"/>
  <c r="S1307" i="16"/>
  <c r="S1306" i="16"/>
  <c r="S1305" i="16"/>
  <c r="S1304" i="16"/>
  <c r="S1303" i="16"/>
  <c r="S1302" i="16"/>
  <c r="S1301" i="16"/>
  <c r="S1300" i="16"/>
  <c r="S1212" i="16"/>
  <c r="S1211" i="16"/>
  <c r="S1210" i="16"/>
  <c r="S1209" i="16"/>
  <c r="S1208" i="16"/>
  <c r="S1207" i="16"/>
  <c r="S1206" i="16"/>
  <c r="S1205" i="16"/>
  <c r="S1204" i="16"/>
  <c r="S1203" i="16"/>
  <c r="S1202" i="16"/>
  <c r="S1201" i="16"/>
  <c r="S1200" i="16"/>
  <c r="S1199" i="16"/>
  <c r="S1198" i="16"/>
  <c r="S1197" i="16"/>
  <c r="S1196" i="16"/>
  <c r="S1195" i="16"/>
  <c r="S1194" i="16"/>
  <c r="S1193" i="16"/>
  <c r="S1192" i="16"/>
  <c r="S1191" i="16"/>
  <c r="S1190" i="16"/>
  <c r="S1189" i="16"/>
  <c r="S1188" i="16"/>
  <c r="S1187" i="16"/>
  <c r="S1186" i="16"/>
  <c r="S1185" i="16"/>
  <c r="S1184" i="16"/>
  <c r="S1183" i="16"/>
  <c r="S1182" i="16"/>
  <c r="S1181" i="16"/>
  <c r="S1180" i="16"/>
  <c r="S1179" i="16"/>
  <c r="S1178" i="16"/>
  <c r="S1177" i="16"/>
  <c r="S1176" i="16"/>
  <c r="S1175" i="16"/>
  <c r="S1174" i="16"/>
  <c r="S1173" i="16"/>
  <c r="S1172" i="16"/>
  <c r="S1171" i="16"/>
  <c r="S1170" i="16"/>
  <c r="S1169" i="16"/>
  <c r="S1168" i="16"/>
  <c r="S1167" i="16"/>
  <c r="S1166" i="16"/>
  <c r="S1165" i="16"/>
  <c r="S1164" i="16"/>
  <c r="S1163" i="16"/>
  <c r="S1162" i="16"/>
  <c r="S1161" i="16"/>
  <c r="S1160" i="16"/>
  <c r="S1159" i="16"/>
  <c r="S1158" i="16"/>
  <c r="S1157" i="16"/>
  <c r="S1156" i="16"/>
  <c r="S1155" i="16"/>
  <c r="S1154" i="16"/>
  <c r="S1153" i="16"/>
  <c r="S1152" i="16"/>
  <c r="S1151" i="16"/>
  <c r="S1150" i="16"/>
  <c r="S1149" i="16"/>
  <c r="S1148" i="16"/>
  <c r="S1147" i="16"/>
  <c r="S1146" i="16"/>
  <c r="S1145" i="16"/>
  <c r="S1144" i="16"/>
  <c r="S1143" i="16"/>
  <c r="S1142" i="16"/>
  <c r="S1141" i="16"/>
  <c r="S1140" i="16"/>
  <c r="S1139" i="16"/>
  <c r="S1138" i="16"/>
  <c r="S1137" i="16"/>
  <c r="S1136" i="16"/>
  <c r="S1135" i="16"/>
  <c r="S1134" i="16"/>
  <c r="S1133" i="16"/>
  <c r="S1132" i="16"/>
  <c r="S1131" i="16"/>
  <c r="S1130" i="16"/>
  <c r="S1129" i="16"/>
  <c r="S1128" i="16"/>
  <c r="S1127" i="16"/>
  <c r="S1126" i="16"/>
  <c r="S1125" i="16"/>
  <c r="S1124" i="16"/>
  <c r="S1123" i="16"/>
  <c r="S1122" i="16"/>
  <c r="S1121" i="16"/>
  <c r="S1120" i="16"/>
  <c r="S1119" i="16"/>
  <c r="S1118" i="16"/>
  <c r="S1117" i="16"/>
  <c r="S1116" i="16"/>
  <c r="S1115" i="16"/>
  <c r="S1114" i="16"/>
  <c r="S1113" i="16"/>
  <c r="S1112" i="16"/>
  <c r="S1111" i="16"/>
  <c r="S1110" i="16"/>
  <c r="S1109" i="16"/>
  <c r="S1108" i="16"/>
  <c r="S1107" i="16"/>
  <c r="S1106" i="16"/>
  <c r="S1105" i="16"/>
  <c r="S1104" i="16"/>
  <c r="S1103" i="16"/>
  <c r="S1102" i="16"/>
  <c r="S1101" i="16"/>
  <c r="S1100" i="16"/>
  <c r="S1099" i="16"/>
  <c r="S1098" i="16"/>
  <c r="S1097" i="16"/>
  <c r="S1096" i="16"/>
  <c r="S1095" i="16"/>
  <c r="S1094" i="16"/>
  <c r="S1093" i="16"/>
  <c r="S1092" i="16"/>
  <c r="S1091" i="16"/>
  <c r="S1090" i="16"/>
  <c r="S1089" i="16"/>
  <c r="S1088" i="16"/>
  <c r="S1087" i="16"/>
  <c r="S1086" i="16"/>
  <c r="S1085" i="16"/>
  <c r="S1084" i="16"/>
  <c r="S1083" i="16"/>
  <c r="S1082" i="16"/>
  <c r="S1081" i="16"/>
  <c r="S1080" i="16"/>
  <c r="S1079" i="16"/>
  <c r="S1078" i="16"/>
  <c r="S1077" i="16"/>
  <c r="S1076" i="16"/>
  <c r="S1075" i="16"/>
  <c r="S1074" i="16"/>
  <c r="S1073" i="16"/>
  <c r="S1072" i="16"/>
  <c r="S1071" i="16"/>
  <c r="S1070" i="16"/>
  <c r="S1069" i="16"/>
  <c r="S1068" i="16"/>
  <c r="S1067" i="16"/>
  <c r="S1066" i="16"/>
  <c r="S1065" i="16"/>
  <c r="S1064" i="16"/>
  <c r="S1063" i="16"/>
  <c r="S1062" i="16"/>
  <c r="S1061" i="16"/>
  <c r="S1060" i="16"/>
  <c r="S1059" i="16"/>
  <c r="S1058" i="16"/>
  <c r="S1057" i="16"/>
  <c r="S1056" i="16"/>
  <c r="S1055" i="16"/>
  <c r="S1054" i="16"/>
  <c r="S1053" i="16"/>
  <c r="S1052" i="16"/>
  <c r="S1051" i="16"/>
  <c r="S1050" i="16"/>
  <c r="S1049" i="16"/>
  <c r="S1048" i="16"/>
  <c r="S1047" i="16"/>
  <c r="S1046" i="16"/>
  <c r="S1045" i="16"/>
  <c r="S1044" i="16"/>
  <c r="S1043" i="16"/>
  <c r="S1042" i="16"/>
  <c r="S1041" i="16"/>
  <c r="S1040" i="16"/>
  <c r="S1039" i="16"/>
  <c r="S1038" i="16"/>
  <c r="S1037" i="16"/>
  <c r="S1036" i="16"/>
  <c r="S1035" i="16"/>
  <c r="S1034" i="16"/>
  <c r="S1033" i="16"/>
  <c r="S1032" i="16"/>
  <c r="S1031" i="16"/>
  <c r="S1030" i="16"/>
  <c r="S1029" i="16"/>
  <c r="S1028" i="16"/>
  <c r="S1027" i="16"/>
  <c r="S1026" i="16"/>
  <c r="S1025" i="16"/>
  <c r="S1024" i="16"/>
  <c r="S1023" i="16"/>
  <c r="S1022" i="16"/>
  <c r="S1021" i="16"/>
  <c r="S1020" i="16"/>
  <c r="S1019" i="16"/>
  <c r="S1018" i="16"/>
  <c r="S1017" i="16"/>
  <c r="S1016" i="16"/>
  <c r="S1015" i="16"/>
  <c r="S1014" i="16"/>
  <c r="S1013" i="16"/>
  <c r="S1012" i="16"/>
  <c r="S1011" i="16"/>
  <c r="S1010" i="16"/>
  <c r="S1009" i="16"/>
  <c r="S1008" i="16"/>
  <c r="S1007" i="16"/>
  <c r="S1006" i="16"/>
  <c r="S1005" i="16"/>
  <c r="S1004" i="16"/>
  <c r="S1003" i="16"/>
  <c r="S1002" i="16"/>
  <c r="S1001" i="16"/>
  <c r="S1000" i="16"/>
  <c r="S999" i="16"/>
  <c r="S998" i="16"/>
  <c r="S997" i="16"/>
  <c r="S996" i="16"/>
  <c r="S995" i="16"/>
  <c r="S994" i="16"/>
  <c r="S993" i="16"/>
  <c r="S992" i="16"/>
  <c r="S991" i="16"/>
  <c r="S990" i="16"/>
  <c r="S989" i="16"/>
  <c r="S988" i="16"/>
  <c r="S987" i="16"/>
  <c r="S986" i="16"/>
  <c r="S985" i="16"/>
  <c r="S984" i="16"/>
  <c r="S983" i="16"/>
  <c r="S982" i="16"/>
  <c r="S981" i="16"/>
  <c r="S980" i="16"/>
  <c r="S979" i="16"/>
  <c r="S978" i="16"/>
  <c r="S977" i="16"/>
  <c r="S976" i="16"/>
  <c r="S975" i="16"/>
  <c r="S974" i="16"/>
  <c r="S973" i="16"/>
  <c r="S972" i="16"/>
  <c r="S971" i="16"/>
  <c r="S970" i="16"/>
  <c r="S969" i="16"/>
  <c r="S968" i="16"/>
  <c r="S967" i="16"/>
  <c r="S966" i="16"/>
  <c r="S965" i="16"/>
  <c r="S964" i="16"/>
  <c r="S963" i="16"/>
  <c r="S962" i="16"/>
  <c r="S961" i="16"/>
  <c r="S960" i="16"/>
  <c r="S959" i="16"/>
  <c r="S958" i="16"/>
  <c r="S957" i="16"/>
  <c r="S956" i="16"/>
  <c r="S955" i="16"/>
  <c r="S954" i="16"/>
  <c r="S953" i="16"/>
  <c r="S952" i="16"/>
  <c r="S951" i="16"/>
  <c r="S950" i="16"/>
  <c r="S949" i="16"/>
  <c r="S948" i="16"/>
  <c r="S947" i="16"/>
  <c r="S946" i="16"/>
  <c r="S945" i="16"/>
  <c r="S944" i="16"/>
  <c r="S943" i="16"/>
  <c r="S942" i="16"/>
  <c r="S941" i="16"/>
  <c r="S940" i="16"/>
  <c r="S939" i="16"/>
  <c r="S938" i="16"/>
  <c r="S937" i="16"/>
  <c r="S936" i="16"/>
  <c r="S935" i="16"/>
  <c r="S934" i="16"/>
  <c r="S933" i="16"/>
  <c r="S932" i="16"/>
  <c r="S931" i="16"/>
  <c r="S930" i="16"/>
  <c r="S929" i="16"/>
  <c r="S928" i="16"/>
  <c r="S927" i="16"/>
  <c r="S926" i="16"/>
  <c r="S925" i="16"/>
  <c r="S924" i="16"/>
  <c r="S923" i="16"/>
  <c r="S922" i="16"/>
  <c r="S921" i="16"/>
  <c r="S920" i="16"/>
  <c r="S919" i="16"/>
  <c r="S918" i="16"/>
  <c r="S917" i="16"/>
  <c r="S916" i="16"/>
  <c r="S915" i="16"/>
  <c r="S914" i="16"/>
  <c r="S913" i="16"/>
  <c r="S912" i="16"/>
  <c r="S911" i="16"/>
  <c r="S910" i="16"/>
  <c r="S909" i="16"/>
  <c r="S908" i="16"/>
  <c r="S907" i="16"/>
  <c r="S906" i="16"/>
  <c r="S905" i="16"/>
  <c r="S904" i="16"/>
  <c r="S903" i="16"/>
  <c r="S902" i="16"/>
  <c r="S901" i="16"/>
  <c r="S900" i="16"/>
  <c r="S899" i="16"/>
  <c r="S898" i="16"/>
  <c r="S897" i="16"/>
  <c r="S896" i="16"/>
  <c r="S895" i="16"/>
  <c r="S894" i="16"/>
  <c r="S893" i="16"/>
  <c r="S892" i="16"/>
  <c r="S891" i="16"/>
  <c r="S890" i="16"/>
  <c r="S889" i="16"/>
  <c r="S888" i="16"/>
  <c r="S887" i="16"/>
  <c r="S886" i="16"/>
  <c r="S885" i="16"/>
  <c r="S884" i="16"/>
  <c r="S883" i="16"/>
  <c r="S882" i="16"/>
  <c r="S881" i="16"/>
  <c r="S880" i="16"/>
  <c r="S879" i="16"/>
  <c r="S878" i="16"/>
  <c r="S877" i="16"/>
  <c r="S876" i="16"/>
  <c r="S875" i="16"/>
  <c r="S874" i="16"/>
  <c r="S873" i="16"/>
  <c r="S872" i="16"/>
  <c r="S871" i="16"/>
  <c r="S870" i="16"/>
  <c r="S869" i="16"/>
  <c r="S868" i="16"/>
  <c r="S867" i="16"/>
  <c r="S866" i="16"/>
  <c r="S865" i="16"/>
  <c r="S864" i="16"/>
  <c r="S863" i="16"/>
  <c r="S862" i="16"/>
  <c r="S861" i="16"/>
  <c r="S860" i="16"/>
  <c r="S859" i="16"/>
  <c r="S858" i="16"/>
  <c r="S857" i="16"/>
  <c r="S856" i="16"/>
  <c r="S855" i="16"/>
  <c r="S854" i="16"/>
  <c r="S853" i="16"/>
  <c r="S852" i="16"/>
  <c r="S851" i="16"/>
  <c r="S850" i="16"/>
  <c r="S849" i="16"/>
  <c r="S848" i="16"/>
  <c r="S847" i="16"/>
  <c r="S846" i="16"/>
  <c r="S845" i="16"/>
  <c r="S844" i="16"/>
  <c r="S843" i="16"/>
  <c r="S842" i="16"/>
  <c r="S841" i="16"/>
  <c r="S840" i="16"/>
  <c r="S839" i="16"/>
  <c r="S838" i="16"/>
  <c r="S837" i="16"/>
  <c r="S836" i="16"/>
  <c r="S835" i="16"/>
  <c r="S834" i="16"/>
  <c r="S833" i="16"/>
  <c r="S832" i="16"/>
  <c r="S831" i="16"/>
  <c r="S830" i="16"/>
  <c r="S829" i="16"/>
  <c r="S828" i="16"/>
  <c r="S827" i="16"/>
  <c r="S826" i="16"/>
  <c r="S825" i="16"/>
  <c r="S824" i="16"/>
  <c r="S823" i="16"/>
  <c r="S822" i="16"/>
  <c r="S821" i="16"/>
  <c r="S820" i="16"/>
  <c r="S819" i="16"/>
  <c r="S818" i="16"/>
  <c r="S817" i="16"/>
  <c r="S816" i="16"/>
  <c r="S815" i="16"/>
  <c r="S814" i="16"/>
  <c r="S813" i="16"/>
  <c r="S812" i="16"/>
  <c r="S811" i="16"/>
  <c r="S810" i="16"/>
  <c r="S809" i="16"/>
  <c r="S808" i="16"/>
  <c r="S807" i="16"/>
  <c r="S806" i="16"/>
  <c r="S805" i="16"/>
  <c r="S804" i="16"/>
  <c r="S803" i="16"/>
  <c r="S802" i="16"/>
  <c r="S801" i="16"/>
  <c r="S800" i="16"/>
  <c r="S799" i="16"/>
  <c r="S798" i="16"/>
  <c r="S797" i="16"/>
  <c r="S796" i="16"/>
  <c r="S795" i="16"/>
  <c r="S794" i="16"/>
  <c r="S793" i="16"/>
  <c r="S792" i="16"/>
  <c r="S791" i="16"/>
  <c r="S790" i="16"/>
  <c r="S789" i="16"/>
  <c r="S788" i="16"/>
  <c r="S787" i="16"/>
  <c r="S786" i="16"/>
  <c r="S785" i="16"/>
  <c r="S784" i="16"/>
  <c r="S783" i="16"/>
  <c r="S782" i="16"/>
  <c r="S781" i="16"/>
  <c r="S780" i="16"/>
  <c r="S779" i="16"/>
  <c r="S778" i="16"/>
  <c r="S777" i="16"/>
  <c r="S776" i="16"/>
  <c r="S775" i="16"/>
  <c r="S774" i="16"/>
  <c r="S773" i="16"/>
  <c r="S772" i="16"/>
  <c r="S771" i="16"/>
  <c r="S770" i="16"/>
  <c r="S769" i="16"/>
  <c r="S768" i="16"/>
  <c r="S767" i="16"/>
  <c r="S766" i="16"/>
  <c r="S765" i="16"/>
  <c r="S764" i="16"/>
  <c r="S763" i="16"/>
  <c r="S762" i="16"/>
  <c r="S761" i="16"/>
  <c r="S760" i="16"/>
  <c r="S759" i="16"/>
  <c r="S758" i="16"/>
  <c r="S757" i="16"/>
  <c r="S756" i="16"/>
  <c r="S755" i="16"/>
  <c r="S754" i="16"/>
  <c r="S753" i="16"/>
  <c r="S752" i="16"/>
  <c r="S751" i="16"/>
  <c r="S750" i="16"/>
  <c r="S749" i="16"/>
  <c r="S748" i="16"/>
  <c r="S747" i="16"/>
  <c r="S746" i="16"/>
  <c r="S745" i="16"/>
  <c r="S744" i="16"/>
  <c r="S743" i="16"/>
  <c r="S742" i="16"/>
  <c r="S741" i="16"/>
  <c r="S740" i="16"/>
  <c r="S739" i="16"/>
  <c r="S738" i="16"/>
  <c r="S737" i="16"/>
  <c r="S736" i="16"/>
  <c r="S735" i="16"/>
  <c r="S734" i="16"/>
  <c r="S733" i="16"/>
  <c r="S732" i="16"/>
  <c r="S731" i="16"/>
  <c r="S730" i="16"/>
  <c r="S729" i="16"/>
  <c r="S728" i="16"/>
  <c r="S727" i="16"/>
  <c r="S726" i="16"/>
  <c r="S725" i="16"/>
  <c r="S724" i="16"/>
  <c r="S723" i="16"/>
  <c r="S722" i="16"/>
  <c r="S721" i="16"/>
  <c r="S720" i="16"/>
  <c r="S719" i="16"/>
  <c r="S718" i="16"/>
  <c r="S717" i="16"/>
  <c r="S716" i="16"/>
  <c r="S715" i="16"/>
  <c r="S714" i="16"/>
  <c r="S713" i="16"/>
  <c r="S712" i="16"/>
  <c r="S711" i="16"/>
  <c r="S710" i="16"/>
  <c r="S709" i="16"/>
  <c r="S708" i="16"/>
  <c r="S707" i="16"/>
  <c r="S706" i="16"/>
  <c r="S705" i="16"/>
  <c r="S704" i="16"/>
  <c r="S703" i="16"/>
  <c r="S702" i="16"/>
  <c r="S701" i="16"/>
  <c r="S700" i="16"/>
  <c r="S699" i="16"/>
  <c r="S698" i="16"/>
  <c r="S697" i="16"/>
  <c r="S696" i="16"/>
  <c r="S695" i="16"/>
  <c r="S694" i="16"/>
  <c r="S693" i="16"/>
  <c r="S692" i="16"/>
  <c r="S691" i="16"/>
  <c r="S690" i="16"/>
  <c r="S689" i="16"/>
  <c r="S688" i="16"/>
  <c r="S687" i="16"/>
  <c r="S686" i="16"/>
  <c r="S685" i="16"/>
  <c r="S684" i="16"/>
  <c r="S683" i="16"/>
  <c r="S682" i="16"/>
  <c r="S681" i="16"/>
  <c r="S680" i="16"/>
  <c r="S679" i="16"/>
  <c r="S678" i="16"/>
  <c r="S677" i="16"/>
  <c r="S676" i="16"/>
  <c r="S675" i="16"/>
  <c r="S674" i="16"/>
  <c r="S673" i="16"/>
  <c r="S672" i="16"/>
  <c r="S671" i="16"/>
  <c r="S670" i="16"/>
  <c r="S669" i="16"/>
  <c r="S668" i="16"/>
  <c r="S667" i="16"/>
  <c r="S666" i="16"/>
  <c r="S665" i="16"/>
  <c r="S664" i="16"/>
  <c r="S663" i="16"/>
  <c r="S662" i="16"/>
  <c r="S661" i="16"/>
  <c r="S660" i="16"/>
  <c r="S659" i="16"/>
  <c r="S658" i="16"/>
  <c r="S657" i="16"/>
  <c r="S656" i="16"/>
  <c r="S655" i="16"/>
  <c r="S654" i="16"/>
  <c r="S653" i="16"/>
  <c r="S652" i="16"/>
  <c r="S651" i="16"/>
  <c r="S650" i="16"/>
  <c r="S649" i="16"/>
  <c r="S648" i="16"/>
  <c r="S647" i="16"/>
  <c r="S646" i="16"/>
  <c r="S645" i="16"/>
  <c r="S644" i="16"/>
  <c r="S643" i="16"/>
  <c r="S642" i="16"/>
  <c r="S641" i="16"/>
  <c r="S640" i="16"/>
  <c r="S639" i="16"/>
  <c r="S638" i="16"/>
  <c r="S637" i="16"/>
  <c r="S636" i="16"/>
  <c r="S635" i="16"/>
  <c r="S634" i="16"/>
  <c r="S633" i="16"/>
  <c r="S632" i="16"/>
  <c r="S631" i="16"/>
  <c r="S630" i="16"/>
  <c r="S629" i="16"/>
  <c r="S628" i="16"/>
  <c r="S627" i="16"/>
  <c r="S626" i="16"/>
  <c r="S625" i="16"/>
  <c r="S624" i="16"/>
  <c r="S623" i="16"/>
  <c r="S622" i="16"/>
  <c r="S621" i="16"/>
  <c r="S620" i="16"/>
  <c r="S619" i="16"/>
  <c r="S618" i="16"/>
  <c r="S617" i="16"/>
  <c r="S616" i="16"/>
  <c r="S615" i="16"/>
  <c r="S614" i="16"/>
  <c r="S613" i="16"/>
  <c r="S612" i="16"/>
  <c r="S611" i="16"/>
  <c r="S610" i="16"/>
  <c r="S609" i="16"/>
  <c r="S608" i="16"/>
  <c r="S607" i="16"/>
  <c r="S606" i="16"/>
  <c r="S605" i="16"/>
  <c r="S604" i="16"/>
  <c r="S603" i="16"/>
  <c r="S602" i="16"/>
  <c r="S601" i="16"/>
  <c r="S600" i="16"/>
  <c r="S599" i="16"/>
  <c r="S598" i="16"/>
  <c r="S597" i="16"/>
  <c r="S596" i="16"/>
  <c r="S595" i="16"/>
  <c r="S594" i="16"/>
  <c r="S593" i="16"/>
  <c r="S592" i="16"/>
  <c r="S591" i="16"/>
  <c r="S590" i="16"/>
  <c r="S589" i="16"/>
  <c r="S588" i="16"/>
  <c r="S587" i="16"/>
  <c r="S586" i="16"/>
  <c r="S585" i="16"/>
  <c r="S584" i="16"/>
  <c r="S583" i="16"/>
  <c r="S582" i="16"/>
  <c r="S581" i="16"/>
  <c r="S580" i="16"/>
  <c r="S579" i="16"/>
  <c r="S578" i="16"/>
  <c r="S577" i="16"/>
  <c r="S576" i="16"/>
  <c r="S575" i="16"/>
  <c r="S574" i="16"/>
  <c r="S573" i="16"/>
  <c r="S572" i="16"/>
  <c r="S571" i="16"/>
  <c r="S570" i="16"/>
  <c r="S569" i="16"/>
  <c r="S568" i="16"/>
  <c r="S567" i="16"/>
  <c r="S566" i="16"/>
  <c r="S565" i="16"/>
  <c r="S564" i="16"/>
  <c r="S563" i="16"/>
  <c r="S562" i="16"/>
  <c r="S561" i="16"/>
  <c r="S560" i="16"/>
  <c r="S559" i="16"/>
  <c r="S558" i="16"/>
  <c r="S557" i="16"/>
  <c r="S556" i="16"/>
  <c r="S555" i="16"/>
  <c r="S554" i="16"/>
  <c r="S553" i="16"/>
  <c r="S552" i="16"/>
  <c r="S551" i="16"/>
  <c r="S550" i="16"/>
  <c r="S549" i="16"/>
  <c r="S548" i="16"/>
  <c r="S547" i="16"/>
  <c r="S546" i="16"/>
  <c r="S545" i="16"/>
  <c r="S544" i="16"/>
  <c r="S543" i="16"/>
  <c r="S542" i="16"/>
  <c r="S541" i="16"/>
  <c r="S540" i="16"/>
  <c r="S539" i="16"/>
  <c r="S538" i="16"/>
  <c r="S537" i="16"/>
  <c r="S536" i="16"/>
  <c r="S535" i="16"/>
  <c r="S534" i="16"/>
  <c r="S533" i="16"/>
  <c r="S532" i="16"/>
  <c r="S531" i="16"/>
  <c r="S530" i="16"/>
  <c r="S529" i="16"/>
  <c r="S528" i="16"/>
  <c r="S527" i="16"/>
  <c r="S526" i="16"/>
  <c r="S525" i="16"/>
  <c r="S524" i="16"/>
  <c r="S523" i="16"/>
  <c r="S522" i="16"/>
  <c r="S521" i="16"/>
  <c r="S520" i="16"/>
  <c r="S519" i="16"/>
  <c r="S518" i="16"/>
  <c r="S517" i="16"/>
  <c r="S516" i="16"/>
  <c r="S515" i="16"/>
  <c r="S514" i="16"/>
  <c r="S513" i="16"/>
  <c r="S512" i="16"/>
  <c r="S511" i="16"/>
  <c r="S510" i="16"/>
  <c r="S509" i="16"/>
  <c r="S508" i="16"/>
  <c r="S507" i="16"/>
  <c r="S506" i="16"/>
  <c r="S505" i="16"/>
  <c r="S504" i="16"/>
  <c r="S503" i="16"/>
  <c r="S502" i="16"/>
  <c r="S501" i="16"/>
  <c r="S500" i="16"/>
  <c r="S499" i="16"/>
  <c r="S498" i="16"/>
  <c r="S497" i="16"/>
  <c r="S496" i="16"/>
  <c r="S495" i="16"/>
  <c r="S494" i="16"/>
  <c r="S493" i="16"/>
  <c r="S492" i="16"/>
  <c r="S491" i="16"/>
  <c r="S490" i="16"/>
  <c r="S489" i="16"/>
  <c r="S488" i="16"/>
  <c r="S487" i="16"/>
  <c r="S486" i="16"/>
  <c r="S485" i="16"/>
  <c r="S484" i="16"/>
  <c r="S483" i="16"/>
  <c r="S482" i="16"/>
  <c r="S481" i="16"/>
  <c r="S480" i="16"/>
  <c r="S479" i="16"/>
  <c r="S478" i="16"/>
  <c r="S477" i="16"/>
  <c r="S476" i="16"/>
  <c r="S475" i="16"/>
  <c r="S474" i="16"/>
  <c r="S473" i="16"/>
  <c r="S472" i="16"/>
  <c r="S471" i="16"/>
  <c r="S470" i="16"/>
  <c r="S469" i="16"/>
  <c r="S468" i="16"/>
  <c r="S467" i="16"/>
  <c r="S466" i="16"/>
  <c r="S465" i="16"/>
  <c r="S464" i="16"/>
  <c r="S463" i="16"/>
  <c r="S462" i="16"/>
  <c r="S461" i="16"/>
  <c r="S460" i="16"/>
  <c r="S459" i="16"/>
  <c r="S458" i="16"/>
  <c r="S457" i="16"/>
  <c r="S456" i="16"/>
  <c r="S455" i="16"/>
  <c r="S454" i="16"/>
  <c r="S453" i="16"/>
  <c r="S452" i="16"/>
  <c r="S451" i="16"/>
  <c r="S450" i="16"/>
  <c r="S449" i="16"/>
  <c r="S448" i="16"/>
  <c r="S447" i="16"/>
  <c r="S446" i="16"/>
  <c r="S445" i="16"/>
  <c r="S444" i="16"/>
  <c r="S443" i="16"/>
  <c r="S442" i="16"/>
  <c r="S441" i="16"/>
  <c r="S440" i="16"/>
  <c r="S439" i="16"/>
  <c r="S438" i="16"/>
  <c r="S437" i="16"/>
  <c r="S436" i="16"/>
  <c r="S435" i="16"/>
  <c r="S434" i="16"/>
  <c r="S433" i="16"/>
  <c r="S432" i="16"/>
  <c r="S431" i="16"/>
  <c r="S430" i="16"/>
  <c r="S429" i="16"/>
  <c r="S428" i="16"/>
  <c r="S427" i="16"/>
  <c r="S426" i="16"/>
  <c r="S425" i="16"/>
  <c r="S424" i="16"/>
  <c r="S423" i="16"/>
  <c r="S422" i="16"/>
  <c r="S421" i="16"/>
  <c r="S420" i="16"/>
  <c r="S419" i="16"/>
  <c r="S418" i="16"/>
  <c r="S417" i="16"/>
  <c r="S416" i="16"/>
  <c r="S415" i="16"/>
  <c r="S414" i="16"/>
  <c r="S413" i="16"/>
  <c r="S412" i="16"/>
  <c r="S411" i="16"/>
  <c r="S410" i="16"/>
  <c r="S409" i="16"/>
  <c r="S408" i="16"/>
  <c r="S407" i="16"/>
  <c r="S406" i="16"/>
  <c r="S405" i="16"/>
  <c r="S404" i="16"/>
  <c r="S403" i="16"/>
  <c r="S402" i="16"/>
  <c r="S401" i="16"/>
  <c r="S400" i="16"/>
  <c r="S399" i="16"/>
  <c r="S398" i="16"/>
  <c r="S397" i="16"/>
  <c r="S396" i="16"/>
  <c r="S395" i="16"/>
  <c r="S394" i="16"/>
  <c r="S393" i="16"/>
  <c r="S392" i="16"/>
  <c r="S391" i="16"/>
  <c r="S390" i="16"/>
  <c r="S389" i="16"/>
  <c r="S388" i="16"/>
  <c r="S387" i="16"/>
  <c r="S386" i="16"/>
  <c r="S385" i="16"/>
  <c r="S384" i="16"/>
  <c r="S383" i="16"/>
  <c r="S382" i="16"/>
  <c r="S381" i="16"/>
  <c r="S380" i="16"/>
  <c r="S379" i="16"/>
  <c r="S378" i="16"/>
  <c r="S377" i="16"/>
  <c r="S376" i="16"/>
  <c r="S375" i="16"/>
  <c r="S374" i="16"/>
  <c r="S373" i="16"/>
  <c r="S372" i="16"/>
  <c r="S371" i="16"/>
  <c r="S370" i="16"/>
  <c r="S369" i="16"/>
  <c r="S368" i="16"/>
  <c r="S367" i="16"/>
  <c r="S366" i="16"/>
  <c r="S365" i="16"/>
  <c r="S364" i="16"/>
  <c r="S363" i="16"/>
  <c r="S362" i="16"/>
  <c r="S361" i="16"/>
  <c r="S360" i="16"/>
  <c r="S359" i="16"/>
  <c r="S358" i="16"/>
  <c r="S357" i="16"/>
  <c r="S356" i="16"/>
  <c r="S355" i="16"/>
  <c r="S354" i="16"/>
  <c r="S353" i="16"/>
  <c r="S352" i="16"/>
  <c r="S351" i="16"/>
  <c r="S350" i="16"/>
  <c r="S349" i="16"/>
  <c r="S348" i="16"/>
  <c r="S347" i="16"/>
  <c r="S346" i="16"/>
  <c r="S345" i="16"/>
  <c r="S344" i="16"/>
  <c r="S343" i="16"/>
  <c r="S342" i="16"/>
  <c r="S341" i="16"/>
  <c r="S340" i="16"/>
  <c r="S339" i="16"/>
  <c r="S338" i="16"/>
  <c r="S337" i="16"/>
  <c r="S336" i="16"/>
  <c r="S335" i="16"/>
  <c r="S334" i="16"/>
  <c r="S333" i="16"/>
  <c r="S332" i="16"/>
  <c r="S331" i="16"/>
  <c r="S330" i="16"/>
  <c r="S329" i="16"/>
  <c r="S328" i="16"/>
  <c r="S327" i="16"/>
  <c r="S326" i="16"/>
  <c r="S325" i="16"/>
  <c r="S324" i="16"/>
  <c r="S323" i="16"/>
  <c r="S322" i="16"/>
  <c r="S321" i="16"/>
  <c r="S320" i="16"/>
  <c r="S319" i="16"/>
  <c r="S318" i="16"/>
  <c r="S317" i="16"/>
  <c r="S316" i="16"/>
  <c r="S315" i="16"/>
  <c r="S314" i="16"/>
  <c r="S313" i="16"/>
  <c r="S312" i="16"/>
  <c r="S311" i="16"/>
  <c r="S310" i="16"/>
  <c r="S309" i="16"/>
  <c r="S308" i="16"/>
  <c r="S307" i="16"/>
  <c r="S306" i="16"/>
  <c r="S305" i="16"/>
  <c r="S304" i="16"/>
  <c r="S303" i="16"/>
  <c r="S302" i="16"/>
  <c r="S301" i="16"/>
  <c r="S300" i="16"/>
  <c r="S299" i="16"/>
  <c r="S298" i="16"/>
  <c r="S297" i="16"/>
  <c r="S296" i="16"/>
  <c r="S295" i="16"/>
  <c r="S294" i="16"/>
  <c r="S293" i="16"/>
  <c r="S292" i="16"/>
  <c r="S291" i="16"/>
  <c r="S290" i="16"/>
  <c r="S289" i="16"/>
  <c r="S288" i="16"/>
  <c r="S287" i="16"/>
  <c r="S286" i="16"/>
  <c r="S285" i="16"/>
  <c r="S284" i="16"/>
  <c r="S283" i="16"/>
  <c r="S282" i="16"/>
  <c r="S281" i="16"/>
  <c r="S280" i="16"/>
  <c r="S279" i="16"/>
  <c r="S278" i="16"/>
  <c r="S277" i="16"/>
  <c r="S276" i="16"/>
  <c r="S275" i="16"/>
  <c r="S274" i="16"/>
  <c r="S273" i="16"/>
  <c r="S272" i="16"/>
  <c r="S271" i="16"/>
  <c r="S270" i="16"/>
  <c r="S269" i="16"/>
  <c r="S268" i="16"/>
  <c r="S267" i="16"/>
  <c r="S266" i="16"/>
  <c r="S265" i="16"/>
  <c r="S264" i="16"/>
  <c r="S263" i="16"/>
  <c r="S262" i="16"/>
  <c r="S261" i="16"/>
  <c r="S260" i="16"/>
  <c r="S259" i="16"/>
  <c r="S258" i="16"/>
  <c r="S257" i="16"/>
  <c r="S256" i="16"/>
  <c r="S255" i="16"/>
  <c r="S254" i="16"/>
  <c r="S253" i="16"/>
  <c r="S252" i="16"/>
  <c r="S251" i="16"/>
  <c r="S250" i="16"/>
  <c r="S249" i="16"/>
  <c r="S248" i="16"/>
  <c r="S247" i="16"/>
  <c r="S246" i="16"/>
  <c r="S245" i="16"/>
  <c r="S244" i="16"/>
  <c r="S243" i="16"/>
  <c r="S242" i="16"/>
  <c r="S241" i="16"/>
  <c r="S240" i="16"/>
  <c r="S239" i="16"/>
  <c r="S238" i="16"/>
  <c r="S237" i="16"/>
  <c r="S236" i="16"/>
  <c r="S235" i="16"/>
  <c r="S234" i="16"/>
  <c r="S233" i="16"/>
  <c r="S232" i="16"/>
  <c r="S231" i="16"/>
  <c r="S230" i="16"/>
  <c r="S229" i="16"/>
  <c r="S228" i="16"/>
  <c r="S227" i="16"/>
  <c r="S226" i="16"/>
  <c r="S225" i="16"/>
  <c r="S224" i="16"/>
  <c r="S223" i="16"/>
  <c r="S222" i="16"/>
  <c r="S221" i="16"/>
  <c r="S220" i="16"/>
  <c r="S219" i="16"/>
  <c r="S218" i="16"/>
  <c r="S217" i="16"/>
  <c r="S216" i="16"/>
  <c r="S215" i="16"/>
  <c r="S214" i="16"/>
  <c r="S213" i="16"/>
  <c r="S212" i="16"/>
  <c r="S211" i="16"/>
  <c r="S210" i="16"/>
  <c r="S209" i="16"/>
  <c r="S208" i="16"/>
  <c r="S207" i="16"/>
  <c r="S206" i="16"/>
  <c r="S205" i="16"/>
  <c r="S204" i="16"/>
  <c r="S203" i="16"/>
  <c r="S202" i="16"/>
  <c r="S201" i="16"/>
  <c r="S200" i="16"/>
  <c r="S199" i="16"/>
  <c r="S198" i="16"/>
  <c r="S197" i="16"/>
  <c r="S196" i="16"/>
  <c r="S195" i="16"/>
  <c r="S194" i="16"/>
  <c r="S193" i="16"/>
  <c r="S192" i="16"/>
  <c r="S191" i="16"/>
  <c r="S190" i="16"/>
  <c r="S189" i="16"/>
  <c r="S188" i="16"/>
  <c r="S187" i="16"/>
  <c r="S186" i="16"/>
  <c r="S185" i="16"/>
  <c r="S184" i="16"/>
  <c r="S183" i="16"/>
  <c r="S182" i="16"/>
  <c r="S181" i="16"/>
  <c r="S180" i="16"/>
  <c r="S179" i="16"/>
  <c r="S178" i="16"/>
  <c r="S177" i="16"/>
  <c r="S176" i="16"/>
  <c r="S175" i="16"/>
  <c r="S174" i="16"/>
  <c r="S173" i="16"/>
  <c r="S172" i="16"/>
  <c r="S171" i="16"/>
  <c r="S170" i="16"/>
  <c r="S169" i="16"/>
  <c r="S168" i="16"/>
  <c r="S167" i="16"/>
  <c r="S166" i="16"/>
  <c r="S165" i="16"/>
  <c r="S164" i="16"/>
  <c r="S163" i="16"/>
  <c r="S162" i="16"/>
  <c r="S161" i="16"/>
  <c r="S160" i="16"/>
  <c r="S159" i="16"/>
  <c r="S158" i="16"/>
  <c r="S157" i="16"/>
  <c r="S156" i="16"/>
  <c r="S155" i="16"/>
  <c r="S154" i="16"/>
  <c r="S153" i="16"/>
  <c r="S152" i="16"/>
  <c r="S151" i="16"/>
  <c r="S150" i="16"/>
  <c r="S149" i="16"/>
  <c r="S148" i="16"/>
  <c r="S147" i="16"/>
  <c r="S146" i="16"/>
  <c r="S145" i="16"/>
  <c r="S144" i="16"/>
  <c r="S143" i="16"/>
  <c r="S142" i="16"/>
  <c r="S141" i="16"/>
  <c r="S140" i="16"/>
  <c r="S139" i="16"/>
  <c r="S138" i="16"/>
  <c r="S137" i="16"/>
  <c r="S136" i="16"/>
  <c r="S135" i="16"/>
  <c r="S134" i="16"/>
  <c r="S133" i="16"/>
  <c r="S132" i="16"/>
  <c r="S131" i="16"/>
  <c r="S130" i="16"/>
  <c r="S129" i="16"/>
  <c r="S128" i="16"/>
  <c r="S127" i="16"/>
  <c r="S126" i="16"/>
  <c r="S125" i="16"/>
  <c r="S124" i="16"/>
  <c r="S123" i="16"/>
  <c r="S122" i="16"/>
  <c r="S121" i="16"/>
  <c r="S120" i="16"/>
  <c r="S119" i="16"/>
  <c r="S118" i="16"/>
  <c r="S117" i="16"/>
  <c r="S116" i="16"/>
  <c r="S115" i="16"/>
  <c r="S114" i="16"/>
  <c r="S113" i="16"/>
  <c r="S112" i="16"/>
  <c r="S111" i="16"/>
  <c r="S110" i="16"/>
  <c r="S109" i="16"/>
  <c r="S108" i="16"/>
  <c r="S107" i="16"/>
  <c r="S106" i="16"/>
  <c r="S105" i="16"/>
  <c r="S104" i="16"/>
  <c r="S103" i="16"/>
  <c r="S102" i="16"/>
  <c r="S101" i="16"/>
  <c r="S100" i="16"/>
  <c r="S99" i="16"/>
  <c r="S98" i="16"/>
  <c r="S97" i="16"/>
  <c r="S96" i="16"/>
  <c r="S95" i="16"/>
  <c r="S94" i="16"/>
  <c r="S93" i="16"/>
  <c r="S92" i="16"/>
  <c r="S91" i="16"/>
  <c r="S90" i="16"/>
  <c r="S89" i="16"/>
  <c r="S88" i="16"/>
  <c r="S87" i="16"/>
  <c r="S86" i="16"/>
  <c r="S85" i="16"/>
  <c r="S84" i="16"/>
  <c r="S83" i="16"/>
  <c r="S82" i="16"/>
  <c r="S81" i="16"/>
  <c r="S80" i="16"/>
  <c r="S79" i="16"/>
  <c r="S78" i="16"/>
  <c r="S77" i="16"/>
  <c r="S76" i="16"/>
  <c r="S75" i="16"/>
  <c r="S74" i="16"/>
  <c r="S73" i="16"/>
  <c r="S72" i="16"/>
  <c r="S71" i="16"/>
  <c r="S70" i="16"/>
  <c r="S69" i="16"/>
  <c r="S68" i="16"/>
  <c r="S67" i="16"/>
  <c r="S66" i="16"/>
  <c r="S65" i="16"/>
  <c r="S64" i="16"/>
  <c r="S63" i="16"/>
  <c r="S62" i="16"/>
  <c r="S61" i="16"/>
  <c r="S60" i="16"/>
  <c r="S59" i="16"/>
  <c r="S58" i="16"/>
  <c r="S57" i="16"/>
  <c r="S56" i="16"/>
  <c r="S55" i="16"/>
  <c r="S54" i="16"/>
  <c r="S53" i="16"/>
  <c r="S52" i="16"/>
  <c r="S51" i="16"/>
  <c r="S50" i="16"/>
  <c r="S49" i="16"/>
  <c r="S48" i="16"/>
  <c r="S47" i="16"/>
  <c r="S46" i="16"/>
  <c r="S45" i="16"/>
  <c r="S44" i="16"/>
  <c r="S43" i="16"/>
  <c r="S42" i="16"/>
  <c r="S41" i="16"/>
  <c r="S40" i="16"/>
  <c r="S39" i="16"/>
  <c r="S38" i="16"/>
  <c r="S37" i="16"/>
  <c r="S36" i="16"/>
  <c r="S35" i="16"/>
  <c r="S34" i="16"/>
  <c r="S33" i="16"/>
  <c r="S32" i="16"/>
  <c r="S31" i="16"/>
  <c r="S30" i="16"/>
  <c r="S29" i="16"/>
  <c r="S28" i="16"/>
  <c r="S27" i="16"/>
  <c r="S26" i="16"/>
  <c r="S25" i="16"/>
  <c r="S24" i="16"/>
  <c r="S23" i="16"/>
  <c r="S22" i="16"/>
  <c r="S21" i="16"/>
  <c r="S20" i="16"/>
  <c r="S19" i="16"/>
  <c r="S18" i="16"/>
  <c r="S17" i="16"/>
  <c r="S16" i="16"/>
  <c r="S15" i="16"/>
  <c r="S14" i="16"/>
  <c r="S13" i="16"/>
  <c r="S12" i="16"/>
  <c r="S11" i="16"/>
  <c r="S10" i="16"/>
  <c r="S9" i="16"/>
  <c r="S8" i="16"/>
  <c r="S7" i="16"/>
  <c r="S6" i="16"/>
  <c r="S5" i="16"/>
  <c r="S4" i="16"/>
  <c r="S3" i="16"/>
  <c r="D81" i="48"/>
  <c r="D78" i="48"/>
  <c r="D76" i="48"/>
  <c r="D74" i="48"/>
  <c r="D80" i="48"/>
  <c r="D79" i="48"/>
  <c r="D77" i="48"/>
  <c r="D75" i="48"/>
  <c r="D73" i="48"/>
  <c r="D63" i="48"/>
  <c r="D68" i="48"/>
  <c r="D61" i="48"/>
  <c r="D65" i="48"/>
  <c r="L4153" i="16"/>
  <c r="L4151" i="16"/>
  <c r="L4149" i="16"/>
  <c r="L4147" i="16"/>
  <c r="L4145" i="16"/>
  <c r="L4143" i="16"/>
  <c r="L4141" i="16"/>
  <c r="L4139" i="16"/>
  <c r="L4137" i="16"/>
  <c r="L4135" i="16"/>
  <c r="L4133" i="16"/>
  <c r="L4131" i="16"/>
  <c r="L4129" i="16"/>
  <c r="L4127" i="16"/>
  <c r="L4125" i="16"/>
  <c r="L4154" i="16"/>
  <c r="L4152" i="16"/>
  <c r="L4150" i="16"/>
  <c r="L4148" i="16"/>
  <c r="L4146" i="16"/>
  <c r="L4144" i="16"/>
  <c r="L4142" i="16"/>
  <c r="L4140" i="16"/>
  <c r="L4138" i="16"/>
  <c r="L4136" i="16"/>
  <c r="L4134" i="16"/>
  <c r="L4132" i="16"/>
  <c r="L4130" i="16"/>
  <c r="L4128" i="16"/>
  <c r="L4126" i="16"/>
  <c r="L4124" i="16"/>
  <c r="L4122" i="16"/>
  <c r="L4120" i="16"/>
  <c r="L4118" i="16"/>
  <c r="L4116" i="16"/>
  <c r="L4114" i="16"/>
  <c r="L4112" i="16"/>
  <c r="L4110" i="16"/>
  <c r="L4108" i="16"/>
  <c r="L4106" i="16"/>
  <c r="L4104" i="16"/>
  <c r="L4102" i="16"/>
  <c r="L4100" i="16"/>
  <c r="L4098" i="16"/>
  <c r="L4096" i="16"/>
  <c r="L4094" i="16"/>
  <c r="L4092" i="16"/>
  <c r="L4090" i="16"/>
  <c r="L4088" i="16"/>
  <c r="L4086" i="16"/>
  <c r="L4084" i="16"/>
  <c r="L4082" i="16"/>
  <c r="L4123" i="16"/>
  <c r="L4121" i="16"/>
  <c r="L4119" i="16"/>
  <c r="L4117" i="16"/>
  <c r="L4115" i="16"/>
  <c r="L4113" i="16"/>
  <c r="L4111" i="16"/>
  <c r="L4109" i="16"/>
  <c r="L4107" i="16"/>
  <c r="L4105" i="16"/>
  <c r="L4103" i="16"/>
  <c r="L4101" i="16"/>
  <c r="L4099" i="16"/>
  <c r="L4097" i="16"/>
  <c r="L4095" i="16"/>
  <c r="L4093" i="16"/>
  <c r="L4091" i="16"/>
  <c r="L4089" i="16"/>
  <c r="L4087" i="16"/>
  <c r="L4085" i="16"/>
  <c r="L4083" i="16"/>
  <c r="L4081" i="16"/>
  <c r="L4080" i="16"/>
  <c r="L4078" i="16"/>
  <c r="L4076" i="16"/>
  <c r="L4074" i="16"/>
  <c r="L4072" i="16"/>
  <c r="L4070" i="16"/>
  <c r="L4068" i="16"/>
  <c r="L4066" i="16"/>
  <c r="L4064" i="16"/>
  <c r="L4062" i="16"/>
  <c r="L4060" i="16"/>
  <c r="L4058" i="16"/>
  <c r="L4056" i="16"/>
  <c r="L4054" i="16"/>
  <c r="L4052" i="16"/>
  <c r="L4050" i="16"/>
  <c r="L4048" i="16"/>
  <c r="L4046" i="16"/>
  <c r="L4044" i="16"/>
  <c r="L4042" i="16"/>
  <c r="L4040" i="16"/>
  <c r="L4038" i="16"/>
  <c r="L4036" i="16"/>
  <c r="L4034" i="16"/>
  <c r="L4032" i="16"/>
  <c r="L4030" i="16"/>
  <c r="L4028" i="16"/>
  <c r="L4026" i="16"/>
  <c r="L4024" i="16"/>
  <c r="L4022" i="16"/>
  <c r="L4020" i="16"/>
  <c r="L4018" i="16"/>
  <c r="L4016" i="16"/>
  <c r="L4014" i="16"/>
  <c r="L4012" i="16"/>
  <c r="L4010" i="16"/>
  <c r="L4008" i="16"/>
  <c r="L4006" i="16"/>
  <c r="L4004" i="16"/>
  <c r="L4002" i="16"/>
  <c r="L4000" i="16"/>
  <c r="L3998" i="16"/>
  <c r="L3996" i="16"/>
  <c r="L4079" i="16"/>
  <c r="L4077" i="16"/>
  <c r="L4075" i="16"/>
  <c r="L4073" i="16"/>
  <c r="L4071" i="16"/>
  <c r="L4069" i="16"/>
  <c r="L4067" i="16"/>
  <c r="L4065" i="16"/>
  <c r="L4063" i="16"/>
  <c r="L4061" i="16"/>
  <c r="L4059" i="16"/>
  <c r="L4057" i="16"/>
  <c r="L4055" i="16"/>
  <c r="L4053" i="16"/>
  <c r="L4051" i="16"/>
  <c r="L4049" i="16"/>
  <c r="L4047" i="16"/>
  <c r="L4045" i="16"/>
  <c r="L4043" i="16"/>
  <c r="L4041" i="16"/>
  <c r="L4039" i="16"/>
  <c r="L4037" i="16"/>
  <c r="L4035" i="16"/>
  <c r="L4033" i="16"/>
  <c r="L4031" i="16"/>
  <c r="L4029" i="16"/>
  <c r="L4027" i="16"/>
  <c r="L4025" i="16"/>
  <c r="L4023" i="16"/>
  <c r="L4021" i="16"/>
  <c r="L4019" i="16"/>
  <c r="L4017" i="16"/>
  <c r="L4015" i="16"/>
  <c r="L4013" i="16"/>
  <c r="L4011" i="16"/>
  <c r="L4009" i="16"/>
  <c r="L4007" i="16"/>
  <c r="L4005" i="16"/>
  <c r="L4003" i="16"/>
  <c r="L4001" i="16"/>
  <c r="L3999" i="16"/>
  <c r="L3997" i="16"/>
  <c r="L3994" i="16"/>
  <c r="L3992" i="16"/>
  <c r="L3990" i="16"/>
  <c r="L3988" i="16"/>
  <c r="L3986" i="16"/>
  <c r="L3984" i="16"/>
  <c r="L3982" i="16"/>
  <c r="L3980" i="16"/>
  <c r="L3978" i="16"/>
  <c r="L3976" i="16"/>
  <c r="L3974" i="16"/>
  <c r="L3972" i="16"/>
  <c r="L3970" i="16"/>
  <c r="L3968" i="16"/>
  <c r="L3966" i="16"/>
  <c r="L3964" i="16"/>
  <c r="L3962" i="16"/>
  <c r="L3960" i="16"/>
  <c r="L3958" i="16"/>
  <c r="L3956" i="16"/>
  <c r="L3954" i="16"/>
  <c r="L3952" i="16"/>
  <c r="L3950" i="16"/>
  <c r="L3948" i="16"/>
  <c r="L3946" i="16"/>
  <c r="L3944" i="16"/>
  <c r="L3942" i="16"/>
  <c r="L3940" i="16"/>
  <c r="L3938" i="16"/>
  <c r="L3936" i="16"/>
  <c r="L3934" i="16"/>
  <c r="L3932" i="16"/>
  <c r="L3930" i="16"/>
  <c r="L3928" i="16"/>
  <c r="L3926" i="16"/>
  <c r="L3924" i="16"/>
  <c r="L3922" i="16"/>
  <c r="L3920" i="16"/>
  <c r="L3918" i="16"/>
  <c r="L3916" i="16"/>
  <c r="L3914" i="16"/>
  <c r="L3912" i="16"/>
  <c r="L3995" i="16"/>
  <c r="L3993" i="16"/>
  <c r="L3991" i="16"/>
  <c r="L3989" i="16"/>
  <c r="L3987" i="16"/>
  <c r="L3985" i="16"/>
  <c r="L3983" i="16"/>
  <c r="L3981" i="16"/>
  <c r="L3979" i="16"/>
  <c r="L3977" i="16"/>
  <c r="L3975" i="16"/>
  <c r="L3973" i="16"/>
  <c r="L3971" i="16"/>
  <c r="L3969" i="16"/>
  <c r="L3967" i="16"/>
  <c r="L3965" i="16"/>
  <c r="L3963" i="16"/>
  <c r="L3961" i="16"/>
  <c r="L3959" i="16"/>
  <c r="L3957" i="16"/>
  <c r="L3955" i="16"/>
  <c r="L3953" i="16"/>
  <c r="L3951" i="16"/>
  <c r="L3949" i="16"/>
  <c r="L3947" i="16"/>
  <c r="L3945" i="16"/>
  <c r="L3943" i="16"/>
  <c r="L3941" i="16"/>
  <c r="L3939" i="16"/>
  <c r="L3937" i="16"/>
  <c r="L3935" i="16"/>
  <c r="L3933" i="16"/>
  <c r="L3931" i="16"/>
  <c r="L3929" i="16"/>
  <c r="L3927" i="16"/>
  <c r="L3925" i="16"/>
  <c r="L3923" i="16"/>
  <c r="L3921" i="16"/>
  <c r="L3919" i="16"/>
  <c r="L3917" i="16"/>
  <c r="L3915" i="16"/>
  <c r="L3913" i="16"/>
  <c r="L3911" i="16"/>
  <c r="L3910" i="16"/>
  <c r="L3908" i="16"/>
  <c r="L3906" i="16"/>
  <c r="L3904" i="16"/>
  <c r="L3902" i="16"/>
  <c r="L3900" i="16"/>
  <c r="L3898" i="16"/>
  <c r="L3896" i="16"/>
  <c r="L3894" i="16"/>
  <c r="L3892" i="16"/>
  <c r="L3890" i="16"/>
  <c r="L3888" i="16"/>
  <c r="L3886" i="16"/>
  <c r="L3884" i="16"/>
  <c r="L3882" i="16"/>
  <c r="L3880" i="16"/>
  <c r="L3878" i="16"/>
  <c r="L3876" i="16"/>
  <c r="L3874" i="16"/>
  <c r="L3872" i="16"/>
  <c r="L3870" i="16"/>
  <c r="L3868" i="16"/>
  <c r="L3866" i="16"/>
  <c r="L3864" i="16"/>
  <c r="L3862" i="16"/>
  <c r="L3860" i="16"/>
  <c r="L3858" i="16"/>
  <c r="L3856" i="16"/>
  <c r="L3854" i="16"/>
  <c r="L3852" i="16"/>
  <c r="L3850" i="16"/>
  <c r="L3848" i="16"/>
  <c r="L3846" i="16"/>
  <c r="L3844" i="16"/>
  <c r="L3842" i="16"/>
  <c r="L3840" i="16"/>
  <c r="L3838" i="16"/>
  <c r="L3836" i="16"/>
  <c r="L3834" i="16"/>
  <c r="L3832" i="16"/>
  <c r="L3830" i="16"/>
  <c r="L3828" i="16"/>
  <c r="L3826" i="16"/>
  <c r="L3824" i="16"/>
  <c r="L3822" i="16"/>
  <c r="L3820" i="16"/>
  <c r="L3818" i="16"/>
  <c r="L3816" i="16"/>
  <c r="L3814" i="16"/>
  <c r="L3812" i="16"/>
  <c r="L3810" i="16"/>
  <c r="L3808" i="16"/>
  <c r="L3806" i="16"/>
  <c r="L3804" i="16"/>
  <c r="L3802" i="16"/>
  <c r="L3800" i="16"/>
  <c r="L3798" i="16"/>
  <c r="L3796" i="16"/>
  <c r="L3794" i="16"/>
  <c r="L3792" i="16"/>
  <c r="L3790" i="16"/>
  <c r="L3788" i="16"/>
  <c r="L3786" i="16"/>
  <c r="L3784" i="16"/>
  <c r="L3782" i="16"/>
  <c r="L3780" i="16"/>
  <c r="L3778" i="16"/>
  <c r="L3776" i="16"/>
  <c r="L3774" i="16"/>
  <c r="L3772" i="16"/>
  <c r="L3770" i="16"/>
  <c r="L3768" i="16"/>
  <c r="L3766" i="16"/>
  <c r="L3764" i="16"/>
  <c r="L3762" i="16"/>
  <c r="L3760" i="16"/>
  <c r="L3758" i="16"/>
  <c r="L3756" i="16"/>
  <c r="L3754" i="16"/>
  <c r="L3752" i="16"/>
  <c r="L3750" i="16"/>
  <c r="L3748" i="16"/>
  <c r="L3746" i="16"/>
  <c r="L3744" i="16"/>
  <c r="L3742" i="16"/>
  <c r="L3909" i="16"/>
  <c r="L3907" i="16"/>
  <c r="L3905" i="16"/>
  <c r="L3903" i="16"/>
  <c r="L3901" i="16"/>
  <c r="L3899" i="16"/>
  <c r="L3897" i="16"/>
  <c r="L3895" i="16"/>
  <c r="L3893" i="16"/>
  <c r="L3891" i="16"/>
  <c r="L3889" i="16"/>
  <c r="L3887" i="16"/>
  <c r="L3885" i="16"/>
  <c r="L3883" i="16"/>
  <c r="L3881" i="16"/>
  <c r="L3879" i="16"/>
  <c r="L3877" i="16"/>
  <c r="L3875" i="16"/>
  <c r="L3873" i="16"/>
  <c r="L3871" i="16"/>
  <c r="L3869" i="16"/>
  <c r="L3867" i="16"/>
  <c r="L3865" i="16"/>
  <c r="L3863" i="16"/>
  <c r="L3861" i="16"/>
  <c r="L3859" i="16"/>
  <c r="L3857" i="16"/>
  <c r="L3855" i="16"/>
  <c r="L3853" i="16"/>
  <c r="L3851" i="16"/>
  <c r="L3849" i="16"/>
  <c r="L3847" i="16"/>
  <c r="L3845" i="16"/>
  <c r="L3843" i="16"/>
  <c r="L3841" i="16"/>
  <c r="L3839" i="16"/>
  <c r="L3837" i="16"/>
  <c r="L3835" i="16"/>
  <c r="L3833" i="16"/>
  <c r="L3831" i="16"/>
  <c r="L3829" i="16"/>
  <c r="L3827" i="16"/>
  <c r="L3825" i="16"/>
  <c r="L3823" i="16"/>
  <c r="L3821" i="16"/>
  <c r="L3819" i="16"/>
  <c r="L3817" i="16"/>
  <c r="L3815" i="16"/>
  <c r="L3813" i="16"/>
  <c r="L3811" i="16"/>
  <c r="L3809" i="16"/>
  <c r="L3807" i="16"/>
  <c r="L3805" i="16"/>
  <c r="L3803" i="16"/>
  <c r="L3801" i="16"/>
  <c r="L3799" i="16"/>
  <c r="L3797" i="16"/>
  <c r="L3795" i="16"/>
  <c r="L3793" i="16"/>
  <c r="L3791" i="16"/>
  <c r="L3789" i="16"/>
  <c r="L3787" i="16"/>
  <c r="L3785" i="16"/>
  <c r="L3783" i="16"/>
  <c r="L3781" i="16"/>
  <c r="L3779" i="16"/>
  <c r="L3777" i="16"/>
  <c r="L3775" i="16"/>
  <c r="L3773" i="16"/>
  <c r="L3771" i="16"/>
  <c r="L3769" i="16"/>
  <c r="L3767" i="16"/>
  <c r="L3765" i="16"/>
  <c r="L3763" i="16"/>
  <c r="L3761" i="16"/>
  <c r="L3759" i="16"/>
  <c r="L3757" i="16"/>
  <c r="L3755" i="16"/>
  <c r="L3753" i="16"/>
  <c r="L3751" i="16"/>
  <c r="L3749" i="16"/>
  <c r="L3747" i="16"/>
  <c r="L3745" i="16"/>
  <c r="L3743" i="16"/>
  <c r="L3741" i="16"/>
  <c r="L3740" i="16"/>
  <c r="L3738" i="16"/>
  <c r="L3736" i="16"/>
  <c r="L3734" i="16"/>
  <c r="L3732" i="16"/>
  <c r="L3730" i="16"/>
  <c r="L3728" i="16"/>
  <c r="L3726" i="16"/>
  <c r="L3724" i="16"/>
  <c r="L3722" i="16"/>
  <c r="L3720" i="16"/>
  <c r="L3718" i="16"/>
  <c r="L3716" i="16"/>
  <c r="L3714" i="16"/>
  <c r="L3712" i="16"/>
  <c r="L3710" i="16"/>
  <c r="L3708" i="16"/>
  <c r="L3706" i="16"/>
  <c r="L3704" i="16"/>
  <c r="L3702" i="16"/>
  <c r="L3700" i="16"/>
  <c r="L3698" i="16"/>
  <c r="L3696" i="16"/>
  <c r="L3694" i="16"/>
  <c r="L3692" i="16"/>
  <c r="L3690" i="16"/>
  <c r="L3688" i="16"/>
  <c r="L3686" i="16"/>
  <c r="L3684" i="16"/>
  <c r="L3682" i="16"/>
  <c r="L3680" i="16"/>
  <c r="L3678" i="16"/>
  <c r="L3676" i="16"/>
  <c r="L3674" i="16"/>
  <c r="L3672" i="16"/>
  <c r="L3670" i="16"/>
  <c r="L3668" i="16"/>
  <c r="L3666" i="16"/>
  <c r="L3664" i="16"/>
  <c r="L3662" i="16"/>
  <c r="L3660" i="16"/>
  <c r="L3658" i="16"/>
  <c r="L3656" i="16"/>
  <c r="L3654" i="16"/>
  <c r="L3652" i="16"/>
  <c r="L3650" i="16"/>
  <c r="L3648" i="16"/>
  <c r="L3646" i="16"/>
  <c r="L3644" i="16"/>
  <c r="L3642" i="16"/>
  <c r="L3640" i="16"/>
  <c r="L3638" i="16"/>
  <c r="L3636" i="16"/>
  <c r="L3634" i="16"/>
  <c r="L3632" i="16"/>
  <c r="L3630" i="16"/>
  <c r="L3628" i="16"/>
  <c r="L3626" i="16"/>
  <c r="L3624" i="16"/>
  <c r="L3622" i="16"/>
  <c r="L3620" i="16"/>
  <c r="L3618" i="16"/>
  <c r="L3616" i="16"/>
  <c r="L3614" i="16"/>
  <c r="L3612" i="16"/>
  <c r="L3610" i="16"/>
  <c r="L3608" i="16"/>
  <c r="L3606" i="16"/>
  <c r="L3604" i="16"/>
  <c r="L3602" i="16"/>
  <c r="L3600" i="16"/>
  <c r="L3598" i="16"/>
  <c r="L3596" i="16"/>
  <c r="L3594" i="16"/>
  <c r="L3592" i="16"/>
  <c r="L3590" i="16"/>
  <c r="L3588" i="16"/>
  <c r="L3586" i="16"/>
  <c r="L3584" i="16"/>
  <c r="L3582" i="16"/>
  <c r="L3580" i="16"/>
  <c r="L3578" i="16"/>
  <c r="L3576" i="16"/>
  <c r="L3574" i="16"/>
  <c r="L3572" i="16"/>
  <c r="L3739" i="16"/>
  <c r="L3737" i="16"/>
  <c r="L3735" i="16"/>
  <c r="L3733" i="16"/>
  <c r="L3731" i="16"/>
  <c r="L3729" i="16"/>
  <c r="L3727" i="16"/>
  <c r="L3725" i="16"/>
  <c r="L3723" i="16"/>
  <c r="L3721" i="16"/>
  <c r="L3719" i="16"/>
  <c r="L3717" i="16"/>
  <c r="L3715" i="16"/>
  <c r="L3713" i="16"/>
  <c r="L3711" i="16"/>
  <c r="L3709" i="16"/>
  <c r="L3707" i="16"/>
  <c r="L3705" i="16"/>
  <c r="L3703" i="16"/>
  <c r="L3701" i="16"/>
  <c r="L3699" i="16"/>
  <c r="L3697" i="16"/>
  <c r="L3695" i="16"/>
  <c r="L3693" i="16"/>
  <c r="L3691" i="16"/>
  <c r="L3689" i="16"/>
  <c r="L3687" i="16"/>
  <c r="L3685" i="16"/>
  <c r="L3683" i="16"/>
  <c r="L3681" i="16"/>
  <c r="L3679" i="16"/>
  <c r="L3677" i="16"/>
  <c r="L3675" i="16"/>
  <c r="L3673" i="16"/>
  <c r="L3671" i="16"/>
  <c r="L3669" i="16"/>
  <c r="L3667" i="16"/>
  <c r="L3665" i="16"/>
  <c r="L3663" i="16"/>
  <c r="L3661" i="16"/>
  <c r="L3659" i="16"/>
  <c r="L3657" i="16"/>
  <c r="L3655" i="16"/>
  <c r="L3653" i="16"/>
  <c r="L3651" i="16"/>
  <c r="L3649" i="16"/>
  <c r="L3647" i="16"/>
  <c r="L3645" i="16"/>
  <c r="L3643" i="16"/>
  <c r="L3641" i="16"/>
  <c r="L3639" i="16"/>
  <c r="L3637" i="16"/>
  <c r="L3635" i="16"/>
  <c r="L3633" i="16"/>
  <c r="L3631" i="16"/>
  <c r="L3629" i="16"/>
  <c r="L3627" i="16"/>
  <c r="L3625" i="16"/>
  <c r="L3623" i="16"/>
  <c r="L3621" i="16"/>
  <c r="L3619" i="16"/>
  <c r="L3617" i="16"/>
  <c r="L3615" i="16"/>
  <c r="L3613" i="16"/>
  <c r="L3611" i="16"/>
  <c r="L3609" i="16"/>
  <c r="L3607" i="16"/>
  <c r="L3605" i="16"/>
  <c r="L3603" i="16"/>
  <c r="L3601" i="16"/>
  <c r="L3599" i="16"/>
  <c r="L3597" i="16"/>
  <c r="L3595" i="16"/>
  <c r="L3593" i="16"/>
  <c r="L3591" i="16"/>
  <c r="L3589" i="16"/>
  <c r="L3587" i="16"/>
  <c r="L3585" i="16"/>
  <c r="L3583" i="16"/>
  <c r="L3581" i="16"/>
  <c r="L3579" i="16"/>
  <c r="L3577" i="16"/>
  <c r="L3575" i="16"/>
  <c r="L3573" i="16"/>
  <c r="L3571" i="16"/>
  <c r="L3570" i="16"/>
  <c r="L3568" i="16"/>
  <c r="L3566" i="16"/>
  <c r="L3564" i="16"/>
  <c r="L3562" i="16"/>
  <c r="L3560" i="16"/>
  <c r="L3558" i="16"/>
  <c r="L3556" i="16"/>
  <c r="L3554" i="16"/>
  <c r="L3552" i="16"/>
  <c r="L3550" i="16"/>
  <c r="L3548" i="16"/>
  <c r="L3546" i="16"/>
  <c r="L3544" i="16"/>
  <c r="L3542" i="16"/>
  <c r="L3540" i="16"/>
  <c r="L3538" i="16"/>
  <c r="L3536" i="16"/>
  <c r="L3534" i="16"/>
  <c r="L3532" i="16"/>
  <c r="L3530" i="16"/>
  <c r="L3528" i="16"/>
  <c r="L3526" i="16"/>
  <c r="L3524" i="16"/>
  <c r="L3522" i="16"/>
  <c r="L3520" i="16"/>
  <c r="L3518" i="16"/>
  <c r="L3516" i="16"/>
  <c r="L3514" i="16"/>
  <c r="L3512" i="16"/>
  <c r="L3510" i="16"/>
  <c r="L3508" i="16"/>
  <c r="L3506" i="16"/>
  <c r="L3504" i="16"/>
  <c r="L3502" i="16"/>
  <c r="L3500" i="16"/>
  <c r="L3498" i="16"/>
  <c r="L3496" i="16"/>
  <c r="L3494" i="16"/>
  <c r="L3492" i="16"/>
  <c r="L3490" i="16"/>
  <c r="L3488" i="16"/>
  <c r="L3486" i="16"/>
  <c r="L3484" i="16"/>
  <c r="L3482" i="16"/>
  <c r="L3480" i="16"/>
  <c r="L3478" i="16"/>
  <c r="L3476" i="16"/>
  <c r="L3474" i="16"/>
  <c r="L3472" i="16"/>
  <c r="L3470" i="16"/>
  <c r="L3468" i="16"/>
  <c r="L3466" i="16"/>
  <c r="L3464" i="16"/>
  <c r="L3462" i="16"/>
  <c r="L3460" i="16"/>
  <c r="L3458" i="16"/>
  <c r="L3456" i="16"/>
  <c r="L3454" i="16"/>
  <c r="L3452" i="16"/>
  <c r="L3450" i="16"/>
  <c r="L3448" i="16"/>
  <c r="L3446" i="16"/>
  <c r="L3444" i="16"/>
  <c r="L3442" i="16"/>
  <c r="L3440" i="16"/>
  <c r="L3438" i="16"/>
  <c r="L3436" i="16"/>
  <c r="L3434" i="16"/>
  <c r="L3432" i="16"/>
  <c r="L3430" i="16"/>
  <c r="L3428" i="16"/>
  <c r="L3426" i="16"/>
  <c r="L3424" i="16"/>
  <c r="L3422" i="16"/>
  <c r="L3420" i="16"/>
  <c r="L3418" i="16"/>
  <c r="L3416" i="16"/>
  <c r="L3414" i="16"/>
  <c r="L3412" i="16"/>
  <c r="L3410" i="16"/>
  <c r="L3408" i="16"/>
  <c r="L3406" i="16"/>
  <c r="L3404" i="16"/>
  <c r="L3402" i="16"/>
  <c r="L3400" i="16"/>
  <c r="L3398" i="16"/>
  <c r="L3396" i="16"/>
  <c r="L3394" i="16"/>
  <c r="L3392" i="16"/>
  <c r="L3390" i="16"/>
  <c r="L3388" i="16"/>
  <c r="L3386" i="16"/>
  <c r="L3384" i="16"/>
  <c r="L3382" i="16"/>
  <c r="L3380" i="16"/>
  <c r="L3378" i="16"/>
  <c r="L3376" i="16"/>
  <c r="L3374" i="16"/>
  <c r="L3372" i="16"/>
  <c r="L3370" i="16"/>
  <c r="L3368" i="16"/>
  <c r="L3366" i="16"/>
  <c r="L3364" i="16"/>
  <c r="L3362" i="16"/>
  <c r="L3360" i="16"/>
  <c r="L3358" i="16"/>
  <c r="L3356" i="16"/>
  <c r="L3354" i="16"/>
  <c r="L3352" i="16"/>
  <c r="L3350" i="16"/>
  <c r="L3348" i="16"/>
  <c r="L3346" i="16"/>
  <c r="L3344" i="16"/>
  <c r="L3342" i="16"/>
  <c r="L3340" i="16"/>
  <c r="L3338" i="16"/>
  <c r="L3336" i="16"/>
  <c r="L3334" i="16"/>
  <c r="L3332" i="16"/>
  <c r="L3330" i="16"/>
  <c r="L3328" i="16"/>
  <c r="L3326" i="16"/>
  <c r="L3324" i="16"/>
  <c r="L3322" i="16"/>
  <c r="L3320" i="16"/>
  <c r="L3318" i="16"/>
  <c r="L3316" i="16"/>
  <c r="L3314" i="16"/>
  <c r="L3312" i="16"/>
  <c r="L3310" i="16"/>
  <c r="L3308" i="16"/>
  <c r="L3306" i="16"/>
  <c r="L3304" i="16"/>
  <c r="L3302" i="16"/>
  <c r="L3300" i="16"/>
  <c r="L3298" i="16"/>
  <c r="L3296" i="16"/>
  <c r="L3294" i="16"/>
  <c r="L3292" i="16"/>
  <c r="L3290" i="16"/>
  <c r="L3288" i="16"/>
  <c r="L3286" i="16"/>
  <c r="L3284" i="16"/>
  <c r="L3282" i="16"/>
  <c r="L3280" i="16"/>
  <c r="L3278" i="16"/>
  <c r="L3276" i="16"/>
  <c r="L3274" i="16"/>
  <c r="L3272" i="16"/>
  <c r="L3270" i="16"/>
  <c r="L3268" i="16"/>
  <c r="L3266" i="16"/>
  <c r="L3264" i="16"/>
  <c r="L3262" i="16"/>
  <c r="L3260" i="16"/>
  <c r="L3258" i="16"/>
  <c r="L3256" i="16"/>
  <c r="L3254" i="16"/>
  <c r="L3252" i="16"/>
  <c r="L3250" i="16"/>
  <c r="L3248" i="16"/>
  <c r="L3246" i="16"/>
  <c r="L3244" i="16"/>
  <c r="L3242" i="16"/>
  <c r="L3240" i="16"/>
  <c r="L3238" i="16"/>
  <c r="L3236" i="16"/>
  <c r="L3234" i="16"/>
  <c r="L3232" i="16"/>
  <c r="L3569" i="16"/>
  <c r="L3567" i="16"/>
  <c r="L3565" i="16"/>
  <c r="L3563" i="16"/>
  <c r="L3561" i="16"/>
  <c r="L3559" i="16"/>
  <c r="L3557" i="16"/>
  <c r="L3555" i="16"/>
  <c r="L3553" i="16"/>
  <c r="L3551" i="16"/>
  <c r="L3549" i="16"/>
  <c r="L3547" i="16"/>
  <c r="L3545" i="16"/>
  <c r="L3543" i="16"/>
  <c r="L3541" i="16"/>
  <c r="L3539" i="16"/>
  <c r="L3537" i="16"/>
  <c r="L3535" i="16"/>
  <c r="L3533" i="16"/>
  <c r="L3531" i="16"/>
  <c r="L3529" i="16"/>
  <c r="L3527" i="16"/>
  <c r="L3525" i="16"/>
  <c r="L3523" i="16"/>
  <c r="L3521" i="16"/>
  <c r="L3519" i="16"/>
  <c r="L3517" i="16"/>
  <c r="L3515" i="16"/>
  <c r="L3513" i="16"/>
  <c r="L3511" i="16"/>
  <c r="L3509" i="16"/>
  <c r="L3507" i="16"/>
  <c r="L3505" i="16"/>
  <c r="L3503" i="16"/>
  <c r="L3501" i="16"/>
  <c r="L3499" i="16"/>
  <c r="L3497" i="16"/>
  <c r="L3495" i="16"/>
  <c r="L3493" i="16"/>
  <c r="L3491" i="16"/>
  <c r="L3489" i="16"/>
  <c r="L3487" i="16"/>
  <c r="L3485" i="16"/>
  <c r="L3483" i="16"/>
  <c r="L3481" i="16"/>
  <c r="L3479" i="16"/>
  <c r="L3477" i="16"/>
  <c r="L3475" i="16"/>
  <c r="L3473" i="16"/>
  <c r="L3471" i="16"/>
  <c r="L3469" i="16"/>
  <c r="L3467" i="16"/>
  <c r="L3465" i="16"/>
  <c r="L3463" i="16"/>
  <c r="L3461" i="16"/>
  <c r="L3459" i="16"/>
  <c r="L3457" i="16"/>
  <c r="L3455" i="16"/>
  <c r="L3453" i="16"/>
  <c r="L3451" i="16"/>
  <c r="L3449" i="16"/>
  <c r="L3447" i="16"/>
  <c r="L3445" i="16"/>
  <c r="L3443" i="16"/>
  <c r="L3441" i="16"/>
  <c r="L3439" i="16"/>
  <c r="L3437" i="16"/>
  <c r="L3435" i="16"/>
  <c r="L3433" i="16"/>
  <c r="L3431" i="16"/>
  <c r="L3429" i="16"/>
  <c r="L3427" i="16"/>
  <c r="L3425" i="16"/>
  <c r="L3423" i="16"/>
  <c r="L3421" i="16"/>
  <c r="L3419" i="16"/>
  <c r="L3417" i="16"/>
  <c r="L3415" i="16"/>
  <c r="L3413" i="16"/>
  <c r="L3411" i="16"/>
  <c r="L3409" i="16"/>
  <c r="L3407" i="16"/>
  <c r="L3405" i="16"/>
  <c r="L3403" i="16"/>
  <c r="L3401" i="16"/>
  <c r="L3399" i="16"/>
  <c r="L3397" i="16"/>
  <c r="L3395" i="16"/>
  <c r="L3393" i="16"/>
  <c r="L3391" i="16"/>
  <c r="L3389" i="16"/>
  <c r="L3387" i="16"/>
  <c r="L3385" i="16"/>
  <c r="L3383" i="16"/>
  <c r="L3381" i="16"/>
  <c r="L3379" i="16"/>
  <c r="L3377" i="16"/>
  <c r="L3375" i="16"/>
  <c r="L3373" i="16"/>
  <c r="L3371" i="16"/>
  <c r="L3369" i="16"/>
  <c r="L3367" i="16"/>
  <c r="L3365" i="16"/>
  <c r="L3363" i="16"/>
  <c r="L3361" i="16"/>
  <c r="L3359" i="16"/>
  <c r="L3357" i="16"/>
  <c r="L3355" i="16"/>
  <c r="L3353" i="16"/>
  <c r="L3351" i="16"/>
  <c r="L3349" i="16"/>
  <c r="L3347" i="16"/>
  <c r="L3345" i="16"/>
  <c r="L3343" i="16"/>
  <c r="L3341" i="16"/>
  <c r="L3339" i="16"/>
  <c r="L3337" i="16"/>
  <c r="L3335" i="16"/>
  <c r="L3333" i="16"/>
  <c r="L3331" i="16"/>
  <c r="L3329" i="16"/>
  <c r="L3327" i="16"/>
  <c r="L3325" i="16"/>
  <c r="L3323" i="16"/>
  <c r="L3321" i="16"/>
  <c r="L3319" i="16"/>
  <c r="L3317" i="16"/>
  <c r="L3315" i="16"/>
  <c r="L3313" i="16"/>
  <c r="L3311" i="16"/>
  <c r="L3309" i="16"/>
  <c r="L3307" i="16"/>
  <c r="L3305" i="16"/>
  <c r="L3303" i="16"/>
  <c r="L3301" i="16"/>
  <c r="L3299" i="16"/>
  <c r="L3297" i="16"/>
  <c r="L3295" i="16"/>
  <c r="L3293" i="16"/>
  <c r="L3291" i="16"/>
  <c r="L3289" i="16"/>
  <c r="L3287" i="16"/>
  <c r="L3285" i="16"/>
  <c r="L3283" i="16"/>
  <c r="L3281" i="16"/>
  <c r="L3279" i="16"/>
  <c r="L3277" i="16"/>
  <c r="L3275" i="16"/>
  <c r="L3273" i="16"/>
  <c r="L3271" i="16"/>
  <c r="L3269" i="16"/>
  <c r="L3267" i="16"/>
  <c r="L3265" i="16"/>
  <c r="L3263" i="16"/>
  <c r="L3261" i="16"/>
  <c r="L3259" i="16"/>
  <c r="L3257" i="16"/>
  <c r="L3255" i="16"/>
  <c r="L3253" i="16"/>
  <c r="L3251" i="16"/>
  <c r="L3249" i="16"/>
  <c r="L3247" i="16"/>
  <c r="L3245" i="16"/>
  <c r="L3243" i="16"/>
  <c r="L3241" i="16"/>
  <c r="L3239" i="16"/>
  <c r="L3237" i="16"/>
  <c r="L3235" i="16"/>
  <c r="L3233" i="16"/>
  <c r="L3231" i="16"/>
  <c r="L3229" i="16"/>
  <c r="L3227" i="16"/>
  <c r="L3225" i="16"/>
  <c r="L3223" i="16"/>
  <c r="L3221" i="16"/>
  <c r="L3219" i="16"/>
  <c r="L3217" i="16"/>
  <c r="L3215" i="16"/>
  <c r="L3213" i="16"/>
  <c r="L3211" i="16"/>
  <c r="L3209" i="16"/>
  <c r="L3207" i="16"/>
  <c r="L3205" i="16"/>
  <c r="L3203" i="16"/>
  <c r="L3201" i="16"/>
  <c r="L3199" i="16"/>
  <c r="L3197" i="16"/>
  <c r="L3195" i="16"/>
  <c r="L3193" i="16"/>
  <c r="L3191" i="16"/>
  <c r="L3189" i="16"/>
  <c r="L3187" i="16"/>
  <c r="L3185" i="16"/>
  <c r="L3183" i="16"/>
  <c r="L3181" i="16"/>
  <c r="L3179" i="16"/>
  <c r="L3177" i="16"/>
  <c r="L3175" i="16"/>
  <c r="L3173" i="16"/>
  <c r="L3171" i="16"/>
  <c r="L3169" i="16"/>
  <c r="L3167" i="16"/>
  <c r="L3165" i="16"/>
  <c r="L3163" i="16"/>
  <c r="L3161" i="16"/>
  <c r="L3159" i="16"/>
  <c r="L3157" i="16"/>
  <c r="L3155" i="16"/>
  <c r="L3153" i="16"/>
  <c r="L3151" i="16"/>
  <c r="L3149" i="16"/>
  <c r="L3147" i="16"/>
  <c r="L3145" i="16"/>
  <c r="L3143" i="16"/>
  <c r="L3141" i="16"/>
  <c r="L3139" i="16"/>
  <c r="L3137" i="16"/>
  <c r="L3135" i="16"/>
  <c r="L3133" i="16"/>
  <c r="L3131" i="16"/>
  <c r="L3129" i="16"/>
  <c r="L3127" i="16"/>
  <c r="L3125" i="16"/>
  <c r="L3123" i="16"/>
  <c r="L3121" i="16"/>
  <c r="L3119" i="16"/>
  <c r="L3117" i="16"/>
  <c r="L3115" i="16"/>
  <c r="L3113" i="16"/>
  <c r="L3111" i="16"/>
  <c r="L3109" i="16"/>
  <c r="L3107" i="16"/>
  <c r="L3105" i="16"/>
  <c r="L3103" i="16"/>
  <c r="L3101" i="16"/>
  <c r="L3099" i="16"/>
  <c r="L3097" i="16"/>
  <c r="L3095" i="16"/>
  <c r="L3093" i="16"/>
  <c r="L3091" i="16"/>
  <c r="L3089" i="16"/>
  <c r="L3087" i="16"/>
  <c r="L3085" i="16"/>
  <c r="L3083" i="16"/>
  <c r="L3081" i="16"/>
  <c r="L3079" i="16"/>
  <c r="L3077" i="16"/>
  <c r="L3075" i="16"/>
  <c r="L3073" i="16"/>
  <c r="L3071" i="16"/>
  <c r="L3069" i="16"/>
  <c r="L3067" i="16"/>
  <c r="L3065" i="16"/>
  <c r="L3063" i="16"/>
  <c r="L3061" i="16"/>
  <c r="L3059" i="16"/>
  <c r="L3057" i="16"/>
  <c r="L3055" i="16"/>
  <c r="L3053" i="16"/>
  <c r="L3051" i="16"/>
  <c r="L3049" i="16"/>
  <c r="L3047" i="16"/>
  <c r="L3045" i="16"/>
  <c r="L3043" i="16"/>
  <c r="L3041" i="16"/>
  <c r="L3039" i="16"/>
  <c r="L3037" i="16"/>
  <c r="L3035" i="16"/>
  <c r="L3033" i="16"/>
  <c r="L3031" i="16"/>
  <c r="L3029" i="16"/>
  <c r="L3027" i="16"/>
  <c r="L3025" i="16"/>
  <c r="L3023" i="16"/>
  <c r="L3021" i="16"/>
  <c r="L3019" i="16"/>
  <c r="L3017" i="16"/>
  <c r="L3015" i="16"/>
  <c r="L3013" i="16"/>
  <c r="L3011" i="16"/>
  <c r="L3009" i="16"/>
  <c r="L3007" i="16"/>
  <c r="L3005" i="16"/>
  <c r="L3003" i="16"/>
  <c r="L3001" i="16"/>
  <c r="L2999" i="16"/>
  <c r="L2997" i="16"/>
  <c r="L2995" i="16"/>
  <c r="L2993" i="16"/>
  <c r="L2991" i="16"/>
  <c r="L2989" i="16"/>
  <c r="L2987" i="16"/>
  <c r="L2985" i="16"/>
  <c r="L2983" i="16"/>
  <c r="L2981" i="16"/>
  <c r="L2979" i="16"/>
  <c r="L2977" i="16"/>
  <c r="L2975" i="16"/>
  <c r="L2973" i="16"/>
  <c r="L2971" i="16"/>
  <c r="L2969" i="16"/>
  <c r="L2967" i="16"/>
  <c r="L2965" i="16"/>
  <c r="L2963" i="16"/>
  <c r="L2961" i="16"/>
  <c r="L2959" i="16"/>
  <c r="L2957" i="16"/>
  <c r="L2955" i="16"/>
  <c r="L2953" i="16"/>
  <c r="L2951" i="16"/>
  <c r="L2949" i="16"/>
  <c r="L2947" i="16"/>
  <c r="L2945" i="16"/>
  <c r="L2943" i="16"/>
  <c r="L2941" i="16"/>
  <c r="L2939" i="16"/>
  <c r="L2937" i="16"/>
  <c r="L2935" i="16"/>
  <c r="L2933" i="16"/>
  <c r="L2931" i="16"/>
  <c r="L2929" i="16"/>
  <c r="L2927" i="16"/>
  <c r="L2925" i="16"/>
  <c r="L2923" i="16"/>
  <c r="L2921" i="16"/>
  <c r="L2919" i="16"/>
  <c r="L2917" i="16"/>
  <c r="L2915" i="16"/>
  <c r="L2913" i="16"/>
  <c r="L2911" i="16"/>
  <c r="L2909" i="16"/>
  <c r="L2907" i="16"/>
  <c r="L2905" i="16"/>
  <c r="L2903" i="16"/>
  <c r="L2901" i="16"/>
  <c r="L2899" i="16"/>
  <c r="L2897" i="16"/>
  <c r="L2895" i="16"/>
  <c r="L2893" i="16"/>
  <c r="L2891" i="16"/>
  <c r="L2889" i="16"/>
  <c r="L3230" i="16"/>
  <c r="L3228" i="16"/>
  <c r="L3226" i="16"/>
  <c r="L3224" i="16"/>
  <c r="L3222" i="16"/>
  <c r="L3220" i="16"/>
  <c r="L3218" i="16"/>
  <c r="L3216" i="16"/>
  <c r="L3214" i="16"/>
  <c r="L3212" i="16"/>
  <c r="L3210" i="16"/>
  <c r="L3208" i="16"/>
  <c r="L3206" i="16"/>
  <c r="L3204" i="16"/>
  <c r="L3202" i="16"/>
  <c r="L3200" i="16"/>
  <c r="L3198" i="16"/>
  <c r="L3196" i="16"/>
  <c r="L3194" i="16"/>
  <c r="L3192" i="16"/>
  <c r="L3190" i="16"/>
  <c r="L3188" i="16"/>
  <c r="L3186" i="16"/>
  <c r="L3184" i="16"/>
  <c r="L3182" i="16"/>
  <c r="L3180" i="16"/>
  <c r="L3178" i="16"/>
  <c r="L3176" i="16"/>
  <c r="L3174" i="16"/>
  <c r="L3172" i="16"/>
  <c r="L3170" i="16"/>
  <c r="L3168" i="16"/>
  <c r="L3166" i="16"/>
  <c r="L3164" i="16"/>
  <c r="L3162" i="16"/>
  <c r="L3160" i="16"/>
  <c r="L3158" i="16"/>
  <c r="L3156" i="16"/>
  <c r="L3154" i="16"/>
  <c r="L3152" i="16"/>
  <c r="L3150" i="16"/>
  <c r="L3148" i="16"/>
  <c r="L3146" i="16"/>
  <c r="L3144" i="16"/>
  <c r="L3142" i="16"/>
  <c r="L3140" i="16"/>
  <c r="L3138" i="16"/>
  <c r="L3136" i="16"/>
  <c r="L3134" i="16"/>
  <c r="L3132" i="16"/>
  <c r="L3130" i="16"/>
  <c r="L3128" i="16"/>
  <c r="L3126" i="16"/>
  <c r="L3124" i="16"/>
  <c r="L3122" i="16"/>
  <c r="L3120" i="16"/>
  <c r="L3118" i="16"/>
  <c r="L3116" i="16"/>
  <c r="L3114" i="16"/>
  <c r="L3112" i="16"/>
  <c r="L3110" i="16"/>
  <c r="L3108" i="16"/>
  <c r="L3106" i="16"/>
  <c r="L3104" i="16"/>
  <c r="L3102" i="16"/>
  <c r="L3100" i="16"/>
  <c r="L3098" i="16"/>
  <c r="L3096" i="16"/>
  <c r="L3094" i="16"/>
  <c r="L3092" i="16"/>
  <c r="L3090" i="16"/>
  <c r="L3088" i="16"/>
  <c r="L3086" i="16"/>
  <c r="L3084" i="16"/>
  <c r="L3082" i="16"/>
  <c r="L3080" i="16"/>
  <c r="L3078" i="16"/>
  <c r="L3076" i="16"/>
  <c r="L3074" i="16"/>
  <c r="L3072" i="16"/>
  <c r="L3070" i="16"/>
  <c r="L3068" i="16"/>
  <c r="L3066" i="16"/>
  <c r="L3064" i="16"/>
  <c r="L3062" i="16"/>
  <c r="L3060" i="16"/>
  <c r="L3058" i="16"/>
  <c r="L3056" i="16"/>
  <c r="L3054" i="16"/>
  <c r="L3052" i="16"/>
  <c r="L3050" i="16"/>
  <c r="L3048" i="16"/>
  <c r="L3046" i="16"/>
  <c r="L3044" i="16"/>
  <c r="L3042" i="16"/>
  <c r="L3040" i="16"/>
  <c r="L3038" i="16"/>
  <c r="L3036" i="16"/>
  <c r="L3034" i="16"/>
  <c r="L3032" i="16"/>
  <c r="L3030" i="16"/>
  <c r="L3028" i="16"/>
  <c r="L3026" i="16"/>
  <c r="L3024" i="16"/>
  <c r="L3022" i="16"/>
  <c r="L3020" i="16"/>
  <c r="L3018" i="16"/>
  <c r="L3016" i="16"/>
  <c r="L3014" i="16"/>
  <c r="L3012" i="16"/>
  <c r="L3010" i="16"/>
  <c r="L3008" i="16"/>
  <c r="L3006" i="16"/>
  <c r="L3004" i="16"/>
  <c r="L3002" i="16"/>
  <c r="L3000" i="16"/>
  <c r="L2998" i="16"/>
  <c r="L2996" i="16"/>
  <c r="L2994" i="16"/>
  <c r="L2992" i="16"/>
  <c r="L2990" i="16"/>
  <c r="L2988" i="16"/>
  <c r="L2986" i="16"/>
  <c r="L2984" i="16"/>
  <c r="L2982" i="16"/>
  <c r="L2980" i="16"/>
  <c r="L2978" i="16"/>
  <c r="L2976" i="16"/>
  <c r="L2974" i="16"/>
  <c r="L2972" i="16"/>
  <c r="L2970" i="16"/>
  <c r="L2968" i="16"/>
  <c r="L2966" i="16"/>
  <c r="L2964" i="16"/>
  <c r="L2962" i="16"/>
  <c r="L2960" i="16"/>
  <c r="L2958" i="16"/>
  <c r="L2956" i="16"/>
  <c r="L2954" i="16"/>
  <c r="L2952" i="16"/>
  <c r="L2950" i="16"/>
  <c r="L2948" i="16"/>
  <c r="L2946" i="16"/>
  <c r="L2944" i="16"/>
  <c r="L2942" i="16"/>
  <c r="L2940" i="16"/>
  <c r="L2938" i="16"/>
  <c r="L2936" i="16"/>
  <c r="L2934" i="16"/>
  <c r="L2932" i="16"/>
  <c r="L2930" i="16"/>
  <c r="L2928" i="16"/>
  <c r="L2926" i="16"/>
  <c r="L2924" i="16"/>
  <c r="L2922" i="16"/>
  <c r="L2920" i="16"/>
  <c r="L2918" i="16"/>
  <c r="L2916" i="16"/>
  <c r="L2914" i="16"/>
  <c r="L2912" i="16"/>
  <c r="L2887" i="16"/>
  <c r="L2885" i="16"/>
  <c r="L2883" i="16"/>
  <c r="L2881" i="16"/>
  <c r="L2879" i="16"/>
  <c r="L2877" i="16"/>
  <c r="L2875" i="16"/>
  <c r="L2873" i="16"/>
  <c r="L2871" i="16"/>
  <c r="L2869" i="16"/>
  <c r="L2867" i="16"/>
  <c r="L2865" i="16"/>
  <c r="L2863" i="16"/>
  <c r="L2861" i="16"/>
  <c r="L2859" i="16"/>
  <c r="L2857" i="16"/>
  <c r="L2855" i="16"/>
  <c r="L2853" i="16"/>
  <c r="L2851" i="16"/>
  <c r="L2849" i="16"/>
  <c r="L2847" i="16"/>
  <c r="L2845" i="16"/>
  <c r="L2843" i="16"/>
  <c r="L2841" i="16"/>
  <c r="L2839" i="16"/>
  <c r="L2837" i="16"/>
  <c r="L2835" i="16"/>
  <c r="L2833" i="16"/>
  <c r="L2831" i="16"/>
  <c r="L2829" i="16"/>
  <c r="L2827" i="16"/>
  <c r="L2825" i="16"/>
  <c r="L2823" i="16"/>
  <c r="L2821" i="16"/>
  <c r="L2819" i="16"/>
  <c r="L2817" i="16"/>
  <c r="L2815" i="16"/>
  <c r="L2813" i="16"/>
  <c r="L2811" i="16"/>
  <c r="L2809" i="16"/>
  <c r="L2807" i="16"/>
  <c r="L2805" i="16"/>
  <c r="L2803" i="16"/>
  <c r="L2801" i="16"/>
  <c r="L2799" i="16"/>
  <c r="L2797" i="16"/>
  <c r="L2795" i="16"/>
  <c r="L2793" i="16"/>
  <c r="L2791" i="16"/>
  <c r="L2789" i="16"/>
  <c r="L2787" i="16"/>
  <c r="L2785" i="16"/>
  <c r="L2783" i="16"/>
  <c r="L2781" i="16"/>
  <c r="L2779" i="16"/>
  <c r="L2777" i="16"/>
  <c r="L2775" i="16"/>
  <c r="L2773" i="16"/>
  <c r="L2771" i="16"/>
  <c r="L2769" i="16"/>
  <c r="L2767" i="16"/>
  <c r="L2765" i="16"/>
  <c r="L2763" i="16"/>
  <c r="L2761" i="16"/>
  <c r="L2759" i="16"/>
  <c r="L2757" i="16"/>
  <c r="L2755" i="16"/>
  <c r="L2753" i="16"/>
  <c r="L2751" i="16"/>
  <c r="L2749" i="16"/>
  <c r="L2747" i="16"/>
  <c r="L2745" i="16"/>
  <c r="L2743" i="16"/>
  <c r="L2741" i="16"/>
  <c r="L2739" i="16"/>
  <c r="L2737" i="16"/>
  <c r="L2735" i="16"/>
  <c r="L2733" i="16"/>
  <c r="L2731" i="16"/>
  <c r="L2729" i="16"/>
  <c r="L2727" i="16"/>
  <c r="L2725" i="16"/>
  <c r="L2723" i="16"/>
  <c r="L2721" i="16"/>
  <c r="L2719" i="16"/>
  <c r="L2717" i="16"/>
  <c r="L2715" i="16"/>
  <c r="L2713" i="16"/>
  <c r="L2711" i="16"/>
  <c r="L2709" i="16"/>
  <c r="L2707" i="16"/>
  <c r="L2705" i="16"/>
  <c r="L2703" i="16"/>
  <c r="L2701" i="16"/>
  <c r="L2699" i="16"/>
  <c r="L2697" i="16"/>
  <c r="L2695" i="16"/>
  <c r="L2693" i="16"/>
  <c r="L2691" i="16"/>
  <c r="L2689" i="16"/>
  <c r="L2687" i="16"/>
  <c r="L2685" i="16"/>
  <c r="L2683" i="16"/>
  <c r="L2681" i="16"/>
  <c r="L2679" i="16"/>
  <c r="L2677" i="16"/>
  <c r="L2675" i="16"/>
  <c r="L2673" i="16"/>
  <c r="L2671" i="16"/>
  <c r="L2669" i="16"/>
  <c r="L2667" i="16"/>
  <c r="L2665" i="16"/>
  <c r="L2663" i="16"/>
  <c r="L2661" i="16"/>
  <c r="L2659" i="16"/>
  <c r="L2657" i="16"/>
  <c r="L2655" i="16"/>
  <c r="L2653" i="16"/>
  <c r="L2651" i="16"/>
  <c r="L2649" i="16"/>
  <c r="L2647" i="16"/>
  <c r="L2645" i="16"/>
  <c r="L2643" i="16"/>
  <c r="L2641" i="16"/>
  <c r="L2639" i="16"/>
  <c r="L2637" i="16"/>
  <c r="L2635" i="16"/>
  <c r="L2633" i="16"/>
  <c r="L2631" i="16"/>
  <c r="L2629" i="16"/>
  <c r="L2627" i="16"/>
  <c r="L2625" i="16"/>
  <c r="L2623" i="16"/>
  <c r="L2621" i="16"/>
  <c r="L2619" i="16"/>
  <c r="L2617" i="16"/>
  <c r="L2615" i="16"/>
  <c r="L2613" i="16"/>
  <c r="L2611" i="16"/>
  <c r="L2609" i="16"/>
  <c r="L2607" i="16"/>
  <c r="L2605" i="16"/>
  <c r="L2603" i="16"/>
  <c r="L2601" i="16"/>
  <c r="L2599" i="16"/>
  <c r="L2597" i="16"/>
  <c r="L2595" i="16"/>
  <c r="L2593" i="16"/>
  <c r="L2591" i="16"/>
  <c r="L2589" i="16"/>
  <c r="L2587" i="16"/>
  <c r="L2585" i="16"/>
  <c r="L2583" i="16"/>
  <c r="L2581" i="16"/>
  <c r="L2579" i="16"/>
  <c r="L2577" i="16"/>
  <c r="L2575" i="16"/>
  <c r="L2573" i="16"/>
  <c r="L2571" i="16"/>
  <c r="L2569" i="16"/>
  <c r="L2567" i="16"/>
  <c r="L2565" i="16"/>
  <c r="L2563" i="16"/>
  <c r="L2561" i="16"/>
  <c r="L2559" i="16"/>
  <c r="L2557" i="16"/>
  <c r="L2555" i="16"/>
  <c r="L2553" i="16"/>
  <c r="L2551" i="16"/>
  <c r="L2549" i="16"/>
  <c r="L2547" i="16"/>
  <c r="L2545" i="16"/>
  <c r="L2543" i="16"/>
  <c r="L2541" i="16"/>
  <c r="L2539" i="16"/>
  <c r="L2537" i="16"/>
  <c r="L2535" i="16"/>
  <c r="L2533" i="16"/>
  <c r="L2531" i="16"/>
  <c r="L2529" i="16"/>
  <c r="L2527" i="16"/>
  <c r="L2525" i="16"/>
  <c r="L2523" i="16"/>
  <c r="L2521" i="16"/>
  <c r="L2519" i="16"/>
  <c r="L2517" i="16"/>
  <c r="L2515" i="16"/>
  <c r="L2513" i="16"/>
  <c r="L2511" i="16"/>
  <c r="L2509" i="16"/>
  <c r="L2507" i="16"/>
  <c r="L2505" i="16"/>
  <c r="L2503" i="16"/>
  <c r="L2501" i="16"/>
  <c r="L2499" i="16"/>
  <c r="L2497" i="16"/>
  <c r="L2495" i="16"/>
  <c r="L2493" i="16"/>
  <c r="L2491" i="16"/>
  <c r="L2489" i="16"/>
  <c r="L2487" i="16"/>
  <c r="L2485" i="16"/>
  <c r="L2483" i="16"/>
  <c r="L2481" i="16"/>
  <c r="L2479" i="16"/>
  <c r="L2477" i="16"/>
  <c r="L2475" i="16"/>
  <c r="L2473" i="16"/>
  <c r="L2471" i="16"/>
  <c r="L2469" i="16"/>
  <c r="L2467" i="16"/>
  <c r="L2465" i="16"/>
  <c r="L2463" i="16"/>
  <c r="L2461" i="16"/>
  <c r="L2459" i="16"/>
  <c r="L2457" i="16"/>
  <c r="L2455" i="16"/>
  <c r="L2453" i="16"/>
  <c r="L2451" i="16"/>
  <c r="L2449" i="16"/>
  <c r="L2447" i="16"/>
  <c r="L2445" i="16"/>
  <c r="L2443" i="16"/>
  <c r="L2441" i="16"/>
  <c r="L2439" i="16"/>
  <c r="L2437" i="16"/>
  <c r="L2435" i="16"/>
  <c r="L2433" i="16"/>
  <c r="L2431" i="16"/>
  <c r="L2429" i="16"/>
  <c r="L2427" i="16"/>
  <c r="L2425" i="16"/>
  <c r="L2423" i="16"/>
  <c r="L2421" i="16"/>
  <c r="L2419" i="16"/>
  <c r="L2417" i="16"/>
  <c r="L2415" i="16"/>
  <c r="L2413" i="16"/>
  <c r="L2411" i="16"/>
  <c r="L2409" i="16"/>
  <c r="L2407" i="16"/>
  <c r="L2405" i="16"/>
  <c r="L2403" i="16"/>
  <c r="L2401" i="16"/>
  <c r="L2399" i="16"/>
  <c r="L2397" i="16"/>
  <c r="L2395" i="16"/>
  <c r="L2393" i="16"/>
  <c r="L2391" i="16"/>
  <c r="L2389" i="16"/>
  <c r="L2387" i="16"/>
  <c r="L2385" i="16"/>
  <c r="L2383" i="16"/>
  <c r="L2381" i="16"/>
  <c r="L2379" i="16"/>
  <c r="L2377" i="16"/>
  <c r="L2375" i="16"/>
  <c r="L2373" i="16"/>
  <c r="L2371" i="16"/>
  <c r="L2369" i="16"/>
  <c r="L2367" i="16"/>
  <c r="L2365" i="16"/>
  <c r="L2363" i="16"/>
  <c r="L2361" i="16"/>
  <c r="L2359" i="16"/>
  <c r="L2357" i="16"/>
  <c r="L2355" i="16"/>
  <c r="L2353" i="16"/>
  <c r="L2351" i="16"/>
  <c r="L2349" i="16"/>
  <c r="L2347" i="16"/>
  <c r="L2345" i="16"/>
  <c r="L2343" i="16"/>
  <c r="L2341" i="16"/>
  <c r="L2339" i="16"/>
  <c r="L2337" i="16"/>
  <c r="L2335" i="16"/>
  <c r="L2333" i="16"/>
  <c r="L2331" i="16"/>
  <c r="L2329" i="16"/>
  <c r="L2327" i="16"/>
  <c r="L2325" i="16"/>
  <c r="L2323" i="16"/>
  <c r="L2321" i="16"/>
  <c r="L2319" i="16"/>
  <c r="L2317" i="16"/>
  <c r="L2315" i="16"/>
  <c r="L2313" i="16"/>
  <c r="L2311" i="16"/>
  <c r="L2309" i="16"/>
  <c r="L2307" i="16"/>
  <c r="L2305" i="16"/>
  <c r="L2303" i="16"/>
  <c r="L2301" i="16"/>
  <c r="L2299" i="16"/>
  <c r="L2297" i="16"/>
  <c r="L2295" i="16"/>
  <c r="L2293" i="16"/>
  <c r="L2291" i="16"/>
  <c r="L2289" i="16"/>
  <c r="L2287" i="16"/>
  <c r="L2285" i="16"/>
  <c r="L2283" i="16"/>
  <c r="L2281" i="16"/>
  <c r="L2279" i="16"/>
  <c r="L2277" i="16"/>
  <c r="L2275" i="16"/>
  <c r="L2273" i="16"/>
  <c r="L2271" i="16"/>
  <c r="L2269" i="16"/>
  <c r="L2267" i="16"/>
  <c r="L2265" i="16"/>
  <c r="L2263" i="16"/>
  <c r="L2261" i="16"/>
  <c r="L2259" i="16"/>
  <c r="L2257" i="16"/>
  <c r="L2255" i="16"/>
  <c r="L2253" i="16"/>
  <c r="L2251" i="16"/>
  <c r="L2249" i="16"/>
  <c r="L2247" i="16"/>
  <c r="L2245" i="16"/>
  <c r="L2243" i="16"/>
  <c r="L2241" i="16"/>
  <c r="L2239" i="16"/>
  <c r="L2237" i="16"/>
  <c r="L2235" i="16"/>
  <c r="L2233" i="16"/>
  <c r="L2231" i="16"/>
  <c r="L2229" i="16"/>
  <c r="L2227" i="16"/>
  <c r="L2225" i="16"/>
  <c r="L2223" i="16"/>
  <c r="L2221" i="16"/>
  <c r="L2219" i="16"/>
  <c r="L2910" i="16"/>
  <c r="L2908" i="16"/>
  <c r="L2906" i="16"/>
  <c r="L2904" i="16"/>
  <c r="L2902" i="16"/>
  <c r="L2900" i="16"/>
  <c r="L2898" i="16"/>
  <c r="L2896" i="16"/>
  <c r="L2894" i="16"/>
  <c r="L2892" i="16"/>
  <c r="L2890" i="16"/>
  <c r="L2888" i="16"/>
  <c r="L2886" i="16"/>
  <c r="L2884" i="16"/>
  <c r="L2882" i="16"/>
  <c r="L2880" i="16"/>
  <c r="L2878" i="16"/>
  <c r="L2876" i="16"/>
  <c r="L2874" i="16"/>
  <c r="L2872" i="16"/>
  <c r="L2870" i="16"/>
  <c r="L2868" i="16"/>
  <c r="L2866" i="16"/>
  <c r="L2864" i="16"/>
  <c r="L2862" i="16"/>
  <c r="L2860" i="16"/>
  <c r="L2858" i="16"/>
  <c r="L2856" i="16"/>
  <c r="L2854" i="16"/>
  <c r="L2852" i="16"/>
  <c r="L2850" i="16"/>
  <c r="L2848" i="16"/>
  <c r="L2846" i="16"/>
  <c r="L2844" i="16"/>
  <c r="L2842" i="16"/>
  <c r="L2840" i="16"/>
  <c r="L2838" i="16"/>
  <c r="L2836" i="16"/>
  <c r="L2834" i="16"/>
  <c r="L2832" i="16"/>
  <c r="L2830" i="16"/>
  <c r="L2828" i="16"/>
  <c r="L2826" i="16"/>
  <c r="L2824" i="16"/>
  <c r="L2822" i="16"/>
  <c r="L2820" i="16"/>
  <c r="L2818" i="16"/>
  <c r="L2816" i="16"/>
  <c r="L2814" i="16"/>
  <c r="L2812" i="16"/>
  <c r="L2810" i="16"/>
  <c r="L2808" i="16"/>
  <c r="L2806" i="16"/>
  <c r="L2804" i="16"/>
  <c r="L2802" i="16"/>
  <c r="L2800" i="16"/>
  <c r="L2798" i="16"/>
  <c r="L2796" i="16"/>
  <c r="L2794" i="16"/>
  <c r="L2792" i="16"/>
  <c r="L2790" i="16"/>
  <c r="L2788" i="16"/>
  <c r="L2786" i="16"/>
  <c r="L2784" i="16"/>
  <c r="L2782" i="16"/>
  <c r="L2780" i="16"/>
  <c r="L2778" i="16"/>
  <c r="L2776" i="16"/>
  <c r="L2774" i="16"/>
  <c r="L2772" i="16"/>
  <c r="L2770" i="16"/>
  <c r="L2768" i="16"/>
  <c r="L2766" i="16"/>
  <c r="L2764" i="16"/>
  <c r="L2762" i="16"/>
  <c r="L2760" i="16"/>
  <c r="L2758" i="16"/>
  <c r="L2756" i="16"/>
  <c r="L2754" i="16"/>
  <c r="L2752" i="16"/>
  <c r="L2750" i="16"/>
  <c r="L2748" i="16"/>
  <c r="L2746" i="16"/>
  <c r="L2744" i="16"/>
  <c r="L2742" i="16"/>
  <c r="L2740" i="16"/>
  <c r="L2738" i="16"/>
  <c r="L2736" i="16"/>
  <c r="L2734" i="16"/>
  <c r="L2732" i="16"/>
  <c r="L2730" i="16"/>
  <c r="L2728" i="16"/>
  <c r="L2726" i="16"/>
  <c r="L2724" i="16"/>
  <c r="L2722" i="16"/>
  <c r="L2720" i="16"/>
  <c r="L2718" i="16"/>
  <c r="L2716" i="16"/>
  <c r="L2714" i="16"/>
  <c r="L2712" i="16"/>
  <c r="L2710" i="16"/>
  <c r="L2708" i="16"/>
  <c r="L2706" i="16"/>
  <c r="L2704" i="16"/>
  <c r="L2702" i="16"/>
  <c r="L2700" i="16"/>
  <c r="L2698" i="16"/>
  <c r="L2696" i="16"/>
  <c r="L2694" i="16"/>
  <c r="L2692" i="16"/>
  <c r="L2690" i="16"/>
  <c r="L2688" i="16"/>
  <c r="L2686" i="16"/>
  <c r="L2684" i="16"/>
  <c r="L2682" i="16"/>
  <c r="L2680" i="16"/>
  <c r="L2678" i="16"/>
  <c r="L2676" i="16"/>
  <c r="L2674" i="16"/>
  <c r="L2672" i="16"/>
  <c r="L2670" i="16"/>
  <c r="L2668" i="16"/>
  <c r="L2666" i="16"/>
  <c r="L2664" i="16"/>
  <c r="L2662" i="16"/>
  <c r="L2660" i="16"/>
  <c r="L2658" i="16"/>
  <c r="L2656" i="16"/>
  <c r="L2654" i="16"/>
  <c r="L2652" i="16"/>
  <c r="L2650" i="16"/>
  <c r="L2648" i="16"/>
  <c r="L2646" i="16"/>
  <c r="L2644" i="16"/>
  <c r="L2642" i="16"/>
  <c r="L2640" i="16"/>
  <c r="L2638" i="16"/>
  <c r="L2636" i="16"/>
  <c r="L2634" i="16"/>
  <c r="L2632" i="16"/>
  <c r="L2630" i="16"/>
  <c r="L2628" i="16"/>
  <c r="L2626" i="16"/>
  <c r="L2624" i="16"/>
  <c r="L2622" i="16"/>
  <c r="L2620" i="16"/>
  <c r="L2618" i="16"/>
  <c r="L2616" i="16"/>
  <c r="L2614" i="16"/>
  <c r="L2612" i="16"/>
  <c r="L2610" i="16"/>
  <c r="L2608" i="16"/>
  <c r="L2606" i="16"/>
  <c r="L2604" i="16"/>
  <c r="L2602" i="16"/>
  <c r="L2600" i="16"/>
  <c r="L2598" i="16"/>
  <c r="L2596" i="16"/>
  <c r="L2594" i="16"/>
  <c r="L2592" i="16"/>
  <c r="L2590" i="16"/>
  <c r="L2588" i="16"/>
  <c r="L2586" i="16"/>
  <c r="L2584" i="16"/>
  <c r="L2582" i="16"/>
  <c r="L2580" i="16"/>
  <c r="L2578" i="16"/>
  <c r="L2576" i="16"/>
  <c r="L2574" i="16"/>
  <c r="L2572" i="16"/>
  <c r="L2570" i="16"/>
  <c r="L2568" i="16"/>
  <c r="L2566" i="16"/>
  <c r="L2564" i="16"/>
  <c r="L2562" i="16"/>
  <c r="L2560" i="16"/>
  <c r="L2558" i="16"/>
  <c r="L2556" i="16"/>
  <c r="L2554" i="16"/>
  <c r="L2552" i="16"/>
  <c r="L2550" i="16"/>
  <c r="L2548" i="16"/>
  <c r="L2546" i="16"/>
  <c r="L2544" i="16"/>
  <c r="L2542" i="16"/>
  <c r="L2540" i="16"/>
  <c r="L2538" i="16"/>
  <c r="L2536" i="16"/>
  <c r="L2534" i="16"/>
  <c r="L2532" i="16"/>
  <c r="L2530" i="16"/>
  <c r="L2528" i="16"/>
  <c r="L2526" i="16"/>
  <c r="L2524" i="16"/>
  <c r="L2522" i="16"/>
  <c r="L2520" i="16"/>
  <c r="L2518" i="16"/>
  <c r="L2516" i="16"/>
  <c r="L2514" i="16"/>
  <c r="L2512" i="16"/>
  <c r="L2510" i="16"/>
  <c r="L2508" i="16"/>
  <c r="L2506" i="16"/>
  <c r="L2504" i="16"/>
  <c r="L2502" i="16"/>
  <c r="L2500" i="16"/>
  <c r="L2498" i="16"/>
  <c r="L2496" i="16"/>
  <c r="L2494" i="16"/>
  <c r="L2492" i="16"/>
  <c r="L2490" i="16"/>
  <c r="L2488" i="16"/>
  <c r="L2486" i="16"/>
  <c r="L2484" i="16"/>
  <c r="L2482" i="16"/>
  <c r="L2480" i="16"/>
  <c r="L2478" i="16"/>
  <c r="L2476" i="16"/>
  <c r="L2474" i="16"/>
  <c r="L2472" i="16"/>
  <c r="L2470" i="16"/>
  <c r="L2468" i="16"/>
  <c r="L2466" i="16"/>
  <c r="L2464" i="16"/>
  <c r="L2462" i="16"/>
  <c r="L2460" i="16"/>
  <c r="L2458" i="16"/>
  <c r="L2456" i="16"/>
  <c r="L2454" i="16"/>
  <c r="L2452" i="16"/>
  <c r="L2450" i="16"/>
  <c r="L2448" i="16"/>
  <c r="L2446" i="16"/>
  <c r="L2444" i="16"/>
  <c r="L2442" i="16"/>
  <c r="L2440" i="16"/>
  <c r="L2438" i="16"/>
  <c r="L2436" i="16"/>
  <c r="L2434" i="16"/>
  <c r="L2432" i="16"/>
  <c r="L2430" i="16"/>
  <c r="L2428" i="16"/>
  <c r="L2426" i="16"/>
  <c r="L2424" i="16"/>
  <c r="L2422" i="16"/>
  <c r="L2420" i="16"/>
  <c r="L2418" i="16"/>
  <c r="L2416" i="16"/>
  <c r="L2414" i="16"/>
  <c r="L2412" i="16"/>
  <c r="L2410" i="16"/>
  <c r="L2408" i="16"/>
  <c r="L2406" i="16"/>
  <c r="L2404" i="16"/>
  <c r="L2402" i="16"/>
  <c r="L2400" i="16"/>
  <c r="L2398" i="16"/>
  <c r="L2396" i="16"/>
  <c r="L2394" i="16"/>
  <c r="L2392" i="16"/>
  <c r="L2390" i="16"/>
  <c r="L2388" i="16"/>
  <c r="L2386" i="16"/>
  <c r="L2384" i="16"/>
  <c r="L2382" i="16"/>
  <c r="L2380" i="16"/>
  <c r="L2378" i="16"/>
  <c r="L2376" i="16"/>
  <c r="L2374" i="16"/>
  <c r="L2372" i="16"/>
  <c r="L2370" i="16"/>
  <c r="L2368" i="16"/>
  <c r="L2366" i="16"/>
  <c r="L2364" i="16"/>
  <c r="L2362" i="16"/>
  <c r="L2360" i="16"/>
  <c r="L2358" i="16"/>
  <c r="L2356" i="16"/>
  <c r="L2354" i="16"/>
  <c r="L2352" i="16"/>
  <c r="L2350" i="16"/>
  <c r="L2348" i="16"/>
  <c r="L2346" i="16"/>
  <c r="L2344" i="16"/>
  <c r="L2342" i="16"/>
  <c r="L2340" i="16"/>
  <c r="L2338" i="16"/>
  <c r="L2336" i="16"/>
  <c r="L2334" i="16"/>
  <c r="L2332" i="16"/>
  <c r="L2330" i="16"/>
  <c r="L2328" i="16"/>
  <c r="L2326" i="16"/>
  <c r="L2324" i="16"/>
  <c r="L2322" i="16"/>
  <c r="L2320" i="16"/>
  <c r="L2318" i="16"/>
  <c r="L2316" i="16"/>
  <c r="L2314" i="16"/>
  <c r="L2312" i="16"/>
  <c r="L2310" i="16"/>
  <c r="L2308" i="16"/>
  <c r="L2306" i="16"/>
  <c r="L2304" i="16"/>
  <c r="L2302" i="16"/>
  <c r="L2300" i="16"/>
  <c r="L2298" i="16"/>
  <c r="L2296" i="16"/>
  <c r="L2294" i="16"/>
  <c r="L2292" i="16"/>
  <c r="L2290" i="16"/>
  <c r="L2288" i="16"/>
  <c r="L2286" i="16"/>
  <c r="L2284" i="16"/>
  <c r="L2282" i="16"/>
  <c r="L2280" i="16"/>
  <c r="L2278" i="16"/>
  <c r="L2276" i="16"/>
  <c r="L2274" i="16"/>
  <c r="L2272" i="16"/>
  <c r="L2270" i="16"/>
  <c r="L2268" i="16"/>
  <c r="L2266" i="16"/>
  <c r="L2264" i="16"/>
  <c r="L2262" i="16"/>
  <c r="L2260" i="16"/>
  <c r="L2258" i="16"/>
  <c r="L2256" i="16"/>
  <c r="L2254" i="16"/>
  <c r="L2252" i="16"/>
  <c r="L2250" i="16"/>
  <c r="L2248" i="16"/>
  <c r="L2246" i="16"/>
  <c r="L2244" i="16"/>
  <c r="L2242" i="16"/>
  <c r="L2240" i="16"/>
  <c r="L2238" i="16"/>
  <c r="L2236" i="16"/>
  <c r="L2234" i="16"/>
  <c r="L2232" i="16"/>
  <c r="L2230" i="16"/>
  <c r="L2228" i="16"/>
  <c r="L2226" i="16"/>
  <c r="L2224" i="16"/>
  <c r="L2222" i="16"/>
  <c r="L2220" i="16"/>
  <c r="L2218" i="16"/>
  <c r="L2216" i="16"/>
  <c r="L2214" i="16"/>
  <c r="L2212" i="16"/>
  <c r="L2210" i="16"/>
  <c r="L2208" i="16"/>
  <c r="L2206" i="16"/>
  <c r="L2204" i="16"/>
  <c r="L2202" i="16"/>
  <c r="L2200" i="16"/>
  <c r="L2198" i="16"/>
  <c r="L2196" i="16"/>
  <c r="L2194" i="16"/>
  <c r="L2192" i="16"/>
  <c r="L2190" i="16"/>
  <c r="L2188" i="16"/>
  <c r="L2186" i="16"/>
  <c r="L2184" i="16"/>
  <c r="L2182" i="16"/>
  <c r="L2180" i="16"/>
  <c r="L2178" i="16"/>
  <c r="L2176" i="16"/>
  <c r="L2174" i="16"/>
  <c r="L2172" i="16"/>
  <c r="L2170" i="16"/>
  <c r="L2168" i="16"/>
  <c r="L2166" i="16"/>
  <c r="L2164" i="16"/>
  <c r="L2162" i="16"/>
  <c r="L2160" i="16"/>
  <c r="L2158" i="16"/>
  <c r="L2156" i="16"/>
  <c r="L2154" i="16"/>
  <c r="L2152" i="16"/>
  <c r="L2150" i="16"/>
  <c r="L2148" i="16"/>
  <c r="L2146" i="16"/>
  <c r="L2144" i="16"/>
  <c r="L2142" i="16"/>
  <c r="L2140" i="16"/>
  <c r="L2138" i="16"/>
  <c r="L2136" i="16"/>
  <c r="L2134" i="16"/>
  <c r="L2132" i="16"/>
  <c r="L2130" i="16"/>
  <c r="L2128" i="16"/>
  <c r="L2126" i="16"/>
  <c r="L2124" i="16"/>
  <c r="L2122" i="16"/>
  <c r="L2120" i="16"/>
  <c r="L2118" i="16"/>
  <c r="L2116" i="16"/>
  <c r="L2114" i="16"/>
  <c r="L2112" i="16"/>
  <c r="L2110" i="16"/>
  <c r="L2108" i="16"/>
  <c r="L2106" i="16"/>
  <c r="L2104" i="16"/>
  <c r="L2102" i="16"/>
  <c r="L2100" i="16"/>
  <c r="L2098" i="16"/>
  <c r="L2096" i="16"/>
  <c r="L2094" i="16"/>
  <c r="L2092" i="16"/>
  <c r="L2090" i="16"/>
  <c r="L2088" i="16"/>
  <c r="L2086" i="16"/>
  <c r="L2084" i="16"/>
  <c r="L2082" i="16"/>
  <c r="L2080" i="16"/>
  <c r="L2078" i="16"/>
  <c r="L2076" i="16"/>
  <c r="L2074" i="16"/>
  <c r="L2072" i="16"/>
  <c r="L2070" i="16"/>
  <c r="L2068" i="16"/>
  <c r="L2066" i="16"/>
  <c r="L2064" i="16"/>
  <c r="L2062" i="16"/>
  <c r="L2060" i="16"/>
  <c r="L2058" i="16"/>
  <c r="L2056" i="16"/>
  <c r="L2054" i="16"/>
  <c r="L2052" i="16"/>
  <c r="L2050" i="16"/>
  <c r="L2048" i="16"/>
  <c r="L2046" i="16"/>
  <c r="L2044" i="16"/>
  <c r="L2042" i="16"/>
  <c r="L2040" i="16"/>
  <c r="L2038" i="16"/>
  <c r="L2036" i="16"/>
  <c r="L2034" i="16"/>
  <c r="L2032" i="16"/>
  <c r="L2030" i="16"/>
  <c r="L2028" i="16"/>
  <c r="L2026" i="16"/>
  <c r="L2024" i="16"/>
  <c r="L2022" i="16"/>
  <c r="L2020" i="16"/>
  <c r="L2018" i="16"/>
  <c r="L2016" i="16"/>
  <c r="L2014" i="16"/>
  <c r="L2012" i="16"/>
  <c r="L2010" i="16"/>
  <c r="L2008" i="16"/>
  <c r="L2006" i="16"/>
  <c r="L2004" i="16"/>
  <c r="L2002" i="16"/>
  <c r="L2000" i="16"/>
  <c r="L1998" i="16"/>
  <c r="L1996" i="16"/>
  <c r="L1994" i="16"/>
  <c r="L1992" i="16"/>
  <c r="L1990" i="16"/>
  <c r="L1988" i="16"/>
  <c r="L1986" i="16"/>
  <c r="L1984" i="16"/>
  <c r="L1982" i="16"/>
  <c r="L1980" i="16"/>
  <c r="L1978" i="16"/>
  <c r="L1976" i="16"/>
  <c r="L1974" i="16"/>
  <c r="L1972" i="16"/>
  <c r="L1970" i="16"/>
  <c r="L1968" i="16"/>
  <c r="L1966" i="16"/>
  <c r="L1964" i="16"/>
  <c r="L1962" i="16"/>
  <c r="L1960" i="16"/>
  <c r="L1958" i="16"/>
  <c r="L1956" i="16"/>
  <c r="L1954" i="16"/>
  <c r="L1952" i="16"/>
  <c r="L1950" i="16"/>
  <c r="L1948" i="16"/>
  <c r="L1946" i="16"/>
  <c r="L1944" i="16"/>
  <c r="L1942" i="16"/>
  <c r="L1940" i="16"/>
  <c r="L1938" i="16"/>
  <c r="L1936" i="16"/>
  <c r="L1934" i="16"/>
  <c r="L1932" i="16"/>
  <c r="L1930" i="16"/>
  <c r="L1928" i="16"/>
  <c r="L1926" i="16"/>
  <c r="L1924" i="16"/>
  <c r="L1922" i="16"/>
  <c r="L1920" i="16"/>
  <c r="L1918" i="16"/>
  <c r="L1916" i="16"/>
  <c r="L1914" i="16"/>
  <c r="L1912" i="16"/>
  <c r="L1910" i="16"/>
  <c r="L1908" i="16"/>
  <c r="L1906" i="16"/>
  <c r="L1904" i="16"/>
  <c r="L1902" i="16"/>
  <c r="L1900" i="16"/>
  <c r="L1898" i="16"/>
  <c r="L1896" i="16"/>
  <c r="L1894" i="16"/>
  <c r="L1892" i="16"/>
  <c r="L1890" i="16"/>
  <c r="L1888" i="16"/>
  <c r="L1886" i="16"/>
  <c r="L1884" i="16"/>
  <c r="L1882" i="16"/>
  <c r="L1880" i="16"/>
  <c r="L1878" i="16"/>
  <c r="L1876" i="16"/>
  <c r="L1874" i="16"/>
  <c r="L1872" i="16"/>
  <c r="L1870" i="16"/>
  <c r="L1868" i="16"/>
  <c r="L1866" i="16"/>
  <c r="L1864" i="16"/>
  <c r="L1862" i="16"/>
  <c r="L1860" i="16"/>
  <c r="L1858" i="16"/>
  <c r="L1856" i="16"/>
  <c r="L1854" i="16"/>
  <c r="L1852" i="16"/>
  <c r="L1850" i="16"/>
  <c r="L1848" i="16"/>
  <c r="L1846" i="16"/>
  <c r="L1844" i="16"/>
  <c r="L1842" i="16"/>
  <c r="L1840" i="16"/>
  <c r="L1838" i="16"/>
  <c r="L1836" i="16"/>
  <c r="L1834" i="16"/>
  <c r="L1832" i="16"/>
  <c r="L1830" i="16"/>
  <c r="L1828" i="16"/>
  <c r="L1826" i="16"/>
  <c r="L1824" i="16"/>
  <c r="L1822" i="16"/>
  <c r="L1820" i="16"/>
  <c r="L1818" i="16"/>
  <c r="L1816" i="16"/>
  <c r="L1814" i="16"/>
  <c r="L1812" i="16"/>
  <c r="L1810" i="16"/>
  <c r="L1808" i="16"/>
  <c r="L1806" i="16"/>
  <c r="L1804" i="16"/>
  <c r="L1802" i="16"/>
  <c r="L1800" i="16"/>
  <c r="L1798" i="16"/>
  <c r="L1796" i="16"/>
  <c r="L1794" i="16"/>
  <c r="L1792" i="16"/>
  <c r="L1790" i="16"/>
  <c r="L1788" i="16"/>
  <c r="L1786" i="16"/>
  <c r="L1784" i="16"/>
  <c r="L1782" i="16"/>
  <c r="L1780" i="16"/>
  <c r="L1778" i="16"/>
  <c r="L1776" i="16"/>
  <c r="L1774" i="16"/>
  <c r="L1772" i="16"/>
  <c r="L1770" i="16"/>
  <c r="L1768" i="16"/>
  <c r="L1766" i="16"/>
  <c r="L1764" i="16"/>
  <c r="L1762" i="16"/>
  <c r="L1760" i="16"/>
  <c r="L1758" i="16"/>
  <c r="L1756" i="16"/>
  <c r="L1754" i="16"/>
  <c r="L1752" i="16"/>
  <c r="L1750" i="16"/>
  <c r="L1748" i="16"/>
  <c r="L1746" i="16"/>
  <c r="L1744" i="16"/>
  <c r="L1742" i="16"/>
  <c r="L1740" i="16"/>
  <c r="L1738" i="16"/>
  <c r="L1736" i="16"/>
  <c r="L1734" i="16"/>
  <c r="L1732" i="16"/>
  <c r="L1730" i="16"/>
  <c r="L1728" i="16"/>
  <c r="L1726" i="16"/>
  <c r="L1724" i="16"/>
  <c r="L1722" i="16"/>
  <c r="L1720" i="16"/>
  <c r="L1718" i="16"/>
  <c r="L1716" i="16"/>
  <c r="L1714" i="16"/>
  <c r="L1712" i="16"/>
  <c r="L1710" i="16"/>
  <c r="L1708" i="16"/>
  <c r="L1706" i="16"/>
  <c r="L1704" i="16"/>
  <c r="L1702" i="16"/>
  <c r="L1700" i="16"/>
  <c r="L1698" i="16"/>
  <c r="L1696" i="16"/>
  <c r="L1694" i="16"/>
  <c r="L1692" i="16"/>
  <c r="L1690" i="16"/>
  <c r="L1688" i="16"/>
  <c r="L1686" i="16"/>
  <c r="L1684" i="16"/>
  <c r="L1682" i="16"/>
  <c r="L1680" i="16"/>
  <c r="L1678" i="16"/>
  <c r="L1676" i="16"/>
  <c r="L1674" i="16"/>
  <c r="L1672" i="16"/>
  <c r="L1670" i="16"/>
  <c r="L1668" i="16"/>
  <c r="L1666" i="16"/>
  <c r="L1664" i="16"/>
  <c r="L1662" i="16"/>
  <c r="L1660" i="16"/>
  <c r="L1658" i="16"/>
  <c r="L1656" i="16"/>
  <c r="L1654" i="16"/>
  <c r="L1652" i="16"/>
  <c r="L1650" i="16"/>
  <c r="L1648" i="16"/>
  <c r="L1646" i="16"/>
  <c r="L1644" i="16"/>
  <c r="L1642" i="16"/>
  <c r="L1640" i="16"/>
  <c r="L1638" i="16"/>
  <c r="L1636" i="16"/>
  <c r="L1634" i="16"/>
  <c r="L1632" i="16"/>
  <c r="L1630" i="16"/>
  <c r="L1628" i="16"/>
  <c r="L1626" i="16"/>
  <c r="L1624" i="16"/>
  <c r="L1622" i="16"/>
  <c r="L1620" i="16"/>
  <c r="L1618" i="16"/>
  <c r="L1616" i="16"/>
  <c r="L1614" i="16"/>
  <c r="L1612" i="16"/>
  <c r="L1610" i="16"/>
  <c r="L1608" i="16"/>
  <c r="L1606" i="16"/>
  <c r="L1604" i="16"/>
  <c r="L1602" i="16"/>
  <c r="L1600" i="16"/>
  <c r="L1598" i="16"/>
  <c r="L1596" i="16"/>
  <c r="L1594" i="16"/>
  <c r="L1592" i="16"/>
  <c r="L1590" i="16"/>
  <c r="L1588" i="16"/>
  <c r="L1586" i="16"/>
  <c r="L1584" i="16"/>
  <c r="L1582" i="16"/>
  <c r="L1580" i="16"/>
  <c r="L1578" i="16"/>
  <c r="L1576" i="16"/>
  <c r="L1574" i="16"/>
  <c r="L1572" i="16"/>
  <c r="L1570" i="16"/>
  <c r="L1568" i="16"/>
  <c r="L1566" i="16"/>
  <c r="L1564" i="16"/>
  <c r="L1562" i="16"/>
  <c r="L1560" i="16"/>
  <c r="L1558" i="16"/>
  <c r="L1556" i="16"/>
  <c r="L1554" i="16"/>
  <c r="L1552" i="16"/>
  <c r="L1550" i="16"/>
  <c r="L1548" i="16"/>
  <c r="L1546" i="16"/>
  <c r="L1544" i="16"/>
  <c r="L1542" i="16"/>
  <c r="L1540" i="16"/>
  <c r="L1538" i="16"/>
  <c r="L1536" i="16"/>
  <c r="L2217" i="16"/>
  <c r="L2215" i="16"/>
  <c r="L2213" i="16"/>
  <c r="L2211" i="16"/>
  <c r="L2209" i="16"/>
  <c r="L2207" i="16"/>
  <c r="L2205" i="16"/>
  <c r="L2203" i="16"/>
  <c r="L2201" i="16"/>
  <c r="L2199" i="16"/>
  <c r="L2197" i="16"/>
  <c r="L2195" i="16"/>
  <c r="L2193" i="16"/>
  <c r="L2191" i="16"/>
  <c r="L2189" i="16"/>
  <c r="L2187" i="16"/>
  <c r="L2185" i="16"/>
  <c r="L2183" i="16"/>
  <c r="L2181" i="16"/>
  <c r="L2179" i="16"/>
  <c r="L2177" i="16"/>
  <c r="L2175" i="16"/>
  <c r="L2173" i="16"/>
  <c r="L2171" i="16"/>
  <c r="L2169" i="16"/>
  <c r="L2167" i="16"/>
  <c r="L2165" i="16"/>
  <c r="L2163" i="16"/>
  <c r="L2161" i="16"/>
  <c r="L2159" i="16"/>
  <c r="L2157" i="16"/>
  <c r="L2155" i="16"/>
  <c r="L2153" i="16"/>
  <c r="L2151" i="16"/>
  <c r="L2149" i="16"/>
  <c r="L2147" i="16"/>
  <c r="L2145" i="16"/>
  <c r="L2143" i="16"/>
  <c r="L2141" i="16"/>
  <c r="L2139" i="16"/>
  <c r="L2137" i="16"/>
  <c r="L2135" i="16"/>
  <c r="L2133" i="16"/>
  <c r="L2131" i="16"/>
  <c r="L2129" i="16"/>
  <c r="L2127" i="16"/>
  <c r="L2125" i="16"/>
  <c r="L2123" i="16"/>
  <c r="L2121" i="16"/>
  <c r="L2119" i="16"/>
  <c r="L2117" i="16"/>
  <c r="L2115" i="16"/>
  <c r="L2113" i="16"/>
  <c r="L2111" i="16"/>
  <c r="L2109" i="16"/>
  <c r="L2107" i="16"/>
  <c r="L2105" i="16"/>
  <c r="L2103" i="16"/>
  <c r="L2101" i="16"/>
  <c r="L2099" i="16"/>
  <c r="L2097" i="16"/>
  <c r="L2095" i="16"/>
  <c r="L2093" i="16"/>
  <c r="L2091" i="16"/>
  <c r="L2089" i="16"/>
  <c r="L2087" i="16"/>
  <c r="L2085" i="16"/>
  <c r="L2083" i="16"/>
  <c r="L2081" i="16"/>
  <c r="L2079" i="16"/>
  <c r="L2077" i="16"/>
  <c r="L2075" i="16"/>
  <c r="L2073" i="16"/>
  <c r="L2071" i="16"/>
  <c r="L2069" i="16"/>
  <c r="L2067" i="16"/>
  <c r="L2065" i="16"/>
  <c r="L2063" i="16"/>
  <c r="L2061" i="16"/>
  <c r="L2059" i="16"/>
  <c r="L2057" i="16"/>
  <c r="L2055" i="16"/>
  <c r="L2053" i="16"/>
  <c r="L2051" i="16"/>
  <c r="L2049" i="16"/>
  <c r="L2047" i="16"/>
  <c r="L2045" i="16"/>
  <c r="L2043" i="16"/>
  <c r="L2041" i="16"/>
  <c r="L2039" i="16"/>
  <c r="L2037" i="16"/>
  <c r="L2035" i="16"/>
  <c r="L2033" i="16"/>
  <c r="L2031" i="16"/>
  <c r="L2029" i="16"/>
  <c r="L2027" i="16"/>
  <c r="L2025" i="16"/>
  <c r="L2023" i="16"/>
  <c r="L2021" i="16"/>
  <c r="L2019" i="16"/>
  <c r="L2017" i="16"/>
  <c r="L2015" i="16"/>
  <c r="L2013" i="16"/>
  <c r="L2011" i="16"/>
  <c r="L2009" i="16"/>
  <c r="L2007" i="16"/>
  <c r="L2005" i="16"/>
  <c r="L2003" i="16"/>
  <c r="L2001" i="16"/>
  <c r="L1999" i="16"/>
  <c r="L1997" i="16"/>
  <c r="L1995" i="16"/>
  <c r="L1993" i="16"/>
  <c r="L1991" i="16"/>
  <c r="L1989" i="16"/>
  <c r="L1987" i="16"/>
  <c r="L1985" i="16"/>
  <c r="L1983" i="16"/>
  <c r="L1981" i="16"/>
  <c r="L1979" i="16"/>
  <c r="L1977" i="16"/>
  <c r="L1975" i="16"/>
  <c r="L1973" i="16"/>
  <c r="L1971" i="16"/>
  <c r="L1969" i="16"/>
  <c r="L1967" i="16"/>
  <c r="L1965" i="16"/>
  <c r="L1963" i="16"/>
  <c r="L1961" i="16"/>
  <c r="L1959" i="16"/>
  <c r="L1957" i="16"/>
  <c r="L1955" i="16"/>
  <c r="L1953" i="16"/>
  <c r="L1951" i="16"/>
  <c r="L1949" i="16"/>
  <c r="L1947" i="16"/>
  <c r="L1945" i="16"/>
  <c r="L1943" i="16"/>
  <c r="L1941" i="16"/>
  <c r="L1939" i="16"/>
  <c r="L1937" i="16"/>
  <c r="L1935" i="16"/>
  <c r="L1933" i="16"/>
  <c r="L1931" i="16"/>
  <c r="L1929" i="16"/>
  <c r="L1927" i="16"/>
  <c r="L1925" i="16"/>
  <c r="L1923" i="16"/>
  <c r="L1921" i="16"/>
  <c r="L1919" i="16"/>
  <c r="L1917" i="16"/>
  <c r="L1915" i="16"/>
  <c r="L1913" i="16"/>
  <c r="L1911" i="16"/>
  <c r="L1909" i="16"/>
  <c r="L1907" i="16"/>
  <c r="L1905" i="16"/>
  <c r="L1903" i="16"/>
  <c r="L1901" i="16"/>
  <c r="L1899" i="16"/>
  <c r="L1897" i="16"/>
  <c r="L1895" i="16"/>
  <c r="L1893" i="16"/>
  <c r="L1891" i="16"/>
  <c r="L1889" i="16"/>
  <c r="L1887" i="16"/>
  <c r="L1885" i="16"/>
  <c r="L1883" i="16"/>
  <c r="L1881" i="16"/>
  <c r="L1879" i="16"/>
  <c r="L1877" i="16"/>
  <c r="L1875" i="16"/>
  <c r="L1873" i="16"/>
  <c r="L1871" i="16"/>
  <c r="L1869" i="16"/>
  <c r="L1867" i="16"/>
  <c r="L1865" i="16"/>
  <c r="L1863" i="16"/>
  <c r="L1861" i="16"/>
  <c r="L1859" i="16"/>
  <c r="L1857" i="16"/>
  <c r="L1855" i="16"/>
  <c r="L1853" i="16"/>
  <c r="L1851" i="16"/>
  <c r="L1849" i="16"/>
  <c r="L1847" i="16"/>
  <c r="L1845" i="16"/>
  <c r="L1843" i="16"/>
  <c r="L1841" i="16"/>
  <c r="L1839" i="16"/>
  <c r="L1837" i="16"/>
  <c r="L1835" i="16"/>
  <c r="L1833" i="16"/>
  <c r="L1831" i="16"/>
  <c r="L1829" i="16"/>
  <c r="L1827" i="16"/>
  <c r="L1825" i="16"/>
  <c r="L1823" i="16"/>
  <c r="L1821" i="16"/>
  <c r="L1819" i="16"/>
  <c r="L1817" i="16"/>
  <c r="L1815" i="16"/>
  <c r="L1813" i="16"/>
  <c r="L1811" i="16"/>
  <c r="L1809" i="16"/>
  <c r="L1807" i="16"/>
  <c r="L1805" i="16"/>
  <c r="L1803" i="16"/>
  <c r="L1801" i="16"/>
  <c r="L1799" i="16"/>
  <c r="L1797" i="16"/>
  <c r="L1795" i="16"/>
  <c r="L1793" i="16"/>
  <c r="L1791" i="16"/>
  <c r="L1789" i="16"/>
  <c r="L1787" i="16"/>
  <c r="L1785" i="16"/>
  <c r="L1783" i="16"/>
  <c r="L1781" i="16"/>
  <c r="L1779" i="16"/>
  <c r="L1777" i="16"/>
  <c r="L1775" i="16"/>
  <c r="L1773" i="16"/>
  <c r="L1771" i="16"/>
  <c r="L1769" i="16"/>
  <c r="L1767" i="16"/>
  <c r="L1765" i="16"/>
  <c r="L1763" i="16"/>
  <c r="L1761" i="16"/>
  <c r="L1759" i="16"/>
  <c r="L1757" i="16"/>
  <c r="L1755" i="16"/>
  <c r="L1753" i="16"/>
  <c r="L1751" i="16"/>
  <c r="L1749" i="16"/>
  <c r="L1747" i="16"/>
  <c r="L1745" i="16"/>
  <c r="L1743" i="16"/>
  <c r="L1741" i="16"/>
  <c r="L1739" i="16"/>
  <c r="L1737" i="16"/>
  <c r="L1735" i="16"/>
  <c r="L1733" i="16"/>
  <c r="L1731" i="16"/>
  <c r="L1729" i="16"/>
  <c r="L1727" i="16"/>
  <c r="L1725" i="16"/>
  <c r="L1723" i="16"/>
  <c r="L1721" i="16"/>
  <c r="L1719" i="16"/>
  <c r="L1717" i="16"/>
  <c r="L1715" i="16"/>
  <c r="L1713" i="16"/>
  <c r="L1711" i="16"/>
  <c r="L1709" i="16"/>
  <c r="L1707" i="16"/>
  <c r="L1705" i="16"/>
  <c r="L1703" i="16"/>
  <c r="L1701" i="16"/>
  <c r="L1699" i="16"/>
  <c r="L1697" i="16"/>
  <c r="L1695" i="16"/>
  <c r="L1693" i="16"/>
  <c r="L1691" i="16"/>
  <c r="L1689" i="16"/>
  <c r="L1687" i="16"/>
  <c r="L1685" i="16"/>
  <c r="L1683" i="16"/>
  <c r="L1681" i="16"/>
  <c r="L1679" i="16"/>
  <c r="L1677" i="16"/>
  <c r="L1675" i="16"/>
  <c r="L1673" i="16"/>
  <c r="L1671" i="16"/>
  <c r="L1669" i="16"/>
  <c r="L1667" i="16"/>
  <c r="L1665" i="16"/>
  <c r="L1663" i="16"/>
  <c r="L1661" i="16"/>
  <c r="L1659" i="16"/>
  <c r="L1657" i="16"/>
  <c r="L1655" i="16"/>
  <c r="L1653" i="16"/>
  <c r="L1651" i="16"/>
  <c r="L1649" i="16"/>
  <c r="L1647" i="16"/>
  <c r="L1645" i="16"/>
  <c r="L1643" i="16"/>
  <c r="L1641" i="16"/>
  <c r="L1639" i="16"/>
  <c r="L1637" i="16"/>
  <c r="L1635" i="16"/>
  <c r="L1633" i="16"/>
  <c r="L1631" i="16"/>
  <c r="L1629" i="16"/>
  <c r="L1627" i="16"/>
  <c r="L1625" i="16"/>
  <c r="L1623" i="16"/>
  <c r="L1621" i="16"/>
  <c r="L1619" i="16"/>
  <c r="L1617" i="16"/>
  <c r="L1615" i="16"/>
  <c r="L1613" i="16"/>
  <c r="L1611" i="16"/>
  <c r="L1609" i="16"/>
  <c r="L1607" i="16"/>
  <c r="L1605" i="16"/>
  <c r="L1603" i="16"/>
  <c r="L1601" i="16"/>
  <c r="L1599" i="16"/>
  <c r="L1597" i="16"/>
  <c r="L1595" i="16"/>
  <c r="L1593" i="16"/>
  <c r="L1591" i="16"/>
  <c r="L1589" i="16"/>
  <c r="L1587" i="16"/>
  <c r="L1585" i="16"/>
  <c r="L1583" i="16"/>
  <c r="L1581" i="16"/>
  <c r="L1579" i="16"/>
  <c r="L1577" i="16"/>
  <c r="L1575" i="16"/>
  <c r="L1573" i="16"/>
  <c r="L1571" i="16"/>
  <c r="L1569" i="16"/>
  <c r="L1567" i="16"/>
  <c r="L1565" i="16"/>
  <c r="L1563" i="16"/>
  <c r="L1561" i="16"/>
  <c r="L1559" i="16"/>
  <c r="L1557" i="16"/>
  <c r="L1555" i="16"/>
  <c r="L1553" i="16"/>
  <c r="L1551" i="16"/>
  <c r="L1549" i="16"/>
  <c r="L1547" i="16"/>
  <c r="L1545" i="16"/>
  <c r="L1543" i="16"/>
  <c r="L1541" i="16"/>
  <c r="L1539" i="16"/>
  <c r="L1537" i="16"/>
  <c r="L1535" i="16"/>
  <c r="L1533" i="16"/>
  <c r="L1531" i="16"/>
  <c r="L1534" i="16"/>
  <c r="L1532" i="16"/>
  <c r="L1530" i="16"/>
  <c r="L1529" i="16"/>
  <c r="L1527" i="16"/>
  <c r="L1525" i="16"/>
  <c r="L1523" i="16"/>
  <c r="L1521" i="16"/>
  <c r="L1519" i="16"/>
  <c r="L1517" i="16"/>
  <c r="L1515" i="16"/>
  <c r="L1513" i="16"/>
  <c r="L1511" i="16"/>
  <c r="L1509" i="16"/>
  <c r="L1507" i="16"/>
  <c r="L1505" i="16"/>
  <c r="L1503" i="16"/>
  <c r="L1501" i="16"/>
  <c r="L1499" i="16"/>
  <c r="L1497" i="16"/>
  <c r="L1495" i="16"/>
  <c r="L1493" i="16"/>
  <c r="L1491" i="16"/>
  <c r="L1489" i="16"/>
  <c r="L1487" i="16"/>
  <c r="L1485" i="16"/>
  <c r="L1483" i="16"/>
  <c r="L1481" i="16"/>
  <c r="L1479" i="16"/>
  <c r="L1477" i="16"/>
  <c r="L1475" i="16"/>
  <c r="L1473" i="16"/>
  <c r="L1471" i="16"/>
  <c r="L1469" i="16"/>
  <c r="L1467" i="16"/>
  <c r="L1465" i="16"/>
  <c r="L1463" i="16"/>
  <c r="L1461" i="16"/>
  <c r="L1459" i="16"/>
  <c r="L1457" i="16"/>
  <c r="L1455" i="16"/>
  <c r="L1453" i="16"/>
  <c r="L1451" i="16"/>
  <c r="L1449" i="16"/>
  <c r="L1447" i="16"/>
  <c r="L1445" i="16"/>
  <c r="L1443" i="16"/>
  <c r="L1441" i="16"/>
  <c r="L1439" i="16"/>
  <c r="L1437" i="16"/>
  <c r="L1435" i="16"/>
  <c r="L1433" i="16"/>
  <c r="L1431" i="16"/>
  <c r="L1429" i="16"/>
  <c r="L1427" i="16"/>
  <c r="L1425" i="16"/>
  <c r="L1423" i="16"/>
  <c r="L1421" i="16"/>
  <c r="L1419" i="16"/>
  <c r="L1417" i="16"/>
  <c r="L1415" i="16"/>
  <c r="L1413" i="16"/>
  <c r="L1411" i="16"/>
  <c r="L1409" i="16"/>
  <c r="L1407" i="16"/>
  <c r="L1405" i="16"/>
  <c r="L1403" i="16"/>
  <c r="L1401" i="16"/>
  <c r="L1399" i="16"/>
  <c r="L1397" i="16"/>
  <c r="L1395" i="16"/>
  <c r="L1393" i="16"/>
  <c r="L1391" i="16"/>
  <c r="L1389" i="16"/>
  <c r="L1387" i="16"/>
  <c r="L1385" i="16"/>
  <c r="L1383" i="16"/>
  <c r="L1381" i="16"/>
  <c r="L1379" i="16"/>
  <c r="L1377" i="16"/>
  <c r="L1375" i="16"/>
  <c r="L1373" i="16"/>
  <c r="L1371" i="16"/>
  <c r="L1369" i="16"/>
  <c r="L1367" i="16"/>
  <c r="L1365" i="16"/>
  <c r="L1363" i="16"/>
  <c r="L1361" i="16"/>
  <c r="L1359" i="16"/>
  <c r="L1357" i="16"/>
  <c r="L1355" i="16"/>
  <c r="L1353" i="16"/>
  <c r="L1351" i="16"/>
  <c r="L1349" i="16"/>
  <c r="L1347" i="16"/>
  <c r="L1345" i="16"/>
  <c r="L1343" i="16"/>
  <c r="L1341" i="16"/>
  <c r="L1339" i="16"/>
  <c r="L1337" i="16"/>
  <c r="L1335" i="16"/>
  <c r="L1333" i="16"/>
  <c r="L1331" i="16"/>
  <c r="L1329" i="16"/>
  <c r="L1327" i="16"/>
  <c r="L1325" i="16"/>
  <c r="L1323" i="16"/>
  <c r="L1321" i="16"/>
  <c r="L1319" i="16"/>
  <c r="L1317" i="16"/>
  <c r="L1315" i="16"/>
  <c r="L1313" i="16"/>
  <c r="L1311" i="16"/>
  <c r="L1309" i="16"/>
  <c r="L1307" i="16"/>
  <c r="L1305" i="16"/>
  <c r="L1303" i="16"/>
  <c r="L1301" i="16"/>
  <c r="L1212" i="16"/>
  <c r="L1210" i="16"/>
  <c r="L1208" i="16"/>
  <c r="L1206" i="16"/>
  <c r="L1204" i="16"/>
  <c r="L1202" i="16"/>
  <c r="L1200" i="16"/>
  <c r="L1198" i="16"/>
  <c r="L1196" i="16"/>
  <c r="L1194" i="16"/>
  <c r="L1192" i="16"/>
  <c r="L1190" i="16"/>
  <c r="L1188" i="16"/>
  <c r="L1186" i="16"/>
  <c r="L1184" i="16"/>
  <c r="L1182" i="16"/>
  <c r="L1180" i="16"/>
  <c r="L1178" i="16"/>
  <c r="L1176" i="16"/>
  <c r="L1174" i="16"/>
  <c r="L1172" i="16"/>
  <c r="L1170" i="16"/>
  <c r="L1168" i="16"/>
  <c r="L1166" i="16"/>
  <c r="L1164" i="16"/>
  <c r="L1162" i="16"/>
  <c r="L1160" i="16"/>
  <c r="L1158" i="16"/>
  <c r="L1156" i="16"/>
  <c r="L1154" i="16"/>
  <c r="L1152" i="16"/>
  <c r="L1150" i="16"/>
  <c r="L1148" i="16"/>
  <c r="L1146" i="16"/>
  <c r="L1144" i="16"/>
  <c r="L1142" i="16"/>
  <c r="L1140" i="16"/>
  <c r="L1138" i="16"/>
  <c r="L1136" i="16"/>
  <c r="L1134" i="16"/>
  <c r="L1132" i="16"/>
  <c r="L1130" i="16"/>
  <c r="L1128" i="16"/>
  <c r="L1126" i="16"/>
  <c r="L1124" i="16"/>
  <c r="L1122" i="16"/>
  <c r="L1120" i="16"/>
  <c r="L1118" i="16"/>
  <c r="L1116" i="16"/>
  <c r="L1114" i="16"/>
  <c r="L1112" i="16"/>
  <c r="L1110" i="16"/>
  <c r="L1108" i="16"/>
  <c r="L1106" i="16"/>
  <c r="L1104" i="16"/>
  <c r="L1102" i="16"/>
  <c r="L1100" i="16"/>
  <c r="L1098" i="16"/>
  <c r="L1096" i="16"/>
  <c r="L1094" i="16"/>
  <c r="L1092" i="16"/>
  <c r="L1090" i="16"/>
  <c r="L1088" i="16"/>
  <c r="L1086" i="16"/>
  <c r="L1084" i="16"/>
  <c r="L1082" i="16"/>
  <c r="L1080" i="16"/>
  <c r="L1078" i="16"/>
  <c r="L1076" i="16"/>
  <c r="L1074" i="16"/>
  <c r="L1072" i="16"/>
  <c r="L1070" i="16"/>
  <c r="L1068" i="16"/>
  <c r="L1066" i="16"/>
  <c r="L1064" i="16"/>
  <c r="L1062" i="16"/>
  <c r="L1060" i="16"/>
  <c r="L1058" i="16"/>
  <c r="L1056" i="16"/>
  <c r="L1054" i="16"/>
  <c r="L1052" i="16"/>
  <c r="L1050" i="16"/>
  <c r="L1048" i="16"/>
  <c r="L1046" i="16"/>
  <c r="L1044" i="16"/>
  <c r="L1042" i="16"/>
  <c r="L1040" i="16"/>
  <c r="L1038" i="16"/>
  <c r="L1036" i="16"/>
  <c r="L1034" i="16"/>
  <c r="L1032" i="16"/>
  <c r="L1030" i="16"/>
  <c r="L1028" i="16"/>
  <c r="L1026" i="16"/>
  <c r="L1024" i="16"/>
  <c r="L1022" i="16"/>
  <c r="L1020" i="16"/>
  <c r="L1018" i="16"/>
  <c r="L1016" i="16"/>
  <c r="L1014" i="16"/>
  <c r="L1012" i="16"/>
  <c r="L1010" i="16"/>
  <c r="L1008" i="16"/>
  <c r="L1006" i="16"/>
  <c r="L1004" i="16"/>
  <c r="L1002" i="16"/>
  <c r="L1000" i="16"/>
  <c r="L998" i="16"/>
  <c r="L996" i="16"/>
  <c r="L994" i="16"/>
  <c r="L992" i="16"/>
  <c r="L990" i="16"/>
  <c r="L988" i="16"/>
  <c r="L986" i="16"/>
  <c r="L984" i="16"/>
  <c r="L982" i="16"/>
  <c r="L980" i="16"/>
  <c r="L978" i="16"/>
  <c r="L976" i="16"/>
  <c r="L974" i="16"/>
  <c r="L972" i="16"/>
  <c r="L970" i="16"/>
  <c r="L968" i="16"/>
  <c r="L966" i="16"/>
  <c r="L964" i="16"/>
  <c r="L962" i="16"/>
  <c r="L960" i="16"/>
  <c r="L958" i="16"/>
  <c r="L956" i="16"/>
  <c r="L954" i="16"/>
  <c r="L952" i="16"/>
  <c r="L950" i="16"/>
  <c r="L948" i="16"/>
  <c r="L946" i="16"/>
  <c r="L944" i="16"/>
  <c r="L942" i="16"/>
  <c r="L940" i="16"/>
  <c r="L938" i="16"/>
  <c r="L936" i="16"/>
  <c r="L934" i="16"/>
  <c r="L932" i="16"/>
  <c r="L930" i="16"/>
  <c r="L928" i="16"/>
  <c r="L926" i="16"/>
  <c r="L924" i="16"/>
  <c r="L922" i="16"/>
  <c r="L920" i="16"/>
  <c r="L918" i="16"/>
  <c r="L916" i="16"/>
  <c r="L914" i="16"/>
  <c r="L912" i="16"/>
  <c r="L910" i="16"/>
  <c r="L908" i="16"/>
  <c r="L906" i="16"/>
  <c r="L904" i="16"/>
  <c r="L902" i="16"/>
  <c r="L900" i="16"/>
  <c r="L898" i="16"/>
  <c r="L896" i="16"/>
  <c r="L894" i="16"/>
  <c r="L892" i="16"/>
  <c r="L890" i="16"/>
  <c r="L888" i="16"/>
  <c r="L886" i="16"/>
  <c r="L884" i="16"/>
  <c r="L882" i="16"/>
  <c r="L880" i="16"/>
  <c r="L878" i="16"/>
  <c r="L876" i="16"/>
  <c r="L874" i="16"/>
  <c r="L872" i="16"/>
  <c r="L870" i="16"/>
  <c r="L868" i="16"/>
  <c r="L866" i="16"/>
  <c r="L864" i="16"/>
  <c r="L862" i="16"/>
  <c r="L860" i="16"/>
  <c r="L858" i="16"/>
  <c r="L856" i="16"/>
  <c r="L854" i="16"/>
  <c r="L852" i="16"/>
  <c r="L850" i="16"/>
  <c r="L848" i="16"/>
  <c r="L846" i="16"/>
  <c r="L844" i="16"/>
  <c r="L842" i="16"/>
  <c r="L840" i="16"/>
  <c r="L838" i="16"/>
  <c r="L836" i="16"/>
  <c r="L834" i="16"/>
  <c r="L832" i="16"/>
  <c r="L830" i="16"/>
  <c r="L828" i="16"/>
  <c r="L826" i="16"/>
  <c r="L824" i="16"/>
  <c r="L822" i="16"/>
  <c r="L820" i="16"/>
  <c r="L818" i="16"/>
  <c r="L816" i="16"/>
  <c r="L814" i="16"/>
  <c r="L812" i="16"/>
  <c r="L810" i="16"/>
  <c r="L808" i="16"/>
  <c r="L806" i="16"/>
  <c r="L804" i="16"/>
  <c r="L802" i="16"/>
  <c r="L800" i="16"/>
  <c r="L798" i="16"/>
  <c r="L796" i="16"/>
  <c r="L794" i="16"/>
  <c r="L792" i="16"/>
  <c r="L790" i="16"/>
  <c r="L788" i="16"/>
  <c r="L786" i="16"/>
  <c r="L784" i="16"/>
  <c r="L782" i="16"/>
  <c r="L780" i="16"/>
  <c r="L778" i="16"/>
  <c r="L776" i="16"/>
  <c r="L774" i="16"/>
  <c r="L772" i="16"/>
  <c r="L770" i="16"/>
  <c r="L768" i="16"/>
  <c r="L766" i="16"/>
  <c r="L764" i="16"/>
  <c r="L762" i="16"/>
  <c r="L760" i="16"/>
  <c r="L758" i="16"/>
  <c r="L756" i="16"/>
  <c r="L754" i="16"/>
  <c r="L752" i="16"/>
  <c r="L750" i="16"/>
  <c r="L748" i="16"/>
  <c r="L746" i="16"/>
  <c r="L744" i="16"/>
  <c r="L742" i="16"/>
  <c r="L740" i="16"/>
  <c r="L738" i="16"/>
  <c r="L736" i="16"/>
  <c r="L734" i="16"/>
  <c r="L732" i="16"/>
  <c r="L730" i="16"/>
  <c r="L728" i="16"/>
  <c r="L726" i="16"/>
  <c r="L724" i="16"/>
  <c r="L722" i="16"/>
  <c r="L720" i="16"/>
  <c r="L718" i="16"/>
  <c r="L716" i="16"/>
  <c r="L714" i="16"/>
  <c r="L712" i="16"/>
  <c r="L710" i="16"/>
  <c r="L708" i="16"/>
  <c r="L706" i="16"/>
  <c r="L704" i="16"/>
  <c r="L702" i="16"/>
  <c r="L700" i="16"/>
  <c r="L698" i="16"/>
  <c r="L696" i="16"/>
  <c r="L694" i="16"/>
  <c r="L692" i="16"/>
  <c r="L690" i="16"/>
  <c r="L688" i="16"/>
  <c r="L686" i="16"/>
  <c r="L684" i="16"/>
  <c r="L682" i="16"/>
  <c r="L680" i="16"/>
  <c r="L678" i="16"/>
  <c r="L676" i="16"/>
  <c r="L674" i="16"/>
  <c r="L672" i="16"/>
  <c r="L670" i="16"/>
  <c r="L668" i="16"/>
  <c r="L666" i="16"/>
  <c r="L664" i="16"/>
  <c r="L662" i="16"/>
  <c r="L660" i="16"/>
  <c r="L658" i="16"/>
  <c r="L656" i="16"/>
  <c r="L654" i="16"/>
  <c r="L652" i="16"/>
  <c r="L650" i="16"/>
  <c r="L648" i="16"/>
  <c r="L646" i="16"/>
  <c r="L644" i="16"/>
  <c r="L642" i="16"/>
  <c r="L640" i="16"/>
  <c r="L638" i="16"/>
  <c r="L636" i="16"/>
  <c r="L634" i="16"/>
  <c r="L632" i="16"/>
  <c r="L630" i="16"/>
  <c r="L628" i="16"/>
  <c r="L626" i="16"/>
  <c r="L624" i="16"/>
  <c r="L622" i="16"/>
  <c r="L620" i="16"/>
  <c r="L618" i="16"/>
  <c r="L616" i="16"/>
  <c r="L614" i="16"/>
  <c r="L612" i="16"/>
  <c r="L610" i="16"/>
  <c r="L608" i="16"/>
  <c r="L606" i="16"/>
  <c r="L604" i="16"/>
  <c r="L602" i="16"/>
  <c r="L600" i="16"/>
  <c r="L598" i="16"/>
  <c r="L596" i="16"/>
  <c r="L594" i="16"/>
  <c r="L592" i="16"/>
  <c r="L590" i="16"/>
  <c r="L588" i="16"/>
  <c r="L586" i="16"/>
  <c r="L584" i="16"/>
  <c r="L582" i="16"/>
  <c r="L580" i="16"/>
  <c r="L578" i="16"/>
  <c r="L576" i="16"/>
  <c r="L574" i="16"/>
  <c r="L572" i="16"/>
  <c r="L570" i="16"/>
  <c r="L568" i="16"/>
  <c r="L566" i="16"/>
  <c r="L564" i="16"/>
  <c r="L562" i="16"/>
  <c r="L560" i="16"/>
  <c r="L558" i="16"/>
  <c r="L556" i="16"/>
  <c r="L554" i="16"/>
  <c r="L552" i="16"/>
  <c r="L550" i="16"/>
  <c r="L548" i="16"/>
  <c r="L546" i="16"/>
  <c r="L544" i="16"/>
  <c r="L542" i="16"/>
  <c r="L540" i="16"/>
  <c r="L538" i="16"/>
  <c r="L536" i="16"/>
  <c r="L534" i="16"/>
  <c r="L532" i="16"/>
  <c r="L530" i="16"/>
  <c r="L528" i="16"/>
  <c r="L526" i="16"/>
  <c r="L524" i="16"/>
  <c r="L522" i="16"/>
  <c r="L520" i="16"/>
  <c r="L518" i="16"/>
  <c r="L516" i="16"/>
  <c r="L514" i="16"/>
  <c r="L512" i="16"/>
  <c r="L510" i="16"/>
  <c r="L508" i="16"/>
  <c r="L506" i="16"/>
  <c r="L504" i="16"/>
  <c r="L502" i="16"/>
  <c r="L500" i="16"/>
  <c r="L498" i="16"/>
  <c r="L496" i="16"/>
  <c r="L494" i="16"/>
  <c r="L492" i="16"/>
  <c r="L490" i="16"/>
  <c r="L488" i="16"/>
  <c r="L486" i="16"/>
  <c r="L484" i="16"/>
  <c r="L482" i="16"/>
  <c r="L480" i="16"/>
  <c r="L478" i="16"/>
  <c r="L476" i="16"/>
  <c r="L474" i="16"/>
  <c r="L472" i="16"/>
  <c r="L470" i="16"/>
  <c r="L468" i="16"/>
  <c r="L466" i="16"/>
  <c r="L464" i="16"/>
  <c r="L462" i="16"/>
  <c r="L460" i="16"/>
  <c r="L458" i="16"/>
  <c r="L456" i="16"/>
  <c r="L454" i="16"/>
  <c r="L452" i="16"/>
  <c r="L450" i="16"/>
  <c r="L448" i="16"/>
  <c r="L446" i="16"/>
  <c r="L444" i="16"/>
  <c r="L442" i="16"/>
  <c r="L440" i="16"/>
  <c r="L438" i="16"/>
  <c r="L436" i="16"/>
  <c r="L434" i="16"/>
  <c r="L432" i="16"/>
  <c r="L430" i="16"/>
  <c r="L428" i="16"/>
  <c r="L426" i="16"/>
  <c r="L424" i="16"/>
  <c r="L422" i="16"/>
  <c r="L420" i="16"/>
  <c r="L418" i="16"/>
  <c r="L416" i="16"/>
  <c r="L414" i="16"/>
  <c r="L412" i="16"/>
  <c r="L410" i="16"/>
  <c r="L408" i="16"/>
  <c r="L406" i="16"/>
  <c r="L404" i="16"/>
  <c r="L402" i="16"/>
  <c r="L400" i="16"/>
  <c r="L398" i="16"/>
  <c r="L396" i="16"/>
  <c r="L394" i="16"/>
  <c r="L392" i="16"/>
  <c r="L390" i="16"/>
  <c r="L388" i="16"/>
  <c r="L386" i="16"/>
  <c r="L384" i="16"/>
  <c r="L382" i="16"/>
  <c r="L380" i="16"/>
  <c r="L378" i="16"/>
  <c r="L376" i="16"/>
  <c r="L374" i="16"/>
  <c r="L372" i="16"/>
  <c r="L370" i="16"/>
  <c r="L368" i="16"/>
  <c r="L366" i="16"/>
  <c r="L364" i="16"/>
  <c r="L362" i="16"/>
  <c r="L360" i="16"/>
  <c r="L358" i="16"/>
  <c r="L356" i="16"/>
  <c r="L354" i="16"/>
  <c r="L352" i="16"/>
  <c r="L350" i="16"/>
  <c r="L348" i="16"/>
  <c r="L346" i="16"/>
  <c r="L344" i="16"/>
  <c r="L342" i="16"/>
  <c r="L340" i="16"/>
  <c r="L338" i="16"/>
  <c r="L336" i="16"/>
  <c r="L334" i="16"/>
  <c r="L332" i="16"/>
  <c r="L330" i="16"/>
  <c r="L328" i="16"/>
  <c r="L326" i="16"/>
  <c r="L324" i="16"/>
  <c r="L322" i="16"/>
  <c r="L320" i="16"/>
  <c r="L318" i="16"/>
  <c r="L316" i="16"/>
  <c r="L314" i="16"/>
  <c r="L312" i="16"/>
  <c r="L310" i="16"/>
  <c r="L308" i="16"/>
  <c r="L306" i="16"/>
  <c r="L304" i="16"/>
  <c r="L302" i="16"/>
  <c r="L300" i="16"/>
  <c r="L298" i="16"/>
  <c r="L296" i="16"/>
  <c r="L294" i="16"/>
  <c r="L292" i="16"/>
  <c r="L290" i="16"/>
  <c r="L288" i="16"/>
  <c r="L286" i="16"/>
  <c r="L284" i="16"/>
  <c r="L282" i="16"/>
  <c r="L280" i="16"/>
  <c r="L278" i="16"/>
  <c r="L276" i="16"/>
  <c r="L274" i="16"/>
  <c r="L272" i="16"/>
  <c r="L270" i="16"/>
  <c r="L268" i="16"/>
  <c r="L266" i="16"/>
  <c r="L264" i="16"/>
  <c r="L262" i="16"/>
  <c r="L260" i="16"/>
  <c r="L258" i="16"/>
  <c r="L256" i="16"/>
  <c r="L1528" i="16"/>
  <c r="L1526" i="16"/>
  <c r="L1524" i="16"/>
  <c r="L1522" i="16"/>
  <c r="L1520" i="16"/>
  <c r="L1518" i="16"/>
  <c r="L1516" i="16"/>
  <c r="L1514" i="16"/>
  <c r="L1512" i="16"/>
  <c r="L1510" i="16"/>
  <c r="L1508" i="16"/>
  <c r="L1506" i="16"/>
  <c r="L1504" i="16"/>
  <c r="L1502" i="16"/>
  <c r="L1500" i="16"/>
  <c r="L1498" i="16"/>
  <c r="L1496" i="16"/>
  <c r="L1494" i="16"/>
  <c r="L1492" i="16"/>
  <c r="L1490" i="16"/>
  <c r="L1488" i="16"/>
  <c r="L1486" i="16"/>
  <c r="L1484" i="16"/>
  <c r="L1482" i="16"/>
  <c r="L1480" i="16"/>
  <c r="L1478" i="16"/>
  <c r="L1476" i="16"/>
  <c r="L1474" i="16"/>
  <c r="L1472" i="16"/>
  <c r="L1470" i="16"/>
  <c r="L1468" i="16"/>
  <c r="L1466" i="16"/>
  <c r="L1464" i="16"/>
  <c r="L1462" i="16"/>
  <c r="L1460" i="16"/>
  <c r="L1458" i="16"/>
  <c r="L1456" i="16"/>
  <c r="L1454" i="16"/>
  <c r="L1452" i="16"/>
  <c r="L1450" i="16"/>
  <c r="L1448" i="16"/>
  <c r="L1446" i="16"/>
  <c r="L1444" i="16"/>
  <c r="L1442" i="16"/>
  <c r="L1440" i="16"/>
  <c r="L1438" i="16"/>
  <c r="L1436" i="16"/>
  <c r="L1434" i="16"/>
  <c r="L1432" i="16"/>
  <c r="L1430" i="16"/>
  <c r="L1428" i="16"/>
  <c r="L1426" i="16"/>
  <c r="L1424" i="16"/>
  <c r="L1422" i="16"/>
  <c r="L1420" i="16"/>
  <c r="L1418" i="16"/>
  <c r="L1416" i="16"/>
  <c r="L1414" i="16"/>
  <c r="L1412" i="16"/>
  <c r="L1410" i="16"/>
  <c r="L1408" i="16"/>
  <c r="L1406" i="16"/>
  <c r="L1404" i="16"/>
  <c r="L1402" i="16"/>
  <c r="L1400" i="16"/>
  <c r="L1398" i="16"/>
  <c r="L1396" i="16"/>
  <c r="L1394" i="16"/>
  <c r="L1392" i="16"/>
  <c r="L1390" i="16"/>
  <c r="L1388" i="16"/>
  <c r="L1386" i="16"/>
  <c r="L1384" i="16"/>
  <c r="L1382" i="16"/>
  <c r="L1380" i="16"/>
  <c r="L1378" i="16"/>
  <c r="L1376" i="16"/>
  <c r="L1374" i="16"/>
  <c r="L1372" i="16"/>
  <c r="L1370" i="16"/>
  <c r="L1368" i="16"/>
  <c r="L1366" i="16"/>
  <c r="L1364" i="16"/>
  <c r="L1362" i="16"/>
  <c r="L1360" i="16"/>
  <c r="L1358" i="16"/>
  <c r="L1356" i="16"/>
  <c r="L1354" i="16"/>
  <c r="L1352" i="16"/>
  <c r="L1350" i="16"/>
  <c r="L1348" i="16"/>
  <c r="L1346" i="16"/>
  <c r="L1344" i="16"/>
  <c r="L1342" i="16"/>
  <c r="L1340" i="16"/>
  <c r="L1338" i="16"/>
  <c r="L1336" i="16"/>
  <c r="L1334" i="16"/>
  <c r="L1332" i="16"/>
  <c r="L1330" i="16"/>
  <c r="L1328" i="16"/>
  <c r="L1326" i="16"/>
  <c r="L1324" i="16"/>
  <c r="L1322" i="16"/>
  <c r="L1320" i="16"/>
  <c r="L1318" i="16"/>
  <c r="L1316" i="16"/>
  <c r="L1314" i="16"/>
  <c r="L1312" i="16"/>
  <c r="L1310" i="16"/>
  <c r="L1308" i="16"/>
  <c r="L1306" i="16"/>
  <c r="L1304" i="16"/>
  <c r="L1302" i="16"/>
  <c r="L1300" i="16"/>
  <c r="L1211" i="16"/>
  <c r="L1209" i="16"/>
  <c r="L1207" i="16"/>
  <c r="L1205" i="16"/>
  <c r="L1203" i="16"/>
  <c r="L1201" i="16"/>
  <c r="L1199" i="16"/>
  <c r="L1197" i="16"/>
  <c r="L1195" i="16"/>
  <c r="L1193" i="16"/>
  <c r="L1191" i="16"/>
  <c r="L1189" i="16"/>
  <c r="L1187" i="16"/>
  <c r="L1185" i="16"/>
  <c r="L1183" i="16"/>
  <c r="L1181" i="16"/>
  <c r="L1179" i="16"/>
  <c r="L1177" i="16"/>
  <c r="L1175" i="16"/>
  <c r="L1173" i="16"/>
  <c r="L1171" i="16"/>
  <c r="L1169" i="16"/>
  <c r="L1167" i="16"/>
  <c r="L1165" i="16"/>
  <c r="L1163" i="16"/>
  <c r="L1161" i="16"/>
  <c r="L1159" i="16"/>
  <c r="L1157" i="16"/>
  <c r="L1155" i="16"/>
  <c r="L1153" i="16"/>
  <c r="L1151" i="16"/>
  <c r="L1149" i="16"/>
  <c r="L1147" i="16"/>
  <c r="L1145" i="16"/>
  <c r="L1143" i="16"/>
  <c r="L1141" i="16"/>
  <c r="L1139" i="16"/>
  <c r="L1137" i="16"/>
  <c r="L1135" i="16"/>
  <c r="L1133" i="16"/>
  <c r="L1131" i="16"/>
  <c r="L1129" i="16"/>
  <c r="L1127" i="16"/>
  <c r="L1125" i="16"/>
  <c r="L1123" i="16"/>
  <c r="L1121" i="16"/>
  <c r="L1119" i="16"/>
  <c r="L1117" i="16"/>
  <c r="L1115" i="16"/>
  <c r="L1113" i="16"/>
  <c r="L1111" i="16"/>
  <c r="L1109" i="16"/>
  <c r="L1107" i="16"/>
  <c r="L1105" i="16"/>
  <c r="L1103" i="16"/>
  <c r="L1101" i="16"/>
  <c r="L1099" i="16"/>
  <c r="L1097" i="16"/>
  <c r="L1095" i="16"/>
  <c r="L1093" i="16"/>
  <c r="L1091" i="16"/>
  <c r="L1089" i="16"/>
  <c r="L1087" i="16"/>
  <c r="L1085" i="16"/>
  <c r="L1083" i="16"/>
  <c r="L1081" i="16"/>
  <c r="L1079" i="16"/>
  <c r="L1077" i="16"/>
  <c r="L1075" i="16"/>
  <c r="L1073" i="16"/>
  <c r="L1071" i="16"/>
  <c r="L1069" i="16"/>
  <c r="L1067" i="16"/>
  <c r="L1065" i="16"/>
  <c r="L1063" i="16"/>
  <c r="L1061" i="16"/>
  <c r="L1059" i="16"/>
  <c r="L1057" i="16"/>
  <c r="L1055" i="16"/>
  <c r="L1053" i="16"/>
  <c r="L1051" i="16"/>
  <c r="L1049" i="16"/>
  <c r="L1047" i="16"/>
  <c r="L1045" i="16"/>
  <c r="L1043" i="16"/>
  <c r="L1041" i="16"/>
  <c r="L1039" i="16"/>
  <c r="L1037" i="16"/>
  <c r="L1035" i="16"/>
  <c r="L1033" i="16"/>
  <c r="L1031" i="16"/>
  <c r="L1029" i="16"/>
  <c r="L1027" i="16"/>
  <c r="L1025" i="16"/>
  <c r="L1023" i="16"/>
  <c r="L1021" i="16"/>
  <c r="L1019" i="16"/>
  <c r="L1017" i="16"/>
  <c r="L1015" i="16"/>
  <c r="L1013" i="16"/>
  <c r="L1011" i="16"/>
  <c r="L1009" i="16"/>
  <c r="L1007" i="16"/>
  <c r="L1005" i="16"/>
  <c r="L1003" i="16"/>
  <c r="L1001" i="16"/>
  <c r="L999" i="16"/>
  <c r="L997" i="16"/>
  <c r="L995" i="16"/>
  <c r="L993" i="16"/>
  <c r="L991" i="16"/>
  <c r="L989" i="16"/>
  <c r="L987" i="16"/>
  <c r="L985" i="16"/>
  <c r="L983" i="16"/>
  <c r="L981" i="16"/>
  <c r="L979" i="16"/>
  <c r="L977" i="16"/>
  <c r="L975" i="16"/>
  <c r="L973" i="16"/>
  <c r="L971" i="16"/>
  <c r="L969" i="16"/>
  <c r="L967" i="16"/>
  <c r="L965" i="16"/>
  <c r="L963" i="16"/>
  <c r="L961" i="16"/>
  <c r="L959" i="16"/>
  <c r="L957" i="16"/>
  <c r="L955" i="16"/>
  <c r="L953" i="16"/>
  <c r="L951" i="16"/>
  <c r="L949" i="16"/>
  <c r="L947" i="16"/>
  <c r="L945" i="16"/>
  <c r="L943" i="16"/>
  <c r="L941" i="16"/>
  <c r="L939" i="16"/>
  <c r="L937" i="16"/>
  <c r="L935" i="16"/>
  <c r="L933" i="16"/>
  <c r="L931" i="16"/>
  <c r="L929" i="16"/>
  <c r="L927" i="16"/>
  <c r="L925" i="16"/>
  <c r="L923" i="16"/>
  <c r="L921" i="16"/>
  <c r="L919" i="16"/>
  <c r="L917" i="16"/>
  <c r="L915" i="16"/>
  <c r="L913" i="16"/>
  <c r="L911" i="16"/>
  <c r="L909" i="16"/>
  <c r="L907" i="16"/>
  <c r="L905" i="16"/>
  <c r="L903" i="16"/>
  <c r="L901" i="16"/>
  <c r="L899" i="16"/>
  <c r="L897" i="16"/>
  <c r="L895" i="16"/>
  <c r="L893" i="16"/>
  <c r="L891" i="16"/>
  <c r="L889" i="16"/>
  <c r="L887" i="16"/>
  <c r="L885" i="16"/>
  <c r="L883" i="16"/>
  <c r="L881" i="16"/>
  <c r="L879" i="16"/>
  <c r="L877" i="16"/>
  <c r="L875" i="16"/>
  <c r="L873" i="16"/>
  <c r="L871" i="16"/>
  <c r="L869" i="16"/>
  <c r="L867" i="16"/>
  <c r="L865" i="16"/>
  <c r="L863" i="16"/>
  <c r="L861" i="16"/>
  <c r="L859" i="16"/>
  <c r="L857" i="16"/>
  <c r="L855" i="16"/>
  <c r="L853" i="16"/>
  <c r="L851" i="16"/>
  <c r="L849" i="16"/>
  <c r="L847" i="16"/>
  <c r="L845" i="16"/>
  <c r="L843" i="16"/>
  <c r="L841" i="16"/>
  <c r="L839" i="16"/>
  <c r="L837" i="16"/>
  <c r="L835" i="16"/>
  <c r="L833" i="16"/>
  <c r="L831" i="16"/>
  <c r="L829" i="16"/>
  <c r="L827" i="16"/>
  <c r="L825" i="16"/>
  <c r="L823" i="16"/>
  <c r="L821" i="16"/>
  <c r="L819" i="16"/>
  <c r="L817" i="16"/>
  <c r="L815" i="16"/>
  <c r="L813" i="16"/>
  <c r="L811" i="16"/>
  <c r="L809" i="16"/>
  <c r="L807" i="16"/>
  <c r="L805" i="16"/>
  <c r="L803" i="16"/>
  <c r="L801" i="16"/>
  <c r="L799" i="16"/>
  <c r="L797" i="16"/>
  <c r="L795" i="16"/>
  <c r="L793" i="16"/>
  <c r="L791" i="16"/>
  <c r="L789" i="16"/>
  <c r="L787" i="16"/>
  <c r="L785" i="16"/>
  <c r="L783" i="16"/>
  <c r="L781" i="16"/>
  <c r="L779" i="16"/>
  <c r="L777" i="16"/>
  <c r="L775" i="16"/>
  <c r="L773" i="16"/>
  <c r="L771" i="16"/>
  <c r="L769" i="16"/>
  <c r="L767" i="16"/>
  <c r="L765" i="16"/>
  <c r="L763" i="16"/>
  <c r="L761" i="16"/>
  <c r="L759" i="16"/>
  <c r="L757" i="16"/>
  <c r="L755" i="16"/>
  <c r="L753" i="16"/>
  <c r="L751" i="16"/>
  <c r="L749" i="16"/>
  <c r="L747" i="16"/>
  <c r="L745" i="16"/>
  <c r="L743" i="16"/>
  <c r="L741" i="16"/>
  <c r="L739" i="16"/>
  <c r="L737" i="16"/>
  <c r="L735" i="16"/>
  <c r="L733" i="16"/>
  <c r="L731" i="16"/>
  <c r="L729" i="16"/>
  <c r="L727" i="16"/>
  <c r="L725" i="16"/>
  <c r="L723" i="16"/>
  <c r="L721" i="16"/>
  <c r="L719" i="16"/>
  <c r="L717" i="16"/>
  <c r="L715" i="16"/>
  <c r="L713" i="16"/>
  <c r="L711" i="16"/>
  <c r="L709" i="16"/>
  <c r="L707" i="16"/>
  <c r="L705" i="16"/>
  <c r="L703" i="16"/>
  <c r="L701" i="16"/>
  <c r="L699" i="16"/>
  <c r="L697" i="16"/>
  <c r="L695" i="16"/>
  <c r="L693" i="16"/>
  <c r="L691" i="16"/>
  <c r="L689" i="16"/>
  <c r="L687" i="16"/>
  <c r="L685" i="16"/>
  <c r="L683" i="16"/>
  <c r="L681" i="16"/>
  <c r="L679" i="16"/>
  <c r="L677" i="16"/>
  <c r="L675" i="16"/>
  <c r="L673" i="16"/>
  <c r="L671" i="16"/>
  <c r="L669" i="16"/>
  <c r="L667" i="16"/>
  <c r="L665" i="16"/>
  <c r="L663" i="16"/>
  <c r="L661" i="16"/>
  <c r="L659" i="16"/>
  <c r="L657" i="16"/>
  <c r="L655" i="16"/>
  <c r="L653" i="16"/>
  <c r="L651" i="16"/>
  <c r="L649" i="16"/>
  <c r="L647" i="16"/>
  <c r="L645" i="16"/>
  <c r="L643" i="16"/>
  <c r="L641" i="16"/>
  <c r="L639" i="16"/>
  <c r="L637" i="16"/>
  <c r="L635" i="16"/>
  <c r="L633" i="16"/>
  <c r="L631" i="16"/>
  <c r="L629" i="16"/>
  <c r="L627" i="16"/>
  <c r="L625" i="16"/>
  <c r="L623" i="16"/>
  <c r="L621" i="16"/>
  <c r="L619" i="16"/>
  <c r="L617" i="16"/>
  <c r="L615" i="16"/>
  <c r="L613" i="16"/>
  <c r="L611" i="16"/>
  <c r="L609" i="16"/>
  <c r="L607" i="16"/>
  <c r="L605" i="16"/>
  <c r="L603" i="16"/>
  <c r="L601" i="16"/>
  <c r="L599" i="16"/>
  <c r="L597" i="16"/>
  <c r="L595" i="16"/>
  <c r="L593" i="16"/>
  <c r="L591" i="16"/>
  <c r="L589" i="16"/>
  <c r="L587" i="16"/>
  <c r="L585" i="16"/>
  <c r="L583" i="16"/>
  <c r="L581" i="16"/>
  <c r="L579" i="16"/>
  <c r="L577" i="16"/>
  <c r="L575" i="16"/>
  <c r="L573" i="16"/>
  <c r="L571" i="16"/>
  <c r="L569" i="16"/>
  <c r="L567" i="16"/>
  <c r="L565" i="16"/>
  <c r="L563" i="16"/>
  <c r="L561" i="16"/>
  <c r="L559" i="16"/>
  <c r="L557" i="16"/>
  <c r="L555" i="16"/>
  <c r="L553" i="16"/>
  <c r="L551" i="16"/>
  <c r="L549" i="16"/>
  <c r="L547" i="16"/>
  <c r="L545" i="16"/>
  <c r="L543" i="16"/>
  <c r="L541" i="16"/>
  <c r="L539" i="16"/>
  <c r="L537" i="16"/>
  <c r="L535" i="16"/>
  <c r="L533" i="16"/>
  <c r="L531" i="16"/>
  <c r="L529" i="16"/>
  <c r="L527" i="16"/>
  <c r="L525" i="16"/>
  <c r="L523" i="16"/>
  <c r="L521" i="16"/>
  <c r="L519" i="16"/>
  <c r="L517" i="16"/>
  <c r="L515" i="16"/>
  <c r="L513" i="16"/>
  <c r="L511" i="16"/>
  <c r="L509" i="16"/>
  <c r="L507" i="16"/>
  <c r="L505" i="16"/>
  <c r="L503" i="16"/>
  <c r="L501" i="16"/>
  <c r="L499" i="16"/>
  <c r="L497" i="16"/>
  <c r="L495" i="16"/>
  <c r="L493" i="16"/>
  <c r="L491" i="16"/>
  <c r="L489" i="16"/>
  <c r="L487" i="16"/>
  <c r="L485" i="16"/>
  <c r="L483" i="16"/>
  <c r="L481" i="16"/>
  <c r="L479" i="16"/>
  <c r="L477" i="16"/>
  <c r="L475" i="16"/>
  <c r="L473" i="16"/>
  <c r="L471" i="16"/>
  <c r="L469" i="16"/>
  <c r="L467" i="16"/>
  <c r="L465" i="16"/>
  <c r="L463" i="16"/>
  <c r="L461" i="16"/>
  <c r="L459" i="16"/>
  <c r="L457" i="16"/>
  <c r="L455" i="16"/>
  <c r="L453" i="16"/>
  <c r="L451" i="16"/>
  <c r="L449" i="16"/>
  <c r="L447" i="16"/>
  <c r="L445" i="16"/>
  <c r="L443" i="16"/>
  <c r="L441" i="16"/>
  <c r="L439" i="16"/>
  <c r="L437" i="16"/>
  <c r="L435" i="16"/>
  <c r="L433" i="16"/>
  <c r="L431" i="16"/>
  <c r="L429" i="16"/>
  <c r="L427" i="16"/>
  <c r="L425" i="16"/>
  <c r="L423" i="16"/>
  <c r="L421" i="16"/>
  <c r="L419" i="16"/>
  <c r="L417" i="16"/>
  <c r="L415" i="16"/>
  <c r="L413" i="16"/>
  <c r="L411" i="16"/>
  <c r="L409" i="16"/>
  <c r="L407" i="16"/>
  <c r="L405" i="16"/>
  <c r="L403" i="16"/>
  <c r="L401" i="16"/>
  <c r="L399" i="16"/>
  <c r="L397" i="16"/>
  <c r="L395" i="16"/>
  <c r="L393" i="16"/>
  <c r="L391" i="16"/>
  <c r="L389" i="16"/>
  <c r="L387" i="16"/>
  <c r="L385" i="16"/>
  <c r="L383" i="16"/>
  <c r="L381" i="16"/>
  <c r="L379" i="16"/>
  <c r="L377" i="16"/>
  <c r="L375" i="16"/>
  <c r="L373" i="16"/>
  <c r="L371" i="16"/>
  <c r="L369" i="16"/>
  <c r="L367" i="16"/>
  <c r="L365" i="16"/>
  <c r="L363" i="16"/>
  <c r="L361" i="16"/>
  <c r="L359" i="16"/>
  <c r="L357" i="16"/>
  <c r="L355" i="16"/>
  <c r="L353" i="16"/>
  <c r="L351" i="16"/>
  <c r="L349" i="16"/>
  <c r="L347" i="16"/>
  <c r="L345" i="16"/>
  <c r="L343" i="16"/>
  <c r="L341" i="16"/>
  <c r="L339" i="16"/>
  <c r="L337" i="16"/>
  <c r="L335" i="16"/>
  <c r="L333" i="16"/>
  <c r="L331" i="16"/>
  <c r="L329" i="16"/>
  <c r="L327" i="16"/>
  <c r="L325" i="16"/>
  <c r="L323" i="16"/>
  <c r="L321" i="16"/>
  <c r="L319" i="16"/>
  <c r="L317" i="16"/>
  <c r="L315" i="16"/>
  <c r="L313" i="16"/>
  <c r="L311" i="16"/>
  <c r="L309" i="16"/>
  <c r="L307" i="16"/>
  <c r="L305" i="16"/>
  <c r="L303" i="16"/>
  <c r="L301" i="16"/>
  <c r="L299" i="16"/>
  <c r="L297" i="16"/>
  <c r="L295" i="16"/>
  <c r="L293" i="16"/>
  <c r="L291" i="16"/>
  <c r="L289" i="16"/>
  <c r="L287" i="16"/>
  <c r="L285" i="16"/>
  <c r="L283" i="16"/>
  <c r="L281" i="16"/>
  <c r="L279" i="16"/>
  <c r="L277" i="16"/>
  <c r="L275" i="16"/>
  <c r="L273" i="16"/>
  <c r="L271" i="16"/>
  <c r="L269" i="16"/>
  <c r="L267" i="16"/>
  <c r="L265" i="16"/>
  <c r="L263" i="16"/>
  <c r="L261" i="16"/>
  <c r="L259" i="16"/>
  <c r="L257" i="16"/>
  <c r="L255" i="16"/>
  <c r="L253" i="16"/>
  <c r="L251" i="16"/>
  <c r="L249" i="16"/>
  <c r="L247" i="16"/>
  <c r="L245" i="16"/>
  <c r="L243" i="16"/>
  <c r="L241" i="16"/>
  <c r="L239" i="16"/>
  <c r="L237" i="16"/>
  <c r="L235" i="16"/>
  <c r="L233" i="16"/>
  <c r="L231" i="16"/>
  <c r="L229" i="16"/>
  <c r="L227" i="16"/>
  <c r="L225" i="16"/>
  <c r="L223" i="16"/>
  <c r="L221" i="16"/>
  <c r="L219" i="16"/>
  <c r="L217" i="16"/>
  <c r="L215" i="16"/>
  <c r="L213" i="16"/>
  <c r="L211" i="16"/>
  <c r="L209" i="16"/>
  <c r="L207" i="16"/>
  <c r="L205" i="16"/>
  <c r="L203" i="16"/>
  <c r="L201" i="16"/>
  <c r="L199" i="16"/>
  <c r="L197" i="16"/>
  <c r="L195" i="16"/>
  <c r="L193" i="16"/>
  <c r="L191" i="16"/>
  <c r="L189" i="16"/>
  <c r="L187" i="16"/>
  <c r="L185" i="16"/>
  <c r="L183" i="16"/>
  <c r="L181" i="16"/>
  <c r="L179" i="16"/>
  <c r="L177" i="16"/>
  <c r="L175" i="16"/>
  <c r="L173" i="16"/>
  <c r="L171" i="16"/>
  <c r="L169" i="16"/>
  <c r="L167" i="16"/>
  <c r="L165" i="16"/>
  <c r="L163" i="16"/>
  <c r="L161" i="16"/>
  <c r="L159" i="16"/>
  <c r="L157" i="16"/>
  <c r="L155" i="16"/>
  <c r="L153" i="16"/>
  <c r="L151" i="16"/>
  <c r="L149" i="16"/>
  <c r="L147" i="16"/>
  <c r="L145" i="16"/>
  <c r="L143" i="16"/>
  <c r="L141" i="16"/>
  <c r="L139" i="16"/>
  <c r="L137" i="16"/>
  <c r="L135" i="16"/>
  <c r="L133" i="16"/>
  <c r="L131" i="16"/>
  <c r="L129" i="16"/>
  <c r="L127" i="16"/>
  <c r="L125" i="16"/>
  <c r="L123" i="16"/>
  <c r="L121" i="16"/>
  <c r="L119" i="16"/>
  <c r="L117" i="16"/>
  <c r="L115" i="16"/>
  <c r="L113" i="16"/>
  <c r="L111" i="16"/>
  <c r="L109" i="16"/>
  <c r="L107" i="16"/>
  <c r="L105" i="16"/>
  <c r="L103" i="16"/>
  <c r="L101" i="16"/>
  <c r="L99" i="16"/>
  <c r="L97" i="16"/>
  <c r="L95" i="16"/>
  <c r="L93" i="16"/>
  <c r="L91" i="16"/>
  <c r="L89" i="16"/>
  <c r="L87" i="16"/>
  <c r="L85" i="16"/>
  <c r="L83" i="16"/>
  <c r="L81" i="16"/>
  <c r="L79" i="16"/>
  <c r="L77" i="16"/>
  <c r="L75" i="16"/>
  <c r="L73" i="16"/>
  <c r="L71" i="16"/>
  <c r="L69" i="16"/>
  <c r="L67" i="16"/>
  <c r="L65" i="16"/>
  <c r="L63" i="16"/>
  <c r="L61" i="16"/>
  <c r="L59" i="16"/>
  <c r="L57" i="16"/>
  <c r="L55" i="16"/>
  <c r="L53" i="16"/>
  <c r="L51" i="16"/>
  <c r="L49" i="16"/>
  <c r="L47" i="16"/>
  <c r="L45" i="16"/>
  <c r="L43" i="16"/>
  <c r="L41" i="16"/>
  <c r="L39" i="16"/>
  <c r="L37" i="16"/>
  <c r="L35" i="16"/>
  <c r="L33" i="16"/>
  <c r="L31" i="16"/>
  <c r="L29" i="16"/>
  <c r="L27" i="16"/>
  <c r="L25" i="16"/>
  <c r="L23" i="16"/>
  <c r="L21" i="16"/>
  <c r="L19" i="16"/>
  <c r="L17" i="16"/>
  <c r="L15" i="16"/>
  <c r="L13" i="16"/>
  <c r="L11" i="16"/>
  <c r="L9" i="16"/>
  <c r="L7" i="16"/>
  <c r="L5" i="16"/>
  <c r="L3" i="16"/>
  <c r="L4" i="16"/>
  <c r="L254" i="16"/>
  <c r="L252" i="16"/>
  <c r="L250" i="16"/>
  <c r="L248" i="16"/>
  <c r="L246" i="16"/>
  <c r="L244" i="16"/>
  <c r="L242" i="16"/>
  <c r="L240" i="16"/>
  <c r="L238" i="16"/>
  <c r="L236" i="16"/>
  <c r="L234" i="16"/>
  <c r="L232" i="16"/>
  <c r="L230" i="16"/>
  <c r="L228" i="16"/>
  <c r="L226" i="16"/>
  <c r="L224" i="16"/>
  <c r="L222" i="16"/>
  <c r="L220" i="16"/>
  <c r="L218" i="16"/>
  <c r="L216" i="16"/>
  <c r="L214" i="16"/>
  <c r="L212" i="16"/>
  <c r="L210" i="16"/>
  <c r="L208" i="16"/>
  <c r="L206" i="16"/>
  <c r="L204" i="16"/>
  <c r="L202" i="16"/>
  <c r="L200" i="16"/>
  <c r="L198" i="16"/>
  <c r="L196" i="16"/>
  <c r="L194" i="16"/>
  <c r="L192" i="16"/>
  <c r="L190" i="16"/>
  <c r="L188" i="16"/>
  <c r="L186" i="16"/>
  <c r="L184" i="16"/>
  <c r="L182" i="16"/>
  <c r="L180" i="16"/>
  <c r="L178" i="16"/>
  <c r="L176" i="16"/>
  <c r="L174" i="16"/>
  <c r="L172" i="16"/>
  <c r="L170" i="16"/>
  <c r="L168" i="16"/>
  <c r="L166" i="16"/>
  <c r="L164" i="16"/>
  <c r="L162" i="16"/>
  <c r="L160" i="16"/>
  <c r="L158" i="16"/>
  <c r="L156" i="16"/>
  <c r="L154" i="16"/>
  <c r="L152" i="16"/>
  <c r="L150" i="16"/>
  <c r="L148" i="16"/>
  <c r="L146" i="16"/>
  <c r="L144" i="16"/>
  <c r="L142" i="16"/>
  <c r="L140" i="16"/>
  <c r="L138" i="16"/>
  <c r="L136" i="16"/>
  <c r="L134" i="16"/>
  <c r="L132" i="16"/>
  <c r="L130" i="16"/>
  <c r="L128" i="16"/>
  <c r="L126" i="16"/>
  <c r="L124" i="16"/>
  <c r="L122" i="16"/>
  <c r="L120" i="16"/>
  <c r="L118" i="16"/>
  <c r="L116" i="16"/>
  <c r="L114" i="16"/>
  <c r="L112" i="16"/>
  <c r="L110" i="16"/>
  <c r="L108" i="16"/>
  <c r="L106" i="16"/>
  <c r="L104" i="16"/>
  <c r="L102" i="16"/>
  <c r="L100" i="16"/>
  <c r="L98" i="16"/>
  <c r="L96" i="16"/>
  <c r="L94" i="16"/>
  <c r="L92" i="16"/>
  <c r="L90" i="16"/>
  <c r="L88" i="16"/>
  <c r="L86" i="16"/>
  <c r="L84" i="16"/>
  <c r="L82" i="16"/>
  <c r="L80" i="16"/>
  <c r="L78" i="16"/>
  <c r="L76" i="16"/>
  <c r="L74" i="16"/>
  <c r="L72" i="16"/>
  <c r="L70" i="16"/>
  <c r="L68" i="16"/>
  <c r="L66" i="16"/>
  <c r="L64" i="16"/>
  <c r="L62" i="16"/>
  <c r="L60" i="16"/>
  <c r="L58" i="16"/>
  <c r="L56" i="16"/>
  <c r="L54" i="16"/>
  <c r="L52" i="16"/>
  <c r="L50" i="16"/>
  <c r="L48" i="16"/>
  <c r="L46" i="16"/>
  <c r="L44" i="16"/>
  <c r="L42" i="16"/>
  <c r="L40" i="16"/>
  <c r="L38" i="16"/>
  <c r="L36" i="16"/>
  <c r="L34" i="16"/>
  <c r="L32" i="16"/>
  <c r="L30" i="16"/>
  <c r="L28" i="16"/>
  <c r="L26" i="16"/>
  <c r="L24" i="16"/>
  <c r="L22" i="16"/>
  <c r="L20" i="16"/>
  <c r="L18" i="16"/>
  <c r="L16" i="16"/>
  <c r="L14" i="16"/>
  <c r="L12" i="16"/>
  <c r="L10" i="16"/>
  <c r="L8" i="16"/>
  <c r="L6" i="16"/>
  <c r="AI32" i="16"/>
  <c r="D60" i="48"/>
  <c r="D62" i="48"/>
  <c r="D64" i="48"/>
  <c r="D66" i="48"/>
  <c r="AI122" i="16"/>
  <c r="AI134" i="16"/>
  <c r="AI36" i="16"/>
  <c r="AI45" i="16"/>
  <c r="AI56" i="16"/>
  <c r="AI60" i="16"/>
  <c r="AI72" i="16"/>
  <c r="AI76" i="16"/>
  <c r="AI88" i="16"/>
  <c r="AI92" i="16"/>
  <c r="AI104" i="16"/>
  <c r="AI108" i="16"/>
  <c r="AI118" i="16"/>
  <c r="AK1470" i="16" a="1"/>
  <c r="AK1470" i="16" s="1"/>
  <c r="AI12" i="16"/>
  <c r="AI19" i="16"/>
  <c r="AI24" i="16"/>
  <c r="AI48" i="16"/>
  <c r="AI52" i="16"/>
  <c r="AI64" i="16"/>
  <c r="AI68" i="16"/>
  <c r="AI80" i="16"/>
  <c r="AI84" i="16"/>
  <c r="AI96" i="16"/>
  <c r="AI100" i="16"/>
  <c r="AI112" i="16"/>
  <c r="AI114" i="16"/>
  <c r="AI126" i="16"/>
  <c r="AI130" i="16"/>
  <c r="AJ17" i="16"/>
  <c r="AI17" i="16"/>
  <c r="AK17" i="16"/>
  <c r="AJ38" i="16"/>
  <c r="AI38" i="16"/>
  <c r="AK38" i="16"/>
  <c r="AJ42" i="16"/>
  <c r="AI42" i="16"/>
  <c r="AK42" i="16"/>
  <c r="AJ8" i="16"/>
  <c r="AI8" i="16"/>
  <c r="AK8" i="16"/>
  <c r="AJ46" i="16"/>
  <c r="AI46" i="16"/>
  <c r="AK46" i="16"/>
  <c r="AJ54" i="16"/>
  <c r="AI54" i="16"/>
  <c r="AK54" i="16"/>
  <c r="AJ62" i="16"/>
  <c r="AI62" i="16"/>
  <c r="AK62" i="16"/>
  <c r="AJ70" i="16"/>
  <c r="AI70" i="16"/>
  <c r="AK70" i="16"/>
  <c r="AJ78" i="16"/>
  <c r="AI78" i="16"/>
  <c r="AK78" i="16"/>
  <c r="AJ86" i="16"/>
  <c r="AI86" i="16"/>
  <c r="AK86" i="16"/>
  <c r="AJ94" i="16"/>
  <c r="AI94" i="16"/>
  <c r="AK94" i="16"/>
  <c r="AJ102" i="16"/>
  <c r="AI102" i="16"/>
  <c r="AK102" i="16"/>
  <c r="AJ110" i="16"/>
  <c r="AI110" i="16"/>
  <c r="AK110" i="16"/>
  <c r="AJ116" i="16"/>
  <c r="AI116" i="16"/>
  <c r="AK116" i="16"/>
  <c r="AJ124" i="16"/>
  <c r="AI124" i="16"/>
  <c r="AK124" i="16"/>
  <c r="AJ132" i="16"/>
  <c r="AI132" i="16"/>
  <c r="AK132" i="16"/>
  <c r="A30" i="11"/>
  <c r="AJ4" i="16"/>
  <c r="AI4" i="16"/>
  <c r="AJ5" i="16"/>
  <c r="AI5" i="16"/>
  <c r="AJ7" i="16"/>
  <c r="AI7" i="16"/>
  <c r="AJ10" i="16"/>
  <c r="AI10" i="16"/>
  <c r="AJ34" i="16"/>
  <c r="AI34" i="16"/>
  <c r="AJ50" i="16"/>
  <c r="AI50" i="16"/>
  <c r="AJ58" i="16"/>
  <c r="AI58" i="16"/>
  <c r="AJ66" i="16"/>
  <c r="AI66" i="16"/>
  <c r="AJ74" i="16"/>
  <c r="AI74" i="16"/>
  <c r="AJ82" i="16"/>
  <c r="AI82" i="16"/>
  <c r="AJ90" i="16"/>
  <c r="AI90" i="16"/>
  <c r="AJ98" i="16"/>
  <c r="AI98" i="16"/>
  <c r="E47" i="30"/>
  <c r="G15" i="12" s="1"/>
  <c r="G18" i="12" s="1"/>
  <c r="AK12" i="16"/>
  <c r="AK15" i="16"/>
  <c r="AK19" i="16"/>
  <c r="AK24" i="16"/>
  <c r="AK32" i="16"/>
  <c r="AK36" i="16"/>
  <c r="AK45" i="16"/>
  <c r="AK48" i="16"/>
  <c r="AK52" i="16"/>
  <c r="AK56" i="16"/>
  <c r="AK60" i="16"/>
  <c r="AK64" i="16"/>
  <c r="AK68" i="16"/>
  <c r="AK72" i="16"/>
  <c r="AK76" i="16"/>
  <c r="AK80" i="16"/>
  <c r="AK84" i="16"/>
  <c r="AK88" i="16"/>
  <c r="AK92" i="16"/>
  <c r="AK96" i="16"/>
  <c r="AJ106" i="16"/>
  <c r="AI106" i="16"/>
  <c r="AJ120" i="16"/>
  <c r="AI120" i="16"/>
  <c r="AJ128" i="16"/>
  <c r="AI128" i="16"/>
  <c r="AJ136" i="16"/>
  <c r="AI136" i="16"/>
  <c r="AK100" i="16"/>
  <c r="AK104" i="16"/>
  <c r="AK108" i="16"/>
  <c r="AK112" i="16"/>
  <c r="AK114" i="16"/>
  <c r="AK118" i="16"/>
  <c r="AK122" i="16"/>
  <c r="AK126" i="16"/>
  <c r="AK130" i="16"/>
  <c r="AK134" i="16"/>
  <c r="W10" i="59"/>
  <c r="Q25" i="60"/>
  <c r="B65" i="60"/>
  <c r="B61" i="59" s="1"/>
  <c r="B50" i="60"/>
  <c r="B16" i="59" s="1"/>
  <c r="B184" i="60"/>
  <c r="B85" i="59" s="1"/>
  <c r="B206" i="60" s="1"/>
  <c r="B102" i="59" s="1"/>
  <c r="B152" i="60"/>
  <c r="B81" i="59" s="1"/>
  <c r="B75" i="60"/>
  <c r="B27" i="59" s="1"/>
  <c r="B78" i="60" s="1"/>
  <c r="B31" i="59" s="1"/>
  <c r="B79" i="60" s="1"/>
  <c r="B32" i="59" s="1"/>
  <c r="B80" i="60"/>
  <c r="B30" i="59" s="1"/>
  <c r="B85" i="60" s="1"/>
  <c r="B50" i="59" s="1"/>
  <c r="W36" i="59"/>
  <c r="B133" i="61"/>
  <c r="C64" i="59" s="1"/>
  <c r="D4" i="59"/>
  <c r="B151" i="62"/>
  <c r="D80" i="59" s="1"/>
  <c r="Q23" i="62"/>
  <c r="B32" i="62" s="1"/>
  <c r="B62" i="62"/>
  <c r="D57" i="59" s="1"/>
  <c r="B202" i="62"/>
  <c r="D100" i="59" s="1"/>
  <c r="B134" i="62"/>
  <c r="D65" i="59" s="1"/>
  <c r="B125" i="62"/>
  <c r="D51" i="59" s="1"/>
  <c r="J142" i="59"/>
  <c r="J141" i="59"/>
  <c r="J140" i="59"/>
  <c r="J143" i="59"/>
  <c r="B282" i="62"/>
  <c r="D282" i="62" s="1"/>
  <c r="B272" i="62"/>
  <c r="D272" i="62" s="1"/>
  <c r="Q25" i="63"/>
  <c r="W91" i="59"/>
  <c r="H92" i="59"/>
  <c r="B65" i="63"/>
  <c r="E61" i="59" s="1"/>
  <c r="B184" i="63"/>
  <c r="E85" i="59" s="1"/>
  <c r="B206" i="63" s="1"/>
  <c r="E102" i="59" s="1"/>
  <c r="B152" i="63"/>
  <c r="E81" i="59" s="1"/>
  <c r="B75" i="63"/>
  <c r="E27" i="59" s="1"/>
  <c r="B78" i="63" s="1"/>
  <c r="E31" i="59" s="1"/>
  <c r="B79" i="63" s="1"/>
  <c r="E32" i="59" s="1"/>
  <c r="B80" i="63"/>
  <c r="E30" i="59" s="1"/>
  <c r="B282" i="63"/>
  <c r="D282" i="63" s="1"/>
  <c r="B272" i="63"/>
  <c r="D272" i="63" s="1"/>
  <c r="W118" i="59"/>
  <c r="Q25" i="64"/>
  <c r="B65" i="64"/>
  <c r="F61" i="59" s="1"/>
  <c r="B50" i="64"/>
  <c r="F16" i="59" s="1"/>
  <c r="B184" i="64"/>
  <c r="F85" i="59" s="1"/>
  <c r="B206" i="64" s="1"/>
  <c r="F102" i="59" s="1"/>
  <c r="B152" i="64"/>
  <c r="F81" i="59" s="1"/>
  <c r="B75" i="64"/>
  <c r="F27" i="59" s="1"/>
  <c r="B78" i="64" s="1"/>
  <c r="F31" i="59" s="1"/>
  <c r="B79" i="64" s="1"/>
  <c r="F32" i="59" s="1"/>
  <c r="B80" i="64"/>
  <c r="F30" i="59" s="1"/>
  <c r="B85" i="64" s="1"/>
  <c r="F50" i="59" s="1"/>
  <c r="I23" i="59"/>
  <c r="K23" i="59"/>
  <c r="M23" i="59"/>
  <c r="O23" i="59"/>
  <c r="Q23" i="59"/>
  <c r="S23" i="59"/>
  <c r="U23" i="59"/>
  <c r="H50" i="59"/>
  <c r="J50" i="59"/>
  <c r="L50" i="59"/>
  <c r="N50" i="59"/>
  <c r="P50" i="59"/>
  <c r="R50" i="59"/>
  <c r="T50" i="59"/>
  <c r="V50" i="59"/>
  <c r="H35" i="59"/>
  <c r="J35" i="59"/>
  <c r="L35" i="59"/>
  <c r="N35" i="59"/>
  <c r="P35" i="59"/>
  <c r="R35" i="59"/>
  <c r="T35" i="59"/>
  <c r="V35" i="59"/>
  <c r="B135" i="62"/>
  <c r="D66" i="59" s="1"/>
  <c r="H65" i="59"/>
  <c r="J65" i="59"/>
  <c r="L65" i="59"/>
  <c r="N65" i="59"/>
  <c r="P65" i="59"/>
  <c r="R65" i="59"/>
  <c r="T65" i="59"/>
  <c r="V65" i="59"/>
  <c r="H119" i="59"/>
  <c r="J119" i="59"/>
  <c r="L119" i="59"/>
  <c r="N119" i="59"/>
  <c r="P119" i="59"/>
  <c r="R119" i="59"/>
  <c r="T119" i="59"/>
  <c r="V119" i="59"/>
  <c r="B4" i="59"/>
  <c r="B151" i="60"/>
  <c r="B80" i="59" s="1"/>
  <c r="B62" i="60"/>
  <c r="B57" i="59" s="1"/>
  <c r="B134" i="60"/>
  <c r="B65" i="59" s="1"/>
  <c r="B125" i="60"/>
  <c r="B51" i="59" s="1"/>
  <c r="B202" i="60"/>
  <c r="B100" i="59" s="1"/>
  <c r="H143" i="59"/>
  <c r="H141" i="59"/>
  <c r="H142" i="59"/>
  <c r="H140" i="59"/>
  <c r="B282" i="60"/>
  <c r="D282" i="60" s="1"/>
  <c r="B272" i="60"/>
  <c r="D272" i="60" s="1"/>
  <c r="Q25" i="61"/>
  <c r="W37" i="59"/>
  <c r="H38" i="59"/>
  <c r="W38" i="59" s="1"/>
  <c r="B184" i="61"/>
  <c r="C85" i="59" s="1"/>
  <c r="B206" i="61" s="1"/>
  <c r="C102" i="59" s="1"/>
  <c r="B152" i="61"/>
  <c r="C81" i="59" s="1"/>
  <c r="B75" i="61"/>
  <c r="C27" i="59" s="1"/>
  <c r="B78" i="61" s="1"/>
  <c r="C31" i="59" s="1"/>
  <c r="B79" i="61" s="1"/>
  <c r="C32" i="59" s="1"/>
  <c r="B80" i="61"/>
  <c r="C30" i="59" s="1"/>
  <c r="L168" i="61"/>
  <c r="L169" i="61"/>
  <c r="L170" i="61"/>
  <c r="L171" i="61"/>
  <c r="L172" i="61"/>
  <c r="L173" i="61"/>
  <c r="L174" i="61"/>
  <c r="L175" i="61"/>
  <c r="L176" i="61"/>
  <c r="L177" i="61"/>
  <c r="B272" i="61"/>
  <c r="D272" i="61" s="1"/>
  <c r="B282" i="61"/>
  <c r="D282" i="61" s="1"/>
  <c r="W64" i="59"/>
  <c r="Q25" i="62"/>
  <c r="B65" i="62"/>
  <c r="D61" i="59" s="1"/>
  <c r="B50" i="62"/>
  <c r="D16" i="59" s="1"/>
  <c r="B184" i="62"/>
  <c r="D85" i="59" s="1"/>
  <c r="B206" i="62" s="1"/>
  <c r="D102" i="59" s="1"/>
  <c r="B152" i="62"/>
  <c r="D81" i="59" s="1"/>
  <c r="B75" i="62"/>
  <c r="D27" i="59" s="1"/>
  <c r="B78" i="62" s="1"/>
  <c r="D31" i="59" s="1"/>
  <c r="B79" i="62" s="1"/>
  <c r="D32" i="59" s="1"/>
  <c r="B80" i="62"/>
  <c r="D30" i="59" s="1"/>
  <c r="B85" i="62" s="1"/>
  <c r="D50" i="59" s="1"/>
  <c r="L159" i="62"/>
  <c r="L160" i="62"/>
  <c r="L161" i="62"/>
  <c r="L162" i="62"/>
  <c r="L164" i="62"/>
  <c r="L165" i="62"/>
  <c r="L166" i="62"/>
  <c r="L167" i="62"/>
  <c r="L168" i="62"/>
  <c r="L170" i="62"/>
  <c r="L171" i="62"/>
  <c r="L172" i="62"/>
  <c r="L173" i="62"/>
  <c r="L174" i="62"/>
  <c r="L176" i="62"/>
  <c r="L177" i="62"/>
  <c r="W90" i="59"/>
  <c r="B72" i="63"/>
  <c r="E24" i="59" s="1"/>
  <c r="B134" i="63"/>
  <c r="E65" i="59" s="1"/>
  <c r="B125" i="63"/>
  <c r="E51" i="59" s="1"/>
  <c r="B202" i="63"/>
  <c r="E100" i="59" s="1"/>
  <c r="B133" i="63"/>
  <c r="E64" i="59" s="1"/>
  <c r="B147" i="63"/>
  <c r="E76" i="59" s="1"/>
  <c r="B194" i="63" s="1"/>
  <c r="E96" i="59" s="1"/>
  <c r="F4" i="59"/>
  <c r="B151" i="64"/>
  <c r="F80" i="59" s="1"/>
  <c r="Q23" i="64"/>
  <c r="B32" i="64" s="1"/>
  <c r="B62" i="64"/>
  <c r="F57" i="59" s="1"/>
  <c r="B202" i="64"/>
  <c r="F100" i="59" s="1"/>
  <c r="B134" i="64"/>
  <c r="F65" i="59" s="1"/>
  <c r="B125" i="64"/>
  <c r="F51" i="59" s="1"/>
  <c r="B282" i="64"/>
  <c r="D282" i="64" s="1"/>
  <c r="B272" i="64"/>
  <c r="D272" i="64" s="1"/>
  <c r="H11" i="59"/>
  <c r="J11" i="59"/>
  <c r="L11" i="59"/>
  <c r="N11" i="59"/>
  <c r="P11" i="59"/>
  <c r="R11" i="59"/>
  <c r="T11" i="59"/>
  <c r="V11" i="59"/>
  <c r="B50" i="61"/>
  <c r="C16" i="59" s="1"/>
  <c r="B50" i="63"/>
  <c r="E16" i="59" s="1"/>
  <c r="K77" i="59"/>
  <c r="M77" i="59"/>
  <c r="O77" i="59"/>
  <c r="Q77" i="59"/>
  <c r="S77" i="59"/>
  <c r="H104" i="59"/>
  <c r="J104" i="59"/>
  <c r="N104" i="59"/>
  <c r="P104" i="59"/>
  <c r="R104" i="59"/>
  <c r="T104" i="59"/>
  <c r="V104" i="59"/>
  <c r="H89" i="59"/>
  <c r="J89" i="59"/>
  <c r="L89" i="59"/>
  <c r="N89" i="59"/>
  <c r="P89" i="59"/>
  <c r="R89" i="59"/>
  <c r="T89" i="59"/>
  <c r="V89" i="59"/>
  <c r="K143" i="59"/>
  <c r="I131" i="59"/>
  <c r="K131" i="59"/>
  <c r="M131" i="59"/>
  <c r="O131" i="59"/>
  <c r="Q131" i="59"/>
  <c r="S131" i="59"/>
  <c r="U131" i="59"/>
  <c r="C153" i="59"/>
  <c r="B251" i="61" s="1"/>
  <c r="C158" i="59" s="1"/>
  <c r="E153" i="59"/>
  <c r="B251" i="63" s="1"/>
  <c r="E158" i="59" s="1"/>
  <c r="B255" i="63" s="1"/>
  <c r="E162" i="59" s="1"/>
  <c r="B275" i="62"/>
  <c r="B281" i="62"/>
  <c r="B281" i="63"/>
  <c r="B281" i="64"/>
  <c r="L8" i="59"/>
  <c r="T8" i="59"/>
  <c r="J12" i="59"/>
  <c r="N12" i="59"/>
  <c r="T12" i="59"/>
  <c r="H13" i="59"/>
  <c r="L13" i="59"/>
  <c r="P13" i="59"/>
  <c r="V13" i="59"/>
  <c r="J14" i="59"/>
  <c r="N14" i="59"/>
  <c r="R14" i="59"/>
  <c r="H15" i="59"/>
  <c r="L15" i="59"/>
  <c r="P15" i="59"/>
  <c r="T15" i="59"/>
  <c r="H16" i="59"/>
  <c r="L16" i="59"/>
  <c r="P16" i="59"/>
  <c r="T16" i="59"/>
  <c r="H17" i="59"/>
  <c r="L17" i="59"/>
  <c r="R17" i="59"/>
  <c r="V17" i="59"/>
  <c r="J18" i="59"/>
  <c r="N18" i="59"/>
  <c r="R18" i="59"/>
  <c r="T18" i="59"/>
  <c r="H20" i="59"/>
  <c r="L20" i="59"/>
  <c r="P20" i="59"/>
  <c r="T20" i="59"/>
  <c r="V20" i="59"/>
  <c r="C22" i="59"/>
  <c r="B72" i="61" s="1"/>
  <c r="C24" i="59" s="1"/>
  <c r="H22" i="59"/>
  <c r="L22" i="59"/>
  <c r="L23" i="59" s="1"/>
  <c r="P22" i="59"/>
  <c r="P23" i="59" s="1"/>
  <c r="T22" i="59"/>
  <c r="T23" i="59" s="1"/>
  <c r="W33" i="59"/>
  <c r="I35" i="59"/>
  <c r="M35" i="59"/>
  <c r="Q35" i="59"/>
  <c r="S35" i="59"/>
  <c r="I39" i="59"/>
  <c r="O39" i="59"/>
  <c r="S39" i="59"/>
  <c r="K40" i="59"/>
  <c r="O40" i="59"/>
  <c r="K41" i="59"/>
  <c r="O41" i="59"/>
  <c r="I42" i="59"/>
  <c r="M42" i="59"/>
  <c r="O42" i="59"/>
  <c r="S42" i="59"/>
  <c r="K43" i="59"/>
  <c r="O43" i="59"/>
  <c r="S43" i="59"/>
  <c r="U43" i="59"/>
  <c r="I44" i="59"/>
  <c r="M44" i="59"/>
  <c r="O44" i="59"/>
  <c r="S44" i="59"/>
  <c r="U44" i="59"/>
  <c r="I45" i="59"/>
  <c r="M45" i="59"/>
  <c r="Q45" i="59"/>
  <c r="I47" i="59"/>
  <c r="M47" i="59"/>
  <c r="Q47" i="59"/>
  <c r="I49" i="59"/>
  <c r="I50" i="59" s="1"/>
  <c r="M49" i="59"/>
  <c r="M50" i="59" s="1"/>
  <c r="Q49" i="59"/>
  <c r="Q50" i="59" s="1"/>
  <c r="U49" i="59"/>
  <c r="U50" i="59" s="1"/>
  <c r="J62" i="59"/>
  <c r="N62" i="59"/>
  <c r="R62" i="59"/>
  <c r="H66" i="59"/>
  <c r="L66" i="59"/>
  <c r="P66" i="59"/>
  <c r="T66" i="59"/>
  <c r="H67" i="59"/>
  <c r="L67" i="59"/>
  <c r="P67" i="59"/>
  <c r="T67" i="59"/>
  <c r="H68" i="59"/>
  <c r="L68" i="59"/>
  <c r="P68" i="59"/>
  <c r="T68" i="59"/>
  <c r="E69" i="59"/>
  <c r="J69" i="59"/>
  <c r="N69" i="59"/>
  <c r="R69" i="59"/>
  <c r="C70" i="59"/>
  <c r="H70" i="59"/>
  <c r="J70" i="59"/>
  <c r="N70" i="59"/>
  <c r="R70" i="59"/>
  <c r="V70" i="59"/>
  <c r="J71" i="59"/>
  <c r="N71" i="59"/>
  <c r="R71" i="59"/>
  <c r="V71" i="59"/>
  <c r="J72" i="59"/>
  <c r="N72" i="59"/>
  <c r="R72" i="59"/>
  <c r="T72" i="59"/>
  <c r="H74" i="59"/>
  <c r="N74" i="59"/>
  <c r="P74" i="59"/>
  <c r="R74" i="59"/>
  <c r="T74" i="59"/>
  <c r="V74" i="59"/>
  <c r="J76" i="59"/>
  <c r="J77" i="59" s="1"/>
  <c r="N76" i="59"/>
  <c r="N77" i="59" s="1"/>
  <c r="R76" i="59"/>
  <c r="R77" i="59" s="1"/>
  <c r="T76" i="59"/>
  <c r="T77" i="59" s="1"/>
  <c r="V76" i="59"/>
  <c r="V77" i="59" s="1"/>
  <c r="H80" i="59"/>
  <c r="W80" i="59" s="1"/>
  <c r="I89" i="59"/>
  <c r="M89" i="59"/>
  <c r="Q89" i="59"/>
  <c r="S89" i="59"/>
  <c r="K93" i="59"/>
  <c r="O93" i="59"/>
  <c r="S93" i="59"/>
  <c r="U93" i="59"/>
  <c r="I94" i="59"/>
  <c r="M94" i="59"/>
  <c r="Q94" i="59"/>
  <c r="S94" i="59"/>
  <c r="U94" i="59"/>
  <c r="K95" i="59"/>
  <c r="Q95" i="59"/>
  <c r="K96" i="59"/>
  <c r="O96" i="59"/>
  <c r="Q96" i="59"/>
  <c r="S96" i="59"/>
  <c r="U96" i="59"/>
  <c r="K97" i="59"/>
  <c r="O97" i="59"/>
  <c r="I98" i="59"/>
  <c r="M98" i="59"/>
  <c r="Q98" i="59"/>
  <c r="U98" i="59"/>
  <c r="I99" i="59"/>
  <c r="M99" i="59"/>
  <c r="O99" i="59"/>
  <c r="Q99" i="59"/>
  <c r="S99" i="59"/>
  <c r="U99" i="59"/>
  <c r="I101" i="59"/>
  <c r="M101" i="59"/>
  <c r="Q101" i="59"/>
  <c r="S101" i="59"/>
  <c r="U101" i="59"/>
  <c r="K103" i="59"/>
  <c r="K104" i="59" s="1"/>
  <c r="Q103" i="59"/>
  <c r="Q104" i="59" s="1"/>
  <c r="U103" i="59"/>
  <c r="U104" i="59" s="1"/>
  <c r="H106" i="59"/>
  <c r="W106" i="59" s="1"/>
  <c r="B215" i="63" s="1"/>
  <c r="E120" i="59" s="1"/>
  <c r="B231" i="63" s="1"/>
  <c r="E136" i="59" s="1"/>
  <c r="C110" i="59"/>
  <c r="E110" i="59"/>
  <c r="D111" i="59"/>
  <c r="E112" i="59"/>
  <c r="C114" i="59"/>
  <c r="D115" i="59"/>
  <c r="H116" i="59"/>
  <c r="L116" i="59"/>
  <c r="N116" i="59"/>
  <c r="R116" i="59"/>
  <c r="T116" i="59"/>
  <c r="V116" i="59"/>
  <c r="H120" i="59"/>
  <c r="L120" i="59"/>
  <c r="P120" i="59"/>
  <c r="T120" i="59"/>
  <c r="J121" i="59"/>
  <c r="P121" i="59"/>
  <c r="T121" i="59"/>
  <c r="V121" i="59"/>
  <c r="J122" i="59"/>
  <c r="L122" i="59"/>
  <c r="P122" i="59"/>
  <c r="T122" i="59"/>
  <c r="V122" i="59"/>
  <c r="J123" i="59"/>
  <c r="N123" i="59"/>
  <c r="R123" i="59"/>
  <c r="T123" i="59"/>
  <c r="H124" i="59"/>
  <c r="L124" i="59"/>
  <c r="P124" i="59"/>
  <c r="R124" i="59"/>
  <c r="V124" i="59"/>
  <c r="H125" i="59"/>
  <c r="L125" i="59"/>
  <c r="N125" i="59"/>
  <c r="R125" i="59"/>
  <c r="V125" i="59"/>
  <c r="H126" i="59"/>
  <c r="J126" i="59"/>
  <c r="L126" i="59"/>
  <c r="P126" i="59"/>
  <c r="T126" i="59"/>
  <c r="J128" i="59"/>
  <c r="N128" i="59"/>
  <c r="R128" i="59"/>
  <c r="H130" i="59"/>
  <c r="L130" i="59"/>
  <c r="L131" i="59" s="1"/>
  <c r="N130" i="59"/>
  <c r="N131" i="59" s="1"/>
  <c r="R130" i="59"/>
  <c r="R131" i="59" s="1"/>
  <c r="V130" i="59"/>
  <c r="V131" i="59" s="1"/>
  <c r="H134" i="59"/>
  <c r="W134" i="59" s="1"/>
  <c r="C8" i="12"/>
  <c r="C11" i="12"/>
  <c r="C13" i="12"/>
  <c r="AJ3" i="16"/>
  <c r="AF6" i="16"/>
  <c r="AF11" i="16"/>
  <c r="AJ11" i="16"/>
  <c r="AF13" i="16"/>
  <c r="AJ14" i="16"/>
  <c r="AJ18" i="16"/>
  <c r="AF20" i="16"/>
  <c r="AF21" i="16"/>
  <c r="AF22" i="16"/>
  <c r="AJ22" i="16"/>
  <c r="AJ23" i="16"/>
  <c r="AF26" i="16"/>
  <c r="AJ26" i="16"/>
  <c r="AJ29" i="16"/>
  <c r="AF31" i="16"/>
  <c r="AJ31" i="16"/>
  <c r="AF33" i="16"/>
  <c r="AJ37" i="16"/>
  <c r="AJ40" i="16"/>
  <c r="AF44" i="16"/>
  <c r="AJ44" i="16"/>
  <c r="AF49" i="16"/>
  <c r="AJ49" i="16"/>
  <c r="AF55" i="16"/>
  <c r="AJ55" i="16"/>
  <c r="AF57" i="16"/>
  <c r="AJ57" i="16"/>
  <c r="AF59" i="16"/>
  <c r="AJ59" i="16"/>
  <c r="AF63" i="16"/>
  <c r="AJ63" i="16"/>
  <c r="AF65" i="16"/>
  <c r="AJ65" i="16"/>
  <c r="AF67" i="16"/>
  <c r="AJ67" i="16"/>
  <c r="AF71" i="16"/>
  <c r="AJ71" i="16"/>
  <c r="AF75" i="16"/>
  <c r="AJ75" i="16"/>
  <c r="AF83" i="16"/>
  <c r="AJ83" i="16"/>
  <c r="AF85" i="16"/>
  <c r="AJ87" i="16"/>
  <c r="AF91" i="16"/>
  <c r="AJ91" i="16"/>
  <c r="AF95" i="16"/>
  <c r="AJ95" i="16"/>
  <c r="AF99" i="16"/>
  <c r="AJ99" i="16"/>
  <c r="AF101" i="16"/>
  <c r="AJ101" i="16"/>
  <c r="AJ105" i="16"/>
  <c r="AF111" i="16"/>
  <c r="AJ111" i="16"/>
  <c r="AF115" i="16"/>
  <c r="AJ115" i="16"/>
  <c r="AF121" i="16"/>
  <c r="AJ121" i="16"/>
  <c r="AF123" i="16"/>
  <c r="AJ123" i="16"/>
  <c r="AF129" i="16"/>
  <c r="AJ129" i="16"/>
  <c r="AF131" i="16"/>
  <c r="AJ131" i="16"/>
  <c r="AF135" i="16"/>
  <c r="AJ135" i="16"/>
  <c r="AF137" i="16"/>
  <c r="AK138" i="16" a="1"/>
  <c r="AK138" i="16" s="1"/>
  <c r="AK140" i="16" a="1"/>
  <c r="AK140" i="16" s="1"/>
  <c r="AK142" i="16" a="1"/>
  <c r="AK142" i="16" s="1"/>
  <c r="AK144" i="16" a="1"/>
  <c r="AK144" i="16" s="1"/>
  <c r="AK146" i="16" a="1"/>
  <c r="AK146" i="16" s="1"/>
  <c r="AK148" i="16" a="1"/>
  <c r="AK148" i="16" s="1"/>
  <c r="AK151" i="16" a="1"/>
  <c r="AK151" i="16" s="1"/>
  <c r="AK152" i="16" a="1"/>
  <c r="AK152" i="16" s="1"/>
  <c r="AK155" i="16" a="1"/>
  <c r="AK155" i="16" s="1"/>
  <c r="AK156" i="16" a="1"/>
  <c r="AK156" i="16" s="1"/>
  <c r="AK159" i="16" a="1"/>
  <c r="AK159" i="16" s="1"/>
  <c r="AK161" i="16" a="1"/>
  <c r="AK161" i="16" s="1"/>
  <c r="AK163" i="16" a="1"/>
  <c r="AK163" i="16" s="1"/>
  <c r="AK165" i="16" a="1"/>
  <c r="AK165" i="16" s="1"/>
  <c r="AK167" i="16" a="1"/>
  <c r="AK167" i="16" s="1"/>
  <c r="AK169" i="16" a="1"/>
  <c r="AK169" i="16" s="1"/>
  <c r="AK171" i="16" a="1"/>
  <c r="AK171" i="16" s="1"/>
  <c r="AK173" i="16" a="1"/>
  <c r="AK173" i="16" s="1"/>
  <c r="AK175" i="16" a="1"/>
  <c r="AK175" i="16" s="1"/>
  <c r="AK177" i="16" a="1"/>
  <c r="AK177" i="16" s="1"/>
  <c r="AK179" i="16" a="1"/>
  <c r="AK179" i="16" s="1"/>
  <c r="AK181" i="16" a="1"/>
  <c r="AK181" i="16" s="1"/>
  <c r="AK183" i="16" a="1"/>
  <c r="AK183" i="16" s="1"/>
  <c r="AK185" i="16" a="1"/>
  <c r="AK185" i="16" s="1"/>
  <c r="AK187" i="16" a="1"/>
  <c r="AK187" i="16" s="1"/>
  <c r="AK189" i="16" a="1"/>
  <c r="AK189" i="16" s="1"/>
  <c r="AK191" i="16" a="1"/>
  <c r="AK191" i="16" s="1"/>
  <c r="AK193" i="16" a="1"/>
  <c r="AK193" i="16" s="1"/>
  <c r="AK195" i="16" a="1"/>
  <c r="AK195" i="16" s="1"/>
  <c r="AK197" i="16" a="1"/>
  <c r="AK197" i="16" s="1"/>
  <c r="AK199" i="16" a="1"/>
  <c r="AK199" i="16" s="1"/>
  <c r="AK201" i="16" a="1"/>
  <c r="AK201" i="16" s="1"/>
  <c r="AK203" i="16" a="1"/>
  <c r="AK203" i="16" s="1"/>
  <c r="AK205" i="16" a="1"/>
  <c r="AK205" i="16" s="1"/>
  <c r="AK207" i="16" a="1"/>
  <c r="AK207" i="16" s="1"/>
  <c r="AK209" i="16" a="1"/>
  <c r="AK209" i="16" s="1"/>
  <c r="AK211" i="16" a="1"/>
  <c r="AK211" i="16" s="1"/>
  <c r="AK213" i="16" a="1"/>
  <c r="AK213" i="16" s="1"/>
  <c r="AK215" i="16" a="1"/>
  <c r="AK215" i="16" s="1"/>
  <c r="AK217" i="16" a="1"/>
  <c r="AK217" i="16" s="1"/>
  <c r="AK219" i="16" a="1"/>
  <c r="AK219" i="16" s="1"/>
  <c r="AK221" i="16" a="1"/>
  <c r="AK221" i="16" s="1"/>
  <c r="AK223" i="16" a="1"/>
  <c r="AK223" i="16" s="1"/>
  <c r="AK225" i="16" a="1"/>
  <c r="AK225" i="16" s="1"/>
  <c r="AK227" i="16" a="1"/>
  <c r="AK227" i="16" s="1"/>
  <c r="AK229" i="16" a="1"/>
  <c r="AK229" i="16" s="1"/>
  <c r="AK231" i="16" a="1"/>
  <c r="AK231" i="16" s="1"/>
  <c r="AK233" i="16" a="1"/>
  <c r="AK233" i="16" s="1"/>
  <c r="AK235" i="16" a="1"/>
  <c r="AK235" i="16" s="1"/>
  <c r="AK237" i="16" a="1"/>
  <c r="AK237" i="16" s="1"/>
  <c r="AK239" i="16" a="1"/>
  <c r="AK239" i="16" s="1"/>
  <c r="AK241" i="16" a="1"/>
  <c r="AK241" i="16" s="1"/>
  <c r="AK243" i="16" a="1"/>
  <c r="AK243" i="16" s="1"/>
  <c r="AK246" i="16" a="1"/>
  <c r="AK246" i="16" s="1"/>
  <c r="AK248" i="16" a="1"/>
  <c r="AK248" i="16" s="1"/>
  <c r="AK250" i="16" a="1"/>
  <c r="AK250" i="16" s="1"/>
  <c r="AK252" i="16" a="1"/>
  <c r="AK252" i="16" s="1"/>
  <c r="AK254" i="16" a="1"/>
  <c r="AK254" i="16" s="1"/>
  <c r="AK256" i="16" a="1"/>
  <c r="AK256" i="16" s="1"/>
  <c r="AK258" i="16" a="1"/>
  <c r="AK258" i="16" s="1"/>
  <c r="AK260" i="16" a="1"/>
  <c r="AK260" i="16" s="1"/>
  <c r="AK262" i="16" a="1"/>
  <c r="AK262" i="16" s="1"/>
  <c r="AK264" i="16" a="1"/>
  <c r="AK264" i="16" s="1"/>
  <c r="AK267" i="16" a="1"/>
  <c r="AK267" i="16" s="1"/>
  <c r="AK269" i="16" a="1"/>
  <c r="AK269" i="16" s="1"/>
  <c r="AK271" i="16" a="1"/>
  <c r="AK271" i="16" s="1"/>
  <c r="AK273" i="16" a="1"/>
  <c r="AK273" i="16" s="1"/>
  <c r="AK275" i="16" a="1"/>
  <c r="AK275" i="16" s="1"/>
  <c r="AK276" i="16" a="1"/>
  <c r="AK276" i="16" s="1"/>
  <c r="AK278" i="16" a="1"/>
  <c r="AK278" i="16" s="1"/>
  <c r="AK280" i="16" a="1"/>
  <c r="AK280" i="16" s="1"/>
  <c r="AK282" i="16" a="1"/>
  <c r="AK282" i="16" s="1"/>
  <c r="AK284" i="16" a="1"/>
  <c r="AK284" i="16" s="1"/>
  <c r="AK286" i="16" a="1"/>
  <c r="AK286" i="16" s="1"/>
  <c r="AK288" i="16" a="1"/>
  <c r="AK288" i="16" s="1"/>
  <c r="AK290" i="16" a="1"/>
  <c r="AK290" i="16" s="1"/>
  <c r="AK292" i="16" a="1"/>
  <c r="AK292" i="16" s="1"/>
  <c r="AK294" i="16" a="1"/>
  <c r="AK294" i="16" s="1"/>
  <c r="AK296" i="16" a="1"/>
  <c r="AK296" i="16" s="1"/>
  <c r="AK298" i="16" a="1"/>
  <c r="AK298" i="16" s="1"/>
  <c r="AK300" i="16" a="1"/>
  <c r="AK300" i="16" s="1"/>
  <c r="AK302" i="16" a="1"/>
  <c r="AK302" i="16" s="1"/>
  <c r="AK304" i="16" a="1"/>
  <c r="AK304" i="16" s="1"/>
  <c r="AK306" i="16" a="1"/>
  <c r="AK306" i="16" s="1"/>
  <c r="AK308" i="16" a="1"/>
  <c r="AK308" i="16" s="1"/>
  <c r="AK310" i="16" a="1"/>
  <c r="AK310" i="16" s="1"/>
  <c r="AK312" i="16" a="1"/>
  <c r="AK312" i="16" s="1"/>
  <c r="AK314" i="16" a="1"/>
  <c r="AK314" i="16" s="1"/>
  <c r="AK316" i="16" a="1"/>
  <c r="AK316" i="16" s="1"/>
  <c r="AK318" i="16" a="1"/>
  <c r="AK318" i="16" s="1"/>
  <c r="AK320" i="16" a="1"/>
  <c r="AK320" i="16" s="1"/>
  <c r="AK322" i="16" a="1"/>
  <c r="AK322" i="16" s="1"/>
  <c r="AK324" i="16" a="1"/>
  <c r="AK324" i="16" s="1"/>
  <c r="AK326" i="16" a="1"/>
  <c r="AK326" i="16" s="1"/>
  <c r="AK328" i="16" a="1"/>
  <c r="AK328" i="16" s="1"/>
  <c r="AK330" i="16" a="1"/>
  <c r="AK330" i="16" s="1"/>
  <c r="AK332" i="16" a="1"/>
  <c r="AK332" i="16" s="1"/>
  <c r="AK335" i="16" a="1"/>
  <c r="AK335" i="16" s="1"/>
  <c r="AK336" i="16" a="1"/>
  <c r="AK336" i="16" s="1"/>
  <c r="AK339" i="16" a="1"/>
  <c r="AK339" i="16" s="1"/>
  <c r="AK341" i="16" a="1"/>
  <c r="AK341" i="16" s="1"/>
  <c r="AK343" i="16" a="1"/>
  <c r="AK343" i="16" s="1"/>
  <c r="AK345" i="16" a="1"/>
  <c r="AK345" i="16" s="1"/>
  <c r="AK347" i="16" a="1"/>
  <c r="AK347" i="16" s="1"/>
  <c r="AK349" i="16" a="1"/>
  <c r="AK349" i="16" s="1"/>
  <c r="AK351" i="16" a="1"/>
  <c r="AK351" i="16" s="1"/>
  <c r="AK353" i="16" a="1"/>
  <c r="AK353" i="16" s="1"/>
  <c r="AK355" i="16" a="1"/>
  <c r="AK355" i="16" s="1"/>
  <c r="AK357" i="16" a="1"/>
  <c r="AK357" i="16" s="1"/>
  <c r="AK359" i="16" a="1"/>
  <c r="AK359" i="16" s="1"/>
  <c r="AK361" i="16" a="1"/>
  <c r="AK361" i="16" s="1"/>
  <c r="AK363" i="16" a="1"/>
  <c r="AK363" i="16" s="1"/>
  <c r="AK365" i="16" a="1"/>
  <c r="AK365" i="16" s="1"/>
  <c r="AK367" i="16" a="1"/>
  <c r="AK367" i="16" s="1"/>
  <c r="AK369" i="16" a="1"/>
  <c r="AK369" i="16" s="1"/>
  <c r="AK371" i="16" a="1"/>
  <c r="AK371" i="16" s="1"/>
  <c r="AK373" i="16" a="1"/>
  <c r="AK373" i="16" s="1"/>
  <c r="AK375" i="16" a="1"/>
  <c r="AK375" i="16" s="1"/>
  <c r="AK377" i="16" a="1"/>
  <c r="AK377" i="16" s="1"/>
  <c r="AK379" i="16" a="1"/>
  <c r="AK379" i="16" s="1"/>
  <c r="AK381" i="16" a="1"/>
  <c r="AK381" i="16" s="1"/>
  <c r="AK383" i="16" a="1"/>
  <c r="AK383" i="16" s="1"/>
  <c r="AK385" i="16" a="1"/>
  <c r="AK385" i="16" s="1"/>
  <c r="AK387" i="16" a="1"/>
  <c r="AK387" i="16" s="1"/>
  <c r="AK389" i="16" a="1"/>
  <c r="AK389" i="16" s="1"/>
  <c r="AK391" i="16" a="1"/>
  <c r="AK391" i="16" s="1"/>
  <c r="AK393" i="16" a="1"/>
  <c r="AK393" i="16" s="1"/>
  <c r="AK395" i="16" a="1"/>
  <c r="AK395" i="16" s="1"/>
  <c r="AK397" i="16" a="1"/>
  <c r="AK397" i="16" s="1"/>
  <c r="AK399" i="16" a="1"/>
  <c r="AK399" i="16" s="1"/>
  <c r="AK401" i="16" a="1"/>
  <c r="AK401" i="16" s="1"/>
  <c r="AK403" i="16" a="1"/>
  <c r="AK403" i="16" s="1"/>
  <c r="AK405" i="16" a="1"/>
  <c r="AK405" i="16" s="1"/>
  <c r="AK407" i="16" a="1"/>
  <c r="AK407" i="16" s="1"/>
  <c r="AK409" i="16" a="1"/>
  <c r="AK409" i="16" s="1"/>
  <c r="AK411" i="16" a="1"/>
  <c r="AK411" i="16" s="1"/>
  <c r="AK413" i="16" a="1"/>
  <c r="AK413" i="16" s="1"/>
  <c r="AK414" i="16" a="1"/>
  <c r="AK414" i="16" s="1"/>
  <c r="AK416" i="16" a="1"/>
  <c r="AK416" i="16" s="1"/>
  <c r="AK418" i="16" a="1"/>
  <c r="AK418" i="16" s="1"/>
  <c r="AK420" i="16" a="1"/>
  <c r="AK420" i="16" s="1"/>
  <c r="AK422" i="16" a="1"/>
  <c r="AK422" i="16" s="1"/>
  <c r="AK424" i="16" a="1"/>
  <c r="AK424" i="16" s="1"/>
  <c r="AK426" i="16" a="1"/>
  <c r="AK426" i="16" s="1"/>
  <c r="AK429" i="16" a="1"/>
  <c r="AK429" i="16" s="1"/>
  <c r="AK431" i="16" a="1"/>
  <c r="AK431" i="16" s="1"/>
  <c r="AK433" i="16" a="1"/>
  <c r="AK433" i="16" s="1"/>
  <c r="AK435" i="16" a="1"/>
  <c r="AK435" i="16" s="1"/>
  <c r="AK437" i="16" a="1"/>
  <c r="AK437" i="16" s="1"/>
  <c r="AK439" i="16" a="1"/>
  <c r="AK439" i="16" s="1"/>
  <c r="AK441" i="16" a="1"/>
  <c r="AK441" i="16" s="1"/>
  <c r="AK443" i="16" a="1"/>
  <c r="AK443" i="16" s="1"/>
  <c r="AK445" i="16" a="1"/>
  <c r="AK445" i="16" s="1"/>
  <c r="AK447" i="16" a="1"/>
  <c r="AK447" i="16" s="1"/>
  <c r="AK449" i="16" a="1"/>
  <c r="AK449" i="16" s="1"/>
  <c r="AK451" i="16" a="1"/>
  <c r="AK451" i="16" s="1"/>
  <c r="AK452" i="16" a="1"/>
  <c r="AK452" i="16" s="1"/>
  <c r="AK454" i="16" a="1"/>
  <c r="AK454" i="16" s="1"/>
  <c r="AK456" i="16" a="1"/>
  <c r="AK456" i="16" s="1"/>
  <c r="AK458" i="16" a="1"/>
  <c r="AK458" i="16" s="1"/>
  <c r="AK460" i="16" a="1"/>
  <c r="AK460" i="16" s="1"/>
  <c r="AK462" i="16" a="1"/>
  <c r="AK462" i="16" s="1"/>
  <c r="AK464" i="16" a="1"/>
  <c r="AK464" i="16" s="1"/>
  <c r="AK466" i="16" a="1"/>
  <c r="AK466" i="16" s="1"/>
  <c r="AK468" i="16" a="1"/>
  <c r="AK468" i="16" s="1"/>
  <c r="AK470" i="16" a="1"/>
  <c r="AK470" i="16" s="1"/>
  <c r="AK472" i="16" a="1"/>
  <c r="AK472" i="16" s="1"/>
  <c r="AK474" i="16" a="1"/>
  <c r="AK474" i="16" s="1"/>
  <c r="AK476" i="16" a="1"/>
  <c r="AK476" i="16" s="1"/>
  <c r="AK478" i="16" a="1"/>
  <c r="AK478" i="16" s="1"/>
  <c r="AK480" i="16" a="1"/>
  <c r="AK480" i="16" s="1"/>
  <c r="AK482" i="16" a="1"/>
  <c r="AK482" i="16" s="1"/>
  <c r="AK484" i="16" a="1"/>
  <c r="AK484" i="16" s="1"/>
  <c r="AK486" i="16" a="1"/>
  <c r="AK486" i="16" s="1"/>
  <c r="AK488" i="16" a="1"/>
  <c r="AK488" i="16" s="1"/>
  <c r="AK490" i="16" a="1"/>
  <c r="AK490" i="16" s="1"/>
  <c r="AK492" i="16" a="1"/>
  <c r="AK492" i="16" s="1"/>
  <c r="AK494" i="16" a="1"/>
  <c r="AK494" i="16" s="1"/>
  <c r="AK496" i="16" a="1"/>
  <c r="AK496" i="16" s="1"/>
  <c r="AK498" i="16" a="1"/>
  <c r="AK498" i="16" s="1"/>
  <c r="AK500" i="16" a="1"/>
  <c r="AK500" i="16" s="1"/>
  <c r="AK502" i="16" a="1"/>
  <c r="AK502" i="16" s="1"/>
  <c r="AK504" i="16" a="1"/>
  <c r="AK504" i="16" s="1"/>
  <c r="AK506" i="16" a="1"/>
  <c r="AK506" i="16" s="1"/>
  <c r="AK508" i="16" a="1"/>
  <c r="AK508" i="16" s="1"/>
  <c r="AK510" i="16" a="1"/>
  <c r="AK510" i="16" s="1"/>
  <c r="AK512" i="16" a="1"/>
  <c r="AK512" i="16" s="1"/>
  <c r="AK514" i="16" a="1"/>
  <c r="AK514" i="16" s="1"/>
  <c r="AK516" i="16" a="1"/>
  <c r="AK516" i="16" s="1"/>
  <c r="AK518" i="16" a="1"/>
  <c r="AK518" i="16" s="1"/>
  <c r="AK520" i="16" a="1"/>
  <c r="AK520" i="16" s="1"/>
  <c r="AK521" i="16" a="1"/>
  <c r="AK521" i="16" s="1"/>
  <c r="AK523" i="16" a="1"/>
  <c r="AK523" i="16" s="1"/>
  <c r="AK525" i="16" a="1"/>
  <c r="AK525" i="16" s="1"/>
  <c r="AK527" i="16" a="1"/>
  <c r="AK527" i="16" s="1"/>
  <c r="AK529" i="16" a="1"/>
  <c r="AK529" i="16" s="1"/>
  <c r="AK531" i="16" a="1"/>
  <c r="AK531" i="16" s="1"/>
  <c r="AK532" i="16" a="1"/>
  <c r="AK532" i="16" s="1"/>
  <c r="AK534" i="16" a="1"/>
  <c r="AK534" i="16" s="1"/>
  <c r="AK536" i="16" a="1"/>
  <c r="AK536" i="16" s="1"/>
  <c r="AK538" i="16" a="1"/>
  <c r="AK538" i="16" s="1"/>
  <c r="AK540" i="16" a="1"/>
  <c r="AK540" i="16" s="1"/>
  <c r="AK542" i="16" a="1"/>
  <c r="AK542" i="16" s="1"/>
  <c r="AK544" i="16" a="1"/>
  <c r="AK544" i="16" s="1"/>
  <c r="AK546" i="16" a="1"/>
  <c r="AK546" i="16" s="1"/>
  <c r="AK548" i="16" a="1"/>
  <c r="AK548" i="16" s="1"/>
  <c r="AK550" i="16" a="1"/>
  <c r="AK550" i="16" s="1"/>
  <c r="AK552" i="16" a="1"/>
  <c r="AK552" i="16" s="1"/>
  <c r="AK554" i="16" a="1"/>
  <c r="AK554" i="16" s="1"/>
  <c r="AK556" i="16" a="1"/>
  <c r="AK556" i="16" s="1"/>
  <c r="AK558" i="16" a="1"/>
  <c r="AK558" i="16" s="1"/>
  <c r="AK560" i="16" a="1"/>
  <c r="AK560" i="16" s="1"/>
  <c r="AK562" i="16" a="1"/>
  <c r="AK562" i="16" s="1"/>
  <c r="AK564" i="16" a="1"/>
  <c r="AK564" i="16" s="1"/>
  <c r="AK566" i="16" a="1"/>
  <c r="AK566" i="16" s="1"/>
  <c r="AK568" i="16" a="1"/>
  <c r="AK568" i="16" s="1"/>
  <c r="AK570" i="16" a="1"/>
  <c r="AK570" i="16" s="1"/>
  <c r="AK572" i="16" a="1"/>
  <c r="AK572" i="16" s="1"/>
  <c r="AK573" i="16" a="1"/>
  <c r="AK573" i="16" s="1"/>
  <c r="AK575" i="16" a="1"/>
  <c r="AK575" i="16" s="1"/>
  <c r="AK577" i="16" a="1"/>
  <c r="AK577" i="16" s="1"/>
  <c r="AK579" i="16" a="1"/>
  <c r="AK579" i="16" s="1"/>
  <c r="AK581" i="16" a="1"/>
  <c r="AK581" i="16" s="1"/>
  <c r="AK583" i="16" a="1"/>
  <c r="AK583" i="16" s="1"/>
  <c r="AK585" i="16" a="1"/>
  <c r="AK585" i="16" s="1"/>
  <c r="AK587" i="16" a="1"/>
  <c r="AK587" i="16" s="1"/>
  <c r="AK589" i="16" a="1"/>
  <c r="AK589" i="16" s="1"/>
  <c r="AK591" i="16" a="1"/>
  <c r="AK591" i="16" s="1"/>
  <c r="AK593" i="16" a="1"/>
  <c r="AK593" i="16" s="1"/>
  <c r="AK595" i="16" a="1"/>
  <c r="AK595" i="16" s="1"/>
  <c r="AK597" i="16" a="1"/>
  <c r="AK597" i="16" s="1"/>
  <c r="AK599" i="16" a="1"/>
  <c r="AK599" i="16" s="1"/>
  <c r="AK601" i="16" a="1"/>
  <c r="AK601" i="16" s="1"/>
  <c r="AK603" i="16" a="1"/>
  <c r="AK603" i="16" s="1"/>
  <c r="AK605" i="16" a="1"/>
  <c r="AK605" i="16" s="1"/>
  <c r="AK607" i="16" a="1"/>
  <c r="AK607" i="16" s="1"/>
  <c r="AK609" i="16" a="1"/>
  <c r="AK609" i="16" s="1"/>
  <c r="AK611" i="16" a="1"/>
  <c r="AK611" i="16" s="1"/>
  <c r="AK613" i="16" a="1"/>
  <c r="AK613" i="16" s="1"/>
  <c r="AK615" i="16" a="1"/>
  <c r="AK615" i="16" s="1"/>
  <c r="AK618" i="16" a="1"/>
  <c r="AK618" i="16" s="1"/>
  <c r="AK620" i="16" a="1"/>
  <c r="AK620" i="16" s="1"/>
  <c r="AK622" i="16" a="1"/>
  <c r="AK622" i="16" s="1"/>
  <c r="AK624" i="16" a="1"/>
  <c r="AK624" i="16" s="1"/>
  <c r="AK626" i="16" a="1"/>
  <c r="AK626" i="16" s="1"/>
  <c r="AK628" i="16" a="1"/>
  <c r="AK628" i="16" s="1"/>
  <c r="AK630" i="16" a="1"/>
  <c r="AK630" i="16" s="1"/>
  <c r="AK632" i="16" a="1"/>
  <c r="AK632" i="16" s="1"/>
  <c r="AK634" i="16" a="1"/>
  <c r="AK634" i="16" s="1"/>
  <c r="AK636" i="16" a="1"/>
  <c r="AK636" i="16" s="1"/>
  <c r="AK637" i="16" a="1"/>
  <c r="AK637" i="16" s="1"/>
  <c r="AK639" i="16" a="1"/>
  <c r="AK639" i="16" s="1"/>
  <c r="AK641" i="16" a="1"/>
  <c r="AK641" i="16" s="1"/>
  <c r="AK643" i="16" a="1"/>
  <c r="AK643" i="16" s="1"/>
  <c r="AK645" i="16" a="1"/>
  <c r="AK645" i="16" s="1"/>
  <c r="AK647" i="16" a="1"/>
  <c r="AK647" i="16" s="1"/>
  <c r="AK649" i="16" a="1"/>
  <c r="AK649" i="16" s="1"/>
  <c r="AK652" i="16" a="1"/>
  <c r="AK652" i="16" s="1"/>
  <c r="AK653" i="16" a="1"/>
  <c r="AK653" i="16" s="1"/>
  <c r="AK656" i="16" a="1"/>
  <c r="AK656" i="16" s="1"/>
  <c r="AK658" i="16" a="1"/>
  <c r="AK658" i="16" s="1"/>
  <c r="AK660" i="16" a="1"/>
  <c r="AK660" i="16" s="1"/>
  <c r="AK662" i="16" a="1"/>
  <c r="AK662" i="16" s="1"/>
  <c r="AK664" i="16" a="1"/>
  <c r="AK664" i="16" s="1"/>
  <c r="AK666" i="16" a="1"/>
  <c r="AK666" i="16" s="1"/>
  <c r="AK668" i="16" a="1"/>
  <c r="AK668" i="16" s="1"/>
  <c r="AK669" i="16" a="1"/>
  <c r="AK669" i="16" s="1"/>
  <c r="AK670" i="16" a="1"/>
  <c r="AK670" i="16" s="1"/>
  <c r="AK672" i="16" a="1"/>
  <c r="AK672" i="16" s="1"/>
  <c r="AK674" i="16" a="1"/>
  <c r="AK674" i="16" s="1"/>
  <c r="AK676" i="16" a="1"/>
  <c r="AK676" i="16" s="1"/>
  <c r="AK678" i="16" a="1"/>
  <c r="AK678" i="16" s="1"/>
  <c r="AK680" i="16" a="1"/>
  <c r="AK680" i="16" s="1"/>
  <c r="AK682" i="16" a="1"/>
  <c r="AK682" i="16" s="1"/>
  <c r="AK684" i="16" a="1"/>
  <c r="AK684" i="16" s="1"/>
  <c r="AK687" i="16" a="1"/>
  <c r="AK687" i="16" s="1"/>
  <c r="AK689" i="16" a="1"/>
  <c r="AK689" i="16" s="1"/>
  <c r="AK722" i="16" a="1"/>
  <c r="AK722" i="16" s="1"/>
  <c r="AK724" i="16" a="1"/>
  <c r="AK724" i="16" s="1"/>
  <c r="AK726" i="16" a="1"/>
  <c r="AK726" i="16" s="1"/>
  <c r="AK728" i="16" a="1"/>
  <c r="AK728" i="16" s="1"/>
  <c r="AK730" i="16" a="1"/>
  <c r="AK730" i="16" s="1"/>
  <c r="AK732" i="16" a="1"/>
  <c r="AK732" i="16" s="1"/>
  <c r="AK734" i="16" a="1"/>
  <c r="AK734" i="16" s="1"/>
  <c r="AK736" i="16" a="1"/>
  <c r="AK736" i="16" s="1"/>
  <c r="AK738" i="16" a="1"/>
  <c r="AK738" i="16" s="1"/>
  <c r="AK740" i="16" a="1"/>
  <c r="AK740" i="16" s="1"/>
  <c r="AK742" i="16" a="1"/>
  <c r="AK742" i="16" s="1"/>
  <c r="AK744" i="16" a="1"/>
  <c r="AK744" i="16" s="1"/>
  <c r="AK746" i="16" a="1"/>
  <c r="AK746" i="16" s="1"/>
  <c r="AK748" i="16" a="1"/>
  <c r="AK748" i="16" s="1"/>
  <c r="AK750" i="16" a="1"/>
  <c r="AK750" i="16" s="1"/>
  <c r="AK752" i="16" a="1"/>
  <c r="AK752" i="16" s="1"/>
  <c r="AK754" i="16" a="1"/>
  <c r="AK754" i="16" s="1"/>
  <c r="AK756" i="16" a="1"/>
  <c r="AK756" i="16" s="1"/>
  <c r="AK758" i="16" a="1"/>
  <c r="AK758" i="16" s="1"/>
  <c r="AK760" i="16" a="1"/>
  <c r="AK760" i="16" s="1"/>
  <c r="AK762" i="16" a="1"/>
  <c r="AK762" i="16" s="1"/>
  <c r="AK764" i="16" a="1"/>
  <c r="AK764" i="16" s="1"/>
  <c r="AK766" i="16" a="1"/>
  <c r="AK766" i="16" s="1"/>
  <c r="AK768" i="16" a="1"/>
  <c r="AK768" i="16" s="1"/>
  <c r="AK770" i="16" a="1"/>
  <c r="AK770" i="16" s="1"/>
  <c r="AK772" i="16" a="1"/>
  <c r="AK772" i="16" s="1"/>
  <c r="AK774" i="16" a="1"/>
  <c r="AK774" i="16" s="1"/>
  <c r="AK776" i="16" a="1"/>
  <c r="AK776" i="16" s="1"/>
  <c r="AK778" i="16" a="1"/>
  <c r="AK778" i="16" s="1"/>
  <c r="AK781" i="16" a="1"/>
  <c r="AK781" i="16" s="1"/>
  <c r="AK783" i="16" a="1"/>
  <c r="AK783" i="16" s="1"/>
  <c r="AK785" i="16" a="1"/>
  <c r="AK785" i="16" s="1"/>
  <c r="AK787" i="16" a="1"/>
  <c r="AK787" i="16" s="1"/>
  <c r="AK789" i="16" a="1"/>
  <c r="AK789" i="16" s="1"/>
  <c r="AK791" i="16" a="1"/>
  <c r="AK791" i="16" s="1"/>
  <c r="AK793" i="16" a="1"/>
  <c r="AK793" i="16" s="1"/>
  <c r="AK795" i="16" a="1"/>
  <c r="AK795" i="16" s="1"/>
  <c r="AK797" i="16" a="1"/>
  <c r="AK797" i="16" s="1"/>
  <c r="AK799" i="16" a="1"/>
  <c r="AK799" i="16" s="1"/>
  <c r="AK801" i="16" a="1"/>
  <c r="AK801" i="16" s="1"/>
  <c r="AK803" i="16" a="1"/>
  <c r="AK803" i="16" s="1"/>
  <c r="AK805" i="16" a="1"/>
  <c r="AK805" i="16" s="1"/>
  <c r="AK807" i="16" a="1"/>
  <c r="AK807" i="16" s="1"/>
  <c r="AK809" i="16" a="1"/>
  <c r="AK809" i="16" s="1"/>
  <c r="AK811" i="16" a="1"/>
  <c r="AK811" i="16" s="1"/>
  <c r="AK813" i="16" a="1"/>
  <c r="AK813" i="16" s="1"/>
  <c r="AK815" i="16" a="1"/>
  <c r="AK815" i="16" s="1"/>
  <c r="AK817" i="16" a="1"/>
  <c r="AK817" i="16" s="1"/>
  <c r="AK819" i="16" a="1"/>
  <c r="AK819" i="16" s="1"/>
  <c r="AK821" i="16" a="1"/>
  <c r="AK821" i="16" s="1"/>
  <c r="AK823" i="16" a="1"/>
  <c r="AK823" i="16" s="1"/>
  <c r="AK824" i="16" a="1"/>
  <c r="AK824" i="16" s="1"/>
  <c r="AK827" i="16" a="1"/>
  <c r="AK827" i="16" s="1"/>
  <c r="AK829" i="16" a="1"/>
  <c r="AK829" i="16" s="1"/>
  <c r="AK831" i="16" a="1"/>
  <c r="AK831" i="16" s="1"/>
  <c r="AK833" i="16" a="1"/>
  <c r="AK833" i="16" s="1"/>
  <c r="AK835" i="16" a="1"/>
  <c r="AK835" i="16" s="1"/>
  <c r="AK837" i="16" a="1"/>
  <c r="AK837" i="16" s="1"/>
  <c r="AK839" i="16" a="1"/>
  <c r="AK839" i="16" s="1"/>
  <c r="AK841" i="16" a="1"/>
  <c r="AK841" i="16" s="1"/>
  <c r="AK843" i="16" a="1"/>
  <c r="AK843" i="16" s="1"/>
  <c r="AK845" i="16" a="1"/>
  <c r="AK845" i="16" s="1"/>
  <c r="AK847" i="16" a="1"/>
  <c r="AK847" i="16" s="1"/>
  <c r="AK849" i="16" a="1"/>
  <c r="AK849" i="16" s="1"/>
  <c r="AK851" i="16" a="1"/>
  <c r="AK851" i="16" s="1"/>
  <c r="AK853" i="16" a="1"/>
  <c r="AK853" i="16" s="1"/>
  <c r="AK855" i="16" a="1"/>
  <c r="AK855" i="16" s="1"/>
  <c r="AK857" i="16" a="1"/>
  <c r="AK857" i="16" s="1"/>
  <c r="AK859" i="16" a="1"/>
  <c r="AK859" i="16" s="1"/>
  <c r="AK861" i="16" a="1"/>
  <c r="AK861" i="16" s="1"/>
  <c r="AK863" i="16" a="1"/>
  <c r="AK863" i="16" s="1"/>
  <c r="AK864" i="16" a="1"/>
  <c r="AK864" i="16" s="1"/>
  <c r="AK866" i="16" a="1"/>
  <c r="AK866" i="16" s="1"/>
  <c r="AK868" i="16" a="1"/>
  <c r="AK868" i="16" s="1"/>
  <c r="AK870" i="16" a="1"/>
  <c r="AK870" i="16" s="1"/>
  <c r="AK871" i="16" a="1"/>
  <c r="AK871" i="16" s="1"/>
  <c r="AK872" i="16" a="1"/>
  <c r="AK872" i="16" s="1"/>
  <c r="AK873" i="16" a="1"/>
  <c r="AK873" i="16" s="1"/>
  <c r="AK874" i="16" a="1"/>
  <c r="AK874" i="16" s="1"/>
  <c r="AK875" i="16" a="1"/>
  <c r="AK875" i="16" s="1"/>
  <c r="AK876" i="16" a="1"/>
  <c r="AK876" i="16" s="1"/>
  <c r="AK877" i="16" a="1"/>
  <c r="AK877" i="16" s="1"/>
  <c r="AK878" i="16" a="1"/>
  <c r="AK878" i="16" s="1"/>
  <c r="AK879" i="16" a="1"/>
  <c r="AK879" i="16" s="1"/>
  <c r="AK880" i="16" a="1"/>
  <c r="AK880" i="16" s="1"/>
  <c r="AK881" i="16" a="1"/>
  <c r="AK881" i="16" s="1"/>
  <c r="AK882" i="16" a="1"/>
  <c r="AK882" i="16" s="1"/>
  <c r="AK883" i="16" a="1"/>
  <c r="AK883" i="16" s="1"/>
  <c r="AK884" i="16" a="1"/>
  <c r="AK884" i="16" s="1"/>
  <c r="AK885" i="16" a="1"/>
  <c r="AK885" i="16" s="1"/>
  <c r="AK886" i="16" a="1"/>
  <c r="AK886" i="16" s="1"/>
  <c r="AK887" i="16" a="1"/>
  <c r="AK887" i="16" s="1"/>
  <c r="AK888" i="16" a="1"/>
  <c r="AK888" i="16" s="1"/>
  <c r="AK889" i="16" a="1"/>
  <c r="AK889" i="16" s="1"/>
  <c r="AK890" i="16" a="1"/>
  <c r="AK890" i="16" s="1"/>
  <c r="AK891" i="16" a="1"/>
  <c r="AK891" i="16" s="1"/>
  <c r="AK892" i="16" a="1"/>
  <c r="AK892" i="16" s="1"/>
  <c r="AK893" i="16" a="1"/>
  <c r="AK893" i="16" s="1"/>
  <c r="AK894" i="16" a="1"/>
  <c r="AK894" i="16" s="1"/>
  <c r="AK895" i="16" a="1"/>
  <c r="AK895" i="16" s="1"/>
  <c r="AK896" i="16" a="1"/>
  <c r="AK896" i="16" s="1"/>
  <c r="AK897" i="16" a="1"/>
  <c r="AK897" i="16" s="1"/>
  <c r="AK898" i="16" a="1"/>
  <c r="AK898" i="16" s="1"/>
  <c r="AK899" i="16" a="1"/>
  <c r="AK899" i="16" s="1"/>
  <c r="AK900" i="16" a="1"/>
  <c r="AK900" i="16" s="1"/>
  <c r="AK901" i="16" a="1"/>
  <c r="AK901" i="16" s="1"/>
  <c r="AK902" i="16" a="1"/>
  <c r="AK902" i="16" s="1"/>
  <c r="AK903" i="16" a="1"/>
  <c r="AK903" i="16" s="1"/>
  <c r="AK904" i="16" a="1"/>
  <c r="AK904" i="16" s="1"/>
  <c r="AK905" i="16" a="1"/>
  <c r="AK905" i="16" s="1"/>
  <c r="AK906" i="16" a="1"/>
  <c r="AK906" i="16" s="1"/>
  <c r="AK907" i="16" a="1"/>
  <c r="AK907" i="16" s="1"/>
  <c r="AK908" i="16" a="1"/>
  <c r="AK908" i="16" s="1"/>
  <c r="AK909" i="16" a="1"/>
  <c r="AK909" i="16" s="1"/>
  <c r="AK910" i="16" a="1"/>
  <c r="AK910" i="16" s="1"/>
  <c r="AK911" i="16" a="1"/>
  <c r="AK911" i="16" s="1"/>
  <c r="AK912" i="16" a="1"/>
  <c r="AK912" i="16" s="1"/>
  <c r="AK913" i="16" a="1"/>
  <c r="AK913" i="16" s="1"/>
  <c r="AK914" i="16" a="1"/>
  <c r="AK914" i="16" s="1"/>
  <c r="AK915" i="16" a="1"/>
  <c r="AK915" i="16" s="1"/>
  <c r="AK916" i="16" a="1"/>
  <c r="AK916" i="16" s="1"/>
  <c r="AK917" i="16" a="1"/>
  <c r="AK917" i="16" s="1"/>
  <c r="AK918" i="16" a="1"/>
  <c r="AK918" i="16" s="1"/>
  <c r="AK919" i="16" a="1"/>
  <c r="AK919" i="16" s="1"/>
  <c r="AK920" i="16" a="1"/>
  <c r="AK920" i="16" s="1"/>
  <c r="AK921" i="16" a="1"/>
  <c r="AK921" i="16" s="1"/>
  <c r="AK922" i="16" a="1"/>
  <c r="AK922" i="16" s="1"/>
  <c r="AK923" i="16" a="1"/>
  <c r="AK923" i="16" s="1"/>
  <c r="AK924" i="16" a="1"/>
  <c r="AK924" i="16" s="1"/>
  <c r="AK925" i="16" a="1"/>
  <c r="AK925" i="16" s="1"/>
  <c r="AK926" i="16" a="1"/>
  <c r="AK926" i="16" s="1"/>
  <c r="AK927" i="16" a="1"/>
  <c r="AK927" i="16" s="1"/>
  <c r="AK928" i="16" a="1"/>
  <c r="AK928" i="16" s="1"/>
  <c r="AK929" i="16" a="1"/>
  <c r="AK929" i="16" s="1"/>
  <c r="AK930" i="16" a="1"/>
  <c r="AK930" i="16" s="1"/>
  <c r="AK931" i="16" a="1"/>
  <c r="AK931" i="16" s="1"/>
  <c r="AK932" i="16" a="1"/>
  <c r="AK932" i="16" s="1"/>
  <c r="AK933" i="16" a="1"/>
  <c r="AK933" i="16" s="1"/>
  <c r="AK934" i="16" a="1"/>
  <c r="AK934" i="16" s="1"/>
  <c r="AK935" i="16" a="1"/>
  <c r="AK935" i="16" s="1"/>
  <c r="AK936" i="16" a="1"/>
  <c r="AK936" i="16" s="1"/>
  <c r="AK937" i="16" a="1"/>
  <c r="AK937" i="16" s="1"/>
  <c r="AK938" i="16" a="1"/>
  <c r="AK938" i="16" s="1"/>
  <c r="AK939" i="16" a="1"/>
  <c r="AK939" i="16" s="1"/>
  <c r="AK940" i="16" a="1"/>
  <c r="AK940" i="16" s="1"/>
  <c r="AK941" i="16" a="1"/>
  <c r="AK941" i="16" s="1"/>
  <c r="AK942" i="16" a="1"/>
  <c r="AK942" i="16" s="1"/>
  <c r="AK943" i="16" a="1"/>
  <c r="AK943" i="16" s="1"/>
  <c r="AK944" i="16" a="1"/>
  <c r="AK944" i="16" s="1"/>
  <c r="AK945" i="16" a="1"/>
  <c r="AK945" i="16" s="1"/>
  <c r="AK946" i="16" a="1"/>
  <c r="AK946" i="16" s="1"/>
  <c r="AK947" i="16" a="1"/>
  <c r="AK947" i="16" s="1"/>
  <c r="AK948" i="16" a="1"/>
  <c r="AK948" i="16" s="1"/>
  <c r="AK949" i="16" a="1"/>
  <c r="AK949" i="16" s="1"/>
  <c r="AK950" i="16" a="1"/>
  <c r="AK950" i="16" s="1"/>
  <c r="AK951" i="16" a="1"/>
  <c r="AK951" i="16" s="1"/>
  <c r="AK952" i="16" a="1"/>
  <c r="AK952" i="16" s="1"/>
  <c r="AK953" i="16" a="1"/>
  <c r="AK953" i="16" s="1"/>
  <c r="AK954" i="16" a="1"/>
  <c r="AK954" i="16" s="1"/>
  <c r="AK955" i="16" a="1"/>
  <c r="AK955" i="16" s="1"/>
  <c r="AK956" i="16" a="1"/>
  <c r="AK956" i="16" s="1"/>
  <c r="AK957" i="16" a="1"/>
  <c r="AK957" i="16" s="1"/>
  <c r="AK958" i="16" a="1"/>
  <c r="AK958" i="16" s="1"/>
  <c r="AK959" i="16" a="1"/>
  <c r="AK959" i="16" s="1"/>
  <c r="AK960" i="16" a="1"/>
  <c r="AK960" i="16" s="1"/>
  <c r="AK961" i="16" a="1"/>
  <c r="AK961" i="16" s="1"/>
  <c r="AK962" i="16" a="1"/>
  <c r="AK962" i="16" s="1"/>
  <c r="AK963" i="16" a="1"/>
  <c r="AK963" i="16" s="1"/>
  <c r="AK964" i="16" a="1"/>
  <c r="AK964" i="16" s="1"/>
  <c r="AK965" i="16" a="1"/>
  <c r="AK965" i="16" s="1"/>
  <c r="AK966" i="16" a="1"/>
  <c r="AK966" i="16" s="1"/>
  <c r="AK967" i="16" a="1"/>
  <c r="AK967" i="16" s="1"/>
  <c r="AK968" i="16" a="1"/>
  <c r="AK968" i="16" s="1"/>
  <c r="AK969" i="16" a="1"/>
  <c r="AK969" i="16" s="1"/>
  <c r="AK970" i="16" a="1"/>
  <c r="AK970" i="16" s="1"/>
  <c r="AK971" i="16" a="1"/>
  <c r="AK971" i="16" s="1"/>
  <c r="AK972" i="16" a="1"/>
  <c r="AK972" i="16" s="1"/>
  <c r="AK973" i="16" a="1"/>
  <c r="AK973" i="16" s="1"/>
  <c r="AK974" i="16" a="1"/>
  <c r="AK974" i="16" s="1"/>
  <c r="AK975" i="16" a="1"/>
  <c r="AK975" i="16" s="1"/>
  <c r="AK976" i="16" a="1"/>
  <c r="AK976" i="16" s="1"/>
  <c r="AK977" i="16" a="1"/>
  <c r="AK977" i="16" s="1"/>
  <c r="AK978" i="16" a="1"/>
  <c r="AK978" i="16" s="1"/>
  <c r="AK979" i="16" a="1"/>
  <c r="AK979" i="16" s="1"/>
  <c r="AK980" i="16" a="1"/>
  <c r="AK980" i="16" s="1"/>
  <c r="AK981" i="16" a="1"/>
  <c r="AK981" i="16" s="1"/>
  <c r="AK982" i="16" a="1"/>
  <c r="AK982" i="16" s="1"/>
  <c r="AK983" i="16" a="1"/>
  <c r="AK983" i="16" s="1"/>
  <c r="AK984" i="16" a="1"/>
  <c r="AK984" i="16" s="1"/>
  <c r="AK985" i="16" a="1"/>
  <c r="AK985" i="16" s="1"/>
  <c r="AK986" i="16" a="1"/>
  <c r="AK986" i="16" s="1"/>
  <c r="AK987" i="16" a="1"/>
  <c r="AK987" i="16" s="1"/>
  <c r="AK988" i="16" a="1"/>
  <c r="AK988" i="16" s="1"/>
  <c r="AK989" i="16" a="1"/>
  <c r="AK989" i="16" s="1"/>
  <c r="AK990" i="16" a="1"/>
  <c r="AK990" i="16" s="1"/>
  <c r="AK991" i="16" a="1"/>
  <c r="AK991" i="16" s="1"/>
  <c r="AK992" i="16" a="1"/>
  <c r="AK992" i="16" s="1"/>
  <c r="AK993" i="16" a="1"/>
  <c r="AK993" i="16" s="1"/>
  <c r="AK994" i="16" a="1"/>
  <c r="AK994" i="16" s="1"/>
  <c r="AK995" i="16" a="1"/>
  <c r="AK995" i="16" s="1"/>
  <c r="AK996" i="16" a="1"/>
  <c r="AK996" i="16" s="1"/>
  <c r="AK997" i="16" a="1"/>
  <c r="AK997" i="16" s="1"/>
  <c r="AK998" i="16" a="1"/>
  <c r="AK998" i="16" s="1"/>
  <c r="AK999" i="16" a="1"/>
  <c r="AK999" i="16" s="1"/>
  <c r="AK1000" i="16" a="1"/>
  <c r="AK1000" i="16" s="1"/>
  <c r="AK1001" i="16" a="1"/>
  <c r="AK1001" i="16" s="1"/>
  <c r="AK1002" i="16" a="1"/>
  <c r="AK1002" i="16" s="1"/>
  <c r="AK1003" i="16" a="1"/>
  <c r="AK1003" i="16" s="1"/>
  <c r="AK1004" i="16" a="1"/>
  <c r="AK1004" i="16" s="1"/>
  <c r="AK1005" i="16" a="1"/>
  <c r="AK1005" i="16" s="1"/>
  <c r="AK1006" i="16" a="1"/>
  <c r="AK1006" i="16" s="1"/>
  <c r="AK1007" i="16" a="1"/>
  <c r="AK1007" i="16" s="1"/>
  <c r="AK1008" i="16" a="1"/>
  <c r="AK1008" i="16" s="1"/>
  <c r="AK1009" i="16" a="1"/>
  <c r="AK1009" i="16" s="1"/>
  <c r="AK1010" i="16" a="1"/>
  <c r="AK1010" i="16" s="1"/>
  <c r="AK1011" i="16" a="1"/>
  <c r="AK1011" i="16" s="1"/>
  <c r="AK1012" i="16" a="1"/>
  <c r="AK1012" i="16" s="1"/>
  <c r="AK1013" i="16" a="1"/>
  <c r="AK1013" i="16" s="1"/>
  <c r="AK1014" i="16" a="1"/>
  <c r="AK1014" i="16" s="1"/>
  <c r="AK1015" i="16" a="1"/>
  <c r="AK1015" i="16" s="1"/>
  <c r="AK1016" i="16" a="1"/>
  <c r="AK1016" i="16" s="1"/>
  <c r="AK1017" i="16" a="1"/>
  <c r="AK1017" i="16" s="1"/>
  <c r="AK1018" i="16" a="1"/>
  <c r="AK1018" i="16" s="1"/>
  <c r="AK1019" i="16" a="1"/>
  <c r="AK1019" i="16" s="1"/>
  <c r="AK1020" i="16" a="1"/>
  <c r="AK1020" i="16" s="1"/>
  <c r="AK1021" i="16" a="1"/>
  <c r="AK1021" i="16" s="1"/>
  <c r="AK1022" i="16" a="1"/>
  <c r="AK1022" i="16" s="1"/>
  <c r="AK1023" i="16" a="1"/>
  <c r="AK1023" i="16" s="1"/>
  <c r="AK1024" i="16" a="1"/>
  <c r="AK1024" i="16" s="1"/>
  <c r="AK1025" i="16" a="1"/>
  <c r="AK1025" i="16" s="1"/>
  <c r="AK1026" i="16" a="1"/>
  <c r="AK1026" i="16" s="1"/>
  <c r="AK1027" i="16" a="1"/>
  <c r="AK1027" i="16" s="1"/>
  <c r="AK1028" i="16" a="1"/>
  <c r="AK1028" i="16" s="1"/>
  <c r="AK1029" i="16" a="1"/>
  <c r="AK1029" i="16" s="1"/>
  <c r="AK1030" i="16" a="1"/>
  <c r="AK1030" i="16" s="1"/>
  <c r="AK1031" i="16" a="1"/>
  <c r="AK1031" i="16" s="1"/>
  <c r="AK1032" i="16" a="1"/>
  <c r="AK1032" i="16" s="1"/>
  <c r="AK1033" i="16" a="1"/>
  <c r="AK1033" i="16" s="1"/>
  <c r="AK1034" i="16" a="1"/>
  <c r="AK1034" i="16" s="1"/>
  <c r="AK1035" i="16" a="1"/>
  <c r="AK1035" i="16" s="1"/>
  <c r="AK1036" i="16" a="1"/>
  <c r="AK1036" i="16" s="1"/>
  <c r="AK1037" i="16" a="1"/>
  <c r="AK1037" i="16" s="1"/>
  <c r="AK1038" i="16" a="1"/>
  <c r="AK1038" i="16" s="1"/>
  <c r="AK1039" i="16" a="1"/>
  <c r="AK1039" i="16" s="1"/>
  <c r="AK1040" i="16" a="1"/>
  <c r="AK1040" i="16" s="1"/>
  <c r="AK1041" i="16" a="1"/>
  <c r="AK1041" i="16" s="1"/>
  <c r="AK1042" i="16" a="1"/>
  <c r="AK1042" i="16" s="1"/>
  <c r="AK1043" i="16" a="1"/>
  <c r="AK1043" i="16" s="1"/>
  <c r="AK1044" i="16" a="1"/>
  <c r="AK1044" i="16" s="1"/>
  <c r="AK1045" i="16" a="1"/>
  <c r="AK1045" i="16" s="1"/>
  <c r="AK1046" i="16" a="1"/>
  <c r="AK1046" i="16" s="1"/>
  <c r="AK1047" i="16" a="1"/>
  <c r="AK1047" i="16" s="1"/>
  <c r="AK1048" i="16" a="1"/>
  <c r="AK1048" i="16" s="1"/>
  <c r="AK1049" i="16" a="1"/>
  <c r="AK1049" i="16" s="1"/>
  <c r="AK1050" i="16" a="1"/>
  <c r="AK1050" i="16" s="1"/>
  <c r="AK1051" i="16" a="1"/>
  <c r="AK1051" i="16" s="1"/>
  <c r="AK1052" i="16" a="1"/>
  <c r="AK1052" i="16" s="1"/>
  <c r="AK1053" i="16" a="1"/>
  <c r="AK1053" i="16" s="1"/>
  <c r="AK1054" i="16" a="1"/>
  <c r="AK1054" i="16" s="1"/>
  <c r="AK1055" i="16" a="1"/>
  <c r="AK1055" i="16" s="1"/>
  <c r="AK1056" i="16" a="1"/>
  <c r="AK1056" i="16" s="1"/>
  <c r="AK1057" i="16" a="1"/>
  <c r="AK1057" i="16" s="1"/>
  <c r="AK1058" i="16" a="1"/>
  <c r="AK1058" i="16" s="1"/>
  <c r="AK1059" i="16" a="1"/>
  <c r="AK1059" i="16" s="1"/>
  <c r="AK1060" i="16" a="1"/>
  <c r="AK1060" i="16" s="1"/>
  <c r="AK1061" i="16" a="1"/>
  <c r="AK1061" i="16" s="1"/>
  <c r="AK1062" i="16" a="1"/>
  <c r="AK1062" i="16" s="1"/>
  <c r="AK1063" i="16" a="1"/>
  <c r="AK1063" i="16" s="1"/>
  <c r="AK1064" i="16" a="1"/>
  <c r="AK1064" i="16" s="1"/>
  <c r="AK1065" i="16" a="1"/>
  <c r="AK1065" i="16" s="1"/>
  <c r="AK1066" i="16" a="1"/>
  <c r="AK1066" i="16" s="1"/>
  <c r="AK1067" i="16" a="1"/>
  <c r="AK1067" i="16" s="1"/>
  <c r="AK1068" i="16" a="1"/>
  <c r="AK1068" i="16" s="1"/>
  <c r="AK1069" i="16" a="1"/>
  <c r="AK1069" i="16" s="1"/>
  <c r="AK1070" i="16" a="1"/>
  <c r="AK1070" i="16" s="1"/>
  <c r="AK1071" i="16" a="1"/>
  <c r="AK1071" i="16" s="1"/>
  <c r="AK1072" i="16" a="1"/>
  <c r="AK1072" i="16" s="1"/>
  <c r="AK1073" i="16" a="1"/>
  <c r="AK1073" i="16" s="1"/>
  <c r="AK1074" i="16" a="1"/>
  <c r="AK1074" i="16" s="1"/>
  <c r="AK1075" i="16" a="1"/>
  <c r="AK1075" i="16" s="1"/>
  <c r="AK1076" i="16" a="1"/>
  <c r="AK1076" i="16" s="1"/>
  <c r="AK1077" i="16" a="1"/>
  <c r="AK1077" i="16" s="1"/>
  <c r="AK1078" i="16" a="1"/>
  <c r="AK1078" i="16" s="1"/>
  <c r="AK1079" i="16" a="1"/>
  <c r="AK1079" i="16" s="1"/>
  <c r="AK1080" i="16" a="1"/>
  <c r="AK1080" i="16" s="1"/>
  <c r="AK1081" i="16" a="1"/>
  <c r="AK1081" i="16" s="1"/>
  <c r="AK1082" i="16" a="1"/>
  <c r="AK1082" i="16" s="1"/>
  <c r="AK1083" i="16" a="1"/>
  <c r="AK1083" i="16" s="1"/>
  <c r="AK1084" i="16" a="1"/>
  <c r="AK1084" i="16" s="1"/>
  <c r="AK1085" i="16" a="1"/>
  <c r="AK1085" i="16" s="1"/>
  <c r="AK1086" i="16" a="1"/>
  <c r="AK1086" i="16" s="1"/>
  <c r="AK1087" i="16" a="1"/>
  <c r="AK1087" i="16" s="1"/>
  <c r="AK1088" i="16" a="1"/>
  <c r="AK1088" i="16" s="1"/>
  <c r="AK1089" i="16" a="1"/>
  <c r="AK1089" i="16" s="1"/>
  <c r="AK1090" i="16" a="1"/>
  <c r="AK1090" i="16" s="1"/>
  <c r="AK1091" i="16" a="1"/>
  <c r="AK1091" i="16" s="1"/>
  <c r="AK1092" i="16" a="1"/>
  <c r="AK1092" i="16" s="1"/>
  <c r="AK1093" i="16" a="1"/>
  <c r="AK1093" i="16" s="1"/>
  <c r="AK1094" i="16" a="1"/>
  <c r="AK1094" i="16" s="1"/>
  <c r="AK1095" i="16" a="1"/>
  <c r="AK1095" i="16" s="1"/>
  <c r="AK1096" i="16" a="1"/>
  <c r="AK1096" i="16" s="1"/>
  <c r="AK1097" i="16" a="1"/>
  <c r="AK1097" i="16" s="1"/>
  <c r="AK1098" i="16" a="1"/>
  <c r="AK1098" i="16" s="1"/>
  <c r="AK1099" i="16" a="1"/>
  <c r="AK1099" i="16" s="1"/>
  <c r="AK1100" i="16" a="1"/>
  <c r="AK1100" i="16" s="1"/>
  <c r="AK1101" i="16" a="1"/>
  <c r="AK1101" i="16" s="1"/>
  <c r="AK1102" i="16" a="1"/>
  <c r="AK1102" i="16" s="1"/>
  <c r="AK1103" i="16" a="1"/>
  <c r="AK1103" i="16" s="1"/>
  <c r="AK1104" i="16" a="1"/>
  <c r="AK1104" i="16" s="1"/>
  <c r="AK1105" i="16" a="1"/>
  <c r="AK1105" i="16" s="1"/>
  <c r="AK1106" i="16" a="1"/>
  <c r="AK1106" i="16" s="1"/>
  <c r="AK1107" i="16" a="1"/>
  <c r="AK1107" i="16" s="1"/>
  <c r="AK1108" i="16" a="1"/>
  <c r="AK1108" i="16" s="1"/>
  <c r="AK1109" i="16" a="1"/>
  <c r="AK1109" i="16" s="1"/>
  <c r="AK1110" i="16" a="1"/>
  <c r="AK1110" i="16" s="1"/>
  <c r="AK1111" i="16" a="1"/>
  <c r="AK1111" i="16" s="1"/>
  <c r="AK1112" i="16" a="1"/>
  <c r="AK1112" i="16" s="1"/>
  <c r="AK1113" i="16" a="1"/>
  <c r="AK1113" i="16" s="1"/>
  <c r="AK1114" i="16" a="1"/>
  <c r="AK1114" i="16" s="1"/>
  <c r="AK1115" i="16" a="1"/>
  <c r="AK1115" i="16" s="1"/>
  <c r="AK1116" i="16" a="1"/>
  <c r="AK1116" i="16" s="1"/>
  <c r="AK1117" i="16" a="1"/>
  <c r="AK1117" i="16" s="1"/>
  <c r="AK1118" i="16" a="1"/>
  <c r="AK1118" i="16" s="1"/>
  <c r="AK1119" i="16" a="1"/>
  <c r="AK1119" i="16" s="1"/>
  <c r="AK1120" i="16" a="1"/>
  <c r="AK1120" i="16" s="1"/>
  <c r="AK1121" i="16" a="1"/>
  <c r="AK1121" i="16" s="1"/>
  <c r="AK1122" i="16" a="1"/>
  <c r="AK1122" i="16" s="1"/>
  <c r="AK1123" i="16" a="1"/>
  <c r="AK1123" i="16" s="1"/>
  <c r="AK1124" i="16" a="1"/>
  <c r="AK1124" i="16" s="1"/>
  <c r="AK1125" i="16" a="1"/>
  <c r="AK1125" i="16" s="1"/>
  <c r="AK1126" i="16" a="1"/>
  <c r="AK1126" i="16" s="1"/>
  <c r="AK1127" i="16" a="1"/>
  <c r="AK1127" i="16" s="1"/>
  <c r="AK1128" i="16" a="1"/>
  <c r="AK1128" i="16" s="1"/>
  <c r="AK1129" i="16" a="1"/>
  <c r="AK1129" i="16" s="1"/>
  <c r="AK1130" i="16" a="1"/>
  <c r="AK1130" i="16" s="1"/>
  <c r="AK1131" i="16" a="1"/>
  <c r="AK1131" i="16" s="1"/>
  <c r="AK1132" i="16" a="1"/>
  <c r="AK1132" i="16" s="1"/>
  <c r="AK1133" i="16" a="1"/>
  <c r="AK1133" i="16" s="1"/>
  <c r="AK1134" i="16" a="1"/>
  <c r="AK1134" i="16" s="1"/>
  <c r="AK1135" i="16" a="1"/>
  <c r="AK1135" i="16" s="1"/>
  <c r="AK1136" i="16" a="1"/>
  <c r="AK1136" i="16" s="1"/>
  <c r="AK1137" i="16" a="1"/>
  <c r="AK1137" i="16" s="1"/>
  <c r="AK1138" i="16" a="1"/>
  <c r="AK1138" i="16" s="1"/>
  <c r="AK1139" i="16" a="1"/>
  <c r="AK1139" i="16" s="1"/>
  <c r="AK1140" i="16" a="1"/>
  <c r="AK1140" i="16" s="1"/>
  <c r="AK1141" i="16" a="1"/>
  <c r="AK1141" i="16" s="1"/>
  <c r="AK1142" i="16" a="1"/>
  <c r="AK1142" i="16" s="1"/>
  <c r="AK1143" i="16" a="1"/>
  <c r="AK1143" i="16" s="1"/>
  <c r="AK1144" i="16" a="1"/>
  <c r="AK1144" i="16" s="1"/>
  <c r="AK1145" i="16" a="1"/>
  <c r="AK1145" i="16" s="1"/>
  <c r="AK1146" i="16" a="1"/>
  <c r="AK1146" i="16" s="1"/>
  <c r="AK1147" i="16" a="1"/>
  <c r="AK1147" i="16" s="1"/>
  <c r="AK1148" i="16" a="1"/>
  <c r="AK1148" i="16" s="1"/>
  <c r="AK1149" i="16" a="1"/>
  <c r="AK1149" i="16" s="1"/>
  <c r="AK1150" i="16" a="1"/>
  <c r="AK1150" i="16" s="1"/>
  <c r="AK1151" i="16" a="1"/>
  <c r="AK1151" i="16" s="1"/>
  <c r="AK1152" i="16" a="1"/>
  <c r="AK1152" i="16" s="1"/>
  <c r="AK1153" i="16" a="1"/>
  <c r="AK1153" i="16" s="1"/>
  <c r="AK1154" i="16" a="1"/>
  <c r="AK1154" i="16" s="1"/>
  <c r="AK1155" i="16" a="1"/>
  <c r="AK1155" i="16" s="1"/>
  <c r="AK1156" i="16" a="1"/>
  <c r="AK1156" i="16" s="1"/>
  <c r="AK1157" i="16" a="1"/>
  <c r="AK1157" i="16" s="1"/>
  <c r="AK1158" i="16" a="1"/>
  <c r="AK1158" i="16" s="1"/>
  <c r="AK1159" i="16" a="1"/>
  <c r="AK1159" i="16" s="1"/>
  <c r="AK1160" i="16" a="1"/>
  <c r="AK1160" i="16" s="1"/>
  <c r="AK1161" i="16" a="1"/>
  <c r="AK1161" i="16" s="1"/>
  <c r="AK1162" i="16" a="1"/>
  <c r="AK1162" i="16" s="1"/>
  <c r="AK1163" i="16" a="1"/>
  <c r="AK1163" i="16" s="1"/>
  <c r="AK1164" i="16" a="1"/>
  <c r="AK1164" i="16" s="1"/>
  <c r="AK1165" i="16" a="1"/>
  <c r="AK1165" i="16" s="1"/>
  <c r="AK1166" i="16" a="1"/>
  <c r="AK1166" i="16" s="1"/>
  <c r="AK1167" i="16" a="1"/>
  <c r="AK1167" i="16" s="1"/>
  <c r="AK1168" i="16" a="1"/>
  <c r="AK1168" i="16" s="1"/>
  <c r="AK1169" i="16" a="1"/>
  <c r="AK1169" i="16" s="1"/>
  <c r="AK1170" i="16" a="1"/>
  <c r="AK1170" i="16" s="1"/>
  <c r="AK1171" i="16" a="1"/>
  <c r="AK1171" i="16" s="1"/>
  <c r="AK1172" i="16" a="1"/>
  <c r="AK1172" i="16" s="1"/>
  <c r="AK1173" i="16" a="1"/>
  <c r="AK1173" i="16" s="1"/>
  <c r="AK1174" i="16" a="1"/>
  <c r="AK1174" i="16" s="1"/>
  <c r="AK1175" i="16" a="1"/>
  <c r="AK1175" i="16" s="1"/>
  <c r="AK1176" i="16" a="1"/>
  <c r="AK1176" i="16" s="1"/>
  <c r="AK1177" i="16" a="1"/>
  <c r="AK1177" i="16" s="1"/>
  <c r="AK1178" i="16" a="1"/>
  <c r="AK1178" i="16" s="1"/>
  <c r="AK1179" i="16" a="1"/>
  <c r="AK1179" i="16" s="1"/>
  <c r="AK1180" i="16" a="1"/>
  <c r="AK1180" i="16" s="1"/>
  <c r="AK1181" i="16" a="1"/>
  <c r="AK1181" i="16" s="1"/>
  <c r="AK1182" i="16" a="1"/>
  <c r="AK1182" i="16" s="1"/>
  <c r="AK1183" i="16" a="1"/>
  <c r="AK1183" i="16" s="1"/>
  <c r="AK1184" i="16" a="1"/>
  <c r="AK1184" i="16" s="1"/>
  <c r="AK1185" i="16" a="1"/>
  <c r="AK1185" i="16" s="1"/>
  <c r="AK1186" i="16" a="1"/>
  <c r="AK1186" i="16" s="1"/>
  <c r="AK1187" i="16" a="1"/>
  <c r="AK1187" i="16" s="1"/>
  <c r="AK1188" i="16" a="1"/>
  <c r="AK1188" i="16" s="1"/>
  <c r="AK1189" i="16" a="1"/>
  <c r="AK1189" i="16" s="1"/>
  <c r="AK1190" i="16" a="1"/>
  <c r="AK1190" i="16" s="1"/>
  <c r="AK1191" i="16" a="1"/>
  <c r="AK1191" i="16" s="1"/>
  <c r="AK1192" i="16" a="1"/>
  <c r="AK1192" i="16" s="1"/>
  <c r="AK1193" i="16" a="1"/>
  <c r="AK1193" i="16" s="1"/>
  <c r="AK1194" i="16" a="1"/>
  <c r="AK1194" i="16" s="1"/>
  <c r="AK1195" i="16" a="1"/>
  <c r="AK1195" i="16" s="1"/>
  <c r="AK1196" i="16" a="1"/>
  <c r="AK1196" i="16" s="1"/>
  <c r="AK1197" i="16" a="1"/>
  <c r="AK1197" i="16" s="1"/>
  <c r="AK1198" i="16" a="1"/>
  <c r="AK1198" i="16" s="1"/>
  <c r="AK1199" i="16" a="1"/>
  <c r="AK1199" i="16" s="1"/>
  <c r="AK1200" i="16" a="1"/>
  <c r="AK1200" i="16" s="1"/>
  <c r="AK1201" i="16" a="1"/>
  <c r="AK1201" i="16" s="1"/>
  <c r="AK1202" i="16" a="1"/>
  <c r="AK1202" i="16" s="1"/>
  <c r="AK1203" i="16" a="1"/>
  <c r="AK1203" i="16" s="1"/>
  <c r="AK1204" i="16" a="1"/>
  <c r="AK1204" i="16" s="1"/>
  <c r="AK1205" i="16" a="1"/>
  <c r="AK1205" i="16" s="1"/>
  <c r="AK1206" i="16" a="1"/>
  <c r="AK1206" i="16" s="1"/>
  <c r="AK1207" i="16" a="1"/>
  <c r="AK1207" i="16" s="1"/>
  <c r="AK1208" i="16" a="1"/>
  <c r="AK1208" i="16" s="1"/>
  <c r="AK1209" i="16" a="1"/>
  <c r="AK1209" i="16" s="1"/>
  <c r="AK1210" i="16" a="1"/>
  <c r="AK1210" i="16" s="1"/>
  <c r="AK1211" i="16" a="1"/>
  <c r="AK1211" i="16" s="1"/>
  <c r="AK1212" i="16" a="1"/>
  <c r="AK1212" i="16" s="1"/>
  <c r="AK1300" i="16" a="1"/>
  <c r="AK1300" i="16" s="1"/>
  <c r="AK1301" i="16" a="1"/>
  <c r="AK1301" i="16" s="1"/>
  <c r="AK1302" i="16" a="1"/>
  <c r="AK1302" i="16" s="1"/>
  <c r="AK1303" i="16" a="1"/>
  <c r="AK1303" i="16" s="1"/>
  <c r="AK1304" i="16" a="1"/>
  <c r="AK1304" i="16" s="1"/>
  <c r="AK1305" i="16" a="1"/>
  <c r="AK1305" i="16" s="1"/>
  <c r="AK1306" i="16" a="1"/>
  <c r="AK1306" i="16" s="1"/>
  <c r="AK1307" i="16" a="1"/>
  <c r="AK1307" i="16" s="1"/>
  <c r="AK1308" i="16" a="1"/>
  <c r="AK1308" i="16" s="1"/>
  <c r="AK1309" i="16" a="1"/>
  <c r="AK1309" i="16" s="1"/>
  <c r="AK1310" i="16" a="1"/>
  <c r="AK1310" i="16" s="1"/>
  <c r="AK1311" i="16" a="1"/>
  <c r="AK1311" i="16" s="1"/>
  <c r="AK1312" i="16" a="1"/>
  <c r="AK1312" i="16" s="1"/>
  <c r="AK1313" i="16" a="1"/>
  <c r="AK1313" i="16" s="1"/>
  <c r="AK1314" i="16" a="1"/>
  <c r="AK1314" i="16" s="1"/>
  <c r="AK1315" i="16" a="1"/>
  <c r="AK1315" i="16" s="1"/>
  <c r="AK1316" i="16" a="1"/>
  <c r="AK1316" i="16" s="1"/>
  <c r="AK1317" i="16" a="1"/>
  <c r="AK1317" i="16" s="1"/>
  <c r="AK1318" i="16" a="1"/>
  <c r="AK1318" i="16" s="1"/>
  <c r="AK1319" i="16" a="1"/>
  <c r="AK1319" i="16" s="1"/>
  <c r="AK1320" i="16" a="1"/>
  <c r="AK1320" i="16" s="1"/>
  <c r="AK1321" i="16" a="1"/>
  <c r="AK1321" i="16" s="1"/>
  <c r="AK1322" i="16" a="1"/>
  <c r="AK1322" i="16" s="1"/>
  <c r="AK1323" i="16" a="1"/>
  <c r="AK1323" i="16" s="1"/>
  <c r="AK1324" i="16" a="1"/>
  <c r="AK1324" i="16" s="1"/>
  <c r="AK1325" i="16" a="1"/>
  <c r="AK1325" i="16" s="1"/>
  <c r="AK1326" i="16" a="1"/>
  <c r="AK1326" i="16" s="1"/>
  <c r="AK1327" i="16" a="1"/>
  <c r="AK1327" i="16" s="1"/>
  <c r="AK1328" i="16" a="1"/>
  <c r="AK1328" i="16" s="1"/>
  <c r="AK1329" i="16" a="1"/>
  <c r="AK1329" i="16" s="1"/>
  <c r="AK1330" i="16" a="1"/>
  <c r="AK1330" i="16" s="1"/>
  <c r="AK1331" i="16" a="1"/>
  <c r="AK1331" i="16" s="1"/>
  <c r="AK1332" i="16" a="1"/>
  <c r="AK1332" i="16" s="1"/>
  <c r="AK1333" i="16" a="1"/>
  <c r="AK1333" i="16" s="1"/>
  <c r="AK1334" i="16" a="1"/>
  <c r="AK1334" i="16" s="1"/>
  <c r="AK1335" i="16" a="1"/>
  <c r="AK1335" i="16" s="1"/>
  <c r="AK1336" i="16" a="1"/>
  <c r="AK1336" i="16" s="1"/>
  <c r="AK1337" i="16" a="1"/>
  <c r="AK1337" i="16" s="1"/>
  <c r="AK1338" i="16" a="1"/>
  <c r="AK1338" i="16" s="1"/>
  <c r="AK1339" i="16" a="1"/>
  <c r="AK1339" i="16" s="1"/>
  <c r="AK1340" i="16" a="1"/>
  <c r="AK1340" i="16" s="1"/>
  <c r="AK1341" i="16" a="1"/>
  <c r="AK1341" i="16" s="1"/>
  <c r="AK1342" i="16" a="1"/>
  <c r="AK1342" i="16" s="1"/>
  <c r="AK1343" i="16" a="1"/>
  <c r="AK1343" i="16" s="1"/>
  <c r="AK1344" i="16" a="1"/>
  <c r="AK1344" i="16" s="1"/>
  <c r="AK1345" i="16" a="1"/>
  <c r="AK1345" i="16" s="1"/>
  <c r="AK1346" i="16" a="1"/>
  <c r="AK1346" i="16" s="1"/>
  <c r="AK1347" i="16" a="1"/>
  <c r="AK1347" i="16" s="1"/>
  <c r="AK1348" i="16" a="1"/>
  <c r="AK1348" i="16" s="1"/>
  <c r="AK1349" i="16" a="1"/>
  <c r="AK1349" i="16" s="1"/>
  <c r="AK1350" i="16" a="1"/>
  <c r="AK1350" i="16" s="1"/>
  <c r="AK1351" i="16" a="1"/>
  <c r="AK1351" i="16" s="1"/>
  <c r="AK1352" i="16" a="1"/>
  <c r="AK1352" i="16" s="1"/>
  <c r="AK1353" i="16" a="1"/>
  <c r="AK1353" i="16" s="1"/>
  <c r="AK1354" i="16" a="1"/>
  <c r="AK1354" i="16" s="1"/>
  <c r="AK1355" i="16" a="1"/>
  <c r="AK1355" i="16" s="1"/>
  <c r="AK1356" i="16" a="1"/>
  <c r="AK1356" i="16" s="1"/>
  <c r="AK1357" i="16" a="1"/>
  <c r="AK1357" i="16" s="1"/>
  <c r="AK1358" i="16" a="1"/>
  <c r="AK1358" i="16" s="1"/>
  <c r="AK1359" i="16" a="1"/>
  <c r="AK1359" i="16" s="1"/>
  <c r="AK1360" i="16" a="1"/>
  <c r="AK1360" i="16" s="1"/>
  <c r="AK1361" i="16" a="1"/>
  <c r="AK1361" i="16" s="1"/>
  <c r="AK1362" i="16" a="1"/>
  <c r="AK1362" i="16" s="1"/>
  <c r="AK1363" i="16" a="1"/>
  <c r="AK1363" i="16" s="1"/>
  <c r="AK1364" i="16" a="1"/>
  <c r="AK1364" i="16" s="1"/>
  <c r="AK1365" i="16" a="1"/>
  <c r="AK1365" i="16" s="1"/>
  <c r="AK1366" i="16" a="1"/>
  <c r="AK1366" i="16" s="1"/>
  <c r="AK1367" i="16" a="1"/>
  <c r="AK1367" i="16" s="1"/>
  <c r="AK1368" i="16" a="1"/>
  <c r="AK1368" i="16" s="1"/>
  <c r="AK1369" i="16" a="1"/>
  <c r="AK1369" i="16" s="1"/>
  <c r="AK1370" i="16" a="1"/>
  <c r="AK1370" i="16" s="1"/>
  <c r="AK1371" i="16" a="1"/>
  <c r="AK1371" i="16" s="1"/>
  <c r="AK1372" i="16" a="1"/>
  <c r="AK1372" i="16" s="1"/>
  <c r="AK1373" i="16" a="1"/>
  <c r="AK1373" i="16" s="1"/>
  <c r="AK1374" i="16" a="1"/>
  <c r="AK1374" i="16" s="1"/>
  <c r="AK1375" i="16" a="1"/>
  <c r="AK1375" i="16" s="1"/>
  <c r="AK1376" i="16" a="1"/>
  <c r="AK1376" i="16" s="1"/>
  <c r="AK1377" i="16" a="1"/>
  <c r="AK1377" i="16" s="1"/>
  <c r="AK1378" i="16" a="1"/>
  <c r="AK1378" i="16" s="1"/>
  <c r="AK1379" i="16" a="1"/>
  <c r="AK1379" i="16" s="1"/>
  <c r="AK1380" i="16" a="1"/>
  <c r="AK1380" i="16" s="1"/>
  <c r="AK1381" i="16" a="1"/>
  <c r="AK1381" i="16" s="1"/>
  <c r="AK1382" i="16" a="1"/>
  <c r="AK1382" i="16" s="1"/>
  <c r="AK1383" i="16" a="1"/>
  <c r="AK1383" i="16" s="1"/>
  <c r="AK1384" i="16" a="1"/>
  <c r="AK1384" i="16" s="1"/>
  <c r="AK1385" i="16" a="1"/>
  <c r="AK1385" i="16" s="1"/>
  <c r="AK1386" i="16" a="1"/>
  <c r="AK1386" i="16" s="1"/>
  <c r="AK1387" i="16" a="1"/>
  <c r="AK1387" i="16" s="1"/>
  <c r="AK1388" i="16" a="1"/>
  <c r="AK1388" i="16" s="1"/>
  <c r="AK1389" i="16" a="1"/>
  <c r="AK1389" i="16" s="1"/>
  <c r="AK1390" i="16" a="1"/>
  <c r="AK1390" i="16" s="1"/>
  <c r="AK1391" i="16" a="1"/>
  <c r="AK1391" i="16" s="1"/>
  <c r="AK1392" i="16" a="1"/>
  <c r="AK1392" i="16" s="1"/>
  <c r="AK1393" i="16" a="1"/>
  <c r="AK1393" i="16" s="1"/>
  <c r="AK1394" i="16" a="1"/>
  <c r="AK1394" i="16" s="1"/>
  <c r="AK1395" i="16" a="1"/>
  <c r="AK1395" i="16" s="1"/>
  <c r="AK1396" i="16" a="1"/>
  <c r="AK1396" i="16" s="1"/>
  <c r="AK1397" i="16" a="1"/>
  <c r="AK1397" i="16" s="1"/>
  <c r="AK1398" i="16" a="1"/>
  <c r="AK1398" i="16" s="1"/>
  <c r="AK1399" i="16" a="1"/>
  <c r="AK1399" i="16" s="1"/>
  <c r="AK1400" i="16" a="1"/>
  <c r="AK1400" i="16" s="1"/>
  <c r="AK1401" i="16" a="1"/>
  <c r="AK1401" i="16" s="1"/>
  <c r="AK1402" i="16" a="1"/>
  <c r="AK1402" i="16" s="1"/>
  <c r="AK1403" i="16" a="1"/>
  <c r="AK1403" i="16" s="1"/>
  <c r="AK1404" i="16" a="1"/>
  <c r="AK1404" i="16" s="1"/>
  <c r="AK1405" i="16" a="1"/>
  <c r="AK1405" i="16" s="1"/>
  <c r="AK1406" i="16" a="1"/>
  <c r="AK1406" i="16" s="1"/>
  <c r="AK1407" i="16" a="1"/>
  <c r="AK1407" i="16" s="1"/>
  <c r="AK1408" i="16" a="1"/>
  <c r="AK1408" i="16" s="1"/>
  <c r="AK1409" i="16" a="1"/>
  <c r="AK1409" i="16" s="1"/>
  <c r="AK1410" i="16" a="1"/>
  <c r="AK1410" i="16" s="1"/>
  <c r="AK1411" i="16" a="1"/>
  <c r="AK1411" i="16" s="1"/>
  <c r="AK1412" i="16" a="1"/>
  <c r="AK1412" i="16" s="1"/>
  <c r="AK1413" i="16" a="1"/>
  <c r="AK1413" i="16" s="1"/>
  <c r="AK1414" i="16" a="1"/>
  <c r="AK1414" i="16" s="1"/>
  <c r="AK1415" i="16" a="1"/>
  <c r="AK1415" i="16" s="1"/>
  <c r="AK1416" i="16" a="1"/>
  <c r="AK1416" i="16" s="1"/>
  <c r="AK1417" i="16" a="1"/>
  <c r="AK1417" i="16" s="1"/>
  <c r="AK1418" i="16" a="1"/>
  <c r="AK1418" i="16" s="1"/>
  <c r="AK1419" i="16" a="1"/>
  <c r="AK1419" i="16" s="1"/>
  <c r="AK1420" i="16" a="1"/>
  <c r="AK1420" i="16" s="1"/>
  <c r="AK1421" i="16" a="1"/>
  <c r="AK1421" i="16" s="1"/>
  <c r="AK1422" i="16" a="1"/>
  <c r="AK1422" i="16" s="1"/>
  <c r="AK1423" i="16" a="1"/>
  <c r="AK1423" i="16" s="1"/>
  <c r="AK1424" i="16" a="1"/>
  <c r="AK1424" i="16" s="1"/>
  <c r="AK1425" i="16" a="1"/>
  <c r="AK1425" i="16" s="1"/>
  <c r="AK1426" i="16" a="1"/>
  <c r="AK1426" i="16" s="1"/>
  <c r="AK1427" i="16" a="1"/>
  <c r="AK1427" i="16" s="1"/>
  <c r="AK1428" i="16" a="1"/>
  <c r="AK1428" i="16" s="1"/>
  <c r="AK1429" i="16" a="1"/>
  <c r="AK1429" i="16" s="1"/>
  <c r="AK1430" i="16" a="1"/>
  <c r="AK1430" i="16" s="1"/>
  <c r="AK1431" i="16" a="1"/>
  <c r="AK1431" i="16" s="1"/>
  <c r="AK1432" i="16" a="1"/>
  <c r="AK1432" i="16" s="1"/>
  <c r="AK1433" i="16" a="1"/>
  <c r="AK1433" i="16" s="1"/>
  <c r="AK1434" i="16" a="1"/>
  <c r="AK1434" i="16" s="1"/>
  <c r="AK1435" i="16" a="1"/>
  <c r="AK1435" i="16" s="1"/>
  <c r="AK1436" i="16" a="1"/>
  <c r="AK1436" i="16" s="1"/>
  <c r="AK1437" i="16" a="1"/>
  <c r="AK1437" i="16" s="1"/>
  <c r="AK1438" i="16" a="1"/>
  <c r="AK1438" i="16" s="1"/>
  <c r="AK1439" i="16" a="1"/>
  <c r="AK1439" i="16" s="1"/>
  <c r="AK1440" i="16" a="1"/>
  <c r="AK1440" i="16" s="1"/>
  <c r="AK1441" i="16" a="1"/>
  <c r="AK1441" i="16" s="1"/>
  <c r="AK1442" i="16" a="1"/>
  <c r="AK1442" i="16" s="1"/>
  <c r="AK1443" i="16" a="1"/>
  <c r="AK1443" i="16" s="1"/>
  <c r="AK1444" i="16" a="1"/>
  <c r="AK1444" i="16" s="1"/>
  <c r="AK1445" i="16" a="1"/>
  <c r="AK1445" i="16" s="1"/>
  <c r="AK1446" i="16" a="1"/>
  <c r="AK1446" i="16" s="1"/>
  <c r="AK1447" i="16" a="1"/>
  <c r="AK1447" i="16" s="1"/>
  <c r="AK1448" i="16" a="1"/>
  <c r="AK1448" i="16" s="1"/>
  <c r="AK1449" i="16" a="1"/>
  <c r="AK1449" i="16" s="1"/>
  <c r="AK1450" i="16" a="1"/>
  <c r="AK1450" i="16" s="1"/>
  <c r="AK1451" i="16" a="1"/>
  <c r="AK1451" i="16" s="1"/>
  <c r="AK1452" i="16" a="1"/>
  <c r="AK1452" i="16" s="1"/>
  <c r="AK1453" i="16" a="1"/>
  <c r="AK1453" i="16" s="1"/>
  <c r="AK1454" i="16" a="1"/>
  <c r="AK1454" i="16" s="1"/>
  <c r="AK1455" i="16" a="1"/>
  <c r="AK1455" i="16" s="1"/>
  <c r="AK1456" i="16" a="1"/>
  <c r="AK1456" i="16" s="1"/>
  <c r="AK1457" i="16" a="1"/>
  <c r="AK1457" i="16" s="1"/>
  <c r="AK1458" i="16" a="1"/>
  <c r="AK1458" i="16" s="1"/>
  <c r="AK1459" i="16" a="1"/>
  <c r="AK1459" i="16" s="1"/>
  <c r="AK1460" i="16" a="1"/>
  <c r="AK1460" i="16" s="1"/>
  <c r="AK1461" i="16" a="1"/>
  <c r="AK1461" i="16" s="1"/>
  <c r="AK1462" i="16" a="1"/>
  <c r="AK1462" i="16" s="1"/>
  <c r="AK1463" i="16" a="1"/>
  <c r="AK1463" i="16" s="1"/>
  <c r="AK1464" i="16" a="1"/>
  <c r="AK1464" i="16" s="1"/>
  <c r="AK1465" i="16" a="1"/>
  <c r="AK1465" i="16" s="1"/>
  <c r="AK1466" i="16" a="1"/>
  <c r="AK1466" i="16" s="1"/>
  <c r="AK1467" i="16" a="1"/>
  <c r="AK1467" i="16" s="1"/>
  <c r="AK1468" i="16" a="1"/>
  <c r="AK1468" i="16" s="1"/>
  <c r="AK1469" i="16" a="1"/>
  <c r="AK1469" i="16" s="1"/>
  <c r="B275" i="60"/>
  <c r="B281" i="60"/>
  <c r="B275" i="61"/>
  <c r="B281" i="61"/>
  <c r="B275" i="63"/>
  <c r="B275" i="64"/>
  <c r="H8" i="59"/>
  <c r="J8" i="59"/>
  <c r="N8" i="59"/>
  <c r="P8" i="59"/>
  <c r="R8" i="59"/>
  <c r="V8" i="59"/>
  <c r="H12" i="59"/>
  <c r="L12" i="59"/>
  <c r="P12" i="59"/>
  <c r="R12" i="59"/>
  <c r="V12" i="59"/>
  <c r="J13" i="59"/>
  <c r="N13" i="59"/>
  <c r="R13" i="59"/>
  <c r="T13" i="59"/>
  <c r="H14" i="59"/>
  <c r="L14" i="59"/>
  <c r="P14" i="59"/>
  <c r="T14" i="59"/>
  <c r="V14" i="59"/>
  <c r="J15" i="59"/>
  <c r="N15" i="59"/>
  <c r="R15" i="59"/>
  <c r="V15" i="59"/>
  <c r="J16" i="59"/>
  <c r="N16" i="59"/>
  <c r="R16" i="59"/>
  <c r="V16" i="59"/>
  <c r="J17" i="59"/>
  <c r="N17" i="59"/>
  <c r="P17" i="59"/>
  <c r="T17" i="59"/>
  <c r="H18" i="59"/>
  <c r="L18" i="59"/>
  <c r="P18" i="59"/>
  <c r="V18" i="59"/>
  <c r="J20" i="59"/>
  <c r="N20" i="59"/>
  <c r="R20" i="59"/>
  <c r="J22" i="59"/>
  <c r="J23" i="59" s="1"/>
  <c r="N22" i="59"/>
  <c r="N23" i="59" s="1"/>
  <c r="R22" i="59"/>
  <c r="R23" i="59" s="1"/>
  <c r="V22" i="59"/>
  <c r="V23" i="59" s="1"/>
  <c r="H26" i="59"/>
  <c r="W26" i="59" s="1"/>
  <c r="K35" i="59"/>
  <c r="O35" i="59"/>
  <c r="U35" i="59"/>
  <c r="K39" i="59"/>
  <c r="M39" i="59"/>
  <c r="Q39" i="59"/>
  <c r="U39" i="59"/>
  <c r="I40" i="59"/>
  <c r="M40" i="59"/>
  <c r="Q40" i="59"/>
  <c r="S40" i="59"/>
  <c r="U40" i="59"/>
  <c r="I41" i="59"/>
  <c r="M41" i="59"/>
  <c r="Q41" i="59"/>
  <c r="S41" i="59"/>
  <c r="U41" i="59"/>
  <c r="K42" i="59"/>
  <c r="Q42" i="59"/>
  <c r="U42" i="59"/>
  <c r="I43" i="59"/>
  <c r="M43" i="59"/>
  <c r="Q43" i="59"/>
  <c r="K44" i="59"/>
  <c r="Q44" i="59"/>
  <c r="K45" i="59"/>
  <c r="O45" i="59"/>
  <c r="S45" i="59"/>
  <c r="U45" i="59"/>
  <c r="K47" i="59"/>
  <c r="O47" i="59"/>
  <c r="S47" i="59"/>
  <c r="U47" i="59"/>
  <c r="K49" i="59"/>
  <c r="K50" i="59" s="1"/>
  <c r="O49" i="59"/>
  <c r="O50" i="59" s="1"/>
  <c r="S49" i="59"/>
  <c r="S50" i="59" s="1"/>
  <c r="H52" i="59"/>
  <c r="W52" i="59" s="1"/>
  <c r="B215" i="61" s="1"/>
  <c r="C120" i="59" s="1"/>
  <c r="B231" i="61" s="1"/>
  <c r="C136" i="59" s="1"/>
  <c r="H54" i="59"/>
  <c r="W54" i="59" s="1"/>
  <c r="H62" i="59"/>
  <c r="L62" i="59"/>
  <c r="P62" i="59"/>
  <c r="T62" i="59"/>
  <c r="V62" i="59"/>
  <c r="J66" i="59"/>
  <c r="N66" i="59"/>
  <c r="R66" i="59"/>
  <c r="V66" i="59"/>
  <c r="J67" i="59"/>
  <c r="N67" i="59"/>
  <c r="R67" i="59"/>
  <c r="V67" i="59"/>
  <c r="J68" i="59"/>
  <c r="N68" i="59"/>
  <c r="R68" i="59"/>
  <c r="V68" i="59"/>
  <c r="C69" i="59"/>
  <c r="H69" i="59"/>
  <c r="L69" i="59"/>
  <c r="P69" i="59"/>
  <c r="T69" i="59"/>
  <c r="V69" i="59"/>
  <c r="E70" i="59"/>
  <c r="L70" i="59"/>
  <c r="P70" i="59"/>
  <c r="T70" i="59"/>
  <c r="H71" i="59"/>
  <c r="L71" i="59"/>
  <c r="P71" i="59"/>
  <c r="T71" i="59"/>
  <c r="H72" i="59"/>
  <c r="L72" i="59"/>
  <c r="P72" i="59"/>
  <c r="V72" i="59"/>
  <c r="J74" i="59"/>
  <c r="L74" i="59"/>
  <c r="H76" i="59"/>
  <c r="L76" i="59"/>
  <c r="L77" i="59" s="1"/>
  <c r="P76" i="59"/>
  <c r="P77" i="59" s="1"/>
  <c r="W87" i="59"/>
  <c r="K89" i="59"/>
  <c r="O89" i="59"/>
  <c r="U89" i="59"/>
  <c r="I93" i="59"/>
  <c r="M93" i="59"/>
  <c r="Q93" i="59"/>
  <c r="K94" i="59"/>
  <c r="O94" i="59"/>
  <c r="I95" i="59"/>
  <c r="M95" i="59"/>
  <c r="O95" i="59"/>
  <c r="S95" i="59"/>
  <c r="U95" i="59"/>
  <c r="I96" i="59"/>
  <c r="M96" i="59"/>
  <c r="I97" i="59"/>
  <c r="M97" i="59"/>
  <c r="Q97" i="59"/>
  <c r="S97" i="59"/>
  <c r="U97" i="59"/>
  <c r="K98" i="59"/>
  <c r="O98" i="59"/>
  <c r="S98" i="59"/>
  <c r="K99" i="59"/>
  <c r="K101" i="59"/>
  <c r="O101" i="59"/>
  <c r="I103" i="59"/>
  <c r="I104" i="59" s="1"/>
  <c r="M103" i="59"/>
  <c r="M104" i="59" s="1"/>
  <c r="O103" i="59"/>
  <c r="O104" i="59" s="1"/>
  <c r="S103" i="59"/>
  <c r="S104" i="59" s="1"/>
  <c r="H108" i="59"/>
  <c r="W108" i="59" s="1"/>
  <c r="B111" i="59"/>
  <c r="F111" i="59"/>
  <c r="C112" i="59"/>
  <c r="E114" i="59"/>
  <c r="B115" i="59"/>
  <c r="F115" i="59"/>
  <c r="J116" i="59"/>
  <c r="P116" i="59"/>
  <c r="J120" i="59"/>
  <c r="N120" i="59"/>
  <c r="R120" i="59"/>
  <c r="V120" i="59"/>
  <c r="H121" i="59"/>
  <c r="L121" i="59"/>
  <c r="N121" i="59"/>
  <c r="R121" i="59"/>
  <c r="H122" i="59"/>
  <c r="N122" i="59"/>
  <c r="R122" i="59"/>
  <c r="H123" i="59"/>
  <c r="L123" i="59"/>
  <c r="P123" i="59"/>
  <c r="V123" i="59"/>
  <c r="J124" i="59"/>
  <c r="N124" i="59"/>
  <c r="T124" i="59"/>
  <c r="J125" i="59"/>
  <c r="P125" i="59"/>
  <c r="T125" i="59"/>
  <c r="N126" i="59"/>
  <c r="R126" i="59"/>
  <c r="V126" i="59"/>
  <c r="H128" i="59"/>
  <c r="L128" i="59"/>
  <c r="P128" i="59"/>
  <c r="T128" i="59"/>
  <c r="V128" i="59"/>
  <c r="J130" i="59"/>
  <c r="J131" i="59" s="1"/>
  <c r="P130" i="59"/>
  <c r="P131" i="59" s="1"/>
  <c r="T130" i="59"/>
  <c r="T131" i="59" s="1"/>
  <c r="C7" i="12"/>
  <c r="C9" i="12"/>
  <c r="C10" i="12"/>
  <c r="C12" i="12"/>
  <c r="C14" i="12"/>
  <c r="AF2" i="16"/>
  <c r="AF3" i="16" s="1"/>
  <c r="AF4" i="16" s="1"/>
  <c r="AJ2" i="16"/>
  <c r="AD2" i="16" s="1"/>
  <c r="AJ6" i="16"/>
  <c r="AF9" i="16"/>
  <c r="AJ9" i="16"/>
  <c r="AJ13" i="16"/>
  <c r="AF16" i="16"/>
  <c r="AJ16" i="16"/>
  <c r="AJ20" i="16"/>
  <c r="AJ21" i="16"/>
  <c r="AF23" i="16"/>
  <c r="AF25" i="16"/>
  <c r="AJ25" i="16"/>
  <c r="AF27" i="16"/>
  <c r="AJ27" i="16"/>
  <c r="AF28" i="16"/>
  <c r="AJ28" i="16"/>
  <c r="AF29" i="16"/>
  <c r="AF30" i="16"/>
  <c r="AJ30" i="16"/>
  <c r="AJ33" i="16"/>
  <c r="AF35" i="16"/>
  <c r="AJ35" i="16"/>
  <c r="AF37" i="16"/>
  <c r="AF39" i="16"/>
  <c r="AJ39" i="16"/>
  <c r="AF40" i="16"/>
  <c r="AF41" i="16"/>
  <c r="AJ41" i="16"/>
  <c r="AF43" i="16"/>
  <c r="AJ43" i="16"/>
  <c r="AF47" i="16"/>
  <c r="AJ47" i="16"/>
  <c r="AF51" i="16"/>
  <c r="AJ51" i="16"/>
  <c r="AF53" i="16"/>
  <c r="AJ53" i="16"/>
  <c r="AF61" i="16"/>
  <c r="AJ61" i="16"/>
  <c r="AF69" i="16"/>
  <c r="AJ69" i="16"/>
  <c r="AF73" i="16"/>
  <c r="AJ73" i="16"/>
  <c r="AF77" i="16"/>
  <c r="AJ77" i="16"/>
  <c r="AF79" i="16"/>
  <c r="AJ79" i="16"/>
  <c r="AF81" i="16"/>
  <c r="AJ81" i="16"/>
  <c r="AJ85" i="16"/>
  <c r="AF89" i="16"/>
  <c r="AJ89" i="16"/>
  <c r="AF93" i="16"/>
  <c r="AJ93" i="16"/>
  <c r="AF97" i="16"/>
  <c r="AJ97" i="16"/>
  <c r="AF103" i="16"/>
  <c r="AJ103" i="16"/>
  <c r="AF107" i="16"/>
  <c r="AJ107" i="16"/>
  <c r="AF109" i="16"/>
  <c r="AJ109" i="16"/>
  <c r="AF113" i="16"/>
  <c r="AJ113" i="16"/>
  <c r="AF117" i="16"/>
  <c r="AJ117" i="16"/>
  <c r="AF119" i="16"/>
  <c r="AJ119" i="16"/>
  <c r="AF125" i="16"/>
  <c r="AJ125" i="16"/>
  <c r="AF127" i="16"/>
  <c r="AJ127" i="16"/>
  <c r="AF133" i="16"/>
  <c r="AJ133" i="16"/>
  <c r="AJ137" i="16"/>
  <c r="AK139" i="16" a="1"/>
  <c r="AK139" i="16" s="1"/>
  <c r="AK141" i="16" a="1"/>
  <c r="AK141" i="16" s="1"/>
  <c r="AK143" i="16" a="1"/>
  <c r="AK143" i="16" s="1"/>
  <c r="AK145" i="16" a="1"/>
  <c r="AK145" i="16" s="1"/>
  <c r="AK147" i="16" a="1"/>
  <c r="AK147" i="16" s="1"/>
  <c r="AK149" i="16" a="1"/>
  <c r="AK149" i="16" s="1"/>
  <c r="AK150" i="16" a="1"/>
  <c r="AK150" i="16" s="1"/>
  <c r="AK153" i="16" a="1"/>
  <c r="AK153" i="16" s="1"/>
  <c r="AK154" i="16" a="1"/>
  <c r="AK154" i="16" s="1"/>
  <c r="AK157" i="16" a="1"/>
  <c r="AK157" i="16" s="1"/>
  <c r="AK158" i="16" a="1"/>
  <c r="AK158" i="16" s="1"/>
  <c r="AK160" i="16" a="1"/>
  <c r="AK160" i="16" s="1"/>
  <c r="AK162" i="16" a="1"/>
  <c r="AK162" i="16" s="1"/>
  <c r="AK164" i="16" a="1"/>
  <c r="AK164" i="16" s="1"/>
  <c r="AK166" i="16" a="1"/>
  <c r="AK166" i="16" s="1"/>
  <c r="AK168" i="16" a="1"/>
  <c r="AK168" i="16" s="1"/>
  <c r="AK170" i="16" a="1"/>
  <c r="AK170" i="16" s="1"/>
  <c r="AK172" i="16" a="1"/>
  <c r="AK172" i="16" s="1"/>
  <c r="AK174" i="16" a="1"/>
  <c r="AK174" i="16" s="1"/>
  <c r="AK176" i="16" a="1"/>
  <c r="AK176" i="16" s="1"/>
  <c r="AK178" i="16" a="1"/>
  <c r="AK178" i="16" s="1"/>
  <c r="AK180" i="16" a="1"/>
  <c r="AK180" i="16" s="1"/>
  <c r="AK182" i="16" a="1"/>
  <c r="AK182" i="16" s="1"/>
  <c r="AK184" i="16" a="1"/>
  <c r="AK184" i="16" s="1"/>
  <c r="AK186" i="16" a="1"/>
  <c r="AK186" i="16" s="1"/>
  <c r="AK188" i="16" a="1"/>
  <c r="AK188" i="16" s="1"/>
  <c r="AK190" i="16" a="1"/>
  <c r="AK190" i="16" s="1"/>
  <c r="AK192" i="16" a="1"/>
  <c r="AK192" i="16" s="1"/>
  <c r="AK194" i="16" a="1"/>
  <c r="AK194" i="16" s="1"/>
  <c r="AK196" i="16" a="1"/>
  <c r="AK196" i="16" s="1"/>
  <c r="AK198" i="16" a="1"/>
  <c r="AK198" i="16" s="1"/>
  <c r="AK200" i="16" a="1"/>
  <c r="AK200" i="16" s="1"/>
  <c r="AK202" i="16" a="1"/>
  <c r="AK202" i="16" s="1"/>
  <c r="AK204" i="16" a="1"/>
  <c r="AK204" i="16" s="1"/>
  <c r="AK206" i="16" a="1"/>
  <c r="AK206" i="16" s="1"/>
  <c r="AK208" i="16" a="1"/>
  <c r="AK208" i="16" s="1"/>
  <c r="AK210" i="16" a="1"/>
  <c r="AK210" i="16" s="1"/>
  <c r="AK212" i="16" a="1"/>
  <c r="AK212" i="16" s="1"/>
  <c r="AK214" i="16" a="1"/>
  <c r="AK214" i="16" s="1"/>
  <c r="AK216" i="16" a="1"/>
  <c r="AK216" i="16" s="1"/>
  <c r="AK218" i="16" a="1"/>
  <c r="AK218" i="16" s="1"/>
  <c r="AK220" i="16" a="1"/>
  <c r="AK220" i="16" s="1"/>
  <c r="AK222" i="16" a="1"/>
  <c r="AK222" i="16" s="1"/>
  <c r="AK224" i="16" a="1"/>
  <c r="AK224" i="16" s="1"/>
  <c r="AK226" i="16" a="1"/>
  <c r="AK226" i="16" s="1"/>
  <c r="AK228" i="16" a="1"/>
  <c r="AK228" i="16" s="1"/>
  <c r="AK230" i="16" a="1"/>
  <c r="AK230" i="16" s="1"/>
  <c r="AK232" i="16" a="1"/>
  <c r="AK232" i="16" s="1"/>
  <c r="AK234" i="16" a="1"/>
  <c r="AK234" i="16" s="1"/>
  <c r="AK236" i="16" a="1"/>
  <c r="AK236" i="16" s="1"/>
  <c r="AK238" i="16" a="1"/>
  <c r="AK238" i="16" s="1"/>
  <c r="AK240" i="16" a="1"/>
  <c r="AK240" i="16" s="1"/>
  <c r="AK242" i="16" a="1"/>
  <c r="AK242" i="16" s="1"/>
  <c r="AK244" i="16" a="1"/>
  <c r="AK244" i="16" s="1"/>
  <c r="AK245" i="16" a="1"/>
  <c r="AK245" i="16" s="1"/>
  <c r="AK247" i="16" a="1"/>
  <c r="AK247" i="16" s="1"/>
  <c r="AK249" i="16" a="1"/>
  <c r="AK249" i="16" s="1"/>
  <c r="AK251" i="16" a="1"/>
  <c r="AK251" i="16" s="1"/>
  <c r="AK253" i="16" a="1"/>
  <c r="AK253" i="16" s="1"/>
  <c r="AK255" i="16" a="1"/>
  <c r="AK255" i="16" s="1"/>
  <c r="AK257" i="16" a="1"/>
  <c r="AK257" i="16" s="1"/>
  <c r="AK259" i="16" a="1"/>
  <c r="AK259" i="16" s="1"/>
  <c r="AK261" i="16" a="1"/>
  <c r="AK261" i="16" s="1"/>
  <c r="AK263" i="16" a="1"/>
  <c r="AK263" i="16" s="1"/>
  <c r="AK265" i="16" a="1"/>
  <c r="AK265" i="16" s="1"/>
  <c r="AK266" i="16" a="1"/>
  <c r="AK266" i="16" s="1"/>
  <c r="AK268" i="16" a="1"/>
  <c r="AK268" i="16" s="1"/>
  <c r="AK270" i="16" a="1"/>
  <c r="AK270" i="16" s="1"/>
  <c r="AK272" i="16" a="1"/>
  <c r="AK272" i="16" s="1"/>
  <c r="AK274" i="16" a="1"/>
  <c r="AK274" i="16" s="1"/>
  <c r="AK277" i="16" a="1"/>
  <c r="AK277" i="16" s="1"/>
  <c r="AK279" i="16" a="1"/>
  <c r="AK279" i="16" s="1"/>
  <c r="AK281" i="16" a="1"/>
  <c r="AK281" i="16" s="1"/>
  <c r="AK283" i="16" a="1"/>
  <c r="AK283" i="16" s="1"/>
  <c r="AK285" i="16" a="1"/>
  <c r="AK285" i="16" s="1"/>
  <c r="AK287" i="16" a="1"/>
  <c r="AK287" i="16" s="1"/>
  <c r="AK289" i="16" a="1"/>
  <c r="AK289" i="16" s="1"/>
  <c r="AK291" i="16" a="1"/>
  <c r="AK291" i="16" s="1"/>
  <c r="AK293" i="16" a="1"/>
  <c r="AK293" i="16" s="1"/>
  <c r="AK295" i="16" a="1"/>
  <c r="AK295" i="16" s="1"/>
  <c r="AK297" i="16" a="1"/>
  <c r="AK297" i="16" s="1"/>
  <c r="AK299" i="16" a="1"/>
  <c r="AK299" i="16" s="1"/>
  <c r="AK301" i="16" a="1"/>
  <c r="AK301" i="16" s="1"/>
  <c r="AK303" i="16" a="1"/>
  <c r="AK303" i="16" s="1"/>
  <c r="AK305" i="16" a="1"/>
  <c r="AK305" i="16" s="1"/>
  <c r="AK307" i="16" a="1"/>
  <c r="AK307" i="16" s="1"/>
  <c r="AK309" i="16" a="1"/>
  <c r="AK309" i="16" s="1"/>
  <c r="AK311" i="16" a="1"/>
  <c r="AK311" i="16" s="1"/>
  <c r="AK313" i="16" a="1"/>
  <c r="AK313" i="16" s="1"/>
  <c r="AK315" i="16" a="1"/>
  <c r="AK315" i="16" s="1"/>
  <c r="AK317" i="16" a="1"/>
  <c r="AK317" i="16" s="1"/>
  <c r="AK319" i="16" a="1"/>
  <c r="AK319" i="16" s="1"/>
  <c r="AK321" i="16" a="1"/>
  <c r="AK321" i="16" s="1"/>
  <c r="AK323" i="16" a="1"/>
  <c r="AK323" i="16" s="1"/>
  <c r="AK325" i="16" a="1"/>
  <c r="AK325" i="16" s="1"/>
  <c r="AK327" i="16" a="1"/>
  <c r="AK327" i="16" s="1"/>
  <c r="AK329" i="16" a="1"/>
  <c r="AK329" i="16" s="1"/>
  <c r="AK331" i="16" a="1"/>
  <c r="AK331" i="16" s="1"/>
  <c r="AK333" i="16" a="1"/>
  <c r="AK333" i="16" s="1"/>
  <c r="AK334" i="16" a="1"/>
  <c r="AK334" i="16" s="1"/>
  <c r="AK337" i="16" a="1"/>
  <c r="AK337" i="16" s="1"/>
  <c r="AK338" i="16" a="1"/>
  <c r="AK338" i="16" s="1"/>
  <c r="AK340" i="16" a="1"/>
  <c r="AK340" i="16" s="1"/>
  <c r="AK342" i="16" a="1"/>
  <c r="AK342" i="16" s="1"/>
  <c r="AK344" i="16" a="1"/>
  <c r="AK344" i="16" s="1"/>
  <c r="AK346" i="16" a="1"/>
  <c r="AK346" i="16" s="1"/>
  <c r="AK348" i="16" a="1"/>
  <c r="AK348" i="16" s="1"/>
  <c r="AK350" i="16" a="1"/>
  <c r="AK350" i="16" s="1"/>
  <c r="AK352" i="16" a="1"/>
  <c r="AK352" i="16" s="1"/>
  <c r="AK354" i="16" a="1"/>
  <c r="AK354" i="16" s="1"/>
  <c r="AK356" i="16" a="1"/>
  <c r="AK356" i="16" s="1"/>
  <c r="AK358" i="16" a="1"/>
  <c r="AK358" i="16" s="1"/>
  <c r="AK360" i="16" a="1"/>
  <c r="AK360" i="16" s="1"/>
  <c r="AK362" i="16" a="1"/>
  <c r="AK362" i="16" s="1"/>
  <c r="AK364" i="16" a="1"/>
  <c r="AK364" i="16" s="1"/>
  <c r="AK366" i="16" a="1"/>
  <c r="AK366" i="16" s="1"/>
  <c r="AK368" i="16" a="1"/>
  <c r="AK368" i="16" s="1"/>
  <c r="AK370" i="16" a="1"/>
  <c r="AK370" i="16" s="1"/>
  <c r="AK372" i="16" a="1"/>
  <c r="AK372" i="16" s="1"/>
  <c r="AK374" i="16" a="1"/>
  <c r="AK374" i="16" s="1"/>
  <c r="AK376" i="16" a="1"/>
  <c r="AK376" i="16" s="1"/>
  <c r="AK378" i="16" a="1"/>
  <c r="AK378" i="16" s="1"/>
  <c r="AK380" i="16" a="1"/>
  <c r="AK380" i="16" s="1"/>
  <c r="AK382" i="16" a="1"/>
  <c r="AK382" i="16" s="1"/>
  <c r="AK384" i="16" a="1"/>
  <c r="AK384" i="16" s="1"/>
  <c r="AK386" i="16" a="1"/>
  <c r="AK386" i="16" s="1"/>
  <c r="AK388" i="16" a="1"/>
  <c r="AK388" i="16" s="1"/>
  <c r="AK390" i="16" a="1"/>
  <c r="AK390" i="16" s="1"/>
  <c r="AK392" i="16" a="1"/>
  <c r="AK392" i="16" s="1"/>
  <c r="AK394" i="16" a="1"/>
  <c r="AK394" i="16" s="1"/>
  <c r="AK396" i="16" a="1"/>
  <c r="AK396" i="16" s="1"/>
  <c r="AK398" i="16" a="1"/>
  <c r="AK398" i="16" s="1"/>
  <c r="AK400" i="16" a="1"/>
  <c r="AK400" i="16" s="1"/>
  <c r="AK402" i="16" a="1"/>
  <c r="AK402" i="16" s="1"/>
  <c r="AK404" i="16" a="1"/>
  <c r="AK404" i="16" s="1"/>
  <c r="AK406" i="16" a="1"/>
  <c r="AK406" i="16" s="1"/>
  <c r="AK408" i="16" a="1"/>
  <c r="AK408" i="16" s="1"/>
  <c r="AK410" i="16" a="1"/>
  <c r="AK410" i="16" s="1"/>
  <c r="AK412" i="16" a="1"/>
  <c r="AK412" i="16" s="1"/>
  <c r="AK415" i="16" a="1"/>
  <c r="AK415" i="16" s="1"/>
  <c r="AK417" i="16" a="1"/>
  <c r="AK417" i="16" s="1"/>
  <c r="AK419" i="16" a="1"/>
  <c r="AK419" i="16" s="1"/>
  <c r="AK421" i="16" a="1"/>
  <c r="AK421" i="16" s="1"/>
  <c r="AK423" i="16" a="1"/>
  <c r="AK423" i="16" s="1"/>
  <c r="AK425" i="16" a="1"/>
  <c r="AK425" i="16" s="1"/>
  <c r="AK427" i="16" a="1"/>
  <c r="AK427" i="16" s="1"/>
  <c r="AK428" i="16" a="1"/>
  <c r="AK428" i="16" s="1"/>
  <c r="AK430" i="16" a="1"/>
  <c r="AK430" i="16" s="1"/>
  <c r="AK432" i="16" a="1"/>
  <c r="AK432" i="16" s="1"/>
  <c r="AK434" i="16" a="1"/>
  <c r="AK434" i="16" s="1"/>
  <c r="AK436" i="16" a="1"/>
  <c r="AK436" i="16" s="1"/>
  <c r="AK438" i="16" a="1"/>
  <c r="AK438" i="16" s="1"/>
  <c r="AK440" i="16" a="1"/>
  <c r="AK440" i="16" s="1"/>
  <c r="AK442" i="16" a="1"/>
  <c r="AK442" i="16" s="1"/>
  <c r="AK444" i="16" a="1"/>
  <c r="AK444" i="16" s="1"/>
  <c r="AK446" i="16" a="1"/>
  <c r="AK446" i="16" s="1"/>
  <c r="AK448" i="16" a="1"/>
  <c r="AK448" i="16" s="1"/>
  <c r="AK450" i="16" a="1"/>
  <c r="AK450" i="16" s="1"/>
  <c r="AK453" i="16" a="1"/>
  <c r="AK453" i="16" s="1"/>
  <c r="AK455" i="16" a="1"/>
  <c r="AK455" i="16" s="1"/>
  <c r="AK457" i="16" a="1"/>
  <c r="AK457" i="16" s="1"/>
  <c r="AK459" i="16" a="1"/>
  <c r="AK459" i="16" s="1"/>
  <c r="AK461" i="16" a="1"/>
  <c r="AK461" i="16" s="1"/>
  <c r="AK463" i="16" a="1"/>
  <c r="AK463" i="16" s="1"/>
  <c r="AK465" i="16" a="1"/>
  <c r="AK465" i="16" s="1"/>
  <c r="AK467" i="16" a="1"/>
  <c r="AK467" i="16" s="1"/>
  <c r="AK469" i="16" a="1"/>
  <c r="AK469" i="16" s="1"/>
  <c r="AK471" i="16" a="1"/>
  <c r="AK471" i="16" s="1"/>
  <c r="AK473" i="16" a="1"/>
  <c r="AK473" i="16" s="1"/>
  <c r="AK475" i="16" a="1"/>
  <c r="AK475" i="16" s="1"/>
  <c r="AK477" i="16" a="1"/>
  <c r="AK477" i="16" s="1"/>
  <c r="AK479" i="16" a="1"/>
  <c r="AK479" i="16" s="1"/>
  <c r="AK481" i="16" a="1"/>
  <c r="AK481" i="16" s="1"/>
  <c r="AK483" i="16" a="1"/>
  <c r="AK483" i="16" s="1"/>
  <c r="AK485" i="16" a="1"/>
  <c r="AK485" i="16" s="1"/>
  <c r="AK487" i="16" a="1"/>
  <c r="AK487" i="16" s="1"/>
  <c r="AK489" i="16" a="1"/>
  <c r="AK489" i="16" s="1"/>
  <c r="AK491" i="16" a="1"/>
  <c r="AK491" i="16" s="1"/>
  <c r="AK493" i="16" a="1"/>
  <c r="AK493" i="16" s="1"/>
  <c r="AK495" i="16" a="1"/>
  <c r="AK495" i="16" s="1"/>
  <c r="AK497" i="16" a="1"/>
  <c r="AK497" i="16" s="1"/>
  <c r="AK499" i="16" a="1"/>
  <c r="AK499" i="16" s="1"/>
  <c r="AK501" i="16" a="1"/>
  <c r="AK501" i="16" s="1"/>
  <c r="AK503" i="16" a="1"/>
  <c r="AK503" i="16" s="1"/>
  <c r="AK505" i="16" a="1"/>
  <c r="AK505" i="16" s="1"/>
  <c r="AK507" i="16" a="1"/>
  <c r="AK507" i="16" s="1"/>
  <c r="AK509" i="16" a="1"/>
  <c r="AK509" i="16" s="1"/>
  <c r="AK511" i="16" a="1"/>
  <c r="AK511" i="16" s="1"/>
  <c r="AK513" i="16" a="1"/>
  <c r="AK513" i="16" s="1"/>
  <c r="AK515" i="16" a="1"/>
  <c r="AK515" i="16" s="1"/>
  <c r="AK517" i="16" a="1"/>
  <c r="AK517" i="16" s="1"/>
  <c r="AK519" i="16" a="1"/>
  <c r="AK519" i="16" s="1"/>
  <c r="AK522" i="16" a="1"/>
  <c r="AK522" i="16" s="1"/>
  <c r="AK524" i="16" a="1"/>
  <c r="AK524" i="16" s="1"/>
  <c r="AK526" i="16" a="1"/>
  <c r="AK526" i="16" s="1"/>
  <c r="AK528" i="16" a="1"/>
  <c r="AK528" i="16" s="1"/>
  <c r="AK530" i="16" a="1"/>
  <c r="AK530" i="16" s="1"/>
  <c r="AK533" i="16" a="1"/>
  <c r="AK533" i="16" s="1"/>
  <c r="AK535" i="16" a="1"/>
  <c r="AK535" i="16" s="1"/>
  <c r="AK537" i="16" a="1"/>
  <c r="AK537" i="16" s="1"/>
  <c r="AK539" i="16" a="1"/>
  <c r="AK539" i="16" s="1"/>
  <c r="AK541" i="16" a="1"/>
  <c r="AK541" i="16" s="1"/>
  <c r="AK543" i="16" a="1"/>
  <c r="AK543" i="16" s="1"/>
  <c r="AK545" i="16" a="1"/>
  <c r="AK545" i="16" s="1"/>
  <c r="AK547" i="16" a="1"/>
  <c r="AK547" i="16" s="1"/>
  <c r="AK549" i="16" a="1"/>
  <c r="AK549" i="16" s="1"/>
  <c r="AK551" i="16" a="1"/>
  <c r="AK551" i="16" s="1"/>
  <c r="AK553" i="16" a="1"/>
  <c r="AK553" i="16" s="1"/>
  <c r="AK555" i="16" a="1"/>
  <c r="AK555" i="16" s="1"/>
  <c r="AK557" i="16" a="1"/>
  <c r="AK557" i="16" s="1"/>
  <c r="AK559" i="16" a="1"/>
  <c r="AK559" i="16" s="1"/>
  <c r="AK561" i="16" a="1"/>
  <c r="AK561" i="16" s="1"/>
  <c r="AK563" i="16" a="1"/>
  <c r="AK563" i="16" s="1"/>
  <c r="AK565" i="16" a="1"/>
  <c r="AK565" i="16" s="1"/>
  <c r="AK567" i="16" a="1"/>
  <c r="AK567" i="16" s="1"/>
  <c r="AK569" i="16" a="1"/>
  <c r="AK569" i="16" s="1"/>
  <c r="AK571" i="16" a="1"/>
  <c r="AK571" i="16" s="1"/>
  <c r="AK574" i="16" a="1"/>
  <c r="AK574" i="16" s="1"/>
  <c r="AK576" i="16" a="1"/>
  <c r="AK576" i="16" s="1"/>
  <c r="AK578" i="16" a="1"/>
  <c r="AK578" i="16" s="1"/>
  <c r="AK580" i="16" a="1"/>
  <c r="AK580" i="16" s="1"/>
  <c r="AK582" i="16" a="1"/>
  <c r="AK582" i="16" s="1"/>
  <c r="AK584" i="16" a="1"/>
  <c r="AK584" i="16" s="1"/>
  <c r="AK586" i="16" a="1"/>
  <c r="AK586" i="16" s="1"/>
  <c r="AK588" i="16" a="1"/>
  <c r="AK588" i="16" s="1"/>
  <c r="AK590" i="16" a="1"/>
  <c r="AK590" i="16" s="1"/>
  <c r="AK592" i="16" a="1"/>
  <c r="AK592" i="16" s="1"/>
  <c r="AK594" i="16" a="1"/>
  <c r="AK594" i="16" s="1"/>
  <c r="AK596" i="16" a="1"/>
  <c r="AK596" i="16" s="1"/>
  <c r="AK598" i="16" a="1"/>
  <c r="AK598" i="16" s="1"/>
  <c r="AK600" i="16" a="1"/>
  <c r="AK600" i="16" s="1"/>
  <c r="AK602" i="16" a="1"/>
  <c r="AK602" i="16" s="1"/>
  <c r="AK604" i="16" a="1"/>
  <c r="AK604" i="16" s="1"/>
  <c r="AK606" i="16" a="1"/>
  <c r="AK606" i="16" s="1"/>
  <c r="AK608" i="16" a="1"/>
  <c r="AK608" i="16" s="1"/>
  <c r="AK610" i="16" a="1"/>
  <c r="AK610" i="16" s="1"/>
  <c r="AK612" i="16" a="1"/>
  <c r="AK612" i="16" s="1"/>
  <c r="AK614" i="16" a="1"/>
  <c r="AK614" i="16" s="1"/>
  <c r="AK616" i="16" a="1"/>
  <c r="AK616" i="16" s="1"/>
  <c r="AK617" i="16" a="1"/>
  <c r="AK617" i="16" s="1"/>
  <c r="AK619" i="16" a="1"/>
  <c r="AK619" i="16" s="1"/>
  <c r="AK621" i="16" a="1"/>
  <c r="AK621" i="16" s="1"/>
  <c r="AK623" i="16" a="1"/>
  <c r="AK623" i="16" s="1"/>
  <c r="AK625" i="16" a="1"/>
  <c r="AK625" i="16" s="1"/>
  <c r="AK627" i="16" a="1"/>
  <c r="AK627" i="16" s="1"/>
  <c r="AK629" i="16" a="1"/>
  <c r="AK629" i="16" s="1"/>
  <c r="AK631" i="16" a="1"/>
  <c r="AK631" i="16" s="1"/>
  <c r="AK633" i="16" a="1"/>
  <c r="AK633" i="16" s="1"/>
  <c r="AK635" i="16" a="1"/>
  <c r="AK635" i="16" s="1"/>
  <c r="AK638" i="16" a="1"/>
  <c r="AK638" i="16" s="1"/>
  <c r="AK640" i="16" a="1"/>
  <c r="AK640" i="16" s="1"/>
  <c r="AK642" i="16" a="1"/>
  <c r="AK642" i="16" s="1"/>
  <c r="AK644" i="16" a="1"/>
  <c r="AK644" i="16" s="1"/>
  <c r="AK646" i="16" a="1"/>
  <c r="AK646" i="16" s="1"/>
  <c r="AK648" i="16" a="1"/>
  <c r="AK648" i="16" s="1"/>
  <c r="AK650" i="16" a="1"/>
  <c r="AK650" i="16" s="1"/>
  <c r="AK651" i="16" a="1"/>
  <c r="AK651" i="16" s="1"/>
  <c r="AK654" i="16" a="1"/>
  <c r="AK654" i="16" s="1"/>
  <c r="AK655" i="16" a="1"/>
  <c r="AK655" i="16" s="1"/>
  <c r="AK657" i="16" a="1"/>
  <c r="AK657" i="16" s="1"/>
  <c r="AK659" i="16" a="1"/>
  <c r="AK659" i="16" s="1"/>
  <c r="AK661" i="16" a="1"/>
  <c r="AK661" i="16" s="1"/>
  <c r="AK663" i="16" a="1"/>
  <c r="AK663" i="16" s="1"/>
  <c r="AK665" i="16" a="1"/>
  <c r="AK665" i="16" s="1"/>
  <c r="AK667" i="16" a="1"/>
  <c r="AK667" i="16" s="1"/>
  <c r="AK671" i="16" a="1"/>
  <c r="AK671" i="16" s="1"/>
  <c r="AK673" i="16" a="1"/>
  <c r="AK673" i="16" s="1"/>
  <c r="AK675" i="16" a="1"/>
  <c r="AK675" i="16" s="1"/>
  <c r="AK677" i="16" a="1"/>
  <c r="AK677" i="16" s="1"/>
  <c r="AK679" i="16" a="1"/>
  <c r="AK679" i="16" s="1"/>
  <c r="AK681" i="16" a="1"/>
  <c r="AK681" i="16" s="1"/>
  <c r="AK683" i="16" a="1"/>
  <c r="AK683" i="16" s="1"/>
  <c r="AK685" i="16" a="1"/>
  <c r="AK685" i="16" s="1"/>
  <c r="AK686" i="16" a="1"/>
  <c r="AK686" i="16" s="1"/>
  <c r="AK688" i="16" a="1"/>
  <c r="AK688" i="16" s="1"/>
  <c r="AK690" i="16" a="1"/>
  <c r="AK690" i="16" s="1"/>
  <c r="AK691" i="16" a="1"/>
  <c r="AK691" i="16" s="1"/>
  <c r="AK692" i="16" a="1"/>
  <c r="AK692" i="16" s="1"/>
  <c r="AK693" i="16" a="1"/>
  <c r="AK693" i="16" s="1"/>
  <c r="AK694" i="16" a="1"/>
  <c r="AK694" i="16" s="1"/>
  <c r="AK695" i="16" a="1"/>
  <c r="AK695" i="16" s="1"/>
  <c r="AK696" i="16" a="1"/>
  <c r="AK696" i="16" s="1"/>
  <c r="AK697" i="16" a="1"/>
  <c r="AK697" i="16" s="1"/>
  <c r="AK698" i="16" a="1"/>
  <c r="AK698" i="16" s="1"/>
  <c r="AK699" i="16" a="1"/>
  <c r="AK699" i="16" s="1"/>
  <c r="AK700" i="16" a="1"/>
  <c r="AK700" i="16" s="1"/>
  <c r="AK701" i="16" a="1"/>
  <c r="AK701" i="16" s="1"/>
  <c r="AK702" i="16" a="1"/>
  <c r="AK702" i="16" s="1"/>
  <c r="AK703" i="16" a="1"/>
  <c r="AK703" i="16" s="1"/>
  <c r="AK704" i="16" a="1"/>
  <c r="AK704" i="16" s="1"/>
  <c r="AK705" i="16" a="1"/>
  <c r="AK705" i="16" s="1"/>
  <c r="AK706" i="16" a="1"/>
  <c r="AK706" i="16" s="1"/>
  <c r="AK707" i="16" a="1"/>
  <c r="AK707" i="16" s="1"/>
  <c r="AK708" i="16" a="1"/>
  <c r="AK708" i="16" s="1"/>
  <c r="AK709" i="16" a="1"/>
  <c r="AK709" i="16" s="1"/>
  <c r="AK710" i="16" a="1"/>
  <c r="AK710" i="16" s="1"/>
  <c r="AK711" i="16" a="1"/>
  <c r="AK711" i="16" s="1"/>
  <c r="AK712" i="16" a="1"/>
  <c r="AK712" i="16" s="1"/>
  <c r="AK713" i="16" a="1"/>
  <c r="AK713" i="16" s="1"/>
  <c r="AK714" i="16" a="1"/>
  <c r="AK714" i="16" s="1"/>
  <c r="AK715" i="16" a="1"/>
  <c r="AK715" i="16" s="1"/>
  <c r="AK716" i="16" a="1"/>
  <c r="AK716" i="16" s="1"/>
  <c r="AK717" i="16" a="1"/>
  <c r="AK717" i="16" s="1"/>
  <c r="AK718" i="16" a="1"/>
  <c r="AK718" i="16" s="1"/>
  <c r="AK719" i="16" a="1"/>
  <c r="AK719" i="16" s="1"/>
  <c r="AK720" i="16" a="1"/>
  <c r="AK720" i="16" s="1"/>
  <c r="AK721" i="16" a="1"/>
  <c r="AK721" i="16" s="1"/>
  <c r="AK723" i="16" a="1"/>
  <c r="AK723" i="16" s="1"/>
  <c r="AK725" i="16" a="1"/>
  <c r="AK725" i="16" s="1"/>
  <c r="AK727" i="16" a="1"/>
  <c r="AK727" i="16" s="1"/>
  <c r="AK729" i="16" a="1"/>
  <c r="AK729" i="16" s="1"/>
  <c r="AK731" i="16" a="1"/>
  <c r="AK731" i="16" s="1"/>
  <c r="AK733" i="16" a="1"/>
  <c r="AK733" i="16" s="1"/>
  <c r="AK735" i="16" a="1"/>
  <c r="AK735" i="16" s="1"/>
  <c r="AK737" i="16" a="1"/>
  <c r="AK737" i="16" s="1"/>
  <c r="AK739" i="16" a="1"/>
  <c r="AK739" i="16" s="1"/>
  <c r="AK741" i="16" a="1"/>
  <c r="AK741" i="16" s="1"/>
  <c r="AK743" i="16" a="1"/>
  <c r="AK743" i="16" s="1"/>
  <c r="AK745" i="16" a="1"/>
  <c r="AK745" i="16" s="1"/>
  <c r="AK747" i="16" a="1"/>
  <c r="AK747" i="16" s="1"/>
  <c r="AK749" i="16" a="1"/>
  <c r="AK749" i="16" s="1"/>
  <c r="AK751" i="16" a="1"/>
  <c r="AK751" i="16" s="1"/>
  <c r="AK753" i="16" a="1"/>
  <c r="AK753" i="16" s="1"/>
  <c r="AK755" i="16" a="1"/>
  <c r="AK755" i="16" s="1"/>
  <c r="AK757" i="16" a="1"/>
  <c r="AK757" i="16" s="1"/>
  <c r="AK759" i="16" a="1"/>
  <c r="AK759" i="16" s="1"/>
  <c r="AK761" i="16" a="1"/>
  <c r="AK761" i="16" s="1"/>
  <c r="AK763" i="16" a="1"/>
  <c r="AK763" i="16" s="1"/>
  <c r="AK765" i="16" a="1"/>
  <c r="AK765" i="16" s="1"/>
  <c r="AK767" i="16" a="1"/>
  <c r="AK767" i="16" s="1"/>
  <c r="AK769" i="16" a="1"/>
  <c r="AK769" i="16" s="1"/>
  <c r="AK771" i="16" a="1"/>
  <c r="AK771" i="16" s="1"/>
  <c r="AK773" i="16" a="1"/>
  <c r="AK773" i="16" s="1"/>
  <c r="AK775" i="16" a="1"/>
  <c r="AK775" i="16" s="1"/>
  <c r="AK777" i="16" a="1"/>
  <c r="AK777" i="16" s="1"/>
  <c r="AK779" i="16" a="1"/>
  <c r="AK779" i="16" s="1"/>
  <c r="AK780" i="16" a="1"/>
  <c r="AK780" i="16" s="1"/>
  <c r="AK782" i="16" a="1"/>
  <c r="AK782" i="16" s="1"/>
  <c r="AK784" i="16" a="1"/>
  <c r="AK784" i="16" s="1"/>
  <c r="AK786" i="16" a="1"/>
  <c r="AK786" i="16" s="1"/>
  <c r="AK788" i="16" a="1"/>
  <c r="AK788" i="16" s="1"/>
  <c r="AK790" i="16" a="1"/>
  <c r="AK790" i="16" s="1"/>
  <c r="AK792" i="16" a="1"/>
  <c r="AK792" i="16" s="1"/>
  <c r="AK794" i="16" a="1"/>
  <c r="AK794" i="16" s="1"/>
  <c r="AK796" i="16" a="1"/>
  <c r="AK796" i="16" s="1"/>
  <c r="AK798" i="16" a="1"/>
  <c r="AK798" i="16" s="1"/>
  <c r="AK800" i="16" a="1"/>
  <c r="AK800" i="16" s="1"/>
  <c r="AK802" i="16" a="1"/>
  <c r="AK802" i="16" s="1"/>
  <c r="AK804" i="16" a="1"/>
  <c r="AK804" i="16" s="1"/>
  <c r="AK806" i="16" a="1"/>
  <c r="AK806" i="16" s="1"/>
  <c r="AK808" i="16" a="1"/>
  <c r="AK808" i="16" s="1"/>
  <c r="AK810" i="16" a="1"/>
  <c r="AK810" i="16" s="1"/>
  <c r="AK812" i="16" a="1"/>
  <c r="AK812" i="16" s="1"/>
  <c r="AK814" i="16" a="1"/>
  <c r="AK814" i="16" s="1"/>
  <c r="AK816" i="16" a="1"/>
  <c r="AK816" i="16" s="1"/>
  <c r="AK818" i="16" a="1"/>
  <c r="AK818" i="16" s="1"/>
  <c r="AK820" i="16" a="1"/>
  <c r="AK820" i="16" s="1"/>
  <c r="AK822" i="16" a="1"/>
  <c r="AK822" i="16" s="1"/>
  <c r="AK825" i="16" a="1"/>
  <c r="AK825" i="16" s="1"/>
  <c r="AK826" i="16" a="1"/>
  <c r="AK826" i="16" s="1"/>
  <c r="AK828" i="16" a="1"/>
  <c r="AK828" i="16" s="1"/>
  <c r="AK830" i="16" a="1"/>
  <c r="AK830" i="16" s="1"/>
  <c r="AK832" i="16" a="1"/>
  <c r="AK832" i="16" s="1"/>
  <c r="AK834" i="16" a="1"/>
  <c r="AK834" i="16" s="1"/>
  <c r="AK836" i="16" a="1"/>
  <c r="AK836" i="16" s="1"/>
  <c r="AK838" i="16" a="1"/>
  <c r="AK838" i="16" s="1"/>
  <c r="AK840" i="16" a="1"/>
  <c r="AK840" i="16" s="1"/>
  <c r="AK842" i="16" a="1"/>
  <c r="AK842" i="16" s="1"/>
  <c r="AK844" i="16" a="1"/>
  <c r="AK844" i="16" s="1"/>
  <c r="AK846" i="16" a="1"/>
  <c r="AK846" i="16" s="1"/>
  <c r="AK848" i="16" a="1"/>
  <c r="AK848" i="16" s="1"/>
  <c r="AK850" i="16" a="1"/>
  <c r="AK850" i="16" s="1"/>
  <c r="AK852" i="16" a="1"/>
  <c r="AK852" i="16" s="1"/>
  <c r="AK854" i="16" a="1"/>
  <c r="AK854" i="16" s="1"/>
  <c r="AK856" i="16" a="1"/>
  <c r="AK856" i="16" s="1"/>
  <c r="AK858" i="16" a="1"/>
  <c r="AK858" i="16" s="1"/>
  <c r="AK860" i="16" a="1"/>
  <c r="AK860" i="16" s="1"/>
  <c r="AK862" i="16" a="1"/>
  <c r="AK862" i="16" s="1"/>
  <c r="AK865" i="16" a="1"/>
  <c r="AK865" i="16" s="1"/>
  <c r="AK867" i="16" a="1"/>
  <c r="AK867" i="16" s="1"/>
  <c r="AK869" i="16" a="1"/>
  <c r="AK869" i="16" s="1"/>
  <c r="Q115" i="60"/>
  <c r="Q117" i="60"/>
  <c r="B124" i="60" s="1"/>
  <c r="B47" i="59" s="1"/>
  <c r="H158" i="60"/>
  <c r="L96" i="57" s="1"/>
  <c r="H159" i="60"/>
  <c r="L97" i="57" s="1"/>
  <c r="H160" i="60"/>
  <c r="L98" i="57" s="1"/>
  <c r="H161" i="60"/>
  <c r="L99" i="57" s="1"/>
  <c r="H162" i="60"/>
  <c r="L100" i="57" s="1"/>
  <c r="H163" i="60"/>
  <c r="L101" i="57" s="1"/>
  <c r="H164" i="60"/>
  <c r="L102" i="57" s="1"/>
  <c r="H165" i="60"/>
  <c r="L103" i="57" s="1"/>
  <c r="H166" i="60"/>
  <c r="L104" i="57" s="1"/>
  <c r="H167" i="60"/>
  <c r="L105" i="57" s="1"/>
  <c r="H168" i="60"/>
  <c r="L106" i="57" s="1"/>
  <c r="H169" i="60"/>
  <c r="L107" i="57" s="1"/>
  <c r="H170" i="60"/>
  <c r="L108" i="57" s="1"/>
  <c r="H171" i="60"/>
  <c r="L109" i="57" s="1"/>
  <c r="H172" i="60"/>
  <c r="L110" i="57" s="1"/>
  <c r="H173" i="60"/>
  <c r="L111" i="57" s="1"/>
  <c r="H174" i="60"/>
  <c r="L112" i="57" s="1"/>
  <c r="H175" i="60"/>
  <c r="L113" i="57" s="1"/>
  <c r="H176" i="60"/>
  <c r="L114" i="57" s="1"/>
  <c r="H177" i="60"/>
  <c r="L115" i="57" s="1"/>
  <c r="B252" i="60"/>
  <c r="B159" i="59" s="1"/>
  <c r="B255" i="60" s="1"/>
  <c r="B162" i="59" s="1"/>
  <c r="D271" i="60"/>
  <c r="D274" i="60"/>
  <c r="D278" i="60"/>
  <c r="D280" i="60"/>
  <c r="D287" i="60"/>
  <c r="Q116" i="61"/>
  <c r="B124" i="61" s="1"/>
  <c r="C47" i="59" s="1"/>
  <c r="B144" i="61"/>
  <c r="C73" i="59" s="1"/>
  <c r="H158" i="61"/>
  <c r="Q96" i="57" s="1"/>
  <c r="H159" i="61"/>
  <c r="Q97" i="57" s="1"/>
  <c r="H160" i="61"/>
  <c r="Q98" i="57" s="1"/>
  <c r="H161" i="61"/>
  <c r="Q99" i="57" s="1"/>
  <c r="H162" i="61"/>
  <c r="Q100" i="57" s="1"/>
  <c r="H163" i="61"/>
  <c r="Q101" i="57" s="1"/>
  <c r="H164" i="61"/>
  <c r="Q102" i="57" s="1"/>
  <c r="H165" i="61"/>
  <c r="Q103" i="57" s="1"/>
  <c r="H166" i="61"/>
  <c r="Q104" i="57" s="1"/>
  <c r="H167" i="61"/>
  <c r="Q105" i="57" s="1"/>
  <c r="H168" i="61"/>
  <c r="Q106" i="57" s="1"/>
  <c r="H169" i="61"/>
  <c r="Q107" i="57" s="1"/>
  <c r="H170" i="61"/>
  <c r="Q108" i="57" s="1"/>
  <c r="H171" i="61"/>
  <c r="Q109" i="57" s="1"/>
  <c r="H172" i="61"/>
  <c r="Q110" i="57" s="1"/>
  <c r="H173" i="61"/>
  <c r="Q111" i="57" s="1"/>
  <c r="H174" i="61"/>
  <c r="Q112" i="57" s="1"/>
  <c r="H175" i="61"/>
  <c r="Q113" i="57" s="1"/>
  <c r="H176" i="61"/>
  <c r="Q114" i="57" s="1"/>
  <c r="H177" i="61"/>
  <c r="Q115" i="57" s="1"/>
  <c r="B199" i="61"/>
  <c r="C92" i="59" s="1"/>
  <c r="D279" i="61"/>
  <c r="D289" i="61"/>
  <c r="Q115" i="62"/>
  <c r="Q117" i="62"/>
  <c r="B124" i="62" s="1"/>
  <c r="D47" i="59" s="1"/>
  <c r="H158" i="62"/>
  <c r="V96" i="57" s="1"/>
  <c r="H159" i="62"/>
  <c r="V97" i="57" s="1"/>
  <c r="H160" i="62"/>
  <c r="V98" i="57" s="1"/>
  <c r="H161" i="62"/>
  <c r="V99" i="57" s="1"/>
  <c r="H162" i="62"/>
  <c r="V100" i="57" s="1"/>
  <c r="H163" i="62"/>
  <c r="V101" i="57" s="1"/>
  <c r="H164" i="62"/>
  <c r="V102" i="57" s="1"/>
  <c r="H165" i="62"/>
  <c r="V103" i="57" s="1"/>
  <c r="H166" i="62"/>
  <c r="V104" i="57" s="1"/>
  <c r="H167" i="62"/>
  <c r="V105" i="57" s="1"/>
  <c r="H168" i="62"/>
  <c r="V106" i="57" s="1"/>
  <c r="H169" i="62"/>
  <c r="V107" i="57" s="1"/>
  <c r="H170" i="62"/>
  <c r="V108" i="57" s="1"/>
  <c r="H171" i="62"/>
  <c r="V109" i="57" s="1"/>
  <c r="H172" i="62"/>
  <c r="V110" i="57" s="1"/>
  <c r="H173" i="62"/>
  <c r="V111" i="57" s="1"/>
  <c r="H174" i="62"/>
  <c r="V112" i="57" s="1"/>
  <c r="H175" i="62"/>
  <c r="V113" i="57" s="1"/>
  <c r="H176" i="62"/>
  <c r="V114" i="57" s="1"/>
  <c r="H177" i="62"/>
  <c r="V115" i="57" s="1"/>
  <c r="B252" i="62"/>
  <c r="D159" i="59" s="1"/>
  <c r="D271" i="62"/>
  <c r="D274" i="62"/>
  <c r="D278" i="62"/>
  <c r="D280" i="62"/>
  <c r="D287" i="62"/>
  <c r="Q116" i="63"/>
  <c r="B144" i="63"/>
  <c r="E73" i="59" s="1"/>
  <c r="H158" i="63"/>
  <c r="AA96" i="57" s="1"/>
  <c r="H159" i="63"/>
  <c r="AA97" i="57" s="1"/>
  <c r="H160" i="63"/>
  <c r="AA98" i="57" s="1"/>
  <c r="H161" i="63"/>
  <c r="AA99" i="57" s="1"/>
  <c r="H162" i="63"/>
  <c r="AA100" i="57" s="1"/>
  <c r="H163" i="63"/>
  <c r="AA101" i="57" s="1"/>
  <c r="H164" i="63"/>
  <c r="AA102" i="57" s="1"/>
  <c r="H165" i="63"/>
  <c r="AA103" i="57" s="1"/>
  <c r="H166" i="63"/>
  <c r="AA104" i="57" s="1"/>
  <c r="H167" i="63"/>
  <c r="AA105" i="57" s="1"/>
  <c r="H168" i="63"/>
  <c r="AA106" i="57" s="1"/>
  <c r="H169" i="63"/>
  <c r="AA107" i="57" s="1"/>
  <c r="H170" i="63"/>
  <c r="AA108" i="57" s="1"/>
  <c r="H171" i="63"/>
  <c r="AA109" i="57" s="1"/>
  <c r="H172" i="63"/>
  <c r="AA110" i="57" s="1"/>
  <c r="H173" i="63"/>
  <c r="AA111" i="57" s="1"/>
  <c r="H174" i="63"/>
  <c r="AA112" i="57" s="1"/>
  <c r="H175" i="63"/>
  <c r="AA113" i="57" s="1"/>
  <c r="H176" i="63"/>
  <c r="AA114" i="57" s="1"/>
  <c r="H177" i="63"/>
  <c r="AA115" i="57" s="1"/>
  <c r="B199" i="63"/>
  <c r="E92" i="59" s="1"/>
  <c r="D279" i="63"/>
  <c r="D289" i="63"/>
  <c r="Q115" i="64"/>
  <c r="Q117" i="64"/>
  <c r="B124" i="64" s="1"/>
  <c r="F47" i="59" s="1"/>
  <c r="H158" i="64"/>
  <c r="AF96" i="57" s="1"/>
  <c r="H159" i="64"/>
  <c r="AF97" i="57" s="1"/>
  <c r="H160" i="64"/>
  <c r="AF98" i="57" s="1"/>
  <c r="H161" i="64"/>
  <c r="AF99" i="57" s="1"/>
  <c r="H162" i="64"/>
  <c r="AF100" i="57" s="1"/>
  <c r="H163" i="64"/>
  <c r="AF101" i="57" s="1"/>
  <c r="H164" i="64"/>
  <c r="AF102" i="57" s="1"/>
  <c r="H165" i="64"/>
  <c r="AF103" i="57" s="1"/>
  <c r="H166" i="64"/>
  <c r="AF104" i="57" s="1"/>
  <c r="H167" i="64"/>
  <c r="AF105" i="57" s="1"/>
  <c r="H168" i="64"/>
  <c r="AF106" i="57" s="1"/>
  <c r="H169" i="64"/>
  <c r="AF107" i="57" s="1"/>
  <c r="H170" i="64"/>
  <c r="AF108" i="57" s="1"/>
  <c r="H171" i="64"/>
  <c r="AF109" i="57" s="1"/>
  <c r="H172" i="64"/>
  <c r="AF110" i="57" s="1"/>
  <c r="H173" i="64"/>
  <c r="AF111" i="57" s="1"/>
  <c r="H174" i="64"/>
  <c r="AF112" i="57" s="1"/>
  <c r="H175" i="64"/>
  <c r="AF113" i="57" s="1"/>
  <c r="H176" i="64"/>
  <c r="AF114" i="57" s="1"/>
  <c r="B252" i="64"/>
  <c r="F159" i="59" s="1"/>
  <c r="B255" i="64" s="1"/>
  <c r="F162" i="59" s="1"/>
  <c r="D271" i="64"/>
  <c r="D274" i="64"/>
  <c r="D278" i="64"/>
  <c r="D280" i="64"/>
  <c r="D287" i="64"/>
  <c r="W6" i="59"/>
  <c r="I12" i="59"/>
  <c r="K12" i="59"/>
  <c r="M12" i="59"/>
  <c r="O12" i="59"/>
  <c r="Q12" i="59"/>
  <c r="S12" i="59"/>
  <c r="U12" i="59"/>
  <c r="I13" i="59"/>
  <c r="K13" i="59"/>
  <c r="M13" i="59"/>
  <c r="O13" i="59"/>
  <c r="Q13" i="59"/>
  <c r="S13" i="59"/>
  <c r="U13" i="59"/>
  <c r="I14" i="59"/>
  <c r="K14" i="59"/>
  <c r="M14" i="59"/>
  <c r="O14" i="59"/>
  <c r="Q14" i="59"/>
  <c r="S14" i="59"/>
  <c r="U14" i="59"/>
  <c r="I15" i="59"/>
  <c r="K15" i="59"/>
  <c r="M15" i="59"/>
  <c r="O15" i="59"/>
  <c r="Q15" i="59"/>
  <c r="S15" i="59"/>
  <c r="U15" i="59"/>
  <c r="I16" i="59"/>
  <c r="K16" i="59"/>
  <c r="M16" i="59"/>
  <c r="O16" i="59"/>
  <c r="Q16" i="59"/>
  <c r="S16" i="59"/>
  <c r="U16" i="59"/>
  <c r="I17" i="59"/>
  <c r="K17" i="59"/>
  <c r="M17" i="59"/>
  <c r="O17" i="59"/>
  <c r="Q17" i="59"/>
  <c r="S17" i="59"/>
  <c r="U17" i="59"/>
  <c r="I18" i="59"/>
  <c r="K18" i="59"/>
  <c r="M18" i="59"/>
  <c r="O18" i="59"/>
  <c r="Q18" i="59"/>
  <c r="S18" i="59"/>
  <c r="U18" i="59"/>
  <c r="I20" i="59"/>
  <c r="K20" i="59"/>
  <c r="M20" i="59"/>
  <c r="O20" i="59"/>
  <c r="Q20" i="59"/>
  <c r="S20" i="59"/>
  <c r="U20" i="59"/>
  <c r="H39" i="59"/>
  <c r="J39" i="59"/>
  <c r="L39" i="59"/>
  <c r="N39" i="59"/>
  <c r="P39" i="59"/>
  <c r="R39" i="59"/>
  <c r="T39" i="59"/>
  <c r="V39" i="59"/>
  <c r="H40" i="59"/>
  <c r="J40" i="59"/>
  <c r="L40" i="59"/>
  <c r="N40" i="59"/>
  <c r="P40" i="59"/>
  <c r="R40" i="59"/>
  <c r="T40" i="59"/>
  <c r="V40" i="59"/>
  <c r="H41" i="59"/>
  <c r="J41" i="59"/>
  <c r="L41" i="59"/>
  <c r="N41" i="59"/>
  <c r="P41" i="59"/>
  <c r="R41" i="59"/>
  <c r="T41" i="59"/>
  <c r="V41" i="59"/>
  <c r="H42" i="59"/>
  <c r="J42" i="59"/>
  <c r="L42" i="59"/>
  <c r="N42" i="59"/>
  <c r="P42" i="59"/>
  <c r="R42" i="59"/>
  <c r="T42" i="59"/>
  <c r="V42" i="59"/>
  <c r="H43" i="59"/>
  <c r="J43" i="59"/>
  <c r="L43" i="59"/>
  <c r="N43" i="59"/>
  <c r="P43" i="59"/>
  <c r="R43" i="59"/>
  <c r="T43" i="59"/>
  <c r="V43" i="59"/>
  <c r="H44" i="59"/>
  <c r="J44" i="59"/>
  <c r="L44" i="59"/>
  <c r="N44" i="59"/>
  <c r="P44" i="59"/>
  <c r="R44" i="59"/>
  <c r="T44" i="59"/>
  <c r="V44" i="59"/>
  <c r="H45" i="59"/>
  <c r="J45" i="59"/>
  <c r="L45" i="59"/>
  <c r="N45" i="59"/>
  <c r="P45" i="59"/>
  <c r="R45" i="59"/>
  <c r="T45" i="59"/>
  <c r="V45" i="59"/>
  <c r="H47" i="59"/>
  <c r="J47" i="59"/>
  <c r="L47" i="59"/>
  <c r="N47" i="59"/>
  <c r="P47" i="59"/>
  <c r="R47" i="59"/>
  <c r="T47" i="59"/>
  <c r="V47" i="59"/>
  <c r="W60" i="59"/>
  <c r="I66" i="59"/>
  <c r="K66" i="59"/>
  <c r="M66" i="59"/>
  <c r="O66" i="59"/>
  <c r="Q66" i="59"/>
  <c r="S66" i="59"/>
  <c r="U66" i="59"/>
  <c r="I67" i="59"/>
  <c r="K67" i="59"/>
  <c r="M67" i="59"/>
  <c r="O67" i="59"/>
  <c r="Q67" i="59"/>
  <c r="S67" i="59"/>
  <c r="U67" i="59"/>
  <c r="I68" i="59"/>
  <c r="K68" i="59"/>
  <c r="M68" i="59"/>
  <c r="O68" i="59"/>
  <c r="Q68" i="59"/>
  <c r="S68" i="59"/>
  <c r="U68" i="59"/>
  <c r="I69" i="59"/>
  <c r="K69" i="59"/>
  <c r="M69" i="59"/>
  <c r="O69" i="59"/>
  <c r="Q69" i="59"/>
  <c r="S69" i="59"/>
  <c r="U69" i="59"/>
  <c r="I70" i="59"/>
  <c r="K70" i="59"/>
  <c r="M70" i="59"/>
  <c r="O70" i="59"/>
  <c r="Q70" i="59"/>
  <c r="S70" i="59"/>
  <c r="U70" i="59"/>
  <c r="I71" i="59"/>
  <c r="K71" i="59"/>
  <c r="M71" i="59"/>
  <c r="O71" i="59"/>
  <c r="Q71" i="59"/>
  <c r="S71" i="59"/>
  <c r="U71" i="59"/>
  <c r="I72" i="59"/>
  <c r="K72" i="59"/>
  <c r="M72" i="59"/>
  <c r="O72" i="59"/>
  <c r="Q72" i="59"/>
  <c r="S72" i="59"/>
  <c r="U72" i="59"/>
  <c r="I74" i="59"/>
  <c r="K74" i="59"/>
  <c r="M74" i="59"/>
  <c r="O74" i="59"/>
  <c r="Q74" i="59"/>
  <c r="S74" i="59"/>
  <c r="U74" i="59"/>
  <c r="H93" i="59"/>
  <c r="J93" i="59"/>
  <c r="L93" i="59"/>
  <c r="N93" i="59"/>
  <c r="P93" i="59"/>
  <c r="R93" i="59"/>
  <c r="T93" i="59"/>
  <c r="V93" i="59"/>
  <c r="H94" i="59"/>
  <c r="J94" i="59"/>
  <c r="L94" i="59"/>
  <c r="N94" i="59"/>
  <c r="P94" i="59"/>
  <c r="R94" i="59"/>
  <c r="T94" i="59"/>
  <c r="V94" i="59"/>
  <c r="H95" i="59"/>
  <c r="J95" i="59"/>
  <c r="L95" i="59"/>
  <c r="N95" i="59"/>
  <c r="P95" i="59"/>
  <c r="R95" i="59"/>
  <c r="T95" i="59"/>
  <c r="V95" i="59"/>
  <c r="H96" i="59"/>
  <c r="J96" i="59"/>
  <c r="L96" i="59"/>
  <c r="N96" i="59"/>
  <c r="P96" i="59"/>
  <c r="R96" i="59"/>
  <c r="T96" i="59"/>
  <c r="V96" i="59"/>
  <c r="H97" i="59"/>
  <c r="J97" i="59"/>
  <c r="L97" i="59"/>
  <c r="N97" i="59"/>
  <c r="P97" i="59"/>
  <c r="R97" i="59"/>
  <c r="T97" i="59"/>
  <c r="V97" i="59"/>
  <c r="H98" i="59"/>
  <c r="J98" i="59"/>
  <c r="L98" i="59"/>
  <c r="N98" i="59"/>
  <c r="P98" i="59"/>
  <c r="R98" i="59"/>
  <c r="T98" i="59"/>
  <c r="V98" i="59"/>
  <c r="H99" i="59"/>
  <c r="J99" i="59"/>
  <c r="L99" i="59"/>
  <c r="N99" i="59"/>
  <c r="P99" i="59"/>
  <c r="R99" i="59"/>
  <c r="T99" i="59"/>
  <c r="V99" i="59"/>
  <c r="H101" i="59"/>
  <c r="J101" i="59"/>
  <c r="L101" i="59"/>
  <c r="N101" i="59"/>
  <c r="P101" i="59"/>
  <c r="R101" i="59"/>
  <c r="T101" i="59"/>
  <c r="V101" i="59"/>
  <c r="W114" i="59"/>
  <c r="I120" i="59"/>
  <c r="K120" i="59"/>
  <c r="M120" i="59"/>
  <c r="O120" i="59"/>
  <c r="Q120" i="59"/>
  <c r="S120" i="59"/>
  <c r="U120" i="59"/>
  <c r="I121" i="59"/>
  <c r="K121" i="59"/>
  <c r="M121" i="59"/>
  <c r="O121" i="59"/>
  <c r="Q121" i="59"/>
  <c r="S121" i="59"/>
  <c r="U121" i="59"/>
  <c r="I122" i="59"/>
  <c r="K122" i="59"/>
  <c r="M122" i="59"/>
  <c r="O122" i="59"/>
  <c r="Q122" i="59"/>
  <c r="S122" i="59"/>
  <c r="U122" i="59"/>
  <c r="I123" i="59"/>
  <c r="K123" i="59"/>
  <c r="M123" i="59"/>
  <c r="O123" i="59"/>
  <c r="Q123" i="59"/>
  <c r="S123" i="59"/>
  <c r="U123" i="59"/>
  <c r="I124" i="59"/>
  <c r="K124" i="59"/>
  <c r="M124" i="59"/>
  <c r="O124" i="59"/>
  <c r="Q124" i="59"/>
  <c r="S124" i="59"/>
  <c r="U124" i="59"/>
  <c r="I125" i="59"/>
  <c r="K125" i="59"/>
  <c r="M125" i="59"/>
  <c r="O125" i="59"/>
  <c r="Q125" i="59"/>
  <c r="S125" i="59"/>
  <c r="U125" i="59"/>
  <c r="I126" i="59"/>
  <c r="K126" i="59"/>
  <c r="M126" i="59"/>
  <c r="O126" i="59"/>
  <c r="Q126" i="59"/>
  <c r="S126" i="59"/>
  <c r="U126" i="59"/>
  <c r="I128" i="59"/>
  <c r="K128" i="59"/>
  <c r="M128" i="59"/>
  <c r="O128" i="59"/>
  <c r="Q128" i="59"/>
  <c r="S128" i="59"/>
  <c r="U128" i="59"/>
  <c r="I140" i="59"/>
  <c r="K140" i="59"/>
  <c r="I141" i="59"/>
  <c r="K141" i="59"/>
  <c r="I142" i="59"/>
  <c r="K142" i="59"/>
  <c r="AK4339" i="16" a="1"/>
  <c r="AK4339" i="16" s="1"/>
  <c r="AK4338" i="16" a="1"/>
  <c r="AK4338" i="16" s="1"/>
  <c r="AK4337" i="16" a="1"/>
  <c r="AK4337" i="16" s="1"/>
  <c r="AK4336" i="16" a="1"/>
  <c r="AK4336" i="16" s="1"/>
  <c r="AK4335" i="16" a="1"/>
  <c r="AK4335" i="16" s="1"/>
  <c r="AK4334" i="16" a="1"/>
  <c r="AK4334" i="16" s="1"/>
  <c r="AK4333" i="16" a="1"/>
  <c r="AK4333" i="16" s="1"/>
  <c r="AK4332" i="16" a="1"/>
  <c r="AK4332" i="16" s="1"/>
  <c r="AK4331" i="16" a="1"/>
  <c r="AK4331" i="16" s="1"/>
  <c r="AK4330" i="16" a="1"/>
  <c r="AK4330" i="16" s="1"/>
  <c r="AK4329" i="16" a="1"/>
  <c r="AK4329" i="16" s="1"/>
  <c r="AK4328" i="16" a="1"/>
  <c r="AK4328" i="16" s="1"/>
  <c r="AK4327" i="16" a="1"/>
  <c r="AK4327" i="16" s="1"/>
  <c r="AK4326" i="16" a="1"/>
  <c r="AK4326" i="16" s="1"/>
  <c r="AK4325" i="16" a="1"/>
  <c r="AK4325" i="16" s="1"/>
  <c r="AK4324" i="16" a="1"/>
  <c r="AK4324" i="16" s="1"/>
  <c r="AK4323" i="16" a="1"/>
  <c r="AK4323" i="16" s="1"/>
  <c r="AK4322" i="16" a="1"/>
  <c r="AK4322" i="16" s="1"/>
  <c r="AK4321" i="16" a="1"/>
  <c r="AK4321" i="16" s="1"/>
  <c r="AK4320" i="16" a="1"/>
  <c r="AK4320" i="16" s="1"/>
  <c r="AK4319" i="16" a="1"/>
  <c r="AK4319" i="16" s="1"/>
  <c r="AK4318" i="16" a="1"/>
  <c r="AK4318" i="16" s="1"/>
  <c r="AK4317" i="16" a="1"/>
  <c r="AK4317" i="16" s="1"/>
  <c r="AK4316" i="16" a="1"/>
  <c r="AK4316" i="16" s="1"/>
  <c r="AK4315" i="16" a="1"/>
  <c r="AK4315" i="16" s="1"/>
  <c r="AK4314" i="16" a="1"/>
  <c r="AK4314" i="16" s="1"/>
  <c r="AK4313" i="16" a="1"/>
  <c r="AK4313" i="16" s="1"/>
  <c r="AK4312" i="16" a="1"/>
  <c r="AK4312" i="16" s="1"/>
  <c r="AK4311" i="16" a="1"/>
  <c r="AK4311" i="16" s="1"/>
  <c r="AK4310" i="16" a="1"/>
  <c r="AK4310" i="16" s="1"/>
  <c r="AK4309" i="16" a="1"/>
  <c r="AK4309" i="16" s="1"/>
  <c r="AK4308" i="16" a="1"/>
  <c r="AK4308" i="16" s="1"/>
  <c r="AK4307" i="16" a="1"/>
  <c r="AK4307" i="16" s="1"/>
  <c r="AK4306" i="16" a="1"/>
  <c r="AK4306" i="16" s="1"/>
  <c r="AK4305" i="16" a="1"/>
  <c r="AK4305" i="16" s="1"/>
  <c r="AK4304" i="16" a="1"/>
  <c r="AK4304" i="16" s="1"/>
  <c r="AK4303" i="16" a="1"/>
  <c r="AK4303" i="16" s="1"/>
  <c r="AK4302" i="16" a="1"/>
  <c r="AK4302" i="16" s="1"/>
  <c r="AK4301" i="16" a="1"/>
  <c r="AK4301" i="16" s="1"/>
  <c r="AK4300" i="16" a="1"/>
  <c r="AK4300" i="16" s="1"/>
  <c r="AK4299" i="16" a="1"/>
  <c r="AK4299" i="16" s="1"/>
  <c r="AK4298" i="16" a="1"/>
  <c r="AK4298" i="16" s="1"/>
  <c r="AK4297" i="16" a="1"/>
  <c r="AK4297" i="16" s="1"/>
  <c r="AK4296" i="16" a="1"/>
  <c r="AK4296" i="16" s="1"/>
  <c r="AK4295" i="16" a="1"/>
  <c r="AK4295" i="16" s="1"/>
  <c r="AK4294" i="16" a="1"/>
  <c r="AK4294" i="16" s="1"/>
  <c r="AK4293" i="16" a="1"/>
  <c r="AK4293" i="16" s="1"/>
  <c r="AK4292" i="16" a="1"/>
  <c r="AK4292" i="16" s="1"/>
  <c r="AK4291" i="16" a="1"/>
  <c r="AK4291" i="16" s="1"/>
  <c r="AK4290" i="16" a="1"/>
  <c r="AK4290" i="16" s="1"/>
  <c r="AK4289" i="16" a="1"/>
  <c r="AK4289" i="16" s="1"/>
  <c r="AK4287" i="16" a="1"/>
  <c r="AK4287" i="16" s="1"/>
  <c r="AK4285" i="16" a="1"/>
  <c r="AK4285" i="16" s="1"/>
  <c r="AK4283" i="16" a="1"/>
  <c r="AK4283" i="16" s="1"/>
  <c r="AK4281" i="16" a="1"/>
  <c r="AK4281" i="16" s="1"/>
  <c r="AK4279" i="16" a="1"/>
  <c r="AK4279" i="16" s="1"/>
  <c r="AK4277" i="16" a="1"/>
  <c r="AK4277" i="16" s="1"/>
  <c r="AK4275" i="16" a="1"/>
  <c r="AK4275" i="16" s="1"/>
  <c r="AK4273" i="16" a="1"/>
  <c r="AK4273" i="16" s="1"/>
  <c r="AK4271" i="16" a="1"/>
  <c r="AK4271" i="16" s="1"/>
  <c r="AK4269" i="16" a="1"/>
  <c r="AK4269" i="16" s="1"/>
  <c r="AK4267" i="16" a="1"/>
  <c r="AK4267" i="16" s="1"/>
  <c r="AK4265" i="16" a="1"/>
  <c r="AK4265" i="16" s="1"/>
  <c r="AK4263" i="16" a="1"/>
  <c r="AK4263" i="16" s="1"/>
  <c r="AK4261" i="16" a="1"/>
  <c r="AK4261" i="16" s="1"/>
  <c r="AK4259" i="16" a="1"/>
  <c r="AK4259" i="16" s="1"/>
  <c r="AK4257" i="16" a="1"/>
  <c r="AK4257" i="16" s="1"/>
  <c r="AK4255" i="16" a="1"/>
  <c r="AK4255" i="16" s="1"/>
  <c r="AK4253" i="16" a="1"/>
  <c r="AK4253" i="16" s="1"/>
  <c r="AK4251" i="16" a="1"/>
  <c r="AK4251" i="16" s="1"/>
  <c r="AK4249" i="16" a="1"/>
  <c r="AK4249" i="16" s="1"/>
  <c r="AK4247" i="16" a="1"/>
  <c r="AK4247" i="16" s="1"/>
  <c r="AK4245" i="16" a="1"/>
  <c r="AK4245" i="16" s="1"/>
  <c r="AK4243" i="16" a="1"/>
  <c r="AK4243" i="16" s="1"/>
  <c r="AK4241" i="16" a="1"/>
  <c r="AK4241" i="16" s="1"/>
  <c r="AK4239" i="16" a="1"/>
  <c r="AK4239" i="16" s="1"/>
  <c r="AK4237" i="16" a="1"/>
  <c r="AK4237" i="16" s="1"/>
  <c r="AK4235" i="16" a="1"/>
  <c r="AK4235" i="16" s="1"/>
  <c r="AK4233" i="16" a="1"/>
  <c r="AK4233" i="16" s="1"/>
  <c r="AK4231" i="16" a="1"/>
  <c r="AK4231" i="16" s="1"/>
  <c r="AK4229" i="16" a="1"/>
  <c r="AK4229" i="16" s="1"/>
  <c r="AK4227" i="16" a="1"/>
  <c r="AK4227" i="16" s="1"/>
  <c r="AK4225" i="16" a="1"/>
  <c r="AK4225" i="16" s="1"/>
  <c r="AK4223" i="16" a="1"/>
  <c r="AK4223" i="16" s="1"/>
  <c r="AK4221" i="16" a="1"/>
  <c r="AK4221" i="16" s="1"/>
  <c r="AK4219" i="16" a="1"/>
  <c r="AK4219" i="16" s="1"/>
  <c r="AK4217" i="16" a="1"/>
  <c r="AK4217" i="16" s="1"/>
  <c r="AK4215" i="16" a="1"/>
  <c r="AK4215" i="16" s="1"/>
  <c r="AK4213" i="16" a="1"/>
  <c r="AK4213" i="16" s="1"/>
  <c r="AK4211" i="16" a="1"/>
  <c r="AK4211" i="16" s="1"/>
  <c r="AK4209" i="16" a="1"/>
  <c r="AK4209" i="16" s="1"/>
  <c r="AK4207" i="16" a="1"/>
  <c r="AK4207" i="16" s="1"/>
  <c r="AK4205" i="16" a="1"/>
  <c r="AK4205" i="16" s="1"/>
  <c r="AK4203" i="16" a="1"/>
  <c r="AK4203" i="16" s="1"/>
  <c r="AK4201" i="16" a="1"/>
  <c r="AK4201" i="16" s="1"/>
  <c r="AK4199" i="16" a="1"/>
  <c r="AK4199" i="16" s="1"/>
  <c r="AK4197" i="16" a="1"/>
  <c r="AK4197" i="16" s="1"/>
  <c r="AK4195" i="16" a="1"/>
  <c r="AK4195" i="16" s="1"/>
  <c r="AK4193" i="16" a="1"/>
  <c r="AK4193" i="16" s="1"/>
  <c r="AK4191" i="16" a="1"/>
  <c r="AK4191" i="16" s="1"/>
  <c r="AK4189" i="16" a="1"/>
  <c r="AK4189" i="16" s="1"/>
  <c r="AK4187" i="16" a="1"/>
  <c r="AK4187" i="16" s="1"/>
  <c r="AK4185" i="16" a="1"/>
  <c r="AK4185" i="16" s="1"/>
  <c r="AK4183" i="16" a="1"/>
  <c r="AK4183" i="16" s="1"/>
  <c r="AK4181" i="16" a="1"/>
  <c r="AK4181" i="16" s="1"/>
  <c r="AK4179" i="16" a="1"/>
  <c r="AK4179" i="16" s="1"/>
  <c r="AK4177" i="16" a="1"/>
  <c r="AK4177" i="16" s="1"/>
  <c r="AK4175" i="16" a="1"/>
  <c r="AK4175" i="16" s="1"/>
  <c r="AK4173" i="16" a="1"/>
  <c r="AK4173" i="16" s="1"/>
  <c r="AK4171" i="16" a="1"/>
  <c r="AK4171" i="16" s="1"/>
  <c r="AK4169" i="16" a="1"/>
  <c r="AK4169" i="16" s="1"/>
  <c r="AK4167" i="16" a="1"/>
  <c r="AK4167" i="16" s="1"/>
  <c r="AK4165" i="16" a="1"/>
  <c r="AK4165" i="16" s="1"/>
  <c r="AK4163" i="16" a="1"/>
  <c r="AK4163" i="16" s="1"/>
  <c r="AK4161" i="16" a="1"/>
  <c r="AK4161" i="16" s="1"/>
  <c r="AK4159" i="16" a="1"/>
  <c r="AK4159" i="16" s="1"/>
  <c r="AK4157" i="16" a="1"/>
  <c r="AK4157" i="16" s="1"/>
  <c r="AK4288" i="16" a="1"/>
  <c r="AK4288" i="16" s="1"/>
  <c r="AK4286" i="16" a="1"/>
  <c r="AK4286" i="16" s="1"/>
  <c r="AK4284" i="16" a="1"/>
  <c r="AK4284" i="16" s="1"/>
  <c r="AK4280" i="16" a="1"/>
  <c r="AK4280" i="16" s="1"/>
  <c r="AK4276" i="16" a="1"/>
  <c r="AK4276" i="16" s="1"/>
  <c r="AK4272" i="16" a="1"/>
  <c r="AK4272" i="16" s="1"/>
  <c r="AK4268" i="16" a="1"/>
  <c r="AK4268" i="16" s="1"/>
  <c r="AK4264" i="16" a="1"/>
  <c r="AK4264" i="16" s="1"/>
  <c r="AK4260" i="16" a="1"/>
  <c r="AK4260" i="16" s="1"/>
  <c r="AK4256" i="16" a="1"/>
  <c r="AK4256" i="16" s="1"/>
  <c r="AK4252" i="16" a="1"/>
  <c r="AK4252" i="16" s="1"/>
  <c r="AK4248" i="16" a="1"/>
  <c r="AK4248" i="16" s="1"/>
  <c r="AK4244" i="16" a="1"/>
  <c r="AK4244" i="16" s="1"/>
  <c r="AK4240" i="16" a="1"/>
  <c r="AK4240" i="16" s="1"/>
  <c r="AK4236" i="16" a="1"/>
  <c r="AK4236" i="16" s="1"/>
  <c r="AK4232" i="16" a="1"/>
  <c r="AK4232" i="16" s="1"/>
  <c r="AK4228" i="16" a="1"/>
  <c r="AK4228" i="16" s="1"/>
  <c r="AK4224" i="16" a="1"/>
  <c r="AK4224" i="16" s="1"/>
  <c r="AK4220" i="16" a="1"/>
  <c r="AK4220" i="16" s="1"/>
  <c r="AK4216" i="16" a="1"/>
  <c r="AK4216" i="16" s="1"/>
  <c r="AK4212" i="16" a="1"/>
  <c r="AK4212" i="16" s="1"/>
  <c r="AK4208" i="16" a="1"/>
  <c r="AK4208" i="16" s="1"/>
  <c r="AK4204" i="16" a="1"/>
  <c r="AK4204" i="16" s="1"/>
  <c r="AK4200" i="16" a="1"/>
  <c r="AK4200" i="16" s="1"/>
  <c r="AK4196" i="16" a="1"/>
  <c r="AK4196" i="16" s="1"/>
  <c r="AK4192" i="16" a="1"/>
  <c r="AK4192" i="16" s="1"/>
  <c r="AK4188" i="16" a="1"/>
  <c r="AK4188" i="16" s="1"/>
  <c r="AK4184" i="16" a="1"/>
  <c r="AK4184" i="16" s="1"/>
  <c r="AK4180" i="16" a="1"/>
  <c r="AK4180" i="16" s="1"/>
  <c r="AK4176" i="16" a="1"/>
  <c r="AK4176" i="16" s="1"/>
  <c r="AK4172" i="16" a="1"/>
  <c r="AK4172" i="16" s="1"/>
  <c r="AK4168" i="16" a="1"/>
  <c r="AK4168" i="16" s="1"/>
  <c r="AK4164" i="16" a="1"/>
  <c r="AK4164" i="16" s="1"/>
  <c r="AK4160" i="16" a="1"/>
  <c r="AK4160" i="16" s="1"/>
  <c r="AK4154" i="16" a="1"/>
  <c r="AK4154" i="16" s="1"/>
  <c r="AK4152" i="16" a="1"/>
  <c r="AK4152" i="16" s="1"/>
  <c r="AK4150" i="16" a="1"/>
  <c r="AK4150" i="16" s="1"/>
  <c r="AK4148" i="16" a="1"/>
  <c r="AK4148" i="16" s="1"/>
  <c r="AK4147" i="16" a="1"/>
  <c r="AK4147" i="16" s="1"/>
  <c r="AK4146" i="16" a="1"/>
  <c r="AK4146" i="16" s="1"/>
  <c r="AK4145" i="16" a="1"/>
  <c r="AK4145" i="16" s="1"/>
  <c r="AK4144" i="16" a="1"/>
  <c r="AK4144" i="16" s="1"/>
  <c r="AK4143" i="16" a="1"/>
  <c r="AK4143" i="16" s="1"/>
  <c r="AK4142" i="16" a="1"/>
  <c r="AK4142" i="16" s="1"/>
  <c r="AK4141" i="16" a="1"/>
  <c r="AK4141" i="16" s="1"/>
  <c r="AK4140" i="16" a="1"/>
  <c r="AK4140" i="16" s="1"/>
  <c r="AK4139" i="16" a="1"/>
  <c r="AK4139" i="16" s="1"/>
  <c r="AK4138" i="16" a="1"/>
  <c r="AK4138" i="16" s="1"/>
  <c r="AK4137" i="16" a="1"/>
  <c r="AK4137" i="16" s="1"/>
  <c r="AK4136" i="16" a="1"/>
  <c r="AK4136" i="16" s="1"/>
  <c r="AK4135" i="16" a="1"/>
  <c r="AK4135" i="16" s="1"/>
  <c r="AK4134" i="16" a="1"/>
  <c r="AK4134" i="16" s="1"/>
  <c r="AK4133" i="16" a="1"/>
  <c r="AK4133" i="16" s="1"/>
  <c r="AK4132" i="16" a="1"/>
  <c r="AK4132" i="16" s="1"/>
  <c r="AK4131" i="16" a="1"/>
  <c r="AK4131" i="16" s="1"/>
  <c r="AK4130" i="16" a="1"/>
  <c r="AK4130" i="16" s="1"/>
  <c r="AK4129" i="16" a="1"/>
  <c r="AK4129" i="16" s="1"/>
  <c r="AK4128" i="16" a="1"/>
  <c r="AK4128" i="16" s="1"/>
  <c r="AK4127" i="16" a="1"/>
  <c r="AK4127" i="16" s="1"/>
  <c r="AK4126" i="16" a="1"/>
  <c r="AK4126" i="16" s="1"/>
  <c r="AK4125" i="16" a="1"/>
  <c r="AK4125" i="16" s="1"/>
  <c r="AK4124" i="16" a="1"/>
  <c r="AK4124" i="16" s="1"/>
  <c r="AK4123" i="16" a="1"/>
  <c r="AK4123" i="16" s="1"/>
  <c r="AK4122" i="16" a="1"/>
  <c r="AK4122" i="16" s="1"/>
  <c r="AK4121" i="16" a="1"/>
  <c r="AK4121" i="16" s="1"/>
  <c r="AK4120" i="16" a="1"/>
  <c r="AK4120" i="16" s="1"/>
  <c r="AK4119" i="16" a="1"/>
  <c r="AK4119" i="16" s="1"/>
  <c r="AK4118" i="16" a="1"/>
  <c r="AK4118" i="16" s="1"/>
  <c r="AK4117" i="16" a="1"/>
  <c r="AK4117" i="16" s="1"/>
  <c r="AK4116" i="16" a="1"/>
  <c r="AK4116" i="16" s="1"/>
  <c r="AK4115" i="16" a="1"/>
  <c r="AK4115" i="16" s="1"/>
  <c r="AK4114" i="16" a="1"/>
  <c r="AK4114" i="16" s="1"/>
  <c r="AK4113" i="16" a="1"/>
  <c r="AK4113" i="16" s="1"/>
  <c r="AK4112" i="16" a="1"/>
  <c r="AK4112" i="16" s="1"/>
  <c r="AK4111" i="16" a="1"/>
  <c r="AK4111" i="16" s="1"/>
  <c r="AK4110" i="16" a="1"/>
  <c r="AK4110" i="16" s="1"/>
  <c r="AK4109" i="16" a="1"/>
  <c r="AK4109" i="16" s="1"/>
  <c r="AK4108" i="16" a="1"/>
  <c r="AK4108" i="16" s="1"/>
  <c r="AK4107" i="16" a="1"/>
  <c r="AK4107" i="16" s="1"/>
  <c r="AK4106" i="16" a="1"/>
  <c r="AK4106" i="16" s="1"/>
  <c r="AK4105" i="16" a="1"/>
  <c r="AK4105" i="16" s="1"/>
  <c r="AK4104" i="16" a="1"/>
  <c r="AK4104" i="16" s="1"/>
  <c r="AK4103" i="16" a="1"/>
  <c r="AK4103" i="16" s="1"/>
  <c r="AK4102" i="16" a="1"/>
  <c r="AK4102" i="16" s="1"/>
  <c r="AK4101" i="16" a="1"/>
  <c r="AK4101" i="16" s="1"/>
  <c r="AK4100" i="16" a="1"/>
  <c r="AK4100" i="16" s="1"/>
  <c r="AK4099" i="16" a="1"/>
  <c r="AK4099" i="16" s="1"/>
  <c r="AK4098" i="16" a="1"/>
  <c r="AK4098" i="16" s="1"/>
  <c r="AK4097" i="16" a="1"/>
  <c r="AK4097" i="16" s="1"/>
  <c r="AK4096" i="16" a="1"/>
  <c r="AK4096" i="16" s="1"/>
  <c r="AK4095" i="16" a="1"/>
  <c r="AK4095" i="16" s="1"/>
  <c r="AK4094" i="16" a="1"/>
  <c r="AK4094" i="16" s="1"/>
  <c r="AK4093" i="16" a="1"/>
  <c r="AK4093" i="16" s="1"/>
  <c r="AK4092" i="16" a="1"/>
  <c r="AK4092" i="16" s="1"/>
  <c r="AK4091" i="16" a="1"/>
  <c r="AK4091" i="16" s="1"/>
  <c r="AK4090" i="16" a="1"/>
  <c r="AK4090" i="16" s="1"/>
  <c r="AK4089" i="16" a="1"/>
  <c r="AK4089" i="16" s="1"/>
  <c r="AK4088" i="16" a="1"/>
  <c r="AK4088" i="16" s="1"/>
  <c r="AK4087" i="16" a="1"/>
  <c r="AK4087" i="16" s="1"/>
  <c r="AK4086" i="16" a="1"/>
  <c r="AK4086" i="16" s="1"/>
  <c r="AK4085" i="16" a="1"/>
  <c r="AK4085" i="16" s="1"/>
  <c r="AK4084" i="16" a="1"/>
  <c r="AK4084" i="16" s="1"/>
  <c r="AK4083" i="16" a="1"/>
  <c r="AK4083" i="16" s="1"/>
  <c r="AK4082" i="16" a="1"/>
  <c r="AK4082" i="16" s="1"/>
  <c r="AK4081" i="16" a="1"/>
  <c r="AK4081" i="16" s="1"/>
  <c r="AK4080" i="16" a="1"/>
  <c r="AK4080" i="16" s="1"/>
  <c r="AK4079" i="16" a="1"/>
  <c r="AK4079" i="16" s="1"/>
  <c r="AK4078" i="16" a="1"/>
  <c r="AK4078" i="16" s="1"/>
  <c r="AK4077" i="16" a="1"/>
  <c r="AK4077" i="16" s="1"/>
  <c r="AK4076" i="16" a="1"/>
  <c r="AK4076" i="16" s="1"/>
  <c r="AK4075" i="16" a="1"/>
  <c r="AK4075" i="16" s="1"/>
  <c r="AK4074" i="16" a="1"/>
  <c r="AK4074" i="16" s="1"/>
  <c r="AK4073" i="16" a="1"/>
  <c r="AK4073" i="16" s="1"/>
  <c r="AK4072" i="16" a="1"/>
  <c r="AK4072" i="16" s="1"/>
  <c r="AK4071" i="16" a="1"/>
  <c r="AK4071" i="16" s="1"/>
  <c r="AK4070" i="16" a="1"/>
  <c r="AK4070" i="16" s="1"/>
  <c r="AK4069" i="16" a="1"/>
  <c r="AK4069" i="16" s="1"/>
  <c r="AK4068" i="16" a="1"/>
  <c r="AK4068" i="16" s="1"/>
  <c r="AK4067" i="16" a="1"/>
  <c r="AK4067" i="16" s="1"/>
  <c r="AK4066" i="16" a="1"/>
  <c r="AK4066" i="16" s="1"/>
  <c r="AK4065" i="16" a="1"/>
  <c r="AK4065" i="16" s="1"/>
  <c r="AK4064" i="16" a="1"/>
  <c r="AK4064" i="16" s="1"/>
  <c r="AK4063" i="16" a="1"/>
  <c r="AK4063" i="16" s="1"/>
  <c r="AK4062" i="16" a="1"/>
  <c r="AK4062" i="16" s="1"/>
  <c r="AK4061" i="16" a="1"/>
  <c r="AK4061" i="16" s="1"/>
  <c r="AK4060" i="16" a="1"/>
  <c r="AK4060" i="16" s="1"/>
  <c r="AK4059" i="16" a="1"/>
  <c r="AK4059" i="16" s="1"/>
  <c r="AK4058" i="16" a="1"/>
  <c r="AK4058" i="16" s="1"/>
  <c r="AK4057" i="16" a="1"/>
  <c r="AK4057" i="16" s="1"/>
  <c r="AK4056" i="16" a="1"/>
  <c r="AK4056" i="16" s="1"/>
  <c r="AK4055" i="16" a="1"/>
  <c r="AK4055" i="16" s="1"/>
  <c r="AK4054" i="16" a="1"/>
  <c r="AK4054" i="16" s="1"/>
  <c r="AK4053" i="16" a="1"/>
  <c r="AK4053" i="16" s="1"/>
  <c r="AK4052" i="16" a="1"/>
  <c r="AK4052" i="16" s="1"/>
  <c r="AK4051" i="16" a="1"/>
  <c r="AK4051" i="16" s="1"/>
  <c r="AK4050" i="16" a="1"/>
  <c r="AK4050" i="16" s="1"/>
  <c r="AK4049" i="16" a="1"/>
  <c r="AK4049" i="16" s="1"/>
  <c r="AK4048" i="16" a="1"/>
  <c r="AK4048" i="16" s="1"/>
  <c r="AK4047" i="16" a="1"/>
  <c r="AK4047" i="16" s="1"/>
  <c r="AK4046" i="16" a="1"/>
  <c r="AK4046" i="16" s="1"/>
  <c r="AK4045" i="16" a="1"/>
  <c r="AK4045" i="16" s="1"/>
  <c r="AK4044" i="16" a="1"/>
  <c r="AK4044" i="16" s="1"/>
  <c r="AK4043" i="16" a="1"/>
  <c r="AK4043" i="16" s="1"/>
  <c r="AK4042" i="16" a="1"/>
  <c r="AK4042" i="16" s="1"/>
  <c r="AK4041" i="16" a="1"/>
  <c r="AK4041" i="16" s="1"/>
  <c r="AK4040" i="16" a="1"/>
  <c r="AK4040" i="16" s="1"/>
  <c r="AK4039" i="16" a="1"/>
  <c r="AK4039" i="16" s="1"/>
  <c r="AK4038" i="16" a="1"/>
  <c r="AK4038" i="16" s="1"/>
  <c r="AK4037" i="16" a="1"/>
  <c r="AK4037" i="16" s="1"/>
  <c r="AK4036" i="16" a="1"/>
  <c r="AK4036" i="16" s="1"/>
  <c r="AK4035" i="16" a="1"/>
  <c r="AK4035" i="16" s="1"/>
  <c r="AK4034" i="16" a="1"/>
  <c r="AK4034" i="16" s="1"/>
  <c r="AK4033" i="16" a="1"/>
  <c r="AK4033" i="16" s="1"/>
  <c r="AK4032" i="16" a="1"/>
  <c r="AK4032" i="16" s="1"/>
  <c r="AK4031" i="16" a="1"/>
  <c r="AK4031" i="16" s="1"/>
  <c r="AK4030" i="16" a="1"/>
  <c r="AK4030" i="16" s="1"/>
  <c r="AK4029" i="16" a="1"/>
  <c r="AK4029" i="16" s="1"/>
  <c r="AK4028" i="16" a="1"/>
  <c r="AK4028" i="16" s="1"/>
  <c r="AK4027" i="16" a="1"/>
  <c r="AK4027" i="16" s="1"/>
  <c r="AK4026" i="16" a="1"/>
  <c r="AK4026" i="16" s="1"/>
  <c r="AK4025" i="16" a="1"/>
  <c r="AK4025" i="16" s="1"/>
  <c r="AK4024" i="16" a="1"/>
  <c r="AK4024" i="16" s="1"/>
  <c r="AK4023" i="16" a="1"/>
  <c r="AK4023" i="16" s="1"/>
  <c r="AK4022" i="16" a="1"/>
  <c r="AK4022" i="16" s="1"/>
  <c r="AK4021" i="16" a="1"/>
  <c r="AK4021" i="16" s="1"/>
  <c r="AK4020" i="16" a="1"/>
  <c r="AK4020" i="16" s="1"/>
  <c r="AK4019" i="16" a="1"/>
  <c r="AK4019" i="16" s="1"/>
  <c r="AK4018" i="16" a="1"/>
  <c r="AK4018" i="16" s="1"/>
  <c r="AK4017" i="16" a="1"/>
  <c r="AK4017" i="16" s="1"/>
  <c r="AK4016" i="16" a="1"/>
  <c r="AK4016" i="16" s="1"/>
  <c r="AK4015" i="16" a="1"/>
  <c r="AK4015" i="16" s="1"/>
  <c r="AK4014" i="16" a="1"/>
  <c r="AK4014" i="16" s="1"/>
  <c r="AK4013" i="16" a="1"/>
  <c r="AK4013" i="16" s="1"/>
  <c r="AK4012" i="16" a="1"/>
  <c r="AK4012" i="16" s="1"/>
  <c r="AK4011" i="16" a="1"/>
  <c r="AK4011" i="16" s="1"/>
  <c r="AK4010" i="16" a="1"/>
  <c r="AK4010" i="16" s="1"/>
  <c r="AK4009" i="16" a="1"/>
  <c r="AK4009" i="16" s="1"/>
  <c r="AK4008" i="16" a="1"/>
  <c r="AK4008" i="16" s="1"/>
  <c r="AK4007" i="16" a="1"/>
  <c r="AK4007" i="16" s="1"/>
  <c r="AK4006" i="16" a="1"/>
  <c r="AK4006" i="16" s="1"/>
  <c r="AK4005" i="16" a="1"/>
  <c r="AK4005" i="16" s="1"/>
  <c r="AK4004" i="16" a="1"/>
  <c r="AK4004" i="16" s="1"/>
  <c r="AK4003" i="16" a="1"/>
  <c r="AK4003" i="16" s="1"/>
  <c r="AK4002" i="16" a="1"/>
  <c r="AK4002" i="16" s="1"/>
  <c r="AK4001" i="16" a="1"/>
  <c r="AK4001" i="16" s="1"/>
  <c r="AK4000" i="16" a="1"/>
  <c r="AK4000" i="16" s="1"/>
  <c r="AK3999" i="16" a="1"/>
  <c r="AK3999" i="16" s="1"/>
  <c r="AK3998" i="16" a="1"/>
  <c r="AK3998" i="16" s="1"/>
  <c r="AK3997" i="16" a="1"/>
  <c r="AK3997" i="16" s="1"/>
  <c r="AK3996" i="16" a="1"/>
  <c r="AK3996" i="16" s="1"/>
  <c r="AK3995" i="16" a="1"/>
  <c r="AK3995" i="16" s="1"/>
  <c r="AK3994" i="16" a="1"/>
  <c r="AK3994" i="16" s="1"/>
  <c r="AK3993" i="16" a="1"/>
  <c r="AK3993" i="16" s="1"/>
  <c r="AK3992" i="16" a="1"/>
  <c r="AK3992" i="16" s="1"/>
  <c r="AK3991" i="16" a="1"/>
  <c r="AK3991" i="16" s="1"/>
  <c r="AK3990" i="16" a="1"/>
  <c r="AK3990" i="16" s="1"/>
  <c r="AK3989" i="16" a="1"/>
  <c r="AK3989" i="16" s="1"/>
  <c r="AK3988" i="16" a="1"/>
  <c r="AK3988" i="16" s="1"/>
  <c r="AK3987" i="16" a="1"/>
  <c r="AK3987" i="16" s="1"/>
  <c r="AK3986" i="16" a="1"/>
  <c r="AK3986" i="16" s="1"/>
  <c r="AK3985" i="16" a="1"/>
  <c r="AK3985" i="16" s="1"/>
  <c r="AK3984" i="16" a="1"/>
  <c r="AK3984" i="16" s="1"/>
  <c r="AK3983" i="16" a="1"/>
  <c r="AK3983" i="16" s="1"/>
  <c r="AK3982" i="16" a="1"/>
  <c r="AK3982" i="16" s="1"/>
  <c r="AK3981" i="16" a="1"/>
  <c r="AK3981" i="16" s="1"/>
  <c r="AK3980" i="16" a="1"/>
  <c r="AK3980" i="16" s="1"/>
  <c r="AK3979" i="16" a="1"/>
  <c r="AK3979" i="16" s="1"/>
  <c r="AK3978" i="16" a="1"/>
  <c r="AK3978" i="16" s="1"/>
  <c r="AK3977" i="16" a="1"/>
  <c r="AK3977" i="16" s="1"/>
  <c r="AK3976" i="16" a="1"/>
  <c r="AK3976" i="16" s="1"/>
  <c r="AK3975" i="16" a="1"/>
  <c r="AK3975" i="16" s="1"/>
  <c r="AK3974" i="16" a="1"/>
  <c r="AK3974" i="16" s="1"/>
  <c r="AK3973" i="16" a="1"/>
  <c r="AK3973" i="16" s="1"/>
  <c r="AK3972" i="16" a="1"/>
  <c r="AK3972" i="16" s="1"/>
  <c r="AK3971" i="16" a="1"/>
  <c r="AK3971" i="16" s="1"/>
  <c r="AK3970" i="16" a="1"/>
  <c r="AK3970" i="16" s="1"/>
  <c r="AK3969" i="16" a="1"/>
  <c r="AK3969" i="16" s="1"/>
  <c r="AK3968" i="16" a="1"/>
  <c r="AK3968" i="16" s="1"/>
  <c r="AK3967" i="16" a="1"/>
  <c r="AK3967" i="16" s="1"/>
  <c r="AK3966" i="16" a="1"/>
  <c r="AK3966" i="16" s="1"/>
  <c r="AK3965" i="16" a="1"/>
  <c r="AK3965" i="16" s="1"/>
  <c r="AK3964" i="16" a="1"/>
  <c r="AK3964" i="16" s="1"/>
  <c r="AK3963" i="16" a="1"/>
  <c r="AK3963" i="16" s="1"/>
  <c r="AK3962" i="16" a="1"/>
  <c r="AK3962" i="16" s="1"/>
  <c r="AK3961" i="16" a="1"/>
  <c r="AK3961" i="16" s="1"/>
  <c r="AK3960" i="16" a="1"/>
  <c r="AK3960" i="16" s="1"/>
  <c r="AK3959" i="16" a="1"/>
  <c r="AK3959" i="16" s="1"/>
  <c r="AK3958" i="16" a="1"/>
  <c r="AK3958" i="16" s="1"/>
  <c r="AK3957" i="16" a="1"/>
  <c r="AK3957" i="16" s="1"/>
  <c r="AK3956" i="16" a="1"/>
  <c r="AK3956" i="16" s="1"/>
  <c r="AK3955" i="16" a="1"/>
  <c r="AK3955" i="16" s="1"/>
  <c r="AK3954" i="16" a="1"/>
  <c r="AK3954" i="16" s="1"/>
  <c r="AK3953" i="16" a="1"/>
  <c r="AK3953" i="16" s="1"/>
  <c r="AK3952" i="16" a="1"/>
  <c r="AK3952" i="16" s="1"/>
  <c r="AK3951" i="16" a="1"/>
  <c r="AK3951" i="16" s="1"/>
  <c r="AK3950" i="16" a="1"/>
  <c r="AK3950" i="16" s="1"/>
  <c r="AK3949" i="16" a="1"/>
  <c r="AK3949" i="16" s="1"/>
  <c r="AK3948" i="16" a="1"/>
  <c r="AK3948" i="16" s="1"/>
  <c r="AK3947" i="16" a="1"/>
  <c r="AK3947" i="16" s="1"/>
  <c r="AK3946" i="16" a="1"/>
  <c r="AK3946" i="16" s="1"/>
  <c r="AK3945" i="16" a="1"/>
  <c r="AK3945" i="16" s="1"/>
  <c r="AK3944" i="16" a="1"/>
  <c r="AK3944" i="16" s="1"/>
  <c r="AK3943" i="16" a="1"/>
  <c r="AK3943" i="16" s="1"/>
  <c r="AK3942" i="16" a="1"/>
  <c r="AK3942" i="16" s="1"/>
  <c r="AK3941" i="16" a="1"/>
  <c r="AK3941" i="16" s="1"/>
  <c r="AK3940" i="16" a="1"/>
  <c r="AK3940" i="16" s="1"/>
  <c r="AK3939" i="16" a="1"/>
  <c r="AK3939" i="16" s="1"/>
  <c r="AK3938" i="16" a="1"/>
  <c r="AK3938" i="16" s="1"/>
  <c r="AK3937" i="16" a="1"/>
  <c r="AK3937" i="16" s="1"/>
  <c r="AK3936" i="16" a="1"/>
  <c r="AK3936" i="16" s="1"/>
  <c r="AK3935" i="16" a="1"/>
  <c r="AK3935" i="16" s="1"/>
  <c r="AK3934" i="16" a="1"/>
  <c r="AK3934" i="16" s="1"/>
  <c r="AK3933" i="16" a="1"/>
  <c r="AK3933" i="16" s="1"/>
  <c r="AK3932" i="16" a="1"/>
  <c r="AK3932" i="16" s="1"/>
  <c r="AK3931" i="16" a="1"/>
  <c r="AK3931" i="16" s="1"/>
  <c r="AK3930" i="16" a="1"/>
  <c r="AK3930" i="16" s="1"/>
  <c r="AK3929" i="16" a="1"/>
  <c r="AK3929" i="16" s="1"/>
  <c r="AK3928" i="16" a="1"/>
  <c r="AK3928" i="16" s="1"/>
  <c r="AK3927" i="16" a="1"/>
  <c r="AK3927" i="16" s="1"/>
  <c r="AK3926" i="16" a="1"/>
  <c r="AK3926" i="16" s="1"/>
  <c r="AK3925" i="16" a="1"/>
  <c r="AK3925" i="16" s="1"/>
  <c r="AK3924" i="16" a="1"/>
  <c r="AK3924" i="16" s="1"/>
  <c r="AK3923" i="16" a="1"/>
  <c r="AK3923" i="16" s="1"/>
  <c r="AK3922" i="16" a="1"/>
  <c r="AK3922" i="16" s="1"/>
  <c r="AK3921" i="16" a="1"/>
  <c r="AK3921" i="16" s="1"/>
  <c r="AK3920" i="16" a="1"/>
  <c r="AK3920" i="16" s="1"/>
  <c r="AK3919" i="16" a="1"/>
  <c r="AK3919" i="16" s="1"/>
  <c r="AK3918" i="16" a="1"/>
  <c r="AK3918" i="16" s="1"/>
  <c r="AK3917" i="16" a="1"/>
  <c r="AK3917" i="16" s="1"/>
  <c r="AK3916" i="16" a="1"/>
  <c r="AK3916" i="16" s="1"/>
  <c r="AK3915" i="16" a="1"/>
  <c r="AK3915" i="16" s="1"/>
  <c r="AK3914" i="16" a="1"/>
  <c r="AK3914" i="16" s="1"/>
  <c r="AK3913" i="16" a="1"/>
  <c r="AK3913" i="16" s="1"/>
  <c r="AK3912" i="16" a="1"/>
  <c r="AK3912" i="16" s="1"/>
  <c r="AK3911" i="16" a="1"/>
  <c r="AK3911" i="16" s="1"/>
  <c r="AK3910" i="16" a="1"/>
  <c r="AK3910" i="16" s="1"/>
  <c r="AK3909" i="16" a="1"/>
  <c r="AK3909" i="16" s="1"/>
  <c r="AK3908" i="16" a="1"/>
  <c r="AK3908" i="16" s="1"/>
  <c r="AK3907" i="16" a="1"/>
  <c r="AK3907" i="16" s="1"/>
  <c r="AK3906" i="16" a="1"/>
  <c r="AK3906" i="16" s="1"/>
  <c r="AK3905" i="16" a="1"/>
  <c r="AK3905" i="16" s="1"/>
  <c r="AK3904" i="16" a="1"/>
  <c r="AK3904" i="16" s="1"/>
  <c r="AK3903" i="16" a="1"/>
  <c r="AK3903" i="16" s="1"/>
  <c r="AK3902" i="16" a="1"/>
  <c r="AK3902" i="16" s="1"/>
  <c r="AK3901" i="16" a="1"/>
  <c r="AK3901" i="16" s="1"/>
  <c r="AK3900" i="16" a="1"/>
  <c r="AK3900" i="16" s="1"/>
  <c r="AK3899" i="16" a="1"/>
  <c r="AK3899" i="16" s="1"/>
  <c r="AK3898" i="16" a="1"/>
  <c r="AK3898" i="16" s="1"/>
  <c r="AK3897" i="16" a="1"/>
  <c r="AK3897" i="16" s="1"/>
  <c r="AK3896" i="16" a="1"/>
  <c r="AK3896" i="16" s="1"/>
  <c r="AK3895" i="16" a="1"/>
  <c r="AK3895" i="16" s="1"/>
  <c r="AK3894" i="16" a="1"/>
  <c r="AK3894" i="16" s="1"/>
  <c r="AK3893" i="16" a="1"/>
  <c r="AK3893" i="16" s="1"/>
  <c r="AK3892" i="16" a="1"/>
  <c r="AK3892" i="16" s="1"/>
  <c r="AK3891" i="16" a="1"/>
  <c r="AK3891" i="16" s="1"/>
  <c r="AK3890" i="16" a="1"/>
  <c r="AK3890" i="16" s="1"/>
  <c r="AK3889" i="16" a="1"/>
  <c r="AK3889" i="16" s="1"/>
  <c r="AK3888" i="16" a="1"/>
  <c r="AK3888" i="16" s="1"/>
  <c r="AK3887" i="16" a="1"/>
  <c r="AK3887" i="16" s="1"/>
  <c r="AK3886" i="16" a="1"/>
  <c r="AK3886" i="16" s="1"/>
  <c r="AK3885" i="16" a="1"/>
  <c r="AK3885" i="16" s="1"/>
  <c r="AK3884" i="16" a="1"/>
  <c r="AK3884" i="16" s="1"/>
  <c r="AK3883" i="16" a="1"/>
  <c r="AK3883" i="16" s="1"/>
  <c r="AK3882" i="16" a="1"/>
  <c r="AK3882" i="16" s="1"/>
  <c r="AK3881" i="16" a="1"/>
  <c r="AK3881" i="16" s="1"/>
  <c r="AK3880" i="16" a="1"/>
  <c r="AK3880" i="16" s="1"/>
  <c r="AK3879" i="16" a="1"/>
  <c r="AK3879" i="16" s="1"/>
  <c r="AK3878" i="16" a="1"/>
  <c r="AK3878" i="16" s="1"/>
  <c r="AK3877" i="16" a="1"/>
  <c r="AK3877" i="16" s="1"/>
  <c r="AK3876" i="16" a="1"/>
  <c r="AK3876" i="16" s="1"/>
  <c r="AK4282" i="16" a="1"/>
  <c r="AK4282" i="16" s="1"/>
  <c r="AK4278" i="16" a="1"/>
  <c r="AK4278" i="16" s="1"/>
  <c r="AK4274" i="16" a="1"/>
  <c r="AK4274" i="16" s="1"/>
  <c r="AK4270" i="16" a="1"/>
  <c r="AK4270" i="16" s="1"/>
  <c r="AK4266" i="16" a="1"/>
  <c r="AK4266" i="16" s="1"/>
  <c r="AK4262" i="16" a="1"/>
  <c r="AK4262" i="16" s="1"/>
  <c r="AK4258" i="16" a="1"/>
  <c r="AK4258" i="16" s="1"/>
  <c r="AK4254" i="16" a="1"/>
  <c r="AK4254" i="16" s="1"/>
  <c r="AK4250" i="16" a="1"/>
  <c r="AK4250" i="16" s="1"/>
  <c r="AK4246" i="16" a="1"/>
  <c r="AK4246" i="16" s="1"/>
  <c r="AK4242" i="16" a="1"/>
  <c r="AK4242" i="16" s="1"/>
  <c r="AK4238" i="16" a="1"/>
  <c r="AK4238" i="16" s="1"/>
  <c r="AK4234" i="16" a="1"/>
  <c r="AK4234" i="16" s="1"/>
  <c r="AK4230" i="16" a="1"/>
  <c r="AK4230" i="16" s="1"/>
  <c r="AK4226" i="16" a="1"/>
  <c r="AK4226" i="16" s="1"/>
  <c r="AK4222" i="16" a="1"/>
  <c r="AK4222" i="16" s="1"/>
  <c r="AK4218" i="16" a="1"/>
  <c r="AK4218" i="16" s="1"/>
  <c r="AK4214" i="16" a="1"/>
  <c r="AK4214" i="16" s="1"/>
  <c r="AK4210" i="16" a="1"/>
  <c r="AK4210" i="16" s="1"/>
  <c r="AK4206" i="16" a="1"/>
  <c r="AK4206" i="16" s="1"/>
  <c r="AK4202" i="16" a="1"/>
  <c r="AK4202" i="16" s="1"/>
  <c r="AK4198" i="16" a="1"/>
  <c r="AK4198" i="16" s="1"/>
  <c r="AK4194" i="16" a="1"/>
  <c r="AK4194" i="16" s="1"/>
  <c r="AK4190" i="16" a="1"/>
  <c r="AK4190" i="16" s="1"/>
  <c r="AK4186" i="16" a="1"/>
  <c r="AK4186" i="16" s="1"/>
  <c r="AK4182" i="16" a="1"/>
  <c r="AK4182" i="16" s="1"/>
  <c r="AK4178" i="16" a="1"/>
  <c r="AK4178" i="16" s="1"/>
  <c r="AK4174" i="16" a="1"/>
  <c r="AK4174" i="16" s="1"/>
  <c r="AK4170" i="16" a="1"/>
  <c r="AK4170" i="16" s="1"/>
  <c r="AK4166" i="16" a="1"/>
  <c r="AK4166" i="16" s="1"/>
  <c r="AK4162" i="16" a="1"/>
  <c r="AK4162" i="16" s="1"/>
  <c r="AK4158" i="16" a="1"/>
  <c r="AK4158" i="16" s="1"/>
  <c r="AK4153" i="16" a="1"/>
  <c r="AK4153" i="16" s="1"/>
  <c r="AK4151" i="16" a="1"/>
  <c r="AK4151" i="16" s="1"/>
  <c r="AK4149" i="16" a="1"/>
  <c r="AK4149" i="16" s="1"/>
  <c r="AK3875" i="16" a="1"/>
  <c r="AK3875" i="16" s="1"/>
  <c r="AK3874" i="16" a="1"/>
  <c r="AK3874" i="16" s="1"/>
  <c r="AK3873" i="16" a="1"/>
  <c r="AK3873" i="16" s="1"/>
  <c r="AK3872" i="16" a="1"/>
  <c r="AK3872" i="16" s="1"/>
  <c r="AK3871" i="16" a="1"/>
  <c r="AK3871" i="16" s="1"/>
  <c r="AK3870" i="16" a="1"/>
  <c r="AK3870" i="16" s="1"/>
  <c r="AK3869" i="16" a="1"/>
  <c r="AK3869" i="16" s="1"/>
  <c r="AK3868" i="16" a="1"/>
  <c r="AK3868" i="16" s="1"/>
  <c r="AK3867" i="16" a="1"/>
  <c r="AK3867" i="16" s="1"/>
  <c r="AK3866" i="16" a="1"/>
  <c r="AK3866" i="16" s="1"/>
  <c r="AK3865" i="16" a="1"/>
  <c r="AK3865" i="16" s="1"/>
  <c r="AK3864" i="16" a="1"/>
  <c r="AK3864" i="16" s="1"/>
  <c r="AK3863" i="16" a="1"/>
  <c r="AK3863" i="16" s="1"/>
  <c r="AK3862" i="16" a="1"/>
  <c r="AK3862" i="16" s="1"/>
  <c r="AK3861" i="16" a="1"/>
  <c r="AK3861" i="16" s="1"/>
  <c r="AK3860" i="16" a="1"/>
  <c r="AK3860" i="16" s="1"/>
  <c r="AK3859" i="16" a="1"/>
  <c r="AK3859" i="16" s="1"/>
  <c r="AK3858" i="16" a="1"/>
  <c r="AK3858" i="16" s="1"/>
  <c r="AK3857" i="16" a="1"/>
  <c r="AK3857" i="16" s="1"/>
  <c r="AK3856" i="16" a="1"/>
  <c r="AK3856" i="16" s="1"/>
  <c r="AK3855" i="16" a="1"/>
  <c r="AK3855" i="16" s="1"/>
  <c r="AK3854" i="16" a="1"/>
  <c r="AK3854" i="16" s="1"/>
  <c r="AK3853" i="16" a="1"/>
  <c r="AK3853" i="16" s="1"/>
  <c r="AK3852" i="16" a="1"/>
  <c r="AK3852" i="16" s="1"/>
  <c r="AK3851" i="16" a="1"/>
  <c r="AK3851" i="16" s="1"/>
  <c r="AK3850" i="16" a="1"/>
  <c r="AK3850" i="16" s="1"/>
  <c r="AK3849" i="16" a="1"/>
  <c r="AK3849" i="16" s="1"/>
  <c r="AK3848" i="16" a="1"/>
  <c r="AK3848" i="16" s="1"/>
  <c r="AK3847" i="16" a="1"/>
  <c r="AK3847" i="16" s="1"/>
  <c r="AK3846" i="16" a="1"/>
  <c r="AK3846" i="16" s="1"/>
  <c r="AK3845" i="16" a="1"/>
  <c r="AK3845" i="16" s="1"/>
  <c r="AK3844" i="16" a="1"/>
  <c r="AK3844" i="16" s="1"/>
  <c r="AK3843" i="16" a="1"/>
  <c r="AK3843" i="16" s="1"/>
  <c r="AK3842" i="16" a="1"/>
  <c r="AK3842" i="16" s="1"/>
  <c r="AK3841" i="16" a="1"/>
  <c r="AK3841" i="16" s="1"/>
  <c r="AK3840" i="16" a="1"/>
  <c r="AK3840" i="16" s="1"/>
  <c r="AK3839" i="16" a="1"/>
  <c r="AK3839" i="16" s="1"/>
  <c r="AK3838" i="16" a="1"/>
  <c r="AK3838" i="16" s="1"/>
  <c r="AK3837" i="16" a="1"/>
  <c r="AK3837" i="16" s="1"/>
  <c r="AK3836" i="16" a="1"/>
  <c r="AK3836" i="16" s="1"/>
  <c r="AK3835" i="16" a="1"/>
  <c r="AK3835" i="16" s="1"/>
  <c r="AK3834" i="16" a="1"/>
  <c r="AK3834" i="16" s="1"/>
  <c r="AK3833" i="16" a="1"/>
  <c r="AK3833" i="16" s="1"/>
  <c r="AK3832" i="16" a="1"/>
  <c r="AK3832" i="16" s="1"/>
  <c r="AK3831" i="16" a="1"/>
  <c r="AK3831" i="16" s="1"/>
  <c r="AK3830" i="16" a="1"/>
  <c r="AK3830" i="16" s="1"/>
  <c r="AK3829" i="16" a="1"/>
  <c r="AK3829" i="16" s="1"/>
  <c r="AK3828" i="16" a="1"/>
  <c r="AK3828" i="16" s="1"/>
  <c r="AK3827" i="16" a="1"/>
  <c r="AK3827" i="16" s="1"/>
  <c r="AK3826" i="16" a="1"/>
  <c r="AK3826" i="16" s="1"/>
  <c r="AK3825" i="16" a="1"/>
  <c r="AK3825" i="16" s="1"/>
  <c r="AK3824" i="16" a="1"/>
  <c r="AK3824" i="16" s="1"/>
  <c r="AK3823" i="16" a="1"/>
  <c r="AK3823" i="16" s="1"/>
  <c r="AK3822" i="16" a="1"/>
  <c r="AK3822" i="16" s="1"/>
  <c r="AK3821" i="16" a="1"/>
  <c r="AK3821" i="16" s="1"/>
  <c r="AK3820" i="16" a="1"/>
  <c r="AK3820" i="16" s="1"/>
  <c r="AK3819" i="16" a="1"/>
  <c r="AK3819" i="16" s="1"/>
  <c r="AK3818" i="16" a="1"/>
  <c r="AK3818" i="16" s="1"/>
  <c r="AK3817" i="16" a="1"/>
  <c r="AK3817" i="16" s="1"/>
  <c r="AK3816" i="16" a="1"/>
  <c r="AK3816" i="16" s="1"/>
  <c r="AK3815" i="16" a="1"/>
  <c r="AK3815" i="16" s="1"/>
  <c r="AK3814" i="16" a="1"/>
  <c r="AK3814" i="16" s="1"/>
  <c r="AK3813" i="16" a="1"/>
  <c r="AK3813" i="16" s="1"/>
  <c r="AK3812" i="16" a="1"/>
  <c r="AK3812" i="16" s="1"/>
  <c r="AK3811" i="16" a="1"/>
  <c r="AK3811" i="16" s="1"/>
  <c r="AK3810" i="16" a="1"/>
  <c r="AK3810" i="16" s="1"/>
  <c r="AK3809" i="16" a="1"/>
  <c r="AK3809" i="16" s="1"/>
  <c r="AK3808" i="16" a="1"/>
  <c r="AK3808" i="16" s="1"/>
  <c r="AK3807" i="16" a="1"/>
  <c r="AK3807" i="16" s="1"/>
  <c r="AK3806" i="16" a="1"/>
  <c r="AK3806" i="16" s="1"/>
  <c r="AK3805" i="16" a="1"/>
  <c r="AK3805" i="16" s="1"/>
  <c r="AK3804" i="16" a="1"/>
  <c r="AK3804" i="16" s="1"/>
  <c r="AK3803" i="16" a="1"/>
  <c r="AK3803" i="16" s="1"/>
  <c r="AK3802" i="16" a="1"/>
  <c r="AK3802" i="16" s="1"/>
  <c r="AK3801" i="16" a="1"/>
  <c r="AK3801" i="16" s="1"/>
  <c r="AK3800" i="16" a="1"/>
  <c r="AK3800" i="16" s="1"/>
  <c r="AK3799" i="16" a="1"/>
  <c r="AK3799" i="16" s="1"/>
  <c r="AK3798" i="16" a="1"/>
  <c r="AK3798" i="16" s="1"/>
  <c r="AK3797" i="16" a="1"/>
  <c r="AK3797" i="16" s="1"/>
  <c r="AK3796" i="16" a="1"/>
  <c r="AK3796" i="16" s="1"/>
  <c r="AK3795" i="16" a="1"/>
  <c r="AK3795" i="16" s="1"/>
  <c r="AK3794" i="16" a="1"/>
  <c r="AK3794" i="16" s="1"/>
  <c r="AK3793" i="16" a="1"/>
  <c r="AK3793" i="16" s="1"/>
  <c r="AK3792" i="16" a="1"/>
  <c r="AK3792" i="16" s="1"/>
  <c r="AK3791" i="16" a="1"/>
  <c r="AK3791" i="16" s="1"/>
  <c r="AK3790" i="16" a="1"/>
  <c r="AK3790" i="16" s="1"/>
  <c r="AK3789" i="16" a="1"/>
  <c r="AK3789" i="16" s="1"/>
  <c r="AK3788" i="16" a="1"/>
  <c r="AK3788" i="16" s="1"/>
  <c r="AK3787" i="16" a="1"/>
  <c r="AK3787" i="16" s="1"/>
  <c r="AK3786" i="16" a="1"/>
  <c r="AK3786" i="16" s="1"/>
  <c r="AK3785" i="16" a="1"/>
  <c r="AK3785" i="16" s="1"/>
  <c r="AK3784" i="16" a="1"/>
  <c r="AK3784" i="16" s="1"/>
  <c r="AK3783" i="16" a="1"/>
  <c r="AK3783" i="16" s="1"/>
  <c r="AK3782" i="16" a="1"/>
  <c r="AK3782" i="16" s="1"/>
  <c r="AK3781" i="16" a="1"/>
  <c r="AK3781" i="16" s="1"/>
  <c r="AK3780" i="16" a="1"/>
  <c r="AK3780" i="16" s="1"/>
  <c r="AK3779" i="16" a="1"/>
  <c r="AK3779" i="16" s="1"/>
  <c r="AK3778" i="16" a="1"/>
  <c r="AK3778" i="16" s="1"/>
  <c r="AK3777" i="16" a="1"/>
  <c r="AK3777" i="16" s="1"/>
  <c r="AK3776" i="16" a="1"/>
  <c r="AK3776" i="16" s="1"/>
  <c r="AK3775" i="16" a="1"/>
  <c r="AK3775" i="16" s="1"/>
  <c r="AK3774" i="16" a="1"/>
  <c r="AK3774" i="16" s="1"/>
  <c r="AK3773" i="16" a="1"/>
  <c r="AK3773" i="16" s="1"/>
  <c r="AK3772" i="16" a="1"/>
  <c r="AK3772" i="16" s="1"/>
  <c r="AK3771" i="16" a="1"/>
  <c r="AK3771" i="16" s="1"/>
  <c r="AK3770" i="16" a="1"/>
  <c r="AK3770" i="16" s="1"/>
  <c r="AK3769" i="16" a="1"/>
  <c r="AK3769" i="16" s="1"/>
  <c r="AK3768" i="16" a="1"/>
  <c r="AK3768" i="16" s="1"/>
  <c r="AK3767" i="16" a="1"/>
  <c r="AK3767" i="16" s="1"/>
  <c r="AK3766" i="16" a="1"/>
  <c r="AK3766" i="16" s="1"/>
  <c r="AK3765" i="16" a="1"/>
  <c r="AK3765" i="16" s="1"/>
  <c r="AK3764" i="16" a="1"/>
  <c r="AK3764" i="16" s="1"/>
  <c r="AK3763" i="16" a="1"/>
  <c r="AK3763" i="16" s="1"/>
  <c r="AK3762" i="16" a="1"/>
  <c r="AK3762" i="16" s="1"/>
  <c r="AK3761" i="16" a="1"/>
  <c r="AK3761" i="16" s="1"/>
  <c r="AK3760" i="16" a="1"/>
  <c r="AK3760" i="16" s="1"/>
  <c r="AK3759" i="16" a="1"/>
  <c r="AK3759" i="16" s="1"/>
  <c r="AK3758" i="16" a="1"/>
  <c r="AK3758" i="16" s="1"/>
  <c r="AK3757" i="16" a="1"/>
  <c r="AK3757" i="16" s="1"/>
  <c r="AK3756" i="16" a="1"/>
  <c r="AK3756" i="16" s="1"/>
  <c r="AK3755" i="16" a="1"/>
  <c r="AK3755" i="16" s="1"/>
  <c r="AK3754" i="16" a="1"/>
  <c r="AK3754" i="16" s="1"/>
  <c r="AK3753" i="16" a="1"/>
  <c r="AK3753" i="16" s="1"/>
  <c r="AK3752" i="16" a="1"/>
  <c r="AK3752" i="16" s="1"/>
  <c r="AK3751" i="16" a="1"/>
  <c r="AK3751" i="16" s="1"/>
  <c r="AK3750" i="16" a="1"/>
  <c r="AK3750" i="16" s="1"/>
  <c r="AK3749" i="16" a="1"/>
  <c r="AK3749" i="16" s="1"/>
  <c r="AK3748" i="16" a="1"/>
  <c r="AK3748" i="16" s="1"/>
  <c r="AK3747" i="16" a="1"/>
  <c r="AK3747" i="16" s="1"/>
  <c r="AK3746" i="16" a="1"/>
  <c r="AK3746" i="16" s="1"/>
  <c r="AK3745" i="16" a="1"/>
  <c r="AK3745" i="16" s="1"/>
  <c r="AK3744" i="16" a="1"/>
  <c r="AK3744" i="16" s="1"/>
  <c r="AK3743" i="16" a="1"/>
  <c r="AK3743" i="16" s="1"/>
  <c r="AK3742" i="16" a="1"/>
  <c r="AK3742" i="16" s="1"/>
  <c r="AK3741" i="16" a="1"/>
  <c r="AK3741" i="16" s="1"/>
  <c r="AK3740" i="16" a="1"/>
  <c r="AK3740" i="16" s="1"/>
  <c r="AK3739" i="16" a="1"/>
  <c r="AK3739" i="16" s="1"/>
  <c r="AK3738" i="16" a="1"/>
  <c r="AK3738" i="16" s="1"/>
  <c r="AK3737" i="16" a="1"/>
  <c r="AK3737" i="16" s="1"/>
  <c r="AK3736" i="16" a="1"/>
  <c r="AK3736" i="16" s="1"/>
  <c r="AK3735" i="16" a="1"/>
  <c r="AK3735" i="16" s="1"/>
  <c r="AK3734" i="16" a="1"/>
  <c r="AK3734" i="16" s="1"/>
  <c r="AK3733" i="16" a="1"/>
  <c r="AK3733" i="16" s="1"/>
  <c r="AK3732" i="16" a="1"/>
  <c r="AK3732" i="16" s="1"/>
  <c r="AK3731" i="16" a="1"/>
  <c r="AK3731" i="16" s="1"/>
  <c r="AK3730" i="16" a="1"/>
  <c r="AK3730" i="16" s="1"/>
  <c r="AK3729" i="16" a="1"/>
  <c r="AK3729" i="16" s="1"/>
  <c r="AK3728" i="16" a="1"/>
  <c r="AK3728" i="16" s="1"/>
  <c r="AK3727" i="16" a="1"/>
  <c r="AK3727" i="16" s="1"/>
  <c r="AK3726" i="16" a="1"/>
  <c r="AK3726" i="16" s="1"/>
  <c r="AK3725" i="16" a="1"/>
  <c r="AK3725" i="16" s="1"/>
  <c r="AK3724" i="16" a="1"/>
  <c r="AK3724" i="16" s="1"/>
  <c r="AK3723" i="16" a="1"/>
  <c r="AK3723" i="16" s="1"/>
  <c r="AK3722" i="16" a="1"/>
  <c r="AK3722" i="16" s="1"/>
  <c r="AK3721" i="16" a="1"/>
  <c r="AK3721" i="16" s="1"/>
  <c r="AK3720" i="16" a="1"/>
  <c r="AK3720" i="16" s="1"/>
  <c r="AK3719" i="16" a="1"/>
  <c r="AK3719" i="16" s="1"/>
  <c r="AK3718" i="16" a="1"/>
  <c r="AK3718" i="16" s="1"/>
  <c r="AK3717" i="16" a="1"/>
  <c r="AK3717" i="16" s="1"/>
  <c r="AK3716" i="16" a="1"/>
  <c r="AK3716" i="16" s="1"/>
  <c r="AK3715" i="16" a="1"/>
  <c r="AK3715" i="16" s="1"/>
  <c r="AK3714" i="16" a="1"/>
  <c r="AK3714" i="16" s="1"/>
  <c r="AK3713" i="16" a="1"/>
  <c r="AK3713" i="16" s="1"/>
  <c r="AK3712" i="16" a="1"/>
  <c r="AK3712" i="16" s="1"/>
  <c r="AK3711" i="16" a="1"/>
  <c r="AK3711" i="16" s="1"/>
  <c r="AK3710" i="16" a="1"/>
  <c r="AK3710" i="16" s="1"/>
  <c r="AK3709" i="16" a="1"/>
  <c r="AK3709" i="16" s="1"/>
  <c r="AK3708" i="16" a="1"/>
  <c r="AK3708" i="16" s="1"/>
  <c r="AK3707" i="16" a="1"/>
  <c r="AK3707" i="16" s="1"/>
  <c r="AK3706" i="16" a="1"/>
  <c r="AK3706" i="16" s="1"/>
  <c r="AK3705" i="16" a="1"/>
  <c r="AK3705" i="16" s="1"/>
  <c r="AK3704" i="16" a="1"/>
  <c r="AK3704" i="16" s="1"/>
  <c r="AK3703" i="16" a="1"/>
  <c r="AK3703" i="16" s="1"/>
  <c r="AK3702" i="16" a="1"/>
  <c r="AK3702" i="16" s="1"/>
  <c r="AK3701" i="16" a="1"/>
  <c r="AK3701" i="16" s="1"/>
  <c r="AK3700" i="16" a="1"/>
  <c r="AK3700" i="16" s="1"/>
  <c r="AK3699" i="16" a="1"/>
  <c r="AK3699" i="16" s="1"/>
  <c r="AK3698" i="16" a="1"/>
  <c r="AK3698" i="16" s="1"/>
  <c r="AK3697" i="16" a="1"/>
  <c r="AK3697" i="16" s="1"/>
  <c r="AK3696" i="16" a="1"/>
  <c r="AK3696" i="16" s="1"/>
  <c r="AK3695" i="16" a="1"/>
  <c r="AK3695" i="16" s="1"/>
  <c r="AK3694" i="16" a="1"/>
  <c r="AK3694" i="16" s="1"/>
  <c r="AK3693" i="16" a="1"/>
  <c r="AK3693" i="16" s="1"/>
  <c r="AK3692" i="16" a="1"/>
  <c r="AK3692" i="16" s="1"/>
  <c r="AK3691" i="16" a="1"/>
  <c r="AK3691" i="16" s="1"/>
  <c r="AK3690" i="16" a="1"/>
  <c r="AK3690" i="16" s="1"/>
  <c r="AK3689" i="16" a="1"/>
  <c r="AK3689" i="16" s="1"/>
  <c r="AK3688" i="16" a="1"/>
  <c r="AK3688" i="16" s="1"/>
  <c r="AK3687" i="16" a="1"/>
  <c r="AK3687" i="16" s="1"/>
  <c r="AK3686" i="16" a="1"/>
  <c r="AK3686" i="16" s="1"/>
  <c r="AK3685" i="16" a="1"/>
  <c r="AK3685" i="16" s="1"/>
  <c r="AK3684" i="16" a="1"/>
  <c r="AK3684" i="16" s="1"/>
  <c r="AK3683" i="16" a="1"/>
  <c r="AK3683" i="16" s="1"/>
  <c r="AK3682" i="16" a="1"/>
  <c r="AK3682" i="16" s="1"/>
  <c r="AK3681" i="16" a="1"/>
  <c r="AK3681" i="16" s="1"/>
  <c r="AK3680" i="16" a="1"/>
  <c r="AK3680" i="16" s="1"/>
  <c r="AK3679" i="16" a="1"/>
  <c r="AK3679" i="16" s="1"/>
  <c r="AK3678" i="16" a="1"/>
  <c r="AK3678" i="16" s="1"/>
  <c r="AK3677" i="16" a="1"/>
  <c r="AK3677" i="16" s="1"/>
  <c r="AK3676" i="16" a="1"/>
  <c r="AK3676" i="16" s="1"/>
  <c r="AK3675" i="16" a="1"/>
  <c r="AK3675" i="16" s="1"/>
  <c r="AK3674" i="16" a="1"/>
  <c r="AK3674" i="16" s="1"/>
  <c r="AK3673" i="16" a="1"/>
  <c r="AK3673" i="16" s="1"/>
  <c r="AK3672" i="16" a="1"/>
  <c r="AK3672" i="16" s="1"/>
  <c r="AK3671" i="16" a="1"/>
  <c r="AK3671" i="16" s="1"/>
  <c r="AK3670" i="16" a="1"/>
  <c r="AK3670" i="16" s="1"/>
  <c r="AK3669" i="16" a="1"/>
  <c r="AK3669" i="16" s="1"/>
  <c r="AK3668" i="16" a="1"/>
  <c r="AK3668" i="16" s="1"/>
  <c r="AK3667" i="16" a="1"/>
  <c r="AK3667" i="16" s="1"/>
  <c r="AK3666" i="16" a="1"/>
  <c r="AK3666" i="16" s="1"/>
  <c r="AK3665" i="16" a="1"/>
  <c r="AK3665" i="16" s="1"/>
  <c r="AK3664" i="16" a="1"/>
  <c r="AK3664" i="16" s="1"/>
  <c r="AK3663" i="16" a="1"/>
  <c r="AK3663" i="16" s="1"/>
  <c r="AK3662" i="16" a="1"/>
  <c r="AK3662" i="16" s="1"/>
  <c r="AK3661" i="16" a="1"/>
  <c r="AK3661" i="16" s="1"/>
  <c r="AK3660" i="16" a="1"/>
  <c r="AK3660" i="16" s="1"/>
  <c r="AK3658" i="16" a="1"/>
  <c r="AK3658" i="16" s="1"/>
  <c r="AK3656" i="16" a="1"/>
  <c r="AK3656" i="16" s="1"/>
  <c r="AK3654" i="16" a="1"/>
  <c r="AK3654" i="16" s="1"/>
  <c r="AK3652" i="16" a="1"/>
  <c r="AK3652" i="16" s="1"/>
  <c r="AK3650" i="16" a="1"/>
  <c r="AK3650" i="16" s="1"/>
  <c r="AK3648" i="16" a="1"/>
  <c r="AK3648" i="16" s="1"/>
  <c r="AK3646" i="16" a="1"/>
  <c r="AK3646" i="16" s="1"/>
  <c r="AK3644" i="16" a="1"/>
  <c r="AK3644" i="16" s="1"/>
  <c r="AK3642" i="16" a="1"/>
  <c r="AK3642" i="16" s="1"/>
  <c r="AK3640" i="16" a="1"/>
  <c r="AK3640" i="16" s="1"/>
  <c r="AK3638" i="16" a="1"/>
  <c r="AK3638" i="16" s="1"/>
  <c r="AK3636" i="16" a="1"/>
  <c r="AK3636" i="16" s="1"/>
  <c r="AK3634" i="16" a="1"/>
  <c r="AK3634" i="16" s="1"/>
  <c r="AK3632" i="16" a="1"/>
  <c r="AK3632" i="16" s="1"/>
  <c r="AK3630" i="16" a="1"/>
  <c r="AK3630" i="16" s="1"/>
  <c r="AK3628" i="16" a="1"/>
  <c r="AK3628" i="16" s="1"/>
  <c r="AK3626" i="16" a="1"/>
  <c r="AK3626" i="16" s="1"/>
  <c r="AK3624" i="16" a="1"/>
  <c r="AK3624" i="16" s="1"/>
  <c r="AK3622" i="16" a="1"/>
  <c r="AK3622" i="16" s="1"/>
  <c r="AK3620" i="16" a="1"/>
  <c r="AK3620" i="16" s="1"/>
  <c r="AK3618" i="16" a="1"/>
  <c r="AK3618" i="16" s="1"/>
  <c r="AK3616" i="16" a="1"/>
  <c r="AK3616" i="16" s="1"/>
  <c r="AK3614" i="16" a="1"/>
  <c r="AK3614" i="16" s="1"/>
  <c r="AK3612" i="16" a="1"/>
  <c r="AK3612" i="16" s="1"/>
  <c r="AK3610" i="16" a="1"/>
  <c r="AK3610" i="16" s="1"/>
  <c r="AK3608" i="16" a="1"/>
  <c r="AK3608" i="16" s="1"/>
  <c r="AK3606" i="16" a="1"/>
  <c r="AK3606" i="16" s="1"/>
  <c r="AK3604" i="16" a="1"/>
  <c r="AK3604" i="16" s="1"/>
  <c r="AK3602" i="16" a="1"/>
  <c r="AK3602" i="16" s="1"/>
  <c r="AK3600" i="16" a="1"/>
  <c r="AK3600" i="16" s="1"/>
  <c r="AK3598" i="16" a="1"/>
  <c r="AK3598" i="16" s="1"/>
  <c r="AK3596" i="16" a="1"/>
  <c r="AK3596" i="16" s="1"/>
  <c r="AK3594" i="16" a="1"/>
  <c r="AK3594" i="16" s="1"/>
  <c r="AK3592" i="16" a="1"/>
  <c r="AK3592" i="16" s="1"/>
  <c r="AK3590" i="16" a="1"/>
  <c r="AK3590" i="16" s="1"/>
  <c r="AK3588" i="16" a="1"/>
  <c r="AK3588" i="16" s="1"/>
  <c r="AK3586" i="16" a="1"/>
  <c r="AK3586" i="16" s="1"/>
  <c r="AK3584" i="16" a="1"/>
  <c r="AK3584" i="16" s="1"/>
  <c r="AK3582" i="16" a="1"/>
  <c r="AK3582" i="16" s="1"/>
  <c r="AK3580" i="16" a="1"/>
  <c r="AK3580" i="16" s="1"/>
  <c r="AK3578" i="16" a="1"/>
  <c r="AK3578" i="16" s="1"/>
  <c r="AK3576" i="16" a="1"/>
  <c r="AK3576" i="16" s="1"/>
  <c r="AK3574" i="16" a="1"/>
  <c r="AK3574" i="16" s="1"/>
  <c r="AK3572" i="16" a="1"/>
  <c r="AK3572" i="16" s="1"/>
  <c r="AK3570" i="16" a="1"/>
  <c r="AK3570" i="16" s="1"/>
  <c r="AK3568" i="16" a="1"/>
  <c r="AK3568" i="16" s="1"/>
  <c r="AK3566" i="16" a="1"/>
  <c r="AK3566" i="16" s="1"/>
  <c r="AK3564" i="16" a="1"/>
  <c r="AK3564" i="16" s="1"/>
  <c r="AK3562" i="16" a="1"/>
  <c r="AK3562" i="16" s="1"/>
  <c r="AK3560" i="16" a="1"/>
  <c r="AK3560" i="16" s="1"/>
  <c r="AK3558" i="16" a="1"/>
  <c r="AK3558" i="16" s="1"/>
  <c r="AK3556" i="16" a="1"/>
  <c r="AK3556" i="16" s="1"/>
  <c r="AK3554" i="16" a="1"/>
  <c r="AK3554" i="16" s="1"/>
  <c r="AK3552" i="16" a="1"/>
  <c r="AK3552" i="16" s="1"/>
  <c r="AK3550" i="16" a="1"/>
  <c r="AK3550" i="16" s="1"/>
  <c r="AK3548" i="16" a="1"/>
  <c r="AK3548" i="16" s="1"/>
  <c r="AK3546" i="16" a="1"/>
  <c r="AK3546" i="16" s="1"/>
  <c r="AK3544" i="16" a="1"/>
  <c r="AK3544" i="16" s="1"/>
  <c r="AK3542" i="16" a="1"/>
  <c r="AK3542" i="16" s="1"/>
  <c r="AK3540" i="16" a="1"/>
  <c r="AK3540" i="16" s="1"/>
  <c r="AK3538" i="16" a="1"/>
  <c r="AK3538" i="16" s="1"/>
  <c r="AK3536" i="16" a="1"/>
  <c r="AK3536" i="16" s="1"/>
  <c r="AK3534" i="16" a="1"/>
  <c r="AK3534" i="16" s="1"/>
  <c r="AK3532" i="16" a="1"/>
  <c r="AK3532" i="16" s="1"/>
  <c r="AK3530" i="16" a="1"/>
  <c r="AK3530" i="16" s="1"/>
  <c r="AK3528" i="16" a="1"/>
  <c r="AK3528" i="16" s="1"/>
  <c r="AK3526" i="16" a="1"/>
  <c r="AK3526" i="16" s="1"/>
  <c r="AK3524" i="16" a="1"/>
  <c r="AK3524" i="16" s="1"/>
  <c r="AK3522" i="16" a="1"/>
  <c r="AK3522" i="16" s="1"/>
  <c r="AK3520" i="16" a="1"/>
  <c r="AK3520" i="16" s="1"/>
  <c r="AK3518" i="16" a="1"/>
  <c r="AK3518" i="16" s="1"/>
  <c r="AK3516" i="16" a="1"/>
  <c r="AK3516" i="16" s="1"/>
  <c r="AK3514" i="16" a="1"/>
  <c r="AK3514" i="16" s="1"/>
  <c r="AK3512" i="16" a="1"/>
  <c r="AK3512" i="16" s="1"/>
  <c r="AK3510" i="16" a="1"/>
  <c r="AK3510" i="16" s="1"/>
  <c r="AK3508" i="16" a="1"/>
  <c r="AK3508" i="16" s="1"/>
  <c r="AK3506" i="16" a="1"/>
  <c r="AK3506" i="16" s="1"/>
  <c r="AK3504" i="16" a="1"/>
  <c r="AK3504" i="16" s="1"/>
  <c r="AK3502" i="16" a="1"/>
  <c r="AK3502" i="16" s="1"/>
  <c r="AK3500" i="16" a="1"/>
  <c r="AK3500" i="16" s="1"/>
  <c r="AK3498" i="16" a="1"/>
  <c r="AK3498" i="16" s="1"/>
  <c r="AK3496" i="16" a="1"/>
  <c r="AK3496" i="16" s="1"/>
  <c r="AK3494" i="16" a="1"/>
  <c r="AK3494" i="16" s="1"/>
  <c r="AK3492" i="16" a="1"/>
  <c r="AK3492" i="16" s="1"/>
  <c r="AK3490" i="16" a="1"/>
  <c r="AK3490" i="16" s="1"/>
  <c r="AK3488" i="16" a="1"/>
  <c r="AK3488" i="16" s="1"/>
  <c r="AK3486" i="16" a="1"/>
  <c r="AK3486" i="16" s="1"/>
  <c r="AK3484" i="16" a="1"/>
  <c r="AK3484" i="16" s="1"/>
  <c r="AK3482" i="16" a="1"/>
  <c r="AK3482" i="16" s="1"/>
  <c r="AK3480" i="16" a="1"/>
  <c r="AK3480" i="16" s="1"/>
  <c r="AK3478" i="16" a="1"/>
  <c r="AK3478" i="16" s="1"/>
  <c r="AK3476" i="16" a="1"/>
  <c r="AK3476" i="16" s="1"/>
  <c r="AK3474" i="16" a="1"/>
  <c r="AK3474" i="16" s="1"/>
  <c r="AK3472" i="16" a="1"/>
  <c r="AK3472" i="16" s="1"/>
  <c r="AK3470" i="16" a="1"/>
  <c r="AK3470" i="16" s="1"/>
  <c r="AK3468" i="16" a="1"/>
  <c r="AK3468" i="16" s="1"/>
  <c r="AK3466" i="16" a="1"/>
  <c r="AK3466" i="16" s="1"/>
  <c r="AK3464" i="16" a="1"/>
  <c r="AK3464" i="16" s="1"/>
  <c r="AK3659" i="16" a="1"/>
  <c r="AK3659" i="16" s="1"/>
  <c r="AK3657" i="16" a="1"/>
  <c r="AK3657" i="16" s="1"/>
  <c r="AK3655" i="16" a="1"/>
  <c r="AK3655" i="16" s="1"/>
  <c r="AK3653" i="16" a="1"/>
  <c r="AK3653" i="16" s="1"/>
  <c r="AK3651" i="16" a="1"/>
  <c r="AK3651" i="16" s="1"/>
  <c r="AK3649" i="16" a="1"/>
  <c r="AK3649" i="16" s="1"/>
  <c r="AK3647" i="16" a="1"/>
  <c r="AK3647" i="16" s="1"/>
  <c r="AK3645" i="16" a="1"/>
  <c r="AK3645" i="16" s="1"/>
  <c r="AK3643" i="16" a="1"/>
  <c r="AK3643" i="16" s="1"/>
  <c r="AK3641" i="16" a="1"/>
  <c r="AK3641" i="16" s="1"/>
  <c r="AK3639" i="16" a="1"/>
  <c r="AK3639" i="16" s="1"/>
  <c r="AK3637" i="16" a="1"/>
  <c r="AK3637" i="16" s="1"/>
  <c r="AK3635" i="16" a="1"/>
  <c r="AK3635" i="16" s="1"/>
  <c r="AK3633" i="16" a="1"/>
  <c r="AK3633" i="16" s="1"/>
  <c r="AK3631" i="16" a="1"/>
  <c r="AK3631" i="16" s="1"/>
  <c r="AK3629" i="16" a="1"/>
  <c r="AK3629" i="16" s="1"/>
  <c r="AK3627" i="16" a="1"/>
  <c r="AK3627" i="16" s="1"/>
  <c r="AK3625" i="16" a="1"/>
  <c r="AK3625" i="16" s="1"/>
  <c r="AK3623" i="16" a="1"/>
  <c r="AK3623" i="16" s="1"/>
  <c r="AK3621" i="16" a="1"/>
  <c r="AK3621" i="16" s="1"/>
  <c r="AK3619" i="16" a="1"/>
  <c r="AK3619" i="16" s="1"/>
  <c r="AK3617" i="16" a="1"/>
  <c r="AK3617" i="16" s="1"/>
  <c r="AK3615" i="16" a="1"/>
  <c r="AK3615" i="16" s="1"/>
  <c r="AK3613" i="16" a="1"/>
  <c r="AK3613" i="16" s="1"/>
  <c r="AK3611" i="16" a="1"/>
  <c r="AK3611" i="16" s="1"/>
  <c r="AK3609" i="16" a="1"/>
  <c r="AK3609" i="16" s="1"/>
  <c r="AK3607" i="16" a="1"/>
  <c r="AK3607" i="16" s="1"/>
  <c r="AK3605" i="16" a="1"/>
  <c r="AK3605" i="16" s="1"/>
  <c r="AK3603" i="16" a="1"/>
  <c r="AK3603" i="16" s="1"/>
  <c r="AK3601" i="16" a="1"/>
  <c r="AK3601" i="16" s="1"/>
  <c r="AK3599" i="16" a="1"/>
  <c r="AK3599" i="16" s="1"/>
  <c r="AK3597" i="16" a="1"/>
  <c r="AK3597" i="16" s="1"/>
  <c r="AK3595" i="16" a="1"/>
  <c r="AK3595" i="16" s="1"/>
  <c r="AK3593" i="16" a="1"/>
  <c r="AK3593" i="16" s="1"/>
  <c r="AK3591" i="16" a="1"/>
  <c r="AK3591" i="16" s="1"/>
  <c r="AK3589" i="16" a="1"/>
  <c r="AK3589" i="16" s="1"/>
  <c r="AK3587" i="16" a="1"/>
  <c r="AK3587" i="16" s="1"/>
  <c r="AK3585" i="16" a="1"/>
  <c r="AK3585" i="16" s="1"/>
  <c r="AK3583" i="16" a="1"/>
  <c r="AK3583" i="16" s="1"/>
  <c r="AK3581" i="16" a="1"/>
  <c r="AK3581" i="16" s="1"/>
  <c r="AK3579" i="16" a="1"/>
  <c r="AK3579" i="16" s="1"/>
  <c r="AK3577" i="16" a="1"/>
  <c r="AK3577" i="16" s="1"/>
  <c r="AK3575" i="16" a="1"/>
  <c r="AK3575" i="16" s="1"/>
  <c r="AK3573" i="16" a="1"/>
  <c r="AK3573" i="16" s="1"/>
  <c r="AK3571" i="16" a="1"/>
  <c r="AK3571" i="16" s="1"/>
  <c r="AK3569" i="16" a="1"/>
  <c r="AK3569" i="16" s="1"/>
  <c r="AK3567" i="16" a="1"/>
  <c r="AK3567" i="16" s="1"/>
  <c r="AK3565" i="16" a="1"/>
  <c r="AK3565" i="16" s="1"/>
  <c r="AK3563" i="16" a="1"/>
  <c r="AK3563" i="16" s="1"/>
  <c r="AK3561" i="16" a="1"/>
  <c r="AK3561" i="16" s="1"/>
  <c r="AK3559" i="16" a="1"/>
  <c r="AK3559" i="16" s="1"/>
  <c r="AK3557" i="16" a="1"/>
  <c r="AK3557" i="16" s="1"/>
  <c r="AK3555" i="16" a="1"/>
  <c r="AK3555" i="16" s="1"/>
  <c r="AK3553" i="16" a="1"/>
  <c r="AK3553" i="16" s="1"/>
  <c r="AK3551" i="16" a="1"/>
  <c r="AK3551" i="16" s="1"/>
  <c r="AK3549" i="16" a="1"/>
  <c r="AK3549" i="16" s="1"/>
  <c r="AK3547" i="16" a="1"/>
  <c r="AK3547" i="16" s="1"/>
  <c r="AK3545" i="16" a="1"/>
  <c r="AK3545" i="16" s="1"/>
  <c r="AK3543" i="16" a="1"/>
  <c r="AK3543" i="16" s="1"/>
  <c r="AK3541" i="16" a="1"/>
  <c r="AK3541" i="16" s="1"/>
  <c r="AK3539" i="16" a="1"/>
  <c r="AK3539" i="16" s="1"/>
  <c r="AK3537" i="16" a="1"/>
  <c r="AK3537" i="16" s="1"/>
  <c r="AK3535" i="16" a="1"/>
  <c r="AK3535" i="16" s="1"/>
  <c r="AK3533" i="16" a="1"/>
  <c r="AK3533" i="16" s="1"/>
  <c r="AK3531" i="16" a="1"/>
  <c r="AK3531" i="16" s="1"/>
  <c r="AK3529" i="16" a="1"/>
  <c r="AK3529" i="16" s="1"/>
  <c r="AK3527" i="16" a="1"/>
  <c r="AK3527" i="16" s="1"/>
  <c r="AK3525" i="16" a="1"/>
  <c r="AK3525" i="16" s="1"/>
  <c r="AK3523" i="16" a="1"/>
  <c r="AK3523" i="16" s="1"/>
  <c r="AK3521" i="16" a="1"/>
  <c r="AK3521" i="16" s="1"/>
  <c r="AK3519" i="16" a="1"/>
  <c r="AK3519" i="16" s="1"/>
  <c r="AK3517" i="16" a="1"/>
  <c r="AK3517" i="16" s="1"/>
  <c r="AK3515" i="16" a="1"/>
  <c r="AK3515" i="16" s="1"/>
  <c r="AK3513" i="16" a="1"/>
  <c r="AK3513" i="16" s="1"/>
  <c r="AK3511" i="16" a="1"/>
  <c r="AK3511" i="16" s="1"/>
  <c r="AK3509" i="16" a="1"/>
  <c r="AK3509" i="16" s="1"/>
  <c r="AK3507" i="16" a="1"/>
  <c r="AK3507" i="16" s="1"/>
  <c r="AK3505" i="16" a="1"/>
  <c r="AK3505" i="16" s="1"/>
  <c r="AK3503" i="16" a="1"/>
  <c r="AK3503" i="16" s="1"/>
  <c r="AK3501" i="16" a="1"/>
  <c r="AK3501" i="16" s="1"/>
  <c r="AK3499" i="16" a="1"/>
  <c r="AK3499" i="16" s="1"/>
  <c r="AK3497" i="16" a="1"/>
  <c r="AK3497" i="16" s="1"/>
  <c r="AK3495" i="16" a="1"/>
  <c r="AK3495" i="16" s="1"/>
  <c r="AK3493" i="16" a="1"/>
  <c r="AK3493" i="16" s="1"/>
  <c r="AK3491" i="16" a="1"/>
  <c r="AK3491" i="16" s="1"/>
  <c r="AK3489" i="16" a="1"/>
  <c r="AK3489" i="16" s="1"/>
  <c r="AK3487" i="16" a="1"/>
  <c r="AK3487" i="16" s="1"/>
  <c r="AK3485" i="16" a="1"/>
  <c r="AK3485" i="16" s="1"/>
  <c r="AK3483" i="16" a="1"/>
  <c r="AK3483" i="16" s="1"/>
  <c r="AK3481" i="16" a="1"/>
  <c r="AK3481" i="16" s="1"/>
  <c r="AK3479" i="16" a="1"/>
  <c r="AK3479" i="16" s="1"/>
  <c r="AK3477" i="16" a="1"/>
  <c r="AK3477" i="16" s="1"/>
  <c r="AK3475" i="16" a="1"/>
  <c r="AK3475" i="16" s="1"/>
  <c r="AK3473" i="16" a="1"/>
  <c r="AK3473" i="16" s="1"/>
  <c r="AK3471" i="16" a="1"/>
  <c r="AK3471" i="16" s="1"/>
  <c r="AK3469" i="16" a="1"/>
  <c r="AK3469" i="16" s="1"/>
  <c r="AK3467" i="16" a="1"/>
  <c r="AK3467" i="16" s="1"/>
  <c r="AK3465" i="16" a="1"/>
  <c r="AK3465" i="16" s="1"/>
  <c r="AK3463" i="16" a="1"/>
  <c r="AK3463" i="16" s="1"/>
  <c r="AK3462" i="16" a="1"/>
  <c r="AK3462" i="16" s="1"/>
  <c r="AK3461" i="16" a="1"/>
  <c r="AK3461" i="16" s="1"/>
  <c r="AK3460" i="16" a="1"/>
  <c r="AK3460" i="16" s="1"/>
  <c r="AK3459" i="16" a="1"/>
  <c r="AK3459" i="16" s="1"/>
  <c r="AK3458" i="16" a="1"/>
  <c r="AK3458" i="16" s="1"/>
  <c r="AK3457" i="16" a="1"/>
  <c r="AK3457" i="16" s="1"/>
  <c r="AK3456" i="16" a="1"/>
  <c r="AK3456" i="16" s="1"/>
  <c r="AK3455" i="16" a="1"/>
  <c r="AK3455" i="16" s="1"/>
  <c r="AK3454" i="16" a="1"/>
  <c r="AK3454" i="16" s="1"/>
  <c r="AK3453" i="16" a="1"/>
  <c r="AK3453" i="16" s="1"/>
  <c r="AK3452" i="16" a="1"/>
  <c r="AK3452" i="16" s="1"/>
  <c r="AK3451" i="16" a="1"/>
  <c r="AK3451" i="16" s="1"/>
  <c r="AK3450" i="16" a="1"/>
  <c r="AK3450" i="16" s="1"/>
  <c r="AK3449" i="16" a="1"/>
  <c r="AK3449" i="16" s="1"/>
  <c r="AK3448" i="16" a="1"/>
  <c r="AK3448" i="16" s="1"/>
  <c r="AK3447" i="16" a="1"/>
  <c r="AK3447" i="16" s="1"/>
  <c r="AK3446" i="16" a="1"/>
  <c r="AK3446" i="16" s="1"/>
  <c r="AK3445" i="16" a="1"/>
  <c r="AK3445" i="16" s="1"/>
  <c r="AK3444" i="16" a="1"/>
  <c r="AK3444" i="16" s="1"/>
  <c r="AK3443" i="16" a="1"/>
  <c r="AK3443" i="16" s="1"/>
  <c r="AK3442" i="16" a="1"/>
  <c r="AK3442" i="16" s="1"/>
  <c r="AK3441" i="16" a="1"/>
  <c r="AK3441" i="16" s="1"/>
  <c r="AK3440" i="16" a="1"/>
  <c r="AK3440" i="16" s="1"/>
  <c r="AK3439" i="16" a="1"/>
  <c r="AK3439" i="16" s="1"/>
  <c r="AK3438" i="16" a="1"/>
  <c r="AK3438" i="16" s="1"/>
  <c r="AK3437" i="16" a="1"/>
  <c r="AK3437" i="16" s="1"/>
  <c r="AK3436" i="16" a="1"/>
  <c r="AK3436" i="16" s="1"/>
  <c r="AK3435" i="16" a="1"/>
  <c r="AK3435" i="16" s="1"/>
  <c r="AK3434" i="16" a="1"/>
  <c r="AK3434" i="16" s="1"/>
  <c r="AK3433" i="16" a="1"/>
  <c r="AK3433" i="16" s="1"/>
  <c r="AK3432" i="16" a="1"/>
  <c r="AK3432" i="16" s="1"/>
  <c r="AK3431" i="16" a="1"/>
  <c r="AK3431" i="16" s="1"/>
  <c r="AK3430" i="16" a="1"/>
  <c r="AK3430" i="16" s="1"/>
  <c r="AK3429" i="16" a="1"/>
  <c r="AK3429" i="16" s="1"/>
  <c r="AK3428" i="16" a="1"/>
  <c r="AK3428" i="16" s="1"/>
  <c r="AK3427" i="16" a="1"/>
  <c r="AK3427" i="16" s="1"/>
  <c r="AK3426" i="16" a="1"/>
  <c r="AK3426" i="16" s="1"/>
  <c r="AK3425" i="16" a="1"/>
  <c r="AK3425" i="16" s="1"/>
  <c r="AK3424" i="16" a="1"/>
  <c r="AK3424" i="16" s="1"/>
  <c r="AK3423" i="16" a="1"/>
  <c r="AK3423" i="16" s="1"/>
  <c r="AK3422" i="16" a="1"/>
  <c r="AK3422" i="16" s="1"/>
  <c r="AK3421" i="16" a="1"/>
  <c r="AK3421" i="16" s="1"/>
  <c r="AK3420" i="16" a="1"/>
  <c r="AK3420" i="16" s="1"/>
  <c r="AK3419" i="16" a="1"/>
  <c r="AK3419" i="16" s="1"/>
  <c r="AK3418" i="16" a="1"/>
  <c r="AK3418" i="16" s="1"/>
  <c r="AK3417" i="16" a="1"/>
  <c r="AK3417" i="16" s="1"/>
  <c r="AK3416" i="16" a="1"/>
  <c r="AK3416" i="16" s="1"/>
  <c r="AK3415" i="16" a="1"/>
  <c r="AK3415" i="16" s="1"/>
  <c r="AK3414" i="16" a="1"/>
  <c r="AK3414" i="16" s="1"/>
  <c r="AK3413" i="16" a="1"/>
  <c r="AK3413" i="16" s="1"/>
  <c r="AK3412" i="16" a="1"/>
  <c r="AK3412" i="16" s="1"/>
  <c r="AK3411" i="16" a="1"/>
  <c r="AK3411" i="16" s="1"/>
  <c r="AK3410" i="16" a="1"/>
  <c r="AK3410" i="16" s="1"/>
  <c r="AK3409" i="16" a="1"/>
  <c r="AK3409" i="16" s="1"/>
  <c r="AK3408" i="16" a="1"/>
  <c r="AK3408" i="16" s="1"/>
  <c r="AK3407" i="16" a="1"/>
  <c r="AK3407" i="16" s="1"/>
  <c r="AK3406" i="16" a="1"/>
  <c r="AK3406" i="16" s="1"/>
  <c r="AK3405" i="16" a="1"/>
  <c r="AK3405" i="16" s="1"/>
  <c r="AK3404" i="16" a="1"/>
  <c r="AK3404" i="16" s="1"/>
  <c r="AK3403" i="16" a="1"/>
  <c r="AK3403" i="16" s="1"/>
  <c r="AK3402" i="16" a="1"/>
  <c r="AK3402" i="16" s="1"/>
  <c r="AK3401" i="16" a="1"/>
  <c r="AK3401" i="16" s="1"/>
  <c r="AK3400" i="16" a="1"/>
  <c r="AK3400" i="16" s="1"/>
  <c r="AK3399" i="16" a="1"/>
  <c r="AK3399" i="16" s="1"/>
  <c r="AK3398" i="16" a="1"/>
  <c r="AK3398" i="16" s="1"/>
  <c r="AK3397" i="16" a="1"/>
  <c r="AK3397" i="16" s="1"/>
  <c r="AK3396" i="16" a="1"/>
  <c r="AK3396" i="16" s="1"/>
  <c r="AK3395" i="16" a="1"/>
  <c r="AK3395" i="16" s="1"/>
  <c r="AK3394" i="16" a="1"/>
  <c r="AK3394" i="16" s="1"/>
  <c r="AK3393" i="16" a="1"/>
  <c r="AK3393" i="16" s="1"/>
  <c r="AK3392" i="16" a="1"/>
  <c r="AK3392" i="16" s="1"/>
  <c r="AK3391" i="16" a="1"/>
  <c r="AK3391" i="16" s="1"/>
  <c r="AK3390" i="16" a="1"/>
  <c r="AK3390" i="16" s="1"/>
  <c r="AK3389" i="16" a="1"/>
  <c r="AK3389" i="16" s="1"/>
  <c r="AK3388" i="16" a="1"/>
  <c r="AK3388" i="16" s="1"/>
  <c r="AK3387" i="16" a="1"/>
  <c r="AK3387" i="16" s="1"/>
  <c r="AK3386" i="16" a="1"/>
  <c r="AK3386" i="16" s="1"/>
  <c r="AK3385" i="16" a="1"/>
  <c r="AK3385" i="16" s="1"/>
  <c r="AK3384" i="16" a="1"/>
  <c r="AK3384" i="16" s="1"/>
  <c r="AK3383" i="16" a="1"/>
  <c r="AK3383" i="16" s="1"/>
  <c r="AK3382" i="16" a="1"/>
  <c r="AK3382" i="16" s="1"/>
  <c r="AK3381" i="16" a="1"/>
  <c r="AK3381" i="16" s="1"/>
  <c r="AK3380" i="16" a="1"/>
  <c r="AK3380" i="16" s="1"/>
  <c r="AK3379" i="16" a="1"/>
  <c r="AK3379" i="16" s="1"/>
  <c r="AK3378" i="16" a="1"/>
  <c r="AK3378" i="16" s="1"/>
  <c r="AK3377" i="16" a="1"/>
  <c r="AK3377" i="16" s="1"/>
  <c r="AK3376" i="16" a="1"/>
  <c r="AK3376" i="16" s="1"/>
  <c r="AK3375" i="16" a="1"/>
  <c r="AK3375" i="16" s="1"/>
  <c r="AK3374" i="16" a="1"/>
  <c r="AK3374" i="16" s="1"/>
  <c r="AK3373" i="16" a="1"/>
  <c r="AK3373" i="16" s="1"/>
  <c r="AK3372" i="16" a="1"/>
  <c r="AK3372" i="16" s="1"/>
  <c r="AK3371" i="16" a="1"/>
  <c r="AK3371" i="16" s="1"/>
  <c r="AK3370" i="16" a="1"/>
  <c r="AK3370" i="16" s="1"/>
  <c r="AK3369" i="16" a="1"/>
  <c r="AK3369" i="16" s="1"/>
  <c r="AK3368" i="16" a="1"/>
  <c r="AK3368" i="16" s="1"/>
  <c r="AK3367" i="16" a="1"/>
  <c r="AK3367" i="16" s="1"/>
  <c r="AK3366" i="16" a="1"/>
  <c r="AK3366" i="16" s="1"/>
  <c r="AK3365" i="16" a="1"/>
  <c r="AK3365" i="16" s="1"/>
  <c r="AK3364" i="16" a="1"/>
  <c r="AK3364" i="16" s="1"/>
  <c r="AK3363" i="16" a="1"/>
  <c r="AK3363" i="16" s="1"/>
  <c r="AK3362" i="16" a="1"/>
  <c r="AK3362" i="16" s="1"/>
  <c r="AK3361" i="16" a="1"/>
  <c r="AK3361" i="16" s="1"/>
  <c r="AK3360" i="16" a="1"/>
  <c r="AK3360" i="16" s="1"/>
  <c r="AK3359" i="16" a="1"/>
  <c r="AK3359" i="16" s="1"/>
  <c r="AK3358" i="16" a="1"/>
  <c r="AK3358" i="16" s="1"/>
  <c r="AK3357" i="16" a="1"/>
  <c r="AK3357" i="16" s="1"/>
  <c r="AK3356" i="16" a="1"/>
  <c r="AK3356" i="16" s="1"/>
  <c r="AK3355" i="16" a="1"/>
  <c r="AK3355" i="16" s="1"/>
  <c r="AK3354" i="16" a="1"/>
  <c r="AK3354" i="16" s="1"/>
  <c r="AK3353" i="16" a="1"/>
  <c r="AK3353" i="16" s="1"/>
  <c r="AK3352" i="16" a="1"/>
  <c r="AK3352" i="16" s="1"/>
  <c r="AK3351" i="16" a="1"/>
  <c r="AK3351" i="16" s="1"/>
  <c r="AK3350" i="16" a="1"/>
  <c r="AK3350" i="16" s="1"/>
  <c r="AK3349" i="16" a="1"/>
  <c r="AK3349" i="16" s="1"/>
  <c r="AK3348" i="16" a="1"/>
  <c r="AK3348" i="16" s="1"/>
  <c r="AK3347" i="16" a="1"/>
  <c r="AK3347" i="16" s="1"/>
  <c r="AK3346" i="16" a="1"/>
  <c r="AK3346" i="16" s="1"/>
  <c r="AK3345" i="16" a="1"/>
  <c r="AK3345" i="16" s="1"/>
  <c r="AK3344" i="16" a="1"/>
  <c r="AK3344" i="16" s="1"/>
  <c r="AK3343" i="16" a="1"/>
  <c r="AK3343" i="16" s="1"/>
  <c r="AK3342" i="16" a="1"/>
  <c r="AK3342" i="16" s="1"/>
  <c r="AK3341" i="16" a="1"/>
  <c r="AK3341" i="16" s="1"/>
  <c r="AK3340" i="16" a="1"/>
  <c r="AK3340" i="16" s="1"/>
  <c r="AK3339" i="16" a="1"/>
  <c r="AK3339" i="16" s="1"/>
  <c r="AK3338" i="16" a="1"/>
  <c r="AK3338" i="16" s="1"/>
  <c r="AK3337" i="16" a="1"/>
  <c r="AK3337" i="16" s="1"/>
  <c r="AK3336" i="16" a="1"/>
  <c r="AK3336" i="16" s="1"/>
  <c r="AK3335" i="16" a="1"/>
  <c r="AK3335" i="16" s="1"/>
  <c r="AK3334" i="16" a="1"/>
  <c r="AK3334" i="16" s="1"/>
  <c r="AK3333" i="16" a="1"/>
  <c r="AK3333" i="16" s="1"/>
  <c r="AK3332" i="16" a="1"/>
  <c r="AK3332" i="16" s="1"/>
  <c r="AK3331" i="16" a="1"/>
  <c r="AK3331" i="16" s="1"/>
  <c r="AK3330" i="16" a="1"/>
  <c r="AK3330" i="16" s="1"/>
  <c r="AK3329" i="16" a="1"/>
  <c r="AK3329" i="16" s="1"/>
  <c r="AK3328" i="16" a="1"/>
  <c r="AK3328" i="16" s="1"/>
  <c r="AK3327" i="16" a="1"/>
  <c r="AK3327" i="16" s="1"/>
  <c r="AK3326" i="16" a="1"/>
  <c r="AK3326" i="16" s="1"/>
  <c r="AK3325" i="16" a="1"/>
  <c r="AK3325" i="16" s="1"/>
  <c r="AK3324" i="16" a="1"/>
  <c r="AK3324" i="16" s="1"/>
  <c r="AK3323" i="16" a="1"/>
  <c r="AK3323" i="16" s="1"/>
  <c r="AK3322" i="16" a="1"/>
  <c r="AK3322" i="16" s="1"/>
  <c r="AK3321" i="16" a="1"/>
  <c r="AK3321" i="16" s="1"/>
  <c r="AK3320" i="16" a="1"/>
  <c r="AK3320" i="16" s="1"/>
  <c r="AK3319" i="16" a="1"/>
  <c r="AK3319" i="16" s="1"/>
  <c r="AK3318" i="16" a="1"/>
  <c r="AK3318" i="16" s="1"/>
  <c r="AK3317" i="16" a="1"/>
  <c r="AK3317" i="16" s="1"/>
  <c r="AK3316" i="16" a="1"/>
  <c r="AK3316" i="16" s="1"/>
  <c r="AK3315" i="16" a="1"/>
  <c r="AK3315" i="16" s="1"/>
  <c r="AK3314" i="16" a="1"/>
  <c r="AK3314" i="16" s="1"/>
  <c r="AK3313" i="16" a="1"/>
  <c r="AK3313" i="16" s="1"/>
  <c r="AK3312" i="16" a="1"/>
  <c r="AK3312" i="16" s="1"/>
  <c r="AK3311" i="16" a="1"/>
  <c r="AK3311" i="16" s="1"/>
  <c r="AK3310" i="16" a="1"/>
  <c r="AK3310" i="16" s="1"/>
  <c r="AK3309" i="16" a="1"/>
  <c r="AK3309" i="16" s="1"/>
  <c r="AK3308" i="16" a="1"/>
  <c r="AK3308" i="16" s="1"/>
  <c r="AK3307" i="16" a="1"/>
  <c r="AK3307" i="16" s="1"/>
  <c r="AK3306" i="16" a="1"/>
  <c r="AK3306" i="16" s="1"/>
  <c r="AK3305" i="16" a="1"/>
  <c r="AK3305" i="16" s="1"/>
  <c r="AK3304" i="16" a="1"/>
  <c r="AK3304" i="16" s="1"/>
  <c r="AK3303" i="16" a="1"/>
  <c r="AK3303" i="16" s="1"/>
  <c r="AK3302" i="16" a="1"/>
  <c r="AK3302" i="16" s="1"/>
  <c r="AK3301" i="16" a="1"/>
  <c r="AK3301" i="16" s="1"/>
  <c r="AK3300" i="16" a="1"/>
  <c r="AK3300" i="16" s="1"/>
  <c r="AK3299" i="16" a="1"/>
  <c r="AK3299" i="16" s="1"/>
  <c r="AK3298" i="16" a="1"/>
  <c r="AK3298" i="16" s="1"/>
  <c r="AK3297" i="16" a="1"/>
  <c r="AK3297" i="16" s="1"/>
  <c r="AK3296" i="16" a="1"/>
  <c r="AK3296" i="16" s="1"/>
  <c r="AK3295" i="16" a="1"/>
  <c r="AK3295" i="16" s="1"/>
  <c r="AK3294" i="16" a="1"/>
  <c r="AK3294" i="16" s="1"/>
  <c r="AK3293" i="16" a="1"/>
  <c r="AK3293" i="16" s="1"/>
  <c r="AK3292" i="16" a="1"/>
  <c r="AK3292" i="16" s="1"/>
  <c r="AK3291" i="16" a="1"/>
  <c r="AK3291" i="16" s="1"/>
  <c r="AK3290" i="16" a="1"/>
  <c r="AK3290" i="16" s="1"/>
  <c r="AK3289" i="16" a="1"/>
  <c r="AK3289" i="16" s="1"/>
  <c r="AK2774" i="16" a="1"/>
  <c r="AK2774" i="16" s="1"/>
  <c r="AK2773" i="16" a="1"/>
  <c r="AK2773" i="16" s="1"/>
  <c r="AK2772" i="16" a="1"/>
  <c r="AK2772" i="16" s="1"/>
  <c r="AK2771" i="16" a="1"/>
  <c r="AK2771" i="16" s="1"/>
  <c r="AK2770" i="16" a="1"/>
  <c r="AK2770" i="16" s="1"/>
  <c r="AK2769" i="16" a="1"/>
  <c r="AK2769" i="16" s="1"/>
  <c r="AK2768" i="16" a="1"/>
  <c r="AK2768" i="16" s="1"/>
  <c r="AK2767" i="16" a="1"/>
  <c r="AK2767" i="16" s="1"/>
  <c r="AK2766" i="16" a="1"/>
  <c r="AK2766" i="16" s="1"/>
  <c r="AK2765" i="16" a="1"/>
  <c r="AK2765" i="16" s="1"/>
  <c r="AK2764" i="16" a="1"/>
  <c r="AK2764" i="16" s="1"/>
  <c r="AK2763" i="16" a="1"/>
  <c r="AK2763" i="16" s="1"/>
  <c r="AK2762" i="16" a="1"/>
  <c r="AK2762" i="16" s="1"/>
  <c r="AK2761" i="16" a="1"/>
  <c r="AK2761" i="16" s="1"/>
  <c r="AK2760" i="16" a="1"/>
  <c r="AK2760" i="16" s="1"/>
  <c r="AK2759" i="16" a="1"/>
  <c r="AK2759" i="16" s="1"/>
  <c r="AK2758" i="16" a="1"/>
  <c r="AK2758" i="16" s="1"/>
  <c r="AK2757" i="16" a="1"/>
  <c r="AK2757" i="16" s="1"/>
  <c r="AK2756" i="16" a="1"/>
  <c r="AK2756" i="16" s="1"/>
  <c r="AK2755" i="16" a="1"/>
  <c r="AK2755" i="16" s="1"/>
  <c r="AK2754" i="16" a="1"/>
  <c r="AK2754" i="16" s="1"/>
  <c r="AK2753" i="16" a="1"/>
  <c r="AK2753" i="16" s="1"/>
  <c r="AK2752" i="16" a="1"/>
  <c r="AK2752" i="16" s="1"/>
  <c r="AK2751" i="16" a="1"/>
  <c r="AK2751" i="16" s="1"/>
  <c r="AK2750" i="16" a="1"/>
  <c r="AK2750" i="16" s="1"/>
  <c r="AK2749" i="16" a="1"/>
  <c r="AK2749" i="16" s="1"/>
  <c r="AK2748" i="16" a="1"/>
  <c r="AK2748" i="16" s="1"/>
  <c r="AK2747" i="16" a="1"/>
  <c r="AK2747" i="16" s="1"/>
  <c r="AK2746" i="16" a="1"/>
  <c r="AK2746" i="16" s="1"/>
  <c r="AK2745" i="16" a="1"/>
  <c r="AK2745" i="16" s="1"/>
  <c r="AK2744" i="16" a="1"/>
  <c r="AK2744" i="16" s="1"/>
  <c r="AK2743" i="16" a="1"/>
  <c r="AK2743" i="16" s="1"/>
  <c r="AK2742" i="16" a="1"/>
  <c r="AK2742" i="16" s="1"/>
  <c r="AK2741" i="16" a="1"/>
  <c r="AK2741" i="16" s="1"/>
  <c r="AK2740" i="16" a="1"/>
  <c r="AK2740" i="16" s="1"/>
  <c r="AK2739" i="16" a="1"/>
  <c r="AK2739" i="16" s="1"/>
  <c r="AK2738" i="16" a="1"/>
  <c r="AK2738" i="16" s="1"/>
  <c r="AK2737" i="16" a="1"/>
  <c r="AK2737" i="16" s="1"/>
  <c r="AK2736" i="16" a="1"/>
  <c r="AK2736" i="16" s="1"/>
  <c r="AK2735" i="16" a="1"/>
  <c r="AK2735" i="16" s="1"/>
  <c r="AK2734" i="16" a="1"/>
  <c r="AK2734" i="16" s="1"/>
  <c r="AK2733" i="16" a="1"/>
  <c r="AK2733" i="16" s="1"/>
  <c r="AK2732" i="16" a="1"/>
  <c r="AK2732" i="16" s="1"/>
  <c r="AK2731" i="16" a="1"/>
  <c r="AK2731" i="16" s="1"/>
  <c r="AK2730" i="16" a="1"/>
  <c r="AK2730" i="16" s="1"/>
  <c r="AK2729" i="16" a="1"/>
  <c r="AK2729" i="16" s="1"/>
  <c r="AK2728" i="16" a="1"/>
  <c r="AK2728" i="16" s="1"/>
  <c r="AK2727" i="16" a="1"/>
  <c r="AK2727" i="16" s="1"/>
  <c r="AK2726" i="16" a="1"/>
  <c r="AK2726" i="16" s="1"/>
  <c r="AK2725" i="16" a="1"/>
  <c r="AK2725" i="16" s="1"/>
  <c r="AK2724" i="16" a="1"/>
  <c r="AK2724" i="16" s="1"/>
  <c r="AK2723" i="16" a="1"/>
  <c r="AK2723" i="16" s="1"/>
  <c r="AK2722" i="16" a="1"/>
  <c r="AK2722" i="16" s="1"/>
  <c r="AK2721" i="16" a="1"/>
  <c r="AK2721" i="16" s="1"/>
  <c r="AK2720" i="16" a="1"/>
  <c r="AK2720" i="16" s="1"/>
  <c r="AK2719" i="16" a="1"/>
  <c r="AK2719" i="16" s="1"/>
  <c r="AK2718" i="16" a="1"/>
  <c r="AK2718" i="16" s="1"/>
  <c r="AK2717" i="16" a="1"/>
  <c r="AK2717" i="16" s="1"/>
  <c r="AK2716" i="16" a="1"/>
  <c r="AK2716" i="16" s="1"/>
  <c r="AK2715" i="16" a="1"/>
  <c r="AK2715" i="16" s="1"/>
  <c r="AK2714" i="16" a="1"/>
  <c r="AK2714" i="16" s="1"/>
  <c r="AK2713" i="16" a="1"/>
  <c r="AK2713" i="16" s="1"/>
  <c r="AK2712" i="16" a="1"/>
  <c r="AK2712" i="16" s="1"/>
  <c r="AK2711" i="16" a="1"/>
  <c r="AK2711" i="16" s="1"/>
  <c r="AK2710" i="16" a="1"/>
  <c r="AK2710" i="16" s="1"/>
  <c r="AK2709" i="16" a="1"/>
  <c r="AK2709" i="16" s="1"/>
  <c r="AK2708" i="16" a="1"/>
  <c r="AK2708" i="16" s="1"/>
  <c r="AK2707" i="16" a="1"/>
  <c r="AK2707" i="16" s="1"/>
  <c r="AK2706" i="16" a="1"/>
  <c r="AK2706" i="16" s="1"/>
  <c r="AK2705" i="16" a="1"/>
  <c r="AK2705" i="16" s="1"/>
  <c r="AK2704" i="16" a="1"/>
  <c r="AK2704" i="16" s="1"/>
  <c r="AK2703" i="16" a="1"/>
  <c r="AK2703" i="16" s="1"/>
  <c r="AK2702" i="16" a="1"/>
  <c r="AK2702" i="16" s="1"/>
  <c r="AK2701" i="16" a="1"/>
  <c r="AK2701" i="16" s="1"/>
  <c r="AK2700" i="16" a="1"/>
  <c r="AK2700" i="16" s="1"/>
  <c r="AK2699" i="16" a="1"/>
  <c r="AK2699" i="16" s="1"/>
  <c r="AK2698" i="16" a="1"/>
  <c r="AK2698" i="16" s="1"/>
  <c r="AK2697" i="16" a="1"/>
  <c r="AK2697" i="16" s="1"/>
  <c r="AK2696" i="16" a="1"/>
  <c r="AK2696" i="16" s="1"/>
  <c r="AK2695" i="16" a="1"/>
  <c r="AK2695" i="16" s="1"/>
  <c r="AK2694" i="16" a="1"/>
  <c r="AK2694" i="16" s="1"/>
  <c r="AK2693" i="16" a="1"/>
  <c r="AK2693" i="16" s="1"/>
  <c r="AK2692" i="16" a="1"/>
  <c r="AK2692" i="16" s="1"/>
  <c r="AK2691" i="16" a="1"/>
  <c r="AK2691" i="16" s="1"/>
  <c r="AK2690" i="16" a="1"/>
  <c r="AK2690" i="16" s="1"/>
  <c r="AK2689" i="16" a="1"/>
  <c r="AK2689" i="16" s="1"/>
  <c r="AK2688" i="16" a="1"/>
  <c r="AK2688" i="16" s="1"/>
  <c r="AK2687" i="16" a="1"/>
  <c r="AK2687" i="16" s="1"/>
  <c r="AK2686" i="16" a="1"/>
  <c r="AK2686" i="16" s="1"/>
  <c r="AK2685" i="16" a="1"/>
  <c r="AK2685" i="16" s="1"/>
  <c r="AK2684" i="16" a="1"/>
  <c r="AK2684" i="16" s="1"/>
  <c r="AK2683" i="16" a="1"/>
  <c r="AK2683" i="16" s="1"/>
  <c r="AK2682" i="16" a="1"/>
  <c r="AK2682" i="16" s="1"/>
  <c r="AK2681" i="16" a="1"/>
  <c r="AK2681" i="16" s="1"/>
  <c r="AK2680" i="16" a="1"/>
  <c r="AK2680" i="16" s="1"/>
  <c r="AK2679" i="16" a="1"/>
  <c r="AK2679" i="16" s="1"/>
  <c r="AK2678" i="16" a="1"/>
  <c r="AK2678" i="16" s="1"/>
  <c r="AK2677" i="16" a="1"/>
  <c r="AK2677" i="16" s="1"/>
  <c r="AK2676" i="16" a="1"/>
  <c r="AK2676" i="16" s="1"/>
  <c r="AK2675" i="16" a="1"/>
  <c r="AK2675" i="16" s="1"/>
  <c r="AK2674" i="16" a="1"/>
  <c r="AK2674" i="16" s="1"/>
  <c r="AK2673" i="16" a="1"/>
  <c r="AK2673" i="16" s="1"/>
  <c r="AK2672" i="16" a="1"/>
  <c r="AK2672" i="16" s="1"/>
  <c r="AK2671" i="16" a="1"/>
  <c r="AK2671" i="16" s="1"/>
  <c r="AK2670" i="16" a="1"/>
  <c r="AK2670" i="16" s="1"/>
  <c r="AK2669" i="16" a="1"/>
  <c r="AK2669" i="16" s="1"/>
  <c r="AK2668" i="16" a="1"/>
  <c r="AK2668" i="16" s="1"/>
  <c r="AK2667" i="16" a="1"/>
  <c r="AK2667" i="16" s="1"/>
  <c r="AK2666" i="16" a="1"/>
  <c r="AK2666" i="16" s="1"/>
  <c r="AK2665" i="16" a="1"/>
  <c r="AK2665" i="16" s="1"/>
  <c r="AK2664" i="16" a="1"/>
  <c r="AK2664" i="16" s="1"/>
  <c r="AK2663" i="16" a="1"/>
  <c r="AK2663" i="16" s="1"/>
  <c r="AK2662" i="16" a="1"/>
  <c r="AK2662" i="16" s="1"/>
  <c r="AK2661" i="16" a="1"/>
  <c r="AK2661" i="16" s="1"/>
  <c r="AK2660" i="16" a="1"/>
  <c r="AK2660" i="16" s="1"/>
  <c r="AK2659" i="16" a="1"/>
  <c r="AK2659" i="16" s="1"/>
  <c r="AK2658" i="16" a="1"/>
  <c r="AK2658" i="16" s="1"/>
  <c r="AK2657" i="16" a="1"/>
  <c r="AK2657" i="16" s="1"/>
  <c r="AK2656" i="16" a="1"/>
  <c r="AK2656" i="16" s="1"/>
  <c r="AK2655" i="16" a="1"/>
  <c r="AK2655" i="16" s="1"/>
  <c r="AK2654" i="16" a="1"/>
  <c r="AK2654" i="16" s="1"/>
  <c r="AK2653" i="16" a="1"/>
  <c r="AK2653" i="16" s="1"/>
  <c r="AK2652" i="16" a="1"/>
  <c r="AK2652" i="16" s="1"/>
  <c r="AK2651" i="16" a="1"/>
  <c r="AK2651" i="16" s="1"/>
  <c r="AK2650" i="16" a="1"/>
  <c r="AK2650" i="16" s="1"/>
  <c r="AK2649" i="16" a="1"/>
  <c r="AK2649" i="16" s="1"/>
  <c r="AK2648" i="16" a="1"/>
  <c r="AK2648" i="16" s="1"/>
  <c r="AK2647" i="16" a="1"/>
  <c r="AK2647" i="16" s="1"/>
  <c r="AK2646" i="16" a="1"/>
  <c r="AK2646" i="16" s="1"/>
  <c r="AK2645" i="16" a="1"/>
  <c r="AK2645" i="16" s="1"/>
  <c r="AK2644" i="16" a="1"/>
  <c r="AK2644" i="16" s="1"/>
  <c r="AK3288" i="16" a="1"/>
  <c r="AK3288" i="16" s="1"/>
  <c r="AK3287" i="16" a="1"/>
  <c r="AK3287" i="16" s="1"/>
  <c r="AK3286" i="16" a="1"/>
  <c r="AK3286" i="16" s="1"/>
  <c r="AK3285" i="16" a="1"/>
  <c r="AK3285" i="16" s="1"/>
  <c r="AK3284" i="16" a="1"/>
  <c r="AK3284" i="16" s="1"/>
  <c r="AK3283" i="16" a="1"/>
  <c r="AK3283" i="16" s="1"/>
  <c r="AK3282" i="16" a="1"/>
  <c r="AK3282" i="16" s="1"/>
  <c r="AK3281" i="16" a="1"/>
  <c r="AK3281" i="16" s="1"/>
  <c r="AK3280" i="16" a="1"/>
  <c r="AK3280" i="16" s="1"/>
  <c r="AK3279" i="16" a="1"/>
  <c r="AK3279" i="16" s="1"/>
  <c r="AK3278" i="16" a="1"/>
  <c r="AK3278" i="16" s="1"/>
  <c r="AK3277" i="16" a="1"/>
  <c r="AK3277" i="16" s="1"/>
  <c r="AK3276" i="16" a="1"/>
  <c r="AK3276" i="16" s="1"/>
  <c r="AK3275" i="16" a="1"/>
  <c r="AK3275" i="16" s="1"/>
  <c r="AK3274" i="16" a="1"/>
  <c r="AK3274" i="16" s="1"/>
  <c r="AK3273" i="16" a="1"/>
  <c r="AK3273" i="16" s="1"/>
  <c r="AK3272" i="16" a="1"/>
  <c r="AK3272" i="16" s="1"/>
  <c r="AK3271" i="16" a="1"/>
  <c r="AK3271" i="16" s="1"/>
  <c r="AK3270" i="16" a="1"/>
  <c r="AK3270" i="16" s="1"/>
  <c r="AK3269" i="16" a="1"/>
  <c r="AK3269" i="16" s="1"/>
  <c r="AK3268" i="16" a="1"/>
  <c r="AK3268" i="16" s="1"/>
  <c r="AK3267" i="16" a="1"/>
  <c r="AK3267" i="16" s="1"/>
  <c r="AK3266" i="16" a="1"/>
  <c r="AK3266" i="16" s="1"/>
  <c r="AK3265" i="16" a="1"/>
  <c r="AK3265" i="16" s="1"/>
  <c r="AK3264" i="16" a="1"/>
  <c r="AK3264" i="16" s="1"/>
  <c r="AK3263" i="16" a="1"/>
  <c r="AK3263" i="16" s="1"/>
  <c r="AK3262" i="16" a="1"/>
  <c r="AK3262" i="16" s="1"/>
  <c r="AK3261" i="16" a="1"/>
  <c r="AK3261" i="16" s="1"/>
  <c r="AK3260" i="16" a="1"/>
  <c r="AK3260" i="16" s="1"/>
  <c r="AK3259" i="16" a="1"/>
  <c r="AK3259" i="16" s="1"/>
  <c r="AK3258" i="16" a="1"/>
  <c r="AK3258" i="16" s="1"/>
  <c r="AK3257" i="16" a="1"/>
  <c r="AK3257" i="16" s="1"/>
  <c r="AK3256" i="16" a="1"/>
  <c r="AK3256" i="16" s="1"/>
  <c r="AK3255" i="16" a="1"/>
  <c r="AK3255" i="16" s="1"/>
  <c r="AK3254" i="16" a="1"/>
  <c r="AK3254" i="16" s="1"/>
  <c r="AK3253" i="16" a="1"/>
  <c r="AK3253" i="16" s="1"/>
  <c r="AK3252" i="16" a="1"/>
  <c r="AK3252" i="16" s="1"/>
  <c r="AK3251" i="16" a="1"/>
  <c r="AK3251" i="16" s="1"/>
  <c r="AK3250" i="16" a="1"/>
  <c r="AK3250" i="16" s="1"/>
  <c r="AK3249" i="16" a="1"/>
  <c r="AK3249" i="16" s="1"/>
  <c r="AK3248" i="16" a="1"/>
  <c r="AK3248" i="16" s="1"/>
  <c r="AK3247" i="16" a="1"/>
  <c r="AK3247" i="16" s="1"/>
  <c r="AK3246" i="16" a="1"/>
  <c r="AK3246" i="16" s="1"/>
  <c r="AK3245" i="16" a="1"/>
  <c r="AK3245" i="16" s="1"/>
  <c r="AK3244" i="16" a="1"/>
  <c r="AK3244" i="16" s="1"/>
  <c r="AK3243" i="16" a="1"/>
  <c r="AK3243" i="16" s="1"/>
  <c r="AK3242" i="16" a="1"/>
  <c r="AK3242" i="16" s="1"/>
  <c r="AK3241" i="16" a="1"/>
  <c r="AK3241" i="16" s="1"/>
  <c r="AK3240" i="16" a="1"/>
  <c r="AK3240" i="16" s="1"/>
  <c r="AK3239" i="16" a="1"/>
  <c r="AK3239" i="16" s="1"/>
  <c r="AK3238" i="16" a="1"/>
  <c r="AK3238" i="16" s="1"/>
  <c r="AK3237" i="16" a="1"/>
  <c r="AK3237" i="16" s="1"/>
  <c r="AK3236" i="16" a="1"/>
  <c r="AK3236" i="16" s="1"/>
  <c r="AK3235" i="16" a="1"/>
  <c r="AK3235" i="16" s="1"/>
  <c r="AK3234" i="16" a="1"/>
  <c r="AK3234" i="16" s="1"/>
  <c r="AK3233" i="16" a="1"/>
  <c r="AK3233" i="16" s="1"/>
  <c r="AK3232" i="16" a="1"/>
  <c r="AK3232" i="16" s="1"/>
  <c r="AK3231" i="16" a="1"/>
  <c r="AK3231" i="16" s="1"/>
  <c r="AK3230" i="16" a="1"/>
  <c r="AK3230" i="16" s="1"/>
  <c r="AK3229" i="16" a="1"/>
  <c r="AK3229" i="16" s="1"/>
  <c r="AK3228" i="16" a="1"/>
  <c r="AK3228" i="16" s="1"/>
  <c r="AK3227" i="16" a="1"/>
  <c r="AK3227" i="16" s="1"/>
  <c r="AK3226" i="16" a="1"/>
  <c r="AK3226" i="16" s="1"/>
  <c r="AK3225" i="16" a="1"/>
  <c r="AK3225" i="16" s="1"/>
  <c r="AK3224" i="16" a="1"/>
  <c r="AK3224" i="16" s="1"/>
  <c r="AK3223" i="16" a="1"/>
  <c r="AK3223" i="16" s="1"/>
  <c r="AK3222" i="16" a="1"/>
  <c r="AK3222" i="16" s="1"/>
  <c r="AK3221" i="16" a="1"/>
  <c r="AK3221" i="16" s="1"/>
  <c r="AK3220" i="16" a="1"/>
  <c r="AK3220" i="16" s="1"/>
  <c r="AK3219" i="16" a="1"/>
  <c r="AK3219" i="16" s="1"/>
  <c r="AK3218" i="16" a="1"/>
  <c r="AK3218" i="16" s="1"/>
  <c r="AK3217" i="16" a="1"/>
  <c r="AK3217" i="16" s="1"/>
  <c r="AK3216" i="16" a="1"/>
  <c r="AK3216" i="16" s="1"/>
  <c r="AK3215" i="16" a="1"/>
  <c r="AK3215" i="16" s="1"/>
  <c r="AK3214" i="16" a="1"/>
  <c r="AK3214" i="16" s="1"/>
  <c r="AK3213" i="16" a="1"/>
  <c r="AK3213" i="16" s="1"/>
  <c r="AK3212" i="16" a="1"/>
  <c r="AK3212" i="16" s="1"/>
  <c r="AK3211" i="16" a="1"/>
  <c r="AK3211" i="16" s="1"/>
  <c r="AK3210" i="16" a="1"/>
  <c r="AK3210" i="16" s="1"/>
  <c r="AK3209" i="16" a="1"/>
  <c r="AK3209" i="16" s="1"/>
  <c r="AK3208" i="16" a="1"/>
  <c r="AK3208" i="16" s="1"/>
  <c r="AK3207" i="16" a="1"/>
  <c r="AK3207" i="16" s="1"/>
  <c r="AK3206" i="16" a="1"/>
  <c r="AK3206" i="16" s="1"/>
  <c r="AK3205" i="16" a="1"/>
  <c r="AK3205" i="16" s="1"/>
  <c r="AK3204" i="16" a="1"/>
  <c r="AK3204" i="16" s="1"/>
  <c r="AK3203" i="16" a="1"/>
  <c r="AK3203" i="16" s="1"/>
  <c r="AK3202" i="16" a="1"/>
  <c r="AK3202" i="16" s="1"/>
  <c r="AK3201" i="16" a="1"/>
  <c r="AK3201" i="16" s="1"/>
  <c r="AK3200" i="16" a="1"/>
  <c r="AK3200" i="16" s="1"/>
  <c r="AK3199" i="16" a="1"/>
  <c r="AK3199" i="16" s="1"/>
  <c r="AK3198" i="16" a="1"/>
  <c r="AK3198" i="16" s="1"/>
  <c r="AK3197" i="16" a="1"/>
  <c r="AK3197" i="16" s="1"/>
  <c r="AK3196" i="16" a="1"/>
  <c r="AK3196" i="16" s="1"/>
  <c r="AK3195" i="16" a="1"/>
  <c r="AK3195" i="16" s="1"/>
  <c r="AK3194" i="16" a="1"/>
  <c r="AK3194" i="16" s="1"/>
  <c r="AK3193" i="16" a="1"/>
  <c r="AK3193" i="16" s="1"/>
  <c r="AK3192" i="16" a="1"/>
  <c r="AK3192" i="16" s="1"/>
  <c r="AK3191" i="16" a="1"/>
  <c r="AK3191" i="16" s="1"/>
  <c r="AK3190" i="16" a="1"/>
  <c r="AK3190" i="16" s="1"/>
  <c r="AK3189" i="16" a="1"/>
  <c r="AK3189" i="16" s="1"/>
  <c r="AK3188" i="16" a="1"/>
  <c r="AK3188" i="16" s="1"/>
  <c r="AK3187" i="16" a="1"/>
  <c r="AK3187" i="16" s="1"/>
  <c r="AK3186" i="16" a="1"/>
  <c r="AK3186" i="16" s="1"/>
  <c r="AK3185" i="16" a="1"/>
  <c r="AK3185" i="16" s="1"/>
  <c r="AK3184" i="16" a="1"/>
  <c r="AK3184" i="16" s="1"/>
  <c r="AK3183" i="16" a="1"/>
  <c r="AK3183" i="16" s="1"/>
  <c r="AK3182" i="16" a="1"/>
  <c r="AK3182" i="16" s="1"/>
  <c r="AK3181" i="16" a="1"/>
  <c r="AK3181" i="16" s="1"/>
  <c r="AK3180" i="16" a="1"/>
  <c r="AK3180" i="16" s="1"/>
  <c r="AK3179" i="16" a="1"/>
  <c r="AK3179" i="16" s="1"/>
  <c r="AK3178" i="16" a="1"/>
  <c r="AK3178" i="16" s="1"/>
  <c r="AK3177" i="16" a="1"/>
  <c r="AK3177" i="16" s="1"/>
  <c r="AK3176" i="16" a="1"/>
  <c r="AK3176" i="16" s="1"/>
  <c r="AK3175" i="16" a="1"/>
  <c r="AK3175" i="16" s="1"/>
  <c r="AK3174" i="16" a="1"/>
  <c r="AK3174" i="16" s="1"/>
  <c r="AK3173" i="16" a="1"/>
  <c r="AK3173" i="16" s="1"/>
  <c r="AK3172" i="16" a="1"/>
  <c r="AK3172" i="16" s="1"/>
  <c r="AK3171" i="16" a="1"/>
  <c r="AK3171" i="16" s="1"/>
  <c r="AK3170" i="16" a="1"/>
  <c r="AK3170" i="16" s="1"/>
  <c r="AK3169" i="16" a="1"/>
  <c r="AK3169" i="16" s="1"/>
  <c r="AK3168" i="16" a="1"/>
  <c r="AK3168" i="16" s="1"/>
  <c r="AK3167" i="16" a="1"/>
  <c r="AK3167" i="16" s="1"/>
  <c r="AK3166" i="16" a="1"/>
  <c r="AK3166" i="16" s="1"/>
  <c r="AK3165" i="16" a="1"/>
  <c r="AK3165" i="16" s="1"/>
  <c r="AK3164" i="16" a="1"/>
  <c r="AK3164" i="16" s="1"/>
  <c r="AK3163" i="16" a="1"/>
  <c r="AK3163" i="16" s="1"/>
  <c r="AK3162" i="16" a="1"/>
  <c r="AK3162" i="16" s="1"/>
  <c r="AK3161" i="16" a="1"/>
  <c r="AK3161" i="16" s="1"/>
  <c r="AK3160" i="16" a="1"/>
  <c r="AK3160" i="16" s="1"/>
  <c r="AK3159" i="16" a="1"/>
  <c r="AK3159" i="16" s="1"/>
  <c r="AK3158" i="16" a="1"/>
  <c r="AK3158" i="16" s="1"/>
  <c r="AK3157" i="16" a="1"/>
  <c r="AK3157" i="16" s="1"/>
  <c r="AK3156" i="16" a="1"/>
  <c r="AK3156" i="16" s="1"/>
  <c r="AK3155" i="16" a="1"/>
  <c r="AK3155" i="16" s="1"/>
  <c r="AK3154" i="16" a="1"/>
  <c r="AK3154" i="16" s="1"/>
  <c r="AK3153" i="16" a="1"/>
  <c r="AK3153" i="16" s="1"/>
  <c r="AK3152" i="16" a="1"/>
  <c r="AK3152" i="16" s="1"/>
  <c r="AK3151" i="16" a="1"/>
  <c r="AK3151" i="16" s="1"/>
  <c r="AK3150" i="16" a="1"/>
  <c r="AK3150" i="16" s="1"/>
  <c r="AK3149" i="16" a="1"/>
  <c r="AK3149" i="16" s="1"/>
  <c r="AK3148" i="16" a="1"/>
  <c r="AK3148" i="16" s="1"/>
  <c r="AK3147" i="16" a="1"/>
  <c r="AK3147" i="16" s="1"/>
  <c r="AK3146" i="16" a="1"/>
  <c r="AK3146" i="16" s="1"/>
  <c r="AK3145" i="16" a="1"/>
  <c r="AK3145" i="16" s="1"/>
  <c r="AK3144" i="16" a="1"/>
  <c r="AK3144" i="16" s="1"/>
  <c r="AK3143" i="16" a="1"/>
  <c r="AK3143" i="16" s="1"/>
  <c r="AK3142" i="16" a="1"/>
  <c r="AK3142" i="16" s="1"/>
  <c r="AK3141" i="16" a="1"/>
  <c r="AK3141" i="16" s="1"/>
  <c r="AK3140" i="16" a="1"/>
  <c r="AK3140" i="16" s="1"/>
  <c r="AK3139" i="16" a="1"/>
  <c r="AK3139" i="16" s="1"/>
  <c r="AK3138" i="16" a="1"/>
  <c r="AK3138" i="16" s="1"/>
  <c r="AK3137" i="16" a="1"/>
  <c r="AK3137" i="16" s="1"/>
  <c r="AK3136" i="16" a="1"/>
  <c r="AK3136" i="16" s="1"/>
  <c r="AK3135" i="16" a="1"/>
  <c r="AK3135" i="16" s="1"/>
  <c r="AK3134" i="16" a="1"/>
  <c r="AK3134" i="16" s="1"/>
  <c r="AK3133" i="16" a="1"/>
  <c r="AK3133" i="16" s="1"/>
  <c r="AK3132" i="16" a="1"/>
  <c r="AK3132" i="16" s="1"/>
  <c r="AK3131" i="16" a="1"/>
  <c r="AK3131" i="16" s="1"/>
  <c r="AK3130" i="16" a="1"/>
  <c r="AK3130" i="16" s="1"/>
  <c r="AK3129" i="16" a="1"/>
  <c r="AK3129" i="16" s="1"/>
  <c r="AK3128" i="16" a="1"/>
  <c r="AK3128" i="16" s="1"/>
  <c r="AK3127" i="16" a="1"/>
  <c r="AK3127" i="16" s="1"/>
  <c r="AK3126" i="16" a="1"/>
  <c r="AK3126" i="16" s="1"/>
  <c r="AK3125" i="16" a="1"/>
  <c r="AK3125" i="16" s="1"/>
  <c r="AK3124" i="16" a="1"/>
  <c r="AK3124" i="16" s="1"/>
  <c r="AK3123" i="16" a="1"/>
  <c r="AK3123" i="16" s="1"/>
  <c r="AK3122" i="16" a="1"/>
  <c r="AK3122" i="16" s="1"/>
  <c r="AK3121" i="16" a="1"/>
  <c r="AK3121" i="16" s="1"/>
  <c r="AK3120" i="16" a="1"/>
  <c r="AK3120" i="16" s="1"/>
  <c r="AK3119" i="16" a="1"/>
  <c r="AK3119" i="16" s="1"/>
  <c r="AK3118" i="16" a="1"/>
  <c r="AK3118" i="16" s="1"/>
  <c r="AK3117" i="16" a="1"/>
  <c r="AK3117" i="16" s="1"/>
  <c r="AK3116" i="16" a="1"/>
  <c r="AK3116" i="16" s="1"/>
  <c r="AK3115" i="16" a="1"/>
  <c r="AK3115" i="16" s="1"/>
  <c r="AK3114" i="16" a="1"/>
  <c r="AK3114" i="16" s="1"/>
  <c r="AK3113" i="16" a="1"/>
  <c r="AK3113" i="16" s="1"/>
  <c r="AK3112" i="16" a="1"/>
  <c r="AK3112" i="16" s="1"/>
  <c r="AK3111" i="16" a="1"/>
  <c r="AK3111" i="16" s="1"/>
  <c r="AK3110" i="16" a="1"/>
  <c r="AK3110" i="16" s="1"/>
  <c r="AK3109" i="16" a="1"/>
  <c r="AK3109" i="16" s="1"/>
  <c r="AK3108" i="16" a="1"/>
  <c r="AK3108" i="16" s="1"/>
  <c r="AK3107" i="16" a="1"/>
  <c r="AK3107" i="16" s="1"/>
  <c r="AK3106" i="16" a="1"/>
  <c r="AK3106" i="16" s="1"/>
  <c r="AK3105" i="16" a="1"/>
  <c r="AK3105" i="16" s="1"/>
  <c r="AK3104" i="16" a="1"/>
  <c r="AK3104" i="16" s="1"/>
  <c r="AK3103" i="16" a="1"/>
  <c r="AK3103" i="16" s="1"/>
  <c r="AK3102" i="16" a="1"/>
  <c r="AK3102" i="16" s="1"/>
  <c r="AK3101" i="16" a="1"/>
  <c r="AK3101" i="16" s="1"/>
  <c r="AK3100" i="16" a="1"/>
  <c r="AK3100" i="16" s="1"/>
  <c r="AK3099" i="16" a="1"/>
  <c r="AK3099" i="16" s="1"/>
  <c r="AK3098" i="16" a="1"/>
  <c r="AK3098" i="16" s="1"/>
  <c r="AK3097" i="16" a="1"/>
  <c r="AK3097" i="16" s="1"/>
  <c r="AK3096" i="16" a="1"/>
  <c r="AK3096" i="16" s="1"/>
  <c r="AK3095" i="16" a="1"/>
  <c r="AK3095" i="16" s="1"/>
  <c r="AK3094" i="16" a="1"/>
  <c r="AK3094" i="16" s="1"/>
  <c r="AK3093" i="16" a="1"/>
  <c r="AK3093" i="16" s="1"/>
  <c r="AK3092" i="16" a="1"/>
  <c r="AK3092" i="16" s="1"/>
  <c r="AK3091" i="16" a="1"/>
  <c r="AK3091" i="16" s="1"/>
  <c r="AK3090" i="16" a="1"/>
  <c r="AK3090" i="16" s="1"/>
  <c r="AK3089" i="16" a="1"/>
  <c r="AK3089" i="16" s="1"/>
  <c r="AK3088" i="16" a="1"/>
  <c r="AK3088" i="16" s="1"/>
  <c r="AK3087" i="16" a="1"/>
  <c r="AK3087" i="16" s="1"/>
  <c r="AK3086" i="16" a="1"/>
  <c r="AK3086" i="16" s="1"/>
  <c r="AK3085" i="16" a="1"/>
  <c r="AK3085" i="16" s="1"/>
  <c r="AK3084" i="16" a="1"/>
  <c r="AK3084" i="16" s="1"/>
  <c r="AK3083" i="16" a="1"/>
  <c r="AK3083" i="16" s="1"/>
  <c r="AK3082" i="16" a="1"/>
  <c r="AK3082" i="16" s="1"/>
  <c r="AK3081" i="16" a="1"/>
  <c r="AK3081" i="16" s="1"/>
  <c r="AK3080" i="16" a="1"/>
  <c r="AK3080" i="16" s="1"/>
  <c r="AK3079" i="16" a="1"/>
  <c r="AK3079" i="16" s="1"/>
  <c r="AK3078" i="16" a="1"/>
  <c r="AK3078" i="16" s="1"/>
  <c r="AK3077" i="16" a="1"/>
  <c r="AK3077" i="16" s="1"/>
  <c r="AK3076" i="16" a="1"/>
  <c r="AK3076" i="16" s="1"/>
  <c r="AK3075" i="16" a="1"/>
  <c r="AK3075" i="16" s="1"/>
  <c r="AK3074" i="16" a="1"/>
  <c r="AK3074" i="16" s="1"/>
  <c r="AK3073" i="16" a="1"/>
  <c r="AK3073" i="16" s="1"/>
  <c r="AK3072" i="16" a="1"/>
  <c r="AK3072" i="16" s="1"/>
  <c r="AK3071" i="16" a="1"/>
  <c r="AK3071" i="16" s="1"/>
  <c r="AK3070" i="16" a="1"/>
  <c r="AK3070" i="16" s="1"/>
  <c r="AK3069" i="16" a="1"/>
  <c r="AK3069" i="16" s="1"/>
  <c r="AK3068" i="16" a="1"/>
  <c r="AK3068" i="16" s="1"/>
  <c r="AK3067" i="16" a="1"/>
  <c r="AK3067" i="16" s="1"/>
  <c r="AK3066" i="16" a="1"/>
  <c r="AK3066" i="16" s="1"/>
  <c r="AK3065" i="16" a="1"/>
  <c r="AK3065" i="16" s="1"/>
  <c r="AK3064" i="16" a="1"/>
  <c r="AK3064" i="16" s="1"/>
  <c r="AK3063" i="16" a="1"/>
  <c r="AK3063" i="16" s="1"/>
  <c r="AK3062" i="16" a="1"/>
  <c r="AK3062" i="16" s="1"/>
  <c r="AK3061" i="16" a="1"/>
  <c r="AK3061" i="16" s="1"/>
  <c r="AK3060" i="16" a="1"/>
  <c r="AK3060" i="16" s="1"/>
  <c r="AK3059" i="16" a="1"/>
  <c r="AK3059" i="16" s="1"/>
  <c r="AK3058" i="16" a="1"/>
  <c r="AK3058" i="16" s="1"/>
  <c r="AK3057" i="16" a="1"/>
  <c r="AK3057" i="16" s="1"/>
  <c r="AK3056" i="16" a="1"/>
  <c r="AK3056" i="16" s="1"/>
  <c r="AK3055" i="16" a="1"/>
  <c r="AK3055" i="16" s="1"/>
  <c r="AK3054" i="16" a="1"/>
  <c r="AK3054" i="16" s="1"/>
  <c r="AK3053" i="16" a="1"/>
  <c r="AK3053" i="16" s="1"/>
  <c r="AK3052" i="16" a="1"/>
  <c r="AK3052" i="16" s="1"/>
  <c r="AK3051" i="16" a="1"/>
  <c r="AK3051" i="16" s="1"/>
  <c r="AK3050" i="16" a="1"/>
  <c r="AK3050" i="16" s="1"/>
  <c r="AK3049" i="16" a="1"/>
  <c r="AK3049" i="16" s="1"/>
  <c r="AK3048" i="16" a="1"/>
  <c r="AK3048" i="16" s="1"/>
  <c r="AK3047" i="16" a="1"/>
  <c r="AK3047" i="16" s="1"/>
  <c r="AK3046" i="16" a="1"/>
  <c r="AK3046" i="16" s="1"/>
  <c r="AK3045" i="16" a="1"/>
  <c r="AK3045" i="16" s="1"/>
  <c r="AK3044" i="16" a="1"/>
  <c r="AK3044" i="16" s="1"/>
  <c r="AK3043" i="16" a="1"/>
  <c r="AK3043" i="16" s="1"/>
  <c r="AK3042" i="16" a="1"/>
  <c r="AK3042" i="16" s="1"/>
  <c r="AK3041" i="16" a="1"/>
  <c r="AK3041" i="16" s="1"/>
  <c r="AK3040" i="16" a="1"/>
  <c r="AK3040" i="16" s="1"/>
  <c r="AK3039" i="16" a="1"/>
  <c r="AK3039" i="16" s="1"/>
  <c r="AK3038" i="16" a="1"/>
  <c r="AK3038" i="16" s="1"/>
  <c r="AK3037" i="16" a="1"/>
  <c r="AK3037" i="16" s="1"/>
  <c r="AK3036" i="16" a="1"/>
  <c r="AK3036" i="16" s="1"/>
  <c r="AK3035" i="16" a="1"/>
  <c r="AK3035" i="16" s="1"/>
  <c r="AK3034" i="16" a="1"/>
  <c r="AK3034" i="16" s="1"/>
  <c r="AK3033" i="16" a="1"/>
  <c r="AK3033" i="16" s="1"/>
  <c r="AK3032" i="16" a="1"/>
  <c r="AK3032" i="16" s="1"/>
  <c r="AK3031" i="16" a="1"/>
  <c r="AK3031" i="16" s="1"/>
  <c r="AK3030" i="16" a="1"/>
  <c r="AK3030" i="16" s="1"/>
  <c r="AK3029" i="16" a="1"/>
  <c r="AK3029" i="16" s="1"/>
  <c r="AK3028" i="16" a="1"/>
  <c r="AK3028" i="16" s="1"/>
  <c r="AK3027" i="16" a="1"/>
  <c r="AK3027" i="16" s="1"/>
  <c r="AK3026" i="16" a="1"/>
  <c r="AK3026" i="16" s="1"/>
  <c r="AK3025" i="16" a="1"/>
  <c r="AK3025" i="16" s="1"/>
  <c r="AK3024" i="16" a="1"/>
  <c r="AK3024" i="16" s="1"/>
  <c r="AK3023" i="16" a="1"/>
  <c r="AK3023" i="16" s="1"/>
  <c r="AK3022" i="16" a="1"/>
  <c r="AK3022" i="16" s="1"/>
  <c r="AK3021" i="16" a="1"/>
  <c r="AK3021" i="16" s="1"/>
  <c r="AK3020" i="16" a="1"/>
  <c r="AK3020" i="16" s="1"/>
  <c r="AK3019" i="16" a="1"/>
  <c r="AK3019" i="16" s="1"/>
  <c r="AK3018" i="16" a="1"/>
  <c r="AK3018" i="16" s="1"/>
  <c r="AK3017" i="16" a="1"/>
  <c r="AK3017" i="16" s="1"/>
  <c r="AK3016" i="16" a="1"/>
  <c r="AK3016" i="16" s="1"/>
  <c r="AK3015" i="16" a="1"/>
  <c r="AK3015" i="16" s="1"/>
  <c r="AK3014" i="16" a="1"/>
  <c r="AK3014" i="16" s="1"/>
  <c r="AK3013" i="16" a="1"/>
  <c r="AK3013" i="16" s="1"/>
  <c r="AK3012" i="16" a="1"/>
  <c r="AK3012" i="16" s="1"/>
  <c r="AK3011" i="16" a="1"/>
  <c r="AK3011" i="16" s="1"/>
  <c r="AK3010" i="16" a="1"/>
  <c r="AK3010" i="16" s="1"/>
  <c r="AK3009" i="16" a="1"/>
  <c r="AK3009" i="16" s="1"/>
  <c r="AK3008" i="16" a="1"/>
  <c r="AK3008" i="16" s="1"/>
  <c r="AK3007" i="16" a="1"/>
  <c r="AK3007" i="16" s="1"/>
  <c r="AK3006" i="16" a="1"/>
  <c r="AK3006" i="16" s="1"/>
  <c r="AK3005" i="16" a="1"/>
  <c r="AK3005" i="16" s="1"/>
  <c r="AK3004" i="16" a="1"/>
  <c r="AK3004" i="16" s="1"/>
  <c r="AK3003" i="16" a="1"/>
  <c r="AK3003" i="16" s="1"/>
  <c r="AK3002" i="16" a="1"/>
  <c r="AK3002" i="16" s="1"/>
  <c r="AK3001" i="16" a="1"/>
  <c r="AK3001" i="16" s="1"/>
  <c r="AK3000" i="16" a="1"/>
  <c r="AK3000" i="16" s="1"/>
  <c r="AK2999" i="16" a="1"/>
  <c r="AK2999" i="16" s="1"/>
  <c r="AK2998" i="16" a="1"/>
  <c r="AK2998" i="16" s="1"/>
  <c r="AK2997" i="16" a="1"/>
  <c r="AK2997" i="16" s="1"/>
  <c r="AK2996" i="16" a="1"/>
  <c r="AK2996" i="16" s="1"/>
  <c r="AK2995" i="16" a="1"/>
  <c r="AK2995" i="16" s="1"/>
  <c r="AK2994" i="16" a="1"/>
  <c r="AK2994" i="16" s="1"/>
  <c r="AK2993" i="16" a="1"/>
  <c r="AK2993" i="16" s="1"/>
  <c r="AK2992" i="16" a="1"/>
  <c r="AK2992" i="16" s="1"/>
  <c r="AK2991" i="16" a="1"/>
  <c r="AK2991" i="16" s="1"/>
  <c r="AK2990" i="16" a="1"/>
  <c r="AK2990" i="16" s="1"/>
  <c r="AK2989" i="16" a="1"/>
  <c r="AK2989" i="16" s="1"/>
  <c r="AK2988" i="16" a="1"/>
  <c r="AK2988" i="16" s="1"/>
  <c r="AK2987" i="16" a="1"/>
  <c r="AK2987" i="16" s="1"/>
  <c r="AK2986" i="16" a="1"/>
  <c r="AK2986" i="16" s="1"/>
  <c r="AK2985" i="16" a="1"/>
  <c r="AK2985" i="16" s="1"/>
  <c r="AK2984" i="16" a="1"/>
  <c r="AK2984" i="16" s="1"/>
  <c r="AK2983" i="16" a="1"/>
  <c r="AK2983" i="16" s="1"/>
  <c r="AK2982" i="16" a="1"/>
  <c r="AK2982" i="16" s="1"/>
  <c r="AK2981" i="16" a="1"/>
  <c r="AK2981" i="16" s="1"/>
  <c r="AK2980" i="16" a="1"/>
  <c r="AK2980" i="16" s="1"/>
  <c r="AK2979" i="16" a="1"/>
  <c r="AK2979" i="16" s="1"/>
  <c r="AK2978" i="16" a="1"/>
  <c r="AK2978" i="16" s="1"/>
  <c r="AK2977" i="16" a="1"/>
  <c r="AK2977" i="16" s="1"/>
  <c r="AK2976" i="16" a="1"/>
  <c r="AK2976" i="16" s="1"/>
  <c r="AK2975" i="16" a="1"/>
  <c r="AK2975" i="16" s="1"/>
  <c r="AK2974" i="16" a="1"/>
  <c r="AK2974" i="16" s="1"/>
  <c r="AK2973" i="16" a="1"/>
  <c r="AK2973" i="16" s="1"/>
  <c r="AK2972" i="16" a="1"/>
  <c r="AK2972" i="16" s="1"/>
  <c r="AK2971" i="16" a="1"/>
  <c r="AK2971" i="16" s="1"/>
  <c r="AK2970" i="16" a="1"/>
  <c r="AK2970" i="16" s="1"/>
  <c r="AK2969" i="16" a="1"/>
  <c r="AK2969" i="16" s="1"/>
  <c r="AK2968" i="16" a="1"/>
  <c r="AK2968" i="16" s="1"/>
  <c r="AK2967" i="16" a="1"/>
  <c r="AK2967" i="16" s="1"/>
  <c r="AK2966" i="16" a="1"/>
  <c r="AK2966" i="16" s="1"/>
  <c r="AK2965" i="16" a="1"/>
  <c r="AK2965" i="16" s="1"/>
  <c r="AK2964" i="16" a="1"/>
  <c r="AK2964" i="16" s="1"/>
  <c r="AK2963" i="16" a="1"/>
  <c r="AK2963" i="16" s="1"/>
  <c r="AK2962" i="16" a="1"/>
  <c r="AK2962" i="16" s="1"/>
  <c r="AK2961" i="16" a="1"/>
  <c r="AK2961" i="16" s="1"/>
  <c r="AK2960" i="16" a="1"/>
  <c r="AK2960" i="16" s="1"/>
  <c r="AK2959" i="16" a="1"/>
  <c r="AK2959" i="16" s="1"/>
  <c r="AK2958" i="16" a="1"/>
  <c r="AK2958" i="16" s="1"/>
  <c r="AK2957" i="16" a="1"/>
  <c r="AK2957" i="16" s="1"/>
  <c r="AK2956" i="16" a="1"/>
  <c r="AK2956" i="16" s="1"/>
  <c r="AK2955" i="16" a="1"/>
  <c r="AK2955" i="16" s="1"/>
  <c r="AK2954" i="16" a="1"/>
  <c r="AK2954" i="16" s="1"/>
  <c r="AK2953" i="16" a="1"/>
  <c r="AK2953" i="16" s="1"/>
  <c r="AK2952" i="16" a="1"/>
  <c r="AK2952" i="16" s="1"/>
  <c r="AK2951" i="16" a="1"/>
  <c r="AK2951" i="16" s="1"/>
  <c r="AK2950" i="16" a="1"/>
  <c r="AK2950" i="16" s="1"/>
  <c r="AK2949" i="16" a="1"/>
  <c r="AK2949" i="16" s="1"/>
  <c r="AK2948" i="16" a="1"/>
  <c r="AK2948" i="16" s="1"/>
  <c r="AK2947" i="16" a="1"/>
  <c r="AK2947" i="16" s="1"/>
  <c r="AK2946" i="16" a="1"/>
  <c r="AK2946" i="16" s="1"/>
  <c r="AK2945" i="16" a="1"/>
  <c r="AK2945" i="16" s="1"/>
  <c r="AK2944" i="16" a="1"/>
  <c r="AK2944" i="16" s="1"/>
  <c r="AK2943" i="16" a="1"/>
  <c r="AK2943" i="16" s="1"/>
  <c r="AK2942" i="16" a="1"/>
  <c r="AK2942" i="16" s="1"/>
  <c r="AK2941" i="16" a="1"/>
  <c r="AK2941" i="16" s="1"/>
  <c r="AK2940" i="16" a="1"/>
  <c r="AK2940" i="16" s="1"/>
  <c r="AK2939" i="16" a="1"/>
  <c r="AK2939" i="16" s="1"/>
  <c r="AK2938" i="16" a="1"/>
  <c r="AK2938" i="16" s="1"/>
  <c r="AK2937" i="16" a="1"/>
  <c r="AK2937" i="16" s="1"/>
  <c r="AK2936" i="16" a="1"/>
  <c r="AK2936" i="16" s="1"/>
  <c r="AK2935" i="16" a="1"/>
  <c r="AK2935" i="16" s="1"/>
  <c r="AK2934" i="16" a="1"/>
  <c r="AK2934" i="16" s="1"/>
  <c r="AK2933" i="16" a="1"/>
  <c r="AK2933" i="16" s="1"/>
  <c r="AK2932" i="16" a="1"/>
  <c r="AK2932" i="16" s="1"/>
  <c r="AK2931" i="16" a="1"/>
  <c r="AK2931" i="16" s="1"/>
  <c r="AK2930" i="16" a="1"/>
  <c r="AK2930" i="16" s="1"/>
  <c r="AK2929" i="16" a="1"/>
  <c r="AK2929" i="16" s="1"/>
  <c r="AK2928" i="16" a="1"/>
  <c r="AK2928" i="16" s="1"/>
  <c r="AK2927" i="16" a="1"/>
  <c r="AK2927" i="16" s="1"/>
  <c r="AK2926" i="16" a="1"/>
  <c r="AK2926" i="16" s="1"/>
  <c r="AK2925" i="16" a="1"/>
  <c r="AK2925" i="16" s="1"/>
  <c r="AK2924" i="16" a="1"/>
  <c r="AK2924" i="16" s="1"/>
  <c r="AK2923" i="16" a="1"/>
  <c r="AK2923" i="16" s="1"/>
  <c r="AK2922" i="16" a="1"/>
  <c r="AK2922" i="16" s="1"/>
  <c r="AK2921" i="16" a="1"/>
  <c r="AK2921" i="16" s="1"/>
  <c r="AK2920" i="16" a="1"/>
  <c r="AK2920" i="16" s="1"/>
  <c r="AK2919" i="16" a="1"/>
  <c r="AK2919" i="16" s="1"/>
  <c r="AK2918" i="16" a="1"/>
  <c r="AK2918" i="16" s="1"/>
  <c r="AK2917" i="16" a="1"/>
  <c r="AK2917" i="16" s="1"/>
  <c r="AK2916" i="16" a="1"/>
  <c r="AK2916" i="16" s="1"/>
  <c r="AK2915" i="16" a="1"/>
  <c r="AK2915" i="16" s="1"/>
  <c r="AK2914" i="16" a="1"/>
  <c r="AK2914" i="16" s="1"/>
  <c r="AK2913" i="16" a="1"/>
  <c r="AK2913" i="16" s="1"/>
  <c r="AK2912" i="16" a="1"/>
  <c r="AK2912" i="16" s="1"/>
  <c r="AK2911" i="16" a="1"/>
  <c r="AK2911" i="16" s="1"/>
  <c r="AK2910" i="16" a="1"/>
  <c r="AK2910" i="16" s="1"/>
  <c r="AK2909" i="16" a="1"/>
  <c r="AK2909" i="16" s="1"/>
  <c r="AK2908" i="16" a="1"/>
  <c r="AK2908" i="16" s="1"/>
  <c r="AK2907" i="16" a="1"/>
  <c r="AK2907" i="16" s="1"/>
  <c r="AK2906" i="16" a="1"/>
  <c r="AK2906" i="16" s="1"/>
  <c r="AK2905" i="16" a="1"/>
  <c r="AK2905" i="16" s="1"/>
  <c r="AK2904" i="16" a="1"/>
  <c r="AK2904" i="16" s="1"/>
  <c r="AK2903" i="16" a="1"/>
  <c r="AK2903" i="16" s="1"/>
  <c r="AK2902" i="16" a="1"/>
  <c r="AK2902" i="16" s="1"/>
  <c r="AK2901" i="16" a="1"/>
  <c r="AK2901" i="16" s="1"/>
  <c r="AK2900" i="16" a="1"/>
  <c r="AK2900" i="16" s="1"/>
  <c r="AK2899" i="16" a="1"/>
  <c r="AK2899" i="16" s="1"/>
  <c r="AK2898" i="16" a="1"/>
  <c r="AK2898" i="16" s="1"/>
  <c r="AK2897" i="16" a="1"/>
  <c r="AK2897" i="16" s="1"/>
  <c r="AK2896" i="16" a="1"/>
  <c r="AK2896" i="16" s="1"/>
  <c r="AK2895" i="16" a="1"/>
  <c r="AK2895" i="16" s="1"/>
  <c r="AK2894" i="16" a="1"/>
  <c r="AK2894" i="16" s="1"/>
  <c r="AK2893" i="16" a="1"/>
  <c r="AK2893" i="16" s="1"/>
  <c r="AK2892" i="16" a="1"/>
  <c r="AK2892" i="16" s="1"/>
  <c r="AK2891" i="16" a="1"/>
  <c r="AK2891" i="16" s="1"/>
  <c r="AK2890" i="16" a="1"/>
  <c r="AK2890" i="16" s="1"/>
  <c r="AK2889" i="16" a="1"/>
  <c r="AK2889" i="16" s="1"/>
  <c r="AK2888" i="16" a="1"/>
  <c r="AK2888" i="16" s="1"/>
  <c r="AK2887" i="16" a="1"/>
  <c r="AK2887" i="16" s="1"/>
  <c r="AK2886" i="16" a="1"/>
  <c r="AK2886" i="16" s="1"/>
  <c r="AK2885" i="16" a="1"/>
  <c r="AK2885" i="16" s="1"/>
  <c r="AK2884" i="16" a="1"/>
  <c r="AK2884" i="16" s="1"/>
  <c r="AK2883" i="16" a="1"/>
  <c r="AK2883" i="16" s="1"/>
  <c r="AK2882" i="16" a="1"/>
  <c r="AK2882" i="16" s="1"/>
  <c r="AK2881" i="16" a="1"/>
  <c r="AK2881" i="16" s="1"/>
  <c r="AK2880" i="16" a="1"/>
  <c r="AK2880" i="16" s="1"/>
  <c r="AK2879" i="16" a="1"/>
  <c r="AK2879" i="16" s="1"/>
  <c r="AK2878" i="16" a="1"/>
  <c r="AK2878" i="16" s="1"/>
  <c r="AK2877" i="16" a="1"/>
  <c r="AK2877" i="16" s="1"/>
  <c r="AK2876" i="16" a="1"/>
  <c r="AK2876" i="16" s="1"/>
  <c r="AK2875" i="16" a="1"/>
  <c r="AK2875" i="16" s="1"/>
  <c r="AK2874" i="16" a="1"/>
  <c r="AK2874" i="16" s="1"/>
  <c r="AK2873" i="16" a="1"/>
  <c r="AK2873" i="16" s="1"/>
  <c r="AK2872" i="16" a="1"/>
  <c r="AK2872" i="16" s="1"/>
  <c r="AK2871" i="16" a="1"/>
  <c r="AK2871" i="16" s="1"/>
  <c r="AK2870" i="16" a="1"/>
  <c r="AK2870" i="16" s="1"/>
  <c r="AK2869" i="16" a="1"/>
  <c r="AK2869" i="16" s="1"/>
  <c r="AK2868" i="16" a="1"/>
  <c r="AK2868" i="16" s="1"/>
  <c r="AK2867" i="16" a="1"/>
  <c r="AK2867" i="16" s="1"/>
  <c r="AK2866" i="16" a="1"/>
  <c r="AK2866" i="16" s="1"/>
  <c r="AK2865" i="16" a="1"/>
  <c r="AK2865" i="16" s="1"/>
  <c r="AK2864" i="16" a="1"/>
  <c r="AK2864" i="16" s="1"/>
  <c r="AK2863" i="16" a="1"/>
  <c r="AK2863" i="16" s="1"/>
  <c r="AK2862" i="16" a="1"/>
  <c r="AK2862" i="16" s="1"/>
  <c r="AK2861" i="16" a="1"/>
  <c r="AK2861" i="16" s="1"/>
  <c r="AK2860" i="16" a="1"/>
  <c r="AK2860" i="16" s="1"/>
  <c r="AK2859" i="16" a="1"/>
  <c r="AK2859" i="16" s="1"/>
  <c r="AK2858" i="16" a="1"/>
  <c r="AK2858" i="16" s="1"/>
  <c r="AK2857" i="16" a="1"/>
  <c r="AK2857" i="16" s="1"/>
  <c r="AK2856" i="16" a="1"/>
  <c r="AK2856" i="16" s="1"/>
  <c r="AK2855" i="16" a="1"/>
  <c r="AK2855" i="16" s="1"/>
  <c r="AK2854" i="16" a="1"/>
  <c r="AK2854" i="16" s="1"/>
  <c r="AK2853" i="16" a="1"/>
  <c r="AK2853" i="16" s="1"/>
  <c r="AK2852" i="16" a="1"/>
  <c r="AK2852" i="16" s="1"/>
  <c r="AK2851" i="16" a="1"/>
  <c r="AK2851" i="16" s="1"/>
  <c r="AK2850" i="16" a="1"/>
  <c r="AK2850" i="16" s="1"/>
  <c r="AK2849" i="16" a="1"/>
  <c r="AK2849" i="16" s="1"/>
  <c r="AK2848" i="16" a="1"/>
  <c r="AK2848" i="16" s="1"/>
  <c r="AK2847" i="16" a="1"/>
  <c r="AK2847" i="16" s="1"/>
  <c r="AK2846" i="16" a="1"/>
  <c r="AK2846" i="16" s="1"/>
  <c r="AK2845" i="16" a="1"/>
  <c r="AK2845" i="16" s="1"/>
  <c r="AK2844" i="16" a="1"/>
  <c r="AK2844" i="16" s="1"/>
  <c r="AK2843" i="16" a="1"/>
  <c r="AK2843" i="16" s="1"/>
  <c r="AK2842" i="16" a="1"/>
  <c r="AK2842" i="16" s="1"/>
  <c r="AK2841" i="16" a="1"/>
  <c r="AK2841" i="16" s="1"/>
  <c r="AK2840" i="16" a="1"/>
  <c r="AK2840" i="16" s="1"/>
  <c r="AK2839" i="16" a="1"/>
  <c r="AK2839" i="16" s="1"/>
  <c r="AK2838" i="16" a="1"/>
  <c r="AK2838" i="16" s="1"/>
  <c r="AK2837" i="16" a="1"/>
  <c r="AK2837" i="16" s="1"/>
  <c r="AK2836" i="16" a="1"/>
  <c r="AK2836" i="16" s="1"/>
  <c r="AK2835" i="16" a="1"/>
  <c r="AK2835" i="16" s="1"/>
  <c r="AK2834" i="16" a="1"/>
  <c r="AK2834" i="16" s="1"/>
  <c r="AK2833" i="16" a="1"/>
  <c r="AK2833" i="16" s="1"/>
  <c r="AK2832" i="16" a="1"/>
  <c r="AK2832" i="16" s="1"/>
  <c r="AK2831" i="16" a="1"/>
  <c r="AK2831" i="16" s="1"/>
  <c r="AK2830" i="16" a="1"/>
  <c r="AK2830" i="16" s="1"/>
  <c r="AK2829" i="16" a="1"/>
  <c r="AK2829" i="16" s="1"/>
  <c r="AK2828" i="16" a="1"/>
  <c r="AK2828" i="16" s="1"/>
  <c r="AK2827" i="16" a="1"/>
  <c r="AK2827" i="16" s="1"/>
  <c r="AK2826" i="16" a="1"/>
  <c r="AK2826" i="16" s="1"/>
  <c r="AK2825" i="16" a="1"/>
  <c r="AK2825" i="16" s="1"/>
  <c r="AK2824" i="16" a="1"/>
  <c r="AK2824" i="16" s="1"/>
  <c r="AK2823" i="16" a="1"/>
  <c r="AK2823" i="16" s="1"/>
  <c r="AK2822" i="16" a="1"/>
  <c r="AK2822" i="16" s="1"/>
  <c r="AK2821" i="16" a="1"/>
  <c r="AK2821" i="16" s="1"/>
  <c r="AK2820" i="16" a="1"/>
  <c r="AK2820" i="16" s="1"/>
  <c r="AK2819" i="16" a="1"/>
  <c r="AK2819" i="16" s="1"/>
  <c r="AK2818" i="16" a="1"/>
  <c r="AK2818" i="16" s="1"/>
  <c r="AK2817" i="16" a="1"/>
  <c r="AK2817" i="16" s="1"/>
  <c r="AK2816" i="16" a="1"/>
  <c r="AK2816" i="16" s="1"/>
  <c r="AK2815" i="16" a="1"/>
  <c r="AK2815" i="16" s="1"/>
  <c r="AK2814" i="16" a="1"/>
  <c r="AK2814" i="16" s="1"/>
  <c r="AK2813" i="16" a="1"/>
  <c r="AK2813" i="16" s="1"/>
  <c r="AK2812" i="16" a="1"/>
  <c r="AK2812" i="16" s="1"/>
  <c r="AK2811" i="16" a="1"/>
  <c r="AK2811" i="16" s="1"/>
  <c r="AK2810" i="16" a="1"/>
  <c r="AK2810" i="16" s="1"/>
  <c r="AK2809" i="16" a="1"/>
  <c r="AK2809" i="16" s="1"/>
  <c r="AK2808" i="16" a="1"/>
  <c r="AK2808" i="16" s="1"/>
  <c r="AK2807" i="16" a="1"/>
  <c r="AK2807" i="16" s="1"/>
  <c r="AK2806" i="16" a="1"/>
  <c r="AK2806" i="16" s="1"/>
  <c r="AK2805" i="16" a="1"/>
  <c r="AK2805" i="16" s="1"/>
  <c r="AK2804" i="16" a="1"/>
  <c r="AK2804" i="16" s="1"/>
  <c r="AK2803" i="16" a="1"/>
  <c r="AK2803" i="16" s="1"/>
  <c r="AK2802" i="16" a="1"/>
  <c r="AK2802" i="16" s="1"/>
  <c r="AK2801" i="16" a="1"/>
  <c r="AK2801" i="16" s="1"/>
  <c r="AK2800" i="16" a="1"/>
  <c r="AK2800" i="16" s="1"/>
  <c r="AK2799" i="16" a="1"/>
  <c r="AK2799" i="16" s="1"/>
  <c r="AK2798" i="16" a="1"/>
  <c r="AK2798" i="16" s="1"/>
  <c r="AK2797" i="16" a="1"/>
  <c r="AK2797" i="16" s="1"/>
  <c r="AK2796" i="16" a="1"/>
  <c r="AK2796" i="16" s="1"/>
  <c r="AK2795" i="16" a="1"/>
  <c r="AK2795" i="16" s="1"/>
  <c r="AK2794" i="16" a="1"/>
  <c r="AK2794" i="16" s="1"/>
  <c r="AK2793" i="16" a="1"/>
  <c r="AK2793" i="16" s="1"/>
  <c r="AK2792" i="16" a="1"/>
  <c r="AK2792" i="16" s="1"/>
  <c r="AK2791" i="16" a="1"/>
  <c r="AK2791" i="16" s="1"/>
  <c r="AK2790" i="16" a="1"/>
  <c r="AK2790" i="16" s="1"/>
  <c r="AK2789" i="16" a="1"/>
  <c r="AK2789" i="16" s="1"/>
  <c r="AK2788" i="16" a="1"/>
  <c r="AK2788" i="16" s="1"/>
  <c r="AK2787" i="16" a="1"/>
  <c r="AK2787" i="16" s="1"/>
  <c r="AK2786" i="16" a="1"/>
  <c r="AK2786" i="16" s="1"/>
  <c r="AK2785" i="16" a="1"/>
  <c r="AK2785" i="16" s="1"/>
  <c r="AK2784" i="16" a="1"/>
  <c r="AK2784" i="16" s="1"/>
  <c r="AK2783" i="16" a="1"/>
  <c r="AK2783" i="16" s="1"/>
  <c r="AK2782" i="16" a="1"/>
  <c r="AK2782" i="16" s="1"/>
  <c r="AK2781" i="16" a="1"/>
  <c r="AK2781" i="16" s="1"/>
  <c r="AK2780" i="16" a="1"/>
  <c r="AK2780" i="16" s="1"/>
  <c r="AK2779" i="16" a="1"/>
  <c r="AK2779" i="16" s="1"/>
  <c r="AK2778" i="16" a="1"/>
  <c r="AK2778" i="16" s="1"/>
  <c r="AK2777" i="16" a="1"/>
  <c r="AK2777" i="16" s="1"/>
  <c r="AK2776" i="16" a="1"/>
  <c r="AK2776" i="16" s="1"/>
  <c r="AK2775" i="16" a="1"/>
  <c r="AK2775" i="16" s="1"/>
  <c r="AK2643" i="16" a="1"/>
  <c r="AK2643" i="16" s="1"/>
  <c r="AK2642" i="16" a="1"/>
  <c r="AK2642" i="16" s="1"/>
  <c r="AK2641" i="16" a="1"/>
  <c r="AK2641" i="16" s="1"/>
  <c r="AK2640" i="16" a="1"/>
  <c r="AK2640" i="16" s="1"/>
  <c r="AK2639" i="16" a="1"/>
  <c r="AK2639" i="16" s="1"/>
  <c r="AK2638" i="16" a="1"/>
  <c r="AK2638" i="16" s="1"/>
  <c r="AK2637" i="16" a="1"/>
  <c r="AK2637" i="16" s="1"/>
  <c r="AK2636" i="16" a="1"/>
  <c r="AK2636" i="16" s="1"/>
  <c r="AK2635" i="16" a="1"/>
  <c r="AK2635" i="16" s="1"/>
  <c r="AK2634" i="16" a="1"/>
  <c r="AK2634" i="16" s="1"/>
  <c r="AK2633" i="16" a="1"/>
  <c r="AK2633" i="16" s="1"/>
  <c r="AK2632" i="16" a="1"/>
  <c r="AK2632" i="16" s="1"/>
  <c r="AK2631" i="16" a="1"/>
  <c r="AK2631" i="16" s="1"/>
  <c r="AK2630" i="16" a="1"/>
  <c r="AK2630" i="16" s="1"/>
  <c r="AK2629" i="16" a="1"/>
  <c r="AK2629" i="16" s="1"/>
  <c r="AK2628" i="16" a="1"/>
  <c r="AK2628" i="16" s="1"/>
  <c r="AK2627" i="16" a="1"/>
  <c r="AK2627" i="16" s="1"/>
  <c r="AK2626" i="16" a="1"/>
  <c r="AK2626" i="16" s="1"/>
  <c r="AK2625" i="16" a="1"/>
  <c r="AK2625" i="16" s="1"/>
  <c r="AK2624" i="16" a="1"/>
  <c r="AK2624" i="16" s="1"/>
  <c r="AK2623" i="16" a="1"/>
  <c r="AK2623" i="16" s="1"/>
  <c r="AK2622" i="16" a="1"/>
  <c r="AK2622" i="16" s="1"/>
  <c r="AK2621" i="16" a="1"/>
  <c r="AK2621" i="16" s="1"/>
  <c r="AK2620" i="16" a="1"/>
  <c r="AK2620" i="16" s="1"/>
  <c r="AK2619" i="16" a="1"/>
  <c r="AK2619" i="16" s="1"/>
  <c r="AK2618" i="16" a="1"/>
  <c r="AK2618" i="16" s="1"/>
  <c r="AK2617" i="16" a="1"/>
  <c r="AK2617" i="16" s="1"/>
  <c r="AK2616" i="16" a="1"/>
  <c r="AK2616" i="16" s="1"/>
  <c r="AK2615" i="16" a="1"/>
  <c r="AK2615" i="16" s="1"/>
  <c r="AK2614" i="16" a="1"/>
  <c r="AK2614" i="16" s="1"/>
  <c r="AK2613" i="16" a="1"/>
  <c r="AK2613" i="16" s="1"/>
  <c r="AK2612" i="16" a="1"/>
  <c r="AK2612" i="16" s="1"/>
  <c r="AK2611" i="16" a="1"/>
  <c r="AK2611" i="16" s="1"/>
  <c r="AK2610" i="16" a="1"/>
  <c r="AK2610" i="16" s="1"/>
  <c r="AK2609" i="16" a="1"/>
  <c r="AK2609" i="16" s="1"/>
  <c r="AK2608" i="16" a="1"/>
  <c r="AK2608" i="16" s="1"/>
  <c r="AK2607" i="16" a="1"/>
  <c r="AK2607" i="16" s="1"/>
  <c r="AK2606" i="16" a="1"/>
  <c r="AK2606" i="16" s="1"/>
  <c r="AK2605" i="16" a="1"/>
  <c r="AK2605" i="16" s="1"/>
  <c r="AK2604" i="16" a="1"/>
  <c r="AK2604" i="16" s="1"/>
  <c r="AK2603" i="16" a="1"/>
  <c r="AK2603" i="16" s="1"/>
  <c r="AK2602" i="16" a="1"/>
  <c r="AK2602" i="16" s="1"/>
  <c r="AK2601" i="16" a="1"/>
  <c r="AK2601" i="16" s="1"/>
  <c r="AK2600" i="16" a="1"/>
  <c r="AK2600" i="16" s="1"/>
  <c r="AK2599" i="16" a="1"/>
  <c r="AK2599" i="16" s="1"/>
  <c r="AK2598" i="16" a="1"/>
  <c r="AK2598" i="16" s="1"/>
  <c r="AK2597" i="16" a="1"/>
  <c r="AK2597" i="16" s="1"/>
  <c r="AK2596" i="16" a="1"/>
  <c r="AK2596" i="16" s="1"/>
  <c r="AK2595" i="16" a="1"/>
  <c r="AK2595" i="16" s="1"/>
  <c r="AK2594" i="16" a="1"/>
  <c r="AK2594" i="16" s="1"/>
  <c r="AK2593" i="16" a="1"/>
  <c r="AK2593" i="16" s="1"/>
  <c r="AK2592" i="16" a="1"/>
  <c r="AK2592" i="16" s="1"/>
  <c r="AK2591" i="16" a="1"/>
  <c r="AK2591" i="16" s="1"/>
  <c r="AK2590" i="16" a="1"/>
  <c r="AK2590" i="16" s="1"/>
  <c r="AK2589" i="16" a="1"/>
  <c r="AK2589" i="16" s="1"/>
  <c r="AK2588" i="16" a="1"/>
  <c r="AK2588" i="16" s="1"/>
  <c r="AK2587" i="16" a="1"/>
  <c r="AK2587" i="16" s="1"/>
  <c r="AK2586" i="16" a="1"/>
  <c r="AK2586" i="16" s="1"/>
  <c r="AK2585" i="16" a="1"/>
  <c r="AK2585" i="16" s="1"/>
  <c r="AK2584" i="16" a="1"/>
  <c r="AK2584" i="16" s="1"/>
  <c r="AK2583" i="16" a="1"/>
  <c r="AK2583" i="16" s="1"/>
  <c r="AK2582" i="16" a="1"/>
  <c r="AK2582" i="16" s="1"/>
  <c r="AK2581" i="16" a="1"/>
  <c r="AK2581" i="16" s="1"/>
  <c r="AK2580" i="16" a="1"/>
  <c r="AK2580" i="16" s="1"/>
  <c r="AK2579" i="16" a="1"/>
  <c r="AK2579" i="16" s="1"/>
  <c r="AK2578" i="16" a="1"/>
  <c r="AK2578" i="16" s="1"/>
  <c r="AK2577" i="16" a="1"/>
  <c r="AK2577" i="16" s="1"/>
  <c r="AK2576" i="16" a="1"/>
  <c r="AK2576" i="16" s="1"/>
  <c r="AK2575" i="16" a="1"/>
  <c r="AK2575" i="16" s="1"/>
  <c r="AK2574" i="16" a="1"/>
  <c r="AK2574" i="16" s="1"/>
  <c r="AK2573" i="16" a="1"/>
  <c r="AK2573" i="16" s="1"/>
  <c r="AK2572" i="16" a="1"/>
  <c r="AK2572" i="16" s="1"/>
  <c r="AK2571" i="16" a="1"/>
  <c r="AK2571" i="16" s="1"/>
  <c r="AK2570" i="16" a="1"/>
  <c r="AK2570" i="16" s="1"/>
  <c r="AK2569" i="16" a="1"/>
  <c r="AK2569" i="16" s="1"/>
  <c r="AK2568" i="16" a="1"/>
  <c r="AK2568" i="16" s="1"/>
  <c r="AK2567" i="16" a="1"/>
  <c r="AK2567" i="16" s="1"/>
  <c r="AK2566" i="16" a="1"/>
  <c r="AK2566" i="16" s="1"/>
  <c r="AK2565" i="16" a="1"/>
  <c r="AK2565" i="16" s="1"/>
  <c r="AK2564" i="16" a="1"/>
  <c r="AK2564" i="16" s="1"/>
  <c r="AK2563" i="16" a="1"/>
  <c r="AK2563" i="16" s="1"/>
  <c r="AK2562" i="16" a="1"/>
  <c r="AK2562" i="16" s="1"/>
  <c r="AK2561" i="16" a="1"/>
  <c r="AK2561" i="16" s="1"/>
  <c r="AK2560" i="16" a="1"/>
  <c r="AK2560" i="16" s="1"/>
  <c r="AK2559" i="16" a="1"/>
  <c r="AK2559" i="16" s="1"/>
  <c r="AK2558" i="16" a="1"/>
  <c r="AK2558" i="16" s="1"/>
  <c r="AK2557" i="16" a="1"/>
  <c r="AK2557" i="16" s="1"/>
  <c r="AK2556" i="16" a="1"/>
  <c r="AK2556" i="16" s="1"/>
  <c r="AK2555" i="16" a="1"/>
  <c r="AK2555" i="16" s="1"/>
  <c r="AK2554" i="16" a="1"/>
  <c r="AK2554" i="16" s="1"/>
  <c r="AK2553" i="16" a="1"/>
  <c r="AK2553" i="16" s="1"/>
  <c r="AK2552" i="16" a="1"/>
  <c r="AK2552" i="16" s="1"/>
  <c r="AK2551" i="16" a="1"/>
  <c r="AK2551" i="16" s="1"/>
  <c r="AK2550" i="16" a="1"/>
  <c r="AK2550" i="16" s="1"/>
  <c r="AK2549" i="16" a="1"/>
  <c r="AK2549" i="16" s="1"/>
  <c r="AK2548" i="16" a="1"/>
  <c r="AK2548" i="16" s="1"/>
  <c r="AK2547" i="16" a="1"/>
  <c r="AK2547" i="16" s="1"/>
  <c r="AK2546" i="16" a="1"/>
  <c r="AK2546" i="16" s="1"/>
  <c r="AK2545" i="16" a="1"/>
  <c r="AK2545" i="16" s="1"/>
  <c r="AK2544" i="16" a="1"/>
  <c r="AK2544" i="16" s="1"/>
  <c r="AK2543" i="16" a="1"/>
  <c r="AK2543" i="16" s="1"/>
  <c r="AK2542" i="16" a="1"/>
  <c r="AK2542" i="16" s="1"/>
  <c r="AK2541" i="16" a="1"/>
  <c r="AK2541" i="16" s="1"/>
  <c r="AK2540" i="16" a="1"/>
  <c r="AK2540" i="16" s="1"/>
  <c r="AK2539" i="16" a="1"/>
  <c r="AK2539" i="16" s="1"/>
  <c r="AK2538" i="16" a="1"/>
  <c r="AK2538" i="16" s="1"/>
  <c r="AK2537" i="16" a="1"/>
  <c r="AK2537" i="16" s="1"/>
  <c r="AK2536" i="16" a="1"/>
  <c r="AK2536" i="16" s="1"/>
  <c r="AK2535" i="16" a="1"/>
  <c r="AK2535" i="16" s="1"/>
  <c r="AK2534" i="16" a="1"/>
  <c r="AK2534" i="16" s="1"/>
  <c r="AK2533" i="16" a="1"/>
  <c r="AK2533" i="16" s="1"/>
  <c r="AK2532" i="16" a="1"/>
  <c r="AK2532" i="16" s="1"/>
  <c r="AK2531" i="16" a="1"/>
  <c r="AK2531" i="16" s="1"/>
  <c r="AK2530" i="16" a="1"/>
  <c r="AK2530" i="16" s="1"/>
  <c r="AK2529" i="16" a="1"/>
  <c r="AK2529" i="16" s="1"/>
  <c r="AK2528" i="16" a="1"/>
  <c r="AK2528" i="16" s="1"/>
  <c r="AK2527" i="16" a="1"/>
  <c r="AK2527" i="16" s="1"/>
  <c r="AK2526" i="16" a="1"/>
  <c r="AK2526" i="16" s="1"/>
  <c r="AK2525" i="16" a="1"/>
  <c r="AK2525" i="16" s="1"/>
  <c r="AK2524" i="16" a="1"/>
  <c r="AK2524" i="16" s="1"/>
  <c r="AK2523" i="16" a="1"/>
  <c r="AK2523" i="16" s="1"/>
  <c r="AK2522" i="16" a="1"/>
  <c r="AK2522" i="16" s="1"/>
  <c r="AK2521" i="16" a="1"/>
  <c r="AK2521" i="16" s="1"/>
  <c r="AK2520" i="16" a="1"/>
  <c r="AK2520" i="16" s="1"/>
  <c r="AK2519" i="16" a="1"/>
  <c r="AK2519" i="16" s="1"/>
  <c r="AK2518" i="16" a="1"/>
  <c r="AK2518" i="16" s="1"/>
  <c r="AK2517" i="16" a="1"/>
  <c r="AK2517" i="16" s="1"/>
  <c r="AK2516" i="16" a="1"/>
  <c r="AK2516" i="16" s="1"/>
  <c r="AK2515" i="16" a="1"/>
  <c r="AK2515" i="16" s="1"/>
  <c r="AK2514" i="16" a="1"/>
  <c r="AK2514" i="16" s="1"/>
  <c r="AK2513" i="16" a="1"/>
  <c r="AK2513" i="16" s="1"/>
  <c r="AK2512" i="16" a="1"/>
  <c r="AK2512" i="16" s="1"/>
  <c r="AK2511" i="16" a="1"/>
  <c r="AK2511" i="16" s="1"/>
  <c r="AK2510" i="16" a="1"/>
  <c r="AK2510" i="16" s="1"/>
  <c r="AK2509" i="16" a="1"/>
  <c r="AK2509" i="16" s="1"/>
  <c r="AK2508" i="16" a="1"/>
  <c r="AK2508" i="16" s="1"/>
  <c r="AK2507" i="16" a="1"/>
  <c r="AK2507" i="16" s="1"/>
  <c r="AK2506" i="16" a="1"/>
  <c r="AK2506" i="16" s="1"/>
  <c r="AK2505" i="16" a="1"/>
  <c r="AK2505" i="16" s="1"/>
  <c r="AK2504" i="16" a="1"/>
  <c r="AK2504" i="16" s="1"/>
  <c r="AK2503" i="16" a="1"/>
  <c r="AK2503" i="16" s="1"/>
  <c r="AK2502" i="16" a="1"/>
  <c r="AK2502" i="16" s="1"/>
  <c r="AK2501" i="16" a="1"/>
  <c r="AK2501" i="16" s="1"/>
  <c r="AK2500" i="16" a="1"/>
  <c r="AK2500" i="16" s="1"/>
  <c r="AK2499" i="16" a="1"/>
  <c r="AK2499" i="16" s="1"/>
  <c r="AK2498" i="16" a="1"/>
  <c r="AK2498" i="16" s="1"/>
  <c r="AK2497" i="16" a="1"/>
  <c r="AK2497" i="16" s="1"/>
  <c r="AK2496" i="16" a="1"/>
  <c r="AK2496" i="16" s="1"/>
  <c r="AK2495" i="16" a="1"/>
  <c r="AK2495" i="16" s="1"/>
  <c r="AK2494" i="16" a="1"/>
  <c r="AK2494" i="16" s="1"/>
  <c r="AK2493" i="16" a="1"/>
  <c r="AK2493" i="16" s="1"/>
  <c r="AK2492" i="16" a="1"/>
  <c r="AK2492" i="16" s="1"/>
  <c r="AK2491" i="16" a="1"/>
  <c r="AK2491" i="16" s="1"/>
  <c r="AK2490" i="16" a="1"/>
  <c r="AK2490" i="16" s="1"/>
  <c r="AK2489" i="16" a="1"/>
  <c r="AK2489" i="16" s="1"/>
  <c r="AK2488" i="16" a="1"/>
  <c r="AK2488" i="16" s="1"/>
  <c r="AK2487" i="16" a="1"/>
  <c r="AK2487" i="16" s="1"/>
  <c r="AK2486" i="16" a="1"/>
  <c r="AK2486" i="16" s="1"/>
  <c r="AK2485" i="16" a="1"/>
  <c r="AK2485" i="16" s="1"/>
  <c r="AK2484" i="16" a="1"/>
  <c r="AK2484" i="16" s="1"/>
  <c r="AK2483" i="16" a="1"/>
  <c r="AK2483" i="16" s="1"/>
  <c r="AK2482" i="16" a="1"/>
  <c r="AK2482" i="16" s="1"/>
  <c r="AK2481" i="16" a="1"/>
  <c r="AK2481" i="16" s="1"/>
  <c r="AK2480" i="16" a="1"/>
  <c r="AK2480" i="16" s="1"/>
  <c r="AK2479" i="16" a="1"/>
  <c r="AK2479" i="16" s="1"/>
  <c r="AK2478" i="16" a="1"/>
  <c r="AK2478" i="16" s="1"/>
  <c r="AK2477" i="16" a="1"/>
  <c r="AK2477" i="16" s="1"/>
  <c r="AK2476" i="16" a="1"/>
  <c r="AK2476" i="16" s="1"/>
  <c r="AK2475" i="16" a="1"/>
  <c r="AK2475" i="16" s="1"/>
  <c r="AK2474" i="16" a="1"/>
  <c r="AK2474" i="16" s="1"/>
  <c r="AK2473" i="16" a="1"/>
  <c r="AK2473" i="16" s="1"/>
  <c r="AK2472" i="16" a="1"/>
  <c r="AK2472" i="16" s="1"/>
  <c r="AK2471" i="16" a="1"/>
  <c r="AK2471" i="16" s="1"/>
  <c r="AK2470" i="16" a="1"/>
  <c r="AK2470" i="16" s="1"/>
  <c r="AK2469" i="16" a="1"/>
  <c r="AK2469" i="16" s="1"/>
  <c r="AK2468" i="16" a="1"/>
  <c r="AK2468" i="16" s="1"/>
  <c r="AK2467" i="16" a="1"/>
  <c r="AK2467" i="16" s="1"/>
  <c r="AK2466" i="16" a="1"/>
  <c r="AK2466" i="16" s="1"/>
  <c r="AK2465" i="16" a="1"/>
  <c r="AK2465" i="16" s="1"/>
  <c r="AK2464" i="16" a="1"/>
  <c r="AK2464" i="16" s="1"/>
  <c r="AK2463" i="16" a="1"/>
  <c r="AK2463" i="16" s="1"/>
  <c r="AK2462" i="16" a="1"/>
  <c r="AK2462" i="16" s="1"/>
  <c r="AK2461" i="16" a="1"/>
  <c r="AK2461" i="16" s="1"/>
  <c r="AK2460" i="16" a="1"/>
  <c r="AK2460" i="16" s="1"/>
  <c r="AK2459" i="16" a="1"/>
  <c r="AK2459" i="16" s="1"/>
  <c r="AK2458" i="16" a="1"/>
  <c r="AK2458" i="16" s="1"/>
  <c r="AK2457" i="16" a="1"/>
  <c r="AK2457" i="16" s="1"/>
  <c r="AK2456" i="16" a="1"/>
  <c r="AK2456" i="16" s="1"/>
  <c r="AK2455" i="16" a="1"/>
  <c r="AK2455" i="16" s="1"/>
  <c r="AK2454" i="16" a="1"/>
  <c r="AK2454" i="16" s="1"/>
  <c r="AK2453" i="16" a="1"/>
  <c r="AK2453" i="16" s="1"/>
  <c r="AK2452" i="16" a="1"/>
  <c r="AK2452" i="16" s="1"/>
  <c r="AK2451" i="16" a="1"/>
  <c r="AK2451" i="16" s="1"/>
  <c r="AK2450" i="16" a="1"/>
  <c r="AK2450" i="16" s="1"/>
  <c r="AK2449" i="16" a="1"/>
  <c r="AK2449" i="16" s="1"/>
  <c r="AK2448" i="16" a="1"/>
  <c r="AK2448" i="16" s="1"/>
  <c r="AK2447" i="16" a="1"/>
  <c r="AK2447" i="16" s="1"/>
  <c r="AK2446" i="16" a="1"/>
  <c r="AK2446" i="16" s="1"/>
  <c r="AK2445" i="16" a="1"/>
  <c r="AK2445" i="16" s="1"/>
  <c r="AK2444" i="16" a="1"/>
  <c r="AK2444" i="16" s="1"/>
  <c r="AK2443" i="16" a="1"/>
  <c r="AK2443" i="16" s="1"/>
  <c r="AK2442" i="16" a="1"/>
  <c r="AK2442" i="16" s="1"/>
  <c r="AK2441" i="16" a="1"/>
  <c r="AK2441" i="16" s="1"/>
  <c r="AK2440" i="16" a="1"/>
  <c r="AK2440" i="16" s="1"/>
  <c r="AK2439" i="16" a="1"/>
  <c r="AK2439" i="16" s="1"/>
  <c r="AK2438" i="16" a="1"/>
  <c r="AK2438" i="16" s="1"/>
  <c r="AK2437" i="16" a="1"/>
  <c r="AK2437" i="16" s="1"/>
  <c r="AK2436" i="16" a="1"/>
  <c r="AK2436" i="16" s="1"/>
  <c r="AK2435" i="16" a="1"/>
  <c r="AK2435" i="16" s="1"/>
  <c r="AK2434" i="16" a="1"/>
  <c r="AK2434" i="16" s="1"/>
  <c r="AK2433" i="16" a="1"/>
  <c r="AK2433" i="16" s="1"/>
  <c r="AK2432" i="16" a="1"/>
  <c r="AK2432" i="16" s="1"/>
  <c r="AK2431" i="16" a="1"/>
  <c r="AK2431" i="16" s="1"/>
  <c r="AK2430" i="16" a="1"/>
  <c r="AK2430" i="16" s="1"/>
  <c r="AK2429" i="16" a="1"/>
  <c r="AK2429" i="16" s="1"/>
  <c r="AK2428" i="16" a="1"/>
  <c r="AK2428" i="16" s="1"/>
  <c r="AK2427" i="16" a="1"/>
  <c r="AK2427" i="16" s="1"/>
  <c r="AK2426" i="16" a="1"/>
  <c r="AK2426" i="16" s="1"/>
  <c r="AK2425" i="16" a="1"/>
  <c r="AK2425" i="16" s="1"/>
  <c r="AK2424" i="16" a="1"/>
  <c r="AK2424" i="16" s="1"/>
  <c r="AK2423" i="16" a="1"/>
  <c r="AK2423" i="16" s="1"/>
  <c r="AK2422" i="16" a="1"/>
  <c r="AK2422" i="16" s="1"/>
  <c r="AK2421" i="16" a="1"/>
  <c r="AK2421" i="16" s="1"/>
  <c r="AK2420" i="16" a="1"/>
  <c r="AK2420" i="16" s="1"/>
  <c r="AK2419" i="16" a="1"/>
  <c r="AK2419" i="16" s="1"/>
  <c r="AK2418" i="16" a="1"/>
  <c r="AK2418" i="16" s="1"/>
  <c r="AK2417" i="16" a="1"/>
  <c r="AK2417" i="16" s="1"/>
  <c r="AK2416" i="16" a="1"/>
  <c r="AK2416" i="16" s="1"/>
  <c r="AK2415" i="16" a="1"/>
  <c r="AK2415" i="16" s="1"/>
  <c r="AK2414" i="16" a="1"/>
  <c r="AK2414" i="16" s="1"/>
  <c r="AK2413" i="16" a="1"/>
  <c r="AK2413" i="16" s="1"/>
  <c r="AK2412" i="16" a="1"/>
  <c r="AK2412" i="16" s="1"/>
  <c r="AK2411" i="16" a="1"/>
  <c r="AK2411" i="16" s="1"/>
  <c r="AK2410" i="16" a="1"/>
  <c r="AK2410" i="16" s="1"/>
  <c r="AK2409" i="16" a="1"/>
  <c r="AK2409" i="16" s="1"/>
  <c r="AK2408" i="16" a="1"/>
  <c r="AK2408" i="16" s="1"/>
  <c r="AK2407" i="16" a="1"/>
  <c r="AK2407" i="16" s="1"/>
  <c r="AK2406" i="16" a="1"/>
  <c r="AK2406" i="16" s="1"/>
  <c r="AK2405" i="16" a="1"/>
  <c r="AK2405" i="16" s="1"/>
  <c r="AK2404" i="16" a="1"/>
  <c r="AK2404" i="16" s="1"/>
  <c r="AK2403" i="16" a="1"/>
  <c r="AK2403" i="16" s="1"/>
  <c r="AK2402" i="16" a="1"/>
  <c r="AK2402" i="16" s="1"/>
  <c r="AK2401" i="16" a="1"/>
  <c r="AK2401" i="16" s="1"/>
  <c r="AK2400" i="16" a="1"/>
  <c r="AK2400" i="16" s="1"/>
  <c r="AK2399" i="16" a="1"/>
  <c r="AK2399" i="16" s="1"/>
  <c r="AK2398" i="16" a="1"/>
  <c r="AK2398" i="16" s="1"/>
  <c r="AK2397" i="16" a="1"/>
  <c r="AK2397" i="16" s="1"/>
  <c r="AK2396" i="16" a="1"/>
  <c r="AK2396" i="16" s="1"/>
  <c r="AK2395" i="16" a="1"/>
  <c r="AK2395" i="16" s="1"/>
  <c r="AK2394" i="16" a="1"/>
  <c r="AK2394" i="16" s="1"/>
  <c r="AK2393" i="16" a="1"/>
  <c r="AK2393" i="16" s="1"/>
  <c r="AK2392" i="16" a="1"/>
  <c r="AK2392" i="16" s="1"/>
  <c r="AK2391" i="16" a="1"/>
  <c r="AK2391" i="16" s="1"/>
  <c r="AK2390" i="16" a="1"/>
  <c r="AK2390" i="16" s="1"/>
  <c r="AK2389" i="16" a="1"/>
  <c r="AK2389" i="16" s="1"/>
  <c r="AK2388" i="16" a="1"/>
  <c r="AK2388" i="16" s="1"/>
  <c r="AK2387" i="16" a="1"/>
  <c r="AK2387" i="16" s="1"/>
  <c r="AK2386" i="16" a="1"/>
  <c r="AK2386" i="16" s="1"/>
  <c r="AK2385" i="16" a="1"/>
  <c r="AK2385" i="16" s="1"/>
  <c r="AK2384" i="16" a="1"/>
  <c r="AK2384" i="16" s="1"/>
  <c r="AK2383" i="16" a="1"/>
  <c r="AK2383" i="16" s="1"/>
  <c r="AK2382" i="16" a="1"/>
  <c r="AK2382" i="16" s="1"/>
  <c r="AK2381" i="16" a="1"/>
  <c r="AK2381" i="16" s="1"/>
  <c r="AK2380" i="16" a="1"/>
  <c r="AK2380" i="16" s="1"/>
  <c r="AK2379" i="16" a="1"/>
  <c r="AK2379" i="16" s="1"/>
  <c r="AK2378" i="16" a="1"/>
  <c r="AK2378" i="16" s="1"/>
  <c r="AK2377" i="16" a="1"/>
  <c r="AK2377" i="16" s="1"/>
  <c r="AK2376" i="16" a="1"/>
  <c r="AK2376" i="16" s="1"/>
  <c r="AK2375" i="16" a="1"/>
  <c r="AK2375" i="16" s="1"/>
  <c r="AK2374" i="16" a="1"/>
  <c r="AK2374" i="16" s="1"/>
  <c r="AK2373" i="16" a="1"/>
  <c r="AK2373" i="16" s="1"/>
  <c r="AK2372" i="16" a="1"/>
  <c r="AK2372" i="16" s="1"/>
  <c r="AK2371" i="16" a="1"/>
  <c r="AK2371" i="16" s="1"/>
  <c r="AK2370" i="16" a="1"/>
  <c r="AK2370" i="16" s="1"/>
  <c r="AK2369" i="16" a="1"/>
  <c r="AK2369" i="16" s="1"/>
  <c r="AK2368" i="16" a="1"/>
  <c r="AK2368" i="16" s="1"/>
  <c r="AK2367" i="16" a="1"/>
  <c r="AK2367" i="16" s="1"/>
  <c r="AK2366" i="16" a="1"/>
  <c r="AK2366" i="16" s="1"/>
  <c r="AK2365" i="16" a="1"/>
  <c r="AK2365" i="16" s="1"/>
  <c r="AK2364" i="16" a="1"/>
  <c r="AK2364" i="16" s="1"/>
  <c r="AK2363" i="16" a="1"/>
  <c r="AK2363" i="16" s="1"/>
  <c r="AK2362" i="16" a="1"/>
  <c r="AK2362" i="16" s="1"/>
  <c r="AK2361" i="16" a="1"/>
  <c r="AK2361" i="16" s="1"/>
  <c r="AK2360" i="16" a="1"/>
  <c r="AK2360" i="16" s="1"/>
  <c r="AK2359" i="16" a="1"/>
  <c r="AK2359" i="16" s="1"/>
  <c r="AK2358" i="16" a="1"/>
  <c r="AK2358" i="16" s="1"/>
  <c r="AK2357" i="16" a="1"/>
  <c r="AK2357" i="16" s="1"/>
  <c r="AK2356" i="16" a="1"/>
  <c r="AK2356" i="16" s="1"/>
  <c r="AK2355" i="16" a="1"/>
  <c r="AK2355" i="16" s="1"/>
  <c r="AK2354" i="16" a="1"/>
  <c r="AK2354" i="16" s="1"/>
  <c r="AK2353" i="16" a="1"/>
  <c r="AK2353" i="16" s="1"/>
  <c r="AK2352" i="16" a="1"/>
  <c r="AK2352" i="16" s="1"/>
  <c r="AK2351" i="16" a="1"/>
  <c r="AK2351" i="16" s="1"/>
  <c r="AK2350" i="16" a="1"/>
  <c r="AK2350" i="16" s="1"/>
  <c r="AK2349" i="16" a="1"/>
  <c r="AK2349" i="16" s="1"/>
  <c r="AK2348" i="16" a="1"/>
  <c r="AK2348" i="16" s="1"/>
  <c r="AK2347" i="16" a="1"/>
  <c r="AK2347" i="16" s="1"/>
  <c r="AK2346" i="16" a="1"/>
  <c r="AK2346" i="16" s="1"/>
  <c r="AK2345" i="16" a="1"/>
  <c r="AK2345" i="16" s="1"/>
  <c r="AK2344" i="16" a="1"/>
  <c r="AK2344" i="16" s="1"/>
  <c r="AK2343" i="16" a="1"/>
  <c r="AK2343" i="16" s="1"/>
  <c r="AK2342" i="16" a="1"/>
  <c r="AK2342" i="16" s="1"/>
  <c r="AK2341" i="16" a="1"/>
  <c r="AK2341" i="16" s="1"/>
  <c r="AK2340" i="16" a="1"/>
  <c r="AK2340" i="16" s="1"/>
  <c r="AK2339" i="16" a="1"/>
  <c r="AK2339" i="16" s="1"/>
  <c r="AK2338" i="16" a="1"/>
  <c r="AK2338" i="16" s="1"/>
  <c r="AK2337" i="16" a="1"/>
  <c r="AK2337" i="16" s="1"/>
  <c r="AK2336" i="16" a="1"/>
  <c r="AK2336" i="16" s="1"/>
  <c r="AK2335" i="16" a="1"/>
  <c r="AK2335" i="16" s="1"/>
  <c r="AK2334" i="16" a="1"/>
  <c r="AK2334" i="16" s="1"/>
  <c r="AK2333" i="16" a="1"/>
  <c r="AK2333" i="16" s="1"/>
  <c r="AK2332" i="16" a="1"/>
  <c r="AK2332" i="16" s="1"/>
  <c r="AK2331" i="16" a="1"/>
  <c r="AK2331" i="16" s="1"/>
  <c r="AK2330" i="16" a="1"/>
  <c r="AK2330" i="16" s="1"/>
  <c r="AK2329" i="16" a="1"/>
  <c r="AK2329" i="16" s="1"/>
  <c r="AK2328" i="16" a="1"/>
  <c r="AK2328" i="16" s="1"/>
  <c r="AK2327" i="16" a="1"/>
  <c r="AK2327" i="16" s="1"/>
  <c r="AK2326" i="16" a="1"/>
  <c r="AK2326" i="16" s="1"/>
  <c r="AK2325" i="16" a="1"/>
  <c r="AK2325" i="16" s="1"/>
  <c r="AK2324" i="16" a="1"/>
  <c r="AK2324" i="16" s="1"/>
  <c r="AK2323" i="16" a="1"/>
  <c r="AK2323" i="16" s="1"/>
  <c r="AK2322" i="16" a="1"/>
  <c r="AK2322" i="16" s="1"/>
  <c r="AK2321" i="16" a="1"/>
  <c r="AK2321" i="16" s="1"/>
  <c r="AK2320" i="16" a="1"/>
  <c r="AK2320" i="16" s="1"/>
  <c r="AK2319" i="16" a="1"/>
  <c r="AK2319" i="16" s="1"/>
  <c r="AK2318" i="16" a="1"/>
  <c r="AK2318" i="16" s="1"/>
  <c r="AK2317" i="16" a="1"/>
  <c r="AK2317" i="16" s="1"/>
  <c r="AK2316" i="16" a="1"/>
  <c r="AK2316" i="16" s="1"/>
  <c r="AK2315" i="16" a="1"/>
  <c r="AK2315" i="16" s="1"/>
  <c r="AK2314" i="16" a="1"/>
  <c r="AK2314" i="16" s="1"/>
  <c r="AK2313" i="16" a="1"/>
  <c r="AK2313" i="16" s="1"/>
  <c r="AK2312" i="16" a="1"/>
  <c r="AK2312" i="16" s="1"/>
  <c r="AK2311" i="16" a="1"/>
  <c r="AK2311" i="16" s="1"/>
  <c r="AK2310" i="16" a="1"/>
  <c r="AK2310" i="16" s="1"/>
  <c r="AK2309" i="16" a="1"/>
  <c r="AK2309" i="16" s="1"/>
  <c r="AK2308" i="16" a="1"/>
  <c r="AK2308" i="16" s="1"/>
  <c r="AK2307" i="16" a="1"/>
  <c r="AK2307" i="16" s="1"/>
  <c r="AK2306" i="16" a="1"/>
  <c r="AK2306" i="16" s="1"/>
  <c r="AK2305" i="16" a="1"/>
  <c r="AK2305" i="16" s="1"/>
  <c r="AK2304" i="16" a="1"/>
  <c r="AK2304" i="16" s="1"/>
  <c r="AK2303" i="16" a="1"/>
  <c r="AK2303" i="16" s="1"/>
  <c r="AK2302" i="16" a="1"/>
  <c r="AK2302" i="16" s="1"/>
  <c r="AK2301" i="16" a="1"/>
  <c r="AK2301" i="16" s="1"/>
  <c r="AK2300" i="16" a="1"/>
  <c r="AK2300" i="16" s="1"/>
  <c r="AK2299" i="16" a="1"/>
  <c r="AK2299" i="16" s="1"/>
  <c r="AK2298" i="16" a="1"/>
  <c r="AK2298" i="16" s="1"/>
  <c r="AK2297" i="16" a="1"/>
  <c r="AK2297" i="16" s="1"/>
  <c r="AK2296" i="16" a="1"/>
  <c r="AK2296" i="16" s="1"/>
  <c r="AK2295" i="16" a="1"/>
  <c r="AK2295" i="16" s="1"/>
  <c r="AK2294" i="16" a="1"/>
  <c r="AK2294" i="16" s="1"/>
  <c r="AK2293" i="16" a="1"/>
  <c r="AK2293" i="16" s="1"/>
  <c r="AK2292" i="16" a="1"/>
  <c r="AK2292" i="16" s="1"/>
  <c r="AK2291" i="16" a="1"/>
  <c r="AK2291" i="16" s="1"/>
  <c r="AK2290" i="16" a="1"/>
  <c r="AK2290" i="16" s="1"/>
  <c r="AK2289" i="16" a="1"/>
  <c r="AK2289" i="16" s="1"/>
  <c r="AK2288" i="16" a="1"/>
  <c r="AK2288" i="16" s="1"/>
  <c r="AK2287" i="16" a="1"/>
  <c r="AK2287" i="16" s="1"/>
  <c r="AK2286" i="16" a="1"/>
  <c r="AK2286" i="16" s="1"/>
  <c r="AK2285" i="16" a="1"/>
  <c r="AK2285" i="16" s="1"/>
  <c r="AK2284" i="16" a="1"/>
  <c r="AK2284" i="16" s="1"/>
  <c r="AK2283" i="16" a="1"/>
  <c r="AK2283" i="16" s="1"/>
  <c r="AK2282" i="16" a="1"/>
  <c r="AK2282" i="16" s="1"/>
  <c r="AK2281" i="16" a="1"/>
  <c r="AK2281" i="16" s="1"/>
  <c r="AK2280" i="16" a="1"/>
  <c r="AK2280" i="16" s="1"/>
  <c r="AK2279" i="16" a="1"/>
  <c r="AK2279" i="16" s="1"/>
  <c r="AK2278" i="16" a="1"/>
  <c r="AK2278" i="16" s="1"/>
  <c r="AK2277" i="16" a="1"/>
  <c r="AK2277" i="16" s="1"/>
  <c r="AK2276" i="16" a="1"/>
  <c r="AK2276" i="16" s="1"/>
  <c r="AK2275" i="16" a="1"/>
  <c r="AK2275" i="16" s="1"/>
  <c r="AK2274" i="16" a="1"/>
  <c r="AK2274" i="16" s="1"/>
  <c r="AK2273" i="16" a="1"/>
  <c r="AK2273" i="16" s="1"/>
  <c r="AK2272" i="16" a="1"/>
  <c r="AK2272" i="16" s="1"/>
  <c r="AK2271" i="16" a="1"/>
  <c r="AK2271" i="16" s="1"/>
  <c r="AK2270" i="16" a="1"/>
  <c r="AK2270" i="16" s="1"/>
  <c r="AK2269" i="16" a="1"/>
  <c r="AK2269" i="16" s="1"/>
  <c r="AK2268" i="16" a="1"/>
  <c r="AK2268" i="16" s="1"/>
  <c r="AK2267" i="16" a="1"/>
  <c r="AK2267" i="16" s="1"/>
  <c r="AK2266" i="16" a="1"/>
  <c r="AK2266" i="16" s="1"/>
  <c r="AK2265" i="16" a="1"/>
  <c r="AK2265" i="16" s="1"/>
  <c r="AK2264" i="16" a="1"/>
  <c r="AK2264" i="16" s="1"/>
  <c r="AK2263" i="16" a="1"/>
  <c r="AK2263" i="16" s="1"/>
  <c r="AK2262" i="16" a="1"/>
  <c r="AK2262" i="16" s="1"/>
  <c r="AK2261" i="16" a="1"/>
  <c r="AK2261" i="16" s="1"/>
  <c r="AK2260" i="16" a="1"/>
  <c r="AK2260" i="16" s="1"/>
  <c r="AK2259" i="16" a="1"/>
  <c r="AK2259" i="16" s="1"/>
  <c r="AK2258" i="16" a="1"/>
  <c r="AK2258" i="16" s="1"/>
  <c r="AK2257" i="16" a="1"/>
  <c r="AK2257" i="16" s="1"/>
  <c r="AK2256" i="16" a="1"/>
  <c r="AK2256" i="16" s="1"/>
  <c r="AK2255" i="16" a="1"/>
  <c r="AK2255" i="16" s="1"/>
  <c r="AK2254" i="16" a="1"/>
  <c r="AK2254" i="16" s="1"/>
  <c r="AK2253" i="16" a="1"/>
  <c r="AK2253" i="16" s="1"/>
  <c r="AK2252" i="16" a="1"/>
  <c r="AK2252" i="16" s="1"/>
  <c r="AK2251" i="16" a="1"/>
  <c r="AK2251" i="16" s="1"/>
  <c r="AK2250" i="16" a="1"/>
  <c r="AK2250" i="16" s="1"/>
  <c r="AK2249" i="16" a="1"/>
  <c r="AK2249" i="16" s="1"/>
  <c r="AK2248" i="16" a="1"/>
  <c r="AK2248" i="16" s="1"/>
  <c r="AK2247" i="16" a="1"/>
  <c r="AK2247" i="16" s="1"/>
  <c r="AK2246" i="16" a="1"/>
  <c r="AK2246" i="16" s="1"/>
  <c r="AK2245" i="16" a="1"/>
  <c r="AK2245" i="16" s="1"/>
  <c r="AK2244" i="16" a="1"/>
  <c r="AK2244" i="16" s="1"/>
  <c r="AK2243" i="16" a="1"/>
  <c r="AK2243" i="16" s="1"/>
  <c r="AK2242" i="16" a="1"/>
  <c r="AK2242" i="16" s="1"/>
  <c r="AK2241" i="16" a="1"/>
  <c r="AK2241" i="16" s="1"/>
  <c r="AK2240" i="16" a="1"/>
  <c r="AK2240" i="16" s="1"/>
  <c r="AK2239" i="16" a="1"/>
  <c r="AK2239" i="16" s="1"/>
  <c r="AK2238" i="16" a="1"/>
  <c r="AK2238" i="16" s="1"/>
  <c r="AK2237" i="16" a="1"/>
  <c r="AK2237" i="16" s="1"/>
  <c r="AK2236" i="16" a="1"/>
  <c r="AK2236" i="16" s="1"/>
  <c r="AK2235" i="16" a="1"/>
  <c r="AK2235" i="16" s="1"/>
  <c r="AK2234" i="16" a="1"/>
  <c r="AK2234" i="16" s="1"/>
  <c r="AK2233" i="16" a="1"/>
  <c r="AK2233" i="16" s="1"/>
  <c r="AK2232" i="16" a="1"/>
  <c r="AK2232" i="16" s="1"/>
  <c r="AK2231" i="16" a="1"/>
  <c r="AK2231" i="16" s="1"/>
  <c r="AK2230" i="16" a="1"/>
  <c r="AK2230" i="16" s="1"/>
  <c r="AK2229" i="16" a="1"/>
  <c r="AK2229" i="16" s="1"/>
  <c r="AK2228" i="16" a="1"/>
  <c r="AK2228" i="16" s="1"/>
  <c r="AK2227" i="16" a="1"/>
  <c r="AK2227" i="16" s="1"/>
  <c r="AK2226" i="16" a="1"/>
  <c r="AK2226" i="16" s="1"/>
  <c r="AK2225" i="16" a="1"/>
  <c r="AK2225" i="16" s="1"/>
  <c r="AK2224" i="16" a="1"/>
  <c r="AK2224" i="16" s="1"/>
  <c r="AK2223" i="16" a="1"/>
  <c r="AK2223" i="16" s="1"/>
  <c r="AK2222" i="16" a="1"/>
  <c r="AK2222" i="16" s="1"/>
  <c r="AK2221" i="16" a="1"/>
  <c r="AK2221" i="16" s="1"/>
  <c r="AK2220" i="16" a="1"/>
  <c r="AK2220" i="16" s="1"/>
  <c r="AK2219" i="16" a="1"/>
  <c r="AK2219" i="16" s="1"/>
  <c r="AK2218" i="16" a="1"/>
  <c r="AK2218" i="16" s="1"/>
  <c r="AK2217" i="16" a="1"/>
  <c r="AK2217" i="16" s="1"/>
  <c r="AK2216" i="16" a="1"/>
  <c r="AK2216" i="16" s="1"/>
  <c r="AK2215" i="16" a="1"/>
  <c r="AK2215" i="16" s="1"/>
  <c r="AK2214" i="16" a="1"/>
  <c r="AK2214" i="16" s="1"/>
  <c r="AK2213" i="16" a="1"/>
  <c r="AK2213" i="16" s="1"/>
  <c r="AK2212" i="16" a="1"/>
  <c r="AK2212" i="16" s="1"/>
  <c r="AK2211" i="16" a="1"/>
  <c r="AK2211" i="16" s="1"/>
  <c r="AK2210" i="16" a="1"/>
  <c r="AK2210" i="16" s="1"/>
  <c r="AK2209" i="16" a="1"/>
  <c r="AK2209" i="16" s="1"/>
  <c r="AK2208" i="16" a="1"/>
  <c r="AK2208" i="16" s="1"/>
  <c r="AK2207" i="16" a="1"/>
  <c r="AK2207" i="16" s="1"/>
  <c r="AK2206" i="16" a="1"/>
  <c r="AK2206" i="16" s="1"/>
  <c r="AK2205" i="16" a="1"/>
  <c r="AK2205" i="16" s="1"/>
  <c r="AK2204" i="16" a="1"/>
  <c r="AK2204" i="16" s="1"/>
  <c r="AK2203" i="16" a="1"/>
  <c r="AK2203" i="16" s="1"/>
  <c r="AK2202" i="16" a="1"/>
  <c r="AK2202" i="16" s="1"/>
  <c r="AK2201" i="16" a="1"/>
  <c r="AK2201" i="16" s="1"/>
  <c r="AK2200" i="16" a="1"/>
  <c r="AK2200" i="16" s="1"/>
  <c r="AK2199" i="16" a="1"/>
  <c r="AK2199" i="16" s="1"/>
  <c r="AK2198" i="16" a="1"/>
  <c r="AK2198" i="16" s="1"/>
  <c r="AK2197" i="16" a="1"/>
  <c r="AK2197" i="16" s="1"/>
  <c r="AK2196" i="16" a="1"/>
  <c r="AK2196" i="16" s="1"/>
  <c r="AK2195" i="16" a="1"/>
  <c r="AK2195" i="16" s="1"/>
  <c r="AK2194" i="16" a="1"/>
  <c r="AK2194" i="16" s="1"/>
  <c r="AK2193" i="16" a="1"/>
  <c r="AK2193" i="16" s="1"/>
  <c r="AK2192" i="16" a="1"/>
  <c r="AK2192" i="16" s="1"/>
  <c r="AK2191" i="16" a="1"/>
  <c r="AK2191" i="16" s="1"/>
  <c r="AK2190" i="16" a="1"/>
  <c r="AK2190" i="16" s="1"/>
  <c r="AK2189" i="16" a="1"/>
  <c r="AK2189" i="16" s="1"/>
  <c r="AK2188" i="16" a="1"/>
  <c r="AK2188" i="16" s="1"/>
  <c r="AK2187" i="16" a="1"/>
  <c r="AK2187" i="16" s="1"/>
  <c r="AK2186" i="16" a="1"/>
  <c r="AK2186" i="16" s="1"/>
  <c r="AK2185" i="16" a="1"/>
  <c r="AK2185" i="16" s="1"/>
  <c r="AK2184" i="16" a="1"/>
  <c r="AK2184" i="16" s="1"/>
  <c r="AK2183" i="16" a="1"/>
  <c r="AK2183" i="16" s="1"/>
  <c r="AK2182" i="16" a="1"/>
  <c r="AK2182" i="16" s="1"/>
  <c r="AK2181" i="16" a="1"/>
  <c r="AK2181" i="16" s="1"/>
  <c r="AK2180" i="16" a="1"/>
  <c r="AK2180" i="16" s="1"/>
  <c r="AK2179" i="16" a="1"/>
  <c r="AK2179" i="16" s="1"/>
  <c r="AK2178" i="16" a="1"/>
  <c r="AK2178" i="16" s="1"/>
  <c r="AK2177" i="16" a="1"/>
  <c r="AK2177" i="16" s="1"/>
  <c r="AK2176" i="16" a="1"/>
  <c r="AK2176" i="16" s="1"/>
  <c r="AK2175" i="16" a="1"/>
  <c r="AK2175" i="16" s="1"/>
  <c r="AK2174" i="16" a="1"/>
  <c r="AK2174" i="16" s="1"/>
  <c r="AK2173" i="16" a="1"/>
  <c r="AK2173" i="16" s="1"/>
  <c r="AK2172" i="16" a="1"/>
  <c r="AK2172" i="16" s="1"/>
  <c r="AK2171" i="16" a="1"/>
  <c r="AK2171" i="16" s="1"/>
  <c r="AK2170" i="16" a="1"/>
  <c r="AK2170" i="16" s="1"/>
  <c r="AK2169" i="16" a="1"/>
  <c r="AK2169" i="16" s="1"/>
  <c r="AK2168" i="16" a="1"/>
  <c r="AK2168" i="16" s="1"/>
  <c r="AK2167" i="16" a="1"/>
  <c r="AK2167" i="16" s="1"/>
  <c r="AK2166" i="16" a="1"/>
  <c r="AK2166" i="16" s="1"/>
  <c r="AK2165" i="16" a="1"/>
  <c r="AK2165" i="16" s="1"/>
  <c r="AK2164" i="16" a="1"/>
  <c r="AK2164" i="16" s="1"/>
  <c r="AK2163" i="16" a="1"/>
  <c r="AK2163" i="16" s="1"/>
  <c r="AK2162" i="16" a="1"/>
  <c r="AK2162" i="16" s="1"/>
  <c r="AK2161" i="16" a="1"/>
  <c r="AK2161" i="16" s="1"/>
  <c r="AK2160" i="16" a="1"/>
  <c r="AK2160" i="16" s="1"/>
  <c r="AK2159" i="16" a="1"/>
  <c r="AK2159" i="16" s="1"/>
  <c r="AK2158" i="16" a="1"/>
  <c r="AK2158" i="16" s="1"/>
  <c r="AK2157" i="16" a="1"/>
  <c r="AK2157" i="16" s="1"/>
  <c r="AK2156" i="16" a="1"/>
  <c r="AK2156" i="16" s="1"/>
  <c r="AK2155" i="16" a="1"/>
  <c r="AK2155" i="16" s="1"/>
  <c r="AK2154" i="16" a="1"/>
  <c r="AK2154" i="16" s="1"/>
  <c r="AK2153" i="16" a="1"/>
  <c r="AK2153" i="16" s="1"/>
  <c r="AK2152" i="16" a="1"/>
  <c r="AK2152" i="16" s="1"/>
  <c r="AK2151" i="16" a="1"/>
  <c r="AK2151" i="16" s="1"/>
  <c r="AK2150" i="16" a="1"/>
  <c r="AK2150" i="16" s="1"/>
  <c r="AK2149" i="16" a="1"/>
  <c r="AK2149" i="16" s="1"/>
  <c r="AK2148" i="16" a="1"/>
  <c r="AK2148" i="16" s="1"/>
  <c r="AK2147" i="16" a="1"/>
  <c r="AK2147" i="16" s="1"/>
  <c r="AK2146" i="16" a="1"/>
  <c r="AK2146" i="16" s="1"/>
  <c r="AK2145" i="16" a="1"/>
  <c r="AK2145" i="16" s="1"/>
  <c r="AK2144" i="16" a="1"/>
  <c r="AK2144" i="16" s="1"/>
  <c r="AK2143" i="16" a="1"/>
  <c r="AK2143" i="16" s="1"/>
  <c r="AK2142" i="16" a="1"/>
  <c r="AK2142" i="16" s="1"/>
  <c r="AK2141" i="16" a="1"/>
  <c r="AK2141" i="16" s="1"/>
  <c r="AK2140" i="16" a="1"/>
  <c r="AK2140" i="16" s="1"/>
  <c r="AK2139" i="16" a="1"/>
  <c r="AK2139" i="16" s="1"/>
  <c r="AK2138" i="16" a="1"/>
  <c r="AK2138" i="16" s="1"/>
  <c r="AK2137" i="16" a="1"/>
  <c r="AK2137" i="16" s="1"/>
  <c r="AK2136" i="16" a="1"/>
  <c r="AK2136" i="16" s="1"/>
  <c r="AK2135" i="16" a="1"/>
  <c r="AK2135" i="16" s="1"/>
  <c r="AK2134" i="16" a="1"/>
  <c r="AK2134" i="16" s="1"/>
  <c r="AK2133" i="16" a="1"/>
  <c r="AK2133" i="16" s="1"/>
  <c r="AK2132" i="16" a="1"/>
  <c r="AK2132" i="16" s="1"/>
  <c r="AK2131" i="16" a="1"/>
  <c r="AK2131" i="16" s="1"/>
  <c r="AK2130" i="16" a="1"/>
  <c r="AK2130" i="16" s="1"/>
  <c r="AK2129" i="16" a="1"/>
  <c r="AK2129" i="16" s="1"/>
  <c r="AK2128" i="16" a="1"/>
  <c r="AK2128" i="16" s="1"/>
  <c r="AK2127" i="16" a="1"/>
  <c r="AK2127" i="16" s="1"/>
  <c r="AK2126" i="16" a="1"/>
  <c r="AK2126" i="16" s="1"/>
  <c r="AK2125" i="16" a="1"/>
  <c r="AK2125" i="16" s="1"/>
  <c r="AK2124" i="16" a="1"/>
  <c r="AK2124" i="16" s="1"/>
  <c r="AK2123" i="16" a="1"/>
  <c r="AK2123" i="16" s="1"/>
  <c r="AK2122" i="16" a="1"/>
  <c r="AK2122" i="16" s="1"/>
  <c r="AK2121" i="16" a="1"/>
  <c r="AK2121" i="16" s="1"/>
  <c r="AK2120" i="16" a="1"/>
  <c r="AK2120" i="16" s="1"/>
  <c r="AK2119" i="16" a="1"/>
  <c r="AK2119" i="16" s="1"/>
  <c r="AK2118" i="16" a="1"/>
  <c r="AK2118" i="16" s="1"/>
  <c r="AK2117" i="16" a="1"/>
  <c r="AK2117" i="16" s="1"/>
  <c r="AK2116" i="16" a="1"/>
  <c r="AK2116" i="16" s="1"/>
  <c r="AK2115" i="16" a="1"/>
  <c r="AK2115" i="16" s="1"/>
  <c r="AK2114" i="16" a="1"/>
  <c r="AK2114" i="16" s="1"/>
  <c r="AK2113" i="16" a="1"/>
  <c r="AK2113" i="16" s="1"/>
  <c r="AK2112" i="16" a="1"/>
  <c r="AK2112" i="16" s="1"/>
  <c r="AK2111" i="16" a="1"/>
  <c r="AK2111" i="16" s="1"/>
  <c r="AK2110" i="16" a="1"/>
  <c r="AK2110" i="16" s="1"/>
  <c r="AK2109" i="16" a="1"/>
  <c r="AK2109" i="16" s="1"/>
  <c r="AK2108" i="16" a="1"/>
  <c r="AK2108" i="16" s="1"/>
  <c r="AK2107" i="16" a="1"/>
  <c r="AK2107" i="16" s="1"/>
  <c r="AK2106" i="16" a="1"/>
  <c r="AK2106" i="16" s="1"/>
  <c r="AK2105" i="16" a="1"/>
  <c r="AK2105" i="16" s="1"/>
  <c r="AK2104" i="16" a="1"/>
  <c r="AK2104" i="16" s="1"/>
  <c r="AK2103" i="16" a="1"/>
  <c r="AK2103" i="16" s="1"/>
  <c r="AK2102" i="16" a="1"/>
  <c r="AK2102" i="16" s="1"/>
  <c r="AK2101" i="16" a="1"/>
  <c r="AK2101" i="16" s="1"/>
  <c r="AK2100" i="16" a="1"/>
  <c r="AK2100" i="16" s="1"/>
  <c r="AK2099" i="16" a="1"/>
  <c r="AK2099" i="16" s="1"/>
  <c r="AK2098" i="16" a="1"/>
  <c r="AK2098" i="16" s="1"/>
  <c r="AK2097" i="16" a="1"/>
  <c r="AK2097" i="16" s="1"/>
  <c r="AK2096" i="16" a="1"/>
  <c r="AK2096" i="16" s="1"/>
  <c r="AK2095" i="16" a="1"/>
  <c r="AK2095" i="16" s="1"/>
  <c r="AK2094" i="16" a="1"/>
  <c r="AK2094" i="16" s="1"/>
  <c r="AK2093" i="16" a="1"/>
  <c r="AK2093" i="16" s="1"/>
  <c r="AK2092" i="16" a="1"/>
  <c r="AK2092" i="16" s="1"/>
  <c r="AK2091" i="16" a="1"/>
  <c r="AK2091" i="16" s="1"/>
  <c r="AK2090" i="16" a="1"/>
  <c r="AK2090" i="16" s="1"/>
  <c r="AK2089" i="16" a="1"/>
  <c r="AK2089" i="16" s="1"/>
  <c r="AK2088" i="16" a="1"/>
  <c r="AK2088" i="16" s="1"/>
  <c r="AK2087" i="16" a="1"/>
  <c r="AK2087" i="16" s="1"/>
  <c r="AK2086" i="16" a="1"/>
  <c r="AK2086" i="16" s="1"/>
  <c r="AK2085" i="16" a="1"/>
  <c r="AK2085" i="16" s="1"/>
  <c r="AK2084" i="16" a="1"/>
  <c r="AK2084" i="16" s="1"/>
  <c r="AK2083" i="16" a="1"/>
  <c r="AK2083" i="16" s="1"/>
  <c r="AK2082" i="16" a="1"/>
  <c r="AK2082" i="16" s="1"/>
  <c r="AK2081" i="16" a="1"/>
  <c r="AK2081" i="16" s="1"/>
  <c r="AK2080" i="16" a="1"/>
  <c r="AK2080" i="16" s="1"/>
  <c r="AK2079" i="16" a="1"/>
  <c r="AK2079" i="16" s="1"/>
  <c r="AK2078" i="16" a="1"/>
  <c r="AK2078" i="16" s="1"/>
  <c r="AK2077" i="16" a="1"/>
  <c r="AK2077" i="16" s="1"/>
  <c r="AK2076" i="16" a="1"/>
  <c r="AK2076" i="16" s="1"/>
  <c r="AK2075" i="16" a="1"/>
  <c r="AK2075" i="16" s="1"/>
  <c r="AK2074" i="16" a="1"/>
  <c r="AK2074" i="16" s="1"/>
  <c r="AK2073" i="16" a="1"/>
  <c r="AK2073" i="16" s="1"/>
  <c r="AK2072" i="16" a="1"/>
  <c r="AK2072" i="16" s="1"/>
  <c r="AK2071" i="16" a="1"/>
  <c r="AK2071" i="16" s="1"/>
  <c r="AK2070" i="16" a="1"/>
  <c r="AK2070" i="16" s="1"/>
  <c r="AK2069" i="16" a="1"/>
  <c r="AK2069" i="16" s="1"/>
  <c r="AK2068" i="16" a="1"/>
  <c r="AK2068" i="16" s="1"/>
  <c r="AK2067" i="16" a="1"/>
  <c r="AK2067" i="16" s="1"/>
  <c r="AK2066" i="16" a="1"/>
  <c r="AK2066" i="16" s="1"/>
  <c r="AK2065" i="16" a="1"/>
  <c r="AK2065" i="16" s="1"/>
  <c r="AK2064" i="16" a="1"/>
  <c r="AK2064" i="16" s="1"/>
  <c r="AK2063" i="16" a="1"/>
  <c r="AK2063" i="16" s="1"/>
  <c r="AK2062" i="16" a="1"/>
  <c r="AK2062" i="16" s="1"/>
  <c r="AK2061" i="16" a="1"/>
  <c r="AK2061" i="16" s="1"/>
  <c r="AK2060" i="16" a="1"/>
  <c r="AK2060" i="16" s="1"/>
  <c r="AK2059" i="16" a="1"/>
  <c r="AK2059" i="16" s="1"/>
  <c r="AK2058" i="16" a="1"/>
  <c r="AK2058" i="16" s="1"/>
  <c r="AK2057" i="16" a="1"/>
  <c r="AK2057" i="16" s="1"/>
  <c r="AK2056" i="16" a="1"/>
  <c r="AK2056" i="16" s="1"/>
  <c r="AK2055" i="16" a="1"/>
  <c r="AK2055" i="16" s="1"/>
  <c r="AK2054" i="16" a="1"/>
  <c r="AK2054" i="16" s="1"/>
  <c r="AK2053" i="16" a="1"/>
  <c r="AK2053" i="16" s="1"/>
  <c r="AK2052" i="16" a="1"/>
  <c r="AK2052" i="16" s="1"/>
  <c r="AK2051" i="16" a="1"/>
  <c r="AK2051" i="16" s="1"/>
  <c r="AK2050" i="16" a="1"/>
  <c r="AK2050" i="16" s="1"/>
  <c r="AK2049" i="16" a="1"/>
  <c r="AK2049" i="16" s="1"/>
  <c r="AK2048" i="16" a="1"/>
  <c r="AK2048" i="16" s="1"/>
  <c r="AK2047" i="16" a="1"/>
  <c r="AK2047" i="16" s="1"/>
  <c r="AK2046" i="16" a="1"/>
  <c r="AK2046" i="16" s="1"/>
  <c r="AK2045" i="16" a="1"/>
  <c r="AK2045" i="16" s="1"/>
  <c r="AK2044" i="16" a="1"/>
  <c r="AK2044" i="16" s="1"/>
  <c r="AK2043" i="16" a="1"/>
  <c r="AK2043" i="16" s="1"/>
  <c r="AK2042" i="16" a="1"/>
  <c r="AK2042" i="16" s="1"/>
  <c r="AK2041" i="16" a="1"/>
  <c r="AK2041" i="16" s="1"/>
  <c r="AK2040" i="16" a="1"/>
  <c r="AK2040" i="16" s="1"/>
  <c r="AK2039" i="16" a="1"/>
  <c r="AK2039" i="16" s="1"/>
  <c r="AK2038" i="16" a="1"/>
  <c r="AK2038" i="16" s="1"/>
  <c r="AK2037" i="16" a="1"/>
  <c r="AK2037" i="16" s="1"/>
  <c r="AK2036" i="16" a="1"/>
  <c r="AK2036" i="16" s="1"/>
  <c r="AK2035" i="16" a="1"/>
  <c r="AK2035" i="16" s="1"/>
  <c r="AK2034" i="16" a="1"/>
  <c r="AK2034" i="16" s="1"/>
  <c r="AK2033" i="16" a="1"/>
  <c r="AK2033" i="16" s="1"/>
  <c r="AK2032" i="16" a="1"/>
  <c r="AK2032" i="16" s="1"/>
  <c r="AK2031" i="16" a="1"/>
  <c r="AK2031" i="16" s="1"/>
  <c r="AK2030" i="16" a="1"/>
  <c r="AK2030" i="16" s="1"/>
  <c r="AK2029" i="16" a="1"/>
  <c r="AK2029" i="16" s="1"/>
  <c r="AK2028" i="16" a="1"/>
  <c r="AK2028" i="16" s="1"/>
  <c r="AK2027" i="16" a="1"/>
  <c r="AK2027" i="16" s="1"/>
  <c r="AK2026" i="16" a="1"/>
  <c r="AK2026" i="16" s="1"/>
  <c r="AK2025" i="16" a="1"/>
  <c r="AK2025" i="16" s="1"/>
  <c r="AK2024" i="16" a="1"/>
  <c r="AK2024" i="16" s="1"/>
  <c r="AK2023" i="16" a="1"/>
  <c r="AK2023" i="16" s="1"/>
  <c r="AK2022" i="16" a="1"/>
  <c r="AK2022" i="16" s="1"/>
  <c r="AK2021" i="16" a="1"/>
  <c r="AK2021" i="16" s="1"/>
  <c r="AK2020" i="16" a="1"/>
  <c r="AK2020" i="16" s="1"/>
  <c r="AK2019" i="16" a="1"/>
  <c r="AK2019" i="16" s="1"/>
  <c r="AK2018" i="16" a="1"/>
  <c r="AK2018" i="16" s="1"/>
  <c r="AK2017" i="16" a="1"/>
  <c r="AK2017" i="16" s="1"/>
  <c r="AK2016" i="16" a="1"/>
  <c r="AK2016" i="16" s="1"/>
  <c r="AK2015" i="16" a="1"/>
  <c r="AK2015" i="16" s="1"/>
  <c r="AK2014" i="16" a="1"/>
  <c r="AK2014" i="16" s="1"/>
  <c r="AK2013" i="16" a="1"/>
  <c r="AK2013" i="16" s="1"/>
  <c r="AK2012" i="16" a="1"/>
  <c r="AK2012" i="16" s="1"/>
  <c r="AK2011" i="16" a="1"/>
  <c r="AK2011" i="16" s="1"/>
  <c r="AK2010" i="16" a="1"/>
  <c r="AK2010" i="16" s="1"/>
  <c r="AK2009" i="16" a="1"/>
  <c r="AK2009" i="16" s="1"/>
  <c r="AK2008" i="16" a="1"/>
  <c r="AK2008" i="16" s="1"/>
  <c r="AK2007" i="16" a="1"/>
  <c r="AK2007" i="16" s="1"/>
  <c r="AK2006" i="16" a="1"/>
  <c r="AK2006" i="16" s="1"/>
  <c r="AK2005" i="16" a="1"/>
  <c r="AK2005" i="16" s="1"/>
  <c r="AK2004" i="16" a="1"/>
  <c r="AK2004" i="16" s="1"/>
  <c r="AK2003" i="16" a="1"/>
  <c r="AK2003" i="16" s="1"/>
  <c r="AK2002" i="16" a="1"/>
  <c r="AK2002" i="16" s="1"/>
  <c r="AK2001" i="16" a="1"/>
  <c r="AK2001" i="16" s="1"/>
  <c r="AK2000" i="16" a="1"/>
  <c r="AK2000" i="16" s="1"/>
  <c r="AK1999" i="16" a="1"/>
  <c r="AK1999" i="16" s="1"/>
  <c r="AK1998" i="16" a="1"/>
  <c r="AK1998" i="16" s="1"/>
  <c r="AK1997" i="16" a="1"/>
  <c r="AK1997" i="16" s="1"/>
  <c r="AK1996" i="16" a="1"/>
  <c r="AK1996" i="16" s="1"/>
  <c r="AK1995" i="16" a="1"/>
  <c r="AK1995" i="16" s="1"/>
  <c r="AK1994" i="16" a="1"/>
  <c r="AK1994" i="16" s="1"/>
  <c r="AK1993" i="16" a="1"/>
  <c r="AK1993" i="16" s="1"/>
  <c r="AK1992" i="16" a="1"/>
  <c r="AK1992" i="16" s="1"/>
  <c r="AK1991" i="16" a="1"/>
  <c r="AK1991" i="16" s="1"/>
  <c r="AK1990" i="16" a="1"/>
  <c r="AK1990" i="16" s="1"/>
  <c r="AK1989" i="16" a="1"/>
  <c r="AK1989" i="16" s="1"/>
  <c r="AK1988" i="16" a="1"/>
  <c r="AK1988" i="16" s="1"/>
  <c r="AK1987" i="16" a="1"/>
  <c r="AK1987" i="16" s="1"/>
  <c r="AK1986" i="16" a="1"/>
  <c r="AK1986" i="16" s="1"/>
  <c r="AK1985" i="16" a="1"/>
  <c r="AK1985" i="16" s="1"/>
  <c r="AK1984" i="16" a="1"/>
  <c r="AK1984" i="16" s="1"/>
  <c r="AK1983" i="16" a="1"/>
  <c r="AK1983" i="16" s="1"/>
  <c r="AK1982" i="16" a="1"/>
  <c r="AK1982" i="16" s="1"/>
  <c r="AK1981" i="16" a="1"/>
  <c r="AK1981" i="16" s="1"/>
  <c r="AK1980" i="16" a="1"/>
  <c r="AK1980" i="16" s="1"/>
  <c r="AK1979" i="16" a="1"/>
  <c r="AK1979" i="16" s="1"/>
  <c r="AK1978" i="16" a="1"/>
  <c r="AK1978" i="16" s="1"/>
  <c r="AK1977" i="16" a="1"/>
  <c r="AK1977" i="16" s="1"/>
  <c r="AK1976" i="16" a="1"/>
  <c r="AK1976" i="16" s="1"/>
  <c r="AK1975" i="16" a="1"/>
  <c r="AK1975" i="16" s="1"/>
  <c r="AK1974" i="16" a="1"/>
  <c r="AK1974" i="16" s="1"/>
  <c r="AK1973" i="16" a="1"/>
  <c r="AK1973" i="16" s="1"/>
  <c r="AK1972" i="16" a="1"/>
  <c r="AK1972" i="16" s="1"/>
  <c r="AK1971" i="16" a="1"/>
  <c r="AK1971" i="16" s="1"/>
  <c r="AK1970" i="16" a="1"/>
  <c r="AK1970" i="16" s="1"/>
  <c r="AK1969" i="16" a="1"/>
  <c r="AK1969" i="16" s="1"/>
  <c r="AK1968" i="16" a="1"/>
  <c r="AK1968" i="16" s="1"/>
  <c r="AK1967" i="16" a="1"/>
  <c r="AK1967" i="16" s="1"/>
  <c r="AK1966" i="16" a="1"/>
  <c r="AK1966" i="16" s="1"/>
  <c r="AK1965" i="16" a="1"/>
  <c r="AK1965" i="16" s="1"/>
  <c r="AK1964" i="16" a="1"/>
  <c r="AK1964" i="16" s="1"/>
  <c r="AK1963" i="16" a="1"/>
  <c r="AK1963" i="16" s="1"/>
  <c r="AK1962" i="16" a="1"/>
  <c r="AK1962" i="16" s="1"/>
  <c r="AK1961" i="16" a="1"/>
  <c r="AK1961" i="16" s="1"/>
  <c r="AK1960" i="16" a="1"/>
  <c r="AK1960" i="16" s="1"/>
  <c r="AK1959" i="16" a="1"/>
  <c r="AK1959" i="16" s="1"/>
  <c r="AK1958" i="16" a="1"/>
  <c r="AK1958" i="16" s="1"/>
  <c r="AK1957" i="16" a="1"/>
  <c r="AK1957" i="16" s="1"/>
  <c r="AK1956" i="16" a="1"/>
  <c r="AK1956" i="16" s="1"/>
  <c r="AK1955" i="16" a="1"/>
  <c r="AK1955" i="16" s="1"/>
  <c r="AK1954" i="16" a="1"/>
  <c r="AK1954" i="16" s="1"/>
  <c r="AK1953" i="16" a="1"/>
  <c r="AK1953" i="16" s="1"/>
  <c r="AK1952" i="16" a="1"/>
  <c r="AK1952" i="16" s="1"/>
  <c r="AK1951" i="16" a="1"/>
  <c r="AK1951" i="16" s="1"/>
  <c r="AK1950" i="16" a="1"/>
  <c r="AK1950" i="16" s="1"/>
  <c r="AK1949" i="16" a="1"/>
  <c r="AK1949" i="16" s="1"/>
  <c r="AK1948" i="16" a="1"/>
  <c r="AK1948" i="16" s="1"/>
  <c r="AK1947" i="16" a="1"/>
  <c r="AK1947" i="16" s="1"/>
  <c r="AK1946" i="16" a="1"/>
  <c r="AK1946" i="16" s="1"/>
  <c r="AK1945" i="16" a="1"/>
  <c r="AK1945" i="16" s="1"/>
  <c r="AK1944" i="16" a="1"/>
  <c r="AK1944" i="16" s="1"/>
  <c r="AK1943" i="16" a="1"/>
  <c r="AK1943" i="16" s="1"/>
  <c r="AK1942" i="16" a="1"/>
  <c r="AK1942" i="16" s="1"/>
  <c r="AK1941" i="16" a="1"/>
  <c r="AK1941" i="16" s="1"/>
  <c r="AK1940" i="16" a="1"/>
  <c r="AK1940" i="16" s="1"/>
  <c r="AK1939" i="16" a="1"/>
  <c r="AK1939" i="16" s="1"/>
  <c r="AK1938" i="16" a="1"/>
  <c r="AK1938" i="16" s="1"/>
  <c r="AK1937" i="16" a="1"/>
  <c r="AK1937" i="16" s="1"/>
  <c r="AK1936" i="16" a="1"/>
  <c r="AK1936" i="16" s="1"/>
  <c r="AK1935" i="16" a="1"/>
  <c r="AK1935" i="16" s="1"/>
  <c r="AK1934" i="16" a="1"/>
  <c r="AK1934" i="16" s="1"/>
  <c r="AK1933" i="16" a="1"/>
  <c r="AK1933" i="16" s="1"/>
  <c r="AK1932" i="16" a="1"/>
  <c r="AK1932" i="16" s="1"/>
  <c r="AK1931" i="16" a="1"/>
  <c r="AK1931" i="16" s="1"/>
  <c r="AK1930" i="16" a="1"/>
  <c r="AK1930" i="16" s="1"/>
  <c r="AK1929" i="16" a="1"/>
  <c r="AK1929" i="16" s="1"/>
  <c r="AK1928" i="16" a="1"/>
  <c r="AK1928" i="16" s="1"/>
  <c r="AK1927" i="16" a="1"/>
  <c r="AK1927" i="16" s="1"/>
  <c r="AK1926" i="16" a="1"/>
  <c r="AK1926" i="16" s="1"/>
  <c r="AK1925" i="16" a="1"/>
  <c r="AK1925" i="16" s="1"/>
  <c r="AK1924" i="16" a="1"/>
  <c r="AK1924" i="16" s="1"/>
  <c r="AK1923" i="16" a="1"/>
  <c r="AK1923" i="16" s="1"/>
  <c r="AK1922" i="16" a="1"/>
  <c r="AK1922" i="16" s="1"/>
  <c r="AK1921" i="16" a="1"/>
  <c r="AK1921" i="16" s="1"/>
  <c r="AK1920" i="16" a="1"/>
  <c r="AK1920" i="16" s="1"/>
  <c r="AK1919" i="16" a="1"/>
  <c r="AK1919" i="16" s="1"/>
  <c r="AK1918" i="16" a="1"/>
  <c r="AK1918" i="16" s="1"/>
  <c r="AK1917" i="16" a="1"/>
  <c r="AK1917" i="16" s="1"/>
  <c r="AK1916" i="16" a="1"/>
  <c r="AK1916" i="16" s="1"/>
  <c r="AK1915" i="16" a="1"/>
  <c r="AK1915" i="16" s="1"/>
  <c r="AK1914" i="16" a="1"/>
  <c r="AK1914" i="16" s="1"/>
  <c r="AK1913" i="16" a="1"/>
  <c r="AK1913" i="16" s="1"/>
  <c r="AK1912" i="16" a="1"/>
  <c r="AK1912" i="16" s="1"/>
  <c r="AK1911" i="16" a="1"/>
  <c r="AK1911" i="16" s="1"/>
  <c r="AK1910" i="16" a="1"/>
  <c r="AK1910" i="16" s="1"/>
  <c r="AK1909" i="16" a="1"/>
  <c r="AK1909" i="16" s="1"/>
  <c r="AK1908" i="16" a="1"/>
  <c r="AK1908" i="16" s="1"/>
  <c r="AK1907" i="16" a="1"/>
  <c r="AK1907" i="16" s="1"/>
  <c r="AK1906" i="16" a="1"/>
  <c r="AK1906" i="16" s="1"/>
  <c r="AK1905" i="16" a="1"/>
  <c r="AK1905" i="16" s="1"/>
  <c r="AK1904" i="16" a="1"/>
  <c r="AK1904" i="16" s="1"/>
  <c r="AK1903" i="16" a="1"/>
  <c r="AK1903" i="16" s="1"/>
  <c r="AK1902" i="16" a="1"/>
  <c r="AK1902" i="16" s="1"/>
  <c r="AK1901" i="16" a="1"/>
  <c r="AK1901" i="16" s="1"/>
  <c r="AK1900" i="16" a="1"/>
  <c r="AK1900" i="16" s="1"/>
  <c r="AK1899" i="16" a="1"/>
  <c r="AK1899" i="16" s="1"/>
  <c r="AK1898" i="16" a="1"/>
  <c r="AK1898" i="16" s="1"/>
  <c r="AK1897" i="16" a="1"/>
  <c r="AK1897" i="16" s="1"/>
  <c r="AK1896" i="16" a="1"/>
  <c r="AK1896" i="16" s="1"/>
  <c r="AK1895" i="16" a="1"/>
  <c r="AK1895" i="16" s="1"/>
  <c r="AK1894" i="16" a="1"/>
  <c r="AK1894" i="16" s="1"/>
  <c r="AK1893" i="16" a="1"/>
  <c r="AK1893" i="16" s="1"/>
  <c r="AK1892" i="16" a="1"/>
  <c r="AK1892" i="16" s="1"/>
  <c r="AK1891" i="16" a="1"/>
  <c r="AK1891" i="16" s="1"/>
  <c r="AK1890" i="16" a="1"/>
  <c r="AK1890" i="16" s="1"/>
  <c r="AK1889" i="16" a="1"/>
  <c r="AK1889" i="16" s="1"/>
  <c r="AK1888" i="16" a="1"/>
  <c r="AK1888" i="16" s="1"/>
  <c r="AK1887" i="16" a="1"/>
  <c r="AK1887" i="16" s="1"/>
  <c r="AK1886" i="16" a="1"/>
  <c r="AK1886" i="16" s="1"/>
  <c r="AK1885" i="16" a="1"/>
  <c r="AK1885" i="16" s="1"/>
  <c r="AK1884" i="16" a="1"/>
  <c r="AK1884" i="16" s="1"/>
  <c r="AK1883" i="16" a="1"/>
  <c r="AK1883" i="16" s="1"/>
  <c r="AK1882" i="16" a="1"/>
  <c r="AK1882" i="16" s="1"/>
  <c r="AK1881" i="16" a="1"/>
  <c r="AK1881" i="16" s="1"/>
  <c r="AK1880" i="16" a="1"/>
  <c r="AK1880" i="16" s="1"/>
  <c r="AK1879" i="16" a="1"/>
  <c r="AK1879" i="16" s="1"/>
  <c r="AK1878" i="16" a="1"/>
  <c r="AK1878" i="16" s="1"/>
  <c r="AK1877" i="16" a="1"/>
  <c r="AK1877" i="16" s="1"/>
  <c r="AK1876" i="16" a="1"/>
  <c r="AK1876" i="16" s="1"/>
  <c r="AK1875" i="16" a="1"/>
  <c r="AK1875" i="16" s="1"/>
  <c r="AK1874" i="16" a="1"/>
  <c r="AK1874" i="16" s="1"/>
  <c r="AK1873" i="16" a="1"/>
  <c r="AK1873" i="16" s="1"/>
  <c r="AK1872" i="16" a="1"/>
  <c r="AK1872" i="16" s="1"/>
  <c r="AK1871" i="16" a="1"/>
  <c r="AK1871" i="16" s="1"/>
  <c r="AK1870" i="16" a="1"/>
  <c r="AK1870" i="16" s="1"/>
  <c r="AK1869" i="16" a="1"/>
  <c r="AK1869" i="16" s="1"/>
  <c r="AK1868" i="16" a="1"/>
  <c r="AK1868" i="16" s="1"/>
  <c r="AK1867" i="16" a="1"/>
  <c r="AK1867" i="16" s="1"/>
  <c r="AK1866" i="16" a="1"/>
  <c r="AK1866" i="16" s="1"/>
  <c r="AK1865" i="16" a="1"/>
  <c r="AK1865" i="16" s="1"/>
  <c r="AK1864" i="16" a="1"/>
  <c r="AK1864" i="16" s="1"/>
  <c r="AK1863" i="16" a="1"/>
  <c r="AK1863" i="16" s="1"/>
  <c r="AK1862" i="16" a="1"/>
  <c r="AK1862" i="16" s="1"/>
  <c r="AK1861" i="16" a="1"/>
  <c r="AK1861" i="16" s="1"/>
  <c r="AK1860" i="16" a="1"/>
  <c r="AK1860" i="16" s="1"/>
  <c r="AK1859" i="16" a="1"/>
  <c r="AK1859" i="16" s="1"/>
  <c r="AK1858" i="16" a="1"/>
  <c r="AK1858" i="16" s="1"/>
  <c r="AK1857" i="16" a="1"/>
  <c r="AK1857" i="16" s="1"/>
  <c r="AK1856" i="16" a="1"/>
  <c r="AK1856" i="16" s="1"/>
  <c r="AK1855" i="16" a="1"/>
  <c r="AK1855" i="16" s="1"/>
  <c r="AK1854" i="16" a="1"/>
  <c r="AK1854" i="16" s="1"/>
  <c r="AK1853" i="16" a="1"/>
  <c r="AK1853" i="16" s="1"/>
  <c r="AK1852" i="16" a="1"/>
  <c r="AK1852" i="16" s="1"/>
  <c r="AK1851" i="16" a="1"/>
  <c r="AK1851" i="16" s="1"/>
  <c r="AK1850" i="16" a="1"/>
  <c r="AK1850" i="16" s="1"/>
  <c r="AK1849" i="16" a="1"/>
  <c r="AK1849" i="16" s="1"/>
  <c r="AK1848" i="16" a="1"/>
  <c r="AK1848" i="16" s="1"/>
  <c r="AK1847" i="16" a="1"/>
  <c r="AK1847" i="16" s="1"/>
  <c r="AK1846" i="16" a="1"/>
  <c r="AK1846" i="16" s="1"/>
  <c r="AK1845" i="16" a="1"/>
  <c r="AK1845" i="16" s="1"/>
  <c r="AK1844" i="16" a="1"/>
  <c r="AK1844" i="16" s="1"/>
  <c r="AK1843" i="16" a="1"/>
  <c r="AK1843" i="16" s="1"/>
  <c r="AK1842" i="16" a="1"/>
  <c r="AK1842" i="16" s="1"/>
  <c r="AK1841" i="16" a="1"/>
  <c r="AK1841" i="16" s="1"/>
  <c r="AK1840" i="16" a="1"/>
  <c r="AK1840" i="16" s="1"/>
  <c r="AK1839" i="16" a="1"/>
  <c r="AK1839" i="16" s="1"/>
  <c r="AK1838" i="16" a="1"/>
  <c r="AK1838" i="16" s="1"/>
  <c r="AK1837" i="16" a="1"/>
  <c r="AK1837" i="16" s="1"/>
  <c r="AK1836" i="16" a="1"/>
  <c r="AK1836" i="16" s="1"/>
  <c r="AK1835" i="16" a="1"/>
  <c r="AK1835" i="16" s="1"/>
  <c r="AK1834" i="16" a="1"/>
  <c r="AK1834" i="16" s="1"/>
  <c r="AK1833" i="16" a="1"/>
  <c r="AK1833" i="16" s="1"/>
  <c r="AK1832" i="16" a="1"/>
  <c r="AK1832" i="16" s="1"/>
  <c r="AK1831" i="16" a="1"/>
  <c r="AK1831" i="16" s="1"/>
  <c r="AK1830" i="16" a="1"/>
  <c r="AK1830" i="16" s="1"/>
  <c r="AK1829" i="16" a="1"/>
  <c r="AK1829" i="16" s="1"/>
  <c r="AK1828" i="16" a="1"/>
  <c r="AK1828" i="16" s="1"/>
  <c r="AK1827" i="16" a="1"/>
  <c r="AK1827" i="16" s="1"/>
  <c r="AK1826" i="16" a="1"/>
  <c r="AK1826" i="16" s="1"/>
  <c r="AK1825" i="16" a="1"/>
  <c r="AK1825" i="16" s="1"/>
  <c r="AK1824" i="16" a="1"/>
  <c r="AK1824" i="16" s="1"/>
  <c r="AK1823" i="16" a="1"/>
  <c r="AK1823" i="16" s="1"/>
  <c r="AK1822" i="16" a="1"/>
  <c r="AK1822" i="16" s="1"/>
  <c r="AK1821" i="16" a="1"/>
  <c r="AK1821" i="16" s="1"/>
  <c r="AK1820" i="16" a="1"/>
  <c r="AK1820" i="16" s="1"/>
  <c r="AK1819" i="16" a="1"/>
  <c r="AK1819" i="16" s="1"/>
  <c r="AK1818" i="16" a="1"/>
  <c r="AK1818" i="16" s="1"/>
  <c r="AK1817" i="16" a="1"/>
  <c r="AK1817" i="16" s="1"/>
  <c r="AK1816" i="16" a="1"/>
  <c r="AK1816" i="16" s="1"/>
  <c r="AK1815" i="16" a="1"/>
  <c r="AK1815" i="16" s="1"/>
  <c r="AK1814" i="16" a="1"/>
  <c r="AK1814" i="16" s="1"/>
  <c r="AK1813" i="16" a="1"/>
  <c r="AK1813" i="16" s="1"/>
  <c r="AK1812" i="16" a="1"/>
  <c r="AK1812" i="16" s="1"/>
  <c r="AK1811" i="16" a="1"/>
  <c r="AK1811" i="16" s="1"/>
  <c r="AK1810" i="16" a="1"/>
  <c r="AK1810" i="16" s="1"/>
  <c r="AK1809" i="16" a="1"/>
  <c r="AK1809" i="16" s="1"/>
  <c r="AK1808" i="16" a="1"/>
  <c r="AK1808" i="16" s="1"/>
  <c r="AK1807" i="16" a="1"/>
  <c r="AK1807" i="16" s="1"/>
  <c r="AK1806" i="16" a="1"/>
  <c r="AK1806" i="16" s="1"/>
  <c r="AK1805" i="16" a="1"/>
  <c r="AK1805" i="16" s="1"/>
  <c r="AK1804" i="16" a="1"/>
  <c r="AK1804" i="16" s="1"/>
  <c r="AK1803" i="16" a="1"/>
  <c r="AK1803" i="16" s="1"/>
  <c r="AK1802" i="16" a="1"/>
  <c r="AK1802" i="16" s="1"/>
  <c r="AK1801" i="16" a="1"/>
  <c r="AK1801" i="16" s="1"/>
  <c r="AK1800" i="16" a="1"/>
  <c r="AK1800" i="16" s="1"/>
  <c r="AK1799" i="16" a="1"/>
  <c r="AK1799" i="16" s="1"/>
  <c r="AK1798" i="16" a="1"/>
  <c r="AK1798" i="16" s="1"/>
  <c r="AK1797" i="16" a="1"/>
  <c r="AK1797" i="16" s="1"/>
  <c r="AK1796" i="16" a="1"/>
  <c r="AK1796" i="16" s="1"/>
  <c r="AK1795" i="16" a="1"/>
  <c r="AK1795" i="16" s="1"/>
  <c r="AK1794" i="16" a="1"/>
  <c r="AK1794" i="16" s="1"/>
  <c r="AK1793" i="16" a="1"/>
  <c r="AK1793" i="16" s="1"/>
  <c r="AK1792" i="16" a="1"/>
  <c r="AK1792" i="16" s="1"/>
  <c r="AK1791" i="16" a="1"/>
  <c r="AK1791" i="16" s="1"/>
  <c r="AK1790" i="16" a="1"/>
  <c r="AK1790" i="16" s="1"/>
  <c r="AK1789" i="16" a="1"/>
  <c r="AK1789" i="16" s="1"/>
  <c r="AK1788" i="16" a="1"/>
  <c r="AK1788" i="16" s="1"/>
  <c r="AK1787" i="16" a="1"/>
  <c r="AK1787" i="16" s="1"/>
  <c r="AK1786" i="16" a="1"/>
  <c r="AK1786" i="16" s="1"/>
  <c r="AK1785" i="16" a="1"/>
  <c r="AK1785" i="16" s="1"/>
  <c r="AK1784" i="16" a="1"/>
  <c r="AK1784" i="16" s="1"/>
  <c r="AK1783" i="16" a="1"/>
  <c r="AK1783" i="16" s="1"/>
  <c r="AK1782" i="16" a="1"/>
  <c r="AK1782" i="16" s="1"/>
  <c r="AK1781" i="16" a="1"/>
  <c r="AK1781" i="16" s="1"/>
  <c r="AK1780" i="16" a="1"/>
  <c r="AK1780" i="16" s="1"/>
  <c r="AK1779" i="16" a="1"/>
  <c r="AK1779" i="16" s="1"/>
  <c r="AK1778" i="16" a="1"/>
  <c r="AK1778" i="16" s="1"/>
  <c r="AK1777" i="16" a="1"/>
  <c r="AK1777" i="16" s="1"/>
  <c r="AK1776" i="16" a="1"/>
  <c r="AK1776" i="16" s="1"/>
  <c r="AK1775" i="16" a="1"/>
  <c r="AK1775" i="16" s="1"/>
  <c r="AK1774" i="16" a="1"/>
  <c r="AK1774" i="16" s="1"/>
  <c r="AK1773" i="16" a="1"/>
  <c r="AK1773" i="16" s="1"/>
  <c r="AK1772" i="16" a="1"/>
  <c r="AK1772" i="16" s="1"/>
  <c r="AK1771" i="16" a="1"/>
  <c r="AK1771" i="16" s="1"/>
  <c r="AK1770" i="16" a="1"/>
  <c r="AK1770" i="16" s="1"/>
  <c r="AK1769" i="16" a="1"/>
  <c r="AK1769" i="16" s="1"/>
  <c r="AK1768" i="16" a="1"/>
  <c r="AK1768" i="16" s="1"/>
  <c r="AK1767" i="16" a="1"/>
  <c r="AK1767" i="16" s="1"/>
  <c r="AK1766" i="16" a="1"/>
  <c r="AK1766" i="16" s="1"/>
  <c r="AK1765" i="16" a="1"/>
  <c r="AK1765" i="16" s="1"/>
  <c r="AK1764" i="16" a="1"/>
  <c r="AK1764" i="16" s="1"/>
  <c r="AK1763" i="16" a="1"/>
  <c r="AK1763" i="16" s="1"/>
  <c r="AK1762" i="16" a="1"/>
  <c r="AK1762" i="16" s="1"/>
  <c r="AK1761" i="16" a="1"/>
  <c r="AK1761" i="16" s="1"/>
  <c r="AK1760" i="16" a="1"/>
  <c r="AK1760" i="16" s="1"/>
  <c r="AK1759" i="16" a="1"/>
  <c r="AK1759" i="16" s="1"/>
  <c r="AK1758" i="16" a="1"/>
  <c r="AK1758" i="16" s="1"/>
  <c r="AK1757" i="16" a="1"/>
  <c r="AK1757" i="16" s="1"/>
  <c r="AK1756" i="16" a="1"/>
  <c r="AK1756" i="16" s="1"/>
  <c r="AK1755" i="16" a="1"/>
  <c r="AK1755" i="16" s="1"/>
  <c r="AK1754" i="16" a="1"/>
  <c r="AK1754" i="16" s="1"/>
  <c r="AK1753" i="16" a="1"/>
  <c r="AK1753" i="16" s="1"/>
  <c r="AK1752" i="16" a="1"/>
  <c r="AK1752" i="16" s="1"/>
  <c r="AK1751" i="16" a="1"/>
  <c r="AK1751" i="16" s="1"/>
  <c r="AK1750" i="16" a="1"/>
  <c r="AK1750" i="16" s="1"/>
  <c r="AK1749" i="16" a="1"/>
  <c r="AK1749" i="16" s="1"/>
  <c r="AK1748" i="16" a="1"/>
  <c r="AK1748" i="16" s="1"/>
  <c r="AK1747" i="16" a="1"/>
  <c r="AK1747" i="16" s="1"/>
  <c r="AK1746" i="16" a="1"/>
  <c r="AK1746" i="16" s="1"/>
  <c r="AK1745" i="16" a="1"/>
  <c r="AK1745" i="16" s="1"/>
  <c r="AK1744" i="16" a="1"/>
  <c r="AK1744" i="16" s="1"/>
  <c r="AK1743" i="16" a="1"/>
  <c r="AK1743" i="16" s="1"/>
  <c r="AK1742" i="16" a="1"/>
  <c r="AK1742" i="16" s="1"/>
  <c r="AK1741" i="16" a="1"/>
  <c r="AK1741" i="16" s="1"/>
  <c r="AK1740" i="16" a="1"/>
  <c r="AK1740" i="16" s="1"/>
  <c r="AK1739" i="16" a="1"/>
  <c r="AK1739" i="16" s="1"/>
  <c r="AK1738" i="16" a="1"/>
  <c r="AK1738" i="16" s="1"/>
  <c r="AK1737" i="16" a="1"/>
  <c r="AK1737" i="16" s="1"/>
  <c r="AK1736" i="16" a="1"/>
  <c r="AK1736" i="16" s="1"/>
  <c r="AK1735" i="16" a="1"/>
  <c r="AK1735" i="16" s="1"/>
  <c r="AK1734" i="16" a="1"/>
  <c r="AK1734" i="16" s="1"/>
  <c r="AK1733" i="16" a="1"/>
  <c r="AK1733" i="16" s="1"/>
  <c r="AK1732" i="16" a="1"/>
  <c r="AK1732" i="16" s="1"/>
  <c r="AK1731" i="16" a="1"/>
  <c r="AK1731" i="16" s="1"/>
  <c r="AK1730" i="16" a="1"/>
  <c r="AK1730" i="16" s="1"/>
  <c r="AK1729" i="16" a="1"/>
  <c r="AK1729" i="16" s="1"/>
  <c r="AK1728" i="16" a="1"/>
  <c r="AK1728" i="16" s="1"/>
  <c r="AK1727" i="16" a="1"/>
  <c r="AK1727" i="16" s="1"/>
  <c r="AK1726" i="16" a="1"/>
  <c r="AK1726" i="16" s="1"/>
  <c r="AK1725" i="16" a="1"/>
  <c r="AK1725" i="16" s="1"/>
  <c r="AK1724" i="16" a="1"/>
  <c r="AK1724" i="16" s="1"/>
  <c r="AK1723" i="16" a="1"/>
  <c r="AK1723" i="16" s="1"/>
  <c r="AK1722" i="16" a="1"/>
  <c r="AK1722" i="16" s="1"/>
  <c r="AK1721" i="16" a="1"/>
  <c r="AK1721" i="16" s="1"/>
  <c r="AK1720" i="16" a="1"/>
  <c r="AK1720" i="16" s="1"/>
  <c r="AK1719" i="16" a="1"/>
  <c r="AK1719" i="16" s="1"/>
  <c r="AK1718" i="16" a="1"/>
  <c r="AK1718" i="16" s="1"/>
  <c r="AK1717" i="16" a="1"/>
  <c r="AK1717" i="16" s="1"/>
  <c r="AK1716" i="16" a="1"/>
  <c r="AK1716" i="16" s="1"/>
  <c r="AK1715" i="16" a="1"/>
  <c r="AK1715" i="16" s="1"/>
  <c r="AK1714" i="16" a="1"/>
  <c r="AK1714" i="16" s="1"/>
  <c r="AK1713" i="16" a="1"/>
  <c r="AK1713" i="16" s="1"/>
  <c r="AK1712" i="16" a="1"/>
  <c r="AK1712" i="16" s="1"/>
  <c r="AK1711" i="16" a="1"/>
  <c r="AK1711" i="16" s="1"/>
  <c r="AK1710" i="16" a="1"/>
  <c r="AK1710" i="16" s="1"/>
  <c r="AK1709" i="16" a="1"/>
  <c r="AK1709" i="16" s="1"/>
  <c r="AK1708" i="16" a="1"/>
  <c r="AK1708" i="16" s="1"/>
  <c r="AK1707" i="16" a="1"/>
  <c r="AK1707" i="16" s="1"/>
  <c r="AK1706" i="16" a="1"/>
  <c r="AK1706" i="16" s="1"/>
  <c r="AK1705" i="16" a="1"/>
  <c r="AK1705" i="16" s="1"/>
  <c r="AK1704" i="16" a="1"/>
  <c r="AK1704" i="16" s="1"/>
  <c r="AK1703" i="16" a="1"/>
  <c r="AK1703" i="16" s="1"/>
  <c r="AK1702" i="16" a="1"/>
  <c r="AK1702" i="16" s="1"/>
  <c r="AK1701" i="16" a="1"/>
  <c r="AK1701" i="16" s="1"/>
  <c r="AK1700" i="16" a="1"/>
  <c r="AK1700" i="16" s="1"/>
  <c r="AK1699" i="16" a="1"/>
  <c r="AK1699" i="16" s="1"/>
  <c r="AK1698" i="16" a="1"/>
  <c r="AK1698" i="16" s="1"/>
  <c r="AK1697" i="16" a="1"/>
  <c r="AK1697" i="16" s="1"/>
  <c r="AK1696" i="16" a="1"/>
  <c r="AK1696" i="16" s="1"/>
  <c r="AK1695" i="16" a="1"/>
  <c r="AK1695" i="16" s="1"/>
  <c r="AK1694" i="16" a="1"/>
  <c r="AK1694" i="16" s="1"/>
  <c r="AK1693" i="16" a="1"/>
  <c r="AK1693" i="16" s="1"/>
  <c r="AK1692" i="16" a="1"/>
  <c r="AK1692" i="16" s="1"/>
  <c r="AK1691" i="16" a="1"/>
  <c r="AK1691" i="16" s="1"/>
  <c r="AK1690" i="16" a="1"/>
  <c r="AK1690" i="16" s="1"/>
  <c r="AK1689" i="16" a="1"/>
  <c r="AK1689" i="16" s="1"/>
  <c r="AK1688" i="16" a="1"/>
  <c r="AK1688" i="16" s="1"/>
  <c r="AK1687" i="16" a="1"/>
  <c r="AK1687" i="16" s="1"/>
  <c r="AK1686" i="16" a="1"/>
  <c r="AK1686" i="16" s="1"/>
  <c r="AK1685" i="16" a="1"/>
  <c r="AK1685" i="16" s="1"/>
  <c r="AK1684" i="16" a="1"/>
  <c r="AK1684" i="16" s="1"/>
  <c r="AK1683" i="16" a="1"/>
  <c r="AK1683" i="16" s="1"/>
  <c r="AK1682" i="16" a="1"/>
  <c r="AK1682" i="16" s="1"/>
  <c r="AK1681" i="16" a="1"/>
  <c r="AK1681" i="16" s="1"/>
  <c r="AK1680" i="16" a="1"/>
  <c r="AK1680" i="16" s="1"/>
  <c r="AK1679" i="16" a="1"/>
  <c r="AK1679" i="16" s="1"/>
  <c r="AK1678" i="16" a="1"/>
  <c r="AK1678" i="16" s="1"/>
  <c r="AK1677" i="16" a="1"/>
  <c r="AK1677" i="16" s="1"/>
  <c r="AK1676" i="16" a="1"/>
  <c r="AK1676" i="16" s="1"/>
  <c r="AK1675" i="16" a="1"/>
  <c r="AK1675" i="16" s="1"/>
  <c r="AK1674" i="16" a="1"/>
  <c r="AK1674" i="16" s="1"/>
  <c r="AK1673" i="16" a="1"/>
  <c r="AK1673" i="16" s="1"/>
  <c r="AK1672" i="16" a="1"/>
  <c r="AK1672" i="16" s="1"/>
  <c r="AK1671" i="16" a="1"/>
  <c r="AK1671" i="16" s="1"/>
  <c r="AK1670" i="16" a="1"/>
  <c r="AK1670" i="16" s="1"/>
  <c r="AK1669" i="16" a="1"/>
  <c r="AK1669" i="16" s="1"/>
  <c r="AK1668" i="16" a="1"/>
  <c r="AK1668" i="16" s="1"/>
  <c r="AK1667" i="16" a="1"/>
  <c r="AK1667" i="16" s="1"/>
  <c r="AK1666" i="16" a="1"/>
  <c r="AK1666" i="16" s="1"/>
  <c r="AK1665" i="16" a="1"/>
  <c r="AK1665" i="16" s="1"/>
  <c r="AK1664" i="16" a="1"/>
  <c r="AK1664" i="16" s="1"/>
  <c r="AK1663" i="16" a="1"/>
  <c r="AK1663" i="16" s="1"/>
  <c r="AK1662" i="16" a="1"/>
  <c r="AK1662" i="16" s="1"/>
  <c r="AK1661" i="16" a="1"/>
  <c r="AK1661" i="16" s="1"/>
  <c r="AK1660" i="16" a="1"/>
  <c r="AK1660" i="16" s="1"/>
  <c r="AK1659" i="16" a="1"/>
  <c r="AK1659" i="16" s="1"/>
  <c r="AK1658" i="16" a="1"/>
  <c r="AK1658" i="16" s="1"/>
  <c r="AK1657" i="16" a="1"/>
  <c r="AK1657" i="16" s="1"/>
  <c r="AK1656" i="16" a="1"/>
  <c r="AK1656" i="16" s="1"/>
  <c r="AK1655" i="16" a="1"/>
  <c r="AK1655" i="16" s="1"/>
  <c r="AK1654" i="16" a="1"/>
  <c r="AK1654" i="16" s="1"/>
  <c r="AK1653" i="16" a="1"/>
  <c r="AK1653" i="16" s="1"/>
  <c r="AK1652" i="16" a="1"/>
  <c r="AK1652" i="16" s="1"/>
  <c r="AK1651" i="16" a="1"/>
  <c r="AK1651" i="16" s="1"/>
  <c r="AK1650" i="16" a="1"/>
  <c r="AK1650" i="16" s="1"/>
  <c r="AK1649" i="16" a="1"/>
  <c r="AK1649" i="16" s="1"/>
  <c r="AK1648" i="16" a="1"/>
  <c r="AK1648" i="16" s="1"/>
  <c r="AK1647" i="16" a="1"/>
  <c r="AK1647" i="16" s="1"/>
  <c r="AK1646" i="16" a="1"/>
  <c r="AK1646" i="16" s="1"/>
  <c r="AK1645" i="16" a="1"/>
  <c r="AK1645" i="16" s="1"/>
  <c r="AK1644" i="16" a="1"/>
  <c r="AK1644" i="16" s="1"/>
  <c r="AK1643" i="16" a="1"/>
  <c r="AK1643" i="16" s="1"/>
  <c r="AK1642" i="16" a="1"/>
  <c r="AK1642" i="16" s="1"/>
  <c r="AK1641" i="16" a="1"/>
  <c r="AK1641" i="16" s="1"/>
  <c r="AK1640" i="16" a="1"/>
  <c r="AK1640" i="16" s="1"/>
  <c r="AK1639" i="16" a="1"/>
  <c r="AK1639" i="16" s="1"/>
  <c r="AK1638" i="16" a="1"/>
  <c r="AK1638" i="16" s="1"/>
  <c r="AK1637" i="16" a="1"/>
  <c r="AK1637" i="16" s="1"/>
  <c r="AK1636" i="16" a="1"/>
  <c r="AK1636" i="16" s="1"/>
  <c r="AK1635" i="16" a="1"/>
  <c r="AK1635" i="16" s="1"/>
  <c r="AK1634" i="16" a="1"/>
  <c r="AK1634" i="16" s="1"/>
  <c r="AK1633" i="16" a="1"/>
  <c r="AK1633" i="16" s="1"/>
  <c r="AK1632" i="16" a="1"/>
  <c r="AK1632" i="16" s="1"/>
  <c r="AK1631" i="16" a="1"/>
  <c r="AK1631" i="16" s="1"/>
  <c r="AK1630" i="16" a="1"/>
  <c r="AK1630" i="16" s="1"/>
  <c r="AK1629" i="16" a="1"/>
  <c r="AK1629" i="16" s="1"/>
  <c r="AK1628" i="16" a="1"/>
  <c r="AK1628" i="16" s="1"/>
  <c r="AK1627" i="16" a="1"/>
  <c r="AK1627" i="16" s="1"/>
  <c r="AK1626" i="16" a="1"/>
  <c r="AK1626" i="16" s="1"/>
  <c r="AK1625" i="16" a="1"/>
  <c r="AK1625" i="16" s="1"/>
  <c r="AK1624" i="16" a="1"/>
  <c r="AK1624" i="16" s="1"/>
  <c r="AK1623" i="16" a="1"/>
  <c r="AK1623" i="16" s="1"/>
  <c r="AK1622" i="16" a="1"/>
  <c r="AK1622" i="16" s="1"/>
  <c r="AK1621" i="16" a="1"/>
  <c r="AK1621" i="16" s="1"/>
  <c r="AK1620" i="16" a="1"/>
  <c r="AK1620" i="16" s="1"/>
  <c r="AK1619" i="16" a="1"/>
  <c r="AK1619" i="16" s="1"/>
  <c r="AK1618" i="16" a="1"/>
  <c r="AK1618" i="16" s="1"/>
  <c r="AK1617" i="16" a="1"/>
  <c r="AK1617" i="16" s="1"/>
  <c r="AK1616" i="16" a="1"/>
  <c r="AK1616" i="16" s="1"/>
  <c r="AK1615" i="16" a="1"/>
  <c r="AK1615" i="16" s="1"/>
  <c r="AK1614" i="16" a="1"/>
  <c r="AK1614" i="16" s="1"/>
  <c r="AK1613" i="16" a="1"/>
  <c r="AK1613" i="16" s="1"/>
  <c r="AK1612" i="16" a="1"/>
  <c r="AK1612" i="16" s="1"/>
  <c r="AK1611" i="16" a="1"/>
  <c r="AK1611" i="16" s="1"/>
  <c r="AK1610" i="16" a="1"/>
  <c r="AK1610" i="16" s="1"/>
  <c r="AK1609" i="16" a="1"/>
  <c r="AK1609" i="16" s="1"/>
  <c r="AK1608" i="16" a="1"/>
  <c r="AK1608" i="16" s="1"/>
  <c r="AK1607" i="16" a="1"/>
  <c r="AK1607" i="16" s="1"/>
  <c r="AK1606" i="16" a="1"/>
  <c r="AK1606" i="16" s="1"/>
  <c r="AK1605" i="16" a="1"/>
  <c r="AK1605" i="16" s="1"/>
  <c r="AK1604" i="16" a="1"/>
  <c r="AK1604" i="16" s="1"/>
  <c r="AK1603" i="16" a="1"/>
  <c r="AK1603" i="16" s="1"/>
  <c r="AK1602" i="16" a="1"/>
  <c r="AK1602" i="16" s="1"/>
  <c r="AK1601" i="16" a="1"/>
  <c r="AK1601" i="16" s="1"/>
  <c r="AK1600" i="16" a="1"/>
  <c r="AK1600" i="16" s="1"/>
  <c r="AK1599" i="16" a="1"/>
  <c r="AK1599" i="16" s="1"/>
  <c r="AK1598" i="16" a="1"/>
  <c r="AK1598" i="16" s="1"/>
  <c r="AK1597" i="16" a="1"/>
  <c r="AK1597" i="16" s="1"/>
  <c r="AK1596" i="16" a="1"/>
  <c r="AK1596" i="16" s="1"/>
  <c r="AK1595" i="16" a="1"/>
  <c r="AK1595" i="16" s="1"/>
  <c r="AK1594" i="16" a="1"/>
  <c r="AK1594" i="16" s="1"/>
  <c r="AK1593" i="16" a="1"/>
  <c r="AK1593" i="16" s="1"/>
  <c r="AK1592" i="16" a="1"/>
  <c r="AK1592" i="16" s="1"/>
  <c r="AK1591" i="16" a="1"/>
  <c r="AK1591" i="16" s="1"/>
  <c r="AK1590" i="16" a="1"/>
  <c r="AK1590" i="16" s="1"/>
  <c r="AK1589" i="16" a="1"/>
  <c r="AK1589" i="16" s="1"/>
  <c r="AK1588" i="16" a="1"/>
  <c r="AK1588" i="16" s="1"/>
  <c r="AK1587" i="16" a="1"/>
  <c r="AK1587" i="16" s="1"/>
  <c r="AK1586" i="16" a="1"/>
  <c r="AK1586" i="16" s="1"/>
  <c r="AK1585" i="16" a="1"/>
  <c r="AK1585" i="16" s="1"/>
  <c r="AK1584" i="16" a="1"/>
  <c r="AK1584" i="16" s="1"/>
  <c r="AK1583" i="16" a="1"/>
  <c r="AK1583" i="16" s="1"/>
  <c r="AK1582" i="16" a="1"/>
  <c r="AK1582" i="16" s="1"/>
  <c r="AK1581" i="16" a="1"/>
  <c r="AK1581" i="16" s="1"/>
  <c r="AK1580" i="16" a="1"/>
  <c r="AK1580" i="16" s="1"/>
  <c r="AK1579" i="16" a="1"/>
  <c r="AK1579" i="16" s="1"/>
  <c r="AK1578" i="16" a="1"/>
  <c r="AK1578" i="16" s="1"/>
  <c r="AK1577" i="16" a="1"/>
  <c r="AK1577" i="16" s="1"/>
  <c r="AK1576" i="16" a="1"/>
  <c r="AK1576" i="16" s="1"/>
  <c r="AK1575" i="16" a="1"/>
  <c r="AK1575" i="16" s="1"/>
  <c r="AK1574" i="16" a="1"/>
  <c r="AK1574" i="16" s="1"/>
  <c r="AK1573" i="16" a="1"/>
  <c r="AK1573" i="16" s="1"/>
  <c r="AK1572" i="16" a="1"/>
  <c r="AK1572" i="16" s="1"/>
  <c r="AK1571" i="16" a="1"/>
  <c r="AK1571" i="16" s="1"/>
  <c r="AK1570" i="16" a="1"/>
  <c r="AK1570" i="16" s="1"/>
  <c r="AK1569" i="16" a="1"/>
  <c r="AK1569" i="16" s="1"/>
  <c r="AK1568" i="16" a="1"/>
  <c r="AK1568" i="16" s="1"/>
  <c r="AK1567" i="16" a="1"/>
  <c r="AK1567" i="16" s="1"/>
  <c r="AK1566" i="16" a="1"/>
  <c r="AK1566" i="16" s="1"/>
  <c r="AK1565" i="16" a="1"/>
  <c r="AK1565" i="16" s="1"/>
  <c r="AK1564" i="16" a="1"/>
  <c r="AK1564" i="16" s="1"/>
  <c r="AK1563" i="16" a="1"/>
  <c r="AK1563" i="16" s="1"/>
  <c r="AK1562" i="16" a="1"/>
  <c r="AK1562" i="16" s="1"/>
  <c r="AK1561" i="16" a="1"/>
  <c r="AK1561" i="16" s="1"/>
  <c r="AK1560" i="16" a="1"/>
  <c r="AK1560" i="16" s="1"/>
  <c r="AK1559" i="16" a="1"/>
  <c r="AK1559" i="16" s="1"/>
  <c r="AK1558" i="16" a="1"/>
  <c r="AK1558" i="16" s="1"/>
  <c r="AK1557" i="16" a="1"/>
  <c r="AK1557" i="16" s="1"/>
  <c r="AK1556" i="16" a="1"/>
  <c r="AK1556" i="16" s="1"/>
  <c r="AK1555" i="16" a="1"/>
  <c r="AK1555" i="16" s="1"/>
  <c r="AK1554" i="16" a="1"/>
  <c r="AK1554" i="16" s="1"/>
  <c r="AK1553" i="16" a="1"/>
  <c r="AK1553" i="16" s="1"/>
  <c r="AK1552" i="16" a="1"/>
  <c r="AK1552" i="16" s="1"/>
  <c r="AK1551" i="16" a="1"/>
  <c r="AK1551" i="16" s="1"/>
  <c r="AK1550" i="16" a="1"/>
  <c r="AK1550" i="16" s="1"/>
  <c r="AK1549" i="16" a="1"/>
  <c r="AK1549" i="16" s="1"/>
  <c r="AK1548" i="16" a="1"/>
  <c r="AK1548" i="16" s="1"/>
  <c r="AK1547" i="16" a="1"/>
  <c r="AK1547" i="16" s="1"/>
  <c r="AK1546" i="16" a="1"/>
  <c r="AK1546" i="16" s="1"/>
  <c r="AK1545" i="16" a="1"/>
  <c r="AK1545" i="16" s="1"/>
  <c r="AK1544" i="16" a="1"/>
  <c r="AK1544" i="16" s="1"/>
  <c r="AK1543" i="16" a="1"/>
  <c r="AK1543" i="16" s="1"/>
  <c r="AK1542" i="16" a="1"/>
  <c r="AK1542" i="16" s="1"/>
  <c r="AK1541" i="16" a="1"/>
  <c r="AK1541" i="16" s="1"/>
  <c r="AK1540" i="16" a="1"/>
  <c r="AK1540" i="16" s="1"/>
  <c r="AK1539" i="16" a="1"/>
  <c r="AK1539" i="16" s="1"/>
  <c r="AK1538" i="16" a="1"/>
  <c r="AK1538" i="16" s="1"/>
  <c r="AK1537" i="16" a="1"/>
  <c r="AK1537" i="16" s="1"/>
  <c r="AK1536" i="16" a="1"/>
  <c r="AK1536" i="16" s="1"/>
  <c r="AK1535" i="16" a="1"/>
  <c r="AK1535" i="16" s="1"/>
  <c r="AK1534" i="16" a="1"/>
  <c r="AK1534" i="16" s="1"/>
  <c r="AK1533" i="16" a="1"/>
  <c r="AK1533" i="16" s="1"/>
  <c r="AK1532" i="16" a="1"/>
  <c r="AK1532" i="16" s="1"/>
  <c r="AK1531" i="16" a="1"/>
  <c r="AK1531" i="16" s="1"/>
  <c r="AK1530" i="16" a="1"/>
  <c r="AK1530" i="16" s="1"/>
  <c r="AK1529" i="16" a="1"/>
  <c r="AK1529" i="16" s="1"/>
  <c r="AK1528" i="16" a="1"/>
  <c r="AK1528" i="16" s="1"/>
  <c r="AK1527" i="16" a="1"/>
  <c r="AK1527" i="16" s="1"/>
  <c r="AK1526" i="16" a="1"/>
  <c r="AK1526" i="16" s="1"/>
  <c r="AK1525" i="16" a="1"/>
  <c r="AK1525" i="16" s="1"/>
  <c r="AK1524" i="16" a="1"/>
  <c r="AK1524" i="16" s="1"/>
  <c r="AK1523" i="16" a="1"/>
  <c r="AK1523" i="16" s="1"/>
  <c r="AK1522" i="16" a="1"/>
  <c r="AK1522" i="16" s="1"/>
  <c r="AK1521" i="16" a="1"/>
  <c r="AK1521" i="16" s="1"/>
  <c r="AK1520" i="16" a="1"/>
  <c r="AK1520" i="16" s="1"/>
  <c r="AK1519" i="16" a="1"/>
  <c r="AK1519" i="16" s="1"/>
  <c r="AK1518" i="16" a="1"/>
  <c r="AK1518" i="16" s="1"/>
  <c r="AK1517" i="16" a="1"/>
  <c r="AK1517" i="16" s="1"/>
  <c r="AK1516" i="16" a="1"/>
  <c r="AK1516" i="16" s="1"/>
  <c r="AK1515" i="16" a="1"/>
  <c r="AK1515" i="16" s="1"/>
  <c r="AK1514" i="16" a="1"/>
  <c r="AK1514" i="16" s="1"/>
  <c r="AK1513" i="16" a="1"/>
  <c r="AK1513" i="16" s="1"/>
  <c r="AK1512" i="16" a="1"/>
  <c r="AK1512" i="16" s="1"/>
  <c r="AK1511" i="16" a="1"/>
  <c r="AK1511" i="16" s="1"/>
  <c r="AK1510" i="16" a="1"/>
  <c r="AK1510" i="16" s="1"/>
  <c r="AK1509" i="16" a="1"/>
  <c r="AK1509" i="16" s="1"/>
  <c r="AK1508" i="16" a="1"/>
  <c r="AK1508" i="16" s="1"/>
  <c r="AK1507" i="16" a="1"/>
  <c r="AK1507" i="16" s="1"/>
  <c r="AK1506" i="16" a="1"/>
  <c r="AK1506" i="16" s="1"/>
  <c r="AK1505" i="16" a="1"/>
  <c r="AK1505" i="16" s="1"/>
  <c r="AK1504" i="16" a="1"/>
  <c r="AK1504" i="16" s="1"/>
  <c r="AK1503" i="16" a="1"/>
  <c r="AK1503" i="16" s="1"/>
  <c r="AK1502" i="16" a="1"/>
  <c r="AK1502" i="16" s="1"/>
  <c r="AK1501" i="16" a="1"/>
  <c r="AK1501" i="16" s="1"/>
  <c r="AK1500" i="16" a="1"/>
  <c r="AK1500" i="16" s="1"/>
  <c r="AK1499" i="16" a="1"/>
  <c r="AK1499" i="16" s="1"/>
  <c r="AK1498" i="16" a="1"/>
  <c r="AK1498" i="16" s="1"/>
  <c r="AK1497" i="16" a="1"/>
  <c r="AK1497" i="16" s="1"/>
  <c r="AK1496" i="16" a="1"/>
  <c r="AK1496" i="16" s="1"/>
  <c r="AK1495" i="16" a="1"/>
  <c r="AK1495" i="16" s="1"/>
  <c r="AK1494" i="16" a="1"/>
  <c r="AK1494" i="16" s="1"/>
  <c r="AK1493" i="16" a="1"/>
  <c r="AK1493" i="16" s="1"/>
  <c r="AK1492" i="16" a="1"/>
  <c r="AK1492" i="16" s="1"/>
  <c r="AK1491" i="16" a="1"/>
  <c r="AK1491" i="16" s="1"/>
  <c r="AK1490" i="16" a="1"/>
  <c r="AK1490" i="16" s="1"/>
  <c r="AK1489" i="16" a="1"/>
  <c r="AK1489" i="16" s="1"/>
  <c r="AK1488" i="16" a="1"/>
  <c r="AK1488" i="16" s="1"/>
  <c r="AK1487" i="16" a="1"/>
  <c r="AK1487" i="16" s="1"/>
  <c r="AK1486" i="16" a="1"/>
  <c r="AK1486" i="16" s="1"/>
  <c r="AK1485" i="16" a="1"/>
  <c r="AK1485" i="16" s="1"/>
  <c r="AK1484" i="16" a="1"/>
  <c r="AK1484" i="16" s="1"/>
  <c r="AK1483" i="16" a="1"/>
  <c r="AK1483" i="16" s="1"/>
  <c r="AK1482" i="16" a="1"/>
  <c r="AK1482" i="16" s="1"/>
  <c r="AK1481" i="16" a="1"/>
  <c r="AK1481" i="16" s="1"/>
  <c r="AK1480" i="16" a="1"/>
  <c r="AK1480" i="16" s="1"/>
  <c r="AK1479" i="16" a="1"/>
  <c r="AK1479" i="16" s="1"/>
  <c r="AK1478" i="16" a="1"/>
  <c r="AK1478" i="16" s="1"/>
  <c r="AK1477" i="16" a="1"/>
  <c r="AK1477" i="16" s="1"/>
  <c r="AK1476" i="16" a="1"/>
  <c r="AK1476" i="16" s="1"/>
  <c r="AK1475" i="16" a="1"/>
  <c r="AK1475" i="16" s="1"/>
  <c r="AK1474" i="16" a="1"/>
  <c r="AK1474" i="16" s="1"/>
  <c r="AK1473" i="16" a="1"/>
  <c r="AK1473" i="16" s="1"/>
  <c r="AK1472" i="16" a="1"/>
  <c r="AK1472" i="16" s="1"/>
  <c r="AK1471" i="16" a="1"/>
  <c r="AK1471" i="16" s="1"/>
  <c r="AI2" i="16"/>
  <c r="AK2" i="16"/>
  <c r="AI3" i="16"/>
  <c r="AF5" i="16"/>
  <c r="AI6" i="16"/>
  <c r="AF7" i="16"/>
  <c r="AF8" i="16"/>
  <c r="AI9" i="16"/>
  <c r="AF10" i="16"/>
  <c r="AI11" i="16"/>
  <c r="AF12" i="16"/>
  <c r="AI13" i="16"/>
  <c r="AI14" i="16"/>
  <c r="AF15" i="16"/>
  <c r="AI16" i="16"/>
  <c r="AF17" i="16"/>
  <c r="AI18" i="16"/>
  <c r="AF19" i="16"/>
  <c r="AI20" i="16"/>
  <c r="AI21" i="16"/>
  <c r="AI22" i="16"/>
  <c r="AI23" i="16"/>
  <c r="AF24" i="16"/>
  <c r="AI25" i="16"/>
  <c r="AI26" i="16"/>
  <c r="AI27" i="16"/>
  <c r="AI28" i="16"/>
  <c r="AI29" i="16"/>
  <c r="AI30" i="16"/>
  <c r="AI31" i="16"/>
  <c r="AF32" i="16"/>
  <c r="AI33" i="16"/>
  <c r="AF34" i="16"/>
  <c r="AI35" i="16"/>
  <c r="AF36" i="16"/>
  <c r="AI37" i="16"/>
  <c r="AF38" i="16"/>
  <c r="AI39" i="16"/>
  <c r="AI40" i="16"/>
  <c r="AI41" i="16"/>
  <c r="AF42" i="16"/>
  <c r="AI43" i="16"/>
  <c r="AI44" i="16"/>
  <c r="AF45" i="16"/>
  <c r="AF46" i="16"/>
  <c r="AI47" i="16"/>
  <c r="AF48" i="16"/>
  <c r="AI49" i="16"/>
  <c r="AF50" i="16"/>
  <c r="AI51" i="16"/>
  <c r="AF52" i="16"/>
  <c r="AI53" i="16"/>
  <c r="AF54" i="16"/>
  <c r="AI55" i="16"/>
  <c r="AF56" i="16"/>
  <c r="AI57" i="16"/>
  <c r="AF58" i="16"/>
  <c r="AI59" i="16"/>
  <c r="AF60" i="16"/>
  <c r="AI61" i="16"/>
  <c r="AF62" i="16"/>
  <c r="AI63" i="16"/>
  <c r="AF64" i="16"/>
  <c r="AI65" i="16"/>
  <c r="AF66" i="16"/>
  <c r="AI67" i="16"/>
  <c r="AF68" i="16"/>
  <c r="AI69" i="16"/>
  <c r="AF70" i="16"/>
  <c r="AI71" i="16"/>
  <c r="AF72" i="16"/>
  <c r="AI73" i="16"/>
  <c r="AF74" i="16"/>
  <c r="AI75" i="16"/>
  <c r="AF76" i="16"/>
  <c r="AI77" i="16"/>
  <c r="AF78" i="16"/>
  <c r="AI79" i="16"/>
  <c r="AF80" i="16"/>
  <c r="AI81" i="16"/>
  <c r="AF82" i="16"/>
  <c r="AI83" i="16"/>
  <c r="AF84" i="16"/>
  <c r="AI85" i="16"/>
  <c r="AF86" i="16"/>
  <c r="AI87" i="16"/>
  <c r="AI89" i="16"/>
  <c r="AF90" i="16"/>
  <c r="AI91" i="16"/>
  <c r="AF92" i="16"/>
  <c r="AI93" i="16"/>
  <c r="AF94" i="16"/>
  <c r="AI95" i="16"/>
  <c r="AF96" i="16"/>
  <c r="AI97" i="16"/>
  <c r="AF98" i="16"/>
  <c r="AI99" i="16"/>
  <c r="AF100" i="16"/>
  <c r="AI101" i="16"/>
  <c r="AF102" i="16"/>
  <c r="AI103" i="16"/>
  <c r="AI105" i="16"/>
  <c r="AF106" i="16"/>
  <c r="AI107" i="16"/>
  <c r="AF108" i="16"/>
  <c r="AI109" i="16"/>
  <c r="AF110" i="16"/>
  <c r="AI111" i="16"/>
  <c r="AF112" i="16"/>
  <c r="AI113" i="16"/>
  <c r="AF114" i="16"/>
  <c r="AI115" i="16"/>
  <c r="AF116" i="16"/>
  <c r="AI117" i="16"/>
  <c r="AF118" i="16"/>
  <c r="AI119" i="16"/>
  <c r="AF120" i="16"/>
  <c r="AI121" i="16"/>
  <c r="AF122" i="16"/>
  <c r="AI123" i="16"/>
  <c r="AF124" i="16"/>
  <c r="AI125" i="16"/>
  <c r="AF126" i="16"/>
  <c r="AI127" i="16"/>
  <c r="AF128" i="16"/>
  <c r="AI129" i="16"/>
  <c r="AF130" i="16"/>
  <c r="AI131" i="16"/>
  <c r="AF132" i="16"/>
  <c r="AI133" i="16"/>
  <c r="AF134" i="16"/>
  <c r="AI135" i="16"/>
  <c r="AI137" i="16"/>
  <c r="AD20" i="16" l="1"/>
  <c r="L140" i="59"/>
  <c r="L159" i="61"/>
  <c r="L141" i="59"/>
  <c r="L165" i="60"/>
  <c r="L166" i="64"/>
  <c r="B255" i="62"/>
  <c r="D162" i="59" s="1"/>
  <c r="L142" i="59"/>
  <c r="L168" i="63"/>
  <c r="L166" i="60"/>
  <c r="L163" i="63"/>
  <c r="B124" i="63"/>
  <c r="E47" i="59" s="1"/>
  <c r="B255" i="61"/>
  <c r="C162" i="59" s="1"/>
  <c r="W129" i="59"/>
  <c r="B149" i="64" s="1"/>
  <c r="F78" i="59" s="1"/>
  <c r="L176" i="63"/>
  <c r="W75" i="59"/>
  <c r="B149" i="62" s="1"/>
  <c r="D78" i="59" s="1"/>
  <c r="AE3" i="16"/>
  <c r="AF14" i="16"/>
  <c r="AF18" i="16" s="1"/>
  <c r="B65" i="61"/>
  <c r="C61" i="59" s="1"/>
  <c r="B134" i="61"/>
  <c r="C65" i="59" s="1"/>
  <c r="B202" i="61"/>
  <c r="C100" i="59" s="1"/>
  <c r="L158" i="61"/>
  <c r="L167" i="61"/>
  <c r="W92" i="59"/>
  <c r="W21" i="59"/>
  <c r="B149" i="60" s="1"/>
  <c r="B78" i="59" s="1"/>
  <c r="AF87" i="16"/>
  <c r="O18" i="12"/>
  <c r="AD25" i="16"/>
  <c r="AD9" i="16"/>
  <c r="BM30" i="16"/>
  <c r="D38" i="48" s="1"/>
  <c r="BO30" i="16"/>
  <c r="C18" i="48" s="1"/>
  <c r="AC135" i="16"/>
  <c r="AC133" i="16"/>
  <c r="AC131" i="16"/>
  <c r="AC129" i="16"/>
  <c r="AC127" i="16"/>
  <c r="AC125" i="16"/>
  <c r="AC123" i="16"/>
  <c r="AC121" i="16"/>
  <c r="AC119" i="16"/>
  <c r="AC117" i="16"/>
  <c r="AC115" i="16"/>
  <c r="AC113" i="16"/>
  <c r="AC111" i="16"/>
  <c r="AC109" i="16"/>
  <c r="AC107" i="16"/>
  <c r="AC103" i="16"/>
  <c r="AC101" i="16"/>
  <c r="AC99" i="16"/>
  <c r="AC97" i="16"/>
  <c r="AC95" i="16"/>
  <c r="AC93" i="16"/>
  <c r="AC91" i="16"/>
  <c r="AC89" i="16"/>
  <c r="AC87" i="16"/>
  <c r="AC85" i="16"/>
  <c r="AC83" i="16"/>
  <c r="AC81" i="16"/>
  <c r="AC79" i="16"/>
  <c r="AC77" i="16"/>
  <c r="AC75" i="16"/>
  <c r="AC73" i="16"/>
  <c r="AC71" i="16"/>
  <c r="AC69" i="16"/>
  <c r="AC67" i="16"/>
  <c r="AC65" i="16"/>
  <c r="AC63" i="16"/>
  <c r="AC61" i="16"/>
  <c r="AC59" i="16"/>
  <c r="AC57" i="16"/>
  <c r="AC55" i="16"/>
  <c r="AC53" i="16"/>
  <c r="AC51" i="16"/>
  <c r="AC49" i="16"/>
  <c r="AC47" i="16"/>
  <c r="AC43" i="16"/>
  <c r="AC41" i="16"/>
  <c r="AC39" i="16"/>
  <c r="AC37" i="16"/>
  <c r="AC35" i="16"/>
  <c r="AC33" i="16"/>
  <c r="AC31" i="16"/>
  <c r="AC29" i="16"/>
  <c r="AC27" i="16"/>
  <c r="AC25" i="16"/>
  <c r="AC23" i="16"/>
  <c r="AC21" i="16"/>
  <c r="AC13" i="16"/>
  <c r="AC11" i="16"/>
  <c r="AC9" i="16"/>
  <c r="BJ26" i="16"/>
  <c r="L178" i="61"/>
  <c r="B182" i="61" s="1"/>
  <c r="C84" i="59" s="1"/>
  <c r="W48" i="59"/>
  <c r="B149" i="61" s="1"/>
  <c r="C78" i="59" s="1"/>
  <c r="L178" i="60"/>
  <c r="B182" i="60" s="1"/>
  <c r="B84" i="59" s="1"/>
  <c r="L178" i="62"/>
  <c r="B182" i="62" s="1"/>
  <c r="D84" i="59" s="1"/>
  <c r="L178" i="64"/>
  <c r="B182" i="64" s="1"/>
  <c r="F84" i="59" s="1"/>
  <c r="L178" i="63"/>
  <c r="B182" i="63" s="1"/>
  <c r="E84" i="59" s="1"/>
  <c r="AC3" i="16"/>
  <c r="AC4" i="16" s="1"/>
  <c r="AD113" i="16"/>
  <c r="AD109" i="16"/>
  <c r="AD107" i="16"/>
  <c r="AD93" i="16"/>
  <c r="AD85" i="16"/>
  <c r="AD39" i="16"/>
  <c r="AD81" i="16"/>
  <c r="AD79" i="16"/>
  <c r="AD77" i="16"/>
  <c r="AD69" i="16"/>
  <c r="AD53" i="16"/>
  <c r="AD51" i="16"/>
  <c r="AD35" i="16"/>
  <c r="AD33" i="16"/>
  <c r="AD28" i="16"/>
  <c r="AD21" i="16"/>
  <c r="AD6" i="16"/>
  <c r="AC137" i="16"/>
  <c r="AC44" i="16"/>
  <c r="AC40" i="16"/>
  <c r="AC30" i="16"/>
  <c r="AC28" i="16"/>
  <c r="AC26" i="16"/>
  <c r="AC22" i="16"/>
  <c r="AC20" i="16"/>
  <c r="AC18" i="16"/>
  <c r="AC16" i="16"/>
  <c r="AC14" i="16"/>
  <c r="AC6" i="16"/>
  <c r="W101" i="59"/>
  <c r="B133" i="62"/>
  <c r="D64" i="59" s="1"/>
  <c r="B147" i="62"/>
  <c r="D76" i="59" s="1"/>
  <c r="B194" i="62" s="1"/>
  <c r="D96" i="59" s="1"/>
  <c r="W128" i="59"/>
  <c r="W62" i="59"/>
  <c r="W61" i="59" s="1"/>
  <c r="W8" i="59"/>
  <c r="W7" i="59" s="1"/>
  <c r="D275" i="61"/>
  <c r="C71" i="59"/>
  <c r="B71" i="59"/>
  <c r="D275" i="60"/>
  <c r="AD131" i="16"/>
  <c r="AD129" i="16"/>
  <c r="AD123" i="16"/>
  <c r="AD121" i="16"/>
  <c r="AD115" i="16"/>
  <c r="AD111" i="16"/>
  <c r="AD105" i="16"/>
  <c r="AD95" i="16"/>
  <c r="AD87" i="16"/>
  <c r="AD83" i="16"/>
  <c r="AD71" i="16"/>
  <c r="AD59" i="16"/>
  <c r="AD57" i="16"/>
  <c r="AD55" i="16"/>
  <c r="AD49" i="16"/>
  <c r="AD44" i="16"/>
  <c r="AD23" i="16"/>
  <c r="AD22" i="16"/>
  <c r="AD18" i="16"/>
  <c r="AD14" i="16"/>
  <c r="W116" i="59"/>
  <c r="W115" i="59" s="1"/>
  <c r="D281" i="63"/>
  <c r="E113" i="59"/>
  <c r="B285" i="63"/>
  <c r="D113" i="59"/>
  <c r="D281" i="62"/>
  <c r="B285" i="62"/>
  <c r="AD134" i="16"/>
  <c r="AD130" i="16"/>
  <c r="AD126" i="16"/>
  <c r="AD122" i="16"/>
  <c r="AD118" i="16"/>
  <c r="AD114" i="16"/>
  <c r="AD112" i="16"/>
  <c r="AD108" i="16"/>
  <c r="AD104" i="16"/>
  <c r="AD100" i="16"/>
  <c r="AD96" i="16"/>
  <c r="AD92" i="16"/>
  <c r="AD88" i="16"/>
  <c r="AD84" i="16"/>
  <c r="AD80" i="16"/>
  <c r="AD76" i="16"/>
  <c r="AD72" i="16"/>
  <c r="AD68" i="16"/>
  <c r="AD64" i="16"/>
  <c r="AD60" i="16"/>
  <c r="AD56" i="16"/>
  <c r="AD52" i="16"/>
  <c r="AD48" i="16"/>
  <c r="AD45" i="16"/>
  <c r="AE40" i="16"/>
  <c r="AD36" i="16"/>
  <c r="AD32" i="16"/>
  <c r="AE26" i="16"/>
  <c r="AD24" i="16"/>
  <c r="AE18" i="16"/>
  <c r="AE13" i="16"/>
  <c r="AE11" i="16"/>
  <c r="W89" i="59"/>
  <c r="W88" i="59" s="1"/>
  <c r="W104" i="59"/>
  <c r="S105" i="59" s="1"/>
  <c r="B51" i="61"/>
  <c r="C17" i="59" s="1"/>
  <c r="B49" i="61"/>
  <c r="W11" i="59"/>
  <c r="F53" i="59"/>
  <c r="B216" i="64"/>
  <c r="F121" i="59" s="1"/>
  <c r="B191" i="64"/>
  <c r="F93" i="59" s="1"/>
  <c r="E53" i="59"/>
  <c r="B135" i="63"/>
  <c r="E66" i="59" s="1"/>
  <c r="B216" i="63"/>
  <c r="E121" i="59" s="1"/>
  <c r="B191" i="63"/>
  <c r="E93" i="59" s="1"/>
  <c r="B217" i="62"/>
  <c r="D122" i="59" s="1"/>
  <c r="B81" i="62"/>
  <c r="D33" i="59" s="1"/>
  <c r="B82" i="62" s="1"/>
  <c r="D34" i="59" s="1"/>
  <c r="B83" i="62" s="1"/>
  <c r="D48" i="59" s="1"/>
  <c r="B218" i="62"/>
  <c r="D123" i="59" s="1"/>
  <c r="B210" i="62"/>
  <c r="D108" i="59" s="1"/>
  <c r="B217" i="61"/>
  <c r="C122" i="59" s="1"/>
  <c r="B81" i="61"/>
  <c r="C33" i="59" s="1"/>
  <c r="B82" i="61" s="1"/>
  <c r="C34" i="59" s="1"/>
  <c r="B83" i="61" s="1"/>
  <c r="C48" i="59" s="1"/>
  <c r="B218" i="61"/>
  <c r="C123" i="59" s="1"/>
  <c r="B210" i="61"/>
  <c r="C108" i="59" s="1"/>
  <c r="AE135" i="16"/>
  <c r="AE131" i="16"/>
  <c r="AE127" i="16"/>
  <c r="AE123" i="16"/>
  <c r="AE119" i="16"/>
  <c r="AE115" i="16"/>
  <c r="AE109" i="16"/>
  <c r="AE105" i="16"/>
  <c r="AE101" i="16"/>
  <c r="AE97" i="16"/>
  <c r="AE93" i="16"/>
  <c r="AE89" i="16"/>
  <c r="AE85" i="16"/>
  <c r="AE81" i="16"/>
  <c r="AE77" i="16"/>
  <c r="AE73" i="16"/>
  <c r="AE69" i="16"/>
  <c r="AE65" i="16"/>
  <c r="AE61" i="16"/>
  <c r="AE57" i="16"/>
  <c r="AE53" i="16"/>
  <c r="AE49" i="16"/>
  <c r="AD46" i="16"/>
  <c r="AE43" i="16"/>
  <c r="AE41" i="16"/>
  <c r="AD38" i="16"/>
  <c r="AD34" i="16"/>
  <c r="AE30" i="16"/>
  <c r="AE27" i="16"/>
  <c r="AE22" i="16"/>
  <c r="AE20" i="16"/>
  <c r="AE16" i="16"/>
  <c r="AD10" i="16"/>
  <c r="AD7" i="16"/>
  <c r="AD5" i="16"/>
  <c r="W119" i="59"/>
  <c r="W65" i="59"/>
  <c r="W49" i="59"/>
  <c r="B217" i="64"/>
  <c r="F122" i="59" s="1"/>
  <c r="B81" i="64"/>
  <c r="F33" i="59" s="1"/>
  <c r="B82" i="64" s="1"/>
  <c r="F34" i="59" s="1"/>
  <c r="B83" i="64" s="1"/>
  <c r="F48" i="59" s="1"/>
  <c r="B218" i="64"/>
  <c r="F123" i="59" s="1"/>
  <c r="B210" i="64"/>
  <c r="F108" i="59" s="1"/>
  <c r="B85" i="63"/>
  <c r="E50" i="59" s="1"/>
  <c r="B217" i="60"/>
  <c r="B122" i="59" s="1"/>
  <c r="B81" i="60"/>
  <c r="B33" i="59" s="1"/>
  <c r="B82" i="60" s="1"/>
  <c r="B34" i="59" s="1"/>
  <c r="B83" i="60" s="1"/>
  <c r="B48" i="59" s="1"/>
  <c r="B218" i="60"/>
  <c r="B123" i="59" s="1"/>
  <c r="B210" i="60"/>
  <c r="B108" i="59" s="1"/>
  <c r="AE2" i="16"/>
  <c r="AE136" i="16"/>
  <c r="AE134" i="16"/>
  <c r="AE132" i="16"/>
  <c r="AE130" i="16"/>
  <c r="AE124" i="16"/>
  <c r="AE108" i="16"/>
  <c r="AE102" i="16"/>
  <c r="AE96" i="16"/>
  <c r="AE88" i="16"/>
  <c r="AE78" i="16"/>
  <c r="AE72" i="16"/>
  <c r="AE68" i="16"/>
  <c r="AE66" i="16"/>
  <c r="AE64" i="16"/>
  <c r="AE60" i="16"/>
  <c r="AE58" i="16"/>
  <c r="AE54" i="16"/>
  <c r="AE52" i="16"/>
  <c r="AE50" i="16"/>
  <c r="AE45" i="16"/>
  <c r="AE38" i="16"/>
  <c r="AE32" i="16"/>
  <c r="AE17" i="16"/>
  <c r="AE12" i="16"/>
  <c r="AE10" i="16"/>
  <c r="AE8" i="16"/>
  <c r="AE128" i="16"/>
  <c r="AE126" i="16"/>
  <c r="AE122" i="16"/>
  <c r="AE120" i="16"/>
  <c r="AE118" i="16"/>
  <c r="AE116" i="16"/>
  <c r="AE114" i="16"/>
  <c r="AE112" i="16"/>
  <c r="AE110" i="16"/>
  <c r="AE106" i="16"/>
  <c r="AE104" i="16"/>
  <c r="AE100" i="16"/>
  <c r="AE98" i="16"/>
  <c r="AE94" i="16"/>
  <c r="AE92" i="16"/>
  <c r="AE90" i="16"/>
  <c r="AE86" i="16"/>
  <c r="AE84" i="16"/>
  <c r="AE82" i="16"/>
  <c r="AE80" i="16"/>
  <c r="AE76" i="16"/>
  <c r="AE74" i="16"/>
  <c r="AE70" i="16"/>
  <c r="AE62" i="16"/>
  <c r="AE56" i="16"/>
  <c r="AE48" i="16"/>
  <c r="AE46" i="16"/>
  <c r="AE42" i="16"/>
  <c r="AE36" i="16"/>
  <c r="AE34" i="16"/>
  <c r="AE24" i="16"/>
  <c r="AE19" i="16"/>
  <c r="AE15" i="16"/>
  <c r="AE7" i="16"/>
  <c r="AE5" i="16"/>
  <c r="AE4" i="16"/>
  <c r="AC2" i="16"/>
  <c r="AC128" i="16"/>
  <c r="AC126" i="16"/>
  <c r="AC122" i="16"/>
  <c r="AC120" i="16"/>
  <c r="AC118" i="16"/>
  <c r="AC116" i="16"/>
  <c r="AC114" i="16"/>
  <c r="AC112" i="16"/>
  <c r="AC110" i="16"/>
  <c r="AC106" i="16"/>
  <c r="AC100" i="16"/>
  <c r="AC98" i="16"/>
  <c r="AC94" i="16"/>
  <c r="AC92" i="16"/>
  <c r="AC90" i="16"/>
  <c r="AC86" i="16"/>
  <c r="AC84" i="16"/>
  <c r="AC82" i="16"/>
  <c r="AC80" i="16"/>
  <c r="AC76" i="16"/>
  <c r="AC74" i="16"/>
  <c r="AC70" i="16"/>
  <c r="AC62" i="16"/>
  <c r="AC56" i="16"/>
  <c r="AC46" i="16"/>
  <c r="AC42" i="16"/>
  <c r="AC36" i="16"/>
  <c r="AC34" i="16"/>
  <c r="AC24" i="16"/>
  <c r="AC19" i="16"/>
  <c r="AC17" i="16"/>
  <c r="AC15" i="16"/>
  <c r="AC7" i="16"/>
  <c r="AC5" i="16"/>
  <c r="AC136" i="16"/>
  <c r="AC134" i="16"/>
  <c r="AC132" i="16"/>
  <c r="AC130" i="16"/>
  <c r="AC124" i="16"/>
  <c r="AC108" i="16"/>
  <c r="AC102" i="16"/>
  <c r="AC96" i="16"/>
  <c r="AC88" i="16"/>
  <c r="AC78" i="16"/>
  <c r="AC72" i="16"/>
  <c r="AC68" i="16"/>
  <c r="AC66" i="16"/>
  <c r="AC64" i="16"/>
  <c r="AC60" i="16"/>
  <c r="AC58" i="16"/>
  <c r="AC54" i="16"/>
  <c r="AC52" i="16"/>
  <c r="AC50" i="16"/>
  <c r="AC45" i="16"/>
  <c r="AC38" i="16"/>
  <c r="AC32" i="16"/>
  <c r="AC12" i="16"/>
  <c r="AC10" i="16"/>
  <c r="AC8" i="16"/>
  <c r="W47" i="59"/>
  <c r="B133" i="64"/>
  <c r="F64" i="59" s="1"/>
  <c r="B147" i="64"/>
  <c r="F76" i="59" s="1"/>
  <c r="B194" i="64" s="1"/>
  <c r="F96" i="59" s="1"/>
  <c r="B133" i="60"/>
  <c r="B64" i="59" s="1"/>
  <c r="B147" i="60"/>
  <c r="B76" i="59" s="1"/>
  <c r="B194" i="60" s="1"/>
  <c r="B96" i="59" s="1"/>
  <c r="AD137" i="16"/>
  <c r="AD133" i="16"/>
  <c r="AD127" i="16"/>
  <c r="AD125" i="16"/>
  <c r="AD119" i="16"/>
  <c r="AD117" i="16"/>
  <c r="AD103" i="16"/>
  <c r="AD97" i="16"/>
  <c r="AD89" i="16"/>
  <c r="AD73" i="16"/>
  <c r="AD61" i="16"/>
  <c r="AD47" i="16"/>
  <c r="AD43" i="16"/>
  <c r="AD41" i="16"/>
  <c r="AD30" i="16"/>
  <c r="AD27" i="16"/>
  <c r="AD16" i="16"/>
  <c r="AD13" i="16"/>
  <c r="O105" i="59"/>
  <c r="I105" i="59"/>
  <c r="H77" i="59"/>
  <c r="W76" i="59"/>
  <c r="F71" i="59"/>
  <c r="D275" i="64"/>
  <c r="D275" i="63"/>
  <c r="E71" i="59"/>
  <c r="D281" i="61"/>
  <c r="C113" i="59"/>
  <c r="B285" i="61"/>
  <c r="B113" i="59"/>
  <c r="D281" i="60"/>
  <c r="B285" i="60"/>
  <c r="AD135" i="16"/>
  <c r="AD101" i="16"/>
  <c r="AD99" i="16"/>
  <c r="AD91" i="16"/>
  <c r="AD75" i="16"/>
  <c r="AD67" i="16"/>
  <c r="AD65" i="16"/>
  <c r="AD63" i="16"/>
  <c r="AD40" i="16"/>
  <c r="AD37" i="16"/>
  <c r="AD31" i="16"/>
  <c r="AD29" i="16"/>
  <c r="AD26" i="16"/>
  <c r="AD11" i="16"/>
  <c r="AD3" i="16"/>
  <c r="H131" i="59"/>
  <c r="W130" i="59"/>
  <c r="Q105" i="59"/>
  <c r="W74" i="59"/>
  <c r="H23" i="59"/>
  <c r="W22" i="59"/>
  <c r="W20" i="59"/>
  <c r="F113" i="59"/>
  <c r="D281" i="64"/>
  <c r="B285" i="64"/>
  <c r="D71" i="59"/>
  <c r="D275" i="62"/>
  <c r="AE137" i="16"/>
  <c r="AE133" i="16"/>
  <c r="AE129" i="16"/>
  <c r="AE125" i="16"/>
  <c r="AE121" i="16"/>
  <c r="AE117" i="16"/>
  <c r="AE113" i="16"/>
  <c r="AE111" i="16"/>
  <c r="AE107" i="16"/>
  <c r="AE103" i="16"/>
  <c r="AE99" i="16"/>
  <c r="AE95" i="16"/>
  <c r="AE91" i="16"/>
  <c r="AE87" i="16"/>
  <c r="AE83" i="16"/>
  <c r="AE79" i="16"/>
  <c r="AE75" i="16"/>
  <c r="AE71" i="16"/>
  <c r="AE67" i="16"/>
  <c r="AE63" i="16"/>
  <c r="AE59" i="16"/>
  <c r="AE55" i="16"/>
  <c r="AE51" i="16"/>
  <c r="AE47" i="16"/>
  <c r="AE44" i="16"/>
  <c r="AE37" i="16"/>
  <c r="AE33" i="16"/>
  <c r="AE29" i="16"/>
  <c r="AE25" i="16"/>
  <c r="AD19" i="16"/>
  <c r="AD15" i="16"/>
  <c r="AD12" i="16"/>
  <c r="AE9" i="16"/>
  <c r="V105" i="59"/>
  <c r="R105" i="59"/>
  <c r="N105" i="59"/>
  <c r="J105" i="59"/>
  <c r="W103" i="59"/>
  <c r="B49" i="63"/>
  <c r="B51" i="63"/>
  <c r="E17" i="59" s="1"/>
  <c r="B151" i="63"/>
  <c r="E80" i="59" s="1"/>
  <c r="Q23" i="63"/>
  <c r="B32" i="63" s="1"/>
  <c r="E4" i="59"/>
  <c r="B51" i="62"/>
  <c r="D17" i="59" s="1"/>
  <c r="B49" i="62"/>
  <c r="B85" i="61"/>
  <c r="C50" i="59" s="1"/>
  <c r="B53" i="59"/>
  <c r="B216" i="60"/>
  <c r="B121" i="59" s="1"/>
  <c r="B191" i="60"/>
  <c r="B93" i="59" s="1"/>
  <c r="AD136" i="16"/>
  <c r="AD132" i="16"/>
  <c r="AD128" i="16"/>
  <c r="AD124" i="16"/>
  <c r="AD120" i="16"/>
  <c r="AD116" i="16"/>
  <c r="AD110" i="16"/>
  <c r="AD106" i="16"/>
  <c r="AD102" i="16"/>
  <c r="AD98" i="16"/>
  <c r="AD94" i="16"/>
  <c r="AD90" i="16"/>
  <c r="AD86" i="16"/>
  <c r="AD82" i="16"/>
  <c r="AD78" i="16"/>
  <c r="AD74" i="16"/>
  <c r="AD70" i="16"/>
  <c r="AD66" i="16"/>
  <c r="AD62" i="16"/>
  <c r="AD58" i="16"/>
  <c r="AD54" i="16"/>
  <c r="AD50" i="16"/>
  <c r="AC48" i="16"/>
  <c r="AD42" i="16"/>
  <c r="AE39" i="16"/>
  <c r="AE35" i="16"/>
  <c r="AE31" i="16"/>
  <c r="AE28" i="16"/>
  <c r="AE23" i="16"/>
  <c r="AE21" i="16"/>
  <c r="AD17" i="16"/>
  <c r="AE14" i="16"/>
  <c r="AD8" i="16"/>
  <c r="AE6" i="16"/>
  <c r="AD4" i="16"/>
  <c r="B135" i="64"/>
  <c r="F66" i="59" s="1"/>
  <c r="B135" i="60"/>
  <c r="B66" i="59" s="1"/>
  <c r="W35" i="59"/>
  <c r="W34" i="59" s="1"/>
  <c r="W50" i="59"/>
  <c r="O51" i="59" s="1"/>
  <c r="B51" i="64"/>
  <c r="F17" i="59" s="1"/>
  <c r="B49" i="64"/>
  <c r="B217" i="63"/>
  <c r="E122" i="59" s="1"/>
  <c r="B81" i="63"/>
  <c r="E33" i="59" s="1"/>
  <c r="B82" i="63" s="1"/>
  <c r="E34" i="59" s="1"/>
  <c r="B83" i="63" s="1"/>
  <c r="E48" i="59" s="1"/>
  <c r="B86" i="63"/>
  <c r="E41" i="59" s="1"/>
  <c r="B218" i="63"/>
  <c r="E123" i="59" s="1"/>
  <c r="B210" i="63"/>
  <c r="E108" i="59" s="1"/>
  <c r="B216" i="62"/>
  <c r="D121" i="59" s="1"/>
  <c r="B191" i="62"/>
  <c r="D93" i="59" s="1"/>
  <c r="D53" i="59"/>
  <c r="C53" i="59"/>
  <c r="B135" i="61"/>
  <c r="C66" i="59" s="1"/>
  <c r="B216" i="61"/>
  <c r="C121" i="59" s="1"/>
  <c r="B191" i="61"/>
  <c r="C93" i="59" s="1"/>
  <c r="B151" i="61"/>
  <c r="C80" i="59" s="1"/>
  <c r="Q23" i="61"/>
  <c r="B32" i="61" s="1"/>
  <c r="C4" i="59"/>
  <c r="B51" i="60"/>
  <c r="B17" i="59" s="1"/>
  <c r="B49" i="60"/>
  <c r="L18" i="48" l="1"/>
  <c r="E47" i="48"/>
  <c r="D23" i="48"/>
  <c r="E46" i="48"/>
  <c r="D22" i="48"/>
  <c r="D39" i="48"/>
  <c r="D31" i="48"/>
  <c r="D30" i="48"/>
  <c r="H105" i="59"/>
  <c r="AF88" i="16"/>
  <c r="AF104" i="16"/>
  <c r="AC104" i="16"/>
  <c r="AC105" i="16"/>
  <c r="D24" i="48"/>
  <c r="AO136" i="16"/>
  <c r="AO134" i="16"/>
  <c r="AO132" i="16"/>
  <c r="A162" i="31" s="1"/>
  <c r="AO130" i="16"/>
  <c r="A160" i="31" s="1"/>
  <c r="AO128" i="16"/>
  <c r="A158" i="31" s="1"/>
  <c r="AO126" i="16"/>
  <c r="A156" i="31" s="1"/>
  <c r="AO124" i="16"/>
  <c r="A154" i="31" s="1"/>
  <c r="AO122" i="16"/>
  <c r="A152" i="31" s="1"/>
  <c r="AO120" i="16"/>
  <c r="A150" i="31" s="1"/>
  <c r="AO118" i="16"/>
  <c r="AO116" i="16"/>
  <c r="A146" i="31" s="1"/>
  <c r="AO114" i="16"/>
  <c r="A144" i="31" s="1"/>
  <c r="AO112" i="16"/>
  <c r="A142" i="31" s="1"/>
  <c r="AO110" i="16"/>
  <c r="A140" i="31" s="1"/>
  <c r="AO108" i="16"/>
  <c r="A138" i="31" s="1"/>
  <c r="AO106" i="16"/>
  <c r="AO104" i="16"/>
  <c r="A134" i="31" s="1"/>
  <c r="AO102" i="16"/>
  <c r="A132" i="31" s="1"/>
  <c r="AO100" i="16"/>
  <c r="A130" i="31" s="1"/>
  <c r="AO98" i="16"/>
  <c r="A128" i="31" s="1"/>
  <c r="AO96" i="16"/>
  <c r="A126" i="31" s="1"/>
  <c r="AO94" i="16"/>
  <c r="A124" i="31" s="1"/>
  <c r="AO92" i="16"/>
  <c r="A122" i="31" s="1"/>
  <c r="AO90" i="16"/>
  <c r="A120" i="31" s="1"/>
  <c r="AO88" i="16"/>
  <c r="A118" i="31" s="1"/>
  <c r="AO86" i="16"/>
  <c r="AO84" i="16"/>
  <c r="A114" i="31" s="1"/>
  <c r="AO82" i="16"/>
  <c r="A112" i="31" s="1"/>
  <c r="AO80" i="16"/>
  <c r="A110" i="31" s="1"/>
  <c r="AO78" i="16"/>
  <c r="A108" i="31" s="1"/>
  <c r="AO76" i="16"/>
  <c r="A106" i="31" s="1"/>
  <c r="AO74" i="16"/>
  <c r="AO72" i="16"/>
  <c r="A102" i="31" s="1"/>
  <c r="AO70" i="16"/>
  <c r="AO68" i="16"/>
  <c r="A98" i="31" s="1"/>
  <c r="AO66" i="16"/>
  <c r="A96" i="31" s="1"/>
  <c r="AO64" i="16"/>
  <c r="A94" i="31" s="1"/>
  <c r="AO62" i="16"/>
  <c r="A92" i="31" s="1"/>
  <c r="AO60" i="16"/>
  <c r="A90" i="31" s="1"/>
  <c r="AO58" i="16"/>
  <c r="A88" i="31" s="1"/>
  <c r="AO56" i="16"/>
  <c r="A86" i="31" s="1"/>
  <c r="AO54" i="16"/>
  <c r="AO52" i="16"/>
  <c r="A82" i="31" s="1"/>
  <c r="AO50" i="16"/>
  <c r="A80" i="31" s="1"/>
  <c r="AO48" i="16"/>
  <c r="A78" i="31" s="1"/>
  <c r="AO46" i="16"/>
  <c r="A76" i="31" s="1"/>
  <c r="AO44" i="16"/>
  <c r="A74" i="31" s="1"/>
  <c r="AO42" i="16"/>
  <c r="AO40" i="16"/>
  <c r="A70" i="31" s="1"/>
  <c r="AO38" i="16"/>
  <c r="A68" i="31" s="1"/>
  <c r="AO36" i="16"/>
  <c r="A66" i="31" s="1"/>
  <c r="AO34" i="16"/>
  <c r="A64" i="31" s="1"/>
  <c r="AO32" i="16"/>
  <c r="A62" i="31" s="1"/>
  <c r="AO30" i="16"/>
  <c r="A60" i="31" s="1"/>
  <c r="AO28" i="16"/>
  <c r="A58" i="31" s="1"/>
  <c r="AO26" i="16"/>
  <c r="A56" i="31" s="1"/>
  <c r="AO24" i="16"/>
  <c r="A54" i="31" s="1"/>
  <c r="AO22" i="16"/>
  <c r="A52" i="31" s="1"/>
  <c r="AO20" i="16"/>
  <c r="A50" i="31" s="1"/>
  <c r="AO18" i="16"/>
  <c r="A48" i="31" s="1"/>
  <c r="AO16" i="16"/>
  <c r="A46" i="31" s="1"/>
  <c r="AO14" i="16"/>
  <c r="A44" i="31" s="1"/>
  <c r="AO12" i="16"/>
  <c r="A42" i="31" s="1"/>
  <c r="AO10" i="16"/>
  <c r="A40" i="31" s="1"/>
  <c r="AO8" i="16"/>
  <c r="A38" i="31" s="1"/>
  <c r="AO6" i="16"/>
  <c r="A36" i="31" s="1"/>
  <c r="AO4" i="16"/>
  <c r="A34" i="31" s="1"/>
  <c r="AO2" i="16"/>
  <c r="A32" i="31" s="1"/>
  <c r="AO137" i="16"/>
  <c r="A167" i="31" s="1"/>
  <c r="AO135" i="16"/>
  <c r="A165" i="31" s="1"/>
  <c r="AO133" i="16"/>
  <c r="A163" i="31" s="1"/>
  <c r="AO131" i="16"/>
  <c r="A161" i="31" s="1"/>
  <c r="AO129" i="16"/>
  <c r="A159" i="31" s="1"/>
  <c r="AO127" i="16"/>
  <c r="A157" i="31" s="1"/>
  <c r="AO125" i="16"/>
  <c r="A155" i="31" s="1"/>
  <c r="AO123" i="16"/>
  <c r="A153" i="31" s="1"/>
  <c r="AO121" i="16"/>
  <c r="A151" i="31" s="1"/>
  <c r="AO119" i="16"/>
  <c r="A149" i="31" s="1"/>
  <c r="AO117" i="16"/>
  <c r="A147" i="31" s="1"/>
  <c r="AO115" i="16"/>
  <c r="AO113" i="16"/>
  <c r="A143" i="31" s="1"/>
  <c r="AO111" i="16"/>
  <c r="A141" i="31" s="1"/>
  <c r="AO109" i="16"/>
  <c r="A139" i="31" s="1"/>
  <c r="AO107" i="16"/>
  <c r="A137" i="31" s="1"/>
  <c r="AO105" i="16"/>
  <c r="A135" i="31" s="1"/>
  <c r="AO103" i="16"/>
  <c r="A133" i="31" s="1"/>
  <c r="AO101" i="16"/>
  <c r="A131" i="31" s="1"/>
  <c r="AO99" i="16"/>
  <c r="A129" i="31" s="1"/>
  <c r="AO97" i="16"/>
  <c r="A127" i="31" s="1"/>
  <c r="AO95" i="16"/>
  <c r="A125" i="31" s="1"/>
  <c r="AO93" i="16"/>
  <c r="A123" i="31" s="1"/>
  <c r="AO91" i="16"/>
  <c r="A121" i="31" s="1"/>
  <c r="AO89" i="16"/>
  <c r="A119" i="31" s="1"/>
  <c r="AO87" i="16"/>
  <c r="A117" i="31" s="1"/>
  <c r="AO85" i="16"/>
  <c r="A115" i="31" s="1"/>
  <c r="AO83" i="16"/>
  <c r="A113" i="31" s="1"/>
  <c r="AO81" i="16"/>
  <c r="A111" i="31" s="1"/>
  <c r="AO79" i="16"/>
  <c r="A109" i="31" s="1"/>
  <c r="AO77" i="16"/>
  <c r="A107" i="31" s="1"/>
  <c r="AO75" i="16"/>
  <c r="A105" i="31" s="1"/>
  <c r="AO73" i="16"/>
  <c r="A103" i="31" s="1"/>
  <c r="AO71" i="16"/>
  <c r="A101" i="31" s="1"/>
  <c r="AO69" i="16"/>
  <c r="A99" i="31" s="1"/>
  <c r="AO67" i="16"/>
  <c r="AO65" i="16"/>
  <c r="AO63" i="16"/>
  <c r="A93" i="31" s="1"/>
  <c r="AO61" i="16"/>
  <c r="A91" i="31" s="1"/>
  <c r="AO59" i="16"/>
  <c r="A89" i="31" s="1"/>
  <c r="AO57" i="16"/>
  <c r="A87" i="31" s="1"/>
  <c r="AO55" i="16"/>
  <c r="A85" i="31" s="1"/>
  <c r="AO53" i="16"/>
  <c r="A83" i="31" s="1"/>
  <c r="AO51" i="16"/>
  <c r="AO49" i="16"/>
  <c r="AO47" i="16"/>
  <c r="AO45" i="16"/>
  <c r="A75" i="31" s="1"/>
  <c r="AO43" i="16"/>
  <c r="A73" i="31" s="1"/>
  <c r="AO41" i="16"/>
  <c r="A71" i="31" s="1"/>
  <c r="AO39" i="16"/>
  <c r="A69" i="31" s="1"/>
  <c r="AO37" i="16"/>
  <c r="A67" i="31" s="1"/>
  <c r="AO35" i="16"/>
  <c r="A65" i="31" s="1"/>
  <c r="AO33" i="16"/>
  <c r="A63" i="31" s="1"/>
  <c r="AO31" i="16"/>
  <c r="AO29" i="16"/>
  <c r="A59" i="31" s="1"/>
  <c r="AO27" i="16"/>
  <c r="A57" i="31" s="1"/>
  <c r="AO5" i="16"/>
  <c r="A35" i="31" s="1"/>
  <c r="AO11" i="16"/>
  <c r="A41" i="31" s="1"/>
  <c r="AO7" i="16"/>
  <c r="A37" i="31" s="1"/>
  <c r="AO21" i="16"/>
  <c r="A51" i="31" s="1"/>
  <c r="AO13" i="16"/>
  <c r="A43" i="31" s="1"/>
  <c r="AO3" i="16"/>
  <c r="A33" i="31" s="1"/>
  <c r="AO19" i="16"/>
  <c r="A49" i="31" s="1"/>
  <c r="AO15" i="16"/>
  <c r="A45" i="31" s="1"/>
  <c r="AO23" i="16"/>
  <c r="A53" i="31" s="1"/>
  <c r="AO25" i="16"/>
  <c r="A55" i="31" s="1"/>
  <c r="AO17" i="16"/>
  <c r="A47" i="31" s="1"/>
  <c r="AO9" i="16"/>
  <c r="A39" i="31" s="1"/>
  <c r="AN136" i="16"/>
  <c r="A192" i="32" s="1"/>
  <c r="AN134" i="16"/>
  <c r="A190" i="32" s="1"/>
  <c r="AN132" i="16"/>
  <c r="A188" i="32" s="1"/>
  <c r="AN130" i="16"/>
  <c r="A186" i="32" s="1"/>
  <c r="AN128" i="16"/>
  <c r="A184" i="32" s="1"/>
  <c r="AN126" i="16"/>
  <c r="A182" i="32" s="1"/>
  <c r="AN124" i="16"/>
  <c r="A180" i="32" s="1"/>
  <c r="AN122" i="16"/>
  <c r="A178" i="32" s="1"/>
  <c r="AN120" i="16"/>
  <c r="A176" i="32" s="1"/>
  <c r="AN118" i="16"/>
  <c r="A174" i="32" s="1"/>
  <c r="AN116" i="16"/>
  <c r="A172" i="32" s="1"/>
  <c r="AN114" i="16"/>
  <c r="A170" i="32" s="1"/>
  <c r="AN112" i="16"/>
  <c r="A168" i="32" s="1"/>
  <c r="AN110" i="16"/>
  <c r="A166" i="32" s="1"/>
  <c r="AN108" i="16"/>
  <c r="A164" i="32" s="1"/>
  <c r="AN106" i="16"/>
  <c r="AN104" i="16"/>
  <c r="A160" i="32" s="1"/>
  <c r="AN102" i="16"/>
  <c r="A158" i="32" s="1"/>
  <c r="AN100" i="16"/>
  <c r="A156" i="32" s="1"/>
  <c r="AN98" i="16"/>
  <c r="A154" i="32" s="1"/>
  <c r="AN96" i="16"/>
  <c r="A152" i="32" s="1"/>
  <c r="AN94" i="16"/>
  <c r="A150" i="32" s="1"/>
  <c r="AN92" i="16"/>
  <c r="A148" i="32" s="1"/>
  <c r="AN90" i="16"/>
  <c r="A146" i="32" s="1"/>
  <c r="AN88" i="16"/>
  <c r="A144" i="32" s="1"/>
  <c r="AN86" i="16"/>
  <c r="A142" i="32" s="1"/>
  <c r="AN84" i="16"/>
  <c r="A140" i="32" s="1"/>
  <c r="AN82" i="16"/>
  <c r="A138" i="32" s="1"/>
  <c r="AN80" i="16"/>
  <c r="A136" i="32" s="1"/>
  <c r="AN78" i="16"/>
  <c r="A134" i="32" s="1"/>
  <c r="AN76" i="16"/>
  <c r="A132" i="32" s="1"/>
  <c r="AN74" i="16"/>
  <c r="A130" i="32" s="1"/>
  <c r="AN72" i="16"/>
  <c r="A128" i="32" s="1"/>
  <c r="AN70" i="16"/>
  <c r="A126" i="32" s="1"/>
  <c r="AN68" i="16"/>
  <c r="A124" i="32" s="1"/>
  <c r="AN66" i="16"/>
  <c r="A122" i="32" s="1"/>
  <c r="AN64" i="16"/>
  <c r="A120" i="32" s="1"/>
  <c r="AN62" i="16"/>
  <c r="A118" i="32" s="1"/>
  <c r="AN60" i="16"/>
  <c r="A116" i="32" s="1"/>
  <c r="AN58" i="16"/>
  <c r="A114" i="32" s="1"/>
  <c r="AN56" i="16"/>
  <c r="A112" i="32" s="1"/>
  <c r="AN54" i="16"/>
  <c r="A110" i="32" s="1"/>
  <c r="AN52" i="16"/>
  <c r="A108" i="32" s="1"/>
  <c r="AN50" i="16"/>
  <c r="A106" i="32" s="1"/>
  <c r="AN48" i="16"/>
  <c r="A104" i="32" s="1"/>
  <c r="AN46" i="16"/>
  <c r="A102" i="32" s="1"/>
  <c r="AN44" i="16"/>
  <c r="A100" i="32" s="1"/>
  <c r="AN42" i="16"/>
  <c r="A98" i="32" s="1"/>
  <c r="AN40" i="16"/>
  <c r="A96" i="32" s="1"/>
  <c r="AN38" i="16"/>
  <c r="A94" i="32" s="1"/>
  <c r="AN36" i="16"/>
  <c r="A92" i="32" s="1"/>
  <c r="AN34" i="16"/>
  <c r="A90" i="32" s="1"/>
  <c r="AN32" i="16"/>
  <c r="A88" i="32" s="1"/>
  <c r="AN30" i="16"/>
  <c r="A86" i="32" s="1"/>
  <c r="AN28" i="16"/>
  <c r="A84" i="32" s="1"/>
  <c r="AN26" i="16"/>
  <c r="A82" i="32" s="1"/>
  <c r="AN24" i="16"/>
  <c r="A80" i="32" s="1"/>
  <c r="AN22" i="16"/>
  <c r="A78" i="32" s="1"/>
  <c r="AN20" i="16"/>
  <c r="A76" i="32" s="1"/>
  <c r="AN18" i="16"/>
  <c r="A74" i="32" s="1"/>
  <c r="AN16" i="16"/>
  <c r="A72" i="32" s="1"/>
  <c r="AN14" i="16"/>
  <c r="A70" i="32" s="1"/>
  <c r="AN12" i="16"/>
  <c r="A68" i="32" s="1"/>
  <c r="AN10" i="16"/>
  <c r="A66" i="32" s="1"/>
  <c r="AN8" i="16"/>
  <c r="A64" i="32" s="1"/>
  <c r="AN6" i="16"/>
  <c r="A62" i="32" s="1"/>
  <c r="AN4" i="16"/>
  <c r="A60" i="32" s="1"/>
  <c r="AN2" i="16"/>
  <c r="A58" i="32" s="1"/>
  <c r="AN137" i="16"/>
  <c r="A193" i="32" s="1"/>
  <c r="AN135" i="16"/>
  <c r="A191" i="32" s="1"/>
  <c r="AN133" i="16"/>
  <c r="A189" i="32" s="1"/>
  <c r="AN131" i="16"/>
  <c r="A187" i="32" s="1"/>
  <c r="AN129" i="16"/>
  <c r="A185" i="32" s="1"/>
  <c r="AN127" i="16"/>
  <c r="A183" i="32" s="1"/>
  <c r="AN125" i="16"/>
  <c r="A181" i="32" s="1"/>
  <c r="AN123" i="16"/>
  <c r="A179" i="32" s="1"/>
  <c r="AN121" i="16"/>
  <c r="A177" i="32" s="1"/>
  <c r="AN119" i="16"/>
  <c r="A175" i="32" s="1"/>
  <c r="AN117" i="16"/>
  <c r="A173" i="32" s="1"/>
  <c r="AN115" i="16"/>
  <c r="A171" i="32" s="1"/>
  <c r="AN113" i="16"/>
  <c r="A169" i="32" s="1"/>
  <c r="AN111" i="16"/>
  <c r="A167" i="32" s="1"/>
  <c r="AN109" i="16"/>
  <c r="A165" i="32" s="1"/>
  <c r="AN107" i="16"/>
  <c r="A163" i="32" s="1"/>
  <c r="AN105" i="16"/>
  <c r="A161" i="32" s="1"/>
  <c r="AN103" i="16"/>
  <c r="A159" i="32" s="1"/>
  <c r="AN101" i="16"/>
  <c r="A157" i="32" s="1"/>
  <c r="AN99" i="16"/>
  <c r="A155" i="32" s="1"/>
  <c r="AN97" i="16"/>
  <c r="A153" i="32" s="1"/>
  <c r="AN95" i="16"/>
  <c r="A151" i="32" s="1"/>
  <c r="AN93" i="16"/>
  <c r="A149" i="32" s="1"/>
  <c r="AN91" i="16"/>
  <c r="A147" i="32" s="1"/>
  <c r="AN89" i="16"/>
  <c r="A145" i="32" s="1"/>
  <c r="AN87" i="16"/>
  <c r="A143" i="32" s="1"/>
  <c r="AN85" i="16"/>
  <c r="A141" i="32" s="1"/>
  <c r="AN83" i="16"/>
  <c r="A139" i="32" s="1"/>
  <c r="AN81" i="16"/>
  <c r="A137" i="32" s="1"/>
  <c r="AN79" i="16"/>
  <c r="A135" i="32" s="1"/>
  <c r="AN77" i="16"/>
  <c r="A133" i="32" s="1"/>
  <c r="AN75" i="16"/>
  <c r="A131" i="32" s="1"/>
  <c r="AN73" i="16"/>
  <c r="A129" i="32" s="1"/>
  <c r="AN71" i="16"/>
  <c r="A127" i="32" s="1"/>
  <c r="AN69" i="16"/>
  <c r="A125" i="32" s="1"/>
  <c r="AN67" i="16"/>
  <c r="A123" i="32" s="1"/>
  <c r="AN65" i="16"/>
  <c r="A121" i="32" s="1"/>
  <c r="AN63" i="16"/>
  <c r="A119" i="32" s="1"/>
  <c r="AN61" i="16"/>
  <c r="A117" i="32" s="1"/>
  <c r="AN59" i="16"/>
  <c r="A115" i="32" s="1"/>
  <c r="AN57" i="16"/>
  <c r="A113" i="32" s="1"/>
  <c r="AN55" i="16"/>
  <c r="A111" i="32" s="1"/>
  <c r="AN53" i="16"/>
  <c r="A109" i="32" s="1"/>
  <c r="AN51" i="16"/>
  <c r="A107" i="32" s="1"/>
  <c r="AN49" i="16"/>
  <c r="A105" i="32" s="1"/>
  <c r="AN47" i="16"/>
  <c r="A103" i="32" s="1"/>
  <c r="AN45" i="16"/>
  <c r="A101" i="32" s="1"/>
  <c r="AN43" i="16"/>
  <c r="A99" i="32" s="1"/>
  <c r="AN41" i="16"/>
  <c r="A97" i="32" s="1"/>
  <c r="AN39" i="16"/>
  <c r="A95" i="32" s="1"/>
  <c r="AN37" i="16"/>
  <c r="A93" i="32" s="1"/>
  <c r="AN35" i="16"/>
  <c r="A91" i="32" s="1"/>
  <c r="AN33" i="16"/>
  <c r="A89" i="32" s="1"/>
  <c r="AN31" i="16"/>
  <c r="A87" i="32" s="1"/>
  <c r="AN29" i="16"/>
  <c r="A85" i="32" s="1"/>
  <c r="AN27" i="16"/>
  <c r="A83" i="32" s="1"/>
  <c r="AN25" i="16"/>
  <c r="A81" i="32" s="1"/>
  <c r="AN23" i="16"/>
  <c r="A79" i="32" s="1"/>
  <c r="AN21" i="16"/>
  <c r="A77" i="32" s="1"/>
  <c r="AN19" i="16"/>
  <c r="A75" i="32" s="1"/>
  <c r="AN17" i="16"/>
  <c r="A73" i="32" s="1"/>
  <c r="AN15" i="16"/>
  <c r="A71" i="32" s="1"/>
  <c r="AN13" i="16"/>
  <c r="A69" i="32" s="1"/>
  <c r="AN11" i="16"/>
  <c r="A67" i="32" s="1"/>
  <c r="AN9" i="16"/>
  <c r="A65" i="32" s="1"/>
  <c r="AN7" i="16"/>
  <c r="A63" i="32" s="1"/>
  <c r="AN5" i="16"/>
  <c r="A61" i="32" s="1"/>
  <c r="AN3" i="16"/>
  <c r="A59" i="32" s="1"/>
  <c r="B86" i="60"/>
  <c r="B41" i="59" s="1"/>
  <c r="B86" i="61"/>
  <c r="C41" i="59" s="1"/>
  <c r="B86" i="62"/>
  <c r="D41" i="59" s="1"/>
  <c r="B90" i="62" s="1"/>
  <c r="D35" i="59" s="1"/>
  <c r="B91" i="62" s="1"/>
  <c r="D36" i="59" s="1"/>
  <c r="D37" i="59" s="1"/>
  <c r="P105" i="59"/>
  <c r="D40" i="48"/>
  <c r="E48" i="48"/>
  <c r="D32" i="48"/>
  <c r="B192" i="64"/>
  <c r="F94" i="59" s="1"/>
  <c r="B193" i="64" s="1"/>
  <c r="F95" i="59" s="1"/>
  <c r="F104" i="59" s="1"/>
  <c r="F103" i="59" s="1"/>
  <c r="B84" i="64"/>
  <c r="F49" i="59" s="1"/>
  <c r="B263" i="60"/>
  <c r="B166" i="59" s="1"/>
  <c r="B266" i="60" s="1"/>
  <c r="B169" i="59" s="1"/>
  <c r="B267" i="60" s="1"/>
  <c r="B170" i="59" s="1"/>
  <c r="B52" i="60"/>
  <c r="B20" i="59" s="1"/>
  <c r="B53" i="60"/>
  <c r="B21" i="59" s="1"/>
  <c r="B137" i="60" s="1"/>
  <c r="B68" i="59" s="1"/>
  <c r="B295" i="62"/>
  <c r="D295" i="62" s="1"/>
  <c r="B294" i="62"/>
  <c r="B288" i="62"/>
  <c r="B192" i="63"/>
  <c r="E94" i="59" s="1"/>
  <c r="B193" i="63" s="1"/>
  <c r="E95" i="59" s="1"/>
  <c r="E104" i="59" s="1"/>
  <c r="E103" i="59" s="1"/>
  <c r="B84" i="63"/>
  <c r="E49" i="59" s="1"/>
  <c r="B124" i="59"/>
  <c r="B227" i="60"/>
  <c r="B132" i="59" s="1"/>
  <c r="B295" i="60"/>
  <c r="D295" i="60" s="1"/>
  <c r="B294" i="60"/>
  <c r="B288" i="60"/>
  <c r="B263" i="62"/>
  <c r="D166" i="59" s="1"/>
  <c r="B266" i="62" s="1"/>
  <c r="D169" i="59" s="1"/>
  <c r="B267" i="62" s="1"/>
  <c r="D170" i="59" s="1"/>
  <c r="B52" i="62"/>
  <c r="D20" i="59" s="1"/>
  <c r="B53" i="62"/>
  <c r="D21" i="59" s="1"/>
  <c r="B137" i="62" s="1"/>
  <c r="D68" i="59" s="1"/>
  <c r="B263" i="63"/>
  <c r="E166" i="59" s="1"/>
  <c r="B266" i="63" s="1"/>
  <c r="E169" i="59" s="1"/>
  <c r="B267" i="63" s="1"/>
  <c r="E170" i="59" s="1"/>
  <c r="B52" i="63"/>
  <c r="E20" i="59" s="1"/>
  <c r="B53" i="63"/>
  <c r="E21" i="59" s="1"/>
  <c r="B137" i="63" s="1"/>
  <c r="E68" i="59" s="1"/>
  <c r="W23" i="59"/>
  <c r="H24" i="59" s="1"/>
  <c r="M51" i="59"/>
  <c r="D285" i="61"/>
  <c r="S51" i="59"/>
  <c r="W77" i="59"/>
  <c r="B227" i="61"/>
  <c r="C132" i="59" s="1"/>
  <c r="C124" i="59"/>
  <c r="D124" i="59"/>
  <c r="B227" i="62"/>
  <c r="D132" i="59" s="1"/>
  <c r="B263" i="64"/>
  <c r="F166" i="59" s="1"/>
  <c r="B266" i="64" s="1"/>
  <c r="F169" i="59" s="1"/>
  <c r="B267" i="64" s="1"/>
  <c r="F170" i="59" s="1"/>
  <c r="B52" i="64"/>
  <c r="F20" i="59" s="1"/>
  <c r="B53" i="64"/>
  <c r="F21" i="59" s="1"/>
  <c r="B137" i="64" s="1"/>
  <c r="F68" i="59" s="1"/>
  <c r="H51" i="59"/>
  <c r="P51" i="59"/>
  <c r="B154" i="61"/>
  <c r="C83" i="59" s="1"/>
  <c r="B131" i="61"/>
  <c r="C62" i="59" s="1"/>
  <c r="Q21" i="61"/>
  <c r="B195" i="60"/>
  <c r="B97" i="59" s="1"/>
  <c r="D285" i="64"/>
  <c r="U51" i="59"/>
  <c r="W131" i="59"/>
  <c r="H132" i="59" s="1"/>
  <c r="D285" i="60"/>
  <c r="K51" i="59"/>
  <c r="A145" i="31"/>
  <c r="A97" i="31"/>
  <c r="A95" i="31"/>
  <c r="A81" i="31"/>
  <c r="A79" i="31"/>
  <c r="A77" i="31"/>
  <c r="A61" i="31"/>
  <c r="A164" i="31"/>
  <c r="A136" i="31"/>
  <c r="A104" i="31"/>
  <c r="A100" i="31"/>
  <c r="A166" i="31"/>
  <c r="A148" i="31"/>
  <c r="A116" i="31"/>
  <c r="A84" i="31"/>
  <c r="A72" i="31"/>
  <c r="B86" i="64"/>
  <c r="F41" i="59" s="1"/>
  <c r="J51" i="59"/>
  <c r="R51" i="59"/>
  <c r="E124" i="59"/>
  <c r="B227" i="63"/>
  <c r="E132" i="59" s="1"/>
  <c r="B195" i="64"/>
  <c r="F97" i="59" s="1"/>
  <c r="L105" i="59"/>
  <c r="T105" i="59"/>
  <c r="D285" i="62"/>
  <c r="I51" i="59"/>
  <c r="U105" i="59"/>
  <c r="B154" i="62"/>
  <c r="D83" i="59" s="1"/>
  <c r="B131" i="62"/>
  <c r="D62" i="59" s="1"/>
  <c r="Q21" i="62"/>
  <c r="M105" i="59"/>
  <c r="A162" i="32"/>
  <c r="B257" i="64"/>
  <c r="F164" i="59" s="1"/>
  <c r="B257" i="63"/>
  <c r="E164" i="59" s="1"/>
  <c r="B195" i="61"/>
  <c r="C97" i="59" s="1"/>
  <c r="B294" i="61"/>
  <c r="B288" i="61"/>
  <c r="B295" i="61"/>
  <c r="D295" i="61" s="1"/>
  <c r="B195" i="62"/>
  <c r="D97" i="59" s="1"/>
  <c r="B87" i="63"/>
  <c r="E42" i="59" s="1"/>
  <c r="B88" i="63"/>
  <c r="E38" i="59" s="1"/>
  <c r="B89" i="63" s="1"/>
  <c r="E39" i="59" s="1"/>
  <c r="E40" i="59" s="1"/>
  <c r="B90" i="63"/>
  <c r="E35" i="59" s="1"/>
  <c r="B91" i="63" s="1"/>
  <c r="E36" i="59" s="1"/>
  <c r="E37" i="59" s="1"/>
  <c r="L51" i="59"/>
  <c r="T51" i="59"/>
  <c r="B257" i="60"/>
  <c r="B164" i="59" s="1"/>
  <c r="B200" i="64"/>
  <c r="F98" i="59" s="1"/>
  <c r="B87" i="60"/>
  <c r="B42" i="59" s="1"/>
  <c r="B88" i="60"/>
  <c r="B38" i="59" s="1"/>
  <c r="B89" i="60" s="1"/>
  <c r="B39" i="59" s="1"/>
  <c r="B40" i="59" s="1"/>
  <c r="B90" i="60"/>
  <c r="B35" i="59" s="1"/>
  <c r="B91" i="60" s="1"/>
  <c r="B36" i="59" s="1"/>
  <c r="B37" i="59" s="1"/>
  <c r="B192" i="60"/>
  <c r="B94" i="59" s="1"/>
  <c r="B193" i="60" s="1"/>
  <c r="B95" i="59" s="1"/>
  <c r="B104" i="59" s="1"/>
  <c r="B103" i="59" s="1"/>
  <c r="B84" i="60"/>
  <c r="B49" i="59" s="1"/>
  <c r="N51" i="59"/>
  <c r="V51" i="59"/>
  <c r="B87" i="61"/>
  <c r="C42" i="59" s="1"/>
  <c r="B90" i="61"/>
  <c r="C35" i="59" s="1"/>
  <c r="B91" i="61" s="1"/>
  <c r="C36" i="59" s="1"/>
  <c r="C37" i="59" s="1"/>
  <c r="B88" i="61"/>
  <c r="C38" i="59" s="1"/>
  <c r="B89" i="61" s="1"/>
  <c r="C39" i="59" s="1"/>
  <c r="C40" i="59" s="1"/>
  <c r="B192" i="61"/>
  <c r="C94" i="59" s="1"/>
  <c r="B193" i="61" s="1"/>
  <c r="C95" i="59" s="1"/>
  <c r="B200" i="61" s="1"/>
  <c r="C98" i="59" s="1"/>
  <c r="B84" i="61"/>
  <c r="C49" i="59" s="1"/>
  <c r="B87" i="62"/>
  <c r="D42" i="59" s="1"/>
  <c r="B88" i="62"/>
  <c r="D38" i="59" s="1"/>
  <c r="B89" i="62" s="1"/>
  <c r="D39" i="59" s="1"/>
  <c r="D40" i="59" s="1"/>
  <c r="B192" i="62"/>
  <c r="D94" i="59" s="1"/>
  <c r="B193" i="62" s="1"/>
  <c r="D95" i="59" s="1"/>
  <c r="B200" i="62" s="1"/>
  <c r="D98" i="59" s="1"/>
  <c r="B84" i="62"/>
  <c r="D49" i="59" s="1"/>
  <c r="B195" i="63"/>
  <c r="E97" i="59" s="1"/>
  <c r="B294" i="63"/>
  <c r="B288" i="63"/>
  <c r="B295" i="63"/>
  <c r="D295" i="63" s="1"/>
  <c r="B200" i="63"/>
  <c r="E98" i="59" s="1"/>
  <c r="F124" i="59"/>
  <c r="B227" i="64"/>
  <c r="F132" i="59" s="1"/>
  <c r="B295" i="64"/>
  <c r="D295" i="64" s="1"/>
  <c r="B294" i="64"/>
  <c r="B288" i="64"/>
  <c r="B263" i="61"/>
  <c r="C166" i="59" s="1"/>
  <c r="B266" i="61" s="1"/>
  <c r="C169" i="59" s="1"/>
  <c r="B267" i="61" s="1"/>
  <c r="C170" i="59" s="1"/>
  <c r="B52" i="61"/>
  <c r="C20" i="59" s="1"/>
  <c r="B53" i="61"/>
  <c r="C21" i="59" s="1"/>
  <c r="B137" i="61" s="1"/>
  <c r="C68" i="59" s="1"/>
  <c r="B154" i="63"/>
  <c r="E83" i="59" s="1"/>
  <c r="B131" i="63"/>
  <c r="E62" i="59" s="1"/>
  <c r="Q21" i="63"/>
  <c r="D285" i="63"/>
  <c r="Q51" i="59"/>
  <c r="K105" i="59"/>
  <c r="B154" i="64"/>
  <c r="F83" i="59" s="1"/>
  <c r="B131" i="64"/>
  <c r="F62" i="59" s="1"/>
  <c r="Q21" i="64"/>
  <c r="B154" i="60"/>
  <c r="B83" i="59" s="1"/>
  <c r="B131" i="60"/>
  <c r="B62" i="59" s="1"/>
  <c r="Q21" i="60"/>
  <c r="B257" i="62"/>
  <c r="D164" i="59" s="1"/>
  <c r="B257" i="61"/>
  <c r="C164" i="59" s="1"/>
  <c r="J20" i="48" l="1"/>
  <c r="I22" i="48"/>
  <c r="I23" i="48"/>
  <c r="E25" i="48"/>
  <c r="I25" i="48"/>
  <c r="E23" i="48"/>
  <c r="G43" i="48"/>
  <c r="I24" i="48"/>
  <c r="E22" i="48"/>
  <c r="E24" i="48"/>
  <c r="W105" i="59"/>
  <c r="AM104" i="16"/>
  <c r="A152" i="30" s="1"/>
  <c r="AM46" i="16"/>
  <c r="A94" i="30" s="1"/>
  <c r="B94" i="30" s="1"/>
  <c r="AM81" i="16"/>
  <c r="A129" i="30" s="1"/>
  <c r="AM89" i="16"/>
  <c r="A137" i="30" s="1"/>
  <c r="AM3" i="16"/>
  <c r="A51" i="30" s="1"/>
  <c r="AM117" i="16"/>
  <c r="A165" i="30" s="1"/>
  <c r="B165" i="30" s="1"/>
  <c r="AM106" i="16"/>
  <c r="A154" i="30" s="1"/>
  <c r="B154" i="30" s="1"/>
  <c r="AM39" i="16"/>
  <c r="A87" i="30" s="1"/>
  <c r="AM17" i="16"/>
  <c r="A65" i="30" s="1"/>
  <c r="B65" i="30" s="1"/>
  <c r="AM9" i="16"/>
  <c r="A57" i="30" s="1"/>
  <c r="B57" i="30" s="1"/>
  <c r="AM25" i="16"/>
  <c r="A73" i="30" s="1"/>
  <c r="B73" i="30" s="1"/>
  <c r="AM99" i="16"/>
  <c r="A147" i="30" s="1"/>
  <c r="AM38" i="16"/>
  <c r="A86" i="30" s="1"/>
  <c r="AM82" i="16"/>
  <c r="A130" i="30" s="1"/>
  <c r="AM135" i="16"/>
  <c r="A183" i="30" s="1"/>
  <c r="B183" i="30" s="1"/>
  <c r="AM2" i="16"/>
  <c r="A50" i="30" s="1"/>
  <c r="B50" i="30" s="1"/>
  <c r="AM33" i="16"/>
  <c r="A81" i="30" s="1"/>
  <c r="B81" i="30" s="1"/>
  <c r="AM131" i="16"/>
  <c r="A179" i="30" s="1"/>
  <c r="B179" i="30" s="1"/>
  <c r="AM44" i="16"/>
  <c r="A92" i="30" s="1"/>
  <c r="B92" i="30" s="1"/>
  <c r="AM90" i="16"/>
  <c r="A138" i="30" s="1"/>
  <c r="AM137" i="16"/>
  <c r="A185" i="30" s="1"/>
  <c r="AM125" i="16"/>
  <c r="A173" i="30" s="1"/>
  <c r="AM113" i="16"/>
  <c r="A161" i="30" s="1"/>
  <c r="B161" i="30" s="1"/>
  <c r="AM8" i="16"/>
  <c r="A56" i="30" s="1"/>
  <c r="AM50" i="16"/>
  <c r="A98" i="30" s="1"/>
  <c r="B98" i="30" s="1"/>
  <c r="AM110" i="16"/>
  <c r="A158" i="30" s="1"/>
  <c r="B158" i="30" s="1"/>
  <c r="AM64" i="16"/>
  <c r="A112" i="30" s="1"/>
  <c r="B112" i="30" s="1"/>
  <c r="AM10" i="16"/>
  <c r="A58" i="30" s="1"/>
  <c r="AM114" i="16"/>
  <c r="A162" i="30" s="1"/>
  <c r="AM43" i="16"/>
  <c r="A91" i="30" s="1"/>
  <c r="AM63" i="16"/>
  <c r="A111" i="30" s="1"/>
  <c r="B111" i="30" s="1"/>
  <c r="AM61" i="16"/>
  <c r="A109" i="30" s="1"/>
  <c r="B109" i="30" s="1"/>
  <c r="AM14" i="16"/>
  <c r="A62" i="30" s="1"/>
  <c r="B62" i="30" s="1"/>
  <c r="AM70" i="16"/>
  <c r="A118" i="30" s="1"/>
  <c r="B118" i="30" s="1"/>
  <c r="AM124" i="16"/>
  <c r="A172" i="30" s="1"/>
  <c r="AM21" i="16"/>
  <c r="A69" i="30" s="1"/>
  <c r="AM59" i="16"/>
  <c r="A107" i="30" s="1"/>
  <c r="AM79" i="16"/>
  <c r="A127" i="30" s="1"/>
  <c r="AM7" i="16"/>
  <c r="A55" i="30" s="1"/>
  <c r="B55" i="30" s="1"/>
  <c r="AM28" i="16"/>
  <c r="A76" i="30" s="1"/>
  <c r="B76" i="30" s="1"/>
  <c r="AM74" i="16"/>
  <c r="A122" i="30" s="1"/>
  <c r="B122" i="30" s="1"/>
  <c r="AM71" i="16"/>
  <c r="A119" i="30" s="1"/>
  <c r="B119" i="30" s="1"/>
  <c r="AM91" i="16"/>
  <c r="A139" i="30" s="1"/>
  <c r="B139" i="30" s="1"/>
  <c r="AM127" i="16"/>
  <c r="A175" i="30" s="1"/>
  <c r="AM23" i="16"/>
  <c r="A71" i="30" s="1"/>
  <c r="AM32" i="16"/>
  <c r="A80" i="30" s="1"/>
  <c r="AM80" i="16"/>
  <c r="A128" i="30" s="1"/>
  <c r="B128" i="30" s="1"/>
  <c r="AM126" i="16"/>
  <c r="A174" i="30" s="1"/>
  <c r="B174" i="30" s="1"/>
  <c r="AM130" i="16"/>
  <c r="A178" i="30" s="1"/>
  <c r="B178" i="30" s="1"/>
  <c r="AM18" i="16"/>
  <c r="A66" i="30" s="1"/>
  <c r="B66" i="30" s="1"/>
  <c r="AM56" i="16"/>
  <c r="A104" i="30" s="1"/>
  <c r="B104" i="30" s="1"/>
  <c r="AM94" i="16"/>
  <c r="A142" i="30" s="1"/>
  <c r="AM105" i="16"/>
  <c r="A153" i="30" s="1"/>
  <c r="AM55" i="16"/>
  <c r="A103" i="30" s="1"/>
  <c r="B103" i="30" s="1"/>
  <c r="AM93" i="16"/>
  <c r="A141" i="30" s="1"/>
  <c r="B141" i="30" s="1"/>
  <c r="AM83" i="16"/>
  <c r="A131" i="30" s="1"/>
  <c r="B131" i="30" s="1"/>
  <c r="AM26" i="16"/>
  <c r="A74" i="30" s="1"/>
  <c r="B74" i="30" s="1"/>
  <c r="AM62" i="16"/>
  <c r="A110" i="30" s="1"/>
  <c r="B110" i="30" s="1"/>
  <c r="AM134" i="16"/>
  <c r="A182" i="30" s="1"/>
  <c r="B182" i="30" s="1"/>
  <c r="AF105" i="16"/>
  <c r="AM41" i="16"/>
  <c r="A89" i="30" s="1"/>
  <c r="AM19" i="16"/>
  <c r="A67" i="30" s="1"/>
  <c r="AM29" i="16"/>
  <c r="A77" i="30" s="1"/>
  <c r="B77" i="30" s="1"/>
  <c r="AM31" i="16"/>
  <c r="A79" i="30" s="1"/>
  <c r="B79" i="30" s="1"/>
  <c r="AM103" i="16"/>
  <c r="A151" i="30" s="1"/>
  <c r="B151" i="30" s="1"/>
  <c r="AM129" i="16"/>
  <c r="A177" i="30" s="1"/>
  <c r="B177" i="30" s="1"/>
  <c r="AM35" i="16"/>
  <c r="A83" i="30" s="1"/>
  <c r="B83" i="30" s="1"/>
  <c r="AM133" i="16"/>
  <c r="A181" i="30" s="1"/>
  <c r="AM22" i="16"/>
  <c r="A70" i="30" s="1"/>
  <c r="AM40" i="16"/>
  <c r="A88" i="30" s="1"/>
  <c r="AM58" i="16"/>
  <c r="A106" i="30" s="1"/>
  <c r="B106" i="30" s="1"/>
  <c r="AM76" i="16"/>
  <c r="A124" i="30" s="1"/>
  <c r="B124" i="30" s="1"/>
  <c r="AM96" i="16"/>
  <c r="A144" i="30" s="1"/>
  <c r="D144" i="30" s="1"/>
  <c r="AM120" i="16"/>
  <c r="A168" i="30" s="1"/>
  <c r="B168" i="30" s="1"/>
  <c r="AM73" i="16"/>
  <c r="A121" i="30" s="1"/>
  <c r="B121" i="30" s="1"/>
  <c r="AM27" i="16"/>
  <c r="A75" i="30" s="1"/>
  <c r="AM47" i="16"/>
  <c r="A95" i="30" s="1"/>
  <c r="AM45" i="16"/>
  <c r="A93" i="30" s="1"/>
  <c r="AM101" i="16"/>
  <c r="A149" i="30" s="1"/>
  <c r="B149" i="30" s="1"/>
  <c r="AM51" i="16"/>
  <c r="A99" i="30" s="1"/>
  <c r="B99" i="30" s="1"/>
  <c r="AM6" i="16"/>
  <c r="A54" i="30" s="1"/>
  <c r="D54" i="30" s="1"/>
  <c r="AM24" i="16"/>
  <c r="A72" i="30" s="1"/>
  <c r="B72" i="30" s="1"/>
  <c r="AM42" i="16"/>
  <c r="A90" i="30" s="1"/>
  <c r="B90" i="30" s="1"/>
  <c r="AM60" i="16"/>
  <c r="A108" i="30" s="1"/>
  <c r="AM78" i="16"/>
  <c r="A126" i="30" s="1"/>
  <c r="AM98" i="16"/>
  <c r="A146" i="30" s="1"/>
  <c r="AM122" i="16"/>
  <c r="A170" i="30" s="1"/>
  <c r="B170" i="30" s="1"/>
  <c r="AM37" i="16"/>
  <c r="A85" i="30" s="1"/>
  <c r="B85" i="30" s="1"/>
  <c r="AM121" i="16"/>
  <c r="A169" i="30" s="1"/>
  <c r="B169" i="30" s="1"/>
  <c r="AM75" i="16"/>
  <c r="A123" i="30" s="1"/>
  <c r="B123" i="30" s="1"/>
  <c r="AM77" i="16"/>
  <c r="A125" i="30" s="1"/>
  <c r="B125" i="30" s="1"/>
  <c r="AM95" i="16"/>
  <c r="A143" i="30" s="1"/>
  <c r="AM65" i="16"/>
  <c r="A113" i="30" s="1"/>
  <c r="AM109" i="16"/>
  <c r="A157" i="30" s="1"/>
  <c r="AM115" i="16"/>
  <c r="A163" i="30" s="1"/>
  <c r="B163" i="30" s="1"/>
  <c r="AM12" i="16"/>
  <c r="A60" i="30" s="1"/>
  <c r="B60" i="30" s="1"/>
  <c r="AM30" i="16"/>
  <c r="A78" i="30" s="1"/>
  <c r="D78" i="30" s="1"/>
  <c r="AM48" i="16"/>
  <c r="A96" i="30" s="1"/>
  <c r="B96" i="30" s="1"/>
  <c r="AM66" i="16"/>
  <c r="A114" i="30" s="1"/>
  <c r="B114" i="30" s="1"/>
  <c r="AM88" i="16"/>
  <c r="A136" i="30" s="1"/>
  <c r="AM108" i="16"/>
  <c r="A156" i="30" s="1"/>
  <c r="AM128" i="16"/>
  <c r="A176" i="30" s="1"/>
  <c r="B176" i="30" s="1"/>
  <c r="AM87" i="16"/>
  <c r="A135" i="30" s="1"/>
  <c r="B135" i="30" s="1"/>
  <c r="AM69" i="16"/>
  <c r="A117" i="30" s="1"/>
  <c r="B117" i="30" s="1"/>
  <c r="AM107" i="16"/>
  <c r="A155" i="30" s="1"/>
  <c r="D155" i="30" s="1"/>
  <c r="AM13" i="16"/>
  <c r="A61" i="30" s="1"/>
  <c r="B61" i="30" s="1"/>
  <c r="AM85" i="16"/>
  <c r="A133" i="30" s="1"/>
  <c r="B133" i="30" s="1"/>
  <c r="AM97" i="16"/>
  <c r="A145" i="30" s="1"/>
  <c r="AM15" i="16"/>
  <c r="A63" i="30" s="1"/>
  <c r="AM53" i="16"/>
  <c r="A101" i="30" s="1"/>
  <c r="B101" i="30" s="1"/>
  <c r="AM16" i="16"/>
  <c r="A64" i="30" s="1"/>
  <c r="B64" i="30" s="1"/>
  <c r="AM34" i="16"/>
  <c r="A82" i="30" s="1"/>
  <c r="B82" i="30" s="1"/>
  <c r="AM54" i="16"/>
  <c r="A102" i="30" s="1"/>
  <c r="D102" i="30" s="1"/>
  <c r="AM72" i="16"/>
  <c r="A120" i="30" s="1"/>
  <c r="B120" i="30" s="1"/>
  <c r="AM92" i="16"/>
  <c r="A140" i="30" s="1"/>
  <c r="B140" i="30" s="1"/>
  <c r="AM112" i="16"/>
  <c r="A160" i="30" s="1"/>
  <c r="AM136" i="16"/>
  <c r="A184" i="30" s="1"/>
  <c r="AM57" i="16"/>
  <c r="A105" i="30" s="1"/>
  <c r="B105" i="30" s="1"/>
  <c r="AM11" i="16"/>
  <c r="A59" i="30" s="1"/>
  <c r="B59" i="30" s="1"/>
  <c r="AM123" i="16"/>
  <c r="A171" i="30" s="1"/>
  <c r="B171" i="30" s="1"/>
  <c r="AM5" i="16"/>
  <c r="A53" i="30" s="1"/>
  <c r="D53" i="30" s="1"/>
  <c r="AM111" i="16"/>
  <c r="A159" i="30" s="1"/>
  <c r="B159" i="30" s="1"/>
  <c r="AM49" i="16"/>
  <c r="A97" i="30" s="1"/>
  <c r="B97" i="30" s="1"/>
  <c r="AM119" i="16"/>
  <c r="A167" i="30" s="1"/>
  <c r="AM67" i="16"/>
  <c r="A115" i="30" s="1"/>
  <c r="AM4" i="16"/>
  <c r="A52" i="30" s="1"/>
  <c r="AM20" i="16"/>
  <c r="A68" i="30" s="1"/>
  <c r="B68" i="30" s="1"/>
  <c r="AM36" i="16"/>
  <c r="A84" i="30" s="1"/>
  <c r="B84" i="30" s="1"/>
  <c r="AM52" i="16"/>
  <c r="A100" i="30" s="1"/>
  <c r="D100" i="30" s="1"/>
  <c r="AM68" i="16"/>
  <c r="A116" i="30" s="1"/>
  <c r="B116" i="30" s="1"/>
  <c r="AM84" i="16"/>
  <c r="A132" i="30" s="1"/>
  <c r="B132" i="30" s="1"/>
  <c r="AM100" i="16"/>
  <c r="A148" i="30" s="1"/>
  <c r="AM116" i="16"/>
  <c r="A164" i="30" s="1"/>
  <c r="AM132" i="16"/>
  <c r="A180" i="30" s="1"/>
  <c r="B180" i="30" s="1"/>
  <c r="AM86" i="16"/>
  <c r="A134" i="30" s="1"/>
  <c r="B134" i="30" s="1"/>
  <c r="AM102" i="16"/>
  <c r="A150" i="30" s="1"/>
  <c r="B150" i="30" s="1"/>
  <c r="AM118" i="16"/>
  <c r="A166" i="30" s="1"/>
  <c r="D166" i="30" s="1"/>
  <c r="B188" i="32"/>
  <c r="D188" i="32"/>
  <c r="B180" i="32"/>
  <c r="D180" i="32"/>
  <c r="B172" i="32"/>
  <c r="D172" i="32"/>
  <c r="B164" i="32"/>
  <c r="D164" i="32"/>
  <c r="B156" i="32"/>
  <c r="D156" i="32"/>
  <c r="B148" i="32"/>
  <c r="D148" i="32"/>
  <c r="B140" i="32"/>
  <c r="D140" i="32"/>
  <c r="B132" i="32"/>
  <c r="D132" i="32"/>
  <c r="B124" i="32"/>
  <c r="D124" i="32"/>
  <c r="B116" i="32"/>
  <c r="D116" i="32"/>
  <c r="B108" i="32"/>
  <c r="D108" i="32"/>
  <c r="B101" i="32"/>
  <c r="D101" i="32"/>
  <c r="B90" i="32"/>
  <c r="D90" i="32"/>
  <c r="B73" i="32"/>
  <c r="D73" i="32"/>
  <c r="B64" i="32"/>
  <c r="D64" i="32"/>
  <c r="B193" i="32"/>
  <c r="D193" i="32"/>
  <c r="B175" i="32"/>
  <c r="D175" i="32"/>
  <c r="B163" i="32"/>
  <c r="D163" i="32"/>
  <c r="B145" i="32"/>
  <c r="D145" i="32"/>
  <c r="B133" i="32"/>
  <c r="D133" i="32"/>
  <c r="B109" i="32"/>
  <c r="D109" i="32"/>
  <c r="B99" i="32"/>
  <c r="D99" i="32"/>
  <c r="B89" i="32"/>
  <c r="D89" i="32"/>
  <c r="B81" i="32"/>
  <c r="D81" i="32"/>
  <c r="B70" i="32"/>
  <c r="D70" i="32"/>
  <c r="B187" i="32"/>
  <c r="D187" i="32"/>
  <c r="B171" i="32"/>
  <c r="D171" i="32"/>
  <c r="B155" i="32"/>
  <c r="D155" i="32"/>
  <c r="B139" i="32"/>
  <c r="D139" i="32"/>
  <c r="B121" i="32"/>
  <c r="D121" i="32"/>
  <c r="B111" i="32"/>
  <c r="D111" i="32"/>
  <c r="B87" i="32"/>
  <c r="D87" i="32"/>
  <c r="B78" i="32"/>
  <c r="D78" i="32"/>
  <c r="B59" i="32"/>
  <c r="D59" i="32"/>
  <c r="B184" i="32"/>
  <c r="D184" i="32"/>
  <c r="B176" i="32"/>
  <c r="D176" i="32"/>
  <c r="B168" i="32"/>
  <c r="D168" i="32"/>
  <c r="B160" i="32"/>
  <c r="D160" i="32"/>
  <c r="B152" i="32"/>
  <c r="D152" i="32"/>
  <c r="B144" i="32"/>
  <c r="D144" i="32"/>
  <c r="B136" i="32"/>
  <c r="D136" i="32"/>
  <c r="B128" i="32"/>
  <c r="D128" i="32"/>
  <c r="B120" i="32"/>
  <c r="D120" i="32"/>
  <c r="B112" i="32"/>
  <c r="D112" i="32"/>
  <c r="B104" i="32"/>
  <c r="D104" i="32"/>
  <c r="B94" i="32"/>
  <c r="D94" i="32"/>
  <c r="B80" i="32"/>
  <c r="D80" i="32"/>
  <c r="B68" i="32"/>
  <c r="D68" i="32"/>
  <c r="B61" i="32"/>
  <c r="D61" i="32"/>
  <c r="B183" i="32"/>
  <c r="D183" i="32"/>
  <c r="B169" i="32"/>
  <c r="D169" i="32"/>
  <c r="B153" i="32"/>
  <c r="D153" i="32"/>
  <c r="B137" i="32"/>
  <c r="D137" i="32"/>
  <c r="B125" i="32"/>
  <c r="D125" i="32"/>
  <c r="B103" i="32"/>
  <c r="D103" i="32"/>
  <c r="B95" i="32"/>
  <c r="D95" i="32"/>
  <c r="B84" i="32"/>
  <c r="D84" i="32"/>
  <c r="B76" i="32"/>
  <c r="D76" i="32"/>
  <c r="B62" i="32"/>
  <c r="D62" i="32"/>
  <c r="B179" i="32"/>
  <c r="D179" i="32"/>
  <c r="B161" i="32"/>
  <c r="D161" i="32"/>
  <c r="B147" i="32"/>
  <c r="D147" i="32"/>
  <c r="B127" i="32"/>
  <c r="D127" i="32"/>
  <c r="B115" i="32"/>
  <c r="D115" i="32"/>
  <c r="B96" i="32"/>
  <c r="D96" i="32"/>
  <c r="B82" i="32"/>
  <c r="D82" i="32"/>
  <c r="B67" i="32"/>
  <c r="D67" i="32"/>
  <c r="B190" i="32"/>
  <c r="D190" i="32"/>
  <c r="B182" i="32"/>
  <c r="D182" i="32"/>
  <c r="B174" i="32"/>
  <c r="D174" i="32"/>
  <c r="B166" i="32"/>
  <c r="D166" i="32"/>
  <c r="B158" i="32"/>
  <c r="D158" i="32"/>
  <c r="B150" i="32"/>
  <c r="D150" i="32"/>
  <c r="B142" i="32"/>
  <c r="D142" i="32"/>
  <c r="B134" i="32"/>
  <c r="D134" i="32"/>
  <c r="B126" i="32"/>
  <c r="D126" i="32"/>
  <c r="B118" i="32"/>
  <c r="D118" i="32"/>
  <c r="B110" i="32"/>
  <c r="D110" i="32"/>
  <c r="B102" i="32"/>
  <c r="D102" i="32"/>
  <c r="B92" i="32"/>
  <c r="D92" i="32"/>
  <c r="B75" i="32"/>
  <c r="D75" i="32"/>
  <c r="B66" i="32"/>
  <c r="D66" i="32"/>
  <c r="B60" i="32"/>
  <c r="D60" i="32"/>
  <c r="B181" i="32"/>
  <c r="D181" i="32"/>
  <c r="B165" i="32"/>
  <c r="D165" i="32"/>
  <c r="B149" i="32"/>
  <c r="D149" i="32"/>
  <c r="B135" i="32"/>
  <c r="D135" i="32"/>
  <c r="B117" i="32"/>
  <c r="D117" i="32"/>
  <c r="B100" i="32"/>
  <c r="D100" i="32"/>
  <c r="B91" i="32"/>
  <c r="D91" i="32"/>
  <c r="B83" i="32"/>
  <c r="D83" i="32"/>
  <c r="B74" i="32"/>
  <c r="D74" i="32"/>
  <c r="B191" i="32"/>
  <c r="D191" i="32"/>
  <c r="B177" i="32"/>
  <c r="D177" i="32"/>
  <c r="B157" i="32"/>
  <c r="D157" i="32"/>
  <c r="B143" i="32"/>
  <c r="D143" i="32"/>
  <c r="B123" i="32"/>
  <c r="D123" i="32"/>
  <c r="B113" i="32"/>
  <c r="D113" i="32"/>
  <c r="B93" i="32"/>
  <c r="D93" i="32"/>
  <c r="B79" i="32"/>
  <c r="D79" i="32"/>
  <c r="B65" i="32"/>
  <c r="D65" i="32"/>
  <c r="B186" i="32"/>
  <c r="D186" i="32"/>
  <c r="B178" i="32"/>
  <c r="D178" i="32"/>
  <c r="B170" i="32"/>
  <c r="D170" i="32"/>
  <c r="B162" i="32"/>
  <c r="D162" i="32"/>
  <c r="B154" i="32"/>
  <c r="D154" i="32"/>
  <c r="B146" i="32"/>
  <c r="D146" i="32"/>
  <c r="B138" i="32"/>
  <c r="D138" i="32"/>
  <c r="B130" i="32"/>
  <c r="D130" i="32"/>
  <c r="B122" i="32"/>
  <c r="D122" i="32"/>
  <c r="B114" i="32"/>
  <c r="D114" i="32"/>
  <c r="B106" i="32"/>
  <c r="D106" i="32"/>
  <c r="B98" i="32"/>
  <c r="D98" i="32"/>
  <c r="B88" i="32"/>
  <c r="D88" i="32"/>
  <c r="B71" i="32"/>
  <c r="D71" i="32"/>
  <c r="B63" i="32"/>
  <c r="D63" i="32"/>
  <c r="B189" i="32"/>
  <c r="D189" i="32"/>
  <c r="B173" i="32"/>
  <c r="D173" i="32"/>
  <c r="B159" i="32"/>
  <c r="D159" i="32"/>
  <c r="B141" i="32"/>
  <c r="D141" i="32"/>
  <c r="B129" i="32"/>
  <c r="D129" i="32"/>
  <c r="B107" i="32"/>
  <c r="D107" i="32"/>
  <c r="B97" i="32"/>
  <c r="D97" i="32"/>
  <c r="B86" i="32"/>
  <c r="D86" i="32"/>
  <c r="B77" i="32"/>
  <c r="D77" i="32"/>
  <c r="B69" i="32"/>
  <c r="D69" i="32"/>
  <c r="B185" i="32"/>
  <c r="D185" i="32"/>
  <c r="B167" i="32"/>
  <c r="D167" i="32"/>
  <c r="B151" i="32"/>
  <c r="D151" i="32"/>
  <c r="B131" i="32"/>
  <c r="D131" i="32"/>
  <c r="B119" i="32"/>
  <c r="D119" i="32"/>
  <c r="B105" i="32"/>
  <c r="D105" i="32"/>
  <c r="B85" i="32"/>
  <c r="D85" i="32"/>
  <c r="B72" i="32"/>
  <c r="D72" i="32"/>
  <c r="B58" i="32"/>
  <c r="D58" i="32"/>
  <c r="B192" i="32"/>
  <c r="D192" i="32"/>
  <c r="B35" i="31"/>
  <c r="D35" i="31"/>
  <c r="B40" i="31"/>
  <c r="D40" i="31"/>
  <c r="B47" i="31"/>
  <c r="D47" i="31"/>
  <c r="B72" i="31"/>
  <c r="D72" i="31"/>
  <c r="B76" i="31"/>
  <c r="D76" i="31"/>
  <c r="B84" i="31"/>
  <c r="D84" i="31"/>
  <c r="B94" i="31"/>
  <c r="D94" i="31"/>
  <c r="B102" i="31"/>
  <c r="D102" i="31"/>
  <c r="B112" i="31"/>
  <c r="D112" i="31"/>
  <c r="B116" i="31"/>
  <c r="D116" i="31"/>
  <c r="B126" i="31"/>
  <c r="D126" i="31"/>
  <c r="B130" i="31"/>
  <c r="D130" i="31"/>
  <c r="B138" i="31"/>
  <c r="D138" i="31"/>
  <c r="B148" i="31"/>
  <c r="D148" i="31"/>
  <c r="B158" i="31"/>
  <c r="D158" i="31"/>
  <c r="B166" i="31"/>
  <c r="D166" i="31"/>
  <c r="B37" i="31"/>
  <c r="D37" i="31"/>
  <c r="B49" i="31"/>
  <c r="D49" i="31"/>
  <c r="B64" i="31"/>
  <c r="D64" i="31"/>
  <c r="B68" i="31"/>
  <c r="D68" i="31"/>
  <c r="B82" i="31"/>
  <c r="D82" i="31"/>
  <c r="B90" i="31"/>
  <c r="D90" i="31"/>
  <c r="B98" i="31"/>
  <c r="D98" i="31"/>
  <c r="B104" i="31"/>
  <c r="D104" i="31"/>
  <c r="B110" i="31"/>
  <c r="D110" i="31"/>
  <c r="B120" i="31"/>
  <c r="D120" i="31"/>
  <c r="B132" i="31"/>
  <c r="D132" i="31"/>
  <c r="B140" i="31"/>
  <c r="D140" i="31"/>
  <c r="B144" i="31"/>
  <c r="D144" i="31"/>
  <c r="B154" i="31"/>
  <c r="D154" i="31"/>
  <c r="B162" i="31"/>
  <c r="D162" i="31"/>
  <c r="B32" i="31"/>
  <c r="D32" i="31"/>
  <c r="B36" i="31"/>
  <c r="D36" i="31"/>
  <c r="B41" i="31"/>
  <c r="D41" i="31"/>
  <c r="B44" i="31"/>
  <c r="D44" i="31"/>
  <c r="B48" i="31"/>
  <c r="D48" i="31"/>
  <c r="B51" i="31"/>
  <c r="D51" i="31"/>
  <c r="B53" i="31"/>
  <c r="D53" i="31"/>
  <c r="B56" i="31"/>
  <c r="D56" i="31"/>
  <c r="B58" i="31"/>
  <c r="D58" i="31"/>
  <c r="B60" i="31"/>
  <c r="D60" i="31"/>
  <c r="B63" i="31"/>
  <c r="D63" i="31"/>
  <c r="B67" i="31"/>
  <c r="D67" i="31"/>
  <c r="B70" i="31"/>
  <c r="D70" i="31"/>
  <c r="B73" i="31"/>
  <c r="D73" i="31"/>
  <c r="B77" i="31"/>
  <c r="D77" i="31"/>
  <c r="B81" i="31"/>
  <c r="D81" i="31"/>
  <c r="B85" i="31"/>
  <c r="D85" i="31"/>
  <c r="B89" i="31"/>
  <c r="D89" i="31"/>
  <c r="B93" i="31"/>
  <c r="D93" i="31"/>
  <c r="B97" i="31"/>
  <c r="D97" i="31"/>
  <c r="B101" i="31"/>
  <c r="D101" i="31"/>
  <c r="B105" i="31"/>
  <c r="D105" i="31"/>
  <c r="B109" i="31"/>
  <c r="D109" i="31"/>
  <c r="B113" i="31"/>
  <c r="D113" i="31"/>
  <c r="B117" i="31"/>
  <c r="D117" i="31"/>
  <c r="B121" i="31"/>
  <c r="D121" i="31"/>
  <c r="B125" i="31"/>
  <c r="D125" i="31"/>
  <c r="B129" i="31"/>
  <c r="D129" i="31"/>
  <c r="B133" i="31"/>
  <c r="D133" i="31"/>
  <c r="B137" i="31"/>
  <c r="D137" i="31"/>
  <c r="B141" i="31"/>
  <c r="D141" i="31"/>
  <c r="B145" i="31"/>
  <c r="D145" i="31"/>
  <c r="B149" i="31"/>
  <c r="D149" i="31"/>
  <c r="B153" i="31"/>
  <c r="D153" i="31"/>
  <c r="B157" i="31"/>
  <c r="D157" i="31"/>
  <c r="B161" i="31"/>
  <c r="D161" i="31"/>
  <c r="B165" i="31"/>
  <c r="D165" i="31"/>
  <c r="B38" i="31"/>
  <c r="D38" i="31"/>
  <c r="B42" i="31"/>
  <c r="D42" i="31"/>
  <c r="B62" i="31"/>
  <c r="D62" i="31"/>
  <c r="B75" i="31"/>
  <c r="D75" i="31"/>
  <c r="B78" i="31"/>
  <c r="D78" i="31"/>
  <c r="B86" i="31"/>
  <c r="D86" i="31"/>
  <c r="B96" i="31"/>
  <c r="D96" i="31"/>
  <c r="B108" i="31"/>
  <c r="D108" i="31"/>
  <c r="B114" i="31"/>
  <c r="D114" i="31"/>
  <c r="B122" i="31"/>
  <c r="D122" i="31"/>
  <c r="B128" i="31"/>
  <c r="D128" i="31"/>
  <c r="B134" i="31"/>
  <c r="D134" i="31"/>
  <c r="B146" i="31"/>
  <c r="D146" i="31"/>
  <c r="B152" i="31"/>
  <c r="D152" i="31"/>
  <c r="B160" i="31"/>
  <c r="D160" i="31"/>
  <c r="B34" i="31"/>
  <c r="D34" i="31"/>
  <c r="B45" i="31"/>
  <c r="D45" i="31"/>
  <c r="B54" i="31"/>
  <c r="D54" i="31"/>
  <c r="B66" i="31"/>
  <c r="D66" i="31"/>
  <c r="B80" i="31"/>
  <c r="D80" i="31"/>
  <c r="B88" i="31"/>
  <c r="D88" i="31"/>
  <c r="B92" i="31"/>
  <c r="D92" i="31"/>
  <c r="B100" i="31"/>
  <c r="D100" i="31"/>
  <c r="B106" i="31"/>
  <c r="D106" i="31"/>
  <c r="B118" i="31"/>
  <c r="D118" i="31"/>
  <c r="B124" i="31"/>
  <c r="D124" i="31"/>
  <c r="B136" i="31"/>
  <c r="D136" i="31"/>
  <c r="B142" i="31"/>
  <c r="D142" i="31"/>
  <c r="B150" i="31"/>
  <c r="D150" i="31"/>
  <c r="B156" i="31"/>
  <c r="D156" i="31"/>
  <c r="B164" i="31"/>
  <c r="D164" i="31"/>
  <c r="B33" i="31"/>
  <c r="D33" i="31"/>
  <c r="B39" i="31"/>
  <c r="D39" i="31"/>
  <c r="B43" i="31"/>
  <c r="D43" i="31"/>
  <c r="B46" i="31"/>
  <c r="D46" i="31"/>
  <c r="B50" i="31"/>
  <c r="D50" i="31"/>
  <c r="B52" i="31"/>
  <c r="D52" i="31"/>
  <c r="B55" i="31"/>
  <c r="D55" i="31"/>
  <c r="B57" i="31"/>
  <c r="D57" i="31"/>
  <c r="B59" i="31"/>
  <c r="D59" i="31"/>
  <c r="B61" i="31"/>
  <c r="D61" i="31"/>
  <c r="B65" i="31"/>
  <c r="D65" i="31"/>
  <c r="B69" i="31"/>
  <c r="D69" i="31"/>
  <c r="B71" i="31"/>
  <c r="D71" i="31"/>
  <c r="B74" i="31"/>
  <c r="D74" i="31"/>
  <c r="B79" i="31"/>
  <c r="D79" i="31"/>
  <c r="B83" i="31"/>
  <c r="D83" i="31"/>
  <c r="B87" i="31"/>
  <c r="D87" i="31"/>
  <c r="B91" i="31"/>
  <c r="D91" i="31"/>
  <c r="B95" i="31"/>
  <c r="D95" i="31"/>
  <c r="B99" i="31"/>
  <c r="D99" i="31"/>
  <c r="B103" i="31"/>
  <c r="D103" i="31"/>
  <c r="B107" i="31"/>
  <c r="D107" i="31"/>
  <c r="B111" i="31"/>
  <c r="D111" i="31"/>
  <c r="B115" i="31"/>
  <c r="D115" i="31"/>
  <c r="B119" i="31"/>
  <c r="D119" i="31"/>
  <c r="B123" i="31"/>
  <c r="D123" i="31"/>
  <c r="B127" i="31"/>
  <c r="D127" i="31"/>
  <c r="B131" i="31"/>
  <c r="D131" i="31"/>
  <c r="B135" i="31"/>
  <c r="D135" i="31"/>
  <c r="B139" i="31"/>
  <c r="D139" i="31"/>
  <c r="B143" i="31"/>
  <c r="D143" i="31"/>
  <c r="B147" i="31"/>
  <c r="D147" i="31"/>
  <c r="B151" i="31"/>
  <c r="D151" i="31"/>
  <c r="B155" i="31"/>
  <c r="D155" i="31"/>
  <c r="B159" i="31"/>
  <c r="D159" i="31"/>
  <c r="B163" i="31"/>
  <c r="D163" i="31"/>
  <c r="B167" i="31"/>
  <c r="D167" i="31"/>
  <c r="D55" i="30"/>
  <c r="B67" i="30"/>
  <c r="D67" i="30"/>
  <c r="D82" i="30"/>
  <c r="B86" i="30"/>
  <c r="D86" i="30"/>
  <c r="D98" i="30"/>
  <c r="D106" i="30"/>
  <c r="D110" i="30"/>
  <c r="D118" i="30"/>
  <c r="D124" i="30"/>
  <c r="D128" i="30"/>
  <c r="B136" i="30"/>
  <c r="D136" i="30"/>
  <c r="B142" i="30"/>
  <c r="D142" i="30"/>
  <c r="D154" i="30"/>
  <c r="B160" i="30"/>
  <c r="D160" i="30"/>
  <c r="D168" i="30"/>
  <c r="D174" i="30"/>
  <c r="D182" i="30"/>
  <c r="B56" i="30"/>
  <c r="D56" i="30"/>
  <c r="D60" i="30"/>
  <c r="B80" i="30"/>
  <c r="D80" i="30"/>
  <c r="D94" i="30"/>
  <c r="D112" i="30"/>
  <c r="D120" i="30"/>
  <c r="D134" i="30"/>
  <c r="B148" i="30"/>
  <c r="D148" i="30"/>
  <c r="B156" i="30"/>
  <c r="D156" i="30"/>
  <c r="D176" i="30"/>
  <c r="B184" i="30"/>
  <c r="D184" i="30"/>
  <c r="B51" i="30"/>
  <c r="D51" i="30"/>
  <c r="D57" i="30"/>
  <c r="D61" i="30"/>
  <c r="D64" i="30"/>
  <c r="D68" i="30"/>
  <c r="B70" i="30"/>
  <c r="D70" i="30"/>
  <c r="D73" i="30"/>
  <c r="B75" i="30"/>
  <c r="D75" i="30"/>
  <c r="D77" i="30"/>
  <c r="D79" i="30"/>
  <c r="D83" i="30"/>
  <c r="B87" i="30"/>
  <c r="D87" i="30"/>
  <c r="B89" i="30"/>
  <c r="D89" i="30"/>
  <c r="D92" i="30"/>
  <c r="D97" i="30"/>
  <c r="D101" i="30"/>
  <c r="D105" i="30"/>
  <c r="D109" i="30"/>
  <c r="B113" i="30"/>
  <c r="D113" i="30"/>
  <c r="D117" i="30"/>
  <c r="D121" i="30"/>
  <c r="D125" i="30"/>
  <c r="B129" i="30"/>
  <c r="D129" i="30"/>
  <c r="D133" i="30"/>
  <c r="B137" i="30"/>
  <c r="D137" i="30"/>
  <c r="D141" i="30"/>
  <c r="B145" i="30"/>
  <c r="D145" i="30"/>
  <c r="D149" i="30"/>
  <c r="B153" i="30"/>
  <c r="D153" i="30"/>
  <c r="B157" i="30"/>
  <c r="D157" i="30"/>
  <c r="D161" i="30"/>
  <c r="D165" i="30"/>
  <c r="D169" i="30"/>
  <c r="B173" i="30"/>
  <c r="D173" i="30"/>
  <c r="D177" i="30"/>
  <c r="B181" i="30"/>
  <c r="D181" i="30"/>
  <c r="B185" i="30"/>
  <c r="D185" i="30"/>
  <c r="B63" i="30"/>
  <c r="D63" i="30"/>
  <c r="D72" i="30"/>
  <c r="D84" i="30"/>
  <c r="B93" i="30"/>
  <c r="D93" i="30"/>
  <c r="B108" i="30"/>
  <c r="D108" i="30"/>
  <c r="D116" i="30"/>
  <c r="D122" i="30"/>
  <c r="B126" i="30"/>
  <c r="D126" i="30"/>
  <c r="B130" i="30"/>
  <c r="D130" i="30"/>
  <c r="B138" i="30"/>
  <c r="D138" i="30"/>
  <c r="D150" i="30"/>
  <c r="D158" i="30"/>
  <c r="B162" i="30"/>
  <c r="D162" i="30"/>
  <c r="B172" i="30"/>
  <c r="D172" i="30"/>
  <c r="D180" i="30"/>
  <c r="B52" i="30"/>
  <c r="D52" i="30"/>
  <c r="B58" i="30"/>
  <c r="D58" i="30"/>
  <c r="D65" i="30"/>
  <c r="D90" i="30"/>
  <c r="D96" i="30"/>
  <c r="D104" i="30"/>
  <c r="D114" i="30"/>
  <c r="D132" i="30"/>
  <c r="D140" i="30"/>
  <c r="B146" i="30"/>
  <c r="D146" i="30"/>
  <c r="B152" i="30"/>
  <c r="D152" i="30"/>
  <c r="B164" i="30"/>
  <c r="D164" i="30"/>
  <c r="D170" i="30"/>
  <c r="D178" i="30"/>
  <c r="D50" i="30"/>
  <c r="D59" i="30"/>
  <c r="D62" i="30"/>
  <c r="D66" i="30"/>
  <c r="B69" i="30"/>
  <c r="D69" i="30"/>
  <c r="B71" i="30"/>
  <c r="D71" i="30"/>
  <c r="D74" i="30"/>
  <c r="D76" i="30"/>
  <c r="D81" i="30"/>
  <c r="D85" i="30"/>
  <c r="B88" i="30"/>
  <c r="D88" i="30"/>
  <c r="B91" i="30"/>
  <c r="D91" i="30"/>
  <c r="B95" i="30"/>
  <c r="D95" i="30"/>
  <c r="D99" i="30"/>
  <c r="D103" i="30"/>
  <c r="B107" i="30"/>
  <c r="D107" i="30"/>
  <c r="D111" i="30"/>
  <c r="B115" i="30"/>
  <c r="D115" i="30"/>
  <c r="D119" i="30"/>
  <c r="D123" i="30"/>
  <c r="B127" i="30"/>
  <c r="D127" i="30"/>
  <c r="D131" i="30"/>
  <c r="D135" i="30"/>
  <c r="D139" i="30"/>
  <c r="B143" i="30"/>
  <c r="D143" i="30"/>
  <c r="B147" i="30"/>
  <c r="D147" i="30"/>
  <c r="D151" i="30"/>
  <c r="D159" i="30"/>
  <c r="D163" i="30"/>
  <c r="B167" i="30"/>
  <c r="D167" i="30"/>
  <c r="D171" i="30"/>
  <c r="B175" i="30"/>
  <c r="D175" i="30"/>
  <c r="D179" i="30"/>
  <c r="D183" i="30"/>
  <c r="F142" i="59"/>
  <c r="F91" i="59"/>
  <c r="F109" i="59"/>
  <c r="F143" i="59"/>
  <c r="E109" i="59"/>
  <c r="E142" i="59"/>
  <c r="E91" i="59"/>
  <c r="E143" i="59"/>
  <c r="D294" i="64"/>
  <c r="D296" i="64" s="1"/>
  <c r="B296" i="64"/>
  <c r="F144" i="59"/>
  <c r="F145" i="59"/>
  <c r="F147" i="59" s="1"/>
  <c r="D288" i="63"/>
  <c r="E116" i="59"/>
  <c r="B290" i="63"/>
  <c r="B132" i="62"/>
  <c r="D63" i="59" s="1"/>
  <c r="D79" i="59"/>
  <c r="D43" i="59"/>
  <c r="S73" i="59"/>
  <c r="K73" i="59"/>
  <c r="V73" i="59"/>
  <c r="H73" i="59"/>
  <c r="R73" i="59"/>
  <c r="Q73" i="59"/>
  <c r="I73" i="59"/>
  <c r="O73" i="59"/>
  <c r="P73" i="59"/>
  <c r="J73" i="59"/>
  <c r="U73" i="59"/>
  <c r="M73" i="59"/>
  <c r="L73" i="59"/>
  <c r="T73" i="59"/>
  <c r="N73" i="59"/>
  <c r="B132" i="60"/>
  <c r="B63" i="59" s="1"/>
  <c r="B79" i="59"/>
  <c r="B43" i="59"/>
  <c r="Q19" i="59"/>
  <c r="I19" i="59"/>
  <c r="R19" i="59"/>
  <c r="T19" i="59"/>
  <c r="S19" i="59"/>
  <c r="K19" i="59"/>
  <c r="U19" i="59"/>
  <c r="M19" i="59"/>
  <c r="J19" i="59"/>
  <c r="L19" i="59"/>
  <c r="O19" i="59"/>
  <c r="N19" i="59"/>
  <c r="P19" i="59"/>
  <c r="V19" i="59"/>
  <c r="H19" i="59"/>
  <c r="D294" i="61"/>
  <c r="D296" i="61" s="1"/>
  <c r="B296" i="61"/>
  <c r="C91" i="59"/>
  <c r="C142" i="59"/>
  <c r="C143" i="59"/>
  <c r="C109" i="59"/>
  <c r="W51" i="59"/>
  <c r="D144" i="59"/>
  <c r="D145" i="59"/>
  <c r="T78" i="59"/>
  <c r="U78" i="59"/>
  <c r="M78" i="59"/>
  <c r="L78" i="59"/>
  <c r="N78" i="59"/>
  <c r="Q78" i="59"/>
  <c r="I78" i="59"/>
  <c r="P78" i="59"/>
  <c r="R78" i="59"/>
  <c r="O78" i="59"/>
  <c r="V78" i="59"/>
  <c r="J78" i="59"/>
  <c r="S78" i="59"/>
  <c r="K78" i="59"/>
  <c r="B116" i="59"/>
  <c r="D288" i="60"/>
  <c r="B290" i="60"/>
  <c r="D294" i="62"/>
  <c r="D296" i="62" s="1"/>
  <c r="B296" i="62"/>
  <c r="B142" i="59"/>
  <c r="B91" i="59"/>
  <c r="B109" i="59"/>
  <c r="B143" i="59"/>
  <c r="F116" i="59"/>
  <c r="D288" i="64"/>
  <c r="B290" i="64"/>
  <c r="D294" i="63"/>
  <c r="D296" i="63" s="1"/>
  <c r="B296" i="63"/>
  <c r="B132" i="61"/>
  <c r="C63" i="59" s="1"/>
  <c r="C79" i="59"/>
  <c r="C43" i="59"/>
  <c r="R46" i="59"/>
  <c r="J46" i="59"/>
  <c r="S46" i="59"/>
  <c r="T46" i="59"/>
  <c r="L46" i="59"/>
  <c r="V46" i="59"/>
  <c r="N46" i="59"/>
  <c r="Q46" i="59"/>
  <c r="M46" i="59"/>
  <c r="P46" i="59"/>
  <c r="H46" i="59"/>
  <c r="K46" i="59"/>
  <c r="O46" i="59"/>
  <c r="U46" i="59"/>
  <c r="I46" i="59"/>
  <c r="B200" i="60"/>
  <c r="B98" i="59" s="1"/>
  <c r="E43" i="59"/>
  <c r="T100" i="59"/>
  <c r="L100" i="59"/>
  <c r="I100" i="59"/>
  <c r="Q100" i="59"/>
  <c r="R100" i="59"/>
  <c r="J100" i="59"/>
  <c r="P100" i="59"/>
  <c r="H100" i="59"/>
  <c r="U100" i="59"/>
  <c r="K100" i="59"/>
  <c r="V100" i="59"/>
  <c r="N100" i="59"/>
  <c r="O100" i="59"/>
  <c r="M100" i="59"/>
  <c r="S100" i="59"/>
  <c r="D104" i="59"/>
  <c r="D103" i="59" s="1"/>
  <c r="D288" i="61"/>
  <c r="C116" i="59"/>
  <c r="B290" i="61"/>
  <c r="C104" i="59"/>
  <c r="C103" i="59" s="1"/>
  <c r="D143" i="59"/>
  <c r="D142" i="59"/>
  <c r="D91" i="59"/>
  <c r="D109" i="59"/>
  <c r="E145" i="59"/>
  <c r="E144" i="59"/>
  <c r="B87" i="64"/>
  <c r="F42" i="59" s="1"/>
  <c r="B90" i="64"/>
  <c r="F35" i="59" s="1"/>
  <c r="B91" i="64" s="1"/>
  <c r="F36" i="59" s="1"/>
  <c r="F37" i="59" s="1"/>
  <c r="B88" i="64"/>
  <c r="F38" i="59" s="1"/>
  <c r="B89" i="64" s="1"/>
  <c r="F39" i="59" s="1"/>
  <c r="F40" i="59" s="1"/>
  <c r="P132" i="59"/>
  <c r="R132" i="59"/>
  <c r="O132" i="59"/>
  <c r="L132" i="59"/>
  <c r="S132" i="59"/>
  <c r="K132" i="59"/>
  <c r="J132" i="59"/>
  <c r="V132" i="59"/>
  <c r="U132" i="59"/>
  <c r="M132" i="59"/>
  <c r="T132" i="59"/>
  <c r="N132" i="59"/>
  <c r="Q132" i="59"/>
  <c r="I132" i="59"/>
  <c r="C145" i="59"/>
  <c r="C144" i="59"/>
  <c r="H78" i="59"/>
  <c r="V24" i="59"/>
  <c r="T24" i="59"/>
  <c r="O24" i="59"/>
  <c r="Q24" i="59"/>
  <c r="N24" i="59"/>
  <c r="L24" i="59"/>
  <c r="S24" i="59"/>
  <c r="K24" i="59"/>
  <c r="J24" i="59"/>
  <c r="P24" i="59"/>
  <c r="U24" i="59"/>
  <c r="M24" i="59"/>
  <c r="R24" i="59"/>
  <c r="I24" i="59"/>
  <c r="D294" i="60"/>
  <c r="D296" i="60" s="1"/>
  <c r="B296" i="60"/>
  <c r="B145" i="59"/>
  <c r="B144" i="59"/>
  <c r="B132" i="63"/>
  <c r="E63" i="59" s="1"/>
  <c r="E79" i="59"/>
  <c r="D116" i="59"/>
  <c r="D288" i="62"/>
  <c r="B290" i="62"/>
  <c r="F79" i="59"/>
  <c r="B132" i="64"/>
  <c r="F63" i="59" s="1"/>
  <c r="E147" i="59" l="1"/>
  <c r="E58" i="32"/>
  <c r="U16" i="12"/>
  <c r="S16" i="12"/>
  <c r="B53" i="30"/>
  <c r="E53" i="30" s="1"/>
  <c r="T5" i="16" s="1"/>
  <c r="B100" i="30"/>
  <c r="B166" i="30"/>
  <c r="B54" i="30"/>
  <c r="B102" i="30"/>
  <c r="E102" i="30" s="1"/>
  <c r="B78" i="30"/>
  <c r="E78" i="30" s="1"/>
  <c r="B155" i="30"/>
  <c r="B144" i="30"/>
  <c r="E144" i="30" s="1"/>
  <c r="AL35" i="16"/>
  <c r="A64" i="51" s="1"/>
  <c r="B64" i="51" s="1"/>
  <c r="D64" i="51" s="1"/>
  <c r="AL2" i="16"/>
  <c r="A31" i="51" s="1"/>
  <c r="B31" i="51" s="1"/>
  <c r="D31" i="51" s="1"/>
  <c r="AL84" i="16"/>
  <c r="A113" i="51" s="1"/>
  <c r="B113" i="51" s="1"/>
  <c r="AL112" i="16"/>
  <c r="A141" i="51" s="1"/>
  <c r="B141" i="51" s="1"/>
  <c r="AL70" i="16"/>
  <c r="A99" i="51" s="1"/>
  <c r="B99" i="51" s="1"/>
  <c r="AL20" i="16"/>
  <c r="A49" i="51" s="1"/>
  <c r="B49" i="51" s="1"/>
  <c r="AL43" i="16"/>
  <c r="A72" i="51" s="1"/>
  <c r="B72" i="51" s="1"/>
  <c r="AL89" i="16"/>
  <c r="A118" i="51" s="1"/>
  <c r="B118" i="51" s="1"/>
  <c r="AL107" i="16"/>
  <c r="A136" i="51" s="1"/>
  <c r="B136" i="51" s="1"/>
  <c r="AL49" i="16"/>
  <c r="A78" i="51" s="1"/>
  <c r="B78" i="51" s="1"/>
  <c r="AL25" i="16"/>
  <c r="A54" i="51" s="1"/>
  <c r="B54" i="51" s="1"/>
  <c r="AL34" i="16"/>
  <c r="A63" i="51" s="1"/>
  <c r="B63" i="51" s="1"/>
  <c r="AL94" i="16"/>
  <c r="A123" i="51" s="1"/>
  <c r="B123" i="51" s="1"/>
  <c r="AL98" i="16"/>
  <c r="A127" i="51" s="1"/>
  <c r="B127" i="51" s="1"/>
  <c r="AL54" i="16"/>
  <c r="A83" i="51" s="1"/>
  <c r="B83" i="51" s="1"/>
  <c r="AL30" i="16"/>
  <c r="A59" i="51" s="1"/>
  <c r="B59" i="51" s="1"/>
  <c r="AL29" i="16"/>
  <c r="A58" i="51" s="1"/>
  <c r="B58" i="51" s="1"/>
  <c r="AL60" i="16"/>
  <c r="A89" i="51" s="1"/>
  <c r="B89" i="51" s="1"/>
  <c r="AL93" i="16"/>
  <c r="A122" i="51" s="1"/>
  <c r="B122" i="51" s="1"/>
  <c r="AL24" i="16"/>
  <c r="A53" i="51" s="1"/>
  <c r="B53" i="51" s="1"/>
  <c r="AL10" i="16"/>
  <c r="A39" i="51" s="1"/>
  <c r="B39" i="51" s="1"/>
  <c r="AL15" i="16"/>
  <c r="A44" i="51" s="1"/>
  <c r="B44" i="51" s="1"/>
  <c r="AL74" i="16"/>
  <c r="A103" i="51" s="1"/>
  <c r="B103" i="51" s="1"/>
  <c r="AL79" i="16"/>
  <c r="A108" i="51" s="1"/>
  <c r="B108" i="51" s="1"/>
  <c r="AL33" i="16"/>
  <c r="A62" i="51" s="1"/>
  <c r="B62" i="51" s="1"/>
  <c r="AL5" i="16"/>
  <c r="A34" i="51" s="1"/>
  <c r="B34" i="51" s="1"/>
  <c r="D34" i="51" s="1"/>
  <c r="AL40" i="16"/>
  <c r="A69" i="51" s="1"/>
  <c r="B69" i="51" s="1"/>
  <c r="AL134" i="16"/>
  <c r="A163" i="51" s="1"/>
  <c r="B163" i="51" s="1"/>
  <c r="AL69" i="16"/>
  <c r="A98" i="51" s="1"/>
  <c r="B98" i="51" s="1"/>
  <c r="AL104" i="16"/>
  <c r="A133" i="51" s="1"/>
  <c r="B133" i="51" s="1"/>
  <c r="AL8" i="16"/>
  <c r="A37" i="51" s="1"/>
  <c r="B37" i="51" s="1"/>
  <c r="AL133" i="16"/>
  <c r="A162" i="51" s="1"/>
  <c r="B162" i="51" s="1"/>
  <c r="AL6" i="16"/>
  <c r="A35" i="51" s="1"/>
  <c r="B35" i="51" s="1"/>
  <c r="AL4" i="16"/>
  <c r="A33" i="51" s="1"/>
  <c r="B33" i="51" s="1"/>
  <c r="D33" i="51" s="1"/>
  <c r="AL9" i="16"/>
  <c r="A38" i="51" s="1"/>
  <c r="B38" i="51" s="1"/>
  <c r="AL14" i="16"/>
  <c r="A43" i="51" s="1"/>
  <c r="B43" i="51" s="1"/>
  <c r="AL26" i="16"/>
  <c r="A55" i="51" s="1"/>
  <c r="B55" i="51" s="1"/>
  <c r="AL21" i="16"/>
  <c r="A50" i="51" s="1"/>
  <c r="B50" i="51" s="1"/>
  <c r="AL108" i="16"/>
  <c r="A137" i="51" s="1"/>
  <c r="B137" i="51" s="1"/>
  <c r="AL103" i="16"/>
  <c r="A132" i="51" s="1"/>
  <c r="B132" i="51" s="1"/>
  <c r="AL64" i="16"/>
  <c r="A93" i="51" s="1"/>
  <c r="B93" i="51" s="1"/>
  <c r="AL59" i="16"/>
  <c r="A88" i="51" s="1"/>
  <c r="B88" i="51" s="1"/>
  <c r="AL50" i="16"/>
  <c r="A79" i="51" s="1"/>
  <c r="B79" i="51" s="1"/>
  <c r="AL45" i="16"/>
  <c r="A74" i="51" s="1"/>
  <c r="B74" i="51" s="1"/>
  <c r="AL31" i="16"/>
  <c r="A60" i="51" s="1"/>
  <c r="B60" i="51" s="1"/>
  <c r="AL56" i="16"/>
  <c r="A85" i="51" s="1"/>
  <c r="B85" i="51" s="1"/>
  <c r="AL51" i="16"/>
  <c r="A80" i="51" s="1"/>
  <c r="B80" i="51" s="1"/>
  <c r="AL113" i="16"/>
  <c r="A142" i="51" s="1"/>
  <c r="B142" i="51" s="1"/>
  <c r="AL118" i="16"/>
  <c r="A147" i="51" s="1"/>
  <c r="B147" i="51" s="1"/>
  <c r="AL116" i="16"/>
  <c r="A145" i="51" s="1"/>
  <c r="B145" i="51" s="1"/>
  <c r="AL3" i="16"/>
  <c r="A32" i="51" s="1"/>
  <c r="B32" i="51" s="1"/>
  <c r="D32" i="51" s="1"/>
  <c r="AL126" i="16"/>
  <c r="A155" i="51" s="1"/>
  <c r="B155" i="51" s="1"/>
  <c r="AL92" i="16"/>
  <c r="A121" i="51" s="1"/>
  <c r="B121" i="51" s="1"/>
  <c r="AL42" i="16"/>
  <c r="A71" i="51" s="1"/>
  <c r="B71" i="51" s="1"/>
  <c r="AL37" i="16"/>
  <c r="A66" i="51" s="1"/>
  <c r="B66" i="51" s="1"/>
  <c r="AL124" i="16"/>
  <c r="A153" i="51" s="1"/>
  <c r="B153" i="51" s="1"/>
  <c r="AL119" i="16"/>
  <c r="A148" i="51" s="1"/>
  <c r="B148" i="51" s="1"/>
  <c r="AL80" i="16"/>
  <c r="A109" i="51" s="1"/>
  <c r="B109" i="51" s="1"/>
  <c r="AL75" i="16"/>
  <c r="A104" i="51" s="1"/>
  <c r="B104" i="51" s="1"/>
  <c r="AL66" i="16"/>
  <c r="A95" i="51" s="1"/>
  <c r="B95" i="51" s="1"/>
  <c r="AL61" i="16"/>
  <c r="A90" i="51" s="1"/>
  <c r="B90" i="51" s="1"/>
  <c r="AL47" i="16"/>
  <c r="A76" i="51" s="1"/>
  <c r="B76" i="51" s="1"/>
  <c r="AL72" i="16"/>
  <c r="A101" i="51" s="1"/>
  <c r="B101" i="51" s="1"/>
  <c r="AL67" i="16"/>
  <c r="A96" i="51" s="1"/>
  <c r="B96" i="51" s="1"/>
  <c r="AL97" i="16"/>
  <c r="A126" i="51" s="1"/>
  <c r="B126" i="51" s="1"/>
  <c r="AL102" i="16"/>
  <c r="A131" i="51" s="1"/>
  <c r="B131" i="51" s="1"/>
  <c r="AL100" i="16"/>
  <c r="A129" i="51" s="1"/>
  <c r="B129" i="51" s="1"/>
  <c r="AL105" i="16"/>
  <c r="A134" i="51" s="1"/>
  <c r="B134" i="51" s="1"/>
  <c r="AL110" i="16"/>
  <c r="A139" i="51" s="1"/>
  <c r="B139" i="51" s="1"/>
  <c r="AL76" i="16"/>
  <c r="A105" i="51" s="1"/>
  <c r="B105" i="51" s="1"/>
  <c r="AL58" i="16"/>
  <c r="A87" i="51" s="1"/>
  <c r="B87" i="51" s="1"/>
  <c r="AL53" i="16"/>
  <c r="A82" i="51" s="1"/>
  <c r="B82" i="51" s="1"/>
  <c r="AL7" i="16"/>
  <c r="A36" i="51" s="1"/>
  <c r="B36" i="51" s="1"/>
  <c r="AL135" i="16"/>
  <c r="A164" i="51" s="1"/>
  <c r="B164" i="51" s="1"/>
  <c r="AL96" i="16"/>
  <c r="A125" i="51" s="1"/>
  <c r="B125" i="51" s="1"/>
  <c r="AL91" i="16"/>
  <c r="A120" i="51" s="1"/>
  <c r="B120" i="51" s="1"/>
  <c r="AL82" i="16"/>
  <c r="A111" i="51" s="1"/>
  <c r="B111" i="51" s="1"/>
  <c r="AL77" i="16"/>
  <c r="A106" i="51" s="1"/>
  <c r="B106" i="51" s="1"/>
  <c r="AL63" i="16"/>
  <c r="A92" i="51" s="1"/>
  <c r="B92" i="51" s="1"/>
  <c r="AL88" i="16"/>
  <c r="A117" i="51" s="1"/>
  <c r="B117" i="51" s="1"/>
  <c r="AL83" i="16"/>
  <c r="A112" i="51" s="1"/>
  <c r="B112" i="51" s="1"/>
  <c r="AL130" i="16"/>
  <c r="A159" i="51" s="1"/>
  <c r="B159" i="51" s="1"/>
  <c r="AL136" i="16"/>
  <c r="A165" i="51" s="1"/>
  <c r="B165" i="51" s="1"/>
  <c r="AL68" i="16"/>
  <c r="A97" i="51" s="1"/>
  <c r="B97" i="51" s="1"/>
  <c r="AL73" i="16"/>
  <c r="A102" i="51" s="1"/>
  <c r="B102" i="51" s="1"/>
  <c r="AL78" i="16"/>
  <c r="A107" i="51" s="1"/>
  <c r="B107" i="51" s="1"/>
  <c r="AL44" i="16"/>
  <c r="A73" i="51" s="1"/>
  <c r="B73" i="51" s="1"/>
  <c r="AL90" i="16"/>
  <c r="A119" i="51" s="1"/>
  <c r="B119" i="51" s="1"/>
  <c r="AL85" i="16"/>
  <c r="A114" i="51" s="1"/>
  <c r="B114" i="51" s="1"/>
  <c r="AL39" i="16"/>
  <c r="A68" i="51" s="1"/>
  <c r="B68" i="51" s="1"/>
  <c r="AL137" i="16"/>
  <c r="A166" i="51" s="1"/>
  <c r="B166" i="51" s="1"/>
  <c r="AL128" i="16"/>
  <c r="A157" i="51" s="1"/>
  <c r="B157" i="51" s="1"/>
  <c r="AL123" i="16"/>
  <c r="A152" i="51" s="1"/>
  <c r="B152" i="51" s="1"/>
  <c r="AL114" i="16"/>
  <c r="A143" i="51" s="1"/>
  <c r="B143" i="51" s="1"/>
  <c r="AL109" i="16"/>
  <c r="A138" i="51" s="1"/>
  <c r="B138" i="51" s="1"/>
  <c r="AL95" i="16"/>
  <c r="A124" i="51" s="1"/>
  <c r="B124" i="51" s="1"/>
  <c r="AL120" i="16"/>
  <c r="A149" i="51" s="1"/>
  <c r="B149" i="51" s="1"/>
  <c r="AL115" i="16"/>
  <c r="A144" i="51" s="1"/>
  <c r="B144" i="51" s="1"/>
  <c r="AL125" i="16"/>
  <c r="A154" i="51" s="1"/>
  <c r="B154" i="51" s="1"/>
  <c r="AL111" i="16"/>
  <c r="A140" i="51" s="1"/>
  <c r="B140" i="51" s="1"/>
  <c r="AL52" i="16"/>
  <c r="A81" i="51" s="1"/>
  <c r="B81" i="51" s="1"/>
  <c r="AL57" i="16"/>
  <c r="A86" i="51" s="1"/>
  <c r="B86" i="51" s="1"/>
  <c r="AL62" i="16"/>
  <c r="A91" i="51" s="1"/>
  <c r="B91" i="51" s="1"/>
  <c r="AL28" i="16"/>
  <c r="A57" i="51" s="1"/>
  <c r="B57" i="51" s="1"/>
  <c r="AL106" i="16"/>
  <c r="A135" i="51" s="1"/>
  <c r="B135" i="51" s="1"/>
  <c r="AL101" i="16"/>
  <c r="A130" i="51" s="1"/>
  <c r="B130" i="51" s="1"/>
  <c r="AL55" i="16"/>
  <c r="A84" i="51" s="1"/>
  <c r="B84" i="51" s="1"/>
  <c r="AL16" i="16"/>
  <c r="A45" i="51" s="1"/>
  <c r="B45" i="51" s="1"/>
  <c r="AL11" i="16"/>
  <c r="A40" i="51" s="1"/>
  <c r="B40" i="51" s="1"/>
  <c r="AL38" i="16"/>
  <c r="A67" i="51" s="1"/>
  <c r="B67" i="51" s="1"/>
  <c r="AL36" i="16"/>
  <c r="A65" i="51" s="1"/>
  <c r="B65" i="51" s="1"/>
  <c r="AL41" i="16"/>
  <c r="A70" i="51" s="1"/>
  <c r="B70" i="51" s="1"/>
  <c r="AL46" i="16"/>
  <c r="A75" i="51" s="1"/>
  <c r="B75" i="51" s="1"/>
  <c r="AL12" i="16"/>
  <c r="A41" i="51" s="1"/>
  <c r="B41" i="51" s="1"/>
  <c r="AL122" i="16"/>
  <c r="A151" i="51" s="1"/>
  <c r="B151" i="51" s="1"/>
  <c r="AL117" i="16"/>
  <c r="A146" i="51" s="1"/>
  <c r="B146" i="51" s="1"/>
  <c r="AL71" i="16"/>
  <c r="A100" i="51" s="1"/>
  <c r="B100" i="51" s="1"/>
  <c r="AL32" i="16"/>
  <c r="A61" i="51" s="1"/>
  <c r="B61" i="51" s="1"/>
  <c r="AL27" i="16"/>
  <c r="A56" i="51" s="1"/>
  <c r="B56" i="51" s="1"/>
  <c r="AL18" i="16"/>
  <c r="A47" i="51" s="1"/>
  <c r="B47" i="51" s="1"/>
  <c r="AL13" i="16"/>
  <c r="A42" i="51" s="1"/>
  <c r="B42" i="51" s="1"/>
  <c r="AL132" i="16"/>
  <c r="A161" i="51" s="1"/>
  <c r="B161" i="51" s="1"/>
  <c r="AL127" i="16"/>
  <c r="A156" i="51" s="1"/>
  <c r="B156" i="51" s="1"/>
  <c r="AL19" i="16"/>
  <c r="A48" i="51" s="1"/>
  <c r="B48" i="51" s="1"/>
  <c r="AL131" i="16"/>
  <c r="A160" i="51" s="1"/>
  <c r="B160" i="51" s="1"/>
  <c r="AL23" i="16"/>
  <c r="A52" i="51" s="1"/>
  <c r="B52" i="51" s="1"/>
  <c r="AL99" i="16"/>
  <c r="A128" i="51" s="1"/>
  <c r="B128" i="51" s="1"/>
  <c r="AL17" i="16"/>
  <c r="A46" i="51" s="1"/>
  <c r="B46" i="51" s="1"/>
  <c r="AL87" i="16"/>
  <c r="A116" i="51" s="1"/>
  <c r="B116" i="51" s="1"/>
  <c r="AL129" i="16"/>
  <c r="A158" i="51" s="1"/>
  <c r="B158" i="51" s="1"/>
  <c r="AL86" i="16"/>
  <c r="A115" i="51" s="1"/>
  <c r="B115" i="51" s="1"/>
  <c r="AL121" i="16"/>
  <c r="A150" i="51" s="1"/>
  <c r="B150" i="51" s="1"/>
  <c r="AL65" i="16"/>
  <c r="A94" i="51" s="1"/>
  <c r="B94" i="51" s="1"/>
  <c r="AL22" i="16"/>
  <c r="A51" i="51" s="1"/>
  <c r="B51" i="51" s="1"/>
  <c r="AL48" i="16"/>
  <c r="A77" i="51" s="1"/>
  <c r="B77" i="51" s="1"/>
  <c r="AL81" i="16"/>
  <c r="A110" i="51" s="1"/>
  <c r="B110" i="51" s="1"/>
  <c r="F146" i="59"/>
  <c r="B147" i="59"/>
  <c r="C146" i="59"/>
  <c r="W132" i="59"/>
  <c r="S17" i="12"/>
  <c r="U17" i="12"/>
  <c r="E155" i="31"/>
  <c r="E139" i="31"/>
  <c r="E123" i="31"/>
  <c r="E107" i="31"/>
  <c r="E91" i="31"/>
  <c r="E74" i="31"/>
  <c r="E61" i="31"/>
  <c r="E52" i="31"/>
  <c r="E39" i="31"/>
  <c r="E150" i="31"/>
  <c r="E118" i="31"/>
  <c r="E88" i="31"/>
  <c r="E45" i="31"/>
  <c r="E146" i="31"/>
  <c r="E114" i="31"/>
  <c r="E78" i="31"/>
  <c r="E38" i="31"/>
  <c r="E153" i="31"/>
  <c r="E137" i="31"/>
  <c r="E121" i="31"/>
  <c r="E105" i="31"/>
  <c r="E89" i="31"/>
  <c r="E73" i="31"/>
  <c r="E60" i="31"/>
  <c r="E51" i="31"/>
  <c r="E36" i="31"/>
  <c r="E144" i="31"/>
  <c r="E110" i="31"/>
  <c r="E82" i="31"/>
  <c r="E37" i="31"/>
  <c r="E138" i="31"/>
  <c r="E112" i="31"/>
  <c r="E76" i="31"/>
  <c r="E35" i="31"/>
  <c r="E85" i="32"/>
  <c r="E151" i="32"/>
  <c r="E77" i="32"/>
  <c r="E129" i="32"/>
  <c r="E189" i="32"/>
  <c r="E98" i="32"/>
  <c r="E130" i="32"/>
  <c r="E162" i="32"/>
  <c r="E65" i="32"/>
  <c r="E123" i="32"/>
  <c r="E191" i="32"/>
  <c r="E100" i="32"/>
  <c r="E165" i="32"/>
  <c r="E75" i="32"/>
  <c r="E118" i="32"/>
  <c r="E150" i="32"/>
  <c r="E182" i="32"/>
  <c r="E96" i="32"/>
  <c r="E161" i="32"/>
  <c r="E84" i="32"/>
  <c r="E137" i="32"/>
  <c r="E61" i="32"/>
  <c r="E104" i="32"/>
  <c r="E136" i="32"/>
  <c r="E168" i="32"/>
  <c r="E78" i="32"/>
  <c r="E139" i="32"/>
  <c r="E70" i="32"/>
  <c r="E109" i="32"/>
  <c r="E175" i="32"/>
  <c r="E90" i="32"/>
  <c r="E124" i="32"/>
  <c r="E156" i="32"/>
  <c r="E188" i="32"/>
  <c r="E167" i="31"/>
  <c r="E151" i="31"/>
  <c r="E135" i="31"/>
  <c r="E119" i="31"/>
  <c r="E103" i="31"/>
  <c r="E87" i="31"/>
  <c r="E71" i="31"/>
  <c r="E59" i="31"/>
  <c r="E50" i="31"/>
  <c r="E33" i="31"/>
  <c r="E142" i="31"/>
  <c r="E106" i="31"/>
  <c r="E80" i="31"/>
  <c r="E34" i="31"/>
  <c r="E134" i="31"/>
  <c r="E108" i="31"/>
  <c r="E75" i="31"/>
  <c r="E165" i="31"/>
  <c r="E149" i="31"/>
  <c r="E133" i="31"/>
  <c r="E117" i="31"/>
  <c r="E101" i="31"/>
  <c r="E85" i="31"/>
  <c r="E70" i="31"/>
  <c r="E58" i="31"/>
  <c r="E48" i="31"/>
  <c r="E140" i="31"/>
  <c r="E104" i="31"/>
  <c r="E68" i="31"/>
  <c r="E166" i="31"/>
  <c r="E130" i="31"/>
  <c r="E102" i="31"/>
  <c r="E72" i="31"/>
  <c r="E192" i="32"/>
  <c r="E105" i="32"/>
  <c r="E167" i="32"/>
  <c r="E86" i="32"/>
  <c r="E141" i="32"/>
  <c r="E63" i="32"/>
  <c r="E106" i="32"/>
  <c r="E138" i="32"/>
  <c r="E170" i="32"/>
  <c r="E79" i="32"/>
  <c r="E143" i="32"/>
  <c r="E74" i="32"/>
  <c r="E117" i="32"/>
  <c r="E181" i="32"/>
  <c r="E92" i="32"/>
  <c r="E126" i="32"/>
  <c r="E158" i="32"/>
  <c r="E190" i="32"/>
  <c r="E115" i="32"/>
  <c r="E179" i="32"/>
  <c r="E95" i="32"/>
  <c r="E153" i="32"/>
  <c r="E68" i="32"/>
  <c r="E112" i="32"/>
  <c r="E144" i="32"/>
  <c r="E176" i="32"/>
  <c r="E87" i="32"/>
  <c r="E155" i="32"/>
  <c r="E81" i="32"/>
  <c r="E133" i="32"/>
  <c r="E193" i="32"/>
  <c r="E101" i="32"/>
  <c r="E132" i="32"/>
  <c r="E164" i="32"/>
  <c r="E163" i="31"/>
  <c r="E147" i="31"/>
  <c r="E131" i="31"/>
  <c r="E115" i="31"/>
  <c r="E99" i="31"/>
  <c r="E83" i="31"/>
  <c r="E69" i="31"/>
  <c r="E57" i="31"/>
  <c r="E46" i="31"/>
  <c r="E164" i="31"/>
  <c r="E136" i="31"/>
  <c r="E100" i="31"/>
  <c r="E66" i="31"/>
  <c r="E160" i="31"/>
  <c r="E128" i="31"/>
  <c r="E96" i="31"/>
  <c r="E62" i="31"/>
  <c r="E161" i="31"/>
  <c r="E145" i="31"/>
  <c r="E129" i="31"/>
  <c r="E113" i="31"/>
  <c r="E97" i="31"/>
  <c r="E81" i="31"/>
  <c r="E67" i="31"/>
  <c r="E56" i="31"/>
  <c r="E44" i="31"/>
  <c r="E162" i="31"/>
  <c r="E132" i="31"/>
  <c r="E98" i="31"/>
  <c r="E64" i="31"/>
  <c r="E158" i="31"/>
  <c r="E126" i="31"/>
  <c r="E94" i="31"/>
  <c r="E47" i="31"/>
  <c r="U8" i="16"/>
  <c r="E119" i="32"/>
  <c r="E185" i="32"/>
  <c r="E97" i="32"/>
  <c r="E159" i="32"/>
  <c r="E71" i="32"/>
  <c r="E114" i="32"/>
  <c r="E146" i="32"/>
  <c r="E178" i="32"/>
  <c r="E93" i="32"/>
  <c r="E157" i="32"/>
  <c r="E83" i="32"/>
  <c r="E135" i="32"/>
  <c r="E60" i="32"/>
  <c r="E102" i="32"/>
  <c r="E134" i="32"/>
  <c r="E166" i="32"/>
  <c r="E67" i="32"/>
  <c r="E127" i="32"/>
  <c r="E62" i="32"/>
  <c r="E103" i="32"/>
  <c r="E169" i="32"/>
  <c r="E80" i="32"/>
  <c r="E120" i="32"/>
  <c r="E152" i="32"/>
  <c r="E184" i="32"/>
  <c r="E111" i="32"/>
  <c r="E171" i="32"/>
  <c r="E89" i="32"/>
  <c r="E145" i="32"/>
  <c r="E64" i="32"/>
  <c r="E108" i="32"/>
  <c r="E140" i="32"/>
  <c r="E172" i="32"/>
  <c r="E159" i="31"/>
  <c r="E143" i="31"/>
  <c r="E127" i="31"/>
  <c r="E111" i="31"/>
  <c r="E95" i="31"/>
  <c r="E79" i="31"/>
  <c r="E65" i="31"/>
  <c r="E55" i="31"/>
  <c r="E43" i="31"/>
  <c r="E156" i="31"/>
  <c r="E124" i="31"/>
  <c r="E92" i="31"/>
  <c r="E54" i="31"/>
  <c r="E152" i="31"/>
  <c r="E122" i="31"/>
  <c r="E86" i="31"/>
  <c r="E42" i="31"/>
  <c r="E157" i="31"/>
  <c r="E141" i="31"/>
  <c r="E125" i="31"/>
  <c r="E109" i="31"/>
  <c r="E93" i="31"/>
  <c r="E77" i="31"/>
  <c r="E63" i="31"/>
  <c r="E53" i="31"/>
  <c r="E41" i="31"/>
  <c r="E154" i="31"/>
  <c r="E120" i="31"/>
  <c r="E90" i="31"/>
  <c r="E49" i="31"/>
  <c r="E148" i="31"/>
  <c r="E116" i="31"/>
  <c r="E84" i="31"/>
  <c r="E40" i="31"/>
  <c r="E72" i="32"/>
  <c r="E131" i="32"/>
  <c r="E69" i="32"/>
  <c r="E107" i="32"/>
  <c r="E173" i="32"/>
  <c r="E88" i="32"/>
  <c r="E122" i="32"/>
  <c r="E154" i="32"/>
  <c r="E186" i="32"/>
  <c r="E113" i="32"/>
  <c r="E177" i="32"/>
  <c r="E91" i="32"/>
  <c r="E149" i="32"/>
  <c r="E66" i="32"/>
  <c r="E110" i="32"/>
  <c r="E142" i="32"/>
  <c r="E174" i="32"/>
  <c r="E82" i="32"/>
  <c r="E147" i="32"/>
  <c r="E76" i="32"/>
  <c r="E125" i="32"/>
  <c r="E183" i="32"/>
  <c r="E94" i="32"/>
  <c r="E128" i="32"/>
  <c r="E160" i="32"/>
  <c r="E59" i="32"/>
  <c r="E121" i="32"/>
  <c r="E187" i="32"/>
  <c r="E99" i="32"/>
  <c r="E163" i="32"/>
  <c r="E73" i="32"/>
  <c r="E116" i="32"/>
  <c r="E148" i="32"/>
  <c r="E180" i="32"/>
  <c r="E32" i="31"/>
  <c r="V4154" i="16"/>
  <c r="V4153" i="16"/>
  <c r="V4152" i="16"/>
  <c r="V4151" i="16"/>
  <c r="V4150" i="16"/>
  <c r="V4149" i="16"/>
  <c r="V4148" i="16"/>
  <c r="V4147" i="16"/>
  <c r="V4146" i="16"/>
  <c r="V4145" i="16"/>
  <c r="V4144" i="16"/>
  <c r="V4143" i="16"/>
  <c r="V4142" i="16"/>
  <c r="V4141" i="16"/>
  <c r="V4140" i="16"/>
  <c r="V4139" i="16"/>
  <c r="V4138" i="16"/>
  <c r="V4137" i="16"/>
  <c r="V4136" i="16"/>
  <c r="V4135" i="16"/>
  <c r="V4134" i="16"/>
  <c r="V4133" i="16"/>
  <c r="V4132" i="16"/>
  <c r="V4131" i="16"/>
  <c r="V4130" i="16"/>
  <c r="V4129" i="16"/>
  <c r="V4128" i="16"/>
  <c r="V4127" i="16"/>
  <c r="V4126" i="16"/>
  <c r="V4125" i="16"/>
  <c r="V4124" i="16"/>
  <c r="V4123" i="16"/>
  <c r="V4122" i="16"/>
  <c r="V4121" i="16"/>
  <c r="V4120" i="16"/>
  <c r="V4119" i="16"/>
  <c r="V4118" i="16"/>
  <c r="V4117" i="16"/>
  <c r="V4116" i="16"/>
  <c r="V4115" i="16"/>
  <c r="V4114" i="16"/>
  <c r="V4113" i="16"/>
  <c r="V4112" i="16"/>
  <c r="V4111" i="16"/>
  <c r="V4110" i="16"/>
  <c r="V4109" i="16"/>
  <c r="V4108" i="16"/>
  <c r="V4107" i="16"/>
  <c r="V4106" i="16"/>
  <c r="V4105" i="16"/>
  <c r="V4104" i="16"/>
  <c r="V4103" i="16"/>
  <c r="V4102" i="16"/>
  <c r="V4101" i="16"/>
  <c r="V4100" i="16"/>
  <c r="V4099" i="16"/>
  <c r="V4098" i="16"/>
  <c r="V4097" i="16"/>
  <c r="V4096" i="16"/>
  <c r="V4095" i="16"/>
  <c r="V4094" i="16"/>
  <c r="V4093" i="16"/>
  <c r="V4092" i="16"/>
  <c r="V4091" i="16"/>
  <c r="V4090" i="16"/>
  <c r="V4089" i="16"/>
  <c r="V4088" i="16"/>
  <c r="V4087" i="16"/>
  <c r="V4086" i="16"/>
  <c r="V4085" i="16"/>
  <c r="V4084" i="16"/>
  <c r="V4083" i="16"/>
  <c r="V4082" i="16"/>
  <c r="V4081" i="16"/>
  <c r="V4080" i="16"/>
  <c r="V4079" i="16"/>
  <c r="V4078" i="16"/>
  <c r="V4077" i="16"/>
  <c r="V4076" i="16"/>
  <c r="V4075" i="16"/>
  <c r="V4074" i="16"/>
  <c r="V4073" i="16"/>
  <c r="V4072" i="16"/>
  <c r="V4071" i="16"/>
  <c r="V4070" i="16"/>
  <c r="V4069" i="16"/>
  <c r="V4068" i="16"/>
  <c r="V4067" i="16"/>
  <c r="V4066" i="16"/>
  <c r="V4065" i="16"/>
  <c r="V4064" i="16"/>
  <c r="V4063" i="16"/>
  <c r="V4062" i="16"/>
  <c r="V4061" i="16"/>
  <c r="V4060" i="16"/>
  <c r="V4059" i="16"/>
  <c r="V4058" i="16"/>
  <c r="V4057" i="16"/>
  <c r="V4056" i="16"/>
  <c r="V4055" i="16"/>
  <c r="V4054" i="16"/>
  <c r="V4053" i="16"/>
  <c r="V4052" i="16"/>
  <c r="V4051" i="16"/>
  <c r="V4050" i="16"/>
  <c r="V4049" i="16"/>
  <c r="V4048" i="16"/>
  <c r="V4047" i="16"/>
  <c r="V4046" i="16"/>
  <c r="V4045" i="16"/>
  <c r="V4044" i="16"/>
  <c r="V4043" i="16"/>
  <c r="V4042" i="16"/>
  <c r="V4041" i="16"/>
  <c r="V4040" i="16"/>
  <c r="V4039" i="16"/>
  <c r="V4038" i="16"/>
  <c r="V4037" i="16"/>
  <c r="V4036" i="16"/>
  <c r="V4035" i="16"/>
  <c r="V4034" i="16"/>
  <c r="V4033" i="16"/>
  <c r="V4032" i="16"/>
  <c r="V4031" i="16"/>
  <c r="V4030" i="16"/>
  <c r="V4029" i="16"/>
  <c r="V4028" i="16"/>
  <c r="V4027" i="16"/>
  <c r="V4026" i="16"/>
  <c r="V4025" i="16"/>
  <c r="V4024" i="16"/>
  <c r="V4023" i="16"/>
  <c r="V4022" i="16"/>
  <c r="V4021" i="16"/>
  <c r="V4020" i="16"/>
  <c r="V4019" i="16"/>
  <c r="V4018" i="16"/>
  <c r="V4017" i="16"/>
  <c r="V4016" i="16"/>
  <c r="V4015" i="16"/>
  <c r="V4014" i="16"/>
  <c r="V4013" i="16"/>
  <c r="V4012" i="16"/>
  <c r="V4011" i="16"/>
  <c r="V4010" i="16"/>
  <c r="V4009" i="16"/>
  <c r="V4008" i="16"/>
  <c r="V4007" i="16"/>
  <c r="V4006" i="16"/>
  <c r="V4005" i="16"/>
  <c r="V4004" i="16"/>
  <c r="V4003" i="16"/>
  <c r="V4002" i="16"/>
  <c r="V4001" i="16"/>
  <c r="V4000" i="16"/>
  <c r="V3999" i="16"/>
  <c r="V3998" i="16"/>
  <c r="V3997" i="16"/>
  <c r="V3996" i="16"/>
  <c r="V3995" i="16"/>
  <c r="V3994" i="16"/>
  <c r="V3993" i="16"/>
  <c r="V3992" i="16"/>
  <c r="V3991" i="16"/>
  <c r="V3990" i="16"/>
  <c r="V3989" i="16"/>
  <c r="V3988" i="16"/>
  <c r="V3987" i="16"/>
  <c r="V3986" i="16"/>
  <c r="V3985" i="16"/>
  <c r="V3984" i="16"/>
  <c r="V3983" i="16"/>
  <c r="V3982" i="16"/>
  <c r="V3981" i="16"/>
  <c r="V3980" i="16"/>
  <c r="V3979" i="16"/>
  <c r="V3978" i="16"/>
  <c r="V3977" i="16"/>
  <c r="V3976" i="16"/>
  <c r="V3975" i="16"/>
  <c r="V3974" i="16"/>
  <c r="V3973" i="16"/>
  <c r="V3972" i="16"/>
  <c r="V3971" i="16"/>
  <c r="V3970" i="16"/>
  <c r="V3969" i="16"/>
  <c r="V3968" i="16"/>
  <c r="V3967" i="16"/>
  <c r="V3966" i="16"/>
  <c r="V3965" i="16"/>
  <c r="V3964" i="16"/>
  <c r="V3963" i="16"/>
  <c r="V3962" i="16"/>
  <c r="V3961" i="16"/>
  <c r="V3960" i="16"/>
  <c r="V3959" i="16"/>
  <c r="V3958" i="16"/>
  <c r="V3957" i="16"/>
  <c r="V3956" i="16"/>
  <c r="V3955" i="16"/>
  <c r="V3954" i="16"/>
  <c r="V3953" i="16"/>
  <c r="V3952" i="16"/>
  <c r="V3951" i="16"/>
  <c r="V3950" i="16"/>
  <c r="V3949" i="16"/>
  <c r="V3948" i="16"/>
  <c r="V3947" i="16"/>
  <c r="V3946" i="16"/>
  <c r="V3945" i="16"/>
  <c r="V3944" i="16"/>
  <c r="V3943" i="16"/>
  <c r="V3942" i="16"/>
  <c r="V3941" i="16"/>
  <c r="V3940" i="16"/>
  <c r="V3939" i="16"/>
  <c r="V3938" i="16"/>
  <c r="V3937" i="16"/>
  <c r="V3936" i="16"/>
  <c r="V3935" i="16"/>
  <c r="V3934" i="16"/>
  <c r="V3933" i="16"/>
  <c r="V3932" i="16"/>
  <c r="V3931" i="16"/>
  <c r="V3930" i="16"/>
  <c r="V3929" i="16"/>
  <c r="V3928" i="16"/>
  <c r="V3927" i="16"/>
  <c r="V3926" i="16"/>
  <c r="V3925" i="16"/>
  <c r="V3924" i="16"/>
  <c r="V3923" i="16"/>
  <c r="V3922" i="16"/>
  <c r="V3921" i="16"/>
  <c r="V3920" i="16"/>
  <c r="V3919" i="16"/>
  <c r="V3918" i="16"/>
  <c r="V3917" i="16"/>
  <c r="V3916" i="16"/>
  <c r="V3915" i="16"/>
  <c r="V3914" i="16"/>
  <c r="V3913" i="16"/>
  <c r="V3912" i="16"/>
  <c r="V3911" i="16"/>
  <c r="V3910" i="16"/>
  <c r="V3909" i="16"/>
  <c r="V3908" i="16"/>
  <c r="V3907" i="16"/>
  <c r="V3906" i="16"/>
  <c r="V3905" i="16"/>
  <c r="V3904" i="16"/>
  <c r="V3903" i="16"/>
  <c r="V3902" i="16"/>
  <c r="V3901" i="16"/>
  <c r="V3900" i="16"/>
  <c r="V3899" i="16"/>
  <c r="V3898" i="16"/>
  <c r="V3897" i="16"/>
  <c r="V3896" i="16"/>
  <c r="V3895" i="16"/>
  <c r="V3894" i="16"/>
  <c r="V3893" i="16"/>
  <c r="V3892" i="16"/>
  <c r="V3891" i="16"/>
  <c r="V3890" i="16"/>
  <c r="V3889" i="16"/>
  <c r="V3888" i="16"/>
  <c r="V3887" i="16"/>
  <c r="V3886" i="16"/>
  <c r="V3885" i="16"/>
  <c r="V3884" i="16"/>
  <c r="V3883" i="16"/>
  <c r="V3882" i="16"/>
  <c r="V3881" i="16"/>
  <c r="V3880" i="16"/>
  <c r="V3879" i="16"/>
  <c r="V3878" i="16"/>
  <c r="V3877" i="16"/>
  <c r="V3876" i="16"/>
  <c r="V3875" i="16"/>
  <c r="V3874" i="16"/>
  <c r="V3873" i="16"/>
  <c r="V3872" i="16"/>
  <c r="V3871" i="16"/>
  <c r="V3870" i="16"/>
  <c r="V3869" i="16"/>
  <c r="V3868" i="16"/>
  <c r="V3867" i="16"/>
  <c r="V3866" i="16"/>
  <c r="V3865" i="16"/>
  <c r="V3864" i="16"/>
  <c r="V3863" i="16"/>
  <c r="V3862" i="16"/>
  <c r="V3861" i="16"/>
  <c r="V3860" i="16"/>
  <c r="V3859" i="16"/>
  <c r="V3858" i="16"/>
  <c r="V3857" i="16"/>
  <c r="V3856" i="16"/>
  <c r="V3855" i="16"/>
  <c r="V3854" i="16"/>
  <c r="V3853" i="16"/>
  <c r="V3852" i="16"/>
  <c r="V3851" i="16"/>
  <c r="V3850" i="16"/>
  <c r="V3849" i="16"/>
  <c r="V3848" i="16"/>
  <c r="V3847" i="16"/>
  <c r="V3846" i="16"/>
  <c r="V3845" i="16"/>
  <c r="V3844" i="16"/>
  <c r="V3843" i="16"/>
  <c r="V3842" i="16"/>
  <c r="V3841" i="16"/>
  <c r="V3840" i="16"/>
  <c r="V3839" i="16"/>
  <c r="V3838" i="16"/>
  <c r="V3837" i="16"/>
  <c r="V3836" i="16"/>
  <c r="V3835" i="16"/>
  <c r="V3834" i="16"/>
  <c r="V3833" i="16"/>
  <c r="V3832" i="16"/>
  <c r="V3831" i="16"/>
  <c r="V3830" i="16"/>
  <c r="V3829" i="16"/>
  <c r="V3828" i="16"/>
  <c r="V3827" i="16"/>
  <c r="V3826" i="16"/>
  <c r="V3825" i="16"/>
  <c r="V3824" i="16"/>
  <c r="V3823" i="16"/>
  <c r="V3822" i="16"/>
  <c r="V3821" i="16"/>
  <c r="V3820" i="16"/>
  <c r="V3819" i="16"/>
  <c r="V3818" i="16"/>
  <c r="V3817" i="16"/>
  <c r="V3816" i="16"/>
  <c r="V3815" i="16"/>
  <c r="V3814" i="16"/>
  <c r="V3813" i="16"/>
  <c r="V3812" i="16"/>
  <c r="V3811" i="16"/>
  <c r="V3810" i="16"/>
  <c r="V3809" i="16"/>
  <c r="V3808" i="16"/>
  <c r="V3807" i="16"/>
  <c r="V3806" i="16"/>
  <c r="V3805" i="16"/>
  <c r="V3804" i="16"/>
  <c r="V3803" i="16"/>
  <c r="V3802" i="16"/>
  <c r="V3801" i="16"/>
  <c r="V3800" i="16"/>
  <c r="V3799" i="16"/>
  <c r="V3798" i="16"/>
  <c r="V3797" i="16"/>
  <c r="V3796" i="16"/>
  <c r="V3795" i="16"/>
  <c r="V3794" i="16"/>
  <c r="V3793" i="16"/>
  <c r="V3792" i="16"/>
  <c r="V3791" i="16"/>
  <c r="V3790" i="16"/>
  <c r="V3789" i="16"/>
  <c r="V3788" i="16"/>
  <c r="V3787" i="16"/>
  <c r="V3786" i="16"/>
  <c r="V3785" i="16"/>
  <c r="V3784" i="16"/>
  <c r="V3783" i="16"/>
  <c r="V3782" i="16"/>
  <c r="V3781" i="16"/>
  <c r="V3780" i="16"/>
  <c r="V3779" i="16"/>
  <c r="V3778" i="16"/>
  <c r="V3777" i="16"/>
  <c r="V3776" i="16"/>
  <c r="V3775" i="16"/>
  <c r="V3774" i="16"/>
  <c r="V3773" i="16"/>
  <c r="V3772" i="16"/>
  <c r="V3771" i="16"/>
  <c r="V3770" i="16"/>
  <c r="V3769" i="16"/>
  <c r="V3768" i="16"/>
  <c r="V3767" i="16"/>
  <c r="V3766" i="16"/>
  <c r="V3765" i="16"/>
  <c r="V3764" i="16"/>
  <c r="V3763" i="16"/>
  <c r="V3762" i="16"/>
  <c r="V3761" i="16"/>
  <c r="V3760" i="16"/>
  <c r="V3759" i="16"/>
  <c r="V3758" i="16"/>
  <c r="V3757" i="16"/>
  <c r="V3756" i="16"/>
  <c r="V3755" i="16"/>
  <c r="V3754" i="16"/>
  <c r="V3753" i="16"/>
  <c r="V3752" i="16"/>
  <c r="V3751" i="16"/>
  <c r="V3750" i="16"/>
  <c r="V3749" i="16"/>
  <c r="V3748" i="16"/>
  <c r="V3747" i="16"/>
  <c r="V3746" i="16"/>
  <c r="V3745" i="16"/>
  <c r="V3744" i="16"/>
  <c r="V3743" i="16"/>
  <c r="V3742" i="16"/>
  <c r="V3741" i="16"/>
  <c r="V3740" i="16"/>
  <c r="V3739" i="16"/>
  <c r="V3738" i="16"/>
  <c r="V3737" i="16"/>
  <c r="V3736" i="16"/>
  <c r="V3735" i="16"/>
  <c r="V3734" i="16"/>
  <c r="V3733" i="16"/>
  <c r="V3732" i="16"/>
  <c r="V3731" i="16"/>
  <c r="V3730" i="16"/>
  <c r="V3729" i="16"/>
  <c r="V3728" i="16"/>
  <c r="V3727" i="16"/>
  <c r="V3726" i="16"/>
  <c r="V3725" i="16"/>
  <c r="V3724" i="16"/>
  <c r="V3723" i="16"/>
  <c r="V3722" i="16"/>
  <c r="V3721" i="16"/>
  <c r="V3720" i="16"/>
  <c r="V3719" i="16"/>
  <c r="V3718" i="16"/>
  <c r="V3717" i="16"/>
  <c r="V3716" i="16"/>
  <c r="V3715" i="16"/>
  <c r="V3714" i="16"/>
  <c r="V3713" i="16"/>
  <c r="V3712" i="16"/>
  <c r="V3711" i="16"/>
  <c r="V3710" i="16"/>
  <c r="V3709" i="16"/>
  <c r="V3708" i="16"/>
  <c r="V3707" i="16"/>
  <c r="V3706" i="16"/>
  <c r="V3705" i="16"/>
  <c r="V3704" i="16"/>
  <c r="V3703" i="16"/>
  <c r="V3702" i="16"/>
  <c r="V3701" i="16"/>
  <c r="V3700" i="16"/>
  <c r="V3699" i="16"/>
  <c r="V3698" i="16"/>
  <c r="V3697" i="16"/>
  <c r="V3696" i="16"/>
  <c r="V3695" i="16"/>
  <c r="V3694" i="16"/>
  <c r="V3693" i="16"/>
  <c r="V3692" i="16"/>
  <c r="V3691" i="16"/>
  <c r="V3690" i="16"/>
  <c r="V3689" i="16"/>
  <c r="V3688" i="16"/>
  <c r="V3687" i="16"/>
  <c r="V3686" i="16"/>
  <c r="V3685" i="16"/>
  <c r="V3684" i="16"/>
  <c r="V3683" i="16"/>
  <c r="V3682" i="16"/>
  <c r="V3681" i="16"/>
  <c r="V3680" i="16"/>
  <c r="V3679" i="16"/>
  <c r="V3678" i="16"/>
  <c r="V3677" i="16"/>
  <c r="V3676" i="16"/>
  <c r="V3675" i="16"/>
  <c r="V3674" i="16"/>
  <c r="V3673" i="16"/>
  <c r="V3672" i="16"/>
  <c r="V3671" i="16"/>
  <c r="V3670" i="16"/>
  <c r="V3669" i="16"/>
  <c r="V3668" i="16"/>
  <c r="V3667" i="16"/>
  <c r="V3666" i="16"/>
  <c r="V3665" i="16"/>
  <c r="V3664" i="16"/>
  <c r="V3663" i="16"/>
  <c r="V3662" i="16"/>
  <c r="V3661" i="16"/>
  <c r="V3660" i="16"/>
  <c r="V3659" i="16"/>
  <c r="V3658" i="16"/>
  <c r="V3657" i="16"/>
  <c r="V3656" i="16"/>
  <c r="V3655" i="16"/>
  <c r="V3654" i="16"/>
  <c r="V3653" i="16"/>
  <c r="V3652" i="16"/>
  <c r="V3651" i="16"/>
  <c r="V3650" i="16"/>
  <c r="V3649" i="16"/>
  <c r="V3648" i="16"/>
  <c r="V3647" i="16"/>
  <c r="V3646" i="16"/>
  <c r="V3645" i="16"/>
  <c r="V3644" i="16"/>
  <c r="V3643" i="16"/>
  <c r="V3642" i="16"/>
  <c r="V3641" i="16"/>
  <c r="V3640" i="16"/>
  <c r="V3639" i="16"/>
  <c r="V3638" i="16"/>
  <c r="V3637" i="16"/>
  <c r="V3636" i="16"/>
  <c r="V3635" i="16"/>
  <c r="V3634" i="16"/>
  <c r="V3633" i="16"/>
  <c r="V3632" i="16"/>
  <c r="V3631" i="16"/>
  <c r="V3630" i="16"/>
  <c r="V3629" i="16"/>
  <c r="V3628" i="16"/>
  <c r="V3627" i="16"/>
  <c r="V3626" i="16"/>
  <c r="V3625" i="16"/>
  <c r="V3624" i="16"/>
  <c r="V3623" i="16"/>
  <c r="V3622" i="16"/>
  <c r="V3621" i="16"/>
  <c r="V3620" i="16"/>
  <c r="V3619" i="16"/>
  <c r="V3618" i="16"/>
  <c r="V3617" i="16"/>
  <c r="V3616" i="16"/>
  <c r="V3615" i="16"/>
  <c r="V3614" i="16"/>
  <c r="V3613" i="16"/>
  <c r="V3612" i="16"/>
  <c r="V3611" i="16"/>
  <c r="V3610" i="16"/>
  <c r="V3609" i="16"/>
  <c r="V3608" i="16"/>
  <c r="V3607" i="16"/>
  <c r="V3606" i="16"/>
  <c r="V3605" i="16"/>
  <c r="V3604" i="16"/>
  <c r="V3603" i="16"/>
  <c r="V3602" i="16"/>
  <c r="V3601" i="16"/>
  <c r="V3600" i="16"/>
  <c r="V3599" i="16"/>
  <c r="V3598" i="16"/>
  <c r="V3597" i="16"/>
  <c r="V3596" i="16"/>
  <c r="V3595" i="16"/>
  <c r="V3594" i="16"/>
  <c r="V3593" i="16"/>
  <c r="V3592" i="16"/>
  <c r="V3591" i="16"/>
  <c r="V3590" i="16"/>
  <c r="V3589" i="16"/>
  <c r="V3588" i="16"/>
  <c r="V3587" i="16"/>
  <c r="V3586" i="16"/>
  <c r="V3585" i="16"/>
  <c r="V3584" i="16"/>
  <c r="V3583" i="16"/>
  <c r="V3582" i="16"/>
  <c r="V3581" i="16"/>
  <c r="V3580" i="16"/>
  <c r="V3579" i="16"/>
  <c r="V3578" i="16"/>
  <c r="V3577" i="16"/>
  <c r="V3576" i="16"/>
  <c r="V3575" i="16"/>
  <c r="V3574" i="16"/>
  <c r="V3573" i="16"/>
  <c r="V3572" i="16"/>
  <c r="V3571" i="16"/>
  <c r="V3570" i="16"/>
  <c r="V3569" i="16"/>
  <c r="V3568" i="16"/>
  <c r="V3567" i="16"/>
  <c r="V3566" i="16"/>
  <c r="V3565" i="16"/>
  <c r="V3564" i="16"/>
  <c r="V3563" i="16"/>
  <c r="V3562" i="16"/>
  <c r="V3561" i="16"/>
  <c r="V3560" i="16"/>
  <c r="V3559" i="16"/>
  <c r="V3558" i="16"/>
  <c r="V3557" i="16"/>
  <c r="V3556" i="16"/>
  <c r="V3555" i="16"/>
  <c r="V3554" i="16"/>
  <c r="V3553" i="16"/>
  <c r="V3552" i="16"/>
  <c r="V3551" i="16"/>
  <c r="V3550" i="16"/>
  <c r="V3549" i="16"/>
  <c r="V3548" i="16"/>
  <c r="V3547" i="16"/>
  <c r="V3546" i="16"/>
  <c r="V3545" i="16"/>
  <c r="V3544" i="16"/>
  <c r="V3543" i="16"/>
  <c r="V3542" i="16"/>
  <c r="V3541" i="16"/>
  <c r="V3540" i="16"/>
  <c r="V3539" i="16"/>
  <c r="V3538" i="16"/>
  <c r="V3537" i="16"/>
  <c r="V3536" i="16"/>
  <c r="V3535" i="16"/>
  <c r="V3534" i="16"/>
  <c r="V3533" i="16"/>
  <c r="V3532" i="16"/>
  <c r="V3531" i="16"/>
  <c r="V3530" i="16"/>
  <c r="V3529" i="16"/>
  <c r="V3528" i="16"/>
  <c r="V3527" i="16"/>
  <c r="V3526" i="16"/>
  <c r="V3525" i="16"/>
  <c r="V3524" i="16"/>
  <c r="V3523" i="16"/>
  <c r="V3522" i="16"/>
  <c r="V3521" i="16"/>
  <c r="V3520" i="16"/>
  <c r="V3519" i="16"/>
  <c r="V3518" i="16"/>
  <c r="V3517" i="16"/>
  <c r="V3516" i="16"/>
  <c r="V3515" i="16"/>
  <c r="V3514" i="16"/>
  <c r="V3513" i="16"/>
  <c r="V3512" i="16"/>
  <c r="V3511" i="16"/>
  <c r="V3510" i="16"/>
  <c r="V3509" i="16"/>
  <c r="V3508" i="16"/>
  <c r="V3507" i="16"/>
  <c r="V3506" i="16"/>
  <c r="V3505" i="16"/>
  <c r="V3504" i="16"/>
  <c r="V3503" i="16"/>
  <c r="V3502" i="16"/>
  <c r="V3501" i="16"/>
  <c r="V3500" i="16"/>
  <c r="V3499" i="16"/>
  <c r="V3498" i="16"/>
  <c r="V3497" i="16"/>
  <c r="V3496" i="16"/>
  <c r="V3495" i="16"/>
  <c r="V3494" i="16"/>
  <c r="V3493" i="16"/>
  <c r="V3492" i="16"/>
  <c r="V3491" i="16"/>
  <c r="V3490" i="16"/>
  <c r="V3489" i="16"/>
  <c r="V3488" i="16"/>
  <c r="V3487" i="16"/>
  <c r="V3486" i="16"/>
  <c r="V3485" i="16"/>
  <c r="V3484" i="16"/>
  <c r="V3483" i="16"/>
  <c r="V3482" i="16"/>
  <c r="V3481" i="16"/>
  <c r="V3480" i="16"/>
  <c r="V3479" i="16"/>
  <c r="V3478" i="16"/>
  <c r="V3477" i="16"/>
  <c r="V3476" i="16"/>
  <c r="V3475" i="16"/>
  <c r="V3474" i="16"/>
  <c r="V3473" i="16"/>
  <c r="V3472" i="16"/>
  <c r="V3471" i="16"/>
  <c r="V3470" i="16"/>
  <c r="V3469" i="16"/>
  <c r="V3468" i="16"/>
  <c r="V3467" i="16"/>
  <c r="V3466" i="16"/>
  <c r="V3465" i="16"/>
  <c r="V3464" i="16"/>
  <c r="V3463" i="16"/>
  <c r="V3462" i="16"/>
  <c r="V3461" i="16"/>
  <c r="V3460" i="16"/>
  <c r="V3459" i="16"/>
  <c r="V3458" i="16"/>
  <c r="V3457" i="16"/>
  <c r="V3456" i="16"/>
  <c r="V3455" i="16"/>
  <c r="V3454" i="16"/>
  <c r="V3453" i="16"/>
  <c r="V3452" i="16"/>
  <c r="V3451" i="16"/>
  <c r="V3450" i="16"/>
  <c r="V3449" i="16"/>
  <c r="V3448" i="16"/>
  <c r="V3447" i="16"/>
  <c r="V3446" i="16"/>
  <c r="V3445" i="16"/>
  <c r="V3444" i="16"/>
  <c r="V3443" i="16"/>
  <c r="V3442" i="16"/>
  <c r="V3441" i="16"/>
  <c r="V3440" i="16"/>
  <c r="V3439" i="16"/>
  <c r="V3438" i="16"/>
  <c r="V3437" i="16"/>
  <c r="V3436" i="16"/>
  <c r="V3435" i="16"/>
  <c r="V3434" i="16"/>
  <c r="V3433" i="16"/>
  <c r="V3432" i="16"/>
  <c r="V3431" i="16"/>
  <c r="V3430" i="16"/>
  <c r="V3429" i="16"/>
  <c r="V3428" i="16"/>
  <c r="V3427" i="16"/>
  <c r="V3426" i="16"/>
  <c r="V3425" i="16"/>
  <c r="V3424" i="16"/>
  <c r="V3423" i="16"/>
  <c r="V3422" i="16"/>
  <c r="V3421" i="16"/>
  <c r="V3420" i="16"/>
  <c r="V3419" i="16"/>
  <c r="V3418" i="16"/>
  <c r="V3417" i="16"/>
  <c r="V3416" i="16"/>
  <c r="V3415" i="16"/>
  <c r="V3414" i="16"/>
  <c r="V3413" i="16"/>
  <c r="V3412" i="16"/>
  <c r="V3411" i="16"/>
  <c r="V3410" i="16"/>
  <c r="V3409" i="16"/>
  <c r="V3408" i="16"/>
  <c r="V3407" i="16"/>
  <c r="V3406" i="16"/>
  <c r="V3405" i="16"/>
  <c r="V3404" i="16"/>
  <c r="V3403" i="16"/>
  <c r="V3402" i="16"/>
  <c r="V3401" i="16"/>
  <c r="V3400" i="16"/>
  <c r="V2815" i="16"/>
  <c r="V2814" i="16"/>
  <c r="V2813" i="16"/>
  <c r="V2812" i="16"/>
  <c r="V2811" i="16"/>
  <c r="V2810" i="16"/>
  <c r="V2809" i="16"/>
  <c r="V2808" i="16"/>
  <c r="V2807" i="16"/>
  <c r="V2806" i="16"/>
  <c r="V2805" i="16"/>
  <c r="V2804" i="16"/>
  <c r="V2803" i="16"/>
  <c r="V2802" i="16"/>
  <c r="V2801" i="16"/>
  <c r="V2800" i="16"/>
  <c r="V2799" i="16"/>
  <c r="V2798" i="16"/>
  <c r="V2797" i="16"/>
  <c r="V2796" i="16"/>
  <c r="V2795" i="16"/>
  <c r="V2794" i="16"/>
  <c r="V2793" i="16"/>
  <c r="V2792" i="16"/>
  <c r="V2791" i="16"/>
  <c r="V2790" i="16"/>
  <c r="V2789" i="16"/>
  <c r="V2788" i="16"/>
  <c r="V2787" i="16"/>
  <c r="V2786" i="16"/>
  <c r="V2785" i="16"/>
  <c r="V2784" i="16"/>
  <c r="V2783" i="16"/>
  <c r="V2782" i="16"/>
  <c r="V2781" i="16"/>
  <c r="V2780" i="16"/>
  <c r="V2779" i="16"/>
  <c r="V2778" i="16"/>
  <c r="V2777" i="16"/>
  <c r="V2776" i="16"/>
  <c r="V2775" i="16"/>
  <c r="V2774" i="16"/>
  <c r="V2773" i="16"/>
  <c r="V2772" i="16"/>
  <c r="V2771" i="16"/>
  <c r="V2770" i="16"/>
  <c r="V2769" i="16"/>
  <c r="V2768" i="16"/>
  <c r="V2767" i="16"/>
  <c r="V2766" i="16"/>
  <c r="V2765" i="16"/>
  <c r="V2764" i="16"/>
  <c r="V2763" i="16"/>
  <c r="V2762" i="16"/>
  <c r="V2761" i="16"/>
  <c r="V2760" i="16"/>
  <c r="V2759" i="16"/>
  <c r="V2758" i="16"/>
  <c r="V2757" i="16"/>
  <c r="V2756" i="16"/>
  <c r="V2755" i="16"/>
  <c r="V2754" i="16"/>
  <c r="V2753" i="16"/>
  <c r="V2752" i="16"/>
  <c r="V2751" i="16"/>
  <c r="V2750" i="16"/>
  <c r="V2749" i="16"/>
  <c r="V2748" i="16"/>
  <c r="V2747" i="16"/>
  <c r="V2746" i="16"/>
  <c r="V2745" i="16"/>
  <c r="V2744" i="16"/>
  <c r="V2743" i="16"/>
  <c r="V2742" i="16"/>
  <c r="V2741" i="16"/>
  <c r="V2740" i="16"/>
  <c r="V2739" i="16"/>
  <c r="V2738" i="16"/>
  <c r="V2737" i="16"/>
  <c r="V2736" i="16"/>
  <c r="V2735" i="16"/>
  <c r="V2734" i="16"/>
  <c r="V2733" i="16"/>
  <c r="V2732" i="16"/>
  <c r="V2731" i="16"/>
  <c r="V2730" i="16"/>
  <c r="V2729" i="16"/>
  <c r="V2728" i="16"/>
  <c r="V2727" i="16"/>
  <c r="V2726" i="16"/>
  <c r="V2725" i="16"/>
  <c r="V2724" i="16"/>
  <c r="V2723" i="16"/>
  <c r="V2722" i="16"/>
  <c r="V2721" i="16"/>
  <c r="V2720" i="16"/>
  <c r="V2719" i="16"/>
  <c r="V2718" i="16"/>
  <c r="V2717" i="16"/>
  <c r="V2716" i="16"/>
  <c r="V2715" i="16"/>
  <c r="V2714" i="16"/>
  <c r="V2713" i="16"/>
  <c r="V2712" i="16"/>
  <c r="V2711" i="16"/>
  <c r="V2710" i="16"/>
  <c r="V2709" i="16"/>
  <c r="V2708" i="16"/>
  <c r="V2707" i="16"/>
  <c r="V2706" i="16"/>
  <c r="V2705" i="16"/>
  <c r="V2704" i="16"/>
  <c r="V2703" i="16"/>
  <c r="V2702" i="16"/>
  <c r="V2701" i="16"/>
  <c r="V2700" i="16"/>
  <c r="V2699" i="16"/>
  <c r="V2698" i="16"/>
  <c r="V2697" i="16"/>
  <c r="V2696" i="16"/>
  <c r="V2695" i="16"/>
  <c r="V2694" i="16"/>
  <c r="V2693" i="16"/>
  <c r="V2692" i="16"/>
  <c r="V2691" i="16"/>
  <c r="V2690" i="16"/>
  <c r="V2689" i="16"/>
  <c r="V2688" i="16"/>
  <c r="V2687" i="16"/>
  <c r="V2686" i="16"/>
  <c r="V2685" i="16"/>
  <c r="V2684" i="16"/>
  <c r="V2683" i="16"/>
  <c r="V2682" i="16"/>
  <c r="V2681" i="16"/>
  <c r="V2680" i="16"/>
  <c r="V2679" i="16"/>
  <c r="V2678" i="16"/>
  <c r="V2677" i="16"/>
  <c r="V2676" i="16"/>
  <c r="V2675" i="16"/>
  <c r="V2674" i="16"/>
  <c r="V2673" i="16"/>
  <c r="V2672" i="16"/>
  <c r="V2671" i="16"/>
  <c r="V2670" i="16"/>
  <c r="V2669" i="16"/>
  <c r="V2668" i="16"/>
  <c r="V2667" i="16"/>
  <c r="V2666" i="16"/>
  <c r="V2665" i="16"/>
  <c r="V2664" i="16"/>
  <c r="V2663" i="16"/>
  <c r="V2662" i="16"/>
  <c r="V2661" i="16"/>
  <c r="V2660" i="16"/>
  <c r="V2659" i="16"/>
  <c r="V2658" i="16"/>
  <c r="V2657" i="16"/>
  <c r="V2656" i="16"/>
  <c r="V2655" i="16"/>
  <c r="V2654" i="16"/>
  <c r="V2653" i="16"/>
  <c r="V2652" i="16"/>
  <c r="V2651" i="16"/>
  <c r="V2650" i="16"/>
  <c r="V2649" i="16"/>
  <c r="V2648" i="16"/>
  <c r="V2647" i="16"/>
  <c r="V2646" i="16"/>
  <c r="V2645" i="16"/>
  <c r="V2644" i="16"/>
  <c r="V2643" i="16"/>
  <c r="V2642" i="16"/>
  <c r="V2641" i="16"/>
  <c r="V2640" i="16"/>
  <c r="V2639" i="16"/>
  <c r="V2638" i="16"/>
  <c r="V2637" i="16"/>
  <c r="V2636" i="16"/>
  <c r="V2635" i="16"/>
  <c r="V2634" i="16"/>
  <c r="V2633" i="16"/>
  <c r="V2632" i="16"/>
  <c r="V2631" i="16"/>
  <c r="V2630" i="16"/>
  <c r="V2629" i="16"/>
  <c r="V2628" i="16"/>
  <c r="V2627" i="16"/>
  <c r="V2626" i="16"/>
  <c r="V2625" i="16"/>
  <c r="V2624" i="16"/>
  <c r="V2623" i="16"/>
  <c r="V2622" i="16"/>
  <c r="V2621" i="16"/>
  <c r="V2620" i="16"/>
  <c r="V2619" i="16"/>
  <c r="V2618" i="16"/>
  <c r="V2617" i="16"/>
  <c r="V2616" i="16"/>
  <c r="V2615" i="16"/>
  <c r="V2614" i="16"/>
  <c r="V2613" i="16"/>
  <c r="V2612" i="16"/>
  <c r="V2611" i="16"/>
  <c r="V2610" i="16"/>
  <c r="V2609" i="16"/>
  <c r="V2608" i="16"/>
  <c r="V2607" i="16"/>
  <c r="V2606" i="16"/>
  <c r="V2605" i="16"/>
  <c r="V2604" i="16"/>
  <c r="V2603" i="16"/>
  <c r="V2602" i="16"/>
  <c r="V2601" i="16"/>
  <c r="V2600" i="16"/>
  <c r="V2599" i="16"/>
  <c r="V2598" i="16"/>
  <c r="V2597" i="16"/>
  <c r="V2596" i="16"/>
  <c r="V2595" i="16"/>
  <c r="V2594" i="16"/>
  <c r="V2593" i="16"/>
  <c r="V2592" i="16"/>
  <c r="V2591" i="16"/>
  <c r="V2590" i="16"/>
  <c r="V2589" i="16"/>
  <c r="V2588" i="16"/>
  <c r="V2587" i="16"/>
  <c r="V2586" i="16"/>
  <c r="V2585" i="16"/>
  <c r="V2584" i="16"/>
  <c r="V2583" i="16"/>
  <c r="V2582" i="16"/>
  <c r="V2581" i="16"/>
  <c r="V2580" i="16"/>
  <c r="V2579" i="16"/>
  <c r="V2578" i="16"/>
  <c r="V2577" i="16"/>
  <c r="V2576" i="16"/>
  <c r="V2575" i="16"/>
  <c r="V2574" i="16"/>
  <c r="V2573" i="16"/>
  <c r="V2572" i="16"/>
  <c r="V2571" i="16"/>
  <c r="V2570" i="16"/>
  <c r="V2569" i="16"/>
  <c r="V2568" i="16"/>
  <c r="V2567" i="16"/>
  <c r="V2566" i="16"/>
  <c r="V2565" i="16"/>
  <c r="V2564" i="16"/>
  <c r="V2563" i="16"/>
  <c r="V2562" i="16"/>
  <c r="V2561" i="16"/>
  <c r="V2560" i="16"/>
  <c r="V2559" i="16"/>
  <c r="V2558" i="16"/>
  <c r="V2557" i="16"/>
  <c r="V2556" i="16"/>
  <c r="V2555" i="16"/>
  <c r="V2554" i="16"/>
  <c r="V2553" i="16"/>
  <c r="V2552" i="16"/>
  <c r="V2551" i="16"/>
  <c r="V2550" i="16"/>
  <c r="V2549" i="16"/>
  <c r="V2548" i="16"/>
  <c r="V2547" i="16"/>
  <c r="V2546" i="16"/>
  <c r="V2545" i="16"/>
  <c r="V2544" i="16"/>
  <c r="V2543" i="16"/>
  <c r="V2542" i="16"/>
  <c r="V2541" i="16"/>
  <c r="V2540" i="16"/>
  <c r="V2539" i="16"/>
  <c r="V2538" i="16"/>
  <c r="V2537" i="16"/>
  <c r="V2536" i="16"/>
  <c r="V2535" i="16"/>
  <c r="V2534" i="16"/>
  <c r="V2533" i="16"/>
  <c r="V2532" i="16"/>
  <c r="V2531" i="16"/>
  <c r="V2530" i="16"/>
  <c r="V2529" i="16"/>
  <c r="V2528" i="16"/>
  <c r="V2527" i="16"/>
  <c r="V2526" i="16"/>
  <c r="V2525" i="16"/>
  <c r="V2524" i="16"/>
  <c r="V2523" i="16"/>
  <c r="V2522" i="16"/>
  <c r="V2521" i="16"/>
  <c r="V2520" i="16"/>
  <c r="V2519" i="16"/>
  <c r="V2518" i="16"/>
  <c r="V2517" i="16"/>
  <c r="V2516" i="16"/>
  <c r="V2515" i="16"/>
  <c r="V2514" i="16"/>
  <c r="V2513" i="16"/>
  <c r="V2512" i="16"/>
  <c r="V2511" i="16"/>
  <c r="V2510" i="16"/>
  <c r="V2509" i="16"/>
  <c r="V2508" i="16"/>
  <c r="V2507" i="16"/>
  <c r="V2506" i="16"/>
  <c r="V2505" i="16"/>
  <c r="V2504" i="16"/>
  <c r="V2503" i="16"/>
  <c r="V2502" i="16"/>
  <c r="V2501" i="16"/>
  <c r="V2500" i="16"/>
  <c r="V2499" i="16"/>
  <c r="V2498" i="16"/>
  <c r="V2497" i="16"/>
  <c r="V2496" i="16"/>
  <c r="V2495" i="16"/>
  <c r="V2494" i="16"/>
  <c r="V2493" i="16"/>
  <c r="V2492" i="16"/>
  <c r="V2491" i="16"/>
  <c r="V2490" i="16"/>
  <c r="V2489" i="16"/>
  <c r="V2488" i="16"/>
  <c r="V2487" i="16"/>
  <c r="V2486" i="16"/>
  <c r="V2485" i="16"/>
  <c r="V2484" i="16"/>
  <c r="V2483" i="16"/>
  <c r="V2482" i="16"/>
  <c r="V2481" i="16"/>
  <c r="V2480" i="16"/>
  <c r="V2479" i="16"/>
  <c r="V2478" i="16"/>
  <c r="V2477" i="16"/>
  <c r="V2476" i="16"/>
  <c r="V2475" i="16"/>
  <c r="V2474" i="16"/>
  <c r="V2473" i="16"/>
  <c r="V2472" i="16"/>
  <c r="V2471" i="16"/>
  <c r="V2470" i="16"/>
  <c r="V2469" i="16"/>
  <c r="V2468" i="16"/>
  <c r="V2467" i="16"/>
  <c r="V2466" i="16"/>
  <c r="V2465" i="16"/>
  <c r="V2464" i="16"/>
  <c r="V2463" i="16"/>
  <c r="V2462" i="16"/>
  <c r="V2461" i="16"/>
  <c r="V2460" i="16"/>
  <c r="V2459" i="16"/>
  <c r="V2458" i="16"/>
  <c r="V2457" i="16"/>
  <c r="V2456" i="16"/>
  <c r="V2455" i="16"/>
  <c r="V2454" i="16"/>
  <c r="V2453" i="16"/>
  <c r="V2452" i="16"/>
  <c r="V2451" i="16"/>
  <c r="V2450" i="16"/>
  <c r="V2449" i="16"/>
  <c r="V2448" i="16"/>
  <c r="V2447" i="16"/>
  <c r="V2446" i="16"/>
  <c r="V2445" i="16"/>
  <c r="V2444" i="16"/>
  <c r="V2443" i="16"/>
  <c r="V2442" i="16"/>
  <c r="V2441" i="16"/>
  <c r="V2440" i="16"/>
  <c r="V2439" i="16"/>
  <c r="V2438" i="16"/>
  <c r="V2437" i="16"/>
  <c r="V2436" i="16"/>
  <c r="V2435" i="16"/>
  <c r="V2434" i="16"/>
  <c r="V2433" i="16"/>
  <c r="V2432" i="16"/>
  <c r="V2431" i="16"/>
  <c r="V2430" i="16"/>
  <c r="V2429" i="16"/>
  <c r="V2428" i="16"/>
  <c r="V2427" i="16"/>
  <c r="V2426" i="16"/>
  <c r="V2425" i="16"/>
  <c r="V2424" i="16"/>
  <c r="V2423" i="16"/>
  <c r="V2422" i="16"/>
  <c r="V2421" i="16"/>
  <c r="V2420" i="16"/>
  <c r="V2419" i="16"/>
  <c r="V2418" i="16"/>
  <c r="V2417" i="16"/>
  <c r="V2416" i="16"/>
  <c r="V3399" i="16"/>
  <c r="V3398" i="16"/>
  <c r="V3397" i="16"/>
  <c r="V3396" i="16"/>
  <c r="V3395" i="16"/>
  <c r="V3394" i="16"/>
  <c r="V3393" i="16"/>
  <c r="V3392" i="16"/>
  <c r="V3391" i="16"/>
  <c r="V3390" i="16"/>
  <c r="V3389" i="16"/>
  <c r="V3388" i="16"/>
  <c r="V3387" i="16"/>
  <c r="V3386" i="16"/>
  <c r="V3385" i="16"/>
  <c r="V3384" i="16"/>
  <c r="V3383" i="16"/>
  <c r="V3382" i="16"/>
  <c r="V3381" i="16"/>
  <c r="V3380" i="16"/>
  <c r="V3379" i="16"/>
  <c r="V3378" i="16"/>
  <c r="V3377" i="16"/>
  <c r="V3376" i="16"/>
  <c r="V3375" i="16"/>
  <c r="V3374" i="16"/>
  <c r="V3373" i="16"/>
  <c r="V3372" i="16"/>
  <c r="V3371" i="16"/>
  <c r="V3370" i="16"/>
  <c r="V3369" i="16"/>
  <c r="V3368" i="16"/>
  <c r="V3367" i="16"/>
  <c r="V3366" i="16"/>
  <c r="V3365" i="16"/>
  <c r="V3364" i="16"/>
  <c r="V3363" i="16"/>
  <c r="V3362" i="16"/>
  <c r="V3361" i="16"/>
  <c r="V3360" i="16"/>
  <c r="V3359" i="16"/>
  <c r="V3358" i="16"/>
  <c r="V3357" i="16"/>
  <c r="V3356" i="16"/>
  <c r="V3355" i="16"/>
  <c r="V3354" i="16"/>
  <c r="V3353" i="16"/>
  <c r="V3352" i="16"/>
  <c r="V3351" i="16"/>
  <c r="V3350" i="16"/>
  <c r="V3349" i="16"/>
  <c r="V3348" i="16"/>
  <c r="V3347" i="16"/>
  <c r="V3346" i="16"/>
  <c r="V3345" i="16"/>
  <c r="V3344" i="16"/>
  <c r="V3343" i="16"/>
  <c r="V3342" i="16"/>
  <c r="V3341" i="16"/>
  <c r="V3340" i="16"/>
  <c r="V3339" i="16"/>
  <c r="V3338" i="16"/>
  <c r="V3337" i="16"/>
  <c r="V3336" i="16"/>
  <c r="V3335" i="16"/>
  <c r="V3334" i="16"/>
  <c r="V3333" i="16"/>
  <c r="V3332" i="16"/>
  <c r="V3331" i="16"/>
  <c r="V3330" i="16"/>
  <c r="V3329" i="16"/>
  <c r="V3328" i="16"/>
  <c r="V3327" i="16"/>
  <c r="V3326" i="16"/>
  <c r="V3325" i="16"/>
  <c r="V3324" i="16"/>
  <c r="V3323" i="16"/>
  <c r="V3322" i="16"/>
  <c r="V3321" i="16"/>
  <c r="V3320" i="16"/>
  <c r="V3319" i="16"/>
  <c r="V3318" i="16"/>
  <c r="V3317" i="16"/>
  <c r="V3316" i="16"/>
  <c r="V3315" i="16"/>
  <c r="V3314" i="16"/>
  <c r="V3313" i="16"/>
  <c r="V3312" i="16"/>
  <c r="V3311" i="16"/>
  <c r="V3310" i="16"/>
  <c r="V3309" i="16"/>
  <c r="V3308" i="16"/>
  <c r="V3307" i="16"/>
  <c r="V3306" i="16"/>
  <c r="V3305" i="16"/>
  <c r="V3304" i="16"/>
  <c r="V3303" i="16"/>
  <c r="V3302" i="16"/>
  <c r="V3301" i="16"/>
  <c r="V3300" i="16"/>
  <c r="V3299" i="16"/>
  <c r="V3298" i="16"/>
  <c r="V3297" i="16"/>
  <c r="V3296" i="16"/>
  <c r="V3295" i="16"/>
  <c r="V3294" i="16"/>
  <c r="V3293" i="16"/>
  <c r="V3292" i="16"/>
  <c r="V3291" i="16"/>
  <c r="V3290" i="16"/>
  <c r="V3289" i="16"/>
  <c r="V3288" i="16"/>
  <c r="V3287" i="16"/>
  <c r="V3286" i="16"/>
  <c r="V3285" i="16"/>
  <c r="V3284" i="16"/>
  <c r="V3283" i="16"/>
  <c r="V3282" i="16"/>
  <c r="V3281" i="16"/>
  <c r="V3280" i="16"/>
  <c r="V3279" i="16"/>
  <c r="V3278" i="16"/>
  <c r="V3277" i="16"/>
  <c r="V3276" i="16"/>
  <c r="V3275" i="16"/>
  <c r="V3274" i="16"/>
  <c r="V3273" i="16"/>
  <c r="V3272" i="16"/>
  <c r="V3271" i="16"/>
  <c r="V3270" i="16"/>
  <c r="V3269" i="16"/>
  <c r="V3268" i="16"/>
  <c r="V3267" i="16"/>
  <c r="V3266" i="16"/>
  <c r="V3265" i="16"/>
  <c r="V3264" i="16"/>
  <c r="V3263" i="16"/>
  <c r="V3262" i="16"/>
  <c r="V3261" i="16"/>
  <c r="V3260" i="16"/>
  <c r="V3259" i="16"/>
  <c r="V3258" i="16"/>
  <c r="V3257" i="16"/>
  <c r="V3256" i="16"/>
  <c r="V3255" i="16"/>
  <c r="V3254" i="16"/>
  <c r="V3253" i="16"/>
  <c r="V3252" i="16"/>
  <c r="V3251" i="16"/>
  <c r="V3250" i="16"/>
  <c r="V3249" i="16"/>
  <c r="V3248" i="16"/>
  <c r="V3247" i="16"/>
  <c r="V3246" i="16"/>
  <c r="V3245" i="16"/>
  <c r="V3244" i="16"/>
  <c r="V3243" i="16"/>
  <c r="V3242" i="16"/>
  <c r="V3241" i="16"/>
  <c r="V3240" i="16"/>
  <c r="V3239" i="16"/>
  <c r="V3238" i="16"/>
  <c r="V3237" i="16"/>
  <c r="V3236" i="16"/>
  <c r="V3235" i="16"/>
  <c r="V3234" i="16"/>
  <c r="V3233" i="16"/>
  <c r="V3232" i="16"/>
  <c r="V3231" i="16"/>
  <c r="V3230" i="16"/>
  <c r="V3229" i="16"/>
  <c r="V3228" i="16"/>
  <c r="V3227" i="16"/>
  <c r="V3226" i="16"/>
  <c r="V3225" i="16"/>
  <c r="V3224" i="16"/>
  <c r="V3223" i="16"/>
  <c r="V3222" i="16"/>
  <c r="V3221" i="16"/>
  <c r="V3220" i="16"/>
  <c r="V3219" i="16"/>
  <c r="V3218" i="16"/>
  <c r="V3217" i="16"/>
  <c r="V3216" i="16"/>
  <c r="V3215" i="16"/>
  <c r="V3214" i="16"/>
  <c r="V3213" i="16"/>
  <c r="V3212" i="16"/>
  <c r="V3211" i="16"/>
  <c r="V3210" i="16"/>
  <c r="V3209" i="16"/>
  <c r="V3208" i="16"/>
  <c r="V3207" i="16"/>
  <c r="V3206" i="16"/>
  <c r="V3205" i="16"/>
  <c r="V3204" i="16"/>
  <c r="V3203" i="16"/>
  <c r="V3202" i="16"/>
  <c r="V3201" i="16"/>
  <c r="V3200" i="16"/>
  <c r="V3199" i="16"/>
  <c r="V3198" i="16"/>
  <c r="V3197" i="16"/>
  <c r="V3196" i="16"/>
  <c r="V3195" i="16"/>
  <c r="V3194" i="16"/>
  <c r="V3193" i="16"/>
  <c r="V3192" i="16"/>
  <c r="V3191" i="16"/>
  <c r="V3190" i="16"/>
  <c r="V3189" i="16"/>
  <c r="V3188" i="16"/>
  <c r="V3187" i="16"/>
  <c r="V3186" i="16"/>
  <c r="V3185" i="16"/>
  <c r="V3184" i="16"/>
  <c r="V3183" i="16"/>
  <c r="V3182" i="16"/>
  <c r="V3181" i="16"/>
  <c r="V3180" i="16"/>
  <c r="V3179" i="16"/>
  <c r="V3178" i="16"/>
  <c r="V3177" i="16"/>
  <c r="V3176" i="16"/>
  <c r="V3175" i="16"/>
  <c r="V3174" i="16"/>
  <c r="V3173" i="16"/>
  <c r="V3172" i="16"/>
  <c r="V3171" i="16"/>
  <c r="V3170" i="16"/>
  <c r="V3169" i="16"/>
  <c r="V3168" i="16"/>
  <c r="V3167" i="16"/>
  <c r="V3166" i="16"/>
  <c r="V3165" i="16"/>
  <c r="V3164" i="16"/>
  <c r="V3163" i="16"/>
  <c r="V3162" i="16"/>
  <c r="V3161" i="16"/>
  <c r="V3160" i="16"/>
  <c r="V3159" i="16"/>
  <c r="V3158" i="16"/>
  <c r="V3157" i="16"/>
  <c r="V3156" i="16"/>
  <c r="V3154" i="16"/>
  <c r="V3152" i="16"/>
  <c r="V3150" i="16"/>
  <c r="V3148" i="16"/>
  <c r="V3146" i="16"/>
  <c r="V3144" i="16"/>
  <c r="V3142" i="16"/>
  <c r="V3140" i="16"/>
  <c r="V3138" i="16"/>
  <c r="V3136" i="16"/>
  <c r="V3134" i="16"/>
  <c r="V3132" i="16"/>
  <c r="V3130" i="16"/>
  <c r="V3128" i="16"/>
  <c r="V3126" i="16"/>
  <c r="V3124" i="16"/>
  <c r="V3122" i="16"/>
  <c r="V3120" i="16"/>
  <c r="V3118" i="16"/>
  <c r="V3116" i="16"/>
  <c r="V3114" i="16"/>
  <c r="V3112" i="16"/>
  <c r="V3110" i="16"/>
  <c r="V3108" i="16"/>
  <c r="V3106" i="16"/>
  <c r="V3104" i="16"/>
  <c r="V3102" i="16"/>
  <c r="V3100" i="16"/>
  <c r="V3098" i="16"/>
  <c r="V3096" i="16"/>
  <c r="V3094" i="16"/>
  <c r="V3092" i="16"/>
  <c r="V3090" i="16"/>
  <c r="V3088" i="16"/>
  <c r="V3086" i="16"/>
  <c r="V3084" i="16"/>
  <c r="V3082" i="16"/>
  <c r="V3080" i="16"/>
  <c r="V3078" i="16"/>
  <c r="V3076" i="16"/>
  <c r="V3074" i="16"/>
  <c r="V3072" i="16"/>
  <c r="V3070" i="16"/>
  <c r="V3068" i="16"/>
  <c r="V3066" i="16"/>
  <c r="V3064" i="16"/>
  <c r="V3062" i="16"/>
  <c r="V3060" i="16"/>
  <c r="V3058" i="16"/>
  <c r="V3056" i="16"/>
  <c r="V3054" i="16"/>
  <c r="V3052" i="16"/>
  <c r="V3050" i="16"/>
  <c r="V3048" i="16"/>
  <c r="V3046" i="16"/>
  <c r="V3044" i="16"/>
  <c r="V3042" i="16"/>
  <c r="V3040" i="16"/>
  <c r="V3038" i="16"/>
  <c r="V3036" i="16"/>
  <c r="V3034" i="16"/>
  <c r="V3032" i="16"/>
  <c r="V3030" i="16"/>
  <c r="V3028" i="16"/>
  <c r="V3026" i="16"/>
  <c r="V3024" i="16"/>
  <c r="V3022" i="16"/>
  <c r="V3020" i="16"/>
  <c r="V3018" i="16"/>
  <c r="V3016" i="16"/>
  <c r="V3014" i="16"/>
  <c r="V3012" i="16"/>
  <c r="V3010" i="16"/>
  <c r="V3008" i="16"/>
  <c r="V3006" i="16"/>
  <c r="V3004" i="16"/>
  <c r="V3002" i="16"/>
  <c r="V3000" i="16"/>
  <c r="V2998" i="16"/>
  <c r="V2996" i="16"/>
  <c r="V2994" i="16"/>
  <c r="V2992" i="16"/>
  <c r="V2990" i="16"/>
  <c r="V2988" i="16"/>
  <c r="V2986" i="16"/>
  <c r="V2984" i="16"/>
  <c r="V2982" i="16"/>
  <c r="V2980" i="16"/>
  <c r="V2978" i="16"/>
  <c r="V2976" i="16"/>
  <c r="V2974" i="16"/>
  <c r="V2972" i="16"/>
  <c r="V2970" i="16"/>
  <c r="V2968" i="16"/>
  <c r="V2966" i="16"/>
  <c r="V2964" i="16"/>
  <c r="V2962" i="16"/>
  <c r="V2960" i="16"/>
  <c r="V2958" i="16"/>
  <c r="V2956" i="16"/>
  <c r="V2954" i="16"/>
  <c r="V2952" i="16"/>
  <c r="V2950" i="16"/>
  <c r="V2948" i="16"/>
  <c r="V2946" i="16"/>
  <c r="V2944" i="16"/>
  <c r="V2942" i="16"/>
  <c r="V2940" i="16"/>
  <c r="V2938" i="16"/>
  <c r="V2936" i="16"/>
  <c r="V2934" i="16"/>
  <c r="V2932" i="16"/>
  <c r="V2930" i="16"/>
  <c r="V2928" i="16"/>
  <c r="V2926" i="16"/>
  <c r="V2924" i="16"/>
  <c r="V2922" i="16"/>
  <c r="V2920" i="16"/>
  <c r="V2918" i="16"/>
  <c r="V2916" i="16"/>
  <c r="V2914" i="16"/>
  <c r="V2912" i="16"/>
  <c r="V2910" i="16"/>
  <c r="V2908" i="16"/>
  <c r="V2906" i="16"/>
  <c r="V2904" i="16"/>
  <c r="V2902" i="16"/>
  <c r="V2900" i="16"/>
  <c r="V2898" i="16"/>
  <c r="V2896" i="16"/>
  <c r="V2894" i="16"/>
  <c r="V2892" i="16"/>
  <c r="V2890" i="16"/>
  <c r="V2888" i="16"/>
  <c r="V2886" i="16"/>
  <c r="V2884" i="16"/>
  <c r="V2882" i="16"/>
  <c r="V2880" i="16"/>
  <c r="V2878" i="16"/>
  <c r="V2876" i="16"/>
  <c r="V2874" i="16"/>
  <c r="V2872" i="16"/>
  <c r="V2870" i="16"/>
  <c r="V2868" i="16"/>
  <c r="V2866" i="16"/>
  <c r="V2864" i="16"/>
  <c r="V2862" i="16"/>
  <c r="V2860" i="16"/>
  <c r="V2858" i="16"/>
  <c r="V2856" i="16"/>
  <c r="V2854" i="16"/>
  <c r="V2852" i="16"/>
  <c r="V2850" i="16"/>
  <c r="V2848" i="16"/>
  <c r="V2846" i="16"/>
  <c r="V2844" i="16"/>
  <c r="V2842" i="16"/>
  <c r="V2840" i="16"/>
  <c r="V2838" i="16"/>
  <c r="V2836" i="16"/>
  <c r="V2834" i="16"/>
  <c r="V2832" i="16"/>
  <c r="V2830" i="16"/>
  <c r="V2828" i="16"/>
  <c r="V2826" i="16"/>
  <c r="V2824" i="16"/>
  <c r="V2822" i="16"/>
  <c r="V2820" i="16"/>
  <c r="V2818" i="16"/>
  <c r="V2816" i="16"/>
  <c r="V3155" i="16"/>
  <c r="V3153" i="16"/>
  <c r="V3151" i="16"/>
  <c r="V3149" i="16"/>
  <c r="V3147" i="16"/>
  <c r="V3145" i="16"/>
  <c r="V3143" i="16"/>
  <c r="V3141" i="16"/>
  <c r="V3139" i="16"/>
  <c r="V3137" i="16"/>
  <c r="V3135" i="16"/>
  <c r="V3133" i="16"/>
  <c r="V3131" i="16"/>
  <c r="V3129" i="16"/>
  <c r="V3127" i="16"/>
  <c r="V3125" i="16"/>
  <c r="V3123" i="16"/>
  <c r="V3121" i="16"/>
  <c r="V3119" i="16"/>
  <c r="V3117" i="16"/>
  <c r="V3115" i="16"/>
  <c r="V3113" i="16"/>
  <c r="V3111" i="16"/>
  <c r="V3109" i="16"/>
  <c r="V3107" i="16"/>
  <c r="V3105" i="16"/>
  <c r="V3103" i="16"/>
  <c r="V3101" i="16"/>
  <c r="V3099" i="16"/>
  <c r="V3097" i="16"/>
  <c r="V3095" i="16"/>
  <c r="V3093" i="16"/>
  <c r="V3091" i="16"/>
  <c r="V3089" i="16"/>
  <c r="V3087" i="16"/>
  <c r="V3085" i="16"/>
  <c r="V3083" i="16"/>
  <c r="V3081" i="16"/>
  <c r="V3079" i="16"/>
  <c r="V3077" i="16"/>
  <c r="V3075" i="16"/>
  <c r="V3073" i="16"/>
  <c r="V3071" i="16"/>
  <c r="V3069" i="16"/>
  <c r="V3067" i="16"/>
  <c r="V3065" i="16"/>
  <c r="V3063" i="16"/>
  <c r="V3061" i="16"/>
  <c r="V3059" i="16"/>
  <c r="V3057" i="16"/>
  <c r="V3055" i="16"/>
  <c r="V3053" i="16"/>
  <c r="V3051" i="16"/>
  <c r="V3049" i="16"/>
  <c r="V3047" i="16"/>
  <c r="V3045" i="16"/>
  <c r="V3043" i="16"/>
  <c r="V3041" i="16"/>
  <c r="V3039" i="16"/>
  <c r="V3037" i="16"/>
  <c r="V3035" i="16"/>
  <c r="V3033" i="16"/>
  <c r="V3031" i="16"/>
  <c r="V3029" i="16"/>
  <c r="V3027" i="16"/>
  <c r="V3025" i="16"/>
  <c r="V3023" i="16"/>
  <c r="V3021" i="16"/>
  <c r="V3019" i="16"/>
  <c r="V3017" i="16"/>
  <c r="V3015" i="16"/>
  <c r="V3013" i="16"/>
  <c r="V3011" i="16"/>
  <c r="V3009" i="16"/>
  <c r="V3007" i="16"/>
  <c r="V3005" i="16"/>
  <c r="V3003" i="16"/>
  <c r="V3001" i="16"/>
  <c r="V2999" i="16"/>
  <c r="V2997" i="16"/>
  <c r="V2995" i="16"/>
  <c r="V2993" i="16"/>
  <c r="V2991" i="16"/>
  <c r="V2989" i="16"/>
  <c r="V2987" i="16"/>
  <c r="V2985" i="16"/>
  <c r="V2983" i="16"/>
  <c r="V2981" i="16"/>
  <c r="V2979" i="16"/>
  <c r="V2977" i="16"/>
  <c r="V2975" i="16"/>
  <c r="V2973" i="16"/>
  <c r="V2971" i="16"/>
  <c r="V2969" i="16"/>
  <c r="V2967" i="16"/>
  <c r="V2965" i="16"/>
  <c r="V2963" i="16"/>
  <c r="V2961" i="16"/>
  <c r="V2959" i="16"/>
  <c r="V2957" i="16"/>
  <c r="V2955" i="16"/>
  <c r="V2953" i="16"/>
  <c r="V2951" i="16"/>
  <c r="V2949" i="16"/>
  <c r="V2947" i="16"/>
  <c r="V2945" i="16"/>
  <c r="V2943" i="16"/>
  <c r="V2941" i="16"/>
  <c r="V2939" i="16"/>
  <c r="V2937" i="16"/>
  <c r="V2935" i="16"/>
  <c r="V2933" i="16"/>
  <c r="V2931" i="16"/>
  <c r="V2929" i="16"/>
  <c r="V2927" i="16"/>
  <c r="V2925" i="16"/>
  <c r="V2923" i="16"/>
  <c r="V2921" i="16"/>
  <c r="V2919" i="16"/>
  <c r="V2917" i="16"/>
  <c r="V2915" i="16"/>
  <c r="V2913" i="16"/>
  <c r="V2911" i="16"/>
  <c r="V2909" i="16"/>
  <c r="V2907" i="16"/>
  <c r="V2905" i="16"/>
  <c r="V2903" i="16"/>
  <c r="V2901" i="16"/>
  <c r="V2899" i="16"/>
  <c r="V2897" i="16"/>
  <c r="V2895" i="16"/>
  <c r="V2893" i="16"/>
  <c r="V2891" i="16"/>
  <c r="V2889" i="16"/>
  <c r="V2887" i="16"/>
  <c r="V2885" i="16"/>
  <c r="V2883" i="16"/>
  <c r="V2881" i="16"/>
  <c r="V2879" i="16"/>
  <c r="V2877" i="16"/>
  <c r="V2875" i="16"/>
  <c r="V2873" i="16"/>
  <c r="V2871" i="16"/>
  <c r="V2869" i="16"/>
  <c r="V2867" i="16"/>
  <c r="V2865" i="16"/>
  <c r="V2863" i="16"/>
  <c r="V2861" i="16"/>
  <c r="V2859" i="16"/>
  <c r="V2857" i="16"/>
  <c r="V2855" i="16"/>
  <c r="V2853" i="16"/>
  <c r="V2851" i="16"/>
  <c r="V2849" i="16"/>
  <c r="V2847" i="16"/>
  <c r="V2845" i="16"/>
  <c r="V2843" i="16"/>
  <c r="V2841" i="16"/>
  <c r="V2839" i="16"/>
  <c r="V2837" i="16"/>
  <c r="V2835" i="16"/>
  <c r="V2833" i="16"/>
  <c r="V2831" i="16"/>
  <c r="V2829" i="16"/>
  <c r="V2827" i="16"/>
  <c r="V2825" i="16"/>
  <c r="V2823" i="16"/>
  <c r="V2821" i="16"/>
  <c r="V2819" i="16"/>
  <c r="V2817" i="16"/>
  <c r="V2415" i="16"/>
  <c r="V2414" i="16"/>
  <c r="V2413" i="16"/>
  <c r="V2412" i="16"/>
  <c r="V2411" i="16"/>
  <c r="V2410" i="16"/>
  <c r="V2409" i="16"/>
  <c r="V2408" i="16"/>
  <c r="V2407" i="16"/>
  <c r="V2406" i="16"/>
  <c r="V2405" i="16"/>
  <c r="V2404" i="16"/>
  <c r="V2403" i="16"/>
  <c r="V2402" i="16"/>
  <c r="V2401" i="16"/>
  <c r="V2400" i="16"/>
  <c r="V2399" i="16"/>
  <c r="V2398" i="16"/>
  <c r="V2397" i="16"/>
  <c r="V2396" i="16"/>
  <c r="V2395" i="16"/>
  <c r="V2394" i="16"/>
  <c r="V2393" i="16"/>
  <c r="V2392" i="16"/>
  <c r="V2391" i="16"/>
  <c r="V2390" i="16"/>
  <c r="V2389" i="16"/>
  <c r="V2388" i="16"/>
  <c r="V2387" i="16"/>
  <c r="V2386" i="16"/>
  <c r="V2385" i="16"/>
  <c r="V2384" i="16"/>
  <c r="V2383" i="16"/>
  <c r="V2382" i="16"/>
  <c r="V2381" i="16"/>
  <c r="V2380" i="16"/>
  <c r="V2379" i="16"/>
  <c r="V2378" i="16"/>
  <c r="V2377" i="16"/>
  <c r="V2376" i="16"/>
  <c r="V2375" i="16"/>
  <c r="V2374" i="16"/>
  <c r="V2373" i="16"/>
  <c r="V2372" i="16"/>
  <c r="V2371" i="16"/>
  <c r="V2370" i="16"/>
  <c r="V2369" i="16"/>
  <c r="V2368" i="16"/>
  <c r="V2367" i="16"/>
  <c r="V2366" i="16"/>
  <c r="V2365" i="16"/>
  <c r="V2364" i="16"/>
  <c r="V2363" i="16"/>
  <c r="V2362" i="16"/>
  <c r="V2361" i="16"/>
  <c r="V2360" i="16"/>
  <c r="V2359" i="16"/>
  <c r="V2358" i="16"/>
  <c r="V2357" i="16"/>
  <c r="V2356" i="16"/>
  <c r="V2355" i="16"/>
  <c r="V2354" i="16"/>
  <c r="V2353" i="16"/>
  <c r="V2352" i="16"/>
  <c r="V2351" i="16"/>
  <c r="V2350" i="16"/>
  <c r="V2349" i="16"/>
  <c r="V2348" i="16"/>
  <c r="V2347" i="16"/>
  <c r="V2346" i="16"/>
  <c r="V2345" i="16"/>
  <c r="V2344" i="16"/>
  <c r="V2343" i="16"/>
  <c r="V2342" i="16"/>
  <c r="V2341" i="16"/>
  <c r="V2340" i="16"/>
  <c r="V2339" i="16"/>
  <c r="V2338" i="16"/>
  <c r="V2337" i="16"/>
  <c r="V2336" i="16"/>
  <c r="V2335" i="16"/>
  <c r="V2334" i="16"/>
  <c r="V2333" i="16"/>
  <c r="V2332" i="16"/>
  <c r="V2331" i="16"/>
  <c r="V2330" i="16"/>
  <c r="V2329" i="16"/>
  <c r="V2328" i="16"/>
  <c r="V2327" i="16"/>
  <c r="V2326" i="16"/>
  <c r="V2325" i="16"/>
  <c r="V2324" i="16"/>
  <c r="V2323" i="16"/>
  <c r="V2322" i="16"/>
  <c r="V2321" i="16"/>
  <c r="V2320" i="16"/>
  <c r="V2319" i="16"/>
  <c r="V2318" i="16"/>
  <c r="V2317" i="16"/>
  <c r="V2316" i="16"/>
  <c r="V2315" i="16"/>
  <c r="V2314" i="16"/>
  <c r="V2313" i="16"/>
  <c r="V2312" i="16"/>
  <c r="V2311" i="16"/>
  <c r="V2310" i="16"/>
  <c r="V2309" i="16"/>
  <c r="V2308" i="16"/>
  <c r="V2307" i="16"/>
  <c r="V2306" i="16"/>
  <c r="V2305" i="16"/>
  <c r="V2304" i="16"/>
  <c r="V2303" i="16"/>
  <c r="V2302" i="16"/>
  <c r="V2301" i="16"/>
  <c r="V2300" i="16"/>
  <c r="V2299" i="16"/>
  <c r="V2298" i="16"/>
  <c r="V2297" i="16"/>
  <c r="V2296" i="16"/>
  <c r="V2295" i="16"/>
  <c r="V2294" i="16"/>
  <c r="V2293" i="16"/>
  <c r="V2292" i="16"/>
  <c r="V2291" i="16"/>
  <c r="V2290" i="16"/>
  <c r="V2289" i="16"/>
  <c r="V2288" i="16"/>
  <c r="V2287" i="16"/>
  <c r="V2286" i="16"/>
  <c r="V2285" i="16"/>
  <c r="V2284" i="16"/>
  <c r="V2283" i="16"/>
  <c r="V2282" i="16"/>
  <c r="V2281" i="16"/>
  <c r="V2280" i="16"/>
  <c r="V2279" i="16"/>
  <c r="V2278" i="16"/>
  <c r="V2277" i="16"/>
  <c r="V2276" i="16"/>
  <c r="V2275" i="16"/>
  <c r="V2274" i="16"/>
  <c r="V2273" i="16"/>
  <c r="V2272" i="16"/>
  <c r="V2271" i="16"/>
  <c r="V2270" i="16"/>
  <c r="V2269" i="16"/>
  <c r="V2268" i="16"/>
  <c r="V2267" i="16"/>
  <c r="V2266" i="16"/>
  <c r="V2265" i="16"/>
  <c r="V2264" i="16"/>
  <c r="V2263" i="16"/>
  <c r="V2262" i="16"/>
  <c r="V2261" i="16"/>
  <c r="V2260" i="16"/>
  <c r="V2259" i="16"/>
  <c r="V2258" i="16"/>
  <c r="V2257" i="16"/>
  <c r="V2256" i="16"/>
  <c r="V2255" i="16"/>
  <c r="V2254" i="16"/>
  <c r="V2253" i="16"/>
  <c r="V2252" i="16"/>
  <c r="V2251" i="16"/>
  <c r="V2250" i="16"/>
  <c r="V2249" i="16"/>
  <c r="V2248" i="16"/>
  <c r="V2247" i="16"/>
  <c r="V2246" i="16"/>
  <c r="V2245" i="16"/>
  <c r="V2244" i="16"/>
  <c r="V2243" i="16"/>
  <c r="V2242" i="16"/>
  <c r="V2241" i="16"/>
  <c r="V2240" i="16"/>
  <c r="V2239" i="16"/>
  <c r="V2238" i="16"/>
  <c r="V2237" i="16"/>
  <c r="V2236" i="16"/>
  <c r="V2235" i="16"/>
  <c r="V2234" i="16"/>
  <c r="V2233" i="16"/>
  <c r="V2232" i="16"/>
  <c r="V2231" i="16"/>
  <c r="V2230" i="16"/>
  <c r="V2229" i="16"/>
  <c r="V2228" i="16"/>
  <c r="V2227" i="16"/>
  <c r="V2226" i="16"/>
  <c r="V2225" i="16"/>
  <c r="V2224" i="16"/>
  <c r="V2223" i="16"/>
  <c r="V2222" i="16"/>
  <c r="V2221" i="16"/>
  <c r="V2220" i="16"/>
  <c r="V2219" i="16"/>
  <c r="V2218" i="16"/>
  <c r="V2217" i="16"/>
  <c r="V2216" i="16"/>
  <c r="V2215" i="16"/>
  <c r="V2214" i="16"/>
  <c r="V2213" i="16"/>
  <c r="V2212" i="16"/>
  <c r="V2211" i="16"/>
  <c r="V2210" i="16"/>
  <c r="V2209" i="16"/>
  <c r="V2208" i="16"/>
  <c r="V2207" i="16"/>
  <c r="V2206" i="16"/>
  <c r="V2205" i="16"/>
  <c r="V2204" i="16"/>
  <c r="V2203" i="16"/>
  <c r="V2202" i="16"/>
  <c r="V2201" i="16"/>
  <c r="V2200" i="16"/>
  <c r="V2199" i="16"/>
  <c r="V2198" i="16"/>
  <c r="V2197" i="16"/>
  <c r="V2196" i="16"/>
  <c r="V2195" i="16"/>
  <c r="V2194" i="16"/>
  <c r="V2193" i="16"/>
  <c r="V2192" i="16"/>
  <c r="V2191" i="16"/>
  <c r="V2190" i="16"/>
  <c r="V2189" i="16"/>
  <c r="V2188" i="16"/>
  <c r="V2187" i="16"/>
  <c r="V2186" i="16"/>
  <c r="V2185" i="16"/>
  <c r="V2184" i="16"/>
  <c r="V2183" i="16"/>
  <c r="V2182" i="16"/>
  <c r="V2181" i="16"/>
  <c r="V2180" i="16"/>
  <c r="V2179" i="16"/>
  <c r="V2178" i="16"/>
  <c r="V2177" i="16"/>
  <c r="V2176" i="16"/>
  <c r="V2175" i="16"/>
  <c r="V2174" i="16"/>
  <c r="V2173" i="16"/>
  <c r="V2172" i="16"/>
  <c r="V2171" i="16"/>
  <c r="V2170" i="16"/>
  <c r="V2169" i="16"/>
  <c r="V2168" i="16"/>
  <c r="V2167" i="16"/>
  <c r="V2166" i="16"/>
  <c r="V2165" i="16"/>
  <c r="V2164" i="16"/>
  <c r="V2163" i="16"/>
  <c r="V2162" i="16"/>
  <c r="V2161" i="16"/>
  <c r="V2160" i="16"/>
  <c r="V2159" i="16"/>
  <c r="V2158" i="16"/>
  <c r="V2157" i="16"/>
  <c r="V2156" i="16"/>
  <c r="V2155" i="16"/>
  <c r="V2154" i="16"/>
  <c r="V2153" i="16"/>
  <c r="V2152" i="16"/>
  <c r="V2151" i="16"/>
  <c r="V2150" i="16"/>
  <c r="V2149" i="16"/>
  <c r="V2148" i="16"/>
  <c r="V2147" i="16"/>
  <c r="V2146" i="16"/>
  <c r="V2145" i="16"/>
  <c r="V2144" i="16"/>
  <c r="V2143" i="16"/>
  <c r="V2142" i="16"/>
  <c r="V2141" i="16"/>
  <c r="V2140" i="16"/>
  <c r="V2139" i="16"/>
  <c r="V2138" i="16"/>
  <c r="V2137" i="16"/>
  <c r="V2136" i="16"/>
  <c r="V2135" i="16"/>
  <c r="V2134" i="16"/>
  <c r="V2133" i="16"/>
  <c r="V2132" i="16"/>
  <c r="V2131" i="16"/>
  <c r="V2130" i="16"/>
  <c r="V2129" i="16"/>
  <c r="V2128" i="16"/>
  <c r="V2127" i="16"/>
  <c r="V2126" i="16"/>
  <c r="V2125" i="16"/>
  <c r="V2124" i="16"/>
  <c r="V2123" i="16"/>
  <c r="V2122" i="16"/>
  <c r="V2121" i="16"/>
  <c r="V2120" i="16"/>
  <c r="V2119" i="16"/>
  <c r="V2118" i="16"/>
  <c r="V2117" i="16"/>
  <c r="V2116" i="16"/>
  <c r="V2115" i="16"/>
  <c r="V2114" i="16"/>
  <c r="V2113" i="16"/>
  <c r="V2112" i="16"/>
  <c r="V2111" i="16"/>
  <c r="V2110" i="16"/>
  <c r="V2109" i="16"/>
  <c r="V2108" i="16"/>
  <c r="V2107" i="16"/>
  <c r="V2106" i="16"/>
  <c r="V2105" i="16"/>
  <c r="V2104" i="16"/>
  <c r="V2103" i="16"/>
  <c r="V2102" i="16"/>
  <c r="V2101" i="16"/>
  <c r="V2100" i="16"/>
  <c r="V2099" i="16"/>
  <c r="V2098" i="16"/>
  <c r="V2097" i="16"/>
  <c r="V2096" i="16"/>
  <c r="V2095" i="16"/>
  <c r="V2094" i="16"/>
  <c r="V2093" i="16"/>
  <c r="V2092" i="16"/>
  <c r="V2091" i="16"/>
  <c r="V2090" i="16"/>
  <c r="V2089" i="16"/>
  <c r="V2088" i="16"/>
  <c r="V2087" i="16"/>
  <c r="V2086" i="16"/>
  <c r="V2085" i="16"/>
  <c r="V2084" i="16"/>
  <c r="V2083" i="16"/>
  <c r="V2082" i="16"/>
  <c r="V2081" i="16"/>
  <c r="V2080" i="16"/>
  <c r="V2079" i="16"/>
  <c r="V2078" i="16"/>
  <c r="V2077" i="16"/>
  <c r="V2076" i="16"/>
  <c r="V2075" i="16"/>
  <c r="V2074" i="16"/>
  <c r="V2073" i="16"/>
  <c r="V2072" i="16"/>
  <c r="V2071" i="16"/>
  <c r="V2070" i="16"/>
  <c r="V2069" i="16"/>
  <c r="V2068" i="16"/>
  <c r="V2067" i="16"/>
  <c r="V2066" i="16"/>
  <c r="V2065" i="16"/>
  <c r="V2064" i="16"/>
  <c r="V2063" i="16"/>
  <c r="V2062" i="16"/>
  <c r="V2061" i="16"/>
  <c r="V2060" i="16"/>
  <c r="V2059" i="16"/>
  <c r="V2058" i="16"/>
  <c r="V2057" i="16"/>
  <c r="V2056" i="16"/>
  <c r="V2055" i="16"/>
  <c r="V2054" i="16"/>
  <c r="V2053" i="16"/>
  <c r="V2052" i="16"/>
  <c r="V2051" i="16"/>
  <c r="V2050" i="16"/>
  <c r="V2049" i="16"/>
  <c r="V2048" i="16"/>
  <c r="V2047" i="16"/>
  <c r="V2046" i="16"/>
  <c r="V2045" i="16"/>
  <c r="V2044" i="16"/>
  <c r="V2043" i="16"/>
  <c r="V2042" i="16"/>
  <c r="V2041" i="16"/>
  <c r="V2040" i="16"/>
  <c r="V2039" i="16"/>
  <c r="V2038" i="16"/>
  <c r="V2037" i="16"/>
  <c r="V2036" i="16"/>
  <c r="V2035" i="16"/>
  <c r="V2034" i="16"/>
  <c r="V2033" i="16"/>
  <c r="V2032" i="16"/>
  <c r="V2031" i="16"/>
  <c r="V2030" i="16"/>
  <c r="V2029" i="16"/>
  <c r="V2028" i="16"/>
  <c r="V2027" i="16"/>
  <c r="V2026" i="16"/>
  <c r="V2025" i="16"/>
  <c r="V2024" i="16"/>
  <c r="V2023" i="16"/>
  <c r="V2022" i="16"/>
  <c r="V2021" i="16"/>
  <c r="V2020" i="16"/>
  <c r="V2019" i="16"/>
  <c r="V2018" i="16"/>
  <c r="V2017" i="16"/>
  <c r="V2016" i="16"/>
  <c r="V2015" i="16"/>
  <c r="V2014" i="16"/>
  <c r="V2013" i="16"/>
  <c r="V2012" i="16"/>
  <c r="V2011" i="16"/>
  <c r="V2010" i="16"/>
  <c r="V2009" i="16"/>
  <c r="V2008" i="16"/>
  <c r="V2007" i="16"/>
  <c r="V2006" i="16"/>
  <c r="V2005" i="16"/>
  <c r="V2004" i="16"/>
  <c r="V2003" i="16"/>
  <c r="V2002" i="16"/>
  <c r="V2001" i="16"/>
  <c r="V2000" i="16"/>
  <c r="V1999" i="16"/>
  <c r="V1998" i="16"/>
  <c r="V1997" i="16"/>
  <c r="V1996" i="16"/>
  <c r="V1995" i="16"/>
  <c r="V1994" i="16"/>
  <c r="V1993" i="16"/>
  <c r="V1992" i="16"/>
  <c r="V1991" i="16"/>
  <c r="V1990" i="16"/>
  <c r="V1989" i="16"/>
  <c r="V1988" i="16"/>
  <c r="V1987" i="16"/>
  <c r="V1986" i="16"/>
  <c r="V1985" i="16"/>
  <c r="V1984" i="16"/>
  <c r="V1983" i="16"/>
  <c r="V1982" i="16"/>
  <c r="V1981" i="16"/>
  <c r="V1980" i="16"/>
  <c r="V1979" i="16"/>
  <c r="V1978" i="16"/>
  <c r="V1977" i="16"/>
  <c r="V1976" i="16"/>
  <c r="V1975" i="16"/>
  <c r="V1974" i="16"/>
  <c r="V1973" i="16"/>
  <c r="V1972" i="16"/>
  <c r="V1971" i="16"/>
  <c r="V1970" i="16"/>
  <c r="V1969" i="16"/>
  <c r="V1968" i="16"/>
  <c r="V1967" i="16"/>
  <c r="V1966" i="16"/>
  <c r="V1965" i="16"/>
  <c r="V1964" i="16"/>
  <c r="V1963" i="16"/>
  <c r="V1962" i="16"/>
  <c r="V1961" i="16"/>
  <c r="V1960" i="16"/>
  <c r="V1959" i="16"/>
  <c r="V1958" i="16"/>
  <c r="V1957" i="16"/>
  <c r="V1956" i="16"/>
  <c r="V1955" i="16"/>
  <c r="V1954" i="16"/>
  <c r="V1953" i="16"/>
  <c r="V1952" i="16"/>
  <c r="V1951" i="16"/>
  <c r="V1950" i="16"/>
  <c r="V1949" i="16"/>
  <c r="V1948" i="16"/>
  <c r="V1947" i="16"/>
  <c r="V1946" i="16"/>
  <c r="V1945" i="16"/>
  <c r="V1944" i="16"/>
  <c r="V1943" i="16"/>
  <c r="V1942" i="16"/>
  <c r="V1941" i="16"/>
  <c r="V1940" i="16"/>
  <c r="V1939" i="16"/>
  <c r="V1938" i="16"/>
  <c r="V1937" i="16"/>
  <c r="V1936" i="16"/>
  <c r="V1935" i="16"/>
  <c r="V1934" i="16"/>
  <c r="V1933" i="16"/>
  <c r="V1932" i="16"/>
  <c r="V1931" i="16"/>
  <c r="V1930" i="16"/>
  <c r="V1929" i="16"/>
  <c r="V1928" i="16"/>
  <c r="V1927" i="16"/>
  <c r="V1926" i="16"/>
  <c r="V1925" i="16"/>
  <c r="V1924" i="16"/>
  <c r="V1923" i="16"/>
  <c r="V1922" i="16"/>
  <c r="V1921" i="16"/>
  <c r="V1920" i="16"/>
  <c r="V1919" i="16"/>
  <c r="V1918" i="16"/>
  <c r="V1917" i="16"/>
  <c r="V1916" i="16"/>
  <c r="V1915" i="16"/>
  <c r="V1914" i="16"/>
  <c r="V1913" i="16"/>
  <c r="V1912" i="16"/>
  <c r="V1911" i="16"/>
  <c r="V1910" i="16"/>
  <c r="V1909" i="16"/>
  <c r="V1908" i="16"/>
  <c r="V1907" i="16"/>
  <c r="V1906" i="16"/>
  <c r="V1905" i="16"/>
  <c r="V1904" i="16"/>
  <c r="V1903" i="16"/>
  <c r="V1902" i="16"/>
  <c r="V1901" i="16"/>
  <c r="V1900" i="16"/>
  <c r="V1899" i="16"/>
  <c r="V1898" i="16"/>
  <c r="V1897" i="16"/>
  <c r="V1896" i="16"/>
  <c r="V1895" i="16"/>
  <c r="V1894" i="16"/>
  <c r="V1893" i="16"/>
  <c r="V1892" i="16"/>
  <c r="V1891" i="16"/>
  <c r="V1890" i="16"/>
  <c r="V1889" i="16"/>
  <c r="V1888" i="16"/>
  <c r="V1887" i="16"/>
  <c r="V1886" i="16"/>
  <c r="V1885" i="16"/>
  <c r="V1884" i="16"/>
  <c r="V1883" i="16"/>
  <c r="V1882" i="16"/>
  <c r="V1881" i="16"/>
  <c r="V1880" i="16"/>
  <c r="V1879" i="16"/>
  <c r="V1878" i="16"/>
  <c r="V1877" i="16"/>
  <c r="V1876" i="16"/>
  <c r="V1875" i="16"/>
  <c r="V1874" i="16"/>
  <c r="V1873" i="16"/>
  <c r="V1872" i="16"/>
  <c r="V1871" i="16"/>
  <c r="V1870" i="16"/>
  <c r="V1869" i="16"/>
  <c r="V1868" i="16"/>
  <c r="V1867" i="16"/>
  <c r="V1866" i="16"/>
  <c r="V1865" i="16"/>
  <c r="V1864" i="16"/>
  <c r="V1863" i="16"/>
  <c r="V1862" i="16"/>
  <c r="V1861" i="16"/>
  <c r="V1860" i="16"/>
  <c r="V1859" i="16"/>
  <c r="V1858" i="16"/>
  <c r="V1857" i="16"/>
  <c r="V1856" i="16"/>
  <c r="V1855" i="16"/>
  <c r="V1854" i="16"/>
  <c r="V1853" i="16"/>
  <c r="V1852" i="16"/>
  <c r="V1851" i="16"/>
  <c r="V1850" i="16"/>
  <c r="V1849" i="16"/>
  <c r="V1848" i="16"/>
  <c r="V1847" i="16"/>
  <c r="V1846" i="16"/>
  <c r="V1845" i="16"/>
  <c r="V1844" i="16"/>
  <c r="V1843" i="16"/>
  <c r="V1842" i="16"/>
  <c r="V1841" i="16"/>
  <c r="V1840" i="16"/>
  <c r="V1839" i="16"/>
  <c r="V1838" i="16"/>
  <c r="V1837" i="16"/>
  <c r="V1836" i="16"/>
  <c r="V1835" i="16"/>
  <c r="V1834" i="16"/>
  <c r="V1833" i="16"/>
  <c r="V1832" i="16"/>
  <c r="V1831" i="16"/>
  <c r="V1830" i="16"/>
  <c r="V1829" i="16"/>
  <c r="V1828" i="16"/>
  <c r="V1827" i="16"/>
  <c r="V1826" i="16"/>
  <c r="V1825" i="16"/>
  <c r="V1824" i="16"/>
  <c r="V1823" i="16"/>
  <c r="V1822" i="16"/>
  <c r="V1821" i="16"/>
  <c r="V1820" i="16"/>
  <c r="V1819" i="16"/>
  <c r="V1818" i="16"/>
  <c r="V1817" i="16"/>
  <c r="V1816" i="16"/>
  <c r="V1815" i="16"/>
  <c r="V1814" i="16"/>
  <c r="V1813" i="16"/>
  <c r="V1812" i="16"/>
  <c r="V1811" i="16"/>
  <c r="V1810" i="16"/>
  <c r="V1809" i="16"/>
  <c r="V1808" i="16"/>
  <c r="V1807" i="16"/>
  <c r="V1806" i="16"/>
  <c r="V1805" i="16"/>
  <c r="V1804" i="16"/>
  <c r="V1803" i="16"/>
  <c r="V1802" i="16"/>
  <c r="V1801" i="16"/>
  <c r="V1800" i="16"/>
  <c r="V1799" i="16"/>
  <c r="V1798" i="16"/>
  <c r="V1797" i="16"/>
  <c r="V1796" i="16"/>
  <c r="V1795" i="16"/>
  <c r="V1794" i="16"/>
  <c r="V1793" i="16"/>
  <c r="V1792" i="16"/>
  <c r="V1791" i="16"/>
  <c r="V1790" i="16"/>
  <c r="V1789" i="16"/>
  <c r="V1788" i="16"/>
  <c r="V1787" i="16"/>
  <c r="V1786" i="16"/>
  <c r="V1785" i="16"/>
  <c r="V1784" i="16"/>
  <c r="V1783" i="16"/>
  <c r="V1782" i="16"/>
  <c r="V1781" i="16"/>
  <c r="V1780" i="16"/>
  <c r="V1779" i="16"/>
  <c r="V1778" i="16"/>
  <c r="V1777" i="16"/>
  <c r="V1776" i="16"/>
  <c r="V1775" i="16"/>
  <c r="V1774" i="16"/>
  <c r="V1773" i="16"/>
  <c r="V1772" i="16"/>
  <c r="V1771" i="16"/>
  <c r="V1770" i="16"/>
  <c r="V1769" i="16"/>
  <c r="V1768" i="16"/>
  <c r="V1767" i="16"/>
  <c r="V1766" i="16"/>
  <c r="V1765" i="16"/>
  <c r="V1764" i="16"/>
  <c r="V1763" i="16"/>
  <c r="V1762" i="16"/>
  <c r="V1761" i="16"/>
  <c r="V1760" i="16"/>
  <c r="V1759" i="16"/>
  <c r="V1758" i="16"/>
  <c r="V1757" i="16"/>
  <c r="V1756" i="16"/>
  <c r="V1755" i="16"/>
  <c r="V1754" i="16"/>
  <c r="V1753" i="16"/>
  <c r="V1752" i="16"/>
  <c r="V1751" i="16"/>
  <c r="V1750" i="16"/>
  <c r="V1749" i="16"/>
  <c r="V1748" i="16"/>
  <c r="V1747" i="16"/>
  <c r="V1746" i="16"/>
  <c r="V1745" i="16"/>
  <c r="V1744" i="16"/>
  <c r="V1743" i="16"/>
  <c r="V1742" i="16"/>
  <c r="V1741" i="16"/>
  <c r="V1740" i="16"/>
  <c r="V1739" i="16"/>
  <c r="V1738" i="16"/>
  <c r="V1737" i="16"/>
  <c r="V1736" i="16"/>
  <c r="V1735" i="16"/>
  <c r="V1734" i="16"/>
  <c r="V1733" i="16"/>
  <c r="V1732" i="16"/>
  <c r="V1731" i="16"/>
  <c r="V1730" i="16"/>
  <c r="V1729" i="16"/>
  <c r="V1728" i="16"/>
  <c r="V1727" i="16"/>
  <c r="V1726" i="16"/>
  <c r="V1725" i="16"/>
  <c r="V1724" i="16"/>
  <c r="V1723" i="16"/>
  <c r="V1722" i="16"/>
  <c r="V1721" i="16"/>
  <c r="V1720" i="16"/>
  <c r="V1719" i="16"/>
  <c r="V1718" i="16"/>
  <c r="V1717" i="16"/>
  <c r="V1716" i="16"/>
  <c r="V1715" i="16"/>
  <c r="V1714" i="16"/>
  <c r="V1713" i="16"/>
  <c r="V1712" i="16"/>
  <c r="V1711" i="16"/>
  <c r="V1710" i="16"/>
  <c r="V1709" i="16"/>
  <c r="V1708" i="16"/>
  <c r="V1707" i="16"/>
  <c r="V1706" i="16"/>
  <c r="V1705" i="16"/>
  <c r="V1704" i="16"/>
  <c r="V1703" i="16"/>
  <c r="V1702" i="16"/>
  <c r="V1701" i="16"/>
  <c r="V1700" i="16"/>
  <c r="V1699" i="16"/>
  <c r="V1698" i="16"/>
  <c r="V1697" i="16"/>
  <c r="V1696" i="16"/>
  <c r="V1695" i="16"/>
  <c r="V1694" i="16"/>
  <c r="V1693" i="16"/>
  <c r="V1692" i="16"/>
  <c r="V1691" i="16"/>
  <c r="V1690" i="16"/>
  <c r="V1689" i="16"/>
  <c r="V1688" i="16"/>
  <c r="V1687" i="16"/>
  <c r="V1686" i="16"/>
  <c r="V1685" i="16"/>
  <c r="V1684" i="16"/>
  <c r="V1683" i="16"/>
  <c r="V1682" i="16"/>
  <c r="V1681" i="16"/>
  <c r="V1680" i="16"/>
  <c r="V1679" i="16"/>
  <c r="V1678" i="16"/>
  <c r="V1677" i="16"/>
  <c r="V1676" i="16"/>
  <c r="V1675" i="16"/>
  <c r="V1674" i="16"/>
  <c r="V1673" i="16"/>
  <c r="V1672" i="16"/>
  <c r="V1671" i="16"/>
  <c r="V1670" i="16"/>
  <c r="V1669" i="16"/>
  <c r="V1668" i="16"/>
  <c r="V1667" i="16"/>
  <c r="V1666" i="16"/>
  <c r="V1665" i="16"/>
  <c r="V1664" i="16"/>
  <c r="V1663" i="16"/>
  <c r="V1662" i="16"/>
  <c r="V1661" i="16"/>
  <c r="V1660" i="16"/>
  <c r="V1659" i="16"/>
  <c r="V1658" i="16"/>
  <c r="V1657" i="16"/>
  <c r="V1656" i="16"/>
  <c r="V1655" i="16"/>
  <c r="V1654" i="16"/>
  <c r="V1653" i="16"/>
  <c r="V1652" i="16"/>
  <c r="V1651" i="16"/>
  <c r="V1650" i="16"/>
  <c r="V1649" i="16"/>
  <c r="V1648" i="16"/>
  <c r="V1647" i="16"/>
  <c r="V1646" i="16"/>
  <c r="V1645" i="16"/>
  <c r="V1644" i="16"/>
  <c r="V1643" i="16"/>
  <c r="V1642" i="16"/>
  <c r="V1641" i="16"/>
  <c r="V1640" i="16"/>
  <c r="V1639" i="16"/>
  <c r="V1638" i="16"/>
  <c r="V1637" i="16"/>
  <c r="V1636" i="16"/>
  <c r="V1635" i="16"/>
  <c r="V1634" i="16"/>
  <c r="V1633" i="16"/>
  <c r="V1632" i="16"/>
  <c r="V1631" i="16"/>
  <c r="V1630" i="16"/>
  <c r="V1629" i="16"/>
  <c r="V1628" i="16"/>
  <c r="V1627" i="16"/>
  <c r="V1626" i="16"/>
  <c r="V1625" i="16"/>
  <c r="V1624" i="16"/>
  <c r="V1623" i="16"/>
  <c r="V1622" i="16"/>
  <c r="V1621" i="16"/>
  <c r="V1620" i="16"/>
  <c r="V1619" i="16"/>
  <c r="V1618" i="16"/>
  <c r="V1617" i="16"/>
  <c r="V1616" i="16"/>
  <c r="V1615" i="16"/>
  <c r="V1614" i="16"/>
  <c r="V1613" i="16"/>
  <c r="V1612" i="16"/>
  <c r="V1611" i="16"/>
  <c r="V1610" i="16"/>
  <c r="V1609" i="16"/>
  <c r="V1608" i="16"/>
  <c r="V1607" i="16"/>
  <c r="V1606" i="16"/>
  <c r="V1605" i="16"/>
  <c r="V1604" i="16"/>
  <c r="V1603" i="16"/>
  <c r="V1602" i="16"/>
  <c r="V1601" i="16"/>
  <c r="V1600" i="16"/>
  <c r="V1599" i="16"/>
  <c r="V1598" i="16"/>
  <c r="V1597" i="16"/>
  <c r="V1596" i="16"/>
  <c r="V1595" i="16"/>
  <c r="V1594" i="16"/>
  <c r="V1593" i="16"/>
  <c r="V1592" i="16"/>
  <c r="V1591" i="16"/>
  <c r="V1590" i="16"/>
  <c r="V1589" i="16"/>
  <c r="V1588" i="16"/>
  <c r="V1587" i="16"/>
  <c r="V1586" i="16"/>
  <c r="V1585" i="16"/>
  <c r="V1584" i="16"/>
  <c r="V1583" i="16"/>
  <c r="V1582" i="16"/>
  <c r="V1581" i="16"/>
  <c r="V1580" i="16"/>
  <c r="V1579" i="16"/>
  <c r="V1578" i="16"/>
  <c r="V1577" i="16"/>
  <c r="V1576" i="16"/>
  <c r="V1575" i="16"/>
  <c r="V1574" i="16"/>
  <c r="V1573" i="16"/>
  <c r="V1572" i="16"/>
  <c r="V1571" i="16"/>
  <c r="V1570" i="16"/>
  <c r="V1569" i="16"/>
  <c r="V1568" i="16"/>
  <c r="V1567" i="16"/>
  <c r="V1566" i="16"/>
  <c r="V1565" i="16"/>
  <c r="V1564" i="16"/>
  <c r="V1563" i="16"/>
  <c r="V1562" i="16"/>
  <c r="V1561" i="16"/>
  <c r="V1560" i="16"/>
  <c r="V1559" i="16"/>
  <c r="V1558" i="16"/>
  <c r="V1557" i="16"/>
  <c r="V1556" i="16"/>
  <c r="V1555" i="16"/>
  <c r="V1554" i="16"/>
  <c r="V1553" i="16"/>
  <c r="V1552" i="16"/>
  <c r="V1551" i="16"/>
  <c r="V1550" i="16"/>
  <c r="V1549" i="16"/>
  <c r="V1548" i="16"/>
  <c r="V1547" i="16"/>
  <c r="V1546" i="16"/>
  <c r="V1545" i="16"/>
  <c r="V1544" i="16"/>
  <c r="V1543" i="16"/>
  <c r="V1542" i="16"/>
  <c r="V1541" i="16"/>
  <c r="V1540" i="16"/>
  <c r="V1539" i="16"/>
  <c r="V1538" i="16"/>
  <c r="V1537" i="16"/>
  <c r="V1536" i="16"/>
  <c r="V1535" i="16"/>
  <c r="V1534" i="16"/>
  <c r="V1533" i="16"/>
  <c r="V1532" i="16"/>
  <c r="V1531" i="16"/>
  <c r="V1530" i="16"/>
  <c r="V1529" i="16"/>
  <c r="V1528" i="16"/>
  <c r="V1527" i="16"/>
  <c r="V1526" i="16"/>
  <c r="V1525" i="16"/>
  <c r="V1524" i="16"/>
  <c r="V1523" i="16"/>
  <c r="V1522" i="16"/>
  <c r="V1521" i="16"/>
  <c r="V1520" i="16"/>
  <c r="V1519" i="16"/>
  <c r="V1518" i="16"/>
  <c r="V1517" i="16"/>
  <c r="V1516" i="16"/>
  <c r="V1515" i="16"/>
  <c r="V1514" i="16"/>
  <c r="V1513" i="16"/>
  <c r="V1512" i="16"/>
  <c r="V1511" i="16"/>
  <c r="V1510" i="16"/>
  <c r="V1509" i="16"/>
  <c r="V1508" i="16"/>
  <c r="V1507" i="16"/>
  <c r="V1506" i="16"/>
  <c r="V1505" i="16"/>
  <c r="V1504" i="16"/>
  <c r="V1503" i="16"/>
  <c r="V1502" i="16"/>
  <c r="V1501" i="16"/>
  <c r="V1500" i="16"/>
  <c r="V1499" i="16"/>
  <c r="V1498" i="16"/>
  <c r="V1497" i="16"/>
  <c r="V1496" i="16"/>
  <c r="V1495" i="16"/>
  <c r="V1494" i="16"/>
  <c r="V1493" i="16"/>
  <c r="V1492" i="16"/>
  <c r="V1491" i="16"/>
  <c r="V1490" i="16"/>
  <c r="V1489" i="16"/>
  <c r="V1488" i="16"/>
  <c r="V1487" i="16"/>
  <c r="V1486" i="16"/>
  <c r="V1485" i="16"/>
  <c r="V1484" i="16"/>
  <c r="V1483" i="16"/>
  <c r="V1482" i="16"/>
  <c r="V1481" i="16"/>
  <c r="V1480" i="16"/>
  <c r="V1479" i="16"/>
  <c r="V1478" i="16"/>
  <c r="V1477" i="16"/>
  <c r="V1476" i="16"/>
  <c r="V1475" i="16"/>
  <c r="V1474" i="16"/>
  <c r="V1473" i="16"/>
  <c r="V1472" i="16"/>
  <c r="V1471" i="16"/>
  <c r="V1470" i="16"/>
  <c r="V1469" i="16"/>
  <c r="V1468" i="16"/>
  <c r="V1467" i="16"/>
  <c r="V1466" i="16"/>
  <c r="V1465" i="16"/>
  <c r="V1464" i="16"/>
  <c r="V1463" i="16"/>
  <c r="V1462" i="16"/>
  <c r="V1461" i="16"/>
  <c r="V1460" i="16"/>
  <c r="V1459" i="16"/>
  <c r="V1458" i="16"/>
  <c r="V1457" i="16"/>
  <c r="V1456" i="16"/>
  <c r="V1455" i="16"/>
  <c r="V1454" i="16"/>
  <c r="V1453" i="16"/>
  <c r="V1452" i="16"/>
  <c r="V1451" i="16"/>
  <c r="V1450" i="16"/>
  <c r="V1449" i="16"/>
  <c r="V1448" i="16"/>
  <c r="V1447" i="16"/>
  <c r="V1446" i="16"/>
  <c r="V1445" i="16"/>
  <c r="V1444" i="16"/>
  <c r="V1443" i="16"/>
  <c r="V1442" i="16"/>
  <c r="V1441" i="16"/>
  <c r="V1440" i="16"/>
  <c r="V1439" i="16"/>
  <c r="V1438" i="16"/>
  <c r="V1437" i="16"/>
  <c r="V1436" i="16"/>
  <c r="V1435" i="16"/>
  <c r="V1434" i="16"/>
  <c r="V1433" i="16"/>
  <c r="V1432" i="16"/>
  <c r="V1431" i="16"/>
  <c r="V1430" i="16"/>
  <c r="V1429" i="16"/>
  <c r="V1428" i="16"/>
  <c r="V1427" i="16"/>
  <c r="V1426" i="16"/>
  <c r="V1425" i="16"/>
  <c r="V1424" i="16"/>
  <c r="V1423" i="16"/>
  <c r="V1422" i="16"/>
  <c r="V1421" i="16"/>
  <c r="V1420" i="16"/>
  <c r="V1419" i="16"/>
  <c r="V1418" i="16"/>
  <c r="V1417" i="16"/>
  <c r="V1416" i="16"/>
  <c r="V1415" i="16"/>
  <c r="V1414" i="16"/>
  <c r="V1413" i="16"/>
  <c r="V1412" i="16"/>
  <c r="V1411" i="16"/>
  <c r="V1410" i="16"/>
  <c r="V1409" i="16"/>
  <c r="V1408" i="16"/>
  <c r="V1407" i="16"/>
  <c r="V1406" i="16"/>
  <c r="V1405" i="16"/>
  <c r="V1404" i="16"/>
  <c r="V1403" i="16"/>
  <c r="V1402" i="16"/>
  <c r="V1401" i="16"/>
  <c r="V1400" i="16"/>
  <c r="V1399" i="16"/>
  <c r="V1398" i="16"/>
  <c r="V1397" i="16"/>
  <c r="V1396" i="16"/>
  <c r="V1395" i="16"/>
  <c r="V1394" i="16"/>
  <c r="V1393" i="16"/>
  <c r="V1392" i="16"/>
  <c r="V1391" i="16"/>
  <c r="V1390" i="16"/>
  <c r="V1389" i="16"/>
  <c r="V1388" i="16"/>
  <c r="V1387" i="16"/>
  <c r="V1386" i="16"/>
  <c r="V1385" i="16"/>
  <c r="V1384" i="16"/>
  <c r="V1383" i="16"/>
  <c r="V1382" i="16"/>
  <c r="V1381" i="16"/>
  <c r="V1380" i="16"/>
  <c r="V1379" i="16"/>
  <c r="V1378" i="16"/>
  <c r="V1377" i="16"/>
  <c r="V1376" i="16"/>
  <c r="V1375" i="16"/>
  <c r="V1374" i="16"/>
  <c r="V1373" i="16"/>
  <c r="V1372" i="16"/>
  <c r="V1371" i="16"/>
  <c r="V1370" i="16"/>
  <c r="V1369" i="16"/>
  <c r="V1368" i="16"/>
  <c r="V1367" i="16"/>
  <c r="V1366" i="16"/>
  <c r="V1365" i="16"/>
  <c r="V1364" i="16"/>
  <c r="V1363" i="16"/>
  <c r="V1362" i="16"/>
  <c r="V1361" i="16"/>
  <c r="V1360" i="16"/>
  <c r="V1359" i="16"/>
  <c r="V1358" i="16"/>
  <c r="V1357" i="16"/>
  <c r="V1356" i="16"/>
  <c r="V1355" i="16"/>
  <c r="V1354" i="16"/>
  <c r="V1353" i="16"/>
  <c r="V1352" i="16"/>
  <c r="V1351" i="16"/>
  <c r="V1350" i="16"/>
  <c r="V1349" i="16"/>
  <c r="V1348" i="16"/>
  <c r="V1347" i="16"/>
  <c r="V1346" i="16"/>
  <c r="V1345" i="16"/>
  <c r="V1344" i="16"/>
  <c r="V1343" i="16"/>
  <c r="V1342" i="16"/>
  <c r="V1341" i="16"/>
  <c r="V1340" i="16"/>
  <c r="V1339" i="16"/>
  <c r="V1338" i="16"/>
  <c r="V1337" i="16"/>
  <c r="V1336" i="16"/>
  <c r="V1335" i="16"/>
  <c r="V1334" i="16"/>
  <c r="V1333" i="16"/>
  <c r="V1332" i="16"/>
  <c r="V1331" i="16"/>
  <c r="V1330" i="16"/>
  <c r="V1329" i="16"/>
  <c r="V1328" i="16"/>
  <c r="V1327" i="16"/>
  <c r="V1326" i="16"/>
  <c r="V1325" i="16"/>
  <c r="V1324" i="16"/>
  <c r="V1323" i="16"/>
  <c r="V1322" i="16"/>
  <c r="V1321" i="16"/>
  <c r="V1320" i="16"/>
  <c r="V1319" i="16"/>
  <c r="V1318" i="16"/>
  <c r="V1317" i="16"/>
  <c r="V1316" i="16"/>
  <c r="V1315" i="16"/>
  <c r="V1314" i="16"/>
  <c r="V1313" i="16"/>
  <c r="V1312" i="16"/>
  <c r="V1311" i="16"/>
  <c r="V1310" i="16"/>
  <c r="V1309" i="16"/>
  <c r="V1308" i="16"/>
  <c r="V1307" i="16"/>
  <c r="V1306" i="16"/>
  <c r="V1305" i="16"/>
  <c r="V1304" i="16"/>
  <c r="V1303" i="16"/>
  <c r="V1302" i="16"/>
  <c r="V1301" i="16"/>
  <c r="V1300" i="16"/>
  <c r="V1212" i="16"/>
  <c r="V1211" i="16"/>
  <c r="V1210" i="16"/>
  <c r="V1209" i="16"/>
  <c r="V1208" i="16"/>
  <c r="V1207" i="16"/>
  <c r="V1206" i="16"/>
  <c r="V1205" i="16"/>
  <c r="V1204" i="16"/>
  <c r="V1203" i="16"/>
  <c r="V1202" i="16"/>
  <c r="V1201" i="16"/>
  <c r="V1200" i="16"/>
  <c r="V1199" i="16"/>
  <c r="V1198" i="16"/>
  <c r="V1197" i="16"/>
  <c r="V1196" i="16"/>
  <c r="V1195" i="16"/>
  <c r="V1194" i="16"/>
  <c r="V1193" i="16"/>
  <c r="V1192" i="16"/>
  <c r="V1191" i="16"/>
  <c r="V1190" i="16"/>
  <c r="V1189" i="16"/>
  <c r="V1188" i="16"/>
  <c r="V1187" i="16"/>
  <c r="V1186" i="16"/>
  <c r="V1185" i="16"/>
  <c r="V1184" i="16"/>
  <c r="V1183" i="16"/>
  <c r="V1182" i="16"/>
  <c r="V1181" i="16"/>
  <c r="V1180" i="16"/>
  <c r="V1179" i="16"/>
  <c r="V1178" i="16"/>
  <c r="V1177" i="16"/>
  <c r="V1176" i="16"/>
  <c r="V1175" i="16"/>
  <c r="V1174" i="16"/>
  <c r="V1173" i="16"/>
  <c r="V1172" i="16"/>
  <c r="V1171" i="16"/>
  <c r="V1170" i="16"/>
  <c r="V1169" i="16"/>
  <c r="V1168" i="16"/>
  <c r="V1167" i="16"/>
  <c r="V1166" i="16"/>
  <c r="V1165" i="16"/>
  <c r="V1164" i="16"/>
  <c r="V1163" i="16"/>
  <c r="V1162" i="16"/>
  <c r="V1161" i="16"/>
  <c r="V1160" i="16"/>
  <c r="V1159" i="16"/>
  <c r="V1158" i="16"/>
  <c r="V1157" i="16"/>
  <c r="V1156" i="16"/>
  <c r="V1155" i="16"/>
  <c r="V1154" i="16"/>
  <c r="V1153" i="16"/>
  <c r="V1152" i="16"/>
  <c r="V1151" i="16"/>
  <c r="V1150" i="16"/>
  <c r="V1149" i="16"/>
  <c r="V1148" i="16"/>
  <c r="V1147" i="16"/>
  <c r="V1146" i="16"/>
  <c r="V1145" i="16"/>
  <c r="V1144" i="16"/>
  <c r="V1143" i="16"/>
  <c r="V1142" i="16"/>
  <c r="V1141" i="16"/>
  <c r="V1140" i="16"/>
  <c r="V1139" i="16"/>
  <c r="V1138" i="16"/>
  <c r="V1137" i="16"/>
  <c r="V1136" i="16"/>
  <c r="V1135" i="16"/>
  <c r="V1134" i="16"/>
  <c r="V1133" i="16"/>
  <c r="V1132" i="16"/>
  <c r="V1131" i="16"/>
  <c r="V1130" i="16"/>
  <c r="V1129" i="16"/>
  <c r="V1128" i="16"/>
  <c r="V1127" i="16"/>
  <c r="V1126" i="16"/>
  <c r="V1125" i="16"/>
  <c r="V1124" i="16"/>
  <c r="V1123" i="16"/>
  <c r="V1122" i="16"/>
  <c r="V1121" i="16"/>
  <c r="V1120" i="16"/>
  <c r="V1119" i="16"/>
  <c r="V1118" i="16"/>
  <c r="V1117" i="16"/>
  <c r="V1116" i="16"/>
  <c r="V1115" i="16"/>
  <c r="V1114" i="16"/>
  <c r="V1113" i="16"/>
  <c r="V1112" i="16"/>
  <c r="V1111" i="16"/>
  <c r="V1110" i="16"/>
  <c r="V1109" i="16"/>
  <c r="V1108" i="16"/>
  <c r="V1107" i="16"/>
  <c r="V1106" i="16"/>
  <c r="V1105" i="16"/>
  <c r="V1104" i="16"/>
  <c r="V1103" i="16"/>
  <c r="V1102" i="16"/>
  <c r="V1101" i="16"/>
  <c r="V1100" i="16"/>
  <c r="V1099" i="16"/>
  <c r="V1098" i="16"/>
  <c r="V1097" i="16"/>
  <c r="V1096" i="16"/>
  <c r="V1095" i="16"/>
  <c r="V1094" i="16"/>
  <c r="V1093" i="16"/>
  <c r="V1092" i="16"/>
  <c r="V1091" i="16"/>
  <c r="V1090" i="16"/>
  <c r="V1089" i="16"/>
  <c r="V1088" i="16"/>
  <c r="V1087" i="16"/>
  <c r="V1086" i="16"/>
  <c r="V1085" i="16"/>
  <c r="V1084" i="16"/>
  <c r="V1083" i="16"/>
  <c r="V1082" i="16"/>
  <c r="V1081" i="16"/>
  <c r="V1080" i="16"/>
  <c r="V1079" i="16"/>
  <c r="V1078" i="16"/>
  <c r="V1077" i="16"/>
  <c r="V1076" i="16"/>
  <c r="V1075" i="16"/>
  <c r="V1074" i="16"/>
  <c r="V1073" i="16"/>
  <c r="V1072" i="16"/>
  <c r="V1071" i="16"/>
  <c r="V1070" i="16"/>
  <c r="V1069" i="16"/>
  <c r="V1068" i="16"/>
  <c r="V1067" i="16"/>
  <c r="V1066" i="16"/>
  <c r="V1065" i="16"/>
  <c r="V1064" i="16"/>
  <c r="V1063" i="16"/>
  <c r="V1062" i="16"/>
  <c r="V1061" i="16"/>
  <c r="V1060" i="16"/>
  <c r="V1059" i="16"/>
  <c r="V1058" i="16"/>
  <c r="V1057" i="16"/>
  <c r="V1056" i="16"/>
  <c r="V1055" i="16"/>
  <c r="V1054" i="16"/>
  <c r="V1053" i="16"/>
  <c r="V1052" i="16"/>
  <c r="V1051" i="16"/>
  <c r="V1050" i="16"/>
  <c r="V1049" i="16"/>
  <c r="V1048" i="16"/>
  <c r="V1047" i="16"/>
  <c r="V1046" i="16"/>
  <c r="V1045" i="16"/>
  <c r="V1044" i="16"/>
  <c r="V1043" i="16"/>
  <c r="V1042" i="16"/>
  <c r="V1041" i="16"/>
  <c r="V1040" i="16"/>
  <c r="V1039" i="16"/>
  <c r="V1038" i="16"/>
  <c r="V1037" i="16"/>
  <c r="V1036" i="16"/>
  <c r="V1035" i="16"/>
  <c r="V1034" i="16"/>
  <c r="V1033" i="16"/>
  <c r="V1032" i="16"/>
  <c r="V1031" i="16"/>
  <c r="V1030" i="16"/>
  <c r="V1029" i="16"/>
  <c r="V1028" i="16"/>
  <c r="V1027" i="16"/>
  <c r="V1026" i="16"/>
  <c r="V1025" i="16"/>
  <c r="V1024" i="16"/>
  <c r="V1023" i="16"/>
  <c r="V1022" i="16"/>
  <c r="V1021" i="16"/>
  <c r="V1020" i="16"/>
  <c r="V1019" i="16"/>
  <c r="V1018" i="16"/>
  <c r="V1017" i="16"/>
  <c r="V1016" i="16"/>
  <c r="V1015" i="16"/>
  <c r="V1014" i="16"/>
  <c r="V1013" i="16"/>
  <c r="V1012" i="16"/>
  <c r="V1011" i="16"/>
  <c r="V1010" i="16"/>
  <c r="V1009" i="16"/>
  <c r="V1008" i="16"/>
  <c r="V1007" i="16"/>
  <c r="V1006" i="16"/>
  <c r="V1005" i="16"/>
  <c r="V1004" i="16"/>
  <c r="V1003" i="16"/>
  <c r="V1002" i="16"/>
  <c r="V1001" i="16"/>
  <c r="V1000" i="16"/>
  <c r="V999" i="16"/>
  <c r="V998" i="16"/>
  <c r="V997" i="16"/>
  <c r="V996" i="16"/>
  <c r="V995" i="16"/>
  <c r="V994" i="16"/>
  <c r="V993" i="16"/>
  <c r="V992" i="16"/>
  <c r="V991" i="16"/>
  <c r="V990" i="16"/>
  <c r="V989" i="16"/>
  <c r="V988" i="16"/>
  <c r="V987" i="16"/>
  <c r="V986" i="16"/>
  <c r="V985" i="16"/>
  <c r="V984" i="16"/>
  <c r="V983" i="16"/>
  <c r="V982" i="16"/>
  <c r="V981" i="16"/>
  <c r="V980" i="16"/>
  <c r="V979" i="16"/>
  <c r="V978" i="16"/>
  <c r="V977" i="16"/>
  <c r="V976" i="16"/>
  <c r="V975" i="16"/>
  <c r="V974" i="16"/>
  <c r="V973" i="16"/>
  <c r="V972" i="16"/>
  <c r="V971" i="16"/>
  <c r="V970" i="16"/>
  <c r="V969" i="16"/>
  <c r="V968" i="16"/>
  <c r="V967" i="16"/>
  <c r="V966" i="16"/>
  <c r="V965" i="16"/>
  <c r="V964" i="16"/>
  <c r="V963" i="16"/>
  <c r="V962" i="16"/>
  <c r="V961" i="16"/>
  <c r="V960" i="16"/>
  <c r="V959" i="16"/>
  <c r="V958" i="16"/>
  <c r="V957" i="16"/>
  <c r="V956" i="16"/>
  <c r="V955" i="16"/>
  <c r="V954" i="16"/>
  <c r="V953" i="16"/>
  <c r="V952" i="16"/>
  <c r="V951" i="16"/>
  <c r="V950" i="16"/>
  <c r="V949" i="16"/>
  <c r="V948" i="16"/>
  <c r="V947" i="16"/>
  <c r="V946" i="16"/>
  <c r="V945" i="16"/>
  <c r="V944" i="16"/>
  <c r="V943" i="16"/>
  <c r="V942" i="16"/>
  <c r="V941" i="16"/>
  <c r="V940" i="16"/>
  <c r="V939" i="16"/>
  <c r="V938" i="16"/>
  <c r="V937" i="16"/>
  <c r="V936" i="16"/>
  <c r="V935" i="16"/>
  <c r="V934" i="16"/>
  <c r="V933" i="16"/>
  <c r="V932" i="16"/>
  <c r="V931" i="16"/>
  <c r="V930" i="16"/>
  <c r="V929" i="16"/>
  <c r="V928" i="16"/>
  <c r="V927" i="16"/>
  <c r="V926" i="16"/>
  <c r="V925" i="16"/>
  <c r="V924" i="16"/>
  <c r="V923" i="16"/>
  <c r="V922" i="16"/>
  <c r="V921" i="16"/>
  <c r="V920" i="16"/>
  <c r="V919" i="16"/>
  <c r="V918" i="16"/>
  <c r="V917" i="16"/>
  <c r="V916" i="16"/>
  <c r="V915" i="16"/>
  <c r="V914" i="16"/>
  <c r="V913" i="16"/>
  <c r="V912" i="16"/>
  <c r="V911" i="16"/>
  <c r="V910" i="16"/>
  <c r="V909" i="16"/>
  <c r="V908" i="16"/>
  <c r="V907" i="16"/>
  <c r="V906" i="16"/>
  <c r="V905" i="16"/>
  <c r="V904" i="16"/>
  <c r="V903" i="16"/>
  <c r="V902" i="16"/>
  <c r="V901" i="16"/>
  <c r="V900" i="16"/>
  <c r="V899" i="16"/>
  <c r="V898" i="16"/>
  <c r="V897" i="16"/>
  <c r="V896" i="16"/>
  <c r="V895" i="16"/>
  <c r="V894" i="16"/>
  <c r="V893" i="16"/>
  <c r="V892" i="16"/>
  <c r="V891" i="16"/>
  <c r="V890" i="16"/>
  <c r="V889" i="16"/>
  <c r="V888" i="16"/>
  <c r="V887" i="16"/>
  <c r="V886" i="16"/>
  <c r="V885" i="16"/>
  <c r="V884" i="16"/>
  <c r="V883" i="16"/>
  <c r="V882" i="16"/>
  <c r="V881" i="16"/>
  <c r="V880" i="16"/>
  <c r="V879" i="16"/>
  <c r="V878" i="16"/>
  <c r="V877" i="16"/>
  <c r="V876" i="16"/>
  <c r="V875" i="16"/>
  <c r="V874" i="16"/>
  <c r="V873" i="16"/>
  <c r="V872" i="16"/>
  <c r="V871" i="16"/>
  <c r="V870" i="16"/>
  <c r="V869" i="16"/>
  <c r="V868" i="16"/>
  <c r="V867" i="16"/>
  <c r="V866" i="16"/>
  <c r="V865" i="16"/>
  <c r="V864" i="16"/>
  <c r="V863" i="16"/>
  <c r="V862" i="16"/>
  <c r="V861" i="16"/>
  <c r="V860" i="16"/>
  <c r="V859" i="16"/>
  <c r="V858" i="16"/>
  <c r="V857" i="16"/>
  <c r="V856" i="16"/>
  <c r="V855" i="16"/>
  <c r="V854" i="16"/>
  <c r="V853" i="16"/>
  <c r="V852" i="16"/>
  <c r="V851" i="16"/>
  <c r="V850" i="16"/>
  <c r="V849" i="16"/>
  <c r="V848" i="16"/>
  <c r="V847" i="16"/>
  <c r="V846" i="16"/>
  <c r="V845" i="16"/>
  <c r="V844" i="16"/>
  <c r="V843" i="16"/>
  <c r="V842" i="16"/>
  <c r="V841" i="16"/>
  <c r="V840" i="16"/>
  <c r="V839" i="16"/>
  <c r="V838" i="16"/>
  <c r="V837" i="16"/>
  <c r="V836" i="16"/>
  <c r="V835" i="16"/>
  <c r="V834" i="16"/>
  <c r="V833" i="16"/>
  <c r="V832" i="16"/>
  <c r="V831" i="16"/>
  <c r="V830" i="16"/>
  <c r="V829" i="16"/>
  <c r="V828" i="16"/>
  <c r="V827" i="16"/>
  <c r="V826" i="16"/>
  <c r="V825" i="16"/>
  <c r="V824" i="16"/>
  <c r="V823" i="16"/>
  <c r="V822" i="16"/>
  <c r="V821" i="16"/>
  <c r="V820" i="16"/>
  <c r="V819" i="16"/>
  <c r="V818" i="16"/>
  <c r="V817" i="16"/>
  <c r="V816" i="16"/>
  <c r="V815" i="16"/>
  <c r="V814" i="16"/>
  <c r="V813" i="16"/>
  <c r="V812" i="16"/>
  <c r="V811" i="16"/>
  <c r="V810" i="16"/>
  <c r="V809" i="16"/>
  <c r="V808" i="16"/>
  <c r="V807" i="16"/>
  <c r="V806" i="16"/>
  <c r="V805" i="16"/>
  <c r="V804" i="16"/>
  <c r="V803" i="16"/>
  <c r="V802" i="16"/>
  <c r="V801" i="16"/>
  <c r="V800" i="16"/>
  <c r="V799" i="16"/>
  <c r="V798" i="16"/>
  <c r="V797" i="16"/>
  <c r="V796" i="16"/>
  <c r="V795" i="16"/>
  <c r="V794" i="16"/>
  <c r="V793" i="16"/>
  <c r="V792" i="16"/>
  <c r="V791" i="16"/>
  <c r="V790" i="16"/>
  <c r="V789" i="16"/>
  <c r="V788" i="16"/>
  <c r="V787" i="16"/>
  <c r="V786" i="16"/>
  <c r="V785" i="16"/>
  <c r="V784" i="16"/>
  <c r="V783" i="16"/>
  <c r="V782" i="16"/>
  <c r="V781" i="16"/>
  <c r="V780" i="16"/>
  <c r="V779" i="16"/>
  <c r="V778" i="16"/>
  <c r="V777" i="16"/>
  <c r="V776" i="16"/>
  <c r="V775" i="16"/>
  <c r="V774" i="16"/>
  <c r="V773" i="16"/>
  <c r="V772" i="16"/>
  <c r="V771" i="16"/>
  <c r="V770" i="16"/>
  <c r="V769" i="16"/>
  <c r="V768" i="16"/>
  <c r="V767" i="16"/>
  <c r="V766" i="16"/>
  <c r="V765" i="16"/>
  <c r="V764" i="16"/>
  <c r="V763" i="16"/>
  <c r="V762" i="16"/>
  <c r="V761" i="16"/>
  <c r="V760" i="16"/>
  <c r="V759" i="16"/>
  <c r="V758" i="16"/>
  <c r="V757" i="16"/>
  <c r="V756" i="16"/>
  <c r="V755" i="16"/>
  <c r="V754" i="16"/>
  <c r="V753" i="16"/>
  <c r="V752" i="16"/>
  <c r="V751" i="16"/>
  <c r="V750" i="16"/>
  <c r="V749" i="16"/>
  <c r="V748" i="16"/>
  <c r="V747" i="16"/>
  <c r="V746" i="16"/>
  <c r="V745" i="16"/>
  <c r="V744" i="16"/>
  <c r="V743" i="16"/>
  <c r="V742" i="16"/>
  <c r="V741" i="16"/>
  <c r="V740" i="16"/>
  <c r="V739" i="16"/>
  <c r="V738" i="16"/>
  <c r="V737" i="16"/>
  <c r="V736" i="16"/>
  <c r="V735" i="16"/>
  <c r="V734" i="16"/>
  <c r="V733" i="16"/>
  <c r="V732" i="16"/>
  <c r="V731" i="16"/>
  <c r="V730" i="16"/>
  <c r="V729" i="16"/>
  <c r="V728" i="16"/>
  <c r="V727" i="16"/>
  <c r="V726" i="16"/>
  <c r="V725" i="16"/>
  <c r="V724" i="16"/>
  <c r="V723" i="16"/>
  <c r="V722" i="16"/>
  <c r="V721" i="16"/>
  <c r="V720" i="16"/>
  <c r="V719" i="16"/>
  <c r="V718" i="16"/>
  <c r="V717" i="16"/>
  <c r="V716" i="16"/>
  <c r="V715" i="16"/>
  <c r="V714" i="16"/>
  <c r="V713" i="16"/>
  <c r="V712" i="16"/>
  <c r="V711" i="16"/>
  <c r="V710" i="16"/>
  <c r="V709" i="16"/>
  <c r="V708" i="16"/>
  <c r="V707" i="16"/>
  <c r="V706" i="16"/>
  <c r="V705" i="16"/>
  <c r="V704" i="16"/>
  <c r="V703" i="16"/>
  <c r="V702" i="16"/>
  <c r="V701" i="16"/>
  <c r="V700" i="16"/>
  <c r="V699" i="16"/>
  <c r="V698" i="16"/>
  <c r="V697" i="16"/>
  <c r="V696" i="16"/>
  <c r="V695" i="16"/>
  <c r="V694" i="16"/>
  <c r="V693" i="16"/>
  <c r="V692" i="16"/>
  <c r="V691" i="16"/>
  <c r="V690" i="16"/>
  <c r="V689" i="16"/>
  <c r="V688" i="16"/>
  <c r="V687" i="16"/>
  <c r="V686" i="16"/>
  <c r="V685" i="16"/>
  <c r="V684" i="16"/>
  <c r="V683" i="16"/>
  <c r="V682" i="16"/>
  <c r="V681" i="16"/>
  <c r="V680" i="16"/>
  <c r="V679" i="16"/>
  <c r="V678" i="16"/>
  <c r="V677" i="16"/>
  <c r="V676" i="16"/>
  <c r="V675" i="16"/>
  <c r="V674" i="16"/>
  <c r="V673" i="16"/>
  <c r="V672" i="16"/>
  <c r="V671" i="16"/>
  <c r="V670" i="16"/>
  <c r="V669" i="16"/>
  <c r="V668" i="16"/>
  <c r="V667" i="16"/>
  <c r="V666" i="16"/>
  <c r="V665" i="16"/>
  <c r="V664" i="16"/>
  <c r="V663" i="16"/>
  <c r="V662" i="16"/>
  <c r="V661" i="16"/>
  <c r="V660" i="16"/>
  <c r="V659" i="16"/>
  <c r="V658" i="16"/>
  <c r="V657" i="16"/>
  <c r="V656" i="16"/>
  <c r="V655" i="16"/>
  <c r="V654" i="16"/>
  <c r="V653" i="16"/>
  <c r="V652" i="16"/>
  <c r="V651" i="16"/>
  <c r="V650" i="16"/>
  <c r="V649" i="16"/>
  <c r="V648" i="16"/>
  <c r="V647" i="16"/>
  <c r="V646" i="16"/>
  <c r="V645" i="16"/>
  <c r="V644" i="16"/>
  <c r="V643" i="16"/>
  <c r="V642" i="16"/>
  <c r="V641" i="16"/>
  <c r="V640" i="16"/>
  <c r="V639" i="16"/>
  <c r="V638" i="16"/>
  <c r="V637" i="16"/>
  <c r="V636" i="16"/>
  <c r="V635" i="16"/>
  <c r="V634" i="16"/>
  <c r="V633" i="16"/>
  <c r="V632" i="16"/>
  <c r="V631" i="16"/>
  <c r="V630" i="16"/>
  <c r="V629" i="16"/>
  <c r="V628" i="16"/>
  <c r="V627" i="16"/>
  <c r="V626" i="16"/>
  <c r="V625" i="16"/>
  <c r="V624" i="16"/>
  <c r="V623" i="16"/>
  <c r="V622" i="16"/>
  <c r="V621" i="16"/>
  <c r="V620" i="16"/>
  <c r="V619" i="16"/>
  <c r="V618" i="16"/>
  <c r="V617" i="16"/>
  <c r="V616" i="16"/>
  <c r="V615" i="16"/>
  <c r="V614" i="16"/>
  <c r="V613" i="16"/>
  <c r="V612" i="16"/>
  <c r="V611" i="16"/>
  <c r="V610" i="16"/>
  <c r="V609" i="16"/>
  <c r="V608" i="16"/>
  <c r="V607" i="16"/>
  <c r="V606" i="16"/>
  <c r="V605" i="16"/>
  <c r="V604" i="16"/>
  <c r="V603" i="16"/>
  <c r="V602" i="16"/>
  <c r="V601" i="16"/>
  <c r="V600" i="16"/>
  <c r="V599" i="16"/>
  <c r="V598" i="16"/>
  <c r="V597" i="16"/>
  <c r="V596" i="16"/>
  <c r="V595" i="16"/>
  <c r="V594" i="16"/>
  <c r="V593" i="16"/>
  <c r="V592" i="16"/>
  <c r="V591" i="16"/>
  <c r="V590" i="16"/>
  <c r="V589" i="16"/>
  <c r="V588" i="16"/>
  <c r="V587" i="16"/>
  <c r="V586" i="16"/>
  <c r="V585" i="16"/>
  <c r="V584" i="16"/>
  <c r="V583" i="16"/>
  <c r="V582" i="16"/>
  <c r="V581" i="16"/>
  <c r="V580" i="16"/>
  <c r="V579" i="16"/>
  <c r="V578" i="16"/>
  <c r="V577" i="16"/>
  <c r="V576" i="16"/>
  <c r="V575" i="16"/>
  <c r="V574" i="16"/>
  <c r="V573" i="16"/>
  <c r="V572" i="16"/>
  <c r="V571" i="16"/>
  <c r="V570" i="16"/>
  <c r="V569" i="16"/>
  <c r="V568" i="16"/>
  <c r="V567" i="16"/>
  <c r="V566" i="16"/>
  <c r="V565" i="16"/>
  <c r="V564" i="16"/>
  <c r="V563" i="16"/>
  <c r="V562" i="16"/>
  <c r="V561" i="16"/>
  <c r="V560" i="16"/>
  <c r="V559" i="16"/>
  <c r="V558" i="16"/>
  <c r="V557" i="16"/>
  <c r="V556" i="16"/>
  <c r="V555" i="16"/>
  <c r="V554" i="16"/>
  <c r="V553" i="16"/>
  <c r="V552" i="16"/>
  <c r="V551" i="16"/>
  <c r="V550" i="16"/>
  <c r="V549" i="16"/>
  <c r="V548" i="16"/>
  <c r="V547" i="16"/>
  <c r="V546" i="16"/>
  <c r="V545" i="16"/>
  <c r="V544" i="16"/>
  <c r="V543" i="16"/>
  <c r="V542" i="16"/>
  <c r="V541" i="16"/>
  <c r="V540" i="16"/>
  <c r="V539" i="16"/>
  <c r="V538" i="16"/>
  <c r="V537" i="16"/>
  <c r="V536" i="16"/>
  <c r="V535" i="16"/>
  <c r="V534" i="16"/>
  <c r="V533" i="16"/>
  <c r="V532" i="16"/>
  <c r="V531" i="16"/>
  <c r="V530" i="16"/>
  <c r="V529" i="16"/>
  <c r="V528" i="16"/>
  <c r="V527" i="16"/>
  <c r="V526" i="16"/>
  <c r="V525" i="16"/>
  <c r="V524" i="16"/>
  <c r="V523" i="16"/>
  <c r="V522" i="16"/>
  <c r="V521" i="16"/>
  <c r="V520" i="16"/>
  <c r="V519" i="16"/>
  <c r="V518" i="16"/>
  <c r="V517" i="16"/>
  <c r="V516" i="16"/>
  <c r="V515" i="16"/>
  <c r="V514" i="16"/>
  <c r="V513" i="16"/>
  <c r="V512" i="16"/>
  <c r="V511" i="16"/>
  <c r="V510" i="16"/>
  <c r="V509" i="16"/>
  <c r="V508" i="16"/>
  <c r="V507" i="16"/>
  <c r="V506" i="16"/>
  <c r="V505" i="16"/>
  <c r="V504" i="16"/>
  <c r="V503" i="16"/>
  <c r="V502" i="16"/>
  <c r="V501" i="16"/>
  <c r="V500" i="16"/>
  <c r="V499" i="16"/>
  <c r="V498" i="16"/>
  <c r="V497" i="16"/>
  <c r="V496" i="16"/>
  <c r="V495" i="16"/>
  <c r="V494" i="16"/>
  <c r="V493" i="16"/>
  <c r="V492" i="16"/>
  <c r="V491" i="16"/>
  <c r="V490" i="16"/>
  <c r="V489" i="16"/>
  <c r="V488" i="16"/>
  <c r="V487" i="16"/>
  <c r="V486" i="16"/>
  <c r="V485" i="16"/>
  <c r="V484" i="16"/>
  <c r="V483" i="16"/>
  <c r="V482" i="16"/>
  <c r="V481" i="16"/>
  <c r="V480" i="16"/>
  <c r="V479" i="16"/>
  <c r="V478" i="16"/>
  <c r="V477" i="16"/>
  <c r="V476" i="16"/>
  <c r="V475" i="16"/>
  <c r="V474" i="16"/>
  <c r="V473" i="16"/>
  <c r="V472" i="16"/>
  <c r="V471" i="16"/>
  <c r="V470" i="16"/>
  <c r="V469" i="16"/>
  <c r="V468" i="16"/>
  <c r="V467" i="16"/>
  <c r="V466" i="16"/>
  <c r="V465" i="16"/>
  <c r="V464" i="16"/>
  <c r="V463" i="16"/>
  <c r="V462" i="16"/>
  <c r="V461" i="16"/>
  <c r="V460" i="16"/>
  <c r="V459" i="16"/>
  <c r="V458" i="16"/>
  <c r="V457" i="16"/>
  <c r="V456" i="16"/>
  <c r="V455" i="16"/>
  <c r="V454" i="16"/>
  <c r="V453" i="16"/>
  <c r="V452" i="16"/>
  <c r="V451" i="16"/>
  <c r="V450" i="16"/>
  <c r="V449" i="16"/>
  <c r="V448" i="16"/>
  <c r="V447" i="16"/>
  <c r="V446" i="16"/>
  <c r="V445" i="16"/>
  <c r="V444" i="16"/>
  <c r="V443" i="16"/>
  <c r="V442" i="16"/>
  <c r="V441" i="16"/>
  <c r="V440" i="16"/>
  <c r="V439" i="16"/>
  <c r="V438" i="16"/>
  <c r="V437" i="16"/>
  <c r="V436" i="16"/>
  <c r="V435" i="16"/>
  <c r="V434" i="16"/>
  <c r="V433" i="16"/>
  <c r="V432" i="16"/>
  <c r="V431" i="16"/>
  <c r="V430" i="16"/>
  <c r="V429" i="16"/>
  <c r="V428" i="16"/>
  <c r="V427" i="16"/>
  <c r="V426" i="16"/>
  <c r="V425" i="16"/>
  <c r="V424" i="16"/>
  <c r="V423" i="16"/>
  <c r="V422" i="16"/>
  <c r="V421" i="16"/>
  <c r="V420" i="16"/>
  <c r="V419" i="16"/>
  <c r="V418" i="16"/>
  <c r="V417" i="16"/>
  <c r="V416" i="16"/>
  <c r="V415" i="16"/>
  <c r="V414" i="16"/>
  <c r="V413" i="16"/>
  <c r="V412" i="16"/>
  <c r="V411" i="16"/>
  <c r="V410" i="16"/>
  <c r="V409" i="16"/>
  <c r="V408" i="16"/>
  <c r="V407" i="16"/>
  <c r="V406" i="16"/>
  <c r="V405" i="16"/>
  <c r="V404" i="16"/>
  <c r="V403" i="16"/>
  <c r="V402" i="16"/>
  <c r="V401" i="16"/>
  <c r="V400" i="16"/>
  <c r="V399" i="16"/>
  <c r="V398" i="16"/>
  <c r="V397" i="16"/>
  <c r="V396" i="16"/>
  <c r="V395" i="16"/>
  <c r="V394" i="16"/>
  <c r="V393" i="16"/>
  <c r="V392" i="16"/>
  <c r="V391" i="16"/>
  <c r="V390" i="16"/>
  <c r="V389" i="16"/>
  <c r="V388" i="16"/>
  <c r="V387" i="16"/>
  <c r="V386" i="16"/>
  <c r="V385" i="16"/>
  <c r="V384" i="16"/>
  <c r="V383" i="16"/>
  <c r="V382" i="16"/>
  <c r="V381" i="16"/>
  <c r="V380" i="16"/>
  <c r="V379" i="16"/>
  <c r="V378" i="16"/>
  <c r="V377" i="16"/>
  <c r="V376" i="16"/>
  <c r="V375" i="16"/>
  <c r="V374" i="16"/>
  <c r="V373" i="16"/>
  <c r="V372" i="16"/>
  <c r="V371" i="16"/>
  <c r="V370" i="16"/>
  <c r="V369" i="16"/>
  <c r="V368" i="16"/>
  <c r="V367" i="16"/>
  <c r="V366" i="16"/>
  <c r="V365" i="16"/>
  <c r="V364" i="16"/>
  <c r="V363" i="16"/>
  <c r="V362" i="16"/>
  <c r="V361" i="16"/>
  <c r="V360" i="16"/>
  <c r="V359" i="16"/>
  <c r="V358" i="16"/>
  <c r="V357" i="16"/>
  <c r="V356" i="16"/>
  <c r="V355" i="16"/>
  <c r="V354" i="16"/>
  <c r="V353" i="16"/>
  <c r="V352" i="16"/>
  <c r="V351" i="16"/>
  <c r="V350" i="16"/>
  <c r="V349" i="16"/>
  <c r="V348" i="16"/>
  <c r="V347" i="16"/>
  <c r="V346" i="16"/>
  <c r="V345" i="16"/>
  <c r="V344" i="16"/>
  <c r="V343" i="16"/>
  <c r="V342" i="16"/>
  <c r="V341" i="16"/>
  <c r="V340" i="16"/>
  <c r="V339" i="16"/>
  <c r="V338" i="16"/>
  <c r="V337" i="16"/>
  <c r="V336" i="16"/>
  <c r="V335" i="16"/>
  <c r="V334" i="16"/>
  <c r="V333" i="16"/>
  <c r="V332" i="16"/>
  <c r="V331" i="16"/>
  <c r="V330" i="16"/>
  <c r="V329" i="16"/>
  <c r="V328" i="16"/>
  <c r="V327" i="16"/>
  <c r="V326" i="16"/>
  <c r="V325" i="16"/>
  <c r="V324" i="16"/>
  <c r="V323" i="16"/>
  <c r="V322" i="16"/>
  <c r="V321" i="16"/>
  <c r="V320" i="16"/>
  <c r="V319" i="16"/>
  <c r="V318" i="16"/>
  <c r="V317" i="16"/>
  <c r="V316" i="16"/>
  <c r="V315" i="16"/>
  <c r="V314" i="16"/>
  <c r="V313" i="16"/>
  <c r="V312" i="16"/>
  <c r="V311" i="16"/>
  <c r="V310" i="16"/>
  <c r="V309" i="16"/>
  <c r="V308" i="16"/>
  <c r="V307" i="16"/>
  <c r="V306" i="16"/>
  <c r="V305" i="16"/>
  <c r="V304" i="16"/>
  <c r="V303" i="16"/>
  <c r="V302" i="16"/>
  <c r="V301" i="16"/>
  <c r="V300" i="16"/>
  <c r="V299" i="16"/>
  <c r="V298" i="16"/>
  <c r="V297" i="16"/>
  <c r="V296" i="16"/>
  <c r="V295" i="16"/>
  <c r="V294" i="16"/>
  <c r="V293" i="16"/>
  <c r="V292" i="16"/>
  <c r="V291" i="16"/>
  <c r="V290" i="16"/>
  <c r="V289" i="16"/>
  <c r="V288" i="16"/>
  <c r="V287" i="16"/>
  <c r="V286" i="16"/>
  <c r="V285" i="16"/>
  <c r="V284" i="16"/>
  <c r="V283" i="16"/>
  <c r="V282" i="16"/>
  <c r="V281" i="16"/>
  <c r="V280" i="16"/>
  <c r="V279" i="16"/>
  <c r="V278" i="16"/>
  <c r="V277" i="16"/>
  <c r="V276" i="16"/>
  <c r="V275" i="16"/>
  <c r="V274" i="16"/>
  <c r="V273" i="16"/>
  <c r="V272" i="16"/>
  <c r="V271" i="16"/>
  <c r="V270" i="16"/>
  <c r="V269" i="16"/>
  <c r="V268" i="16"/>
  <c r="V267" i="16"/>
  <c r="V266" i="16"/>
  <c r="V265" i="16"/>
  <c r="V264" i="16"/>
  <c r="V263" i="16"/>
  <c r="V262" i="16"/>
  <c r="V261" i="16"/>
  <c r="V260" i="16"/>
  <c r="V259" i="16"/>
  <c r="V258" i="16"/>
  <c r="V257" i="16"/>
  <c r="V256" i="16"/>
  <c r="V255" i="16"/>
  <c r="V254" i="16"/>
  <c r="V253" i="16"/>
  <c r="V252" i="16"/>
  <c r="V251" i="16"/>
  <c r="V250" i="16"/>
  <c r="V249" i="16"/>
  <c r="V248" i="16"/>
  <c r="V247" i="16"/>
  <c r="V246" i="16"/>
  <c r="V245" i="16"/>
  <c r="V244" i="16"/>
  <c r="V243" i="16"/>
  <c r="V242" i="16"/>
  <c r="V241" i="16"/>
  <c r="V240" i="16"/>
  <c r="V239" i="16"/>
  <c r="V238" i="16"/>
  <c r="V237" i="16"/>
  <c r="V236" i="16"/>
  <c r="V235" i="16"/>
  <c r="V234" i="16"/>
  <c r="V233" i="16"/>
  <c r="V232" i="16"/>
  <c r="V231" i="16"/>
  <c r="V230" i="16"/>
  <c r="V229" i="16"/>
  <c r="V228" i="16"/>
  <c r="V227" i="16"/>
  <c r="V226" i="16"/>
  <c r="V225" i="16"/>
  <c r="V224" i="16"/>
  <c r="V223" i="16"/>
  <c r="V222" i="16"/>
  <c r="V221" i="16"/>
  <c r="V220" i="16"/>
  <c r="V219" i="16"/>
  <c r="V218" i="16"/>
  <c r="V217" i="16"/>
  <c r="V216" i="16"/>
  <c r="V215" i="16"/>
  <c r="V214" i="16"/>
  <c r="V213" i="16"/>
  <c r="V212" i="16"/>
  <c r="V211" i="16"/>
  <c r="V210" i="16"/>
  <c r="V209" i="16"/>
  <c r="V208" i="16"/>
  <c r="V207" i="16"/>
  <c r="V206" i="16"/>
  <c r="V205" i="16"/>
  <c r="V204" i="16"/>
  <c r="V203" i="16"/>
  <c r="V202" i="16"/>
  <c r="V201" i="16"/>
  <c r="V200" i="16"/>
  <c r="V199" i="16"/>
  <c r="V198" i="16"/>
  <c r="V197" i="16"/>
  <c r="V196" i="16"/>
  <c r="V195" i="16"/>
  <c r="V194" i="16"/>
  <c r="V193" i="16"/>
  <c r="V192" i="16"/>
  <c r="V191" i="16"/>
  <c r="V190" i="16"/>
  <c r="V189" i="16"/>
  <c r="V188" i="16"/>
  <c r="V187" i="16"/>
  <c r="V186" i="16"/>
  <c r="V185" i="16"/>
  <c r="V184" i="16"/>
  <c r="V183" i="16"/>
  <c r="V182" i="16"/>
  <c r="V181" i="16"/>
  <c r="V180" i="16"/>
  <c r="V179" i="16"/>
  <c r="V178" i="16"/>
  <c r="V177" i="16"/>
  <c r="V176" i="16"/>
  <c r="V175" i="16"/>
  <c r="V174" i="16"/>
  <c r="V173" i="16"/>
  <c r="V172" i="16"/>
  <c r="V171" i="16"/>
  <c r="V170" i="16"/>
  <c r="V169" i="16"/>
  <c r="V168" i="16"/>
  <c r="V167" i="16"/>
  <c r="V166" i="16"/>
  <c r="V165" i="16"/>
  <c r="V164" i="16"/>
  <c r="V163" i="16"/>
  <c r="V162" i="16"/>
  <c r="V161" i="16"/>
  <c r="V160" i="16"/>
  <c r="V159" i="16"/>
  <c r="V158" i="16"/>
  <c r="V157" i="16"/>
  <c r="V156" i="16"/>
  <c r="V155" i="16"/>
  <c r="V154" i="16"/>
  <c r="V153" i="16"/>
  <c r="V152" i="16"/>
  <c r="V151" i="16"/>
  <c r="V150" i="16"/>
  <c r="V149" i="16"/>
  <c r="V148" i="16"/>
  <c r="V147" i="16"/>
  <c r="V146" i="16"/>
  <c r="V145" i="16"/>
  <c r="V144" i="16"/>
  <c r="V143" i="16"/>
  <c r="V142" i="16"/>
  <c r="V141" i="16"/>
  <c r="V140" i="16"/>
  <c r="V139" i="16"/>
  <c r="V138" i="16"/>
  <c r="V137" i="16"/>
  <c r="V136" i="16"/>
  <c r="V135" i="16"/>
  <c r="V134" i="16"/>
  <c r="V133" i="16"/>
  <c r="V132" i="16"/>
  <c r="V131" i="16"/>
  <c r="V130" i="16"/>
  <c r="V129" i="16"/>
  <c r="V128" i="16"/>
  <c r="V127" i="16"/>
  <c r="V126" i="16"/>
  <c r="V125" i="16"/>
  <c r="V124" i="16"/>
  <c r="V123" i="16"/>
  <c r="V122" i="16"/>
  <c r="V121" i="16"/>
  <c r="V120" i="16"/>
  <c r="V119" i="16"/>
  <c r="V118" i="16"/>
  <c r="V117" i="16"/>
  <c r="V116" i="16"/>
  <c r="V115" i="16"/>
  <c r="V114" i="16"/>
  <c r="V113" i="16"/>
  <c r="V112" i="16"/>
  <c r="V111" i="16"/>
  <c r="V110" i="16"/>
  <c r="V109" i="16"/>
  <c r="V108" i="16"/>
  <c r="V107" i="16"/>
  <c r="V106" i="16"/>
  <c r="V105" i="16"/>
  <c r="V104" i="16"/>
  <c r="V103" i="16"/>
  <c r="V102" i="16"/>
  <c r="V101" i="16"/>
  <c r="V100" i="16"/>
  <c r="V99" i="16"/>
  <c r="V98" i="16"/>
  <c r="V97" i="16"/>
  <c r="V96" i="16"/>
  <c r="V95" i="16"/>
  <c r="V94" i="16"/>
  <c r="V93" i="16"/>
  <c r="V92" i="16"/>
  <c r="V91" i="16"/>
  <c r="V90" i="16"/>
  <c r="V89" i="16"/>
  <c r="V88" i="16"/>
  <c r="V87" i="16"/>
  <c r="V86" i="16"/>
  <c r="V85" i="16"/>
  <c r="V84" i="16"/>
  <c r="V83" i="16"/>
  <c r="V82" i="16"/>
  <c r="V81" i="16"/>
  <c r="V80" i="16"/>
  <c r="V79" i="16"/>
  <c r="V78" i="16"/>
  <c r="V77" i="16"/>
  <c r="V76" i="16"/>
  <c r="V75" i="16"/>
  <c r="V74" i="16"/>
  <c r="V73" i="16"/>
  <c r="V72" i="16"/>
  <c r="V71" i="16"/>
  <c r="V70" i="16"/>
  <c r="V69" i="16"/>
  <c r="V68" i="16"/>
  <c r="V67" i="16"/>
  <c r="V66" i="16"/>
  <c r="V65" i="16"/>
  <c r="V64" i="16"/>
  <c r="V63" i="16"/>
  <c r="V62" i="16"/>
  <c r="V61" i="16"/>
  <c r="V60" i="16"/>
  <c r="V59" i="16"/>
  <c r="V58" i="16"/>
  <c r="V57" i="16"/>
  <c r="V56" i="16"/>
  <c r="V55" i="16"/>
  <c r="V54" i="16"/>
  <c r="V53" i="16"/>
  <c r="V52" i="16"/>
  <c r="V51" i="16"/>
  <c r="V50" i="16"/>
  <c r="V49" i="16"/>
  <c r="V48" i="16"/>
  <c r="V47" i="16"/>
  <c r="V46" i="16"/>
  <c r="V45" i="16"/>
  <c r="V44" i="16"/>
  <c r="V43" i="16"/>
  <c r="V42" i="16"/>
  <c r="V41" i="16"/>
  <c r="V40" i="16"/>
  <c r="V39" i="16"/>
  <c r="V38" i="16"/>
  <c r="V37" i="16"/>
  <c r="V36" i="16"/>
  <c r="V35" i="16"/>
  <c r="V34" i="16"/>
  <c r="V33" i="16"/>
  <c r="V32" i="16"/>
  <c r="V31" i="16"/>
  <c r="V30" i="16"/>
  <c r="V29" i="16"/>
  <c r="V28" i="16"/>
  <c r="V27" i="16"/>
  <c r="V26" i="16"/>
  <c r="V25" i="16"/>
  <c r="V24" i="16"/>
  <c r="V23" i="16"/>
  <c r="V22" i="16"/>
  <c r="V21" i="16"/>
  <c r="V20" i="16"/>
  <c r="V19" i="16"/>
  <c r="V18" i="16"/>
  <c r="V17" i="16"/>
  <c r="V16" i="16"/>
  <c r="V15" i="16"/>
  <c r="V14" i="16"/>
  <c r="V13" i="16"/>
  <c r="V12" i="16"/>
  <c r="V11" i="16"/>
  <c r="V10" i="16"/>
  <c r="V9" i="16"/>
  <c r="V8" i="16"/>
  <c r="V7" i="16"/>
  <c r="V6" i="16"/>
  <c r="V5" i="16"/>
  <c r="V4" i="16"/>
  <c r="V3" i="16"/>
  <c r="U4154" i="16"/>
  <c r="U4152" i="16"/>
  <c r="U4151" i="16"/>
  <c r="U4150" i="16"/>
  <c r="U4149" i="16"/>
  <c r="U4148" i="16"/>
  <c r="U4147" i="16"/>
  <c r="U4146" i="16"/>
  <c r="U4145" i="16"/>
  <c r="U4144" i="16"/>
  <c r="U4143" i="16"/>
  <c r="U4142" i="16"/>
  <c r="U4141" i="16"/>
  <c r="U4140" i="16"/>
  <c r="U4139" i="16"/>
  <c r="U4138" i="16"/>
  <c r="U4137" i="16"/>
  <c r="U4136" i="16"/>
  <c r="U4135" i="16"/>
  <c r="U4134" i="16"/>
  <c r="U4133" i="16"/>
  <c r="U4132" i="16"/>
  <c r="U4131" i="16"/>
  <c r="U4130" i="16"/>
  <c r="U4129" i="16"/>
  <c r="U4128" i="16"/>
  <c r="U4127" i="16"/>
  <c r="U4126" i="16"/>
  <c r="U4125" i="16"/>
  <c r="U4124" i="16"/>
  <c r="U4123" i="16"/>
  <c r="U4122" i="16"/>
  <c r="U4121" i="16"/>
  <c r="U4120" i="16"/>
  <c r="U4119" i="16"/>
  <c r="U4118" i="16"/>
  <c r="U4117" i="16"/>
  <c r="U4116" i="16"/>
  <c r="U4115" i="16"/>
  <c r="U4114" i="16"/>
  <c r="U4113" i="16"/>
  <c r="U4112" i="16"/>
  <c r="U4111" i="16"/>
  <c r="U4110" i="16"/>
  <c r="U4109" i="16"/>
  <c r="U4108" i="16"/>
  <c r="U4107" i="16"/>
  <c r="U4106" i="16"/>
  <c r="U4105" i="16"/>
  <c r="U4104" i="16"/>
  <c r="U4103" i="16"/>
  <c r="U4102" i="16"/>
  <c r="U4101" i="16"/>
  <c r="U4100" i="16"/>
  <c r="U4099" i="16"/>
  <c r="U4098" i="16"/>
  <c r="U4097" i="16"/>
  <c r="U4096" i="16"/>
  <c r="U4095" i="16"/>
  <c r="U4094" i="16"/>
  <c r="U4093" i="16"/>
  <c r="U4092" i="16"/>
  <c r="U4091" i="16"/>
  <c r="U4090" i="16"/>
  <c r="U4089" i="16"/>
  <c r="U4088" i="16"/>
  <c r="U4087" i="16"/>
  <c r="U4086" i="16"/>
  <c r="U4085" i="16"/>
  <c r="U4084" i="16"/>
  <c r="U4083" i="16"/>
  <c r="U4082" i="16"/>
  <c r="U4081" i="16"/>
  <c r="U4080" i="16"/>
  <c r="U4078" i="16"/>
  <c r="U4077" i="16"/>
  <c r="U4076" i="16"/>
  <c r="U4075" i="16"/>
  <c r="U4074" i="16"/>
  <c r="U4073" i="16"/>
  <c r="U4072" i="16"/>
  <c r="U4071" i="16"/>
  <c r="U4070" i="16"/>
  <c r="U4069" i="16"/>
  <c r="U4068" i="16"/>
  <c r="U4067" i="16"/>
  <c r="U4066" i="16"/>
  <c r="U4065" i="16"/>
  <c r="U4064" i="16"/>
  <c r="U4063" i="16"/>
  <c r="U4062" i="16"/>
  <c r="U4061" i="16"/>
  <c r="U4060" i="16"/>
  <c r="U4059" i="16"/>
  <c r="U4058" i="16"/>
  <c r="U4057" i="16"/>
  <c r="U4056" i="16"/>
  <c r="U4055" i="16"/>
  <c r="U4054" i="16"/>
  <c r="U4053" i="16"/>
  <c r="U4052" i="16"/>
  <c r="U4051" i="16"/>
  <c r="U4050" i="16"/>
  <c r="U4049" i="16"/>
  <c r="U4048" i="16"/>
  <c r="U4047" i="16"/>
  <c r="U4046" i="16"/>
  <c r="U4045" i="16"/>
  <c r="U4044" i="16"/>
  <c r="U4043" i="16"/>
  <c r="U4042" i="16"/>
  <c r="U4041" i="16"/>
  <c r="U4040" i="16"/>
  <c r="U4039" i="16"/>
  <c r="U4038" i="16"/>
  <c r="U4037" i="16"/>
  <c r="U4036" i="16"/>
  <c r="U4035" i="16"/>
  <c r="U4034" i="16"/>
  <c r="U4033" i="16"/>
  <c r="U4032" i="16"/>
  <c r="U4031" i="16"/>
  <c r="U4030" i="16"/>
  <c r="U4029" i="16"/>
  <c r="U4028" i="16"/>
  <c r="U4027" i="16"/>
  <c r="U4026" i="16"/>
  <c r="U4025" i="16"/>
  <c r="U4024" i="16"/>
  <c r="U4023" i="16"/>
  <c r="U4022" i="16"/>
  <c r="U4021" i="16"/>
  <c r="U4020" i="16"/>
  <c r="U4019" i="16"/>
  <c r="U4018" i="16"/>
  <c r="U4017" i="16"/>
  <c r="U4016" i="16"/>
  <c r="U4015" i="16"/>
  <c r="U4014" i="16"/>
  <c r="U4013" i="16"/>
  <c r="U4012" i="16"/>
  <c r="U4011" i="16"/>
  <c r="U4010" i="16"/>
  <c r="U4009" i="16"/>
  <c r="U4008" i="16"/>
  <c r="U4007" i="16"/>
  <c r="U4006" i="16"/>
  <c r="U4005" i="16"/>
  <c r="U4004" i="16"/>
  <c r="U4003" i="16"/>
  <c r="U4002" i="16"/>
  <c r="U4001" i="16"/>
  <c r="U4000" i="16"/>
  <c r="U3999" i="16"/>
  <c r="U3998" i="16"/>
  <c r="U3997" i="16"/>
  <c r="U3996" i="16"/>
  <c r="U3995" i="16"/>
  <c r="U4079" i="16"/>
  <c r="U3994" i="16"/>
  <c r="U3993" i="16"/>
  <c r="U3992" i="16"/>
  <c r="U3991" i="16"/>
  <c r="U3990" i="16"/>
  <c r="U3989" i="16"/>
  <c r="U3988" i="16"/>
  <c r="U3987" i="16"/>
  <c r="U3986" i="16"/>
  <c r="U3985" i="16"/>
  <c r="U3984" i="16"/>
  <c r="U3983" i="16"/>
  <c r="U3982" i="16"/>
  <c r="U3981" i="16"/>
  <c r="U3980" i="16"/>
  <c r="U3979" i="16"/>
  <c r="U3978" i="16"/>
  <c r="U3977" i="16"/>
  <c r="U3976" i="16"/>
  <c r="U3975" i="16"/>
  <c r="U3974" i="16"/>
  <c r="U3973" i="16"/>
  <c r="U3972" i="16"/>
  <c r="U3971" i="16"/>
  <c r="U3970" i="16"/>
  <c r="U3969" i="16"/>
  <c r="U3968" i="16"/>
  <c r="U3967" i="16"/>
  <c r="U3966" i="16"/>
  <c r="U3965" i="16"/>
  <c r="U3964" i="16"/>
  <c r="U3963" i="16"/>
  <c r="U3962" i="16"/>
  <c r="U3961" i="16"/>
  <c r="U3960" i="16"/>
  <c r="U3959" i="16"/>
  <c r="U3958" i="16"/>
  <c r="U3957" i="16"/>
  <c r="U3956" i="16"/>
  <c r="U3955" i="16"/>
  <c r="U3954" i="16"/>
  <c r="U3953" i="16"/>
  <c r="U3952" i="16"/>
  <c r="U3951" i="16"/>
  <c r="U3950" i="16"/>
  <c r="U3949" i="16"/>
  <c r="U3948" i="16"/>
  <c r="U3947" i="16"/>
  <c r="U3946" i="16"/>
  <c r="U3945" i="16"/>
  <c r="U3944" i="16"/>
  <c r="U3943" i="16"/>
  <c r="U3942" i="16"/>
  <c r="U3941" i="16"/>
  <c r="U3940" i="16"/>
  <c r="U3939" i="16"/>
  <c r="U3938" i="16"/>
  <c r="U3937" i="16"/>
  <c r="U3936" i="16"/>
  <c r="U3935" i="16"/>
  <c r="U3934" i="16"/>
  <c r="U3933" i="16"/>
  <c r="U3932" i="16"/>
  <c r="U3931" i="16"/>
  <c r="U3930" i="16"/>
  <c r="U3929" i="16"/>
  <c r="U3928" i="16"/>
  <c r="U3927" i="16"/>
  <c r="U3926" i="16"/>
  <c r="U3925" i="16"/>
  <c r="U3924" i="16"/>
  <c r="U3923" i="16"/>
  <c r="U3922" i="16"/>
  <c r="U3921" i="16"/>
  <c r="U3920" i="16"/>
  <c r="U3919" i="16"/>
  <c r="U3918" i="16"/>
  <c r="U3917" i="16"/>
  <c r="U3916" i="16"/>
  <c r="U3915" i="16"/>
  <c r="U3914" i="16"/>
  <c r="U3913" i="16"/>
  <c r="U3912" i="16"/>
  <c r="U3911" i="16"/>
  <c r="U3910" i="16"/>
  <c r="U3909" i="16"/>
  <c r="U3908" i="16"/>
  <c r="U3907" i="16"/>
  <c r="U3906" i="16"/>
  <c r="U3905" i="16"/>
  <c r="U3904" i="16"/>
  <c r="U3903" i="16"/>
  <c r="U3902" i="16"/>
  <c r="U3901" i="16"/>
  <c r="U3900" i="16"/>
  <c r="U3899" i="16"/>
  <c r="U3898" i="16"/>
  <c r="U3897" i="16"/>
  <c r="U3896" i="16"/>
  <c r="U3895" i="16"/>
  <c r="U3894" i="16"/>
  <c r="U3893" i="16"/>
  <c r="U3892" i="16"/>
  <c r="U3891" i="16"/>
  <c r="U3890" i="16"/>
  <c r="U3889" i="16"/>
  <c r="U3888" i="16"/>
  <c r="U3887" i="16"/>
  <c r="U3886" i="16"/>
  <c r="U3885" i="16"/>
  <c r="U3884" i="16"/>
  <c r="U3883" i="16"/>
  <c r="U3882" i="16"/>
  <c r="U3881" i="16"/>
  <c r="U3880" i="16"/>
  <c r="U3879" i="16"/>
  <c r="U3878" i="16"/>
  <c r="U3877" i="16"/>
  <c r="U3876" i="16"/>
  <c r="U3875" i="16"/>
  <c r="U3874" i="16"/>
  <c r="U3873" i="16"/>
  <c r="U3872" i="16"/>
  <c r="U3871" i="16"/>
  <c r="U3870" i="16"/>
  <c r="U3869" i="16"/>
  <c r="U3868" i="16"/>
  <c r="U3867" i="16"/>
  <c r="U3866" i="16"/>
  <c r="U3865" i="16"/>
  <c r="U3864" i="16"/>
  <c r="U3863" i="16"/>
  <c r="U3862" i="16"/>
  <c r="U3861" i="16"/>
  <c r="U3860" i="16"/>
  <c r="U3859" i="16"/>
  <c r="U3858" i="16"/>
  <c r="U3857" i="16"/>
  <c r="U3856" i="16"/>
  <c r="U3855" i="16"/>
  <c r="U3854" i="16"/>
  <c r="U3853" i="16"/>
  <c r="U3852" i="16"/>
  <c r="U3851" i="16"/>
  <c r="U3850" i="16"/>
  <c r="U3849" i="16"/>
  <c r="U3848" i="16"/>
  <c r="U3847" i="16"/>
  <c r="U3846" i="16"/>
  <c r="U3845" i="16"/>
  <c r="U3844" i="16"/>
  <c r="U3843" i="16"/>
  <c r="U3842" i="16"/>
  <c r="U3841" i="16"/>
  <c r="U3840" i="16"/>
  <c r="U3839" i="16"/>
  <c r="U3838" i="16"/>
  <c r="U3837" i="16"/>
  <c r="U3836" i="16"/>
  <c r="U3835" i="16"/>
  <c r="U3834" i="16"/>
  <c r="U3833" i="16"/>
  <c r="U3832" i="16"/>
  <c r="U3831" i="16"/>
  <c r="U3830" i="16"/>
  <c r="U3829" i="16"/>
  <c r="U3828" i="16"/>
  <c r="U3827" i="16"/>
  <c r="U3826" i="16"/>
  <c r="U3825" i="16"/>
  <c r="U3824" i="16"/>
  <c r="U3823" i="16"/>
  <c r="U3822" i="16"/>
  <c r="U3821" i="16"/>
  <c r="U3820" i="16"/>
  <c r="U3819" i="16"/>
  <c r="U3818" i="16"/>
  <c r="U3817" i="16"/>
  <c r="U3816" i="16"/>
  <c r="U3815" i="16"/>
  <c r="U3814" i="16"/>
  <c r="U3813" i="16"/>
  <c r="U3812" i="16"/>
  <c r="U3811" i="16"/>
  <c r="U3810" i="16"/>
  <c r="U3809" i="16"/>
  <c r="U3808" i="16"/>
  <c r="U3807" i="16"/>
  <c r="U3806" i="16"/>
  <c r="U3805" i="16"/>
  <c r="U3804" i="16"/>
  <c r="U3803" i="16"/>
  <c r="U3802" i="16"/>
  <c r="U3801" i="16"/>
  <c r="U3800" i="16"/>
  <c r="U3799" i="16"/>
  <c r="U3798" i="16"/>
  <c r="U3797" i="16"/>
  <c r="U3796" i="16"/>
  <c r="U3795" i="16"/>
  <c r="U3794" i="16"/>
  <c r="U3793" i="16"/>
  <c r="U3792" i="16"/>
  <c r="U3791" i="16"/>
  <c r="U3790" i="16"/>
  <c r="U3789" i="16"/>
  <c r="U3788" i="16"/>
  <c r="U3787" i="16"/>
  <c r="U3786" i="16"/>
  <c r="U3785" i="16"/>
  <c r="U3784" i="16"/>
  <c r="U3783" i="16"/>
  <c r="U3782" i="16"/>
  <c r="U3781" i="16"/>
  <c r="U3780" i="16"/>
  <c r="U3779" i="16"/>
  <c r="U3778" i="16"/>
  <c r="U3777" i="16"/>
  <c r="U3776" i="16"/>
  <c r="U3775" i="16"/>
  <c r="U3774" i="16"/>
  <c r="U3773" i="16"/>
  <c r="U3772" i="16"/>
  <c r="U3771" i="16"/>
  <c r="U3770" i="16"/>
  <c r="U3769" i="16"/>
  <c r="U3768" i="16"/>
  <c r="U3767" i="16"/>
  <c r="U3766" i="16"/>
  <c r="U3765" i="16"/>
  <c r="U3764" i="16"/>
  <c r="U3763" i="16"/>
  <c r="U3762" i="16"/>
  <c r="U3761" i="16"/>
  <c r="U3760" i="16"/>
  <c r="U3759" i="16"/>
  <c r="U3758" i="16"/>
  <c r="U3757" i="16"/>
  <c r="U3756" i="16"/>
  <c r="U3755" i="16"/>
  <c r="U3754" i="16"/>
  <c r="U3753" i="16"/>
  <c r="U3752" i="16"/>
  <c r="U3751" i="16"/>
  <c r="U3750" i="16"/>
  <c r="U3749" i="16"/>
  <c r="U3748" i="16"/>
  <c r="U3747" i="16"/>
  <c r="U3746" i="16"/>
  <c r="U3745" i="16"/>
  <c r="U3744" i="16"/>
  <c r="U3743" i="16"/>
  <c r="U3742" i="16"/>
  <c r="U3741" i="16"/>
  <c r="U3740" i="16"/>
  <c r="U3739" i="16"/>
  <c r="U3738" i="16"/>
  <c r="U3737" i="16"/>
  <c r="U3736" i="16"/>
  <c r="U3735" i="16"/>
  <c r="U3734" i="16"/>
  <c r="U3733" i="16"/>
  <c r="U3732" i="16"/>
  <c r="U3731" i="16"/>
  <c r="U3730" i="16"/>
  <c r="U3729" i="16"/>
  <c r="U3728" i="16"/>
  <c r="U3727" i="16"/>
  <c r="U3726" i="16"/>
  <c r="U3725" i="16"/>
  <c r="U3724" i="16"/>
  <c r="U3723" i="16"/>
  <c r="U3722" i="16"/>
  <c r="U3721" i="16"/>
  <c r="U3720" i="16"/>
  <c r="U3719" i="16"/>
  <c r="U3718" i="16"/>
  <c r="U3717" i="16"/>
  <c r="U3716" i="16"/>
  <c r="U3715" i="16"/>
  <c r="U3714" i="16"/>
  <c r="U3713" i="16"/>
  <c r="U3712" i="16"/>
  <c r="U3711" i="16"/>
  <c r="U3710" i="16"/>
  <c r="U3709" i="16"/>
  <c r="U3708" i="16"/>
  <c r="U3707" i="16"/>
  <c r="U3706" i="16"/>
  <c r="U3705" i="16"/>
  <c r="U3704" i="16"/>
  <c r="U3703" i="16"/>
  <c r="U3702" i="16"/>
  <c r="U3701" i="16"/>
  <c r="U3700" i="16"/>
  <c r="U3699" i="16"/>
  <c r="U3698" i="16"/>
  <c r="U3697" i="16"/>
  <c r="U3696" i="16"/>
  <c r="U3695" i="16"/>
  <c r="U3694" i="16"/>
  <c r="U3693" i="16"/>
  <c r="U3692" i="16"/>
  <c r="U3691" i="16"/>
  <c r="U3690" i="16"/>
  <c r="U3689" i="16"/>
  <c r="U3688" i="16"/>
  <c r="U3687" i="16"/>
  <c r="U3686" i="16"/>
  <c r="U3685" i="16"/>
  <c r="U3684" i="16"/>
  <c r="U3683" i="16"/>
  <c r="U3682" i="16"/>
  <c r="U3681" i="16"/>
  <c r="U3680" i="16"/>
  <c r="U3679" i="16"/>
  <c r="U3678" i="16"/>
  <c r="U3677" i="16"/>
  <c r="U3676" i="16"/>
  <c r="U3675" i="16"/>
  <c r="U3674" i="16"/>
  <c r="U3673" i="16"/>
  <c r="U3672" i="16"/>
  <c r="U3671" i="16"/>
  <c r="U3670" i="16"/>
  <c r="U3669" i="16"/>
  <c r="U3668" i="16"/>
  <c r="U3667" i="16"/>
  <c r="U3666" i="16"/>
  <c r="U3665" i="16"/>
  <c r="U3664" i="16"/>
  <c r="U3663" i="16"/>
  <c r="U3662" i="16"/>
  <c r="U3661" i="16"/>
  <c r="U3660" i="16"/>
  <c r="U3659" i="16"/>
  <c r="U3658" i="16"/>
  <c r="U3657" i="16"/>
  <c r="U3656" i="16"/>
  <c r="U3655" i="16"/>
  <c r="U3654" i="16"/>
  <c r="U3653" i="16"/>
  <c r="U3652" i="16"/>
  <c r="U3651" i="16"/>
  <c r="U3650" i="16"/>
  <c r="U3649" i="16"/>
  <c r="U3648" i="16"/>
  <c r="U3647" i="16"/>
  <c r="U3646" i="16"/>
  <c r="U3645" i="16"/>
  <c r="U3644" i="16"/>
  <c r="U3643" i="16"/>
  <c r="U3642" i="16"/>
  <c r="U3641" i="16"/>
  <c r="U3640" i="16"/>
  <c r="U3639" i="16"/>
  <c r="U3638" i="16"/>
  <c r="U3637" i="16"/>
  <c r="U3636" i="16"/>
  <c r="U3635" i="16"/>
  <c r="U3634" i="16"/>
  <c r="U3633" i="16"/>
  <c r="U3632" i="16"/>
  <c r="U3631" i="16"/>
  <c r="U3630" i="16"/>
  <c r="U3629" i="16"/>
  <c r="U3628" i="16"/>
  <c r="U3627" i="16"/>
  <c r="U3626" i="16"/>
  <c r="U3625" i="16"/>
  <c r="U3624" i="16"/>
  <c r="U3623" i="16"/>
  <c r="U3622" i="16"/>
  <c r="U3621" i="16"/>
  <c r="U3620" i="16"/>
  <c r="U3619" i="16"/>
  <c r="U3618" i="16"/>
  <c r="U3617" i="16"/>
  <c r="U3616" i="16"/>
  <c r="U3615" i="16"/>
  <c r="U3614" i="16"/>
  <c r="U3613" i="16"/>
  <c r="U3612" i="16"/>
  <c r="U3611" i="16"/>
  <c r="U3610" i="16"/>
  <c r="U3609" i="16"/>
  <c r="U3608" i="16"/>
  <c r="U3607" i="16"/>
  <c r="U3606" i="16"/>
  <c r="U3605" i="16"/>
  <c r="U3604" i="16"/>
  <c r="U3603" i="16"/>
  <c r="U3602" i="16"/>
  <c r="U3601" i="16"/>
  <c r="U3600" i="16"/>
  <c r="U3599" i="16"/>
  <c r="U3598" i="16"/>
  <c r="U3597" i="16"/>
  <c r="U3399" i="16"/>
  <c r="U3398" i="16"/>
  <c r="U3397" i="16"/>
  <c r="U3396" i="16"/>
  <c r="U3395" i="16"/>
  <c r="U3394" i="16"/>
  <c r="U3393" i="16"/>
  <c r="U3392" i="16"/>
  <c r="U3391" i="16"/>
  <c r="U3390" i="16"/>
  <c r="U3389" i="16"/>
  <c r="U3388" i="16"/>
  <c r="U3387" i="16"/>
  <c r="U3386" i="16"/>
  <c r="U3385" i="16"/>
  <c r="U3384" i="16"/>
  <c r="U3383" i="16"/>
  <c r="U3382" i="16"/>
  <c r="U3381" i="16"/>
  <c r="U3380" i="16"/>
  <c r="U3379" i="16"/>
  <c r="U3378" i="16"/>
  <c r="U3377" i="16"/>
  <c r="U3376" i="16"/>
  <c r="U3375" i="16"/>
  <c r="U3374" i="16"/>
  <c r="U3373" i="16"/>
  <c r="U3372" i="16"/>
  <c r="U3371" i="16"/>
  <c r="U3370" i="16"/>
  <c r="U3369" i="16"/>
  <c r="U3368" i="16"/>
  <c r="U3367" i="16"/>
  <c r="U3366" i="16"/>
  <c r="U3365" i="16"/>
  <c r="U3364" i="16"/>
  <c r="U3363" i="16"/>
  <c r="U3362" i="16"/>
  <c r="U3361" i="16"/>
  <c r="U3360" i="16"/>
  <c r="U3359" i="16"/>
  <c r="U3358" i="16"/>
  <c r="U3357" i="16"/>
  <c r="U3356" i="16"/>
  <c r="U3355" i="16"/>
  <c r="U3354" i="16"/>
  <c r="U3353" i="16"/>
  <c r="U3352" i="16"/>
  <c r="U3351" i="16"/>
  <c r="U3350" i="16"/>
  <c r="U3349" i="16"/>
  <c r="U3348" i="16"/>
  <c r="U3347" i="16"/>
  <c r="U3346" i="16"/>
  <c r="U3345" i="16"/>
  <c r="U3344" i="16"/>
  <c r="U3343" i="16"/>
  <c r="U3342" i="16"/>
  <c r="U3341" i="16"/>
  <c r="U3340" i="16"/>
  <c r="U3339" i="16"/>
  <c r="U3338" i="16"/>
  <c r="U3337" i="16"/>
  <c r="U3336" i="16"/>
  <c r="U3335" i="16"/>
  <c r="U3334" i="16"/>
  <c r="U3333" i="16"/>
  <c r="U3332" i="16"/>
  <c r="U3331" i="16"/>
  <c r="U3330" i="16"/>
  <c r="U3329" i="16"/>
  <c r="U3328" i="16"/>
  <c r="U3327" i="16"/>
  <c r="U3326" i="16"/>
  <c r="U3325" i="16"/>
  <c r="U3324" i="16"/>
  <c r="U3323" i="16"/>
  <c r="U3322" i="16"/>
  <c r="U3321" i="16"/>
  <c r="U3320" i="16"/>
  <c r="U3319" i="16"/>
  <c r="U3318" i="16"/>
  <c r="U3317" i="16"/>
  <c r="U3316" i="16"/>
  <c r="U3315" i="16"/>
  <c r="U3314" i="16"/>
  <c r="U3313" i="16"/>
  <c r="U3312" i="16"/>
  <c r="U3311" i="16"/>
  <c r="U3310" i="16"/>
  <c r="U3309" i="16"/>
  <c r="U3308" i="16"/>
  <c r="U3307" i="16"/>
  <c r="U3306" i="16"/>
  <c r="U3305" i="16"/>
  <c r="U3304" i="16"/>
  <c r="U3303" i="16"/>
  <c r="U3302" i="16"/>
  <c r="U3301" i="16"/>
  <c r="U3300" i="16"/>
  <c r="U3299" i="16"/>
  <c r="U3298" i="16"/>
  <c r="U3297" i="16"/>
  <c r="U3296" i="16"/>
  <c r="U3295" i="16"/>
  <c r="U3294" i="16"/>
  <c r="U3293" i="16"/>
  <c r="U3292" i="16"/>
  <c r="U3291" i="16"/>
  <c r="U3290" i="16"/>
  <c r="U3289" i="16"/>
  <c r="U3288" i="16"/>
  <c r="U3287" i="16"/>
  <c r="U3286" i="16"/>
  <c r="U3285" i="16"/>
  <c r="U3284" i="16"/>
  <c r="U3283" i="16"/>
  <c r="U3282" i="16"/>
  <c r="U3281" i="16"/>
  <c r="U3280" i="16"/>
  <c r="U3279" i="16"/>
  <c r="U3278" i="16"/>
  <c r="U3277" i="16"/>
  <c r="U3276" i="16"/>
  <c r="U3275" i="16"/>
  <c r="U3274" i="16"/>
  <c r="U3273" i="16"/>
  <c r="U3272" i="16"/>
  <c r="U3271" i="16"/>
  <c r="U3270" i="16"/>
  <c r="U3269" i="16"/>
  <c r="U3268" i="16"/>
  <c r="U3267" i="16"/>
  <c r="U3266" i="16"/>
  <c r="U3265" i="16"/>
  <c r="U3264" i="16"/>
  <c r="U3263" i="16"/>
  <c r="U3262" i="16"/>
  <c r="U3261" i="16"/>
  <c r="U3260" i="16"/>
  <c r="U3259" i="16"/>
  <c r="U3258" i="16"/>
  <c r="U3257" i="16"/>
  <c r="U3256" i="16"/>
  <c r="U3255" i="16"/>
  <c r="U3254" i="16"/>
  <c r="U3253" i="16"/>
  <c r="U3252" i="16"/>
  <c r="U3251" i="16"/>
  <c r="U3250" i="16"/>
  <c r="U3249" i="16"/>
  <c r="U3248" i="16"/>
  <c r="U3247" i="16"/>
  <c r="U3246" i="16"/>
  <c r="U3245" i="16"/>
  <c r="U3244" i="16"/>
  <c r="U3243" i="16"/>
  <c r="U3242" i="16"/>
  <c r="U3241" i="16"/>
  <c r="U3240" i="16"/>
  <c r="U3239" i="16"/>
  <c r="U3238" i="16"/>
  <c r="U3237" i="16"/>
  <c r="U3236" i="16"/>
  <c r="U3235" i="16"/>
  <c r="U3234" i="16"/>
  <c r="U3233" i="16"/>
  <c r="U3232" i="16"/>
  <c r="U3231" i="16"/>
  <c r="U3230" i="16"/>
  <c r="U3229" i="16"/>
  <c r="U3228" i="16"/>
  <c r="U3227" i="16"/>
  <c r="U3226" i="16"/>
  <c r="U3225" i="16"/>
  <c r="U3224" i="16"/>
  <c r="U3223" i="16"/>
  <c r="U3222" i="16"/>
  <c r="U3221" i="16"/>
  <c r="U3220" i="16"/>
  <c r="U3219" i="16"/>
  <c r="U3218" i="16"/>
  <c r="U3217" i="16"/>
  <c r="U3216" i="16"/>
  <c r="U3215" i="16"/>
  <c r="U3214" i="16"/>
  <c r="U3213" i="16"/>
  <c r="U3212" i="16"/>
  <c r="U3211" i="16"/>
  <c r="U3210" i="16"/>
  <c r="U3209" i="16"/>
  <c r="U3208" i="16"/>
  <c r="U3207" i="16"/>
  <c r="U3206" i="16"/>
  <c r="U3205" i="16"/>
  <c r="U3204" i="16"/>
  <c r="U3203" i="16"/>
  <c r="U3202" i="16"/>
  <c r="U3201" i="16"/>
  <c r="U3200" i="16"/>
  <c r="U3199" i="16"/>
  <c r="U3198" i="16"/>
  <c r="U3197" i="16"/>
  <c r="U3196" i="16"/>
  <c r="U3195" i="16"/>
  <c r="U3194" i="16"/>
  <c r="U3193" i="16"/>
  <c r="U3192" i="16"/>
  <c r="U3191" i="16"/>
  <c r="U3190" i="16"/>
  <c r="U3189" i="16"/>
  <c r="U3188" i="16"/>
  <c r="U3187" i="16"/>
  <c r="U3186" i="16"/>
  <c r="U3185" i="16"/>
  <c r="U3184" i="16"/>
  <c r="U3183" i="16"/>
  <c r="U3182" i="16"/>
  <c r="U3181" i="16"/>
  <c r="U3180" i="16"/>
  <c r="U3179" i="16"/>
  <c r="U3178" i="16"/>
  <c r="U3177" i="16"/>
  <c r="U3176" i="16"/>
  <c r="U3175" i="16"/>
  <c r="U3174" i="16"/>
  <c r="U3173" i="16"/>
  <c r="U3172" i="16"/>
  <c r="U3171" i="16"/>
  <c r="U3170" i="16"/>
  <c r="U3169" i="16"/>
  <c r="U3168" i="16"/>
  <c r="U3167" i="16"/>
  <c r="U3166" i="16"/>
  <c r="U3165" i="16"/>
  <c r="U3164" i="16"/>
  <c r="U3163" i="16"/>
  <c r="U3162" i="16"/>
  <c r="U3161" i="16"/>
  <c r="U3160" i="16"/>
  <c r="U3159" i="16"/>
  <c r="U3158" i="16"/>
  <c r="U3157" i="16"/>
  <c r="U3156" i="16"/>
  <c r="U3155" i="16"/>
  <c r="U3154" i="16"/>
  <c r="U3153" i="16"/>
  <c r="U3152" i="16"/>
  <c r="U3151" i="16"/>
  <c r="U3150" i="16"/>
  <c r="U3149" i="16"/>
  <c r="U3148" i="16"/>
  <c r="U3147" i="16"/>
  <c r="U3146" i="16"/>
  <c r="U3145" i="16"/>
  <c r="U3144" i="16"/>
  <c r="U3143" i="16"/>
  <c r="U3142" i="16"/>
  <c r="U3141" i="16"/>
  <c r="U3140" i="16"/>
  <c r="U3139" i="16"/>
  <c r="U3138" i="16"/>
  <c r="U3137" i="16"/>
  <c r="U3136" i="16"/>
  <c r="U3135" i="16"/>
  <c r="U3134" i="16"/>
  <c r="U3133" i="16"/>
  <c r="U3132" i="16"/>
  <c r="U3131" i="16"/>
  <c r="U3130" i="16"/>
  <c r="U3129" i="16"/>
  <c r="U3128" i="16"/>
  <c r="U3127" i="16"/>
  <c r="U3126" i="16"/>
  <c r="U3125" i="16"/>
  <c r="U3124" i="16"/>
  <c r="U3123" i="16"/>
  <c r="U3122" i="16"/>
  <c r="U3121" i="16"/>
  <c r="U3120" i="16"/>
  <c r="U3119" i="16"/>
  <c r="U3118" i="16"/>
  <c r="U3117" i="16"/>
  <c r="U3116" i="16"/>
  <c r="U3115" i="16"/>
  <c r="U3114" i="16"/>
  <c r="U3113" i="16"/>
  <c r="U3112" i="16"/>
  <c r="U3111" i="16"/>
  <c r="U3110" i="16"/>
  <c r="U3109" i="16"/>
  <c r="U3108" i="16"/>
  <c r="U3107" i="16"/>
  <c r="U3106" i="16"/>
  <c r="U3105" i="16"/>
  <c r="U3104" i="16"/>
  <c r="U3103" i="16"/>
  <c r="U3102" i="16"/>
  <c r="U3101" i="16"/>
  <c r="U3100" i="16"/>
  <c r="U3099" i="16"/>
  <c r="U3098" i="16"/>
  <c r="U3097" i="16"/>
  <c r="U3096" i="16"/>
  <c r="U3095" i="16"/>
  <c r="U3094" i="16"/>
  <c r="U3093" i="16"/>
  <c r="U3092" i="16"/>
  <c r="U3091" i="16"/>
  <c r="U3090" i="16"/>
  <c r="U3089" i="16"/>
  <c r="U3088" i="16"/>
  <c r="U3087" i="16"/>
  <c r="U3086" i="16"/>
  <c r="U3085" i="16"/>
  <c r="U3084" i="16"/>
  <c r="U3083" i="16"/>
  <c r="U3082" i="16"/>
  <c r="U3081" i="16"/>
  <c r="U3080" i="16"/>
  <c r="U3079" i="16"/>
  <c r="U3078" i="16"/>
  <c r="U3077" i="16"/>
  <c r="U3076" i="16"/>
  <c r="U3075" i="16"/>
  <c r="U3074" i="16"/>
  <c r="U3073" i="16"/>
  <c r="U3072" i="16"/>
  <c r="U3071" i="16"/>
  <c r="U3070" i="16"/>
  <c r="U3069" i="16"/>
  <c r="U3068" i="16"/>
  <c r="U3067" i="16"/>
  <c r="U3066" i="16"/>
  <c r="U3065" i="16"/>
  <c r="U3064" i="16"/>
  <c r="U3063" i="16"/>
  <c r="U3062" i="16"/>
  <c r="U3061" i="16"/>
  <c r="U3060" i="16"/>
  <c r="U3059" i="16"/>
  <c r="U3058" i="16"/>
  <c r="U3057" i="16"/>
  <c r="U3056" i="16"/>
  <c r="U3055" i="16"/>
  <c r="U3054" i="16"/>
  <c r="U3053" i="16"/>
  <c r="U3052" i="16"/>
  <c r="U3051" i="16"/>
  <c r="U3050" i="16"/>
  <c r="U3049" i="16"/>
  <c r="U3048" i="16"/>
  <c r="U3047" i="16"/>
  <c r="U3046" i="16"/>
  <c r="U3045" i="16"/>
  <c r="U3044" i="16"/>
  <c r="U3043" i="16"/>
  <c r="U3042" i="16"/>
  <c r="U3041" i="16"/>
  <c r="U3040" i="16"/>
  <c r="U3039" i="16"/>
  <c r="U3038" i="16"/>
  <c r="U3037" i="16"/>
  <c r="U3036" i="16"/>
  <c r="U3035" i="16"/>
  <c r="U3034" i="16"/>
  <c r="U3033" i="16"/>
  <c r="U3032" i="16"/>
  <c r="U3031" i="16"/>
  <c r="U3030" i="16"/>
  <c r="U3029" i="16"/>
  <c r="U3028" i="16"/>
  <c r="U3027" i="16"/>
  <c r="U3026" i="16"/>
  <c r="U3025" i="16"/>
  <c r="U3024" i="16"/>
  <c r="U3023" i="16"/>
  <c r="U3022" i="16"/>
  <c r="U3021" i="16"/>
  <c r="U3020" i="16"/>
  <c r="U3019" i="16"/>
  <c r="U3018" i="16"/>
  <c r="U3017" i="16"/>
  <c r="U3016" i="16"/>
  <c r="U3015" i="16"/>
  <c r="U3014" i="16"/>
  <c r="U3013" i="16"/>
  <c r="U3012" i="16"/>
  <c r="U3011" i="16"/>
  <c r="U3010" i="16"/>
  <c r="U3009" i="16"/>
  <c r="U3008" i="16"/>
  <c r="U3007" i="16"/>
  <c r="U3006" i="16"/>
  <c r="U3005" i="16"/>
  <c r="U3004" i="16"/>
  <c r="U3003" i="16"/>
  <c r="U3002" i="16"/>
  <c r="U3001" i="16"/>
  <c r="U3000" i="16"/>
  <c r="U2999" i="16"/>
  <c r="U2998" i="16"/>
  <c r="U2997" i="16"/>
  <c r="U2996" i="16"/>
  <c r="U2995" i="16"/>
  <c r="U2994" i="16"/>
  <c r="U2993" i="16"/>
  <c r="U2992" i="16"/>
  <c r="U2991" i="16"/>
  <c r="U2990" i="16"/>
  <c r="U2989" i="16"/>
  <c r="U2988" i="16"/>
  <c r="U2987" i="16"/>
  <c r="U2986" i="16"/>
  <c r="U2985" i="16"/>
  <c r="U2984" i="16"/>
  <c r="U2983" i="16"/>
  <c r="U2982" i="16"/>
  <c r="U2981" i="16"/>
  <c r="U2980" i="16"/>
  <c r="U2979" i="16"/>
  <c r="U2978" i="16"/>
  <c r="U2977" i="16"/>
  <c r="U2976" i="16"/>
  <c r="U2975" i="16"/>
  <c r="U2974" i="16"/>
  <c r="U2973" i="16"/>
  <c r="U2972" i="16"/>
  <c r="U2971" i="16"/>
  <c r="U2970" i="16"/>
  <c r="U2969" i="16"/>
  <c r="U2968" i="16"/>
  <c r="U2967" i="16"/>
  <c r="U2966" i="16"/>
  <c r="U2965" i="16"/>
  <c r="U2964" i="16"/>
  <c r="U2963" i="16"/>
  <c r="U2962" i="16"/>
  <c r="U2961" i="16"/>
  <c r="U2960" i="16"/>
  <c r="U2959" i="16"/>
  <c r="U2958" i="16"/>
  <c r="U2957" i="16"/>
  <c r="U2956" i="16"/>
  <c r="U2955" i="16"/>
  <c r="U2954" i="16"/>
  <c r="U2953" i="16"/>
  <c r="U2952" i="16"/>
  <c r="U2951" i="16"/>
  <c r="U2950" i="16"/>
  <c r="U2949" i="16"/>
  <c r="U2948" i="16"/>
  <c r="U2947" i="16"/>
  <c r="U2946" i="16"/>
  <c r="U2945" i="16"/>
  <c r="U2944" i="16"/>
  <c r="U2943" i="16"/>
  <c r="U2942" i="16"/>
  <c r="U2941" i="16"/>
  <c r="U2940" i="16"/>
  <c r="U2939" i="16"/>
  <c r="U2938" i="16"/>
  <c r="U2937" i="16"/>
  <c r="U2936" i="16"/>
  <c r="U2935" i="16"/>
  <c r="U2934" i="16"/>
  <c r="U2933" i="16"/>
  <c r="U2932" i="16"/>
  <c r="U2931" i="16"/>
  <c r="U2930" i="16"/>
  <c r="U2929" i="16"/>
  <c r="U2928" i="16"/>
  <c r="U2927" i="16"/>
  <c r="U2926" i="16"/>
  <c r="U2925" i="16"/>
  <c r="U2924" i="16"/>
  <c r="U2923" i="16"/>
  <c r="U2922" i="16"/>
  <c r="U2921" i="16"/>
  <c r="U2920" i="16"/>
  <c r="U2919" i="16"/>
  <c r="U2918" i="16"/>
  <c r="U2917" i="16"/>
  <c r="U2916" i="16"/>
  <c r="U2915" i="16"/>
  <c r="U2914" i="16"/>
  <c r="U2913" i="16"/>
  <c r="U2912" i="16"/>
  <c r="U2911" i="16"/>
  <c r="U2910" i="16"/>
  <c r="U2909" i="16"/>
  <c r="U2908" i="16"/>
  <c r="U2907" i="16"/>
  <c r="U2906" i="16"/>
  <c r="U2905" i="16"/>
  <c r="U2904" i="16"/>
  <c r="U2903" i="16"/>
  <c r="U2902" i="16"/>
  <c r="U2901" i="16"/>
  <c r="U2900" i="16"/>
  <c r="U2899" i="16"/>
  <c r="U2898" i="16"/>
  <c r="U2897" i="16"/>
  <c r="U2896" i="16"/>
  <c r="U2895" i="16"/>
  <c r="U2894" i="16"/>
  <c r="U2893" i="16"/>
  <c r="U2892" i="16"/>
  <c r="U2891" i="16"/>
  <c r="U2890" i="16"/>
  <c r="U2889" i="16"/>
  <c r="U2888" i="16"/>
  <c r="U2887" i="16"/>
  <c r="U2886" i="16"/>
  <c r="U2885" i="16"/>
  <c r="U2884" i="16"/>
  <c r="U2883" i="16"/>
  <c r="U2882" i="16"/>
  <c r="U2881" i="16"/>
  <c r="U2880" i="16"/>
  <c r="U2879" i="16"/>
  <c r="U2878" i="16"/>
  <c r="U2877" i="16"/>
  <c r="U2876" i="16"/>
  <c r="U2875" i="16"/>
  <c r="U2874" i="16"/>
  <c r="U2873" i="16"/>
  <c r="U2872" i="16"/>
  <c r="U2871" i="16"/>
  <c r="U2870" i="16"/>
  <c r="U2869" i="16"/>
  <c r="U2868" i="16"/>
  <c r="U2867" i="16"/>
  <c r="U2866" i="16"/>
  <c r="U2865" i="16"/>
  <c r="U2864" i="16"/>
  <c r="U2863" i="16"/>
  <c r="U2862" i="16"/>
  <c r="U2861" i="16"/>
  <c r="U2860" i="16"/>
  <c r="U2859" i="16"/>
  <c r="U2858" i="16"/>
  <c r="U2857" i="16"/>
  <c r="U2856" i="16"/>
  <c r="U2855" i="16"/>
  <c r="U2854" i="16"/>
  <c r="U2853" i="16"/>
  <c r="U2852" i="16"/>
  <c r="U2851" i="16"/>
  <c r="U2850" i="16"/>
  <c r="U2849" i="16"/>
  <c r="U2848" i="16"/>
  <c r="U2847" i="16"/>
  <c r="U2846" i="16"/>
  <c r="U2845" i="16"/>
  <c r="U2844" i="16"/>
  <c r="U2843" i="16"/>
  <c r="U2842" i="16"/>
  <c r="U2841" i="16"/>
  <c r="U2840" i="16"/>
  <c r="U2839" i="16"/>
  <c r="U2838" i="16"/>
  <c r="U2837" i="16"/>
  <c r="U2836" i="16"/>
  <c r="U2835" i="16"/>
  <c r="U2834" i="16"/>
  <c r="U2833" i="16"/>
  <c r="U2832" i="16"/>
  <c r="U2831" i="16"/>
  <c r="U2830" i="16"/>
  <c r="U2829" i="16"/>
  <c r="U2828" i="16"/>
  <c r="U2827" i="16"/>
  <c r="U2826" i="16"/>
  <c r="U2825" i="16"/>
  <c r="U2824" i="16"/>
  <c r="U2823" i="16"/>
  <c r="U2822" i="16"/>
  <c r="U2821" i="16"/>
  <c r="U2820" i="16"/>
  <c r="U2819" i="16"/>
  <c r="U2818" i="16"/>
  <c r="U2817" i="16"/>
  <c r="U2816" i="16"/>
  <c r="U3596" i="16"/>
  <c r="U3594" i="16"/>
  <c r="U3592" i="16"/>
  <c r="U3590" i="16"/>
  <c r="U3588" i="16"/>
  <c r="U3586" i="16"/>
  <c r="U3584" i="16"/>
  <c r="U3582" i="16"/>
  <c r="U3580" i="16"/>
  <c r="U3578" i="16"/>
  <c r="U3576" i="16"/>
  <c r="U3574" i="16"/>
  <c r="U3572" i="16"/>
  <c r="U3570" i="16"/>
  <c r="U3568" i="16"/>
  <c r="U3566" i="16"/>
  <c r="U3564" i="16"/>
  <c r="U3562" i="16"/>
  <c r="U3560" i="16"/>
  <c r="U3558" i="16"/>
  <c r="U3556" i="16"/>
  <c r="U3554" i="16"/>
  <c r="U3552" i="16"/>
  <c r="U3550" i="16"/>
  <c r="U3548" i="16"/>
  <c r="U3546" i="16"/>
  <c r="U3544" i="16"/>
  <c r="U3542" i="16"/>
  <c r="U3540" i="16"/>
  <c r="U3538" i="16"/>
  <c r="U3536" i="16"/>
  <c r="U3534" i="16"/>
  <c r="U3532" i="16"/>
  <c r="U3530" i="16"/>
  <c r="U3528" i="16"/>
  <c r="U3526" i="16"/>
  <c r="U3524" i="16"/>
  <c r="U3522" i="16"/>
  <c r="U3520" i="16"/>
  <c r="U3518" i="16"/>
  <c r="U3516" i="16"/>
  <c r="U3514" i="16"/>
  <c r="U3512" i="16"/>
  <c r="U3510" i="16"/>
  <c r="U3508" i="16"/>
  <c r="U3506" i="16"/>
  <c r="U3504" i="16"/>
  <c r="U3502" i="16"/>
  <c r="U3500" i="16"/>
  <c r="U3498" i="16"/>
  <c r="U3496" i="16"/>
  <c r="U3494" i="16"/>
  <c r="U3492" i="16"/>
  <c r="U3490" i="16"/>
  <c r="U3488" i="16"/>
  <c r="U3486" i="16"/>
  <c r="U3484" i="16"/>
  <c r="U3482" i="16"/>
  <c r="U3480" i="16"/>
  <c r="U3478" i="16"/>
  <c r="U3476" i="16"/>
  <c r="U3474" i="16"/>
  <c r="U3472" i="16"/>
  <c r="U3470" i="16"/>
  <c r="U3468" i="16"/>
  <c r="U3466" i="16"/>
  <c r="U3464" i="16"/>
  <c r="U3462" i="16"/>
  <c r="U3460" i="16"/>
  <c r="U3458" i="16"/>
  <c r="U3456" i="16"/>
  <c r="U3454" i="16"/>
  <c r="U3452" i="16"/>
  <c r="U3450" i="16"/>
  <c r="U3448" i="16"/>
  <c r="U3446" i="16"/>
  <c r="U3444" i="16"/>
  <c r="U3442" i="16"/>
  <c r="U3440" i="16"/>
  <c r="U3438" i="16"/>
  <c r="U3436" i="16"/>
  <c r="U3434" i="16"/>
  <c r="U3432" i="16"/>
  <c r="U3430" i="16"/>
  <c r="U3428" i="16"/>
  <c r="U3426" i="16"/>
  <c r="U3424" i="16"/>
  <c r="U3422" i="16"/>
  <c r="U3420" i="16"/>
  <c r="U3418" i="16"/>
  <c r="U3416" i="16"/>
  <c r="U3414" i="16"/>
  <c r="U3412" i="16"/>
  <c r="U3410" i="16"/>
  <c r="U3408" i="16"/>
  <c r="U3406" i="16"/>
  <c r="U3404" i="16"/>
  <c r="U3402" i="16"/>
  <c r="U3400" i="16"/>
  <c r="U3595" i="16"/>
  <c r="U3593" i="16"/>
  <c r="U3591" i="16"/>
  <c r="U3589" i="16"/>
  <c r="U3587" i="16"/>
  <c r="U3585" i="16"/>
  <c r="U3583" i="16"/>
  <c r="U3581" i="16"/>
  <c r="U3579" i="16"/>
  <c r="U3577" i="16"/>
  <c r="U3575" i="16"/>
  <c r="U3573" i="16"/>
  <c r="U3571" i="16"/>
  <c r="U3569" i="16"/>
  <c r="U3567" i="16"/>
  <c r="U3565" i="16"/>
  <c r="U3563" i="16"/>
  <c r="U3561" i="16"/>
  <c r="U3559" i="16"/>
  <c r="U3557" i="16"/>
  <c r="U3555" i="16"/>
  <c r="U3553" i="16"/>
  <c r="U3551" i="16"/>
  <c r="U3549" i="16"/>
  <c r="U3547" i="16"/>
  <c r="U3545" i="16"/>
  <c r="U3543" i="16"/>
  <c r="U3541" i="16"/>
  <c r="U3539" i="16"/>
  <c r="U3537" i="16"/>
  <c r="U3535" i="16"/>
  <c r="U3533" i="16"/>
  <c r="U3531" i="16"/>
  <c r="U3529" i="16"/>
  <c r="U3527" i="16"/>
  <c r="U3525" i="16"/>
  <c r="U3523" i="16"/>
  <c r="U3521" i="16"/>
  <c r="U3519" i="16"/>
  <c r="U3517" i="16"/>
  <c r="U3515" i="16"/>
  <c r="U3513" i="16"/>
  <c r="U3511" i="16"/>
  <c r="U3509" i="16"/>
  <c r="U3507" i="16"/>
  <c r="U3505" i="16"/>
  <c r="U3503" i="16"/>
  <c r="U3501" i="16"/>
  <c r="U3499" i="16"/>
  <c r="U3497" i="16"/>
  <c r="U3495" i="16"/>
  <c r="U3493" i="16"/>
  <c r="U3491" i="16"/>
  <c r="U3489" i="16"/>
  <c r="U3487" i="16"/>
  <c r="U3485" i="16"/>
  <c r="U3483" i="16"/>
  <c r="U3481" i="16"/>
  <c r="U3479" i="16"/>
  <c r="U3477" i="16"/>
  <c r="U3475" i="16"/>
  <c r="U3473" i="16"/>
  <c r="U3471" i="16"/>
  <c r="U3469" i="16"/>
  <c r="U3467" i="16"/>
  <c r="U3465" i="16"/>
  <c r="U3463" i="16"/>
  <c r="U3461" i="16"/>
  <c r="U3459" i="16"/>
  <c r="U3457" i="16"/>
  <c r="U3455" i="16"/>
  <c r="U3453" i="16"/>
  <c r="U3451" i="16"/>
  <c r="U3449" i="16"/>
  <c r="U3447" i="16"/>
  <c r="U3445" i="16"/>
  <c r="U3443" i="16"/>
  <c r="U3441" i="16"/>
  <c r="U3439" i="16"/>
  <c r="U3437" i="16"/>
  <c r="U3435" i="16"/>
  <c r="U3433" i="16"/>
  <c r="U3431" i="16"/>
  <c r="U3429" i="16"/>
  <c r="U3427" i="16"/>
  <c r="U3425" i="16"/>
  <c r="U3423" i="16"/>
  <c r="U3421" i="16"/>
  <c r="U3419" i="16"/>
  <c r="U3417" i="16"/>
  <c r="U3415" i="16"/>
  <c r="U3413" i="16"/>
  <c r="U3411" i="16"/>
  <c r="U3409" i="16"/>
  <c r="U3407" i="16"/>
  <c r="U3405" i="16"/>
  <c r="U3403" i="16"/>
  <c r="U3401" i="16"/>
  <c r="U2815" i="16"/>
  <c r="U2814" i="16"/>
  <c r="U2813" i="16"/>
  <c r="U2812" i="16"/>
  <c r="U2811" i="16"/>
  <c r="U2810" i="16"/>
  <c r="U2809" i="16"/>
  <c r="U2808" i="16"/>
  <c r="U2807" i="16"/>
  <c r="U2806" i="16"/>
  <c r="U2805" i="16"/>
  <c r="U2804" i="16"/>
  <c r="U2803" i="16"/>
  <c r="U2802" i="16"/>
  <c r="U2801" i="16"/>
  <c r="U2800" i="16"/>
  <c r="U2799" i="16"/>
  <c r="U2798" i="16"/>
  <c r="U2797" i="16"/>
  <c r="U2796" i="16"/>
  <c r="U2795" i="16"/>
  <c r="U2794" i="16"/>
  <c r="U2793" i="16"/>
  <c r="U2792" i="16"/>
  <c r="U2791" i="16"/>
  <c r="U2790" i="16"/>
  <c r="U2789" i="16"/>
  <c r="U2788" i="16"/>
  <c r="U2787" i="16"/>
  <c r="U2786" i="16"/>
  <c r="U2785" i="16"/>
  <c r="U2784" i="16"/>
  <c r="U2783" i="16"/>
  <c r="U2782" i="16"/>
  <c r="U2781" i="16"/>
  <c r="U2780" i="16"/>
  <c r="U2779" i="16"/>
  <c r="U2778" i="16"/>
  <c r="U2777" i="16"/>
  <c r="U2776" i="16"/>
  <c r="U2775" i="16"/>
  <c r="U2774" i="16"/>
  <c r="U2773" i="16"/>
  <c r="U2772" i="16"/>
  <c r="U2771" i="16"/>
  <c r="U2770" i="16"/>
  <c r="U2769" i="16"/>
  <c r="U2768" i="16"/>
  <c r="U2767" i="16"/>
  <c r="U2766" i="16"/>
  <c r="U2765" i="16"/>
  <c r="U2764" i="16"/>
  <c r="U2763" i="16"/>
  <c r="U2762" i="16"/>
  <c r="U2761" i="16"/>
  <c r="U2760" i="16"/>
  <c r="U2759" i="16"/>
  <c r="U2758" i="16"/>
  <c r="U2757" i="16"/>
  <c r="U2756" i="16"/>
  <c r="U2755" i="16"/>
  <c r="U2754" i="16"/>
  <c r="U2753" i="16"/>
  <c r="U2752" i="16"/>
  <c r="U2751" i="16"/>
  <c r="U2750" i="16"/>
  <c r="U2749" i="16"/>
  <c r="U2748" i="16"/>
  <c r="U2747" i="16"/>
  <c r="U2746" i="16"/>
  <c r="U2745" i="16"/>
  <c r="U2744" i="16"/>
  <c r="U2743" i="16"/>
  <c r="U2742" i="16"/>
  <c r="U2741" i="16"/>
  <c r="U2740" i="16"/>
  <c r="U2739" i="16"/>
  <c r="U2738" i="16"/>
  <c r="U2737" i="16"/>
  <c r="U2736" i="16"/>
  <c r="U2735" i="16"/>
  <c r="U2734" i="16"/>
  <c r="U2733" i="16"/>
  <c r="U2732" i="16"/>
  <c r="U2731" i="16"/>
  <c r="U2730" i="16"/>
  <c r="U2729" i="16"/>
  <c r="U2728" i="16"/>
  <c r="U2727" i="16"/>
  <c r="U2726" i="16"/>
  <c r="U2725" i="16"/>
  <c r="U2724" i="16"/>
  <c r="U2723" i="16"/>
  <c r="U2722" i="16"/>
  <c r="U2721" i="16"/>
  <c r="U2720" i="16"/>
  <c r="U2719" i="16"/>
  <c r="U2718" i="16"/>
  <c r="U2717" i="16"/>
  <c r="U2716" i="16"/>
  <c r="U2715" i="16"/>
  <c r="U2714" i="16"/>
  <c r="U2713" i="16"/>
  <c r="U2712" i="16"/>
  <c r="U2711" i="16"/>
  <c r="U2710" i="16"/>
  <c r="U2709" i="16"/>
  <c r="U2708" i="16"/>
  <c r="U2707" i="16"/>
  <c r="U2706" i="16"/>
  <c r="U2705" i="16"/>
  <c r="U2704" i="16"/>
  <c r="U2703" i="16"/>
  <c r="U2702" i="16"/>
  <c r="U2701" i="16"/>
  <c r="U2700" i="16"/>
  <c r="U2699" i="16"/>
  <c r="U2698" i="16"/>
  <c r="U2697" i="16"/>
  <c r="U2696" i="16"/>
  <c r="U2695" i="16"/>
  <c r="U2694" i="16"/>
  <c r="U2693" i="16"/>
  <c r="U2692" i="16"/>
  <c r="U2691" i="16"/>
  <c r="U2690" i="16"/>
  <c r="U2689" i="16"/>
  <c r="U2688" i="16"/>
  <c r="U2687" i="16"/>
  <c r="U2686" i="16"/>
  <c r="U2685" i="16"/>
  <c r="U2684" i="16"/>
  <c r="U2683" i="16"/>
  <c r="U2682" i="16"/>
  <c r="U2681" i="16"/>
  <c r="U2680" i="16"/>
  <c r="U2679" i="16"/>
  <c r="U2678" i="16"/>
  <c r="U2677" i="16"/>
  <c r="U2676" i="16"/>
  <c r="U2675" i="16"/>
  <c r="U2674" i="16"/>
  <c r="U2673" i="16"/>
  <c r="U2672" i="16"/>
  <c r="U2671" i="16"/>
  <c r="U2670" i="16"/>
  <c r="U2669" i="16"/>
  <c r="U2668" i="16"/>
  <c r="U2667" i="16"/>
  <c r="U2666" i="16"/>
  <c r="U2665" i="16"/>
  <c r="U2664" i="16"/>
  <c r="U2663" i="16"/>
  <c r="U2662" i="16"/>
  <c r="U2661" i="16"/>
  <c r="U2660" i="16"/>
  <c r="U2659" i="16"/>
  <c r="U2658" i="16"/>
  <c r="U2657" i="16"/>
  <c r="U2656" i="16"/>
  <c r="U2655" i="16"/>
  <c r="U2654" i="16"/>
  <c r="U2653" i="16"/>
  <c r="U2652" i="16"/>
  <c r="U2651" i="16"/>
  <c r="U2650" i="16"/>
  <c r="U2649" i="16"/>
  <c r="U2648" i="16"/>
  <c r="U2647" i="16"/>
  <c r="U2646" i="16"/>
  <c r="U2645" i="16"/>
  <c r="U2644" i="16"/>
  <c r="U2643" i="16"/>
  <c r="U2642" i="16"/>
  <c r="U2641" i="16"/>
  <c r="U2640" i="16"/>
  <c r="U2639" i="16"/>
  <c r="U2638" i="16"/>
  <c r="U2637" i="16"/>
  <c r="U2636" i="16"/>
  <c r="U2635" i="16"/>
  <c r="U2634" i="16"/>
  <c r="U2633" i="16"/>
  <c r="U2632" i="16"/>
  <c r="U2631" i="16"/>
  <c r="U2630" i="16"/>
  <c r="U2629" i="16"/>
  <c r="U2628" i="16"/>
  <c r="U2627" i="16"/>
  <c r="U2626" i="16"/>
  <c r="U2625" i="16"/>
  <c r="U2624" i="16"/>
  <c r="U2623" i="16"/>
  <c r="U2622" i="16"/>
  <c r="U2621" i="16"/>
  <c r="U2620" i="16"/>
  <c r="U2619" i="16"/>
  <c r="U2618" i="16"/>
  <c r="U2617" i="16"/>
  <c r="U2616" i="16"/>
  <c r="U2615" i="16"/>
  <c r="U2614" i="16"/>
  <c r="U2613" i="16"/>
  <c r="U2612" i="16"/>
  <c r="U2611" i="16"/>
  <c r="U2610" i="16"/>
  <c r="U2609" i="16"/>
  <c r="U2608" i="16"/>
  <c r="U2607" i="16"/>
  <c r="U2606" i="16"/>
  <c r="U2605" i="16"/>
  <c r="U2604" i="16"/>
  <c r="U2603" i="16"/>
  <c r="U2602" i="16"/>
  <c r="U2601" i="16"/>
  <c r="U2600" i="16"/>
  <c r="U2599" i="16"/>
  <c r="U2598" i="16"/>
  <c r="U2597" i="16"/>
  <c r="U2596" i="16"/>
  <c r="U2595" i="16"/>
  <c r="U2594" i="16"/>
  <c r="U2593" i="16"/>
  <c r="U2592" i="16"/>
  <c r="U2591" i="16"/>
  <c r="U2590" i="16"/>
  <c r="U2589" i="16"/>
  <c r="U2588" i="16"/>
  <c r="U2587" i="16"/>
  <c r="U2586" i="16"/>
  <c r="U2585" i="16"/>
  <c r="U2584" i="16"/>
  <c r="U2583" i="16"/>
  <c r="U2582" i="16"/>
  <c r="U2581" i="16"/>
  <c r="U2580" i="16"/>
  <c r="U2579" i="16"/>
  <c r="U2578" i="16"/>
  <c r="U2577" i="16"/>
  <c r="U2576" i="16"/>
  <c r="U2575" i="16"/>
  <c r="U2574" i="16"/>
  <c r="U2573" i="16"/>
  <c r="U2572" i="16"/>
  <c r="U2571" i="16"/>
  <c r="U2570" i="16"/>
  <c r="U2569" i="16"/>
  <c r="U2568" i="16"/>
  <c r="U2567" i="16"/>
  <c r="U2566" i="16"/>
  <c r="U2565" i="16"/>
  <c r="U2564" i="16"/>
  <c r="U2563" i="16"/>
  <c r="U2562" i="16"/>
  <c r="U2561" i="16"/>
  <c r="U2560" i="16"/>
  <c r="U2559" i="16"/>
  <c r="U2558" i="16"/>
  <c r="U2557" i="16"/>
  <c r="U2556" i="16"/>
  <c r="U2555" i="16"/>
  <c r="U2554" i="16"/>
  <c r="U2553" i="16"/>
  <c r="U2552" i="16"/>
  <c r="U2551" i="16"/>
  <c r="U2550" i="16"/>
  <c r="U2549" i="16"/>
  <c r="U2548" i="16"/>
  <c r="U2547" i="16"/>
  <c r="U2546" i="16"/>
  <c r="U2545" i="16"/>
  <c r="U2544" i="16"/>
  <c r="U2543" i="16"/>
  <c r="U2542" i="16"/>
  <c r="U2541" i="16"/>
  <c r="U2540" i="16"/>
  <c r="U2539" i="16"/>
  <c r="U2538" i="16"/>
  <c r="U2537" i="16"/>
  <c r="U2536" i="16"/>
  <c r="U2535" i="16"/>
  <c r="U2534" i="16"/>
  <c r="U2533" i="16"/>
  <c r="U2532" i="16"/>
  <c r="U2531" i="16"/>
  <c r="U2530" i="16"/>
  <c r="U2529" i="16"/>
  <c r="U2528" i="16"/>
  <c r="U2527" i="16"/>
  <c r="U2526" i="16"/>
  <c r="U2525" i="16"/>
  <c r="U2524" i="16"/>
  <c r="U2523" i="16"/>
  <c r="U2522" i="16"/>
  <c r="U2521" i="16"/>
  <c r="U2520" i="16"/>
  <c r="U2519" i="16"/>
  <c r="U2518" i="16"/>
  <c r="U2517" i="16"/>
  <c r="U2516" i="16"/>
  <c r="U2515" i="16"/>
  <c r="U2514" i="16"/>
  <c r="U2513" i="16"/>
  <c r="U2512" i="16"/>
  <c r="U2511" i="16"/>
  <c r="U2510" i="16"/>
  <c r="U2509" i="16"/>
  <c r="U2508" i="16"/>
  <c r="U2507" i="16"/>
  <c r="U2506" i="16"/>
  <c r="U2505" i="16"/>
  <c r="U2504" i="16"/>
  <c r="U2503" i="16"/>
  <c r="U2502" i="16"/>
  <c r="U2501" i="16"/>
  <c r="U2500" i="16"/>
  <c r="U2499" i="16"/>
  <c r="U2498" i="16"/>
  <c r="U2497" i="16"/>
  <c r="U2496" i="16"/>
  <c r="U2495" i="16"/>
  <c r="U2494" i="16"/>
  <c r="U2493" i="16"/>
  <c r="U2492" i="16"/>
  <c r="U2491" i="16"/>
  <c r="U2490" i="16"/>
  <c r="U2489" i="16"/>
  <c r="U2488" i="16"/>
  <c r="U2487" i="16"/>
  <c r="U2486" i="16"/>
  <c r="U2485" i="16"/>
  <c r="U2484" i="16"/>
  <c r="U2483" i="16"/>
  <c r="U2482" i="16"/>
  <c r="U2481" i="16"/>
  <c r="U2480" i="16"/>
  <c r="U2479" i="16"/>
  <c r="U2478" i="16"/>
  <c r="U2477" i="16"/>
  <c r="U2476" i="16"/>
  <c r="U2475" i="16"/>
  <c r="U2474" i="16"/>
  <c r="U2473" i="16"/>
  <c r="U2472" i="16"/>
  <c r="U2471" i="16"/>
  <c r="U2470" i="16"/>
  <c r="U2469" i="16"/>
  <c r="U2468" i="16"/>
  <c r="U2467" i="16"/>
  <c r="U2466" i="16"/>
  <c r="U2465" i="16"/>
  <c r="U2464" i="16"/>
  <c r="U2463" i="16"/>
  <c r="U2462" i="16"/>
  <c r="U2461" i="16"/>
  <c r="U2460" i="16"/>
  <c r="U2459" i="16"/>
  <c r="U2458" i="16"/>
  <c r="U2457" i="16"/>
  <c r="U2456" i="16"/>
  <c r="U2455" i="16"/>
  <c r="U2454" i="16"/>
  <c r="U2453" i="16"/>
  <c r="U2452" i="16"/>
  <c r="U2451" i="16"/>
  <c r="U2450" i="16"/>
  <c r="U2449" i="16"/>
  <c r="U2448" i="16"/>
  <c r="U2447" i="16"/>
  <c r="U2446" i="16"/>
  <c r="U2445" i="16"/>
  <c r="U2444" i="16"/>
  <c r="U2443" i="16"/>
  <c r="U2442" i="16"/>
  <c r="U2441" i="16"/>
  <c r="U2440" i="16"/>
  <c r="U2439" i="16"/>
  <c r="U2438" i="16"/>
  <c r="U2437" i="16"/>
  <c r="U2436" i="16"/>
  <c r="U2435" i="16"/>
  <c r="U2434" i="16"/>
  <c r="U2433" i="16"/>
  <c r="U2432" i="16"/>
  <c r="U2431" i="16"/>
  <c r="U2430" i="16"/>
  <c r="U2429" i="16"/>
  <c r="U2428" i="16"/>
  <c r="U2426" i="16"/>
  <c r="U2424" i="16"/>
  <c r="U2422" i="16"/>
  <c r="U2420" i="16"/>
  <c r="U2418" i="16"/>
  <c r="U2416" i="16"/>
  <c r="U2415" i="16"/>
  <c r="U2414" i="16"/>
  <c r="U2413" i="16"/>
  <c r="U2412" i="16"/>
  <c r="U2411" i="16"/>
  <c r="U2410" i="16"/>
  <c r="U2409" i="16"/>
  <c r="U2408" i="16"/>
  <c r="U2407" i="16"/>
  <c r="U2406" i="16"/>
  <c r="U2405" i="16"/>
  <c r="U2404" i="16"/>
  <c r="U2403" i="16"/>
  <c r="U2402" i="16"/>
  <c r="U2401" i="16"/>
  <c r="U2400" i="16"/>
  <c r="U2399" i="16"/>
  <c r="U2398" i="16"/>
  <c r="U2397" i="16"/>
  <c r="U2396" i="16"/>
  <c r="U2395" i="16"/>
  <c r="U2394" i="16"/>
  <c r="U2393" i="16"/>
  <c r="U2392" i="16"/>
  <c r="U2391" i="16"/>
  <c r="U2390" i="16"/>
  <c r="U2389" i="16"/>
  <c r="U2388" i="16"/>
  <c r="U2387" i="16"/>
  <c r="U2386" i="16"/>
  <c r="U2385" i="16"/>
  <c r="U2384" i="16"/>
  <c r="U2383" i="16"/>
  <c r="U2382" i="16"/>
  <c r="U2381" i="16"/>
  <c r="U2380" i="16"/>
  <c r="U2379" i="16"/>
  <c r="U2378" i="16"/>
  <c r="U2377" i="16"/>
  <c r="U2376" i="16"/>
  <c r="U2375" i="16"/>
  <c r="U2374" i="16"/>
  <c r="U2373" i="16"/>
  <c r="U2372" i="16"/>
  <c r="U2371" i="16"/>
  <c r="U2370" i="16"/>
  <c r="U2369" i="16"/>
  <c r="U2368" i="16"/>
  <c r="U2367" i="16"/>
  <c r="U2366" i="16"/>
  <c r="U2365" i="16"/>
  <c r="U2364" i="16"/>
  <c r="U2363" i="16"/>
  <c r="U2362" i="16"/>
  <c r="U2361" i="16"/>
  <c r="U2360" i="16"/>
  <c r="U2359" i="16"/>
  <c r="U2358" i="16"/>
  <c r="U2357" i="16"/>
  <c r="U2356" i="16"/>
  <c r="U2355" i="16"/>
  <c r="U2354" i="16"/>
  <c r="U2353" i="16"/>
  <c r="U2352" i="16"/>
  <c r="U2351" i="16"/>
  <c r="U2350" i="16"/>
  <c r="U2349" i="16"/>
  <c r="U2348" i="16"/>
  <c r="U2347" i="16"/>
  <c r="U2346" i="16"/>
  <c r="U2345" i="16"/>
  <c r="U2344" i="16"/>
  <c r="U2343" i="16"/>
  <c r="U2342" i="16"/>
  <c r="U2341" i="16"/>
  <c r="U2340" i="16"/>
  <c r="U2339" i="16"/>
  <c r="U2338" i="16"/>
  <c r="U2337" i="16"/>
  <c r="U2336" i="16"/>
  <c r="U2335" i="16"/>
  <c r="U2334" i="16"/>
  <c r="U2333" i="16"/>
  <c r="U2332" i="16"/>
  <c r="U2331" i="16"/>
  <c r="U2330" i="16"/>
  <c r="U2329" i="16"/>
  <c r="U2328" i="16"/>
  <c r="U2327" i="16"/>
  <c r="U2326" i="16"/>
  <c r="U2325" i="16"/>
  <c r="U2324" i="16"/>
  <c r="U2323" i="16"/>
  <c r="U2322" i="16"/>
  <c r="U2321" i="16"/>
  <c r="U2320" i="16"/>
  <c r="U2319" i="16"/>
  <c r="U2318" i="16"/>
  <c r="U2317" i="16"/>
  <c r="U2316" i="16"/>
  <c r="U2315" i="16"/>
  <c r="U2314" i="16"/>
  <c r="U2313" i="16"/>
  <c r="U2312" i="16"/>
  <c r="U2311" i="16"/>
  <c r="U2310" i="16"/>
  <c r="U2309" i="16"/>
  <c r="U2308" i="16"/>
  <c r="U2307" i="16"/>
  <c r="U2306" i="16"/>
  <c r="U2305" i="16"/>
  <c r="U2304" i="16"/>
  <c r="U2303" i="16"/>
  <c r="U2302" i="16"/>
  <c r="U2301" i="16"/>
  <c r="U2300" i="16"/>
  <c r="U2299" i="16"/>
  <c r="U2298" i="16"/>
  <c r="U2297" i="16"/>
  <c r="U2296" i="16"/>
  <c r="U2295" i="16"/>
  <c r="U2294" i="16"/>
  <c r="U2293" i="16"/>
  <c r="U2292" i="16"/>
  <c r="U2291" i="16"/>
  <c r="U2290" i="16"/>
  <c r="U2289" i="16"/>
  <c r="U2288" i="16"/>
  <c r="U2287" i="16"/>
  <c r="U2286" i="16"/>
  <c r="U2285" i="16"/>
  <c r="U2284" i="16"/>
  <c r="U2283" i="16"/>
  <c r="U2282" i="16"/>
  <c r="U2281" i="16"/>
  <c r="U2280" i="16"/>
  <c r="U2279" i="16"/>
  <c r="U2278" i="16"/>
  <c r="U2277" i="16"/>
  <c r="U2276" i="16"/>
  <c r="U2275" i="16"/>
  <c r="U2274" i="16"/>
  <c r="U2273" i="16"/>
  <c r="U2272" i="16"/>
  <c r="U2271" i="16"/>
  <c r="U2270" i="16"/>
  <c r="U2269" i="16"/>
  <c r="U2268" i="16"/>
  <c r="U2267" i="16"/>
  <c r="U2266" i="16"/>
  <c r="U2265" i="16"/>
  <c r="U2264" i="16"/>
  <c r="U2263" i="16"/>
  <c r="U2262" i="16"/>
  <c r="U2261" i="16"/>
  <c r="U2260" i="16"/>
  <c r="U2259" i="16"/>
  <c r="U2258" i="16"/>
  <c r="U2257" i="16"/>
  <c r="U2256" i="16"/>
  <c r="U2255" i="16"/>
  <c r="U2254" i="16"/>
  <c r="U2253" i="16"/>
  <c r="U2252" i="16"/>
  <c r="U2251" i="16"/>
  <c r="U2250" i="16"/>
  <c r="U2249" i="16"/>
  <c r="U2248" i="16"/>
  <c r="U2247" i="16"/>
  <c r="U2246" i="16"/>
  <c r="U2245" i="16"/>
  <c r="U2244" i="16"/>
  <c r="U2243" i="16"/>
  <c r="U2242" i="16"/>
  <c r="U2241" i="16"/>
  <c r="U2240" i="16"/>
  <c r="U2239" i="16"/>
  <c r="U2238" i="16"/>
  <c r="U2237" i="16"/>
  <c r="U2236" i="16"/>
  <c r="U2235" i="16"/>
  <c r="U2234" i="16"/>
  <c r="U2233" i="16"/>
  <c r="U2232" i="16"/>
  <c r="U2231" i="16"/>
  <c r="U2230" i="16"/>
  <c r="U2229" i="16"/>
  <c r="U2228" i="16"/>
  <c r="U2227" i="16"/>
  <c r="U2226" i="16"/>
  <c r="U2225" i="16"/>
  <c r="U2224" i="16"/>
  <c r="U2223" i="16"/>
  <c r="U2222" i="16"/>
  <c r="U2221" i="16"/>
  <c r="U2220" i="16"/>
  <c r="U2219" i="16"/>
  <c r="U2218" i="16"/>
  <c r="U2217" i="16"/>
  <c r="U2216" i="16"/>
  <c r="U2215" i="16"/>
  <c r="U2214" i="16"/>
  <c r="U2213" i="16"/>
  <c r="U2212" i="16"/>
  <c r="U2211" i="16"/>
  <c r="U2210" i="16"/>
  <c r="U2209" i="16"/>
  <c r="U2208" i="16"/>
  <c r="U2207" i="16"/>
  <c r="U2206" i="16"/>
  <c r="U2205" i="16"/>
  <c r="U2204" i="16"/>
  <c r="U2203" i="16"/>
  <c r="U2202" i="16"/>
  <c r="U2201" i="16"/>
  <c r="U2200" i="16"/>
  <c r="U2199" i="16"/>
  <c r="U2198" i="16"/>
  <c r="U2197" i="16"/>
  <c r="U2196" i="16"/>
  <c r="U2195" i="16"/>
  <c r="U2194" i="16"/>
  <c r="U2193" i="16"/>
  <c r="U2192" i="16"/>
  <c r="U2191" i="16"/>
  <c r="U2190" i="16"/>
  <c r="U2189" i="16"/>
  <c r="U2188" i="16"/>
  <c r="U2187" i="16"/>
  <c r="U2186" i="16"/>
  <c r="U2185" i="16"/>
  <c r="U2184" i="16"/>
  <c r="U2183" i="16"/>
  <c r="U2182" i="16"/>
  <c r="U2181" i="16"/>
  <c r="U2180" i="16"/>
  <c r="U2179" i="16"/>
  <c r="U2178" i="16"/>
  <c r="U2177" i="16"/>
  <c r="U2176" i="16"/>
  <c r="U2175" i="16"/>
  <c r="U2174" i="16"/>
  <c r="U2173" i="16"/>
  <c r="U2172" i="16"/>
  <c r="U2171" i="16"/>
  <c r="U2170" i="16"/>
  <c r="U2169" i="16"/>
  <c r="U2168" i="16"/>
  <c r="U2167" i="16"/>
  <c r="U2166" i="16"/>
  <c r="U2165" i="16"/>
  <c r="U2164" i="16"/>
  <c r="U2163" i="16"/>
  <c r="U2162" i="16"/>
  <c r="U2161" i="16"/>
  <c r="U2160" i="16"/>
  <c r="U2159" i="16"/>
  <c r="U2158" i="16"/>
  <c r="U2157" i="16"/>
  <c r="U2156" i="16"/>
  <c r="U2155" i="16"/>
  <c r="U2154" i="16"/>
  <c r="U2153" i="16"/>
  <c r="U2152" i="16"/>
  <c r="U2151" i="16"/>
  <c r="U2150" i="16"/>
  <c r="U2149" i="16"/>
  <c r="U2148" i="16"/>
  <c r="U2147" i="16"/>
  <c r="U2146" i="16"/>
  <c r="U2145" i="16"/>
  <c r="U2144" i="16"/>
  <c r="U2143" i="16"/>
  <c r="U2142" i="16"/>
  <c r="U2141" i="16"/>
  <c r="U2140" i="16"/>
  <c r="U2139" i="16"/>
  <c r="U2138" i="16"/>
  <c r="U2137" i="16"/>
  <c r="U2136" i="16"/>
  <c r="U2135" i="16"/>
  <c r="U2134" i="16"/>
  <c r="U2133" i="16"/>
  <c r="U2132" i="16"/>
  <c r="U2131" i="16"/>
  <c r="U2130" i="16"/>
  <c r="U2129" i="16"/>
  <c r="U2128" i="16"/>
  <c r="U2127" i="16"/>
  <c r="U2126" i="16"/>
  <c r="U2125" i="16"/>
  <c r="U2124" i="16"/>
  <c r="U2123" i="16"/>
  <c r="U2122" i="16"/>
  <c r="U2121" i="16"/>
  <c r="U2120" i="16"/>
  <c r="U2119" i="16"/>
  <c r="U2118" i="16"/>
  <c r="U2117" i="16"/>
  <c r="U2116" i="16"/>
  <c r="U2115" i="16"/>
  <c r="U2114" i="16"/>
  <c r="U2113" i="16"/>
  <c r="U2112" i="16"/>
  <c r="U2111" i="16"/>
  <c r="U2110" i="16"/>
  <c r="U2109" i="16"/>
  <c r="U2108" i="16"/>
  <c r="U2107" i="16"/>
  <c r="U2106" i="16"/>
  <c r="U2105" i="16"/>
  <c r="U2104" i="16"/>
  <c r="U2103" i="16"/>
  <c r="U2102" i="16"/>
  <c r="U2101" i="16"/>
  <c r="U2100" i="16"/>
  <c r="U2099" i="16"/>
  <c r="U2098" i="16"/>
  <c r="U2097" i="16"/>
  <c r="U2096" i="16"/>
  <c r="U2095" i="16"/>
  <c r="U2094" i="16"/>
  <c r="U2093" i="16"/>
  <c r="U2092" i="16"/>
  <c r="U2091" i="16"/>
  <c r="U2090" i="16"/>
  <c r="U2089" i="16"/>
  <c r="U2088" i="16"/>
  <c r="U2087" i="16"/>
  <c r="U2086" i="16"/>
  <c r="U2085" i="16"/>
  <c r="U2084" i="16"/>
  <c r="U2083" i="16"/>
  <c r="U2082" i="16"/>
  <c r="U2081" i="16"/>
  <c r="U2080" i="16"/>
  <c r="U2079" i="16"/>
  <c r="U2078" i="16"/>
  <c r="U2077" i="16"/>
  <c r="U2076" i="16"/>
  <c r="U2075" i="16"/>
  <c r="U2074" i="16"/>
  <c r="U2073" i="16"/>
  <c r="U2072" i="16"/>
  <c r="U2071" i="16"/>
  <c r="U2070" i="16"/>
  <c r="U2069" i="16"/>
  <c r="U2068" i="16"/>
  <c r="U2067" i="16"/>
  <c r="U2066" i="16"/>
  <c r="U2065" i="16"/>
  <c r="U2064" i="16"/>
  <c r="U2063" i="16"/>
  <c r="U2062" i="16"/>
  <c r="U2061" i="16"/>
  <c r="U2060" i="16"/>
  <c r="U2059" i="16"/>
  <c r="U2058" i="16"/>
  <c r="U2057" i="16"/>
  <c r="U2056" i="16"/>
  <c r="U2055" i="16"/>
  <c r="U2054" i="16"/>
  <c r="U2053" i="16"/>
  <c r="U2052" i="16"/>
  <c r="U2051" i="16"/>
  <c r="U2050" i="16"/>
  <c r="U2049" i="16"/>
  <c r="U2048" i="16"/>
  <c r="U2047" i="16"/>
  <c r="U2046" i="16"/>
  <c r="U2045" i="16"/>
  <c r="U2044" i="16"/>
  <c r="U2043" i="16"/>
  <c r="U2042" i="16"/>
  <c r="U2041" i="16"/>
  <c r="U2040" i="16"/>
  <c r="U2039" i="16"/>
  <c r="U2038" i="16"/>
  <c r="U2037" i="16"/>
  <c r="U2036" i="16"/>
  <c r="U2035" i="16"/>
  <c r="U2034" i="16"/>
  <c r="U2033" i="16"/>
  <c r="U2032" i="16"/>
  <c r="U2031" i="16"/>
  <c r="U2030" i="16"/>
  <c r="U2029" i="16"/>
  <c r="U2028" i="16"/>
  <c r="U2027" i="16"/>
  <c r="U2026" i="16"/>
  <c r="U2025" i="16"/>
  <c r="U2024" i="16"/>
  <c r="U2023" i="16"/>
  <c r="U2022" i="16"/>
  <c r="U2021" i="16"/>
  <c r="U2020" i="16"/>
  <c r="U2019" i="16"/>
  <c r="U2018" i="16"/>
  <c r="U2017" i="16"/>
  <c r="U2016" i="16"/>
  <c r="U2015" i="16"/>
  <c r="U2014" i="16"/>
  <c r="U2013" i="16"/>
  <c r="U2012" i="16"/>
  <c r="U2011" i="16"/>
  <c r="U2010" i="16"/>
  <c r="U2009" i="16"/>
  <c r="U2008" i="16"/>
  <c r="U2007" i="16"/>
  <c r="U2006" i="16"/>
  <c r="U2005" i="16"/>
  <c r="U2004" i="16"/>
  <c r="U2003" i="16"/>
  <c r="U2002" i="16"/>
  <c r="U2001" i="16"/>
  <c r="U2000" i="16"/>
  <c r="U1999" i="16"/>
  <c r="U1998" i="16"/>
  <c r="U1997" i="16"/>
  <c r="U1996" i="16"/>
  <c r="U1995" i="16"/>
  <c r="U1994" i="16"/>
  <c r="U1993" i="16"/>
  <c r="U1992" i="16"/>
  <c r="U1991" i="16"/>
  <c r="U1990" i="16"/>
  <c r="U1989" i="16"/>
  <c r="U1988" i="16"/>
  <c r="U1987" i="16"/>
  <c r="U1986" i="16"/>
  <c r="U1985" i="16"/>
  <c r="U1984" i="16"/>
  <c r="U1983" i="16"/>
  <c r="U1982" i="16"/>
  <c r="U1981" i="16"/>
  <c r="U1980" i="16"/>
  <c r="U1979" i="16"/>
  <c r="U1978" i="16"/>
  <c r="U1977" i="16"/>
  <c r="U1976" i="16"/>
  <c r="U1975" i="16"/>
  <c r="U1974" i="16"/>
  <c r="U1973" i="16"/>
  <c r="U1972" i="16"/>
  <c r="U1971" i="16"/>
  <c r="U1970" i="16"/>
  <c r="U1969" i="16"/>
  <c r="U1968" i="16"/>
  <c r="U1967" i="16"/>
  <c r="U1966" i="16"/>
  <c r="U1965" i="16"/>
  <c r="U1964" i="16"/>
  <c r="U1963" i="16"/>
  <c r="U1962" i="16"/>
  <c r="U1961" i="16"/>
  <c r="U1960" i="16"/>
  <c r="U1959" i="16"/>
  <c r="U1958" i="16"/>
  <c r="U1957" i="16"/>
  <c r="U1956" i="16"/>
  <c r="U1955" i="16"/>
  <c r="U1954" i="16"/>
  <c r="U1953" i="16"/>
  <c r="U1952" i="16"/>
  <c r="U1951" i="16"/>
  <c r="U1950" i="16"/>
  <c r="U1949" i="16"/>
  <c r="U1948" i="16"/>
  <c r="U1947" i="16"/>
  <c r="U1946" i="16"/>
  <c r="U1945" i="16"/>
  <c r="U1944" i="16"/>
  <c r="U1943" i="16"/>
  <c r="U1942" i="16"/>
  <c r="U1941" i="16"/>
  <c r="U1940" i="16"/>
  <c r="U1939" i="16"/>
  <c r="U1938" i="16"/>
  <c r="U1937" i="16"/>
  <c r="U1936" i="16"/>
  <c r="U1935" i="16"/>
  <c r="U1934" i="16"/>
  <c r="U1933" i="16"/>
  <c r="U1932" i="16"/>
  <c r="U1931" i="16"/>
  <c r="U1930" i="16"/>
  <c r="U1929" i="16"/>
  <c r="U1928" i="16"/>
  <c r="U1927" i="16"/>
  <c r="U1926" i="16"/>
  <c r="U1925" i="16"/>
  <c r="U1924" i="16"/>
  <c r="U1923" i="16"/>
  <c r="U1922" i="16"/>
  <c r="U1921" i="16"/>
  <c r="U1920" i="16"/>
  <c r="U1919" i="16"/>
  <c r="U1918" i="16"/>
  <c r="U1917" i="16"/>
  <c r="U1916" i="16"/>
  <c r="U1915" i="16"/>
  <c r="U1914" i="16"/>
  <c r="U1913" i="16"/>
  <c r="U1912" i="16"/>
  <c r="U1911" i="16"/>
  <c r="U1910" i="16"/>
  <c r="U1909" i="16"/>
  <c r="U1908" i="16"/>
  <c r="U1907" i="16"/>
  <c r="U1906" i="16"/>
  <c r="U1905" i="16"/>
  <c r="U1904" i="16"/>
  <c r="U1903" i="16"/>
  <c r="U1902" i="16"/>
  <c r="U1901" i="16"/>
  <c r="U1900" i="16"/>
  <c r="U1899" i="16"/>
  <c r="U1898" i="16"/>
  <c r="U1897" i="16"/>
  <c r="U1896" i="16"/>
  <c r="U1895" i="16"/>
  <c r="U1894" i="16"/>
  <c r="U1893" i="16"/>
  <c r="U1892" i="16"/>
  <c r="U1891" i="16"/>
  <c r="U1890" i="16"/>
  <c r="U1889" i="16"/>
  <c r="U1888" i="16"/>
  <c r="U1887" i="16"/>
  <c r="U1886" i="16"/>
  <c r="U1885" i="16"/>
  <c r="U1884" i="16"/>
  <c r="U1883" i="16"/>
  <c r="U1882" i="16"/>
  <c r="U1881" i="16"/>
  <c r="U1880" i="16"/>
  <c r="U1879" i="16"/>
  <c r="U1878" i="16"/>
  <c r="U1877" i="16"/>
  <c r="U1876" i="16"/>
  <c r="U1875" i="16"/>
  <c r="U1874" i="16"/>
  <c r="U1873" i="16"/>
  <c r="U1872" i="16"/>
  <c r="U1871" i="16"/>
  <c r="U1870" i="16"/>
  <c r="U1869" i="16"/>
  <c r="U1868" i="16"/>
  <c r="U1867" i="16"/>
  <c r="U1866" i="16"/>
  <c r="U1865" i="16"/>
  <c r="U1864" i="16"/>
  <c r="U1863" i="16"/>
  <c r="U1862" i="16"/>
  <c r="U1861" i="16"/>
  <c r="U1860" i="16"/>
  <c r="U1859" i="16"/>
  <c r="U1858" i="16"/>
  <c r="U1857" i="16"/>
  <c r="U1856" i="16"/>
  <c r="U1855" i="16"/>
  <c r="U1854" i="16"/>
  <c r="U1853" i="16"/>
  <c r="U1852" i="16"/>
  <c r="U1851" i="16"/>
  <c r="U1850" i="16"/>
  <c r="U1849" i="16"/>
  <c r="U1848" i="16"/>
  <c r="U1847" i="16"/>
  <c r="U1846" i="16"/>
  <c r="U1845" i="16"/>
  <c r="U1844" i="16"/>
  <c r="U1843" i="16"/>
  <c r="U1842" i="16"/>
  <c r="U2427" i="16"/>
  <c r="U2425" i="16"/>
  <c r="U2423" i="16"/>
  <c r="U2421" i="16"/>
  <c r="U2419" i="16"/>
  <c r="U2417" i="16"/>
  <c r="U1841" i="16"/>
  <c r="U1840" i="16"/>
  <c r="U1839" i="16"/>
  <c r="U1838" i="16"/>
  <c r="U1837" i="16"/>
  <c r="U1836" i="16"/>
  <c r="U1835" i="16"/>
  <c r="U1834" i="16"/>
  <c r="U1833" i="16"/>
  <c r="U1832" i="16"/>
  <c r="U1831" i="16"/>
  <c r="U1830" i="16"/>
  <c r="U1829" i="16"/>
  <c r="U1828" i="16"/>
  <c r="U1827" i="16"/>
  <c r="U1826" i="16"/>
  <c r="U1825" i="16"/>
  <c r="U1824" i="16"/>
  <c r="U1823" i="16"/>
  <c r="U1822" i="16"/>
  <c r="U1821" i="16"/>
  <c r="U1820" i="16"/>
  <c r="U1819" i="16"/>
  <c r="U1818" i="16"/>
  <c r="U1817" i="16"/>
  <c r="U1816" i="16"/>
  <c r="U1815" i="16"/>
  <c r="U1814" i="16"/>
  <c r="U1813" i="16"/>
  <c r="U1812" i="16"/>
  <c r="U1811" i="16"/>
  <c r="U1810" i="16"/>
  <c r="U1809" i="16"/>
  <c r="U1808" i="16"/>
  <c r="U1807" i="16"/>
  <c r="U1806" i="16"/>
  <c r="U1805" i="16"/>
  <c r="U1804" i="16"/>
  <c r="U1803" i="16"/>
  <c r="U1802" i="16"/>
  <c r="U1801" i="16"/>
  <c r="U1800" i="16"/>
  <c r="U1799" i="16"/>
  <c r="U1798" i="16"/>
  <c r="U1797" i="16"/>
  <c r="U1796" i="16"/>
  <c r="U1795" i="16"/>
  <c r="U1794" i="16"/>
  <c r="U1793" i="16"/>
  <c r="U1792" i="16"/>
  <c r="U1791" i="16"/>
  <c r="U1790" i="16"/>
  <c r="U1789" i="16"/>
  <c r="U1788" i="16"/>
  <c r="U1787" i="16"/>
  <c r="U1786" i="16"/>
  <c r="U1785" i="16"/>
  <c r="U1784" i="16"/>
  <c r="U1783" i="16"/>
  <c r="U1782" i="16"/>
  <c r="U1781" i="16"/>
  <c r="U1780" i="16"/>
  <c r="U1779" i="16"/>
  <c r="U1778" i="16"/>
  <c r="U1777" i="16"/>
  <c r="U1776" i="16"/>
  <c r="U1775" i="16"/>
  <c r="U1774" i="16"/>
  <c r="U1773" i="16"/>
  <c r="U1772" i="16"/>
  <c r="U1771" i="16"/>
  <c r="U1770" i="16"/>
  <c r="U1769" i="16"/>
  <c r="U1768" i="16"/>
  <c r="U1767" i="16"/>
  <c r="U1766" i="16"/>
  <c r="U1765" i="16"/>
  <c r="U1764" i="16"/>
  <c r="U1763" i="16"/>
  <c r="U1762" i="16"/>
  <c r="U1761" i="16"/>
  <c r="U1760" i="16"/>
  <c r="U1759" i="16"/>
  <c r="U1758" i="16"/>
  <c r="U1757" i="16"/>
  <c r="U1756" i="16"/>
  <c r="U1755" i="16"/>
  <c r="U1754" i="16"/>
  <c r="U1753" i="16"/>
  <c r="U1752" i="16"/>
  <c r="U1751" i="16"/>
  <c r="U1750" i="16"/>
  <c r="U1749" i="16"/>
  <c r="U1748" i="16"/>
  <c r="U1747" i="16"/>
  <c r="U1746" i="16"/>
  <c r="U1745" i="16"/>
  <c r="U1744" i="16"/>
  <c r="U1743" i="16"/>
  <c r="U1742" i="16"/>
  <c r="U1741" i="16"/>
  <c r="U1740" i="16"/>
  <c r="U1739" i="16"/>
  <c r="U1738" i="16"/>
  <c r="U1737" i="16"/>
  <c r="U1736" i="16"/>
  <c r="U1735" i="16"/>
  <c r="U1734" i="16"/>
  <c r="U1733" i="16"/>
  <c r="U1732" i="16"/>
  <c r="U1731" i="16"/>
  <c r="U1730" i="16"/>
  <c r="U1729" i="16"/>
  <c r="U1728" i="16"/>
  <c r="U1727" i="16"/>
  <c r="U1726" i="16"/>
  <c r="U1725" i="16"/>
  <c r="U1724" i="16"/>
  <c r="U1723" i="16"/>
  <c r="U1722" i="16"/>
  <c r="U1721" i="16"/>
  <c r="U1720" i="16"/>
  <c r="U1719" i="16"/>
  <c r="U1718" i="16"/>
  <c r="U1717" i="16"/>
  <c r="U1716" i="16"/>
  <c r="U1715" i="16"/>
  <c r="U1714" i="16"/>
  <c r="U1713" i="16"/>
  <c r="U1712" i="16"/>
  <c r="U1711" i="16"/>
  <c r="U1710" i="16"/>
  <c r="U1709" i="16"/>
  <c r="U1708" i="16"/>
  <c r="U1707" i="16"/>
  <c r="U1706" i="16"/>
  <c r="U1705" i="16"/>
  <c r="U1704" i="16"/>
  <c r="U1703" i="16"/>
  <c r="U1702" i="16"/>
  <c r="U1701" i="16"/>
  <c r="U1700" i="16"/>
  <c r="U1699" i="16"/>
  <c r="U1698" i="16"/>
  <c r="U1697" i="16"/>
  <c r="U1696" i="16"/>
  <c r="U1695" i="16"/>
  <c r="U1694" i="16"/>
  <c r="U1693" i="16"/>
  <c r="U1692" i="16"/>
  <c r="U1691" i="16"/>
  <c r="U1690" i="16"/>
  <c r="U1689" i="16"/>
  <c r="U1688" i="16"/>
  <c r="U1687" i="16"/>
  <c r="U1686" i="16"/>
  <c r="U1685" i="16"/>
  <c r="U1684" i="16"/>
  <c r="U1683" i="16"/>
  <c r="U1682" i="16"/>
  <c r="U1681" i="16"/>
  <c r="U1680" i="16"/>
  <c r="U1679" i="16"/>
  <c r="U1678" i="16"/>
  <c r="U1677" i="16"/>
  <c r="U1676" i="16"/>
  <c r="U1675" i="16"/>
  <c r="U1674" i="16"/>
  <c r="U1673" i="16"/>
  <c r="U1672" i="16"/>
  <c r="U1671" i="16"/>
  <c r="U1670" i="16"/>
  <c r="U1669" i="16"/>
  <c r="U1668" i="16"/>
  <c r="U1667" i="16"/>
  <c r="U1666" i="16"/>
  <c r="U1665" i="16"/>
  <c r="U1664" i="16"/>
  <c r="U1663" i="16"/>
  <c r="U1662" i="16"/>
  <c r="U1661" i="16"/>
  <c r="U1660" i="16"/>
  <c r="U1659" i="16"/>
  <c r="U1658" i="16"/>
  <c r="U1657" i="16"/>
  <c r="U1656" i="16"/>
  <c r="U1655" i="16"/>
  <c r="U1654" i="16"/>
  <c r="U1653" i="16"/>
  <c r="U1652" i="16"/>
  <c r="U1651" i="16"/>
  <c r="U1650" i="16"/>
  <c r="U1649" i="16"/>
  <c r="U1648" i="16"/>
  <c r="U1647" i="16"/>
  <c r="U1646" i="16"/>
  <c r="U1645" i="16"/>
  <c r="U1644" i="16"/>
  <c r="U1643" i="16"/>
  <c r="U1642" i="16"/>
  <c r="U1641" i="16"/>
  <c r="U1640" i="16"/>
  <c r="U1639" i="16"/>
  <c r="U1638" i="16"/>
  <c r="U1637" i="16"/>
  <c r="U1636" i="16"/>
  <c r="U1635" i="16"/>
  <c r="U1634" i="16"/>
  <c r="U1633" i="16"/>
  <c r="U1632" i="16"/>
  <c r="U1631" i="16"/>
  <c r="U1630" i="16"/>
  <c r="U1629" i="16"/>
  <c r="U1628" i="16"/>
  <c r="U1627" i="16"/>
  <c r="U1626" i="16"/>
  <c r="U1625" i="16"/>
  <c r="U1624" i="16"/>
  <c r="U1623" i="16"/>
  <c r="U1622" i="16"/>
  <c r="U1621" i="16"/>
  <c r="U1620" i="16"/>
  <c r="U1619" i="16"/>
  <c r="U1618" i="16"/>
  <c r="U1617" i="16"/>
  <c r="U1616" i="16"/>
  <c r="U1615" i="16"/>
  <c r="U1614" i="16"/>
  <c r="U1613" i="16"/>
  <c r="U1612" i="16"/>
  <c r="U1611" i="16"/>
  <c r="U1610" i="16"/>
  <c r="U1609" i="16"/>
  <c r="U1608" i="16"/>
  <c r="U1607" i="16"/>
  <c r="U1606" i="16"/>
  <c r="U1605" i="16"/>
  <c r="U1604" i="16"/>
  <c r="U1603" i="16"/>
  <c r="U1602" i="16"/>
  <c r="U1601" i="16"/>
  <c r="U1600" i="16"/>
  <c r="U1599" i="16"/>
  <c r="U1598" i="16"/>
  <c r="U1597" i="16"/>
  <c r="U1596" i="16"/>
  <c r="U1595" i="16"/>
  <c r="U1594" i="16"/>
  <c r="U1593" i="16"/>
  <c r="U1592" i="16"/>
  <c r="U1591" i="16"/>
  <c r="U1590" i="16"/>
  <c r="U1589" i="16"/>
  <c r="U1588" i="16"/>
  <c r="U1587" i="16"/>
  <c r="U1586" i="16"/>
  <c r="U1585" i="16"/>
  <c r="U1584" i="16"/>
  <c r="U1583" i="16"/>
  <c r="U1582" i="16"/>
  <c r="U1581" i="16"/>
  <c r="U1580" i="16"/>
  <c r="U1579" i="16"/>
  <c r="U1578" i="16"/>
  <c r="U1577" i="16"/>
  <c r="U1576" i="16"/>
  <c r="U1575" i="16"/>
  <c r="U1574" i="16"/>
  <c r="U1573" i="16"/>
  <c r="U1572" i="16"/>
  <c r="U1571" i="16"/>
  <c r="U1570" i="16"/>
  <c r="U1569" i="16"/>
  <c r="U1568" i="16"/>
  <c r="U1567" i="16"/>
  <c r="U1566" i="16"/>
  <c r="U1565" i="16"/>
  <c r="U1564" i="16"/>
  <c r="U1563" i="16"/>
  <c r="U1562" i="16"/>
  <c r="U1561" i="16"/>
  <c r="U1560" i="16"/>
  <c r="U1559" i="16"/>
  <c r="U1558" i="16"/>
  <c r="U1557" i="16"/>
  <c r="U1556" i="16"/>
  <c r="U1555" i="16"/>
  <c r="U1554" i="16"/>
  <c r="U1553" i="16"/>
  <c r="U1552" i="16"/>
  <c r="U1551" i="16"/>
  <c r="U1550" i="16"/>
  <c r="U1549" i="16"/>
  <c r="U1548" i="16"/>
  <c r="U1547" i="16"/>
  <c r="U1546" i="16"/>
  <c r="U1545" i="16"/>
  <c r="U1544" i="16"/>
  <c r="U1543" i="16"/>
  <c r="U1542" i="16"/>
  <c r="U1541" i="16"/>
  <c r="U1540" i="16"/>
  <c r="U1539" i="16"/>
  <c r="U1538" i="16"/>
  <c r="U1537" i="16"/>
  <c r="U1536" i="16"/>
  <c r="U1535" i="16"/>
  <c r="U1534" i="16"/>
  <c r="U1533" i="16"/>
  <c r="U1532" i="16"/>
  <c r="U1531" i="16"/>
  <c r="U1530" i="16"/>
  <c r="U1529" i="16"/>
  <c r="U1528" i="16"/>
  <c r="U1527" i="16"/>
  <c r="U1526" i="16"/>
  <c r="U1525" i="16"/>
  <c r="U1524" i="16"/>
  <c r="U1523" i="16"/>
  <c r="U1522" i="16"/>
  <c r="U1521" i="16"/>
  <c r="U1520" i="16"/>
  <c r="U1519" i="16"/>
  <c r="U1518" i="16"/>
  <c r="U1517" i="16"/>
  <c r="U1516" i="16"/>
  <c r="U1515" i="16"/>
  <c r="U1514" i="16"/>
  <c r="U1513" i="16"/>
  <c r="U1512" i="16"/>
  <c r="U1511" i="16"/>
  <c r="U1510" i="16"/>
  <c r="U1509" i="16"/>
  <c r="U1508" i="16"/>
  <c r="U1507" i="16"/>
  <c r="U1506" i="16"/>
  <c r="U1505" i="16"/>
  <c r="U1504" i="16"/>
  <c r="U1503" i="16"/>
  <c r="U1502" i="16"/>
  <c r="U1501" i="16"/>
  <c r="U1500" i="16"/>
  <c r="U1499" i="16"/>
  <c r="U1498" i="16"/>
  <c r="U1497" i="16"/>
  <c r="U1496" i="16"/>
  <c r="U1495" i="16"/>
  <c r="U1494" i="16"/>
  <c r="U1493" i="16"/>
  <c r="U1492" i="16"/>
  <c r="U1491" i="16"/>
  <c r="U1490" i="16"/>
  <c r="U1489" i="16"/>
  <c r="U1488" i="16"/>
  <c r="U1487" i="16"/>
  <c r="U1486" i="16"/>
  <c r="U1485" i="16"/>
  <c r="U1484" i="16"/>
  <c r="U1483" i="16"/>
  <c r="U1482" i="16"/>
  <c r="U1481" i="16"/>
  <c r="U1480" i="16"/>
  <c r="U1479" i="16"/>
  <c r="U1478" i="16"/>
  <c r="U1477" i="16"/>
  <c r="U1476" i="16"/>
  <c r="U1475" i="16"/>
  <c r="U1474" i="16"/>
  <c r="U1473" i="16"/>
  <c r="U1472" i="16"/>
  <c r="U1471" i="16"/>
  <c r="U1470" i="16"/>
  <c r="U1469" i="16"/>
  <c r="U1468" i="16"/>
  <c r="U1467" i="16"/>
  <c r="U1466" i="16"/>
  <c r="U1465" i="16"/>
  <c r="U1464" i="16"/>
  <c r="U1463" i="16"/>
  <c r="U1462" i="16"/>
  <c r="U1461" i="16"/>
  <c r="U1460" i="16"/>
  <c r="U1459" i="16"/>
  <c r="U1458" i="16"/>
  <c r="U1457" i="16"/>
  <c r="U1456" i="16"/>
  <c r="U1455" i="16"/>
  <c r="U1454" i="16"/>
  <c r="U1453" i="16"/>
  <c r="U1452" i="16"/>
  <c r="U1451" i="16"/>
  <c r="U1450" i="16"/>
  <c r="U1449" i="16"/>
  <c r="U1448" i="16"/>
  <c r="U1447" i="16"/>
  <c r="U1446" i="16"/>
  <c r="U1445" i="16"/>
  <c r="U1444" i="16"/>
  <c r="U1443" i="16"/>
  <c r="U1442" i="16"/>
  <c r="U1441" i="16"/>
  <c r="U1440" i="16"/>
  <c r="U1439" i="16"/>
  <c r="U1438" i="16"/>
  <c r="U1437" i="16"/>
  <c r="U1436" i="16"/>
  <c r="U1435" i="16"/>
  <c r="U1434" i="16"/>
  <c r="U1433" i="16"/>
  <c r="U1432" i="16"/>
  <c r="U1431" i="16"/>
  <c r="U1430" i="16"/>
  <c r="U1429" i="16"/>
  <c r="U1428" i="16"/>
  <c r="U1427" i="16"/>
  <c r="U1426" i="16"/>
  <c r="U1425" i="16"/>
  <c r="U1424" i="16"/>
  <c r="U1423" i="16"/>
  <c r="U1422" i="16"/>
  <c r="U1421" i="16"/>
  <c r="U1420" i="16"/>
  <c r="U1419" i="16"/>
  <c r="U1418" i="16"/>
  <c r="U1417" i="16"/>
  <c r="U1416" i="16"/>
  <c r="U1415" i="16"/>
  <c r="U1414" i="16"/>
  <c r="U1413" i="16"/>
  <c r="U1412" i="16"/>
  <c r="U1411" i="16"/>
  <c r="U1410" i="16"/>
  <c r="U1409" i="16"/>
  <c r="U1408" i="16"/>
  <c r="U1407" i="16"/>
  <c r="U1406" i="16"/>
  <c r="U1405" i="16"/>
  <c r="U1404" i="16"/>
  <c r="U1403" i="16"/>
  <c r="U1402" i="16"/>
  <c r="U1401" i="16"/>
  <c r="U1400" i="16"/>
  <c r="U1399" i="16"/>
  <c r="U1398" i="16"/>
  <c r="U1397" i="16"/>
  <c r="U1396" i="16"/>
  <c r="U1395" i="16"/>
  <c r="U1394" i="16"/>
  <c r="U1393" i="16"/>
  <c r="U1392" i="16"/>
  <c r="U1391" i="16"/>
  <c r="U1390" i="16"/>
  <c r="U1389" i="16"/>
  <c r="U1388" i="16"/>
  <c r="U1387" i="16"/>
  <c r="U1386" i="16"/>
  <c r="U1385" i="16"/>
  <c r="U1384" i="16"/>
  <c r="U1383" i="16"/>
  <c r="U1382" i="16"/>
  <c r="U1381" i="16"/>
  <c r="U1380" i="16"/>
  <c r="U1379" i="16"/>
  <c r="U1378" i="16"/>
  <c r="U1377" i="16"/>
  <c r="U1376" i="16"/>
  <c r="U1375" i="16"/>
  <c r="U1374" i="16"/>
  <c r="U1373" i="16"/>
  <c r="U1372" i="16"/>
  <c r="U1371" i="16"/>
  <c r="U1370" i="16"/>
  <c r="U1369" i="16"/>
  <c r="U1368" i="16"/>
  <c r="U1367" i="16"/>
  <c r="U1366" i="16"/>
  <c r="U1365" i="16"/>
  <c r="U1364" i="16"/>
  <c r="U1363" i="16"/>
  <c r="U1362" i="16"/>
  <c r="U1361" i="16"/>
  <c r="U1360" i="16"/>
  <c r="U1359" i="16"/>
  <c r="U1358" i="16"/>
  <c r="U1357" i="16"/>
  <c r="U1356" i="16"/>
  <c r="U1355" i="16"/>
  <c r="U1354" i="16"/>
  <c r="U1353" i="16"/>
  <c r="U1352" i="16"/>
  <c r="U1351" i="16"/>
  <c r="U1350" i="16"/>
  <c r="U1349" i="16"/>
  <c r="U1348" i="16"/>
  <c r="U1347" i="16"/>
  <c r="U1346" i="16"/>
  <c r="U1345" i="16"/>
  <c r="U1344" i="16"/>
  <c r="U1343" i="16"/>
  <c r="U1342" i="16"/>
  <c r="U1341" i="16"/>
  <c r="U1340" i="16"/>
  <c r="U1339" i="16"/>
  <c r="U1338" i="16"/>
  <c r="U1337" i="16"/>
  <c r="U1336" i="16"/>
  <c r="U1335" i="16"/>
  <c r="U1334" i="16"/>
  <c r="U1333" i="16"/>
  <c r="U1332" i="16"/>
  <c r="U1331" i="16"/>
  <c r="U1330" i="16"/>
  <c r="U1329" i="16"/>
  <c r="U1328" i="16"/>
  <c r="U1327" i="16"/>
  <c r="U1326" i="16"/>
  <c r="U1325" i="16"/>
  <c r="U1324" i="16"/>
  <c r="U1323" i="16"/>
  <c r="U1322" i="16"/>
  <c r="U1321" i="16"/>
  <c r="U1320" i="16"/>
  <c r="U1319" i="16"/>
  <c r="U1318" i="16"/>
  <c r="U1317" i="16"/>
  <c r="U1316" i="16"/>
  <c r="U1315" i="16"/>
  <c r="U1314" i="16"/>
  <c r="U1313" i="16"/>
  <c r="U1312" i="16"/>
  <c r="U1311" i="16"/>
  <c r="U1310" i="16"/>
  <c r="U1309" i="16"/>
  <c r="U1308" i="16"/>
  <c r="U1307" i="16"/>
  <c r="U1306" i="16"/>
  <c r="U1305" i="16"/>
  <c r="U1304" i="16"/>
  <c r="U1303" i="16"/>
  <c r="U1302" i="16"/>
  <c r="U1301" i="16"/>
  <c r="U1300" i="16"/>
  <c r="U1212" i="16"/>
  <c r="U1211" i="16"/>
  <c r="U1210" i="16"/>
  <c r="U1209" i="16"/>
  <c r="U1208" i="16"/>
  <c r="U1207" i="16"/>
  <c r="U1206" i="16"/>
  <c r="U1205" i="16"/>
  <c r="U1204" i="16"/>
  <c r="U1203" i="16"/>
  <c r="U1202" i="16"/>
  <c r="U1201" i="16"/>
  <c r="U1200" i="16"/>
  <c r="U1199" i="16"/>
  <c r="U1198" i="16"/>
  <c r="U1197" i="16"/>
  <c r="U1196" i="16"/>
  <c r="U1195" i="16"/>
  <c r="U1194" i="16"/>
  <c r="U1193" i="16"/>
  <c r="U1192" i="16"/>
  <c r="U1191" i="16"/>
  <c r="U1190" i="16"/>
  <c r="U1189" i="16"/>
  <c r="U1188" i="16"/>
  <c r="U1187" i="16"/>
  <c r="U1186" i="16"/>
  <c r="U1185" i="16"/>
  <c r="U1184" i="16"/>
  <c r="U1183" i="16"/>
  <c r="U1182" i="16"/>
  <c r="U1181" i="16"/>
  <c r="U1180" i="16"/>
  <c r="U1179" i="16"/>
  <c r="U1178" i="16"/>
  <c r="U1177" i="16"/>
  <c r="U1176" i="16"/>
  <c r="U1175" i="16"/>
  <c r="U1174" i="16"/>
  <c r="U1173" i="16"/>
  <c r="U1172" i="16"/>
  <c r="U1171" i="16"/>
  <c r="U1170" i="16"/>
  <c r="U1169" i="16"/>
  <c r="U1168" i="16"/>
  <c r="U1167" i="16"/>
  <c r="U1166" i="16"/>
  <c r="U1165" i="16"/>
  <c r="U1164" i="16"/>
  <c r="U1163" i="16"/>
  <c r="U1162" i="16"/>
  <c r="U1161" i="16"/>
  <c r="U1160" i="16"/>
  <c r="U1159" i="16"/>
  <c r="U1158" i="16"/>
  <c r="U1157" i="16"/>
  <c r="U1156" i="16"/>
  <c r="U1155" i="16"/>
  <c r="U1154" i="16"/>
  <c r="U1153" i="16"/>
  <c r="U1152" i="16"/>
  <c r="U1151" i="16"/>
  <c r="U1150" i="16"/>
  <c r="U1149" i="16"/>
  <c r="U1148" i="16"/>
  <c r="U1147" i="16"/>
  <c r="U1146" i="16"/>
  <c r="U1145" i="16"/>
  <c r="U1144" i="16"/>
  <c r="U1143" i="16"/>
  <c r="U1142" i="16"/>
  <c r="U1141" i="16"/>
  <c r="U1140" i="16"/>
  <c r="U1139" i="16"/>
  <c r="U1138" i="16"/>
  <c r="U1137" i="16"/>
  <c r="U1136" i="16"/>
  <c r="U1135" i="16"/>
  <c r="U1134" i="16"/>
  <c r="U1133" i="16"/>
  <c r="U1132" i="16"/>
  <c r="U1131" i="16"/>
  <c r="U1130" i="16"/>
  <c r="U1129" i="16"/>
  <c r="U1128" i="16"/>
  <c r="U1127" i="16"/>
  <c r="U1126" i="16"/>
  <c r="U1125" i="16"/>
  <c r="U1124" i="16"/>
  <c r="U1123" i="16"/>
  <c r="U1122" i="16"/>
  <c r="U1121" i="16"/>
  <c r="U1120" i="16"/>
  <c r="U1119" i="16"/>
  <c r="U1118" i="16"/>
  <c r="U1117" i="16"/>
  <c r="U1116" i="16"/>
  <c r="U1115" i="16"/>
  <c r="U1114" i="16"/>
  <c r="U1113" i="16"/>
  <c r="U1112" i="16"/>
  <c r="U1111" i="16"/>
  <c r="U1110" i="16"/>
  <c r="U1109" i="16"/>
  <c r="U1108" i="16"/>
  <c r="U1107" i="16"/>
  <c r="U1106" i="16"/>
  <c r="U1105" i="16"/>
  <c r="U1104" i="16"/>
  <c r="U1103" i="16"/>
  <c r="U1102" i="16"/>
  <c r="U1101" i="16"/>
  <c r="U1100" i="16"/>
  <c r="U1099" i="16"/>
  <c r="U1098" i="16"/>
  <c r="U1097" i="16"/>
  <c r="U1096" i="16"/>
  <c r="U1095" i="16"/>
  <c r="U1094" i="16"/>
  <c r="U1093" i="16"/>
  <c r="U1092" i="16"/>
  <c r="U1091" i="16"/>
  <c r="U1090" i="16"/>
  <c r="U1089" i="16"/>
  <c r="U1088" i="16"/>
  <c r="U1087" i="16"/>
  <c r="U1086" i="16"/>
  <c r="U1085" i="16"/>
  <c r="U1084" i="16"/>
  <c r="U1083" i="16"/>
  <c r="U1082" i="16"/>
  <c r="U1081" i="16"/>
  <c r="U1080" i="16"/>
  <c r="U1079" i="16"/>
  <c r="U1078" i="16"/>
  <c r="U1077" i="16"/>
  <c r="U1076" i="16"/>
  <c r="U1075" i="16"/>
  <c r="U1074" i="16"/>
  <c r="U1073" i="16"/>
  <c r="U1072" i="16"/>
  <c r="U1071" i="16"/>
  <c r="U1070" i="16"/>
  <c r="U1069" i="16"/>
  <c r="U1068" i="16"/>
  <c r="U1067" i="16"/>
  <c r="U1066" i="16"/>
  <c r="U1065" i="16"/>
  <c r="U1064" i="16"/>
  <c r="U1063" i="16"/>
  <c r="U1062" i="16"/>
  <c r="U1061" i="16"/>
  <c r="U1060" i="16"/>
  <c r="U1059" i="16"/>
  <c r="U1058" i="16"/>
  <c r="U1057" i="16"/>
  <c r="U1056" i="16"/>
  <c r="U1055" i="16"/>
  <c r="U1054" i="16"/>
  <c r="U1053" i="16"/>
  <c r="U1052" i="16"/>
  <c r="U1051" i="16"/>
  <c r="U1050" i="16"/>
  <c r="U1049" i="16"/>
  <c r="U1048" i="16"/>
  <c r="U1047" i="16"/>
  <c r="U1046" i="16"/>
  <c r="U1045" i="16"/>
  <c r="U1044" i="16"/>
  <c r="U1043" i="16"/>
  <c r="U1042" i="16"/>
  <c r="U1041" i="16"/>
  <c r="U1040" i="16"/>
  <c r="U1039" i="16"/>
  <c r="U1038" i="16"/>
  <c r="U1037" i="16"/>
  <c r="U1036" i="16"/>
  <c r="U1035" i="16"/>
  <c r="U1034" i="16"/>
  <c r="U1033" i="16"/>
  <c r="U1032" i="16"/>
  <c r="U1031" i="16"/>
  <c r="U1030" i="16"/>
  <c r="U1029" i="16"/>
  <c r="U1028" i="16"/>
  <c r="U1027" i="16"/>
  <c r="U1026" i="16"/>
  <c r="U1025" i="16"/>
  <c r="U1024" i="16"/>
  <c r="U1023" i="16"/>
  <c r="U1022" i="16"/>
  <c r="U1021" i="16"/>
  <c r="U1020" i="16"/>
  <c r="U1019" i="16"/>
  <c r="U1018" i="16"/>
  <c r="U1017" i="16"/>
  <c r="U1016" i="16"/>
  <c r="U1015" i="16"/>
  <c r="U1014" i="16"/>
  <c r="U1013" i="16"/>
  <c r="U1012" i="16"/>
  <c r="U1011" i="16"/>
  <c r="U1010" i="16"/>
  <c r="U1009" i="16"/>
  <c r="U1008" i="16"/>
  <c r="U1007" i="16"/>
  <c r="U1006" i="16"/>
  <c r="U1005" i="16"/>
  <c r="U1004" i="16"/>
  <c r="U1003" i="16"/>
  <c r="U1002" i="16"/>
  <c r="U1001" i="16"/>
  <c r="U1000" i="16"/>
  <c r="U999" i="16"/>
  <c r="U998" i="16"/>
  <c r="U997" i="16"/>
  <c r="U996" i="16"/>
  <c r="U995" i="16"/>
  <c r="U994" i="16"/>
  <c r="U993" i="16"/>
  <c r="U992" i="16"/>
  <c r="U991" i="16"/>
  <c r="U990" i="16"/>
  <c r="U989" i="16"/>
  <c r="U988" i="16"/>
  <c r="U987" i="16"/>
  <c r="U986" i="16"/>
  <c r="U985" i="16"/>
  <c r="U984" i="16"/>
  <c r="U983" i="16"/>
  <c r="U982" i="16"/>
  <c r="U981" i="16"/>
  <c r="U980" i="16"/>
  <c r="U979" i="16"/>
  <c r="U978" i="16"/>
  <c r="U977" i="16"/>
  <c r="U976" i="16"/>
  <c r="U975" i="16"/>
  <c r="U974" i="16"/>
  <c r="U973" i="16"/>
  <c r="U972" i="16"/>
  <c r="U971" i="16"/>
  <c r="U970" i="16"/>
  <c r="U969" i="16"/>
  <c r="U968" i="16"/>
  <c r="U967" i="16"/>
  <c r="U966" i="16"/>
  <c r="U965" i="16"/>
  <c r="U964" i="16"/>
  <c r="U963" i="16"/>
  <c r="U962" i="16"/>
  <c r="U961" i="16"/>
  <c r="U960" i="16"/>
  <c r="U959" i="16"/>
  <c r="U958" i="16"/>
  <c r="U957" i="16"/>
  <c r="U956" i="16"/>
  <c r="U955" i="16"/>
  <c r="U954" i="16"/>
  <c r="U953" i="16"/>
  <c r="U952" i="16"/>
  <c r="U951" i="16"/>
  <c r="U950" i="16"/>
  <c r="U949" i="16"/>
  <c r="U948" i="16"/>
  <c r="U947" i="16"/>
  <c r="U946" i="16"/>
  <c r="U945" i="16"/>
  <c r="U944" i="16"/>
  <c r="U943" i="16"/>
  <c r="U942" i="16"/>
  <c r="U941" i="16"/>
  <c r="U940" i="16"/>
  <c r="U939" i="16"/>
  <c r="U938" i="16"/>
  <c r="U937" i="16"/>
  <c r="U936" i="16"/>
  <c r="U935" i="16"/>
  <c r="U934" i="16"/>
  <c r="U933" i="16"/>
  <c r="U932" i="16"/>
  <c r="U931" i="16"/>
  <c r="U930" i="16"/>
  <c r="U929" i="16"/>
  <c r="U928" i="16"/>
  <c r="U927" i="16"/>
  <c r="U926" i="16"/>
  <c r="U925" i="16"/>
  <c r="U924" i="16"/>
  <c r="U923" i="16"/>
  <c r="U922" i="16"/>
  <c r="U921" i="16"/>
  <c r="U920" i="16"/>
  <c r="U919" i="16"/>
  <c r="U918" i="16"/>
  <c r="U917" i="16"/>
  <c r="U916" i="16"/>
  <c r="U915" i="16"/>
  <c r="U914" i="16"/>
  <c r="U913" i="16"/>
  <c r="U912" i="16"/>
  <c r="U911" i="16"/>
  <c r="U910" i="16"/>
  <c r="U909" i="16"/>
  <c r="U908" i="16"/>
  <c r="U907" i="16"/>
  <c r="U906" i="16"/>
  <c r="U905" i="16"/>
  <c r="U904" i="16"/>
  <c r="U903" i="16"/>
  <c r="U902" i="16"/>
  <c r="U901" i="16"/>
  <c r="U900" i="16"/>
  <c r="U899" i="16"/>
  <c r="U898" i="16"/>
  <c r="U897" i="16"/>
  <c r="U896" i="16"/>
  <c r="U895" i="16"/>
  <c r="U894" i="16"/>
  <c r="U893" i="16"/>
  <c r="U892" i="16"/>
  <c r="U891" i="16"/>
  <c r="U890" i="16"/>
  <c r="U889" i="16"/>
  <c r="U888" i="16"/>
  <c r="U887" i="16"/>
  <c r="U886" i="16"/>
  <c r="U885" i="16"/>
  <c r="U884" i="16"/>
  <c r="U883" i="16"/>
  <c r="U882" i="16"/>
  <c r="U881" i="16"/>
  <c r="U880" i="16"/>
  <c r="U879" i="16"/>
  <c r="U878" i="16"/>
  <c r="U877" i="16"/>
  <c r="U876" i="16"/>
  <c r="U875" i="16"/>
  <c r="U874" i="16"/>
  <c r="U873" i="16"/>
  <c r="U872" i="16"/>
  <c r="U871" i="16"/>
  <c r="U870" i="16"/>
  <c r="U869" i="16"/>
  <c r="U868" i="16"/>
  <c r="U867" i="16"/>
  <c r="U866" i="16"/>
  <c r="U865" i="16"/>
  <c r="U864" i="16"/>
  <c r="U863" i="16"/>
  <c r="U862" i="16"/>
  <c r="U861" i="16"/>
  <c r="U860" i="16"/>
  <c r="U859" i="16"/>
  <c r="U858" i="16"/>
  <c r="U857" i="16"/>
  <c r="U856" i="16"/>
  <c r="U855" i="16"/>
  <c r="U854" i="16"/>
  <c r="U853" i="16"/>
  <c r="U852" i="16"/>
  <c r="U851" i="16"/>
  <c r="U850" i="16"/>
  <c r="U849" i="16"/>
  <c r="U848" i="16"/>
  <c r="U847" i="16"/>
  <c r="U846" i="16"/>
  <c r="U845" i="16"/>
  <c r="U844" i="16"/>
  <c r="U843" i="16"/>
  <c r="U842" i="16"/>
  <c r="U841" i="16"/>
  <c r="U840" i="16"/>
  <c r="U839" i="16"/>
  <c r="U838" i="16"/>
  <c r="U837" i="16"/>
  <c r="U836" i="16"/>
  <c r="U835" i="16"/>
  <c r="U834" i="16"/>
  <c r="U833" i="16"/>
  <c r="U832" i="16"/>
  <c r="U831" i="16"/>
  <c r="U830" i="16"/>
  <c r="U829" i="16"/>
  <c r="U828" i="16"/>
  <c r="U827" i="16"/>
  <c r="U826" i="16"/>
  <c r="U825" i="16"/>
  <c r="U824" i="16"/>
  <c r="U823" i="16"/>
  <c r="U822" i="16"/>
  <c r="U821" i="16"/>
  <c r="U820" i="16"/>
  <c r="U819" i="16"/>
  <c r="U818" i="16"/>
  <c r="U817" i="16"/>
  <c r="U816" i="16"/>
  <c r="U815" i="16"/>
  <c r="U814" i="16"/>
  <c r="U813" i="16"/>
  <c r="U812" i="16"/>
  <c r="U811" i="16"/>
  <c r="U810" i="16"/>
  <c r="U809" i="16"/>
  <c r="U808" i="16"/>
  <c r="U807" i="16"/>
  <c r="U806" i="16"/>
  <c r="U805" i="16"/>
  <c r="U804" i="16"/>
  <c r="U803" i="16"/>
  <c r="U802" i="16"/>
  <c r="U801" i="16"/>
  <c r="U800" i="16"/>
  <c r="U799" i="16"/>
  <c r="U798" i="16"/>
  <c r="U797" i="16"/>
  <c r="U796" i="16"/>
  <c r="U795" i="16"/>
  <c r="U794" i="16"/>
  <c r="U793" i="16"/>
  <c r="U792" i="16"/>
  <c r="U791" i="16"/>
  <c r="U790" i="16"/>
  <c r="U789" i="16"/>
  <c r="U788" i="16"/>
  <c r="U787" i="16"/>
  <c r="U786" i="16"/>
  <c r="U785" i="16"/>
  <c r="U784" i="16"/>
  <c r="U783" i="16"/>
  <c r="U782" i="16"/>
  <c r="U781" i="16"/>
  <c r="U780" i="16"/>
  <c r="U779" i="16"/>
  <c r="U778" i="16"/>
  <c r="U777" i="16"/>
  <c r="U776" i="16"/>
  <c r="U775" i="16"/>
  <c r="U774" i="16"/>
  <c r="U773" i="16"/>
  <c r="U772" i="16"/>
  <c r="U771" i="16"/>
  <c r="U770" i="16"/>
  <c r="U769" i="16"/>
  <c r="U768" i="16"/>
  <c r="U767" i="16"/>
  <c r="U766" i="16"/>
  <c r="U765" i="16"/>
  <c r="U764" i="16"/>
  <c r="U763" i="16"/>
  <c r="U762" i="16"/>
  <c r="U761" i="16"/>
  <c r="U760" i="16"/>
  <c r="U759" i="16"/>
  <c r="U758" i="16"/>
  <c r="U757" i="16"/>
  <c r="U756" i="16"/>
  <c r="U755" i="16"/>
  <c r="U754" i="16"/>
  <c r="U753" i="16"/>
  <c r="U752" i="16"/>
  <c r="U751" i="16"/>
  <c r="U750" i="16"/>
  <c r="U749" i="16"/>
  <c r="U748" i="16"/>
  <c r="U747" i="16"/>
  <c r="U746" i="16"/>
  <c r="U745" i="16"/>
  <c r="U744" i="16"/>
  <c r="U743" i="16"/>
  <c r="U742" i="16"/>
  <c r="U741" i="16"/>
  <c r="U740" i="16"/>
  <c r="U739" i="16"/>
  <c r="U738" i="16"/>
  <c r="U737" i="16"/>
  <c r="U736" i="16"/>
  <c r="U735" i="16"/>
  <c r="U734" i="16"/>
  <c r="U733" i="16"/>
  <c r="U732" i="16"/>
  <c r="U731" i="16"/>
  <c r="U730" i="16"/>
  <c r="U729" i="16"/>
  <c r="U728" i="16"/>
  <c r="U727" i="16"/>
  <c r="U726" i="16"/>
  <c r="U725" i="16"/>
  <c r="U724" i="16"/>
  <c r="U723" i="16"/>
  <c r="U722" i="16"/>
  <c r="U721" i="16"/>
  <c r="U720" i="16"/>
  <c r="U719" i="16"/>
  <c r="U718" i="16"/>
  <c r="U717" i="16"/>
  <c r="U716" i="16"/>
  <c r="U715" i="16"/>
  <c r="U714" i="16"/>
  <c r="U713" i="16"/>
  <c r="U712" i="16"/>
  <c r="U711" i="16"/>
  <c r="U710" i="16"/>
  <c r="U709" i="16"/>
  <c r="U708" i="16"/>
  <c r="U707" i="16"/>
  <c r="U706" i="16"/>
  <c r="U705" i="16"/>
  <c r="U704" i="16"/>
  <c r="U703" i="16"/>
  <c r="U702" i="16"/>
  <c r="U701" i="16"/>
  <c r="U700" i="16"/>
  <c r="U699" i="16"/>
  <c r="U698" i="16"/>
  <c r="U697" i="16"/>
  <c r="U696" i="16"/>
  <c r="U695" i="16"/>
  <c r="U694" i="16"/>
  <c r="U693" i="16"/>
  <c r="U692" i="16"/>
  <c r="U691" i="16"/>
  <c r="U690" i="16"/>
  <c r="U689" i="16"/>
  <c r="U688" i="16"/>
  <c r="U687" i="16"/>
  <c r="U686" i="16"/>
  <c r="U685" i="16"/>
  <c r="U684" i="16"/>
  <c r="U683" i="16"/>
  <c r="U682" i="16"/>
  <c r="U681" i="16"/>
  <c r="U680" i="16"/>
  <c r="U679" i="16"/>
  <c r="U678" i="16"/>
  <c r="U677" i="16"/>
  <c r="U676" i="16"/>
  <c r="U675" i="16"/>
  <c r="U674" i="16"/>
  <c r="U673" i="16"/>
  <c r="U672" i="16"/>
  <c r="U671" i="16"/>
  <c r="U670" i="16"/>
  <c r="U669" i="16"/>
  <c r="U668" i="16"/>
  <c r="U667" i="16"/>
  <c r="U666" i="16"/>
  <c r="U665" i="16"/>
  <c r="U664" i="16"/>
  <c r="U663" i="16"/>
  <c r="U662" i="16"/>
  <c r="U661" i="16"/>
  <c r="U660" i="16"/>
  <c r="U659" i="16"/>
  <c r="U658" i="16"/>
  <c r="U657" i="16"/>
  <c r="U656" i="16"/>
  <c r="U655" i="16"/>
  <c r="U654" i="16"/>
  <c r="U653" i="16"/>
  <c r="U652" i="16"/>
  <c r="U651" i="16"/>
  <c r="U650" i="16"/>
  <c r="U649" i="16"/>
  <c r="U648" i="16"/>
  <c r="U647" i="16"/>
  <c r="U646" i="16"/>
  <c r="U645" i="16"/>
  <c r="U644" i="16"/>
  <c r="U643" i="16"/>
  <c r="U642" i="16"/>
  <c r="U641" i="16"/>
  <c r="U640" i="16"/>
  <c r="U639" i="16"/>
  <c r="U638" i="16"/>
  <c r="U637" i="16"/>
  <c r="U636" i="16"/>
  <c r="U635" i="16"/>
  <c r="U634" i="16"/>
  <c r="U633" i="16"/>
  <c r="U632" i="16"/>
  <c r="U631" i="16"/>
  <c r="U630" i="16"/>
  <c r="U629" i="16"/>
  <c r="U628" i="16"/>
  <c r="U627" i="16"/>
  <c r="U626" i="16"/>
  <c r="U625" i="16"/>
  <c r="U624" i="16"/>
  <c r="U623" i="16"/>
  <c r="U622" i="16"/>
  <c r="U621" i="16"/>
  <c r="U620" i="16"/>
  <c r="U619" i="16"/>
  <c r="U618" i="16"/>
  <c r="U617" i="16"/>
  <c r="U616" i="16"/>
  <c r="U615" i="16"/>
  <c r="U614" i="16"/>
  <c r="U613" i="16"/>
  <c r="U612" i="16"/>
  <c r="U611" i="16"/>
  <c r="U610" i="16"/>
  <c r="U609" i="16"/>
  <c r="U608" i="16"/>
  <c r="U607" i="16"/>
  <c r="U606" i="16"/>
  <c r="U605" i="16"/>
  <c r="U604" i="16"/>
  <c r="U603" i="16"/>
  <c r="U602" i="16"/>
  <c r="U601" i="16"/>
  <c r="U600" i="16"/>
  <c r="U599" i="16"/>
  <c r="U598" i="16"/>
  <c r="U597" i="16"/>
  <c r="U596" i="16"/>
  <c r="U595" i="16"/>
  <c r="U594" i="16"/>
  <c r="U593" i="16"/>
  <c r="U592" i="16"/>
  <c r="U591" i="16"/>
  <c r="U590" i="16"/>
  <c r="U589" i="16"/>
  <c r="U588" i="16"/>
  <c r="U587" i="16"/>
  <c r="U586" i="16"/>
  <c r="U585" i="16"/>
  <c r="U584" i="16"/>
  <c r="U583" i="16"/>
  <c r="U582" i="16"/>
  <c r="U581" i="16"/>
  <c r="U580" i="16"/>
  <c r="U579" i="16"/>
  <c r="U578" i="16"/>
  <c r="U577" i="16"/>
  <c r="U576" i="16"/>
  <c r="U575" i="16"/>
  <c r="U574" i="16"/>
  <c r="U573" i="16"/>
  <c r="U572" i="16"/>
  <c r="U571" i="16"/>
  <c r="U570" i="16"/>
  <c r="U569" i="16"/>
  <c r="U568" i="16"/>
  <c r="U567" i="16"/>
  <c r="U566" i="16"/>
  <c r="U565" i="16"/>
  <c r="U564" i="16"/>
  <c r="U563" i="16"/>
  <c r="U562" i="16"/>
  <c r="U561" i="16"/>
  <c r="U560" i="16"/>
  <c r="U559" i="16"/>
  <c r="U558" i="16"/>
  <c r="U557" i="16"/>
  <c r="U556" i="16"/>
  <c r="U555" i="16"/>
  <c r="U554" i="16"/>
  <c r="U553" i="16"/>
  <c r="U552" i="16"/>
  <c r="U551" i="16"/>
  <c r="U550" i="16"/>
  <c r="U549" i="16"/>
  <c r="U548" i="16"/>
  <c r="U547" i="16"/>
  <c r="U546" i="16"/>
  <c r="U545" i="16"/>
  <c r="U544" i="16"/>
  <c r="U543" i="16"/>
  <c r="U542" i="16"/>
  <c r="U541" i="16"/>
  <c r="U540" i="16"/>
  <c r="U539" i="16"/>
  <c r="U538" i="16"/>
  <c r="U537" i="16"/>
  <c r="U536" i="16"/>
  <c r="U535" i="16"/>
  <c r="U534" i="16"/>
  <c r="U533" i="16"/>
  <c r="U532" i="16"/>
  <c r="U531" i="16"/>
  <c r="U530" i="16"/>
  <c r="U529" i="16"/>
  <c r="U528" i="16"/>
  <c r="U527" i="16"/>
  <c r="U526" i="16"/>
  <c r="U525" i="16"/>
  <c r="U524" i="16"/>
  <c r="U523" i="16"/>
  <c r="U522" i="16"/>
  <c r="U521" i="16"/>
  <c r="U520" i="16"/>
  <c r="U519" i="16"/>
  <c r="U518" i="16"/>
  <c r="U517" i="16"/>
  <c r="U516" i="16"/>
  <c r="U515" i="16"/>
  <c r="U514" i="16"/>
  <c r="U513" i="16"/>
  <c r="U512" i="16"/>
  <c r="U511" i="16"/>
  <c r="U510" i="16"/>
  <c r="U509" i="16"/>
  <c r="U508" i="16"/>
  <c r="U507" i="16"/>
  <c r="U506" i="16"/>
  <c r="U505" i="16"/>
  <c r="U504" i="16"/>
  <c r="U503" i="16"/>
  <c r="U502" i="16"/>
  <c r="U501" i="16"/>
  <c r="U500" i="16"/>
  <c r="U499" i="16"/>
  <c r="U498" i="16"/>
  <c r="U497" i="16"/>
  <c r="U496" i="16"/>
  <c r="U495" i="16"/>
  <c r="U494" i="16"/>
  <c r="U493" i="16"/>
  <c r="U492" i="16"/>
  <c r="U491" i="16"/>
  <c r="U490" i="16"/>
  <c r="U489" i="16"/>
  <c r="U488" i="16"/>
  <c r="U487" i="16"/>
  <c r="U486" i="16"/>
  <c r="U485" i="16"/>
  <c r="U484" i="16"/>
  <c r="U483" i="16"/>
  <c r="U482" i="16"/>
  <c r="U481" i="16"/>
  <c r="U480" i="16"/>
  <c r="U479" i="16"/>
  <c r="U478" i="16"/>
  <c r="U477" i="16"/>
  <c r="U476" i="16"/>
  <c r="U475" i="16"/>
  <c r="U474" i="16"/>
  <c r="U473" i="16"/>
  <c r="U472" i="16"/>
  <c r="U471" i="16"/>
  <c r="U470" i="16"/>
  <c r="U469" i="16"/>
  <c r="U468" i="16"/>
  <c r="U467" i="16"/>
  <c r="U466" i="16"/>
  <c r="U465" i="16"/>
  <c r="U464" i="16"/>
  <c r="U463" i="16"/>
  <c r="U462" i="16"/>
  <c r="U461" i="16"/>
  <c r="U460" i="16"/>
  <c r="U459" i="16"/>
  <c r="U458" i="16"/>
  <c r="U457" i="16"/>
  <c r="U456" i="16"/>
  <c r="U455" i="16"/>
  <c r="U454" i="16"/>
  <c r="U453" i="16"/>
  <c r="U452" i="16"/>
  <c r="U451" i="16"/>
  <c r="U450" i="16"/>
  <c r="U449" i="16"/>
  <c r="U448" i="16"/>
  <c r="U447" i="16"/>
  <c r="U446" i="16"/>
  <c r="U445" i="16"/>
  <c r="U444" i="16"/>
  <c r="U443" i="16"/>
  <c r="U442" i="16"/>
  <c r="U441" i="16"/>
  <c r="U440" i="16"/>
  <c r="U439" i="16"/>
  <c r="U438" i="16"/>
  <c r="U437" i="16"/>
  <c r="U436" i="16"/>
  <c r="U435" i="16"/>
  <c r="U434" i="16"/>
  <c r="U433" i="16"/>
  <c r="U432" i="16"/>
  <c r="U431" i="16"/>
  <c r="U430" i="16"/>
  <c r="U429" i="16"/>
  <c r="U428" i="16"/>
  <c r="U427" i="16"/>
  <c r="U426" i="16"/>
  <c r="U425" i="16"/>
  <c r="U424" i="16"/>
  <c r="U423" i="16"/>
  <c r="U422" i="16"/>
  <c r="U421" i="16"/>
  <c r="U420" i="16"/>
  <c r="U419" i="16"/>
  <c r="U418" i="16"/>
  <c r="U417" i="16"/>
  <c r="U416" i="16"/>
  <c r="U415" i="16"/>
  <c r="U414" i="16"/>
  <c r="U413" i="16"/>
  <c r="U412" i="16"/>
  <c r="U411" i="16"/>
  <c r="U410" i="16"/>
  <c r="U409" i="16"/>
  <c r="U408" i="16"/>
  <c r="U407" i="16"/>
  <c r="U406" i="16"/>
  <c r="U405" i="16"/>
  <c r="U404" i="16"/>
  <c r="U403" i="16"/>
  <c r="U402" i="16"/>
  <c r="U401" i="16"/>
  <c r="U400" i="16"/>
  <c r="U399" i="16"/>
  <c r="U398" i="16"/>
  <c r="U397" i="16"/>
  <c r="U396" i="16"/>
  <c r="U395" i="16"/>
  <c r="U394" i="16"/>
  <c r="U393" i="16"/>
  <c r="U392" i="16"/>
  <c r="U391" i="16"/>
  <c r="U390" i="16"/>
  <c r="U389" i="16"/>
  <c r="U388" i="16"/>
  <c r="U387" i="16"/>
  <c r="U386" i="16"/>
  <c r="U385" i="16"/>
  <c r="U384" i="16"/>
  <c r="U383" i="16"/>
  <c r="U382" i="16"/>
  <c r="U381" i="16"/>
  <c r="U380" i="16"/>
  <c r="U379" i="16"/>
  <c r="U378" i="16"/>
  <c r="U377" i="16"/>
  <c r="U376" i="16"/>
  <c r="U375" i="16"/>
  <c r="U374" i="16"/>
  <c r="U373" i="16"/>
  <c r="U372" i="16"/>
  <c r="U371" i="16"/>
  <c r="U370" i="16"/>
  <c r="U369" i="16"/>
  <c r="U368" i="16"/>
  <c r="U367" i="16"/>
  <c r="U366" i="16"/>
  <c r="U365" i="16"/>
  <c r="U364" i="16"/>
  <c r="U363" i="16"/>
  <c r="U362" i="16"/>
  <c r="U361" i="16"/>
  <c r="U360" i="16"/>
  <c r="U359" i="16"/>
  <c r="U358" i="16"/>
  <c r="U357" i="16"/>
  <c r="U356" i="16"/>
  <c r="U355" i="16"/>
  <c r="U354" i="16"/>
  <c r="U353" i="16"/>
  <c r="U5" i="16"/>
  <c r="U352" i="16"/>
  <c r="U351" i="16"/>
  <c r="U350" i="16"/>
  <c r="U349" i="16"/>
  <c r="U348" i="16"/>
  <c r="U347" i="16"/>
  <c r="U346" i="16"/>
  <c r="U345" i="16"/>
  <c r="U344" i="16"/>
  <c r="U343" i="16"/>
  <c r="U342" i="16"/>
  <c r="U341" i="16"/>
  <c r="U340" i="16"/>
  <c r="U339" i="16"/>
  <c r="U338" i="16"/>
  <c r="U337" i="16"/>
  <c r="U336" i="16"/>
  <c r="U335" i="16"/>
  <c r="U334" i="16"/>
  <c r="U333" i="16"/>
  <c r="U332" i="16"/>
  <c r="U331" i="16"/>
  <c r="U330" i="16"/>
  <c r="U329" i="16"/>
  <c r="U328" i="16"/>
  <c r="U327" i="16"/>
  <c r="U326" i="16"/>
  <c r="U325" i="16"/>
  <c r="U324" i="16"/>
  <c r="U323" i="16"/>
  <c r="U322" i="16"/>
  <c r="U321" i="16"/>
  <c r="U320" i="16"/>
  <c r="U319" i="16"/>
  <c r="U318" i="16"/>
  <c r="U317" i="16"/>
  <c r="U316" i="16"/>
  <c r="U315" i="16"/>
  <c r="U314" i="16"/>
  <c r="U313" i="16"/>
  <c r="U312" i="16"/>
  <c r="U311" i="16"/>
  <c r="U310" i="16"/>
  <c r="U309" i="16"/>
  <c r="U308" i="16"/>
  <c r="U307" i="16"/>
  <c r="U306" i="16"/>
  <c r="U305" i="16"/>
  <c r="U304" i="16"/>
  <c r="U303" i="16"/>
  <c r="U302" i="16"/>
  <c r="U301" i="16"/>
  <c r="U300" i="16"/>
  <c r="U299" i="16"/>
  <c r="U298" i="16"/>
  <c r="U297" i="16"/>
  <c r="U296" i="16"/>
  <c r="U295" i="16"/>
  <c r="U294" i="16"/>
  <c r="U293" i="16"/>
  <c r="U292" i="16"/>
  <c r="U291" i="16"/>
  <c r="U290" i="16"/>
  <c r="U289" i="16"/>
  <c r="U288" i="16"/>
  <c r="U287" i="16"/>
  <c r="U286" i="16"/>
  <c r="U285" i="16"/>
  <c r="U284" i="16"/>
  <c r="U283" i="16"/>
  <c r="U282" i="16"/>
  <c r="U281" i="16"/>
  <c r="U280" i="16"/>
  <c r="U279" i="16"/>
  <c r="U278" i="16"/>
  <c r="U277" i="16"/>
  <c r="U276" i="16"/>
  <c r="U275" i="16"/>
  <c r="U274" i="16"/>
  <c r="U273" i="16"/>
  <c r="U272" i="16"/>
  <c r="U271" i="16"/>
  <c r="U270" i="16"/>
  <c r="U269" i="16"/>
  <c r="U268" i="16"/>
  <c r="U267" i="16"/>
  <c r="U266" i="16"/>
  <c r="U265" i="16"/>
  <c r="U264" i="16"/>
  <c r="U263" i="16"/>
  <c r="U262" i="16"/>
  <c r="U261" i="16"/>
  <c r="U260" i="16"/>
  <c r="U259" i="16"/>
  <c r="U258" i="16"/>
  <c r="U257" i="16"/>
  <c r="U256" i="16"/>
  <c r="U255" i="16"/>
  <c r="U254" i="16"/>
  <c r="U253" i="16"/>
  <c r="U252" i="16"/>
  <c r="U251" i="16"/>
  <c r="U250" i="16"/>
  <c r="U249" i="16"/>
  <c r="U248" i="16"/>
  <c r="U247" i="16"/>
  <c r="U246" i="16"/>
  <c r="U245" i="16"/>
  <c r="U244" i="16"/>
  <c r="U243" i="16"/>
  <c r="U242" i="16"/>
  <c r="U241" i="16"/>
  <c r="U240" i="16"/>
  <c r="U239" i="16"/>
  <c r="U238" i="16"/>
  <c r="U237" i="16"/>
  <c r="U236" i="16"/>
  <c r="U235" i="16"/>
  <c r="U234" i="16"/>
  <c r="U233" i="16"/>
  <c r="U232" i="16"/>
  <c r="U231" i="16"/>
  <c r="U230" i="16"/>
  <c r="U229" i="16"/>
  <c r="U228" i="16"/>
  <c r="U227" i="16"/>
  <c r="U226" i="16"/>
  <c r="U225" i="16"/>
  <c r="U224" i="16"/>
  <c r="U223" i="16"/>
  <c r="U222" i="16"/>
  <c r="U221" i="16"/>
  <c r="U220" i="16"/>
  <c r="U219" i="16"/>
  <c r="U218" i="16"/>
  <c r="U217" i="16"/>
  <c r="U216" i="16"/>
  <c r="U215" i="16"/>
  <c r="U214" i="16"/>
  <c r="U213" i="16"/>
  <c r="U212" i="16"/>
  <c r="U211" i="16"/>
  <c r="U210" i="16"/>
  <c r="U209" i="16"/>
  <c r="U208" i="16"/>
  <c r="U207" i="16"/>
  <c r="U206" i="16"/>
  <c r="U205" i="16"/>
  <c r="U204" i="16"/>
  <c r="U203" i="16"/>
  <c r="U202" i="16"/>
  <c r="U201" i="16"/>
  <c r="U200" i="16"/>
  <c r="U199" i="16"/>
  <c r="U198" i="16"/>
  <c r="U197" i="16"/>
  <c r="U196" i="16"/>
  <c r="U195" i="16"/>
  <c r="U194" i="16"/>
  <c r="U193" i="16"/>
  <c r="U192" i="16"/>
  <c r="U191" i="16"/>
  <c r="U190" i="16"/>
  <c r="U189" i="16"/>
  <c r="U188" i="16"/>
  <c r="U187" i="16"/>
  <c r="U186" i="16"/>
  <c r="U185" i="16"/>
  <c r="U184" i="16"/>
  <c r="U183" i="16"/>
  <c r="U182" i="16"/>
  <c r="U181" i="16"/>
  <c r="U180" i="16"/>
  <c r="U179" i="16"/>
  <c r="U178" i="16"/>
  <c r="U177" i="16"/>
  <c r="U176" i="16"/>
  <c r="U175" i="16"/>
  <c r="U174" i="16"/>
  <c r="U173" i="16"/>
  <c r="U172" i="16"/>
  <c r="U171" i="16"/>
  <c r="U170" i="16"/>
  <c r="U169" i="16"/>
  <c r="U168" i="16"/>
  <c r="U167" i="16"/>
  <c r="U166" i="16"/>
  <c r="U165" i="16"/>
  <c r="U164" i="16"/>
  <c r="U163" i="16"/>
  <c r="U162" i="16"/>
  <c r="U161" i="16"/>
  <c r="U160" i="16"/>
  <c r="U159" i="16"/>
  <c r="U158" i="16"/>
  <c r="U157" i="16"/>
  <c r="U156" i="16"/>
  <c r="U155" i="16"/>
  <c r="U154" i="16"/>
  <c r="U153" i="16"/>
  <c r="U152" i="16"/>
  <c r="U151" i="16"/>
  <c r="U150" i="16"/>
  <c r="U149" i="16"/>
  <c r="U148" i="16"/>
  <c r="U147" i="16"/>
  <c r="U146" i="16"/>
  <c r="U145" i="16"/>
  <c r="U144" i="16"/>
  <c r="U143" i="16"/>
  <c r="U142" i="16"/>
  <c r="U141" i="16"/>
  <c r="U140" i="16"/>
  <c r="U139" i="16"/>
  <c r="U138" i="16"/>
  <c r="U137" i="16"/>
  <c r="U136" i="16"/>
  <c r="U135" i="16"/>
  <c r="U134" i="16"/>
  <c r="U133" i="16"/>
  <c r="U132" i="16"/>
  <c r="U131" i="16"/>
  <c r="U130" i="16"/>
  <c r="U129" i="16"/>
  <c r="U128" i="16"/>
  <c r="U127" i="16"/>
  <c r="U126" i="16"/>
  <c r="U125" i="16"/>
  <c r="U124" i="16"/>
  <c r="U123" i="16"/>
  <c r="U122" i="16"/>
  <c r="U121" i="16"/>
  <c r="U120" i="16"/>
  <c r="U119" i="16"/>
  <c r="U118" i="16"/>
  <c r="U117" i="16"/>
  <c r="U116" i="16"/>
  <c r="U115" i="16"/>
  <c r="U114" i="16"/>
  <c r="U113" i="16"/>
  <c r="U112" i="16"/>
  <c r="U111" i="16"/>
  <c r="U110" i="16"/>
  <c r="U109" i="16"/>
  <c r="U108" i="16"/>
  <c r="U107" i="16"/>
  <c r="U106" i="16"/>
  <c r="U105" i="16"/>
  <c r="U104" i="16"/>
  <c r="U103" i="16"/>
  <c r="U102" i="16"/>
  <c r="U101" i="16"/>
  <c r="U100" i="16"/>
  <c r="U99" i="16"/>
  <c r="U98" i="16"/>
  <c r="U97" i="16"/>
  <c r="U96" i="16"/>
  <c r="U95" i="16"/>
  <c r="U94" i="16"/>
  <c r="U93" i="16"/>
  <c r="U92" i="16"/>
  <c r="U91" i="16"/>
  <c r="U90" i="16"/>
  <c r="U89" i="16"/>
  <c r="U88" i="16"/>
  <c r="U87" i="16"/>
  <c r="U86" i="16"/>
  <c r="U85" i="16"/>
  <c r="U84" i="16"/>
  <c r="U83" i="16"/>
  <c r="U82" i="16"/>
  <c r="U81" i="16"/>
  <c r="U80" i="16"/>
  <c r="U79" i="16"/>
  <c r="U78" i="16"/>
  <c r="U77" i="16"/>
  <c r="U76" i="16"/>
  <c r="U75" i="16"/>
  <c r="U74" i="16"/>
  <c r="U73" i="16"/>
  <c r="U72" i="16"/>
  <c r="U71" i="16"/>
  <c r="U70" i="16"/>
  <c r="U69" i="16"/>
  <c r="U68" i="16"/>
  <c r="U67" i="16"/>
  <c r="U66" i="16"/>
  <c r="U65" i="16"/>
  <c r="U64" i="16"/>
  <c r="U63" i="16"/>
  <c r="U62" i="16"/>
  <c r="U61" i="16"/>
  <c r="U60" i="16"/>
  <c r="U59" i="16"/>
  <c r="U58" i="16"/>
  <c r="U57" i="16"/>
  <c r="U56" i="16"/>
  <c r="U55" i="16"/>
  <c r="U54" i="16"/>
  <c r="U53" i="16"/>
  <c r="U52" i="16"/>
  <c r="U51" i="16"/>
  <c r="U50" i="16"/>
  <c r="U49" i="16"/>
  <c r="U48" i="16"/>
  <c r="U47" i="16"/>
  <c r="U46" i="16"/>
  <c r="U45" i="16"/>
  <c r="U44" i="16"/>
  <c r="U43" i="16"/>
  <c r="U42" i="16"/>
  <c r="U41" i="16"/>
  <c r="U40" i="16"/>
  <c r="U39" i="16"/>
  <c r="U38" i="16"/>
  <c r="U37" i="16"/>
  <c r="U36" i="16"/>
  <c r="U35" i="16"/>
  <c r="U34" i="16"/>
  <c r="U33" i="16"/>
  <c r="U32" i="16"/>
  <c r="U31" i="16"/>
  <c r="U30" i="16"/>
  <c r="U29" i="16"/>
  <c r="U28" i="16"/>
  <c r="U27" i="16"/>
  <c r="U26" i="16"/>
  <c r="U25" i="16"/>
  <c r="U24" i="16"/>
  <c r="U23" i="16"/>
  <c r="U22" i="16"/>
  <c r="U21" i="16"/>
  <c r="U20" i="16"/>
  <c r="U19" i="16"/>
  <c r="U18" i="16"/>
  <c r="U17" i="16"/>
  <c r="U16" i="16"/>
  <c r="U15" i="16"/>
  <c r="U14" i="16"/>
  <c r="U13" i="16"/>
  <c r="U12" i="16"/>
  <c r="U11" i="16"/>
  <c r="U10" i="16"/>
  <c r="U9" i="16"/>
  <c r="U7" i="16"/>
  <c r="U6" i="16"/>
  <c r="U4" i="16"/>
  <c r="U3" i="16"/>
  <c r="C43" i="32"/>
  <c r="E56" i="32" s="1"/>
  <c r="Q16" i="12" s="1"/>
  <c r="Q18" i="12" s="1"/>
  <c r="BM12" i="16" s="1"/>
  <c r="BN12" i="16" s="1"/>
  <c r="B146" i="59"/>
  <c r="W24" i="59"/>
  <c r="W78" i="59"/>
  <c r="C147" i="59"/>
  <c r="E146" i="59"/>
  <c r="T4154" i="16"/>
  <c r="T4151" i="16"/>
  <c r="T4149" i="16"/>
  <c r="T4146" i="16"/>
  <c r="T4144" i="16"/>
  <c r="T4142" i="16"/>
  <c r="T4140" i="16"/>
  <c r="T4138" i="16"/>
  <c r="T4136" i="16"/>
  <c r="T4134" i="16"/>
  <c r="T4132" i="16"/>
  <c r="T4130" i="16"/>
  <c r="T4128" i="16"/>
  <c r="T4126" i="16"/>
  <c r="T4124" i="16"/>
  <c r="T4122" i="16"/>
  <c r="T4120" i="16"/>
  <c r="T4118" i="16"/>
  <c r="T4116" i="16"/>
  <c r="T4114" i="16"/>
  <c r="T4112" i="16"/>
  <c r="T4110" i="16"/>
  <c r="T4108" i="16"/>
  <c r="T4106" i="16"/>
  <c r="T4104" i="16"/>
  <c r="T4102" i="16"/>
  <c r="T4100" i="16"/>
  <c r="T4098" i="16"/>
  <c r="T4096" i="16"/>
  <c r="T4094" i="16"/>
  <c r="T4092" i="16"/>
  <c r="T4090" i="16"/>
  <c r="T4088" i="16"/>
  <c r="T4086" i="16"/>
  <c r="T4084" i="16"/>
  <c r="T4082" i="16"/>
  <c r="T4080" i="16"/>
  <c r="T4078" i="16"/>
  <c r="T4076" i="16"/>
  <c r="T4074" i="16"/>
  <c r="T4072" i="16"/>
  <c r="T4070" i="16"/>
  <c r="T4068" i="16"/>
  <c r="T4066" i="16"/>
  <c r="T4064" i="16"/>
  <c r="T4062" i="16"/>
  <c r="T4060" i="16"/>
  <c r="T4058" i="16"/>
  <c r="T4056" i="16"/>
  <c r="T4054" i="16"/>
  <c r="T4052" i="16"/>
  <c r="T4050" i="16"/>
  <c r="T4048" i="16"/>
  <c r="T4046" i="16"/>
  <c r="T4044" i="16"/>
  <c r="T4042" i="16"/>
  <c r="T4040" i="16"/>
  <c r="T4038" i="16"/>
  <c r="T4036" i="16"/>
  <c r="T4034" i="16"/>
  <c r="T4032" i="16"/>
  <c r="T4030" i="16"/>
  <c r="T4028" i="16"/>
  <c r="T4026" i="16"/>
  <c r="T4024" i="16"/>
  <c r="T4022" i="16"/>
  <c r="T4020" i="16"/>
  <c r="T4018" i="16"/>
  <c r="T4016" i="16"/>
  <c r="T4014" i="16"/>
  <c r="T4012" i="16"/>
  <c r="T4010" i="16"/>
  <c r="T4008" i="16"/>
  <c r="T4006" i="16"/>
  <c r="T4004" i="16"/>
  <c r="T4002" i="16"/>
  <c r="T4000" i="16"/>
  <c r="T3998" i="16"/>
  <c r="T3996" i="16"/>
  <c r="T3994" i="16"/>
  <c r="T4152" i="16"/>
  <c r="T4145" i="16"/>
  <c r="T4141" i="16"/>
  <c r="T4137" i="16"/>
  <c r="T4133" i="16"/>
  <c r="T4129" i="16"/>
  <c r="T4125" i="16"/>
  <c r="T4121" i="16"/>
  <c r="T4117" i="16"/>
  <c r="T4113" i="16"/>
  <c r="T4109" i="16"/>
  <c r="T4105" i="16"/>
  <c r="T4101" i="16"/>
  <c r="T4097" i="16"/>
  <c r="T4093" i="16"/>
  <c r="T4089" i="16"/>
  <c r="T4085" i="16"/>
  <c r="T4081" i="16"/>
  <c r="T4077" i="16"/>
  <c r="T4073" i="16"/>
  <c r="T4069" i="16"/>
  <c r="T4065" i="16"/>
  <c r="T4061" i="16"/>
  <c r="T4057" i="16"/>
  <c r="T4053" i="16"/>
  <c r="T4049" i="16"/>
  <c r="T4045" i="16"/>
  <c r="T4041" i="16"/>
  <c r="T4037" i="16"/>
  <c r="T4033" i="16"/>
  <c r="T4029" i="16"/>
  <c r="T4025" i="16"/>
  <c r="T4021" i="16"/>
  <c r="T4017" i="16"/>
  <c r="T4013" i="16"/>
  <c r="T4009" i="16"/>
  <c r="T4005" i="16"/>
  <c r="T4001" i="16"/>
  <c r="T3997" i="16"/>
  <c r="T3993" i="16"/>
  <c r="T3991" i="16"/>
  <c r="T3989" i="16"/>
  <c r="T3987" i="16"/>
  <c r="T3985" i="16"/>
  <c r="T3983" i="16"/>
  <c r="T3981" i="16"/>
  <c r="T3979" i="16"/>
  <c r="T3977" i="16"/>
  <c r="T3975" i="16"/>
  <c r="T3973" i="16"/>
  <c r="T3971" i="16"/>
  <c r="T3969" i="16"/>
  <c r="T3967" i="16"/>
  <c r="T3965" i="16"/>
  <c r="T3963" i="16"/>
  <c r="T3961" i="16"/>
  <c r="T3959" i="16"/>
  <c r="T3957" i="16"/>
  <c r="T3955" i="16"/>
  <c r="T3953" i="16"/>
  <c r="T3951" i="16"/>
  <c r="T3949" i="16"/>
  <c r="T3947" i="16"/>
  <c r="T3945" i="16"/>
  <c r="T3943" i="16"/>
  <c r="T3941" i="16"/>
  <c r="T3939" i="16"/>
  <c r="T3937" i="16"/>
  <c r="T3935" i="16"/>
  <c r="T3933" i="16"/>
  <c r="T3931" i="16"/>
  <c r="T3929" i="16"/>
  <c r="T3927" i="16"/>
  <c r="T3925" i="16"/>
  <c r="T3923" i="16"/>
  <c r="T3921" i="16"/>
  <c r="T3919" i="16"/>
  <c r="T3917" i="16"/>
  <c r="T3915" i="16"/>
  <c r="T3913" i="16"/>
  <c r="T3911" i="16"/>
  <c r="T3909" i="16"/>
  <c r="T3907" i="16"/>
  <c r="T3905" i="16"/>
  <c r="T3903" i="16"/>
  <c r="T3901" i="16"/>
  <c r="T4150" i="16"/>
  <c r="T4147" i="16"/>
  <c r="T4143" i="16"/>
  <c r="T4139" i="16"/>
  <c r="T4135" i="16"/>
  <c r="T4131" i="16"/>
  <c r="T4127" i="16"/>
  <c r="T4123" i="16"/>
  <c r="T4119" i="16"/>
  <c r="T4115" i="16"/>
  <c r="T4111" i="16"/>
  <c r="T4107" i="16"/>
  <c r="T4103" i="16"/>
  <c r="T4099" i="16"/>
  <c r="T4095" i="16"/>
  <c r="T4091" i="16"/>
  <c r="T4087" i="16"/>
  <c r="T4083" i="16"/>
  <c r="T4079" i="16"/>
  <c r="T4075" i="16"/>
  <c r="T4071" i="16"/>
  <c r="T4067" i="16"/>
  <c r="T4063" i="16"/>
  <c r="T4059" i="16"/>
  <c r="T4055" i="16"/>
  <c r="T4051" i="16"/>
  <c r="T4047" i="16"/>
  <c r="T4043" i="16"/>
  <c r="T4039" i="16"/>
  <c r="T4035" i="16"/>
  <c r="T4031" i="16"/>
  <c r="T4027" i="16"/>
  <c r="T4023" i="16"/>
  <c r="T4019" i="16"/>
  <c r="T4015" i="16"/>
  <c r="T4011" i="16"/>
  <c r="T4007" i="16"/>
  <c r="T4003" i="16"/>
  <c r="T3999" i="16"/>
  <c r="T3995" i="16"/>
  <c r="T3992" i="16"/>
  <c r="T3990" i="16"/>
  <c r="T3988" i="16"/>
  <c r="T3986" i="16"/>
  <c r="T3984" i="16"/>
  <c r="T3982" i="16"/>
  <c r="T3980" i="16"/>
  <c r="T3978" i="16"/>
  <c r="T3976" i="16"/>
  <c r="T3974" i="16"/>
  <c r="T3972" i="16"/>
  <c r="T3970" i="16"/>
  <c r="T3968" i="16"/>
  <c r="T3966" i="16"/>
  <c r="T3964" i="16"/>
  <c r="T3962" i="16"/>
  <c r="T3960" i="16"/>
  <c r="T3958" i="16"/>
  <c r="T3956" i="16"/>
  <c r="T3954" i="16"/>
  <c r="T3952" i="16"/>
  <c r="T3950" i="16"/>
  <c r="T3948" i="16"/>
  <c r="T3946" i="16"/>
  <c r="T3944" i="16"/>
  <c r="T3942" i="16"/>
  <c r="T3940" i="16"/>
  <c r="T3938" i="16"/>
  <c r="T3936" i="16"/>
  <c r="T3934" i="16"/>
  <c r="T3932" i="16"/>
  <c r="T3930" i="16"/>
  <c r="T3928" i="16"/>
  <c r="T3926" i="16"/>
  <c r="T3924" i="16"/>
  <c r="T3922" i="16"/>
  <c r="T3920" i="16"/>
  <c r="T3918" i="16"/>
  <c r="T3916" i="16"/>
  <c r="T3914" i="16"/>
  <c r="T3912" i="16"/>
  <c r="T3910" i="16"/>
  <c r="T3908" i="16"/>
  <c r="T3906" i="16"/>
  <c r="T3902" i="16"/>
  <c r="T3899" i="16"/>
  <c r="T3897" i="16"/>
  <c r="T3895" i="16"/>
  <c r="T3893" i="16"/>
  <c r="T3891" i="16"/>
  <c r="T3889" i="16"/>
  <c r="T3887" i="16"/>
  <c r="T3885" i="16"/>
  <c r="T3883" i="16"/>
  <c r="T3881" i="16"/>
  <c r="T3879" i="16"/>
  <c r="T3877" i="16"/>
  <c r="T3875" i="16"/>
  <c r="T3873" i="16"/>
  <c r="T3871" i="16"/>
  <c r="T3869" i="16"/>
  <c r="T3867" i="16"/>
  <c r="T3865" i="16"/>
  <c r="T3863" i="16"/>
  <c r="T3861" i="16"/>
  <c r="T3859" i="16"/>
  <c r="T3857" i="16"/>
  <c r="T3855" i="16"/>
  <c r="T3853" i="16"/>
  <c r="T3851" i="16"/>
  <c r="T3849" i="16"/>
  <c r="T3847" i="16"/>
  <c r="T3845" i="16"/>
  <c r="T3843" i="16"/>
  <c r="T3841" i="16"/>
  <c r="T3839" i="16"/>
  <c r="T3837" i="16"/>
  <c r="T3835" i="16"/>
  <c r="T3833" i="16"/>
  <c r="T3831" i="16"/>
  <c r="T3829" i="16"/>
  <c r="T3827" i="16"/>
  <c r="T3825" i="16"/>
  <c r="T3823" i="16"/>
  <c r="T3821" i="16"/>
  <c r="T3819" i="16"/>
  <c r="T3817" i="16"/>
  <c r="T3815" i="16"/>
  <c r="T3813" i="16"/>
  <c r="T3811" i="16"/>
  <c r="T3809" i="16"/>
  <c r="T3807" i="16"/>
  <c r="T3805" i="16"/>
  <c r="T3803" i="16"/>
  <c r="T3801" i="16"/>
  <c r="T3799" i="16"/>
  <c r="T3797" i="16"/>
  <c r="T3795" i="16"/>
  <c r="T3793" i="16"/>
  <c r="T3791" i="16"/>
  <c r="T3789" i="16"/>
  <c r="T3787" i="16"/>
  <c r="T3785" i="16"/>
  <c r="T3783" i="16"/>
  <c r="T3781" i="16"/>
  <c r="T3779" i="16"/>
  <c r="T3777" i="16"/>
  <c r="T3775" i="16"/>
  <c r="T3773" i="16"/>
  <c r="T3771" i="16"/>
  <c r="T3769" i="16"/>
  <c r="T3767" i="16"/>
  <c r="T3765" i="16"/>
  <c r="T3763" i="16"/>
  <c r="T3761" i="16"/>
  <c r="T3759" i="16"/>
  <c r="T3757" i="16"/>
  <c r="T3755" i="16"/>
  <c r="T3753" i="16"/>
  <c r="T3751" i="16"/>
  <c r="T3749" i="16"/>
  <c r="T3747" i="16"/>
  <c r="T3745" i="16"/>
  <c r="T3743" i="16"/>
  <c r="T3741" i="16"/>
  <c r="T3739" i="16"/>
  <c r="T3737" i="16"/>
  <c r="T3735" i="16"/>
  <c r="T3733" i="16"/>
  <c r="T3731" i="16"/>
  <c r="T3729" i="16"/>
  <c r="T3727" i="16"/>
  <c r="T3725" i="16"/>
  <c r="T3723" i="16"/>
  <c r="T3721" i="16"/>
  <c r="T3719" i="16"/>
  <c r="T3717" i="16"/>
  <c r="T3715" i="16"/>
  <c r="T3713" i="16"/>
  <c r="T3711" i="16"/>
  <c r="T3709" i="16"/>
  <c r="T3707" i="16"/>
  <c r="T3705" i="16"/>
  <c r="T3703" i="16"/>
  <c r="T3701" i="16"/>
  <c r="T3699" i="16"/>
  <c r="T3697" i="16"/>
  <c r="T3695" i="16"/>
  <c r="T3693" i="16"/>
  <c r="T3691" i="16"/>
  <c r="T3689" i="16"/>
  <c r="T3687" i="16"/>
  <c r="T3685" i="16"/>
  <c r="T3683" i="16"/>
  <c r="T3681" i="16"/>
  <c r="T3679" i="16"/>
  <c r="T3677" i="16"/>
  <c r="T3675" i="16"/>
  <c r="T3673" i="16"/>
  <c r="T3671" i="16"/>
  <c r="T3669" i="16"/>
  <c r="T3667" i="16"/>
  <c r="T3665" i="16"/>
  <c r="T3663" i="16"/>
  <c r="T3661" i="16"/>
  <c r="T3659" i="16"/>
  <c r="T3657" i="16"/>
  <c r="T3655" i="16"/>
  <c r="T3653" i="16"/>
  <c r="T3651" i="16"/>
  <c r="T3649" i="16"/>
  <c r="T3647" i="16"/>
  <c r="T3645" i="16"/>
  <c r="T3643" i="16"/>
  <c r="T3641" i="16"/>
  <c r="T3639" i="16"/>
  <c r="T3637" i="16"/>
  <c r="T3635" i="16"/>
  <c r="T3633" i="16"/>
  <c r="T3631" i="16"/>
  <c r="T3629" i="16"/>
  <c r="T3627" i="16"/>
  <c r="T3625" i="16"/>
  <c r="T3623" i="16"/>
  <c r="T3621" i="16"/>
  <c r="T3619" i="16"/>
  <c r="T3617" i="16"/>
  <c r="T3615" i="16"/>
  <c r="T3613" i="16"/>
  <c r="T3611" i="16"/>
  <c r="T3609" i="16"/>
  <c r="T3607" i="16"/>
  <c r="T3605" i="16"/>
  <c r="T3603" i="16"/>
  <c r="T3601" i="16"/>
  <c r="T3599" i="16"/>
  <c r="T3597" i="16"/>
  <c r="T3595" i="16"/>
  <c r="T3593" i="16"/>
  <c r="T3591" i="16"/>
  <c r="T3589" i="16"/>
  <c r="T3587" i="16"/>
  <c r="T3585" i="16"/>
  <c r="T3583" i="16"/>
  <c r="T3581" i="16"/>
  <c r="T3579" i="16"/>
  <c r="T3577" i="16"/>
  <c r="T3575" i="16"/>
  <c r="T3573" i="16"/>
  <c r="T3571" i="16"/>
  <c r="T3569" i="16"/>
  <c r="T3567" i="16"/>
  <c r="T3565" i="16"/>
  <c r="T3904" i="16"/>
  <c r="T3900" i="16"/>
  <c r="T3898" i="16"/>
  <c r="T3896" i="16"/>
  <c r="T3894" i="16"/>
  <c r="T3892" i="16"/>
  <c r="T3890" i="16"/>
  <c r="T3888" i="16"/>
  <c r="T3886" i="16"/>
  <c r="T3884" i="16"/>
  <c r="T3882" i="16"/>
  <c r="T3880" i="16"/>
  <c r="T3878" i="16"/>
  <c r="T3876" i="16"/>
  <c r="T3874" i="16"/>
  <c r="T3872" i="16"/>
  <c r="T3870" i="16"/>
  <c r="T3868" i="16"/>
  <c r="T3866" i="16"/>
  <c r="T3864" i="16"/>
  <c r="T3862" i="16"/>
  <c r="T3860" i="16"/>
  <c r="T3858" i="16"/>
  <c r="T3856" i="16"/>
  <c r="T3854" i="16"/>
  <c r="T3852" i="16"/>
  <c r="T3850" i="16"/>
  <c r="T3848" i="16"/>
  <c r="T3846" i="16"/>
  <c r="T3844" i="16"/>
  <c r="T3842" i="16"/>
  <c r="T3840" i="16"/>
  <c r="T3838" i="16"/>
  <c r="T3836" i="16"/>
  <c r="T3834" i="16"/>
  <c r="T3832" i="16"/>
  <c r="T3830" i="16"/>
  <c r="T3828" i="16"/>
  <c r="T3826" i="16"/>
  <c r="T3824" i="16"/>
  <c r="T3822" i="16"/>
  <c r="T3820" i="16"/>
  <c r="T3818" i="16"/>
  <c r="T3816" i="16"/>
  <c r="T3814" i="16"/>
  <c r="T3812" i="16"/>
  <c r="T3810" i="16"/>
  <c r="T3808" i="16"/>
  <c r="T3806" i="16"/>
  <c r="T3804" i="16"/>
  <c r="T3802" i="16"/>
  <c r="T3800" i="16"/>
  <c r="T3798" i="16"/>
  <c r="T3796" i="16"/>
  <c r="T3794" i="16"/>
  <c r="T3792" i="16"/>
  <c r="T3790" i="16"/>
  <c r="T3788" i="16"/>
  <c r="T3786" i="16"/>
  <c r="T3784" i="16"/>
  <c r="T3782" i="16"/>
  <c r="T3780" i="16"/>
  <c r="T3778" i="16"/>
  <c r="T3776" i="16"/>
  <c r="T3774" i="16"/>
  <c r="T3772" i="16"/>
  <c r="T3770" i="16"/>
  <c r="T3768" i="16"/>
  <c r="T3766" i="16"/>
  <c r="T3764" i="16"/>
  <c r="T3762" i="16"/>
  <c r="T3760" i="16"/>
  <c r="T3758" i="16"/>
  <c r="T3756" i="16"/>
  <c r="T3754" i="16"/>
  <c r="T3752" i="16"/>
  <c r="T3750" i="16"/>
  <c r="T3748" i="16"/>
  <c r="T3746" i="16"/>
  <c r="T3744" i="16"/>
  <c r="T3742" i="16"/>
  <c r="T3740" i="16"/>
  <c r="T3738" i="16"/>
  <c r="T3736" i="16"/>
  <c r="T3734" i="16"/>
  <c r="T3732" i="16"/>
  <c r="T3730" i="16"/>
  <c r="T3728" i="16"/>
  <c r="T3726" i="16"/>
  <c r="T3724" i="16"/>
  <c r="T3722" i="16"/>
  <c r="T3720" i="16"/>
  <c r="T3718" i="16"/>
  <c r="T3716" i="16"/>
  <c r="T3714" i="16"/>
  <c r="T3712" i="16"/>
  <c r="T3710" i="16"/>
  <c r="T3708" i="16"/>
  <c r="T3706" i="16"/>
  <c r="T3704" i="16"/>
  <c r="T3702" i="16"/>
  <c r="T3700" i="16"/>
  <c r="T3698" i="16"/>
  <c r="T3696" i="16"/>
  <c r="T3694" i="16"/>
  <c r="T3692" i="16"/>
  <c r="T3690" i="16"/>
  <c r="T3688" i="16"/>
  <c r="T3686" i="16"/>
  <c r="T3684" i="16"/>
  <c r="T3682" i="16"/>
  <c r="T3680" i="16"/>
  <c r="T3678" i="16"/>
  <c r="T3676" i="16"/>
  <c r="T3674" i="16"/>
  <c r="T3672" i="16"/>
  <c r="T3670" i="16"/>
  <c r="T3668" i="16"/>
  <c r="T3666" i="16"/>
  <c r="T3664" i="16"/>
  <c r="T3662" i="16"/>
  <c r="T3660" i="16"/>
  <c r="T3658" i="16"/>
  <c r="T3656" i="16"/>
  <c r="T3654" i="16"/>
  <c r="T3652" i="16"/>
  <c r="T3650" i="16"/>
  <c r="T3648" i="16"/>
  <c r="T3646" i="16"/>
  <c r="T3644" i="16"/>
  <c r="T3642" i="16"/>
  <c r="T3640" i="16"/>
  <c r="T3638" i="16"/>
  <c r="T3636" i="16"/>
  <c r="T3634" i="16"/>
  <c r="T3632" i="16"/>
  <c r="T3630" i="16"/>
  <c r="T3628" i="16"/>
  <c r="T3626" i="16"/>
  <c r="T3624" i="16"/>
  <c r="T3622" i="16"/>
  <c r="T3620" i="16"/>
  <c r="T3618" i="16"/>
  <c r="T3616" i="16"/>
  <c r="T3614" i="16"/>
  <c r="T3612" i="16"/>
  <c r="T3610" i="16"/>
  <c r="T3608" i="16"/>
  <c r="T3606" i="16"/>
  <c r="T3604" i="16"/>
  <c r="T3602" i="16"/>
  <c r="T3600" i="16"/>
  <c r="T3598" i="16"/>
  <c r="T3596" i="16"/>
  <c r="T3594" i="16"/>
  <c r="T3592" i="16"/>
  <c r="T3590" i="16"/>
  <c r="T3588" i="16"/>
  <c r="T3586" i="16"/>
  <c r="T3584" i="16"/>
  <c r="T3582" i="16"/>
  <c r="T3580" i="16"/>
  <c r="T3578" i="16"/>
  <c r="T3576" i="16"/>
  <c r="T3574" i="16"/>
  <c r="T3572" i="16"/>
  <c r="T3570" i="16"/>
  <c r="T3568" i="16"/>
  <c r="T3566" i="16"/>
  <c r="T3564" i="16"/>
  <c r="T3562" i="16"/>
  <c r="T3560" i="16"/>
  <c r="T3558" i="16"/>
  <c r="T3556" i="16"/>
  <c r="T3554" i="16"/>
  <c r="T3552" i="16"/>
  <c r="T3550" i="16"/>
  <c r="T3548" i="16"/>
  <c r="T3546" i="16"/>
  <c r="T3544" i="16"/>
  <c r="T3542" i="16"/>
  <c r="T3540" i="16"/>
  <c r="T3538" i="16"/>
  <c r="T3536" i="16"/>
  <c r="T3534" i="16"/>
  <c r="T3532" i="16"/>
  <c r="T3530" i="16"/>
  <c r="T3528" i="16"/>
  <c r="T3526" i="16"/>
  <c r="T3524" i="16"/>
  <c r="T3522" i="16"/>
  <c r="T3520" i="16"/>
  <c r="T3518" i="16"/>
  <c r="T3516" i="16"/>
  <c r="T3514" i="16"/>
  <c r="T3512" i="16"/>
  <c r="T3510" i="16"/>
  <c r="T3508" i="16"/>
  <c r="T3506" i="16"/>
  <c r="T3504" i="16"/>
  <c r="T3502" i="16"/>
  <c r="T3500" i="16"/>
  <c r="T3498" i="16"/>
  <c r="T3496" i="16"/>
  <c r="T3494" i="16"/>
  <c r="T3492" i="16"/>
  <c r="T3490" i="16"/>
  <c r="T3488" i="16"/>
  <c r="T3486" i="16"/>
  <c r="T3484" i="16"/>
  <c r="T3482" i="16"/>
  <c r="T3480" i="16"/>
  <c r="T3478" i="16"/>
  <c r="T3476" i="16"/>
  <c r="T3474" i="16"/>
  <c r="T3472" i="16"/>
  <c r="T3470" i="16"/>
  <c r="T3468" i="16"/>
  <c r="T3466" i="16"/>
  <c r="T3464" i="16"/>
  <c r="T3462" i="16"/>
  <c r="T3460" i="16"/>
  <c r="T3458" i="16"/>
  <c r="T3456" i="16"/>
  <c r="T3454" i="16"/>
  <c r="T3452" i="16"/>
  <c r="T3450" i="16"/>
  <c r="T3448" i="16"/>
  <c r="T3446" i="16"/>
  <c r="T3444" i="16"/>
  <c r="T3442" i="16"/>
  <c r="T3440" i="16"/>
  <c r="T3438" i="16"/>
  <c r="T3436" i="16"/>
  <c r="T3434" i="16"/>
  <c r="T3432" i="16"/>
  <c r="T3430" i="16"/>
  <c r="T3428" i="16"/>
  <c r="T3426" i="16"/>
  <c r="T3424" i="16"/>
  <c r="T3422" i="16"/>
  <c r="T3420" i="16"/>
  <c r="T3418" i="16"/>
  <c r="T3416" i="16"/>
  <c r="T3414" i="16"/>
  <c r="T3412" i="16"/>
  <c r="T3410" i="16"/>
  <c r="T3408" i="16"/>
  <c r="T3406" i="16"/>
  <c r="T3404" i="16"/>
  <c r="T3402" i="16"/>
  <c r="T3400" i="16"/>
  <c r="T3398" i="16"/>
  <c r="T3396" i="16"/>
  <c r="T3394" i="16"/>
  <c r="T3392" i="16"/>
  <c r="T3390" i="16"/>
  <c r="T3388" i="16"/>
  <c r="T3386" i="16"/>
  <c r="T3384" i="16"/>
  <c r="T3382" i="16"/>
  <c r="T3380" i="16"/>
  <c r="T3378" i="16"/>
  <c r="T3376" i="16"/>
  <c r="T3374" i="16"/>
  <c r="T3372" i="16"/>
  <c r="T3370" i="16"/>
  <c r="T3368" i="16"/>
  <c r="T3366" i="16"/>
  <c r="T3364" i="16"/>
  <c r="T3362" i="16"/>
  <c r="T3360" i="16"/>
  <c r="T3358" i="16"/>
  <c r="T3356" i="16"/>
  <c r="T3354" i="16"/>
  <c r="T3352" i="16"/>
  <c r="T3350" i="16"/>
  <c r="T3348" i="16"/>
  <c r="T3346" i="16"/>
  <c r="T3344" i="16"/>
  <c r="T3342" i="16"/>
  <c r="T3340" i="16"/>
  <c r="T3338" i="16"/>
  <c r="T3336" i="16"/>
  <c r="T3334" i="16"/>
  <c r="T3332" i="16"/>
  <c r="T3330" i="16"/>
  <c r="T3328" i="16"/>
  <c r="T3326" i="16"/>
  <c r="T3324" i="16"/>
  <c r="T3322" i="16"/>
  <c r="T3320" i="16"/>
  <c r="T3318" i="16"/>
  <c r="T3316" i="16"/>
  <c r="T3314" i="16"/>
  <c r="T3312" i="16"/>
  <c r="T3310" i="16"/>
  <c r="T3308" i="16"/>
  <c r="T3306" i="16"/>
  <c r="T3304" i="16"/>
  <c r="T3302" i="16"/>
  <c r="T3300" i="16"/>
  <c r="T3298" i="16"/>
  <c r="T3296" i="16"/>
  <c r="T3294" i="16"/>
  <c r="T3292" i="16"/>
  <c r="T3290" i="16"/>
  <c r="T3288" i="16"/>
  <c r="T3286" i="16"/>
  <c r="T3284" i="16"/>
  <c r="T3282" i="16"/>
  <c r="T3280" i="16"/>
  <c r="T3278" i="16"/>
  <c r="T3276" i="16"/>
  <c r="T3274" i="16"/>
  <c r="T3272" i="16"/>
  <c r="T3270" i="16"/>
  <c r="T3268" i="16"/>
  <c r="T3266" i="16"/>
  <c r="T3264" i="16"/>
  <c r="T3262" i="16"/>
  <c r="T3260" i="16"/>
  <c r="T3258" i="16"/>
  <c r="T3256" i="16"/>
  <c r="T3254" i="16"/>
  <c r="T3252" i="16"/>
  <c r="T3250" i="16"/>
  <c r="T3248" i="16"/>
  <c r="T3246" i="16"/>
  <c r="T3244" i="16"/>
  <c r="T3242" i="16"/>
  <c r="T3240" i="16"/>
  <c r="T3238" i="16"/>
  <c r="T3236" i="16"/>
  <c r="T3234" i="16"/>
  <c r="T3232" i="16"/>
  <c r="T3230" i="16"/>
  <c r="T3228" i="16"/>
  <c r="T3226" i="16"/>
  <c r="T3224" i="16"/>
  <c r="T3563" i="16"/>
  <c r="T3561" i="16"/>
  <c r="T3559" i="16"/>
  <c r="T3557" i="16"/>
  <c r="T3555" i="16"/>
  <c r="T3553" i="16"/>
  <c r="T3551" i="16"/>
  <c r="T3549" i="16"/>
  <c r="T3547" i="16"/>
  <c r="T3545" i="16"/>
  <c r="T3543" i="16"/>
  <c r="T3541" i="16"/>
  <c r="T3539" i="16"/>
  <c r="T3537" i="16"/>
  <c r="T3535" i="16"/>
  <c r="T3533" i="16"/>
  <c r="T3531" i="16"/>
  <c r="T3529" i="16"/>
  <c r="T3527" i="16"/>
  <c r="T3525" i="16"/>
  <c r="T3523" i="16"/>
  <c r="T3521" i="16"/>
  <c r="T3519" i="16"/>
  <c r="T3517" i="16"/>
  <c r="T3515" i="16"/>
  <c r="T3513" i="16"/>
  <c r="T3511" i="16"/>
  <c r="T3509" i="16"/>
  <c r="T3507" i="16"/>
  <c r="T3505" i="16"/>
  <c r="T3503" i="16"/>
  <c r="T3501" i="16"/>
  <c r="T3499" i="16"/>
  <c r="T3497" i="16"/>
  <c r="T3495" i="16"/>
  <c r="T3493" i="16"/>
  <c r="T3491" i="16"/>
  <c r="T3489" i="16"/>
  <c r="T3487" i="16"/>
  <c r="T3485" i="16"/>
  <c r="T3483" i="16"/>
  <c r="T3481" i="16"/>
  <c r="T3479" i="16"/>
  <c r="T3477" i="16"/>
  <c r="T3475" i="16"/>
  <c r="T3473" i="16"/>
  <c r="T3471" i="16"/>
  <c r="T3469" i="16"/>
  <c r="T3467" i="16"/>
  <c r="T3465" i="16"/>
  <c r="T3463" i="16"/>
  <c r="T3461" i="16"/>
  <c r="T3459" i="16"/>
  <c r="T3457" i="16"/>
  <c r="T3455" i="16"/>
  <c r="T3453" i="16"/>
  <c r="T3451" i="16"/>
  <c r="T3449" i="16"/>
  <c r="T3447" i="16"/>
  <c r="T3445" i="16"/>
  <c r="T3443" i="16"/>
  <c r="T3441" i="16"/>
  <c r="T3439" i="16"/>
  <c r="T3437" i="16"/>
  <c r="T3435" i="16"/>
  <c r="T3433" i="16"/>
  <c r="T3431" i="16"/>
  <c r="T3429" i="16"/>
  <c r="T3427" i="16"/>
  <c r="T3425" i="16"/>
  <c r="T3423" i="16"/>
  <c r="T3421" i="16"/>
  <c r="T3419" i="16"/>
  <c r="T3417" i="16"/>
  <c r="T3415" i="16"/>
  <c r="T3413" i="16"/>
  <c r="T3411" i="16"/>
  <c r="T3409" i="16"/>
  <c r="T3407" i="16"/>
  <c r="T3405" i="16"/>
  <c r="T3403" i="16"/>
  <c r="T3401" i="16"/>
  <c r="T3399" i="16"/>
  <c r="T3397" i="16"/>
  <c r="T3395" i="16"/>
  <c r="T3393" i="16"/>
  <c r="T3391" i="16"/>
  <c r="T3389" i="16"/>
  <c r="T3387" i="16"/>
  <c r="T3385" i="16"/>
  <c r="T3383" i="16"/>
  <c r="T3381" i="16"/>
  <c r="T3379" i="16"/>
  <c r="T3377" i="16"/>
  <c r="T3375" i="16"/>
  <c r="T3373" i="16"/>
  <c r="T3371" i="16"/>
  <c r="T3369" i="16"/>
  <c r="T3367" i="16"/>
  <c r="T3365" i="16"/>
  <c r="T3363" i="16"/>
  <c r="T3361" i="16"/>
  <c r="T3359" i="16"/>
  <c r="T3357" i="16"/>
  <c r="T3355" i="16"/>
  <c r="T3353" i="16"/>
  <c r="T3351" i="16"/>
  <c r="T3349" i="16"/>
  <c r="T3347" i="16"/>
  <c r="T3345" i="16"/>
  <c r="T3343" i="16"/>
  <c r="T3341" i="16"/>
  <c r="T3339" i="16"/>
  <c r="T3337" i="16"/>
  <c r="T3335" i="16"/>
  <c r="T3333" i="16"/>
  <c r="T3331" i="16"/>
  <c r="T3329" i="16"/>
  <c r="T3327" i="16"/>
  <c r="T3325" i="16"/>
  <c r="T3323" i="16"/>
  <c r="T3321" i="16"/>
  <c r="T3319" i="16"/>
  <c r="T3317" i="16"/>
  <c r="T3315" i="16"/>
  <c r="T3313" i="16"/>
  <c r="T3311" i="16"/>
  <c r="T3309" i="16"/>
  <c r="T3307" i="16"/>
  <c r="T3305" i="16"/>
  <c r="T3303" i="16"/>
  <c r="T3301" i="16"/>
  <c r="T3299" i="16"/>
  <c r="T3297" i="16"/>
  <c r="T3295" i="16"/>
  <c r="T3293" i="16"/>
  <c r="T3291" i="16"/>
  <c r="T3289" i="16"/>
  <c r="T3287" i="16"/>
  <c r="T3285" i="16"/>
  <c r="T3283" i="16"/>
  <c r="T3281" i="16"/>
  <c r="T3279" i="16"/>
  <c r="T3277" i="16"/>
  <c r="T3275" i="16"/>
  <c r="T3273" i="16"/>
  <c r="T3271" i="16"/>
  <c r="T3269" i="16"/>
  <c r="T3267" i="16"/>
  <c r="T3265" i="16"/>
  <c r="T3263" i="16"/>
  <c r="T3261" i="16"/>
  <c r="T3259" i="16"/>
  <c r="T3257" i="16"/>
  <c r="T3255" i="16"/>
  <c r="T3253" i="16"/>
  <c r="T3251" i="16"/>
  <c r="T3249" i="16"/>
  <c r="T3247" i="16"/>
  <c r="T3245" i="16"/>
  <c r="T3243" i="16"/>
  <c r="T3241" i="16"/>
  <c r="T3239" i="16"/>
  <c r="T3237" i="16"/>
  <c r="T3235" i="16"/>
  <c r="T3233" i="16"/>
  <c r="T3231" i="16"/>
  <c r="T3229" i="16"/>
  <c r="T3227" i="16"/>
  <c r="T3225" i="16"/>
  <c r="T3223" i="16"/>
  <c r="T3221" i="16"/>
  <c r="T3219" i="16"/>
  <c r="T3217" i="16"/>
  <c r="T3215" i="16"/>
  <c r="T3213" i="16"/>
  <c r="T3211" i="16"/>
  <c r="T3209" i="16"/>
  <c r="T3207" i="16"/>
  <c r="T3205" i="16"/>
  <c r="T3203" i="16"/>
  <c r="T3201" i="16"/>
  <c r="T3199" i="16"/>
  <c r="T3197" i="16"/>
  <c r="T3195" i="16"/>
  <c r="T3193" i="16"/>
  <c r="T3191" i="16"/>
  <c r="T3189" i="16"/>
  <c r="T3187" i="16"/>
  <c r="T3185" i="16"/>
  <c r="T3183" i="16"/>
  <c r="T3181" i="16"/>
  <c r="T3179" i="16"/>
  <c r="T3177" i="16"/>
  <c r="T3175" i="16"/>
  <c r="T3173" i="16"/>
  <c r="T3171" i="16"/>
  <c r="T3169" i="16"/>
  <c r="T3167" i="16"/>
  <c r="T3165" i="16"/>
  <c r="T3163" i="16"/>
  <c r="T3161" i="16"/>
  <c r="T3159" i="16"/>
  <c r="T3157" i="16"/>
  <c r="T3155" i="16"/>
  <c r="T3153" i="16"/>
  <c r="T3151" i="16"/>
  <c r="T3149" i="16"/>
  <c r="T3147" i="16"/>
  <c r="T3145" i="16"/>
  <c r="T3143" i="16"/>
  <c r="T3141" i="16"/>
  <c r="T3139" i="16"/>
  <c r="T3137" i="16"/>
  <c r="T3135" i="16"/>
  <c r="T3133" i="16"/>
  <c r="T3131" i="16"/>
  <c r="T3129" i="16"/>
  <c r="T3127" i="16"/>
  <c r="T3125" i="16"/>
  <c r="T3123" i="16"/>
  <c r="T3121" i="16"/>
  <c r="T3119" i="16"/>
  <c r="T3117" i="16"/>
  <c r="T3115" i="16"/>
  <c r="T3113" i="16"/>
  <c r="T3111" i="16"/>
  <c r="T3109" i="16"/>
  <c r="T3107" i="16"/>
  <c r="T3105" i="16"/>
  <c r="T3103" i="16"/>
  <c r="T3101" i="16"/>
  <c r="T3099" i="16"/>
  <c r="T3097" i="16"/>
  <c r="T3095" i="16"/>
  <c r="T3093" i="16"/>
  <c r="T3091" i="16"/>
  <c r="T3089" i="16"/>
  <c r="T3087" i="16"/>
  <c r="T3085" i="16"/>
  <c r="T3083" i="16"/>
  <c r="T3081" i="16"/>
  <c r="T3079" i="16"/>
  <c r="T3077" i="16"/>
  <c r="T3075" i="16"/>
  <c r="T3073" i="16"/>
  <c r="T3071" i="16"/>
  <c r="T3069" i="16"/>
  <c r="T3067" i="16"/>
  <c r="T3065" i="16"/>
  <c r="T3063" i="16"/>
  <c r="T3061" i="16"/>
  <c r="T3059" i="16"/>
  <c r="T3057" i="16"/>
  <c r="T3055" i="16"/>
  <c r="T3053" i="16"/>
  <c r="T3051" i="16"/>
  <c r="T3049" i="16"/>
  <c r="T3047" i="16"/>
  <c r="T3045" i="16"/>
  <c r="T3043" i="16"/>
  <c r="T3041" i="16"/>
  <c r="T3039" i="16"/>
  <c r="T3037" i="16"/>
  <c r="T3035" i="16"/>
  <c r="T3033" i="16"/>
  <c r="T3031" i="16"/>
  <c r="T3029" i="16"/>
  <c r="T3027" i="16"/>
  <c r="T3025" i="16"/>
  <c r="T3023" i="16"/>
  <c r="T3021" i="16"/>
  <c r="T3019" i="16"/>
  <c r="T3017" i="16"/>
  <c r="T3015" i="16"/>
  <c r="T3013" i="16"/>
  <c r="T3011" i="16"/>
  <c r="T3009" i="16"/>
  <c r="T3007" i="16"/>
  <c r="T3005" i="16"/>
  <c r="T3003" i="16"/>
  <c r="T3001" i="16"/>
  <c r="T2999" i="16"/>
  <c r="T2997" i="16"/>
  <c r="T2995" i="16"/>
  <c r="T2993" i="16"/>
  <c r="T2991" i="16"/>
  <c r="T2989" i="16"/>
  <c r="T2987" i="16"/>
  <c r="T2985" i="16"/>
  <c r="T2983" i="16"/>
  <c r="T2981" i="16"/>
  <c r="T2979" i="16"/>
  <c r="T2977" i="16"/>
  <c r="T2975" i="16"/>
  <c r="T2973" i="16"/>
  <c r="T2971" i="16"/>
  <c r="T2969" i="16"/>
  <c r="T2967" i="16"/>
  <c r="T2965" i="16"/>
  <c r="T2963" i="16"/>
  <c r="T2961" i="16"/>
  <c r="T2959" i="16"/>
  <c r="T2957" i="16"/>
  <c r="T2955" i="16"/>
  <c r="T2953" i="16"/>
  <c r="T2951" i="16"/>
  <c r="T2949" i="16"/>
  <c r="T2947" i="16"/>
  <c r="T2945" i="16"/>
  <c r="T2943" i="16"/>
  <c r="T2941" i="16"/>
  <c r="T2939" i="16"/>
  <c r="T2937" i="16"/>
  <c r="T2935" i="16"/>
  <c r="T2933" i="16"/>
  <c r="T2931" i="16"/>
  <c r="T2929" i="16"/>
  <c r="T2927" i="16"/>
  <c r="T2925" i="16"/>
  <c r="T2923" i="16"/>
  <c r="T2921" i="16"/>
  <c r="T2919" i="16"/>
  <c r="T2917" i="16"/>
  <c r="T2915" i="16"/>
  <c r="T2913" i="16"/>
  <c r="T2911" i="16"/>
  <c r="T2909" i="16"/>
  <c r="T2907" i="16"/>
  <c r="T2905" i="16"/>
  <c r="T2903" i="16"/>
  <c r="T2901" i="16"/>
  <c r="T2899" i="16"/>
  <c r="T2897" i="16"/>
  <c r="T2895" i="16"/>
  <c r="T2893" i="16"/>
  <c r="T2891" i="16"/>
  <c r="T2889" i="16"/>
  <c r="T2887" i="16"/>
  <c r="T2885" i="16"/>
  <c r="T2883" i="16"/>
  <c r="T2881" i="16"/>
  <c r="T2879" i="16"/>
  <c r="T2877" i="16"/>
  <c r="T2875" i="16"/>
  <c r="T2873" i="16"/>
  <c r="T2871" i="16"/>
  <c r="T2869" i="16"/>
  <c r="T2867" i="16"/>
  <c r="T2865" i="16"/>
  <c r="T2863" i="16"/>
  <c r="T2861" i="16"/>
  <c r="T2859" i="16"/>
  <c r="T2857" i="16"/>
  <c r="T2855" i="16"/>
  <c r="T2853" i="16"/>
  <c r="T2851" i="16"/>
  <c r="T2849" i="16"/>
  <c r="T2847" i="16"/>
  <c r="T2845" i="16"/>
  <c r="T2843" i="16"/>
  <c r="T2841" i="16"/>
  <c r="T2839" i="16"/>
  <c r="T2837" i="16"/>
  <c r="T2835" i="16"/>
  <c r="T2833" i="16"/>
  <c r="T2831" i="16"/>
  <c r="T2829" i="16"/>
  <c r="T2827" i="16"/>
  <c r="T2825" i="16"/>
  <c r="T2823" i="16"/>
  <c r="T2821" i="16"/>
  <c r="T2819" i="16"/>
  <c r="T2817" i="16"/>
  <c r="T2815" i="16"/>
  <c r="T2813" i="16"/>
  <c r="T2811" i="16"/>
  <c r="T2809" i="16"/>
  <c r="T2807" i="16"/>
  <c r="T2805" i="16"/>
  <c r="T2803" i="16"/>
  <c r="T2801" i="16"/>
  <c r="T2799" i="16"/>
  <c r="T2797" i="16"/>
  <c r="T2795" i="16"/>
  <c r="T2793" i="16"/>
  <c r="T2791" i="16"/>
  <c r="T2789" i="16"/>
  <c r="T2787" i="16"/>
  <c r="T2785" i="16"/>
  <c r="T2783" i="16"/>
  <c r="T2781" i="16"/>
  <c r="T2779" i="16"/>
  <c r="T2777" i="16"/>
  <c r="T2775" i="16"/>
  <c r="T2773" i="16"/>
  <c r="T2771" i="16"/>
  <c r="T2769" i="16"/>
  <c r="T2767" i="16"/>
  <c r="T2765" i="16"/>
  <c r="T2763" i="16"/>
  <c r="T2761" i="16"/>
  <c r="T2759" i="16"/>
  <c r="T2757" i="16"/>
  <c r="T2755" i="16"/>
  <c r="T2753" i="16"/>
  <c r="T2751" i="16"/>
  <c r="T2749" i="16"/>
  <c r="T2747" i="16"/>
  <c r="T2745" i="16"/>
  <c r="T2743" i="16"/>
  <c r="T2741" i="16"/>
  <c r="T2739" i="16"/>
  <c r="T2737" i="16"/>
  <c r="T2735" i="16"/>
  <c r="T2733" i="16"/>
  <c r="T2731" i="16"/>
  <c r="T2729" i="16"/>
  <c r="T2727" i="16"/>
  <c r="T2725" i="16"/>
  <c r="T2723" i="16"/>
  <c r="T2721" i="16"/>
  <c r="T2719" i="16"/>
  <c r="T2717" i="16"/>
  <c r="T2715" i="16"/>
  <c r="T2713" i="16"/>
  <c r="T2711" i="16"/>
  <c r="T2709" i="16"/>
  <c r="T2707" i="16"/>
  <c r="T2705" i="16"/>
  <c r="T2703" i="16"/>
  <c r="T2701" i="16"/>
  <c r="T2699" i="16"/>
  <c r="T2697" i="16"/>
  <c r="T2695" i="16"/>
  <c r="T2693" i="16"/>
  <c r="T2691" i="16"/>
  <c r="T2689" i="16"/>
  <c r="T2687" i="16"/>
  <c r="T2685" i="16"/>
  <c r="T2683" i="16"/>
  <c r="T2681" i="16"/>
  <c r="T2679" i="16"/>
  <c r="T2677" i="16"/>
  <c r="T2675" i="16"/>
  <c r="T2673" i="16"/>
  <c r="T2671" i="16"/>
  <c r="T2669" i="16"/>
  <c r="T2667" i="16"/>
  <c r="T2665" i="16"/>
  <c r="T2663" i="16"/>
  <c r="T2661" i="16"/>
  <c r="T2659" i="16"/>
  <c r="T2657" i="16"/>
  <c r="T2655" i="16"/>
  <c r="T2653" i="16"/>
  <c r="T2651" i="16"/>
  <c r="T2649" i="16"/>
  <c r="T2647" i="16"/>
  <c r="T2645" i="16"/>
  <c r="T2643" i="16"/>
  <c r="T2641" i="16"/>
  <c r="T2639" i="16"/>
  <c r="T2637" i="16"/>
  <c r="T2635" i="16"/>
  <c r="T2633" i="16"/>
  <c r="T2631" i="16"/>
  <c r="T2629" i="16"/>
  <c r="T2627" i="16"/>
  <c r="T2625" i="16"/>
  <c r="T2623" i="16"/>
  <c r="T2621" i="16"/>
  <c r="T2619" i="16"/>
  <c r="T2617" i="16"/>
  <c r="T2615" i="16"/>
  <c r="T2613" i="16"/>
  <c r="T2611" i="16"/>
  <c r="T2609" i="16"/>
  <c r="T2607" i="16"/>
  <c r="T2605" i="16"/>
  <c r="T2603" i="16"/>
  <c r="T2601" i="16"/>
  <c r="T2599" i="16"/>
  <c r="T2597" i="16"/>
  <c r="T2595" i="16"/>
  <c r="T2593" i="16"/>
  <c r="T2591" i="16"/>
  <c r="T2589" i="16"/>
  <c r="T2587" i="16"/>
  <c r="T2585" i="16"/>
  <c r="T2583" i="16"/>
  <c r="T2581" i="16"/>
  <c r="T2579" i="16"/>
  <c r="T2577" i="16"/>
  <c r="T2575" i="16"/>
  <c r="T2573" i="16"/>
  <c r="T2571" i="16"/>
  <c r="T2569" i="16"/>
  <c r="T2567" i="16"/>
  <c r="T2565" i="16"/>
  <c r="T2563" i="16"/>
  <c r="T2561" i="16"/>
  <c r="T2559" i="16"/>
  <c r="T2557" i="16"/>
  <c r="T2555" i="16"/>
  <c r="T2553" i="16"/>
  <c r="T2551" i="16"/>
  <c r="T2549" i="16"/>
  <c r="T2547" i="16"/>
  <c r="T2545" i="16"/>
  <c r="T2543" i="16"/>
  <c r="T3222" i="16"/>
  <c r="T3220" i="16"/>
  <c r="T3218" i="16"/>
  <c r="T3216" i="16"/>
  <c r="T3214" i="16"/>
  <c r="T3212" i="16"/>
  <c r="T3210" i="16"/>
  <c r="T3208" i="16"/>
  <c r="T3206" i="16"/>
  <c r="T3204" i="16"/>
  <c r="T3202" i="16"/>
  <c r="T3200" i="16"/>
  <c r="T3198" i="16"/>
  <c r="T3196" i="16"/>
  <c r="T3194" i="16"/>
  <c r="T3192" i="16"/>
  <c r="T3190" i="16"/>
  <c r="T3188" i="16"/>
  <c r="T3186" i="16"/>
  <c r="T3184" i="16"/>
  <c r="T3182" i="16"/>
  <c r="T3180" i="16"/>
  <c r="T3178" i="16"/>
  <c r="T3176" i="16"/>
  <c r="T3174" i="16"/>
  <c r="T3172" i="16"/>
  <c r="T3170" i="16"/>
  <c r="T3168" i="16"/>
  <c r="T3166" i="16"/>
  <c r="T3164" i="16"/>
  <c r="T3162" i="16"/>
  <c r="T3160" i="16"/>
  <c r="T3158" i="16"/>
  <c r="T3156" i="16"/>
  <c r="T3154" i="16"/>
  <c r="T3152" i="16"/>
  <c r="T3150" i="16"/>
  <c r="T3148" i="16"/>
  <c r="T3146" i="16"/>
  <c r="T3144" i="16"/>
  <c r="T3142" i="16"/>
  <c r="T3140" i="16"/>
  <c r="T3138" i="16"/>
  <c r="T3136" i="16"/>
  <c r="T3134" i="16"/>
  <c r="T3132" i="16"/>
  <c r="T3130" i="16"/>
  <c r="T3128" i="16"/>
  <c r="T3126" i="16"/>
  <c r="T3124" i="16"/>
  <c r="T3122" i="16"/>
  <c r="T3120" i="16"/>
  <c r="T3118" i="16"/>
  <c r="T3116" i="16"/>
  <c r="T3114" i="16"/>
  <c r="T3112" i="16"/>
  <c r="T3110" i="16"/>
  <c r="T3108" i="16"/>
  <c r="T3106" i="16"/>
  <c r="T3104" i="16"/>
  <c r="T3102" i="16"/>
  <c r="T3100" i="16"/>
  <c r="T3098" i="16"/>
  <c r="T3096" i="16"/>
  <c r="T3094" i="16"/>
  <c r="T3092" i="16"/>
  <c r="T3090" i="16"/>
  <c r="T3088" i="16"/>
  <c r="T3086" i="16"/>
  <c r="T3084" i="16"/>
  <c r="T3082" i="16"/>
  <c r="T3080" i="16"/>
  <c r="T3078" i="16"/>
  <c r="T3076" i="16"/>
  <c r="T3074" i="16"/>
  <c r="T3072" i="16"/>
  <c r="T3070" i="16"/>
  <c r="T3068" i="16"/>
  <c r="T3066" i="16"/>
  <c r="T3064" i="16"/>
  <c r="T3062" i="16"/>
  <c r="T3060" i="16"/>
  <c r="T3058" i="16"/>
  <c r="T3056" i="16"/>
  <c r="T3054" i="16"/>
  <c r="T3052" i="16"/>
  <c r="T3050" i="16"/>
  <c r="T3048" i="16"/>
  <c r="T3046" i="16"/>
  <c r="T3044" i="16"/>
  <c r="T3042" i="16"/>
  <c r="T3040" i="16"/>
  <c r="T3038" i="16"/>
  <c r="T3036" i="16"/>
  <c r="T3034" i="16"/>
  <c r="T3032" i="16"/>
  <c r="T3030" i="16"/>
  <c r="T3028" i="16"/>
  <c r="T3026" i="16"/>
  <c r="T3024" i="16"/>
  <c r="T3022" i="16"/>
  <c r="T3020" i="16"/>
  <c r="T3018" i="16"/>
  <c r="T3016" i="16"/>
  <c r="T3014" i="16"/>
  <c r="T3012" i="16"/>
  <c r="T3010" i="16"/>
  <c r="T3008" i="16"/>
  <c r="T3006" i="16"/>
  <c r="T3004" i="16"/>
  <c r="T3002" i="16"/>
  <c r="T3000" i="16"/>
  <c r="T2998" i="16"/>
  <c r="T2996" i="16"/>
  <c r="T2994" i="16"/>
  <c r="T2992" i="16"/>
  <c r="T2990" i="16"/>
  <c r="T2988" i="16"/>
  <c r="T2986" i="16"/>
  <c r="T2984" i="16"/>
  <c r="T2982" i="16"/>
  <c r="T2980" i="16"/>
  <c r="T2978" i="16"/>
  <c r="T2976" i="16"/>
  <c r="T2974" i="16"/>
  <c r="T2972" i="16"/>
  <c r="T2970" i="16"/>
  <c r="T2968" i="16"/>
  <c r="T2966" i="16"/>
  <c r="T2964" i="16"/>
  <c r="T2962" i="16"/>
  <c r="T2960" i="16"/>
  <c r="T2958" i="16"/>
  <c r="T2956" i="16"/>
  <c r="T2954" i="16"/>
  <c r="T2952" i="16"/>
  <c r="T2950" i="16"/>
  <c r="T2948" i="16"/>
  <c r="T2946" i="16"/>
  <c r="T2944" i="16"/>
  <c r="T2942" i="16"/>
  <c r="T2940" i="16"/>
  <c r="T2938" i="16"/>
  <c r="T2936" i="16"/>
  <c r="T2934" i="16"/>
  <c r="T2932" i="16"/>
  <c r="T2930" i="16"/>
  <c r="T2928" i="16"/>
  <c r="T2926" i="16"/>
  <c r="T2924" i="16"/>
  <c r="T2922" i="16"/>
  <c r="T2920" i="16"/>
  <c r="T2918" i="16"/>
  <c r="T2916" i="16"/>
  <c r="T2914" i="16"/>
  <c r="T2912" i="16"/>
  <c r="T2910" i="16"/>
  <c r="T2908" i="16"/>
  <c r="T2906" i="16"/>
  <c r="T2904" i="16"/>
  <c r="T2902" i="16"/>
  <c r="T2900" i="16"/>
  <c r="T2898" i="16"/>
  <c r="T2896" i="16"/>
  <c r="T2894" i="16"/>
  <c r="T2892" i="16"/>
  <c r="T2890" i="16"/>
  <c r="T2888" i="16"/>
  <c r="T2886" i="16"/>
  <c r="T2884" i="16"/>
  <c r="T2882" i="16"/>
  <c r="T2880" i="16"/>
  <c r="T2878" i="16"/>
  <c r="T2876" i="16"/>
  <c r="T2874" i="16"/>
  <c r="T2872" i="16"/>
  <c r="T2870" i="16"/>
  <c r="T2868" i="16"/>
  <c r="T2866" i="16"/>
  <c r="T2864" i="16"/>
  <c r="T2862" i="16"/>
  <c r="T2860" i="16"/>
  <c r="T2858" i="16"/>
  <c r="T2856" i="16"/>
  <c r="T2854" i="16"/>
  <c r="T2852" i="16"/>
  <c r="T2850" i="16"/>
  <c r="T2848" i="16"/>
  <c r="T2846" i="16"/>
  <c r="T2844" i="16"/>
  <c r="T2842" i="16"/>
  <c r="T2840" i="16"/>
  <c r="T2838" i="16"/>
  <c r="T2836" i="16"/>
  <c r="T2834" i="16"/>
  <c r="T2832" i="16"/>
  <c r="T2830" i="16"/>
  <c r="T2828" i="16"/>
  <c r="T2826" i="16"/>
  <c r="T2824" i="16"/>
  <c r="T2822" i="16"/>
  <c r="T2820" i="16"/>
  <c r="T2818" i="16"/>
  <c r="T2816" i="16"/>
  <c r="T2814" i="16"/>
  <c r="T2812" i="16"/>
  <c r="T2810" i="16"/>
  <c r="T2808" i="16"/>
  <c r="T2806" i="16"/>
  <c r="T2804" i="16"/>
  <c r="T2802" i="16"/>
  <c r="T2800" i="16"/>
  <c r="T2798" i="16"/>
  <c r="T2796" i="16"/>
  <c r="T2794" i="16"/>
  <c r="T2792" i="16"/>
  <c r="T2790" i="16"/>
  <c r="T2788" i="16"/>
  <c r="T2786" i="16"/>
  <c r="T2784" i="16"/>
  <c r="T2782" i="16"/>
  <c r="T2780" i="16"/>
  <c r="T2778" i="16"/>
  <c r="T2776" i="16"/>
  <c r="T2774" i="16"/>
  <c r="T2772" i="16"/>
  <c r="T2770" i="16"/>
  <c r="T2768" i="16"/>
  <c r="T2766" i="16"/>
  <c r="T2764" i="16"/>
  <c r="T2762" i="16"/>
  <c r="T2760" i="16"/>
  <c r="T2758" i="16"/>
  <c r="T2756" i="16"/>
  <c r="T2754" i="16"/>
  <c r="T2752" i="16"/>
  <c r="T2750" i="16"/>
  <c r="T2748" i="16"/>
  <c r="T2746" i="16"/>
  <c r="T2744" i="16"/>
  <c r="T2742" i="16"/>
  <c r="T2740" i="16"/>
  <c r="T2738" i="16"/>
  <c r="T2736" i="16"/>
  <c r="T2734" i="16"/>
  <c r="T2732" i="16"/>
  <c r="T2730" i="16"/>
  <c r="T2728" i="16"/>
  <c r="T2726" i="16"/>
  <c r="T2724" i="16"/>
  <c r="T2722" i="16"/>
  <c r="T2720" i="16"/>
  <c r="T2718" i="16"/>
  <c r="T2716" i="16"/>
  <c r="T2714" i="16"/>
  <c r="T2712" i="16"/>
  <c r="T2710" i="16"/>
  <c r="T2708" i="16"/>
  <c r="T2706" i="16"/>
  <c r="T2704" i="16"/>
  <c r="T2702" i="16"/>
  <c r="T2700" i="16"/>
  <c r="T2698" i="16"/>
  <c r="T2696" i="16"/>
  <c r="T2694" i="16"/>
  <c r="T2692" i="16"/>
  <c r="T2690" i="16"/>
  <c r="T2688" i="16"/>
  <c r="T2686" i="16"/>
  <c r="T2684" i="16"/>
  <c r="T2682" i="16"/>
  <c r="T2680" i="16"/>
  <c r="T2678" i="16"/>
  <c r="T2676" i="16"/>
  <c r="T2674" i="16"/>
  <c r="T2672" i="16"/>
  <c r="T2670" i="16"/>
  <c r="T2668" i="16"/>
  <c r="T2666" i="16"/>
  <c r="T2664" i="16"/>
  <c r="T2662" i="16"/>
  <c r="T2660" i="16"/>
  <c r="T2658" i="16"/>
  <c r="T2656" i="16"/>
  <c r="T2654" i="16"/>
  <c r="T2652" i="16"/>
  <c r="T2650" i="16"/>
  <c r="T2648" i="16"/>
  <c r="T2646" i="16"/>
  <c r="T2644" i="16"/>
  <c r="T2642" i="16"/>
  <c r="T2640" i="16"/>
  <c r="T2638" i="16"/>
  <c r="T2636" i="16"/>
  <c r="T2634" i="16"/>
  <c r="T2632" i="16"/>
  <c r="T2630" i="16"/>
  <c r="T2628" i="16"/>
  <c r="T2626" i="16"/>
  <c r="T2624" i="16"/>
  <c r="T2622" i="16"/>
  <c r="T2620" i="16"/>
  <c r="T2618" i="16"/>
  <c r="T2616" i="16"/>
  <c r="T2614" i="16"/>
  <c r="T2612" i="16"/>
  <c r="T2610" i="16"/>
  <c r="T2608" i="16"/>
  <c r="T2606" i="16"/>
  <c r="T2604" i="16"/>
  <c r="T2602" i="16"/>
  <c r="T2600" i="16"/>
  <c r="T2598" i="16"/>
  <c r="T2596" i="16"/>
  <c r="T2594" i="16"/>
  <c r="T2592" i="16"/>
  <c r="T2590" i="16"/>
  <c r="T2588" i="16"/>
  <c r="T2586" i="16"/>
  <c r="T2584" i="16"/>
  <c r="T2582" i="16"/>
  <c r="T2580" i="16"/>
  <c r="T2578" i="16"/>
  <c r="T2576" i="16"/>
  <c r="T2574" i="16"/>
  <c r="T2572" i="16"/>
  <c r="T2570" i="16"/>
  <c r="T2568" i="16"/>
  <c r="T2566" i="16"/>
  <c r="T2564" i="16"/>
  <c r="T2562" i="16"/>
  <c r="T2560" i="16"/>
  <c r="T2558" i="16"/>
  <c r="T2556" i="16"/>
  <c r="T2554" i="16"/>
  <c r="T2552" i="16"/>
  <c r="T2550" i="16"/>
  <c r="T2548" i="16"/>
  <c r="T2546" i="16"/>
  <c r="T2544" i="16"/>
  <c r="T2542" i="16"/>
  <c r="T2541" i="16"/>
  <c r="T2539" i="16"/>
  <c r="T2537" i="16"/>
  <c r="T2535" i="16"/>
  <c r="T2533" i="16"/>
  <c r="T2531" i="16"/>
  <c r="T2529" i="16"/>
  <c r="T2527" i="16"/>
  <c r="T2525" i="16"/>
  <c r="T2523" i="16"/>
  <c r="T2521" i="16"/>
  <c r="T2519" i="16"/>
  <c r="T2517" i="16"/>
  <c r="T2515" i="16"/>
  <c r="T2513" i="16"/>
  <c r="T2511" i="16"/>
  <c r="T2509" i="16"/>
  <c r="T2507" i="16"/>
  <c r="T2505" i="16"/>
  <c r="T2503" i="16"/>
  <c r="T2501" i="16"/>
  <c r="T2499" i="16"/>
  <c r="T2497" i="16"/>
  <c r="T2495" i="16"/>
  <c r="T2493" i="16"/>
  <c r="T2491" i="16"/>
  <c r="T2489" i="16"/>
  <c r="T2487" i="16"/>
  <c r="T2485" i="16"/>
  <c r="T2483" i="16"/>
  <c r="T2481" i="16"/>
  <c r="T2479" i="16"/>
  <c r="T2477" i="16"/>
  <c r="T2475" i="16"/>
  <c r="T2473" i="16"/>
  <c r="T2471" i="16"/>
  <c r="T2469" i="16"/>
  <c r="T2467" i="16"/>
  <c r="T2465" i="16"/>
  <c r="T2463" i="16"/>
  <c r="T2461" i="16"/>
  <c r="T2459" i="16"/>
  <c r="T2457" i="16"/>
  <c r="T2455" i="16"/>
  <c r="T2453" i="16"/>
  <c r="T2451" i="16"/>
  <c r="T2449" i="16"/>
  <c r="T2447" i="16"/>
  <c r="T2445" i="16"/>
  <c r="T2443" i="16"/>
  <c r="T2441" i="16"/>
  <c r="T2439" i="16"/>
  <c r="T2437" i="16"/>
  <c r="T2435" i="16"/>
  <c r="T2433" i="16"/>
  <c r="T2431" i="16"/>
  <c r="T2429" i="16"/>
  <c r="T2427" i="16"/>
  <c r="T2425" i="16"/>
  <c r="T2423" i="16"/>
  <c r="T2421" i="16"/>
  <c r="T2419" i="16"/>
  <c r="T2417" i="16"/>
  <c r="T2415" i="16"/>
  <c r="T2413" i="16"/>
  <c r="T2411" i="16"/>
  <c r="T2409" i="16"/>
  <c r="T2407" i="16"/>
  <c r="T2405" i="16"/>
  <c r="T2403" i="16"/>
  <c r="T2401" i="16"/>
  <c r="T2399" i="16"/>
  <c r="T2397" i="16"/>
  <c r="T2395" i="16"/>
  <c r="T2393" i="16"/>
  <c r="T2391" i="16"/>
  <c r="T2389" i="16"/>
  <c r="T2387" i="16"/>
  <c r="T2385" i="16"/>
  <c r="T2383" i="16"/>
  <c r="T2381" i="16"/>
  <c r="T2379" i="16"/>
  <c r="T2377" i="16"/>
  <c r="T2375" i="16"/>
  <c r="T2373" i="16"/>
  <c r="T2371" i="16"/>
  <c r="T2369" i="16"/>
  <c r="T2367" i="16"/>
  <c r="T2365" i="16"/>
  <c r="T2363" i="16"/>
  <c r="T2361" i="16"/>
  <c r="T2359" i="16"/>
  <c r="T2357" i="16"/>
  <c r="T2355" i="16"/>
  <c r="T2353" i="16"/>
  <c r="T2351" i="16"/>
  <c r="T2349" i="16"/>
  <c r="T2347" i="16"/>
  <c r="T2345" i="16"/>
  <c r="T2343" i="16"/>
  <c r="T2341" i="16"/>
  <c r="T2339" i="16"/>
  <c r="T2337" i="16"/>
  <c r="T2335" i="16"/>
  <c r="T2333" i="16"/>
  <c r="T2331" i="16"/>
  <c r="T2329" i="16"/>
  <c r="T2327" i="16"/>
  <c r="T2325" i="16"/>
  <c r="T2323" i="16"/>
  <c r="T2321" i="16"/>
  <c r="T2319" i="16"/>
  <c r="T2317" i="16"/>
  <c r="T2315" i="16"/>
  <c r="T2313" i="16"/>
  <c r="T2311" i="16"/>
  <c r="T2309" i="16"/>
  <c r="T2307" i="16"/>
  <c r="T2305" i="16"/>
  <c r="T2303" i="16"/>
  <c r="T2301" i="16"/>
  <c r="T2299" i="16"/>
  <c r="T2297" i="16"/>
  <c r="T2295" i="16"/>
  <c r="T2293" i="16"/>
  <c r="T2291" i="16"/>
  <c r="T2289" i="16"/>
  <c r="T2287" i="16"/>
  <c r="T2285" i="16"/>
  <c r="T2283" i="16"/>
  <c r="T2281" i="16"/>
  <c r="T2279" i="16"/>
  <c r="T2277" i="16"/>
  <c r="T2275" i="16"/>
  <c r="T2273" i="16"/>
  <c r="T2271" i="16"/>
  <c r="T2269" i="16"/>
  <c r="T2267" i="16"/>
  <c r="T2265" i="16"/>
  <c r="T2263" i="16"/>
  <c r="T2261" i="16"/>
  <c r="T2259" i="16"/>
  <c r="T2257" i="16"/>
  <c r="T2255" i="16"/>
  <c r="T2253" i="16"/>
  <c r="T2251" i="16"/>
  <c r="T2249" i="16"/>
  <c r="T2247" i="16"/>
  <c r="T2245" i="16"/>
  <c r="T2243" i="16"/>
  <c r="T2241" i="16"/>
  <c r="T2239" i="16"/>
  <c r="T2237" i="16"/>
  <c r="T2235" i="16"/>
  <c r="T2233" i="16"/>
  <c r="T2231" i="16"/>
  <c r="T2229" i="16"/>
  <c r="T2227" i="16"/>
  <c r="T2225" i="16"/>
  <c r="T2223" i="16"/>
  <c r="T2221" i="16"/>
  <c r="T2219" i="16"/>
  <c r="T2217" i="16"/>
  <c r="T2215" i="16"/>
  <c r="T2213" i="16"/>
  <c r="T2211" i="16"/>
  <c r="T2209" i="16"/>
  <c r="T2207" i="16"/>
  <c r="T2205" i="16"/>
  <c r="T2203" i="16"/>
  <c r="T2201" i="16"/>
  <c r="T2199" i="16"/>
  <c r="T2197" i="16"/>
  <c r="T2195" i="16"/>
  <c r="T2193" i="16"/>
  <c r="T2191" i="16"/>
  <c r="T2189" i="16"/>
  <c r="T2187" i="16"/>
  <c r="T2185" i="16"/>
  <c r="T2183" i="16"/>
  <c r="T2181" i="16"/>
  <c r="T2179" i="16"/>
  <c r="T2177" i="16"/>
  <c r="T2175" i="16"/>
  <c r="T2173" i="16"/>
  <c r="T2171" i="16"/>
  <c r="T2169" i="16"/>
  <c r="T2167" i="16"/>
  <c r="T2165" i="16"/>
  <c r="T2163" i="16"/>
  <c r="T2161" i="16"/>
  <c r="T2159" i="16"/>
  <c r="T2157" i="16"/>
  <c r="T2155" i="16"/>
  <c r="T2153" i="16"/>
  <c r="T2151" i="16"/>
  <c r="T2149" i="16"/>
  <c r="T2147" i="16"/>
  <c r="T2145" i="16"/>
  <c r="T2143" i="16"/>
  <c r="T2141" i="16"/>
  <c r="T2139" i="16"/>
  <c r="T2137" i="16"/>
  <c r="T2135" i="16"/>
  <c r="T2133" i="16"/>
  <c r="T2131" i="16"/>
  <c r="T2129" i="16"/>
  <c r="T2127" i="16"/>
  <c r="T2125" i="16"/>
  <c r="T2123" i="16"/>
  <c r="T2121" i="16"/>
  <c r="T2119" i="16"/>
  <c r="T2117" i="16"/>
  <c r="T2115" i="16"/>
  <c r="T2113" i="16"/>
  <c r="T2111" i="16"/>
  <c r="T2109" i="16"/>
  <c r="T2107" i="16"/>
  <c r="T2105" i="16"/>
  <c r="T2103" i="16"/>
  <c r="T2101" i="16"/>
  <c r="T2099" i="16"/>
  <c r="T2097" i="16"/>
  <c r="T2095" i="16"/>
  <c r="T2093" i="16"/>
  <c r="T2091" i="16"/>
  <c r="T2089" i="16"/>
  <c r="T2087" i="16"/>
  <c r="T2085" i="16"/>
  <c r="T2083" i="16"/>
  <c r="T2081" i="16"/>
  <c r="T2079" i="16"/>
  <c r="T2077" i="16"/>
  <c r="T2075" i="16"/>
  <c r="T2073" i="16"/>
  <c r="T2071" i="16"/>
  <c r="T2069" i="16"/>
  <c r="T2067" i="16"/>
  <c r="T2065" i="16"/>
  <c r="T2063" i="16"/>
  <c r="T2061" i="16"/>
  <c r="T2059" i="16"/>
  <c r="T2057" i="16"/>
  <c r="T2055" i="16"/>
  <c r="T2053" i="16"/>
  <c r="T2051" i="16"/>
  <c r="T2049" i="16"/>
  <c r="T2047" i="16"/>
  <c r="T2045" i="16"/>
  <c r="T2043" i="16"/>
  <c r="T2041" i="16"/>
  <c r="T2039" i="16"/>
  <c r="T2037" i="16"/>
  <c r="T2035" i="16"/>
  <c r="T2033" i="16"/>
  <c r="T2031" i="16"/>
  <c r="T2029" i="16"/>
  <c r="T2027" i="16"/>
  <c r="T2025" i="16"/>
  <c r="T2023" i="16"/>
  <c r="T2021" i="16"/>
  <c r="T2019" i="16"/>
  <c r="T2017" i="16"/>
  <c r="T2015" i="16"/>
  <c r="T2013" i="16"/>
  <c r="T2011" i="16"/>
  <c r="T2009" i="16"/>
  <c r="T2007" i="16"/>
  <c r="T2005" i="16"/>
  <c r="T2003" i="16"/>
  <c r="T2001" i="16"/>
  <c r="T1999" i="16"/>
  <c r="T1997" i="16"/>
  <c r="T1995" i="16"/>
  <c r="T1993" i="16"/>
  <c r="T1991" i="16"/>
  <c r="T1989" i="16"/>
  <c r="T1987" i="16"/>
  <c r="T1985" i="16"/>
  <c r="T1983" i="16"/>
  <c r="T1981" i="16"/>
  <c r="T1979" i="16"/>
  <c r="T1977" i="16"/>
  <c r="T1975" i="16"/>
  <c r="T1973" i="16"/>
  <c r="T1971" i="16"/>
  <c r="T1969" i="16"/>
  <c r="T1967" i="16"/>
  <c r="T1965" i="16"/>
  <c r="T1963" i="16"/>
  <c r="T1961" i="16"/>
  <c r="T1959" i="16"/>
  <c r="T1957" i="16"/>
  <c r="T1955" i="16"/>
  <c r="T1953" i="16"/>
  <c r="T1951" i="16"/>
  <c r="T1949" i="16"/>
  <c r="T1947" i="16"/>
  <c r="T1945" i="16"/>
  <c r="T1943" i="16"/>
  <c r="T1941" i="16"/>
  <c r="T1939" i="16"/>
  <c r="T1937" i="16"/>
  <c r="T1935" i="16"/>
  <c r="T1933" i="16"/>
  <c r="T1931" i="16"/>
  <c r="T1929" i="16"/>
  <c r="T1927" i="16"/>
  <c r="T1925" i="16"/>
  <c r="T1923" i="16"/>
  <c r="T1921" i="16"/>
  <c r="T1919" i="16"/>
  <c r="T1917" i="16"/>
  <c r="T1915" i="16"/>
  <c r="T1913" i="16"/>
  <c r="T1911" i="16"/>
  <c r="T1909" i="16"/>
  <c r="T1907" i="16"/>
  <c r="T1905" i="16"/>
  <c r="T1903" i="16"/>
  <c r="T1901" i="16"/>
  <c r="T1899" i="16"/>
  <c r="T1897" i="16"/>
  <c r="T1895" i="16"/>
  <c r="T1893" i="16"/>
  <c r="T1891" i="16"/>
  <c r="T1889" i="16"/>
  <c r="T1887" i="16"/>
  <c r="T1885" i="16"/>
  <c r="T1883" i="16"/>
  <c r="T1881" i="16"/>
  <c r="T1879" i="16"/>
  <c r="T1877" i="16"/>
  <c r="T1875" i="16"/>
  <c r="T1873" i="16"/>
  <c r="T1871" i="16"/>
  <c r="T1869" i="16"/>
  <c r="T1867" i="16"/>
  <c r="T1865" i="16"/>
  <c r="T1863" i="16"/>
  <c r="T1861" i="16"/>
  <c r="T1859" i="16"/>
  <c r="T2540" i="16"/>
  <c r="T2538" i="16"/>
  <c r="T2536" i="16"/>
  <c r="T2534" i="16"/>
  <c r="T2532" i="16"/>
  <c r="T2530" i="16"/>
  <c r="T2528" i="16"/>
  <c r="T2526" i="16"/>
  <c r="T2524" i="16"/>
  <c r="T2522" i="16"/>
  <c r="T2520" i="16"/>
  <c r="T2518" i="16"/>
  <c r="T2516" i="16"/>
  <c r="T2514" i="16"/>
  <c r="T2512" i="16"/>
  <c r="T2510" i="16"/>
  <c r="T2508" i="16"/>
  <c r="T2506" i="16"/>
  <c r="T2504" i="16"/>
  <c r="T2502" i="16"/>
  <c r="T2500" i="16"/>
  <c r="T2498" i="16"/>
  <c r="T2496" i="16"/>
  <c r="T2494" i="16"/>
  <c r="T2492" i="16"/>
  <c r="T2490" i="16"/>
  <c r="T2488" i="16"/>
  <c r="T2486" i="16"/>
  <c r="T2484" i="16"/>
  <c r="T2482" i="16"/>
  <c r="T2480" i="16"/>
  <c r="T2478" i="16"/>
  <c r="T2476" i="16"/>
  <c r="T2474" i="16"/>
  <c r="T2472" i="16"/>
  <c r="T2470" i="16"/>
  <c r="T2468" i="16"/>
  <c r="T2466" i="16"/>
  <c r="T2464" i="16"/>
  <c r="T2462" i="16"/>
  <c r="T2460" i="16"/>
  <c r="T2458" i="16"/>
  <c r="T2456" i="16"/>
  <c r="T2454" i="16"/>
  <c r="T2452" i="16"/>
  <c r="T2450" i="16"/>
  <c r="T2448" i="16"/>
  <c r="T2446" i="16"/>
  <c r="T2444" i="16"/>
  <c r="T2442" i="16"/>
  <c r="T2440" i="16"/>
  <c r="T2438" i="16"/>
  <c r="T2436" i="16"/>
  <c r="T2434" i="16"/>
  <c r="T2432" i="16"/>
  <c r="T2430" i="16"/>
  <c r="T2428" i="16"/>
  <c r="T2426" i="16"/>
  <c r="T2424" i="16"/>
  <c r="T2422" i="16"/>
  <c r="T2420" i="16"/>
  <c r="T2418" i="16"/>
  <c r="T2416" i="16"/>
  <c r="T2414" i="16"/>
  <c r="T2412" i="16"/>
  <c r="T2410" i="16"/>
  <c r="T2408" i="16"/>
  <c r="T2406" i="16"/>
  <c r="T2404" i="16"/>
  <c r="T2402" i="16"/>
  <c r="T2400" i="16"/>
  <c r="T2398" i="16"/>
  <c r="T2396" i="16"/>
  <c r="T2394" i="16"/>
  <c r="T2392" i="16"/>
  <c r="T2390" i="16"/>
  <c r="T2388" i="16"/>
  <c r="T2386" i="16"/>
  <c r="T2384" i="16"/>
  <c r="T2382" i="16"/>
  <c r="T2380" i="16"/>
  <c r="T2378" i="16"/>
  <c r="T2376" i="16"/>
  <c r="T2374" i="16"/>
  <c r="T2372" i="16"/>
  <c r="T2370" i="16"/>
  <c r="T2368" i="16"/>
  <c r="T2366" i="16"/>
  <c r="T2364" i="16"/>
  <c r="T2362" i="16"/>
  <c r="T2360" i="16"/>
  <c r="T2358" i="16"/>
  <c r="T2356" i="16"/>
  <c r="T2354" i="16"/>
  <c r="T2352" i="16"/>
  <c r="T2350" i="16"/>
  <c r="T2348" i="16"/>
  <c r="T2346" i="16"/>
  <c r="T2344" i="16"/>
  <c r="T2342" i="16"/>
  <c r="T2340" i="16"/>
  <c r="T2338" i="16"/>
  <c r="T2336" i="16"/>
  <c r="T2334" i="16"/>
  <c r="T2332" i="16"/>
  <c r="T2330" i="16"/>
  <c r="T2328" i="16"/>
  <c r="T2326" i="16"/>
  <c r="T2324" i="16"/>
  <c r="T2322" i="16"/>
  <c r="T2320" i="16"/>
  <c r="T2318" i="16"/>
  <c r="T2316" i="16"/>
  <c r="T2314" i="16"/>
  <c r="T2312" i="16"/>
  <c r="T2310" i="16"/>
  <c r="T2308" i="16"/>
  <c r="T2306" i="16"/>
  <c r="T2304" i="16"/>
  <c r="T2302" i="16"/>
  <c r="T2300" i="16"/>
  <c r="T2298" i="16"/>
  <c r="T2296" i="16"/>
  <c r="T2294" i="16"/>
  <c r="T2292" i="16"/>
  <c r="T2290" i="16"/>
  <c r="T2288" i="16"/>
  <c r="T2286" i="16"/>
  <c r="T2284" i="16"/>
  <c r="T2282" i="16"/>
  <c r="T2280" i="16"/>
  <c r="T2278" i="16"/>
  <c r="T2276" i="16"/>
  <c r="T2274" i="16"/>
  <c r="T2272" i="16"/>
  <c r="T2270" i="16"/>
  <c r="T2268" i="16"/>
  <c r="T2266" i="16"/>
  <c r="T2264" i="16"/>
  <c r="T2262" i="16"/>
  <c r="T2260" i="16"/>
  <c r="T2258" i="16"/>
  <c r="T2256" i="16"/>
  <c r="T2254" i="16"/>
  <c r="T2252" i="16"/>
  <c r="T2250" i="16"/>
  <c r="T2248" i="16"/>
  <c r="T2246" i="16"/>
  <c r="T2244" i="16"/>
  <c r="T2242" i="16"/>
  <c r="T2240" i="16"/>
  <c r="T2238" i="16"/>
  <c r="T2236" i="16"/>
  <c r="T2234" i="16"/>
  <c r="T2232" i="16"/>
  <c r="T2230" i="16"/>
  <c r="T2228" i="16"/>
  <c r="T2226" i="16"/>
  <c r="T2224" i="16"/>
  <c r="T2222" i="16"/>
  <c r="T2220" i="16"/>
  <c r="T2218" i="16"/>
  <c r="T2216" i="16"/>
  <c r="T2214" i="16"/>
  <c r="T2212" i="16"/>
  <c r="T2210" i="16"/>
  <c r="T2208" i="16"/>
  <c r="T2206" i="16"/>
  <c r="T2204" i="16"/>
  <c r="T2202" i="16"/>
  <c r="T2200" i="16"/>
  <c r="T2198" i="16"/>
  <c r="T2196" i="16"/>
  <c r="T2194" i="16"/>
  <c r="T2192" i="16"/>
  <c r="T2190" i="16"/>
  <c r="T2188" i="16"/>
  <c r="T2186" i="16"/>
  <c r="T2184" i="16"/>
  <c r="T2182" i="16"/>
  <c r="T2180" i="16"/>
  <c r="T2178" i="16"/>
  <c r="T2176" i="16"/>
  <c r="T2174" i="16"/>
  <c r="T2172" i="16"/>
  <c r="T2170" i="16"/>
  <c r="T2168" i="16"/>
  <c r="T2166" i="16"/>
  <c r="T2164" i="16"/>
  <c r="T2162" i="16"/>
  <c r="T2160" i="16"/>
  <c r="T2158" i="16"/>
  <c r="T2156" i="16"/>
  <c r="T2154" i="16"/>
  <c r="T2152" i="16"/>
  <c r="T2150" i="16"/>
  <c r="T2148" i="16"/>
  <c r="T2146" i="16"/>
  <c r="T2144" i="16"/>
  <c r="T2142" i="16"/>
  <c r="T2140" i="16"/>
  <c r="T2138" i="16"/>
  <c r="T2136" i="16"/>
  <c r="T2134" i="16"/>
  <c r="T2132" i="16"/>
  <c r="T2130" i="16"/>
  <c r="T2128" i="16"/>
  <c r="T2126" i="16"/>
  <c r="T2124" i="16"/>
  <c r="T2122" i="16"/>
  <c r="T2120" i="16"/>
  <c r="T2118" i="16"/>
  <c r="T2116" i="16"/>
  <c r="T2114" i="16"/>
  <c r="T2112" i="16"/>
  <c r="T2110" i="16"/>
  <c r="T2108" i="16"/>
  <c r="T2106" i="16"/>
  <c r="T2104" i="16"/>
  <c r="T2102" i="16"/>
  <c r="T2100" i="16"/>
  <c r="T2098" i="16"/>
  <c r="T2096" i="16"/>
  <c r="T2094" i="16"/>
  <c r="T2092" i="16"/>
  <c r="T2090" i="16"/>
  <c r="T2088" i="16"/>
  <c r="T2086" i="16"/>
  <c r="T2084" i="16"/>
  <c r="T2082" i="16"/>
  <c r="T2080" i="16"/>
  <c r="T2078" i="16"/>
  <c r="T2076" i="16"/>
  <c r="T2074" i="16"/>
  <c r="T2072" i="16"/>
  <c r="T2070" i="16"/>
  <c r="T2068" i="16"/>
  <c r="T2066" i="16"/>
  <c r="T2064" i="16"/>
  <c r="T2062" i="16"/>
  <c r="T2060" i="16"/>
  <c r="T2058" i="16"/>
  <c r="T2056" i="16"/>
  <c r="T2054" i="16"/>
  <c r="T2052" i="16"/>
  <c r="T2050" i="16"/>
  <c r="T2048" i="16"/>
  <c r="T2046" i="16"/>
  <c r="T2044" i="16"/>
  <c r="T2042" i="16"/>
  <c r="T2040" i="16"/>
  <c r="T2038" i="16"/>
  <c r="T2036" i="16"/>
  <c r="T2034" i="16"/>
  <c r="T2032" i="16"/>
  <c r="T2030" i="16"/>
  <c r="T2028" i="16"/>
  <c r="T2026" i="16"/>
  <c r="T2024" i="16"/>
  <c r="T2022" i="16"/>
  <c r="T2020" i="16"/>
  <c r="T2018" i="16"/>
  <c r="T2016" i="16"/>
  <c r="T2014" i="16"/>
  <c r="T2012" i="16"/>
  <c r="T2010" i="16"/>
  <c r="T2008" i="16"/>
  <c r="T2006" i="16"/>
  <c r="T2004" i="16"/>
  <c r="T2002" i="16"/>
  <c r="T2000" i="16"/>
  <c r="T1998" i="16"/>
  <c r="T1996" i="16"/>
  <c r="T1994" i="16"/>
  <c r="T1992" i="16"/>
  <c r="T1990" i="16"/>
  <c r="T1988" i="16"/>
  <c r="T1986" i="16"/>
  <c r="T1984" i="16"/>
  <c r="T1982" i="16"/>
  <c r="T1980" i="16"/>
  <c r="T1978" i="16"/>
  <c r="T1976" i="16"/>
  <c r="T1974" i="16"/>
  <c r="T1972" i="16"/>
  <c r="T1970" i="16"/>
  <c r="T1968" i="16"/>
  <c r="T1966" i="16"/>
  <c r="T1964" i="16"/>
  <c r="T1962" i="16"/>
  <c r="T1960" i="16"/>
  <c r="T1958" i="16"/>
  <c r="T1956" i="16"/>
  <c r="T1954" i="16"/>
  <c r="T1952" i="16"/>
  <c r="T1950" i="16"/>
  <c r="T1948" i="16"/>
  <c r="T1946" i="16"/>
  <c r="T1944" i="16"/>
  <c r="T1942" i="16"/>
  <c r="T1940" i="16"/>
  <c r="T1938" i="16"/>
  <c r="T1936" i="16"/>
  <c r="T1934" i="16"/>
  <c r="T1932" i="16"/>
  <c r="T1930" i="16"/>
  <c r="T1928" i="16"/>
  <c r="T1926" i="16"/>
  <c r="T1924" i="16"/>
  <c r="T1922" i="16"/>
  <c r="T1920" i="16"/>
  <c r="T1918" i="16"/>
  <c r="T1916" i="16"/>
  <c r="T1914" i="16"/>
  <c r="T1912" i="16"/>
  <c r="T1910" i="16"/>
  <c r="T1908" i="16"/>
  <c r="T1906" i="16"/>
  <c r="T1904" i="16"/>
  <c r="T1902" i="16"/>
  <c r="T1900" i="16"/>
  <c r="T1898" i="16"/>
  <c r="T1896" i="16"/>
  <c r="T1894" i="16"/>
  <c r="T1892" i="16"/>
  <c r="T1890" i="16"/>
  <c r="T1888" i="16"/>
  <c r="T1886" i="16"/>
  <c r="T1884" i="16"/>
  <c r="T1882" i="16"/>
  <c r="T1880" i="16"/>
  <c r="T1878" i="16"/>
  <c r="T1876" i="16"/>
  <c r="T1874" i="16"/>
  <c r="T1872" i="16"/>
  <c r="T1870" i="16"/>
  <c r="T1868" i="16"/>
  <c r="T1866" i="16"/>
  <c r="T1864" i="16"/>
  <c r="T1862" i="16"/>
  <c r="T1860" i="16"/>
  <c r="T1858" i="16"/>
  <c r="T1856" i="16"/>
  <c r="T1854" i="16"/>
  <c r="T1852" i="16"/>
  <c r="T1850" i="16"/>
  <c r="T1848" i="16"/>
  <c r="T1846" i="16"/>
  <c r="T1844" i="16"/>
  <c r="T1842" i="16"/>
  <c r="T1840" i="16"/>
  <c r="T1838" i="16"/>
  <c r="T1836" i="16"/>
  <c r="T1834" i="16"/>
  <c r="T1832" i="16"/>
  <c r="T1830" i="16"/>
  <c r="T1828" i="16"/>
  <c r="T1826" i="16"/>
  <c r="T1824" i="16"/>
  <c r="T1822" i="16"/>
  <c r="T1820" i="16"/>
  <c r="T1818" i="16"/>
  <c r="T1816" i="16"/>
  <c r="T1814" i="16"/>
  <c r="T1812" i="16"/>
  <c r="T1810" i="16"/>
  <c r="T1808" i="16"/>
  <c r="T1806" i="16"/>
  <c r="T1804" i="16"/>
  <c r="T1802" i="16"/>
  <c r="T1800" i="16"/>
  <c r="T1798" i="16"/>
  <c r="T1796" i="16"/>
  <c r="T1794" i="16"/>
  <c r="T1792" i="16"/>
  <c r="T1790" i="16"/>
  <c r="T1788" i="16"/>
  <c r="T1786" i="16"/>
  <c r="T1784" i="16"/>
  <c r="T1782" i="16"/>
  <c r="T1780" i="16"/>
  <c r="T1778" i="16"/>
  <c r="T1776" i="16"/>
  <c r="T1774" i="16"/>
  <c r="T1772" i="16"/>
  <c r="T1770" i="16"/>
  <c r="T1768" i="16"/>
  <c r="T1766" i="16"/>
  <c r="T1764" i="16"/>
  <c r="T1762" i="16"/>
  <c r="T1760" i="16"/>
  <c r="T1758" i="16"/>
  <c r="T1756" i="16"/>
  <c r="T1754" i="16"/>
  <c r="T1752" i="16"/>
  <c r="T1750" i="16"/>
  <c r="T1748" i="16"/>
  <c r="T1746" i="16"/>
  <c r="T1744" i="16"/>
  <c r="T1742" i="16"/>
  <c r="T1740" i="16"/>
  <c r="T1738" i="16"/>
  <c r="T1736" i="16"/>
  <c r="T1734" i="16"/>
  <c r="T1732" i="16"/>
  <c r="T1730" i="16"/>
  <c r="T1728" i="16"/>
  <c r="T1726" i="16"/>
  <c r="T1724" i="16"/>
  <c r="T1722" i="16"/>
  <c r="T1720" i="16"/>
  <c r="T1718" i="16"/>
  <c r="T1716" i="16"/>
  <c r="T1714" i="16"/>
  <c r="T1712" i="16"/>
  <c r="T1710" i="16"/>
  <c r="T1708" i="16"/>
  <c r="T1706" i="16"/>
  <c r="T1704" i="16"/>
  <c r="T1702" i="16"/>
  <c r="T1700" i="16"/>
  <c r="T1698" i="16"/>
  <c r="T1696" i="16"/>
  <c r="T1694" i="16"/>
  <c r="T1692" i="16"/>
  <c r="T1690" i="16"/>
  <c r="T1688" i="16"/>
  <c r="T1686" i="16"/>
  <c r="T1684" i="16"/>
  <c r="T1682" i="16"/>
  <c r="T1680" i="16"/>
  <c r="T1678" i="16"/>
  <c r="T1676" i="16"/>
  <c r="T1674" i="16"/>
  <c r="T1672" i="16"/>
  <c r="T1670" i="16"/>
  <c r="T1668" i="16"/>
  <c r="T1666" i="16"/>
  <c r="T1664" i="16"/>
  <c r="T1662" i="16"/>
  <c r="T1660" i="16"/>
  <c r="T1658" i="16"/>
  <c r="T1656" i="16"/>
  <c r="T1654" i="16"/>
  <c r="T1652" i="16"/>
  <c r="T1650" i="16"/>
  <c r="T1648" i="16"/>
  <c r="T1646" i="16"/>
  <c r="T1644" i="16"/>
  <c r="T1642" i="16"/>
  <c r="T1640" i="16"/>
  <c r="T1638" i="16"/>
  <c r="T1636" i="16"/>
  <c r="T1634" i="16"/>
  <c r="T1632" i="16"/>
  <c r="T1630" i="16"/>
  <c r="T1628" i="16"/>
  <c r="T1626" i="16"/>
  <c r="T1624" i="16"/>
  <c r="T1622" i="16"/>
  <c r="T1620" i="16"/>
  <c r="T1618" i="16"/>
  <c r="T1616" i="16"/>
  <c r="T1614" i="16"/>
  <c r="T1612" i="16"/>
  <c r="T1610" i="16"/>
  <c r="T1608" i="16"/>
  <c r="T1606" i="16"/>
  <c r="T1604" i="16"/>
  <c r="T1602" i="16"/>
  <c r="T1600" i="16"/>
  <c r="T1598" i="16"/>
  <c r="T1596" i="16"/>
  <c r="T1594" i="16"/>
  <c r="T1592" i="16"/>
  <c r="T1590" i="16"/>
  <c r="T1588" i="16"/>
  <c r="T1586" i="16"/>
  <c r="T1584" i="16"/>
  <c r="T1582" i="16"/>
  <c r="T1580" i="16"/>
  <c r="T1578" i="16"/>
  <c r="T1576" i="16"/>
  <c r="T1574" i="16"/>
  <c r="T1572" i="16"/>
  <c r="T1570" i="16"/>
  <c r="T1568" i="16"/>
  <c r="T1566" i="16"/>
  <c r="T1564" i="16"/>
  <c r="T1562" i="16"/>
  <c r="T1560" i="16"/>
  <c r="T1558" i="16"/>
  <c r="T1556" i="16"/>
  <c r="T1554" i="16"/>
  <c r="T1552" i="16"/>
  <c r="T1550" i="16"/>
  <c r="T1548" i="16"/>
  <c r="T1546" i="16"/>
  <c r="T1544" i="16"/>
  <c r="T1542" i="16"/>
  <c r="T1540" i="16"/>
  <c r="T1538" i="16"/>
  <c r="T1536" i="16"/>
  <c r="T1534" i="16"/>
  <c r="T1532" i="16"/>
  <c r="T1530" i="16"/>
  <c r="T1528" i="16"/>
  <c r="T1526" i="16"/>
  <c r="T1524" i="16"/>
  <c r="T1522" i="16"/>
  <c r="T1520" i="16"/>
  <c r="T1518" i="16"/>
  <c r="T1516" i="16"/>
  <c r="T1514" i="16"/>
  <c r="T1512" i="16"/>
  <c r="T1510" i="16"/>
  <c r="T1508" i="16"/>
  <c r="T1506" i="16"/>
  <c r="T1504" i="16"/>
  <c r="T1502" i="16"/>
  <c r="T1500" i="16"/>
  <c r="T1498" i="16"/>
  <c r="T1496" i="16"/>
  <c r="T1494" i="16"/>
  <c r="T1492" i="16"/>
  <c r="T1490" i="16"/>
  <c r="T1488" i="16"/>
  <c r="T1486" i="16"/>
  <c r="T1484" i="16"/>
  <c r="T1482" i="16"/>
  <c r="T1480" i="16"/>
  <c r="T1478" i="16"/>
  <c r="T1476" i="16"/>
  <c r="T1474" i="16"/>
  <c r="T1472" i="16"/>
  <c r="T1470" i="16"/>
  <c r="T1468" i="16"/>
  <c r="T1466" i="16"/>
  <c r="T1464" i="16"/>
  <c r="T1462" i="16"/>
  <c r="T1460" i="16"/>
  <c r="T1458" i="16"/>
  <c r="T1456" i="16"/>
  <c r="T1454" i="16"/>
  <c r="T1452" i="16"/>
  <c r="T1450" i="16"/>
  <c r="T1448" i="16"/>
  <c r="T1446" i="16"/>
  <c r="T1444" i="16"/>
  <c r="T1442" i="16"/>
  <c r="T1440" i="16"/>
  <c r="T1438" i="16"/>
  <c r="T1436" i="16"/>
  <c r="T1434" i="16"/>
  <c r="T1432" i="16"/>
  <c r="T1430" i="16"/>
  <c r="T1428" i="16"/>
  <c r="T1426" i="16"/>
  <c r="T1424" i="16"/>
  <c r="T1422" i="16"/>
  <c r="T1420" i="16"/>
  <c r="T1418" i="16"/>
  <c r="T1416" i="16"/>
  <c r="T1414" i="16"/>
  <c r="T1412" i="16"/>
  <c r="T1410" i="16"/>
  <c r="T1408" i="16"/>
  <c r="T1406" i="16"/>
  <c r="T1404" i="16"/>
  <c r="T1402" i="16"/>
  <c r="T1400" i="16"/>
  <c r="T1398" i="16"/>
  <c r="T1396" i="16"/>
  <c r="T1394" i="16"/>
  <c r="T1392" i="16"/>
  <c r="T1390" i="16"/>
  <c r="T1388" i="16"/>
  <c r="T1386" i="16"/>
  <c r="T1384" i="16"/>
  <c r="T1382" i="16"/>
  <c r="T1380" i="16"/>
  <c r="T1378" i="16"/>
  <c r="T1376" i="16"/>
  <c r="T1374" i="16"/>
  <c r="T1372" i="16"/>
  <c r="T1370" i="16"/>
  <c r="T1368" i="16"/>
  <c r="T1366" i="16"/>
  <c r="T1364" i="16"/>
  <c r="T1362" i="16"/>
  <c r="T1360" i="16"/>
  <c r="T1358" i="16"/>
  <c r="T1356" i="16"/>
  <c r="T1354" i="16"/>
  <c r="T1352" i="16"/>
  <c r="T1350" i="16"/>
  <c r="T1348" i="16"/>
  <c r="T1346" i="16"/>
  <c r="T1344" i="16"/>
  <c r="T1342" i="16"/>
  <c r="T1340" i="16"/>
  <c r="T1338" i="16"/>
  <c r="T1336" i="16"/>
  <c r="T1334" i="16"/>
  <c r="T1332" i="16"/>
  <c r="T1330" i="16"/>
  <c r="T1328" i="16"/>
  <c r="T1326" i="16"/>
  <c r="T1324" i="16"/>
  <c r="T1322" i="16"/>
  <c r="T1320" i="16"/>
  <c r="T1318" i="16"/>
  <c r="T1316" i="16"/>
  <c r="T1314" i="16"/>
  <c r="T1312" i="16"/>
  <c r="T1310" i="16"/>
  <c r="T1308" i="16"/>
  <c r="T1306" i="16"/>
  <c r="T1304" i="16"/>
  <c r="T1302" i="16"/>
  <c r="T1300" i="16"/>
  <c r="T1211" i="16"/>
  <c r="T1209" i="16"/>
  <c r="T1207" i="16"/>
  <c r="T1205" i="16"/>
  <c r="T1203" i="16"/>
  <c r="T1201" i="16"/>
  <c r="T1199" i="16"/>
  <c r="T1197" i="16"/>
  <c r="T1195" i="16"/>
  <c r="T1193" i="16"/>
  <c r="T1191" i="16"/>
  <c r="T1189" i="16"/>
  <c r="T1187" i="16"/>
  <c r="T1185" i="16"/>
  <c r="T1183" i="16"/>
  <c r="T1181" i="16"/>
  <c r="T1179" i="16"/>
  <c r="T1177" i="16"/>
  <c r="T1175" i="16"/>
  <c r="T1173" i="16"/>
  <c r="T1171" i="16"/>
  <c r="T1169" i="16"/>
  <c r="T1167" i="16"/>
  <c r="T1165" i="16"/>
  <c r="T1163" i="16"/>
  <c r="T1161" i="16"/>
  <c r="T1159" i="16"/>
  <c r="T1157" i="16"/>
  <c r="T1155" i="16"/>
  <c r="T1153" i="16"/>
  <c r="T1151" i="16"/>
  <c r="T1149" i="16"/>
  <c r="T1147" i="16"/>
  <c r="T1145" i="16"/>
  <c r="T1143" i="16"/>
  <c r="T1141" i="16"/>
  <c r="T1139" i="16"/>
  <c r="T1137" i="16"/>
  <c r="T1135" i="16"/>
  <c r="T1133" i="16"/>
  <c r="T1131" i="16"/>
  <c r="T1129" i="16"/>
  <c r="T1127" i="16"/>
  <c r="T1125" i="16"/>
  <c r="T1123" i="16"/>
  <c r="T1121" i="16"/>
  <c r="T1119" i="16"/>
  <c r="T1117" i="16"/>
  <c r="T1115" i="16"/>
  <c r="T1113" i="16"/>
  <c r="T1111" i="16"/>
  <c r="T1109" i="16"/>
  <c r="T1107" i="16"/>
  <c r="T1105" i="16"/>
  <c r="T1103" i="16"/>
  <c r="T1101" i="16"/>
  <c r="T1099" i="16"/>
  <c r="T1097" i="16"/>
  <c r="T1095" i="16"/>
  <c r="T1093" i="16"/>
  <c r="T1091" i="16"/>
  <c r="T1089" i="16"/>
  <c r="T1087" i="16"/>
  <c r="T1085" i="16"/>
  <c r="T1083" i="16"/>
  <c r="T1081" i="16"/>
  <c r="T1079" i="16"/>
  <c r="T1077" i="16"/>
  <c r="T1075" i="16"/>
  <c r="T1073" i="16"/>
  <c r="T1071" i="16"/>
  <c r="T1069" i="16"/>
  <c r="T1067" i="16"/>
  <c r="T1065" i="16"/>
  <c r="T1063" i="16"/>
  <c r="T1061" i="16"/>
  <c r="T1059" i="16"/>
  <c r="T1057" i="16"/>
  <c r="T1055" i="16"/>
  <c r="T1053" i="16"/>
  <c r="T1051" i="16"/>
  <c r="T1049" i="16"/>
  <c r="T1047" i="16"/>
  <c r="T1045" i="16"/>
  <c r="T1043" i="16"/>
  <c r="T1041" i="16"/>
  <c r="T1039" i="16"/>
  <c r="T1037" i="16"/>
  <c r="T1035" i="16"/>
  <c r="T1033" i="16"/>
  <c r="T1031" i="16"/>
  <c r="T1029" i="16"/>
  <c r="T1027" i="16"/>
  <c r="T1025" i="16"/>
  <c r="T1023" i="16"/>
  <c r="T1021" i="16"/>
  <c r="T1019" i="16"/>
  <c r="T1017" i="16"/>
  <c r="T1015" i="16"/>
  <c r="T1013" i="16"/>
  <c r="T1011" i="16"/>
  <c r="T1009" i="16"/>
  <c r="T1007" i="16"/>
  <c r="T1005" i="16"/>
  <c r="T1003" i="16"/>
  <c r="T1001" i="16"/>
  <c r="T999" i="16"/>
  <c r="T997" i="16"/>
  <c r="T995" i="16"/>
  <c r="T993" i="16"/>
  <c r="T991" i="16"/>
  <c r="T989" i="16"/>
  <c r="T987" i="16"/>
  <c r="T985" i="16"/>
  <c r="T983" i="16"/>
  <c r="T981" i="16"/>
  <c r="T979" i="16"/>
  <c r="T977" i="16"/>
  <c r="T975" i="16"/>
  <c r="T973" i="16"/>
  <c r="T971" i="16"/>
  <c r="T969" i="16"/>
  <c r="T967" i="16"/>
  <c r="T965" i="16"/>
  <c r="T963" i="16"/>
  <c r="T961" i="16"/>
  <c r="T959" i="16"/>
  <c r="T957" i="16"/>
  <c r="T955" i="16"/>
  <c r="T953" i="16"/>
  <c r="T951" i="16"/>
  <c r="T949" i="16"/>
  <c r="T947" i="16"/>
  <c r="T945" i="16"/>
  <c r="T943" i="16"/>
  <c r="T941" i="16"/>
  <c r="T939" i="16"/>
  <c r="T937" i="16"/>
  <c r="T935" i="16"/>
  <c r="T933" i="16"/>
  <c r="T931" i="16"/>
  <c r="T929" i="16"/>
  <c r="T927" i="16"/>
  <c r="T925" i="16"/>
  <c r="T923" i="16"/>
  <c r="T921" i="16"/>
  <c r="T919" i="16"/>
  <c r="T917" i="16"/>
  <c r="T915" i="16"/>
  <c r="T913" i="16"/>
  <c r="T911" i="16"/>
  <c r="T909" i="16"/>
  <c r="T907" i="16"/>
  <c r="T905" i="16"/>
  <c r="T903" i="16"/>
  <c r="T901" i="16"/>
  <c r="T899" i="16"/>
  <c r="T897" i="16"/>
  <c r="T895" i="16"/>
  <c r="T893" i="16"/>
  <c r="T891" i="16"/>
  <c r="T889" i="16"/>
  <c r="T887" i="16"/>
  <c r="T885" i="16"/>
  <c r="T883" i="16"/>
  <c r="T881" i="16"/>
  <c r="T879" i="16"/>
  <c r="T877" i="16"/>
  <c r="T875" i="16"/>
  <c r="T873" i="16"/>
  <c r="T871" i="16"/>
  <c r="T869" i="16"/>
  <c r="T867" i="16"/>
  <c r="T865" i="16"/>
  <c r="T863" i="16"/>
  <c r="T861" i="16"/>
  <c r="T859" i="16"/>
  <c r="T857" i="16"/>
  <c r="T855" i="16"/>
  <c r="T853" i="16"/>
  <c r="T851" i="16"/>
  <c r="T849" i="16"/>
  <c r="T847" i="16"/>
  <c r="T845" i="16"/>
  <c r="T843" i="16"/>
  <c r="T841" i="16"/>
  <c r="T839" i="16"/>
  <c r="T837" i="16"/>
  <c r="T835" i="16"/>
  <c r="T833" i="16"/>
  <c r="T831" i="16"/>
  <c r="T829" i="16"/>
  <c r="T827" i="16"/>
  <c r="T825" i="16"/>
  <c r="T823" i="16"/>
  <c r="T821" i="16"/>
  <c r="T819" i="16"/>
  <c r="T817" i="16"/>
  <c r="T815" i="16"/>
  <c r="T813" i="16"/>
  <c r="T811" i="16"/>
  <c r="T809" i="16"/>
  <c r="T807" i="16"/>
  <c r="T805" i="16"/>
  <c r="T803" i="16"/>
  <c r="T801" i="16"/>
  <c r="T799" i="16"/>
  <c r="T797" i="16"/>
  <c r="T795" i="16"/>
  <c r="T793" i="16"/>
  <c r="T791" i="16"/>
  <c r="T789" i="16"/>
  <c r="T787" i="16"/>
  <c r="T785" i="16"/>
  <c r="T783" i="16"/>
  <c r="T781" i="16"/>
  <c r="T779" i="16"/>
  <c r="T777" i="16"/>
  <c r="T775" i="16"/>
  <c r="T773" i="16"/>
  <c r="T771" i="16"/>
  <c r="T769" i="16"/>
  <c r="T767" i="16"/>
  <c r="T765" i="16"/>
  <c r="T763" i="16"/>
  <c r="T761" i="16"/>
  <c r="T759" i="16"/>
  <c r="T757" i="16"/>
  <c r="T755" i="16"/>
  <c r="T753" i="16"/>
  <c r="T751" i="16"/>
  <c r="T749" i="16"/>
  <c r="T747" i="16"/>
  <c r="T745" i="16"/>
  <c r="T743" i="16"/>
  <c r="T741" i="16"/>
  <c r="T739" i="16"/>
  <c r="T737" i="16"/>
  <c r="T735" i="16"/>
  <c r="T733" i="16"/>
  <c r="T731" i="16"/>
  <c r="T729" i="16"/>
  <c r="T727" i="16"/>
  <c r="T725" i="16"/>
  <c r="T723" i="16"/>
  <c r="T721" i="16"/>
  <c r="T719" i="16"/>
  <c r="T717" i="16"/>
  <c r="T715" i="16"/>
  <c r="T713" i="16"/>
  <c r="T711" i="16"/>
  <c r="T709" i="16"/>
  <c r="T707" i="16"/>
  <c r="T705" i="16"/>
  <c r="T703" i="16"/>
  <c r="T701" i="16"/>
  <c r="T699" i="16"/>
  <c r="T697" i="16"/>
  <c r="T695" i="16"/>
  <c r="T693" i="16"/>
  <c r="T691" i="16"/>
  <c r="T689" i="16"/>
  <c r="T687" i="16"/>
  <c r="T685" i="16"/>
  <c r="T683" i="16"/>
  <c r="T681" i="16"/>
  <c r="T679" i="16"/>
  <c r="T677" i="16"/>
  <c r="T675" i="16"/>
  <c r="T673" i="16"/>
  <c r="T671" i="16"/>
  <c r="T669" i="16"/>
  <c r="T667" i="16"/>
  <c r="T665" i="16"/>
  <c r="T663" i="16"/>
  <c r="T661" i="16"/>
  <c r="T659" i="16"/>
  <c r="T657" i="16"/>
  <c r="T655" i="16"/>
  <c r="T653" i="16"/>
  <c r="T651" i="16"/>
  <c r="T649" i="16"/>
  <c r="T647" i="16"/>
  <c r="T645" i="16"/>
  <c r="T643" i="16"/>
  <c r="T641" i="16"/>
  <c r="T639" i="16"/>
  <c r="T637" i="16"/>
  <c r="T635" i="16"/>
  <c r="T633" i="16"/>
  <c r="T631" i="16"/>
  <c r="T629" i="16"/>
  <c r="T627" i="16"/>
  <c r="T625" i="16"/>
  <c r="T623" i="16"/>
  <c r="T621" i="16"/>
  <c r="T619" i="16"/>
  <c r="T617" i="16"/>
  <c r="T615" i="16"/>
  <c r="T613" i="16"/>
  <c r="T611" i="16"/>
  <c r="T609" i="16"/>
  <c r="T607" i="16"/>
  <c r="T605" i="16"/>
  <c r="T603" i="16"/>
  <c r="T601" i="16"/>
  <c r="T599" i="16"/>
  <c r="T597" i="16"/>
  <c r="T595" i="16"/>
  <c r="T593" i="16"/>
  <c r="T591" i="16"/>
  <c r="T589" i="16"/>
  <c r="T587" i="16"/>
  <c r="T585" i="16"/>
  <c r="T583" i="16"/>
  <c r="T581" i="16"/>
  <c r="T579" i="16"/>
  <c r="T577" i="16"/>
  <c r="T575" i="16"/>
  <c r="T573" i="16"/>
  <c r="T571" i="16"/>
  <c r="T569" i="16"/>
  <c r="T567" i="16"/>
  <c r="T565" i="16"/>
  <c r="T563" i="16"/>
  <c r="T561" i="16"/>
  <c r="T559" i="16"/>
  <c r="T557" i="16"/>
  <c r="T555" i="16"/>
  <c r="T553" i="16"/>
  <c r="T551" i="16"/>
  <c r="T549" i="16"/>
  <c r="T547" i="16"/>
  <c r="T545" i="16"/>
  <c r="T543" i="16"/>
  <c r="T541" i="16"/>
  <c r="T539" i="16"/>
  <c r="T537" i="16"/>
  <c r="T535" i="16"/>
  <c r="T533" i="16"/>
  <c r="T531" i="16"/>
  <c r="T529" i="16"/>
  <c r="T527" i="16"/>
  <c r="T525" i="16"/>
  <c r="T523" i="16"/>
  <c r="T521" i="16"/>
  <c r="T519" i="16"/>
  <c r="T517" i="16"/>
  <c r="T515" i="16"/>
  <c r="T513" i="16"/>
  <c r="T511" i="16"/>
  <c r="T509" i="16"/>
  <c r="T507" i="16"/>
  <c r="T505" i="16"/>
  <c r="T503" i="16"/>
  <c r="T501" i="16"/>
  <c r="T499" i="16"/>
  <c r="T497" i="16"/>
  <c r="T495" i="16"/>
  <c r="T493" i="16"/>
  <c r="T491" i="16"/>
  <c r="T489" i="16"/>
  <c r="T487" i="16"/>
  <c r="T485" i="16"/>
  <c r="T483" i="16"/>
  <c r="T481" i="16"/>
  <c r="T479" i="16"/>
  <c r="T477" i="16"/>
  <c r="T475" i="16"/>
  <c r="T473" i="16"/>
  <c r="T471" i="16"/>
  <c r="T469" i="16"/>
  <c r="T467" i="16"/>
  <c r="T465" i="16"/>
  <c r="T463" i="16"/>
  <c r="T461" i="16"/>
  <c r="T459" i="16"/>
  <c r="T457" i="16"/>
  <c r="T455" i="16"/>
  <c r="T453" i="16"/>
  <c r="T451" i="16"/>
  <c r="T449" i="16"/>
  <c r="T447" i="16"/>
  <c r="T445" i="16"/>
  <c r="T443" i="16"/>
  <c r="T441" i="16"/>
  <c r="T439" i="16"/>
  <c r="T437" i="16"/>
  <c r="T435" i="16"/>
  <c r="T433" i="16"/>
  <c r="T431" i="16"/>
  <c r="T429" i="16"/>
  <c r="T427" i="16"/>
  <c r="T425" i="16"/>
  <c r="T423" i="16"/>
  <c r="T421" i="16"/>
  <c r="T419" i="16"/>
  <c r="T417" i="16"/>
  <c r="T415" i="16"/>
  <c r="T413" i="16"/>
  <c r="T411" i="16"/>
  <c r="T409" i="16"/>
  <c r="T1857" i="16"/>
  <c r="T1855" i="16"/>
  <c r="T1853" i="16"/>
  <c r="T1851" i="16"/>
  <c r="T1849" i="16"/>
  <c r="T1847" i="16"/>
  <c r="T1845" i="16"/>
  <c r="T1843" i="16"/>
  <c r="T1841" i="16"/>
  <c r="T1839" i="16"/>
  <c r="T1837" i="16"/>
  <c r="T1835" i="16"/>
  <c r="T1833" i="16"/>
  <c r="T1831" i="16"/>
  <c r="T1829" i="16"/>
  <c r="T1827" i="16"/>
  <c r="T1825" i="16"/>
  <c r="T1823" i="16"/>
  <c r="T1821" i="16"/>
  <c r="T1819" i="16"/>
  <c r="T1817" i="16"/>
  <c r="T1815" i="16"/>
  <c r="T1813" i="16"/>
  <c r="T1811" i="16"/>
  <c r="T1809" i="16"/>
  <c r="T1807" i="16"/>
  <c r="T1805" i="16"/>
  <c r="T1803" i="16"/>
  <c r="T1801" i="16"/>
  <c r="T1799" i="16"/>
  <c r="T1797" i="16"/>
  <c r="T1795" i="16"/>
  <c r="T1793" i="16"/>
  <c r="T1791" i="16"/>
  <c r="T1789" i="16"/>
  <c r="T1787" i="16"/>
  <c r="T1785" i="16"/>
  <c r="T1783" i="16"/>
  <c r="T1781" i="16"/>
  <c r="T1779" i="16"/>
  <c r="T1777" i="16"/>
  <c r="T1775" i="16"/>
  <c r="T1773" i="16"/>
  <c r="T1771" i="16"/>
  <c r="T1769" i="16"/>
  <c r="T1767" i="16"/>
  <c r="T1765" i="16"/>
  <c r="T1763" i="16"/>
  <c r="T1761" i="16"/>
  <c r="T1759" i="16"/>
  <c r="T1757" i="16"/>
  <c r="T1755" i="16"/>
  <c r="T1753" i="16"/>
  <c r="T1751" i="16"/>
  <c r="T1749" i="16"/>
  <c r="T1747" i="16"/>
  <c r="T1745" i="16"/>
  <c r="T1743" i="16"/>
  <c r="T1741" i="16"/>
  <c r="T1739" i="16"/>
  <c r="T1737" i="16"/>
  <c r="T1735" i="16"/>
  <c r="T1733" i="16"/>
  <c r="T1731" i="16"/>
  <c r="T1729" i="16"/>
  <c r="T1727" i="16"/>
  <c r="T1725" i="16"/>
  <c r="T1723" i="16"/>
  <c r="T1721" i="16"/>
  <c r="T1719" i="16"/>
  <c r="T1717" i="16"/>
  <c r="T1715" i="16"/>
  <c r="T1713" i="16"/>
  <c r="T1711" i="16"/>
  <c r="T1709" i="16"/>
  <c r="T1707" i="16"/>
  <c r="T1705" i="16"/>
  <c r="T1703" i="16"/>
  <c r="T1701" i="16"/>
  <c r="T1699" i="16"/>
  <c r="T1697" i="16"/>
  <c r="T1695" i="16"/>
  <c r="T1693" i="16"/>
  <c r="T1691" i="16"/>
  <c r="T1689" i="16"/>
  <c r="T1687" i="16"/>
  <c r="T1685" i="16"/>
  <c r="T1683" i="16"/>
  <c r="T1681" i="16"/>
  <c r="T1679" i="16"/>
  <c r="T1677" i="16"/>
  <c r="T1675" i="16"/>
  <c r="T1673" i="16"/>
  <c r="T1671" i="16"/>
  <c r="T1669" i="16"/>
  <c r="T1667" i="16"/>
  <c r="T1665" i="16"/>
  <c r="T1663" i="16"/>
  <c r="T1661" i="16"/>
  <c r="T1659" i="16"/>
  <c r="T1657" i="16"/>
  <c r="T1655" i="16"/>
  <c r="T1653" i="16"/>
  <c r="T1651" i="16"/>
  <c r="T1649" i="16"/>
  <c r="T1647" i="16"/>
  <c r="T1645" i="16"/>
  <c r="T1643" i="16"/>
  <c r="T1641" i="16"/>
  <c r="T1639" i="16"/>
  <c r="T1637" i="16"/>
  <c r="T1635" i="16"/>
  <c r="T1633" i="16"/>
  <c r="T1631" i="16"/>
  <c r="T1629" i="16"/>
  <c r="T1627" i="16"/>
  <c r="T1625" i="16"/>
  <c r="T1623" i="16"/>
  <c r="T1621" i="16"/>
  <c r="T1619" i="16"/>
  <c r="T1617" i="16"/>
  <c r="T1615" i="16"/>
  <c r="T1613" i="16"/>
  <c r="T1611" i="16"/>
  <c r="T1609" i="16"/>
  <c r="T1607" i="16"/>
  <c r="T1605" i="16"/>
  <c r="T1603" i="16"/>
  <c r="T1601" i="16"/>
  <c r="T1599" i="16"/>
  <c r="T1597" i="16"/>
  <c r="T1595" i="16"/>
  <c r="T1593" i="16"/>
  <c r="T1591" i="16"/>
  <c r="T1589" i="16"/>
  <c r="T1587" i="16"/>
  <c r="T1585" i="16"/>
  <c r="T1583" i="16"/>
  <c r="T1581" i="16"/>
  <c r="T1579" i="16"/>
  <c r="T1577" i="16"/>
  <c r="T1575" i="16"/>
  <c r="T1573" i="16"/>
  <c r="T1571" i="16"/>
  <c r="T1569" i="16"/>
  <c r="T1567" i="16"/>
  <c r="T1565" i="16"/>
  <c r="T1563" i="16"/>
  <c r="T1561" i="16"/>
  <c r="T1559" i="16"/>
  <c r="T1557" i="16"/>
  <c r="T1555" i="16"/>
  <c r="T1553" i="16"/>
  <c r="T1551" i="16"/>
  <c r="T1549" i="16"/>
  <c r="T1547" i="16"/>
  <c r="T1545" i="16"/>
  <c r="T1543" i="16"/>
  <c r="T1541" i="16"/>
  <c r="T1539" i="16"/>
  <c r="T1537" i="16"/>
  <c r="T1535" i="16"/>
  <c r="T1533" i="16"/>
  <c r="T1531" i="16"/>
  <c r="T1529" i="16"/>
  <c r="T1527" i="16"/>
  <c r="T1525" i="16"/>
  <c r="T1523" i="16"/>
  <c r="T1521" i="16"/>
  <c r="T1519" i="16"/>
  <c r="T1517" i="16"/>
  <c r="T1515" i="16"/>
  <c r="T1513" i="16"/>
  <c r="T1511" i="16"/>
  <c r="T1509" i="16"/>
  <c r="T1507" i="16"/>
  <c r="T1505" i="16"/>
  <c r="T1503" i="16"/>
  <c r="T1501" i="16"/>
  <c r="T1499" i="16"/>
  <c r="T1497" i="16"/>
  <c r="T1495" i="16"/>
  <c r="T1493" i="16"/>
  <c r="T1491" i="16"/>
  <c r="T1489" i="16"/>
  <c r="T1487" i="16"/>
  <c r="T1485" i="16"/>
  <c r="T1483" i="16"/>
  <c r="T1481" i="16"/>
  <c r="T1479" i="16"/>
  <c r="T1477" i="16"/>
  <c r="T1475" i="16"/>
  <c r="T1473" i="16"/>
  <c r="T1471" i="16"/>
  <c r="T1469" i="16"/>
  <c r="T1467" i="16"/>
  <c r="T1465" i="16"/>
  <c r="T1463" i="16"/>
  <c r="T1461" i="16"/>
  <c r="T1459" i="16"/>
  <c r="T1457" i="16"/>
  <c r="T1455" i="16"/>
  <c r="T1453" i="16"/>
  <c r="T1451" i="16"/>
  <c r="T1449" i="16"/>
  <c r="T1447" i="16"/>
  <c r="T1445" i="16"/>
  <c r="T1443" i="16"/>
  <c r="T1441" i="16"/>
  <c r="T1439" i="16"/>
  <c r="T1437" i="16"/>
  <c r="T1435" i="16"/>
  <c r="T1433" i="16"/>
  <c r="T1431" i="16"/>
  <c r="T1429" i="16"/>
  <c r="T1427" i="16"/>
  <c r="T1425" i="16"/>
  <c r="T1423" i="16"/>
  <c r="T1421" i="16"/>
  <c r="T1419" i="16"/>
  <c r="T1417" i="16"/>
  <c r="T1415" i="16"/>
  <c r="T1413" i="16"/>
  <c r="T1411" i="16"/>
  <c r="T1409" i="16"/>
  <c r="T1407" i="16"/>
  <c r="T1405" i="16"/>
  <c r="T1403" i="16"/>
  <c r="T1401" i="16"/>
  <c r="T1399" i="16"/>
  <c r="T1397" i="16"/>
  <c r="T1395" i="16"/>
  <c r="T1393" i="16"/>
  <c r="T1391" i="16"/>
  <c r="T1389" i="16"/>
  <c r="T1387" i="16"/>
  <c r="T1385" i="16"/>
  <c r="T1383" i="16"/>
  <c r="T1381" i="16"/>
  <c r="T1379" i="16"/>
  <c r="T1377" i="16"/>
  <c r="T1375" i="16"/>
  <c r="T1373" i="16"/>
  <c r="T1371" i="16"/>
  <c r="T1369" i="16"/>
  <c r="T1367" i="16"/>
  <c r="T1365" i="16"/>
  <c r="T1363" i="16"/>
  <c r="T1361" i="16"/>
  <c r="T1359" i="16"/>
  <c r="T1357" i="16"/>
  <c r="T1355" i="16"/>
  <c r="T1353" i="16"/>
  <c r="T1351" i="16"/>
  <c r="T1349" i="16"/>
  <c r="T1347" i="16"/>
  <c r="T1345" i="16"/>
  <c r="T1343" i="16"/>
  <c r="T1341" i="16"/>
  <c r="T1339" i="16"/>
  <c r="T1337" i="16"/>
  <c r="T1335" i="16"/>
  <c r="T1333" i="16"/>
  <c r="T1331" i="16"/>
  <c r="T1329" i="16"/>
  <c r="T1327" i="16"/>
  <c r="T1325" i="16"/>
  <c r="T1323" i="16"/>
  <c r="T1321" i="16"/>
  <c r="T1319" i="16"/>
  <c r="T1317" i="16"/>
  <c r="T1315" i="16"/>
  <c r="T1313" i="16"/>
  <c r="T1311" i="16"/>
  <c r="T1309" i="16"/>
  <c r="T1307" i="16"/>
  <c r="T1305" i="16"/>
  <c r="T1303" i="16"/>
  <c r="T1301" i="16"/>
  <c r="T1212" i="16"/>
  <c r="T1210" i="16"/>
  <c r="T1208" i="16"/>
  <c r="T1206" i="16"/>
  <c r="T1204" i="16"/>
  <c r="T1202" i="16"/>
  <c r="T1200" i="16"/>
  <c r="T1198" i="16"/>
  <c r="T1196" i="16"/>
  <c r="T1194" i="16"/>
  <c r="T1192" i="16"/>
  <c r="T1190" i="16"/>
  <c r="T1188" i="16"/>
  <c r="T1186" i="16"/>
  <c r="T1184" i="16"/>
  <c r="T1182" i="16"/>
  <c r="T1180" i="16"/>
  <c r="T1178" i="16"/>
  <c r="T1176" i="16"/>
  <c r="T1174" i="16"/>
  <c r="T1172" i="16"/>
  <c r="T1170" i="16"/>
  <c r="T1168" i="16"/>
  <c r="T1166" i="16"/>
  <c r="T1164" i="16"/>
  <c r="T1162" i="16"/>
  <c r="T1160" i="16"/>
  <c r="T1158" i="16"/>
  <c r="T1156" i="16"/>
  <c r="T1154" i="16"/>
  <c r="T1152" i="16"/>
  <c r="T1150" i="16"/>
  <c r="T1148" i="16"/>
  <c r="T1146" i="16"/>
  <c r="T1144" i="16"/>
  <c r="T1142" i="16"/>
  <c r="T1140" i="16"/>
  <c r="T1138" i="16"/>
  <c r="T1136" i="16"/>
  <c r="T1134" i="16"/>
  <c r="T1132" i="16"/>
  <c r="T1130" i="16"/>
  <c r="T1128" i="16"/>
  <c r="T1126" i="16"/>
  <c r="T1124" i="16"/>
  <c r="T1122" i="16"/>
  <c r="T1120" i="16"/>
  <c r="T1118" i="16"/>
  <c r="T1116" i="16"/>
  <c r="T1114" i="16"/>
  <c r="T1112" i="16"/>
  <c r="T1110" i="16"/>
  <c r="T1108" i="16"/>
  <c r="T1106" i="16"/>
  <c r="T1104" i="16"/>
  <c r="T1102" i="16"/>
  <c r="T1100" i="16"/>
  <c r="T1098" i="16"/>
  <c r="T1096" i="16"/>
  <c r="T1094" i="16"/>
  <c r="T1092" i="16"/>
  <c r="T1090" i="16"/>
  <c r="T1088" i="16"/>
  <c r="T1086" i="16"/>
  <c r="T1084" i="16"/>
  <c r="T1082" i="16"/>
  <c r="T1080" i="16"/>
  <c r="T1078" i="16"/>
  <c r="T1076" i="16"/>
  <c r="T1074" i="16"/>
  <c r="T1072" i="16"/>
  <c r="T1070" i="16"/>
  <c r="T1068" i="16"/>
  <c r="T1066" i="16"/>
  <c r="T1064" i="16"/>
  <c r="T1062" i="16"/>
  <c r="T1060" i="16"/>
  <c r="T1058" i="16"/>
  <c r="T1056" i="16"/>
  <c r="T1054" i="16"/>
  <c r="T1052" i="16"/>
  <c r="T1050" i="16"/>
  <c r="T1048" i="16"/>
  <c r="T1046" i="16"/>
  <c r="T1044" i="16"/>
  <c r="T1042" i="16"/>
  <c r="T1040" i="16"/>
  <c r="T1038" i="16"/>
  <c r="T1036" i="16"/>
  <c r="T1034" i="16"/>
  <c r="T1032" i="16"/>
  <c r="T1030" i="16"/>
  <c r="T1028" i="16"/>
  <c r="T1026" i="16"/>
  <c r="T1024" i="16"/>
  <c r="T1022" i="16"/>
  <c r="T1020" i="16"/>
  <c r="T1018" i="16"/>
  <c r="T1016" i="16"/>
  <c r="T1014" i="16"/>
  <c r="T1012" i="16"/>
  <c r="T1010" i="16"/>
  <c r="T1008" i="16"/>
  <c r="T1006" i="16"/>
  <c r="T1004" i="16"/>
  <c r="T1002" i="16"/>
  <c r="T1000" i="16"/>
  <c r="T998" i="16"/>
  <c r="T996" i="16"/>
  <c r="T994" i="16"/>
  <c r="T992" i="16"/>
  <c r="T990" i="16"/>
  <c r="T988" i="16"/>
  <c r="T986" i="16"/>
  <c r="T984" i="16"/>
  <c r="T982" i="16"/>
  <c r="T980" i="16"/>
  <c r="T978" i="16"/>
  <c r="T976" i="16"/>
  <c r="T974" i="16"/>
  <c r="T972" i="16"/>
  <c r="T970" i="16"/>
  <c r="T968" i="16"/>
  <c r="T966" i="16"/>
  <c r="T964" i="16"/>
  <c r="T962" i="16"/>
  <c r="T960" i="16"/>
  <c r="T958" i="16"/>
  <c r="T956" i="16"/>
  <c r="T954" i="16"/>
  <c r="T952" i="16"/>
  <c r="T950" i="16"/>
  <c r="T948" i="16"/>
  <c r="T946" i="16"/>
  <c r="T944" i="16"/>
  <c r="T942" i="16"/>
  <c r="T940" i="16"/>
  <c r="T938" i="16"/>
  <c r="T936" i="16"/>
  <c r="T934" i="16"/>
  <c r="T932" i="16"/>
  <c r="T930" i="16"/>
  <c r="T928" i="16"/>
  <c r="T926" i="16"/>
  <c r="T924" i="16"/>
  <c r="T922" i="16"/>
  <c r="T920" i="16"/>
  <c r="T918" i="16"/>
  <c r="T916" i="16"/>
  <c r="T914" i="16"/>
  <c r="T912" i="16"/>
  <c r="T910" i="16"/>
  <c r="T908" i="16"/>
  <c r="T906" i="16"/>
  <c r="T904" i="16"/>
  <c r="T902" i="16"/>
  <c r="T900" i="16"/>
  <c r="T898" i="16"/>
  <c r="T896" i="16"/>
  <c r="T894" i="16"/>
  <c r="T892" i="16"/>
  <c r="T890" i="16"/>
  <c r="T888" i="16"/>
  <c r="T886" i="16"/>
  <c r="T884" i="16"/>
  <c r="T882" i="16"/>
  <c r="T880" i="16"/>
  <c r="T878" i="16"/>
  <c r="T876" i="16"/>
  <c r="T874" i="16"/>
  <c r="T872" i="16"/>
  <c r="T870" i="16"/>
  <c r="T868" i="16"/>
  <c r="T866" i="16"/>
  <c r="T864" i="16"/>
  <c r="T862" i="16"/>
  <c r="T860" i="16"/>
  <c r="T858" i="16"/>
  <c r="T856" i="16"/>
  <c r="T854" i="16"/>
  <c r="T852" i="16"/>
  <c r="T850" i="16"/>
  <c r="T848" i="16"/>
  <c r="T846" i="16"/>
  <c r="T844" i="16"/>
  <c r="T842" i="16"/>
  <c r="T840" i="16"/>
  <c r="T838" i="16"/>
  <c r="T836" i="16"/>
  <c r="T834" i="16"/>
  <c r="T832" i="16"/>
  <c r="T830" i="16"/>
  <c r="T828" i="16"/>
  <c r="T826" i="16"/>
  <c r="T824" i="16"/>
  <c r="T822" i="16"/>
  <c r="T820" i="16"/>
  <c r="T818" i="16"/>
  <c r="T816" i="16"/>
  <c r="T814" i="16"/>
  <c r="T812" i="16"/>
  <c r="T810" i="16"/>
  <c r="T808" i="16"/>
  <c r="T806" i="16"/>
  <c r="T804" i="16"/>
  <c r="T802" i="16"/>
  <c r="T800" i="16"/>
  <c r="T798" i="16"/>
  <c r="T796" i="16"/>
  <c r="T794" i="16"/>
  <c r="T792" i="16"/>
  <c r="T790" i="16"/>
  <c r="T788" i="16"/>
  <c r="T786" i="16"/>
  <c r="T784" i="16"/>
  <c r="T782" i="16"/>
  <c r="T780" i="16"/>
  <c r="T778" i="16"/>
  <c r="T776" i="16"/>
  <c r="T774" i="16"/>
  <c r="T772" i="16"/>
  <c r="T770" i="16"/>
  <c r="T768" i="16"/>
  <c r="T766" i="16"/>
  <c r="T764" i="16"/>
  <c r="T762" i="16"/>
  <c r="T760" i="16"/>
  <c r="T758" i="16"/>
  <c r="T756" i="16"/>
  <c r="T754" i="16"/>
  <c r="T752" i="16"/>
  <c r="T750" i="16"/>
  <c r="T748" i="16"/>
  <c r="T746" i="16"/>
  <c r="T744" i="16"/>
  <c r="T742" i="16"/>
  <c r="T740" i="16"/>
  <c r="T738" i="16"/>
  <c r="T736" i="16"/>
  <c r="T734" i="16"/>
  <c r="T732" i="16"/>
  <c r="T730" i="16"/>
  <c r="T728" i="16"/>
  <c r="T726" i="16"/>
  <c r="T724" i="16"/>
  <c r="T722" i="16"/>
  <c r="T720" i="16"/>
  <c r="T718" i="16"/>
  <c r="T716" i="16"/>
  <c r="T714" i="16"/>
  <c r="T712" i="16"/>
  <c r="T710" i="16"/>
  <c r="T708" i="16"/>
  <c r="T706" i="16"/>
  <c r="T704" i="16"/>
  <c r="T702" i="16"/>
  <c r="T700" i="16"/>
  <c r="T698" i="16"/>
  <c r="T696" i="16"/>
  <c r="T694" i="16"/>
  <c r="T692" i="16"/>
  <c r="T690" i="16"/>
  <c r="T688" i="16"/>
  <c r="T686" i="16"/>
  <c r="T684" i="16"/>
  <c r="T682" i="16"/>
  <c r="T680" i="16"/>
  <c r="T678" i="16"/>
  <c r="T676" i="16"/>
  <c r="T674" i="16"/>
  <c r="T672" i="16"/>
  <c r="T670" i="16"/>
  <c r="T668" i="16"/>
  <c r="T666" i="16"/>
  <c r="T664" i="16"/>
  <c r="T662" i="16"/>
  <c r="T660" i="16"/>
  <c r="T658" i="16"/>
  <c r="T656" i="16"/>
  <c r="T654" i="16"/>
  <c r="T652" i="16"/>
  <c r="T650" i="16"/>
  <c r="T648" i="16"/>
  <c r="T646" i="16"/>
  <c r="T644" i="16"/>
  <c r="T642" i="16"/>
  <c r="T640" i="16"/>
  <c r="T638" i="16"/>
  <c r="T636" i="16"/>
  <c r="T634" i="16"/>
  <c r="T632" i="16"/>
  <c r="T630" i="16"/>
  <c r="T628" i="16"/>
  <c r="T626" i="16"/>
  <c r="T624" i="16"/>
  <c r="T622" i="16"/>
  <c r="T620" i="16"/>
  <c r="T618" i="16"/>
  <c r="T616" i="16"/>
  <c r="T614" i="16"/>
  <c r="T612" i="16"/>
  <c r="T610" i="16"/>
  <c r="T608" i="16"/>
  <c r="T606" i="16"/>
  <c r="T604" i="16"/>
  <c r="T602" i="16"/>
  <c r="T600" i="16"/>
  <c r="T598" i="16"/>
  <c r="T596" i="16"/>
  <c r="T594" i="16"/>
  <c r="T592" i="16"/>
  <c r="T590" i="16"/>
  <c r="T588" i="16"/>
  <c r="T586" i="16"/>
  <c r="T584" i="16"/>
  <c r="T582" i="16"/>
  <c r="T580" i="16"/>
  <c r="T578" i="16"/>
  <c r="T576" i="16"/>
  <c r="T574" i="16"/>
  <c r="T572" i="16"/>
  <c r="T570" i="16"/>
  <c r="T568" i="16"/>
  <c r="T566" i="16"/>
  <c r="T564" i="16"/>
  <c r="T562" i="16"/>
  <c r="T560" i="16"/>
  <c r="T558" i="16"/>
  <c r="T556" i="16"/>
  <c r="T554" i="16"/>
  <c r="T552" i="16"/>
  <c r="T550" i="16"/>
  <c r="T548" i="16"/>
  <c r="T546" i="16"/>
  <c r="T544" i="16"/>
  <c r="T542" i="16"/>
  <c r="T540" i="16"/>
  <c r="T538" i="16"/>
  <c r="T536" i="16"/>
  <c r="T534" i="16"/>
  <c r="T532" i="16"/>
  <c r="T530" i="16"/>
  <c r="T528" i="16"/>
  <c r="T526" i="16"/>
  <c r="T524" i="16"/>
  <c r="T522" i="16"/>
  <c r="T520" i="16"/>
  <c r="T518" i="16"/>
  <c r="T516" i="16"/>
  <c r="T514" i="16"/>
  <c r="T512" i="16"/>
  <c r="T510" i="16"/>
  <c r="T508" i="16"/>
  <c r="T506" i="16"/>
  <c r="T504" i="16"/>
  <c r="T502" i="16"/>
  <c r="T500" i="16"/>
  <c r="T498" i="16"/>
  <c r="T496" i="16"/>
  <c r="T494" i="16"/>
  <c r="T492" i="16"/>
  <c r="T490" i="16"/>
  <c r="T488" i="16"/>
  <c r="T486" i="16"/>
  <c r="T484" i="16"/>
  <c r="T482" i="16"/>
  <c r="T480" i="16"/>
  <c r="T478" i="16"/>
  <c r="T476" i="16"/>
  <c r="T474" i="16"/>
  <c r="T472" i="16"/>
  <c r="T470" i="16"/>
  <c r="T468" i="16"/>
  <c r="T466" i="16"/>
  <c r="T464" i="16"/>
  <c r="T462" i="16"/>
  <c r="T460" i="16"/>
  <c r="T458" i="16"/>
  <c r="T456" i="16"/>
  <c r="T454" i="16"/>
  <c r="T452" i="16"/>
  <c r="T450" i="16"/>
  <c r="T448" i="16"/>
  <c r="T446" i="16"/>
  <c r="T444" i="16"/>
  <c r="T442" i="16"/>
  <c r="T440" i="16"/>
  <c r="T438" i="16"/>
  <c r="T436" i="16"/>
  <c r="T434" i="16"/>
  <c r="T432" i="16"/>
  <c r="T430" i="16"/>
  <c r="T428" i="16"/>
  <c r="T426" i="16"/>
  <c r="T424" i="16"/>
  <c r="T422" i="16"/>
  <c r="T420" i="16"/>
  <c r="T418" i="16"/>
  <c r="T416" i="16"/>
  <c r="T414" i="16"/>
  <c r="T412" i="16"/>
  <c r="T410" i="16"/>
  <c r="T408" i="16"/>
  <c r="T407" i="16"/>
  <c r="T405" i="16"/>
  <c r="T403" i="16"/>
  <c r="T401" i="16"/>
  <c r="T399" i="16"/>
  <c r="T397" i="16"/>
  <c r="T395" i="16"/>
  <c r="T393" i="16"/>
  <c r="T391" i="16"/>
  <c r="T389" i="16"/>
  <c r="T387" i="16"/>
  <c r="T385" i="16"/>
  <c r="T383" i="16"/>
  <c r="T381" i="16"/>
  <c r="T379" i="16"/>
  <c r="T377" i="16"/>
  <c r="T375" i="16"/>
  <c r="T373" i="16"/>
  <c r="T371" i="16"/>
  <c r="T369" i="16"/>
  <c r="T367" i="16"/>
  <c r="T365" i="16"/>
  <c r="T363" i="16"/>
  <c r="T361" i="16"/>
  <c r="T359" i="16"/>
  <c r="T357" i="16"/>
  <c r="T355" i="16"/>
  <c r="T353" i="16"/>
  <c r="T351" i="16"/>
  <c r="T349" i="16"/>
  <c r="T347" i="16"/>
  <c r="T345" i="16"/>
  <c r="T343" i="16"/>
  <c r="T341" i="16"/>
  <c r="T339" i="16"/>
  <c r="T337" i="16"/>
  <c r="T335" i="16"/>
  <c r="T333" i="16"/>
  <c r="T331" i="16"/>
  <c r="T329" i="16"/>
  <c r="T327" i="16"/>
  <c r="T325" i="16"/>
  <c r="T323" i="16"/>
  <c r="T321" i="16"/>
  <c r="T319" i="16"/>
  <c r="T317" i="16"/>
  <c r="T315" i="16"/>
  <c r="T313" i="16"/>
  <c r="T311" i="16"/>
  <c r="T309" i="16"/>
  <c r="T307" i="16"/>
  <c r="T305" i="16"/>
  <c r="T303" i="16"/>
  <c r="T301" i="16"/>
  <c r="T299" i="16"/>
  <c r="T297" i="16"/>
  <c r="T295" i="16"/>
  <c r="T293" i="16"/>
  <c r="T291" i="16"/>
  <c r="T289" i="16"/>
  <c r="T287" i="16"/>
  <c r="T285" i="16"/>
  <c r="T283" i="16"/>
  <c r="T281" i="16"/>
  <c r="T279" i="16"/>
  <c r="T277" i="16"/>
  <c r="T275" i="16"/>
  <c r="T273" i="16"/>
  <c r="T271" i="16"/>
  <c r="T269" i="16"/>
  <c r="T267" i="16"/>
  <c r="T265" i="16"/>
  <c r="T263" i="16"/>
  <c r="T261" i="16"/>
  <c r="T259" i="16"/>
  <c r="T257" i="16"/>
  <c r="T255" i="16"/>
  <c r="T253" i="16"/>
  <c r="T251" i="16"/>
  <c r="T249" i="16"/>
  <c r="T247" i="16"/>
  <c r="T245" i="16"/>
  <c r="T243" i="16"/>
  <c r="T241" i="16"/>
  <c r="T239" i="16"/>
  <c r="T237" i="16"/>
  <c r="T235" i="16"/>
  <c r="T233" i="16"/>
  <c r="T231" i="16"/>
  <c r="T229" i="16"/>
  <c r="T227" i="16"/>
  <c r="T225" i="16"/>
  <c r="T223" i="16"/>
  <c r="T221" i="16"/>
  <c r="T219" i="16"/>
  <c r="T217" i="16"/>
  <c r="T215" i="16"/>
  <c r="T213" i="16"/>
  <c r="T211" i="16"/>
  <c r="T209" i="16"/>
  <c r="T207" i="16"/>
  <c r="T205" i="16"/>
  <c r="T203" i="16"/>
  <c r="T201" i="16"/>
  <c r="T199" i="16"/>
  <c r="T197" i="16"/>
  <c r="T195" i="16"/>
  <c r="T193" i="16"/>
  <c r="T191" i="16"/>
  <c r="T189" i="16"/>
  <c r="T187" i="16"/>
  <c r="T185" i="16"/>
  <c r="T183" i="16"/>
  <c r="T181" i="16"/>
  <c r="T179" i="16"/>
  <c r="T177" i="16"/>
  <c r="T175" i="16"/>
  <c r="T173" i="16"/>
  <c r="T171" i="16"/>
  <c r="T169" i="16"/>
  <c r="T167" i="16"/>
  <c r="T165" i="16"/>
  <c r="T163" i="16"/>
  <c r="T161" i="16"/>
  <c r="T159" i="16"/>
  <c r="T157" i="16"/>
  <c r="T155" i="16"/>
  <c r="T153" i="16"/>
  <c r="T151" i="16"/>
  <c r="T149" i="16"/>
  <c r="T147" i="16"/>
  <c r="T145" i="16"/>
  <c r="T143" i="16"/>
  <c r="T141" i="16"/>
  <c r="T139" i="16"/>
  <c r="T137" i="16"/>
  <c r="T135" i="16"/>
  <c r="T133" i="16"/>
  <c r="T131" i="16"/>
  <c r="T129" i="16"/>
  <c r="T127" i="16"/>
  <c r="T125" i="16"/>
  <c r="T123" i="16"/>
  <c r="T121" i="16"/>
  <c r="T119" i="16"/>
  <c r="T117" i="16"/>
  <c r="T115" i="16"/>
  <c r="T113" i="16"/>
  <c r="T111" i="16"/>
  <c r="T109" i="16"/>
  <c r="T107" i="16"/>
  <c r="T105" i="16"/>
  <c r="T103" i="16"/>
  <c r="T101" i="16"/>
  <c r="T99" i="16"/>
  <c r="T97" i="16"/>
  <c r="T95" i="16"/>
  <c r="T93" i="16"/>
  <c r="T91" i="16"/>
  <c r="T89" i="16"/>
  <c r="T87" i="16"/>
  <c r="T85" i="16"/>
  <c r="T83" i="16"/>
  <c r="T81" i="16"/>
  <c r="T79" i="16"/>
  <c r="T75" i="16"/>
  <c r="T73" i="16"/>
  <c r="T69" i="16"/>
  <c r="T65" i="16"/>
  <c r="T61" i="16"/>
  <c r="T59" i="16"/>
  <c r="T55" i="16"/>
  <c r="T51" i="16"/>
  <c r="T47" i="16"/>
  <c r="T43" i="16"/>
  <c r="T39" i="16"/>
  <c r="T35" i="16"/>
  <c r="T31" i="16"/>
  <c r="T27" i="16"/>
  <c r="T23" i="16"/>
  <c r="T21" i="16"/>
  <c r="T15" i="16"/>
  <c r="T11" i="16"/>
  <c r="T9" i="16"/>
  <c r="T406" i="16"/>
  <c r="T404" i="16"/>
  <c r="T402" i="16"/>
  <c r="T400" i="16"/>
  <c r="T398" i="16"/>
  <c r="T396" i="16"/>
  <c r="T394" i="16"/>
  <c r="T392" i="16"/>
  <c r="T390" i="16"/>
  <c r="T388" i="16"/>
  <c r="T386" i="16"/>
  <c r="T384" i="16"/>
  <c r="T382" i="16"/>
  <c r="T380" i="16"/>
  <c r="T378" i="16"/>
  <c r="T376" i="16"/>
  <c r="T374" i="16"/>
  <c r="T372" i="16"/>
  <c r="T370" i="16"/>
  <c r="T368" i="16"/>
  <c r="T366" i="16"/>
  <c r="T364" i="16"/>
  <c r="T362" i="16"/>
  <c r="T360" i="16"/>
  <c r="T358" i="16"/>
  <c r="T356" i="16"/>
  <c r="T354" i="16"/>
  <c r="T352" i="16"/>
  <c r="T350" i="16"/>
  <c r="T348" i="16"/>
  <c r="T346" i="16"/>
  <c r="T344" i="16"/>
  <c r="T342" i="16"/>
  <c r="T340" i="16"/>
  <c r="T338" i="16"/>
  <c r="T336" i="16"/>
  <c r="T334" i="16"/>
  <c r="T332" i="16"/>
  <c r="T330" i="16"/>
  <c r="T328" i="16"/>
  <c r="T326" i="16"/>
  <c r="T324" i="16"/>
  <c r="T322" i="16"/>
  <c r="T320" i="16"/>
  <c r="T318" i="16"/>
  <c r="T316" i="16"/>
  <c r="T314" i="16"/>
  <c r="T312" i="16"/>
  <c r="T310" i="16"/>
  <c r="T308" i="16"/>
  <c r="T306" i="16"/>
  <c r="T304" i="16"/>
  <c r="T302" i="16"/>
  <c r="T300" i="16"/>
  <c r="T298" i="16"/>
  <c r="T296" i="16"/>
  <c r="T294" i="16"/>
  <c r="T292" i="16"/>
  <c r="T290" i="16"/>
  <c r="T288" i="16"/>
  <c r="T286" i="16"/>
  <c r="T284" i="16"/>
  <c r="T282" i="16"/>
  <c r="T280" i="16"/>
  <c r="T278" i="16"/>
  <c r="T276" i="16"/>
  <c r="T274" i="16"/>
  <c r="T272" i="16"/>
  <c r="T270" i="16"/>
  <c r="T268" i="16"/>
  <c r="T266" i="16"/>
  <c r="T264" i="16"/>
  <c r="T262" i="16"/>
  <c r="T260" i="16"/>
  <c r="T258" i="16"/>
  <c r="T256" i="16"/>
  <c r="T254" i="16"/>
  <c r="T252" i="16"/>
  <c r="T250" i="16"/>
  <c r="T248" i="16"/>
  <c r="T246" i="16"/>
  <c r="T244" i="16"/>
  <c r="T242" i="16"/>
  <c r="T240" i="16"/>
  <c r="T238" i="16"/>
  <c r="T236" i="16"/>
  <c r="T234" i="16"/>
  <c r="T232" i="16"/>
  <c r="T230" i="16"/>
  <c r="T228" i="16"/>
  <c r="T226" i="16"/>
  <c r="T224" i="16"/>
  <c r="T222" i="16"/>
  <c r="T220" i="16"/>
  <c r="T218" i="16"/>
  <c r="T216" i="16"/>
  <c r="T214" i="16"/>
  <c r="T212" i="16"/>
  <c r="T210" i="16"/>
  <c r="T208" i="16"/>
  <c r="T206" i="16"/>
  <c r="T204" i="16"/>
  <c r="T202" i="16"/>
  <c r="T200" i="16"/>
  <c r="T198" i="16"/>
  <c r="T196" i="16"/>
  <c r="T194" i="16"/>
  <c r="T192" i="16"/>
  <c r="T190" i="16"/>
  <c r="T188" i="16"/>
  <c r="T186" i="16"/>
  <c r="T184" i="16"/>
  <c r="T182" i="16"/>
  <c r="T180" i="16"/>
  <c r="T178" i="16"/>
  <c r="T176" i="16"/>
  <c r="T174" i="16"/>
  <c r="T172" i="16"/>
  <c r="T170" i="16"/>
  <c r="T168" i="16"/>
  <c r="T166" i="16"/>
  <c r="T164" i="16"/>
  <c r="T162" i="16"/>
  <c r="T160" i="16"/>
  <c r="T158" i="16"/>
  <c r="T156" i="16"/>
  <c r="T154" i="16"/>
  <c r="T152" i="16"/>
  <c r="T150" i="16"/>
  <c r="T148" i="16"/>
  <c r="T146" i="16"/>
  <c r="T144" i="16"/>
  <c r="T142" i="16"/>
  <c r="T140" i="16"/>
  <c r="T138" i="16"/>
  <c r="T136" i="16"/>
  <c r="T134" i="16"/>
  <c r="T132" i="16"/>
  <c r="T130" i="16"/>
  <c r="T128" i="16"/>
  <c r="T126" i="16"/>
  <c r="T124" i="16"/>
  <c r="T122" i="16"/>
  <c r="T120" i="16"/>
  <c r="T118" i="16"/>
  <c r="T116" i="16"/>
  <c r="T114" i="16"/>
  <c r="T112" i="16"/>
  <c r="T110" i="16"/>
  <c r="T108" i="16"/>
  <c r="T106" i="16"/>
  <c r="T104" i="16"/>
  <c r="T102" i="16"/>
  <c r="T100" i="16"/>
  <c r="T98" i="16"/>
  <c r="T96" i="16"/>
  <c r="T94" i="16"/>
  <c r="T92" i="16"/>
  <c r="T90" i="16"/>
  <c r="T88" i="16"/>
  <c r="T86" i="16"/>
  <c r="T84" i="16"/>
  <c r="T82" i="16"/>
  <c r="T80" i="16"/>
  <c r="T78" i="16"/>
  <c r="T76" i="16"/>
  <c r="T74" i="16"/>
  <c r="T72" i="16"/>
  <c r="T70" i="16"/>
  <c r="T68" i="16"/>
  <c r="T66" i="16"/>
  <c r="T64" i="16"/>
  <c r="T62" i="16"/>
  <c r="T60" i="16"/>
  <c r="T58" i="16"/>
  <c r="T56" i="16"/>
  <c r="T54" i="16"/>
  <c r="T52" i="16"/>
  <c r="T50" i="16"/>
  <c r="T48" i="16"/>
  <c r="T46" i="16"/>
  <c r="T44" i="16"/>
  <c r="T42" i="16"/>
  <c r="T40" i="16"/>
  <c r="T38" i="16"/>
  <c r="T36" i="16"/>
  <c r="T34" i="16"/>
  <c r="T32" i="16"/>
  <c r="T30" i="16"/>
  <c r="T28" i="16"/>
  <c r="T26" i="16"/>
  <c r="T24" i="16"/>
  <c r="T22" i="16"/>
  <c r="T20" i="16"/>
  <c r="T18" i="16"/>
  <c r="T16" i="16"/>
  <c r="T14" i="16"/>
  <c r="T12" i="16"/>
  <c r="T10" i="16"/>
  <c r="T6" i="16"/>
  <c r="T77" i="16"/>
  <c r="T71" i="16"/>
  <c r="T67" i="16"/>
  <c r="T63" i="16"/>
  <c r="T57" i="16"/>
  <c r="T53" i="16"/>
  <c r="T49" i="16"/>
  <c r="T45" i="16"/>
  <c r="T41" i="16"/>
  <c r="T37" i="16"/>
  <c r="T33" i="16"/>
  <c r="T29" i="16"/>
  <c r="T25" i="16"/>
  <c r="T19" i="16"/>
  <c r="T17" i="16"/>
  <c r="T13" i="16"/>
  <c r="T7" i="16"/>
  <c r="T4153" i="16"/>
  <c r="E50" i="30"/>
  <c r="E183" i="30"/>
  <c r="E179" i="30"/>
  <c r="E175" i="30"/>
  <c r="E171" i="30"/>
  <c r="E167" i="30"/>
  <c r="E163" i="30"/>
  <c r="E159" i="30"/>
  <c r="E155" i="30"/>
  <c r="E151" i="30"/>
  <c r="E147" i="30"/>
  <c r="E143" i="30"/>
  <c r="E139" i="30"/>
  <c r="E135" i="30"/>
  <c r="E131" i="30"/>
  <c r="E127" i="30"/>
  <c r="E123" i="30"/>
  <c r="E119" i="30"/>
  <c r="E115" i="30"/>
  <c r="E111" i="30"/>
  <c r="E107" i="30"/>
  <c r="E103" i="30"/>
  <c r="E99" i="30"/>
  <c r="E95" i="30"/>
  <c r="E91" i="30"/>
  <c r="E88" i="30"/>
  <c r="E85" i="30"/>
  <c r="E81" i="30"/>
  <c r="E76" i="30"/>
  <c r="E74" i="30"/>
  <c r="E71" i="30"/>
  <c r="E69" i="30"/>
  <c r="E66" i="30"/>
  <c r="E62" i="30"/>
  <c r="E59" i="30"/>
  <c r="E54" i="30"/>
  <c r="E178" i="30"/>
  <c r="E170" i="30"/>
  <c r="E164" i="30"/>
  <c r="E152" i="30"/>
  <c r="E146" i="30"/>
  <c r="E140" i="30"/>
  <c r="E132" i="30"/>
  <c r="E114" i="30"/>
  <c r="E104" i="30"/>
  <c r="E96" i="30"/>
  <c r="E90" i="30"/>
  <c r="E65" i="30"/>
  <c r="E58" i="30"/>
  <c r="E52" i="30"/>
  <c r="T3" i="16" s="1"/>
  <c r="E180" i="30"/>
  <c r="E172" i="30"/>
  <c r="E162" i="30"/>
  <c r="E158" i="30"/>
  <c r="E150" i="30"/>
  <c r="E138" i="30"/>
  <c r="E130" i="30"/>
  <c r="E126" i="30"/>
  <c r="E122" i="30"/>
  <c r="E116" i="30"/>
  <c r="E108" i="30"/>
  <c r="E100" i="30"/>
  <c r="E93" i="30"/>
  <c r="E84" i="30"/>
  <c r="E72" i="30"/>
  <c r="E63" i="30"/>
  <c r="E185" i="30"/>
  <c r="E181" i="30"/>
  <c r="E177" i="30"/>
  <c r="E173" i="30"/>
  <c r="E169" i="30"/>
  <c r="E165" i="30"/>
  <c r="E161" i="30"/>
  <c r="E157" i="30"/>
  <c r="E153" i="30"/>
  <c r="E149" i="30"/>
  <c r="E145" i="30"/>
  <c r="E141" i="30"/>
  <c r="E137" i="30"/>
  <c r="E133" i="30"/>
  <c r="E129" i="30"/>
  <c r="E125" i="30"/>
  <c r="E121" i="30"/>
  <c r="E117" i="30"/>
  <c r="E113" i="30"/>
  <c r="E109" i="30"/>
  <c r="E105" i="30"/>
  <c r="E101" i="30"/>
  <c r="E97" i="30"/>
  <c r="E92" i="30"/>
  <c r="E89" i="30"/>
  <c r="E87" i="30"/>
  <c r="E83" i="30"/>
  <c r="E79" i="30"/>
  <c r="E77" i="30"/>
  <c r="E75" i="30"/>
  <c r="E73" i="30"/>
  <c r="E70" i="30"/>
  <c r="E68" i="30"/>
  <c r="E64" i="30"/>
  <c r="E61" i="30"/>
  <c r="E57" i="30"/>
  <c r="E51" i="30"/>
  <c r="S15" i="12" s="1"/>
  <c r="E184" i="30"/>
  <c r="E176" i="30"/>
  <c r="E166" i="30"/>
  <c r="E156" i="30"/>
  <c r="E148" i="30"/>
  <c r="E134" i="30"/>
  <c r="E120" i="30"/>
  <c r="E112" i="30"/>
  <c r="E94" i="30"/>
  <c r="E80" i="30"/>
  <c r="E60" i="30"/>
  <c r="E56" i="30"/>
  <c r="E182" i="30"/>
  <c r="E174" i="30"/>
  <c r="E168" i="30"/>
  <c r="E160" i="30"/>
  <c r="E154" i="30"/>
  <c r="E142" i="30"/>
  <c r="E136" i="30"/>
  <c r="E128" i="30"/>
  <c r="E124" i="30"/>
  <c r="E118" i="30"/>
  <c r="E110" i="30"/>
  <c r="E106" i="30"/>
  <c r="E98" i="30"/>
  <c r="E86" i="30"/>
  <c r="E82" i="30"/>
  <c r="E67" i="30"/>
  <c r="E55" i="30"/>
  <c r="D290" i="60"/>
  <c r="B117" i="59"/>
  <c r="B291" i="60"/>
  <c r="D147" i="59"/>
  <c r="E117" i="59"/>
  <c r="D290" i="63"/>
  <c r="B291" i="63"/>
  <c r="D290" i="62"/>
  <c r="D117" i="59"/>
  <c r="B291" i="62"/>
  <c r="F43" i="59"/>
  <c r="Q127" i="59"/>
  <c r="I127" i="59"/>
  <c r="V127" i="59"/>
  <c r="T127" i="59"/>
  <c r="S127" i="59"/>
  <c r="K127" i="59"/>
  <c r="U127" i="59"/>
  <c r="M127" i="59"/>
  <c r="L127" i="59"/>
  <c r="N127" i="59"/>
  <c r="O127" i="59"/>
  <c r="H127" i="59"/>
  <c r="R127" i="59"/>
  <c r="P127" i="59"/>
  <c r="J127" i="59"/>
  <c r="C117" i="59"/>
  <c r="D290" i="61"/>
  <c r="B291" i="61"/>
  <c r="B297" i="61" s="1"/>
  <c r="D297" i="61" s="1"/>
  <c r="D290" i="64"/>
  <c r="F117" i="59"/>
  <c r="B291" i="64"/>
  <c r="D146" i="59"/>
  <c r="U4153" i="16" l="1"/>
  <c r="C38" i="30"/>
  <c r="E46" i="30" s="1"/>
  <c r="E15" i="12" s="1"/>
  <c r="C36" i="30"/>
  <c r="W700" i="16"/>
  <c r="W732" i="16"/>
  <c r="W748" i="16"/>
  <c r="W764" i="16"/>
  <c r="W780" i="16"/>
  <c r="W796" i="16"/>
  <c r="W812" i="16"/>
  <c r="W828" i="16"/>
  <c r="W844" i="16"/>
  <c r="W860" i="16"/>
  <c r="W876" i="16"/>
  <c r="W892" i="16"/>
  <c r="W908" i="16"/>
  <c r="W924" i="16"/>
  <c r="W940" i="16"/>
  <c r="W956" i="16"/>
  <c r="W972" i="16"/>
  <c r="W4095" i="16"/>
  <c r="W4127" i="16"/>
  <c r="W3903" i="16"/>
  <c r="W3919" i="16"/>
  <c r="W3935" i="16"/>
  <c r="W3951" i="16"/>
  <c r="W3967" i="16"/>
  <c r="W3983" i="16"/>
  <c r="W4154" i="16"/>
  <c r="W4004" i="16"/>
  <c r="W4020" i="16"/>
  <c r="W4036" i="16"/>
  <c r="W4052" i="16"/>
  <c r="W4068" i="16"/>
  <c r="W716" i="16"/>
  <c r="W988" i="16"/>
  <c r="W1004" i="16"/>
  <c r="W1020" i="16"/>
  <c r="W1036" i="16"/>
  <c r="W1052" i="16"/>
  <c r="W1068" i="16"/>
  <c r="W1084" i="16"/>
  <c r="W1100" i="16"/>
  <c r="W1116" i="16"/>
  <c r="W1132" i="16"/>
  <c r="W1148" i="16"/>
  <c r="W1164" i="16"/>
  <c r="W1180" i="16"/>
  <c r="W1196" i="16"/>
  <c r="W1212" i="16"/>
  <c r="W1315" i="16"/>
  <c r="W1331" i="16"/>
  <c r="W1347" i="16"/>
  <c r="W1363" i="16"/>
  <c r="W1379" i="16"/>
  <c r="W1395" i="16"/>
  <c r="W1411" i="16"/>
  <c r="W1427" i="16"/>
  <c r="W1443" i="16"/>
  <c r="W1459" i="16"/>
  <c r="W1475" i="16"/>
  <c r="W1491" i="16"/>
  <c r="W1507" i="16"/>
  <c r="W1523" i="16"/>
  <c r="W1539" i="16"/>
  <c r="W1555" i="16"/>
  <c r="W1571" i="16"/>
  <c r="W1587" i="16"/>
  <c r="W1603" i="16"/>
  <c r="W1619" i="16"/>
  <c r="W1635" i="16"/>
  <c r="W1651" i="16"/>
  <c r="W1667" i="16"/>
  <c r="W1683" i="16"/>
  <c r="W1699" i="16"/>
  <c r="W1715" i="16"/>
  <c r="W1731" i="16"/>
  <c r="W1747" i="16"/>
  <c r="W1763" i="16"/>
  <c r="W1779" i="16"/>
  <c r="W1795" i="16"/>
  <c r="W1811" i="16"/>
  <c r="W1827" i="16"/>
  <c r="W1861" i="16"/>
  <c r="W1877" i="16"/>
  <c r="W1893" i="16"/>
  <c r="W1909" i="16"/>
  <c r="W1925" i="16"/>
  <c r="W1941" i="16"/>
  <c r="W1957" i="16"/>
  <c r="W1973" i="16"/>
  <c r="W1989" i="16"/>
  <c r="W2005" i="16"/>
  <c r="W2021" i="16"/>
  <c r="W2037" i="16"/>
  <c r="W2053" i="16"/>
  <c r="W2069" i="16"/>
  <c r="W2085" i="16"/>
  <c r="W2101" i="16"/>
  <c r="W2117" i="16"/>
  <c r="W2133" i="16"/>
  <c r="W2149" i="16"/>
  <c r="W2165" i="16"/>
  <c r="W2181" i="16"/>
  <c r="W2197" i="16"/>
  <c r="W2213" i="16"/>
  <c r="W2229" i="16"/>
  <c r="W2245" i="16"/>
  <c r="W2261" i="16"/>
  <c r="W2277" i="16"/>
  <c r="W2293" i="16"/>
  <c r="W2309" i="16"/>
  <c r="W2325" i="16"/>
  <c r="W2341" i="16"/>
  <c r="W2357" i="16"/>
  <c r="W2373" i="16"/>
  <c r="W2389" i="16"/>
  <c r="W4083" i="16"/>
  <c r="W4115" i="16"/>
  <c r="W4147" i="16"/>
  <c r="W1847" i="16"/>
  <c r="W126" i="16"/>
  <c r="W206" i="16"/>
  <c r="W350" i="16"/>
  <c r="W110" i="16"/>
  <c r="W270" i="16"/>
  <c r="W62" i="16"/>
  <c r="W158" i="16"/>
  <c r="W238" i="16"/>
  <c r="W302" i="16"/>
  <c r="W94" i="16"/>
  <c r="W190" i="16"/>
  <c r="W334" i="16"/>
  <c r="W78" i="16"/>
  <c r="W174" i="16"/>
  <c r="W254" i="16"/>
  <c r="W318" i="16"/>
  <c r="W46" i="16"/>
  <c r="W142" i="16"/>
  <c r="W222" i="16"/>
  <c r="W286" i="16"/>
  <c r="W3997" i="16"/>
  <c r="W4029" i="16"/>
  <c r="W4061" i="16"/>
  <c r="W4103" i="16"/>
  <c r="W4135" i="16"/>
  <c r="W3234" i="16"/>
  <c r="W3250" i="16"/>
  <c r="W3266" i="16"/>
  <c r="W3282" i="16"/>
  <c r="W3298" i="16"/>
  <c r="W3314" i="16"/>
  <c r="W3330" i="16"/>
  <c r="W3346" i="16"/>
  <c r="W3362" i="16"/>
  <c r="W3378" i="16"/>
  <c r="W3394" i="16"/>
  <c r="W4111" i="16"/>
  <c r="W4143" i="16"/>
  <c r="W2405" i="16"/>
  <c r="W3911" i="16"/>
  <c r="W3927" i="16"/>
  <c r="W3943" i="16"/>
  <c r="W3959" i="16"/>
  <c r="W3975" i="16"/>
  <c r="W3991" i="16"/>
  <c r="W4087" i="16"/>
  <c r="W4119" i="16"/>
  <c r="C64" i="51"/>
  <c r="E64" i="51" s="1"/>
  <c r="F64" i="51" s="1"/>
  <c r="D110" i="51"/>
  <c r="C110" i="51"/>
  <c r="D46" i="51"/>
  <c r="C46" i="51"/>
  <c r="E46" i="51" s="1"/>
  <c r="F46" i="51" s="1"/>
  <c r="D47" i="51"/>
  <c r="C47" i="51"/>
  <c r="D70" i="51"/>
  <c r="C70" i="51"/>
  <c r="D57" i="51"/>
  <c r="C57" i="51"/>
  <c r="D124" i="51"/>
  <c r="C124" i="51"/>
  <c r="E124" i="51" s="1"/>
  <c r="F124" i="51" s="1"/>
  <c r="D119" i="51"/>
  <c r="C119" i="51"/>
  <c r="D117" i="51"/>
  <c r="C117" i="51"/>
  <c r="D82" i="51"/>
  <c r="C82" i="51"/>
  <c r="D96" i="51"/>
  <c r="C96" i="51"/>
  <c r="E96" i="51" s="1"/>
  <c r="F96" i="51" s="1"/>
  <c r="D153" i="51"/>
  <c r="C153" i="51"/>
  <c r="D142" i="51"/>
  <c r="C142" i="51"/>
  <c r="D132" i="51"/>
  <c r="C132" i="51"/>
  <c r="D162" i="51"/>
  <c r="C162" i="51"/>
  <c r="E162" i="51" s="1"/>
  <c r="F162" i="51" s="1"/>
  <c r="D108" i="51"/>
  <c r="C108" i="51"/>
  <c r="D59" i="51"/>
  <c r="C59" i="51"/>
  <c r="D118" i="51"/>
  <c r="C118" i="51"/>
  <c r="D77" i="51"/>
  <c r="C77" i="51"/>
  <c r="E77" i="51" s="1"/>
  <c r="F77" i="51" s="1"/>
  <c r="D128" i="51"/>
  <c r="C128" i="51"/>
  <c r="D56" i="51"/>
  <c r="C56" i="51"/>
  <c r="D65" i="51"/>
  <c r="C65" i="51"/>
  <c r="D91" i="51"/>
  <c r="C91" i="51"/>
  <c r="E91" i="51" s="1"/>
  <c r="F91" i="51" s="1"/>
  <c r="D138" i="51"/>
  <c r="C138" i="51"/>
  <c r="D73" i="51"/>
  <c r="C73" i="51"/>
  <c r="D92" i="51"/>
  <c r="C92" i="51"/>
  <c r="D87" i="51"/>
  <c r="C87" i="51"/>
  <c r="E87" i="51" s="1"/>
  <c r="F87" i="51" s="1"/>
  <c r="D101" i="51"/>
  <c r="C101" i="51"/>
  <c r="D66" i="51"/>
  <c r="C66" i="51"/>
  <c r="D80" i="51"/>
  <c r="C80" i="51"/>
  <c r="D137" i="51"/>
  <c r="C137" i="51"/>
  <c r="E137" i="51" s="1"/>
  <c r="F137" i="51" s="1"/>
  <c r="D37" i="51"/>
  <c r="C37" i="51"/>
  <c r="D103" i="51"/>
  <c r="C103" i="51"/>
  <c r="D83" i="51"/>
  <c r="C83" i="51"/>
  <c r="D72" i="51"/>
  <c r="C72" i="51"/>
  <c r="E72" i="51" s="1"/>
  <c r="F72" i="51" s="1"/>
  <c r="D51" i="51"/>
  <c r="C51" i="51"/>
  <c r="D52" i="51"/>
  <c r="C52" i="51"/>
  <c r="D61" i="51"/>
  <c r="C61" i="51"/>
  <c r="D67" i="51"/>
  <c r="C67" i="51"/>
  <c r="E67" i="51" s="1"/>
  <c r="F67" i="51" s="1"/>
  <c r="D86" i="51"/>
  <c r="C86" i="51"/>
  <c r="D143" i="51"/>
  <c r="C143" i="51"/>
  <c r="D107" i="51"/>
  <c r="C107" i="51"/>
  <c r="D106" i="51"/>
  <c r="C106" i="51"/>
  <c r="E106" i="51" s="1"/>
  <c r="F106" i="51" s="1"/>
  <c r="D105" i="51"/>
  <c r="C105" i="51"/>
  <c r="D76" i="51"/>
  <c r="C76" i="51"/>
  <c r="D71" i="51"/>
  <c r="C71" i="51"/>
  <c r="D85" i="51"/>
  <c r="C85" i="51"/>
  <c r="E85" i="51" s="1"/>
  <c r="F85" i="51" s="1"/>
  <c r="D50" i="51"/>
  <c r="C50" i="51"/>
  <c r="D133" i="51"/>
  <c r="C133" i="51"/>
  <c r="D44" i="51"/>
  <c r="C44" i="51"/>
  <c r="D127" i="51"/>
  <c r="C127" i="51"/>
  <c r="D49" i="51"/>
  <c r="C49" i="51"/>
  <c r="D94" i="51"/>
  <c r="C94" i="51"/>
  <c r="D160" i="51"/>
  <c r="C160" i="51"/>
  <c r="D100" i="51"/>
  <c r="C100" i="51"/>
  <c r="D40" i="51"/>
  <c r="C40" i="51"/>
  <c r="D81" i="51"/>
  <c r="C81" i="51"/>
  <c r="D152" i="51"/>
  <c r="C152" i="51"/>
  <c r="D102" i="51"/>
  <c r="C102" i="51"/>
  <c r="D111" i="51"/>
  <c r="C111" i="51"/>
  <c r="D139" i="51"/>
  <c r="C139" i="51"/>
  <c r="D90" i="51"/>
  <c r="C90" i="51"/>
  <c r="D121" i="51"/>
  <c r="C121" i="51"/>
  <c r="D60" i="51"/>
  <c r="C60" i="51"/>
  <c r="D55" i="51"/>
  <c r="C55" i="51"/>
  <c r="D98" i="51"/>
  <c r="C98" i="51"/>
  <c r="D39" i="51"/>
  <c r="C39" i="51"/>
  <c r="D123" i="51"/>
  <c r="C123" i="51"/>
  <c r="D99" i="51"/>
  <c r="C99" i="51"/>
  <c r="D150" i="51"/>
  <c r="C150" i="51"/>
  <c r="D48" i="51"/>
  <c r="C48" i="51"/>
  <c r="D146" i="51"/>
  <c r="C146" i="51"/>
  <c r="D45" i="51"/>
  <c r="C45" i="51"/>
  <c r="D140" i="51"/>
  <c r="C140" i="51"/>
  <c r="D157" i="51"/>
  <c r="C157" i="51"/>
  <c r="D97" i="51"/>
  <c r="C97" i="51"/>
  <c r="D120" i="51"/>
  <c r="C120" i="51"/>
  <c r="D134" i="51"/>
  <c r="C134" i="51"/>
  <c r="D95" i="51"/>
  <c r="C95" i="51"/>
  <c r="D155" i="51"/>
  <c r="C155" i="51"/>
  <c r="D74" i="51"/>
  <c r="C74" i="51"/>
  <c r="D43" i="51"/>
  <c r="C43" i="51"/>
  <c r="D163" i="51"/>
  <c r="C163" i="51"/>
  <c r="D53" i="51"/>
  <c r="C53" i="51"/>
  <c r="D63" i="51"/>
  <c r="C63" i="51"/>
  <c r="D141" i="51"/>
  <c r="C141" i="51"/>
  <c r="D115" i="51"/>
  <c r="C115" i="51"/>
  <c r="D156" i="51"/>
  <c r="C156" i="51"/>
  <c r="D151" i="51"/>
  <c r="C151" i="51"/>
  <c r="D84" i="51"/>
  <c r="C84" i="51"/>
  <c r="D154" i="51"/>
  <c r="C154" i="51"/>
  <c r="E154" i="51" s="1"/>
  <c r="F154" i="51" s="1"/>
  <c r="D166" i="51"/>
  <c r="C166" i="51"/>
  <c r="D165" i="51"/>
  <c r="C165" i="51"/>
  <c r="D125" i="51"/>
  <c r="C125" i="51"/>
  <c r="D129" i="51"/>
  <c r="C129" i="51"/>
  <c r="E129" i="51" s="1"/>
  <c r="F129" i="51" s="1"/>
  <c r="D104" i="51"/>
  <c r="C104" i="51"/>
  <c r="D79" i="51"/>
  <c r="C79" i="51"/>
  <c r="D38" i="51"/>
  <c r="C38" i="51"/>
  <c r="D69" i="51"/>
  <c r="C69" i="51"/>
  <c r="E69" i="51" s="1"/>
  <c r="F69" i="51" s="1"/>
  <c r="D122" i="51"/>
  <c r="C122" i="51"/>
  <c r="D54" i="51"/>
  <c r="C54" i="51"/>
  <c r="D113" i="51"/>
  <c r="C113" i="51"/>
  <c r="D158" i="51"/>
  <c r="C158" i="51"/>
  <c r="E158" i="51" s="1"/>
  <c r="F158" i="51" s="1"/>
  <c r="D161" i="51"/>
  <c r="C161" i="51"/>
  <c r="D41" i="51"/>
  <c r="C41" i="51"/>
  <c r="D130" i="51"/>
  <c r="C130" i="51"/>
  <c r="D144" i="51"/>
  <c r="C144" i="51"/>
  <c r="E144" i="51" s="1"/>
  <c r="F144" i="51" s="1"/>
  <c r="D68" i="51"/>
  <c r="C68" i="51"/>
  <c r="E68" i="51" s="1"/>
  <c r="F68" i="51" s="1"/>
  <c r="D159" i="51"/>
  <c r="C159" i="51"/>
  <c r="D164" i="51"/>
  <c r="C164" i="51"/>
  <c r="D131" i="51"/>
  <c r="C131" i="51"/>
  <c r="E131" i="51" s="1"/>
  <c r="F131" i="51" s="1"/>
  <c r="D109" i="51"/>
  <c r="C109" i="51"/>
  <c r="E109" i="51" s="1"/>
  <c r="F109" i="51" s="1"/>
  <c r="D145" i="51"/>
  <c r="C145" i="51"/>
  <c r="D88" i="51"/>
  <c r="C88" i="51"/>
  <c r="D89" i="51"/>
  <c r="C89" i="51"/>
  <c r="E89" i="51" s="1"/>
  <c r="F89" i="51" s="1"/>
  <c r="D78" i="51"/>
  <c r="C78" i="51"/>
  <c r="E78" i="51" s="1"/>
  <c r="F78" i="51" s="1"/>
  <c r="D116" i="51"/>
  <c r="C116" i="51"/>
  <c r="D42" i="51"/>
  <c r="C42" i="51"/>
  <c r="D75" i="51"/>
  <c r="C75" i="51"/>
  <c r="E75" i="51" s="1"/>
  <c r="F75" i="51" s="1"/>
  <c r="D135" i="51"/>
  <c r="C135" i="51"/>
  <c r="E135" i="51" s="1"/>
  <c r="F135" i="51" s="1"/>
  <c r="D149" i="51"/>
  <c r="C149" i="51"/>
  <c r="D114" i="51"/>
  <c r="C114" i="51"/>
  <c r="D112" i="51"/>
  <c r="C112" i="51"/>
  <c r="E112" i="51" s="1"/>
  <c r="F112" i="51" s="1"/>
  <c r="D36" i="51"/>
  <c r="C36" i="51"/>
  <c r="E36" i="51" s="1"/>
  <c r="F36" i="51" s="1"/>
  <c r="D126" i="51"/>
  <c r="C126" i="51"/>
  <c r="D148" i="51"/>
  <c r="C148" i="51"/>
  <c r="D147" i="51"/>
  <c r="C147" i="51"/>
  <c r="E147" i="51" s="1"/>
  <c r="F147" i="51" s="1"/>
  <c r="D93" i="51"/>
  <c r="C93" i="51"/>
  <c r="E93" i="51" s="1"/>
  <c r="F93" i="51" s="1"/>
  <c r="D35" i="51"/>
  <c r="C35" i="51"/>
  <c r="D62" i="51"/>
  <c r="C62" i="51"/>
  <c r="D58" i="51"/>
  <c r="C58" i="51"/>
  <c r="E58" i="51" s="1"/>
  <c r="F58" i="51" s="1"/>
  <c r="D136" i="51"/>
  <c r="C136" i="51"/>
  <c r="E136" i="51" s="1"/>
  <c r="F136" i="51" s="1"/>
  <c r="U15" i="12"/>
  <c r="U18" i="12" s="1"/>
  <c r="BM18" i="16" s="1"/>
  <c r="W556" i="16"/>
  <c r="W588" i="16"/>
  <c r="W620" i="16"/>
  <c r="W652" i="16"/>
  <c r="W668" i="16"/>
  <c r="W524" i="16"/>
  <c r="W604" i="16"/>
  <c r="W636" i="16"/>
  <c r="W684" i="16"/>
  <c r="W380" i="16"/>
  <c r="W396" i="16"/>
  <c r="W428" i="16"/>
  <c r="W476" i="16"/>
  <c r="W508" i="16"/>
  <c r="W572" i="16"/>
  <c r="W364" i="16"/>
  <c r="W412" i="16"/>
  <c r="W444" i="16"/>
  <c r="W460" i="16"/>
  <c r="W492" i="16"/>
  <c r="W540" i="16"/>
  <c r="W2556" i="16"/>
  <c r="W2572" i="16"/>
  <c r="W2588" i="16"/>
  <c r="W2604" i="16"/>
  <c r="W2620" i="16"/>
  <c r="W2636" i="16"/>
  <c r="W2652" i="16"/>
  <c r="W2668" i="16"/>
  <c r="W2684" i="16"/>
  <c r="W2700" i="16"/>
  <c r="W2716" i="16"/>
  <c r="W2732" i="16"/>
  <c r="W2748" i="16"/>
  <c r="W2764" i="16"/>
  <c r="W2780" i="16"/>
  <c r="W2796" i="16"/>
  <c r="W2812" i="16"/>
  <c r="W4003" i="16"/>
  <c r="W4035" i="16"/>
  <c r="W4067" i="16"/>
  <c r="W38" i="16"/>
  <c r="W70" i="16"/>
  <c r="W102" i="16"/>
  <c r="W134" i="16"/>
  <c r="W166" i="16"/>
  <c r="W198" i="16"/>
  <c r="W230" i="16"/>
  <c r="W262" i="16"/>
  <c r="W294" i="16"/>
  <c r="W342" i="16"/>
  <c r="W22" i="16"/>
  <c r="W54" i="16"/>
  <c r="W86" i="16"/>
  <c r="W118" i="16"/>
  <c r="W150" i="16"/>
  <c r="W182" i="16"/>
  <c r="W214" i="16"/>
  <c r="W246" i="16"/>
  <c r="W278" i="16"/>
  <c r="W310" i="16"/>
  <c r="W326" i="16"/>
  <c r="W2421" i="16"/>
  <c r="W2548" i="16"/>
  <c r="W2564" i="16"/>
  <c r="W2580" i="16"/>
  <c r="W2596" i="16"/>
  <c r="W2612" i="16"/>
  <c r="W2628" i="16"/>
  <c r="W2644" i="16"/>
  <c r="W2660" i="16"/>
  <c r="W2676" i="16"/>
  <c r="W2692" i="16"/>
  <c r="W2708" i="16"/>
  <c r="W2724" i="16"/>
  <c r="W2740" i="16"/>
  <c r="W2756" i="16"/>
  <c r="W2772" i="16"/>
  <c r="W2788" i="16"/>
  <c r="W2804" i="16"/>
  <c r="W4019" i="16"/>
  <c r="W4051" i="16"/>
  <c r="W11" i="16"/>
  <c r="W43" i="16"/>
  <c r="W91" i="16"/>
  <c r="W107" i="16"/>
  <c r="W123" i="16"/>
  <c r="W139" i="16"/>
  <c r="W155" i="16"/>
  <c r="W187" i="16"/>
  <c r="W203" i="16"/>
  <c r="W219" i="16"/>
  <c r="W235" i="16"/>
  <c r="W251" i="16"/>
  <c r="W267" i="16"/>
  <c r="W283" i="16"/>
  <c r="W299" i="16"/>
  <c r="W315" i="16"/>
  <c r="W331" i="16"/>
  <c r="W347" i="16"/>
  <c r="W3236" i="16"/>
  <c r="W3252" i="16"/>
  <c r="W3268" i="16"/>
  <c r="W3284" i="16"/>
  <c r="W3300" i="16"/>
  <c r="W3316" i="16"/>
  <c r="W3332" i="16"/>
  <c r="W3348" i="16"/>
  <c r="W3364" i="16"/>
  <c r="W3380" i="16"/>
  <c r="W3396" i="16"/>
  <c r="S18" i="12"/>
  <c r="BM15" i="16" s="1"/>
  <c r="W2825" i="16"/>
  <c r="W2841" i="16"/>
  <c r="W2857" i="16"/>
  <c r="W2873" i="16"/>
  <c r="W2889" i="16"/>
  <c r="W2905" i="16"/>
  <c r="W2921" i="16"/>
  <c r="W2937" i="16"/>
  <c r="W2953" i="16"/>
  <c r="W2969" i="16"/>
  <c r="W2985" i="16"/>
  <c r="W3001" i="16"/>
  <c r="W3017" i="16"/>
  <c r="W3033" i="16"/>
  <c r="W3049" i="16"/>
  <c r="W3065" i="16"/>
  <c r="W3081" i="16"/>
  <c r="W3097" i="16"/>
  <c r="W3113" i="16"/>
  <c r="W3129" i="16"/>
  <c r="W3145" i="16"/>
  <c r="W4013" i="16"/>
  <c r="W4045" i="16"/>
  <c r="W4077" i="16"/>
  <c r="W125" i="16"/>
  <c r="W157" i="16"/>
  <c r="W173" i="16"/>
  <c r="W189" i="16"/>
  <c r="W205" i="16"/>
  <c r="W221" i="16"/>
  <c r="W237" i="16"/>
  <c r="W285" i="16"/>
  <c r="W301" i="16"/>
  <c r="W317" i="16"/>
  <c r="W333" i="16"/>
  <c r="W349" i="16"/>
  <c r="W365" i="16"/>
  <c r="W381" i="16"/>
  <c r="W397" i="16"/>
  <c r="W109" i="16"/>
  <c r="W141" i="16"/>
  <c r="W269" i="16"/>
  <c r="W3573" i="16"/>
  <c r="W3589" i="16"/>
  <c r="W4021" i="16"/>
  <c r="W4053" i="16"/>
  <c r="W53" i="16"/>
  <c r="W93" i="16"/>
  <c r="W253" i="16"/>
  <c r="W357" i="16"/>
  <c r="W373" i="16"/>
  <c r="W389" i="16"/>
  <c r="W405" i="16"/>
  <c r="W3413" i="16"/>
  <c r="W3429" i="16"/>
  <c r="W3445" i="16"/>
  <c r="W3461" i="16"/>
  <c r="W3477" i="16"/>
  <c r="W3493" i="16"/>
  <c r="W3509" i="16"/>
  <c r="W3525" i="16"/>
  <c r="W3541" i="16"/>
  <c r="W3557" i="16"/>
  <c r="W4005" i="16"/>
  <c r="W4037" i="16"/>
  <c r="W4069" i="16"/>
  <c r="W5" i="16"/>
  <c r="W360" i="16"/>
  <c r="W376" i="16"/>
  <c r="W392" i="16"/>
  <c r="W2431" i="16"/>
  <c r="W2447" i="16"/>
  <c r="W2463" i="16"/>
  <c r="W2479" i="16"/>
  <c r="W2495" i="16"/>
  <c r="W2511" i="16"/>
  <c r="W2527" i="16"/>
  <c r="W408" i="16"/>
  <c r="W424" i="16"/>
  <c r="W440" i="16"/>
  <c r="W456" i="16"/>
  <c r="W472" i="16"/>
  <c r="W488" i="16"/>
  <c r="W504" i="16"/>
  <c r="W520" i="16"/>
  <c r="W536" i="16"/>
  <c r="W552" i="16"/>
  <c r="W568" i="16"/>
  <c r="W584" i="16"/>
  <c r="W600" i="16"/>
  <c r="W616" i="16"/>
  <c r="W632" i="16"/>
  <c r="W648" i="16"/>
  <c r="W664" i="16"/>
  <c r="W680" i="16"/>
  <c r="W696" i="16"/>
  <c r="W712" i="16"/>
  <c r="W728" i="16"/>
  <c r="W744" i="16"/>
  <c r="W760" i="16"/>
  <c r="W776" i="16"/>
  <c r="W792" i="16"/>
  <c r="W808" i="16"/>
  <c r="W824" i="16"/>
  <c r="W840" i="16"/>
  <c r="W856" i="16"/>
  <c r="W872" i="16"/>
  <c r="W888" i="16"/>
  <c r="W904" i="16"/>
  <c r="W920" i="16"/>
  <c r="W936" i="16"/>
  <c r="W952" i="16"/>
  <c r="W968" i="16"/>
  <c r="W984" i="16"/>
  <c r="W1000" i="16"/>
  <c r="W1016" i="16"/>
  <c r="W1032" i="16"/>
  <c r="W1048" i="16"/>
  <c r="W1064" i="16"/>
  <c r="W1080" i="16"/>
  <c r="W1096" i="16"/>
  <c r="W1112" i="16"/>
  <c r="W1128" i="16"/>
  <c r="W1144" i="16"/>
  <c r="W1160" i="16"/>
  <c r="W1176" i="16"/>
  <c r="W1192" i="16"/>
  <c r="W1208" i="16"/>
  <c r="W1311" i="16"/>
  <c r="W1327" i="16"/>
  <c r="W1343" i="16"/>
  <c r="W1359" i="16"/>
  <c r="W1375" i="16"/>
  <c r="W1391" i="16"/>
  <c r="W1407" i="16"/>
  <c r="W1423" i="16"/>
  <c r="W1439" i="16"/>
  <c r="W1455" i="16"/>
  <c r="W1471" i="16"/>
  <c r="W1487" i="16"/>
  <c r="W1503" i="16"/>
  <c r="W1519" i="16"/>
  <c r="W1535" i="16"/>
  <c r="W1551" i="16"/>
  <c r="W1567" i="16"/>
  <c r="W1583" i="16"/>
  <c r="W1599" i="16"/>
  <c r="W1615" i="16"/>
  <c r="W1631" i="16"/>
  <c r="W1647" i="16"/>
  <c r="W1663" i="16"/>
  <c r="W1679" i="16"/>
  <c r="W1695" i="16"/>
  <c r="W1711" i="16"/>
  <c r="W1727" i="16"/>
  <c r="W1743" i="16"/>
  <c r="W1759" i="16"/>
  <c r="W1775" i="16"/>
  <c r="W1791" i="16"/>
  <c r="W1807" i="16"/>
  <c r="W1823" i="16"/>
  <c r="W1839" i="16"/>
  <c r="W413" i="16"/>
  <c r="W429" i="16"/>
  <c r="W445" i="16"/>
  <c r="W461" i="16"/>
  <c r="W477" i="16"/>
  <c r="W493" i="16"/>
  <c r="W509" i="16"/>
  <c r="W525" i="16"/>
  <c r="W541" i="16"/>
  <c r="W557" i="16"/>
  <c r="W573" i="16"/>
  <c r="W589" i="16"/>
  <c r="W605" i="16"/>
  <c r="W621" i="16"/>
  <c r="W637" i="16"/>
  <c r="W653" i="16"/>
  <c r="W669" i="16"/>
  <c r="W685" i="16"/>
  <c r="W701" i="16"/>
  <c r="W717" i="16"/>
  <c r="W733" i="16"/>
  <c r="W749" i="16"/>
  <c r="W765" i="16"/>
  <c r="W781" i="16"/>
  <c r="W797" i="16"/>
  <c r="W813" i="16"/>
  <c r="W829" i="16"/>
  <c r="W845" i="16"/>
  <c r="W861" i="16"/>
  <c r="W877" i="16"/>
  <c r="W893" i="16"/>
  <c r="W909" i="16"/>
  <c r="W925" i="16"/>
  <c r="W941" i="16"/>
  <c r="W957" i="16"/>
  <c r="W973" i="16"/>
  <c r="W989" i="16"/>
  <c r="W1005" i="16"/>
  <c r="W1021" i="16"/>
  <c r="W1037" i="16"/>
  <c r="W1053" i="16"/>
  <c r="W1069" i="16"/>
  <c r="W1085" i="16"/>
  <c r="W1101" i="16"/>
  <c r="W1117" i="16"/>
  <c r="W1133" i="16"/>
  <c r="W1149" i="16"/>
  <c r="W1165" i="16"/>
  <c r="W1181" i="16"/>
  <c r="W1197" i="16"/>
  <c r="W421" i="16"/>
  <c r="W437" i="16"/>
  <c r="W453" i="16"/>
  <c r="W469" i="16"/>
  <c r="W485" i="16"/>
  <c r="W501" i="16"/>
  <c r="W517" i="16"/>
  <c r="W533" i="16"/>
  <c r="W549" i="16"/>
  <c r="W565" i="16"/>
  <c r="W581" i="16"/>
  <c r="W597" i="16"/>
  <c r="W613" i="16"/>
  <c r="W629" i="16"/>
  <c r="W645" i="16"/>
  <c r="W661" i="16"/>
  <c r="W677" i="16"/>
  <c r="W693" i="16"/>
  <c r="W709" i="16"/>
  <c r="W725" i="16"/>
  <c r="W741" i="16"/>
  <c r="W757" i="16"/>
  <c r="W773" i="16"/>
  <c r="W789" i="16"/>
  <c r="W805" i="16"/>
  <c r="W821" i="16"/>
  <c r="W837" i="16"/>
  <c r="W853" i="16"/>
  <c r="W869" i="16"/>
  <c r="W885" i="16"/>
  <c r="W901" i="16"/>
  <c r="W917" i="16"/>
  <c r="W933" i="16"/>
  <c r="W949" i="16"/>
  <c r="W965" i="16"/>
  <c r="W981" i="16"/>
  <c r="W997" i="16"/>
  <c r="W1013" i="16"/>
  <c r="W1029" i="16"/>
  <c r="W1045" i="16"/>
  <c r="W1061" i="16"/>
  <c r="W1077" i="16"/>
  <c r="W1093" i="16"/>
  <c r="W1109" i="16"/>
  <c r="W1125" i="16"/>
  <c r="W1141" i="16"/>
  <c r="W1157" i="16"/>
  <c r="W1173" i="16"/>
  <c r="W1189" i="16"/>
  <c r="W1205" i="16"/>
  <c r="W1308" i="16"/>
  <c r="W1324" i="16"/>
  <c r="W1340" i="16"/>
  <c r="W1356" i="16"/>
  <c r="W1372" i="16"/>
  <c r="W1388" i="16"/>
  <c r="W1404" i="16"/>
  <c r="W1420" i="16"/>
  <c r="W1436" i="16"/>
  <c r="W1452" i="16"/>
  <c r="W3604" i="16"/>
  <c r="W3620" i="16"/>
  <c r="W3636" i="16"/>
  <c r="W3652" i="16"/>
  <c r="W3668" i="16"/>
  <c r="W3684" i="16"/>
  <c r="W3700" i="16"/>
  <c r="W3716" i="16"/>
  <c r="W3732" i="16"/>
  <c r="W3748" i="16"/>
  <c r="W3764" i="16"/>
  <c r="W3780" i="16"/>
  <c r="W3796" i="16"/>
  <c r="W3812" i="16"/>
  <c r="W3828" i="16"/>
  <c r="W3844" i="16"/>
  <c r="W3860" i="16"/>
  <c r="W3876" i="16"/>
  <c r="W3892" i="16"/>
  <c r="W3908" i="16"/>
  <c r="W3924" i="16"/>
  <c r="W3940" i="16"/>
  <c r="W3956" i="16"/>
  <c r="W3972" i="16"/>
  <c r="W3988" i="16"/>
  <c r="W1300" i="16"/>
  <c r="W1316" i="16"/>
  <c r="W1332" i="16"/>
  <c r="W1348" i="16"/>
  <c r="W1364" i="16"/>
  <c r="W1380" i="16"/>
  <c r="W1396" i="16"/>
  <c r="W1412" i="16"/>
  <c r="W1428" i="16"/>
  <c r="W1444" i="16"/>
  <c r="W1460" i="16"/>
  <c r="W1476" i="16"/>
  <c r="W1492" i="16"/>
  <c r="W1508" i="16"/>
  <c r="W1524" i="16"/>
  <c r="W1540" i="16"/>
  <c r="W1556" i="16"/>
  <c r="W1572" i="16"/>
  <c r="W1588" i="16"/>
  <c r="W1604" i="16"/>
  <c r="W1620" i="16"/>
  <c r="W1636" i="16"/>
  <c r="W1652" i="16"/>
  <c r="W1668" i="16"/>
  <c r="W1684" i="16"/>
  <c r="W1700" i="16"/>
  <c r="W1716" i="16"/>
  <c r="W1732" i="16"/>
  <c r="W1748" i="16"/>
  <c r="W1764" i="16"/>
  <c r="W1780" i="16"/>
  <c r="W1796" i="16"/>
  <c r="W1812" i="16"/>
  <c r="W1828" i="16"/>
  <c r="W2436" i="16"/>
  <c r="W2452" i="16"/>
  <c r="W2468" i="16"/>
  <c r="W2484" i="16"/>
  <c r="W2500" i="16"/>
  <c r="W2516" i="16"/>
  <c r="W2532" i="16"/>
  <c r="W2831" i="16"/>
  <c r="W2847" i="16"/>
  <c r="W2863" i="16"/>
  <c r="W2879" i="16"/>
  <c r="W2895" i="16"/>
  <c r="W2911" i="16"/>
  <c r="W2927" i="16"/>
  <c r="W2943" i="16"/>
  <c r="W2959" i="16"/>
  <c r="W2975" i="16"/>
  <c r="W2991" i="16"/>
  <c r="W3007" i="16"/>
  <c r="W3023" i="16"/>
  <c r="W3039" i="16"/>
  <c r="W3055" i="16"/>
  <c r="W3071" i="16"/>
  <c r="W3087" i="16"/>
  <c r="W3103" i="16"/>
  <c r="W3119" i="16"/>
  <c r="W3135" i="16"/>
  <c r="W3151" i="16"/>
  <c r="W3167" i="16"/>
  <c r="W3183" i="16"/>
  <c r="W3199" i="16"/>
  <c r="W3215" i="16"/>
  <c r="W3231" i="16"/>
  <c r="W3247" i="16"/>
  <c r="W3263" i="16"/>
  <c r="W3279" i="16"/>
  <c r="W3295" i="16"/>
  <c r="W3311" i="16"/>
  <c r="W3327" i="16"/>
  <c r="W3343" i="16"/>
  <c r="W3359" i="16"/>
  <c r="W3375" i="16"/>
  <c r="W3391" i="16"/>
  <c r="W3995" i="16"/>
  <c r="W4027" i="16"/>
  <c r="W4059" i="16"/>
  <c r="W4084" i="16"/>
  <c r="W4100" i="16"/>
  <c r="W4116" i="16"/>
  <c r="W4132" i="16"/>
  <c r="W3404" i="16"/>
  <c r="W3420" i="16"/>
  <c r="W3436" i="16"/>
  <c r="W3452" i="16"/>
  <c r="W3468" i="16"/>
  <c r="W3484" i="16"/>
  <c r="W3500" i="16"/>
  <c r="W3516" i="16"/>
  <c r="W3532" i="16"/>
  <c r="W3548" i="16"/>
  <c r="W3564" i="16"/>
  <c r="W3580" i="16"/>
  <c r="W3596" i="16"/>
  <c r="W3612" i="16"/>
  <c r="W3628" i="16"/>
  <c r="W3644" i="16"/>
  <c r="W3660" i="16"/>
  <c r="W3676" i="16"/>
  <c r="W3692" i="16"/>
  <c r="W3708" i="16"/>
  <c r="W3724" i="16"/>
  <c r="W3740" i="16"/>
  <c r="W3756" i="16"/>
  <c r="W3772" i="16"/>
  <c r="W3788" i="16"/>
  <c r="W3804" i="16"/>
  <c r="W3820" i="16"/>
  <c r="W3836" i="16"/>
  <c r="W3852" i="16"/>
  <c r="W3868" i="16"/>
  <c r="W3884" i="16"/>
  <c r="W3900" i="16"/>
  <c r="W3916" i="16"/>
  <c r="W3932" i="16"/>
  <c r="W3948" i="16"/>
  <c r="W3964" i="16"/>
  <c r="W3980" i="16"/>
  <c r="W1468" i="16"/>
  <c r="W1484" i="16"/>
  <c r="W1500" i="16"/>
  <c r="W1516" i="16"/>
  <c r="W1532" i="16"/>
  <c r="W1548" i="16"/>
  <c r="W1564" i="16"/>
  <c r="W1580" i="16"/>
  <c r="W1596" i="16"/>
  <c r="W1612" i="16"/>
  <c r="W1628" i="16"/>
  <c r="W1644" i="16"/>
  <c r="W1660" i="16"/>
  <c r="W1676" i="16"/>
  <c r="W1692" i="16"/>
  <c r="W1708" i="16"/>
  <c r="W1724" i="16"/>
  <c r="W1740" i="16"/>
  <c r="W1756" i="16"/>
  <c r="W1772" i="16"/>
  <c r="W1788" i="16"/>
  <c r="W1804" i="16"/>
  <c r="W1820" i="16"/>
  <c r="W1836" i="16"/>
  <c r="W2428" i="16"/>
  <c r="W2444" i="16"/>
  <c r="W2460" i="16"/>
  <c r="W2476" i="16"/>
  <c r="W2492" i="16"/>
  <c r="W2508" i="16"/>
  <c r="W2524" i="16"/>
  <c r="W2540" i="16"/>
  <c r="W3159" i="16"/>
  <c r="W3175" i="16"/>
  <c r="W3191" i="16"/>
  <c r="W3207" i="16"/>
  <c r="W3223" i="16"/>
  <c r="W3239" i="16"/>
  <c r="W3255" i="16"/>
  <c r="W3271" i="16"/>
  <c r="W3287" i="16"/>
  <c r="W3303" i="16"/>
  <c r="W3319" i="16"/>
  <c r="W3335" i="16"/>
  <c r="W3351" i="16"/>
  <c r="W3367" i="16"/>
  <c r="W3383" i="16"/>
  <c r="W3399" i="16"/>
  <c r="W4043" i="16"/>
  <c r="W4075" i="16"/>
  <c r="W4092" i="16"/>
  <c r="W4108" i="16"/>
  <c r="W4124" i="16"/>
  <c r="W4140" i="16"/>
  <c r="W45" i="16"/>
  <c r="W69" i="16"/>
  <c r="W362" i="16"/>
  <c r="W378" i="16"/>
  <c r="W394" i="16"/>
  <c r="W410" i="16"/>
  <c r="W426" i="16"/>
  <c r="W442" i="16"/>
  <c r="W458" i="16"/>
  <c r="W474" i="16"/>
  <c r="W490" i="16"/>
  <c r="W506" i="16"/>
  <c r="W522" i="16"/>
  <c r="W538" i="16"/>
  <c r="W554" i="16"/>
  <c r="W570" i="16"/>
  <c r="W586" i="16"/>
  <c r="W602" i="16"/>
  <c r="W618" i="16"/>
  <c r="W634" i="16"/>
  <c r="W650" i="16"/>
  <c r="W666" i="16"/>
  <c r="W682" i="16"/>
  <c r="W698" i="16"/>
  <c r="W714" i="16"/>
  <c r="W730" i="16"/>
  <c r="W746" i="16"/>
  <c r="W762" i="16"/>
  <c r="W778" i="16"/>
  <c r="W794" i="16"/>
  <c r="W810" i="16"/>
  <c r="W826" i="16"/>
  <c r="W842" i="16"/>
  <c r="W858" i="16"/>
  <c r="W874" i="16"/>
  <c r="W890" i="16"/>
  <c r="W906" i="16"/>
  <c r="W922" i="16"/>
  <c r="W938" i="16"/>
  <c r="W954" i="16"/>
  <c r="W970" i="16"/>
  <c r="W986" i="16"/>
  <c r="W1002" i="16"/>
  <c r="W1018" i="16"/>
  <c r="W1034" i="16"/>
  <c r="W1050" i="16"/>
  <c r="W1066" i="16"/>
  <c r="W1082" i="16"/>
  <c r="W1098" i="16"/>
  <c r="W1114" i="16"/>
  <c r="W1130" i="16"/>
  <c r="W1146" i="16"/>
  <c r="W1162" i="16"/>
  <c r="W1178" i="16"/>
  <c r="W1194" i="16"/>
  <c r="W1210" i="16"/>
  <c r="W1313" i="16"/>
  <c r="W1329" i="16"/>
  <c r="W1345" i="16"/>
  <c r="W1361" i="16"/>
  <c r="W1377" i="16"/>
  <c r="W1393" i="16"/>
  <c r="W1409" i="16"/>
  <c r="W1425" i="16"/>
  <c r="W1441" i="16"/>
  <c r="W1457" i="16"/>
  <c r="W1473" i="16"/>
  <c r="W21" i="16"/>
  <c r="W29" i="16"/>
  <c r="W37" i="16"/>
  <c r="W372" i="16"/>
  <c r="W404" i="16"/>
  <c r="W85" i="16"/>
  <c r="W117" i="16"/>
  <c r="W149" i="16"/>
  <c r="W165" i="16"/>
  <c r="W197" i="16"/>
  <c r="W229" i="16"/>
  <c r="W261" i="16"/>
  <c r="W293" i="16"/>
  <c r="W325" i="16"/>
  <c r="W420" i="16"/>
  <c r="W452" i="16"/>
  <c r="W484" i="16"/>
  <c r="W516" i="16"/>
  <c r="W548" i="16"/>
  <c r="W580" i="16"/>
  <c r="W612" i="16"/>
  <c r="W644" i="16"/>
  <c r="W660" i="16"/>
  <c r="W692" i="16"/>
  <c r="W724" i="16"/>
  <c r="W756" i="16"/>
  <c r="W788" i="16"/>
  <c r="W820" i="16"/>
  <c r="W852" i="16"/>
  <c r="W884" i="16"/>
  <c r="W916" i="16"/>
  <c r="W948" i="16"/>
  <c r="W980" i="16"/>
  <c r="W1012" i="16"/>
  <c r="W1044" i="16"/>
  <c r="W1076" i="16"/>
  <c r="W1108" i="16"/>
  <c r="W1124" i="16"/>
  <c r="W1156" i="16"/>
  <c r="W1188" i="16"/>
  <c r="W1307" i="16"/>
  <c r="W1323" i="16"/>
  <c r="W1355" i="16"/>
  <c r="W1371" i="16"/>
  <c r="W1387" i="16"/>
  <c r="W1403" i="16"/>
  <c r="W1419" i="16"/>
  <c r="W1435" i="16"/>
  <c r="W1451" i="16"/>
  <c r="W1467" i="16"/>
  <c r="W1483" i="16"/>
  <c r="W1499" i="16"/>
  <c r="W1515" i="16"/>
  <c r="W1531" i="16"/>
  <c r="W1547" i="16"/>
  <c r="W1563" i="16"/>
  <c r="W1579" i="16"/>
  <c r="W1595" i="16"/>
  <c r="W1611" i="16"/>
  <c r="W1627" i="16"/>
  <c r="W1643" i="16"/>
  <c r="W1659" i="16"/>
  <c r="W1675" i="16"/>
  <c r="W1707" i="16"/>
  <c r="W1723" i="16"/>
  <c r="W1739" i="16"/>
  <c r="W1755" i="16"/>
  <c r="W1771" i="16"/>
  <c r="W1787" i="16"/>
  <c r="W1803" i="16"/>
  <c r="W1819" i="16"/>
  <c r="W1835" i="16"/>
  <c r="W356" i="16"/>
  <c r="W388" i="16"/>
  <c r="W61" i="16"/>
  <c r="W101" i="16"/>
  <c r="W133" i="16"/>
  <c r="W181" i="16"/>
  <c r="W213" i="16"/>
  <c r="W245" i="16"/>
  <c r="W277" i="16"/>
  <c r="W309" i="16"/>
  <c r="W341" i="16"/>
  <c r="W436" i="16"/>
  <c r="W468" i="16"/>
  <c r="W500" i="16"/>
  <c r="W532" i="16"/>
  <c r="W564" i="16"/>
  <c r="W596" i="16"/>
  <c r="W628" i="16"/>
  <c r="W676" i="16"/>
  <c r="W708" i="16"/>
  <c r="W740" i="16"/>
  <c r="W772" i="16"/>
  <c r="W804" i="16"/>
  <c r="W836" i="16"/>
  <c r="W868" i="16"/>
  <c r="W900" i="16"/>
  <c r="W932" i="16"/>
  <c r="W964" i="16"/>
  <c r="W996" i="16"/>
  <c r="W1028" i="16"/>
  <c r="W1060" i="16"/>
  <c r="W1092" i="16"/>
  <c r="W1140" i="16"/>
  <c r="W1172" i="16"/>
  <c r="W1204" i="16"/>
  <c r="W1339" i="16"/>
  <c r="W1691" i="16"/>
  <c r="W77" i="16"/>
  <c r="W13" i="16"/>
  <c r="W1489" i="16"/>
  <c r="W1505" i="16"/>
  <c r="W1521" i="16"/>
  <c r="W1537" i="16"/>
  <c r="W1553" i="16"/>
  <c r="W1569" i="16"/>
  <c r="W1585" i="16"/>
  <c r="W1601" i="16"/>
  <c r="W1617" i="16"/>
  <c r="W1633" i="16"/>
  <c r="W1649" i="16"/>
  <c r="W1665" i="16"/>
  <c r="W1681" i="16"/>
  <c r="W1697" i="16"/>
  <c r="W1713" i="16"/>
  <c r="W1729" i="16"/>
  <c r="W1745" i="16"/>
  <c r="W1761" i="16"/>
  <c r="W1777" i="16"/>
  <c r="W1793" i="16"/>
  <c r="W1809" i="16"/>
  <c r="W1825" i="16"/>
  <c r="W1841" i="16"/>
  <c r="W2419" i="16"/>
  <c r="W2435" i="16"/>
  <c r="W2451" i="16"/>
  <c r="W2467" i="16"/>
  <c r="W2483" i="16"/>
  <c r="W2499" i="16"/>
  <c r="W2515" i="16"/>
  <c r="W2531" i="16"/>
  <c r="W2553" i="16"/>
  <c r="W2569" i="16"/>
  <c r="W2585" i="16"/>
  <c r="W2601" i="16"/>
  <c r="W2617" i="16"/>
  <c r="W2633" i="16"/>
  <c r="W2649" i="16"/>
  <c r="W2665" i="16"/>
  <c r="W2681" i="16"/>
  <c r="W2697" i="16"/>
  <c r="W2713" i="16"/>
  <c r="W2729" i="16"/>
  <c r="W2745" i="16"/>
  <c r="W2761" i="16"/>
  <c r="W2777" i="16"/>
  <c r="W2793" i="16"/>
  <c r="W2809" i="16"/>
  <c r="W3161" i="16"/>
  <c r="W3177" i="16"/>
  <c r="W3193" i="16"/>
  <c r="W3209" i="16"/>
  <c r="W3225" i="16"/>
  <c r="W3241" i="16"/>
  <c r="W3257" i="16"/>
  <c r="W3273" i="16"/>
  <c r="W3289" i="16"/>
  <c r="W3305" i="16"/>
  <c r="W3321" i="16"/>
  <c r="W3337" i="16"/>
  <c r="W3353" i="16"/>
  <c r="W3369" i="16"/>
  <c r="W3385" i="16"/>
  <c r="W3569" i="16"/>
  <c r="W3585" i="16"/>
  <c r="W3601" i="16"/>
  <c r="W3617" i="16"/>
  <c r="W3633" i="16"/>
  <c r="W3649" i="16"/>
  <c r="W3665" i="16"/>
  <c r="W3681" i="16"/>
  <c r="W3697" i="16"/>
  <c r="W3713" i="16"/>
  <c r="W3729" i="16"/>
  <c r="W3745" i="16"/>
  <c r="W3761" i="16"/>
  <c r="W3777" i="16"/>
  <c r="W3793" i="16"/>
  <c r="W3809" i="16"/>
  <c r="W3825" i="16"/>
  <c r="W3841" i="16"/>
  <c r="W3857" i="16"/>
  <c r="W3873" i="16"/>
  <c r="W3889" i="16"/>
  <c r="W4079" i="16"/>
  <c r="W1845" i="16"/>
  <c r="W2822" i="16"/>
  <c r="W2838" i="16"/>
  <c r="W2854" i="16"/>
  <c r="W2870" i="16"/>
  <c r="W2886" i="16"/>
  <c r="W2902" i="16"/>
  <c r="W2918" i="16"/>
  <c r="W2934" i="16"/>
  <c r="W2950" i="16"/>
  <c r="W2966" i="16"/>
  <c r="W2982" i="16"/>
  <c r="W2998" i="16"/>
  <c r="W3014" i="16"/>
  <c r="W3030" i="16"/>
  <c r="W3046" i="16"/>
  <c r="W3062" i="16"/>
  <c r="W3078" i="16"/>
  <c r="W3094" i="16"/>
  <c r="W3110" i="16"/>
  <c r="W3126" i="16"/>
  <c r="W3142" i="16"/>
  <c r="W4002" i="16"/>
  <c r="W4018" i="16"/>
  <c r="W4034" i="16"/>
  <c r="W4050" i="16"/>
  <c r="W4066" i="16"/>
  <c r="W2425" i="16"/>
  <c r="W3407" i="16"/>
  <c r="W3423" i="16"/>
  <c r="W3439" i="16"/>
  <c r="W3455" i="16"/>
  <c r="W3471" i="16"/>
  <c r="W3487" i="16"/>
  <c r="W3503" i="16"/>
  <c r="W3519" i="16"/>
  <c r="W3535" i="16"/>
  <c r="W3551" i="16"/>
  <c r="W3402" i="16"/>
  <c r="W3418" i="16"/>
  <c r="W3434" i="16"/>
  <c r="W3450" i="16"/>
  <c r="W3466" i="16"/>
  <c r="W3482" i="16"/>
  <c r="W3498" i="16"/>
  <c r="W3514" i="16"/>
  <c r="W3530" i="16"/>
  <c r="W3546" i="16"/>
  <c r="W3562" i="16"/>
  <c r="W3578" i="16"/>
  <c r="W3594" i="16"/>
  <c r="W4091" i="16"/>
  <c r="W4123" i="16"/>
  <c r="W3169" i="16"/>
  <c r="W3185" i="16"/>
  <c r="W3201" i="16"/>
  <c r="W3217" i="16"/>
  <c r="W3233" i="16"/>
  <c r="W3249" i="16"/>
  <c r="W3265" i="16"/>
  <c r="W3281" i="16"/>
  <c r="W3297" i="16"/>
  <c r="W3313" i="16"/>
  <c r="W3329" i="16"/>
  <c r="W3345" i="16"/>
  <c r="W3361" i="16"/>
  <c r="W3377" i="16"/>
  <c r="W3393" i="16"/>
  <c r="W3409" i="16"/>
  <c r="W3425" i="16"/>
  <c r="W3441" i="16"/>
  <c r="W3457" i="16"/>
  <c r="W3473" i="16"/>
  <c r="W3489" i="16"/>
  <c r="W3505" i="16"/>
  <c r="W3521" i="16"/>
  <c r="W3537" i="16"/>
  <c r="W3553" i="16"/>
  <c r="W1869" i="16"/>
  <c r="W1885" i="16"/>
  <c r="W1901" i="16"/>
  <c r="W1917" i="16"/>
  <c r="W1933" i="16"/>
  <c r="W1949" i="16"/>
  <c r="W1965" i="16"/>
  <c r="W1981" i="16"/>
  <c r="W1997" i="16"/>
  <c r="W2013" i="16"/>
  <c r="W2029" i="16"/>
  <c r="W2045" i="16"/>
  <c r="W2061" i="16"/>
  <c r="W2077" i="16"/>
  <c r="W2093" i="16"/>
  <c r="W2109" i="16"/>
  <c r="W2125" i="16"/>
  <c r="W2141" i="16"/>
  <c r="W2157" i="16"/>
  <c r="W2173" i="16"/>
  <c r="W2189" i="16"/>
  <c r="W2205" i="16"/>
  <c r="W2221" i="16"/>
  <c r="W2237" i="16"/>
  <c r="W2253" i="16"/>
  <c r="W2269" i="16"/>
  <c r="W2285" i="16"/>
  <c r="W2301" i="16"/>
  <c r="W2317" i="16"/>
  <c r="W2333" i="16"/>
  <c r="W2349" i="16"/>
  <c r="W2365" i="16"/>
  <c r="W2381" i="16"/>
  <c r="W2397" i="16"/>
  <c r="W2413" i="16"/>
  <c r="W2547" i="16"/>
  <c r="W2563" i="16"/>
  <c r="W2579" i="16"/>
  <c r="W2595" i="16"/>
  <c r="W2611" i="16"/>
  <c r="W2627" i="16"/>
  <c r="W2643" i="16"/>
  <c r="W2659" i="16"/>
  <c r="W2675" i="16"/>
  <c r="W2691" i="16"/>
  <c r="W2707" i="16"/>
  <c r="W2723" i="16"/>
  <c r="W2739" i="16"/>
  <c r="W2755" i="16"/>
  <c r="W2771" i="16"/>
  <c r="W2787" i="16"/>
  <c r="W2803" i="16"/>
  <c r="W3611" i="16"/>
  <c r="W3627" i="16"/>
  <c r="W3643" i="16"/>
  <c r="W3659" i="16"/>
  <c r="W3675" i="16"/>
  <c r="W3691" i="16"/>
  <c r="W3707" i="16"/>
  <c r="W3723" i="16"/>
  <c r="W3739" i="16"/>
  <c r="W3755" i="16"/>
  <c r="W3771" i="16"/>
  <c r="W3787" i="16"/>
  <c r="W3803" i="16"/>
  <c r="W3819" i="16"/>
  <c r="W3835" i="16"/>
  <c r="W3851" i="16"/>
  <c r="W3867" i="16"/>
  <c r="W3883" i="16"/>
  <c r="W3899" i="16"/>
  <c r="W4099" i="16"/>
  <c r="W4131" i="16"/>
  <c r="W1853" i="16"/>
  <c r="W2426" i="16"/>
  <c r="W2830" i="16"/>
  <c r="W2846" i="16"/>
  <c r="W2862" i="16"/>
  <c r="W2878" i="16"/>
  <c r="W2894" i="16"/>
  <c r="W2910" i="16"/>
  <c r="W2926" i="16"/>
  <c r="W2942" i="16"/>
  <c r="W2958" i="16"/>
  <c r="W2974" i="16"/>
  <c r="W2990" i="16"/>
  <c r="W3006" i="16"/>
  <c r="W3022" i="16"/>
  <c r="W3038" i="16"/>
  <c r="W3054" i="16"/>
  <c r="W3070" i="16"/>
  <c r="W3086" i="16"/>
  <c r="W3102" i="16"/>
  <c r="W3118" i="16"/>
  <c r="W3134" i="16"/>
  <c r="W3150" i="16"/>
  <c r="W4010" i="16"/>
  <c r="W4026" i="16"/>
  <c r="W4042" i="16"/>
  <c r="W4058" i="16"/>
  <c r="W4074" i="16"/>
  <c r="W2209" i="16"/>
  <c r="W2225" i="16"/>
  <c r="W2241" i="16"/>
  <c r="W2257" i="16"/>
  <c r="W2273" i="16"/>
  <c r="W2289" i="16"/>
  <c r="W2305" i="16"/>
  <c r="W2321" i="16"/>
  <c r="W2337" i="16"/>
  <c r="W2353" i="16"/>
  <c r="W2369" i="16"/>
  <c r="W2385" i="16"/>
  <c r="W2401" i="16"/>
  <c r="W3567" i="16"/>
  <c r="W3583" i="16"/>
  <c r="W4107" i="16"/>
  <c r="W4139" i="16"/>
  <c r="W782" i="16"/>
  <c r="W798" i="16"/>
  <c r="W814" i="16"/>
  <c r="W830" i="16"/>
  <c r="W846" i="16"/>
  <c r="W862" i="16"/>
  <c r="W878" i="16"/>
  <c r="W894" i="16"/>
  <c r="W910" i="16"/>
  <c r="W926" i="16"/>
  <c r="W942" i="16"/>
  <c r="W958" i="16"/>
  <c r="W974" i="16"/>
  <c r="W990" i="16"/>
  <c r="W1006" i="16"/>
  <c r="W1022" i="16"/>
  <c r="W1038" i="16"/>
  <c r="W1054" i="16"/>
  <c r="W1070" i="16"/>
  <c r="W1086" i="16"/>
  <c r="W1102" i="16"/>
  <c r="W1118" i="16"/>
  <c r="W1134" i="16"/>
  <c r="W1150" i="16"/>
  <c r="W1166" i="16"/>
  <c r="W1182" i="16"/>
  <c r="W1198" i="16"/>
  <c r="W1301" i="16"/>
  <c r="W1317" i="16"/>
  <c r="W1333" i="16"/>
  <c r="W1349" i="16"/>
  <c r="W1365" i="16"/>
  <c r="W1381" i="16"/>
  <c r="W1397" i="16"/>
  <c r="W1413" i="16"/>
  <c r="W1429" i="16"/>
  <c r="W1445" i="16"/>
  <c r="W1461" i="16"/>
  <c r="W1477" i="16"/>
  <c r="W1493" i="16"/>
  <c r="W1509" i="16"/>
  <c r="W1525" i="16"/>
  <c r="W1541" i="16"/>
  <c r="W1557" i="16"/>
  <c r="W1573" i="16"/>
  <c r="W1589" i="16"/>
  <c r="W1605" i="16"/>
  <c r="W1621" i="16"/>
  <c r="W1637" i="16"/>
  <c r="W1653" i="16"/>
  <c r="W1669" i="16"/>
  <c r="W2429" i="16"/>
  <c r="W2445" i="16"/>
  <c r="W2461" i="16"/>
  <c r="W2477" i="16"/>
  <c r="W2493" i="16"/>
  <c r="W2509" i="16"/>
  <c r="W2525" i="16"/>
  <c r="W2541" i="16"/>
  <c r="W3411" i="16"/>
  <c r="W3427" i="16"/>
  <c r="W3443" i="16"/>
  <c r="W3459" i="16"/>
  <c r="W3475" i="16"/>
  <c r="W3491" i="16"/>
  <c r="W3507" i="16"/>
  <c r="W3523" i="16"/>
  <c r="W3539" i="16"/>
  <c r="W3555" i="16"/>
  <c r="W774" i="16"/>
  <c r="W790" i="16"/>
  <c r="W806" i="16"/>
  <c r="W822" i="16"/>
  <c r="W838" i="16"/>
  <c r="W854" i="16"/>
  <c r="W870" i="16"/>
  <c r="W886" i="16"/>
  <c r="W902" i="16"/>
  <c r="W918" i="16"/>
  <c r="W934" i="16"/>
  <c r="W950" i="16"/>
  <c r="W966" i="16"/>
  <c r="W982" i="16"/>
  <c r="W998" i="16"/>
  <c r="W1014" i="16"/>
  <c r="W1030" i="16"/>
  <c r="W1046" i="16"/>
  <c r="W1062" i="16"/>
  <c r="W1078" i="16"/>
  <c r="W1094" i="16"/>
  <c r="W1110" i="16"/>
  <c r="W1126" i="16"/>
  <c r="W1142" i="16"/>
  <c r="W1158" i="16"/>
  <c r="W1174" i="16"/>
  <c r="W1190" i="16"/>
  <c r="W1206" i="16"/>
  <c r="W1309" i="16"/>
  <c r="W1325" i="16"/>
  <c r="W1341" i="16"/>
  <c r="W1357" i="16"/>
  <c r="W1373" i="16"/>
  <c r="W1389" i="16"/>
  <c r="W1405" i="16"/>
  <c r="W1421" i="16"/>
  <c r="W1437" i="16"/>
  <c r="W1453" i="16"/>
  <c r="W1469" i="16"/>
  <c r="W1485" i="16"/>
  <c r="W1501" i="16"/>
  <c r="W1517" i="16"/>
  <c r="W1533" i="16"/>
  <c r="W1549" i="16"/>
  <c r="W1565" i="16"/>
  <c r="W1581" i="16"/>
  <c r="W1597" i="16"/>
  <c r="W1613" i="16"/>
  <c r="W1629" i="16"/>
  <c r="W1645" i="16"/>
  <c r="W1661" i="16"/>
  <c r="W1855" i="16"/>
  <c r="W1859" i="16"/>
  <c r="W1875" i="16"/>
  <c r="W1891" i="16"/>
  <c r="W1907" i="16"/>
  <c r="W1923" i="16"/>
  <c r="W1939" i="16"/>
  <c r="W1955" i="16"/>
  <c r="W1971" i="16"/>
  <c r="W1987" i="16"/>
  <c r="W2003" i="16"/>
  <c r="W2019" i="16"/>
  <c r="W2035" i="16"/>
  <c r="W2051" i="16"/>
  <c r="W2067" i="16"/>
  <c r="W2083" i="16"/>
  <c r="W2099" i="16"/>
  <c r="W2115" i="16"/>
  <c r="W2131" i="16"/>
  <c r="W2147" i="16"/>
  <c r="W2163" i="16"/>
  <c r="W2179" i="16"/>
  <c r="W2195" i="16"/>
  <c r="W2211" i="16"/>
  <c r="W2227" i="16"/>
  <c r="W2243" i="16"/>
  <c r="W2259" i="16"/>
  <c r="W2275" i="16"/>
  <c r="W2291" i="16"/>
  <c r="W2307" i="16"/>
  <c r="W2323" i="16"/>
  <c r="W2339" i="16"/>
  <c r="W2355" i="16"/>
  <c r="W2371" i="16"/>
  <c r="W2387" i="16"/>
  <c r="W2403" i="16"/>
  <c r="W3907" i="16"/>
  <c r="W3923" i="16"/>
  <c r="W3939" i="16"/>
  <c r="W3955" i="16"/>
  <c r="W3971" i="16"/>
  <c r="W3987" i="16"/>
  <c r="W4109" i="16"/>
  <c r="W4141" i="16"/>
  <c r="W2437" i="16"/>
  <c r="W2453" i="16"/>
  <c r="W2469" i="16"/>
  <c r="W2485" i="16"/>
  <c r="W2501" i="16"/>
  <c r="W2517" i="16"/>
  <c r="W2533" i="16"/>
  <c r="W2555" i="16"/>
  <c r="W2571" i="16"/>
  <c r="W2587" i="16"/>
  <c r="W2603" i="16"/>
  <c r="W2619" i="16"/>
  <c r="W2635" i="16"/>
  <c r="W2651" i="16"/>
  <c r="W2667" i="16"/>
  <c r="W2683" i="16"/>
  <c r="W2699" i="16"/>
  <c r="W2715" i="16"/>
  <c r="W2731" i="16"/>
  <c r="W2747" i="16"/>
  <c r="W2763" i="16"/>
  <c r="W2779" i="16"/>
  <c r="W2795" i="16"/>
  <c r="W2811" i="16"/>
  <c r="W3571" i="16"/>
  <c r="W3587" i="16"/>
  <c r="W3603" i="16"/>
  <c r="W3619" i="16"/>
  <c r="W3635" i="16"/>
  <c r="W3651" i="16"/>
  <c r="W3667" i="16"/>
  <c r="W3683" i="16"/>
  <c r="W3699" i="16"/>
  <c r="W3715" i="16"/>
  <c r="W3731" i="16"/>
  <c r="W3747" i="16"/>
  <c r="W3763" i="16"/>
  <c r="W3779" i="16"/>
  <c r="W3795" i="16"/>
  <c r="W3811" i="16"/>
  <c r="W3827" i="16"/>
  <c r="W3843" i="16"/>
  <c r="W3859" i="16"/>
  <c r="W3875" i="16"/>
  <c r="W3891" i="16"/>
  <c r="W3909" i="16"/>
  <c r="W3925" i="16"/>
  <c r="W3941" i="16"/>
  <c r="W3957" i="16"/>
  <c r="W3973" i="16"/>
  <c r="W3989" i="16"/>
  <c r="W1685" i="16"/>
  <c r="W1701" i="16"/>
  <c r="W1717" i="16"/>
  <c r="W1733" i="16"/>
  <c r="W1749" i="16"/>
  <c r="W1765" i="16"/>
  <c r="W1781" i="16"/>
  <c r="W1797" i="16"/>
  <c r="W1813" i="16"/>
  <c r="W1829" i="16"/>
  <c r="W1863" i="16"/>
  <c r="W1879" i="16"/>
  <c r="W1895" i="16"/>
  <c r="W1911" i="16"/>
  <c r="W1927" i="16"/>
  <c r="W1943" i="16"/>
  <c r="W1959" i="16"/>
  <c r="W1975" i="16"/>
  <c r="W1991" i="16"/>
  <c r="W2007" i="16"/>
  <c r="W2023" i="16"/>
  <c r="W2039" i="16"/>
  <c r="W2055" i="16"/>
  <c r="W2071" i="16"/>
  <c r="W2087" i="16"/>
  <c r="W2103" i="16"/>
  <c r="W2119" i="16"/>
  <c r="W2135" i="16"/>
  <c r="W2151" i="16"/>
  <c r="W2167" i="16"/>
  <c r="W2183" i="16"/>
  <c r="W2199" i="16"/>
  <c r="W2215" i="16"/>
  <c r="W2231" i="16"/>
  <c r="W2247" i="16"/>
  <c r="W2263" i="16"/>
  <c r="W2279" i="16"/>
  <c r="W2295" i="16"/>
  <c r="W2311" i="16"/>
  <c r="W2327" i="16"/>
  <c r="W2343" i="16"/>
  <c r="W2359" i="16"/>
  <c r="W2375" i="16"/>
  <c r="W2391" i="16"/>
  <c r="W2407" i="16"/>
  <c r="W2423" i="16"/>
  <c r="W2557" i="16"/>
  <c r="W2573" i="16"/>
  <c r="W2589" i="16"/>
  <c r="W2605" i="16"/>
  <c r="W2621" i="16"/>
  <c r="W2637" i="16"/>
  <c r="W2653" i="16"/>
  <c r="W2669" i="16"/>
  <c r="W2685" i="16"/>
  <c r="W2701" i="16"/>
  <c r="W2717" i="16"/>
  <c r="W2733" i="16"/>
  <c r="W2749" i="16"/>
  <c r="W2765" i="16"/>
  <c r="W2781" i="16"/>
  <c r="W2797" i="16"/>
  <c r="W2813" i="16"/>
  <c r="W3605" i="16"/>
  <c r="W3621" i="16"/>
  <c r="W3637" i="16"/>
  <c r="W3653" i="16"/>
  <c r="W3669" i="16"/>
  <c r="W3685" i="16"/>
  <c r="W3701" i="16"/>
  <c r="W3717" i="16"/>
  <c r="W3733" i="16"/>
  <c r="W3749" i="16"/>
  <c r="W3765" i="16"/>
  <c r="W3781" i="16"/>
  <c r="W3797" i="16"/>
  <c r="W3813" i="16"/>
  <c r="W3829" i="16"/>
  <c r="W3845" i="16"/>
  <c r="W3861" i="16"/>
  <c r="W3877" i="16"/>
  <c r="W3893" i="16"/>
  <c r="W4085" i="16"/>
  <c r="W4117" i="16"/>
  <c r="W2443" i="16"/>
  <c r="W2459" i="16"/>
  <c r="W2475" i="16"/>
  <c r="W2491" i="16"/>
  <c r="W2507" i="16"/>
  <c r="W2523" i="16"/>
  <c r="W2539" i="16"/>
  <c r="W3915" i="16"/>
  <c r="W3931" i="16"/>
  <c r="W3947" i="16"/>
  <c r="W3963" i="16"/>
  <c r="W3979" i="16"/>
  <c r="W4093" i="16"/>
  <c r="W4125" i="16"/>
  <c r="W3901" i="16"/>
  <c r="W3917" i="16"/>
  <c r="W3933" i="16"/>
  <c r="W3949" i="16"/>
  <c r="W3965" i="16"/>
  <c r="W3981" i="16"/>
  <c r="W1677" i="16"/>
  <c r="W1693" i="16"/>
  <c r="W1709" i="16"/>
  <c r="W1725" i="16"/>
  <c r="W1741" i="16"/>
  <c r="W1757" i="16"/>
  <c r="W1773" i="16"/>
  <c r="W1789" i="16"/>
  <c r="W1805" i="16"/>
  <c r="W1821" i="16"/>
  <c r="W1837" i="16"/>
  <c r="W1871" i="16"/>
  <c r="W1887" i="16"/>
  <c r="W1903" i="16"/>
  <c r="W1919" i="16"/>
  <c r="W1935" i="16"/>
  <c r="W1951" i="16"/>
  <c r="W1967" i="16"/>
  <c r="W1983" i="16"/>
  <c r="W1999" i="16"/>
  <c r="W2015" i="16"/>
  <c r="W2031" i="16"/>
  <c r="W2047" i="16"/>
  <c r="W2063" i="16"/>
  <c r="W2079" i="16"/>
  <c r="W2095" i="16"/>
  <c r="W2111" i="16"/>
  <c r="W2127" i="16"/>
  <c r="W2143" i="16"/>
  <c r="W2159" i="16"/>
  <c r="W2175" i="16"/>
  <c r="W2191" i="16"/>
  <c r="W2207" i="16"/>
  <c r="W2223" i="16"/>
  <c r="W2239" i="16"/>
  <c r="W2255" i="16"/>
  <c r="W2271" i="16"/>
  <c r="W2287" i="16"/>
  <c r="W2303" i="16"/>
  <c r="W2319" i="16"/>
  <c r="W2335" i="16"/>
  <c r="W2351" i="16"/>
  <c r="W2367" i="16"/>
  <c r="W2383" i="16"/>
  <c r="W2399" i="16"/>
  <c r="W2415" i="16"/>
  <c r="W2549" i="16"/>
  <c r="W2565" i="16"/>
  <c r="W2581" i="16"/>
  <c r="W2597" i="16"/>
  <c r="W2613" i="16"/>
  <c r="W2629" i="16"/>
  <c r="W2645" i="16"/>
  <c r="W2661" i="16"/>
  <c r="W2677" i="16"/>
  <c r="W2693" i="16"/>
  <c r="W2709" i="16"/>
  <c r="W2725" i="16"/>
  <c r="W2741" i="16"/>
  <c r="W2757" i="16"/>
  <c r="W2773" i="16"/>
  <c r="W2789" i="16"/>
  <c r="W2805" i="16"/>
  <c r="W3597" i="16"/>
  <c r="W3613" i="16"/>
  <c r="W3629" i="16"/>
  <c r="W3645" i="16"/>
  <c r="W3661" i="16"/>
  <c r="W3677" i="16"/>
  <c r="W3693" i="16"/>
  <c r="W3709" i="16"/>
  <c r="W3725" i="16"/>
  <c r="W3741" i="16"/>
  <c r="W3757" i="16"/>
  <c r="W3773" i="16"/>
  <c r="W3789" i="16"/>
  <c r="W3805" i="16"/>
  <c r="W3821" i="16"/>
  <c r="W3837" i="16"/>
  <c r="W3853" i="16"/>
  <c r="W3869" i="16"/>
  <c r="W3885" i="16"/>
  <c r="W4101" i="16"/>
  <c r="W4133" i="16"/>
  <c r="W2816" i="16"/>
  <c r="W2832" i="16"/>
  <c r="W2848" i="16"/>
  <c r="W2864" i="16"/>
  <c r="W2880" i="16"/>
  <c r="W2896" i="16"/>
  <c r="W2912" i="16"/>
  <c r="W2928" i="16"/>
  <c r="W2944" i="16"/>
  <c r="W2960" i="16"/>
  <c r="W2976" i="16"/>
  <c r="W2992" i="16"/>
  <c r="W3008" i="16"/>
  <c r="W3024" i="16"/>
  <c r="W3040" i="16"/>
  <c r="W3056" i="16"/>
  <c r="W3072" i="16"/>
  <c r="W3088" i="16"/>
  <c r="W3104" i="16"/>
  <c r="W3120" i="16"/>
  <c r="W3136" i="16"/>
  <c r="W3152" i="16"/>
  <c r="W2823" i="16"/>
  <c r="W2839" i="16"/>
  <c r="W2855" i="16"/>
  <c r="W2871" i="16"/>
  <c r="W2887" i="16"/>
  <c r="W2903" i="16"/>
  <c r="W2919" i="16"/>
  <c r="W2935" i="16"/>
  <c r="W2951" i="16"/>
  <c r="W2967" i="16"/>
  <c r="W2983" i="16"/>
  <c r="W2999" i="16"/>
  <c r="W3015" i="16"/>
  <c r="W3031" i="16"/>
  <c r="W3047" i="16"/>
  <c r="W3063" i="16"/>
  <c r="W3079" i="16"/>
  <c r="W3095" i="16"/>
  <c r="W3111" i="16"/>
  <c r="W3127" i="16"/>
  <c r="W3143" i="16"/>
  <c r="W4011" i="16"/>
  <c r="W3996" i="16"/>
  <c r="W4012" i="16"/>
  <c r="W4028" i="16"/>
  <c r="W4044" i="16"/>
  <c r="W4060" i="16"/>
  <c r="W4076" i="16"/>
  <c r="W12" i="16"/>
  <c r="W28" i="16"/>
  <c r="W44" i="16"/>
  <c r="W60" i="16"/>
  <c r="W76" i="16"/>
  <c r="W92" i="16"/>
  <c r="W108" i="16"/>
  <c r="W124" i="16"/>
  <c r="W140" i="16"/>
  <c r="W156" i="16"/>
  <c r="W172" i="16"/>
  <c r="W188" i="16"/>
  <c r="W204" i="16"/>
  <c r="W220" i="16"/>
  <c r="W236" i="16"/>
  <c r="W268" i="16"/>
  <c r="W284" i="16"/>
  <c r="W300" i="16"/>
  <c r="W316" i="16"/>
  <c r="W332" i="16"/>
  <c r="W348" i="16"/>
  <c r="W1856" i="16"/>
  <c r="W1872" i="16"/>
  <c r="W1888" i="16"/>
  <c r="W1904" i="16"/>
  <c r="W1920" i="16"/>
  <c r="W1936" i="16"/>
  <c r="W1952" i="16"/>
  <c r="W1968" i="16"/>
  <c r="W1984" i="16"/>
  <c r="W2000" i="16"/>
  <c r="W2016" i="16"/>
  <c r="W2032" i="16"/>
  <c r="W2048" i="16"/>
  <c r="W2064" i="16"/>
  <c r="W2080" i="16"/>
  <c r="W2096" i="16"/>
  <c r="W2112" i="16"/>
  <c r="W2128" i="16"/>
  <c r="W2144" i="16"/>
  <c r="W2160" i="16"/>
  <c r="W2176" i="16"/>
  <c r="W2192" i="16"/>
  <c r="W2208" i="16"/>
  <c r="W2224" i="16"/>
  <c r="W2240" i="16"/>
  <c r="W2256" i="16"/>
  <c r="W2272" i="16"/>
  <c r="W2288" i="16"/>
  <c r="W2304" i="16"/>
  <c r="W2320" i="16"/>
  <c r="W2336" i="16"/>
  <c r="W2352" i="16"/>
  <c r="W2368" i="16"/>
  <c r="W2384" i="16"/>
  <c r="W2400" i="16"/>
  <c r="W2416" i="16"/>
  <c r="W4017" i="16"/>
  <c r="W4049" i="16"/>
  <c r="W3224" i="16"/>
  <c r="W3240" i="16"/>
  <c r="W3256" i="16"/>
  <c r="W3272" i="16"/>
  <c r="W3288" i="16"/>
  <c r="W3304" i="16"/>
  <c r="W3320" i="16"/>
  <c r="W3336" i="16"/>
  <c r="W3352" i="16"/>
  <c r="W3368" i="16"/>
  <c r="W3384" i="16"/>
  <c r="W3160" i="16"/>
  <c r="W3176" i="16"/>
  <c r="W3192" i="16"/>
  <c r="W3208" i="16"/>
  <c r="W2817" i="16"/>
  <c r="W2833" i="16"/>
  <c r="W2849" i="16"/>
  <c r="W2865" i="16"/>
  <c r="W2881" i="16"/>
  <c r="W2897" i="16"/>
  <c r="W2913" i="16"/>
  <c r="W2929" i="16"/>
  <c r="W2945" i="16"/>
  <c r="W2961" i="16"/>
  <c r="W2977" i="16"/>
  <c r="W2993" i="16"/>
  <c r="W3009" i="16"/>
  <c r="W3025" i="16"/>
  <c r="W3041" i="16"/>
  <c r="W3057" i="16"/>
  <c r="W3073" i="16"/>
  <c r="W3089" i="16"/>
  <c r="W3105" i="16"/>
  <c r="W3121" i="16"/>
  <c r="W3137" i="16"/>
  <c r="W3153" i="16"/>
  <c r="W1848" i="16"/>
  <c r="W1864" i="16"/>
  <c r="W1880" i="16"/>
  <c r="W1896" i="16"/>
  <c r="W1912" i="16"/>
  <c r="W1928" i="16"/>
  <c r="W1944" i="16"/>
  <c r="W1960" i="16"/>
  <c r="W1976" i="16"/>
  <c r="W1992" i="16"/>
  <c r="W2008" i="16"/>
  <c r="W2024" i="16"/>
  <c r="W2040" i="16"/>
  <c r="W2056" i="16"/>
  <c r="W2072" i="16"/>
  <c r="W2088" i="16"/>
  <c r="W2104" i="16"/>
  <c r="W2120" i="16"/>
  <c r="W2136" i="16"/>
  <c r="W2152" i="16"/>
  <c r="W2168" i="16"/>
  <c r="W2184" i="16"/>
  <c r="W2200" i="16"/>
  <c r="W2216" i="16"/>
  <c r="W2232" i="16"/>
  <c r="W2248" i="16"/>
  <c r="W2264" i="16"/>
  <c r="W2280" i="16"/>
  <c r="W2296" i="16"/>
  <c r="W2312" i="16"/>
  <c r="W2328" i="16"/>
  <c r="W2344" i="16"/>
  <c r="W2360" i="16"/>
  <c r="W2376" i="16"/>
  <c r="W2392" i="16"/>
  <c r="W2408" i="16"/>
  <c r="W41" i="16"/>
  <c r="W65" i="16"/>
  <c r="W3232" i="16"/>
  <c r="W3248" i="16"/>
  <c r="W3264" i="16"/>
  <c r="W3280" i="16"/>
  <c r="W3296" i="16"/>
  <c r="W3312" i="16"/>
  <c r="W3328" i="16"/>
  <c r="W3344" i="16"/>
  <c r="W3360" i="16"/>
  <c r="W3376" i="16"/>
  <c r="W3392" i="16"/>
  <c r="W3408" i="16"/>
  <c r="W3424" i="16"/>
  <c r="W3440" i="16"/>
  <c r="W3456" i="16"/>
  <c r="W3472" i="16"/>
  <c r="W3488" i="16"/>
  <c r="W3504" i="16"/>
  <c r="W3520" i="16"/>
  <c r="W3536" i="16"/>
  <c r="W3552" i="16"/>
  <c r="W3568" i="16"/>
  <c r="W3584" i="16"/>
  <c r="W3994" i="16"/>
  <c r="W4090" i="16"/>
  <c r="W4106" i="16"/>
  <c r="W4122" i="16"/>
  <c r="W4138" i="16"/>
  <c r="W201" i="16"/>
  <c r="W217" i="16"/>
  <c r="W233" i="16"/>
  <c r="W249" i="16"/>
  <c r="W265" i="16"/>
  <c r="W281" i="16"/>
  <c r="W297" i="16"/>
  <c r="W313" i="16"/>
  <c r="W329" i="16"/>
  <c r="W345" i="16"/>
  <c r="W361" i="16"/>
  <c r="W377" i="16"/>
  <c r="W393" i="16"/>
  <c r="W2544" i="16"/>
  <c r="W2560" i="16"/>
  <c r="W2576" i="16"/>
  <c r="W2592" i="16"/>
  <c r="W2608" i="16"/>
  <c r="W2624" i="16"/>
  <c r="W2640" i="16"/>
  <c r="W2656" i="16"/>
  <c r="W2672" i="16"/>
  <c r="W2688" i="16"/>
  <c r="W2704" i="16"/>
  <c r="W2720" i="16"/>
  <c r="W2736" i="16"/>
  <c r="W2752" i="16"/>
  <c r="W2768" i="16"/>
  <c r="W2784" i="16"/>
  <c r="W2800" i="16"/>
  <c r="W3168" i="16"/>
  <c r="W3184" i="16"/>
  <c r="W3200" i="16"/>
  <c r="W3216" i="16"/>
  <c r="W366" i="16"/>
  <c r="W382" i="16"/>
  <c r="W398" i="16"/>
  <c r="W414" i="16"/>
  <c r="W430" i="16"/>
  <c r="W446" i="16"/>
  <c r="W462" i="16"/>
  <c r="W478" i="16"/>
  <c r="W494" i="16"/>
  <c r="W510" i="16"/>
  <c r="W526" i="16"/>
  <c r="W542" i="16"/>
  <c r="W558" i="16"/>
  <c r="W574" i="16"/>
  <c r="W590" i="16"/>
  <c r="W606" i="16"/>
  <c r="W622" i="16"/>
  <c r="W638" i="16"/>
  <c r="W654" i="16"/>
  <c r="W670" i="16"/>
  <c r="W686" i="16"/>
  <c r="W702" i="16"/>
  <c r="W718" i="16"/>
  <c r="W734" i="16"/>
  <c r="W750" i="16"/>
  <c r="W766" i="16"/>
  <c r="W358" i="16"/>
  <c r="W374" i="16"/>
  <c r="W390" i="16"/>
  <c r="W406" i="16"/>
  <c r="W422" i="16"/>
  <c r="W438" i="16"/>
  <c r="W454" i="16"/>
  <c r="W470" i="16"/>
  <c r="W486" i="16"/>
  <c r="W502" i="16"/>
  <c r="W518" i="16"/>
  <c r="W534" i="16"/>
  <c r="W550" i="16"/>
  <c r="W566" i="16"/>
  <c r="W582" i="16"/>
  <c r="W598" i="16"/>
  <c r="W614" i="16"/>
  <c r="W630" i="16"/>
  <c r="W646" i="16"/>
  <c r="W662" i="16"/>
  <c r="W678" i="16"/>
  <c r="W694" i="16"/>
  <c r="W710" i="16"/>
  <c r="W726" i="16"/>
  <c r="W742" i="16"/>
  <c r="W758" i="16"/>
  <c r="W487" i="16"/>
  <c r="W503" i="16"/>
  <c r="W519" i="16"/>
  <c r="W535" i="16"/>
  <c r="W551" i="16"/>
  <c r="W567" i="16"/>
  <c r="W583" i="16"/>
  <c r="W599" i="16"/>
  <c r="W615" i="16"/>
  <c r="W631" i="16"/>
  <c r="W647" i="16"/>
  <c r="W663" i="16"/>
  <c r="W679" i="16"/>
  <c r="W695" i="16"/>
  <c r="W711" i="16"/>
  <c r="W727" i="16"/>
  <c r="W743" i="16"/>
  <c r="W759" i="16"/>
  <c r="W775" i="16"/>
  <c r="W791" i="16"/>
  <c r="W807" i="16"/>
  <c r="W823" i="16"/>
  <c r="W839" i="16"/>
  <c r="W855" i="16"/>
  <c r="W871" i="16"/>
  <c r="W887" i="16"/>
  <c r="W903" i="16"/>
  <c r="W919" i="16"/>
  <c r="W935" i="16"/>
  <c r="W951" i="16"/>
  <c r="W967" i="16"/>
  <c r="W983" i="16"/>
  <c r="W999" i="16"/>
  <c r="W1015" i="16"/>
  <c r="W1031" i="16"/>
  <c r="W1047" i="16"/>
  <c r="W1063" i="16"/>
  <c r="W1079" i="16"/>
  <c r="W1095" i="16"/>
  <c r="W1111" i="16"/>
  <c r="W1127" i="16"/>
  <c r="W1143" i="16"/>
  <c r="W271" i="16"/>
  <c r="W287" i="16"/>
  <c r="W303" i="16"/>
  <c r="W319" i="16"/>
  <c r="W335" i="16"/>
  <c r="W351" i="16"/>
  <c r="W263" i="16"/>
  <c r="W279" i="16"/>
  <c r="W295" i="16"/>
  <c r="W311" i="16"/>
  <c r="W327" i="16"/>
  <c r="W343" i="16"/>
  <c r="W1159" i="16"/>
  <c r="W1175" i="16"/>
  <c r="W1191" i="16"/>
  <c r="W1207" i="16"/>
  <c r="W1310" i="16"/>
  <c r="W1326" i="16"/>
  <c r="W1342" i="16"/>
  <c r="W1358" i="16"/>
  <c r="W1374" i="16"/>
  <c r="W1390" i="16"/>
  <c r="W1406" i="16"/>
  <c r="W1422" i="16"/>
  <c r="W1438" i="16"/>
  <c r="W1454" i="16"/>
  <c r="W1470" i="16"/>
  <c r="W1486" i="16"/>
  <c r="W1502" i="16"/>
  <c r="W1518" i="16"/>
  <c r="W1534" i="16"/>
  <c r="W1550" i="16"/>
  <c r="W1566" i="16"/>
  <c r="W1582" i="16"/>
  <c r="W1598" i="16"/>
  <c r="W1614" i="16"/>
  <c r="W1630" i="16"/>
  <c r="W1646" i="16"/>
  <c r="W1662" i="16"/>
  <c r="W1678" i="16"/>
  <c r="W1694" i="16"/>
  <c r="W1710" i="16"/>
  <c r="W1726" i="16"/>
  <c r="W1742" i="16"/>
  <c r="W1758" i="16"/>
  <c r="W1774" i="16"/>
  <c r="W1790" i="16"/>
  <c r="W1806" i="16"/>
  <c r="W1822" i="16"/>
  <c r="W1838" i="16"/>
  <c r="W1854" i="16"/>
  <c r="W1870" i="16"/>
  <c r="W1886" i="16"/>
  <c r="W1902" i="16"/>
  <c r="W1918" i="16"/>
  <c r="W1934" i="16"/>
  <c r="W1950" i="16"/>
  <c r="W1966" i="16"/>
  <c r="W1982" i="16"/>
  <c r="W1998" i="16"/>
  <c r="W2014" i="16"/>
  <c r="W2030" i="16"/>
  <c r="W2046" i="16"/>
  <c r="W2062" i="16"/>
  <c r="W2078" i="16"/>
  <c r="W2094" i="16"/>
  <c r="W2110" i="16"/>
  <c r="W2126" i="16"/>
  <c r="W2142" i="16"/>
  <c r="W2158" i="16"/>
  <c r="W2174" i="16"/>
  <c r="W2190" i="16"/>
  <c r="W2206" i="16"/>
  <c r="W2222" i="16"/>
  <c r="W2238" i="16"/>
  <c r="W2254" i="16"/>
  <c r="W2270" i="16"/>
  <c r="W2286" i="16"/>
  <c r="W2302" i="16"/>
  <c r="W2318" i="16"/>
  <c r="W2334" i="16"/>
  <c r="W2350" i="16"/>
  <c r="W2366" i="16"/>
  <c r="W2382" i="16"/>
  <c r="W2398" i="16"/>
  <c r="W2414" i="16"/>
  <c r="W2430" i="16"/>
  <c r="W2446" i="16"/>
  <c r="W2462" i="16"/>
  <c r="W2478" i="16"/>
  <c r="W2494" i="16"/>
  <c r="W2510" i="16"/>
  <c r="W2526" i="16"/>
  <c r="W4094" i="16"/>
  <c r="W4110" i="16"/>
  <c r="W4126" i="16"/>
  <c r="W4142" i="16"/>
  <c r="W3238" i="16"/>
  <c r="W3254" i="16"/>
  <c r="W3270" i="16"/>
  <c r="W3286" i="16"/>
  <c r="W3302" i="16"/>
  <c r="W3318" i="16"/>
  <c r="W3334" i="16"/>
  <c r="W3350" i="16"/>
  <c r="W3366" i="16"/>
  <c r="W3382" i="16"/>
  <c r="W3398" i="16"/>
  <c r="W3606" i="16"/>
  <c r="W3622" i="16"/>
  <c r="W3638" i="16"/>
  <c r="W3654" i="16"/>
  <c r="W3670" i="16"/>
  <c r="W3686" i="16"/>
  <c r="W3702" i="16"/>
  <c r="W3718" i="16"/>
  <c r="W3734" i="16"/>
  <c r="W3750" i="16"/>
  <c r="W3766" i="16"/>
  <c r="W3782" i="16"/>
  <c r="W3798" i="16"/>
  <c r="W3814" i="16"/>
  <c r="W3830" i="16"/>
  <c r="W3846" i="16"/>
  <c r="W3862" i="16"/>
  <c r="W3878" i="16"/>
  <c r="W3894" i="16"/>
  <c r="W3910" i="16"/>
  <c r="W3926" i="16"/>
  <c r="W3942" i="16"/>
  <c r="W3958" i="16"/>
  <c r="W3974" i="16"/>
  <c r="W3990" i="16"/>
  <c r="W2550" i="16"/>
  <c r="W2566" i="16"/>
  <c r="W2582" i="16"/>
  <c r="W2598" i="16"/>
  <c r="W2614" i="16"/>
  <c r="W2630" i="16"/>
  <c r="W2646" i="16"/>
  <c r="W2662" i="16"/>
  <c r="W2678" i="16"/>
  <c r="W2694" i="16"/>
  <c r="W2710" i="16"/>
  <c r="W2726" i="16"/>
  <c r="W2742" i="16"/>
  <c r="W2758" i="16"/>
  <c r="W2774" i="16"/>
  <c r="W2790" i="16"/>
  <c r="W2806" i="16"/>
  <c r="W3158" i="16"/>
  <c r="W3174" i="16"/>
  <c r="W3190" i="16"/>
  <c r="W3206" i="16"/>
  <c r="W3222" i="16"/>
  <c r="W2824" i="16"/>
  <c r="W2840" i="16"/>
  <c r="W2856" i="16"/>
  <c r="W2872" i="16"/>
  <c r="W2888" i="16"/>
  <c r="W2904" i="16"/>
  <c r="W2920" i="16"/>
  <c r="W2936" i="16"/>
  <c r="W2952" i="16"/>
  <c r="W2968" i="16"/>
  <c r="W2984" i="16"/>
  <c r="W3000" i="16"/>
  <c r="W3016" i="16"/>
  <c r="W3032" i="16"/>
  <c r="W3048" i="16"/>
  <c r="W3064" i="16"/>
  <c r="W3080" i="16"/>
  <c r="W3096" i="16"/>
  <c r="W3112" i="16"/>
  <c r="W3128" i="16"/>
  <c r="W3144" i="16"/>
  <c r="W479" i="16"/>
  <c r="W495" i="16"/>
  <c r="W511" i="16"/>
  <c r="W527" i="16"/>
  <c r="W543" i="16"/>
  <c r="W559" i="16"/>
  <c r="W575" i="16"/>
  <c r="W591" i="16"/>
  <c r="W607" i="16"/>
  <c r="W623" i="16"/>
  <c r="W639" i="16"/>
  <c r="W655" i="16"/>
  <c r="W671" i="16"/>
  <c r="W687" i="16"/>
  <c r="W703" i="16"/>
  <c r="W719" i="16"/>
  <c r="W735" i="16"/>
  <c r="W751" i="16"/>
  <c r="W767" i="16"/>
  <c r="W783" i="16"/>
  <c r="W799" i="16"/>
  <c r="W815" i="16"/>
  <c r="W831" i="16"/>
  <c r="W847" i="16"/>
  <c r="W863" i="16"/>
  <c r="W879" i="16"/>
  <c r="W895" i="16"/>
  <c r="W911" i="16"/>
  <c r="W927" i="16"/>
  <c r="W943" i="16"/>
  <c r="W959" i="16"/>
  <c r="W975" i="16"/>
  <c r="W991" i="16"/>
  <c r="W1007" i="16"/>
  <c r="W1023" i="16"/>
  <c r="W1039" i="16"/>
  <c r="W1055" i="16"/>
  <c r="W1071" i="16"/>
  <c r="W1087" i="16"/>
  <c r="W1103" i="16"/>
  <c r="W1119" i="16"/>
  <c r="W1135" i="16"/>
  <c r="W1151" i="16"/>
  <c r="W1167" i="16"/>
  <c r="W1183" i="16"/>
  <c r="W1199" i="16"/>
  <c r="W1302" i="16"/>
  <c r="W1318" i="16"/>
  <c r="W1334" i="16"/>
  <c r="W1350" i="16"/>
  <c r="W1366" i="16"/>
  <c r="W1382" i="16"/>
  <c r="W1398" i="16"/>
  <c r="W1414" i="16"/>
  <c r="W1430" i="16"/>
  <c r="W1446" i="16"/>
  <c r="W1462" i="16"/>
  <c r="W1478" i="16"/>
  <c r="W1494" i="16"/>
  <c r="W1510" i="16"/>
  <c r="W1526" i="16"/>
  <c r="W1542" i="16"/>
  <c r="W1558" i="16"/>
  <c r="W1574" i="16"/>
  <c r="W1590" i="16"/>
  <c r="W1606" i="16"/>
  <c r="W1622" i="16"/>
  <c r="W1638" i="16"/>
  <c r="W1654" i="16"/>
  <c r="W1670" i="16"/>
  <c r="W1686" i="16"/>
  <c r="W1702" i="16"/>
  <c r="W1718" i="16"/>
  <c r="W1734" i="16"/>
  <c r="W1750" i="16"/>
  <c r="W1766" i="16"/>
  <c r="W1782" i="16"/>
  <c r="W1798" i="16"/>
  <c r="W1814" i="16"/>
  <c r="W1830" i="16"/>
  <c r="W1846" i="16"/>
  <c r="W1862" i="16"/>
  <c r="W1878" i="16"/>
  <c r="W1894" i="16"/>
  <c r="W1910" i="16"/>
  <c r="W1926" i="16"/>
  <c r="W1942" i="16"/>
  <c r="W1958" i="16"/>
  <c r="W1974" i="16"/>
  <c r="W1990" i="16"/>
  <c r="W2006" i="16"/>
  <c r="W2022" i="16"/>
  <c r="W2038" i="16"/>
  <c r="W2054" i="16"/>
  <c r="W2070" i="16"/>
  <c r="W2086" i="16"/>
  <c r="W2102" i="16"/>
  <c r="W2118" i="16"/>
  <c r="W2134" i="16"/>
  <c r="W2150" i="16"/>
  <c r="W2166" i="16"/>
  <c r="W2182" i="16"/>
  <c r="W2198" i="16"/>
  <c r="W2214" i="16"/>
  <c r="W2230" i="16"/>
  <c r="W2246" i="16"/>
  <c r="W2262" i="16"/>
  <c r="W2278" i="16"/>
  <c r="W2294" i="16"/>
  <c r="W2310" i="16"/>
  <c r="W2326" i="16"/>
  <c r="W2342" i="16"/>
  <c r="W2358" i="16"/>
  <c r="W2374" i="16"/>
  <c r="W2390" i="16"/>
  <c r="W2406" i="16"/>
  <c r="W2438" i="16"/>
  <c r="W2454" i="16"/>
  <c r="W2470" i="16"/>
  <c r="W2486" i="16"/>
  <c r="W2502" i="16"/>
  <c r="W2518" i="16"/>
  <c r="W2534" i="16"/>
  <c r="W4086" i="16"/>
  <c r="W4102" i="16"/>
  <c r="W4118" i="16"/>
  <c r="W4134" i="16"/>
  <c r="W3230" i="16"/>
  <c r="W3246" i="16"/>
  <c r="W3262" i="16"/>
  <c r="W3278" i="16"/>
  <c r="W3294" i="16"/>
  <c r="W3310" i="16"/>
  <c r="W3326" i="16"/>
  <c r="W3342" i="16"/>
  <c r="W3358" i="16"/>
  <c r="W3374" i="16"/>
  <c r="W3390" i="16"/>
  <c r="W3406" i="16"/>
  <c r="W3422" i="16"/>
  <c r="W3438" i="16"/>
  <c r="W3454" i="16"/>
  <c r="W3470" i="16"/>
  <c r="W3486" i="16"/>
  <c r="W3502" i="16"/>
  <c r="W3518" i="16"/>
  <c r="W3534" i="16"/>
  <c r="W3550" i="16"/>
  <c r="W3566" i="16"/>
  <c r="W3582" i="16"/>
  <c r="W3598" i="16"/>
  <c r="W3614" i="16"/>
  <c r="W3630" i="16"/>
  <c r="W3646" i="16"/>
  <c r="W3662" i="16"/>
  <c r="W3678" i="16"/>
  <c r="W3694" i="16"/>
  <c r="W3710" i="16"/>
  <c r="W3726" i="16"/>
  <c r="W3742" i="16"/>
  <c r="W3758" i="16"/>
  <c r="W3774" i="16"/>
  <c r="W3790" i="16"/>
  <c r="W3806" i="16"/>
  <c r="W3822" i="16"/>
  <c r="W3838" i="16"/>
  <c r="W3854" i="16"/>
  <c r="W3870" i="16"/>
  <c r="W3886" i="16"/>
  <c r="W3918" i="16"/>
  <c r="W3934" i="16"/>
  <c r="W3950" i="16"/>
  <c r="W3966" i="16"/>
  <c r="W3982" i="16"/>
  <c r="W2542" i="16"/>
  <c r="W2558" i="16"/>
  <c r="W2574" i="16"/>
  <c r="W2590" i="16"/>
  <c r="W2606" i="16"/>
  <c r="W2622" i="16"/>
  <c r="W2638" i="16"/>
  <c r="W2654" i="16"/>
  <c r="W2670" i="16"/>
  <c r="W2686" i="16"/>
  <c r="W2702" i="16"/>
  <c r="W2718" i="16"/>
  <c r="W2734" i="16"/>
  <c r="W2750" i="16"/>
  <c r="W2766" i="16"/>
  <c r="W2782" i="16"/>
  <c r="W2798" i="16"/>
  <c r="W2814" i="16"/>
  <c r="W3166" i="16"/>
  <c r="W3182" i="16"/>
  <c r="W3198" i="16"/>
  <c r="W3214" i="16"/>
  <c r="W3902" i="16"/>
  <c r="W4153" i="16"/>
  <c r="C27" i="51" s="1"/>
  <c r="E27" i="51" s="1"/>
  <c r="F27" i="51" s="1"/>
  <c r="W1850" i="16"/>
  <c r="W1866" i="16"/>
  <c r="W1882" i="16"/>
  <c r="W1898" i="16"/>
  <c r="W1914" i="16"/>
  <c r="W1930" i="16"/>
  <c r="W1946" i="16"/>
  <c r="W1962" i="16"/>
  <c r="W1978" i="16"/>
  <c r="W1994" i="16"/>
  <c r="W2010" i="16"/>
  <c r="W2026" i="16"/>
  <c r="W2042" i="16"/>
  <c r="W2058" i="16"/>
  <c r="W2074" i="16"/>
  <c r="W2090" i="16"/>
  <c r="W2106" i="16"/>
  <c r="W2122" i="16"/>
  <c r="W2138" i="16"/>
  <c r="W2154" i="16"/>
  <c r="W2170" i="16"/>
  <c r="W2186" i="16"/>
  <c r="W2202" i="16"/>
  <c r="W2218" i="16"/>
  <c r="W2234" i="16"/>
  <c r="W2250" i="16"/>
  <c r="W2266" i="16"/>
  <c r="W2282" i="16"/>
  <c r="W2298" i="16"/>
  <c r="W2314" i="16"/>
  <c r="W2330" i="16"/>
  <c r="W2346" i="16"/>
  <c r="W2362" i="16"/>
  <c r="W2378" i="16"/>
  <c r="W2394" i="16"/>
  <c r="W2410" i="16"/>
  <c r="W3600" i="16"/>
  <c r="W3616" i="16"/>
  <c r="W3632" i="16"/>
  <c r="W3648" i="16"/>
  <c r="W3664" i="16"/>
  <c r="W3680" i="16"/>
  <c r="W3696" i="16"/>
  <c r="W3712" i="16"/>
  <c r="W3728" i="16"/>
  <c r="W3744" i="16"/>
  <c r="W3760" i="16"/>
  <c r="W3776" i="16"/>
  <c r="W3792" i="16"/>
  <c r="W3808" i="16"/>
  <c r="W3824" i="16"/>
  <c r="W3840" i="16"/>
  <c r="W3856" i="16"/>
  <c r="W3872" i="16"/>
  <c r="W3888" i="16"/>
  <c r="W3920" i="16"/>
  <c r="W3936" i="16"/>
  <c r="W3952" i="16"/>
  <c r="W3968" i="16"/>
  <c r="W3984" i="16"/>
  <c r="W4007" i="16"/>
  <c r="W4039" i="16"/>
  <c r="W4071" i="16"/>
  <c r="W441" i="16"/>
  <c r="W473" i="16"/>
  <c r="W505" i="16"/>
  <c r="W537" i="16"/>
  <c r="W569" i="16"/>
  <c r="W601" i="16"/>
  <c r="W649" i="16"/>
  <c r="W697" i="16"/>
  <c r="W745" i="16"/>
  <c r="W809" i="16"/>
  <c r="W937" i="16"/>
  <c r="W1472" i="16"/>
  <c r="W425" i="16"/>
  <c r="W713" i="16"/>
  <c r="W1488" i="16"/>
  <c r="W633" i="16"/>
  <c r="W1504" i="16"/>
  <c r="W409" i="16"/>
  <c r="W457" i="16"/>
  <c r="W489" i="16"/>
  <c r="W521" i="16"/>
  <c r="W553" i="16"/>
  <c r="W585" i="16"/>
  <c r="W617" i="16"/>
  <c r="W665" i="16"/>
  <c r="W681" i="16"/>
  <c r="W729" i="16"/>
  <c r="W761" i="16"/>
  <c r="W777" i="16"/>
  <c r="W793" i="16"/>
  <c r="W825" i="16"/>
  <c r="W841" i="16"/>
  <c r="W857" i="16"/>
  <c r="W873" i="16"/>
  <c r="W889" i="16"/>
  <c r="W905" i="16"/>
  <c r="W921" i="16"/>
  <c r="W953" i="16"/>
  <c r="W969" i="16"/>
  <c r="W985" i="16"/>
  <c r="W1001" i="16"/>
  <c r="W1017" i="16"/>
  <c r="W1033" i="16"/>
  <c r="W1049" i="16"/>
  <c r="W1065" i="16"/>
  <c r="W1081" i="16"/>
  <c r="W1097" i="16"/>
  <c r="W1113" i="16"/>
  <c r="W1129" i="16"/>
  <c r="W1145" i="16"/>
  <c r="W1161" i="16"/>
  <c r="W1177" i="16"/>
  <c r="W1193" i="16"/>
  <c r="W1209" i="16"/>
  <c r="W1312" i="16"/>
  <c r="W1328" i="16"/>
  <c r="W1344" i="16"/>
  <c r="W1360" i="16"/>
  <c r="W1376" i="16"/>
  <c r="W1392" i="16"/>
  <c r="W1408" i="16"/>
  <c r="W1424" i="16"/>
  <c r="W1440" i="16"/>
  <c r="W1456" i="16"/>
  <c r="W1536" i="16"/>
  <c r="W10" i="16"/>
  <c r="W26" i="16"/>
  <c r="W42" i="16"/>
  <c r="W58" i="16"/>
  <c r="W74" i="16"/>
  <c r="W90" i="16"/>
  <c r="W106" i="16"/>
  <c r="W122" i="16"/>
  <c r="W138" i="16"/>
  <c r="W154" i="16"/>
  <c r="W170" i="16"/>
  <c r="W186" i="16"/>
  <c r="W202" i="16"/>
  <c r="W218" i="16"/>
  <c r="W234" i="16"/>
  <c r="W250" i="16"/>
  <c r="W266" i="16"/>
  <c r="W282" i="16"/>
  <c r="W298" i="16"/>
  <c r="W314" i="16"/>
  <c r="W330" i="16"/>
  <c r="W346" i="16"/>
  <c r="W1857" i="16"/>
  <c r="W1568" i="16"/>
  <c r="W1664" i="16"/>
  <c r="W1744" i="16"/>
  <c r="W1824" i="16"/>
  <c r="W2464" i="16"/>
  <c r="W2875" i="16"/>
  <c r="W2955" i="16"/>
  <c r="W3035" i="16"/>
  <c r="W3131" i="16"/>
  <c r="W3211" i="16"/>
  <c r="W3291" i="16"/>
  <c r="W3355" i="16"/>
  <c r="W4096" i="16"/>
  <c r="W4144" i="16"/>
  <c r="W1520" i="16"/>
  <c r="W1584" i="16"/>
  <c r="W1632" i="16"/>
  <c r="W1712" i="16"/>
  <c r="W1776" i="16"/>
  <c r="W1840" i="16"/>
  <c r="W2480" i="16"/>
  <c r="W2827" i="16"/>
  <c r="W2891" i="16"/>
  <c r="W2939" i="16"/>
  <c r="W2987" i="16"/>
  <c r="W3051" i="16"/>
  <c r="W3115" i="16"/>
  <c r="W3163" i="16"/>
  <c r="W3227" i="16"/>
  <c r="W3275" i="16"/>
  <c r="W3323" i="16"/>
  <c r="W3387" i="16"/>
  <c r="W1552" i="16"/>
  <c r="W1600" i="16"/>
  <c r="W1648" i="16"/>
  <c r="W1696" i="16"/>
  <c r="W1760" i="16"/>
  <c r="W1808" i="16"/>
  <c r="W2448" i="16"/>
  <c r="W2496" i="16"/>
  <c r="W2528" i="16"/>
  <c r="W2859" i="16"/>
  <c r="W2907" i="16"/>
  <c r="W2971" i="16"/>
  <c r="W3003" i="16"/>
  <c r="W3067" i="16"/>
  <c r="W3099" i="16"/>
  <c r="W3147" i="16"/>
  <c r="W3195" i="16"/>
  <c r="W3259" i="16"/>
  <c r="W3307" i="16"/>
  <c r="W3371" i="16"/>
  <c r="W4080" i="16"/>
  <c r="W4112" i="16"/>
  <c r="W384" i="16"/>
  <c r="W81" i="16"/>
  <c r="W145" i="16"/>
  <c r="W177" i="16"/>
  <c r="W209" i="16"/>
  <c r="W241" i="16"/>
  <c r="W273" i="16"/>
  <c r="W321" i="16"/>
  <c r="W353" i="16"/>
  <c r="W401" i="16"/>
  <c r="W448" i="16"/>
  <c r="W496" i="16"/>
  <c r="W528" i="16"/>
  <c r="W576" i="16"/>
  <c r="W608" i="16"/>
  <c r="W672" i="16"/>
  <c r="W752" i="16"/>
  <c r="W800" i="16"/>
  <c r="W864" i="16"/>
  <c r="W896" i="16"/>
  <c r="W928" i="16"/>
  <c r="W944" i="16"/>
  <c r="W976" i="16"/>
  <c r="W1024" i="16"/>
  <c r="W1072" i="16"/>
  <c r="W1152" i="16"/>
  <c r="W1200" i="16"/>
  <c r="W1319" i="16"/>
  <c r="W1335" i="16"/>
  <c r="W1367" i="16"/>
  <c r="W1383" i="16"/>
  <c r="W1399" i="16"/>
  <c r="W1415" i="16"/>
  <c r="W1431" i="16"/>
  <c r="W1447" i="16"/>
  <c r="W1463" i="16"/>
  <c r="W1479" i="16"/>
  <c r="W1495" i="16"/>
  <c r="W1511" i="16"/>
  <c r="W1527" i="16"/>
  <c r="W1543" i="16"/>
  <c r="W1559" i="16"/>
  <c r="W1575" i="16"/>
  <c r="W1591" i="16"/>
  <c r="W1607" i="16"/>
  <c r="W1623" i="16"/>
  <c r="W1639" i="16"/>
  <c r="W1655" i="16"/>
  <c r="W1671" i="16"/>
  <c r="W1703" i="16"/>
  <c r="W1719" i="16"/>
  <c r="W1735" i="16"/>
  <c r="W1751" i="16"/>
  <c r="W1767" i="16"/>
  <c r="W1783" i="16"/>
  <c r="W1799" i="16"/>
  <c r="W1815" i="16"/>
  <c r="W1831" i="16"/>
  <c r="W1616" i="16"/>
  <c r="W1680" i="16"/>
  <c r="W1728" i="16"/>
  <c r="W1792" i="16"/>
  <c r="W2432" i="16"/>
  <c r="W2512" i="16"/>
  <c r="W2843" i="16"/>
  <c r="W2923" i="16"/>
  <c r="W3019" i="16"/>
  <c r="W3083" i="16"/>
  <c r="W3179" i="16"/>
  <c r="W3243" i="16"/>
  <c r="W3339" i="16"/>
  <c r="W4128" i="16"/>
  <c r="W368" i="16"/>
  <c r="W400" i="16"/>
  <c r="W97" i="16"/>
  <c r="W129" i="16"/>
  <c r="W161" i="16"/>
  <c r="W193" i="16"/>
  <c r="W225" i="16"/>
  <c r="W257" i="16"/>
  <c r="W289" i="16"/>
  <c r="W305" i="16"/>
  <c r="W337" i="16"/>
  <c r="W369" i="16"/>
  <c r="W385" i="16"/>
  <c r="W416" i="16"/>
  <c r="W432" i="16"/>
  <c r="W464" i="16"/>
  <c r="W480" i="16"/>
  <c r="W512" i="16"/>
  <c r="W544" i="16"/>
  <c r="W560" i="16"/>
  <c r="W592" i="16"/>
  <c r="W624" i="16"/>
  <c r="W640" i="16"/>
  <c r="W656" i="16"/>
  <c r="W688" i="16"/>
  <c r="W704" i="16"/>
  <c r="W720" i="16"/>
  <c r="W736" i="16"/>
  <c r="W768" i="16"/>
  <c r="W784" i="16"/>
  <c r="W816" i="16"/>
  <c r="W832" i="16"/>
  <c r="W848" i="16"/>
  <c r="W880" i="16"/>
  <c r="W912" i="16"/>
  <c r="W960" i="16"/>
  <c r="W992" i="16"/>
  <c r="W1008" i="16"/>
  <c r="W1040" i="16"/>
  <c r="W1056" i="16"/>
  <c r="W1088" i="16"/>
  <c r="W1104" i="16"/>
  <c r="W1120" i="16"/>
  <c r="W1136" i="16"/>
  <c r="W1168" i="16"/>
  <c r="W1184" i="16"/>
  <c r="W1303" i="16"/>
  <c r="W1351" i="16"/>
  <c r="W1687" i="16"/>
  <c r="W18" i="16"/>
  <c r="W34" i="16"/>
  <c r="W50" i="16"/>
  <c r="W66" i="16"/>
  <c r="W82" i="16"/>
  <c r="W98" i="16"/>
  <c r="W114" i="16"/>
  <c r="W130" i="16"/>
  <c r="W146" i="16"/>
  <c r="W162" i="16"/>
  <c r="W178" i="16"/>
  <c r="W194" i="16"/>
  <c r="W210" i="16"/>
  <c r="W226" i="16"/>
  <c r="W242" i="16"/>
  <c r="W258" i="16"/>
  <c r="W274" i="16"/>
  <c r="W290" i="16"/>
  <c r="W306" i="16"/>
  <c r="W322" i="16"/>
  <c r="W338" i="16"/>
  <c r="W1849" i="16"/>
  <c r="W417" i="16"/>
  <c r="W433" i="16"/>
  <c r="W449" i="16"/>
  <c r="W465" i="16"/>
  <c r="W481" i="16"/>
  <c r="W497" i="16"/>
  <c r="W513" i="16"/>
  <c r="W529" i="16"/>
  <c r="W545" i="16"/>
  <c r="W561" i="16"/>
  <c r="W577" i="16"/>
  <c r="W593" i="16"/>
  <c r="W609" i="16"/>
  <c r="W625" i="16"/>
  <c r="W641" i="16"/>
  <c r="W657" i="16"/>
  <c r="W673" i="16"/>
  <c r="W689" i="16"/>
  <c r="W705" i="16"/>
  <c r="W721" i="16"/>
  <c r="W737" i="16"/>
  <c r="W753" i="16"/>
  <c r="W769" i="16"/>
  <c r="W785" i="16"/>
  <c r="W801" i="16"/>
  <c r="W817" i="16"/>
  <c r="W833" i="16"/>
  <c r="W849" i="16"/>
  <c r="W865" i="16"/>
  <c r="W881" i="16"/>
  <c r="W897" i="16"/>
  <c r="W913" i="16"/>
  <c r="W929" i="16"/>
  <c r="W945" i="16"/>
  <c r="W961" i="16"/>
  <c r="W977" i="16"/>
  <c r="W993" i="16"/>
  <c r="W1009" i="16"/>
  <c r="W1025" i="16"/>
  <c r="W1041" i="16"/>
  <c r="W1057" i="16"/>
  <c r="W1073" i="16"/>
  <c r="W1089" i="16"/>
  <c r="W1105" i="16"/>
  <c r="W1121" i="16"/>
  <c r="W1137" i="16"/>
  <c r="W1153" i="16"/>
  <c r="W1169" i="16"/>
  <c r="W1185" i="16"/>
  <c r="W2818" i="16"/>
  <c r="W2834" i="16"/>
  <c r="W2850" i="16"/>
  <c r="W2866" i="16"/>
  <c r="W2882" i="16"/>
  <c r="W2898" i="16"/>
  <c r="W2914" i="16"/>
  <c r="W2930" i="16"/>
  <c r="W2946" i="16"/>
  <c r="W2962" i="16"/>
  <c r="W2978" i="16"/>
  <c r="W2994" i="16"/>
  <c r="W3010" i="16"/>
  <c r="W3026" i="16"/>
  <c r="W3042" i="16"/>
  <c r="W3058" i="16"/>
  <c r="W3074" i="16"/>
  <c r="W3090" i="16"/>
  <c r="W3106" i="16"/>
  <c r="W3122" i="16"/>
  <c r="W3138" i="16"/>
  <c r="W3154" i="16"/>
  <c r="W3170" i="16"/>
  <c r="W3186" i="16"/>
  <c r="W3202" i="16"/>
  <c r="W3218" i="16"/>
  <c r="W3401" i="16"/>
  <c r="W3417" i="16"/>
  <c r="W3433" i="16"/>
  <c r="W3449" i="16"/>
  <c r="W3465" i="16"/>
  <c r="W3481" i="16"/>
  <c r="W3497" i="16"/>
  <c r="W3513" i="16"/>
  <c r="W3529" i="16"/>
  <c r="W3545" i="16"/>
  <c r="W3561" i="16"/>
  <c r="W3412" i="16"/>
  <c r="W3428" i="16"/>
  <c r="W3444" i="16"/>
  <c r="W3460" i="16"/>
  <c r="W3476" i="16"/>
  <c r="W3492" i="16"/>
  <c r="W3508" i="16"/>
  <c r="W3524" i="16"/>
  <c r="W3540" i="16"/>
  <c r="W3556" i="16"/>
  <c r="W3572" i="16"/>
  <c r="W3588" i="16"/>
  <c r="W4015" i="16"/>
  <c r="W4047" i="16"/>
  <c r="W1842" i="16"/>
  <c r="W1858" i="16"/>
  <c r="W1874" i="16"/>
  <c r="W1890" i="16"/>
  <c r="W1906" i="16"/>
  <c r="W1922" i="16"/>
  <c r="W1938" i="16"/>
  <c r="W1954" i="16"/>
  <c r="W1970" i="16"/>
  <c r="W1986" i="16"/>
  <c r="W2002" i="16"/>
  <c r="W2018" i="16"/>
  <c r="W2034" i="16"/>
  <c r="W2050" i="16"/>
  <c r="W2066" i="16"/>
  <c r="W2082" i="16"/>
  <c r="W2098" i="16"/>
  <c r="W2114" i="16"/>
  <c r="W2130" i="16"/>
  <c r="W2146" i="16"/>
  <c r="W2162" i="16"/>
  <c r="W2178" i="16"/>
  <c r="W2194" i="16"/>
  <c r="W2210" i="16"/>
  <c r="W2226" i="16"/>
  <c r="W2242" i="16"/>
  <c r="W2258" i="16"/>
  <c r="W2274" i="16"/>
  <c r="W2290" i="16"/>
  <c r="W2306" i="16"/>
  <c r="W2322" i="16"/>
  <c r="W2338" i="16"/>
  <c r="W2354" i="16"/>
  <c r="W2370" i="16"/>
  <c r="W2386" i="16"/>
  <c r="W2402" i="16"/>
  <c r="W2418" i="16"/>
  <c r="W2439" i="16"/>
  <c r="W2455" i="16"/>
  <c r="W2471" i="16"/>
  <c r="W2487" i="16"/>
  <c r="W2503" i="16"/>
  <c r="W2519" i="16"/>
  <c r="W2535" i="16"/>
  <c r="W3608" i="16"/>
  <c r="W3624" i="16"/>
  <c r="W3640" i="16"/>
  <c r="W3656" i="16"/>
  <c r="W3672" i="16"/>
  <c r="W3688" i="16"/>
  <c r="W3704" i="16"/>
  <c r="W3720" i="16"/>
  <c r="W3736" i="16"/>
  <c r="W3752" i="16"/>
  <c r="W3768" i="16"/>
  <c r="W3784" i="16"/>
  <c r="W3800" i="16"/>
  <c r="W3816" i="16"/>
  <c r="W3832" i="16"/>
  <c r="W3848" i="16"/>
  <c r="W3864" i="16"/>
  <c r="W3880" i="16"/>
  <c r="W3896" i="16"/>
  <c r="W3912" i="16"/>
  <c r="W3928" i="16"/>
  <c r="W3944" i="16"/>
  <c r="W3960" i="16"/>
  <c r="W3976" i="16"/>
  <c r="W3992" i="16"/>
  <c r="W4023" i="16"/>
  <c r="W4055" i="16"/>
  <c r="W2420" i="16"/>
  <c r="W2217" i="16"/>
  <c r="W2233" i="16"/>
  <c r="W2249" i="16"/>
  <c r="W2265" i="16"/>
  <c r="W2281" i="16"/>
  <c r="W2297" i="16"/>
  <c r="W2313" i="16"/>
  <c r="W2329" i="16"/>
  <c r="W2345" i="16"/>
  <c r="W2361" i="16"/>
  <c r="W2377" i="16"/>
  <c r="W2393" i="16"/>
  <c r="W2409" i="16"/>
  <c r="W2552" i="16"/>
  <c r="W2568" i="16"/>
  <c r="W2584" i="16"/>
  <c r="W2600" i="16"/>
  <c r="W2616" i="16"/>
  <c r="W2632" i="16"/>
  <c r="W2648" i="16"/>
  <c r="W2664" i="16"/>
  <c r="W2680" i="16"/>
  <c r="W2696" i="16"/>
  <c r="W2712" i="16"/>
  <c r="W2728" i="16"/>
  <c r="W2744" i="16"/>
  <c r="W2760" i="16"/>
  <c r="W2776" i="16"/>
  <c r="W2792" i="16"/>
  <c r="W2808" i="16"/>
  <c r="W3226" i="16"/>
  <c r="W3242" i="16"/>
  <c r="W3258" i="16"/>
  <c r="W3274" i="16"/>
  <c r="W3290" i="16"/>
  <c r="W3306" i="16"/>
  <c r="W3322" i="16"/>
  <c r="W3338" i="16"/>
  <c r="W3354" i="16"/>
  <c r="W3370" i="16"/>
  <c r="W3386" i="16"/>
  <c r="W2826" i="16"/>
  <c r="W2842" i="16"/>
  <c r="W2858" i="16"/>
  <c r="W2874" i="16"/>
  <c r="W2890" i="16"/>
  <c r="W2906" i="16"/>
  <c r="W2922" i="16"/>
  <c r="W2938" i="16"/>
  <c r="W2954" i="16"/>
  <c r="W2970" i="16"/>
  <c r="W2986" i="16"/>
  <c r="W3002" i="16"/>
  <c r="W3018" i="16"/>
  <c r="W3034" i="16"/>
  <c r="W3050" i="16"/>
  <c r="W3066" i="16"/>
  <c r="W3082" i="16"/>
  <c r="W3098" i="16"/>
  <c r="W3114" i="16"/>
  <c r="W3130" i="16"/>
  <c r="W3146" i="16"/>
  <c r="W3162" i="16"/>
  <c r="W3178" i="16"/>
  <c r="W3194" i="16"/>
  <c r="W3210" i="16"/>
  <c r="W3577" i="16"/>
  <c r="W3593" i="16"/>
  <c r="W3999" i="16"/>
  <c r="W4031" i="16"/>
  <c r="W4063" i="16"/>
  <c r="W4150" i="16"/>
  <c r="W1201" i="16"/>
  <c r="W1304" i="16"/>
  <c r="W1320" i="16"/>
  <c r="W1336" i="16"/>
  <c r="W1352" i="16"/>
  <c r="W1368" i="16"/>
  <c r="W1384" i="16"/>
  <c r="W1400" i="16"/>
  <c r="W1416" i="16"/>
  <c r="W1432" i="16"/>
  <c r="W1448" i="16"/>
  <c r="W1464" i="16"/>
  <c r="W1480" i="16"/>
  <c r="W1496" i="16"/>
  <c r="W1512" i="16"/>
  <c r="W1528" i="16"/>
  <c r="W1544" i="16"/>
  <c r="W1560" i="16"/>
  <c r="W1576" i="16"/>
  <c r="W1592" i="16"/>
  <c r="W1608" i="16"/>
  <c r="W1624" i="16"/>
  <c r="W1640" i="16"/>
  <c r="W1656" i="16"/>
  <c r="W1672" i="16"/>
  <c r="W1688" i="16"/>
  <c r="W1704" i="16"/>
  <c r="W1720" i="16"/>
  <c r="W1736" i="16"/>
  <c r="W1752" i="16"/>
  <c r="W1768" i="16"/>
  <c r="W1784" i="16"/>
  <c r="W1800" i="16"/>
  <c r="W1816" i="16"/>
  <c r="W1832" i="16"/>
  <c r="W2440" i="16"/>
  <c r="W2456" i="16"/>
  <c r="W2472" i="16"/>
  <c r="W2488" i="16"/>
  <c r="W2504" i="16"/>
  <c r="W2520" i="16"/>
  <c r="W2536" i="16"/>
  <c r="W2819" i="16"/>
  <c r="W2835" i="16"/>
  <c r="W2851" i="16"/>
  <c r="W2867" i="16"/>
  <c r="W2883" i="16"/>
  <c r="W2899" i="16"/>
  <c r="W2915" i="16"/>
  <c r="W2931" i="16"/>
  <c r="W2947" i="16"/>
  <c r="W2963" i="16"/>
  <c r="W2979" i="16"/>
  <c r="W2995" i="16"/>
  <c r="W3011" i="16"/>
  <c r="W3027" i="16"/>
  <c r="W3043" i="16"/>
  <c r="W3059" i="16"/>
  <c r="W3075" i="16"/>
  <c r="W3091" i="16"/>
  <c r="W3107" i="16"/>
  <c r="W3123" i="16"/>
  <c r="W3139" i="16"/>
  <c r="W3155" i="16"/>
  <c r="W3171" i="16"/>
  <c r="W3187" i="16"/>
  <c r="W3203" i="16"/>
  <c r="W3219" i="16"/>
  <c r="W3235" i="16"/>
  <c r="W3251" i="16"/>
  <c r="W3267" i="16"/>
  <c r="W3283" i="16"/>
  <c r="W3299" i="16"/>
  <c r="W3315" i="16"/>
  <c r="W3331" i="16"/>
  <c r="W3347" i="16"/>
  <c r="W3363" i="16"/>
  <c r="W3379" i="16"/>
  <c r="W3395" i="16"/>
  <c r="W3904" i="16"/>
  <c r="W4088" i="16"/>
  <c r="W4104" i="16"/>
  <c r="W4120" i="16"/>
  <c r="W4136" i="16"/>
  <c r="W423" i="16"/>
  <c r="W439" i="16"/>
  <c r="W455" i="16"/>
  <c r="W471" i="16"/>
  <c r="W367" i="16"/>
  <c r="W383" i="16"/>
  <c r="W399" i="16"/>
  <c r="W16" i="16"/>
  <c r="W48" i="16"/>
  <c r="W96" i="16"/>
  <c r="W128" i="16"/>
  <c r="W160" i="16"/>
  <c r="W192" i="16"/>
  <c r="W240" i="16"/>
  <c r="W272" i="16"/>
  <c r="W304" i="16"/>
  <c r="W336" i="16"/>
  <c r="W32" i="16"/>
  <c r="W64" i="16"/>
  <c r="W80" i="16"/>
  <c r="W112" i="16"/>
  <c r="W144" i="16"/>
  <c r="W176" i="16"/>
  <c r="W208" i="16"/>
  <c r="W224" i="16"/>
  <c r="W256" i="16"/>
  <c r="W288" i="16"/>
  <c r="W320" i="16"/>
  <c r="W352" i="16"/>
  <c r="W415" i="16"/>
  <c r="W431" i="16"/>
  <c r="W447" i="16"/>
  <c r="W463" i="16"/>
  <c r="W359" i="16"/>
  <c r="W375" i="16"/>
  <c r="W391" i="16"/>
  <c r="W407" i="16"/>
  <c r="W24" i="16"/>
  <c r="W40" i="16"/>
  <c r="W56" i="16"/>
  <c r="W72" i="16"/>
  <c r="W88" i="16"/>
  <c r="W104" i="16"/>
  <c r="W120" i="16"/>
  <c r="W136" i="16"/>
  <c r="W152" i="16"/>
  <c r="W168" i="16"/>
  <c r="W184" i="16"/>
  <c r="W200" i="16"/>
  <c r="W216" i="16"/>
  <c r="W232" i="16"/>
  <c r="W248" i="16"/>
  <c r="W264" i="16"/>
  <c r="W280" i="16"/>
  <c r="W296" i="16"/>
  <c r="W312" i="16"/>
  <c r="W328" i="16"/>
  <c r="W344" i="16"/>
  <c r="W171" i="16"/>
  <c r="W2458" i="16"/>
  <c r="W2506" i="16"/>
  <c r="W2538" i="16"/>
  <c r="W2821" i="16"/>
  <c r="W2869" i="16"/>
  <c r="W2901" i="16"/>
  <c r="W2933" i="16"/>
  <c r="W2981" i="16"/>
  <c r="W3013" i="16"/>
  <c r="W3061" i="16"/>
  <c r="W3109" i="16"/>
  <c r="W3157" i="16"/>
  <c r="W3189" i="16"/>
  <c r="W3237" i="16"/>
  <c r="W3285" i="16"/>
  <c r="W3333" i="16"/>
  <c r="W3381" i="16"/>
  <c r="W3565" i="16"/>
  <c r="W17" i="16"/>
  <c r="W49" i="16"/>
  <c r="W73" i="16"/>
  <c r="W2546" i="16"/>
  <c r="W2562" i="16"/>
  <c r="W2578" i="16"/>
  <c r="W2594" i="16"/>
  <c r="W2610" i="16"/>
  <c r="W2626" i="16"/>
  <c r="W2642" i="16"/>
  <c r="W2658" i="16"/>
  <c r="W2674" i="16"/>
  <c r="W2690" i="16"/>
  <c r="W2706" i="16"/>
  <c r="W2722" i="16"/>
  <c r="W2738" i="16"/>
  <c r="W2754" i="16"/>
  <c r="W2770" i="16"/>
  <c r="W2786" i="16"/>
  <c r="W2802" i="16"/>
  <c r="W25" i="16"/>
  <c r="W57" i="16"/>
  <c r="W14" i="16"/>
  <c r="W30" i="16"/>
  <c r="W2434" i="16"/>
  <c r="W2450" i="16"/>
  <c r="W2466" i="16"/>
  <c r="W2482" i="16"/>
  <c r="W2498" i="16"/>
  <c r="W2514" i="16"/>
  <c r="W2530" i="16"/>
  <c r="W2829" i="16"/>
  <c r="W2845" i="16"/>
  <c r="W2861" i="16"/>
  <c r="W2877" i="16"/>
  <c r="W2893" i="16"/>
  <c r="W2909" i="16"/>
  <c r="W2925" i="16"/>
  <c r="W2941" i="16"/>
  <c r="W2957" i="16"/>
  <c r="W2973" i="16"/>
  <c r="W2989" i="16"/>
  <c r="W3005" i="16"/>
  <c r="W3021" i="16"/>
  <c r="W3037" i="16"/>
  <c r="W3053" i="16"/>
  <c r="W3069" i="16"/>
  <c r="W3085" i="16"/>
  <c r="W3101" i="16"/>
  <c r="W3117" i="16"/>
  <c r="W3133" i="16"/>
  <c r="W3149" i="16"/>
  <c r="W3165" i="16"/>
  <c r="W3181" i="16"/>
  <c r="W3197" i="16"/>
  <c r="W3213" i="16"/>
  <c r="W3229" i="16"/>
  <c r="W3245" i="16"/>
  <c r="W3261" i="16"/>
  <c r="W3277" i="16"/>
  <c r="W3293" i="16"/>
  <c r="W3309" i="16"/>
  <c r="W3325" i="16"/>
  <c r="W3341" i="16"/>
  <c r="W3357" i="16"/>
  <c r="W3373" i="16"/>
  <c r="W3389" i="16"/>
  <c r="W3405" i="16"/>
  <c r="W3421" i="16"/>
  <c r="W3437" i="16"/>
  <c r="W3453" i="16"/>
  <c r="W3469" i="16"/>
  <c r="W3485" i="16"/>
  <c r="W3501" i="16"/>
  <c r="W3517" i="16"/>
  <c r="W3533" i="16"/>
  <c r="W3549" i="16"/>
  <c r="W3400" i="16"/>
  <c r="W3416" i="16"/>
  <c r="W3432" i="16"/>
  <c r="W3448" i="16"/>
  <c r="W3464" i="16"/>
  <c r="W3480" i="16"/>
  <c r="W3496" i="16"/>
  <c r="W3512" i="16"/>
  <c r="W3528" i="16"/>
  <c r="W3544" i="16"/>
  <c r="W3560" i="16"/>
  <c r="W3576" i="16"/>
  <c r="W3592" i="16"/>
  <c r="W4082" i="16"/>
  <c r="W4098" i="16"/>
  <c r="W4114" i="16"/>
  <c r="W4130" i="16"/>
  <c r="W4146" i="16"/>
  <c r="W2164" i="16"/>
  <c r="W2196" i="16"/>
  <c r="W2244" i="16"/>
  <c r="W2276" i="16"/>
  <c r="W2308" i="16"/>
  <c r="W2340" i="16"/>
  <c r="W2356" i="16"/>
  <c r="W2388" i="16"/>
  <c r="W3610" i="16"/>
  <c r="W3626" i="16"/>
  <c r="W3642" i="16"/>
  <c r="W3658" i="16"/>
  <c r="W3674" i="16"/>
  <c r="W3690" i="16"/>
  <c r="W3706" i="16"/>
  <c r="W3722" i="16"/>
  <c r="W3738" i="16"/>
  <c r="W3754" i="16"/>
  <c r="W3770" i="16"/>
  <c r="W3786" i="16"/>
  <c r="W3802" i="16"/>
  <c r="W3818" i="16"/>
  <c r="W3834" i="16"/>
  <c r="W3850" i="16"/>
  <c r="W3866" i="16"/>
  <c r="W3882" i="16"/>
  <c r="W3898" i="16"/>
  <c r="W3914" i="16"/>
  <c r="W3930" i="16"/>
  <c r="W3946" i="16"/>
  <c r="W3962" i="16"/>
  <c r="W3978" i="16"/>
  <c r="W4025" i="16"/>
  <c r="W4057" i="16"/>
  <c r="W2180" i="16"/>
  <c r="W2212" i="16"/>
  <c r="W2228" i="16"/>
  <c r="W2260" i="16"/>
  <c r="W2292" i="16"/>
  <c r="W2324" i="16"/>
  <c r="W2372" i="16"/>
  <c r="W2404" i="16"/>
  <c r="W2554" i="16"/>
  <c r="W2570" i="16"/>
  <c r="W2586" i="16"/>
  <c r="W2602" i="16"/>
  <c r="W2618" i="16"/>
  <c r="W2634" i="16"/>
  <c r="W2650" i="16"/>
  <c r="W2666" i="16"/>
  <c r="W2682" i="16"/>
  <c r="W2698" i="16"/>
  <c r="W2714" i="16"/>
  <c r="W2730" i="16"/>
  <c r="W2746" i="16"/>
  <c r="W2762" i="16"/>
  <c r="W2778" i="16"/>
  <c r="W2794" i="16"/>
  <c r="W2810" i="16"/>
  <c r="W2424" i="16"/>
  <c r="W4001" i="16"/>
  <c r="W4033" i="16"/>
  <c r="W4065" i="16"/>
  <c r="W4152" i="16"/>
  <c r="C26" i="51" s="1"/>
  <c r="E26" i="51" s="1"/>
  <c r="F26" i="51" s="1"/>
  <c r="W2442" i="16"/>
  <c r="W2490" i="16"/>
  <c r="W2853" i="16"/>
  <c r="W2917" i="16"/>
  <c r="W2965" i="16"/>
  <c r="W3029" i="16"/>
  <c r="W3093" i="16"/>
  <c r="W3141" i="16"/>
  <c r="W3221" i="16"/>
  <c r="W3269" i="16"/>
  <c r="W3317" i="16"/>
  <c r="W3365" i="16"/>
  <c r="W3581" i="16"/>
  <c r="W2474" i="16"/>
  <c r="W2522" i="16"/>
  <c r="W2837" i="16"/>
  <c r="W2885" i="16"/>
  <c r="W2949" i="16"/>
  <c r="W2997" i="16"/>
  <c r="W3045" i="16"/>
  <c r="W3077" i="16"/>
  <c r="W3125" i="16"/>
  <c r="W3173" i="16"/>
  <c r="W3205" i="16"/>
  <c r="W3253" i="16"/>
  <c r="W3301" i="16"/>
  <c r="W3349" i="16"/>
  <c r="W3397" i="16"/>
  <c r="W9" i="16"/>
  <c r="W89" i="16"/>
  <c r="W105" i="16"/>
  <c r="W121" i="16"/>
  <c r="W137" i="16"/>
  <c r="W153" i="16"/>
  <c r="W169" i="16"/>
  <c r="W185" i="16"/>
  <c r="W2156" i="16"/>
  <c r="W2172" i="16"/>
  <c r="W2188" i="16"/>
  <c r="W2204" i="16"/>
  <c r="W2220" i="16"/>
  <c r="W2236" i="16"/>
  <c r="W2252" i="16"/>
  <c r="W2268" i="16"/>
  <c r="W2284" i="16"/>
  <c r="W2300" i="16"/>
  <c r="W2316" i="16"/>
  <c r="W2332" i="16"/>
  <c r="W2348" i="16"/>
  <c r="W2364" i="16"/>
  <c r="W2380" i="16"/>
  <c r="W2396" i="16"/>
  <c r="W2412" i="16"/>
  <c r="W3602" i="16"/>
  <c r="W3618" i="16"/>
  <c r="W3634" i="16"/>
  <c r="W3650" i="16"/>
  <c r="W3666" i="16"/>
  <c r="W3682" i="16"/>
  <c r="W3698" i="16"/>
  <c r="W3714" i="16"/>
  <c r="W3730" i="16"/>
  <c r="W3746" i="16"/>
  <c r="W3762" i="16"/>
  <c r="W3778" i="16"/>
  <c r="W3794" i="16"/>
  <c r="W3810" i="16"/>
  <c r="W3826" i="16"/>
  <c r="W3842" i="16"/>
  <c r="W3858" i="16"/>
  <c r="W3874" i="16"/>
  <c r="W3890" i="16"/>
  <c r="W3906" i="16"/>
  <c r="W3922" i="16"/>
  <c r="W3938" i="16"/>
  <c r="W3954" i="16"/>
  <c r="W3970" i="16"/>
  <c r="W3986" i="16"/>
  <c r="W4009" i="16"/>
  <c r="W4041" i="16"/>
  <c r="W4073" i="16"/>
  <c r="W47" i="16"/>
  <c r="W15" i="16"/>
  <c r="W79" i="16"/>
  <c r="W95" i="16"/>
  <c r="W111" i="16"/>
  <c r="W127" i="16"/>
  <c r="W143" i="16"/>
  <c r="W159" i="16"/>
  <c r="W175" i="16"/>
  <c r="W191" i="16"/>
  <c r="W207" i="16"/>
  <c r="W223" i="16"/>
  <c r="W239" i="16"/>
  <c r="W255" i="16"/>
  <c r="W63" i="16"/>
  <c r="W23" i="16"/>
  <c r="W55" i="16"/>
  <c r="W71" i="16"/>
  <c r="W31" i="16"/>
  <c r="W87" i="16"/>
  <c r="W103" i="16"/>
  <c r="W119" i="16"/>
  <c r="W135" i="16"/>
  <c r="W151" i="16"/>
  <c r="W167" i="16"/>
  <c r="W183" i="16"/>
  <c r="W199" i="16"/>
  <c r="W215" i="16"/>
  <c r="W231" i="16"/>
  <c r="W247" i="16"/>
  <c r="W39" i="16"/>
  <c r="W252" i="16"/>
  <c r="W7" i="16"/>
  <c r="W6" i="16"/>
  <c r="W52" i="16"/>
  <c r="W100" i="16"/>
  <c r="W148" i="16"/>
  <c r="W196" i="16"/>
  <c r="W260" i="16"/>
  <c r="W308" i="16"/>
  <c r="W435" i="16"/>
  <c r="W499" i="16"/>
  <c r="W563" i="16"/>
  <c r="W611" i="16"/>
  <c r="W659" i="16"/>
  <c r="W707" i="16"/>
  <c r="W755" i="16"/>
  <c r="W803" i="16"/>
  <c r="W851" i="16"/>
  <c r="W899" i="16"/>
  <c r="W947" i="16"/>
  <c r="W995" i="16"/>
  <c r="W1043" i="16"/>
  <c r="W1091" i="16"/>
  <c r="W1139" i="16"/>
  <c r="W1171" i="16"/>
  <c r="W1203" i="16"/>
  <c r="W1338" i="16"/>
  <c r="W1386" i="16"/>
  <c r="W1434" i="16"/>
  <c r="W1466" i="16"/>
  <c r="W1514" i="16"/>
  <c r="W1562" i="16"/>
  <c r="W1610" i="16"/>
  <c r="W1642" i="16"/>
  <c r="W1690" i="16"/>
  <c r="W1738" i="16"/>
  <c r="W1786" i="16"/>
  <c r="W1834" i="16"/>
  <c r="W363" i="16"/>
  <c r="W379" i="16"/>
  <c r="W395" i="16"/>
  <c r="W411" i="16"/>
  <c r="W427" i="16"/>
  <c r="W443" i="16"/>
  <c r="W459" i="16"/>
  <c r="W475" i="16"/>
  <c r="W491" i="16"/>
  <c r="W507" i="16"/>
  <c r="W523" i="16"/>
  <c r="W539" i="16"/>
  <c r="W555" i="16"/>
  <c r="W571" i="16"/>
  <c r="W587" i="16"/>
  <c r="W603" i="16"/>
  <c r="W619" i="16"/>
  <c r="W635" i="16"/>
  <c r="W651" i="16"/>
  <c r="W667" i="16"/>
  <c r="W683" i="16"/>
  <c r="W699" i="16"/>
  <c r="W715" i="16"/>
  <c r="W731" i="16"/>
  <c r="W747" i="16"/>
  <c r="W763" i="16"/>
  <c r="W779" i="16"/>
  <c r="W795" i="16"/>
  <c r="W811" i="16"/>
  <c r="W827" i="16"/>
  <c r="W843" i="16"/>
  <c r="W859" i="16"/>
  <c r="W875" i="16"/>
  <c r="W891" i="16"/>
  <c r="W907" i="16"/>
  <c r="W923" i="16"/>
  <c r="W939" i="16"/>
  <c r="W955" i="16"/>
  <c r="W971" i="16"/>
  <c r="W987" i="16"/>
  <c r="W1003" i="16"/>
  <c r="W1019" i="16"/>
  <c r="W1035" i="16"/>
  <c r="W1051" i="16"/>
  <c r="W1067" i="16"/>
  <c r="W1083" i="16"/>
  <c r="W1099" i="16"/>
  <c r="W1115" i="16"/>
  <c r="W1131" i="16"/>
  <c r="W1147" i="16"/>
  <c r="W1163" i="16"/>
  <c r="W1179" i="16"/>
  <c r="W1195" i="16"/>
  <c r="W1211" i="16"/>
  <c r="W1314" i="16"/>
  <c r="W1330" i="16"/>
  <c r="W1346" i="16"/>
  <c r="W1362" i="16"/>
  <c r="W1378" i="16"/>
  <c r="W1394" i="16"/>
  <c r="W1410" i="16"/>
  <c r="W1426" i="16"/>
  <c r="W1442" i="16"/>
  <c r="W1458" i="16"/>
  <c r="W1474" i="16"/>
  <c r="W1490" i="16"/>
  <c r="W1506" i="16"/>
  <c r="W1522" i="16"/>
  <c r="W1538" i="16"/>
  <c r="W1554" i="16"/>
  <c r="W1570" i="16"/>
  <c r="W1586" i="16"/>
  <c r="W1602" i="16"/>
  <c r="W1618" i="16"/>
  <c r="W1634" i="16"/>
  <c r="W1650" i="16"/>
  <c r="W1666" i="16"/>
  <c r="W1682" i="16"/>
  <c r="W1698" i="16"/>
  <c r="W1714" i="16"/>
  <c r="W1730" i="16"/>
  <c r="W1746" i="16"/>
  <c r="W1762" i="16"/>
  <c r="W1778" i="16"/>
  <c r="W1794" i="16"/>
  <c r="W1810" i="16"/>
  <c r="W1826" i="16"/>
  <c r="W3" i="16"/>
  <c r="W1844" i="16"/>
  <c r="W1860" i="16"/>
  <c r="W1876" i="16"/>
  <c r="W1892" i="16"/>
  <c r="W1908" i="16"/>
  <c r="W1924" i="16"/>
  <c r="W1940" i="16"/>
  <c r="W1956" i="16"/>
  <c r="W1972" i="16"/>
  <c r="W1988" i="16"/>
  <c r="W2004" i="16"/>
  <c r="W2020" i="16"/>
  <c r="W2036" i="16"/>
  <c r="W2052" i="16"/>
  <c r="W2068" i="16"/>
  <c r="W2084" i="16"/>
  <c r="W2100" i="16"/>
  <c r="W2116" i="16"/>
  <c r="W2132" i="16"/>
  <c r="W2148" i="16"/>
  <c r="W355" i="16"/>
  <c r="W371" i="16"/>
  <c r="W387" i="16"/>
  <c r="W403" i="16"/>
  <c r="W20" i="16"/>
  <c r="W68" i="16"/>
  <c r="W116" i="16"/>
  <c r="W164" i="16"/>
  <c r="W212" i="16"/>
  <c r="W276" i="16"/>
  <c r="W324" i="16"/>
  <c r="W419" i="16"/>
  <c r="W467" i="16"/>
  <c r="W515" i="16"/>
  <c r="W547" i="16"/>
  <c r="W579" i="16"/>
  <c r="W627" i="16"/>
  <c r="W675" i="16"/>
  <c r="W723" i="16"/>
  <c r="W771" i="16"/>
  <c r="W819" i="16"/>
  <c r="W867" i="16"/>
  <c r="W915" i="16"/>
  <c r="W963" i="16"/>
  <c r="W1011" i="16"/>
  <c r="W1059" i="16"/>
  <c r="W1107" i="16"/>
  <c r="W1155" i="16"/>
  <c r="W1306" i="16"/>
  <c r="W1354" i="16"/>
  <c r="W1402" i="16"/>
  <c r="W1450" i="16"/>
  <c r="W1498" i="16"/>
  <c r="W1530" i="16"/>
  <c r="W1578" i="16"/>
  <c r="W1626" i="16"/>
  <c r="W1674" i="16"/>
  <c r="W1722" i="16"/>
  <c r="W1770" i="16"/>
  <c r="W1818" i="16"/>
  <c r="W36" i="16"/>
  <c r="W84" i="16"/>
  <c r="W132" i="16"/>
  <c r="W180" i="16"/>
  <c r="W228" i="16"/>
  <c r="W244" i="16"/>
  <c r="W292" i="16"/>
  <c r="W340" i="16"/>
  <c r="W451" i="16"/>
  <c r="W483" i="16"/>
  <c r="W531" i="16"/>
  <c r="W595" i="16"/>
  <c r="W643" i="16"/>
  <c r="W691" i="16"/>
  <c r="W739" i="16"/>
  <c r="W787" i="16"/>
  <c r="W835" i="16"/>
  <c r="W883" i="16"/>
  <c r="W931" i="16"/>
  <c r="W979" i="16"/>
  <c r="W1027" i="16"/>
  <c r="W1075" i="16"/>
  <c r="W1123" i="16"/>
  <c r="W1187" i="16"/>
  <c r="W1322" i="16"/>
  <c r="W1370" i="16"/>
  <c r="W1418" i="16"/>
  <c r="W1482" i="16"/>
  <c r="W1546" i="16"/>
  <c r="W1594" i="16"/>
  <c r="W1658" i="16"/>
  <c r="W1706" i="16"/>
  <c r="W1754" i="16"/>
  <c r="W1802" i="16"/>
  <c r="W1852" i="16"/>
  <c r="W1868" i="16"/>
  <c r="W1884" i="16"/>
  <c r="W1900" i="16"/>
  <c r="W1916" i="16"/>
  <c r="W1932" i="16"/>
  <c r="W1948" i="16"/>
  <c r="W1964" i="16"/>
  <c r="W1980" i="16"/>
  <c r="W1996" i="16"/>
  <c r="W2012" i="16"/>
  <c r="W2028" i="16"/>
  <c r="W2044" i="16"/>
  <c r="W2060" i="16"/>
  <c r="W2076" i="16"/>
  <c r="W2092" i="16"/>
  <c r="W2108" i="16"/>
  <c r="W2124" i="16"/>
  <c r="W2140" i="16"/>
  <c r="W2417" i="16"/>
  <c r="W3998" i="16"/>
  <c r="W4014" i="16"/>
  <c r="W4030" i="16"/>
  <c r="W4046" i="16"/>
  <c r="W4062" i="16"/>
  <c r="W4078" i="16"/>
  <c r="W4149" i="16"/>
  <c r="W1865" i="16"/>
  <c r="W1881" i="16"/>
  <c r="W1897" i="16"/>
  <c r="W1913" i="16"/>
  <c r="W1929" i="16"/>
  <c r="W1945" i="16"/>
  <c r="W1961" i="16"/>
  <c r="W1977" i="16"/>
  <c r="W1993" i="16"/>
  <c r="W2009" i="16"/>
  <c r="W2025" i="16"/>
  <c r="W2041" i="16"/>
  <c r="W2057" i="16"/>
  <c r="W2073" i="16"/>
  <c r="W2089" i="16"/>
  <c r="W2105" i="16"/>
  <c r="W2121" i="16"/>
  <c r="W2137" i="16"/>
  <c r="W2153" i="16"/>
  <c r="W2169" i="16"/>
  <c r="W2185" i="16"/>
  <c r="W2201" i="16"/>
  <c r="W2543" i="16"/>
  <c r="W2559" i="16"/>
  <c r="W2575" i="16"/>
  <c r="W2591" i="16"/>
  <c r="W2607" i="16"/>
  <c r="W2623" i="16"/>
  <c r="W2639" i="16"/>
  <c r="W2655" i="16"/>
  <c r="W2671" i="16"/>
  <c r="W2687" i="16"/>
  <c r="W2703" i="16"/>
  <c r="W2719" i="16"/>
  <c r="W2735" i="16"/>
  <c r="W2751" i="16"/>
  <c r="W2767" i="16"/>
  <c r="W2783" i="16"/>
  <c r="W2799" i="16"/>
  <c r="W2815" i="16"/>
  <c r="W3575" i="16"/>
  <c r="W3591" i="16"/>
  <c r="W3607" i="16"/>
  <c r="W3623" i="16"/>
  <c r="W3639" i="16"/>
  <c r="W3655" i="16"/>
  <c r="W3671" i="16"/>
  <c r="W3687" i="16"/>
  <c r="W3703" i="16"/>
  <c r="W3719" i="16"/>
  <c r="W3735" i="16"/>
  <c r="W3751" i="16"/>
  <c r="W3767" i="16"/>
  <c r="W3783" i="16"/>
  <c r="W3799" i="16"/>
  <c r="W3815" i="16"/>
  <c r="W3831" i="16"/>
  <c r="W3847" i="16"/>
  <c r="W3863" i="16"/>
  <c r="W3879" i="16"/>
  <c r="W3895" i="16"/>
  <c r="W33" i="16"/>
  <c r="W2427" i="16"/>
  <c r="W4006" i="16"/>
  <c r="W4022" i="16"/>
  <c r="W4038" i="16"/>
  <c r="W4054" i="16"/>
  <c r="W4070" i="16"/>
  <c r="W1873" i="16"/>
  <c r="W1889" i="16"/>
  <c r="W1905" i="16"/>
  <c r="W1921" i="16"/>
  <c r="W1937" i="16"/>
  <c r="W1953" i="16"/>
  <c r="W1969" i="16"/>
  <c r="W1985" i="16"/>
  <c r="W2001" i="16"/>
  <c r="W2017" i="16"/>
  <c r="W2033" i="16"/>
  <c r="W2049" i="16"/>
  <c r="W2065" i="16"/>
  <c r="W2081" i="16"/>
  <c r="W2097" i="16"/>
  <c r="W2113" i="16"/>
  <c r="W2129" i="16"/>
  <c r="W2145" i="16"/>
  <c r="W2161" i="16"/>
  <c r="W2177" i="16"/>
  <c r="W2193" i="16"/>
  <c r="W2551" i="16"/>
  <c r="W2567" i="16"/>
  <c r="W2583" i="16"/>
  <c r="W2599" i="16"/>
  <c r="W2615" i="16"/>
  <c r="W2631" i="16"/>
  <c r="W2647" i="16"/>
  <c r="W2663" i="16"/>
  <c r="W2679" i="16"/>
  <c r="W2695" i="16"/>
  <c r="W2711" i="16"/>
  <c r="W2727" i="16"/>
  <c r="W2743" i="16"/>
  <c r="W2759" i="16"/>
  <c r="W2775" i="16"/>
  <c r="W2791" i="16"/>
  <c r="W2807" i="16"/>
  <c r="W3415" i="16"/>
  <c r="W3431" i="16"/>
  <c r="W3447" i="16"/>
  <c r="W3463" i="16"/>
  <c r="W3479" i="16"/>
  <c r="W3495" i="16"/>
  <c r="W3511" i="16"/>
  <c r="W3527" i="16"/>
  <c r="W3543" i="16"/>
  <c r="W3559" i="16"/>
  <c r="W3410" i="16"/>
  <c r="W3426" i="16"/>
  <c r="W3442" i="16"/>
  <c r="W3458" i="16"/>
  <c r="W3474" i="16"/>
  <c r="W3490" i="16"/>
  <c r="W3506" i="16"/>
  <c r="W3522" i="16"/>
  <c r="W3538" i="16"/>
  <c r="W3554" i="16"/>
  <c r="W3570" i="16"/>
  <c r="W3586" i="16"/>
  <c r="W3599" i="16"/>
  <c r="W3615" i="16"/>
  <c r="W3631" i="16"/>
  <c r="W3647" i="16"/>
  <c r="W3663" i="16"/>
  <c r="W3679" i="16"/>
  <c r="W3695" i="16"/>
  <c r="W3711" i="16"/>
  <c r="W3727" i="16"/>
  <c r="W3743" i="16"/>
  <c r="W3759" i="16"/>
  <c r="W3775" i="16"/>
  <c r="W3791" i="16"/>
  <c r="W3807" i="16"/>
  <c r="W3823" i="16"/>
  <c r="W3839" i="16"/>
  <c r="W3855" i="16"/>
  <c r="W3871" i="16"/>
  <c r="W3887" i="16"/>
  <c r="W75" i="16"/>
  <c r="W51" i="16"/>
  <c r="W19" i="16"/>
  <c r="W67" i="16"/>
  <c r="W354" i="16"/>
  <c r="W370" i="16"/>
  <c r="W386" i="16"/>
  <c r="W402" i="16"/>
  <c r="W27" i="16"/>
  <c r="W59" i="16"/>
  <c r="W83" i="16"/>
  <c r="W99" i="16"/>
  <c r="W115" i="16"/>
  <c r="W131" i="16"/>
  <c r="W147" i="16"/>
  <c r="W163" i="16"/>
  <c r="W179" i="16"/>
  <c r="W195" i="16"/>
  <c r="W211" i="16"/>
  <c r="W227" i="16"/>
  <c r="W243" i="16"/>
  <c r="W259" i="16"/>
  <c r="W275" i="16"/>
  <c r="W291" i="16"/>
  <c r="W307" i="16"/>
  <c r="W323" i="16"/>
  <c r="W339" i="16"/>
  <c r="W418" i="16"/>
  <c r="W434" i="16"/>
  <c r="W450" i="16"/>
  <c r="W466" i="16"/>
  <c r="W482" i="16"/>
  <c r="W498" i="16"/>
  <c r="W514" i="16"/>
  <c r="W530" i="16"/>
  <c r="W546" i="16"/>
  <c r="W562" i="16"/>
  <c r="W578" i="16"/>
  <c r="W594" i="16"/>
  <c r="W610" i="16"/>
  <c r="W626" i="16"/>
  <c r="W642" i="16"/>
  <c r="W658" i="16"/>
  <c r="W674" i="16"/>
  <c r="W690" i="16"/>
  <c r="W706" i="16"/>
  <c r="W722" i="16"/>
  <c r="W738" i="16"/>
  <c r="W754" i="16"/>
  <c r="W770" i="16"/>
  <c r="W786" i="16"/>
  <c r="W802" i="16"/>
  <c r="W818" i="16"/>
  <c r="W834" i="16"/>
  <c r="W850" i="16"/>
  <c r="W866" i="16"/>
  <c r="W882" i="16"/>
  <c r="W898" i="16"/>
  <c r="W914" i="16"/>
  <c r="W930" i="16"/>
  <c r="W946" i="16"/>
  <c r="W962" i="16"/>
  <c r="W978" i="16"/>
  <c r="W994" i="16"/>
  <c r="W1010" i="16"/>
  <c r="W1026" i="16"/>
  <c r="W1042" i="16"/>
  <c r="W1058" i="16"/>
  <c r="W1074" i="16"/>
  <c r="W1090" i="16"/>
  <c r="W1106" i="16"/>
  <c r="W1122" i="16"/>
  <c r="W1138" i="16"/>
  <c r="W1154" i="16"/>
  <c r="W1170" i="16"/>
  <c r="W1186" i="16"/>
  <c r="W1202" i="16"/>
  <c r="W1305" i="16"/>
  <c r="W1321" i="16"/>
  <c r="W1337" i="16"/>
  <c r="W1353" i="16"/>
  <c r="W1369" i="16"/>
  <c r="W1385" i="16"/>
  <c r="W1401" i="16"/>
  <c r="W1417" i="16"/>
  <c r="W1433" i="16"/>
  <c r="W1449" i="16"/>
  <c r="W1465" i="16"/>
  <c r="W1481" i="16"/>
  <c r="W1497" i="16"/>
  <c r="W1513" i="16"/>
  <c r="W1529" i="16"/>
  <c r="W1545" i="16"/>
  <c r="W1561" i="16"/>
  <c r="W1577" i="16"/>
  <c r="W1593" i="16"/>
  <c r="W1609" i="16"/>
  <c r="W1625" i="16"/>
  <c r="W1641" i="16"/>
  <c r="W1657" i="16"/>
  <c r="W1673" i="16"/>
  <c r="W1689" i="16"/>
  <c r="W1705" i="16"/>
  <c r="W1721" i="16"/>
  <c r="W1737" i="16"/>
  <c r="W1753" i="16"/>
  <c r="W1769" i="16"/>
  <c r="W1785" i="16"/>
  <c r="W1801" i="16"/>
  <c r="W1851" i="16"/>
  <c r="W2828" i="16"/>
  <c r="W2844" i="16"/>
  <c r="W2860" i="16"/>
  <c r="W2876" i="16"/>
  <c r="W2924" i="16"/>
  <c r="W2940" i="16"/>
  <c r="W2956" i="16"/>
  <c r="W2972" i="16"/>
  <c r="W2988" i="16"/>
  <c r="W3004" i="16"/>
  <c r="W3020" i="16"/>
  <c r="W3036" i="16"/>
  <c r="W3052" i="16"/>
  <c r="W3068" i="16"/>
  <c r="W3084" i="16"/>
  <c r="W3100" i="16"/>
  <c r="W3116" i="16"/>
  <c r="W3132" i="16"/>
  <c r="W3148" i="16"/>
  <c r="W3164" i="16"/>
  <c r="W3180" i="16"/>
  <c r="W3196" i="16"/>
  <c r="W3212" i="16"/>
  <c r="W3579" i="16"/>
  <c r="W3595" i="16"/>
  <c r="W4097" i="16"/>
  <c r="W4129" i="16"/>
  <c r="W2908" i="16"/>
  <c r="W35" i="16"/>
  <c r="W2892" i="16"/>
  <c r="W1843" i="16"/>
  <c r="W2820" i="16"/>
  <c r="W2836" i="16"/>
  <c r="W2852" i="16"/>
  <c r="W2868" i="16"/>
  <c r="W2884" i="16"/>
  <c r="W2900" i="16"/>
  <c r="W2916" i="16"/>
  <c r="W2932" i="16"/>
  <c r="W2948" i="16"/>
  <c r="W2964" i="16"/>
  <c r="W2980" i="16"/>
  <c r="W2996" i="16"/>
  <c r="W3012" i="16"/>
  <c r="W3028" i="16"/>
  <c r="W3044" i="16"/>
  <c r="W3060" i="16"/>
  <c r="W3076" i="16"/>
  <c r="W3092" i="16"/>
  <c r="W3108" i="16"/>
  <c r="W3124" i="16"/>
  <c r="W3140" i="16"/>
  <c r="W3156" i="16"/>
  <c r="W3172" i="16"/>
  <c r="W3188" i="16"/>
  <c r="W3204" i="16"/>
  <c r="W3220" i="16"/>
  <c r="W3403" i="16"/>
  <c r="W3419" i="16"/>
  <c r="W3435" i="16"/>
  <c r="W3451" i="16"/>
  <c r="W3467" i="16"/>
  <c r="W3483" i="16"/>
  <c r="W3499" i="16"/>
  <c r="W3515" i="16"/>
  <c r="W3531" i="16"/>
  <c r="W3547" i="16"/>
  <c r="W3563" i="16"/>
  <c r="W3414" i="16"/>
  <c r="W3430" i="16"/>
  <c r="W3446" i="16"/>
  <c r="W3462" i="16"/>
  <c r="W3478" i="16"/>
  <c r="W3494" i="16"/>
  <c r="W3510" i="16"/>
  <c r="W3526" i="16"/>
  <c r="W3542" i="16"/>
  <c r="W3558" i="16"/>
  <c r="W3574" i="16"/>
  <c r="W3590" i="16"/>
  <c r="W4081" i="16"/>
  <c r="W4113" i="16"/>
  <c r="W4145" i="16"/>
  <c r="W4000" i="16"/>
  <c r="W4016" i="16"/>
  <c r="W4032" i="16"/>
  <c r="W4048" i="16"/>
  <c r="W4064" i="16"/>
  <c r="W4151" i="16"/>
  <c r="W2441" i="16"/>
  <c r="W2457" i="16"/>
  <c r="W2473" i="16"/>
  <c r="W2489" i="16"/>
  <c r="W2505" i="16"/>
  <c r="W2521" i="16"/>
  <c r="W2537" i="16"/>
  <c r="W3913" i="16"/>
  <c r="W3929" i="16"/>
  <c r="W3945" i="16"/>
  <c r="W3961" i="16"/>
  <c r="W3977" i="16"/>
  <c r="W3993" i="16"/>
  <c r="W4089" i="16"/>
  <c r="W4121" i="16"/>
  <c r="W1817" i="16"/>
  <c r="W1833" i="16"/>
  <c r="W2422" i="16"/>
  <c r="W1867" i="16"/>
  <c r="W1883" i="16"/>
  <c r="W1899" i="16"/>
  <c r="W1915" i="16"/>
  <c r="W1931" i="16"/>
  <c r="W1947" i="16"/>
  <c r="W1963" i="16"/>
  <c r="W1979" i="16"/>
  <c r="W1995" i="16"/>
  <c r="W2011" i="16"/>
  <c r="W2027" i="16"/>
  <c r="W2043" i="16"/>
  <c r="W2059" i="16"/>
  <c r="W2075" i="16"/>
  <c r="W2091" i="16"/>
  <c r="W2107" i="16"/>
  <c r="W2123" i="16"/>
  <c r="W2139" i="16"/>
  <c r="W2155" i="16"/>
  <c r="W2171" i="16"/>
  <c r="W2187" i="16"/>
  <c r="W2203" i="16"/>
  <c r="W2219" i="16"/>
  <c r="W2235" i="16"/>
  <c r="W2251" i="16"/>
  <c r="W2267" i="16"/>
  <c r="W2283" i="16"/>
  <c r="W2299" i="16"/>
  <c r="W2315" i="16"/>
  <c r="W2331" i="16"/>
  <c r="W2347" i="16"/>
  <c r="W2363" i="16"/>
  <c r="W2379" i="16"/>
  <c r="W2395" i="16"/>
  <c r="W2411" i="16"/>
  <c r="W2545" i="16"/>
  <c r="W2561" i="16"/>
  <c r="W2577" i="16"/>
  <c r="W2593" i="16"/>
  <c r="W2609" i="16"/>
  <c r="W2625" i="16"/>
  <c r="W2641" i="16"/>
  <c r="W2657" i="16"/>
  <c r="W2673" i="16"/>
  <c r="W2689" i="16"/>
  <c r="W2705" i="16"/>
  <c r="W2721" i="16"/>
  <c r="W2737" i="16"/>
  <c r="W2753" i="16"/>
  <c r="W2769" i="16"/>
  <c r="W2785" i="16"/>
  <c r="W2801" i="16"/>
  <c r="W3228" i="16"/>
  <c r="W3244" i="16"/>
  <c r="W3260" i="16"/>
  <c r="W3276" i="16"/>
  <c r="W3292" i="16"/>
  <c r="W3308" i="16"/>
  <c r="W3324" i="16"/>
  <c r="W3340" i="16"/>
  <c r="W3356" i="16"/>
  <c r="W3372" i="16"/>
  <c r="W3388" i="16"/>
  <c r="W3609" i="16"/>
  <c r="W3625" i="16"/>
  <c r="W3641" i="16"/>
  <c r="W3657" i="16"/>
  <c r="W3673" i="16"/>
  <c r="W3689" i="16"/>
  <c r="W3705" i="16"/>
  <c r="W3721" i="16"/>
  <c r="W3737" i="16"/>
  <c r="W3753" i="16"/>
  <c r="W3769" i="16"/>
  <c r="W3785" i="16"/>
  <c r="W3801" i="16"/>
  <c r="W3817" i="16"/>
  <c r="W3833" i="16"/>
  <c r="W3849" i="16"/>
  <c r="W3865" i="16"/>
  <c r="W3881" i="16"/>
  <c r="W3897" i="16"/>
  <c r="W4008" i="16"/>
  <c r="W4024" i="16"/>
  <c r="W4040" i="16"/>
  <c r="W4056" i="16"/>
  <c r="W4072" i="16"/>
  <c r="W2433" i="16"/>
  <c r="W2449" i="16"/>
  <c r="W2465" i="16"/>
  <c r="W2481" i="16"/>
  <c r="W2497" i="16"/>
  <c r="W2513" i="16"/>
  <c r="W2529" i="16"/>
  <c r="W3905" i="16"/>
  <c r="W3921" i="16"/>
  <c r="W3937" i="16"/>
  <c r="W3953" i="16"/>
  <c r="W3969" i="16"/>
  <c r="W3985" i="16"/>
  <c r="W4105" i="16"/>
  <c r="W4137" i="16"/>
  <c r="C33" i="51"/>
  <c r="E33" i="51" s="1"/>
  <c r="F33" i="51" s="1"/>
  <c r="T4" i="16"/>
  <c r="W4" i="16" s="1"/>
  <c r="T8" i="16"/>
  <c r="W8" i="16" s="1"/>
  <c r="E18" i="12"/>
  <c r="T4148" i="16"/>
  <c r="W4148" i="16" s="1"/>
  <c r="F118" i="59"/>
  <c r="D291" i="64"/>
  <c r="D118" i="59"/>
  <c r="D291" i="62"/>
  <c r="D291" i="63"/>
  <c r="E118" i="59"/>
  <c r="B118" i="59"/>
  <c r="D291" i="60"/>
  <c r="B297" i="62"/>
  <c r="D297" i="62" s="1"/>
  <c r="D291" i="61"/>
  <c r="C118" i="59"/>
  <c r="B297" i="64"/>
  <c r="D297" i="64" s="1"/>
  <c r="B297" i="63"/>
  <c r="D297" i="63" s="1"/>
  <c r="B297" i="60"/>
  <c r="D297" i="60" s="1"/>
  <c r="E115" i="51" l="1"/>
  <c r="F115" i="51" s="1"/>
  <c r="E163" i="51"/>
  <c r="F163" i="51" s="1"/>
  <c r="E95" i="51"/>
  <c r="F95" i="51" s="1"/>
  <c r="E62" i="51"/>
  <c r="F62" i="51" s="1"/>
  <c r="E148" i="51"/>
  <c r="F148" i="51" s="1"/>
  <c r="E35" i="51"/>
  <c r="F35" i="51" s="1"/>
  <c r="E126" i="51"/>
  <c r="F126" i="51" s="1"/>
  <c r="E149" i="51"/>
  <c r="F149" i="51" s="1"/>
  <c r="E116" i="51"/>
  <c r="F116" i="51" s="1"/>
  <c r="E145" i="51"/>
  <c r="F145" i="51" s="1"/>
  <c r="E114" i="51"/>
  <c r="F114" i="51" s="1"/>
  <c r="E42" i="51"/>
  <c r="F42" i="51" s="1"/>
  <c r="E88" i="51"/>
  <c r="F88" i="51" s="1"/>
  <c r="E164" i="51"/>
  <c r="F164" i="51" s="1"/>
  <c r="E130" i="51"/>
  <c r="F130" i="51" s="1"/>
  <c r="E113" i="51"/>
  <c r="F113" i="51" s="1"/>
  <c r="E38" i="51"/>
  <c r="F38" i="51" s="1"/>
  <c r="E125" i="51"/>
  <c r="F125" i="51" s="1"/>
  <c r="E71" i="51"/>
  <c r="F71" i="51" s="1"/>
  <c r="E159" i="51"/>
  <c r="F159" i="51" s="1"/>
  <c r="B106" i="48"/>
  <c r="BN15" i="16"/>
  <c r="B107" i="48"/>
  <c r="BN18" i="16"/>
  <c r="B94" i="48" s="1"/>
  <c r="E157" i="51"/>
  <c r="F157" i="51" s="1"/>
  <c r="E41" i="51"/>
  <c r="F41" i="51" s="1"/>
  <c r="E54" i="51"/>
  <c r="F54" i="51" s="1"/>
  <c r="E161" i="51"/>
  <c r="F161" i="51" s="1"/>
  <c r="E79" i="51"/>
  <c r="F79" i="51" s="1"/>
  <c r="E165" i="51"/>
  <c r="F165" i="51" s="1"/>
  <c r="E48" i="51"/>
  <c r="F48" i="51" s="1"/>
  <c r="E151" i="51"/>
  <c r="F151" i="51" s="1"/>
  <c r="E63" i="51"/>
  <c r="F63" i="51" s="1"/>
  <c r="E74" i="51"/>
  <c r="F74" i="51" s="1"/>
  <c r="E120" i="51"/>
  <c r="F120" i="51" s="1"/>
  <c r="E45" i="51"/>
  <c r="F45" i="51" s="1"/>
  <c r="E99" i="51"/>
  <c r="F99" i="51" s="1"/>
  <c r="E81" i="51"/>
  <c r="F81" i="51" s="1"/>
  <c r="E94" i="51"/>
  <c r="F94" i="51" s="1"/>
  <c r="E133" i="51"/>
  <c r="F133" i="51" s="1"/>
  <c r="E76" i="51"/>
  <c r="F76" i="51" s="1"/>
  <c r="E143" i="51"/>
  <c r="F143" i="51" s="1"/>
  <c r="E52" i="51"/>
  <c r="F52" i="51" s="1"/>
  <c r="E103" i="51"/>
  <c r="F103" i="51" s="1"/>
  <c r="E66" i="51"/>
  <c r="F66" i="51" s="1"/>
  <c r="E73" i="51"/>
  <c r="F73" i="51" s="1"/>
  <c r="E56" i="51"/>
  <c r="F56" i="51" s="1"/>
  <c r="E59" i="51"/>
  <c r="F59" i="51" s="1"/>
  <c r="E142" i="51"/>
  <c r="F142" i="51" s="1"/>
  <c r="E117" i="51"/>
  <c r="F117" i="51" s="1"/>
  <c r="E70" i="51"/>
  <c r="F70" i="51" s="1"/>
  <c r="E122" i="51"/>
  <c r="F122" i="51" s="1"/>
  <c r="E104" i="51"/>
  <c r="F104" i="51" s="1"/>
  <c r="E166" i="51"/>
  <c r="F166" i="51" s="1"/>
  <c r="E156" i="51"/>
  <c r="F156" i="51" s="1"/>
  <c r="E53" i="51"/>
  <c r="F53" i="51" s="1"/>
  <c r="E155" i="51"/>
  <c r="F155" i="51" s="1"/>
  <c r="E97" i="51"/>
  <c r="F97" i="51" s="1"/>
  <c r="E146" i="51"/>
  <c r="F146" i="51" s="1"/>
  <c r="E123" i="51"/>
  <c r="F123" i="51" s="1"/>
  <c r="E40" i="51"/>
  <c r="F40" i="51" s="1"/>
  <c r="E49" i="51"/>
  <c r="F49" i="51" s="1"/>
  <c r="E50" i="51"/>
  <c r="F50" i="51" s="1"/>
  <c r="E105" i="51"/>
  <c r="F105" i="51" s="1"/>
  <c r="E86" i="51"/>
  <c r="F86" i="51" s="1"/>
  <c r="E51" i="51"/>
  <c r="F51" i="51" s="1"/>
  <c r="E37" i="51"/>
  <c r="F37" i="51" s="1"/>
  <c r="E101" i="51"/>
  <c r="F101" i="51" s="1"/>
  <c r="E138" i="51"/>
  <c r="F138" i="51" s="1"/>
  <c r="E128" i="51"/>
  <c r="F128" i="51" s="1"/>
  <c r="E108" i="51"/>
  <c r="F108" i="51" s="1"/>
  <c r="E153" i="51"/>
  <c r="F153" i="51" s="1"/>
  <c r="E119" i="51"/>
  <c r="F119" i="51" s="1"/>
  <c r="E47" i="51"/>
  <c r="F47" i="51" s="1"/>
  <c r="E39" i="51"/>
  <c r="F39" i="51" s="1"/>
  <c r="E84" i="51"/>
  <c r="F84" i="51" s="1"/>
  <c r="E141" i="51"/>
  <c r="F141" i="51" s="1"/>
  <c r="E43" i="51"/>
  <c r="F43" i="51" s="1"/>
  <c r="E134" i="51"/>
  <c r="F134" i="51" s="1"/>
  <c r="E140" i="51"/>
  <c r="F140" i="51" s="1"/>
  <c r="E150" i="51"/>
  <c r="F150" i="51" s="1"/>
  <c r="E98" i="51"/>
  <c r="F98" i="51" s="1"/>
  <c r="E107" i="51"/>
  <c r="F107" i="51" s="1"/>
  <c r="E61" i="51"/>
  <c r="F61" i="51" s="1"/>
  <c r="E83" i="51"/>
  <c r="F83" i="51" s="1"/>
  <c r="E80" i="51"/>
  <c r="F80" i="51" s="1"/>
  <c r="E92" i="51"/>
  <c r="F92" i="51" s="1"/>
  <c r="E65" i="51"/>
  <c r="F65" i="51" s="1"/>
  <c r="E118" i="51"/>
  <c r="F118" i="51" s="1"/>
  <c r="E132" i="51"/>
  <c r="F132" i="51" s="1"/>
  <c r="E82" i="51"/>
  <c r="F82" i="51" s="1"/>
  <c r="E57" i="51"/>
  <c r="F57" i="51" s="1"/>
  <c r="E110" i="51"/>
  <c r="F110" i="51" s="1"/>
  <c r="E127" i="51"/>
  <c r="F127" i="51" s="1"/>
  <c r="E111" i="51"/>
  <c r="F111" i="51" s="1"/>
  <c r="C34" i="51"/>
  <c r="E34" i="51" s="1"/>
  <c r="F34" i="51" s="1"/>
  <c r="E139" i="51"/>
  <c r="F139" i="51" s="1"/>
  <c r="E121" i="51"/>
  <c r="F121" i="51" s="1"/>
  <c r="E90" i="51"/>
  <c r="F90" i="51" s="1"/>
  <c r="E152" i="51"/>
  <c r="F152" i="51" s="1"/>
  <c r="E55" i="51"/>
  <c r="F55" i="51" s="1"/>
  <c r="E60" i="51"/>
  <c r="F60" i="51" s="1"/>
  <c r="E160" i="51"/>
  <c r="F160" i="51" s="1"/>
  <c r="E44" i="51"/>
  <c r="F44" i="51" s="1"/>
  <c r="E100" i="51"/>
  <c r="F100" i="51" s="1"/>
  <c r="C31" i="51"/>
  <c r="E31" i="51" s="1"/>
  <c r="F31" i="51" s="1"/>
  <c r="E102" i="51"/>
  <c r="F102" i="51" s="1"/>
  <c r="C32" i="51"/>
  <c r="E32" i="51" s="1"/>
  <c r="F32" i="51" s="1"/>
  <c r="BP18" i="16"/>
  <c r="B81" i="48" s="1"/>
  <c r="BP15" i="16"/>
  <c r="B80" i="48" s="1"/>
  <c r="C25" i="51"/>
  <c r="E25" i="51" s="1"/>
  <c r="F25" i="51" s="1"/>
  <c r="E68" i="48"/>
  <c r="L68" i="48" s="1"/>
  <c r="E67" i="48"/>
  <c r="L67" i="48" s="1"/>
  <c r="F21" i="51" l="1"/>
  <c r="BW12" i="16"/>
  <c r="BV28" i="16" s="1"/>
  <c r="CE13" i="16"/>
  <c r="CD29" i="16" s="1"/>
  <c r="CB11" i="16"/>
  <c r="CA27" i="16" s="1"/>
  <c r="BY10" i="16" l="1"/>
  <c r="CE6" i="16"/>
  <c r="CD22" i="16" s="1"/>
  <c r="CB13" i="16"/>
  <c r="CA29" i="16" s="1"/>
  <c r="BV27" i="16"/>
  <c r="BZ11" i="16"/>
  <c r="BY27" i="16" s="1"/>
  <c r="BW10" i="16"/>
  <c r="CH15" i="16"/>
  <c r="CG31" i="16" s="1"/>
  <c r="BV15" i="16"/>
  <c r="BV13" i="16"/>
  <c r="BV11" i="16"/>
  <c r="BV9" i="16"/>
  <c r="BV7" i="16"/>
  <c r="BV5" i="16"/>
  <c r="BV14" i="16"/>
  <c r="BV12" i="16"/>
  <c r="BV10" i="16"/>
  <c r="BV8" i="16"/>
  <c r="BV6" i="16"/>
  <c r="CB15" i="16"/>
  <c r="CA31" i="16" s="1"/>
  <c r="CH11" i="16"/>
  <c r="CG27" i="16" s="1"/>
  <c r="BZ10" i="16"/>
  <c r="BY26" i="16" s="1"/>
  <c r="BZ14" i="16"/>
  <c r="BY30" i="16" s="1"/>
  <c r="CH6" i="16"/>
  <c r="CG22" i="16" s="1"/>
  <c r="CA12" i="16"/>
  <c r="BZ28" i="16" s="1"/>
  <c r="CA11" i="16"/>
  <c r="BZ27" i="16" s="1"/>
  <c r="BX10" i="16"/>
  <c r="CH5" i="16"/>
  <c r="CG21" i="16" s="1"/>
  <c r="CB10" i="16"/>
  <c r="CC6" i="16"/>
  <c r="CB22" i="16" s="1"/>
  <c r="CB12" i="16"/>
  <c r="CA28" i="16" s="1"/>
  <c r="BW14" i="16"/>
  <c r="BV30" i="16" s="1"/>
  <c r="CC13" i="16"/>
  <c r="CB29" i="16" s="1"/>
  <c r="CC11" i="16"/>
  <c r="CB27" i="16" s="1"/>
  <c r="CH10" i="16"/>
  <c r="CG26" i="16" s="1"/>
  <c r="BW13" i="16"/>
  <c r="BV29" i="16" s="1"/>
  <c r="BX12" i="16"/>
  <c r="BW28" i="16" s="1"/>
  <c r="CE10" i="16"/>
  <c r="CD26" i="16" s="1"/>
  <c r="CA14" i="16"/>
  <c r="BZ30" i="16" s="1"/>
  <c r="CC14" i="16"/>
  <c r="CB30" i="16" s="1"/>
  <c r="CA10" i="16"/>
  <c r="CE11" i="16"/>
  <c r="CD27" i="16" s="1"/>
  <c r="CE15" i="16"/>
  <c r="CD31" i="16" s="1"/>
  <c r="BZ12" i="16"/>
  <c r="BY28" i="16" s="1"/>
  <c r="BY14" i="16"/>
  <c r="BX30" i="16" s="1"/>
  <c r="CC12" i="16"/>
  <c r="CB28" i="16" s="1"/>
  <c r="BY11" i="16"/>
  <c r="BX27" i="16" s="1"/>
  <c r="BY12" i="16"/>
  <c r="BX28" i="16" s="1"/>
  <c r="CE12" i="16"/>
  <c r="CD28" i="16" s="1"/>
  <c r="BX13" i="16"/>
  <c r="BW29" i="16" s="1"/>
  <c r="CE5" i="16"/>
  <c r="CC15" i="16"/>
  <c r="CB31" i="16" s="1"/>
  <c r="CC10" i="16"/>
  <c r="CB26" i="16" s="1"/>
  <c r="CE14" i="16"/>
  <c r="CD30" i="16" s="1"/>
  <c r="BX14" i="16"/>
  <c r="BW30" i="16" s="1"/>
  <c r="CH13" i="16"/>
  <c r="CG29" i="16" s="1"/>
  <c r="CH14" i="16"/>
  <c r="CG30" i="16" s="1"/>
  <c r="BX11" i="16"/>
  <c r="BW27" i="16" s="1"/>
  <c r="CC5" i="16"/>
  <c r="CH12" i="16"/>
  <c r="CG28" i="16" s="1"/>
  <c r="CB14" i="16"/>
  <c r="CA30" i="16" s="1"/>
  <c r="H19" i="65" l="1"/>
  <c r="BK13" i="16" s="1"/>
  <c r="I19" i="65"/>
  <c r="BK15" i="16" s="1"/>
  <c r="E19" i="65"/>
  <c r="BK10" i="16" s="1"/>
  <c r="BW26" i="16"/>
  <c r="C19" i="65"/>
  <c r="BZ26" i="16"/>
  <c r="F19" i="65"/>
  <c r="BK11" i="16" s="1"/>
  <c r="C103" i="48" s="1"/>
  <c r="CA26" i="16"/>
  <c r="G19" i="65"/>
  <c r="BV26" i="16"/>
  <c r="B19" i="65"/>
  <c r="BK7" i="16" s="1"/>
  <c r="C99" i="48" s="1"/>
  <c r="BX26" i="16"/>
  <c r="D19" i="65"/>
  <c r="BK9" i="16" s="1"/>
  <c r="C101" i="48" s="1"/>
  <c r="J19" i="65"/>
  <c r="BK18" i="16" s="1"/>
  <c r="BY4" i="16"/>
  <c r="BY3" i="16" s="1"/>
  <c r="BX19" i="16" s="1"/>
  <c r="BM13" i="16"/>
  <c r="BM11" i="16"/>
  <c r="BN11" i="16" s="1"/>
  <c r="BM10" i="16"/>
  <c r="BN10" i="16" s="1"/>
  <c r="B89" i="48" s="1"/>
  <c r="BM9" i="16"/>
  <c r="BN9" i="16" s="1"/>
  <c r="BM7" i="16"/>
  <c r="BN7" i="16" s="1"/>
  <c r="BM8" i="16"/>
  <c r="BN8" i="16" s="1"/>
  <c r="BV16" i="16"/>
  <c r="BV4" i="16"/>
  <c r="BV3" i="16" s="1"/>
  <c r="BX4" i="16"/>
  <c r="BX3" i="16" s="1"/>
  <c r="BW19" i="16" s="1"/>
  <c r="BX16" i="16"/>
  <c r="BY16" i="16"/>
  <c r="CC16" i="16"/>
  <c r="CE16" i="16"/>
  <c r="CB21" i="16"/>
  <c r="CC4" i="16"/>
  <c r="CC3" i="16" s="1"/>
  <c r="CB19" i="16" s="1"/>
  <c r="CA16" i="16"/>
  <c r="CB16" i="16"/>
  <c r="BW16" i="16"/>
  <c r="CE4" i="16"/>
  <c r="CD20" i="16" s="1"/>
  <c r="CD21" i="16"/>
  <c r="CA4" i="16"/>
  <c r="BZ20" i="16" s="1"/>
  <c r="CB4" i="16"/>
  <c r="CB3" i="16" s="1"/>
  <c r="CA19" i="16" s="1"/>
  <c r="CH4" i="16"/>
  <c r="CH3" i="16" s="1"/>
  <c r="CG19" i="16" s="1"/>
  <c r="CH16" i="16"/>
  <c r="BW4" i="16"/>
  <c r="BV20" i="16" s="1"/>
  <c r="BZ4" i="16"/>
  <c r="BZ3" i="16" s="1"/>
  <c r="BY19" i="16" s="1"/>
  <c r="BZ16" i="16"/>
  <c r="CG32" i="16" l="1"/>
  <c r="CB32" i="16"/>
  <c r="BX32" i="16"/>
  <c r="BY32" i="16"/>
  <c r="BZ32" i="16"/>
  <c r="BW20" i="16"/>
  <c r="BX20" i="16"/>
  <c r="BW32" i="16"/>
  <c r="BV32" i="16"/>
  <c r="CD32" i="16"/>
  <c r="CA32" i="16"/>
  <c r="BM20" i="16"/>
  <c r="BN20" i="16" s="1"/>
  <c r="B38" i="48" s="1"/>
  <c r="BM23" i="16"/>
  <c r="BN23" i="16" s="1"/>
  <c r="B41" i="48" s="1"/>
  <c r="C102" i="48"/>
  <c r="BK22" i="16"/>
  <c r="C48" i="48" s="1"/>
  <c r="BM22" i="16"/>
  <c r="BN22" i="16" s="1"/>
  <c r="B40" i="48" s="1"/>
  <c r="BM21" i="16"/>
  <c r="C105" i="48"/>
  <c r="BK21" i="16"/>
  <c r="C47" i="48" s="1"/>
  <c r="C107" i="48"/>
  <c r="B93" i="48"/>
  <c r="C106" i="48"/>
  <c r="D106" i="48" s="1"/>
  <c r="BL8" i="16"/>
  <c r="B61" i="48" s="1"/>
  <c r="BO8" i="16"/>
  <c r="B100" i="48" s="1"/>
  <c r="BL9" i="16"/>
  <c r="BP9" i="16" s="1"/>
  <c r="B75" i="48" s="1"/>
  <c r="BO9" i="16"/>
  <c r="B88" i="48" s="1"/>
  <c r="BL11" i="16"/>
  <c r="BO11" i="16"/>
  <c r="B103" i="48" s="1"/>
  <c r="B65" i="48"/>
  <c r="BO12" i="16"/>
  <c r="B104" i="48" s="1"/>
  <c r="BL7" i="16"/>
  <c r="BP7" i="16" s="1"/>
  <c r="BO7" i="16"/>
  <c r="B99" i="48" s="1"/>
  <c r="BL10" i="16"/>
  <c r="B63" i="48" s="1"/>
  <c r="BO10" i="16"/>
  <c r="B102" i="48" s="1"/>
  <c r="BL13" i="16"/>
  <c r="BO13" i="16"/>
  <c r="BK12" i="16"/>
  <c r="BK8" i="16"/>
  <c r="BY20" i="16"/>
  <c r="CA20" i="16"/>
  <c r="CG20" i="16"/>
  <c r="CE3" i="16"/>
  <c r="CD19" i="16" s="1"/>
  <c r="C20" i="45"/>
  <c r="G20" i="45" s="1"/>
  <c r="C17" i="45"/>
  <c r="G17" i="45" s="1"/>
  <c r="C15" i="45"/>
  <c r="G15" i="45" s="1"/>
  <c r="F22" i="45" s="1"/>
  <c r="C19" i="45"/>
  <c r="G19" i="45" s="1"/>
  <c r="C16" i="45"/>
  <c r="C18" i="45"/>
  <c r="G18" i="45" s="1"/>
  <c r="C21" i="45"/>
  <c r="G21" i="45" s="1"/>
  <c r="CB20" i="16"/>
  <c r="BW3" i="16"/>
  <c r="BV19" i="16" s="1"/>
  <c r="CA3" i="16"/>
  <c r="BZ19" i="16" s="1"/>
  <c r="BO21" i="16" l="1"/>
  <c r="B105" i="48"/>
  <c r="B66" i="48"/>
  <c r="E66" i="48" s="1"/>
  <c r="L66" i="48" s="1"/>
  <c r="BP11" i="16"/>
  <c r="B77" i="48" s="1"/>
  <c r="B64" i="48"/>
  <c r="BN13" i="16"/>
  <c r="B92" i="48" s="1"/>
  <c r="BN21" i="16"/>
  <c r="B39" i="48" s="1"/>
  <c r="B73" i="48"/>
  <c r="G16" i="45"/>
  <c r="B47" i="48"/>
  <c r="D47" i="48" s="1"/>
  <c r="B90" i="48"/>
  <c r="B60" i="48"/>
  <c r="E60" i="48" s="1"/>
  <c r="L60" i="48" s="1"/>
  <c r="B62" i="48"/>
  <c r="E62" i="48" s="1"/>
  <c r="L62" i="48" s="1"/>
  <c r="BO22" i="16"/>
  <c r="B48" i="48" s="1"/>
  <c r="B101" i="48"/>
  <c r="D101" i="48" s="1"/>
  <c r="C100" i="48"/>
  <c r="D100" i="48" s="1"/>
  <c r="BK20" i="16"/>
  <c r="C46" i="48" s="1"/>
  <c r="BO23" i="16"/>
  <c r="B49" i="48" s="1"/>
  <c r="BO20" i="16"/>
  <c r="B46" i="48" s="1"/>
  <c r="C104" i="48"/>
  <c r="D104" i="48" s="1"/>
  <c r="BK23" i="16"/>
  <c r="C49" i="48" s="1"/>
  <c r="BP13" i="16"/>
  <c r="B79" i="48" s="1"/>
  <c r="BL21" i="16"/>
  <c r="BP10" i="16"/>
  <c r="B76" i="48" s="1"/>
  <c r="BL22" i="16"/>
  <c r="BP12" i="16"/>
  <c r="BL23" i="16"/>
  <c r="B25" i="48" s="1"/>
  <c r="BP8" i="16"/>
  <c r="BL20" i="16"/>
  <c r="D107" i="48"/>
  <c r="E65" i="48"/>
  <c r="L65" i="48" s="1"/>
  <c r="E64" i="48"/>
  <c r="L64" i="48" s="1"/>
  <c r="E61" i="48"/>
  <c r="L61" i="48" s="1"/>
  <c r="D99" i="48"/>
  <c r="B86" i="48"/>
  <c r="B87" i="48"/>
  <c r="E63" i="48"/>
  <c r="L63" i="48" s="1"/>
  <c r="BK26" i="16"/>
  <c r="B22" i="48" l="1"/>
  <c r="BK32" i="16" s="1"/>
  <c r="B24" i="48"/>
  <c r="BM32" i="16" s="1"/>
  <c r="I97" i="48"/>
  <c r="I71" i="48"/>
  <c r="I77" i="48" s="1"/>
  <c r="B23" i="48"/>
  <c r="BL32" i="16"/>
  <c r="BN32" i="16"/>
  <c r="D48" i="48"/>
  <c r="B91" i="48"/>
  <c r="D103" i="48"/>
  <c r="D49" i="48"/>
  <c r="B74" i="48"/>
  <c r="BP20" i="16"/>
  <c r="B30" i="48" s="1"/>
  <c r="BK33" i="16" s="1"/>
  <c r="B78" i="48"/>
  <c r="BP23" i="16"/>
  <c r="B33" i="48" s="1"/>
  <c r="BP22" i="16"/>
  <c r="B32" i="48" s="1"/>
  <c r="BM33" i="16" s="1"/>
  <c r="BP21" i="16"/>
  <c r="B31" i="48" s="1"/>
  <c r="BL33" i="16" s="1"/>
  <c r="D102" i="48"/>
  <c r="D105" i="48"/>
  <c r="BK3" i="16"/>
  <c r="B69" i="48" s="1"/>
  <c r="I102" i="48" l="1"/>
  <c r="L102" i="48" s="1"/>
  <c r="I105" i="48"/>
  <c r="L105" i="48" s="1"/>
  <c r="I104" i="48"/>
  <c r="L104" i="48" s="1"/>
  <c r="F102" i="48"/>
  <c r="F105" i="48"/>
  <c r="F104" i="48"/>
  <c r="I74" i="48"/>
  <c r="I82" i="48"/>
  <c r="I75" i="48"/>
  <c r="I72" i="48"/>
  <c r="I79" i="48"/>
  <c r="I80" i="48"/>
  <c r="I78" i="48"/>
  <c r="I76" i="48"/>
  <c r="I73" i="48"/>
  <c r="I81" i="48"/>
  <c r="I98" i="48"/>
  <c r="I103" i="48"/>
  <c r="L103" i="48" s="1"/>
  <c r="I99" i="48"/>
  <c r="L99" i="48" s="1"/>
  <c r="I101" i="48"/>
  <c r="L101" i="48" s="1"/>
  <c r="I108" i="48"/>
  <c r="I100" i="48"/>
  <c r="L100" i="48" s="1"/>
  <c r="I107" i="48"/>
  <c r="L107" i="48" s="1"/>
  <c r="I106" i="48"/>
  <c r="L106" i="48" s="1"/>
  <c r="BO32" i="16"/>
  <c r="B26" i="48" s="1"/>
  <c r="E74" i="48"/>
  <c r="L74" i="48" s="1"/>
  <c r="E73" i="48"/>
  <c r="L73" i="48" s="1"/>
  <c r="E75" i="48"/>
  <c r="L75" i="48" s="1"/>
  <c r="F107" i="48"/>
  <c r="E76" i="48"/>
  <c r="L76" i="48" s="1"/>
  <c r="F106" i="48"/>
  <c r="E77" i="48"/>
  <c r="L77" i="48" s="1"/>
  <c r="F103" i="48"/>
  <c r="E78" i="48"/>
  <c r="L78" i="48" s="1"/>
  <c r="F101" i="48"/>
  <c r="E79" i="48"/>
  <c r="L79" i="48" s="1"/>
  <c r="F100" i="48"/>
  <c r="E81" i="48"/>
  <c r="L81" i="48" s="1"/>
  <c r="E80" i="48"/>
  <c r="L80" i="48" s="1"/>
  <c r="F99" i="48"/>
  <c r="BM34" i="16"/>
  <c r="BN34" i="16"/>
  <c r="BN33" i="16"/>
  <c r="BO33" i="16" s="1"/>
  <c r="L34" i="48" s="1"/>
  <c r="BM35" i="16"/>
  <c r="BL34" i="16"/>
  <c r="D46" i="48"/>
  <c r="BK34" i="16"/>
  <c r="BN35" i="16"/>
  <c r="E32" i="48" l="1"/>
  <c r="E33" i="48"/>
  <c r="E31" i="48"/>
  <c r="F46" i="48"/>
  <c r="F47" i="48"/>
  <c r="E30" i="48"/>
  <c r="F48" i="48"/>
  <c r="F49" i="48"/>
  <c r="B34" i="48"/>
  <c r="E38" i="48" s="1"/>
  <c r="BM36" i="16"/>
  <c r="B82" i="48"/>
  <c r="BN26" i="16"/>
  <c r="BL35" i="16"/>
  <c r="BL36" i="16" s="1"/>
  <c r="BK35" i="16"/>
  <c r="BK36" i="16" s="1"/>
  <c r="BN36" i="16"/>
  <c r="BO34" i="16"/>
  <c r="I84" i="48" l="1"/>
  <c r="E92" i="48"/>
  <c r="E91" i="48"/>
  <c r="E89" i="48"/>
  <c r="E40" i="48"/>
  <c r="E41" i="48"/>
  <c r="E39" i="48"/>
  <c r="L42" i="48"/>
  <c r="E88" i="48"/>
  <c r="BJ40" i="16"/>
  <c r="E87" i="48"/>
  <c r="E86" i="48"/>
  <c r="E90" i="48"/>
  <c r="E94" i="48"/>
  <c r="E93" i="48"/>
  <c r="BL3" i="16"/>
  <c r="BO35" i="16"/>
  <c r="B50" i="48" s="1"/>
  <c r="I92" i="48" l="1"/>
  <c r="I89" i="48"/>
  <c r="L89" i="48" s="1"/>
  <c r="I91" i="48"/>
  <c r="I94" i="48"/>
  <c r="L94" i="48" s="1"/>
  <c r="I93" i="48"/>
  <c r="L93" i="48" s="1"/>
  <c r="I88" i="48"/>
  <c r="L88" i="48" s="1"/>
  <c r="I86" i="48"/>
  <c r="L86" i="48" s="1"/>
  <c r="I90" i="48"/>
  <c r="L90" i="48" s="1"/>
  <c r="I87" i="48"/>
  <c r="L87" i="48" s="1"/>
  <c r="I95" i="48"/>
  <c r="I85" i="48"/>
  <c r="K50" i="48"/>
  <c r="BN3" i="16"/>
  <c r="B108" i="48" s="1"/>
  <c r="K108" i="48" s="1"/>
  <c r="BO36" i="16"/>
  <c r="L91" i="48" l="1"/>
  <c r="L92" i="48"/>
  <c r="BM3" i="16"/>
  <c r="B95" i="48" s="1"/>
  <c r="K95" i="48" s="1"/>
  <c r="J6" i="48"/>
  <c r="J5" i="48"/>
  <c r="J7" i="48"/>
  <c r="J4" i="48"/>
  <c r="J11" i="48" l="1"/>
  <c r="J12" i="48" s="1"/>
  <c r="J13" i="48" l="1"/>
  <c r="J14" i="48" s="1"/>
  <c r="J15" i="48" s="1"/>
  <c r="J16" i="48" s="1"/>
  <c r="J17" i="48" s="1"/>
  <c r="J18" i="48" s="1"/>
  <c r="J21" i="48" l="1"/>
  <c r="J22" i="48" s="1"/>
  <c r="J19" i="48"/>
  <c r="J23" i="48" l="1"/>
  <c r="L22" i="48"/>
  <c r="J24" i="48" l="1"/>
  <c r="L23" i="48"/>
  <c r="J25" i="48" l="1"/>
  <c r="L24" i="48"/>
  <c r="I36" i="48" l="1"/>
  <c r="J26" i="48"/>
  <c r="L25" i="48"/>
  <c r="I41" i="48" l="1"/>
  <c r="I38" i="48"/>
  <c r="I39" i="48"/>
  <c r="I40" i="48"/>
  <c r="J27" i="48"/>
  <c r="J28" i="48" s="1"/>
  <c r="J29" i="48" s="1"/>
  <c r="J30" i="48" s="1"/>
  <c r="J31" i="48" s="1"/>
  <c r="J32" i="48" s="1"/>
  <c r="J33" i="48" s="1"/>
  <c r="J34" i="48" s="1"/>
  <c r="G44" i="48"/>
  <c r="I28" i="48"/>
  <c r="I31" i="48" l="1"/>
  <c r="L31" i="48" s="1"/>
  <c r="I30" i="48"/>
  <c r="L30" i="48" s="1"/>
  <c r="I33" i="48"/>
  <c r="L33" i="48" s="1"/>
  <c r="I32" i="48"/>
  <c r="L32" i="48" s="1"/>
  <c r="I37" i="48"/>
  <c r="J35" i="48"/>
  <c r="J36" i="48" s="1"/>
  <c r="J37" i="48" s="1"/>
  <c r="J38" i="48" s="1"/>
  <c r="I29" i="48"/>
  <c r="I34" i="48"/>
  <c r="B42" i="48" l="1"/>
  <c r="J39" i="48"/>
  <c r="J40" i="48" s="1"/>
  <c r="L38" i="48"/>
  <c r="K42" i="48" l="1"/>
  <c r="I44" i="48" s="1"/>
  <c r="L50" i="48"/>
  <c r="L39" i="48"/>
  <c r="I42" i="48"/>
  <c r="J41" i="48"/>
  <c r="J42" i="48" s="1"/>
  <c r="L40" i="48"/>
  <c r="I46" i="48" l="1"/>
  <c r="L46" i="48" s="1"/>
  <c r="I47" i="48"/>
  <c r="L47" i="48" s="1"/>
  <c r="J52" i="48" s="1"/>
  <c r="I48" i="48"/>
  <c r="L48" i="48" s="1"/>
  <c r="I49" i="48"/>
  <c r="L49" i="48" s="1"/>
  <c r="I50" i="48"/>
  <c r="I45" i="48"/>
  <c r="L41" i="48"/>
  <c r="J85" i="48" l="1"/>
  <c r="J79" i="48"/>
  <c r="J105" i="48"/>
  <c r="J81" i="48"/>
  <c r="J59" i="48"/>
  <c r="J84" i="48"/>
  <c r="J91" i="48"/>
  <c r="J62" i="48"/>
  <c r="J86" i="48"/>
  <c r="J64" i="48"/>
  <c r="J82" i="48"/>
  <c r="J95" i="48"/>
  <c r="J76" i="48"/>
  <c r="J90" i="48"/>
  <c r="J54" i="48"/>
  <c r="J58" i="48"/>
  <c r="J78" i="48"/>
  <c r="J100" i="48"/>
  <c r="J88" i="48"/>
  <c r="J87" i="48"/>
  <c r="J77" i="48"/>
  <c r="J89" i="48"/>
  <c r="J104" i="48"/>
  <c r="J99" i="48"/>
  <c r="J71" i="48"/>
  <c r="J107" i="48"/>
  <c r="J68" i="48"/>
  <c r="J106" i="48"/>
  <c r="J67" i="48"/>
  <c r="J92" i="48"/>
  <c r="J56" i="48"/>
  <c r="J97" i="48"/>
  <c r="J93" i="48"/>
  <c r="J94" i="48"/>
  <c r="J61" i="48"/>
  <c r="J69" i="48"/>
  <c r="J75" i="48"/>
  <c r="J102" i="48"/>
  <c r="J108" i="48"/>
  <c r="J60" i="48"/>
  <c r="J66" i="48"/>
  <c r="J55" i="48"/>
  <c r="J73" i="48"/>
  <c r="J63" i="48"/>
  <c r="J53" i="48"/>
  <c r="J101" i="48"/>
  <c r="J80" i="48"/>
  <c r="J74" i="48"/>
  <c r="J57" i="48"/>
  <c r="J65" i="48"/>
  <c r="J98" i="48"/>
  <c r="J72" i="48"/>
  <c r="J103" i="48"/>
</calcChain>
</file>

<file path=xl/sharedStrings.xml><?xml version="1.0" encoding="utf-8"?>
<sst xmlns="http://schemas.openxmlformats.org/spreadsheetml/2006/main" count="23528" uniqueCount="10653">
  <si>
    <t>EPN</t>
  </si>
  <si>
    <t>Total</t>
  </si>
  <si>
    <t>Pollutant</t>
  </si>
  <si>
    <t>VOC</t>
  </si>
  <si>
    <t>Release height (ft)</t>
  </si>
  <si>
    <t>Best Available Control Technology</t>
  </si>
  <si>
    <t>Yes</t>
  </si>
  <si>
    <t>No</t>
  </si>
  <si>
    <t>Title V Threshold (TPY)</t>
  </si>
  <si>
    <t>NA Threshold NOX and VOC (TPY)</t>
  </si>
  <si>
    <t>NA Threshold PM10 (TPY)</t>
  </si>
  <si>
    <t>Anderson</t>
  </si>
  <si>
    <t>Andrews</t>
  </si>
  <si>
    <t>Angelina</t>
  </si>
  <si>
    <t>Aransas</t>
  </si>
  <si>
    <t>Archer</t>
  </si>
  <si>
    <t>Armstrong</t>
  </si>
  <si>
    <t>Atascosa</t>
  </si>
  <si>
    <t>Austin</t>
  </si>
  <si>
    <t>Bailey</t>
  </si>
  <si>
    <t>Bandera</t>
  </si>
  <si>
    <t>Bastrop</t>
  </si>
  <si>
    <t>Baylor</t>
  </si>
  <si>
    <t>Bee</t>
  </si>
  <si>
    <t>Bell</t>
  </si>
  <si>
    <t>Bexar</t>
  </si>
  <si>
    <t>Blanco</t>
  </si>
  <si>
    <t>Borden</t>
  </si>
  <si>
    <t>Bosque</t>
  </si>
  <si>
    <t>Bowie</t>
  </si>
  <si>
    <t>Brazoria</t>
  </si>
  <si>
    <t>Brazos</t>
  </si>
  <si>
    <t>Brewster</t>
  </si>
  <si>
    <t>Briscoe</t>
  </si>
  <si>
    <t>Brooks</t>
  </si>
  <si>
    <t>Brown</t>
  </si>
  <si>
    <t>Burleson</t>
  </si>
  <si>
    <t>Burnet</t>
  </si>
  <si>
    <t>Caldwell</t>
  </si>
  <si>
    <t>Calhoun</t>
  </si>
  <si>
    <t>Callahan</t>
  </si>
  <si>
    <t>Cameron</t>
  </si>
  <si>
    <t>Camp</t>
  </si>
  <si>
    <t>Carson</t>
  </si>
  <si>
    <t>Cass</t>
  </si>
  <si>
    <t>Castro</t>
  </si>
  <si>
    <t>Chambers</t>
  </si>
  <si>
    <t>Cherokee</t>
  </si>
  <si>
    <t>Childress</t>
  </si>
  <si>
    <t>Clay</t>
  </si>
  <si>
    <t>Cochran</t>
  </si>
  <si>
    <t>Coke</t>
  </si>
  <si>
    <t>Coleman</t>
  </si>
  <si>
    <t>Collin</t>
  </si>
  <si>
    <t>Collingsworth</t>
  </si>
  <si>
    <t>Colorado</t>
  </si>
  <si>
    <t>Comal</t>
  </si>
  <si>
    <t>Comanche</t>
  </si>
  <si>
    <t>Concho</t>
  </si>
  <si>
    <t>Cooke</t>
  </si>
  <si>
    <t>Coryell</t>
  </si>
  <si>
    <t>Cottle</t>
  </si>
  <si>
    <t>Crane</t>
  </si>
  <si>
    <t>Crockett</t>
  </si>
  <si>
    <t>Crosby</t>
  </si>
  <si>
    <t>Culberson</t>
  </si>
  <si>
    <t>Dallam</t>
  </si>
  <si>
    <t>Dallas</t>
  </si>
  <si>
    <t>Dawson</t>
  </si>
  <si>
    <t>Deaf Smith</t>
  </si>
  <si>
    <t>Delta</t>
  </si>
  <si>
    <t>Denton</t>
  </si>
  <si>
    <t>DeWitt</t>
  </si>
  <si>
    <t>Dickens</t>
  </si>
  <si>
    <t>Dimmit</t>
  </si>
  <si>
    <t>Donley</t>
  </si>
  <si>
    <t>Duval</t>
  </si>
  <si>
    <t>Eastland</t>
  </si>
  <si>
    <t>Ector</t>
  </si>
  <si>
    <t>Edwards</t>
  </si>
  <si>
    <t>Ellis</t>
  </si>
  <si>
    <t>El Paso</t>
  </si>
  <si>
    <t>Erath</t>
  </si>
  <si>
    <t>Falls</t>
  </si>
  <si>
    <t>Fannin</t>
  </si>
  <si>
    <t>Fayette</t>
  </si>
  <si>
    <t>Fisher</t>
  </si>
  <si>
    <t>Floyd</t>
  </si>
  <si>
    <t>Foard</t>
  </si>
  <si>
    <t>Fort Bend</t>
  </si>
  <si>
    <t>Franklin</t>
  </si>
  <si>
    <t>Freestone</t>
  </si>
  <si>
    <t>Frio</t>
  </si>
  <si>
    <t>Gaines</t>
  </si>
  <si>
    <t>Galveston</t>
  </si>
  <si>
    <t>Garza</t>
  </si>
  <si>
    <t>Gillespie</t>
  </si>
  <si>
    <t>Glasscock</t>
  </si>
  <si>
    <t>Goliad</t>
  </si>
  <si>
    <t>Gonzales</t>
  </si>
  <si>
    <t>Gray</t>
  </si>
  <si>
    <t>Grayson</t>
  </si>
  <si>
    <t>Gregg</t>
  </si>
  <si>
    <t>Grimes</t>
  </si>
  <si>
    <t>Guadalupe</t>
  </si>
  <si>
    <t>Hale</t>
  </si>
  <si>
    <t>Hall</t>
  </si>
  <si>
    <t>Hamilton</t>
  </si>
  <si>
    <t>Hansford</t>
  </si>
  <si>
    <t>Hardeman</t>
  </si>
  <si>
    <t>Hardin</t>
  </si>
  <si>
    <t>Harris</t>
  </si>
  <si>
    <t>Harrison</t>
  </si>
  <si>
    <t>Hartley</t>
  </si>
  <si>
    <t>Haskell</t>
  </si>
  <si>
    <t>Hays</t>
  </si>
  <si>
    <t>Hemphill</t>
  </si>
  <si>
    <t>Henderson</t>
  </si>
  <si>
    <t>Hidalgo</t>
  </si>
  <si>
    <t>Hill</t>
  </si>
  <si>
    <t>Hockley</t>
  </si>
  <si>
    <t>Hood</t>
  </si>
  <si>
    <t>Hopkins</t>
  </si>
  <si>
    <t>Houston</t>
  </si>
  <si>
    <t>Howard</t>
  </si>
  <si>
    <t>Hudspeth</t>
  </si>
  <si>
    <t>Hunt</t>
  </si>
  <si>
    <t>Hutchinson</t>
  </si>
  <si>
    <t>Irion</t>
  </si>
  <si>
    <t>Jack</t>
  </si>
  <si>
    <t>Jackson</t>
  </si>
  <si>
    <t>Jasper</t>
  </si>
  <si>
    <t>Jeff Davis</t>
  </si>
  <si>
    <t>Jefferson</t>
  </si>
  <si>
    <t>Jim Hogg</t>
  </si>
  <si>
    <t>Jim Wells</t>
  </si>
  <si>
    <t>Johnson</t>
  </si>
  <si>
    <t>Jones</t>
  </si>
  <si>
    <t>Karnes</t>
  </si>
  <si>
    <t>Kaufman</t>
  </si>
  <si>
    <t>Kendall</t>
  </si>
  <si>
    <t>Kenedy</t>
  </si>
  <si>
    <t>Kent</t>
  </si>
  <si>
    <t>Kerr</t>
  </si>
  <si>
    <t>Kimble</t>
  </si>
  <si>
    <t>King</t>
  </si>
  <si>
    <t>Kinney</t>
  </si>
  <si>
    <t>Kleberg</t>
  </si>
  <si>
    <t>Knox</t>
  </si>
  <si>
    <t>Lamar</t>
  </si>
  <si>
    <t>Lamb</t>
  </si>
  <si>
    <t>Lampasas</t>
  </si>
  <si>
    <t>La Salle</t>
  </si>
  <si>
    <t>Lavaca</t>
  </si>
  <si>
    <t>Lee</t>
  </si>
  <si>
    <t>Leon</t>
  </si>
  <si>
    <t>Liberty</t>
  </si>
  <si>
    <t>Limestone</t>
  </si>
  <si>
    <t>Lipscomb</t>
  </si>
  <si>
    <t>Live Oak</t>
  </si>
  <si>
    <t>Llano</t>
  </si>
  <si>
    <t>Loving</t>
  </si>
  <si>
    <t>Lubbock</t>
  </si>
  <si>
    <t>Lynn</t>
  </si>
  <si>
    <t>McCulloch</t>
  </si>
  <si>
    <t>McLennan</t>
  </si>
  <si>
    <t>McMullen</t>
  </si>
  <si>
    <t>Madison</t>
  </si>
  <si>
    <t>Marion</t>
  </si>
  <si>
    <t>Martin</t>
  </si>
  <si>
    <t>Mason</t>
  </si>
  <si>
    <t>Matagorda</t>
  </si>
  <si>
    <t>Maverick</t>
  </si>
  <si>
    <t>Medina</t>
  </si>
  <si>
    <t>Menard</t>
  </si>
  <si>
    <t>Midland</t>
  </si>
  <si>
    <t>Milam</t>
  </si>
  <si>
    <t>Mills</t>
  </si>
  <si>
    <t>Mitchell</t>
  </si>
  <si>
    <t>Montague</t>
  </si>
  <si>
    <t>Montgomery</t>
  </si>
  <si>
    <t>Moore</t>
  </si>
  <si>
    <t>Morris</t>
  </si>
  <si>
    <t>Motley</t>
  </si>
  <si>
    <t>Nacogdoches</t>
  </si>
  <si>
    <t>Navarro</t>
  </si>
  <si>
    <t>Newton</t>
  </si>
  <si>
    <t>Nolan</t>
  </si>
  <si>
    <t>Nueces</t>
  </si>
  <si>
    <t>Ochiltree</t>
  </si>
  <si>
    <t>Oldham</t>
  </si>
  <si>
    <t>Orange</t>
  </si>
  <si>
    <t>Palo Pinto</t>
  </si>
  <si>
    <t>Panola</t>
  </si>
  <si>
    <t>Parker</t>
  </si>
  <si>
    <t>Parmer</t>
  </si>
  <si>
    <t>Pecos</t>
  </si>
  <si>
    <t>Polk</t>
  </si>
  <si>
    <t>Potter</t>
  </si>
  <si>
    <t>Presidio</t>
  </si>
  <si>
    <t>Rains</t>
  </si>
  <si>
    <t>Randall</t>
  </si>
  <si>
    <t>Reagan</t>
  </si>
  <si>
    <t>Real</t>
  </si>
  <si>
    <t>Red River</t>
  </si>
  <si>
    <t>Reeves</t>
  </si>
  <si>
    <t>Refugio</t>
  </si>
  <si>
    <t>Roberts</t>
  </si>
  <si>
    <t>Robertson</t>
  </si>
  <si>
    <t>Rockwall</t>
  </si>
  <si>
    <t>Runnels</t>
  </si>
  <si>
    <t>Rusk</t>
  </si>
  <si>
    <t>Sabine</t>
  </si>
  <si>
    <t>San Augustine</t>
  </si>
  <si>
    <t>San Jacinto</t>
  </si>
  <si>
    <t>San Patricio</t>
  </si>
  <si>
    <t>San Saba</t>
  </si>
  <si>
    <t>Schleicher</t>
  </si>
  <si>
    <t>Scurry</t>
  </si>
  <si>
    <t>Shackelford</t>
  </si>
  <si>
    <t>Shelby</t>
  </si>
  <si>
    <t>Sherman</t>
  </si>
  <si>
    <t>Smith</t>
  </si>
  <si>
    <t>Somervell</t>
  </si>
  <si>
    <t>Starr</t>
  </si>
  <si>
    <t>Stephens</t>
  </si>
  <si>
    <t>Sterling</t>
  </si>
  <si>
    <t>Stonewall</t>
  </si>
  <si>
    <t>Sutton</t>
  </si>
  <si>
    <t>Swisher</t>
  </si>
  <si>
    <t>Tarrant</t>
  </si>
  <si>
    <t>Taylor</t>
  </si>
  <si>
    <t>Terrell</t>
  </si>
  <si>
    <t>Terry</t>
  </si>
  <si>
    <t>Throckmorton</t>
  </si>
  <si>
    <t>Titus</t>
  </si>
  <si>
    <t>Tom Green</t>
  </si>
  <si>
    <t>Travis</t>
  </si>
  <si>
    <t>Trinity</t>
  </si>
  <si>
    <t>Tyler</t>
  </si>
  <si>
    <t>Upshur</t>
  </si>
  <si>
    <t>Upton</t>
  </si>
  <si>
    <t>Uvalde</t>
  </si>
  <si>
    <t>Val Verde</t>
  </si>
  <si>
    <t>Van Zandt</t>
  </si>
  <si>
    <t>Victoria</t>
  </si>
  <si>
    <t>Walker</t>
  </si>
  <si>
    <t>Waller</t>
  </si>
  <si>
    <t>Ward</t>
  </si>
  <si>
    <t>Washington</t>
  </si>
  <si>
    <t>Webb</t>
  </si>
  <si>
    <t>Wharton</t>
  </si>
  <si>
    <t>Wheeler</t>
  </si>
  <si>
    <t>Wichita</t>
  </si>
  <si>
    <t>Wilbarger</t>
  </si>
  <si>
    <t>Willacy</t>
  </si>
  <si>
    <t>Williamson</t>
  </si>
  <si>
    <t>Wilson</t>
  </si>
  <si>
    <t>Winkler</t>
  </si>
  <si>
    <t>Wise</t>
  </si>
  <si>
    <t>Wood</t>
  </si>
  <si>
    <t>Yoakum</t>
  </si>
  <si>
    <t>Young</t>
  </si>
  <si>
    <t>Zapata</t>
  </si>
  <si>
    <t>Zavala</t>
  </si>
  <si>
    <t>Zones</t>
  </si>
  <si>
    <t>Source</t>
  </si>
  <si>
    <t>Flare</t>
  </si>
  <si>
    <t>Vapor combustion unit</t>
  </si>
  <si>
    <t>N/A</t>
  </si>
  <si>
    <t>Allowed Species</t>
  </si>
  <si>
    <t>CAS</t>
  </si>
  <si>
    <t>VCU</t>
  </si>
  <si>
    <t>Control Devices</t>
  </si>
  <si>
    <t>Counties</t>
  </si>
  <si>
    <t>Tank 1</t>
  </si>
  <si>
    <t>No control</t>
  </si>
  <si>
    <t>Distance to the property line (ft)</t>
  </si>
  <si>
    <t>Control Efficiency</t>
  </si>
  <si>
    <t>Impacts Analysis</t>
  </si>
  <si>
    <r>
      <rPr>
        <b/>
        <sz val="11"/>
        <rFont val="Arial"/>
        <family val="2"/>
      </rPr>
      <t>Distance from the Property Line (feet)</t>
    </r>
  </si>
  <si>
    <r>
      <rPr>
        <b/>
        <sz val="11"/>
        <rFont val="Arial"/>
        <family val="2"/>
      </rPr>
      <t>Stack Height (feet)</t>
    </r>
  </si>
  <si>
    <t>Project combined concentration (ug/m3)</t>
  </si>
  <si>
    <t>Impacts acceptable?</t>
  </si>
  <si>
    <t>propylene</t>
  </si>
  <si>
    <t>115-07-1</t>
  </si>
  <si>
    <t>propane</t>
  </si>
  <si>
    <t>74-98-6</t>
  </si>
  <si>
    <t>sulfuric acid</t>
  </si>
  <si>
    <t>7664-93-9</t>
  </si>
  <si>
    <t>hydrogen sulfide</t>
  </si>
  <si>
    <t>7783-06-4</t>
  </si>
  <si>
    <t>isobutene</t>
  </si>
  <si>
    <t>115-11-7</t>
  </si>
  <si>
    <t>n-butane</t>
  </si>
  <si>
    <t>106-97-8</t>
  </si>
  <si>
    <t>n-pentane</t>
  </si>
  <si>
    <t>109-66-0</t>
  </si>
  <si>
    <t>neopentane</t>
  </si>
  <si>
    <t>463-82-1</t>
  </si>
  <si>
    <t>C3-C4 alkane blend</t>
  </si>
  <si>
    <t>68475-59-2</t>
  </si>
  <si>
    <t>isobutane</t>
  </si>
  <si>
    <t>75-28-5</t>
  </si>
  <si>
    <t>isopentane</t>
  </si>
  <si>
    <t>78-78-4</t>
  </si>
  <si>
    <t>polyisobutylenes</t>
  </si>
  <si>
    <t>9003-27-4</t>
  </si>
  <si>
    <t>pentane, all isomers</t>
  </si>
  <si>
    <t>92046-46-3</t>
  </si>
  <si>
    <t>1,1-dichloro-1,2,2,2-tetrafluoroethane</t>
  </si>
  <si>
    <t>374-07-2</t>
  </si>
  <si>
    <t>1,2-dichloro-1,1,2,2-tetrafluoroethane</t>
  </si>
  <si>
    <t>76-14-2</t>
  </si>
  <si>
    <t>chloropentafluoroethane</t>
  </si>
  <si>
    <t>76-15-3</t>
  </si>
  <si>
    <t>1,1,1,3,3,3-hexafluropropane</t>
  </si>
  <si>
    <t>690-39-1</t>
  </si>
  <si>
    <t>2-bromo-1,1,1-trifluoroethane</t>
  </si>
  <si>
    <t>421-06-7</t>
  </si>
  <si>
    <t>bromotrifluoromethane</t>
  </si>
  <si>
    <t>75-63-8</t>
  </si>
  <si>
    <t>sulfur hexafluoride</t>
  </si>
  <si>
    <t>2551-62-4</t>
  </si>
  <si>
    <t>trichlorofluoromethane</t>
  </si>
  <si>
    <t>75-69-4</t>
  </si>
  <si>
    <t>1,1,1,2,2-pentafluoroethane</t>
  </si>
  <si>
    <t>354-33-6</t>
  </si>
  <si>
    <t>dichlorodifluoromethane</t>
  </si>
  <si>
    <t>75-71-8</t>
  </si>
  <si>
    <t>acetone</t>
  </si>
  <si>
    <t>67-64-1</t>
  </si>
  <si>
    <t>chlorotrifluoromethane</t>
  </si>
  <si>
    <t>75-72-9</t>
  </si>
  <si>
    <t>dichlorofluoromethane</t>
  </si>
  <si>
    <t>75-43-4</t>
  </si>
  <si>
    <t>1,1,1-chlorodifluoroethane</t>
  </si>
  <si>
    <t>75-68-3</t>
  </si>
  <si>
    <t>1,1,1,2-tetrachloro-2,2-difluoroethane</t>
  </si>
  <si>
    <t>76-11-9</t>
  </si>
  <si>
    <t>1,1,2,2-tetrachloro-1,2-difluoroethane</t>
  </si>
  <si>
    <t>76-12-0</t>
  </si>
  <si>
    <t>1,1,1,2-tetrafluroethane</t>
  </si>
  <si>
    <t>811-97-2</t>
  </si>
  <si>
    <t>2,3,3-trichloro-1,1,1-trifluoropropane</t>
  </si>
  <si>
    <t>431-51-6</t>
  </si>
  <si>
    <t>1,1,2-trichloro-1,2,2-trifluoroethane</t>
  </si>
  <si>
    <t>76-13-1</t>
  </si>
  <si>
    <t>2-butoxyethanol</t>
  </si>
  <si>
    <t>111-76-2</t>
  </si>
  <si>
    <t>ethylene glycol monohexyl ether</t>
  </si>
  <si>
    <t>112-25-4</t>
  </si>
  <si>
    <t>triethylene glycol methyl ether</t>
  </si>
  <si>
    <t>112-35-6</t>
  </si>
  <si>
    <t>ethylene glycol dibutyl ether</t>
  </si>
  <si>
    <t>112-48-1</t>
  </si>
  <si>
    <t>triethylene glycol monoethyl ether</t>
  </si>
  <si>
    <t>112-50-5</t>
  </si>
  <si>
    <t>triethylene glycol monobutyl ether</t>
  </si>
  <si>
    <t>143-22-6</t>
  </si>
  <si>
    <t>diethylene glycol mono-2-ethylhexyl ether</t>
  </si>
  <si>
    <t>1559-36-0</t>
  </si>
  <si>
    <t>triethylene glycol mono-2-ethylhexyl ether</t>
  </si>
  <si>
    <t>1559-37-1</t>
  </si>
  <si>
    <t>butyl cyclohexyl ether</t>
  </si>
  <si>
    <t>24072-44-4</t>
  </si>
  <si>
    <t>butoxymethanol</t>
  </si>
  <si>
    <t>3085-35-6</t>
  </si>
  <si>
    <t>ethylene glycol monoisobutyl ether</t>
  </si>
  <si>
    <t>4439-24-1</t>
  </si>
  <si>
    <t>(2-dodecyloxy)ethanol</t>
  </si>
  <si>
    <t>4536-30-5</t>
  </si>
  <si>
    <t>2-[2-(2-hydroxyethoxy)ethyl]2-ethylhexanoate</t>
  </si>
  <si>
    <t>63468-14-4</t>
  </si>
  <si>
    <t>triethylene glycol bis(2-ethylhexanoate)</t>
  </si>
  <si>
    <t>94-28-0</t>
  </si>
  <si>
    <t>1,1,1-trifluoroethane</t>
  </si>
  <si>
    <t>420-46-2</t>
  </si>
  <si>
    <t>dimethoxymethane</t>
  </si>
  <si>
    <t>109-87-5</t>
  </si>
  <si>
    <t>fluoromethane</t>
  </si>
  <si>
    <t>593-53-3</t>
  </si>
  <si>
    <t>difluoromethane</t>
  </si>
  <si>
    <t>75-10-5</t>
  </si>
  <si>
    <t>trifluoromethane</t>
  </si>
  <si>
    <t>75-46-7</t>
  </si>
  <si>
    <t>2,4-dimethylpentane</t>
  </si>
  <si>
    <t>108-08-7</t>
  </si>
  <si>
    <t>n-heptane</t>
  </si>
  <si>
    <t>142-82-5</t>
  </si>
  <si>
    <t>heptane, branched, cyclic and linear</t>
  </si>
  <si>
    <t>426260-76-6</t>
  </si>
  <si>
    <t>2,2,3-trimethylbutane</t>
  </si>
  <si>
    <t>464-06-2</t>
  </si>
  <si>
    <t>3,3-dimethylpentane</t>
  </si>
  <si>
    <t>562-49-2</t>
  </si>
  <si>
    <t>2,3-dimethylpentane</t>
  </si>
  <si>
    <t>565-59-3</t>
  </si>
  <si>
    <t>3-methylhexane</t>
  </si>
  <si>
    <t>589-34-4</t>
  </si>
  <si>
    <t>2,2-dimethylpentane</t>
  </si>
  <si>
    <t>590-35-2</t>
  </si>
  <si>
    <t>2-methylhexane</t>
  </si>
  <si>
    <t>591-76-4</t>
  </si>
  <si>
    <t>3-ethylpentane</t>
  </si>
  <si>
    <t>617-78-7</t>
  </si>
  <si>
    <t>1,1-difluoroethane</t>
  </si>
  <si>
    <t>75-37-6</t>
  </si>
  <si>
    <t>acetylene</t>
  </si>
  <si>
    <t>74-86-2</t>
  </si>
  <si>
    <t>methyl ethyl ketone</t>
  </si>
  <si>
    <t>78-93-3</t>
  </si>
  <si>
    <t>3-methyl-1-butene</t>
  </si>
  <si>
    <t>563-45-1</t>
  </si>
  <si>
    <t>di-tert-butyl ether</t>
  </si>
  <si>
    <t>109-93-3</t>
  </si>
  <si>
    <t>dibutyl ether</t>
  </si>
  <si>
    <t>142-96-1</t>
  </si>
  <si>
    <t>methanol</t>
  </si>
  <si>
    <t>67-56-1</t>
  </si>
  <si>
    <t>dimethyl ether</t>
  </si>
  <si>
    <t>115-10-6</t>
  </si>
  <si>
    <t>ethanol</t>
  </si>
  <si>
    <t>64-17-5</t>
  </si>
  <si>
    <t>ethylcyclohexane</t>
  </si>
  <si>
    <t>1678-91-7</t>
  </si>
  <si>
    <t>natural gas, dried</t>
  </si>
  <si>
    <t>68410-63-9</t>
  </si>
  <si>
    <t>hydrotreater separator, tail gas (petroleum), cracked distillate</t>
  </si>
  <si>
    <t>68478-29-5</t>
  </si>
  <si>
    <t>chlorodifluoromethane</t>
  </si>
  <si>
    <t>75-45-6</t>
  </si>
  <si>
    <t>carbon tetrafluoride</t>
  </si>
  <si>
    <t>75-73-0</t>
  </si>
  <si>
    <t>cyclobutane</t>
  </si>
  <si>
    <t>287-23-0</t>
  </si>
  <si>
    <t>cyclopentane</t>
  </si>
  <si>
    <t>287-92-3</t>
  </si>
  <si>
    <t>ethyl acetylene</t>
  </si>
  <si>
    <t>107-00-6</t>
  </si>
  <si>
    <t>1-hexen-3-yne</t>
  </si>
  <si>
    <t>13721-54-5</t>
  </si>
  <si>
    <t>1-nonyne</t>
  </si>
  <si>
    <t>3452-09-3</t>
  </si>
  <si>
    <t>1,1,1,3,3-pentafluoropropane</t>
  </si>
  <si>
    <t>460-73-1</t>
  </si>
  <si>
    <t>2-butyne</t>
  </si>
  <si>
    <t>503-17-3</t>
  </si>
  <si>
    <t>(2Z)-2-nonen-4-yne</t>
  </si>
  <si>
    <t>56392-46-2</t>
  </si>
  <si>
    <t>methyl acetylene-propadiene mixture</t>
  </si>
  <si>
    <t>59355-75-8</t>
  </si>
  <si>
    <t>1-pentyne</t>
  </si>
  <si>
    <t>627-19-0</t>
  </si>
  <si>
    <t>1-buten-3-yne</t>
  </si>
  <si>
    <t>689-97-4</t>
  </si>
  <si>
    <t>propyne</t>
  </si>
  <si>
    <t>74-99-7</t>
  </si>
  <si>
    <t>1-dodecyne</t>
  </si>
  <si>
    <t>765-03-7</t>
  </si>
  <si>
    <t>1-penten-4-yne</t>
  </si>
  <si>
    <t>871-28-3</t>
  </si>
  <si>
    <t>ethylcyclopentane</t>
  </si>
  <si>
    <t>1640-89-7</t>
  </si>
  <si>
    <t>methylcyclohexane</t>
  </si>
  <si>
    <t>108-87-2</t>
  </si>
  <si>
    <t>1-butene</t>
  </si>
  <si>
    <t>106-98-9</t>
  </si>
  <si>
    <t>1,1,1-trichloroethane</t>
  </si>
  <si>
    <t>71-55-6</t>
  </si>
  <si>
    <t>ethyl acetate</t>
  </si>
  <si>
    <t>141-78-6</t>
  </si>
  <si>
    <t>n-butyl acetate</t>
  </si>
  <si>
    <t>123-86-4</t>
  </si>
  <si>
    <t>1-heptene</t>
  </si>
  <si>
    <t>592-76-7</t>
  </si>
  <si>
    <t>methyl butyrate</t>
  </si>
  <si>
    <t>623-42-7</t>
  </si>
  <si>
    <t>toluene</t>
  </si>
  <si>
    <t>108-88-3</t>
  </si>
  <si>
    <t>diethyl ether</t>
  </si>
  <si>
    <t>60-29-7</t>
  </si>
  <si>
    <t>bromochloromethane</t>
  </si>
  <si>
    <t>74-97-5</t>
  </si>
  <si>
    <t>perfluorobutyl ethylene</t>
  </si>
  <si>
    <t>19430-93-4</t>
  </si>
  <si>
    <t>trans-1-chloro-3,3,3-trifluoroprop-1-ene</t>
  </si>
  <si>
    <t>102687-65-0</t>
  </si>
  <si>
    <t>cyclohexene</t>
  </si>
  <si>
    <t>110-83-8</t>
  </si>
  <si>
    <t>octafluorocyclobutane</t>
  </si>
  <si>
    <t>115-25-3</t>
  </si>
  <si>
    <t>1,1,1,2,3,4,4,5,5,5,-decafluoropentane</t>
  </si>
  <si>
    <t>138495-42-8</t>
  </si>
  <si>
    <t>perfluoro(propyl vinyl ether)</t>
  </si>
  <si>
    <t>1623-05-8</t>
  </si>
  <si>
    <t>methyl nonafluorobutyl ether</t>
  </si>
  <si>
    <t>163702-07-6</t>
  </si>
  <si>
    <t>trans-1,3,3,3-tetrafluoroprop-1-ene</t>
  </si>
  <si>
    <t>1645-83-6</t>
  </si>
  <si>
    <t>1,1-dichloro-1-fluoroethane</t>
  </si>
  <si>
    <t>1717-00-6</t>
  </si>
  <si>
    <t>1,1,1,2,2-pentafluoropropane</t>
  </si>
  <si>
    <t>1814-88-6</t>
  </si>
  <si>
    <t>1,1,3-trichloro-1-propene</t>
  </si>
  <si>
    <t>2567-14-8</t>
  </si>
  <si>
    <t>1-chloro-3,3,3-trifluoropropene</t>
  </si>
  <si>
    <t>2730-43-0</t>
  </si>
  <si>
    <t>2-chloro-3,3,3-trifluoropropene</t>
  </si>
  <si>
    <t>2730-62-3</t>
  </si>
  <si>
    <t>2-chloro-1,1,1,2-tetrafluoroethane</t>
  </si>
  <si>
    <t>2837-89-0</t>
  </si>
  <si>
    <t>29118-24-9</t>
  </si>
  <si>
    <t>2,3-dichloro-1,1,1-trifluoropropane</t>
  </si>
  <si>
    <t>338-75-0</t>
  </si>
  <si>
    <t>fluoroethane</t>
  </si>
  <si>
    <t>353-36-6</t>
  </si>
  <si>
    <t>1,2-dichloro-1,1,2-trifluoroethane</t>
  </si>
  <si>
    <t>354-23-4</t>
  </si>
  <si>
    <t>1,1,1-trichloro-2,2,2-trifluoroethane</t>
  </si>
  <si>
    <t>354-58-5</t>
  </si>
  <si>
    <t>decafluorobutane</t>
  </si>
  <si>
    <t>355-25-9</t>
  </si>
  <si>
    <t>trideca-1,1,1,2,2,3,3,4,4,5,5,6,6-fluorohexane</t>
  </si>
  <si>
    <t>355-37-3</t>
  </si>
  <si>
    <t>tetradecafluorohexane</t>
  </si>
  <si>
    <t>355-42-0</t>
  </si>
  <si>
    <t>bis(heptafluoropropyl) ether</t>
  </si>
  <si>
    <t>356-62-7</t>
  </si>
  <si>
    <t>1,1,1,3,3-pentafluorobutane</t>
  </si>
  <si>
    <t>406-58-6</t>
  </si>
  <si>
    <t>3-chloro-3,3-difluoroprop-1-ene</t>
  </si>
  <si>
    <t>421-03-4</t>
  </si>
  <si>
    <t>1,1,1,2-tetrafluoropropane</t>
  </si>
  <si>
    <t>421-48-7</t>
  </si>
  <si>
    <t>2-chloro-1,1,1,2-tetrafluoropropane</t>
  </si>
  <si>
    <t>421-73-8</t>
  </si>
  <si>
    <t>3,3-dichloro-1,1,1,2,2-pentafluoropropane</t>
  </si>
  <si>
    <t>422-56-0</t>
  </si>
  <si>
    <t>(1E)-1,2-dichloro-3,3,3-trifluoro-1-propene</t>
  </si>
  <si>
    <t>431-27-6</t>
  </si>
  <si>
    <t>1,1,1,2,3,3,3-heptafluoropropane</t>
  </si>
  <si>
    <t>431-89-0</t>
  </si>
  <si>
    <t>3-chloro-1,1,1-trifluoropropane</t>
  </si>
  <si>
    <t>460-35-5</t>
  </si>
  <si>
    <t>1,1,1,3-tetrafluoropropane</t>
  </si>
  <si>
    <t>460-36-6</t>
  </si>
  <si>
    <t>1,3-dichloro-1,1,2,2,3-pentafluoropropane</t>
  </si>
  <si>
    <t>507-55-1</t>
  </si>
  <si>
    <t>1,2,3,3,4,4,5,5-octafluorocyclopentene</t>
  </si>
  <si>
    <t>559-40-0</t>
  </si>
  <si>
    <t>chlorofluoromethane</t>
  </si>
  <si>
    <t>593-70-4</t>
  </si>
  <si>
    <t>3,3,3-trifluoropropyne</t>
  </si>
  <si>
    <t>661-54-1</t>
  </si>
  <si>
    <t>3,3,3-trifluoropropene</t>
  </si>
  <si>
    <t>677-21-4</t>
  </si>
  <si>
    <t>2,3,3,3-tetrafluoropropene</t>
  </si>
  <si>
    <t>754-12-1</t>
  </si>
  <si>
    <t>hexafluoroethane</t>
  </si>
  <si>
    <t>76-16-4</t>
  </si>
  <si>
    <t>octafluoropropane</t>
  </si>
  <si>
    <t>76-19-7</t>
  </si>
  <si>
    <t>triethylene glycol</t>
  </si>
  <si>
    <t>112-27-6</t>
  </si>
  <si>
    <t>pentaethylene glycol, monobutyl ether</t>
  </si>
  <si>
    <t>23601-39-0</t>
  </si>
  <si>
    <t>sec-butyl acetate</t>
  </si>
  <si>
    <t>105-46-4</t>
  </si>
  <si>
    <t>tert-butyl acetate</t>
  </si>
  <si>
    <t>540-88-5</t>
  </si>
  <si>
    <t>butyl stearate</t>
  </si>
  <si>
    <t>123-95-5</t>
  </si>
  <si>
    <t>tributyl O-acetylcitrate</t>
  </si>
  <si>
    <t>77-90-7</t>
  </si>
  <si>
    <t>3,4-diacetoxy-1-butene</t>
  </si>
  <si>
    <t>18085-02-4</t>
  </si>
  <si>
    <t>difluorodibromomethane</t>
  </si>
  <si>
    <t>75-61-6</t>
  </si>
  <si>
    <t>diisopropyl ether</t>
  </si>
  <si>
    <t>108-20-3</t>
  </si>
  <si>
    <t>methyl n-amyl ketone</t>
  </si>
  <si>
    <t>110-43-0</t>
  </si>
  <si>
    <t>n-propyl acetate</t>
  </si>
  <si>
    <t>109-60-4</t>
  </si>
  <si>
    <t>1-chloro-1-pentene</t>
  </si>
  <si>
    <t>21450-13-5</t>
  </si>
  <si>
    <t>(3Z)-1-chloro-3-hexene</t>
  </si>
  <si>
    <t>21676-01-7</t>
  </si>
  <si>
    <t>1-chloro-1-hexene</t>
  </si>
  <si>
    <t>37368-20-0</t>
  </si>
  <si>
    <t>(E)-1-chlorohex-3-ene</t>
  </si>
  <si>
    <t>63281-97-0</t>
  </si>
  <si>
    <t>6-chloro-1-hexene</t>
  </si>
  <si>
    <t>928-89-2</t>
  </si>
  <si>
    <t>hexanaldehyde</t>
  </si>
  <si>
    <t>66-25-1</t>
  </si>
  <si>
    <t>3-methylcyclopentene</t>
  </si>
  <si>
    <t>1120-62-3</t>
  </si>
  <si>
    <t>cyclopentene</t>
  </si>
  <si>
    <t>142-29-0</t>
  </si>
  <si>
    <t>4-methylcyclopentene</t>
  </si>
  <si>
    <t>1759-81-5</t>
  </si>
  <si>
    <t>1-methylcyclopentene</t>
  </si>
  <si>
    <t>693-89-0</t>
  </si>
  <si>
    <t>dodecyl 2-methylacrylate</t>
  </si>
  <si>
    <t>142-90-5</t>
  </si>
  <si>
    <t>isodecyl methacrylate</t>
  </si>
  <si>
    <t>29964-84-9</t>
  </si>
  <si>
    <t>cis-1,2-dichloroethylene</t>
  </si>
  <si>
    <t>156-59-2</t>
  </si>
  <si>
    <t>trans-1,2-dichloroethylene</t>
  </si>
  <si>
    <t>156-60-5</t>
  </si>
  <si>
    <t>1,2-dichloroethylene</t>
  </si>
  <si>
    <t>540-59-0</t>
  </si>
  <si>
    <t>3-methyl-2-pentylcyclopentanol</t>
  </si>
  <si>
    <t>76649-20-2</t>
  </si>
  <si>
    <t>cyclopentyl alcohol</t>
  </si>
  <si>
    <t>96-41-3</t>
  </si>
  <si>
    <t>methyl isopropyl ketone</t>
  </si>
  <si>
    <t>563-80-4</t>
  </si>
  <si>
    <t>3-pentanone</t>
  </si>
  <si>
    <t>96-22-0</t>
  </si>
  <si>
    <t>butyl methacrylate</t>
  </si>
  <si>
    <t>97-88-1</t>
  </si>
  <si>
    <t>methyl acetate</t>
  </si>
  <si>
    <t>79-20-9</t>
  </si>
  <si>
    <t>1-tetracosene</t>
  </si>
  <si>
    <t>10192-32-2</t>
  </si>
  <si>
    <t>2,4,6-trimethyl-1-heptene</t>
  </si>
  <si>
    <t>102943-77-1</t>
  </si>
  <si>
    <t>2,4,4-trimethyl-1-pentene</t>
  </si>
  <si>
    <t>107-39-1</t>
  </si>
  <si>
    <t>2,4,4-trimethyl-2-pentene</t>
  </si>
  <si>
    <t>107-40-4</t>
  </si>
  <si>
    <t>1-tetradecene</t>
  </si>
  <si>
    <t>1120-36-1</t>
  </si>
  <si>
    <t>1-dodecene</t>
  </si>
  <si>
    <t>112-41-4</t>
  </si>
  <si>
    <t>1-octadecene</t>
  </si>
  <si>
    <t>112-88-9</t>
  </si>
  <si>
    <t>1-nonene</t>
  </si>
  <si>
    <t>124-11-8</t>
  </si>
  <si>
    <t>(Z)-5-methyl-hexene</t>
  </si>
  <si>
    <t>13151-17-2</t>
  </si>
  <si>
    <t>1-pentadecene</t>
  </si>
  <si>
    <t>13360-61-7</t>
  </si>
  <si>
    <t>isomerized C16 alpha-alkenes</t>
  </si>
  <si>
    <t>148617-57-6</t>
  </si>
  <si>
    <t>alkenes, C18 alpha, isomerized</t>
  </si>
  <si>
    <t>148617-59-8</t>
  </si>
  <si>
    <t>1-dodecene, dimer, hydrogenated</t>
  </si>
  <si>
    <t>151006-61-0</t>
  </si>
  <si>
    <t>2,5-dimethyl-3-hexene</t>
  </si>
  <si>
    <t>15910-22-2</t>
  </si>
  <si>
    <t>1-docosene</t>
  </si>
  <si>
    <t>1599-67-3</t>
  </si>
  <si>
    <t>2-ethyl-1-hexene</t>
  </si>
  <si>
    <t>1632-16-2</t>
  </si>
  <si>
    <t>2,3-dimethyl-1-hexene</t>
  </si>
  <si>
    <t>16746-86-4</t>
  </si>
  <si>
    <t>1-nonadecene</t>
  </si>
  <si>
    <t>18435-45-5</t>
  </si>
  <si>
    <t>triacont-1-ene</t>
  </si>
  <si>
    <t>18435-53-5</t>
  </si>
  <si>
    <t>1-hexacosene</t>
  </si>
  <si>
    <t>18835-33-1</t>
  </si>
  <si>
    <t>1-octacosene</t>
  </si>
  <si>
    <t>18835-34-2</t>
  </si>
  <si>
    <t>trans-3-decene</t>
  </si>
  <si>
    <t>19150-21-1</t>
  </si>
  <si>
    <t>cis-3-decene</t>
  </si>
  <si>
    <t>19398-86-8</t>
  </si>
  <si>
    <t>cis-4-decene</t>
  </si>
  <si>
    <t>19398-88-0</t>
  </si>
  <si>
    <t>trans-4-decene</t>
  </si>
  <si>
    <t>19398-89-1</t>
  </si>
  <si>
    <t>2,4-dimethyl-1-heptene</t>
  </si>
  <si>
    <t>19549-87-2</t>
  </si>
  <si>
    <t>3-dodecene</t>
  </si>
  <si>
    <t>2030-83-3</t>
  </si>
  <si>
    <t>cis-2-decene</t>
  </si>
  <si>
    <t>20348-51-0</t>
  </si>
  <si>
    <t>1-tridecene</t>
  </si>
  <si>
    <t>2437-56-1</t>
  </si>
  <si>
    <t>decene, isomer not specified</t>
  </si>
  <si>
    <t>25339-53-1</t>
  </si>
  <si>
    <t>dodecene, predominantly linear</t>
  </si>
  <si>
    <t>25378-22-7</t>
  </si>
  <si>
    <t>n-nonenes</t>
  </si>
  <si>
    <t>27215-95-8</t>
  </si>
  <si>
    <t>2,6-dimethyl-3-heptene</t>
  </si>
  <si>
    <t>2738-18-3</t>
  </si>
  <si>
    <t>2-methyl-1-nonene</t>
  </si>
  <si>
    <t>2980-71-4</t>
  </si>
  <si>
    <t>2,6-dimethyl-1-heptene</t>
  </si>
  <si>
    <t>3074-78-0</t>
  </si>
  <si>
    <t>(4E)-7-methyl-4-undecene</t>
  </si>
  <si>
    <t>312298-60-5</t>
  </si>
  <si>
    <t>1-eicosene</t>
  </si>
  <si>
    <t>3452-07-1</t>
  </si>
  <si>
    <t>4-methyl-1-hexene</t>
  </si>
  <si>
    <t>3769-23-1</t>
  </si>
  <si>
    <t>5,5-dimethyl-2-hexene</t>
  </si>
  <si>
    <t>39761-61-0</t>
  </si>
  <si>
    <t>2,5,5-trimethyl-2-hexene</t>
  </si>
  <si>
    <t>40467-04-7</t>
  </si>
  <si>
    <t>4-methyl-2-pentene</t>
  </si>
  <si>
    <t>4461-48-7</t>
  </si>
  <si>
    <t>(3E)-2,2-dimethyl-3-decene</t>
  </si>
  <si>
    <t>55499-02-0</t>
  </si>
  <si>
    <t>5-methyl-2-undecene</t>
  </si>
  <si>
    <t>56851-34-4</t>
  </si>
  <si>
    <t>2-methyl-2-undecene</t>
  </si>
  <si>
    <t>56888-88-1</t>
  </si>
  <si>
    <t>3,5-dimethyl-3-heptene</t>
  </si>
  <si>
    <t>59643-68-4</t>
  </si>
  <si>
    <t>1-hexadecene</t>
  </si>
  <si>
    <t>629-73-2</t>
  </si>
  <si>
    <t>2,3,6,7-tetramethyl-4-octene</t>
  </si>
  <si>
    <t>63830-66-0</t>
  </si>
  <si>
    <t>alkenes, C&gt;10 alpha</t>
  </si>
  <si>
    <t>64743-02-8</t>
  </si>
  <si>
    <t>1-heptadecene</t>
  </si>
  <si>
    <t>6765-39-5</t>
  </si>
  <si>
    <t>alkenes, C7-9, C8-rich</t>
  </si>
  <si>
    <t>68526-54-5</t>
  </si>
  <si>
    <t>alkenes, C8-10, C9-rich</t>
  </si>
  <si>
    <t>68526-55-6</t>
  </si>
  <si>
    <t>alkenes, C9-11, C10-rich</t>
  </si>
  <si>
    <t>68526-56-7</t>
  </si>
  <si>
    <t>alkenes, C11-13, C12-rich</t>
  </si>
  <si>
    <t>68526-58-9</t>
  </si>
  <si>
    <t>alkenes, C10-16</t>
  </si>
  <si>
    <t>68991-52-6</t>
  </si>
  <si>
    <t>2,3-dimethyl-2-hexene</t>
  </si>
  <si>
    <t>7145-20-2</t>
  </si>
  <si>
    <t>(3E)-3-dodecene</t>
  </si>
  <si>
    <t>7206-14-6</t>
  </si>
  <si>
    <t>(3Z)-3-dodecene</t>
  </si>
  <si>
    <t>7239-23-8</t>
  </si>
  <si>
    <t>(E)-5-methyl-2-hexene</t>
  </si>
  <si>
    <t>7385-82-2</t>
  </si>
  <si>
    <t>trans-5-decene</t>
  </si>
  <si>
    <t>7433-56-9</t>
  </si>
  <si>
    <t>cis-5-decene</t>
  </si>
  <si>
    <t>7433-78-5</t>
  </si>
  <si>
    <t>(Z)-2-methyl-3-undecene</t>
  </si>
  <si>
    <t>74630-48-1</t>
  </si>
  <si>
    <t>7-methyl-4-undecene</t>
  </si>
  <si>
    <t>76441-79-7</t>
  </si>
  <si>
    <t>Squalene</t>
  </si>
  <si>
    <t>7683-64-9</t>
  </si>
  <si>
    <t>1-undecene</t>
  </si>
  <si>
    <t>821-95-4</t>
  </si>
  <si>
    <t>1-decene</t>
  </si>
  <si>
    <t>872-05-9</t>
  </si>
  <si>
    <t>(5E,9E)-hexadeca-5,9-diene</t>
  </si>
  <si>
    <t>93762-80-2</t>
  </si>
  <si>
    <t>alkenes, C20-24 alpha</t>
  </si>
  <si>
    <t>93924-10-8</t>
  </si>
  <si>
    <t>alkenes, C6-8-branched, C7-rich</t>
  </si>
  <si>
    <t>97592-99-9</t>
  </si>
  <si>
    <t>ethylbenzene</t>
  </si>
  <si>
    <t>100-41-4</t>
  </si>
  <si>
    <t>3-ethyl-3-methylpentane</t>
  </si>
  <si>
    <t>1067-08-9</t>
  </si>
  <si>
    <t>n-octane</t>
  </si>
  <si>
    <t>111-65-9</t>
  </si>
  <si>
    <t>isooctane</t>
  </si>
  <si>
    <t>26635-64-3</t>
  </si>
  <si>
    <t>2,2,4-trimethylpentane</t>
  </si>
  <si>
    <t>540-84-1</t>
  </si>
  <si>
    <t>2,3,3-trimethylpentane</t>
  </si>
  <si>
    <t>560-21-4</t>
  </si>
  <si>
    <t>3,3-dimethylhexane</t>
  </si>
  <si>
    <t>563-16-6</t>
  </si>
  <si>
    <t>2,2,3-trimethylpentane</t>
  </si>
  <si>
    <t>564-02-3</t>
  </si>
  <si>
    <t>2,3,4-trimethylpentane</t>
  </si>
  <si>
    <t>565-75-3</t>
  </si>
  <si>
    <t>3,4-dimethylhexane</t>
  </si>
  <si>
    <t>583-48-2</t>
  </si>
  <si>
    <t>2,3-dimethylhexane</t>
  </si>
  <si>
    <t>584-94-1</t>
  </si>
  <si>
    <t>2,4-dimethylhexane</t>
  </si>
  <si>
    <t>589-43-5</t>
  </si>
  <si>
    <t>4-methylheptane</t>
  </si>
  <si>
    <t>589-53-7</t>
  </si>
  <si>
    <t>3-methylheptane</t>
  </si>
  <si>
    <t>589-81-1</t>
  </si>
  <si>
    <t>2,2-dimehtylhexane</t>
  </si>
  <si>
    <t>590-73-8</t>
  </si>
  <si>
    <t>2,5-dimethylhexane</t>
  </si>
  <si>
    <t>592-13-2</t>
  </si>
  <si>
    <t>2-methylheptane</t>
  </si>
  <si>
    <t>592-27-8</t>
  </si>
  <si>
    <t>2,2,3,3-tetramethylbutane</t>
  </si>
  <si>
    <t>594-82-1</t>
  </si>
  <si>
    <t>3-ethyl-2-methylpentane</t>
  </si>
  <si>
    <t>609-26-7</t>
  </si>
  <si>
    <t>3-ethylhexane</t>
  </si>
  <si>
    <t>619-99-8</t>
  </si>
  <si>
    <t>2-pentanone</t>
  </si>
  <si>
    <t>107-87-9</t>
  </si>
  <si>
    <t>2-octanone</t>
  </si>
  <si>
    <t>111-13-7</t>
  </si>
  <si>
    <t>isoflurane</t>
  </si>
  <si>
    <t>26675-46-7</t>
  </si>
  <si>
    <t>poly(1-butene)</t>
  </si>
  <si>
    <t>9003-28-5</t>
  </si>
  <si>
    <t>polybutene</t>
  </si>
  <si>
    <t>9003-29-6</t>
  </si>
  <si>
    <t>ethyl 2-methacrylate</t>
  </si>
  <si>
    <t>97-63-2</t>
  </si>
  <si>
    <t>isopropanol</t>
  </si>
  <si>
    <t>67-63-0</t>
  </si>
  <si>
    <t>2-butene</t>
  </si>
  <si>
    <t>107-01-7</t>
  </si>
  <si>
    <t>methyl vinyl ether</t>
  </si>
  <si>
    <t>107-25-5</t>
  </si>
  <si>
    <t>isobutyl vinyl ether</t>
  </si>
  <si>
    <t>109-53-5</t>
  </si>
  <si>
    <t>1-pentene</t>
  </si>
  <si>
    <t>109-67-1</t>
  </si>
  <si>
    <t>2-pentene</t>
  </si>
  <si>
    <t>109-68-2</t>
  </si>
  <si>
    <t>methylbutene (mixed isomers)</t>
  </si>
  <si>
    <t>26760-64-5</t>
  </si>
  <si>
    <t>2-methyl-2-butene</t>
  </si>
  <si>
    <t>513-35-9</t>
  </si>
  <si>
    <t>2-methyl-1-butene</t>
  </si>
  <si>
    <t>563-46-2</t>
  </si>
  <si>
    <t>cis-2-butene</t>
  </si>
  <si>
    <t>590-18-1</t>
  </si>
  <si>
    <t>trans-2-butene</t>
  </si>
  <si>
    <t>624-64-6</t>
  </si>
  <si>
    <t>cis-2-pentene</t>
  </si>
  <si>
    <t>627-20-3</t>
  </si>
  <si>
    <t>trans-2-pentene</t>
  </si>
  <si>
    <t>646-04-8</t>
  </si>
  <si>
    <t>C5 unsaturated carbons</t>
  </si>
  <si>
    <t>68956-55-8</t>
  </si>
  <si>
    <t>triethyl orthoformate</t>
  </si>
  <si>
    <t>122-51-0</t>
  </si>
  <si>
    <t>propyl propionate</t>
  </si>
  <si>
    <t>106-36-5</t>
  </si>
  <si>
    <t>nitrous oxide</t>
  </si>
  <si>
    <t>10024-97-2</t>
  </si>
  <si>
    <t>3,3-diethylpentane</t>
  </si>
  <si>
    <t>1067-20-5</t>
  </si>
  <si>
    <t>4,4-dimethylheptane</t>
  </si>
  <si>
    <t>1068-19-5</t>
  </si>
  <si>
    <t>3-ethyl-2,4-dimethylpentane</t>
  </si>
  <si>
    <t>1068-87-7</t>
  </si>
  <si>
    <t>2,3,5-trimethylhexane</t>
  </si>
  <si>
    <t>1069-53-0</t>
  </si>
  <si>
    <t>2,2,4,4-tetramethylpentane</t>
  </si>
  <si>
    <t>1070-87-7</t>
  </si>
  <si>
    <t>2,2-dimethylheptane</t>
  </si>
  <si>
    <t>1071-26-7</t>
  </si>
  <si>
    <t>2,6-dimethylheptane</t>
  </si>
  <si>
    <t>1072-05-5</t>
  </si>
  <si>
    <t>n-nonane</t>
  </si>
  <si>
    <t>111-84-2</t>
  </si>
  <si>
    <t>2,2,3,4-tetramethylpentane</t>
  </si>
  <si>
    <t>1186-53-4</t>
  </si>
  <si>
    <t>3-ethylheptane</t>
  </si>
  <si>
    <t>15869-80-4</t>
  </si>
  <si>
    <t>2,2,3-trimethylhexane</t>
  </si>
  <si>
    <t>16747-25-4</t>
  </si>
  <si>
    <t>2,2,4-trimethylhexane</t>
  </si>
  <si>
    <t>16747-26-5</t>
  </si>
  <si>
    <t>2,3,3-trimethylhexane</t>
  </si>
  <si>
    <t>16747-28-7</t>
  </si>
  <si>
    <t>2,4,4-trimethylhexane</t>
  </si>
  <si>
    <t>16747-30-1</t>
  </si>
  <si>
    <t>3,3,4-trimethylhexane</t>
  </si>
  <si>
    <t>16747-31-2</t>
  </si>
  <si>
    <t>3-ethyl-2,2-dimethylpentane</t>
  </si>
  <si>
    <t>16747-32-3</t>
  </si>
  <si>
    <t>3-ethyl-2,3-dimethylpentane</t>
  </si>
  <si>
    <t>16747-33-4</t>
  </si>
  <si>
    <t>2,3,3,4-tetramethylpentane</t>
  </si>
  <si>
    <t>16747-38-9</t>
  </si>
  <si>
    <t>3-ethyl-2-methylhexane</t>
  </si>
  <si>
    <t>16789-46-1</t>
  </si>
  <si>
    <t>2,4-dimethylheptane</t>
  </si>
  <si>
    <t>2213-23-2</t>
  </si>
  <si>
    <t>2,5-dimethylheptane</t>
  </si>
  <si>
    <t>2216-30-0</t>
  </si>
  <si>
    <t>4-ethylheptane</t>
  </si>
  <si>
    <t>2216-32-2</t>
  </si>
  <si>
    <t>3-methyloctane</t>
  </si>
  <si>
    <t>2216-33-3</t>
  </si>
  <si>
    <t>4-methyloctane</t>
  </si>
  <si>
    <t>2216-34-4</t>
  </si>
  <si>
    <t>2,3-dimethylheptane</t>
  </si>
  <si>
    <t>3074-71-3</t>
  </si>
  <si>
    <t>4-ethyl-2-methylhexane</t>
  </si>
  <si>
    <t>3074-75-7</t>
  </si>
  <si>
    <t>3-ethyl-3-methylhexane</t>
  </si>
  <si>
    <t>3074-76-8</t>
  </si>
  <si>
    <t>3-ethyl-4-methylhexane</t>
  </si>
  <si>
    <t>3074-77-9</t>
  </si>
  <si>
    <t>2-methyloctane</t>
  </si>
  <si>
    <t>3221-61-2</t>
  </si>
  <si>
    <t>2,2,5-trimethylhexane</t>
  </si>
  <si>
    <t>3522-94-9</t>
  </si>
  <si>
    <t>3,3-dimethylheptane</t>
  </si>
  <si>
    <t>4032-86-4</t>
  </si>
  <si>
    <t>2,2,3,3-tetramethylpentane</t>
  </si>
  <si>
    <t>7154-79-2</t>
  </si>
  <si>
    <t>2,3,4-trimethylhexane</t>
  </si>
  <si>
    <t>921-47-1</t>
  </si>
  <si>
    <t>3,4-dimethylheptane</t>
  </si>
  <si>
    <t>922-28-1</t>
  </si>
  <si>
    <t>3,5-dimethylheptane</t>
  </si>
  <si>
    <t>926-82-9</t>
  </si>
  <si>
    <t>1,2,6-hexanetriol</t>
  </si>
  <si>
    <t>106-69-4</t>
  </si>
  <si>
    <t>1,3-butanediol</t>
  </si>
  <si>
    <t>107-88-0</t>
  </si>
  <si>
    <t>chloropentafluorobenzene</t>
  </si>
  <si>
    <t>344-07-0</t>
  </si>
  <si>
    <t>pentafluorobenzene</t>
  </si>
  <si>
    <t>363-72-4</t>
  </si>
  <si>
    <t>di(2-ethylhexyl)adipate</t>
  </si>
  <si>
    <t>103-23-1</t>
  </si>
  <si>
    <t>dibutyl adipate</t>
  </si>
  <si>
    <t>105-99-7</t>
  </si>
  <si>
    <t>dibutyl sebacate</t>
  </si>
  <si>
    <t>109-43-3</t>
  </si>
  <si>
    <t>diisooctyl adipate</t>
  </si>
  <si>
    <t>1330-86-5</t>
  </si>
  <si>
    <t>diisobutyl adipate</t>
  </si>
  <si>
    <t>141-04-8</t>
  </si>
  <si>
    <t>hexanedioic acid, 1,6-ditridecyl ester</t>
  </si>
  <si>
    <t>16958-92-2</t>
  </si>
  <si>
    <t>diisodecyl adipate</t>
  </si>
  <si>
    <t>27178-16-1</t>
  </si>
  <si>
    <t>poly(neopentyl glycol adipate)</t>
  </si>
  <si>
    <t>27925-07-1</t>
  </si>
  <si>
    <t>diisononyl adipate</t>
  </si>
  <si>
    <t>33703-08-1</t>
  </si>
  <si>
    <t>dimethyl adipate</t>
  </si>
  <si>
    <t>627-93-0</t>
  </si>
  <si>
    <t>hexanedioic acid, di-C7-9-branched and linear alkyl esters</t>
  </si>
  <si>
    <t>68515-75-3</t>
  </si>
  <si>
    <t>isopropyl acetate</t>
  </si>
  <si>
    <t>108-21-4</t>
  </si>
  <si>
    <t>naphtholite</t>
  </si>
  <si>
    <t>64742-06-9</t>
  </si>
  <si>
    <t>1,1-dichloroethane</t>
  </si>
  <si>
    <t>75-34-3</t>
  </si>
  <si>
    <t>naphtha, coal tar, desulfurized or sweet</t>
  </si>
  <si>
    <t>8030-30-6</t>
  </si>
  <si>
    <t>Texanol</t>
  </si>
  <si>
    <t>25265-77-4</t>
  </si>
  <si>
    <t>ethyl butyrate</t>
  </si>
  <si>
    <t>105-54-4</t>
  </si>
  <si>
    <t>1-ethoxy propanol</t>
  </si>
  <si>
    <t>52125-53-8</t>
  </si>
  <si>
    <t>2,6,8-trimethyl-4-nonanone</t>
  </si>
  <si>
    <t>123-18-2</t>
  </si>
  <si>
    <t>isobutyl heptyl ketone</t>
  </si>
  <si>
    <t>19594-40-2</t>
  </si>
  <si>
    <t>1-methoxy-2-propanol</t>
  </si>
  <si>
    <t>107-98-2</t>
  </si>
  <si>
    <t>2-methyl-1-butanol</t>
  </si>
  <si>
    <t>137-32-6</t>
  </si>
  <si>
    <t>2-ethyl butyl alcohol</t>
  </si>
  <si>
    <t>97-95-0</t>
  </si>
  <si>
    <t>2-ethoxy-3,4-dihydro-1,2-pyran</t>
  </si>
  <si>
    <t>103-75-3</t>
  </si>
  <si>
    <t>2,6-dimethyl-2-octen-8-ol</t>
  </si>
  <si>
    <t>106-22-9</t>
  </si>
  <si>
    <t>n-undecane</t>
  </si>
  <si>
    <t>1120-21-4</t>
  </si>
  <si>
    <t>dodecane</t>
  </si>
  <si>
    <t>112-40-3</t>
  </si>
  <si>
    <t>isododecane</t>
  </si>
  <si>
    <t>13475-82-6</t>
  </si>
  <si>
    <t>2-methylhexadecane</t>
  </si>
  <si>
    <t>1560-92-5</t>
  </si>
  <si>
    <t>2-methyltridecane</t>
  </si>
  <si>
    <t>1560-96-9</t>
  </si>
  <si>
    <t>1-O-methyl-3,6-anhydro-alpha-D-mannopyranose</t>
  </si>
  <si>
    <t>15814-56-9</t>
  </si>
  <si>
    <t>(1alpha,2alpha,3beta)-1,2,3-trimethylcyclopentane</t>
  </si>
  <si>
    <t>15890-40-1</t>
  </si>
  <si>
    <t>11-methyl-1-ethylcyclopentane</t>
  </si>
  <si>
    <t>16747-50-5</t>
  </si>
  <si>
    <t>propylcyclohexane</t>
  </si>
  <si>
    <t>1678-92-8</t>
  </si>
  <si>
    <t>butylcyclohexane</t>
  </si>
  <si>
    <t>1678-93-9</t>
  </si>
  <si>
    <t>(1alpha,2beta,4alpha)-1,2,4-trimethylcyclopentane</t>
  </si>
  <si>
    <t>16883-48-0</t>
  </si>
  <si>
    <t>2,6-dimethylundecane</t>
  </si>
  <si>
    <t>17301-23-4</t>
  </si>
  <si>
    <t xml:space="preserve">2,8-dimethylundecane </t>
  </si>
  <si>
    <t>17301-25-6</t>
  </si>
  <si>
    <t>3-ethylnonane</t>
  </si>
  <si>
    <t>17302-11-3</t>
  </si>
  <si>
    <t>trans-1,3-dimethylcyclopentane</t>
  </si>
  <si>
    <t>1759-58-6</t>
  </si>
  <si>
    <t>tricyclo[3.2.1.0(1,5)]octane</t>
  </si>
  <si>
    <t>19074-25-0</t>
  </si>
  <si>
    <t>butylcyclopentane</t>
  </si>
  <si>
    <t>2040-95-1</t>
  </si>
  <si>
    <t>propylcyclopentane</t>
  </si>
  <si>
    <t>2040-96-2</t>
  </si>
  <si>
    <t>1,6-dichlorohexane</t>
  </si>
  <si>
    <t>2163-00-0</t>
  </si>
  <si>
    <t>cis-1,3-dimethylcyclopentane</t>
  </si>
  <si>
    <t>2532-58-3</t>
  </si>
  <si>
    <t>3-methyltetrahydropyran</t>
  </si>
  <si>
    <t>26093-63-0</t>
  </si>
  <si>
    <t>1-methyl-trans-3-ethylcyclopentane</t>
  </si>
  <si>
    <t>2613-65-2</t>
  </si>
  <si>
    <t>1,2-trans,4-cis-trimethyl-cyclopentane</t>
  </si>
  <si>
    <t>2613-70-9</t>
  </si>
  <si>
    <t>alkanes, C10-24, branched</t>
  </si>
  <si>
    <t>289711-48-4</t>
  </si>
  <si>
    <t>alkanes, C10-24</t>
  </si>
  <si>
    <t>289711-49-5</t>
  </si>
  <si>
    <t>cyclooctane</t>
  </si>
  <si>
    <t>292-64-8</t>
  </si>
  <si>
    <t>cyclodecane</t>
  </si>
  <si>
    <t>293-96-9</t>
  </si>
  <si>
    <t>cyclododecane</t>
  </si>
  <si>
    <t>294-62-2</t>
  </si>
  <si>
    <t>1,1,3-trimethycyclohexane</t>
  </si>
  <si>
    <t>3073-66-3</t>
  </si>
  <si>
    <t>3-methyl-5-propylnonane</t>
  </si>
  <si>
    <t>31081-18-2</t>
  </si>
  <si>
    <t>(3R,5S)-3,5-dimethyltetrahydropyran-2-ol</t>
  </si>
  <si>
    <t>314021-41-5</t>
  </si>
  <si>
    <t>1,2,3,4,5-pentamethylcyclopentane</t>
  </si>
  <si>
    <t>33067-32-2</t>
  </si>
  <si>
    <t>isodecane</t>
  </si>
  <si>
    <t>34464-38-5</t>
  </si>
  <si>
    <t>1,1-methylethylcyclopentane</t>
  </si>
  <si>
    <t>3875-51-2</t>
  </si>
  <si>
    <t>2,6,10-trimethyldodecane</t>
  </si>
  <si>
    <t>3891-98-3</t>
  </si>
  <si>
    <t>1,1,2-trimethylcyclopentane</t>
  </si>
  <si>
    <t>4259-00-1</t>
  </si>
  <si>
    <t>1-methyl-2-propylcyclohexane</t>
  </si>
  <si>
    <t>4291-79-6</t>
  </si>
  <si>
    <t>hexylcyclohexane</t>
  </si>
  <si>
    <t>4292-75-5</t>
  </si>
  <si>
    <t>5,6-dihydro-6-methyl-2H-pyran-3(4H)-one</t>
  </si>
  <si>
    <t>43152-89-2</t>
  </si>
  <si>
    <t>(1r,2s)-1,2,4-trimethylcyclopentane</t>
  </si>
  <si>
    <t>4516-67-0</t>
  </si>
  <si>
    <t>1,1,3-trimethylcyclopentane</t>
  </si>
  <si>
    <t>4516-69-2</t>
  </si>
  <si>
    <t>cis,cis,trans-1,2,4-trimethyl cyclopentane</t>
  </si>
  <si>
    <t>4850-28-6</t>
  </si>
  <si>
    <t>hexadecane</t>
  </si>
  <si>
    <t>544-76-3</t>
  </si>
  <si>
    <t>methylcyclopropane</t>
  </si>
  <si>
    <t>594-11-6</t>
  </si>
  <si>
    <t>2-ethyl-4-methyl-1-pentane</t>
  </si>
  <si>
    <t>61847-80-1</t>
  </si>
  <si>
    <t>2,3,7-trimethyloctane</t>
  </si>
  <si>
    <t>62016-34-6</t>
  </si>
  <si>
    <t>tridecane</t>
  </si>
  <si>
    <t>629-50-5</t>
  </si>
  <si>
    <t>tetradecane</t>
  </si>
  <si>
    <t>629-59-4</t>
  </si>
  <si>
    <t>heptadecane</t>
  </si>
  <si>
    <t>629-78-7</t>
  </si>
  <si>
    <t>hydroisomerized middle distillates (Fischer-Tropsch), C10-13-branched alkane fraction</t>
  </si>
  <si>
    <t>642928-30-1</t>
  </si>
  <si>
    <t>mineral spirits</t>
  </si>
  <si>
    <t>64475-85-0</t>
  </si>
  <si>
    <t>straight-run gas oils (petroleum)</t>
  </si>
  <si>
    <t>64741-43-1</t>
  </si>
  <si>
    <t>natural gas condensates, petroleum</t>
  </si>
  <si>
    <t>64741-47-5</t>
  </si>
  <si>
    <t>heavy vacuum gas oils (petroleum)</t>
  </si>
  <si>
    <t>64741-57-7</t>
  </si>
  <si>
    <t>light vacuum gas oils (petroleum)</t>
  </si>
  <si>
    <t>64741-58-8</t>
  </si>
  <si>
    <t>distillates (petroleum), light catalytic cracked</t>
  </si>
  <si>
    <t>64741-59-9</t>
  </si>
  <si>
    <t>naphtha, petroleum, light alkylate</t>
  </si>
  <si>
    <t>64741-66-8</t>
  </si>
  <si>
    <t>naphtha (petroleum), solvent-refined light</t>
  </si>
  <si>
    <t>64741-84-0</t>
  </si>
  <si>
    <t>raffinates (petroleum), sorption process</t>
  </si>
  <si>
    <t>64741-85-1</t>
  </si>
  <si>
    <t>distillate, middle, sweetened</t>
  </si>
  <si>
    <t>64741-86-2</t>
  </si>
  <si>
    <t>petroleum distillates, solvent-refined middle</t>
  </si>
  <si>
    <t>64741-91-9</t>
  </si>
  <si>
    <t>severely solvent refined heavy naphthenic distillate</t>
  </si>
  <si>
    <t>64741-96-4</t>
  </si>
  <si>
    <t>ROL Feedstock</t>
  </si>
  <si>
    <t>64741-97-5</t>
  </si>
  <si>
    <t>distillates, petroleum, clay treated middle</t>
  </si>
  <si>
    <t>64742-38-7</t>
  </si>
  <si>
    <t>hydrotreated middle distillate (petroleum)</t>
  </si>
  <si>
    <t>64742-46-7</t>
  </si>
  <si>
    <t>distillates (petroleum), hydrotreated light</t>
  </si>
  <si>
    <t>64742-47-8</t>
  </si>
  <si>
    <t>naphtha [petroleum], hydrotreated light</t>
  </si>
  <si>
    <t>64742-49-0</t>
  </si>
  <si>
    <t>hydrotreated (severe) heavy naphthenic distillates (petroleum)</t>
  </si>
  <si>
    <t>64742-52-5</t>
  </si>
  <si>
    <t>hydrotreated residual oil</t>
  </si>
  <si>
    <t>64742-57-0</t>
  </si>
  <si>
    <t>distillates (petroleum), solvent-dewaxed light naphthenic</t>
  </si>
  <si>
    <t>64742-64-9</t>
  </si>
  <si>
    <t>naphtha (petroleum), hydrosulfurized heavy</t>
  </si>
  <si>
    <t>64742-82-1</t>
  </si>
  <si>
    <t>medium aliphatic solvent naphtha (petroleum)</t>
  </si>
  <si>
    <t>64742-88-7</t>
  </si>
  <si>
    <t>light aliphatic solvent naphtha</t>
  </si>
  <si>
    <t>64742-89-8</t>
  </si>
  <si>
    <t>paraffins (petroleum), normal C5-20</t>
  </si>
  <si>
    <t>64771-72-8</t>
  </si>
  <si>
    <t>coal solvent naphtha</t>
  </si>
  <si>
    <t>65996-79-4</t>
  </si>
  <si>
    <t>coal tar distillate</t>
  </si>
  <si>
    <t>65996-92-1</t>
  </si>
  <si>
    <t>distillates (petroleum), steam-cracked, polymers with acid-treated coal solvent naphtha and phenol</t>
  </si>
  <si>
    <t>68131-80-6</t>
  </si>
  <si>
    <t>distillates (petroleum), crude oil</t>
  </si>
  <si>
    <t>68410-00-4</t>
  </si>
  <si>
    <t>distillates (petroleum), steam-cracked polymers with light steam-cracked petroleum naphtha</t>
  </si>
  <si>
    <t>68410-16-2</t>
  </si>
  <si>
    <t>benzene raffinates</t>
  </si>
  <si>
    <t>68410-71-9</t>
  </si>
  <si>
    <t>reclaimed petroleum waste oil</t>
  </si>
  <si>
    <t>68476-53-9</t>
  </si>
  <si>
    <t>petroleum naphtha, light steam-cracked, C5-fraction, oligomer</t>
  </si>
  <si>
    <t>68478-08-0</t>
  </si>
  <si>
    <t>isoalkanes, C8-C10</t>
  </si>
  <si>
    <t>68551-15-5</t>
  </si>
  <si>
    <t>isoalkanes, C9-C11</t>
  </si>
  <si>
    <t>68551-16-6</t>
  </si>
  <si>
    <t>isoalkanes, C10-C13</t>
  </si>
  <si>
    <t>68551-17-7</t>
  </si>
  <si>
    <t>isoalkanes, C12-C14</t>
  </si>
  <si>
    <t>68551-19-9</t>
  </si>
  <si>
    <t>isoalkanes, C13-C16</t>
  </si>
  <si>
    <t>68551-20-2</t>
  </si>
  <si>
    <t>naphtha, petroleum, arom-contg</t>
  </si>
  <si>
    <t>68603-08-7</t>
  </si>
  <si>
    <t>natural gas condensates, sweet</t>
  </si>
  <si>
    <t>68919-39-1</t>
  </si>
  <si>
    <t>2-methyldecane</t>
  </si>
  <si>
    <t>6975-98-0</t>
  </si>
  <si>
    <t>isoalkanes, C7-C8</t>
  </si>
  <si>
    <t>70024-92-9</t>
  </si>
  <si>
    <t>sec-butylcyclohexane</t>
  </si>
  <si>
    <t>7058-01-7</t>
  </si>
  <si>
    <t>petroleum distillates, light vacuum</t>
  </si>
  <si>
    <t>70592-77-7</t>
  </si>
  <si>
    <t>distillates, petroleum, vacuum</t>
  </si>
  <si>
    <t>70592-78-8</t>
  </si>
  <si>
    <t>methylene chloride</t>
  </si>
  <si>
    <t>75-09-2</t>
  </si>
  <si>
    <t>tetrabromophthalic anhydride diol</t>
  </si>
  <si>
    <t>77098-07-8</t>
  </si>
  <si>
    <t>trimethylheptane, all isomers</t>
  </si>
  <si>
    <t>79004-86-7</t>
  </si>
  <si>
    <t>petroleum distillates</t>
  </si>
  <si>
    <t>8002-05-9</t>
  </si>
  <si>
    <t>petroleum ether</t>
  </si>
  <si>
    <t>8032-32-4</t>
  </si>
  <si>
    <t>Stoddard solvent</t>
  </si>
  <si>
    <t>8052-41-3</t>
  </si>
  <si>
    <t>trans-1,2-dimethylcyclopentane</t>
  </si>
  <si>
    <t>822-50-4</t>
  </si>
  <si>
    <t>2-tert-butylcyclohexanolacetate</t>
  </si>
  <si>
    <t>88-41-5</t>
  </si>
  <si>
    <t>alkanes, C14-16</t>
  </si>
  <si>
    <t>90622-46-1</t>
  </si>
  <si>
    <t>C7-10 isoalkanes</t>
  </si>
  <si>
    <t>90622-56-3</t>
  </si>
  <si>
    <t>C9-12 isoalkanes</t>
  </si>
  <si>
    <t>90622-57-4</t>
  </si>
  <si>
    <t>decahydronaphthalene</t>
  </si>
  <si>
    <t>91-17-8</t>
  </si>
  <si>
    <t>asphaltenes</t>
  </si>
  <si>
    <t>91995-23-2</t>
  </si>
  <si>
    <t>naphtha (petroleum), hydrodesulfurized light, dearomatized</t>
  </si>
  <si>
    <t>92045-53-9</t>
  </si>
  <si>
    <t>hydrocarbons, C6-7, naphtha-cracking, solvent-refined</t>
  </si>
  <si>
    <t>92045-64-2</t>
  </si>
  <si>
    <t>3,5-dimethyltetrahydropyran-2-ol</t>
  </si>
  <si>
    <t>92340-69-7</t>
  </si>
  <si>
    <t>trans-1-ethyl-2-methylcyclopentane</t>
  </si>
  <si>
    <t>930-90-5</t>
  </si>
  <si>
    <t>light cat cracked gasoline</t>
  </si>
  <si>
    <t>64741-55-5</t>
  </si>
  <si>
    <t>natural gasoline</t>
  </si>
  <si>
    <t>68425-31-0</t>
  </si>
  <si>
    <t>C4-C12 alkane hydrocarbons</t>
  </si>
  <si>
    <t>68527-27-5</t>
  </si>
  <si>
    <t>gasoline</t>
  </si>
  <si>
    <t>8006-61-9</t>
  </si>
  <si>
    <t>gasoline (&gt;C3)</t>
  </si>
  <si>
    <t>86290-81-5</t>
  </si>
  <si>
    <t>benzoin</t>
  </si>
  <si>
    <t>119-53-9</t>
  </si>
  <si>
    <t>2,2-dimethoxy-2-phenylacetophenone</t>
  </si>
  <si>
    <t>24650-42-8</t>
  </si>
  <si>
    <t>cyclohexane</t>
  </si>
  <si>
    <t>110-82-7</t>
  </si>
  <si>
    <t>1-octene</t>
  </si>
  <si>
    <t>111-66-0</t>
  </si>
  <si>
    <t>(E)-2-octene</t>
  </si>
  <si>
    <t>13389-42-9</t>
  </si>
  <si>
    <t>(E)-3-octene</t>
  </si>
  <si>
    <t>14919-01-8</t>
  </si>
  <si>
    <t>(1R,2S,4S)-1,2,4-trimethylcyclohexane</t>
  </si>
  <si>
    <t>1678-80-4</t>
  </si>
  <si>
    <t>1,3,5-trimethylcyclohexane</t>
  </si>
  <si>
    <t>1839-63-0</t>
  </si>
  <si>
    <t>cis-1,2-dimethylcyclohexane</t>
  </si>
  <si>
    <t>2207-01-4</t>
  </si>
  <si>
    <t>trans-1,3-dimethylcyclohexane</t>
  </si>
  <si>
    <t>2207-03-6</t>
  </si>
  <si>
    <t>diisobutylene</t>
  </si>
  <si>
    <t>25167-70-8</t>
  </si>
  <si>
    <t>octene</t>
  </si>
  <si>
    <t>25377-83-7</t>
  </si>
  <si>
    <t>cycloheptane</t>
  </si>
  <si>
    <t>291-64-5</t>
  </si>
  <si>
    <t>1,2-dimethylcyclohexane, mixture of cis and trans</t>
  </si>
  <si>
    <t>583-57-3</t>
  </si>
  <si>
    <t>1,1-dimethylcyclohexane</t>
  </si>
  <si>
    <t>590-66-9</t>
  </si>
  <si>
    <t>1,3-dimethylcyclohexane, mixture of cis and trans</t>
  </si>
  <si>
    <t>591-21-9</t>
  </si>
  <si>
    <t>cis-1,4-dimethylcyclohexane</t>
  </si>
  <si>
    <t>624-29-3</t>
  </si>
  <si>
    <t>cis-1,3-dimethylcyclohexane</t>
  </si>
  <si>
    <t>638-04-0</t>
  </si>
  <si>
    <t>cyclohexane, oxidized, non-acidic by-products, distn. residues</t>
  </si>
  <si>
    <t>68609-04-1</t>
  </si>
  <si>
    <t>trans-1,2-dimethylcyclohexane</t>
  </si>
  <si>
    <t>6876-23-9</t>
  </si>
  <si>
    <t>1,1,2-trimethylcyclohexane</t>
  </si>
  <si>
    <t>7094-26-0</t>
  </si>
  <si>
    <t>1,1,4-trimethylcyclohexane</t>
  </si>
  <si>
    <t>7094-27-1</t>
  </si>
  <si>
    <t>triisobutylene</t>
  </si>
  <si>
    <t>7756-94-7</t>
  </si>
  <si>
    <t>1,1'-bi(cyclohexyl)</t>
  </si>
  <si>
    <t>92-51-3</t>
  </si>
  <si>
    <t>2,2,5,5-tetramethylhexane</t>
  </si>
  <si>
    <t>1071-81-4</t>
  </si>
  <si>
    <t>2,7-dimethyloctane</t>
  </si>
  <si>
    <t>1072-16-8</t>
  </si>
  <si>
    <t>2,5,5-trimethylheptane</t>
  </si>
  <si>
    <t>1189-99-7</t>
  </si>
  <si>
    <t>2,2,6-trimethylheptane</t>
  </si>
  <si>
    <t>1190-83-6</t>
  </si>
  <si>
    <t>n-decane</t>
  </si>
  <si>
    <t>124-18-5</t>
  </si>
  <si>
    <t>5-ethyl-2-methylheptane</t>
  </si>
  <si>
    <t>13475-78-0</t>
  </si>
  <si>
    <t>3-isopropyl-2,4-dimethylpentane</t>
  </si>
  <si>
    <t>13475-79-1</t>
  </si>
  <si>
    <t>2,2,3,3-tetramethylhexane</t>
  </si>
  <si>
    <t>13475-81-5</t>
  </si>
  <si>
    <t>3-ethyl-2-methylheptane</t>
  </si>
  <si>
    <t>14676-29-0</t>
  </si>
  <si>
    <t>2,2,4-trimethylheptane</t>
  </si>
  <si>
    <t>14720-74-2</t>
  </si>
  <si>
    <t>5-methylnonane</t>
  </si>
  <si>
    <t>15869-85-9</t>
  </si>
  <si>
    <t>4-ethyloctane</t>
  </si>
  <si>
    <t>15869-86-0</t>
  </si>
  <si>
    <t>2,2-dimethyloctane</t>
  </si>
  <si>
    <t>15869-87-1</t>
  </si>
  <si>
    <t>2,5-dimethyloctane</t>
  </si>
  <si>
    <t>15869-89-3</t>
  </si>
  <si>
    <t>3,4-dimethyloctane</t>
  </si>
  <si>
    <t>15869-92-8</t>
  </si>
  <si>
    <t>3,5-dimethyloctane</t>
  </si>
  <si>
    <t>15869-93-9</t>
  </si>
  <si>
    <t>3,6-dimethyloctane</t>
  </si>
  <si>
    <t>15869-94-0</t>
  </si>
  <si>
    <t>4,4-dimethyloctane</t>
  </si>
  <si>
    <t>15869-95-1</t>
  </si>
  <si>
    <t>4,5-dimethyloctane</t>
  </si>
  <si>
    <t>15869-96-2</t>
  </si>
  <si>
    <t>2,2,4,5-tetramethylhexane</t>
  </si>
  <si>
    <t>16747-42-5</t>
  </si>
  <si>
    <t>2,2,3,3,4-pentamethylpentane</t>
  </si>
  <si>
    <t>16747-44-7</t>
  </si>
  <si>
    <t>2,2,3,4,4-pentamethylpentane</t>
  </si>
  <si>
    <t>16747-45-8</t>
  </si>
  <si>
    <t>4-methylnonane</t>
  </si>
  <si>
    <t>17301-94-9</t>
  </si>
  <si>
    <t>3-ethyl-3-methylheptane</t>
  </si>
  <si>
    <t>17302-01-1</t>
  </si>
  <si>
    <t>3,3-diethylhexane</t>
  </si>
  <si>
    <t>17302-02-2</t>
  </si>
  <si>
    <t>4-ethyl-4-methylheptane</t>
  </si>
  <si>
    <t>17302-04-4</t>
  </si>
  <si>
    <t>3,4-diethylhexane</t>
  </si>
  <si>
    <t>19398-77-7</t>
  </si>
  <si>
    <t>2,4,5-trimethylheptane</t>
  </si>
  <si>
    <t>20278-84-6</t>
  </si>
  <si>
    <t>2,3,5-trimethylheptane</t>
  </si>
  <si>
    <t>20278-85-7</t>
  </si>
  <si>
    <t>3,3,4-trimethylheptane</t>
  </si>
  <si>
    <t>20278-87-9</t>
  </si>
  <si>
    <t>3,4,4-trimethylheptane</t>
  </si>
  <si>
    <t>20278-88-0</t>
  </si>
  <si>
    <t>3,4,5-trimethylheptane</t>
  </si>
  <si>
    <t>20278-89-1</t>
  </si>
  <si>
    <t>3-ethyl-2,2-dimethylhexane</t>
  </si>
  <si>
    <t>20291-91-2</t>
  </si>
  <si>
    <t>2,2,5-trimethylheptane</t>
  </si>
  <si>
    <t>20291-95-6</t>
  </si>
  <si>
    <t>2,6-dimethyloctane</t>
  </si>
  <si>
    <t>2051-30-1</t>
  </si>
  <si>
    <t>2,4,6-trimethylheptane</t>
  </si>
  <si>
    <t>2613-61-8</t>
  </si>
  <si>
    <t>4-propylheptane</t>
  </si>
  <si>
    <t>3178-29-8</t>
  </si>
  <si>
    <t>2,4,4-trimethylheptane</t>
  </si>
  <si>
    <t>4032-92-2</t>
  </si>
  <si>
    <t>2,3,6-trimethylheptane</t>
  </si>
  <si>
    <t>4032-93-3</t>
  </si>
  <si>
    <t>2,4-dimethyloctane</t>
  </si>
  <si>
    <t>4032-94-4</t>
  </si>
  <si>
    <t>3,3-dimethyloctane</t>
  </si>
  <si>
    <t>4110-44-5</t>
  </si>
  <si>
    <t>3,3,4,4-tetramethylhexane</t>
  </si>
  <si>
    <t>5171-84-6</t>
  </si>
  <si>
    <t>2,2,4,4-tetramethylhexane</t>
  </si>
  <si>
    <t>51750-65-3</t>
  </si>
  <si>
    <t>4-isopropylheptane</t>
  </si>
  <si>
    <t>52896-87-4</t>
  </si>
  <si>
    <t>4-ethyl-2-methylheptane</t>
  </si>
  <si>
    <t>52896-88-5</t>
  </si>
  <si>
    <t>4-ethyl-3-methylheptane</t>
  </si>
  <si>
    <t>52896-89-6</t>
  </si>
  <si>
    <t>3-ethyl-5-methylheptane</t>
  </si>
  <si>
    <t>52896-90-9</t>
  </si>
  <si>
    <t>3-ethyl-4-methylheptane</t>
  </si>
  <si>
    <t>52896-91-0</t>
  </si>
  <si>
    <t>2,2,3-trimethylheptane</t>
  </si>
  <si>
    <t>52896-92-1</t>
  </si>
  <si>
    <t>2,3,3-trimethylheptane</t>
  </si>
  <si>
    <t>52896-93-2</t>
  </si>
  <si>
    <t>2,3,4-trimethylheptane</t>
  </si>
  <si>
    <t>52896-95-4</t>
  </si>
  <si>
    <t>4-ethyl-2,2-dimethylhexane</t>
  </si>
  <si>
    <t>52896-99-8</t>
  </si>
  <si>
    <t>3-ethyl-2,3-dimethylhexane</t>
  </si>
  <si>
    <t>52897-00-4</t>
  </si>
  <si>
    <t>4-ethyl-2,3-dimethylhexane</t>
  </si>
  <si>
    <t>52897-01-5</t>
  </si>
  <si>
    <t>4-ethyl-2,4-dimethylhexane</t>
  </si>
  <si>
    <t>52897-03-7</t>
  </si>
  <si>
    <t>3-ethyl-2,5-dimethylhexane</t>
  </si>
  <si>
    <t>52897-04-8</t>
  </si>
  <si>
    <t>4-ethyl-3,3-dimethylhexane</t>
  </si>
  <si>
    <t>52897-05-9</t>
  </si>
  <si>
    <t>3-ethyl-3,4-dimethylhexane</t>
  </si>
  <si>
    <t>52897-06-0</t>
  </si>
  <si>
    <t>2,2,3,4-tetramethylhexane</t>
  </si>
  <si>
    <t>52897-08-2</t>
  </si>
  <si>
    <t>2,2,3,5-tetramethylhexane</t>
  </si>
  <si>
    <t>52897-09-3</t>
  </si>
  <si>
    <t>2,3,3,4-tetramethylhexane</t>
  </si>
  <si>
    <t>52897-10-6</t>
  </si>
  <si>
    <t>2,3,3,5-tetramethylhexane</t>
  </si>
  <si>
    <t>52897-11-7</t>
  </si>
  <si>
    <t>3,3-diethyl-2-methylpentane</t>
  </si>
  <si>
    <t>52897-16-2</t>
  </si>
  <si>
    <t>3-ethyl-2,2,3-trimethylpentane</t>
  </si>
  <si>
    <t>52897-17-3</t>
  </si>
  <si>
    <t>3-ethyl-2,2,4-trimethylpentane</t>
  </si>
  <si>
    <t>52897-18-4</t>
  </si>
  <si>
    <t>3-ethyl-2,3,4-trimethylpentane</t>
  </si>
  <si>
    <t>52897-19-5</t>
  </si>
  <si>
    <t>3-ethyloctane</t>
  </si>
  <si>
    <t>5881-17-4</t>
  </si>
  <si>
    <t>3-methylnonane</t>
  </si>
  <si>
    <t>5911-04-6</t>
  </si>
  <si>
    <t>3-isopropyl-2-methylhexane</t>
  </si>
  <si>
    <t>62016-13-1</t>
  </si>
  <si>
    <t>2,3-dimethyloctane</t>
  </si>
  <si>
    <t>7146-60-3</t>
  </si>
  <si>
    <t>3,3,5-trimethylheptane</t>
  </si>
  <si>
    <t>7154-80-5</t>
  </si>
  <si>
    <t>3-ethyl-2,4-dimethylhexane</t>
  </si>
  <si>
    <t>7220-26-0</t>
  </si>
  <si>
    <t>2-methylnonane</t>
  </si>
  <si>
    <t>871-83-0</t>
  </si>
  <si>
    <t>tert-butyl-m-xylene</t>
  </si>
  <si>
    <t>98-19-1</t>
  </si>
  <si>
    <t>2-hydroxyethyl methacrylate</t>
  </si>
  <si>
    <t>868-77-9</t>
  </si>
  <si>
    <t>2,2-dichloro-1,1,1-trifluoroethane</t>
  </si>
  <si>
    <t>306-83-2</t>
  </si>
  <si>
    <t>dipropylene glycol monomethyl ether</t>
  </si>
  <si>
    <t>34590-94-8</t>
  </si>
  <si>
    <t>nitroethanol</t>
  </si>
  <si>
    <t>625-48-9</t>
  </si>
  <si>
    <t>nitroethane</t>
  </si>
  <si>
    <t>79-24-3</t>
  </si>
  <si>
    <t>dipropylene glycol monomethyl ether acetate</t>
  </si>
  <si>
    <t>88917-22-0</t>
  </si>
  <si>
    <t>1,2,3,4-tetrahydronaphthalene</t>
  </si>
  <si>
    <t>119-64-2</t>
  </si>
  <si>
    <t>sodium naphthalenide</t>
  </si>
  <si>
    <t>3481-12-7</t>
  </si>
  <si>
    <t>1,2-dihydronaphthalene</t>
  </si>
  <si>
    <t>447-53-0</t>
  </si>
  <si>
    <t>butyl butoxyacetate</t>
  </si>
  <si>
    <t>10397-22-5</t>
  </si>
  <si>
    <t>methyl acetoacetate</t>
  </si>
  <si>
    <t>105-45-3</t>
  </si>
  <si>
    <t>n-propyl butyrate</t>
  </si>
  <si>
    <t>105-66-8</t>
  </si>
  <si>
    <t>vinyl acetate</t>
  </si>
  <si>
    <t>108-05-4</t>
  </si>
  <si>
    <t>4-methyl-2-pentanol acetate</t>
  </si>
  <si>
    <t>108-84-9</t>
  </si>
  <si>
    <t>butyl butyrate</t>
  </si>
  <si>
    <t>109-21-7</t>
  </si>
  <si>
    <t>ethyl formate</t>
  </si>
  <si>
    <t>109-94-4</t>
  </si>
  <si>
    <t>propyl formate</t>
  </si>
  <si>
    <t>110-74-7</t>
  </si>
  <si>
    <t>heptyl acetate</t>
  </si>
  <si>
    <t>112-06-1</t>
  </si>
  <si>
    <t>heptyl formate</t>
  </si>
  <si>
    <t>112-23-2</t>
  </si>
  <si>
    <t>octyl formate</t>
  </si>
  <si>
    <t>112-32-3</t>
  </si>
  <si>
    <t>n-hexyl acetate</t>
  </si>
  <si>
    <t>142-92-7</t>
  </si>
  <si>
    <t>acetic formic anhydride</t>
  </si>
  <si>
    <t>2258-42-6</t>
  </si>
  <si>
    <t>cyclohexyl formate</t>
  </si>
  <si>
    <t>4351-54-6</t>
  </si>
  <si>
    <t>isobutyl butyrate</t>
  </si>
  <si>
    <t>539-90-2</t>
  </si>
  <si>
    <t>3-heptanyl formate</t>
  </si>
  <si>
    <t>54009-71-1</t>
  </si>
  <si>
    <t>isobutyl formate</t>
  </si>
  <si>
    <t>542-55-2</t>
  </si>
  <si>
    <t>methyl isobutyrate</t>
  </si>
  <si>
    <t>547-63-7</t>
  </si>
  <si>
    <t>2-ethoxy-2-propylacetate</t>
  </si>
  <si>
    <t>54839-24-6</t>
  </si>
  <si>
    <t>butyl formate</t>
  </si>
  <si>
    <t>592-84-7</t>
  </si>
  <si>
    <t>isopropyl isobutyrate</t>
  </si>
  <si>
    <t>617-50-5</t>
  </si>
  <si>
    <t>isopropyl formate</t>
  </si>
  <si>
    <t>625-55-8</t>
  </si>
  <si>
    <t>hexyl formate</t>
  </si>
  <si>
    <t>629-33-4</t>
  </si>
  <si>
    <t>isopropyl butyrate</t>
  </si>
  <si>
    <t>638-11-9</t>
  </si>
  <si>
    <t>pentyl formate</t>
  </si>
  <si>
    <t>638-49-3</t>
  </si>
  <si>
    <t>naphtha, petroleum, heavy alkylate</t>
  </si>
  <si>
    <t>64741-65-7</t>
  </si>
  <si>
    <t>naphtha, petroleum, hydrotreated, heavy</t>
  </si>
  <si>
    <t>64742-48-9</t>
  </si>
  <si>
    <t>tert-butyl formate</t>
  </si>
  <si>
    <t>762-75-4</t>
  </si>
  <si>
    <t>sec-butyl alcohol</t>
  </si>
  <si>
    <t>78-92-2</t>
  </si>
  <si>
    <t>2-isobutyl isobutyrate</t>
  </si>
  <si>
    <t>97-85-8</t>
  </si>
  <si>
    <t>butyl isobutyrate</t>
  </si>
  <si>
    <t>97-87-0</t>
  </si>
  <si>
    <t>acetone oxime</t>
  </si>
  <si>
    <t>127-06-0</t>
  </si>
  <si>
    <t>adamantane</t>
  </si>
  <si>
    <t>281-23-2</t>
  </si>
  <si>
    <t>isobutyraldehyde</t>
  </si>
  <si>
    <t>78-84-2</t>
  </si>
  <si>
    <t>o-chlorostyrene</t>
  </si>
  <si>
    <t>2039-87-4</t>
  </si>
  <si>
    <t>acetic acid, C7-9-branched alkyl esters, C8-rich</t>
  </si>
  <si>
    <t>108419-32-5</t>
  </si>
  <si>
    <t>acetic acid, C8-10-branched alkyl esters, C9-rich</t>
  </si>
  <si>
    <t>108419-33-6</t>
  </si>
  <si>
    <t>oxo-decyl acetate</t>
  </si>
  <si>
    <t>108419-34-7</t>
  </si>
  <si>
    <t>oxo-tridecyl acetate</t>
  </si>
  <si>
    <t>108419-35-8</t>
  </si>
  <si>
    <t>decyl acetate</t>
  </si>
  <si>
    <t>112-17-4</t>
  </si>
  <si>
    <t>dodecyl acetate</t>
  </si>
  <si>
    <t>112-66-3</t>
  </si>
  <si>
    <t>ortho-cymene</t>
  </si>
  <si>
    <t>527-84-4</t>
  </si>
  <si>
    <t>meta-cymene</t>
  </si>
  <si>
    <t>535-77-3</t>
  </si>
  <si>
    <t>3-oxo-nonyl acetate</t>
  </si>
  <si>
    <t>7779-54-6</t>
  </si>
  <si>
    <t>oxo-hexyl acetate</t>
  </si>
  <si>
    <t>88230-35-7</t>
  </si>
  <si>
    <t>acetic acid, C6-8 branched alkyl esters</t>
  </si>
  <si>
    <t>90438-79-2</t>
  </si>
  <si>
    <t>para-cymene</t>
  </si>
  <si>
    <t>99-87-6</t>
  </si>
  <si>
    <t>butyl benzene</t>
  </si>
  <si>
    <t>104-51-8</t>
  </si>
  <si>
    <t>3,7-dimethyl-1-octanol</t>
  </si>
  <si>
    <t>106-21-8</t>
  </si>
  <si>
    <t>1-methoxy-2-propanol acetate</t>
  </si>
  <si>
    <t>108-65-6</t>
  </si>
  <si>
    <t>n-butyl chloride</t>
  </si>
  <si>
    <t>109-69-3</t>
  </si>
  <si>
    <t>isobutyl acetate</t>
  </si>
  <si>
    <t>110-19-0</t>
  </si>
  <si>
    <t>heptyl alcohol</t>
  </si>
  <si>
    <t>111-70-6</t>
  </si>
  <si>
    <t>1-octyl alcohol</t>
  </si>
  <si>
    <t>111-87-5</t>
  </si>
  <si>
    <t>2-ethylhexyl chloride</t>
  </si>
  <si>
    <t>123-04-6</t>
  </si>
  <si>
    <t>isoamyl acetate</t>
  </si>
  <si>
    <t>123-92-2</t>
  </si>
  <si>
    <t>2-octyl alcohol</t>
  </si>
  <si>
    <t>123-96-6</t>
  </si>
  <si>
    <t>trimethyl orthoacetate</t>
  </si>
  <si>
    <t>1445-45-0</t>
  </si>
  <si>
    <t>1-chlorotetradecane</t>
  </si>
  <si>
    <t>2425-54-9</t>
  </si>
  <si>
    <t>isooctyl alcohol</t>
  </si>
  <si>
    <t>26952-21-6</t>
  </si>
  <si>
    <t>isononyl alcohol</t>
  </si>
  <si>
    <t>27458-94-2</t>
  </si>
  <si>
    <t>2-butyl-1-octanol</t>
  </si>
  <si>
    <t>3913-02-8</t>
  </si>
  <si>
    <t>tert-butyl chloride</t>
  </si>
  <si>
    <t>507-20-0</t>
  </si>
  <si>
    <t>isoheptanol</t>
  </si>
  <si>
    <t>51774-11-9</t>
  </si>
  <si>
    <t>n-propyl chloride</t>
  </si>
  <si>
    <t>540-54-5</t>
  </si>
  <si>
    <t>chlorocyclohexane</t>
  </si>
  <si>
    <t>542-18-7</t>
  </si>
  <si>
    <t>1-chloropentane</t>
  </si>
  <si>
    <t>543-59-9</t>
  </si>
  <si>
    <t>3-octyl alcohol</t>
  </si>
  <si>
    <t>589-98-0</t>
  </si>
  <si>
    <t>1-chloro-1-methylcyclopentane</t>
  </si>
  <si>
    <t>6196-85-6</t>
  </si>
  <si>
    <t>2-methyl butyl acetate</t>
  </si>
  <si>
    <t>624-41-9</t>
  </si>
  <si>
    <t>sec-amyl acetate</t>
  </si>
  <si>
    <t>626-38-0</t>
  </si>
  <si>
    <t>n-amyl acetate</t>
  </si>
  <si>
    <t>628-63-7</t>
  </si>
  <si>
    <t>1-methoxypentane</t>
  </si>
  <si>
    <t>628-80-8</t>
  </si>
  <si>
    <t>1-chloroheptane</t>
  </si>
  <si>
    <t>629-06-1</t>
  </si>
  <si>
    <t>isoalcohols, C7-C9, C8 rich</t>
  </si>
  <si>
    <t>68526-83-0</t>
  </si>
  <si>
    <t>isoalcohols, C9-11, C10 rich</t>
  </si>
  <si>
    <t>68526-85-2</t>
  </si>
  <si>
    <t>chloroethane</t>
  </si>
  <si>
    <t>75-00-3</t>
  </si>
  <si>
    <t>2-chloropropane</t>
  </si>
  <si>
    <t>75-29-6</t>
  </si>
  <si>
    <t>sec-butyl chloride</t>
  </si>
  <si>
    <t>78-86-4</t>
  </si>
  <si>
    <t>3-chloro-3-methylpentane</t>
  </si>
  <si>
    <t>918-84-3</t>
  </si>
  <si>
    <t>ethoxypropyl acetate</t>
  </si>
  <si>
    <t>98516-30-4</t>
  </si>
  <si>
    <t>propylene glycol isopropyl ether</t>
  </si>
  <si>
    <t>110-48-5</t>
  </si>
  <si>
    <t>chlorotoluene, all isomers</t>
  </si>
  <si>
    <t>95-49-8</t>
  </si>
  <si>
    <t>methylcyclopentane</t>
  </si>
  <si>
    <t>96-37-7</t>
  </si>
  <si>
    <t>2-ethyl-1,3-dimethylbenzene</t>
  </si>
  <si>
    <t>2870-04-4</t>
  </si>
  <si>
    <t>extracts, petroleum, heavy naphtha solvent</t>
  </si>
  <si>
    <t>64741-98-6</t>
  </si>
  <si>
    <t>hydrodesulfurized middle distillate (petroleum)</t>
  </si>
  <si>
    <t>64742-80-9</t>
  </si>
  <si>
    <t>aromatic solvent naphtha, heavy</t>
  </si>
  <si>
    <t>64742-94-5</t>
  </si>
  <si>
    <t>heavy aliphatic solvent naphtha</t>
  </si>
  <si>
    <t>64742-96-7</t>
  </si>
  <si>
    <t>n-propylbenzene</t>
  </si>
  <si>
    <t>103-65-1</t>
  </si>
  <si>
    <t>p-diethylbenzene</t>
  </si>
  <si>
    <t>105-05-5</t>
  </si>
  <si>
    <t>dipropyl ether</t>
  </si>
  <si>
    <t>111-43-3</t>
  </si>
  <si>
    <t>o-diethylbenzene</t>
  </si>
  <si>
    <t>135-01-3</t>
  </si>
  <si>
    <t>m-diethylbenzene</t>
  </si>
  <si>
    <t>141-93-5</t>
  </si>
  <si>
    <t>isopropyl-tert-butyl ether</t>
  </si>
  <si>
    <t>17348-59-3</t>
  </si>
  <si>
    <t>propylene glycol isobutyl ether</t>
  </si>
  <si>
    <t>23436-19-3</t>
  </si>
  <si>
    <t>diethylbenzene, mixed isomers</t>
  </si>
  <si>
    <t>25340-17-4</t>
  </si>
  <si>
    <t>4,4-dimethyl, 2-oxazolidinone</t>
  </si>
  <si>
    <t>26654-39-7</t>
  </si>
  <si>
    <t>methyl propyl ether</t>
  </si>
  <si>
    <t>557-17-5</t>
  </si>
  <si>
    <t>methyl isopropyl ether</t>
  </si>
  <si>
    <t>598-53-8</t>
  </si>
  <si>
    <t>ethyl isopropyl ether</t>
  </si>
  <si>
    <t>625-54-7</t>
  </si>
  <si>
    <t>(1-methylethyl)-benzene, oxidized, polyphenyl residues</t>
  </si>
  <si>
    <t>68333-89-1</t>
  </si>
  <si>
    <t>cumene</t>
  </si>
  <si>
    <t>98-82-8</t>
  </si>
  <si>
    <t>hydroxypivalyl hydroxypivalate</t>
  </si>
  <si>
    <t>1115-20-4</t>
  </si>
  <si>
    <t>2,2-diethyl-1,3-propanediol</t>
  </si>
  <si>
    <t>115-76-4</t>
  </si>
  <si>
    <t>2-butyl-2-ethyl-1,3-propanediol</t>
  </si>
  <si>
    <t>115-84-4</t>
  </si>
  <si>
    <t>neopentyl glycol</t>
  </si>
  <si>
    <t>126-30-7</t>
  </si>
  <si>
    <t>methanediol dipropanoate</t>
  </si>
  <si>
    <t>7044-96-4</t>
  </si>
  <si>
    <t>1,3-dichloro-2-propyloxymethyl propionate</t>
  </si>
  <si>
    <t>89910-07-6</t>
  </si>
  <si>
    <t>4-hydroxyacetophenone</t>
  </si>
  <si>
    <t>99-93-4</t>
  </si>
  <si>
    <t>1-propanol</t>
  </si>
  <si>
    <t>71-23-8</t>
  </si>
  <si>
    <t>1,4-diisopropylbenzene</t>
  </si>
  <si>
    <t>100-18-5</t>
  </si>
  <si>
    <t>1,3,5-triethylbenzene</t>
  </si>
  <si>
    <t>102-25-0</t>
  </si>
  <si>
    <t>1-methyl-2-propylbenzene</t>
  </si>
  <si>
    <t>1074-17-5</t>
  </si>
  <si>
    <t>1-methyl-3-propylbenzene</t>
  </si>
  <si>
    <t>1074-43-7</t>
  </si>
  <si>
    <t>1-methyl-4-propylbenzene</t>
  </si>
  <si>
    <t>1074-55-1</t>
  </si>
  <si>
    <t>n-heptyl benzene</t>
  </si>
  <si>
    <t>1078-71-3</t>
  </si>
  <si>
    <t>n-dodecyl benzene</t>
  </si>
  <si>
    <t>123-01-3</t>
  </si>
  <si>
    <t>tridecylbenzene</t>
  </si>
  <si>
    <t>123-02-4</t>
  </si>
  <si>
    <t>benzene, C10-C13 alkyl derivatives</t>
  </si>
  <si>
    <t>129813-58-7</t>
  </si>
  <si>
    <t>benzene, mono-C12-14-alkyl derivs</t>
  </si>
  <si>
    <t>129813-59-8</t>
  </si>
  <si>
    <t>benzene, di-C10-18-alkyl derivs.</t>
  </si>
  <si>
    <t>146865-37-4</t>
  </si>
  <si>
    <t>1,3-diisopropyl -5-ethylbenzene</t>
  </si>
  <si>
    <t>15181-13-2</t>
  </si>
  <si>
    <t>1-methyl-3-butylbenzene</t>
  </si>
  <si>
    <t>1595-04-6</t>
  </si>
  <si>
    <t>1-methyl-4-butylbenzene</t>
  </si>
  <si>
    <t>1595-05-7</t>
  </si>
  <si>
    <t>1-methyl-2-n-butylbenzene</t>
  </si>
  <si>
    <t>1595-11-5</t>
  </si>
  <si>
    <t>1-ethyl-2-propylbenzene</t>
  </si>
  <si>
    <t>16021-20-8</t>
  </si>
  <si>
    <t>1,4-dimethyl-2-ethylbenzene</t>
  </si>
  <si>
    <t>1758-88-9</t>
  </si>
  <si>
    <t>heavy ends of polyethylbenzene residue</t>
  </si>
  <si>
    <t>212210-96-3</t>
  </si>
  <si>
    <t>n-octyl benzene</t>
  </si>
  <si>
    <t>2189-60-8</t>
  </si>
  <si>
    <t>tetrapropylenebenzene</t>
  </si>
  <si>
    <t>25265-78-5</t>
  </si>
  <si>
    <t>diisopropylbenzene, mixture of m- and p- isomers</t>
  </si>
  <si>
    <t>25321-09-9</t>
  </si>
  <si>
    <t>1-methyl-2-tert-butylbenzene</t>
  </si>
  <si>
    <t>27138-21-2</t>
  </si>
  <si>
    <t>1,3-diisopropenylbenzene</t>
  </si>
  <si>
    <t>3748-13-8</t>
  </si>
  <si>
    <t>1,2,3,4-tetramethylbenzene</t>
  </si>
  <si>
    <t>488-23-3</t>
  </si>
  <si>
    <t>1,2,3,5-tetramethylbenzene</t>
  </si>
  <si>
    <t>527-53-7</t>
  </si>
  <si>
    <t>pentyl benzene</t>
  </si>
  <si>
    <t>538-68-1</t>
  </si>
  <si>
    <t>1,2-diisopropylbenzene</t>
  </si>
  <si>
    <t>577-55-9</t>
  </si>
  <si>
    <t>pentaethyl benzene</t>
  </si>
  <si>
    <t>605-01-6</t>
  </si>
  <si>
    <t>1,2,4,5-tetraethylbenzene</t>
  </si>
  <si>
    <t>635-81-4</t>
  </si>
  <si>
    <t>aliphatic petroleum distillates (mineral spirits)</t>
  </si>
  <si>
    <t>64741-41-9</t>
  </si>
  <si>
    <t>petroleum distillates, intermediate catalytic cracked</t>
  </si>
  <si>
    <t>64741-60-2</t>
  </si>
  <si>
    <t>aliphatic petroleum naphtha</t>
  </si>
  <si>
    <t>64742-30-9</t>
  </si>
  <si>
    <t>undecylbenzene</t>
  </si>
  <si>
    <t>6742-54-7</t>
  </si>
  <si>
    <t>67774-74-7</t>
  </si>
  <si>
    <t>aromatic distillate, heavy</t>
  </si>
  <si>
    <t>67891-79-6</t>
  </si>
  <si>
    <t>petroleum naphtha, light steam-cracked debenzenized polymers hydrogenated</t>
  </si>
  <si>
    <t>68132-00-3</t>
  </si>
  <si>
    <t>benzene, mono-C10-14-alkyl derivs.</t>
  </si>
  <si>
    <t>68442-69-3</t>
  </si>
  <si>
    <t>distillates, petroleum, steam cracked, C8-12 fraction</t>
  </si>
  <si>
    <t>68477-54-3</t>
  </si>
  <si>
    <t>fractionation bottoms of mono-C12-14-alkylbenzenes</t>
  </si>
  <si>
    <t>68515-32-2</t>
  </si>
  <si>
    <t>benzene, &gt;C9 alkyl derivatives</t>
  </si>
  <si>
    <t>68648-87-3</t>
  </si>
  <si>
    <t>C14-30 alkylaromatic derivs.</t>
  </si>
  <si>
    <t>68855-24-3</t>
  </si>
  <si>
    <t>dodecylbenzenesulfonic acid, branched, compds. with ethanolamine</t>
  </si>
  <si>
    <t>68953-98-0</t>
  </si>
  <si>
    <t>aliphatic hydrocarbon blend</t>
  </si>
  <si>
    <t>69430-33-7</t>
  </si>
  <si>
    <t>1,3,5-triisopropylbenzene</t>
  </si>
  <si>
    <t>717-74-8</t>
  </si>
  <si>
    <t>2-phenyl-2-butene</t>
  </si>
  <si>
    <t>768-00-3</t>
  </si>
  <si>
    <t>n-nonyl benzene</t>
  </si>
  <si>
    <t>79554-39-5</t>
  </si>
  <si>
    <t>benzene, mono C10-13 alkyl derivs.</t>
  </si>
  <si>
    <t>84961-70-6</t>
  </si>
  <si>
    <t>1,3-dimethyl-4-ethylbenzene</t>
  </si>
  <si>
    <t>874-41-9</t>
  </si>
  <si>
    <t>1,2,4-triethylbenzene</t>
  </si>
  <si>
    <t>877-44-1</t>
  </si>
  <si>
    <t>1,2-dimethyl-3-ethylbenzene</t>
  </si>
  <si>
    <t>933-98-2</t>
  </si>
  <si>
    <t>1,3-dimethyl-5-ethylbenzene</t>
  </si>
  <si>
    <t>934-74-7</t>
  </si>
  <si>
    <t>4-ethyl-1,2-dimethylbenzene</t>
  </si>
  <si>
    <t>934-80-5</t>
  </si>
  <si>
    <t>benzene, mono-C10-13-alkyl derivs., fractionation bottoms, heavy ends</t>
  </si>
  <si>
    <t>94094-93-6</t>
  </si>
  <si>
    <t>1,2,4-triisopropylbenzene</t>
  </si>
  <si>
    <t>948-32-3</t>
  </si>
  <si>
    <t>1,2,4,5-tetramethylbenzene</t>
  </si>
  <si>
    <t>95-93-2</t>
  </si>
  <si>
    <t>dimethylethyl benzene</t>
  </si>
  <si>
    <t>98-06-6</t>
  </si>
  <si>
    <t>1,3-diisopropylbenzene</t>
  </si>
  <si>
    <t>99-62-7</t>
  </si>
  <si>
    <t>vinyl toluene</t>
  </si>
  <si>
    <t>25013-15-4</t>
  </si>
  <si>
    <t>isopropyl glycidyl ether</t>
  </si>
  <si>
    <t>4016-14-2</t>
  </si>
  <si>
    <t>1-methyl-4-(1-methylethyl)cyclohexanol</t>
  </si>
  <si>
    <t>21129-27-1</t>
  </si>
  <si>
    <t>1,2-cyclohexyl-2-ethyl-1,3-propanediol</t>
  </si>
  <si>
    <t>25450-99-1</t>
  </si>
  <si>
    <t>methylcyclohexanol</t>
  </si>
  <si>
    <t>25639-42-3</t>
  </si>
  <si>
    <t>(1R,2R,5R)-2-(2-hydroxy-2-propanyl)-5-methylcyclohexanol</t>
  </si>
  <si>
    <t>3564-98-5</t>
  </si>
  <si>
    <t>ethyl-n-butyl ether</t>
  </si>
  <si>
    <t>628-81-9</t>
  </si>
  <si>
    <t>terpin</t>
  </si>
  <si>
    <t>80-53-5</t>
  </si>
  <si>
    <t>menthol</t>
  </si>
  <si>
    <t>89-78-1</t>
  </si>
  <si>
    <t>4-tert-butylcyclohexanol</t>
  </si>
  <si>
    <t>98-52-2</t>
  </si>
  <si>
    <t>dipropyl ketone</t>
  </si>
  <si>
    <t>123-19-3</t>
  </si>
  <si>
    <t>diisopropyl ketone</t>
  </si>
  <si>
    <t>565-80-0</t>
  </si>
  <si>
    <t>o-methyl cyclohexanone</t>
  </si>
  <si>
    <t>583-60-8</t>
  </si>
  <si>
    <t>formaldehyde, reaction products with glycerol</t>
  </si>
  <si>
    <t>68442-91-1</t>
  </si>
  <si>
    <t>5-heptyldihydro-2(3H)-furanone</t>
  </si>
  <si>
    <t>104-67-6</t>
  </si>
  <si>
    <t>3-(1,3-dimethylbutylidene)aminopropyl-trithoxysilane</t>
  </si>
  <si>
    <t>116229-43-7</t>
  </si>
  <si>
    <t>(3-aminopropyl)trimethoxysilane</t>
  </si>
  <si>
    <t>13822-56-5</t>
  </si>
  <si>
    <t>propylene glycol monoethyl ether</t>
  </si>
  <si>
    <t>1569-02-4</t>
  </si>
  <si>
    <t>dipropylene glycol monoethyl ether</t>
  </si>
  <si>
    <t>15764-24-6</t>
  </si>
  <si>
    <t>3-[(2-aminoethylamino) propyltrimethoxysilane]</t>
  </si>
  <si>
    <t>1760-24-3</t>
  </si>
  <si>
    <t>3-(2-aminoethylamino)propylmethyldimethoxysilane</t>
  </si>
  <si>
    <t>3069-29-2</t>
  </si>
  <si>
    <t>caprolactone</t>
  </si>
  <si>
    <t>502-44-3</t>
  </si>
  <si>
    <t>2,2-dimethoxy-1-aza-2-silacyclopentane-1-ethanamine</t>
  </si>
  <si>
    <t>618914-51-5</t>
  </si>
  <si>
    <t>cyclohexyl acetate</t>
  </si>
  <si>
    <t>622-45-7</t>
  </si>
  <si>
    <t>2,4,7,9-tetramethyl-5-decyne-4,7-diol ethoxylate</t>
  </si>
  <si>
    <t>9014-85-1</t>
  </si>
  <si>
    <t>3-aminopropyltriethoxysilane</t>
  </si>
  <si>
    <t>919-30-2</t>
  </si>
  <si>
    <t>diethylaminotrimethylsilane</t>
  </si>
  <si>
    <t>996-50-9</t>
  </si>
  <si>
    <t>1,2-butylene glycol</t>
  </si>
  <si>
    <t>584-03-2</t>
  </si>
  <si>
    <t>methyl methacrylate</t>
  </si>
  <si>
    <t>80-62-6</t>
  </si>
  <si>
    <t>styrene oxide</t>
  </si>
  <si>
    <t>96-09-3</t>
  </si>
  <si>
    <t>geraniol</t>
  </si>
  <si>
    <t>106-24-1</t>
  </si>
  <si>
    <t>2-methylpentane</t>
  </si>
  <si>
    <t>107-83-5</t>
  </si>
  <si>
    <t>1-bromobutane</t>
  </si>
  <si>
    <t>109-65-9</t>
  </si>
  <si>
    <t>n-hexane</t>
  </si>
  <si>
    <t>110-54-3</t>
  </si>
  <si>
    <t>3-methoxypropionitrile</t>
  </si>
  <si>
    <t>110-67-8</t>
  </si>
  <si>
    <t>sulfuric acid, mono-C10-16-alkyl esters, compds. with triethanolamine</t>
  </si>
  <si>
    <t>117875-77-1</t>
  </si>
  <si>
    <t>bicycloheptadiene</t>
  </si>
  <si>
    <t>121-46-0</t>
  </si>
  <si>
    <t>beta-ethoxypropionitrile</t>
  </si>
  <si>
    <t>14631-45-9</t>
  </si>
  <si>
    <t>3,5-bis(1,1-dimethylethyl)-4-hydroxybenzenepropanoic acid, C13-15-branched and linear alkyl esters</t>
  </si>
  <si>
    <t>171090-93-0</t>
  </si>
  <si>
    <t>1,2-dimethyl-1,4-cyclohexadiene</t>
  </si>
  <si>
    <t>17351-28-9</t>
  </si>
  <si>
    <t>2-acetoacetoxyethyl methacrylate</t>
  </si>
  <si>
    <t>21282-97-3</t>
  </si>
  <si>
    <t>hexanols</t>
  </si>
  <si>
    <t>25917-35-5</t>
  </si>
  <si>
    <t>ethyl trimethylcyclopentene butenol</t>
  </si>
  <si>
    <t>28219-61-6</t>
  </si>
  <si>
    <t>1,2,4-triethenyl cyclohexane</t>
  </si>
  <si>
    <t>2855-27-8</t>
  </si>
  <si>
    <t>3a,4,7,7a-tetrahydroindene</t>
  </si>
  <si>
    <t>3048-65-5</t>
  </si>
  <si>
    <t>1,5-dimethyl-1,5-cyclooctadiene</t>
  </si>
  <si>
    <t>3760-14-3</t>
  </si>
  <si>
    <t>sodium gluconate</t>
  </si>
  <si>
    <t>527-07-1</t>
  </si>
  <si>
    <t>cyclopentadiene</t>
  </si>
  <si>
    <t>542-92-7</t>
  </si>
  <si>
    <t>beta-phellandrene</t>
  </si>
  <si>
    <t>555-10-2</t>
  </si>
  <si>
    <t>ethyl isopropyl ketone</t>
  </si>
  <si>
    <t>565-69-5</t>
  </si>
  <si>
    <t>(11Z)-11-hexadecen-1-ol</t>
  </si>
  <si>
    <t>56683-54-6</t>
  </si>
  <si>
    <t>3-hexanol</t>
  </si>
  <si>
    <t>623-37-0</t>
  </si>
  <si>
    <t>2-hexanol</t>
  </si>
  <si>
    <t>626-93-7</t>
  </si>
  <si>
    <t>alcohols, C12-15</t>
  </si>
  <si>
    <t>63393-82-8</t>
  </si>
  <si>
    <t>alcohols, C9-11</t>
  </si>
  <si>
    <t>66455-17-2</t>
  </si>
  <si>
    <t>alcohols, C10-16</t>
  </si>
  <si>
    <t>67762-41-8</t>
  </si>
  <si>
    <t>alcohols, C6-C12</t>
  </si>
  <si>
    <t>68603-15-6</t>
  </si>
  <si>
    <t>alcohols, C12-18, distn. residues</t>
  </si>
  <si>
    <t>68603-16-7</t>
  </si>
  <si>
    <t>alcohols, C16-18, distn. residues</t>
  </si>
  <si>
    <t>68603-17-8</t>
  </si>
  <si>
    <t>alcohols, C12-C16</t>
  </si>
  <si>
    <t>68855-56-1</t>
  </si>
  <si>
    <t>trimethyl-1,3-cyclopentadiene</t>
  </si>
  <si>
    <t>72347-62-7</t>
  </si>
  <si>
    <t>alcohols, C12-13</t>
  </si>
  <si>
    <t>75782-86-4</t>
  </si>
  <si>
    <t>2,2-dimethylbutane</t>
  </si>
  <si>
    <t>75-83-2</t>
  </si>
  <si>
    <t>3-methyl-1-pentyn-3-ol</t>
  </si>
  <si>
    <t>77-75-8</t>
  </si>
  <si>
    <t>triethyl 2-acetylcitrate</t>
  </si>
  <si>
    <t>77-89-4</t>
  </si>
  <si>
    <t>2,3-dimethylbutane</t>
  </si>
  <si>
    <t>79-29-8</t>
  </si>
  <si>
    <t>dodecan-1-ol</t>
  </si>
  <si>
    <t>8032-10-8</t>
  </si>
  <si>
    <t>tetradecanol</t>
  </si>
  <si>
    <t>8032-14-2</t>
  </si>
  <si>
    <t>2-cyclohexenol</t>
  </si>
  <si>
    <t>822-67-3</t>
  </si>
  <si>
    <t>hexane, mixed isomers</t>
  </si>
  <si>
    <t>92112-69-1</t>
  </si>
  <si>
    <t>3-methylpentane</t>
  </si>
  <si>
    <t>96-14-0</t>
  </si>
  <si>
    <t>stearyl methacrylate</t>
  </si>
  <si>
    <t>32360-05-7</t>
  </si>
  <si>
    <t>ethyl lactate</t>
  </si>
  <si>
    <t>97-64-3</t>
  </si>
  <si>
    <t>1-ethoxyethene</t>
  </si>
  <si>
    <t>109-92-2</t>
  </si>
  <si>
    <t>butyl vinyl ether</t>
  </si>
  <si>
    <t>111-34-2</t>
  </si>
  <si>
    <t>ethylene glycol butyl vinyl ether</t>
  </si>
  <si>
    <t>4223-11-4</t>
  </si>
  <si>
    <t>isobutyl methacrylate</t>
  </si>
  <si>
    <t>97-86-9</t>
  </si>
  <si>
    <t>propylene glycol phenyl ether</t>
  </si>
  <si>
    <t>4169-04-4</t>
  </si>
  <si>
    <t>dipropylene glycol phenyl ether</t>
  </si>
  <si>
    <t>51730-94-0</t>
  </si>
  <si>
    <t>glycol ether PPH</t>
  </si>
  <si>
    <t>770-35-4</t>
  </si>
  <si>
    <t>1-chloro-4-(trifluoromethyl)benzene</t>
  </si>
  <si>
    <t>98-56-6</t>
  </si>
  <si>
    <t>tridecanal</t>
  </si>
  <si>
    <t>10486-19-8</t>
  </si>
  <si>
    <t>p-xylene</t>
  </si>
  <si>
    <t>106-42-3</t>
  </si>
  <si>
    <t>aldol</t>
  </si>
  <si>
    <t>107-89-1</t>
  </si>
  <si>
    <t>m-xylene</t>
  </si>
  <si>
    <t>108-38-3</t>
  </si>
  <si>
    <t>tetrahydrothiophene</t>
  </si>
  <si>
    <t>110-01-0</t>
  </si>
  <si>
    <t>2-methylundecanal</t>
  </si>
  <si>
    <t>110-41-8</t>
  </si>
  <si>
    <t>valeraldehyde</t>
  </si>
  <si>
    <t>110-62-3</t>
  </si>
  <si>
    <t>3-methyl-1,4-pentadiene</t>
  </si>
  <si>
    <t>1115-08-8</t>
  </si>
  <si>
    <t>decanal</t>
  </si>
  <si>
    <t>112-31-2</t>
  </si>
  <si>
    <t>undecanal</t>
  </si>
  <si>
    <t>112-44-7</t>
  </si>
  <si>
    <t>dodecyl aldehyde</t>
  </si>
  <si>
    <t>112-54-9</t>
  </si>
  <si>
    <t>xylene</t>
  </si>
  <si>
    <t>1330-20-7</t>
  </si>
  <si>
    <t>4-methyl-1,4-heptadiene</t>
  </si>
  <si>
    <t>13857-55-1</t>
  </si>
  <si>
    <t>cis-piperylene</t>
  </si>
  <si>
    <t>1574-41-0</t>
  </si>
  <si>
    <t>methyl tert-butyl ether</t>
  </si>
  <si>
    <t>1634-04-4</t>
  </si>
  <si>
    <t>m/p-xylene</t>
  </si>
  <si>
    <t>179601-23-1</t>
  </si>
  <si>
    <t>2,3-dimethyl-1,4-hexadiene</t>
  </si>
  <si>
    <t>18669-52-8</t>
  </si>
  <si>
    <t>trans-piperylene</t>
  </si>
  <si>
    <t>2004-70-8</t>
  </si>
  <si>
    <t>vinyltrimethoxysilane</t>
  </si>
  <si>
    <t>2768-02-7</t>
  </si>
  <si>
    <t>2-methyl-1,5-heptadiene</t>
  </si>
  <si>
    <t>41044-63-7</t>
  </si>
  <si>
    <t>1,3-pentadiene</t>
  </si>
  <si>
    <t>504-60-9</t>
  </si>
  <si>
    <t>3-methyl-1,5-heptadiene</t>
  </si>
  <si>
    <t>50592-72-8</t>
  </si>
  <si>
    <t>isovaleraldehyde</t>
  </si>
  <si>
    <t>590-86-3</t>
  </si>
  <si>
    <t>1,4-pentadiene</t>
  </si>
  <si>
    <t>591-93-5</t>
  </si>
  <si>
    <t>1,2-dichloro-2-methylpropane</t>
  </si>
  <si>
    <t>594-37-6</t>
  </si>
  <si>
    <t>hydroxypivaldehyde</t>
  </si>
  <si>
    <t>597-31-9</t>
  </si>
  <si>
    <t>2,5-dimethyl-1,5-hexadiene</t>
  </si>
  <si>
    <t>627-58-7</t>
  </si>
  <si>
    <t>sec-butyl methyl ether</t>
  </si>
  <si>
    <t>6795-87-5</t>
  </si>
  <si>
    <t>naphtha, petroleum, light steam-cracked arom, piperylene conc, polymd</t>
  </si>
  <si>
    <t>68478-07-9</t>
  </si>
  <si>
    <t>aromatic hydrocarbons, C8</t>
  </si>
  <si>
    <t>90989-38-1</t>
  </si>
  <si>
    <t>hydrocarbons, C4, 1,3-butadiene-free, polymd., triisobutylene fraction</t>
  </si>
  <si>
    <t>91053-01-9</t>
  </si>
  <si>
    <t>5-methyl-1,3,6-heptatriene</t>
  </si>
  <si>
    <t>925-52-0</t>
  </si>
  <si>
    <t>o-xylene</t>
  </si>
  <si>
    <t>95-47-6</t>
  </si>
  <si>
    <t>2-methylbutyraldehyde</t>
  </si>
  <si>
    <t>96-17-3</t>
  </si>
  <si>
    <t>n-butyl levulinate</t>
  </si>
  <si>
    <t>2052-15-5</t>
  </si>
  <si>
    <t>alkylate, full range alkylation naphtha</t>
  </si>
  <si>
    <t>64741-64-6</t>
  </si>
  <si>
    <t>1-hexanol</t>
  </si>
  <si>
    <t>111-27-3</t>
  </si>
  <si>
    <t>cyclopentanone</t>
  </si>
  <si>
    <t>120-92-3</t>
  </si>
  <si>
    <t>trans-3-hexene</t>
  </si>
  <si>
    <t>13269-52-8</t>
  </si>
  <si>
    <t>2-heptylcyclopentanone</t>
  </si>
  <si>
    <t>137-03-1</t>
  </si>
  <si>
    <t>hexene, mixed isomers</t>
  </si>
  <si>
    <t>25264-93-1</t>
  </si>
  <si>
    <t>2,5-dimethylcyclopentanone</t>
  </si>
  <si>
    <t>4041-09-2</t>
  </si>
  <si>
    <t>trans-2-hexene</t>
  </si>
  <si>
    <t>4050-45-7</t>
  </si>
  <si>
    <t>2,2-dimethylcyclopentanone</t>
  </si>
  <si>
    <t>4541-32-6</t>
  </si>
  <si>
    <t>(2E)-3,4-dimethyl-2-pentene</t>
  </si>
  <si>
    <t>4914-92-5</t>
  </si>
  <si>
    <t>3,3-dimethyl-1-butene</t>
  </si>
  <si>
    <t>558-37-2</t>
  </si>
  <si>
    <t>2,3-dimethyl-1-butene</t>
  </si>
  <si>
    <t>563-78-0</t>
  </si>
  <si>
    <t>2,3-dimethyl-2-butene</t>
  </si>
  <si>
    <t>563-79-1</t>
  </si>
  <si>
    <t>1-hexene</t>
  </si>
  <si>
    <t>592-41-6</t>
  </si>
  <si>
    <t>2-hexene</t>
  </si>
  <si>
    <t>592-43-8</t>
  </si>
  <si>
    <t>trans-4-methyl-2-pentene</t>
  </si>
  <si>
    <t>674-76-0</t>
  </si>
  <si>
    <t>hexenes, alkenes C6</t>
  </si>
  <si>
    <t>68526-52-3</t>
  </si>
  <si>
    <t>4-methyl-1-pentene</t>
  </si>
  <si>
    <t>691-37-2</t>
  </si>
  <si>
    <t>cis-4-methyl-2-pentene</t>
  </si>
  <si>
    <t>691-38-3</t>
  </si>
  <si>
    <t>2-ethyl-1-butene</t>
  </si>
  <si>
    <t>760-21-4</t>
  </si>
  <si>
    <t>2-methyl-1-pentene</t>
  </si>
  <si>
    <t>763-29-1</t>
  </si>
  <si>
    <t>cis-3-hexene</t>
  </si>
  <si>
    <t>7642-09-3</t>
  </si>
  <si>
    <t>cis-2-hexene</t>
  </si>
  <si>
    <t>7688-21-3</t>
  </si>
  <si>
    <t>cis-3-methyl-2-pentene</t>
  </si>
  <si>
    <t>922-62-3</t>
  </si>
  <si>
    <t>acetal</t>
  </si>
  <si>
    <t>105-57-7</t>
  </si>
  <si>
    <t>butyraldehyde dibutyl acetal</t>
  </si>
  <si>
    <t>5921-80-2</t>
  </si>
  <si>
    <t>2-methylcyclohexanol, mixed isomers</t>
  </si>
  <si>
    <t>583-59-5</t>
  </si>
  <si>
    <t>dimethyl sulfoxide</t>
  </si>
  <si>
    <t>67-68-5</t>
  </si>
  <si>
    <t>cyclododecanone</t>
  </si>
  <si>
    <t>830-13-7</t>
  </si>
  <si>
    <t>1,4-dichlorobenzene</t>
  </si>
  <si>
    <t>106-46-7</t>
  </si>
  <si>
    <t>dichlorobenzene, all isomers</t>
  </si>
  <si>
    <t>25321-22-6</t>
  </si>
  <si>
    <t>1,3-dichlorobenzene</t>
  </si>
  <si>
    <t>541-73-1</t>
  </si>
  <si>
    <t>1,2-dichlorobenzene</t>
  </si>
  <si>
    <t>95-50-1</t>
  </si>
  <si>
    <t>tetrapropylene glycol</t>
  </si>
  <si>
    <t>24800-25-7</t>
  </si>
  <si>
    <t>2,2-dimethyl-1-propanol</t>
  </si>
  <si>
    <t>75-84-3</t>
  </si>
  <si>
    <t>5-ethyl-2-nonanol</t>
  </si>
  <si>
    <t>103-08-2</t>
  </si>
  <si>
    <t>7-ethyl-2-methyl-4-undecanol</t>
  </si>
  <si>
    <t>103-20-8</t>
  </si>
  <si>
    <t>2-methyl-1-undecanol</t>
  </si>
  <si>
    <t>10522-26-6</t>
  </si>
  <si>
    <t>3-bromofluorobenzene</t>
  </si>
  <si>
    <t>1073-06-9</t>
  </si>
  <si>
    <t>tetrahydrofuran</t>
  </si>
  <si>
    <t>109-99-9</t>
  </si>
  <si>
    <t>3-ethoxy-1-propanol</t>
  </si>
  <si>
    <t>111-35-3</t>
  </si>
  <si>
    <t>decyl alcohol</t>
  </si>
  <si>
    <t>112-30-1</t>
  </si>
  <si>
    <t>undecyl alcohol</t>
  </si>
  <si>
    <t>112-42-5</t>
  </si>
  <si>
    <t>lauryl alcohol</t>
  </si>
  <si>
    <t>112-53-8</t>
  </si>
  <si>
    <t>1-tridecyl alcohol</t>
  </si>
  <si>
    <t>112-70-9</t>
  </si>
  <si>
    <t>1-tetradecanol</t>
  </si>
  <si>
    <t>112-72-1</t>
  </si>
  <si>
    <t>1-octadecanol</t>
  </si>
  <si>
    <t>112-92-5</t>
  </si>
  <si>
    <t>2,6,8-trimethyl-4-nonanol</t>
  </si>
  <si>
    <t>123-17-1</t>
  </si>
  <si>
    <t>octanal</t>
  </si>
  <si>
    <t>124-13-0</t>
  </si>
  <si>
    <t>nonanal</t>
  </si>
  <si>
    <t>124-19-6</t>
  </si>
  <si>
    <t>undecanol, branched and linear</t>
  </si>
  <si>
    <t>128973-77-3</t>
  </si>
  <si>
    <t>enflurane</t>
  </si>
  <si>
    <t>13838-16-9</t>
  </si>
  <si>
    <t>nonanol</t>
  </si>
  <si>
    <t>143-08-8</t>
  </si>
  <si>
    <t>oleyl alcohol</t>
  </si>
  <si>
    <t>143-28-2</t>
  </si>
  <si>
    <t>1-nonadecanol</t>
  </si>
  <si>
    <t>1454-84-8</t>
  </si>
  <si>
    <t>1-heptadecanol</t>
  </si>
  <si>
    <t>1454-85-9</t>
  </si>
  <si>
    <t>tetrahydro-2,2,5,5-tetramethylfuran</t>
  </si>
  <si>
    <t>15045-43-9</t>
  </si>
  <si>
    <t>cyclohexyl valerate</t>
  </si>
  <si>
    <t>1551-43-5</t>
  </si>
  <si>
    <t>cyclohexyl butyrate</t>
  </si>
  <si>
    <t>1551-44-6</t>
  </si>
  <si>
    <t>2-methyl-1-decanol</t>
  </si>
  <si>
    <t>18675-24-6</t>
  </si>
  <si>
    <t>1-dodecanol, manufacture of, distillation lights</t>
  </si>
  <si>
    <t>189233-28-1</t>
  </si>
  <si>
    <t>1-octadecanol, manuf. of, distn. Lights</t>
  </si>
  <si>
    <t>189233-31-6</t>
  </si>
  <si>
    <t>2-ethoxy-1-propanol</t>
  </si>
  <si>
    <t>19089-47-5</t>
  </si>
  <si>
    <t>2-hexyl-1-decanol</t>
  </si>
  <si>
    <t>2425-77-6</t>
  </si>
  <si>
    <t>2-methylhexadecanol</t>
  </si>
  <si>
    <t>2490-48-4</t>
  </si>
  <si>
    <t>isodecyl alcohol</t>
  </si>
  <si>
    <t>25339-17-7</t>
  </si>
  <si>
    <t>isotridecyl alcohol, isomers</t>
  </si>
  <si>
    <t>27458-92-0</t>
  </si>
  <si>
    <t>undecanol, non-specific isomer</t>
  </si>
  <si>
    <t>30207-98-8</t>
  </si>
  <si>
    <t>2-bromo-1,3-diethyl-5-methylbenzene</t>
  </si>
  <si>
    <t>314084-61-2</t>
  </si>
  <si>
    <t>lactic acid butyl ester</t>
  </si>
  <si>
    <t>34451-19-9</t>
  </si>
  <si>
    <t>isohexadecanol</t>
  </si>
  <si>
    <t>36311-34-9</t>
  </si>
  <si>
    <t>1-hexadecanol</t>
  </si>
  <si>
    <t>36653-82-4</t>
  </si>
  <si>
    <t>4-bromofluorobenzene</t>
  </si>
  <si>
    <t>460-00-4</t>
  </si>
  <si>
    <t>1-hexacosanol</t>
  </si>
  <si>
    <t>506-52-5</t>
  </si>
  <si>
    <t>2-octyl-1-dodecanol</t>
  </si>
  <si>
    <t>5333-42-6</t>
  </si>
  <si>
    <t>2,2,5,5-tetramethyldihydrofuran-3(2H)-one</t>
  </si>
  <si>
    <t>5455-94-7</t>
  </si>
  <si>
    <t>3,5,5-trimethylhexyl acetate</t>
  </si>
  <si>
    <t>58430-94-7</t>
  </si>
  <si>
    <t>5-butyl-5-nonanol</t>
  </si>
  <si>
    <t>597-93-3</t>
  </si>
  <si>
    <t>lactic acid propyl ester</t>
  </si>
  <si>
    <t>616-09-1</t>
  </si>
  <si>
    <t>cyclohexyl hexanoate</t>
  </si>
  <si>
    <t>6243-10-3</t>
  </si>
  <si>
    <t>1-pentadecanol</t>
  </si>
  <si>
    <t>629-76-5</t>
  </si>
  <si>
    <t>3,7,11-trimethyl-1-dodecanol</t>
  </si>
  <si>
    <t>6750-34-1</t>
  </si>
  <si>
    <t>cetostearyl alcohol</t>
  </si>
  <si>
    <t>67762-27-0</t>
  </si>
  <si>
    <t>6-dodecanol</t>
  </si>
  <si>
    <t>6836-38-0</t>
  </si>
  <si>
    <t>isononyl alcohols</t>
  </si>
  <si>
    <t>68515-81-1</t>
  </si>
  <si>
    <t>isotridecyl alcohol, mixed isomers</t>
  </si>
  <si>
    <t>68526-86-3</t>
  </si>
  <si>
    <t>6,10,14-trimethyl-2-pentadecanol</t>
  </si>
  <si>
    <t>69729-17-5</t>
  </si>
  <si>
    <t>2-methyloctanal</t>
  </si>
  <si>
    <t>7786-29-0</t>
  </si>
  <si>
    <t>isobutyl alcohol</t>
  </si>
  <si>
    <t>78-83-1</t>
  </si>
  <si>
    <t>decanol, mixed isomers</t>
  </si>
  <si>
    <t>85566-12-7</t>
  </si>
  <si>
    <t xml:space="preserve">alcohols C9, branched and linear </t>
  </si>
  <si>
    <t>85711-26-8</t>
  </si>
  <si>
    <t>alcohols C9, branched and linear , C10-rich</t>
  </si>
  <si>
    <t>93821-11-5</t>
  </si>
  <si>
    <t>2-methyltetrahydrofuran</t>
  </si>
  <si>
    <t>96-47-9</t>
  </si>
  <si>
    <t>zinc bis(O,O-bis[4-(2,4-dimethyl-3-propylheptyl)phenyl] dithiophosphate)</t>
  </si>
  <si>
    <t>11059-65-7</t>
  </si>
  <si>
    <t>zinc bis[O,O-bis(1,3-dimethylbutyl) dithiophosphate]</t>
  </si>
  <si>
    <t>2215-35-2</t>
  </si>
  <si>
    <t>phosphorodithioic acid ester, zinc salt</t>
  </si>
  <si>
    <t>2929-95-5</t>
  </si>
  <si>
    <t>zinc bis[O,O-bis(2-ethylhexyl) dithiophosphate]</t>
  </si>
  <si>
    <t>4259-15-8</t>
  </si>
  <si>
    <t>zinc bis (O,O-diisobutyl dithiophosphate)</t>
  </si>
  <si>
    <t>68457-79-4</t>
  </si>
  <si>
    <t>zinc bis[O-(1,3-dimethylbutyl) O-(1-methylethyl) dithiophosphate]</t>
  </si>
  <si>
    <t>84605-29-8</t>
  </si>
  <si>
    <t>2,6-dimethyl-4-heptanone</t>
  </si>
  <si>
    <t>108-83-8</t>
  </si>
  <si>
    <t>4,6-dimethyl-2-heptanone</t>
  </si>
  <si>
    <t>19549-80-5</t>
  </si>
  <si>
    <t>5-nonanone</t>
  </si>
  <si>
    <t>502-56-7</t>
  </si>
  <si>
    <t>styrene</t>
  </si>
  <si>
    <t>100-42-5</t>
  </si>
  <si>
    <t>2-ethylhexyl acetate</t>
  </si>
  <si>
    <t>103-09-3</t>
  </si>
  <si>
    <t>ethylhexyl aldehyde</t>
  </si>
  <si>
    <t>123-05-7</t>
  </si>
  <si>
    <t>(3E)-3-methyl-4-(2,6,6-trimethyl-2-cyclohexen-1-yl)-3-buten-2-one</t>
  </si>
  <si>
    <t>127-51-5</t>
  </si>
  <si>
    <t>1-propene, hydroformylation products, by-products from, distn. residues</t>
  </si>
  <si>
    <t>203588-70-9</t>
  </si>
  <si>
    <t>2-methyl-1-propene, homopolymer, hydroformylation products, reaction products with ammonia</t>
  </si>
  <si>
    <t>337367-30-3</t>
  </si>
  <si>
    <t>2,3-butylene glycol</t>
  </si>
  <si>
    <t>513-85-9</t>
  </si>
  <si>
    <t>4-isobutylstyrene</t>
  </si>
  <si>
    <t>63444-56-4</t>
  </si>
  <si>
    <t>sulfurized isobutylene</t>
  </si>
  <si>
    <t>68511-50-2</t>
  </si>
  <si>
    <t>1-propene, hydroformylation products, high-boiling</t>
  </si>
  <si>
    <t>68551-11-1</t>
  </si>
  <si>
    <t>2,2'-oxybisethanol, reaction products with ammonia, morpholine derivs. residues</t>
  </si>
  <si>
    <t>68909-77-3</t>
  </si>
  <si>
    <t>1-[[4-[phenylazo]-phenyl]azo]-2-naphthol</t>
  </si>
  <si>
    <t>92257-31-3</t>
  </si>
  <si>
    <t>1-hydroxy-2-propanone</t>
  </si>
  <si>
    <t>116-09-6</t>
  </si>
  <si>
    <t>diethylene glycol monoisobutyl ether</t>
  </si>
  <si>
    <t>18912-80-6</t>
  </si>
  <si>
    <t>dibromomethane</t>
  </si>
  <si>
    <t>74-95-3</t>
  </si>
  <si>
    <t>3-methoxy-1-butanol</t>
  </si>
  <si>
    <t>2517-43-3</t>
  </si>
  <si>
    <t>1-methoxy-1-butanol</t>
  </si>
  <si>
    <t>30677-36-2</t>
  </si>
  <si>
    <t>1-methoxy-2-butanol</t>
  </si>
  <si>
    <t>53778-73-7</t>
  </si>
  <si>
    <t>3-methoxy-3-methyl-1-butanol</t>
  </si>
  <si>
    <t>56539-66-3</t>
  </si>
  <si>
    <t>decylbenzene</t>
  </si>
  <si>
    <t>104-72-3</t>
  </si>
  <si>
    <t>hexylbenzene</t>
  </si>
  <si>
    <t>1077-16-3</t>
  </si>
  <si>
    <t>2-hydroxyacetophenone</t>
  </si>
  <si>
    <t>118-93-4</t>
  </si>
  <si>
    <t>1-methyl-2-(2-propenyl)-benzene</t>
  </si>
  <si>
    <t>1587-04-8</t>
  </si>
  <si>
    <t>p-diisobutylbenzene</t>
  </si>
  <si>
    <t>17171-78-7</t>
  </si>
  <si>
    <t>benzene, ethylenated, residues, distn. lights</t>
  </si>
  <si>
    <t>178535-25-6</t>
  </si>
  <si>
    <t>(1,3-dimethylbutyl)benzene</t>
  </si>
  <si>
    <t>19219-84-2</t>
  </si>
  <si>
    <t>ethyltoluene</t>
  </si>
  <si>
    <t>25550-14-5</t>
  </si>
  <si>
    <t>2-methylbutylbenzene</t>
  </si>
  <si>
    <t>3968-85-2</t>
  </si>
  <si>
    <t>dipropylbenzene</t>
  </si>
  <si>
    <t>4815-57-0</t>
  </si>
  <si>
    <t>isobutyl benzene</t>
  </si>
  <si>
    <t>538-93-2</t>
  </si>
  <si>
    <t>o-ethyltoluene</t>
  </si>
  <si>
    <t>611-14-3</t>
  </si>
  <si>
    <t>m-ethyltoluene</t>
  </si>
  <si>
    <t>620-14-4</t>
  </si>
  <si>
    <t>p-ethyltoluene</t>
  </si>
  <si>
    <t>622-96-8</t>
  </si>
  <si>
    <t>residues (petroleum), atm. tower</t>
  </si>
  <si>
    <t>64741-45-3</t>
  </si>
  <si>
    <t>naphtha, petroleum, light catalytic reformed</t>
  </si>
  <si>
    <t>64741-63-5</t>
  </si>
  <si>
    <t>naphtha petroleum heavy catalytic reformed</t>
  </si>
  <si>
    <t>64741-68-0</t>
  </si>
  <si>
    <t>distillates, petroleum, oxidized light</t>
  </si>
  <si>
    <t>64742-98-9</t>
  </si>
  <si>
    <t>light aromatic distillate</t>
  </si>
  <si>
    <t>67891-80-9</t>
  </si>
  <si>
    <t>distillates (petroleum), catalytic reformer fractionator residue, high-boiling</t>
  </si>
  <si>
    <t>68477-29-2</t>
  </si>
  <si>
    <t>distillates [petroleum], catalytic reformer fractionator residue</t>
  </si>
  <si>
    <t>68477-31-6</t>
  </si>
  <si>
    <t>1,2,4,5-tetra-(1E)-prop-1-en-1-ylbenzene</t>
  </si>
  <si>
    <t>68512-02-7</t>
  </si>
  <si>
    <t>petroleum products, hydrofiner-powerformer reformates (contains benzene)</t>
  </si>
  <si>
    <t>68514-79-4</t>
  </si>
  <si>
    <t>hydrocarbons C8-C11</t>
  </si>
  <si>
    <t>68553-14-0</t>
  </si>
  <si>
    <t>petroleum naphtha, catalytic reformed</t>
  </si>
  <si>
    <t>68955-35-1</t>
  </si>
  <si>
    <t>pentamethylbenzene</t>
  </si>
  <si>
    <t>700-12-9</t>
  </si>
  <si>
    <t>aromatic hydrocarbons, C9-C11, mononuclear</t>
  </si>
  <si>
    <t>70693-06-0</t>
  </si>
  <si>
    <t>Aromex</t>
  </si>
  <si>
    <t>78308-32-4</t>
  </si>
  <si>
    <t>cyclohexyl benzene</t>
  </si>
  <si>
    <t>827-52-1</t>
  </si>
  <si>
    <t>dialkyl benzene</t>
  </si>
  <si>
    <t>85117-34-6</t>
  </si>
  <si>
    <t>2'-methyl-4'-hydroxyacetophenone</t>
  </si>
  <si>
    <t>875-59-2</t>
  </si>
  <si>
    <t>3,4-dihydro-2H-pyran-2-carboxaldehyde</t>
  </si>
  <si>
    <t>100-73-2</t>
  </si>
  <si>
    <t>methyl formate</t>
  </si>
  <si>
    <t>107-31-3</t>
  </si>
  <si>
    <t>hexylene glycol</t>
  </si>
  <si>
    <t>107-41-5</t>
  </si>
  <si>
    <t>1,1'-oxydi-2-propanol</t>
  </si>
  <si>
    <t>110-98-5</t>
  </si>
  <si>
    <t>trimethyl orthoformate</t>
  </si>
  <si>
    <t>149-73-5</t>
  </si>
  <si>
    <t>ethylene glycol monopropyl ether acetate</t>
  </si>
  <si>
    <t>20706-25-6</t>
  </si>
  <si>
    <t>dipropylene glycol</t>
  </si>
  <si>
    <t>25265-71-8</t>
  </si>
  <si>
    <t>4-dodecylphenol, mixed isomers</t>
  </si>
  <si>
    <t>27193-86-8</t>
  </si>
  <si>
    <t>1-methyl-2-methylene cyclohexane</t>
  </si>
  <si>
    <t>2808-75-5</t>
  </si>
  <si>
    <t>diisopropylnaphthalene</t>
  </si>
  <si>
    <t>38640-62-9</t>
  </si>
  <si>
    <t>3-methoxybutyl acetate</t>
  </si>
  <si>
    <t>4435-53-4</t>
  </si>
  <si>
    <t>3-methyl-1,5-pentanediol</t>
  </si>
  <si>
    <t>4457-71-0</t>
  </si>
  <si>
    <t>1,4-bis(methylene)-cyclohexane</t>
  </si>
  <si>
    <t>4982-20-1</t>
  </si>
  <si>
    <t>1,2-propadienyl cyclohexane</t>
  </si>
  <si>
    <t>5664-17-5</t>
  </si>
  <si>
    <t>vinylcyclohexane</t>
  </si>
  <si>
    <t>695-12-5</t>
  </si>
  <si>
    <t>isoprene</t>
  </si>
  <si>
    <t>78-79-5</t>
  </si>
  <si>
    <t>diethylene glycol monoethyl ether acetate</t>
  </si>
  <si>
    <t>112-15-2</t>
  </si>
  <si>
    <t>3,7,7-trimethyl bicyclohep-3-ene</t>
  </si>
  <si>
    <t>13466-78-9</t>
  </si>
  <si>
    <t>beta-pinene</t>
  </si>
  <si>
    <t>127-91-3</t>
  </si>
  <si>
    <t>terpenes and terpenoids, turpentine-oil, alpha-pinene fraction</t>
  </si>
  <si>
    <t>65996-96-5</t>
  </si>
  <si>
    <t>terpenes and terpenoids, turpentine-oil, beta-pinene fraction</t>
  </si>
  <si>
    <t>65996-97-6</t>
  </si>
  <si>
    <t>turpentine</t>
  </si>
  <si>
    <t>8006-64-2</t>
  </si>
  <si>
    <t>alpha-pinene</t>
  </si>
  <si>
    <t>80-56-8</t>
  </si>
  <si>
    <t>beta-terpinene</t>
  </si>
  <si>
    <t>99-84-3</t>
  </si>
  <si>
    <t>gamma-terpinene</t>
  </si>
  <si>
    <t>99-85-4</t>
  </si>
  <si>
    <t>alpha-terpinene</t>
  </si>
  <si>
    <t>99-86-5</t>
  </si>
  <si>
    <t>1-bromopropane</t>
  </si>
  <si>
    <t>106-94-5</t>
  </si>
  <si>
    <t>methyltrimethoxysilane</t>
  </si>
  <si>
    <t>1185-55-3</t>
  </si>
  <si>
    <t>phenylpropyl alcohol</t>
  </si>
  <si>
    <t>122-97-4</t>
  </si>
  <si>
    <t>limonene</t>
  </si>
  <si>
    <t>138-86-3</t>
  </si>
  <si>
    <t>d-limonene</t>
  </si>
  <si>
    <t>5989-27-5</t>
  </si>
  <si>
    <t>propyl nitrate</t>
  </si>
  <si>
    <t>627-13-4</t>
  </si>
  <si>
    <t>terpenes and terpenoids, turpentine-oil, limonene fraction</t>
  </si>
  <si>
    <t>65996-99-8</t>
  </si>
  <si>
    <t>terpenes and terpenoids, sweet orange oil</t>
  </si>
  <si>
    <t>68647-72-3</t>
  </si>
  <si>
    <t>litsea cubeba oil</t>
  </si>
  <si>
    <t>68855-99-2</t>
  </si>
  <si>
    <t>dipentene hydrocarbons</t>
  </si>
  <si>
    <t>68956-56-9</t>
  </si>
  <si>
    <t>2-bromopropane</t>
  </si>
  <si>
    <t>75-26-3</t>
  </si>
  <si>
    <t>beta-caryophyllene</t>
  </si>
  <si>
    <t>87-44-5</t>
  </si>
  <si>
    <t>2-cyclohexenone</t>
  </si>
  <si>
    <t>930-68-7</t>
  </si>
  <si>
    <t>p-menthane</t>
  </si>
  <si>
    <t>99-82-1</t>
  </si>
  <si>
    <t>p-mentha-1,5-diene</t>
  </si>
  <si>
    <t>99-83-2</t>
  </si>
  <si>
    <t>1,1,1,2-tetrachloroethane</t>
  </si>
  <si>
    <t>630-20-6</t>
  </si>
  <si>
    <t>1-chloro-2-methyl-propane</t>
  </si>
  <si>
    <t>513-36-0</t>
  </si>
  <si>
    <t>2-chloropentane</t>
  </si>
  <si>
    <t>625-29-6</t>
  </si>
  <si>
    <t>chloromethane</t>
  </si>
  <si>
    <t>74-87-3</t>
  </si>
  <si>
    <t>2-propylheptanol</t>
  </si>
  <si>
    <t>10042-59-8</t>
  </si>
  <si>
    <t>2-cyclohexylidenecyclohexanone</t>
  </si>
  <si>
    <t>1011-12-7</t>
  </si>
  <si>
    <t>pentaerythritol monooleate</t>
  </si>
  <si>
    <t>10332-32-8</t>
  </si>
  <si>
    <t>phenethyl acetate</t>
  </si>
  <si>
    <t>103-45-7</t>
  </si>
  <si>
    <t>phenethyl isobutyrate</t>
  </si>
  <si>
    <t>103-48-0</t>
  </si>
  <si>
    <t>phenethyl butyrate</t>
  </si>
  <si>
    <t>103-52-6</t>
  </si>
  <si>
    <t>2-phenethyl formate</t>
  </si>
  <si>
    <t>104-62-1</t>
  </si>
  <si>
    <t>(S)-(-)-alpha-terpineol</t>
  </si>
  <si>
    <t>10482-56-1</t>
  </si>
  <si>
    <t>2-methyl-1-pentanol</t>
  </si>
  <si>
    <t>105-30-6</t>
  </si>
  <si>
    <t>dibutyl maleate</t>
  </si>
  <si>
    <t>105-76-0</t>
  </si>
  <si>
    <t>4-methyl-2-pentanol</t>
  </si>
  <si>
    <t>108-11-2</t>
  </si>
  <si>
    <t>2,6-dimethyl-4-heptanol</t>
  </si>
  <si>
    <t>108-82-7</t>
  </si>
  <si>
    <t>triethylene glycol dimethacrylate</t>
  </si>
  <si>
    <t>109-16-0</t>
  </si>
  <si>
    <t>1,1-dichlorobut-1-ene</t>
  </si>
  <si>
    <t>11069-19-5</t>
  </si>
  <si>
    <t>dipropylene glycol dimethyl ether</t>
  </si>
  <si>
    <t>111109-77-4</t>
  </si>
  <si>
    <t>1,5-pentanediol</t>
  </si>
  <si>
    <t>111-29-5</t>
  </si>
  <si>
    <t>octane-1,2-diol</t>
  </si>
  <si>
    <t>1117-86-8</t>
  </si>
  <si>
    <t>diethylene glycol monohexyl ether</t>
  </si>
  <si>
    <t>112-59-4</t>
  </si>
  <si>
    <t>diethylene glycol di-n-butyl ether</t>
  </si>
  <si>
    <t>112-73-2</t>
  </si>
  <si>
    <t>triethylene glycol dibenzoate</t>
  </si>
  <si>
    <t>120-56-9</t>
  </si>
  <si>
    <t>phenethyl propionate</t>
  </si>
  <si>
    <t>122-70-3</t>
  </si>
  <si>
    <t>3-morpholinopropylamine</t>
  </si>
  <si>
    <t>123-00-2</t>
  </si>
  <si>
    <t>2-methylpentaldehyde</t>
  </si>
  <si>
    <t>123-15-9</t>
  </si>
  <si>
    <t>1-butoxyethoxy-2-propanol</t>
  </si>
  <si>
    <t>124-16-3</t>
  </si>
  <si>
    <t>isobornyl acetate</t>
  </si>
  <si>
    <t>125-12-2</t>
  </si>
  <si>
    <t>benzene propanoic acid, 3,5-bis(1,1-dimethylethyl)-4-hydroxy-, C7-9 branched alkyl esters</t>
  </si>
  <si>
    <t>125643-61-0</t>
  </si>
  <si>
    <t>2,6-dimethyl-2-heptanol</t>
  </si>
  <si>
    <t>13254-34-7</t>
  </si>
  <si>
    <t>naphthenic acid</t>
  </si>
  <si>
    <t>1338-24-5</t>
  </si>
  <si>
    <t>sorbitan monolaurate</t>
  </si>
  <si>
    <t>1338-39-2</t>
  </si>
  <si>
    <t>sorbitan monostearate</t>
  </si>
  <si>
    <t>1338-41-6</t>
  </si>
  <si>
    <t>sorbitan monooleate</t>
  </si>
  <si>
    <t>1338-43-8</t>
  </si>
  <si>
    <t>beta-terpineol</t>
  </si>
  <si>
    <t>138-87-4</t>
  </si>
  <si>
    <t>diethyl maleate</t>
  </si>
  <si>
    <t>141-05-9</t>
  </si>
  <si>
    <t>acetic acid, nonyl ester</t>
  </si>
  <si>
    <t>143-13-5</t>
  </si>
  <si>
    <t>2-butoxy-1-propanol</t>
  </si>
  <si>
    <t>15821-83-7</t>
  </si>
  <si>
    <t>2,5-dihydrofuran</t>
  </si>
  <si>
    <t>1708-29-8</t>
  </si>
  <si>
    <t>tetraethylene glycol di(2-ethylhexanoate)</t>
  </si>
  <si>
    <t>18268-70-7</t>
  </si>
  <si>
    <t>methoxy-3-propoxypropanol dipropylglycomethyl ether</t>
  </si>
  <si>
    <t>20324-32-7</t>
  </si>
  <si>
    <t>2,2'-[oxybis(methylene)]bis[2-ethylpropane-1,3-diol]</t>
  </si>
  <si>
    <t>23235-61-2</t>
  </si>
  <si>
    <t>epoxy cylcohexylmethyl 3,4-epoxycycloheane carboxylate</t>
  </si>
  <si>
    <t>2386-87-0</t>
  </si>
  <si>
    <t>tri-decyl methacrylate</t>
  </si>
  <si>
    <t>2495-25-2</t>
  </si>
  <si>
    <t>cetyl methacrylate</t>
  </si>
  <si>
    <t>2495-27-4</t>
  </si>
  <si>
    <t>tetradecyl methacrylate</t>
  </si>
  <si>
    <t>2549-53-3</t>
  </si>
  <si>
    <t>glycerol monooleate</t>
  </si>
  <si>
    <t>25496-72-4</t>
  </si>
  <si>
    <t>tripropylene glycol methyl ether</t>
  </si>
  <si>
    <t>25498-49-1</t>
  </si>
  <si>
    <t>sorbitan trioleate</t>
  </si>
  <si>
    <t>26266-58-0</t>
  </si>
  <si>
    <t>1-methylcyclopentadiene</t>
  </si>
  <si>
    <t>26519-91-5</t>
  </si>
  <si>
    <t>di(propylene glycol) dibenzoate</t>
  </si>
  <si>
    <t>27138-31-4</t>
  </si>
  <si>
    <t>propylene glycol butyl ether</t>
  </si>
  <si>
    <t>29387-86-8</t>
  </si>
  <si>
    <t>diethylene glycol phthalic anhydride polymer</t>
  </si>
  <si>
    <t>32472-85-8</t>
  </si>
  <si>
    <t>1,2-dichloro-4-trifluoromethylbenzene</t>
  </si>
  <si>
    <t>328-84-7</t>
  </si>
  <si>
    <t>7-(2-(2-hydroxymethylethoxy)methylethoxy)tetramethyl-3,6,8,11-tetraoxa-7-phosphatridecane-1,13-diol</t>
  </si>
  <si>
    <t>36788-39-3</t>
  </si>
  <si>
    <t>hexafluorobenzene</t>
  </si>
  <si>
    <t>392-56-3</t>
  </si>
  <si>
    <t>diethylene glycol bis(3-aminopropyl) ether</t>
  </si>
  <si>
    <t>4246-51-9</t>
  </si>
  <si>
    <t>2,5,7,10-tetraoxaundecane</t>
  </si>
  <si>
    <t>4431-83-8</t>
  </si>
  <si>
    <t>3-(4-morpholinyl)propanenitrile</t>
  </si>
  <si>
    <t>4542-47-6</t>
  </si>
  <si>
    <t>diethoxymethane</t>
  </si>
  <si>
    <t>462-95-3</t>
  </si>
  <si>
    <t>1,3-pentanediol</t>
  </si>
  <si>
    <t>504-63-2</t>
  </si>
  <si>
    <t>1-hydroxy-2-butanone</t>
  </si>
  <si>
    <t>5077-67-8</t>
  </si>
  <si>
    <t>3-hydroxy-2-butanone</t>
  </si>
  <si>
    <t>513-86-0</t>
  </si>
  <si>
    <t>5 (or 6) -carboxy-4-hexyl, 2-cyclohexene-1-octanoic acid</t>
  </si>
  <si>
    <t>53980-88-4</t>
  </si>
  <si>
    <t>sorbitan isostearate</t>
  </si>
  <si>
    <t>54392-26-6</t>
  </si>
  <si>
    <t>isoamyl ether</t>
  </si>
  <si>
    <t>544-01-4</t>
  </si>
  <si>
    <t>5-ethyl-2-nonanone</t>
  </si>
  <si>
    <t>5440-89-1</t>
  </si>
  <si>
    <t>3,7-dimethyl-2,6-octadienenitrile</t>
  </si>
  <si>
    <t>5585-39-7</t>
  </si>
  <si>
    <t>terpinolene</t>
  </si>
  <si>
    <t>586-62-9</t>
  </si>
  <si>
    <t>xylose</t>
  </si>
  <si>
    <t>58-86-6</t>
  </si>
  <si>
    <t>2-methyl-2-pentanol</t>
  </si>
  <si>
    <t>590-36-3</t>
  </si>
  <si>
    <t>4-hydroxy-2-butanone</t>
  </si>
  <si>
    <t>590-90-9</t>
  </si>
  <si>
    <t>iodobenzene</t>
  </si>
  <si>
    <t>591-50-4</t>
  </si>
  <si>
    <t>(5S)-5-(2-hydroxypropan-2-yl)-2-methylcyclohex-2-en-1-one</t>
  </si>
  <si>
    <t>60593-11-5</t>
  </si>
  <si>
    <t>pentachlorobenzene</t>
  </si>
  <si>
    <t>608-93-5</t>
  </si>
  <si>
    <t>2-dodecanone</t>
  </si>
  <si>
    <t>6175-49-1</t>
  </si>
  <si>
    <t>coco fatty acid</t>
  </si>
  <si>
    <t>61788-47-4</t>
  </si>
  <si>
    <t>sorbitan monotallate</t>
  </si>
  <si>
    <t>61791-48-8</t>
  </si>
  <si>
    <t>hexylene glycol diacetate</t>
  </si>
  <si>
    <t>6222-17-9</t>
  </si>
  <si>
    <t>2-ethylhexyl 7-oxabicyclo[4.1.0]heptane-3-carboxylate</t>
  </si>
  <si>
    <t>62256-00-2</t>
  </si>
  <si>
    <t>2,4-pentanediol</t>
  </si>
  <si>
    <t>625-69-4</t>
  </si>
  <si>
    <t>2-methyl-2-heptene</t>
  </si>
  <si>
    <t>627-97-4</t>
  </si>
  <si>
    <t>vacuum distillate, heavy naphthenic</t>
  </si>
  <si>
    <t>64741-53-3</t>
  </si>
  <si>
    <t>heavy coker gas oil</t>
  </si>
  <si>
    <t>64741-81-7</t>
  </si>
  <si>
    <t>residual oils (petroleum), solvent deasphalted</t>
  </si>
  <si>
    <t>64741-95-3</t>
  </si>
  <si>
    <t>naphthenic mineral oil</t>
  </si>
  <si>
    <t>64742-03-6</t>
  </si>
  <si>
    <t>heavy paraffinic distillate solvent extract</t>
  </si>
  <si>
    <t>64742-04-7</t>
  </si>
  <si>
    <t>naphthenic distillate, heavy, solvent extract</t>
  </si>
  <si>
    <t>64742-11-6</t>
  </si>
  <si>
    <t>acid-treated middle petroleum distillates</t>
  </si>
  <si>
    <t>64742-13-8</t>
  </si>
  <si>
    <t>residual oils (petroleum), clay-treated</t>
  </si>
  <si>
    <t>64742-41-2</t>
  </si>
  <si>
    <t>heavy paraffinic hydrotreated distillate</t>
  </si>
  <si>
    <t>64742-54-7</t>
  </si>
  <si>
    <t>hydrotreated light paraffinic distillate</t>
  </si>
  <si>
    <t>64742-55-8</t>
  </si>
  <si>
    <t>lubricating oils, petroleum, hydrotreated, spent</t>
  </si>
  <si>
    <t>64742-58-1</t>
  </si>
  <si>
    <t>oil distillate</t>
  </si>
  <si>
    <t>64742-63-8</t>
  </si>
  <si>
    <t>hydrodesulfurized kerosene (petroleum)</t>
  </si>
  <si>
    <t>64742-81-0</t>
  </si>
  <si>
    <t>carbon black oil</t>
  </si>
  <si>
    <t>64742-90-1</t>
  </si>
  <si>
    <t>dimethyl sulfone</t>
  </si>
  <si>
    <t>67-71-0</t>
  </si>
  <si>
    <t>methyl coconate</t>
  </si>
  <si>
    <t>67762-37-2</t>
  </si>
  <si>
    <t>naphthenic acids, reaction products with diethylenetriamine</t>
  </si>
  <si>
    <t>68131-13-5</t>
  </si>
  <si>
    <t>glycerides, tallow, hydrogenated</t>
  </si>
  <si>
    <t>68308-54-3</t>
  </si>
  <si>
    <t>diesel fuel</t>
  </si>
  <si>
    <t>68334-30-5</t>
  </si>
  <si>
    <t>hydrotreated light distillate</t>
  </si>
  <si>
    <t>68410-97-9</t>
  </si>
  <si>
    <t>diphenyldimethoxysilane</t>
  </si>
  <si>
    <t>6843-66-9</t>
  </si>
  <si>
    <t>fats and glyceridic oils, menhaden, polymd., oxidized</t>
  </si>
  <si>
    <t>68440-42-6</t>
  </si>
  <si>
    <t>fuel oil No. 2</t>
  </si>
  <si>
    <t>68476-30-2</t>
  </si>
  <si>
    <t>fuel oil No. 4</t>
  </si>
  <si>
    <t>68476-31-3</t>
  </si>
  <si>
    <t>fuel oil, residual</t>
  </si>
  <si>
    <t>68476-33-5</t>
  </si>
  <si>
    <t>diesel fuel #2</t>
  </si>
  <si>
    <t>68476-34-6</t>
  </si>
  <si>
    <t>molasses</t>
  </si>
  <si>
    <t>68476-78-8</t>
  </si>
  <si>
    <t>steam-cracked light petroleum residues</t>
  </si>
  <si>
    <t>68513-69-9</t>
  </si>
  <si>
    <t>distillates (petroleum), oxidized light, strong acid components, compds. with diethanolamine</t>
  </si>
  <si>
    <t>68602-96-0</t>
  </si>
  <si>
    <t>petroleum residues, vaccum distillates</t>
  </si>
  <si>
    <t>68955-27-1</t>
  </si>
  <si>
    <t>methyl octyl ketone</t>
  </si>
  <si>
    <t>693-54-9</t>
  </si>
  <si>
    <t>pentyl ether</t>
  </si>
  <si>
    <t>693-65-2</t>
  </si>
  <si>
    <t>ketones, C11</t>
  </si>
  <si>
    <t>71808-49-6</t>
  </si>
  <si>
    <t>lubricating oils (petroleum), C&gt;25, hydrotreated bright stock-based</t>
  </si>
  <si>
    <t>72623-83-7</t>
  </si>
  <si>
    <t>C15-30 petroleum lubricating oils, hydrotreated neutral oil-based</t>
  </si>
  <si>
    <t>72623-86-0</t>
  </si>
  <si>
    <t>isobornyl methacrylate</t>
  </si>
  <si>
    <t>7534-94-3</t>
  </si>
  <si>
    <t>1,1-dichloroethylene</t>
  </si>
  <si>
    <t>75-35-4</t>
  </si>
  <si>
    <t>5-ethyl-1-aza-3,7-dioxabicyclo[3.3.0]octane</t>
  </si>
  <si>
    <t>7747-35-5</t>
  </si>
  <si>
    <t>oils, fuel</t>
  </si>
  <si>
    <t>77650-28-3</t>
  </si>
  <si>
    <t>2,2-dimethoxypropane</t>
  </si>
  <si>
    <t>77-76-9</t>
  </si>
  <si>
    <t>3,7-dimethyl-1,6-octadien-3-ol</t>
  </si>
  <si>
    <t>78-70-6</t>
  </si>
  <si>
    <t>propionamide</t>
  </si>
  <si>
    <t>79-05-0</t>
  </si>
  <si>
    <t>cedar oil</t>
  </si>
  <si>
    <t>8000-27-9</t>
  </si>
  <si>
    <t>tung oil</t>
  </si>
  <si>
    <t>8001-20-5</t>
  </si>
  <si>
    <t>croton oil</t>
  </si>
  <si>
    <t>8001-28-3</t>
  </si>
  <si>
    <t>tall oil</t>
  </si>
  <si>
    <t>8002-26-4</t>
  </si>
  <si>
    <t>alpha-terpineol acetate</t>
  </si>
  <si>
    <t>8007-35-0</t>
  </si>
  <si>
    <t>kerosene</t>
  </si>
  <si>
    <t>8008-20-6</t>
  </si>
  <si>
    <t>soybean oil epoxide</t>
  </si>
  <si>
    <t>8013-07-8</t>
  </si>
  <si>
    <t>terpinyl acetate</t>
  </si>
  <si>
    <t>80-26-2</t>
  </si>
  <si>
    <t>2-nonanone</t>
  </si>
  <si>
    <t>821-55-6</t>
  </si>
  <si>
    <t>3,3,5-trimethyl cyclohexanone</t>
  </si>
  <si>
    <t>873-94-9</t>
  </si>
  <si>
    <t>xylitol</t>
  </si>
  <si>
    <t>87-99-0</t>
  </si>
  <si>
    <t>di(tetrahydrofuryl)propane</t>
  </si>
  <si>
    <t>89686-69-1</t>
  </si>
  <si>
    <t>poly(ethylene glycol) monomethyl ether</t>
  </si>
  <si>
    <t>9004-74-4</t>
  </si>
  <si>
    <t>poly(ethylene glycol) dibenzoate</t>
  </si>
  <si>
    <t>9004-86-8</t>
  </si>
  <si>
    <t>polyoxyethylene sorbitan trioleate</t>
  </si>
  <si>
    <t>9005-70-3</t>
  </si>
  <si>
    <t>sorbitan tritallate</t>
  </si>
  <si>
    <t>9005-71-4</t>
  </si>
  <si>
    <t>6-undecanone</t>
  </si>
  <si>
    <t>927-49-1</t>
  </si>
  <si>
    <t>1-acetylcyclohexanone</t>
  </si>
  <si>
    <t>932-66-1</t>
  </si>
  <si>
    <t>styrallyl acetate</t>
  </si>
  <si>
    <t>93-92-5</t>
  </si>
  <si>
    <t>polyethylene glycol monomethyl ether</t>
  </si>
  <si>
    <t>95507-80-5</t>
  </si>
  <si>
    <t>alpha-terpineol</t>
  </si>
  <si>
    <t>98-55-5</t>
  </si>
  <si>
    <t>[diethyl(methyl)silyl]oxy-diethyl-methylsilane</t>
  </si>
  <si>
    <t>1000-00-6</t>
  </si>
  <si>
    <t>fatty acids, C18-unsatd., dimers, compds. with alkylpyridines</t>
  </si>
  <si>
    <t>100816-02-2</t>
  </si>
  <si>
    <t>diglycidyl resorcinol ether</t>
  </si>
  <si>
    <t>101-90-6</t>
  </si>
  <si>
    <t>siloxanes and Silicones, di-Me, 3-hydroxypropyl group-terminated, ethoxylated</t>
  </si>
  <si>
    <t>102783-01-7</t>
  </si>
  <si>
    <t>dibenzyl</t>
  </si>
  <si>
    <t>103-29-7</t>
  </si>
  <si>
    <t>propyltrimethoxysilane</t>
  </si>
  <si>
    <t>1067-25-0</t>
  </si>
  <si>
    <t>hexamethyldisiloxane</t>
  </si>
  <si>
    <t>107-46-0</t>
  </si>
  <si>
    <t>octamethyltrisiloxane</t>
  </si>
  <si>
    <t>107-51-7</t>
  </si>
  <si>
    <t>2-[[[3-(dimethylamino)propyl]amino]methyl]-6-methyl-phenol, 4-polybutene derivs.</t>
  </si>
  <si>
    <t>1078715-83-9</t>
  </si>
  <si>
    <t>oleoyl sarcosine</t>
  </si>
  <si>
    <t>110-25-8</t>
  </si>
  <si>
    <t>isopropyl myristate</t>
  </si>
  <si>
    <t>110-27-0</t>
  </si>
  <si>
    <t>N,N'-ethylenebis(stearamide)</t>
  </si>
  <si>
    <t>110-30-5</t>
  </si>
  <si>
    <t>methyl caprylate</t>
  </si>
  <si>
    <t>111-11-5</t>
  </si>
  <si>
    <t>dimethoxy(dimethyl)silane</t>
  </si>
  <si>
    <t>1112-39-6</t>
  </si>
  <si>
    <t>methyl laurate</t>
  </si>
  <si>
    <t>111-82-0</t>
  </si>
  <si>
    <t>methyl palmitate</t>
  </si>
  <si>
    <t>112-39-0</t>
  </si>
  <si>
    <t>methyl oleate</t>
  </si>
  <si>
    <t>112-62-9</t>
  </si>
  <si>
    <t>2,3,4-trihydroxybenzophenone</t>
  </si>
  <si>
    <t>1143-72-2</t>
  </si>
  <si>
    <t>tall oil fatty acids, reaction product with diethylenetriamine, trimer acid salt</t>
  </si>
  <si>
    <t>1203451-13-1</t>
  </si>
  <si>
    <t>canola oil</t>
  </si>
  <si>
    <t>120962-03-0</t>
  </si>
  <si>
    <t>N,N''-ethylene bis(12-hydroxystearamide)</t>
  </si>
  <si>
    <t>123-26-2</t>
  </si>
  <si>
    <t>disiloxane, 1,3-bis(2-bicyclo4.2.0octa-1,3,5-trien-3-ylethenyl)-1,1,3,3-tetramethyl-, homopolymer</t>
  </si>
  <si>
    <t>124221-30-3</t>
  </si>
  <si>
    <t>octadecanamide</t>
  </si>
  <si>
    <t>124-26-5</t>
  </si>
  <si>
    <t>pyruvic acid</t>
  </si>
  <si>
    <t>127-17-3</t>
  </si>
  <si>
    <t>copolymer of ethylene and propylene</t>
  </si>
  <si>
    <t>127883-08-3</t>
  </si>
  <si>
    <t>sodium xylenesulfonate</t>
  </si>
  <si>
    <t>1300-72-7</t>
  </si>
  <si>
    <t>diacetyl bis(2-methyl-2-propanyl) orthosilicate</t>
  </si>
  <si>
    <t>13170-23-5</t>
  </si>
  <si>
    <t>polysiloxanes, di-Me,3-[3-[(3-coco amidopropyl)dimethylammonio]-2-hydroxypropoxy]propylgroup-terminated, acetates, salts</t>
  </si>
  <si>
    <t>134737-05-6</t>
  </si>
  <si>
    <t>trisodium [{2-[bis(carboxylatomethyl)amino]ethyl}(2-hydroxyethyl)amino]acetate</t>
  </si>
  <si>
    <t>139-89-9</t>
  </si>
  <si>
    <t>decamethyltetrasiloxane</t>
  </si>
  <si>
    <t>141-62-8</t>
  </si>
  <si>
    <t>dodecamethylpentasiloxane</t>
  </si>
  <si>
    <t>141-63-9</t>
  </si>
  <si>
    <t>isopropyl palmitate</t>
  </si>
  <si>
    <t>142-91-6</t>
  </si>
  <si>
    <t>trisubstituted benzenesulfonic acid derivative</t>
  </si>
  <si>
    <t>143182-20-1</t>
  </si>
  <si>
    <t>gamma-(mercaptopropyl, 3-) triethoxysilane</t>
  </si>
  <si>
    <t>14814-09-6</t>
  </si>
  <si>
    <t>fatty acids, C18-unsatd., dimers, polymers with benzoic acid, linoleic acid, octadecadienoicacid, pentaerythritol, phthalic anhydride and tall-oil fatty acids</t>
  </si>
  <si>
    <t>150739-79-0</t>
  </si>
  <si>
    <t>4-[4,6-bis(2,4-dimethylphenyl)-1,3,5-triazin-2-yl]-1,3-benzenediol, reaction products with 2-[(dodecyloxy)methyl]oxirane and 2-[(C10-16-alkyloxy)methyl]oxirane</t>
  </si>
  <si>
    <t>153519-44-9</t>
  </si>
  <si>
    <t>tetraethylene glycol monobutyl ether</t>
  </si>
  <si>
    <t>1559-34-8</t>
  </si>
  <si>
    <t>1-propoxy-2-propanol</t>
  </si>
  <si>
    <t>1569-01-3</t>
  </si>
  <si>
    <t>siloxanes and silicones, di-Me, 3-hydroxypropyl group-terminated, ethers with polyethylene-polypropylene glycol mono-Me ether</t>
  </si>
  <si>
    <t>157479-55-5</t>
  </si>
  <si>
    <t>siloxanes and silicones, di-Me, hydrogen-terminated, reaction products with 2,2-bis(((1-oxo-2-propen-1-yl)oxy)methyl)-1,3-propanediyl diacrylate</t>
  </si>
  <si>
    <t>157811-87-5</t>
  </si>
  <si>
    <t>fatty acids, C18-unsatd., dimers, reaction products with N,N-dimethyl-1,3-propanediamine and 1,3-propanediamine</t>
  </si>
  <si>
    <t>162627-17-0</t>
  </si>
  <si>
    <t>fatty acids, C16-18 and C18-unsatd., branched and linear, Bu esters</t>
  </si>
  <si>
    <t>163961-32-8</t>
  </si>
  <si>
    <t>dehydroabietic acid</t>
  </si>
  <si>
    <t>1740-19-8</t>
  </si>
  <si>
    <t>N-[3-(trimethoxysilyl)propyl]ethylenediamine</t>
  </si>
  <si>
    <t>1750-24-3</t>
  </si>
  <si>
    <t>neopentyl glycol diglycidyl ether</t>
  </si>
  <si>
    <t>17557-23-2</t>
  </si>
  <si>
    <t>ethyltriacetoxysilane</t>
  </si>
  <si>
    <t>17689-77-9</t>
  </si>
  <si>
    <t>1,1,1,3,5,5,5-heptamethyl-3-(trimethylsiloxy)trisiloxane</t>
  </si>
  <si>
    <t>17928-28-8</t>
  </si>
  <si>
    <t>3-chloropropylmethyldimethoxysilane</t>
  </si>
  <si>
    <t>18171-19-2</t>
  </si>
  <si>
    <t>2-tridecyloxirane</t>
  </si>
  <si>
    <t>18633-25-5</t>
  </si>
  <si>
    <t>silicic acid (H4SiO4), tetrakis(2-butoxyethyl) ester</t>
  </si>
  <si>
    <t>18765-38-3</t>
  </si>
  <si>
    <t>2,4-dimethyl-6-(2-methyl-2-propanyl)phenol</t>
  </si>
  <si>
    <t>1879-09-0</t>
  </si>
  <si>
    <t>siloxanes and silicones, di-Me, hydroxy-terminated, ethers with polyethylene-polypropylene glycol mono-Bu ether and polypropylene glycol</t>
  </si>
  <si>
    <t>189354-72-1</t>
  </si>
  <si>
    <t>N-(carboxymethyl)-N-[2-[(carboxymethyl)amino]ethyl]-glycine, trisodium salt</t>
  </si>
  <si>
    <t>19019-43-3</t>
  </si>
  <si>
    <t>methyldiethoxysilane</t>
  </si>
  <si>
    <t>2031-62-1</t>
  </si>
  <si>
    <t>methyltriethoxysilane</t>
  </si>
  <si>
    <t>2031-67-6</t>
  </si>
  <si>
    <t>linseed oil fatty acid</t>
  </si>
  <si>
    <t>20761-33-4</t>
  </si>
  <si>
    <t>tetrakis(2-methoxyethyl) orthosilicate</t>
  </si>
  <si>
    <t>2157-45-1</t>
  </si>
  <si>
    <t>3-octanoyl-1-thiopropyltriethoxysilane</t>
  </si>
  <si>
    <t>220727-26-4</t>
  </si>
  <si>
    <t>methoxyphenyl glycidyl ether</t>
  </si>
  <si>
    <t>2210-74-4</t>
  </si>
  <si>
    <t>leavo-menthol</t>
  </si>
  <si>
    <t>2216-51-5</t>
  </si>
  <si>
    <t>tetraammonium ethylenediaminetetraacetate</t>
  </si>
  <si>
    <t>22473-78-5</t>
  </si>
  <si>
    <t>methyltri (ethylmethylketoxime) silane</t>
  </si>
  <si>
    <t>22984-54-9</t>
  </si>
  <si>
    <t>2-hydroxy-N-(2-hydroxyethyl)ethanaminium acetate</t>
  </si>
  <si>
    <t>23251-72-1</t>
  </si>
  <si>
    <t>pentaethylene glycol monomethyl ether</t>
  </si>
  <si>
    <t>23778-52-1</t>
  </si>
  <si>
    <t>tetraethylene glycol monomethyl ether</t>
  </si>
  <si>
    <t>23783-42-8</t>
  </si>
  <si>
    <t>1,3-benzoxazole-2(3H)-thione</t>
  </si>
  <si>
    <t>2382-96-9</t>
  </si>
  <si>
    <t>N-(2-ethoxyphenyl)-N'-(2-ethylphenyl)ethanediamide</t>
  </si>
  <si>
    <t>23949-66-8</t>
  </si>
  <si>
    <t>2,3,6-trimethylphenol</t>
  </si>
  <si>
    <t>2416-94-6</t>
  </si>
  <si>
    <t>poly(bisphenol A-co-epichlorohydrin), glycidyl end-capped</t>
  </si>
  <si>
    <t>25036-25-3</t>
  </si>
  <si>
    <t>2,2'-[(1-methylethylidene)bis] [4,1-phenyleneoxymethylene]bis-oxirane, homopolymer</t>
  </si>
  <si>
    <t>25085-99-8</t>
  </si>
  <si>
    <t>polytetramethylene glycols</t>
  </si>
  <si>
    <t>25190-06-1</t>
  </si>
  <si>
    <t>3-glycidoxypropyltrimethoxysilane</t>
  </si>
  <si>
    <t>2530-83-8</t>
  </si>
  <si>
    <t>3-(trimethoxysilyl)propyl methacrylate</t>
  </si>
  <si>
    <t>2530-85-0</t>
  </si>
  <si>
    <t>poly(propylene oxide)</t>
  </si>
  <si>
    <t>25322-62-7</t>
  </si>
  <si>
    <t>poly(ethylene glycol)</t>
  </si>
  <si>
    <t>25322-68-3</t>
  </si>
  <si>
    <t>poly(propylene glycol)</t>
  </si>
  <si>
    <t>25322-69-4</t>
  </si>
  <si>
    <t>propyltriethoxysilane</t>
  </si>
  <si>
    <t>2550-02-9</t>
  </si>
  <si>
    <t>methyl 9-decenoate</t>
  </si>
  <si>
    <t>25601-41-6</t>
  </si>
  <si>
    <t>polyglycerine</t>
  </si>
  <si>
    <t>25618-55-7</t>
  </si>
  <si>
    <t>trimethylolpropane propoxylate</t>
  </si>
  <si>
    <t>25723-16-4</t>
  </si>
  <si>
    <t>a,a',a"-1,2,3-propanetriyltris[omega-hydroxy]-poly[oxy(methyl-1,2-ethanediyl)] (polyether polyol)</t>
  </si>
  <si>
    <t>25791-96-2</t>
  </si>
  <si>
    <t>1,3,5-tris[3-(trimethoxysilyl)propyl]-1,3,5-triazinane-2,4,6-trione</t>
  </si>
  <si>
    <t>26115-70-8</t>
  </si>
  <si>
    <t>alpha-decyl-omega-hydroxy-poly(oxy-1,2-ethanediyl)</t>
  </si>
  <si>
    <t>26183-52-8</t>
  </si>
  <si>
    <t>octaethyleneglycol octyl ether</t>
  </si>
  <si>
    <t>26468-86-0</t>
  </si>
  <si>
    <t>ethoxylated oleylamine</t>
  </si>
  <si>
    <t>26635-93-8</t>
  </si>
  <si>
    <t>neodecanoic acid</t>
  </si>
  <si>
    <t>26896-20-8</t>
  </si>
  <si>
    <t>polyethylene glycol mono(3-(tetramethyl-1-(trimethylsiloxy)disiloxanyl)propyl)ether</t>
  </si>
  <si>
    <t>27306-78-1</t>
  </si>
  <si>
    <t>alpha-tetradecyl-omega-hyroxy-poly(oxy-1,2-ethanediyl)</t>
  </si>
  <si>
    <t>27306-79-2</t>
  </si>
  <si>
    <t>trimethyl pentaphenol trisiloxane</t>
  </si>
  <si>
    <t>28855-11-0</t>
  </si>
  <si>
    <t>3-(2,3-epoxypropoxy)propyl dimethoxymethylsilane</t>
  </si>
  <si>
    <t>2897-60-1</t>
  </si>
  <si>
    <t>Ammonium heptadecafluorooctanesulphonate</t>
  </si>
  <si>
    <t>29081-56-9</t>
  </si>
  <si>
    <t>triethoxy(octyl)silane</t>
  </si>
  <si>
    <t>2943-75-1</t>
  </si>
  <si>
    <t>dipropylene glycol monopropyl ether</t>
  </si>
  <si>
    <t>29911-27-1</t>
  </si>
  <si>
    <t>dipropylene glycol n-butyl ether</t>
  </si>
  <si>
    <t>29911-28-2</t>
  </si>
  <si>
    <t>phenyltrimethoxysilane</t>
  </si>
  <si>
    <t>2996-92-1</t>
  </si>
  <si>
    <t>propylene glycol monopropyl ether</t>
  </si>
  <si>
    <t>30136-13-1</t>
  </si>
  <si>
    <t>3-[dimethoxy(methyl)silyl]-1-propanethiol</t>
  </si>
  <si>
    <t>31001-77-1</t>
  </si>
  <si>
    <t>p-tert-butylphenyl glycidyl ether</t>
  </si>
  <si>
    <t>3101-60-8</t>
  </si>
  <si>
    <t>alpha-hexyl-omega-hydroxy-poly(oxy-1,2-ethanediyl)</t>
  </si>
  <si>
    <t>31726-34-8</t>
  </si>
  <si>
    <t>ammonium lauryl ether sulfate</t>
  </si>
  <si>
    <t>32612-48-9</t>
  </si>
  <si>
    <t>decanoic acid</t>
  </si>
  <si>
    <t>334-48-5</t>
  </si>
  <si>
    <t>[2-(3,4-epoxycyclohexyl)ethyl]trimethoxysilane</t>
  </si>
  <si>
    <t>3388-04-3</t>
  </si>
  <si>
    <t>alpha-undecyl-omega-hydroxy-poly(oxy-1,2-ethanediyl)</t>
  </si>
  <si>
    <t>34398-01-1</t>
  </si>
  <si>
    <t>1,1,1,5,5,5-hexamethyl-3,3-bis(trimethylsiloxy)-trisiloxane</t>
  </si>
  <si>
    <t>3555-47-3</t>
  </si>
  <si>
    <t>(1,2-ethanediylbis(oxy))bismethanol</t>
  </si>
  <si>
    <t>3586-55-8</t>
  </si>
  <si>
    <t>epichlorohydrin, bisphenol A, methacrylic acid polymer</t>
  </si>
  <si>
    <t>36425-15-7</t>
  </si>
  <si>
    <t>methyloxirane, polymer with oxirane, monoalkyl ethers</t>
  </si>
  <si>
    <t>37251-67-5</t>
  </si>
  <si>
    <t>m-cresoxyethanol</t>
  </si>
  <si>
    <t>37281-57-5</t>
  </si>
  <si>
    <t>polypropylene glycol monomethyl ether</t>
  </si>
  <si>
    <t>37286-64-9</t>
  </si>
  <si>
    <t>1-methyl-2-(C12-14-alkyloxy)oxirane</t>
  </si>
  <si>
    <t>39390-62-0</t>
  </si>
  <si>
    <t>poly(propylene glycol) methacrylate</t>
  </si>
  <si>
    <t>39420-45-6</t>
  </si>
  <si>
    <t>bis[3-(triethoxysilyl)propyl] tetrasulfide</t>
  </si>
  <si>
    <t>40372-72-3</t>
  </si>
  <si>
    <t>dipropylene glycol diglycidyl ether</t>
  </si>
  <si>
    <t>41638-13-5</t>
  </si>
  <si>
    <t>methyltriacetoxysilane</t>
  </si>
  <si>
    <t>4253-34-3</t>
  </si>
  <si>
    <t>1,3,5,7-tetrakis(3,3,3-trifluoroprop-1-yl)-1,3,5,7-tetramethylcyclotetrasiloxane</t>
  </si>
  <si>
    <t>429-67-4</t>
  </si>
  <si>
    <t>gamma-(mercaptopropyl, 3-) trimethoxysilane</t>
  </si>
  <si>
    <t>4420-74-0</t>
  </si>
  <si>
    <t>1,4-(1-methyl-4-(1-methylethyl)-7-oxabicyclo[2.2.1]heptane)cineole</t>
  </si>
  <si>
    <t>470-67-7</t>
  </si>
  <si>
    <t>propionaldehyde dipropyl acetal</t>
  </si>
  <si>
    <t>4744-11-0</t>
  </si>
  <si>
    <t>pentaethylene glycol</t>
  </si>
  <si>
    <t>4792-15-8</t>
  </si>
  <si>
    <t>lactic acid</t>
  </si>
  <si>
    <t>50-21-5</t>
  </si>
  <si>
    <t>N,N-bis(carboxymethyl)-glycine, trisodium salt</t>
  </si>
  <si>
    <t>5064-31-3</t>
  </si>
  <si>
    <t>3-chloropropyltriethoxysilane</t>
  </si>
  <si>
    <t>5089-70-3</t>
  </si>
  <si>
    <t>abietic acid</t>
  </si>
  <si>
    <t>514-10-3</t>
  </si>
  <si>
    <t>alpha-(4-nonylphenyl)-omega-hydroxy-poly(oxy-1,2-ethanediyl) phosphate</t>
  </si>
  <si>
    <t>51609-41-7</t>
  </si>
  <si>
    <t>(Z)-alpha-9-octadecenyl-omega-hydroxy-poly[oxy(methyl-1,2-ethanediyl)]</t>
  </si>
  <si>
    <t>52581-71-2</t>
  </si>
  <si>
    <t>methyloxirane, polymer with oxirane ether with 2-ethyl-2-(hydroxymethyl)-1,3-propanediol</t>
  </si>
  <si>
    <t>52624-57-4</t>
  </si>
  <si>
    <t>alpha-hydro-omega-hydroxy-poly[oxy(methyl-1,2-ethanediyl)], ether with D-glucitol (6:1)</t>
  </si>
  <si>
    <t>52625-13-5</t>
  </si>
  <si>
    <t>2,4,6-trimethylphenol</t>
  </si>
  <si>
    <t>527-60-6</t>
  </si>
  <si>
    <t>ethylene glycol bis(propylene glycol-b-ethylene glycol) ether</t>
  </si>
  <si>
    <t>53637-25-5</t>
  </si>
  <si>
    <t>alpha-hydro-omega-hydroxy-poly(oxy-1,2-ethanediyl), ether with d-glucitol (6:1)</t>
  </si>
  <si>
    <t>53694-15-8</t>
  </si>
  <si>
    <t>dodecamethylcyclohexasiloxane</t>
  </si>
  <si>
    <t>540-97-6</t>
  </si>
  <si>
    <t>decamethylcyclopentasiloxane</t>
  </si>
  <si>
    <t>541-02-6</t>
  </si>
  <si>
    <t>hexamethylcyclotrisiloxane</t>
  </si>
  <si>
    <t>541-05-9</t>
  </si>
  <si>
    <t>Myristic Acid</t>
  </si>
  <si>
    <t>544-63-8</t>
  </si>
  <si>
    <t>N,N'-1,6-hexanediylbis(12-hydroxyoctadecanamide)</t>
  </si>
  <si>
    <t>55349-01-4</t>
  </si>
  <si>
    <t>octamethylcyclotetrasiloxane</t>
  </si>
  <si>
    <t>556-67-2</t>
  </si>
  <si>
    <t>glycine</t>
  </si>
  <si>
    <t>56-40-6</t>
  </si>
  <si>
    <t>sorbitol propoxylated ethoxylated polymer</t>
  </si>
  <si>
    <t>56449-05-9</t>
  </si>
  <si>
    <t>glycerin</t>
  </si>
  <si>
    <t>56-81-5</t>
  </si>
  <si>
    <t>palmitic acid</t>
  </si>
  <si>
    <t>57-10-3</t>
  </si>
  <si>
    <t>stearic acid</t>
  </si>
  <si>
    <t>57-11-4</t>
  </si>
  <si>
    <t>2-propenenitrile, polymer with ethenylbenzene, methyloxirane and oxirane</t>
  </si>
  <si>
    <t>58050-75-2</t>
  </si>
  <si>
    <t>2-hydroxy-4-methylthio-butanoic acid</t>
  </si>
  <si>
    <t>583-91-5</t>
  </si>
  <si>
    <t>linoleic acid</t>
  </si>
  <si>
    <t>60-33-3</t>
  </si>
  <si>
    <t>alpha-hydro-omega-hydroxy-poly[oxy(methyl-1,2-ethanediyl)], ether with [[(2-hydroxymethylethyl)imino]bis(2,1-ethanediylnitrilo)]tetrakis[propanol] (5:1)</t>
  </si>
  <si>
    <t>61252-98-0</t>
  </si>
  <si>
    <t>alpha-(dimethylphenyl)-omega-hydroxy-poly(oxy-1,2-ethanediyl)</t>
  </si>
  <si>
    <t>61723-82-8</t>
  </si>
  <si>
    <t>coconut fatty acid methyl ester</t>
  </si>
  <si>
    <t>61788-59-8</t>
  </si>
  <si>
    <t>tallow, methyl esters</t>
  </si>
  <si>
    <t>61788-61-2</t>
  </si>
  <si>
    <t>tall oil fatty acids, iron salt</t>
  </si>
  <si>
    <t>61788-81-6</t>
  </si>
  <si>
    <t>fatty acids, C18-unsatd, dimers</t>
  </si>
  <si>
    <t>61788-89-4</t>
  </si>
  <si>
    <t>fatty acids, tall-oil, epoxidized, 2-ethylhexyl esters</t>
  </si>
  <si>
    <t>61789-01-3</t>
  </si>
  <si>
    <t>fatty acids, coconut oil, sodium salts</t>
  </si>
  <si>
    <t>61789-31-9</t>
  </si>
  <si>
    <t>castor oil fatty acids</t>
  </si>
  <si>
    <t>61789-44-4</t>
  </si>
  <si>
    <t>fatty acid, tall-oil</t>
  </si>
  <si>
    <t>61790-12-3</t>
  </si>
  <si>
    <t>tallow fatty acids</t>
  </si>
  <si>
    <t>61790-37-2</t>
  </si>
  <si>
    <t>fatty acids, tall-oil, potassium salts</t>
  </si>
  <si>
    <t>61790-44-1</t>
  </si>
  <si>
    <t>fatty acids, tall-oil, compds with diethanolamine</t>
  </si>
  <si>
    <t>61790-66-7</t>
  </si>
  <si>
    <t>fatty acids, tall-oil, reaction products with diethylenetriamine</t>
  </si>
  <si>
    <t>61790-69-0</t>
  </si>
  <si>
    <t>fatty acids, tall-oil, monoesters with sorbitan, ethoxylated</t>
  </si>
  <si>
    <t>61790-86-1</t>
  </si>
  <si>
    <t>fatty acids, tall-oil, hexaesters with sorbitol, ethoxylated</t>
  </si>
  <si>
    <t>61790-90-7</t>
  </si>
  <si>
    <t>fatty acids, tall-oil, ethoxylated</t>
  </si>
  <si>
    <t>61791-00-2</t>
  </si>
  <si>
    <t>PEG-12 ditallate</t>
  </si>
  <si>
    <t>61791-01-3</t>
  </si>
  <si>
    <t>castor oil, ethoxylated</t>
  </si>
  <si>
    <t>61791-12-6</t>
  </si>
  <si>
    <t>fatty acids, tall-oil, reaction products with ethanolamine, ethoxylated</t>
  </si>
  <si>
    <t>61791-19-3</t>
  </si>
  <si>
    <t>2-[(8-methylnonyl)oxy]ethanol</t>
  </si>
  <si>
    <t>61827-42-7</t>
  </si>
  <si>
    <t>1-benzyl-3-methylbenzene</t>
  </si>
  <si>
    <t>620-47-3</t>
  </si>
  <si>
    <t>disodium [{2-[bis(carboxylatomethyl)amino]ethyl}(2-hydroxyethyl)amino]acetate</t>
  </si>
  <si>
    <t>62099-15-4</t>
  </si>
  <si>
    <t>polymethylphenyl siloxanes</t>
  </si>
  <si>
    <t>63148-52-7</t>
  </si>
  <si>
    <t>poly(methylhydrosiloxane)</t>
  </si>
  <si>
    <t>63148-57-2</t>
  </si>
  <si>
    <t>poly(methylphenylsiloxane)</t>
  </si>
  <si>
    <t>63148-58-3</t>
  </si>
  <si>
    <t>silicone oil</t>
  </si>
  <si>
    <t>63148-62-9</t>
  </si>
  <si>
    <t>lactose, anhydrous</t>
  </si>
  <si>
    <t>63-42-3</t>
  </si>
  <si>
    <t>ethylenediaminetetraacetic acid tetrasodium salt</t>
  </si>
  <si>
    <t>64-02-8</t>
  </si>
  <si>
    <t>castor oil dehydrated</t>
  </si>
  <si>
    <t>64147-40-6</t>
  </si>
  <si>
    <t>polysiloxanes, di-Me, hydroxy-terminated, ethoxylated propoxylated</t>
  </si>
  <si>
    <t>64365-23-7</t>
  </si>
  <si>
    <t>naphtha (petroleum), full-range straight-run</t>
  </si>
  <si>
    <t>64741-42-0</t>
  </si>
  <si>
    <t>distillates (petroleum), straight-run middle</t>
  </si>
  <si>
    <t>64741-44-2</t>
  </si>
  <si>
    <t>slurry oil, clarified</t>
  </si>
  <si>
    <t>64741-62-4</t>
  </si>
  <si>
    <t>residues (petroleum), catalytic reformer fractionator</t>
  </si>
  <si>
    <t>64741-67-9</t>
  </si>
  <si>
    <t>petroleum polymers, viscous</t>
  </si>
  <si>
    <t>64741-71-5</t>
  </si>
  <si>
    <t>distillates (petroleum) solvent-refined heavy paraffinic</t>
  </si>
  <si>
    <t>64741-88-4</t>
  </si>
  <si>
    <t>paraffinic distillate</t>
  </si>
  <si>
    <t>64741-89-5</t>
  </si>
  <si>
    <t>petroleum extracts, light paraffinic distillate solvent</t>
  </si>
  <si>
    <t>64742-05-8</t>
  </si>
  <si>
    <t>distillates (petroleum), acid treated, light</t>
  </si>
  <si>
    <t>64742-14-9</t>
  </si>
  <si>
    <t>gas oils acid treated</t>
  </si>
  <si>
    <t>64742-17-2</t>
  </si>
  <si>
    <t>paraffin wax, petroleum, clay treated</t>
  </si>
  <si>
    <t>64742-43-4</t>
  </si>
  <si>
    <t>hydrotreated light naphthenic petroleum distillates</t>
  </si>
  <si>
    <t>64742-53-6</t>
  </si>
  <si>
    <t>solvent-dewaxed light paraffinic distillates (petroleum)</t>
  </si>
  <si>
    <t>64742-56-9</t>
  </si>
  <si>
    <t>paraffinic mineral oil</t>
  </si>
  <si>
    <t>64742-62-7</t>
  </si>
  <si>
    <t>distillates (petroleum) solvent-dewaxed heavy paraffinic</t>
  </si>
  <si>
    <t>64742-65-0</t>
  </si>
  <si>
    <t>catalytic dewaxed light paraffin oils (petroleum)</t>
  </si>
  <si>
    <t>64742-71-8</t>
  </si>
  <si>
    <t>fatty acids, tall-oil, reaction products with polyethylenepolyamines, acetates</t>
  </si>
  <si>
    <t>64754-93-4</t>
  </si>
  <si>
    <t>fatty acids, tall-oil, compds with polyethylenepolyamine-tall-oil fatty acid reaction products</t>
  </si>
  <si>
    <t>64754-94-5</t>
  </si>
  <si>
    <t>fatty acids, coco, reaction products with polyethylene polyamines</t>
  </si>
  <si>
    <t>64754-98-9</t>
  </si>
  <si>
    <t>fatty acids, C18-unsatd, dimers, compds with polyethylenepolyamines-tall-oil fatty acid reaction products</t>
  </si>
  <si>
    <t>64754-99-0</t>
  </si>
  <si>
    <t>tall oil, ethoxylated</t>
  </si>
  <si>
    <t>65071-95-6</t>
  </si>
  <si>
    <t>fatty acids, tall-oil, low-boiling</t>
  </si>
  <si>
    <t>65997-03-7</t>
  </si>
  <si>
    <t>tall-oil fatty acids, polymers with glycerol, pentaerythritol and phthalic anhydride</t>
  </si>
  <si>
    <t>66070-62-0</t>
  </si>
  <si>
    <t>fatty acids, C18-unsaturated, dimers, polymers with bisphenol A, epichlorohydrin and soya fatty acids</t>
  </si>
  <si>
    <t>66070-80-2</t>
  </si>
  <si>
    <t>coconut oil, polymer with ethylene glycol, pentaerythritol and phthalic anhydride</t>
  </si>
  <si>
    <t>66070-89-1</t>
  </si>
  <si>
    <t>soybean oil, polymer with isophthalic acid and pentaerythritolhydrogenated rosin</t>
  </si>
  <si>
    <t>66071-86-1</t>
  </si>
  <si>
    <t>fatty acids, C8-18 and C18-unsatd.</t>
  </si>
  <si>
    <t>67701-05-7</t>
  </si>
  <si>
    <t>fatty acids, unsaturated C14-C18</t>
  </si>
  <si>
    <t>67701-06-8</t>
  </si>
  <si>
    <t>fatty acids, C16-18 and C18-unsatd.</t>
  </si>
  <si>
    <t>67701-08-0</t>
  </si>
  <si>
    <t>fatty acids, C8-18 and C18-unsatd., sodium salts</t>
  </si>
  <si>
    <t>67701-10-4</t>
  </si>
  <si>
    <t>fatty acids, C18-unsatd., dimers, potassium salts</t>
  </si>
  <si>
    <t>67701-19-3</t>
  </si>
  <si>
    <t>linseed oil polymerized</t>
  </si>
  <si>
    <t>67746-08-1</t>
  </si>
  <si>
    <t>C14-C18 and C16-C18 unsaturated alkylcarboxylic acid methyl ester</t>
  </si>
  <si>
    <t>67762-26-9</t>
  </si>
  <si>
    <t>fatty acids, C6-12</t>
  </si>
  <si>
    <t>67762-36-1</t>
  </si>
  <si>
    <t>fatty acids, C16-C18-unsatd., Me esters</t>
  </si>
  <si>
    <t>67762-38-3</t>
  </si>
  <si>
    <t>fatty acids, methyl esters</t>
  </si>
  <si>
    <t>67762-39-4</t>
  </si>
  <si>
    <t>siloxanes and silicones, di-Me, 3-hydroxypropyl Me, ethers with polyethylene-polypropylene glycol mono-Me ether</t>
  </si>
  <si>
    <t>67762-85-0</t>
  </si>
  <si>
    <t>siloxanes and silicones, di-Me, (dimethylamino)-terminated</t>
  </si>
  <si>
    <t>67762-92-9</t>
  </si>
  <si>
    <t>ethoxymethyl polysiloxane</t>
  </si>
  <si>
    <t>67762-97-4</t>
  </si>
  <si>
    <t>fatty acids, tall-oil, reaction products with triethanolamine</t>
  </si>
  <si>
    <t>67784-78-5</t>
  </si>
  <si>
    <t>soybean oil, methyl esters</t>
  </si>
  <si>
    <t>67784-80-9</t>
  </si>
  <si>
    <t>1,2-diaminotoluene, ethoxylated and propoxylated</t>
  </si>
  <si>
    <t>67800-94-6</t>
  </si>
  <si>
    <t>a,a'-[(hexylimino)di-2,1-ethanediyl]bis[omega-hydroxy]-poly(oxy-1,2-ethanediyl)</t>
  </si>
  <si>
    <t>67875-41-6</t>
  </si>
  <si>
    <t>fatty acids, C18-unsatd., dimers, polymers with ethylenediamine, hexamethylenediamine and propionic acid</t>
  </si>
  <si>
    <t>67989-30-4</t>
  </si>
  <si>
    <t>fatty acids, C18-unsatd, dimers, polymers with bisphenol A and epichlorohydrin</t>
  </si>
  <si>
    <t>67989-52-0</t>
  </si>
  <si>
    <t>fatty acids, tall-oil, compds with morpholine</t>
  </si>
  <si>
    <t>68002-77-7</t>
  </si>
  <si>
    <t>methyloxirane, polymer with oxirane, ether with 1,2,3-propanetriol (3:1), ether with (chloromethyl)oxirane polymer with 4,4'-(1-methylethylidene)bis[phenol]</t>
  </si>
  <si>
    <t>68036-92-0</t>
  </si>
  <si>
    <t>methyloxirane polymer with oxirane, ether with (chloromethyl)oxirane polymer with 4,4'-(1-methylethylidene)bis[phenol]</t>
  </si>
  <si>
    <t>68036-95-3</t>
  </si>
  <si>
    <t>cyclosiloxanes, di-Me, polymers with 1,3-diethenyl-1,3-dimethyl-1,3-diphenyldisiloxane</t>
  </si>
  <si>
    <t>68037-52-5</t>
  </si>
  <si>
    <t>siloxanes and silicones, dimethyl, methyl hydrogen</t>
  </si>
  <si>
    <t>68037-59-2</t>
  </si>
  <si>
    <t>ethyl methyl siloxane, 2-phenyl propyl methyl siloxane copolymer</t>
  </si>
  <si>
    <t>68037-77-4</t>
  </si>
  <si>
    <t>di-phenyl, methyl-phenyl siloxanes and silicones, polymers with methyl-phenyl silsesquioxanes</t>
  </si>
  <si>
    <t>68037-81-0</t>
  </si>
  <si>
    <t>siloxanes and silicones, methyl methoxy, polymers with methyl silsesquioxanes</t>
  </si>
  <si>
    <t>68037-85-4</t>
  </si>
  <si>
    <t>fatty acids, C18-unsatd., dimers, polymers with tall-oil fatty acids, tetraethylenepentamine and triethylenetetramine</t>
  </si>
  <si>
    <t>68071-65-8</t>
  </si>
  <si>
    <t>soybean oil, polymer with isophthalic acid, pentaerythritol and terephthalic acid</t>
  </si>
  <si>
    <t>68072-22-0</t>
  </si>
  <si>
    <t>mono[(C10-16-alkyloxy)methyl] oxirane derivs</t>
  </si>
  <si>
    <t>68081-84-5</t>
  </si>
  <si>
    <t>fatty acids, C18-unsatd, dimers, polymers with tall oil fatty acids and triethylene tetramine</t>
  </si>
  <si>
    <t>68082-29-1</t>
  </si>
  <si>
    <t>poly(dimethylsiloxane), vinyl terminated</t>
  </si>
  <si>
    <t>68083-19-2</t>
  </si>
  <si>
    <t>fatty acids, tall-oil, reaction products with polyethylenepolyamines, ethoxylated, acetates (salts)</t>
  </si>
  <si>
    <t>68132-39-8</t>
  </si>
  <si>
    <t>fatty acid, tall-oil, ammonium salts</t>
  </si>
  <si>
    <t>68132-50-3</t>
  </si>
  <si>
    <t>fatty acids, tall-oil, compds with N-[2-(4,5-dihydro-2-nortall-oil alkyl-1H-imidazol-1yl)ethyl] tall-oil fatty amides</t>
  </si>
  <si>
    <t>68132-60-5</t>
  </si>
  <si>
    <t>fatty acids, tall-oil, maleated</t>
  </si>
  <si>
    <t>68139-89-9</t>
  </si>
  <si>
    <t>fatty acids, tall-oil, reaction products with diethylenetriamine, acetates</t>
  </si>
  <si>
    <t>68153-60-6</t>
  </si>
  <si>
    <t>fatty acids, tall-oil, sulfonated</t>
  </si>
  <si>
    <t>68153-61-7</t>
  </si>
  <si>
    <t>fatty acids, coco, monoesters with sorbitan</t>
  </si>
  <si>
    <t>68154-36-9</t>
  </si>
  <si>
    <t>benzoic acid, coconut fatty acids, phthalic anhydride, glycerol polymer</t>
  </si>
  <si>
    <t>68154-38-1</t>
  </si>
  <si>
    <t>fatty acids, C18-unsatd, dimers, compds with diethylamine</t>
  </si>
  <si>
    <t>68154-46-1</t>
  </si>
  <si>
    <t>fatty acids, C18-unsatd, dimers, compds with ethoxylated N-tallow alkyltrimethylenediamines</t>
  </si>
  <si>
    <t>68154-48-3</t>
  </si>
  <si>
    <t>fatty acids, C18-unsatd, dimers, compds with N-tallow alkyltrimethylenediamines</t>
  </si>
  <si>
    <t>68154-49-4</t>
  </si>
  <si>
    <t>amides, from tall-oil fatty acids and tetraethylenepentamine</t>
  </si>
  <si>
    <t>68155-17-9</t>
  </si>
  <si>
    <t>amides, tall-oil fatty, N-[2-(4,5-dihydro-2-nortall-oil alkyl-1H-imidazol-1-yl)ethyl]</t>
  </si>
  <si>
    <t>68155-19-1</t>
  </si>
  <si>
    <t>amides, tall oil fatty, N,N-bis(2-hydroxyethyl)-</t>
  </si>
  <si>
    <t>68155-20-4</t>
  </si>
  <si>
    <t>methyloxirane, polymer with oxirane, (E)-2-butenedioate</t>
  </si>
  <si>
    <t>68186-54-9</t>
  </si>
  <si>
    <t>sulfated castor oil sodium salt</t>
  </si>
  <si>
    <t>68187-76-8</t>
  </si>
  <si>
    <t>castor oil, oxidized</t>
  </si>
  <si>
    <t>68187-84-8</t>
  </si>
  <si>
    <t>fatty acids, tall-oil, reaction products with acetophenone, formaldehyde and thiourea, hydrochlorides</t>
  </si>
  <si>
    <t>68188-40-9</t>
  </si>
  <si>
    <t>tetrapropylorthosilicate</t>
  </si>
  <si>
    <t>682-01-9</t>
  </si>
  <si>
    <t>alpha,alpha,alpha,alpha-((1,36-dioxo-1,36-hexacosanediyl)bis(oxy-2,1-ethanediylnitrilodi-2,1-ethanediyl))tetrakis(omega-hydroxy-poly(oxy-1,2-ethanediyl)</t>
  </si>
  <si>
    <t>68214-24-4</t>
  </si>
  <si>
    <t>Ammonium 1,1,2,2,3,3,4,4,5,5,6,6,7,7,7-pentadecafluoroheptane-1-sulphonate</t>
  </si>
  <si>
    <t>68259-07-4</t>
  </si>
  <si>
    <t>Ammonium perfluorohexane-1-sulphonate)</t>
  </si>
  <si>
    <t>68259-08-5</t>
  </si>
  <si>
    <t>Ammonium 1,1,2,2,3,3,4,4,5,5,5-undecafluoropentane-1-sulphonate</t>
  </si>
  <si>
    <t>68259-09-6</t>
  </si>
  <si>
    <t>Ammonium 1,1,2,2,3,3,4,4,4-nonafluorobutane-1-sulphonate</t>
  </si>
  <si>
    <t>68259-10-9</t>
  </si>
  <si>
    <t>21-amino-N-(2-((2-((2-((2-aminoethyl)amino)ethyl)amino)ethyl)amino)ethyl)-9-(1-hydroxynonyl)-9,12,15,18-tetraazahenicosanamide</t>
  </si>
  <si>
    <t>68298-14-6</t>
  </si>
  <si>
    <t>acidulated corn/soya soapstock</t>
  </si>
  <si>
    <t>68308-53-2</t>
  </si>
  <si>
    <t>fatty acids, C18-unsatd, dimers, ethoxylated, propoxylated</t>
  </si>
  <si>
    <t>68308-89-4</t>
  </si>
  <si>
    <t>fatty acids, tall-oil, polymers with maleic anhydride</t>
  </si>
  <si>
    <t>68309-24-0</t>
  </si>
  <si>
    <t>methyloxirane, polymer with oxirane, didodecylbenzenesulfonate</t>
  </si>
  <si>
    <t>68332-78-5</t>
  </si>
  <si>
    <t>fatty acids, C-12-20 and C12-20-unsatd</t>
  </si>
  <si>
    <t>68334-03-2</t>
  </si>
  <si>
    <t>fatty acids, C18-unsatd, dimers, compds with 4,5-dihydro-2-nortall oil alkyl-1H-imidazole-1-ethanamine</t>
  </si>
  <si>
    <t>68390-61-4</t>
  </si>
  <si>
    <t>2-(E)-butanedioic acid, polymer with methyloxirane and oxirane and 1,2,3-propanetriol</t>
  </si>
  <si>
    <t>68400-71-5</t>
  </si>
  <si>
    <t>2-(E)-butanedioic acid, polymer with methyloxirane and oxirane</t>
  </si>
  <si>
    <t>68400-72-6</t>
  </si>
  <si>
    <t>fatty acids, C18-unsatd, dimers, monoesters with polyethylene glycol hydrogen phthalate, esters with castor oil</t>
  </si>
  <si>
    <t>68410-19-5</t>
  </si>
  <si>
    <t>polyethylenepolyamine-fatty acids, C18-unsaturated, dimer condensate</t>
  </si>
  <si>
    <t>68410-23-1</t>
  </si>
  <si>
    <t>castor oil, polymd., oxidized</t>
  </si>
  <si>
    <t>68439-93-0</t>
  </si>
  <si>
    <t>fatty acids, palm-oil</t>
  </si>
  <si>
    <t>68440-15-3</t>
  </si>
  <si>
    <t>fatty acids, tall-oil, sulfurized</t>
  </si>
  <si>
    <t>68440-27-7</t>
  </si>
  <si>
    <t>siloxanes and silicones, di-Me, acetate-terminated</t>
  </si>
  <si>
    <t>68440-60-8</t>
  </si>
  <si>
    <t>methyl phenyl silsesquioxanes-dimethyl, diphenyl siloxane polymers</t>
  </si>
  <si>
    <t>68440-64-2</t>
  </si>
  <si>
    <t>polymethylsiloxane</t>
  </si>
  <si>
    <t>68440-84-6</t>
  </si>
  <si>
    <t>castor oil, pentaerythritol ester</t>
  </si>
  <si>
    <t>68459-68-7</t>
  </si>
  <si>
    <t>fatty acids, C18-unsatd., dimers, polymers with diethylenetriamine, ethylenediamine, sebacic acid and tall-oil fatty acids</t>
  </si>
  <si>
    <t>68475-96-7</t>
  </si>
  <si>
    <t>a,a'-(iminodi-2,1-ethanediyl)bis[omega-hydroxy-poly(oxy-1,2-ethanediyl), N-[3-(brancheddecyloxy)propyl]</t>
  </si>
  <si>
    <t>68478-95-5</t>
  </si>
  <si>
    <t>2,3,4-trihydroxybenzophenone naphthoquinone-1,2-diazido-5-sulfonate</t>
  </si>
  <si>
    <t>68510-93-0</t>
  </si>
  <si>
    <t>linseed oil, glycerin, pentaerythritol, gum rosin, maleic anhydride, phthalic anhydride polymer (alkyd oil)</t>
  </si>
  <si>
    <t>68512-98-1</t>
  </si>
  <si>
    <t>fatty acids, tall-oil, compds with diethanolamine-tall-oil fatty acid reaction products</t>
  </si>
  <si>
    <t>68526-44-3</t>
  </si>
  <si>
    <t>fatty acids, C18-unsatd, dimers, ethoxylated</t>
  </si>
  <si>
    <t>68551-92-8</t>
  </si>
  <si>
    <t>fatty acids, C18-unsatd., dimers, polymers with castor oil, phthalic anhydride and polyethylene glycol</t>
  </si>
  <si>
    <t>68551-95-1</t>
  </si>
  <si>
    <t>fatty acids, tall-oil, compds. with tallow alkyl amines</t>
  </si>
  <si>
    <t>68552-48-7</t>
  </si>
  <si>
    <t>fatty acids, C16-18 and C-18-unsatd, sulfonated, ethoxylated propoxylated</t>
  </si>
  <si>
    <t>68604-43-3</t>
  </si>
  <si>
    <t>triethanolamine compound with linear saturated fatty acids (C5-C9)</t>
  </si>
  <si>
    <t>68604-62-6</t>
  </si>
  <si>
    <t>fatty acids, tall-oil, reaction products with polyethylenepolyamines, compds. with polyethylene glycol decyl ether phosphate</t>
  </si>
  <si>
    <t>68605-92-5</t>
  </si>
  <si>
    <t>siloxanes and silicones, Me 3,3,3-trifluoropropyl, hydroxy-terminated</t>
  </si>
  <si>
    <t>68607-77-2</t>
  </si>
  <si>
    <t>petroleum sulfonic acids, sodium salts</t>
  </si>
  <si>
    <t>68608-26-4</t>
  </si>
  <si>
    <t>2,5-furandione, reaction products with polypropylene, chlorinated</t>
  </si>
  <si>
    <t>68609-36-9</t>
  </si>
  <si>
    <t>glycidyl ether, C8-10, oxirane</t>
  </si>
  <si>
    <t>68609-96-1</t>
  </si>
  <si>
    <t>fatty acids, C18-unsatd., dimers, compds. with diethylenetriamine-tall-oil fatty acid reaction products</t>
  </si>
  <si>
    <t>68647-57-4</t>
  </si>
  <si>
    <t>tall oil fatty acids, iron salts, basic</t>
  </si>
  <si>
    <t>68648-06-6</t>
  </si>
  <si>
    <t>tall oil fatty acids, magnesium salts, basic</t>
  </si>
  <si>
    <t>68648-08-8</t>
  </si>
  <si>
    <t>fatty acids, tall-oil, reaction products with diethanolamine and triethanolamine</t>
  </si>
  <si>
    <t>68648-19-1</t>
  </si>
  <si>
    <t>paraffin waxes and hydrocarbon waxes, oxidized, lithium salts</t>
  </si>
  <si>
    <t>68649-48-9</t>
  </si>
  <si>
    <t>fatty acids, C18-unsatd., dimers, polymers with ethylenediamine</t>
  </si>
  <si>
    <t>68650-50-0</t>
  </si>
  <si>
    <t>dimer acid, hydrogenated</t>
  </si>
  <si>
    <t>68783-41-5</t>
  </si>
  <si>
    <t>tall oil, polymd, oxidized (brown tall oil)</t>
  </si>
  <si>
    <t>68815-17-8</t>
  </si>
  <si>
    <t>fatty acids, C8-18 and C18-unsatd., compds. with diisopropanolamine</t>
  </si>
  <si>
    <t>68855-69-6</t>
  </si>
  <si>
    <t>a,a'-phosphinicobis[omega-(tridecyloxy)] poly(oxy-1,2-ethanediyl), branched</t>
  </si>
  <si>
    <t>68891-26-9</t>
  </si>
  <si>
    <t>fatty acids, tall-oil, esters with ethoxylated propoxylated formaldehyde p-tert-pentylphenol poly</t>
  </si>
  <si>
    <t>68891-75-8</t>
  </si>
  <si>
    <t>fatty acids, tall-oil, reaction products with polyalkylenepolyamines, compds with tall-oil fatty acids</t>
  </si>
  <si>
    <t>68910-84-9</t>
  </si>
  <si>
    <t>tall-oil fatty acids, reaction products with polyalkylenepolyamines</t>
  </si>
  <si>
    <t>68910-93-0</t>
  </si>
  <si>
    <t>fatty acids, C18-unsatd, dimers, compds with N-[2-(4,5-dihydro-2-nortall-oil alkyl-1-H-imidazol-1-y)ethyl] tall-oil fatty amides</t>
  </si>
  <si>
    <t>68911-13-7</t>
  </si>
  <si>
    <t>fatty acids, C18-unsatd, dimers, compds with ethoxylated propoxylated diethylenetriamine</t>
  </si>
  <si>
    <t>68911-14-8</t>
  </si>
  <si>
    <t>fatty acids, tall-oil, reaction products with 2-[(2-aminoethyl)amino] ethanol</t>
  </si>
  <si>
    <t>68919-76-6</t>
  </si>
  <si>
    <t>tall oil acids, triethylenetetramine condensate</t>
  </si>
  <si>
    <t>68919-79-9</t>
  </si>
  <si>
    <t>fatty acids, tall-oil, dimers, compds. with ethoxylated tallow alkylamines</t>
  </si>
  <si>
    <t>68920-32-1</t>
  </si>
  <si>
    <t>fatty acids, tall-oil, reaction products with polyethylenepolyamines, compds. with polyethylene glycol monooctyl ether phosphate</t>
  </si>
  <si>
    <t>68920-41-2</t>
  </si>
  <si>
    <t>a,a'-(iminodi-2,1-ethanediyl) bis[hydroxy-poly(oxy-1,2-ethanediyl)], N-[2-(4,5) dihydro-2-nortall-oil alkyl-1H-(imidazol-1-yl)ethyl] derivs</t>
  </si>
  <si>
    <t>68928-27-8</t>
  </si>
  <si>
    <t>siloxanes and silicones, di-Me, 3-hydroxypropyl Me, ethoxylated propoxylated</t>
  </si>
  <si>
    <t>68937-55-3</t>
  </si>
  <si>
    <t>fatty acids, C16-18 and C-18-unsatd, Me esters</t>
  </si>
  <si>
    <t>68937-81-5</t>
  </si>
  <si>
    <t>fatty acids, C8-C18, methyl ester</t>
  </si>
  <si>
    <t>68937-84-8</t>
  </si>
  <si>
    <t>fatty acids, C18-unsatd, trimers</t>
  </si>
  <si>
    <t>68937-90-6</t>
  </si>
  <si>
    <t>9,9-dimethyldecanoic acid</t>
  </si>
  <si>
    <t>68938-07-8</t>
  </si>
  <si>
    <t>fatty acids, soya, polymers with acrylonitrile, crotonic acid, 2-ethylhexyl acrylate, Me methacrylate, pentaerythritol, phthalic anhydride and styrene</t>
  </si>
  <si>
    <t>68938-27-2</t>
  </si>
  <si>
    <t>polyalkylene polydimethylsiloxane</t>
  </si>
  <si>
    <t>68938-54-5</t>
  </si>
  <si>
    <t>polysiloxanes, di-Me,di-Ph, hydroxy-terminated</t>
  </si>
  <si>
    <t>68951-93-9</t>
  </si>
  <si>
    <t>dimethyl methyl phenyl methoxysiloxane</t>
  </si>
  <si>
    <t>68952-93-2</t>
  </si>
  <si>
    <t>fatty acids, tall-oil, esters with ethoxylated sorbitol</t>
  </si>
  <si>
    <t>68953-01-5</t>
  </si>
  <si>
    <t>fatty acids, tall-oil, reaction products with tetraethylenepentamine</t>
  </si>
  <si>
    <t>68953-36-6</t>
  </si>
  <si>
    <t>oxirane, reaction products with ammonium, distn residues</t>
  </si>
  <si>
    <t>68953-70-8</t>
  </si>
  <si>
    <t>fatty acids, C16-18 and C18-unsatd., branched and linear</t>
  </si>
  <si>
    <t>68955-98-6</t>
  </si>
  <si>
    <t>fatty acids, C16-18 and C18-unsatd., polymers with maleic anhydride, pentaerythritol and phthalic anhydride</t>
  </si>
  <si>
    <t>68956-04-7</t>
  </si>
  <si>
    <t>fatty acids, C18-unsaturated, dimers, distillation lights</t>
  </si>
  <si>
    <t>68956-12-7</t>
  </si>
  <si>
    <t>fatty acids, tall-oil, compds. with ammonia-diethylene glycol reaction products morpholine derivs. residues</t>
  </si>
  <si>
    <t>68956-25-2</t>
  </si>
  <si>
    <t>fatty acids, tall-oil, reaction products with 2-amino-2-methyl-1-propanol</t>
  </si>
  <si>
    <t>68956-41-2</t>
  </si>
  <si>
    <t>fatty acids, tall-oil, reaction products with diethylenetriamine, dodecylbenzenesulfonates</t>
  </si>
  <si>
    <t>68956-43-4</t>
  </si>
  <si>
    <t>vegetable oil</t>
  </si>
  <si>
    <t>68956-68-3</t>
  </si>
  <si>
    <t>dimethyl, phenyl siloxane, methoxy-terminated</t>
  </si>
  <si>
    <t>68957-04-0</t>
  </si>
  <si>
    <t>fatty acids, tall-oil, reaction products with diethylenetriamine, maleic anhydride, tetraethylenepentamine and triethylenetetramine</t>
  </si>
  <si>
    <t>68990-47-6</t>
  </si>
  <si>
    <t>vegetable oil, methyl esters</t>
  </si>
  <si>
    <t>68990-52-3</t>
  </si>
  <si>
    <t>hydrotreated soybean oil</t>
  </si>
  <si>
    <t>693217-63-9</t>
  </si>
  <si>
    <t>dimethyl-substituted cyclosiloxanes</t>
  </si>
  <si>
    <t>69430-24-6</t>
  </si>
  <si>
    <t>siloxanes and silicones, di-Me, reaction products with 1,1,1,3,3,3-hexamethyldisiloxane and Me hydrogen siloxanes</t>
  </si>
  <si>
    <t>69430-46-2</t>
  </si>
  <si>
    <t>polydimethylsiloxane, hydroxy terminated</t>
  </si>
  <si>
    <t>70131-67-8</t>
  </si>
  <si>
    <t>fatty acids, mixed tallow and vegetable oil, distn. residues</t>
  </si>
  <si>
    <t>70248-31-6</t>
  </si>
  <si>
    <t>amides, from C18-unsatd. fatty acid dimers and diethylenetriamine</t>
  </si>
  <si>
    <t>70321-65-2</t>
  </si>
  <si>
    <t>methyloxirane, polymer with oxirane, mono2,4,6-tris(1-phenylethyl)phenyl ether</t>
  </si>
  <si>
    <t>70880-56-7</t>
  </si>
  <si>
    <t>C18-unsatd. fatty acids, dimers, compds. with alkylpyridines</t>
  </si>
  <si>
    <t>70900-17-3</t>
  </si>
  <si>
    <t>hexene, hydroformylation products</t>
  </si>
  <si>
    <t>70955-11-2</t>
  </si>
  <si>
    <t>2,2'-[(1-methylethylidene)bis] 4,1-phenyleneoxy[(1-butoxumethyl)-2,1-ethanediyl oxymethylene)]bis-oxirane</t>
  </si>
  <si>
    <t>71033-08-4</t>
  </si>
  <si>
    <t>N-[3-(oxiranylmethoxy)phenyl]-N-(oxiranylmethyl)-2-oxiranemethanamine</t>
  </si>
  <si>
    <t>71604-74-5</t>
  </si>
  <si>
    <t>fatty acids, tall-oil, low-boiling, reaction products with 1-piperazine ethanamine</t>
  </si>
  <si>
    <t>71820-35-4</t>
  </si>
  <si>
    <t>fatty acids, C-9-28-neo-</t>
  </si>
  <si>
    <t>72480-45-6</t>
  </si>
  <si>
    <t>fatty acids, tall-oil, polymd</t>
  </si>
  <si>
    <t>73138-54-2</t>
  </si>
  <si>
    <t>1,2-epoxyhexadecane</t>
  </si>
  <si>
    <t>7320-37-8</t>
  </si>
  <si>
    <t>rapeseed oil, methyl esters</t>
  </si>
  <si>
    <t>73891-99-3</t>
  </si>
  <si>
    <t>[(2,4-dibromo-6-methylphenoxy)methyl]-oxirane</t>
  </si>
  <si>
    <t>75150-13-9</t>
  </si>
  <si>
    <t>benzene, polypropene derivs., sulfonated, calcium salts</t>
  </si>
  <si>
    <t>75975-85-8</t>
  </si>
  <si>
    <t>phenyltriethoxysilane</t>
  </si>
  <si>
    <t>780-69-8</t>
  </si>
  <si>
    <t>camphene</t>
  </si>
  <si>
    <t>79-92-5</t>
  </si>
  <si>
    <t>hydrogenated castor oil</t>
  </si>
  <si>
    <t>8001-78-3</t>
  </si>
  <si>
    <t>castor oil</t>
  </si>
  <si>
    <t>8001-79-4</t>
  </si>
  <si>
    <t>paraffin wax (fume)</t>
  </si>
  <si>
    <t>8002-74-2</t>
  </si>
  <si>
    <t>1,4-anhydro-5,6-di-O-(9Z)-9-octadecenoyl-D-glucitol</t>
  </si>
  <si>
    <t>8007-43-0</t>
  </si>
  <si>
    <t>petroleum jelly</t>
  </si>
  <si>
    <t>8009-03-8</t>
  </si>
  <si>
    <t>paraffin oil</t>
  </si>
  <si>
    <t>8012-95-1</t>
  </si>
  <si>
    <t>chloromethyl 2-chloroundecanoate</t>
  </si>
  <si>
    <t>80418-88-8</t>
  </si>
  <si>
    <t>white mineral oil</t>
  </si>
  <si>
    <t>8042-47-5</t>
  </si>
  <si>
    <t>Simethicone</t>
  </si>
  <si>
    <t>8050-81-5</t>
  </si>
  <si>
    <t>tall oil rosin</t>
  </si>
  <si>
    <t>8052-10-6</t>
  </si>
  <si>
    <t>fatty acids, C14-18 and C16-18-unsatd., 2-ethylhexyl esters</t>
  </si>
  <si>
    <t>84988-77-2</t>
  </si>
  <si>
    <t>([[(2-ethylhexyl)oxy]methyl]oxirane reaction products with polyethylene glycol ether with 2,4,7,9-tetramethyl-5-decyne-4,7-diol (2:1)</t>
  </si>
  <si>
    <t>857892-58-1</t>
  </si>
  <si>
    <t>dodecyl alcohol ethoxylates</t>
  </si>
  <si>
    <t>9002-92-0</t>
  </si>
  <si>
    <t>polypropylene</t>
  </si>
  <si>
    <t>9003-07-0</t>
  </si>
  <si>
    <t>Pluronic 10R-5, 25R2, 31R1, L-101</t>
  </si>
  <si>
    <t>9003-11-6</t>
  </si>
  <si>
    <t>butoxypolypropylene glycol</t>
  </si>
  <si>
    <t>9003-13-8</t>
  </si>
  <si>
    <t>alpha-[2-(tert-dodecylthio)ethyl]-omega-hydroxy-poly(oxy-1,2-ethanediyl)</t>
  </si>
  <si>
    <t>9004-83-5</t>
  </si>
  <si>
    <t>polyethylene glycol monooleyl ether</t>
  </si>
  <si>
    <t>9004-98-2</t>
  </si>
  <si>
    <t>Polysorbate 80</t>
  </si>
  <si>
    <t>9005-65-6</t>
  </si>
  <si>
    <t>1,4-anhydro-6-O-dodecanoyl-2,3-bis-O-(2-hydroxyethyl)-D-glucitol</t>
  </si>
  <si>
    <t>9005-67-8</t>
  </si>
  <si>
    <t>polyoxyethylene (23) lauryl ether</t>
  </si>
  <si>
    <t>9006-65-9</t>
  </si>
  <si>
    <t>alpha-(dodecylphenyl)-omega-hydroxy-poly(oxy-1,2-ethanediyl)</t>
  </si>
  <si>
    <t>9014-92-0</t>
  </si>
  <si>
    <t>alpha-(dinonylphenyl)-omega-hydroxy-poly(oxy-1,2-ethanediyl)</t>
  </si>
  <si>
    <t>9014-93-1</t>
  </si>
  <si>
    <t>polydimethylsiloxane</t>
  </si>
  <si>
    <t>9016-00-6</t>
  </si>
  <si>
    <t>poly(di-n-butoxy) titanoxane</t>
  </si>
  <si>
    <t>9022-96-2</t>
  </si>
  <si>
    <t>polypropylene polyoxyethylene monooctadecyl ether</t>
  </si>
  <si>
    <t>9038-43-1</t>
  </si>
  <si>
    <t>methyloxirane, polymer with oxirane, monobutyl ether (polyalkylene glycol)</t>
  </si>
  <si>
    <t>9038-95-3</t>
  </si>
  <si>
    <t>alpha-2-propen-1-yl-omega-hydroxy-poly(oxy(methyl-1,2-ethanediyl))</t>
  </si>
  <si>
    <t>9042-19-7</t>
  </si>
  <si>
    <t>polyethylene glycol monoalkyl ether</t>
  </si>
  <si>
    <t>9043-30-5</t>
  </si>
  <si>
    <t>alpha-tridecyl-omega-hyroxy-poly(oxy-1,2-ethanediyl) phosphonate</t>
  </si>
  <si>
    <t>9046-01-9</t>
  </si>
  <si>
    <t>a,a'-phosphinicobis[omega-(4-nonylphenoxy)-poly(oxy-1,2-ethanediyl)</t>
  </si>
  <si>
    <t>9071-85-6</t>
  </si>
  <si>
    <t>methyloxirane, polymer with oxirane, ether with 1,2,3-propanetriol</t>
  </si>
  <si>
    <t>9082-00-2</t>
  </si>
  <si>
    <t>palm oil, methyl esters</t>
  </si>
  <si>
    <t>91051-32-0</t>
  </si>
  <si>
    <t>fatty acids, tall-oil, reaction products with tetraethylenepentamine, dodecylbenzenesulfonates myristates</t>
  </si>
  <si>
    <t>91051-73-9</t>
  </si>
  <si>
    <t>lambda-cyhalothrin</t>
  </si>
  <si>
    <t>91465-08-6</t>
  </si>
  <si>
    <t>amides, from C14-18 and C16-18-unsatd. fatty acids and diethylenetriamine, phosphates</t>
  </si>
  <si>
    <t>91844-83-6</t>
  </si>
  <si>
    <t>C9-13-neo-fatty acids, potassium salts</t>
  </si>
  <si>
    <t>92044-83-2</t>
  </si>
  <si>
    <t>trimethoxyoctylsilane, hydrolysis products with silica</t>
  </si>
  <si>
    <t>92797-60-9</t>
  </si>
  <si>
    <t>fatty acids, linseed-oil, reaction products with 2-amino-2-(hydroxymethyl)-1,3-propanediol and formaldehyde, polymers with Bu methacrylate, 2-(diethylamino)ethyl methacrylate, 2-hydroxyethyl acrylate and Me methacrylate</t>
  </si>
  <si>
    <t>96591-17-2</t>
  </si>
  <si>
    <t>methyl silane</t>
  </si>
  <si>
    <t>992-94-9</t>
  </si>
  <si>
    <t>tristyrylphenol ethoxylates</t>
  </si>
  <si>
    <t>99734-09-5</t>
  </si>
  <si>
    <t>1-methyl-N-(trimethylsilyl)-methanesulfonamide</t>
  </si>
  <si>
    <t>999-99-5</t>
  </si>
  <si>
    <t>2,2'-oxybis(ethanol) dibenzoate</t>
  </si>
  <si>
    <t>120-55-8</t>
  </si>
  <si>
    <t>4-vinylcyclohexene</t>
  </si>
  <si>
    <t>100-40-3</t>
  </si>
  <si>
    <t>3-ethyl-2-methyl-2-(3-methylbutyl)-1,3-oxazolidine</t>
  </si>
  <si>
    <t>143860-04-2</t>
  </si>
  <si>
    <t>3-ethylidene-1-cyclopentene</t>
  </si>
  <si>
    <t>22704-38-7</t>
  </si>
  <si>
    <t>3-methyl-1,3-oxazolidine</t>
  </si>
  <si>
    <t>27970-32-7</t>
  </si>
  <si>
    <t>4,4-dimethyloxazolidine</t>
  </si>
  <si>
    <t>51200-87-4</t>
  </si>
  <si>
    <t>3-ethyl-2,2-dimethyl-1,3-oxazolidine</t>
  </si>
  <si>
    <t>57817-78-4</t>
  </si>
  <si>
    <t>3,4,4-trimethyloxazolidine</t>
  </si>
  <si>
    <t>75673-43-7</t>
  </si>
  <si>
    <t>(4R)-4-hydroxy-2-hexanone</t>
  </si>
  <si>
    <t>106353-47-3</t>
  </si>
  <si>
    <t>4-hydroxy-4-methyl-2-pentanone</t>
  </si>
  <si>
    <t>123-42-2</t>
  </si>
  <si>
    <t>4-hydroxy-2-heptanone</t>
  </si>
  <si>
    <t>25290-14-6</t>
  </si>
  <si>
    <t>5-methyl-4-hydroxy-2-hexanone</t>
  </si>
  <si>
    <t>38836-21-4</t>
  </si>
  <si>
    <t>4-hydroxy-2-hexanone</t>
  </si>
  <si>
    <t>56072-26-5</t>
  </si>
  <si>
    <t>1,2-dimethyl-cyclohexene</t>
  </si>
  <si>
    <t>1674-10-8</t>
  </si>
  <si>
    <t>1,4-dimethyl-1-cyclohexene</t>
  </si>
  <si>
    <t>70688-47-0</t>
  </si>
  <si>
    <t>4-methoxybenzaldehyde</t>
  </si>
  <si>
    <t>123-11-5</t>
  </si>
  <si>
    <t>sodium formaldehyde bisulfite</t>
  </si>
  <si>
    <t>870-72-4</t>
  </si>
  <si>
    <t>benzyl trimethyl ammonium hydroxide</t>
  </si>
  <si>
    <t>100-85-6</t>
  </si>
  <si>
    <t>ammonium hydroxide</t>
  </si>
  <si>
    <t>1336-21-6</t>
  </si>
  <si>
    <t>tetrabutylammonium hydroxide</t>
  </si>
  <si>
    <t>2052-49-5</t>
  </si>
  <si>
    <t>N,N,N-trimethylmethanaminium hydroxide hydrate (1:1)</t>
  </si>
  <si>
    <t>75-59-2</t>
  </si>
  <si>
    <t>2-hydroxy-N,N,N-trimethyl-1-propanaminium</t>
  </si>
  <si>
    <t>7562-87-0</t>
  </si>
  <si>
    <t>ammonia</t>
  </si>
  <si>
    <t>7664-41-7</t>
  </si>
  <si>
    <t>tetraethylammonium hydroxide</t>
  </si>
  <si>
    <t>77-98-5</t>
  </si>
  <si>
    <t>dimethyldipropylammonium hydroxide</t>
  </si>
  <si>
    <t>836597-65-0</t>
  </si>
  <si>
    <t>butyric acid</t>
  </si>
  <si>
    <t>107-92-6</t>
  </si>
  <si>
    <t>1-nitropropane</t>
  </si>
  <si>
    <t>108-03-2</t>
  </si>
  <si>
    <t>2,3-dihydro-4H-pyran</t>
  </si>
  <si>
    <t>110-87-2</t>
  </si>
  <si>
    <t>2-methylbutyric acid</t>
  </si>
  <si>
    <t>116-53-0</t>
  </si>
  <si>
    <t>2,3-dihydrofuran</t>
  </si>
  <si>
    <t>1191-99-7</t>
  </si>
  <si>
    <t>2,3-dihydro-1,4-dioxine</t>
  </si>
  <si>
    <t>543-75-9</t>
  </si>
  <si>
    <t>benzenesulfonic acid, c10-16-alkyl derivs., compds. with 2-propanamine</t>
  </si>
  <si>
    <t>68584-24-7</t>
  </si>
  <si>
    <t>isobutyric acid</t>
  </si>
  <si>
    <t>79-31-2</t>
  </si>
  <si>
    <t>2-ethoxynaphthalene</t>
  </si>
  <si>
    <t>93-18-5</t>
  </si>
  <si>
    <t>isobutyric acid anhydride</t>
  </si>
  <si>
    <t>97-72-3</t>
  </si>
  <si>
    <t>ethylene glycol monopropyl ether</t>
  </si>
  <si>
    <t>2807-30-9</t>
  </si>
  <si>
    <t>ethylene glycol diacetate</t>
  </si>
  <si>
    <t>111-55-7</t>
  </si>
  <si>
    <t>diethylene glycol monobutyl ether acetate</t>
  </si>
  <si>
    <t>124-17-4</t>
  </si>
  <si>
    <t>Hydrolyzed tetraethyl orthosilicate</t>
  </si>
  <si>
    <t>68412-37-3</t>
  </si>
  <si>
    <t>tetraethyl orthosilicate</t>
  </si>
  <si>
    <t>78-10-4</t>
  </si>
  <si>
    <t>ethyl polysilicate</t>
  </si>
  <si>
    <t>11099-06-2</t>
  </si>
  <si>
    <t>ethyl silicate polymer</t>
  </si>
  <si>
    <t>26352-16-9</t>
  </si>
  <si>
    <t>ethyl isovalerate</t>
  </si>
  <si>
    <t>108-64-5</t>
  </si>
  <si>
    <t>1-butyl isovalerate</t>
  </si>
  <si>
    <t>109-19-3</t>
  </si>
  <si>
    <t>3,3,5-trimethylcyclohexanol</t>
  </si>
  <si>
    <t>116-02-9</t>
  </si>
  <si>
    <t>n-propyl n-valerate</t>
  </si>
  <si>
    <t>141-06-0</t>
  </si>
  <si>
    <t>2,2,4-trimethyl-1,3-pentanediol</t>
  </si>
  <si>
    <t>144-19-4</t>
  </si>
  <si>
    <t>methyl isovalerate</t>
  </si>
  <si>
    <t>556-24-1</t>
  </si>
  <si>
    <t>isobutyl isovalerate</t>
  </si>
  <si>
    <t>589-59-3</t>
  </si>
  <si>
    <t>isopentyl isovalerate</t>
  </si>
  <si>
    <t>659-70-1</t>
  </si>
  <si>
    <t>ethyl isobutyrate</t>
  </si>
  <si>
    <t>97-62-1</t>
  </si>
  <si>
    <t>2,5-hexanedione</t>
  </si>
  <si>
    <t>110-13-4</t>
  </si>
  <si>
    <t>2,4-pentanedione</t>
  </si>
  <si>
    <t>123-54-6</t>
  </si>
  <si>
    <t>2,4-hexanedione</t>
  </si>
  <si>
    <t>3002-24-2</t>
  </si>
  <si>
    <t>1,4-cyclohexanedione</t>
  </si>
  <si>
    <t>637-88-7</t>
  </si>
  <si>
    <t>3-methyl-2,4-pentanedione</t>
  </si>
  <si>
    <t>815-57-6</t>
  </si>
  <si>
    <t>methyl isobutyl ketone</t>
  </si>
  <si>
    <t>108-10-1</t>
  </si>
  <si>
    <t>N-octylbicycloheptenedicarboximide</t>
  </si>
  <si>
    <t>113-48-4</t>
  </si>
  <si>
    <t>cyclohexanone</t>
  </si>
  <si>
    <t>108-94-1</t>
  </si>
  <si>
    <t>2-butylcyclohexanone</t>
  </si>
  <si>
    <t>1126-18-7</t>
  </si>
  <si>
    <t>6-hydroxycaproic acid</t>
  </si>
  <si>
    <t>1191-25-9</t>
  </si>
  <si>
    <t>lauric acid</t>
  </si>
  <si>
    <t>143-07-7</t>
  </si>
  <si>
    <t>2-methyl-3-butenenitrile</t>
  </si>
  <si>
    <t>16529-56-9</t>
  </si>
  <si>
    <t>diisopropyl phosphonate</t>
  </si>
  <si>
    <t>1809-20-7</t>
  </si>
  <si>
    <t>2-amino-4,6-dimethoxypyrimidine</t>
  </si>
  <si>
    <t>36315-01-2</t>
  </si>
  <si>
    <t>hexafluoroisobutylene</t>
  </si>
  <si>
    <t>382-10-5</t>
  </si>
  <si>
    <t>2-methyl-2-butenenitrile</t>
  </si>
  <si>
    <t>4403-61-6</t>
  </si>
  <si>
    <t>3,7-dimethyl-6-octenenitrile</t>
  </si>
  <si>
    <t>51566-62-2</t>
  </si>
  <si>
    <t>oxalyl chloride</t>
  </si>
  <si>
    <t>79-37-8</t>
  </si>
  <si>
    <t>tert-amyl methyl ether</t>
  </si>
  <si>
    <t>994-05-8</t>
  </si>
  <si>
    <t>2-(2H-benzotriazol-2-yl)-4,6-bis(1-methyl-1-phenylethyl)phenol</t>
  </si>
  <si>
    <t>70321-86-7</t>
  </si>
  <si>
    <t>bisphenol A</t>
  </si>
  <si>
    <t>80-05-7</t>
  </si>
  <si>
    <t>2-(2-hydroxyphenyl)-2-(4-hydroxyphenyl)propane</t>
  </si>
  <si>
    <t>837-08-1</t>
  </si>
  <si>
    <t>ethylene glycol bis(2-aminoethyl) ether</t>
  </si>
  <si>
    <t>929-59-9</t>
  </si>
  <si>
    <t>1-(dimethylamino)-2-propanol</t>
  </si>
  <si>
    <t>108-16-7</t>
  </si>
  <si>
    <t>undecanoic acid</t>
  </si>
  <si>
    <t>112-37-8</t>
  </si>
  <si>
    <t>dimethyl propanolamine</t>
  </si>
  <si>
    <t>3179-63-3</t>
  </si>
  <si>
    <t>methyl carbamate</t>
  </si>
  <si>
    <t>598-55-0</t>
  </si>
  <si>
    <t>hexamethylene glycol</t>
  </si>
  <si>
    <t>629-11-8</t>
  </si>
  <si>
    <t>acetaldehyde oxime</t>
  </si>
  <si>
    <t>107-29-9</t>
  </si>
  <si>
    <t>butyraldehyde oxime</t>
  </si>
  <si>
    <t>110-69-0</t>
  </si>
  <si>
    <t>propylene glycol mono-n-butyl ether</t>
  </si>
  <si>
    <t>10215-33-5</t>
  </si>
  <si>
    <t>isoamyl alcohol</t>
  </si>
  <si>
    <t>123-51-3</t>
  </si>
  <si>
    <t>pentanol, mixture of isomers</t>
  </si>
  <si>
    <t>30899-19-5</t>
  </si>
  <si>
    <t>2-propanol-1-butoxy</t>
  </si>
  <si>
    <t>5131-66-8</t>
  </si>
  <si>
    <t>tripropylene glycol n-butyl ether</t>
  </si>
  <si>
    <t>55934-93-5</t>
  </si>
  <si>
    <t>propylene glycol mono-t-butyl ether</t>
  </si>
  <si>
    <t>57018-52-7</t>
  </si>
  <si>
    <t>sec-pentanol</t>
  </si>
  <si>
    <t>6032-29-7</t>
  </si>
  <si>
    <t>1-pentanol</t>
  </si>
  <si>
    <t>71-41-0</t>
  </si>
  <si>
    <t>diethylene glycol ethyl vinyl ether</t>
  </si>
  <si>
    <t>10143-53-0</t>
  </si>
  <si>
    <t>gamma-octalactone</t>
  </si>
  <si>
    <t>104-50-7</t>
  </si>
  <si>
    <t>dihydro-5-pentyl-2(3H)-furanone</t>
  </si>
  <si>
    <t>104-61-0</t>
  </si>
  <si>
    <t>gamma-heptalactone</t>
  </si>
  <si>
    <t>105-21-5</t>
  </si>
  <si>
    <t>gamma-valerolactone</t>
  </si>
  <si>
    <t>108-29-2</t>
  </si>
  <si>
    <t>1,4-dioxane</t>
  </si>
  <si>
    <t>123-91-1</t>
  </si>
  <si>
    <t>3,3,6,6-tetramethyl-1,2-dioxane</t>
  </si>
  <si>
    <t>22431-89-6</t>
  </si>
  <si>
    <t>gamma-dodecalactone</t>
  </si>
  <si>
    <t>2305-05-7</t>
  </si>
  <si>
    <t>5-propyldihydro-2-furanone</t>
  </si>
  <si>
    <t>26524-73-2</t>
  </si>
  <si>
    <t>1-ethoxy-2-heptanone</t>
  </si>
  <si>
    <t>51149-70-3</t>
  </si>
  <si>
    <t>dihydro-3,5-dimethyl-2(3H)-furanone</t>
  </si>
  <si>
    <t>5145-01-7</t>
  </si>
  <si>
    <t>2-acetylbutyrolactone</t>
  </si>
  <si>
    <t>517-23-7</t>
  </si>
  <si>
    <t>3,5-dimethylfuran-2,4(3H,5H)-dione</t>
  </si>
  <si>
    <t>5460-81-1</t>
  </si>
  <si>
    <t>1-methoxy-2-propanone</t>
  </si>
  <si>
    <t>5878-19-3</t>
  </si>
  <si>
    <t>beta,beta,5,5-tetramethyl-1,3-dioxane-2-ethanol</t>
  </si>
  <si>
    <t>7299-86-7</t>
  </si>
  <si>
    <t>2-isopropyl-5,5-dimethyl-1,3-dioxane</t>
  </si>
  <si>
    <t>7651-50-5</t>
  </si>
  <si>
    <t>2-pentenenitrile</t>
  </si>
  <si>
    <t>13284-42-9</t>
  </si>
  <si>
    <t>2,6-diisopropylphenol</t>
  </si>
  <si>
    <t>2078-54-8</t>
  </si>
  <si>
    <t>di-tert-amyl phenol</t>
  </si>
  <si>
    <t>25231-47-4</t>
  </si>
  <si>
    <t>dinonylnaphthylsulfonic acid</t>
  </si>
  <si>
    <t>25322-17-2</t>
  </si>
  <si>
    <t>cis-2-pentenenitrile</t>
  </si>
  <si>
    <t>25899-50-7</t>
  </si>
  <si>
    <t>methylbis (phenylmethyl) benzene</t>
  </si>
  <si>
    <t>26898-17-9</t>
  </si>
  <si>
    <t>4-pentenenitrile</t>
  </si>
  <si>
    <t>592-51-8</t>
  </si>
  <si>
    <t>1,2,3,4-tetrahydro-5(1-phenyl)naphthalene</t>
  </si>
  <si>
    <t>60466-61-7</t>
  </si>
  <si>
    <t>1,2,3,4-tetrahydro-6(1-phenyl)naphthalene</t>
  </si>
  <si>
    <t>6196-98-1</t>
  </si>
  <si>
    <t>1,2,3,4-tetrahydro(1-phenylethyl)naphthalene</t>
  </si>
  <si>
    <t>63674-30-6</t>
  </si>
  <si>
    <t>diisopropylnaphthalenesulphonic acid, compound with cyclohexylamine (1:1)</t>
  </si>
  <si>
    <t>68425-61-6</t>
  </si>
  <si>
    <t>bromodichloromethane</t>
  </si>
  <si>
    <t>75-27-4</t>
  </si>
  <si>
    <t>hexafluoroisopropanol</t>
  </si>
  <si>
    <t>920-66-1</t>
  </si>
  <si>
    <t>ethylene dimethacrylate</t>
  </si>
  <si>
    <t>97-90-5</t>
  </si>
  <si>
    <t>1,3,5-trioxane</t>
  </si>
  <si>
    <t>110-88-3</t>
  </si>
  <si>
    <t>1-(2-((2-((2-((2-aminoethyl)amino)ethyl)amino)ethyl)amino)ethyl)-2,5-pyrrolidinedione, monopolyisobutenyl derivs.</t>
  </si>
  <si>
    <t>67762-72-5</t>
  </si>
  <si>
    <t>p-tert-amyl phenol</t>
  </si>
  <si>
    <t>80-46-6</t>
  </si>
  <si>
    <t>polyethylenepolyamines, reaction products with succinic anhydride polyisobutenyl derivs.</t>
  </si>
  <si>
    <t>84605-20-9</t>
  </si>
  <si>
    <t>cyclohexene oxide</t>
  </si>
  <si>
    <t>286-20-4</t>
  </si>
  <si>
    <t>diethylene glycol monobutyl ether</t>
  </si>
  <si>
    <t>112-34-5</t>
  </si>
  <si>
    <t>2-methyl-2-pentenal</t>
  </si>
  <si>
    <t>623-36-9</t>
  </si>
  <si>
    <t>benzyl salicylate</t>
  </si>
  <si>
    <t>118-58-1</t>
  </si>
  <si>
    <t>2-ethyl-2-butenal</t>
  </si>
  <si>
    <t>19780-25-7</t>
  </si>
  <si>
    <t>4-heptanol</t>
  </si>
  <si>
    <t>589-55-9</t>
  </si>
  <si>
    <t>3-heptanol</t>
  </si>
  <si>
    <t>589-82-2</t>
  </si>
  <si>
    <t>2-methyl-1-hexanol</t>
  </si>
  <si>
    <t>61949-26-6</t>
  </si>
  <si>
    <t>solvent refined residuum</t>
  </si>
  <si>
    <t>64742-01-4</t>
  </si>
  <si>
    <t>N,N,N',N'-tetrakis(2-hydroxypropyl)ethylenediamine</t>
  </si>
  <si>
    <t>102-60-3</t>
  </si>
  <si>
    <t>aminoethylethanolamine</t>
  </si>
  <si>
    <t>111-41-1</t>
  </si>
  <si>
    <t>nonanoic acid</t>
  </si>
  <si>
    <t>112-05-0</t>
  </si>
  <si>
    <t>isononanoic acid</t>
  </si>
  <si>
    <t>3302-10-1</t>
  </si>
  <si>
    <t>Buprofezin insecticide</t>
  </si>
  <si>
    <t>69327-76-0</t>
  </si>
  <si>
    <t>pentaethylenehexamine</t>
  </si>
  <si>
    <t>4067-16-7</t>
  </si>
  <si>
    <t>N,N-diallyl-2,2-dichloroacetamide</t>
  </si>
  <si>
    <t>37764-25-3</t>
  </si>
  <si>
    <t>tert-butyl alcohol</t>
  </si>
  <si>
    <t>75-65-0</t>
  </si>
  <si>
    <t>2-hydroxyethyl piperazine</t>
  </si>
  <si>
    <t>103-76-4</t>
  </si>
  <si>
    <t>1,4-dimethylpiperazine</t>
  </si>
  <si>
    <t>106-58-1</t>
  </si>
  <si>
    <t>benzyl benzoate</t>
  </si>
  <si>
    <t>120-51-4</t>
  </si>
  <si>
    <t>benzyl acetate</t>
  </si>
  <si>
    <t>140-11-4</t>
  </si>
  <si>
    <t>N-aminoethylpiperazine</t>
  </si>
  <si>
    <t>140-31-8</t>
  </si>
  <si>
    <t>dimethylpiperazine</t>
  </si>
  <si>
    <t>25155-35-5</t>
  </si>
  <si>
    <t>N-(2-aminoethyl)-N'-(2-(1-piperazinyl)ethyl)ethylenediamine</t>
  </si>
  <si>
    <t>31295-49-5</t>
  </si>
  <si>
    <t>1,1'-sulfonylbis(2,4-dimethylbenzene)</t>
  </si>
  <si>
    <t>5184-75-8</t>
  </si>
  <si>
    <t>1,3-dioxolane</t>
  </si>
  <si>
    <t>646-06-0</t>
  </si>
  <si>
    <t>1,4-piperazinediethanamine</t>
  </si>
  <si>
    <t>6531-38-0</t>
  </si>
  <si>
    <t>moclobemide</t>
  </si>
  <si>
    <t>71320-77-9</t>
  </si>
  <si>
    <t>1-butanol</t>
  </si>
  <si>
    <t>71-36-3</t>
  </si>
  <si>
    <t>1,4-bis(3-aminopropyl)piperazine</t>
  </si>
  <si>
    <t>7209-38-3</t>
  </si>
  <si>
    <t>methyl benzoate</t>
  </si>
  <si>
    <t>93-58-3</t>
  </si>
  <si>
    <t>diphenylcarboxylate</t>
  </si>
  <si>
    <t>93-99-2</t>
  </si>
  <si>
    <t>1,1,1,3-tetrachloropropane</t>
  </si>
  <si>
    <t>1070-78-6</t>
  </si>
  <si>
    <t>2-hydroxyethanesulphonic acid</t>
  </si>
  <si>
    <t>107-36-8</t>
  </si>
  <si>
    <t>alcohols, C12-15-branched and linear, ethoxylated propoxylated</t>
  </si>
  <si>
    <t>120313-48-6</t>
  </si>
  <si>
    <t>alcohols, C12-14, secondary</t>
  </si>
  <si>
    <t>126950-60-5</t>
  </si>
  <si>
    <t>undecyl alcohol ethoxylates</t>
  </si>
  <si>
    <t>127036-24-2</t>
  </si>
  <si>
    <t>hydroxy-1-dodecanesulfonic acid sodium salt</t>
  </si>
  <si>
    <t>128824-30-6</t>
  </si>
  <si>
    <t>tris(1-chloro-2-propyl)phosphate</t>
  </si>
  <si>
    <t>13674-84-5</t>
  </si>
  <si>
    <t>1,3-dichloro-2-propanol phosphate</t>
  </si>
  <si>
    <t>13674-87-8</t>
  </si>
  <si>
    <t>butyl carbitol formal</t>
  </si>
  <si>
    <t>143-29-3</t>
  </si>
  <si>
    <t>phosphated alkyl ethoxylate, potassium salt</t>
  </si>
  <si>
    <t>154518-40-8</t>
  </si>
  <si>
    <t>dichloro (chloromethyl) methylsilane</t>
  </si>
  <si>
    <t>1558-33-4</t>
  </si>
  <si>
    <t>1,4-butanediol vinyl ether</t>
  </si>
  <si>
    <t>17832-28-9</t>
  </si>
  <si>
    <t>2-(2-butoxyethoxy)ethanol</t>
  </si>
  <si>
    <t>210818-08-9</t>
  </si>
  <si>
    <t>ethoxylated tridecyl alcohol</t>
  </si>
  <si>
    <t>24938-91-8</t>
  </si>
  <si>
    <t>alcohols, C&gt;14, ethoxylated</t>
  </si>
  <si>
    <t>251553-55-6</t>
  </si>
  <si>
    <t>trichloropropane</t>
  </si>
  <si>
    <t>25735-29-9</t>
  </si>
  <si>
    <t>2-(heptadecenyl)-2-oxazoline-4,4-dimethanol</t>
  </si>
  <si>
    <t>28984-69-2</t>
  </si>
  <si>
    <t>dodecene-1-sulfonic acid, sodium salt</t>
  </si>
  <si>
    <t>30965-85-6</t>
  </si>
  <si>
    <t>1-(2-aminoethyl)-2-(8-heptadecenyl)-2-imidazoline</t>
  </si>
  <si>
    <t>3528-63-0</t>
  </si>
  <si>
    <t>dimethylolpropionic acid</t>
  </si>
  <si>
    <t>4767-03-7</t>
  </si>
  <si>
    <t>2(5H)-furanone</t>
  </si>
  <si>
    <t>497-23-4</t>
  </si>
  <si>
    <t>trimethylolpropane (15) ethoxylate</t>
  </si>
  <si>
    <t>50586-59-9</t>
  </si>
  <si>
    <t>2-(2-nonylphenoxy)ethanol phosphoric acid</t>
  </si>
  <si>
    <t>51811-79-1</t>
  </si>
  <si>
    <t>benzyl ethyl ether</t>
  </si>
  <si>
    <t>539-30-0</t>
  </si>
  <si>
    <t>p-methylbenzyl alcohol</t>
  </si>
  <si>
    <t>589-18-4</t>
  </si>
  <si>
    <t>ethoxylated tallow alcohols</t>
  </si>
  <si>
    <t>61791-28-4</t>
  </si>
  <si>
    <t>1-hydroxyethyl-2-cocoimidazoline</t>
  </si>
  <si>
    <t>61791-38-6</t>
  </si>
  <si>
    <t>alcohols, C12-13, ethoxylated</t>
  </si>
  <si>
    <t>66455-14-9</t>
  </si>
  <si>
    <t>alcohols, C10-14, ethoxylated</t>
  </si>
  <si>
    <t>66455-15-0</t>
  </si>
  <si>
    <t>alcohols, C16-C18, ethoxylated, propoxylated</t>
  </si>
  <si>
    <t>68002-96-0</t>
  </si>
  <si>
    <t>alcohols, C10-16, ethoxylated</t>
  </si>
  <si>
    <t>68002-97-1</t>
  </si>
  <si>
    <t>2-(2,3,4,5-tetramethylnonoxy)ethanol</t>
  </si>
  <si>
    <t>68015-67-8</t>
  </si>
  <si>
    <t>alcohols, C12-15, ethoxylated</t>
  </si>
  <si>
    <t>68131-39-5</t>
  </si>
  <si>
    <t>4-ethyl-2-(8-heptadecenyl)-2-oxazoline-4-methanol</t>
  </si>
  <si>
    <t>68140-98-7</t>
  </si>
  <si>
    <t>alcohols, C10-C12, ethoxylated, propoxylated</t>
  </si>
  <si>
    <t>68154-97-2</t>
  </si>
  <si>
    <t>alcohols, C14-18, ethoxylated, propoxylated</t>
  </si>
  <si>
    <t>68154-98-3</t>
  </si>
  <si>
    <t>alcohols, C12-18, ethoxylated</t>
  </si>
  <si>
    <t>68213-23-0</t>
  </si>
  <si>
    <t>alcohols, C6-12, ethoxylated</t>
  </si>
  <si>
    <t>68439-45-2</t>
  </si>
  <si>
    <t>alcohols, C9-C11, ethoxylated</t>
  </si>
  <si>
    <t>68439-46-3</t>
  </si>
  <si>
    <t>alcohols, C16-18 ethoxylated</t>
  </si>
  <si>
    <t>68439-49-6</t>
  </si>
  <si>
    <t>alcohols, C12-14, ethoxylated</t>
  </si>
  <si>
    <t>68439-50-9</t>
  </si>
  <si>
    <t>alcohols, C12-14, ethoxylated, propoxylated</t>
  </si>
  <si>
    <t>68439-51-0</t>
  </si>
  <si>
    <t>alcohols, C12-16, ethoxylated</t>
  </si>
  <si>
    <t>68551-12-2</t>
  </si>
  <si>
    <t>dinonyl phenol branched, ethoxylate</t>
  </si>
  <si>
    <t>68891-21-4</t>
  </si>
  <si>
    <t>propoxylated C9-11 alcohols</t>
  </si>
  <si>
    <t>68920-69-4</t>
  </si>
  <si>
    <t>alcohols, C6-12, ethoxylated propoxylated</t>
  </si>
  <si>
    <t>68937-66-6</t>
  </si>
  <si>
    <t>dodecylbenzenesulfonic acid, compds. with ammonia-ethylene glycol reaction product morpholine derivs. residues</t>
  </si>
  <si>
    <t>68955-71-5</t>
  </si>
  <si>
    <t>ethoxylated propoxylated C6-10 alcohols</t>
  </si>
  <si>
    <t>68987-81-5</t>
  </si>
  <si>
    <t>alcohols, C8-18, ethoxylated</t>
  </si>
  <si>
    <t>69013-18-9</t>
  </si>
  <si>
    <t>alkyl alcohol (C8-22) ethoxylates</t>
  </si>
  <si>
    <t>69013-19-0</t>
  </si>
  <si>
    <t>alcohols, C12-18 (ethoxylated propoxylated)</t>
  </si>
  <si>
    <t>69227-21-0</t>
  </si>
  <si>
    <t>alcohols, C10-16, ethoxylated propoxylated</t>
  </si>
  <si>
    <t>69227-22-1</t>
  </si>
  <si>
    <t>alcohols, C6-10, ethoxylated</t>
  </si>
  <si>
    <t>70879-83-3</t>
  </si>
  <si>
    <t>alkyl alcohol (C8-10) ethoxylates</t>
  </si>
  <si>
    <t>71060-57-6</t>
  </si>
  <si>
    <t>alkyl alcohol ethoxylate</t>
  </si>
  <si>
    <t>74432-13-6</t>
  </si>
  <si>
    <t>alcohols, C7-9-iso, C8 rich, ethoxylated</t>
  </si>
  <si>
    <t>78330-19-5</t>
  </si>
  <si>
    <t>alkyl alcohol ethoxylates, C9-C11, branched</t>
  </si>
  <si>
    <t>78330-20-8</t>
  </si>
  <si>
    <t>alcohols, C11-14-isoalcs., C13-rich, ethoxylated</t>
  </si>
  <si>
    <t>78330-21-9</t>
  </si>
  <si>
    <t>alpha-hydro-omega-hydroxy-poly(oxy-1,2-ethanediyl), mono-C11-14-isoalkyl ethers, C13-rich, phosphates, ethoxylated</t>
  </si>
  <si>
    <t>78330-22-0</t>
  </si>
  <si>
    <t>alcohols, C11-14-iso-, C13-rich, ethoxylated propoxylated</t>
  </si>
  <si>
    <t>78330-23-1</t>
  </si>
  <si>
    <t>secondary alcohol (C12-14) ethoxylates</t>
  </si>
  <si>
    <t>84133-50-6</t>
  </si>
  <si>
    <t>polybutoxyethanol</t>
  </si>
  <si>
    <t>9004-77-7</t>
  </si>
  <si>
    <t>stearyl alcohol ethoxylates (C18)</t>
  </si>
  <si>
    <t>9005-00-9</t>
  </si>
  <si>
    <t>polyethylene glycol alkylphenyl ether</t>
  </si>
  <si>
    <t>9041-29-6</t>
  </si>
  <si>
    <t>cetyl alcohol, ethoxylated, propoxylated</t>
  </si>
  <si>
    <t>9087-53-0</t>
  </si>
  <si>
    <t>sulfonic acids, C14-16-1-alkene, sodium salts</t>
  </si>
  <si>
    <t>95371-16-7</t>
  </si>
  <si>
    <t>1,2,3-trichloropropane</t>
  </si>
  <si>
    <t>96-18-4</t>
  </si>
  <si>
    <t>2,6,8-trimethylnonyl vinyl ether</t>
  </si>
  <si>
    <t>10141-19-2</t>
  </si>
  <si>
    <t>polyethylene glycol mono(distyrylphenyl)ether</t>
  </si>
  <si>
    <t>104376-75-2</t>
  </si>
  <si>
    <t>Dispergon LFH</t>
  </si>
  <si>
    <t>114535-82-9</t>
  </si>
  <si>
    <t>1,1'-oxybisbenzene, tetrapropylene derivs, sulfonated, sodium salts</t>
  </si>
  <si>
    <t>119345-04-9</t>
  </si>
  <si>
    <t>alpha-C12-15-alkyl-omega-sulfo-poly(oxy-1,2-ethanediyl), sodium salt</t>
  </si>
  <si>
    <t>121546-77-8</t>
  </si>
  <si>
    <t>alpha-(4-Nonylphenyl)-omega-hydroxy-poly(oxy-1,2-ethanediyl) branched</t>
  </si>
  <si>
    <t>127087-87-0</t>
  </si>
  <si>
    <t>Empigen BS</t>
  </si>
  <si>
    <t>128770-26-3</t>
  </si>
  <si>
    <t>lauryl hydroxysultaine</t>
  </si>
  <si>
    <t>13197-79-1</t>
  </si>
  <si>
    <t>dodecylbenzene sulfonic acid, ammonium salt</t>
  </si>
  <si>
    <t>1331-61-9</t>
  </si>
  <si>
    <t>2,4-didodecylbenzene sulfonic acid compd with cyclohexylamine (1:1)</t>
  </si>
  <si>
    <t>14356-38-8</t>
  </si>
  <si>
    <t>sodium 3-[(2-carboxyethyl)(dodecyl)amino]propanoate</t>
  </si>
  <si>
    <t>14960-06-6</t>
  </si>
  <si>
    <t>2,2'-[(E)-1,2-ethenediyl]bis[5-[[4-(4-morpholinyl)-6-(phenylamino)-1,3,5-triazin-2-yl]amino]-benzenesulfonic acid, sodium salt (1:2)</t>
  </si>
  <si>
    <t>16090-02-1</t>
  </si>
  <si>
    <t>n-dodecylbenzene sulfonic acid</t>
  </si>
  <si>
    <t>1886-81-3</t>
  </si>
  <si>
    <t>ammonium lauryl sulfate</t>
  </si>
  <si>
    <t>2235-54-3</t>
  </si>
  <si>
    <t>ammonium cocoyl isethionate</t>
  </si>
  <si>
    <t>223705-57-5</t>
  </si>
  <si>
    <t>oxybis[dodecylbenzenesulfonic acid], disodium salt</t>
  </si>
  <si>
    <t>25167-32-2</t>
  </si>
  <si>
    <t>polyethylene glycol mono-4-nonylphenyl ether</t>
  </si>
  <si>
    <t>26027-38-3</t>
  </si>
  <si>
    <t>dodecylbenzenesulfonic acid, compound with 2-propanamine (1:1)</t>
  </si>
  <si>
    <t>26264-05-1</t>
  </si>
  <si>
    <t>dodecylbenzenesulfonic acid, calcium salt</t>
  </si>
  <si>
    <t>26264-06-2</t>
  </si>
  <si>
    <t>dodecylbenzenesulfonic acid, compound with 2,2'-iminobis[ethanol]</t>
  </si>
  <si>
    <t>26545-53-9</t>
  </si>
  <si>
    <t>dodecylbenzene sulfonic acid, compound with 2-aminoethanol (1:1)</t>
  </si>
  <si>
    <t>26836-07-7</t>
  </si>
  <si>
    <t>dodecylbenzenesulfonic acid</t>
  </si>
  <si>
    <t>27176-87-0</t>
  </si>
  <si>
    <t>allyloxypolyethylene glycol</t>
  </si>
  <si>
    <t>27274-31-3</t>
  </si>
  <si>
    <t>3-dodecylbenzenesulfonic acid, compound with 2,2',2"-nitrilotris(ethanol)</t>
  </si>
  <si>
    <t>27323-41-7</t>
  </si>
  <si>
    <t>dodecyl(sulfophenoxy)benzenesulfonic acid, sodium salt</t>
  </si>
  <si>
    <t>28519-02-0</t>
  </si>
  <si>
    <t>dodecylbenzene sulfonic acid, amine salt</t>
  </si>
  <si>
    <t>29061-63-0</t>
  </si>
  <si>
    <t>propane-1,2-diol, propoxylated</t>
  </si>
  <si>
    <t>29434-03-5</t>
  </si>
  <si>
    <t>3-((6-deoxy-alpha-L-mannopyranosyl)oxy)-decanoic acid, 1-(carboxymethyl)octyl ester</t>
  </si>
  <si>
    <t>37134-61-5</t>
  </si>
  <si>
    <t>dimethylbenzene sulfonic acid, sodium salt</t>
  </si>
  <si>
    <t>39340-93-7</t>
  </si>
  <si>
    <t>polyethlene glycol phenyl ether phosphate</t>
  </si>
  <si>
    <t>39464-70-5</t>
  </si>
  <si>
    <t>linear alkyl benzenesulphonate</t>
  </si>
  <si>
    <t>42615-29-2</t>
  </si>
  <si>
    <t>3-((6-deoxy-2-O-(6-deoxy-alpha-L-mannopyranosyl)-alpha-L-mannopyranosyl)oxy)-decanoic acid, 1-(carboxymethyl)octyl ester</t>
  </si>
  <si>
    <t>4348-76-9</t>
  </si>
  <si>
    <t>anionic surfactant (nonylphenol ethoxylated and phosphated, potassium salt)</t>
  </si>
  <si>
    <t>52503-15-8</t>
  </si>
  <si>
    <t>columbianetin glucopyranoside</t>
  </si>
  <si>
    <t>55836-35-6</t>
  </si>
  <si>
    <t>columbianetin-beta-D-glucopyranoside</t>
  </si>
  <si>
    <t>55838-67-0</t>
  </si>
  <si>
    <t>alpha-(3,5-dimethyl-1-(2-methylpropyl)hexyl)-omega-hydroxy-poly(oxy-1,2-ethanediyl)</t>
  </si>
  <si>
    <t>60828-78-6</t>
  </si>
  <si>
    <t>sodium cocoyl isethionate</t>
  </si>
  <si>
    <t>61789-32-0</t>
  </si>
  <si>
    <t>lauroamide propyl betaine</t>
  </si>
  <si>
    <t>61789-40-0</t>
  </si>
  <si>
    <t>quaternary ammonium compounds, benzylcoco alkylbis(hydroxyethyl), chlorides</t>
  </si>
  <si>
    <t>61789-68-2</t>
  </si>
  <si>
    <t>sodium cocoyl sarcosinate</t>
  </si>
  <si>
    <t>61791-59-1</t>
  </si>
  <si>
    <t>sulfonic acids, C10-18-alkane, sodium salts</t>
  </si>
  <si>
    <t>68037-49-0</t>
  </si>
  <si>
    <t>benzenesulfonic acid, mono-C10-16-alkyl derivs, sodium salts</t>
  </si>
  <si>
    <t>68081-81-2</t>
  </si>
  <si>
    <t>alkyloxypolyethyleneoxyethanol</t>
  </si>
  <si>
    <t>68131-40-8</t>
  </si>
  <si>
    <t>polyphosphoric acids, compds with ethoxylated coco alkylamines</t>
  </si>
  <si>
    <t>68132-19-4</t>
  </si>
  <si>
    <t>cocamidopropyl hydroxysultaine</t>
  </si>
  <si>
    <t>68139-30-0</t>
  </si>
  <si>
    <t>dodecylbenzene sulfonic acid, branched</t>
  </si>
  <si>
    <t>68411-32-5</t>
  </si>
  <si>
    <t>C16-C18 and C18 unsaturated alkyl and dialkyl glycerides</t>
  </si>
  <si>
    <t>68424-61-3</t>
  </si>
  <si>
    <t>coco alkyldimethyl betaines</t>
  </si>
  <si>
    <t>68424-94-2</t>
  </si>
  <si>
    <t>sodium C14-16 olefin sulfonate</t>
  </si>
  <si>
    <t>68439-57-6</t>
  </si>
  <si>
    <t>a,a'-[[[3-(decyloxy)propyl]methyliminio]di-2,1-ethanediyl]bis[w-hydroxy-poly(oxy-1,2-ethanediyl), branched, chlorides</t>
  </si>
  <si>
    <t>68478-94-4</t>
  </si>
  <si>
    <t>caprylic, capric acid, triethylene glycol diester</t>
  </si>
  <si>
    <t>68583-52-8</t>
  </si>
  <si>
    <t>benzenesulfonic acid, C10-16 alkyl derivs</t>
  </si>
  <si>
    <t>68584-22-5</t>
  </si>
  <si>
    <t>benzenesulfonic acid, C10-16 alkyl derivs compds with triethanolamine</t>
  </si>
  <si>
    <t>68584-25-8</t>
  </si>
  <si>
    <t>sulfuric acid, mono-C10-16-alkyl esters, sodium salts</t>
  </si>
  <si>
    <t>68585-47-7</t>
  </si>
  <si>
    <t>beta-alanine, N-coco alkyl derivs., sodium salts</t>
  </si>
  <si>
    <t>68608-68-4</t>
  </si>
  <si>
    <t>C11-13 branched alkylbenzenesulfonic acid</t>
  </si>
  <si>
    <t>68608-88-8</t>
  </si>
  <si>
    <t>benzenesulfonic acid, mono-C11-13-branched alkyl derivs, sodium salts</t>
  </si>
  <si>
    <t>68608-89-9</t>
  </si>
  <si>
    <t>benzenesulfonic acid, mono-C9-17-branched alkyl derivs., compds. with 2-propanamine</t>
  </si>
  <si>
    <t>68649-00-3</t>
  </si>
  <si>
    <t>alcohols, C8-10, ethoxylated, sulfates, ammonium salts</t>
  </si>
  <si>
    <t>68891-29-2</t>
  </si>
  <si>
    <t>benzenesulfonic acid, mono-C10-16-alkyl derivs, ammonium salts</t>
  </si>
  <si>
    <t>68910-31-6</t>
  </si>
  <si>
    <t>C11-C13 branched alkylbenzenesulfonic acid, calcium salt</t>
  </si>
  <si>
    <t>68953-96-8</t>
  </si>
  <si>
    <t>benzenesulfonic acid, mono-C16-24 alkyl derivs., calcium salts</t>
  </si>
  <si>
    <t>70024-69-0</t>
  </si>
  <si>
    <t>amides, coco, N-[3-(dimethylamino)propyl], alkylation products with chloroacetic acid, sodium salts</t>
  </si>
  <si>
    <t>70851-07-9</t>
  </si>
  <si>
    <t>amines, C12-14-tert-alkyl, ethoxylated, sulfates, sodium salts</t>
  </si>
  <si>
    <t>72379-24-9</t>
  </si>
  <si>
    <t>C10-16-alkyl(2-hydroxy-3-sulfopropyl)dimethyl betaines</t>
  </si>
  <si>
    <t>72869-77-3</t>
  </si>
  <si>
    <t>decylamidopropyl betaine</t>
  </si>
  <si>
    <t>73772-45-9</t>
  </si>
  <si>
    <t>octylamidopropyl betaine</t>
  </si>
  <si>
    <t>73772-46-0</t>
  </si>
  <si>
    <t>benzenesulfonic acid, mono- and di-C15-30-alkyl derivs, sodium salts</t>
  </si>
  <si>
    <t>78330-12-8</t>
  </si>
  <si>
    <t>p,p'-oxybis[benzenesulfonylhydrazide]</t>
  </si>
  <si>
    <t>80-51-3</t>
  </si>
  <si>
    <t>2,4-didodecylbenzene sulfonic acid ammonium salt</t>
  </si>
  <si>
    <t>81611-36-1</t>
  </si>
  <si>
    <t>methyl-oxirane, polymer with oxirane, mono[2-(2-butoxyethoxy)ethyl]ether</t>
  </si>
  <si>
    <t>85637-75-8</t>
  </si>
  <si>
    <t>t-octylphenoxypolyethoxyethanol</t>
  </si>
  <si>
    <t>9002-93-1</t>
  </si>
  <si>
    <t>poly(ethylene glycol) monolaurate</t>
  </si>
  <si>
    <t>9004-81-3</t>
  </si>
  <si>
    <t>polyoxyethylene sorbitan monolaurate</t>
  </si>
  <si>
    <t>9005-64-5</t>
  </si>
  <si>
    <t>nonylphenoxypoly(ethyleneoxy)ethanol</t>
  </si>
  <si>
    <t>9016-45-9</t>
  </si>
  <si>
    <t>benzenesulfonic acid, C10-13-alkyl derivs, calcium salt</t>
  </si>
  <si>
    <t>90194-36-8</t>
  </si>
  <si>
    <t>dodecylbenzenesulfonic acid, branched, compd. with 2-propanamine</t>
  </si>
  <si>
    <t>90218-35-2</t>
  </si>
  <si>
    <t>mono-(1,1,3,3-tetramethylbutylphenyl) ether polyethylene glycols</t>
  </si>
  <si>
    <t>9036-19-5</t>
  </si>
  <si>
    <t>octanoic acid</t>
  </si>
  <si>
    <t>124-07-2</t>
  </si>
  <si>
    <t>2-methyl octanoic acid</t>
  </si>
  <si>
    <t>3004-93-1</t>
  </si>
  <si>
    <t>methyl decanoate</t>
  </si>
  <si>
    <t>110-42-9</t>
  </si>
  <si>
    <t>lauric nitrile</t>
  </si>
  <si>
    <t>2437-25-4</t>
  </si>
  <si>
    <t>Isooctadecanoic acid</t>
  </si>
  <si>
    <t>2724-58-5</t>
  </si>
  <si>
    <t>Isostearic acid</t>
  </si>
  <si>
    <t>30399-84-9</t>
  </si>
  <si>
    <t>coco nitriles</t>
  </si>
  <si>
    <t>61789-53-5</t>
  </si>
  <si>
    <t>dihydro-2,5-furandione, mono-C15-20-alkenyl derivs.</t>
  </si>
  <si>
    <t>68784-12-3</t>
  </si>
  <si>
    <t>thiophene</t>
  </si>
  <si>
    <t>110-02-1</t>
  </si>
  <si>
    <t>2-methylthiophene</t>
  </si>
  <si>
    <t>554-14-3</t>
  </si>
  <si>
    <t>3-methylthiophene</t>
  </si>
  <si>
    <t>616-44-4</t>
  </si>
  <si>
    <t>2-ethylthiophene</t>
  </si>
  <si>
    <t>872-55-9</t>
  </si>
  <si>
    <t>eugenol</t>
  </si>
  <si>
    <t>97-53-0</t>
  </si>
  <si>
    <t>N-isopropylhydroxylamine</t>
  </si>
  <si>
    <t>5080-22-8</t>
  </si>
  <si>
    <t>4-bromoanisole</t>
  </si>
  <si>
    <t>104-92-7</t>
  </si>
  <si>
    <t>isobutyl acrylate</t>
  </si>
  <si>
    <t>106-63-8</t>
  </si>
  <si>
    <t>isodecyl acrylate</t>
  </si>
  <si>
    <t>1330-61-6</t>
  </si>
  <si>
    <t>hydroxybenzenesulfonic acid</t>
  </si>
  <si>
    <t>1333-39-7</t>
  </si>
  <si>
    <t>diethyl naphthalene</t>
  </si>
  <si>
    <t>31831-35-3</t>
  </si>
  <si>
    <t>diethylene glycol divinyl ether</t>
  </si>
  <si>
    <t>764-99-8</t>
  </si>
  <si>
    <t>1,1,2-trichloroethane</t>
  </si>
  <si>
    <t>79-00-5</t>
  </si>
  <si>
    <t>4-hydroxybenzenesulfonic acid</t>
  </si>
  <si>
    <t>98-67-9</t>
  </si>
  <si>
    <t>2-ethylhexyl alcohol</t>
  </si>
  <si>
    <t>104-76-7</t>
  </si>
  <si>
    <t>1,3,5-trimethylbenzene</t>
  </si>
  <si>
    <t>108-67-8</t>
  </si>
  <si>
    <t>1-bromo-3-chloropropane</t>
  </si>
  <si>
    <t>109-70-6</t>
  </si>
  <si>
    <t>trimethylbenzene</t>
  </si>
  <si>
    <t>25551-13-7</t>
  </si>
  <si>
    <t>1-bromo-2-chloropropane</t>
  </si>
  <si>
    <t>3017-96-7</t>
  </si>
  <si>
    <t>1,2,3-trimethylbenzene</t>
  </si>
  <si>
    <t>526-73-8</t>
  </si>
  <si>
    <t>solvent naphtha (petroleum), light aromatic</t>
  </si>
  <si>
    <t>64742-95-6</t>
  </si>
  <si>
    <t>high-boiling fraction from the manufacture of 2-ethyl-1-hexanol</t>
  </si>
  <si>
    <t>68609-68-7</t>
  </si>
  <si>
    <t>trichloroethylene</t>
  </si>
  <si>
    <t>79-01-6</t>
  </si>
  <si>
    <t>1,2,4-trimethylbenzene</t>
  </si>
  <si>
    <t>95-63-6</t>
  </si>
  <si>
    <t>heptanoic acid</t>
  </si>
  <si>
    <t>111-14-8</t>
  </si>
  <si>
    <t>divinylbenzene</t>
  </si>
  <si>
    <t>1321-74-0</t>
  </si>
  <si>
    <t>(1-methylene-2-propenyl)benzene</t>
  </si>
  <si>
    <t>2288-18-8</t>
  </si>
  <si>
    <t>ammonium xylene sulfonate</t>
  </si>
  <si>
    <t>26447-10-9</t>
  </si>
  <si>
    <t>4-ethenyl-1,2-dimethylbenzene</t>
  </si>
  <si>
    <t>27831-13-6</t>
  </si>
  <si>
    <t>neoheptanoic acid</t>
  </si>
  <si>
    <t>33113-10-9</t>
  </si>
  <si>
    <t>1-(2,6,6-trimethyl-3-cyclohexen-1-yl)-2-buten-1-one</t>
  </si>
  <si>
    <t>57378-68-4</t>
  </si>
  <si>
    <t>(2,2-dimethyl-1,3-dioxolan-4-yl)methanol</t>
  </si>
  <si>
    <t>100-79-8</t>
  </si>
  <si>
    <t>5-methyl-3-heptanone</t>
  </si>
  <si>
    <t>541-85-5</t>
  </si>
  <si>
    <t>4,4-dimethyl-1,3-dioxolane</t>
  </si>
  <si>
    <t>766-15-4</t>
  </si>
  <si>
    <t>diethylene glycol ethyl methyl ether</t>
  </si>
  <si>
    <t>1002-67-1</t>
  </si>
  <si>
    <t>benzonitrile</t>
  </si>
  <si>
    <t>100-47-0</t>
  </si>
  <si>
    <t>N-butyldiethanolamine</t>
  </si>
  <si>
    <t>102-79-4</t>
  </si>
  <si>
    <t>2-methyl-3-(p-isopropylphenyl)propionaldehyde</t>
  </si>
  <si>
    <t>103-95-7</t>
  </si>
  <si>
    <t>benzyl formate</t>
  </si>
  <si>
    <t>104-57-4</t>
  </si>
  <si>
    <t>p-tolunitrile</t>
  </si>
  <si>
    <t>104-85-8</t>
  </si>
  <si>
    <t>vinyl propionate</t>
  </si>
  <si>
    <t>105-38-4</t>
  </si>
  <si>
    <t>ethyl heptanoate</t>
  </si>
  <si>
    <t>106-30-9</t>
  </si>
  <si>
    <t>2-dimethylaminoethanol</t>
  </si>
  <si>
    <t>108-01-0</t>
  </si>
  <si>
    <t>2,5-dimethyl-2,5-hexanediol</t>
  </si>
  <si>
    <t>110-03-2</t>
  </si>
  <si>
    <t>1,4-butanediol</t>
  </si>
  <si>
    <t>110-63-4</t>
  </si>
  <si>
    <t>diethylene glycol ethyl ether</t>
  </si>
  <si>
    <t>111-90-0</t>
  </si>
  <si>
    <t>2-methyl-3-(3,4-methylenedioxyphenyl)-propanal</t>
  </si>
  <si>
    <t>1205-17-0</t>
  </si>
  <si>
    <t>piperonal</t>
  </si>
  <si>
    <t>120-57-0</t>
  </si>
  <si>
    <t>piperonyl sulfoxide</t>
  </si>
  <si>
    <t>120-62-7</t>
  </si>
  <si>
    <t>dialkyl phosphates and dialkyl amines</t>
  </si>
  <si>
    <t>122970-62-1</t>
  </si>
  <si>
    <t>N,N-diethyl-m-toluamide</t>
  </si>
  <si>
    <t>134-62-3</t>
  </si>
  <si>
    <t>7-phenyl-2-heptanone</t>
  </si>
  <si>
    <t>14171-88-1</t>
  </si>
  <si>
    <t>vinyl crotonate</t>
  </si>
  <si>
    <t>14861-06-4</t>
  </si>
  <si>
    <t>methyltetralin</t>
  </si>
  <si>
    <t>1559-81-5</t>
  </si>
  <si>
    <t>phenyl formate</t>
  </si>
  <si>
    <t>1864-94-4</t>
  </si>
  <si>
    <t>N,N-diglycidylaniline</t>
  </si>
  <si>
    <t>2095-06-9</t>
  </si>
  <si>
    <t>1,5-dimethyltetralin</t>
  </si>
  <si>
    <t>21564-91-0</t>
  </si>
  <si>
    <t>methyl propandiol</t>
  </si>
  <si>
    <t>2163-42-0</t>
  </si>
  <si>
    <t>cyclopropanemethanol</t>
  </si>
  <si>
    <t>2516-33-8</t>
  </si>
  <si>
    <t>4-phenyl-2-butanone</t>
  </si>
  <si>
    <t>2550-26-7</t>
  </si>
  <si>
    <t>2-heptadecanone</t>
  </si>
  <si>
    <t>2922-51-2</t>
  </si>
  <si>
    <t>acetylcedrene</t>
  </si>
  <si>
    <t>32388-55-9</t>
  </si>
  <si>
    <t>N,N'-di-tert-butyl ethylenediamine</t>
  </si>
  <si>
    <t>4062-60-6</t>
  </si>
  <si>
    <t>2-methoxy-3,4-dihydro-2H-pyran</t>
  </si>
  <si>
    <t>4454-05-1</t>
  </si>
  <si>
    <t>eucalyptol</t>
  </si>
  <si>
    <t>470-82-6</t>
  </si>
  <si>
    <t>n,n-diglycidyl-4-glycidyloxyaniline</t>
  </si>
  <si>
    <t>5026-74-4</t>
  </si>
  <si>
    <t>piperonyl butoxide</t>
  </si>
  <si>
    <t>51-03-6</t>
  </si>
  <si>
    <t>4,4-dimethyl-1-phenyl-3-pentanone</t>
  </si>
  <si>
    <t>5195-24-4</t>
  </si>
  <si>
    <t>o-tolunitrile</t>
  </si>
  <si>
    <t>529-19-1</t>
  </si>
  <si>
    <t>methyl sec-butyl ketone</t>
  </si>
  <si>
    <t>565-61-7</t>
  </si>
  <si>
    <t>neopentyl glycol monoisobutyrate</t>
  </si>
  <si>
    <t>5919-84-6</t>
  </si>
  <si>
    <t>phenylethyl alcohol</t>
  </si>
  <si>
    <t>60-12-8</t>
  </si>
  <si>
    <t>m-tolunitrile</t>
  </si>
  <si>
    <t>620-22-4</t>
  </si>
  <si>
    <t>ethyl (2E)-2-butenoate</t>
  </si>
  <si>
    <t>623-70-1</t>
  </si>
  <si>
    <t>isopropyl propionate</t>
  </si>
  <si>
    <t>637-78-5</t>
  </si>
  <si>
    <t>1-phenyl-2-heptanone</t>
  </si>
  <si>
    <t>6683-94-9</t>
  </si>
  <si>
    <t>diethylene glycol monopropyl ether</t>
  </si>
  <si>
    <t>6881-94-3</t>
  </si>
  <si>
    <t>nitromethane</t>
  </si>
  <si>
    <t>75-52-5</t>
  </si>
  <si>
    <t>nonyl octanoate</t>
  </si>
  <si>
    <t>7786-48-3</t>
  </si>
  <si>
    <t>lily aldehyde</t>
  </si>
  <si>
    <t>80-54-6</t>
  </si>
  <si>
    <t>naphthalene</t>
  </si>
  <si>
    <t>91-20-3</t>
  </si>
  <si>
    <t>1,5-hexanediol</t>
  </si>
  <si>
    <t>928-40-5</t>
  </si>
  <si>
    <t>2-phenyl propionaldehyde</t>
  </si>
  <si>
    <t>93-53-8</t>
  </si>
  <si>
    <t>2-ethyl-1,3-hexanediol</t>
  </si>
  <si>
    <t>94-96-2</t>
  </si>
  <si>
    <t>poly(bisphenol A carbonate)</t>
  </si>
  <si>
    <t>103598-77-2</t>
  </si>
  <si>
    <t>phenylacetic acid</t>
  </si>
  <si>
    <t>103-82-2</t>
  </si>
  <si>
    <t>diethyl carbonate</t>
  </si>
  <si>
    <t>105-58-8</t>
  </si>
  <si>
    <t>ethyl (2R)-hydroxy(phenyl)acetate</t>
  </si>
  <si>
    <t>10606-72-1</t>
  </si>
  <si>
    <t>O-phosphorylethanolamine</t>
  </si>
  <si>
    <t>1071-23-4</t>
  </si>
  <si>
    <t>propylene carbonate</t>
  </si>
  <si>
    <t>108-32-7</t>
  </si>
  <si>
    <t>isodecyl benzoate</t>
  </si>
  <si>
    <t>120657-54-7</t>
  </si>
  <si>
    <t>phenyl acetate</t>
  </si>
  <si>
    <t>122-79-2</t>
  </si>
  <si>
    <t>methyl phenylglyoxylic acid</t>
  </si>
  <si>
    <t>15206-55-0</t>
  </si>
  <si>
    <t>ethyl phenylglyoxylic acid</t>
  </si>
  <si>
    <t>1603-79-8</t>
  </si>
  <si>
    <t>di(n-propyl)peroxydicarbonate</t>
  </si>
  <si>
    <t>16066-38-9</t>
  </si>
  <si>
    <t>2,2'-[dioxybis(carbonyloxy)]dibutane</t>
  </si>
  <si>
    <t>19910-65-7</t>
  </si>
  <si>
    <t>2,4,4-trimethyl-2-pentanyl 2,2-dimethylpropaneperoxoate</t>
  </si>
  <si>
    <t>22288-41-1</t>
  </si>
  <si>
    <t>methyl 4-ethoxybenzoate</t>
  </si>
  <si>
    <t>23676-08-6</t>
  </si>
  <si>
    <t>ethyl 4-ethoxybenzoate</t>
  </si>
  <si>
    <t>23676-09-7</t>
  </si>
  <si>
    <t>tert-butyl peroxy isopropyl carbonate</t>
  </si>
  <si>
    <t>2372-21-6</t>
  </si>
  <si>
    <t>poly(dimethylaminoethyl methacrylate)</t>
  </si>
  <si>
    <t>25154-86-3</t>
  </si>
  <si>
    <t>polyalyldiglycol carbonate, polymeric abrasive</t>
  </si>
  <si>
    <t>25656-90-0</t>
  </si>
  <si>
    <t>poly(lactic acid)</t>
  </si>
  <si>
    <t>26100-51-6</t>
  </si>
  <si>
    <t>tert-amyl peroxypivalate</t>
  </si>
  <si>
    <t>29240-17-3</t>
  </si>
  <si>
    <t>vinyl pivalate</t>
  </si>
  <si>
    <t>3377-92-2</t>
  </si>
  <si>
    <t>tert-butylperoxy-2-ethylhexyl-carbonate</t>
  </si>
  <si>
    <t>34443-12-4</t>
  </si>
  <si>
    <t>2,2,4-trimethylpent-3-en-1-yl 2-methylpropanoate</t>
  </si>
  <si>
    <t>3494-69-7</t>
  </si>
  <si>
    <t>n-propyl carbonate</t>
  </si>
  <si>
    <t>37226-36-1</t>
  </si>
  <si>
    <t>2-phosphono-1,2,4-butanetricarboxylic acid</t>
  </si>
  <si>
    <t>37971-36-1</t>
  </si>
  <si>
    <t>1,1,3,trimethyl-3-phenyl indane</t>
  </si>
  <si>
    <t>3910-35-8</t>
  </si>
  <si>
    <t>vinyl ethylene carbonate</t>
  </si>
  <si>
    <t>4427-96-7</t>
  </si>
  <si>
    <t>isobutyl carbonate</t>
  </si>
  <si>
    <t>539-92-4</t>
  </si>
  <si>
    <t>3-hydroxythiophene-2,5-dicarboxylic acid dimethyl ester</t>
  </si>
  <si>
    <t>5556-24-1</t>
  </si>
  <si>
    <t>2-{[2-(acryloyloxy)ethoxy]carbonyl}cyclohexanecarboxylic acid</t>
  </si>
  <si>
    <t>57043-35-3</t>
  </si>
  <si>
    <t>methyl trimethylacetate</t>
  </si>
  <si>
    <t>598-98-1</t>
  </si>
  <si>
    <t>phenylglyoxylic acid</t>
  </si>
  <si>
    <t>611-73-4</t>
  </si>
  <si>
    <t>dimethyl carbonate</t>
  </si>
  <si>
    <t>616-38-6</t>
  </si>
  <si>
    <t>2-ethylhexyl-2-cyano-3,3-diphenylacrylate</t>
  </si>
  <si>
    <t>6197-30-4</t>
  </si>
  <si>
    <t>benzoic acid</t>
  </si>
  <si>
    <t>65-85-0</t>
  </si>
  <si>
    <t>ethenylbenzene, 2-ethylhexyl 2-propenoate, 2-methylpropyl 2-methyl-2-propenoate, hydroxyethyl 2-methyl-2-propenoate, 2-methyl-2-propenoic acid polymer</t>
  </si>
  <si>
    <t>72252-50-7</t>
  </si>
  <si>
    <t>pivalic acid</t>
  </si>
  <si>
    <t>75-98-9</t>
  </si>
  <si>
    <t>citric acid</t>
  </si>
  <si>
    <t>77-92-9</t>
  </si>
  <si>
    <t>butyl citrate</t>
  </si>
  <si>
    <t>77-94-1</t>
  </si>
  <si>
    <t>tert-butyl peroxypivalate</t>
  </si>
  <si>
    <t>927-07-1</t>
  </si>
  <si>
    <t>ethyl 4-methoxybenzoate</t>
  </si>
  <si>
    <t>94-30-4</t>
  </si>
  <si>
    <t>ethylene glycol carbonate</t>
  </si>
  <si>
    <t>96-49-1</t>
  </si>
  <si>
    <t>p-hydroxybenzoic acid, methyl ester</t>
  </si>
  <si>
    <t>99-76-3</t>
  </si>
  <si>
    <t>1,5-cyclooctadiene</t>
  </si>
  <si>
    <t>111-78-4</t>
  </si>
  <si>
    <t>methyl cyclohexene</t>
  </si>
  <si>
    <t>1335-86-0</t>
  </si>
  <si>
    <t>cyclododecene, mixture of cis and trans</t>
  </si>
  <si>
    <t>1501-82-2</t>
  </si>
  <si>
    <t>1,5,9-cyclododecatriene</t>
  </si>
  <si>
    <t>27070-59-3</t>
  </si>
  <si>
    <t>cyclooctadiene</t>
  </si>
  <si>
    <t>29965-97-7</t>
  </si>
  <si>
    <t>isobutyl acetophenone</t>
  </si>
  <si>
    <t>38861-78-8</t>
  </si>
  <si>
    <t>(1Z,5E,9E)-1,5,9-cyclododecatriene</t>
  </si>
  <si>
    <t>4904-61-4</t>
  </si>
  <si>
    <t>4-methyl-1-isopropylcyclohexene</t>
  </si>
  <si>
    <t>500-00-5</t>
  </si>
  <si>
    <t>1,2-dimethylcyclooctene</t>
  </si>
  <si>
    <t>54299-96-6</t>
  </si>
  <si>
    <t>3-methyl-1-cyclohexene</t>
  </si>
  <si>
    <t>591-48-0</t>
  </si>
  <si>
    <t>cyclooctatetraene</t>
  </si>
  <si>
    <t>629-20-9</t>
  </si>
  <si>
    <t>4-isopropylacetophenone</t>
  </si>
  <si>
    <t>645-13-6</t>
  </si>
  <si>
    <t>acetophenone</t>
  </si>
  <si>
    <t>98-86-2</t>
  </si>
  <si>
    <t>m-methylstyrene</t>
  </si>
  <si>
    <t>100-80-1</t>
  </si>
  <si>
    <t>beta-hydroxypentanoic acid</t>
  </si>
  <si>
    <t>10237-77-1</t>
  </si>
  <si>
    <t>2,3-dimethyl-2-pentenoic acid</t>
  </si>
  <si>
    <t>122630-51-7</t>
  </si>
  <si>
    <t>hydroxybutanoic acid ion(1-)</t>
  </si>
  <si>
    <t>1320-61-2</t>
  </si>
  <si>
    <t>5-hydroxyvaleric acid</t>
  </si>
  <si>
    <t>13392-69-3</t>
  </si>
  <si>
    <t>zinc 2-ethylhexanoate</t>
  </si>
  <si>
    <t>136-53-8</t>
  </si>
  <si>
    <t>hexanoic acid</t>
  </si>
  <si>
    <t>142-62-1</t>
  </si>
  <si>
    <t>5-hexenoic acid</t>
  </si>
  <si>
    <t>1577-22-6</t>
  </si>
  <si>
    <t>tert-butylstyrene</t>
  </si>
  <si>
    <t>25338-51-6</t>
  </si>
  <si>
    <t>2-methylhexanoic acid</t>
  </si>
  <si>
    <t>4536-23-6</t>
  </si>
  <si>
    <t>indane</t>
  </si>
  <si>
    <t>496-11-7</t>
  </si>
  <si>
    <t>hydroxypropionic acid</t>
  </si>
  <si>
    <t>503-66-2</t>
  </si>
  <si>
    <t>12-hydroxydodecanoic acid</t>
  </si>
  <si>
    <t>505-95-3</t>
  </si>
  <si>
    <t>gamma-hydroxybutyric acid</t>
  </si>
  <si>
    <t>591-81-1</t>
  </si>
  <si>
    <t>o-methylstyrene</t>
  </si>
  <si>
    <t>611-15-4</t>
  </si>
  <si>
    <t>p-methylstyrene</t>
  </si>
  <si>
    <t>622-97-9</t>
  </si>
  <si>
    <t>alpha-methylstyrene dimer</t>
  </si>
  <si>
    <t>6362-80-7</t>
  </si>
  <si>
    <t>2,4,6-trimethylstyrene</t>
  </si>
  <si>
    <t>769-25-5</t>
  </si>
  <si>
    <t>alpha-methylstyrene</t>
  </si>
  <si>
    <t>98-83-9</t>
  </si>
  <si>
    <t>3-heptanone</t>
  </si>
  <si>
    <t>106-35-4</t>
  </si>
  <si>
    <t>methyl isoamyl ketone</t>
  </si>
  <si>
    <t>110-12-3</t>
  </si>
  <si>
    <t>2-methyl indene</t>
  </si>
  <si>
    <t>2177-47-1</t>
  </si>
  <si>
    <t>1-methyl-1H-indene</t>
  </si>
  <si>
    <t>29036-25-7</t>
  </si>
  <si>
    <t>cyclohexanediamine</t>
  </si>
  <si>
    <t>694-83-7</t>
  </si>
  <si>
    <t>(2E)-3,7-dimethyl-2,6-octadien-1-yl acetate</t>
  </si>
  <si>
    <t>105-87-3</t>
  </si>
  <si>
    <t>isopropenyl acetate</t>
  </si>
  <si>
    <t>108-22-5</t>
  </si>
  <si>
    <t>chlorobenzene</t>
  </si>
  <si>
    <t>108-90-7</t>
  </si>
  <si>
    <t>1,4-dichlorobutane</t>
  </si>
  <si>
    <t>110-56-5</t>
  </si>
  <si>
    <t>diisopropanolamine</t>
  </si>
  <si>
    <t>110-97-4</t>
  </si>
  <si>
    <t>1,3-dichloropropane</t>
  </si>
  <si>
    <t>142-28-9</t>
  </si>
  <si>
    <t>3,7-dimethyl-6-octen-1-yl acetate</t>
  </si>
  <si>
    <t>150-84-5</t>
  </si>
  <si>
    <t>1-methyl-2-chlorobenzene</t>
  </si>
  <si>
    <t>25168-05-2</t>
  </si>
  <si>
    <t>methylcyclopentadiene</t>
  </si>
  <si>
    <t>26472-00-4</t>
  </si>
  <si>
    <t>dichloropropanes</t>
  </si>
  <si>
    <t>26638-19-7</t>
  </si>
  <si>
    <t>isopropenyl acetone</t>
  </si>
  <si>
    <t>3744-02-3</t>
  </si>
  <si>
    <t>2,2-dichloropropane</t>
  </si>
  <si>
    <t>594-20-7</t>
  </si>
  <si>
    <t>1,2-dichlorobutane</t>
  </si>
  <si>
    <t>616-21-7</t>
  </si>
  <si>
    <t>1,2-dichloropropane</t>
  </si>
  <si>
    <t>78-87-5</t>
  </si>
  <si>
    <t>1,1-dichloropropane</t>
  </si>
  <si>
    <t>78-99-9</t>
  </si>
  <si>
    <t>1,1-diethoxy-but-2-ene</t>
  </si>
  <si>
    <t>10602-34-3</t>
  </si>
  <si>
    <t>resorcinol</t>
  </si>
  <si>
    <t>108-46-3</t>
  </si>
  <si>
    <t>diglycidyl bisphenol A ether</t>
  </si>
  <si>
    <t>1675-54-3</t>
  </si>
  <si>
    <t>4-phenylcyclohexene</t>
  </si>
  <si>
    <t>4994-16-5</t>
  </si>
  <si>
    <t>methylacetaldehyde</t>
  </si>
  <si>
    <t>534-15-6</t>
  </si>
  <si>
    <t>ethylene glycol monoacetate</t>
  </si>
  <si>
    <t>542-59-6</t>
  </si>
  <si>
    <t>isobornyl ester acrylic acid</t>
  </si>
  <si>
    <t>5888-33-5</t>
  </si>
  <si>
    <t>acetaldehyde</t>
  </si>
  <si>
    <t>75-07-0</t>
  </si>
  <si>
    <t>3-aminopentanenitrile</t>
  </si>
  <si>
    <t>75405-06-0</t>
  </si>
  <si>
    <t>acetoacetanilide</t>
  </si>
  <si>
    <t>102-01-2</t>
  </si>
  <si>
    <t>N-(4-methylphenyl)-acetamide</t>
  </si>
  <si>
    <t>103-89-9</t>
  </si>
  <si>
    <t>N-acetylbenzamide</t>
  </si>
  <si>
    <t>1575-95-7</t>
  </si>
  <si>
    <t>phenidone</t>
  </si>
  <si>
    <t>92-43-3</t>
  </si>
  <si>
    <t>benzyl alcohol</t>
  </si>
  <si>
    <t>100-51-6</t>
  </si>
  <si>
    <t>paraldehyde</t>
  </si>
  <si>
    <t>123-63-7</t>
  </si>
  <si>
    <t>3-cyclohexene-1-methanol</t>
  </si>
  <si>
    <t>1679-51-2</t>
  </si>
  <si>
    <t>4,8-bis(hydroxymethyl)tricyclo[5.2.1.0(2,6)]decane, mixture of isomers</t>
  </si>
  <si>
    <t>26896-48-0</t>
  </si>
  <si>
    <t>1-(4-isobutylphenyl)ethanol</t>
  </si>
  <si>
    <t>40150-92-3</t>
  </si>
  <si>
    <t>2-phenyl-2-propanol</t>
  </si>
  <si>
    <t>617-94-7</t>
  </si>
  <si>
    <t>tetrapropylene</t>
  </si>
  <si>
    <t>6842-15-5</t>
  </si>
  <si>
    <t>2,2,4-trimethyl-1,3-pentanediol diisobutyrate</t>
  </si>
  <si>
    <t>6846-50-0</t>
  </si>
  <si>
    <t>2,4,6-trichlorophenol</t>
  </si>
  <si>
    <t>88-06-2</t>
  </si>
  <si>
    <t>1-phenyl-1-propanol</t>
  </si>
  <si>
    <t>93-54-9</t>
  </si>
  <si>
    <t>2,4,5-trichlorophenol</t>
  </si>
  <si>
    <t>95-95-4</t>
  </si>
  <si>
    <t>tris(2-chloroethyl) phosphate</t>
  </si>
  <si>
    <t>115-96-8</t>
  </si>
  <si>
    <t>5-vinyl-2-norbornene</t>
  </si>
  <si>
    <t>3048-64-4</t>
  </si>
  <si>
    <t>valeric acid</t>
  </si>
  <si>
    <t>109-52-4</t>
  </si>
  <si>
    <t>2-((dimethylamino)methyl)phenol</t>
  </si>
  <si>
    <t>120-65-0</t>
  </si>
  <si>
    <t>ethylene glycol mono-2-ethylhexyl ether (EEH)</t>
  </si>
  <si>
    <t>1559-35-9</t>
  </si>
  <si>
    <t>4-((dimethylamino)methyl)phenol</t>
  </si>
  <si>
    <t>25338-55-0</t>
  </si>
  <si>
    <t>1-ethyl-2-pyrrolidinone</t>
  </si>
  <si>
    <t>2687-91-4</t>
  </si>
  <si>
    <t>N-octyl pyrrolidone</t>
  </si>
  <si>
    <t>2687-94-7</t>
  </si>
  <si>
    <t>1-(2-hydroxyethyl)-2-pyrrolidinone</t>
  </si>
  <si>
    <t>3445-11-2</t>
  </si>
  <si>
    <t>isovaleric acid</t>
  </si>
  <si>
    <t>503-74-2</t>
  </si>
  <si>
    <t>1-pentyl-2,5-pyrrolidinedione</t>
  </si>
  <si>
    <t>5332-35-4</t>
  </si>
  <si>
    <t>2,4-bis[(dimethylamino)methyl]phenol</t>
  </si>
  <si>
    <t>5424-54-4</t>
  </si>
  <si>
    <t>2-pyrrolidinone</t>
  </si>
  <si>
    <t>616-45-5</t>
  </si>
  <si>
    <t>bis((dimethylamino)methyl)phenol</t>
  </si>
  <si>
    <t>71074-89-0</t>
  </si>
  <si>
    <t>N-methyl-2-pyrrolidone</t>
  </si>
  <si>
    <t>872-50-4</t>
  </si>
  <si>
    <t>2,4,6-tris-(dimethylaminomethyl)phenol</t>
  </si>
  <si>
    <t>90-72-2</t>
  </si>
  <si>
    <t>valproic acid</t>
  </si>
  <si>
    <t>99-66-1</t>
  </si>
  <si>
    <t>methoxybenzene</t>
  </si>
  <si>
    <t>100-66-3</t>
  </si>
  <si>
    <t>Galaxolide</t>
  </si>
  <si>
    <t>1222-05-5</t>
  </si>
  <si>
    <t>1,2-ethanediamine, polymer with aziridine</t>
  </si>
  <si>
    <t>25987-06-8</t>
  </si>
  <si>
    <t>phenyl vinyl ether</t>
  </si>
  <si>
    <t>766-94-9</t>
  </si>
  <si>
    <t>alcohols, C2-C33 manuf. of, by products from overheads</t>
  </si>
  <si>
    <t>876065-86-0</t>
  </si>
  <si>
    <t>7-diethylamino-4-methylcoumarin</t>
  </si>
  <si>
    <t>91-44-1</t>
  </si>
  <si>
    <t>2-butene-1,4-diol</t>
  </si>
  <si>
    <t>110-64-5</t>
  </si>
  <si>
    <t>morpholine</t>
  </si>
  <si>
    <t>110-91-8</t>
  </si>
  <si>
    <t>heptaldehyde</t>
  </si>
  <si>
    <t>111-71-7</t>
  </si>
  <si>
    <t>methyl salicylate</t>
  </si>
  <si>
    <t>119-36-8</t>
  </si>
  <si>
    <t>triisopropanolamine</t>
  </si>
  <si>
    <t>122-20-3</t>
  </si>
  <si>
    <t>propionaldehyde</t>
  </si>
  <si>
    <t>123-38-6</t>
  </si>
  <si>
    <t>2-amino-2-methyl-1-propanol</t>
  </si>
  <si>
    <t>124-68-5</t>
  </si>
  <si>
    <t>ammonium N-nitrosophenylhydroxylamine</t>
  </si>
  <si>
    <t>135-20-6</t>
  </si>
  <si>
    <t>butyl butoxy propionate</t>
  </si>
  <si>
    <t>14144-48-0</t>
  </si>
  <si>
    <t>mesityl oxide</t>
  </si>
  <si>
    <t>141-79-7</t>
  </si>
  <si>
    <t>N-tallow alkyltrimethylenediamines, polymers with epichlorohydrin</t>
  </si>
  <si>
    <t>149084-66-2</t>
  </si>
  <si>
    <t>N-tallow alkyltris (trimethylene) tetra-amines</t>
  </si>
  <si>
    <t>151661-99-3</t>
  </si>
  <si>
    <t>tall oil fatty acids, reaction products with diethylenetriamine and acrylic acid</t>
  </si>
  <si>
    <t>163206-24-4</t>
  </si>
  <si>
    <t>fatty acids, tall-oil, polymers with tetraethylenepentamine, acetates, mercaptoacetates</t>
  </si>
  <si>
    <t>176022-77-8</t>
  </si>
  <si>
    <t>amyl salicylate</t>
  </si>
  <si>
    <t>2050-08-0</t>
  </si>
  <si>
    <t>ethylenediamine tetrakis(ethoxylate-block-propoxylate) tetrol</t>
  </si>
  <si>
    <t>26316-40-5</t>
  </si>
  <si>
    <t>2-methyl-2-(methylamino)-1-propanol</t>
  </si>
  <si>
    <t>27646-80-6</t>
  </si>
  <si>
    <t>1,1,1,2,2-pentachloro-2-fluoroethane</t>
  </si>
  <si>
    <t>354-56-3</t>
  </si>
  <si>
    <t>N,N'-diethylhydroxylamine</t>
  </si>
  <si>
    <t>3710-84-7</t>
  </si>
  <si>
    <t>2-methyl-2-propen-1-ol</t>
  </si>
  <si>
    <t>513-42-8</t>
  </si>
  <si>
    <t>amines, hydrogenated tallow alkyl</t>
  </si>
  <si>
    <t>61788-45-2</t>
  </si>
  <si>
    <t>bis(hydrogenated tallow alkyl)methyl amines</t>
  </si>
  <si>
    <t>61788-63-4</t>
  </si>
  <si>
    <t>tallow alkyl amines</t>
  </si>
  <si>
    <t>61790-33-8</t>
  </si>
  <si>
    <t>N-tallow alkyltrimethylenediamines, ethoxylated</t>
  </si>
  <si>
    <t>61790-85-0</t>
  </si>
  <si>
    <t>alkyl tallow amine ethoxylated</t>
  </si>
  <si>
    <t>61791-26-2</t>
  </si>
  <si>
    <t>N-tallow alkyltrimethylenediamines oleates</t>
  </si>
  <si>
    <t>61791-53-5</t>
  </si>
  <si>
    <t>N-tallow alkyltrimethylenediamines</t>
  </si>
  <si>
    <t>61791-55-7</t>
  </si>
  <si>
    <t>N-tallow alkyldipropylenetriamines</t>
  </si>
  <si>
    <t>61791-57-9</t>
  </si>
  <si>
    <t>diethyl fumarate</t>
  </si>
  <si>
    <t>623-91-6</t>
  </si>
  <si>
    <t>N-tallow alkyltrimethylenediamines, ethoxylated, compds, with oxidized light petroleum distillate</t>
  </si>
  <si>
    <t>68037-51-4</t>
  </si>
  <si>
    <t>tallow alkyl amines, ethoxylated, hydrochlorides</t>
  </si>
  <si>
    <t>68132-78-5</t>
  </si>
  <si>
    <t>N-tallow alkyltrimethylenediamines dioleates</t>
  </si>
  <si>
    <t>68153-99-1</t>
  </si>
  <si>
    <t>N-tallow alkyltrimethylenediamines dodecylbenzene sulfonates</t>
  </si>
  <si>
    <t>68154-00-7</t>
  </si>
  <si>
    <t>amines, tallow alkyl, ethoxylated, phosphates</t>
  </si>
  <si>
    <t>68308-48-5</t>
  </si>
  <si>
    <t>alkyl tallow amine ethoxylated acetates (salts)</t>
  </si>
  <si>
    <t>68551-33-7</t>
  </si>
  <si>
    <t>amines, methylditallow alkyl</t>
  </si>
  <si>
    <t>68603-65-6</t>
  </si>
  <si>
    <t>N-tallow alkyltrimethylenediamine acetates, ethoxylated</t>
  </si>
  <si>
    <t>68603-73-6</t>
  </si>
  <si>
    <t>dimethyltallow alkyl amine</t>
  </si>
  <si>
    <t>68814-69-7</t>
  </si>
  <si>
    <t>fatty acids, tall-oil, reaction products with polyalkylenepolyamines, dodecylbenzenesulfonates</t>
  </si>
  <si>
    <t>68910-87-2</t>
  </si>
  <si>
    <t>n-tallow alkyl-1,1'-iminobis-2-propanol</t>
  </si>
  <si>
    <t>68951-72-4</t>
  </si>
  <si>
    <t>amines, tallow alkyl, ethoxylated, branched dodecylbenzenesulfonates (salts)</t>
  </si>
  <si>
    <t>68955-73-7</t>
  </si>
  <si>
    <t>(((phosphonomethyl)imino)bis((2,1-ethanediylnitrilobis(methylene)))tetrakisphosphonic acid, ethoxylated tallowalkylamine salt</t>
  </si>
  <si>
    <t>71329-40-3</t>
  </si>
  <si>
    <t>amines, tallow alkyl, ethoxylated, sulfates</t>
  </si>
  <si>
    <t>72968-31-1</t>
  </si>
  <si>
    <t>pentachloroethane</t>
  </si>
  <si>
    <t>76-01-7</t>
  </si>
  <si>
    <t>4-nonyl-phenol, branched</t>
  </si>
  <si>
    <t>84852-15-3</t>
  </si>
  <si>
    <t>fatty acids, tall-oil, compds. with oleylamine</t>
  </si>
  <si>
    <t>85711-55-3</t>
  </si>
  <si>
    <t>isoamyl salicylate</t>
  </si>
  <si>
    <t>87-20-7</t>
  </si>
  <si>
    <t>protein hydrolysate</t>
  </si>
  <si>
    <t>9015-54-7</t>
  </si>
  <si>
    <t>amines, bis(hydrogenated tallow alkyl), 2-((bis(hydrogenated tallow alkyl)amino)carbonyl)benzoates</t>
  </si>
  <si>
    <t>91745-35-6</t>
  </si>
  <si>
    <t>furfuryl alcohol</t>
  </si>
  <si>
    <t>98-00-0</t>
  </si>
  <si>
    <t>1,3,5-trichlorobenzene</t>
  </si>
  <si>
    <t>108-70-3</t>
  </si>
  <si>
    <t>diethylene glycol</t>
  </si>
  <si>
    <t>111-46-6</t>
  </si>
  <si>
    <t>tetraethylene pentamine</t>
  </si>
  <si>
    <t>112-57-2</t>
  </si>
  <si>
    <t>tetradifon</t>
  </si>
  <si>
    <t>116-29-0</t>
  </si>
  <si>
    <t>1,2,4-trichlorobenzene</t>
  </si>
  <si>
    <t>120-82-1</t>
  </si>
  <si>
    <t>tripropylene glycol</t>
  </si>
  <si>
    <t>24800-44-0</t>
  </si>
  <si>
    <t>1,2,3,4-tetrachlorobenzene</t>
  </si>
  <si>
    <t>634-66-2</t>
  </si>
  <si>
    <t>1,2,3,5-tetrachlorobenzene</t>
  </si>
  <si>
    <t>634-90-2</t>
  </si>
  <si>
    <t>1,2,3-trichlorobenzene</t>
  </si>
  <si>
    <t>87-61-6</t>
  </si>
  <si>
    <t>1,2,4,5-tetrachlorobenzene</t>
  </si>
  <si>
    <t>95-94-3</t>
  </si>
  <si>
    <t>fluorobenzene</t>
  </si>
  <si>
    <t>462-06-6</t>
  </si>
  <si>
    <t>2-ethylhexyl acrylate</t>
  </si>
  <si>
    <t>103-11-7</t>
  </si>
  <si>
    <t>3,7-dimethyl-1,6-octadien-3-yl acetate</t>
  </si>
  <si>
    <t>115-95-7</t>
  </si>
  <si>
    <t>5-amino-1,3,3-trimethylcyclohexanemethylamine, mixture of cis and trans</t>
  </si>
  <si>
    <t>2855-13-2</t>
  </si>
  <si>
    <t>isooctyl acrylate</t>
  </si>
  <si>
    <t>29590-42-9</t>
  </si>
  <si>
    <t>bis(2-chloroethyl)-2-naphthylamine</t>
  </si>
  <si>
    <t>494-03-1</t>
  </si>
  <si>
    <t>1-methacrylic acid, dodecyl ester</t>
  </si>
  <si>
    <t>90551-76-1</t>
  </si>
  <si>
    <t>2-(2-aminoethoxy)ethanol</t>
  </si>
  <si>
    <t>929-06-6</t>
  </si>
  <si>
    <t>bis-(2-ethyl-hexyl) ether</t>
  </si>
  <si>
    <t>10143-60-9</t>
  </si>
  <si>
    <t>4-hydroxy-2,2,6,6-tetramethyl-1-piperidinyloxy</t>
  </si>
  <si>
    <t>2226-96-2</t>
  </si>
  <si>
    <t>methyl propionate</t>
  </si>
  <si>
    <t>554-12-1</t>
  </si>
  <si>
    <t>isobutyl ether</t>
  </si>
  <si>
    <t>628-55-7</t>
  </si>
  <si>
    <t>poly(methyl methacrylate)</t>
  </si>
  <si>
    <t>9011-14-7</t>
  </si>
  <si>
    <t>pimelic acid</t>
  </si>
  <si>
    <t>111-16-0</t>
  </si>
  <si>
    <t>dimethylacetamide</t>
  </si>
  <si>
    <t>127-19-5</t>
  </si>
  <si>
    <t>dimethyl acetoacetamide</t>
  </si>
  <si>
    <t>2044-64-6</t>
  </si>
  <si>
    <t>methoxyisopropylamine</t>
  </si>
  <si>
    <t>37143-54-7</t>
  </si>
  <si>
    <t>2,2',2''-nitrilotrisacetamide</t>
  </si>
  <si>
    <t>4862-18-4</t>
  </si>
  <si>
    <t>cis-2-pinanol</t>
  </si>
  <si>
    <t>4948-28-1</t>
  </si>
  <si>
    <t>trans-2-pinanol</t>
  </si>
  <si>
    <t>4948-29-2</t>
  </si>
  <si>
    <t>3-methoxypropylamine</t>
  </si>
  <si>
    <t>5332-73-0</t>
  </si>
  <si>
    <t>4,4-methylenedimorpholine dimorpholine</t>
  </si>
  <si>
    <t>5625-90-1</t>
  </si>
  <si>
    <t>4,4'-oxydi-2,1-ethanediyl bismorpholine</t>
  </si>
  <si>
    <t>6425-39-4</t>
  </si>
  <si>
    <t>dodecanedioic acid</t>
  </si>
  <si>
    <t>693-23-2</t>
  </si>
  <si>
    <t>ethylene glycol mono-sec-butyl ether</t>
  </si>
  <si>
    <t>7795-91-7</t>
  </si>
  <si>
    <t>n-methylacetamide</t>
  </si>
  <si>
    <t>79-16-3</t>
  </si>
  <si>
    <t>verbenone</t>
  </si>
  <si>
    <t>80-57-9</t>
  </si>
  <si>
    <t>methyl ethyl ketone oxime</t>
  </si>
  <si>
    <t>96-29-7</t>
  </si>
  <si>
    <t>2,4,6-tris(allyloxy)-1,3,5-triazine</t>
  </si>
  <si>
    <t>101-37-1</t>
  </si>
  <si>
    <t>4-methoxybenzyl alcohol</t>
  </si>
  <si>
    <t>105-13-5</t>
  </si>
  <si>
    <t>N,N'-bis(gamma-aminopropyl)diaminoethane</t>
  </si>
  <si>
    <t>10563-26-5</t>
  </si>
  <si>
    <t>1,3,5-trimethylhexahydro-1,3,5-triazine</t>
  </si>
  <si>
    <t>108-74-7</t>
  </si>
  <si>
    <t>4-methylmorpholine</t>
  </si>
  <si>
    <t>109-02-4</t>
  </si>
  <si>
    <t>isosafrole, mixture of cis and trans</t>
  </si>
  <si>
    <t>120-58-1</t>
  </si>
  <si>
    <t>N,N-(methylenedi-4,1-cyclohexanediyl)bis-aspartic acid tetraethyl ester</t>
  </si>
  <si>
    <t>136210-30-5</t>
  </si>
  <si>
    <t>N,N'-[methylenebis(2-methyl-4,1-cyclohexanediyl)]bisaspartic acid, 1,1',4,4'-tetraethyl ester</t>
  </si>
  <si>
    <t>136210-32-7</t>
  </si>
  <si>
    <t>3-benzyloxy-1-chloro-2-propanol</t>
  </si>
  <si>
    <t>13991-52-1</t>
  </si>
  <si>
    <t>cis-isosafrole</t>
  </si>
  <si>
    <t>17627-76-8</t>
  </si>
  <si>
    <t>1,2-benzisothiazolin-3-one</t>
  </si>
  <si>
    <t>2634-33-5</t>
  </si>
  <si>
    <t>tetraglycidyl-4,4'-methylene dianiline</t>
  </si>
  <si>
    <t>28768-32-3</t>
  </si>
  <si>
    <t>trans-isosafrole</t>
  </si>
  <si>
    <t>4043-71-4</t>
  </si>
  <si>
    <t>4-hydroxyphenethyl alcohol</t>
  </si>
  <si>
    <t>501-94-0</t>
  </si>
  <si>
    <t>4-isopropylbenzyl alcohol</t>
  </si>
  <si>
    <t>536-60-7</t>
  </si>
  <si>
    <t>2-benzyloxyethanol</t>
  </si>
  <si>
    <t>622-08-2</t>
  </si>
  <si>
    <t>ethylene glycol diethyl ether</t>
  </si>
  <si>
    <t>629-14-1</t>
  </si>
  <si>
    <t>2-hydroxyphenethyl alcohol</t>
  </si>
  <si>
    <t>7768-28-7</t>
  </si>
  <si>
    <t>3,5-dimethyl-thiomorpholine</t>
  </si>
  <si>
    <t>78243-63-7</t>
  </si>
  <si>
    <t>dihydrosafrole</t>
  </si>
  <si>
    <t>94-58-6</t>
  </si>
  <si>
    <t>safrole</t>
  </si>
  <si>
    <t>94-59-7</t>
  </si>
  <si>
    <t>residues (petroleum) vaccum</t>
  </si>
  <si>
    <t>64741-56-6</t>
  </si>
  <si>
    <t>asphalt</t>
  </si>
  <si>
    <t>8052-42-4</t>
  </si>
  <si>
    <t>nerol</t>
  </si>
  <si>
    <t>106-25-2</t>
  </si>
  <si>
    <t>3-butenenitrile</t>
  </si>
  <si>
    <t>109-75-1</t>
  </si>
  <si>
    <t>methylundec-10-enoate</t>
  </si>
  <si>
    <t>111-81-9</t>
  </si>
  <si>
    <t>myrcene</t>
  </si>
  <si>
    <t>123-35-3</t>
  </si>
  <si>
    <t>2-propenyl hexanoate</t>
  </si>
  <si>
    <t>123-68-2</t>
  </si>
  <si>
    <t>trans-beta-farnesene</t>
  </si>
  <si>
    <t>18794-84-8</t>
  </si>
  <si>
    <t>(3Z,6E)-1,3,6-octatriene</t>
  </si>
  <si>
    <t>22038-68-2</t>
  </si>
  <si>
    <t>2-ethylhexyl nitrate</t>
  </si>
  <si>
    <t>27247-96-7</t>
  </si>
  <si>
    <t>1,7-octadiene</t>
  </si>
  <si>
    <t>3710-30-3</t>
  </si>
  <si>
    <t>(E,E)-alpha-farnesene</t>
  </si>
  <si>
    <t>502-61-4</t>
  </si>
  <si>
    <t>3-acetoxypropene</t>
  </si>
  <si>
    <t>591-87-7</t>
  </si>
  <si>
    <t>1,5-hexadiene</t>
  </si>
  <si>
    <t>592-42-7</t>
  </si>
  <si>
    <t>1,4-hexadiene</t>
  </si>
  <si>
    <t>592-45-0</t>
  </si>
  <si>
    <t>lemonile</t>
  </si>
  <si>
    <t>61792-11-8</t>
  </si>
  <si>
    <t>1-tetradecanol-1-propanoate</t>
  </si>
  <si>
    <t>6221-95-0</t>
  </si>
  <si>
    <t>ethylene</t>
  </si>
  <si>
    <t>74-85-1</t>
  </si>
  <si>
    <t>acetonitrile</t>
  </si>
  <si>
    <t>75-05-8</t>
  </si>
  <si>
    <t>2-butoxyethyl acetate</t>
  </si>
  <si>
    <t>112-07-2</t>
  </si>
  <si>
    <t>propylene glycol allyl ether</t>
  </si>
  <si>
    <t>1331-17-5</t>
  </si>
  <si>
    <t>tripropylene glycol allyl ether</t>
  </si>
  <si>
    <t>79313-19-2</t>
  </si>
  <si>
    <t>dipropylene glycol allyl ether</t>
  </si>
  <si>
    <t>79313-20-5</t>
  </si>
  <si>
    <t>acetamide</t>
  </si>
  <si>
    <t>60-35-5</t>
  </si>
  <si>
    <t>carbon disulfide</t>
  </si>
  <si>
    <t>75-15-0</t>
  </si>
  <si>
    <t>2,6-di-tert-butylphenol</t>
  </si>
  <si>
    <t>128-39-2</t>
  </si>
  <si>
    <t>3,7-dimethyl-2,6-octadienal</t>
  </si>
  <si>
    <t>5392-40-5</t>
  </si>
  <si>
    <t>o-sec-butyl phenol</t>
  </si>
  <si>
    <t>89-72-5</t>
  </si>
  <si>
    <t>nitric oxide</t>
  </si>
  <si>
    <t>10102-43-9</t>
  </si>
  <si>
    <t>diethylene glycol monophenyl ether</t>
  </si>
  <si>
    <t>104-68-7</t>
  </si>
  <si>
    <t>p-chlorophenol</t>
  </si>
  <si>
    <t>106-48-9</t>
  </si>
  <si>
    <t>m-chlorophenol</t>
  </si>
  <si>
    <t>108-43-0</t>
  </si>
  <si>
    <t>butyraldehyde</t>
  </si>
  <si>
    <t>123-72-8</t>
  </si>
  <si>
    <t>butyl lactate</t>
  </si>
  <si>
    <t>138-22-7</t>
  </si>
  <si>
    <t>1,6-hexanediol diglycidyl ether</t>
  </si>
  <si>
    <t>16096-31-4</t>
  </si>
  <si>
    <t>methyl-2-hydroxyisobutyrate</t>
  </si>
  <si>
    <t>2110-78-3</t>
  </si>
  <si>
    <t>methyl-5-norbornene-2,3-dicarboxylic anhydride</t>
  </si>
  <si>
    <t>25134-21-8</t>
  </si>
  <si>
    <t>butyl 3-hydroxybutyrate</t>
  </si>
  <si>
    <t>53605-94-0</t>
  </si>
  <si>
    <t>1-(2,3,8,8-tetramethyl-1,2,3,4,5,6,7,8-octahydro-2-naphthalenyl)ethanone</t>
  </si>
  <si>
    <t>54464-57-2</t>
  </si>
  <si>
    <t>4-hydroxybutyl butyrate</t>
  </si>
  <si>
    <t>55011-60-4</t>
  </si>
  <si>
    <t>isopropyl(S)-(-)-lactate</t>
  </si>
  <si>
    <t>63697-00-7</t>
  </si>
  <si>
    <t>dimethylformamide</t>
  </si>
  <si>
    <t>68-12-2</t>
  </si>
  <si>
    <t>butanal, reaction products with aniline</t>
  </si>
  <si>
    <t>68411-20-1</t>
  </si>
  <si>
    <t>lactonitrile</t>
  </si>
  <si>
    <t>78-97-7</t>
  </si>
  <si>
    <t>propionic acid</t>
  </si>
  <si>
    <t>79-09-4</t>
  </si>
  <si>
    <t>o-chlorophenol</t>
  </si>
  <si>
    <t>95-57-8</t>
  </si>
  <si>
    <t>vinyl 2-ethylhexyl ether</t>
  </si>
  <si>
    <t>103-44-6</t>
  </si>
  <si>
    <t>dichloroethyl ether</t>
  </si>
  <si>
    <t>111-44-4</t>
  </si>
  <si>
    <t>N,N-dimethyloctanamide</t>
  </si>
  <si>
    <t>1118-92-9</t>
  </si>
  <si>
    <t>1,2-bis(2-chloroethoxy)ethane</t>
  </si>
  <si>
    <t>112-26-5</t>
  </si>
  <si>
    <t>N,N-dimethyldecanamide</t>
  </si>
  <si>
    <t>14433-76-2</t>
  </si>
  <si>
    <t>1,1'-oxybis(4-chlorobutane)</t>
  </si>
  <si>
    <t>6334-96-9</t>
  </si>
  <si>
    <t>nitrogen trifluoride</t>
  </si>
  <si>
    <t>7783-54-2</t>
  </si>
  <si>
    <t>diethylene glycol monovinyl ether</t>
  </si>
  <si>
    <t>929-37-3</t>
  </si>
  <si>
    <t>furan</t>
  </si>
  <si>
    <t>110-00-9</t>
  </si>
  <si>
    <t>diethylene glycol dimethyl ether</t>
  </si>
  <si>
    <t>111-96-6</t>
  </si>
  <si>
    <t>2,2'-oxybis(ethylamine)</t>
  </si>
  <si>
    <t>2752-17-2</t>
  </si>
  <si>
    <t>lupinine acrylate</t>
  </si>
  <si>
    <t>60537-74-8</t>
  </si>
  <si>
    <t>allyl (3-methylbutoxy)acetate</t>
  </si>
  <si>
    <t>67634-00-8</t>
  </si>
  <si>
    <t>2-methoxy-1-propyl acetate</t>
  </si>
  <si>
    <t>70657-70-4</t>
  </si>
  <si>
    <t>ethoxyquin</t>
  </si>
  <si>
    <t>91-53-2</t>
  </si>
  <si>
    <t>N,N-dimethyl-2-[2-(methylamino)ethoxy]-ethanamine</t>
  </si>
  <si>
    <t>93240-93-8</t>
  </si>
  <si>
    <t>2,2'-(4-methylphenylimino)diethanol</t>
  </si>
  <si>
    <t>3077-12-1</t>
  </si>
  <si>
    <t>N,N-bis(2-hydroxypropyl)aniline</t>
  </si>
  <si>
    <t>3077-13-2</t>
  </si>
  <si>
    <t>2-amino-1-phenylethanol</t>
  </si>
  <si>
    <t>7568-93-6</t>
  </si>
  <si>
    <t>2-[ethyl(methyl)amino]-1-phenyl-1-propanol</t>
  </si>
  <si>
    <t>7681-79-0</t>
  </si>
  <si>
    <t>2-ethoxyethyl acetate</t>
  </si>
  <si>
    <t>111-15-9</t>
  </si>
  <si>
    <t>diethylene glycol monomethyl ether</t>
  </si>
  <si>
    <t>111-77-3</t>
  </si>
  <si>
    <t>tetrahydrodicyclopentadiene</t>
  </si>
  <si>
    <t>2825-82-3</t>
  </si>
  <si>
    <t>5,6-dihydrodicyclopentadiene</t>
  </si>
  <si>
    <t>4488-57-7</t>
  </si>
  <si>
    <t>6-acetoxydicyclopentadiene</t>
  </si>
  <si>
    <t>54830-99-8</t>
  </si>
  <si>
    <t>N,N'-bis(2,2,6,6-tetramethyl-4-piperidinyl)-1,6-hexanediamine</t>
  </si>
  <si>
    <t>61260-55-7</t>
  </si>
  <si>
    <t>methyl methoxyacetate</t>
  </si>
  <si>
    <t>6290-49-9</t>
  </si>
  <si>
    <t>tricyclopentadiene</t>
  </si>
  <si>
    <t>7158-25-0</t>
  </si>
  <si>
    <t>butyl glycolate</t>
  </si>
  <si>
    <t>7397-62-8</t>
  </si>
  <si>
    <t>ethyl-3-ethoxypropionate</t>
  </si>
  <si>
    <t>763-69-9</t>
  </si>
  <si>
    <t>dicyclopentadiene</t>
  </si>
  <si>
    <t>77-73-6</t>
  </si>
  <si>
    <t>polyethylene imine</t>
  </si>
  <si>
    <t>9002-98-6</t>
  </si>
  <si>
    <t>cyclohexanone oxime</t>
  </si>
  <si>
    <t>100-64-1</t>
  </si>
  <si>
    <t>diethylene glycol mono-2-methyl pentyl ether</t>
  </si>
  <si>
    <t>10143-56-3</t>
  </si>
  <si>
    <t>isoquinoline</t>
  </si>
  <si>
    <t>119-65-3</t>
  </si>
  <si>
    <t>tetrachloroethylene</t>
  </si>
  <si>
    <t>127-18-4</t>
  </si>
  <si>
    <t>methylquinoline, unspecified</t>
  </si>
  <si>
    <t>27601-00-9</t>
  </si>
  <si>
    <t>(2,2,6,6-tetramethyl-4-oxo-1-piperidinyl)oxidanyl</t>
  </si>
  <si>
    <t>2896-70-0</t>
  </si>
  <si>
    <t>4-methylquinoline</t>
  </si>
  <si>
    <t>491-35-0</t>
  </si>
  <si>
    <t>8-methylquinoline</t>
  </si>
  <si>
    <t>611-32-5</t>
  </si>
  <si>
    <t>3-methylquinoline</t>
  </si>
  <si>
    <t>612-58-8</t>
  </si>
  <si>
    <t>7-methylquinoline</t>
  </si>
  <si>
    <t>612-60-2</t>
  </si>
  <si>
    <t>1,2,3,4-tetrahydroquinoline</t>
  </si>
  <si>
    <t>635-46-1</t>
  </si>
  <si>
    <t>distillates (petroleum), C3-6, piperylene-rich</t>
  </si>
  <si>
    <t>68477-35-0</t>
  </si>
  <si>
    <t>5-methylquinoline</t>
  </si>
  <si>
    <t>7661-55-4</t>
  </si>
  <si>
    <t>1,5-dimethyl-2-piperidone</t>
  </si>
  <si>
    <t>86917-58-0</t>
  </si>
  <si>
    <t>quinoline</t>
  </si>
  <si>
    <t>91-22-5</t>
  </si>
  <si>
    <t>6-methylquinoline</t>
  </si>
  <si>
    <t>91-62-3</t>
  </si>
  <si>
    <t>2-methylquinoline</t>
  </si>
  <si>
    <t>91-63-4</t>
  </si>
  <si>
    <t>1,4-cyclohexanedimethanol</t>
  </si>
  <si>
    <t>105-08-8</t>
  </si>
  <si>
    <t>butyric anhydride</t>
  </si>
  <si>
    <t>106-31-0</t>
  </si>
  <si>
    <t>ethylenediamine</t>
  </si>
  <si>
    <t>107-15-3</t>
  </si>
  <si>
    <t>N,N,N,N-tetramethylethylenediamine</t>
  </si>
  <si>
    <t>110-18-9</t>
  </si>
  <si>
    <t>2-methoxyethyl acetate</t>
  </si>
  <si>
    <t>110-49-6</t>
  </si>
  <si>
    <t>amyl bromide</t>
  </si>
  <si>
    <t>110-53-2</t>
  </si>
  <si>
    <t>1,1,3,5-tetramethyl piperidinium chloride</t>
  </si>
  <si>
    <t>113277-69-3</t>
  </si>
  <si>
    <t>N,N'-diisopropyl-2-methyl-1,5-pentanediamine</t>
  </si>
  <si>
    <t>121255-03-6</t>
  </si>
  <si>
    <t>N,N-dimethylaniline</t>
  </si>
  <si>
    <t>121-69-7</t>
  </si>
  <si>
    <t>propionic anhydride</t>
  </si>
  <si>
    <t>123-62-6</t>
  </si>
  <si>
    <t>n-butyl benzoate</t>
  </si>
  <si>
    <t>136-60-7</t>
  </si>
  <si>
    <t>acetoxy acetic acid</t>
  </si>
  <si>
    <t>13831-30-6</t>
  </si>
  <si>
    <t>acetic acid, aluminum salt (3:1)</t>
  </si>
  <si>
    <t>139-12-8</t>
  </si>
  <si>
    <t>1,5-diamino-2-methylpentane</t>
  </si>
  <si>
    <t>15520-10-2</t>
  </si>
  <si>
    <t>5-ethylidene-2-norbornene</t>
  </si>
  <si>
    <t>16219-75-3</t>
  </si>
  <si>
    <t>3-dimethylamino-N,N-dimethylpropionamide</t>
  </si>
  <si>
    <t>17268-47-2</t>
  </si>
  <si>
    <t>4-methyl-1-cyclohexanemethanol</t>
  </si>
  <si>
    <t>34885-03-5</t>
  </si>
  <si>
    <t>triacetone diamine</t>
  </si>
  <si>
    <t>36768-62-4</t>
  </si>
  <si>
    <t>1,3-cyclohexanediol</t>
  </si>
  <si>
    <t>504-01-8</t>
  </si>
  <si>
    <t>methyl 4-methylcyclohexanecarboxylate</t>
  </si>
  <si>
    <t>51181-40-9</t>
  </si>
  <si>
    <t>2-butoxyethyl benzoate</t>
  </si>
  <si>
    <t>5451-76-3</t>
  </si>
  <si>
    <t>1,4-cyclohexanediol</t>
  </si>
  <si>
    <t>556-48-9</t>
  </si>
  <si>
    <t>cyclic hexanediol</t>
  </si>
  <si>
    <t>61412-63-3</t>
  </si>
  <si>
    <t>bromoheptane</t>
  </si>
  <si>
    <t>629-04-9</t>
  </si>
  <si>
    <t>Solvesso 100</t>
  </si>
  <si>
    <t>63231-51-6</t>
  </si>
  <si>
    <t>acetic acid</t>
  </si>
  <si>
    <t>64-19-7</t>
  </si>
  <si>
    <t>pyrolysis fuel oil (&lt; 25% benzene)</t>
  </si>
  <si>
    <t>69013-21-4</t>
  </si>
  <si>
    <t>dimethyl sulfide</t>
  </si>
  <si>
    <t>75-18-3</t>
  </si>
  <si>
    <t>2-ethyl hexanoyl chloride</t>
  </si>
  <si>
    <t>760-67-8</t>
  </si>
  <si>
    <t>bromoacetic acid</t>
  </si>
  <si>
    <t>79-08-3</t>
  </si>
  <si>
    <t>glycolic acid</t>
  </si>
  <si>
    <t>79-14-1</t>
  </si>
  <si>
    <t>triacetone amine</t>
  </si>
  <si>
    <t>826-36-8</t>
  </si>
  <si>
    <t>1,2-cyclohexanediol</t>
  </si>
  <si>
    <t>931-17-9</t>
  </si>
  <si>
    <t>ethyl benzoate</t>
  </si>
  <si>
    <t>93-89-0</t>
  </si>
  <si>
    <t>1,4-cyclohexanedicarboxylic acid, dimethyl ester</t>
  </si>
  <si>
    <t>94-60-0</t>
  </si>
  <si>
    <t>methyl glycolate</t>
  </si>
  <si>
    <t>96-35-5</t>
  </si>
  <si>
    <t>4-(methoxymethyl)cyclohexanemethanol</t>
  </si>
  <si>
    <t>98955-27-2</t>
  </si>
  <si>
    <t>tri-2-ethylhexyl trimellitate</t>
  </si>
  <si>
    <t>3319-31-1</t>
  </si>
  <si>
    <t>isopropylmorpholine</t>
  </si>
  <si>
    <t>1004-14-4</t>
  </si>
  <si>
    <t>4-butylmorpholine</t>
  </si>
  <si>
    <t>1005-67-0</t>
  </si>
  <si>
    <t>4-ethylmorpholine</t>
  </si>
  <si>
    <t>100-74-3</t>
  </si>
  <si>
    <t>4-(2-morpholine)methoxyethyl</t>
  </si>
  <si>
    <t>10220-23-2</t>
  </si>
  <si>
    <t>octadecenylsuccinic anhydride (ODSA-T)</t>
  </si>
  <si>
    <t>28777-98-2</t>
  </si>
  <si>
    <t>hexadecenylsuccinic anhydride</t>
  </si>
  <si>
    <t>32072-96-1</t>
  </si>
  <si>
    <t>n-formyl morpholine</t>
  </si>
  <si>
    <t>4394-85-8</t>
  </si>
  <si>
    <t>4-(3-hydroxypropyl)morpholine</t>
  </si>
  <si>
    <t>4441-30-9</t>
  </si>
  <si>
    <t>Fenvalerate</t>
  </si>
  <si>
    <t>51630-58-1</t>
  </si>
  <si>
    <t>4-morpholinoethanol</t>
  </si>
  <si>
    <t>622-40-2</t>
  </si>
  <si>
    <t>N-(oxiranylmethyl)-morpholine</t>
  </si>
  <si>
    <t>6270-19-5</t>
  </si>
  <si>
    <t>3-morpholino-1,2-propanediol</t>
  </si>
  <si>
    <t>6425-32-7</t>
  </si>
  <si>
    <t>alkenyl succinic anhydride</t>
  </si>
  <si>
    <t>67762-77-0</t>
  </si>
  <si>
    <t>bacteria, complex with amylase and proteinase</t>
  </si>
  <si>
    <t>68920-42-3</t>
  </si>
  <si>
    <t>chlorotrifluoroethylene</t>
  </si>
  <si>
    <t>79-38-9</t>
  </si>
  <si>
    <t>alpha-amylase, bacterial</t>
  </si>
  <si>
    <t>9000-85-5</t>
  </si>
  <si>
    <t>proteinase</t>
  </si>
  <si>
    <t>9001-92-7</t>
  </si>
  <si>
    <t>indene</t>
  </si>
  <si>
    <t>95-13-6</t>
  </si>
  <si>
    <t>1,3-dihydroxybenzene</t>
  </si>
  <si>
    <t>120-80-9</t>
  </si>
  <si>
    <t>benzenediol, all isomers</t>
  </si>
  <si>
    <t>12385-08-9</t>
  </si>
  <si>
    <t>hexahydro-4-methylazopin-2-one</t>
  </si>
  <si>
    <t>3623-05-0</t>
  </si>
  <si>
    <t>isobutyl propionate</t>
  </si>
  <si>
    <t>540-42-1</t>
  </si>
  <si>
    <t>n-butyl propionate</t>
  </si>
  <si>
    <t>590-01-2</t>
  </si>
  <si>
    <t>n-amyl propionate</t>
  </si>
  <si>
    <t>624-54-4</t>
  </si>
  <si>
    <t>isophorone</t>
  </si>
  <si>
    <t>78-59-1</t>
  </si>
  <si>
    <t>2-propoxy-1-propanol</t>
  </si>
  <si>
    <t>10215-30-2</t>
  </si>
  <si>
    <t>glyceryl triacetate</t>
  </si>
  <si>
    <t>102-76-1</t>
  </si>
  <si>
    <t>2-bromopentane</t>
  </si>
  <si>
    <t>107-81-3</t>
  </si>
  <si>
    <t>bromocyclohexane</t>
  </si>
  <si>
    <t>108-85-0</t>
  </si>
  <si>
    <t>2-isopropoxyethanol</t>
  </si>
  <si>
    <t>109-59-1</t>
  </si>
  <si>
    <t>n-butyronitrile</t>
  </si>
  <si>
    <t>109-74-0</t>
  </si>
  <si>
    <t>valeronitrile</t>
  </si>
  <si>
    <t>110-59-8</t>
  </si>
  <si>
    <t>1,2-dimethoxyethane</t>
  </si>
  <si>
    <t>110-71-4</t>
  </si>
  <si>
    <t>1,5-dibromopentane</t>
  </si>
  <si>
    <t>111-24-0</t>
  </si>
  <si>
    <t>acetochlor herbicide</t>
  </si>
  <si>
    <t>123113-74-6</t>
  </si>
  <si>
    <t>lauryl bromide</t>
  </si>
  <si>
    <t>143-15-7</t>
  </si>
  <si>
    <t>propylene glycol dibenzoate</t>
  </si>
  <si>
    <t>19224-26-1</t>
  </si>
  <si>
    <t>propenyl propyl benzoate</t>
  </si>
  <si>
    <t>197178-94-2</t>
  </si>
  <si>
    <t>dipropylene glycol monobenzoate</t>
  </si>
  <si>
    <t>32686-95-6</t>
  </si>
  <si>
    <t>Acetochlor</t>
  </si>
  <si>
    <t>34256-82-1</t>
  </si>
  <si>
    <t>vinyl bromide</t>
  </si>
  <si>
    <t>593-60-2</t>
  </si>
  <si>
    <t>capronitrile</t>
  </si>
  <si>
    <t>628-73-9</t>
  </si>
  <si>
    <t>ammonium acetate</t>
  </si>
  <si>
    <t>631-61-8</t>
  </si>
  <si>
    <t>2,2,4-trimethyl-1,3-pentanediol dibenzoate</t>
  </si>
  <si>
    <t>68052-23-3</t>
  </si>
  <si>
    <t>bromoethane</t>
  </si>
  <si>
    <t>74-96-4</t>
  </si>
  <si>
    <t>trimethylchlorosilane</t>
  </si>
  <si>
    <t>75-77-4</t>
  </si>
  <si>
    <t>isobutyronitrile</t>
  </si>
  <si>
    <t>78-82-0</t>
  </si>
  <si>
    <t>dipropylene glycol dibenzoate</t>
  </si>
  <si>
    <t>94-51-9</t>
  </si>
  <si>
    <t>N-ethyl-2-methylbenzene sulfonamide</t>
  </si>
  <si>
    <t>1077-56-1</t>
  </si>
  <si>
    <t>bis(2-chloroisopropyl) ether</t>
  </si>
  <si>
    <t>108-60-1</t>
  </si>
  <si>
    <t>sulfuryl fluoride</t>
  </si>
  <si>
    <t>2699-79-8</t>
  </si>
  <si>
    <t>N-butylbenzenesulfonamide</t>
  </si>
  <si>
    <t>3622-84-2</t>
  </si>
  <si>
    <t>bis[1-(chloromethyl) propyl] ether</t>
  </si>
  <si>
    <t>53622-12-1</t>
  </si>
  <si>
    <t>2,2-dichloroisopropyl ether</t>
  </si>
  <si>
    <t>63283-80-7</t>
  </si>
  <si>
    <t>ethyl tert-butyl ether</t>
  </si>
  <si>
    <t>637-92-3</t>
  </si>
  <si>
    <t>N-ethyl-p-toluenesulfonamide</t>
  </si>
  <si>
    <t>80-39-7</t>
  </si>
  <si>
    <t>n-ethyltoluene sulfonamide</t>
  </si>
  <si>
    <t>8047-99-2</t>
  </si>
  <si>
    <t>2-ethyl-2-oxazoline</t>
  </si>
  <si>
    <t>10431-98-8</t>
  </si>
  <si>
    <t>1,4-dinitrosobenzene</t>
  </si>
  <si>
    <t>105-12-4</t>
  </si>
  <si>
    <t>succinonitrile</t>
  </si>
  <si>
    <t>110-61-2</t>
  </si>
  <si>
    <t>triethylene amine</t>
  </si>
  <si>
    <t>1116-00-3</t>
  </si>
  <si>
    <t>1-ethylnaphthalene</t>
  </si>
  <si>
    <t>1127-76-0</t>
  </si>
  <si>
    <t>2-hydroxymethyl benzeneethanol, beta isomer</t>
  </si>
  <si>
    <t>134342-25-9</t>
  </si>
  <si>
    <t>dipropylamine</t>
  </si>
  <si>
    <t>142-84-7</t>
  </si>
  <si>
    <t>Thiabendazole</t>
  </si>
  <si>
    <t>148-79-8</t>
  </si>
  <si>
    <t>ethyl perfluorobutyl ether</t>
  </si>
  <si>
    <t>163702-05-4</t>
  </si>
  <si>
    <t>ethyl nonafluoroisobutyl ether</t>
  </si>
  <si>
    <t>163702-06-5</t>
  </si>
  <si>
    <t>perfluoro(isobutyl) methyl ether</t>
  </si>
  <si>
    <t>163702-08-7</t>
  </si>
  <si>
    <t>4,4-(ethyl-2-nitrotrimethylene, 2-) dimorpholine</t>
  </si>
  <si>
    <t>1854-23-5</t>
  </si>
  <si>
    <t>4-(2-nitrobutyl) morpholine</t>
  </si>
  <si>
    <t>2224-44-4</t>
  </si>
  <si>
    <t>1-allylnaphthalene</t>
  </si>
  <si>
    <t>2489-86-3</t>
  </si>
  <si>
    <t>ethyldimethylproylamine</t>
  </si>
  <si>
    <t>2738-06-9</t>
  </si>
  <si>
    <t>dimethylaminoethyl methacrylate</t>
  </si>
  <si>
    <t>2867-47-2</t>
  </si>
  <si>
    <t>dimethylnaphthalene (mixed isomers)</t>
  </si>
  <si>
    <t>28804-88-8</t>
  </si>
  <si>
    <t>2-trifluoromethyl-3-ethoxyperfluorohexane</t>
  </si>
  <si>
    <t>297730-93-9</t>
  </si>
  <si>
    <t>1,2,3,4-tetramethylnaphthalene</t>
  </si>
  <si>
    <t>3031-15-0</t>
  </si>
  <si>
    <t>2-hydroxymethyl benzeneethanol, alpha isomer</t>
  </si>
  <si>
    <t>33206-31-4</t>
  </si>
  <si>
    <t>3-chloro-2-hydroxypropyltrimethylammonium chloride</t>
  </si>
  <si>
    <t>3327-22-8</t>
  </si>
  <si>
    <t>2,3-dihydroxy-N,N,N-trimethyl-1-propanaminium chloride</t>
  </si>
  <si>
    <t>34004-36-9</t>
  </si>
  <si>
    <t>pentamethylene diamine</t>
  </si>
  <si>
    <t>462-94-2</t>
  </si>
  <si>
    <t>neodecanoic acid, ethenyl ester</t>
  </si>
  <si>
    <t>51000-52-3</t>
  </si>
  <si>
    <t>N,N-dimethyl-N-propyl-1-propanaminium bromide</t>
  </si>
  <si>
    <t>52509-52-1</t>
  </si>
  <si>
    <t>1,8-dimethylnaphthalene</t>
  </si>
  <si>
    <t>569-41-5</t>
  </si>
  <si>
    <t>1,4-dimethylnaphthalene</t>
  </si>
  <si>
    <t>571-58-4</t>
  </si>
  <si>
    <t>1,5-dimethylnaphthalene</t>
  </si>
  <si>
    <t>571-61-9</t>
  </si>
  <si>
    <t>1,2-dimethylnaphthalene</t>
  </si>
  <si>
    <t>573-98-8</t>
  </si>
  <si>
    <t>1,7-dimethylnaphthalene</t>
  </si>
  <si>
    <t>575-37-1</t>
  </si>
  <si>
    <t>1,3-dimethylnaphthalene</t>
  </si>
  <si>
    <t>575-41-7</t>
  </si>
  <si>
    <t>1,6-dimethylnaphthalene</t>
  </si>
  <si>
    <t>575-43-9</t>
  </si>
  <si>
    <t>2,3-dimethylnaphthalene</t>
  </si>
  <si>
    <t>581-40-8</t>
  </si>
  <si>
    <t>ethylene amine</t>
  </si>
  <si>
    <t>593-67-9</t>
  </si>
  <si>
    <t>1-phenylnaphthalene</t>
  </si>
  <si>
    <t>605-02-7</t>
  </si>
  <si>
    <t>3-amino-N-(carboxymethyl)-N,N-dimethyl-1-propanaminium, N-coco acyl derivs, chlorides, sodium salts</t>
  </si>
  <si>
    <t>61789-39-7</t>
  </si>
  <si>
    <t>ethyl iodide</t>
  </si>
  <si>
    <t>75-03-6</t>
  </si>
  <si>
    <t>isopropanolamine</t>
  </si>
  <si>
    <t>78-96-6</t>
  </si>
  <si>
    <t>perfluorotri-n-butylamine</t>
  </si>
  <si>
    <t>86508-42-1</t>
  </si>
  <si>
    <t>1-chloro-2-(trifluoromethyl)benzene</t>
  </si>
  <si>
    <t>88-16-4</t>
  </si>
  <si>
    <t>polyethylene glycol monooleate</t>
  </si>
  <si>
    <t>9004-96-0</t>
  </si>
  <si>
    <t>1-methylnaphthalene</t>
  </si>
  <si>
    <t>90-12-0</t>
  </si>
  <si>
    <t>2-methylnaphthalene</t>
  </si>
  <si>
    <t>91-57-6</t>
  </si>
  <si>
    <t>propyl acrylate</t>
  </si>
  <si>
    <t>925-60-0</t>
  </si>
  <si>
    <t>dimethylpropylamine</t>
  </si>
  <si>
    <t>926-63-6</t>
  </si>
  <si>
    <t>vinyl-2-ethylhexoate</t>
  </si>
  <si>
    <t>94-04-2</t>
  </si>
  <si>
    <t>alpha-methylbenzyl alcohol</t>
  </si>
  <si>
    <t>98-85-1</t>
  </si>
  <si>
    <t>hexamethyl disilizane</t>
  </si>
  <si>
    <t>999-97-3</t>
  </si>
  <si>
    <t>6-methyl-5-hepten-2-one</t>
  </si>
  <si>
    <t>110-93-0</t>
  </si>
  <si>
    <t>3-hepten-2-one</t>
  </si>
  <si>
    <t>1119-44-4</t>
  </si>
  <si>
    <t>2-aminobenzoic acid methyl ester</t>
  </si>
  <si>
    <t>134-20-3</t>
  </si>
  <si>
    <t>2-methoxy-1-propanol</t>
  </si>
  <si>
    <t>1589-47-5</t>
  </si>
  <si>
    <t>4-hepten-2-one</t>
  </si>
  <si>
    <t>24332-22-7</t>
  </si>
  <si>
    <t>5-methyl-4-hexen-2-one</t>
  </si>
  <si>
    <t>28332-44-7</t>
  </si>
  <si>
    <t>4,4'-methylenebis(2-carbomethoxyaniline)</t>
  </si>
  <si>
    <t>31383-81-0</t>
  </si>
  <si>
    <t>5-methyl-5-hexen-2-one</t>
  </si>
  <si>
    <t>3240-09-3</t>
  </si>
  <si>
    <t>2-methylhept-2-en-6-one</t>
  </si>
  <si>
    <t>409-02-9</t>
  </si>
  <si>
    <t>ethylene glycol butyl ethyl ether</t>
  </si>
  <si>
    <t>4413-13-2</t>
  </si>
  <si>
    <t>5-methyl-3-hexen-2-one</t>
  </si>
  <si>
    <t>5166-53-0</t>
  </si>
  <si>
    <t>(3E)-3-methyl-3-penten-2-one</t>
  </si>
  <si>
    <t>565-62-8</t>
  </si>
  <si>
    <t>2-hydroxy-2-methylpropiophenone</t>
  </si>
  <si>
    <t>7473-98-5</t>
  </si>
  <si>
    <t>3-methyl-3-buten-2-one</t>
  </si>
  <si>
    <t>814-78-8</t>
  </si>
  <si>
    <t>propiophenone</t>
  </si>
  <si>
    <t>93-55-0</t>
  </si>
  <si>
    <t>thioglycerol</t>
  </si>
  <si>
    <t>96-27-5</t>
  </si>
  <si>
    <t>4-chlorobenzyl chloride</t>
  </si>
  <si>
    <t>104-83-6</t>
  </si>
  <si>
    <t>crotonic acid</t>
  </si>
  <si>
    <t>107-93-7</t>
  </si>
  <si>
    <t>tetramethylene diamine</t>
  </si>
  <si>
    <t>110-60-1</t>
  </si>
  <si>
    <t>2-ethoxyethanol</t>
  </si>
  <si>
    <t>110-80-5</t>
  </si>
  <si>
    <t>2,2,2-trichloroethanol</t>
  </si>
  <si>
    <t>115-20-8</t>
  </si>
  <si>
    <t>tetra-N-butyl-butanediyldiamine</t>
  </si>
  <si>
    <t>27195-72-8</t>
  </si>
  <si>
    <t>2,2'-[1,2-ethanediylbis{oxy}bis[n,n-dimethyl]ethaneamine</t>
  </si>
  <si>
    <t>3065-46-1</t>
  </si>
  <si>
    <t>alpha,alpha'-(((3-methylphenyl)imino)di-2,1-ethanediyl)bis(omega-hydroxy-poly(oxy-1,2-ethanediyl))</t>
  </si>
  <si>
    <t>36356-82-8</t>
  </si>
  <si>
    <t>alpha,alpha'-((phenylimino)di-2,1-ethanediyl)bis(omega-hydroxy-poly(oxy-1,2-ethanediyl))</t>
  </si>
  <si>
    <t>36356-83-9</t>
  </si>
  <si>
    <t>3-methylacrylic acid</t>
  </si>
  <si>
    <t>3724-65-0</t>
  </si>
  <si>
    <t>trimethylolpropane tris[poly(propylene glycol), amine terminated] ether</t>
  </si>
  <si>
    <t>39423-51-3</t>
  </si>
  <si>
    <t>neodecanoyl chloride</t>
  </si>
  <si>
    <t>40292-82-8</t>
  </si>
  <si>
    <t>3-chloropropionitrile</t>
  </si>
  <si>
    <t>542-76-7</t>
  </si>
  <si>
    <t>2-isopropyl-2,3-dimethylbutyronitrile</t>
  </si>
  <si>
    <t>55897-64-8</t>
  </si>
  <si>
    <t>propylene glycol</t>
  </si>
  <si>
    <t>57-55-6</t>
  </si>
  <si>
    <t>alpha,alpha'-((9-octadecen-1-ylimino)di-2,1-ethanediyl)bis(omega-hydroxy)poly(oxy-1,2-ethanediyl)</t>
  </si>
  <si>
    <t>58253-49-9</t>
  </si>
  <si>
    <t>2-chlorobenzyl chloride</t>
  </si>
  <si>
    <t>611-19-8</t>
  </si>
  <si>
    <t>soya alkyl amine ethoxylated</t>
  </si>
  <si>
    <t>61791-24-0</t>
  </si>
  <si>
    <t>O,O'-bis(2-aminopropyl) polypropylene glycol-block-polyethylene glycol-block-polypropylene glycol</t>
  </si>
  <si>
    <t>65605-36-9</t>
  </si>
  <si>
    <t>poly[oxy{methyl-1,2-ethanediyl},alpha-[2-{aminocarbonyl}amino]methylethyl]-omega-[2-aminocarbonyl]amino]methylethoxy]-</t>
  </si>
  <si>
    <t>65605-54-1</t>
  </si>
  <si>
    <t>poly(oxy-1,2-ethanediyl),alpha,alpha'-[[methyl[3-(tridecyloxy)propyl]iminio]di-2,1-ethanediyl]bis[omega-hydroxy-, branched, chlorides</t>
  </si>
  <si>
    <t>68610-19-5</t>
  </si>
  <si>
    <t>polyethylenepolyamines, ethoxylated, phosphonomethylated, sodium salt</t>
  </si>
  <si>
    <t>70900-16-2</t>
  </si>
  <si>
    <t>formamide</t>
  </si>
  <si>
    <t>75-12-7</t>
  </si>
  <si>
    <t>methacrylic acid</t>
  </si>
  <si>
    <t>79-41-4</t>
  </si>
  <si>
    <t>methoxypoly[oxyethylene/oxypropylene]-2-propylamine</t>
  </si>
  <si>
    <t>83713-01-3</t>
  </si>
  <si>
    <t>polyoxypropylenediamine</t>
  </si>
  <si>
    <t>9046-10-0</t>
  </si>
  <si>
    <t>gamma-butyrolactone</t>
  </si>
  <si>
    <t>96-48-0</t>
  </si>
  <si>
    <t>N,N,N',N'-tetramethyl-1,3-butanediamine</t>
  </si>
  <si>
    <t>97-84-7</t>
  </si>
  <si>
    <t>glyphosate</t>
  </si>
  <si>
    <t>1071-83-6</t>
  </si>
  <si>
    <t>hexamethylenetetramine</t>
  </si>
  <si>
    <t>100-97-0</t>
  </si>
  <si>
    <t>2-methyl-3-butyn-2-ol</t>
  </si>
  <si>
    <t>115-19-5</t>
  </si>
  <si>
    <t>2-phenoxyethanol</t>
  </si>
  <si>
    <t>122-99-6</t>
  </si>
  <si>
    <t>(benzyloxy)methanol</t>
  </si>
  <si>
    <t>14548-60-8</t>
  </si>
  <si>
    <t>para-dodecylphenol</t>
  </si>
  <si>
    <t>210555-94-5</t>
  </si>
  <si>
    <t>nonylphenol, mixed isomers</t>
  </si>
  <si>
    <t>25154-52-3</t>
  </si>
  <si>
    <t>2-octyl-4-isothiazolin-3-one</t>
  </si>
  <si>
    <t>26530-20-1</t>
  </si>
  <si>
    <t>2-methyl-4-isothiazolin-3-one</t>
  </si>
  <si>
    <t>2682-20-4</t>
  </si>
  <si>
    <t>2-(7-methyloctyl)phenol</t>
  </si>
  <si>
    <t>27938-31-4</t>
  </si>
  <si>
    <t>S-allyl O-pentyl dithiocarbonate</t>
  </si>
  <si>
    <t>2956-12-9</t>
  </si>
  <si>
    <t>triclopyr triethylamine salt</t>
  </si>
  <si>
    <t>57213-69-1</t>
  </si>
  <si>
    <t>propylene diamine</t>
  </si>
  <si>
    <t>78-90-0</t>
  </si>
  <si>
    <t>trimethyl-N, 2-hyroxyethylpropylenediamine</t>
  </si>
  <si>
    <t>82136-26-3</t>
  </si>
  <si>
    <t>2-nonylphenol, branched</t>
  </si>
  <si>
    <t>91672-41-2</t>
  </si>
  <si>
    <t>2-methoxyethanol</t>
  </si>
  <si>
    <t>109-86-4</t>
  </si>
  <si>
    <t>methylol dimethylhydantoin</t>
  </si>
  <si>
    <t>116-25-6</t>
  </si>
  <si>
    <t>triisobutyl phosphate</t>
  </si>
  <si>
    <t>126-71-6</t>
  </si>
  <si>
    <t>ethyl acrylate</t>
  </si>
  <si>
    <t>140-88-5</t>
  </si>
  <si>
    <t>halothane</t>
  </si>
  <si>
    <t>151-67-7</t>
  </si>
  <si>
    <t>butyl glycidyl ether</t>
  </si>
  <si>
    <t>2426-08-6</t>
  </si>
  <si>
    <t>5-(hydroxymethyl)-1,3-dimethyl-2,4-imidazolidinedione</t>
  </si>
  <si>
    <t>27636-82-4</t>
  </si>
  <si>
    <t>dioctyldimethylammonium chloride</t>
  </si>
  <si>
    <t>5538-94-3</t>
  </si>
  <si>
    <t>1,3-bis(hydroxymethyl)-5,5-dimethyl-2,4-imidazolidinedione</t>
  </si>
  <si>
    <t>6440-58-0</t>
  </si>
  <si>
    <t>3,3'-methylenebis(5-methyloxazolidine)</t>
  </si>
  <si>
    <t>66204-44-2</t>
  </si>
  <si>
    <t>1,3-dichloro-2-butene</t>
  </si>
  <si>
    <t>7415-31-8</t>
  </si>
  <si>
    <t>dimethyl acetylenedicarboxylate</t>
  </si>
  <si>
    <t>762-42-5</t>
  </si>
  <si>
    <t>tertiary butyl glycidyl ether</t>
  </si>
  <si>
    <t>7665-72-7</t>
  </si>
  <si>
    <t>1,3-dichloro-2-butene, mixture of cis and trans</t>
  </si>
  <si>
    <t>926-57-8</t>
  </si>
  <si>
    <t>n-amyl amine</t>
  </si>
  <si>
    <t>110-58-7</t>
  </si>
  <si>
    <t>o-toluic acid</t>
  </si>
  <si>
    <t>118-90-1</t>
  </si>
  <si>
    <t>p-phenetidine</t>
  </si>
  <si>
    <t>156-43-4</t>
  </si>
  <si>
    <t>trihexyl(tetradecyl)phosphonium chloride</t>
  </si>
  <si>
    <t>258864-54-9</t>
  </si>
  <si>
    <t>1-ethyl-3-methylimidazolium ethyl sulfate</t>
  </si>
  <si>
    <t>342573-75-5</t>
  </si>
  <si>
    <t>diethyl-1,2-dihydro-1-phenyl-2-propylpyridine</t>
  </si>
  <si>
    <t>34562-31-7</t>
  </si>
  <si>
    <t>methyl vinyl acetate</t>
  </si>
  <si>
    <t>3724-55-8</t>
  </si>
  <si>
    <t>dibutyl 2,2'-oxybisacetate</t>
  </si>
  <si>
    <t>6634-18-0</t>
  </si>
  <si>
    <t>1-ethyl-2-(8-heptadecenyl)-4,5-dihydro-3-(2-hydroxyethyl)-(1H-imidazolium) ethyl sulfate</t>
  </si>
  <si>
    <t>68039-12-3</t>
  </si>
  <si>
    <t>isobutylamine</t>
  </si>
  <si>
    <t>78-81-9</t>
  </si>
  <si>
    <t>2-N-dibutylaminoethanol</t>
  </si>
  <si>
    <t>102-81-8</t>
  </si>
  <si>
    <t>propionitrile</t>
  </si>
  <si>
    <t>107-12-0</t>
  </si>
  <si>
    <t>O,O-diisopropyl dithiophosphoric acid</t>
  </si>
  <si>
    <t>107-56-2</t>
  </si>
  <si>
    <t>methylethanolamine</t>
  </si>
  <si>
    <t>109-83-1</t>
  </si>
  <si>
    <t>diethyl disulfide</t>
  </si>
  <si>
    <t>110-81-6</t>
  </si>
  <si>
    <t>hexyl bromide</t>
  </si>
  <si>
    <t>111-25-1</t>
  </si>
  <si>
    <t>dipropyl sulfide</t>
  </si>
  <si>
    <t>111-47-7</t>
  </si>
  <si>
    <t>4-chloro-3-nitrobenzotrifluoride</t>
  </si>
  <si>
    <t>121-17-5</t>
  </si>
  <si>
    <t>benzyl disulfide</t>
  </si>
  <si>
    <t>150-60-7</t>
  </si>
  <si>
    <t>3,3'-oxybis-propionitrile</t>
  </si>
  <si>
    <t>1656-48-0</t>
  </si>
  <si>
    <t>2-mercaptoacetic acid, compds. with alkylpyridines</t>
  </si>
  <si>
    <t>168612-10-0</t>
  </si>
  <si>
    <t>2,2'-disulfanediyldiethanol</t>
  </si>
  <si>
    <t>1892-29-1</t>
  </si>
  <si>
    <t>ethyl methyl disulfide</t>
  </si>
  <si>
    <t>20333-39-5</t>
  </si>
  <si>
    <t>diallyl trisulfide</t>
  </si>
  <si>
    <t>2050-87-5</t>
  </si>
  <si>
    <t>aminocapronitrile</t>
  </si>
  <si>
    <t>2432-74-8</t>
  </si>
  <si>
    <t>dodecyl sulfide</t>
  </si>
  <si>
    <t>2469-45-6</t>
  </si>
  <si>
    <t>octyl sulfide</t>
  </si>
  <si>
    <t>2690-08-6</t>
  </si>
  <si>
    <t>methyl-3-mercaptopropionate</t>
  </si>
  <si>
    <t>2935-90-2</t>
  </si>
  <si>
    <t>O,O'-diethyl dithiophosphate</t>
  </si>
  <si>
    <t>298-06-6</t>
  </si>
  <si>
    <t>2-hydroxymethylamino ethanol</t>
  </si>
  <si>
    <t>34375-28-5</t>
  </si>
  <si>
    <t>diethyl sulfide</t>
  </si>
  <si>
    <t>352-93-2</t>
  </si>
  <si>
    <t>2-hydroxyethyl-n-octyl sulfide</t>
  </si>
  <si>
    <t>3547-33-9</t>
  </si>
  <si>
    <t>dodecyl methyl sulfide</t>
  </si>
  <si>
    <t>3698-89-3</t>
  </si>
  <si>
    <t>ethyl n-octyl sulfide</t>
  </si>
  <si>
    <t>3698-94-0</t>
  </si>
  <si>
    <t>methyl-3-methoxy proprionate</t>
  </si>
  <si>
    <t>3852-09-3</t>
  </si>
  <si>
    <t>ethylene sulfide</t>
  </si>
  <si>
    <t>420-12-2</t>
  </si>
  <si>
    <t>diisopropyl disulfide</t>
  </si>
  <si>
    <t>4253-89-9</t>
  </si>
  <si>
    <t>2-(acryloyloxy)ethyl)trimethylammonium chloride</t>
  </si>
  <si>
    <t>5039-78-1</t>
  </si>
  <si>
    <t>2-methylfuran</t>
  </si>
  <si>
    <t>534-22-5</t>
  </si>
  <si>
    <t>benzyl sulfide</t>
  </si>
  <si>
    <t>538-74-9</t>
  </si>
  <si>
    <t>4-methyl-3-thiadecane</t>
  </si>
  <si>
    <t>53970-40-4</t>
  </si>
  <si>
    <t>dibutyl sulfide</t>
  </si>
  <si>
    <t>544-40-1</t>
  </si>
  <si>
    <t>diallyl sulfide</t>
  </si>
  <si>
    <t>592-88-1</t>
  </si>
  <si>
    <t>N-nitrosomorpholine</t>
  </si>
  <si>
    <t>59-89-2</t>
  </si>
  <si>
    <t>2-thiabutane</t>
  </si>
  <si>
    <t>624-89-5</t>
  </si>
  <si>
    <t>isopropyl sulfide</t>
  </si>
  <si>
    <t>625-80-9</t>
  </si>
  <si>
    <t>dipropyl disulfide</t>
  </si>
  <si>
    <t>629-19-6</t>
  </si>
  <si>
    <t>hexyl sulfide</t>
  </si>
  <si>
    <t>6294-31-1</t>
  </si>
  <si>
    <t>C1-C14 alkyldithiophosphoric acid</t>
  </si>
  <si>
    <t>68187-41-7</t>
  </si>
  <si>
    <t>di-tert-nonyl polysulfide</t>
  </si>
  <si>
    <t>68425-16-1</t>
  </si>
  <si>
    <t>tert-butyl polysulfide</t>
  </si>
  <si>
    <t>68937-96-2</t>
  </si>
  <si>
    <t>3,4-dichloro-1-butene</t>
  </si>
  <si>
    <t>760-23-6</t>
  </si>
  <si>
    <t>methoxyflurane</t>
  </si>
  <si>
    <t>76-38-0</t>
  </si>
  <si>
    <t>2-(2-hydroxyethylamino)ethanol</t>
  </si>
  <si>
    <t>8033-73-6</t>
  </si>
  <si>
    <t>dioctyl disulfide</t>
  </si>
  <si>
    <t>822-27-5</t>
  </si>
  <si>
    <t>4-(4-(methylamino)styryl)-phenol</t>
  </si>
  <si>
    <t>866475-34-5</t>
  </si>
  <si>
    <t>ethoxybenzene</t>
  </si>
  <si>
    <t>103-73-1</t>
  </si>
  <si>
    <t>3-diethylaminopropylamine</t>
  </si>
  <si>
    <t>104-78-9</t>
  </si>
  <si>
    <t>ethyl propionate</t>
  </si>
  <si>
    <t>105-37-3</t>
  </si>
  <si>
    <t>dimethylaminoethoxyethanol</t>
  </si>
  <si>
    <t>1704-62-7</t>
  </si>
  <si>
    <t>trimethoxysilane</t>
  </si>
  <si>
    <t>2487-90-3</t>
  </si>
  <si>
    <t>1,1-dichloropropan-1-ol</t>
  </si>
  <si>
    <t>26545-73-3</t>
  </si>
  <si>
    <t>isooctyltrimethoxysilane</t>
  </si>
  <si>
    <t>34396-03-7</t>
  </si>
  <si>
    <t>isopropyl methacrylate</t>
  </si>
  <si>
    <t>4655-34-9</t>
  </si>
  <si>
    <t>carbon tetrachloride</t>
  </si>
  <si>
    <t>56-23-5</t>
  </si>
  <si>
    <t>2,3-dichloro-2-propanol</t>
  </si>
  <si>
    <t>616-23-9</t>
  </si>
  <si>
    <t>tetramethoxysilane</t>
  </si>
  <si>
    <t>681-84-5</t>
  </si>
  <si>
    <t>1,3-dichloro-2-propanol</t>
  </si>
  <si>
    <t>96-23-1</t>
  </si>
  <si>
    <t>p-sec-butyl phenol</t>
  </si>
  <si>
    <t>99-71-8</t>
  </si>
  <si>
    <t>benzylamine</t>
  </si>
  <si>
    <t>100-46-9</t>
  </si>
  <si>
    <t>diphenylmethane</t>
  </si>
  <si>
    <t>101-81-5</t>
  </si>
  <si>
    <t>dibenzyl ether</t>
  </si>
  <si>
    <t>103-50-4</t>
  </si>
  <si>
    <t>1-hexyn-3-ol</t>
  </si>
  <si>
    <t>105-31-7</t>
  </si>
  <si>
    <t>ethyl acetoacetate</t>
  </si>
  <si>
    <t>141-97-9</t>
  </si>
  <si>
    <t>2,2-dimethylthiazolidine</t>
  </si>
  <si>
    <t>19351-18-9</t>
  </si>
  <si>
    <t>1,4-diglycidyloxybutane</t>
  </si>
  <si>
    <t>2425-79-8</t>
  </si>
  <si>
    <t>polyethyleneimine</t>
  </si>
  <si>
    <t>26913-06-4</t>
  </si>
  <si>
    <t>thiazole</t>
  </si>
  <si>
    <t>288-47-1</t>
  </si>
  <si>
    <t>2-dehydrolinalool</t>
  </si>
  <si>
    <t>29171-20-8</t>
  </si>
  <si>
    <t>2-methylthiazole</t>
  </si>
  <si>
    <t>3581-87-1</t>
  </si>
  <si>
    <t>3-fluorobenzotrifluoride</t>
  </si>
  <si>
    <t>401-80-9</t>
  </si>
  <si>
    <t>4-ethyl-1-octyn-3-ol</t>
  </si>
  <si>
    <t>5877-42-9</t>
  </si>
  <si>
    <t>3-hexanone</t>
  </si>
  <si>
    <t>589-38-8</t>
  </si>
  <si>
    <t>n,n-diisopropylethylamine</t>
  </si>
  <si>
    <t>7087-68-5</t>
  </si>
  <si>
    <t>2-methyl-3-hexanone</t>
  </si>
  <si>
    <t>7379-12-6</t>
  </si>
  <si>
    <t>2-butoxyethanol phosphate (3:1)</t>
  </si>
  <si>
    <t>78-51-3</t>
  </si>
  <si>
    <t>chloroxylenol</t>
  </si>
  <si>
    <t>88-04-0</t>
  </si>
  <si>
    <t>benzotrifluoride</t>
  </si>
  <si>
    <t>98-08-8</t>
  </si>
  <si>
    <t>alpha-[3-[3-(2H-benzotriazol-2-yl)-5-(1,1-dimethylethyl)-4-hydroxyphenyl]-1-oxopropyl]-omega-[3-[3-(2Hbenzotriazol-2-yl)-5-(1,1-dimethylethyl)-4-hydroxyphenyl]-1-oxopropoxy]poly(oxy-1,2-ethanediyl)</t>
  </si>
  <si>
    <t>104810-47-1</t>
  </si>
  <si>
    <t>[3-[3-(2H-benzotriazol-2-yl)-5-(1,1-dimethylethyl)-4-hydroxyphenyl]-1-oxopropyl]-hydroxypoly(oxo-1,2-ethanediyl)</t>
  </si>
  <si>
    <t>104810-48-2</t>
  </si>
  <si>
    <t>propylamine</t>
  </si>
  <si>
    <t>107-10-8</t>
  </si>
  <si>
    <t>acetic anhydride</t>
  </si>
  <si>
    <t>108-24-7</t>
  </si>
  <si>
    <t>diisobutylamine</t>
  </si>
  <si>
    <t>110-96-3</t>
  </si>
  <si>
    <t>triisobutylamine</t>
  </si>
  <si>
    <t>1116-40-1</t>
  </si>
  <si>
    <t>2,6-bis(1-methylpropyl)-4-[2-(4-nitrophenyl)diazenyl]phenol</t>
  </si>
  <si>
    <t>111850-24-9</t>
  </si>
  <si>
    <t>5-butyl-1H-1,2,3-benzotriazole, sodium salt</t>
  </si>
  <si>
    <t>118685-34-0</t>
  </si>
  <si>
    <t>benzotriazole derivative</t>
  </si>
  <si>
    <t>127519-17-9</t>
  </si>
  <si>
    <t>5-methyl-2H-benzotriazole</t>
  </si>
  <si>
    <t>136-85-6</t>
  </si>
  <si>
    <t>2 (2'-hydroxy-5'-methylphenyl) benzotriazole</t>
  </si>
  <si>
    <t>2440-22-4</t>
  </si>
  <si>
    <t>1H-benzotriazole, sulfate</t>
  </si>
  <si>
    <t>24694-40-4</t>
  </si>
  <si>
    <t>3-chloropropyltrimethoxysilane</t>
  </si>
  <si>
    <t>2530-87-2</t>
  </si>
  <si>
    <t>2-(2'-hydroxy-3,5'-diteramylphenyl) benzotriazole</t>
  </si>
  <si>
    <t>25973-55-1</t>
  </si>
  <si>
    <t>3-pentenenitrile</t>
  </si>
  <si>
    <t>4635-87-4</t>
  </si>
  <si>
    <t>1,1-dichloro-1-nitroethane</t>
  </si>
  <si>
    <t>594-72-9</t>
  </si>
  <si>
    <t>2-(2H-benzotriazol-2-yl)-6-(1-methyl-1-phenylethyl)-4-(1,1,3,3-tetramethylbutyl)phenol</t>
  </si>
  <si>
    <t>73936-91-1</t>
  </si>
  <si>
    <t>bromomethane</t>
  </si>
  <si>
    <t>74-83-9</t>
  </si>
  <si>
    <t>methyl iodide</t>
  </si>
  <si>
    <t>74-88-4</t>
  </si>
  <si>
    <t>diiodomethane</t>
  </si>
  <si>
    <t>75-11-6</t>
  </si>
  <si>
    <t>isopropylamine</t>
  </si>
  <si>
    <t>75-31-0</t>
  </si>
  <si>
    <t>1,2,3-benzotriazole</t>
  </si>
  <si>
    <t>95-14-7</t>
  </si>
  <si>
    <t>ethylene glycol mono-2-methylpentyl ether</t>
  </si>
  <si>
    <t>10137-96-9</t>
  </si>
  <si>
    <t>N,N-dimethylbenzylamine</t>
  </si>
  <si>
    <t>103-83-3</t>
  </si>
  <si>
    <t>4-butylaniline</t>
  </si>
  <si>
    <t>104-13-2</t>
  </si>
  <si>
    <t>bis(2-chloroethoxy)methane</t>
  </si>
  <si>
    <t>111-91-1</t>
  </si>
  <si>
    <t>methyl formamide</t>
  </si>
  <si>
    <t>123-39-7</t>
  </si>
  <si>
    <t>butyl acrylate</t>
  </si>
  <si>
    <t>141-32-2</t>
  </si>
  <si>
    <t>hexyl acrylate</t>
  </si>
  <si>
    <t>2499-95-8</t>
  </si>
  <si>
    <t>nitroxylene</t>
  </si>
  <si>
    <t>25168-04-1</t>
  </si>
  <si>
    <t>2-ethylhexenal</t>
  </si>
  <si>
    <t>26266-68-2</t>
  </si>
  <si>
    <t>cyanogen</t>
  </si>
  <si>
    <t>460-19-5</t>
  </si>
  <si>
    <t>S-triazine-1,3,5(2H, 4H, 6H)-triethanol</t>
  </si>
  <si>
    <t>4719-04-4</t>
  </si>
  <si>
    <t>metrifonate</t>
  </si>
  <si>
    <t>52-68-6</t>
  </si>
  <si>
    <t>(2Z)-2-heptenal</t>
  </si>
  <si>
    <t>57266-86-1</t>
  </si>
  <si>
    <t>2-ethyl-2-hexenal</t>
  </si>
  <si>
    <t>64344-45-2</t>
  </si>
  <si>
    <t>645-62-5</t>
  </si>
  <si>
    <t>dichlorodimethylsilane</t>
  </si>
  <si>
    <t>75-78-5</t>
  </si>
  <si>
    <t>isopropylaniline</t>
  </si>
  <si>
    <t>768-52-5</t>
  </si>
  <si>
    <t>2,6-dichlorophenol</t>
  </si>
  <si>
    <t>87-65-0</t>
  </si>
  <si>
    <t>o-nitrotoluene</t>
  </si>
  <si>
    <t>88-72-2</t>
  </si>
  <si>
    <t>allyl methacrylate</t>
  </si>
  <si>
    <t>96-05-9</t>
  </si>
  <si>
    <t>m-nitrotoluene</t>
  </si>
  <si>
    <t>99-08-1</t>
  </si>
  <si>
    <t>p-nitrotoluene</t>
  </si>
  <si>
    <t>99-99-0</t>
  </si>
  <si>
    <t>hydrogen bromide</t>
  </si>
  <si>
    <t>10035-10-6</t>
  </si>
  <si>
    <t>didecyl(methyl)amine oxide</t>
  </si>
  <si>
    <t>100545-50-4</t>
  </si>
  <si>
    <t>cyclohexylsulfamic acid</t>
  </si>
  <si>
    <t>100-88-9</t>
  </si>
  <si>
    <t>triphenyl phosphite</t>
  </si>
  <si>
    <t>101-02-0</t>
  </si>
  <si>
    <t>Chlorpropham</t>
  </si>
  <si>
    <t>101-21-3</t>
  </si>
  <si>
    <t>p-aminodiphenylamine</t>
  </si>
  <si>
    <t>101-54-2</t>
  </si>
  <si>
    <t>dioctyldiphenylamine</t>
  </si>
  <si>
    <t>101-67-7</t>
  </si>
  <si>
    <t>hexyl cinnamaldehyde</t>
  </si>
  <si>
    <t>101-86-0</t>
  </si>
  <si>
    <t>2,2'-oxybisethanol, reaction products with ammonia, morpholine derivs. residues, reaction products with sulfur dioxide</t>
  </si>
  <si>
    <t>102424-23-7</t>
  </si>
  <si>
    <t>cyclopentamine</t>
  </si>
  <si>
    <t>102-45-4</t>
  </si>
  <si>
    <t>tributyl phosphite</t>
  </si>
  <si>
    <t>102-85-2</t>
  </si>
  <si>
    <t>boron tribromide</t>
  </si>
  <si>
    <t>10294-33-4</t>
  </si>
  <si>
    <t>dioctyl azelate</t>
  </si>
  <si>
    <t>103-24-2</t>
  </si>
  <si>
    <t>2-bromo-3-fluorobenzotrifluoride</t>
  </si>
  <si>
    <t>104540-42-3</t>
  </si>
  <si>
    <t>cinnamaldehyde</t>
  </si>
  <si>
    <t>104-55-2</t>
  </si>
  <si>
    <t>alpha-cumyl peroxyneoheptanoate</t>
  </si>
  <si>
    <t>104852-44-0</t>
  </si>
  <si>
    <t>di-tert-amyl peroxide</t>
  </si>
  <si>
    <t>10508-09-5</t>
  </si>
  <si>
    <t>diethyl malonate</t>
  </si>
  <si>
    <t>105-53-3</t>
  </si>
  <si>
    <t>2,2'-[dioxybis(carbonyloxy)]dipropane</t>
  </si>
  <si>
    <t>105-64-6</t>
  </si>
  <si>
    <t>dilauroyl peroxide</t>
  </si>
  <si>
    <t>105-74-8</t>
  </si>
  <si>
    <t>2-methyl-4,6-di(methylthio)-1,3-benzenediamine</t>
  </si>
  <si>
    <t>106264-79-3</t>
  </si>
  <si>
    <t>p-cresol</t>
  </si>
  <si>
    <t>106-44-5</t>
  </si>
  <si>
    <t>dimethyl succinate</t>
  </si>
  <si>
    <t>106-65-0</t>
  </si>
  <si>
    <t>dimethyl sebacate</t>
  </si>
  <si>
    <t>106-79-6</t>
  </si>
  <si>
    <t>phosphoric acid, mono(2-ethylhexyl) ester</t>
  </si>
  <si>
    <t>1070-03-7</t>
  </si>
  <si>
    <t>1-vinyl-1H-imidazole</t>
  </si>
  <si>
    <t>1072-63-5</t>
  </si>
  <si>
    <t>3,5-dimethyl-1-hexyn-3-ol</t>
  </si>
  <si>
    <t>107-54-0</t>
  </si>
  <si>
    <t>tert-butyl peracetate</t>
  </si>
  <si>
    <t>107-71-1</t>
  </si>
  <si>
    <t>7-hydroxy-3,7-dimethyloctanal</t>
  </si>
  <si>
    <t>107-75-5</t>
  </si>
  <si>
    <t>m-cresol</t>
  </si>
  <si>
    <t>108-39-4</t>
  </si>
  <si>
    <t>glutaric anhydride</t>
  </si>
  <si>
    <t>108-55-4</t>
  </si>
  <si>
    <t>tert-butyl peroxyisobutyrate</t>
  </si>
  <si>
    <t>109-13-7</t>
  </si>
  <si>
    <t>tert-butyl peroxide</t>
  </si>
  <si>
    <t>110-05-4</t>
  </si>
  <si>
    <t>sorbic acid</t>
  </si>
  <si>
    <t>110-44-1</t>
  </si>
  <si>
    <t>isopentyl nitrite</t>
  </si>
  <si>
    <t>110-46-3</t>
  </si>
  <si>
    <t>glutaric acid</t>
  </si>
  <si>
    <t>110-94-1</t>
  </si>
  <si>
    <t>N,N,N',N'-tetramethyl-1,3-propanediamine</t>
  </si>
  <si>
    <t>110-95-2</t>
  </si>
  <si>
    <t>9-[n-(2-hydroxypropyl)-(Z)-octadeceneamide</t>
  </si>
  <si>
    <t>111-05-7</t>
  </si>
  <si>
    <t>hexylamine</t>
  </si>
  <si>
    <t>111-26-2</t>
  </si>
  <si>
    <t>hexamethylenimine</t>
  </si>
  <si>
    <t>111-49-9</t>
  </si>
  <si>
    <t>N,N,N',N'-tetramethyl-1,4-butanediamine</t>
  </si>
  <si>
    <t>111-51-3</t>
  </si>
  <si>
    <t>dimethyl glutarate</t>
  </si>
  <si>
    <t>1119-40-0</t>
  </si>
  <si>
    <t>N-decyl-1-decanamine</t>
  </si>
  <si>
    <t>1120-49-6</t>
  </si>
  <si>
    <t>N,N-dimethyl-1-dodecanamine</t>
  </si>
  <si>
    <t>112-18-5</t>
  </si>
  <si>
    <t>1-nonanamine</t>
  </si>
  <si>
    <t>112-20-9</t>
  </si>
  <si>
    <t>tetraethylene glycol</t>
  </si>
  <si>
    <t>112-60-7</t>
  </si>
  <si>
    <t>N-butylaniline</t>
  </si>
  <si>
    <t>1126-78-9</t>
  </si>
  <si>
    <t>hexadecyldimethylamine</t>
  </si>
  <si>
    <t>112-69-6</t>
  </si>
  <si>
    <t>N,N-dimethyltetradecanamine</t>
  </si>
  <si>
    <t>112-75-4</t>
  </si>
  <si>
    <t>oleic acid</t>
  </si>
  <si>
    <t>112-80-1</t>
  </si>
  <si>
    <t>octadecenylamine</t>
  </si>
  <si>
    <t>112-90-3</t>
  </si>
  <si>
    <t>polyisobutenyl substituted succinic anhydrides DMAPA</t>
  </si>
  <si>
    <t>118685-27-3</t>
  </si>
  <si>
    <t>1,3-butanediol dimethacrylate</t>
  </si>
  <si>
    <t>1189-08-8</t>
  </si>
  <si>
    <t>trimethyl phosphite</t>
  </si>
  <si>
    <t>121-45-9</t>
  </si>
  <si>
    <t>Isopropyldiethanolamine</t>
  </si>
  <si>
    <t>121-93-7</t>
  </si>
  <si>
    <t>alpha-amylcinnamaldehyde</t>
  </si>
  <si>
    <t>122-40-7</t>
  </si>
  <si>
    <t>triethyl phosphite</t>
  </si>
  <si>
    <t>122-52-1</t>
  </si>
  <si>
    <t>(+/-) bis(2-ethylhexyl) sebacate</t>
  </si>
  <si>
    <t>122-62-3</t>
  </si>
  <si>
    <t>diethyl succinate</t>
  </si>
  <si>
    <t>123-25-1</t>
  </si>
  <si>
    <t>2-ethylhexyl diphenyl phosphate</t>
  </si>
  <si>
    <t>1241-94-7</t>
  </si>
  <si>
    <t>dodecylamine</t>
  </si>
  <si>
    <t>124-22-1</t>
  </si>
  <si>
    <t>N,N-dimethyl-1-octadecanamine</t>
  </si>
  <si>
    <t>124-28-7</t>
  </si>
  <si>
    <t>stearylamine</t>
  </si>
  <si>
    <t>124-30-1</t>
  </si>
  <si>
    <t>bis-(1-octyloxy-2,2,6,6-tetramethyl-4-piperidinyl) sebacate</t>
  </si>
  <si>
    <t>129757-67-1</t>
  </si>
  <si>
    <t>2,5-dimethyl-2,5-di(2-ethylhexanoylperoxy) hexane</t>
  </si>
  <si>
    <t>13052-09-0</t>
  </si>
  <si>
    <t>pentaerythritol distearate</t>
  </si>
  <si>
    <t>13081-97-5</t>
  </si>
  <si>
    <t>tert-amylperoxy-3,5,5-trimethylhexanoate</t>
  </si>
  <si>
    <t>13122-18-4</t>
  </si>
  <si>
    <t>2-cyclohexyl-4,6-dinitro-phenol</t>
  </si>
  <si>
    <t>131-89-5</t>
  </si>
  <si>
    <t>cresols (mixed isomers)</t>
  </si>
  <si>
    <t>1319-77-3</t>
  </si>
  <si>
    <t>isodecaldehyde</t>
  </si>
  <si>
    <t>1321-89-7</t>
  </si>
  <si>
    <t>tritolyl phosphate</t>
  </si>
  <si>
    <t>1330-78-5</t>
  </si>
  <si>
    <t>tolylaldehyde</t>
  </si>
  <si>
    <t>1334-78-7</t>
  </si>
  <si>
    <t>dimethyl hexynediol</t>
  </si>
  <si>
    <t>142-30-3</t>
  </si>
  <si>
    <t>lauric acid monoethanolamine</t>
  </si>
  <si>
    <t>142-78-9</t>
  </si>
  <si>
    <t>potassium oleate</t>
  </si>
  <si>
    <t>143-18-0</t>
  </si>
  <si>
    <t>oleic acid, sodium salt</t>
  </si>
  <si>
    <t>143-19-1</t>
  </si>
  <si>
    <t>3,5-dibromofluorobenzene</t>
  </si>
  <si>
    <t>1435-51-4</t>
  </si>
  <si>
    <t>2,2'-iminodiethanol hydrochloride</t>
  </si>
  <si>
    <t>14426-21-2</t>
  </si>
  <si>
    <t>arabinose</t>
  </si>
  <si>
    <t>147-81-9</t>
  </si>
  <si>
    <t>cyclopropanecarboxaldehyde</t>
  </si>
  <si>
    <t>1489-69-6</t>
  </si>
  <si>
    <t>2-acrylamido-2-methyl propanesulfonic acid</t>
  </si>
  <si>
    <t>15214-89-8</t>
  </si>
  <si>
    <t>1,1-di-t-amylperoxycyclohexane</t>
  </si>
  <si>
    <t>15667-10-4</t>
  </si>
  <si>
    <t>trans-3-hexenoic acid</t>
  </si>
  <si>
    <t>1577-18-0</t>
  </si>
  <si>
    <t>[(phosphonomethyl)imino] bis[2,1-ethanediylnitrilobis(methylene)] tetrakis-phosphonic acid</t>
  </si>
  <si>
    <t>15827-60-8</t>
  </si>
  <si>
    <t>3-hydroxymethyl-5,5-dimethylhydantoin</t>
  </si>
  <si>
    <t>16228-00-5</t>
  </si>
  <si>
    <t>butyl acid phosphate</t>
  </si>
  <si>
    <t>1623-15-0</t>
  </si>
  <si>
    <t>di(2-ethylhexyl) phenyl phosphate</t>
  </si>
  <si>
    <t>16368-97-1</t>
  </si>
  <si>
    <t>acetate salt by-products from 2-aminoethanol reaction products with ammonia</t>
  </si>
  <si>
    <t>169591-03-1</t>
  </si>
  <si>
    <t>dicyclohexyl peroxide</t>
  </si>
  <si>
    <t>1758-61-8</t>
  </si>
  <si>
    <t>4,4-methylenebis(cyclohexanamine)</t>
  </si>
  <si>
    <t>1761-71-3</t>
  </si>
  <si>
    <t>polyisobutenyl substituted succinic anhydrides AEEA</t>
  </si>
  <si>
    <t>185630-94-8</t>
  </si>
  <si>
    <t>2,6,10,14-tetramethylpentadecane</t>
  </si>
  <si>
    <t>1921-70-6</t>
  </si>
  <si>
    <t>N,N'-bis(2,2,6,6-tetramethyl-4-piperidinyl)-1,6-hexanediamine, polymer with morpholine-2,4,6-trichloro-1,3,5-triazine</t>
  </si>
  <si>
    <t>193098-40-7</t>
  </si>
  <si>
    <t>tert-butyl monoperoxymaleate</t>
  </si>
  <si>
    <t>1931-62-0</t>
  </si>
  <si>
    <t>4,4'-methylenebis(2-ethylbenzenamine)</t>
  </si>
  <si>
    <t>19900-65-3</t>
  </si>
  <si>
    <t>4-(2-aminoethyl)-morpholine</t>
  </si>
  <si>
    <t>2038-03-1</t>
  </si>
  <si>
    <t>isopropyl methylthionocarbamate</t>
  </si>
  <si>
    <t>20753-31-5</t>
  </si>
  <si>
    <t>acenaphthylene</t>
  </si>
  <si>
    <t>208-96-8</t>
  </si>
  <si>
    <t>2-aminocyclopentanemethylamine</t>
  </si>
  <si>
    <t>21544-02-5</t>
  </si>
  <si>
    <t>1,13-tetradecadiene</t>
  </si>
  <si>
    <t>21964-49-8</t>
  </si>
  <si>
    <t>tridecyloxypropyl-1,3-propanediamine</t>
  </si>
  <si>
    <t>22023-23-0</t>
  </si>
  <si>
    <t>tert-butyl peroxy-2-methylbenzoate</t>
  </si>
  <si>
    <t>22313-62-8</t>
  </si>
  <si>
    <t>benzoin isobutyl ether</t>
  </si>
  <si>
    <t>22499-12-3</t>
  </si>
  <si>
    <t>pentyl dihydrogen phosphate</t>
  </si>
  <si>
    <t>2382-76-5</t>
  </si>
  <si>
    <t>methyl ethyl aniline</t>
  </si>
  <si>
    <t>24549-06-2</t>
  </si>
  <si>
    <t>3,6,9-trimethyl-1,4,7-triperoxonane</t>
  </si>
  <si>
    <t>24748-23-0</t>
  </si>
  <si>
    <t>bis(t-butyldioxyisopropyl) benzene</t>
  </si>
  <si>
    <t>25155-25-3</t>
  </si>
  <si>
    <t>bis(2-hydroxyethyl)oleyamine</t>
  </si>
  <si>
    <t>25307-17-9</t>
  </si>
  <si>
    <t>tri-o-tolylphosphite</t>
  </si>
  <si>
    <t>25586-42-9</t>
  </si>
  <si>
    <t>N,N-dimethyloctylamine-N-oxide</t>
  </si>
  <si>
    <t>2605-78-9</t>
  </si>
  <si>
    <t>decyl-N,N-dimethylamine oxide</t>
  </si>
  <si>
    <t>2605-79-0</t>
  </si>
  <si>
    <t>5-chloro-2-methyl-4-isothiazolin-3-one</t>
  </si>
  <si>
    <t>26172-55-4</t>
  </si>
  <si>
    <t>1,1,4,4-tetramethyltetramethylene ester peroxybenzoic acid</t>
  </si>
  <si>
    <t>2618-77-1</t>
  </si>
  <si>
    <t>diethyl butyral</t>
  </si>
  <si>
    <t>26254-89-7</t>
  </si>
  <si>
    <t>cresyl diphenyl phosphate</t>
  </si>
  <si>
    <t>26444-49-5</t>
  </si>
  <si>
    <t>tris(nonylphenol) phosphite</t>
  </si>
  <si>
    <t>26523-78-4</t>
  </si>
  <si>
    <t>dimethyl dihydrogen diphosphate</t>
  </si>
  <si>
    <t>26644-00-8</t>
  </si>
  <si>
    <t>tert-butyl peroxyneodecanoate</t>
  </si>
  <si>
    <t>26748-41-4</t>
  </si>
  <si>
    <t>cumyl peroxyneodecanoate</t>
  </si>
  <si>
    <t>26748-47-0</t>
  </si>
  <si>
    <t>6-deoxy-3-C-methyl-2-O-methylhexose</t>
  </si>
  <si>
    <t>27208-98-6</t>
  </si>
  <si>
    <t>isononylamine</t>
  </si>
  <si>
    <t>27775-00-4</t>
  </si>
  <si>
    <t>(tetrapropenyl)-butanedioic acid</t>
  </si>
  <si>
    <t>27859-58-1</t>
  </si>
  <si>
    <t>dimethyl oleyl amine</t>
  </si>
  <si>
    <t>28061-69-0</t>
  </si>
  <si>
    <t>Thiobencarb</t>
  </si>
  <si>
    <t>28249-77-6</t>
  </si>
  <si>
    <t>biphenylyl phenyl ether</t>
  </si>
  <si>
    <t>28984-89-6</t>
  </si>
  <si>
    <t>N-dodecyl-N-methyl-1-dodecanamine</t>
  </si>
  <si>
    <t>2915-90-4</t>
  </si>
  <si>
    <t>bis(2-ethylhexyl) phosphate</t>
  </si>
  <si>
    <t>298-07-7</t>
  </si>
  <si>
    <t>tert-butyl peroxy-2-ethylhexanoate</t>
  </si>
  <si>
    <t>3006-82-4</t>
  </si>
  <si>
    <t>1,1-di-tert-butylperoxycyclohexane</t>
  </si>
  <si>
    <t>3006-86-8</t>
  </si>
  <si>
    <t>N-dodecyl-1-dodecanamine</t>
  </si>
  <si>
    <t>3007-31-6</t>
  </si>
  <si>
    <t>2,5-dimethylhexane 2,5-dihydroperoxide</t>
  </si>
  <si>
    <t>3025-88-5</t>
  </si>
  <si>
    <t>ethylbenzene hydroperoxide</t>
  </si>
  <si>
    <t>3071-32-7</t>
  </si>
  <si>
    <t>oleyl diamine</t>
  </si>
  <si>
    <t>31017-53-5</t>
  </si>
  <si>
    <t>amyl acid phosphate</t>
  </si>
  <si>
    <t>3138-42-9</t>
  </si>
  <si>
    <t>Bromacil</t>
  </si>
  <si>
    <t>314-40-9</t>
  </si>
  <si>
    <t>glyceryl monostearate</t>
  </si>
  <si>
    <t>31566-31-1</t>
  </si>
  <si>
    <t>2,2',2''-[propane-1,2,3-triyltris(oxy)]triethanol</t>
  </si>
  <si>
    <t>31694-55-0</t>
  </si>
  <si>
    <t>1,4-cyclohexanedicarboxaldehyde</t>
  </si>
  <si>
    <t>33424-83-8</t>
  </si>
  <si>
    <t>tert-amyl hydroperoxide</t>
  </si>
  <si>
    <t>3425-61-4</t>
  </si>
  <si>
    <t>sodium cresylate</t>
  </si>
  <si>
    <t>34689-46-8</t>
  </si>
  <si>
    <t>carbinoxamine maleate salt</t>
  </si>
  <si>
    <t>3505-38-2</t>
  </si>
  <si>
    <t>1,2-dibromo-2,4-dicyanobutane</t>
  </si>
  <si>
    <t>35691-65-7</t>
  </si>
  <si>
    <t>bis(tridecyl) hydrogen phosphite</t>
  </si>
  <si>
    <t>36432-46-9</t>
  </si>
  <si>
    <t>bis(2-ethylhexyl) phosphite</t>
  </si>
  <si>
    <t>3658-48-8</t>
  </si>
  <si>
    <t>isopropyl-1H-imidazole</t>
  </si>
  <si>
    <t>36947-68-9</t>
  </si>
  <si>
    <t>12,14-bis(methylene)-1,5,9-cyclohexadecatriene</t>
  </si>
  <si>
    <t>37013-22-2</t>
  </si>
  <si>
    <t>acetylacetone peroxide</t>
  </si>
  <si>
    <t>37187-22-7</t>
  </si>
  <si>
    <t>ethyl 3-amino-4,4,4-trifluorocrotonate</t>
  </si>
  <si>
    <t>372-29-2</t>
  </si>
  <si>
    <t>aminocaproamide</t>
  </si>
  <si>
    <t>373-04-6</t>
  </si>
  <si>
    <t>2,6,10-trimethyl-2,6,10-triazaundecane</t>
  </si>
  <si>
    <t>3855-32-1</t>
  </si>
  <si>
    <t>3-amino-N,N,N-trimethyl-1-propanaminium, N-soya acyl. derivs., chlorides</t>
  </si>
  <si>
    <t>391232-99-8</t>
  </si>
  <si>
    <t>9-dodecenoic acid, methyl ester</t>
  </si>
  <si>
    <t>39202-17-0</t>
  </si>
  <si>
    <t>1,1-dimethylethyl 2-propenylperoxide</t>
  </si>
  <si>
    <t>39972-78-6</t>
  </si>
  <si>
    <t>fluroxene</t>
  </si>
  <si>
    <t>406-90-6</t>
  </si>
  <si>
    <t>tris(aminoethyl) amine</t>
  </si>
  <si>
    <t>4097-89-6</t>
  </si>
  <si>
    <t>bis(1,2,2,6,6-pentamethyl-4-piperidinyl) sebacate</t>
  </si>
  <si>
    <t>41556-26-7</t>
  </si>
  <si>
    <t>cis-3-hexenoic acid</t>
  </si>
  <si>
    <t>4219-24-3</t>
  </si>
  <si>
    <t>1-methylethylidine-bis-1,1-dimethylethyl) peroxide</t>
  </si>
  <si>
    <t>4262-61-7</t>
  </si>
  <si>
    <t>cyclohexyldiethanolamine</t>
  </si>
  <si>
    <t>4500-29-2</t>
  </si>
  <si>
    <t>tert-amyl peroxybenzoate</t>
  </si>
  <si>
    <t>4511-39-1</t>
  </si>
  <si>
    <t>N-isopropylimidazole</t>
  </si>
  <si>
    <t>4532-96-1</t>
  </si>
  <si>
    <t>1,1'-oxybiscyclohexane</t>
  </si>
  <si>
    <t>4645-15-2</t>
  </si>
  <si>
    <t>1-piperazineethanamine and tall-oil fatty acid amides</t>
  </si>
  <si>
    <t>475285-70-2</t>
  </si>
  <si>
    <t>aminopropyldiethanolamine</t>
  </si>
  <si>
    <t>4985-85-7</t>
  </si>
  <si>
    <t>3-amino-N-(2-carboxyethyl)-N,N-dimethyl-1-propanaminium,N-coco acyl derivs., inner salts</t>
  </si>
  <si>
    <t>499781-63-4</t>
  </si>
  <si>
    <t>2-propyl-1H-imidazole</t>
  </si>
  <si>
    <t>50995-95-4</t>
  </si>
  <si>
    <t>trimethyl phosphate</t>
  </si>
  <si>
    <t>512-56-1</t>
  </si>
  <si>
    <t>bis(2,2,6,6-tetramethyl-4-piperidinyl) sebacate</t>
  </si>
  <si>
    <t>52829-07-9</t>
  </si>
  <si>
    <t>ethylidene diacetate</t>
  </si>
  <si>
    <t>542-10-9</t>
  </si>
  <si>
    <t>cis-9-tetradecenoic acid</t>
  </si>
  <si>
    <t>544-64-9</t>
  </si>
  <si>
    <t>1,5-pentamethylene-1h-tetrazol</t>
  </si>
  <si>
    <t>54-95-5</t>
  </si>
  <si>
    <t>1,3-cyclohexane dicarboxaldehyde</t>
  </si>
  <si>
    <t>55309-54-1</t>
  </si>
  <si>
    <t>3,3-bis((1,1-dimethylethyl)dioxy)butanoic acid, ethyl ester</t>
  </si>
  <si>
    <t>55794-20-2</t>
  </si>
  <si>
    <t>adipic acid, polymer with hexane-1,6-diol and propylidynetrimethanol</t>
  </si>
  <si>
    <t>56266-32-1</t>
  </si>
  <si>
    <t>2,6-diethylaniline</t>
  </si>
  <si>
    <t>579-66-8</t>
  </si>
  <si>
    <t>1,1,3,3-tetramethylbutyl hydroperoxide</t>
  </si>
  <si>
    <t>5809-08-5</t>
  </si>
  <si>
    <t>nonylphenol, ethoxylated, phosphated, ethanolamine salt</t>
  </si>
  <si>
    <t>59139-23-0</t>
  </si>
  <si>
    <t>octadecane</t>
  </si>
  <si>
    <t>593-45-3</t>
  </si>
  <si>
    <t>chloronitropropane</t>
  </si>
  <si>
    <t>600-25-9</t>
  </si>
  <si>
    <t>tert-butyl peroxybenzoate</t>
  </si>
  <si>
    <t>614-45-9</t>
  </si>
  <si>
    <t>3-hydroxy-2-methyl-pentanal</t>
  </si>
  <si>
    <t>615-30-5</t>
  </si>
  <si>
    <t>1-methylimidazole</t>
  </si>
  <si>
    <t>616-47-7</t>
  </si>
  <si>
    <t>styrenated phenol</t>
  </si>
  <si>
    <t>61788-44-1</t>
  </si>
  <si>
    <t>coco alkyl amine</t>
  </si>
  <si>
    <t>61788-46-3</t>
  </si>
  <si>
    <t>dicoco alkylmethyl amine</t>
  </si>
  <si>
    <t>61788-62-3</t>
  </si>
  <si>
    <t>CHLOROWAX 50 (liquid chlorinated paraffin)</t>
  </si>
  <si>
    <t>61788-76-9</t>
  </si>
  <si>
    <t>alkyl dimethyl amine oxides</t>
  </si>
  <si>
    <t>61788-90-7</t>
  </si>
  <si>
    <t>dimethylsoya alkyl amine</t>
  </si>
  <si>
    <t>61788-91-8</t>
  </si>
  <si>
    <t>coco alkyldimethyl amine</t>
  </si>
  <si>
    <t>61788-93-0</t>
  </si>
  <si>
    <t>dicoco alkyl amine</t>
  </si>
  <si>
    <t>61789-76-2</t>
  </si>
  <si>
    <t>soya alkyl amines</t>
  </si>
  <si>
    <t>61790-18-9</t>
  </si>
  <si>
    <t>amines, cocoalkyl, acetates</t>
  </si>
  <si>
    <t>61790-57-6</t>
  </si>
  <si>
    <t>coco fatty acids compds. with diethanolamine</t>
  </si>
  <si>
    <t>61790-63-4</t>
  </si>
  <si>
    <t>coco alkyl amine, ethoxylated</t>
  </si>
  <si>
    <t>61791-14-8</t>
  </si>
  <si>
    <t>coco alkyl amine acetates, ethoxylated (salts)</t>
  </si>
  <si>
    <t>61791-15-9</t>
  </si>
  <si>
    <t>2,2'-iminobisethanol, N-tallow alkyl derivs.</t>
  </si>
  <si>
    <t>61791-44-4</t>
  </si>
  <si>
    <t>2,2'-iminobisethanol, N-coco alkyl derivs., N-oxides</t>
  </si>
  <si>
    <t>61791-47-7</t>
  </si>
  <si>
    <t>N-coco alkyltrimethylenediamines</t>
  </si>
  <si>
    <t>61791-63-7</t>
  </si>
  <si>
    <t>N-coco alkyltrimethylenediamines, acetates</t>
  </si>
  <si>
    <t>61791-64-8</t>
  </si>
  <si>
    <t>2,2'-iminobisethanol, compd. with alpha-(nonylphenyl)-omega-hydroxypoly(oxy-1,2-ethanediyl) phosphate</t>
  </si>
  <si>
    <t>61837-81-8</t>
  </si>
  <si>
    <t>tri-p-tolyl phosphite</t>
  </si>
  <si>
    <t>620-42-8</t>
  </si>
  <si>
    <t>3-diethylamino-1,2-propanediol</t>
  </si>
  <si>
    <t>621-56-7</t>
  </si>
  <si>
    <t>2,3-dihydro-1,1-dimethyl-3-phenyl-1H-indene</t>
  </si>
  <si>
    <t>6240-49-9</t>
  </si>
  <si>
    <t>methyl ethyl succinate</t>
  </si>
  <si>
    <t>627-73-6</t>
  </si>
  <si>
    <t>2,5-dimethyl thiophene</t>
  </si>
  <si>
    <t>638-02-8</t>
  </si>
  <si>
    <t>alpha,alpha',alpha''-1,2,3-propanetriyltris(omega-(2-aminomethylethoxy)-poly(oxy(methyl-1,2-ethanediyl))</t>
  </si>
  <si>
    <t>64852-22-8</t>
  </si>
  <si>
    <t>tetramethyliminobispropylamine</t>
  </si>
  <si>
    <t>6711-48-4</t>
  </si>
  <si>
    <t>1,1-di-(t-butylperoxy)-3,3,5-trimethylcyclohexane</t>
  </si>
  <si>
    <t>6731-36-8</t>
  </si>
  <si>
    <t>ethyl 3,3-di-(tert-amylperoxy) butyrate</t>
  </si>
  <si>
    <t>67567-23-1</t>
  </si>
  <si>
    <t>chloroform</t>
  </si>
  <si>
    <t>67-66-3</t>
  </si>
  <si>
    <t>2,2',2''-nitrilotris-ethanol, homopolymer, hydrochloride</t>
  </si>
  <si>
    <t>67924-33-8</t>
  </si>
  <si>
    <t>amines, C16-22-alkyl</t>
  </si>
  <si>
    <t>68037-92-3</t>
  </si>
  <si>
    <t>diethylammonium phosphate</t>
  </si>
  <si>
    <t>68109-72-8</t>
  </si>
  <si>
    <t>polyethylenepolyamines</t>
  </si>
  <si>
    <t>68131-73-7</t>
  </si>
  <si>
    <t>cocamide monoethanolamine</t>
  </si>
  <si>
    <t>68140-00-1</t>
  </si>
  <si>
    <t>n-[3-(dimethylamino)propyl] coco amide</t>
  </si>
  <si>
    <t>68140-01-2</t>
  </si>
  <si>
    <t>2,2',2''-nitrilotrisethyl tri(dihydrogenphosphate)</t>
  </si>
  <si>
    <t>68140-45-4</t>
  </si>
  <si>
    <t>N,N-bis(hydroxyethyl) amide, C8-C18 unsaturated</t>
  </si>
  <si>
    <t>68155-07-7</t>
  </si>
  <si>
    <t>N-[3-(dimethylamino)propyl] coco amides, N-oxides</t>
  </si>
  <si>
    <t>68155-09-9</t>
  </si>
  <si>
    <t>2,2',2''-nitrilotrisethyl tris(dihydrogen phosphate), sodium salt</t>
  </si>
  <si>
    <t>68171-29-9</t>
  </si>
  <si>
    <t>soya N-(3-(dimethyl amino)propyl) amides</t>
  </si>
  <si>
    <t>68188-30-7</t>
  </si>
  <si>
    <t>amines, C18-unsatd. alkyl, dimers</t>
  </si>
  <si>
    <t>68201-29-6</t>
  </si>
  <si>
    <t>1,6-hexanediamine, polymer with 2-(chloromethyl)oxirane, 2-methyloxirane and oxirane, hydrochloride</t>
  </si>
  <si>
    <t>68201-88-7</t>
  </si>
  <si>
    <t>N-methyl-N-hydroxyethyl-N-hydroxyethoxyethylamine</t>
  </si>
  <si>
    <t>68213-98-9</t>
  </si>
  <si>
    <t>tert-amyl peroxyneodecanoate</t>
  </si>
  <si>
    <t>68299-16-1</t>
  </si>
  <si>
    <t>dimethylamide of organic acid</t>
  </si>
  <si>
    <t>68308-74-7</t>
  </si>
  <si>
    <t>coconut monoisopropanolamide</t>
  </si>
  <si>
    <t>68333-82-4</t>
  </si>
  <si>
    <t>polyethylenepolyamine acetates</t>
  </si>
  <si>
    <t>68333-87-9</t>
  </si>
  <si>
    <t>C12-18-alkyldimethylamines</t>
  </si>
  <si>
    <t>68391-04-8</t>
  </si>
  <si>
    <t>N,N'-(iminodi-2,1-ethanediyl)bis-tall oil fatty amide, ethoxylated</t>
  </si>
  <si>
    <t>68413-41-2</t>
  </si>
  <si>
    <t>amines, C12-16-alkyldimethyl</t>
  </si>
  <si>
    <t>68439-70-3</t>
  </si>
  <si>
    <t>2-mercaptoethyl tallate</t>
  </si>
  <si>
    <t>68440-24-4</t>
  </si>
  <si>
    <t>styrenated diphenylamine</t>
  </si>
  <si>
    <t>68442-68-2</t>
  </si>
  <si>
    <t>methylstyrenated phenol</t>
  </si>
  <si>
    <t>68512-30-1</t>
  </si>
  <si>
    <t>amides, from diethylenetriamine, oleic acid and tall-oil fatty acids</t>
  </si>
  <si>
    <t>68526-42-1</t>
  </si>
  <si>
    <t>modified polyethoxylated alcohol</t>
  </si>
  <si>
    <t>68603-25-8</t>
  </si>
  <si>
    <t>fatty acid polydiethanolamide</t>
  </si>
  <si>
    <t>68603-38-3</t>
  </si>
  <si>
    <t>coconut diethanolamide</t>
  </si>
  <si>
    <t>68603-42-9</t>
  </si>
  <si>
    <t>tert-amyl peroxy 2-ethyl-hexanoate</t>
  </si>
  <si>
    <t>686-31-7</t>
  </si>
  <si>
    <t>4,4'-methylene bis-(2-methyl cyclohexanamine)</t>
  </si>
  <si>
    <t>6864-37-5</t>
  </si>
  <si>
    <t>amines, C16-22-tert-alkyl, ethoxylated</t>
  </si>
  <si>
    <t>68647-49-4</t>
  </si>
  <si>
    <t>tallowalkylamidopropyl dimethylamine oxides</t>
  </si>
  <si>
    <t>68647-77-8</t>
  </si>
  <si>
    <t>disoya alkyl amine</t>
  </si>
  <si>
    <t>68783-23-3</t>
  </si>
  <si>
    <t>tri-C8-10-alkyl amines</t>
  </si>
  <si>
    <t>68814-95-9</t>
  </si>
  <si>
    <t>2,2'-oxybis-ethanol, reaction products with ammonia, morpholine derivs. residues, acetates (salts)</t>
  </si>
  <si>
    <t>68877-16-7</t>
  </si>
  <si>
    <t>phosphoric acid, mono-C10-12-alkyl esters, ethoxylated</t>
  </si>
  <si>
    <t>68908-64-5</t>
  </si>
  <si>
    <t>2,2'-oxybisethanol</t>
  </si>
  <si>
    <t>68909-76-2</t>
  </si>
  <si>
    <t>N,N'-(iminodi-2,1-ethanediyl)bis-tall oil fatty amide</t>
  </si>
  <si>
    <t>68911-66-0</t>
  </si>
  <si>
    <t>N-coco alkyltrimethylenediamines, diglycolates</t>
  </si>
  <si>
    <t>68911-70-6</t>
  </si>
  <si>
    <t>chlorinated n-paraffins</t>
  </si>
  <si>
    <t>68920-70-7</t>
  </si>
  <si>
    <t>amines, C16-22-tert-alkyl</t>
  </si>
  <si>
    <t>68955-54-4</t>
  </si>
  <si>
    <t>polyethylenepolyamines, ethoxylated, phosphonomethylated</t>
  </si>
  <si>
    <t>68966-36-9</t>
  </si>
  <si>
    <t>tert-amyl peroxyacetate</t>
  </si>
  <si>
    <t>690-83-5</t>
  </si>
  <si>
    <t>hydroxy terminated 1,3-butadiene homopolymer</t>
  </si>
  <si>
    <t>69102-90-5</t>
  </si>
  <si>
    <t>polymethylene polyphenyl and polyalkylphenyl amine</t>
  </si>
  <si>
    <t>69178-40-1</t>
  </si>
  <si>
    <t>phenylphosphoric acid</t>
  </si>
  <si>
    <t>701-64-4</t>
  </si>
  <si>
    <t>C10-16-alkyldimethylamines oxides</t>
  </si>
  <si>
    <t>70592-80-2</t>
  </si>
  <si>
    <t>Mefenoxam</t>
  </si>
  <si>
    <t>70630-17-0</t>
  </si>
  <si>
    <t>diisobutyl glutarate</t>
  </si>
  <si>
    <t>71195-64-7</t>
  </si>
  <si>
    <t>bis(coconut oil alkyl)dimethylammonium nitrite</t>
  </si>
  <si>
    <t>71487-01-9</t>
  </si>
  <si>
    <t>didecyl dimethyl ammonium chloride</t>
  </si>
  <si>
    <t>7173-51-5</t>
  </si>
  <si>
    <t>1,3-propandiamine-N-9-octadecenyl</t>
  </si>
  <si>
    <t>7173-62-8</t>
  </si>
  <si>
    <t>N,N-bis(2-hydroxyethyl)-C12-18-alkylamine</t>
  </si>
  <si>
    <t>71786-60-2</t>
  </si>
  <si>
    <t>tetraethyl ammonium bromide</t>
  </si>
  <si>
    <t>71-91-0</t>
  </si>
  <si>
    <t>amines, C12-14-tert-alkyl, ethoxylated</t>
  </si>
  <si>
    <t>73138-27-9</t>
  </si>
  <si>
    <t>cocobis(2-hydroxypropyl)benzylammonium chloride</t>
  </si>
  <si>
    <t>73138-80-4</t>
  </si>
  <si>
    <t>dimethyloctylamine</t>
  </si>
  <si>
    <t>7378-99-6</t>
  </si>
  <si>
    <t>didecylmethylamine</t>
  </si>
  <si>
    <t>7396-58-9</t>
  </si>
  <si>
    <t>isopropyl iodide</t>
  </si>
  <si>
    <t>75-30-9</t>
  </si>
  <si>
    <t>amines, C16-22-alkyldimethyl</t>
  </si>
  <si>
    <t>75444-69-8</t>
  </si>
  <si>
    <t>iodoform</t>
  </si>
  <si>
    <t>75-47-8</t>
  </si>
  <si>
    <t>methanesulfonic acid</t>
  </si>
  <si>
    <t>75-75-2</t>
  </si>
  <si>
    <t>tert-butyl hydroperoxide</t>
  </si>
  <si>
    <t>75-91-2</t>
  </si>
  <si>
    <t>cyclohexyl hydroperoxide</t>
  </si>
  <si>
    <t>766-07-4</t>
  </si>
  <si>
    <t>2,5-dimethyl-2,5-di(tert-butylperoxy)hexane</t>
  </si>
  <si>
    <t>78-63-7</t>
  </si>
  <si>
    <t>dichloroacetyl chloride</t>
  </si>
  <si>
    <t>79-36-7</t>
  </si>
  <si>
    <t>dicumyl peroxide</t>
  </si>
  <si>
    <t>80-43-3</t>
  </si>
  <si>
    <t>coconut oil, reaction products with diethanolamine</t>
  </si>
  <si>
    <t>8051-30-7</t>
  </si>
  <si>
    <t>1,3-dimethyl-2-imidazolidinone</t>
  </si>
  <si>
    <t>80-73-9</t>
  </si>
  <si>
    <t>acenaphthene</t>
  </si>
  <si>
    <t>83-32-9</t>
  </si>
  <si>
    <t>2,4,6-trimethylbenzoylphenylphosphinic acid ethyl ester</t>
  </si>
  <si>
    <t>84434-11-7</t>
  </si>
  <si>
    <t>N-(3-(dibutylamino)propyl)cocoamides</t>
  </si>
  <si>
    <t>851544-20-2</t>
  </si>
  <si>
    <t>N-[3-(dibutylamino)propyl] coco amides, acrylates</t>
  </si>
  <si>
    <t>851545-09-0</t>
  </si>
  <si>
    <t>alkanes, C18-28, chloro</t>
  </si>
  <si>
    <t>85535-86-0</t>
  </si>
  <si>
    <t>N,N'-(iminodi-2,1-ethanediyl)bis-tall oil fatty amide, phosphates</t>
  </si>
  <si>
    <t>85711-34-8</t>
  </si>
  <si>
    <t>N,N-diethylaniline</t>
  </si>
  <si>
    <t>91-66-7</t>
  </si>
  <si>
    <t>soybean oil, epoxidized</t>
  </si>
  <si>
    <t>91722-14-4</t>
  </si>
  <si>
    <t>amines, coco alkyl, hydrochoride</t>
  </si>
  <si>
    <t>91745-52-7</t>
  </si>
  <si>
    <t>diisopropyl succinate</t>
  </si>
  <si>
    <t>924-88-9</t>
  </si>
  <si>
    <t>diisobutyl succinate</t>
  </si>
  <si>
    <t>925-06-4</t>
  </si>
  <si>
    <t>oleic diethanol amide</t>
  </si>
  <si>
    <t>93-83-4</t>
  </si>
  <si>
    <t>N-(2-carboxyethyl)-N-(2-ethylhexyl)-beta-alanine, sodium salt (1:1)</t>
  </si>
  <si>
    <t>94441-92-6</t>
  </si>
  <si>
    <t>2-(1,3-benzothiazol-2-ylsulfanyl)succinic acid</t>
  </si>
  <si>
    <t>95154-01-1</t>
  </si>
  <si>
    <t>2-(8-heptadecen-1-yl)-4,5-dihydro-1H-imidazole-1-ethanol</t>
  </si>
  <si>
    <t>95-38-5</t>
  </si>
  <si>
    <t>hexanedioic acid, dimethyl ester, mixt. with dimethyl butandedioate and dimethyl pentanedioate</t>
  </si>
  <si>
    <t>95481-62-2</t>
  </si>
  <si>
    <t>o-cresol</t>
  </si>
  <si>
    <t>95-48-7</t>
  </si>
  <si>
    <t>3-hydroxy-1,1-dimethylbutyl peroxyneodecanoate</t>
  </si>
  <si>
    <t>95718-78-8</t>
  </si>
  <si>
    <t>diethyl oxalate</t>
  </si>
  <si>
    <t>95-92-1</t>
  </si>
  <si>
    <t>amines, di-C16-22-alkylmethyl</t>
  </si>
  <si>
    <t>97553-98-5</t>
  </si>
  <si>
    <t>N,N-dimethylcyclohexylamine</t>
  </si>
  <si>
    <t>98-94-2</t>
  </si>
  <si>
    <t>n-butyl-4,4-di(t-butylperoxy) valerate</t>
  </si>
  <si>
    <t>995-33-5</t>
  </si>
  <si>
    <t>1H-pyrazole</t>
  </si>
  <si>
    <t>288-13-1</t>
  </si>
  <si>
    <t>4H-imidazole</t>
  </si>
  <si>
    <t>288-30-2</t>
  </si>
  <si>
    <t>1H-imidazole</t>
  </si>
  <si>
    <t>288-32-4</t>
  </si>
  <si>
    <t>oxazole</t>
  </si>
  <si>
    <t>288-42-6</t>
  </si>
  <si>
    <t>4,5-dihydro-1H-imidazole-1-ethanamine, 2-nortall-oil alkyl derivs., acetates</t>
  </si>
  <si>
    <t>68140-11-4</t>
  </si>
  <si>
    <t>4,5-dihydro-1H-imidazole-1-ethanamine, 2-nortall-oil alkyl derivs.</t>
  </si>
  <si>
    <t>68442-97-7</t>
  </si>
  <si>
    <t>polyvinyl alcohol</t>
  </si>
  <si>
    <t>9002-89-5</t>
  </si>
  <si>
    <t>1,3-butadiene</t>
  </si>
  <si>
    <t>106-99-0</t>
  </si>
  <si>
    <t>diethylamine</t>
  </si>
  <si>
    <t>109-89-7</t>
  </si>
  <si>
    <t>1-acetoxy-1,3-butadiene</t>
  </si>
  <si>
    <t>1515-76-0</t>
  </si>
  <si>
    <t>1,2-propadiene</t>
  </si>
  <si>
    <t>463-49-0</t>
  </si>
  <si>
    <t>1,2-butadiene</t>
  </si>
  <si>
    <t>590-19-2</t>
  </si>
  <si>
    <t>3-methyl-1,2-butadiene</t>
  </si>
  <si>
    <t>598-25-4</t>
  </si>
  <si>
    <t>methyldiethylamine</t>
  </si>
  <si>
    <t>616-39-7</t>
  </si>
  <si>
    <t>C12-14-tert-alkyl amines</t>
  </si>
  <si>
    <t>68955-53-3</t>
  </si>
  <si>
    <t>2-diethylaminoethanol</t>
  </si>
  <si>
    <t>100-37-8</t>
  </si>
  <si>
    <t>N-methyldiethanolamine</t>
  </si>
  <si>
    <t>105-59-9</t>
  </si>
  <si>
    <t>3-ethoxy-1-propene</t>
  </si>
  <si>
    <t>557-31-3</t>
  </si>
  <si>
    <t>allyl ether</t>
  </si>
  <si>
    <t>557-40-4</t>
  </si>
  <si>
    <t>3-methoxy-1-propene</t>
  </si>
  <si>
    <t>627-40-7</t>
  </si>
  <si>
    <t>1,2,3,6-tetrahydrobenzaldehyde</t>
  </si>
  <si>
    <t>100-50-5</t>
  </si>
  <si>
    <t>benzaldehyde</t>
  </si>
  <si>
    <t>100-52-7</t>
  </si>
  <si>
    <t>3,5-di-tert-butyl-2,6-toluenediamine</t>
  </si>
  <si>
    <t>103596-73-2</t>
  </si>
  <si>
    <t>p-tolualdehyde</t>
  </si>
  <si>
    <t>104-87-0</t>
  </si>
  <si>
    <t>p-chlorobenzaldehyde</t>
  </si>
  <si>
    <t>104-88-1</t>
  </si>
  <si>
    <t>p-toluidine</t>
  </si>
  <si>
    <t>106-49-0</t>
  </si>
  <si>
    <t>2-N-tert-butyl-2,4-toluenediamine</t>
  </si>
  <si>
    <t>106917-60-6</t>
  </si>
  <si>
    <t>4-N-tert-butyl-2,4-toluenediamine</t>
  </si>
  <si>
    <t>106917-61-7</t>
  </si>
  <si>
    <t>4-N-5-di-tert-butyl-2,4-toluenediamine</t>
  </si>
  <si>
    <t>106917-63-9</t>
  </si>
  <si>
    <t>2-N-tert-butyl-2,6-toluenediamine</t>
  </si>
  <si>
    <t>106917-65-1</t>
  </si>
  <si>
    <t>m-toluidine</t>
  </si>
  <si>
    <t>108-44-1</t>
  </si>
  <si>
    <t>adiponitrile</t>
  </si>
  <si>
    <t>111-69-3</t>
  </si>
  <si>
    <t>cuminaldehyde</t>
  </si>
  <si>
    <t>122-03-2</t>
  </si>
  <si>
    <t>dimethylamine</t>
  </si>
  <si>
    <t>124-40-3</t>
  </si>
  <si>
    <t>tetrahydrobenzaldehyde</t>
  </si>
  <si>
    <t>1321-16-0</t>
  </si>
  <si>
    <t>methyl 2-cyanoacrylate</t>
  </si>
  <si>
    <t>137-05-3</t>
  </si>
  <si>
    <t>iminodiacetic acid</t>
  </si>
  <si>
    <t>142-73-4</t>
  </si>
  <si>
    <t>bisphenol A ethoxylate dimethacrylate</t>
  </si>
  <si>
    <t>24448-20-2</t>
  </si>
  <si>
    <t>2,3-diaminotoluene</t>
  </si>
  <si>
    <t>2687-25-4</t>
  </si>
  <si>
    <t>hydroxypropyl methacrylate</t>
  </si>
  <si>
    <t>27813-02-1</t>
  </si>
  <si>
    <t>3-phenoxybenzaldehyde</t>
  </si>
  <si>
    <t>39515-51-0</t>
  </si>
  <si>
    <t>3,4-diaminotoluene</t>
  </si>
  <si>
    <t>496-72-0</t>
  </si>
  <si>
    <t>azomethane</t>
  </si>
  <si>
    <t>503-28-6</t>
  </si>
  <si>
    <t>o-tolualdehyde</t>
  </si>
  <si>
    <t>529-20-4</t>
  </si>
  <si>
    <t>2,5-dimethylbenzaldehyde</t>
  </si>
  <si>
    <t>5779-94-2</t>
  </si>
  <si>
    <t>di-s-butyl disulfide</t>
  </si>
  <si>
    <t>5943-30-6</t>
  </si>
  <si>
    <t>n,n-dialkyl toluidine</t>
  </si>
  <si>
    <t>613-48-9</t>
  </si>
  <si>
    <t>m-tolualdehyde</t>
  </si>
  <si>
    <t>620-23-5</t>
  </si>
  <si>
    <t>3,4-dichlorobenzaldehyde</t>
  </si>
  <si>
    <t>6287-38-3</t>
  </si>
  <si>
    <t>1,6-dibromohexane</t>
  </si>
  <si>
    <t>629-03-8</t>
  </si>
  <si>
    <t>formic acid</t>
  </si>
  <si>
    <t>64-18-6</t>
  </si>
  <si>
    <t>diethylenetoluenediamine</t>
  </si>
  <si>
    <t>68479-98-1</t>
  </si>
  <si>
    <t>ethylamine</t>
  </si>
  <si>
    <t>75-04-7</t>
  </si>
  <si>
    <t>ethylene glycol diallyl ether</t>
  </si>
  <si>
    <t>7529-27-3</t>
  </si>
  <si>
    <t>salicylaldehyde</t>
  </si>
  <si>
    <t>90-02-8</t>
  </si>
  <si>
    <t>2-hydroxypropyl methacrylate</t>
  </si>
  <si>
    <t>923-26-2</t>
  </si>
  <si>
    <t>n-ethyl-o-toluidine</t>
  </si>
  <si>
    <t>94-68-8</t>
  </si>
  <si>
    <t>o-toluidine</t>
  </si>
  <si>
    <t>95-53-4</t>
  </si>
  <si>
    <t>n,n-dimethyl-p-toluidine</t>
  </si>
  <si>
    <t>99-97-8</t>
  </si>
  <si>
    <t>o-tert-amyl phenol</t>
  </si>
  <si>
    <t>3279-27-4</t>
  </si>
  <si>
    <t>o-tert-butyl phenol</t>
  </si>
  <si>
    <t>88-18-6</t>
  </si>
  <si>
    <t>hydrogen fluoride</t>
  </si>
  <si>
    <t>7664-39-3</t>
  </si>
  <si>
    <t>2-hydroxyethyl acrylate</t>
  </si>
  <si>
    <t>818-61-1</t>
  </si>
  <si>
    <t>vinylene carbonate</t>
  </si>
  <si>
    <t>872-36-6</t>
  </si>
  <si>
    <t>dicyclohexylamine</t>
  </si>
  <si>
    <t>101-83-7</t>
  </si>
  <si>
    <t>1-adamantyldimethylamine</t>
  </si>
  <si>
    <t>3717-40-6</t>
  </si>
  <si>
    <t>tetrafluoroethylene</t>
  </si>
  <si>
    <t>116-14-3</t>
  </si>
  <si>
    <t>fluozirconia acid</t>
  </si>
  <si>
    <t>12021-95-3</t>
  </si>
  <si>
    <t>ammonium fluoride</t>
  </si>
  <si>
    <t>12125-01-8</t>
  </si>
  <si>
    <t>sodium bifluoride</t>
  </si>
  <si>
    <t>1333-83-1</t>
  </si>
  <si>
    <t>ammonium bifluoride</t>
  </si>
  <si>
    <t>1341-49-7</t>
  </si>
  <si>
    <t>xenon difluoride</t>
  </si>
  <si>
    <t>13709-36-9</t>
  </si>
  <si>
    <t>sodium fluoborate</t>
  </si>
  <si>
    <t>13755-29-8</t>
  </si>
  <si>
    <t>ammonium fluoborate</t>
  </si>
  <si>
    <t>13826-83-0</t>
  </si>
  <si>
    <t>silicon fluoride</t>
  </si>
  <si>
    <t>13966-66-0</t>
  </si>
  <si>
    <t>fluoroboric acid</t>
  </si>
  <si>
    <t>16872-11-0</t>
  </si>
  <si>
    <t>sodium silicofluoride</t>
  </si>
  <si>
    <t>16893-85-9</t>
  </si>
  <si>
    <t>magnesium hexafluorosilicate</t>
  </si>
  <si>
    <t>16949-65-8</t>
  </si>
  <si>
    <t>fluorosilicic acid</t>
  </si>
  <si>
    <t>16961-83-4</t>
  </si>
  <si>
    <t>fluotitanic acid</t>
  </si>
  <si>
    <t>17439-11-1</t>
  </si>
  <si>
    <t>potassium fluoroalkyl carboxylate</t>
  </si>
  <si>
    <t>2991-51-7</t>
  </si>
  <si>
    <t>carbonyl fluoride</t>
  </si>
  <si>
    <t>353-50-4</t>
  </si>
  <si>
    <t>silicon difluoride</t>
  </si>
  <si>
    <t>39384-00-4</t>
  </si>
  <si>
    <t>acetyl fluoride</t>
  </si>
  <si>
    <t>557-99-3</t>
  </si>
  <si>
    <t>sulfur pentafluoride</t>
  </si>
  <si>
    <t>5714-22-7</t>
  </si>
  <si>
    <t>vinyl fluoride</t>
  </si>
  <si>
    <t>75-02-5</t>
  </si>
  <si>
    <t>trifluoroacetic acid</t>
  </si>
  <si>
    <t>76-05-1</t>
  </si>
  <si>
    <t>perchloryl fluoride</t>
  </si>
  <si>
    <t>7616-94-6</t>
  </si>
  <si>
    <t>boron trifluoride</t>
  </si>
  <si>
    <t>7637-07-2</t>
  </si>
  <si>
    <t>phosphorus pentafluoride</t>
  </si>
  <si>
    <t>7647-19-0</t>
  </si>
  <si>
    <t>sodium fluoride</t>
  </si>
  <si>
    <t>7681-49-4</t>
  </si>
  <si>
    <t>sulfur tetrafluoride</t>
  </si>
  <si>
    <t>7783-60-0</t>
  </si>
  <si>
    <t>silicon tetrafluoride</t>
  </si>
  <si>
    <t>7783-61-1</t>
  </si>
  <si>
    <t>fluorosulfonic acid</t>
  </si>
  <si>
    <t>7789-21-1</t>
  </si>
  <si>
    <t>potassium fluoride</t>
  </si>
  <si>
    <t>7789-23-3</t>
  </si>
  <si>
    <t>calcium fluoride</t>
  </si>
  <si>
    <t>7789-75-5</t>
  </si>
  <si>
    <t>HDMA</t>
  </si>
  <si>
    <t>958029-37-3</t>
  </si>
  <si>
    <t>N-methylcyclohexanamine</t>
  </si>
  <si>
    <t>100-60-7</t>
  </si>
  <si>
    <t>cyclohexylamine</t>
  </si>
  <si>
    <t>108-91-8</t>
  </si>
  <si>
    <t>malononitrile</t>
  </si>
  <si>
    <t>109-77-3</t>
  </si>
  <si>
    <t>cyclohexylammonium sulfate</t>
  </si>
  <si>
    <t>19834-02-7</t>
  </si>
  <si>
    <t>pentachloropyridine</t>
  </si>
  <si>
    <t>2176-62-7</t>
  </si>
  <si>
    <t>3-amino-1-cyclohexylaminopropane</t>
  </si>
  <si>
    <t>3312-60-5</t>
  </si>
  <si>
    <t>methyl glutaronitrile</t>
  </si>
  <si>
    <t>4553-62-2</t>
  </si>
  <si>
    <t>isobutyl nitrite</t>
  </si>
  <si>
    <t>542-56-3</t>
  </si>
  <si>
    <t>2-methyl-N-({1,3,3-trimethyl-5-[(2-methylpropylidene)amino]cyclohexyl}methyl)-1-propanimine</t>
  </si>
  <si>
    <t>54914-37-3</t>
  </si>
  <si>
    <t>bromoanisole</t>
  </si>
  <si>
    <t>578-57-4</t>
  </si>
  <si>
    <t>1,5-di(2-furyl)pentan-3-one</t>
  </si>
  <si>
    <t>6075-11-2</t>
  </si>
  <si>
    <t>4-(2-furyl)-3-buten-2-one</t>
  </si>
  <si>
    <t>623-15-4</t>
  </si>
  <si>
    <t>aniline</t>
  </si>
  <si>
    <t>62-53-3</t>
  </si>
  <si>
    <t>cyclohexyl-2-pyrrolidone</t>
  </si>
  <si>
    <t>6837-24-7</t>
  </si>
  <si>
    <t>4-(2-furyl)butan-2-one</t>
  </si>
  <si>
    <t>699-17-2</t>
  </si>
  <si>
    <t>(1E,4E)-1,5-di(2-furyl)-1,4-pentadien-3-one</t>
  </si>
  <si>
    <t>886-77-1</t>
  </si>
  <si>
    <t>furfural</t>
  </si>
  <si>
    <t>98-01-1</t>
  </si>
  <si>
    <t>octanoyl chloride</t>
  </si>
  <si>
    <t>111-64-8</t>
  </si>
  <si>
    <t>stearoyl chloride</t>
  </si>
  <si>
    <t>112-76-5</t>
  </si>
  <si>
    <t>neoheptanoyl chloride</t>
  </si>
  <si>
    <t>15721-22-9</t>
  </si>
  <si>
    <t>isononanoyl chloride</t>
  </si>
  <si>
    <t>36727-29-4</t>
  </si>
  <si>
    <t>perchloric acid</t>
  </si>
  <si>
    <t>7601-90-3</t>
  </si>
  <si>
    <t>hydrogen chloride</t>
  </si>
  <si>
    <t>7647-01-0</t>
  </si>
  <si>
    <t>nonanoyl chloride</t>
  </si>
  <si>
    <t>764-85-2</t>
  </si>
  <si>
    <t>hypochlorous acid</t>
  </si>
  <si>
    <t>7790-92-3</t>
  </si>
  <si>
    <t>o-toluoyl chloride</t>
  </si>
  <si>
    <t>933-88-0</t>
  </si>
  <si>
    <t>4-methylpyridine</t>
  </si>
  <si>
    <t>108-89-4</t>
  </si>
  <si>
    <t>3-methylpyridine</t>
  </si>
  <si>
    <t>108-99-6</t>
  </si>
  <si>
    <t>2-methylpyridine</t>
  </si>
  <si>
    <t>109-06-8</t>
  </si>
  <si>
    <t>ethyl chloroacetate</t>
  </si>
  <si>
    <t>105-39-5</t>
  </si>
  <si>
    <t>glyoxylic acid</t>
  </si>
  <si>
    <t>298-12-4</t>
  </si>
  <si>
    <t>ethyl thioacetate</t>
  </si>
  <si>
    <t>59094-77-8</t>
  </si>
  <si>
    <t>triethyl phosphate</t>
  </si>
  <si>
    <t>78-40-0</t>
  </si>
  <si>
    <t>Silicon tetrachloride</t>
  </si>
  <si>
    <t>10026-04-7</t>
  </si>
  <si>
    <t>diphenyl ether</t>
  </si>
  <si>
    <t>101-84-8</t>
  </si>
  <si>
    <t>methyl cyanoacetate</t>
  </si>
  <si>
    <t>105-34-0</t>
  </si>
  <si>
    <t>ethyl cyanoacetate</t>
  </si>
  <si>
    <t>105-56-6</t>
  </si>
  <si>
    <t>2-aminoethanol compd. with N-hydroxy-N-nitrosobenzenamine (1:1)</t>
  </si>
  <si>
    <t>105658-30-8</t>
  </si>
  <si>
    <t>1,4-dioxacycloheptadecane-5,17-dione</t>
  </si>
  <si>
    <t>105-95-3</t>
  </si>
  <si>
    <t>2-(ethylamino)ethanol</t>
  </si>
  <si>
    <t>110-73-6</t>
  </si>
  <si>
    <t>2-(butylamino)ethanol</t>
  </si>
  <si>
    <t>111-75-1</t>
  </si>
  <si>
    <t>1-methyl-2,5-pyrrolidinedione</t>
  </si>
  <si>
    <t>1121-07-9</t>
  </si>
  <si>
    <t>N-methyl pyrrolidine</t>
  </si>
  <si>
    <t>120-94-5</t>
  </si>
  <si>
    <t>2-pyrrolidine</t>
  </si>
  <si>
    <t>123-75-1</t>
  </si>
  <si>
    <t>monoethanolamine thioglycolate</t>
  </si>
  <si>
    <t>126-97-6</t>
  </si>
  <si>
    <t>monoethanolamine</t>
  </si>
  <si>
    <t>141-43-5</t>
  </si>
  <si>
    <t>1,2-epoxyhexane</t>
  </si>
  <si>
    <t>1436-34-6</t>
  </si>
  <si>
    <t>disilane</t>
  </si>
  <si>
    <t>1590-87-0</t>
  </si>
  <si>
    <t>Steptozotocin</t>
  </si>
  <si>
    <t>18883-66-4</t>
  </si>
  <si>
    <t>ethanolamine hydrochloride</t>
  </si>
  <si>
    <t>2002-24-6</t>
  </si>
  <si>
    <t>diethyl phosphorochlorodithioate</t>
  </si>
  <si>
    <t>2524-04-1</t>
  </si>
  <si>
    <t>tetrachloroethane (unspecified isomers)</t>
  </si>
  <si>
    <t>25322-20-7</t>
  </si>
  <si>
    <t>2-aminoethanol, salt with phosphoric acid</t>
  </si>
  <si>
    <t>29868-05-1</t>
  </si>
  <si>
    <t>1,1,3-trimethyl-5-(1 -methylethyl)-1H-indene</t>
  </si>
  <si>
    <t>30839-52-2</t>
  </si>
  <si>
    <t>phosphorochloridothioic acid, O-ethyl O-(1-methylethyl) ester</t>
  </si>
  <si>
    <t>51162-51-7</t>
  </si>
  <si>
    <t>ethyl trichloroacetate</t>
  </si>
  <si>
    <t>515-84-4</t>
  </si>
  <si>
    <t>dichloroacetic acid, ethyl ester</t>
  </si>
  <si>
    <t>535-15-9</t>
  </si>
  <si>
    <t>2-aminoethanol acetate salt</t>
  </si>
  <si>
    <t>54300-24-2</t>
  </si>
  <si>
    <t>2-aminoethanol sulfate</t>
  </si>
  <si>
    <t>56633-27-3</t>
  </si>
  <si>
    <t>oxacycloheptane</t>
  </si>
  <si>
    <t>592-90-5</t>
  </si>
  <si>
    <t>propiconazole</t>
  </si>
  <si>
    <t>60207-90-1</t>
  </si>
  <si>
    <t>N-(3-dimethylaminopropyl)-N,N-diisopropanolamine</t>
  </si>
  <si>
    <t>63469-23-8</t>
  </si>
  <si>
    <t>2-aminoethanol, compound with sulphur dioxide (1:1)</t>
  </si>
  <si>
    <t>65345-27-9</t>
  </si>
  <si>
    <t>2-aminoethanol, reaction products with ammonia, by-products from, phosphonomethylated</t>
  </si>
  <si>
    <t>68649-44-5</t>
  </si>
  <si>
    <t>2,3-dihydro-1,1,3-trimethyl-5-(1 -methylethyl)-1H-indene</t>
  </si>
  <si>
    <t>74057-44-6</t>
  </si>
  <si>
    <t>propylene oxide</t>
  </si>
  <si>
    <t>75-56-9</t>
  </si>
  <si>
    <t>vinyltrichlorosilane</t>
  </si>
  <si>
    <t>75-94-5</t>
  </si>
  <si>
    <t>trichloroacetic acid</t>
  </si>
  <si>
    <t>76-03-9</t>
  </si>
  <si>
    <t>silane</t>
  </si>
  <si>
    <t>7803-62-5</t>
  </si>
  <si>
    <t>1,1,2,2-tetrachloroethane</t>
  </si>
  <si>
    <t>79-34-5</t>
  </si>
  <si>
    <t>(E)-3-methyl-5-cyclopentadecen-1-one</t>
  </si>
  <si>
    <t>82356-51-2</t>
  </si>
  <si>
    <t>methyl acrylate</t>
  </si>
  <si>
    <t>96-33-3</t>
  </si>
  <si>
    <t>2,4-dichlorophenol</t>
  </si>
  <si>
    <t>120-83-2</t>
  </si>
  <si>
    <t>2,6-dibromophenol</t>
  </si>
  <si>
    <t>608-33-3</t>
  </si>
  <si>
    <t>2,4-dibromophenol</t>
  </si>
  <si>
    <t>615-58-7</t>
  </si>
  <si>
    <t>chlorendic acid</t>
  </si>
  <si>
    <t>115-28-6</t>
  </si>
  <si>
    <t>triethylene diamine</t>
  </si>
  <si>
    <t>280-57-9</t>
  </si>
  <si>
    <t>gasoline, pyrolysis, debutanizer bottoms</t>
  </si>
  <si>
    <t>68606-10-0</t>
  </si>
  <si>
    <t>pyrolysis gasoline (&lt; 70% benzene)</t>
  </si>
  <si>
    <t>68921-67-5</t>
  </si>
  <si>
    <t>methylamine</t>
  </si>
  <si>
    <t>74-89-5</t>
  </si>
  <si>
    <t>coal tar light oil (71% benzene)</t>
  </si>
  <si>
    <t>65996-78-3</t>
  </si>
  <si>
    <t>2-chloro-2-propen-1-ol</t>
  </si>
  <si>
    <t>5976-47-6</t>
  </si>
  <si>
    <t>dibutyl phosphite</t>
  </si>
  <si>
    <t>1809-19-4</t>
  </si>
  <si>
    <t>glycidol</t>
  </si>
  <si>
    <t>556-52-5</t>
  </si>
  <si>
    <t>2,3-epoxy-1-butanol</t>
  </si>
  <si>
    <t>872-38-8</t>
  </si>
  <si>
    <t>sulfur monochloride</t>
  </si>
  <si>
    <t>10025-67-9</t>
  </si>
  <si>
    <t>N-sec-butyl-1,4-benzenediamine</t>
  </si>
  <si>
    <t>10029-30-8</t>
  </si>
  <si>
    <t>N,N'-di-sec-butyl-p-phenylenediamine</t>
  </si>
  <si>
    <t>101-96-2</t>
  </si>
  <si>
    <t>triallylamine</t>
  </si>
  <si>
    <t>102-70-5</t>
  </si>
  <si>
    <t>2-ethylhexylamine</t>
  </si>
  <si>
    <t>104-75-6</t>
  </si>
  <si>
    <t>dinitrogen tetraoxide</t>
  </si>
  <si>
    <t>10544-72-6</t>
  </si>
  <si>
    <t>sulfur dichloride</t>
  </si>
  <si>
    <t>10545-99-0</t>
  </si>
  <si>
    <t>di-2-ethylhexylamine</t>
  </si>
  <si>
    <t>106-20-7</t>
  </si>
  <si>
    <t>1,2-epoxybutane</t>
  </si>
  <si>
    <t>106-88-7</t>
  </si>
  <si>
    <t>1,3-dimethylbutylamine</t>
  </si>
  <si>
    <t>108-09-8</t>
  </si>
  <si>
    <t>n-butylamine</t>
  </si>
  <si>
    <t>109-73-9</t>
  </si>
  <si>
    <t>maleic acid</t>
  </si>
  <si>
    <t>110-16-7</t>
  </si>
  <si>
    <t>fumaric acid</t>
  </si>
  <si>
    <t>110-17-8</t>
  </si>
  <si>
    <t>octylamine</t>
  </si>
  <si>
    <t>111-86-4</t>
  </si>
  <si>
    <t>triethylenetetramine</t>
  </si>
  <si>
    <t>112-24-3</t>
  </si>
  <si>
    <t>dimethylphenethylamine</t>
  </si>
  <si>
    <t>122-09-8</t>
  </si>
  <si>
    <t>sec-butylamine</t>
  </si>
  <si>
    <t>13952-84-6</t>
  </si>
  <si>
    <t>hexachloropropene</t>
  </si>
  <si>
    <t>1888-71-7</t>
  </si>
  <si>
    <t>tris(hydroxyphenyl) ethane</t>
  </si>
  <si>
    <t>27955-94-8</t>
  </si>
  <si>
    <t>1-octadecanethiol</t>
  </si>
  <si>
    <t>2885-00-9</t>
  </si>
  <si>
    <t>paraformaldehyde</t>
  </si>
  <si>
    <t>30525-89-4</t>
  </si>
  <si>
    <t>butylamine sulfate</t>
  </si>
  <si>
    <t>39085-66-0</t>
  </si>
  <si>
    <t>citraconic acid</t>
  </si>
  <si>
    <t>498-23-7</t>
  </si>
  <si>
    <t>N,N'-[phenylenebis(methylene)] bis[12-hydroxy-octadecanamide</t>
  </si>
  <si>
    <t>55348-62-4</t>
  </si>
  <si>
    <t>isobutylene oxide</t>
  </si>
  <si>
    <t>558-30-5</t>
  </si>
  <si>
    <t>N,N-dimethyl ethyl amine</t>
  </si>
  <si>
    <t>598-56-1</t>
  </si>
  <si>
    <t>2-propionylphenol</t>
  </si>
  <si>
    <t>610-99-1</t>
  </si>
  <si>
    <t>citraconic anhydride</t>
  </si>
  <si>
    <t>616-02-4</t>
  </si>
  <si>
    <t>tert-butylamine</t>
  </si>
  <si>
    <t>75-64-9</t>
  </si>
  <si>
    <t>methyltrichlorosilane</t>
  </si>
  <si>
    <t>75-79-6</t>
  </si>
  <si>
    <t>2,2-dichloropropionic acid</t>
  </si>
  <si>
    <t>75-99-0</t>
  </si>
  <si>
    <t>acrylic acid</t>
  </si>
  <si>
    <t>79-10-7</t>
  </si>
  <si>
    <t>cumene hydroperoxide</t>
  </si>
  <si>
    <t>80-15-9</t>
  </si>
  <si>
    <t>tetrahydrophthalic acid</t>
  </si>
  <si>
    <t>85-43-8</t>
  </si>
  <si>
    <t>phthalic anhydride</t>
  </si>
  <si>
    <t>85-44-9</t>
  </si>
  <si>
    <t>2-ethyl acrolein</t>
  </si>
  <si>
    <t>922-63-4</t>
  </si>
  <si>
    <t>3-methoxy-1,2-epoxypropane</t>
  </si>
  <si>
    <t>930-37-0</t>
  </si>
  <si>
    <t>4-tert-butyltoluene</t>
  </si>
  <si>
    <t>98-51-1</t>
  </si>
  <si>
    <t>1,1,3,3-tetrabutylurea</t>
  </si>
  <si>
    <t>4559-86-8</t>
  </si>
  <si>
    <t>2-allylphenol</t>
  </si>
  <si>
    <t>1745-81-9</t>
  </si>
  <si>
    <t>4-cyanocyclohexene</t>
  </si>
  <si>
    <t>100-45-8</t>
  </si>
  <si>
    <t>tripropylamine</t>
  </si>
  <si>
    <t>102-69-2</t>
  </si>
  <si>
    <t>3-(dibutylamino)propylamine</t>
  </si>
  <si>
    <t>102-83-0</t>
  </si>
  <si>
    <t>N,N-bis(3-aminopropyl)methylamine</t>
  </si>
  <si>
    <t>105-83-9</t>
  </si>
  <si>
    <t>diisopropylamine</t>
  </si>
  <si>
    <t>108-18-9</t>
  </si>
  <si>
    <t>3-dimethylaminopropylamine</t>
  </si>
  <si>
    <t>109-55-7</t>
  </si>
  <si>
    <t>1,3-trimethylenediamine</t>
  </si>
  <si>
    <t>109-76-2</t>
  </si>
  <si>
    <t>dibutylamine</t>
  </si>
  <si>
    <t>111-92-2</t>
  </si>
  <si>
    <t>methyldibutylamine</t>
  </si>
  <si>
    <t>3405-45-6</t>
  </si>
  <si>
    <t>3,3-diaminodipropylamine</t>
  </si>
  <si>
    <t>56-18-8</t>
  </si>
  <si>
    <t>dimethylisopropylamine</t>
  </si>
  <si>
    <t>598-74-3</t>
  </si>
  <si>
    <t>benzyl chloride</t>
  </si>
  <si>
    <t>100-44-7</t>
  </si>
  <si>
    <t>2-cyanopyridine</t>
  </si>
  <si>
    <t>100-70-9</t>
  </si>
  <si>
    <t>silicon monoxide</t>
  </si>
  <si>
    <t>10097-28-6</t>
  </si>
  <si>
    <t>1,2-diphenyl guanidine</t>
  </si>
  <si>
    <t>102-06-7</t>
  </si>
  <si>
    <t>triallyl isocyanurate</t>
  </si>
  <si>
    <t>1025-15-6</t>
  </si>
  <si>
    <t>4,4'-methylene bis(dibutyldithiocarbamate)</t>
  </si>
  <si>
    <t>10254-57-6</t>
  </si>
  <si>
    <t>tributylamine</t>
  </si>
  <si>
    <t>102-82-9</t>
  </si>
  <si>
    <t>samarium chloride</t>
  </si>
  <si>
    <t>10361-82-7</t>
  </si>
  <si>
    <t>allyl glycidyl ether</t>
  </si>
  <si>
    <t>106-92-3</t>
  </si>
  <si>
    <t>glycolonitrile</t>
  </si>
  <si>
    <t>107-16-4</t>
  </si>
  <si>
    <t>allyl alcohol</t>
  </si>
  <si>
    <t>107-18-6</t>
  </si>
  <si>
    <t>dibutyl phosphate</t>
  </si>
  <si>
    <t>107-66-4</t>
  </si>
  <si>
    <t>isopropyl chloroformate</t>
  </si>
  <si>
    <t>108-23-6</t>
  </si>
  <si>
    <t>2-chloropyridine</t>
  </si>
  <si>
    <t>109-09-1</t>
  </si>
  <si>
    <t>ethylene cyanohydrin</t>
  </si>
  <si>
    <t>109-78-4</t>
  </si>
  <si>
    <t>n,n'-methylene bis-(2-propenamide)</t>
  </si>
  <si>
    <t>110-26-9</t>
  </si>
  <si>
    <t>2,2'-oxybis-acetic acid</t>
  </si>
  <si>
    <t>110-99-6</t>
  </si>
  <si>
    <t>monobromo-3-nitrilopropionamide</t>
  </si>
  <si>
    <t>1113-55-9</t>
  </si>
  <si>
    <t>1,2-benzenedicarboxylic aicd, diheptyl nonyl ester, branched and linear</t>
  </si>
  <si>
    <t>111381-89-6</t>
  </si>
  <si>
    <t>1,2-benzenedicarboxylic acid, diheptyl undecyl ester, branched and linear</t>
  </si>
  <si>
    <t>111381-90-9</t>
  </si>
  <si>
    <t>1,2-benzenedicarboxylic acid, diheptyl nonyl undecyl ester, branched and linear</t>
  </si>
  <si>
    <t>111381-91-0</t>
  </si>
  <si>
    <t>propyl butylethylthiocarbamate</t>
  </si>
  <si>
    <t>1114-71-2</t>
  </si>
  <si>
    <t>1-aminoheptane</t>
  </si>
  <si>
    <t>111-68-2</t>
  </si>
  <si>
    <t>pentaerythritol</t>
  </si>
  <si>
    <t>115-77-5</t>
  </si>
  <si>
    <t>di(2-ethylhexyl)phthalate</t>
  </si>
  <si>
    <t>117-81-7</t>
  </si>
  <si>
    <t>di-n-octyl phthalate</t>
  </si>
  <si>
    <t>117-84-0</t>
  </si>
  <si>
    <t>ditridecyl phthalate</t>
  </si>
  <si>
    <t>119-06-2</t>
  </si>
  <si>
    <t>dimethyl terephthalate</t>
  </si>
  <si>
    <t>120-61-6</t>
  </si>
  <si>
    <t>Furilazole</t>
  </si>
  <si>
    <t>121776-33-8</t>
  </si>
  <si>
    <t>isophthalic acid</t>
  </si>
  <si>
    <t>121-91-5</t>
  </si>
  <si>
    <t>adipic acid</t>
  </si>
  <si>
    <t>124-04-9</t>
  </si>
  <si>
    <t>tributyl phosphate</t>
  </si>
  <si>
    <t>126-73-8</t>
  </si>
  <si>
    <t>dimethyl phthalate</t>
  </si>
  <si>
    <t>131-11-3</t>
  </si>
  <si>
    <t>1,2-benzenedicarboxylic acid, dipropyl ester</t>
  </si>
  <si>
    <t>131-16-8</t>
  </si>
  <si>
    <t>diallyl phthalate</t>
  </si>
  <si>
    <t>131-17-9</t>
  </si>
  <si>
    <t>dipentyl phthalate</t>
  </si>
  <si>
    <t>131-18-0</t>
  </si>
  <si>
    <t>acetamiprid</t>
  </si>
  <si>
    <t>135410-20-7</t>
  </si>
  <si>
    <t>2-pentyl-9,10-anthracenedione</t>
  </si>
  <si>
    <t>13936-21-5</t>
  </si>
  <si>
    <t>O-isopropyl ethylcarbamothioate</t>
  </si>
  <si>
    <t>141-98-0</t>
  </si>
  <si>
    <t>2-ethylhexanoic acid</t>
  </si>
  <si>
    <t>149-57-5</t>
  </si>
  <si>
    <t>4-methylhexanoic acid</t>
  </si>
  <si>
    <t>1561-11-1</t>
  </si>
  <si>
    <t>trimethyl-1-propanaminium iodide</t>
  </si>
  <si>
    <t>1652-63-7</t>
  </si>
  <si>
    <t>2,2-dimethyl-1-(1-methylethyl)-3-(2-methyl-1-oxopropoxy)propyl phenylmethyl ester benzenedicarboxylic acid</t>
  </si>
  <si>
    <t>16883-83-3</t>
  </si>
  <si>
    <t>vinylphosphonic acid</t>
  </si>
  <si>
    <t>1746-03-8</t>
  </si>
  <si>
    <t>N,N'-(methyl-1,3-phenylene) bis (N',N'-dimethylurea)</t>
  </si>
  <si>
    <t>17526-94-2</t>
  </si>
  <si>
    <t>2,6-di-t-butyl-4-sec-butylphenol</t>
  </si>
  <si>
    <t>17540-75-9</t>
  </si>
  <si>
    <t>1,3,6-hexanetricarbonitrile</t>
  </si>
  <si>
    <t>1772-25-4</t>
  </si>
  <si>
    <t>allyl formate</t>
  </si>
  <si>
    <t>1838-59-1</t>
  </si>
  <si>
    <t>dihydromyrcenol</t>
  </si>
  <si>
    <t>18479-58-8</t>
  </si>
  <si>
    <t>3-benzyloxy-1-propionyloxy-2-propyloxymethyl propionate</t>
  </si>
  <si>
    <t>194204-51-8</t>
  </si>
  <si>
    <t>dibutyl terephthalate</t>
  </si>
  <si>
    <t>1962-75-0</t>
  </si>
  <si>
    <t>Metribuzin</t>
  </si>
  <si>
    <t>21087-64-9</t>
  </si>
  <si>
    <t>1-aminomethanamide dihydrogen tetraoxosulfate</t>
  </si>
  <si>
    <t>21351-39-3</t>
  </si>
  <si>
    <t>allyl disulfide</t>
  </si>
  <si>
    <t>2179-57-9</t>
  </si>
  <si>
    <t>ortho-cresyl glycidyl ether</t>
  </si>
  <si>
    <t>2210-79-9</t>
  </si>
  <si>
    <t>2-((2-(dimethylamino)ethyl)methylamino)-ethanol</t>
  </si>
  <si>
    <t>2212-32-0</t>
  </si>
  <si>
    <t>polyethylene terephthalate</t>
  </si>
  <si>
    <t>25038-59-9</t>
  </si>
  <si>
    <t>propamocarb hydrochloride</t>
  </si>
  <si>
    <t>25606-41-1</t>
  </si>
  <si>
    <t>L-histidinol phosphate</t>
  </si>
  <si>
    <t>25679-93-0</t>
  </si>
  <si>
    <t>cresyl glycidyl ether</t>
  </si>
  <si>
    <t>26447-14-3</t>
  </si>
  <si>
    <t>phosphorus acid, isodecyl diphenyl ester</t>
  </si>
  <si>
    <t>26544-23-0</t>
  </si>
  <si>
    <t>diisodecyl phthalate</t>
  </si>
  <si>
    <t>26761-40-0</t>
  </si>
  <si>
    <t>2,3-epoxypropyl ester neodecanoic acid</t>
  </si>
  <si>
    <t>26761-45-5</t>
  </si>
  <si>
    <t>disodium distyrybiphenyl disulfonate</t>
  </si>
  <si>
    <t>27344-41-8</t>
  </si>
  <si>
    <t>D-trans Allethrin</t>
  </si>
  <si>
    <t>28057-48-9</t>
  </si>
  <si>
    <t>diisononyl phthalate</t>
  </si>
  <si>
    <t>28553-12-0</t>
  </si>
  <si>
    <t>1,2,4-triazole</t>
  </si>
  <si>
    <t>288-88-0</t>
  </si>
  <si>
    <t>1-hexadecanethiol</t>
  </si>
  <si>
    <t>2917-26-2</t>
  </si>
  <si>
    <t>trimethylolpropane triglycidyl ether</t>
  </si>
  <si>
    <t>30499-70-8</t>
  </si>
  <si>
    <t>hydrogenated bisphenol A diglycidyl ether</t>
  </si>
  <si>
    <t>30583-72-3</t>
  </si>
  <si>
    <t>[(phosphonomethyl)imino] bis[6,1-hexanediylnitrilobis(methylene)]tetrakis-phosphonic acid</t>
  </si>
  <si>
    <t>34690-00-1</t>
  </si>
  <si>
    <t>ethylene bisdithiocarbamate</t>
  </si>
  <si>
    <t>34731-32-3</t>
  </si>
  <si>
    <t>phthalic acid, diundecyl ester</t>
  </si>
  <si>
    <t>3648-20-2</t>
  </si>
  <si>
    <t>hydroxyethylethylene urea</t>
  </si>
  <si>
    <t>3699-54-5</t>
  </si>
  <si>
    <t>1,2-bis(tribromophenoxy)-ethane</t>
  </si>
  <si>
    <t>37853-59-1</t>
  </si>
  <si>
    <t>N-(N,N-dimethylaminoethyl)-aminoethanol</t>
  </si>
  <si>
    <t>38361-86-3</t>
  </si>
  <si>
    <t>1,2-benzenedicarboxylic acid, di-C6-12-branched and linear alkyl esters</t>
  </si>
  <si>
    <t>392662-40-7</t>
  </si>
  <si>
    <t>dithiocarbamate</t>
  </si>
  <si>
    <t>4384-82-1</t>
  </si>
  <si>
    <t>acetylsalicylic acid</t>
  </si>
  <si>
    <t>50-78-2</t>
  </si>
  <si>
    <t>2-bromo-2-nitro-1,3-propanediol</t>
  </si>
  <si>
    <t>52-51-7</t>
  </si>
  <si>
    <t>tetrahydro-3,5-dimethyl-2H-1,3,5-thiadiazine-2-thione</t>
  </si>
  <si>
    <t>533-74-4</t>
  </si>
  <si>
    <t>pentanedinitrile</t>
  </si>
  <si>
    <t>544-13-8</t>
  </si>
  <si>
    <t>1,2,4,5-benzenetetracarboxylic acid, compd. with 4,5-dihydro-2-phenyl-1H-imidazole (1:1)</t>
  </si>
  <si>
    <t>54553-90-1</t>
  </si>
  <si>
    <t>Carbosulfan</t>
  </si>
  <si>
    <t>55285-14-8</t>
  </si>
  <si>
    <t>polymethoxy bicyclic oxazolidine</t>
  </si>
  <si>
    <t>56709-13-8</t>
  </si>
  <si>
    <t>stilbene</t>
  </si>
  <si>
    <t>588-59-0</t>
  </si>
  <si>
    <t>delta-8-tetrahydrocannabinol</t>
  </si>
  <si>
    <t>5957-75-5</t>
  </si>
  <si>
    <t>[[(2-hydroxyethyl)imino]bis(methylene)]bisphosphonic acid</t>
  </si>
  <si>
    <t>5995-42-6</t>
  </si>
  <si>
    <t>(S)-3-chloro-1,2-propanediol</t>
  </si>
  <si>
    <t>60827-45-4</t>
  </si>
  <si>
    <t>2-propanamine sulfate</t>
  </si>
  <si>
    <t>60828-92-4</t>
  </si>
  <si>
    <t>hydrogenated terphenyls</t>
  </si>
  <si>
    <t>61788-32-7</t>
  </si>
  <si>
    <t>tallow nitriles</t>
  </si>
  <si>
    <t>61790-28-1</t>
  </si>
  <si>
    <t>1-(2-hydroxyethyl)-2-(tall oil-alkyl)-2-imidazoline</t>
  </si>
  <si>
    <t>61791-39-7</t>
  </si>
  <si>
    <t>ethyl methanesulfonate</t>
  </si>
  <si>
    <t>62-50-0</t>
  </si>
  <si>
    <t>m-phthalodinitrile</t>
  </si>
  <si>
    <t>626-17-5</t>
  </si>
  <si>
    <t>3-chloropyridine</t>
  </si>
  <si>
    <t>626-60-8</t>
  </si>
  <si>
    <t>triethylene glycol monoamine</t>
  </si>
  <si>
    <t>6338-55-2</t>
  </si>
  <si>
    <t>ethylhexylmethyl terephthalate</t>
  </si>
  <si>
    <t>63468-13-3</t>
  </si>
  <si>
    <t>phthalate ester 37</t>
  </si>
  <si>
    <t>63515-48-0</t>
  </si>
  <si>
    <t>dioctyl terephthalate</t>
  </si>
  <si>
    <t>6422-86-2</t>
  </si>
  <si>
    <t>sulfite liquors and cooking liquors, spent</t>
  </si>
  <si>
    <t>66071-92-9</t>
  </si>
  <si>
    <t>fenpropidine</t>
  </si>
  <si>
    <t>67306-00-7</t>
  </si>
  <si>
    <t>1-(2-aminoethyl)-2-tall oil alkyl-2-imidazoline</t>
  </si>
  <si>
    <t>68389-77-5</t>
  </si>
  <si>
    <t>(imidazole, 1H-)-1-ethanamine, 4,5-dihydro-, 2-nornaphthenyl derives</t>
  </si>
  <si>
    <t>68478-61-5</t>
  </si>
  <si>
    <t>phthalic acid, benzyl alkyl (C7-C8) ester</t>
  </si>
  <si>
    <t>68515-40-2</t>
  </si>
  <si>
    <t>1,2-benzenedicarboxylic acid, di-C7-C9-alkyl esters</t>
  </si>
  <si>
    <t>68515-41-3</t>
  </si>
  <si>
    <t>1,2-benzenedicarboxylic acid, di-C7-11-branched and linear alkyl esters</t>
  </si>
  <si>
    <t>68515-42-4</t>
  </si>
  <si>
    <t>dialkyl phthalates, C6-C11</t>
  </si>
  <si>
    <t>68515-43-5</t>
  </si>
  <si>
    <t>1,2-benzenedicarboxylic aicd, diheptyl ester, branched and linear</t>
  </si>
  <si>
    <t>68515-44-6</t>
  </si>
  <si>
    <t>1,2-benzenedicarboxylic aicd, dinonyl ester, branched and linear (also 9P Ester)</t>
  </si>
  <si>
    <t>68515-45-7</t>
  </si>
  <si>
    <t>1,2-benzenedicarboxylic acid, di-C8-10-branched alkyl esters, C9-rich</t>
  </si>
  <si>
    <t>68515-48-0</t>
  </si>
  <si>
    <t>1,2-benzenedicarboxylic acid, di-C9-11-branched alkyl esters, C10-rich</t>
  </si>
  <si>
    <t>68515-49-1</t>
  </si>
  <si>
    <t>1,2-benzenedicarboxylic acid, 1,2-dihexyl ester, branched and linear</t>
  </si>
  <si>
    <t>68515-50-4</t>
  </si>
  <si>
    <t>1,3-benzenedimethanamine, polymer with diglycidyl ether of bisphenol A and 2,2,4-trimethyl 1,6-hexane diamine</t>
  </si>
  <si>
    <t>68738-77-2</t>
  </si>
  <si>
    <t>fluorinated alkyl alkoxylate (C8) (87-93%)</t>
  </si>
  <si>
    <t>68958-61-2</t>
  </si>
  <si>
    <t>glycol terephthalate esters</t>
  </si>
  <si>
    <t>68987-51-9</t>
  </si>
  <si>
    <t>phenyl glycidyl ether adduct 2,2-bis(4-hydroxyphenyl)propane</t>
  </si>
  <si>
    <t>71230-68-7</t>
  </si>
  <si>
    <t>trimethylguanidine hydrochloride</t>
  </si>
  <si>
    <t>71371-43-2</t>
  </si>
  <si>
    <t>1,2-benzenedicarboxylic acid, di-C6-C8, br alkyl esters</t>
  </si>
  <si>
    <t>71888-89-6</t>
  </si>
  <si>
    <t>tallow nitrile pitch</t>
  </si>
  <si>
    <t>72230-78-5</t>
  </si>
  <si>
    <t>bromoform</t>
  </si>
  <si>
    <t>75-25-2</t>
  </si>
  <si>
    <t>2,2,2-trichloroacetaldehyde</t>
  </si>
  <si>
    <t>75-87-6</t>
  </si>
  <si>
    <t>nitric acid</t>
  </si>
  <si>
    <t>7697-37-2</t>
  </si>
  <si>
    <t>peroxymonosulfuric acid</t>
  </si>
  <si>
    <t>7722-86-3</t>
  </si>
  <si>
    <t>trimethylol propane</t>
  </si>
  <si>
    <t>77-99-6</t>
  </si>
  <si>
    <t>2,2'-azodiisobutyronitrile</t>
  </si>
  <si>
    <t>78-67-1</t>
  </si>
  <si>
    <t>2-nitropropane</t>
  </si>
  <si>
    <t>79-46-9</t>
  </si>
  <si>
    <t>hindered amine derivative</t>
  </si>
  <si>
    <t>79720-19-7</t>
  </si>
  <si>
    <t>Pyrethrum</t>
  </si>
  <si>
    <t>8003-34-7</t>
  </si>
  <si>
    <t>dialkyl phthalate</t>
  </si>
  <si>
    <t>83968-18-7</t>
  </si>
  <si>
    <t>dicyclohexyl phthalate</t>
  </si>
  <si>
    <t>84-61-7</t>
  </si>
  <si>
    <t>diethyl phthalate</t>
  </si>
  <si>
    <t>84-66-2</t>
  </si>
  <si>
    <t>diisobutyl phthalate</t>
  </si>
  <si>
    <t>84-69-5</t>
  </si>
  <si>
    <t>1,2-benzenedicarboxylic acid, dihexyl ester</t>
  </si>
  <si>
    <t>84-75-3</t>
  </si>
  <si>
    <t>butyl octyl phthalate</t>
  </si>
  <si>
    <t>84-78-6</t>
  </si>
  <si>
    <t>2,2,4,4-tetramethyl-21-oxo-7-oxa-3,20-diazadispiro[5.1.11.2]heneicosane-20-propanoic acid dodecyl ester</t>
  </si>
  <si>
    <t>85099-51-0</t>
  </si>
  <si>
    <t>di-n-undecyl phthalate</t>
  </si>
  <si>
    <t>85507-79-5</t>
  </si>
  <si>
    <t>benzyl butyl phthalate</t>
  </si>
  <si>
    <t>85-68-7</t>
  </si>
  <si>
    <t>Guaifenesin</t>
  </si>
  <si>
    <t>93-14-1</t>
  </si>
  <si>
    <t>2-chloro-2-propen-1-yl diethylcarbamodithioate</t>
  </si>
  <si>
    <t>95-06-7</t>
  </si>
  <si>
    <t>benzothiazole</t>
  </si>
  <si>
    <t>95-16-9</t>
  </si>
  <si>
    <t>1H-imidazoledipropanoic acid, 4,5-dihydro-1-(2-hydroxyethyl)-, 2-norcoco alkyl derivs., di-Me esters, phosphates (esters), sodium salts</t>
  </si>
  <si>
    <t>95913-20-5</t>
  </si>
  <si>
    <t>bis(2-hydroxyethyl) terephthalate</t>
  </si>
  <si>
    <t>959-26-2</t>
  </si>
  <si>
    <t>3-chloro-1,2-propanediol</t>
  </si>
  <si>
    <t>96-24-2</t>
  </si>
  <si>
    <t>nitrobenzene</t>
  </si>
  <si>
    <t>98-95-3</t>
  </si>
  <si>
    <t>alkyl (C12-C13) glycidyl ether</t>
  </si>
  <si>
    <t>120547-52-6</t>
  </si>
  <si>
    <t>p-chloroaniline</t>
  </si>
  <si>
    <t>106-47-8</t>
  </si>
  <si>
    <t>m-chloroaniline</t>
  </si>
  <si>
    <t>108-42-9</t>
  </si>
  <si>
    <t>2,6-dichloroanisole</t>
  </si>
  <si>
    <t>1984-55-2</t>
  </si>
  <si>
    <t>3,5-dichloroanisole</t>
  </si>
  <si>
    <t>33719-74-3</t>
  </si>
  <si>
    <t>2,4-difluoroaniline</t>
  </si>
  <si>
    <t>367-25-9</t>
  </si>
  <si>
    <t>3,5-difluoroaniline</t>
  </si>
  <si>
    <t>372-39-4</t>
  </si>
  <si>
    <t>2,6-difluoroaniline</t>
  </si>
  <si>
    <t>5509-65-9</t>
  </si>
  <si>
    <t>2,3-dichloroaniline</t>
  </si>
  <si>
    <t>608-27-5</t>
  </si>
  <si>
    <t>o-chloroaniline</t>
  </si>
  <si>
    <t>95-51-2</t>
  </si>
  <si>
    <t>3,4-dichloroaniline</t>
  </si>
  <si>
    <t>95-76-1</t>
  </si>
  <si>
    <t>2,5-dichloroaniline</t>
  </si>
  <si>
    <t>95-82-9</t>
  </si>
  <si>
    <t>cis-1,3-dichloropropene</t>
  </si>
  <si>
    <t>10061-01-5</t>
  </si>
  <si>
    <t>trans-1,3-dichloropropene</t>
  </si>
  <si>
    <t>10061-02-6</t>
  </si>
  <si>
    <t>ethylene glycol</t>
  </si>
  <si>
    <t>107-21-1</t>
  </si>
  <si>
    <t>2-propenoic acid, polymer with oxirane and 1,2,3-propanetriol</t>
  </si>
  <si>
    <t>144086-03-3</t>
  </si>
  <si>
    <t>1,3,3-trichloropropene</t>
  </si>
  <si>
    <t>26556-03-6</t>
  </si>
  <si>
    <t>1,2-dichloropropene</t>
  </si>
  <si>
    <t>26952-23-8</t>
  </si>
  <si>
    <t>carbohydrazide</t>
  </si>
  <si>
    <t>497-18-7</t>
  </si>
  <si>
    <t>ethyl chloroformate</t>
  </si>
  <si>
    <t>541-41-3</t>
  </si>
  <si>
    <t>1,3-dichloropropene</t>
  </si>
  <si>
    <t>542-75-6</t>
  </si>
  <si>
    <t>hydrazine carboxamide hydrochloride</t>
  </si>
  <si>
    <t>563-41-7</t>
  </si>
  <si>
    <t>3,3-dichloropropene</t>
  </si>
  <si>
    <t>563-57-5</t>
  </si>
  <si>
    <t>1,1-dichloropropene</t>
  </si>
  <si>
    <t>563-58-6</t>
  </si>
  <si>
    <t>hydrazinecarboxamide</t>
  </si>
  <si>
    <t>57-56-7</t>
  </si>
  <si>
    <t>benzene</t>
  </si>
  <si>
    <t>71-43-2</t>
  </si>
  <si>
    <t>2,3- dichloropropene</t>
  </si>
  <si>
    <t>78-88-6</t>
  </si>
  <si>
    <t>styrene glycol</t>
  </si>
  <si>
    <t>93-56-1</t>
  </si>
  <si>
    <t>1,2,3-trichloropropene</t>
  </si>
  <si>
    <t>96-19-5</t>
  </si>
  <si>
    <t>chloroacetic acid methyl ester</t>
  </si>
  <si>
    <t>96-34-4</t>
  </si>
  <si>
    <t>N-(1,3-dimethylbutylidene)-N'-(2-((1,3-dimethylbutylidene)amino)ethyl)-1,2-ethanediamine</t>
  </si>
  <si>
    <t>10595-60-5</t>
  </si>
  <si>
    <t>diethylenetriamine</t>
  </si>
  <si>
    <t>111-40-0</t>
  </si>
  <si>
    <t>diethylenetriamine hydrochloride</t>
  </si>
  <si>
    <t>21120-99-0</t>
  </si>
  <si>
    <t>1,1,4,7,7-pentamethyl-diethylenetriamine</t>
  </si>
  <si>
    <t>3030-47-5</t>
  </si>
  <si>
    <t>N,N-bis(3-(dimethylamino)propyl)-N',N'-dimethyl-1,3-propanediamine</t>
  </si>
  <si>
    <t>33329-35-0</t>
  </si>
  <si>
    <t>1-(bis(2-(1,3-dimethylbutylideneamino)ethyl)amino)-3-phenoxypropan-2-ol</t>
  </si>
  <si>
    <t>68541-07-1</t>
  </si>
  <si>
    <t>3-mercaptopropionic acid</t>
  </si>
  <si>
    <t>107-96-0</t>
  </si>
  <si>
    <t>ethyl nitrite</t>
  </si>
  <si>
    <t>109-95-5</t>
  </si>
  <si>
    <t>piperidine</t>
  </si>
  <si>
    <t>110-89-4</t>
  </si>
  <si>
    <t>triethylamine</t>
  </si>
  <si>
    <t>121-44-8</t>
  </si>
  <si>
    <t>diallylamine</t>
  </si>
  <si>
    <t>124-02-7</t>
  </si>
  <si>
    <t>Chloroprene</t>
  </si>
  <si>
    <t>126-99-8</t>
  </si>
  <si>
    <t>1-chloro-2-propanol</t>
  </si>
  <si>
    <t>127-00-4</t>
  </si>
  <si>
    <t>butylene chlorohydrin</t>
  </si>
  <si>
    <t>1320-66-7</t>
  </si>
  <si>
    <t>monochloropinacolone</t>
  </si>
  <si>
    <t>13547-70-1</t>
  </si>
  <si>
    <t>decylmercaptan</t>
  </si>
  <si>
    <t>143-10-2</t>
  </si>
  <si>
    <t>Cycasin</t>
  </si>
  <si>
    <t>14901-08-7</t>
  </si>
  <si>
    <t>4-chloro-2-butanol</t>
  </si>
  <si>
    <t>2203-34-1</t>
  </si>
  <si>
    <t>dibutyl phenyl phosphate</t>
  </si>
  <si>
    <t>2528-36-1</t>
  </si>
  <si>
    <t>dodecenylsuccinic anhydride</t>
  </si>
  <si>
    <t>25377-73-5</t>
  </si>
  <si>
    <t>2-chloro-1-butanol</t>
  </si>
  <si>
    <t>26106-95-6</t>
  </si>
  <si>
    <t>dodecenylsuccinic anhydride, mixture of isomers</t>
  </si>
  <si>
    <t>26544-38-7</t>
  </si>
  <si>
    <t>1,3,5-trimethylpiperidine</t>
  </si>
  <si>
    <t>27644-32-2</t>
  </si>
  <si>
    <t>1-piperidine pentanol</t>
  </si>
  <si>
    <t>2937-83-9</t>
  </si>
  <si>
    <t>pivaloyl chloride</t>
  </si>
  <si>
    <t>3282-30-2</t>
  </si>
  <si>
    <t>3,5-dimethylpiperidine</t>
  </si>
  <si>
    <t>35794-11-7</t>
  </si>
  <si>
    <t>diisodecyl phenyl phosphate</t>
  </si>
  <si>
    <t>51363-64-5</t>
  </si>
  <si>
    <t>m-nitrophenol</t>
  </si>
  <si>
    <t>554-84-7</t>
  </si>
  <si>
    <t>(2S)-2-chloro-1-butanol</t>
  </si>
  <si>
    <t>56536-49-3</t>
  </si>
  <si>
    <t>1,1,1-trichloro-2-methyl-2-propanol</t>
  </si>
  <si>
    <t>57-15-8</t>
  </si>
  <si>
    <t>methyl butyl ketone</t>
  </si>
  <si>
    <t>591-78-6</t>
  </si>
  <si>
    <t>3-methylpiperidine</t>
  </si>
  <si>
    <t>626-56-2</t>
  </si>
  <si>
    <t>thioglycolic acid</t>
  </si>
  <si>
    <t>68-11-1</t>
  </si>
  <si>
    <t>2-Alkenyl (C11-C13) succinic acid anhydride</t>
  </si>
  <si>
    <t>68412-02-2</t>
  </si>
  <si>
    <t>acetone cyanohydrin</t>
  </si>
  <si>
    <t>75-86-5</t>
  </si>
  <si>
    <t>3,3-dimethyl-2-butanone</t>
  </si>
  <si>
    <t>75-97-8</t>
  </si>
  <si>
    <t>sulfuryl chloride</t>
  </si>
  <si>
    <t>7791-25-5</t>
  </si>
  <si>
    <t>2-chloro-1-propanol</t>
  </si>
  <si>
    <t>78-89-7</t>
  </si>
  <si>
    <t>chloroacetone</t>
  </si>
  <si>
    <t>78-95-5</t>
  </si>
  <si>
    <t>1-(4-pentenyl) piperidine</t>
  </si>
  <si>
    <t>81547-95-7</t>
  </si>
  <si>
    <t>naphthalene oils, distillates (coal tar)</t>
  </si>
  <si>
    <t>84650-04-4</t>
  </si>
  <si>
    <t>o-nitrophenol</t>
  </si>
  <si>
    <t>88-75-5</t>
  </si>
  <si>
    <t>methapyrilene</t>
  </si>
  <si>
    <t>91-80-5</t>
  </si>
  <si>
    <t>2-methyl-2-undecanethiol</t>
  </si>
  <si>
    <t>10059-13-9</t>
  </si>
  <si>
    <t>tert-octyl mercaptan</t>
  </si>
  <si>
    <t>141-59-3</t>
  </si>
  <si>
    <t>1-undecanethiol</t>
  </si>
  <si>
    <t>5332-52-5</t>
  </si>
  <si>
    <t>2,6-di-tert-butyl phenol</t>
  </si>
  <si>
    <t>60083-44-5</t>
  </si>
  <si>
    <t>4-(2-methyl-2-propen-1-yl)phenol</t>
  </si>
  <si>
    <t>68610-06-0</t>
  </si>
  <si>
    <t>p-tert-butylphenol</t>
  </si>
  <si>
    <t>98-54-4</t>
  </si>
  <si>
    <t>methoxyacetic acid</t>
  </si>
  <si>
    <t>625-45-6</t>
  </si>
  <si>
    <t>trichloroacetyl chloride</t>
  </si>
  <si>
    <t>76-02-8</t>
  </si>
  <si>
    <t>2-(3,4-dichlorophenyl)-4-methyl-1,2,4-oxadiazolidine-3,5-dione</t>
  </si>
  <si>
    <t>20354-26-1</t>
  </si>
  <si>
    <t>sodium 2-mercaptobenzothiazole</t>
  </si>
  <si>
    <t>2492-26-4</t>
  </si>
  <si>
    <t>dimethylvinyl chloride</t>
  </si>
  <si>
    <t>513-37-1</t>
  </si>
  <si>
    <t>2,4-xylenol</t>
  </si>
  <si>
    <t>105-67-9</t>
  </si>
  <si>
    <t>2-chloroethanol</t>
  </si>
  <si>
    <t>107-07-3</t>
  </si>
  <si>
    <t>3,5-xylenol</t>
  </si>
  <si>
    <t>108-68-9</t>
  </si>
  <si>
    <t>phenol</t>
  </si>
  <si>
    <t>108-95-2</t>
  </si>
  <si>
    <t>p-ethylphenol</t>
  </si>
  <si>
    <t>123-07-9</t>
  </si>
  <si>
    <t>xylenol, mixed isomers</t>
  </si>
  <si>
    <t>1300-71-6</t>
  </si>
  <si>
    <t>1-nonanethiol</t>
  </si>
  <si>
    <t>1455-21-6</t>
  </si>
  <si>
    <t>tertiary-nonyl mercaptan</t>
  </si>
  <si>
    <t>25360-10-5</t>
  </si>
  <si>
    <t>ethylphenol</t>
  </si>
  <si>
    <t>25429-37-2</t>
  </si>
  <si>
    <t>octylphenol</t>
  </si>
  <si>
    <t>27193-28-8</t>
  </si>
  <si>
    <t>dichloroacetonitrile</t>
  </si>
  <si>
    <t>3018-12-0</t>
  </si>
  <si>
    <t>bis(1-methylpropyl)-phenol</t>
  </si>
  <si>
    <t>31291-60-8</t>
  </si>
  <si>
    <t>dibromoacetonitrile</t>
  </si>
  <si>
    <t>3252-43-5</t>
  </si>
  <si>
    <t>2,6-di-tert-butyl-4-nonylphenol</t>
  </si>
  <si>
    <t>4306-88-1</t>
  </si>
  <si>
    <t>formaldehyde</t>
  </si>
  <si>
    <t>50-00-0</t>
  </si>
  <si>
    <t>2,3-xylenol</t>
  </si>
  <si>
    <t>526-75-0</t>
  </si>
  <si>
    <t>ethoxylated di-sec-butylphenol</t>
  </si>
  <si>
    <t>53964-94-6</t>
  </si>
  <si>
    <t>2,6-xylenol</t>
  </si>
  <si>
    <t>576-26-1</t>
  </si>
  <si>
    <t>2,5-di-tert-butylphenol</t>
  </si>
  <si>
    <t>5875-45-6</t>
  </si>
  <si>
    <t>m-ethylphenol</t>
  </si>
  <si>
    <t>620-17-7</t>
  </si>
  <si>
    <t>methyl-phenol compd with 2-aminoethanol (1:1)</t>
  </si>
  <si>
    <t>67786-08-7</t>
  </si>
  <si>
    <t>isopropylated phenol phosphate (3-1)</t>
  </si>
  <si>
    <t>68937-41-7</t>
  </si>
  <si>
    <t>2,4,6-tris (1,1-dimethyl ethyl)-phenol</t>
  </si>
  <si>
    <t>732-26-3</t>
  </si>
  <si>
    <t>2-isopropylphenol</t>
  </si>
  <si>
    <t>88-69-7</t>
  </si>
  <si>
    <t>thymol</t>
  </si>
  <si>
    <t>89-83-8</t>
  </si>
  <si>
    <t>2-ethylphenol</t>
  </si>
  <si>
    <t>90-00-6</t>
  </si>
  <si>
    <t>2-methoxyphenol</t>
  </si>
  <si>
    <t>90-05-1</t>
  </si>
  <si>
    <t>3,4-xylenol</t>
  </si>
  <si>
    <t>95-65-8</t>
  </si>
  <si>
    <t>2,5-xylenol</t>
  </si>
  <si>
    <t>95-87-4</t>
  </si>
  <si>
    <t>2,4-di-tert-butylphenol</t>
  </si>
  <si>
    <t>96-76-4</t>
  </si>
  <si>
    <t>4-tert-butyl-2-methylphenol</t>
  </si>
  <si>
    <t>98-27-1</t>
  </si>
  <si>
    <t>gluconic acid</t>
  </si>
  <si>
    <t>526-95-4</t>
  </si>
  <si>
    <t>dichloroacetaldehyde</t>
  </si>
  <si>
    <t>79-02-7</t>
  </si>
  <si>
    <t>p-nitroaniline</t>
  </si>
  <si>
    <t>100-01-6</t>
  </si>
  <si>
    <t>trichlorosilane</t>
  </si>
  <si>
    <t>10025-78-2</t>
  </si>
  <si>
    <t>4-vinylpyridine</t>
  </si>
  <si>
    <t>100-43-6</t>
  </si>
  <si>
    <t>N-alkyl-N-benzylpyridinium chloride</t>
  </si>
  <si>
    <t>100765-57-9</t>
  </si>
  <si>
    <t>2-methyl-5-ethyl pyridine</t>
  </si>
  <si>
    <t>104-90-5</t>
  </si>
  <si>
    <t>gylcidyl methacrylate</t>
  </si>
  <si>
    <t>106-91-2</t>
  </si>
  <si>
    <t>allyl chloride</t>
  </si>
  <si>
    <t>107-05-1</t>
  </si>
  <si>
    <t>chloroacetaldehyde</t>
  </si>
  <si>
    <t>107-20-0</t>
  </si>
  <si>
    <t>2,3-dimethylpyridine</t>
  </si>
  <si>
    <t>108-47-4</t>
  </si>
  <si>
    <t>2,4,6-trimethylpyridine</t>
  </si>
  <si>
    <t>108-75-8</t>
  </si>
  <si>
    <t>bromobenzene</t>
  </si>
  <si>
    <t>108-86-1</t>
  </si>
  <si>
    <t>pyridine</t>
  </si>
  <si>
    <t>110-86-1</t>
  </si>
  <si>
    <t>hexyl mercaptan</t>
  </si>
  <si>
    <t>111-31-9</t>
  </si>
  <si>
    <t>octyl mercaptan</t>
  </si>
  <si>
    <t>111-88-6</t>
  </si>
  <si>
    <t>dipyridinylmethane</t>
  </si>
  <si>
    <t>1132-37-2</t>
  </si>
  <si>
    <t>tolylsulfonyl hydrazine</t>
  </si>
  <si>
    <t>1576-35-8</t>
  </si>
  <si>
    <t>2,3,5-trichloropyridine</t>
  </si>
  <si>
    <t>16063-70-0</t>
  </si>
  <si>
    <t>allyl propyl disulfide</t>
  </si>
  <si>
    <t>2179-59-1</t>
  </si>
  <si>
    <t>pyridinium p-toluenesulfonate</t>
  </si>
  <si>
    <t>24057-28-1</t>
  </si>
  <si>
    <t>3-isocyanatopropyltriethoxysilane</t>
  </si>
  <si>
    <t>24801-88-5</t>
  </si>
  <si>
    <t>isooctyl thioglycolate</t>
  </si>
  <si>
    <t>25103-09-7</t>
  </si>
  <si>
    <t>O,O-dimethylphosphorochloridothioate</t>
  </si>
  <si>
    <t>2524-03-0</t>
  </si>
  <si>
    <t>hydroxypropyl acrylate</t>
  </si>
  <si>
    <t>25584-83-2</t>
  </si>
  <si>
    <t>cyclotetramethylenetetranitramine</t>
  </si>
  <si>
    <t>2691-41-0</t>
  </si>
  <si>
    <t>lasiocarpine</t>
  </si>
  <si>
    <t>303-34-4</t>
  </si>
  <si>
    <t>tetramethyl succinonitrile</t>
  </si>
  <si>
    <t>3333-52-6</t>
  </si>
  <si>
    <t>4-butyl-2-nitroaniline</t>
  </si>
  <si>
    <t>3663-22-7</t>
  </si>
  <si>
    <t>4-trifluoromethyl-2-nitroaniline</t>
  </si>
  <si>
    <t>400-98-6</t>
  </si>
  <si>
    <t>2-isopropyl-N,2,3-trimethylbutyramide</t>
  </si>
  <si>
    <t>51115-67-4</t>
  </si>
  <si>
    <t>N-[3-(dimethylamino)propyl]-2-methylacrylamide</t>
  </si>
  <si>
    <t>5205-93-6</t>
  </si>
  <si>
    <t>2-chloropropene</t>
  </si>
  <si>
    <t>557-98-2</t>
  </si>
  <si>
    <t>1-chloropropene</t>
  </si>
  <si>
    <t>590-21-6</t>
  </si>
  <si>
    <t>phenyl xylyl ethane</t>
  </si>
  <si>
    <t>6196-95-8</t>
  </si>
  <si>
    <t>2-isopropyl pyridine</t>
  </si>
  <si>
    <t>644-98-4</t>
  </si>
  <si>
    <t>pyridines, alkyl</t>
  </si>
  <si>
    <t>68391-11-7</t>
  </si>
  <si>
    <t>pyridine, alkyl derivs., hydrochlorides</t>
  </si>
  <si>
    <t>68607-19-2</t>
  </si>
  <si>
    <t>1-(phenylmethyl)-pyridinium, Et Me derivs., chlorides</t>
  </si>
  <si>
    <t>68909-18-2</t>
  </si>
  <si>
    <t>nitrosoguanidine</t>
  </si>
  <si>
    <t>70-25-7</t>
  </si>
  <si>
    <t>pyridine, C1-13-alkyl derivs</t>
  </si>
  <si>
    <t>71077-16-2</t>
  </si>
  <si>
    <t>2-ethylhexyl thioglycolate</t>
  </si>
  <si>
    <t>7659-86-1</t>
  </si>
  <si>
    <t>2,2-dibutyl-1,3,2-dioxastannepin-4,7-dione</t>
  </si>
  <si>
    <t>78-04-6</t>
  </si>
  <si>
    <t>fluazifop-P-butyl</t>
  </si>
  <si>
    <t>79241-46-6</t>
  </si>
  <si>
    <t>2-nitroaniline</t>
  </si>
  <si>
    <t>88-74-4</t>
  </si>
  <si>
    <t>4-nitro-o-anisidine</t>
  </si>
  <si>
    <t>97-52-9</t>
  </si>
  <si>
    <t>bis(dimethylthiocarbamoyl)sulfide</t>
  </si>
  <si>
    <t>97-74-5</t>
  </si>
  <si>
    <t>chloroacetaldehyde dimethyl acetal</t>
  </si>
  <si>
    <t>97-97-2</t>
  </si>
  <si>
    <t>3-nitroaniline</t>
  </si>
  <si>
    <t>99-09-2</t>
  </si>
  <si>
    <t>5-nitro-o-anisidine</t>
  </si>
  <si>
    <t>99-59-2</t>
  </si>
  <si>
    <t>2-hydroxypropyl acrylate</t>
  </si>
  <si>
    <t>999-61-1</t>
  </si>
  <si>
    <t>ethylene dichloride</t>
  </si>
  <si>
    <t>107-06-2</t>
  </si>
  <si>
    <t>phthaloyl chloride</t>
  </si>
  <si>
    <t>88-95-9</t>
  </si>
  <si>
    <t>benzoyl chloride</t>
  </si>
  <si>
    <t>98-88-4</t>
  </si>
  <si>
    <t>triethyl phosphorothioate</t>
  </si>
  <si>
    <t>126-68-1</t>
  </si>
  <si>
    <t>methacrylonitrile</t>
  </si>
  <si>
    <t>126-98-7</t>
  </si>
  <si>
    <t>heptylmercaptan</t>
  </si>
  <si>
    <t>1639-09-4</t>
  </si>
  <si>
    <t>5-chloro-2-methyl-2H-isothiazol-3-one and 2-methyl-2H-isothiazol-3-one</t>
  </si>
  <si>
    <t>55965-84-9</t>
  </si>
  <si>
    <t>chlorides</t>
  </si>
  <si>
    <t>16887-00-6</t>
  </si>
  <si>
    <t>carbonyl sulfide</t>
  </si>
  <si>
    <t>463-58-1</t>
  </si>
  <si>
    <t>vinylidene fluoride</t>
  </si>
  <si>
    <t>75-38-7</t>
  </si>
  <si>
    <t>chlorine</t>
  </si>
  <si>
    <t>7782-50-5</t>
  </si>
  <si>
    <t>dichloroacetic acid</t>
  </si>
  <si>
    <t>79-43-6</t>
  </si>
  <si>
    <t>succinic anhydride</t>
  </si>
  <si>
    <t>108-30-5</t>
  </si>
  <si>
    <t>succinic acid</t>
  </si>
  <si>
    <t>110-15-6</t>
  </si>
  <si>
    <t>ethylcyclohexyl dimercaptan</t>
  </si>
  <si>
    <t>115408-95-2</t>
  </si>
  <si>
    <t>trans-crotonaldehyde</t>
  </si>
  <si>
    <t>123-73-9</t>
  </si>
  <si>
    <t>xylidine, mixed isomers</t>
  </si>
  <si>
    <t>1300-73-8</t>
  </si>
  <si>
    <t>methyl chlorodifluoroacetate</t>
  </si>
  <si>
    <t>1514-87-0</t>
  </si>
  <si>
    <t>cis-crotonaldehyde</t>
  </si>
  <si>
    <t>15798-64-8</t>
  </si>
  <si>
    <t>methomyl</t>
  </si>
  <si>
    <t>16752-77-5</t>
  </si>
  <si>
    <t>chlorothalonil</t>
  </si>
  <si>
    <t>1897-45-6</t>
  </si>
  <si>
    <t>crotonaldehyde</t>
  </si>
  <si>
    <t>4170-30-3</t>
  </si>
  <si>
    <t>2-ethylhexyl-3-mercaptopropionate</t>
  </si>
  <si>
    <t>50448-95-8</t>
  </si>
  <si>
    <t>methyl mercaptopropianamide</t>
  </si>
  <si>
    <t>52334-99-3</t>
  </si>
  <si>
    <t>n-dodecyl-3-mercaptopropionate</t>
  </si>
  <si>
    <t>6380-71-8</t>
  </si>
  <si>
    <t>methyl methanesulfonate</t>
  </si>
  <si>
    <t>66-27-3</t>
  </si>
  <si>
    <t>1-benzocyclobutyl pentanone</t>
  </si>
  <si>
    <t>6809-93-4</t>
  </si>
  <si>
    <t>crude isoprene (hydrocarbons, C5-rich)</t>
  </si>
  <si>
    <t>68476-55-1</t>
  </si>
  <si>
    <t>malic acid</t>
  </si>
  <si>
    <t>6915-15-7</t>
  </si>
  <si>
    <t>trimethylamine</t>
  </si>
  <si>
    <t>75-50-3</t>
  </si>
  <si>
    <t>pentaerythrityl tetrakis(3-mercaptopropionate)</t>
  </si>
  <si>
    <t>7575-23-7</t>
  </si>
  <si>
    <t>silicon tetrabromide</t>
  </si>
  <si>
    <t>7789-66-4</t>
  </si>
  <si>
    <t>p-toluenesulfonic acid</t>
  </si>
  <si>
    <t>104-15-4</t>
  </si>
  <si>
    <t>1,1,2,3,3,4,4-heptachloro-1-butene</t>
  </si>
  <si>
    <t>116188-72-8</t>
  </si>
  <si>
    <t>cyclohexylmercaptan</t>
  </si>
  <si>
    <t>1569-69-3</t>
  </si>
  <si>
    <t>xylenesulfonic acid</t>
  </si>
  <si>
    <t>25321-41-9</t>
  </si>
  <si>
    <t>1,1,3,3,4,4-hexachloro-1-butene</t>
  </si>
  <si>
    <t>34973-39-2</t>
  </si>
  <si>
    <t>1,1,2,3,3,4-hexachloro-1-butene</t>
  </si>
  <si>
    <t>56631-01-7</t>
  </si>
  <si>
    <t>p-toluenesulfonic acid monohydrate</t>
  </si>
  <si>
    <t>6192-52-5</t>
  </si>
  <si>
    <t>methacrolein</t>
  </si>
  <si>
    <t>78-85-3</t>
  </si>
  <si>
    <t>2-methylbenzenesulfonic acid</t>
  </si>
  <si>
    <t>88-20-0</t>
  </si>
  <si>
    <t>2,4-xylenesulfonic acid</t>
  </si>
  <si>
    <t>88-61-9</t>
  </si>
  <si>
    <t>1,2-dimethxoybenzene</t>
  </si>
  <si>
    <t>91-16-7</t>
  </si>
  <si>
    <t>(E)-1,2,3,3,4-pentachloro-1-butene</t>
  </si>
  <si>
    <t>94796-72-2</t>
  </si>
  <si>
    <t>acrylonitrile</t>
  </si>
  <si>
    <t>107-13-1</t>
  </si>
  <si>
    <t>2-chloro-1-(1-chlorocyclopropyl) ethanone</t>
  </si>
  <si>
    <t>120983-72-4</t>
  </si>
  <si>
    <t>1-(1-chlorocyclopropyl) ethanone</t>
  </si>
  <si>
    <t>63141-09-3</t>
  </si>
  <si>
    <t>methyl aniline</t>
  </si>
  <si>
    <t>100-61-8</t>
  </si>
  <si>
    <t>1,1-bis[4-ethylphenyl]ethane</t>
  </si>
  <si>
    <t>10224-91-6</t>
  </si>
  <si>
    <t>ethyl aniline</t>
  </si>
  <si>
    <t>103-69-5</t>
  </si>
  <si>
    <t>epichlorohydrin</t>
  </si>
  <si>
    <t>106-89-8</t>
  </si>
  <si>
    <t>propargyl alcohol</t>
  </si>
  <si>
    <t>107-19-7</t>
  </si>
  <si>
    <t>pyrrole</t>
  </si>
  <si>
    <t>109-97-7</t>
  </si>
  <si>
    <t>1-pentanethiol</t>
  </si>
  <si>
    <t>110-66-7</t>
  </si>
  <si>
    <t>zinc naphthenate</t>
  </si>
  <si>
    <t>12001-85-3</t>
  </si>
  <si>
    <t>sodium methylate</t>
  </si>
  <si>
    <t>124-41-4</t>
  </si>
  <si>
    <t>dibromochloromethane</t>
  </si>
  <si>
    <t>124-48-1</t>
  </si>
  <si>
    <t>methane sulfonyl chloride</t>
  </si>
  <si>
    <t>124-63-0</t>
  </si>
  <si>
    <t>zinc oxide</t>
  </si>
  <si>
    <t>1314-13-2</t>
  </si>
  <si>
    <t>zinc phosphide</t>
  </si>
  <si>
    <t>1314-84-7</t>
  </si>
  <si>
    <t>zinc sulfide</t>
  </si>
  <si>
    <t>1314-98-3</t>
  </si>
  <si>
    <t>Ethoprophos</t>
  </si>
  <si>
    <t>13194-48-4</t>
  </si>
  <si>
    <t>zinc borate</t>
  </si>
  <si>
    <t>1332-07-6</t>
  </si>
  <si>
    <t>tetrachloronaphthalene</t>
  </si>
  <si>
    <t>1335-88-2</t>
  </si>
  <si>
    <t>zinc dihydrogen phosphate</t>
  </si>
  <si>
    <t>13598-37-3</t>
  </si>
  <si>
    <t>zinc dibutyldithiocarbamate</t>
  </si>
  <si>
    <t>136-23-2</t>
  </si>
  <si>
    <t>zinc dimethyldithiocarbamate</t>
  </si>
  <si>
    <t>137-30-4</t>
  </si>
  <si>
    <t>zinc molybdate</t>
  </si>
  <si>
    <t>13767-32-3</t>
  </si>
  <si>
    <t>sodium ethoxide</t>
  </si>
  <si>
    <t>141-52-6</t>
  </si>
  <si>
    <t>malonic acid</t>
  </si>
  <si>
    <t>141-82-2</t>
  </si>
  <si>
    <t>2-(1,1-dimethylethyl)-5-pyrimidinol, sodium salt</t>
  </si>
  <si>
    <t>146237-62-9</t>
  </si>
  <si>
    <t>diphenhramine hydrochloride</t>
  </si>
  <si>
    <t>147-24-0</t>
  </si>
  <si>
    <t>sodium diethyldithiocarbamate</t>
  </si>
  <si>
    <t>148-18-5</t>
  </si>
  <si>
    <t>8-hydroxy quinoline</t>
  </si>
  <si>
    <t>148-24-3</t>
  </si>
  <si>
    <t>dimethylethoxysilane</t>
  </si>
  <si>
    <t>14857-34-2</t>
  </si>
  <si>
    <t>zinc dipentyldithiocarbamate</t>
  </si>
  <si>
    <t>15337-18-5</t>
  </si>
  <si>
    <t>3-ethylpyrrole</t>
  </si>
  <si>
    <t>1551-16-2</t>
  </si>
  <si>
    <t>2-ethoxy-4,6-difluoropyrimidine</t>
  </si>
  <si>
    <t>166524-65-8</t>
  </si>
  <si>
    <t>2-ethoxy-4-fluoro-6-hydrazinopyrimidine</t>
  </si>
  <si>
    <t>166524-66-9</t>
  </si>
  <si>
    <t>zinc dithiophosphate</t>
  </si>
  <si>
    <t>19210-06-1</t>
  </si>
  <si>
    <t>(2,4-dichlorophenoxy)acetic acid, isooctyl ester</t>
  </si>
  <si>
    <t>1928-43-4</t>
  </si>
  <si>
    <t>2,4-D dimethylamine salt</t>
  </si>
  <si>
    <t>2008-39-1</t>
  </si>
  <si>
    <t>zinc hydroxide</t>
  </si>
  <si>
    <t>20427-58-1</t>
  </si>
  <si>
    <t>4,4,4-trifluoroacetoacetyl chloride</t>
  </si>
  <si>
    <t>2261-53-2</t>
  </si>
  <si>
    <t>hydroxyphosphonoacetic acid</t>
  </si>
  <si>
    <t>23783-26-8</t>
  </si>
  <si>
    <t>(1-methylethyl)-1,1'-biphenyl</t>
  </si>
  <si>
    <t>25640-78-2</t>
  </si>
  <si>
    <t>zinc dinonylnaphthalene sulfonate</t>
  </si>
  <si>
    <t>28016-00-4</t>
  </si>
  <si>
    <t xml:space="preserve">12-Crown-4 </t>
  </si>
  <si>
    <t>294-93-9</t>
  </si>
  <si>
    <t>triaminotrinitrobenzene</t>
  </si>
  <si>
    <t>3058-38-6</t>
  </si>
  <si>
    <t>zinc carbonate</t>
  </si>
  <si>
    <t>3486-35-9</t>
  </si>
  <si>
    <t>2,2'-thiodiethanethiol</t>
  </si>
  <si>
    <t>3570-55-6</t>
  </si>
  <si>
    <t>2-(propylthio)-3-(trifluoromethyl)phenol</t>
  </si>
  <si>
    <t>380611-43-8</t>
  </si>
  <si>
    <t>1-allyl-2,5-dimethoxy-3,4-(methylenedioxy)-benzene</t>
  </si>
  <si>
    <t>523-80-8</t>
  </si>
  <si>
    <t>dimethyl zinc</t>
  </si>
  <si>
    <t>544-97-8</t>
  </si>
  <si>
    <t>zinc stearate</t>
  </si>
  <si>
    <t>557-05-1</t>
  </si>
  <si>
    <t>zinc octoate</t>
  </si>
  <si>
    <t>557-09-5</t>
  </si>
  <si>
    <t>diethylzinc</t>
  </si>
  <si>
    <t>557-20-0</t>
  </si>
  <si>
    <t>zinc acetate</t>
  </si>
  <si>
    <t>557-34-6</t>
  </si>
  <si>
    <t>molybdenum zinc oxide</t>
  </si>
  <si>
    <t>61583-60-6</t>
  </si>
  <si>
    <t>dimethyl disulfide</t>
  </si>
  <si>
    <t>624-92-0</t>
  </si>
  <si>
    <t>zinc hydroxyphosphate</t>
  </si>
  <si>
    <t>64539-51-1</t>
  </si>
  <si>
    <t>N,N,N',N'',N''-pentamethyl-dipropylenetriamine</t>
  </si>
  <si>
    <t>66537-05-1</t>
  </si>
  <si>
    <t>1-[bis{3-{dimethylamino}propyl} amino]-2-propanol</t>
  </si>
  <si>
    <t>67151-63-7</t>
  </si>
  <si>
    <t>zinc ferrite brown spinel</t>
  </si>
  <si>
    <t>68187-51-9</t>
  </si>
  <si>
    <t>zinc salts of branched C10-C19 fatty acids</t>
  </si>
  <si>
    <t>68551-44-0</t>
  </si>
  <si>
    <t>zinc alkyl dithiophosphate</t>
  </si>
  <si>
    <t>68649-42-3</t>
  </si>
  <si>
    <t>zinc soap</t>
  </si>
  <si>
    <t>68918-69-4</t>
  </si>
  <si>
    <t>2-amino-5-ethoxy-benzenethiol dichloride</t>
  </si>
  <si>
    <t>71071-47-1</t>
  </si>
  <si>
    <t>zinc</t>
  </si>
  <si>
    <t>7440-66-6</t>
  </si>
  <si>
    <t>hydrogen cyanide</t>
  </si>
  <si>
    <t>74-90-8</t>
  </si>
  <si>
    <t>ethylene oxide</t>
  </si>
  <si>
    <t>75-21-8</t>
  </si>
  <si>
    <t>camphor</t>
  </si>
  <si>
    <t>76-22-2</t>
  </si>
  <si>
    <t>zinc chloride fume</t>
  </si>
  <si>
    <t>7646-85-7</t>
  </si>
  <si>
    <t>zinc bromide</t>
  </si>
  <si>
    <t>7699-45-8</t>
  </si>
  <si>
    <t>zinc sulfate</t>
  </si>
  <si>
    <t>7733-02-0</t>
  </si>
  <si>
    <t>zinc nitrate</t>
  </si>
  <si>
    <t>7779-88-6</t>
  </si>
  <si>
    <t>zinc phosphate</t>
  </si>
  <si>
    <t>7779-90-0</t>
  </si>
  <si>
    <t>hydroxylamine</t>
  </si>
  <si>
    <t>7803-49-8</t>
  </si>
  <si>
    <t>chloroacetic acid</t>
  </si>
  <si>
    <t>79-11-8</t>
  </si>
  <si>
    <t>p-menthane-1,8-diamine</t>
  </si>
  <si>
    <t>80-52-4</t>
  </si>
  <si>
    <t>3-methylsulfolane</t>
  </si>
  <si>
    <t>872-93-5</t>
  </si>
  <si>
    <t>2-(chloromethyl)oxirane</t>
  </si>
  <si>
    <t>9009-12-5</t>
  </si>
  <si>
    <t>n-tolyldiethanol amine</t>
  </si>
  <si>
    <t>91-99-6</t>
  </si>
  <si>
    <t>tetrahydrofurfuryl alcohol</t>
  </si>
  <si>
    <t>97-99-4</t>
  </si>
  <si>
    <t>3-(trifluoromethyl)phenol</t>
  </si>
  <si>
    <t>98-17-9</t>
  </si>
  <si>
    <t>(dichloromethyl)benzene</t>
  </si>
  <si>
    <t>98-87-3</t>
  </si>
  <si>
    <t>n-propyl chloroformate</t>
  </si>
  <si>
    <t>109-61-5</t>
  </si>
  <si>
    <t>1-butanethiol</t>
  </si>
  <si>
    <t>109-79-5</t>
  </si>
  <si>
    <t>2-methyl-2-butanethiol</t>
  </si>
  <si>
    <t>1679-09-0</t>
  </si>
  <si>
    <t>sec-butyl chloroformate</t>
  </si>
  <si>
    <t>17462-58-7</t>
  </si>
  <si>
    <t>tetradecyl mercaptan</t>
  </si>
  <si>
    <t>2079-95-0</t>
  </si>
  <si>
    <t>1,2,4-cyclohexanetriethanethiol</t>
  </si>
  <si>
    <t>25664-92-0</t>
  </si>
  <si>
    <t>2-methyl-5-(1-methyl-2-sulfanylethyl)cyclohexanethiol</t>
  </si>
  <si>
    <t>4802-20-4</t>
  </si>
  <si>
    <t>2-methyl-1-propanethiol</t>
  </si>
  <si>
    <t>513-44-0</t>
  </si>
  <si>
    <t>sec-butyl mercaptan</t>
  </si>
  <si>
    <t>513-53-1</t>
  </si>
  <si>
    <t>sodium methyl mercaptide</t>
  </si>
  <si>
    <t>5188-07-8</t>
  </si>
  <si>
    <t>1,2-ethanedithiol</t>
  </si>
  <si>
    <t>540-63-6</t>
  </si>
  <si>
    <t>isobutyl chloroformate</t>
  </si>
  <si>
    <t>543-27-1</t>
  </si>
  <si>
    <t>isopropyl mercaptan</t>
  </si>
  <si>
    <t>75-33-2</t>
  </si>
  <si>
    <t>2-methyl-2-propanethiol</t>
  </si>
  <si>
    <t>75-66-1</t>
  </si>
  <si>
    <t>2-thiophenethiol</t>
  </si>
  <si>
    <t>7774-74-5</t>
  </si>
  <si>
    <t>methyl orange</t>
  </si>
  <si>
    <t>547-58-0</t>
  </si>
  <si>
    <t>dimethylamine borane</t>
  </si>
  <si>
    <t>74-94-2</t>
  </si>
  <si>
    <t>n-propyl mercaptan</t>
  </si>
  <si>
    <t>107-03-9</t>
  </si>
  <si>
    <t>thiodiglycol</t>
  </si>
  <si>
    <t>111-48-8</t>
  </si>
  <si>
    <t>methyl ethyl ketone peroxide</t>
  </si>
  <si>
    <t>1338-23-4</t>
  </si>
  <si>
    <t>3-aminopyridine</t>
  </si>
  <si>
    <t>462-08-8</t>
  </si>
  <si>
    <t>N-methyl-N,2,4,6-tetranitroaniline</t>
  </si>
  <si>
    <t>479-45-8</t>
  </si>
  <si>
    <t>beta-propiolactone</t>
  </si>
  <si>
    <t>57-57-8</t>
  </si>
  <si>
    <t>Propanil</t>
  </si>
  <si>
    <t>709-98-8</t>
  </si>
  <si>
    <t>n-propyltrichlorosilane</t>
  </si>
  <si>
    <t>141-57-1</t>
  </si>
  <si>
    <t>N-ethyl-2-methylallylamine</t>
  </si>
  <si>
    <t>18328-90-0</t>
  </si>
  <si>
    <t>dimethyl aminopropylene</t>
  </si>
  <si>
    <t>2978-60-1</t>
  </si>
  <si>
    <t>carbon tetrabromide</t>
  </si>
  <si>
    <t>558-13-4</t>
  </si>
  <si>
    <t>N,N,2,4-tetramethyl-4-penten-1-amine</t>
  </si>
  <si>
    <t>68893-08-3</t>
  </si>
  <si>
    <t>hydrogen peroxide</t>
  </si>
  <si>
    <t>7722-84-1</t>
  </si>
  <si>
    <t>chlorosulfonic acid</t>
  </si>
  <si>
    <t>7790-94-5</t>
  </si>
  <si>
    <t>1,1,2,2-tetrabromoethane</t>
  </si>
  <si>
    <t>79-27-6</t>
  </si>
  <si>
    <t>Mimic insecticide</t>
  </si>
  <si>
    <t>112410-23-8</t>
  </si>
  <si>
    <t>trimethyl borate</t>
  </si>
  <si>
    <t>121-43-7</t>
  </si>
  <si>
    <t>4,4'-diisopropylbiphenyl</t>
  </si>
  <si>
    <t>18970-30-4</t>
  </si>
  <si>
    <t>methylbiphenyl</t>
  </si>
  <si>
    <t>28652-72-4</t>
  </si>
  <si>
    <t>2,2',3-triisopropylbiphenyl</t>
  </si>
  <si>
    <t>29225-91-0</t>
  </si>
  <si>
    <t>2,2'-diisopropylbiphenyl</t>
  </si>
  <si>
    <t>36876-13-8</t>
  </si>
  <si>
    <t>2-methyl biphenyl</t>
  </si>
  <si>
    <t>643-58-3</t>
  </si>
  <si>
    <t>3-methyl biphenyl</t>
  </si>
  <si>
    <t>643-93-6</t>
  </si>
  <si>
    <t>4-methyl biphenyl</t>
  </si>
  <si>
    <t>644-08-6</t>
  </si>
  <si>
    <t>diisopropyl-1,1'-biphenyl</t>
  </si>
  <si>
    <t>69009-90-1</t>
  </si>
  <si>
    <t>ethyl mercaptan</t>
  </si>
  <si>
    <t>75-08-1</t>
  </si>
  <si>
    <t>biphenyl</t>
  </si>
  <si>
    <t>92-52-4</t>
  </si>
  <si>
    <t>allylamine</t>
  </si>
  <si>
    <t>107-11-9</t>
  </si>
  <si>
    <t>10,10'-oxydi-phenoxarsine</t>
  </si>
  <si>
    <t>58-36-6</t>
  </si>
  <si>
    <t>vinyl chloride</t>
  </si>
  <si>
    <t>75-01-4</t>
  </si>
  <si>
    <t>trifluoroethanol</t>
  </si>
  <si>
    <t>75-89-8</t>
  </si>
  <si>
    <t>N-(1,3-dimethylbutyl)-N'-phenyl-p-phenylenediamine</t>
  </si>
  <si>
    <t>793-24-8</t>
  </si>
  <si>
    <t>phosphorus trichloride</t>
  </si>
  <si>
    <t>7719-12-2</t>
  </si>
  <si>
    <t>p-nitrophenol</t>
  </si>
  <si>
    <t>100-02-7</t>
  </si>
  <si>
    <t>1,4-dinitrobenzene</t>
  </si>
  <si>
    <t>100-25-4</t>
  </si>
  <si>
    <t>hydrogen iodide</t>
  </si>
  <si>
    <t>10034-85-2</t>
  </si>
  <si>
    <t>ethoxylated glycerine triacrylate</t>
  </si>
  <si>
    <t>101661-95-4</t>
  </si>
  <si>
    <t>phosphonic acid</t>
  </si>
  <si>
    <t>10294-56-1</t>
  </si>
  <si>
    <t>periodic acid</t>
  </si>
  <si>
    <t>10450-60-9</t>
  </si>
  <si>
    <t>caprolactam</t>
  </si>
  <si>
    <t>105-60-2</t>
  </si>
  <si>
    <t>diethylene glycol bis-chloroformate</t>
  </si>
  <si>
    <t>106-75-2</t>
  </si>
  <si>
    <t>1-bromo-2-chloroethane</t>
  </si>
  <si>
    <t>107-04-0</t>
  </si>
  <si>
    <t>maleic anhydride</t>
  </si>
  <si>
    <t>108-31-6</t>
  </si>
  <si>
    <t>di-tert-butyldisulfide</t>
  </si>
  <si>
    <t>110-06-5</t>
  </si>
  <si>
    <t>Malathion</t>
  </si>
  <si>
    <t>121-75-5</t>
  </si>
  <si>
    <t>1,6-hexanediol diacrylate</t>
  </si>
  <si>
    <t>13048-33-4</t>
  </si>
  <si>
    <t>peroxydisulfuric acid</t>
  </si>
  <si>
    <t>13445-49-3</t>
  </si>
  <si>
    <t>hypobromous acid</t>
  </si>
  <si>
    <t>13517-11-8</t>
  </si>
  <si>
    <t>monofluoro phosphoric acid</t>
  </si>
  <si>
    <t>13537-32-1</t>
  </si>
  <si>
    <t>phosphorous acid</t>
  </si>
  <si>
    <t>13598-36-2</t>
  </si>
  <si>
    <t>oxalic acid</t>
  </si>
  <si>
    <t>144-62-7</t>
  </si>
  <si>
    <t>trimethylolpropane triacrylate</t>
  </si>
  <si>
    <t>15625-89-5</t>
  </si>
  <si>
    <t>4-aminoethyl-1,8-octanediamine</t>
  </si>
  <si>
    <t>1572-55-0</t>
  </si>
  <si>
    <t>Alachlor Technical</t>
  </si>
  <si>
    <t>15972-60-8</t>
  </si>
  <si>
    <t>triethylene glycol diacrylate</t>
  </si>
  <si>
    <t>1680-21-3</t>
  </si>
  <si>
    <t>tetraethylene glycol diacrylate</t>
  </si>
  <si>
    <t>17831-71-9</t>
  </si>
  <si>
    <t>Atrazine</t>
  </si>
  <si>
    <t>1912-24-9</t>
  </si>
  <si>
    <t>trans-diacetoxyethylene</t>
  </si>
  <si>
    <t>19191-10-7</t>
  </si>
  <si>
    <t>neopentyl glycol diacrylate</t>
  </si>
  <si>
    <t>2223-82-7</t>
  </si>
  <si>
    <t>vinyl caprolactam</t>
  </si>
  <si>
    <t>2235-00-9</t>
  </si>
  <si>
    <t>beta-carboxyethyl acrylate</t>
  </si>
  <si>
    <t>24615-84-7</t>
  </si>
  <si>
    <t>dimethylacrylamide</t>
  </si>
  <si>
    <t>2680-03-7</t>
  </si>
  <si>
    <t>trimethylolpropane ethoxytriacrylate</t>
  </si>
  <si>
    <t>28961-43-5</t>
  </si>
  <si>
    <t>N,N'-(m-phenylenedimaleimide)</t>
  </si>
  <si>
    <t>3006-93-7</t>
  </si>
  <si>
    <t>pentaerythritol triacrylate</t>
  </si>
  <si>
    <t>3524-68-3</t>
  </si>
  <si>
    <t>Sulprofos</t>
  </si>
  <si>
    <t>35400-43-2</t>
  </si>
  <si>
    <t>N-butyl-2,2,6,6-tetramethylpiperidin-4-amine</t>
  </si>
  <si>
    <t>36177-92-1</t>
  </si>
  <si>
    <t>1,1-(p-tolylimino)dipropan-2-ol</t>
  </si>
  <si>
    <t>38668-48-3</t>
  </si>
  <si>
    <t>3-[(4-methylphenyl)amino]propane-1,2-diol</t>
  </si>
  <si>
    <t>42902-53-4</t>
  </si>
  <si>
    <t>tripropylene glycol diacrylate</t>
  </si>
  <si>
    <t>42978-66-5</t>
  </si>
  <si>
    <t>ketene</t>
  </si>
  <si>
    <t>463-51-4</t>
  </si>
  <si>
    <t>thiophosgene</t>
  </si>
  <si>
    <t>463-71-8</t>
  </si>
  <si>
    <t>phenyl butyl phosphoric acid</t>
  </si>
  <si>
    <t>46438-39-5</t>
  </si>
  <si>
    <t>2-phenoxyethyl acrylate</t>
  </si>
  <si>
    <t>48145-04-6</t>
  </si>
  <si>
    <t>pentaerythritol tetraacrylate</t>
  </si>
  <si>
    <t>4986-89-4</t>
  </si>
  <si>
    <t>3-methylmercapto-1-propanol</t>
  </si>
  <si>
    <t>505-10-2</t>
  </si>
  <si>
    <t>glycerol propoxylate (1PO/OH) triacrylate</t>
  </si>
  <si>
    <t>52408-84-1</t>
  </si>
  <si>
    <t>1,2-dinitrobenzene</t>
  </si>
  <si>
    <t>528-29-0</t>
  </si>
  <si>
    <t>dipentaerythritol pentaacrylate</t>
  </si>
  <si>
    <t>60506-81-2</t>
  </si>
  <si>
    <t>oxalic acid, dihydrate</t>
  </si>
  <si>
    <t>6153-56-6</t>
  </si>
  <si>
    <t>sodium oxalate</t>
  </si>
  <si>
    <t>62-76-0</t>
  </si>
  <si>
    <t>hypophosphorous acid</t>
  </si>
  <si>
    <t>6303-21-5</t>
  </si>
  <si>
    <t>tri(isobutenyl)succinic anhydride</t>
  </si>
  <si>
    <t>63979-83-9</t>
  </si>
  <si>
    <t>polyphosphoric acids, esters with triethanolamine, sodium salts</t>
  </si>
  <si>
    <t>68131-72-6</t>
  </si>
  <si>
    <t>polyphosphoric acids, sodium salts</t>
  </si>
  <si>
    <t>68915-31-1</t>
  </si>
  <si>
    <t>ethylcyanoacrylate</t>
  </si>
  <si>
    <t>7085-85-0</t>
  </si>
  <si>
    <t>2-(2-ethoxyethox)yethyl acrylate</t>
  </si>
  <si>
    <t>7328-17-8</t>
  </si>
  <si>
    <t>methyl mercaptan</t>
  </si>
  <si>
    <t>74-93-1</t>
  </si>
  <si>
    <t>iodine</t>
  </si>
  <si>
    <t>7553-56-2</t>
  </si>
  <si>
    <t>2-methylaziridine</t>
  </si>
  <si>
    <t>75-55-8</t>
  </si>
  <si>
    <t>phosphoric acid</t>
  </si>
  <si>
    <t>7664-38-2</t>
  </si>
  <si>
    <t>thionyl chloride</t>
  </si>
  <si>
    <t>7719-09-7</t>
  </si>
  <si>
    <t>N,N-dimethyl-N'-(2,2,6,6-tetramethyl-4-piperidinyl)-1,3-propanediamine</t>
  </si>
  <si>
    <t>78014-16-1</t>
  </si>
  <si>
    <t>methacrylamide</t>
  </si>
  <si>
    <t>79-39-0</t>
  </si>
  <si>
    <t>polyphosphoric acid</t>
  </si>
  <si>
    <t>8017-16-1</t>
  </si>
  <si>
    <t>propoxylated neopentyl glycol diacrylate</t>
  </si>
  <si>
    <t>84170-74-1</t>
  </si>
  <si>
    <t>1,3,5-trinitrobenzene</t>
  </si>
  <si>
    <t>99-35-4</t>
  </si>
  <si>
    <t>2-methyl-5-nitroaniline</t>
  </si>
  <si>
    <t>99-55-8</t>
  </si>
  <si>
    <t>1,2-dichloro-3-nitrobenzene</t>
  </si>
  <si>
    <t>3209-22-1</t>
  </si>
  <si>
    <t>acrolein</t>
  </si>
  <si>
    <t>107-02-8</t>
  </si>
  <si>
    <t>4,4'-methylenedianiline</t>
  </si>
  <si>
    <t>101-77-9</t>
  </si>
  <si>
    <t>1-dodecanethiol</t>
  </si>
  <si>
    <t>112-55-0</t>
  </si>
  <si>
    <t>dodecanethiols</t>
  </si>
  <si>
    <t>1322-36-7</t>
  </si>
  <si>
    <t>iron pentacarbonyl</t>
  </si>
  <si>
    <t>13463-40-6</t>
  </si>
  <si>
    <t>cyclopenta[d,e,f]phenanthrene</t>
  </si>
  <si>
    <t>203-64-5</t>
  </si>
  <si>
    <t>Dienochlor</t>
  </si>
  <si>
    <t>2227-17-0</t>
  </si>
  <si>
    <t>tert-dodecyl mercaptan</t>
  </si>
  <si>
    <t>25103-58-6</t>
  </si>
  <si>
    <t>Thiofanox</t>
  </si>
  <si>
    <t>39196-18-4</t>
  </si>
  <si>
    <t>nitrosomethylvinylamine</t>
  </si>
  <si>
    <t>4549-40-0</t>
  </si>
  <si>
    <t>perchloromethyl mercaptan</t>
  </si>
  <si>
    <t>594-42-3</t>
  </si>
  <si>
    <t>methyl dichlorosilane</t>
  </si>
  <si>
    <t>75-54-7</t>
  </si>
  <si>
    <t>phenanthrene</t>
  </si>
  <si>
    <t>85-01-8</t>
  </si>
  <si>
    <t>dinoseb</t>
  </si>
  <si>
    <t>88-85-7</t>
  </si>
  <si>
    <t>sec-dodecyl mercaptan</t>
  </si>
  <si>
    <t>94903-61-4</t>
  </si>
  <si>
    <t>benzotrichloride</t>
  </si>
  <si>
    <t>98-07-7</t>
  </si>
  <si>
    <t>2-chloroethylphosphonic acid</t>
  </si>
  <si>
    <t>16672-87-0</t>
  </si>
  <si>
    <t>phenyl chloroformate</t>
  </si>
  <si>
    <t>1885-14-9</t>
  </si>
  <si>
    <t>3,4,5-trimethoxybenzoyl methyl reserpate</t>
  </si>
  <si>
    <t>50-55-5</t>
  </si>
  <si>
    <t>hexafluoroacetone</t>
  </si>
  <si>
    <t>684-16-2</t>
  </si>
  <si>
    <t>trichloronitromethane</t>
  </si>
  <si>
    <t>76-06-2</t>
  </si>
  <si>
    <t>bromine</t>
  </si>
  <si>
    <t>7726-95-6</t>
  </si>
  <si>
    <t>bromine pentafluoride</t>
  </si>
  <si>
    <t>7789-30-2</t>
  </si>
  <si>
    <t>1-chloro-4-nitrobenzene</t>
  </si>
  <si>
    <t>100-00-5</t>
  </si>
  <si>
    <t>m-nitrochlorobenzene</t>
  </si>
  <si>
    <t>121-73-3</t>
  </si>
  <si>
    <t>2-mercaptoethanol</t>
  </si>
  <si>
    <t>60-24-2</t>
  </si>
  <si>
    <t>o-nitrochlorobenzene</t>
  </si>
  <si>
    <t>88-73-3</t>
  </si>
  <si>
    <t>phosphorus oxychloride</t>
  </si>
  <si>
    <t>10025-87-3</t>
  </si>
  <si>
    <t>4-vinyl-1-cyclohexene diepoxide</t>
  </si>
  <si>
    <t>106-87-6</t>
  </si>
  <si>
    <t>Aphistar</t>
  </si>
  <si>
    <t>112143-82-5</t>
  </si>
  <si>
    <t>hexafluoropropene</t>
  </si>
  <si>
    <t>116-15-4</t>
  </si>
  <si>
    <t>2-pinen-4-one</t>
  </si>
  <si>
    <t>1196-01-6</t>
  </si>
  <si>
    <t>phenyl glycidyl ether</t>
  </si>
  <si>
    <t>122-60-1</t>
  </si>
  <si>
    <t>germanium(IV) oxide</t>
  </si>
  <si>
    <t>1310-53-8</t>
  </si>
  <si>
    <t>cyanogen chloride</t>
  </si>
  <si>
    <t>506-77-4</t>
  </si>
  <si>
    <t>allyl succinic anhydride</t>
  </si>
  <si>
    <t>7539-12-0</t>
  </si>
  <si>
    <t>1,4-dichloro-2-butene</t>
  </si>
  <si>
    <t>764-41-0</t>
  </si>
  <si>
    <t>germanium tetrahydride</t>
  </si>
  <si>
    <t>7782-65-2</t>
  </si>
  <si>
    <t>germanium tetrafluoride</t>
  </si>
  <si>
    <t>7783-58-6</t>
  </si>
  <si>
    <t>methyl vinyl ketone</t>
  </si>
  <si>
    <t>78-94-4</t>
  </si>
  <si>
    <t>dibutyl phthalate</t>
  </si>
  <si>
    <t>84-74-2</t>
  </si>
  <si>
    <t>4-bromodiphenyl ether</t>
  </si>
  <si>
    <t>101-55-3</t>
  </si>
  <si>
    <t>boron trichloride</t>
  </si>
  <si>
    <t>10294-34-5</t>
  </si>
  <si>
    <t>p-anisidine</t>
  </si>
  <si>
    <t>104-94-9</t>
  </si>
  <si>
    <t>allyl bromide</t>
  </si>
  <si>
    <t>106-95-6</t>
  </si>
  <si>
    <t>phenyl mercaptan</t>
  </si>
  <si>
    <t>108-98-5</t>
  </si>
  <si>
    <t>Propoxur</t>
  </si>
  <si>
    <t>114-26-1</t>
  </si>
  <si>
    <t>cyclonite</t>
  </si>
  <si>
    <t>121-82-4</t>
  </si>
  <si>
    <t>pentachloronaphthalene</t>
  </si>
  <si>
    <t>1321-64-8</t>
  </si>
  <si>
    <t>3,4-diepoxybutane</t>
  </si>
  <si>
    <t>1464-53-5</t>
  </si>
  <si>
    <t>tar bases, quinolinederivs., 1-(chloromethyl)naphthalene-quaternized</t>
  </si>
  <si>
    <t>192526-10-6</t>
  </si>
  <si>
    <t>thiocarbohydrazide</t>
  </si>
  <si>
    <t>2231-57-4</t>
  </si>
  <si>
    <t>diglycidyl ether</t>
  </si>
  <si>
    <t>2238-07-5</t>
  </si>
  <si>
    <t>2-ethyl hexyl chloroformate</t>
  </si>
  <si>
    <t>24468-13-1</t>
  </si>
  <si>
    <t>chlorinated diphenyl oxide</t>
  </si>
  <si>
    <t>31242-93-0</t>
  </si>
  <si>
    <t>4-dimethylamino-3,5-xylyl methylcarbamate</t>
  </si>
  <si>
    <t>315-18-4</t>
  </si>
  <si>
    <t>delta-hexachlorocyclohexane</t>
  </si>
  <si>
    <t>319-86-8</t>
  </si>
  <si>
    <t>1,1'-oxybisbenzene, pentabromo deriv</t>
  </si>
  <si>
    <t>32534-81-9</t>
  </si>
  <si>
    <t>1,3-dimethylindane</t>
  </si>
  <si>
    <t>4175-53-5</t>
  </si>
  <si>
    <t>nicotine</t>
  </si>
  <si>
    <t>54-11-5</t>
  </si>
  <si>
    <t>4-nitroquinoline-1-oxide</t>
  </si>
  <si>
    <t>56-57-5</t>
  </si>
  <si>
    <t>chloroamphenicol</t>
  </si>
  <si>
    <t>56-75-7</t>
  </si>
  <si>
    <t>chlordane</t>
  </si>
  <si>
    <t>57-74-9</t>
  </si>
  <si>
    <t>lindane</t>
  </si>
  <si>
    <t>58-89-9</t>
  </si>
  <si>
    <t>n-butyl chloroformate</t>
  </si>
  <si>
    <t>592-34-7</t>
  </si>
  <si>
    <t>diethyl sulfate</t>
  </si>
  <si>
    <t>64-67-5</t>
  </si>
  <si>
    <t>1,10-phenanthroline</t>
  </si>
  <si>
    <t>66-71-7</t>
  </si>
  <si>
    <t>4-chlorodiphenyl ether</t>
  </si>
  <si>
    <t>7005-72-3</t>
  </si>
  <si>
    <t>tar bases, quinoline derives, benzyl chloride-quaternized</t>
  </si>
  <si>
    <t>72480-70-7</t>
  </si>
  <si>
    <t>1-methylindane</t>
  </si>
  <si>
    <t>767-58-8</t>
  </si>
  <si>
    <t>dimethyl sulfate</t>
  </si>
  <si>
    <t>77-78-1</t>
  </si>
  <si>
    <t>stibine</t>
  </si>
  <si>
    <t>7803-52-3</t>
  </si>
  <si>
    <t>demeton-methyl</t>
  </si>
  <si>
    <t>8022-00-2</t>
  </si>
  <si>
    <t>5-methylindane</t>
  </si>
  <si>
    <t>874-35-1</t>
  </si>
  <si>
    <t>o-anisidine</t>
  </si>
  <si>
    <t>90-04-0</t>
  </si>
  <si>
    <t>phenyl hydrazine</t>
  </si>
  <si>
    <t>100-63-0</t>
  </si>
  <si>
    <t>1-acetyl-2-phenyl hydrazine</t>
  </si>
  <si>
    <t>114-83-0</t>
  </si>
  <si>
    <t>2-chloropropionic acid</t>
  </si>
  <si>
    <t>598-78-7</t>
  </si>
  <si>
    <t>dihexylphosphine</t>
  </si>
  <si>
    <t>24674-43-9</t>
  </si>
  <si>
    <t>triisopropyl phosphine</t>
  </si>
  <si>
    <t>6476-36-4</t>
  </si>
  <si>
    <t>phosphine</t>
  </si>
  <si>
    <t>7803-51-2</t>
  </si>
  <si>
    <t>tributyl phosphine</t>
  </si>
  <si>
    <t>998-40-3</t>
  </si>
  <si>
    <t>N-vinyl-2-pyrrolidone</t>
  </si>
  <si>
    <t>88-12-0</t>
  </si>
  <si>
    <t>o-chlorobenzylidene malononitrile</t>
  </si>
  <si>
    <t>2698-41-1</t>
  </si>
  <si>
    <t>chloroacetylene</t>
  </si>
  <si>
    <t>593-63-5</t>
  </si>
  <si>
    <t>phosgene</t>
  </si>
  <si>
    <t>75-44-5</t>
  </si>
  <si>
    <t>dichloroacetylene</t>
  </si>
  <si>
    <t>7572-29-4</t>
  </si>
  <si>
    <t>chlorine trifluoride</t>
  </si>
  <si>
    <t>7790-91-2</t>
  </si>
  <si>
    <t>diazomethane</t>
  </si>
  <si>
    <t>334-88-3</t>
  </si>
  <si>
    <t>2-2'-oxybis(N,N-dimethylethylamine)</t>
  </si>
  <si>
    <t>3033-62-3</t>
  </si>
  <si>
    <t>Isodrin</t>
  </si>
  <si>
    <t>465-73-6</t>
  </si>
  <si>
    <t>2-chloroacetophenone</t>
  </si>
  <si>
    <t>532-27-4</t>
  </si>
  <si>
    <t>chlorine dioxide</t>
  </si>
  <si>
    <t>10049-04-4</t>
  </si>
  <si>
    <t>tert-butylacrylamide</t>
  </si>
  <si>
    <t>107-58-4</t>
  </si>
  <si>
    <t>monochlorosilane</t>
  </si>
  <si>
    <t>13465-78-6</t>
  </si>
  <si>
    <t>chlorite ion</t>
  </si>
  <si>
    <t>14998-27-7</t>
  </si>
  <si>
    <t>2,3-dihydro-2,2-dimethyl-7-benzofuranol</t>
  </si>
  <si>
    <t>1563-38-8</t>
  </si>
  <si>
    <t>dichlorosilane</t>
  </si>
  <si>
    <t>4109-96-0</t>
  </si>
  <si>
    <t>2-methylbenzofuran</t>
  </si>
  <si>
    <t>4265-25-2</t>
  </si>
  <si>
    <t>trimetacresyl phosphate</t>
  </si>
  <si>
    <t>563-04-2</t>
  </si>
  <si>
    <t>2,6-dinitrophenol</t>
  </si>
  <si>
    <t>573-56-8</t>
  </si>
  <si>
    <t>propylene glycol dinitrate</t>
  </si>
  <si>
    <t>6423-43-4</t>
  </si>
  <si>
    <t>triparacresyl phosphate</t>
  </si>
  <si>
    <t>78-32-0</t>
  </si>
  <si>
    <t>decaborane</t>
  </si>
  <si>
    <t>17702-41-9</t>
  </si>
  <si>
    <t>4-aminopyridine</t>
  </si>
  <si>
    <t>504-24-5</t>
  </si>
  <si>
    <t>cyanogen bromide</t>
  </si>
  <si>
    <t>506-68-3</t>
  </si>
  <si>
    <t>pyromellitic acid</t>
  </si>
  <si>
    <t>89-05-4</t>
  </si>
  <si>
    <t>pyromellitic dianhydride</t>
  </si>
  <si>
    <t>89-32-7</t>
  </si>
  <si>
    <t>triethoxysilane</t>
  </si>
  <si>
    <t>998-30-1</t>
  </si>
  <si>
    <t>phenylphosphine</t>
  </si>
  <si>
    <t>638-21-1</t>
  </si>
  <si>
    <t>acetyl chloride</t>
  </si>
  <si>
    <t>75-36-5</t>
  </si>
  <si>
    <t>diphenylpropylphosphine</t>
  </si>
  <si>
    <t>7650-84-2</t>
  </si>
  <si>
    <t>chloroacetylchloride</t>
  </si>
  <si>
    <t>79-04-9</t>
  </si>
  <si>
    <t>isobutyrol chloride</t>
  </si>
  <si>
    <t>79-30-1</t>
  </si>
  <si>
    <t>ethylene dibromide</t>
  </si>
  <si>
    <t>106-93-4</t>
  </si>
  <si>
    <t>Monitor Technical</t>
  </si>
  <si>
    <t>10265-92-6</t>
  </si>
  <si>
    <t>1,4-butynediol</t>
  </si>
  <si>
    <t>110-65-6</t>
  </si>
  <si>
    <t>glutaraldehyde</t>
  </si>
  <si>
    <t>111-30-8</t>
  </si>
  <si>
    <t>1,3-dichloro-5,5-dimethyl-2,4-imidazolidinedione</t>
  </si>
  <si>
    <t>118-52-5</t>
  </si>
  <si>
    <t>2,4-dinitrotoluene</t>
  </si>
  <si>
    <t>121-14-2</t>
  </si>
  <si>
    <t>hexachloronaphthalene</t>
  </si>
  <si>
    <t>1335-87-1</t>
  </si>
  <si>
    <t>tributyl trithiophosphite</t>
  </si>
  <si>
    <t>150-50-5</t>
  </si>
  <si>
    <t>ethyleneimine</t>
  </si>
  <si>
    <t>151-56-4</t>
  </si>
  <si>
    <t>1,1,2,4,4-pentachlorobuta-1,3-diene</t>
  </si>
  <si>
    <t>21400-41-9</t>
  </si>
  <si>
    <t>dinitrotoluene, mixed isomers</t>
  </si>
  <si>
    <t>25321-14-6</t>
  </si>
  <si>
    <t>sodium azide</t>
  </si>
  <si>
    <t>26628-22-8</t>
  </si>
  <si>
    <t>methyl parathion</t>
  </si>
  <si>
    <t>298-00-0</t>
  </si>
  <si>
    <t>methylmercaptopropionaldehyde</t>
  </si>
  <si>
    <t>3268-49-3</t>
  </si>
  <si>
    <t>1,1,4,4-tetrachlorobuta-1,3-diene</t>
  </si>
  <si>
    <t>36038-53-6</t>
  </si>
  <si>
    <t>Sulfotep</t>
  </si>
  <si>
    <t>3689-24-5</t>
  </si>
  <si>
    <t>4,6-dinitro-o-cresol</t>
  </si>
  <si>
    <t>534-52-1</t>
  </si>
  <si>
    <t>Fenthion</t>
  </si>
  <si>
    <t>55-38-9</t>
  </si>
  <si>
    <t>2-bromo-1,1,3,4,4-pentachloro-1,3-butadiene</t>
  </si>
  <si>
    <t>67280-69-7</t>
  </si>
  <si>
    <t>fluorine</t>
  </si>
  <si>
    <t>7782-41-4</t>
  </si>
  <si>
    <t>arsine</t>
  </si>
  <si>
    <t>7784-42-1</t>
  </si>
  <si>
    <t>methyl chloroformate</t>
  </si>
  <si>
    <t>79-22-1</t>
  </si>
  <si>
    <t>azinphos-methyl</t>
  </si>
  <si>
    <t>86-50-0</t>
  </si>
  <si>
    <t>hexachlorobutadiene</t>
  </si>
  <si>
    <t>87-68-3</t>
  </si>
  <si>
    <t>2-mercapto-3-butanol-3-hydroxy-2-butanethiol</t>
  </si>
  <si>
    <t>37887-04-0</t>
  </si>
  <si>
    <t>hydrazoic acid</t>
  </si>
  <si>
    <t>7782-79-8</t>
  </si>
  <si>
    <t>hydrogen selenide</t>
  </si>
  <si>
    <t>7783-07-5</t>
  </si>
  <si>
    <t>strychnine</t>
  </si>
  <si>
    <t>57-24-9</t>
  </si>
  <si>
    <t>Daunomycin</t>
  </si>
  <si>
    <t>20830-81-3</t>
  </si>
  <si>
    <t>octamethyl pyrophosphoramide</t>
  </si>
  <si>
    <t>152-16-9</t>
  </si>
  <si>
    <t>3-iodo-2-propynyl butylcarbamate</t>
  </si>
  <si>
    <t>55406-53-6</t>
  </si>
  <si>
    <t>diborane</t>
  </si>
  <si>
    <t>19287-45-7</t>
  </si>
  <si>
    <t>oxygen difluoride</t>
  </si>
  <si>
    <t>7783-41-7</t>
  </si>
  <si>
    <t>n-nitrosopiperidine</t>
  </si>
  <si>
    <t>100-75-4</t>
  </si>
  <si>
    <t>methylene bis(2-chloroaniline)</t>
  </si>
  <si>
    <t>101-14-4</t>
  </si>
  <si>
    <t>4,4-methylene diphenyl diisocyanate</t>
  </si>
  <si>
    <t>101-68-8</t>
  </si>
  <si>
    <t>dichlorophenylisocyanate</t>
  </si>
  <si>
    <t>102-36-3</t>
  </si>
  <si>
    <t>phenyl isocyanate</t>
  </si>
  <si>
    <t>103-71-9</t>
  </si>
  <si>
    <t>phenyl isothiocyanate</t>
  </si>
  <si>
    <t>103-72-0</t>
  </si>
  <si>
    <t>N-nitrosomethylethylamine</t>
  </si>
  <si>
    <t>10595-95-6</t>
  </si>
  <si>
    <t>p-phenylenediamine</t>
  </si>
  <si>
    <t>106-50-3</t>
  </si>
  <si>
    <t>glyoxal</t>
  </si>
  <si>
    <t>107-22-2</t>
  </si>
  <si>
    <t>1,3-phenylene diamine</t>
  </si>
  <si>
    <t>108-45-2</t>
  </si>
  <si>
    <t>piperazine</t>
  </si>
  <si>
    <t>110-85-0</t>
  </si>
  <si>
    <t>butyl isocyanate</t>
  </si>
  <si>
    <t>111-36-4</t>
  </si>
  <si>
    <t>nitrosodiethanolamine</t>
  </si>
  <si>
    <t>1116-54-7</t>
  </si>
  <si>
    <t>Endosulfan</t>
  </si>
  <si>
    <t>115-29-7</t>
  </si>
  <si>
    <t>Fensulfothion</t>
  </si>
  <si>
    <t>115-90-2</t>
  </si>
  <si>
    <t>trinitrotoluene</t>
  </si>
  <si>
    <t>118-96-7</t>
  </si>
  <si>
    <t>anthracene</t>
  </si>
  <si>
    <t>120-12-7</t>
  </si>
  <si>
    <t>Terbufos</t>
  </si>
  <si>
    <t>13071-79-9</t>
  </si>
  <si>
    <t>trinitrotoluene, mixture of isomers</t>
  </si>
  <si>
    <t>1321-12-6</t>
  </si>
  <si>
    <t>piperazine dihydrochloride</t>
  </si>
  <si>
    <t>142-64-3</t>
  </si>
  <si>
    <t>m-xylene-a,a'-diamine</t>
  </si>
  <si>
    <t>1477-55-0</t>
  </si>
  <si>
    <t>modified methylene diisocyanate</t>
  </si>
  <si>
    <t>150449-03-9</t>
  </si>
  <si>
    <t>4-[(4-amino-3-nitrophenyl)sulfonyl]-2-nitrophenylamine</t>
  </si>
  <si>
    <t>18491-91-3</t>
  </si>
  <si>
    <t>paraquat dichloride</t>
  </si>
  <si>
    <t>1910-42-5</t>
  </si>
  <si>
    <t>O-ethyl O-(4-nitrophenyl) phenylphosphonothioate</t>
  </si>
  <si>
    <t>2104-64-5</t>
  </si>
  <si>
    <t>octachloronaphthalene</t>
  </si>
  <si>
    <t>2234-13-1</t>
  </si>
  <si>
    <t>diquat</t>
  </si>
  <si>
    <t>231-36-7</t>
  </si>
  <si>
    <t>naphthalene diisocyanate</t>
  </si>
  <si>
    <t>25551-28-4</t>
  </si>
  <si>
    <t>methylene diphenyl diisocyanate, mixed isomers</t>
  </si>
  <si>
    <t>26447-40-5</t>
  </si>
  <si>
    <t>toluene diisocyanate</t>
  </si>
  <si>
    <t>26471-62-5</t>
  </si>
  <si>
    <t>Chlorpyrifos</t>
  </si>
  <si>
    <t>2921-88-2</t>
  </si>
  <si>
    <t>cyclohexyl isocyanate</t>
  </si>
  <si>
    <t>3173-53-3</t>
  </si>
  <si>
    <t>1,5-naphthalene diisocyanate</t>
  </si>
  <si>
    <t>3173-72-6</t>
  </si>
  <si>
    <t>p-toluenesulfonyl isocyanate</t>
  </si>
  <si>
    <t>4083-64-1</t>
  </si>
  <si>
    <t>isophorone diisocyanate</t>
  </si>
  <si>
    <t>4098-71-9</t>
  </si>
  <si>
    <t>Paraquat</t>
  </si>
  <si>
    <t>4685-14-7</t>
  </si>
  <si>
    <t>methylene bis(4-cyclohexylisocyanate)</t>
  </si>
  <si>
    <t>5124-30-1</t>
  </si>
  <si>
    <t>2,4-dichlorodiphenyldichloroethane</t>
  </si>
  <si>
    <t>53-19-0</t>
  </si>
  <si>
    <t>ethyl isocyanate</t>
  </si>
  <si>
    <t>542-85-8</t>
  </si>
  <si>
    <t>n-nitrosodiethylamine</t>
  </si>
  <si>
    <t>55-18-5</t>
  </si>
  <si>
    <t>nitroglycerin</t>
  </si>
  <si>
    <t>55-63-0</t>
  </si>
  <si>
    <t>methyl isothiocyanate</t>
  </si>
  <si>
    <t>556-61-6</t>
  </si>
  <si>
    <t>allyl isothiocyanate</t>
  </si>
  <si>
    <t>57-06-7</t>
  </si>
  <si>
    <t>toluene-2,4-diisocyanate</t>
  </si>
  <si>
    <t>584-84-9</t>
  </si>
  <si>
    <t>Dieldrin</t>
  </si>
  <si>
    <t>60-57-1</t>
  </si>
  <si>
    <t>N-nitrosodi-n-propylamine</t>
  </si>
  <si>
    <t>621-64-7</t>
  </si>
  <si>
    <t>methyl isocyanate</t>
  </si>
  <si>
    <t>624-83-9</t>
  </si>
  <si>
    <t>Dichlorvos</t>
  </si>
  <si>
    <t>62-73-7</t>
  </si>
  <si>
    <t>n-nitrosodimethylamine</t>
  </si>
  <si>
    <t>62-75-9</t>
  </si>
  <si>
    <t>ethylene glycol dinitrate</t>
  </si>
  <si>
    <t>628-96-6</t>
  </si>
  <si>
    <t>methylene bis(thiocyanate)</t>
  </si>
  <si>
    <t>6317-18-6</t>
  </si>
  <si>
    <t>diquat dibromide monohydrate</t>
  </si>
  <si>
    <t>6385-62-2</t>
  </si>
  <si>
    <t>coal tar pitch volatiles</t>
  </si>
  <si>
    <t>65996-93-2</t>
  </si>
  <si>
    <t>2-heptyl-3,4-bis(9-isocyanatononyl)-1-pentylcyclohexane</t>
  </si>
  <si>
    <t>68239-06-5</t>
  </si>
  <si>
    <t>isocyanobenzotrifluoride</t>
  </si>
  <si>
    <t>71121-36-3</t>
  </si>
  <si>
    <t>hexachlorocyclopentadiene</t>
  </si>
  <si>
    <t>77-47-4</t>
  </si>
  <si>
    <t>Mevinphos</t>
  </si>
  <si>
    <t>7786-34-7</t>
  </si>
  <si>
    <t>triorthocresyl phosphate</t>
  </si>
  <si>
    <t>78-30-8</t>
  </si>
  <si>
    <t>Dioxathion</t>
  </si>
  <si>
    <t>78-34-2</t>
  </si>
  <si>
    <t>chlorophenolthiomethyl-O,O-diethyl phosphorodithioate</t>
  </si>
  <si>
    <t>786-19-6</t>
  </si>
  <si>
    <t>creosote oil</t>
  </si>
  <si>
    <t>8001-58-9</t>
  </si>
  <si>
    <t>Demeton</t>
  </si>
  <si>
    <t>8065-48-3</t>
  </si>
  <si>
    <t>hexamethylene diisocyanate</t>
  </si>
  <si>
    <t>822-06-0</t>
  </si>
  <si>
    <t>2-pivaloyl-1,3-indaione</t>
  </si>
  <si>
    <t>83-26-1</t>
  </si>
  <si>
    <t>diquat dibromide</t>
  </si>
  <si>
    <t>85-00-7</t>
  </si>
  <si>
    <t>n-nitrosodiphenylamine</t>
  </si>
  <si>
    <t>86-30-6</t>
  </si>
  <si>
    <t>picric acid</t>
  </si>
  <si>
    <t>88-89-1</t>
  </si>
  <si>
    <t>toluene-2,6-diisocyanate</t>
  </si>
  <si>
    <t>91-08-7</t>
  </si>
  <si>
    <t>3,3'-dichlorobenzidine</t>
  </si>
  <si>
    <t>91-94-1</t>
  </si>
  <si>
    <t>N-nitrosodi-n-butylamine</t>
  </si>
  <si>
    <t>924-16-3</t>
  </si>
  <si>
    <t>4-aminobiphenyl</t>
  </si>
  <si>
    <t>92-67-1</t>
  </si>
  <si>
    <t>n-nitrosopyrrolidine</t>
  </si>
  <si>
    <t>930-55-2</t>
  </si>
  <si>
    <t>o-phenylene diamine</t>
  </si>
  <si>
    <t>95-54-5</t>
  </si>
  <si>
    <t>aflatoxin</t>
  </si>
  <si>
    <t>1402-68-2</t>
  </si>
  <si>
    <t>perfluoroisobutylene</t>
  </si>
  <si>
    <t>382-21-8</t>
  </si>
  <si>
    <t>tris(1-aziridinyl) phosphine sulfide</t>
  </si>
  <si>
    <t>52-24-4</t>
  </si>
  <si>
    <t>4,5-dichloro-2-n-octyl-3(2H)-isothiazolone</t>
  </si>
  <si>
    <t>64359-81-5</t>
  </si>
  <si>
    <t>heptachlor epoxide</t>
  </si>
  <si>
    <t>1024-57-3</t>
  </si>
  <si>
    <t>chloromethyl methyl ether</t>
  </si>
  <si>
    <t>107-30-2</t>
  </si>
  <si>
    <t>tetraethyl pyrophosphate</t>
  </si>
  <si>
    <t>107-49-3</t>
  </si>
  <si>
    <t>Dicrotophos</t>
  </si>
  <si>
    <t>141-66-2</t>
  </si>
  <si>
    <t>Fenamiphos</t>
  </si>
  <si>
    <t>22224-92-6</t>
  </si>
  <si>
    <t>triglycidyl-s-triazinetrione</t>
  </si>
  <si>
    <t>2451-62-9</t>
  </si>
  <si>
    <t>Disulfoton</t>
  </si>
  <si>
    <t>298-04-4</t>
  </si>
  <si>
    <t>1-nitropyrene</t>
  </si>
  <si>
    <t>5522-43-0</t>
  </si>
  <si>
    <t>Ethion</t>
  </si>
  <si>
    <t>563-12-2</t>
  </si>
  <si>
    <t>tributyltin oxide</t>
  </si>
  <si>
    <t>56-35-9</t>
  </si>
  <si>
    <t>Parathion</t>
  </si>
  <si>
    <t>56-38-2</t>
  </si>
  <si>
    <t>coumaphos</t>
  </si>
  <si>
    <t>56-72-4</t>
  </si>
  <si>
    <t>sodium fluoroacetate</t>
  </si>
  <si>
    <t>62-74-8</t>
  </si>
  <si>
    <t>tetranitromethane</t>
  </si>
  <si>
    <t>509-14-8</t>
  </si>
  <si>
    <t>epinephrine</t>
  </si>
  <si>
    <t>51-43-4</t>
  </si>
  <si>
    <t>hydrazine dihydrochloride</t>
  </si>
  <si>
    <t>5341-61-7</t>
  </si>
  <si>
    <t>4-dimethylaminoazobenzene</t>
  </si>
  <si>
    <t>60-11-7</t>
  </si>
  <si>
    <t>acrylamide</t>
  </si>
  <si>
    <t>79-06-1</t>
  </si>
  <si>
    <t>hexachlorobenzene</t>
  </si>
  <si>
    <t>118-74-1</t>
  </si>
  <si>
    <t>1,1-dimethyl hydrazine</t>
  </si>
  <si>
    <t>57-14-7</t>
  </si>
  <si>
    <t>3,3-dimethoxybenzidine</t>
  </si>
  <si>
    <t>119-90-4</t>
  </si>
  <si>
    <t>3,3'-dimethylbenzidine</t>
  </si>
  <si>
    <t>119-93-7</t>
  </si>
  <si>
    <t>methyl hydrazine</t>
  </si>
  <si>
    <t>60-34-4</t>
  </si>
  <si>
    <t>dimethylcarbamoyl chloride</t>
  </si>
  <si>
    <t>79-44-7</t>
  </si>
  <si>
    <t>benzidine</t>
  </si>
  <si>
    <t>92-87-5</t>
  </si>
  <si>
    <t>pentaborane</t>
  </si>
  <si>
    <t>19624-22-7</t>
  </si>
  <si>
    <t>hydrazine</t>
  </si>
  <si>
    <t>302-01-2</t>
  </si>
  <si>
    <t>hydrazine hydrate 100%</t>
  </si>
  <si>
    <t>7803-57-8</t>
  </si>
  <si>
    <t>chlorodiphenyl, 54% chlorine</t>
  </si>
  <si>
    <t>11097-69-1</t>
  </si>
  <si>
    <t>polychlorinated biphenyls</t>
  </si>
  <si>
    <t>1336-36-3</t>
  </si>
  <si>
    <t>perfluorooctanesulfonic acid (PFOS)</t>
  </si>
  <si>
    <t>1763-23-1</t>
  </si>
  <si>
    <t>chlorodiphenyl, 42% chlorine</t>
  </si>
  <si>
    <t>53469-21-9</t>
  </si>
  <si>
    <t>1,2-dibromo-3-chloropropane</t>
  </si>
  <si>
    <t>96-12-8</t>
  </si>
  <si>
    <t>3a-methyl-3a,4,5,6-tetrahydro-2-benzofuran-1,3-dione</t>
  </si>
  <si>
    <t>11070-44-3</t>
  </si>
  <si>
    <t>1-naphthylamine</t>
  </si>
  <si>
    <t>134-32-7</t>
  </si>
  <si>
    <t>methyl hexahydrophthalic anhydride</t>
  </si>
  <si>
    <t>25550-51-0</t>
  </si>
  <si>
    <t>5-methyl-3a,4,7,7a-tetrahydro-2-benzofuran-1,3-dione</t>
  </si>
  <si>
    <t>26590-20-5</t>
  </si>
  <si>
    <t>perfluorooctanoic acid and its inorganic salts</t>
  </si>
  <si>
    <t>335-67-1</t>
  </si>
  <si>
    <t>6-methyl-3a,4,5,7a-tetrahydro-2-benzofuran-1,3-dione</t>
  </si>
  <si>
    <t>34090-76-1</t>
  </si>
  <si>
    <t>bis(chloromethyl)ether</t>
  </si>
  <si>
    <t>542-88-1</t>
  </si>
  <si>
    <t>hexahydrophthalic anhydride</t>
  </si>
  <si>
    <t>85-42-7</t>
  </si>
  <si>
    <t>2-naphthylamine</t>
  </si>
  <si>
    <t>91-59-8</t>
  </si>
  <si>
    <t>chrysotile asbestos</t>
  </si>
  <si>
    <t>12001-29-5</t>
  </si>
  <si>
    <t>asbestos, all forms</t>
  </si>
  <si>
    <t>1332-21-4</t>
  </si>
  <si>
    <t>chloroplatinic acid</t>
  </si>
  <si>
    <t>16941-12-1</t>
  </si>
  <si>
    <t>3-methylcholanthrene</t>
  </si>
  <si>
    <t>56-49-5</t>
  </si>
  <si>
    <t>dibenzo-furans, chlorinated</t>
  </si>
  <si>
    <t>polychlorinated dibenzodioxins (all congeners)</t>
  </si>
  <si>
    <t>2,3,7,8-tetrachlorodibenzo-p-dioxin</t>
  </si>
  <si>
    <t>1746-01-6</t>
  </si>
  <si>
    <t>2-(methylthio)phenol</t>
  </si>
  <si>
    <t>1073-29-6</t>
  </si>
  <si>
    <t>cyclohexanol</t>
  </si>
  <si>
    <t>108-93-0</t>
  </si>
  <si>
    <t>4-chloro-3-methylphenol</t>
  </si>
  <si>
    <t>59-50-7</t>
  </si>
  <si>
    <t>tert-pentanol</t>
  </si>
  <si>
    <t>75-85-4</t>
  </si>
  <si>
    <t>CAS Number</t>
  </si>
  <si>
    <t>Saturation factor, from AP-42 Table 5.2-1</t>
  </si>
  <si>
    <t>True vapor pressure of liquid loaded (psia)</t>
  </si>
  <si>
    <t>Molecular weight of vapors (lb/lb-mol)</t>
  </si>
  <si>
    <t>Collection efficiency (%)</t>
  </si>
  <si>
    <t>Control efficiency (%)</t>
  </si>
  <si>
    <t>Tank 2</t>
  </si>
  <si>
    <t>Tank 3</t>
  </si>
  <si>
    <t>Tank 4</t>
  </si>
  <si>
    <t>Tank 5</t>
  </si>
  <si>
    <t>nitrogen oxides</t>
  </si>
  <si>
    <t>carbon monoxide</t>
  </si>
  <si>
    <t>particulate matter</t>
  </si>
  <si>
    <t>sulfur dioxide</t>
  </si>
  <si>
    <t>not applicable</t>
  </si>
  <si>
    <t>Control efficiency</t>
  </si>
  <si>
    <t>Tank1</t>
  </si>
  <si>
    <t>Vapor Combustion Unit</t>
  </si>
  <si>
    <t>Are the impacts from this project acceptable for all species?</t>
  </si>
  <si>
    <t>Notes</t>
  </si>
  <si>
    <t>Parameters</t>
  </si>
  <si>
    <t>Site Type</t>
  </si>
  <si>
    <t>Gasoline terminal</t>
  </si>
  <si>
    <t>Terminal</t>
  </si>
  <si>
    <t>Refinery</t>
  </si>
  <si>
    <t>Chemical Plant</t>
  </si>
  <si>
    <t>Control device for this loading activity</t>
  </si>
  <si>
    <t>Truck Loading Collection Efficiency</t>
  </si>
  <si>
    <t>Date and project number authorizing this species</t>
  </si>
  <si>
    <t>Currently authorized throughput (bbl/yr)</t>
  </si>
  <si>
    <t>Throughput increase proposed (bbl/yr)</t>
  </si>
  <si>
    <t>20-100</t>
  </si>
  <si>
    <t>Carbon adsorption system</t>
  </si>
  <si>
    <t>Core Data Form</t>
  </si>
  <si>
    <t>There will not be a change in hourly emission representations in the NSR Permit.</t>
  </si>
  <si>
    <t xml:space="preserve">Project emissions represented in this RAP will not exceed PSD or Nonattainment netting requirements. </t>
  </si>
  <si>
    <t xml:space="preserve">The project will not authorize new control equipment or new facilities, including fugitives. </t>
  </si>
  <si>
    <t>The modified facilities represented in this project will comply with all representations in this workbook including current BACT and emission rates.</t>
  </si>
  <si>
    <t>The existing sources in this project are not moving location with this project.</t>
  </si>
  <si>
    <t>Press TAB to move input areas. Press UP or DOWN ARROW in column A to read through the document.</t>
  </si>
  <si>
    <t>A. Company Information</t>
  </si>
  <si>
    <t>Company or Legal Name:</t>
  </si>
  <si>
    <t>http://www.sos.state.tx.us</t>
  </si>
  <si>
    <t>Texas Secretary of State Charter/Registration Number (if given):</t>
  </si>
  <si>
    <r>
      <t xml:space="preserve">B. Company Official Contact Information: </t>
    </r>
    <r>
      <rPr>
        <sz val="11"/>
        <color theme="1"/>
        <rFont val="Arial"/>
        <family val="2"/>
      </rPr>
      <t>must not be a consultant</t>
    </r>
  </si>
  <si>
    <t>First Name:</t>
  </si>
  <si>
    <t>Last Name:</t>
  </si>
  <si>
    <t>Title:</t>
  </si>
  <si>
    <t>Mailing Address:</t>
  </si>
  <si>
    <t>Address Line 2:</t>
  </si>
  <si>
    <t>City:</t>
  </si>
  <si>
    <t>State:</t>
  </si>
  <si>
    <t>ZIP Code:</t>
  </si>
  <si>
    <t>Telephone Number:</t>
  </si>
  <si>
    <t>Fax Number:</t>
  </si>
  <si>
    <t>Email Address:</t>
  </si>
  <si>
    <r>
      <t xml:space="preserve">C. Technical Contact Information: </t>
    </r>
    <r>
      <rPr>
        <sz val="11"/>
        <color theme="1"/>
        <rFont val="Arial"/>
        <family val="2"/>
      </rPr>
      <t>This person must have the authority to make binding agreements and representations on behalf of the applicant and may be a consultant.</t>
    </r>
  </si>
  <si>
    <t xml:space="preserve">D. Assigned Numbers </t>
  </si>
  <si>
    <t>This cell intentionally left blank</t>
  </si>
  <si>
    <t>A. Location</t>
  </si>
  <si>
    <t xml:space="preserve">County: Enter the county where the facility is physically located. </t>
  </si>
  <si>
    <t>Street Address:</t>
  </si>
  <si>
    <t>City: If the address is not located in a city, then enter the city or town closest to the facility, even if it is not in the same county as the facility.</t>
  </si>
  <si>
    <t>Site Location Description: If there is no street address, provide written driving directions to the site. Identify the location by distance and direction from well-known landmarks such as major highway intersections.</t>
  </si>
  <si>
    <t>B. General Information</t>
  </si>
  <si>
    <t>Site Name:</t>
  </si>
  <si>
    <t>Area Name: Must indicate the general type of operation, process, equipment or facility. Include numerical designations, if appropriate. Examples are Sulfuric Acid Plant and No. 5 Steam Boiler. Vague names such as Chemical Plant are not acceptable.</t>
  </si>
  <si>
    <t>Are there any schools located within 3,000 feet of the site boundary?</t>
  </si>
  <si>
    <t>Principal Company Product/Business:</t>
  </si>
  <si>
    <t>Principal SIC code:</t>
  </si>
  <si>
    <t>Principal NAICS code:</t>
  </si>
  <si>
    <t>https://fyi.capitol.texas.gov/Home.aspx</t>
  </si>
  <si>
    <t>State Senator:</t>
  </si>
  <si>
    <t>District:</t>
  </si>
  <si>
    <t>State Representative:</t>
  </si>
  <si>
    <t>County:</t>
  </si>
  <si>
    <t>A. Description</t>
  </si>
  <si>
    <t>Projected Start of Construction:</t>
  </si>
  <si>
    <t>Projected Start of Operation:</t>
  </si>
  <si>
    <t>Is this application in response to, or related to, an agency investigation, notice of violation, or enforcement action?</t>
  </si>
  <si>
    <t>If yes, did you attach copies of any correspondence from the agency and provide the RN associated with the investigation, notice of violation, or enforcement action above in this form?</t>
  </si>
  <si>
    <t>A. 30 TAC Chapter 101 - General Air Rules</t>
  </si>
  <si>
    <t>B. 30 TAC Chapter 111 -  Visible Emissions and Particulate Matter</t>
  </si>
  <si>
    <t>C. 30 TAC Chapter 112 - Sulfur Compounds</t>
  </si>
  <si>
    <t>A. Confidential Application Materials</t>
  </si>
  <si>
    <t>Is confidential information submitted with this application?</t>
  </si>
  <si>
    <t>Is the area map a current USGS map with a true north arrow, an accurate scale, the entire plant property, the location of the property relative to prominent geographical features including, but not limited to, highways, roads, streams, and significant landmarks such as buildings, residences, schools, parks, hospitals, day care centers, and churches?</t>
  </si>
  <si>
    <t>Does the map show a 3,000-foot radius from the property boundary?</t>
  </si>
  <si>
    <t>D. Is a plot plan attached?</t>
  </si>
  <si>
    <t>Does your plot plan clearly show a north arrow, an accurate scale, all property lines, all emission points, buildings, tanks, process vessels, other process equipment, and two bench mark locations?</t>
  </si>
  <si>
    <t>E. Is a process flow diagram attached?</t>
  </si>
  <si>
    <t>Is the process flow diagram sufficiently descriptive so the permit reviewer can determine the raw materials to be used in the process; all major processing steps and major equipment items; individual emission points associated with each process step; the location and identification of all emission abatement devices; and the location and identification of all waste streams (including wastewater streams that may have associated air emissions)?</t>
  </si>
  <si>
    <t>https://www.tceq.texas.gov/permitting/air/nav/air_docs_newsource.html</t>
  </si>
  <si>
    <t>Does this application involve any air contaminants for which a disaster review is required?</t>
  </si>
  <si>
    <t>If Yes, list which air contaminants require a disaster review.</t>
  </si>
  <si>
    <t>Is the proposed facility located in a watch list area?</t>
  </si>
  <si>
    <t>Does this application include a pollutant of concern for the applicable area on the APWL?</t>
  </si>
  <si>
    <t xml:space="preserve">The signature below confirms that I have knowledge of the facts included in this application and that these facts are true and correct to the best of my knowledge and belief. I further state that to the best of my knowledge and belief, the project for which application is made will not in any way violate any provision of the Texas Water Code (TWC), Chapter 7; the Texas Health and Safety Code, Chapter 382, the Texas Clean Air Act (TCAA) the air quality rules of the Texas Commission on Environmental Quality; or any local governmental ordinance or resolution enacted pursuant to the TCAA. I further state that I understand my signature indicates that this application meets all applicable nonattainment, prevention of significant deterioration, or major source of hazardous air pollutant permitting requirements. The signature further signifies awareness that intentionally or knowingly making or causing to be made false material statements or representations in the application is a criminal offense subject to criminal penalties. </t>
  </si>
  <si>
    <t>Name:</t>
  </si>
  <si>
    <t>Signature:</t>
  </si>
  <si>
    <t>Original signature is required.</t>
  </si>
  <si>
    <t>Date:</t>
  </si>
  <si>
    <t>End of worksheet</t>
  </si>
  <si>
    <t>Estimated Capital Cost and Fee Verification</t>
  </si>
  <si>
    <t>II. Direct Costs</t>
  </si>
  <si>
    <t>Type of Cost</t>
  </si>
  <si>
    <t>Amount</t>
  </si>
  <si>
    <t>A process and control equipment not previously owned by the applicant and not currently authorized under this chapter.</t>
  </si>
  <si>
    <t>Auxiliary equipment, including exhaust hoods, ducting, fans, pumps, piping, conveyors, stacks, storage tanks, waste disposal facilities, and air pollution control equipment specifically needed to meet permit and regulation requirements.</t>
  </si>
  <si>
    <t>Freight charges.</t>
  </si>
  <si>
    <t>Site preparation, including demolition, construction of fences, outdoor lighting, road, and parking areas.</t>
  </si>
  <si>
    <t>Installation, including foundations, erection of supporting structures, enclosures or weather protection, insulation and painting, utilities and connections, process integration, and process control equipment.</t>
  </si>
  <si>
    <t>Auxiliary buildings, including materials storage, employee facilities, and changes to existing structures.</t>
  </si>
  <si>
    <t>Ambient air monitoring network.</t>
  </si>
  <si>
    <t>Sub-Total:</t>
  </si>
  <si>
    <t>III. Indirect Costs</t>
  </si>
  <si>
    <t>Final engineering design and supervision, and administrative overhead.</t>
  </si>
  <si>
    <t>Construction expense, including construction liaison, securing local building permits, insurance, temporary construction facilities, and construction clean-up.</t>
  </si>
  <si>
    <t>Contractor's fee and overhead.</t>
  </si>
  <si>
    <t>IV. Calculations</t>
  </si>
  <si>
    <t>Estimated Capital Cost</t>
  </si>
  <si>
    <t>Permit Application Fee:</t>
  </si>
  <si>
    <t>Less than $300,000</t>
  </si>
  <si>
    <t>$900 (minimum fee)</t>
  </si>
  <si>
    <t>$300,000 - $25,000,000</t>
  </si>
  <si>
    <t>0.30% of capital cost</t>
  </si>
  <si>
    <t>$75,000 (maximum fee)</t>
  </si>
  <si>
    <t>Greater than $25,000,000</t>
  </si>
  <si>
    <t>Your estimated capital cost:</t>
  </si>
  <si>
    <t>If a fee exemption or reduction applies, describe how this facility qualifies for an exemption or reduction. Include the actual fee amount.</t>
  </si>
  <si>
    <t>Public Notice Applicability, Required Information, and Small Business Classification</t>
  </si>
  <si>
    <t>I. Public Notice Applicability</t>
  </si>
  <si>
    <t>A. Application Type</t>
  </si>
  <si>
    <t>Is this an application for a minor permit amendment?</t>
  </si>
  <si>
    <t>Is there any change in character of emissions in this application?</t>
  </si>
  <si>
    <t>B. Project Increases and Public Notice Thresholds</t>
  </si>
  <si>
    <t>Project Change in Allowable (tpy)</t>
  </si>
  <si>
    <t>Notice required?</t>
  </si>
  <si>
    <t>PM</t>
  </si>
  <si>
    <r>
      <t>PM</t>
    </r>
    <r>
      <rPr>
        <vertAlign val="subscript"/>
        <sz val="11"/>
        <color theme="1"/>
        <rFont val="Arial"/>
        <family val="2"/>
      </rPr>
      <t>10</t>
    </r>
  </si>
  <si>
    <r>
      <t>PM</t>
    </r>
    <r>
      <rPr>
        <vertAlign val="subscript"/>
        <sz val="11"/>
        <color theme="1"/>
        <rFont val="Arial"/>
        <family val="2"/>
      </rPr>
      <t>2.5</t>
    </r>
  </si>
  <si>
    <r>
      <t>NO</t>
    </r>
    <r>
      <rPr>
        <vertAlign val="subscript"/>
        <sz val="11"/>
        <color theme="1"/>
        <rFont val="Arial"/>
        <family val="2"/>
      </rPr>
      <t>x</t>
    </r>
  </si>
  <si>
    <t>CO</t>
  </si>
  <si>
    <r>
      <t>SO</t>
    </r>
    <r>
      <rPr>
        <vertAlign val="subscript"/>
        <sz val="11"/>
        <color theme="1"/>
        <rFont val="Arial"/>
        <family val="2"/>
      </rPr>
      <t>2</t>
    </r>
  </si>
  <si>
    <t>C. Is public notice required for this project as represented in this workbook?</t>
  </si>
  <si>
    <t>Please note: public notice applicability for this project may change throughout the technical review.</t>
  </si>
  <si>
    <t>II. Public Notice Information</t>
  </si>
  <si>
    <t>Complete this section if public notice is required (determined in the above section) or if you are not sure if public notice is required.</t>
  </si>
  <si>
    <t>A. Contact Information</t>
  </si>
  <si>
    <r>
      <rPr>
        <sz val="11"/>
        <color theme="1"/>
        <rFont val="Arial"/>
        <family val="2"/>
      </rPr>
      <t xml:space="preserve">Enter the contact information for the </t>
    </r>
    <r>
      <rPr>
        <b/>
        <sz val="11"/>
        <color theme="1"/>
        <rFont val="Arial"/>
        <family val="2"/>
      </rPr>
      <t>person responsible for publishing.</t>
    </r>
    <r>
      <rPr>
        <sz val="11"/>
        <color theme="1"/>
        <rFont val="Arial"/>
        <family val="2"/>
      </rPr>
      <t xml:space="preserve"> This is a designated representative who is responsible for ensuring public notice is properly published in the appropriate newspaper and signs are posted at the facility site. This person will be contacted directly when the TCEQ is ready to authorize public notice for the application.</t>
    </r>
  </si>
  <si>
    <t>Company Name:</t>
  </si>
  <si>
    <r>
      <rPr>
        <sz val="11"/>
        <color theme="1"/>
        <rFont val="Arial"/>
        <family val="2"/>
      </rPr>
      <t xml:space="preserve">Enter the contact information for the </t>
    </r>
    <r>
      <rPr>
        <b/>
        <sz val="11"/>
        <color theme="1"/>
        <rFont val="Arial"/>
        <family val="2"/>
      </rPr>
      <t>Technical Contact.</t>
    </r>
    <r>
      <rPr>
        <sz val="11"/>
        <color theme="1"/>
        <rFont val="Arial"/>
        <family val="2"/>
      </rPr>
      <t xml:space="preserve"> This is the designated representative who will be listed in the public notice as a contact for additional information.</t>
    </r>
  </si>
  <si>
    <t>Name of Public Place:</t>
  </si>
  <si>
    <t>Physical Address:</t>
  </si>
  <si>
    <t>Has the public place granted authorization to place the application for public viewing and copying?</t>
  </si>
  <si>
    <r>
      <rPr>
        <b/>
        <sz val="11"/>
        <color theme="1"/>
        <rFont val="Arial"/>
        <family val="2"/>
      </rPr>
      <t>C. Alternate Language Publication</t>
    </r>
    <r>
      <rPr>
        <sz val="11"/>
        <color theme="1"/>
        <rFont val="Arial"/>
        <family val="2"/>
      </rPr>
      <t xml:space="preserve">
In some cases, public notice in an alternate language is required. If an elementary or middle school nearest to the facility is in a school district required by the Texas Education Code to have a bilingual program, a bilingual notice will be required. If there is no bilingual program required in the school nearest the facility, but children who would normally attend those schools are eligible to attend bilingual programs elsewhere in the school district, the bilingual notice will also be required. If it is determined that alternate language notice is required, you are responsible for ensuring that the publication in the alternate language is complete and accurate in that language.</t>
    </r>
  </si>
  <si>
    <t>Is a bilingual program required by the Texas Education Code in the School District?</t>
  </si>
  <si>
    <t>Are the children who attend either the elementary school or the middle school closest to your facility eligible to be enrolled in a bilingual program provided by the district?</t>
  </si>
  <si>
    <t>III. Small Business Classification</t>
  </si>
  <si>
    <t>Does the company (including parent companies and subsidiary companies) have fewer than 100 employees or less than $6 million in annual gross receipts?</t>
  </si>
  <si>
    <t>Is the site a major source under 30 TAC Chapter 122, Federal Operating Permit Program?</t>
  </si>
  <si>
    <t>Are the site emissions of any individual air contaminant greater than or equal to 50 tpy?</t>
  </si>
  <si>
    <t>Are the site emissions of all air contaminants combined greater than or equal to 75 tpy?</t>
  </si>
  <si>
    <t>Press TAB to move input areas. Press UP or DOWN ARROW in column A to read through the document. Note: This worksheet is just text and has no input areas. The text is broken into multiple cells for ease of reading.</t>
  </si>
  <si>
    <t>Who</t>
  </si>
  <si>
    <t>Where</t>
  </si>
  <si>
    <t>When</t>
  </si>
  <si>
    <t>What</t>
  </si>
  <si>
    <t>Air Permits Division Air Permits Initial Review Team (APIRT)</t>
  </si>
  <si>
    <t>All applications</t>
  </si>
  <si>
    <t>Alabama-Coushatta Tribe of Texas</t>
  </si>
  <si>
    <t>571 State Park Road 56, 
Livingston, Texas 77351</t>
  </si>
  <si>
    <t>If the proposed facilities are located within 100 km or less of the Indian Tribal Lands</t>
  </si>
  <si>
    <t>Ysleta del Sur Pueblo of Texas</t>
  </si>
  <si>
    <t>119 S. Old Pueblo Rd., 
El Paso, Texas 79907</t>
  </si>
  <si>
    <t>4171 N. Mesa, Suite C-100, 
El Paso, Texas 79902-1441</t>
  </si>
  <si>
    <t>If new construction is proposed within 100 km of the Rio Grande River</t>
  </si>
  <si>
    <t>TCEQ Regional Offices</t>
  </si>
  <si>
    <t>Local Air Pollution Control Programs</t>
  </si>
  <si>
    <t>C. Industry Type</t>
  </si>
  <si>
    <t>D. State Senator and Representative for this site</t>
  </si>
  <si>
    <t>A. Disaster Review</t>
  </si>
  <si>
    <t>Type of Site (select one)</t>
  </si>
  <si>
    <t>What will assist the flame to ensure acceptable visible emissions?</t>
  </si>
  <si>
    <t>If Yes, you do not qualify for this RAP.</t>
  </si>
  <si>
    <t>Control efficiency (mg/L)</t>
  </si>
  <si>
    <t>Is this CAS regenerative or non-regenerative?</t>
  </si>
  <si>
    <t>NSR Permit Number:</t>
  </si>
  <si>
    <t>Federal Operating Permit Number (if applicable):</t>
  </si>
  <si>
    <t>D. Enforcement Projects</t>
  </si>
  <si>
    <t>Source Name</t>
  </si>
  <si>
    <t>10% of ESL</t>
  </si>
  <si>
    <t>UIM</t>
  </si>
  <si>
    <t>Carbon Adsorption System</t>
  </si>
  <si>
    <t>B. Air Pollutant Watch List</t>
  </si>
  <si>
    <t>Species - Non-Criteria Pollutants</t>
  </si>
  <si>
    <t>Briefly (500 characters or fewer) describe either how compliance with each of the chapters will be met or why the chapter is not applicable. Additional pages may be attached, if necessary.</t>
  </si>
  <si>
    <t>Federal Applicability Determination</t>
  </si>
  <si>
    <t>Press tab to move to input areas. Press UP or DOWN ARROW in column A to read through the document.</t>
  </si>
  <si>
    <t>Is this control device subject to CAM monitoring requirements?</t>
  </si>
  <si>
    <t>Is there a bypass for the control device?</t>
  </si>
  <si>
    <t>What subparts apply to this project and how will this facility comply with the requirements?</t>
  </si>
  <si>
    <t>This cell is left intentionally blank.</t>
  </si>
  <si>
    <t>I. Tank 1</t>
  </si>
  <si>
    <t>II. Tank 2</t>
  </si>
  <si>
    <t>III. Tank 3</t>
  </si>
  <si>
    <t>IV. Tank 4</t>
  </si>
  <si>
    <t>V. Tank 5</t>
  </si>
  <si>
    <t>VI. Loading - drum/tote</t>
  </si>
  <si>
    <t>VII. Loading - truck</t>
  </si>
  <si>
    <t>VIII. Loading - rail</t>
  </si>
  <si>
    <t>IX. Flare</t>
  </si>
  <si>
    <t>X. VCU</t>
  </si>
  <si>
    <t>XI. CAS</t>
  </si>
  <si>
    <t>This cell left intentionally blank.</t>
  </si>
  <si>
    <t>I. Overview</t>
  </si>
  <si>
    <t xml:space="preserve">ZIP Code: Include the ZIP Code of the physical facility site, not the ZIP Code of the applicant's mailing address. </t>
  </si>
  <si>
    <t>Compliance history classifications</t>
  </si>
  <si>
    <t>Compliance history report</t>
  </si>
  <si>
    <t>A. Title 40 CFR Part 60</t>
  </si>
  <si>
    <t>B. Title 40 CFR Part 61 Subparts</t>
  </si>
  <si>
    <t>X.  Signature</t>
  </si>
  <si>
    <t>I. General Information</t>
  </si>
  <si>
    <t>UTM Zone</t>
  </si>
  <si>
    <t>UTM Coordinate - Easting (meters)</t>
  </si>
  <si>
    <t>UTM Coordinate - Northing (meters)</t>
  </si>
  <si>
    <t>Loading: Drum or Tote</t>
  </si>
  <si>
    <t>Value</t>
  </si>
  <si>
    <t>II. Input Parameters and Factors</t>
  </si>
  <si>
    <t>FIN (must match the existing authorization's FIN)</t>
  </si>
  <si>
    <t>EPN (must match the existing authorization's EPN)</t>
  </si>
  <si>
    <t>Source Name (must match existing authorization's source name)</t>
  </si>
  <si>
    <t>I. Unit Impact Multiplier for Each Source</t>
  </si>
  <si>
    <t>II. Summary</t>
  </si>
  <si>
    <t>III. Criteria Pollutants</t>
  </si>
  <si>
    <t>Species</t>
  </si>
  <si>
    <t>IV. Non-Criteria Pollutants</t>
  </si>
  <si>
    <t>Loading: Truck</t>
  </si>
  <si>
    <t>Loading: Rail</t>
  </si>
  <si>
    <t>Limited by impacts analysis</t>
  </si>
  <si>
    <t>Confirm that you agree with the statement above by electronically signing (typing) your name here:</t>
  </si>
  <si>
    <t>II. Total Proposed Throughput Limits</t>
  </si>
  <si>
    <r>
      <t>Current
NO</t>
    </r>
    <r>
      <rPr>
        <b/>
        <vertAlign val="subscript"/>
        <sz val="11"/>
        <rFont val="Arial"/>
        <family val="2"/>
      </rPr>
      <t>x</t>
    </r>
    <r>
      <rPr>
        <b/>
        <sz val="11"/>
        <rFont val="Arial"/>
        <family val="2"/>
      </rPr>
      <t xml:space="preserve"> tpy</t>
    </r>
  </si>
  <si>
    <t>In addition to the throughput increase, are you correcting or updating representations previously authorized?</t>
  </si>
  <si>
    <t>If yes, this project does not qualify for the RAP.</t>
  </si>
  <si>
    <t>Chemical/Energy BACT</t>
  </si>
  <si>
    <t>https://www.tceq.texas.gov/permitting/air/nav/air_bact_chemsource.html</t>
  </si>
  <si>
    <t>There are no input areas on this worksheet. Press UP or DOWN ARROW in column A to read through the document.</t>
  </si>
  <si>
    <t xml:space="preserve">This attachment authorizes emissions only from those emissions points listed in the RAP Emission Rates Table Attachment and the facilities covered by this attachment are authorized to emit subject to the emission rate limits on that table and other operating conditions specified in this attachment. </t>
  </si>
  <si>
    <t>Federal and State Applicability</t>
  </si>
  <si>
    <t>Subpart A: General Provisions</t>
  </si>
  <si>
    <t>Subpart K: Standards of Performance for Storage Vessels for Petroleum Liquids for Which Construction, Reconstruction, or Modification Commenced After June 11, 1973, and Prior to May 19, 1978</t>
  </si>
  <si>
    <t>Subpart Ka: Standards of Performance for Storage Vessels for Petroleum Liquids for Which Construction, Reconstruction, or Modification Commenced After May 18, 1978, and Prior to July 23, 1984</t>
  </si>
  <si>
    <t>Subpart Kb: Standards Of Performance For Volatile Organic Liquid Storage Vessels (Including Petroleum Liquid Storage Vessels) for which Construction, Reconstruction, or Modification Commenced After July 23, 1984</t>
  </si>
  <si>
    <t>Subpart XX: Standards of Performance for Bulk Gasoline Terminals</t>
  </si>
  <si>
    <t>Subpart OOOO: Standards of Performance for Crude Oil and Natural Gas Production, Transmission and Distribution for which Construction, Modification or Reconstruction Commenced...August 23, 2011, and on or before September 18, 2015</t>
  </si>
  <si>
    <t>Subpart OOOOa: Standards of Performance for Crude Oil and Natural Gas Facilities for which Construction, Modification or Reconstruction Commenced After September 18, 2015</t>
  </si>
  <si>
    <t>Subpart Y: National Emission Standard for Benzene Emissions from Benzene Storage Vessels</t>
  </si>
  <si>
    <t>Subpart FF: National Emission Standard for Benzene Waste Operations</t>
  </si>
  <si>
    <t>Subpart G: National Emission Standards for Organic Hazardous Air Pollutants from the Synthetic Organic Chemical Manufacturing Industry for Process Vents, Storage Vessels, Transfer Operations, and Wastewater</t>
  </si>
  <si>
    <t>Subpart R: National Emission Standards for Gasoline Distribution Facilities (Bulk Gasoline Terminals and Pipeline Breakout Stations)</t>
  </si>
  <si>
    <t>Subpart Y: National Emission Standards for Marine Tank Vessel Loading Operations</t>
  </si>
  <si>
    <t>Subpart CC: National Emission Standards for Hazardous Air Pollutants from Petroleum Refineries</t>
  </si>
  <si>
    <t>Subpart EEEE: National Emission Standards for Hazardous Air Pollutants: Organic Liquids Distribution (Non-Gasoline)</t>
  </si>
  <si>
    <t>Subpart FFFF: National Emission Standards for Hazardous Air Pollutants: Miscellaneous Organic Chemical Manufacturing</t>
  </si>
  <si>
    <t>Subpart BBBBBB: National Emission Standards for Hazardous Air Pollutants for Source Category: Gasoline Distribution Bulk Terminals, Bulk Plants, and Pipeline Facilities</t>
  </si>
  <si>
    <t>Subpart CCCCCC: National Emission Standards for Hazardous Air Pollutants for Gasoline-Dispensing Facilities</t>
  </si>
  <si>
    <t>BACT</t>
  </si>
  <si>
    <t>rail loading &lt;0.5</t>
  </si>
  <si>
    <t>truck loading &lt;0.5</t>
  </si>
  <si>
    <t>drum loading &lt;0.5</t>
  </si>
  <si>
    <t>CAS non regenerative</t>
  </si>
  <si>
    <t>Tank Type</t>
  </si>
  <si>
    <t>Seal type</t>
  </si>
  <si>
    <t>YN</t>
  </si>
  <si>
    <t>flare</t>
  </si>
  <si>
    <t>Is downwash applicable for this source?</t>
  </si>
  <si>
    <t>Distance from the Property Line (feet)</t>
  </si>
  <si>
    <t>Stack Height (feet)</t>
  </si>
  <si>
    <t>Proposed throughput increase (bbl/yr)</t>
  </si>
  <si>
    <t>Total uncontrolled emissions from this source (tpy)</t>
  </si>
  <si>
    <t>Not collected loading emissions (tpy)</t>
  </si>
  <si>
    <t>When was the most recent air authorization action affecting sources in this RAP project? Provide the date and a brief description of the change.</t>
  </si>
  <si>
    <t>Route to VOC control device and meet the specific control device requirements. 100% collection efficiency of pressure-rated cars ensured by Department of Transportation Testing. Hard piped or bolted connections, dry lock design. Hard piping loading arms and/or pressure-rated chemical transfer hoses.</t>
  </si>
  <si>
    <t>Submerged or bottom loading. No splash loading.</t>
  </si>
  <si>
    <t>Fixed roof with submerged fill. Uninsulated exterior surfaces exposed to the sun shall be white or aluminum.</t>
  </si>
  <si>
    <t>CAS regenerative</t>
  </si>
  <si>
    <t>IV.  Facility Location and General Information</t>
  </si>
  <si>
    <t>end of worksheet</t>
  </si>
  <si>
    <t>this row is intentionally blank</t>
  </si>
  <si>
    <t>end of sheet</t>
  </si>
  <si>
    <t>this cell left intentionally blank</t>
  </si>
  <si>
    <t>Minimum (if applicable)</t>
  </si>
  <si>
    <t>There are no upstream or downstream production increases as a result of this project. There is no increase to actual emission rates for sources outside of this current RAP workbook.</t>
  </si>
  <si>
    <t>Loading-drum,tote</t>
  </si>
  <si>
    <t>Loading-truck</t>
  </si>
  <si>
    <t>Loading-rail</t>
  </si>
  <si>
    <t>Instructions</t>
  </si>
  <si>
    <t>Additional application materials</t>
  </si>
  <si>
    <t xml:space="preserve">     Tank 1</t>
  </si>
  <si>
    <t xml:space="preserve">     Tank 2</t>
  </si>
  <si>
    <t xml:space="preserve">     Tank 3</t>
  </si>
  <si>
    <t xml:space="preserve">     Tank 4</t>
  </si>
  <si>
    <t xml:space="preserve">     Tank 5</t>
  </si>
  <si>
    <t xml:space="preserve">     Flare</t>
  </si>
  <si>
    <t xml:space="preserve">     Estimated Capital Cost and Fee Verification</t>
  </si>
  <si>
    <t xml:space="preserve">     Impacts Analysis</t>
  </si>
  <si>
    <t>Specific source information (sheets not needed for this project will be greyed out)</t>
  </si>
  <si>
    <t xml:space="preserve">     Public Notice Applicability and Small Business Classification</t>
  </si>
  <si>
    <t xml:space="preserve">     Federal Applicability Determination</t>
  </si>
  <si>
    <t>Prefix (Mr., Ms., Dr., etc.):</t>
  </si>
  <si>
    <t>The table below will generate emission increases based on the values represented in the previous sheets of this workbook.</t>
  </si>
  <si>
    <t>Current CO tpy</t>
  </si>
  <si>
    <t>Current PM tpy</t>
  </si>
  <si>
    <r>
      <t>Current PM</t>
    </r>
    <r>
      <rPr>
        <b/>
        <vertAlign val="subscript"/>
        <sz val="11"/>
        <rFont val="Arial"/>
        <family val="2"/>
      </rPr>
      <t>10</t>
    </r>
    <r>
      <rPr>
        <b/>
        <sz val="11"/>
        <rFont val="Arial"/>
        <family val="2"/>
      </rPr>
      <t xml:space="preserve"> tpy</t>
    </r>
  </si>
  <si>
    <r>
      <t>Current PM</t>
    </r>
    <r>
      <rPr>
        <b/>
        <vertAlign val="subscript"/>
        <sz val="11"/>
        <rFont val="Arial"/>
        <family val="2"/>
      </rPr>
      <t>2.5</t>
    </r>
    <r>
      <rPr>
        <b/>
        <sz val="11"/>
        <rFont val="Arial"/>
        <family val="2"/>
      </rPr>
      <t xml:space="preserve"> tpy</t>
    </r>
  </si>
  <si>
    <t>Current VOC tpy</t>
  </si>
  <si>
    <r>
      <t>Current SO</t>
    </r>
    <r>
      <rPr>
        <b/>
        <vertAlign val="subscript"/>
        <sz val="11"/>
        <rFont val="Arial"/>
        <family val="2"/>
      </rPr>
      <t>2</t>
    </r>
    <r>
      <rPr>
        <b/>
        <sz val="11"/>
        <rFont val="Arial"/>
        <family val="2"/>
      </rPr>
      <t xml:space="preserve"> tpy</t>
    </r>
  </si>
  <si>
    <t>Increase of maximum annual flow rate of the stream (scf/year)</t>
  </si>
  <si>
    <t>flare - thermal nox factors</t>
  </si>
  <si>
    <t>steam</t>
  </si>
  <si>
    <t>air</t>
  </si>
  <si>
    <t>high</t>
  </si>
  <si>
    <t>low</t>
  </si>
  <si>
    <t>flare - CO factors</t>
  </si>
  <si>
    <t>flare info</t>
  </si>
  <si>
    <t>rail loading ≥0.5</t>
  </si>
  <si>
    <t>drum loading ≥0.5</t>
  </si>
  <si>
    <t xml:space="preserve">Submerged loading of drums shall be performed within a total enclosure or within a partial enclosure designed and operated with a capture velocity of at least 200 fpm (if outside, 300 fpm to 500 fpm) at the drum vent. The enclosure shall be designed and operated consistent with the specifications in Industrial Ventilation: A Manual of Recommended Practice. </t>
  </si>
  <si>
    <t>Submerged filling (lance fill).</t>
  </si>
  <si>
    <t>White or aluminum uninsulated exterior surface exposed to the sun. Equipped with a vapor mounted primary seal and rim mounted secondary seal.</t>
  </si>
  <si>
    <t>White or aluminum uninsulated exterior surface exposed to the sun. Slotted guide pole fittings must have a gasketed cover, and at least 2 of the following: wiper, float, or sleeve.</t>
  </si>
  <si>
    <t>White or aluminum uninsulated exterior surface exposed to the sun. Slotted guide pole fittings must have a gasketed cover, and at least 2 of the following: wiper, float or sleeve.</t>
  </si>
  <si>
    <t>White or aluminum uninsulated exterior surfaces exposed to the sun. Slotted guide pole fittings must have gasketed cover and at least 2 of the following – wiper, float or sleeve.
Mechanical or liquid mounted primary and rim mounted secondary seal.</t>
  </si>
  <si>
    <t>99% destruction efficiency. Monitor temperature. Perform initial test.</t>
  </si>
  <si>
    <t>fixed</t>
  </si>
  <si>
    <t>external</t>
  </si>
  <si>
    <t>internal</t>
  </si>
  <si>
    <t>&lt; 25 Mgal</t>
  </si>
  <si>
    <r>
      <t xml:space="preserve">0.50 </t>
    </r>
    <r>
      <rPr>
        <b/>
        <sz val="11"/>
        <color rgb="FF000000"/>
        <rFont val="Arial"/>
        <family val="2"/>
      </rPr>
      <t>≤</t>
    </r>
    <r>
      <rPr>
        <b/>
        <sz val="11"/>
        <color theme="1"/>
        <rFont val="Arial"/>
        <family val="2"/>
      </rPr>
      <t xml:space="preserve"> TVP &lt; 11.0</t>
    </r>
  </si>
  <si>
    <t>TVP &lt; 0.50</t>
  </si>
  <si>
    <t>≥ 25 Mgal</t>
  </si>
  <si>
    <t>Fixed roof with submerged fill. Uninsulated exterior surfaces exposed to the sun shall be white or aluminum</t>
  </si>
  <si>
    <t>Vent to control.</t>
  </si>
  <si>
    <t>White or aluminum uninsulated exterior surfaces exposed to the sun.</t>
  </si>
  <si>
    <t>White or aluminum uninsulated exterior surface exposed to the sun.</t>
  </si>
  <si>
    <r>
      <t xml:space="preserve">TVP </t>
    </r>
    <r>
      <rPr>
        <b/>
        <sz val="11"/>
        <color theme="1"/>
        <rFont val="Calibri"/>
        <family val="2"/>
      </rPr>
      <t>≥</t>
    </r>
    <r>
      <rPr>
        <b/>
        <sz val="11"/>
        <color theme="1"/>
        <rFont val="Arial"/>
        <family val="2"/>
      </rPr>
      <t xml:space="preserve"> 11.0 TVP</t>
    </r>
  </si>
  <si>
    <t>Tank type</t>
  </si>
  <si>
    <t>Capacity</t>
  </si>
  <si>
    <t>flare supplemental gas factors</t>
  </si>
  <si>
    <t>NOx</t>
  </si>
  <si>
    <t>na</t>
  </si>
  <si>
    <t>tank type and BACT</t>
  </si>
  <si>
    <t>630-08-0</t>
  </si>
  <si>
    <t>7446-09-5</t>
  </si>
  <si>
    <t>NA</t>
  </si>
  <si>
    <t>Tank2</t>
  </si>
  <si>
    <t>Tank3</t>
  </si>
  <si>
    <t>Tank4</t>
  </si>
  <si>
    <t>Tank5</t>
  </si>
  <si>
    <t>Emissions to the atmosphere from each source, multiplied by the UIM</t>
  </si>
  <si>
    <t>particulate matter ≤10</t>
  </si>
  <si>
    <t>particulate matter ≤2.5</t>
  </si>
  <si>
    <t>Subpart QQQ: Standards of Performance for VOC Emissions From Petroleum Refinery Wastewater Systems</t>
  </si>
  <si>
    <t>Subpart BB: National Emission Standard for Benzene Emissions from Benzene Transfer Operations</t>
  </si>
  <si>
    <t>Subpart L: National Emission Standards for Benzene Emissions from Coke By-Product Recovery Plants</t>
  </si>
  <si>
    <t>Subpart VVVVVV: National Emission Standards for Hazardous Air Pollutants for Chemical Manufacturing Area Sources</t>
  </si>
  <si>
    <t>Subpart YY: National Emission Standards for Hazardous Air Pollutants for Source Categories: Generic Maximum Achievable Control Technology Standards</t>
  </si>
  <si>
    <t>Subpart GGGGG: National Emission Standards for Hazardous Air Pollutants: Site Remediation</t>
  </si>
  <si>
    <t>Subpart HH: National Emission Standards for Hazardous Air Pollutants From Oil and Natural Gas Production Facilities</t>
  </si>
  <si>
    <t>Subpart JJJ: National Emission Standards for Hazardous Air Pollutant Emissions: Group IV Polymers and Resins</t>
  </si>
  <si>
    <t>Subpart OO: National Emission Standards for Tanks - Level 1</t>
  </si>
  <si>
    <t>Subpart PPP: National Emission Standards for Hazardous Air Pollutants Emissions for Polyether Polyols Production</t>
  </si>
  <si>
    <t>Subpart U: National Emission Standards for Hazardous Air Pollutant Emissions: Group I Polymers and Resins</t>
  </si>
  <si>
    <t>Subpart DD: National Emission Standards for Hazardous Air Pollutants from Off-Site Waste and Recovery Operations</t>
  </si>
  <si>
    <t>Subpart EEE: National Emission Standards for Hazardous Air Pollutants from Hazardous Waste Combustors</t>
  </si>
  <si>
    <t>flare nox</t>
  </si>
  <si>
    <t>flare co</t>
  </si>
  <si>
    <t>flare so2</t>
  </si>
  <si>
    <t>Is supplemental gas used to maintain the minimum heating value?</t>
  </si>
  <si>
    <t>Type of supplemental fuel</t>
  </si>
  <si>
    <t>C. Supplemental Fuel</t>
  </si>
  <si>
    <t>A. Stack</t>
  </si>
  <si>
    <t>D. Waste Stream</t>
  </si>
  <si>
    <t>B. Flare</t>
  </si>
  <si>
    <t>Is there a bypass for the flare?</t>
  </si>
  <si>
    <t>Is this control device subject to CAM requirements?</t>
  </si>
  <si>
    <t>E. Compliance Assurance Monitoring</t>
  </si>
  <si>
    <t>CO thermal emission factor (lb/MMBtu)</t>
  </si>
  <si>
    <t>Firing rate (MMBtu/hr)</t>
  </si>
  <si>
    <t>Sulfur content of gas stream (mol%)</t>
  </si>
  <si>
    <t>distinct list of species for all tanks/loading combined</t>
  </si>
  <si>
    <t>control</t>
  </si>
  <si>
    <t>Supplemental flow rate associated with this project (scf/year)</t>
  </si>
  <si>
    <t>B. VCU</t>
  </si>
  <si>
    <t>C. Compliance Assurance Monitoring</t>
  </si>
  <si>
    <t>A</t>
  </si>
  <si>
    <t>(1)</t>
  </si>
  <si>
    <t>(2)</t>
  </si>
  <si>
    <t>(3)</t>
  </si>
  <si>
    <t>An open-top tank shall contain a floating roof (external floating roof tank) which uses double seal or secondary seal technology provided the primary seal consists of either a mechanical shoe seal or a liquid-mounted seal and the secondary seal is rim-mounted.  A weathershield is not approvable as a secondary seal unless specifically reviewed and determined to be vapor-tight.</t>
  </si>
  <si>
    <t>An internal floating deck or “roof” shall be installed. A domed external floating roof tank is equivalent to an internal floating roof tank. The floating roof shall be equipped with one of the following closure devices between the wall of the storage vessel and the edge of the floating roof: (1) a liquid-mounted seal, (2) two continuous seals mounted one above the other, or (3) a mechanical shoe seal.</t>
  </si>
  <si>
    <t>The true vapor pressure of any liquid stored at this facility in an uncontrolled atmospheric tank shall not exceed 11.0 psia.</t>
  </si>
  <si>
    <t>The tank emissions must be controlled as specified in one of the paragraphs below:</t>
  </si>
  <si>
    <t>B</t>
  </si>
  <si>
    <t>D</t>
  </si>
  <si>
    <t>E</t>
  </si>
  <si>
    <t>C</t>
  </si>
  <si>
    <t>Hard-piped or bolted connections, and/or dry lock design hard-piped loading arms shall be used for all pressurized loading operations.</t>
  </si>
  <si>
    <t>Each railcar to be loaded shall be designed to handle a pressure of 15 psi gauge or greater.</t>
  </si>
  <si>
    <t>Each railcar to be loaded shall not be equipped with a spew gauge.</t>
  </si>
  <si>
    <t xml:space="preserve">The permit holder shall maintain a record of tank throughput for the previous month and the past consecutive 12-month period for each tank.  </t>
  </si>
  <si>
    <t>All lines and connectors shall be visually inspected for any defects prior to hookup. Lines and connectors that are visibly damaged shall be removed from service. Operations shall cease immediately upon detection of any liquid leaking from the lines or connections.</t>
  </si>
  <si>
    <t>F</t>
  </si>
  <si>
    <t>(4)</t>
  </si>
  <si>
    <t>(5)</t>
  </si>
  <si>
    <t>(6)</t>
  </si>
  <si>
    <t>G</t>
  </si>
  <si>
    <t>H</t>
  </si>
  <si>
    <t>Initial Determination of Compliance</t>
  </si>
  <si>
    <t>(7)</t>
  </si>
  <si>
    <t>Name of firm conducting sampling.</t>
  </si>
  <si>
    <t>Type of sampling equipment to be used.</t>
  </si>
  <si>
    <t>Method or procedure to be used in sampling.</t>
  </si>
  <si>
    <t>Description of any proposed deviation from the sampling procedures specified in this permit or TCEQ/EPA sampling procedures.</t>
  </si>
  <si>
    <t>Procedure/parameters to be used to determine worst case emissions.</t>
  </si>
  <si>
    <t>Proposed date for pretest meeting.</t>
  </si>
  <si>
    <t>CEMS monitoring results on a 15-minute average basis, and 1-minute averages for any time periods when maximum allowable concentration is exceeded;</t>
  </si>
  <si>
    <t>CEMS daily calibration and quarterly audit results;</t>
  </si>
  <si>
    <t>Results of all periodic monitoring conducted during CEMS downtime or out-of-control periods; and</t>
  </si>
  <si>
    <t>(8)</t>
  </si>
  <si>
    <t>Date sampling will occur.</t>
  </si>
  <si>
    <t xml:space="preserve">Compliance Assurance Monitoring </t>
  </si>
  <si>
    <t>Records of the inspections required shall be maintained and if the results of any of the above inspections are not satisfactory, the permit holder shall promptly take necessary corrective action.</t>
  </si>
  <si>
    <t>Conduct a once a month visual, audible, and/or olfactory inspection of the capture system to verify there are no leaking components in the capture system; or</t>
  </si>
  <si>
    <t>Install a flow indicator that records and verifies zero flow at least once every fifteen minutes immediately downstream of each valve that if opened would allow a vent stream to bypass the control device and be emitted, either directly or indirectly, to the atmosphere; or</t>
  </si>
  <si>
    <t>Once a month, inspect the valves, verifying that the position of the valves and the condition of the car seals prevent flow out the bypass.</t>
  </si>
  <si>
    <t>Records of the CAS monitoring maintained at the plant site shall include (but are not limited to) the following:</t>
  </si>
  <si>
    <t>Sample ports or connections must be designed such that air leakage into the sample port does not occur during sampling.</t>
  </si>
  <si>
    <t>Manufacturers recommended operating ranges and actual compliant operating ranges, with the canister cycle check list to be used during periodic monitoring;</t>
  </si>
  <si>
    <t>Corrective actions taken (including the time and date of that action).</t>
  </si>
  <si>
    <t>Flares shall be designed and operated in accordance with the following requirements:</t>
  </si>
  <si>
    <t xml:space="preserve">During sampling, data recording shall not begin until after two times the instrument response time.  The VOC concentration shall be monitored for at least 5 minutes, recording 1-minute averages. </t>
  </si>
  <si>
    <t>Records of the CAS monitoring maintained at the plant site, shall include (but are not limited to) the following:</t>
  </si>
  <si>
    <t>Sample time and date.</t>
  </si>
  <si>
    <t>Monitoring results (ppmv).</t>
  </si>
  <si>
    <t>Corrective action taken including the time and date of that action.</t>
  </si>
  <si>
    <t>Process operations occurring at the time of sampling.</t>
  </si>
  <si>
    <t>Storage Tank Operational Specifications</t>
  </si>
  <si>
    <t>Loading  Operational Specifications</t>
  </si>
  <si>
    <t>Flare Operational Specifications</t>
  </si>
  <si>
    <r>
      <t>The temperature monitor shall be calibrated on an annual basis to meet an accuracy specification of ±0.75 percent of the temperature being measured expressed in degrees Celsius or ±2.5ºC. Up to 5 percent invalid monitoring data is acceptable on a rolling 12 month basis provided it is only generated when the monitor is broken down, out-of-control (producing inaccurate data); being repaired, having maintenance performed, or being calibrated. The data availability shall be calculated as the total</t>
    </r>
    <r>
      <rPr>
        <i/>
        <sz val="11"/>
        <color rgb="FF0000FF"/>
        <rFont val="Arial"/>
        <family val="2"/>
      </rPr>
      <t xml:space="preserve"> </t>
    </r>
    <r>
      <rPr>
        <sz val="11"/>
        <color theme="1"/>
        <rFont val="Arial"/>
        <family val="2"/>
      </rPr>
      <t>tank operating hours for which quality assured data was recorded divided by the total tank hours in service. Invalid data generated due to other reasons is not allowed.  The measurements missed shall be estimated using engineering judgement and the methods used recorded.</t>
    </r>
  </si>
  <si>
    <t>K</t>
  </si>
  <si>
    <t>R</t>
  </si>
  <si>
    <t>L</t>
  </si>
  <si>
    <t>S</t>
  </si>
  <si>
    <t>M</t>
  </si>
  <si>
    <t>O</t>
  </si>
  <si>
    <t>N</t>
  </si>
  <si>
    <t>I</t>
  </si>
  <si>
    <t>J</t>
  </si>
  <si>
    <t>P</t>
  </si>
  <si>
    <t>Q</t>
  </si>
  <si>
    <t xml:space="preserve">The tank shall be routed to a control device. </t>
  </si>
  <si>
    <t>Except for labels, logos, etc. not to exceed 15 percent of the tank total surface area, uninsulated tank exterior surfaces exposed to the sun shall be white or unpainted aluminum. Storage tanks must be equipped with permanent submerged fill pipes.</t>
  </si>
  <si>
    <t>Storage tanks are subject to the following requirements: The control requirements specified in parts A–E of this condition shall not apply (1) where the VOC has an aggregate partial pressure of less than 0.50 psia at the maximum feed temperature or 95°F, whichever is greater, or (2) storage tanks smaller than 25,000 gallons.</t>
  </si>
  <si>
    <t>A blower system shall be installed to produce a vacuum in the tank truck during all loading operations. A pressure/vacuum gauge shall be installed on the suction side of the loading rack blower system adjacent to the truck being loaded to verify a vacuum in that vessel. Loading shall not occur unless there is a vacuum of at least 1.5 inch water column being maintained by the vacuum-assist vapor collection system when loading trucks. The vacuum shall be recorded every 15 minutes during loading.</t>
  </si>
  <si>
    <t>In order to ensure 100-percent capture efficiency of VOC during railcar loading, the following requirements must be met:</t>
  </si>
  <si>
    <t>Vendor data CO emission factor (lb/10^6 scf)</t>
  </si>
  <si>
    <t>The flare shall be operated with a flame present at all times and/or have a constant pilot flame. The pilot flame shall be continuously monitored by a thermocouple, infrared monitor, or ultraviolet monitor. The time, date, and duration of any loss of pilot flame shall be recorded. Each monitoring device shall be accurate to, and shall be calibrated at a frequency in accordance with, the manufacturer’s specifications.</t>
  </si>
  <si>
    <t>Calibration of the analyzer shall follow the procedures and requirements of Section 10.0 of 40 CFR Part 60, Appendix B, Performance Specification 9, as amended through October 17, 2000 (65 FR 61744), except that the multi-point calibration procedure in Section 10.1 of Performance Specification 9 shall be performed at least once every calendar quarter instead of once every month, and the mid-level calibration check procedure in Section 10.2 of Performance Specification 9 shall be performed at least once every calendar week instead of once every 24 hours. The calibration gases used for calibration procedures shall be in accordance with Section 7.1 of Performance Specification 9. Net heating value of the gas combusted in the flare shall be calculated according to the equation given in 40 CFR §60.18(f)(3) as amended through October 17, 2000 (65 FR 61744).</t>
  </si>
  <si>
    <t xml:space="preserve">The monitors and analyzers shall operate as required by this section at least 95% of the time when the flare is operational, averaged over a rolling 12 month period. Flared gas net heating value and actual exit velocity determined in accordance with 40 CFR §§60.18(f)(3) and 60.18(f)(4) shall be recorded at least once every hour. </t>
  </si>
  <si>
    <r>
      <t>The permit holder shall install a continuous flow monitor that provides a record of the vent stream flow</t>
    </r>
    <r>
      <rPr>
        <sz val="11"/>
        <color rgb="FF0000FF"/>
        <rFont val="Arial"/>
        <family val="2"/>
      </rPr>
      <t xml:space="preserve"> </t>
    </r>
    <r>
      <rPr>
        <sz val="11"/>
        <color theme="1"/>
        <rFont val="Arial"/>
        <family val="2"/>
      </rPr>
      <t>to the flare.  The flow monitor sensor and analyzer sample points shall be installed in the vent stream as near as possible to the flare inlet such that the total vent stream to the flare is measured and analyzed. Readings shall be taken at least once every 15 minutes and the average hourly values of the flow shall be recorded each hour.</t>
    </r>
  </si>
  <si>
    <t>The temperature measurement device shall reduce the temperature readings to an averaging period of 6 minutes or less and record it at that frequency. The temperature monitor shall be installed, calibrated or have a calibration check performed at least annually, and maintained according to the manufacturer's specifications. The device shall have an accuracy of the greater of ±2 percent of the temperature being measured expressed in degrees Celsius or ±2.5ºC.</t>
  </si>
  <si>
    <t>Quality assured (or valid) data must be generated when the VCU is operating except during the performance of a daily zero and span check. Loss of valid data due to periods of monitor break down, out-of-control operation (producing inaccurate data), repair, maintenance, or calibration may be exempted provided it does not exceed 5 percent of the time (in minutes) that the VCU operated over the previous rolling 12 month period. The measurements missed shall be estimated using engineering judgment and the methods used recorded.</t>
  </si>
  <si>
    <t>The vapor combustor shall be operated with no visible emissions and have a constant pilot flame during all times waste gas could be directed to it. The pilot flame shall be continuously monitored by a thermocouple or an infrared monitor. The time, date, and duration of any loss of pilot flame shall be recorded. Each monitoring device shall be accurate to, and shall be calibrated or have a calibration check performed at a frequency in accordance with, the manufacturer’s specifications.</t>
  </si>
  <si>
    <t>Breakthrough concentration (ppmv)</t>
  </si>
  <si>
    <t>The sampling point shall be at the outlet of the initial canister but before the inlet to the second or final polishing canister. Sample ports or connections must be designed such that air leakage into the sample port does not occur during sampling.</t>
  </si>
  <si>
    <t>When the CEMS is out of service, proper operation of the CAS shall be ensured through system inspection and evaluation and operation in accordance with the manufacturer’s recommendations, and after 180 days of operation, also within parameters shown to assure compliance with the maximum concentration limitation. Operating parameters for the CAS system shall be checked to assure compliance with the manufacturer’s recommendations and past compliant practice operating ranges. A canister cycle checklist will be maintained as the CAS record for all periods when the CEMS is out of service.</t>
  </si>
  <si>
    <t>During sampling, data recording shall not begin until after two times the instrument response time. The VOC concentration shall be monitored for at least 5 minutes, recording 1-minute averages.</t>
  </si>
  <si>
    <t>Alternate monitoring or sampling requirements that are equivalent or better may be approved by the TCEQ Regional Director. Alternate requirements must be approved in writing before they can be used for compliance purposes.</t>
  </si>
  <si>
    <t>EPA</t>
  </si>
  <si>
    <t>TCEQ</t>
  </si>
  <si>
    <t>CEMS</t>
  </si>
  <si>
    <t>Subpart OOOO: Standards of Performance for Crude Oil and Natural Gas Production, Transmission and Distribution for which Construction, Modification or Reconstruction Commenced After August 23, 2011, and on or before September 18, 2015</t>
  </si>
  <si>
    <t>The calorimeter shall be calibrated, installed, operated, and maintained, in accordance with manufacturer recommendations, to continuously measure and record the net heating value of the gas sent to the flare, in Btu/scf of the gas.</t>
  </si>
  <si>
    <t>Title 40 Code of Federal Regulations Part 60</t>
  </si>
  <si>
    <t>British thermal unit</t>
  </si>
  <si>
    <t>carbon adsorption system</t>
  </si>
  <si>
    <t>continuous emission monitoring system</t>
  </si>
  <si>
    <t>Department of Transportation</t>
  </si>
  <si>
    <t xml:space="preserve">U.S. Environmental Protection Agency </t>
  </si>
  <si>
    <t>emission point number</t>
  </si>
  <si>
    <t>flame ionization detector</t>
  </si>
  <si>
    <t>nitrogen oxide</t>
  </si>
  <si>
    <t>New Source Review</t>
  </si>
  <si>
    <t>oxygen</t>
  </si>
  <si>
    <t>degrees Celsius</t>
  </si>
  <si>
    <t>parts per million by volume</t>
  </si>
  <si>
    <t>pounds per square inch absolute</t>
  </si>
  <si>
    <t>Readily Available Permit</t>
  </si>
  <si>
    <t>Reid vapor pressure</t>
  </si>
  <si>
    <t>standard cubic feet</t>
  </si>
  <si>
    <t>Texas Commission on Environmental Quality</t>
  </si>
  <si>
    <t>vapor combustion unit</t>
  </si>
  <si>
    <t>volatile organic compound</t>
  </si>
  <si>
    <t>40 CFR Part 60</t>
  </si>
  <si>
    <t>Btu</t>
  </si>
  <si>
    <t>DOT</t>
  </si>
  <si>
    <t>FID</t>
  </si>
  <si>
    <t>NOX</t>
  </si>
  <si>
    <t>NSR</t>
  </si>
  <si>
    <t>O2</t>
  </si>
  <si>
    <t>ppmv</t>
  </si>
  <si>
    <t>psia</t>
  </si>
  <si>
    <t>RAP</t>
  </si>
  <si>
    <t>RVP</t>
  </si>
  <si>
    <t>scf</t>
  </si>
  <si>
    <t>ºC</t>
  </si>
  <si>
    <t>ºF</t>
  </si>
  <si>
    <t>The appropriate TCEQ Regional Office shall be notified not less than 45 days prior to sampling. The notice shall include:</t>
  </si>
  <si>
    <t>The purpose of the pretest meeting is to review the necessary sampling and testing procedures, to provide the proper data forms for recording pertinent data, and to review the format procedures for the test reports. The TCEQ Regional Director must approve any deviation from specified sampling procedures.</t>
  </si>
  <si>
    <t>Sampling shall occur within 60 days after achieving the maximum operating rate, but no later than 180 days after initial start-up of the facilities and at such other times as may be required by the TCEQ Executive Director. Requests for additional time to perform sampling shall be submitted to the appropriate regional office.</t>
  </si>
  <si>
    <t>The facility being sampled shall operate maximum production during stack emission testing. These conditions/parameters and any other primary operating parameters that affect the emission rate shall be monitored and recorded during the stack test. Any additional parameters shall be determined at the pretest meeting and shall be stated in the sampling report. Permit conditions and parameter limits may be waived during stack testing performed under this condition if the proposed condition/parameter range is identified in the test notice specified in paragraph A and accepted by the TCEQ Regional Office.  Permit allowable emissions and emission control requirements are not waived and still apply during stack testing periods.
During subsequent operations, if the maximum production is greater than that recorded during the test period, stack sampling shall be performed at the new operating conditions within 120 days. This sampling may be waived by the TCEQ Air Section Manager for the region.</t>
  </si>
  <si>
    <t>Once a year, verify the capture system is leak free by inspecting in accordance with 40 CFR Part 60, Appendix A, Test Method 21. Leaks shall be indicated by an instrument reading greater than or equal to 500 ppmv above background.</t>
  </si>
  <si>
    <t>Copies of the final sampling report shall be forwarded to the offices below within 60 days after sampling is completed. Sampling reports shall comply with the attached provisions entitled “Chapter 14, Contents of Sampling Reports” of the TCEQ Sampling Procedures Manual. The reports shall be distributed as follows:
          One copy to the appropriate TCEQ Regional Office.
          One copy to each local air pollution control program.</t>
  </si>
  <si>
    <t>Sampling ports and platform(s) shall be incorporated into the design of (source stack and EPN) according to the specifications set forth in the attachment entitled “Chapter 2, Guidelines For Stack Sampling Facilities” of the TCEQ Sampling Procedures Manual. Alternate sampling facility designs must be submitted for approval to the TCEQ Regional Director.</t>
  </si>
  <si>
    <t>A bypass does not include authorized analyzer vents, highpoint bleeder vents, low point drains, or rupture discs upstream of pressure relief valves if the pressure between the disc and relief valve is monitored and recorded at least weekly. A deviation shall be reported if the monitoring or inspections indicate bypass of the control device when it is required to be in service.</t>
  </si>
  <si>
    <t>These facilities shall comply with all applicable requirements of the EPA regulations on Standards of Performance for New Stationary Sources promulgated in 40 CFR Part 60:</t>
  </si>
  <si>
    <t>These facilities shall comply with all applicable requirements of the EPA regulations on National Emission Standards for Hazardous Air Pollutants in 40 CFR Part 61:</t>
  </si>
  <si>
    <t>These facilities shall comply with all applicable requirements of the EPA regulations on National Emission Standards for Hazardous Air Pollutants for Source Categories in 40 CFR Part 63:</t>
  </si>
  <si>
    <t>For any tank equipped with a floating roof, the permit holder shall perform the visual inspections and any seal gap measurements specified in 40 CFR § 60.113b (40 CFR § 60.113b) Testing and Procedures (as amended at 54 FR 32973, Aug. 11, 1989) to verify fitting and seal integrity. Records shall be maintained of the dates the inspection was performed, any measurements made, results of inspections and measurements made (including raw data), and actions taken to correct any deficiencies noted.</t>
  </si>
  <si>
    <t>Each railcar to be loaded shall be pressure certified by DOT testing or equivalent. The holder of this permit shall not allow a railcar to be loaded unless it has passed the DOT testing or equivalent. A record of the date on which the testing was performed shall be maintained for each railcar and shall be sufficient evidence that the testing was performed.</t>
  </si>
  <si>
    <t>January-March: 13.5 psia</t>
  </si>
  <si>
    <t>April: 11.5 psia</t>
  </si>
  <si>
    <t>May: 9 psia</t>
  </si>
  <si>
    <t>June-August: 7.8 psia</t>
  </si>
  <si>
    <t>September 1-15: 7.8 psia</t>
  </si>
  <si>
    <t>September 16-30: 10 psia</t>
  </si>
  <si>
    <t>October-December: 11.5 psia</t>
  </si>
  <si>
    <t>VCU Operational Specifications</t>
  </si>
  <si>
    <t>VCUs shall be designed and operated in accordance with the following requirements:</t>
  </si>
  <si>
    <t>CAS Operational Specifications</t>
  </si>
  <si>
    <t>The VOC sampling and analysis shall be performed using an instrument with a FID, or a TCEQ-approved alternative detector. The instrument/FID must meet all requirements specified in Section 8.1 of EPA Method 21 (40 CFR 60, Appendix A). Sampling and analysis for VOC breakthrough shall be performed as follows:</t>
  </si>
  <si>
    <t>The CEMS shall meet the design and performance specifications, pass the field tests, meet the installation requirements, and complete the data analysis and reporting requirements specified in Performance Specification 8A, 40 CFR Part 60, Appendix B.
The system shall be zeroed and spanned daily when the CAS is in operation, and corrective action taken when the 24-hour calibration drift exceeds two times the amounts specified in Performance Specification 8A. The CEMS shall be considered out-of-control, as defined in 40 CFR 60, Appendix F, Section 4.3.1, if the daily zero or span calibration drift checks exceed two times the allowable drift specified in Performance Specification 8A for five consecutive daily calibration drift checks.
Each monitor shall be quality-assured at least quarterly in accordance with 40 CFR Part 60, Appendix F, Procedure 1. Any failed quarterly audit and CEMS downtime shall be reported to the appropriate TCEQ Regional Manager, and necessary corrective action shall be taken. After any failed quarterly audit, the CEMS shall be considered out-of-control, as defined in 40 CFR 60, Appendix F, Section 5.2, until the successful completion of a corresponding audit following the corrective action.
Quality assured (or valid) data must be generated when the CAS is operating except during the performance of a daily zero and span check.  Loss of valid data due to periods of monitor break down, out-of-control operation (producing inaccurate data), repair, maintenance, or calibration may be exempted provided it does not exceed 5 percent of the time (in minutes) that the CAS operated over the previous rolling 12 month period. The CAS measurements missed shall be estimated using engineering judgment and the methods used recorded.</t>
  </si>
  <si>
    <t>The permit holder shall perform stack sampling and other testing as required to establish the actual pattern and quantities of air contaminants being emitted into the atmosphere from the VCU to demonstrate compliance with the MAERT. The permit holder is responsible for providing sampling and testing facilities and conducting the sampling and testing operations at his expense. Sampling shall be conducted in accordance with the appropriate procedures of the TCEQ Sampling Procedures Manual and the EPA Reference Methods.
Requests to waive testing for any pollutant specified in this condition shall be submitted to the TCEQ Office of Air, Air Permits Division.  Test waivers and alternate/equivalent procedure proposals for 40 CFR Part 60 testing which must have EPA approval shall be submitted to the TCEQ Regional Director.</t>
  </si>
  <si>
    <t xml:space="preserve">
</t>
  </si>
  <si>
    <t>B. CAS</t>
  </si>
  <si>
    <t>B. Loading</t>
  </si>
  <si>
    <t>*note: conditional formatting notes for CND are in hidden column on that sheet</t>
  </si>
  <si>
    <t>conditional formatting notes (this column will be hidden from user)</t>
  </si>
  <si>
    <t>greys out this row if all tanks are either blank or fixed roof (only applies to floating roof)</t>
  </si>
  <si>
    <t>greys out this number if all the tank sizes are either blank or &lt;25 OR if all the tanks pressures are blank or &lt;0.5</t>
  </si>
  <si>
    <t>applicable if truck loading collection efficiency is 100</t>
  </si>
  <si>
    <t>this condition is applicable if rail loading collection efficiency is 100</t>
  </si>
  <si>
    <t>applicable if using gas analyzer</t>
  </si>
  <si>
    <t>applicable if using calorimeter</t>
  </si>
  <si>
    <t>applicable if using flow meter</t>
  </si>
  <si>
    <t>all flares</t>
  </si>
  <si>
    <t>all loading</t>
  </si>
  <si>
    <t>all permits</t>
  </si>
  <si>
    <t>all tanks</t>
  </si>
  <si>
    <t>ppms listed will change to match reps. On the CAS sheet</t>
  </si>
  <si>
    <t>this condition changes depending on if it is a gasoline terminal.</t>
  </si>
  <si>
    <t>applicable if using supplemental fuel for flare. Also, this condition changes to fuel or natural gas depending on what is represented.</t>
  </si>
  <si>
    <t>all flares. Condition changes to either air or steam assist</t>
  </si>
  <si>
    <t>all flares. Also, condition changes to list the natural or fuel gas</t>
  </si>
  <si>
    <t>Allowable Species</t>
  </si>
  <si>
    <t>Maximum annual flow rate associated with this project (scf/year)</t>
  </si>
  <si>
    <t>Determination:</t>
  </si>
  <si>
    <t>Baseline Emissions (tpy)</t>
  </si>
  <si>
    <t>Major Source Threshold (tpy)</t>
  </si>
  <si>
    <t>Volatile Organic Compounds (VOCs)</t>
  </si>
  <si>
    <r>
      <t>H</t>
    </r>
    <r>
      <rPr>
        <vertAlign val="subscript"/>
        <sz val="11"/>
        <color theme="1"/>
        <rFont val="Arial"/>
        <family val="2"/>
      </rPr>
      <t>2</t>
    </r>
    <r>
      <rPr>
        <sz val="11"/>
        <color theme="1"/>
        <rFont val="Arial"/>
        <family val="2"/>
      </rPr>
      <t>S</t>
    </r>
  </si>
  <si>
    <r>
      <t>H</t>
    </r>
    <r>
      <rPr>
        <vertAlign val="subscript"/>
        <sz val="11"/>
        <color theme="1"/>
        <rFont val="Arial"/>
        <family val="2"/>
      </rPr>
      <t>2</t>
    </r>
    <r>
      <rPr>
        <sz val="11"/>
        <color theme="1"/>
        <rFont val="Arial"/>
        <family val="2"/>
      </rPr>
      <t>SO</t>
    </r>
    <r>
      <rPr>
        <vertAlign val="subscript"/>
        <sz val="11"/>
        <color theme="1"/>
        <rFont val="Arial"/>
        <family val="2"/>
      </rPr>
      <t>4</t>
    </r>
  </si>
  <si>
    <t>Site Determination:</t>
  </si>
  <si>
    <t>Project Determination:</t>
  </si>
  <si>
    <t>Significant Emission Rate (tpy)</t>
  </si>
  <si>
    <t>If applicable, is this facility located within the portion of the county that is in nonattainment?</t>
  </si>
  <si>
    <r>
      <t>Ozone (as NO</t>
    </r>
    <r>
      <rPr>
        <vertAlign val="subscript"/>
        <sz val="11"/>
        <color theme="1"/>
        <rFont val="Arial"/>
        <family val="2"/>
      </rPr>
      <t>x</t>
    </r>
    <r>
      <rPr>
        <sz val="11"/>
        <color theme="1"/>
        <rFont val="Arial"/>
        <family val="2"/>
      </rPr>
      <t>)</t>
    </r>
  </si>
  <si>
    <t>Ozone (as VOC)</t>
  </si>
  <si>
    <t>NA Counties</t>
  </si>
  <si>
    <t>Classification</t>
  </si>
  <si>
    <t>Named Sources</t>
  </si>
  <si>
    <t>SO2</t>
  </si>
  <si>
    <t>Other/Not Listed</t>
  </si>
  <si>
    <t>Carbon black plants (furnace process)</t>
  </si>
  <si>
    <t>Charcoal production plants</t>
  </si>
  <si>
    <t>Chemical process plants (other than ethanol by fermentation)</t>
  </si>
  <si>
    <t>Coal cleaning plants (with thermal dryers)</t>
  </si>
  <si>
    <t>Coke oven batteries</t>
  </si>
  <si>
    <t>PM10</t>
  </si>
  <si>
    <t>Fossil fuel-fired steam electric plants &gt; 250 million BTUs per hour heat input</t>
  </si>
  <si>
    <t>Fossil-fuel boilers (or combinations) totaling &gt; 250 million BTUs per hour heat input</t>
  </si>
  <si>
    <t>Fuel conversion plants</t>
  </si>
  <si>
    <t>Glass fiber processing plants</t>
  </si>
  <si>
    <t>Hydrofluoric, sulfuric, or nitric acid plants</t>
  </si>
  <si>
    <t>Iron and steel mills</t>
  </si>
  <si>
    <t>Kraft pulp mills</t>
  </si>
  <si>
    <t>Lime plants</t>
  </si>
  <si>
    <t>Municipal incinerators capable of charging more than 250 tons of refuse per day</t>
  </si>
  <si>
    <t>Petroleum refineries</t>
  </si>
  <si>
    <t>Petroleum storage and transfer units with total storage capacity above 300,000 barrels</t>
  </si>
  <si>
    <t>Phosphate rock processing plants</t>
  </si>
  <si>
    <t>Portland cement plants</t>
  </si>
  <si>
    <t>Primary aluminum ore reduction plants</t>
  </si>
  <si>
    <t>Primary copper smelters</t>
  </si>
  <si>
    <t>Primary lead smelters</t>
  </si>
  <si>
    <t>Primary zinc smelters</t>
  </si>
  <si>
    <t>Secondary metal production plants</t>
  </si>
  <si>
    <t>Sintering plants</t>
  </si>
  <si>
    <t>Sulfur recovery plants</t>
  </si>
  <si>
    <t>Taconite ore processing plants</t>
  </si>
  <si>
    <t>Step</t>
  </si>
  <si>
    <t>Blanks</t>
  </si>
  <si>
    <t>Pass</t>
  </si>
  <si>
    <t>Step 2</t>
  </si>
  <si>
    <t>County Selected:</t>
  </si>
  <si>
    <t>Combined</t>
  </si>
  <si>
    <t>ozone</t>
  </si>
  <si>
    <t>Completed</t>
  </si>
  <si>
    <t>NA Pass</t>
  </si>
  <si>
    <t>III. Project Emission Rates</t>
  </si>
  <si>
    <t>applicable if loading-drum vp &gt;= 0.5</t>
  </si>
  <si>
    <t>Loading of liquids with vapor pressure greater than or equal 0.5 psi into containers and/or drums shall only be performed within a total enclosure or within a partial enclosure designed and operate with a capture velocity of at least 200 fpm (if outside use 300 to 500) at the container vent. The enclosure shall be designed and operated consistent with the specification in Industrial Ventilation: A Manual of Recommended Practice.</t>
  </si>
  <si>
    <t>The loading or dispensing of gasoline is limited to gasolines meeting the monthly RVP standards specified in the versions of 40 CFR 80.27(a)(2) and ASTM D4814 which are in effect as of this RAP.  These monthly maximum RVP limits are as follows:</t>
  </si>
  <si>
    <t>section applicable if there is a VCU</t>
  </si>
  <si>
    <t>distinct list of species for Flare</t>
  </si>
  <si>
    <t>distinct list of species for VCU</t>
  </si>
  <si>
    <t>distinct list of species for CAS</t>
  </si>
  <si>
    <t>Species Count #</t>
  </si>
  <si>
    <t>Flare Count #</t>
  </si>
  <si>
    <t>VCU Count #</t>
  </si>
  <si>
    <t>CAS Count #</t>
  </si>
  <si>
    <t>CO emission factor</t>
  </si>
  <si>
    <t>I. Proposed Project Allowable Increases by EPN*</t>
  </si>
  <si>
    <t>*Proposed emission rates represented on this sheet are in addition to those listed for the EPNs on the existing permit's MAERT.</t>
  </si>
  <si>
    <t xml:space="preserve">The holder of this permit shall obtain the RVP data provided by the delivering refinery for each batch of gasoline delivered to the terminal by pipeline.  Gasoline RVP data shall be reduced to monthly weighted averages of pipeline receipts for purposes of determining compliance with the conditions of this permit.  </t>
  </si>
  <si>
    <t>What is the current monitoring frequency of this CAS?</t>
  </si>
  <si>
    <t>greys out if flare/VCU/CAS ALL say no to CAM being applicable</t>
  </si>
  <si>
    <t>Is this a heated tank?</t>
  </si>
  <si>
    <t>Applies to constant level tanks. The listed EPNs change to list those with "yes" listed</t>
  </si>
  <si>
    <t>Applies to heated tanks. The listed EPNs change to list those with "yes" listed</t>
  </si>
  <si>
    <t>For any tank equipped with a floating roof, the floating roof design shall incorporate sufficient flotation to conform to the requirements of API Code 650 dated November 1, 1998 except that an internal floating cover need not be designed to meet rainfall support requirements and the materials of construction may be steel or other materials.</t>
  </si>
  <si>
    <t>RVP counties</t>
  </si>
  <si>
    <t>Van</t>
  </si>
  <si>
    <t>Zandt</t>
  </si>
  <si>
    <t>De Witt</t>
  </si>
  <si>
    <t>RVP countif</t>
  </si>
  <si>
    <t>condition only applicable for gasoline terminals in a listed county in 30 tac 114.309</t>
  </si>
  <si>
    <t>Current Sitewide PTE (tpy)</t>
  </si>
  <si>
    <t>Nonattainment Needed</t>
  </si>
  <si>
    <t>In List</t>
  </si>
  <si>
    <t>RIM-SEAL LOSS FACTORS</t>
  </si>
  <si>
    <t xml:space="preserve">Average-Fitting Seals </t>
  </si>
  <si>
    <t xml:space="preserve">Tight-Fitting Seals </t>
  </si>
  <si>
    <t>Tanks</t>
  </si>
  <si>
    <t>Tank Construction And Rim-Seal System</t>
  </si>
  <si>
    <t>Subsystem</t>
  </si>
  <si>
    <t xml:space="preserve">KRa (lb-mole/ft-yr) </t>
  </si>
  <si>
    <t xml:space="preserve">KRb [lb-mole/(mph)n-ft-yr] </t>
  </si>
  <si>
    <t xml:space="preserve">n </t>
  </si>
  <si>
    <t>List</t>
  </si>
  <si>
    <t>WeldedMechanical-shoe sealPrimary only</t>
  </si>
  <si>
    <t>Welded</t>
  </si>
  <si>
    <t>Mechanical-shoe seal</t>
  </si>
  <si>
    <t>Primary only</t>
  </si>
  <si>
    <t>WeldedMechanical-shoe sealShoe-mounted secondary</t>
  </si>
  <si>
    <t>Shoe-mounted secondary</t>
  </si>
  <si>
    <t>Liquid-mounted seal</t>
  </si>
  <si>
    <t>WeldedMechanical-shoe sealRim-mounted secondary</t>
  </si>
  <si>
    <t>Rim-mounted secondary</t>
  </si>
  <si>
    <t>Vapor-mounted seal</t>
  </si>
  <si>
    <t>WeldedLiquid-mounted sealPrimary only</t>
  </si>
  <si>
    <t>WeldedLiquid-mounted sealWeather shield</t>
  </si>
  <si>
    <t>Weather shield</t>
  </si>
  <si>
    <t>WeldedLiquid-mounted sealRim-mounted secondary</t>
  </si>
  <si>
    <t>WeldedVapor-mounted sealPrimary only</t>
  </si>
  <si>
    <t>WeldedVapor-mounted sealWeather shield</t>
  </si>
  <si>
    <t>WeldedVapor-mounted sealRim-mounted secondary</t>
  </si>
  <si>
    <t>RivetedMechanical-shoe sealPrimary only</t>
  </si>
  <si>
    <t>Riveted</t>
  </si>
  <si>
    <t>RivetedMechanical-shoe sealShoe-mounted secondary</t>
  </si>
  <si>
    <t>RivetedMechanical-shoe sealRim-mounted secondary</t>
  </si>
  <si>
    <t>Typical Number Of Columns As A Function Of Tank Diameter For Internal Floating Roof Tanks With Column-Supported Fixed Roofs</t>
  </si>
  <si>
    <t>Range</t>
  </si>
  <si>
    <t># Columns (until next Range)</t>
  </si>
  <si>
    <t>External Floating Roof Tanks: Typical Number Of Vacuum Breakers, Nvb, And Deck Drains, Nd</t>
  </si>
  <si>
    <t>Number Vacuum Breakers Nvb</t>
  </si>
  <si>
    <t>Tank Diameter D (Ft)</t>
  </si>
  <si>
    <t>Pontoon Roof</t>
  </si>
  <si>
    <t>Double-deck roof</t>
  </si>
  <si>
    <t>Number of deck drains Nd</t>
  </si>
  <si>
    <t>External Floating Roof Tanks: Typical Number Of Roof Legs, Nl</t>
  </si>
  <si>
    <t>Number of Pontoon Legs</t>
  </si>
  <si>
    <t>Number of Center Legs</t>
  </si>
  <si>
    <t>Number Of Legs On Double-Deck Roof</t>
  </si>
  <si>
    <t>DECK-FITTING LOSS FACTORS</t>
  </si>
  <si>
    <t xml:space="preserve"> </t>
  </si>
  <si>
    <t xml:space="preserve">Loss Factors </t>
  </si>
  <si>
    <t xml:space="preserve">Fitting Type And Construction Details </t>
  </si>
  <si>
    <t xml:space="preserve">KFa (lb-mole/yr) </t>
  </si>
  <si>
    <t xml:space="preserve">KFb (lb-mole/(mph)m-yr) </t>
  </si>
  <si>
    <t xml:space="preserve">m (dimensionless) </t>
  </si>
  <si>
    <t>Fitting Type</t>
  </si>
  <si>
    <t>Code</t>
  </si>
  <si>
    <t>Row #</t>
  </si>
  <si>
    <t>Selected:</t>
  </si>
  <si>
    <t>Kai</t>
  </si>
  <si>
    <t>Kbi</t>
  </si>
  <si>
    <t>mi</t>
  </si>
  <si>
    <t>Access hatch</t>
  </si>
  <si>
    <t>Access</t>
  </si>
  <si>
    <t>Fixed roof support column well</t>
  </si>
  <si>
    <t>FRSCol</t>
  </si>
  <si>
    <t>Bolted cover, gasketed</t>
  </si>
  <si>
    <t>Unslotted guide-pole and well</t>
  </si>
  <si>
    <t>Unslotted</t>
  </si>
  <si>
    <t>Unbolted cover, ungasketed</t>
  </si>
  <si>
    <t>Slotted guide-pole/sample well</t>
  </si>
  <si>
    <t>Slotted</t>
  </si>
  <si>
    <t>Unbolted cover, gasketed</t>
  </si>
  <si>
    <t>Gauge-float well (automatic gauge)</t>
  </si>
  <si>
    <t>GFWell</t>
  </si>
  <si>
    <t>Gauge-hatch/sample port</t>
  </si>
  <si>
    <t>GHatch</t>
  </si>
  <si>
    <t>Vacuum breaker</t>
  </si>
  <si>
    <t>Vacuum</t>
  </si>
  <si>
    <t>Round pipe, ungasketed sliding cover</t>
  </si>
  <si>
    <t>Stub drain (1-inch diameter)</t>
  </si>
  <si>
    <t>Stub</t>
  </si>
  <si>
    <t>Round pipe, gasketed sliding cover</t>
  </si>
  <si>
    <t>Deck leg, IFR-type (total sleeve length approx. 12 inches)</t>
  </si>
  <si>
    <t>DeckIFR</t>
  </si>
  <si>
    <t>Round pipe, flexible fabric sleeve seal</t>
  </si>
  <si>
    <t>Deck leg, EFR-type (pontoon area of pontoon roofs; total sleeve length approx. 30 inches)</t>
  </si>
  <si>
    <t>DeckPontoon</t>
  </si>
  <si>
    <t>Built-up column, ungasketed sliding cover</t>
  </si>
  <si>
    <t>Deck leg, EFR-type (double-deck roofs and center area of pontoon roofs, total sleeve length approx. 48 inches)</t>
  </si>
  <si>
    <t>DoubleDeck</t>
  </si>
  <si>
    <t>Built-up column, gasketed sliding cover</t>
  </si>
  <si>
    <t>Deck leg or hanger (no opening through deck)</t>
  </si>
  <si>
    <t>NoOpen</t>
  </si>
  <si>
    <t>Rim vent</t>
  </si>
  <si>
    <t>RimVent</t>
  </si>
  <si>
    <t>Ladder well</t>
  </si>
  <si>
    <t>LadderWell</t>
  </si>
  <si>
    <t>Ungasketed sliding cover</t>
  </si>
  <si>
    <t>Ladder-guidepole combination well</t>
  </si>
  <si>
    <t>LadderGuide</t>
  </si>
  <si>
    <t>Ungasketed sliding cover w/pole sleeve</t>
  </si>
  <si>
    <t>Other (Please specify):</t>
  </si>
  <si>
    <t>Other</t>
  </si>
  <si>
    <t>Gasketed sliding cover</t>
  </si>
  <si>
    <t>Gasketed sliding cover w/pole wiper</t>
  </si>
  <si>
    <t>Gasketed sliding cover w/pole sleeve</t>
  </si>
  <si>
    <t>Ungasketed or gasketed sliding cover</t>
  </si>
  <si>
    <t>Ungasketed or gasketed sliding cover, with float</t>
  </si>
  <si>
    <t>Gasketed sliding cover, with pole wiper</t>
  </si>
  <si>
    <t>Gasketed sliding cover, with pole sleeve</t>
  </si>
  <si>
    <t>Gasketed sliding cover, with pole sleeve and pole wiper</t>
  </si>
  <si>
    <t>Gasketed sliding cover, with float and pole wiper</t>
  </si>
  <si>
    <t>Gasketed sliding cover, with float, pole sleeve, and pole wiper</t>
  </si>
  <si>
    <t>Flexible enclosure</t>
  </si>
  <si>
    <t>Weighted mechanical actuation, gasketed</t>
  </si>
  <si>
    <t>Weighted mechanical actuation, ungasketed</t>
  </si>
  <si>
    <t>Slit fabric seal, 10% open area</t>
  </si>
  <si>
    <t>Adjustable</t>
  </si>
  <si>
    <t>Adjustable, ungasketed</t>
  </si>
  <si>
    <t>Adjustable, gasketed</t>
  </si>
  <si>
    <t>Adjustable, sock</t>
  </si>
  <si>
    <t>Fixed</t>
  </si>
  <si>
    <t>Sliding cover, ungasketed</t>
  </si>
  <si>
    <t>Sliding cover, gasketed</t>
  </si>
  <si>
    <t>Ladder sleeve, ungasketed sliding cover</t>
  </si>
  <si>
    <t>Ladder sleeve, gasketed sliding cover</t>
  </si>
  <si>
    <t>PAINT SOLAR ABSORPTANCE</t>
  </si>
  <si>
    <t xml:space="preserve">Paint Condition </t>
  </si>
  <si>
    <t>Paint Color</t>
  </si>
  <si>
    <t>New</t>
  </si>
  <si>
    <t>Average</t>
  </si>
  <si>
    <t>Aged</t>
  </si>
  <si>
    <t>Aluminum, Specular</t>
  </si>
  <si>
    <t>Aluminum, Diffuse</t>
  </si>
  <si>
    <t>Aluminum, Mill finish, unpainted</t>
  </si>
  <si>
    <t>Beige/Cream</t>
  </si>
  <si>
    <t>Black</t>
  </si>
  <si>
    <t>Gray, Light</t>
  </si>
  <si>
    <t>Gray, Medium</t>
  </si>
  <si>
    <t>Green, Dark</t>
  </si>
  <si>
    <t>Red, Primer</t>
  </si>
  <si>
    <t>Rust, Red iron oxide</t>
  </si>
  <si>
    <t>Tan</t>
  </si>
  <si>
    <t>White</t>
  </si>
  <si>
    <t>City</t>
  </si>
  <si>
    <t>daily ambient temperature range °F</t>
  </si>
  <si>
    <t>Average Annual Wind Speed (mph)</t>
  </si>
  <si>
    <r>
      <t>Atmospheric Pressure P</t>
    </r>
    <r>
      <rPr>
        <vertAlign val="subscript"/>
        <sz val="10"/>
        <color theme="1"/>
        <rFont val="Arial"/>
        <family val="2"/>
      </rPr>
      <t>A</t>
    </r>
  </si>
  <si>
    <t>Abilene, TX</t>
  </si>
  <si>
    <t>Amarillo, TX</t>
  </si>
  <si>
    <t>Austin, TX</t>
  </si>
  <si>
    <t>Brownsville, TX</t>
  </si>
  <si>
    <t>Clayton, NM</t>
  </si>
  <si>
    <t>Corpus Christi, TX</t>
  </si>
  <si>
    <t>Dallas/Fort Worth, TX</t>
  </si>
  <si>
    <t>Del Rio, TX</t>
  </si>
  <si>
    <t>Dodge City, KS</t>
  </si>
  <si>
    <t>El Paso, TX</t>
  </si>
  <si>
    <t>Fort Smith, AR</t>
  </si>
  <si>
    <t>Fort Worth, TX</t>
  </si>
  <si>
    <t>Galveston, TX</t>
  </si>
  <si>
    <t>Houston, TX</t>
  </si>
  <si>
    <t>Lake Charles, LA</t>
  </si>
  <si>
    <t>Lubbock, TX</t>
  </si>
  <si>
    <t>Midland-Odessa, TX</t>
  </si>
  <si>
    <t>Port Arthur, TX</t>
  </si>
  <si>
    <t>Roswell, NM</t>
  </si>
  <si>
    <t>San Angelo, TX</t>
  </si>
  <si>
    <t>San Antonio, TX</t>
  </si>
  <si>
    <t>Shreveport, LA</t>
  </si>
  <si>
    <t>Victoria, TX</t>
  </si>
  <si>
    <t>Waco, TX</t>
  </si>
  <si>
    <t>Wichita Falls, TX</t>
  </si>
  <si>
    <t>Orange = From: AP 42-7, Draft updated 06/18.</t>
  </si>
  <si>
    <t>Red = Not a Texas source.</t>
  </si>
  <si>
    <t>AVERAGE CLINGAGE FACTORS</t>
  </si>
  <si>
    <t>Product</t>
  </si>
  <si>
    <t>Light Rust</t>
  </si>
  <si>
    <t>Dense Rust</t>
  </si>
  <si>
    <t>Gunite Lining</t>
  </si>
  <si>
    <t>Gasoline</t>
  </si>
  <si>
    <t>Single-component stocks</t>
  </si>
  <si>
    <t>Crude oil</t>
  </si>
  <si>
    <t>Deck Seam Length Factors (Sd) For Typical Deck Constructions For Internal Floating Roof Tanks</t>
  </si>
  <si>
    <t>Deck Construction</t>
  </si>
  <si>
    <t>Size</t>
  </si>
  <si>
    <t>Typical Deck Seam Length Factor Sd</t>
  </si>
  <si>
    <t>Continuous sheet construction</t>
  </si>
  <si>
    <t>5 ft wide</t>
  </si>
  <si>
    <t>6 ft wide</t>
  </si>
  <si>
    <t>7 ft wide</t>
  </si>
  <si>
    <t>Panel construction</t>
  </si>
  <si>
    <t>5 x 7.5 ft rect.</t>
  </si>
  <si>
    <t>5 x 12 ft rect.</t>
  </si>
  <si>
    <t>Antoine's Equation</t>
  </si>
  <si>
    <r>
      <t>Clingage Factors (bbl/10</t>
    </r>
    <r>
      <rPr>
        <b/>
        <vertAlign val="superscript"/>
        <sz val="10"/>
        <color theme="1"/>
        <rFont val="Arial"/>
        <family val="2"/>
      </rPr>
      <t>3</t>
    </r>
    <r>
      <rPr>
        <b/>
        <sz val="10"/>
        <color theme="1"/>
        <rFont val="Arial"/>
        <family val="2"/>
      </rPr>
      <t xml:space="preserve"> ft</t>
    </r>
    <r>
      <rPr>
        <b/>
        <vertAlign val="superscript"/>
        <sz val="10"/>
        <color theme="1"/>
        <rFont val="Arial"/>
        <family val="2"/>
      </rPr>
      <t>2</t>
    </r>
    <r>
      <rPr>
        <b/>
        <sz val="10"/>
        <color theme="1"/>
        <rFont val="Arial"/>
        <family val="2"/>
      </rPr>
      <t>)</t>
    </r>
  </si>
  <si>
    <t>Name</t>
  </si>
  <si>
    <t>Molecular Weight</t>
  </si>
  <si>
    <t>Liquid Density</t>
  </si>
  <si>
    <t>True Vapor Pressure at 60°F</t>
  </si>
  <si>
    <t>A (dimensionless)</t>
  </si>
  <si>
    <t>B (°C)</t>
  </si>
  <si>
    <t>C (°C)</t>
  </si>
  <si>
    <t>Min Temp (°F)</t>
  </si>
  <si>
    <t>Max Temp (°F)</t>
  </si>
  <si>
    <t>Normal Boiling Point (°F)</t>
  </si>
  <si>
    <t>Reid Vapor Pressure (psi)</t>
  </si>
  <si>
    <t xml:space="preserve">ASTM-D86 Distillation Slope At 10 Volume Percent Evaporated, (EF/vol%) </t>
  </si>
  <si>
    <t>1,1,1-Trichloroethane</t>
  </si>
  <si>
    <t>1,1-dichloro ethene</t>
  </si>
  <si>
    <t>1,1-Dichloroethane</t>
  </si>
  <si>
    <t>1,1-dimethyl ethanol</t>
  </si>
  <si>
    <t>1,2 dichloroethene</t>
  </si>
  <si>
    <t>1,2 propanediol</t>
  </si>
  <si>
    <t>1,2-Dichloroethane</t>
  </si>
  <si>
    <t>1,2-dimethyl benzene</t>
  </si>
  <si>
    <t>1,3-dimethyl benzene</t>
  </si>
  <si>
    <t>1,4-dimethyl benzene</t>
  </si>
  <si>
    <t>1,4-Dioxane</t>
  </si>
  <si>
    <t>1-chloro-2methylbenzene</t>
  </si>
  <si>
    <t>1-chloro-butane</t>
  </si>
  <si>
    <t>1-propanamine</t>
  </si>
  <si>
    <t>2,2,4-trimethyl pentane (isooctane)</t>
  </si>
  <si>
    <t>2-butanone</t>
  </si>
  <si>
    <t>2-chloro-1,3-butadiene</t>
  </si>
  <si>
    <t>2-furancarboxaldehyde</t>
  </si>
  <si>
    <t>2-methyl 1,3-butadiene</t>
  </si>
  <si>
    <t>2-methyl 1-propanol</t>
  </si>
  <si>
    <t>2-methyl 2-butene</t>
  </si>
  <si>
    <t>2-methyl 2-propenenitrile</t>
  </si>
  <si>
    <t>2-methyl butane</t>
  </si>
  <si>
    <t>2-methyl-phenol</t>
  </si>
  <si>
    <t>2-propenenitrile</t>
  </si>
  <si>
    <t>2-propenoic acid</t>
  </si>
  <si>
    <t>3-chloro-1-propene</t>
  </si>
  <si>
    <t>3-methyl pyridine</t>
  </si>
  <si>
    <t>3-methyl-phenol</t>
  </si>
  <si>
    <t>4-methyl-phenol</t>
  </si>
  <si>
    <t>Acetaldehyde</t>
  </si>
  <si>
    <t>Acetic acid</t>
  </si>
  <si>
    <t>Acetic acid anhydride</t>
  </si>
  <si>
    <t>acetic acid ethenyl ester</t>
  </si>
  <si>
    <t>Acetic anhydride</t>
  </si>
  <si>
    <t>Acetone</t>
  </si>
  <si>
    <t>Acetonitrile</t>
  </si>
  <si>
    <t>Acrylamide</t>
  </si>
  <si>
    <t>Acrylic acid</t>
  </si>
  <si>
    <t>Acrylonitrile</t>
  </si>
  <si>
    <t>Allyl alcohol</t>
  </si>
  <si>
    <t>Allyl chloride</t>
  </si>
  <si>
    <t>Ammonium hydroxide (28.8% solution)</t>
  </si>
  <si>
    <t>Aniline</t>
  </si>
  <si>
    <t>Aviation gasoline</t>
  </si>
  <si>
    <t>Benz[a]anthracene</t>
  </si>
  <si>
    <t>Benzene</t>
  </si>
  <si>
    <t>benzo[a]phenanthrene</t>
  </si>
  <si>
    <t>Benzo[a]pyrene</t>
  </si>
  <si>
    <t>Benzo[ghi]perylene</t>
  </si>
  <si>
    <t>Biphenyl</t>
  </si>
  <si>
    <t>Butadiene (1,3)</t>
  </si>
  <si>
    <t>Butane (n)</t>
  </si>
  <si>
    <t>butanol (1)</t>
  </si>
  <si>
    <t>Butanol (iso)</t>
  </si>
  <si>
    <t>Butanol-(1)</t>
  </si>
  <si>
    <t>Butene (1)</t>
  </si>
  <si>
    <t>Butene (2-methyl-1)</t>
  </si>
  <si>
    <t>Butene (cis-2)</t>
  </si>
  <si>
    <t>Butene (trans-2)</t>
  </si>
  <si>
    <t>Butyl alcohol (n)</t>
  </si>
  <si>
    <t>Butyl alcohol (tert)</t>
  </si>
  <si>
    <t>Butyl chloride (-n)</t>
  </si>
  <si>
    <t>Butyl ether (di-tert)</t>
  </si>
  <si>
    <t>Carbon disulfide</t>
  </si>
  <si>
    <t>Carbon tetrachloride</t>
  </si>
  <si>
    <t>Chlorobenzene</t>
  </si>
  <si>
    <t>Chlorobutane (2)</t>
  </si>
  <si>
    <t>Chloroform</t>
  </si>
  <si>
    <t>Chloromethyl oxirane</t>
  </si>
  <si>
    <t>Chlorotoluene (o)</t>
  </si>
  <si>
    <t>chlorotrimethylsilane</t>
  </si>
  <si>
    <t>Chrysene</t>
  </si>
  <si>
    <t>cis-1,2- Dichloro- ethylene</t>
  </si>
  <si>
    <t>Cresol (m)</t>
  </si>
  <si>
    <t>Cresol (o)</t>
  </si>
  <si>
    <t>Cresol (p)</t>
  </si>
  <si>
    <t>Crude oil RVP 5</t>
  </si>
  <si>
    <t>Cumene</t>
  </si>
  <si>
    <t>Cyclohexane</t>
  </si>
  <si>
    <t>Cyclohexanol</t>
  </si>
  <si>
    <t>Cyclohexanone</t>
  </si>
  <si>
    <t>Cyclohexene</t>
  </si>
  <si>
    <t>Cyclopentane</t>
  </si>
  <si>
    <t>Cyclopentanone</t>
  </si>
  <si>
    <t>Cyclopentene</t>
  </si>
  <si>
    <t>Decane (-n)</t>
  </si>
  <si>
    <t>Dibromopropane (1,2)</t>
  </si>
  <si>
    <t>Dibromopropane (1,3)</t>
  </si>
  <si>
    <t>Dichloroethane (1,1)</t>
  </si>
  <si>
    <t>Dichloroethane (1,2)</t>
  </si>
  <si>
    <t>Dichloroethane(1,2)</t>
  </si>
  <si>
    <t>Dichloroethylene (1,2)</t>
  </si>
  <si>
    <t>Dichloroethylene (trans-1,2)</t>
  </si>
  <si>
    <t>Dichloroethylene(1,2)</t>
  </si>
  <si>
    <t>Dichlorotoluene (3,4)</t>
  </si>
  <si>
    <t>Diethoxyethane (1,1)</t>
  </si>
  <si>
    <t>Diethoxymethane</t>
  </si>
  <si>
    <t>Diethyl (N,N) anilin</t>
  </si>
  <si>
    <t>Diethyl (n,n) aniline</t>
  </si>
  <si>
    <t>Diethyl ether</t>
  </si>
  <si>
    <t>Diethyl ketone</t>
  </si>
  <si>
    <t>Diethyl sulfide</t>
  </si>
  <si>
    <t>Diethylamine</t>
  </si>
  <si>
    <t>Diethylbenzene (1,2)</t>
  </si>
  <si>
    <t>Diethylbenzene (1,3)</t>
  </si>
  <si>
    <t>Diethylbenzene (1,4)</t>
  </si>
  <si>
    <t>Di-isopropyl ether</t>
  </si>
  <si>
    <t>Dimethoxyethane (1,2)</t>
  </si>
  <si>
    <t>Dimethyl formamide</t>
  </si>
  <si>
    <t>Dimethyl formamide (n,n)</t>
  </si>
  <si>
    <t>Dimethyl hydrazine (1,1)</t>
  </si>
  <si>
    <t>Dimethyl phthalate</t>
  </si>
  <si>
    <t>Dimethylbutane (2,3)</t>
  </si>
  <si>
    <t>Dimethylcyclopentane (1,1)</t>
  </si>
  <si>
    <t>Dimethylpentane (2,2)</t>
  </si>
  <si>
    <t>Dimethylpentane (2,3)</t>
  </si>
  <si>
    <t>Dimethylpentane (2,4)</t>
  </si>
  <si>
    <t>Dimethylpentane (3,3)</t>
  </si>
  <si>
    <t>Dinitrobenzene</t>
  </si>
  <si>
    <t>Di-n-propyl ether</t>
  </si>
  <si>
    <t>Dioxane (1,4)</t>
  </si>
  <si>
    <t>Dioxane(1,4)</t>
  </si>
  <si>
    <t>Dipropyl ether</t>
  </si>
  <si>
    <t>Distillate fuel oil No. 2</t>
  </si>
  <si>
    <t>Divinyl</t>
  </si>
  <si>
    <t>Dodecane (n)</t>
  </si>
  <si>
    <t>Epichlorohydrin</t>
  </si>
  <si>
    <t>Ethane</t>
  </si>
  <si>
    <t>Ethanol</t>
  </si>
  <si>
    <t>Ethanolamine (mono)</t>
  </si>
  <si>
    <t>Ethanolamine(mono-)</t>
  </si>
  <si>
    <t>Ethene</t>
  </si>
  <si>
    <t>Ethyl acetate</t>
  </si>
  <si>
    <t>Ethyl acrylate</t>
  </si>
  <si>
    <t>Ethyl alcohol</t>
  </si>
  <si>
    <t>Ethyl benzene</t>
  </si>
  <si>
    <t>Ethyl chloride</t>
  </si>
  <si>
    <t>Ethyl ester 2-propenoic acid</t>
  </si>
  <si>
    <t>Ethyl ether</t>
  </si>
  <si>
    <t>Ethylamine</t>
  </si>
  <si>
    <t>Ethylbenzene</t>
  </si>
  <si>
    <t>Ethylcyclopentane</t>
  </si>
  <si>
    <t>Ethylene</t>
  </si>
  <si>
    <t>Ethyleneoxide</t>
  </si>
  <si>
    <t>Ethylpentane (3)</t>
  </si>
  <si>
    <t>Fluoranthene</t>
  </si>
  <si>
    <t>Fluorobenzene</t>
  </si>
  <si>
    <t>Formic acid</t>
  </si>
  <si>
    <t>Freon 11</t>
  </si>
  <si>
    <t>Furan</t>
  </si>
  <si>
    <t>Furfural</t>
  </si>
  <si>
    <t>Gasoline RVP 10</t>
  </si>
  <si>
    <t>Gasoline RVP 11.5</t>
  </si>
  <si>
    <t>Gasoline RVP 13</t>
  </si>
  <si>
    <t>Gasoline RVP 13.5</t>
  </si>
  <si>
    <t>Gasoline RVP 15</t>
  </si>
  <si>
    <t>Gasoline RVP 7</t>
  </si>
  <si>
    <t>Gasoline RVP 7.8</t>
  </si>
  <si>
    <t>Gasoline RVP 8.3</t>
  </si>
  <si>
    <t>Heneicosane (n)</t>
  </si>
  <si>
    <t>Heptane (n)</t>
  </si>
  <si>
    <t>Heptane(iso)</t>
  </si>
  <si>
    <t>Heptene (1)</t>
  </si>
  <si>
    <t>Hexadiene (1,5)</t>
  </si>
  <si>
    <t>Hexane (n)</t>
  </si>
  <si>
    <t>Hexanol (1)</t>
  </si>
  <si>
    <t>Hexene (1)</t>
  </si>
  <si>
    <t>Hydrocyanic acid</t>
  </si>
  <si>
    <t>Hydrogen cyanide</t>
  </si>
  <si>
    <t>Isobutane</t>
  </si>
  <si>
    <t>Isobutene</t>
  </si>
  <si>
    <t>Isobutyl alcohol</t>
  </si>
  <si>
    <t>Isooctane</t>
  </si>
  <si>
    <t>Isopentane</t>
  </si>
  <si>
    <t>Isopentene</t>
  </si>
  <si>
    <t>Isoprene</t>
  </si>
  <si>
    <t>Isopropanol</t>
  </si>
  <si>
    <t>Isopropyl alcohol</t>
  </si>
  <si>
    <t>Isopropyl benzene</t>
  </si>
  <si>
    <t>Isopropylbenzene (1-methyl-2)</t>
  </si>
  <si>
    <t>Jet kerosene</t>
  </si>
  <si>
    <t>Jet naphtha (JP-4)</t>
  </si>
  <si>
    <t>Light naptha</t>
  </si>
  <si>
    <t>Methacrylonitrile</t>
  </si>
  <si>
    <t>Methane</t>
  </si>
  <si>
    <t>Methanol</t>
  </si>
  <si>
    <t>Methyl acetate</t>
  </si>
  <si>
    <t>Methyl acrylate</t>
  </si>
  <si>
    <t>Methyl alcohol</t>
  </si>
  <si>
    <t>Methyl ester 2-propenoic acid</t>
  </si>
  <si>
    <t>Methyl ester acetic acid</t>
  </si>
  <si>
    <t>Methyl ethyl ketone</t>
  </si>
  <si>
    <t>Methyl isobutyl ketone</t>
  </si>
  <si>
    <t>Methyl methacrylate</t>
  </si>
  <si>
    <t>Methyl propyl ether</t>
  </si>
  <si>
    <t>Methyl styrene (alpha)</t>
  </si>
  <si>
    <t>Methylcyclohexane</t>
  </si>
  <si>
    <t>Methylcyclopentane</t>
  </si>
  <si>
    <t>Methyldichlorosilane</t>
  </si>
  <si>
    <t>Methylene chloride</t>
  </si>
  <si>
    <t>Methylhexane (2)</t>
  </si>
  <si>
    <t>Methylhexane (3)</t>
  </si>
  <si>
    <t>Methylpentane (2)</t>
  </si>
  <si>
    <t>Methylpropane (2)</t>
  </si>
  <si>
    <t>Methylpropene (2)</t>
  </si>
  <si>
    <t>Methyl-tert-butyl ether</t>
  </si>
  <si>
    <t>Morpholine</t>
  </si>
  <si>
    <t>Motor Gasoline</t>
  </si>
  <si>
    <t>MTBE</t>
  </si>
  <si>
    <t>n -Butyl chloride</t>
  </si>
  <si>
    <t>N,N-diethylbenzenamine</t>
  </si>
  <si>
    <t>Naphthalene</t>
  </si>
  <si>
    <t>Naptha</t>
  </si>
  <si>
    <t>N-ethyl ethanamine</t>
  </si>
  <si>
    <t>n-Heptane</t>
  </si>
  <si>
    <t>n-Hexane</t>
  </si>
  <si>
    <t>Nitrobenzene</t>
  </si>
  <si>
    <t>Nitromethane</t>
  </si>
  <si>
    <t>No. 2 Fuel Oil (Diesel)</t>
  </si>
  <si>
    <t>No. 6 Fuel Oil</t>
  </si>
  <si>
    <t>Nonadecane (n)</t>
  </si>
  <si>
    <t>Nonane (n)</t>
  </si>
  <si>
    <t>n-Pentane</t>
  </si>
  <si>
    <t>n-Propylamine</t>
  </si>
  <si>
    <t>Octadecane (n)</t>
  </si>
  <si>
    <t>Octane (n)</t>
  </si>
  <si>
    <t>Octanol (1)</t>
  </si>
  <si>
    <t>Octene (1)</t>
  </si>
  <si>
    <t>Pentachloroethane</t>
  </si>
  <si>
    <t>Pentadiene (1,2)</t>
  </si>
  <si>
    <t>Pentadiene (1,4)</t>
  </si>
  <si>
    <t>Pentadiene (2,3)</t>
  </si>
  <si>
    <t>Pentane (n)</t>
  </si>
  <si>
    <t>Pentene (1)</t>
  </si>
  <si>
    <t>Pentyne (1)</t>
  </si>
  <si>
    <t>Phenanthrene</t>
  </si>
  <si>
    <t>Phenol</t>
  </si>
  <si>
    <t>Phosgene</t>
  </si>
  <si>
    <t>Picoline (3)</t>
  </si>
  <si>
    <t>Picoline(-2)</t>
  </si>
  <si>
    <t>Propane</t>
  </si>
  <si>
    <t>Propanethiol (1)</t>
  </si>
  <si>
    <t>Propanethiol (2)</t>
  </si>
  <si>
    <t>propanol (1)</t>
  </si>
  <si>
    <t>Propanol (iso)</t>
  </si>
  <si>
    <t>Propene</t>
  </si>
  <si>
    <t>Propyl alcohol (n)</t>
  </si>
  <si>
    <t>propyl ester nitric acid</t>
  </si>
  <si>
    <t>Propyl nitrate (n)</t>
  </si>
  <si>
    <t>Propylamine (n)</t>
  </si>
  <si>
    <t>Propylene</t>
  </si>
  <si>
    <t>Propylene glycol</t>
  </si>
  <si>
    <t>Propylene glycol (1,2)</t>
  </si>
  <si>
    <t>Propylene oxide</t>
  </si>
  <si>
    <t>Pyridine</t>
  </si>
  <si>
    <t>Residual oil No. 6</t>
  </si>
  <si>
    <t>Resorcinol</t>
  </si>
  <si>
    <t>Styrene</t>
  </si>
  <si>
    <t>tert -Butyl alcoholv</t>
  </si>
  <si>
    <t>Tetrachloroethane (1,1,1,2)</t>
  </si>
  <si>
    <t>Tetrachloroethane (1,1,2,2)</t>
  </si>
  <si>
    <t>Tetrachloroethane(1,1,1,2)</t>
  </si>
  <si>
    <t>Tetrachloroethane(1,1,2,2)</t>
  </si>
  <si>
    <t>Tetrachloroethylene</t>
  </si>
  <si>
    <t>Tetrahydrofuran</t>
  </si>
  <si>
    <t>Toluene</t>
  </si>
  <si>
    <t>trans-1,2-Dichloro- ethylene</t>
  </si>
  <si>
    <t>Trichloro(1,1,2)trifluoroethane</t>
  </si>
  <si>
    <t>Trichloroethane (1,1,1)</t>
  </si>
  <si>
    <t>Trichloroethane (1,1,2)</t>
  </si>
  <si>
    <t>Trichloroethane(1,1,2)</t>
  </si>
  <si>
    <t>Trichloroethylene</t>
  </si>
  <si>
    <t>Trichlorofluoromethane</t>
  </si>
  <si>
    <t>Trichloropropane (1,2,3)</t>
  </si>
  <si>
    <t>Trichloropropane(1,2,3)</t>
  </si>
  <si>
    <t>Tridecane (n)</t>
  </si>
  <si>
    <t>Trifluoroethane (1,1,2-trichloro-1,2,2)</t>
  </si>
  <si>
    <t>Trimethylbenzene (1,2,4)</t>
  </si>
  <si>
    <t>Trimethylchlorosilane</t>
  </si>
  <si>
    <t>Trimethylpentane (2,2,3)</t>
  </si>
  <si>
    <t>Trimethylpentane (2,3,3)</t>
  </si>
  <si>
    <t>Trimethylpentane (2,3,4)</t>
  </si>
  <si>
    <t>Undecane (n)</t>
  </si>
  <si>
    <t>Vinyl acetate</t>
  </si>
  <si>
    <t>Vinylidene chloride</t>
  </si>
  <si>
    <t>Xylene (m)</t>
  </si>
  <si>
    <t>Xylene (o)</t>
  </si>
  <si>
    <t>Xylene (p)</t>
  </si>
  <si>
    <t>Solves for</t>
  </si>
  <si>
    <t>atmospheric pressure</t>
  </si>
  <si>
    <t>Variables</t>
  </si>
  <si>
    <t>Liquid 1</t>
  </si>
  <si>
    <t>Liquid 2</t>
  </si>
  <si>
    <t>Liquid 3</t>
  </si>
  <si>
    <t>Liquid 4</t>
  </si>
  <si>
    <t>Liquid 5</t>
  </si>
  <si>
    <t>Liquid 6</t>
  </si>
  <si>
    <t>Liquid 7</t>
  </si>
  <si>
    <t>Liquid 8</t>
  </si>
  <si>
    <t>Liquid 9</t>
  </si>
  <si>
    <t>Liquid 10</t>
  </si>
  <si>
    <t>Liquid 11</t>
  </si>
  <si>
    <t>Liquid 12</t>
  </si>
  <si>
    <t>Liquid 13</t>
  </si>
  <si>
    <t>Liquid 14</t>
  </si>
  <si>
    <t>Liquid 15</t>
  </si>
  <si>
    <t>working loss product factor</t>
  </si>
  <si>
    <t>Chemical</t>
  </si>
  <si>
    <t>diameter</t>
  </si>
  <si>
    <t>Crude?</t>
  </si>
  <si>
    <t>diameter of vertical cross-section of horizontal tank</t>
  </si>
  <si>
    <t>Weight Fraction in Mixture</t>
  </si>
  <si>
    <t>length of horizontal tank</t>
  </si>
  <si>
    <t>effective diameter</t>
  </si>
  <si>
    <t>Density Helper (Wt Frac/Liquid Density)</t>
  </si>
  <si>
    <t>effective height (horizontal)</t>
  </si>
  <si>
    <t>Working Loss Product Factor</t>
  </si>
  <si>
    <t>tank shell height</t>
  </si>
  <si>
    <t>Vapor Molecular Weight</t>
  </si>
  <si>
    <t>maximum liquid height</t>
  </si>
  <si>
    <t>Moles per 1,000 lbs (liquid)</t>
  </si>
  <si>
    <t>minimum liquid height</t>
  </si>
  <si>
    <t>Vapor Pressure (daily average liquid surface temperature)</t>
  </si>
  <si>
    <t>average liquid height</t>
  </si>
  <si>
    <t>Vapor Pressure (daily maximum liquid surface temperature)</t>
  </si>
  <si>
    <t>Vapor Pressure (daily minimum liquid surface temperature)</t>
  </si>
  <si>
    <t>number of turnovers per year</t>
  </si>
  <si>
    <t>Vapor Pressure Constant A</t>
  </si>
  <si>
    <t>annual net throughput (gal/yr)</t>
  </si>
  <si>
    <t>Vapor Pressure Constant B</t>
  </si>
  <si>
    <t>annual net throughput (bbl/yr)</t>
  </si>
  <si>
    <t>Vapor Pressure Constant C</t>
  </si>
  <si>
    <t>Reid Vapor Pressure</t>
  </si>
  <si>
    <t>Pva (from RVP)</t>
  </si>
  <si>
    <t>Liquid Mole Fraction</t>
  </si>
  <si>
    <t>working loss turnover factor</t>
  </si>
  <si>
    <t>Partial Pressure [psia]</t>
  </si>
  <si>
    <t>tank shell paint solar absorptance</t>
  </si>
  <si>
    <t>Vapor Mole Fraction</t>
  </si>
  <si>
    <t>tank roof paint solar absorptance</t>
  </si>
  <si>
    <t>Pounds of Vapor</t>
  </si>
  <si>
    <t>tank paint solar absorptance</t>
  </si>
  <si>
    <t>Vapor Weight Fraction</t>
  </si>
  <si>
    <t>daily total solar insolation</t>
  </si>
  <si>
    <t>Molecular Weight of Vapor</t>
  </si>
  <si>
    <t>daily maximum ambient temperature °F</t>
  </si>
  <si>
    <t>Maximum Pressure [psia]</t>
  </si>
  <si>
    <t>daily maximum ambient temperature °R</t>
  </si>
  <si>
    <t>Minimum Pressure [psia]</t>
  </si>
  <si>
    <t>daily minimum ambient temperature °F</t>
  </si>
  <si>
    <t>daily minimum ambient temperature °R</t>
  </si>
  <si>
    <t>daily ambient temperature range</t>
  </si>
  <si>
    <t>daily average ambient temperature °F</t>
  </si>
  <si>
    <t>Internal Floating RoofFull liquid heel</t>
  </si>
  <si>
    <t>daily average ambient temperature °R</t>
  </si>
  <si>
    <t>Internal Floating RoofPartial liquid heel</t>
  </si>
  <si>
    <t>liquid bulk temperature °F</t>
  </si>
  <si>
    <t>External Floating RoofFull liquid heel</t>
  </si>
  <si>
    <t>liquid bulk temperature °R</t>
  </si>
  <si>
    <t>External Floating RoofPartial liquid heel</t>
  </si>
  <si>
    <t>maximum liquid temperature °F</t>
  </si>
  <si>
    <t>Domed/Covered External Floating RoofFull liquid heel</t>
  </si>
  <si>
    <t>maximum liquid temperature °R</t>
  </si>
  <si>
    <t>Domed/Covered External Floating RoofPartial liquid heel</t>
  </si>
  <si>
    <t>maximum liquid temperature °C</t>
  </si>
  <si>
    <t>minimum liquid temperature °F</t>
  </si>
  <si>
    <t>minimum liquid temperature °R</t>
  </si>
  <si>
    <t>minimum liquid temperature °C</t>
  </si>
  <si>
    <t>daily average liquid surface temperature °F</t>
  </si>
  <si>
    <t>daily average liquid surface temperature °R</t>
  </si>
  <si>
    <t>daily average liquid surface temperature °C</t>
  </si>
  <si>
    <t>breather vent pressure setting</t>
  </si>
  <si>
    <t>breather vent vacuum setting</t>
  </si>
  <si>
    <t>breather vent pressure setting range</t>
  </si>
  <si>
    <t>daily vapor pressure range</t>
  </si>
  <si>
    <t>daily vapor temperature °F</t>
  </si>
  <si>
    <t>daily vapor temperature °R</t>
  </si>
  <si>
    <t>daily vapor temperature range</t>
  </si>
  <si>
    <t>True vapor pressure</t>
  </si>
  <si>
    <t>Control factor (1-Control Efficiency)</t>
  </si>
  <si>
    <t>tank CONE roof slope</t>
  </si>
  <si>
    <t>tank DOME roof radius</t>
  </si>
  <si>
    <t>tank shell radius</t>
  </si>
  <si>
    <t>tank roof height</t>
  </si>
  <si>
    <t>liquid height</t>
  </si>
  <si>
    <t>roof outage</t>
  </si>
  <si>
    <t>vapor space outage</t>
  </si>
  <si>
    <t>Vapor Space Volume (Vv)</t>
  </si>
  <si>
    <t>average liquid density</t>
  </si>
  <si>
    <t>vapor density (Wv)</t>
  </si>
  <si>
    <t>average molecular weight (Mv)</t>
  </si>
  <si>
    <t>vented vapor saturation factor</t>
  </si>
  <si>
    <t>Vapor space expansion factor</t>
  </si>
  <si>
    <t>PI: Pressure of the vapor space at normal operating conditions</t>
  </si>
  <si>
    <t>vent setting correction factor</t>
  </si>
  <si>
    <t>Standing Storage Losses</t>
  </si>
  <si>
    <t>Working Losses</t>
  </si>
  <si>
    <t>Total Losses</t>
  </si>
  <si>
    <t>Tight or Average</t>
  </si>
  <si>
    <t>zero-wind-speed rim seal loss factor (KRa)</t>
  </si>
  <si>
    <t>wind-speed dependent rim seal loss factor (KRb)</t>
  </si>
  <si>
    <t>seal-related wind speed exponent (n)</t>
  </si>
  <si>
    <t>average ambient wind speed at the tank site (v)</t>
  </si>
  <si>
    <t>vapor pressure function (P*)</t>
  </si>
  <si>
    <t>PV/RT - Filling Losses</t>
  </si>
  <si>
    <r>
      <t>shell clingage factor C</t>
    </r>
    <r>
      <rPr>
        <vertAlign val="subscript"/>
        <sz val="10"/>
        <color theme="1"/>
        <rFont val="Arial"/>
        <family val="2"/>
      </rPr>
      <t>S</t>
    </r>
  </si>
  <si>
    <t>Type of liquid drain</t>
  </si>
  <si>
    <t>frequency of landing episodes</t>
  </si>
  <si>
    <t>vapor pressure function (P*) for LANDING</t>
  </si>
  <si>
    <t>area of the tank bottom</t>
  </si>
  <si>
    <t>Clingage loss constraint (Lsl-max')</t>
  </si>
  <si>
    <t>filling saturation factor (S)</t>
  </si>
  <si>
    <t>filling saturation correction factor for wind (C-sf)</t>
  </si>
  <si>
    <t>constraint on the filling loss (LFL-max)</t>
  </si>
  <si>
    <t>Rim Seal Loss (LR)</t>
  </si>
  <si>
    <t>Deck Fitting Loss (LF)</t>
  </si>
  <si>
    <t>Deck Seam Loss (LD)</t>
  </si>
  <si>
    <t>Standing Losses (LS)</t>
  </si>
  <si>
    <t>Standing Idle Losses During Roof Landing (LSL)</t>
  </si>
  <si>
    <t>Clingage Loss from Drain-Dry Tank (LC)</t>
  </si>
  <si>
    <t>Filling Losses During Roof Landing (LFL)</t>
  </si>
  <si>
    <t>Total Losses During Roof Landing (LTL)</t>
  </si>
  <si>
    <t>Number of cleaning events/yr</t>
  </si>
  <si>
    <t>stock vapor molecular weight (MV)</t>
  </si>
  <si>
    <t>true vapor pressure of the exposed volatile material in the tank (PVA)</t>
  </si>
  <si>
    <t>average temperature of the vapor space (TV) or TAA</t>
  </si>
  <si>
    <t>vapor space volume (VV)</t>
  </si>
  <si>
    <t>PV/RT - Cleaning Losses</t>
  </si>
  <si>
    <t>height of the stock liquid and sludge above the tank bottom at the tank shell (hl)</t>
  </si>
  <si>
    <t>number of days between turnover (nd)</t>
  </si>
  <si>
    <t>Other purges per year</t>
  </si>
  <si>
    <t>Saturation factor (S)</t>
  </si>
  <si>
    <t>Average LEL</t>
  </si>
  <si>
    <t>LEL of calibration gas</t>
  </si>
  <si>
    <t>Response factor (RF)</t>
  </si>
  <si>
    <t>average vapor concentration by volume during continued forced ventilation (CV)</t>
  </si>
  <si>
    <t>average ventilation rate during forced ventilation (Qv)</t>
  </si>
  <si>
    <t>duration of continued forced ventilation (nCV)</t>
  </si>
  <si>
    <t>daily period of forced ventilation (tv)</t>
  </si>
  <si>
    <t>calibration gas molecular weight (MCG)</t>
  </si>
  <si>
    <t>effective height of the stock liquid/sludge for the given stage of continued forced ventilation (hle)</t>
  </si>
  <si>
    <t>fraction of the sludge with potential to evaporate once all the free-standing liquid had been vacuumed (or drained) out (Fe)</t>
  </si>
  <si>
    <t>average depth of sludge (ds)</t>
  </si>
  <si>
    <t>duration of continued forced ventilation (nCV) - DRAINED</t>
  </si>
  <si>
    <t>daily period of forced ventilation (tv) - DRAINED</t>
  </si>
  <si>
    <t>Upper limit on LCV</t>
  </si>
  <si>
    <t>Limit on LCV once free-standing liquid has been vacuumed or drained</t>
  </si>
  <si>
    <t>LCV Low Level</t>
  </si>
  <si>
    <t>LCV Drained</t>
  </si>
  <si>
    <t>GOR</t>
  </si>
  <si>
    <t>volume of scf/lb-mole (Lab GOR)</t>
  </si>
  <si>
    <t>molecular weight of the flash gas</t>
  </si>
  <si>
    <t>stock tank API Gravity</t>
  </si>
  <si>
    <t>seperator pressure (PS) psig</t>
  </si>
  <si>
    <t>seperator pressure (PS) psia</t>
  </si>
  <si>
    <t>seperator temperature (Ti) °F</t>
  </si>
  <si>
    <t>seperator temperature (Ti) °R</t>
  </si>
  <si>
    <t>seperator gas gravity (SGi)</t>
  </si>
  <si>
    <t>fraction of VOC in the stock tank gas</t>
  </si>
  <si>
    <t>dissolved gas gravity at 100 psig</t>
  </si>
  <si>
    <t>constant C1</t>
  </si>
  <si>
    <t>constant C2</t>
  </si>
  <si>
    <t>constant C3</t>
  </si>
  <si>
    <t>Gas/Oil Ratio (Rs)</t>
  </si>
  <si>
    <t>volume of scf/lb-mole (V-B Equation)</t>
  </si>
  <si>
    <t>total amount of hydrocarbons (THC)</t>
  </si>
  <si>
    <t>TOTAL Emissions from Flashing</t>
  </si>
  <si>
    <t>volume of liquid pumped into the system (throughput, V1)</t>
  </si>
  <si>
    <t>volume expansion capacity of the system (V2)</t>
  </si>
  <si>
    <t>number of transfers into system (N2)</t>
  </si>
  <si>
    <t>variable vapor space filling loss Lv - lb/1,000 gal</t>
  </si>
  <si>
    <t>variable vapor space filling loss Lv - lb/yr</t>
  </si>
  <si>
    <r>
      <t xml:space="preserve">Input Parameters
</t>
    </r>
    <r>
      <rPr>
        <sz val="11"/>
        <color theme="1"/>
        <rFont val="Arial"/>
        <family val="2"/>
      </rPr>
      <t>Enter the given information in the "Response" column. The row will be optional if the value in the "Calculated Value" column is correct.</t>
    </r>
  </si>
  <si>
    <t>Question</t>
  </si>
  <si>
    <t>Calculated Value</t>
  </si>
  <si>
    <t>Response</t>
  </si>
  <si>
    <t>Unit</t>
  </si>
  <si>
    <t>[No units]</t>
  </si>
  <si>
    <r>
      <t xml:space="preserve">What type of roof does this tank have? </t>
    </r>
    <r>
      <rPr>
        <i/>
        <sz val="11"/>
        <color theme="1"/>
        <rFont val="Arial"/>
        <family val="2"/>
      </rPr>
      <t>Select or enter "Fixed" or "Floating" from the drop-down menu.</t>
    </r>
  </si>
  <si>
    <t>Enter the city (or nearest city to) where the site is located:</t>
  </si>
  <si>
    <t>Select the nearest city and state from the drop-down menu. This will fill in appropriate meteorological data for the region. If this field is left blank, meteorological data must be entered manually in the "Input Parameters" section.</t>
  </si>
  <si>
    <t>Select the chemical name from the drop-down. If the chemical name is not in the list, enter the chemical name in the cell.</t>
  </si>
  <si>
    <r>
      <t xml:space="preserve">Is this chemical a crude petroleum product? </t>
    </r>
    <r>
      <rPr>
        <i/>
        <sz val="11"/>
        <color theme="1"/>
        <rFont val="Arial"/>
        <family val="2"/>
      </rPr>
      <t>Select yes or no.</t>
    </r>
  </si>
  <si>
    <t>Weight Fraction in Mixture:</t>
  </si>
  <si>
    <t>Liquid Density (Calculated): [lb/gal]</t>
  </si>
  <si>
    <t>Liquid Density (Actual): [lb/gal]</t>
  </si>
  <si>
    <t>Working Loss Product Factor (Calculated):</t>
  </si>
  <si>
    <t>Working Loss Product Factor (Actual):</t>
  </si>
  <si>
    <t>Constituent Molecular Weight (Calculated):</t>
  </si>
  <si>
    <t>Constituent Molecular Weight (Actual):</t>
  </si>
  <si>
    <t>Enter the atmospheric pressure for the nearest city, if necessary:</t>
  </si>
  <si>
    <r>
      <t xml:space="preserve">Is the tank welded or riveted? </t>
    </r>
    <r>
      <rPr>
        <i/>
        <sz val="11"/>
        <color theme="1"/>
        <rFont val="Arial"/>
        <family val="2"/>
      </rPr>
      <t>Select or answer from the drop-down menu:</t>
    </r>
  </si>
  <si>
    <r>
      <t>Enter the working loss product factor (K</t>
    </r>
    <r>
      <rPr>
        <vertAlign val="subscript"/>
        <sz val="11"/>
        <color theme="1"/>
        <rFont val="Arial"/>
        <family val="2"/>
      </rPr>
      <t>C</t>
    </r>
    <r>
      <rPr>
        <sz val="11"/>
        <color theme="1"/>
        <rFont val="Arial"/>
        <family val="2"/>
      </rPr>
      <t>), if necessary:</t>
    </r>
  </si>
  <si>
    <t>Is the tank vertical or horizontal?</t>
  </si>
  <si>
    <t>If the tank is vertical, enter the diameter (D) of the tank:</t>
  </si>
  <si>
    <t>ft</t>
  </si>
  <si>
    <t>If the tank is horizontal, is the storage tank underground?</t>
  </si>
  <si>
    <t>If the tank is horizontal, what is the diameter of the vertical cross-section?</t>
  </si>
  <si>
    <t>If the tank is horizontal, what is the length of the tank?</t>
  </si>
  <si>
    <r>
      <t>Enter the effective diameter (D</t>
    </r>
    <r>
      <rPr>
        <vertAlign val="subscript"/>
        <sz val="11"/>
        <color theme="1"/>
        <rFont val="Arial"/>
        <family val="2"/>
      </rPr>
      <t>E</t>
    </r>
    <r>
      <rPr>
        <sz val="11"/>
        <color theme="1"/>
        <rFont val="Arial"/>
        <family val="2"/>
      </rPr>
      <t>), if necessary:</t>
    </r>
  </si>
  <si>
    <r>
      <t>If the tank is horizontal, enter the effective height (h</t>
    </r>
    <r>
      <rPr>
        <vertAlign val="subscript"/>
        <sz val="11"/>
        <color theme="1"/>
        <rFont val="Arial"/>
        <family val="2"/>
      </rPr>
      <t>E</t>
    </r>
    <r>
      <rPr>
        <sz val="11"/>
        <color theme="1"/>
        <rFont val="Arial"/>
        <family val="2"/>
      </rPr>
      <t>), if necessary:</t>
    </r>
  </si>
  <si>
    <t>Enter the tank shell height:</t>
  </si>
  <si>
    <t>Enter the maximum liquid height:</t>
  </si>
  <si>
    <t>Enter the minimum liquid height:</t>
  </si>
  <si>
    <t>Enter the average liquid height:</t>
  </si>
  <si>
    <t>Enter the volume (V) of the tank:</t>
  </si>
  <si>
    <t>Gal</t>
  </si>
  <si>
    <r>
      <t>Is the annual sum of the increases and decreases in liquid (ΣH</t>
    </r>
    <r>
      <rPr>
        <vertAlign val="subscript"/>
        <sz val="11"/>
        <color theme="1"/>
        <rFont val="Arial"/>
        <family val="2"/>
      </rPr>
      <t>QI</t>
    </r>
    <r>
      <rPr>
        <sz val="11"/>
        <color theme="1"/>
        <rFont val="Arial"/>
        <family val="2"/>
      </rPr>
      <t xml:space="preserve"> and ΣH</t>
    </r>
    <r>
      <rPr>
        <vertAlign val="subscript"/>
        <sz val="11"/>
        <color theme="1"/>
        <rFont val="Arial"/>
        <family val="2"/>
      </rPr>
      <t>QD</t>
    </r>
    <r>
      <rPr>
        <sz val="11"/>
        <color theme="1"/>
        <rFont val="Arial"/>
        <family val="2"/>
      </rPr>
      <t xml:space="preserve">) known? </t>
    </r>
    <r>
      <rPr>
        <i/>
        <sz val="11"/>
        <color theme="1"/>
        <rFont val="Arial"/>
        <family val="2"/>
      </rPr>
      <t>Select or enter "Yes" or "No".</t>
    </r>
  </si>
  <si>
    <r>
      <t xml:space="preserve">Is liquid pumped in at the same time as it is pumped out? </t>
    </r>
    <r>
      <rPr>
        <i/>
        <sz val="11"/>
        <color theme="1"/>
        <rFont val="Arial"/>
        <family val="2"/>
      </rPr>
      <t>Select or enter "Yes" or "No".</t>
    </r>
  </si>
  <si>
    <r>
      <t>Enter the annual sum of the increases in liquid (ΣH</t>
    </r>
    <r>
      <rPr>
        <vertAlign val="subscript"/>
        <sz val="11"/>
        <color theme="1"/>
        <rFont val="Arial"/>
        <family val="2"/>
      </rPr>
      <t>QI</t>
    </r>
    <r>
      <rPr>
        <sz val="11"/>
        <color theme="1"/>
        <rFont val="Arial"/>
        <family val="2"/>
      </rPr>
      <t>), if necessary:</t>
    </r>
  </si>
  <si>
    <t>ft/yr</t>
  </si>
  <si>
    <r>
      <t>Enter the annual sum of the decreases in liquid (ΣH</t>
    </r>
    <r>
      <rPr>
        <vertAlign val="subscript"/>
        <sz val="11"/>
        <color theme="1"/>
        <rFont val="Arial"/>
        <family val="2"/>
      </rPr>
      <t>QD</t>
    </r>
    <r>
      <rPr>
        <sz val="11"/>
        <color theme="1"/>
        <rFont val="Arial"/>
        <family val="2"/>
      </rPr>
      <t>), if necessary:</t>
    </r>
  </si>
  <si>
    <t>Enter the number of turnovers per year:</t>
  </si>
  <si>
    <r>
      <t>year</t>
    </r>
    <r>
      <rPr>
        <vertAlign val="superscript"/>
        <sz val="11"/>
        <color theme="1"/>
        <rFont val="Arial"/>
        <family val="2"/>
      </rPr>
      <t>-1</t>
    </r>
  </si>
  <si>
    <t>Enter the annual net throughput (Q):</t>
  </si>
  <si>
    <t>Gal/yr</t>
  </si>
  <si>
    <t>bbl/yr</t>
  </si>
  <si>
    <r>
      <t>Enter the net working loss throughput (V</t>
    </r>
    <r>
      <rPr>
        <vertAlign val="subscript"/>
        <sz val="11"/>
        <color theme="1"/>
        <rFont val="Arial"/>
        <family val="2"/>
      </rPr>
      <t>Q</t>
    </r>
    <r>
      <rPr>
        <sz val="11"/>
        <color theme="1"/>
        <rFont val="Arial"/>
        <family val="2"/>
      </rPr>
      <t>), if necessary:</t>
    </r>
  </si>
  <si>
    <r>
      <t>ft</t>
    </r>
    <r>
      <rPr>
        <vertAlign val="superscript"/>
        <sz val="11"/>
        <color theme="1"/>
        <rFont val="Arial"/>
        <family val="2"/>
      </rPr>
      <t>3</t>
    </r>
  </si>
  <si>
    <t>Enter the working loss turnover factor, if necessary:</t>
  </si>
  <si>
    <r>
      <t xml:space="preserve">What color is the paint on the shell? </t>
    </r>
    <r>
      <rPr>
        <i/>
        <sz val="11"/>
        <color theme="1"/>
        <rFont val="Arial"/>
        <family val="2"/>
      </rPr>
      <t>Select color from drop-down menu.</t>
    </r>
  </si>
  <si>
    <r>
      <t xml:space="preserve">What condition is the paint on the shell? </t>
    </r>
    <r>
      <rPr>
        <i/>
        <sz val="11"/>
        <color theme="1"/>
        <rFont val="Arial"/>
        <family val="2"/>
      </rPr>
      <t>Select New, Average, or Aged.</t>
    </r>
  </si>
  <si>
    <r>
      <t xml:space="preserve">What color is the paint on the roof? </t>
    </r>
    <r>
      <rPr>
        <i/>
        <sz val="11"/>
        <color theme="1"/>
        <rFont val="Arial"/>
        <family val="2"/>
      </rPr>
      <t>Select color from drop-down menu.</t>
    </r>
  </si>
  <si>
    <r>
      <t xml:space="preserve">What condition is the paint on the roof? </t>
    </r>
    <r>
      <rPr>
        <i/>
        <sz val="11"/>
        <color theme="1"/>
        <rFont val="Arial"/>
        <family val="2"/>
      </rPr>
      <t>Select New, Average, or Aged.</t>
    </r>
  </si>
  <si>
    <t>If the roof is cone-shaped, enter the tank's roof slope, if necessary:</t>
  </si>
  <si>
    <t>ft/ft</t>
  </si>
  <si>
    <t>If the roof is dome-shaped, enter the tank's roof radius, if necessary:</t>
  </si>
  <si>
    <t>Enter the tank shell radius, if necessary:</t>
  </si>
  <si>
    <t>Enter the tank roof height, if necessary:</t>
  </si>
  <si>
    <t>Enter the roof outage, if necessary:</t>
  </si>
  <si>
    <t>Enter the vapor space outage, if necessary:</t>
  </si>
  <si>
    <t>Enter the vapor space volume, if necessary:</t>
  </si>
  <si>
    <t>Are the shell plates and roof airtight?</t>
  </si>
  <si>
    <r>
      <t xml:space="preserve">If the tank is a floating roof tank, what type of deck is used? </t>
    </r>
    <r>
      <rPr>
        <i/>
        <sz val="11"/>
        <color theme="1"/>
        <rFont val="Arial"/>
        <family val="2"/>
      </rPr>
      <t>Select or enter from the drop down menu "Steel Pontoon", "Steel Double Deck", or "Other".</t>
    </r>
  </si>
  <si>
    <r>
      <t xml:space="preserve">If the tank is a floating roof tank, does this tank have an Internal Floating Roof, External Floating Roof, or a Domed/Covered External Floating Roof? </t>
    </r>
    <r>
      <rPr>
        <i/>
        <sz val="11"/>
        <color theme="1"/>
        <rFont val="Arial"/>
        <family val="2"/>
      </rPr>
      <t>Select or enter from the drop-down menu.</t>
    </r>
  </si>
  <si>
    <r>
      <t xml:space="preserve">Is the tank fully insulated? </t>
    </r>
    <r>
      <rPr>
        <i/>
        <sz val="11"/>
        <color theme="1"/>
        <rFont val="Arial"/>
        <family val="2"/>
      </rPr>
      <t>Select from the dropdown "Not Insulated", "Partially Insulated", or "Fully Insulated".</t>
    </r>
  </si>
  <si>
    <t>Enter tank shell paint solar absorptance, if needed.</t>
  </si>
  <si>
    <t>Enter tank roof paint solar absorptance, if needed.</t>
  </si>
  <si>
    <t>Enter tank solar absorptance, if needed.</t>
  </si>
  <si>
    <t>Enter the daily total solar insolation, if necessary:</t>
  </si>
  <si>
    <r>
      <t>Btu/ft</t>
    </r>
    <r>
      <rPr>
        <vertAlign val="superscript"/>
        <sz val="11"/>
        <color theme="1"/>
        <rFont val="Arial"/>
        <family val="2"/>
      </rPr>
      <t>2</t>
    </r>
    <r>
      <rPr>
        <sz val="11"/>
        <color theme="1"/>
        <rFont val="Arial"/>
        <family val="2"/>
      </rPr>
      <t xml:space="preserve"> x d</t>
    </r>
  </si>
  <si>
    <t>Enter the average daily maximum ambient temperature, if necessary:</t>
  </si>
  <si>
    <t>°F</t>
  </si>
  <si>
    <t>°R</t>
  </si>
  <si>
    <t>Enter the average daily minimum ambient temperature, if necessary:</t>
  </si>
  <si>
    <t>Enter the average daily ambient temperature, if necessary:</t>
  </si>
  <si>
    <t>Enter the average daily ambient temperature range, if necessary:</t>
  </si>
  <si>
    <t>°F or °R</t>
  </si>
  <si>
    <t>Enter the liquid bulk temperature, if necessary:</t>
  </si>
  <si>
    <t>Enter the average daily vapor temperature (Tv), if necessary:</t>
  </si>
  <si>
    <t>Enter the average daily vapor temperature range, if necessary:</t>
  </si>
  <si>
    <t>Enter the average daily liquid surface temperature, if necessary:</t>
  </si>
  <si>
    <t>Enter the average daily minimum liquid temperature, if necessary:</t>
  </si>
  <si>
    <t>Enter the average daily maximum liquid temperature, if necessary:</t>
  </si>
  <si>
    <t>Vapor Pressure Constant A (Calculated):</t>
  </si>
  <si>
    <t>Vapor Pressure Constant A (Actual):</t>
  </si>
  <si>
    <t>Vapor Pressure Constant B (Calculated):</t>
  </si>
  <si>
    <t>Vapor Pressure Constant B (Actual):</t>
  </si>
  <si>
    <t>Vapor Pressure Constant C (Calculated):</t>
  </si>
  <si>
    <t>Vapor Pressure Constant C (Actual):</t>
  </si>
  <si>
    <t>Reid Vapor Pressure, if Vapor Pressure Constant C is not given (Calculated):</t>
  </si>
  <si>
    <t>Reid Vapor Pressure, if Vapor Pressure Constant C is not given (Actual):</t>
  </si>
  <si>
    <t>Vapor Pressure at average daily liquid surface temperature (Calculated):</t>
  </si>
  <si>
    <t>Vapor Pressure at average daily liquid surface temperature (Actual):</t>
  </si>
  <si>
    <t>Vapor Pressure at average daily maximum liquid surface temperature (Calculated):</t>
  </si>
  <si>
    <t>Vapor Pressure at average daily maximum liquid surface temperature (Actual):</t>
  </si>
  <si>
    <t>Vapor Pressure at average daily minimum liquid surface temperature (Calculated):</t>
  </si>
  <si>
    <t>Vapor Pressure at average daily minimum liquid surface temperature (Actual):</t>
  </si>
  <si>
    <t>Molecular Weight of Vapor [lb/lb-mole]</t>
  </si>
  <si>
    <t>Enter the breather vent pressure setting:</t>
  </si>
  <si>
    <t>psig</t>
  </si>
  <si>
    <t>Enter the breather vent vacuum setting:</t>
  </si>
  <si>
    <t>Enter the breather vent pressure setting range, if necessary:</t>
  </si>
  <si>
    <t>Enter the average daily vapor pressure range, if necessary:</t>
  </si>
  <si>
    <t>Enter true vapor pressure, if necessary:</t>
  </si>
  <si>
    <t>If this tank has a special vapor control efficiency, select or enter the method or technology (e.g. Flare, TO, VCU, etc.).</t>
  </si>
  <si>
    <t>If this tank has a special vapor control efficiency, enter the control efficiency as a decimal (e.g. 0.905 for 90.5%).</t>
  </si>
  <si>
    <r>
      <t xml:space="preserve">Fixed Roof Tanks Only:
</t>
    </r>
    <r>
      <rPr>
        <sz val="11"/>
        <color theme="1"/>
        <rFont val="Arial"/>
        <family val="2"/>
      </rPr>
      <t>Enter the given information in the "Response" column. The row will be optional if the value in the "Calculated Value" column is correct.</t>
    </r>
  </si>
  <si>
    <r>
      <t>Enter average organic liquid density (W</t>
    </r>
    <r>
      <rPr>
        <vertAlign val="subscript"/>
        <sz val="11"/>
        <color theme="1"/>
        <rFont val="Arial"/>
        <family val="2"/>
      </rPr>
      <t>L</t>
    </r>
    <r>
      <rPr>
        <sz val="11"/>
        <color theme="1"/>
        <rFont val="Arial"/>
        <family val="2"/>
      </rPr>
      <t>):</t>
    </r>
  </si>
  <si>
    <t>lb/gal</t>
  </si>
  <si>
    <r>
      <t>Enter the vapor density (W</t>
    </r>
    <r>
      <rPr>
        <vertAlign val="subscript"/>
        <sz val="11"/>
        <color theme="1"/>
        <rFont val="Arial"/>
        <family val="2"/>
      </rPr>
      <t>V</t>
    </r>
    <r>
      <rPr>
        <sz val="11"/>
        <color theme="1"/>
        <rFont val="Arial"/>
        <family val="2"/>
      </rPr>
      <t>), if necessary:</t>
    </r>
  </si>
  <si>
    <r>
      <t>lb/ft</t>
    </r>
    <r>
      <rPr>
        <vertAlign val="superscript"/>
        <sz val="11"/>
        <color theme="1"/>
        <rFont val="Arial"/>
        <family val="2"/>
      </rPr>
      <t>3</t>
    </r>
  </si>
  <si>
    <r>
      <t>Enter the average molecular weight (M</t>
    </r>
    <r>
      <rPr>
        <vertAlign val="subscript"/>
        <sz val="11"/>
        <color theme="1"/>
        <rFont val="Arial"/>
        <family val="2"/>
      </rPr>
      <t>V</t>
    </r>
    <r>
      <rPr>
        <sz val="11"/>
        <color theme="1"/>
        <rFont val="Arial"/>
        <family val="2"/>
      </rPr>
      <t>), if necessary:</t>
    </r>
  </si>
  <si>
    <t>lb/lb-mole</t>
  </si>
  <si>
    <r>
      <t>Enter the vented vapor saturation factor (K</t>
    </r>
    <r>
      <rPr>
        <vertAlign val="subscript"/>
        <sz val="11"/>
        <color theme="1"/>
        <rFont val="Arial"/>
        <family val="2"/>
      </rPr>
      <t>S</t>
    </r>
    <r>
      <rPr>
        <sz val="11"/>
        <color theme="1"/>
        <rFont val="Arial"/>
        <family val="2"/>
      </rPr>
      <t>), if necessary:</t>
    </r>
  </si>
  <si>
    <r>
      <t>Enter the vapor space expansion factor (K</t>
    </r>
    <r>
      <rPr>
        <vertAlign val="subscript"/>
        <sz val="11"/>
        <color theme="1"/>
        <rFont val="Arial"/>
        <family val="2"/>
      </rPr>
      <t>E</t>
    </r>
    <r>
      <rPr>
        <sz val="11"/>
        <color theme="1"/>
        <rFont val="Arial"/>
        <family val="2"/>
      </rPr>
      <t>), if necessary:</t>
    </r>
  </si>
  <si>
    <r>
      <t>day</t>
    </r>
    <r>
      <rPr>
        <vertAlign val="superscript"/>
        <sz val="11"/>
        <color theme="1"/>
        <rFont val="Arial"/>
        <family val="2"/>
      </rPr>
      <t>-1</t>
    </r>
  </si>
  <si>
    <t>Enter the pressure of the vapor space at normal operating conditions, if not held at atmospheric pressure:</t>
  </si>
  <si>
    <t>Enter the vent setting correction factor, if necessary:</t>
  </si>
  <si>
    <r>
      <t>Floating Roof Tanks Only:</t>
    </r>
    <r>
      <rPr>
        <sz val="11"/>
        <color theme="1"/>
        <rFont val="Arial"/>
        <family val="2"/>
      </rPr>
      <t xml:space="preserve">
Enter the given information in the "Response" column. The row will be optional if the value in the "Calculated Value" column is correct.</t>
    </r>
  </si>
  <si>
    <r>
      <t xml:space="preserve">What rim-seal system is in use? </t>
    </r>
    <r>
      <rPr>
        <i/>
        <sz val="11"/>
        <color theme="1"/>
        <rFont val="Arial"/>
        <family val="2"/>
      </rPr>
      <t>Select or enter from drop-down menu:</t>
    </r>
  </si>
  <si>
    <r>
      <t xml:space="preserve">What subsystem is in use (e.g. "Primary only", "Shoe-Mounted Secondary", "Weather Shield", or "Rim-Mounted Secondary") </t>
    </r>
    <r>
      <rPr>
        <i/>
        <sz val="11"/>
        <color theme="1"/>
        <rFont val="Arial"/>
        <family val="2"/>
      </rPr>
      <t>Select or enter from drop-down menu:</t>
    </r>
  </si>
  <si>
    <t>lb-mole/ft-yr</t>
  </si>
  <si>
    <r>
      <t>lb-mole/(mph)</t>
    </r>
    <r>
      <rPr>
        <vertAlign val="superscript"/>
        <sz val="11"/>
        <color theme="1"/>
        <rFont val="Arial"/>
        <family val="2"/>
      </rPr>
      <t>n</t>
    </r>
    <r>
      <rPr>
        <sz val="11"/>
        <color theme="1"/>
        <rFont val="Arial"/>
        <family val="2"/>
      </rPr>
      <t>-ft-yr</t>
    </r>
  </si>
  <si>
    <t>Enter the seal-related wind speed exponent (n), if necessary:</t>
  </si>
  <si>
    <t>Enter the average ambient wind speed at the tank site (v), if necessary:</t>
  </si>
  <si>
    <t>mph</t>
  </si>
  <si>
    <t>Enter the result of the vapor pressure function (P*), if necessary:</t>
  </si>
  <si>
    <t>Select or enter the shell condition (e.g. "Light Rust", "Dense Rust", or "Gunite Lining"):</t>
  </si>
  <si>
    <r>
      <t>Enter shell clingage factor C</t>
    </r>
    <r>
      <rPr>
        <vertAlign val="subscript"/>
        <sz val="11"/>
        <color theme="1"/>
        <rFont val="Arial"/>
        <family val="2"/>
      </rPr>
      <t>S</t>
    </r>
    <r>
      <rPr>
        <sz val="11"/>
        <color theme="1"/>
        <rFont val="Arial"/>
        <family val="2"/>
      </rPr>
      <t>, if necessary:</t>
    </r>
  </si>
  <si>
    <r>
      <t>bbl/1,000 ft</t>
    </r>
    <r>
      <rPr>
        <vertAlign val="superscript"/>
        <sz val="11"/>
        <color theme="1"/>
        <rFont val="Arial"/>
        <family val="2"/>
      </rPr>
      <t>2</t>
    </r>
  </si>
  <si>
    <r>
      <t>Enter the number of fixed roof support columns (N</t>
    </r>
    <r>
      <rPr>
        <vertAlign val="subscript"/>
        <sz val="11"/>
        <color theme="1"/>
        <rFont val="Arial"/>
        <family val="2"/>
      </rPr>
      <t>C</t>
    </r>
    <r>
      <rPr>
        <sz val="11"/>
        <color theme="1"/>
        <rFont val="Arial"/>
        <family val="2"/>
      </rPr>
      <t>), if necessary. For a self-supporting external floating roof tank, enter 0. For a column-supported fixed roof, use tank-specific information.</t>
    </r>
  </si>
  <si>
    <r>
      <t>Enter the tank-specific column diameter (F</t>
    </r>
    <r>
      <rPr>
        <vertAlign val="subscript"/>
        <sz val="11"/>
        <color theme="1"/>
        <rFont val="Arial"/>
        <family val="2"/>
      </rPr>
      <t>C</t>
    </r>
    <r>
      <rPr>
        <sz val="11"/>
        <color theme="1"/>
        <rFont val="Arial"/>
        <family val="2"/>
      </rPr>
      <t>), if known.</t>
    </r>
  </si>
  <si>
    <r>
      <t xml:space="preserve">Deck Fittings (Floating Roof Tanks Only):
</t>
    </r>
    <r>
      <rPr>
        <sz val="11"/>
        <color theme="1"/>
        <rFont val="Arial"/>
        <family val="2"/>
      </rPr>
      <t xml:space="preserve">
Enter the types of fittings (e.g. "Vacuum breaker" or "Access hatch (24-inch diameter well)"). Enter the construction details (e.g. "Weighted mechanical actuation, gasketed" or "Unbolted cover, ungasketed"). If those details only apply to a few of those fitting types, begin a new row for each unique fitting type. Enter the quantity of those fittings. If using a factor different than the one displayed under the "Calculated" columns, enter your factor under the "Corrected" column. NOTE: If the value inputted into the "Corrected" column is significantly different than an expected value, an explanation may be required during the Technical Review.</t>
    </r>
  </si>
  <si>
    <t>Construction Details</t>
  </si>
  <si>
    <t>Number of Fittings</t>
  </si>
  <si>
    <r>
      <t>Calculated Zero Wind Speed Loss Factor (K</t>
    </r>
    <r>
      <rPr>
        <b/>
        <vertAlign val="subscript"/>
        <sz val="11"/>
        <color theme="1"/>
        <rFont val="Arial"/>
        <family val="2"/>
      </rPr>
      <t>Fai</t>
    </r>
    <r>
      <rPr>
        <b/>
        <sz val="11"/>
        <color theme="1"/>
        <rFont val="Arial"/>
        <family val="2"/>
      </rPr>
      <t>) 
[lb-mole/yr]</t>
    </r>
  </si>
  <si>
    <r>
      <t>Corrected Zero Wind Speed Loss Factor (K</t>
    </r>
    <r>
      <rPr>
        <b/>
        <vertAlign val="subscript"/>
        <sz val="11"/>
        <color theme="1"/>
        <rFont val="Arial"/>
        <family val="2"/>
      </rPr>
      <t>Fai</t>
    </r>
    <r>
      <rPr>
        <b/>
        <sz val="11"/>
        <color theme="1"/>
        <rFont val="Arial"/>
        <family val="2"/>
      </rPr>
      <t>) 
[lb-mole/yr]</t>
    </r>
  </si>
  <si>
    <r>
      <t>Calculated Wind Speed Dependent Loss Factor (K</t>
    </r>
    <r>
      <rPr>
        <b/>
        <vertAlign val="subscript"/>
        <sz val="11"/>
        <color theme="1"/>
        <rFont val="Arial"/>
        <family val="2"/>
      </rPr>
      <t>Fbi</t>
    </r>
    <r>
      <rPr>
        <b/>
        <sz val="11"/>
        <color theme="1"/>
        <rFont val="Arial"/>
        <family val="2"/>
      </rPr>
      <t>) 
[lb-mole/yr]</t>
    </r>
  </si>
  <si>
    <r>
      <t>Corrected Wind Speed Dependent Loss Factor (K</t>
    </r>
    <r>
      <rPr>
        <b/>
        <vertAlign val="subscript"/>
        <sz val="11"/>
        <color theme="1"/>
        <rFont val="Arial"/>
        <family val="2"/>
      </rPr>
      <t>Fbi</t>
    </r>
    <r>
      <rPr>
        <b/>
        <sz val="11"/>
        <color theme="1"/>
        <rFont val="Arial"/>
        <family val="2"/>
      </rPr>
      <t>) 
[lb-mole/yr]</t>
    </r>
  </si>
  <si>
    <r>
      <t>Calculated Loss Factor (m</t>
    </r>
    <r>
      <rPr>
        <b/>
        <vertAlign val="subscript"/>
        <sz val="11"/>
        <color theme="1"/>
        <rFont val="Arial"/>
        <family val="2"/>
      </rPr>
      <t>i</t>
    </r>
    <r>
      <rPr>
        <b/>
        <sz val="11"/>
        <color theme="1"/>
        <rFont val="Arial"/>
        <family val="2"/>
      </rPr>
      <t>) 
[lb-mole/yr]</t>
    </r>
  </si>
  <si>
    <r>
      <t>Corrected Loss Factor (m</t>
    </r>
    <r>
      <rPr>
        <b/>
        <vertAlign val="subscript"/>
        <sz val="11"/>
        <color theme="1"/>
        <rFont val="Arial"/>
        <family val="2"/>
      </rPr>
      <t>i</t>
    </r>
    <r>
      <rPr>
        <b/>
        <sz val="11"/>
        <color theme="1"/>
        <rFont val="Arial"/>
        <family val="2"/>
      </rPr>
      <t>) 
[lb-mole/yr]</t>
    </r>
  </si>
  <si>
    <r>
      <t>Cumulative Deck Fitting Loss 
Factor (F</t>
    </r>
    <r>
      <rPr>
        <b/>
        <vertAlign val="subscript"/>
        <sz val="11"/>
        <color theme="1"/>
        <rFont val="Arial"/>
        <family val="2"/>
      </rPr>
      <t>Fi</t>
    </r>
    <r>
      <rPr>
        <b/>
        <sz val="11"/>
        <color theme="1"/>
        <rFont val="Arial"/>
        <family val="2"/>
      </rPr>
      <t>) 
[lb-mole/yr]</t>
    </r>
  </si>
  <si>
    <r>
      <t>Total Deck Fitting Loss Factor (F</t>
    </r>
    <r>
      <rPr>
        <b/>
        <vertAlign val="subscript"/>
        <sz val="11"/>
        <color theme="1"/>
        <rFont val="Arial"/>
        <family val="2"/>
      </rPr>
      <t>F</t>
    </r>
    <r>
      <rPr>
        <b/>
        <sz val="11"/>
        <color theme="1"/>
        <rFont val="Arial"/>
        <family val="2"/>
      </rPr>
      <t>)</t>
    </r>
  </si>
  <si>
    <t>No data</t>
  </si>
  <si>
    <r>
      <t>Enter deck fitting loss factor (F</t>
    </r>
    <r>
      <rPr>
        <vertAlign val="subscript"/>
        <sz val="11"/>
        <color theme="1"/>
        <rFont val="Arial"/>
        <family val="2"/>
      </rPr>
      <t>F</t>
    </r>
    <r>
      <rPr>
        <sz val="11"/>
        <color theme="1"/>
        <rFont val="Arial"/>
        <family val="2"/>
      </rPr>
      <t>), if necessary:</t>
    </r>
  </si>
  <si>
    <t>lb-mole/yr</t>
  </si>
  <si>
    <r>
      <t xml:space="preserve">Is the deck seam welded? </t>
    </r>
    <r>
      <rPr>
        <i/>
        <sz val="11"/>
        <color theme="1"/>
        <rFont val="Arial"/>
        <family val="2"/>
      </rPr>
      <t>Select or enter "Yes" or "No".</t>
    </r>
  </si>
  <si>
    <r>
      <t>Enter the area of the deck (A</t>
    </r>
    <r>
      <rPr>
        <vertAlign val="subscript"/>
        <sz val="11"/>
        <color theme="1"/>
        <rFont val="Arial"/>
        <family val="2"/>
      </rPr>
      <t>deck</t>
    </r>
    <r>
      <rPr>
        <sz val="11"/>
        <color theme="1"/>
        <rFont val="Arial"/>
        <family val="2"/>
      </rPr>
      <t>), if necessary:</t>
    </r>
  </si>
  <si>
    <r>
      <t>ft</t>
    </r>
    <r>
      <rPr>
        <vertAlign val="superscript"/>
        <sz val="11"/>
        <color theme="1"/>
        <rFont val="Arial"/>
        <family val="2"/>
      </rPr>
      <t>2</t>
    </r>
  </si>
  <si>
    <r>
      <t>Enter the total length of the deck seams (L</t>
    </r>
    <r>
      <rPr>
        <vertAlign val="subscript"/>
        <sz val="11"/>
        <color theme="1"/>
        <rFont val="Arial"/>
        <family val="2"/>
      </rPr>
      <t>seam</t>
    </r>
    <r>
      <rPr>
        <sz val="11"/>
        <color theme="1"/>
        <rFont val="Arial"/>
        <family val="2"/>
      </rPr>
      <t>), if known:</t>
    </r>
  </si>
  <si>
    <t>If total length of deck seams is unknown, select or enter the type of deck seam construction (e.g. Continuous sheet construction, Panel construction):</t>
  </si>
  <si>
    <t>If total length of deck seams is unknown, select or enter average deck seam size:</t>
  </si>
  <si>
    <r>
      <t>Enter the deck seam length factor (S</t>
    </r>
    <r>
      <rPr>
        <vertAlign val="subscript"/>
        <sz val="11"/>
        <color theme="1"/>
        <rFont val="Arial"/>
        <family val="2"/>
      </rPr>
      <t>D</t>
    </r>
    <r>
      <rPr>
        <sz val="11"/>
        <color theme="1"/>
        <rFont val="Arial"/>
        <family val="2"/>
      </rPr>
      <t>), if necessary:</t>
    </r>
  </si>
  <si>
    <r>
      <t>ft/ft</t>
    </r>
    <r>
      <rPr>
        <vertAlign val="superscript"/>
        <sz val="11"/>
        <color theme="1"/>
        <rFont val="Arial"/>
        <family val="2"/>
      </rPr>
      <t>2</t>
    </r>
  </si>
  <si>
    <r>
      <t>Enter the deck seam loss per unit seam length factor (K</t>
    </r>
    <r>
      <rPr>
        <vertAlign val="subscript"/>
        <sz val="11"/>
        <color theme="1"/>
        <rFont val="Arial"/>
        <family val="2"/>
      </rPr>
      <t>D</t>
    </r>
    <r>
      <rPr>
        <sz val="11"/>
        <color theme="1"/>
        <rFont val="Arial"/>
        <family val="2"/>
      </rPr>
      <t>), if necessary:</t>
    </r>
  </si>
  <si>
    <r>
      <t>Enter the true vapor pressure of the stock liquid (P</t>
    </r>
    <r>
      <rPr>
        <vertAlign val="subscript"/>
        <sz val="11"/>
        <color theme="1"/>
        <rFont val="Arial"/>
        <family val="2"/>
      </rPr>
      <t>VA</t>
    </r>
    <r>
      <rPr>
        <sz val="11"/>
        <color theme="1"/>
        <rFont val="Arial"/>
        <family val="2"/>
      </rPr>
      <t>) at the temperature beneath the landed floating roof, if different than average ambient temperature:</t>
    </r>
  </si>
  <si>
    <r>
      <t>Enter the average vapor temperature (T</t>
    </r>
    <r>
      <rPr>
        <vertAlign val="subscript"/>
        <sz val="11"/>
        <color theme="1"/>
        <rFont val="Arial"/>
        <family val="2"/>
      </rPr>
      <t>V</t>
    </r>
    <r>
      <rPr>
        <sz val="11"/>
        <color theme="1"/>
        <rFont val="Arial"/>
        <family val="2"/>
      </rPr>
      <t>) at the temperature beneath the landed floating roof, if different than average ambient temperature:</t>
    </r>
  </si>
  <si>
    <r>
      <t>If a distillate material is added to decrease volatility during roof landing, enter the average molecular weight (M</t>
    </r>
    <r>
      <rPr>
        <vertAlign val="subscript"/>
        <sz val="11"/>
        <color theme="1"/>
        <rFont val="Arial"/>
        <family val="2"/>
      </rPr>
      <t>V</t>
    </r>
    <r>
      <rPr>
        <sz val="11"/>
        <color theme="1"/>
        <rFont val="Arial"/>
        <family val="2"/>
      </rPr>
      <t>') of the new mixture:</t>
    </r>
  </si>
  <si>
    <t>Enter the result of the vapor pressure function (P*) at the temperature beneath the landed floating roof, if necessary:</t>
  </si>
  <si>
    <t>Liquid "Heel" Only:</t>
  </si>
  <si>
    <r>
      <t>Enter the effective height (h</t>
    </r>
    <r>
      <rPr>
        <vertAlign val="subscript"/>
        <sz val="11"/>
        <color theme="1"/>
        <rFont val="Arial"/>
        <family val="2"/>
      </rPr>
      <t>le</t>
    </r>
    <r>
      <rPr>
        <sz val="11"/>
        <color theme="1"/>
        <rFont val="Arial"/>
        <family val="2"/>
      </rPr>
      <t>) of the stock liquid inside the tank:</t>
    </r>
  </si>
  <si>
    <t>Enter the frequency of landing episodes, if necessary:</t>
  </si>
  <si>
    <t>episodes/yr</t>
  </si>
  <si>
    <r>
      <t>If this is an internal floating roof tank, enter the vapor space expansion factor (K</t>
    </r>
    <r>
      <rPr>
        <vertAlign val="subscript"/>
        <sz val="11"/>
        <color theme="1"/>
        <rFont val="Arial"/>
        <family val="2"/>
      </rPr>
      <t>E</t>
    </r>
    <r>
      <rPr>
        <sz val="11"/>
        <color theme="1"/>
        <rFont val="Arial"/>
        <family val="2"/>
      </rPr>
      <t>), if necessary: Note that if a distillate material is used, a different vapor space expansion factor may apply.</t>
    </r>
  </si>
  <si>
    <r>
      <t>If this is an internal floating roof tank, enter the saturation factor (K</t>
    </r>
    <r>
      <rPr>
        <vertAlign val="subscript"/>
        <sz val="11"/>
        <color theme="1"/>
        <rFont val="Arial"/>
        <family val="2"/>
      </rPr>
      <t>S</t>
    </r>
    <r>
      <rPr>
        <sz val="11"/>
        <color theme="1"/>
        <rFont val="Arial"/>
        <family val="2"/>
      </rPr>
      <t>), if necessary:</t>
    </r>
  </si>
  <si>
    <r>
      <t>Enter the number of days that the tank stands idle (n</t>
    </r>
    <r>
      <rPr>
        <vertAlign val="subscript"/>
        <sz val="11"/>
        <color theme="1"/>
        <rFont val="Arial"/>
        <family val="2"/>
      </rPr>
      <t>d</t>
    </r>
    <r>
      <rPr>
        <sz val="11"/>
        <color theme="1"/>
        <rFont val="Arial"/>
        <family val="2"/>
      </rPr>
      <t>):</t>
    </r>
  </si>
  <si>
    <t>days</t>
  </si>
  <si>
    <t>All Floating Roof Tanks:</t>
  </si>
  <si>
    <t>If this is a drain-dry tank, enter the area of the tank bottom, if necessary:</t>
  </si>
  <si>
    <t>Enter the filling saturation factor (S), if necessary:</t>
  </si>
  <si>
    <r>
      <t>If this is an external floating roof tank, enter the filling saturation correction factor for wind (C</t>
    </r>
    <r>
      <rPr>
        <vertAlign val="subscript"/>
        <sz val="11"/>
        <color theme="1"/>
        <rFont val="Arial"/>
        <family val="2"/>
      </rPr>
      <t>sf</t>
    </r>
    <r>
      <rPr>
        <sz val="11"/>
        <color theme="1"/>
        <rFont val="Arial"/>
        <family val="2"/>
      </rPr>
      <t>), if necessary:</t>
    </r>
  </si>
  <si>
    <r>
      <t>If this is an external floating roof tank, enter the height of the vapor space under the floating roof (h</t>
    </r>
    <r>
      <rPr>
        <vertAlign val="subscript"/>
        <sz val="11"/>
        <color theme="1"/>
        <rFont val="Arial"/>
        <family val="2"/>
      </rPr>
      <t>v</t>
    </r>
    <r>
      <rPr>
        <sz val="11"/>
        <color theme="1"/>
        <rFont val="Arial"/>
        <family val="2"/>
      </rPr>
      <t>):</t>
    </r>
  </si>
  <si>
    <r>
      <t>Enter the volume of the vapor space (V</t>
    </r>
    <r>
      <rPr>
        <vertAlign val="subscript"/>
        <sz val="11"/>
        <color theme="1"/>
        <rFont val="Arial"/>
        <family val="2"/>
      </rPr>
      <t>V</t>
    </r>
    <r>
      <rPr>
        <sz val="11"/>
        <color theme="1"/>
        <rFont val="Arial"/>
        <family val="2"/>
      </rPr>
      <t>), if necessary:</t>
    </r>
  </si>
  <si>
    <r>
      <t>Tank Cleaning Emissions (All tanks):</t>
    </r>
    <r>
      <rPr>
        <sz val="11"/>
        <color theme="1"/>
        <rFont val="Arial"/>
        <family val="2"/>
      </rPr>
      <t xml:space="preserve">
Enter the given information in the "Response" column. The row will be optional if the value in the "Calculated Value" column is correct. Some values may have changed if a distillate material was used in the cleaning process.</t>
    </r>
  </si>
  <si>
    <t>How many times per year is this tank cleaned?</t>
  </si>
  <si>
    <r>
      <t>Enter the stock vapor molecular weight (M</t>
    </r>
    <r>
      <rPr>
        <vertAlign val="subscript"/>
        <sz val="11"/>
        <color theme="1"/>
        <rFont val="Arial"/>
        <family val="2"/>
      </rPr>
      <t>V</t>
    </r>
    <r>
      <rPr>
        <sz val="11"/>
        <color theme="1"/>
        <rFont val="Arial"/>
        <family val="2"/>
      </rPr>
      <t>), if necessary:</t>
    </r>
  </si>
  <si>
    <r>
      <t>Enter the true vapor pressure of the exposed volatile material in the tank (P</t>
    </r>
    <r>
      <rPr>
        <vertAlign val="subscript"/>
        <sz val="11"/>
        <color theme="1"/>
        <rFont val="Arial"/>
        <family val="2"/>
      </rPr>
      <t>VA</t>
    </r>
    <r>
      <rPr>
        <sz val="11"/>
        <color theme="1"/>
        <rFont val="Arial"/>
        <family val="2"/>
      </rPr>
      <t>), if necessary:</t>
    </r>
  </si>
  <si>
    <r>
      <t>Enter the average temperature of the vapor space (T</t>
    </r>
    <r>
      <rPr>
        <vertAlign val="subscript"/>
        <sz val="11"/>
        <color theme="1"/>
        <rFont val="Arial"/>
        <family val="2"/>
      </rPr>
      <t>V</t>
    </r>
    <r>
      <rPr>
        <sz val="11"/>
        <color theme="1"/>
        <rFont val="Arial"/>
        <family val="2"/>
      </rPr>
      <t>), if necessary:</t>
    </r>
  </si>
  <si>
    <r>
      <t>Enter the height of the stock liquid and sludge above the tank bottom at the tank shell (h</t>
    </r>
    <r>
      <rPr>
        <vertAlign val="subscript"/>
        <sz val="11"/>
        <color theme="1"/>
        <rFont val="Arial"/>
        <family val="2"/>
      </rPr>
      <t>l</t>
    </r>
    <r>
      <rPr>
        <sz val="11"/>
        <color theme="1"/>
        <rFont val="Arial"/>
        <family val="2"/>
      </rPr>
      <t>), if necessary:</t>
    </r>
  </si>
  <si>
    <r>
      <t>Enter the number of days between turnover (n</t>
    </r>
    <r>
      <rPr>
        <vertAlign val="subscript"/>
        <sz val="11"/>
        <color theme="1"/>
        <rFont val="Arial"/>
        <family val="2"/>
      </rPr>
      <t>d</t>
    </r>
    <r>
      <rPr>
        <sz val="11"/>
        <color theme="1"/>
        <rFont val="Arial"/>
        <family val="2"/>
      </rPr>
      <t>), if necessary:</t>
    </r>
  </si>
  <si>
    <t>Enter the saturation factor (S), if necessary:</t>
  </si>
  <si>
    <t>Enter the number of vapor space purges per year that follow a cessation of forces ventilation overnight, other than the initial vapor space purge:</t>
  </si>
  <si>
    <r>
      <t xml:space="preserve">How is the average vapor concentration measured? </t>
    </r>
    <r>
      <rPr>
        <i/>
        <sz val="11"/>
        <color theme="1"/>
        <rFont val="Arial"/>
        <family val="2"/>
      </rPr>
      <t>Select or enter a response from the drop-down menu.</t>
    </r>
  </si>
  <si>
    <t>If using a Lower Explosive Limit (LEL) reading, enter the average LEL, as displayed, as a decimal fraction:</t>
  </si>
  <si>
    <t>If using a Lower Explosive Limit (LEL) reading, enter the LEL of the calibration gas, as a decimal fraction:</t>
  </si>
  <si>
    <t>If using a Lower Explosive Limit (LEL) reading, enter the Response Factor (RF), if known:</t>
  </si>
  <si>
    <r>
      <t>Enter the average vapor concentration by volume during continued forced ventilation (C</t>
    </r>
    <r>
      <rPr>
        <vertAlign val="subscript"/>
        <sz val="11"/>
        <color theme="1"/>
        <rFont val="Arial"/>
        <family val="2"/>
      </rPr>
      <t>V</t>
    </r>
    <r>
      <rPr>
        <sz val="11"/>
        <color theme="1"/>
        <rFont val="Arial"/>
        <family val="2"/>
      </rPr>
      <t>), if known:</t>
    </r>
  </si>
  <si>
    <r>
      <t>Enter the average ventilation rate during forced ventilation (Q</t>
    </r>
    <r>
      <rPr>
        <vertAlign val="subscript"/>
        <sz val="11"/>
        <color theme="1"/>
        <rFont val="Arial"/>
        <family val="2"/>
      </rPr>
      <t>v</t>
    </r>
    <r>
      <rPr>
        <sz val="11"/>
        <color theme="1"/>
        <rFont val="Arial"/>
        <family val="2"/>
      </rPr>
      <t>):</t>
    </r>
  </si>
  <si>
    <r>
      <t>ft</t>
    </r>
    <r>
      <rPr>
        <vertAlign val="superscript"/>
        <sz val="11"/>
        <color theme="1"/>
        <rFont val="Arial"/>
        <family val="2"/>
      </rPr>
      <t>3</t>
    </r>
    <r>
      <rPr>
        <sz val="11"/>
        <color theme="1"/>
        <rFont val="Arial"/>
        <family val="2"/>
      </rPr>
      <t>/min</t>
    </r>
  </si>
  <si>
    <r>
      <t>Enter the duration of continued forced ventilation (n</t>
    </r>
    <r>
      <rPr>
        <vertAlign val="subscript"/>
        <sz val="11"/>
        <color theme="1"/>
        <rFont val="Arial"/>
        <family val="2"/>
      </rPr>
      <t>CV</t>
    </r>
    <r>
      <rPr>
        <sz val="11"/>
        <color theme="1"/>
        <rFont val="Arial"/>
        <family val="2"/>
      </rPr>
      <t>):</t>
    </r>
  </si>
  <si>
    <r>
      <t>Enter the daily period of forced ventilation (t</t>
    </r>
    <r>
      <rPr>
        <vertAlign val="subscript"/>
        <sz val="11"/>
        <color theme="1"/>
        <rFont val="Arial"/>
        <family val="2"/>
      </rPr>
      <t>v</t>
    </r>
    <r>
      <rPr>
        <sz val="11"/>
        <color theme="1"/>
        <rFont val="Arial"/>
        <family val="2"/>
      </rPr>
      <t>). Note: Do not include the initial time for the vapor space purge. It would be reasonable to neglect the first half hour from each stage of continued forced ventilation.</t>
    </r>
  </si>
  <si>
    <t>hr/day</t>
  </si>
  <si>
    <r>
      <t>Enter the calibration gas molecular weight (M</t>
    </r>
    <r>
      <rPr>
        <vertAlign val="subscript"/>
        <sz val="11"/>
        <color theme="1"/>
        <rFont val="Arial"/>
        <family val="2"/>
      </rPr>
      <t>CG</t>
    </r>
    <r>
      <rPr>
        <sz val="11"/>
        <color theme="1"/>
        <rFont val="Arial"/>
        <family val="2"/>
      </rPr>
      <t>):</t>
    </r>
  </si>
  <si>
    <r>
      <t>Enter the effective height of the stock liquid and sludge for the given stage of continued forced ventilation (h</t>
    </r>
    <r>
      <rPr>
        <vertAlign val="subscript"/>
        <sz val="11"/>
        <color theme="1"/>
        <rFont val="Arial"/>
        <family val="2"/>
      </rPr>
      <t>le</t>
    </r>
    <r>
      <rPr>
        <sz val="11"/>
        <color theme="1"/>
        <rFont val="Arial"/>
        <family val="2"/>
      </rPr>
      <t>):</t>
    </r>
  </si>
  <si>
    <r>
      <t>Enter the decimal fraction of the sludge with potential to evaporate once all the free-standing liquid had been vacuumed (or drained) out (F</t>
    </r>
    <r>
      <rPr>
        <vertAlign val="subscript"/>
        <sz val="11"/>
        <color theme="1"/>
        <rFont val="Arial"/>
        <family val="2"/>
      </rPr>
      <t>e</t>
    </r>
    <r>
      <rPr>
        <sz val="11"/>
        <color theme="1"/>
        <rFont val="Arial"/>
        <family val="2"/>
      </rPr>
      <t>):</t>
    </r>
  </si>
  <si>
    <r>
      <t>Enter the average depth of sludge once all the free-standing liquid had been vacuumed (or drained) out (d</t>
    </r>
    <r>
      <rPr>
        <vertAlign val="subscript"/>
        <sz val="11"/>
        <color theme="1"/>
        <rFont val="Arial"/>
        <family val="2"/>
      </rPr>
      <t>s</t>
    </r>
    <r>
      <rPr>
        <sz val="11"/>
        <color theme="1"/>
        <rFont val="Arial"/>
        <family val="2"/>
      </rPr>
      <t>):</t>
    </r>
  </si>
  <si>
    <r>
      <t>Flashing Loss (All tanks):</t>
    </r>
    <r>
      <rPr>
        <sz val="11"/>
        <color theme="1"/>
        <rFont val="Arial"/>
        <family val="2"/>
      </rPr>
      <t xml:space="preserve">
Enter the given information in the "Response" column. The row will be optional if the value in the "Calculated Value" column is correct.</t>
    </r>
  </si>
  <si>
    <t>Does this tank store a liquid with a possibility of undergoing flashing?</t>
  </si>
  <si>
    <t>[No Units]</t>
  </si>
  <si>
    <r>
      <t xml:space="preserve">What method of analyzing flashing was used? </t>
    </r>
    <r>
      <rPr>
        <i/>
        <sz val="11"/>
        <color theme="1"/>
        <rFont val="Arial"/>
        <family val="2"/>
      </rPr>
      <t>Select or enter a method from the drop-down menu:</t>
    </r>
  </si>
  <si>
    <t>If using the Laboratory Gas-Oil Ratio (GOR) method, enter the GOR:</t>
  </si>
  <si>
    <t>scf/bbl</t>
  </si>
  <si>
    <t>If using the Laboratory Gas-Oil Ratio (GOR) method, enter the volume of gas at given pressure and temperature, if necessary. The default value 1/379.48 scf/lb-mole is at Standard Conditions.</t>
  </si>
  <si>
    <t>scf/lb-mole</t>
  </si>
  <si>
    <t>If using the Laboratory Gas-Oil Ratio (GOR) method, enter the molecular weight of the flash gas:</t>
  </si>
  <si>
    <t>If using the Vasquez-Beggs Equation, enter the stock tank API Gravity:</t>
  </si>
  <si>
    <t>° / [No units]</t>
  </si>
  <si>
    <t>If using the Vasquez-Beggs Equation, enter the fraction of VOC in the stock tank gas:</t>
  </si>
  <si>
    <t>If using the Vasquez-Beggs Equation, enter the dissolved gas gravity at 100 psig, if necessary:</t>
  </si>
  <si>
    <r>
      <t>If using the Vasquez-Beggs Equation, enter the Gas/Oil Ratio of liquid at pressure of interest (R</t>
    </r>
    <r>
      <rPr>
        <vertAlign val="subscript"/>
        <sz val="11"/>
        <color theme="1"/>
        <rFont val="Arial"/>
        <family val="2"/>
      </rPr>
      <t>S</t>
    </r>
    <r>
      <rPr>
        <sz val="11"/>
        <color theme="1"/>
        <rFont val="Arial"/>
        <family val="2"/>
      </rPr>
      <t>), if necessary:</t>
    </r>
  </si>
  <si>
    <t>If using the Vasquez-Beggs Equation, enter the volume of gas at given pressure and temperature, if necessary. The default value 1/379.48 scf/lb-mole is at Standard Conditions.</t>
  </si>
  <si>
    <t>If using the Vasquez-Beggs Equation, enter the total amount of hydrocarbons (THC) in tons per year, if necessary:</t>
  </si>
  <si>
    <t>lb/yr</t>
  </si>
  <si>
    <t>Enter the total calculated or measured emissions from flashing, if necessary:</t>
  </si>
  <si>
    <r>
      <t>Variable Vapor Space Tanks:</t>
    </r>
    <r>
      <rPr>
        <sz val="11"/>
        <color theme="1"/>
        <rFont val="Arial"/>
        <family val="2"/>
      </rPr>
      <t xml:space="preserve">
Enter the given information in the "Response" column. The row will be optional if the value in the "Calculated Value" column is correct.</t>
    </r>
  </si>
  <si>
    <r>
      <t xml:space="preserve">Is this a Variable Vapor Space tank? </t>
    </r>
    <r>
      <rPr>
        <i/>
        <sz val="11"/>
        <color theme="1"/>
        <rFont val="Arial"/>
        <family val="2"/>
      </rPr>
      <t>Select or enter "Yes" or "No".</t>
    </r>
  </si>
  <si>
    <r>
      <t>If this is a Variable Vapor Space tank, enter the volume of liquid pumped into the system (throughput, V</t>
    </r>
    <r>
      <rPr>
        <vertAlign val="subscript"/>
        <sz val="11"/>
        <color theme="1"/>
        <rFont val="Arial"/>
        <family val="2"/>
      </rPr>
      <t>1</t>
    </r>
    <r>
      <rPr>
        <sz val="11"/>
        <color theme="1"/>
        <rFont val="Arial"/>
        <family val="2"/>
      </rPr>
      <t>), if necessary:</t>
    </r>
  </si>
  <si>
    <r>
      <t>If this is a Variable Vapor Space tank, enter the volume expansion capacity of the system (V</t>
    </r>
    <r>
      <rPr>
        <vertAlign val="subscript"/>
        <sz val="11"/>
        <color theme="1"/>
        <rFont val="Arial"/>
        <family val="2"/>
      </rPr>
      <t>2</t>
    </r>
    <r>
      <rPr>
        <sz val="11"/>
        <color theme="1"/>
        <rFont val="Arial"/>
        <family val="2"/>
      </rPr>
      <t>):</t>
    </r>
  </si>
  <si>
    <t>bbl</t>
  </si>
  <si>
    <t>If this is a Variable Vapor Space tank, enter the total variable vapor space filling loss, if necessary:</t>
  </si>
  <si>
    <t>lb/1,000 gal throughput</t>
  </si>
  <si>
    <r>
      <t xml:space="preserve">Fixed Roof Tank Losses:
</t>
    </r>
    <r>
      <rPr>
        <sz val="11"/>
        <color theme="1"/>
        <rFont val="Arial"/>
        <family val="2"/>
      </rPr>
      <t>These values have been calculated based on the inputs and parameters above. Please verify the accuracy of these values before proceeding.</t>
    </r>
  </si>
  <si>
    <t>Factors:</t>
  </si>
  <si>
    <r>
      <t>Standing (Storage) Losses (L</t>
    </r>
    <r>
      <rPr>
        <vertAlign val="subscript"/>
        <sz val="11"/>
        <color theme="1"/>
        <rFont val="Arial"/>
        <family val="2"/>
      </rPr>
      <t>S</t>
    </r>
    <r>
      <rPr>
        <sz val="11"/>
        <color theme="1"/>
        <rFont val="Arial"/>
        <family val="2"/>
      </rPr>
      <t>)</t>
    </r>
  </si>
  <si>
    <t>tpy</t>
  </si>
  <si>
    <r>
      <t>Loss from Flashing (L</t>
    </r>
    <r>
      <rPr>
        <vertAlign val="subscript"/>
        <sz val="11"/>
        <color theme="1"/>
        <rFont val="Arial"/>
        <family val="2"/>
      </rPr>
      <t>FLASH</t>
    </r>
    <r>
      <rPr>
        <sz val="11"/>
        <color theme="1"/>
        <rFont val="Arial"/>
        <family val="2"/>
      </rPr>
      <t>)</t>
    </r>
  </si>
  <si>
    <r>
      <t>Variable Vapor Space Filling Losses (L</t>
    </r>
    <r>
      <rPr>
        <vertAlign val="subscript"/>
        <sz val="11"/>
        <color theme="1"/>
        <rFont val="Arial"/>
        <family val="2"/>
      </rPr>
      <t>V</t>
    </r>
    <r>
      <rPr>
        <sz val="11"/>
        <color theme="1"/>
        <rFont val="Arial"/>
        <family val="2"/>
      </rPr>
      <t>)</t>
    </r>
  </si>
  <si>
    <r>
      <t>Filling (Working) Losses (L</t>
    </r>
    <r>
      <rPr>
        <vertAlign val="subscript"/>
        <sz val="11"/>
        <color theme="1"/>
        <rFont val="Arial"/>
        <family val="2"/>
      </rPr>
      <t>W</t>
    </r>
    <r>
      <rPr>
        <sz val="11"/>
        <color theme="1"/>
        <rFont val="Arial"/>
        <family val="2"/>
      </rPr>
      <t>)</t>
    </r>
  </si>
  <si>
    <r>
      <t>Total Routine Losses (L</t>
    </r>
    <r>
      <rPr>
        <b/>
        <vertAlign val="subscript"/>
        <sz val="11"/>
        <color theme="1"/>
        <rFont val="Arial"/>
        <family val="2"/>
      </rPr>
      <t>T</t>
    </r>
    <r>
      <rPr>
        <b/>
        <sz val="11"/>
        <color theme="1"/>
        <rFont val="Arial"/>
        <family val="2"/>
      </rPr>
      <t xml:space="preserve"> = L</t>
    </r>
    <r>
      <rPr>
        <b/>
        <vertAlign val="subscript"/>
        <sz val="11"/>
        <color theme="1"/>
        <rFont val="Arial"/>
        <family val="2"/>
      </rPr>
      <t>S</t>
    </r>
    <r>
      <rPr>
        <b/>
        <sz val="11"/>
        <color theme="1"/>
        <rFont val="Arial"/>
        <family val="2"/>
      </rPr>
      <t xml:space="preserve"> + L</t>
    </r>
    <r>
      <rPr>
        <b/>
        <vertAlign val="subscript"/>
        <sz val="11"/>
        <color theme="1"/>
        <rFont val="Arial"/>
        <family val="2"/>
      </rPr>
      <t>FLASH</t>
    </r>
    <r>
      <rPr>
        <b/>
        <sz val="11"/>
        <color theme="1"/>
        <rFont val="Arial"/>
        <family val="2"/>
      </rPr>
      <t xml:space="preserve"> + L</t>
    </r>
    <r>
      <rPr>
        <b/>
        <vertAlign val="subscript"/>
        <sz val="11"/>
        <color theme="1"/>
        <rFont val="Arial"/>
        <family val="2"/>
      </rPr>
      <t>V</t>
    </r>
    <r>
      <rPr>
        <b/>
        <sz val="11"/>
        <color theme="1"/>
        <rFont val="Arial"/>
        <family val="2"/>
      </rPr>
      <t xml:space="preserve"> + L</t>
    </r>
    <r>
      <rPr>
        <b/>
        <vertAlign val="subscript"/>
        <sz val="11"/>
        <color theme="1"/>
        <rFont val="Arial"/>
        <family val="2"/>
      </rPr>
      <t>W</t>
    </r>
    <r>
      <rPr>
        <b/>
        <sz val="11"/>
        <color theme="1"/>
        <rFont val="Arial"/>
        <family val="2"/>
      </rPr>
      <t xml:space="preserve"> )</t>
    </r>
  </si>
  <si>
    <r>
      <t xml:space="preserve">Floating Roof Tank Losses:
</t>
    </r>
    <r>
      <rPr>
        <sz val="11"/>
        <color theme="1"/>
        <rFont val="Arial"/>
        <family val="2"/>
      </rPr>
      <t>These values have been calculated based on the inputs and parameters above. Please verify the accuracy of these values before proceeding.</t>
    </r>
  </si>
  <si>
    <r>
      <t>Rim Seal Loss (L</t>
    </r>
    <r>
      <rPr>
        <vertAlign val="subscript"/>
        <sz val="11"/>
        <color theme="1"/>
        <rFont val="Arial"/>
        <family val="2"/>
      </rPr>
      <t>R</t>
    </r>
    <r>
      <rPr>
        <sz val="11"/>
        <color theme="1"/>
        <rFont val="Arial"/>
        <family val="2"/>
      </rPr>
      <t>)</t>
    </r>
  </si>
  <si>
    <r>
      <t>Deck Fitting Loss (L</t>
    </r>
    <r>
      <rPr>
        <vertAlign val="subscript"/>
        <sz val="11"/>
        <color theme="1"/>
        <rFont val="Arial"/>
        <family val="2"/>
      </rPr>
      <t>F</t>
    </r>
    <r>
      <rPr>
        <sz val="11"/>
        <color theme="1"/>
        <rFont val="Arial"/>
        <family val="2"/>
      </rPr>
      <t>)</t>
    </r>
  </si>
  <si>
    <r>
      <t>Deck Seam Loss (L</t>
    </r>
    <r>
      <rPr>
        <vertAlign val="subscript"/>
        <sz val="11"/>
        <color theme="1"/>
        <rFont val="Arial"/>
        <family val="2"/>
      </rPr>
      <t>D</t>
    </r>
    <r>
      <rPr>
        <sz val="11"/>
        <color theme="1"/>
        <rFont val="Arial"/>
        <family val="2"/>
      </rPr>
      <t>)</t>
    </r>
  </si>
  <si>
    <r>
      <t>Standing Loss (L</t>
    </r>
    <r>
      <rPr>
        <vertAlign val="subscript"/>
        <sz val="11"/>
        <color theme="1"/>
        <rFont val="Arial"/>
        <family val="2"/>
      </rPr>
      <t>S</t>
    </r>
    <r>
      <rPr>
        <sz val="11"/>
        <color theme="1"/>
        <rFont val="Arial"/>
        <family val="2"/>
      </rPr>
      <t xml:space="preserve"> = L</t>
    </r>
    <r>
      <rPr>
        <vertAlign val="subscript"/>
        <sz val="11"/>
        <color theme="1"/>
        <rFont val="Arial"/>
        <family val="2"/>
      </rPr>
      <t>R</t>
    </r>
    <r>
      <rPr>
        <sz val="11"/>
        <color theme="1"/>
        <rFont val="Arial"/>
        <family val="2"/>
      </rPr>
      <t xml:space="preserve"> + L</t>
    </r>
    <r>
      <rPr>
        <vertAlign val="subscript"/>
        <sz val="11"/>
        <color theme="1"/>
        <rFont val="Arial"/>
        <family val="2"/>
      </rPr>
      <t>F</t>
    </r>
    <r>
      <rPr>
        <sz val="11"/>
        <color theme="1"/>
        <rFont val="Arial"/>
        <family val="2"/>
      </rPr>
      <t xml:space="preserve"> + L</t>
    </r>
    <r>
      <rPr>
        <vertAlign val="subscript"/>
        <sz val="11"/>
        <color theme="1"/>
        <rFont val="Arial"/>
        <family val="2"/>
      </rPr>
      <t>D</t>
    </r>
    <r>
      <rPr>
        <sz val="11"/>
        <color theme="1"/>
        <rFont val="Arial"/>
        <family val="2"/>
      </rPr>
      <t>)</t>
    </r>
  </si>
  <si>
    <r>
      <t>Working (Withdrawal) Losses (L</t>
    </r>
    <r>
      <rPr>
        <vertAlign val="subscript"/>
        <sz val="11"/>
        <color theme="1"/>
        <rFont val="Arial"/>
        <family val="2"/>
      </rPr>
      <t>W</t>
    </r>
    <r>
      <rPr>
        <sz val="11"/>
        <color theme="1"/>
        <rFont val="Arial"/>
        <family val="2"/>
      </rPr>
      <t>)</t>
    </r>
  </si>
  <si>
    <r>
      <t>Total Routine Losses (L</t>
    </r>
    <r>
      <rPr>
        <b/>
        <vertAlign val="subscript"/>
        <sz val="11"/>
        <color theme="1"/>
        <rFont val="Arial"/>
        <family val="2"/>
      </rPr>
      <t>T</t>
    </r>
    <r>
      <rPr>
        <b/>
        <sz val="11"/>
        <color theme="1"/>
        <rFont val="Arial"/>
        <family val="2"/>
      </rPr>
      <t xml:space="preserve"> = L</t>
    </r>
    <r>
      <rPr>
        <b/>
        <vertAlign val="subscript"/>
        <sz val="11"/>
        <color theme="1"/>
        <rFont val="Arial"/>
        <family val="2"/>
      </rPr>
      <t>FLASH</t>
    </r>
    <r>
      <rPr>
        <b/>
        <sz val="11"/>
        <color theme="1"/>
        <rFont val="Arial"/>
        <family val="2"/>
      </rPr>
      <t xml:space="preserve"> + L</t>
    </r>
    <r>
      <rPr>
        <b/>
        <vertAlign val="subscript"/>
        <sz val="11"/>
        <color theme="1"/>
        <rFont val="Arial"/>
        <family val="2"/>
      </rPr>
      <t>S</t>
    </r>
    <r>
      <rPr>
        <b/>
        <sz val="11"/>
        <color theme="1"/>
        <rFont val="Arial"/>
        <family val="2"/>
      </rPr>
      <t xml:space="preserve"> + L</t>
    </r>
    <r>
      <rPr>
        <b/>
        <vertAlign val="subscript"/>
        <sz val="11"/>
        <color theme="1"/>
        <rFont val="Arial"/>
        <family val="2"/>
      </rPr>
      <t>W</t>
    </r>
    <r>
      <rPr>
        <b/>
        <sz val="11"/>
        <color theme="1"/>
        <rFont val="Arial"/>
        <family val="2"/>
      </rPr>
      <t xml:space="preserve"> + L</t>
    </r>
    <r>
      <rPr>
        <b/>
        <vertAlign val="subscript"/>
        <sz val="11"/>
        <color theme="1"/>
        <rFont val="Arial"/>
        <family val="2"/>
      </rPr>
      <t>V</t>
    </r>
    <r>
      <rPr>
        <b/>
        <sz val="11"/>
        <color theme="1"/>
        <rFont val="Arial"/>
        <family val="2"/>
      </rPr>
      <t>)</t>
    </r>
  </si>
  <si>
    <r>
      <t>Standing Idle Losses Due to Wind (L</t>
    </r>
    <r>
      <rPr>
        <vertAlign val="subscript"/>
        <sz val="11"/>
        <color theme="1"/>
        <rFont val="Arial"/>
        <family val="2"/>
      </rPr>
      <t>SLwind</t>
    </r>
    <r>
      <rPr>
        <sz val="11"/>
        <color theme="1"/>
        <rFont val="Arial"/>
        <family val="2"/>
      </rPr>
      <t>)</t>
    </r>
  </si>
  <si>
    <r>
      <t>Standing Idle Losses During Roof Landing (L</t>
    </r>
    <r>
      <rPr>
        <vertAlign val="subscript"/>
        <sz val="11"/>
        <color theme="1"/>
        <rFont val="Arial"/>
        <family val="2"/>
      </rPr>
      <t>SL</t>
    </r>
    <r>
      <rPr>
        <sz val="11"/>
        <color theme="1"/>
        <rFont val="Arial"/>
        <family val="2"/>
      </rPr>
      <t>)</t>
    </r>
  </si>
  <si>
    <r>
      <t>Filling Losses During Roof Landing (L</t>
    </r>
    <r>
      <rPr>
        <vertAlign val="subscript"/>
        <sz val="11"/>
        <color theme="1"/>
        <rFont val="Arial"/>
        <family val="2"/>
      </rPr>
      <t>FL</t>
    </r>
    <r>
      <rPr>
        <sz val="11"/>
        <color theme="1"/>
        <rFont val="Arial"/>
        <family val="2"/>
      </rPr>
      <t>)</t>
    </r>
  </si>
  <si>
    <r>
      <t>Clingage Loss from Drain-Dry Tank (L</t>
    </r>
    <r>
      <rPr>
        <vertAlign val="subscript"/>
        <sz val="11"/>
        <color theme="1"/>
        <rFont val="Arial"/>
        <family val="2"/>
      </rPr>
      <t>C</t>
    </r>
    <r>
      <rPr>
        <sz val="11"/>
        <color theme="1"/>
        <rFont val="Arial"/>
        <family val="2"/>
      </rPr>
      <t>)</t>
    </r>
  </si>
  <si>
    <r>
      <t>Total Losses During Roof Landing (L</t>
    </r>
    <r>
      <rPr>
        <b/>
        <vertAlign val="subscript"/>
        <sz val="11"/>
        <color theme="1"/>
        <rFont val="Arial"/>
        <family val="2"/>
      </rPr>
      <t>TL</t>
    </r>
    <r>
      <rPr>
        <b/>
        <sz val="11"/>
        <color theme="1"/>
        <rFont val="Arial"/>
        <family val="2"/>
      </rPr>
      <t xml:space="preserve"> = L</t>
    </r>
    <r>
      <rPr>
        <b/>
        <vertAlign val="subscript"/>
        <sz val="11"/>
        <color theme="1"/>
        <rFont val="Arial"/>
        <family val="2"/>
      </rPr>
      <t>SL</t>
    </r>
    <r>
      <rPr>
        <b/>
        <sz val="11"/>
        <color theme="1"/>
        <rFont val="Arial"/>
        <family val="2"/>
      </rPr>
      <t xml:space="preserve"> + L</t>
    </r>
    <r>
      <rPr>
        <b/>
        <vertAlign val="subscript"/>
        <sz val="11"/>
        <color theme="1"/>
        <rFont val="Arial"/>
        <family val="2"/>
      </rPr>
      <t>FL</t>
    </r>
    <r>
      <rPr>
        <b/>
        <sz val="11"/>
        <color theme="1"/>
        <rFont val="Arial"/>
        <family val="2"/>
      </rPr>
      <t xml:space="preserve"> + L</t>
    </r>
    <r>
      <rPr>
        <b/>
        <vertAlign val="subscript"/>
        <sz val="11"/>
        <color theme="1"/>
        <rFont val="Arial"/>
        <family val="2"/>
      </rPr>
      <t>C</t>
    </r>
    <r>
      <rPr>
        <b/>
        <sz val="11"/>
        <color theme="1"/>
        <rFont val="Arial"/>
        <family val="2"/>
      </rPr>
      <t>)</t>
    </r>
  </si>
  <si>
    <t>Total Routine Losses + Roof Landing Losses</t>
  </si>
  <si>
    <r>
      <t xml:space="preserve">Cleaning Losses (Forced Ventilation):
</t>
    </r>
    <r>
      <rPr>
        <sz val="11"/>
        <color theme="1"/>
        <rFont val="Arial"/>
        <family val="2"/>
      </rPr>
      <t>These values have been calculated based on the inputs and parameters above. Please verify the accuracy of these values before proceeding.</t>
    </r>
  </si>
  <si>
    <r>
      <t>Vapor Space Purge Emissions (First Air Change) Following Commencement of Forced Ventilation (L</t>
    </r>
    <r>
      <rPr>
        <vertAlign val="subscript"/>
        <sz val="11"/>
        <color theme="1"/>
        <rFont val="Arial"/>
        <family val="2"/>
      </rPr>
      <t>P</t>
    </r>
    <r>
      <rPr>
        <sz val="11"/>
        <color theme="1"/>
        <rFont val="Arial"/>
        <family val="2"/>
      </rPr>
      <t>)</t>
    </r>
  </si>
  <si>
    <t>lb/event</t>
  </si>
  <si>
    <r>
      <t>Emissions from Continued Forced Ventilation Following the First Air Change (L</t>
    </r>
    <r>
      <rPr>
        <vertAlign val="subscript"/>
        <sz val="11"/>
        <color theme="1"/>
        <rFont val="Arial"/>
        <family val="2"/>
      </rPr>
      <t>CV</t>
    </r>
    <r>
      <rPr>
        <sz val="11"/>
        <color theme="1"/>
        <rFont val="Arial"/>
        <family val="2"/>
      </rPr>
      <t>)</t>
    </r>
  </si>
  <si>
    <r>
      <t>Total Emissions due to Forced Ventilation During Tank Cleaning Event (L</t>
    </r>
    <r>
      <rPr>
        <b/>
        <vertAlign val="subscript"/>
        <sz val="11"/>
        <color theme="1"/>
        <rFont val="Arial"/>
        <family val="2"/>
      </rPr>
      <t>FV</t>
    </r>
    <r>
      <rPr>
        <b/>
        <sz val="11"/>
        <color theme="1"/>
        <rFont val="Arial"/>
        <family val="2"/>
      </rPr>
      <t>):</t>
    </r>
  </si>
  <si>
    <t>Total Losses:</t>
  </si>
  <si>
    <r>
      <t>Emissions by Constituent</t>
    </r>
    <r>
      <rPr>
        <sz val="11"/>
        <color theme="1"/>
        <rFont val="Arial"/>
        <family val="2"/>
      </rPr>
      <t xml:space="preserve">
These values have been calculated based on the inputs and parameters above. Please verify the accuracy of these values before proceeding.</t>
    </r>
  </si>
  <si>
    <t>Chemical Name:</t>
  </si>
  <si>
    <t>Liquid Molecular Weight of Component:</t>
  </si>
  <si>
    <t>Vapor Mole Fraction:</t>
  </si>
  <si>
    <t>Vapor Molecular Weight of Component:</t>
  </si>
  <si>
    <t>Vapor Weight Fraction:</t>
  </si>
  <si>
    <t>Total Losses [lb/yr]:</t>
  </si>
  <si>
    <t>Emissions [lb/yr]:</t>
  </si>
  <si>
    <t>Emissions [tpy]:</t>
  </si>
  <si>
    <r>
      <t>Table 2. No Downwash for All Hours (</t>
    </r>
    <r>
      <rPr>
        <b/>
        <sz val="11"/>
        <color indexed="8"/>
        <rFont val="Symbol"/>
        <family val="1"/>
        <charset val="204"/>
      </rPr>
      <t></t>
    </r>
    <r>
      <rPr>
        <b/>
        <sz val="11"/>
        <color indexed="8"/>
        <rFont val="Arial"/>
        <family val="1"/>
        <charset val="204"/>
      </rPr>
      <t>g/m</t>
    </r>
    <r>
      <rPr>
        <b/>
        <sz val="7"/>
        <color indexed="8"/>
        <rFont val="Arial"/>
        <family val="1"/>
        <charset val="204"/>
      </rPr>
      <t xml:space="preserve">3 </t>
    </r>
    <r>
      <rPr>
        <b/>
        <sz val="11"/>
        <color indexed="8"/>
        <rFont val="Arial"/>
        <family val="1"/>
        <charset val="204"/>
      </rPr>
      <t>per 1 lb/hr) (this is table 2 from appendix c of the MERA. The values were multiplied by 0.08 and divided by 4.38 to have the correct comparison for tpy emission rates.)</t>
    </r>
  </si>
  <si>
    <r>
      <rPr>
        <b/>
        <sz val="11"/>
        <rFont val="Arial"/>
        <family val="2"/>
      </rPr>
      <t>Downwash for All Hours (</t>
    </r>
    <r>
      <rPr>
        <b/>
        <sz val="11"/>
        <rFont val="Symbol"/>
        <family val="1"/>
      </rPr>
      <t></t>
    </r>
    <r>
      <rPr>
        <b/>
        <sz val="11"/>
        <rFont val="Arial"/>
        <family val="2"/>
      </rPr>
      <t>g/m</t>
    </r>
    <r>
      <rPr>
        <b/>
        <vertAlign val="superscript"/>
        <sz val="7"/>
        <rFont val="Arial"/>
        <family val="2"/>
      </rPr>
      <t xml:space="preserve">3 </t>
    </r>
    <r>
      <rPr>
        <b/>
        <sz val="11"/>
        <rFont val="Arial"/>
        <family val="2"/>
      </rPr>
      <t>per 1 tpy)  (this is table 1 from appendix c of the MERA. The values were multiplied by 0.08 and divided by 4.38 to have the correct comparison for tpy emission rates.)</t>
    </r>
  </si>
  <si>
    <t>Loading of materials with a vapor pressure of equal or greater than 0.5 pounds per inch square atmosphere (psia) shall be vented to a control.</t>
  </si>
  <si>
    <r>
      <t>daily maximum ambient temperature (T</t>
    </r>
    <r>
      <rPr>
        <vertAlign val="subscript"/>
        <sz val="10"/>
        <color theme="1"/>
        <rFont val="Arial"/>
        <family val="2"/>
      </rPr>
      <t>AX</t>
    </r>
    <r>
      <rPr>
        <sz val="11"/>
        <color theme="1"/>
        <rFont val="Calibri"/>
        <family val="2"/>
        <scheme val="minor"/>
      </rPr>
      <t>) °F</t>
    </r>
  </si>
  <si>
    <r>
      <t>daily minimum ambient temperature (T</t>
    </r>
    <r>
      <rPr>
        <vertAlign val="subscript"/>
        <sz val="10"/>
        <color theme="1"/>
        <rFont val="Arial"/>
        <family val="2"/>
      </rPr>
      <t>AN</t>
    </r>
    <r>
      <rPr>
        <sz val="11"/>
        <color theme="1"/>
        <rFont val="Calibri"/>
        <family val="2"/>
        <scheme val="minor"/>
      </rPr>
      <t>) °F</t>
    </r>
  </si>
  <si>
    <r>
      <t>daily average ambient temperature (T</t>
    </r>
    <r>
      <rPr>
        <vertAlign val="subscript"/>
        <sz val="10"/>
        <color theme="1"/>
        <rFont val="Arial"/>
        <family val="2"/>
      </rPr>
      <t>AA</t>
    </r>
    <r>
      <rPr>
        <sz val="11"/>
        <color theme="1"/>
        <rFont val="Calibri"/>
        <family val="2"/>
        <scheme val="minor"/>
      </rPr>
      <t>) °F</t>
    </r>
  </si>
  <si>
    <r>
      <t>Insolation Btu/ft</t>
    </r>
    <r>
      <rPr>
        <vertAlign val="superscript"/>
        <sz val="10"/>
        <color theme="1"/>
        <rFont val="Arial"/>
        <family val="2"/>
      </rPr>
      <t>2-</t>
    </r>
    <r>
      <rPr>
        <sz val="11"/>
        <color theme="1"/>
        <rFont val="Calibri"/>
        <family val="2"/>
        <scheme val="minor"/>
      </rPr>
      <t>day</t>
    </r>
  </si>
  <si>
    <r>
      <t xml:space="preserve">Green = From: </t>
    </r>
    <r>
      <rPr>
        <u/>
        <sz val="10"/>
        <color theme="1"/>
        <rFont val="Arial"/>
        <family val="2"/>
      </rPr>
      <t>Comparative Climatic Data</t>
    </r>
    <r>
      <rPr>
        <sz val="11"/>
        <color theme="1"/>
        <rFont val="Calibri"/>
        <family val="2"/>
        <scheme val="minor"/>
      </rPr>
      <t>, National Centers for Environmental Information, NOAA, https://www.ncdc.noaa.gov/ghcn/comparative-climatic-data. (Note: Austin/City was used for Austin. Dallas-Fort Worth was used for Dallas and Fort Worth.)</t>
    </r>
  </si>
  <si>
    <t>FLOATING TAB</t>
  </si>
  <si>
    <r>
      <t>net working loss throughput (V</t>
    </r>
    <r>
      <rPr>
        <vertAlign val="subscript"/>
        <sz val="10"/>
        <color theme="1"/>
        <rFont val="Arial"/>
        <family val="2"/>
      </rPr>
      <t>Q</t>
    </r>
    <r>
      <rPr>
        <sz val="11"/>
        <color theme="1"/>
        <rFont val="Calibri"/>
        <family val="2"/>
        <scheme val="minor"/>
      </rPr>
      <t>)</t>
    </r>
  </si>
  <si>
    <r>
      <t>number of fixed roof support columns (N</t>
    </r>
    <r>
      <rPr>
        <vertAlign val="subscript"/>
        <sz val="10"/>
        <color theme="1"/>
        <rFont val="Arial"/>
        <family val="2"/>
      </rPr>
      <t>C</t>
    </r>
    <r>
      <rPr>
        <sz val="11"/>
        <color theme="1"/>
        <rFont val="Calibri"/>
        <family val="2"/>
        <scheme val="minor"/>
      </rPr>
      <t>)</t>
    </r>
  </si>
  <si>
    <r>
      <t>tank-specific column diameter (F</t>
    </r>
    <r>
      <rPr>
        <vertAlign val="subscript"/>
        <sz val="10"/>
        <color theme="1"/>
        <rFont val="Arial"/>
        <family val="2"/>
      </rPr>
      <t>C</t>
    </r>
    <r>
      <rPr>
        <sz val="11"/>
        <color theme="1"/>
        <rFont val="Calibri"/>
        <family val="2"/>
        <scheme val="minor"/>
      </rPr>
      <t>)</t>
    </r>
  </si>
  <si>
    <r>
      <t>average organic liquid density (W</t>
    </r>
    <r>
      <rPr>
        <vertAlign val="subscript"/>
        <sz val="10"/>
        <color theme="1"/>
        <rFont val="Arial"/>
        <family val="2"/>
      </rPr>
      <t>L</t>
    </r>
    <r>
      <rPr>
        <sz val="11"/>
        <color theme="1"/>
        <rFont val="Calibri"/>
        <family val="2"/>
        <scheme val="minor"/>
      </rPr>
      <t>)</t>
    </r>
  </si>
  <si>
    <r>
      <t>deck fitting loss factor (F</t>
    </r>
    <r>
      <rPr>
        <vertAlign val="subscript"/>
        <sz val="10"/>
        <color theme="1"/>
        <rFont val="Arial"/>
        <family val="2"/>
      </rPr>
      <t>F</t>
    </r>
    <r>
      <rPr>
        <sz val="11"/>
        <color theme="1"/>
        <rFont val="Calibri"/>
        <family val="2"/>
        <scheme val="minor"/>
      </rPr>
      <t>)</t>
    </r>
  </si>
  <si>
    <r>
      <t>area of the deck (A</t>
    </r>
    <r>
      <rPr>
        <vertAlign val="subscript"/>
        <sz val="10"/>
        <color theme="1"/>
        <rFont val="Arial"/>
        <family val="2"/>
      </rPr>
      <t>deck</t>
    </r>
    <r>
      <rPr>
        <sz val="11"/>
        <color theme="1"/>
        <rFont val="Calibri"/>
        <family val="2"/>
        <scheme val="minor"/>
      </rPr>
      <t>)</t>
    </r>
  </si>
  <si>
    <r>
      <t>total length of the deck seams (L</t>
    </r>
    <r>
      <rPr>
        <vertAlign val="subscript"/>
        <sz val="10"/>
        <color theme="1"/>
        <rFont val="Arial"/>
        <family val="2"/>
      </rPr>
      <t>seam</t>
    </r>
    <r>
      <rPr>
        <sz val="11"/>
        <color theme="1"/>
        <rFont val="Calibri"/>
        <family val="2"/>
        <scheme val="minor"/>
      </rPr>
      <t>)</t>
    </r>
  </si>
  <si>
    <r>
      <t>deck seam length factor (S</t>
    </r>
    <r>
      <rPr>
        <vertAlign val="subscript"/>
        <sz val="10"/>
        <color theme="1"/>
        <rFont val="Arial"/>
        <family val="2"/>
      </rPr>
      <t>D</t>
    </r>
    <r>
      <rPr>
        <sz val="11"/>
        <color theme="1"/>
        <rFont val="Calibri"/>
        <family val="2"/>
        <scheme val="minor"/>
      </rPr>
      <t>)</t>
    </r>
  </si>
  <si>
    <r>
      <t>deck seam loss per unit seam length factor (K</t>
    </r>
    <r>
      <rPr>
        <vertAlign val="subscript"/>
        <sz val="10"/>
        <color theme="1"/>
        <rFont val="Arial"/>
        <family val="2"/>
      </rPr>
      <t>D</t>
    </r>
    <r>
      <rPr>
        <sz val="11"/>
        <color theme="1"/>
        <rFont val="Calibri"/>
        <family val="2"/>
        <scheme val="minor"/>
      </rPr>
      <t>)</t>
    </r>
  </si>
  <si>
    <r>
      <t>effective height of stock liquid (h</t>
    </r>
    <r>
      <rPr>
        <vertAlign val="subscript"/>
        <sz val="10"/>
        <color theme="1"/>
        <rFont val="Arial"/>
        <family val="2"/>
      </rPr>
      <t>le</t>
    </r>
    <r>
      <rPr>
        <sz val="11"/>
        <color theme="1"/>
        <rFont val="Calibri"/>
        <family val="2"/>
        <scheme val="minor"/>
      </rPr>
      <t>)</t>
    </r>
  </si>
  <si>
    <r>
      <t>Limit on Standing Idle Loss (L</t>
    </r>
    <r>
      <rPr>
        <vertAlign val="subscript"/>
        <sz val="10"/>
        <color theme="1"/>
        <rFont val="Arial"/>
        <family val="2"/>
      </rPr>
      <t>SL-max</t>
    </r>
    <r>
      <rPr>
        <sz val="11"/>
        <color theme="1"/>
        <rFont val="Calibri"/>
        <family val="2"/>
        <scheme val="minor"/>
      </rPr>
      <t>) per landing episode</t>
    </r>
  </si>
  <si>
    <r>
      <t>true vapor pressure of the stock liquid (P</t>
    </r>
    <r>
      <rPr>
        <vertAlign val="subscript"/>
        <sz val="10"/>
        <color theme="1"/>
        <rFont val="Arial"/>
        <family val="2"/>
      </rPr>
      <t>VA</t>
    </r>
    <r>
      <rPr>
        <sz val="11"/>
        <color theme="1"/>
        <rFont val="Calibri"/>
        <family val="2"/>
        <scheme val="minor"/>
      </rPr>
      <t>) at the temperature beneath the landed floating roof</t>
    </r>
  </si>
  <si>
    <r>
      <t>average vapor temperature (T</t>
    </r>
    <r>
      <rPr>
        <vertAlign val="subscript"/>
        <sz val="10"/>
        <color theme="1"/>
        <rFont val="Arial"/>
        <family val="2"/>
      </rPr>
      <t>V</t>
    </r>
    <r>
      <rPr>
        <sz val="11"/>
        <color theme="1"/>
        <rFont val="Calibri"/>
        <family val="2"/>
        <scheme val="minor"/>
      </rPr>
      <t>) at the temperature beneath the landed floating roof °F</t>
    </r>
  </si>
  <si>
    <r>
      <t>average vapor temperature (T</t>
    </r>
    <r>
      <rPr>
        <vertAlign val="subscript"/>
        <sz val="10"/>
        <color theme="1"/>
        <rFont val="Arial"/>
        <family val="2"/>
      </rPr>
      <t>V</t>
    </r>
    <r>
      <rPr>
        <sz val="11"/>
        <color theme="1"/>
        <rFont val="Calibri"/>
        <family val="2"/>
        <scheme val="minor"/>
      </rPr>
      <t>) at the temperature beneath the landed floating roof °R</t>
    </r>
  </si>
  <si>
    <r>
      <t>(distillate material) average molecular weight (M</t>
    </r>
    <r>
      <rPr>
        <vertAlign val="subscript"/>
        <sz val="10"/>
        <color theme="1"/>
        <rFont val="Arial"/>
        <family val="2"/>
      </rPr>
      <t>V</t>
    </r>
    <r>
      <rPr>
        <sz val="11"/>
        <color theme="1"/>
        <rFont val="Calibri"/>
        <family val="2"/>
        <scheme val="minor"/>
      </rPr>
      <t>') of the new mixture:</t>
    </r>
  </si>
  <si>
    <r>
      <t>vapor space expansion factor (K</t>
    </r>
    <r>
      <rPr>
        <vertAlign val="subscript"/>
        <sz val="10"/>
        <color theme="1"/>
        <rFont val="Arial"/>
        <family val="2"/>
      </rPr>
      <t>E</t>
    </r>
    <r>
      <rPr>
        <sz val="11"/>
        <color theme="1"/>
        <rFont val="Calibri"/>
        <family val="2"/>
        <scheme val="minor"/>
      </rPr>
      <t>)</t>
    </r>
  </si>
  <si>
    <r>
      <t>saturation factor (K</t>
    </r>
    <r>
      <rPr>
        <vertAlign val="subscript"/>
        <sz val="10"/>
        <color theme="1"/>
        <rFont val="Arial"/>
        <family val="2"/>
      </rPr>
      <t>S</t>
    </r>
    <r>
      <rPr>
        <sz val="11"/>
        <color theme="1"/>
        <rFont val="Calibri"/>
        <family val="2"/>
        <scheme val="minor"/>
      </rPr>
      <t>)</t>
    </r>
  </si>
  <si>
    <r>
      <t>number of days that the tank stands idle (n</t>
    </r>
    <r>
      <rPr>
        <vertAlign val="subscript"/>
        <sz val="10"/>
        <color theme="1"/>
        <rFont val="Arial"/>
        <family val="2"/>
      </rPr>
      <t>d</t>
    </r>
    <r>
      <rPr>
        <sz val="11"/>
        <color theme="1"/>
        <rFont val="Calibri"/>
        <family val="2"/>
        <scheme val="minor"/>
      </rPr>
      <t>)</t>
    </r>
  </si>
  <si>
    <r>
      <t>average height of the vapor space under the floating roof (h</t>
    </r>
    <r>
      <rPr>
        <vertAlign val="subscript"/>
        <sz val="10"/>
        <color theme="1"/>
        <rFont val="Arial"/>
        <family val="2"/>
      </rPr>
      <t>v</t>
    </r>
    <r>
      <rPr>
        <sz val="11"/>
        <color theme="1"/>
        <rFont val="Calibri"/>
        <family val="2"/>
        <scheme val="minor"/>
      </rPr>
      <t>)</t>
    </r>
  </si>
  <si>
    <r>
      <t>volume of the vapor space (V</t>
    </r>
    <r>
      <rPr>
        <vertAlign val="subscript"/>
        <sz val="10"/>
        <color theme="1"/>
        <rFont val="Arial"/>
        <family val="2"/>
      </rPr>
      <t>V</t>
    </r>
    <r>
      <rPr>
        <sz val="11"/>
        <color theme="1"/>
        <rFont val="Calibri"/>
        <family val="2"/>
        <scheme val="minor"/>
      </rPr>
      <t>)</t>
    </r>
  </si>
  <si>
    <r>
      <t xml:space="preserve">Liquid Constituents
</t>
    </r>
    <r>
      <rPr>
        <sz val="11"/>
        <color theme="1"/>
        <rFont val="Arial"/>
        <family val="2"/>
      </rPr>
      <t>Enter the given information for each constituent of the liquid being stored. If the row is labeled with "Actual", the cell is optional and only needs to be filled in if the "Calculated" value is inaccurate.</t>
    </r>
  </si>
  <si>
    <r>
      <t xml:space="preserve">Vapor Constituents and Pressures
</t>
    </r>
    <r>
      <rPr>
        <sz val="11"/>
        <color theme="1"/>
        <rFont val="Arial"/>
        <family val="2"/>
      </rPr>
      <t>Enter the given information for each constituent of the liquid being stored. If the row is labeled with "Actual", the cell is optional and only needs to be filled in if the "Calculated" value is inaccurate.</t>
    </r>
  </si>
  <si>
    <t>Predicted 1</t>
  </si>
  <si>
    <t>Predicted 2</t>
  </si>
  <si>
    <t>Predicted 3</t>
  </si>
  <si>
    <t>Predicted 4</t>
  </si>
  <si>
    <t>Predicted 5</t>
  </si>
  <si>
    <t>Liquid Constituents 1</t>
  </si>
  <si>
    <t>Liquid Constituents 2</t>
  </si>
  <si>
    <t>Liquid Constituents 3</t>
  </si>
  <si>
    <t>Liquid Constituents 4</t>
  </si>
  <si>
    <t>Liquid Constituents 5</t>
  </si>
  <si>
    <t>Possible S Values 1</t>
  </si>
  <si>
    <t>Possible S Values 2</t>
  </si>
  <si>
    <t>Possible S Values 3</t>
  </si>
  <si>
    <t>Possible S Values 4</t>
  </si>
  <si>
    <t>Possible S Values 5</t>
  </si>
  <si>
    <t>Enter the FIN for this tank. Note that it must match the existing authorization's FIN.</t>
  </si>
  <si>
    <t>Enter the EPN for this tank. Note that it must match the existing authorization's EPN.</t>
  </si>
  <si>
    <t>Enter the source name for this tank. Note that it must match the existing authorization's source name.</t>
  </si>
  <si>
    <t>meters</t>
  </si>
  <si>
    <t>Enter the UTM Zone for this tank.</t>
  </si>
  <si>
    <t>Enter the Easting distance from the UTM coordinate.</t>
  </si>
  <si>
    <t>Enter the Northing distance from the UTM coordinate.</t>
  </si>
  <si>
    <t>Tank #1 Loss Calculation Spreadsheet</t>
  </si>
  <si>
    <t>Tank #2 Loss Calculation Spreadsheet</t>
  </si>
  <si>
    <t>Tank #3 Loss Calculation Spreadsheet</t>
  </si>
  <si>
    <t>Tank #4 Loss Calculation Spreadsheet</t>
  </si>
  <si>
    <t>Tank #5 Loss Calculation Spreadsheet</t>
  </si>
  <si>
    <t>https://www.ncdc.noaa.gov/ghcn/comparative-climatic-data</t>
  </si>
  <si>
    <r>
      <t>Enter the zero-wind-speed rim seal loss factor (K</t>
    </r>
    <r>
      <rPr>
        <vertAlign val="subscript"/>
        <sz val="11"/>
        <color theme="1"/>
        <rFont val="Arial"/>
        <family val="2"/>
      </rPr>
      <t>Ra</t>
    </r>
    <r>
      <rPr>
        <sz val="11"/>
        <color theme="1"/>
        <rFont val="Arial"/>
        <family val="2"/>
      </rPr>
      <t>), if necessary:</t>
    </r>
  </si>
  <si>
    <r>
      <t>Enter the wind-speed dependent rim seal loss factor (K</t>
    </r>
    <r>
      <rPr>
        <vertAlign val="subscript"/>
        <sz val="11"/>
        <color theme="1"/>
        <rFont val="Arial"/>
        <family val="2"/>
      </rPr>
      <t>Rb</t>
    </r>
    <r>
      <rPr>
        <sz val="11"/>
        <color theme="1"/>
        <rFont val="Arial"/>
        <family val="2"/>
      </rPr>
      <t>), if necessary:</t>
    </r>
  </si>
  <si>
    <r>
      <t>If this is a Variable Vapor Space tank, enter the number of transfers into system (N</t>
    </r>
    <r>
      <rPr>
        <vertAlign val="subscript"/>
        <sz val="11"/>
        <color theme="1"/>
        <rFont val="Arial"/>
        <family val="2"/>
      </rPr>
      <t>2</t>
    </r>
    <r>
      <rPr>
        <sz val="11"/>
        <color theme="1"/>
        <rFont val="Arial"/>
        <family val="2"/>
      </rPr>
      <t>):</t>
    </r>
  </si>
  <si>
    <r>
      <t>Enter the duration of continued forced ventilation (n</t>
    </r>
    <r>
      <rPr>
        <vertAlign val="subscript"/>
        <sz val="11"/>
        <color theme="1"/>
        <rFont val="Arial"/>
        <family val="2"/>
      </rPr>
      <t>CV</t>
    </r>
    <r>
      <rPr>
        <sz val="11"/>
        <color theme="1"/>
        <rFont val="Arial"/>
        <family val="2"/>
      </rPr>
      <t>) once all the free-standing liquid had been vacuumed (or drained) out:</t>
    </r>
  </si>
  <si>
    <r>
      <t>Enter the daily period of forced ventilation (t</t>
    </r>
    <r>
      <rPr>
        <vertAlign val="subscript"/>
        <sz val="11"/>
        <color theme="1"/>
        <rFont val="Arial"/>
        <family val="2"/>
      </rPr>
      <t>v</t>
    </r>
    <r>
      <rPr>
        <sz val="11"/>
        <color theme="1"/>
        <rFont val="Arial"/>
        <family val="2"/>
      </rPr>
      <t>) once all the free-standing liquid had been vacuumed (or drained) out.</t>
    </r>
  </si>
  <si>
    <t>Is the rim seal maintained with no gaps greater than 1/8 in. wide between the rim seal and the tank shell? (Note: If the seal is maintained with gaps no greater than 1/8 in., "Tight-fitting" rim-seal loss factors may apply.)</t>
  </si>
  <si>
    <r>
      <t xml:space="preserve">Does this tank have a liquid "heel" or is it drain-dry? </t>
    </r>
    <r>
      <rPr>
        <i/>
        <sz val="11"/>
        <color theme="1"/>
        <rFont val="Arial"/>
        <family val="2"/>
      </rPr>
      <t>Select or enter "Full liquid heel", "Partial liquid heel", or "Drain dry".</t>
    </r>
  </si>
  <si>
    <t xml:space="preserve">(Austin/City was used for Austin. Dallas-Fort Worth was used for Dallas and Fort Worth.) 
Insolation for the major city chosen came from U.S. EPA AP-42 Chapter 7.1, June 2018 version. Note from U.S. EPA: "Data for this [source] are 30-year averages for the years 1961 through 1990, prepared by the National Renewable Energy Laboratory and distributed by the National Climatic Data Center. Similar historical averages of meteorological data from nearby National Weather Service sites or site-specific data may also be used."
</t>
  </si>
  <si>
    <r>
      <t xml:space="preserve">
Note: Ambient temperature and wind speed for the major city chosen came from </t>
    </r>
    <r>
      <rPr>
        <u/>
        <sz val="11"/>
        <color theme="1"/>
        <rFont val="Arial"/>
        <family val="2"/>
      </rPr>
      <t>Comparative Climatic Data</t>
    </r>
    <r>
      <rPr>
        <sz val="11"/>
        <color theme="1"/>
        <rFont val="Arial"/>
        <family val="2"/>
      </rPr>
      <t>, National Centers for Environmental Information, NOAA,</t>
    </r>
  </si>
  <si>
    <r>
      <t>If using the Vasquez-Beggs Equation, enter the separator pressure (P</t>
    </r>
    <r>
      <rPr>
        <vertAlign val="subscript"/>
        <sz val="11"/>
        <color theme="1"/>
        <rFont val="Arial"/>
        <family val="2"/>
      </rPr>
      <t>S</t>
    </r>
    <r>
      <rPr>
        <sz val="11"/>
        <color theme="1"/>
        <rFont val="Arial"/>
        <family val="2"/>
      </rPr>
      <t>):</t>
    </r>
  </si>
  <si>
    <r>
      <t>If using the Vasquez-Beggs Equation, enter the separator temperature (T</t>
    </r>
    <r>
      <rPr>
        <vertAlign val="subscript"/>
        <sz val="11"/>
        <color theme="1"/>
        <rFont val="Arial"/>
        <family val="2"/>
      </rPr>
      <t>i</t>
    </r>
    <r>
      <rPr>
        <sz val="11"/>
        <color theme="1"/>
        <rFont val="Arial"/>
        <family val="2"/>
      </rPr>
      <t>):</t>
    </r>
  </si>
  <si>
    <r>
      <t>If using the Vasquez-Beggs Equation, enter the separator gas gravity (SG</t>
    </r>
    <r>
      <rPr>
        <vertAlign val="subscript"/>
        <sz val="11"/>
        <color theme="1"/>
        <rFont val="Arial"/>
        <family val="2"/>
      </rPr>
      <t>i</t>
    </r>
    <r>
      <rPr>
        <sz val="11"/>
        <color theme="1"/>
        <rFont val="Arial"/>
        <family val="2"/>
      </rPr>
      <t>):</t>
    </r>
  </si>
  <si>
    <t>If using the Vasquez-Beggs Equation, enter the value for the constant C1:</t>
  </si>
  <si>
    <t>If using the Vasquez-Beggs Equation, enter the value for the constant C2:</t>
  </si>
  <si>
    <t>If using the Vasquez-Beggs Equation, enter the value for the constant C3:</t>
  </si>
  <si>
    <t>What is the roof shape?</t>
  </si>
  <si>
    <t>The following equations, provided to estimate standing storage and working loss emissions, apply to tanks with vertical or horizontal cylindrical shells and either fixed or floating roofs. These tanks must be substantially liquid- and vapor-tight and must operate approximately at atmospheric pressure. The equations are not intended to be used in estimating losses from unstable or boiling stocks or from mixtures of hydrocarbons or petrochemicals for which the vapor pressure is not known or cannot be readily predicted.</t>
  </si>
  <si>
    <t>These values were developed using the MERA Appendix C lookup tables based on each source's release height and distance to the property line. The lookup values are based on modeling an emission rate of one pound per hour and the results are for the 1-hr averaging time. In order to efficiently use the lookup values with the proposed annual emissions increases, two different conversions are needed to the lookup values. The first conversion (applying a factor of 0.08 to the lookup value) is associated with a 1-hr-to-annual averaging time conversion. The second conversion (dividing the lookup value by 4.38) is used to normalize the lookup value so that the value is based on one ton per year instead of one pound per hour. For example, looking at the Downwash for All Hours lookup table, a source located 50 feet from the property line with a release height of three feet has a 1-hr lookup value of 2965 micrograms per cubic meter per pound per hour. Multiplying this value by 0.08, and then dividing the result by 4.38 yields a value of 54.155 micrograms per cubic meter per ton per year. This converted value is multiplied with the source's proposed annual emissions increases (in tons per year) to determine the source's prediction, which is then compared with thresholds to determine if impacts are acceptable. If the project consists of multiple sources, the predictions from each source are added together and the total prediction is then compared with thresholds to determine if impacts are acceptable.</t>
  </si>
  <si>
    <t>10% of long term ESL ug/m3</t>
  </si>
  <si>
    <t>Project's net heating value, including waste stream and supplemental gas (Btu/scf)</t>
  </si>
  <si>
    <t>Heating value of waste stream (Btu/scf)</t>
  </si>
  <si>
    <t>Supplemental fuel heating value (Btu/scf)</t>
  </si>
  <si>
    <t>Disagreed to Terms?</t>
  </si>
  <si>
    <t>http://www.tceq.texas.gov/compliance/enforcement/compliance-history/about.html</t>
  </si>
  <si>
    <t>http://www.tceq.texas.gov/compliance/enforcement/compliance-history/get_report.html</t>
  </si>
  <si>
    <t>http://www.tceq.texas.gov/agency/directory/region</t>
  </si>
  <si>
    <t>http://www.tceq.texas.gov/permitting/air/local_programs.html</t>
  </si>
  <si>
    <t>http://www.tceq.texas.gov/permitting/air/confidential.html</t>
  </si>
  <si>
    <t>http://www.tceq.texas.gov/toxicology/apwl/apwl.html</t>
  </si>
  <si>
    <t>http://www.tceq.texas.gov/agency/financial/fees/delin</t>
  </si>
  <si>
    <r>
      <t xml:space="preserve">This sheet details carbon adsorption system specifications and determines emission rates.
</t>
    </r>
    <r>
      <rPr>
        <b/>
        <sz val="11"/>
        <color theme="1"/>
        <rFont val="Arial"/>
        <family val="2"/>
      </rPr>
      <t>Instructions:</t>
    </r>
    <r>
      <rPr>
        <sz val="11"/>
        <color theme="1"/>
        <rFont val="Arial"/>
        <family val="2"/>
      </rPr>
      <t xml:space="preserve">
1. Complete all information below.
2. Species and emission rates will be compiled from the representations made on the tank and loading sheets.</t>
    </r>
  </si>
  <si>
    <t>http://www.tceq.texas.gov/permitting/air/bilingual/how1_2_pn.html</t>
  </si>
  <si>
    <r>
      <rPr>
        <b/>
        <sz val="11"/>
        <color theme="1"/>
        <rFont val="Arial"/>
        <family val="2"/>
      </rPr>
      <t>B. Public place</t>
    </r>
    <r>
      <rPr>
        <sz val="11"/>
        <color theme="1"/>
        <rFont val="Arial"/>
        <family val="2"/>
      </rPr>
      <t xml:space="preserve">
Place a copy of the full application (including all of this workbook and all attachments) at a public place in the county where the facilities are located. You must state where in the county the application will be available for public review and comment. The location must be a public place and described in the notice. A public place is a location which is owned and operated by public funds (such as libraries, county courthouses, city halls) and cannot be a commercial enterprise. You are required to pre-arrange this availability with the public place indicated below. The application must remain available from the first day of publication through the designated comment period.
If the application is submitted to the agency with information marked as Confidential, you are required to indicate which specific portions of the application are not being made available to the public. These portions of the application must be accompanied with the following statement: </t>
    </r>
    <r>
      <rPr>
        <b/>
        <i/>
        <sz val="11"/>
        <color theme="1"/>
        <rFont val="Arial"/>
        <family val="2"/>
      </rPr>
      <t>Any request for portions of this application that are marked as confidential must be submitted in writing, pursuant to the Public Information Act, to the TCEQ Public Information Coordinator, MC 197, P.O. Box 13087, Austin, Texas 78711-3087.</t>
    </r>
  </si>
  <si>
    <t>Is this a constant level tank? (constant level tanks are subject to only four turnovers per year)</t>
  </si>
  <si>
    <t>5</t>
  </si>
  <si>
    <t>6</t>
  </si>
  <si>
    <t>7</t>
  </si>
  <si>
    <t>8</t>
  </si>
  <si>
    <t>9</t>
  </si>
  <si>
    <t>10</t>
  </si>
  <si>
    <t>11</t>
  </si>
  <si>
    <t>Acronyms in this Attachment</t>
  </si>
  <si>
    <t>degrees Fahrenheit</t>
  </si>
  <si>
    <t>the sources listed changes depending on the sources that have "yes" for CAM applicability on their sheets</t>
  </si>
  <si>
    <t>At or Above the Threshold?</t>
  </si>
  <si>
    <t>I.  General Questions</t>
  </si>
  <si>
    <t>4</t>
  </si>
  <si>
    <t>Seal Types</t>
  </si>
  <si>
    <t>EFR</t>
  </si>
  <si>
    <t>IFR</t>
  </si>
  <si>
    <t>primary-mechanical; secondary-none</t>
  </si>
  <si>
    <t>primary-mechanical; secondary-shoe mounted</t>
  </si>
  <si>
    <t>primary-mechanical; secondary-rim mounted</t>
  </si>
  <si>
    <t>primary-liquid mounted; secondary-none</t>
  </si>
  <si>
    <t>primary-vapor mounted; secondary-rim mounted</t>
  </si>
  <si>
    <t xml:space="preserve">primary-vapor mounted; secondary-none </t>
  </si>
  <si>
    <t>primary-liquid mounted; secondary-weather shield</t>
  </si>
  <si>
    <t>primary-liquid mounted; secondary-rim mounted</t>
  </si>
  <si>
    <t>primary-vapor mounted; secondary-weather shield</t>
  </si>
  <si>
    <t xml:space="preserve">primary-mechanical; secondary-none </t>
  </si>
  <si>
    <t xml:space="preserve">primary-liquid mounted; secondary-none </t>
  </si>
  <si>
    <t>99.0-99.8%</t>
  </si>
  <si>
    <t>Emissions to control device (tpy)</t>
  </si>
  <si>
    <t>Collected uncontrolled emissions project increase (tpy)</t>
  </si>
  <si>
    <t>Controlled emissions project increase (tpy)</t>
  </si>
  <si>
    <t>FIN</t>
  </si>
  <si>
    <t>Average annual temperature of bulk liquid loaded (⁰R)</t>
  </si>
  <si>
    <t>NOx thermal emission factor (lb/MMBtu)</t>
  </si>
  <si>
    <t>H2S content in supplemental fuel (grains/100 scf)</t>
  </si>
  <si>
    <t>NH3 content of the waste stream (tpy)</t>
  </si>
  <si>
    <t>NOx emission factor (lb/MMBtu)</t>
  </si>
  <si>
    <t>Vendor NOx emission factor (lb/MMBtu)</t>
  </si>
  <si>
    <t>SO2 emission factor (lb/10^6 scf)</t>
  </si>
  <si>
    <t>Vendor SO2 emission factor (lb/10^6 scf)</t>
  </si>
  <si>
    <t>H2S in waste stream (tpy)</t>
  </si>
  <si>
    <t>Air contaminants emitted from the VCU to be tested for include (but are not limited to) NOx, VOC and O2.</t>
  </si>
  <si>
    <t>General application materials</t>
  </si>
  <si>
    <t>Currently At or Above the Threshold?</t>
  </si>
  <si>
    <r>
      <t>Proposed Increase
NO</t>
    </r>
    <r>
      <rPr>
        <b/>
        <vertAlign val="subscript"/>
        <sz val="11"/>
        <rFont val="Arial"/>
        <family val="2"/>
      </rPr>
      <t>x</t>
    </r>
    <r>
      <rPr>
        <b/>
        <sz val="11"/>
        <rFont val="Arial"/>
        <family val="2"/>
      </rPr>
      <t xml:space="preserve"> tpy</t>
    </r>
  </si>
  <si>
    <t>Proposed Increase
CO tpy</t>
  </si>
  <si>
    <t>Proposed Increase
PM tpy</t>
  </si>
  <si>
    <r>
      <t>Proposed Increase
PM</t>
    </r>
    <r>
      <rPr>
        <b/>
        <vertAlign val="subscript"/>
        <sz val="11"/>
        <rFont val="Arial"/>
        <family val="2"/>
      </rPr>
      <t>10</t>
    </r>
    <r>
      <rPr>
        <b/>
        <sz val="11"/>
        <rFont val="Arial"/>
        <family val="2"/>
      </rPr>
      <t xml:space="preserve"> tpy</t>
    </r>
  </si>
  <si>
    <r>
      <t>Proposed Increase
PM</t>
    </r>
    <r>
      <rPr>
        <b/>
        <vertAlign val="subscript"/>
        <sz val="11"/>
        <rFont val="Arial"/>
        <family val="2"/>
      </rPr>
      <t>2.5</t>
    </r>
    <r>
      <rPr>
        <b/>
        <sz val="11"/>
        <rFont val="Arial"/>
        <family val="2"/>
      </rPr>
      <t xml:space="preserve"> tpy</t>
    </r>
  </si>
  <si>
    <t>Proposed
Increase
VOC tpy</t>
  </si>
  <si>
    <r>
      <t>Proposed
Increase
SO</t>
    </r>
    <r>
      <rPr>
        <b/>
        <vertAlign val="subscript"/>
        <sz val="11"/>
        <rFont val="Arial"/>
        <family val="2"/>
      </rPr>
      <t>2</t>
    </r>
    <r>
      <rPr>
        <b/>
        <sz val="11"/>
        <rFont val="Arial"/>
        <family val="2"/>
      </rPr>
      <t xml:space="preserve"> tpy</t>
    </r>
  </si>
  <si>
    <t>Not needed</t>
  </si>
  <si>
    <t>Are there any pending projects involving EPNs in this project?</t>
  </si>
  <si>
    <t>If yes, describe the proposed changes in the other pending projects.</t>
  </si>
  <si>
    <t>If yes, list the emission units in this project subject to CAM. Please use the sheet name identifiers, for example Tank1, Tank2, Loading-drum,tote, etc.</t>
  </si>
  <si>
    <t>1. The source is characterized as a point source. Downwash does not apply to sources characterized as area or volume sources.
2. The stack height of the source is less than the good engineering practice stack height (Hg). Hg is defined as the greater of:
       • 65 meters, measured from the ground-level elevation at the base of the stack;
       • For stacks in existence on January 12, 1979 and the owner or operator had obtained all applicable permits or approvals required
         under 40 CFR parts 51 and 52:
                    Hg = 2.5H
             where:
                    H = structure height;
       • For all other stacks
                    Hg = H + 1.5L
             where:
                    L = the lesser of the structure height or maximum projected width (the width as seen from the source looking towards the
                          nearest property line) of the structure; and
3. The structure is sufficiently close to the stack, as defined when
                    D ≤ 5L,
             where:
                    D = the distance between the structure and the stack.
If the source is located near more than one structure, determine downwash applicability with the structure whose dimensions result in the highest good engineering practice stack height. This structure will cause the greatest downwash effects. Downwash may be applicable even in cases where the building is not between the source and the nearest property line.</t>
  </si>
  <si>
    <t>Does the applicant have unpaid delinquent fees and/or penalties owed to the TCEQ?</t>
  </si>
  <si>
    <t>PN Threshold (tpy)</t>
  </si>
  <si>
    <t>https://www.tceq.texas.gov/assets/public/permitting/air/Guidance/NewSourceReview/fnsr_app_determ.pdf</t>
  </si>
  <si>
    <t>Waste stream heating value (Btu/scf)</t>
  </si>
  <si>
    <t>Does the permit currently contain a limit to ensure emissions are below PSD and/or NA thresholds?</t>
  </si>
  <si>
    <t>If "Other", provide a short description of the facility.</t>
  </si>
  <si>
    <t>Step 1: Determine if the project is a named source.</t>
  </si>
  <si>
    <t>Step 1: Determine if the county is in nonattainment status.</t>
  </si>
  <si>
    <t>Baseline Emission Years (e.g. Sep 1992 - Aug 1994)</t>
  </si>
  <si>
    <t>This cell is intentionally blank.</t>
  </si>
  <si>
    <t>End of worksheet.</t>
  </si>
  <si>
    <t>Select the source type that most closely matches the facility in this application. If no source type applies, select "Other".</t>
  </si>
  <si>
    <t xml:space="preserve">     Baseline Emission Information</t>
  </si>
  <si>
    <t>H2S</t>
  </si>
  <si>
    <t>H2SO4</t>
  </si>
  <si>
    <t>Can Hide Baseline NA</t>
  </si>
  <si>
    <t>PM2.5</t>
  </si>
  <si>
    <t>Baseline Emission Years</t>
  </si>
  <si>
    <t>Filled In:</t>
  </si>
  <si>
    <t>PEI &lt; SER (Step 5)</t>
  </si>
  <si>
    <t>Step 3</t>
  </si>
  <si>
    <t>Step 5</t>
  </si>
  <si>
    <t>Baseline filled in (Step 4)</t>
  </si>
  <si>
    <t>Total Baseline Emissions (tpy)</t>
  </si>
  <si>
    <t xml:space="preserve">The loading operations, storage tanks, and associated control devices are currently authorized by the same active NSR Permit to be amended with this project. </t>
  </si>
  <si>
    <t>How is the flare monitored?</t>
  </si>
  <si>
    <t>Is there NH3 in the waste stream?</t>
  </si>
  <si>
    <t>Is there H2S in the waste stream?</t>
  </si>
  <si>
    <t>Is downwash applicable for this source? Note: always yes for tanks in this setup.</t>
  </si>
  <si>
    <t>Total VOC</t>
  </si>
  <si>
    <t>Throughput Total (bbl/yr)</t>
  </si>
  <si>
    <t>Uncontrolled H2S emissions from waste stream EPNs (tpy)</t>
  </si>
  <si>
    <t>The flare (if included in this project) will not be burning halogenated compounds.</t>
  </si>
  <si>
    <t>Current Sitewide PTE (tpy)
(all authorizations - 
does not include this project )</t>
  </si>
  <si>
    <t>Proposed Project Increase (tpy)</t>
  </si>
  <si>
    <t>Affected Sources</t>
  </si>
  <si>
    <t>Is this an affected or modified source?</t>
  </si>
  <si>
    <t>Confirm the following methods will not be used in the federal applicability analysis for this project:
   -net-to-zero;
   -retrospective review;
   -incremental increases; or
   -projected actuals/could have accommodated.</t>
  </si>
  <si>
    <t>B. Sources modified or affected in this project</t>
  </si>
  <si>
    <t>How many tanks will be modified or affected in this project?</t>
  </si>
  <si>
    <t>Will drum/tote loading be modified or affected in this project?</t>
  </si>
  <si>
    <t>Will truck loading be modified or affected in this project?</t>
  </si>
  <si>
    <t>Will rail loading be modified or affected in this project?</t>
  </si>
  <si>
    <t>Will a flare be modified or affected in this project?</t>
  </si>
  <si>
    <t>Will a vapor combustion unit be modified or affected in this project?</t>
  </si>
  <si>
    <t>Will a carbon adsorption system be modified or affected in this project?</t>
  </si>
  <si>
    <t>Affected</t>
  </si>
  <si>
    <t>Needed:</t>
  </si>
  <si>
    <t>Affected summary:</t>
  </si>
  <si>
    <t>Can Hide Baseline</t>
  </si>
  <si>
    <r>
      <t>Vendor data PM/PM</t>
    </r>
    <r>
      <rPr>
        <vertAlign val="subscript"/>
        <sz val="11"/>
        <color theme="1"/>
        <rFont val="Arial"/>
        <family val="2"/>
      </rPr>
      <t>10</t>
    </r>
    <r>
      <rPr>
        <sz val="11"/>
        <color theme="1"/>
        <rFont val="Arial"/>
        <family val="2"/>
      </rPr>
      <t>/PM</t>
    </r>
    <r>
      <rPr>
        <vertAlign val="subscript"/>
        <sz val="11"/>
        <color theme="1"/>
        <rFont val="Arial"/>
        <family val="2"/>
      </rPr>
      <t>2.5</t>
    </r>
    <r>
      <rPr>
        <sz val="11"/>
        <color theme="1"/>
        <rFont val="Arial"/>
        <family val="2"/>
      </rPr>
      <t xml:space="preserve"> emission factor (lb/10^6 scf)</t>
    </r>
  </si>
  <si>
    <r>
      <t>PM/PM</t>
    </r>
    <r>
      <rPr>
        <vertAlign val="subscript"/>
        <sz val="11"/>
        <color theme="1"/>
        <rFont val="Arial"/>
        <family val="2"/>
      </rPr>
      <t>10</t>
    </r>
    <r>
      <rPr>
        <sz val="11"/>
        <color theme="1"/>
        <rFont val="Arial"/>
        <family val="2"/>
      </rPr>
      <t>/PM</t>
    </r>
    <r>
      <rPr>
        <vertAlign val="subscript"/>
        <sz val="11"/>
        <color theme="1"/>
        <rFont val="Arial"/>
        <family val="2"/>
      </rPr>
      <t>2.5</t>
    </r>
    <r>
      <rPr>
        <sz val="11"/>
        <color theme="1"/>
        <rFont val="Arial"/>
        <family val="2"/>
      </rPr>
      <t xml:space="preserve"> emission factor (lb/10^6 scf)</t>
    </r>
  </si>
  <si>
    <t>Baseline Actual Emission Information</t>
  </si>
  <si>
    <t>Affected Current Totals</t>
  </si>
  <si>
    <r>
      <t>NO</t>
    </r>
    <r>
      <rPr>
        <b/>
        <vertAlign val="subscript"/>
        <sz val="11"/>
        <color theme="1"/>
        <rFont val="Arial"/>
        <family val="2"/>
      </rPr>
      <t>x</t>
    </r>
  </si>
  <si>
    <r>
      <t>PM</t>
    </r>
    <r>
      <rPr>
        <b/>
        <vertAlign val="subscript"/>
        <sz val="11"/>
        <color theme="1"/>
        <rFont val="Arial"/>
        <family val="2"/>
      </rPr>
      <t>10</t>
    </r>
  </si>
  <si>
    <r>
      <t>PM</t>
    </r>
    <r>
      <rPr>
        <b/>
        <vertAlign val="subscript"/>
        <sz val="11"/>
        <color theme="1"/>
        <rFont val="Arial"/>
        <family val="2"/>
      </rPr>
      <t>2.5</t>
    </r>
  </si>
  <si>
    <r>
      <t>SO</t>
    </r>
    <r>
      <rPr>
        <b/>
        <vertAlign val="subscript"/>
        <sz val="11"/>
        <color theme="1"/>
        <rFont val="Arial"/>
        <family val="2"/>
      </rPr>
      <t>2</t>
    </r>
  </si>
  <si>
    <r>
      <t>H</t>
    </r>
    <r>
      <rPr>
        <b/>
        <vertAlign val="subscript"/>
        <sz val="11"/>
        <color theme="1"/>
        <rFont val="Arial"/>
        <family val="2"/>
      </rPr>
      <t>2</t>
    </r>
    <r>
      <rPr>
        <b/>
        <sz val="11"/>
        <color theme="1"/>
        <rFont val="Arial"/>
        <family val="2"/>
      </rPr>
      <t>S</t>
    </r>
  </si>
  <si>
    <r>
      <t>H</t>
    </r>
    <r>
      <rPr>
        <b/>
        <vertAlign val="subscript"/>
        <sz val="11"/>
        <color theme="1"/>
        <rFont val="Arial"/>
        <family val="2"/>
      </rPr>
      <t>2</t>
    </r>
    <r>
      <rPr>
        <b/>
        <sz val="11"/>
        <color theme="1"/>
        <rFont val="Arial"/>
        <family val="2"/>
      </rPr>
      <t>SO</t>
    </r>
    <r>
      <rPr>
        <b/>
        <vertAlign val="subscript"/>
        <sz val="11"/>
        <color theme="1"/>
        <rFont val="Arial"/>
        <family val="2"/>
      </rPr>
      <t>4</t>
    </r>
  </si>
  <si>
    <t>Baseline Emissions</t>
  </si>
  <si>
    <t>Name Header</t>
  </si>
  <si>
    <t>Proposed Project Increase (tpy): Calculated (Current +  Increase - Baseline)</t>
  </si>
  <si>
    <t>Current Sitewide PTE (tpy) (Baseline)</t>
  </si>
  <si>
    <t>Current Sitewide PTE &lt; Major Thresholds (Step 2)</t>
  </si>
  <si>
    <t>Current Sitewide PTE
+ Proposed Project PTE (tpy)</t>
  </si>
  <si>
    <t>Current SITEWIDE + Project PTE</t>
  </si>
  <si>
    <t>Current Sitewide + Proposed PTE &lt; Major Thresholds (Step 3)</t>
  </si>
  <si>
    <t>Total Proposed PTE &lt; Major Thresholds (Step 4)</t>
  </si>
  <si>
    <t>Ozone (as NOx)</t>
  </si>
  <si>
    <t>NA County:</t>
  </si>
  <si>
    <t>NA Severity</t>
  </si>
  <si>
    <t>NA Pollutant</t>
  </si>
  <si>
    <t>Step 4</t>
  </si>
  <si>
    <t>Current Sitewide PTE 
+ Proposed Project PTE (tpy)</t>
  </si>
  <si>
    <t>PSD Conditional Formatting</t>
  </si>
  <si>
    <t>Tank</t>
  </si>
  <si>
    <t>Seal Type</t>
  </si>
  <si>
    <t>II.  Nonattainment Applicability Determination</t>
  </si>
  <si>
    <t>III.  PSD Applicability Determination</t>
  </si>
  <si>
    <t xml:space="preserve">     Loading: Truck</t>
  </si>
  <si>
    <t xml:space="preserve">     Loading: Rail</t>
  </si>
  <si>
    <t>Allowable increase of uncontrolled emissions from this project from this tank (tpy)</t>
  </si>
  <si>
    <r>
      <t>Step 2: Determine if the site is currently major.</t>
    </r>
    <r>
      <rPr>
        <sz val="11"/>
        <color theme="1"/>
        <rFont val="Arial"/>
        <family val="2"/>
      </rPr>
      <t xml:space="preserve">
1. Current Sitewide PTE: Total potential to emit for all authorizations on this site, which does not include this project. This should be entered on the "Baseline" sheet.
2. Major Source Threshold: If the Current Sitewide PTE is at or above this threshold, the site is major.</t>
    </r>
  </si>
  <si>
    <t>Proposed Project Increase (tpy) - Emission Summary</t>
  </si>
  <si>
    <t>Total Proposed PTE
(Current PTE + Proposed Project Increase) (tpy)</t>
  </si>
  <si>
    <t>Project Emission Increase
(Total Proposed PTE - Baseline Emissions) (tpy)</t>
  </si>
  <si>
    <t>Heated Tanks:</t>
  </si>
  <si>
    <t>#</t>
  </si>
  <si>
    <t>Current
NOx tpy</t>
  </si>
  <si>
    <t>Proposed Increase
NOx tpy</t>
  </si>
  <si>
    <t>Current PM10 tpy</t>
  </si>
  <si>
    <t>Proposed Increase
PM10 tpy</t>
  </si>
  <si>
    <t>Current PM2.5 tpy</t>
  </si>
  <si>
    <t>Proposed Increase
PM2.5 tpy</t>
  </si>
  <si>
    <t>Current SO2 tpy</t>
  </si>
  <si>
    <t>Proposed
Increase
SO2 tpy</t>
  </si>
  <si>
    <t>Drum/Tote</t>
  </si>
  <si>
    <t>Truck</t>
  </si>
  <si>
    <t>Rail</t>
  </si>
  <si>
    <r>
      <t xml:space="preserve">Step 2: Determine if the site is currently major.
</t>
    </r>
    <r>
      <rPr>
        <sz val="11"/>
        <color theme="1"/>
        <rFont val="Arial"/>
        <family val="2"/>
      </rPr>
      <t>1. Current Sitewide PTE: Total potential to emit for all authorizations on this site, which does not include this project. This should be entered on the "Baseline" sheet.
2. Major Source Threshold: If the Current Sitewide PTE is at or above this threshold, the site is major.</t>
    </r>
  </si>
  <si>
    <t>Nonattainment major site</t>
  </si>
  <si>
    <t>3</t>
  </si>
  <si>
    <t>I have reviewed and agree to the following: BACT as represented in this application; emission rates represented in the Emission Summary of the workbook; the impacts review contained within this workbook; all other representations made in this application workbook; and the draft permit. In addition, this workbook is submitted as part of my application and accurately represents my proposed project.</t>
  </si>
  <si>
    <t>Agreement with all criteria listed below is required to qualify for this RAP.</t>
  </si>
  <si>
    <t>C. Is a current area map attached?</t>
  </si>
  <si>
    <t>Current permit conditions apply unless any condition of this attachment is more stringent than the permit requirements, then for the purposes of complying with this permit, the attachment shall govern and be the standard by which compliance shall be demonstrated.</t>
  </si>
  <si>
    <t>The permit holder shall maintain a Risk Management Plan at the site which describes the measures taken by facility personnel to prevent and respond to upsets or severe leaks of pollutants requiring disaster review. This plan shall include a monitoring and alarm system and notification of civil authorities, appropriate organizations, and potentially affected residences. Response procedures in the event of leaks other than minor valve leaks shall comply with the mitigation and emergency procedure.</t>
  </si>
  <si>
    <t>Click here to jump to the Federal Applicability review.</t>
  </si>
  <si>
    <t>Special Conditions and Agreement</t>
  </si>
  <si>
    <t>II. Applicant Confirmation</t>
  </si>
  <si>
    <t>I. Special Conditions</t>
  </si>
  <si>
    <t>Enter second language if applicable</t>
  </si>
  <si>
    <t>Enter third language if applicable</t>
  </si>
  <si>
    <t>Enter fourth language if applicable</t>
  </si>
  <si>
    <t>II. Qualification Criteria</t>
  </si>
  <si>
    <t>Current maximum annual flow rate of the stream (scf/year)</t>
  </si>
  <si>
    <t>Supplemental fuel heating value HHV (Btu/scf)</t>
  </si>
  <si>
    <r>
      <t xml:space="preserve">This sheet details drum or tote loading specifications and determines emission rates.
</t>
    </r>
    <r>
      <rPr>
        <b/>
        <sz val="11"/>
        <color theme="1"/>
        <rFont val="Arial"/>
        <family val="2"/>
      </rPr>
      <t>Instructions:</t>
    </r>
    <r>
      <rPr>
        <sz val="11"/>
        <color theme="1"/>
        <rFont val="Arial"/>
        <family val="2"/>
      </rPr>
      <t xml:space="preserve">
1. Complete all information below.
2. All factors selected must be consistent with the factors used in the current authorization.</t>
    </r>
  </si>
  <si>
    <r>
      <t xml:space="preserve">This sheet details truck loading specifications and determines emission rates.
</t>
    </r>
    <r>
      <rPr>
        <b/>
        <sz val="11"/>
        <color theme="1"/>
        <rFont val="Arial"/>
        <family val="2"/>
      </rPr>
      <t>Instructions:</t>
    </r>
    <r>
      <rPr>
        <sz val="11"/>
        <color theme="1"/>
        <rFont val="Arial"/>
        <family val="2"/>
      </rPr>
      <t xml:space="preserve">
1. Complete all information below.</t>
    </r>
    <r>
      <rPr>
        <sz val="11"/>
        <color theme="1"/>
        <rFont val="Arial"/>
        <family val="2"/>
      </rPr>
      <t xml:space="preserve">
2. All factors selected must be consistent with the factors used in the current authorization.</t>
    </r>
  </si>
  <si>
    <r>
      <t xml:space="preserve">This sheet details rail loading specifications and determines emission rates.
</t>
    </r>
    <r>
      <rPr>
        <b/>
        <sz val="11"/>
        <color theme="1"/>
        <rFont val="Arial"/>
        <family val="2"/>
      </rPr>
      <t>Instructions:</t>
    </r>
    <r>
      <rPr>
        <sz val="11"/>
        <color theme="1"/>
        <rFont val="Arial"/>
        <family val="2"/>
      </rPr>
      <t xml:space="preserve">
1. Complete all information below.</t>
    </r>
    <r>
      <rPr>
        <sz val="11"/>
        <color theme="1"/>
        <rFont val="Arial"/>
        <family val="2"/>
      </rPr>
      <t xml:space="preserve">
2. All factors selected must be consistent with the factors used in the current authorization.</t>
    </r>
  </si>
  <si>
    <r>
      <t xml:space="preserve">This sheet details flare specifications and determines emission rates.
</t>
    </r>
    <r>
      <rPr>
        <b/>
        <sz val="11"/>
        <color theme="1"/>
        <rFont val="Arial"/>
        <family val="2"/>
      </rPr>
      <t>Instructions:</t>
    </r>
    <r>
      <rPr>
        <sz val="11"/>
        <color theme="1"/>
        <rFont val="Arial"/>
        <family val="2"/>
      </rPr>
      <t xml:space="preserve">
1. Complete all information below.
2. Species and emission rates will be compiled from the representations made on the tank and loading sheets.
3. All factors selected must be consistent with the factors used in the current authorization.
4. If using vendor data for any emission factor, provide the specifications as an attachment to the application.</t>
    </r>
  </si>
  <si>
    <r>
      <t xml:space="preserve">This sheet details vapor combustion unit specifications and determines emission rates.
</t>
    </r>
    <r>
      <rPr>
        <b/>
        <sz val="11"/>
        <color theme="1"/>
        <rFont val="Arial"/>
        <family val="2"/>
      </rPr>
      <t>Instructions:</t>
    </r>
    <r>
      <rPr>
        <sz val="11"/>
        <color theme="1"/>
        <rFont val="Arial"/>
        <family val="2"/>
      </rPr>
      <t xml:space="preserve">
1. Complete all information below.
2. Species and emission rates will be compiled from the representations made on the tank and loading sheets.
3. All factors selected must be consistent with the factors used in the current authorization.
4. If using vendor data for any emission factor, provide the specifications as an attachment to the application.</t>
    </r>
  </si>
  <si>
    <t>Significant Impact Level (ug/m3)</t>
  </si>
  <si>
    <t>https://www.tceq.texas.gov/assets/public/permitting/centralregistry/10400.docx</t>
  </si>
  <si>
    <t>III. Process Instructions</t>
  </si>
  <si>
    <t>IV. Workbook Instructions</t>
  </si>
  <si>
    <t>V. Downwash Applicability Instructions</t>
  </si>
  <si>
    <t>I acknowledge that I am submitting an authorized TCEQ application workbook and any necessary attachments. Except for inputting the requested data and adjusting row height, I have not changed the TCEQ application workbook in any way, including but not limited to changing formulas, formatting, content, or protections.</t>
  </si>
  <si>
    <t>II.  Applicant Information</t>
  </si>
  <si>
    <t>https://www.naics.com/sic-codes-industry-drilldown/</t>
  </si>
  <si>
    <t>Revise the provided process description to represent your project and site specifics. Attach additional details if needed.</t>
  </si>
  <si>
    <r>
      <rPr>
        <b/>
        <sz val="11"/>
        <color theme="1"/>
        <rFont val="Arial"/>
        <family val="2"/>
      </rPr>
      <t xml:space="preserve">C. Project Timing
</t>
    </r>
    <r>
      <rPr>
        <sz val="11"/>
        <color theme="1"/>
        <rFont val="Arial"/>
        <family val="2"/>
      </rPr>
      <t>You must obtain an air authorization before beginning construction. Construction is broadly interpreted as anything other than site clearance or site preparation.</t>
    </r>
  </si>
  <si>
    <t>E. Mass Emissions Cap and Trade</t>
  </si>
  <si>
    <t>Is this facility located at a site within the Houston/Galveston nonattainment area (Brazoria, Chambers, Fort Bend, Galveston, Harris, Liberty, Montgomery, and Waller Counties)?</t>
  </si>
  <si>
    <t>If MECT is applicable, does the application contain documentation demonstrating that the proposed facility, group of facilities, or account has obtained allowances to operate?</t>
  </si>
  <si>
    <t>Indicate whether any of the following Federal Regulatory subparts apply for this project by selecting yes or no. Note, you must meet the requirements of applicable federal regulations even if not listed below.</t>
  </si>
  <si>
    <t>Does your plot plan identify all emission points on the affected property?</t>
  </si>
  <si>
    <r>
      <rPr>
        <b/>
        <sz val="11"/>
        <color theme="1"/>
        <rFont val="Arial"/>
        <family val="2"/>
      </rPr>
      <t>Instructions:</t>
    </r>
    <r>
      <rPr>
        <sz val="11"/>
        <color theme="1"/>
        <rFont val="Arial"/>
        <family val="2"/>
      </rPr>
      <t xml:space="preserve">
1. Answer each of the questions in Section I.
2. Enter the amount of each cost in the associated box. Include estimated cost of equipment and services that would normally be capitalized according to standard and generally accepted corporate financing and accounting procedures.
3. Enter payment information.
4. If applicable, submit the application under the seal of a Texas Licensed P.E.</t>
    </r>
  </si>
  <si>
    <t>Is this project for new facilities controlled and operated directly by the federal government? (30 TAC § 116.141(b)(1) and 30 TAC § 116.163(a))</t>
  </si>
  <si>
    <t>A fee of $75,000 shall be required if no estimate of capital project cost is included with the permit application. (30 TAC § 116.141(d)) Select "yes" here to use this option. Then skip sections II and III.</t>
  </si>
  <si>
    <t>Select Application Type</t>
  </si>
  <si>
    <t>Minor Permit Application Fee:</t>
  </si>
  <si>
    <t>Is the estimated capital cost of the project above $2 million?</t>
  </si>
  <si>
    <t>Is the application required to be submitted under the seal of a Texas licensed P.E.?
Note: an electronic PE seal is acceptable.</t>
  </si>
  <si>
    <r>
      <rPr>
        <b/>
        <sz val="11"/>
        <color rgb="FF000000"/>
        <rFont val="Arial"/>
        <family val="2"/>
      </rPr>
      <t xml:space="preserve">D. Are any HAPs to be authorized/re-authorized with this project? </t>
    </r>
    <r>
      <rPr>
        <sz val="11"/>
        <color rgb="FF000000"/>
        <rFont val="Arial"/>
        <family val="2"/>
      </rPr>
      <t>The category "HAPs" must be specifically listed in the public notice if the project authorizes (reauthorizes for renewals) any HAP pollutants.</t>
    </r>
  </si>
  <si>
    <r>
      <t xml:space="preserve">This sheet contains the draft permit prepared by the TCEQ for this project and the applicant agreement to representations in this workbook.
</t>
    </r>
    <r>
      <rPr>
        <b/>
        <sz val="11"/>
        <color theme="1"/>
        <rFont val="Arial"/>
        <family val="2"/>
      </rPr>
      <t>Instructions:</t>
    </r>
    <r>
      <rPr>
        <sz val="11"/>
        <color theme="1"/>
        <rFont val="Arial"/>
        <family val="2"/>
      </rPr>
      <t xml:space="preserve">
1. Review the Special Conditions. During the technical review, APD staff will convert this sheet to a Word document to be attached to your existing permit.
2. Not applicable requirements are greyed out.
3. Electronically sign this document at the end, indicating agreement with the statement.</t>
    </r>
  </si>
  <si>
    <t>https://www3.tceq.texas.gov/epay/</t>
  </si>
  <si>
    <t>Emission Summary</t>
  </si>
  <si>
    <t xml:space="preserve">     Emission Summary</t>
  </si>
  <si>
    <t>Current H2S tpy</t>
  </si>
  <si>
    <t>Proposed
Increase
H2S tpy</t>
  </si>
  <si>
    <t>Current H2SO4 tpy</t>
  </si>
  <si>
    <t>Proposed
Increase
H2SO4 tpy</t>
  </si>
  <si>
    <t>Is there a new air contaminant in this application?</t>
  </si>
  <si>
    <r>
      <t xml:space="preserve">This sheet provides summaries of the proposed project.
</t>
    </r>
    <r>
      <rPr>
        <b/>
        <sz val="11"/>
        <color theme="1"/>
        <rFont val="Arial"/>
        <family val="2"/>
      </rPr>
      <t>Instructions:</t>
    </r>
    <r>
      <rPr>
        <sz val="11"/>
        <color theme="1"/>
        <rFont val="Arial"/>
        <family val="2"/>
      </rPr>
      <t xml:space="preserve">
1. Section I
    A. The proposed emission rate increase for each source modified with this project will be automatically populated from data entered on the previous sheets.
    B. Enter the current ton per year emission rate from your current MAERT for each source modified with this project.
2. Section II
    A. The sources and total throughputs (current and proposed in this project) are automatically listed based on representations made on the unit sheets.</t>
    </r>
  </si>
  <si>
    <t>Current Sitewide PTE (tpy)
(all authorizations - 
does not include this project)</t>
  </si>
  <si>
    <r>
      <t>If gasoline is stored at this site: what is the currently authorized weight percent of benzene in the gasoline stored?</t>
    </r>
    <r>
      <rPr>
        <b/>
        <sz val="11"/>
        <color theme="5"/>
        <rFont val="Arial"/>
        <family val="2"/>
      </rPr>
      <t xml:space="preserve"> Enter zero if no gasoline is stored.</t>
    </r>
  </si>
  <si>
    <r>
      <t xml:space="preserve">This sheet lists the practices and controls which represent Best Available Control Technology (BACT) for each specific unit in this project. BACT is required by 30 TAC §116.111(a)(2)(C).
</t>
    </r>
    <r>
      <rPr>
        <b/>
        <sz val="11"/>
        <color theme="1"/>
        <rFont val="Arial"/>
        <family val="2"/>
      </rPr>
      <t>Instructions:</t>
    </r>
    <r>
      <rPr>
        <sz val="11"/>
        <color theme="1"/>
        <rFont val="Arial"/>
        <family val="2"/>
      </rPr>
      <t xml:space="preserve">
1. Review the BACT requirements.
2. Acceptance of the BACT for each unit is confirmed on the CND sheet.</t>
    </r>
  </si>
  <si>
    <t>Increase in flowrate (scf/min)</t>
  </si>
  <si>
    <t>Compounds to be included in this project are listed on the "Species" sheet of this workbook. Contact the TCEQ prior to submitting your project if the chemical you would like to represent is not included in the list.</t>
  </si>
  <si>
    <t>The project only authorizes emissions from an annual increase in throughput to existing storage tanks, loading operations, and associated control devices (flare, VCU, and/or CAS) if applicable.</t>
  </si>
  <si>
    <t>There will be no new species of chemicals, unless previously authorized through chemical flexibility conditions in the NSR Permit.</t>
  </si>
  <si>
    <r>
      <rPr>
        <b/>
        <sz val="11"/>
        <color theme="5"/>
        <rFont val="Arial"/>
        <family val="2"/>
      </rPr>
      <t>1. Complete the workbook sheets in order, moving left to right and top to bottom.</t>
    </r>
    <r>
      <rPr>
        <sz val="11"/>
        <color theme="5"/>
        <rFont val="Arial"/>
        <family val="2"/>
      </rPr>
      <t xml:space="preserve">
</t>
    </r>
    <r>
      <rPr>
        <sz val="11"/>
        <color theme="1"/>
        <rFont val="Arial"/>
        <family val="2"/>
      </rPr>
      <t xml:space="preserve">
2. Complete all blank cells on each applicable emission source sheet.
    • The emission point number entered must be identical to an existing EPN in the current authorization.
    • Some cells have drop-down selections.
3. On the "CND" sheet, confirm acceptance of all information in this workbook and submitted with the application.</t>
    </r>
  </si>
  <si>
    <t>Does the existing permit authorize SO2, H2S, PM, PM10, and PM2.5 emissions for the VCU?</t>
  </si>
  <si>
    <t>This project does not qualify for this RAP. The VCU must have quantified emissions of SO2, H2S, PM, PM10, and PM2.5 in the existing permit.</t>
  </si>
  <si>
    <t>Is this project subject to an exemption contained in the Texas Engineering Practice Act (TEPA)? (30 TAC § 116.110(f))</t>
  </si>
  <si>
    <t>Vapor pressure of material stored (psia)</t>
  </si>
  <si>
    <t xml:space="preserve">     Allowable Species</t>
  </si>
  <si>
    <t xml:space="preserve">     Loading: Drum or Tote</t>
  </si>
  <si>
    <t xml:space="preserve">     Vapor Combustion Unit (VCU)</t>
  </si>
  <si>
    <t xml:space="preserve">     Carbon Adsorption System (CAS)</t>
  </si>
  <si>
    <t xml:space="preserve">     Special Conditions and Agreement (CND)</t>
  </si>
  <si>
    <t xml:space="preserve">     Best Available Control Technology (BACT)</t>
  </si>
  <si>
    <t>V. Payment Information</t>
  </si>
  <si>
    <t>VI. Professional Engineer Seal Requirement</t>
  </si>
  <si>
    <t>III.  Delinquent Fees and Penalties</t>
  </si>
  <si>
    <t>V. Project Information</t>
  </si>
  <si>
    <t>VI.  State Regulatory Questions</t>
  </si>
  <si>
    <t>D. 30 TAC Chapter 115 - Volatile Organic Compounds</t>
  </si>
  <si>
    <t>E. 30 TAC Chapter 117 - Nitrogen Compounds</t>
  </si>
  <si>
    <t>VII. Federal Regulatory Requirements</t>
  </si>
  <si>
    <t>C. Title 40 CFR Part 63 Subparts</t>
  </si>
  <si>
    <t>VIII.  Required Attachments</t>
  </si>
  <si>
    <t>IX. Emissions Review</t>
  </si>
  <si>
    <t>This combination is not available.</t>
  </si>
  <si>
    <t>No annual standard</t>
  </si>
  <si>
    <t>III. Storage Tank Emissions</t>
  </si>
  <si>
    <t>greys out if all control devices say yes to bypass</t>
  </si>
  <si>
    <t>greys out if all control devices say no to bypass</t>
  </si>
  <si>
    <t>Netting Threshold (tpy)</t>
  </si>
  <si>
    <r>
      <t xml:space="preserve">This sheet compiles baseline emission information for sources in this project for use in the federal applicability determination.
</t>
    </r>
    <r>
      <rPr>
        <b/>
        <sz val="11"/>
        <color theme="1"/>
        <rFont val="Arial"/>
        <family val="2"/>
      </rPr>
      <t>Instructions:</t>
    </r>
    <r>
      <rPr>
        <sz val="11"/>
        <color theme="1"/>
        <rFont val="Arial"/>
        <family val="2"/>
      </rPr>
      <t xml:space="preserve">
1. Complete all applicable cells. Empty cells will be treated as 0. These values will be compiled into the Federal Applicability sheet.
2. If this is a named source for PSD, the current sitewide PTE must include fugitive emissions.
3. If using baseline emissions in the federal applicability determination, attach a printout from Emissions Inventory showing the baseline emission years for the units in the project.
</t>
    </r>
    <r>
      <rPr>
        <b/>
        <sz val="11"/>
        <color theme="1"/>
        <rFont val="Arial"/>
        <family val="2"/>
      </rPr>
      <t>Notes:</t>
    </r>
    <r>
      <rPr>
        <sz val="11"/>
        <color theme="1"/>
        <rFont val="Arial"/>
        <family val="2"/>
      </rPr>
      <t xml:space="preserve">
1. Baseline emissions years:
   -The baseline period is determined by a consecutive 24-month period and is not required to be on a calendar year basis.
   -You must use the same 24 months for a single pollutant.
   -The selected baseline period must be in the contemporaneous period.
2. Baseline emissions:
   -Enter the average over the baseline period.
   -The values cannot exceed the currently authorized emission rate.
   -The values must be relatively consistent with data from emissions inventory.</t>
    </r>
  </si>
  <si>
    <t>Maximum vapor pressure (psia)</t>
  </si>
  <si>
    <t>Uncontrolled Emissions 
Increase
(tpy)</t>
  </si>
  <si>
    <t>Constant Level Tanks:</t>
  </si>
  <si>
    <t>Current PTE (tpy) (Emission Summary)</t>
  </si>
  <si>
    <r>
      <t xml:space="preserve">This sheet details tank specifications and determines emission rates.
</t>
    </r>
    <r>
      <rPr>
        <b/>
        <sz val="11"/>
        <color theme="1"/>
        <rFont val="Arial"/>
        <family val="2"/>
      </rPr>
      <t>Instructions:</t>
    </r>
    <r>
      <rPr>
        <sz val="11"/>
        <color theme="1"/>
        <rFont val="Arial"/>
        <family val="2"/>
      </rPr>
      <t xml:space="preserve">
1. Complete all information below.
2. List all species included in this project for this tank.
    A. Enter "0" in the Allowable Increase column if the species emission rate is not changing.
    B. If the tank is authorized for more species than lines, include those not changing with this project as an attachment.
3. Speciated VOC emissions from this source should be determined using storage tank emission calculations or output files from approved calculation software. Output files must be provided with the application.</t>
    </r>
  </si>
  <si>
    <t>This sheet details tank specifications and determines emission rates.
Instructions:
1. Complete all information below.
2. List all species included in this project for this tank.
    A. Enter "0" in the Allowable Increase column if the species emission rate is not changing.
    B. If the tank is authorized for more species than lines, include those not changing with this project as an attachment.
3. Speciated VOC emissions from this source should be determined using storage tank emission calculations or output files from approved calculation software. Output files must be provided with the application.</t>
  </si>
  <si>
    <t>For each source, you will need to identify if downwash is applicable. Note: based on the site configurations and tank characteristics typically seen at sites anticipated to use this RAP, downwash will always be applicable for the tanks included in this RAP. Downwash is a term used to represent the potential effects of a structure on the dispersion of emissions from a source. Your responses will affect the impacts evaluation and must be accurate. A source is downwashed if each of the three conditions below is satisfied:</t>
  </si>
  <si>
    <t>Is this a small business?</t>
  </si>
  <si>
    <t xml:space="preserve">The VCU (if included in this project) has particulate matter (PM), PM10, and PM2.5 quantified in the existing permit. Additionally, if sulfur compounds or hydrogen sulfide are present in the VCU’s fuel, pilot light fuel, or waste streams controlled by the VCU, then the VCU has SO2 and as appropriate H2S quantified in the existing permit.  </t>
  </si>
  <si>
    <t>Control device for this tank during routine operation</t>
  </si>
  <si>
    <t>applicable to non regenerative CAS subject to CEMS (pre-control VOC &gt;100 tpy)</t>
  </si>
  <si>
    <t>this condition is applicable for non regenerative CAS. Also, FINs routed to the CAS will be listed.</t>
  </si>
  <si>
    <t>this condition applicable for regenerative CAS at a gasoline terminal. Also, FINs routed to the CAS will be listed.</t>
  </si>
  <si>
    <t xml:space="preserve">The monitoring data shall be reduced to 15-minute average concentrations at least once every day, using a minimum of four equally-spaced data points from each one-hour period.  The individual average concentrations shall be converted to the unit of pounds per hour at least once every week to determine the hourly emission rates by following the method represented in the application. </t>
  </si>
  <si>
    <t>All monitoring data and quality-assurance data shall be maintained by the source.  The data from the CEMS may, at the discretion of the TCEQ, be used to determine compliance with the conditions of this permit.</t>
  </si>
  <si>
    <t>The appropriate TCEQ Regional Office shall be notified at least 30 days prior to any required RATA in order to provide them the opportunity to observe the testing.</t>
  </si>
  <si>
    <t>Quality-assured (or valid) data must be generated when the facility generating emissions is operating except during the performance of a daily zero and span check.  Loss of valid data due to periods of monitor break down, out-of-control operation (producing inaccurate data), repair, maintenance, or calibration may be exempted provided it does not exceed 5 percent of the time (in minutes) that the facility generating emissions operated over the previous rolling 12-month period.
When the CEMS is out of service, proper operation of the CAS shall be ensured through system inspection and evaluation following the manufacturer’s daily checklist.  Operating parameters for the CAS system shall be checked against the manufacturer’s recommended operating range.  The daily checklist will be maintained as the CAS record for all periods when the CEMS is out of service.</t>
  </si>
  <si>
    <t>26</t>
  </si>
  <si>
    <t>this condition applicable for regenerative CAS at sites that are not gasoline terminals. Also, FINs routed to the CAS will be listed.</t>
  </si>
  <si>
    <t>The instrument/FID shall be calibrated daily with zero and span cylinder calibration gas mixtures. Zero gas shall be certified to contain less than 0.1 ppmv total hydrocarbons. Span calibration gas shall be propane at a concentration within ± 10 percent of the breakthrough concentration, and certified by the manufacturer to be ± 2 percent accurate. Calibration error for the zero and span calibration gas checks must be less than ± 5 percent of the span calibration gas value before sampling may be conducted.</t>
  </si>
  <si>
    <t>Compliance with the breakthrough concentration shall be determined on a 1-minute average basis. While monitoring during CEMS downtime or out-of-control periods, compliance shall be determined by the highest 1-minute average.</t>
  </si>
  <si>
    <t>Visual inspection for carbon build up around the stack shall occur once a week.  If carbon build up is noticed, it shall be recorded, the CAS shall be shut down, and corrective action shall be taken in accordance with the system maintenance manual.</t>
  </si>
  <si>
    <t>All personnel involved in maintenance of the CAS shall be trained by the manufacturer in proper maintenance procedures.  Certification of such training shall be provided by the manufacturer for each affected individual.  A record of certification shall be maintained at the terminal for each affected individual.</t>
  </si>
  <si>
    <t>Maintenance shall be performed on the CAS according to the manufacturer’s recommended guidelines.  The permit holder shall obtain a yearly certification by the manufacturer or a qualified contractor that the recommended maintenance is being performed.</t>
  </si>
  <si>
    <t>breakthrough concentration entered based on CAS C20 entry</t>
  </si>
  <si>
    <t>The instrument/FID shall be calibrated daily with zero and span cylinder calibration gas mixtures. Zero gas shall be certified to contain less than 0.1 ppmv total hydrocarbons. Span calibration gas shall be propane at a concentration within ± 10 percent of the breakthrough concentration and certified by the manufacturer to be ± 2 percent accurate. Calibration error for the zero and span calibration gas checks must be less than ± 5 percent of the span calibration gas value before sampling may be conducted.</t>
  </si>
  <si>
    <t>Compliance with the breakthrough concentration shall be determined on a 1-minute average basis.  While monitoring during CEMS downtime or out-of-control periods, compliance shall be determined by the highest 1-minute average.</t>
  </si>
  <si>
    <t>During any CEMS downtime or out-of-control period exceeding 24 hours, the facilities controlled by CAS shall be shut down or the CAS exhaust and vent between the first and second canister shall be sampled at a frequency equal to 25 percent of the normal operating time to canister replacement regeneration. The VOC sampling and analysis shall be performed using an instrument with a FID, or a TCEQ-approved alternative detector. The instrument/FID must meet all requirements specified in Section 8.1 of EPA Method 21 (40 CFR 60, Appendix A). Sampling and analysis for VOC concentration shall be performed as follows:</t>
  </si>
  <si>
    <t>During any CEMS downtime or out-of-control period exceeding 24 hours, any facility controlled by CAS shall be shut down or the CAS exhaust shall be sampled at a frequency equal to 25 percent of the normal operating time to regeneration. The VOC sampling and analysis shall be performed using an instrument with a FID, or a TCEQ-approved alternative detector. The instrument/FID must meet all requirements specified in Section 8.1 of EPA Method 21 (40 CFR 60, Appendix A). Sampling and analysis for VOC concentration shall be performed as follows:</t>
  </si>
  <si>
    <t>The CEMS shall meet the design and performance specifications, pass the field tests, meet the installation requirements, and complete the data analysis and reporting requirements specified in Performance Specification 8A, )40 CFR Part 60, Appendix B).
The system shall be zeroed and spanned daily when the CAS is in operation, and corrective action taken when the 24-hour calibration drift exceeds two times the amounts specified in Performance Specification 8A.  The CEMS shall be considered out-of-control, as defined in 40 CFR 60, Appendix F, Section 4.3.1, if the daily zero or span calibration drift checks exceed two times the allowable drift specified in Performance Specification 8A for five consecutive daily calibration drift checks.
Each monitor shall be quality-assured at least quarterly in accordance with 40 CFR Part 60, Appendix F, Procedure 1. Any failed quarterly audit and CEMS downtime shall be reported to the appropriate TCEQ Regional Manager, and necessary corrective action shall be taken. After any failed quarterly audit, the CEMS shall be considered out-of-control, as defined in 40 CFR 60, Appendix F, Section 5.2, until the successful completion of a corresponding audit following the corrective action.
Quality assured (or valid) data must be generated when the CAS is operating except during the performance of a daily zero and span check. Loss of valid data due to periods of monitor break down, out-of-control operation (producing inaccurate data), repair, maintenance, or calibration may be exempted provided it does not exceed 5 percent of the time (in minutes) that the CAS operated over the previous rolling 12-month period. The measurements missed shall be estimated using engineering judgment and the methods used recorded.</t>
  </si>
  <si>
    <t>The permit holder shall install, calibrate, and maintain a CEMS to measure and record the in-stack concentration of VOC from the CAS.</t>
  </si>
  <si>
    <t>The CEMS shall meet the design and performance specifications, pass the field tests, and meet the installation requirements and the data analysis and reporting requirements specified in the applicable Performance Specification Nos. 1 through 9, 40 CFR Part 60, Appendix B.  If there are no applicable performance specifications in 40 CFR Part 60, Appendix B, contact the TCEQ Office of Air, Air Permits Division for requirements to be met.</t>
  </si>
  <si>
    <t>Each monitor shall be quality-assured at least semiannually using CGA in accordance with 40 CFR Part 60, Appendix F, Procedure 1, Section 5.1.2, with the following exception:  a relative accuracy test audit is not required once every four quarters (i.e., two successive semiannual CGA may be conducted).  An equivalent quality-assurance method approved by the TCEQ may also be used.  Successive semiannual audits shall occur no closer than four months.  After completion of four consecutive satisfactory semiannual CGAs, the permit holder may submit a request to perform this monitoring on a less frequent basis.  This submission shall be in the form of a permit alteration request to the Air Permits Division of the TCEQ.</t>
  </si>
  <si>
    <t>An alarm shall be installed such that an operator is alerted if the CAS outlet concentration exceeds a one-hour rolling average of 6,500 ppmv.  The one-hour rolling average outlet concentration shall not exceed 9,500 ppmv.
Records of the corrective action taken following an alarm will be maintained at the terminal site and shall include the time and date of that action.</t>
  </si>
  <si>
    <t>The CAS shall be sampled and recorded continuously by a CEMS to determine breakthrough of VOC through the first canister and assure the VOC concentration does not exceed the breakthrough concentration from the second or final polishing canister.</t>
  </si>
  <si>
    <r>
      <rPr>
        <b/>
        <sz val="11"/>
        <color rgb="FF000000"/>
        <rFont val="Arial"/>
        <family val="2"/>
      </rPr>
      <t>Instructions:</t>
    </r>
    <r>
      <rPr>
        <sz val="11"/>
        <color rgb="FF000000"/>
        <rFont val="Arial"/>
        <family val="2"/>
      </rPr>
      <t xml:space="preserve"> 
1. Complete all questions below in the Public Notice Applicability section. A summary statement at the end will indicate if notice is required.
2. If public notice applies, additional information is required to meet the requirements of the THSC § 382.056. If you are unsure whether public notice applies, we encourage you to complete this section to facilitate a quicker review of the application.
3. Complete all questions in the Small Business Classification section to determine eligibility.</t>
    </r>
  </si>
  <si>
    <t>Complete this section to determine small business classification. If a small business requests a permit, agency rules [30 TAC § 39.603(d)(1)(A)] allow for alternative public notification requirements if all of the following criteria are met. If these requirements are met, public notice does not have to include publication of the prominent (12 square inch) newspaper notice.</t>
  </si>
  <si>
    <t>This project is to authorize annual throughput increases. The site is currently authorized to load and store each of these chemicals. The project authroizes modifications to existing tanks and/or existing loading operations as well as the associated control devices (when applicable). Each of the modified sources are described below. The RAP amendment does not authorize new facilities or chemicals and does not authorize MSS activities.</t>
  </si>
  <si>
    <t>applicable if truck loading collection efficiency is greater than 98.7</t>
  </si>
  <si>
    <t>applicable if truck loading collection efficiency is greater than 99.2</t>
  </si>
  <si>
    <t>The permit holder shall not allow a tank truck to be filled unless certification has been presented indicating that the truck has passed a vapor tightness test within the past 12 months conforming to the requirements of 40 CFR 60, Subpart XX.</t>
  </si>
  <si>
    <t>The permit holder shall not allow a tank truck to be filled unless certification has been presented indicating that the truck has passed a vapor tightness test within the past 12 months conforming to the requirements of 40 CFR 63, Subpart R.</t>
  </si>
  <si>
    <t>Does the flare have a flow meter?</t>
  </si>
  <si>
    <t>truck loading ≥0.5, CE&lt;&gt;100</t>
  </si>
  <si>
    <t>truck loading ≥0.5, CE=100</t>
  </si>
  <si>
    <t>Route to VOC control device and meet the specific control device requirements. Or, Annual truck leak checking per NSPS XX; 98.7% collection efficiency</t>
  </si>
  <si>
    <t xml:space="preserve">Route to VOC control device and meet the specific control device requirements. A blower system shall be installed to produce a vacuum in the truck of at least 1.5 inches of water column during loading. </t>
  </si>
  <si>
    <t>VI. Website Links</t>
  </si>
  <si>
    <t>VII. Where to Submit Application Materials</t>
  </si>
  <si>
    <t>VIII. Workbook Table of Contents (click to jump to the worksheet)</t>
  </si>
  <si>
    <t>The following qualification criteria must be met in order to submit an application for this RAP.
1. The project only authorizes emissions from an annual increase in throughput to existing storage tanks, loading operations, and associated control devices (if applicable).
2. The loading operations (drum, tote, truck, and rail), storage tanks, and associated control devices [flare, vapor combustion unit (VCU), and carbon absorption system (CAS)] are currently authorized by the same active NSR Permit to be amended with this project.
3. There are no upstream or downstream production increases as a result of this project. There is no increase to actual emission rates for sources outside of this current RAP workbook. See Title 30 Texas Administrative Code Chapter 116 for additional information.
4. The project will not authorize new control equipment or new facilities, including fugitives.
5. There will not be a change in hourly emission representations in the NSR Permit.</t>
  </si>
  <si>
    <t>The regulated entity number (RN) associated with this RAP has a current compliance history rating of satisfactory or better. Information on compliance history classifications and details on obtaining a compliance history report can be found using the website links listed in Section VI of the "Instructions" sheet.</t>
  </si>
  <si>
    <t>115-02-6</t>
  </si>
  <si>
    <t>Azaserine</t>
  </si>
  <si>
    <t>fluozirconia acid | For air permit reviews in agricultural areas</t>
  </si>
  <si>
    <t>fluozirconia acid | For air permit reviews in agricultural areas with cattle</t>
  </si>
  <si>
    <t>ammonium fluoride | For air permit reviews in agricultural areas</t>
  </si>
  <si>
    <t>ammonium fluoride | For air permit reviews in agricultural areas with cattle</t>
  </si>
  <si>
    <t>129828-16-6</t>
  </si>
  <si>
    <t>canola oil, methyl esters</t>
  </si>
  <si>
    <t>129828-24-6</t>
  </si>
  <si>
    <t>eucalyptus citriodora oil</t>
  </si>
  <si>
    <t>sodium bifluoride | For air permit reviews in agricultural areas</t>
  </si>
  <si>
    <t>sodium bifluoride | For air permit reviews in agricultural areas with cattle</t>
  </si>
  <si>
    <t>ammonium bifluoride | For air permit reviews in agricultural areas</t>
  </si>
  <si>
    <t>ammonium bifluoride | For air permit reviews in agricultural areas with cattle</t>
  </si>
  <si>
    <t>xenon difluoride | For air permit reviews in agricultural areas</t>
  </si>
  <si>
    <t>xenon difluoride | For air permit reviews in agricultural areas with cattle</t>
  </si>
  <si>
    <t>sodium fluoborate | For air permit reviews in agricultural areas</t>
  </si>
  <si>
    <t>sodium fluoborate | For air permit reviews in agricultural areas with cattle</t>
  </si>
  <si>
    <t>ammonium fluoborate | For air permit reviews in agricultural areas</t>
  </si>
  <si>
    <t>ammonium fluoborate | For air permit reviews in agricultural areas with cattle</t>
  </si>
  <si>
    <t>1395-21-7</t>
  </si>
  <si>
    <t>subtilisin</t>
  </si>
  <si>
    <t>silicon fluoride | For air permit reviews in agricultural areas</t>
  </si>
  <si>
    <t>silicon fluoride | For air permit reviews in agricultural areas with cattle</t>
  </si>
  <si>
    <t>1563-66-2</t>
  </si>
  <si>
    <t>Carbofuran</t>
  </si>
  <si>
    <t>fluoroboric acid | For air permit reviews in agricultural areas</t>
  </si>
  <si>
    <t>fluoroboric acid | For air permit reviews in agricultural areas with cattle</t>
  </si>
  <si>
    <t>sodium silicofluoride | For air permit reviews in agricultural areas</t>
  </si>
  <si>
    <t>sodium silicofluoride | For air permit reviews in agricultural areas with cattle</t>
  </si>
  <si>
    <t>magnesium hexafluorosilicate | For air permit reviews in agricultural areas</t>
  </si>
  <si>
    <t>magnesium hexafluorosilicate | For air permit reviews in agricultural areas with cattle</t>
  </si>
  <si>
    <t>fluorosilicic acid | For air permit reviews in agricultural areas</t>
  </si>
  <si>
    <t>fluorosilicic acid | For air permit reviews in agricultural areas with cattle</t>
  </si>
  <si>
    <t>fluotitanic acid | For air permit reviews in agricultural areas</t>
  </si>
  <si>
    <t>fluotitanic acid | For air permit reviews in agricultural areas with cattle</t>
  </si>
  <si>
    <t>2385-85-5</t>
  </si>
  <si>
    <t>Mirex</t>
  </si>
  <si>
    <t>2425-06-1</t>
  </si>
  <si>
    <t>Captafol</t>
  </si>
  <si>
    <t>2536-05-2</t>
  </si>
  <si>
    <t>2,2-methylene diphenyl diisocyanate</t>
  </si>
  <si>
    <t>potassium fluoroalkyl carboxylate | For air permit reviews in agricultural areas</t>
  </si>
  <si>
    <t>potassium fluoroalkyl carboxylate | For air permit reviews in agricultural areas with cattle</t>
  </si>
  <si>
    <t>carbonyl fluoride | For air permit reviews in agricultural areas</t>
  </si>
  <si>
    <t>carbonyl fluoride | For air permit reviews in agricultural areas with cattle</t>
  </si>
  <si>
    <t>silicon difluoride | For air permit reviews in agricultural areas</t>
  </si>
  <si>
    <t>silicon difluoride | For air permit reviews in agricultural areas with cattle</t>
  </si>
  <si>
    <t>502-65-8</t>
  </si>
  <si>
    <t>tomato lycopene</t>
  </si>
  <si>
    <t>acetyl fluoride | For air permit reviews in agricultural areas</t>
  </si>
  <si>
    <t>acetyl fluoride | For air permit reviews in agricultural areas with cattle</t>
  </si>
  <si>
    <t>57-09-0</t>
  </si>
  <si>
    <t>cetyltrimethylammonium bromide</t>
  </si>
  <si>
    <t>sulfur pentafluoride | For air permit reviews in agricultural areas</t>
  </si>
  <si>
    <t>sulfur pentafluoride | For air permit reviews in agricultural areas with cattle</t>
  </si>
  <si>
    <t>5873-54-1</t>
  </si>
  <si>
    <t>2,4-methylene diphenyl diisocyanate</t>
  </si>
  <si>
    <t>64-20-0</t>
  </si>
  <si>
    <t>N,N,N-trimethylmethanaminium bromide</t>
  </si>
  <si>
    <t>65113-99-7</t>
  </si>
  <si>
    <t>Sandalore</t>
  </si>
  <si>
    <t>68917-32-8</t>
  </si>
  <si>
    <t>grapefruit terpenes</t>
  </si>
  <si>
    <t>68917-33-9</t>
  </si>
  <si>
    <t>lemon terpenes</t>
  </si>
  <si>
    <t>68917-71-5</t>
  </si>
  <si>
    <t>lime terpenes</t>
  </si>
  <si>
    <t>vinyl fluoride | For air permit reviews in agricultural areas</t>
  </si>
  <si>
    <t>vinyl fluoride | For air permit reviews in agricultural areas with cattle</t>
  </si>
  <si>
    <t>75-19-4</t>
  </si>
  <si>
    <t>cyclopropane</t>
  </si>
  <si>
    <t>trifluoroacetic acid | For air permit reviews in agricultural areas</t>
  </si>
  <si>
    <t>trifluoroacetic acid | For air permit reviews in agricultural areas with cattle</t>
  </si>
  <si>
    <t>perchloryl fluoride | For air permit reviews in agricultural areas</t>
  </si>
  <si>
    <t>perchloryl fluoride | For air permit reviews in agricultural areas with cattle</t>
  </si>
  <si>
    <t>boron trifluoride | For air permit reviews in agricultural areas</t>
  </si>
  <si>
    <t>boron trifluoride | For air permit reviews in agricultural areas with cattle</t>
  </si>
  <si>
    <t>phosphorus pentafluoride | For air permit reviews in agricultural areas</t>
  </si>
  <si>
    <t>phosphorus pentafluoride | For air permit reviews in agricultural areas with cattle</t>
  </si>
  <si>
    <t>hydrogen fluoride | For air permit reviews in agricultural areas</t>
  </si>
  <si>
    <t>hydrogen fluoride | For air permit reviews in agricultural areas with cattle</t>
  </si>
  <si>
    <t>sodium fluoride | For air permit reviews in agricultural areas</t>
  </si>
  <si>
    <t>sodium fluoride | For air permit reviews in agricultural areas with cattle</t>
  </si>
  <si>
    <t>sulfur tetrafluoride | For air permit reviews in agricultural areas</t>
  </si>
  <si>
    <t>sulfur tetrafluoride | For air permit reviews in agricultural areas with cattle</t>
  </si>
  <si>
    <t>silicon tetrafluoride | For air permit reviews in agricultural areas</t>
  </si>
  <si>
    <t>silicon tetrafluoride | For air permit reviews in agricultural areas with cattle</t>
  </si>
  <si>
    <t>fluorosulfonic acid | For air permit reviews in agricultural areas</t>
  </si>
  <si>
    <t>fluorosulfonic acid | For air permit reviews in agricultural areas with cattle</t>
  </si>
  <si>
    <t>potassium fluoride | For air permit reviews in agricultural areas</t>
  </si>
  <si>
    <t>potassium fluoride | For air permit reviews in agricultural areas with cattle</t>
  </si>
  <si>
    <t>calcium fluoride | For air permit reviews in agricultural areas</t>
  </si>
  <si>
    <t>calcium fluoride | For air permit reviews in agricultural areas with cattle</t>
  </si>
  <si>
    <t>79-21-0</t>
  </si>
  <si>
    <t>peracetic acid</t>
  </si>
  <si>
    <t>8000-29-1</t>
  </si>
  <si>
    <t>citronella oil</t>
  </si>
  <si>
    <t>8000-34-8</t>
  </si>
  <si>
    <t>clove oil</t>
  </si>
  <si>
    <t>8000-48-4</t>
  </si>
  <si>
    <t>Eucalyptus oil</t>
  </si>
  <si>
    <t>8001-21-6</t>
  </si>
  <si>
    <t>sunflower seed oil</t>
  </si>
  <si>
    <t>8001-22-7</t>
  </si>
  <si>
    <t>refined soybean oil</t>
  </si>
  <si>
    <t>8001-23-8</t>
  </si>
  <si>
    <t>safflower oil</t>
  </si>
  <si>
    <t>8001-26-1</t>
  </si>
  <si>
    <t>linseed oil</t>
  </si>
  <si>
    <t>8001-29-4</t>
  </si>
  <si>
    <t>cottonseed oil</t>
  </si>
  <si>
    <t>8001-30-7</t>
  </si>
  <si>
    <t>corn oil</t>
  </si>
  <si>
    <t>8001-31-8</t>
  </si>
  <si>
    <t>coconut oil</t>
  </si>
  <si>
    <t>8002-09-3</t>
  </si>
  <si>
    <t>pine oil</t>
  </si>
  <si>
    <t>8006-54-0</t>
  </si>
  <si>
    <t>lanoline, anhydrous</t>
  </si>
  <si>
    <t>8006-80-2</t>
  </si>
  <si>
    <t>oil of sassafras</t>
  </si>
  <si>
    <t>8006-81-3</t>
  </si>
  <si>
    <t>ylang ylang oil</t>
  </si>
  <si>
    <t>8007-02-1</t>
  </si>
  <si>
    <t>lemongrass oil</t>
  </si>
  <si>
    <t>8008-56-8</t>
  </si>
  <si>
    <t>lemon oil</t>
  </si>
  <si>
    <t>8008-57-9</t>
  </si>
  <si>
    <t>orange oil</t>
  </si>
  <si>
    <t>8016-28-2</t>
  </si>
  <si>
    <t>lard oil</t>
  </si>
  <si>
    <t>8024-32-6</t>
  </si>
  <si>
    <t>avocado oil</t>
  </si>
  <si>
    <t>8028-48-6</t>
  </si>
  <si>
    <t>citrus extract</t>
  </si>
  <si>
    <t>8029-43-4</t>
  </si>
  <si>
    <t>corn syrup</t>
  </si>
  <si>
    <t>84625-32-1</t>
  </si>
  <si>
    <t>eucalyptus extract</t>
  </si>
  <si>
    <t>84-67-3</t>
  </si>
  <si>
    <t>m-tolidine</t>
  </si>
  <si>
    <t>84929-31-7</t>
  </si>
  <si>
    <t>lemon extract</t>
  </si>
  <si>
    <t>9000-01-5</t>
  </si>
  <si>
    <t>Acacia Gum</t>
  </si>
  <si>
    <t>94266-47-4</t>
  </si>
  <si>
    <t>citrus terpenes</t>
  </si>
  <si>
    <t>94266-48-5</t>
  </si>
  <si>
    <t>pine extract</t>
  </si>
  <si>
    <t>HDMA | For air permit reviews in agricultural areas</t>
  </si>
  <si>
    <t>HDMA | For air permit reviews in agricultural areas with cattle</t>
  </si>
  <si>
    <t>https://ftps.tceq.texas.gov/help/</t>
  </si>
  <si>
    <t>STEERS</t>
  </si>
  <si>
    <t>https://www3.tceq.texas.gov/steers/</t>
  </si>
  <si>
    <r>
      <t xml:space="preserve">This sheet determines federal applicability for this project. If the project requires netting, nonattainment review, and/or PSD review, it does not qualify for this RAP.
</t>
    </r>
    <r>
      <rPr>
        <b/>
        <sz val="11"/>
        <rFont val="Arial"/>
        <family val="2"/>
      </rPr>
      <t xml:space="preserve">
Instructions:</t>
    </r>
    <r>
      <rPr>
        <sz val="11"/>
        <rFont val="Arial"/>
        <family val="2"/>
      </rPr>
      <t xml:space="preserve">
1. Answer the general questions in Section I.
2. Complete Section II to determine nonattainment permitting requirements for the project as proposed.
3. Complete Section III to determine Prevention of Significant Deterioration (PSD) permitting requirements for the project as proposed.
</t>
    </r>
    <r>
      <rPr>
        <b/>
        <sz val="11"/>
        <rFont val="Arial"/>
        <family val="2"/>
      </rPr>
      <t xml:space="preserve">Notes:
</t>
    </r>
    <r>
      <rPr>
        <sz val="11"/>
        <rFont val="Arial"/>
        <family val="2"/>
      </rPr>
      <t>1. Many of the cells will be populated automatically based on data entered on other sheets or questions.
2. The cells labeled "Determination" will guide you through this worksheet.
3. More complex federal applicability review options are not allowed for this RAP: net-to-zero, retrospective review, incremental increases, and projected actuals/could have accommodated.
4. Additional information about federal applicability can be found at the link below:</t>
    </r>
  </si>
  <si>
    <t>Permits are issued to either the facility owner or operator, commonly referred to as the applicant or permit holder. List the legal name of the company, corporation, partnership, or person who is applying for the permit. We will verify the legal name with the Texas Secretary of State at (512) 463-5555 or at the link below:</t>
  </si>
  <si>
    <t>This form will not be processed until all delinquent fees and/or penalties owed to the TCEQ or the Office of the Attorney General on behalf of the TCEQ is paid in accordance with the Delinquent Fee and Penalty Protocol. For more information regarding Delinquent Fees and Penalties, go to the TCEQ Web site at the link below:</t>
  </si>
  <si>
    <t>A list of SIC codes can be found at the link below:</t>
  </si>
  <si>
    <t>NAICS codes and conversions between NAICS and SIC Codes are available at the link below:</t>
  </si>
  <si>
    <t>This information can be found at te link below (note, this site is not compatible with Internet Explorer):</t>
  </si>
  <si>
    <t>If the proposed facility will handle sufficient quantities of certain chemicals which, if released accidentally, would cause off-property impacts that could be immediately dangerous to life and health, a disaster review analysis may be required as part of the application. Contact the appropriate NSR permitting section for assistance at (512) 239-1250. Additional Guidance can be found at the link below:</t>
  </si>
  <si>
    <t>Certain areas of the state have concentrations of specific pollutants that are of concern. The TCEQ has designated these portions of the state as watch list areas. Location of a facility in a watch list area could result in additional restrictions on emissions of the affected air pollutant(s) or additional permit requirements. The location of the areas and pollutants of interest can be found at the link below:</t>
  </si>
  <si>
    <t>This sheet is intended to assist in this determination of public notice requirements and is not a replacement for 30 TAC Chapter 39 (Public Notice). The THSC § 382.056 and corresponding rules in 30 TAC Chapter 39 (Public Notice) require that you publish a notice of intent to obtain a permit and in certain circumstances, notice of preliminary decision. Notices must be published in a newspaper of general circulation in the municipality where the proposed facility is or will be located (not applicable to alternative language notices). The notices must include a description of the facility and the fact that a person who may be affected by emissions from the facility may request a public hearing and any other information the TCEQ requires by rule. Signs must also be posted at the site in compliance with 30 TAC Chapter § 39.604(c). Additional information regarding public notice such as an overview of requirements, an applicability table, and a list of some common errors that may cause renotice and delays in processing your application can be found at the link below:</t>
  </si>
  <si>
    <r>
      <t xml:space="preserve">Step 5: Determine which pollutants (if any) require netting.
</t>
    </r>
    <r>
      <rPr>
        <sz val="11"/>
        <color theme="1"/>
        <rFont val="Arial"/>
        <family val="2"/>
      </rPr>
      <t>1. Total Proposed PTE: The sum of current and proposed PTE for this project.
2. Baseline Emissions: The average emissions over the baseline period, as specified in the "Baseline" sheet.
3. Project Emission Increase: The difference between the Total Proposed PTE and the Baseline Emissions for a pollutant.
4. Netting Threshold: If the Project Emission Increase equals or exceeds the nonattainment netting threshold for the pollutants being evaluated, then the modification requires netting and this project does not qualify for this RAP.</t>
    </r>
  </si>
  <si>
    <r>
      <t>Step 3: Determine if the site will be major.</t>
    </r>
    <r>
      <rPr>
        <sz val="11"/>
        <color theme="1"/>
        <rFont val="Arial"/>
        <family val="2"/>
      </rPr>
      <t xml:space="preserve">
1. Current Sitewide PTE: Total potential to emit for all authorizations on this site, which does not include this project. This should be entered on the "Baseline" sheet.
2. Proposed Project PTE: The proposed increase in emission, calculated by adding Current Sitewide PTE and Project Allowable Increase.
3. Major Source Threshold: If the sum of the Current Sitewide PTE and Proposed Project PTE is at or above this threshold, the site is major.</t>
    </r>
  </si>
  <si>
    <t>this cell is intentionally left balnk</t>
  </si>
  <si>
    <r>
      <t xml:space="preserve">Step 5: Determine which pollutants (if any) require PSD Review or Netting.
</t>
    </r>
    <r>
      <rPr>
        <sz val="11"/>
        <color theme="1"/>
        <rFont val="Arial"/>
        <family val="2"/>
      </rPr>
      <t>1. Total Proposed PTE: The sum of current and proposed PTE for this project.
2. Baseline Emissions: The average emissions over the baseline period, as specified in the "Baseline" sheet.
3. Project Emission Increase: The difference between the Total Proposed PTE and the Baseline Emissions for a pollutant.
4. Significant Emission Rate: If the Project Emission Increase equals or exceeds the PSD significant emission rate for the pollutants being evaluated, then the modification is considered to be a major modification, and netting is required.</t>
    </r>
  </si>
  <si>
    <r>
      <t xml:space="preserve">The owner or operator of the facility must apply for authority to construct. The appropriate company official (owner, plant manager, president, vice president, or environmental director) must sign all copies of the application. The applicant’s consultant cannot sign the application. </t>
    </r>
    <r>
      <rPr>
        <b/>
        <sz val="11"/>
        <color theme="1"/>
        <rFont val="Arial"/>
        <family val="2"/>
      </rPr>
      <t>Important Note: Unless submitting through STEERS, signatures must be original in ink, not reproduced by photocopy, fax, or other means, and must be received before any permit is issued.</t>
    </r>
  </si>
  <si>
    <t>Confirm this project will have no affected sources upstream of the modified sources and any affected downstream sources are included in this workbook.</t>
  </si>
  <si>
    <t>If yes to either question above, list which language(s) are required by the bilingual program? Use separate lines for more than one additional language.</t>
  </si>
  <si>
    <t>greys out any subparts with a "no" in section VI of the PI-1-TankLoading sheet</t>
  </si>
  <si>
    <t>if disaster review pollutant included in the project (identified on the PI-1-TankLoading sheet)</t>
  </si>
  <si>
    <t>County (completed for you from your response on the PI-1-TankLoading sheet)</t>
  </si>
  <si>
    <t>greys out whole section if PI-1-TankLoading sheet indicates 0 tanks in project</t>
  </si>
  <si>
    <t>greys out section if all loading options are no on PI-1-TankLoading sheet</t>
  </si>
  <si>
    <t>greys out whole section if PI-1-TankLoading sheet indicates no flare</t>
  </si>
  <si>
    <t>greys out whole section if no VCU indicated on PI-1-TankLoading sheet</t>
  </si>
  <si>
    <t>greys out whole section if no CAS indicated on PI-1-TankLoading sheet</t>
  </si>
  <si>
    <t>6. There will be no new species of chemicals, unless previously authorized through chemical flexibility conditions in the NSR Permit.
7. Project emissions represented in this RAP will not exceed PSD or Nonattainment netting requirements.
8. The project does not necessitate updates to a previous netting analysis by falling within the contemporaneous window of a past project.
9. Compounds to be included in this project are listed on the "Species" sheet of this workbook. Contact the Air Permits Division prior to submitting your project if the chemical you would like to represent is not included in the list.
10. The flare (if included in this project) will not be burning halogenated compounds.
11. The VCU (if included in this project) has particulate matter (PM), PM10, and PM2.5 quantified in the existing permit. Additionally, if appropriate, SO2 and H2S from the VCU are also quantified in the permit.</t>
  </si>
  <si>
    <t>The project does not necessitate updates to a previous netting analysis by falling within the contemporaneous window of a past project.</t>
  </si>
  <si>
    <t>This sheet is for informational purposes only. No data is required and you do not need to print this sheet. This sheet provides guidance on the RAP: TankLoading criteria and instructions for preparing and submitting an application.</t>
  </si>
  <si>
    <t xml:space="preserve">     PI-1-TankLoading: General Application for RAP: TankLoading</t>
  </si>
  <si>
    <t>This is a reference sheet listing the acceptable species for the RAP: TankLoading. Contact the Air Permits Division at
(512) 239-1250 prior to submitting your project if the chemical you would like to represent is not included in the list below.</t>
  </si>
  <si>
    <t>I. RAP: TankLoading Criteria</t>
  </si>
  <si>
    <r>
      <t xml:space="preserve">This sheet reviews the impacts from this project. The permit application is not eligible for a RAP: TankLoading if any pollutants do not have acceptable impacts using the technique provided on this sheet. Adjustments to EPN inputs may be required to have acceptable impacts.
</t>
    </r>
    <r>
      <rPr>
        <b/>
        <sz val="11"/>
        <color theme="1"/>
        <rFont val="Arial"/>
        <family val="2"/>
      </rPr>
      <t>Instructions</t>
    </r>
    <r>
      <rPr>
        <sz val="11"/>
        <color theme="1"/>
        <rFont val="Arial"/>
        <family val="2"/>
      </rPr>
      <t xml:space="preserve">:
1. Most data are calculated based on inputs on previous sheets. Adjust the inputs on the source sheets until impacts are acceptable for all species.
2. This RAP does not allow authorizing new species. Enter the date and project number authorizing each species in the far right column.
</t>
    </r>
    <r>
      <rPr>
        <b/>
        <sz val="11"/>
        <color theme="1"/>
        <rFont val="Arial"/>
        <family val="2"/>
      </rPr>
      <t>Notes:</t>
    </r>
    <r>
      <rPr>
        <sz val="11"/>
        <color theme="1"/>
        <rFont val="Arial"/>
        <family val="2"/>
      </rPr>
      <t xml:space="preserve">
1. Pollutants and species which do not have a long term Significant Impact Level or ESL are not included in the list below.
2. It is assumed that 100% of NOx emissions from this project are NO2.</t>
    </r>
  </si>
  <si>
    <t>Tanks are approved to store the liquids listed in the RAP: TankLoading application. Storage tank throughput and service shall be limited to the following:</t>
  </si>
  <si>
    <t>The permit holder shall maintain the temperature of the liquid less than or equal to the temperature, maintained at the vapor pressure represented in the RAP: TankLoading application. The tank temperature shall be continuously monitored and the temperature shall be recorded daily and during tank filling.</t>
  </si>
  <si>
    <t>All loading operations are limited to the liquids, rates, and throughputs identified in the RAP: TankLoading application.</t>
  </si>
  <si>
    <t>Form PI-1-TankLoading: General Information for RAP: TankLoading</t>
  </si>
  <si>
    <r>
      <t xml:space="preserve">B. Is the Core Data Form (Form 10400) attached? </t>
    </r>
    <r>
      <rPr>
        <sz val="11"/>
        <color theme="1"/>
        <rFont val="Arial"/>
        <family val="2"/>
      </rPr>
      <t>Only necessary if facilities are located within 100 km or less of Indian Tribal Lands or the Rio Grande River.</t>
    </r>
  </si>
  <si>
    <t>In signing the application in STEERS with this fee sheet attached, I certify that the total estimated capital cost of the project as defined in 30 TAC §116.141 is equal to or less than the below figure. I further state that I have read and understand Texas Water Code § 7.179, which defines Criminal Offenses for certain violations, including intentionally or knowingly making, or causing to be made, false material statements or representations.</t>
  </si>
  <si>
    <t>Enter the fee amount to be paid:</t>
  </si>
  <si>
    <t>This sheet determines application fee requirements for this application.
Payment is part of the STEERS submittal process and fees are due and payable at the time an application is filed. Required fees must be received before the agency will consider an application to be complete. Applications will not be considered for review nor will any time constraints required of TCEQ for application processing begin until a fee is received. (30 TAC § 116.143)
All permit fees shall be remitted by credit card or ACH (electronic funds transfer). Instructions for online payment through the ePay system can be found at:</t>
  </si>
  <si>
    <t>Mr. Hector Canales, Kickapoo Traditional Tribe of Texas Public Works</t>
  </si>
  <si>
    <t>2212 Rosita Valley Road
Eagle Pass, TX 78852</t>
  </si>
  <si>
    <t>Environmental Management Division Chief International Boundary and Water Commission United States Section</t>
  </si>
  <si>
    <t>Copies of the RAP: Tank Loading application workbook, all attachments, public notice, and affidavit</t>
  </si>
  <si>
    <t>APIRT</t>
  </si>
  <si>
    <t>STEERS unless file size or type are not compatible, in which case submit through email or TCEQ FTPS (APIRT@tceq.texas.gov)</t>
  </si>
  <si>
    <t>Application attachments</t>
  </si>
  <si>
    <t>Completed RAP: Tank Loading application workbook</t>
  </si>
  <si>
    <t>Copies of the RAP: Tank Loading application workbook and all attachments</t>
  </si>
  <si>
    <t>4. Submit copies of the application materials to other applicable program areas in accordance with "Section VII. Where to Submit Application Materials" below.
5. Do not begin construction until notified by the TCEQ.
6. If the qualification criteria are not met, or if the applicant does not agree with the Special Conditions, the applicant will receive notice that the application has been voided and the applicant should seek a different type of authorization as appropriate.
See the below link for additional information about submitting via FTPS:</t>
  </si>
  <si>
    <t>FTPS Information</t>
  </si>
  <si>
    <t>Customer Reference Number (CN): The CN is a unique number given to each business, governmental body, association, individual, or other entity that owns, operates, is responsible for, or is affiliated with a regulated entity. If this number has not yet been assigned, leave blank.</t>
  </si>
  <si>
    <t>Regulated Entity Number (RN): The RN is a unique agency assigned number given to each person, organization, place, or thing that is of environmental interest to us and where regulated activities will occur. The RN replaces existing air account numbers. The RN for portable units is assigned to the unit itself, and that same RN should be used when applying for authorization at a different location.  If this number has not yet been assigned, leave blank.</t>
  </si>
  <si>
    <t>Will the proposed facilities be located within 100 km of Indian Tribal Lands and/or the Rio Grande River? If yes, sign the section below prior to mailing copies of this application (more details on the Instructions sheet). All applications will be signed during the STEERS submittal process.</t>
  </si>
  <si>
    <r>
      <t xml:space="preserve">This sheet provides general information needed by the Air Permits Division and is required for this RAP.
</t>
    </r>
    <r>
      <rPr>
        <b/>
        <sz val="11"/>
        <color theme="1"/>
        <rFont val="Arial"/>
        <family val="2"/>
      </rPr>
      <t>Instructions</t>
    </r>
    <r>
      <rPr>
        <sz val="11"/>
        <color theme="1"/>
        <rFont val="Arial"/>
        <family val="2"/>
      </rPr>
      <t>: Complete all applicable sections below.</t>
    </r>
  </si>
  <si>
    <t>V3.0</t>
  </si>
  <si>
    <t>DATE</t>
  </si>
  <si>
    <t>Version</t>
  </si>
  <si>
    <t>SO2 Nonattainment area Update</t>
  </si>
  <si>
    <r>
      <t xml:space="preserve">12. The existing sources in this project are not moving location with this project.
13. The customer has a compliance history classification of Satisfactory or High (further information on compliance history classifications and details on obtaining a compliance history report can be found at the links listed at the end of this sheet).
14. The facility will comply with all of the following, as listed in this workbook:
</t>
    </r>
    <r>
      <rPr>
        <sz val="11"/>
        <color theme="1"/>
        <rFont val="Calibri"/>
        <family val="2"/>
      </rPr>
      <t xml:space="preserve">     </t>
    </r>
    <r>
      <rPr>
        <b/>
        <sz val="11"/>
        <color theme="1"/>
        <rFont val="Calibri"/>
        <family val="2"/>
      </rPr>
      <t>·</t>
    </r>
    <r>
      <rPr>
        <sz val="11"/>
        <color theme="1"/>
        <rFont val="Arial"/>
        <family val="2"/>
      </rPr>
      <t xml:space="preserve"> Emission sources and rates;
    </t>
    </r>
    <r>
      <rPr>
        <b/>
        <sz val="11"/>
        <color theme="1"/>
        <rFont val="Arial"/>
        <family val="2"/>
      </rPr>
      <t>·</t>
    </r>
    <r>
      <rPr>
        <sz val="11"/>
        <color theme="1"/>
        <rFont val="Arial"/>
        <family val="2"/>
      </rPr>
      <t xml:space="preserve"> Best Available Control Technology (BACT);
    </t>
    </r>
    <r>
      <rPr>
        <b/>
        <sz val="11"/>
        <color theme="1"/>
        <rFont val="Arial"/>
        <family val="2"/>
      </rPr>
      <t>·</t>
    </r>
    <r>
      <rPr>
        <sz val="11"/>
        <color theme="1"/>
        <rFont val="Arial"/>
        <family val="2"/>
      </rPr>
      <t xml:space="preserve"> The Air Quality Analysis;
   </t>
    </r>
    <r>
      <rPr>
        <b/>
        <sz val="11"/>
        <color theme="1"/>
        <rFont val="Arial"/>
        <family val="2"/>
      </rPr>
      <t xml:space="preserve"> ·</t>
    </r>
    <r>
      <rPr>
        <sz val="11"/>
        <color theme="1"/>
        <rFont val="Arial"/>
        <family val="2"/>
      </rPr>
      <t xml:space="preserve"> Special Conditions; and
    </t>
    </r>
    <r>
      <rPr>
        <b/>
        <sz val="11"/>
        <color theme="1"/>
        <rFont val="Arial"/>
        <family val="2"/>
      </rPr>
      <t xml:space="preserve">· </t>
    </r>
    <r>
      <rPr>
        <sz val="11"/>
        <color theme="1"/>
        <rFont val="Arial"/>
        <family val="2"/>
      </rPr>
      <t>Representatives made in this application workbook.</t>
    </r>
  </si>
  <si>
    <t>liquid volume</t>
  </si>
  <si>
    <r>
      <t>annual sum of the increases in liquid (ΣH</t>
    </r>
    <r>
      <rPr>
        <vertAlign val="subscript"/>
        <sz val="10"/>
        <color theme="1"/>
        <rFont val="Arial"/>
        <family val="2"/>
      </rPr>
      <t>QI</t>
    </r>
    <r>
      <rPr>
        <sz val="11"/>
        <color theme="1"/>
        <rFont val="Calibri"/>
        <family val="2"/>
        <scheme val="minor"/>
      </rPr>
      <t>)</t>
    </r>
  </si>
  <si>
    <r>
      <t>annual sum of the decreases in liquid (ΣH</t>
    </r>
    <r>
      <rPr>
        <vertAlign val="subscript"/>
        <sz val="10"/>
        <color theme="1"/>
        <rFont val="Arial"/>
        <family val="2"/>
      </rPr>
      <t>QD</t>
    </r>
    <r>
      <rPr>
        <sz val="11"/>
        <color theme="1"/>
        <rFont val="Calibri"/>
        <family val="2"/>
        <scheme val="minor"/>
      </rPr>
      <t>)</t>
    </r>
  </si>
  <si>
    <t>partial</t>
  </si>
  <si>
    <r>
      <t xml:space="preserve">Step 3: Determine if the site will be major.
</t>
    </r>
    <r>
      <rPr>
        <sz val="11"/>
        <color theme="1"/>
        <rFont val="Arial"/>
        <family val="2"/>
      </rPr>
      <t>1. Current Sitewide PTE: Total potential to emit for all authorizations on this site, which does not include this project. This should be entered on the "Baseline" sheet.
2. Proposed Project PTE: The proposed increase in emissions from this project.
3. Major Source Threshold: If the sum of the Current Sitewide PTE and Proposed Project PTE is at or above this threshold, the site is major.</t>
    </r>
  </si>
  <si>
    <t>fixed typos in fed app sheet</t>
  </si>
  <si>
    <t>fed app sheet, changed output of cell B26 if any pollutants are determined major source for nonattainment-- now instructs to proceed to step 4 for minor pollutants and step 5 for major pollutants</t>
  </si>
  <si>
    <t>fed app sheet, B95, updated language to not send applicants on to step 5 if there is a pollutant that triggered PSD in this step</t>
  </si>
  <si>
    <t>FORMULA</t>
  </si>
  <si>
    <t>fed app sheet, rows 26 and 69, revised "Continue to Step 3 to determine if the PROJECT will be a major source." to "Continue to Step 3 to determine if the SITE will be a major source."</t>
  </si>
  <si>
    <r>
      <t>Step 4: Determine if the project increase itself is major (minor sites).</t>
    </r>
    <r>
      <rPr>
        <sz val="11"/>
        <rFont val="Arial"/>
        <family val="2"/>
      </rPr>
      <t xml:space="preserve">
1. Proposed Project Increase: The proposed increase in emission, calculated by adding Current Project PTE and Project Proposed Increase, less the Baseline total for that pollutant.
2. Major Source Threshold: If the Proposed Project Increase is at or above this threshold, the project itself is major.</t>
    </r>
  </si>
  <si>
    <t>fed app sheet, B82, corrected formula, updated language to direct applicants to step 4 for all pollutants when the site will become a major source for PSD after the project</t>
  </si>
  <si>
    <t>fed app sheet, cells F73:F81 improved formulas</t>
  </si>
  <si>
    <t>fed app sheet, cells F99:F107, corrected/improved formulas</t>
  </si>
  <si>
    <t>fed app sheet, cells E86:E94, corrected/improved formulas</t>
  </si>
  <si>
    <r>
      <t xml:space="preserve">Step 4: Determine if the project increase itself is major.
</t>
    </r>
    <r>
      <rPr>
        <sz val="11"/>
        <color theme="1"/>
        <rFont val="Arial"/>
        <family val="2"/>
      </rPr>
      <t>1. Proposed Project Increase: The proposed increase in emission, calculated by adding Current Project PTE and Project Proposed Increase, less the Baseline total for that pollutant.
2. Major Source Threshold: If the Proposed Project Increase is at or above this threshold, the project itself is major.</t>
    </r>
  </si>
  <si>
    <t>fed app sheet, changed "(major source)" to "(minor source)" row 84 -- step 4</t>
  </si>
  <si>
    <t>fed app sheet, deleted "(major source)" row 36 -- step 4</t>
  </si>
  <si>
    <t>fed app sheet cells, E22:E25, E30:E33, E38:E41, F46:F49, improved formulas</t>
  </si>
  <si>
    <t>fed app sheet, B32, revised wording</t>
  </si>
  <si>
    <t xml:space="preserve">gray out if: diagree </t>
  </si>
  <si>
    <t>At least one pollutant in this project is at or above the threshold. Netting would be required. This project does not qualify for this RAP.</t>
  </si>
  <si>
    <t>GREY</t>
  </si>
  <si>
    <t>RED</t>
  </si>
  <si>
    <t>gray out if: diagree to any PI-1 or this</t>
  </si>
  <si>
    <t xml:space="preserve">grey out if: nonattainment within portions </t>
  </si>
  <si>
    <t>gray out if : linked to 10</t>
  </si>
  <si>
    <t xml:space="preserve">Ap Fail Text - </t>
  </si>
  <si>
    <t>Ap Exception Text -</t>
  </si>
  <si>
    <t>Because this project will be located in a county that is in attainment or unclassified for all pollutants, nonattainment review is not required. Continue to Section III below for PSD Applicability Determination.</t>
  </si>
  <si>
    <t>gray if attainment county</t>
  </si>
  <si>
    <t>gray if: attainment county, any visible "Yes" in E22:E25</t>
  </si>
  <si>
    <t>gray if: attainment county, or site is existing minor (step 2 determination) AND nothing in step 3 exceeds the threshold</t>
  </si>
  <si>
    <t>gray if: attainment county or attainment for ozone, site is existing minor (step 2 determination) AND nothing in step 3 exceeds the threshold, or site is existing major for at least one pollutant (at least one visible yes in cells E22-E25) AND site is major for ozone as VOC (yes in cell E22)</t>
  </si>
  <si>
    <t>gray if: attainment county or attainment for ozone, site is existing minor (step 2 determination) AND nothing in step 3 exceeds the threshold, or site is existing major for at least one pollutant (at least one visible yes in cells E22-E25) AND site is major for ozone as NOx (yes in cell E23)</t>
  </si>
  <si>
    <t>gray if: attainment county or attainment for ozone, site is existing minor (step 2 determination) AND nothing in step 3 exceeds the threshold, or site is existing major for at least one pollutant (at least one visible yes in cells E22-E25) AND site is major for PM10 (yes in cell E24)</t>
  </si>
  <si>
    <t>gray if: attainment county or attainment for ozone, site is existing minor (step 2 determination) AND nothing in step 3 exceeds the threshold, or site is existing major for at least one pollutant (at least one visible yes in cells E22-E25) AND site is major for SO2 (yes in cell E25)</t>
  </si>
  <si>
    <t>gray if: attainment county, or site is existing minor for all pollutants</t>
  </si>
  <si>
    <t>gray if: attainment county, or site is existing minor for all pollutants, or site is existing major for at least one pollutant (at least one visible yes in cells E22-E25) AND site is minor for ozone as VOC (no in cell E22)</t>
  </si>
  <si>
    <t>gray if: attainment county, or site is existing minor for all pollutants, or site is existing major for at least one pollutant (at least one visible yes in cells E22-E25) AND site is minor for ozone as NOx (no in cell E23)</t>
  </si>
  <si>
    <t>gray if: attainment county, or site is existing minor for all pollutants, or site is existing major for at least one pollutant (at least one visible yes in cells E22-E25) AND site is minor for PM10 (no in cell E24)</t>
  </si>
  <si>
    <t>gray if: attainment county, or site is existing minor for all pollutants, or site is existing major for at least one pollutant (at least one visible yes in cells E22-E25) AND site is minor for SO2 (no in cell E25)</t>
  </si>
  <si>
    <t>gray if nonattainment was triggered</t>
  </si>
  <si>
    <t>gray if nonattainment was triggered, or "Other/Not Listed" not selected in row 54</t>
  </si>
  <si>
    <t>gray if nonattainment was triggered, or site is major for PSD (see step 2)</t>
  </si>
  <si>
    <t>gray if nonattainment was triggered, or site is minor for PSD (see step 2)</t>
  </si>
  <si>
    <t>gray if nonattainment was triggered, or site is minor for PSD (see step 2), or area is nonattainment for PM10</t>
  </si>
  <si>
    <t>gray if nonattainment was triggered, or site is minor for PSD (see step 2), or area is nonattainment for SO2</t>
  </si>
  <si>
    <t>gray if nonattainment was triggered, or site is minor for PSD (see step 2), or area is nonattainment for ozone</t>
  </si>
  <si>
    <t>gray if nonattainment was triggered, or site is major for PSD (see step 2), or minor site drops out in step 3</t>
  </si>
  <si>
    <t>gray if nonattainment was triggered, or site is major for PSD (see step 2), or minor site drops out in step 3, or area is nonattainment for PM10</t>
  </si>
  <si>
    <t>gray if nonattainment was triggered, or site is major for PSD (see step 2), or minor site drops out in step 3, or area is nonattainment for SO2</t>
  </si>
  <si>
    <t>gray if nonattainment was triggered, or site is major for PSD (see step 2), or minor site drops out in step 3, or area is nonattainment for ozone</t>
  </si>
  <si>
    <t>gray if: attainment county, nonattainment county but NOT nonattainment for ozone</t>
  </si>
  <si>
    <t>gray if: attainment county, nonattainment county but NOT nonattainment for PM10</t>
  </si>
  <si>
    <t>gray if: attainment county, nonattainment county but NOT nonattainment for SO2</t>
  </si>
  <si>
    <t>gray if: attainment county, any visible "Yes" in E22:E25, area is attainment for ozone</t>
  </si>
  <si>
    <t>gray if: attainment county, any visible "Yes" in E22:E25, area is attainment for PM10</t>
  </si>
  <si>
    <t>gray if: attainment county, any visible "Yes" in E22:E25, area is attainment for SO2</t>
  </si>
  <si>
    <t>Air Permits Division</t>
  </si>
  <si>
    <t>Readily Available Permit: Tank and Loading Increases</t>
  </si>
  <si>
    <t>v3.1</t>
  </si>
  <si>
    <t>Advanced Properties: updated for new version</t>
  </si>
  <si>
    <t>Public Notice: updated to include plain language summary section</t>
  </si>
  <si>
    <t>Instructions sheet: updated title rows &amp; overview section to conform to agency-wide standards</t>
  </si>
  <si>
    <t>IV. Plain Language Summary</t>
  </si>
  <si>
    <t>Applications deemed administratively complete by May 1, 2022 must provide a plain language summary of the application to be posted on the TCEQ website. Templates can be found at the link below.</t>
  </si>
  <si>
    <t>https://www.tceq.texas.gov/permitting/air/guidance/newsourcereview/nsrapp-tools.html</t>
  </si>
  <si>
    <t>Is a Plain Language Summary as required by 30 TAC § 39.405(k) provided with the application?</t>
  </si>
  <si>
    <t>Is a Plain Language Summary in an alternative language as required by 30 TAC § 39.426(c) provided with the application?</t>
  </si>
  <si>
    <t>1 = nonattainment for ozone (as VOC and NOx)
2 = nonattainment for PM10
3 = nonattainment for SO2
4 = N/A, attainment or blank county
5 = nonattainment for ozone and PM10 (El Paso only as of 04/2022)</t>
  </si>
  <si>
    <t>FederalApplicability sheet: added El Paso marginal ozone nonattainment status</t>
  </si>
  <si>
    <t>The RAP: TankLoading is a New Source Review (NSR) amendment authorization to allow an increase of throughput for tanks and/or loading (drum, tote, truck, or rail) at an existing site. The existing equipment must already be authorized by the NSR permit to be amended.
Here are a couple of examples of when this RAP might be used:
   1. A process unit is unable to process material due to some reason (market conditions, maintenance), so the company instead 
       will store or load more material (usually intermediate chemicals) instead of processing. 
   2. Moving annual throughputs from one loading facility to another.
This application workbook provides administrative and technical information needed by the Texas Commission on Environmental Quality (TCEQ) to evaluate throughput increases. The qualification criteria for this RAP is contained within this workbook and must be agreed to prior to submittal of a RAP application.
Previously authorized facilities that are being modified by the current RAP application shall have been constructed and operated as specified in the previous permit application. All representations regarding construction plans and operation requirements in the previous application are enforceable representations for facilities in which the current RAP changes are based. All representations in the current RAP application (including this workbook) shall be enforceable representations upon issuance of the permit.
Under Texas Government Code 559.003(a), individuals are entitled to receive and review any information collected by TCEQ about the individual by means of a form that that is completed and filed with TCEQ in a paper or electronic format on the TCEQ website consistent with Texas Government Code sec., 559.003(b). The individual is also entitled to have TCEQ correct information about the individual that is incorrect.
If you have questions on how to fill out this form or about the Air Permits Division, please contact us at 512-239-1250.</t>
  </si>
  <si>
    <t>Form</t>
  </si>
  <si>
    <t>Version:</t>
  </si>
  <si>
    <t>Update Date:</t>
  </si>
  <si>
    <t>OS Project Manager:</t>
  </si>
  <si>
    <t>Team Members:</t>
  </si>
  <si>
    <t>Updates:</t>
  </si>
  <si>
    <t>*Future Proof Note</t>
  </si>
  <si>
    <t>Federal applicablity, tanks, engines, loading, MSS</t>
  </si>
  <si>
    <t>Future Update Ideas:</t>
  </si>
  <si>
    <t>Accessiblity Note</t>
  </si>
  <si>
    <t>needs full accessiblity update</t>
  </si>
  <si>
    <t>severe</t>
  </si>
  <si>
    <t>moderate</t>
  </si>
  <si>
    <t xml:space="preserve">moderate </t>
  </si>
  <si>
    <t>Update standardization and accessiblity.  Standardize the Fed Applicablity logic with other RAPS</t>
  </si>
  <si>
    <t>NA
Eff dates</t>
  </si>
  <si>
    <t>December 13, 2016</t>
  </si>
  <si>
    <t>November 7, 2022</t>
  </si>
  <si>
    <t>November 6, 1991</t>
  </si>
  <si>
    <t>April 30, 2021</t>
  </si>
  <si>
    <t>Is the PIP Form (TCEQ Form 20960) attached?</t>
  </si>
  <si>
    <t>https://www.tceq.texas.gov/permitting/air#pip</t>
  </si>
  <si>
    <t>https://www.census.gov/naics/</t>
  </si>
  <si>
    <t>4.1</t>
  </si>
  <si>
    <t>F. Is a Public Involvement Plan (PIP) required for this project?</t>
  </si>
  <si>
    <t>Requirements can be found at the following link:</t>
  </si>
  <si>
    <r>
      <t xml:space="preserve">     If the attachment cannot be submitted through STEERS for one of the reasons listed above, submit the attachment through 
    email or TCEQ FTPS. For the initial submittal, you must share these files with APIRT@tceq.texas.gov. Once your project is 
    assigned, you will share files directly with your reviewer. If confidential files will be submitted, follow the additional instructions
    below.
    </t>
    </r>
    <r>
      <rPr>
        <b/>
        <sz val="11"/>
        <color theme="5"/>
        <rFont val="Arial"/>
        <family val="2"/>
      </rPr>
      <t xml:space="preserve">Confidential files </t>
    </r>
    <r>
      <rPr>
        <sz val="11"/>
        <color theme="1"/>
        <rFont val="Arial"/>
        <family val="2"/>
      </rPr>
      <t>must be submitted through STEERS or the TCEQ FTPS. All pages must be marked confidential and have 
    confidential in the file name. Confidential submittals must be separate from non-confidential application materials. Note: emails 
    sent to the agency are not encryption protected via Secure Sockets Layers by our server and may be subject to interception by 
    common third-party internet tools. Anything marked as confidential will be treated as such by APD staff upon receipt.</t>
    </r>
  </si>
  <si>
    <r>
      <t xml:space="preserve">1. Prepare all items to make the complete application. Follow "Section IV. Workbook Instructions" below to complete the application workbook. A complete application for this RAP includes the following:
     • Process Flow Diagram
     • Current Area Map
     • Plot Plan
     • RAP: TankLoading Application Workbook (The file name should be: Date_ApplicationWorkbook_CompanyName_Permit Number)
     • If the project involves tank(s): storage tank emission calculations or output files from approved calculation software
     • Vendor data (if used for emission factors)
     • If using baseline emissions in the federal applicability determination, attach a printout from Emissions Inventory showing the
       baseline emission years for the units in the project.
2. </t>
    </r>
    <r>
      <rPr>
        <b/>
        <sz val="11"/>
        <color theme="5"/>
        <rFont val="Arial"/>
        <family val="2"/>
      </rPr>
      <t>Submit the application through STEERS as an ePermits application.</t>
    </r>
    <r>
      <rPr>
        <sz val="11"/>
        <color theme="1"/>
        <rFont val="Arial"/>
        <family val="2"/>
      </rPr>
      <t xml:space="preserve"> When submitting through STEERS a wet signature is not required and the system will notify the appropriate regional office and local program(s). You are still required to provide a hard copy of the application to be displayed at the public viewing location during public notice.
3. </t>
    </r>
    <r>
      <rPr>
        <b/>
        <sz val="11"/>
        <color theme="5"/>
        <rFont val="Arial"/>
        <family val="2"/>
      </rPr>
      <t>Submit all application attachments through STEERS as part of your ePermit application unless:</t>
    </r>
    <r>
      <rPr>
        <sz val="11"/>
        <color theme="1"/>
        <rFont val="Arial"/>
        <family val="2"/>
      </rPr>
      <t xml:space="preserve">
         • the file size of an attachment exceeds 50 MB or
         • the file type is not accepted (accepted file types are xls, xlsm, xlsx, txt, pdf, doc, docx, wpd, csv, xml, jpg, gif, tif, and jpeg).</t>
    </r>
  </si>
  <si>
    <r>
      <t xml:space="preserve">If yes, is each confidential page marked </t>
    </r>
    <r>
      <rPr>
        <b/>
        <i/>
        <sz val="11"/>
        <color theme="5"/>
        <rFont val="Arial"/>
        <family val="2"/>
      </rPr>
      <t>"CONFIDENTIAL"</t>
    </r>
    <r>
      <rPr>
        <i/>
        <sz val="11"/>
        <color theme="1"/>
        <rFont val="Arial"/>
        <family val="2"/>
      </rPr>
      <t xml:space="preserve"> in large red letters?</t>
    </r>
  </si>
  <si>
    <t>THSC §382.041 restricts whether confidential information can be disclosed. Mark any information related to secret or proprietary processes or methods of manufacture as confidential if you do not want this information in the public file. All confidential information should be separated from the application and submitted as a separate file. Additional information regarding confidential information can be found at the link below:</t>
  </si>
  <si>
    <t>Sandra Juarez</t>
  </si>
  <si>
    <t>Jett Koen, Jordyn Winter</t>
  </si>
  <si>
    <t>add PIP question to PI-1-TankLoading 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</si>
</sst>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quot;$&quot;* #,##0.00_);_(&quot;$&quot;* \(#,##0.00\);_(&quot;$&quot;* &quot;-&quot;??_);_(@_)"/>
    <numFmt numFmtId="164" formatCode="0.000"/>
    <numFmt numFmtId="165" formatCode="0.0"/>
    <numFmt numFmtId="166" formatCode="0.0%"/>
    <numFmt numFmtId="167" formatCode="[$-409]mmmm\ d\,\ yyyy;@"/>
    <numFmt numFmtId="168" formatCode="&quot;$&quot;#,##0.00"/>
    <numFmt numFmtId="169" formatCode="0.00000"/>
    <numFmt numFmtId="170" formatCode="0.0000"/>
    <numFmt numFmtId="171" formatCode=";;;"/>
    <numFmt numFmtId="172" formatCode="#,##0.0000"/>
    <numFmt numFmtId="173" formatCode="0.000000"/>
    <numFmt numFmtId="174" formatCode="[&lt;=9999999]###\-####;\(###\)\ ###\-####"/>
  </numFmts>
  <fonts count="90" x14ac:knownFonts="1">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0"/>
      <color theme="1"/>
      <name val="Arial"/>
      <family val="2"/>
    </font>
    <font>
      <sz val="11"/>
      <color theme="1"/>
      <name val="Calibri"/>
      <family val="2"/>
      <scheme val="minor"/>
    </font>
    <font>
      <sz val="10"/>
      <name val="Arial"/>
      <family val="2"/>
    </font>
    <font>
      <u/>
      <sz val="11"/>
      <color theme="10"/>
      <name val="Calibri"/>
      <family val="2"/>
      <scheme val="minor"/>
    </font>
    <font>
      <b/>
      <sz val="14"/>
      <color theme="1"/>
      <name val="Arial"/>
      <family val="2"/>
    </font>
    <font>
      <sz val="11"/>
      <color theme="1"/>
      <name val="Arial"/>
      <family val="2"/>
    </font>
    <font>
      <b/>
      <sz val="11"/>
      <color theme="1"/>
      <name val="Arial"/>
      <family val="2"/>
    </font>
    <font>
      <sz val="11"/>
      <color rgb="FFFF0000"/>
      <name val="Arial"/>
      <family val="2"/>
    </font>
    <font>
      <b/>
      <sz val="11"/>
      <color theme="1"/>
      <name val="Calibri"/>
      <family val="2"/>
      <scheme val="minor"/>
    </font>
    <font>
      <b/>
      <sz val="11"/>
      <color rgb="FF000066"/>
      <name val="Calibri"/>
      <family val="2"/>
      <scheme val="minor"/>
    </font>
    <font>
      <b/>
      <sz val="10"/>
      <color theme="1"/>
      <name val="Arial"/>
      <family val="2"/>
    </font>
    <font>
      <sz val="10"/>
      <color rgb="FF000000"/>
      <name val="Arial"/>
      <family val="2"/>
    </font>
    <font>
      <b/>
      <sz val="11"/>
      <name val="Arial"/>
      <family val="2"/>
    </font>
    <font>
      <b/>
      <sz val="11"/>
      <name val="Symbol"/>
      <family val="1"/>
    </font>
    <font>
      <b/>
      <vertAlign val="superscript"/>
      <sz val="7"/>
      <name val="Arial"/>
      <family val="2"/>
    </font>
    <font>
      <b/>
      <sz val="11"/>
      <color rgb="FF000000"/>
      <name val="Arial"/>
      <family val="2"/>
    </font>
    <font>
      <sz val="11"/>
      <color rgb="FF000000"/>
      <name val="Arial"/>
      <family val="2"/>
    </font>
    <font>
      <b/>
      <sz val="11"/>
      <name val="Calibri"/>
      <family val="2"/>
    </font>
    <font>
      <sz val="11"/>
      <name val="Calibri"/>
      <family val="2"/>
      <scheme val="minor"/>
    </font>
    <font>
      <sz val="11"/>
      <color theme="1"/>
      <name val="Calibri"/>
      <family val="2"/>
    </font>
    <font>
      <b/>
      <vertAlign val="subscript"/>
      <sz val="11"/>
      <name val="Arial"/>
      <family val="2"/>
    </font>
    <font>
      <sz val="11"/>
      <name val="Arial"/>
      <family val="2"/>
    </font>
    <font>
      <b/>
      <sz val="14"/>
      <name val="Arial"/>
      <family val="2"/>
    </font>
    <font>
      <sz val="1"/>
      <color theme="0"/>
      <name val="Arial"/>
      <family val="2"/>
    </font>
    <font>
      <u/>
      <sz val="10"/>
      <color theme="10"/>
      <name val="Times New Roman"/>
      <family val="1"/>
    </font>
    <font>
      <sz val="11"/>
      <color theme="10"/>
      <name val="Arial"/>
      <family val="2"/>
    </font>
    <font>
      <i/>
      <sz val="11"/>
      <color theme="1"/>
      <name val="Arial"/>
      <family val="2"/>
    </font>
    <font>
      <i/>
      <sz val="11"/>
      <color rgb="FFAF0000"/>
      <name val="Arial"/>
      <family val="2"/>
    </font>
    <font>
      <sz val="10"/>
      <color theme="0"/>
      <name val="Arial"/>
      <family val="2"/>
    </font>
    <font>
      <sz val="10"/>
      <color rgb="FF000000"/>
      <name val="Times New Roman"/>
      <family val="1"/>
    </font>
    <font>
      <sz val="10"/>
      <name val="MS Sans Serif"/>
    </font>
    <font>
      <vertAlign val="subscript"/>
      <sz val="11"/>
      <color theme="1"/>
      <name val="Arial"/>
      <family val="2"/>
    </font>
    <font>
      <b/>
      <i/>
      <sz val="11"/>
      <color theme="1"/>
      <name val="Arial"/>
      <family val="2"/>
    </font>
    <font>
      <u/>
      <sz val="11"/>
      <color theme="10"/>
      <name val="Arial"/>
      <family val="2"/>
    </font>
    <font>
      <sz val="11"/>
      <color theme="0"/>
      <name val="Arial"/>
      <family val="2"/>
    </font>
    <font>
      <sz val="14"/>
      <color theme="1"/>
      <name val="Arial"/>
      <family val="2"/>
    </font>
    <font>
      <b/>
      <sz val="11"/>
      <color theme="0"/>
      <name val="Arial"/>
      <family val="2"/>
    </font>
    <font>
      <sz val="10"/>
      <name val="Times New Roman"/>
      <family val="1"/>
      <charset val="204"/>
    </font>
    <font>
      <b/>
      <sz val="11"/>
      <color indexed="8"/>
      <name val="Arial"/>
      <family val="2"/>
    </font>
    <font>
      <sz val="11"/>
      <color indexed="8"/>
      <name val="Arial"/>
      <family val="2"/>
    </font>
    <font>
      <b/>
      <sz val="11"/>
      <color indexed="8"/>
      <name val="Symbol"/>
      <family val="1"/>
      <charset val="204"/>
    </font>
    <font>
      <b/>
      <sz val="11"/>
      <color indexed="8"/>
      <name val="Arial"/>
      <family val="1"/>
      <charset val="204"/>
    </font>
    <font>
      <b/>
      <sz val="7"/>
      <color indexed="8"/>
      <name val="Arial"/>
      <family val="1"/>
      <charset val="204"/>
    </font>
    <font>
      <sz val="11"/>
      <color rgb="FF000000"/>
      <name val="Calibri"/>
      <family val="2"/>
      <scheme val="minor"/>
    </font>
    <font>
      <b/>
      <sz val="11"/>
      <color theme="1"/>
      <name val="Calibri"/>
      <family val="2"/>
    </font>
    <font>
      <sz val="11"/>
      <color rgb="FF0000FF"/>
      <name val="Arial"/>
      <family val="2"/>
    </font>
    <font>
      <i/>
      <sz val="11"/>
      <color rgb="FF0000FF"/>
      <name val="Arial"/>
      <family val="2"/>
    </font>
    <font>
      <vertAlign val="subscript"/>
      <sz val="10"/>
      <color theme="1"/>
      <name val="Arial"/>
      <family val="2"/>
    </font>
    <font>
      <vertAlign val="superscript"/>
      <sz val="10"/>
      <color theme="1"/>
      <name val="Arial"/>
      <family val="2"/>
    </font>
    <font>
      <u/>
      <sz val="10"/>
      <color theme="1"/>
      <name val="Arial"/>
      <family val="2"/>
    </font>
    <font>
      <b/>
      <vertAlign val="superscript"/>
      <sz val="10"/>
      <color theme="1"/>
      <name val="Arial"/>
      <family val="2"/>
    </font>
    <font>
      <sz val="16"/>
      <color theme="1"/>
      <name val="Arial"/>
      <family val="2"/>
    </font>
    <font>
      <sz val="20"/>
      <color theme="1"/>
      <name val="Arial"/>
      <family val="2"/>
    </font>
    <font>
      <vertAlign val="superscript"/>
      <sz val="11"/>
      <color theme="1"/>
      <name val="Arial"/>
      <family val="2"/>
    </font>
    <font>
      <sz val="11"/>
      <color theme="0" tint="-0.14999847407452621"/>
      <name val="Arial"/>
      <family val="2"/>
    </font>
    <font>
      <u/>
      <sz val="11"/>
      <color theme="1"/>
      <name val="Arial"/>
      <family val="2"/>
    </font>
    <font>
      <b/>
      <vertAlign val="subscript"/>
      <sz val="11"/>
      <color theme="1"/>
      <name val="Arial"/>
      <family val="2"/>
    </font>
    <font>
      <b/>
      <u/>
      <sz val="11"/>
      <color rgb="FFFF0000"/>
      <name val="Arial"/>
      <family val="2"/>
    </font>
    <font>
      <b/>
      <sz val="16"/>
      <color theme="1"/>
      <name val="Arial"/>
      <family val="2"/>
    </font>
    <font>
      <sz val="11"/>
      <color theme="0"/>
      <name val="Calibri"/>
      <family val="2"/>
      <scheme val="minor"/>
    </font>
    <font>
      <sz val="11"/>
      <color theme="5"/>
      <name val="Arial"/>
      <family val="2"/>
    </font>
    <font>
      <b/>
      <sz val="11"/>
      <color theme="5"/>
      <name val="Arial"/>
      <family val="2"/>
    </font>
    <font>
      <sz val="14"/>
      <name val="Arial"/>
      <family val="2"/>
    </font>
    <font>
      <b/>
      <i/>
      <sz val="11"/>
      <color theme="5"/>
      <name val="Arial"/>
      <family val="2"/>
    </font>
  </fonts>
  <fills count="24">
    <fill>
      <patternFill patternType="none"/>
    </fill>
    <fill>
      <patternFill patternType="gray125"/>
    </fill>
    <fill>
      <patternFill patternType="solid">
        <fgColor rgb="FFFFFFCC"/>
      </patternFill>
    </fill>
    <fill>
      <patternFill patternType="solid">
        <fgColor rgb="FFFFFFCC"/>
        <bgColor indexed="64"/>
      </patternFill>
    </fill>
    <fill>
      <patternFill patternType="solid">
        <fgColor theme="0"/>
        <bgColor indexed="64"/>
      </patternFill>
    </fill>
    <fill>
      <patternFill patternType="solid">
        <fgColor rgb="FFE6E6E6"/>
      </patternFill>
    </fill>
    <fill>
      <patternFill patternType="solid">
        <fgColor theme="0" tint="-0.14999847407452621"/>
        <bgColor indexed="64"/>
      </patternFill>
    </fill>
    <fill>
      <patternFill patternType="solid">
        <fgColor theme="5" tint="0.59999389629810485"/>
        <bgColor indexed="64"/>
      </patternFill>
    </fill>
    <fill>
      <patternFill patternType="solid">
        <fgColor rgb="FFE6E6E6"/>
        <bgColor indexed="64"/>
      </patternFill>
    </fill>
    <fill>
      <patternFill patternType="solid">
        <fgColor rgb="FFFFFF00"/>
        <bgColor indexed="64"/>
      </patternFill>
    </fill>
    <fill>
      <patternFill patternType="solid">
        <fgColor rgb="FFFF66FF"/>
        <bgColor indexed="64"/>
      </patternFill>
    </fill>
    <fill>
      <patternFill patternType="solid">
        <fgColor theme="0" tint="-4.9989318521683403E-2"/>
        <bgColor indexed="64"/>
      </patternFill>
    </fill>
    <fill>
      <patternFill patternType="solid">
        <fgColor rgb="FFFF9999"/>
        <bgColor indexed="64"/>
      </patternFill>
    </fill>
    <fill>
      <patternFill patternType="solid">
        <fgColor theme="9" tint="0.79998168889431442"/>
        <bgColor indexed="64"/>
      </patternFill>
    </fill>
    <fill>
      <patternFill patternType="solid">
        <fgColor theme="1"/>
        <bgColor indexed="64"/>
      </patternFill>
    </fill>
    <fill>
      <patternFill patternType="solid">
        <fgColor rgb="FF00B050"/>
        <bgColor indexed="64"/>
      </patternFill>
    </fill>
    <fill>
      <patternFill patternType="solid">
        <fgColor rgb="FFFFC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CC99FF"/>
        <bgColor indexed="64"/>
      </patternFill>
    </fill>
    <fill>
      <patternFill patternType="solid">
        <fgColor rgb="FFFF7C7C"/>
        <bgColor indexed="64"/>
      </patternFill>
    </fill>
    <fill>
      <patternFill patternType="solid">
        <fgColor theme="0" tint="-0.499984740745262"/>
        <bgColor indexed="64"/>
      </patternFill>
    </fill>
    <fill>
      <patternFill patternType="solid">
        <fgColor rgb="FFFF99CC"/>
        <bgColor indexed="64"/>
      </patternFill>
    </fill>
    <fill>
      <patternFill patternType="solid">
        <fgColor theme="6" tint="0.79998168889431442"/>
        <bgColor indexed="64"/>
      </patternFill>
    </fill>
  </fills>
  <borders count="89">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style="medium">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ck">
        <color auto="1"/>
      </left>
      <right/>
      <top/>
      <bottom/>
      <diagonal/>
    </border>
    <border>
      <left style="thin">
        <color rgb="FF000000"/>
      </left>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medium">
        <color indexed="64"/>
      </top>
      <bottom style="medium">
        <color indexed="64"/>
      </bottom>
      <diagonal/>
    </border>
    <border>
      <left style="medium">
        <color indexed="64"/>
      </left>
      <right style="thin">
        <color auto="1"/>
      </right>
      <top style="medium">
        <color indexed="64"/>
      </top>
      <bottom/>
      <diagonal/>
    </border>
    <border>
      <left style="thin">
        <color auto="1"/>
      </left>
      <right style="thin">
        <color auto="1"/>
      </right>
      <top style="medium">
        <color indexed="64"/>
      </top>
      <bottom/>
      <diagonal/>
    </border>
    <border>
      <left style="thin">
        <color auto="1"/>
      </left>
      <right style="medium">
        <color indexed="64"/>
      </right>
      <top style="medium">
        <color indexed="64"/>
      </top>
      <bottom/>
      <diagonal/>
    </border>
    <border>
      <left style="medium">
        <color indexed="64"/>
      </left>
      <right style="thin">
        <color indexed="64"/>
      </right>
      <top style="thin">
        <color indexed="64"/>
      </top>
      <bottom/>
      <diagonal/>
    </border>
    <border>
      <left style="thin">
        <color auto="1"/>
      </left>
      <right style="medium">
        <color auto="1"/>
      </right>
      <top style="thin">
        <color auto="1"/>
      </top>
      <bottom/>
      <diagonal/>
    </border>
    <border>
      <left style="thin">
        <color indexed="64"/>
      </left>
      <right style="thin">
        <color indexed="64"/>
      </right>
      <top style="thin">
        <color indexed="64"/>
      </top>
      <bottom/>
      <diagonal/>
    </border>
    <border>
      <left style="thin">
        <color indexed="64"/>
      </left>
      <right style="medium">
        <color indexed="64"/>
      </right>
      <top/>
      <bottom style="medium">
        <color indexed="64"/>
      </bottom>
      <diagonal/>
    </border>
    <border>
      <left/>
      <right style="thin">
        <color auto="1"/>
      </right>
      <top style="medium">
        <color indexed="64"/>
      </top>
      <bottom/>
      <diagonal/>
    </border>
    <border>
      <left/>
      <right style="thin">
        <color auto="1"/>
      </right>
      <top/>
      <bottom style="medium">
        <color indexed="64"/>
      </bottom>
      <diagonal/>
    </border>
    <border>
      <left/>
      <right/>
      <top style="medium">
        <color indexed="64"/>
      </top>
      <bottom style="medium">
        <color indexed="64"/>
      </bottom>
      <diagonal/>
    </border>
    <border>
      <left style="thin">
        <color auto="1"/>
      </left>
      <right style="medium">
        <color auto="1"/>
      </right>
      <top/>
      <bottom style="thin">
        <color auto="1"/>
      </bottom>
      <diagonal/>
    </border>
    <border>
      <left style="thin">
        <color auto="1"/>
      </left>
      <right/>
      <top/>
      <bottom style="thin">
        <color auto="1"/>
      </bottom>
      <diagonal/>
    </border>
    <border>
      <left style="thin">
        <color auto="1"/>
      </left>
      <right/>
      <top style="thin">
        <color auto="1"/>
      </top>
      <bottom style="medium">
        <color auto="1"/>
      </bottom>
      <diagonal/>
    </border>
    <border>
      <left style="medium">
        <color indexed="64"/>
      </left>
      <right/>
      <top style="medium">
        <color indexed="64"/>
      </top>
      <bottom style="medium">
        <color indexed="64"/>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style="thin">
        <color indexed="64"/>
      </left>
      <right style="medium">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bottom style="medium">
        <color indexed="64"/>
      </bottom>
      <diagonal/>
    </border>
    <border>
      <left/>
      <right style="thin">
        <color indexed="64"/>
      </right>
      <top/>
      <bottom/>
      <diagonal/>
    </border>
    <border>
      <left style="thin">
        <color indexed="64"/>
      </left>
      <right/>
      <top/>
      <bottom/>
      <diagonal/>
    </border>
    <border>
      <left style="thin">
        <color indexed="64"/>
      </left>
      <right/>
      <top style="medium">
        <color indexed="64"/>
      </top>
      <bottom/>
      <diagonal/>
    </border>
    <border>
      <left style="thin">
        <color rgb="FF000000"/>
      </left>
      <right style="thin">
        <color rgb="FF000000"/>
      </right>
      <top style="thin">
        <color rgb="FF000000"/>
      </top>
      <bottom/>
      <diagonal/>
    </border>
    <border>
      <left style="thin">
        <color indexed="64"/>
      </left>
      <right/>
      <top style="medium">
        <color indexed="64"/>
      </top>
      <bottom style="medium">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thin">
        <color auto="1"/>
      </right>
      <top/>
      <bottom style="medium">
        <color indexed="64"/>
      </bottom>
      <diagonal/>
    </border>
    <border>
      <left style="medium">
        <color indexed="64"/>
      </left>
      <right style="thin">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right style="thin">
        <color indexed="64"/>
      </right>
      <top style="medium">
        <color indexed="64"/>
      </top>
      <bottom style="medium">
        <color indexed="64"/>
      </bottom>
      <diagonal/>
    </border>
  </borders>
  <cellStyleXfs count="19">
    <xf numFmtId="0" fontId="0" fillId="0" borderId="0"/>
    <xf numFmtId="0" fontId="28" fillId="0" borderId="0"/>
    <xf numFmtId="0" fontId="28" fillId="0" borderId="0"/>
    <xf numFmtId="0" fontId="28" fillId="2" borderId="1" applyNumberFormat="0" applyFont="0" applyAlignment="0" applyProtection="0"/>
    <xf numFmtId="0" fontId="28" fillId="0" borderId="0"/>
    <xf numFmtId="0" fontId="28" fillId="0" borderId="0"/>
    <xf numFmtId="0" fontId="28" fillId="2" borderId="1" applyNumberFormat="0" applyFont="0" applyAlignment="0" applyProtection="0"/>
    <xf numFmtId="0" fontId="27" fillId="0" borderId="0"/>
    <xf numFmtId="0" fontId="29" fillId="0" borderId="0" applyNumberFormat="0" applyFill="0" applyBorder="0" applyAlignment="0" applyProtection="0"/>
    <xf numFmtId="0" fontId="28" fillId="0" borderId="0"/>
    <xf numFmtId="0" fontId="59" fillId="0" borderId="0" applyNumberFormat="0" applyFill="0" applyBorder="0" applyAlignment="0" applyProtection="0"/>
    <xf numFmtId="9" fontId="27" fillId="0" borderId="0" applyFont="0" applyFill="0" applyBorder="0" applyAlignment="0" applyProtection="0"/>
    <xf numFmtId="0" fontId="37" fillId="0" borderId="0"/>
    <xf numFmtId="0" fontId="50" fillId="0" borderId="0" applyNumberFormat="0" applyFill="0" applyBorder="0" applyAlignment="0" applyProtection="0"/>
    <xf numFmtId="44" fontId="37" fillId="0" borderId="0" applyFont="0" applyFill="0" applyBorder="0" applyAlignment="0" applyProtection="0"/>
    <xf numFmtId="0" fontId="55" fillId="0" borderId="0"/>
    <xf numFmtId="0" fontId="56" fillId="0" borderId="0"/>
    <xf numFmtId="0" fontId="26" fillId="0" borderId="0"/>
    <xf numFmtId="44" fontId="27" fillId="0" borderId="0" applyFont="0" applyFill="0" applyBorder="0" applyAlignment="0" applyProtection="0"/>
  </cellStyleXfs>
  <cellXfs count="1963">
    <xf numFmtId="0" fontId="0" fillId="0" borderId="0" xfId="0"/>
    <xf numFmtId="0" fontId="35" fillId="0" borderId="17" xfId="0" applyFont="1" applyBorder="1" applyAlignment="1">
      <alignment horizontal="left" vertical="center" wrapText="1"/>
    </xf>
    <xf numFmtId="0" fontId="0" fillId="0" borderId="0" xfId="0" applyAlignment="1">
      <alignment horizontal="left" vertical="top"/>
    </xf>
    <xf numFmtId="0" fontId="38" fillId="5" borderId="32" xfId="0" applyFont="1" applyFill="1" applyBorder="1" applyAlignment="1">
      <alignment vertical="top" wrapText="1"/>
    </xf>
    <xf numFmtId="1" fontId="42" fillId="0" borderId="33" xfId="0" applyNumberFormat="1" applyFont="1" applyBorder="1" applyAlignment="1">
      <alignment vertical="top" wrapText="1"/>
    </xf>
    <xf numFmtId="0" fontId="38" fillId="5" borderId="34" xfId="0" applyFont="1" applyFill="1" applyBorder="1" applyAlignment="1">
      <alignment vertical="top" wrapText="1"/>
    </xf>
    <xf numFmtId="0" fontId="38" fillId="5" borderId="35" xfId="0" applyFont="1" applyFill="1" applyBorder="1" applyAlignment="1">
      <alignment vertical="top" wrapText="1"/>
    </xf>
    <xf numFmtId="0" fontId="38" fillId="5" borderId="33" xfId="0" applyFont="1" applyFill="1" applyBorder="1" applyAlignment="1">
      <alignment vertical="top"/>
    </xf>
    <xf numFmtId="0" fontId="43" fillId="0" borderId="0" xfId="0" applyFont="1" applyAlignment="1">
      <alignment horizontal="left" vertical="top"/>
    </xf>
    <xf numFmtId="0" fontId="0" fillId="4" borderId="0" xfId="0" applyFill="1"/>
    <xf numFmtId="0" fontId="0" fillId="0" borderId="0" xfId="0" applyAlignment="1">
      <alignment horizontal="left"/>
    </xf>
    <xf numFmtId="0" fontId="34" fillId="0" borderId="11" xfId="0" applyFont="1" applyBorder="1" applyAlignment="1">
      <alignment horizontal="left" wrapText="1"/>
    </xf>
    <xf numFmtId="0" fontId="34" fillId="0" borderId="18" xfId="0" applyFont="1" applyBorder="1" applyAlignment="1">
      <alignment horizontal="left" wrapText="1"/>
    </xf>
    <xf numFmtId="0" fontId="34" fillId="0" borderId="0" xfId="0" applyFont="1" applyAlignment="1">
      <alignment horizontal="left"/>
    </xf>
    <xf numFmtId="0" fontId="34" fillId="0" borderId="31" xfId="0" applyFont="1" applyBorder="1" applyAlignment="1">
      <alignment horizontal="left" wrapText="1"/>
    </xf>
    <xf numFmtId="0" fontId="34" fillId="0" borderId="0" xfId="0" applyFont="1" applyAlignment="1">
      <alignment horizontal="left" wrapText="1"/>
    </xf>
    <xf numFmtId="0" fontId="0" fillId="0" borderId="23" xfId="0" applyBorder="1" applyAlignment="1">
      <alignment horizontal="left" vertical="top" wrapText="1"/>
    </xf>
    <xf numFmtId="0" fontId="0" fillId="0" borderId="22" xfId="0" applyBorder="1" applyAlignment="1">
      <alignment horizontal="left"/>
    </xf>
    <xf numFmtId="0" fontId="0" fillId="0" borderId="31" xfId="0" applyBorder="1" applyAlignment="1">
      <alignment horizontal="left"/>
    </xf>
    <xf numFmtId="9" fontId="0" fillId="0" borderId="0" xfId="0" applyNumberFormat="1" applyAlignment="1">
      <alignment horizontal="left"/>
    </xf>
    <xf numFmtId="0" fontId="0" fillId="0" borderId="23" xfId="0" applyBorder="1" applyAlignment="1">
      <alignment horizontal="left"/>
    </xf>
    <xf numFmtId="0" fontId="0" fillId="0" borderId="27" xfId="0" applyBorder="1" applyAlignment="1">
      <alignment horizontal="left"/>
    </xf>
    <xf numFmtId="164" fontId="42" fillId="0" borderId="33" xfId="0" applyNumberFormat="1" applyFont="1" applyBorder="1" applyAlignment="1">
      <alignment vertical="top" wrapText="1"/>
    </xf>
    <xf numFmtId="166" fontId="44" fillId="0" borderId="0" xfId="11" applyNumberFormat="1" applyFont="1" applyFill="1" applyAlignment="1">
      <alignment horizontal="left"/>
    </xf>
    <xf numFmtId="2" fontId="41" fillId="5" borderId="33" xfId="0" applyNumberFormat="1" applyFont="1" applyFill="1" applyBorder="1" applyAlignment="1">
      <alignment vertical="top" wrapText="1"/>
    </xf>
    <xf numFmtId="2" fontId="41" fillId="5" borderId="36" xfId="0" applyNumberFormat="1" applyFont="1" applyFill="1" applyBorder="1" applyAlignment="1">
      <alignment horizontal="center" vertical="top" wrapText="1"/>
    </xf>
    <xf numFmtId="0" fontId="0" fillId="4" borderId="0" xfId="0" applyFill="1" applyAlignment="1">
      <alignment horizontal="left"/>
    </xf>
    <xf numFmtId="0" fontId="34" fillId="4" borderId="11" xfId="0" applyFont="1" applyFill="1" applyBorder="1" applyAlignment="1">
      <alignment horizontal="left" wrapText="1"/>
    </xf>
    <xf numFmtId="0" fontId="61" fillId="0" borderId="0" xfId="0" applyFont="1"/>
    <xf numFmtId="0" fontId="32" fillId="0" borderId="38" xfId="12" applyFont="1" applyBorder="1" applyAlignment="1">
      <alignment horizontal="left" vertical="top"/>
    </xf>
    <xf numFmtId="0" fontId="32" fillId="0" borderId="76" xfId="12" applyFont="1" applyBorder="1" applyAlignment="1">
      <alignment vertical="top"/>
    </xf>
    <xf numFmtId="0" fontId="32" fillId="0" borderId="45" xfId="12" applyFont="1" applyBorder="1" applyAlignment="1">
      <alignment vertical="top"/>
    </xf>
    <xf numFmtId="0" fontId="32" fillId="0" borderId="40" xfId="12" applyFont="1" applyBorder="1" applyAlignment="1">
      <alignment horizontal="left" vertical="top"/>
    </xf>
    <xf numFmtId="0" fontId="32" fillId="0" borderId="6" xfId="0" applyFont="1" applyBorder="1" applyAlignment="1">
      <alignment horizontal="left"/>
    </xf>
    <xf numFmtId="0" fontId="32" fillId="4" borderId="7" xfId="12" applyFont="1" applyFill="1" applyBorder="1" applyAlignment="1">
      <alignment vertical="center" wrapText="1"/>
    </xf>
    <xf numFmtId="0" fontId="0" fillId="0" borderId="3" xfId="0" applyBorder="1" applyAlignment="1">
      <alignment horizontal="left"/>
    </xf>
    <xf numFmtId="0" fontId="0" fillId="0" borderId="7" xfId="0" applyBorder="1" applyAlignment="1">
      <alignment horizontal="left" wrapText="1"/>
    </xf>
    <xf numFmtId="0" fontId="63" fillId="0" borderId="0" xfId="0" applyFont="1" applyAlignment="1">
      <alignment vertical="top" wrapText="1"/>
    </xf>
    <xf numFmtId="0" fontId="67" fillId="0" borderId="0" xfId="0" applyFont="1" applyAlignment="1">
      <alignment horizontal="left" vertical="top"/>
    </xf>
    <xf numFmtId="1" fontId="64" fillId="8" borderId="36" xfId="0" applyNumberFormat="1" applyFont="1" applyFill="1" applyBorder="1" applyAlignment="1">
      <alignment horizontal="center" vertical="top" wrapText="1"/>
    </xf>
    <xf numFmtId="1" fontId="64" fillId="8" borderId="36" xfId="0" applyNumberFormat="1" applyFont="1" applyFill="1" applyBorder="1" applyAlignment="1">
      <alignment horizontal="right" vertical="top" wrapText="1" indent="1"/>
    </xf>
    <xf numFmtId="1" fontId="64" fillId="8" borderId="36" xfId="0" applyNumberFormat="1" applyFont="1" applyFill="1" applyBorder="1" applyAlignment="1">
      <alignment horizontal="left" vertical="top" wrapText="1" indent="1"/>
    </xf>
    <xf numFmtId="1" fontId="65" fillId="0" borderId="36" xfId="0" applyNumberFormat="1" applyFont="1" applyBorder="1" applyAlignment="1">
      <alignment horizontal="center" vertical="top" wrapText="1"/>
    </xf>
    <xf numFmtId="0" fontId="64" fillId="8" borderId="77" xfId="0" applyFont="1" applyFill="1" applyBorder="1" applyAlignment="1">
      <alignment vertical="top" wrapText="1"/>
    </xf>
    <xf numFmtId="0" fontId="34" fillId="0" borderId="26" xfId="0" applyFont="1" applyBorder="1" applyAlignment="1">
      <alignment horizontal="left"/>
    </xf>
    <xf numFmtId="2" fontId="0" fillId="0" borderId="0" xfId="0" applyNumberFormat="1" applyAlignment="1">
      <alignment horizontal="left"/>
    </xf>
    <xf numFmtId="0" fontId="0" fillId="0" borderId="19" xfId="0" applyBorder="1" applyAlignment="1">
      <alignment horizontal="left"/>
    </xf>
    <xf numFmtId="0" fontId="0" fillId="0" borderId="72" xfId="0" applyBorder="1" applyAlignment="1">
      <alignment horizontal="left" wrapText="1"/>
    </xf>
    <xf numFmtId="0" fontId="0" fillId="0" borderId="12" xfId="0" applyBorder="1" applyAlignment="1">
      <alignment horizontal="left" wrapText="1"/>
    </xf>
    <xf numFmtId="2" fontId="47" fillId="0" borderId="2" xfId="5" applyNumberFormat="1" applyFont="1" applyBorder="1" applyAlignment="1">
      <alignment horizontal="left" wrapText="1"/>
    </xf>
    <xf numFmtId="0" fontId="47" fillId="0" borderId="2" xfId="5" applyFont="1" applyBorder="1" applyAlignment="1">
      <alignment horizontal="left" wrapText="1"/>
    </xf>
    <xf numFmtId="0" fontId="0" fillId="0" borderId="3" xfId="0" applyBorder="1" applyAlignment="1">
      <alignment horizontal="left" wrapText="1"/>
    </xf>
    <xf numFmtId="0" fontId="69" fillId="0" borderId="0" xfId="0" applyFont="1" applyAlignment="1">
      <alignment wrapText="1"/>
    </xf>
    <xf numFmtId="0" fontId="32" fillId="0" borderId="5" xfId="0" applyFont="1" applyBorder="1" applyAlignment="1">
      <alignment horizontal="left"/>
    </xf>
    <xf numFmtId="0" fontId="31" fillId="0" borderId="2" xfId="0" applyFont="1" applyBorder="1" applyAlignment="1">
      <alignment wrapText="1"/>
    </xf>
    <xf numFmtId="0" fontId="0" fillId="0" borderId="0" xfId="0" applyAlignment="1">
      <alignment wrapText="1"/>
    </xf>
    <xf numFmtId="0" fontId="45" fillId="0" borderId="21" xfId="0" applyFont="1" applyBorder="1" applyAlignment="1">
      <alignment vertical="center" wrapText="1"/>
    </xf>
    <xf numFmtId="0" fontId="0" fillId="4" borderId="12" xfId="0" applyFill="1" applyBorder="1" applyAlignment="1">
      <alignment horizontal="left" wrapText="1"/>
    </xf>
    <xf numFmtId="0" fontId="31" fillId="0" borderId="0" xfId="0" applyFont="1" applyAlignment="1">
      <alignment horizontal="left"/>
    </xf>
    <xf numFmtId="0" fontId="31" fillId="0" borderId="2" xfId="0" applyFont="1" applyBorder="1" applyAlignment="1">
      <alignment horizontal="left" wrapText="1"/>
    </xf>
    <xf numFmtId="0" fontId="32" fillId="9" borderId="4" xfId="0" applyFont="1" applyFill="1" applyBorder="1" applyAlignment="1">
      <alignment horizontal="left"/>
    </xf>
    <xf numFmtId="0" fontId="32" fillId="0" borderId="3" xfId="0" applyFont="1" applyBorder="1" applyAlignment="1">
      <alignment horizontal="left"/>
    </xf>
    <xf numFmtId="0" fontId="31" fillId="0" borderId="7" xfId="0" applyFont="1" applyBorder="1" applyAlignment="1">
      <alignment horizontal="left" wrapText="1"/>
    </xf>
    <xf numFmtId="0" fontId="32" fillId="0" borderId="3" xfId="0" applyFont="1" applyBorder="1"/>
    <xf numFmtId="0" fontId="42" fillId="0" borderId="7" xfId="0" applyFont="1" applyBorder="1" applyAlignment="1">
      <alignment wrapText="1"/>
    </xf>
    <xf numFmtId="0" fontId="32" fillId="0" borderId="8" xfId="0" applyFont="1" applyBorder="1" applyAlignment="1">
      <alignment horizontal="left"/>
    </xf>
    <xf numFmtId="0" fontId="31" fillId="0" borderId="10" xfId="0" applyFont="1" applyBorder="1" applyAlignment="1">
      <alignment horizontal="left" wrapText="1"/>
    </xf>
    <xf numFmtId="0" fontId="32" fillId="0" borderId="5" xfId="0" applyFont="1" applyBorder="1" applyAlignment="1">
      <alignment horizontal="left" wrapText="1"/>
    </xf>
    <xf numFmtId="0" fontId="32" fillId="0" borderId="6" xfId="0" applyFont="1" applyBorder="1" applyAlignment="1">
      <alignment horizontal="left" wrapText="1"/>
    </xf>
    <xf numFmtId="0" fontId="42" fillId="0" borderId="7" xfId="0" applyFont="1" applyBorder="1" applyAlignment="1">
      <alignment vertical="center" wrapText="1"/>
    </xf>
    <xf numFmtId="0" fontId="34" fillId="0" borderId="22" xfId="0" applyFont="1" applyBorder="1" applyAlignment="1">
      <alignment horizontal="left"/>
    </xf>
    <xf numFmtId="0" fontId="31" fillId="0" borderId="23" xfId="0" applyFont="1" applyBorder="1" applyAlignment="1">
      <alignment horizontal="left"/>
    </xf>
    <xf numFmtId="0" fontId="0" fillId="0" borderId="0" xfId="0" applyAlignment="1">
      <alignment horizontal="left" wrapText="1"/>
    </xf>
    <xf numFmtId="0" fontId="0" fillId="4" borderId="23" xfId="0" applyFill="1" applyBorder="1" applyAlignment="1">
      <alignment horizontal="left"/>
    </xf>
    <xf numFmtId="0" fontId="34" fillId="0" borderId="23" xfId="0" applyFont="1" applyBorder="1" applyAlignment="1">
      <alignment horizontal="left" wrapText="1"/>
    </xf>
    <xf numFmtId="0" fontId="0" fillId="9" borderId="23" xfId="0" applyFill="1" applyBorder="1" applyAlignment="1">
      <alignment horizontal="left"/>
    </xf>
    <xf numFmtId="2" fontId="0" fillId="0" borderId="20" xfId="0" applyNumberFormat="1" applyBorder="1" applyAlignment="1">
      <alignment horizontal="left"/>
    </xf>
    <xf numFmtId="0" fontId="0" fillId="0" borderId="27" xfId="0" applyBorder="1" applyAlignment="1">
      <alignment horizontal="left" wrapText="1"/>
    </xf>
    <xf numFmtId="0" fontId="0" fillId="0" borderId="23" xfId="0" applyBorder="1" applyAlignment="1">
      <alignment horizontal="left" wrapText="1"/>
    </xf>
    <xf numFmtId="0" fontId="0" fillId="0" borderId="22" xfId="0" applyBorder="1" applyAlignment="1">
      <alignment horizontal="left" wrapText="1"/>
    </xf>
    <xf numFmtId="0" fontId="0" fillId="0" borderId="31" xfId="0" applyBorder="1" applyAlignment="1">
      <alignment horizontal="left" wrapText="1"/>
    </xf>
    <xf numFmtId="0" fontId="0" fillId="4" borderId="0" xfId="0" applyFill="1" applyAlignment="1">
      <alignment horizontal="left" wrapText="1"/>
    </xf>
    <xf numFmtId="0" fontId="34" fillId="0" borderId="27" xfId="0" applyFont="1" applyBorder="1" applyAlignment="1">
      <alignment horizontal="left" wrapText="1"/>
    </xf>
    <xf numFmtId="0" fontId="34" fillId="0" borderId="26" xfId="0" applyFont="1" applyBorder="1" applyAlignment="1">
      <alignment horizontal="left" wrapText="1"/>
    </xf>
    <xf numFmtId="0" fontId="34" fillId="0" borderId="4" xfId="0" applyFont="1" applyBorder="1" applyAlignment="1">
      <alignment horizontal="left" wrapText="1"/>
    </xf>
    <xf numFmtId="0" fontId="0" fillId="0" borderId="17" xfId="0" applyBorder="1" applyAlignment="1">
      <alignment horizontal="left" wrapText="1"/>
    </xf>
    <xf numFmtId="0" fontId="34" fillId="0" borderId="22" xfId="0" applyFont="1" applyBorder="1" applyAlignment="1">
      <alignment horizontal="left" wrapText="1"/>
    </xf>
    <xf numFmtId="0" fontId="32" fillId="0" borderId="23" xfId="0" applyFont="1" applyBorder="1" applyAlignment="1">
      <alignment horizontal="left" wrapText="1"/>
    </xf>
    <xf numFmtId="0" fontId="31" fillId="0" borderId="0" xfId="0" applyFont="1" applyAlignment="1">
      <alignment horizontal="left" wrapText="1"/>
    </xf>
    <xf numFmtId="0" fontId="31" fillId="0" borderId="2" xfId="0" applyFont="1" applyBorder="1" applyAlignment="1">
      <alignment horizontal="center" vertical="center" wrapText="1"/>
    </xf>
    <xf numFmtId="0" fontId="0" fillId="12" borderId="5" xfId="0" applyFill="1" applyBorder="1" applyAlignment="1">
      <alignment wrapText="1"/>
    </xf>
    <xf numFmtId="0" fontId="0" fillId="12" borderId="6" xfId="0" applyFill="1" applyBorder="1" applyAlignment="1">
      <alignment wrapText="1"/>
    </xf>
    <xf numFmtId="0" fontId="0" fillId="12" borderId="79" xfId="0" applyFill="1" applyBorder="1" applyAlignment="1">
      <alignment wrapText="1"/>
    </xf>
    <xf numFmtId="0" fontId="0" fillId="12" borderId="70" xfId="0" applyFill="1" applyBorder="1" applyAlignment="1">
      <alignment wrapText="1"/>
    </xf>
    <xf numFmtId="0" fontId="0" fillId="12" borderId="9" xfId="0" applyFill="1" applyBorder="1" applyAlignment="1">
      <alignment wrapText="1"/>
    </xf>
    <xf numFmtId="0" fontId="0" fillId="12" borderId="10" xfId="0" applyFill="1" applyBorder="1" applyAlignment="1">
      <alignment wrapText="1"/>
    </xf>
    <xf numFmtId="0" fontId="0" fillId="13" borderId="2" xfId="0" applyFill="1" applyBorder="1" applyAlignment="1">
      <alignment wrapText="1"/>
    </xf>
    <xf numFmtId="0" fontId="0" fillId="13" borderId="10" xfId="0" applyFill="1" applyBorder="1" applyAlignment="1">
      <alignment wrapText="1"/>
    </xf>
    <xf numFmtId="0" fontId="0" fillId="12" borderId="71" xfId="0" applyFill="1" applyBorder="1" applyAlignment="1">
      <alignment wrapText="1"/>
    </xf>
    <xf numFmtId="0" fontId="0" fillId="12" borderId="74" xfId="0" applyFill="1" applyBorder="1" applyAlignment="1">
      <alignment wrapText="1"/>
    </xf>
    <xf numFmtId="0" fontId="0" fillId="12" borderId="64" xfId="0" applyFill="1" applyBorder="1" applyAlignment="1">
      <alignment wrapText="1"/>
    </xf>
    <xf numFmtId="0" fontId="0" fillId="9" borderId="0" xfId="0" applyFill="1" applyAlignment="1">
      <alignment horizontal="left"/>
    </xf>
    <xf numFmtId="2" fontId="0" fillId="9" borderId="0" xfId="0" applyNumberFormat="1" applyFill="1" applyAlignment="1">
      <alignment horizontal="left"/>
    </xf>
    <xf numFmtId="0" fontId="0" fillId="9" borderId="22" xfId="0" applyFill="1" applyBorder="1" applyAlignment="1">
      <alignment horizontal="left"/>
    </xf>
    <xf numFmtId="0" fontId="32" fillId="6" borderId="4" xfId="0" applyFont="1" applyFill="1" applyBorder="1" applyAlignment="1">
      <alignment horizontal="left" wrapText="1"/>
    </xf>
    <xf numFmtId="0" fontId="25" fillId="6" borderId="3" xfId="0" applyFont="1" applyFill="1" applyBorder="1" applyAlignment="1">
      <alignment horizontal="left" wrapText="1"/>
    </xf>
    <xf numFmtId="0" fontId="26" fillId="0" borderId="0" xfId="17"/>
    <xf numFmtId="0" fontId="36" fillId="0" borderId="0" xfId="17" applyFont="1"/>
    <xf numFmtId="0" fontId="26" fillId="0" borderId="0" xfId="17" applyAlignment="1">
      <alignment wrapText="1"/>
    </xf>
    <xf numFmtId="0" fontId="26" fillId="11" borderId="41" xfId="17" applyFill="1" applyBorder="1"/>
    <xf numFmtId="0" fontId="26" fillId="12" borderId="42" xfId="17" applyFill="1" applyBorder="1" applyAlignment="1">
      <alignment horizontal="center"/>
    </xf>
    <xf numFmtId="0" fontId="26" fillId="11" borderId="41" xfId="17" applyFill="1" applyBorder="1" applyAlignment="1">
      <alignment wrapText="1"/>
    </xf>
    <xf numFmtId="0" fontId="26" fillId="11" borderId="3" xfId="17" applyFill="1" applyBorder="1" applyAlignment="1">
      <alignment wrapText="1"/>
    </xf>
    <xf numFmtId="0" fontId="26" fillId="11" borderId="82" xfId="17" applyFill="1" applyBorder="1"/>
    <xf numFmtId="0" fontId="26" fillId="12" borderId="62" xfId="17" applyFill="1" applyBorder="1" applyAlignment="1">
      <alignment horizontal="center"/>
    </xf>
    <xf numFmtId="0" fontId="26" fillId="11" borderId="3" xfId="17" applyFill="1" applyBorder="1"/>
    <xf numFmtId="0" fontId="26" fillId="11" borderId="23" xfId="17" applyFill="1" applyBorder="1" applyAlignment="1">
      <alignment wrapText="1"/>
    </xf>
    <xf numFmtId="0" fontId="26" fillId="11" borderId="58" xfId="17" applyFill="1" applyBorder="1" applyAlignment="1">
      <alignment wrapText="1"/>
    </xf>
    <xf numFmtId="0" fontId="26" fillId="12" borderId="7" xfId="17" applyFill="1" applyBorder="1" applyAlignment="1">
      <alignment horizontal="center"/>
    </xf>
    <xf numFmtId="0" fontId="26" fillId="12" borderId="70" xfId="17" applyFill="1" applyBorder="1" applyAlignment="1">
      <alignment horizontal="center"/>
    </xf>
    <xf numFmtId="0" fontId="26" fillId="11" borderId="4" xfId="17" applyFill="1" applyBorder="1"/>
    <xf numFmtId="2" fontId="26" fillId="7" borderId="6" xfId="17" applyNumberFormat="1" applyFill="1" applyBorder="1" applyAlignment="1">
      <alignment horizontal="center"/>
    </xf>
    <xf numFmtId="0" fontId="26" fillId="11" borderId="29" xfId="17" applyFill="1" applyBorder="1"/>
    <xf numFmtId="2" fontId="26" fillId="7" borderId="7" xfId="17" applyNumberFormat="1" applyFill="1" applyBorder="1" applyAlignment="1">
      <alignment horizontal="center"/>
    </xf>
    <xf numFmtId="0" fontId="26" fillId="11" borderId="8" xfId="17" applyFill="1" applyBorder="1"/>
    <xf numFmtId="2" fontId="26" fillId="7" borderId="44" xfId="17" applyNumberFormat="1" applyFill="1" applyBorder="1" applyAlignment="1">
      <alignment horizontal="center"/>
    </xf>
    <xf numFmtId="0" fontId="26" fillId="11" borderId="4" xfId="17" applyFill="1" applyBorder="1" applyAlignment="1">
      <alignment wrapText="1"/>
    </xf>
    <xf numFmtId="2" fontId="26" fillId="18" borderId="6" xfId="17" applyNumberFormat="1" applyFill="1" applyBorder="1" applyAlignment="1">
      <alignment horizontal="center"/>
    </xf>
    <xf numFmtId="0" fontId="26" fillId="11" borderId="29" xfId="17" applyFill="1" applyBorder="1" applyAlignment="1">
      <alignment wrapText="1"/>
    </xf>
    <xf numFmtId="2" fontId="26" fillId="18" borderId="7" xfId="17" applyNumberFormat="1" applyFill="1" applyBorder="1" applyAlignment="1">
      <alignment horizontal="center"/>
    </xf>
    <xf numFmtId="2" fontId="26" fillId="18" borderId="42" xfId="17" applyNumberFormat="1" applyFill="1" applyBorder="1" applyAlignment="1">
      <alignment horizontal="center"/>
    </xf>
    <xf numFmtId="2" fontId="26" fillId="18" borderId="48" xfId="17" applyNumberFormat="1" applyFill="1" applyBorder="1" applyAlignment="1">
      <alignment horizontal="center"/>
    </xf>
    <xf numFmtId="0" fontId="26" fillId="11" borderId="82" xfId="17" applyFill="1" applyBorder="1" applyAlignment="1">
      <alignment wrapText="1"/>
    </xf>
    <xf numFmtId="2" fontId="26" fillId="18" borderId="70" xfId="17" applyNumberFormat="1" applyFill="1" applyBorder="1" applyAlignment="1">
      <alignment horizontal="center"/>
    </xf>
    <xf numFmtId="0" fontId="26" fillId="11" borderId="8" xfId="17" applyFill="1" applyBorder="1" applyAlignment="1">
      <alignment wrapText="1"/>
    </xf>
    <xf numFmtId="2" fontId="26" fillId="18" borderId="10" xfId="17" applyNumberFormat="1" applyFill="1" applyBorder="1" applyAlignment="1">
      <alignment horizontal="center"/>
    </xf>
    <xf numFmtId="2" fontId="26" fillId="9" borderId="6" xfId="17" applyNumberFormat="1" applyFill="1" applyBorder="1" applyAlignment="1">
      <alignment horizontal="center"/>
    </xf>
    <xf numFmtId="2" fontId="26" fillId="9" borderId="7" xfId="17" applyNumberFormat="1" applyFill="1" applyBorder="1" applyAlignment="1">
      <alignment horizontal="center"/>
    </xf>
    <xf numFmtId="2" fontId="26" fillId="9" borderId="44" xfId="17" applyNumberFormat="1" applyFill="1" applyBorder="1" applyAlignment="1">
      <alignment horizontal="center"/>
    </xf>
    <xf numFmtId="0" fontId="26" fillId="11" borderId="38" xfId="17" applyFill="1" applyBorder="1"/>
    <xf numFmtId="0" fontId="26" fillId="19" borderId="40" xfId="17" applyFill="1" applyBorder="1" applyAlignment="1">
      <alignment horizontal="center"/>
    </xf>
    <xf numFmtId="0" fontId="26" fillId="19" borderId="42" xfId="17" applyFill="1" applyBorder="1" applyAlignment="1">
      <alignment horizontal="center"/>
    </xf>
    <xf numFmtId="0" fontId="26" fillId="19" borderId="7" xfId="17" applyFill="1" applyBorder="1" applyAlignment="1">
      <alignment horizontal="center"/>
    </xf>
    <xf numFmtId="0" fontId="26" fillId="19" borderId="48" xfId="17" applyFill="1" applyBorder="1" applyAlignment="1">
      <alignment horizontal="center"/>
    </xf>
    <xf numFmtId="0" fontId="26" fillId="11" borderId="81" xfId="17" applyFill="1" applyBorder="1"/>
    <xf numFmtId="0" fontId="26" fillId="19" borderId="44" xfId="17" applyFill="1" applyBorder="1" applyAlignment="1">
      <alignment horizontal="center"/>
    </xf>
    <xf numFmtId="0" fontId="32" fillId="6" borderId="80" xfId="17" applyFont="1" applyFill="1" applyBorder="1"/>
    <xf numFmtId="0" fontId="32" fillId="6" borderId="71" xfId="17" applyFont="1" applyFill="1" applyBorder="1"/>
    <xf numFmtId="0" fontId="32" fillId="6" borderId="5" xfId="17" applyFont="1" applyFill="1" applyBorder="1"/>
    <xf numFmtId="0" fontId="32" fillId="6" borderId="6" xfId="17" applyFont="1" applyFill="1" applyBorder="1"/>
    <xf numFmtId="0" fontId="32" fillId="6" borderId="72" xfId="17" applyFont="1" applyFill="1" applyBorder="1"/>
    <xf numFmtId="0" fontId="47" fillId="0" borderId="0" xfId="17" applyFont="1"/>
    <xf numFmtId="0" fontId="32" fillId="6" borderId="24" xfId="17" applyFont="1" applyFill="1" applyBorder="1"/>
    <xf numFmtId="0" fontId="32" fillId="6" borderId="88" xfId="17" applyFont="1" applyFill="1" applyBorder="1"/>
    <xf numFmtId="0" fontId="32" fillId="6" borderId="37" xfId="17" applyFont="1" applyFill="1" applyBorder="1"/>
    <xf numFmtId="0" fontId="32" fillId="6" borderId="15" xfId="17" applyFont="1" applyFill="1" applyBorder="1"/>
    <xf numFmtId="0" fontId="80" fillId="6" borderId="83" xfId="17" applyFont="1" applyFill="1" applyBorder="1" applyAlignment="1">
      <alignment wrapText="1"/>
    </xf>
    <xf numFmtId="0" fontId="32" fillId="6" borderId="4" xfId="17" applyFont="1" applyFill="1" applyBorder="1" applyAlignment="1">
      <alignment wrapText="1"/>
    </xf>
    <xf numFmtId="0" fontId="32" fillId="6" borderId="6" xfId="17" applyFont="1" applyFill="1" applyBorder="1" applyAlignment="1">
      <alignment wrapText="1"/>
    </xf>
    <xf numFmtId="0" fontId="32" fillId="6" borderId="80" xfId="17" applyFont="1" applyFill="1" applyBorder="1" applyAlignment="1">
      <alignment wrapText="1"/>
    </xf>
    <xf numFmtId="0" fontId="80" fillId="6" borderId="47" xfId="17" applyFont="1" applyFill="1" applyBorder="1" applyAlignment="1">
      <alignment horizontal="center"/>
    </xf>
    <xf numFmtId="0" fontId="32" fillId="6" borderId="24" xfId="17" applyFont="1" applyFill="1" applyBorder="1" applyAlignment="1">
      <alignment wrapText="1"/>
    </xf>
    <xf numFmtId="0" fontId="32" fillId="6" borderId="26" xfId="17" applyFont="1" applyFill="1" applyBorder="1" applyAlignment="1">
      <alignment wrapText="1"/>
    </xf>
    <xf numFmtId="0" fontId="32" fillId="6" borderId="80" xfId="17" applyFont="1" applyFill="1" applyBorder="1" applyAlignment="1">
      <alignment horizontal="left" wrapText="1"/>
    </xf>
    <xf numFmtId="0" fontId="32" fillId="6" borderId="4" xfId="17" applyFont="1" applyFill="1" applyBorder="1" applyAlignment="1">
      <alignment horizontal="left"/>
    </xf>
    <xf numFmtId="0" fontId="32" fillId="6" borderId="6" xfId="17" applyFont="1" applyFill="1" applyBorder="1" applyAlignment="1">
      <alignment horizontal="left"/>
    </xf>
    <xf numFmtId="0" fontId="32" fillId="6" borderId="28" xfId="17" applyFont="1" applyFill="1" applyBorder="1"/>
    <xf numFmtId="0" fontId="32" fillId="6" borderId="24" xfId="17" applyFont="1" applyFill="1" applyBorder="1" applyAlignment="1">
      <alignment horizontal="left" wrapText="1"/>
    </xf>
    <xf numFmtId="0" fontId="32" fillId="6" borderId="14" xfId="17" applyFont="1" applyFill="1" applyBorder="1" applyAlignment="1">
      <alignment horizontal="left"/>
    </xf>
    <xf numFmtId="0" fontId="32" fillId="6" borderId="15" xfId="17" applyFont="1" applyFill="1" applyBorder="1" applyAlignment="1">
      <alignment horizontal="left"/>
    </xf>
    <xf numFmtId="0" fontId="32" fillId="6" borderId="86" xfId="17" applyFont="1" applyFill="1" applyBorder="1"/>
    <xf numFmtId="0" fontId="32" fillId="6" borderId="28" xfId="17" applyFont="1" applyFill="1" applyBorder="1" applyAlignment="1">
      <alignment wrapText="1"/>
    </xf>
    <xf numFmtId="170" fontId="65" fillId="0" borderId="36" xfId="0" applyNumberFormat="1" applyFont="1" applyBorder="1" applyAlignment="1">
      <alignment horizontal="center" vertical="top" wrapText="1"/>
    </xf>
    <xf numFmtId="170" fontId="65" fillId="0" borderId="36" xfId="0" applyNumberFormat="1" applyFont="1" applyBorder="1" applyAlignment="1">
      <alignment horizontal="right" vertical="top" wrapText="1" indent="1"/>
    </xf>
    <xf numFmtId="170" fontId="65" fillId="0" borderId="36" xfId="0" applyNumberFormat="1" applyFont="1" applyBorder="1" applyAlignment="1">
      <alignment horizontal="left" vertical="top" wrapText="1" indent="1"/>
    </xf>
    <xf numFmtId="165" fontId="32" fillId="0" borderId="5" xfId="0" applyNumberFormat="1" applyFont="1" applyBorder="1" applyAlignment="1">
      <alignment horizontal="left"/>
    </xf>
    <xf numFmtId="0" fontId="26" fillId="0" borderId="2" xfId="17" applyBorder="1"/>
    <xf numFmtId="0" fontId="26" fillId="0" borderId="2" xfId="17" applyBorder="1" applyAlignment="1">
      <alignment wrapText="1"/>
    </xf>
    <xf numFmtId="0" fontId="26" fillId="0" borderId="4" xfId="17" applyBorder="1" applyAlignment="1">
      <alignment wrapText="1"/>
    </xf>
    <xf numFmtId="0" fontId="26" fillId="0" borderId="72" xfId="17" applyBorder="1" applyAlignment="1">
      <alignment wrapText="1"/>
    </xf>
    <xf numFmtId="0" fontId="26" fillId="0" borderId="5" xfId="17" applyBorder="1" applyAlignment="1">
      <alignment wrapText="1"/>
    </xf>
    <xf numFmtId="0" fontId="26" fillId="0" borderId="6" xfId="17" applyBorder="1" applyAlignment="1">
      <alignment wrapText="1"/>
    </xf>
    <xf numFmtId="0" fontId="26" fillId="0" borderId="3" xfId="17" applyBorder="1"/>
    <xf numFmtId="0" fontId="26" fillId="0" borderId="12" xfId="17" applyBorder="1" applyAlignment="1">
      <alignment horizontal="left"/>
    </xf>
    <xf numFmtId="0" fontId="26" fillId="0" borderId="7" xfId="17" applyBorder="1"/>
    <xf numFmtId="2" fontId="26" fillId="0" borderId="0" xfId="17" applyNumberFormat="1" applyAlignment="1">
      <alignment horizontal="center"/>
    </xf>
    <xf numFmtId="0" fontId="26" fillId="0" borderId="0" xfId="17" applyAlignment="1">
      <alignment horizontal="center"/>
    </xf>
    <xf numFmtId="0" fontId="26" fillId="0" borderId="12" xfId="17" applyBorder="1"/>
    <xf numFmtId="0" fontId="26" fillId="0" borderId="8" xfId="17" applyBorder="1"/>
    <xf numFmtId="0" fontId="26" fillId="0" borderId="50" xfId="17" applyBorder="1" applyAlignment="1">
      <alignment horizontal="left"/>
    </xf>
    <xf numFmtId="0" fontId="26" fillId="0" borderId="9" xfId="17" applyBorder="1"/>
    <xf numFmtId="0" fontId="26" fillId="0" borderId="10" xfId="17" applyBorder="1"/>
    <xf numFmtId="165" fontId="26" fillId="15" borderId="0" xfId="17" applyNumberFormat="1" applyFill="1" applyAlignment="1">
      <alignment horizontal="center"/>
    </xf>
    <xf numFmtId="0" fontId="26" fillId="16" borderId="0" xfId="17" applyFill="1" applyAlignment="1">
      <alignment horizontal="center"/>
    </xf>
    <xf numFmtId="2" fontId="26" fillId="16" borderId="0" xfId="17" applyNumberFormat="1" applyFill="1" applyAlignment="1">
      <alignment horizontal="center"/>
    </xf>
    <xf numFmtId="0" fontId="26" fillId="12" borderId="0" xfId="17" applyFill="1"/>
    <xf numFmtId="0" fontId="36" fillId="0" borderId="0" xfId="17" applyFont="1" applyAlignment="1">
      <alignment wrapText="1"/>
    </xf>
    <xf numFmtId="0" fontId="26" fillId="0" borderId="0" xfId="17" quotePrefix="1"/>
    <xf numFmtId="0" fontId="26" fillId="11" borderId="6" xfId="17" applyFill="1" applyBorder="1"/>
    <xf numFmtId="0" fontId="26" fillId="17" borderId="7" xfId="17" applyFill="1" applyBorder="1" applyAlignment="1">
      <alignment horizontal="center"/>
    </xf>
    <xf numFmtId="0" fontId="26" fillId="11" borderId="25" xfId="17" applyFill="1" applyBorder="1"/>
    <xf numFmtId="0" fontId="26" fillId="0" borderId="14" xfId="17" applyBorder="1"/>
    <xf numFmtId="0" fontId="26" fillId="0" borderId="37" xfId="17" applyBorder="1"/>
    <xf numFmtId="0" fontId="26" fillId="0" borderId="15" xfId="17" applyBorder="1"/>
    <xf numFmtId="0" fontId="26" fillId="11" borderId="53" xfId="17" applyFill="1" applyBorder="1"/>
    <xf numFmtId="0" fontId="26" fillId="0" borderId="4" xfId="17" applyBorder="1"/>
    <xf numFmtId="0" fontId="26" fillId="0" borderId="71" xfId="17" applyBorder="1"/>
    <xf numFmtId="0" fontId="26" fillId="14" borderId="6" xfId="17" applyFill="1" applyBorder="1"/>
    <xf numFmtId="0" fontId="26" fillId="11" borderId="55" xfId="17" applyFill="1" applyBorder="1"/>
    <xf numFmtId="0" fontId="26" fillId="0" borderId="16" xfId="17" applyBorder="1"/>
    <xf numFmtId="0" fontId="26" fillId="14" borderId="7" xfId="17" applyFill="1" applyBorder="1"/>
    <xf numFmtId="0" fontId="26" fillId="0" borderId="55" xfId="17" applyBorder="1"/>
    <xf numFmtId="164" fontId="26" fillId="0" borderId="3" xfId="17" applyNumberFormat="1" applyBorder="1"/>
    <xf numFmtId="164" fontId="26" fillId="0" borderId="16" xfId="17" applyNumberFormat="1" applyBorder="1"/>
    <xf numFmtId="164" fontId="26" fillId="0" borderId="7" xfId="17" applyNumberFormat="1" applyBorder="1"/>
    <xf numFmtId="2" fontId="26" fillId="17" borderId="7" xfId="17" applyNumberFormat="1" applyFill="1" applyBorder="1" applyAlignment="1">
      <alignment horizontal="center"/>
    </xf>
    <xf numFmtId="0" fontId="26" fillId="11" borderId="66" xfId="17" applyFill="1" applyBorder="1"/>
    <xf numFmtId="0" fontId="26" fillId="0" borderId="64" xfId="17" applyBorder="1"/>
    <xf numFmtId="0" fontId="26" fillId="17" borderId="48" xfId="17" applyFill="1" applyBorder="1" applyAlignment="1">
      <alignment horizontal="center"/>
    </xf>
    <xf numFmtId="0" fontId="26" fillId="17" borderId="10" xfId="17" applyFill="1" applyBorder="1" applyAlignment="1">
      <alignment horizontal="center"/>
    </xf>
    <xf numFmtId="0" fontId="26" fillId="3" borderId="48" xfId="17" applyFill="1" applyBorder="1" applyAlignment="1">
      <alignment horizontal="center"/>
    </xf>
    <xf numFmtId="0" fontId="26" fillId="3" borderId="7" xfId="17" applyFill="1" applyBorder="1" applyAlignment="1">
      <alignment horizontal="center"/>
    </xf>
    <xf numFmtId="0" fontId="26" fillId="3" borderId="10" xfId="17" applyFill="1" applyBorder="1" applyAlignment="1">
      <alignment horizontal="center"/>
    </xf>
    <xf numFmtId="0" fontId="26" fillId="12" borderId="6" xfId="17" applyFill="1" applyBorder="1" applyAlignment="1">
      <alignment horizontal="center"/>
    </xf>
    <xf numFmtId="0" fontId="24" fillId="0" borderId="0" xfId="17" applyFont="1"/>
    <xf numFmtId="0" fontId="24" fillId="6" borderId="83" xfId="17" applyFont="1" applyFill="1" applyBorder="1" applyAlignment="1">
      <alignment wrapText="1"/>
    </xf>
    <xf numFmtId="0" fontId="24" fillId="0" borderId="16" xfId="17" applyFont="1" applyBorder="1" applyAlignment="1">
      <alignment horizontal="left"/>
    </xf>
    <xf numFmtId="0" fontId="24" fillId="0" borderId="7" xfId="17" applyFont="1" applyBorder="1" applyAlignment="1">
      <alignment horizontal="left"/>
    </xf>
    <xf numFmtId="0" fontId="24" fillId="6" borderId="84" xfId="17" applyFont="1" applyFill="1" applyBorder="1" applyAlignment="1">
      <alignment wrapText="1"/>
    </xf>
    <xf numFmtId="0" fontId="24" fillId="0" borderId="16" xfId="17" applyFont="1" applyBorder="1" applyAlignment="1">
      <alignment horizontal="left" wrapText="1"/>
    </xf>
    <xf numFmtId="0" fontId="24" fillId="6" borderId="28" xfId="17" applyFont="1" applyFill="1" applyBorder="1" applyAlignment="1">
      <alignment wrapText="1"/>
    </xf>
    <xf numFmtId="0" fontId="24" fillId="0" borderId="44" xfId="17" applyFont="1" applyBorder="1" applyAlignment="1">
      <alignment horizontal="left"/>
    </xf>
    <xf numFmtId="0" fontId="24" fillId="14" borderId="84" xfId="17" applyFont="1" applyFill="1" applyBorder="1"/>
    <xf numFmtId="0" fontId="24" fillId="6" borderId="84" xfId="17" applyFont="1" applyFill="1" applyBorder="1"/>
    <xf numFmtId="0" fontId="24" fillId="0" borderId="84" xfId="17" applyFont="1" applyBorder="1"/>
    <xf numFmtId="0" fontId="24" fillId="6" borderId="86" xfId="17" applyFont="1" applyFill="1" applyBorder="1"/>
    <xf numFmtId="170" fontId="24" fillId="0" borderId="86" xfId="17" applyNumberFormat="1" applyFont="1" applyBorder="1" applyAlignment="1">
      <alignment horizontal="center"/>
    </xf>
    <xf numFmtId="0" fontId="24" fillId="6" borderId="80" xfId="17" applyFont="1" applyFill="1" applyBorder="1"/>
    <xf numFmtId="170" fontId="24" fillId="0" borderId="71" xfId="17" applyNumberFormat="1" applyFont="1" applyBorder="1" applyAlignment="1">
      <alignment horizontal="center"/>
    </xf>
    <xf numFmtId="170" fontId="24" fillId="0" borderId="80" xfId="17" applyNumberFormat="1" applyFont="1" applyBorder="1" applyAlignment="1">
      <alignment horizontal="center"/>
    </xf>
    <xf numFmtId="0" fontId="24" fillId="6" borderId="87" xfId="17" applyFont="1" applyFill="1" applyBorder="1"/>
    <xf numFmtId="0" fontId="24" fillId="14" borderId="87" xfId="17" applyFont="1" applyFill="1" applyBorder="1" applyAlignment="1">
      <alignment horizontal="center"/>
    </xf>
    <xf numFmtId="0" fontId="24" fillId="0" borderId="71" xfId="17" applyFont="1" applyBorder="1" applyAlignment="1">
      <alignment horizontal="center"/>
    </xf>
    <xf numFmtId="0" fontId="24" fillId="0" borderId="80" xfId="17" applyFont="1" applyBorder="1" applyAlignment="1">
      <alignment horizontal="center"/>
    </xf>
    <xf numFmtId="0" fontId="24" fillId="14" borderId="86" xfId="17" applyFont="1" applyFill="1" applyBorder="1" applyAlignment="1">
      <alignment horizontal="center"/>
    </xf>
    <xf numFmtId="0" fontId="24" fillId="0" borderId="68" xfId="17" applyFont="1" applyBorder="1" applyAlignment="1">
      <alignment horizontal="center"/>
    </xf>
    <xf numFmtId="0" fontId="24" fillId="0" borderId="48" xfId="17" applyFont="1" applyBorder="1" applyAlignment="1">
      <alignment horizontal="left"/>
    </xf>
    <xf numFmtId="0" fontId="24" fillId="6" borderId="27" xfId="17" applyFont="1" applyFill="1" applyBorder="1" applyAlignment="1">
      <alignment wrapText="1"/>
    </xf>
    <xf numFmtId="0" fontId="24" fillId="0" borderId="74" xfId="17" applyFont="1" applyBorder="1" applyAlignment="1">
      <alignment horizontal="center"/>
    </xf>
    <xf numFmtId="0" fontId="24" fillId="0" borderId="70" xfId="17" applyFont="1" applyBorder="1" applyAlignment="1">
      <alignment horizontal="left"/>
    </xf>
    <xf numFmtId="0" fontId="24" fillId="0" borderId="16" xfId="17" applyFont="1" applyBorder="1" applyAlignment="1">
      <alignment horizontal="center"/>
    </xf>
    <xf numFmtId="0" fontId="24" fillId="0" borderId="68" xfId="17" applyFont="1" applyBorder="1" applyAlignment="1">
      <alignment horizontal="left" wrapText="1"/>
    </xf>
    <xf numFmtId="170" fontId="24" fillId="0" borderId="16" xfId="17" applyNumberFormat="1" applyFont="1" applyBorder="1" applyAlignment="1">
      <alignment horizontal="center"/>
    </xf>
    <xf numFmtId="170" fontId="24" fillId="0" borderId="16" xfId="17" applyNumberFormat="1" applyFont="1" applyBorder="1" applyAlignment="1">
      <alignment horizontal="center" wrapText="1"/>
    </xf>
    <xf numFmtId="170" fontId="24" fillId="0" borderId="16" xfId="17" applyNumberFormat="1" applyFont="1" applyBorder="1" applyAlignment="1">
      <alignment horizontal="left"/>
    </xf>
    <xf numFmtId="0" fontId="24" fillId="0" borderId="16" xfId="17" applyFont="1" applyBorder="1" applyAlignment="1">
      <alignment horizontal="center" wrapText="1"/>
    </xf>
    <xf numFmtId="0" fontId="24" fillId="6" borderId="87" xfId="17" applyFont="1" applyFill="1" applyBorder="1" applyAlignment="1">
      <alignment wrapText="1"/>
    </xf>
    <xf numFmtId="172" fontId="24" fillId="0" borderId="16" xfId="17" applyNumberFormat="1" applyFont="1" applyBorder="1" applyAlignment="1">
      <alignment horizontal="left"/>
    </xf>
    <xf numFmtId="170" fontId="24" fillId="0" borderId="59" xfId="17" applyNumberFormat="1" applyFont="1" applyBorder="1" applyAlignment="1">
      <alignment horizontal="center"/>
    </xf>
    <xf numFmtId="0" fontId="24" fillId="0" borderId="42" xfId="17" applyFont="1" applyBorder="1" applyAlignment="1">
      <alignment horizontal="left"/>
    </xf>
    <xf numFmtId="172" fontId="24" fillId="0" borderId="16" xfId="17" applyNumberFormat="1" applyFont="1" applyBorder="1" applyAlignment="1">
      <alignment horizontal="center"/>
    </xf>
    <xf numFmtId="172" fontId="24" fillId="0" borderId="74" xfId="17" applyNumberFormat="1" applyFont="1" applyBorder="1" applyAlignment="1">
      <alignment horizontal="center"/>
    </xf>
    <xf numFmtId="0" fontId="24" fillId="6" borderId="86" xfId="17" applyFont="1" applyFill="1" applyBorder="1" applyAlignment="1">
      <alignment wrapText="1"/>
    </xf>
    <xf numFmtId="0" fontId="24" fillId="0" borderId="64" xfId="17" applyFont="1" applyBorder="1" applyAlignment="1">
      <alignment horizontal="center"/>
    </xf>
    <xf numFmtId="0" fontId="24" fillId="0" borderId="10" xfId="17" applyFont="1" applyBorder="1" applyAlignment="1">
      <alignment horizontal="left"/>
    </xf>
    <xf numFmtId="0" fontId="24" fillId="0" borderId="64" xfId="17" applyFont="1" applyBorder="1" applyAlignment="1">
      <alignment horizontal="left" wrapText="1"/>
    </xf>
    <xf numFmtId="0" fontId="24" fillId="6" borderId="80" xfId="17" applyFont="1" applyFill="1" applyBorder="1" applyAlignment="1">
      <alignment wrapText="1"/>
    </xf>
    <xf numFmtId="0" fontId="24" fillId="0" borderId="71" xfId="17" applyFont="1" applyBorder="1" applyAlignment="1">
      <alignment horizontal="left"/>
    </xf>
    <xf numFmtId="0" fontId="24" fillId="0" borderId="6" xfId="17" applyFont="1" applyBorder="1" applyAlignment="1">
      <alignment horizontal="left"/>
    </xf>
    <xf numFmtId="0" fontId="24" fillId="0" borderId="64" xfId="17" applyFont="1" applyBorder="1"/>
    <xf numFmtId="0" fontId="24" fillId="0" borderId="71" xfId="17" applyFont="1" applyBorder="1"/>
    <xf numFmtId="0" fontId="24" fillId="0" borderId="64" xfId="17" applyFont="1" applyBorder="1" applyAlignment="1">
      <alignment horizontal="left"/>
    </xf>
    <xf numFmtId="0" fontId="24" fillId="0" borderId="68" xfId="17" applyFont="1" applyBorder="1"/>
    <xf numFmtId="2" fontId="24" fillId="0" borderId="68" xfId="17" applyNumberFormat="1" applyFont="1" applyBorder="1" applyAlignment="1">
      <alignment horizontal="center" wrapText="1"/>
    </xf>
    <xf numFmtId="2" fontId="24" fillId="0" borderId="16" xfId="17" applyNumberFormat="1" applyFont="1" applyBorder="1" applyAlignment="1">
      <alignment horizontal="center" wrapText="1"/>
    </xf>
    <xf numFmtId="170" fontId="24" fillId="0" borderId="0" xfId="17" applyNumberFormat="1" applyFont="1"/>
    <xf numFmtId="170" fontId="24" fillId="0" borderId="74" xfId="17" applyNumberFormat="1" applyFont="1" applyBorder="1" applyAlignment="1">
      <alignment horizontal="center"/>
    </xf>
    <xf numFmtId="170" fontId="24" fillId="0" borderId="3" xfId="17" applyNumberFormat="1" applyFont="1" applyBorder="1" applyAlignment="1">
      <alignment horizontal="center"/>
    </xf>
    <xf numFmtId="170" fontId="24" fillId="0" borderId="68" xfId="17" applyNumberFormat="1" applyFont="1" applyBorder="1" applyAlignment="1">
      <alignment horizontal="center" wrapText="1"/>
    </xf>
    <xf numFmtId="170" fontId="24" fillId="0" borderId="64" xfId="17" applyNumberFormat="1" applyFont="1" applyBorder="1" applyAlignment="1">
      <alignment horizontal="center" wrapText="1"/>
    </xf>
    <xf numFmtId="0" fontId="24" fillId="0" borderId="16" xfId="17" applyFont="1" applyBorder="1"/>
    <xf numFmtId="0" fontId="24" fillId="0" borderId="2" xfId="17" applyFont="1" applyBorder="1"/>
    <xf numFmtId="0" fontId="24" fillId="0" borderId="12" xfId="17" applyFont="1" applyBorder="1"/>
    <xf numFmtId="0" fontId="24" fillId="14" borderId="80" xfId="17" applyFont="1" applyFill="1" applyBorder="1" applyAlignment="1">
      <alignment horizontal="center"/>
    </xf>
    <xf numFmtId="0" fontId="24" fillId="6" borderId="83" xfId="17" applyFont="1" applyFill="1" applyBorder="1"/>
    <xf numFmtId="170" fontId="24" fillId="0" borderId="68" xfId="17" applyNumberFormat="1" applyFont="1" applyBorder="1" applyAlignment="1">
      <alignment horizontal="center"/>
    </xf>
    <xf numFmtId="0" fontId="24" fillId="14" borderId="83" xfId="17" applyFont="1" applyFill="1" applyBorder="1" applyAlignment="1">
      <alignment horizontal="center"/>
    </xf>
    <xf numFmtId="170" fontId="24" fillId="0" borderId="83" xfId="17" applyNumberFormat="1" applyFont="1" applyBorder="1" applyAlignment="1">
      <alignment horizontal="center"/>
    </xf>
    <xf numFmtId="170" fontId="24" fillId="0" borderId="84" xfId="17" applyNumberFormat="1" applyFont="1" applyBorder="1" applyAlignment="1">
      <alignment horizontal="center"/>
    </xf>
    <xf numFmtId="170" fontId="24" fillId="0" borderId="64" xfId="17" applyNumberFormat="1" applyFont="1" applyBorder="1" applyAlignment="1">
      <alignment horizontal="center"/>
    </xf>
    <xf numFmtId="170" fontId="24" fillId="0" borderId="46" xfId="17" applyNumberFormat="1" applyFont="1" applyBorder="1" applyAlignment="1">
      <alignment horizontal="center"/>
    </xf>
    <xf numFmtId="0" fontId="24" fillId="0" borderId="59" xfId="17" applyFont="1" applyBorder="1" applyAlignment="1">
      <alignment horizontal="center"/>
    </xf>
    <xf numFmtId="0" fontId="24" fillId="6" borderId="26" xfId="17" applyFont="1" applyFill="1" applyBorder="1" applyAlignment="1">
      <alignment wrapText="1"/>
    </xf>
    <xf numFmtId="0" fontId="24" fillId="0" borderId="45" xfId="17" applyFont="1" applyBorder="1" applyAlignment="1">
      <alignment horizontal="center"/>
    </xf>
    <xf numFmtId="0" fontId="24" fillId="0" borderId="40" xfId="17" applyFont="1" applyBorder="1" applyAlignment="1">
      <alignment horizontal="left"/>
    </xf>
    <xf numFmtId="0" fontId="24" fillId="0" borderId="3" xfId="17" applyFont="1" applyBorder="1" applyAlignment="1">
      <alignment horizontal="center"/>
    </xf>
    <xf numFmtId="0" fontId="24" fillId="0" borderId="84" xfId="17" applyFont="1" applyBorder="1" applyAlignment="1">
      <alignment horizontal="center"/>
    </xf>
    <xf numFmtId="0" fontId="24" fillId="0" borderId="41" xfId="17" applyFont="1" applyBorder="1" applyAlignment="1">
      <alignment horizontal="center"/>
    </xf>
    <xf numFmtId="0" fontId="24" fillId="0" borderId="87" xfId="17" applyFont="1" applyBorder="1" applyAlignment="1">
      <alignment horizontal="center"/>
    </xf>
    <xf numFmtId="0" fontId="24" fillId="0" borderId="24" xfId="17" applyFont="1" applyBorder="1" applyAlignment="1">
      <alignment horizontal="center"/>
    </xf>
    <xf numFmtId="0" fontId="24" fillId="0" borderId="74" xfId="17" applyFont="1" applyBorder="1" applyAlignment="1">
      <alignment horizontal="left"/>
    </xf>
    <xf numFmtId="0" fontId="24" fillId="0" borderId="59" xfId="17" applyFont="1" applyBorder="1" applyAlignment="1">
      <alignment horizontal="left"/>
    </xf>
    <xf numFmtId="0" fontId="24" fillId="0" borderId="45" xfId="17" applyFont="1" applyBorder="1" applyAlignment="1">
      <alignment horizontal="left"/>
    </xf>
    <xf numFmtId="170" fontId="24" fillId="0" borderId="59" xfId="17" applyNumberFormat="1" applyFont="1" applyBorder="1" applyAlignment="1">
      <alignment horizontal="left"/>
    </xf>
    <xf numFmtId="1" fontId="24" fillId="0" borderId="64" xfId="17" applyNumberFormat="1" applyFont="1" applyBorder="1" applyAlignment="1">
      <alignment horizontal="center"/>
    </xf>
    <xf numFmtId="170" fontId="24" fillId="0" borderId="74" xfId="17" applyNumberFormat="1" applyFont="1" applyBorder="1" applyAlignment="1">
      <alignment horizontal="left"/>
    </xf>
    <xf numFmtId="0" fontId="24" fillId="0" borderId="0" xfId="17" applyFont="1" applyAlignment="1">
      <alignment wrapText="1"/>
    </xf>
    <xf numFmtId="170" fontId="24" fillId="0" borderId="45" xfId="17" applyNumberFormat="1" applyFont="1" applyBorder="1" applyAlignment="1">
      <alignment horizontal="left"/>
    </xf>
    <xf numFmtId="170" fontId="24" fillId="0" borderId="64" xfId="17" applyNumberFormat="1" applyFont="1" applyBorder="1" applyAlignment="1">
      <alignment horizontal="left"/>
    </xf>
    <xf numFmtId="0" fontId="24" fillId="0" borderId="68" xfId="17" applyFont="1" applyBorder="1" applyAlignment="1">
      <alignment horizontal="left"/>
    </xf>
    <xf numFmtId="170" fontId="24" fillId="0" borderId="68" xfId="17" quotePrefix="1" applyNumberFormat="1" applyFont="1" applyBorder="1" applyAlignment="1">
      <alignment horizontal="center" wrapText="1"/>
    </xf>
    <xf numFmtId="170" fontId="24" fillId="0" borderId="68" xfId="17" applyNumberFormat="1" applyFont="1" applyBorder="1" applyAlignment="1">
      <alignment horizontal="left"/>
    </xf>
    <xf numFmtId="172" fontId="24" fillId="0" borderId="88" xfId="17" applyNumberFormat="1" applyFont="1" applyBorder="1" applyAlignment="1">
      <alignment horizontal="center"/>
    </xf>
    <xf numFmtId="0" fontId="24" fillId="0" borderId="15" xfId="17" applyFont="1" applyBorder="1" applyAlignment="1">
      <alignment horizontal="left"/>
    </xf>
    <xf numFmtId="0" fontId="24" fillId="0" borderId="6" xfId="17" applyFont="1" applyBorder="1" applyAlignment="1">
      <alignment horizontal="left" wrapText="1"/>
    </xf>
    <xf numFmtId="172" fontId="24" fillId="0" borderId="71" xfId="17" applyNumberFormat="1" applyFont="1" applyBorder="1" applyAlignment="1">
      <alignment horizontal="center"/>
    </xf>
    <xf numFmtId="172" fontId="24" fillId="0" borderId="68" xfId="17" applyNumberFormat="1" applyFont="1" applyBorder="1" applyAlignment="1">
      <alignment horizontal="center"/>
    </xf>
    <xf numFmtId="0" fontId="24" fillId="6" borderId="28" xfId="17" applyFont="1" applyFill="1" applyBorder="1"/>
    <xf numFmtId="172" fontId="24" fillId="0" borderId="46" xfId="17" applyNumberFormat="1" applyFont="1" applyBorder="1" applyAlignment="1">
      <alignment horizontal="center"/>
    </xf>
    <xf numFmtId="172" fontId="24" fillId="0" borderId="64" xfId="17" applyNumberFormat="1" applyFont="1" applyBorder="1" applyAlignment="1">
      <alignment horizontal="center"/>
    </xf>
    <xf numFmtId="170" fontId="24" fillId="0" borderId="88" xfId="17" applyNumberFormat="1" applyFont="1" applyBorder="1" applyAlignment="1">
      <alignment horizontal="center"/>
    </xf>
    <xf numFmtId="170" fontId="24" fillId="0" borderId="87" xfId="17" applyNumberFormat="1" applyFont="1" applyBorder="1" applyAlignment="1">
      <alignment horizontal="center"/>
    </xf>
    <xf numFmtId="0" fontId="24" fillId="6" borderId="24" xfId="17" applyFont="1" applyFill="1" applyBorder="1"/>
    <xf numFmtId="172" fontId="24" fillId="14" borderId="24" xfId="17" applyNumberFormat="1" applyFont="1" applyFill="1" applyBorder="1" applyAlignment="1">
      <alignment horizontal="center"/>
    </xf>
    <xf numFmtId="172" fontId="24" fillId="0" borderId="80" xfId="17" applyNumberFormat="1" applyFont="1" applyBorder="1" applyAlignment="1">
      <alignment horizontal="center"/>
    </xf>
    <xf numFmtId="170" fontId="24" fillId="0" borderId="28" xfId="17" applyNumberFormat="1" applyFont="1" applyBorder="1" applyAlignment="1">
      <alignment horizontal="center"/>
    </xf>
    <xf numFmtId="0" fontId="80" fillId="6" borderId="47" xfId="17" applyFont="1" applyFill="1" applyBorder="1"/>
    <xf numFmtId="0" fontId="32" fillId="6" borderId="52" xfId="17" applyFont="1" applyFill="1" applyBorder="1" applyAlignment="1">
      <alignment wrapText="1"/>
    </xf>
    <xf numFmtId="0" fontId="32" fillId="6" borderId="72" xfId="17" applyFont="1" applyFill="1" applyBorder="1" applyAlignment="1">
      <alignment wrapText="1"/>
    </xf>
    <xf numFmtId="0" fontId="23" fillId="6" borderId="83" xfId="17" applyFont="1" applyFill="1" applyBorder="1" applyAlignment="1">
      <alignment wrapText="1"/>
    </xf>
    <xf numFmtId="0" fontId="23" fillId="6" borderId="84" xfId="17" applyFont="1" applyFill="1" applyBorder="1" applyAlignment="1">
      <alignment wrapText="1"/>
    </xf>
    <xf numFmtId="0" fontId="23" fillId="6" borderId="28" xfId="17" applyFont="1" applyFill="1" applyBorder="1" applyAlignment="1">
      <alignment wrapText="1"/>
    </xf>
    <xf numFmtId="0" fontId="23" fillId="6" borderId="84" xfId="17" applyFont="1" applyFill="1" applyBorder="1"/>
    <xf numFmtId="0" fontId="36" fillId="11" borderId="4" xfId="17" applyFont="1" applyFill="1" applyBorder="1" applyAlignment="1">
      <alignment wrapText="1"/>
    </xf>
    <xf numFmtId="0" fontId="36" fillId="11" borderId="6" xfId="17" applyFont="1" applyFill="1" applyBorder="1" applyAlignment="1">
      <alignment wrapText="1"/>
    </xf>
    <xf numFmtId="0" fontId="23" fillId="0" borderId="7" xfId="17" applyFont="1" applyBorder="1" applyAlignment="1">
      <alignment horizontal="left"/>
    </xf>
    <xf numFmtId="0" fontId="36" fillId="11" borderId="72" xfId="17" applyFont="1" applyFill="1" applyBorder="1" applyAlignment="1">
      <alignment wrapText="1"/>
    </xf>
    <xf numFmtId="0" fontId="26" fillId="0" borderId="50" xfId="17" applyBorder="1"/>
    <xf numFmtId="0" fontId="26" fillId="13" borderId="4" xfId="17" applyFill="1" applyBorder="1" applyAlignment="1">
      <alignment wrapText="1"/>
    </xf>
    <xf numFmtId="0" fontId="26" fillId="13" borderId="5" xfId="17" applyFill="1" applyBorder="1" applyAlignment="1">
      <alignment wrapText="1"/>
    </xf>
    <xf numFmtId="0" fontId="26" fillId="13" borderId="6" xfId="17" applyFill="1" applyBorder="1" applyAlignment="1">
      <alignment wrapText="1"/>
    </xf>
    <xf numFmtId="0" fontId="26" fillId="13" borderId="3" xfId="17" applyFill="1" applyBorder="1"/>
    <xf numFmtId="0" fontId="26" fillId="13" borderId="2" xfId="17" applyFill="1" applyBorder="1"/>
    <xf numFmtId="0" fontId="26" fillId="13" borderId="7" xfId="17" applyFill="1" applyBorder="1"/>
    <xf numFmtId="0" fontId="26" fillId="13" borderId="8" xfId="17" applyFill="1" applyBorder="1"/>
    <xf numFmtId="0" fontId="26" fillId="13" borderId="9" xfId="17" applyFill="1" applyBorder="1"/>
    <xf numFmtId="0" fontId="26" fillId="13" borderId="10" xfId="17" applyFill="1" applyBorder="1"/>
    <xf numFmtId="0" fontId="24" fillId="0" borderId="0" xfId="17" applyFont="1" applyAlignment="1">
      <alignment vertical="top" wrapText="1"/>
    </xf>
    <xf numFmtId="0" fontId="59" fillId="0" borderId="0" xfId="10" applyFill="1" applyBorder="1" applyAlignment="1">
      <alignment vertical="top" wrapText="1"/>
    </xf>
    <xf numFmtId="0" fontId="22" fillId="6" borderId="87" xfId="17" applyFont="1" applyFill="1" applyBorder="1" applyAlignment="1">
      <alignment wrapText="1"/>
    </xf>
    <xf numFmtId="0" fontId="22" fillId="6" borderId="87" xfId="17" applyFont="1" applyFill="1" applyBorder="1" applyAlignment="1">
      <alignment vertical="center" wrapText="1"/>
    </xf>
    <xf numFmtId="0" fontId="24" fillId="6" borderId="87" xfId="17" applyFont="1" applyFill="1" applyBorder="1" applyAlignment="1">
      <alignment vertical="center" wrapText="1"/>
    </xf>
    <xf numFmtId="0" fontId="24" fillId="6" borderId="86" xfId="17" applyFont="1" applyFill="1" applyBorder="1" applyAlignment="1">
      <alignment vertical="center" wrapText="1"/>
    </xf>
    <xf numFmtId="0" fontId="24" fillId="6" borderId="27" xfId="17" applyFont="1" applyFill="1" applyBorder="1" applyAlignment="1">
      <alignment vertical="center" wrapText="1"/>
    </xf>
    <xf numFmtId="0" fontId="24" fillId="6" borderId="84" xfId="17" applyFont="1" applyFill="1" applyBorder="1" applyAlignment="1">
      <alignment vertical="center" wrapText="1"/>
    </xf>
    <xf numFmtId="0" fontId="24" fillId="0" borderId="23" xfId="17" applyFont="1" applyBorder="1"/>
    <xf numFmtId="0" fontId="49" fillId="0" borderId="0" xfId="17" applyFont="1"/>
    <xf numFmtId="0" fontId="24" fillId="6" borderId="83" xfId="17" applyFont="1" applyFill="1" applyBorder="1" applyAlignment="1">
      <alignment vertical="center" wrapText="1"/>
    </xf>
    <xf numFmtId="0" fontId="23" fillId="6" borderId="87" xfId="17" applyFont="1" applyFill="1" applyBorder="1" applyAlignment="1">
      <alignment vertical="center" wrapText="1"/>
    </xf>
    <xf numFmtId="0" fontId="22" fillId="6" borderId="83" xfId="17" applyFont="1" applyFill="1" applyBorder="1" applyAlignment="1">
      <alignment wrapText="1"/>
    </xf>
    <xf numFmtId="0" fontId="22" fillId="6" borderId="27" xfId="17" applyFont="1" applyFill="1" applyBorder="1" applyAlignment="1">
      <alignment wrapText="1"/>
    </xf>
    <xf numFmtId="0" fontId="24" fillId="3" borderId="2" xfId="17" applyFont="1" applyFill="1" applyBorder="1" applyAlignment="1" applyProtection="1">
      <alignment horizontal="left"/>
      <protection locked="0"/>
    </xf>
    <xf numFmtId="0" fontId="24" fillId="3" borderId="85" xfId="17" applyFont="1" applyFill="1" applyBorder="1" applyAlignment="1" applyProtection="1">
      <alignment horizontal="left"/>
      <protection locked="0"/>
    </xf>
    <xf numFmtId="0" fontId="24" fillId="3" borderId="16" xfId="17" applyFont="1" applyFill="1" applyBorder="1" applyProtection="1">
      <protection locked="0"/>
    </xf>
    <xf numFmtId="0" fontId="24" fillId="3" borderId="2" xfId="17" applyFont="1" applyFill="1" applyBorder="1" applyProtection="1">
      <protection locked="0"/>
    </xf>
    <xf numFmtId="0" fontId="24" fillId="3" borderId="12" xfId="17" applyFont="1" applyFill="1" applyBorder="1" applyProtection="1">
      <protection locked="0"/>
    </xf>
    <xf numFmtId="170" fontId="24" fillId="3" borderId="64" xfId="17" applyNumberFormat="1" applyFont="1" applyFill="1" applyBorder="1" applyAlignment="1" applyProtection="1">
      <alignment horizontal="center"/>
      <protection locked="0"/>
    </xf>
    <xf numFmtId="170" fontId="24" fillId="3" borderId="9" xfId="17" applyNumberFormat="1" applyFont="1" applyFill="1" applyBorder="1" applyAlignment="1" applyProtection="1">
      <alignment horizontal="center"/>
      <protection locked="0"/>
    </xf>
    <xf numFmtId="170" fontId="24" fillId="3" borderId="50" xfId="17" applyNumberFormat="1" applyFont="1" applyFill="1" applyBorder="1" applyAlignment="1" applyProtection="1">
      <alignment horizontal="center"/>
      <protection locked="0"/>
    </xf>
    <xf numFmtId="0" fontId="24" fillId="3" borderId="43" xfId="17" applyFont="1" applyFill="1" applyBorder="1" applyAlignment="1" applyProtection="1">
      <alignment horizontal="center"/>
      <protection locked="0"/>
    </xf>
    <xf numFmtId="0" fontId="24" fillId="3" borderId="60" xfId="17" applyFont="1" applyFill="1" applyBorder="1" applyAlignment="1" applyProtection="1">
      <alignment horizontal="center"/>
      <protection locked="0"/>
    </xf>
    <xf numFmtId="0" fontId="24" fillId="3" borderId="9" xfId="17" applyFont="1" applyFill="1" applyBorder="1" applyAlignment="1" applyProtection="1">
      <alignment horizontal="center"/>
      <protection locked="0"/>
    </xf>
    <xf numFmtId="0" fontId="24" fillId="3" borderId="50" xfId="17" applyFont="1" applyFill="1" applyBorder="1" applyAlignment="1" applyProtection="1">
      <alignment horizontal="center"/>
      <protection locked="0"/>
    </xf>
    <xf numFmtId="0" fontId="24" fillId="3" borderId="59" xfId="17" applyFont="1" applyFill="1" applyBorder="1" applyAlignment="1" applyProtection="1">
      <alignment horizontal="center"/>
      <protection locked="0"/>
    </xf>
    <xf numFmtId="0" fontId="24" fillId="3" borderId="64" xfId="17" applyFont="1" applyFill="1" applyBorder="1" applyAlignment="1" applyProtection="1">
      <alignment horizontal="center"/>
      <protection locked="0"/>
    </xf>
    <xf numFmtId="0" fontId="23" fillId="3" borderId="30" xfId="0" applyFont="1" applyFill="1" applyBorder="1" applyAlignment="1" applyProtection="1">
      <alignment horizontal="center"/>
      <protection locked="0"/>
    </xf>
    <xf numFmtId="0" fontId="23" fillId="3" borderId="79" xfId="0" applyFont="1" applyFill="1" applyBorder="1" applyAlignment="1" applyProtection="1">
      <alignment horizontal="left" wrapText="1"/>
      <protection locked="0"/>
    </xf>
    <xf numFmtId="0" fontId="23" fillId="3" borderId="2" xfId="0" applyFont="1" applyFill="1" applyBorder="1" applyAlignment="1" applyProtection="1">
      <alignment horizontal="center"/>
      <protection locked="0"/>
    </xf>
    <xf numFmtId="0" fontId="23" fillId="3" borderId="30" xfId="0" applyFont="1" applyFill="1" applyBorder="1" applyAlignment="1" applyProtection="1">
      <alignment horizontal="left"/>
      <protection locked="0"/>
    </xf>
    <xf numFmtId="170" fontId="23" fillId="3" borderId="2" xfId="0" applyNumberFormat="1" applyFont="1" applyFill="1" applyBorder="1" applyAlignment="1" applyProtection="1">
      <alignment horizontal="center"/>
      <protection locked="0"/>
    </xf>
    <xf numFmtId="0" fontId="23" fillId="3" borderId="2" xfId="0" applyFont="1" applyFill="1" applyBorder="1" applyAlignment="1" applyProtection="1">
      <alignment horizontal="left"/>
      <protection locked="0"/>
    </xf>
    <xf numFmtId="172" fontId="23" fillId="3" borderId="2" xfId="0" applyNumberFormat="1" applyFont="1" applyFill="1" applyBorder="1" applyAlignment="1" applyProtection="1">
      <alignment horizontal="center"/>
      <protection locked="0"/>
    </xf>
    <xf numFmtId="172" fontId="23" fillId="3" borderId="2" xfId="0" applyNumberFormat="1" applyFont="1" applyFill="1" applyBorder="1" applyAlignment="1" applyProtection="1">
      <alignment horizontal="left"/>
      <protection locked="0"/>
    </xf>
    <xf numFmtId="170" fontId="23" fillId="3" borderId="43" xfId="0" applyNumberFormat="1" applyFont="1" applyFill="1" applyBorder="1" applyAlignment="1" applyProtection="1">
      <alignment horizontal="center"/>
      <protection locked="0"/>
    </xf>
    <xf numFmtId="172" fontId="23" fillId="3" borderId="79" xfId="0" applyNumberFormat="1" applyFont="1" applyFill="1" applyBorder="1" applyAlignment="1" applyProtection="1">
      <alignment horizontal="center"/>
      <protection locked="0"/>
    </xf>
    <xf numFmtId="0" fontId="23" fillId="3" borderId="9" xfId="0" applyFont="1" applyFill="1" applyBorder="1" applyAlignment="1" applyProtection="1">
      <alignment horizontal="center"/>
      <protection locked="0"/>
    </xf>
    <xf numFmtId="0" fontId="23" fillId="3" borderId="5" xfId="0" applyFont="1" applyFill="1" applyBorder="1" applyAlignment="1" applyProtection="1">
      <alignment horizontal="left"/>
      <protection locked="0"/>
    </xf>
    <xf numFmtId="0" fontId="23" fillId="3" borderId="9" xfId="0" applyFont="1" applyFill="1" applyBorder="1" applyAlignment="1" applyProtection="1">
      <alignment horizontal="left"/>
      <protection locked="0"/>
    </xf>
    <xf numFmtId="0" fontId="23" fillId="3" borderId="9" xfId="0" applyFont="1" applyFill="1" applyBorder="1" applyAlignment="1" applyProtection="1">
      <alignment horizontal="left" wrapText="1"/>
      <protection locked="0"/>
    </xf>
    <xf numFmtId="2" fontId="23" fillId="3" borderId="30" xfId="0" applyNumberFormat="1" applyFont="1" applyFill="1" applyBorder="1" applyAlignment="1" applyProtection="1">
      <alignment horizontal="center"/>
      <protection locked="0"/>
    </xf>
    <xf numFmtId="2" fontId="23" fillId="3" borderId="2" xfId="0" applyNumberFormat="1" applyFont="1" applyFill="1" applyBorder="1" applyAlignment="1" applyProtection="1">
      <alignment horizontal="center"/>
      <protection locked="0"/>
    </xf>
    <xf numFmtId="170" fontId="23" fillId="3" borderId="79" xfId="0" applyNumberFormat="1" applyFont="1" applyFill="1" applyBorder="1" applyAlignment="1" applyProtection="1">
      <alignment horizontal="center"/>
      <protection locked="0"/>
    </xf>
    <xf numFmtId="170" fontId="23" fillId="3" borderId="30" xfId="0" applyNumberFormat="1" applyFont="1" applyFill="1" applyBorder="1" applyAlignment="1" applyProtection="1">
      <alignment horizontal="center"/>
      <protection locked="0"/>
    </xf>
    <xf numFmtId="170" fontId="23" fillId="3" borderId="9" xfId="0" applyNumberFormat="1" applyFont="1" applyFill="1" applyBorder="1" applyAlignment="1" applyProtection="1">
      <alignment horizontal="center"/>
      <protection locked="0"/>
    </xf>
    <xf numFmtId="0" fontId="23" fillId="3" borderId="64" xfId="0" applyFont="1" applyFill="1" applyBorder="1" applyAlignment="1" applyProtection="1">
      <alignment horizontal="center"/>
      <protection locked="0"/>
    </xf>
    <xf numFmtId="0" fontId="23" fillId="3" borderId="50" xfId="0" applyFont="1" applyFill="1" applyBorder="1" applyAlignment="1" applyProtection="1">
      <alignment horizontal="center"/>
      <protection locked="0"/>
    </xf>
    <xf numFmtId="0" fontId="23" fillId="3" borderId="59" xfId="0" applyFont="1" applyFill="1" applyBorder="1" applyAlignment="1" applyProtection="1">
      <alignment horizontal="center"/>
      <protection locked="0"/>
    </xf>
    <xf numFmtId="0" fontId="23" fillId="3" borderId="43" xfId="0" applyFont="1" applyFill="1" applyBorder="1" applyAlignment="1" applyProtection="1">
      <alignment horizontal="center"/>
      <protection locked="0"/>
    </xf>
    <xf numFmtId="0" fontId="23" fillId="3" borderId="60" xfId="0" applyFont="1" applyFill="1" applyBorder="1" applyAlignment="1" applyProtection="1">
      <alignment horizontal="center"/>
      <protection locked="0"/>
    </xf>
    <xf numFmtId="170" fontId="23" fillId="3" borderId="5" xfId="0" applyNumberFormat="1" applyFont="1" applyFill="1" applyBorder="1" applyAlignment="1" applyProtection="1">
      <alignment horizontal="center"/>
      <protection locked="0"/>
    </xf>
    <xf numFmtId="170" fontId="22" fillId="3" borderId="2" xfId="0" applyNumberFormat="1" applyFont="1" applyFill="1" applyBorder="1" applyAlignment="1" applyProtection="1">
      <alignment horizontal="center"/>
      <protection locked="0"/>
    </xf>
    <xf numFmtId="170" fontId="23" fillId="3" borderId="85" xfId="0" applyNumberFormat="1" applyFont="1" applyFill="1" applyBorder="1" applyAlignment="1" applyProtection="1">
      <alignment horizontal="center"/>
      <protection locked="0"/>
    </xf>
    <xf numFmtId="0" fontId="23" fillId="3" borderId="43" xfId="0" applyFont="1" applyFill="1" applyBorder="1" applyAlignment="1" applyProtection="1">
      <alignment horizontal="center" wrapText="1"/>
      <protection locked="0"/>
    </xf>
    <xf numFmtId="0" fontId="23" fillId="3" borderId="39" xfId="0" applyFont="1" applyFill="1" applyBorder="1" applyAlignment="1" applyProtection="1">
      <alignment horizontal="center"/>
      <protection locked="0"/>
    </xf>
    <xf numFmtId="0" fontId="23" fillId="3" borderId="12" xfId="0" applyFont="1" applyFill="1" applyBorder="1" applyAlignment="1" applyProtection="1">
      <alignment horizontal="center"/>
      <protection locked="0"/>
    </xf>
    <xf numFmtId="0" fontId="23" fillId="3" borderId="7" xfId="0" applyFont="1" applyFill="1" applyBorder="1" applyAlignment="1" applyProtection="1">
      <alignment horizontal="center"/>
      <protection locked="0"/>
    </xf>
    <xf numFmtId="0" fontId="23" fillId="3" borderId="42" xfId="0" applyFont="1" applyFill="1" applyBorder="1" applyAlignment="1" applyProtection="1">
      <alignment horizontal="center"/>
      <protection locked="0"/>
    </xf>
    <xf numFmtId="0" fontId="23" fillId="3" borderId="79" xfId="0" applyFont="1" applyFill="1" applyBorder="1" applyAlignment="1" applyProtection="1">
      <alignment horizontal="left"/>
      <protection locked="0"/>
    </xf>
    <xf numFmtId="0" fontId="23" fillId="3" borderId="79" xfId="0" applyFont="1" applyFill="1" applyBorder="1" applyAlignment="1" applyProtection="1">
      <alignment horizontal="center"/>
      <protection locked="0"/>
    </xf>
    <xf numFmtId="0" fontId="23" fillId="3" borderId="39" xfId="0" applyFont="1" applyFill="1" applyBorder="1" applyAlignment="1" applyProtection="1">
      <alignment horizontal="center" wrapText="1"/>
      <protection locked="0"/>
    </xf>
    <xf numFmtId="0" fontId="23" fillId="3" borderId="5" xfId="0" applyFont="1" applyFill="1" applyBorder="1" applyAlignment="1" applyProtection="1">
      <alignment horizontal="left" wrapText="1"/>
      <protection locked="0"/>
    </xf>
    <xf numFmtId="0" fontId="23" fillId="3" borderId="2" xfId="0" applyFont="1" applyFill="1" applyBorder="1" applyAlignment="1" applyProtection="1">
      <alignment horizontal="left" wrapText="1"/>
      <protection locked="0"/>
    </xf>
    <xf numFmtId="170" fontId="23" fillId="3" borderId="30" xfId="0" applyNumberFormat="1" applyFont="1" applyFill="1" applyBorder="1" applyAlignment="1" applyProtection="1">
      <alignment horizontal="center" wrapText="1"/>
      <protection locked="0"/>
    </xf>
    <xf numFmtId="170" fontId="23" fillId="3" borderId="79" xfId="0" applyNumberFormat="1" applyFont="1" applyFill="1" applyBorder="1" applyAlignment="1" applyProtection="1">
      <alignment horizontal="center" wrapText="1"/>
      <protection locked="0"/>
    </xf>
    <xf numFmtId="0" fontId="23" fillId="3" borderId="37" xfId="0" applyFont="1" applyFill="1" applyBorder="1" applyAlignment="1" applyProtection="1">
      <alignment horizontal="center" wrapText="1"/>
      <protection locked="0"/>
    </xf>
    <xf numFmtId="0" fontId="23" fillId="3" borderId="5" xfId="0" applyFont="1" applyFill="1" applyBorder="1" applyAlignment="1" applyProtection="1">
      <alignment horizontal="center"/>
      <protection locked="0"/>
    </xf>
    <xf numFmtId="0" fontId="23" fillId="3" borderId="85" xfId="0" applyFont="1" applyFill="1" applyBorder="1" applyAlignment="1" applyProtection="1">
      <alignment horizontal="center"/>
      <protection locked="0"/>
    </xf>
    <xf numFmtId="0" fontId="22" fillId="3" borderId="5" xfId="0" applyFont="1" applyFill="1" applyBorder="1" applyAlignment="1" applyProtection="1">
      <alignment horizontal="left"/>
      <protection locked="0"/>
    </xf>
    <xf numFmtId="0" fontId="22" fillId="3" borderId="79" xfId="0" applyFont="1" applyFill="1" applyBorder="1" applyAlignment="1" applyProtection="1">
      <alignment horizontal="left"/>
      <protection locked="0"/>
    </xf>
    <xf numFmtId="0" fontId="21" fillId="6" borderId="87" xfId="17" applyFont="1" applyFill="1" applyBorder="1" applyAlignment="1">
      <alignment wrapText="1"/>
    </xf>
    <xf numFmtId="0" fontId="21" fillId="6" borderId="84" xfId="17" applyFont="1" applyFill="1" applyBorder="1" applyAlignment="1">
      <alignment wrapText="1"/>
    </xf>
    <xf numFmtId="0" fontId="21" fillId="6" borderId="27" xfId="17" applyFont="1" applyFill="1" applyBorder="1" applyAlignment="1">
      <alignment wrapText="1"/>
    </xf>
    <xf numFmtId="0" fontId="21" fillId="6" borderId="83" xfId="17" applyFont="1" applyFill="1" applyBorder="1" applyAlignment="1">
      <alignment wrapText="1"/>
    </xf>
    <xf numFmtId="0" fontId="21" fillId="6" borderId="87" xfId="17" applyFont="1" applyFill="1" applyBorder="1" applyAlignment="1">
      <alignment vertical="center" wrapText="1"/>
    </xf>
    <xf numFmtId="0" fontId="24" fillId="0" borderId="10" xfId="17" applyFont="1" applyBorder="1" applyAlignment="1">
      <alignment horizontal="left" vertical="center"/>
    </xf>
    <xf numFmtId="0" fontId="20" fillId="6" borderId="83" xfId="17" applyFont="1" applyFill="1" applyBorder="1" applyAlignment="1">
      <alignment wrapText="1"/>
    </xf>
    <xf numFmtId="0" fontId="20" fillId="3" borderId="2" xfId="17" applyFont="1" applyFill="1" applyBorder="1" applyAlignment="1" applyProtection="1">
      <alignment horizontal="left"/>
      <protection locked="0"/>
    </xf>
    <xf numFmtId="0" fontId="20" fillId="3" borderId="85" xfId="17" applyFont="1" applyFill="1" applyBorder="1" applyAlignment="1" applyProtection="1">
      <alignment horizontal="left"/>
      <protection locked="0"/>
    </xf>
    <xf numFmtId="0" fontId="20" fillId="3" borderId="16" xfId="17" applyFont="1" applyFill="1" applyBorder="1" applyProtection="1">
      <protection locked="0"/>
    </xf>
    <xf numFmtId="0" fontId="20" fillId="6" borderId="80" xfId="17" applyFont="1" applyFill="1" applyBorder="1" applyAlignment="1">
      <alignment wrapText="1"/>
    </xf>
    <xf numFmtId="0" fontId="20" fillId="3" borderId="2" xfId="17" applyFont="1" applyFill="1" applyBorder="1" applyAlignment="1" applyProtection="1">
      <alignment horizontal="left" wrapText="1"/>
      <protection locked="0"/>
    </xf>
    <xf numFmtId="0" fontId="24" fillId="3" borderId="2" xfId="17" applyFont="1" applyFill="1" applyBorder="1" applyAlignment="1" applyProtection="1">
      <alignment horizontal="left" wrapText="1"/>
      <protection locked="0"/>
    </xf>
    <xf numFmtId="0" fontId="19" fillId="3" borderId="2" xfId="17" applyFont="1" applyFill="1" applyBorder="1" applyAlignment="1" applyProtection="1">
      <alignment horizontal="left"/>
      <protection locked="0"/>
    </xf>
    <xf numFmtId="0" fontId="19" fillId="3" borderId="2" xfId="17" applyFont="1" applyFill="1" applyBorder="1" applyAlignment="1" applyProtection="1">
      <alignment horizontal="left" wrapText="1"/>
      <protection locked="0"/>
    </xf>
    <xf numFmtId="0" fontId="19" fillId="3" borderId="64" xfId="0" applyFont="1" applyFill="1" applyBorder="1" applyAlignment="1" applyProtection="1">
      <alignment horizontal="center"/>
      <protection locked="0"/>
    </xf>
    <xf numFmtId="0" fontId="19" fillId="3" borderId="2" xfId="0" applyFont="1" applyFill="1" applyBorder="1" applyAlignment="1" applyProtection="1">
      <alignment horizontal="left" wrapText="1"/>
      <protection locked="0"/>
    </xf>
    <xf numFmtId="49" fontId="0" fillId="0" borderId="23" xfId="0" applyNumberFormat="1" applyBorder="1" applyAlignment="1">
      <alignment horizontal="left"/>
    </xf>
    <xf numFmtId="49" fontId="0" fillId="0" borderId="23" xfId="0" applyNumberFormat="1" applyBorder="1" applyAlignment="1">
      <alignment horizontal="left" wrapText="1"/>
    </xf>
    <xf numFmtId="49" fontId="34" fillId="0" borderId="17" xfId="0" applyNumberFormat="1" applyFont="1" applyBorder="1" applyAlignment="1">
      <alignment horizontal="left" wrapText="1"/>
    </xf>
    <xf numFmtId="0" fontId="42" fillId="0" borderId="0" xfId="12" applyFont="1" applyAlignment="1">
      <alignment horizontal="left" vertical="top"/>
    </xf>
    <xf numFmtId="0" fontId="32" fillId="4" borderId="6" xfId="0" applyFont="1" applyFill="1" applyBorder="1" applyAlignment="1">
      <alignment horizontal="left"/>
    </xf>
    <xf numFmtId="0" fontId="32" fillId="4" borderId="4" xfId="0" applyFont="1" applyFill="1" applyBorder="1" applyAlignment="1">
      <alignment horizontal="center" vertical="center"/>
    </xf>
    <xf numFmtId="0" fontId="32" fillId="4" borderId="5" xfId="0" applyFont="1" applyFill="1" applyBorder="1" applyAlignment="1">
      <alignment horizontal="center" vertical="center" wrapText="1"/>
    </xf>
    <xf numFmtId="0" fontId="32" fillId="0" borderId="5" xfId="0" applyFont="1" applyBorder="1" applyAlignment="1">
      <alignment horizontal="center" vertical="center" wrapText="1"/>
    </xf>
    <xf numFmtId="0" fontId="32" fillId="4" borderId="6" xfId="0" applyFont="1" applyFill="1" applyBorder="1" applyAlignment="1">
      <alignment horizontal="center" vertical="center" wrapText="1"/>
    </xf>
    <xf numFmtId="0" fontId="32" fillId="0" borderId="6" xfId="0" applyFont="1" applyBorder="1" applyAlignment="1">
      <alignment horizontal="center" vertical="center" wrapText="1"/>
    </xf>
    <xf numFmtId="0" fontId="32" fillId="4" borderId="4" xfId="0" applyFont="1" applyFill="1" applyBorder="1" applyAlignment="1">
      <alignment horizontal="center" vertical="top"/>
    </xf>
    <xf numFmtId="0" fontId="32" fillId="0" borderId="5" xfId="0" applyFont="1" applyBorder="1" applyAlignment="1">
      <alignment horizontal="center" vertical="top" wrapText="1"/>
    </xf>
    <xf numFmtId="0" fontId="32" fillId="0" borderId="6" xfId="0" applyFont="1" applyBorder="1" applyAlignment="1">
      <alignment horizontal="center" vertical="top" wrapText="1"/>
    </xf>
    <xf numFmtId="0" fontId="37" fillId="0" borderId="0" xfId="12" applyAlignment="1">
      <alignment horizontal="left" vertical="top"/>
    </xf>
    <xf numFmtId="0" fontId="26" fillId="0" borderId="0" xfId="0" applyFont="1"/>
    <xf numFmtId="0" fontId="49" fillId="0" borderId="0" xfId="0" applyFont="1" applyAlignment="1">
      <alignment horizontal="left" vertical="top"/>
    </xf>
    <xf numFmtId="0" fontId="62" fillId="4" borderId="11" xfId="0" applyFont="1" applyFill="1" applyBorder="1" applyAlignment="1">
      <alignment horizontal="left" vertical="top"/>
    </xf>
    <xf numFmtId="0" fontId="62" fillId="4" borderId="20" xfId="0" applyFont="1" applyFill="1" applyBorder="1" applyAlignment="1">
      <alignment horizontal="left" vertical="top"/>
    </xf>
    <xf numFmtId="0" fontId="62" fillId="4" borderId="47" xfId="0" applyFont="1" applyFill="1" applyBorder="1" applyAlignment="1">
      <alignment horizontal="left" vertical="top"/>
    </xf>
    <xf numFmtId="0" fontId="62" fillId="4" borderId="11" xfId="0" applyFont="1" applyFill="1" applyBorder="1"/>
    <xf numFmtId="0" fontId="83" fillId="0" borderId="0" xfId="0" applyFont="1" applyAlignment="1">
      <alignment vertical="top" wrapText="1"/>
    </xf>
    <xf numFmtId="0" fontId="33" fillId="0" borderId="0" xfId="0" applyFont="1" applyAlignment="1">
      <alignment vertical="top" wrapText="1"/>
    </xf>
    <xf numFmtId="2" fontId="32" fillId="0" borderId="9" xfId="0" applyNumberFormat="1" applyFont="1" applyBorder="1" applyAlignment="1">
      <alignment horizontal="left" vertical="center"/>
    </xf>
    <xf numFmtId="2" fontId="32" fillId="0" borderId="10" xfId="0" applyNumberFormat="1" applyFont="1" applyBorder="1" applyAlignment="1">
      <alignment horizontal="left" vertical="center"/>
    </xf>
    <xf numFmtId="4" fontId="32" fillId="0" borderId="0" xfId="0" applyNumberFormat="1" applyFont="1" applyAlignment="1">
      <alignment vertical="center"/>
    </xf>
    <xf numFmtId="0" fontId="37" fillId="0" borderId="0" xfId="12"/>
    <xf numFmtId="0" fontId="17" fillId="0" borderId="0" xfId="0" applyFont="1"/>
    <xf numFmtId="0" fontId="17" fillId="3" borderId="7" xfId="0" applyFont="1" applyFill="1" applyBorder="1" applyAlignment="1" applyProtection="1">
      <alignment horizontal="left" vertical="top"/>
      <protection locked="0"/>
    </xf>
    <xf numFmtId="0" fontId="17" fillId="3" borderId="10" xfId="0" applyFont="1" applyFill="1" applyBorder="1" applyAlignment="1" applyProtection="1">
      <alignment horizontal="left" vertical="top"/>
      <protection locked="0"/>
    </xf>
    <xf numFmtId="0" fontId="17" fillId="3" borderId="7" xfId="12" applyFont="1" applyFill="1" applyBorder="1" applyAlignment="1" applyProtection="1">
      <alignment horizontal="left" vertical="top" wrapText="1"/>
      <protection locked="0"/>
    </xf>
    <xf numFmtId="0" fontId="17" fillId="0" borderId="0" xfId="0" applyFont="1" applyAlignment="1">
      <alignment horizontal="left" vertical="center"/>
    </xf>
    <xf numFmtId="0" fontId="17" fillId="3" borderId="7" xfId="0" applyFont="1" applyFill="1" applyBorder="1" applyAlignment="1" applyProtection="1">
      <alignment horizontal="left" vertical="center"/>
      <protection locked="0"/>
    </xf>
    <xf numFmtId="0" fontId="17" fillId="3" borderId="42" xfId="0" applyFont="1" applyFill="1" applyBorder="1" applyAlignment="1" applyProtection="1">
      <alignment horizontal="left" vertical="center"/>
      <protection locked="0"/>
    </xf>
    <xf numFmtId="0" fontId="17" fillId="3" borderId="44" xfId="12" applyFont="1" applyFill="1" applyBorder="1" applyAlignment="1" applyProtection="1">
      <alignment horizontal="left" vertical="center" wrapText="1"/>
      <protection locked="0"/>
    </xf>
    <xf numFmtId="0" fontId="17" fillId="3" borderId="70" xfId="12" applyFont="1" applyFill="1" applyBorder="1" applyAlignment="1" applyProtection="1">
      <alignment horizontal="left" vertical="center"/>
      <protection locked="0"/>
    </xf>
    <xf numFmtId="0" fontId="17" fillId="3" borderId="42" xfId="12" applyFont="1" applyFill="1" applyBorder="1" applyAlignment="1" applyProtection="1">
      <alignment horizontal="left" vertical="center"/>
      <protection locked="0"/>
    </xf>
    <xf numFmtId="0" fontId="17" fillId="3" borderId="6" xfId="12" applyFont="1" applyFill="1" applyBorder="1" applyAlignment="1" applyProtection="1">
      <alignment horizontal="left" vertical="center"/>
      <protection locked="0"/>
    </xf>
    <xf numFmtId="0" fontId="17" fillId="4" borderId="3" xfId="12" applyFont="1" applyFill="1" applyBorder="1" applyAlignment="1">
      <alignment horizontal="left" vertical="center"/>
    </xf>
    <xf numFmtId="0" fontId="17" fillId="4" borderId="8" xfId="12" applyFont="1" applyFill="1" applyBorder="1" applyAlignment="1">
      <alignment horizontal="left" vertical="center"/>
    </xf>
    <xf numFmtId="0" fontId="26" fillId="0" borderId="0" xfId="12" applyFont="1" applyAlignment="1">
      <alignment vertical="center"/>
    </xf>
    <xf numFmtId="0" fontId="42" fillId="0" borderId="0" xfId="12" applyFont="1"/>
    <xf numFmtId="0" fontId="42" fillId="0" borderId="0" xfId="12" applyFont="1" applyAlignment="1">
      <alignment vertical="top"/>
    </xf>
    <xf numFmtId="0" fontId="42" fillId="0" borderId="11" xfId="12" applyFont="1" applyBorder="1"/>
    <xf numFmtId="0" fontId="32" fillId="0" borderId="0" xfId="12" applyFont="1"/>
    <xf numFmtId="0" fontId="17" fillId="0" borderId="0" xfId="12" applyFont="1" applyAlignment="1">
      <alignment vertical="center"/>
    </xf>
    <xf numFmtId="0" fontId="17" fillId="0" borderId="2" xfId="0" applyFont="1" applyBorder="1" applyAlignment="1">
      <alignment vertical="top" wrapText="1"/>
    </xf>
    <xf numFmtId="0" fontId="17" fillId="3" borderId="10" xfId="12" applyFont="1" applyFill="1" applyBorder="1" applyAlignment="1" applyProtection="1">
      <alignment horizontal="left" vertical="center" wrapText="1"/>
      <protection locked="0"/>
    </xf>
    <xf numFmtId="0" fontId="17" fillId="3" borderId="7" xfId="12" applyFont="1" applyFill="1" applyBorder="1" applyAlignment="1" applyProtection="1">
      <alignment horizontal="left" vertical="center" wrapText="1"/>
      <protection locked="0"/>
    </xf>
    <xf numFmtId="0" fontId="17" fillId="3" borderId="7" xfId="12" applyFont="1" applyFill="1" applyBorder="1" applyAlignment="1" applyProtection="1">
      <alignment horizontal="left" vertical="center"/>
      <protection locked="0"/>
    </xf>
    <xf numFmtId="0" fontId="32" fillId="0" borderId="0" xfId="0" applyFont="1"/>
    <xf numFmtId="0" fontId="17" fillId="0" borderId="3" xfId="0" applyFont="1" applyBorder="1" applyAlignment="1">
      <alignment horizontal="left" vertical="center"/>
    </xf>
    <xf numFmtId="0" fontId="32" fillId="4" borderId="5" xfId="0" applyFont="1" applyFill="1" applyBorder="1" applyAlignment="1">
      <alignment horizontal="center" vertical="center"/>
    </xf>
    <xf numFmtId="0" fontId="32" fillId="0" borderId="30" xfId="0" applyFont="1" applyBorder="1"/>
    <xf numFmtId="0" fontId="17" fillId="0" borderId="3" xfId="0" applyFont="1" applyBorder="1"/>
    <xf numFmtId="0" fontId="17" fillId="0" borderId="8" xfId="12" applyFont="1" applyBorder="1" applyAlignment="1">
      <alignment vertical="top" wrapText="1"/>
    </xf>
    <xf numFmtId="0" fontId="17" fillId="0" borderId="3" xfId="12" applyFont="1" applyBorder="1" applyAlignment="1">
      <alignment horizontal="left" vertical="top" wrapText="1"/>
    </xf>
    <xf numFmtId="0" fontId="17" fillId="0" borderId="2" xfId="12" applyFont="1" applyBorder="1" applyAlignment="1">
      <alignment vertical="top" wrapText="1"/>
    </xf>
    <xf numFmtId="0" fontId="17" fillId="0" borderId="9" xfId="12" applyFont="1" applyBorder="1" applyAlignment="1">
      <alignment vertical="top" wrapText="1"/>
    </xf>
    <xf numFmtId="0" fontId="32" fillId="0" borderId="14" xfId="0" applyFont="1" applyBorder="1"/>
    <xf numFmtId="0" fontId="32" fillId="0" borderId="15" xfId="0" applyFont="1" applyBorder="1"/>
    <xf numFmtId="0" fontId="17" fillId="3" borderId="30" xfId="0" applyFont="1" applyFill="1" applyBorder="1" applyAlignment="1" applyProtection="1">
      <alignment horizontal="left" wrapText="1"/>
      <protection locked="0"/>
    </xf>
    <xf numFmtId="0" fontId="17" fillId="4" borderId="48" xfId="0" applyFont="1" applyFill="1" applyBorder="1" applyAlignment="1">
      <alignment horizontal="left"/>
    </xf>
    <xf numFmtId="0" fontId="17" fillId="3" borderId="2" xfId="0" applyFont="1" applyFill="1" applyBorder="1" applyAlignment="1" applyProtection="1">
      <alignment horizontal="left"/>
      <protection locked="0"/>
    </xf>
    <xf numFmtId="0" fontId="17" fillId="4" borderId="7" xfId="0" applyFont="1" applyFill="1" applyBorder="1" applyAlignment="1">
      <alignment horizontal="left"/>
    </xf>
    <xf numFmtId="165" fontId="17" fillId="3" borderId="2" xfId="0" applyNumberFormat="1" applyFont="1" applyFill="1" applyBorder="1" applyAlignment="1" applyProtection="1">
      <alignment horizontal="left"/>
      <protection locked="0"/>
    </xf>
    <xf numFmtId="165" fontId="17" fillId="4" borderId="2" xfId="0" applyNumberFormat="1" applyFont="1" applyFill="1" applyBorder="1" applyAlignment="1">
      <alignment horizontal="left"/>
    </xf>
    <xf numFmtId="2" fontId="17" fillId="3" borderId="2" xfId="11" applyNumberFormat="1" applyFont="1" applyFill="1" applyBorder="1" applyAlignment="1" applyProtection="1">
      <alignment horizontal="left"/>
      <protection locked="0"/>
    </xf>
    <xf numFmtId="2" fontId="17" fillId="3" borderId="9" xfId="0" applyNumberFormat="1" applyFont="1" applyFill="1" applyBorder="1" applyAlignment="1" applyProtection="1">
      <alignment horizontal="left"/>
      <protection locked="0"/>
    </xf>
    <xf numFmtId="0" fontId="17" fillId="4" borderId="10" xfId="0" applyFont="1" applyFill="1" applyBorder="1" applyAlignment="1">
      <alignment horizontal="left"/>
    </xf>
    <xf numFmtId="0" fontId="17" fillId="4" borderId="3" xfId="0" applyFont="1" applyFill="1" applyBorder="1" applyAlignment="1">
      <alignment horizontal="left" vertical="center"/>
    </xf>
    <xf numFmtId="0" fontId="17" fillId="4" borderId="2" xfId="0" applyFont="1" applyFill="1" applyBorder="1" applyAlignment="1">
      <alignment horizontal="left" wrapText="1"/>
    </xf>
    <xf numFmtId="2" fontId="17" fillId="3" borderId="2" xfId="0" applyNumberFormat="1" applyFont="1" applyFill="1" applyBorder="1" applyAlignment="1" applyProtection="1">
      <alignment horizontal="left"/>
      <protection locked="0"/>
    </xf>
    <xf numFmtId="49" fontId="17" fillId="3" borderId="3" xfId="0" applyNumberFormat="1" applyFont="1" applyFill="1" applyBorder="1" applyAlignment="1" applyProtection="1">
      <alignment horizontal="left" vertical="center"/>
      <protection locked="0"/>
    </xf>
    <xf numFmtId="49" fontId="17" fillId="3" borderId="8" xfId="0" applyNumberFormat="1" applyFont="1" applyFill="1" applyBorder="1" applyAlignment="1" applyProtection="1">
      <alignment horizontal="left" vertical="center"/>
      <protection locked="0"/>
    </xf>
    <xf numFmtId="0" fontId="17" fillId="4" borderId="0" xfId="0" applyFont="1" applyFill="1" applyAlignment="1">
      <alignment horizontal="left" vertical="center"/>
    </xf>
    <xf numFmtId="165" fontId="17" fillId="0" borderId="2" xfId="0" applyNumberFormat="1" applyFont="1" applyBorder="1" applyAlignment="1">
      <alignment horizontal="left"/>
    </xf>
    <xf numFmtId="165" fontId="17" fillId="3" borderId="9" xfId="0" applyNumberFormat="1" applyFont="1" applyFill="1" applyBorder="1" applyAlignment="1" applyProtection="1">
      <alignment horizontal="left"/>
      <protection locked="0"/>
    </xf>
    <xf numFmtId="170" fontId="17" fillId="4" borderId="2" xfId="0" applyNumberFormat="1" applyFont="1" applyFill="1" applyBorder="1" applyAlignment="1">
      <alignment horizontal="left"/>
    </xf>
    <xf numFmtId="49" fontId="17" fillId="4" borderId="2" xfId="0" applyNumberFormat="1" applyFont="1" applyFill="1" applyBorder="1" applyAlignment="1">
      <alignment horizontal="left" wrapText="1"/>
    </xf>
    <xf numFmtId="49" fontId="17" fillId="4" borderId="2" xfId="0" applyNumberFormat="1" applyFont="1" applyFill="1" applyBorder="1" applyAlignment="1">
      <alignment horizontal="left"/>
    </xf>
    <xf numFmtId="2" fontId="17" fillId="3" borderId="2" xfId="0" applyNumberFormat="1" applyFont="1" applyFill="1" applyBorder="1" applyAlignment="1" applyProtection="1">
      <alignment horizontal="left" wrapText="1"/>
      <protection locked="0"/>
    </xf>
    <xf numFmtId="169" fontId="17" fillId="0" borderId="2" xfId="0" applyNumberFormat="1" applyFont="1" applyBorder="1" applyAlignment="1">
      <alignment horizontal="left"/>
    </xf>
    <xf numFmtId="0" fontId="17" fillId="0" borderId="2" xfId="0" applyFont="1" applyBorder="1" applyAlignment="1">
      <alignment horizontal="left" wrapText="1"/>
    </xf>
    <xf numFmtId="2" fontId="17" fillId="3" borderId="2" xfId="0" applyNumberFormat="1" applyFont="1" applyFill="1" applyBorder="1" applyAlignment="1" applyProtection="1">
      <alignment horizontal="left" vertical="top"/>
      <protection locked="0"/>
    </xf>
    <xf numFmtId="170" fontId="17" fillId="0" borderId="2" xfId="0" applyNumberFormat="1" applyFont="1" applyBorder="1" applyAlignment="1">
      <alignment horizontal="left"/>
    </xf>
    <xf numFmtId="170" fontId="17" fillId="0" borderId="7" xfId="0" applyNumberFormat="1" applyFont="1" applyBorder="1" applyAlignment="1">
      <alignment horizontal="left"/>
    </xf>
    <xf numFmtId="2" fontId="17" fillId="3" borderId="9" xfId="0" applyNumberFormat="1" applyFont="1" applyFill="1" applyBorder="1" applyAlignment="1" applyProtection="1">
      <alignment horizontal="left" vertical="top"/>
      <protection locked="0"/>
    </xf>
    <xf numFmtId="170" fontId="17" fillId="0" borderId="9" xfId="0" applyNumberFormat="1" applyFont="1" applyBorder="1" applyAlignment="1">
      <alignment horizontal="left"/>
    </xf>
    <xf numFmtId="170" fontId="17" fillId="0" borderId="10" xfId="0" applyNumberFormat="1" applyFont="1" applyBorder="1" applyAlignment="1">
      <alignment horizontal="left"/>
    </xf>
    <xf numFmtId="165" fontId="17" fillId="3" borderId="43" xfId="0" applyNumberFormat="1" applyFont="1" applyFill="1" applyBorder="1" applyAlignment="1" applyProtection="1">
      <alignment horizontal="left"/>
      <protection locked="0"/>
    </xf>
    <xf numFmtId="9" fontId="17" fillId="0" borderId="2" xfId="11" applyFont="1" applyFill="1" applyBorder="1" applyAlignment="1" applyProtection="1">
      <alignment horizontal="left" vertical="center"/>
    </xf>
    <xf numFmtId="9" fontId="17" fillId="3" borderId="2" xfId="11" applyFont="1" applyFill="1" applyBorder="1" applyAlignment="1" applyProtection="1">
      <alignment horizontal="left" vertical="center"/>
      <protection locked="0"/>
    </xf>
    <xf numFmtId="2" fontId="17" fillId="3" borderId="2" xfId="11" applyNumberFormat="1" applyFont="1" applyFill="1" applyBorder="1" applyAlignment="1" applyProtection="1">
      <alignment horizontal="left" vertical="center"/>
      <protection locked="0"/>
    </xf>
    <xf numFmtId="2" fontId="17" fillId="0" borderId="7" xfId="0" applyNumberFormat="1" applyFont="1" applyBorder="1" applyAlignment="1">
      <alignment horizontal="left" vertical="center"/>
    </xf>
    <xf numFmtId="169" fontId="17" fillId="4" borderId="2" xfId="11" applyNumberFormat="1" applyFont="1" applyFill="1" applyBorder="1" applyAlignment="1" applyProtection="1">
      <alignment horizontal="left" vertical="center"/>
    </xf>
    <xf numFmtId="170" fontId="17" fillId="4" borderId="2" xfId="11" applyNumberFormat="1" applyFont="1" applyFill="1" applyBorder="1" applyAlignment="1" applyProtection="1">
      <alignment horizontal="left" vertical="center"/>
    </xf>
    <xf numFmtId="2" fontId="17" fillId="4" borderId="9" xfId="11" applyNumberFormat="1" applyFont="1" applyFill="1" applyBorder="1" applyAlignment="1" applyProtection="1">
      <alignment horizontal="left" vertical="center"/>
    </xf>
    <xf numFmtId="2" fontId="17" fillId="4" borderId="2" xfId="11" applyNumberFormat="1" applyFont="1" applyFill="1" applyBorder="1" applyAlignment="1" applyProtection="1">
      <alignment horizontal="left" vertical="center"/>
    </xf>
    <xf numFmtId="49" fontId="17" fillId="0" borderId="3" xfId="0" applyNumberFormat="1" applyFont="1" applyBorder="1"/>
    <xf numFmtId="0" fontId="17" fillId="3" borderId="2" xfId="0" applyFont="1" applyFill="1" applyBorder="1" applyAlignment="1" applyProtection="1">
      <alignment horizontal="left" vertical="center" wrapText="1"/>
      <protection locked="0"/>
    </xf>
    <xf numFmtId="165" fontId="17" fillId="0" borderId="9" xfId="0" applyNumberFormat="1" applyFont="1" applyBorder="1" applyAlignment="1">
      <alignment horizontal="left"/>
    </xf>
    <xf numFmtId="10" fontId="17" fillId="3" borderId="2" xfId="11" applyNumberFormat="1" applyFont="1" applyFill="1" applyBorder="1" applyAlignment="1" applyProtection="1">
      <alignment horizontal="left" vertical="center"/>
      <protection locked="0"/>
    </xf>
    <xf numFmtId="165" fontId="17" fillId="3" borderId="2" xfId="11" applyNumberFormat="1" applyFont="1" applyFill="1" applyBorder="1" applyAlignment="1" applyProtection="1">
      <alignment horizontal="left" vertical="center" wrapText="1"/>
      <protection locked="0"/>
    </xf>
    <xf numFmtId="0" fontId="17" fillId="0" borderId="3" xfId="0" applyFont="1" applyBorder="1" applyAlignment="1">
      <alignment horizontal="left" vertical="top"/>
    </xf>
    <xf numFmtId="0" fontId="17" fillId="0" borderId="2" xfId="0" applyFont="1" applyBorder="1" applyAlignment="1">
      <alignment horizontal="left" vertical="top"/>
    </xf>
    <xf numFmtId="2" fontId="17" fillId="0" borderId="7" xfId="0" applyNumberFormat="1" applyFont="1" applyBorder="1" applyAlignment="1">
      <alignment horizontal="left" vertical="top"/>
    </xf>
    <xf numFmtId="169" fontId="17" fillId="0" borderId="7" xfId="0" applyNumberFormat="1" applyFont="1" applyBorder="1" applyAlignment="1">
      <alignment horizontal="left" vertical="top"/>
    </xf>
    <xf numFmtId="173" fontId="17" fillId="0" borderId="7" xfId="0" applyNumberFormat="1" applyFont="1" applyBorder="1" applyAlignment="1">
      <alignment horizontal="left" vertical="top"/>
    </xf>
    <xf numFmtId="2" fontId="17" fillId="0" borderId="2" xfId="0" applyNumberFormat="1" applyFont="1" applyBorder="1" applyAlignment="1">
      <alignment horizontal="left" vertical="top"/>
    </xf>
    <xf numFmtId="0" fontId="17" fillId="0" borderId="0" xfId="0" applyFont="1" applyAlignment="1">
      <alignment horizontal="left" vertical="center" wrapText="1"/>
    </xf>
    <xf numFmtId="166" fontId="17" fillId="3" borderId="2" xfId="11" applyNumberFormat="1" applyFont="1" applyFill="1" applyBorder="1" applyAlignment="1" applyProtection="1">
      <alignment horizontal="left" vertical="center"/>
      <protection locked="0"/>
    </xf>
    <xf numFmtId="0" fontId="17" fillId="0" borderId="8" xfId="0" applyFont="1" applyBorder="1" applyAlignment="1">
      <alignment horizontal="left" vertical="center"/>
    </xf>
    <xf numFmtId="0" fontId="17" fillId="4" borderId="7" xfId="12" applyFont="1" applyFill="1" applyBorder="1" applyAlignment="1">
      <alignment horizontal="left" vertical="center" wrapText="1"/>
    </xf>
    <xf numFmtId="0" fontId="17" fillId="4" borderId="7" xfId="12" applyFont="1" applyFill="1" applyBorder="1" applyAlignment="1">
      <alignment vertical="center"/>
    </xf>
    <xf numFmtId="0" fontId="17" fillId="4" borderId="10" xfId="12" applyFont="1" applyFill="1" applyBorder="1" applyAlignment="1">
      <alignment vertical="center"/>
    </xf>
    <xf numFmtId="0" fontId="32" fillId="0" borderId="4" xfId="0" applyFont="1" applyBorder="1" applyAlignment="1">
      <alignment horizontal="center" vertical="center" wrapText="1"/>
    </xf>
    <xf numFmtId="49" fontId="17" fillId="0" borderId="8" xfId="0" applyNumberFormat="1" applyFont="1" applyBorder="1" applyAlignment="1">
      <alignment horizontal="left" vertical="center"/>
    </xf>
    <xf numFmtId="0" fontId="17" fillId="3" borderId="10" xfId="0" applyFont="1" applyFill="1" applyBorder="1" applyAlignment="1" applyProtection="1">
      <alignment horizontal="left" vertical="center" wrapText="1"/>
      <protection locked="0"/>
    </xf>
    <xf numFmtId="0" fontId="32" fillId="0" borderId="4" xfId="0" applyFont="1" applyBorder="1" applyAlignment="1">
      <alignment horizontal="center" vertical="center"/>
    </xf>
    <xf numFmtId="0" fontId="17" fillId="0" borderId="28" xfId="0" applyFont="1" applyBorder="1" applyAlignment="1">
      <alignment horizontal="left" vertical="top" wrapText="1"/>
    </xf>
    <xf numFmtId="0" fontId="17" fillId="0" borderId="0" xfId="0" applyFont="1" applyAlignment="1">
      <alignment vertical="top" wrapText="1"/>
    </xf>
    <xf numFmtId="49" fontId="17" fillId="0" borderId="4" xfId="0" applyNumberFormat="1" applyFont="1" applyBorder="1" applyAlignment="1">
      <alignment vertical="top" wrapText="1"/>
    </xf>
    <xf numFmtId="49" fontId="17" fillId="0" borderId="3" xfId="0" applyNumberFormat="1" applyFont="1" applyBorder="1" applyAlignment="1">
      <alignment vertical="top" wrapText="1"/>
    </xf>
    <xf numFmtId="49" fontId="17" fillId="0" borderId="41" xfId="0" applyNumberFormat="1" applyFont="1" applyBorder="1" applyAlignment="1">
      <alignment vertical="top" wrapText="1"/>
    </xf>
    <xf numFmtId="46" fontId="17" fillId="0" borderId="2" xfId="0" applyNumberFormat="1" applyFont="1" applyBorder="1" applyAlignment="1">
      <alignment vertical="top" wrapText="1"/>
    </xf>
    <xf numFmtId="49" fontId="17" fillId="0" borderId="8" xfId="0" applyNumberFormat="1" applyFont="1" applyBorder="1" applyAlignment="1">
      <alignment vertical="top" wrapText="1"/>
    </xf>
    <xf numFmtId="49" fontId="17" fillId="0" borderId="9" xfId="0" applyNumberFormat="1" applyFont="1" applyBorder="1" applyAlignment="1">
      <alignment vertical="top" wrapText="1"/>
    </xf>
    <xf numFmtId="49" fontId="17" fillId="0" borderId="2" xfId="0" applyNumberFormat="1" applyFont="1" applyBorder="1" applyAlignment="1">
      <alignment vertical="top" wrapText="1"/>
    </xf>
    <xf numFmtId="49" fontId="17" fillId="0" borderId="7" xfId="0" applyNumberFormat="1" applyFont="1" applyBorder="1" applyAlignment="1">
      <alignment vertical="top" wrapText="1"/>
    </xf>
    <xf numFmtId="0" fontId="17" fillId="0" borderId="7" xfId="0" applyFont="1" applyBorder="1" applyAlignment="1">
      <alignment vertical="top" wrapText="1"/>
    </xf>
    <xf numFmtId="0" fontId="17" fillId="0" borderId="3" xfId="0" applyFont="1" applyBorder="1" applyAlignment="1">
      <alignment vertical="top" wrapText="1"/>
    </xf>
    <xf numFmtId="0" fontId="17" fillId="0" borderId="8" xfId="0" applyFont="1" applyBorder="1" applyAlignment="1">
      <alignment vertical="top" wrapText="1"/>
    </xf>
    <xf numFmtId="49" fontId="17" fillId="0" borderId="43" xfId="0" applyNumberFormat="1" applyFont="1" applyBorder="1" applyAlignment="1">
      <alignment vertical="top" wrapText="1"/>
    </xf>
    <xf numFmtId="0" fontId="17" fillId="0" borderId="7" xfId="0" applyFont="1" applyBorder="1"/>
    <xf numFmtId="49" fontId="17" fillId="0" borderId="0" xfId="0" applyNumberFormat="1" applyFont="1" applyAlignment="1">
      <alignment vertical="top" wrapText="1"/>
    </xf>
    <xf numFmtId="0" fontId="17" fillId="0" borderId="8" xfId="0" applyFont="1" applyBorder="1"/>
    <xf numFmtId="2" fontId="17" fillId="0" borderId="10" xfId="0" applyNumberFormat="1" applyFont="1" applyBorder="1" applyAlignment="1">
      <alignment horizontal="left" vertical="center"/>
    </xf>
    <xf numFmtId="0" fontId="60" fillId="4" borderId="0" xfId="12" applyFont="1" applyFill="1" applyAlignment="1">
      <alignment vertical="center"/>
    </xf>
    <xf numFmtId="0" fontId="42" fillId="4" borderId="0" xfId="12" applyFont="1" applyFill="1" applyAlignment="1">
      <alignment horizontal="left" vertical="top"/>
    </xf>
    <xf numFmtId="164" fontId="17" fillId="0" borderId="7" xfId="0" applyNumberFormat="1" applyFont="1" applyBorder="1" applyAlignment="1">
      <alignment horizontal="left" vertical="center"/>
    </xf>
    <xf numFmtId="164" fontId="17" fillId="0" borderId="2" xfId="0" applyNumberFormat="1" applyFont="1" applyBorder="1" applyAlignment="1">
      <alignment horizontal="left" vertical="center"/>
    </xf>
    <xf numFmtId="0" fontId="16" fillId="3" borderId="7" xfId="12" applyFont="1" applyFill="1" applyBorder="1" applyAlignment="1" applyProtection="1">
      <alignment vertical="top" wrapText="1"/>
      <protection locked="0"/>
    </xf>
    <xf numFmtId="0" fontId="38" fillId="0" borderId="29" xfId="5" applyFont="1" applyBorder="1" applyAlignment="1">
      <alignment horizontal="center" wrapText="1"/>
    </xf>
    <xf numFmtId="0" fontId="32" fillId="0" borderId="48" xfId="0" applyFont="1" applyBorder="1" applyAlignment="1">
      <alignment horizontal="center"/>
    </xf>
    <xf numFmtId="0" fontId="16" fillId="0" borderId="3" xfId="0" applyFont="1" applyBorder="1" applyAlignment="1">
      <alignment horizontal="left"/>
    </xf>
    <xf numFmtId="0" fontId="42" fillId="4" borderId="10" xfId="12" applyFont="1" applyFill="1" applyBorder="1" applyAlignment="1">
      <alignment horizontal="left" vertical="top"/>
    </xf>
    <xf numFmtId="0" fontId="15" fillId="0" borderId="2" xfId="0" applyFont="1" applyBorder="1" applyAlignment="1">
      <alignment horizontal="left" vertical="top"/>
    </xf>
    <xf numFmtId="0" fontId="15" fillId="0" borderId="0" xfId="0" applyFont="1"/>
    <xf numFmtId="0" fontId="15" fillId="4" borderId="2" xfId="0" applyFont="1" applyFill="1" applyBorder="1" applyAlignment="1">
      <alignment horizontal="center" vertical="center"/>
    </xf>
    <xf numFmtId="0" fontId="15" fillId="4" borderId="9" xfId="0" applyFont="1" applyFill="1" applyBorder="1" applyAlignment="1">
      <alignment horizontal="center" vertical="center"/>
    </xf>
    <xf numFmtId="0" fontId="15" fillId="4" borderId="3" xfId="0" applyFont="1" applyFill="1" applyBorder="1" applyAlignment="1">
      <alignment horizontal="left" vertical="center"/>
    </xf>
    <xf numFmtId="0" fontId="15" fillId="4" borderId="8" xfId="0" applyFont="1" applyFill="1" applyBorder="1" applyAlignment="1">
      <alignment horizontal="left" vertical="center"/>
    </xf>
    <xf numFmtId="0" fontId="14" fillId="0" borderId="0" xfId="0" applyFont="1"/>
    <xf numFmtId="0" fontId="14" fillId="6" borderId="8" xfId="0" applyFont="1" applyFill="1" applyBorder="1" applyAlignment="1">
      <alignment horizontal="left" wrapText="1"/>
    </xf>
    <xf numFmtId="0" fontId="17" fillId="0" borderId="2" xfId="5" applyFont="1" applyBorder="1" applyAlignment="1">
      <alignment horizontal="left" wrapText="1"/>
    </xf>
    <xf numFmtId="0" fontId="13" fillId="0" borderId="0" xfId="0" applyFont="1"/>
    <xf numFmtId="2" fontId="15" fillId="0" borderId="0" xfId="0" applyNumberFormat="1" applyFont="1"/>
    <xf numFmtId="0" fontId="45" fillId="0" borderId="12" xfId="0" applyFont="1" applyBorder="1" applyAlignment="1">
      <alignment vertical="center" wrapText="1"/>
    </xf>
    <xf numFmtId="0" fontId="45" fillId="0" borderId="50" xfId="0" applyFont="1" applyBorder="1" applyAlignment="1">
      <alignment vertical="center" wrapText="1"/>
    </xf>
    <xf numFmtId="0" fontId="45" fillId="0" borderId="72" xfId="0" applyFont="1" applyBorder="1" applyAlignment="1">
      <alignment vertical="center" wrapText="1"/>
    </xf>
    <xf numFmtId="0" fontId="0" fillId="0" borderId="2" xfId="0" applyBorder="1" applyAlignment="1">
      <alignment horizontal="center"/>
    </xf>
    <xf numFmtId="0" fontId="0" fillId="0" borderId="9" xfId="0" applyBorder="1" applyAlignment="1">
      <alignment horizontal="center"/>
    </xf>
    <xf numFmtId="0" fontId="0" fillId="0" borderId="7" xfId="0" applyBorder="1" applyAlignment="1">
      <alignment horizontal="center"/>
    </xf>
    <xf numFmtId="0" fontId="0" fillId="0" borderId="10" xfId="0" applyBorder="1" applyAlignment="1">
      <alignment horizontal="center"/>
    </xf>
    <xf numFmtId="0" fontId="0" fillId="6" borderId="2" xfId="0" applyFill="1" applyBorder="1" applyAlignment="1">
      <alignment horizontal="center"/>
    </xf>
    <xf numFmtId="0" fontId="45" fillId="0" borderId="2" xfId="0" applyFont="1" applyBorder="1" applyAlignment="1">
      <alignment horizontal="center" wrapText="1"/>
    </xf>
    <xf numFmtId="0" fontId="45" fillId="0" borderId="9" xfId="0" applyFont="1" applyBorder="1" applyAlignment="1">
      <alignment horizontal="center" wrapText="1"/>
    </xf>
    <xf numFmtId="0" fontId="45" fillId="6" borderId="4" xfId="0" applyFont="1" applyFill="1" applyBorder="1" applyAlignment="1">
      <alignment horizontal="left" wrapText="1"/>
    </xf>
    <xf numFmtId="0" fontId="45" fillId="6" borderId="3" xfId="0" applyFont="1" applyFill="1" applyBorder="1" applyAlignment="1">
      <alignment horizontal="left" wrapText="1"/>
    </xf>
    <xf numFmtId="0" fontId="0" fillId="6" borderId="8" xfId="0" applyFill="1" applyBorder="1" applyAlignment="1">
      <alignment horizontal="left"/>
    </xf>
    <xf numFmtId="0" fontId="45" fillId="6" borderId="5" xfId="0" applyFont="1" applyFill="1" applyBorder="1" applyAlignment="1">
      <alignment horizontal="left" wrapText="1"/>
    </xf>
    <xf numFmtId="0" fontId="0" fillId="6" borderId="5" xfId="0" applyFill="1" applyBorder="1" applyAlignment="1">
      <alignment horizontal="left"/>
    </xf>
    <xf numFmtId="0" fontId="0" fillId="6" borderId="6" xfId="0" applyFill="1" applyBorder="1" applyAlignment="1">
      <alignment horizontal="left"/>
    </xf>
    <xf numFmtId="0" fontId="15" fillId="3" borderId="2" xfId="0" applyFont="1" applyFill="1" applyBorder="1" applyAlignment="1" applyProtection="1">
      <alignment horizontal="center" vertical="center"/>
      <protection locked="0"/>
    </xf>
    <xf numFmtId="0" fontId="15" fillId="3" borderId="9" xfId="0" applyFont="1" applyFill="1" applyBorder="1" applyAlignment="1" applyProtection="1">
      <alignment horizontal="center" vertical="center"/>
      <protection locked="0"/>
    </xf>
    <xf numFmtId="0" fontId="11" fillId="3" borderId="7" xfId="12" applyFont="1" applyFill="1" applyBorder="1" applyAlignment="1" applyProtection="1">
      <alignment vertical="top" wrapText="1"/>
      <protection locked="0"/>
    </xf>
    <xf numFmtId="170" fontId="17" fillId="4" borderId="7" xfId="0" applyNumberFormat="1" applyFont="1" applyFill="1" applyBorder="1" applyAlignment="1">
      <alignment horizontal="left"/>
    </xf>
    <xf numFmtId="49" fontId="17" fillId="4" borderId="7" xfId="0" applyNumberFormat="1" applyFont="1" applyFill="1" applyBorder="1" applyAlignment="1">
      <alignment horizontal="left"/>
    </xf>
    <xf numFmtId="49" fontId="17" fillId="4" borderId="9" xfId="0" applyNumberFormat="1" applyFont="1" applyFill="1" applyBorder="1" applyAlignment="1">
      <alignment horizontal="left" wrapText="1"/>
    </xf>
    <xf numFmtId="49" fontId="17" fillId="4" borderId="9" xfId="0" applyNumberFormat="1" applyFont="1" applyFill="1" applyBorder="1" applyAlignment="1">
      <alignment horizontal="left"/>
    </xf>
    <xf numFmtId="49" fontId="17" fillId="4" borderId="10" xfId="0" applyNumberFormat="1" applyFont="1" applyFill="1" applyBorder="1" applyAlignment="1">
      <alignment horizontal="left"/>
    </xf>
    <xf numFmtId="0" fontId="10" fillId="4" borderId="2" xfId="0" applyFont="1" applyFill="1" applyBorder="1" applyAlignment="1">
      <alignment horizontal="left" wrapText="1"/>
    </xf>
    <xf numFmtId="164" fontId="17" fillId="3" borderId="2" xfId="0" applyNumberFormat="1" applyFont="1" applyFill="1" applyBorder="1" applyAlignment="1" applyProtection="1">
      <alignment horizontal="left"/>
      <protection locked="0"/>
    </xf>
    <xf numFmtId="164" fontId="17" fillId="3" borderId="9" xfId="0" applyNumberFormat="1" applyFont="1" applyFill="1" applyBorder="1" applyAlignment="1" applyProtection="1">
      <alignment horizontal="left"/>
      <protection locked="0"/>
    </xf>
    <xf numFmtId="0" fontId="15" fillId="3" borderId="30" xfId="0" applyFont="1" applyFill="1" applyBorder="1" applyAlignment="1" applyProtection="1">
      <alignment horizontal="center" vertical="center"/>
      <protection locked="0"/>
    </xf>
    <xf numFmtId="169" fontId="17" fillId="0" borderId="7" xfId="0" applyNumberFormat="1" applyFont="1" applyBorder="1" applyAlignment="1">
      <alignment horizontal="left"/>
    </xf>
    <xf numFmtId="0" fontId="17" fillId="0" borderId="9" xfId="0" applyFont="1" applyBorder="1" applyAlignment="1">
      <alignment horizontal="left" wrapText="1"/>
    </xf>
    <xf numFmtId="169" fontId="17" fillId="0" borderId="9" xfId="0" applyNumberFormat="1" applyFont="1" applyBorder="1" applyAlignment="1">
      <alignment horizontal="left"/>
    </xf>
    <xf numFmtId="169" fontId="17" fillId="0" borderId="10" xfId="0" applyNumberFormat="1" applyFont="1" applyBorder="1" applyAlignment="1">
      <alignment horizontal="left"/>
    </xf>
    <xf numFmtId="0" fontId="0" fillId="6" borderId="3" xfId="0" applyFill="1" applyBorder="1" applyAlignment="1">
      <alignment horizontal="left"/>
    </xf>
    <xf numFmtId="0" fontId="0" fillId="0" borderId="2" xfId="0" applyBorder="1" applyAlignment="1">
      <alignment horizontal="left"/>
    </xf>
    <xf numFmtId="0" fontId="0" fillId="0" borderId="2" xfId="0" applyBorder="1" applyAlignment="1">
      <alignment horizontal="left" wrapText="1"/>
    </xf>
    <xf numFmtId="0" fontId="0" fillId="0" borderId="9" xfId="0" applyBorder="1" applyAlignment="1">
      <alignment horizontal="left"/>
    </xf>
    <xf numFmtId="0" fontId="32" fillId="0" borderId="26" xfId="0" applyFont="1" applyBorder="1" applyAlignment="1">
      <alignment horizontal="center" vertical="center"/>
    </xf>
    <xf numFmtId="0" fontId="15" fillId="3" borderId="3" xfId="0" applyFont="1" applyFill="1" applyBorder="1" applyAlignment="1" applyProtection="1">
      <alignment horizontal="center" vertical="center"/>
      <protection locked="0"/>
    </xf>
    <xf numFmtId="0" fontId="15" fillId="3" borderId="8" xfId="0" applyFont="1" applyFill="1" applyBorder="1" applyAlignment="1" applyProtection="1">
      <alignment horizontal="center" vertical="center"/>
      <protection locked="0"/>
    </xf>
    <xf numFmtId="0" fontId="32" fillId="0" borderId="24" xfId="0" applyFont="1" applyBorder="1" applyAlignment="1">
      <alignment horizontal="center" vertical="center" wrapText="1"/>
    </xf>
    <xf numFmtId="0" fontId="12" fillId="0" borderId="14" xfId="0" applyFont="1" applyBorder="1" applyAlignment="1">
      <alignment horizontal="center" vertical="center"/>
    </xf>
    <xf numFmtId="0" fontId="12" fillId="0" borderId="37" xfId="0" applyFont="1" applyBorder="1" applyAlignment="1">
      <alignment horizontal="center" vertical="center"/>
    </xf>
    <xf numFmtId="0" fontId="6" fillId="0" borderId="84" xfId="0" applyFont="1" applyBorder="1" applyAlignment="1">
      <alignment horizontal="center" vertical="center" wrapText="1"/>
    </xf>
    <xf numFmtId="0" fontId="6" fillId="0" borderId="86" xfId="0" applyFont="1" applyBorder="1" applyAlignment="1">
      <alignment horizontal="center" vertical="center" wrapText="1"/>
    </xf>
    <xf numFmtId="0" fontId="45" fillId="0" borderId="7" xfId="0" applyFont="1" applyBorder="1" applyAlignment="1">
      <alignment horizontal="center" wrapText="1"/>
    </xf>
    <xf numFmtId="0" fontId="0" fillId="6" borderId="3" xfId="0" applyFill="1" applyBorder="1" applyAlignment="1">
      <alignment horizontal="left" wrapText="1"/>
    </xf>
    <xf numFmtId="0" fontId="0" fillId="14" borderId="7" xfId="0" applyFill="1" applyBorder="1" applyAlignment="1">
      <alignment horizontal="left"/>
    </xf>
    <xf numFmtId="0" fontId="0" fillId="0" borderId="7" xfId="0" applyBorder="1" applyAlignment="1">
      <alignment horizontal="left"/>
    </xf>
    <xf numFmtId="0" fontId="0" fillId="0" borderId="10" xfId="0" applyBorder="1" applyAlignment="1">
      <alignment horizontal="left"/>
    </xf>
    <xf numFmtId="0" fontId="6" fillId="0" borderId="83" xfId="0" applyFont="1" applyBorder="1" applyAlignment="1">
      <alignment horizontal="center" vertical="center" wrapText="1"/>
    </xf>
    <xf numFmtId="0" fontId="32" fillId="4" borderId="39" xfId="0" applyFont="1" applyFill="1" applyBorder="1" applyAlignment="1">
      <alignment horizontal="left" vertical="center" wrapText="1"/>
    </xf>
    <xf numFmtId="0" fontId="8" fillId="3" borderId="9" xfId="0" applyFont="1" applyFill="1" applyBorder="1" applyAlignment="1" applyProtection="1">
      <alignment horizontal="center" vertical="center"/>
      <protection locked="0"/>
    </xf>
    <xf numFmtId="0" fontId="32" fillId="4" borderId="45" xfId="0" applyFont="1" applyFill="1" applyBorder="1" applyAlignment="1">
      <alignment horizontal="left" vertical="center" wrapText="1"/>
    </xf>
    <xf numFmtId="0" fontId="8" fillId="3" borderId="64" xfId="0" applyFont="1" applyFill="1" applyBorder="1" applyAlignment="1" applyProtection="1">
      <alignment horizontal="center" vertical="center"/>
      <protection locked="0"/>
    </xf>
    <xf numFmtId="0" fontId="5" fillId="0" borderId="80" xfId="0" applyFont="1" applyBorder="1" applyAlignment="1">
      <alignment horizontal="center" vertical="center" wrapText="1"/>
    </xf>
    <xf numFmtId="0" fontId="8" fillId="3" borderId="5" xfId="0" applyFont="1" applyFill="1" applyBorder="1" applyAlignment="1" applyProtection="1">
      <alignment horizontal="center" vertical="center" wrapText="1"/>
      <protection locked="0"/>
    </xf>
    <xf numFmtId="0" fontId="17" fillId="0" borderId="3" xfId="0" applyFont="1" applyBorder="1" applyAlignment="1">
      <alignment wrapText="1"/>
    </xf>
    <xf numFmtId="2" fontId="15" fillId="4" borderId="2" xfId="0" applyNumberFormat="1" applyFont="1" applyFill="1" applyBorder="1" applyAlignment="1">
      <alignment horizontal="center" vertical="center"/>
    </xf>
    <xf numFmtId="2" fontId="15" fillId="0" borderId="2" xfId="0" applyNumberFormat="1" applyFont="1" applyBorder="1" applyAlignment="1">
      <alignment horizontal="center" vertical="center"/>
    </xf>
    <xf numFmtId="2" fontId="15" fillId="4" borderId="9" xfId="0" applyNumberFormat="1" applyFont="1" applyFill="1" applyBorder="1" applyAlignment="1">
      <alignment horizontal="center" vertical="center"/>
    </xf>
    <xf numFmtId="0" fontId="0" fillId="12" borderId="72" xfId="0" applyFill="1" applyBorder="1" applyAlignment="1">
      <alignment wrapText="1"/>
    </xf>
    <xf numFmtId="0" fontId="0" fillId="12" borderId="75" xfId="0" applyFill="1" applyBorder="1" applyAlignment="1">
      <alignment wrapText="1"/>
    </xf>
    <xf numFmtId="0" fontId="0" fillId="12" borderId="50" xfId="0" applyFill="1" applyBorder="1" applyAlignment="1">
      <alignment wrapText="1"/>
    </xf>
    <xf numFmtId="2" fontId="25" fillId="3" borderId="2" xfId="0" applyNumberFormat="1" applyFont="1" applyFill="1" applyBorder="1" applyAlignment="1">
      <alignment horizontal="center"/>
    </xf>
    <xf numFmtId="2" fontId="6" fillId="3" borderId="2" xfId="0" applyNumberFormat="1" applyFont="1" applyFill="1" applyBorder="1" applyAlignment="1">
      <alignment horizontal="center"/>
    </xf>
    <xf numFmtId="0" fontId="25" fillId="3" borderId="2" xfId="0" applyFont="1" applyFill="1" applyBorder="1" applyAlignment="1">
      <alignment horizontal="center"/>
    </xf>
    <xf numFmtId="2" fontId="7" fillId="3" borderId="2" xfId="0" applyNumberFormat="1" applyFont="1" applyFill="1" applyBorder="1" applyAlignment="1">
      <alignment horizontal="center"/>
    </xf>
    <xf numFmtId="0" fontId="32" fillId="6" borderId="5" xfId="0" applyFont="1" applyFill="1" applyBorder="1" applyAlignment="1">
      <alignment horizontal="left" wrapText="1"/>
    </xf>
    <xf numFmtId="0" fontId="34" fillId="6" borderId="5" xfId="0" applyFont="1" applyFill="1" applyBorder="1" applyAlignment="1">
      <alignment horizontal="left" wrapText="1"/>
    </xf>
    <xf numFmtId="0" fontId="34" fillId="6" borderId="6" xfId="0" applyFont="1" applyFill="1" applyBorder="1" applyAlignment="1">
      <alignment horizontal="left" wrapText="1"/>
    </xf>
    <xf numFmtId="2" fontId="6" fillId="3" borderId="7" xfId="0" applyNumberFormat="1" applyFont="1" applyFill="1" applyBorder="1" applyAlignment="1">
      <alignment horizontal="center"/>
    </xf>
    <xf numFmtId="0" fontId="14" fillId="6" borderId="3" xfId="0" applyFont="1" applyFill="1" applyBorder="1" applyAlignment="1">
      <alignment horizontal="left" wrapText="1"/>
    </xf>
    <xf numFmtId="0" fontId="25" fillId="3" borderId="9" xfId="0" applyFont="1" applyFill="1" applyBorder="1" applyAlignment="1">
      <alignment horizontal="center"/>
    </xf>
    <xf numFmtId="2" fontId="25" fillId="3" borderId="9" xfId="0" applyNumberFormat="1" applyFont="1" applyFill="1" applyBorder="1" applyAlignment="1">
      <alignment horizontal="center"/>
    </xf>
    <xf numFmtId="2" fontId="6" fillId="3" borderId="9" xfId="0" applyNumberFormat="1" applyFont="1" applyFill="1" applyBorder="1" applyAlignment="1">
      <alignment horizontal="center"/>
    </xf>
    <xf numFmtId="2" fontId="6" fillId="3" borderId="10" xfId="0" applyNumberFormat="1" applyFont="1" applyFill="1" applyBorder="1" applyAlignment="1">
      <alignment horizontal="center"/>
    </xf>
    <xf numFmtId="0" fontId="0" fillId="13" borderId="5" xfId="0" applyFill="1" applyBorder="1" applyAlignment="1">
      <alignment horizontal="left"/>
    </xf>
    <xf numFmtId="0" fontId="0" fillId="13" borderId="6" xfId="0" applyFill="1" applyBorder="1" applyAlignment="1">
      <alignment horizontal="left"/>
    </xf>
    <xf numFmtId="0" fontId="0" fillId="13" borderId="3" xfId="0" applyFill="1" applyBorder="1" applyAlignment="1">
      <alignment wrapText="1"/>
    </xf>
    <xf numFmtId="0" fontId="0" fillId="13" borderId="7" xfId="0" applyFill="1" applyBorder="1" applyAlignment="1">
      <alignment wrapText="1"/>
    </xf>
    <xf numFmtId="0" fontId="0" fillId="13" borderId="8" xfId="0" applyFill="1" applyBorder="1" applyAlignment="1">
      <alignment wrapText="1"/>
    </xf>
    <xf numFmtId="0" fontId="0" fillId="13" borderId="9" xfId="0" applyFill="1" applyBorder="1" applyAlignment="1">
      <alignment wrapText="1"/>
    </xf>
    <xf numFmtId="0" fontId="0" fillId="13" borderId="38" xfId="0" applyFill="1" applyBorder="1" applyAlignment="1">
      <alignment horizontal="left"/>
    </xf>
    <xf numFmtId="0" fontId="0" fillId="13" borderId="39" xfId="0" applyFill="1" applyBorder="1" applyAlignment="1">
      <alignment wrapText="1"/>
    </xf>
    <xf numFmtId="0" fontId="0" fillId="13" borderId="39" xfId="0" applyFill="1" applyBorder="1" applyAlignment="1">
      <alignment horizontal="left"/>
    </xf>
    <xf numFmtId="0" fontId="0" fillId="13" borderId="40" xfId="0" applyFill="1" applyBorder="1" applyAlignment="1">
      <alignment wrapText="1"/>
    </xf>
    <xf numFmtId="0" fontId="0" fillId="13" borderId="4" xfId="0" applyFill="1" applyBorder="1" applyAlignment="1">
      <alignment wrapText="1"/>
    </xf>
    <xf numFmtId="0" fontId="0" fillId="20" borderId="80" xfId="0" applyFill="1" applyBorder="1"/>
    <xf numFmtId="0" fontId="0" fillId="20" borderId="52" xfId="0" applyFill="1" applyBorder="1"/>
    <xf numFmtId="0" fontId="0" fillId="20" borderId="28" xfId="0" applyFill="1" applyBorder="1"/>
    <xf numFmtId="0" fontId="0" fillId="20" borderId="19" xfId="0" applyFill="1" applyBorder="1"/>
    <xf numFmtId="0" fontId="0" fillId="20" borderId="80" xfId="0" applyFill="1" applyBorder="1" applyAlignment="1">
      <alignment wrapText="1"/>
    </xf>
    <xf numFmtId="0" fontId="0" fillId="20" borderId="86" xfId="0" applyFill="1" applyBorder="1" applyAlignment="1">
      <alignment wrapText="1"/>
    </xf>
    <xf numFmtId="0" fontId="0" fillId="0" borderId="2" xfId="0" applyBorder="1" applyAlignment="1">
      <alignment wrapText="1"/>
    </xf>
    <xf numFmtId="0" fontId="60" fillId="4" borderId="0" xfId="12" applyFont="1" applyFill="1" applyAlignment="1">
      <alignment horizontal="center" vertical="center"/>
    </xf>
    <xf numFmtId="0" fontId="17" fillId="0" borderId="3" xfId="0" applyFont="1" applyBorder="1" applyAlignment="1">
      <alignment vertical="center"/>
    </xf>
    <xf numFmtId="49" fontId="17" fillId="0" borderId="10" xfId="0" applyNumberFormat="1" applyFont="1" applyBorder="1" applyAlignment="1">
      <alignment vertical="top" wrapText="1"/>
    </xf>
    <xf numFmtId="0" fontId="32" fillId="6" borderId="48" xfId="0" applyFont="1" applyFill="1" applyBorder="1" applyAlignment="1">
      <alignment horizontal="center" vertical="center" wrapText="1"/>
    </xf>
    <xf numFmtId="0" fontId="15" fillId="0" borderId="0" xfId="0" applyFont="1" applyAlignment="1">
      <alignment vertical="center"/>
    </xf>
    <xf numFmtId="0" fontId="32" fillId="6" borderId="3" xfId="0" applyFont="1" applyFill="1" applyBorder="1" applyAlignment="1">
      <alignment horizontal="center" vertical="center" wrapText="1"/>
    </xf>
    <xf numFmtId="0" fontId="38" fillId="6" borderId="2" xfId="0" applyFont="1" applyFill="1" applyBorder="1" applyAlignment="1">
      <alignment horizontal="center" vertical="center" wrapText="1"/>
    </xf>
    <xf numFmtId="0" fontId="32" fillId="6" borderId="2" xfId="0" applyFont="1" applyFill="1" applyBorder="1" applyAlignment="1">
      <alignment horizontal="center" vertical="center" wrapText="1"/>
    </xf>
    <xf numFmtId="0" fontId="14" fillId="0" borderId="0" xfId="0" applyFont="1" applyAlignment="1">
      <alignment vertical="center"/>
    </xf>
    <xf numFmtId="0" fontId="32" fillId="6" borderId="4" xfId="0" applyFont="1" applyFill="1" applyBorder="1" applyAlignment="1">
      <alignment horizontal="center" vertical="center" wrapText="1"/>
    </xf>
    <xf numFmtId="0" fontId="32" fillId="6" borderId="5" xfId="0" applyFont="1" applyFill="1" applyBorder="1" applyAlignment="1">
      <alignment horizontal="center" vertical="center" wrapText="1"/>
    </xf>
    <xf numFmtId="0" fontId="17" fillId="0" borderId="0" xfId="0" applyFont="1" applyAlignment="1">
      <alignment vertical="center"/>
    </xf>
    <xf numFmtId="0" fontId="32" fillId="4" borderId="29" xfId="0" applyFont="1" applyFill="1" applyBorder="1" applyAlignment="1">
      <alignment horizontal="center" vertical="center"/>
    </xf>
    <xf numFmtId="0" fontId="32" fillId="4" borderId="30" xfId="0" applyFont="1" applyFill="1" applyBorder="1" applyAlignment="1">
      <alignment horizontal="center" vertical="center"/>
    </xf>
    <xf numFmtId="0" fontId="32" fillId="4" borderId="30" xfId="0" applyFont="1" applyFill="1" applyBorder="1" applyAlignment="1">
      <alignment horizontal="center" vertical="center" wrapText="1"/>
    </xf>
    <xf numFmtId="0" fontId="32" fillId="4" borderId="48" xfId="0" applyFont="1" applyFill="1" applyBorder="1" applyAlignment="1">
      <alignment horizontal="center" vertical="center" wrapText="1"/>
    </xf>
    <xf numFmtId="0" fontId="17" fillId="4" borderId="29" xfId="0" applyFont="1" applyFill="1" applyBorder="1" applyAlignment="1">
      <alignment horizontal="left" vertical="center"/>
    </xf>
    <xf numFmtId="2" fontId="17" fillId="3" borderId="30" xfId="0" applyNumberFormat="1" applyFont="1" applyFill="1" applyBorder="1" applyAlignment="1" applyProtection="1">
      <alignment horizontal="left" vertical="top"/>
      <protection locked="0"/>
    </xf>
    <xf numFmtId="170" fontId="17" fillId="0" borderId="30" xfId="0" applyNumberFormat="1" applyFont="1" applyBorder="1" applyAlignment="1">
      <alignment horizontal="left"/>
    </xf>
    <xf numFmtId="170" fontId="17" fillId="0" borderId="48" xfId="0" applyNumberFormat="1" applyFont="1" applyBorder="1" applyAlignment="1">
      <alignment horizontal="left"/>
    </xf>
    <xf numFmtId="2" fontId="17" fillId="3" borderId="30" xfId="0" applyNumberFormat="1" applyFont="1" applyFill="1" applyBorder="1" applyAlignment="1" applyProtection="1">
      <alignment horizontal="left"/>
      <protection locked="0"/>
    </xf>
    <xf numFmtId="169" fontId="17" fillId="0" borderId="30" xfId="0" applyNumberFormat="1" applyFont="1" applyBorder="1" applyAlignment="1">
      <alignment horizontal="left"/>
    </xf>
    <xf numFmtId="169" fontId="17" fillId="0" borderId="48" xfId="0" applyNumberFormat="1" applyFont="1" applyBorder="1" applyAlignment="1">
      <alignment horizontal="left"/>
    </xf>
    <xf numFmtId="0" fontId="32" fillId="0" borderId="14" xfId="0" applyFont="1" applyBorder="1" applyAlignment="1">
      <alignment horizontal="center" vertical="center"/>
    </xf>
    <xf numFmtId="0" fontId="32" fillId="0" borderId="37" xfId="0" applyFont="1" applyBorder="1" applyAlignment="1">
      <alignment horizontal="center" vertical="center"/>
    </xf>
    <xf numFmtId="0" fontId="32" fillId="0" borderId="37" xfId="0" applyFont="1" applyBorder="1" applyAlignment="1">
      <alignment horizontal="center" vertical="center" wrapText="1"/>
    </xf>
    <xf numFmtId="0" fontId="32" fillId="4" borderId="37" xfId="0" applyFont="1" applyFill="1" applyBorder="1" applyAlignment="1">
      <alignment horizontal="center" vertical="center" wrapText="1"/>
    </xf>
    <xf numFmtId="0" fontId="32" fillId="4" borderId="15" xfId="0" applyFont="1" applyFill="1" applyBorder="1" applyAlignment="1">
      <alignment horizontal="center" vertical="center" wrapText="1"/>
    </xf>
    <xf numFmtId="0" fontId="62" fillId="0" borderId="0" xfId="5" applyFont="1" applyAlignment="1">
      <alignment vertical="center" wrapText="1"/>
    </xf>
    <xf numFmtId="0" fontId="32" fillId="0" borderId="8" xfId="0" applyFont="1" applyBorder="1"/>
    <xf numFmtId="0" fontId="32" fillId="0" borderId="9" xfId="0" applyFont="1" applyBorder="1"/>
    <xf numFmtId="0" fontId="17" fillId="0" borderId="8" xfId="0" applyFont="1" applyBorder="1" applyAlignment="1">
      <alignment horizontal="left" vertical="top"/>
    </xf>
    <xf numFmtId="2" fontId="17" fillId="0" borderId="9" xfId="0" applyNumberFormat="1" applyFont="1" applyBorder="1" applyAlignment="1">
      <alignment horizontal="left" vertical="top"/>
    </xf>
    <xf numFmtId="2" fontId="17" fillId="0" borderId="10" xfId="0" applyNumberFormat="1" applyFont="1" applyBorder="1" applyAlignment="1">
      <alignment horizontal="left" vertical="top"/>
    </xf>
    <xf numFmtId="0" fontId="17" fillId="0" borderId="8" xfId="0" applyFont="1" applyBorder="1" applyAlignment="1">
      <alignment vertical="center"/>
    </xf>
    <xf numFmtId="164" fontId="17" fillId="0" borderId="9" xfId="0" applyNumberFormat="1" applyFont="1" applyBorder="1" applyAlignment="1">
      <alignment horizontal="left" vertical="center"/>
    </xf>
    <xf numFmtId="164" fontId="17" fillId="0" borderId="10" xfId="0" applyNumberFormat="1" applyFont="1" applyBorder="1" applyAlignment="1">
      <alignment horizontal="left" vertical="center"/>
    </xf>
    <xf numFmtId="0" fontId="17" fillId="4" borderId="9" xfId="0" applyFont="1" applyFill="1" applyBorder="1" applyAlignment="1">
      <alignment horizontal="left" wrapText="1"/>
    </xf>
    <xf numFmtId="0" fontId="17" fillId="0" borderId="7" xfId="0" applyFont="1" applyBorder="1" applyAlignment="1">
      <alignment wrapText="1"/>
    </xf>
    <xf numFmtId="2" fontId="47" fillId="0" borderId="2" xfId="0" applyNumberFormat="1" applyFont="1" applyBorder="1" applyAlignment="1">
      <alignment horizontal="left" wrapText="1"/>
    </xf>
    <xf numFmtId="2" fontId="47" fillId="0" borderId="7" xfId="0" applyNumberFormat="1" applyFont="1" applyBorder="1" applyAlignment="1">
      <alignment horizontal="left" wrapText="1"/>
    </xf>
    <xf numFmtId="0" fontId="0" fillId="6" borderId="5" xfId="0" applyFill="1" applyBorder="1" applyAlignment="1">
      <alignment horizontal="left" wrapText="1"/>
    </xf>
    <xf numFmtId="0" fontId="0" fillId="6" borderId="6" xfId="0" applyFill="1" applyBorder="1" applyAlignment="1">
      <alignment horizontal="left" wrapText="1"/>
    </xf>
    <xf numFmtId="49" fontId="2" fillId="0" borderId="41" xfId="0" applyNumberFormat="1" applyFont="1" applyBorder="1" applyAlignment="1">
      <alignment vertical="top" wrapText="1"/>
    </xf>
    <xf numFmtId="49" fontId="2" fillId="0" borderId="3" xfId="0" applyNumberFormat="1" applyFont="1" applyBorder="1" applyAlignment="1">
      <alignment vertical="top" wrapText="1"/>
    </xf>
    <xf numFmtId="0" fontId="17" fillId="3" borderId="2" xfId="0" applyFont="1" applyFill="1" applyBorder="1" applyAlignment="1" applyProtection="1">
      <alignment horizontal="left" wrapText="1"/>
      <protection locked="0"/>
    </xf>
    <xf numFmtId="0" fontId="2" fillId="0" borderId="24" xfId="0" applyFont="1" applyBorder="1" applyAlignment="1">
      <alignment horizontal="left" vertical="top" wrapText="1"/>
    </xf>
    <xf numFmtId="0" fontId="30" fillId="6" borderId="24" xfId="12" applyFont="1" applyFill="1" applyBorder="1" applyAlignment="1">
      <alignment horizontal="center" vertical="top" wrapText="1"/>
    </xf>
    <xf numFmtId="0" fontId="32" fillId="6" borderId="24" xfId="0" applyFont="1" applyFill="1" applyBorder="1" applyAlignment="1">
      <alignment horizontal="center" vertical="top"/>
    </xf>
    <xf numFmtId="0" fontId="32" fillId="0" borderId="5" xfId="0" applyFont="1" applyBorder="1" applyAlignment="1">
      <alignment horizontal="left" vertical="center" wrapText="1"/>
    </xf>
    <xf numFmtId="0" fontId="17" fillId="4" borderId="2" xfId="0" applyFont="1" applyFill="1" applyBorder="1" applyAlignment="1">
      <alignment horizontal="left"/>
    </xf>
    <xf numFmtId="0" fontId="17" fillId="3" borderId="2" xfId="0" applyFont="1" applyFill="1" applyBorder="1" applyAlignment="1" applyProtection="1">
      <alignment horizontal="left" vertical="center"/>
      <protection locked="0"/>
    </xf>
    <xf numFmtId="0" fontId="17" fillId="3" borderId="9" xfId="0" applyFont="1" applyFill="1" applyBorder="1" applyAlignment="1" applyProtection="1">
      <alignment horizontal="left" vertical="center"/>
      <protection locked="0"/>
    </xf>
    <xf numFmtId="0" fontId="32" fillId="0" borderId="5" xfId="0" applyFont="1" applyBorder="1"/>
    <xf numFmtId="0" fontId="32" fillId="0" borderId="5" xfId="0" applyFont="1" applyBorder="1" applyAlignment="1">
      <alignment horizontal="left" vertical="center"/>
    </xf>
    <xf numFmtId="2" fontId="17" fillId="3" borderId="2" xfId="11" applyNumberFormat="1" applyFont="1" applyFill="1" applyBorder="1" applyAlignment="1" applyProtection="1">
      <alignment horizontal="left" vertical="center" wrapText="1"/>
      <protection locked="0"/>
    </xf>
    <xf numFmtId="2" fontId="17" fillId="4" borderId="9" xfId="11" applyNumberFormat="1" applyFont="1" applyFill="1" applyBorder="1" applyAlignment="1" applyProtection="1">
      <alignment horizontal="left" vertical="center" wrapText="1"/>
    </xf>
    <xf numFmtId="165" fontId="2" fillId="3" borderId="43" xfId="0" applyNumberFormat="1" applyFont="1" applyFill="1" applyBorder="1" applyAlignment="1" applyProtection="1">
      <alignment horizontal="left"/>
      <protection locked="0"/>
    </xf>
    <xf numFmtId="165" fontId="32" fillId="0" borderId="30" xfId="0" applyNumberFormat="1" applyFont="1" applyBorder="1" applyAlignment="1">
      <alignment horizontal="left"/>
    </xf>
    <xf numFmtId="0" fontId="2" fillId="4" borderId="3" xfId="0" applyFont="1" applyFill="1" applyBorder="1" applyAlignment="1">
      <alignment horizontal="left"/>
    </xf>
    <xf numFmtId="0" fontId="17" fillId="4" borderId="41" xfId="0" applyFont="1" applyFill="1" applyBorder="1" applyAlignment="1">
      <alignment horizontal="left"/>
    </xf>
    <xf numFmtId="0" fontId="17" fillId="4" borderId="43" xfId="0" applyFont="1" applyFill="1" applyBorder="1" applyAlignment="1">
      <alignment horizontal="left"/>
    </xf>
    <xf numFmtId="0" fontId="32" fillId="0" borderId="30" xfId="0" applyFont="1" applyBorder="1" applyAlignment="1">
      <alignment horizontal="left" vertical="center"/>
    </xf>
    <xf numFmtId="169" fontId="17" fillId="0" borderId="2" xfId="0" applyNumberFormat="1" applyFont="1" applyBorder="1" applyAlignment="1">
      <alignment horizontal="left" vertical="center"/>
    </xf>
    <xf numFmtId="169" fontId="17" fillId="0" borderId="9" xfId="0" applyNumberFormat="1" applyFont="1" applyBorder="1" applyAlignment="1">
      <alignment horizontal="left" vertical="center"/>
    </xf>
    <xf numFmtId="0" fontId="32" fillId="4" borderId="14" xfId="0" applyFont="1" applyFill="1" applyBorder="1" applyAlignment="1">
      <alignment horizontal="left"/>
    </xf>
    <xf numFmtId="0" fontId="32" fillId="4" borderId="81" xfId="0" applyFont="1" applyFill="1" applyBorder="1" applyAlignment="1">
      <alignment horizontal="left"/>
    </xf>
    <xf numFmtId="0" fontId="2" fillId="3" borderId="6" xfId="0" applyFont="1" applyFill="1" applyBorder="1" applyAlignment="1" applyProtection="1">
      <alignment horizontal="left" vertical="center"/>
      <protection locked="0"/>
    </xf>
    <xf numFmtId="0" fontId="2" fillId="3" borderId="6" xfId="12" applyFont="1" applyFill="1" applyBorder="1" applyAlignment="1" applyProtection="1">
      <alignment horizontal="center" vertical="center" wrapText="1"/>
      <protection locked="0"/>
    </xf>
    <xf numFmtId="0" fontId="2" fillId="3" borderId="7" xfId="12" applyFont="1" applyFill="1" applyBorder="1" applyAlignment="1" applyProtection="1">
      <alignment horizontal="center" vertical="center" wrapText="1"/>
      <protection locked="0"/>
    </xf>
    <xf numFmtId="0" fontId="2" fillId="3" borderId="7" xfId="0" applyFont="1" applyFill="1" applyBorder="1" applyAlignment="1" applyProtection="1">
      <alignment horizontal="left" vertical="top"/>
      <protection locked="0"/>
    </xf>
    <xf numFmtId="0" fontId="2" fillId="0" borderId="10" xfId="0" applyFont="1" applyBorder="1" applyAlignment="1">
      <alignment horizontal="left" vertical="top"/>
    </xf>
    <xf numFmtId="0" fontId="2" fillId="3" borderId="7" xfId="12" applyFont="1" applyFill="1" applyBorder="1" applyAlignment="1" applyProtection="1">
      <alignment horizontal="left" vertical="center"/>
      <protection locked="0"/>
    </xf>
    <xf numFmtId="0" fontId="42" fillId="3" borderId="15" xfId="12" applyFont="1" applyFill="1" applyBorder="1" applyAlignment="1" applyProtection="1">
      <alignment horizontal="left" vertical="top" wrapText="1"/>
      <protection locked="0"/>
    </xf>
    <xf numFmtId="0" fontId="17" fillId="0" borderId="30" xfId="0" applyFont="1" applyBorder="1" applyAlignment="1">
      <alignment horizontal="left" wrapText="1"/>
    </xf>
    <xf numFmtId="0" fontId="17" fillId="3" borderId="10" xfId="12" applyFont="1" applyFill="1" applyBorder="1" applyAlignment="1" applyProtection="1">
      <alignment horizontal="left" vertical="center"/>
      <protection locked="0"/>
    </xf>
    <xf numFmtId="0" fontId="17" fillId="0" borderId="4" xfId="0" applyFont="1" applyBorder="1"/>
    <xf numFmtId="0" fontId="17" fillId="0" borderId="3" xfId="0" applyFont="1" applyBorder="1" applyAlignment="1">
      <alignment horizontal="left"/>
    </xf>
    <xf numFmtId="0" fontId="32" fillId="0" borderId="4" xfId="0" applyFont="1" applyBorder="1" applyAlignment="1">
      <alignment horizontal="left" vertical="center"/>
    </xf>
    <xf numFmtId="0" fontId="15" fillId="4" borderId="3" xfId="0" applyFont="1" applyFill="1" applyBorder="1" applyAlignment="1">
      <alignment horizontal="left" vertical="center" wrapText="1"/>
    </xf>
    <xf numFmtId="2" fontId="47" fillId="3" borderId="2" xfId="5" applyNumberFormat="1" applyFont="1" applyFill="1" applyBorder="1" applyAlignment="1" applyProtection="1">
      <alignment horizontal="left" wrapText="1"/>
      <protection locked="0"/>
    </xf>
    <xf numFmtId="2" fontId="47" fillId="3" borderId="2" xfId="0" applyNumberFormat="1" applyFont="1" applyFill="1" applyBorder="1" applyAlignment="1" applyProtection="1">
      <alignment horizontal="left" wrapText="1"/>
      <protection locked="0"/>
    </xf>
    <xf numFmtId="0" fontId="38" fillId="0" borderId="5" xfId="5" applyFont="1" applyBorder="1" applyAlignment="1">
      <alignment horizontal="left" vertical="center" wrapText="1"/>
    </xf>
    <xf numFmtId="0" fontId="38" fillId="0" borderId="6" xfId="5" applyFont="1" applyBorder="1" applyAlignment="1">
      <alignment horizontal="left" vertical="center" wrapText="1"/>
    </xf>
    <xf numFmtId="165" fontId="2" fillId="3" borderId="9" xfId="0" applyNumberFormat="1" applyFont="1" applyFill="1" applyBorder="1" applyAlignment="1" applyProtection="1">
      <alignment horizontal="left"/>
      <protection locked="0"/>
    </xf>
    <xf numFmtId="0" fontId="17" fillId="4" borderId="42" xfId="12" applyFont="1" applyFill="1" applyBorder="1" applyAlignment="1">
      <alignment horizontal="left" vertical="center"/>
    </xf>
    <xf numFmtId="0" fontId="2" fillId="0" borderId="86" xfId="0" applyFont="1" applyBorder="1" applyAlignment="1">
      <alignment horizontal="center" vertical="center" wrapText="1"/>
    </xf>
    <xf numFmtId="0" fontId="32" fillId="4" borderId="8" xfId="0" applyFont="1" applyFill="1" applyBorder="1" applyAlignment="1">
      <alignment horizontal="left"/>
    </xf>
    <xf numFmtId="2" fontId="47" fillId="0" borderId="7" xfId="5" applyNumberFormat="1" applyFont="1" applyBorder="1" applyAlignment="1">
      <alignment horizontal="left" wrapText="1"/>
    </xf>
    <xf numFmtId="0" fontId="0" fillId="6" borderId="41" xfId="0" applyFill="1" applyBorder="1" applyAlignment="1">
      <alignment horizontal="left"/>
    </xf>
    <xf numFmtId="0" fontId="38" fillId="6" borderId="47" xfId="5" applyFont="1" applyFill="1" applyBorder="1" applyAlignment="1">
      <alignment vertical="center"/>
    </xf>
    <xf numFmtId="0" fontId="38" fillId="6" borderId="25" xfId="5" applyFont="1" applyFill="1" applyBorder="1" applyAlignment="1">
      <alignment vertical="center"/>
    </xf>
    <xf numFmtId="0" fontId="32" fillId="0" borderId="0" xfId="0" applyFont="1" applyAlignment="1">
      <alignment vertical="center"/>
    </xf>
    <xf numFmtId="0" fontId="32" fillId="0" borderId="22" xfId="0" applyFont="1" applyBorder="1" applyAlignment="1">
      <alignment vertical="center"/>
    </xf>
    <xf numFmtId="0" fontId="17" fillId="0" borderId="11" xfId="0" applyFont="1" applyBorder="1" applyAlignment="1">
      <alignment vertical="top" wrapText="1"/>
    </xf>
    <xf numFmtId="0" fontId="17" fillId="0" borderId="18" xfId="0" applyFont="1" applyBorder="1" applyAlignment="1">
      <alignment vertical="top" wrapText="1"/>
    </xf>
    <xf numFmtId="0" fontId="17" fillId="3" borderId="20" xfId="0" applyFont="1" applyFill="1" applyBorder="1" applyProtection="1">
      <protection locked="0"/>
    </xf>
    <xf numFmtId="0" fontId="17" fillId="3" borderId="21" xfId="0" applyFont="1" applyFill="1" applyBorder="1" applyProtection="1">
      <protection locked="0"/>
    </xf>
    <xf numFmtId="0" fontId="2" fillId="3" borderId="10" xfId="0" applyFont="1" applyFill="1" applyBorder="1" applyAlignment="1" applyProtection="1">
      <alignment horizontal="left" vertical="top"/>
      <protection locked="0"/>
    </xf>
    <xf numFmtId="2" fontId="17" fillId="4" borderId="2" xfId="0" applyNumberFormat="1" applyFont="1" applyFill="1" applyBorder="1" applyAlignment="1">
      <alignment horizontal="left"/>
    </xf>
    <xf numFmtId="0" fontId="15" fillId="21" borderId="3" xfId="0" applyFont="1" applyFill="1" applyBorder="1" applyAlignment="1">
      <alignment horizontal="center" vertical="center"/>
    </xf>
    <xf numFmtId="0" fontId="15" fillId="21" borderId="2" xfId="0" applyFont="1" applyFill="1" applyBorder="1" applyAlignment="1">
      <alignment horizontal="center" vertical="center"/>
    </xf>
    <xf numFmtId="0" fontId="15" fillId="3" borderId="2" xfId="0" applyFont="1" applyFill="1" applyBorder="1" applyAlignment="1">
      <alignment horizontal="center" vertical="center"/>
    </xf>
    <xf numFmtId="0" fontId="15" fillId="21" borderId="29" xfId="0" applyFont="1" applyFill="1" applyBorder="1" applyAlignment="1">
      <alignment horizontal="center" vertical="center"/>
    </xf>
    <xf numFmtId="0" fontId="15" fillId="21" borderId="30" xfId="0" applyFont="1" applyFill="1" applyBorder="1" applyAlignment="1">
      <alignment horizontal="center" vertical="center"/>
    </xf>
    <xf numFmtId="49" fontId="2" fillId="3" borderId="3" xfId="0" applyNumberFormat="1" applyFont="1" applyFill="1" applyBorder="1" applyAlignment="1" applyProtection="1">
      <alignment horizontal="left" vertical="center"/>
      <protection locked="0"/>
    </xf>
    <xf numFmtId="2" fontId="47" fillId="21" borderId="2" xfId="0" applyNumberFormat="1" applyFont="1" applyFill="1" applyBorder="1" applyAlignment="1">
      <alignment horizontal="left" wrapText="1"/>
    </xf>
    <xf numFmtId="0" fontId="2" fillId="3" borderId="7" xfId="12" applyFont="1" applyFill="1" applyBorder="1" applyAlignment="1" applyProtection="1">
      <alignment vertical="top" wrapText="1"/>
      <protection locked="0"/>
    </xf>
    <xf numFmtId="0" fontId="2" fillId="3" borderId="42" xfId="12" applyFont="1" applyFill="1" applyBorder="1" applyAlignment="1" applyProtection="1">
      <alignment vertical="top" wrapText="1"/>
      <protection locked="0"/>
    </xf>
    <xf numFmtId="0" fontId="2" fillId="0" borderId="7" xfId="0" applyFont="1" applyBorder="1" applyAlignment="1">
      <alignment wrapText="1"/>
    </xf>
    <xf numFmtId="4" fontId="17" fillId="3" borderId="2" xfId="11" applyNumberFormat="1" applyFont="1" applyFill="1" applyBorder="1" applyAlignment="1" applyProtection="1">
      <alignment horizontal="left"/>
      <protection locked="0"/>
    </xf>
    <xf numFmtId="4" fontId="17" fillId="3" borderId="9" xfId="0" applyNumberFormat="1" applyFont="1" applyFill="1" applyBorder="1" applyAlignment="1" applyProtection="1">
      <alignment horizontal="left"/>
      <protection locked="0"/>
    </xf>
    <xf numFmtId="0" fontId="17" fillId="3" borderId="30" xfId="0" applyFont="1" applyFill="1" applyBorder="1" applyAlignment="1" applyProtection="1">
      <alignment horizontal="left" vertical="top" wrapText="1"/>
      <protection locked="0"/>
    </xf>
    <xf numFmtId="2" fontId="17" fillId="4" borderId="2" xfId="0" applyNumberFormat="1" applyFont="1" applyFill="1" applyBorder="1" applyAlignment="1">
      <alignment horizontal="left" vertical="center"/>
    </xf>
    <xf numFmtId="2" fontId="17" fillId="4" borderId="7" xfId="0" applyNumberFormat="1" applyFont="1" applyFill="1" applyBorder="1" applyAlignment="1">
      <alignment horizontal="left" vertical="center"/>
    </xf>
    <xf numFmtId="164" fontId="17" fillId="0" borderId="2" xfId="0" applyNumberFormat="1" applyFont="1" applyBorder="1" applyAlignment="1">
      <alignment vertical="center"/>
    </xf>
    <xf numFmtId="0" fontId="33" fillId="0" borderId="7" xfId="0" applyFont="1" applyBorder="1" applyAlignment="1">
      <alignment horizontal="left" vertical="center" wrapText="1"/>
    </xf>
    <xf numFmtId="0" fontId="2" fillId="3" borderId="5" xfId="0" applyFont="1" applyFill="1" applyBorder="1" applyAlignment="1" applyProtection="1">
      <alignment horizontal="center" vertical="center" wrapText="1"/>
      <protection locked="0"/>
    </xf>
    <xf numFmtId="0" fontId="2" fillId="3" borderId="30" xfId="0" applyFont="1" applyFill="1" applyBorder="1" applyAlignment="1" applyProtection="1">
      <alignment horizontal="left" wrapText="1"/>
      <protection locked="0"/>
    </xf>
    <xf numFmtId="49" fontId="2" fillId="0" borderId="2" xfId="0" applyNumberFormat="1" applyFont="1" applyBorder="1" applyAlignment="1">
      <alignment vertical="top" wrapText="1"/>
    </xf>
    <xf numFmtId="49" fontId="2" fillId="0" borderId="12" xfId="0" applyNumberFormat="1" applyFont="1" applyBorder="1" applyAlignment="1">
      <alignment vertical="top" wrapText="1"/>
    </xf>
    <xf numFmtId="165" fontId="17" fillId="3" borderId="2" xfId="11" applyNumberFormat="1" applyFont="1" applyFill="1" applyBorder="1" applyAlignment="1" applyProtection="1">
      <alignment horizontal="left"/>
      <protection locked="0"/>
    </xf>
    <xf numFmtId="49" fontId="2" fillId="0" borderId="54" xfId="0" applyNumberFormat="1" applyFont="1" applyBorder="1" applyAlignment="1">
      <alignment vertical="top" wrapText="1"/>
    </xf>
    <xf numFmtId="0" fontId="2" fillId="0" borderId="29" xfId="0" applyFont="1" applyBorder="1" applyAlignment="1">
      <alignment vertical="top" wrapText="1"/>
    </xf>
    <xf numFmtId="0" fontId="2" fillId="0" borderId="48" xfId="0" applyFont="1" applyBorder="1" applyAlignment="1">
      <alignment vertical="top" wrapText="1"/>
    </xf>
    <xf numFmtId="0" fontId="2" fillId="0" borderId="3" xfId="0" applyFont="1" applyBorder="1" applyAlignment="1">
      <alignment vertical="top" wrapText="1"/>
    </xf>
    <xf numFmtId="0" fontId="2" fillId="0" borderId="8" xfId="0" applyFont="1" applyBorder="1" applyAlignment="1">
      <alignment vertical="top" wrapText="1"/>
    </xf>
    <xf numFmtId="0" fontId="2" fillId="0" borderId="4" xfId="0" applyFont="1" applyBorder="1" applyAlignment="1">
      <alignment vertical="top" wrapText="1"/>
    </xf>
    <xf numFmtId="0" fontId="2" fillId="0" borderId="6" xfId="0" applyFont="1" applyBorder="1" applyAlignment="1">
      <alignment vertical="top" wrapText="1"/>
    </xf>
    <xf numFmtId="2" fontId="17" fillId="0" borderId="5" xfId="0" applyNumberFormat="1" applyFont="1" applyBorder="1" applyAlignment="1">
      <alignment vertical="top" wrapText="1"/>
    </xf>
    <xf numFmtId="49" fontId="2" fillId="0" borderId="38" xfId="0" applyNumberFormat="1" applyFont="1" applyBorder="1" applyAlignment="1">
      <alignment vertical="top" wrapText="1"/>
    </xf>
    <xf numFmtId="49" fontId="2" fillId="0" borderId="39" xfId="0" applyNumberFormat="1" applyFont="1" applyBorder="1" applyAlignment="1">
      <alignment vertical="top" wrapText="1"/>
    </xf>
    <xf numFmtId="49" fontId="2" fillId="0" borderId="40" xfId="0" applyNumberFormat="1" applyFont="1" applyBorder="1" applyAlignment="1">
      <alignment vertical="top" wrapText="1"/>
    </xf>
    <xf numFmtId="2" fontId="17" fillId="0" borderId="2" xfId="0" applyNumberFormat="1" applyFont="1" applyBorder="1" applyAlignment="1">
      <alignment vertical="top" wrapText="1"/>
    </xf>
    <xf numFmtId="0" fontId="2" fillId="0" borderId="7" xfId="0" applyFont="1" applyBorder="1" applyAlignment="1">
      <alignment vertical="top" wrapText="1"/>
    </xf>
    <xf numFmtId="2" fontId="17" fillId="0" borderId="9" xfId="0" applyNumberFormat="1" applyFont="1" applyBorder="1" applyAlignment="1">
      <alignment vertical="top" wrapText="1"/>
    </xf>
    <xf numFmtId="0" fontId="2" fillId="0" borderId="10" xfId="0" applyFont="1" applyBorder="1" applyAlignment="1">
      <alignment vertical="top" wrapText="1"/>
    </xf>
    <xf numFmtId="0" fontId="2" fillId="0" borderId="41" xfId="0" applyFont="1" applyBorder="1" applyAlignment="1">
      <alignment vertical="top" wrapText="1"/>
    </xf>
    <xf numFmtId="2" fontId="17" fillId="0" borderId="43" xfId="0" applyNumberFormat="1" applyFont="1" applyBorder="1" applyAlignment="1">
      <alignment vertical="top" wrapText="1"/>
    </xf>
    <xf numFmtId="0" fontId="2" fillId="0" borderId="42" xfId="0" applyFont="1" applyBorder="1" applyAlignment="1">
      <alignment vertical="top" wrapText="1"/>
    </xf>
    <xf numFmtId="2" fontId="17" fillId="0" borderId="30" xfId="0" applyNumberFormat="1" applyFont="1" applyBorder="1" applyAlignment="1">
      <alignment vertical="top" wrapText="1"/>
    </xf>
    <xf numFmtId="0" fontId="2" fillId="3" borderId="71" xfId="0" applyFont="1" applyFill="1" applyBorder="1" applyAlignment="1">
      <alignment horizontal="center" vertical="center" wrapText="1"/>
    </xf>
    <xf numFmtId="2" fontId="17" fillId="21" borderId="2" xfId="0" applyNumberFormat="1" applyFont="1" applyFill="1" applyBorder="1" applyAlignment="1">
      <alignment horizontal="left"/>
    </xf>
    <xf numFmtId="0" fontId="17" fillId="3" borderId="7" xfId="0" applyFont="1" applyFill="1" applyBorder="1" applyAlignment="1" applyProtection="1">
      <alignment horizontal="left" vertical="center" wrapText="1"/>
      <protection locked="0"/>
    </xf>
    <xf numFmtId="0" fontId="17" fillId="0" borderId="2" xfId="0" applyFont="1" applyBorder="1" applyAlignment="1">
      <alignment horizontal="left" vertical="center"/>
    </xf>
    <xf numFmtId="0" fontId="17" fillId="0" borderId="2" xfId="0" applyFont="1" applyBorder="1" applyAlignment="1">
      <alignment horizontal="left" vertical="center" wrapText="1"/>
    </xf>
    <xf numFmtId="0" fontId="32" fillId="0" borderId="5" xfId="0" applyFont="1" applyBorder="1" applyAlignment="1">
      <alignment horizontal="center" vertical="center"/>
    </xf>
    <xf numFmtId="0" fontId="17" fillId="0" borderId="9" xfId="0" applyFont="1" applyBorder="1" applyAlignment="1">
      <alignment horizontal="left" vertical="center" wrapText="1"/>
    </xf>
    <xf numFmtId="0" fontId="17" fillId="0" borderId="9" xfId="0" applyFont="1" applyBorder="1" applyAlignment="1">
      <alignment horizontal="left" vertical="center"/>
    </xf>
    <xf numFmtId="0" fontId="2" fillId="0" borderId="2" xfId="0" applyFont="1" applyBorder="1" applyAlignment="1">
      <alignment vertical="top" wrapText="1"/>
    </xf>
    <xf numFmtId="49" fontId="2" fillId="0" borderId="7" xfId="0" applyNumberFormat="1" applyFont="1" applyBorder="1" applyAlignment="1">
      <alignment vertical="top" wrapText="1"/>
    </xf>
    <xf numFmtId="0" fontId="2" fillId="0" borderId="55" xfId="0" applyFont="1" applyBorder="1" applyAlignment="1">
      <alignment vertical="top" wrapText="1"/>
    </xf>
    <xf numFmtId="9" fontId="17" fillId="3" borderId="9" xfId="11" applyFont="1" applyFill="1" applyBorder="1" applyAlignment="1" applyProtection="1">
      <alignment horizontal="left" vertical="center"/>
      <protection locked="0"/>
    </xf>
    <xf numFmtId="0" fontId="0" fillId="4" borderId="7" xfId="0" applyFill="1" applyBorder="1" applyAlignment="1">
      <alignment horizontal="left" wrapText="1"/>
    </xf>
    <xf numFmtId="49" fontId="0" fillId="9" borderId="23" xfId="0" applyNumberFormat="1" applyFill="1" applyBorder="1" applyAlignment="1">
      <alignment horizontal="left"/>
    </xf>
    <xf numFmtId="10" fontId="17" fillId="3" borderId="2" xfId="11" applyNumberFormat="1" applyFont="1" applyFill="1" applyBorder="1" applyAlignment="1" applyProtection="1">
      <alignment horizontal="left" vertical="center" wrapText="1"/>
      <protection locked="0"/>
    </xf>
    <xf numFmtId="0" fontId="1" fillId="0" borderId="3" xfId="0" applyFont="1" applyBorder="1"/>
    <xf numFmtId="0" fontId="1" fillId="0" borderId="29" xfId="0" applyFont="1" applyBorder="1"/>
    <xf numFmtId="0" fontId="1" fillId="0" borderId="3" xfId="12" applyFont="1" applyBorder="1" applyAlignment="1">
      <alignment vertical="top" wrapText="1"/>
    </xf>
    <xf numFmtId="0" fontId="1" fillId="0" borderId="5" xfId="12" applyFont="1" applyBorder="1" applyAlignment="1">
      <alignment vertical="top" wrapText="1"/>
    </xf>
    <xf numFmtId="0" fontId="1" fillId="0" borderId="6" xfId="12" applyFont="1" applyBorder="1" applyAlignment="1">
      <alignment horizontal="left" vertical="top" wrapText="1"/>
    </xf>
    <xf numFmtId="0" fontId="60" fillId="4" borderId="3" xfId="0" applyFont="1" applyFill="1" applyBorder="1"/>
    <xf numFmtId="0" fontId="60" fillId="4" borderId="7" xfId="0" applyFont="1" applyFill="1" applyBorder="1"/>
    <xf numFmtId="0" fontId="17" fillId="0" borderId="10" xfId="0" applyFont="1" applyBorder="1"/>
    <xf numFmtId="0" fontId="17" fillId="0" borderId="29" xfId="0" applyFont="1" applyBorder="1" applyAlignment="1">
      <alignment wrapText="1"/>
    </xf>
    <xf numFmtId="0" fontId="17" fillId="0" borderId="48" xfId="0" applyFont="1" applyBorder="1" applyAlignment="1">
      <alignment wrapText="1"/>
    </xf>
    <xf numFmtId="49" fontId="1" fillId="3" borderId="3" xfId="0" applyNumberFormat="1" applyFont="1" applyFill="1" applyBorder="1" applyAlignment="1" applyProtection="1">
      <alignment horizontal="left" vertical="center"/>
      <protection locked="0"/>
    </xf>
    <xf numFmtId="0" fontId="1" fillId="3" borderId="7" xfId="0" applyFont="1" applyFill="1" applyBorder="1" applyAlignment="1" applyProtection="1">
      <alignment horizontal="left" vertical="top"/>
      <protection locked="0"/>
    </xf>
    <xf numFmtId="0" fontId="1" fillId="3" borderId="42" xfId="0" applyFont="1" applyFill="1" applyBorder="1" applyAlignment="1" applyProtection="1">
      <alignment horizontal="left" vertical="top"/>
      <protection locked="0"/>
    </xf>
    <xf numFmtId="0" fontId="1" fillId="3" borderId="10" xfId="0" applyFont="1" applyFill="1" applyBorder="1" applyAlignment="1" applyProtection="1">
      <alignment horizontal="left" vertical="top"/>
      <protection locked="0"/>
    </xf>
    <xf numFmtId="0" fontId="1" fillId="0" borderId="7" xfId="12" applyFont="1" applyBorder="1" applyAlignment="1">
      <alignment horizontal="left" vertical="top" wrapText="1"/>
    </xf>
    <xf numFmtId="0" fontId="1" fillId="0" borderId="10" xfId="12" applyFont="1" applyBorder="1" applyAlignment="1">
      <alignment horizontal="left" vertical="top" wrapText="1"/>
    </xf>
    <xf numFmtId="0" fontId="1" fillId="0" borderId="3" xfId="12" applyFont="1" applyBorder="1" applyAlignment="1">
      <alignment horizontal="left" vertical="top" wrapText="1"/>
    </xf>
    <xf numFmtId="0" fontId="1" fillId="0" borderId="2" xfId="12" applyFont="1" applyBorder="1" applyAlignment="1">
      <alignment vertical="top" wrapText="1"/>
    </xf>
    <xf numFmtId="0" fontId="1" fillId="0" borderId="8" xfId="12" applyFont="1" applyBorder="1" applyAlignment="1">
      <alignment horizontal="left" vertical="top" wrapText="1"/>
    </xf>
    <xf numFmtId="0" fontId="1" fillId="0" borderId="4" xfId="12" applyFont="1" applyBorder="1" applyAlignment="1">
      <alignment horizontal="left" vertical="top" wrapText="1"/>
    </xf>
    <xf numFmtId="14" fontId="0" fillId="0" borderId="0" xfId="0" applyNumberFormat="1"/>
    <xf numFmtId="0" fontId="1" fillId="0" borderId="0" xfId="0" applyFont="1"/>
    <xf numFmtId="0" fontId="15" fillId="0" borderId="29" xfId="0" applyFont="1" applyBorder="1" applyAlignment="1">
      <alignment horizontal="left" vertical="center" wrapText="1"/>
    </xf>
    <xf numFmtId="0" fontId="5" fillId="0" borderId="30" xfId="0" applyFont="1" applyBorder="1" applyAlignment="1">
      <alignment horizontal="center" vertical="center"/>
    </xf>
    <xf numFmtId="0" fontId="15" fillId="0" borderId="30" xfId="0" applyFont="1" applyBorder="1" applyAlignment="1">
      <alignment horizontal="center" vertical="center"/>
    </xf>
    <xf numFmtId="0" fontId="15" fillId="0" borderId="3" xfId="0" applyFont="1" applyBorder="1" applyAlignment="1">
      <alignment horizontal="left" vertical="center" wrapText="1"/>
    </xf>
    <xf numFmtId="0" fontId="15" fillId="0" borderId="2" xfId="0" applyFont="1" applyBorder="1" applyAlignment="1">
      <alignment horizontal="center" vertical="center"/>
    </xf>
    <xf numFmtId="0" fontId="15" fillId="0" borderId="7" xfId="0" applyFont="1" applyBorder="1" applyAlignment="1">
      <alignment horizontal="left" vertical="center"/>
    </xf>
    <xf numFmtId="0" fontId="32" fillId="0" borderId="14" xfId="0" applyFont="1" applyBorder="1" applyAlignment="1">
      <alignment horizontal="left"/>
    </xf>
    <xf numFmtId="0" fontId="32" fillId="6" borderId="29" xfId="0" applyFont="1" applyFill="1" applyBorder="1" applyAlignment="1">
      <alignment horizontal="center" vertical="center" wrapText="1"/>
    </xf>
    <xf numFmtId="0" fontId="32" fillId="6" borderId="30" xfId="0" applyFont="1" applyFill="1" applyBorder="1" applyAlignment="1">
      <alignment horizontal="center" vertical="center" wrapText="1"/>
    </xf>
    <xf numFmtId="0" fontId="15" fillId="0" borderId="48" xfId="0" applyFont="1" applyBorder="1" applyAlignment="1">
      <alignment horizontal="left" vertical="center"/>
    </xf>
    <xf numFmtId="0" fontId="15" fillId="0" borderId="7" xfId="0" applyFont="1" applyBorder="1" applyAlignment="1">
      <alignment vertical="center"/>
    </xf>
    <xf numFmtId="0" fontId="15" fillId="0" borderId="10" xfId="0" applyFont="1" applyBorder="1" applyAlignment="1">
      <alignment vertical="center"/>
    </xf>
    <xf numFmtId="0" fontId="0" fillId="0" borderId="51" xfId="0" applyBorder="1" applyAlignment="1">
      <alignment horizontal="left"/>
    </xf>
    <xf numFmtId="0" fontId="0" fillId="0" borderId="47" xfId="0" applyBorder="1" applyAlignment="1">
      <alignment horizontal="left"/>
    </xf>
    <xf numFmtId="0" fontId="0" fillId="0" borderId="25" xfId="0" applyBorder="1" applyAlignment="1">
      <alignment horizontal="left"/>
    </xf>
    <xf numFmtId="0" fontId="47" fillId="0" borderId="0" xfId="0" applyFont="1"/>
    <xf numFmtId="0" fontId="28" fillId="0" borderId="0" xfId="0" applyFont="1"/>
    <xf numFmtId="0" fontId="88" fillId="0" borderId="0" xfId="0" applyFont="1"/>
    <xf numFmtId="0" fontId="47" fillId="0" borderId="0" xfId="0" applyFont="1" applyAlignment="1">
      <alignment wrapText="1"/>
    </xf>
    <xf numFmtId="0" fontId="47" fillId="0" borderId="0" xfId="0" applyFont="1" applyAlignment="1">
      <alignment vertical="center"/>
    </xf>
    <xf numFmtId="0" fontId="47" fillId="0" borderId="0" xfId="0" quotePrefix="1" applyFont="1" applyAlignment="1">
      <alignment wrapText="1"/>
    </xf>
    <xf numFmtId="0" fontId="47" fillId="0" borderId="0" xfId="0" quotePrefix="1" applyFont="1"/>
    <xf numFmtId="0" fontId="44" fillId="0" borderId="0" xfId="0" applyFont="1"/>
    <xf numFmtId="0" fontId="1" fillId="3" borderId="6" xfId="0" applyFont="1" applyFill="1" applyBorder="1" applyAlignment="1" applyProtection="1">
      <alignment wrapText="1"/>
      <protection locked="0"/>
    </xf>
    <xf numFmtId="0" fontId="1" fillId="3" borderId="10" xfId="0" applyFont="1" applyFill="1" applyBorder="1" applyAlignment="1" applyProtection="1">
      <alignment wrapText="1"/>
      <protection locked="0"/>
    </xf>
    <xf numFmtId="0" fontId="0" fillId="0" borderId="0" xfId="0" applyAlignment="1">
      <alignment horizontal="left" vertical="top" wrapText="1"/>
    </xf>
    <xf numFmtId="0" fontId="34" fillId="0" borderId="17" xfId="0" applyFont="1" applyBorder="1" applyAlignment="1">
      <alignment horizontal="left" vertical="top"/>
    </xf>
    <xf numFmtId="0" fontId="34" fillId="0" borderId="23" xfId="0" applyFont="1" applyBorder="1" applyAlignment="1">
      <alignment horizontal="left" vertical="top"/>
    </xf>
    <xf numFmtId="0" fontId="34" fillId="0" borderId="19" xfId="0" applyFont="1" applyBorder="1" applyAlignment="1">
      <alignment horizontal="left" vertical="top"/>
    </xf>
    <xf numFmtId="0" fontId="34" fillId="0" borderId="0" xfId="0" applyFont="1" applyAlignment="1">
      <alignment horizontal="left" vertical="top"/>
    </xf>
    <xf numFmtId="0" fontId="29" fillId="0" borderId="0" xfId="8"/>
    <xf numFmtId="0" fontId="0" fillId="0" borderId="0" xfId="0" quotePrefix="1"/>
    <xf numFmtId="0" fontId="26" fillId="23" borderId="0" xfId="2" applyFont="1" applyFill="1"/>
    <xf numFmtId="0" fontId="0" fillId="10" borderId="21" xfId="0" applyFill="1" applyBorder="1" applyAlignment="1">
      <alignment horizontal="left" wrapText="1"/>
    </xf>
    <xf numFmtId="0" fontId="0" fillId="0" borderId="18" xfId="0" applyBorder="1" applyAlignment="1">
      <alignment horizontal="left"/>
    </xf>
    <xf numFmtId="0" fontId="17" fillId="3" borderId="57" xfId="12" applyFont="1" applyFill="1" applyBorder="1" applyAlignment="1" applyProtection="1">
      <alignment horizontal="left" vertical="center"/>
      <protection locked="0"/>
    </xf>
    <xf numFmtId="0" fontId="42" fillId="0" borderId="23" xfId="12" applyFont="1" applyBorder="1"/>
    <xf numFmtId="0" fontId="64" fillId="8" borderId="33" xfId="0" applyFont="1" applyFill="1" applyBorder="1" applyAlignment="1">
      <alignment horizontal="center" vertical="top" wrapText="1"/>
    </xf>
    <xf numFmtId="0" fontId="64" fillId="8" borderId="34" xfId="0" applyFont="1" applyFill="1" applyBorder="1" applyAlignment="1">
      <alignment horizontal="center" vertical="top" wrapText="1"/>
    </xf>
    <xf numFmtId="0" fontId="64" fillId="8" borderId="35" xfId="0" applyFont="1" applyFill="1" applyBorder="1" applyAlignment="1">
      <alignment horizontal="center" vertical="top" wrapText="1"/>
    </xf>
    <xf numFmtId="0" fontId="2" fillId="0" borderId="14" xfId="0" applyFont="1" applyBorder="1" applyAlignment="1">
      <alignment vertical="top" wrapText="1"/>
    </xf>
    <xf numFmtId="0" fontId="17" fillId="0" borderId="37" xfId="0" applyFont="1" applyBorder="1" applyAlignment="1">
      <alignment vertical="top" wrapText="1"/>
    </xf>
    <xf numFmtId="0" fontId="17" fillId="0" borderId="15" xfId="0" applyFont="1" applyBorder="1" applyAlignment="1">
      <alignment vertical="top" wrapText="1"/>
    </xf>
    <xf numFmtId="0" fontId="32" fillId="6" borderId="38" xfId="0" applyFont="1" applyFill="1" applyBorder="1" applyAlignment="1">
      <alignment horizontal="center" wrapText="1"/>
    </xf>
    <xf numFmtId="0" fontId="32" fillId="6" borderId="39" xfId="0" applyFont="1" applyFill="1" applyBorder="1" applyAlignment="1">
      <alignment horizontal="center" wrapText="1"/>
    </xf>
    <xf numFmtId="0" fontId="32" fillId="6" borderId="40" xfId="0" applyFont="1" applyFill="1" applyBorder="1" applyAlignment="1">
      <alignment horizontal="center" wrapText="1"/>
    </xf>
    <xf numFmtId="0" fontId="32" fillId="6" borderId="51" xfId="0" applyFont="1" applyFill="1" applyBorder="1" applyAlignment="1">
      <alignment horizontal="center"/>
    </xf>
    <xf numFmtId="0" fontId="32" fillId="6" borderId="47" xfId="0" applyFont="1" applyFill="1" applyBorder="1" applyAlignment="1">
      <alignment horizontal="center"/>
    </xf>
    <xf numFmtId="0" fontId="32" fillId="6" borderId="25" xfId="0" applyFont="1" applyFill="1" applyBorder="1" applyAlignment="1">
      <alignment horizontal="center"/>
    </xf>
    <xf numFmtId="0" fontId="59" fillId="0" borderId="5" xfId="10" applyBorder="1" applyAlignment="1" applyProtection="1">
      <alignment wrapText="1"/>
    </xf>
    <xf numFmtId="0" fontId="59" fillId="0" borderId="6" xfId="10" applyBorder="1" applyAlignment="1" applyProtection="1">
      <alignment wrapText="1"/>
    </xf>
    <xf numFmtId="0" fontId="2" fillId="0" borderId="17" xfId="12" applyFont="1" applyBorder="1" applyAlignment="1">
      <alignment horizontal="left" vertical="top" wrapText="1"/>
    </xf>
    <xf numFmtId="0" fontId="17" fillId="0" borderId="11" xfId="12" applyFont="1" applyBorder="1" applyAlignment="1">
      <alignment horizontal="left" vertical="top" wrapText="1"/>
    </xf>
    <xf numFmtId="0" fontId="17" fillId="0" borderId="18" xfId="12" applyFont="1" applyBorder="1" applyAlignment="1">
      <alignment horizontal="left" vertical="top" wrapText="1"/>
    </xf>
    <xf numFmtId="0" fontId="62" fillId="0" borderId="0" xfId="12" applyFont="1" applyAlignment="1">
      <alignment horizontal="center" vertical="top" wrapText="1"/>
    </xf>
    <xf numFmtId="0" fontId="59" fillId="0" borderId="2" xfId="10" applyBorder="1" applyAlignment="1" applyProtection="1">
      <alignment vertical="top" wrapText="1"/>
    </xf>
    <xf numFmtId="0" fontId="59" fillId="0" borderId="7" xfId="10" applyBorder="1" applyAlignment="1" applyProtection="1">
      <alignment vertical="top" wrapText="1"/>
    </xf>
    <xf numFmtId="0" fontId="59" fillId="0" borderId="2" xfId="10" applyBorder="1" applyAlignment="1" applyProtection="1">
      <alignment wrapText="1"/>
    </xf>
    <xf numFmtId="0" fontId="59" fillId="0" borderId="7" xfId="10" applyBorder="1" applyAlignment="1" applyProtection="1">
      <alignment wrapText="1"/>
    </xf>
    <xf numFmtId="0" fontId="59" fillId="0" borderId="2" xfId="10" applyBorder="1" applyProtection="1"/>
    <xf numFmtId="0" fontId="59" fillId="0" borderId="7" xfId="10" applyBorder="1" applyProtection="1"/>
    <xf numFmtId="0" fontId="59" fillId="0" borderId="12" xfId="10" applyBorder="1" applyAlignment="1" applyProtection="1">
      <alignment horizontal="left" wrapText="1"/>
    </xf>
    <xf numFmtId="0" fontId="59" fillId="0" borderId="13" xfId="10" applyBorder="1" applyAlignment="1" applyProtection="1">
      <alignment horizontal="left" wrapText="1"/>
    </xf>
    <xf numFmtId="0" fontId="59" fillId="0" borderId="55" xfId="10" applyBorder="1" applyAlignment="1" applyProtection="1">
      <alignment horizontal="left" wrapText="1"/>
    </xf>
    <xf numFmtId="0" fontId="59" fillId="0" borderId="12" xfId="10" applyBorder="1" applyAlignment="1" applyProtection="1">
      <alignment wrapText="1"/>
    </xf>
    <xf numFmtId="0" fontId="59" fillId="0" borderId="13" xfId="10" applyBorder="1" applyAlignment="1" applyProtection="1">
      <alignment wrapText="1"/>
    </xf>
    <xf numFmtId="0" fontId="59" fillId="0" borderId="55" xfId="10" applyBorder="1" applyAlignment="1" applyProtection="1">
      <alignment wrapText="1"/>
    </xf>
    <xf numFmtId="0" fontId="32" fillId="6" borderId="14" xfId="0" applyFont="1" applyFill="1" applyBorder="1" applyAlignment="1">
      <alignment horizontal="center"/>
    </xf>
    <xf numFmtId="0" fontId="32" fillId="6" borderId="37" xfId="0" applyFont="1" applyFill="1" applyBorder="1" applyAlignment="1">
      <alignment horizontal="center"/>
    </xf>
    <xf numFmtId="0" fontId="32" fillId="6" borderId="15" xfId="0" applyFont="1" applyFill="1" applyBorder="1" applyAlignment="1">
      <alignment horizontal="center"/>
    </xf>
    <xf numFmtId="0" fontId="1" fillId="0" borderId="38" xfId="0" applyFont="1" applyBorder="1" applyAlignment="1">
      <alignment vertical="top" wrapText="1"/>
    </xf>
    <xf numFmtId="0" fontId="17" fillId="0" borderId="39" xfId="0" applyFont="1" applyBorder="1" applyAlignment="1">
      <alignment vertical="top" wrapText="1"/>
    </xf>
    <xf numFmtId="0" fontId="17" fillId="0" borderId="40" xfId="0" applyFont="1" applyBorder="1" applyAlignment="1">
      <alignment vertical="top" wrapText="1"/>
    </xf>
    <xf numFmtId="0" fontId="2" fillId="4" borderId="17" xfId="12" applyFont="1" applyFill="1" applyBorder="1" applyAlignment="1">
      <alignment horizontal="left" vertical="top" wrapText="1"/>
    </xf>
    <xf numFmtId="0" fontId="2" fillId="4" borderId="11" xfId="12" applyFont="1" applyFill="1" applyBorder="1" applyAlignment="1">
      <alignment horizontal="left" vertical="top" wrapText="1"/>
    </xf>
    <xf numFmtId="0" fontId="2" fillId="4" borderId="18" xfId="12" applyFont="1" applyFill="1" applyBorder="1" applyAlignment="1">
      <alignment horizontal="left" vertical="top" wrapText="1"/>
    </xf>
    <xf numFmtId="0" fontId="1" fillId="4" borderId="23" xfId="12" applyFont="1" applyFill="1" applyBorder="1" applyAlignment="1">
      <alignment horizontal="left" vertical="top" wrapText="1"/>
    </xf>
    <xf numFmtId="0" fontId="2" fillId="4" borderId="0" xfId="12" applyFont="1" applyFill="1" applyAlignment="1">
      <alignment horizontal="left" vertical="top" wrapText="1"/>
    </xf>
    <xf numFmtId="0" fontId="2" fillId="4" borderId="22" xfId="12" applyFont="1" applyFill="1" applyBorder="1" applyAlignment="1">
      <alignment horizontal="left" vertical="top" wrapText="1"/>
    </xf>
    <xf numFmtId="0" fontId="1" fillId="4" borderId="19" xfId="12" applyFont="1" applyFill="1" applyBorder="1" applyAlignment="1">
      <alignment horizontal="left" vertical="top" wrapText="1"/>
    </xf>
    <xf numFmtId="0" fontId="2" fillId="4" borderId="20" xfId="12" applyFont="1" applyFill="1" applyBorder="1" applyAlignment="1">
      <alignment horizontal="left" vertical="top" wrapText="1"/>
    </xf>
    <xf numFmtId="0" fontId="2" fillId="4" borderId="21" xfId="12" applyFont="1" applyFill="1" applyBorder="1" applyAlignment="1">
      <alignment horizontal="left" vertical="top" wrapText="1"/>
    </xf>
    <xf numFmtId="0" fontId="1" fillId="0" borderId="82" xfId="0" applyFont="1" applyBorder="1" applyAlignment="1">
      <alignment vertical="top" wrapText="1"/>
    </xf>
    <xf numFmtId="0" fontId="17" fillId="0" borderId="79" xfId="0" applyFont="1" applyBorder="1" applyAlignment="1">
      <alignment vertical="top" wrapText="1"/>
    </xf>
    <xf numFmtId="0" fontId="17" fillId="0" borderId="70" xfId="0" applyFont="1" applyBorder="1" applyAlignment="1">
      <alignment vertical="top" wrapText="1"/>
    </xf>
    <xf numFmtId="0" fontId="59" fillId="0" borderId="81" xfId="10" applyBorder="1" applyAlignment="1" applyProtection="1">
      <alignment vertical="top" wrapText="1"/>
    </xf>
    <xf numFmtId="0" fontId="17" fillId="0" borderId="85" xfId="0" applyFont="1" applyBorder="1" applyAlignment="1">
      <alignment vertical="top" wrapText="1"/>
    </xf>
    <xf numFmtId="0" fontId="17" fillId="0" borderId="44" xfId="0" applyFont="1" applyBorder="1" applyAlignment="1">
      <alignment vertical="top" wrapText="1"/>
    </xf>
    <xf numFmtId="0" fontId="1" fillId="0" borderId="23" xfId="0" applyFont="1" applyBorder="1" applyAlignment="1">
      <alignment vertical="top" wrapText="1"/>
    </xf>
    <xf numFmtId="0" fontId="1" fillId="0" borderId="0" xfId="0" applyFont="1" applyAlignment="1">
      <alignment vertical="top" wrapText="1"/>
    </xf>
    <xf numFmtId="0" fontId="1" fillId="0" borderId="22" xfId="0" applyFont="1" applyBorder="1" applyAlignment="1">
      <alignment vertical="top" wrapText="1"/>
    </xf>
    <xf numFmtId="0" fontId="49" fillId="0" borderId="0" xfId="12" applyFont="1" applyAlignment="1">
      <alignment vertical="top"/>
    </xf>
    <xf numFmtId="0" fontId="30" fillId="6" borderId="17" xfId="0" applyFont="1" applyFill="1" applyBorder="1" applyAlignment="1">
      <alignment horizontal="center"/>
    </xf>
    <xf numFmtId="0" fontId="30" fillId="6" borderId="11" xfId="0" applyFont="1" applyFill="1" applyBorder="1" applyAlignment="1">
      <alignment horizontal="center"/>
    </xf>
    <xf numFmtId="0" fontId="30" fillId="6" borderId="18" xfId="0" applyFont="1" applyFill="1" applyBorder="1" applyAlignment="1">
      <alignment horizontal="center"/>
    </xf>
    <xf numFmtId="0" fontId="47" fillId="6" borderId="19" xfId="12" applyFont="1" applyFill="1" applyBorder="1" applyAlignment="1">
      <alignment horizontal="center" vertical="top" wrapText="1"/>
    </xf>
    <xf numFmtId="0" fontId="47" fillId="6" borderId="20" xfId="12" applyFont="1" applyFill="1" applyBorder="1" applyAlignment="1">
      <alignment horizontal="center" vertical="top" wrapText="1"/>
    </xf>
    <xf numFmtId="0" fontId="47" fillId="6" borderId="21" xfId="12" applyFont="1" applyFill="1" applyBorder="1" applyAlignment="1">
      <alignment horizontal="center" vertical="top" wrapText="1"/>
    </xf>
    <xf numFmtId="0" fontId="1" fillId="0" borderId="14" xfId="0" applyFont="1" applyBorder="1" applyAlignment="1">
      <alignment vertical="top" wrapText="1"/>
    </xf>
    <xf numFmtId="0" fontId="47" fillId="0" borderId="19" xfId="12" applyFont="1" applyBorder="1" applyAlignment="1">
      <alignment horizontal="left" vertical="top" wrapText="1"/>
    </xf>
    <xf numFmtId="0" fontId="47" fillId="0" borderId="20" xfId="12" applyFont="1" applyBorder="1" applyAlignment="1">
      <alignment horizontal="left" vertical="top" wrapText="1"/>
    </xf>
    <xf numFmtId="0" fontId="47" fillId="0" borderId="21" xfId="12" applyFont="1" applyBorder="1" applyAlignment="1">
      <alignment horizontal="left" vertical="top" wrapText="1"/>
    </xf>
    <xf numFmtId="0" fontId="1" fillId="6" borderId="23" xfId="0" applyFont="1" applyFill="1" applyBorder="1" applyAlignment="1">
      <alignment horizontal="center"/>
    </xf>
    <xf numFmtId="0" fontId="1" fillId="6" borderId="0" xfId="0" applyFont="1" applyFill="1" applyAlignment="1">
      <alignment horizontal="center"/>
    </xf>
    <xf numFmtId="0" fontId="1" fillId="6" borderId="22" xfId="0" applyFont="1" applyFill="1" applyBorder="1" applyAlignment="1">
      <alignment horizontal="center"/>
    </xf>
    <xf numFmtId="0" fontId="60" fillId="0" borderId="0" xfId="0" applyFont="1" applyAlignment="1">
      <alignment horizontal="center"/>
    </xf>
    <xf numFmtId="0" fontId="15" fillId="0" borderId="19" xfId="12" applyFont="1" applyBorder="1" applyAlignment="1">
      <alignment horizontal="left" vertical="top" wrapText="1"/>
    </xf>
    <xf numFmtId="0" fontId="17" fillId="0" borderId="20" xfId="12" applyFont="1" applyBorder="1" applyAlignment="1">
      <alignment horizontal="left" vertical="top" wrapText="1"/>
    </xf>
    <xf numFmtId="0" fontId="17" fillId="0" borderId="21" xfId="12" applyFont="1" applyBorder="1" applyAlignment="1">
      <alignment horizontal="left" vertical="top" wrapText="1"/>
    </xf>
    <xf numFmtId="0" fontId="59" fillId="4" borderId="3" xfId="10" applyFill="1" applyBorder="1" applyAlignment="1" applyProtection="1">
      <alignment vertical="top" wrapText="1"/>
    </xf>
    <xf numFmtId="0" fontId="59" fillId="4" borderId="2" xfId="10" applyFill="1" applyBorder="1" applyAlignment="1" applyProtection="1">
      <alignment vertical="top" wrapText="1"/>
    </xf>
    <xf numFmtId="0" fontId="59" fillId="4" borderId="7" xfId="10" applyFill="1" applyBorder="1" applyAlignment="1" applyProtection="1">
      <alignment vertical="top" wrapText="1"/>
    </xf>
    <xf numFmtId="0" fontId="59" fillId="4" borderId="8" xfId="10" applyFill="1" applyBorder="1" applyAlignment="1" applyProtection="1">
      <alignment vertical="top" wrapText="1"/>
    </xf>
    <xf numFmtId="0" fontId="59" fillId="4" borderId="9" xfId="10" applyFill="1" applyBorder="1" applyAlignment="1" applyProtection="1">
      <alignment vertical="top" wrapText="1"/>
    </xf>
    <xf numFmtId="0" fontId="59" fillId="4" borderId="10" xfId="10" applyFill="1" applyBorder="1" applyAlignment="1" applyProtection="1">
      <alignment vertical="top" wrapText="1"/>
    </xf>
    <xf numFmtId="0" fontId="32" fillId="4" borderId="4" xfId="0" applyFont="1" applyFill="1" applyBorder="1" applyAlignment="1">
      <alignment horizontal="left" wrapText="1"/>
    </xf>
    <xf numFmtId="0" fontId="32" fillId="4" borderId="5" xfId="0" applyFont="1" applyFill="1" applyBorder="1" applyAlignment="1">
      <alignment horizontal="left" wrapText="1"/>
    </xf>
    <xf numFmtId="0" fontId="32" fillId="4" borderId="6" xfId="0" applyFont="1" applyFill="1" applyBorder="1" applyAlignment="1">
      <alignment horizontal="left" wrapText="1"/>
    </xf>
    <xf numFmtId="0" fontId="59" fillId="4" borderId="3" xfId="10" applyFill="1" applyBorder="1" applyAlignment="1" applyProtection="1">
      <alignment wrapText="1"/>
    </xf>
    <xf numFmtId="0" fontId="59" fillId="4" borderId="2" xfId="10" applyFill="1" applyBorder="1" applyAlignment="1" applyProtection="1">
      <alignment wrapText="1"/>
    </xf>
    <xf numFmtId="0" fontId="59" fillId="4" borderId="7" xfId="10" applyFill="1" applyBorder="1" applyAlignment="1" applyProtection="1">
      <alignment wrapText="1"/>
    </xf>
    <xf numFmtId="0" fontId="59" fillId="4" borderId="3" xfId="10" applyFill="1" applyBorder="1" applyAlignment="1" applyProtection="1"/>
    <xf numFmtId="0" fontId="59" fillId="4" borderId="2" xfId="10" applyFill="1" applyBorder="1" applyAlignment="1" applyProtection="1"/>
    <xf numFmtId="0" fontId="59" fillId="4" borderId="7" xfId="10" applyFill="1" applyBorder="1" applyAlignment="1" applyProtection="1"/>
    <xf numFmtId="0" fontId="32" fillId="4" borderId="3" xfId="0" applyFont="1" applyFill="1" applyBorder="1"/>
    <xf numFmtId="0" fontId="32" fillId="4" borderId="2" xfId="0" applyFont="1" applyFill="1" applyBorder="1"/>
    <xf numFmtId="0" fontId="32" fillId="4" borderId="7" xfId="0" applyFont="1" applyFill="1" applyBorder="1"/>
    <xf numFmtId="0" fontId="59" fillId="4" borderId="3" xfId="10" applyFill="1" applyBorder="1" applyAlignment="1" applyProtection="1">
      <alignment horizontal="left" wrapText="1"/>
    </xf>
    <xf numFmtId="0" fontId="59" fillId="4" borderId="2" xfId="10" applyFill="1" applyBorder="1" applyAlignment="1" applyProtection="1">
      <alignment horizontal="left" wrapText="1"/>
    </xf>
    <xf numFmtId="0" fontId="59" fillId="4" borderId="7" xfId="10" applyFill="1" applyBorder="1" applyAlignment="1" applyProtection="1">
      <alignment horizontal="left" wrapText="1"/>
    </xf>
    <xf numFmtId="0" fontId="59" fillId="0" borderId="9" xfId="10" applyBorder="1" applyAlignment="1" applyProtection="1">
      <alignment vertical="top" wrapText="1"/>
    </xf>
    <xf numFmtId="0" fontId="59" fillId="0" borderId="10" xfId="10" applyBorder="1" applyAlignment="1" applyProtection="1">
      <alignment vertical="top" wrapText="1"/>
    </xf>
    <xf numFmtId="0" fontId="32" fillId="4" borderId="3" xfId="12" applyFont="1" applyFill="1" applyBorder="1" applyAlignment="1">
      <alignment vertical="top" wrapText="1"/>
    </xf>
    <xf numFmtId="0" fontId="32" fillId="4" borderId="2" xfId="12" applyFont="1" applyFill="1" applyBorder="1" applyAlignment="1">
      <alignment vertical="top" wrapText="1"/>
    </xf>
    <xf numFmtId="0" fontId="32" fillId="4" borderId="7" xfId="12" applyFont="1" applyFill="1" applyBorder="1" applyAlignment="1">
      <alignment vertical="top" wrapText="1"/>
    </xf>
    <xf numFmtId="0" fontId="30" fillId="6" borderId="51" xfId="0" applyFont="1" applyFill="1" applyBorder="1" applyAlignment="1">
      <alignment horizontal="center"/>
    </xf>
    <xf numFmtId="0" fontId="30" fillId="6" borderId="25" xfId="0" applyFont="1" applyFill="1" applyBorder="1" applyAlignment="1">
      <alignment horizontal="center"/>
    </xf>
    <xf numFmtId="0" fontId="1" fillId="4" borderId="51" xfId="0" applyFont="1" applyFill="1" applyBorder="1" applyAlignment="1">
      <alignment horizontal="left" vertical="top" wrapText="1"/>
    </xf>
    <xf numFmtId="0" fontId="17" fillId="4" borderId="25" xfId="0" applyFont="1" applyFill="1" applyBorder="1" applyAlignment="1">
      <alignment horizontal="left" vertical="top"/>
    </xf>
    <xf numFmtId="0" fontId="60" fillId="0" borderId="0" xfId="0" applyFont="1"/>
    <xf numFmtId="0" fontId="17" fillId="4" borderId="3" xfId="12" applyFont="1" applyFill="1" applyBorder="1" applyAlignment="1">
      <alignment horizontal="left" vertical="top" wrapText="1"/>
    </xf>
    <xf numFmtId="0" fontId="17" fillId="4" borderId="2" xfId="12" applyFont="1" applyFill="1" applyBorder="1" applyAlignment="1">
      <alignment horizontal="left" vertical="top" wrapText="1"/>
    </xf>
    <xf numFmtId="0" fontId="47" fillId="4" borderId="8" xfId="12" applyFont="1" applyFill="1" applyBorder="1" applyAlignment="1">
      <alignment horizontal="left" vertical="top" wrapText="1"/>
    </xf>
    <xf numFmtId="0" fontId="47" fillId="4" borderId="9" xfId="12" applyFont="1" applyFill="1" applyBorder="1" applyAlignment="1">
      <alignment horizontal="left" vertical="top" wrapText="1"/>
    </xf>
    <xf numFmtId="0" fontId="47" fillId="4" borderId="10" xfId="12" applyFont="1" applyFill="1" applyBorder="1" applyAlignment="1">
      <alignment horizontal="left" vertical="top" wrapText="1"/>
    </xf>
    <xf numFmtId="0" fontId="47" fillId="4" borderId="54" xfId="12" applyFont="1" applyFill="1" applyBorder="1" applyAlignment="1">
      <alignment horizontal="left" vertical="top" wrapText="1"/>
    </xf>
    <xf numFmtId="0" fontId="47" fillId="4" borderId="13" xfId="12" applyFont="1" applyFill="1" applyBorder="1" applyAlignment="1">
      <alignment horizontal="left" vertical="top" wrapText="1"/>
    </xf>
    <xf numFmtId="0" fontId="47" fillId="4" borderId="16" xfId="12" applyFont="1" applyFill="1" applyBorder="1" applyAlignment="1">
      <alignment horizontal="left" vertical="top" wrapText="1"/>
    </xf>
    <xf numFmtId="0" fontId="17" fillId="0" borderId="3" xfId="0" applyFont="1" applyBorder="1" applyAlignment="1">
      <alignment vertical="top" wrapText="1"/>
    </xf>
    <xf numFmtId="0" fontId="17" fillId="0" borderId="2" xfId="0" applyFont="1" applyBorder="1" applyAlignment="1">
      <alignment vertical="top" wrapText="1"/>
    </xf>
    <xf numFmtId="0" fontId="60" fillId="4" borderId="0" xfId="12" applyFont="1" applyFill="1" applyAlignment="1">
      <alignment vertical="center"/>
    </xf>
    <xf numFmtId="0" fontId="17" fillId="3" borderId="9" xfId="12" applyFont="1" applyFill="1" applyBorder="1" applyAlignment="1" applyProtection="1">
      <alignment horizontal="left" vertical="center" wrapText="1"/>
      <protection locked="0"/>
    </xf>
    <xf numFmtId="0" fontId="17" fillId="3" borderId="10" xfId="12" applyFont="1" applyFill="1" applyBorder="1" applyAlignment="1" applyProtection="1">
      <alignment horizontal="left" vertical="center" wrapText="1"/>
      <protection locked="0"/>
    </xf>
    <xf numFmtId="0" fontId="17" fillId="4" borderId="51" xfId="12" applyFont="1" applyFill="1" applyBorder="1" applyAlignment="1">
      <alignment vertical="top" wrapText="1"/>
    </xf>
    <xf numFmtId="0" fontId="17" fillId="4" borderId="47" xfId="12" applyFont="1" applyFill="1" applyBorder="1" applyAlignment="1">
      <alignment vertical="top" wrapText="1"/>
    </xf>
    <xf numFmtId="0" fontId="17" fillId="4" borderId="25" xfId="12" applyFont="1" applyFill="1" applyBorder="1" applyAlignment="1">
      <alignment vertical="top" wrapText="1"/>
    </xf>
    <xf numFmtId="0" fontId="32" fillId="4" borderId="52" xfId="12" applyFont="1" applyFill="1" applyBorder="1" applyAlignment="1">
      <alignment horizontal="left" vertical="top" wrapText="1"/>
    </xf>
    <xf numFmtId="0" fontId="32" fillId="4" borderId="69" xfId="12" applyFont="1" applyFill="1" applyBorder="1" applyAlignment="1">
      <alignment horizontal="left" vertical="top" wrapText="1"/>
    </xf>
    <xf numFmtId="0" fontId="32" fillId="4" borderId="53" xfId="12" applyFont="1" applyFill="1" applyBorder="1" applyAlignment="1">
      <alignment horizontal="left" vertical="top" wrapText="1"/>
    </xf>
    <xf numFmtId="0" fontId="17" fillId="4" borderId="63" xfId="12" applyFont="1" applyFill="1" applyBorder="1" applyAlignment="1">
      <alignment horizontal="left" vertical="top" wrapText="1"/>
    </xf>
    <xf numFmtId="0" fontId="17" fillId="4" borderId="65" xfId="12" applyFont="1" applyFill="1" applyBorder="1" applyAlignment="1">
      <alignment horizontal="left" vertical="top" wrapText="1"/>
    </xf>
    <xf numFmtId="0" fontId="17" fillId="4" borderId="3" xfId="12" applyFont="1" applyFill="1" applyBorder="1" applyAlignment="1">
      <alignment horizontal="left" vertical="top"/>
    </xf>
    <xf numFmtId="0" fontId="17" fillId="4" borderId="2" xfId="12" applyFont="1" applyFill="1" applyBorder="1" applyAlignment="1">
      <alignment horizontal="left" vertical="top"/>
    </xf>
    <xf numFmtId="167" fontId="17" fillId="3" borderId="2" xfId="12" applyNumberFormat="1" applyFont="1" applyFill="1" applyBorder="1" applyAlignment="1" applyProtection="1">
      <alignment horizontal="left" vertical="center" wrapText="1"/>
      <protection locked="0"/>
    </xf>
    <xf numFmtId="167" fontId="17" fillId="3" borderId="7" xfId="12" applyNumberFormat="1" applyFont="1" applyFill="1" applyBorder="1" applyAlignment="1" applyProtection="1">
      <alignment horizontal="left" vertical="center" wrapText="1"/>
      <protection locked="0"/>
    </xf>
    <xf numFmtId="0" fontId="32" fillId="4" borderId="17" xfId="12" applyFont="1" applyFill="1" applyBorder="1" applyAlignment="1">
      <alignment horizontal="left" vertical="top"/>
    </xf>
    <xf numFmtId="0" fontId="32" fillId="4" borderId="11" xfId="12" applyFont="1" applyFill="1" applyBorder="1" applyAlignment="1">
      <alignment horizontal="left" vertical="top"/>
    </xf>
    <xf numFmtId="0" fontId="32" fillId="4" borderId="18" xfId="12" applyFont="1" applyFill="1" applyBorder="1" applyAlignment="1">
      <alignment horizontal="left" vertical="top"/>
    </xf>
    <xf numFmtId="0" fontId="32" fillId="6" borderId="51" xfId="12" applyFont="1" applyFill="1" applyBorder="1" applyAlignment="1">
      <alignment horizontal="center" vertical="top"/>
    </xf>
    <xf numFmtId="0" fontId="32" fillId="6" borderId="47" xfId="12" applyFont="1" applyFill="1" applyBorder="1" applyAlignment="1">
      <alignment horizontal="center" vertical="top"/>
    </xf>
    <xf numFmtId="0" fontId="32" fillId="6" borderId="25" xfId="12" applyFont="1" applyFill="1" applyBorder="1" applyAlignment="1">
      <alignment horizontal="center" vertical="top"/>
    </xf>
    <xf numFmtId="0" fontId="2" fillId="4" borderId="3" xfId="12" applyFont="1" applyFill="1" applyBorder="1" applyAlignment="1">
      <alignment horizontal="left" vertical="top" wrapText="1"/>
    </xf>
    <xf numFmtId="0" fontId="2" fillId="4" borderId="63" xfId="12" applyFont="1" applyFill="1" applyBorder="1" applyAlignment="1">
      <alignment horizontal="left" vertical="top" wrapText="1"/>
    </xf>
    <xf numFmtId="0" fontId="47" fillId="4" borderId="3" xfId="12" applyFont="1" applyFill="1" applyBorder="1" applyAlignment="1">
      <alignment horizontal="left" vertical="top" wrapText="1"/>
    </xf>
    <xf numFmtId="0" fontId="47" fillId="4" borderId="2" xfId="12" applyFont="1" applyFill="1" applyBorder="1" applyAlignment="1">
      <alignment horizontal="left" vertical="top" wrapText="1"/>
    </xf>
    <xf numFmtId="0" fontId="38" fillId="4" borderId="29" xfId="12" applyFont="1" applyFill="1" applyBorder="1" applyAlignment="1">
      <alignment horizontal="left" vertical="top" wrapText="1"/>
    </xf>
    <xf numFmtId="0" fontId="38" fillId="4" borderId="30" xfId="12" applyFont="1" applyFill="1" applyBorder="1" applyAlignment="1">
      <alignment horizontal="left" vertical="top" wrapText="1"/>
    </xf>
    <xf numFmtId="0" fontId="38" fillId="4" borderId="48" xfId="12" applyFont="1" applyFill="1" applyBorder="1" applyAlignment="1">
      <alignment horizontal="left" vertical="top" wrapText="1"/>
    </xf>
    <xf numFmtId="0" fontId="32" fillId="4" borderId="4" xfId="12" applyFont="1" applyFill="1" applyBorder="1" applyAlignment="1">
      <alignment horizontal="left" vertical="center"/>
    </xf>
    <xf numFmtId="0" fontId="32" fillId="4" borderId="5" xfId="12" applyFont="1" applyFill="1" applyBorder="1" applyAlignment="1">
      <alignment horizontal="left" vertical="center"/>
    </xf>
    <xf numFmtId="0" fontId="32" fillId="4" borderId="6" xfId="12" applyFont="1" applyFill="1" applyBorder="1" applyAlignment="1">
      <alignment horizontal="left" vertical="center"/>
    </xf>
    <xf numFmtId="0" fontId="2" fillId="3" borderId="2" xfId="12" applyFont="1" applyFill="1" applyBorder="1" applyAlignment="1" applyProtection="1">
      <alignment horizontal="left" vertical="top" wrapText="1"/>
      <protection locked="0"/>
    </xf>
    <xf numFmtId="0" fontId="17" fillId="3" borderId="2" xfId="12" applyFont="1" applyFill="1" applyBorder="1" applyAlignment="1" applyProtection="1">
      <alignment horizontal="left" vertical="top" wrapText="1"/>
      <protection locked="0"/>
    </xf>
    <xf numFmtId="0" fontId="17" fillId="3" borderId="7" xfId="12" applyFont="1" applyFill="1" applyBorder="1" applyAlignment="1" applyProtection="1">
      <alignment horizontal="left" vertical="top" wrapText="1"/>
      <protection locked="0"/>
    </xf>
    <xf numFmtId="0" fontId="42" fillId="0" borderId="3" xfId="0" applyFont="1" applyBorder="1" applyAlignment="1">
      <alignment vertical="top" wrapText="1"/>
    </xf>
    <xf numFmtId="0" fontId="42" fillId="0" borderId="2" xfId="0" applyFont="1" applyBorder="1" applyAlignment="1">
      <alignment vertical="top" wrapText="1"/>
    </xf>
    <xf numFmtId="0" fontId="47" fillId="4" borderId="41" xfId="12" applyFont="1" applyFill="1" applyBorder="1" applyAlignment="1">
      <alignment horizontal="left" vertical="top" wrapText="1"/>
    </xf>
    <xf numFmtId="0" fontId="47" fillId="4" borderId="43" xfId="12" applyFont="1" applyFill="1" applyBorder="1" applyAlignment="1">
      <alignment horizontal="left" vertical="top" wrapText="1"/>
    </xf>
    <xf numFmtId="0" fontId="2" fillId="4" borderId="4" xfId="12" applyFont="1" applyFill="1" applyBorder="1" applyAlignment="1">
      <alignment horizontal="left" vertical="top" wrapText="1"/>
    </xf>
    <xf numFmtId="0" fontId="17" fillId="4" borderId="5" xfId="12" applyFont="1" applyFill="1" applyBorder="1" applyAlignment="1">
      <alignment horizontal="left" vertical="top" wrapText="1"/>
    </xf>
    <xf numFmtId="0" fontId="17" fillId="4" borderId="6" xfId="12" applyFont="1" applyFill="1" applyBorder="1" applyAlignment="1">
      <alignment horizontal="left" vertical="top" wrapText="1"/>
    </xf>
    <xf numFmtId="0" fontId="17" fillId="0" borderId="41" xfId="0" applyFont="1" applyBorder="1" applyAlignment="1">
      <alignment vertical="center" wrapText="1"/>
    </xf>
    <xf numFmtId="0" fontId="17" fillId="0" borderId="43" xfId="0" applyFont="1" applyBorder="1" applyAlignment="1">
      <alignment vertical="center" wrapText="1"/>
    </xf>
    <xf numFmtId="0" fontId="53" fillId="4" borderId="23" xfId="12" applyFont="1" applyFill="1" applyBorder="1" applyAlignment="1">
      <alignment horizontal="center" vertical="center"/>
    </xf>
    <xf numFmtId="0" fontId="53" fillId="4" borderId="0" xfId="12" applyFont="1" applyFill="1" applyAlignment="1">
      <alignment horizontal="center" vertical="center"/>
    </xf>
    <xf numFmtId="0" fontId="53" fillId="4" borderId="22" xfId="12" applyFont="1" applyFill="1" applyBorder="1" applyAlignment="1">
      <alignment horizontal="center" vertical="center"/>
    </xf>
    <xf numFmtId="167" fontId="17" fillId="3" borderId="9" xfId="12" applyNumberFormat="1" applyFont="1" applyFill="1" applyBorder="1" applyAlignment="1" applyProtection="1">
      <alignment horizontal="left" vertical="center" wrapText="1"/>
      <protection locked="0"/>
    </xf>
    <xf numFmtId="167" fontId="17" fillId="3" borderId="10" xfId="12" applyNumberFormat="1" applyFont="1" applyFill="1" applyBorder="1" applyAlignment="1" applyProtection="1">
      <alignment horizontal="left" vertical="center" wrapText="1"/>
      <protection locked="0"/>
    </xf>
    <xf numFmtId="0" fontId="1" fillId="4" borderId="58" xfId="12" applyFont="1" applyFill="1" applyBorder="1" applyAlignment="1">
      <alignment vertical="top" wrapText="1"/>
    </xf>
    <xf numFmtId="0" fontId="17" fillId="4" borderId="61" xfId="12" applyFont="1" applyFill="1" applyBorder="1" applyAlignment="1">
      <alignment vertical="top" wrapText="1"/>
    </xf>
    <xf numFmtId="0" fontId="17" fillId="4" borderId="62" xfId="12" applyFont="1" applyFill="1" applyBorder="1" applyAlignment="1">
      <alignment vertical="top" wrapText="1"/>
    </xf>
    <xf numFmtId="0" fontId="59" fillId="4" borderId="23" xfId="10" applyFill="1" applyBorder="1" applyAlignment="1" applyProtection="1">
      <alignment vertical="top" wrapText="1"/>
    </xf>
    <xf numFmtId="0" fontId="59" fillId="4" borderId="0" xfId="10" applyFill="1" applyBorder="1" applyAlignment="1" applyProtection="1">
      <alignment vertical="top" wrapText="1"/>
    </xf>
    <xf numFmtId="0" fontId="59" fillId="4" borderId="22" xfId="10" applyFill="1" applyBorder="1" applyAlignment="1" applyProtection="1">
      <alignment vertical="top" wrapText="1"/>
    </xf>
    <xf numFmtId="0" fontId="17" fillId="4" borderId="63" xfId="12" applyFont="1" applyFill="1" applyBorder="1" applyAlignment="1">
      <alignment horizontal="left" vertical="center"/>
    </xf>
    <xf numFmtId="0" fontId="17" fillId="4" borderId="65" xfId="12" applyFont="1" applyFill="1" applyBorder="1" applyAlignment="1">
      <alignment horizontal="left" vertical="center"/>
    </xf>
    <xf numFmtId="0" fontId="17" fillId="4" borderId="64" xfId="12" applyFont="1" applyFill="1" applyBorder="1" applyAlignment="1">
      <alignment horizontal="left" vertical="center"/>
    </xf>
    <xf numFmtId="0" fontId="32" fillId="4" borderId="52" xfId="13" applyFont="1" applyFill="1" applyBorder="1" applyAlignment="1" applyProtection="1">
      <alignment horizontal="left" vertical="top" wrapText="1"/>
    </xf>
    <xf numFmtId="0" fontId="32" fillId="4" borderId="69" xfId="13" applyFont="1" applyFill="1" applyBorder="1" applyAlignment="1" applyProtection="1">
      <alignment horizontal="left" vertical="top" wrapText="1"/>
    </xf>
    <xf numFmtId="0" fontId="32" fillId="4" borderId="53" xfId="13" applyFont="1" applyFill="1" applyBorder="1" applyAlignment="1" applyProtection="1">
      <alignment horizontal="left" vertical="top" wrapText="1"/>
    </xf>
    <xf numFmtId="0" fontId="1" fillId="4" borderId="23" xfId="12" applyFont="1" applyFill="1" applyBorder="1" applyAlignment="1">
      <alignment vertical="top" wrapText="1"/>
    </xf>
    <xf numFmtId="0" fontId="17" fillId="4" borderId="0" xfId="12" applyFont="1" applyFill="1" applyAlignment="1">
      <alignment vertical="top" wrapText="1"/>
    </xf>
    <xf numFmtId="0" fontId="17" fillId="4" borderId="22" xfId="12" applyFont="1" applyFill="1" applyBorder="1" applyAlignment="1">
      <alignment vertical="top" wrapText="1"/>
    </xf>
    <xf numFmtId="0" fontId="17" fillId="4" borderId="66" xfId="12" applyFont="1" applyFill="1" applyBorder="1" applyAlignment="1">
      <alignment horizontal="left" vertical="center"/>
    </xf>
    <xf numFmtId="0" fontId="17" fillId="3" borderId="2" xfId="12" applyFont="1" applyFill="1" applyBorder="1" applyAlignment="1" applyProtection="1">
      <alignment horizontal="left" vertical="center" wrapText="1"/>
      <protection locked="0"/>
    </xf>
    <xf numFmtId="0" fontId="17" fillId="3" borderId="7" xfId="12" applyFont="1" applyFill="1" applyBorder="1" applyAlignment="1" applyProtection="1">
      <alignment horizontal="left" vertical="center" wrapText="1"/>
      <protection locked="0"/>
    </xf>
    <xf numFmtId="0" fontId="17" fillId="4" borderId="2" xfId="12" applyFont="1" applyFill="1" applyBorder="1" applyAlignment="1">
      <alignment horizontal="left" vertical="center"/>
    </xf>
    <xf numFmtId="0" fontId="17" fillId="4" borderId="7" xfId="12" applyFont="1" applyFill="1" applyBorder="1" applyAlignment="1">
      <alignment horizontal="left" vertical="center"/>
    </xf>
    <xf numFmtId="0" fontId="1" fillId="4" borderId="3" xfId="13" applyFont="1" applyFill="1" applyBorder="1" applyAlignment="1" applyProtection="1">
      <alignment horizontal="left" vertical="top" wrapText="1"/>
    </xf>
    <xf numFmtId="0" fontId="17" fillId="4" borderId="2" xfId="13" applyFont="1" applyFill="1" applyBorder="1" applyAlignment="1" applyProtection="1">
      <alignment horizontal="left" vertical="top" wrapText="1"/>
    </xf>
    <xf numFmtId="0" fontId="32" fillId="6" borderId="17" xfId="13" applyFont="1" applyFill="1" applyBorder="1" applyAlignment="1" applyProtection="1">
      <alignment horizontal="center" vertical="top" wrapText="1"/>
    </xf>
    <xf numFmtId="0" fontId="32" fillId="6" borderId="11" xfId="13" applyFont="1" applyFill="1" applyBorder="1" applyAlignment="1" applyProtection="1">
      <alignment horizontal="center" vertical="top" wrapText="1"/>
    </xf>
    <xf numFmtId="0" fontId="32" fillId="6" borderId="18" xfId="13" applyFont="1" applyFill="1" applyBorder="1" applyAlignment="1" applyProtection="1">
      <alignment horizontal="center" vertical="top" wrapText="1"/>
    </xf>
    <xf numFmtId="0" fontId="32" fillId="4" borderId="52" xfId="12" applyFont="1" applyFill="1" applyBorder="1" applyAlignment="1">
      <alignment horizontal="left" vertical="top"/>
    </xf>
    <xf numFmtId="0" fontId="32" fillId="4" borderId="69" xfId="12" applyFont="1" applyFill="1" applyBorder="1" applyAlignment="1">
      <alignment horizontal="left" vertical="top"/>
    </xf>
    <xf numFmtId="0" fontId="17" fillId="4" borderId="64" xfId="12" applyFont="1" applyFill="1" applyBorder="1" applyAlignment="1">
      <alignment horizontal="left" vertical="top" wrapText="1"/>
    </xf>
    <xf numFmtId="0" fontId="17" fillId="0" borderId="8" xfId="0" applyFont="1" applyBorder="1" applyAlignment="1">
      <alignment vertical="top" wrapText="1"/>
    </xf>
    <xf numFmtId="0" fontId="17" fillId="0" borderId="9" xfId="0" applyFont="1" applyBorder="1" applyAlignment="1">
      <alignment vertical="top" wrapText="1"/>
    </xf>
    <xf numFmtId="0" fontId="17" fillId="4" borderId="58" xfId="12" applyFont="1" applyFill="1" applyBorder="1" applyAlignment="1">
      <alignment horizontal="left" vertical="top" wrapText="1"/>
    </xf>
    <xf numFmtId="0" fontId="17" fillId="4" borderId="61" xfId="12" applyFont="1" applyFill="1" applyBorder="1" applyAlignment="1">
      <alignment horizontal="left" vertical="top" wrapText="1"/>
    </xf>
    <xf numFmtId="0" fontId="2" fillId="4" borderId="58" xfId="12" applyFont="1" applyFill="1" applyBorder="1" applyAlignment="1">
      <alignment horizontal="left" vertical="top" wrapText="1"/>
    </xf>
    <xf numFmtId="0" fontId="52" fillId="4" borderId="3" xfId="12" applyFont="1" applyFill="1" applyBorder="1" applyAlignment="1">
      <alignment horizontal="left" vertical="top"/>
    </xf>
    <xf numFmtId="0" fontId="52" fillId="4" borderId="2" xfId="12" applyFont="1" applyFill="1" applyBorder="1" applyAlignment="1">
      <alignment horizontal="left" vertical="top"/>
    </xf>
    <xf numFmtId="0" fontId="1" fillId="4" borderId="23" xfId="12" applyFont="1" applyFill="1" applyBorder="1" applyAlignment="1">
      <alignment horizontal="left" wrapText="1"/>
    </xf>
    <xf numFmtId="0" fontId="17" fillId="4" borderId="0" xfId="12" applyFont="1" applyFill="1" applyAlignment="1">
      <alignment horizontal="left" wrapText="1"/>
    </xf>
    <xf numFmtId="0" fontId="17" fillId="4" borderId="22" xfId="12" applyFont="1" applyFill="1" applyBorder="1" applyAlignment="1">
      <alignment horizontal="left" wrapText="1"/>
    </xf>
    <xf numFmtId="0" fontId="59" fillId="4" borderId="19" xfId="10" applyFill="1" applyBorder="1" applyAlignment="1" applyProtection="1">
      <alignment horizontal="left" vertical="top" wrapText="1"/>
    </xf>
    <xf numFmtId="0" fontId="59" fillId="4" borderId="20" xfId="13" applyFont="1" applyFill="1" applyBorder="1" applyAlignment="1" applyProtection="1">
      <alignment horizontal="left" vertical="top" wrapText="1"/>
    </xf>
    <xf numFmtId="0" fontId="59" fillId="4" borderId="21" xfId="13" applyFont="1" applyFill="1" applyBorder="1" applyAlignment="1" applyProtection="1">
      <alignment horizontal="left" vertical="top" wrapText="1"/>
    </xf>
    <xf numFmtId="0" fontId="32" fillId="0" borderId="19" xfId="12" applyFont="1" applyBorder="1" applyAlignment="1">
      <alignment horizontal="left" vertical="top" wrapText="1"/>
    </xf>
    <xf numFmtId="0" fontId="32" fillId="0" borderId="20" xfId="12" applyFont="1" applyBorder="1" applyAlignment="1">
      <alignment horizontal="left" vertical="top" wrapText="1"/>
    </xf>
    <xf numFmtId="0" fontId="32" fillId="4" borderId="23" xfId="12" applyFont="1" applyFill="1" applyBorder="1" applyAlignment="1">
      <alignment horizontal="left" vertical="top"/>
    </xf>
    <xf numFmtId="0" fontId="32" fillId="4" borderId="0" xfId="12" applyFont="1" applyFill="1" applyAlignment="1">
      <alignment horizontal="left" vertical="top"/>
    </xf>
    <xf numFmtId="0" fontId="17" fillId="4" borderId="58" xfId="12" applyFont="1" applyFill="1" applyBorder="1" applyAlignment="1">
      <alignment horizontal="left" vertical="top"/>
    </xf>
    <xf numFmtId="0" fontId="17" fillId="4" borderId="61" xfId="12" applyFont="1" applyFill="1" applyBorder="1" applyAlignment="1">
      <alignment horizontal="left" vertical="top"/>
    </xf>
    <xf numFmtId="0" fontId="32" fillId="6" borderId="17" xfId="12" applyFont="1" applyFill="1" applyBorder="1" applyAlignment="1">
      <alignment horizontal="center" vertical="top"/>
    </xf>
    <xf numFmtId="0" fontId="32" fillId="6" borderId="11" xfId="12" applyFont="1" applyFill="1" applyBorder="1" applyAlignment="1">
      <alignment horizontal="center" vertical="top"/>
    </xf>
    <xf numFmtId="0" fontId="32" fillId="6" borderId="18" xfId="12" applyFont="1" applyFill="1" applyBorder="1" applyAlignment="1">
      <alignment horizontal="center" vertical="top"/>
    </xf>
    <xf numFmtId="0" fontId="17" fillId="4" borderId="69" xfId="12" applyFont="1" applyFill="1" applyBorder="1" applyAlignment="1">
      <alignment horizontal="left" vertical="top" wrapText="1"/>
    </xf>
    <xf numFmtId="0" fontId="17" fillId="4" borderId="71" xfId="12" applyFont="1" applyFill="1" applyBorder="1" applyAlignment="1">
      <alignment horizontal="left" vertical="top" wrapText="1"/>
    </xf>
    <xf numFmtId="0" fontId="60" fillId="4" borderId="0" xfId="12" applyFont="1" applyFill="1" applyAlignment="1">
      <alignment horizontal="center" vertical="center"/>
    </xf>
    <xf numFmtId="0" fontId="15" fillId="4" borderId="17" xfId="12" applyFont="1" applyFill="1" applyBorder="1" applyAlignment="1">
      <alignment horizontal="left" vertical="top" wrapText="1"/>
    </xf>
    <xf numFmtId="0" fontId="17" fillId="4" borderId="11" xfId="12" applyFont="1" applyFill="1" applyBorder="1" applyAlignment="1">
      <alignment horizontal="left" vertical="top" wrapText="1"/>
    </xf>
    <xf numFmtId="0" fontId="59" fillId="4" borderId="20" xfId="10" applyFill="1" applyBorder="1" applyAlignment="1" applyProtection="1">
      <alignment horizontal="left" vertical="top" wrapText="1"/>
    </xf>
    <xf numFmtId="0" fontId="59" fillId="4" borderId="21" xfId="10" applyFill="1" applyBorder="1" applyAlignment="1" applyProtection="1">
      <alignment horizontal="left" vertical="top" wrapText="1"/>
    </xf>
    <xf numFmtId="0" fontId="32" fillId="6" borderId="51" xfId="12" applyFont="1" applyFill="1" applyBorder="1" applyAlignment="1">
      <alignment horizontal="center" vertical="center"/>
    </xf>
    <xf numFmtId="0" fontId="32" fillId="6" borderId="47" xfId="12" applyFont="1" applyFill="1" applyBorder="1" applyAlignment="1">
      <alignment horizontal="center" vertical="center"/>
    </xf>
    <xf numFmtId="0" fontId="32" fillId="6" borderId="25" xfId="12" applyFont="1" applyFill="1" applyBorder="1" applyAlignment="1">
      <alignment horizontal="center" vertical="center"/>
    </xf>
    <xf numFmtId="0" fontId="1" fillId="4" borderId="17" xfId="12" applyFont="1" applyFill="1" applyBorder="1" applyAlignment="1">
      <alignment vertical="top" wrapText="1"/>
    </xf>
    <xf numFmtId="0" fontId="17" fillId="4" borderId="11" xfId="12" applyFont="1" applyFill="1" applyBorder="1" applyAlignment="1">
      <alignment vertical="top" wrapText="1"/>
    </xf>
    <xf numFmtId="0" fontId="17" fillId="4" borderId="18" xfId="12" applyFont="1" applyFill="1" applyBorder="1" applyAlignment="1">
      <alignment vertical="top" wrapText="1"/>
    </xf>
    <xf numFmtId="0" fontId="32" fillId="4" borderId="54" xfId="12" applyFont="1" applyFill="1" applyBorder="1" applyAlignment="1">
      <alignment vertical="top" wrapText="1"/>
    </xf>
    <xf numFmtId="0" fontId="32" fillId="4" borderId="13" xfId="12" applyFont="1" applyFill="1" applyBorder="1" applyAlignment="1">
      <alignment vertical="top" wrapText="1"/>
    </xf>
    <xf numFmtId="0" fontId="32" fillId="4" borderId="55" xfId="12" applyFont="1" applyFill="1" applyBorder="1" applyAlignment="1">
      <alignment vertical="top" wrapText="1"/>
    </xf>
    <xf numFmtId="0" fontId="17" fillId="4" borderId="3" xfId="13" applyFont="1" applyFill="1" applyBorder="1" applyAlignment="1" applyProtection="1">
      <alignment horizontal="left" vertical="top" wrapText="1"/>
    </xf>
    <xf numFmtId="0" fontId="32" fillId="0" borderId="4" xfId="0" applyFont="1" applyBorder="1" applyAlignment="1">
      <alignment horizontal="left" vertical="center" wrapText="1"/>
    </xf>
    <xf numFmtId="0" fontId="32" fillId="0" borderId="5" xfId="0" applyFont="1" applyBorder="1" applyAlignment="1">
      <alignment horizontal="left" vertical="center" wrapText="1"/>
    </xf>
    <xf numFmtId="0" fontId="32" fillId="0" borderId="6" xfId="0" applyFont="1" applyBorder="1" applyAlignment="1">
      <alignment horizontal="left" vertical="center" wrapText="1"/>
    </xf>
    <xf numFmtId="0" fontId="17" fillId="0" borderId="19" xfId="0" applyFont="1" applyBorder="1" applyAlignment="1">
      <alignment vertical="center" wrapText="1"/>
    </xf>
    <xf numFmtId="0" fontId="17" fillId="0" borderId="20" xfId="0" applyFont="1" applyBorder="1" applyAlignment="1">
      <alignment vertical="center" wrapText="1"/>
    </xf>
    <xf numFmtId="167" fontId="7" fillId="3" borderId="2" xfId="12" applyNumberFormat="1" applyFont="1" applyFill="1" applyBorder="1" applyAlignment="1" applyProtection="1">
      <alignment horizontal="left" vertical="center" wrapText="1"/>
      <protection locked="0"/>
    </xf>
    <xf numFmtId="0" fontId="17" fillId="0" borderId="3" xfId="0" applyFont="1" applyBorder="1" applyAlignment="1">
      <alignment vertical="center" wrapText="1"/>
    </xf>
    <xf numFmtId="0" fontId="17" fillId="0" borderId="2" xfId="0" applyFont="1" applyBorder="1" applyAlignment="1">
      <alignment vertical="center" wrapText="1"/>
    </xf>
    <xf numFmtId="0" fontId="17" fillId="0" borderId="3" xfId="0" applyFont="1" applyBorder="1" applyAlignment="1">
      <alignment horizontal="left" vertical="top" wrapText="1"/>
    </xf>
    <xf numFmtId="0" fontId="17" fillId="0" borderId="2" xfId="0" applyFont="1" applyBorder="1" applyAlignment="1">
      <alignment horizontal="left" vertical="top" wrapText="1"/>
    </xf>
    <xf numFmtId="0" fontId="2" fillId="4" borderId="17" xfId="0" applyFont="1" applyFill="1" applyBorder="1" applyAlignment="1">
      <alignment horizontal="left" vertical="center" wrapText="1"/>
    </xf>
    <xf numFmtId="0" fontId="17" fillId="4" borderId="11" xfId="0" applyFont="1" applyFill="1" applyBorder="1" applyAlignment="1">
      <alignment horizontal="left" vertical="center" wrapText="1"/>
    </xf>
    <xf numFmtId="0" fontId="17" fillId="4" borderId="18" xfId="0" applyFont="1" applyFill="1" applyBorder="1" applyAlignment="1">
      <alignment horizontal="left" vertical="center" wrapText="1"/>
    </xf>
    <xf numFmtId="0" fontId="17" fillId="3" borderId="12" xfId="12" applyFont="1" applyFill="1" applyBorder="1" applyAlignment="1" applyProtection="1">
      <alignment horizontal="left" vertical="center"/>
      <protection locked="0"/>
    </xf>
    <xf numFmtId="0" fontId="17" fillId="3" borderId="13" xfId="12" applyFont="1" applyFill="1" applyBorder="1" applyAlignment="1" applyProtection="1">
      <alignment horizontal="left" vertical="center"/>
      <protection locked="0"/>
    </xf>
    <xf numFmtId="0" fontId="17" fillId="3" borderId="55" xfId="12" applyFont="1" applyFill="1" applyBorder="1" applyAlignment="1" applyProtection="1">
      <alignment horizontal="left" vertical="center"/>
      <protection locked="0"/>
    </xf>
    <xf numFmtId="0" fontId="17" fillId="4" borderId="54" xfId="12" applyFont="1" applyFill="1" applyBorder="1" applyAlignment="1">
      <alignment horizontal="left" vertical="top"/>
    </xf>
    <xf numFmtId="0" fontId="17" fillId="4" borderId="13" xfId="12" applyFont="1" applyFill="1" applyBorder="1" applyAlignment="1">
      <alignment horizontal="left" vertical="top"/>
    </xf>
    <xf numFmtId="0" fontId="17" fillId="4" borderId="16" xfId="12" applyFont="1" applyFill="1" applyBorder="1" applyAlignment="1">
      <alignment horizontal="left" vertical="top"/>
    </xf>
    <xf numFmtId="0" fontId="17" fillId="3" borderId="12" xfId="12" applyFont="1" applyFill="1" applyBorder="1" applyAlignment="1" applyProtection="1">
      <alignment horizontal="left" vertical="center" wrapText="1"/>
      <protection locked="0"/>
    </xf>
    <xf numFmtId="0" fontId="17" fillId="3" borderId="13" xfId="12" applyFont="1" applyFill="1" applyBorder="1" applyAlignment="1" applyProtection="1">
      <alignment horizontal="left" vertical="center" wrapText="1"/>
      <protection locked="0"/>
    </xf>
    <xf numFmtId="0" fontId="17" fillId="3" borderId="55" xfId="12" applyFont="1" applyFill="1" applyBorder="1" applyAlignment="1" applyProtection="1">
      <alignment horizontal="left" vertical="center" wrapText="1"/>
      <protection locked="0"/>
    </xf>
    <xf numFmtId="0" fontId="2" fillId="3" borderId="2" xfId="12" applyFont="1" applyFill="1" applyBorder="1" applyAlignment="1" applyProtection="1">
      <alignment horizontal="left" vertical="center" wrapText="1"/>
      <protection locked="0"/>
    </xf>
    <xf numFmtId="0" fontId="17" fillId="0" borderId="3" xfId="0" applyFont="1" applyBorder="1" applyAlignment="1">
      <alignment horizontal="left" vertical="center"/>
    </xf>
    <xf numFmtId="0" fontId="17" fillId="0" borderId="2" xfId="0" applyFont="1" applyBorder="1" applyAlignment="1">
      <alignment horizontal="left" vertical="center"/>
    </xf>
    <xf numFmtId="0" fontId="2" fillId="0" borderId="8" xfId="0" applyFont="1" applyBorder="1" applyAlignment="1">
      <alignment horizontal="left" vertical="center" wrapText="1"/>
    </xf>
    <xf numFmtId="0" fontId="17" fillId="0" borderId="9" xfId="0" applyFont="1" applyBorder="1" applyAlignment="1">
      <alignment horizontal="left" vertical="center" wrapText="1"/>
    </xf>
    <xf numFmtId="2" fontId="17" fillId="3" borderId="9" xfId="11" applyNumberFormat="1" applyFont="1" applyFill="1" applyBorder="1" applyAlignment="1" applyProtection="1">
      <alignment horizontal="left" vertical="center" wrapText="1"/>
      <protection locked="0"/>
    </xf>
    <xf numFmtId="2" fontId="17" fillId="3" borderId="10" xfId="11" applyNumberFormat="1" applyFont="1" applyFill="1" applyBorder="1" applyAlignment="1" applyProtection="1">
      <alignment horizontal="left" vertical="center" wrapText="1"/>
      <protection locked="0"/>
    </xf>
    <xf numFmtId="0" fontId="17" fillId="4" borderId="54" xfId="12" applyFont="1" applyFill="1" applyBorder="1" applyAlignment="1">
      <alignment horizontal="left" vertical="top" wrapText="1"/>
    </xf>
    <xf numFmtId="0" fontId="17" fillId="4" borderId="13" xfId="12" applyFont="1" applyFill="1" applyBorder="1" applyAlignment="1">
      <alignment horizontal="left" vertical="top" wrapText="1"/>
    </xf>
    <xf numFmtId="0" fontId="17" fillId="4" borderId="16" xfId="12" applyFont="1" applyFill="1" applyBorder="1" applyAlignment="1">
      <alignment horizontal="left" vertical="top" wrapText="1"/>
    </xf>
    <xf numFmtId="0" fontId="1" fillId="4" borderId="58" xfId="12" applyFont="1" applyFill="1" applyBorder="1" applyAlignment="1">
      <alignment horizontal="left" vertical="top"/>
    </xf>
    <xf numFmtId="0" fontId="17" fillId="4" borderId="62" xfId="12" applyFont="1" applyFill="1" applyBorder="1" applyAlignment="1">
      <alignment horizontal="left" vertical="top"/>
    </xf>
    <xf numFmtId="0" fontId="32" fillId="4" borderId="4" xfId="12" applyFont="1" applyFill="1" applyBorder="1" applyAlignment="1">
      <alignment horizontal="left" vertical="top"/>
    </xf>
    <xf numFmtId="0" fontId="32" fillId="4" borderId="5" xfId="12" applyFont="1" applyFill="1" applyBorder="1" applyAlignment="1">
      <alignment horizontal="left" vertical="top"/>
    </xf>
    <xf numFmtId="0" fontId="32" fillId="4" borderId="6" xfId="12" applyFont="1" applyFill="1" applyBorder="1" applyAlignment="1">
      <alignment horizontal="left" vertical="top"/>
    </xf>
    <xf numFmtId="0" fontId="17" fillId="4" borderId="3" xfId="12" applyFont="1" applyFill="1" applyBorder="1" applyAlignment="1">
      <alignment horizontal="left"/>
    </xf>
    <xf numFmtId="0" fontId="17" fillId="4" borderId="2" xfId="12" applyFont="1" applyFill="1" applyBorder="1" applyAlignment="1">
      <alignment horizontal="left"/>
    </xf>
    <xf numFmtId="0" fontId="17" fillId="3" borderId="2" xfId="12" applyFont="1" applyFill="1" applyBorder="1" applyAlignment="1" applyProtection="1">
      <alignment horizontal="left" vertical="center"/>
      <protection locked="0"/>
    </xf>
    <xf numFmtId="0" fontId="17" fillId="3" borderId="7" xfId="12" applyFont="1" applyFill="1" applyBorder="1" applyAlignment="1" applyProtection="1">
      <alignment horizontal="left" vertical="center"/>
      <protection locked="0"/>
    </xf>
    <xf numFmtId="0" fontId="1" fillId="4" borderId="3" xfId="12" applyFont="1" applyFill="1" applyBorder="1" applyAlignment="1">
      <alignment horizontal="left" vertical="top"/>
    </xf>
    <xf numFmtId="0" fontId="17" fillId="4" borderId="7" xfId="12" applyFont="1" applyFill="1" applyBorder="1" applyAlignment="1">
      <alignment horizontal="left" vertical="top"/>
    </xf>
    <xf numFmtId="0" fontId="59" fillId="0" borderId="3" xfId="10" applyBorder="1" applyAlignment="1" applyProtection="1">
      <alignment horizontal="left"/>
    </xf>
    <xf numFmtId="0" fontId="59" fillId="0" borderId="2" xfId="10" applyBorder="1" applyAlignment="1" applyProtection="1">
      <alignment horizontal="left"/>
    </xf>
    <xf numFmtId="0" fontId="59" fillId="0" borderId="7" xfId="10" applyBorder="1" applyAlignment="1" applyProtection="1">
      <alignment horizontal="left"/>
    </xf>
    <xf numFmtId="0" fontId="17" fillId="4" borderId="41" xfId="12" applyFont="1" applyFill="1" applyBorder="1" applyAlignment="1">
      <alignment horizontal="left" vertical="top" wrapText="1"/>
    </xf>
    <xf numFmtId="0" fontId="17" fillId="4" borderId="43" xfId="12" applyFont="1" applyFill="1" applyBorder="1" applyAlignment="1">
      <alignment horizontal="left" vertical="top" wrapText="1"/>
    </xf>
    <xf numFmtId="0" fontId="1" fillId="3" borderId="43" xfId="12" applyFont="1" applyFill="1" applyBorder="1" applyAlignment="1" applyProtection="1">
      <alignment horizontal="left" vertical="center" wrapText="1"/>
      <protection locked="0"/>
    </xf>
    <xf numFmtId="0" fontId="17" fillId="3" borderId="43" xfId="12" applyFont="1" applyFill="1" applyBorder="1" applyAlignment="1" applyProtection="1">
      <alignment horizontal="left" vertical="center" wrapText="1"/>
      <protection locked="0"/>
    </xf>
    <xf numFmtId="0" fontId="17" fillId="3" borderId="42" xfId="12" applyFont="1" applyFill="1" applyBorder="1" applyAlignment="1" applyProtection="1">
      <alignment horizontal="left" vertical="center" wrapText="1"/>
      <protection locked="0"/>
    </xf>
    <xf numFmtId="0" fontId="17" fillId="4" borderId="0" xfId="12" applyFont="1" applyFill="1" applyAlignment="1">
      <alignment horizontal="left" vertical="top" wrapText="1"/>
    </xf>
    <xf numFmtId="0" fontId="17" fillId="4" borderId="22" xfId="12" applyFont="1" applyFill="1" applyBorder="1" applyAlignment="1">
      <alignment horizontal="left" vertical="top" wrapText="1"/>
    </xf>
    <xf numFmtId="0" fontId="17" fillId="4" borderId="63" xfId="12" applyFont="1" applyFill="1" applyBorder="1" applyAlignment="1">
      <alignment horizontal="left" vertical="top"/>
    </xf>
    <xf numFmtId="0" fontId="17" fillId="4" borderId="65" xfId="12" applyFont="1" applyFill="1" applyBorder="1" applyAlignment="1">
      <alignment horizontal="left" vertical="top"/>
    </xf>
    <xf numFmtId="0" fontId="17" fillId="4" borderId="64" xfId="12" applyFont="1" applyFill="1" applyBorder="1" applyAlignment="1">
      <alignment horizontal="left" vertical="top"/>
    </xf>
    <xf numFmtId="0" fontId="17" fillId="3" borderId="50" xfId="12" applyFont="1" applyFill="1" applyBorder="1" applyAlignment="1" applyProtection="1">
      <alignment horizontal="left" vertical="center" wrapText="1"/>
      <protection locked="0"/>
    </xf>
    <xf numFmtId="0" fontId="17" fillId="3" borderId="66" xfId="12" applyFont="1" applyFill="1" applyBorder="1" applyAlignment="1" applyProtection="1">
      <alignment horizontal="left" vertical="center" wrapText="1"/>
      <protection locked="0"/>
    </xf>
    <xf numFmtId="0" fontId="17" fillId="4" borderId="54" xfId="12" applyFont="1" applyFill="1" applyBorder="1" applyAlignment="1">
      <alignment horizontal="left" vertical="center"/>
    </xf>
    <xf numFmtId="0" fontId="17" fillId="4" borderId="16" xfId="12" applyFont="1" applyFill="1" applyBorder="1" applyAlignment="1">
      <alignment horizontal="left" vertical="center"/>
    </xf>
    <xf numFmtId="174" fontId="17" fillId="3" borderId="12" xfId="12" applyNumberFormat="1" applyFont="1" applyFill="1" applyBorder="1" applyAlignment="1" applyProtection="1">
      <alignment horizontal="left" vertical="center" wrapText="1"/>
      <protection locked="0"/>
    </xf>
    <xf numFmtId="174" fontId="17" fillId="3" borderId="13" xfId="12" applyNumberFormat="1" applyFont="1" applyFill="1" applyBorder="1" applyAlignment="1" applyProtection="1">
      <alignment horizontal="left" vertical="center" wrapText="1"/>
      <protection locked="0"/>
    </xf>
    <xf numFmtId="174" fontId="17" fillId="3" borderId="55" xfId="12" applyNumberFormat="1" applyFont="1" applyFill="1" applyBorder="1" applyAlignment="1" applyProtection="1">
      <alignment horizontal="left" vertical="center" wrapText="1"/>
      <protection locked="0"/>
    </xf>
    <xf numFmtId="0" fontId="17" fillId="4" borderId="58" xfId="12" applyFont="1" applyFill="1" applyBorder="1" applyAlignment="1">
      <alignment horizontal="left" vertical="center"/>
    </xf>
    <xf numFmtId="0" fontId="17" fillId="4" borderId="59" xfId="12" applyFont="1" applyFill="1" applyBorder="1" applyAlignment="1">
      <alignment horizontal="left" vertical="center"/>
    </xf>
    <xf numFmtId="49" fontId="71" fillId="3" borderId="60" xfId="12" applyNumberFormat="1" applyFont="1" applyFill="1" applyBorder="1" applyAlignment="1" applyProtection="1">
      <alignment horizontal="left" vertical="center" wrapText="1"/>
      <protection locked="0"/>
    </xf>
    <xf numFmtId="49" fontId="71" fillId="3" borderId="61" xfId="12" applyNumberFormat="1" applyFont="1" applyFill="1" applyBorder="1" applyAlignment="1" applyProtection="1">
      <alignment horizontal="left" vertical="center" wrapText="1"/>
      <protection locked="0"/>
    </xf>
    <xf numFmtId="49" fontId="71" fillId="3" borderId="62" xfId="12" applyNumberFormat="1" applyFont="1" applyFill="1" applyBorder="1" applyAlignment="1" applyProtection="1">
      <alignment horizontal="left" vertical="center" wrapText="1"/>
      <protection locked="0"/>
    </xf>
    <xf numFmtId="0" fontId="32" fillId="4" borderId="4" xfId="12" applyFont="1" applyFill="1" applyBorder="1" applyAlignment="1">
      <alignment horizontal="left" vertical="top" wrapText="1"/>
    </xf>
    <xf numFmtId="0" fontId="32" fillId="4" borderId="5" xfId="12" applyFont="1" applyFill="1" applyBorder="1" applyAlignment="1">
      <alignment horizontal="left" vertical="top" wrapText="1"/>
    </xf>
    <xf numFmtId="0" fontId="32" fillId="4" borderId="6" xfId="12" applyFont="1" applyFill="1" applyBorder="1" applyAlignment="1">
      <alignment horizontal="left" vertical="top" wrapText="1"/>
    </xf>
    <xf numFmtId="0" fontId="1" fillId="4" borderId="3" xfId="12" applyFont="1" applyFill="1" applyBorder="1" applyAlignment="1">
      <alignment horizontal="left" vertical="top" wrapText="1"/>
    </xf>
    <xf numFmtId="49" fontId="71" fillId="3" borderId="60" xfId="13" applyNumberFormat="1" applyFont="1" applyFill="1" applyBorder="1" applyAlignment="1" applyProtection="1">
      <alignment horizontal="left" vertical="center" wrapText="1"/>
      <protection locked="0"/>
    </xf>
    <xf numFmtId="0" fontId="17" fillId="3" borderId="49" xfId="12" applyFont="1" applyFill="1" applyBorder="1" applyAlignment="1" applyProtection="1">
      <alignment horizontal="left" vertical="center" wrapText="1"/>
      <protection locked="0"/>
    </xf>
    <xf numFmtId="0" fontId="17" fillId="3" borderId="56" xfId="12" applyFont="1" applyFill="1" applyBorder="1" applyAlignment="1" applyProtection="1">
      <alignment horizontal="left" vertical="center" wrapText="1"/>
      <protection locked="0"/>
    </xf>
    <xf numFmtId="0" fontId="17" fillId="3" borderId="57" xfId="12" applyFont="1" applyFill="1" applyBorder="1" applyAlignment="1" applyProtection="1">
      <alignment horizontal="left" vertical="center" wrapText="1"/>
      <protection locked="0"/>
    </xf>
    <xf numFmtId="0" fontId="17" fillId="4" borderId="54" xfId="12" applyFont="1" applyFill="1" applyBorder="1" applyAlignment="1">
      <alignment horizontal="left" vertical="center" wrapText="1"/>
    </xf>
    <xf numFmtId="0" fontId="17" fillId="4" borderId="16" xfId="12" applyFont="1" applyFill="1" applyBorder="1" applyAlignment="1">
      <alignment horizontal="left" vertical="center" wrapText="1"/>
    </xf>
    <xf numFmtId="0" fontId="49" fillId="0" borderId="0" xfId="12" applyFont="1" applyAlignment="1">
      <alignment horizontal="center" vertical="center"/>
    </xf>
    <xf numFmtId="0" fontId="30" fillId="6" borderId="51" xfId="12" applyFont="1" applyFill="1" applyBorder="1" applyAlignment="1">
      <alignment horizontal="center" vertical="top" wrapText="1"/>
    </xf>
    <xf numFmtId="0" fontId="32" fillId="6" borderId="47" xfId="12" applyFont="1" applyFill="1" applyBorder="1" applyAlignment="1">
      <alignment horizontal="center" vertical="top" wrapText="1"/>
    </xf>
    <xf numFmtId="0" fontId="30" fillId="6" borderId="47" xfId="12" applyFont="1" applyFill="1" applyBorder="1" applyAlignment="1">
      <alignment horizontal="center" vertical="top" wrapText="1"/>
    </xf>
    <xf numFmtId="0" fontId="30" fillId="6" borderId="25" xfId="12" applyFont="1" applyFill="1" applyBorder="1" applyAlignment="1">
      <alignment horizontal="center" vertical="top" wrapText="1"/>
    </xf>
    <xf numFmtId="0" fontId="1" fillId="4" borderId="51" xfId="12" applyFont="1" applyFill="1" applyBorder="1" applyAlignment="1">
      <alignment horizontal="left" vertical="top" wrapText="1"/>
    </xf>
    <xf numFmtId="0" fontId="17" fillId="4" borderId="47" xfId="12" applyFont="1" applyFill="1" applyBorder="1" applyAlignment="1">
      <alignment horizontal="left" vertical="top" wrapText="1"/>
    </xf>
    <xf numFmtId="0" fontId="17" fillId="4" borderId="25" xfId="12" applyFont="1" applyFill="1" applyBorder="1" applyAlignment="1">
      <alignment horizontal="left" vertical="top" wrapText="1"/>
    </xf>
    <xf numFmtId="0" fontId="60" fillId="0" borderId="0" xfId="13" applyFont="1" applyFill="1" applyBorder="1" applyAlignment="1" applyProtection="1">
      <alignment horizontal="left" vertical="top"/>
    </xf>
    <xf numFmtId="0" fontId="1" fillId="0" borderId="54" xfId="0" applyFont="1" applyBorder="1" applyAlignment="1">
      <alignment horizontal="left" vertical="top" wrapText="1"/>
    </xf>
    <xf numFmtId="0" fontId="17" fillId="0" borderId="13" xfId="0" applyFont="1" applyBorder="1" applyAlignment="1">
      <alignment horizontal="left" vertical="top" wrapText="1"/>
    </xf>
    <xf numFmtId="0" fontId="17" fillId="0" borderId="16" xfId="0" applyFont="1" applyBorder="1" applyAlignment="1">
      <alignment horizontal="left" vertical="top" wrapText="1"/>
    </xf>
    <xf numFmtId="0" fontId="2" fillId="0" borderId="3" xfId="0" applyFont="1" applyBorder="1" applyAlignment="1">
      <alignment horizontal="left" vertical="top" wrapText="1"/>
    </xf>
    <xf numFmtId="0" fontId="17" fillId="0" borderId="8" xfId="0" applyFont="1" applyBorder="1" applyAlignment="1">
      <alignment horizontal="left" vertical="top" wrapText="1"/>
    </xf>
    <xf numFmtId="0" fontId="17" fillId="0" borderId="9" xfId="0" applyFont="1" applyBorder="1" applyAlignment="1">
      <alignment horizontal="left" vertical="top" wrapText="1"/>
    </xf>
    <xf numFmtId="0" fontId="17" fillId="4" borderId="3" xfId="12" applyFont="1" applyFill="1" applyBorder="1" applyAlignment="1">
      <alignment horizontal="left" vertical="center" wrapText="1"/>
    </xf>
    <xf numFmtId="0" fontId="17" fillId="4" borderId="2" xfId="12" applyFont="1" applyFill="1" applyBorder="1" applyAlignment="1">
      <alignment horizontal="left" vertical="center" wrapText="1"/>
    </xf>
    <xf numFmtId="0" fontId="1" fillId="4" borderId="54" xfId="12" applyFont="1" applyFill="1" applyBorder="1" applyAlignment="1">
      <alignment horizontal="left" vertical="center" wrapText="1"/>
    </xf>
    <xf numFmtId="0" fontId="17" fillId="4" borderId="13" xfId="12" applyFont="1" applyFill="1" applyBorder="1" applyAlignment="1">
      <alignment horizontal="left" vertical="center" wrapText="1"/>
    </xf>
    <xf numFmtId="0" fontId="17" fillId="4" borderId="55" xfId="12" applyFont="1" applyFill="1" applyBorder="1" applyAlignment="1">
      <alignment horizontal="left" vertical="center" wrapText="1"/>
    </xf>
    <xf numFmtId="0" fontId="59" fillId="4" borderId="54" xfId="10" applyFill="1" applyBorder="1" applyAlignment="1" applyProtection="1">
      <alignment horizontal="left" vertical="center" wrapText="1"/>
    </xf>
    <xf numFmtId="0" fontId="59" fillId="4" borderId="13" xfId="10" applyFill="1" applyBorder="1" applyAlignment="1" applyProtection="1">
      <alignment horizontal="left" vertical="center" wrapText="1"/>
    </xf>
    <xf numFmtId="0" fontId="59" fillId="4" borderId="55" xfId="10" applyFill="1" applyBorder="1" applyAlignment="1" applyProtection="1">
      <alignment horizontal="left" vertical="center" wrapText="1"/>
    </xf>
    <xf numFmtId="0" fontId="2" fillId="0" borderId="54" xfId="0" applyFont="1" applyBorder="1" applyAlignment="1">
      <alignment horizontal="left" vertical="top" wrapText="1"/>
    </xf>
    <xf numFmtId="0" fontId="9" fillId="0" borderId="13" xfId="0" applyFont="1" applyBorder="1" applyAlignment="1">
      <alignment horizontal="left" vertical="top" wrapText="1"/>
    </xf>
    <xf numFmtId="0" fontId="9" fillId="0" borderId="16" xfId="0" applyFont="1" applyBorder="1" applyAlignment="1">
      <alignment horizontal="left" vertical="top" wrapText="1"/>
    </xf>
    <xf numFmtId="0" fontId="17" fillId="4" borderId="8" xfId="12" applyFont="1" applyFill="1" applyBorder="1" applyAlignment="1">
      <alignment horizontal="left" vertical="top" wrapText="1"/>
    </xf>
    <xf numFmtId="0" fontId="17" fillId="4" borderId="9" xfId="12" applyFont="1" applyFill="1" applyBorder="1" applyAlignment="1">
      <alignment horizontal="left" vertical="top" wrapText="1"/>
    </xf>
    <xf numFmtId="0" fontId="17" fillId="3" borderId="9" xfId="12" applyFont="1" applyFill="1" applyBorder="1" applyAlignment="1" applyProtection="1">
      <alignment horizontal="left" vertical="center"/>
      <protection locked="0"/>
    </xf>
    <xf numFmtId="0" fontId="17" fillId="3" borderId="10" xfId="12" applyFont="1" applyFill="1" applyBorder="1" applyAlignment="1" applyProtection="1">
      <alignment horizontal="left" vertical="center"/>
      <protection locked="0"/>
    </xf>
    <xf numFmtId="0" fontId="60" fillId="4" borderId="47" xfId="13" applyFont="1" applyFill="1" applyBorder="1" applyAlignment="1" applyProtection="1">
      <alignment horizontal="left" vertical="top"/>
    </xf>
    <xf numFmtId="0" fontId="9" fillId="0" borderId="3" xfId="0" applyFont="1" applyBorder="1" applyAlignment="1">
      <alignment horizontal="left" vertical="top" wrapText="1"/>
    </xf>
    <xf numFmtId="0" fontId="32" fillId="4" borderId="17" xfId="12" applyFont="1" applyFill="1" applyBorder="1" applyAlignment="1">
      <alignment horizontal="left" vertical="center"/>
    </xf>
    <xf numFmtId="0" fontId="32" fillId="4" borderId="11" xfId="12" applyFont="1" applyFill="1" applyBorder="1" applyAlignment="1">
      <alignment horizontal="left" vertical="center"/>
    </xf>
    <xf numFmtId="0" fontId="32" fillId="4" borderId="18" xfId="12" applyFont="1" applyFill="1" applyBorder="1" applyAlignment="1">
      <alignment horizontal="left" vertical="center"/>
    </xf>
    <xf numFmtId="0" fontId="32" fillId="0" borderId="0" xfId="0" applyFont="1"/>
    <xf numFmtId="0" fontId="11" fillId="0" borderId="3" xfId="0" applyFont="1" applyBorder="1" applyAlignment="1">
      <alignment horizontal="left" vertical="top" wrapText="1"/>
    </xf>
    <xf numFmtId="0" fontId="32" fillId="0" borderId="23" xfId="0" applyFont="1" applyBorder="1" applyAlignment="1">
      <alignment horizontal="left" vertical="center"/>
    </xf>
    <xf numFmtId="0" fontId="32" fillId="0" borderId="0" xfId="0" applyFont="1" applyAlignment="1">
      <alignment horizontal="left" vertical="center"/>
    </xf>
    <xf numFmtId="0" fontId="32" fillId="0" borderId="22" xfId="0" applyFont="1" applyBorder="1" applyAlignment="1">
      <alignment horizontal="left" vertical="center"/>
    </xf>
    <xf numFmtId="0" fontId="32" fillId="6" borderId="51" xfId="0" applyFont="1" applyFill="1" applyBorder="1" applyAlignment="1">
      <alignment horizontal="center" vertical="center"/>
    </xf>
    <xf numFmtId="0" fontId="32" fillId="6" borderId="47" xfId="0" applyFont="1" applyFill="1" applyBorder="1" applyAlignment="1">
      <alignment horizontal="center" vertical="center"/>
    </xf>
    <xf numFmtId="0" fontId="32" fillId="6" borderId="25" xfId="0" applyFont="1" applyFill="1" applyBorder="1" applyAlignment="1">
      <alignment horizontal="center" vertical="center"/>
    </xf>
    <xf numFmtId="0" fontId="87" fillId="0" borderId="4" xfId="0" applyFont="1" applyBorder="1" applyAlignment="1">
      <alignment horizontal="left" vertical="top" wrapText="1"/>
    </xf>
    <xf numFmtId="0" fontId="87" fillId="0" borderId="5" xfId="0" applyFont="1" applyBorder="1" applyAlignment="1">
      <alignment horizontal="left" vertical="top" wrapText="1"/>
    </xf>
    <xf numFmtId="0" fontId="32" fillId="6" borderId="17" xfId="12" applyFont="1" applyFill="1" applyBorder="1" applyAlignment="1">
      <alignment horizontal="center" vertical="center"/>
    </xf>
    <xf numFmtId="0" fontId="17" fillId="6" borderId="11" xfId="12" applyFont="1" applyFill="1" applyBorder="1" applyAlignment="1">
      <alignment horizontal="center" vertical="center"/>
    </xf>
    <xf numFmtId="0" fontId="17" fillId="6" borderId="18" xfId="12" applyFont="1" applyFill="1" applyBorder="1" applyAlignment="1">
      <alignment horizontal="center" vertical="center"/>
    </xf>
    <xf numFmtId="0" fontId="17" fillId="0" borderId="67" xfId="12" applyFont="1" applyBorder="1" applyAlignment="1">
      <alignment horizontal="left" vertical="top" wrapText="1"/>
    </xf>
    <xf numFmtId="0" fontId="17" fillId="0" borderId="56" xfId="12" applyFont="1" applyBorder="1" applyAlignment="1">
      <alignment horizontal="left" vertical="top" wrapText="1"/>
    </xf>
    <xf numFmtId="0" fontId="17" fillId="0" borderId="68" xfId="12" applyFont="1" applyBorder="1" applyAlignment="1">
      <alignment horizontal="left" vertical="top" wrapText="1"/>
    </xf>
    <xf numFmtId="0" fontId="17" fillId="3" borderId="65" xfId="12" applyFont="1" applyFill="1" applyBorder="1" applyAlignment="1" applyProtection="1">
      <alignment horizontal="left" vertical="center" wrapText="1"/>
      <protection locked="0"/>
    </xf>
    <xf numFmtId="0" fontId="32" fillId="4" borderId="53" xfId="12" applyFont="1" applyFill="1" applyBorder="1" applyAlignment="1">
      <alignment horizontal="left" vertical="top"/>
    </xf>
    <xf numFmtId="0" fontId="59" fillId="0" borderId="23" xfId="13" applyFont="1" applyBorder="1" applyProtection="1"/>
    <xf numFmtId="0" fontId="59" fillId="0" borderId="0" xfId="13" applyFont="1" applyBorder="1" applyProtection="1"/>
    <xf numFmtId="0" fontId="59" fillId="0" borderId="22" xfId="13" applyFont="1" applyBorder="1" applyProtection="1"/>
    <xf numFmtId="0" fontId="17" fillId="3" borderId="49" xfId="12" applyFont="1" applyFill="1" applyBorder="1" applyAlignment="1" applyProtection="1">
      <alignment horizontal="left" vertical="center"/>
      <protection locked="0"/>
    </xf>
    <xf numFmtId="0" fontId="17" fillId="3" borderId="56" xfId="12" applyFont="1" applyFill="1" applyBorder="1" applyAlignment="1" applyProtection="1">
      <alignment horizontal="left" vertical="center"/>
      <protection locked="0"/>
    </xf>
    <xf numFmtId="0" fontId="17" fillId="3" borderId="57" xfId="12" applyFont="1" applyFill="1" applyBorder="1" applyAlignment="1" applyProtection="1">
      <alignment horizontal="left" vertical="center"/>
      <protection locked="0"/>
    </xf>
    <xf numFmtId="0" fontId="17" fillId="4" borderId="7" xfId="12" applyFont="1" applyFill="1" applyBorder="1" applyAlignment="1">
      <alignment horizontal="left" vertical="top" wrapText="1"/>
    </xf>
    <xf numFmtId="0" fontId="59" fillId="4" borderId="3" xfId="10" applyFill="1" applyBorder="1" applyAlignment="1" applyProtection="1">
      <alignment horizontal="left" vertical="top"/>
    </xf>
    <xf numFmtId="0" fontId="59" fillId="4" borderId="2" xfId="13" applyFont="1" applyFill="1" applyBorder="1" applyAlignment="1" applyProtection="1">
      <alignment horizontal="left" vertical="top"/>
    </xf>
    <xf numFmtId="0" fontId="59" fillId="4" borderId="7" xfId="13" applyFont="1" applyFill="1" applyBorder="1" applyAlignment="1" applyProtection="1">
      <alignment horizontal="left" vertical="top"/>
    </xf>
    <xf numFmtId="0" fontId="1" fillId="3" borderId="2" xfId="12" applyFont="1" applyFill="1" applyBorder="1" applyAlignment="1" applyProtection="1">
      <alignment horizontal="left" vertical="center" wrapText="1"/>
      <protection locked="0"/>
    </xf>
    <xf numFmtId="0" fontId="1" fillId="4" borderId="56" xfId="12" applyFont="1" applyFill="1" applyBorder="1" applyAlignment="1">
      <alignment horizontal="left" vertical="top" wrapText="1"/>
    </xf>
    <xf numFmtId="0" fontId="42" fillId="0" borderId="65" xfId="12" applyFont="1" applyBorder="1"/>
    <xf numFmtId="0" fontId="59" fillId="4" borderId="65" xfId="10" applyFill="1" applyBorder="1" applyAlignment="1">
      <alignment horizontal="left" vertical="top" wrapText="1"/>
    </xf>
    <xf numFmtId="0" fontId="59" fillId="4" borderId="66" xfId="10" applyFill="1" applyBorder="1" applyAlignment="1">
      <alignment horizontal="left" vertical="top" wrapText="1"/>
    </xf>
    <xf numFmtId="0" fontId="60" fillId="4" borderId="0" xfId="13" applyFont="1" applyFill="1" applyBorder="1" applyAlignment="1" applyProtection="1">
      <alignment horizontal="left" vertical="center"/>
    </xf>
    <xf numFmtId="0" fontId="60" fillId="4" borderId="0" xfId="12" applyFont="1" applyFill="1" applyAlignment="1">
      <alignment horizontal="center"/>
    </xf>
    <xf numFmtId="0" fontId="32" fillId="4" borderId="4" xfId="12" applyFont="1" applyFill="1" applyBorder="1" applyAlignment="1">
      <alignment horizontal="left"/>
    </xf>
    <xf numFmtId="0" fontId="32" fillId="4" borderId="5" xfId="12" applyFont="1" applyFill="1" applyBorder="1" applyAlignment="1">
      <alignment horizontal="left"/>
    </xf>
    <xf numFmtId="0" fontId="32" fillId="4" borderId="54" xfId="12" applyFont="1" applyFill="1" applyBorder="1"/>
    <xf numFmtId="0" fontId="32" fillId="4" borderId="13" xfId="12" applyFont="1" applyFill="1" applyBorder="1"/>
    <xf numFmtId="168" fontId="32" fillId="0" borderId="12" xfId="14" applyNumberFormat="1" applyFont="1" applyFill="1" applyBorder="1" applyAlignment="1" applyProtection="1">
      <alignment horizontal="right"/>
    </xf>
    <xf numFmtId="168" fontId="32" fillId="0" borderId="13" xfId="14" applyNumberFormat="1" applyFont="1" applyFill="1" applyBorder="1" applyAlignment="1" applyProtection="1">
      <alignment horizontal="right"/>
    </xf>
    <xf numFmtId="168" fontId="32" fillId="0" borderId="55" xfId="14" applyNumberFormat="1" applyFont="1" applyFill="1" applyBorder="1" applyAlignment="1" applyProtection="1">
      <alignment horizontal="right"/>
    </xf>
    <xf numFmtId="0" fontId="32" fillId="4" borderId="63" xfId="12" applyFont="1" applyFill="1" applyBorder="1" applyAlignment="1">
      <alignment vertical="center" wrapText="1"/>
    </xf>
    <xf numFmtId="0" fontId="32" fillId="4" borderId="65" xfId="12" applyFont="1" applyFill="1" applyBorder="1" applyAlignment="1">
      <alignment vertical="center" wrapText="1"/>
    </xf>
    <xf numFmtId="168" fontId="32" fillId="3" borderId="73" xfId="18" applyNumberFormat="1" applyFont="1" applyFill="1" applyBorder="1" applyAlignment="1" applyProtection="1">
      <alignment horizontal="right" vertical="center" wrapText="1"/>
      <protection locked="0"/>
    </xf>
    <xf numFmtId="168" fontId="32" fillId="3" borderId="20" xfId="18" applyNumberFormat="1" applyFont="1" applyFill="1" applyBorder="1" applyAlignment="1" applyProtection="1">
      <alignment horizontal="right" vertical="center" wrapText="1"/>
      <protection locked="0"/>
    </xf>
    <xf numFmtId="168" fontId="32" fillId="3" borderId="21" xfId="18" applyNumberFormat="1" applyFont="1" applyFill="1" applyBorder="1" applyAlignment="1" applyProtection="1">
      <alignment horizontal="right" vertical="center" wrapText="1"/>
      <protection locked="0"/>
    </xf>
    <xf numFmtId="0" fontId="60" fillId="0" borderId="20" xfId="12" applyFont="1" applyBorder="1"/>
    <xf numFmtId="168" fontId="32" fillId="4" borderId="69" xfId="12" applyNumberFormat="1" applyFont="1" applyFill="1" applyBorder="1" applyAlignment="1">
      <alignment horizontal="right"/>
    </xf>
    <xf numFmtId="168" fontId="32" fillId="4" borderId="53" xfId="12" applyNumberFormat="1" applyFont="1" applyFill="1" applyBorder="1" applyAlignment="1">
      <alignment horizontal="right"/>
    </xf>
    <xf numFmtId="0" fontId="17" fillId="4" borderId="8" xfId="12" applyFont="1" applyFill="1" applyBorder="1" applyAlignment="1">
      <alignment horizontal="left"/>
    </xf>
    <xf numFmtId="0" fontId="17" fillId="4" borderId="9" xfId="12" applyFont="1" applyFill="1" applyBorder="1" applyAlignment="1">
      <alignment horizontal="left"/>
    </xf>
    <xf numFmtId="0" fontId="32" fillId="4" borderId="52" xfId="12" applyFont="1" applyFill="1" applyBorder="1" applyAlignment="1">
      <alignment horizontal="left" wrapText="1"/>
    </xf>
    <xf numFmtId="0" fontId="32" fillId="4" borderId="69" xfId="12" applyFont="1" applyFill="1" applyBorder="1" applyAlignment="1">
      <alignment horizontal="left" wrapText="1"/>
    </xf>
    <xf numFmtId="0" fontId="49" fillId="0" borderId="20" xfId="0" applyFont="1" applyBorder="1"/>
    <xf numFmtId="0" fontId="1" fillId="4" borderId="14" xfId="0" applyFont="1" applyFill="1" applyBorder="1" applyAlignment="1">
      <alignment vertical="top"/>
    </xf>
    <xf numFmtId="0" fontId="2" fillId="4" borderId="37" xfId="0" applyFont="1" applyFill="1" applyBorder="1" applyAlignment="1">
      <alignment vertical="top"/>
    </xf>
    <xf numFmtId="0" fontId="32" fillId="4" borderId="17" xfId="12" applyFont="1" applyFill="1" applyBorder="1" applyAlignment="1">
      <alignment vertical="center" wrapText="1"/>
    </xf>
    <xf numFmtId="0" fontId="32" fillId="4" borderId="11" xfId="12" applyFont="1" applyFill="1" applyBorder="1" applyAlignment="1">
      <alignment vertical="center" wrapText="1"/>
    </xf>
    <xf numFmtId="0" fontId="32" fillId="4" borderId="18" xfId="12" applyFont="1" applyFill="1" applyBorder="1" applyAlignment="1">
      <alignment vertical="center" wrapText="1"/>
    </xf>
    <xf numFmtId="0" fontId="32" fillId="4" borderId="6" xfId="12" applyFont="1" applyFill="1" applyBorder="1" applyAlignment="1">
      <alignment horizontal="left"/>
    </xf>
    <xf numFmtId="0" fontId="17" fillId="4" borderId="7" xfId="12" applyFont="1" applyFill="1" applyBorder="1" applyAlignment="1">
      <alignment horizontal="left" vertical="center" wrapText="1"/>
    </xf>
    <xf numFmtId="0" fontId="17" fillId="4" borderId="10" xfId="12" applyFont="1" applyFill="1" applyBorder="1" applyAlignment="1">
      <alignment horizontal="left"/>
    </xf>
    <xf numFmtId="0" fontId="32" fillId="6" borderId="51" xfId="12" applyFont="1" applyFill="1" applyBorder="1" applyAlignment="1">
      <alignment horizontal="center"/>
    </xf>
    <xf numFmtId="0" fontId="32" fillId="6" borderId="47" xfId="12" applyFont="1" applyFill="1" applyBorder="1" applyAlignment="1">
      <alignment horizontal="center"/>
    </xf>
    <xf numFmtId="0" fontId="32" fillId="6" borderId="25" xfId="12" applyFont="1" applyFill="1" applyBorder="1" applyAlignment="1">
      <alignment horizontal="center"/>
    </xf>
    <xf numFmtId="0" fontId="32" fillId="4" borderId="52" xfId="12" applyFont="1" applyFill="1" applyBorder="1" applyAlignment="1">
      <alignment horizontal="left"/>
    </xf>
    <xf numFmtId="0" fontId="32" fillId="4" borderId="69" xfId="12" applyFont="1" applyFill="1" applyBorder="1" applyAlignment="1">
      <alignment horizontal="left"/>
    </xf>
    <xf numFmtId="0" fontId="32" fillId="4" borderId="71" xfId="12" applyFont="1" applyFill="1" applyBorder="1" applyAlignment="1">
      <alignment horizontal="left"/>
    </xf>
    <xf numFmtId="0" fontId="32" fillId="4" borderId="72" xfId="12" applyFont="1" applyFill="1" applyBorder="1" applyAlignment="1">
      <alignment horizontal="left"/>
    </xf>
    <xf numFmtId="0" fontId="32" fillId="4" borderId="53" xfId="12" applyFont="1" applyFill="1" applyBorder="1" applyAlignment="1">
      <alignment horizontal="left"/>
    </xf>
    <xf numFmtId="168" fontId="17" fillId="3" borderId="12" xfId="14" applyNumberFormat="1" applyFont="1" applyFill="1" applyBorder="1" applyAlignment="1" applyProtection="1">
      <alignment horizontal="right" vertical="center"/>
      <protection locked="0"/>
    </xf>
    <xf numFmtId="168" fontId="17" fillId="3" borderId="55" xfId="14" applyNumberFormat="1" applyFont="1" applyFill="1" applyBorder="1" applyAlignment="1" applyProtection="1">
      <alignment horizontal="right" vertical="center"/>
      <protection locked="0"/>
    </xf>
    <xf numFmtId="0" fontId="32" fillId="4" borderId="63" xfId="12" applyFont="1" applyFill="1" applyBorder="1" applyAlignment="1">
      <alignment horizontal="left"/>
    </xf>
    <xf numFmtId="0" fontId="32" fillId="4" borderId="65" xfId="12" applyFont="1" applyFill="1" applyBorder="1" applyAlignment="1">
      <alignment horizontal="left"/>
    </xf>
    <xf numFmtId="0" fontId="32" fillId="4" borderId="64" xfId="12" applyFont="1" applyFill="1" applyBorder="1" applyAlignment="1">
      <alignment horizontal="left"/>
    </xf>
    <xf numFmtId="168" fontId="17" fillId="4" borderId="50" xfId="14" applyNumberFormat="1" applyFont="1" applyFill="1" applyBorder="1" applyAlignment="1" applyProtection="1">
      <alignment horizontal="right" vertical="center"/>
    </xf>
    <xf numFmtId="168" fontId="17" fillId="4" borderId="66" xfId="14" applyNumberFormat="1" applyFont="1" applyFill="1" applyBorder="1" applyAlignment="1" applyProtection="1">
      <alignment horizontal="right" vertical="center"/>
    </xf>
    <xf numFmtId="0" fontId="60" fillId="0" borderId="47" xfId="12" applyFont="1" applyBorder="1"/>
    <xf numFmtId="0" fontId="32" fillId="4" borderId="63" xfId="12" applyFont="1" applyFill="1" applyBorder="1" applyAlignment="1">
      <alignment horizontal="left" vertical="center"/>
    </xf>
    <xf numFmtId="0" fontId="32" fillId="4" borderId="65" xfId="12" applyFont="1" applyFill="1" applyBorder="1" applyAlignment="1">
      <alignment horizontal="left" vertical="center"/>
    </xf>
    <xf numFmtId="0" fontId="32" fillId="4" borderId="64" xfId="12" applyFont="1" applyFill="1" applyBorder="1" applyAlignment="1">
      <alignment horizontal="left" vertical="center"/>
    </xf>
    <xf numFmtId="0" fontId="32" fillId="4" borderId="52" xfId="12" applyFont="1" applyFill="1" applyBorder="1" applyAlignment="1">
      <alignment horizontal="left" vertical="center"/>
    </xf>
    <xf numFmtId="0" fontId="32" fillId="4" borderId="69" xfId="12" applyFont="1" applyFill="1" applyBorder="1" applyAlignment="1">
      <alignment horizontal="left" vertical="center"/>
    </xf>
    <xf numFmtId="0" fontId="32" fillId="4" borderId="71" xfId="12" applyFont="1" applyFill="1" applyBorder="1" applyAlignment="1">
      <alignment horizontal="left" vertical="center"/>
    </xf>
    <xf numFmtId="0" fontId="49" fillId="0" borderId="20" xfId="12" applyFont="1" applyBorder="1" applyAlignment="1">
      <alignment horizontal="center"/>
    </xf>
    <xf numFmtId="0" fontId="2" fillId="4" borderId="51" xfId="12" applyFont="1" applyFill="1" applyBorder="1" applyAlignment="1">
      <alignment vertical="top" wrapText="1"/>
    </xf>
    <xf numFmtId="0" fontId="32" fillId="6" borderId="11" xfId="12" applyFont="1" applyFill="1" applyBorder="1" applyAlignment="1">
      <alignment horizontal="center" vertical="center"/>
    </xf>
    <xf numFmtId="0" fontId="32" fillId="6" borderId="18" xfId="12" applyFont="1" applyFill="1" applyBorder="1" applyAlignment="1">
      <alignment horizontal="center" vertical="center"/>
    </xf>
    <xf numFmtId="0" fontId="1" fillId="4" borderId="17" xfId="12" applyFont="1" applyFill="1" applyBorder="1" applyAlignment="1">
      <alignment horizontal="left" vertical="top" wrapText="1"/>
    </xf>
    <xf numFmtId="0" fontId="2" fillId="4" borderId="5" xfId="12" applyFont="1" applyFill="1" applyBorder="1" applyAlignment="1">
      <alignment horizontal="left" vertical="top" wrapText="1"/>
    </xf>
    <xf numFmtId="0" fontId="2" fillId="4" borderId="2" xfId="12" applyFont="1" applyFill="1" applyBorder="1" applyAlignment="1">
      <alignment horizontal="left" vertical="top" wrapText="1"/>
    </xf>
    <xf numFmtId="0" fontId="87" fillId="3" borderId="9" xfId="12" applyFont="1" applyFill="1" applyBorder="1" applyAlignment="1" applyProtection="1">
      <alignment vertical="center" wrapText="1"/>
      <protection locked="0"/>
    </xf>
    <xf numFmtId="0" fontId="87" fillId="3" borderId="10" xfId="12" applyFont="1" applyFill="1" applyBorder="1" applyAlignment="1" applyProtection="1">
      <alignment vertical="center" wrapText="1"/>
      <protection locked="0"/>
    </xf>
    <xf numFmtId="0" fontId="87" fillId="4" borderId="8" xfId="12" applyFont="1" applyFill="1" applyBorder="1" applyAlignment="1">
      <alignment horizontal="left" vertical="center" wrapText="1"/>
    </xf>
    <xf numFmtId="0" fontId="87" fillId="4" borderId="9" xfId="12" applyFont="1" applyFill="1" applyBorder="1" applyAlignment="1">
      <alignment horizontal="left" vertical="center" wrapText="1"/>
    </xf>
    <xf numFmtId="44" fontId="2" fillId="3" borderId="37" xfId="14" applyFont="1" applyFill="1" applyBorder="1" applyAlignment="1" applyProtection="1">
      <alignment vertical="center"/>
      <protection locked="0"/>
    </xf>
    <xf numFmtId="44" fontId="2" fillId="3" borderId="15" xfId="14" applyFont="1" applyFill="1" applyBorder="1" applyAlignment="1" applyProtection="1">
      <alignment vertical="center"/>
      <protection locked="0"/>
    </xf>
    <xf numFmtId="0" fontId="2" fillId="0" borderId="0" xfId="0" applyFont="1" applyAlignment="1">
      <alignment wrapText="1"/>
    </xf>
    <xf numFmtId="0" fontId="2" fillId="4" borderId="8" xfId="0" applyFont="1" applyFill="1" applyBorder="1" applyAlignment="1">
      <alignment horizontal="left" vertical="top" wrapText="1"/>
    </xf>
    <xf numFmtId="0" fontId="2" fillId="4" borderId="9" xfId="0" applyFont="1" applyFill="1" applyBorder="1" applyAlignment="1">
      <alignment horizontal="left" vertical="top"/>
    </xf>
    <xf numFmtId="0" fontId="32" fillId="6" borderId="14" xfId="0" applyFont="1" applyFill="1" applyBorder="1" applyAlignment="1">
      <alignment horizontal="center" vertical="center"/>
    </xf>
    <xf numFmtId="0" fontId="32" fillId="6" borderId="37" xfId="0" applyFont="1" applyFill="1" applyBorder="1" applyAlignment="1">
      <alignment horizontal="center" vertical="center"/>
    </xf>
    <xf numFmtId="0" fontId="32" fillId="6" borderId="15" xfId="0" applyFont="1" applyFill="1" applyBorder="1" applyAlignment="1">
      <alignment horizontal="center" vertical="center"/>
    </xf>
    <xf numFmtId="0" fontId="2" fillId="4" borderId="4" xfId="0" applyFont="1" applyFill="1" applyBorder="1" applyAlignment="1">
      <alignment horizontal="left" vertical="center"/>
    </xf>
    <xf numFmtId="0" fontId="2" fillId="4" borderId="5" xfId="0" applyFont="1" applyFill="1" applyBorder="1" applyAlignment="1">
      <alignment horizontal="left" vertical="center"/>
    </xf>
    <xf numFmtId="0" fontId="23" fillId="3" borderId="58" xfId="0" applyFont="1" applyFill="1" applyBorder="1" applyProtection="1">
      <protection locked="0"/>
    </xf>
    <xf numFmtId="0" fontId="23" fillId="3" borderId="59" xfId="0" applyFont="1" applyFill="1" applyBorder="1" applyProtection="1">
      <protection locked="0"/>
    </xf>
    <xf numFmtId="0" fontId="23" fillId="3" borderId="60" xfId="0" applyFont="1" applyFill="1" applyBorder="1" applyProtection="1">
      <protection locked="0"/>
    </xf>
    <xf numFmtId="0" fontId="32" fillId="6" borderId="51" xfId="17" applyFont="1" applyFill="1" applyBorder="1" applyAlignment="1">
      <alignment horizontal="left" wrapText="1"/>
    </xf>
    <xf numFmtId="0" fontId="32" fillId="6" borderId="47" xfId="17" applyFont="1" applyFill="1" applyBorder="1" applyAlignment="1">
      <alignment horizontal="left"/>
    </xf>
    <xf numFmtId="0" fontId="32" fillId="6" borderId="25" xfId="17" applyFont="1" applyFill="1" applyBorder="1" applyAlignment="1">
      <alignment horizontal="left"/>
    </xf>
    <xf numFmtId="0" fontId="32" fillId="6" borderId="51" xfId="17" applyFont="1" applyFill="1" applyBorder="1"/>
    <xf numFmtId="0" fontId="32" fillId="6" borderId="47" xfId="17" applyFont="1" applyFill="1" applyBorder="1"/>
    <xf numFmtId="0" fontId="80" fillId="6" borderId="47" xfId="17" applyFont="1" applyFill="1" applyBorder="1"/>
    <xf numFmtId="0" fontId="32" fillId="6" borderId="47" xfId="17" applyFont="1" applyFill="1" applyBorder="1" applyAlignment="1">
      <alignment horizontal="left" wrapText="1"/>
    </xf>
    <xf numFmtId="0" fontId="32" fillId="6" borderId="25" xfId="17" applyFont="1" applyFill="1" applyBorder="1" applyAlignment="1">
      <alignment horizontal="left" wrapText="1"/>
    </xf>
    <xf numFmtId="0" fontId="23" fillId="3" borderId="54" xfId="0" applyFont="1" applyFill="1" applyBorder="1" applyProtection="1">
      <protection locked="0"/>
    </xf>
    <xf numFmtId="0" fontId="23" fillId="3" borderId="16" xfId="0" applyFont="1" applyFill="1" applyBorder="1" applyProtection="1">
      <protection locked="0"/>
    </xf>
    <xf numFmtId="0" fontId="23" fillId="3" borderId="12" xfId="0" applyFont="1" applyFill="1" applyBorder="1" applyProtection="1">
      <protection locked="0"/>
    </xf>
    <xf numFmtId="0" fontId="32" fillId="6" borderId="51" xfId="17" applyFont="1" applyFill="1" applyBorder="1" applyAlignment="1">
      <alignment wrapText="1"/>
    </xf>
    <xf numFmtId="0" fontId="32" fillId="6" borderId="47" xfId="17" applyFont="1" applyFill="1" applyBorder="1" applyAlignment="1">
      <alignment wrapText="1"/>
    </xf>
    <xf numFmtId="0" fontId="32" fillId="6" borderId="25" xfId="17" applyFont="1" applyFill="1" applyBorder="1" applyAlignment="1">
      <alignment wrapText="1"/>
    </xf>
    <xf numFmtId="0" fontId="22" fillId="0" borderId="23" xfId="17" applyFont="1" applyBorder="1" applyAlignment="1">
      <alignment vertical="top" wrapText="1"/>
    </xf>
    <xf numFmtId="0" fontId="22" fillId="0" borderId="0" xfId="17" applyFont="1" applyAlignment="1">
      <alignment vertical="top" wrapText="1"/>
    </xf>
    <xf numFmtId="0" fontId="78" fillId="0" borderId="0" xfId="17" applyFont="1" applyAlignment="1">
      <alignment horizontal="center"/>
    </xf>
    <xf numFmtId="0" fontId="18" fillId="0" borderId="0" xfId="0" applyFont="1" applyAlignment="1">
      <alignment horizontal="left" vertical="center" wrapText="1"/>
    </xf>
    <xf numFmtId="0" fontId="32" fillId="6" borderId="52" xfId="17" applyFont="1" applyFill="1" applyBorder="1" applyAlignment="1">
      <alignment horizontal="left" wrapText="1"/>
    </xf>
    <xf numFmtId="0" fontId="32" fillId="6" borderId="69" xfId="17" applyFont="1" applyFill="1" applyBorder="1" applyAlignment="1">
      <alignment horizontal="left"/>
    </xf>
    <xf numFmtId="0" fontId="32" fillId="6" borderId="53" xfId="17" applyFont="1" applyFill="1" applyBorder="1" applyAlignment="1">
      <alignment horizontal="left"/>
    </xf>
    <xf numFmtId="0" fontId="32" fillId="6" borderId="52" xfId="17" applyFont="1" applyFill="1" applyBorder="1" applyAlignment="1">
      <alignment wrapText="1"/>
    </xf>
    <xf numFmtId="0" fontId="32" fillId="6" borderId="71" xfId="17" applyFont="1" applyFill="1" applyBorder="1" applyAlignment="1">
      <alignment wrapText="1"/>
    </xf>
    <xf numFmtId="0" fontId="32" fillId="6" borderId="72" xfId="17" applyFont="1" applyFill="1" applyBorder="1" applyAlignment="1">
      <alignment wrapText="1"/>
    </xf>
    <xf numFmtId="0" fontId="49" fillId="0" borderId="47" xfId="17" applyFont="1" applyBorder="1"/>
    <xf numFmtId="0" fontId="49" fillId="0" borderId="20" xfId="17" applyFont="1" applyBorder="1"/>
    <xf numFmtId="0" fontId="49" fillId="0" borderId="11" xfId="17" applyFont="1" applyBorder="1"/>
    <xf numFmtId="0" fontId="49" fillId="0" borderId="0" xfId="12" applyFont="1" applyAlignment="1">
      <alignment horizontal="center"/>
    </xf>
    <xf numFmtId="0" fontId="22" fillId="0" borderId="17" xfId="17" applyFont="1" applyBorder="1" applyAlignment="1">
      <alignment vertical="top" wrapText="1"/>
    </xf>
    <xf numFmtId="0" fontId="22" fillId="0" borderId="11" xfId="17" applyFont="1" applyBorder="1" applyAlignment="1">
      <alignment vertical="top" wrapText="1"/>
    </xf>
    <xf numFmtId="0" fontId="59" fillId="0" borderId="23" xfId="10" applyFill="1" applyBorder="1" applyAlignment="1">
      <alignment vertical="top" wrapText="1"/>
    </xf>
    <xf numFmtId="0" fontId="59" fillId="0" borderId="0" xfId="10" applyFill="1" applyBorder="1" applyAlignment="1">
      <alignment vertical="top" wrapText="1"/>
    </xf>
    <xf numFmtId="0" fontId="26" fillId="11" borderId="47" xfId="17" applyFill="1" applyBorder="1" applyAlignment="1">
      <alignment horizontal="center"/>
    </xf>
    <xf numFmtId="0" fontId="26" fillId="11" borderId="25" xfId="17" applyFill="1" applyBorder="1" applyAlignment="1">
      <alignment horizontal="center"/>
    </xf>
    <xf numFmtId="0" fontId="77" fillId="0" borderId="20" xfId="17" applyFont="1" applyBorder="1" applyAlignment="1">
      <alignment horizontal="center"/>
    </xf>
    <xf numFmtId="0" fontId="26" fillId="0" borderId="51" xfId="17" applyBorder="1" applyAlignment="1">
      <alignment horizontal="center"/>
    </xf>
    <xf numFmtId="0" fontId="26" fillId="0" borderId="47" xfId="17" applyBorder="1" applyAlignment="1">
      <alignment horizontal="center"/>
    </xf>
    <xf numFmtId="0" fontId="26" fillId="0" borderId="25" xfId="17" applyBorder="1" applyAlignment="1">
      <alignment horizontal="center"/>
    </xf>
    <xf numFmtId="0" fontId="26" fillId="0" borderId="0" xfId="17" applyAlignment="1">
      <alignment horizontal="center"/>
    </xf>
    <xf numFmtId="0" fontId="26" fillId="0" borderId="0" xfId="17" applyAlignment="1">
      <alignment horizontal="center" wrapText="1"/>
    </xf>
    <xf numFmtId="0" fontId="42" fillId="0" borderId="0" xfId="17" applyFont="1" applyAlignment="1">
      <alignment horizontal="center"/>
    </xf>
    <xf numFmtId="0" fontId="26" fillId="0" borderId="2" xfId="17" applyBorder="1" applyAlignment="1">
      <alignment horizontal="center"/>
    </xf>
    <xf numFmtId="0" fontId="36" fillId="0" borderId="0" xfId="17" applyFont="1" applyAlignment="1">
      <alignment horizontal="center"/>
    </xf>
    <xf numFmtId="0" fontId="36" fillId="0" borderId="0" xfId="17" applyFont="1" applyAlignment="1">
      <alignment horizontal="center" wrapText="1"/>
    </xf>
    <xf numFmtId="2" fontId="17" fillId="3" borderId="12" xfId="0" applyNumberFormat="1" applyFont="1" applyFill="1" applyBorder="1" applyAlignment="1" applyProtection="1">
      <alignment horizontal="left"/>
      <protection locked="0"/>
    </xf>
    <xf numFmtId="2" fontId="17" fillId="3" borderId="55" xfId="0" applyNumberFormat="1" applyFont="1" applyFill="1" applyBorder="1" applyAlignment="1" applyProtection="1">
      <alignment horizontal="left"/>
      <protection locked="0"/>
    </xf>
    <xf numFmtId="2" fontId="17" fillId="3" borderId="50" xfId="0" applyNumberFormat="1" applyFont="1" applyFill="1" applyBorder="1" applyAlignment="1" applyProtection="1">
      <alignment horizontal="left"/>
      <protection locked="0"/>
    </xf>
    <xf numFmtId="2" fontId="17" fillId="3" borderId="66" xfId="0" applyNumberFormat="1" applyFont="1" applyFill="1" applyBorder="1" applyAlignment="1" applyProtection="1">
      <alignment horizontal="left"/>
      <protection locked="0"/>
    </xf>
    <xf numFmtId="0" fontId="32" fillId="4" borderId="72" xfId="0" applyFont="1" applyFill="1" applyBorder="1" applyAlignment="1">
      <alignment horizontal="center" vertical="center" wrapText="1"/>
    </xf>
    <xf numFmtId="0" fontId="32" fillId="4" borderId="53" xfId="0" applyFont="1" applyFill="1" applyBorder="1" applyAlignment="1">
      <alignment horizontal="center" vertical="center" wrapText="1"/>
    </xf>
    <xf numFmtId="0" fontId="17" fillId="0" borderId="3" xfId="0" applyFont="1" applyBorder="1" applyAlignment="1">
      <alignment vertical="top"/>
    </xf>
    <xf numFmtId="0" fontId="17" fillId="0" borderId="2" xfId="0" applyFont="1" applyBorder="1" applyAlignment="1">
      <alignment vertical="top"/>
    </xf>
    <xf numFmtId="0" fontId="15" fillId="0" borderId="3" xfId="0" applyFont="1" applyBorder="1" applyAlignment="1">
      <alignment horizontal="left" vertical="top"/>
    </xf>
    <xf numFmtId="0" fontId="17" fillId="0" borderId="2" xfId="0" applyFont="1" applyBorder="1" applyAlignment="1">
      <alignment horizontal="left" vertical="top"/>
    </xf>
    <xf numFmtId="0" fontId="17" fillId="0" borderId="8" xfId="0" applyFont="1" applyBorder="1" applyAlignment="1">
      <alignment vertical="top"/>
    </xf>
    <xf numFmtId="0" fontId="17" fillId="0" borderId="9" xfId="0" applyFont="1" applyBorder="1" applyAlignment="1">
      <alignment vertical="top"/>
    </xf>
    <xf numFmtId="0" fontId="17" fillId="0" borderId="3" xfId="0" applyFont="1" applyBorder="1" applyAlignment="1">
      <alignment horizontal="left" vertical="top"/>
    </xf>
    <xf numFmtId="0" fontId="10" fillId="0" borderId="3" xfId="0" applyFont="1" applyBorder="1"/>
    <xf numFmtId="0" fontId="17" fillId="0" borderId="2" xfId="0" applyFont="1" applyBorder="1"/>
    <xf numFmtId="0" fontId="32" fillId="6" borderId="17" xfId="0" applyFont="1" applyFill="1" applyBorder="1" applyAlignment="1">
      <alignment horizontal="center" vertical="center"/>
    </xf>
    <xf numFmtId="0" fontId="32" fillId="6" borderId="11" xfId="0" applyFont="1" applyFill="1" applyBorder="1" applyAlignment="1">
      <alignment horizontal="center" vertical="center"/>
    </xf>
    <xf numFmtId="0" fontId="32" fillId="6" borderId="18" xfId="0" applyFont="1" applyFill="1" applyBorder="1" applyAlignment="1">
      <alignment horizontal="center" vertical="center"/>
    </xf>
    <xf numFmtId="0" fontId="60" fillId="0" borderId="47" xfId="0" applyFont="1" applyBorder="1" applyAlignment="1">
      <alignment horizontal="left" vertical="center"/>
    </xf>
    <xf numFmtId="0" fontId="60" fillId="0" borderId="20" xfId="0" applyFont="1" applyBorder="1" applyAlignment="1">
      <alignment horizontal="left" vertical="center"/>
    </xf>
    <xf numFmtId="0" fontId="17" fillId="4" borderId="3" xfId="0" applyFont="1" applyFill="1" applyBorder="1" applyAlignment="1">
      <alignment horizontal="left"/>
    </xf>
    <xf numFmtId="0" fontId="17" fillId="4" borderId="2" xfId="0" applyFont="1" applyFill="1" applyBorder="1" applyAlignment="1">
      <alignment horizontal="left"/>
    </xf>
    <xf numFmtId="0" fontId="17" fillId="4" borderId="8" xfId="0" applyFont="1" applyFill="1" applyBorder="1" applyAlignment="1">
      <alignment horizontal="left"/>
    </xf>
    <xf numFmtId="0" fontId="17" fillId="4" borderId="9" xfId="0" applyFont="1" applyFill="1" applyBorder="1" applyAlignment="1">
      <alignment horizontal="left"/>
    </xf>
    <xf numFmtId="0" fontId="32" fillId="0" borderId="4" xfId="0" applyFont="1" applyBorder="1" applyAlignment="1">
      <alignment horizontal="left"/>
    </xf>
    <xf numFmtId="0" fontId="32" fillId="0" borderId="5" xfId="0" applyFont="1" applyBorder="1" applyAlignment="1">
      <alignment horizontal="left"/>
    </xf>
    <xf numFmtId="0" fontId="2" fillId="4" borderId="3" xfId="0" applyFont="1" applyFill="1" applyBorder="1" applyAlignment="1">
      <alignment horizontal="left"/>
    </xf>
    <xf numFmtId="0" fontId="17" fillId="3" borderId="2" xfId="0" applyFont="1" applyFill="1" applyBorder="1" applyAlignment="1" applyProtection="1">
      <alignment horizontal="left" vertical="center"/>
      <protection locked="0"/>
    </xf>
    <xf numFmtId="0" fontId="17" fillId="3" borderId="7" xfId="0" applyFont="1" applyFill="1" applyBorder="1" applyAlignment="1" applyProtection="1">
      <alignment horizontal="left" vertical="center"/>
      <protection locked="0"/>
    </xf>
    <xf numFmtId="0" fontId="17" fillId="3" borderId="9" xfId="0" applyFont="1" applyFill="1" applyBorder="1" applyAlignment="1" applyProtection="1">
      <alignment horizontal="left" vertical="center"/>
      <protection locked="0"/>
    </xf>
    <xf numFmtId="0" fontId="17" fillId="3" borderId="10" xfId="0" applyFont="1" applyFill="1" applyBorder="1" applyAlignment="1" applyProtection="1">
      <alignment horizontal="left" vertical="center"/>
      <protection locked="0"/>
    </xf>
    <xf numFmtId="0" fontId="2" fillId="0" borderId="3" xfId="0" applyFont="1" applyBorder="1" applyAlignment="1">
      <alignment horizontal="left" vertical="top"/>
    </xf>
    <xf numFmtId="0" fontId="49" fillId="0" borderId="20" xfId="0" applyFont="1" applyBorder="1" applyAlignment="1">
      <alignment horizontal="left" vertical="center"/>
    </xf>
    <xf numFmtId="0" fontId="1" fillId="0" borderId="51" xfId="0" applyFont="1" applyBorder="1" applyAlignment="1">
      <alignment horizontal="left" vertical="top" wrapText="1"/>
    </xf>
    <xf numFmtId="0" fontId="17" fillId="0" borderId="47" xfId="0" applyFont="1" applyBorder="1" applyAlignment="1">
      <alignment horizontal="left" vertical="top"/>
    </xf>
    <xf numFmtId="0" fontId="17" fillId="0" borderId="25" xfId="0" applyFont="1" applyBorder="1" applyAlignment="1">
      <alignment horizontal="left" vertical="top"/>
    </xf>
    <xf numFmtId="0" fontId="17" fillId="0" borderId="29" xfId="0" applyFont="1" applyBorder="1" applyAlignment="1">
      <alignment vertical="center"/>
    </xf>
    <xf numFmtId="0" fontId="17" fillId="0" borderId="30" xfId="0" applyFont="1" applyBorder="1" applyAlignment="1">
      <alignment vertical="center"/>
    </xf>
    <xf numFmtId="0" fontId="17" fillId="0" borderId="3" xfId="0" applyFont="1" applyBorder="1" applyAlignment="1">
      <alignment vertical="center"/>
    </xf>
    <xf numFmtId="0" fontId="17" fillId="0" borderId="2" xfId="0" applyFont="1" applyBorder="1" applyAlignment="1">
      <alignment vertical="center"/>
    </xf>
    <xf numFmtId="0" fontId="30" fillId="6" borderId="51" xfId="0" applyFont="1" applyFill="1" applyBorder="1" applyAlignment="1">
      <alignment horizontal="center" vertical="center"/>
    </xf>
    <xf numFmtId="0" fontId="30" fillId="6" borderId="47" xfId="0" applyFont="1" applyFill="1" applyBorder="1" applyAlignment="1">
      <alignment horizontal="center" vertical="center"/>
    </xf>
    <xf numFmtId="0" fontId="30" fillId="6" borderId="25" xfId="0" applyFont="1" applyFill="1" applyBorder="1" applyAlignment="1">
      <alignment horizontal="center" vertical="center"/>
    </xf>
    <xf numFmtId="0" fontId="1" fillId="3" borderId="30" xfId="0" applyFont="1" applyFill="1" applyBorder="1" applyAlignment="1" applyProtection="1">
      <alignment horizontal="left" vertical="center"/>
      <protection locked="0"/>
    </xf>
    <xf numFmtId="0" fontId="17" fillId="3" borderId="48" xfId="0" applyFont="1" applyFill="1" applyBorder="1" applyAlignment="1" applyProtection="1">
      <alignment horizontal="left" vertical="center"/>
      <protection locked="0"/>
    </xf>
    <xf numFmtId="0" fontId="1" fillId="3" borderId="2" xfId="0" applyFont="1" applyFill="1" applyBorder="1" applyAlignment="1" applyProtection="1">
      <alignment horizontal="left" vertical="center"/>
      <protection locked="0"/>
    </xf>
    <xf numFmtId="0" fontId="1" fillId="3" borderId="2" xfId="0" applyFont="1" applyFill="1" applyBorder="1" applyAlignment="1" applyProtection="1">
      <alignment horizontal="left" vertical="center" wrapText="1"/>
      <protection locked="0"/>
    </xf>
    <xf numFmtId="0" fontId="17" fillId="3" borderId="7" xfId="0" applyFont="1" applyFill="1" applyBorder="1" applyAlignment="1" applyProtection="1">
      <alignment horizontal="left" vertical="center" wrapText="1"/>
      <protection locked="0"/>
    </xf>
    <xf numFmtId="0" fontId="65" fillId="3" borderId="72" xfId="0" applyFont="1" applyFill="1" applyBorder="1" applyAlignment="1" applyProtection="1">
      <alignment horizontal="left" vertical="center"/>
      <protection locked="0"/>
    </xf>
    <xf numFmtId="0" fontId="65" fillId="3" borderId="53" xfId="0" applyFont="1" applyFill="1" applyBorder="1" applyAlignment="1" applyProtection="1">
      <alignment horizontal="left" vertical="center"/>
      <protection locked="0"/>
    </xf>
    <xf numFmtId="0" fontId="65" fillId="0" borderId="52" xfId="0" applyFont="1" applyBorder="1" applyAlignment="1">
      <alignment horizontal="left" vertical="center"/>
    </xf>
    <xf numFmtId="0" fontId="65" fillId="0" borderId="69" xfId="0" applyFont="1" applyBorder="1" applyAlignment="1">
      <alignment horizontal="left" vertical="center"/>
    </xf>
    <xf numFmtId="0" fontId="2" fillId="0" borderId="51" xfId="0" applyFont="1" applyBorder="1" applyAlignment="1">
      <alignment horizontal="left" vertical="top" wrapText="1"/>
    </xf>
    <xf numFmtId="0" fontId="2" fillId="3" borderId="30" xfId="0" applyFont="1" applyFill="1" applyBorder="1" applyAlignment="1" applyProtection="1">
      <alignment horizontal="left" vertical="center"/>
      <protection locked="0"/>
    </xf>
    <xf numFmtId="0" fontId="17" fillId="0" borderId="54" xfId="0" applyFont="1" applyBorder="1" applyAlignment="1">
      <alignment horizontal="left" vertical="top"/>
    </xf>
    <xf numFmtId="0" fontId="17" fillId="0" borderId="16" xfId="0" applyFont="1" applyBorder="1" applyAlignment="1">
      <alignment horizontal="left" vertical="top"/>
    </xf>
    <xf numFmtId="0" fontId="2" fillId="0" borderId="54" xfId="0" applyFont="1" applyBorder="1" applyAlignment="1">
      <alignment horizontal="left" vertical="top"/>
    </xf>
    <xf numFmtId="0" fontId="10" fillId="4" borderId="54" xfId="0" applyFont="1" applyFill="1" applyBorder="1" applyAlignment="1">
      <alignment horizontal="left"/>
    </xf>
    <xf numFmtId="0" fontId="17" fillId="4" borderId="16" xfId="0" applyFont="1" applyFill="1" applyBorder="1" applyAlignment="1">
      <alignment horizontal="left"/>
    </xf>
    <xf numFmtId="0" fontId="17" fillId="0" borderId="54" xfId="0" applyFont="1" applyBorder="1" applyAlignment="1">
      <alignment horizontal="left" vertical="top" wrapText="1"/>
    </xf>
    <xf numFmtId="0" fontId="2" fillId="3" borderId="2" xfId="0" applyFont="1" applyFill="1" applyBorder="1" applyAlignment="1" applyProtection="1">
      <alignment horizontal="left" vertical="center"/>
      <protection locked="0"/>
    </xf>
    <xf numFmtId="0" fontId="60" fillId="4" borderId="11" xfId="12" applyFont="1" applyFill="1" applyBorder="1" applyAlignment="1">
      <alignment horizontal="center" vertical="center"/>
    </xf>
    <xf numFmtId="0" fontId="17" fillId="4" borderId="54" xfId="0" applyFont="1" applyFill="1" applyBorder="1" applyAlignment="1">
      <alignment horizontal="left"/>
    </xf>
    <xf numFmtId="0" fontId="17" fillId="4" borderId="63" xfId="0" applyFont="1" applyFill="1" applyBorder="1" applyAlignment="1">
      <alignment horizontal="left"/>
    </xf>
    <xf numFmtId="0" fontId="17" fillId="4" borderId="64" xfId="0" applyFont="1" applyFill="1" applyBorder="1" applyAlignment="1">
      <alignment horizontal="left"/>
    </xf>
    <xf numFmtId="0" fontId="32" fillId="0" borderId="52" xfId="0" applyFont="1" applyBorder="1" applyAlignment="1">
      <alignment horizontal="left"/>
    </xf>
    <xf numFmtId="0" fontId="32" fillId="0" borderId="71" xfId="0" applyFont="1" applyBorder="1" applyAlignment="1">
      <alignment horizontal="left"/>
    </xf>
    <xf numFmtId="0" fontId="2" fillId="4" borderId="54" xfId="0" applyFont="1" applyFill="1" applyBorder="1" applyAlignment="1">
      <alignment horizontal="left"/>
    </xf>
    <xf numFmtId="0" fontId="60" fillId="0" borderId="11" xfId="0" applyFont="1" applyBorder="1" applyAlignment="1">
      <alignment horizontal="center" vertical="center"/>
    </xf>
    <xf numFmtId="0" fontId="4" fillId="0" borderId="54" xfId="0" applyFont="1" applyBorder="1" applyAlignment="1">
      <alignment horizontal="left" vertical="top"/>
    </xf>
    <xf numFmtId="0" fontId="17" fillId="3" borderId="61" xfId="0" applyFont="1" applyFill="1" applyBorder="1" applyAlignment="1" applyProtection="1">
      <alignment horizontal="left" vertical="center"/>
      <protection locked="0"/>
    </xf>
    <xf numFmtId="0" fontId="17" fillId="3" borderId="62" xfId="0" applyFont="1" applyFill="1" applyBorder="1" applyAlignment="1" applyProtection="1">
      <alignment horizontal="left" vertical="center"/>
      <protection locked="0"/>
    </xf>
    <xf numFmtId="0" fontId="17" fillId="0" borderId="54" xfId="0" applyFont="1" applyBorder="1" applyAlignment="1">
      <alignment vertical="top"/>
    </xf>
    <xf numFmtId="0" fontId="17" fillId="0" borderId="16" xfId="0" applyFont="1" applyBorder="1" applyAlignment="1">
      <alignment vertical="top"/>
    </xf>
    <xf numFmtId="0" fontId="17" fillId="0" borderId="63" xfId="0" applyFont="1" applyBorder="1" applyAlignment="1">
      <alignment vertical="top"/>
    </xf>
    <xf numFmtId="0" fontId="17" fillId="0" borderId="64" xfId="0" applyFont="1" applyBorder="1" applyAlignment="1">
      <alignment vertical="top"/>
    </xf>
    <xf numFmtId="0" fontId="17" fillId="0" borderId="67" xfId="0" applyFont="1" applyBorder="1" applyAlignment="1">
      <alignment vertical="center"/>
    </xf>
    <xf numFmtId="0" fontId="17" fillId="0" borderId="68" xfId="0" applyFont="1" applyBorder="1" applyAlignment="1">
      <alignment vertical="center"/>
    </xf>
    <xf numFmtId="0" fontId="2" fillId="3" borderId="49" xfId="0" applyFont="1" applyFill="1" applyBorder="1" applyAlignment="1" applyProtection="1">
      <alignment horizontal="left" vertical="center"/>
      <protection locked="0"/>
    </xf>
    <xf numFmtId="0" fontId="17" fillId="3" borderId="57" xfId="0" applyFont="1" applyFill="1" applyBorder="1" applyAlignment="1" applyProtection="1">
      <alignment horizontal="left" vertical="center"/>
      <protection locked="0"/>
    </xf>
    <xf numFmtId="0" fontId="17" fillId="0" borderId="54" xfId="0" applyFont="1" applyBorder="1" applyAlignment="1">
      <alignment vertical="center"/>
    </xf>
    <xf numFmtId="0" fontId="17" fillId="0" borderId="16" xfId="0" applyFont="1" applyBorder="1" applyAlignment="1">
      <alignment vertical="center"/>
    </xf>
    <xf numFmtId="0" fontId="2" fillId="3" borderId="12" xfId="0" applyFont="1" applyFill="1" applyBorder="1" applyAlignment="1" applyProtection="1">
      <alignment horizontal="left" vertical="center"/>
      <protection locked="0"/>
    </xf>
    <xf numFmtId="0" fontId="17" fillId="3" borderId="55" xfId="0" applyFont="1" applyFill="1" applyBorder="1" applyAlignment="1" applyProtection="1">
      <alignment horizontal="left" vertical="center"/>
      <protection locked="0"/>
    </xf>
    <xf numFmtId="0" fontId="2" fillId="3" borderId="60" xfId="0" applyFont="1" applyFill="1" applyBorder="1" applyAlignment="1" applyProtection="1">
      <alignment horizontal="left" vertical="center"/>
      <protection locked="0"/>
    </xf>
    <xf numFmtId="0" fontId="32" fillId="4" borderId="4" xfId="0" applyFont="1" applyFill="1" applyBorder="1" applyAlignment="1">
      <alignment horizontal="left"/>
    </xf>
    <xf numFmtId="0" fontId="32" fillId="4" borderId="5" xfId="0" applyFont="1" applyFill="1" applyBorder="1" applyAlignment="1">
      <alignment horizontal="left"/>
    </xf>
    <xf numFmtId="0" fontId="17" fillId="0" borderId="8" xfId="0" applyFont="1" applyBorder="1" applyAlignment="1">
      <alignment horizontal="left"/>
    </xf>
    <xf numFmtId="0" fontId="17" fillId="0" borderId="9" xfId="0" applyFont="1" applyBorder="1" applyAlignment="1">
      <alignment horizontal="left"/>
    </xf>
    <xf numFmtId="0" fontId="17" fillId="0" borderId="2" xfId="0" applyFont="1" applyBorder="1" applyAlignment="1">
      <alignment horizontal="left"/>
    </xf>
    <xf numFmtId="0" fontId="17" fillId="0" borderId="7" xfId="0" applyFont="1" applyBorder="1" applyAlignment="1">
      <alignment horizontal="left"/>
    </xf>
    <xf numFmtId="0" fontId="17" fillId="0" borderId="3" xfId="0" applyFont="1" applyBorder="1" applyAlignment="1">
      <alignment horizontal="left"/>
    </xf>
    <xf numFmtId="2" fontId="17" fillId="0" borderId="2" xfId="11" applyNumberFormat="1" applyFont="1" applyBorder="1" applyAlignment="1" applyProtection="1">
      <alignment horizontal="left"/>
    </xf>
    <xf numFmtId="2" fontId="17" fillId="0" borderId="7" xfId="11" applyNumberFormat="1" applyFont="1" applyBorder="1" applyAlignment="1" applyProtection="1">
      <alignment horizontal="left"/>
    </xf>
    <xf numFmtId="0" fontId="32" fillId="0" borderId="6" xfId="0" applyFont="1" applyBorder="1" applyAlignment="1">
      <alignment horizontal="left"/>
    </xf>
    <xf numFmtId="0" fontId="17" fillId="4" borderId="10" xfId="0" applyFont="1" applyFill="1" applyBorder="1" applyAlignment="1">
      <alignment horizontal="left"/>
    </xf>
    <xf numFmtId="49" fontId="60" fillId="0" borderId="0" xfId="0" applyNumberFormat="1" applyFont="1" applyAlignment="1">
      <alignment horizontal="center"/>
    </xf>
    <xf numFmtId="0" fontId="2" fillId="0" borderId="3" xfId="0" applyFont="1" applyBorder="1" applyAlignment="1">
      <alignment vertical="top"/>
    </xf>
    <xf numFmtId="0" fontId="2" fillId="0" borderId="8" xfId="0" applyFont="1" applyBorder="1" applyAlignment="1">
      <alignment vertical="top"/>
    </xf>
    <xf numFmtId="0" fontId="60" fillId="0" borderId="20" xfId="0" applyFont="1" applyBorder="1" applyAlignment="1">
      <alignment vertical="center"/>
    </xf>
    <xf numFmtId="0" fontId="2" fillId="0" borderId="9" xfId="0" applyFont="1" applyBorder="1" applyAlignment="1">
      <alignment horizontal="left"/>
    </xf>
    <xf numFmtId="0" fontId="2" fillId="0" borderId="10" xfId="0" applyFont="1" applyBorder="1" applyAlignment="1">
      <alignment horizontal="left"/>
    </xf>
    <xf numFmtId="0" fontId="60" fillId="0" borderId="0" xfId="0" applyFont="1" applyAlignment="1">
      <alignment horizontal="left" vertical="center"/>
    </xf>
    <xf numFmtId="0" fontId="3" fillId="3" borderId="2" xfId="0" applyFont="1" applyFill="1" applyBorder="1" applyAlignment="1" applyProtection="1">
      <alignment horizontal="left" vertical="center"/>
      <protection locked="0"/>
    </xf>
    <xf numFmtId="0" fontId="3" fillId="3" borderId="7" xfId="0" applyFont="1" applyFill="1" applyBorder="1" applyAlignment="1" applyProtection="1">
      <alignment horizontal="left" vertical="center"/>
      <protection locked="0"/>
    </xf>
    <xf numFmtId="0" fontId="32" fillId="4" borderId="52" xfId="0" applyFont="1" applyFill="1" applyBorder="1" applyAlignment="1">
      <alignment horizontal="left"/>
    </xf>
    <xf numFmtId="0" fontId="32" fillId="4" borderId="71" xfId="0" applyFont="1" applyFill="1" applyBorder="1" applyAlignment="1">
      <alignment horizontal="left"/>
    </xf>
    <xf numFmtId="0" fontId="49" fillId="0" borderId="0" xfId="0" applyFont="1" applyAlignment="1">
      <alignment horizontal="left" vertical="center"/>
    </xf>
    <xf numFmtId="0" fontId="2" fillId="0" borderId="47" xfId="0" applyFont="1" applyBorder="1" applyAlignment="1">
      <alignment horizontal="left" vertical="top" wrapText="1"/>
    </xf>
    <xf numFmtId="0" fontId="2" fillId="0" borderId="25" xfId="0" applyFont="1" applyBorder="1" applyAlignment="1">
      <alignment horizontal="left" vertical="top" wrapText="1"/>
    </xf>
    <xf numFmtId="0" fontId="7" fillId="3" borderId="5" xfId="0" applyFont="1" applyFill="1" applyBorder="1" applyAlignment="1" applyProtection="1">
      <alignment horizontal="left" vertical="center"/>
      <protection locked="0"/>
    </xf>
    <xf numFmtId="0" fontId="7" fillId="3" borderId="6" xfId="0" applyFont="1" applyFill="1" applyBorder="1" applyAlignment="1" applyProtection="1">
      <alignment horizontal="left" vertical="center"/>
      <protection locked="0"/>
    </xf>
    <xf numFmtId="0" fontId="7" fillId="0" borderId="4" xfId="0" applyFont="1" applyBorder="1" applyAlignment="1">
      <alignment horizontal="left" vertical="center"/>
    </xf>
    <xf numFmtId="0" fontId="7" fillId="0" borderId="5" xfId="0" applyFont="1" applyBorder="1" applyAlignment="1">
      <alignment horizontal="left" vertical="center"/>
    </xf>
    <xf numFmtId="0" fontId="2" fillId="0" borderId="3" xfId="0" applyFont="1" applyBorder="1" applyAlignment="1">
      <alignment horizontal="left"/>
    </xf>
    <xf numFmtId="0" fontId="32" fillId="0" borderId="4" xfId="0" applyFont="1" applyBorder="1"/>
    <xf numFmtId="0" fontId="32" fillId="0" borderId="5" xfId="0" applyFont="1" applyBorder="1"/>
    <xf numFmtId="0" fontId="32" fillId="0" borderId="6" xfId="0" applyFont="1" applyBorder="1"/>
    <xf numFmtId="0" fontId="17" fillId="4" borderId="3" xfId="0" applyFont="1" applyFill="1" applyBorder="1" applyAlignment="1">
      <alignment horizontal="left" vertical="center"/>
    </xf>
    <xf numFmtId="0" fontId="17" fillId="4" borderId="2" xfId="0" applyFont="1" applyFill="1" applyBorder="1" applyAlignment="1">
      <alignment horizontal="left" vertical="center"/>
    </xf>
    <xf numFmtId="0" fontId="65" fillId="0" borderId="4" xfId="0" applyFont="1" applyBorder="1" applyAlignment="1">
      <alignment horizontal="left" vertical="center"/>
    </xf>
    <xf numFmtId="0" fontId="65" fillId="0" borderId="5" xfId="0" applyFont="1" applyBorder="1" applyAlignment="1">
      <alignment horizontal="left" vertical="center"/>
    </xf>
    <xf numFmtId="0" fontId="65" fillId="3" borderId="5" xfId="0" applyFont="1" applyFill="1" applyBorder="1" applyAlignment="1" applyProtection="1">
      <alignment horizontal="left" vertical="center"/>
      <protection locked="0"/>
    </xf>
    <xf numFmtId="0" fontId="65" fillId="3" borderId="6" xfId="0" applyFont="1" applyFill="1" applyBorder="1" applyAlignment="1" applyProtection="1">
      <alignment horizontal="left" vertical="center"/>
      <protection locked="0"/>
    </xf>
    <xf numFmtId="0" fontId="17" fillId="0" borderId="2" xfId="11" applyNumberFormat="1" applyFont="1" applyFill="1" applyBorder="1" applyAlignment="1" applyProtection="1">
      <alignment horizontal="left"/>
    </xf>
    <xf numFmtId="0" fontId="17" fillId="0" borderId="7" xfId="11" applyNumberFormat="1" applyFont="1" applyFill="1" applyBorder="1" applyAlignment="1" applyProtection="1">
      <alignment horizontal="left"/>
    </xf>
    <xf numFmtId="0" fontId="17" fillId="0" borderId="3" xfId="0" applyFont="1" applyBorder="1"/>
    <xf numFmtId="0" fontId="32" fillId="0" borderId="30" xfId="0" applyFont="1" applyBorder="1"/>
    <xf numFmtId="0" fontId="32" fillId="0" borderId="48" xfId="0" applyFont="1" applyBorder="1"/>
    <xf numFmtId="0" fontId="17" fillId="4" borderId="7" xfId="0" applyFont="1" applyFill="1" applyBorder="1" applyAlignment="1">
      <alignment horizontal="left"/>
    </xf>
    <xf numFmtId="165" fontId="17" fillId="0" borderId="2" xfId="11" applyNumberFormat="1" applyFont="1" applyBorder="1" applyAlignment="1" applyProtection="1">
      <alignment horizontal="left"/>
    </xf>
    <xf numFmtId="165" fontId="17" fillId="0" borderId="7" xfId="11" applyNumberFormat="1" applyFont="1" applyBorder="1" applyAlignment="1" applyProtection="1">
      <alignment horizontal="left"/>
    </xf>
    <xf numFmtId="0" fontId="60" fillId="0" borderId="11" xfId="0" applyFont="1" applyBorder="1" applyAlignment="1">
      <alignment horizontal="center"/>
    </xf>
    <xf numFmtId="0" fontId="3" fillId="0" borderId="3" xfId="0" applyFont="1" applyBorder="1"/>
    <xf numFmtId="9" fontId="15" fillId="3" borderId="2" xfId="11" applyFont="1" applyFill="1" applyBorder="1" applyAlignment="1" applyProtection="1">
      <alignment horizontal="left" vertical="center" wrapText="1"/>
      <protection locked="0"/>
    </xf>
    <xf numFmtId="9" fontId="15" fillId="3" borderId="7" xfId="11" applyFont="1" applyFill="1" applyBorder="1" applyAlignment="1" applyProtection="1">
      <alignment horizontal="left" vertical="center" wrapText="1"/>
      <protection locked="0"/>
    </xf>
    <xf numFmtId="9" fontId="2" fillId="3" borderId="9" xfId="11" applyFont="1" applyFill="1" applyBorder="1" applyAlignment="1" applyProtection="1">
      <alignment horizontal="left" vertical="center"/>
      <protection locked="0"/>
    </xf>
    <xf numFmtId="9" fontId="17" fillId="3" borderId="9" xfId="11" applyFont="1" applyFill="1" applyBorder="1" applyAlignment="1" applyProtection="1">
      <alignment horizontal="left" vertical="center"/>
      <protection locked="0"/>
    </xf>
    <xf numFmtId="9" fontId="17" fillId="3" borderId="10" xfId="11" applyFont="1" applyFill="1" applyBorder="1" applyAlignment="1" applyProtection="1">
      <alignment horizontal="left" vertical="center"/>
      <protection locked="0"/>
    </xf>
    <xf numFmtId="0" fontId="32" fillId="0" borderId="4" xfId="0" applyFont="1" applyBorder="1" applyAlignment="1">
      <alignment horizontal="left" vertical="center"/>
    </xf>
    <xf numFmtId="0" fontId="32" fillId="0" borderId="5" xfId="0" applyFont="1" applyBorder="1" applyAlignment="1">
      <alignment horizontal="left" vertical="center"/>
    </xf>
    <xf numFmtId="2" fontId="17" fillId="0" borderId="2" xfId="0" applyNumberFormat="1" applyFont="1" applyBorder="1" applyAlignment="1">
      <alignment horizontal="left" vertical="center"/>
    </xf>
    <xf numFmtId="2" fontId="17" fillId="0" borderId="7" xfId="0" applyNumberFormat="1" applyFont="1" applyBorder="1" applyAlignment="1">
      <alignment horizontal="left" vertical="center"/>
    </xf>
    <xf numFmtId="2" fontId="17" fillId="0" borderId="9" xfId="0" applyNumberFormat="1" applyFont="1" applyBorder="1" applyAlignment="1">
      <alignment horizontal="left" vertical="center"/>
    </xf>
    <xf numFmtId="2" fontId="17" fillId="0" borderId="10" xfId="0" applyNumberFormat="1" applyFont="1" applyBorder="1" applyAlignment="1">
      <alignment horizontal="left" vertical="center"/>
    </xf>
    <xf numFmtId="9" fontId="17" fillId="0" borderId="9" xfId="0" applyNumberFormat="1" applyFont="1" applyBorder="1" applyAlignment="1">
      <alignment horizontal="left" vertical="center"/>
    </xf>
    <xf numFmtId="9" fontId="17" fillId="0" borderId="10" xfId="0" applyNumberFormat="1" applyFont="1" applyBorder="1" applyAlignment="1">
      <alignment horizontal="left" vertical="center"/>
    </xf>
    <xf numFmtId="0" fontId="32" fillId="0" borderId="4" xfId="0" applyFont="1" applyBorder="1" applyAlignment="1">
      <alignment vertical="center" wrapText="1"/>
    </xf>
    <xf numFmtId="0" fontId="32" fillId="0" borderId="5" xfId="0" applyFont="1" applyBorder="1" applyAlignment="1">
      <alignment vertical="center" wrapText="1"/>
    </xf>
    <xf numFmtId="0" fontId="17" fillId="0" borderId="3" xfId="0" applyFont="1" applyBorder="1" applyAlignment="1">
      <alignment horizontal="left" vertical="center" wrapText="1"/>
    </xf>
    <xf numFmtId="0" fontId="17" fillId="0" borderId="2" xfId="0" applyFont="1" applyBorder="1" applyAlignment="1">
      <alignment horizontal="left" vertical="center" wrapText="1"/>
    </xf>
    <xf numFmtId="0" fontId="15" fillId="0" borderId="3" xfId="0" applyFont="1" applyBorder="1" applyAlignment="1">
      <alignment horizontal="left" vertical="top" wrapText="1"/>
    </xf>
    <xf numFmtId="0" fontId="17" fillId="0" borderId="8" xfId="0" applyFont="1" applyBorder="1" applyAlignment="1">
      <alignment horizontal="left" vertical="center" wrapText="1"/>
    </xf>
    <xf numFmtId="0" fontId="11" fillId="0" borderId="3" xfId="0" applyFont="1" applyBorder="1" applyAlignment="1">
      <alignment horizontal="left" vertical="center" wrapText="1"/>
    </xf>
    <xf numFmtId="0" fontId="9" fillId="0" borderId="3" xfId="0" applyFont="1" applyBorder="1" applyAlignment="1">
      <alignment horizontal="left" vertical="center" wrapText="1"/>
    </xf>
    <xf numFmtId="0" fontId="17" fillId="4" borderId="2" xfId="0" applyFont="1" applyFill="1" applyBorder="1" applyAlignment="1">
      <alignment vertical="center" wrapText="1"/>
    </xf>
    <xf numFmtId="0" fontId="17" fillId="0" borderId="2" xfId="0" applyFont="1" applyBorder="1" applyAlignment="1">
      <alignment wrapText="1"/>
    </xf>
    <xf numFmtId="0" fontId="62" fillId="0" borderId="20" xfId="0" applyFont="1" applyBorder="1" applyAlignment="1">
      <alignment horizontal="left" vertical="center"/>
    </xf>
    <xf numFmtId="0" fontId="32" fillId="0" borderId="6" xfId="0" applyFont="1" applyBorder="1" applyAlignment="1">
      <alignment horizontal="left" vertical="center"/>
    </xf>
    <xf numFmtId="9" fontId="17" fillId="3" borderId="2" xfId="11" applyFont="1" applyFill="1" applyBorder="1" applyAlignment="1" applyProtection="1">
      <alignment horizontal="left" vertical="center"/>
      <protection locked="0"/>
    </xf>
    <xf numFmtId="9" fontId="17" fillId="3" borderId="7" xfId="11" applyFont="1" applyFill="1" applyBorder="1" applyAlignment="1" applyProtection="1">
      <alignment horizontal="left" vertical="center"/>
      <protection locked="0"/>
    </xf>
    <xf numFmtId="0" fontId="32" fillId="0" borderId="5" xfId="0" applyFont="1" applyBorder="1" applyAlignment="1">
      <alignment horizontal="center" vertical="center"/>
    </xf>
    <xf numFmtId="0" fontId="10" fillId="0" borderId="2" xfId="0" applyFont="1" applyBorder="1" applyAlignment="1">
      <alignment wrapText="1"/>
    </xf>
    <xf numFmtId="0" fontId="60" fillId="0" borderId="0" xfId="0" applyFont="1" applyAlignment="1">
      <alignment horizontal="center" vertical="center"/>
    </xf>
    <xf numFmtId="0" fontId="17" fillId="4" borderId="9" xfId="0" applyFont="1" applyFill="1" applyBorder="1" applyAlignment="1">
      <alignment vertical="center" wrapText="1"/>
    </xf>
    <xf numFmtId="9" fontId="17" fillId="0" borderId="2" xfId="0" applyNumberFormat="1" applyFont="1" applyBorder="1" applyAlignment="1">
      <alignment horizontal="center" vertical="center"/>
    </xf>
    <xf numFmtId="9" fontId="17" fillId="0" borderId="7" xfId="0" applyNumberFormat="1" applyFont="1" applyBorder="1" applyAlignment="1">
      <alignment horizontal="center" vertical="center"/>
    </xf>
    <xf numFmtId="0" fontId="32" fillId="0" borderId="30" xfId="0" applyFont="1" applyBorder="1" applyAlignment="1">
      <alignment horizontal="left" vertical="center"/>
    </xf>
    <xf numFmtId="0" fontId="32" fillId="0" borderId="48" xfId="0" applyFont="1" applyBorder="1" applyAlignment="1">
      <alignment horizontal="left" vertical="center"/>
    </xf>
    <xf numFmtId="9" fontId="17" fillId="0" borderId="2" xfId="0" applyNumberFormat="1" applyFont="1" applyBorder="1" applyAlignment="1">
      <alignment horizontal="left" vertical="center"/>
    </xf>
    <xf numFmtId="9" fontId="17" fillId="0" borderId="7" xfId="0" applyNumberFormat="1" applyFont="1" applyBorder="1" applyAlignment="1">
      <alignment horizontal="left" vertical="center"/>
    </xf>
    <xf numFmtId="0" fontId="17" fillId="0" borderId="7" xfId="0" applyFont="1" applyBorder="1" applyAlignment="1">
      <alignment horizontal="left" vertical="center"/>
    </xf>
    <xf numFmtId="0" fontId="17" fillId="4" borderId="43" xfId="0" applyFont="1" applyFill="1" applyBorder="1" applyAlignment="1">
      <alignment horizontal="left"/>
    </xf>
    <xf numFmtId="0" fontId="17" fillId="4" borderId="42" xfId="0" applyFont="1" applyFill="1" applyBorder="1" applyAlignment="1">
      <alignment horizontal="left"/>
    </xf>
    <xf numFmtId="0" fontId="32" fillId="0" borderId="29" xfId="0" applyFont="1" applyBorder="1" applyAlignment="1">
      <alignment horizontal="left" vertical="center" wrapText="1"/>
    </xf>
    <xf numFmtId="0" fontId="32" fillId="0" borderId="30" xfId="0" applyFont="1" applyBorder="1" applyAlignment="1">
      <alignment horizontal="left" vertical="center" wrapText="1"/>
    </xf>
    <xf numFmtId="9" fontId="17" fillId="0" borderId="9" xfId="0" applyNumberFormat="1" applyFont="1" applyBorder="1" applyAlignment="1">
      <alignment horizontal="center" vertical="center"/>
    </xf>
    <xf numFmtId="9" fontId="17" fillId="0" borderId="10" xfId="0" applyNumberFormat="1" applyFont="1" applyBorder="1" applyAlignment="1">
      <alignment horizontal="center" vertical="center"/>
    </xf>
    <xf numFmtId="0" fontId="62" fillId="0" borderId="0" xfId="0" applyFont="1" applyAlignment="1">
      <alignment horizontal="left" vertical="center"/>
    </xf>
    <xf numFmtId="0" fontId="17" fillId="4" borderId="41" xfId="0" applyFont="1" applyFill="1" applyBorder="1" applyAlignment="1">
      <alignment horizontal="left"/>
    </xf>
    <xf numFmtId="0" fontId="2" fillId="0" borderId="54" xfId="0" applyFont="1" applyBorder="1" applyAlignment="1">
      <alignment horizontal="left" vertical="center" wrapText="1"/>
    </xf>
    <xf numFmtId="0" fontId="2" fillId="0" borderId="16" xfId="0" applyFont="1" applyBorder="1" applyAlignment="1">
      <alignment horizontal="left" vertical="center" wrapText="1"/>
    </xf>
    <xf numFmtId="0" fontId="7" fillId="0" borderId="3" xfId="0" applyFont="1" applyBorder="1" applyAlignment="1">
      <alignment horizontal="left" vertical="center"/>
    </xf>
    <xf numFmtId="0" fontId="15" fillId="4" borderId="3" xfId="0" applyFont="1" applyFill="1" applyBorder="1" applyAlignment="1">
      <alignment horizontal="left" vertical="center"/>
    </xf>
    <xf numFmtId="0" fontId="15" fillId="4" borderId="2" xfId="0" applyFont="1" applyFill="1" applyBorder="1" applyAlignment="1">
      <alignment horizontal="left" vertical="center"/>
    </xf>
    <xf numFmtId="0" fontId="87" fillId="0" borderId="54" xfId="0" applyFont="1" applyBorder="1" applyAlignment="1">
      <alignment horizontal="center" vertical="center"/>
    </xf>
    <xf numFmtId="0" fontId="87" fillId="0" borderId="13" xfId="0" applyFont="1" applyBorder="1" applyAlignment="1">
      <alignment horizontal="center" vertical="center"/>
    </xf>
    <xf numFmtId="0" fontId="87" fillId="0" borderId="55" xfId="0" applyFont="1" applyBorder="1" applyAlignment="1">
      <alignment horizontal="center" vertical="center"/>
    </xf>
    <xf numFmtId="9" fontId="2" fillId="3" borderId="12" xfId="11" applyFont="1" applyFill="1" applyBorder="1" applyAlignment="1" applyProtection="1">
      <alignment horizontal="left" vertical="center"/>
      <protection locked="0"/>
    </xf>
    <xf numFmtId="9" fontId="2" fillId="3" borderId="13" xfId="11" applyFont="1" applyFill="1" applyBorder="1" applyAlignment="1" applyProtection="1">
      <alignment horizontal="left" vertical="center"/>
      <protection locked="0"/>
    </xf>
    <xf numFmtId="9" fontId="2" fillId="3" borderId="55" xfId="11" applyFont="1" applyFill="1" applyBorder="1" applyAlignment="1" applyProtection="1">
      <alignment horizontal="left" vertical="center"/>
      <protection locked="0"/>
    </xf>
    <xf numFmtId="0" fontId="32" fillId="4" borderId="6" xfId="0" applyFont="1" applyFill="1" applyBorder="1" applyAlignment="1">
      <alignment horizontal="left"/>
    </xf>
    <xf numFmtId="0" fontId="32" fillId="0" borderId="29" xfId="0" applyFont="1" applyBorder="1" applyAlignment="1">
      <alignment horizontal="left" vertical="center"/>
    </xf>
    <xf numFmtId="0" fontId="17" fillId="0" borderId="8" xfId="0" applyFont="1" applyBorder="1" applyAlignment="1">
      <alignment horizontal="left" vertical="center"/>
    </xf>
    <xf numFmtId="0" fontId="17" fillId="0" borderId="9" xfId="0" applyFont="1" applyBorder="1" applyAlignment="1">
      <alignment horizontal="left" vertical="center"/>
    </xf>
    <xf numFmtId="0" fontId="17" fillId="4" borderId="3" xfId="0" applyFont="1" applyFill="1" applyBorder="1" applyAlignment="1">
      <alignment horizontal="left" vertical="center" wrapText="1"/>
    </xf>
    <xf numFmtId="0" fontId="17" fillId="4" borderId="2" xfId="0" applyFont="1" applyFill="1" applyBorder="1" applyAlignment="1">
      <alignment horizontal="left" vertical="center" wrapText="1"/>
    </xf>
    <xf numFmtId="0" fontId="7" fillId="0" borderId="2" xfId="0" applyFont="1" applyBorder="1" applyAlignment="1">
      <alignment horizontal="left" vertical="center"/>
    </xf>
    <xf numFmtId="0" fontId="17" fillId="4" borderId="2" xfId="0" applyFont="1" applyFill="1" applyBorder="1" applyAlignment="1">
      <alignment horizontal="left" vertical="top" wrapText="1"/>
    </xf>
    <xf numFmtId="0" fontId="32" fillId="0" borderId="76" xfId="0" applyFont="1" applyBorder="1" applyAlignment="1">
      <alignment horizontal="center" vertical="top" wrapText="1"/>
    </xf>
    <xf numFmtId="0" fontId="32" fillId="0" borderId="45" xfId="0" applyFont="1" applyBorder="1" applyAlignment="1">
      <alignment horizontal="center" vertical="top" wrapText="1"/>
    </xf>
    <xf numFmtId="0" fontId="10" fillId="0" borderId="2" xfId="0" applyFont="1" applyBorder="1" applyAlignment="1">
      <alignment horizontal="left" vertical="top" wrapText="1"/>
    </xf>
    <xf numFmtId="0" fontId="15" fillId="4" borderId="3" xfId="0" applyFont="1" applyFill="1" applyBorder="1" applyAlignment="1">
      <alignment horizontal="left" vertical="center" wrapText="1"/>
    </xf>
    <xf numFmtId="0" fontId="17" fillId="4" borderId="8" xfId="0" applyFont="1" applyFill="1" applyBorder="1" applyAlignment="1">
      <alignment horizontal="left" vertical="center" wrapText="1"/>
    </xf>
    <xf numFmtId="0" fontId="17" fillId="4" borderId="9" xfId="0" applyFont="1" applyFill="1" applyBorder="1" applyAlignment="1">
      <alignment horizontal="left" vertical="center" wrapText="1"/>
    </xf>
    <xf numFmtId="0" fontId="17" fillId="4" borderId="9" xfId="0" applyFont="1" applyFill="1" applyBorder="1" applyAlignment="1">
      <alignment horizontal="left" vertical="top" wrapText="1"/>
    </xf>
    <xf numFmtId="166" fontId="17" fillId="0" borderId="2" xfId="0" applyNumberFormat="1" applyFont="1" applyBorder="1" applyAlignment="1">
      <alignment horizontal="left" vertical="center"/>
    </xf>
    <xf numFmtId="166" fontId="17" fillId="0" borderId="7" xfId="0" applyNumberFormat="1" applyFont="1" applyBorder="1" applyAlignment="1">
      <alignment horizontal="left" vertical="center"/>
    </xf>
    <xf numFmtId="0" fontId="2" fillId="0" borderId="3" xfId="0" applyFont="1" applyBorder="1" applyAlignment="1">
      <alignment horizontal="left" vertical="center" wrapText="1"/>
    </xf>
    <xf numFmtId="0" fontId="3" fillId="3" borderId="2" xfId="0" applyFont="1" applyFill="1" applyBorder="1" applyAlignment="1" applyProtection="1">
      <alignment horizontal="left" vertical="center" wrapText="1"/>
      <protection locked="0"/>
    </xf>
    <xf numFmtId="0" fontId="3" fillId="3" borderId="7" xfId="0" applyFont="1" applyFill="1" applyBorder="1" applyAlignment="1" applyProtection="1">
      <alignment horizontal="left" vertical="center" wrapText="1"/>
      <protection locked="0"/>
    </xf>
    <xf numFmtId="0" fontId="62" fillId="0" borderId="11" xfId="0" applyFont="1" applyBorder="1" applyAlignment="1">
      <alignment horizontal="left" vertical="center"/>
    </xf>
    <xf numFmtId="0" fontId="32" fillId="0" borderId="48" xfId="0" applyFont="1" applyBorder="1" applyAlignment="1">
      <alignment horizontal="left" vertical="center" wrapText="1"/>
    </xf>
    <xf numFmtId="9" fontId="2" fillId="3" borderId="2" xfId="11" applyFont="1" applyFill="1" applyBorder="1" applyAlignment="1" applyProtection="1">
      <alignment horizontal="left" vertical="center"/>
      <protection locked="0"/>
    </xf>
    <xf numFmtId="9" fontId="17" fillId="3" borderId="2" xfId="11" applyFont="1" applyFill="1" applyBorder="1" applyAlignment="1" applyProtection="1">
      <alignment horizontal="left" vertical="center" wrapText="1"/>
      <protection locked="0"/>
    </xf>
    <xf numFmtId="9" fontId="17" fillId="3" borderId="7" xfId="11" applyFont="1" applyFill="1" applyBorder="1" applyAlignment="1" applyProtection="1">
      <alignment horizontal="left" vertical="center" wrapText="1"/>
      <protection locked="0"/>
    </xf>
    <xf numFmtId="0" fontId="32" fillId="4" borderId="30" xfId="0" applyFont="1" applyFill="1" applyBorder="1" applyAlignment="1">
      <alignment horizontal="left"/>
    </xf>
    <xf numFmtId="0" fontId="32" fillId="4" borderId="48" xfId="0" applyFont="1" applyFill="1" applyBorder="1" applyAlignment="1">
      <alignment horizontal="left"/>
    </xf>
    <xf numFmtId="0" fontId="32" fillId="4" borderId="5" xfId="0" applyFont="1" applyFill="1" applyBorder="1" applyAlignment="1">
      <alignment horizontal="center" vertical="center"/>
    </xf>
    <xf numFmtId="0" fontId="10" fillId="4" borderId="2" xfId="0" applyFont="1" applyFill="1" applyBorder="1" applyAlignment="1">
      <alignment horizontal="left" vertical="center" wrapText="1"/>
    </xf>
    <xf numFmtId="0" fontId="2" fillId="4" borderId="3" xfId="0" applyFont="1" applyFill="1" applyBorder="1" applyAlignment="1">
      <alignment horizontal="left" vertical="center"/>
    </xf>
    <xf numFmtId="0" fontId="17" fillId="0" borderId="63" xfId="0" applyFont="1" applyBorder="1" applyAlignment="1">
      <alignment horizontal="left" vertical="center"/>
    </xf>
    <xf numFmtId="0" fontId="17" fillId="0" borderId="64" xfId="0" applyFont="1" applyBorder="1" applyAlignment="1">
      <alignment horizontal="left" vertical="center"/>
    </xf>
    <xf numFmtId="0" fontId="32" fillId="4" borderId="29" xfId="0" applyFont="1" applyFill="1" applyBorder="1" applyAlignment="1">
      <alignment horizontal="left"/>
    </xf>
    <xf numFmtId="0" fontId="17" fillId="0" borderId="51" xfId="0" applyFont="1" applyBorder="1" applyAlignment="1">
      <alignment horizontal="left" vertical="top" wrapText="1"/>
    </xf>
    <xf numFmtId="0" fontId="17" fillId="0" borderId="47" xfId="0" applyFont="1" applyBorder="1" applyAlignment="1">
      <alignment horizontal="left" vertical="top" wrapText="1"/>
    </xf>
    <xf numFmtId="0" fontId="17" fillId="0" borderId="25" xfId="0" applyFont="1" applyBorder="1" applyAlignment="1">
      <alignment horizontal="left" vertical="top" wrapText="1"/>
    </xf>
    <xf numFmtId="0" fontId="49" fillId="0" borderId="0" xfId="0" applyFont="1" applyAlignment="1">
      <alignment horizontal="center" vertical="center"/>
    </xf>
    <xf numFmtId="0" fontId="17" fillId="0" borderId="10" xfId="0" applyFont="1" applyBorder="1" applyAlignment="1">
      <alignment horizontal="left" vertical="center" wrapText="1"/>
    </xf>
    <xf numFmtId="0" fontId="0" fillId="0" borderId="0" xfId="0" applyAlignment="1">
      <alignment horizontal="center"/>
    </xf>
    <xf numFmtId="0" fontId="45" fillId="0" borderId="51" xfId="0" applyFont="1" applyBorder="1" applyAlignment="1">
      <alignment horizontal="center" vertical="center" wrapText="1"/>
    </xf>
    <xf numFmtId="0" fontId="45" fillId="0" borderId="47" xfId="0" applyFont="1" applyBorder="1" applyAlignment="1">
      <alignment horizontal="center" vertical="center" wrapText="1"/>
    </xf>
    <xf numFmtId="0" fontId="45" fillId="0" borderId="25" xfId="0" applyFont="1" applyBorder="1" applyAlignment="1">
      <alignment horizontal="center" vertical="center" wrapText="1"/>
    </xf>
    <xf numFmtId="0" fontId="45" fillId="0" borderId="17" xfId="0" applyFont="1" applyBorder="1" applyAlignment="1">
      <alignment horizontal="center" vertical="center" wrapText="1"/>
    </xf>
    <xf numFmtId="0" fontId="45" fillId="0" borderId="11" xfId="0" applyFont="1" applyBorder="1" applyAlignment="1">
      <alignment horizontal="center" vertical="center" wrapText="1"/>
    </xf>
    <xf numFmtId="0" fontId="45" fillId="0" borderId="4" xfId="0" applyFont="1" applyBorder="1" applyAlignment="1">
      <alignment vertical="center" wrapText="1"/>
    </xf>
    <xf numFmtId="0" fontId="45" fillId="0" borderId="3" xfId="0" applyFont="1" applyBorder="1" applyAlignment="1">
      <alignment vertical="center" wrapText="1"/>
    </xf>
    <xf numFmtId="0" fontId="45" fillId="0" borderId="8" xfId="0" applyFont="1" applyBorder="1" applyAlignment="1">
      <alignment vertical="center" wrapText="1"/>
    </xf>
    <xf numFmtId="0" fontId="45" fillId="0" borderId="23" xfId="0" applyFont="1" applyBorder="1" applyAlignment="1">
      <alignment horizontal="center" vertical="center" wrapText="1"/>
    </xf>
    <xf numFmtId="0" fontId="45" fillId="0" borderId="0" xfId="0" applyFont="1" applyAlignment="1">
      <alignment horizontal="center" vertical="center" wrapText="1"/>
    </xf>
    <xf numFmtId="0" fontId="17" fillId="0" borderId="29" xfId="0" applyFont="1" applyBorder="1" applyAlignment="1">
      <alignment horizontal="left" vertical="center" wrapText="1"/>
    </xf>
    <xf numFmtId="0" fontId="17" fillId="0" borderId="30" xfId="0" applyFont="1" applyBorder="1" applyAlignment="1">
      <alignment horizontal="left" vertical="center" wrapText="1"/>
    </xf>
    <xf numFmtId="0" fontId="17" fillId="0" borderId="48" xfId="0" applyFont="1" applyBorder="1" applyAlignment="1">
      <alignment horizontal="left" vertical="center" wrapText="1"/>
    </xf>
    <xf numFmtId="0" fontId="32" fillId="0" borderId="3" xfId="0" applyFont="1" applyBorder="1" applyAlignment="1">
      <alignment horizontal="left" vertical="center"/>
    </xf>
    <xf numFmtId="0" fontId="32" fillId="0" borderId="2" xfId="0" applyFont="1" applyBorder="1" applyAlignment="1">
      <alignment horizontal="left" vertical="center"/>
    </xf>
    <xf numFmtId="0" fontId="32" fillId="6" borderId="17" xfId="0" applyFont="1" applyFill="1" applyBorder="1" applyAlignment="1">
      <alignment horizontal="center"/>
    </xf>
    <xf numFmtId="0" fontId="32" fillId="6" borderId="11" xfId="0" applyFont="1" applyFill="1" applyBorder="1" applyAlignment="1">
      <alignment horizontal="center"/>
    </xf>
    <xf numFmtId="0" fontId="32" fillId="6" borderId="18" xfId="0" applyFont="1" applyFill="1" applyBorder="1" applyAlignment="1">
      <alignment horizontal="center"/>
    </xf>
    <xf numFmtId="0" fontId="32" fillId="0" borderId="14" xfId="0" applyFont="1" applyBorder="1" applyAlignment="1">
      <alignment horizontal="left" vertical="center"/>
    </xf>
    <xf numFmtId="0" fontId="32" fillId="0" borderId="37" xfId="0" applyFont="1" applyBorder="1" applyAlignment="1">
      <alignment horizontal="left" vertical="center"/>
    </xf>
    <xf numFmtId="0" fontId="32" fillId="0" borderId="15" xfId="0" applyFont="1" applyBorder="1" applyAlignment="1">
      <alignment horizontal="left" vertical="center"/>
    </xf>
    <xf numFmtId="0" fontId="17" fillId="0" borderId="10" xfId="0" applyFont="1" applyBorder="1" applyAlignment="1">
      <alignment horizontal="left" vertical="center"/>
    </xf>
    <xf numFmtId="0" fontId="32" fillId="0" borderId="7" xfId="0" applyFont="1" applyBorder="1" applyAlignment="1">
      <alignment horizontal="left" vertical="center"/>
    </xf>
    <xf numFmtId="0" fontId="49" fillId="0" borderId="20" xfId="0" applyFont="1" applyBorder="1" applyAlignment="1">
      <alignment horizontal="center"/>
    </xf>
    <xf numFmtId="0" fontId="30" fillId="6" borderId="47" xfId="0" applyFont="1" applyFill="1" applyBorder="1" applyAlignment="1">
      <alignment horizontal="center"/>
    </xf>
    <xf numFmtId="0" fontId="2" fillId="0" borderId="51" xfId="0" applyFont="1" applyBorder="1" applyAlignment="1">
      <alignment vertical="top" wrapText="1"/>
    </xf>
    <xf numFmtId="0" fontId="17" fillId="0" borderId="47" xfId="0" applyFont="1" applyBorder="1" applyAlignment="1">
      <alignment vertical="top" wrapText="1"/>
    </xf>
    <xf numFmtId="0" fontId="32" fillId="6" borderId="17" xfId="0" applyFont="1" applyFill="1" applyBorder="1"/>
    <xf numFmtId="0" fontId="32" fillId="6" borderId="11" xfId="0" applyFont="1" applyFill="1" applyBorder="1"/>
    <xf numFmtId="0" fontId="38" fillId="6" borderId="51" xfId="5" applyFont="1" applyFill="1" applyBorder="1" applyAlignment="1">
      <alignment horizontal="left"/>
    </xf>
    <xf numFmtId="0" fontId="38" fillId="6" borderId="25" xfId="5" applyFont="1" applyFill="1" applyBorder="1" applyAlignment="1">
      <alignment horizontal="left"/>
    </xf>
    <xf numFmtId="0" fontId="62" fillId="0" borderId="23" xfId="0" applyFont="1" applyBorder="1" applyAlignment="1">
      <alignment vertical="center"/>
    </xf>
    <xf numFmtId="0" fontId="62" fillId="0" borderId="0" xfId="0" applyFont="1" applyAlignment="1">
      <alignment vertical="center"/>
    </xf>
    <xf numFmtId="0" fontId="17" fillId="0" borderId="0" xfId="0" applyFont="1"/>
    <xf numFmtId="0" fontId="62" fillId="0" borderId="0" xfId="5" applyFont="1" applyAlignment="1">
      <alignment vertical="center" wrapText="1"/>
    </xf>
    <xf numFmtId="0" fontId="62" fillId="0" borderId="47" xfId="5" applyFont="1" applyBorder="1" applyAlignment="1">
      <alignment vertical="center" wrapText="1"/>
    </xf>
    <xf numFmtId="0" fontId="51" fillId="0" borderId="0" xfId="10" applyFont="1" applyBorder="1" applyProtection="1"/>
    <xf numFmtId="0" fontId="85" fillId="0" borderId="0" xfId="0" applyFont="1"/>
    <xf numFmtId="0" fontId="2" fillId="4" borderId="19" xfId="0" applyFont="1" applyFill="1" applyBorder="1" applyAlignment="1">
      <alignment horizontal="left" vertical="top" wrapText="1"/>
    </xf>
    <xf numFmtId="0" fontId="15" fillId="4" borderId="20" xfId="0" applyFont="1" applyFill="1" applyBorder="1" applyAlignment="1">
      <alignment horizontal="left" vertical="top" wrapText="1"/>
    </xf>
    <xf numFmtId="0" fontId="85" fillId="0" borderId="20" xfId="0" applyFont="1" applyBorder="1"/>
    <xf numFmtId="0" fontId="15" fillId="0" borderId="78" xfId="0" applyFont="1" applyBorder="1" applyAlignment="1">
      <alignment wrapText="1"/>
    </xf>
    <xf numFmtId="0" fontId="15" fillId="0" borderId="47" xfId="0" applyFont="1" applyBorder="1" applyAlignment="1">
      <alignment wrapText="1"/>
    </xf>
    <xf numFmtId="0" fontId="15" fillId="0" borderId="25" xfId="0" applyFont="1" applyBorder="1" applyAlignment="1">
      <alignment wrapText="1"/>
    </xf>
    <xf numFmtId="2" fontId="15" fillId="0" borderId="2" xfId="0" applyNumberFormat="1" applyFont="1" applyBorder="1" applyAlignment="1">
      <alignment horizontal="center" vertical="center"/>
    </xf>
    <xf numFmtId="0" fontId="15" fillId="0" borderId="12" xfId="0" applyFont="1" applyBorder="1" applyAlignment="1">
      <alignment vertical="center"/>
    </xf>
    <xf numFmtId="0" fontId="15" fillId="0" borderId="55" xfId="0" applyFont="1" applyBorder="1" applyAlignment="1">
      <alignment vertical="center"/>
    </xf>
    <xf numFmtId="0" fontId="15" fillId="0" borderId="9" xfId="0" applyFont="1" applyBorder="1" applyAlignment="1">
      <alignment wrapText="1"/>
    </xf>
    <xf numFmtId="0" fontId="15" fillId="0" borderId="10" xfId="0" applyFont="1" applyBorder="1" applyAlignment="1">
      <alignment wrapText="1"/>
    </xf>
    <xf numFmtId="0" fontId="38" fillId="4" borderId="4" xfId="0" applyFont="1" applyFill="1" applyBorder="1" applyAlignment="1">
      <alignment vertical="center" wrapText="1"/>
    </xf>
    <xf numFmtId="0" fontId="38" fillId="4" borderId="5" xfId="0" applyFont="1" applyFill="1" applyBorder="1" applyAlignment="1">
      <alignment vertical="center" wrapText="1"/>
    </xf>
    <xf numFmtId="0" fontId="38" fillId="4" borderId="6" xfId="0" applyFont="1" applyFill="1" applyBorder="1" applyAlignment="1">
      <alignment vertical="center" wrapText="1"/>
    </xf>
    <xf numFmtId="2" fontId="15" fillId="4" borderId="2" xfId="0" applyNumberFormat="1" applyFont="1" applyFill="1" applyBorder="1" applyAlignment="1">
      <alignment horizontal="center" vertical="center"/>
    </xf>
    <xf numFmtId="2" fontId="15" fillId="4" borderId="9" xfId="0" applyNumberFormat="1" applyFont="1" applyFill="1" applyBorder="1" applyAlignment="1">
      <alignment horizontal="center" vertical="center"/>
    </xf>
    <xf numFmtId="0" fontId="15" fillId="4" borderId="2" xfId="0" applyFont="1" applyFill="1" applyBorder="1" applyAlignment="1">
      <alignment vertical="center"/>
    </xf>
    <xf numFmtId="0" fontId="15" fillId="4" borderId="7" xfId="0" applyFont="1" applyFill="1" applyBorder="1" applyAlignment="1">
      <alignment vertical="center"/>
    </xf>
    <xf numFmtId="0" fontId="32" fillId="6" borderId="2" xfId="0" applyFont="1" applyFill="1" applyBorder="1" applyAlignment="1">
      <alignment horizontal="center" vertical="center" wrapText="1"/>
    </xf>
    <xf numFmtId="0" fontId="32" fillId="6" borderId="7" xfId="0" applyFont="1" applyFill="1" applyBorder="1" applyAlignment="1">
      <alignment horizontal="center" vertical="center" wrapText="1"/>
    </xf>
    <xf numFmtId="0" fontId="32" fillId="4" borderId="63" xfId="0" applyFont="1" applyFill="1" applyBorder="1" applyAlignment="1">
      <alignment vertical="center" wrapText="1"/>
    </xf>
    <xf numFmtId="0" fontId="32" fillId="4" borderId="65" xfId="0" applyFont="1" applyFill="1" applyBorder="1" applyAlignment="1">
      <alignment vertical="center" wrapText="1"/>
    </xf>
    <xf numFmtId="0" fontId="32" fillId="4" borderId="66" xfId="0" applyFont="1" applyFill="1" applyBorder="1" applyAlignment="1">
      <alignment vertical="center" wrapText="1"/>
    </xf>
    <xf numFmtId="0" fontId="1" fillId="3" borderId="12" xfId="0" applyFont="1" applyFill="1" applyBorder="1" applyAlignment="1" applyProtection="1">
      <alignment horizontal="left" vertical="center" wrapText="1"/>
      <protection locked="0"/>
    </xf>
    <xf numFmtId="0" fontId="15" fillId="3" borderId="13" xfId="0" applyFont="1" applyFill="1" applyBorder="1" applyAlignment="1" applyProtection="1">
      <alignment horizontal="left" vertical="center" wrapText="1"/>
      <protection locked="0"/>
    </xf>
    <xf numFmtId="0" fontId="15" fillId="3" borderId="55" xfId="0" applyFont="1" applyFill="1" applyBorder="1" applyAlignment="1" applyProtection="1">
      <alignment horizontal="left" vertical="center" wrapText="1"/>
      <protection locked="0"/>
    </xf>
    <xf numFmtId="0" fontId="60" fillId="0" borderId="20" xfId="0" applyFont="1" applyBorder="1"/>
    <xf numFmtId="0" fontId="38" fillId="6" borderId="2" xfId="0" applyFont="1" applyFill="1" applyBorder="1" applyAlignment="1">
      <alignment horizontal="center" vertical="center" wrapText="1"/>
    </xf>
    <xf numFmtId="0" fontId="60" fillId="0" borderId="11" xfId="0" applyFont="1" applyBorder="1"/>
    <xf numFmtId="171" fontId="60" fillId="0" borderId="11" xfId="0" applyNumberFormat="1" applyFont="1" applyBorder="1"/>
    <xf numFmtId="0" fontId="15" fillId="22" borderId="73" xfId="0" applyFont="1" applyFill="1" applyBorder="1" applyAlignment="1">
      <alignment wrapText="1"/>
    </xf>
    <xf numFmtId="0" fontId="15" fillId="22" borderId="20" xfId="0" applyFont="1" applyFill="1" applyBorder="1" applyAlignment="1">
      <alignment wrapText="1"/>
    </xf>
    <xf numFmtId="0" fontId="15" fillId="22" borderId="21" xfId="0" applyFont="1" applyFill="1" applyBorder="1" applyAlignment="1">
      <alignment wrapText="1"/>
    </xf>
    <xf numFmtId="0" fontId="32" fillId="0" borderId="52" xfId="0" applyFont="1" applyBorder="1" applyAlignment="1">
      <alignment vertical="center" wrapText="1"/>
    </xf>
    <xf numFmtId="0" fontId="32" fillId="0" borderId="69" xfId="0" applyFont="1" applyBorder="1" applyAlignment="1">
      <alignment vertical="center" wrapText="1"/>
    </xf>
    <xf numFmtId="0" fontId="32" fillId="0" borderId="53" xfId="0" applyFont="1" applyBorder="1" applyAlignment="1">
      <alignment vertical="center" wrapText="1"/>
    </xf>
    <xf numFmtId="0" fontId="32" fillId="4" borderId="4" xfId="0" applyFont="1" applyFill="1" applyBorder="1" applyAlignment="1">
      <alignment vertical="center" wrapText="1"/>
    </xf>
    <xf numFmtId="0" fontId="32" fillId="4" borderId="5" xfId="0" applyFont="1" applyFill="1" applyBorder="1" applyAlignment="1">
      <alignment vertical="center" wrapText="1"/>
    </xf>
    <xf numFmtId="0" fontId="32" fillId="4" borderId="6" xfId="0" applyFont="1" applyFill="1" applyBorder="1" applyAlignment="1">
      <alignment vertical="center" wrapText="1"/>
    </xf>
    <xf numFmtId="0" fontId="60" fillId="0" borderId="47" xfId="0" applyFont="1" applyBorder="1"/>
    <xf numFmtId="0" fontId="84" fillId="6" borderId="51" xfId="0" applyFont="1" applyFill="1" applyBorder="1" applyAlignment="1">
      <alignment horizontal="center"/>
    </xf>
    <xf numFmtId="0" fontId="84" fillId="6" borderId="47" xfId="0" applyFont="1" applyFill="1" applyBorder="1" applyAlignment="1">
      <alignment horizontal="center"/>
    </xf>
    <xf numFmtId="0" fontId="84" fillId="6" borderId="25" xfId="0" applyFont="1" applyFill="1" applyBorder="1" applyAlignment="1">
      <alignment horizontal="center"/>
    </xf>
    <xf numFmtId="0" fontId="47" fillId="4" borderId="17" xfId="0" applyFont="1" applyFill="1" applyBorder="1" applyAlignment="1">
      <alignment vertical="top" wrapText="1"/>
    </xf>
    <xf numFmtId="0" fontId="47" fillId="4" borderId="11" xfId="0" applyFont="1" applyFill="1" applyBorder="1" applyAlignment="1">
      <alignment vertical="top" wrapText="1"/>
    </xf>
    <xf numFmtId="0" fontId="47" fillId="4" borderId="18" xfId="0" applyFont="1" applyFill="1" applyBorder="1" applyAlignment="1">
      <alignment vertical="top" wrapText="1"/>
    </xf>
    <xf numFmtId="0" fontId="51" fillId="4" borderId="19" xfId="10" applyFont="1" applyFill="1" applyBorder="1" applyAlignment="1" applyProtection="1">
      <alignment vertical="top" wrapText="1"/>
    </xf>
    <xf numFmtId="0" fontId="51" fillId="4" borderId="20" xfId="10" applyFont="1" applyFill="1" applyBorder="1" applyAlignment="1" applyProtection="1">
      <alignment vertical="top" wrapText="1"/>
    </xf>
    <xf numFmtId="0" fontId="51" fillId="4" borderId="21" xfId="10" applyFont="1" applyFill="1" applyBorder="1" applyAlignment="1" applyProtection="1">
      <alignment vertical="top" wrapText="1"/>
    </xf>
    <xf numFmtId="0" fontId="47" fillId="0" borderId="3" xfId="0" applyFont="1" applyBorder="1" applyAlignment="1">
      <alignment vertical="top" wrapText="1"/>
    </xf>
    <xf numFmtId="0" fontId="47" fillId="0" borderId="2" xfId="0" applyFont="1" applyBorder="1" applyAlignment="1">
      <alignment vertical="top" wrapText="1"/>
    </xf>
    <xf numFmtId="0" fontId="32" fillId="4" borderId="63" xfId="0" applyFont="1" applyFill="1" applyBorder="1" applyAlignment="1">
      <alignment horizontal="left" vertical="top"/>
    </xf>
    <xf numFmtId="0" fontId="32" fillId="4" borderId="64" xfId="0" applyFont="1" applyFill="1" applyBorder="1" applyAlignment="1">
      <alignment horizontal="left" vertical="top"/>
    </xf>
    <xf numFmtId="0" fontId="15" fillId="4" borderId="63" xfId="0" applyFont="1" applyFill="1" applyBorder="1"/>
    <xf numFmtId="0" fontId="15" fillId="4" borderId="64" xfId="0" applyFont="1" applyFill="1" applyBorder="1"/>
    <xf numFmtId="0" fontId="5" fillId="4" borderId="54" xfId="0" applyFont="1" applyFill="1" applyBorder="1" applyAlignment="1">
      <alignment vertical="center" wrapText="1"/>
    </xf>
    <xf numFmtId="0" fontId="15" fillId="4" borderId="16" xfId="0" applyFont="1" applyFill="1" applyBorder="1" applyAlignment="1">
      <alignment vertical="center" wrapText="1"/>
    </xf>
    <xf numFmtId="0" fontId="15" fillId="4" borderId="52" xfId="0" applyFont="1" applyFill="1" applyBorder="1" applyAlignment="1">
      <alignment vertical="center" wrapText="1"/>
    </xf>
    <xf numFmtId="0" fontId="15" fillId="4" borderId="71" xfId="0" applyFont="1" applyFill="1" applyBorder="1" applyAlignment="1">
      <alignment vertical="center" wrapText="1"/>
    </xf>
    <xf numFmtId="0" fontId="5" fillId="0" borderId="3" xfId="0" applyFont="1" applyBorder="1" applyAlignment="1">
      <alignment vertical="top" wrapText="1"/>
    </xf>
    <xf numFmtId="0" fontId="15" fillId="0" borderId="2" xfId="0" applyFont="1" applyBorder="1" applyAlignment="1">
      <alignment vertical="top" wrapText="1"/>
    </xf>
    <xf numFmtId="0" fontId="1" fillId="4" borderId="54" xfId="0" applyFont="1" applyFill="1" applyBorder="1" applyAlignment="1">
      <alignment horizontal="left" vertical="top" wrapText="1"/>
    </xf>
    <xf numFmtId="0" fontId="15" fillId="4" borderId="16" xfId="0" applyFont="1" applyFill="1" applyBorder="1" applyAlignment="1">
      <alignment horizontal="left" vertical="top" wrapText="1"/>
    </xf>
    <xf numFmtId="0" fontId="11" fillId="3" borderId="5" xfId="0" applyFont="1" applyFill="1" applyBorder="1" applyAlignment="1" applyProtection="1">
      <alignment vertical="top"/>
      <protection locked="0"/>
    </xf>
    <xf numFmtId="0" fontId="15" fillId="3" borderId="5" xfId="0" applyFont="1" applyFill="1" applyBorder="1" applyAlignment="1" applyProtection="1">
      <alignment vertical="top"/>
      <protection locked="0"/>
    </xf>
    <xf numFmtId="0" fontId="15" fillId="3" borderId="6" xfId="0" applyFont="1" applyFill="1" applyBorder="1" applyAlignment="1" applyProtection="1">
      <alignment vertical="top"/>
      <protection locked="0"/>
    </xf>
    <xf numFmtId="0" fontId="5" fillId="0" borderId="4" xfId="0" applyFont="1" applyBorder="1" applyAlignment="1">
      <alignment vertical="top" wrapText="1"/>
    </xf>
    <xf numFmtId="0" fontId="15" fillId="0" borderId="5" xfId="0" applyFont="1" applyBorder="1" applyAlignment="1">
      <alignment vertical="top" wrapText="1"/>
    </xf>
    <xf numFmtId="0" fontId="32" fillId="6" borderId="52" xfId="0" applyFont="1" applyFill="1" applyBorder="1" applyAlignment="1">
      <alignment horizontal="center" vertical="center"/>
    </xf>
    <xf numFmtId="0" fontId="32" fillId="6" borderId="69" xfId="0" applyFont="1" applyFill="1" applyBorder="1" applyAlignment="1">
      <alignment horizontal="center" vertical="center"/>
    </xf>
    <xf numFmtId="0" fontId="32" fillId="6" borderId="53" xfId="0" applyFont="1" applyFill="1" applyBorder="1" applyAlignment="1">
      <alignment horizontal="center" vertical="center"/>
    </xf>
    <xf numFmtId="0" fontId="15" fillId="0" borderId="50" xfId="0" applyFont="1" applyBorder="1" applyAlignment="1">
      <alignment vertical="center"/>
    </xf>
    <xf numFmtId="0" fontId="15" fillId="0" borderId="66" xfId="0" applyFont="1" applyBorder="1" applyAlignment="1">
      <alignment vertical="center"/>
    </xf>
    <xf numFmtId="0" fontId="15" fillId="3" borderId="72" xfId="0" applyFont="1" applyFill="1" applyBorder="1" applyAlignment="1" applyProtection="1">
      <alignment horizontal="left" vertical="center" wrapText="1"/>
      <protection locked="0"/>
    </xf>
    <xf numFmtId="0" fontId="15" fillId="3" borderId="69" xfId="0" applyFont="1" applyFill="1" applyBorder="1" applyAlignment="1" applyProtection="1">
      <alignment horizontal="left" vertical="center" wrapText="1"/>
      <protection locked="0"/>
    </xf>
    <xf numFmtId="0" fontId="15" fillId="3" borderId="53" xfId="0" applyFont="1" applyFill="1" applyBorder="1" applyAlignment="1" applyProtection="1">
      <alignment horizontal="left" vertical="center" wrapText="1"/>
      <protection locked="0"/>
    </xf>
    <xf numFmtId="0" fontId="15" fillId="4" borderId="50" xfId="0" applyFont="1" applyFill="1" applyBorder="1" applyAlignment="1">
      <alignment wrapText="1"/>
    </xf>
    <xf numFmtId="0" fontId="15" fillId="4" borderId="65" xfId="0" applyFont="1" applyFill="1" applyBorder="1" applyAlignment="1">
      <alignment wrapText="1"/>
    </xf>
    <xf numFmtId="0" fontId="15" fillId="4" borderId="66" xfId="0" applyFont="1" applyFill="1" applyBorder="1" applyAlignment="1">
      <alignment wrapText="1"/>
    </xf>
    <xf numFmtId="0" fontId="15" fillId="4" borderId="78" xfId="0" applyFont="1" applyFill="1" applyBorder="1" applyAlignment="1">
      <alignment wrapText="1"/>
    </xf>
    <xf numFmtId="0" fontId="15" fillId="4" borderId="47" xfId="0" applyFont="1" applyFill="1" applyBorder="1" applyAlignment="1">
      <alignment wrapText="1"/>
    </xf>
    <xf numFmtId="0" fontId="15" fillId="4" borderId="25" xfId="0" applyFont="1" applyFill="1" applyBorder="1" applyAlignment="1">
      <alignment wrapText="1"/>
    </xf>
    <xf numFmtId="0" fontId="32" fillId="6" borderId="12" xfId="0" applyFont="1" applyFill="1" applyBorder="1" applyAlignment="1">
      <alignment horizontal="center" vertical="center" wrapText="1"/>
    </xf>
    <xf numFmtId="0" fontId="32" fillId="6" borderId="55" xfId="0" applyFont="1" applyFill="1" applyBorder="1" applyAlignment="1">
      <alignment horizontal="center" vertical="center" wrapText="1"/>
    </xf>
    <xf numFmtId="0" fontId="15" fillId="4" borderId="12" xfId="0" applyFont="1" applyFill="1" applyBorder="1" applyAlignment="1">
      <alignment horizontal="left" vertical="center"/>
    </xf>
    <xf numFmtId="0" fontId="15" fillId="4" borderId="55" xfId="0" applyFont="1" applyFill="1" applyBorder="1" applyAlignment="1">
      <alignment horizontal="left" vertical="center"/>
    </xf>
    <xf numFmtId="2" fontId="15" fillId="0" borderId="12" xfId="0" applyNumberFormat="1" applyFont="1" applyBorder="1" applyAlignment="1">
      <alignment horizontal="center" vertical="center"/>
    </xf>
    <xf numFmtId="2" fontId="15" fillId="0" borderId="16" xfId="0" applyNumberFormat="1" applyFont="1" applyBorder="1" applyAlignment="1">
      <alignment horizontal="center" vertical="center"/>
    </xf>
    <xf numFmtId="0" fontId="15" fillId="4" borderId="50" xfId="0" applyFont="1" applyFill="1" applyBorder="1" applyAlignment="1">
      <alignment horizontal="left" vertical="center"/>
    </xf>
    <xf numFmtId="0" fontId="15" fillId="4" borderId="66" xfId="0" applyFont="1" applyFill="1" applyBorder="1" applyAlignment="1">
      <alignment horizontal="left" vertical="center"/>
    </xf>
    <xf numFmtId="0" fontId="32" fillId="6" borderId="5" xfId="0" applyFont="1" applyFill="1" applyBorder="1" applyAlignment="1">
      <alignment horizontal="center" vertical="center" wrapText="1"/>
    </xf>
    <xf numFmtId="0" fontId="11" fillId="3" borderId="2" xfId="0" applyFont="1" applyFill="1" applyBorder="1" applyAlignment="1" applyProtection="1">
      <alignment vertical="top"/>
      <protection locked="0"/>
    </xf>
    <xf numFmtId="0" fontId="15" fillId="3" borderId="2" xfId="0" applyFont="1" applyFill="1" applyBorder="1" applyAlignment="1" applyProtection="1">
      <alignment vertical="top"/>
      <protection locked="0"/>
    </xf>
    <xf numFmtId="0" fontId="15" fillId="3" borderId="7" xfId="0" applyFont="1" applyFill="1" applyBorder="1" applyAlignment="1" applyProtection="1">
      <alignment vertical="top"/>
      <protection locked="0"/>
    </xf>
    <xf numFmtId="0" fontId="11" fillId="3" borderId="9" xfId="0" applyFont="1" applyFill="1" applyBorder="1" applyAlignment="1" applyProtection="1">
      <alignment vertical="top"/>
      <protection locked="0"/>
    </xf>
    <xf numFmtId="0" fontId="15" fillId="3" borderId="9" xfId="0" applyFont="1" applyFill="1" applyBorder="1" applyAlignment="1" applyProtection="1">
      <alignment vertical="top"/>
      <protection locked="0"/>
    </xf>
    <xf numFmtId="0" fontId="15" fillId="3" borderId="10" xfId="0" applyFont="1" applyFill="1" applyBorder="1" applyAlignment="1" applyProtection="1">
      <alignment vertical="top"/>
      <protection locked="0"/>
    </xf>
    <xf numFmtId="0" fontId="5" fillId="0" borderId="8" xfId="0" applyFont="1" applyBorder="1" applyAlignment="1">
      <alignment vertical="top" wrapText="1"/>
    </xf>
    <xf numFmtId="0" fontId="15" fillId="0" borderId="9" xfId="0" applyFont="1" applyBorder="1" applyAlignment="1">
      <alignment vertical="top" wrapText="1"/>
    </xf>
    <xf numFmtId="0" fontId="15" fillId="0" borderId="2" xfId="0" applyFont="1" applyBorder="1" applyAlignment="1">
      <alignment vertical="center"/>
    </xf>
    <xf numFmtId="0" fontId="15" fillId="0" borderId="7" xfId="0" applyFont="1" applyBorder="1" applyAlignment="1">
      <alignment vertical="center"/>
    </xf>
    <xf numFmtId="0" fontId="1" fillId="3" borderId="2" xfId="0" applyFont="1" applyFill="1" applyBorder="1" applyAlignment="1" applyProtection="1">
      <alignment vertical="top"/>
      <protection locked="0"/>
    </xf>
    <xf numFmtId="0" fontId="32" fillId="6" borderId="16" xfId="0" applyFont="1" applyFill="1" applyBorder="1" applyAlignment="1">
      <alignment horizontal="center" vertical="center" wrapText="1"/>
    </xf>
    <xf numFmtId="0" fontId="32" fillId="0" borderId="54" xfId="0" applyFont="1" applyBorder="1" applyAlignment="1">
      <alignment wrapText="1"/>
    </xf>
    <xf numFmtId="0" fontId="32" fillId="0" borderId="13" xfId="0" applyFont="1" applyBorder="1" applyAlignment="1">
      <alignment wrapText="1"/>
    </xf>
    <xf numFmtId="0" fontId="32" fillId="0" borderId="55" xfId="0" applyFont="1" applyBorder="1" applyAlignment="1">
      <alignment wrapText="1"/>
    </xf>
    <xf numFmtId="0" fontId="2" fillId="4" borderId="72" xfId="0" applyFont="1" applyFill="1" applyBorder="1" applyAlignment="1">
      <alignment horizontal="left" vertical="top" wrapText="1"/>
    </xf>
    <xf numFmtId="0" fontId="15" fillId="4" borderId="69" xfId="0" applyFont="1" applyFill="1" applyBorder="1" applyAlignment="1">
      <alignment horizontal="left" vertical="top" wrapText="1"/>
    </xf>
    <xf numFmtId="0" fontId="15" fillId="4" borderId="53" xfId="0" applyFont="1" applyFill="1" applyBorder="1" applyAlignment="1">
      <alignment horizontal="left" vertical="top" wrapText="1"/>
    </xf>
    <xf numFmtId="0" fontId="32" fillId="6" borderId="6" xfId="0" applyFont="1" applyFill="1" applyBorder="1" applyAlignment="1">
      <alignment horizontal="center" vertical="center" wrapText="1"/>
    </xf>
    <xf numFmtId="0" fontId="32" fillId="0" borderId="17" xfId="0" applyFont="1" applyBorder="1" applyAlignment="1">
      <alignment vertical="center" wrapText="1"/>
    </xf>
    <xf numFmtId="0" fontId="32" fillId="0" borderId="11" xfId="0" applyFont="1" applyBorder="1" applyAlignment="1">
      <alignment vertical="center" wrapText="1"/>
    </xf>
    <xf numFmtId="0" fontId="32" fillId="0" borderId="18" xfId="0" applyFont="1" applyBorder="1" applyAlignment="1">
      <alignment vertical="center" wrapText="1"/>
    </xf>
    <xf numFmtId="0" fontId="15" fillId="4" borderId="73" xfId="0" applyFont="1" applyFill="1" applyBorder="1" applyAlignment="1">
      <alignment wrapText="1"/>
    </xf>
    <xf numFmtId="0" fontId="15" fillId="4" borderId="20" xfId="0" applyFont="1" applyFill="1" applyBorder="1" applyAlignment="1">
      <alignment wrapText="1"/>
    </xf>
    <xf numFmtId="0" fontId="15" fillId="4" borderId="21" xfId="0" applyFont="1" applyFill="1" applyBorder="1" applyAlignment="1">
      <alignment wrapText="1"/>
    </xf>
    <xf numFmtId="0" fontId="32" fillId="0" borderId="6" xfId="0" applyFont="1" applyBorder="1" applyAlignment="1">
      <alignment vertical="center" wrapText="1"/>
    </xf>
    <xf numFmtId="0" fontId="15" fillId="0" borderId="2" xfId="0" applyFont="1" applyBorder="1" applyAlignment="1">
      <alignment horizontal="left" vertical="center"/>
    </xf>
    <xf numFmtId="0" fontId="15" fillId="0" borderId="7" xfId="0" applyFont="1" applyBorder="1" applyAlignment="1">
      <alignment horizontal="left" vertical="center"/>
    </xf>
    <xf numFmtId="0" fontId="15" fillId="0" borderId="12" xfId="0" applyFont="1" applyBorder="1" applyAlignment="1">
      <alignment horizontal="left" vertical="center"/>
    </xf>
    <xf numFmtId="0" fontId="15" fillId="0" borderId="55" xfId="0" applyFont="1" applyBorder="1" applyAlignment="1">
      <alignment horizontal="left" vertical="center"/>
    </xf>
    <xf numFmtId="0" fontId="15" fillId="0" borderId="50" xfId="0" applyFont="1" applyBorder="1" applyAlignment="1">
      <alignment horizontal="left" vertical="center"/>
    </xf>
    <xf numFmtId="0" fontId="15" fillId="0" borderId="66" xfId="0" applyFont="1" applyBorder="1" applyAlignment="1">
      <alignment horizontal="left" vertical="center"/>
    </xf>
    <xf numFmtId="0" fontId="1" fillId="3" borderId="12" xfId="0" applyFont="1" applyFill="1" applyBorder="1" applyAlignment="1" applyProtection="1">
      <alignment horizontal="left" vertical="top" wrapText="1"/>
      <protection locked="0"/>
    </xf>
    <xf numFmtId="0" fontId="15" fillId="3" borderId="13" xfId="0" applyFont="1" applyFill="1" applyBorder="1" applyAlignment="1" applyProtection="1">
      <alignment horizontal="left" vertical="top" wrapText="1"/>
      <protection locked="0"/>
    </xf>
    <xf numFmtId="0" fontId="15" fillId="3" borderId="55" xfId="0" applyFont="1" applyFill="1" applyBorder="1" applyAlignment="1" applyProtection="1">
      <alignment horizontal="left" vertical="top" wrapText="1"/>
      <protection locked="0"/>
    </xf>
    <xf numFmtId="2" fontId="15" fillId="0" borderId="50" xfId="0" applyNumberFormat="1" applyFont="1" applyBorder="1" applyAlignment="1">
      <alignment horizontal="center" vertical="center"/>
    </xf>
    <xf numFmtId="2" fontId="15" fillId="0" borderId="64" xfId="0" applyNumberFormat="1" applyFont="1" applyBorder="1" applyAlignment="1">
      <alignment horizontal="center" vertical="center"/>
    </xf>
    <xf numFmtId="0" fontId="1" fillId="4" borderId="52" xfId="0" applyFont="1" applyFill="1" applyBorder="1" applyAlignment="1">
      <alignment horizontal="left" vertical="top" wrapText="1"/>
    </xf>
    <xf numFmtId="0" fontId="15" fillId="4" borderId="71" xfId="0" applyFont="1" applyFill="1" applyBorder="1" applyAlignment="1">
      <alignment horizontal="left" vertical="top" wrapText="1"/>
    </xf>
    <xf numFmtId="0" fontId="1" fillId="4" borderId="50" xfId="0" quotePrefix="1" applyFont="1" applyFill="1" applyBorder="1" applyAlignment="1">
      <alignment horizontal="left" vertical="top" wrapText="1"/>
    </xf>
    <xf numFmtId="0" fontId="15" fillId="4" borderId="65" xfId="0" applyFont="1" applyFill="1" applyBorder="1" applyAlignment="1">
      <alignment horizontal="left" vertical="top" wrapText="1"/>
    </xf>
    <xf numFmtId="0" fontId="15" fillId="4" borderId="66" xfId="0" applyFont="1" applyFill="1" applyBorder="1" applyAlignment="1">
      <alignment horizontal="left" vertical="top" wrapText="1"/>
    </xf>
    <xf numFmtId="0" fontId="16" fillId="3" borderId="19" xfId="0" applyFont="1" applyFill="1" applyBorder="1" applyProtection="1">
      <protection locked="0"/>
    </xf>
    <xf numFmtId="0" fontId="16" fillId="3" borderId="20" xfId="0" applyFont="1" applyFill="1" applyBorder="1" applyProtection="1">
      <protection locked="0"/>
    </xf>
    <xf numFmtId="0" fontId="32" fillId="0" borderId="23" xfId="0" applyFont="1" applyBorder="1" applyAlignment="1">
      <alignment vertical="center"/>
    </xf>
    <xf numFmtId="0" fontId="32" fillId="0" borderId="0" xfId="0" applyFont="1" applyAlignment="1">
      <alignment vertical="center"/>
    </xf>
    <xf numFmtId="0" fontId="2" fillId="0" borderId="17" xfId="0" applyFont="1" applyBorder="1" applyAlignment="1">
      <alignment vertical="top" wrapText="1"/>
    </xf>
    <xf numFmtId="0" fontId="2" fillId="0" borderId="11" xfId="0" applyFont="1" applyBorder="1" applyAlignment="1">
      <alignment vertical="top" wrapText="1"/>
    </xf>
    <xf numFmtId="0" fontId="38" fillId="6" borderId="51" xfId="5" applyFont="1" applyFill="1" applyBorder="1" applyAlignment="1">
      <alignment vertical="center"/>
    </xf>
    <xf numFmtId="0" fontId="38" fillId="6" borderId="47" xfId="5" applyFont="1" applyFill="1" applyBorder="1" applyAlignment="1">
      <alignment vertical="center"/>
    </xf>
    <xf numFmtId="0" fontId="38" fillId="6" borderId="51" xfId="5" applyFont="1" applyFill="1" applyBorder="1" applyAlignment="1">
      <alignment horizontal="center" vertical="center"/>
    </xf>
    <xf numFmtId="0" fontId="38" fillId="6" borderId="47" xfId="5" applyFont="1" applyFill="1" applyBorder="1" applyAlignment="1">
      <alignment horizontal="center" vertical="center"/>
    </xf>
    <xf numFmtId="49" fontId="32" fillId="0" borderId="17" xfId="0" applyNumberFormat="1" applyFont="1" applyBorder="1" applyAlignment="1">
      <alignment vertical="top" wrapText="1"/>
    </xf>
    <xf numFmtId="49" fontId="32" fillId="0" borderId="11" xfId="0" applyNumberFormat="1" applyFont="1" applyBorder="1" applyAlignment="1">
      <alignment vertical="top" wrapText="1"/>
    </xf>
    <xf numFmtId="49" fontId="32" fillId="0" borderId="18" xfId="0" applyNumberFormat="1" applyFont="1" applyBorder="1" applyAlignment="1">
      <alignment vertical="top" wrapText="1"/>
    </xf>
    <xf numFmtId="49" fontId="17" fillId="0" borderId="3" xfId="0" applyNumberFormat="1" applyFont="1" applyBorder="1" applyAlignment="1">
      <alignment vertical="top" wrapText="1"/>
    </xf>
    <xf numFmtId="49" fontId="17" fillId="0" borderId="2" xfId="0" applyNumberFormat="1" applyFont="1" applyBorder="1" applyAlignment="1">
      <alignment vertical="top" wrapText="1"/>
    </xf>
    <xf numFmtId="49" fontId="17" fillId="0" borderId="8" xfId="0" applyNumberFormat="1" applyFont="1" applyBorder="1" applyAlignment="1">
      <alignment vertical="top" wrapText="1"/>
    </xf>
    <xf numFmtId="49" fontId="17" fillId="0" borderId="9" xfId="0" applyNumberFormat="1" applyFont="1" applyBorder="1" applyAlignment="1">
      <alignment vertical="top" wrapText="1"/>
    </xf>
    <xf numFmtId="49" fontId="17" fillId="0" borderId="72" xfId="0" applyNumberFormat="1" applyFont="1" applyBorder="1" applyAlignment="1">
      <alignment vertical="top" wrapText="1"/>
    </xf>
    <xf numFmtId="49" fontId="17" fillId="0" borderId="69" xfId="0" applyNumberFormat="1" applyFont="1" applyBorder="1" applyAlignment="1">
      <alignment vertical="top" wrapText="1"/>
    </xf>
    <xf numFmtId="49" fontId="17" fillId="0" borderId="53" xfId="0" applyNumberFormat="1" applyFont="1" applyBorder="1" applyAlignment="1">
      <alignment vertical="top" wrapText="1"/>
    </xf>
    <xf numFmtId="49" fontId="2" fillId="0" borderId="12" xfId="0" applyNumberFormat="1" applyFont="1" applyBorder="1" applyAlignment="1">
      <alignment vertical="top" wrapText="1"/>
    </xf>
    <xf numFmtId="49" fontId="17" fillId="0" borderId="13" xfId="0" applyNumberFormat="1" applyFont="1" applyBorder="1" applyAlignment="1">
      <alignment vertical="top" wrapText="1"/>
    </xf>
    <xf numFmtId="49" fontId="17" fillId="0" borderId="55" xfId="0" applyNumberFormat="1" applyFont="1" applyBorder="1" applyAlignment="1">
      <alignment vertical="top" wrapText="1"/>
    </xf>
    <xf numFmtId="49" fontId="2" fillId="0" borderId="60" xfId="0" applyNumberFormat="1" applyFont="1" applyBorder="1" applyAlignment="1">
      <alignment vertical="top" wrapText="1"/>
    </xf>
    <xf numFmtId="49" fontId="17" fillId="0" borderId="61" xfId="0" applyNumberFormat="1" applyFont="1" applyBorder="1" applyAlignment="1">
      <alignment vertical="top" wrapText="1"/>
    </xf>
    <xf numFmtId="49" fontId="17" fillId="0" borderId="62" xfId="0" applyNumberFormat="1" applyFont="1" applyBorder="1" applyAlignment="1">
      <alignment vertical="top" wrapText="1"/>
    </xf>
    <xf numFmtId="49" fontId="17" fillId="0" borderId="7" xfId="0" applyNumberFormat="1" applyFont="1" applyBorder="1" applyAlignment="1">
      <alignment vertical="top" wrapText="1"/>
    </xf>
    <xf numFmtId="49" fontId="17" fillId="0" borderId="12" xfId="0" applyNumberFormat="1" applyFont="1" applyBorder="1" applyAlignment="1">
      <alignment vertical="top" wrapText="1"/>
    </xf>
    <xf numFmtId="49" fontId="17" fillId="0" borderId="10" xfId="0" applyNumberFormat="1" applyFont="1" applyBorder="1" applyAlignment="1">
      <alignment vertical="top" wrapText="1"/>
    </xf>
    <xf numFmtId="49" fontId="17" fillId="0" borderId="50" xfId="0" applyNumberFormat="1" applyFont="1" applyBorder="1" applyAlignment="1">
      <alignment vertical="top" wrapText="1"/>
    </xf>
    <xf numFmtId="49" fontId="17" fillId="0" borderId="66" xfId="0" applyNumberFormat="1" applyFont="1" applyBorder="1" applyAlignment="1">
      <alignment vertical="top" wrapText="1"/>
    </xf>
    <xf numFmtId="49" fontId="60" fillId="0" borderId="20" xfId="0" applyNumberFormat="1" applyFont="1" applyBorder="1" applyAlignment="1">
      <alignment vertical="top" wrapText="1"/>
    </xf>
    <xf numFmtId="49" fontId="2" fillId="0" borderId="51" xfId="0" applyNumberFormat="1" applyFont="1" applyBorder="1" applyAlignment="1">
      <alignment vertical="top" wrapText="1"/>
    </xf>
    <xf numFmtId="49" fontId="17" fillId="0" borderId="47" xfId="0" applyNumberFormat="1" applyFont="1" applyBorder="1" applyAlignment="1">
      <alignment vertical="top" wrapText="1"/>
    </xf>
    <xf numFmtId="49" fontId="17" fillId="0" borderId="25" xfId="0" applyNumberFormat="1" applyFont="1" applyBorder="1" applyAlignment="1">
      <alignment vertical="top" wrapText="1"/>
    </xf>
    <xf numFmtId="49" fontId="30" fillId="6" borderId="51" xfId="12" applyNumberFormat="1" applyFont="1" applyFill="1" applyBorder="1" applyAlignment="1">
      <alignment horizontal="center" vertical="top" wrapText="1"/>
    </xf>
    <xf numFmtId="49" fontId="30" fillId="6" borderId="47" xfId="12" applyNumberFormat="1" applyFont="1" applyFill="1" applyBorder="1" applyAlignment="1">
      <alignment horizontal="center" vertical="top" wrapText="1"/>
    </xf>
    <xf numFmtId="49" fontId="30" fillId="6" borderId="25" xfId="12" applyNumberFormat="1" applyFont="1" applyFill="1" applyBorder="1" applyAlignment="1">
      <alignment horizontal="center" vertical="top" wrapText="1"/>
    </xf>
    <xf numFmtId="49" fontId="32" fillId="0" borderId="4" xfId="0" applyNumberFormat="1" applyFont="1" applyBorder="1" applyAlignment="1">
      <alignment vertical="top" wrapText="1"/>
    </xf>
    <xf numFmtId="49" fontId="32" fillId="0" borderId="5" xfId="0" applyNumberFormat="1" applyFont="1" applyBorder="1" applyAlignment="1">
      <alignment vertical="top" wrapText="1"/>
    </xf>
    <xf numFmtId="49" fontId="32" fillId="0" borderId="6" xfId="0" applyNumberFormat="1" applyFont="1" applyBorder="1" applyAlignment="1">
      <alignment vertical="top" wrapText="1"/>
    </xf>
    <xf numFmtId="49" fontId="42" fillId="0" borderId="2" xfId="0" applyNumberFormat="1" applyFont="1" applyBorder="1" applyAlignment="1">
      <alignment vertical="top" wrapText="1"/>
    </xf>
    <xf numFmtId="49" fontId="42" fillId="0" borderId="7" xfId="0" applyNumberFormat="1" applyFont="1" applyBorder="1" applyAlignment="1">
      <alignment vertical="top" wrapText="1"/>
    </xf>
    <xf numFmtId="49" fontId="32" fillId="0" borderId="67" xfId="0" applyNumberFormat="1" applyFont="1" applyBorder="1" applyAlignment="1">
      <alignment vertical="top" wrapText="1"/>
    </xf>
    <xf numFmtId="49" fontId="32" fillId="0" borderId="56" xfId="0" applyNumberFormat="1" applyFont="1" applyBorder="1" applyAlignment="1">
      <alignment vertical="top" wrapText="1"/>
    </xf>
    <xf numFmtId="49" fontId="32" fillId="0" borderId="57" xfId="0" applyNumberFormat="1" applyFont="1" applyBorder="1" applyAlignment="1">
      <alignment vertical="top" wrapText="1"/>
    </xf>
    <xf numFmtId="49" fontId="1" fillId="0" borderId="60" xfId="0" applyNumberFormat="1" applyFont="1" applyBorder="1" applyAlignment="1">
      <alignment vertical="top" wrapText="1"/>
    </xf>
    <xf numFmtId="49" fontId="17" fillId="0" borderId="49" xfId="0" applyNumberFormat="1" applyFont="1" applyBorder="1" applyAlignment="1">
      <alignment vertical="top" wrapText="1"/>
    </xf>
    <xf numFmtId="49" fontId="17" fillId="0" borderId="56" xfId="0" applyNumberFormat="1" applyFont="1" applyBorder="1" applyAlignment="1">
      <alignment vertical="top" wrapText="1"/>
    </xf>
    <xf numFmtId="49" fontId="17" fillId="0" borderId="57" xfId="0" applyNumberFormat="1" applyFont="1" applyBorder="1" applyAlignment="1">
      <alignment vertical="top" wrapText="1"/>
    </xf>
    <xf numFmtId="0" fontId="17" fillId="0" borderId="12" xfId="0" applyFont="1" applyBorder="1" applyAlignment="1">
      <alignment vertical="top" wrapText="1"/>
    </xf>
    <xf numFmtId="0" fontId="17" fillId="0" borderId="13" xfId="0" applyFont="1" applyBorder="1" applyAlignment="1">
      <alignment vertical="top" wrapText="1"/>
    </xf>
    <xf numFmtId="0" fontId="17" fillId="0" borderId="55" xfId="0" applyFont="1" applyBorder="1" applyAlignment="1">
      <alignment vertical="top" wrapText="1"/>
    </xf>
    <xf numFmtId="49" fontId="47" fillId="0" borderId="12" xfId="0" applyNumberFormat="1" applyFont="1" applyBorder="1" applyAlignment="1">
      <alignment vertical="top" wrapText="1"/>
    </xf>
    <xf numFmtId="49" fontId="47" fillId="0" borderId="13" xfId="0" applyNumberFormat="1" applyFont="1" applyBorder="1" applyAlignment="1">
      <alignment vertical="top" wrapText="1"/>
    </xf>
    <xf numFmtId="49" fontId="47" fillId="0" borderId="55" xfId="0" applyNumberFormat="1" applyFont="1" applyBorder="1" applyAlignment="1">
      <alignment vertical="top" wrapText="1"/>
    </xf>
    <xf numFmtId="49" fontId="1" fillId="0" borderId="13" xfId="0" applyNumberFormat="1" applyFont="1" applyBorder="1" applyAlignment="1">
      <alignment vertical="top" wrapText="1"/>
    </xf>
    <xf numFmtId="49" fontId="32" fillId="0" borderId="52" xfId="0" applyNumberFormat="1" applyFont="1" applyBorder="1" applyAlignment="1">
      <alignment vertical="top" wrapText="1"/>
    </xf>
    <xf numFmtId="49" fontId="32" fillId="0" borderId="69" xfId="0" applyNumberFormat="1" applyFont="1" applyBorder="1" applyAlignment="1">
      <alignment vertical="top" wrapText="1"/>
    </xf>
    <xf numFmtId="49" fontId="32" fillId="0" borderId="53" xfId="0" applyNumberFormat="1" applyFont="1" applyBorder="1" applyAlignment="1">
      <alignment vertical="top" wrapText="1"/>
    </xf>
    <xf numFmtId="0" fontId="17" fillId="0" borderId="50" xfId="0" applyFont="1" applyBorder="1" applyAlignment="1">
      <alignment vertical="top" wrapText="1"/>
    </xf>
    <xf numFmtId="0" fontId="17" fillId="0" borderId="65" xfId="0" applyFont="1" applyBorder="1" applyAlignment="1">
      <alignment vertical="top" wrapText="1"/>
    </xf>
    <xf numFmtId="0" fontId="17" fillId="0" borderId="66" xfId="0" applyFont="1" applyBorder="1" applyAlignment="1">
      <alignment vertical="top" wrapText="1"/>
    </xf>
    <xf numFmtId="49" fontId="1" fillId="0" borderId="12" xfId="0" applyNumberFormat="1" applyFont="1" applyBorder="1" applyAlignment="1">
      <alignment vertical="top" wrapText="1"/>
    </xf>
    <xf numFmtId="0" fontId="17" fillId="0" borderId="10" xfId="0" applyFont="1" applyBorder="1" applyAlignment="1">
      <alignment vertical="top" wrapText="1"/>
    </xf>
    <xf numFmtId="49" fontId="2" fillId="0" borderId="2" xfId="0" applyNumberFormat="1" applyFont="1" applyBorder="1" applyAlignment="1">
      <alignment vertical="top" wrapText="1"/>
    </xf>
    <xf numFmtId="0" fontId="2" fillId="0" borderId="2" xfId="0" applyFont="1" applyBorder="1" applyAlignment="1">
      <alignment vertical="top" wrapText="1"/>
    </xf>
    <xf numFmtId="0" fontId="17" fillId="0" borderId="7" xfId="0" applyFont="1" applyBorder="1" applyAlignment="1">
      <alignment vertical="top" wrapText="1"/>
    </xf>
    <xf numFmtId="0" fontId="32" fillId="0" borderId="52" xfId="0" applyFont="1" applyBorder="1" applyAlignment="1">
      <alignment vertical="top" wrapText="1"/>
    </xf>
    <xf numFmtId="0" fontId="32" fillId="0" borderId="69" xfId="0" applyFont="1" applyBorder="1" applyAlignment="1">
      <alignment vertical="top" wrapText="1"/>
    </xf>
    <xf numFmtId="0" fontId="32" fillId="0" borderId="53" xfId="0" applyFont="1" applyBorder="1" applyAlignment="1">
      <alignment vertical="top" wrapText="1"/>
    </xf>
    <xf numFmtId="0" fontId="32" fillId="0" borderId="4" xfId="0" applyFont="1" applyBorder="1" applyAlignment="1">
      <alignment vertical="top" wrapText="1"/>
    </xf>
    <xf numFmtId="0" fontId="32" fillId="0" borderId="5" xfId="0" applyFont="1" applyBorder="1" applyAlignment="1">
      <alignment vertical="top" wrapText="1"/>
    </xf>
    <xf numFmtId="0" fontId="32" fillId="0" borderId="6" xfId="0" applyFont="1" applyBorder="1" applyAlignment="1">
      <alignment vertical="top" wrapText="1"/>
    </xf>
    <xf numFmtId="49" fontId="17" fillId="0" borderId="16" xfId="0" applyNumberFormat="1" applyFont="1" applyBorder="1" applyAlignment="1">
      <alignment vertical="top" wrapText="1"/>
    </xf>
    <xf numFmtId="0" fontId="2" fillId="0" borderId="12" xfId="0" applyFont="1" applyBorder="1" applyAlignment="1">
      <alignment vertical="top" wrapText="1"/>
    </xf>
    <xf numFmtId="49" fontId="17" fillId="0" borderId="60" xfId="0" applyNumberFormat="1" applyFont="1" applyBorder="1" applyAlignment="1">
      <alignment vertical="top" wrapText="1"/>
    </xf>
    <xf numFmtId="49" fontId="2" fillId="0" borderId="12" xfId="0" applyNumberFormat="1" applyFont="1" applyBorder="1" applyAlignment="1">
      <alignment horizontal="left" vertical="top" wrapText="1"/>
    </xf>
    <xf numFmtId="49" fontId="17" fillId="0" borderId="55" xfId="0" applyNumberFormat="1" applyFont="1" applyBorder="1" applyAlignment="1">
      <alignment horizontal="left" vertical="top" wrapText="1"/>
    </xf>
    <xf numFmtId="0" fontId="17" fillId="4" borderId="12" xfId="0" applyFont="1" applyFill="1" applyBorder="1" applyAlignment="1">
      <alignment vertical="top" wrapText="1"/>
    </xf>
    <xf numFmtId="0" fontId="17" fillId="4" borderId="13" xfId="0" applyFont="1" applyFill="1" applyBorder="1" applyAlignment="1">
      <alignment vertical="top" wrapText="1"/>
    </xf>
    <xf numFmtId="0" fontId="17" fillId="4" borderId="55" xfId="0" applyFont="1" applyFill="1" applyBorder="1" applyAlignment="1">
      <alignment vertical="top" wrapText="1"/>
    </xf>
    <xf numFmtId="49" fontId="49" fillId="0" borderId="0" xfId="0" applyNumberFormat="1" applyFont="1" applyAlignment="1">
      <alignment vertical="top" wrapText="1"/>
    </xf>
    <xf numFmtId="49" fontId="60" fillId="0" borderId="0" xfId="0" applyNumberFormat="1" applyFont="1" applyAlignment="1">
      <alignment vertical="top" wrapText="1"/>
    </xf>
    <xf numFmtId="0" fontId="17" fillId="4" borderId="3" xfId="12" applyFont="1" applyFill="1" applyBorder="1" applyAlignment="1">
      <alignment horizontal="left" vertical="center"/>
    </xf>
    <xf numFmtId="0" fontId="42" fillId="0" borderId="8" xfId="12" applyFont="1" applyBorder="1" applyAlignment="1">
      <alignment horizontal="left" vertical="top"/>
    </xf>
    <xf numFmtId="0" fontId="42" fillId="0" borderId="9" xfId="12" applyFont="1" applyBorder="1" applyAlignment="1">
      <alignment horizontal="left" vertical="top"/>
    </xf>
    <xf numFmtId="0" fontId="49" fillId="0" borderId="0" xfId="12" applyFont="1" applyAlignment="1">
      <alignment horizontal="center" vertical="top"/>
    </xf>
    <xf numFmtId="0" fontId="60" fillId="0" borderId="47" xfId="12" applyFont="1" applyBorder="1" applyAlignment="1">
      <alignment horizontal="center" vertical="center" wrapText="1"/>
    </xf>
    <xf numFmtId="0" fontId="32" fillId="6" borderId="14" xfId="12" applyFont="1" applyFill="1" applyBorder="1" applyAlignment="1">
      <alignment horizontal="center" vertical="center"/>
    </xf>
    <xf numFmtId="0" fontId="32" fillId="6" borderId="37" xfId="12" applyFont="1" applyFill="1" applyBorder="1" applyAlignment="1">
      <alignment horizontal="center" vertical="center"/>
    </xf>
    <xf numFmtId="0" fontId="32" fillId="6" borderId="15" xfId="12" applyFont="1" applyFill="1" applyBorder="1" applyAlignment="1">
      <alignment horizontal="center" vertical="center"/>
    </xf>
    <xf numFmtId="0" fontId="2" fillId="4" borderId="38" xfId="12" applyFont="1" applyFill="1" applyBorder="1" applyAlignment="1">
      <alignment horizontal="left" vertical="top" wrapText="1"/>
    </xf>
    <xf numFmtId="0" fontId="17" fillId="4" borderId="39" xfId="12" applyFont="1" applyFill="1" applyBorder="1" applyAlignment="1">
      <alignment horizontal="left" vertical="top" wrapText="1"/>
    </xf>
    <xf numFmtId="0" fontId="17" fillId="4" borderId="40" xfId="12" applyFont="1" applyFill="1" applyBorder="1" applyAlignment="1">
      <alignment horizontal="left" vertical="top" wrapText="1"/>
    </xf>
    <xf numFmtId="0" fontId="1" fillId="4" borderId="38" xfId="12" applyFont="1" applyFill="1" applyBorder="1" applyAlignment="1">
      <alignment horizontal="left" vertical="top" wrapText="1"/>
    </xf>
    <xf numFmtId="0" fontId="1" fillId="4" borderId="39" xfId="12" applyFont="1" applyFill="1" applyBorder="1" applyAlignment="1">
      <alignment horizontal="left" vertical="top" wrapText="1"/>
    </xf>
    <xf numFmtId="0" fontId="1" fillId="4" borderId="40" xfId="12" applyFont="1" applyFill="1" applyBorder="1" applyAlignment="1">
      <alignment horizontal="left" vertical="top" wrapText="1"/>
    </xf>
    <xf numFmtId="0" fontId="59" fillId="0" borderId="81" xfId="10" applyBorder="1" applyAlignment="1">
      <alignment horizontal="left" vertical="top" wrapText="1"/>
    </xf>
    <xf numFmtId="0" fontId="1" fillId="0" borderId="85" xfId="0" applyFont="1" applyBorder="1" applyAlignment="1">
      <alignment horizontal="left" vertical="top" wrapText="1"/>
    </xf>
    <xf numFmtId="0" fontId="1" fillId="0" borderId="44" xfId="0" applyFont="1" applyBorder="1" applyAlignment="1">
      <alignment horizontal="left" vertical="top" wrapText="1"/>
    </xf>
    <xf numFmtId="0" fontId="1" fillId="0" borderId="4" xfId="0" applyFont="1" applyBorder="1" applyAlignment="1">
      <alignment wrapText="1"/>
    </xf>
    <xf numFmtId="0" fontId="1" fillId="0" borderId="5" xfId="0" applyFont="1" applyBorder="1" applyAlignment="1">
      <alignment wrapText="1"/>
    </xf>
    <xf numFmtId="0" fontId="1" fillId="0" borderId="8" xfId="0" applyFont="1" applyBorder="1" applyAlignment="1">
      <alignment wrapText="1"/>
    </xf>
    <xf numFmtId="0" fontId="1" fillId="0" borderId="9" xfId="0" applyFont="1" applyBorder="1" applyAlignment="1">
      <alignment wrapText="1"/>
    </xf>
    <xf numFmtId="0" fontId="60" fillId="4" borderId="75" xfId="12" applyFont="1" applyFill="1" applyBorder="1" applyAlignment="1">
      <alignment horizontal="left" vertical="top" wrapText="1"/>
    </xf>
    <xf numFmtId="0" fontId="60" fillId="4" borderId="0" xfId="12" applyFont="1" applyFill="1" applyAlignment="1">
      <alignment horizontal="left" vertical="top" wrapText="1"/>
    </xf>
    <xf numFmtId="0" fontId="60" fillId="4" borderId="74" xfId="12" applyFont="1" applyFill="1" applyBorder="1" applyAlignment="1">
      <alignment horizontal="left" vertical="top" wrapText="1"/>
    </xf>
    <xf numFmtId="0" fontId="60" fillId="4" borderId="49" xfId="12" applyFont="1" applyFill="1" applyBorder="1" applyAlignment="1">
      <alignment horizontal="left" vertical="top" wrapText="1"/>
    </xf>
    <xf numFmtId="0" fontId="60" fillId="4" borderId="56" xfId="12" applyFont="1" applyFill="1" applyBorder="1" applyAlignment="1">
      <alignment horizontal="left" vertical="top" wrapText="1"/>
    </xf>
    <xf numFmtId="0" fontId="60" fillId="4" borderId="68" xfId="12" applyFont="1" applyFill="1" applyBorder="1" applyAlignment="1">
      <alignment horizontal="left" vertical="top" wrapText="1"/>
    </xf>
    <xf numFmtId="0" fontId="17" fillId="4" borderId="17" xfId="12" applyFont="1" applyFill="1" applyBorder="1" applyAlignment="1">
      <alignment vertical="top" wrapText="1"/>
    </xf>
    <xf numFmtId="0" fontId="17" fillId="3" borderId="60" xfId="12" applyFont="1" applyFill="1" applyBorder="1" applyAlignment="1" applyProtection="1">
      <alignment horizontal="left" vertical="center" wrapText="1"/>
      <protection locked="0"/>
    </xf>
    <xf numFmtId="0" fontId="17" fillId="3" borderId="61" xfId="12" applyFont="1" applyFill="1" applyBorder="1" applyAlignment="1" applyProtection="1">
      <alignment horizontal="left" vertical="center" wrapText="1"/>
      <protection locked="0"/>
    </xf>
    <xf numFmtId="0" fontId="17" fillId="4" borderId="17" xfId="12" applyFont="1" applyFill="1" applyBorder="1" applyAlignment="1">
      <alignment horizontal="left" vertical="top" wrapText="1"/>
    </xf>
    <xf numFmtId="0" fontId="17" fillId="4" borderId="18" xfId="12" applyFont="1" applyFill="1" applyBorder="1" applyAlignment="1">
      <alignment horizontal="left" vertical="top" wrapText="1"/>
    </xf>
    <xf numFmtId="49" fontId="71" fillId="3" borderId="12" xfId="13" applyNumberFormat="1" applyFont="1" applyFill="1" applyBorder="1" applyAlignment="1" applyProtection="1">
      <alignment horizontal="left" vertical="center" wrapText="1"/>
      <protection locked="0"/>
    </xf>
    <xf numFmtId="49" fontId="71" fillId="3" borderId="13" xfId="12" applyNumberFormat="1" applyFont="1" applyFill="1" applyBorder="1" applyAlignment="1" applyProtection="1">
      <alignment horizontal="left" vertical="center" wrapText="1"/>
      <protection locked="0"/>
    </xf>
    <xf numFmtId="49" fontId="71" fillId="3" borderId="16" xfId="12" applyNumberFormat="1" applyFont="1" applyFill="1" applyBorder="1" applyAlignment="1" applyProtection="1">
      <alignment horizontal="left" vertical="center" wrapText="1"/>
      <protection locked="0"/>
    </xf>
    <xf numFmtId="0" fontId="32" fillId="4" borderId="23" xfId="12" applyFont="1" applyFill="1" applyBorder="1" applyAlignment="1">
      <alignment horizontal="left" vertical="center" wrapText="1"/>
    </xf>
    <xf numFmtId="0" fontId="32" fillId="4" borderId="0" xfId="12" applyFont="1" applyFill="1" applyAlignment="1">
      <alignment horizontal="left" vertical="center" wrapText="1"/>
    </xf>
    <xf numFmtId="0" fontId="32" fillId="4" borderId="22" xfId="12" applyFont="1" applyFill="1" applyBorder="1" applyAlignment="1">
      <alignment horizontal="left" vertical="center" wrapText="1"/>
    </xf>
    <xf numFmtId="0" fontId="1" fillId="3" borderId="12" xfId="12" applyFont="1" applyFill="1" applyBorder="1" applyAlignment="1" applyProtection="1">
      <alignment horizontal="left" vertical="center" wrapText="1"/>
      <protection locked="0"/>
    </xf>
    <xf numFmtId="0" fontId="17" fillId="4" borderId="53" xfId="12" applyFont="1" applyFill="1" applyBorder="1" applyAlignment="1">
      <alignment horizontal="left" vertical="top" wrapText="1"/>
    </xf>
    <xf numFmtId="0" fontId="32" fillId="4" borderId="58" xfId="12" applyFont="1" applyFill="1" applyBorder="1" applyAlignment="1">
      <alignment horizontal="left" vertical="top" wrapText="1"/>
    </xf>
    <xf numFmtId="0" fontId="32" fillId="4" borderId="61" xfId="12" applyFont="1" applyFill="1" applyBorder="1" applyAlignment="1">
      <alignment horizontal="left" vertical="top" wrapText="1"/>
    </xf>
    <xf numFmtId="0" fontId="32" fillId="4" borderId="62" xfId="12" applyFont="1" applyFill="1" applyBorder="1" applyAlignment="1">
      <alignment horizontal="left" vertical="top" wrapText="1"/>
    </xf>
    <xf numFmtId="0" fontId="60" fillId="0" borderId="20" xfId="12" applyFont="1" applyBorder="1" applyAlignment="1">
      <alignment horizontal="center" vertical="center" wrapText="1"/>
    </xf>
    <xf numFmtId="0" fontId="17" fillId="4" borderId="51" xfId="12" applyFont="1" applyFill="1" applyBorder="1" applyAlignment="1">
      <alignment horizontal="left" vertical="center" wrapText="1"/>
    </xf>
    <xf numFmtId="0" fontId="17" fillId="4" borderId="47" xfId="12" applyFont="1" applyFill="1" applyBorder="1" applyAlignment="1">
      <alignment horizontal="left" vertical="center" wrapText="1"/>
    </xf>
    <xf numFmtId="0" fontId="17" fillId="4" borderId="25" xfId="12" applyFont="1" applyFill="1" applyBorder="1" applyAlignment="1">
      <alignment horizontal="left" vertical="center" wrapText="1"/>
    </xf>
    <xf numFmtId="0" fontId="42" fillId="0" borderId="3" xfId="12" applyFont="1" applyBorder="1" applyAlignment="1">
      <alignment horizontal="left" vertical="top"/>
    </xf>
    <xf numFmtId="0" fontId="42" fillId="0" borderId="2" xfId="12" applyFont="1" applyBorder="1" applyAlignment="1">
      <alignment horizontal="left" vertical="top"/>
    </xf>
    <xf numFmtId="0" fontId="2" fillId="4" borderId="41" xfId="12" applyFont="1" applyFill="1" applyBorder="1" applyAlignment="1">
      <alignment horizontal="left" vertical="center" wrapText="1"/>
    </xf>
    <xf numFmtId="0" fontId="17" fillId="4" borderId="43" xfId="12" applyFont="1" applyFill="1" applyBorder="1" applyAlignment="1">
      <alignment horizontal="left" vertical="center" wrapText="1"/>
    </xf>
    <xf numFmtId="0" fontId="41" fillId="4" borderId="4" xfId="12" applyFont="1" applyFill="1" applyBorder="1" applyAlignment="1">
      <alignment horizontal="left" vertical="top" wrapText="1"/>
    </xf>
    <xf numFmtId="0" fontId="41" fillId="4" borderId="5" xfId="12" applyFont="1" applyFill="1" applyBorder="1" applyAlignment="1">
      <alignment horizontal="left" vertical="top" wrapText="1"/>
    </xf>
    <xf numFmtId="0" fontId="41" fillId="4" borderId="6" xfId="12" applyFont="1" applyFill="1" applyBorder="1" applyAlignment="1">
      <alignment horizontal="left" vertical="top" wrapText="1"/>
    </xf>
    <xf numFmtId="0" fontId="42" fillId="0" borderId="3" xfId="12" applyFont="1" applyBorder="1" applyAlignment="1">
      <alignment horizontal="left" vertical="top" wrapText="1"/>
    </xf>
    <xf numFmtId="0" fontId="42" fillId="0" borderId="2" xfId="12" applyFont="1" applyBorder="1" applyAlignment="1">
      <alignment horizontal="left" vertical="top" wrapText="1"/>
    </xf>
    <xf numFmtId="0" fontId="42" fillId="0" borderId="7" xfId="12" applyFont="1" applyBorder="1" applyAlignment="1">
      <alignment horizontal="left" vertical="top" wrapText="1"/>
    </xf>
    <xf numFmtId="0" fontId="17" fillId="4" borderId="9" xfId="12" applyFont="1" applyFill="1" applyBorder="1" applyAlignment="1">
      <alignment horizontal="center" vertical="center"/>
    </xf>
    <xf numFmtId="0" fontId="32" fillId="4" borderId="2" xfId="12" applyFont="1" applyFill="1" applyBorder="1" applyAlignment="1">
      <alignment horizontal="center" vertical="center" wrapText="1"/>
    </xf>
    <xf numFmtId="0" fontId="17" fillId="4" borderId="2" xfId="12" applyFont="1" applyFill="1" applyBorder="1" applyAlignment="1">
      <alignment horizontal="center" vertical="center"/>
    </xf>
    <xf numFmtId="0" fontId="17" fillId="4" borderId="8" xfId="12" applyFont="1" applyFill="1" applyBorder="1" applyAlignment="1">
      <alignment horizontal="left" vertical="center"/>
    </xf>
    <xf numFmtId="0" fontId="17" fillId="4" borderId="9" xfId="12" applyFont="1" applyFill="1" applyBorder="1" applyAlignment="1">
      <alignment horizontal="left" vertical="center"/>
    </xf>
    <xf numFmtId="0" fontId="32" fillId="4" borderId="2" xfId="12" applyFont="1" applyFill="1" applyBorder="1" applyAlignment="1">
      <alignment horizontal="left" vertical="center" wrapText="1"/>
    </xf>
    <xf numFmtId="2" fontId="17" fillId="4" borderId="2" xfId="12" applyNumberFormat="1" applyFont="1" applyFill="1" applyBorder="1" applyAlignment="1">
      <alignment horizontal="center" vertical="center"/>
    </xf>
    <xf numFmtId="0" fontId="42" fillId="4" borderId="14" xfId="12" applyFont="1" applyFill="1" applyBorder="1" applyAlignment="1">
      <alignment horizontal="left" vertical="top" wrapText="1"/>
    </xf>
    <xf numFmtId="0" fontId="42" fillId="4" borderId="37" xfId="12" applyFont="1" applyFill="1" applyBorder="1" applyAlignment="1">
      <alignment horizontal="left" vertical="top" wrapText="1"/>
    </xf>
    <xf numFmtId="0" fontId="42" fillId="4" borderId="23" xfId="12" applyFont="1" applyFill="1" applyBorder="1" applyAlignment="1">
      <alignment horizontal="left" vertical="top" wrapText="1"/>
    </xf>
    <xf numFmtId="0" fontId="42" fillId="4" borderId="0" xfId="12" applyFont="1" applyFill="1" applyAlignment="1">
      <alignment horizontal="left" vertical="top" wrapText="1"/>
    </xf>
    <xf numFmtId="0" fontId="42" fillId="4" borderId="22" xfId="12" applyFont="1" applyFill="1" applyBorder="1" applyAlignment="1">
      <alignment horizontal="left" vertical="top" wrapText="1"/>
    </xf>
    <xf numFmtId="0" fontId="54" fillId="0" borderId="0" xfId="12" applyFont="1" applyAlignment="1">
      <alignment horizontal="center" vertical="top"/>
    </xf>
    <xf numFmtId="0" fontId="48" fillId="6" borderId="51" xfId="12" applyFont="1" applyFill="1" applyBorder="1" applyAlignment="1">
      <alignment horizontal="center" vertical="top"/>
    </xf>
    <xf numFmtId="0" fontId="48" fillId="6" borderId="47" xfId="12" applyFont="1" applyFill="1" applyBorder="1" applyAlignment="1">
      <alignment horizontal="center" vertical="top"/>
    </xf>
    <xf numFmtId="0" fontId="48" fillId="6" borderId="25" xfId="12" applyFont="1" applyFill="1" applyBorder="1" applyAlignment="1">
      <alignment horizontal="center" vertical="top"/>
    </xf>
    <xf numFmtId="0" fontId="42" fillId="0" borderId="51" xfId="12" applyFont="1" applyBorder="1" applyAlignment="1">
      <alignment horizontal="left" vertical="top" wrapText="1"/>
    </xf>
    <xf numFmtId="0" fontId="42" fillId="0" borderId="47" xfId="12" applyFont="1" applyBorder="1" applyAlignment="1">
      <alignment horizontal="left" vertical="top" wrapText="1"/>
    </xf>
    <xf numFmtId="0" fontId="42" fillId="0" borderId="25" xfId="12" applyFont="1" applyBorder="1" applyAlignment="1">
      <alignment horizontal="left" vertical="top" wrapText="1"/>
    </xf>
    <xf numFmtId="0" fontId="41" fillId="4" borderId="23" xfId="12" applyFont="1" applyFill="1" applyBorder="1" applyAlignment="1">
      <alignment horizontal="left" vertical="top" wrapText="1"/>
    </xf>
    <xf numFmtId="0" fontId="41" fillId="4" borderId="0" xfId="12" applyFont="1" applyFill="1" applyAlignment="1">
      <alignment horizontal="left" vertical="top" wrapText="1"/>
    </xf>
    <xf numFmtId="0" fontId="41" fillId="7" borderId="49" xfId="12" applyFont="1" applyFill="1" applyBorder="1" applyAlignment="1">
      <alignment horizontal="left" vertical="top" wrapText="1"/>
    </xf>
    <xf numFmtId="0" fontId="41" fillId="7" borderId="57" xfId="12" applyFont="1" applyFill="1" applyBorder="1" applyAlignment="1">
      <alignment horizontal="left" vertical="top" wrapText="1"/>
    </xf>
    <xf numFmtId="2" fontId="17" fillId="4" borderId="9" xfId="12" applyNumberFormat="1" applyFont="1" applyFill="1" applyBorder="1" applyAlignment="1">
      <alignment horizontal="center" vertical="center"/>
    </xf>
    <xf numFmtId="0" fontId="32" fillId="4" borderId="3" xfId="12" applyFont="1" applyFill="1" applyBorder="1" applyAlignment="1">
      <alignment horizontal="left" vertical="center" wrapText="1"/>
    </xf>
  </cellXfs>
  <cellStyles count="19">
    <cellStyle name="Currency" xfId="18" builtinId="4"/>
    <cellStyle name="Currency 2" xfId="14" xr:uid="{94933CBA-1A11-4299-BBC7-5D0FA96443C6}"/>
    <cellStyle name="Hyperlink" xfId="10" builtinId="8" customBuiltin="1"/>
    <cellStyle name="Hyperlink 2" xfId="8" xr:uid="{00000000-0005-0000-0000-000001000000}"/>
    <cellStyle name="Hyperlink 3" xfId="13" xr:uid="{15554562-1DF9-4DD2-AE96-91CC9034755F}"/>
    <cellStyle name="Normal" xfId="0" builtinId="0"/>
    <cellStyle name="Normal 2" xfId="2" xr:uid="{00000000-0005-0000-0000-000003000000}"/>
    <cellStyle name="Normal 2 2" xfId="5" xr:uid="{00000000-0005-0000-0000-000004000000}"/>
    <cellStyle name="Normal 3" xfId="4" xr:uid="{00000000-0005-0000-0000-000005000000}"/>
    <cellStyle name="Normal 3 2" xfId="15" xr:uid="{CCC95368-D70E-4563-9CA2-D5C0CF3A203F}"/>
    <cellStyle name="Normal 4" xfId="7" xr:uid="{00000000-0005-0000-0000-000006000000}"/>
    <cellStyle name="Normal 5" xfId="1" xr:uid="{00000000-0005-0000-0000-000007000000}"/>
    <cellStyle name="Normal 5 2" xfId="9" xr:uid="{00000000-0005-0000-0000-000008000000}"/>
    <cellStyle name="Normal 6" xfId="12" xr:uid="{D03F4D75-C2FE-4928-98F9-2457AA6A598C}"/>
    <cellStyle name="Normal 6 2" xfId="16" xr:uid="{B2395600-CD45-41C4-A944-394A5FBA6D49}"/>
    <cellStyle name="Normal 7" xfId="17" xr:uid="{E224574B-0503-4787-95DE-255EFE10CDA1}"/>
    <cellStyle name="Note 2" xfId="3" xr:uid="{00000000-0005-0000-0000-000009000000}"/>
    <cellStyle name="Note 2 2" xfId="6" xr:uid="{00000000-0005-0000-0000-00000A000000}"/>
    <cellStyle name="Percent" xfId="11" builtinId="5"/>
  </cellStyles>
  <dxfs count="348">
    <dxf>
      <fill>
        <patternFill>
          <bgColor theme="5" tint="0.59996337778862885"/>
        </patternFill>
      </fill>
    </dxf>
    <dxf>
      <numFmt numFmtId="171" formatCode=";;;"/>
      <fill>
        <patternFill>
          <bgColor theme="0" tint="-0.499984740745262"/>
        </patternFill>
      </fill>
    </dxf>
    <dxf>
      <numFmt numFmtId="171" formatCode=";;;"/>
      <fill>
        <patternFill>
          <bgColor theme="0" tint="-0.499984740745262"/>
        </patternFill>
      </fill>
    </dxf>
    <dxf>
      <font>
        <color theme="0" tint="-0.24994659260841701"/>
      </font>
      <numFmt numFmtId="171" formatCode=";;;"/>
      <fill>
        <patternFill>
          <bgColor theme="0" tint="-0.499984740745262"/>
        </patternFill>
      </fill>
      <border>
        <left/>
        <right/>
        <top/>
        <bottom/>
      </border>
    </dxf>
    <dxf>
      <font>
        <color theme="0" tint="-0.499984740745262"/>
      </font>
      <numFmt numFmtId="171" formatCode=";;;"/>
      <fill>
        <patternFill>
          <bgColor theme="0" tint="-0.499984740745262"/>
        </patternFill>
      </fill>
    </dxf>
    <dxf>
      <font>
        <color theme="0" tint="-0.499984740745262"/>
      </font>
      <numFmt numFmtId="171" formatCode=";;;"/>
      <fill>
        <patternFill>
          <bgColor theme="0" tint="-0.499984740745262"/>
        </patternFill>
      </fill>
      <border>
        <left/>
        <right/>
        <top/>
        <bottom/>
      </border>
    </dxf>
    <dxf>
      <font>
        <color theme="0" tint="-0.499984740745262"/>
      </font>
      <numFmt numFmtId="171" formatCode=";;;"/>
      <fill>
        <patternFill>
          <bgColor theme="0" tint="-0.499984740745262"/>
        </patternFill>
      </fill>
      <border>
        <left/>
        <right/>
        <top/>
        <bottom/>
      </border>
    </dxf>
    <dxf>
      <numFmt numFmtId="171" formatCode=";;;"/>
      <fill>
        <patternFill>
          <bgColor theme="0" tint="-0.499984740745262"/>
        </patternFill>
      </fill>
    </dxf>
    <dxf>
      <numFmt numFmtId="171" formatCode=";;;"/>
      <fill>
        <patternFill>
          <bgColor theme="0" tint="-0.499984740745262"/>
        </patternFill>
      </fill>
    </dxf>
    <dxf>
      <font>
        <color theme="0" tint="-0.24994659260841701"/>
      </font>
      <numFmt numFmtId="171" formatCode=";;;"/>
      <fill>
        <patternFill>
          <bgColor theme="0" tint="-0.499984740745262"/>
        </patternFill>
      </fill>
      <border>
        <left/>
        <right/>
        <top/>
        <bottom/>
        <vertical/>
        <horizontal/>
      </border>
    </dxf>
    <dxf>
      <numFmt numFmtId="171" formatCode=";;;"/>
      <fill>
        <patternFill>
          <bgColor theme="0" tint="-0.499984740745262"/>
        </patternFill>
      </fill>
    </dxf>
    <dxf>
      <numFmt numFmtId="171" formatCode=";;;"/>
      <fill>
        <patternFill>
          <bgColor theme="0" tint="-0.499984740745262"/>
        </patternFill>
      </fill>
    </dxf>
    <dxf>
      <numFmt numFmtId="171" formatCode=";;;"/>
      <fill>
        <patternFill>
          <bgColor theme="0" tint="-0.499984740745262"/>
        </patternFill>
      </fill>
    </dxf>
    <dxf>
      <numFmt numFmtId="171" formatCode=";;;"/>
      <fill>
        <patternFill>
          <bgColor theme="0" tint="-0.499984740745262"/>
        </patternFill>
      </fill>
    </dxf>
    <dxf>
      <font>
        <color theme="0" tint="-0.24994659260841701"/>
      </font>
      <numFmt numFmtId="171" formatCode=";;;"/>
      <fill>
        <patternFill>
          <bgColor theme="0" tint="-0.499984740745262"/>
        </patternFill>
      </fill>
      <border>
        <left/>
        <right/>
        <top/>
        <bottom/>
        <vertical/>
        <horizontal/>
      </border>
    </dxf>
    <dxf>
      <font>
        <color theme="0" tint="-0.24994659260841701"/>
      </font>
      <numFmt numFmtId="171" formatCode=";;;"/>
      <fill>
        <patternFill>
          <bgColor theme="0" tint="-0.499984740745262"/>
        </patternFill>
      </fill>
      <border>
        <left/>
        <right/>
        <top/>
        <bottom/>
        <vertical/>
        <horizontal/>
      </border>
    </dxf>
    <dxf>
      <font>
        <color theme="0" tint="-0.24994659260841701"/>
      </font>
      <numFmt numFmtId="171" formatCode=";;;"/>
      <fill>
        <patternFill>
          <bgColor theme="0" tint="-0.499984740745262"/>
        </patternFill>
      </fill>
      <border>
        <left/>
        <right/>
        <top/>
        <bottom/>
        <vertical/>
        <horizontal/>
      </border>
    </dxf>
    <dxf>
      <font>
        <color theme="0" tint="-0.24994659260841701"/>
      </font>
      <numFmt numFmtId="171" formatCode=";;;"/>
      <fill>
        <patternFill>
          <bgColor theme="0" tint="-0.499984740745262"/>
        </patternFill>
      </fill>
      <border>
        <left/>
        <right/>
        <top/>
        <bottom/>
        <vertical/>
        <horizontal/>
      </border>
    </dxf>
    <dxf>
      <font>
        <color theme="0" tint="-0.24994659260841701"/>
      </font>
      <numFmt numFmtId="171" formatCode=";;;"/>
      <fill>
        <patternFill>
          <bgColor theme="0" tint="-0.499984740745262"/>
        </patternFill>
      </fill>
      <border>
        <left/>
        <right/>
        <top/>
        <bottom/>
        <vertical/>
        <horizontal/>
      </border>
    </dxf>
    <dxf>
      <font>
        <color theme="0" tint="-0.24994659260841701"/>
      </font>
      <numFmt numFmtId="171" formatCode=";;;"/>
      <fill>
        <patternFill>
          <bgColor theme="0" tint="-0.499984740745262"/>
        </patternFill>
      </fill>
      <border>
        <left/>
        <right/>
        <top/>
        <bottom/>
        <vertical/>
        <horizontal/>
      </border>
    </dxf>
    <dxf>
      <font>
        <color theme="0" tint="-0.24994659260841701"/>
      </font>
      <numFmt numFmtId="171" formatCode=";;;"/>
      <fill>
        <patternFill>
          <bgColor theme="0" tint="-0.499984740745262"/>
        </patternFill>
      </fill>
      <border>
        <left/>
        <right/>
        <top/>
        <bottom/>
        <vertical/>
        <horizontal/>
      </border>
    </dxf>
    <dxf>
      <font>
        <color theme="0" tint="-0.24994659260841701"/>
      </font>
      <numFmt numFmtId="171" formatCode=";;;"/>
      <fill>
        <patternFill>
          <bgColor theme="0" tint="-0.499984740745262"/>
        </patternFill>
      </fill>
      <border>
        <left/>
        <right/>
        <top/>
        <bottom/>
        <vertical/>
        <horizontal/>
      </border>
    </dxf>
    <dxf>
      <font>
        <color theme="0" tint="-0.24994659260841701"/>
      </font>
      <numFmt numFmtId="171" formatCode=";;;"/>
      <fill>
        <patternFill>
          <bgColor theme="0" tint="-0.499984740745262"/>
        </patternFill>
      </fill>
      <border>
        <left/>
        <right/>
        <top/>
        <bottom/>
        <vertical/>
        <horizontal/>
      </border>
    </dxf>
    <dxf>
      <font>
        <color theme="0" tint="-0.24994659260841701"/>
      </font>
      <numFmt numFmtId="171" formatCode=";;;"/>
      <fill>
        <patternFill>
          <bgColor theme="0" tint="-0.499984740745262"/>
        </patternFill>
      </fill>
      <border>
        <left/>
        <right/>
        <top/>
        <bottom/>
        <vertical/>
        <horizontal/>
      </border>
    </dxf>
    <dxf>
      <font>
        <color theme="0" tint="-0.24994659260841701"/>
      </font>
      <numFmt numFmtId="171" formatCode=";;;"/>
      <fill>
        <patternFill>
          <bgColor theme="0" tint="-0.499984740745262"/>
        </patternFill>
      </fill>
      <border>
        <left/>
        <right/>
        <top/>
        <bottom/>
        <vertical/>
        <horizontal/>
      </border>
    </dxf>
    <dxf>
      <font>
        <color theme="0" tint="-0.24994659260841701"/>
      </font>
      <numFmt numFmtId="171" formatCode=";;;"/>
      <fill>
        <patternFill>
          <bgColor theme="0" tint="-0.499984740745262"/>
        </patternFill>
      </fill>
      <border>
        <left/>
        <right/>
        <top/>
        <bottom/>
        <vertical/>
        <horizontal/>
      </border>
    </dxf>
    <dxf>
      <font>
        <color theme="0" tint="-0.24994659260841701"/>
      </font>
      <numFmt numFmtId="171" formatCode=";;;"/>
      <fill>
        <patternFill>
          <bgColor theme="0" tint="-0.499984740745262"/>
        </patternFill>
      </fill>
      <border>
        <left/>
        <right/>
        <top/>
        <bottom/>
        <vertical/>
        <horizontal/>
      </border>
    </dxf>
    <dxf>
      <font>
        <color theme="0" tint="-0.24994659260841701"/>
      </font>
      <numFmt numFmtId="171" formatCode=";;;"/>
      <fill>
        <patternFill>
          <bgColor theme="0" tint="-0.499984740745262"/>
        </patternFill>
      </fill>
      <border>
        <left/>
        <right/>
        <top/>
        <bottom/>
        <vertical/>
        <horizontal/>
      </border>
    </dxf>
    <dxf>
      <font>
        <color theme="0" tint="-0.24994659260841701"/>
      </font>
      <numFmt numFmtId="171" formatCode=";;;"/>
      <fill>
        <patternFill>
          <bgColor theme="0" tint="-0.499984740745262"/>
        </patternFill>
      </fill>
      <border>
        <left/>
        <right/>
        <top/>
        <bottom/>
        <vertical/>
        <horizontal/>
      </border>
    </dxf>
    <dxf>
      <font>
        <color theme="0" tint="-0.24994659260841701"/>
      </font>
      <numFmt numFmtId="171" formatCode=";;;"/>
      <fill>
        <patternFill>
          <bgColor theme="0" tint="-0.499984740745262"/>
        </patternFill>
      </fill>
      <border>
        <left/>
        <right/>
        <top/>
        <bottom/>
        <vertical/>
        <horizontal/>
      </border>
    </dxf>
    <dxf>
      <font>
        <color theme="0" tint="-0.24994659260841701"/>
      </font>
      <numFmt numFmtId="171" formatCode=";;;"/>
      <fill>
        <patternFill>
          <bgColor theme="0" tint="-0.499984740745262"/>
        </patternFill>
      </fill>
      <border>
        <left/>
        <right/>
        <top/>
        <bottom/>
      </border>
    </dxf>
    <dxf>
      <font>
        <color theme="0" tint="-0.24994659260841701"/>
      </font>
      <numFmt numFmtId="171" formatCode=";;;"/>
      <fill>
        <patternFill>
          <bgColor theme="0" tint="-0.499984740745262"/>
        </patternFill>
      </fill>
      <border>
        <left/>
        <right/>
        <top/>
        <bottom/>
        <vertical/>
        <horizontal/>
      </border>
    </dxf>
    <dxf>
      <font>
        <color theme="0" tint="-0.24994659260841701"/>
      </font>
      <numFmt numFmtId="171" formatCode=";;;"/>
      <fill>
        <patternFill>
          <bgColor theme="0" tint="-0.499984740745262"/>
        </patternFill>
      </fill>
      <border>
        <left/>
        <right/>
        <top/>
        <bottom/>
        <vertical/>
        <horizontal/>
      </border>
    </dxf>
    <dxf>
      <numFmt numFmtId="171" formatCode=";;;"/>
      <fill>
        <patternFill>
          <bgColor theme="0" tint="-0.499984740745262"/>
        </patternFill>
      </fill>
    </dxf>
    <dxf>
      <numFmt numFmtId="171" formatCode=";;;"/>
      <fill>
        <patternFill>
          <bgColor theme="0" tint="-0.499984740745262"/>
        </patternFill>
      </fill>
    </dxf>
    <dxf>
      <numFmt numFmtId="171" formatCode=";;;"/>
      <fill>
        <patternFill>
          <bgColor theme="0" tint="-0.499984740745262"/>
        </patternFill>
      </fill>
    </dxf>
    <dxf>
      <numFmt numFmtId="171" formatCode=";;;"/>
      <fill>
        <patternFill>
          <bgColor theme="0" tint="-0.499984740745262"/>
        </patternFill>
      </fill>
    </dxf>
    <dxf>
      <numFmt numFmtId="171" formatCode=";;;"/>
      <fill>
        <patternFill>
          <bgColor theme="0" tint="-0.499984740745262"/>
        </patternFill>
      </fill>
    </dxf>
    <dxf>
      <font>
        <color theme="0" tint="-0.24994659260841701"/>
      </font>
      <numFmt numFmtId="171" formatCode=";;;"/>
      <fill>
        <patternFill>
          <bgColor theme="0" tint="-0.499984740745262"/>
        </patternFill>
      </fill>
      <border>
        <left/>
        <right/>
        <top/>
        <bottom/>
        <vertical/>
        <horizontal/>
      </border>
    </dxf>
    <dxf>
      <font>
        <color theme="0" tint="-0.24994659260841701"/>
      </font>
      <numFmt numFmtId="171" formatCode=";;;"/>
      <fill>
        <patternFill>
          <bgColor theme="0" tint="-0.499984740745262"/>
        </patternFill>
      </fill>
      <border>
        <left/>
        <right/>
        <top/>
        <bottom/>
        <vertical/>
        <horizontal/>
      </border>
    </dxf>
    <dxf>
      <font>
        <color theme="0" tint="-0.24994659260841701"/>
      </font>
      <numFmt numFmtId="171" formatCode=";;;"/>
      <fill>
        <patternFill>
          <fgColor theme="0" tint="-0.24994659260841701"/>
          <bgColor theme="0" tint="-0.499984740745262"/>
        </patternFill>
      </fill>
      <border>
        <left/>
        <right/>
        <top/>
        <bottom/>
        <vertical/>
        <horizontal/>
      </border>
    </dxf>
    <dxf>
      <font>
        <color theme="0" tint="-0.24994659260841701"/>
      </font>
      <numFmt numFmtId="171" formatCode=";;;"/>
      <fill>
        <patternFill>
          <bgColor theme="0" tint="-0.499984740745262"/>
        </patternFill>
      </fill>
      <border>
        <left/>
        <right/>
        <top/>
        <bottom/>
        <vertical/>
        <horizontal/>
      </border>
    </dxf>
    <dxf>
      <font>
        <color theme="0" tint="-0.24994659260841701"/>
      </font>
      <numFmt numFmtId="171" formatCode=";;;"/>
      <fill>
        <patternFill>
          <bgColor theme="0" tint="-0.499984740745262"/>
        </patternFill>
      </fill>
      <border>
        <left/>
        <right/>
        <top/>
        <bottom/>
        <vertical/>
        <horizontal/>
      </border>
    </dxf>
    <dxf>
      <font>
        <color theme="0" tint="-0.24994659260841701"/>
      </font>
      <numFmt numFmtId="171" formatCode=";;;"/>
      <fill>
        <patternFill>
          <bgColor theme="0" tint="-0.499984740745262"/>
        </patternFill>
      </fill>
      <border>
        <left/>
        <right/>
        <top/>
        <bottom/>
        <vertical/>
        <horizontal/>
      </border>
    </dxf>
    <dxf>
      <font>
        <color theme="0" tint="-0.24994659260841701"/>
      </font>
      <numFmt numFmtId="171" formatCode=";;;"/>
      <fill>
        <patternFill>
          <bgColor theme="0" tint="-0.499984740745262"/>
        </patternFill>
      </fill>
      <border>
        <left/>
        <right/>
        <top/>
        <bottom/>
      </border>
    </dxf>
    <dxf>
      <font>
        <color theme="0" tint="-0.24994659260841701"/>
      </font>
      <numFmt numFmtId="171" formatCode=";;;"/>
      <fill>
        <patternFill>
          <bgColor theme="0" tint="-0.499984740745262"/>
        </patternFill>
      </fill>
      <border>
        <left/>
        <right/>
        <top/>
        <bottom/>
        <vertical/>
        <horizontal/>
      </border>
    </dxf>
    <dxf>
      <numFmt numFmtId="171" formatCode=";;;"/>
      <fill>
        <patternFill>
          <bgColor theme="0" tint="-0.499984740745262"/>
        </patternFill>
      </fill>
    </dxf>
    <dxf>
      <font>
        <color theme="0" tint="-0.24994659260841701"/>
      </font>
      <numFmt numFmtId="171" formatCode=";;;"/>
      <fill>
        <patternFill>
          <bgColor theme="0" tint="-0.499984740745262"/>
        </patternFill>
      </fill>
      <border>
        <left/>
        <right/>
        <top/>
        <bottom/>
        <vertical/>
        <horizontal/>
      </border>
    </dxf>
    <dxf>
      <font>
        <color theme="0" tint="-0.24994659260841701"/>
      </font>
      <numFmt numFmtId="171" formatCode=";;;"/>
      <fill>
        <patternFill>
          <bgColor theme="0" tint="-0.499984740745262"/>
        </patternFill>
      </fill>
      <border>
        <left/>
        <right/>
        <top/>
        <bottom/>
        <vertical/>
        <horizontal/>
      </border>
    </dxf>
    <dxf>
      <font>
        <color theme="0" tint="-0.24994659260841701"/>
      </font>
      <numFmt numFmtId="171" formatCode=";;;"/>
      <fill>
        <patternFill>
          <bgColor theme="0" tint="-0.499984740745262"/>
        </patternFill>
      </fill>
      <border>
        <left/>
        <right/>
        <top/>
        <bottom/>
        <vertical/>
        <horizontal/>
      </border>
    </dxf>
    <dxf>
      <font>
        <color theme="0" tint="-0.24994659260841701"/>
      </font>
      <numFmt numFmtId="171" formatCode=";;;"/>
      <fill>
        <patternFill>
          <bgColor theme="0" tint="-0.499984740745262"/>
        </patternFill>
      </fill>
      <border>
        <left/>
        <right/>
        <top/>
        <bottom/>
        <vertical/>
        <horizontal/>
      </border>
    </dxf>
    <dxf>
      <font>
        <color theme="0" tint="-0.24994659260841701"/>
      </font>
      <numFmt numFmtId="171" formatCode=";;;"/>
      <fill>
        <patternFill>
          <bgColor theme="0" tint="-0.499984740745262"/>
        </patternFill>
      </fill>
      <border>
        <left/>
        <right/>
        <top/>
        <bottom/>
        <vertical/>
        <horizontal/>
      </border>
    </dxf>
    <dxf>
      <font>
        <color theme="0" tint="-0.24994659260841701"/>
      </font>
      <numFmt numFmtId="171" formatCode=";;;"/>
      <fill>
        <patternFill>
          <bgColor theme="0" tint="-0.499984740745262"/>
        </patternFill>
      </fill>
      <border>
        <left/>
        <right/>
        <top/>
        <bottom/>
        <vertical/>
        <horizontal/>
      </border>
    </dxf>
    <dxf>
      <font>
        <color theme="0" tint="-0.24994659260841701"/>
      </font>
      <numFmt numFmtId="171" formatCode=";;;"/>
      <fill>
        <patternFill>
          <bgColor theme="0" tint="-0.499984740745262"/>
        </patternFill>
      </fill>
      <border>
        <left/>
        <right/>
        <top/>
        <bottom/>
        <vertical/>
        <horizontal/>
      </border>
    </dxf>
    <dxf>
      <font>
        <color theme="0" tint="-0.24994659260841701"/>
      </font>
      <numFmt numFmtId="171" formatCode=";;;"/>
      <fill>
        <patternFill>
          <bgColor theme="0" tint="-0.499984740745262"/>
        </patternFill>
      </fill>
      <border>
        <left/>
        <right/>
        <top/>
        <bottom/>
        <vertical/>
        <horizontal/>
      </border>
    </dxf>
    <dxf>
      <font>
        <color theme="0" tint="-0.24994659260841701"/>
      </font>
      <numFmt numFmtId="171" formatCode=";;;"/>
      <fill>
        <patternFill>
          <bgColor theme="0" tint="-0.499984740745262"/>
        </patternFill>
      </fill>
      <border>
        <left/>
        <right/>
        <top/>
        <bottom/>
        <vertical/>
        <horizontal/>
      </border>
    </dxf>
    <dxf>
      <font>
        <color theme="0" tint="-0.24994659260841701"/>
      </font>
      <numFmt numFmtId="171" formatCode=";;;"/>
      <fill>
        <patternFill>
          <bgColor theme="0" tint="-0.499984740745262"/>
        </patternFill>
      </fill>
      <border>
        <left/>
        <right/>
        <top/>
        <bottom/>
        <vertical/>
        <horizontal/>
      </border>
    </dxf>
    <dxf>
      <font>
        <color theme="0" tint="-0.24994659260841701"/>
      </font>
      <numFmt numFmtId="171" formatCode=";;;"/>
      <fill>
        <patternFill>
          <bgColor theme="0" tint="-0.499984740745262"/>
        </patternFill>
      </fill>
      <border>
        <left/>
        <right/>
        <top/>
        <bottom/>
        <vertical/>
        <horizontal/>
      </border>
    </dxf>
    <dxf>
      <font>
        <color theme="0" tint="-0.24994659260841701"/>
      </font>
      <numFmt numFmtId="171" formatCode=";;;"/>
      <fill>
        <patternFill>
          <bgColor theme="0" tint="-0.499984740745262"/>
        </patternFill>
      </fill>
      <border>
        <left/>
        <right/>
        <top/>
        <bottom/>
        <vertical/>
        <horizontal/>
      </border>
    </dxf>
    <dxf>
      <font>
        <color theme="0" tint="-0.24994659260841701"/>
      </font>
      <numFmt numFmtId="171" formatCode=";;;"/>
      <fill>
        <patternFill>
          <bgColor theme="0" tint="-0.499984740745262"/>
        </patternFill>
      </fill>
      <border>
        <left/>
        <right/>
        <top/>
        <bottom/>
        <vertical/>
        <horizontal/>
      </border>
    </dxf>
    <dxf>
      <font>
        <color theme="0" tint="-0.24994659260841701"/>
      </font>
      <numFmt numFmtId="171" formatCode=";;;"/>
      <fill>
        <patternFill>
          <bgColor theme="0" tint="-0.499984740745262"/>
        </patternFill>
      </fill>
      <border>
        <left/>
        <right/>
        <top/>
        <bottom/>
        <vertical/>
        <horizontal/>
      </border>
    </dxf>
    <dxf>
      <font>
        <color theme="0" tint="-0.24994659260841701"/>
      </font>
      <numFmt numFmtId="171" formatCode=";;;"/>
      <fill>
        <patternFill>
          <bgColor theme="0" tint="-0.499984740745262"/>
        </patternFill>
      </fill>
      <border>
        <left/>
        <right/>
        <top/>
        <bottom/>
        <vertical/>
        <horizontal/>
      </border>
    </dxf>
    <dxf>
      <font>
        <color theme="0" tint="-0.24994659260841701"/>
      </font>
      <numFmt numFmtId="171" formatCode=";;;"/>
      <fill>
        <patternFill>
          <bgColor theme="0" tint="-0.499984740745262"/>
        </patternFill>
      </fill>
      <border>
        <left/>
        <right/>
        <top/>
        <bottom/>
        <vertical/>
        <horizontal/>
      </border>
    </dxf>
    <dxf>
      <font>
        <color theme="0" tint="-0.24994659260841701"/>
      </font>
      <numFmt numFmtId="171" formatCode=";;;"/>
      <fill>
        <patternFill>
          <bgColor theme="0" tint="-0.499984740745262"/>
        </patternFill>
      </fill>
      <border>
        <left/>
        <right/>
        <top/>
        <bottom/>
        <vertical/>
        <horizontal/>
      </border>
    </dxf>
    <dxf>
      <font>
        <color theme="0" tint="-0.24994659260841701"/>
      </font>
      <numFmt numFmtId="171" formatCode=";;;"/>
      <fill>
        <patternFill>
          <bgColor theme="0" tint="-0.499984740745262"/>
        </patternFill>
      </fill>
      <border>
        <left/>
        <right/>
        <top/>
        <bottom/>
        <vertical/>
        <horizontal/>
      </border>
    </dxf>
    <dxf>
      <font>
        <color theme="0" tint="-0.24994659260841701"/>
      </font>
      <numFmt numFmtId="171" formatCode=";;;"/>
      <fill>
        <patternFill>
          <bgColor theme="0" tint="-0.499984740745262"/>
        </patternFill>
      </fill>
      <border>
        <left/>
        <right/>
        <top/>
        <bottom/>
        <vertical/>
        <horizontal/>
      </border>
    </dxf>
    <dxf>
      <font>
        <color theme="0" tint="-0.24994659260841701"/>
      </font>
      <numFmt numFmtId="171" formatCode=";;;"/>
      <fill>
        <patternFill>
          <bgColor theme="0" tint="-0.499984740745262"/>
        </patternFill>
      </fill>
      <border>
        <left/>
        <right/>
        <top/>
        <bottom/>
        <vertical/>
        <horizontal/>
      </border>
    </dxf>
    <dxf>
      <font>
        <color theme="0" tint="-0.24994659260841701"/>
      </font>
      <numFmt numFmtId="171" formatCode=";;;"/>
      <fill>
        <patternFill>
          <bgColor theme="0" tint="-0.499984740745262"/>
        </patternFill>
      </fill>
      <border>
        <left/>
        <right/>
        <top/>
        <bottom/>
        <vertical/>
        <horizontal/>
      </border>
    </dxf>
    <dxf>
      <font>
        <color theme="0" tint="-0.24994659260841701"/>
      </font>
      <numFmt numFmtId="171" formatCode=";;;"/>
      <fill>
        <patternFill>
          <bgColor theme="0" tint="-0.499984740745262"/>
        </patternFill>
      </fill>
      <border>
        <left/>
        <right/>
        <top/>
        <bottom/>
      </border>
    </dxf>
    <dxf>
      <font>
        <color theme="0" tint="-0.24994659260841701"/>
      </font>
      <numFmt numFmtId="171" formatCode=";;;"/>
      <fill>
        <patternFill>
          <bgColor theme="0" tint="-0.499984740745262"/>
        </patternFill>
      </fill>
      <border>
        <left/>
        <right/>
        <top/>
        <bottom/>
      </border>
    </dxf>
    <dxf>
      <font>
        <color theme="0" tint="-0.24994659260841701"/>
      </font>
      <numFmt numFmtId="171" formatCode=";;;"/>
      <fill>
        <patternFill>
          <bgColor theme="0" tint="-0.499984740745262"/>
        </patternFill>
      </fill>
      <border>
        <left/>
        <right/>
        <top/>
        <bottom/>
      </border>
    </dxf>
    <dxf>
      <font>
        <color theme="0" tint="-0.24994659260841701"/>
      </font>
      <numFmt numFmtId="171" formatCode=";;;"/>
      <fill>
        <patternFill>
          <bgColor theme="0" tint="-0.499984740745262"/>
        </patternFill>
      </fill>
      <border>
        <left/>
        <right/>
        <top/>
        <bottom/>
      </border>
    </dxf>
    <dxf>
      <font>
        <color theme="0" tint="-0.24994659260841701"/>
      </font>
      <numFmt numFmtId="171" formatCode=";;;"/>
      <fill>
        <patternFill>
          <bgColor theme="0" tint="-0.499984740745262"/>
        </patternFill>
      </fill>
      <border>
        <left/>
        <right/>
        <top/>
        <bottom/>
      </border>
    </dxf>
    <dxf>
      <font>
        <color theme="0" tint="-0.24994659260841701"/>
      </font>
      <numFmt numFmtId="171" formatCode=";;;"/>
      <fill>
        <patternFill>
          <bgColor theme="0" tint="-0.499984740745262"/>
        </patternFill>
      </fill>
      <border>
        <left/>
        <right/>
        <top/>
        <bottom/>
      </border>
    </dxf>
    <dxf>
      <font>
        <color theme="0" tint="-0.24994659260841701"/>
      </font>
      <numFmt numFmtId="171" formatCode=";;;"/>
      <fill>
        <patternFill>
          <bgColor theme="0" tint="-0.499984740745262"/>
        </patternFill>
      </fill>
      <border>
        <left/>
        <right/>
        <top/>
        <bottom/>
      </border>
    </dxf>
    <dxf>
      <font>
        <color theme="0" tint="-0.24994659260841701"/>
      </font>
      <numFmt numFmtId="171" formatCode=";;;"/>
      <fill>
        <patternFill>
          <bgColor theme="0" tint="-0.499984740745262"/>
        </patternFill>
      </fill>
      <border>
        <left/>
        <right/>
        <top/>
        <bottom/>
        <vertical/>
        <horizontal/>
      </border>
    </dxf>
    <dxf>
      <font>
        <color theme="0" tint="-0.499984740745262"/>
      </font>
      <numFmt numFmtId="171" formatCode=";;;"/>
      <fill>
        <patternFill>
          <bgColor theme="0" tint="-0.499984740745262"/>
        </patternFill>
      </fill>
      <border>
        <left/>
        <right/>
        <top/>
        <bottom/>
      </border>
    </dxf>
    <dxf>
      <font>
        <color theme="0" tint="-0.499984740745262"/>
      </font>
      <numFmt numFmtId="171" formatCode=";;;"/>
      <fill>
        <patternFill>
          <bgColor theme="0" tint="-0.499984740745262"/>
        </patternFill>
      </fill>
      <border>
        <left/>
        <right/>
        <top/>
        <bottom/>
      </border>
    </dxf>
    <dxf>
      <numFmt numFmtId="171" formatCode=";;;"/>
      <fill>
        <patternFill>
          <bgColor theme="0" tint="-0.499984740745262"/>
        </patternFill>
      </fill>
    </dxf>
    <dxf>
      <numFmt numFmtId="171" formatCode=";;;"/>
      <fill>
        <patternFill>
          <bgColor theme="0" tint="-0.499984740745262"/>
        </patternFill>
      </fill>
    </dxf>
    <dxf>
      <numFmt numFmtId="171" formatCode=";;;"/>
      <fill>
        <patternFill>
          <bgColor theme="0" tint="-0.499984740745262"/>
        </patternFill>
      </fill>
    </dxf>
    <dxf>
      <numFmt numFmtId="171" formatCode=";;;"/>
      <fill>
        <patternFill>
          <bgColor theme="0" tint="-0.499984740745262"/>
        </patternFill>
      </fill>
    </dxf>
    <dxf>
      <numFmt numFmtId="171" formatCode=";;;"/>
      <fill>
        <patternFill>
          <bgColor theme="0" tint="-0.499984740745262"/>
        </patternFill>
      </fill>
    </dxf>
    <dxf>
      <numFmt numFmtId="171" formatCode=";;;"/>
      <fill>
        <patternFill>
          <bgColor theme="0" tint="-0.499984740745262"/>
        </patternFill>
      </fill>
    </dxf>
    <dxf>
      <numFmt numFmtId="171" formatCode=";;;"/>
      <fill>
        <patternFill>
          <bgColor theme="0" tint="-0.499984740745262"/>
        </patternFill>
      </fill>
    </dxf>
    <dxf>
      <numFmt numFmtId="171" formatCode=";;;"/>
      <fill>
        <patternFill>
          <bgColor theme="0" tint="-0.499984740745262"/>
        </patternFill>
      </fill>
    </dxf>
    <dxf>
      <numFmt numFmtId="171" formatCode=";;;"/>
      <fill>
        <patternFill>
          <bgColor theme="0" tint="-0.499984740745262"/>
        </patternFill>
      </fill>
    </dxf>
    <dxf>
      <numFmt numFmtId="171" formatCode=";;;"/>
      <fill>
        <patternFill>
          <bgColor theme="0" tint="-0.499984740745262"/>
        </patternFill>
      </fill>
    </dxf>
    <dxf>
      <numFmt numFmtId="171" formatCode=";;;"/>
      <fill>
        <patternFill>
          <bgColor theme="0" tint="-0.499984740745262"/>
        </patternFill>
      </fill>
    </dxf>
    <dxf>
      <font>
        <color auto="1"/>
      </font>
      <numFmt numFmtId="171" formatCode=";;;"/>
      <fill>
        <patternFill>
          <bgColor theme="0" tint="-0.499984740745262"/>
        </patternFill>
      </fill>
    </dxf>
    <dxf>
      <fill>
        <patternFill>
          <bgColor rgb="FFEBB8B7"/>
        </patternFill>
      </fill>
    </dxf>
    <dxf>
      <font>
        <color auto="1"/>
      </font>
      <numFmt numFmtId="171" formatCode=";;;"/>
      <fill>
        <patternFill>
          <bgColor rgb="FF808080"/>
        </patternFill>
      </fill>
    </dxf>
    <dxf>
      <font>
        <color theme="0" tint="-0.24994659260841701"/>
      </font>
      <numFmt numFmtId="171" formatCode=";;;"/>
      <fill>
        <patternFill>
          <bgColor theme="0" tint="-0.499984740745262"/>
        </patternFill>
      </fill>
    </dxf>
    <dxf>
      <fill>
        <patternFill>
          <bgColor theme="5" tint="0.59996337778862885"/>
        </patternFill>
      </fill>
    </dxf>
    <dxf>
      <font>
        <color theme="0" tint="-0.24994659260841701"/>
      </font>
      <numFmt numFmtId="171" formatCode=";;;"/>
      <fill>
        <patternFill>
          <bgColor theme="0" tint="-0.49998474074526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1"/>
      </font>
      <fill>
        <patternFill>
          <bgColor theme="5" tint="0.59996337778862885"/>
        </patternFill>
      </fill>
    </dxf>
    <dxf>
      <fill>
        <patternFill>
          <bgColor theme="5" tint="0.59996337778862885"/>
        </patternFill>
      </fill>
    </dxf>
    <dxf>
      <fill>
        <patternFill>
          <bgColor theme="5" tint="0.59996337778862885"/>
        </patternFill>
      </fill>
    </dxf>
    <dxf>
      <numFmt numFmtId="171" formatCode=";;;"/>
      <fill>
        <patternFill>
          <bgColor theme="0" tint="-0.499984740745262"/>
        </patternFill>
      </fill>
    </dxf>
    <dxf>
      <font>
        <color theme="0" tint="-0.24994659260841701"/>
      </font>
      <numFmt numFmtId="171" formatCode=";;;"/>
      <fill>
        <patternFill>
          <bgColor theme="0" tint="-0.499984740745262"/>
        </patternFill>
      </fill>
    </dxf>
    <dxf>
      <numFmt numFmtId="175" formatCode="&quot;&lt;0.01&quot;;&quot;&lt;0.01&quot;;&quot;&lt;0.01&quot;;&quot;&lt;0.01&quot;"/>
    </dxf>
    <dxf>
      <font>
        <color theme="0" tint="-0.24994659260841701"/>
      </font>
      <numFmt numFmtId="171" formatCode=";;;"/>
      <fill>
        <patternFill>
          <bgColor theme="0" tint="-0.499984740745262"/>
        </patternFill>
      </fill>
    </dxf>
    <dxf>
      <font>
        <color theme="0" tint="-0.24994659260841701"/>
      </font>
      <numFmt numFmtId="171" formatCode=";;;"/>
      <fill>
        <patternFill>
          <bgColor theme="0" tint="-0.499984740745262"/>
        </patternFill>
      </fill>
    </dxf>
    <dxf>
      <font>
        <color theme="0" tint="-0.24994659260841701"/>
      </font>
      <numFmt numFmtId="171" formatCode=";;;"/>
      <fill>
        <patternFill>
          <bgColor theme="0" tint="-0.499984740745262"/>
        </patternFill>
      </fill>
    </dxf>
    <dxf>
      <font>
        <color theme="0" tint="-0.24994659260841701"/>
      </font>
      <numFmt numFmtId="171" formatCode=";;;"/>
      <fill>
        <patternFill>
          <bgColor theme="0" tint="-0.499984740745262"/>
        </patternFill>
      </fill>
      <border>
        <vertical/>
        <horizontal/>
      </border>
    </dxf>
    <dxf>
      <font>
        <color theme="0" tint="-0.24994659260841701"/>
      </font>
      <numFmt numFmtId="171" formatCode=";;;"/>
      <fill>
        <patternFill>
          <bgColor theme="0" tint="-0.499984740745262"/>
        </patternFill>
      </fill>
      <border>
        <vertical/>
        <horizontal/>
      </border>
    </dxf>
    <dxf>
      <font>
        <color theme="0" tint="-0.24994659260841701"/>
      </font>
      <numFmt numFmtId="171" formatCode=";;;"/>
      <fill>
        <patternFill>
          <bgColor theme="0" tint="-0.499984740745262"/>
        </patternFill>
      </fill>
      <border>
        <vertical/>
        <horizontal/>
      </border>
    </dxf>
    <dxf>
      <font>
        <color theme="0" tint="-0.24994659260841701"/>
      </font>
      <numFmt numFmtId="171" formatCode=";;;"/>
      <fill>
        <patternFill>
          <bgColor theme="0" tint="-0.499984740745262"/>
        </patternFill>
      </fill>
      <border>
        <vertical/>
        <horizontal/>
      </border>
    </dxf>
    <dxf>
      <font>
        <color theme="0" tint="-0.24994659260841701"/>
      </font>
      <numFmt numFmtId="171" formatCode=";;;"/>
      <fill>
        <patternFill>
          <bgColor theme="0" tint="-0.499984740745262"/>
        </patternFill>
      </fill>
      <border>
        <vertical/>
        <horizontal/>
      </border>
    </dxf>
    <dxf>
      <font>
        <color theme="0" tint="-0.24994659260841701"/>
      </font>
      <numFmt numFmtId="171" formatCode=";;;"/>
      <fill>
        <patternFill>
          <bgColor theme="0" tint="-0.499984740745262"/>
        </patternFill>
      </fill>
    </dxf>
    <dxf>
      <font>
        <color theme="0" tint="-0.499984740745262"/>
      </font>
      <numFmt numFmtId="171" formatCode=";;;"/>
      <fill>
        <patternFill>
          <bgColor theme="0" tint="-0.499984740745262"/>
        </patternFill>
      </fill>
      <border>
        <left/>
        <right/>
        <top/>
        <bottom/>
      </border>
    </dxf>
    <dxf>
      <font>
        <b/>
        <i val="0"/>
      </font>
      <fill>
        <patternFill>
          <bgColor theme="5" tint="0.59996337778862885"/>
        </patternFill>
      </fill>
    </dxf>
    <dxf>
      <font>
        <color theme="0" tint="-0.499984740745262"/>
      </font>
      <numFmt numFmtId="171" formatCode=";;;"/>
      <fill>
        <patternFill>
          <bgColor theme="0" tint="-0.499984740745262"/>
        </patternFill>
      </fill>
    </dxf>
    <dxf>
      <font>
        <color theme="0" tint="-0.499984740745262"/>
      </font>
      <numFmt numFmtId="171" formatCode=";;;"/>
      <fill>
        <patternFill>
          <bgColor theme="0" tint="-0.499984740745262"/>
        </patternFill>
      </fill>
      <border>
        <left/>
        <right/>
        <top/>
        <bottom/>
      </border>
    </dxf>
    <dxf>
      <font>
        <color theme="0" tint="-0.24994659260841701"/>
      </font>
      <numFmt numFmtId="171" formatCode=";;;"/>
      <fill>
        <patternFill>
          <bgColor theme="0" tint="-0.499984740745262"/>
        </patternFill>
      </fill>
    </dxf>
    <dxf>
      <numFmt numFmtId="171" formatCode=";;;"/>
      <fill>
        <patternFill>
          <bgColor theme="0" tint="-0.499984740745262"/>
        </patternFill>
      </fill>
      <border>
        <left/>
        <right/>
        <top/>
        <bottom/>
        <vertical/>
        <horizontal/>
      </border>
    </dxf>
    <dxf>
      <font>
        <color theme="0" tint="-0.24994659260841701"/>
      </font>
      <numFmt numFmtId="171" formatCode=";;;"/>
      <fill>
        <patternFill>
          <bgColor theme="0" tint="-0.499984740745262"/>
        </patternFill>
      </fill>
      <border>
        <left/>
        <right/>
        <top/>
        <bottom/>
        <vertical/>
        <horizontal/>
      </border>
    </dxf>
    <dxf>
      <font>
        <color theme="0" tint="-0.499984740745262"/>
      </font>
      <numFmt numFmtId="171" formatCode=";;;"/>
      <fill>
        <patternFill>
          <bgColor theme="0" tint="-0.499984740745262"/>
        </patternFill>
      </fill>
      <border>
        <left/>
        <right/>
        <top/>
        <bottom/>
      </border>
    </dxf>
    <dxf>
      <numFmt numFmtId="171" formatCode=";;;"/>
      <fill>
        <patternFill>
          <bgColor theme="0" tint="-0.499984740745262"/>
        </patternFill>
      </fill>
    </dxf>
    <dxf>
      <numFmt numFmtId="171" formatCode=";;;"/>
      <fill>
        <patternFill>
          <bgColor theme="0" tint="-0.499984740745262"/>
        </patternFill>
      </fill>
    </dxf>
    <dxf>
      <numFmt numFmtId="171" formatCode=";;;"/>
      <fill>
        <patternFill>
          <bgColor theme="0" tint="-0.499984740745262"/>
        </patternFill>
      </fill>
    </dxf>
    <dxf>
      <font>
        <color theme="0" tint="-0.24994659260841701"/>
      </font>
      <numFmt numFmtId="171" formatCode=";;;"/>
      <fill>
        <patternFill>
          <bgColor theme="0" tint="-0.499984740745262"/>
        </patternFill>
      </fill>
      <border>
        <left/>
        <right/>
        <top/>
        <bottom/>
        <vertical/>
        <horizontal/>
      </border>
    </dxf>
    <dxf>
      <font>
        <color theme="0" tint="-0.24994659260841701"/>
      </font>
      <numFmt numFmtId="171" formatCode=";;;"/>
      <fill>
        <patternFill>
          <bgColor theme="0" tint="-0.499984740745262"/>
        </patternFill>
      </fill>
      <border>
        <left/>
        <right/>
        <top/>
        <bottom/>
        <vertical/>
        <horizontal/>
      </border>
    </dxf>
    <dxf>
      <font>
        <color theme="0" tint="-0.24994659260841701"/>
      </font>
      <numFmt numFmtId="171" formatCode=";;;"/>
      <fill>
        <patternFill>
          <bgColor theme="0" tint="-0.499984740745262"/>
        </patternFill>
      </fill>
      <border>
        <left/>
        <right/>
        <top/>
        <bottom/>
        <vertical/>
        <horizontal/>
      </border>
    </dxf>
    <dxf>
      <numFmt numFmtId="171" formatCode=";;;"/>
      <fill>
        <patternFill>
          <bgColor theme="0" tint="-0.499984740745262"/>
        </patternFill>
      </fill>
    </dxf>
    <dxf>
      <font>
        <color theme="0" tint="-0.24994659260841701"/>
      </font>
      <numFmt numFmtId="171" formatCode=";;;"/>
      <fill>
        <patternFill>
          <bgColor theme="0" tint="-0.499984740745262"/>
        </patternFill>
      </fill>
      <border>
        <left/>
        <right/>
        <top/>
        <bottom/>
        <vertical/>
        <horizontal/>
      </border>
    </dxf>
    <dxf>
      <font>
        <color theme="0" tint="-0.24994659260841701"/>
      </font>
      <numFmt numFmtId="171" formatCode=";;;"/>
      <fill>
        <patternFill>
          <bgColor theme="0" tint="-0.499984740745262"/>
        </patternFill>
      </fill>
      <border>
        <left/>
        <right/>
        <top/>
        <bottom/>
      </border>
    </dxf>
    <dxf>
      <font>
        <color theme="0" tint="-0.24994659260841701"/>
      </font>
      <numFmt numFmtId="171" formatCode=";;;"/>
      <fill>
        <patternFill>
          <bgColor theme="0" tint="-0.499984740745262"/>
        </patternFill>
      </fill>
    </dxf>
    <dxf>
      <font>
        <color theme="0" tint="-0.24994659260841701"/>
      </font>
      <numFmt numFmtId="171" formatCode=";;;"/>
      <fill>
        <patternFill>
          <bgColor theme="0" tint="-0.499984740745262"/>
        </patternFill>
      </fill>
      <border>
        <left/>
        <right/>
        <top/>
        <bottom/>
        <vertical/>
        <horizontal/>
      </border>
    </dxf>
    <dxf>
      <font>
        <color theme="0" tint="-0.24994659260841701"/>
      </font>
      <numFmt numFmtId="171" formatCode=";;;"/>
      <fill>
        <patternFill>
          <bgColor theme="0" tint="-0.499984740745262"/>
        </patternFill>
      </fill>
      <border>
        <left/>
        <right/>
        <top/>
        <bottom/>
        <vertical/>
        <horizontal/>
      </border>
    </dxf>
    <dxf>
      <font>
        <color theme="0" tint="-0.24994659260841701"/>
      </font>
      <numFmt numFmtId="171" formatCode=";;;"/>
      <fill>
        <patternFill>
          <bgColor theme="0" tint="-0.499984740745262"/>
        </patternFill>
      </fill>
      <border>
        <left/>
        <right/>
        <top/>
        <bottom/>
        <vertical/>
        <horizontal/>
      </border>
    </dxf>
    <dxf>
      <font>
        <color theme="0" tint="-0.24994659260841701"/>
      </font>
      <numFmt numFmtId="171" formatCode=";;;"/>
      <fill>
        <patternFill>
          <bgColor theme="0" tint="-0.499984740745262"/>
        </patternFill>
      </fill>
      <border>
        <left/>
        <right/>
        <top/>
        <bottom/>
      </border>
    </dxf>
    <dxf>
      <font>
        <color theme="0" tint="-0.499984740745262"/>
      </font>
      <numFmt numFmtId="171" formatCode=";;;"/>
      <fill>
        <patternFill>
          <bgColor theme="0" tint="-0.499984740745262"/>
        </patternFill>
      </fill>
      <border>
        <left/>
        <right/>
        <top/>
        <bottom/>
      </border>
    </dxf>
    <dxf>
      <font>
        <color theme="0" tint="-0.24994659260841701"/>
      </font>
      <numFmt numFmtId="171" formatCode=";;;"/>
      <fill>
        <patternFill>
          <bgColor theme="0" tint="-0.499984740745262"/>
        </patternFill>
      </fill>
      <border>
        <left/>
        <right/>
        <top/>
        <bottom/>
        <vertical/>
        <horizontal/>
      </border>
    </dxf>
    <dxf>
      <font>
        <color theme="0" tint="-0.24994659260841701"/>
      </font>
      <numFmt numFmtId="171" formatCode=";;;"/>
      <fill>
        <patternFill>
          <bgColor theme="0" tint="-0.499984740745262"/>
        </patternFill>
      </fill>
      <border>
        <left/>
        <right/>
        <top/>
        <bottom/>
        <vertical/>
        <horizontal/>
      </border>
    </dxf>
    <dxf>
      <font>
        <color theme="0" tint="-0.24994659260841701"/>
      </font>
      <numFmt numFmtId="171" formatCode=";;;"/>
      <fill>
        <patternFill>
          <bgColor theme="0" tint="-0.499984740745262"/>
        </patternFill>
      </fill>
      <border>
        <left/>
        <right/>
        <top/>
        <bottom/>
        <vertical/>
        <horizontal/>
      </border>
    </dxf>
    <dxf>
      <font>
        <color theme="0" tint="-0.24994659260841701"/>
      </font>
      <numFmt numFmtId="171" formatCode=";;;"/>
      <fill>
        <patternFill>
          <bgColor theme="0" tint="-0.499984740745262"/>
        </patternFill>
      </fill>
      <border>
        <left/>
        <right/>
        <top/>
        <bottom/>
      </border>
    </dxf>
    <dxf>
      <font>
        <color theme="0" tint="-0.499984740745262"/>
      </font>
      <numFmt numFmtId="171" formatCode=";;;"/>
      <fill>
        <patternFill>
          <bgColor theme="0" tint="-0.499984740745262"/>
        </patternFill>
      </fill>
      <border>
        <left/>
        <right/>
        <top/>
        <bottom/>
      </border>
    </dxf>
    <dxf>
      <font>
        <color theme="0" tint="-0.499984740745262"/>
      </font>
      <numFmt numFmtId="171" formatCode=";;;"/>
      <fill>
        <patternFill>
          <bgColor theme="0" tint="-0.499984740745262"/>
        </patternFill>
      </fill>
      <border>
        <left/>
        <right/>
        <top/>
        <bottom/>
        <vertical/>
        <horizontal/>
      </border>
    </dxf>
    <dxf>
      <font>
        <color theme="0" tint="-0.24994659260841701"/>
      </font>
      <numFmt numFmtId="171" formatCode=";;;"/>
      <fill>
        <patternFill>
          <bgColor theme="0" tint="-0.499984740745262"/>
        </patternFill>
      </fill>
      <border>
        <vertical/>
        <horizontal/>
      </border>
    </dxf>
    <dxf>
      <font>
        <color theme="0" tint="-0.24994659260841701"/>
      </font>
      <numFmt numFmtId="171" formatCode=";;;"/>
      <fill>
        <patternFill>
          <bgColor theme="0" tint="-0.499984740745262"/>
        </patternFill>
      </fill>
      <border>
        <left/>
        <right/>
        <top/>
        <bottom/>
        <vertical/>
        <horizontal/>
      </border>
    </dxf>
    <dxf>
      <font>
        <color theme="0" tint="-0.24994659260841701"/>
      </font>
      <numFmt numFmtId="171" formatCode=";;;"/>
      <fill>
        <patternFill>
          <bgColor theme="0" tint="-0.499984740745262"/>
        </patternFill>
      </fill>
      <border>
        <left/>
        <right/>
        <top/>
        <bottom/>
      </border>
    </dxf>
    <dxf>
      <font>
        <color theme="0" tint="-0.24994659260841701"/>
      </font>
      <numFmt numFmtId="171" formatCode=";;;"/>
      <fill>
        <patternFill>
          <bgColor theme="0" tint="-0.499984740745262"/>
        </patternFill>
      </fill>
      <border>
        <left/>
        <right/>
        <top/>
        <bottom/>
        <vertical/>
        <horizontal/>
      </border>
    </dxf>
    <dxf>
      <font>
        <color theme="0" tint="-0.24994659260841701"/>
      </font>
      <numFmt numFmtId="171" formatCode=";;;"/>
      <fill>
        <patternFill>
          <bgColor theme="0" tint="-0.499984740745262"/>
        </patternFill>
      </fill>
      <border>
        <left/>
        <right/>
        <top/>
        <bottom/>
        <vertical/>
        <horizontal/>
      </border>
    </dxf>
    <dxf>
      <font>
        <color theme="0" tint="-0.499984740745262"/>
      </font>
      <numFmt numFmtId="171" formatCode=";;;"/>
      <fill>
        <patternFill>
          <bgColor theme="0" tint="-0.499984740745262"/>
        </patternFill>
      </fill>
      <border>
        <left/>
        <right/>
        <top/>
        <bottom/>
      </border>
    </dxf>
    <dxf>
      <font>
        <color theme="0" tint="-0.24994659260841701"/>
      </font>
      <numFmt numFmtId="171" formatCode=";;;"/>
      <fill>
        <patternFill>
          <bgColor theme="0" tint="-0.499984740745262"/>
        </patternFill>
      </fill>
    </dxf>
    <dxf>
      <font>
        <color theme="0" tint="-0.24994659260841701"/>
      </font>
      <numFmt numFmtId="171" formatCode=";;;"/>
      <fill>
        <patternFill>
          <bgColor theme="0" tint="-0.499984740745262"/>
        </patternFill>
      </fill>
      <border>
        <left/>
        <right/>
        <top/>
        <bottom/>
      </border>
    </dxf>
    <dxf>
      <font>
        <color theme="0" tint="-0.24994659260841701"/>
      </font>
      <numFmt numFmtId="171" formatCode=";;;"/>
      <fill>
        <patternFill>
          <bgColor theme="0" tint="-0.499984740745262"/>
        </patternFill>
      </fill>
      <border>
        <left/>
        <right/>
        <top/>
        <bottom/>
        <vertical/>
        <horizontal/>
      </border>
    </dxf>
    <dxf>
      <font>
        <color theme="0" tint="-0.24994659260841701"/>
      </font>
      <numFmt numFmtId="171" formatCode=";;;"/>
      <fill>
        <patternFill>
          <bgColor theme="0" tint="-0.499984740745262"/>
        </patternFill>
      </fill>
    </dxf>
    <dxf>
      <font>
        <color theme="0" tint="-0.499984740745262"/>
      </font>
      <numFmt numFmtId="171" formatCode=";;;"/>
      <fill>
        <patternFill>
          <bgColor theme="0" tint="-0.499984740745262"/>
        </patternFill>
      </fill>
      <border>
        <left/>
        <right/>
        <top/>
        <bottom/>
      </border>
    </dxf>
    <dxf>
      <font>
        <color theme="0" tint="-0.24994659260841701"/>
      </font>
      <numFmt numFmtId="171" formatCode=";;;"/>
      <fill>
        <patternFill>
          <bgColor theme="0" tint="-0.499984740745262"/>
        </patternFill>
      </fill>
      <border>
        <left/>
        <right/>
        <top/>
        <bottom/>
        <vertical/>
        <horizontal/>
      </border>
    </dxf>
    <dxf>
      <font>
        <color theme="0" tint="-0.24994659260841701"/>
      </font>
      <numFmt numFmtId="171" formatCode=";;;"/>
      <fill>
        <patternFill>
          <bgColor theme="0" tint="-0.499984740745262"/>
        </patternFill>
      </fill>
      <border>
        <left/>
        <right/>
        <top/>
        <bottom/>
      </border>
    </dxf>
    <dxf>
      <font>
        <color theme="0" tint="-0.499984740745262"/>
      </font>
      <numFmt numFmtId="171" formatCode=";;;"/>
      <fill>
        <patternFill>
          <fgColor theme="0"/>
          <bgColor theme="0" tint="-0.499984740745262"/>
        </patternFill>
      </fill>
      <border>
        <left/>
        <right/>
        <top/>
        <bottom/>
        <vertical/>
        <horizontal/>
      </border>
    </dxf>
    <dxf>
      <font>
        <color theme="0" tint="-0.24994659260841701"/>
      </font>
      <numFmt numFmtId="171" formatCode=";;;"/>
      <fill>
        <patternFill>
          <bgColor theme="0" tint="-0.499984740745262"/>
        </patternFill>
      </fill>
    </dxf>
    <dxf>
      <font>
        <color theme="0" tint="-0.499984740745262"/>
      </font>
      <numFmt numFmtId="171" formatCode=";;;"/>
      <fill>
        <patternFill>
          <bgColor theme="0" tint="-0.499984740745262"/>
        </patternFill>
      </fill>
      <border>
        <left/>
        <right/>
        <top/>
        <bottom/>
      </border>
    </dxf>
    <dxf>
      <font>
        <color theme="0" tint="-0.24994659260841701"/>
      </font>
      <numFmt numFmtId="171" formatCode=";;;"/>
      <fill>
        <patternFill>
          <bgColor theme="0" tint="-0.499984740745262"/>
        </patternFill>
      </fill>
      <border>
        <left/>
        <right/>
        <top/>
        <bottom/>
        <vertical/>
        <horizontal/>
      </border>
    </dxf>
    <dxf>
      <font>
        <color theme="0" tint="-0.24994659260841701"/>
      </font>
      <numFmt numFmtId="171" formatCode=";;;"/>
      <fill>
        <patternFill>
          <bgColor theme="0" tint="-0.499984740745262"/>
        </patternFill>
      </fill>
      <border>
        <left/>
        <right/>
        <top/>
        <bottom/>
      </border>
    </dxf>
    <dxf>
      <font>
        <color theme="0" tint="-0.24994659260841701"/>
      </font>
      <numFmt numFmtId="171" formatCode=";;;"/>
      <fill>
        <patternFill>
          <bgColor theme="0" tint="-0.499984740745262"/>
        </patternFill>
      </fill>
      <border>
        <left/>
        <right/>
        <top/>
        <bottom/>
        <vertical/>
        <horizontal/>
      </border>
    </dxf>
    <dxf>
      <font>
        <color theme="0" tint="-0.24994659260841701"/>
      </font>
      <numFmt numFmtId="171" formatCode=";;;"/>
      <fill>
        <patternFill>
          <bgColor theme="0" tint="-0.499984740745262"/>
        </patternFill>
      </fill>
      <border>
        <left/>
        <right/>
        <top/>
        <bottom/>
        <vertical/>
        <horizontal/>
      </border>
    </dxf>
    <dxf>
      <font>
        <color theme="0" tint="-0.499984740745262"/>
      </font>
      <numFmt numFmtId="171" formatCode=";;;"/>
      <fill>
        <patternFill>
          <bgColor theme="0" tint="-0.499984740745262"/>
        </patternFill>
      </fill>
      <border>
        <left/>
        <right/>
        <top/>
        <bottom/>
      </border>
    </dxf>
    <dxf>
      <numFmt numFmtId="171" formatCode=";;;"/>
      <fill>
        <patternFill>
          <bgColor theme="0" tint="-0.499984740745262"/>
        </patternFill>
      </fill>
    </dxf>
    <dxf>
      <font>
        <color theme="0" tint="-0.24994659260841701"/>
      </font>
      <numFmt numFmtId="171" formatCode=";;;"/>
      <fill>
        <patternFill>
          <bgColor theme="0" tint="-0.499984740745262"/>
        </patternFill>
      </fill>
      <border>
        <left/>
        <right/>
        <top/>
        <bottom/>
        <vertical/>
        <horizontal/>
      </border>
    </dxf>
    <dxf>
      <font>
        <color theme="0" tint="-0.24994659260841701"/>
      </font>
      <numFmt numFmtId="171" formatCode=";;;"/>
      <fill>
        <patternFill>
          <bgColor theme="0" tint="-0.499984740745262"/>
        </patternFill>
      </fill>
      <border>
        <left/>
        <right/>
        <top/>
        <bottom/>
        <vertical/>
        <horizontal/>
      </border>
    </dxf>
    <dxf>
      <font>
        <color theme="0" tint="-0.499984740745262"/>
      </font>
      <numFmt numFmtId="171" formatCode=";;;"/>
      <fill>
        <patternFill>
          <bgColor theme="0" tint="-0.499984740745262"/>
        </patternFill>
      </fill>
      <border>
        <left/>
        <right/>
        <top/>
        <bottom/>
      </border>
    </dxf>
    <dxf>
      <font>
        <color theme="0" tint="-0.24994659260841701"/>
      </font>
      <numFmt numFmtId="171" formatCode=";;;"/>
      <fill>
        <patternFill>
          <bgColor theme="0" tint="-0.499984740745262"/>
        </patternFill>
      </fill>
      <border>
        <left/>
        <right/>
        <top/>
        <bottom/>
      </border>
    </dxf>
    <dxf>
      <font>
        <color theme="0" tint="-0.24994659260841701"/>
      </font>
      <numFmt numFmtId="171" formatCode=";;;"/>
      <fill>
        <patternFill>
          <bgColor theme="0" tint="-0.499984740745262"/>
        </patternFill>
      </fill>
      <border>
        <left/>
        <right/>
        <top/>
        <bottom/>
        <vertical/>
        <horizontal/>
      </border>
    </dxf>
    <dxf>
      <font>
        <color theme="0" tint="-0.24994659260841701"/>
      </font>
      <numFmt numFmtId="171" formatCode=";;;"/>
      <fill>
        <patternFill>
          <bgColor theme="0" tint="-0.499984740745262"/>
        </patternFill>
      </fill>
      <border>
        <left/>
        <right/>
        <top/>
        <bottom/>
        <vertical/>
        <horizontal/>
      </border>
    </dxf>
    <dxf>
      <font>
        <color theme="0" tint="-0.499984740745262"/>
      </font>
      <numFmt numFmtId="171" formatCode=";;;"/>
      <fill>
        <patternFill>
          <bgColor theme="0" tint="-0.499984740745262"/>
        </patternFill>
      </fill>
      <border>
        <left/>
        <right/>
        <top/>
        <bottom/>
      </border>
    </dxf>
    <dxf>
      <numFmt numFmtId="171" formatCode=";;;"/>
      <fill>
        <patternFill>
          <bgColor theme="0" tint="-0.499984740745262"/>
        </patternFill>
      </fill>
    </dxf>
    <dxf>
      <font>
        <color theme="0" tint="-0.24994659260841701"/>
      </font>
      <numFmt numFmtId="171" formatCode=";;;"/>
      <fill>
        <patternFill>
          <bgColor theme="0" tint="-0.499984740745262"/>
        </patternFill>
      </fill>
      <border>
        <left/>
        <right/>
        <top/>
        <bottom/>
        <vertical/>
        <horizontal/>
      </border>
    </dxf>
    <dxf>
      <font>
        <color theme="0" tint="-0.24994659260841701"/>
      </font>
      <numFmt numFmtId="171" formatCode=";;;"/>
      <fill>
        <patternFill>
          <bgColor theme="0" tint="-0.499984740745262"/>
        </patternFill>
      </fill>
      <border>
        <left/>
        <right/>
        <top/>
        <bottom/>
        <vertical/>
        <horizontal/>
      </border>
    </dxf>
    <dxf>
      <font>
        <color theme="0" tint="-0.499984740745262"/>
      </font>
      <numFmt numFmtId="171" formatCode=";;;"/>
      <fill>
        <patternFill>
          <bgColor theme="0" tint="-0.499984740745262"/>
        </patternFill>
      </fill>
      <border>
        <left/>
        <right/>
        <top/>
        <bottom/>
      </border>
    </dxf>
    <dxf>
      <font>
        <color theme="0" tint="-0.24994659260841701"/>
      </font>
      <numFmt numFmtId="171" formatCode=";;;"/>
      <fill>
        <patternFill>
          <bgColor theme="0" tint="-0.499984740745262"/>
        </patternFill>
      </fill>
      <border>
        <left/>
        <right/>
        <top/>
        <bottom/>
        <vertical/>
        <horizontal/>
      </border>
    </dxf>
    <dxf>
      <font>
        <color theme="0" tint="-0.24994659260841701"/>
      </font>
      <numFmt numFmtId="171" formatCode=";;;"/>
      <fill>
        <patternFill>
          <bgColor theme="0" tint="-0.499984740745262"/>
        </patternFill>
      </fill>
      <border>
        <left/>
        <right/>
        <top/>
        <bottom/>
        <vertical/>
        <horizontal/>
      </border>
    </dxf>
    <dxf>
      <font>
        <color theme="0" tint="-0.24994659260841701"/>
      </font>
      <numFmt numFmtId="171" formatCode=";;;"/>
      <fill>
        <patternFill>
          <bgColor theme="0" tint="-0.499984740745262"/>
        </patternFill>
      </fill>
      <border>
        <left/>
        <right/>
        <top/>
        <bottom/>
        <vertical/>
        <horizontal/>
      </border>
    </dxf>
    <dxf>
      <font>
        <color theme="0" tint="-0.499984740745262"/>
      </font>
      <numFmt numFmtId="171" formatCode=";;;"/>
      <fill>
        <patternFill>
          <bgColor theme="0" tint="-0.499984740745262"/>
        </patternFill>
      </fill>
      <border>
        <left/>
        <right/>
        <top/>
        <bottom/>
      </border>
    </dxf>
    <dxf>
      <numFmt numFmtId="171" formatCode=";;;"/>
      <fill>
        <patternFill>
          <bgColor theme="0" tint="-0.499984740745262"/>
        </patternFill>
      </fill>
    </dxf>
    <dxf>
      <font>
        <color theme="0" tint="-0.24994659260841701"/>
      </font>
      <numFmt numFmtId="171" formatCode=";;;"/>
      <fill>
        <patternFill>
          <bgColor theme="0" tint="-0.499984740745262"/>
        </patternFill>
      </fill>
      <border>
        <left/>
        <right/>
        <top/>
        <bottom/>
        <vertical/>
        <horizontal/>
      </border>
    </dxf>
    <dxf>
      <font>
        <color theme="0" tint="-0.24994659260841701"/>
      </font>
      <numFmt numFmtId="171" formatCode=";;;"/>
      <fill>
        <patternFill>
          <bgColor theme="0" tint="-0.499984740745262"/>
        </patternFill>
      </fill>
      <border>
        <left/>
        <right/>
        <top/>
        <bottom/>
        <vertical/>
        <horizontal/>
      </border>
    </dxf>
    <dxf>
      <font>
        <color theme="0" tint="-0.499984740745262"/>
      </font>
      <numFmt numFmtId="171" formatCode=";;;"/>
      <fill>
        <patternFill>
          <bgColor theme="0" tint="-0.499984740745262"/>
        </patternFill>
      </fill>
      <border>
        <left/>
        <right/>
        <top/>
        <bottom/>
      </border>
    </dxf>
    <dxf>
      <font>
        <color theme="0" tint="-0.24994659260841701"/>
      </font>
      <numFmt numFmtId="171" formatCode=";;;"/>
      <fill>
        <patternFill>
          <bgColor theme="0" tint="-0.499984740745262"/>
        </patternFill>
      </fill>
      <border>
        <left/>
        <right/>
        <top/>
        <bottom/>
      </border>
    </dxf>
    <dxf>
      <font>
        <color theme="0" tint="-0.24994659260841701"/>
      </font>
      <numFmt numFmtId="171" formatCode=";;;"/>
      <fill>
        <patternFill>
          <bgColor theme="0" tint="-0.499984740745262"/>
        </patternFill>
      </fill>
      <border>
        <left/>
        <right/>
        <top/>
        <bottom/>
        <vertical/>
        <horizontal/>
      </border>
    </dxf>
    <dxf>
      <font>
        <color theme="0" tint="-0.24994659260841701"/>
      </font>
      <numFmt numFmtId="171" formatCode=";;;"/>
      <fill>
        <patternFill>
          <bgColor theme="0" tint="-0.499984740745262"/>
        </patternFill>
      </fill>
      <border>
        <left/>
        <right/>
        <top/>
        <bottom/>
        <vertical/>
        <horizontal/>
      </border>
    </dxf>
    <dxf>
      <font>
        <color theme="0" tint="-0.499984740745262"/>
      </font>
      <numFmt numFmtId="171" formatCode=";;;"/>
      <fill>
        <patternFill>
          <bgColor theme="0" tint="-0.499984740745262"/>
        </patternFill>
      </fill>
      <border>
        <left/>
        <right/>
        <top/>
        <bottom/>
      </border>
    </dxf>
    <dxf>
      <numFmt numFmtId="171" formatCode=";;;"/>
      <fill>
        <patternFill>
          <bgColor theme="0" tint="-0.499984740745262"/>
        </patternFill>
      </fill>
    </dxf>
    <dxf>
      <font>
        <color theme="0" tint="-0.24994659260841701"/>
      </font>
      <numFmt numFmtId="171" formatCode=";;;"/>
      <fill>
        <patternFill>
          <bgColor theme="0" tint="-0.499984740745262"/>
        </patternFill>
      </fill>
      <border>
        <left/>
        <right/>
        <top/>
        <bottom/>
        <vertical/>
        <horizontal/>
      </border>
    </dxf>
    <dxf>
      <font>
        <color theme="0" tint="-0.24994659260841701"/>
      </font>
      <numFmt numFmtId="171" formatCode=";;;"/>
      <fill>
        <patternFill>
          <bgColor theme="0" tint="-0.499984740745262"/>
        </patternFill>
      </fill>
      <border>
        <left/>
        <right/>
        <top/>
        <bottom/>
        <vertical/>
        <horizontal/>
      </border>
    </dxf>
    <dxf>
      <font>
        <color theme="0" tint="-0.499984740745262"/>
      </font>
      <numFmt numFmtId="171" formatCode=";;;"/>
      <fill>
        <patternFill>
          <bgColor theme="0" tint="-0.499984740745262"/>
        </patternFill>
      </fill>
      <border>
        <left/>
        <right/>
        <top/>
        <bottom/>
      </border>
    </dxf>
    <dxf>
      <font>
        <color theme="0" tint="-0.24994659260841701"/>
      </font>
      <numFmt numFmtId="171" formatCode=";;;"/>
      <fill>
        <patternFill>
          <bgColor theme="0" tint="-0.499984740745262"/>
        </patternFill>
      </fill>
      <border>
        <left/>
        <right/>
        <top/>
        <bottom/>
      </border>
    </dxf>
    <dxf>
      <font>
        <color theme="0" tint="-0.24994659260841701"/>
      </font>
      <numFmt numFmtId="171" formatCode=";;;"/>
      <fill>
        <patternFill>
          <bgColor theme="0" tint="-0.499984740745262"/>
        </patternFill>
      </fill>
      <border>
        <left/>
        <right/>
        <top/>
        <bottom/>
        <vertical/>
        <horizontal/>
      </border>
    </dxf>
    <dxf>
      <numFmt numFmtId="171" formatCode=";;;"/>
      <fill>
        <patternFill>
          <bgColor theme="0" tint="-0.499984740745262"/>
        </patternFill>
      </fill>
    </dxf>
    <dxf>
      <font>
        <color theme="0" tint="-0.24994659260841701"/>
      </font>
      <numFmt numFmtId="171" formatCode=";;;"/>
      <fill>
        <patternFill>
          <bgColor theme="0" tint="-0.499984740745262"/>
        </patternFill>
      </fill>
      <border>
        <left/>
        <right/>
        <top/>
        <bottom/>
        <vertical/>
        <horizontal/>
      </border>
    </dxf>
    <dxf>
      <font>
        <color theme="0" tint="-0.24994659260841701"/>
      </font>
      <numFmt numFmtId="171" formatCode=";;;"/>
      <fill>
        <patternFill>
          <bgColor theme="0" tint="-0.499984740745262"/>
        </patternFill>
      </fill>
      <border>
        <left/>
        <right/>
        <top/>
        <bottom/>
        <vertical/>
        <horizontal/>
      </border>
    </dxf>
    <dxf>
      <font>
        <color theme="0" tint="-0.499984740745262"/>
      </font>
      <numFmt numFmtId="171" formatCode=";;;"/>
      <fill>
        <patternFill>
          <bgColor theme="0" tint="-0.499984740745262"/>
        </patternFill>
      </fill>
      <border>
        <left/>
        <right/>
        <top/>
        <bottom/>
      </border>
    </dxf>
    <dxf>
      <font>
        <color theme="0" tint="-0.24994659260841701"/>
      </font>
      <numFmt numFmtId="171" formatCode=";;;"/>
      <fill>
        <patternFill>
          <bgColor theme="0" tint="-0.499984740745262"/>
        </patternFill>
      </fill>
      <border>
        <left/>
        <right/>
        <top/>
        <bottom/>
        <vertical/>
        <horizontal/>
      </border>
    </dxf>
    <dxf>
      <font>
        <color theme="0" tint="-0.499984740745262"/>
      </font>
      <numFmt numFmtId="171" formatCode=";;;"/>
      <fill>
        <patternFill>
          <bgColor theme="0" tint="-0.499984740745262"/>
        </patternFill>
      </fill>
    </dxf>
    <dxf>
      <font>
        <color theme="1"/>
      </font>
    </dxf>
    <dxf>
      <font>
        <color theme="0" tint="-0.499984740745262"/>
      </font>
      <numFmt numFmtId="171" formatCode=";;;"/>
      <fill>
        <patternFill>
          <bgColor theme="0" tint="-0.499984740745262"/>
        </patternFill>
      </fill>
    </dxf>
    <dxf>
      <font>
        <color theme="0" tint="-0.499984740745262"/>
      </font>
      <numFmt numFmtId="171" formatCode=";;;"/>
      <fill>
        <patternFill>
          <bgColor theme="0" tint="-0.499984740745262"/>
        </patternFill>
      </fill>
    </dxf>
    <dxf>
      <font>
        <color theme="0" tint="-0.499984740745262"/>
      </font>
      <numFmt numFmtId="171" formatCode=";;;"/>
      <fill>
        <patternFill>
          <bgColor theme="0" tint="-0.499984740745262"/>
        </patternFill>
      </fill>
    </dxf>
    <dxf>
      <font>
        <color theme="0" tint="-0.499984740745262"/>
      </font>
      <numFmt numFmtId="171" formatCode=";;;"/>
      <fill>
        <patternFill>
          <bgColor theme="0" tint="-0.499984740745262"/>
        </patternFill>
      </fill>
    </dxf>
    <dxf>
      <font>
        <color theme="0" tint="-0.499984740745262"/>
      </font>
      <numFmt numFmtId="171" formatCode=";;;"/>
      <fill>
        <patternFill>
          <bgColor theme="0" tint="-0.499984740745262"/>
        </patternFill>
      </fill>
    </dxf>
    <dxf>
      <font>
        <color theme="0" tint="-0.499984740745262"/>
      </font>
      <numFmt numFmtId="171" formatCode=";;;"/>
      <fill>
        <patternFill>
          <bgColor theme="0" tint="-0.499984740745262"/>
        </patternFill>
      </fill>
    </dxf>
    <dxf>
      <font>
        <color theme="0" tint="-0.499984740745262"/>
      </font>
      <numFmt numFmtId="171" formatCode=";;;"/>
      <fill>
        <patternFill>
          <bgColor theme="0" tint="-0.499984740745262"/>
        </patternFill>
      </fill>
    </dxf>
    <dxf>
      <font>
        <color theme="0" tint="-0.499984740745262"/>
      </font>
      <numFmt numFmtId="171" formatCode=";;;"/>
      <fill>
        <patternFill>
          <bgColor theme="0" tint="-0.499984740745262"/>
        </patternFill>
      </fill>
    </dxf>
    <dxf>
      <font>
        <color theme="0" tint="-0.499984740745262"/>
      </font>
      <numFmt numFmtId="171" formatCode=";;;"/>
      <fill>
        <patternFill>
          <bgColor theme="0" tint="-0.499984740745262"/>
        </patternFill>
      </fill>
    </dxf>
    <dxf>
      <font>
        <color theme="0" tint="-0.499984740745262"/>
      </font>
      <numFmt numFmtId="171" formatCode=";;;"/>
      <fill>
        <patternFill>
          <bgColor theme="0" tint="-0.499984740745262"/>
        </patternFill>
      </fill>
    </dxf>
    <dxf>
      <font>
        <color theme="0" tint="-0.499984740745262"/>
      </font>
      <numFmt numFmtId="171" formatCode=";;;"/>
      <fill>
        <patternFill>
          <bgColor theme="0" tint="-0.499984740745262"/>
        </patternFill>
      </fill>
    </dxf>
    <dxf>
      <font>
        <color theme="0" tint="-0.499984740745262"/>
      </font>
      <numFmt numFmtId="171" formatCode=";;;"/>
      <fill>
        <patternFill>
          <bgColor theme="0" tint="-0.499984740745262"/>
        </patternFill>
      </fill>
    </dxf>
    <dxf>
      <font>
        <color theme="0" tint="-0.499984740745262"/>
      </font>
      <numFmt numFmtId="171" formatCode=";;;"/>
      <fill>
        <patternFill>
          <bgColor theme="0" tint="-0.499984740745262"/>
        </patternFill>
      </fill>
    </dxf>
    <dxf>
      <font>
        <color theme="0" tint="-0.499984740745262"/>
      </font>
      <numFmt numFmtId="171" formatCode=";;;"/>
      <fill>
        <patternFill>
          <bgColor theme="0" tint="-0.499984740745262"/>
        </patternFill>
      </fill>
    </dxf>
    <dxf>
      <font>
        <color theme="0" tint="-0.499984740745262"/>
      </font>
      <numFmt numFmtId="171" formatCode=";;;"/>
      <fill>
        <patternFill>
          <bgColor theme="0" tint="-0.499984740745262"/>
        </patternFill>
      </fill>
    </dxf>
    <dxf>
      <font>
        <color theme="0" tint="-0.499984740745262"/>
      </font>
      <numFmt numFmtId="171" formatCode=";;;"/>
      <fill>
        <patternFill>
          <bgColor theme="0" tint="-0.499984740745262"/>
        </patternFill>
      </fill>
    </dxf>
    <dxf>
      <font>
        <color theme="0" tint="-0.499984740745262"/>
      </font>
      <numFmt numFmtId="171" formatCode=";;;"/>
      <fill>
        <patternFill>
          <bgColor theme="0" tint="-0.499984740745262"/>
        </patternFill>
      </fill>
    </dxf>
    <dxf>
      <font>
        <color theme="0" tint="-0.499984740745262"/>
      </font>
      <numFmt numFmtId="171" formatCode=";;;"/>
      <fill>
        <patternFill>
          <bgColor theme="0" tint="-0.499984740745262"/>
        </patternFill>
      </fill>
    </dxf>
    <dxf>
      <font>
        <color theme="1"/>
      </font>
    </dxf>
    <dxf>
      <font>
        <color theme="0" tint="-0.499984740745262"/>
      </font>
      <numFmt numFmtId="171" formatCode=";;;"/>
      <fill>
        <patternFill>
          <bgColor theme="0" tint="-0.499984740745262"/>
        </patternFill>
      </fill>
    </dxf>
    <dxf>
      <font>
        <color theme="0" tint="-0.499984740745262"/>
      </font>
      <numFmt numFmtId="171" formatCode=";;;"/>
      <fill>
        <patternFill>
          <bgColor theme="0" tint="-0.499984740745262"/>
        </patternFill>
      </fill>
    </dxf>
    <dxf>
      <font>
        <color theme="0" tint="-0.499984740745262"/>
      </font>
      <numFmt numFmtId="171" formatCode=";;;"/>
      <fill>
        <patternFill>
          <bgColor theme="0" tint="-0.499984740745262"/>
        </patternFill>
      </fill>
    </dxf>
    <dxf>
      <font>
        <color theme="0" tint="-0.499984740745262"/>
      </font>
      <numFmt numFmtId="171" formatCode=";;;"/>
      <fill>
        <patternFill>
          <bgColor theme="0" tint="-0.499984740745262"/>
        </patternFill>
      </fill>
    </dxf>
    <dxf>
      <font>
        <color theme="0" tint="-0.499984740745262"/>
      </font>
      <numFmt numFmtId="171" formatCode=";;;"/>
      <fill>
        <patternFill>
          <bgColor theme="0" tint="-0.499984740745262"/>
        </patternFill>
      </fill>
    </dxf>
    <dxf>
      <font>
        <color theme="0" tint="-0.499984740745262"/>
      </font>
      <numFmt numFmtId="171" formatCode=";;;"/>
      <fill>
        <patternFill>
          <bgColor theme="0" tint="-0.499984740745262"/>
        </patternFill>
      </fill>
    </dxf>
    <dxf>
      <font>
        <color theme="0" tint="-0.499984740745262"/>
      </font>
      <numFmt numFmtId="171" formatCode=";;;"/>
      <fill>
        <patternFill>
          <bgColor theme="0" tint="-0.499984740745262"/>
        </patternFill>
      </fill>
    </dxf>
    <dxf>
      <font>
        <color theme="0" tint="-0.499984740745262"/>
      </font>
      <numFmt numFmtId="171" formatCode=";;;"/>
      <fill>
        <patternFill>
          <bgColor theme="0" tint="-0.499984740745262"/>
        </patternFill>
      </fill>
    </dxf>
    <dxf>
      <font>
        <color theme="0" tint="-0.499984740745262"/>
      </font>
      <numFmt numFmtId="171" formatCode=";;;"/>
      <fill>
        <patternFill>
          <bgColor theme="0" tint="-0.499984740745262"/>
        </patternFill>
      </fill>
    </dxf>
    <dxf>
      <font>
        <color theme="0" tint="-0.499984740745262"/>
      </font>
      <numFmt numFmtId="171" formatCode=";;;"/>
      <fill>
        <patternFill>
          <bgColor theme="0" tint="-0.499984740745262"/>
        </patternFill>
      </fill>
    </dxf>
    <dxf>
      <font>
        <color theme="0" tint="-0.499984740745262"/>
      </font>
      <numFmt numFmtId="171" formatCode=";;;"/>
      <fill>
        <patternFill>
          <bgColor theme="0" tint="-0.499984740745262"/>
        </patternFill>
      </fill>
    </dxf>
    <dxf>
      <font>
        <color theme="0" tint="-0.499984740745262"/>
      </font>
      <numFmt numFmtId="171" formatCode=";;;"/>
      <fill>
        <patternFill>
          <bgColor theme="0" tint="-0.499984740745262"/>
        </patternFill>
      </fill>
    </dxf>
    <dxf>
      <font>
        <color theme="0" tint="-0.499984740745262"/>
      </font>
      <numFmt numFmtId="171" formatCode=";;;"/>
      <fill>
        <patternFill>
          <bgColor theme="0" tint="-0.499984740745262"/>
        </patternFill>
      </fill>
    </dxf>
    <dxf>
      <font>
        <color theme="0" tint="-0.499984740745262"/>
      </font>
      <numFmt numFmtId="171" formatCode=";;;"/>
      <fill>
        <patternFill>
          <bgColor theme="0" tint="-0.499984740745262"/>
        </patternFill>
      </fill>
    </dxf>
    <dxf>
      <font>
        <color theme="0" tint="-0.499984740745262"/>
      </font>
      <numFmt numFmtId="171" formatCode=";;;"/>
      <fill>
        <patternFill>
          <bgColor theme="0" tint="-0.499984740745262"/>
        </patternFill>
      </fill>
    </dxf>
    <dxf>
      <font>
        <color theme="0" tint="-0.499984740745262"/>
      </font>
      <numFmt numFmtId="171" formatCode=";;;"/>
      <fill>
        <patternFill>
          <bgColor theme="0" tint="-0.499984740745262"/>
        </patternFill>
      </fill>
    </dxf>
    <dxf>
      <font>
        <color theme="0" tint="-0.499984740745262"/>
      </font>
      <numFmt numFmtId="171" formatCode=";;;"/>
      <fill>
        <patternFill>
          <bgColor theme="0" tint="-0.499984740745262"/>
        </patternFill>
      </fill>
    </dxf>
    <dxf>
      <font>
        <color theme="0" tint="-0.499984740745262"/>
      </font>
      <numFmt numFmtId="171" formatCode=";;;"/>
      <fill>
        <patternFill>
          <bgColor theme="0" tint="-0.499984740745262"/>
        </patternFill>
      </fill>
    </dxf>
    <dxf>
      <font>
        <color theme="0" tint="-0.499984740745262"/>
      </font>
      <numFmt numFmtId="171" formatCode=";;;"/>
      <fill>
        <patternFill>
          <bgColor theme="0" tint="-0.499984740745262"/>
        </patternFill>
      </fill>
    </dxf>
    <dxf>
      <font>
        <color theme="0" tint="-0.499984740745262"/>
      </font>
      <numFmt numFmtId="171" formatCode=";;;"/>
      <fill>
        <patternFill>
          <bgColor theme="0" tint="-0.499984740745262"/>
        </patternFill>
      </fill>
    </dxf>
    <dxf>
      <font>
        <color theme="1"/>
      </font>
    </dxf>
    <dxf>
      <font>
        <color theme="0" tint="-0.499984740745262"/>
      </font>
      <numFmt numFmtId="171" formatCode=";;;"/>
      <fill>
        <patternFill>
          <bgColor theme="0" tint="-0.499984740745262"/>
        </patternFill>
      </fill>
    </dxf>
    <dxf>
      <font>
        <color theme="0" tint="-0.499984740745262"/>
      </font>
      <numFmt numFmtId="171" formatCode=";;;"/>
      <fill>
        <patternFill>
          <bgColor theme="0" tint="-0.499984740745262"/>
        </patternFill>
      </fill>
    </dxf>
    <dxf>
      <font>
        <color theme="0" tint="-0.499984740745262"/>
      </font>
      <numFmt numFmtId="171" formatCode=";;;"/>
      <fill>
        <patternFill>
          <bgColor theme="0" tint="-0.499984740745262"/>
        </patternFill>
      </fill>
    </dxf>
    <dxf>
      <font>
        <color theme="0" tint="-0.499984740745262"/>
      </font>
      <numFmt numFmtId="171" formatCode=";;;"/>
      <fill>
        <patternFill>
          <bgColor theme="0" tint="-0.499984740745262"/>
        </patternFill>
      </fill>
    </dxf>
    <dxf>
      <font>
        <color theme="0" tint="-0.499984740745262"/>
      </font>
      <numFmt numFmtId="171" formatCode=";;;"/>
      <fill>
        <patternFill>
          <bgColor theme="0" tint="-0.499984740745262"/>
        </patternFill>
      </fill>
    </dxf>
    <dxf>
      <font>
        <color theme="0" tint="-0.499984740745262"/>
      </font>
      <numFmt numFmtId="171" formatCode=";;;"/>
      <fill>
        <patternFill>
          <bgColor theme="0" tint="-0.499984740745262"/>
        </patternFill>
      </fill>
    </dxf>
    <dxf>
      <font>
        <color theme="0" tint="-0.499984740745262"/>
      </font>
      <numFmt numFmtId="171" formatCode=";;;"/>
      <fill>
        <patternFill>
          <bgColor theme="0" tint="-0.499984740745262"/>
        </patternFill>
      </fill>
    </dxf>
    <dxf>
      <font>
        <color theme="0" tint="-0.499984740745262"/>
      </font>
      <numFmt numFmtId="171" formatCode=";;;"/>
      <fill>
        <patternFill>
          <bgColor theme="0" tint="-0.499984740745262"/>
        </patternFill>
      </fill>
    </dxf>
    <dxf>
      <font>
        <color theme="0" tint="-0.499984740745262"/>
      </font>
      <numFmt numFmtId="171" formatCode=";;;"/>
      <fill>
        <patternFill>
          <bgColor theme="0" tint="-0.499984740745262"/>
        </patternFill>
      </fill>
    </dxf>
    <dxf>
      <font>
        <color theme="0" tint="-0.499984740745262"/>
      </font>
      <numFmt numFmtId="171" formatCode=";;;"/>
      <fill>
        <patternFill>
          <bgColor theme="0" tint="-0.499984740745262"/>
        </patternFill>
      </fill>
    </dxf>
    <dxf>
      <font>
        <color theme="0" tint="-0.499984740745262"/>
      </font>
      <numFmt numFmtId="171" formatCode=";;;"/>
      <fill>
        <patternFill>
          <bgColor theme="0" tint="-0.499984740745262"/>
        </patternFill>
      </fill>
    </dxf>
    <dxf>
      <font>
        <color theme="0" tint="-0.499984740745262"/>
      </font>
      <numFmt numFmtId="171" formatCode=";;;"/>
      <fill>
        <patternFill>
          <bgColor theme="0" tint="-0.499984740745262"/>
        </patternFill>
      </fill>
    </dxf>
    <dxf>
      <font>
        <color theme="0" tint="-0.499984740745262"/>
      </font>
      <numFmt numFmtId="171" formatCode=";;;"/>
      <fill>
        <patternFill>
          <bgColor theme="0" tint="-0.499984740745262"/>
        </patternFill>
      </fill>
    </dxf>
    <dxf>
      <font>
        <color theme="0" tint="-0.499984740745262"/>
      </font>
      <numFmt numFmtId="171" formatCode=";;;"/>
      <fill>
        <patternFill>
          <bgColor theme="0" tint="-0.499984740745262"/>
        </patternFill>
      </fill>
    </dxf>
    <dxf>
      <font>
        <color theme="0" tint="-0.499984740745262"/>
      </font>
      <numFmt numFmtId="171" formatCode=";;;"/>
      <fill>
        <patternFill>
          <bgColor theme="0" tint="-0.499984740745262"/>
        </patternFill>
      </fill>
    </dxf>
    <dxf>
      <font>
        <color theme="0" tint="-0.499984740745262"/>
      </font>
      <numFmt numFmtId="171" formatCode=";;;"/>
      <fill>
        <patternFill>
          <bgColor theme="0" tint="-0.499984740745262"/>
        </patternFill>
      </fill>
    </dxf>
    <dxf>
      <font>
        <color theme="0" tint="-0.499984740745262"/>
      </font>
      <numFmt numFmtId="171" formatCode=";;;"/>
      <fill>
        <patternFill>
          <bgColor theme="0" tint="-0.499984740745262"/>
        </patternFill>
      </fill>
    </dxf>
    <dxf>
      <font>
        <color theme="0" tint="-0.499984740745262"/>
      </font>
      <numFmt numFmtId="171" formatCode=";;;"/>
      <fill>
        <patternFill>
          <bgColor theme="0" tint="-0.499984740745262"/>
        </patternFill>
      </fill>
    </dxf>
    <dxf>
      <font>
        <color theme="0" tint="-0.499984740745262"/>
      </font>
      <numFmt numFmtId="171" formatCode=";;;"/>
      <fill>
        <patternFill>
          <bgColor theme="0" tint="-0.499984740745262"/>
        </patternFill>
      </fill>
    </dxf>
    <dxf>
      <font>
        <color theme="0" tint="-0.499984740745262"/>
      </font>
      <numFmt numFmtId="171" formatCode=";;;"/>
      <fill>
        <patternFill>
          <bgColor theme="0" tint="-0.499984740745262"/>
        </patternFill>
      </fill>
    </dxf>
    <dxf>
      <font>
        <color theme="1"/>
      </font>
    </dxf>
    <dxf>
      <font>
        <color theme="0" tint="-0.499984740745262"/>
      </font>
      <numFmt numFmtId="171" formatCode=";;;"/>
      <fill>
        <patternFill>
          <bgColor theme="0" tint="-0.499984740745262"/>
        </patternFill>
      </fill>
    </dxf>
    <dxf>
      <font>
        <color theme="0" tint="-0.499984740745262"/>
      </font>
      <numFmt numFmtId="171" formatCode=";;;"/>
      <fill>
        <patternFill>
          <bgColor theme="0" tint="-0.499984740745262"/>
        </patternFill>
      </fill>
    </dxf>
    <dxf>
      <font>
        <color theme="0" tint="-0.499984740745262"/>
      </font>
      <numFmt numFmtId="171" formatCode=";;;"/>
      <fill>
        <patternFill>
          <bgColor theme="0" tint="-0.499984740745262"/>
        </patternFill>
      </fill>
    </dxf>
    <dxf>
      <font>
        <color theme="0" tint="-0.499984740745262"/>
      </font>
      <numFmt numFmtId="171" formatCode=";;;"/>
      <fill>
        <patternFill>
          <bgColor theme="0" tint="-0.499984740745262"/>
        </patternFill>
      </fill>
    </dxf>
    <dxf>
      <font>
        <color theme="0" tint="-0.499984740745262"/>
      </font>
      <numFmt numFmtId="171" formatCode=";;;"/>
      <fill>
        <patternFill>
          <bgColor theme="0" tint="-0.499984740745262"/>
        </patternFill>
      </fill>
    </dxf>
    <dxf>
      <font>
        <color theme="0" tint="-0.499984740745262"/>
      </font>
      <numFmt numFmtId="171" formatCode=";;;"/>
      <fill>
        <patternFill>
          <bgColor theme="0" tint="-0.499984740745262"/>
        </patternFill>
      </fill>
    </dxf>
    <dxf>
      <font>
        <color theme="0" tint="-0.499984740745262"/>
      </font>
      <numFmt numFmtId="171" formatCode=";;;"/>
      <fill>
        <patternFill>
          <bgColor theme="0" tint="-0.499984740745262"/>
        </patternFill>
      </fill>
    </dxf>
    <dxf>
      <font>
        <color theme="0" tint="-0.499984740745262"/>
      </font>
      <numFmt numFmtId="171" formatCode=";;;"/>
      <fill>
        <patternFill>
          <bgColor theme="0" tint="-0.499984740745262"/>
        </patternFill>
      </fill>
    </dxf>
    <dxf>
      <font>
        <color theme="0" tint="-0.499984740745262"/>
      </font>
      <numFmt numFmtId="171" formatCode=";;;"/>
      <fill>
        <patternFill>
          <bgColor theme="0" tint="-0.499984740745262"/>
        </patternFill>
      </fill>
    </dxf>
    <dxf>
      <font>
        <color theme="0" tint="-0.499984740745262"/>
      </font>
      <numFmt numFmtId="171" formatCode=";;;"/>
      <fill>
        <patternFill>
          <bgColor theme="0" tint="-0.499984740745262"/>
        </patternFill>
      </fill>
    </dxf>
    <dxf>
      <font>
        <color theme="0" tint="-0.499984740745262"/>
      </font>
      <numFmt numFmtId="171" formatCode=";;;"/>
      <fill>
        <patternFill>
          <bgColor theme="0" tint="-0.499984740745262"/>
        </patternFill>
      </fill>
    </dxf>
    <dxf>
      <font>
        <color theme="0" tint="-0.499984740745262"/>
      </font>
      <numFmt numFmtId="171" formatCode=";;;"/>
      <fill>
        <patternFill>
          <bgColor theme="0" tint="-0.499984740745262"/>
        </patternFill>
      </fill>
    </dxf>
    <dxf>
      <font>
        <color theme="0" tint="-0.499984740745262"/>
      </font>
      <numFmt numFmtId="171" formatCode=";;;"/>
      <fill>
        <patternFill>
          <bgColor theme="0" tint="-0.499984740745262"/>
        </patternFill>
      </fill>
    </dxf>
    <dxf>
      <font>
        <color theme="0" tint="-0.499984740745262"/>
      </font>
      <numFmt numFmtId="171" formatCode=";;;"/>
      <fill>
        <patternFill>
          <bgColor theme="0" tint="-0.499984740745262"/>
        </patternFill>
      </fill>
    </dxf>
    <dxf>
      <font>
        <color theme="0" tint="-0.499984740745262"/>
      </font>
      <numFmt numFmtId="171" formatCode=";;;"/>
      <fill>
        <patternFill>
          <bgColor theme="0" tint="-0.499984740745262"/>
        </patternFill>
      </fill>
    </dxf>
    <dxf>
      <font>
        <color theme="0" tint="-0.499984740745262"/>
      </font>
      <numFmt numFmtId="171" formatCode=";;;"/>
      <fill>
        <patternFill>
          <bgColor theme="0" tint="-0.499984740745262"/>
        </patternFill>
      </fill>
    </dxf>
    <dxf>
      <font>
        <color theme="0" tint="-0.499984740745262"/>
      </font>
      <numFmt numFmtId="171" formatCode=";;;"/>
      <fill>
        <patternFill>
          <bgColor theme="0" tint="-0.499984740745262"/>
        </patternFill>
      </fill>
    </dxf>
    <dxf>
      <font>
        <color theme="0" tint="-0.499984740745262"/>
      </font>
      <numFmt numFmtId="171" formatCode=";;;"/>
      <fill>
        <patternFill>
          <bgColor theme="0" tint="-0.499984740745262"/>
        </patternFill>
      </fill>
    </dxf>
    <dxf>
      <font>
        <color theme="0" tint="-0.499984740745262"/>
      </font>
      <numFmt numFmtId="171" formatCode=";;;"/>
      <fill>
        <patternFill>
          <bgColor theme="0" tint="-0.499984740745262"/>
        </patternFill>
      </fill>
    </dxf>
    <dxf>
      <font>
        <color theme="0" tint="-0.499984740745262"/>
      </font>
      <numFmt numFmtId="171" formatCode=";;;"/>
      <fill>
        <patternFill>
          <bgColor theme="0" tint="-0.499984740745262"/>
        </patternFill>
      </fill>
    </dxf>
    <dxf>
      <font>
        <color theme="1"/>
      </font>
    </dxf>
    <dxf>
      <font>
        <color theme="0" tint="-0.499984740745262"/>
      </font>
      <numFmt numFmtId="171" formatCode=";;;"/>
      <fill>
        <patternFill>
          <bgColor theme="0" tint="-0.499984740745262"/>
        </patternFill>
      </fill>
    </dxf>
    <dxf>
      <font>
        <color theme="0" tint="-0.499984740745262"/>
      </font>
      <numFmt numFmtId="171" formatCode=";;;"/>
      <fill>
        <patternFill>
          <bgColor theme="0" tint="-0.499984740745262"/>
        </patternFill>
      </fill>
    </dxf>
    <dxf>
      <font>
        <color theme="0" tint="-0.499984740745262"/>
      </font>
      <numFmt numFmtId="171" formatCode=";;;"/>
      <fill>
        <patternFill>
          <bgColor theme="0" tint="-0.499984740745262"/>
        </patternFill>
      </fill>
    </dxf>
    <dxf>
      <font>
        <color theme="0" tint="-0.499984740745262"/>
      </font>
      <numFmt numFmtId="171" formatCode=";;;"/>
      <fill>
        <patternFill>
          <bgColor theme="0" tint="-0.499984740745262"/>
        </patternFill>
      </fill>
    </dxf>
    <dxf>
      <font>
        <color theme="0" tint="-0.499984740745262"/>
      </font>
      <numFmt numFmtId="171" formatCode=";;;"/>
      <fill>
        <patternFill>
          <bgColor theme="0" tint="-0.499984740745262"/>
        </patternFill>
      </fill>
    </dxf>
    <dxf>
      <font>
        <color theme="0" tint="-0.499984740745262"/>
      </font>
      <numFmt numFmtId="171" formatCode=";;;"/>
      <fill>
        <patternFill>
          <bgColor theme="0" tint="-0.499984740745262"/>
        </patternFill>
      </fill>
    </dxf>
    <dxf>
      <font>
        <color theme="0" tint="-0.499984740745262"/>
      </font>
      <numFmt numFmtId="171" formatCode=";;;"/>
      <fill>
        <patternFill>
          <bgColor theme="0" tint="-0.499984740745262"/>
        </patternFill>
      </fill>
    </dxf>
    <dxf>
      <font>
        <color theme="0" tint="-0.499984740745262"/>
      </font>
      <numFmt numFmtId="171" formatCode=";;;"/>
      <fill>
        <patternFill>
          <bgColor theme="0" tint="-0.499984740745262"/>
        </patternFill>
      </fill>
    </dxf>
    <dxf>
      <font>
        <color theme="0" tint="-0.499984740745262"/>
      </font>
      <numFmt numFmtId="171" formatCode=";;;"/>
      <fill>
        <patternFill>
          <bgColor theme="0" tint="-0.499984740745262"/>
        </patternFill>
      </fill>
    </dxf>
    <dxf>
      <font>
        <color theme="0" tint="-0.499984740745262"/>
      </font>
      <numFmt numFmtId="171" formatCode=";;;"/>
      <fill>
        <patternFill>
          <bgColor theme="0" tint="-0.499984740745262"/>
        </patternFill>
      </fill>
    </dxf>
    <dxf>
      <font>
        <color theme="0" tint="-0.499984740745262"/>
      </font>
      <numFmt numFmtId="171" formatCode=";;;"/>
      <fill>
        <patternFill>
          <bgColor theme="0" tint="-0.499984740745262"/>
        </patternFill>
      </fill>
    </dxf>
    <dxf>
      <font>
        <color theme="0" tint="-0.499984740745262"/>
      </font>
      <numFmt numFmtId="171" formatCode=";;;"/>
      <fill>
        <patternFill>
          <bgColor theme="0" tint="-0.499984740745262"/>
        </patternFill>
      </fill>
    </dxf>
    <dxf>
      <font>
        <color theme="0" tint="-0.499984740745262"/>
      </font>
      <numFmt numFmtId="171" formatCode=";;;"/>
      <fill>
        <patternFill>
          <bgColor theme="0" tint="-0.499984740745262"/>
        </patternFill>
      </fill>
    </dxf>
    <dxf>
      <font>
        <color theme="0" tint="-0.499984740745262"/>
      </font>
      <numFmt numFmtId="171" formatCode=";;;"/>
      <fill>
        <patternFill>
          <bgColor theme="0" tint="-0.499984740745262"/>
        </patternFill>
      </fill>
    </dxf>
    <dxf>
      <font>
        <color theme="0" tint="-0.499984740745262"/>
      </font>
      <numFmt numFmtId="171" formatCode=";;;"/>
      <fill>
        <patternFill>
          <bgColor theme="0" tint="-0.499984740745262"/>
        </patternFill>
      </fill>
    </dxf>
    <dxf>
      <font>
        <color theme="0" tint="-0.499984740745262"/>
      </font>
      <numFmt numFmtId="171" formatCode=";;;"/>
      <fill>
        <patternFill>
          <bgColor theme="0" tint="-0.499984740745262"/>
        </patternFill>
      </fill>
    </dxf>
    <dxf>
      <font>
        <strike val="0"/>
        <color theme="0" tint="-0.499984740745262"/>
      </font>
      <numFmt numFmtId="171" formatCode=";;;"/>
      <fill>
        <patternFill>
          <bgColor theme="0" tint="-0.499984740745262"/>
        </patternFill>
      </fill>
    </dxf>
    <dxf>
      <font>
        <color theme="0" tint="-0.499984740745262"/>
      </font>
      <numFmt numFmtId="171" formatCode=";;;"/>
      <fill>
        <patternFill>
          <bgColor theme="0" tint="-0.499984740745262"/>
        </patternFill>
      </fill>
    </dxf>
    <dxf>
      <fill>
        <patternFill>
          <bgColor theme="5" tint="0.59996337778862885"/>
        </patternFill>
      </fill>
    </dxf>
    <dxf>
      <fill>
        <patternFill>
          <bgColor theme="5" tint="0.59996337778862885"/>
        </patternFill>
      </fill>
    </dxf>
    <dxf>
      <numFmt numFmtId="171" formatCode=";;;"/>
      <fill>
        <patternFill>
          <bgColor theme="0" tint="-0.499984740745262"/>
        </patternFill>
      </fill>
    </dxf>
    <dxf>
      <numFmt numFmtId="171" formatCode=";;;"/>
      <fill>
        <patternFill>
          <bgColor theme="0" tint="-0.499984740745262"/>
        </patternFill>
      </fill>
    </dxf>
    <dxf>
      <font>
        <color theme="0" tint="-0.24994659260841701"/>
      </font>
      <numFmt numFmtId="171" formatCode=";;;"/>
      <fill>
        <patternFill>
          <bgColor theme="0" tint="-0.499984740745262"/>
        </patternFill>
      </fill>
    </dxf>
    <dxf>
      <font>
        <color theme="0" tint="-0.24994659260841701"/>
      </font>
      <numFmt numFmtId="171" formatCode=";;;"/>
      <fill>
        <patternFill patternType="solid">
          <bgColor theme="0" tint="-0.499984740745262"/>
        </patternFill>
      </fill>
    </dxf>
    <dxf>
      <font>
        <color theme="0" tint="-0.24994659260841701"/>
      </font>
      <numFmt numFmtId="171" formatCode=";;;"/>
      <fill>
        <patternFill>
          <bgColor theme="0" tint="-0.499984740745262"/>
        </patternFill>
      </fill>
      <border>
        <left/>
        <right/>
        <top/>
        <bottom/>
        <vertical/>
        <horizontal/>
      </border>
    </dxf>
    <dxf>
      <font>
        <color theme="0" tint="-0.24994659260841701"/>
      </font>
      <numFmt numFmtId="171" formatCode=";;;"/>
      <fill>
        <patternFill>
          <bgColor theme="0" tint="-0.499984740745262"/>
        </patternFill>
      </fill>
      <border>
        <left/>
        <right/>
        <top/>
        <bottom/>
      </border>
    </dxf>
    <dxf>
      <font>
        <color theme="0" tint="-0.24994659260841701"/>
      </font>
      <numFmt numFmtId="171" formatCode=";;;"/>
      <fill>
        <patternFill>
          <bgColor theme="0" tint="-0.499984740745262"/>
        </patternFill>
      </fill>
    </dxf>
    <dxf>
      <numFmt numFmtId="171" formatCode=";;;"/>
      <fill>
        <patternFill>
          <bgColor theme="0" tint="-0.49998474074526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numFmt numFmtId="171" formatCode=";;;"/>
      <fill>
        <patternFill>
          <bgColor theme="0" tint="-0.499984740745262"/>
        </patternFill>
      </fill>
    </dxf>
    <dxf>
      <font>
        <color theme="0" tint="-0.499984740745262"/>
      </font>
      <numFmt numFmtId="171" formatCode=";;;"/>
      <fill>
        <patternFill>
          <bgColor theme="0" tint="-0.499984740745262"/>
        </patternFill>
      </fill>
    </dxf>
    <dxf>
      <font>
        <color theme="0" tint="-0.24994659260841701"/>
      </font>
      <numFmt numFmtId="171" formatCode=";;;"/>
      <fill>
        <patternFill>
          <bgColor theme="0" tint="-0.499984740745262"/>
        </patternFill>
      </fill>
      <border>
        <left/>
        <right/>
        <top/>
        <bottom/>
        <vertical/>
        <horizontal/>
      </border>
    </dxf>
    <dxf>
      <font>
        <color theme="0" tint="-0.24994659260841701"/>
      </font>
      <numFmt numFmtId="171" formatCode=";;;"/>
      <fill>
        <patternFill>
          <bgColor theme="0" tint="-0.499984740745262"/>
        </patternFill>
      </fill>
    </dxf>
    <dxf>
      <font>
        <color theme="0" tint="-0.24994659260841701"/>
      </font>
      <numFmt numFmtId="171" formatCode=";;;"/>
      <fill>
        <patternFill>
          <bgColor theme="0" tint="-0.499984740745262"/>
        </patternFill>
      </fill>
    </dxf>
    <dxf>
      <font>
        <color theme="0" tint="-0.24994659260841701"/>
      </font>
      <numFmt numFmtId="171" formatCode=";;;"/>
      <fill>
        <patternFill patternType="solid">
          <bgColor theme="0" tint="-0.499984740745262"/>
        </patternFill>
      </fill>
    </dxf>
    <dxf>
      <font>
        <color theme="0" tint="-0.499984740745262"/>
      </font>
      <numFmt numFmtId="171" formatCode=";;;"/>
      <fill>
        <patternFill>
          <bgColor theme="0" tint="-0.499984740745262"/>
        </patternFill>
      </fill>
    </dxf>
    <dxf>
      <numFmt numFmtId="171" formatCode=";;;"/>
      <fill>
        <patternFill>
          <bgColor rgb="FF838383"/>
        </patternFill>
      </fill>
    </dxf>
    <dxf>
      <font>
        <color theme="0" tint="-0.24994659260841701"/>
      </font>
      <numFmt numFmtId="171" formatCode=";;;"/>
      <fill>
        <patternFill patternType="solid">
          <bgColor theme="0" tint="-0.499984740745262"/>
        </patternFill>
      </fill>
    </dxf>
    <dxf>
      <font>
        <color theme="0" tint="-0.499984740745262"/>
      </font>
      <numFmt numFmtId="171" formatCode=";;;"/>
      <fill>
        <patternFill>
          <bgColor theme="0" tint="-0.499984740745262"/>
        </patternFill>
      </fill>
    </dxf>
    <dxf>
      <font>
        <color theme="0" tint="-0.499984740745262"/>
      </font>
      <numFmt numFmtId="171" formatCode=";;;"/>
      <fill>
        <patternFill>
          <bgColor theme="0" tint="-0.499984740745262"/>
        </patternFill>
      </fill>
    </dxf>
    <dxf>
      <font>
        <color theme="0" tint="-0.499984740745262"/>
      </font>
      <numFmt numFmtId="171" formatCode=";;;"/>
      <fill>
        <patternFill>
          <bgColor theme="0" tint="-0.499984740745262"/>
        </patternFill>
      </fill>
    </dxf>
    <dxf>
      <font>
        <color theme="0" tint="-0.24994659260841701"/>
      </font>
      <numFmt numFmtId="171" formatCode=";;;"/>
      <fill>
        <patternFill patternType="solid">
          <bgColor theme="0" tint="-0.499984740745262"/>
        </patternFill>
      </fill>
    </dxf>
    <dxf>
      <font>
        <color theme="0" tint="-0.24994659260841701"/>
      </font>
      <numFmt numFmtId="171" formatCode=";;;"/>
      <fill>
        <patternFill>
          <bgColor theme="0" tint="-0.499984740745262"/>
        </patternFill>
      </fill>
      <border>
        <left/>
        <right/>
        <top/>
        <bottom/>
        <vertical/>
        <horizontal/>
      </border>
    </dxf>
    <dxf>
      <font>
        <color theme="0" tint="-0.499984740745262"/>
      </font>
      <numFmt numFmtId="171" formatCode=";;;"/>
      <fill>
        <patternFill>
          <bgColor theme="0" tint="-0.499984740745262"/>
        </patternFill>
      </fill>
    </dxf>
    <dxf>
      <font>
        <color theme="0" tint="-0.24994659260841701"/>
      </font>
      <numFmt numFmtId="171" formatCode=";;;"/>
      <fill>
        <patternFill>
          <bgColor theme="0" tint="-0.499984740745262"/>
        </patternFill>
      </fill>
    </dxf>
    <dxf>
      <font>
        <color theme="0" tint="-0.499984740745262"/>
      </font>
      <numFmt numFmtId="171" formatCode=";;;"/>
      <fill>
        <patternFill>
          <bgColor theme="0" tint="-0.499984740745262"/>
        </patternFill>
      </fill>
    </dxf>
    <dxf>
      <font>
        <color theme="0" tint="-0.499984740745262"/>
      </font>
      <numFmt numFmtId="171" formatCode=";;;"/>
      <fill>
        <patternFill>
          <bgColor theme="0" tint="-0.499984740745262"/>
        </patternFill>
      </fill>
      <border>
        <left/>
        <right/>
        <top/>
        <bottom/>
      </border>
    </dxf>
    <dxf>
      <font>
        <color theme="0" tint="-0.499984740745262"/>
      </font>
      <numFmt numFmtId="171" formatCode=";;;"/>
      <fill>
        <patternFill>
          <bgColor theme="0" tint="-0.499984740745262"/>
        </patternFill>
      </fill>
    </dxf>
    <dxf>
      <font>
        <color theme="0" tint="-0.24994659260841701"/>
      </font>
      <numFmt numFmtId="171" formatCode=";;;"/>
      <fill>
        <patternFill>
          <bgColor theme="0" tint="-0.499984740745262"/>
        </patternFill>
      </fill>
      <border>
        <left/>
        <right/>
        <top/>
        <bottom/>
        <vertical/>
        <horizontal/>
      </border>
    </dxf>
    <dxf>
      <font>
        <color theme="0" tint="-0.499984740745262"/>
      </font>
      <numFmt numFmtId="171" formatCode=";;;"/>
      <fill>
        <patternFill>
          <bgColor theme="0" tint="-0.499984740745262"/>
        </patternFill>
      </fill>
    </dxf>
    <dxf>
      <font>
        <color theme="0" tint="-0.499984740745262"/>
      </font>
      <numFmt numFmtId="171" formatCode=";;;"/>
      <fill>
        <patternFill>
          <bgColor theme="0" tint="-0.499984740745262"/>
        </patternFill>
      </fill>
    </dxf>
    <dxf>
      <font>
        <color theme="0" tint="-0.499984740745262"/>
      </font>
      <numFmt numFmtId="171" formatCode=";;;"/>
      <fill>
        <patternFill>
          <bgColor theme="0" tint="-0.499984740745262"/>
        </patternFill>
      </fill>
    </dxf>
    <dxf>
      <numFmt numFmtId="171" formatCode=";;;"/>
      <fill>
        <patternFill>
          <bgColor theme="0" tint="-0.499984740745262"/>
        </patternFill>
      </fill>
    </dxf>
    <dxf>
      <font>
        <color theme="0" tint="-0.499984740745262"/>
      </font>
      <numFmt numFmtId="171" formatCode=";;;"/>
      <fill>
        <patternFill>
          <bgColor theme="0" tint="-0.499984740745262"/>
        </patternFill>
      </fill>
    </dxf>
  </dxfs>
  <tableStyles count="0" defaultTableStyle="TableStyleMedium2" defaultPivotStyle="PivotStyleLight16"/>
  <colors>
    <mruColors>
      <color rgb="FF838383"/>
      <color rgb="FFFFFFCC"/>
      <color rgb="FFFF99CC"/>
      <color rgb="FFFF66CC"/>
      <color rgb="FF808080"/>
      <color rgb="FFEBB8B7"/>
      <color rgb="FFFF99FF"/>
      <color rgb="FFFF7C7C"/>
      <color rgb="FFFF9999"/>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www.ncdc.noaa.gov/ghcn/comparative-climatic-data" TargetMode="External"/><Relationship Id="rId1" Type="http://schemas.openxmlformats.org/officeDocument/2006/relationships/hyperlink" Target="https://www.ncdc.noaa.gov/ghcn/comparative-climatic-data" TargetMode="Externa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www.ncdc.noaa.gov/ghcn/comparative-climatic-data" TargetMode="External"/><Relationship Id="rId1" Type="http://schemas.openxmlformats.org/officeDocument/2006/relationships/hyperlink" Target="https://www.ncdc.noaa.gov/ghcn/comparative-climatic-data" TargetMode="Externa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www.ncdc.noaa.gov/ghcn/comparative-climatic-data" TargetMode="External"/><Relationship Id="rId1" Type="http://schemas.openxmlformats.org/officeDocument/2006/relationships/hyperlink" Target="https://www.ncdc.noaa.gov/ghcn/comparative-climatic-data"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www.tceq.texas.gov/assets/public/permitting/air/Guidance/NewSourceReview/fnsr_app_determ.pdf"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hyperlink" Target="https://www.tceq.texas.gov/permitting/air/guidance/newsourcereview/nsrapp-tools.html" TargetMode="External"/><Relationship Id="rId2" Type="http://schemas.openxmlformats.org/officeDocument/2006/relationships/hyperlink" Target="http://www.tceq.texas.gov/permitting/air/bilingual/how1_2_pn.html" TargetMode="External"/><Relationship Id="rId1" Type="http://schemas.openxmlformats.org/officeDocument/2006/relationships/hyperlink" Target="http://www.tceq.texas.gov/permitting/air/bilingual/how1_2_pn.html" TargetMode="External"/><Relationship Id="rId4"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tceq.texas.gov/permitting/air/nav/air_bact_chemsource.html" TargetMode="External"/><Relationship Id="rId3" Type="http://schemas.openxmlformats.org/officeDocument/2006/relationships/hyperlink" Target="http://www.tceq.texas.gov/compliance/enforcement/compliance-history/about.html" TargetMode="External"/><Relationship Id="rId7" Type="http://schemas.openxmlformats.org/officeDocument/2006/relationships/hyperlink" Target="http://www.tceq.texas.gov/permitting/air/local_programs.html" TargetMode="External"/><Relationship Id="rId2" Type="http://schemas.openxmlformats.org/officeDocument/2006/relationships/hyperlink" Target="http://www.tceq.texas.gov/compliance/enforcement/compliance-history/get_report.html" TargetMode="External"/><Relationship Id="rId1" Type="http://schemas.openxmlformats.org/officeDocument/2006/relationships/hyperlink" Target="https://www.tceq.texas.gov/assets/public/permitting/centralregistry/10400.docx" TargetMode="External"/><Relationship Id="rId6" Type="http://schemas.openxmlformats.org/officeDocument/2006/relationships/hyperlink" Target="https://www.tceq.texas.gov/agency/directory/region" TargetMode="External"/><Relationship Id="rId11" Type="http://schemas.openxmlformats.org/officeDocument/2006/relationships/printerSettings" Target="../printerSettings/printerSettings2.bin"/><Relationship Id="rId5" Type="http://schemas.openxmlformats.org/officeDocument/2006/relationships/hyperlink" Target="http://www.tceq.texas.gov/permitting/air/local_programs.html" TargetMode="External"/><Relationship Id="rId10" Type="http://schemas.openxmlformats.org/officeDocument/2006/relationships/hyperlink" Target="https://ftps.tceq.texas.gov/help/" TargetMode="External"/><Relationship Id="rId4" Type="http://schemas.openxmlformats.org/officeDocument/2006/relationships/hyperlink" Target="http://www.tceq.texas.gov/agency/directory/region" TargetMode="External"/><Relationship Id="rId9" Type="http://schemas.openxmlformats.org/officeDocument/2006/relationships/hyperlink" Target="https://www3.tceq.texas.gov/steer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8" Type="http://schemas.openxmlformats.org/officeDocument/2006/relationships/hyperlink" Target="http://www.tceq.texas.gov/toxicology/apwl/apwl.html" TargetMode="External"/><Relationship Id="rId13" Type="http://schemas.openxmlformats.org/officeDocument/2006/relationships/hyperlink" Target="https://www.naics.com/sic-codes-industry-drilldown/" TargetMode="External"/><Relationship Id="rId3" Type="http://schemas.openxmlformats.org/officeDocument/2006/relationships/hyperlink" Target="http://www.tceq.texas.gov/permitting/air/confidential.html" TargetMode="External"/><Relationship Id="rId7" Type="http://schemas.openxmlformats.org/officeDocument/2006/relationships/hyperlink" Target="http://www.tceq.texas.gov/toxicology/apwl/apwl.html" TargetMode="External"/><Relationship Id="rId12" Type="http://schemas.openxmlformats.org/officeDocument/2006/relationships/hyperlink" Target="http://www.sos.state.tx.us/" TargetMode="External"/><Relationship Id="rId2" Type="http://schemas.openxmlformats.org/officeDocument/2006/relationships/hyperlink" Target="https://capitol.texas.gov/" TargetMode="External"/><Relationship Id="rId16" Type="http://schemas.openxmlformats.org/officeDocument/2006/relationships/printerSettings" Target="../printerSettings/printerSettings4.bin"/><Relationship Id="rId1" Type="http://schemas.openxmlformats.org/officeDocument/2006/relationships/hyperlink" Target="http://www.tceq.texas.gov/permitting/air/confidential.html" TargetMode="External"/><Relationship Id="rId6" Type="http://schemas.openxmlformats.org/officeDocument/2006/relationships/hyperlink" Target="http://www.tceq.texas.gov/agency/financial/fees/delin" TargetMode="External"/><Relationship Id="rId11" Type="http://schemas.openxmlformats.org/officeDocument/2006/relationships/hyperlink" Target="http://www.sos.state.tx.us/" TargetMode="External"/><Relationship Id="rId5" Type="http://schemas.openxmlformats.org/officeDocument/2006/relationships/hyperlink" Target="https://www.tceq.texas.gov/permitting/air/guidance/permit-factsheets.html" TargetMode="External"/><Relationship Id="rId15" Type="http://schemas.openxmlformats.org/officeDocument/2006/relationships/hyperlink" Target="https://www.census.gov/naics/" TargetMode="External"/><Relationship Id="rId10" Type="http://schemas.openxmlformats.org/officeDocument/2006/relationships/hyperlink" Target="https://www.tceq.texas.gov/permitting/air/nav/air_docs_newsource.html" TargetMode="External"/><Relationship Id="rId4" Type="http://schemas.openxmlformats.org/officeDocument/2006/relationships/hyperlink" Target="https://fyi.capitol.texas.gov/Home.aspx" TargetMode="External"/><Relationship Id="rId9" Type="http://schemas.openxmlformats.org/officeDocument/2006/relationships/hyperlink" Target="https://www.tceq.texas.gov/agency/financial/fees/delin" TargetMode="External"/><Relationship Id="rId14" Type="http://schemas.openxmlformats.org/officeDocument/2006/relationships/hyperlink" Target="https://www.tceq.texas.gov/permitting/air"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3.tceq.texas.gov/epay/"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ncdc.noaa.gov/ghcn/comparative-climatic-data" TargetMode="External"/><Relationship Id="rId1" Type="http://schemas.openxmlformats.org/officeDocument/2006/relationships/hyperlink" Target="https://www.ncdc.noaa.gov/ghcn/comparative-climatic-data"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ncdc.noaa.gov/ghcn/comparative-climatic-data" TargetMode="External"/><Relationship Id="rId1" Type="http://schemas.openxmlformats.org/officeDocument/2006/relationships/hyperlink" Target="https://www.ncdc.noaa.gov/ghcn/comparative-climatic-dat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C39FF-9B26-4361-83D9-D0FE24EE6604}">
  <sheetPr codeName="Sheet35">
    <tabColor theme="1"/>
  </sheetPr>
  <dimension ref="A1:N13"/>
  <sheetViews>
    <sheetView workbookViewId="0">
      <selection activeCell="B6" sqref="B6"/>
    </sheetView>
  </sheetViews>
  <sheetFormatPr defaultRowHeight="15" x14ac:dyDescent="0.25"/>
  <cols>
    <col min="1" max="1" width="29.42578125" style="890" customWidth="1"/>
    <col min="2" max="2" width="11.28515625" style="890" bestFit="1" customWidth="1"/>
    <col min="3" max="16384" width="9.140625" style="890"/>
  </cols>
  <sheetData>
    <row r="1" spans="1:14" ht="15.75" thickBot="1" x14ac:dyDescent="0.3">
      <c r="A1" s="890" t="s">
        <v>10620</v>
      </c>
      <c r="B1" s="890">
        <v>20862</v>
      </c>
    </row>
    <row r="2" spans="1:14" x14ac:dyDescent="0.25">
      <c r="A2" s="891" t="s">
        <v>10621</v>
      </c>
      <c r="B2" s="896" t="s">
        <v>10643</v>
      </c>
      <c r="C2"/>
      <c r="D2"/>
      <c r="E2"/>
      <c r="F2"/>
      <c r="G2"/>
      <c r="H2"/>
      <c r="I2"/>
      <c r="J2"/>
      <c r="K2"/>
      <c r="L2"/>
      <c r="M2"/>
      <c r="N2"/>
    </row>
    <row r="3" spans="1:14" x14ac:dyDescent="0.25">
      <c r="A3" s="892" t="s">
        <v>10622</v>
      </c>
      <c r="B3" s="863">
        <v>45272</v>
      </c>
      <c r="C3"/>
      <c r="D3"/>
      <c r="E3"/>
      <c r="F3"/>
      <c r="G3"/>
      <c r="H3"/>
      <c r="I3"/>
      <c r="J3"/>
      <c r="K3"/>
      <c r="L3"/>
      <c r="M3"/>
      <c r="N3"/>
    </row>
    <row r="4" spans="1:14" x14ac:dyDescent="0.25">
      <c r="A4" s="892" t="s">
        <v>10623</v>
      </c>
      <c r="B4" s="863" t="s">
        <v>10650</v>
      </c>
      <c r="C4"/>
      <c r="D4"/>
      <c r="E4"/>
      <c r="F4"/>
      <c r="G4"/>
      <c r="H4"/>
      <c r="I4"/>
      <c r="J4"/>
      <c r="K4"/>
      <c r="L4"/>
      <c r="M4"/>
      <c r="N4"/>
    </row>
    <row r="5" spans="1:14" ht="15.75" thickBot="1" x14ac:dyDescent="0.3">
      <c r="A5" s="893" t="s">
        <v>10624</v>
      </c>
      <c r="B5" s="863" t="s">
        <v>10651</v>
      </c>
      <c r="C5"/>
      <c r="D5"/>
      <c r="E5"/>
      <c r="F5"/>
      <c r="G5"/>
      <c r="H5"/>
      <c r="I5"/>
      <c r="J5"/>
      <c r="K5"/>
      <c r="L5"/>
      <c r="M5"/>
      <c r="N5"/>
    </row>
    <row r="6" spans="1:14" x14ac:dyDescent="0.25">
      <c r="A6" s="894" t="s">
        <v>10625</v>
      </c>
      <c r="B6" s="863" t="s">
        <v>10652</v>
      </c>
      <c r="C6"/>
      <c r="D6"/>
      <c r="E6"/>
      <c r="F6"/>
      <c r="G6"/>
      <c r="H6"/>
      <c r="I6"/>
      <c r="J6"/>
      <c r="K6"/>
      <c r="L6"/>
      <c r="M6"/>
      <c r="N6"/>
    </row>
    <row r="7" spans="1:14" x14ac:dyDescent="0.25">
      <c r="A7" s="485" t="s">
        <v>10626</v>
      </c>
      <c r="B7" s="863" t="s">
        <v>10627</v>
      </c>
      <c r="C7"/>
      <c r="D7"/>
      <c r="E7"/>
      <c r="F7"/>
      <c r="G7"/>
      <c r="H7"/>
      <c r="I7"/>
      <c r="J7"/>
      <c r="K7"/>
      <c r="L7"/>
      <c r="M7"/>
      <c r="N7"/>
    </row>
    <row r="8" spans="1:14" x14ac:dyDescent="0.25">
      <c r="A8" s="485" t="s">
        <v>10628</v>
      </c>
      <c r="B8" s="863" t="s">
        <v>10634</v>
      </c>
      <c r="C8"/>
      <c r="D8" s="895"/>
      <c r="E8"/>
      <c r="F8" s="895"/>
      <c r="G8"/>
      <c r="H8"/>
      <c r="I8"/>
      <c r="J8"/>
      <c r="K8"/>
      <c r="L8"/>
      <c r="M8"/>
      <c r="N8"/>
    </row>
    <row r="9" spans="1:14" x14ac:dyDescent="0.25">
      <c r="A9" s="485" t="s">
        <v>10629</v>
      </c>
      <c r="B9" s="863" t="s">
        <v>10630</v>
      </c>
      <c r="C9"/>
      <c r="D9" s="895"/>
      <c r="E9"/>
      <c r="F9" s="895"/>
      <c r="G9"/>
      <c r="H9"/>
      <c r="I9"/>
      <c r="J9"/>
      <c r="K9"/>
      <c r="L9"/>
      <c r="M9"/>
      <c r="N9"/>
    </row>
    <row r="10" spans="1:14" x14ac:dyDescent="0.25">
      <c r="C10"/>
      <c r="D10"/>
      <c r="E10"/>
      <c r="F10"/>
      <c r="G10"/>
      <c r="H10"/>
      <c r="I10"/>
      <c r="J10"/>
      <c r="K10"/>
      <c r="L10"/>
      <c r="M10"/>
      <c r="N10"/>
    </row>
    <row r="13" spans="1:14" x14ac:dyDescent="0.25">
      <c r="B13"/>
    </row>
  </sheetData>
  <sheetProtection algorithmName="SHA-512" hashValue="xGjpSiltdONxQgCRjsl9W3QMd7xdE10xNa8nn4hdOURlCdmdJIHIpb/RBWWwffdZJxCFqsoKhrHyXLq1iWIfVw==" saltValue="EzPq8NIS9+QO2/awJ2PxAQ==" spinCount="100000" sheet="1" objects="1" scenarios="1" formatColumns="0" formatRows="0" autoFilter="0"/>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0BDDD2-C4AE-46DF-B401-5360D22F35BD}">
  <sheetPr codeName="Sheet27">
    <tabColor theme="1"/>
  </sheetPr>
  <dimension ref="A1:R309"/>
  <sheetViews>
    <sheetView workbookViewId="0">
      <selection sqref="A1:G1"/>
    </sheetView>
  </sheetViews>
  <sheetFormatPr defaultColWidth="0" defaultRowHeight="12.75" zeroHeight="1" x14ac:dyDescent="0.2"/>
  <cols>
    <col min="1" max="1" width="62" style="106" customWidth="1"/>
    <col min="2" max="2" width="19.5703125" style="106" bestFit="1" customWidth="1"/>
    <col min="3" max="3" width="23.140625" style="106" customWidth="1"/>
    <col min="4" max="4" width="21.42578125" style="106" customWidth="1"/>
    <col min="5" max="17" width="18.7109375" style="106" customWidth="1"/>
    <col min="18" max="18" width="14.7109375" style="106" hidden="1" customWidth="1"/>
    <col min="19" max="16384" width="9.140625" style="106" hidden="1"/>
  </cols>
  <sheetData>
    <row r="1" spans="1:17" ht="5.0999999999999996" customHeight="1" x14ac:dyDescent="0.2">
      <c r="A1" s="1379" t="s">
        <v>8392</v>
      </c>
      <c r="B1" s="1379"/>
      <c r="C1" s="1379"/>
      <c r="D1" s="1379"/>
      <c r="E1" s="1379"/>
      <c r="F1" s="1379"/>
      <c r="G1" s="1379"/>
    </row>
    <row r="2" spans="1:17" ht="25.5" x14ac:dyDescent="0.35">
      <c r="A2" s="1368" t="s">
        <v>9995</v>
      </c>
      <c r="B2" s="1368"/>
      <c r="C2" s="1368"/>
      <c r="D2" s="1368"/>
      <c r="E2" s="1368"/>
      <c r="F2" s="1368"/>
      <c r="G2" s="1368"/>
      <c r="H2" s="1368"/>
      <c r="I2" s="1368"/>
      <c r="J2" s="1368"/>
      <c r="K2" s="1368"/>
      <c r="L2" s="1368"/>
      <c r="M2" s="1368"/>
      <c r="N2" s="1368"/>
      <c r="O2" s="1368"/>
      <c r="P2" s="1368"/>
      <c r="Q2" s="1368"/>
    </row>
    <row r="3" spans="1:17" ht="50.25" customHeight="1" thickBot="1" x14ac:dyDescent="0.25">
      <c r="A3" s="1369" t="s">
        <v>10015</v>
      </c>
      <c r="B3" s="1369"/>
      <c r="C3" s="1369"/>
      <c r="D3" s="1369"/>
      <c r="E3" s="1369"/>
      <c r="F3" s="1369"/>
      <c r="G3" s="1369"/>
      <c r="H3" s="1369"/>
      <c r="I3" s="1369"/>
      <c r="J3" s="1369"/>
      <c r="K3" s="1369"/>
      <c r="L3" s="1369"/>
      <c r="M3" s="1369"/>
      <c r="N3" s="1369"/>
      <c r="O3" s="1369"/>
      <c r="P3" s="1369"/>
      <c r="Q3" s="1369"/>
    </row>
    <row r="4" spans="1:17" ht="60" customHeight="1" thickBot="1" x14ac:dyDescent="0.3">
      <c r="A4" s="1363" t="s">
        <v>9684</v>
      </c>
      <c r="B4" s="1364"/>
      <c r="C4" s="1365"/>
      <c r="D4" s="224"/>
      <c r="E4" s="224"/>
      <c r="F4" s="224"/>
      <c r="G4" s="224"/>
    </row>
    <row r="5" spans="1:17" ht="20.100000000000001" customHeight="1" x14ac:dyDescent="0.25">
      <c r="A5" s="146" t="s">
        <v>9685</v>
      </c>
      <c r="B5" s="148" t="s">
        <v>9687</v>
      </c>
      <c r="C5" s="149" t="s">
        <v>9688</v>
      </c>
      <c r="D5" s="224"/>
      <c r="E5" s="224"/>
      <c r="F5" s="224"/>
      <c r="G5" s="224"/>
    </row>
    <row r="6" spans="1:17" ht="30" customHeight="1" x14ac:dyDescent="0.2">
      <c r="A6" s="329" t="s">
        <v>9986</v>
      </c>
      <c r="B6" s="432"/>
      <c r="C6" s="227" t="s">
        <v>9689</v>
      </c>
      <c r="D6" s="224"/>
      <c r="E6" s="224"/>
      <c r="F6" s="224"/>
      <c r="G6" s="224"/>
      <c r="H6" s="224"/>
      <c r="I6" s="224"/>
      <c r="J6" s="224"/>
      <c r="K6" s="224"/>
      <c r="L6" s="224"/>
    </row>
    <row r="7" spans="1:17" ht="30" customHeight="1" x14ac:dyDescent="0.2">
      <c r="A7" s="329" t="s">
        <v>9987</v>
      </c>
      <c r="B7" s="432"/>
      <c r="C7" s="227" t="s">
        <v>9689</v>
      </c>
      <c r="D7" s="224"/>
      <c r="E7" s="224"/>
      <c r="F7" s="224"/>
      <c r="G7" s="224"/>
      <c r="H7" s="224"/>
      <c r="I7" s="224"/>
      <c r="J7" s="224"/>
      <c r="K7" s="224"/>
      <c r="L7" s="224"/>
    </row>
    <row r="8" spans="1:17" ht="30" customHeight="1" x14ac:dyDescent="0.2">
      <c r="A8" s="329" t="s">
        <v>9988</v>
      </c>
      <c r="B8" s="433"/>
      <c r="C8" s="227" t="s">
        <v>9689</v>
      </c>
      <c r="D8" s="224"/>
      <c r="E8" s="224"/>
      <c r="F8" s="224"/>
      <c r="G8" s="224"/>
      <c r="H8" s="224"/>
      <c r="I8" s="224"/>
      <c r="J8" s="224"/>
      <c r="K8" s="224"/>
      <c r="L8" s="224"/>
    </row>
    <row r="9" spans="1:17" ht="20.100000000000001" customHeight="1" x14ac:dyDescent="0.2">
      <c r="A9" s="329" t="s">
        <v>9990</v>
      </c>
      <c r="B9" s="361"/>
      <c r="C9" s="227" t="s">
        <v>9689</v>
      </c>
      <c r="D9" s="224"/>
      <c r="E9" s="224"/>
      <c r="F9" s="224"/>
      <c r="G9" s="224"/>
      <c r="H9" s="224"/>
      <c r="I9" s="224"/>
      <c r="J9" s="224"/>
      <c r="K9" s="224"/>
      <c r="L9" s="224"/>
    </row>
    <row r="10" spans="1:17" ht="20.100000000000001" customHeight="1" x14ac:dyDescent="0.2">
      <c r="A10" s="329" t="s">
        <v>9991</v>
      </c>
      <c r="B10" s="361"/>
      <c r="C10" s="335" t="s">
        <v>9989</v>
      </c>
      <c r="D10" s="224"/>
      <c r="E10" s="224"/>
      <c r="F10" s="224"/>
      <c r="G10" s="224"/>
      <c r="H10" s="224"/>
      <c r="I10" s="224"/>
      <c r="J10" s="224"/>
      <c r="K10" s="224"/>
      <c r="L10" s="224"/>
    </row>
    <row r="11" spans="1:17" ht="20.100000000000001" customHeight="1" x14ac:dyDescent="0.2">
      <c r="A11" s="329" t="s">
        <v>9992</v>
      </c>
      <c r="B11" s="361"/>
      <c r="C11" s="335" t="s">
        <v>9989</v>
      </c>
      <c r="D11" s="224"/>
      <c r="E11" s="224"/>
      <c r="F11" s="224"/>
      <c r="G11" s="224"/>
      <c r="H11" s="224"/>
      <c r="I11" s="224"/>
      <c r="J11" s="224"/>
      <c r="K11" s="224"/>
      <c r="L11" s="224"/>
    </row>
    <row r="12" spans="1:17" ht="30" customHeight="1" x14ac:dyDescent="0.2">
      <c r="A12" s="330" t="s">
        <v>9690</v>
      </c>
      <c r="B12" s="361"/>
      <c r="C12" s="227" t="s">
        <v>9689</v>
      </c>
      <c r="D12" s="224"/>
      <c r="E12" s="224"/>
    </row>
    <row r="13" spans="1:17" ht="30" customHeight="1" x14ac:dyDescent="0.2">
      <c r="A13" s="330" t="s">
        <v>9691</v>
      </c>
      <c r="B13" s="432"/>
      <c r="C13" s="227" t="s">
        <v>9689</v>
      </c>
      <c r="D13" s="224"/>
      <c r="E13" s="224"/>
    </row>
    <row r="14" spans="1:17" ht="60" customHeight="1" thickBot="1" x14ac:dyDescent="0.25">
      <c r="A14" s="331" t="s">
        <v>9692</v>
      </c>
      <c r="B14" s="362"/>
      <c r="C14" s="231" t="s">
        <v>9689</v>
      </c>
      <c r="D14" s="224"/>
      <c r="E14" s="224"/>
    </row>
    <row r="15" spans="1:17" ht="30" customHeight="1" thickBot="1" x14ac:dyDescent="0.25">
      <c r="A15" s="1377" t="s">
        <v>8411</v>
      </c>
      <c r="B15" s="1377"/>
      <c r="C15" s="1377"/>
      <c r="D15" s="1377"/>
      <c r="E15" s="224"/>
    </row>
    <row r="16" spans="1:17" ht="45" customHeight="1" thickBot="1" x14ac:dyDescent="0.3">
      <c r="A16" s="1370" t="s">
        <v>9969</v>
      </c>
      <c r="B16" s="1371"/>
      <c r="C16" s="1371"/>
      <c r="D16" s="1371"/>
      <c r="E16" s="1371"/>
      <c r="F16" s="1371"/>
      <c r="G16" s="1371"/>
      <c r="H16" s="1371"/>
      <c r="I16" s="1371"/>
      <c r="J16" s="1371"/>
      <c r="K16" s="1371"/>
      <c r="L16" s="1371"/>
      <c r="M16" s="1371"/>
      <c r="N16" s="1371"/>
      <c r="O16" s="1371"/>
      <c r="P16" s="1371"/>
      <c r="Q16" s="1372"/>
    </row>
    <row r="17" spans="1:17" ht="20.100000000000001" customHeight="1" x14ac:dyDescent="0.25">
      <c r="A17" s="146" t="s">
        <v>9502</v>
      </c>
      <c r="B17" s="147" t="s">
        <v>9503</v>
      </c>
      <c r="C17" s="148" t="s">
        <v>9504</v>
      </c>
      <c r="D17" s="148" t="s">
        <v>9505</v>
      </c>
      <c r="E17" s="148" t="s">
        <v>9506</v>
      </c>
      <c r="F17" s="148" t="s">
        <v>9507</v>
      </c>
      <c r="G17" s="148" t="s">
        <v>9508</v>
      </c>
      <c r="H17" s="148" t="s">
        <v>9509</v>
      </c>
      <c r="I17" s="148" t="s">
        <v>9510</v>
      </c>
      <c r="J17" s="148" t="s">
        <v>9511</v>
      </c>
      <c r="K17" s="150" t="s">
        <v>9512</v>
      </c>
      <c r="L17" s="148" t="s">
        <v>9513</v>
      </c>
      <c r="M17" s="148" t="s">
        <v>9514</v>
      </c>
      <c r="N17" s="150" t="s">
        <v>9515</v>
      </c>
      <c r="O17" s="148" t="s">
        <v>9516</v>
      </c>
      <c r="P17" s="148" t="s">
        <v>9517</v>
      </c>
      <c r="Q17" s="146" t="s">
        <v>1</v>
      </c>
    </row>
    <row r="18" spans="1:17" ht="30" customHeight="1" x14ac:dyDescent="0.2">
      <c r="A18" s="228" t="s">
        <v>9693</v>
      </c>
      <c r="B18" s="363"/>
      <c r="C18" s="364"/>
      <c r="D18" s="364"/>
      <c r="E18" s="364"/>
      <c r="F18" s="364"/>
      <c r="G18" s="364"/>
      <c r="H18" s="364"/>
      <c r="I18" s="364"/>
      <c r="J18" s="364"/>
      <c r="K18" s="365"/>
      <c r="L18" s="364"/>
      <c r="M18" s="364"/>
      <c r="N18" s="365"/>
      <c r="O18" s="364"/>
      <c r="P18" s="364"/>
      <c r="Q18" s="232"/>
    </row>
    <row r="19" spans="1:17" ht="20.100000000000001" customHeight="1" x14ac:dyDescent="0.2">
      <c r="A19" s="332" t="s">
        <v>9694</v>
      </c>
      <c r="B19" s="363"/>
      <c r="C19" s="364"/>
      <c r="D19" s="364"/>
      <c r="E19" s="364"/>
      <c r="F19" s="364"/>
      <c r="G19" s="364"/>
      <c r="H19" s="364"/>
      <c r="I19" s="364"/>
      <c r="J19" s="364"/>
      <c r="K19" s="365"/>
      <c r="L19" s="364"/>
      <c r="M19" s="364"/>
      <c r="N19" s="365"/>
      <c r="O19" s="364"/>
      <c r="P19" s="364"/>
      <c r="Q19" s="234" t="str">
        <f>IF(IFERROR(MATCH("Yes",$B$19:$P$19,0),0)&lt;&gt;0,"Yes","No")</f>
        <v>No</v>
      </c>
    </row>
    <row r="20" spans="1:17" ht="20.100000000000001" customHeight="1" thickBot="1" x14ac:dyDescent="0.25">
      <c r="A20" s="235" t="s">
        <v>9695</v>
      </c>
      <c r="B20" s="366"/>
      <c r="C20" s="367"/>
      <c r="D20" s="367"/>
      <c r="E20" s="367"/>
      <c r="F20" s="367"/>
      <c r="G20" s="367"/>
      <c r="H20" s="367"/>
      <c r="I20" s="367"/>
      <c r="J20" s="367"/>
      <c r="K20" s="368"/>
      <c r="L20" s="367"/>
      <c r="M20" s="367"/>
      <c r="N20" s="368"/>
      <c r="O20" s="367"/>
      <c r="P20" s="367"/>
      <c r="Q20" s="236">
        <f>SUM(B20:P20)</f>
        <v>0</v>
      </c>
    </row>
    <row r="21" spans="1:17" ht="20.100000000000001" customHeight="1" x14ac:dyDescent="0.2">
      <c r="A21" s="237" t="s">
        <v>9696</v>
      </c>
      <c r="B21" s="238">
        <f>_xlfn.IFNA(VLOOKUP(B18,'TANKS Vapor Fx'!$A$3:$C$294,3,FALSE),0)</f>
        <v>0</v>
      </c>
      <c r="C21" s="238">
        <f>_xlfn.IFNA(VLOOKUP(C18,'TANKS Vapor Fx'!$A$3:$C$294,3,FALSE),0)</f>
        <v>0</v>
      </c>
      <c r="D21" s="238">
        <f>_xlfn.IFNA(VLOOKUP(D18,'TANKS Vapor Fx'!$A$3:$C$294,3,FALSE),0)</f>
        <v>0</v>
      </c>
      <c r="E21" s="238">
        <f>_xlfn.IFNA(VLOOKUP(E18,'TANKS Vapor Fx'!$A$3:$C$294,3,FALSE),0)</f>
        <v>0</v>
      </c>
      <c r="F21" s="238">
        <f>_xlfn.IFNA(VLOOKUP(F18,'TANKS Vapor Fx'!$A$3:$C$294,3,FALSE),0)</f>
        <v>0</v>
      </c>
      <c r="G21" s="238">
        <f>_xlfn.IFNA(VLOOKUP(G18,'TANKS Vapor Fx'!$A$3:$C$294,3,FALSE),0)</f>
        <v>0</v>
      </c>
      <c r="H21" s="238">
        <f>_xlfn.IFNA(VLOOKUP(H18,'TANKS Vapor Fx'!$A$3:$C$294,3,FALSE),0)</f>
        <v>0</v>
      </c>
      <c r="I21" s="238">
        <f>_xlfn.IFNA(VLOOKUP(I18,'TANKS Vapor Fx'!$A$3:$C$294,3,FALSE),0)</f>
        <v>0</v>
      </c>
      <c r="J21" s="238">
        <f>_xlfn.IFNA(VLOOKUP(J18,'TANKS Vapor Fx'!$A$3:$C$294,3,FALSE),0)</f>
        <v>0</v>
      </c>
      <c r="K21" s="238">
        <f>_xlfn.IFNA(VLOOKUP(K18,'TANKS Vapor Fx'!$A$3:$C$294,3,FALSE),0)</f>
        <v>0</v>
      </c>
      <c r="L21" s="238">
        <f>_xlfn.IFNA(VLOOKUP(L18,'TANKS Vapor Fx'!$A$3:$C$294,3,FALSE),0)</f>
        <v>0</v>
      </c>
      <c r="M21" s="238">
        <f>_xlfn.IFNA(VLOOKUP(M18,'TANKS Vapor Fx'!$A$3:$C$294,3,FALSE),0)</f>
        <v>0</v>
      </c>
      <c r="N21" s="238">
        <f>_xlfn.IFNA(VLOOKUP(N18,'TANKS Vapor Fx'!$A$3:$C$294,3,FALSE),0)</f>
        <v>0</v>
      </c>
      <c r="O21" s="238">
        <f>_xlfn.IFNA(VLOOKUP(O18,'TANKS Vapor Fx'!$A$3:$C$294,3,FALSE),0)</f>
        <v>0</v>
      </c>
      <c r="P21" s="238">
        <f>_xlfn.IFNA(VLOOKUP(P18,'TANKS Vapor Fx'!$A$3:$C$294,3,FALSE),0)</f>
        <v>0</v>
      </c>
      <c r="Q21" s="239">
        <f>'TANKS Calculations'!W61</f>
        <v>0</v>
      </c>
    </row>
    <row r="22" spans="1:17" ht="20.100000000000001" customHeight="1" thickBot="1" x14ac:dyDescent="0.25">
      <c r="A22" s="240" t="s">
        <v>9697</v>
      </c>
      <c r="B22" s="373"/>
      <c r="C22" s="369"/>
      <c r="D22" s="369"/>
      <c r="E22" s="369"/>
      <c r="F22" s="369"/>
      <c r="G22" s="369"/>
      <c r="H22" s="369"/>
      <c r="I22" s="369"/>
      <c r="J22" s="369"/>
      <c r="K22" s="370"/>
      <c r="L22" s="369"/>
      <c r="M22" s="369"/>
      <c r="N22" s="370"/>
      <c r="O22" s="369"/>
      <c r="P22" s="369"/>
      <c r="Q22" s="241"/>
    </row>
    <row r="23" spans="1:17" ht="20.100000000000001" customHeight="1" x14ac:dyDescent="0.2">
      <c r="A23" s="237" t="s">
        <v>9698</v>
      </c>
      <c r="B23" s="242">
        <f t="shared" ref="B23:P23" si="0">IF(ISBLANK(B18),0,IF(B19="Yes",IF($B$12="Fixed",0.75,0.4),1))</f>
        <v>0</v>
      </c>
      <c r="C23" s="242">
        <f t="shared" si="0"/>
        <v>0</v>
      </c>
      <c r="D23" s="242">
        <f t="shared" si="0"/>
        <v>0</v>
      </c>
      <c r="E23" s="242">
        <f t="shared" si="0"/>
        <v>0</v>
      </c>
      <c r="F23" s="242">
        <f t="shared" si="0"/>
        <v>0</v>
      </c>
      <c r="G23" s="242">
        <f t="shared" si="0"/>
        <v>0</v>
      </c>
      <c r="H23" s="242">
        <f t="shared" si="0"/>
        <v>0</v>
      </c>
      <c r="I23" s="242">
        <f t="shared" si="0"/>
        <v>0</v>
      </c>
      <c r="J23" s="242">
        <f t="shared" si="0"/>
        <v>0</v>
      </c>
      <c r="K23" s="242">
        <f t="shared" si="0"/>
        <v>0</v>
      </c>
      <c r="L23" s="242">
        <f t="shared" si="0"/>
        <v>0</v>
      </c>
      <c r="M23" s="242">
        <f t="shared" si="0"/>
        <v>0</v>
      </c>
      <c r="N23" s="242">
        <f t="shared" si="0"/>
        <v>0</v>
      </c>
      <c r="O23" s="242">
        <f t="shared" si="0"/>
        <v>0</v>
      </c>
      <c r="P23" s="242">
        <f t="shared" si="0"/>
        <v>0</v>
      </c>
      <c r="Q23" s="243">
        <f>'TANKS Calculations'!W63</f>
        <v>1</v>
      </c>
    </row>
    <row r="24" spans="1:17" ht="20.100000000000001" customHeight="1" thickBot="1" x14ac:dyDescent="0.25">
      <c r="A24" s="240" t="s">
        <v>9699</v>
      </c>
      <c r="B24" s="373"/>
      <c r="C24" s="369"/>
      <c r="D24" s="369"/>
      <c r="E24" s="369"/>
      <c r="F24" s="369"/>
      <c r="G24" s="369"/>
      <c r="H24" s="369"/>
      <c r="I24" s="369"/>
      <c r="J24" s="369"/>
      <c r="K24" s="370"/>
      <c r="L24" s="369"/>
      <c r="M24" s="369"/>
      <c r="N24" s="370"/>
      <c r="O24" s="369"/>
      <c r="P24" s="369"/>
      <c r="Q24" s="241"/>
    </row>
    <row r="25" spans="1:17" ht="20.100000000000001" customHeight="1" x14ac:dyDescent="0.2">
      <c r="A25" s="237" t="s">
        <v>9700</v>
      </c>
      <c r="B25" s="238">
        <f>_xlfn.IFNA(VLOOKUP(B18,'TANKS Vapor Fx'!$A$3:$B$294,2,FALSE),0)</f>
        <v>0</v>
      </c>
      <c r="C25" s="238">
        <f>_xlfn.IFNA(VLOOKUP(C18,'TANKS Vapor Fx'!$A$3:$B$294,2,FALSE),0)</f>
        <v>0</v>
      </c>
      <c r="D25" s="238">
        <f>_xlfn.IFNA(VLOOKUP(D18,'TANKS Vapor Fx'!$A$3:$B$294,2,FALSE),0)</f>
        <v>0</v>
      </c>
      <c r="E25" s="238">
        <f>_xlfn.IFNA(VLOOKUP(E18,'TANKS Vapor Fx'!$A$3:$B$294,2,FALSE),0)</f>
        <v>0</v>
      </c>
      <c r="F25" s="238">
        <f>_xlfn.IFNA(VLOOKUP(F18,'TANKS Vapor Fx'!$A$3:$B$294,2,FALSE),0)</f>
        <v>0</v>
      </c>
      <c r="G25" s="238">
        <f>_xlfn.IFNA(VLOOKUP(G18,'TANKS Vapor Fx'!$A$3:$B$294,2,FALSE),0)</f>
        <v>0</v>
      </c>
      <c r="H25" s="238">
        <f>_xlfn.IFNA(VLOOKUP(H18,'TANKS Vapor Fx'!$A$3:$B$294,2,FALSE),0)</f>
        <v>0</v>
      </c>
      <c r="I25" s="238">
        <f>_xlfn.IFNA(VLOOKUP(I18,'TANKS Vapor Fx'!$A$3:$B$294,2,FALSE),0)</f>
        <v>0</v>
      </c>
      <c r="J25" s="238">
        <f>_xlfn.IFNA(VLOOKUP(J18,'TANKS Vapor Fx'!$A$3:$B$294,2,FALSE),0)</f>
        <v>0</v>
      </c>
      <c r="K25" s="238">
        <f>_xlfn.IFNA(VLOOKUP(K18,'TANKS Vapor Fx'!$A$3:$B$294,2,FALSE),0)</f>
        <v>0</v>
      </c>
      <c r="L25" s="238">
        <f>_xlfn.IFNA(VLOOKUP(L18,'TANKS Vapor Fx'!$A$3:$B$294,2,FALSE),0)</f>
        <v>0</v>
      </c>
      <c r="M25" s="238">
        <f>_xlfn.IFNA(VLOOKUP(M18,'TANKS Vapor Fx'!$A$3:$B$294,2,FALSE),0)</f>
        <v>0</v>
      </c>
      <c r="N25" s="238">
        <f>_xlfn.IFNA(VLOOKUP(N18,'TANKS Vapor Fx'!$A$3:$B$294,2,FALSE),0)</f>
        <v>0</v>
      </c>
      <c r="O25" s="238">
        <f>_xlfn.IFNA(VLOOKUP(O18,'TANKS Vapor Fx'!$A$3:$B$294,2,FALSE),0)</f>
        <v>0</v>
      </c>
      <c r="P25" s="238">
        <f>_xlfn.IFNA(VLOOKUP(P18,'TANKS Vapor Fx'!$A$3:$B$294,2,FALSE),0)</f>
        <v>0</v>
      </c>
      <c r="Q25" s="239">
        <f>SUM('TANKS Calculations'!H64:Q64)</f>
        <v>0</v>
      </c>
    </row>
    <row r="26" spans="1:17" ht="20.100000000000001" customHeight="1" thickBot="1" x14ac:dyDescent="0.25">
      <c r="A26" s="235" t="s">
        <v>9701</v>
      </c>
      <c r="B26" s="374"/>
      <c r="C26" s="371"/>
      <c r="D26" s="371"/>
      <c r="E26" s="371"/>
      <c r="F26" s="371"/>
      <c r="G26" s="371"/>
      <c r="H26" s="371"/>
      <c r="I26" s="371"/>
      <c r="J26" s="371"/>
      <c r="K26" s="372"/>
      <c r="L26" s="371"/>
      <c r="M26" s="371"/>
      <c r="N26" s="372"/>
      <c r="O26" s="371"/>
      <c r="P26" s="371"/>
      <c r="Q26" s="244"/>
    </row>
    <row r="27" spans="1:17" ht="30" customHeight="1" thickBot="1" x14ac:dyDescent="0.25">
      <c r="A27" s="1376" t="s">
        <v>8411</v>
      </c>
      <c r="B27" s="1376"/>
      <c r="C27" s="1376"/>
      <c r="D27" s="1376"/>
      <c r="E27" s="151"/>
      <c r="F27" s="224"/>
      <c r="G27" s="224"/>
      <c r="H27" s="224"/>
      <c r="I27" s="224"/>
      <c r="J27" s="224"/>
      <c r="K27" s="224"/>
      <c r="L27" s="224"/>
      <c r="M27" s="224"/>
      <c r="N27" s="224"/>
      <c r="O27" s="224"/>
      <c r="P27" s="224"/>
      <c r="Q27" s="224"/>
    </row>
    <row r="28" spans="1:17" ht="60" customHeight="1" thickBot="1" x14ac:dyDescent="0.3">
      <c r="A28" s="1352" t="s">
        <v>9684</v>
      </c>
      <c r="B28" s="1353"/>
      <c r="C28" s="1353"/>
      <c r="D28" s="1354"/>
      <c r="E28" s="224"/>
      <c r="F28" s="224"/>
      <c r="G28" s="224"/>
      <c r="H28" s="224"/>
      <c r="I28" s="224"/>
      <c r="J28" s="224"/>
      <c r="K28" s="224"/>
      <c r="L28" s="224"/>
      <c r="M28" s="224"/>
      <c r="N28" s="224"/>
      <c r="O28" s="224"/>
      <c r="P28" s="224"/>
      <c r="Q28" s="224"/>
    </row>
    <row r="29" spans="1:17" ht="20.100000000000001" customHeight="1" thickBot="1" x14ac:dyDescent="0.3">
      <c r="A29" s="152" t="s">
        <v>9685</v>
      </c>
      <c r="B29" s="153" t="s">
        <v>9686</v>
      </c>
      <c r="C29" s="154" t="s">
        <v>9687</v>
      </c>
      <c r="D29" s="155" t="s">
        <v>9688</v>
      </c>
      <c r="E29" s="224"/>
      <c r="F29" s="224"/>
      <c r="G29" s="224"/>
      <c r="H29" s="224"/>
      <c r="I29" s="224"/>
      <c r="J29" s="224"/>
      <c r="K29" s="224"/>
      <c r="L29" s="224"/>
      <c r="M29" s="224"/>
      <c r="N29" s="224"/>
      <c r="O29" s="224"/>
      <c r="P29" s="224"/>
      <c r="Q29" s="224"/>
    </row>
    <row r="30" spans="1:17" ht="20.100000000000001" customHeight="1" x14ac:dyDescent="0.2">
      <c r="A30" s="225" t="s">
        <v>9702</v>
      </c>
      <c r="B30" s="245">
        <f>_xlfn.IFNA(VLOOKUP(B14,'TANKS Data'!$A$189:$H$213,8,FALSE),14.7)</f>
        <v>14.7</v>
      </c>
      <c r="C30" s="375"/>
      <c r="D30" s="246" t="s">
        <v>8867</v>
      </c>
      <c r="E30" s="224"/>
      <c r="F30" s="224"/>
      <c r="G30" s="224"/>
      <c r="H30" s="224"/>
      <c r="I30" s="224"/>
      <c r="J30" s="224"/>
      <c r="K30" s="224"/>
      <c r="L30" s="224"/>
      <c r="M30" s="224"/>
      <c r="N30" s="224"/>
      <c r="O30" s="224"/>
      <c r="P30" s="224"/>
      <c r="Q30" s="224"/>
    </row>
    <row r="31" spans="1:17" ht="30" customHeight="1" x14ac:dyDescent="0.2">
      <c r="A31" s="247" t="s">
        <v>9703</v>
      </c>
      <c r="B31" s="300" t="s">
        <v>8708</v>
      </c>
      <c r="C31" s="376"/>
      <c r="D31" s="249" t="s">
        <v>9689</v>
      </c>
      <c r="E31" s="224"/>
      <c r="F31" s="224"/>
      <c r="G31" s="224"/>
      <c r="H31" s="224"/>
      <c r="I31" s="224"/>
      <c r="J31" s="224"/>
      <c r="K31" s="224"/>
      <c r="L31" s="224"/>
      <c r="M31" s="224"/>
      <c r="N31" s="224"/>
      <c r="O31" s="224"/>
      <c r="P31" s="224"/>
      <c r="Q31" s="224"/>
    </row>
    <row r="32" spans="1:17" ht="20.100000000000001" customHeight="1" x14ac:dyDescent="0.35">
      <c r="A32" s="228" t="s">
        <v>9704</v>
      </c>
      <c r="B32" s="250">
        <f>Q23</f>
        <v>1</v>
      </c>
      <c r="C32" s="377"/>
      <c r="D32" s="227" t="s">
        <v>9689</v>
      </c>
      <c r="E32" s="224"/>
      <c r="F32" s="224"/>
      <c r="G32" s="224"/>
      <c r="H32" s="224"/>
      <c r="I32" s="224"/>
    </row>
    <row r="33" spans="1:9" ht="20.100000000000001" customHeight="1" x14ac:dyDescent="0.2">
      <c r="A33" s="329" t="s">
        <v>9705</v>
      </c>
      <c r="B33" s="251" t="s">
        <v>8708</v>
      </c>
      <c r="C33" s="378"/>
      <c r="D33" s="246" t="s">
        <v>9689</v>
      </c>
      <c r="E33" s="224"/>
      <c r="F33" s="224"/>
      <c r="G33" s="224"/>
      <c r="H33" s="224"/>
      <c r="I33" s="224"/>
    </row>
    <row r="34" spans="1:9" ht="20.100000000000001" customHeight="1" x14ac:dyDescent="0.2">
      <c r="A34" s="330" t="s">
        <v>9706</v>
      </c>
      <c r="B34" s="229" t="s">
        <v>8708</v>
      </c>
      <c r="C34" s="379"/>
      <c r="D34" s="227" t="s">
        <v>9707</v>
      </c>
      <c r="E34" s="224"/>
      <c r="F34" s="224"/>
      <c r="G34" s="224"/>
      <c r="H34" s="224"/>
      <c r="I34" s="224"/>
    </row>
    <row r="35" spans="1:9" ht="20.100000000000001" customHeight="1" x14ac:dyDescent="0.2">
      <c r="A35" s="228" t="s">
        <v>9708</v>
      </c>
      <c r="B35" s="229" t="s">
        <v>8708</v>
      </c>
      <c r="C35" s="380"/>
      <c r="D35" s="227" t="s">
        <v>9689</v>
      </c>
      <c r="E35" s="224"/>
      <c r="F35" s="224"/>
      <c r="G35" s="224"/>
      <c r="H35" s="224"/>
      <c r="I35" s="224"/>
    </row>
    <row r="36" spans="1:9" ht="30" customHeight="1" x14ac:dyDescent="0.2">
      <c r="A36" s="228" t="s">
        <v>9709</v>
      </c>
      <c r="B36" s="229" t="s">
        <v>8708</v>
      </c>
      <c r="C36" s="379"/>
      <c r="D36" s="227" t="s">
        <v>9707</v>
      </c>
      <c r="E36" s="224"/>
      <c r="F36" s="224"/>
      <c r="G36" s="224"/>
      <c r="H36" s="224"/>
      <c r="I36" s="224"/>
    </row>
    <row r="37" spans="1:9" ht="20.100000000000001" customHeight="1" x14ac:dyDescent="0.2">
      <c r="A37" s="228" t="s">
        <v>9710</v>
      </c>
      <c r="B37" s="229" t="s">
        <v>8708</v>
      </c>
      <c r="C37" s="379"/>
      <c r="D37" s="227" t="s">
        <v>9707</v>
      </c>
      <c r="E37" s="224"/>
      <c r="F37" s="224"/>
      <c r="G37" s="224"/>
      <c r="H37" s="224"/>
      <c r="I37" s="224"/>
    </row>
    <row r="38" spans="1:9" ht="20.100000000000001" customHeight="1" x14ac:dyDescent="0.35">
      <c r="A38" s="228" t="s">
        <v>9711</v>
      </c>
      <c r="B38" s="252">
        <f>IFERROR(IF('TANKS Calculations'!D5&gt;0,'TANKS Calculations'!D5,SQRT(4*'TANKS Calculations'!D7*'TANKS Calculations'!D6/PI())),0)</f>
        <v>0</v>
      </c>
      <c r="C38" s="379"/>
      <c r="D38" s="227" t="s">
        <v>9707</v>
      </c>
      <c r="E38" s="224"/>
      <c r="F38" s="224"/>
      <c r="G38" s="224"/>
      <c r="H38" s="224"/>
      <c r="I38" s="224"/>
    </row>
    <row r="39" spans="1:9" ht="30" customHeight="1" x14ac:dyDescent="0.2">
      <c r="A39" s="228" t="s">
        <v>9712</v>
      </c>
      <c r="B39" s="253">
        <f>'TANKS Calculations'!D6*PI()/4</f>
        <v>0</v>
      </c>
      <c r="C39" s="379"/>
      <c r="D39" s="227" t="s">
        <v>9707</v>
      </c>
      <c r="E39" s="224"/>
      <c r="F39" s="224"/>
      <c r="G39" s="224"/>
      <c r="H39" s="224"/>
      <c r="I39" s="224"/>
    </row>
    <row r="40" spans="1:9" ht="20.100000000000001" customHeight="1" x14ac:dyDescent="0.2">
      <c r="A40" s="228" t="s">
        <v>9713</v>
      </c>
      <c r="B40" s="254" t="s">
        <v>8708</v>
      </c>
      <c r="C40" s="379"/>
      <c r="D40" s="227" t="s">
        <v>9707</v>
      </c>
      <c r="E40" s="224"/>
      <c r="F40" s="224"/>
      <c r="G40" s="224"/>
      <c r="H40" s="224"/>
      <c r="I40" s="224"/>
    </row>
    <row r="41" spans="1:9" ht="20.100000000000001" customHeight="1" x14ac:dyDescent="0.2">
      <c r="A41" s="228" t="s">
        <v>9714</v>
      </c>
      <c r="B41" s="255">
        <f>IF(C33="Horizontal",'TANKS Calculations'!D6,'TANKS Calculations'!D10)-1</f>
        <v>-1</v>
      </c>
      <c r="C41" s="379"/>
      <c r="D41" s="227" t="s">
        <v>9707</v>
      </c>
      <c r="E41" s="224"/>
      <c r="F41" s="224"/>
      <c r="G41" s="224"/>
      <c r="H41" s="224"/>
      <c r="I41" s="224"/>
    </row>
    <row r="42" spans="1:9" ht="20.100000000000001" customHeight="1" x14ac:dyDescent="0.2">
      <c r="A42" s="228" t="s">
        <v>9715</v>
      </c>
      <c r="B42" s="255">
        <v>1</v>
      </c>
      <c r="C42" s="379"/>
      <c r="D42" s="227" t="s">
        <v>9707</v>
      </c>
      <c r="E42" s="224"/>
      <c r="F42" s="224"/>
      <c r="G42" s="224"/>
      <c r="H42" s="224"/>
      <c r="I42" s="224"/>
    </row>
    <row r="43" spans="1:9" ht="20.100000000000001" customHeight="1" x14ac:dyDescent="0.2">
      <c r="A43" s="228" t="s">
        <v>9716</v>
      </c>
      <c r="B43" s="255">
        <f>('TANKS Calculations'!D11+'TANKS Calculations'!D12)/2</f>
        <v>0</v>
      </c>
      <c r="C43" s="379"/>
      <c r="D43" s="227" t="s">
        <v>9707</v>
      </c>
      <c r="E43" s="224"/>
      <c r="F43" s="224"/>
      <c r="G43" s="224"/>
      <c r="H43" s="224"/>
      <c r="I43" s="224"/>
    </row>
    <row r="44" spans="1:9" ht="20.100000000000001" customHeight="1" x14ac:dyDescent="0.2">
      <c r="A44" s="256" t="s">
        <v>9717</v>
      </c>
      <c r="B44" s="229" t="s">
        <v>8708</v>
      </c>
      <c r="C44" s="381"/>
      <c r="D44" s="227" t="s">
        <v>9718</v>
      </c>
      <c r="E44" s="224"/>
      <c r="F44" s="224"/>
      <c r="G44" s="224"/>
      <c r="H44" s="224"/>
      <c r="I44" s="224"/>
    </row>
    <row r="45" spans="1:9" ht="39.950000000000003" customHeight="1" x14ac:dyDescent="0.35">
      <c r="A45" s="228" t="s">
        <v>9719</v>
      </c>
      <c r="B45" s="229" t="s">
        <v>8708</v>
      </c>
      <c r="C45" s="382"/>
      <c r="D45" s="227" t="s">
        <v>9689</v>
      </c>
      <c r="E45" s="224"/>
      <c r="F45" s="224"/>
      <c r="G45" s="224"/>
      <c r="H45" s="224"/>
      <c r="I45" s="224"/>
    </row>
    <row r="46" spans="1:9" ht="30" customHeight="1" x14ac:dyDescent="0.2">
      <c r="A46" s="228" t="s">
        <v>9720</v>
      </c>
      <c r="B46" s="229" t="s">
        <v>8708</v>
      </c>
      <c r="C46" s="382"/>
      <c r="D46" s="227" t="s">
        <v>9689</v>
      </c>
      <c r="E46" s="224"/>
      <c r="F46" s="224"/>
      <c r="G46" s="224"/>
      <c r="H46" s="224"/>
      <c r="I46" s="224"/>
    </row>
    <row r="47" spans="1:9" ht="30" customHeight="1" x14ac:dyDescent="0.2">
      <c r="A47" s="228" t="s">
        <v>9721</v>
      </c>
      <c r="B47" s="257" t="s">
        <v>8708</v>
      </c>
      <c r="C47" s="381"/>
      <c r="D47" s="227" t="s">
        <v>9722</v>
      </c>
      <c r="E47" s="224"/>
      <c r="F47" s="224"/>
      <c r="G47" s="224"/>
      <c r="H47" s="224"/>
      <c r="I47" s="224"/>
    </row>
    <row r="48" spans="1:9" ht="30" customHeight="1" x14ac:dyDescent="0.2">
      <c r="A48" s="228" t="s">
        <v>9723</v>
      </c>
      <c r="B48" s="257" t="s">
        <v>8708</v>
      </c>
      <c r="C48" s="381"/>
      <c r="D48" s="227" t="s">
        <v>9722</v>
      </c>
      <c r="E48" s="224"/>
      <c r="F48" s="224"/>
      <c r="G48" s="224"/>
      <c r="H48" s="224"/>
      <c r="I48" s="224"/>
    </row>
    <row r="49" spans="1:9" ht="20.100000000000001" customHeight="1" x14ac:dyDescent="0.2">
      <c r="A49" s="256" t="s">
        <v>9724</v>
      </c>
      <c r="B49" s="258">
        <f>IFERROR(IF(C45="Yes",'TANKS Calculations'!D18/('TANKS Calculations'!D11-'TANKS Calculations'!D12),'TANKS Calculations'!D16/'TANKS Calculations'!D14),0)</f>
        <v>0</v>
      </c>
      <c r="C49" s="383"/>
      <c r="D49" s="259" t="s">
        <v>9725</v>
      </c>
      <c r="E49" s="224"/>
      <c r="F49" s="224"/>
      <c r="G49" s="224"/>
      <c r="H49" s="224"/>
      <c r="I49" s="224"/>
    </row>
    <row r="50" spans="1:9" ht="20.100000000000001" customHeight="1" x14ac:dyDescent="0.2">
      <c r="A50" s="256" t="s">
        <v>9726</v>
      </c>
      <c r="B50" s="260">
        <f>IF(AND(C45="No",C46="No"),C44*'TANKS Calculations'!D15,('TANKS Calculations'!D19*(PI()/4)*('TANKS Calculations'!D8^2))/(5.614*0.02381))</f>
        <v>0</v>
      </c>
      <c r="C50" s="381"/>
      <c r="D50" s="227" t="s">
        <v>9727</v>
      </c>
      <c r="E50" s="224"/>
      <c r="F50" s="224"/>
      <c r="G50" s="224"/>
      <c r="H50" s="224"/>
      <c r="I50" s="224"/>
    </row>
    <row r="51" spans="1:9" ht="20.100000000000001" customHeight="1" x14ac:dyDescent="0.2">
      <c r="A51" s="225"/>
      <c r="B51" s="260">
        <f>IFERROR('TANKS Calculations'!D16*0.02381,0)</f>
        <v>0</v>
      </c>
      <c r="C51" s="381"/>
      <c r="D51" s="227" t="s">
        <v>9728</v>
      </c>
      <c r="E51" s="224"/>
      <c r="F51" s="224"/>
      <c r="G51" s="224"/>
      <c r="H51" s="224"/>
      <c r="I51" s="224"/>
    </row>
    <row r="52" spans="1:9" ht="20.100000000000001" customHeight="1" x14ac:dyDescent="0.35">
      <c r="A52" s="247" t="s">
        <v>9729</v>
      </c>
      <c r="B52" s="261">
        <f>IFERROR(IF(C45="Yes",'TANKS Calculations'!D18*('TANKS Calculations'!D8^2)*PI()/4,5.614*'TANKS Calculations'!D17),0)</f>
        <v>0</v>
      </c>
      <c r="C52" s="384"/>
      <c r="D52" s="249" t="s">
        <v>9730</v>
      </c>
      <c r="E52" s="224"/>
      <c r="F52" s="224"/>
      <c r="G52" s="224"/>
      <c r="H52" s="224"/>
      <c r="I52" s="224"/>
    </row>
    <row r="53" spans="1:9" ht="20.100000000000001" customHeight="1" thickBot="1" x14ac:dyDescent="0.25">
      <c r="A53" s="262" t="s">
        <v>9731</v>
      </c>
      <c r="B53" s="263">
        <f>IFERROR(IF(ISBLANK(C49),IF(('TANKS Calculations'!D17/0.02381)/'TANKS Calculations'!D14&lt;=36,1,(180+(('TANKS Calculations'!D17/0.02381))/'TANKS Calculations'!D14)/(6*(('TANKS Calculations'!D17/0.02381)/'TANKS Calculations'!D14))),IF('TANKS Calculations'!D15&lt;=36,1,(180+'TANKS Calculations'!D15)/(6*'TANKS Calculations'!D15))),1)</f>
        <v>1</v>
      </c>
      <c r="C53" s="385"/>
      <c r="D53" s="264" t="s">
        <v>9689</v>
      </c>
      <c r="E53" s="224"/>
      <c r="F53" s="224"/>
      <c r="G53" s="224"/>
      <c r="H53" s="224"/>
      <c r="I53" s="224"/>
    </row>
    <row r="54" spans="1:9" ht="30" customHeight="1" x14ac:dyDescent="0.2">
      <c r="A54" s="225" t="s">
        <v>9732</v>
      </c>
      <c r="B54" s="251" t="s">
        <v>8708</v>
      </c>
      <c r="C54" s="378"/>
      <c r="D54" s="246" t="s">
        <v>9689</v>
      </c>
      <c r="E54" s="224"/>
      <c r="F54" s="224"/>
      <c r="G54" s="224"/>
      <c r="H54" s="224"/>
      <c r="I54" s="224"/>
    </row>
    <row r="55" spans="1:9" ht="30" customHeight="1" x14ac:dyDescent="0.2">
      <c r="A55" s="228" t="s">
        <v>9733</v>
      </c>
      <c r="B55" s="229" t="s">
        <v>8708</v>
      </c>
      <c r="C55" s="380"/>
      <c r="D55" s="227" t="s">
        <v>9689</v>
      </c>
      <c r="E55" s="224"/>
      <c r="F55" s="224"/>
      <c r="G55" s="224"/>
      <c r="H55" s="224"/>
      <c r="I55" s="224"/>
    </row>
    <row r="56" spans="1:9" ht="30" customHeight="1" x14ac:dyDescent="0.2">
      <c r="A56" s="225" t="s">
        <v>9734</v>
      </c>
      <c r="B56" s="251" t="s">
        <v>8708</v>
      </c>
      <c r="C56" s="378"/>
      <c r="D56" s="246" t="s">
        <v>9689</v>
      </c>
      <c r="E56" s="224"/>
      <c r="F56" s="224"/>
      <c r="G56" s="224"/>
      <c r="H56" s="224"/>
      <c r="I56" s="224"/>
    </row>
    <row r="57" spans="1:9" ht="30" customHeight="1" thickBot="1" x14ac:dyDescent="0.25">
      <c r="A57" s="262" t="s">
        <v>9735</v>
      </c>
      <c r="B57" s="265" t="s">
        <v>8708</v>
      </c>
      <c r="C57" s="380"/>
      <c r="D57" s="264" t="s">
        <v>9689</v>
      </c>
      <c r="E57" s="224"/>
      <c r="F57" s="224"/>
      <c r="G57" s="224"/>
      <c r="H57" s="224"/>
      <c r="I57" s="224"/>
    </row>
    <row r="58" spans="1:9" ht="20.100000000000001" customHeight="1" x14ac:dyDescent="0.2">
      <c r="A58" s="429" t="s">
        <v>10014</v>
      </c>
      <c r="B58" s="267" t="s">
        <v>8708</v>
      </c>
      <c r="C58" s="386"/>
      <c r="D58" s="268" t="s">
        <v>9689</v>
      </c>
      <c r="E58" s="224"/>
      <c r="F58" s="224"/>
      <c r="G58" s="224"/>
      <c r="H58" s="224"/>
      <c r="I58" s="224"/>
    </row>
    <row r="59" spans="1:9" ht="30" customHeight="1" x14ac:dyDescent="0.2">
      <c r="A59" s="228" t="s">
        <v>9736</v>
      </c>
      <c r="B59" s="252">
        <f>IF(C58="Cone",0.0625,0)</f>
        <v>0</v>
      </c>
      <c r="C59" s="379"/>
      <c r="D59" s="227" t="s">
        <v>9737</v>
      </c>
      <c r="E59" s="224"/>
      <c r="F59" s="224"/>
      <c r="G59" s="224"/>
      <c r="H59" s="224"/>
      <c r="I59" s="224"/>
    </row>
    <row r="60" spans="1:9" ht="30" customHeight="1" x14ac:dyDescent="0.2">
      <c r="A60" s="228" t="s">
        <v>9738</v>
      </c>
      <c r="B60" s="252">
        <f>IF(C58="Dome",IF(C33="Horizontal",SQRT((C37*C36*4)/PI())/2,C34/2),0)</f>
        <v>0</v>
      </c>
      <c r="C60" s="379"/>
      <c r="D60" s="227" t="s">
        <v>9707</v>
      </c>
      <c r="E60" s="224"/>
      <c r="F60" s="224"/>
      <c r="G60" s="224"/>
      <c r="H60" s="224"/>
      <c r="I60" s="224"/>
    </row>
    <row r="61" spans="1:9" ht="20.100000000000001" customHeight="1" x14ac:dyDescent="0.2">
      <c r="A61" s="228" t="s">
        <v>9739</v>
      </c>
      <c r="B61" s="252">
        <f>IF(C33="Horizontal",SQRT((C37*C36*4)/PI())/2,C34/2)</f>
        <v>0</v>
      </c>
      <c r="C61" s="379"/>
      <c r="D61" s="227" t="s">
        <v>9707</v>
      </c>
      <c r="E61" s="224"/>
      <c r="F61" s="224"/>
      <c r="G61" s="224"/>
      <c r="H61" s="224"/>
      <c r="I61" s="224"/>
    </row>
    <row r="62" spans="1:9" ht="20.100000000000001" customHeight="1" x14ac:dyDescent="0.2">
      <c r="A62" s="228" t="s">
        <v>9740</v>
      </c>
      <c r="B62" s="252">
        <f>IF(C58="Dome",IF('TANKS Calculations'!D55=0,0.268*'TANKS Calculations'!D56,'TANKS Calculations'!D55-SQRT(('TANKS Calculations'!D55^2)-('TANKS Calculations'!D56^2))),'TANKS Calculations'!D56*'TANKS Calculations'!D54)</f>
        <v>0</v>
      </c>
      <c r="C62" s="379"/>
      <c r="D62" s="227" t="s">
        <v>9707</v>
      </c>
      <c r="E62" s="224"/>
      <c r="F62" s="224"/>
      <c r="G62" s="224"/>
      <c r="H62" s="224"/>
      <c r="I62" s="224"/>
    </row>
    <row r="63" spans="1:9" ht="20.100000000000001" customHeight="1" x14ac:dyDescent="0.2">
      <c r="A63" s="228" t="s">
        <v>9741</v>
      </c>
      <c r="B63" s="252">
        <f>IF(C58="Dome",IF('TANKS Calculations'!D55=0,0.137*'TANKS Calculations'!D56,('TANKS Calculations'!D57*(0.5+(1/6)*(('TANKS Calculations'!D57/'TANKS Calculations'!D56)^2)))),IF(C58="Cone",'TANKS Calculations'!D57/3,0))</f>
        <v>0</v>
      </c>
      <c r="C63" s="379"/>
      <c r="D63" s="227" t="s">
        <v>9707</v>
      </c>
      <c r="E63" s="224"/>
      <c r="F63" s="224"/>
      <c r="G63" s="224"/>
      <c r="H63" s="224"/>
      <c r="I63" s="224"/>
    </row>
    <row r="64" spans="1:9" ht="20.100000000000001" customHeight="1" x14ac:dyDescent="0.2">
      <c r="A64" s="228" t="s">
        <v>9742</v>
      </c>
      <c r="B64" s="252">
        <f>IFERROR(IF(C33="Horizontal",'TANKS Calculations'!D9/2,'TANKS Calculations'!D10-'TANKS Calculations'!D58+'TANKS Calculations'!D59),0)</f>
        <v>0</v>
      </c>
      <c r="C64" s="379"/>
      <c r="D64" s="227" t="s">
        <v>9707</v>
      </c>
      <c r="E64" s="224"/>
      <c r="F64" s="224"/>
      <c r="G64" s="224"/>
      <c r="H64" s="224"/>
      <c r="I64" s="224"/>
    </row>
    <row r="65" spans="1:16" ht="20.100000000000001" customHeight="1" x14ac:dyDescent="0.2">
      <c r="A65" s="256" t="s">
        <v>9743</v>
      </c>
      <c r="B65" s="258">
        <f>(PI()/4)*('TANKS Calculations'!D8^2)*'TANKS Calculations'!D60</f>
        <v>0</v>
      </c>
      <c r="C65" s="383"/>
      <c r="D65" s="259" t="s">
        <v>9730</v>
      </c>
      <c r="E65" s="224"/>
      <c r="F65" s="224"/>
      <c r="G65" s="224"/>
      <c r="H65" s="224"/>
      <c r="I65" s="224"/>
    </row>
    <row r="66" spans="1:16" ht="20.100000000000001" customHeight="1" thickBot="1" x14ac:dyDescent="0.25">
      <c r="A66" s="262" t="s">
        <v>9744</v>
      </c>
      <c r="B66" s="269" t="s">
        <v>6</v>
      </c>
      <c r="C66" s="387"/>
      <c r="D66" s="264" t="s">
        <v>9689</v>
      </c>
      <c r="E66" s="224"/>
      <c r="F66" s="224"/>
      <c r="G66" s="224"/>
      <c r="H66" s="224"/>
      <c r="I66" s="224"/>
    </row>
    <row r="67" spans="1:16" ht="45" customHeight="1" x14ac:dyDescent="0.2">
      <c r="A67" s="266" t="s">
        <v>9745</v>
      </c>
      <c r="B67" s="270" t="s">
        <v>8708</v>
      </c>
      <c r="C67" s="386"/>
      <c r="D67" s="268" t="s">
        <v>9689</v>
      </c>
      <c r="E67" s="224"/>
      <c r="F67" s="224"/>
      <c r="G67" s="224"/>
      <c r="H67" s="224"/>
      <c r="I67" s="224"/>
    </row>
    <row r="68" spans="1:16" ht="45" customHeight="1" thickBot="1" x14ac:dyDescent="0.25">
      <c r="A68" s="262" t="s">
        <v>9746</v>
      </c>
      <c r="B68" s="271" t="s">
        <v>8708</v>
      </c>
      <c r="C68" s="388"/>
      <c r="D68" s="264" t="s">
        <v>9689</v>
      </c>
      <c r="E68" s="224"/>
      <c r="F68" s="224"/>
      <c r="G68" s="224"/>
      <c r="H68" s="224"/>
      <c r="I68" s="224"/>
      <c r="J68" s="224"/>
      <c r="K68" s="224"/>
      <c r="L68" s="224"/>
      <c r="M68" s="224"/>
      <c r="N68" s="224"/>
      <c r="O68" s="224"/>
      <c r="P68" s="224"/>
    </row>
    <row r="69" spans="1:16" ht="30" customHeight="1" x14ac:dyDescent="0.2">
      <c r="A69" s="225" t="s">
        <v>9747</v>
      </c>
      <c r="B69" s="272" t="s">
        <v>8708</v>
      </c>
      <c r="C69" s="378"/>
      <c r="D69" s="246" t="s">
        <v>9689</v>
      </c>
      <c r="E69" s="224"/>
      <c r="F69" s="224"/>
      <c r="G69" s="224"/>
      <c r="H69" s="224"/>
      <c r="I69" s="224"/>
    </row>
    <row r="70" spans="1:16" ht="20.100000000000001" customHeight="1" x14ac:dyDescent="0.2">
      <c r="A70" s="225" t="s">
        <v>9748</v>
      </c>
      <c r="B70" s="273">
        <f>_xlfn.IFNA(HLOOKUP(C55,'TANKS Data'!$C$173:$E$186,MATCH(C54,'TANKS Data'!$B$173:$B$186,0),FALSE),0)</f>
        <v>0</v>
      </c>
      <c r="C70" s="389"/>
      <c r="D70" s="246" t="s">
        <v>9689</v>
      </c>
      <c r="E70" s="224"/>
      <c r="F70" s="224"/>
      <c r="G70" s="224"/>
      <c r="H70" s="224"/>
      <c r="I70" s="224"/>
    </row>
    <row r="71" spans="1:16" ht="20.100000000000001" customHeight="1" x14ac:dyDescent="0.2">
      <c r="A71" s="228" t="s">
        <v>9749</v>
      </c>
      <c r="B71" s="274">
        <f>_xlfn.IFNA(HLOOKUP(C57,'TANKS Data'!$C$173:$E$186,MATCH(C56,'TANKS Data'!$B$173:$B$186,0),FALSE),0)</f>
        <v>0</v>
      </c>
      <c r="C71" s="390"/>
      <c r="D71" s="227" t="s">
        <v>9689</v>
      </c>
      <c r="E71" s="224"/>
      <c r="F71" s="224"/>
      <c r="G71" s="224"/>
      <c r="H71" s="224"/>
      <c r="I71" s="224"/>
    </row>
    <row r="72" spans="1:16" ht="20.100000000000001" customHeight="1" x14ac:dyDescent="0.2">
      <c r="A72" s="228" t="s">
        <v>9750</v>
      </c>
      <c r="B72" s="274">
        <f>AVERAGE('TANKS Calculations'!D22:D23)</f>
        <v>0</v>
      </c>
      <c r="C72" s="390"/>
      <c r="D72" s="227" t="s">
        <v>9689</v>
      </c>
      <c r="E72" s="224"/>
      <c r="F72" s="224"/>
      <c r="G72" s="224"/>
      <c r="H72" s="224"/>
      <c r="I72" s="224"/>
    </row>
    <row r="73" spans="1:16" ht="20.100000000000001" customHeight="1" x14ac:dyDescent="0.2">
      <c r="A73" s="228" t="s">
        <v>9751</v>
      </c>
      <c r="B73" s="274">
        <f>_xlfn.IFNA(VLOOKUP(B14,'TANKS Data'!$A$189:$F$213,6,FALSE),0)</f>
        <v>0</v>
      </c>
      <c r="C73" s="390"/>
      <c r="D73" s="227" t="s">
        <v>9752</v>
      </c>
      <c r="E73" s="224"/>
      <c r="F73" s="275"/>
      <c r="G73" s="224"/>
      <c r="H73" s="224"/>
      <c r="I73" s="224"/>
    </row>
    <row r="74" spans="1:16" ht="30" customHeight="1" x14ac:dyDescent="0.2">
      <c r="A74" s="256" t="s">
        <v>9753</v>
      </c>
      <c r="B74" s="253">
        <f>_xlfn.IFNA(VLOOKUP($B$14,'TANKS Data'!$A$189:$C$213,2,FALSE),0)</f>
        <v>0</v>
      </c>
      <c r="C74" s="379"/>
      <c r="D74" s="227" t="s">
        <v>9754</v>
      </c>
      <c r="E74" s="224"/>
      <c r="F74" s="275"/>
      <c r="G74" s="224"/>
      <c r="H74" s="224"/>
      <c r="I74" s="224"/>
    </row>
    <row r="75" spans="1:16" ht="20.100000000000001" customHeight="1" x14ac:dyDescent="0.2">
      <c r="A75" s="225"/>
      <c r="B75" s="253">
        <f>'TANKS Calculations'!D26+459.67</f>
        <v>459.67</v>
      </c>
      <c r="C75" s="379"/>
      <c r="D75" s="227" t="s">
        <v>9755</v>
      </c>
      <c r="E75" s="224"/>
      <c r="F75" s="275"/>
      <c r="G75" s="224"/>
      <c r="H75" s="224"/>
      <c r="I75" s="224"/>
    </row>
    <row r="76" spans="1:16" ht="30" customHeight="1" x14ac:dyDescent="0.2">
      <c r="A76" s="256" t="s">
        <v>9756</v>
      </c>
      <c r="B76" s="253">
        <f>_xlfn.IFNA(VLOOKUP($B$14,'TANKS Data'!$A$189:$C$213,3,FALSE),0)</f>
        <v>0</v>
      </c>
      <c r="C76" s="379"/>
      <c r="D76" s="227" t="s">
        <v>9754</v>
      </c>
      <c r="E76" s="224"/>
      <c r="F76" s="275"/>
      <c r="G76" s="224"/>
      <c r="H76" s="224"/>
      <c r="I76" s="224"/>
    </row>
    <row r="77" spans="1:16" ht="20.100000000000001" customHeight="1" x14ac:dyDescent="0.2">
      <c r="A77" s="225"/>
      <c r="B77" s="253">
        <f>'TANKS Calculations'!D28+459.67</f>
        <v>459.67</v>
      </c>
      <c r="C77" s="379"/>
      <c r="D77" s="227" t="s">
        <v>9755</v>
      </c>
      <c r="E77" s="224"/>
      <c r="F77" s="275"/>
      <c r="G77" s="224"/>
      <c r="H77" s="224"/>
      <c r="I77" s="224"/>
    </row>
    <row r="78" spans="1:16" ht="20.100000000000001" customHeight="1" x14ac:dyDescent="0.2">
      <c r="A78" s="256" t="s">
        <v>9757</v>
      </c>
      <c r="B78" s="253">
        <f>('TANKS Calculations'!D27+'TANKS Calculations'!D29)/2-459.67</f>
        <v>0</v>
      </c>
      <c r="C78" s="379"/>
      <c r="D78" s="227" t="s">
        <v>9754</v>
      </c>
      <c r="E78" s="224"/>
      <c r="F78" s="275"/>
      <c r="G78" s="224"/>
      <c r="H78" s="224"/>
      <c r="I78" s="224"/>
    </row>
    <row r="79" spans="1:16" ht="20.100000000000001" customHeight="1" x14ac:dyDescent="0.2">
      <c r="A79" s="156"/>
      <c r="B79" s="253">
        <f>'TANKS Calculations'!D31+459.67</f>
        <v>459.67</v>
      </c>
      <c r="C79" s="379"/>
      <c r="D79" s="227" t="s">
        <v>9755</v>
      </c>
      <c r="E79" s="224"/>
      <c r="F79" s="275"/>
      <c r="G79" s="224"/>
      <c r="H79" s="224"/>
      <c r="I79" s="224"/>
    </row>
    <row r="80" spans="1:16" ht="20.100000000000001" customHeight="1" x14ac:dyDescent="0.2">
      <c r="A80" s="228" t="s">
        <v>9758</v>
      </c>
      <c r="B80" s="253">
        <f>'TANKS Calculations'!D26-'TANKS Calculations'!D28</f>
        <v>0</v>
      </c>
      <c r="C80" s="379"/>
      <c r="D80" s="227" t="s">
        <v>9759</v>
      </c>
      <c r="E80" s="224"/>
      <c r="F80" s="275"/>
      <c r="G80" s="224"/>
      <c r="H80" s="224"/>
      <c r="I80" s="224"/>
    </row>
    <row r="81" spans="1:17" ht="20.100000000000001" customHeight="1" x14ac:dyDescent="0.2">
      <c r="A81" s="247" t="s">
        <v>9760</v>
      </c>
      <c r="B81" s="276">
        <f>IF(C68="External Floating Roof",IF(C67="Steel Double Deck",'TANKS Calculations'!D32+(0.005*'TANKS Calculations'!D22*'TANKS Calculations'!D25),'TANKS Calculations'!D32+(0.007*'TANKS Calculations'!D22*'TANKS Calculations'!D25)),'TANKS Calculations'!D32+(0.003*'TANKS Calculations'!D22*'TANKS Calculations'!D25))-459.67</f>
        <v>0</v>
      </c>
      <c r="C81" s="391"/>
      <c r="D81" s="246" t="s">
        <v>9754</v>
      </c>
      <c r="E81" s="224"/>
      <c r="F81" s="275"/>
      <c r="G81" s="224"/>
      <c r="H81" s="224"/>
      <c r="I81" s="224"/>
    </row>
    <row r="82" spans="1:17" ht="20.100000000000001" customHeight="1" x14ac:dyDescent="0.2">
      <c r="A82" s="225"/>
      <c r="B82" s="277">
        <f>'TANKS Calculations'!D33+459.67</f>
        <v>459.67</v>
      </c>
      <c r="C82" s="379"/>
      <c r="D82" s="227" t="s">
        <v>9755</v>
      </c>
      <c r="E82" s="224"/>
      <c r="F82" s="275"/>
      <c r="G82" s="224"/>
      <c r="H82" s="224"/>
      <c r="I82" s="224"/>
    </row>
    <row r="83" spans="1:17" ht="20.100000000000001" customHeight="1" x14ac:dyDescent="0.2">
      <c r="A83" s="256" t="s">
        <v>9761</v>
      </c>
      <c r="B83" s="252">
        <f>IFERROR(IF(OR(ISBLANK(C69),C69="Not Insulated"),((0.7*'TANKS Calculations'!D32)+(0.3*'TANKS Calculations'!D34)+(0.009*'TANKS Calculations'!D25*'TANKS Calculations'!D24)),IF(C69="Partially Insulated",((0.6*'TANKS Calculations'!D32)+(0.4*'TANKS Calculations'!D34)+(0.01*'TANKS Calculations'!D25*'TANKS Calculations'!D24)),'TANKS Calculations'!D34)),459.67)-459.67</f>
        <v>0</v>
      </c>
      <c r="C83" s="379"/>
      <c r="D83" s="227" t="s">
        <v>9754</v>
      </c>
      <c r="E83" s="224"/>
      <c r="F83" s="275"/>
      <c r="G83" s="224"/>
      <c r="H83" s="224"/>
      <c r="I83" s="224"/>
    </row>
    <row r="84" spans="1:17" ht="20.100000000000001" customHeight="1" x14ac:dyDescent="0.2">
      <c r="A84" s="225"/>
      <c r="B84" s="252">
        <f>'TANKS Calculations'!D48+459.67</f>
        <v>459.67</v>
      </c>
      <c r="C84" s="379"/>
      <c r="D84" s="227" t="s">
        <v>9755</v>
      </c>
      <c r="E84" s="224"/>
      <c r="F84" s="275"/>
      <c r="G84" s="224"/>
      <c r="H84" s="224"/>
      <c r="I84" s="224"/>
    </row>
    <row r="85" spans="1:17" ht="20.100000000000001" customHeight="1" x14ac:dyDescent="0.2">
      <c r="A85" s="228" t="s">
        <v>9762</v>
      </c>
      <c r="B85" s="253">
        <f>IFERROR(IF(OR(ISBLANK(C69),C69="Not Insulated"),((0.7*'TANKS Calculations'!D30)+(0.02*'TANKS Calculations'!D25*'TANKS Calculations'!D24)),IF(C69="Partially Insulated",((0.6*'TANKS Calculations'!D30)+(0.02*'TANKS Calculations'!D25*'TANKS Calculations'!D24)),0)),0)</f>
        <v>0</v>
      </c>
      <c r="C85" s="379"/>
      <c r="D85" s="227" t="s">
        <v>9759</v>
      </c>
      <c r="E85" s="224"/>
      <c r="F85" s="275"/>
      <c r="G85" s="224"/>
      <c r="H85" s="224"/>
      <c r="I85" s="224"/>
    </row>
    <row r="86" spans="1:17" ht="20.100000000000001" customHeight="1" x14ac:dyDescent="0.2">
      <c r="A86" s="247" t="s">
        <v>9763</v>
      </c>
      <c r="B86" s="278">
        <f>IF(B12="Fixed",IF(C69="Fully Insulated",'TANKS Calculations'!D34,IF(C69="Partially Insulated",(0.3*'TANKS Calculations'!D32)+(0.7*'TANKS Calculations'!D34)+(0.005*'TANKS Calculations'!D25*'TANKS Calculations'!D24),(0.4*'TANKS Calculations'!D32)+(0.6*'TANKS Calculations'!D34)+(0.005*'TANKS Calculations'!D25*'TANKS Calculations'!D24))),IF(C68="External Floating Roof",IF(C67="Steel Double Deck",(0.3*'TANKS Calculations'!D32)+(0.7*'TANKS Calculations'!D34)+(0.009*'TANKS Calculations'!D25*'TANKS Calculations'!D24),(0.7*'TANKS Calculations'!D32)+(0.3*'TANKS Calculations'!D34)+(0.009*'TANKS Calculations'!D25*'TANKS Calculations'!D24)),(0.3*'TANKS Calculations'!D32)+(0.7*'TANKS Calculations'!D34)+(0.004*'TANKS Calculations'!D25*'TANKS Calculations'!D24)))-459.67</f>
        <v>0</v>
      </c>
      <c r="C86" s="392"/>
      <c r="D86" s="246" t="s">
        <v>9754</v>
      </c>
      <c r="E86" s="224"/>
      <c r="F86" s="275"/>
      <c r="G86" s="224"/>
      <c r="H86" s="224"/>
    </row>
    <row r="87" spans="1:17" ht="20.100000000000001" customHeight="1" x14ac:dyDescent="0.2">
      <c r="A87" s="225"/>
      <c r="B87" s="253">
        <f>'TANKS Calculations'!D41+459.67</f>
        <v>459.67</v>
      </c>
      <c r="C87" s="379"/>
      <c r="D87" s="227" t="s">
        <v>9755</v>
      </c>
      <c r="E87" s="224"/>
      <c r="F87" s="275"/>
      <c r="G87" s="224"/>
      <c r="H87" s="224"/>
      <c r="I87" s="224"/>
    </row>
    <row r="88" spans="1:17" ht="20.100000000000001" customHeight="1" x14ac:dyDescent="0.2">
      <c r="A88" s="247" t="s">
        <v>9764</v>
      </c>
      <c r="B88" s="253">
        <f>'TANKS Calculations'!D41-0.25*'TANKS Calculations'!D50</f>
        <v>0</v>
      </c>
      <c r="C88" s="379"/>
      <c r="D88" s="227" t="s">
        <v>9754</v>
      </c>
      <c r="E88" s="224"/>
      <c r="F88" s="275"/>
      <c r="G88" s="224"/>
      <c r="H88" s="224"/>
      <c r="I88" s="224"/>
    </row>
    <row r="89" spans="1:17" ht="20.100000000000001" customHeight="1" x14ac:dyDescent="0.2">
      <c r="A89" s="225"/>
      <c r="B89" s="253">
        <f>'TANKS Calculations'!D38+459.67</f>
        <v>459.67</v>
      </c>
      <c r="C89" s="379"/>
      <c r="D89" s="227" t="s">
        <v>9755</v>
      </c>
      <c r="E89" s="224"/>
      <c r="F89" s="275"/>
      <c r="G89" s="224"/>
      <c r="H89" s="224"/>
      <c r="I89" s="224"/>
    </row>
    <row r="90" spans="1:17" ht="20.100000000000001" customHeight="1" x14ac:dyDescent="0.2">
      <c r="A90" s="247" t="s">
        <v>9765</v>
      </c>
      <c r="B90" s="278">
        <f>'TANKS Calculations'!D41+0.25*'TANKS Calculations'!D50</f>
        <v>0</v>
      </c>
      <c r="C90" s="379"/>
      <c r="D90" s="246" t="s">
        <v>9754</v>
      </c>
      <c r="E90" s="224"/>
      <c r="F90" s="275"/>
      <c r="G90" s="224"/>
      <c r="H90" s="224"/>
      <c r="I90" s="224"/>
    </row>
    <row r="91" spans="1:17" ht="20.100000000000001" customHeight="1" thickBot="1" x14ac:dyDescent="0.25">
      <c r="A91" s="230"/>
      <c r="B91" s="279">
        <f>'TANKS Calculations'!D35+459.67</f>
        <v>459.67</v>
      </c>
      <c r="C91" s="393"/>
      <c r="D91" s="264" t="s">
        <v>9755</v>
      </c>
      <c r="E91" s="224"/>
      <c r="F91" s="224"/>
      <c r="G91" s="224"/>
      <c r="H91" s="224"/>
      <c r="I91" s="224"/>
    </row>
    <row r="92" spans="1:17" ht="48" customHeight="1" x14ac:dyDescent="0.2">
      <c r="A92" s="1380" t="s">
        <v>10007</v>
      </c>
      <c r="B92" s="1381"/>
      <c r="C92" s="1381"/>
      <c r="D92" s="1381"/>
      <c r="E92" s="347"/>
      <c r="F92" s="347"/>
      <c r="G92" s="347"/>
      <c r="H92" s="347"/>
      <c r="I92" s="347"/>
      <c r="J92" s="347"/>
      <c r="K92" s="347"/>
      <c r="L92" s="347"/>
      <c r="M92" s="347"/>
      <c r="N92" s="347"/>
      <c r="O92" s="347"/>
      <c r="P92" s="347"/>
      <c r="Q92" s="347"/>
    </row>
    <row r="93" spans="1:17" ht="15" customHeight="1" x14ac:dyDescent="0.2">
      <c r="A93" s="1382" t="s">
        <v>9998</v>
      </c>
      <c r="B93" s="1383"/>
      <c r="C93" s="1383"/>
      <c r="D93" s="1383"/>
      <c r="E93" s="348"/>
      <c r="F93" s="348"/>
      <c r="G93" s="348"/>
      <c r="H93" s="348"/>
      <c r="I93" s="348"/>
      <c r="J93" s="348"/>
      <c r="K93" s="348"/>
      <c r="L93" s="348"/>
      <c r="M93" s="348"/>
      <c r="N93" s="348"/>
      <c r="O93" s="348"/>
      <c r="P93" s="348"/>
      <c r="Q93" s="348"/>
    </row>
    <row r="94" spans="1:17" ht="106.5" customHeight="1" thickBot="1" x14ac:dyDescent="0.25">
      <c r="A94" s="1366" t="s">
        <v>10006</v>
      </c>
      <c r="B94" s="1367"/>
      <c r="C94" s="1367"/>
      <c r="D94" s="1367"/>
      <c r="E94" s="347"/>
      <c r="F94" s="347"/>
      <c r="G94" s="347"/>
      <c r="H94" s="347"/>
      <c r="I94" s="347"/>
      <c r="J94" s="347"/>
      <c r="K94" s="347"/>
      <c r="L94" s="347"/>
      <c r="M94" s="347"/>
      <c r="N94" s="347"/>
      <c r="O94" s="347"/>
      <c r="P94" s="347"/>
      <c r="Q94" s="347"/>
    </row>
    <row r="95" spans="1:17" ht="45" customHeight="1" thickBot="1" x14ac:dyDescent="0.3">
      <c r="A95" s="1370" t="s">
        <v>9970</v>
      </c>
      <c r="B95" s="1371"/>
      <c r="C95" s="1371"/>
      <c r="D95" s="1371"/>
      <c r="E95" s="1371"/>
      <c r="F95" s="1371"/>
      <c r="G95" s="1371"/>
      <c r="H95" s="1371"/>
      <c r="I95" s="1371"/>
      <c r="J95" s="1371"/>
      <c r="K95" s="1371"/>
      <c r="L95" s="1371"/>
      <c r="M95" s="1371"/>
      <c r="N95" s="1371"/>
      <c r="O95" s="1371"/>
      <c r="P95" s="1371"/>
      <c r="Q95" s="1372"/>
    </row>
    <row r="96" spans="1:17" ht="20.100000000000001" customHeight="1" x14ac:dyDescent="0.25">
      <c r="A96" s="146" t="s">
        <v>9502</v>
      </c>
      <c r="B96" s="147" t="s">
        <v>9503</v>
      </c>
      <c r="C96" s="148" t="s">
        <v>9504</v>
      </c>
      <c r="D96" s="148" t="s">
        <v>9505</v>
      </c>
      <c r="E96" s="148" t="s">
        <v>9506</v>
      </c>
      <c r="F96" s="148" t="s">
        <v>9507</v>
      </c>
      <c r="G96" s="148" t="s">
        <v>9508</v>
      </c>
      <c r="H96" s="148" t="s">
        <v>9509</v>
      </c>
      <c r="I96" s="148" t="s">
        <v>9510</v>
      </c>
      <c r="J96" s="148" t="s">
        <v>9511</v>
      </c>
      <c r="K96" s="150" t="s">
        <v>9512</v>
      </c>
      <c r="L96" s="148" t="s">
        <v>9513</v>
      </c>
      <c r="M96" s="148" t="s">
        <v>9514</v>
      </c>
      <c r="N96" s="150" t="s">
        <v>9515</v>
      </c>
      <c r="O96" s="148" t="s">
        <v>9516</v>
      </c>
      <c r="P96" s="148" t="s">
        <v>9517</v>
      </c>
      <c r="Q96" s="146" t="s">
        <v>1</v>
      </c>
    </row>
    <row r="97" spans="1:17" ht="30" customHeight="1" thickBot="1" x14ac:dyDescent="0.25">
      <c r="A97" s="228" t="s">
        <v>9693</v>
      </c>
      <c r="B97" s="280" t="str">
        <f t="shared" ref="B97:P97" si="1">IF(ISBLANK(B18),"",B18)</f>
        <v/>
      </c>
      <c r="C97" s="281" t="str">
        <f t="shared" si="1"/>
        <v/>
      </c>
      <c r="D97" s="281" t="str">
        <f t="shared" si="1"/>
        <v/>
      </c>
      <c r="E97" s="281" t="str">
        <f t="shared" si="1"/>
        <v/>
      </c>
      <c r="F97" s="281" t="str">
        <f t="shared" si="1"/>
        <v/>
      </c>
      <c r="G97" s="281" t="str">
        <f t="shared" si="1"/>
        <v/>
      </c>
      <c r="H97" s="281" t="str">
        <f t="shared" si="1"/>
        <v/>
      </c>
      <c r="I97" s="281" t="str">
        <f t="shared" si="1"/>
        <v/>
      </c>
      <c r="J97" s="281" t="str">
        <f t="shared" si="1"/>
        <v/>
      </c>
      <c r="K97" s="282" t="str">
        <f t="shared" si="1"/>
        <v/>
      </c>
      <c r="L97" s="281" t="str">
        <f t="shared" si="1"/>
        <v/>
      </c>
      <c r="M97" s="281" t="str">
        <f t="shared" si="1"/>
        <v/>
      </c>
      <c r="N97" s="282" t="str">
        <f t="shared" si="1"/>
        <v/>
      </c>
      <c r="O97" s="281" t="str">
        <f t="shared" si="1"/>
        <v/>
      </c>
      <c r="P97" s="281" t="str">
        <f t="shared" si="1"/>
        <v/>
      </c>
      <c r="Q97" s="232"/>
    </row>
    <row r="98" spans="1:17" ht="20.100000000000001" customHeight="1" x14ac:dyDescent="0.2">
      <c r="A98" s="237" t="s">
        <v>9766</v>
      </c>
      <c r="B98" s="238" t="str">
        <f>IF(ISBLANK(B18),"",_xlfn.IFNA(VLOOKUP(B18,'TANKS Vapor Fx'!$A$3:$G$294,5,FALSE),0))</f>
        <v/>
      </c>
      <c r="C98" s="238" t="str">
        <f>IF(ISBLANK(C18),"",_xlfn.IFNA(VLOOKUP(C18,'TANKS Vapor Fx'!$A$3:$G$294,5,FALSE),0))</f>
        <v/>
      </c>
      <c r="D98" s="238" t="str">
        <f>IF(ISBLANK(D18),"",_xlfn.IFNA(VLOOKUP(D18,'TANKS Vapor Fx'!$A$3:$G$294,5,FALSE),0))</f>
        <v/>
      </c>
      <c r="E98" s="238" t="str">
        <f>IF(ISBLANK(E18),"",_xlfn.IFNA(VLOOKUP(E18,'TANKS Vapor Fx'!$A$3:$G$294,5,FALSE),0))</f>
        <v/>
      </c>
      <c r="F98" s="238" t="str">
        <f>IF(ISBLANK(F18),"",_xlfn.IFNA(VLOOKUP(F18,'TANKS Vapor Fx'!$A$3:$G$294,5,FALSE),0))</f>
        <v/>
      </c>
      <c r="G98" s="238" t="str">
        <f>IF(ISBLANK(G18),"",_xlfn.IFNA(VLOOKUP(G18,'TANKS Vapor Fx'!$A$3:$G$294,5,FALSE),0))</f>
        <v/>
      </c>
      <c r="H98" s="238" t="str">
        <f>IF(ISBLANK(H18),"",_xlfn.IFNA(VLOOKUP(H18,'TANKS Vapor Fx'!$A$3:$G$294,5,FALSE),0))</f>
        <v/>
      </c>
      <c r="I98" s="238" t="str">
        <f>IF(ISBLANK(I18),"",_xlfn.IFNA(VLOOKUP(I18,'TANKS Vapor Fx'!$A$3:$G$294,5,FALSE),0))</f>
        <v/>
      </c>
      <c r="J98" s="238" t="str">
        <f>IF(ISBLANK(J18),"",_xlfn.IFNA(VLOOKUP(J18,'TANKS Vapor Fx'!$A$3:$G$294,5,FALSE),0))</f>
        <v/>
      </c>
      <c r="K98" s="238" t="str">
        <f>IF(ISBLANK(K18),"",_xlfn.IFNA(VLOOKUP(K18,'TANKS Vapor Fx'!$A$3:$G$294,5,FALSE),0))</f>
        <v/>
      </c>
      <c r="L98" s="238" t="str">
        <f>IF(ISBLANK(L18),"",_xlfn.IFNA(VLOOKUP(L18,'TANKS Vapor Fx'!$A$3:$G$294,5,FALSE),0))</f>
        <v/>
      </c>
      <c r="M98" s="238" t="str">
        <f>IF(ISBLANK(M18),"",_xlfn.IFNA(VLOOKUP(M18,'TANKS Vapor Fx'!$A$3:$G$294,5,FALSE),0))</f>
        <v/>
      </c>
      <c r="N98" s="238" t="str">
        <f>IF(ISBLANK(N18),"",_xlfn.IFNA(VLOOKUP(N18,'TANKS Vapor Fx'!$A$3:$G$294,5,FALSE),0))</f>
        <v/>
      </c>
      <c r="O98" s="238" t="str">
        <f>IF(ISBLANK(O18),"",_xlfn.IFNA(VLOOKUP(O18,'TANKS Vapor Fx'!$A$3:$G$294,5,FALSE),0))</f>
        <v/>
      </c>
      <c r="P98" s="238" t="str">
        <f>IF(ISBLANK(P18),"",_xlfn.IFNA(VLOOKUP(P18,'TANKS Vapor Fx'!$A$3:$G$294,5,FALSE),0))</f>
        <v/>
      </c>
      <c r="Q98" s="283"/>
    </row>
    <row r="99" spans="1:17" ht="20.100000000000001" customHeight="1" thickBot="1" x14ac:dyDescent="0.25">
      <c r="A99" s="235" t="s">
        <v>9767</v>
      </c>
      <c r="B99" s="394"/>
      <c r="C99" s="385"/>
      <c r="D99" s="385"/>
      <c r="E99" s="385"/>
      <c r="F99" s="385"/>
      <c r="G99" s="385"/>
      <c r="H99" s="385"/>
      <c r="I99" s="385"/>
      <c r="J99" s="385"/>
      <c r="K99" s="395"/>
      <c r="L99" s="385"/>
      <c r="M99" s="385"/>
      <c r="N99" s="395"/>
      <c r="O99" s="385"/>
      <c r="P99" s="385"/>
      <c r="Q99" s="244"/>
    </row>
    <row r="100" spans="1:17" ht="20.100000000000001" customHeight="1" x14ac:dyDescent="0.2">
      <c r="A100" s="284" t="s">
        <v>9768</v>
      </c>
      <c r="B100" s="285" t="str">
        <f>IF(ISBLANK(B18),"",_xlfn.IFNA(VLOOKUP(B18,'TANKS Vapor Fx'!$A$3:$G$294,6,FALSE),0))</f>
        <v/>
      </c>
      <c r="C100" s="285" t="str">
        <f>IF(ISBLANK(C18),"",_xlfn.IFNA(VLOOKUP(C18,'TANKS Vapor Fx'!$A$3:$G$294,6,FALSE),0))</f>
        <v/>
      </c>
      <c r="D100" s="285" t="str">
        <f>IF(ISBLANK(D18),"",_xlfn.IFNA(VLOOKUP(D18,'TANKS Vapor Fx'!$A$3:$G$294,6,FALSE),0))</f>
        <v/>
      </c>
      <c r="E100" s="285" t="str">
        <f>IF(ISBLANK(E18),"",_xlfn.IFNA(VLOOKUP(E18,'TANKS Vapor Fx'!$A$3:$G$294,6,FALSE),0))</f>
        <v/>
      </c>
      <c r="F100" s="285" t="str">
        <f>IF(ISBLANK(F18),"",_xlfn.IFNA(VLOOKUP(F18,'TANKS Vapor Fx'!$A$3:$G$294,6,FALSE),0))</f>
        <v/>
      </c>
      <c r="G100" s="285" t="str">
        <f>IF(ISBLANK(G18),"",_xlfn.IFNA(VLOOKUP(G18,'TANKS Vapor Fx'!$A$3:$G$294,6,FALSE),0))</f>
        <v/>
      </c>
      <c r="H100" s="285" t="str">
        <f>IF(ISBLANK(H18),"",_xlfn.IFNA(VLOOKUP(H18,'TANKS Vapor Fx'!$A$3:$G$294,6,FALSE),0))</f>
        <v/>
      </c>
      <c r="I100" s="285" t="str">
        <f>IF(ISBLANK(I18),"",_xlfn.IFNA(VLOOKUP(I18,'TANKS Vapor Fx'!$A$3:$G$294,6,FALSE),0))</f>
        <v/>
      </c>
      <c r="J100" s="285" t="str">
        <f>IF(ISBLANK(J18),"",_xlfn.IFNA(VLOOKUP(J18,'TANKS Vapor Fx'!$A$3:$G$294,6,FALSE),0))</f>
        <v/>
      </c>
      <c r="K100" s="285" t="str">
        <f>IF(ISBLANK(K18),"",_xlfn.IFNA(VLOOKUP(K18,'TANKS Vapor Fx'!$A$3:$G$294,6,FALSE),0))</f>
        <v/>
      </c>
      <c r="L100" s="285" t="str">
        <f>IF(ISBLANK(L18),"",_xlfn.IFNA(VLOOKUP(L18,'TANKS Vapor Fx'!$A$3:$G$294,6,FALSE),0))</f>
        <v/>
      </c>
      <c r="M100" s="285" t="str">
        <f>IF(ISBLANK(M18),"",_xlfn.IFNA(VLOOKUP(M18,'TANKS Vapor Fx'!$A$3:$G$294,6,FALSE),0))</f>
        <v/>
      </c>
      <c r="N100" s="285" t="str">
        <f>IF(ISBLANK(N18),"",_xlfn.IFNA(VLOOKUP(N18,'TANKS Vapor Fx'!$A$3:$G$294,6,FALSE),0))</f>
        <v/>
      </c>
      <c r="O100" s="285" t="str">
        <f>IF(ISBLANK(O18),"",_xlfn.IFNA(VLOOKUP(O18,'TANKS Vapor Fx'!$A$3:$G$294,6,FALSE),0))</f>
        <v/>
      </c>
      <c r="P100" s="285" t="str">
        <f>IF(ISBLANK(P18),"",_xlfn.IFNA(VLOOKUP(P18,'TANKS Vapor Fx'!$A$3:$G$294,6,FALSE),0))</f>
        <v/>
      </c>
      <c r="Q100" s="286"/>
    </row>
    <row r="101" spans="1:17" ht="20.100000000000001" customHeight="1" thickBot="1" x14ac:dyDescent="0.25">
      <c r="A101" s="240" t="s">
        <v>9769</v>
      </c>
      <c r="B101" s="396"/>
      <c r="C101" s="397"/>
      <c r="D101" s="397"/>
      <c r="E101" s="397"/>
      <c r="F101" s="397"/>
      <c r="G101" s="397"/>
      <c r="H101" s="397"/>
      <c r="I101" s="397"/>
      <c r="J101" s="397"/>
      <c r="K101" s="398"/>
      <c r="L101" s="397"/>
      <c r="M101" s="397"/>
      <c r="N101" s="398"/>
      <c r="O101" s="397"/>
      <c r="P101" s="397"/>
      <c r="Q101" s="241"/>
    </row>
    <row r="102" spans="1:17" ht="20.100000000000001" customHeight="1" x14ac:dyDescent="0.2">
      <c r="A102" s="237" t="s">
        <v>9770</v>
      </c>
      <c r="B102" s="238" t="str">
        <f>IF(ISBLANK(B18),"",_xlfn.IFNA(VLOOKUP(B18,'TANKS Vapor Fx'!$A$3:$G$294,7,FALSE),0))</f>
        <v/>
      </c>
      <c r="C102" s="238" t="str">
        <f>IF(ISBLANK(C18),"",_xlfn.IFNA(VLOOKUP(C18,'TANKS Vapor Fx'!$A$3:$G$294,7,FALSE),0))</f>
        <v/>
      </c>
      <c r="D102" s="238" t="str">
        <f>IF(ISBLANK(D18),"",_xlfn.IFNA(VLOOKUP(D18,'TANKS Vapor Fx'!$A$3:$G$294,7,FALSE),0))</f>
        <v/>
      </c>
      <c r="E102" s="238" t="str">
        <f>IF(ISBLANK(E18),"",_xlfn.IFNA(VLOOKUP(E18,'TANKS Vapor Fx'!$A$3:$G$294,7,FALSE),0))</f>
        <v/>
      </c>
      <c r="F102" s="238" t="str">
        <f>IF(ISBLANK(F18),"",_xlfn.IFNA(VLOOKUP(F18,'TANKS Vapor Fx'!$A$3:$G$294,7,FALSE),0))</f>
        <v/>
      </c>
      <c r="G102" s="238" t="str">
        <f>IF(ISBLANK(G18),"",_xlfn.IFNA(VLOOKUP(G18,'TANKS Vapor Fx'!$A$3:$G$294,7,FALSE),0))</f>
        <v/>
      </c>
      <c r="H102" s="238" t="str">
        <f>IF(ISBLANK(H18),"",_xlfn.IFNA(VLOOKUP(H18,'TANKS Vapor Fx'!$A$3:$G$294,7,FALSE),0))</f>
        <v/>
      </c>
      <c r="I102" s="238" t="str">
        <f>IF(ISBLANK(I18),"",_xlfn.IFNA(VLOOKUP(I18,'TANKS Vapor Fx'!$A$3:$G$294,7,FALSE),0))</f>
        <v/>
      </c>
      <c r="J102" s="238" t="str">
        <f>IF(ISBLANK(J18),"",_xlfn.IFNA(VLOOKUP(J18,'TANKS Vapor Fx'!$A$3:$G$294,7,FALSE),0))</f>
        <v/>
      </c>
      <c r="K102" s="238" t="str">
        <f>IF(ISBLANK(K18),"",_xlfn.IFNA(VLOOKUP(K18,'TANKS Vapor Fx'!$A$3:$G$294,7,FALSE),0))</f>
        <v/>
      </c>
      <c r="L102" s="238" t="str">
        <f>IF(ISBLANK(L18),"",_xlfn.IFNA(VLOOKUP(L18,'TANKS Vapor Fx'!$A$3:$G$294,7,FALSE),0))</f>
        <v/>
      </c>
      <c r="M102" s="238" t="str">
        <f>IF(ISBLANK(M18),"",_xlfn.IFNA(VLOOKUP(M18,'TANKS Vapor Fx'!$A$3:$G$294,7,FALSE),0))</f>
        <v/>
      </c>
      <c r="N102" s="238" t="str">
        <f>IF(ISBLANK(N18),"",_xlfn.IFNA(VLOOKUP(N18,'TANKS Vapor Fx'!$A$3:$G$294,7,FALSE),0))</f>
        <v/>
      </c>
      <c r="O102" s="238" t="str">
        <f>IF(ISBLANK(O18),"",_xlfn.IFNA(VLOOKUP(O18,'TANKS Vapor Fx'!$A$3:$G$294,7,FALSE),0))</f>
        <v/>
      </c>
      <c r="P102" s="238" t="str">
        <f>IF(ISBLANK(P18),"",_xlfn.IFNA(VLOOKUP(P18,'TANKS Vapor Fx'!$A$3:$G$294,7,FALSE),0))</f>
        <v/>
      </c>
      <c r="Q102" s="283"/>
    </row>
    <row r="103" spans="1:17" ht="20.100000000000001" customHeight="1" thickBot="1" x14ac:dyDescent="0.25">
      <c r="A103" s="235" t="s">
        <v>9771</v>
      </c>
      <c r="B103" s="394"/>
      <c r="C103" s="385"/>
      <c r="D103" s="385"/>
      <c r="E103" s="385"/>
      <c r="F103" s="385"/>
      <c r="G103" s="385"/>
      <c r="H103" s="385"/>
      <c r="I103" s="385"/>
      <c r="J103" s="385"/>
      <c r="K103" s="395"/>
      <c r="L103" s="385"/>
      <c r="M103" s="385"/>
      <c r="N103" s="395"/>
      <c r="O103" s="385"/>
      <c r="P103" s="385"/>
      <c r="Q103" s="244"/>
    </row>
    <row r="104" spans="1:17" ht="30" customHeight="1" x14ac:dyDescent="0.2">
      <c r="A104" s="266" t="s">
        <v>9772</v>
      </c>
      <c r="B104" s="238" t="str">
        <f>IF(ISBLANK(B20),"",IF('TANKS Calculations'!H71=0,IF(VLOOKUP(B97,'TANKS Vapor Fx'!$A$3:$K$294,11,FALSE)=0,IF(ISNUMBER(SEARCH("RVP",B97)),RIGHT(B97,LEN(B97)-(SEARCH("RVP",B97)+3)),0),_xlfn.IFNA(VLOOKUP(B97,'TANKS Vapor Fx'!$A$3:$K$294,11,FALSE),0)),0))</f>
        <v/>
      </c>
      <c r="C104" s="238" t="str">
        <f>IF(ISBLANK(C20),"",IF('TANKS Calculations'!I71=0,IF(VLOOKUP(C97,'TANKS Vapor Fx'!$A$3:$K$294,11,FALSE)=0,IF(ISNUMBER(SEARCH("RVP",C97)),RIGHT(C97,LEN(C97)-(SEARCH("RVP",C97)+3)),0),_xlfn.IFNA(VLOOKUP(C97,'TANKS Vapor Fx'!$A$3:$K$294,11,FALSE),0)),0))</f>
        <v/>
      </c>
      <c r="D104" s="238" t="str">
        <f>IF(ISBLANK(D20),"",IF('TANKS Calculations'!J71=0,IF(VLOOKUP(D97,'TANKS Vapor Fx'!$A$3:$K$294,11,FALSE)=0,IF(ISNUMBER(SEARCH("RVP",D97)),RIGHT(D97,LEN(D97)-(SEARCH("RVP",D97)+3)),0),_xlfn.IFNA(VLOOKUP(D97,'TANKS Vapor Fx'!$A$3:$K$294,11,FALSE),0)),0))</f>
        <v/>
      </c>
      <c r="E104" s="238" t="str">
        <f>IF(ISBLANK(E20),"",IF('TANKS Calculations'!K71=0,IF(VLOOKUP(E97,'TANKS Vapor Fx'!$A$3:$K$294,11,FALSE)=0,IF(ISNUMBER(SEARCH("RVP",E97)),RIGHT(E97,LEN(E97)-(SEARCH("RVP",E97)+3)),0),_xlfn.IFNA(VLOOKUP(E97,'TANKS Vapor Fx'!$A$3:$K$294,11,FALSE),0)),0))</f>
        <v/>
      </c>
      <c r="F104" s="238" t="str">
        <f>IF(ISBLANK(F20),"",IF('TANKS Calculations'!L71=0,IF(VLOOKUP(F97,'TANKS Vapor Fx'!$A$3:$K$294,11,FALSE)=0,IF(ISNUMBER(SEARCH("RVP",F97)),RIGHT(F97,LEN(F97)-(SEARCH("RVP",F97)+3)),0),_xlfn.IFNA(VLOOKUP(F97,'TANKS Vapor Fx'!$A$3:$K$294,11,FALSE),0)),0))</f>
        <v/>
      </c>
      <c r="G104" s="238" t="str">
        <f>IF(ISBLANK(G20),"",IF('TANKS Calculations'!M71=0,IF(VLOOKUP(G97,'TANKS Vapor Fx'!$A$3:$K$294,11,FALSE)=0,IF(ISNUMBER(SEARCH("RVP",G97)),RIGHT(G97,LEN(G97)-(SEARCH("RVP",G97)+3)),0),_xlfn.IFNA(VLOOKUP(G97,'TANKS Vapor Fx'!$A$3:$K$294,11,FALSE),0)),0))</f>
        <v/>
      </c>
      <c r="H104" s="238" t="str">
        <f>IF(ISBLANK(H20),"",IF('TANKS Calculations'!N71=0,IF(VLOOKUP(H97,'TANKS Vapor Fx'!$A$3:$K$294,11,FALSE)=0,IF(ISNUMBER(SEARCH("RVP",H97)),RIGHT(H97,LEN(H97)-(SEARCH("RVP",H97)+3)),0),_xlfn.IFNA(VLOOKUP(H97,'TANKS Vapor Fx'!$A$3:$K$294,11,FALSE),0)),0))</f>
        <v/>
      </c>
      <c r="I104" s="238" t="str">
        <f>IF(ISBLANK(I20),"",IF('TANKS Calculations'!O71=0,IF(VLOOKUP(I97,'TANKS Vapor Fx'!$A$3:$K$294,11,FALSE)=0,IF(ISNUMBER(SEARCH("RVP",I97)),RIGHT(I97,LEN(I97)-(SEARCH("RVP",I97)+3)),0),_xlfn.IFNA(VLOOKUP(I97,'TANKS Vapor Fx'!$A$3:$K$294,11,FALSE),0)),0))</f>
        <v/>
      </c>
      <c r="J104" s="238" t="str">
        <f>IF(ISBLANK(J20),"",IF('TANKS Calculations'!P71=0,IF(VLOOKUP(J97,'TANKS Vapor Fx'!$A$3:$K$294,11,FALSE)=0,IF(ISNUMBER(SEARCH("RVP",J97)),RIGHT(J97,LEN(J97)-(SEARCH("RVP",J97)+3)),0),_xlfn.IFNA(VLOOKUP(J97,'TANKS Vapor Fx'!$A$3:$K$294,11,FALSE),0)),0))</f>
        <v/>
      </c>
      <c r="K104" s="238" t="str">
        <f>IF(ISBLANK(K20),"",IF('TANKS Calculations'!Q71=0,IF(VLOOKUP(K97,'TANKS Vapor Fx'!$A$3:$K$294,11,FALSE)=0,IF(ISNUMBER(SEARCH("RVP",K97)),RIGHT(K97,LEN(K97)-(SEARCH("RVP",K97)+3)),0),_xlfn.IFNA(VLOOKUP(K97,'TANKS Vapor Fx'!$A$3:$K$294,11,FALSE),0)),0))</f>
        <v/>
      </c>
      <c r="L104" s="238" t="str">
        <f>IF(ISBLANK(L20),"",IF('TANKS Calculations'!R71=0,IF(VLOOKUP(L97,'TANKS Vapor Fx'!$A$3:$K$294,11,FALSE)=0,IF(ISNUMBER(SEARCH("RVP",L97)),RIGHT(L97,LEN(L97)-(SEARCH("RVP",L97)+3)),0),_xlfn.IFNA(VLOOKUP(L97,'TANKS Vapor Fx'!$A$3:$K$294,11,FALSE),0)),0))</f>
        <v/>
      </c>
      <c r="M104" s="238" t="str">
        <f>IF(ISBLANK(M20),"",IF('TANKS Calculations'!S71=0,IF(VLOOKUP(M97,'TANKS Vapor Fx'!$A$3:$K$294,11,FALSE)=0,IF(ISNUMBER(SEARCH("RVP",M97)),RIGHT(M97,LEN(M97)-(SEARCH("RVP",M97)+3)),0),_xlfn.IFNA(VLOOKUP(M97,'TANKS Vapor Fx'!$A$3:$K$294,11,FALSE),0)),0))</f>
        <v/>
      </c>
      <c r="N104" s="238" t="str">
        <f>IF(ISBLANK(N20),"",IF('TANKS Calculations'!T71=0,IF(VLOOKUP(N97,'TANKS Vapor Fx'!$A$3:$K$294,11,FALSE)=0,IF(ISNUMBER(SEARCH("RVP",N97)),RIGHT(N97,LEN(N97)-(SEARCH("RVP",N97)+3)),0),_xlfn.IFNA(VLOOKUP(N97,'TANKS Vapor Fx'!$A$3:$K$294,11,FALSE),0)),0))</f>
        <v/>
      </c>
      <c r="O104" s="238" t="str">
        <f>IF(ISBLANK(O20),"",IF('TANKS Calculations'!U71=0,IF(VLOOKUP(O97,'TANKS Vapor Fx'!$A$3:$K$294,11,FALSE)=0,IF(ISNUMBER(SEARCH("RVP",O97)),RIGHT(O97,LEN(O97)-(SEARCH("RVP",O97)+3)),0),_xlfn.IFNA(VLOOKUP(O97,'TANKS Vapor Fx'!$A$3:$K$294,11,FALSE),0)),0))</f>
        <v/>
      </c>
      <c r="P104" s="238" t="str">
        <f>IF(ISBLANK(P20),"",IF('TANKS Calculations'!V71=0,IF(VLOOKUP(P97,'TANKS Vapor Fx'!$A$3:$K$294,11,FALSE)=0,IF(ISNUMBER(SEARCH("RVP",P97)),RIGHT(P97,LEN(P97)-(SEARCH("RVP",P97)+3)),0),_xlfn.IFNA(VLOOKUP(P97,'TANKS Vapor Fx'!$A$3:$K$294,11,FALSE),0)),0))</f>
        <v/>
      </c>
      <c r="Q104" s="283"/>
    </row>
    <row r="105" spans="1:17" ht="30" customHeight="1" thickBot="1" x14ac:dyDescent="0.25">
      <c r="A105" s="262" t="s">
        <v>9773</v>
      </c>
      <c r="B105" s="394"/>
      <c r="C105" s="385"/>
      <c r="D105" s="385"/>
      <c r="E105" s="385"/>
      <c r="F105" s="385"/>
      <c r="G105" s="385"/>
      <c r="H105" s="385"/>
      <c r="I105" s="385"/>
      <c r="J105" s="385"/>
      <c r="K105" s="395"/>
      <c r="L105" s="385"/>
      <c r="M105" s="385"/>
      <c r="N105" s="395"/>
      <c r="O105" s="385"/>
      <c r="P105" s="385"/>
      <c r="Q105" s="244"/>
    </row>
    <row r="106" spans="1:17" ht="30" customHeight="1" x14ac:dyDescent="0.2">
      <c r="A106" s="266" t="s">
        <v>9774</v>
      </c>
      <c r="B106" s="238" t="str">
        <f>IF(ISBLANK(B18),"",IF(B97="",0,IF('TANKS Calculations'!H71=0,'TANKS Calculations'!H73,10^('TANKS Calculations'!H69-('TANKS Calculations'!H70/('TANKS Calculations'!H71+'TANKS Calculations'!$D$43)))/51.715)))</f>
        <v/>
      </c>
      <c r="C106" s="238" t="str">
        <f>IF(ISBLANK(C18),"",IF(C97="",0,IF('TANKS Calculations'!I71=0,'TANKS Calculations'!I73,10^('TANKS Calculations'!I69-('TANKS Calculations'!I70/('TANKS Calculations'!I71+'TANKS Calculations'!$D$43)))/51.715)))</f>
        <v/>
      </c>
      <c r="D106" s="238" t="str">
        <f>IF(ISBLANK(D18),"",IF(D97="",0,IF('TANKS Calculations'!J71=0,'TANKS Calculations'!J73,10^('TANKS Calculations'!J69-('TANKS Calculations'!J70/('TANKS Calculations'!J71+'TANKS Calculations'!$D$43)))/51.715)))</f>
        <v/>
      </c>
      <c r="E106" s="238" t="str">
        <f>IF(ISBLANK(E18),"",IF(E97="",0,IF('TANKS Calculations'!K71=0,'TANKS Calculations'!K73,10^('TANKS Calculations'!K69-('TANKS Calculations'!K70/('TANKS Calculations'!K71+'TANKS Calculations'!$D$43)))/51.715)))</f>
        <v/>
      </c>
      <c r="F106" s="238" t="str">
        <f>IF(ISBLANK(F18),"",IF(F97="",0,IF('TANKS Calculations'!L71=0,'TANKS Calculations'!L73,10^('TANKS Calculations'!L69-('TANKS Calculations'!L70/('TANKS Calculations'!L71+'TANKS Calculations'!$D$43)))/51.715)))</f>
        <v/>
      </c>
      <c r="G106" s="238" t="str">
        <f>IF(ISBLANK(G18),"",IF(G97="",0,IF('TANKS Calculations'!M71=0,'TANKS Calculations'!M73,10^('TANKS Calculations'!M69-('TANKS Calculations'!M70/('TANKS Calculations'!M71+'TANKS Calculations'!$D$43)))/51.715)))</f>
        <v/>
      </c>
      <c r="H106" s="238" t="str">
        <f>IF(ISBLANK(H18),"",IF(H97="",0,IF('TANKS Calculations'!N71=0,'TANKS Calculations'!N73,10^('TANKS Calculations'!N69-('TANKS Calculations'!N70/('TANKS Calculations'!N71+'TANKS Calculations'!$D$43)))/51.715)))</f>
        <v/>
      </c>
      <c r="I106" s="238" t="str">
        <f>IF(ISBLANK(I18),"",IF(I97="",0,IF('TANKS Calculations'!O71=0,'TANKS Calculations'!O73,10^('TANKS Calculations'!O69-('TANKS Calculations'!O70/('TANKS Calculations'!O71+'TANKS Calculations'!$D$43)))/51.715)))</f>
        <v/>
      </c>
      <c r="J106" s="238" t="str">
        <f>IF(ISBLANK(J18),"",IF(J97="",0,IF('TANKS Calculations'!P71=0,'TANKS Calculations'!P73,10^('TANKS Calculations'!P69-('TANKS Calculations'!P70/('TANKS Calculations'!P71+'TANKS Calculations'!$D$43)))/51.715)))</f>
        <v/>
      </c>
      <c r="K106" s="238" t="str">
        <f>IF(ISBLANK(K18),"",IF(K97="",0,IF('TANKS Calculations'!Q71=0,'TANKS Calculations'!Q73,10^('TANKS Calculations'!Q69-('TANKS Calculations'!Q70/('TANKS Calculations'!Q71+'TANKS Calculations'!$D$43)))/51.715)))</f>
        <v/>
      </c>
      <c r="L106" s="238" t="str">
        <f>IF(ISBLANK(L18),"",IF(L97="",0,IF('TANKS Calculations'!R71=0,'TANKS Calculations'!R73,10^('TANKS Calculations'!R69-('TANKS Calculations'!R70/('TANKS Calculations'!R71+'TANKS Calculations'!$D$43)))/51.715)))</f>
        <v/>
      </c>
      <c r="M106" s="238" t="str">
        <f>IF(ISBLANK(M18),"",IF(M97="",0,IF('TANKS Calculations'!S71=0,'TANKS Calculations'!S73,10^('TANKS Calculations'!S69-('TANKS Calculations'!S70/('TANKS Calculations'!S71+'TANKS Calculations'!$D$43)))/51.715)))</f>
        <v/>
      </c>
      <c r="N106" s="238" t="str">
        <f>IF(ISBLANK(N18),"",IF(N97="",0,IF('TANKS Calculations'!T71=0,'TANKS Calculations'!T73,10^('TANKS Calculations'!T69-('TANKS Calculations'!T70/('TANKS Calculations'!T71+'TANKS Calculations'!$D$43)))/51.715)))</f>
        <v/>
      </c>
      <c r="O106" s="238" t="str">
        <f>IF(ISBLANK(O18),"",IF(O97="",0,IF('TANKS Calculations'!U71=0,'TANKS Calculations'!U73,10^('TANKS Calculations'!U69-('TANKS Calculations'!U70/('TANKS Calculations'!U71+'TANKS Calculations'!$D$43)))/51.715)))</f>
        <v/>
      </c>
      <c r="P106" s="238" t="str">
        <f>IF(ISBLANK(P18),"",IF(P97="",0,IF('TANKS Calculations'!V71=0,'TANKS Calculations'!V73,10^('TANKS Calculations'!V69-('TANKS Calculations'!V70/('TANKS Calculations'!V71+'TANKS Calculations'!$D$43)))/51.715)))</f>
        <v/>
      </c>
      <c r="Q106" s="283"/>
    </row>
    <row r="107" spans="1:17" ht="30" customHeight="1" thickBot="1" x14ac:dyDescent="0.25">
      <c r="A107" s="256" t="s">
        <v>9775</v>
      </c>
      <c r="B107" s="396"/>
      <c r="C107" s="397"/>
      <c r="D107" s="397"/>
      <c r="E107" s="397"/>
      <c r="F107" s="397"/>
      <c r="G107" s="397"/>
      <c r="H107" s="397"/>
      <c r="I107" s="397"/>
      <c r="J107" s="397"/>
      <c r="K107" s="398"/>
      <c r="L107" s="397"/>
      <c r="M107" s="397"/>
      <c r="N107" s="398"/>
      <c r="O107" s="397"/>
      <c r="P107" s="397"/>
      <c r="Q107" s="241"/>
    </row>
    <row r="108" spans="1:17" ht="30" customHeight="1" x14ac:dyDescent="0.2">
      <c r="A108" s="266" t="s">
        <v>9776</v>
      </c>
      <c r="B108" s="238" t="str">
        <f>IF(ISBLANK(B18),"",IF(B97="",0,10^('TANKS Calculations'!H69-('TANKS Calculations'!H70/('TANKS Calculations'!H71+'TANKS Calculations'!$D$37)))/51.715))</f>
        <v/>
      </c>
      <c r="C108" s="238" t="str">
        <f>IF(ISBLANK(C18),"",IF(C97="",0,10^('TANKS Calculations'!I69-('TANKS Calculations'!I70/('TANKS Calculations'!I71+'TANKS Calculations'!$D$37)))/51.715))</f>
        <v/>
      </c>
      <c r="D108" s="238" t="str">
        <f>IF(ISBLANK(D18),"",IF(D97="",0,10^('TANKS Calculations'!J69-('TANKS Calculations'!J70/('TANKS Calculations'!J71+'TANKS Calculations'!$D$37)))/51.715))</f>
        <v/>
      </c>
      <c r="E108" s="238" t="str">
        <f>IF(ISBLANK(E18),"",IF(E97="",0,10^('TANKS Calculations'!K69-('TANKS Calculations'!K70/('TANKS Calculations'!K71+'TANKS Calculations'!$D$37)))/51.715))</f>
        <v/>
      </c>
      <c r="F108" s="238" t="str">
        <f>IF(ISBLANK(F18),"",IF(F97="",0,10^('TANKS Calculations'!L69-('TANKS Calculations'!L70/('TANKS Calculations'!L71+'TANKS Calculations'!$D$37)))/51.715))</f>
        <v/>
      </c>
      <c r="G108" s="238" t="str">
        <f>IF(ISBLANK(G18),"",IF(G97="",0,10^('TANKS Calculations'!M69-('TANKS Calculations'!M70/('TANKS Calculations'!M71+'TANKS Calculations'!$D$37)))/51.715))</f>
        <v/>
      </c>
      <c r="H108" s="238" t="str">
        <f>IF(ISBLANK(H18),"",IF(H97="",0,10^('TANKS Calculations'!N69-('TANKS Calculations'!N70/('TANKS Calculations'!N71+'TANKS Calculations'!$D$37)))/51.715))</f>
        <v/>
      </c>
      <c r="I108" s="238" t="str">
        <f>IF(ISBLANK(I18),"",IF(I97="",0,10^('TANKS Calculations'!O69-('TANKS Calculations'!O70/('TANKS Calculations'!O71+'TANKS Calculations'!$D$37)))/51.715))</f>
        <v/>
      </c>
      <c r="J108" s="238" t="str">
        <f>IF(ISBLANK(J18),"",IF(J97="",0,10^('TANKS Calculations'!P69-('TANKS Calculations'!P70/('TANKS Calculations'!P71+'TANKS Calculations'!$D$37)))/51.715))</f>
        <v/>
      </c>
      <c r="K108" s="238" t="str">
        <f>IF(ISBLANK(K18),"",IF(K97="",0,10^('TANKS Calculations'!Q69-('TANKS Calculations'!Q70/('TANKS Calculations'!Q71+'TANKS Calculations'!$D$37)))/51.715))</f>
        <v/>
      </c>
      <c r="L108" s="238" t="str">
        <f>IF(ISBLANK(L18),"",IF(L97="",0,10^('TANKS Calculations'!R69-('TANKS Calculations'!R70/('TANKS Calculations'!R71+'TANKS Calculations'!$D$37)))/51.715))</f>
        <v/>
      </c>
      <c r="M108" s="238" t="str">
        <f>IF(ISBLANK(M18),"",IF(M97="",0,10^('TANKS Calculations'!S69-('TANKS Calculations'!S70/('TANKS Calculations'!S71+'TANKS Calculations'!$D$37)))/51.715))</f>
        <v/>
      </c>
      <c r="N108" s="238" t="str">
        <f>IF(ISBLANK(N18),"",IF(N97="",0,10^('TANKS Calculations'!T69-('TANKS Calculations'!T70/('TANKS Calculations'!T71+'TANKS Calculations'!$D$37)))/51.715))</f>
        <v/>
      </c>
      <c r="O108" s="238" t="str">
        <f>IF(ISBLANK(O18),"",IF(O97="",0,10^('TANKS Calculations'!U69-('TANKS Calculations'!U70/('TANKS Calculations'!U71+'TANKS Calculations'!$D$37)))/51.715))</f>
        <v/>
      </c>
      <c r="P108" s="238" t="str">
        <f>IF(ISBLANK(P18),"",IF(P97="",0,10^('TANKS Calculations'!V69-('TANKS Calculations'!V70/('TANKS Calculations'!V71+'TANKS Calculations'!$D$37)))/51.715))</f>
        <v/>
      </c>
      <c r="Q108" s="283"/>
    </row>
    <row r="109" spans="1:17" ht="30" customHeight="1" thickBot="1" x14ac:dyDescent="0.25">
      <c r="A109" s="262" t="s">
        <v>9777</v>
      </c>
      <c r="B109" s="394"/>
      <c r="C109" s="385"/>
      <c r="D109" s="385"/>
      <c r="E109" s="385"/>
      <c r="F109" s="385"/>
      <c r="G109" s="385"/>
      <c r="H109" s="385"/>
      <c r="I109" s="385"/>
      <c r="J109" s="385"/>
      <c r="K109" s="395"/>
      <c r="L109" s="385"/>
      <c r="M109" s="385"/>
      <c r="N109" s="395"/>
      <c r="O109" s="385"/>
      <c r="P109" s="385"/>
      <c r="Q109" s="244"/>
    </row>
    <row r="110" spans="1:17" ht="30" customHeight="1" x14ac:dyDescent="0.2">
      <c r="A110" s="266" t="s">
        <v>9778</v>
      </c>
      <c r="B110" s="238" t="str">
        <f>IF(ISBLANK(B18),"",IF(B97="",0,10^('TANKS Calculations'!H69-('TANKS Calculations'!H70/('TANKS Calculations'!H71+'TANKS Calculations'!$D$40)))/51.715))</f>
        <v/>
      </c>
      <c r="C110" s="238" t="str">
        <f>IF(ISBLANK(C18),"",IF(C97="",0,10^('TANKS Calculations'!I69-('TANKS Calculations'!I70/('TANKS Calculations'!I71+'TANKS Calculations'!$D$40)))/51.715))</f>
        <v/>
      </c>
      <c r="D110" s="238" t="str">
        <f>IF(ISBLANK(D18),"",IF(D97="",0,10^('TANKS Calculations'!J69-('TANKS Calculations'!J70/('TANKS Calculations'!J71+'TANKS Calculations'!$D$40)))/51.715))</f>
        <v/>
      </c>
      <c r="E110" s="238" t="str">
        <f>IF(ISBLANK(E18),"",IF(E97="",0,10^('TANKS Calculations'!K69-('TANKS Calculations'!K70/('TANKS Calculations'!K71+'TANKS Calculations'!$D$40)))/51.715))</f>
        <v/>
      </c>
      <c r="F110" s="238" t="str">
        <f>IF(ISBLANK(F18),"",IF(F97="",0,10^('TANKS Calculations'!L69-('TANKS Calculations'!L70/('TANKS Calculations'!L71+'TANKS Calculations'!$D$40)))/51.715))</f>
        <v/>
      </c>
      <c r="G110" s="238" t="str">
        <f>IF(ISBLANK(G18),"",IF(G97="",0,10^('TANKS Calculations'!M69-('TANKS Calculations'!M70/('TANKS Calculations'!M71+'TANKS Calculations'!$D$40)))/51.715))</f>
        <v/>
      </c>
      <c r="H110" s="238" t="str">
        <f>IF(ISBLANK(H18),"",IF(H97="",0,10^('TANKS Calculations'!N69-('TANKS Calculations'!N70/('TANKS Calculations'!N71+'TANKS Calculations'!$D$40)))/51.715))</f>
        <v/>
      </c>
      <c r="I110" s="238" t="str">
        <f>IF(ISBLANK(I18),"",IF(I97="",0,10^('TANKS Calculations'!O69-('TANKS Calculations'!O70/('TANKS Calculations'!O71+'TANKS Calculations'!$D$40)))/51.715))</f>
        <v/>
      </c>
      <c r="J110" s="238" t="str">
        <f>IF(ISBLANK(J18),"",IF(J97="",0,10^('TANKS Calculations'!P69-('TANKS Calculations'!P70/('TANKS Calculations'!P71+'TANKS Calculations'!$D$40)))/51.715))</f>
        <v/>
      </c>
      <c r="K110" s="238" t="str">
        <f>IF(ISBLANK(K18),"",IF(K97="",0,10^('TANKS Calculations'!Q69-('TANKS Calculations'!Q70/('TANKS Calculations'!Q71+'TANKS Calculations'!$D$40)))/51.715))</f>
        <v/>
      </c>
      <c r="L110" s="238" t="str">
        <f>IF(ISBLANK(L18),"",IF(L97="",0,10^('TANKS Calculations'!R69-('TANKS Calculations'!R70/('TANKS Calculations'!R71+'TANKS Calculations'!$D$40)))/51.715))</f>
        <v/>
      </c>
      <c r="M110" s="238" t="str">
        <f>IF(ISBLANK(M18),"",IF(M97="",0,10^('TANKS Calculations'!S69-('TANKS Calculations'!S70/('TANKS Calculations'!S71+'TANKS Calculations'!$D$40)))/51.715))</f>
        <v/>
      </c>
      <c r="N110" s="238" t="str">
        <f>IF(ISBLANK(N18),"",IF(N97="",0,10^('TANKS Calculations'!T69-('TANKS Calculations'!T70/('TANKS Calculations'!T71+'TANKS Calculations'!$D$40)))/51.715))</f>
        <v/>
      </c>
      <c r="O110" s="238" t="str">
        <f>IF(ISBLANK(O18),"",IF(O97="",0,10^('TANKS Calculations'!U69-('TANKS Calculations'!U70/('TANKS Calculations'!U71+'TANKS Calculations'!$D$40)))/51.715))</f>
        <v/>
      </c>
      <c r="P110" s="238" t="str">
        <f>IF(ISBLANK(P18),"",IF(P97="",0,10^('TANKS Calculations'!V69-('TANKS Calculations'!V70/('TANKS Calculations'!V71+'TANKS Calculations'!$D$40)))/51.715))</f>
        <v/>
      </c>
      <c r="Q110" s="283"/>
    </row>
    <row r="111" spans="1:17" ht="30" customHeight="1" thickBot="1" x14ac:dyDescent="0.25">
      <c r="A111" s="262" t="s">
        <v>9779</v>
      </c>
      <c r="B111" s="394"/>
      <c r="C111" s="385"/>
      <c r="D111" s="385"/>
      <c r="E111" s="385"/>
      <c r="F111" s="385"/>
      <c r="G111" s="385"/>
      <c r="H111" s="385"/>
      <c r="I111" s="385"/>
      <c r="J111" s="385"/>
      <c r="K111" s="395"/>
      <c r="L111" s="385"/>
      <c r="M111" s="385"/>
      <c r="N111" s="395"/>
      <c r="O111" s="385"/>
      <c r="P111" s="385"/>
      <c r="Q111" s="244"/>
    </row>
    <row r="112" spans="1:17" ht="20.100000000000001" customHeight="1" x14ac:dyDescent="0.2">
      <c r="A112" s="284" t="s">
        <v>9546</v>
      </c>
      <c r="B112" s="285" t="str">
        <f>IF(ISBLANK(B18),"",IFERROR('TANKS Calculations'!H65/'TANKS Calculations'!$W$65,0))</f>
        <v/>
      </c>
      <c r="C112" s="285" t="str">
        <f>IF(ISBLANK(C18),"",IFERROR('TANKS Calculations'!I65/'TANKS Calculations'!$W$65,0))</f>
        <v/>
      </c>
      <c r="D112" s="285" t="str">
        <f>IF(ISBLANK(D18),"",IFERROR('TANKS Calculations'!J65/'TANKS Calculations'!$W$65,0))</f>
        <v/>
      </c>
      <c r="E112" s="285" t="str">
        <f>IF(ISBLANK(E18),"",IFERROR('TANKS Calculations'!K65/'TANKS Calculations'!$W$65,0))</f>
        <v/>
      </c>
      <c r="F112" s="285" t="str">
        <f>IF(ISBLANK(F18),"",IFERROR('TANKS Calculations'!L65/'TANKS Calculations'!$W$65,0))</f>
        <v/>
      </c>
      <c r="G112" s="285" t="str">
        <f>IF(ISBLANK(G18),"",IFERROR('TANKS Calculations'!M65/'TANKS Calculations'!$W$65,0))</f>
        <v/>
      </c>
      <c r="H112" s="285" t="str">
        <f>IF(ISBLANK(H18),"",IFERROR('TANKS Calculations'!N65/'TANKS Calculations'!$W$65,0))</f>
        <v/>
      </c>
      <c r="I112" s="285" t="str">
        <f>IF(ISBLANK(I18),"",IFERROR('TANKS Calculations'!O65/'TANKS Calculations'!$W$65,0))</f>
        <v/>
      </c>
      <c r="J112" s="285" t="str">
        <f>IF(ISBLANK(J18),"",IFERROR('TANKS Calculations'!P65/'TANKS Calculations'!$W$65,0))</f>
        <v/>
      </c>
      <c r="K112" s="285" t="str">
        <f>IF(ISBLANK(K18),"",IFERROR('TANKS Calculations'!Q65/'TANKS Calculations'!$W$65,0))</f>
        <v/>
      </c>
      <c r="L112" s="285" t="str">
        <f>IF(ISBLANK(L18),"",IFERROR('TANKS Calculations'!R65/'TANKS Calculations'!$W$65,0))</f>
        <v/>
      </c>
      <c r="M112" s="285" t="str">
        <f>IF(ISBLANK(M18),"",IFERROR('TANKS Calculations'!S65/'TANKS Calculations'!$W$65,0))</f>
        <v/>
      </c>
      <c r="N112" s="285" t="str">
        <f>IF(ISBLANK(N18),"",IFERROR('TANKS Calculations'!T65/'TANKS Calculations'!$W$65,0))</f>
        <v/>
      </c>
      <c r="O112" s="285" t="str">
        <f>IF(ISBLANK(O18),"",IFERROR('TANKS Calculations'!U65/'TANKS Calculations'!$W$65,0))</f>
        <v/>
      </c>
      <c r="P112" s="285" t="str">
        <f>IF(ISBLANK(P18),"",IFERROR('TANKS Calculations'!V65/'TANKS Calculations'!$W$65,0))</f>
        <v/>
      </c>
      <c r="Q112" s="287">
        <f t="shared" ref="Q112:Q117" si="2">SUM(B112:P112)</f>
        <v>0</v>
      </c>
    </row>
    <row r="113" spans="1:17" ht="20.100000000000001" customHeight="1" x14ac:dyDescent="0.2">
      <c r="A113" s="233" t="s">
        <v>9548</v>
      </c>
      <c r="B113" s="252" t="str">
        <f>IF(ISBLANK(B18),"",'TANKS Calculations'!H66*B112)</f>
        <v/>
      </c>
      <c r="C113" s="252" t="str">
        <f>IF(ISBLANK(C18),"",'TANKS Calculations'!I66*C112)</f>
        <v/>
      </c>
      <c r="D113" s="252" t="str">
        <f>IF(ISBLANK(D18),"",'TANKS Calculations'!J66*D112)</f>
        <v/>
      </c>
      <c r="E113" s="252" t="str">
        <f>IF(ISBLANK(E18),"",'TANKS Calculations'!K66*E112)</f>
        <v/>
      </c>
      <c r="F113" s="252" t="str">
        <f>IF(ISBLANK(F18),"",'TANKS Calculations'!L66*F112)</f>
        <v/>
      </c>
      <c r="G113" s="252" t="str">
        <f>IF(ISBLANK(G18),"",'TANKS Calculations'!M66*G112)</f>
        <v/>
      </c>
      <c r="H113" s="252" t="str">
        <f>IF(ISBLANK(H18),"",'TANKS Calculations'!N66*H112)</f>
        <v/>
      </c>
      <c r="I113" s="252" t="str">
        <f>IF(ISBLANK(I18),"",'TANKS Calculations'!O66*I112)</f>
        <v/>
      </c>
      <c r="J113" s="252" t="str">
        <f>IF(ISBLANK(J18),"",'TANKS Calculations'!P66*J112)</f>
        <v/>
      </c>
      <c r="K113" s="252" t="str">
        <f>IF(ISBLANK(K18),"",'TANKS Calculations'!Q66*K112)</f>
        <v/>
      </c>
      <c r="L113" s="252" t="str">
        <f>IF(ISBLANK(L18),"",'TANKS Calculations'!R66*L112)</f>
        <v/>
      </c>
      <c r="M113" s="252" t="str">
        <f>IF(ISBLANK(M18),"",'TANKS Calculations'!S66*M112)</f>
        <v/>
      </c>
      <c r="N113" s="252" t="str">
        <f>IF(ISBLANK(N18),"",'TANKS Calculations'!T66*N112)</f>
        <v/>
      </c>
      <c r="O113" s="252" t="str">
        <f>IF(ISBLANK(O18),"",'TANKS Calculations'!U66*O112)</f>
        <v/>
      </c>
      <c r="P113" s="252" t="str">
        <f>IF(ISBLANK(P18),"",'TANKS Calculations'!V66*P112)</f>
        <v/>
      </c>
      <c r="Q113" s="288">
        <f t="shared" si="2"/>
        <v>0</v>
      </c>
    </row>
    <row r="114" spans="1:17" ht="20.100000000000001" customHeight="1" x14ac:dyDescent="0.2">
      <c r="A114" s="233" t="s">
        <v>9550</v>
      </c>
      <c r="B114" s="252" t="str">
        <f t="shared" ref="B114:P114" si="3">IF(ISBLANK(B18),"",IFERROR(B113/$Q$113,0))</f>
        <v/>
      </c>
      <c r="C114" s="252" t="str">
        <f t="shared" si="3"/>
        <v/>
      </c>
      <c r="D114" s="252" t="str">
        <f t="shared" si="3"/>
        <v/>
      </c>
      <c r="E114" s="252" t="str">
        <f t="shared" si="3"/>
        <v/>
      </c>
      <c r="F114" s="252" t="str">
        <f t="shared" si="3"/>
        <v/>
      </c>
      <c r="G114" s="252" t="str">
        <f t="shared" si="3"/>
        <v/>
      </c>
      <c r="H114" s="252" t="str">
        <f t="shared" si="3"/>
        <v/>
      </c>
      <c r="I114" s="252" t="str">
        <f t="shared" si="3"/>
        <v/>
      </c>
      <c r="J114" s="252" t="str">
        <f t="shared" si="3"/>
        <v/>
      </c>
      <c r="K114" s="252" t="str">
        <f t="shared" si="3"/>
        <v/>
      </c>
      <c r="L114" s="252" t="str">
        <f t="shared" si="3"/>
        <v/>
      </c>
      <c r="M114" s="252" t="str">
        <f t="shared" si="3"/>
        <v/>
      </c>
      <c r="N114" s="252" t="str">
        <f t="shared" si="3"/>
        <v/>
      </c>
      <c r="O114" s="252" t="str">
        <f t="shared" si="3"/>
        <v/>
      </c>
      <c r="P114" s="252" t="str">
        <f t="shared" si="3"/>
        <v/>
      </c>
      <c r="Q114" s="288">
        <f t="shared" si="2"/>
        <v>0</v>
      </c>
    </row>
    <row r="115" spans="1:17" ht="20.100000000000001" customHeight="1" x14ac:dyDescent="0.2">
      <c r="A115" s="233" t="s">
        <v>9780</v>
      </c>
      <c r="B115" s="252" t="str">
        <f t="shared" ref="B115:P115" si="4">IF(ISBLANK(B18),"",B114*IF(ISBLANK(B26),B25,B26))</f>
        <v/>
      </c>
      <c r="C115" s="252" t="str">
        <f t="shared" si="4"/>
        <v/>
      </c>
      <c r="D115" s="252" t="str">
        <f t="shared" si="4"/>
        <v/>
      </c>
      <c r="E115" s="252" t="str">
        <f t="shared" si="4"/>
        <v/>
      </c>
      <c r="F115" s="252" t="str">
        <f t="shared" si="4"/>
        <v/>
      </c>
      <c r="G115" s="252" t="str">
        <f t="shared" si="4"/>
        <v/>
      </c>
      <c r="H115" s="252" t="str">
        <f t="shared" si="4"/>
        <v/>
      </c>
      <c r="I115" s="252" t="str">
        <f t="shared" si="4"/>
        <v/>
      </c>
      <c r="J115" s="252" t="str">
        <f t="shared" si="4"/>
        <v/>
      </c>
      <c r="K115" s="252" t="str">
        <f t="shared" si="4"/>
        <v/>
      </c>
      <c r="L115" s="252" t="str">
        <f t="shared" si="4"/>
        <v/>
      </c>
      <c r="M115" s="252" t="str">
        <f t="shared" si="4"/>
        <v/>
      </c>
      <c r="N115" s="252" t="str">
        <f t="shared" si="4"/>
        <v/>
      </c>
      <c r="O115" s="252" t="str">
        <f t="shared" si="4"/>
        <v/>
      </c>
      <c r="P115" s="252" t="str">
        <f t="shared" si="4"/>
        <v/>
      </c>
      <c r="Q115" s="288">
        <f t="shared" si="2"/>
        <v>0</v>
      </c>
    </row>
    <row r="116" spans="1:17" ht="20.100000000000001" customHeight="1" x14ac:dyDescent="0.2">
      <c r="A116" s="233" t="s">
        <v>9558</v>
      </c>
      <c r="B116" s="252" t="str">
        <f t="shared" ref="B116:P116" si="5">IF(ISBLANK(B18),"",IF(ISBLANK(B109),B108,B109)*B112)</f>
        <v/>
      </c>
      <c r="C116" s="252" t="str">
        <f t="shared" si="5"/>
        <v/>
      </c>
      <c r="D116" s="252" t="str">
        <f t="shared" si="5"/>
        <v/>
      </c>
      <c r="E116" s="252" t="str">
        <f t="shared" si="5"/>
        <v/>
      </c>
      <c r="F116" s="252" t="str">
        <f t="shared" si="5"/>
        <v/>
      </c>
      <c r="G116" s="252" t="str">
        <f t="shared" si="5"/>
        <v/>
      </c>
      <c r="H116" s="252" t="str">
        <f t="shared" si="5"/>
        <v/>
      </c>
      <c r="I116" s="252" t="str">
        <f t="shared" si="5"/>
        <v/>
      </c>
      <c r="J116" s="252" t="str">
        <f t="shared" si="5"/>
        <v/>
      </c>
      <c r="K116" s="252" t="str">
        <f t="shared" si="5"/>
        <v/>
      </c>
      <c r="L116" s="252" t="str">
        <f t="shared" si="5"/>
        <v/>
      </c>
      <c r="M116" s="252" t="str">
        <f t="shared" si="5"/>
        <v/>
      </c>
      <c r="N116" s="252" t="str">
        <f t="shared" si="5"/>
        <v/>
      </c>
      <c r="O116" s="252" t="str">
        <f t="shared" si="5"/>
        <v/>
      </c>
      <c r="P116" s="252" t="str">
        <f t="shared" si="5"/>
        <v/>
      </c>
      <c r="Q116" s="288">
        <f t="shared" si="2"/>
        <v>0</v>
      </c>
    </row>
    <row r="117" spans="1:17" ht="20.100000000000001" customHeight="1" thickBot="1" x14ac:dyDescent="0.25">
      <c r="A117" s="235" t="s">
        <v>9560</v>
      </c>
      <c r="B117" s="289" t="str">
        <f t="shared" ref="B117:P117" si="6">IF(ISBLANK(B18),"",IF(ISBLANK(B111),B110,B111)*B112)</f>
        <v/>
      </c>
      <c r="C117" s="289" t="str">
        <f t="shared" si="6"/>
        <v/>
      </c>
      <c r="D117" s="289" t="str">
        <f t="shared" si="6"/>
        <v/>
      </c>
      <c r="E117" s="289" t="str">
        <f t="shared" si="6"/>
        <v/>
      </c>
      <c r="F117" s="289" t="str">
        <f t="shared" si="6"/>
        <v/>
      </c>
      <c r="G117" s="289" t="str">
        <f t="shared" si="6"/>
        <v/>
      </c>
      <c r="H117" s="289" t="str">
        <f t="shared" si="6"/>
        <v/>
      </c>
      <c r="I117" s="289" t="str">
        <f t="shared" si="6"/>
        <v/>
      </c>
      <c r="J117" s="289" t="str">
        <f t="shared" si="6"/>
        <v/>
      </c>
      <c r="K117" s="289" t="str">
        <f t="shared" si="6"/>
        <v/>
      </c>
      <c r="L117" s="289" t="str">
        <f t="shared" si="6"/>
        <v/>
      </c>
      <c r="M117" s="289" t="str">
        <f t="shared" si="6"/>
        <v/>
      </c>
      <c r="N117" s="289" t="str">
        <f t="shared" si="6"/>
        <v/>
      </c>
      <c r="O117" s="289" t="str">
        <f t="shared" si="6"/>
        <v/>
      </c>
      <c r="P117" s="289" t="str">
        <f t="shared" si="6"/>
        <v/>
      </c>
      <c r="Q117" s="236">
        <f t="shared" si="2"/>
        <v>0</v>
      </c>
    </row>
    <row r="118" spans="1:17" ht="30" customHeight="1" thickBot="1" x14ac:dyDescent="0.25">
      <c r="A118" s="1376" t="s">
        <v>8411</v>
      </c>
      <c r="B118" s="1376"/>
      <c r="C118" s="1376"/>
      <c r="D118" s="1376"/>
      <c r="E118" s="224"/>
    </row>
    <row r="119" spans="1:17" ht="60" customHeight="1" thickBot="1" x14ac:dyDescent="0.3">
      <c r="A119" s="1352" t="s">
        <v>9684</v>
      </c>
      <c r="B119" s="1353"/>
      <c r="C119" s="1353"/>
      <c r="D119" s="1354"/>
      <c r="E119" s="224"/>
      <c r="F119" s="224"/>
      <c r="G119" s="224"/>
      <c r="H119" s="224"/>
      <c r="I119" s="224"/>
      <c r="J119" s="224"/>
      <c r="K119" s="224"/>
      <c r="L119" s="224"/>
      <c r="M119" s="224"/>
      <c r="N119" s="224"/>
      <c r="O119" s="224"/>
      <c r="P119" s="224"/>
      <c r="Q119" s="224"/>
    </row>
    <row r="120" spans="1:17" ht="20.100000000000001" customHeight="1" thickBot="1" x14ac:dyDescent="0.3">
      <c r="A120" s="146" t="s">
        <v>9685</v>
      </c>
      <c r="B120" s="147" t="s">
        <v>9686</v>
      </c>
      <c r="C120" s="148" t="s">
        <v>9687</v>
      </c>
      <c r="D120" s="149" t="s">
        <v>9688</v>
      </c>
      <c r="E120" s="224"/>
      <c r="F120" s="224"/>
      <c r="G120" s="224"/>
      <c r="H120" s="224"/>
      <c r="I120" s="224"/>
      <c r="J120" s="224"/>
      <c r="K120" s="224"/>
      <c r="L120" s="224"/>
      <c r="M120" s="224"/>
      <c r="N120" s="224"/>
      <c r="O120" s="224"/>
      <c r="P120" s="224"/>
      <c r="Q120" s="224"/>
    </row>
    <row r="121" spans="1:17" ht="20.100000000000001" customHeight="1" x14ac:dyDescent="0.2">
      <c r="A121" s="266" t="s">
        <v>9781</v>
      </c>
      <c r="B121" s="238">
        <v>0.03</v>
      </c>
      <c r="C121" s="399"/>
      <c r="D121" s="268" t="s">
        <v>9782</v>
      </c>
      <c r="E121" s="224"/>
      <c r="F121" s="224"/>
      <c r="G121" s="224"/>
      <c r="H121" s="224"/>
      <c r="I121" s="224"/>
    </row>
    <row r="122" spans="1:17" ht="20.100000000000001" customHeight="1" x14ac:dyDescent="0.2">
      <c r="A122" s="228" t="s">
        <v>9783</v>
      </c>
      <c r="B122" s="252">
        <v>-0.03</v>
      </c>
      <c r="C122" s="379"/>
      <c r="D122" s="227" t="s">
        <v>9782</v>
      </c>
      <c r="E122" s="224"/>
      <c r="F122" s="224"/>
      <c r="G122" s="224"/>
      <c r="H122" s="224"/>
      <c r="I122" s="224"/>
    </row>
    <row r="123" spans="1:17" ht="20.100000000000001" customHeight="1" x14ac:dyDescent="0.2">
      <c r="A123" s="225" t="s">
        <v>9784</v>
      </c>
      <c r="B123" s="285">
        <f>IF(OR(C66="No",C31="Riveted"),0,'TANKS Calculations'!D44-'TANKS Calculations'!D45)</f>
        <v>0.06</v>
      </c>
      <c r="C123" s="392"/>
      <c r="D123" s="246" t="s">
        <v>9782</v>
      </c>
      <c r="E123" s="224"/>
      <c r="F123" s="224"/>
      <c r="G123" s="224"/>
      <c r="H123" s="224"/>
      <c r="I123" s="224"/>
    </row>
    <row r="124" spans="1:17" ht="20.100000000000001" customHeight="1" x14ac:dyDescent="0.2">
      <c r="A124" s="256" t="s">
        <v>9785</v>
      </c>
      <c r="B124" s="258">
        <f>IF(C69="Fully Insulated",0,Q116-Q117)</f>
        <v>0</v>
      </c>
      <c r="C124" s="383"/>
      <c r="D124" s="259" t="s">
        <v>8867</v>
      </c>
      <c r="E124" s="224"/>
      <c r="F124" s="224"/>
      <c r="G124" s="224"/>
      <c r="H124" s="224"/>
      <c r="I124" s="224"/>
    </row>
    <row r="125" spans="1:17" ht="20.100000000000001" customHeight="1" x14ac:dyDescent="0.2">
      <c r="A125" s="228" t="s">
        <v>9786</v>
      </c>
      <c r="B125" s="252">
        <f>Q113</f>
        <v>0</v>
      </c>
      <c r="C125" s="379"/>
      <c r="D125" s="227" t="s">
        <v>8867</v>
      </c>
      <c r="E125" s="224"/>
      <c r="F125" s="224"/>
      <c r="G125" s="224"/>
      <c r="H125" s="224"/>
      <c r="I125" s="224"/>
    </row>
    <row r="126" spans="1:17" ht="30" customHeight="1" x14ac:dyDescent="0.2">
      <c r="A126" s="228" t="s">
        <v>9787</v>
      </c>
      <c r="B126" s="254" t="s">
        <v>269</v>
      </c>
      <c r="C126" s="379"/>
      <c r="D126" s="227" t="s">
        <v>9689</v>
      </c>
      <c r="E126" s="224"/>
      <c r="F126" s="224"/>
      <c r="G126" s="224"/>
      <c r="H126" s="224"/>
      <c r="I126" s="224"/>
    </row>
    <row r="127" spans="1:17" ht="30" customHeight="1" thickBot="1" x14ac:dyDescent="0.25">
      <c r="A127" s="230" t="s">
        <v>9788</v>
      </c>
      <c r="B127" s="290">
        <v>0</v>
      </c>
      <c r="C127" s="401"/>
      <c r="D127" s="231" t="s">
        <v>9689</v>
      </c>
      <c r="E127" s="224"/>
      <c r="F127" s="224"/>
      <c r="G127" s="224"/>
      <c r="H127" s="224"/>
      <c r="I127" s="224"/>
    </row>
    <row r="128" spans="1:17" ht="30" customHeight="1" thickBot="1" x14ac:dyDescent="0.25">
      <c r="A128" s="1376" t="s">
        <v>8411</v>
      </c>
      <c r="B128" s="1376"/>
      <c r="C128" s="1376"/>
      <c r="D128" s="1376"/>
    </row>
    <row r="129" spans="1:17" ht="60" customHeight="1" thickBot="1" x14ac:dyDescent="0.3">
      <c r="A129" s="1352" t="s">
        <v>9789</v>
      </c>
      <c r="B129" s="1358"/>
      <c r="C129" s="1358"/>
      <c r="D129" s="1359"/>
      <c r="E129" s="224"/>
      <c r="F129" s="224"/>
      <c r="G129" s="224"/>
      <c r="H129" s="224"/>
      <c r="I129" s="224"/>
      <c r="J129" s="224"/>
      <c r="K129" s="224"/>
      <c r="L129" s="224"/>
      <c r="M129" s="224"/>
      <c r="N129" s="224"/>
      <c r="O129" s="224"/>
      <c r="P129" s="224"/>
      <c r="Q129" s="224"/>
    </row>
    <row r="130" spans="1:17" ht="20.100000000000001" customHeight="1" thickBot="1" x14ac:dyDescent="0.3">
      <c r="A130" s="152" t="s">
        <v>9685</v>
      </c>
      <c r="B130" s="153" t="s">
        <v>9686</v>
      </c>
      <c r="C130" s="154" t="s">
        <v>9687</v>
      </c>
      <c r="D130" s="155" t="s">
        <v>9688</v>
      </c>
      <c r="E130" s="224"/>
      <c r="F130" s="224"/>
      <c r="G130" s="224"/>
      <c r="H130" s="224"/>
      <c r="I130" s="224"/>
      <c r="J130" s="224"/>
      <c r="K130" s="224"/>
      <c r="L130" s="224"/>
      <c r="M130" s="224"/>
      <c r="N130" s="224"/>
      <c r="O130" s="224"/>
      <c r="P130" s="224"/>
      <c r="Q130" s="224"/>
    </row>
    <row r="131" spans="1:17" ht="20.100000000000001" customHeight="1" x14ac:dyDescent="0.35">
      <c r="A131" s="225" t="s">
        <v>9790</v>
      </c>
      <c r="B131" s="285">
        <f>'TANKS Calculations'!W61</f>
        <v>0</v>
      </c>
      <c r="C131" s="392"/>
      <c r="D131" s="246" t="s">
        <v>9791</v>
      </c>
      <c r="E131" s="224"/>
      <c r="F131" s="224"/>
      <c r="G131" s="224"/>
      <c r="H131" s="224"/>
      <c r="I131" s="224"/>
    </row>
    <row r="132" spans="1:17" ht="20.100000000000001" customHeight="1" x14ac:dyDescent="0.35">
      <c r="A132" s="228" t="s">
        <v>9792</v>
      </c>
      <c r="B132" s="252">
        <f>IFERROR(Q115*Q113/(10.731*'TANKS Calculations'!D49),0)</f>
        <v>0</v>
      </c>
      <c r="C132" s="379"/>
      <c r="D132" s="227" t="s">
        <v>9793</v>
      </c>
      <c r="E132" s="224"/>
      <c r="F132" s="224"/>
      <c r="G132" s="224"/>
      <c r="H132" s="224"/>
      <c r="I132" s="224"/>
    </row>
    <row r="133" spans="1:17" ht="20.100000000000001" customHeight="1" x14ac:dyDescent="0.35">
      <c r="A133" s="256" t="s">
        <v>9794</v>
      </c>
      <c r="B133" s="258">
        <f>Q115</f>
        <v>0</v>
      </c>
      <c r="C133" s="383"/>
      <c r="D133" s="259" t="s">
        <v>9795</v>
      </c>
      <c r="E133" s="224"/>
      <c r="F133" s="224"/>
      <c r="G133" s="224"/>
      <c r="H133" s="224"/>
      <c r="I133" s="224"/>
    </row>
    <row r="134" spans="1:17" ht="20.100000000000001" customHeight="1" x14ac:dyDescent="0.35">
      <c r="A134" s="228" t="s">
        <v>9796</v>
      </c>
      <c r="B134" s="252">
        <f>1/(1+(0.053*Q113*'TANKS Calculations'!D60))</f>
        <v>1</v>
      </c>
      <c r="C134" s="379"/>
      <c r="D134" s="227" t="s">
        <v>9689</v>
      </c>
      <c r="E134" s="224"/>
      <c r="F134" s="224"/>
      <c r="G134" s="224"/>
      <c r="H134" s="224"/>
      <c r="I134" s="224"/>
    </row>
    <row r="135" spans="1:17" ht="20.100000000000001" customHeight="1" x14ac:dyDescent="0.35">
      <c r="A135" s="247" t="s">
        <v>9797</v>
      </c>
      <c r="B135" s="276">
        <f>IF(AND('TANKS Calculations'!D44&lt;=0.03,'TANKS Calculations'!D45&gt;=-0.03,'TANKS Calculations'!D51&lt;0.1),IF(ISBLANK(B14),0.04,0.0018*'TANKS Calculations'!D50),IF(ISBLANK(B14),0.04,('TANKS Calculations'!D50/'TANKS Calculations'!D42)+(('TANKS Calculations'!D47-'TANKS Calculations'!D46)/('TANKS Calculations'!D3-'TANKS Calculations'!W75))))</f>
        <v>0.04</v>
      </c>
      <c r="C135" s="391"/>
      <c r="D135" s="249" t="s">
        <v>9798</v>
      </c>
      <c r="E135" s="224"/>
      <c r="F135" s="224"/>
      <c r="G135" s="224"/>
      <c r="H135" s="224"/>
      <c r="I135" s="224"/>
    </row>
    <row r="136" spans="1:17" ht="30" customHeight="1" x14ac:dyDescent="0.2">
      <c r="A136" s="256" t="s">
        <v>9799</v>
      </c>
      <c r="B136" s="258">
        <v>0</v>
      </c>
      <c r="C136" s="383"/>
      <c r="D136" s="259" t="s">
        <v>9782</v>
      </c>
      <c r="E136" s="224"/>
      <c r="F136" s="224"/>
      <c r="G136" s="224"/>
      <c r="H136" s="224"/>
      <c r="I136" s="224"/>
    </row>
    <row r="137" spans="1:17" ht="20.100000000000001" customHeight="1" thickBot="1" x14ac:dyDescent="0.25">
      <c r="A137" s="262" t="s">
        <v>9800</v>
      </c>
      <c r="B137" s="289">
        <f>IF(OR(IFERROR('TANKS Calculations'!D21*(('TANKS Calculations'!D44+'TANKS Calculations'!D3)/('TANKS Calculations'!D67+'TANKS Calculations'!D3)),0)&gt;1,'TANKS Calculations'!D44&gt;0.03,'TANKS Calculations'!D45&lt;-0.03),1,((('TANKS Calculations'!D67+'TANKS Calculations'!D3)/'TANKS Calculations'!D21)-'TANKS Calculations'!W76)/('TANKS Calculations'!D44+'TANKS Calculations'!D3-'TANKS Calculations'!W76))</f>
        <v>1</v>
      </c>
      <c r="C137" s="393"/>
      <c r="D137" s="264" t="s">
        <v>9689</v>
      </c>
      <c r="E137" s="224"/>
      <c r="F137" s="224"/>
      <c r="G137" s="224"/>
      <c r="H137" s="224"/>
      <c r="I137" s="224"/>
    </row>
    <row r="138" spans="1:17" ht="30" customHeight="1" thickBot="1" x14ac:dyDescent="0.25">
      <c r="A138" s="1376" t="s">
        <v>8411</v>
      </c>
      <c r="B138" s="1376"/>
      <c r="C138" s="1376"/>
      <c r="D138" s="1376"/>
      <c r="E138" s="224"/>
      <c r="F138" s="224"/>
      <c r="G138" s="224"/>
      <c r="H138" s="224"/>
      <c r="I138" s="224"/>
      <c r="J138" s="224"/>
      <c r="K138" s="224"/>
      <c r="L138" s="224"/>
      <c r="M138" s="224"/>
      <c r="N138" s="224"/>
      <c r="O138" s="224"/>
      <c r="P138" s="224"/>
      <c r="Q138" s="224"/>
    </row>
    <row r="139" spans="1:17" ht="60" customHeight="1" thickBot="1" x14ac:dyDescent="0.3">
      <c r="A139" s="1352" t="s">
        <v>9801</v>
      </c>
      <c r="B139" s="1358"/>
      <c r="C139" s="1358"/>
      <c r="D139" s="1359"/>
      <c r="E139" s="224"/>
      <c r="F139" s="224"/>
      <c r="G139" s="224"/>
      <c r="H139" s="224"/>
      <c r="I139" s="224"/>
      <c r="J139" s="224"/>
      <c r="K139" s="224"/>
      <c r="L139" s="224"/>
      <c r="M139" s="224"/>
      <c r="N139" s="224"/>
      <c r="O139" s="224"/>
      <c r="P139" s="224"/>
      <c r="Q139" s="224"/>
    </row>
    <row r="140" spans="1:17" ht="20.100000000000001" customHeight="1" thickBot="1" x14ac:dyDescent="0.3">
      <c r="A140" s="152" t="s">
        <v>9685</v>
      </c>
      <c r="B140" s="153" t="s">
        <v>9686</v>
      </c>
      <c r="C140" s="154" t="s">
        <v>9687</v>
      </c>
      <c r="D140" s="155" t="s">
        <v>9688</v>
      </c>
      <c r="E140" s="224"/>
      <c r="F140" s="224"/>
      <c r="G140" s="224"/>
      <c r="H140" s="224"/>
      <c r="I140" s="224"/>
      <c r="J140" s="224"/>
      <c r="K140" s="224"/>
      <c r="L140" s="224"/>
      <c r="M140" s="224"/>
      <c r="N140" s="224"/>
      <c r="O140" s="224"/>
      <c r="P140" s="224"/>
      <c r="Q140" s="224"/>
    </row>
    <row r="141" spans="1:17" ht="30" customHeight="1" x14ac:dyDescent="0.2">
      <c r="A141" s="256" t="s">
        <v>9802</v>
      </c>
      <c r="B141" s="291" t="s">
        <v>8708</v>
      </c>
      <c r="C141" s="402"/>
      <c r="D141" s="259" t="s">
        <v>9689</v>
      </c>
      <c r="E141" s="224"/>
      <c r="F141" s="224"/>
      <c r="G141" s="224"/>
      <c r="H141" s="224"/>
      <c r="I141" s="224"/>
      <c r="J141" s="224"/>
      <c r="K141" s="224"/>
      <c r="L141" s="224"/>
      <c r="M141" s="224"/>
      <c r="N141" s="224"/>
      <c r="O141" s="224"/>
      <c r="P141" s="224"/>
    </row>
    <row r="142" spans="1:17" ht="45" customHeight="1" x14ac:dyDescent="0.2">
      <c r="A142" s="256" t="s">
        <v>9803</v>
      </c>
      <c r="B142" s="291" t="s">
        <v>8708</v>
      </c>
      <c r="C142" s="402"/>
      <c r="D142" s="259" t="s">
        <v>9689</v>
      </c>
      <c r="E142" s="224"/>
      <c r="F142" s="224"/>
      <c r="G142" s="224"/>
      <c r="H142" s="224"/>
      <c r="I142" s="224"/>
      <c r="J142" s="224"/>
      <c r="K142" s="224"/>
      <c r="L142" s="224"/>
      <c r="M142" s="224"/>
      <c r="N142" s="224"/>
      <c r="O142" s="224"/>
      <c r="P142" s="224"/>
    </row>
    <row r="143" spans="1:17" ht="60" customHeight="1" x14ac:dyDescent="0.2">
      <c r="A143" s="423" t="s">
        <v>10004</v>
      </c>
      <c r="B143" s="291" t="s">
        <v>7</v>
      </c>
      <c r="C143" s="402"/>
      <c r="D143" s="259" t="s">
        <v>9689</v>
      </c>
      <c r="E143" s="224"/>
      <c r="F143" s="224"/>
      <c r="G143" s="224"/>
      <c r="H143" s="224"/>
      <c r="I143" s="224"/>
      <c r="J143" s="224"/>
      <c r="K143" s="224"/>
      <c r="L143" s="224"/>
      <c r="M143" s="224"/>
      <c r="N143" s="224"/>
      <c r="O143" s="224"/>
      <c r="P143" s="224"/>
    </row>
    <row r="144" spans="1:17" ht="20.100000000000001" customHeight="1" x14ac:dyDescent="0.2">
      <c r="A144" s="350" t="s">
        <v>9999</v>
      </c>
      <c r="B144" s="291">
        <f>_xlfn.IFNA(VLOOKUP($C$31&amp;$C$141&amp;$C$142,'TANKS Data'!$A$4:$J$15,IF('TANKS Calculations'!D72="Tight",8,5),FALSE),0)</f>
        <v>0</v>
      </c>
      <c r="C144" s="397"/>
      <c r="D144" s="259" t="s">
        <v>9804</v>
      </c>
      <c r="E144" s="224"/>
      <c r="F144" s="224"/>
      <c r="G144" s="224"/>
      <c r="H144" s="224"/>
      <c r="I144" s="224"/>
      <c r="J144" s="224"/>
      <c r="K144" s="224"/>
      <c r="L144" s="224"/>
      <c r="M144" s="224"/>
      <c r="N144" s="224"/>
      <c r="O144" s="224"/>
      <c r="P144" s="224"/>
      <c r="Q144" s="224"/>
    </row>
    <row r="145" spans="1:17" ht="35.1" customHeight="1" x14ac:dyDescent="0.2">
      <c r="A145" s="350" t="s">
        <v>10000</v>
      </c>
      <c r="B145" s="291">
        <f>_xlfn.IFNA(VLOOKUP($C$31&amp;$C$141&amp;$C$142,'TANKS Data'!$A$4:$J$15,IF('TANKS Calculations'!D72="Tight",9,6),FALSE),0)</f>
        <v>0</v>
      </c>
      <c r="C145" s="397"/>
      <c r="D145" s="259" t="s">
        <v>9805</v>
      </c>
      <c r="E145" s="224"/>
      <c r="F145" s="224"/>
      <c r="G145" s="224"/>
      <c r="H145" s="224"/>
      <c r="I145" s="224"/>
      <c r="J145" s="224"/>
      <c r="K145" s="224"/>
      <c r="L145" s="224"/>
      <c r="M145" s="224"/>
      <c r="N145" s="224"/>
      <c r="O145" s="224"/>
      <c r="P145" s="224"/>
      <c r="Q145" s="224"/>
    </row>
    <row r="146" spans="1:17" ht="20.100000000000001" customHeight="1" x14ac:dyDescent="0.2">
      <c r="A146" s="351" t="s">
        <v>9806</v>
      </c>
      <c r="B146" s="291">
        <f>_xlfn.IFNA(VLOOKUP($C$31&amp;$C$141&amp;$C$142,'TANKS Data'!$A$4:$J$15,IF('TANKS Calculations'!D72="Tight",10,7),FALSE),0)</f>
        <v>0</v>
      </c>
      <c r="C146" s="397"/>
      <c r="D146" s="259" t="s">
        <v>9689</v>
      </c>
      <c r="E146" s="224"/>
      <c r="F146" s="224"/>
      <c r="G146" s="224"/>
      <c r="H146" s="224"/>
      <c r="I146" s="224"/>
      <c r="J146" s="224"/>
      <c r="K146" s="224"/>
      <c r="L146" s="224"/>
      <c r="M146" s="224"/>
      <c r="N146" s="224"/>
      <c r="O146" s="224"/>
      <c r="P146" s="224"/>
      <c r="Q146" s="224"/>
    </row>
    <row r="147" spans="1:17" ht="20.100000000000001" customHeight="1" x14ac:dyDescent="0.2">
      <c r="A147" s="351" t="s">
        <v>9794</v>
      </c>
      <c r="B147" s="258">
        <f>Q115</f>
        <v>0</v>
      </c>
      <c r="C147" s="397"/>
      <c r="D147" s="259" t="s">
        <v>9795</v>
      </c>
      <c r="E147" s="224"/>
      <c r="F147" s="224"/>
      <c r="G147" s="224"/>
      <c r="H147" s="224"/>
      <c r="I147" s="224"/>
      <c r="J147" s="224"/>
      <c r="K147" s="224"/>
      <c r="L147" s="224"/>
      <c r="M147" s="224"/>
      <c r="N147" s="224"/>
      <c r="O147" s="224"/>
      <c r="P147" s="224"/>
      <c r="Q147" s="224"/>
    </row>
    <row r="148" spans="1:17" ht="30" customHeight="1" x14ac:dyDescent="0.2">
      <c r="A148" s="256" t="s">
        <v>9807</v>
      </c>
      <c r="B148" s="291">
        <f>IF(C68="Internal Floating Roof",0,_xlfn.IFNA(VLOOKUP(B14,'TANKS Data'!$A$189:$G$213,7,FALSE),0))</f>
        <v>0</v>
      </c>
      <c r="C148" s="397"/>
      <c r="D148" s="259" t="s">
        <v>9808</v>
      </c>
      <c r="E148" s="224"/>
      <c r="F148" s="224"/>
      <c r="G148" s="224"/>
      <c r="H148" s="224"/>
      <c r="I148" s="224"/>
      <c r="J148" s="224"/>
      <c r="K148" s="224"/>
      <c r="L148" s="224"/>
      <c r="M148" s="224"/>
      <c r="N148" s="224"/>
      <c r="O148" s="224"/>
      <c r="P148" s="224"/>
      <c r="Q148" s="224"/>
    </row>
    <row r="149" spans="1:17" ht="20.100000000000001" customHeight="1" thickBot="1" x14ac:dyDescent="0.25">
      <c r="A149" s="352" t="s">
        <v>9809</v>
      </c>
      <c r="B149" s="263">
        <f>('TANKS Calculations'!W75/'TANKS Calculations'!D3)/((1+(1-('TANKS Calculations'!W75/'TANKS Calculations'!D3))^0.5)^2)</f>
        <v>0</v>
      </c>
      <c r="C149" s="385"/>
      <c r="D149" s="264" t="s">
        <v>9689</v>
      </c>
      <c r="E149" s="224"/>
      <c r="F149" s="224"/>
      <c r="G149" s="224"/>
      <c r="H149" s="224"/>
      <c r="I149" s="224"/>
      <c r="J149" s="224"/>
      <c r="K149" s="224"/>
      <c r="L149" s="224"/>
      <c r="M149" s="224"/>
      <c r="N149" s="224"/>
      <c r="O149" s="224"/>
      <c r="P149" s="224"/>
      <c r="Q149" s="224"/>
    </row>
    <row r="150" spans="1:17" ht="30" customHeight="1" x14ac:dyDescent="0.2">
      <c r="A150" s="292" t="s">
        <v>9810</v>
      </c>
      <c r="B150" s="293" t="s">
        <v>8708</v>
      </c>
      <c r="C150" s="403"/>
      <c r="D150" s="294" t="s">
        <v>9689</v>
      </c>
      <c r="E150" s="224"/>
      <c r="F150" s="224"/>
      <c r="G150" s="224"/>
      <c r="H150" s="224"/>
      <c r="I150" s="224"/>
      <c r="J150" s="224"/>
      <c r="K150" s="224"/>
      <c r="L150" s="224"/>
      <c r="M150" s="224"/>
      <c r="N150" s="224"/>
      <c r="O150" s="224"/>
      <c r="P150" s="224"/>
      <c r="Q150" s="224"/>
    </row>
    <row r="151" spans="1:17" ht="20.100000000000001" customHeight="1" x14ac:dyDescent="0.2">
      <c r="A151" s="351" t="s">
        <v>9811</v>
      </c>
      <c r="B151" s="291">
        <f>IFERROR(HLOOKUP(C150,'TANKS Data'!$B$219:$D$222,IF('TANKS Calculations'!W63=1,2,4),FALSE),0)</f>
        <v>0</v>
      </c>
      <c r="C151" s="397"/>
      <c r="D151" s="259" t="s">
        <v>9812</v>
      </c>
      <c r="E151" s="224"/>
      <c r="F151" s="224"/>
      <c r="G151" s="224"/>
      <c r="H151" s="224"/>
      <c r="I151" s="224"/>
      <c r="J151" s="224"/>
      <c r="K151" s="224"/>
      <c r="L151" s="224"/>
      <c r="M151" s="224"/>
      <c r="N151" s="224"/>
      <c r="O151" s="224"/>
      <c r="P151" s="224"/>
      <c r="Q151" s="224"/>
    </row>
    <row r="152" spans="1:17" ht="45" customHeight="1" x14ac:dyDescent="0.2">
      <c r="A152" s="256" t="s">
        <v>9813</v>
      </c>
      <c r="B152" s="291">
        <f>IFERROR(VLOOKUP('TANKS Calculations'!D8,'TANKS Data'!A20:B35,2,TRUE),0)</f>
        <v>1</v>
      </c>
      <c r="C152" s="397"/>
      <c r="D152" s="259" t="s">
        <v>9689</v>
      </c>
      <c r="E152" s="224"/>
      <c r="F152" s="224"/>
      <c r="G152" s="224"/>
      <c r="H152" s="224"/>
      <c r="I152" s="224"/>
      <c r="J152" s="224"/>
      <c r="K152" s="224"/>
      <c r="L152" s="224"/>
      <c r="M152" s="224"/>
      <c r="N152" s="224"/>
      <c r="O152" s="224"/>
      <c r="P152" s="224"/>
      <c r="Q152" s="224"/>
    </row>
    <row r="153" spans="1:17" ht="20.100000000000001" customHeight="1" x14ac:dyDescent="0.2">
      <c r="A153" s="354" t="s">
        <v>9814</v>
      </c>
      <c r="B153" s="250">
        <v>1</v>
      </c>
      <c r="C153" s="377"/>
      <c r="D153" s="227" t="s">
        <v>9707</v>
      </c>
      <c r="E153" s="224"/>
      <c r="F153" s="224"/>
      <c r="G153" s="224"/>
      <c r="H153" s="224"/>
      <c r="I153" s="224"/>
      <c r="J153" s="224"/>
      <c r="K153" s="224"/>
      <c r="L153" s="224"/>
      <c r="M153" s="224"/>
      <c r="N153" s="224"/>
      <c r="O153" s="224"/>
      <c r="P153" s="224"/>
      <c r="Q153" s="224"/>
    </row>
    <row r="154" spans="1:17" ht="20.100000000000001" customHeight="1" thickBot="1" x14ac:dyDescent="0.25">
      <c r="A154" s="352" t="s">
        <v>9790</v>
      </c>
      <c r="B154" s="289">
        <f>'TANKS Calculations'!W61</f>
        <v>0</v>
      </c>
      <c r="C154" s="393"/>
      <c r="D154" s="264" t="s">
        <v>9791</v>
      </c>
      <c r="E154" s="224"/>
      <c r="F154" s="224"/>
      <c r="G154" s="224"/>
      <c r="H154" s="224"/>
      <c r="I154" s="224"/>
      <c r="J154" s="224"/>
      <c r="K154" s="224"/>
      <c r="L154" s="224"/>
      <c r="M154" s="224"/>
      <c r="N154" s="224"/>
      <c r="O154" s="224"/>
      <c r="P154" s="224"/>
      <c r="Q154" s="224"/>
    </row>
    <row r="155" spans="1:17" ht="30" customHeight="1" thickBot="1" x14ac:dyDescent="0.25">
      <c r="A155" s="1376" t="s">
        <v>8411</v>
      </c>
      <c r="B155" s="1376"/>
      <c r="C155" s="1376"/>
      <c r="D155" s="1376"/>
      <c r="E155" s="224"/>
      <c r="F155" s="224"/>
      <c r="G155" s="224"/>
      <c r="H155" s="224"/>
    </row>
    <row r="156" spans="1:17" ht="80.25" customHeight="1" thickBot="1" x14ac:dyDescent="0.3">
      <c r="A156" s="1352" t="s">
        <v>9815</v>
      </c>
      <c r="B156" s="1358"/>
      <c r="C156" s="1358"/>
      <c r="D156" s="1358"/>
      <c r="E156" s="1358"/>
      <c r="F156" s="1358"/>
      <c r="G156" s="1358"/>
      <c r="H156" s="1358"/>
      <c r="I156" s="1358"/>
      <c r="J156" s="1358"/>
      <c r="K156" s="1358"/>
      <c r="L156" s="1359"/>
    </row>
    <row r="157" spans="1:17" ht="76.5" x14ac:dyDescent="0.25">
      <c r="A157" s="1373" t="s">
        <v>9057</v>
      </c>
      <c r="B157" s="1374"/>
      <c r="C157" s="1375" t="s">
        <v>9816</v>
      </c>
      <c r="D157" s="1374"/>
      <c r="E157" s="328" t="s">
        <v>9817</v>
      </c>
      <c r="F157" s="157" t="s">
        <v>9818</v>
      </c>
      <c r="G157" s="158" t="s">
        <v>9819</v>
      </c>
      <c r="H157" s="327" t="s">
        <v>9820</v>
      </c>
      <c r="I157" s="158" t="s">
        <v>9821</v>
      </c>
      <c r="J157" s="327" t="s">
        <v>9822</v>
      </c>
      <c r="K157" s="328" t="s">
        <v>9823</v>
      </c>
      <c r="L157" s="159" t="s">
        <v>9824</v>
      </c>
      <c r="M157" s="224"/>
      <c r="N157" s="224"/>
    </row>
    <row r="158" spans="1:17" ht="20.100000000000001" customHeight="1" x14ac:dyDescent="0.2">
      <c r="A158" s="1360"/>
      <c r="B158" s="1361"/>
      <c r="C158" s="1362"/>
      <c r="D158" s="1361"/>
      <c r="E158" s="404"/>
      <c r="F158" s="295">
        <f>_xlfn.IFNA(VLOOKUP(A158&amp;C158,'TANKS Data'!$A$98:$E$169,3,FALSE),0)</f>
        <v>0</v>
      </c>
      <c r="G158" s="405"/>
      <c r="H158" s="295">
        <f>_xlfn.IFNA(VLOOKUP(A158&amp;C158,'TANKS Data'!$A$98:$E$169,4,FALSE),0)</f>
        <v>0</v>
      </c>
      <c r="I158" s="405"/>
      <c r="J158" s="295">
        <f>_xlfn.IFNA(VLOOKUP(A158&amp;C158,'TANKS Data'!$A$98:$E$169,5,FALSE),0)</f>
        <v>0</v>
      </c>
      <c r="K158" s="404"/>
      <c r="L158" s="296">
        <f>IF(OR($C$68="Domed/Covered external floating roof",$C$68="Internal Floating Roof",'TANKS Data'!W96=0),'TANKS Data'!U96,'TANKS Data'!U96+('TANKS Data'!V96*((0.7*'TANKS Calculations'!$D$77)^'TANKS Data'!W96)))*E158</f>
        <v>0</v>
      </c>
    </row>
    <row r="159" spans="1:17" ht="20.100000000000001" customHeight="1" x14ac:dyDescent="0.2">
      <c r="A159" s="1360"/>
      <c r="B159" s="1361"/>
      <c r="C159" s="1362"/>
      <c r="D159" s="1361"/>
      <c r="E159" s="404"/>
      <c r="F159" s="295">
        <f>_xlfn.IFNA(VLOOKUP(A159&amp;C159,'TANKS Data'!$A$98:$E$169,3,FALSE),0)</f>
        <v>0</v>
      </c>
      <c r="G159" s="405"/>
      <c r="H159" s="295">
        <f>_xlfn.IFNA(VLOOKUP(A159&amp;C159,'TANKS Data'!$A$98:$E$169,4,FALSE),0)</f>
        <v>0</v>
      </c>
      <c r="I159" s="405"/>
      <c r="J159" s="295">
        <f>_xlfn.IFNA(VLOOKUP(A159&amp;C159,'TANKS Data'!$A$98:$E$169,5,FALSE),0)</f>
        <v>0</v>
      </c>
      <c r="K159" s="404"/>
      <c r="L159" s="296">
        <f>IF(OR($C$68="Domed/Covered external floating roof",$C$68="Internal Floating Roof",'TANKS Data'!W97=0),'TANKS Data'!U97,'TANKS Data'!U97+('TANKS Data'!V97*((0.7*'TANKS Calculations'!$D$77)^'TANKS Data'!W97)))*E159</f>
        <v>0</v>
      </c>
    </row>
    <row r="160" spans="1:17" ht="20.100000000000001" customHeight="1" x14ac:dyDescent="0.2">
      <c r="A160" s="1360"/>
      <c r="B160" s="1361"/>
      <c r="C160" s="1362"/>
      <c r="D160" s="1361"/>
      <c r="E160" s="404"/>
      <c r="F160" s="295">
        <f>_xlfn.IFNA(VLOOKUP(A160&amp;C160,'TANKS Data'!$A$98:$E$169,3,FALSE),0)</f>
        <v>0</v>
      </c>
      <c r="G160" s="405"/>
      <c r="H160" s="295">
        <f>_xlfn.IFNA(VLOOKUP(A160&amp;C160,'TANKS Data'!$A$98:$E$169,4,FALSE),0)</f>
        <v>0</v>
      </c>
      <c r="I160" s="405"/>
      <c r="J160" s="295">
        <f>_xlfn.IFNA(VLOOKUP(A160&amp;C160,'TANKS Data'!$A$98:$E$169,5,FALSE),0)</f>
        <v>0</v>
      </c>
      <c r="K160" s="404"/>
      <c r="L160" s="296">
        <f>IF(OR($C$68="Domed/Covered external floating roof",$C$68="Internal Floating Roof",'TANKS Data'!W98=0),'TANKS Data'!U98,'TANKS Data'!U98+('TANKS Data'!V98*((0.7*'TANKS Calculations'!$D$77)^'TANKS Data'!W98)))*E160</f>
        <v>0</v>
      </c>
    </row>
    <row r="161" spans="1:12" ht="20.100000000000001" customHeight="1" x14ac:dyDescent="0.2">
      <c r="A161" s="1360"/>
      <c r="B161" s="1361"/>
      <c r="C161" s="1362"/>
      <c r="D161" s="1361"/>
      <c r="E161" s="404"/>
      <c r="F161" s="295">
        <f>_xlfn.IFNA(VLOOKUP(A161&amp;C161,'TANKS Data'!$A$98:$E$169,3,FALSE),0)</f>
        <v>0</v>
      </c>
      <c r="G161" s="405"/>
      <c r="H161" s="295">
        <f>_xlfn.IFNA(VLOOKUP(A161&amp;C161,'TANKS Data'!$A$98:$E$169,4,FALSE),0)</f>
        <v>0</v>
      </c>
      <c r="I161" s="405"/>
      <c r="J161" s="295">
        <f>_xlfn.IFNA(VLOOKUP(A161&amp;C161,'TANKS Data'!$A$98:$E$169,5,FALSE),0)</f>
        <v>0</v>
      </c>
      <c r="K161" s="404"/>
      <c r="L161" s="296">
        <f>IF(OR($C$68="Domed/Covered external floating roof",$C$68="Internal Floating Roof",'TANKS Data'!W99=0),'TANKS Data'!U99,'TANKS Data'!U99+('TANKS Data'!V99*((0.7*'TANKS Calculations'!$D$77)^'TANKS Data'!W99)))*E161</f>
        <v>0</v>
      </c>
    </row>
    <row r="162" spans="1:12" ht="20.100000000000001" customHeight="1" x14ac:dyDescent="0.2">
      <c r="A162" s="1360"/>
      <c r="B162" s="1361"/>
      <c r="C162" s="1362"/>
      <c r="D162" s="1361"/>
      <c r="E162" s="404"/>
      <c r="F162" s="295">
        <f>_xlfn.IFNA(VLOOKUP(A162&amp;C162,'TANKS Data'!$A$98:$E$169,3,FALSE),0)</f>
        <v>0</v>
      </c>
      <c r="G162" s="405"/>
      <c r="H162" s="295">
        <f>_xlfn.IFNA(VLOOKUP(A162&amp;C162,'TANKS Data'!$A$98:$E$169,4,FALSE),0)</f>
        <v>0</v>
      </c>
      <c r="I162" s="405"/>
      <c r="J162" s="295">
        <f>_xlfn.IFNA(VLOOKUP(A162&amp;C162,'TANKS Data'!$A$98:$E$169,5,FALSE),0)</f>
        <v>0</v>
      </c>
      <c r="K162" s="404"/>
      <c r="L162" s="296">
        <f>IF(OR($C$68="Domed/Covered external floating roof",$C$68="Internal Floating Roof",'TANKS Data'!W100=0),'TANKS Data'!U100,'TANKS Data'!U100+('TANKS Data'!V100*((0.7*'TANKS Calculations'!$D$77)^'TANKS Data'!W100)))*E162</f>
        <v>0</v>
      </c>
    </row>
    <row r="163" spans="1:12" ht="20.100000000000001" customHeight="1" x14ac:dyDescent="0.2">
      <c r="A163" s="1360"/>
      <c r="B163" s="1361"/>
      <c r="C163" s="1362"/>
      <c r="D163" s="1361"/>
      <c r="E163" s="404"/>
      <c r="F163" s="295">
        <f>_xlfn.IFNA(VLOOKUP(A163&amp;C163,'TANKS Data'!$A$98:$E$169,3,FALSE),0)</f>
        <v>0</v>
      </c>
      <c r="G163" s="405"/>
      <c r="H163" s="295">
        <f>_xlfn.IFNA(VLOOKUP(A163&amp;C163,'TANKS Data'!$A$98:$E$169,4,FALSE),0)</f>
        <v>0</v>
      </c>
      <c r="I163" s="405"/>
      <c r="J163" s="295">
        <f>_xlfn.IFNA(VLOOKUP(A163&amp;C163,'TANKS Data'!$A$98:$E$169,5,FALSE),0)</f>
        <v>0</v>
      </c>
      <c r="K163" s="404"/>
      <c r="L163" s="296">
        <f>IF(OR($C$68="Domed/Covered external floating roof",$C$68="Internal Floating Roof",'TANKS Data'!W101=0),'TANKS Data'!U101,'TANKS Data'!U101+('TANKS Data'!V101*((0.7*'TANKS Calculations'!$D$77)^'TANKS Data'!W101)))*E163</f>
        <v>0</v>
      </c>
    </row>
    <row r="164" spans="1:12" ht="20.100000000000001" customHeight="1" x14ac:dyDescent="0.2">
      <c r="A164" s="1360"/>
      <c r="B164" s="1361"/>
      <c r="C164" s="1362"/>
      <c r="D164" s="1361"/>
      <c r="E164" s="404"/>
      <c r="F164" s="295">
        <f>_xlfn.IFNA(VLOOKUP(A164&amp;C164,'TANKS Data'!$A$98:$E$169,3,FALSE),0)</f>
        <v>0</v>
      </c>
      <c r="G164" s="405"/>
      <c r="H164" s="295">
        <f>_xlfn.IFNA(VLOOKUP(A164&amp;C164,'TANKS Data'!$A$98:$E$169,4,FALSE),0)</f>
        <v>0</v>
      </c>
      <c r="I164" s="405"/>
      <c r="J164" s="295">
        <f>_xlfn.IFNA(VLOOKUP(A164&amp;C164,'TANKS Data'!$A$98:$E$169,5,FALSE),0)</f>
        <v>0</v>
      </c>
      <c r="K164" s="404"/>
      <c r="L164" s="296">
        <f>IF(OR($C$68="Domed/Covered external floating roof",$C$68="Internal Floating Roof",'TANKS Data'!W102=0),'TANKS Data'!U102,'TANKS Data'!U102+('TANKS Data'!V102*((0.7*'TANKS Calculations'!$D$77)^'TANKS Data'!W102)))*E164</f>
        <v>0</v>
      </c>
    </row>
    <row r="165" spans="1:12" ht="20.100000000000001" customHeight="1" x14ac:dyDescent="0.2">
      <c r="A165" s="1360"/>
      <c r="B165" s="1361"/>
      <c r="C165" s="1362"/>
      <c r="D165" s="1361"/>
      <c r="E165" s="404"/>
      <c r="F165" s="295">
        <f>_xlfn.IFNA(VLOOKUP(A165&amp;C165,'TANKS Data'!$A$98:$E$169,3,FALSE),0)</f>
        <v>0</v>
      </c>
      <c r="G165" s="405"/>
      <c r="H165" s="295">
        <f>_xlfn.IFNA(VLOOKUP(A165&amp;C165,'TANKS Data'!$A$98:$E$169,4,FALSE),0)</f>
        <v>0</v>
      </c>
      <c r="I165" s="405"/>
      <c r="J165" s="295">
        <f>_xlfn.IFNA(VLOOKUP(A165&amp;C165,'TANKS Data'!$A$98:$E$169,5,FALSE),0)</f>
        <v>0</v>
      </c>
      <c r="K165" s="404"/>
      <c r="L165" s="296">
        <f>IF(OR($C$68="Domed/Covered external floating roof",$C$68="Internal Floating Roof",'TANKS Data'!W103=0),'TANKS Data'!U103,'TANKS Data'!U103+('TANKS Data'!V103*((0.7*'TANKS Calculations'!$D$77)^'TANKS Data'!W103)))*E165</f>
        <v>0</v>
      </c>
    </row>
    <row r="166" spans="1:12" ht="20.100000000000001" customHeight="1" x14ac:dyDescent="0.2">
      <c r="A166" s="1360"/>
      <c r="B166" s="1361"/>
      <c r="C166" s="1362"/>
      <c r="D166" s="1361"/>
      <c r="E166" s="404"/>
      <c r="F166" s="295">
        <f>_xlfn.IFNA(VLOOKUP(A166&amp;C166,'TANKS Data'!$A$98:$E$169,3,FALSE),0)</f>
        <v>0</v>
      </c>
      <c r="G166" s="405"/>
      <c r="H166" s="295">
        <f>_xlfn.IFNA(VLOOKUP(A166&amp;C166,'TANKS Data'!$A$98:$E$169,4,FALSE),0)</f>
        <v>0</v>
      </c>
      <c r="I166" s="405"/>
      <c r="J166" s="295">
        <f>_xlfn.IFNA(VLOOKUP(A166&amp;C166,'TANKS Data'!$A$98:$E$169,5,FALSE),0)</f>
        <v>0</v>
      </c>
      <c r="K166" s="404"/>
      <c r="L166" s="296">
        <f>IF(OR($C$68="Domed/Covered external floating roof",$C$68="Internal Floating Roof",'TANKS Data'!W104=0),'TANKS Data'!U104,'TANKS Data'!U104+('TANKS Data'!V104*((0.7*'TANKS Calculations'!$D$77)^'TANKS Data'!W104)))*E166</f>
        <v>0</v>
      </c>
    </row>
    <row r="167" spans="1:12" ht="20.100000000000001" customHeight="1" x14ac:dyDescent="0.2">
      <c r="A167" s="1360"/>
      <c r="B167" s="1361"/>
      <c r="C167" s="1362"/>
      <c r="D167" s="1361"/>
      <c r="E167" s="404"/>
      <c r="F167" s="295">
        <f>_xlfn.IFNA(VLOOKUP(A167&amp;C167,'TANKS Data'!$A$98:$E$169,3,FALSE),0)</f>
        <v>0</v>
      </c>
      <c r="G167" s="405"/>
      <c r="H167" s="295">
        <f>_xlfn.IFNA(VLOOKUP(A167&amp;C167,'TANKS Data'!$A$98:$E$169,4,FALSE),0)</f>
        <v>0</v>
      </c>
      <c r="I167" s="405"/>
      <c r="J167" s="295">
        <f>_xlfn.IFNA(VLOOKUP(A167&amp;C167,'TANKS Data'!$A$98:$E$169,5,FALSE),0)</f>
        <v>0</v>
      </c>
      <c r="K167" s="404"/>
      <c r="L167" s="296">
        <f>IF(OR($C$68="Domed/Covered external floating roof",$C$68="Internal Floating Roof",'TANKS Data'!W105=0),'TANKS Data'!U105,'TANKS Data'!U105+('TANKS Data'!V105*((0.7*'TANKS Calculations'!$D$77)^'TANKS Data'!W105)))*E167</f>
        <v>0</v>
      </c>
    </row>
    <row r="168" spans="1:12" ht="20.100000000000001" customHeight="1" x14ac:dyDescent="0.2">
      <c r="A168" s="1360"/>
      <c r="B168" s="1361"/>
      <c r="C168" s="1362"/>
      <c r="D168" s="1361"/>
      <c r="E168" s="404"/>
      <c r="F168" s="295">
        <f>_xlfn.IFNA(VLOOKUP(A168&amp;C168,'TANKS Data'!$A$98:$E$169,3,FALSE),0)</f>
        <v>0</v>
      </c>
      <c r="G168" s="405"/>
      <c r="H168" s="295">
        <f>_xlfn.IFNA(VLOOKUP(A168&amp;C168,'TANKS Data'!$A$98:$E$169,4,FALSE),0)</f>
        <v>0</v>
      </c>
      <c r="I168" s="405"/>
      <c r="J168" s="295">
        <f>_xlfn.IFNA(VLOOKUP(A168&amp;C168,'TANKS Data'!$A$98:$E$169,5,FALSE),0)</f>
        <v>0</v>
      </c>
      <c r="K168" s="404"/>
      <c r="L168" s="296">
        <f>IF(OR($C$68="Domed/Covered external floating roof",$C$68="Internal Floating Roof",'TANKS Data'!W106=0),'TANKS Data'!U106,'TANKS Data'!U106+('TANKS Data'!V106*((0.7*'TANKS Calculations'!$D$77)^'TANKS Data'!W106)))*E168</f>
        <v>0</v>
      </c>
    </row>
    <row r="169" spans="1:12" ht="20.100000000000001" customHeight="1" x14ac:dyDescent="0.2">
      <c r="A169" s="1360"/>
      <c r="B169" s="1361"/>
      <c r="C169" s="1362"/>
      <c r="D169" s="1361"/>
      <c r="E169" s="404"/>
      <c r="F169" s="295">
        <f>_xlfn.IFNA(VLOOKUP(A169&amp;C169,'TANKS Data'!$A$98:$E$169,3,FALSE),0)</f>
        <v>0</v>
      </c>
      <c r="G169" s="405"/>
      <c r="H169" s="295">
        <f>_xlfn.IFNA(VLOOKUP(A169&amp;C169,'TANKS Data'!$A$98:$E$169,4,FALSE),0)</f>
        <v>0</v>
      </c>
      <c r="I169" s="405"/>
      <c r="J169" s="295">
        <f>_xlfn.IFNA(VLOOKUP(A169&amp;C169,'TANKS Data'!$A$98:$E$169,5,FALSE),0)</f>
        <v>0</v>
      </c>
      <c r="K169" s="404"/>
      <c r="L169" s="296">
        <f>IF(OR($C$68="Domed/Covered external floating roof",$C$68="Internal Floating Roof",'TANKS Data'!W107=0),'TANKS Data'!U107,'TANKS Data'!U107+('TANKS Data'!V107*((0.7*'TANKS Calculations'!$D$77)^'TANKS Data'!W107)))*E169</f>
        <v>0</v>
      </c>
    </row>
    <row r="170" spans="1:12" ht="20.100000000000001" customHeight="1" x14ac:dyDescent="0.2">
      <c r="A170" s="1360"/>
      <c r="B170" s="1361"/>
      <c r="C170" s="1362"/>
      <c r="D170" s="1361"/>
      <c r="E170" s="404"/>
      <c r="F170" s="295">
        <f>_xlfn.IFNA(VLOOKUP(A170&amp;C170,'TANKS Data'!$A$98:$E$169,3,FALSE),0)</f>
        <v>0</v>
      </c>
      <c r="G170" s="405"/>
      <c r="H170" s="295">
        <f>_xlfn.IFNA(VLOOKUP(A170&amp;C170,'TANKS Data'!$A$98:$E$169,4,FALSE),0)</f>
        <v>0</v>
      </c>
      <c r="I170" s="405"/>
      <c r="J170" s="295">
        <f>_xlfn.IFNA(VLOOKUP(A170&amp;C170,'TANKS Data'!$A$98:$E$169,5,FALSE),0)</f>
        <v>0</v>
      </c>
      <c r="K170" s="404"/>
      <c r="L170" s="296">
        <f>IF(OR($C$68="Domed/Covered external floating roof",$C$68="Internal Floating Roof",'TANKS Data'!W108=0),'TANKS Data'!U108,'TANKS Data'!U108+('TANKS Data'!V108*((0.7*'TANKS Calculations'!$D$77)^'TANKS Data'!W108)))*E170</f>
        <v>0</v>
      </c>
    </row>
    <row r="171" spans="1:12" ht="20.100000000000001" customHeight="1" x14ac:dyDescent="0.2">
      <c r="A171" s="1360"/>
      <c r="B171" s="1361"/>
      <c r="C171" s="1362"/>
      <c r="D171" s="1361"/>
      <c r="E171" s="404"/>
      <c r="F171" s="295">
        <f>_xlfn.IFNA(VLOOKUP(A171&amp;C171,'TANKS Data'!$A$98:$E$169,3,FALSE),0)</f>
        <v>0</v>
      </c>
      <c r="G171" s="405"/>
      <c r="H171" s="295">
        <f>_xlfn.IFNA(VLOOKUP(A171&amp;C171,'TANKS Data'!$A$98:$E$169,4,FALSE),0)</f>
        <v>0</v>
      </c>
      <c r="I171" s="405"/>
      <c r="J171" s="295">
        <f>_xlfn.IFNA(VLOOKUP(A171&amp;C171,'TANKS Data'!$A$98:$E$169,5,FALSE),0)</f>
        <v>0</v>
      </c>
      <c r="K171" s="404"/>
      <c r="L171" s="296">
        <f>IF(OR($C$68="Domed/Covered external floating roof",$C$68="Internal Floating Roof",'TANKS Data'!W109=0),'TANKS Data'!U109,'TANKS Data'!U109+('TANKS Data'!V109*((0.7*'TANKS Calculations'!$D$77)^'TANKS Data'!W109)))*E171</f>
        <v>0</v>
      </c>
    </row>
    <row r="172" spans="1:12" ht="20.100000000000001" customHeight="1" x14ac:dyDescent="0.2">
      <c r="A172" s="1360"/>
      <c r="B172" s="1361"/>
      <c r="C172" s="1362"/>
      <c r="D172" s="1361"/>
      <c r="E172" s="404"/>
      <c r="F172" s="295">
        <f>_xlfn.IFNA(VLOOKUP(A172&amp;C172,'TANKS Data'!$A$98:$E$169,3,FALSE),0)</f>
        <v>0</v>
      </c>
      <c r="G172" s="405"/>
      <c r="H172" s="295">
        <f>_xlfn.IFNA(VLOOKUP(A172&amp;C172,'TANKS Data'!$A$98:$E$169,4,FALSE),0)</f>
        <v>0</v>
      </c>
      <c r="I172" s="405"/>
      <c r="J172" s="295">
        <f>_xlfn.IFNA(VLOOKUP(A172&amp;C172,'TANKS Data'!$A$98:$E$169,5,FALSE),0)</f>
        <v>0</v>
      </c>
      <c r="K172" s="404"/>
      <c r="L172" s="296">
        <f>IF(OR($C$68="Domed/Covered external floating roof",$C$68="Internal Floating Roof",'TANKS Data'!W110=0),'TANKS Data'!U110,'TANKS Data'!U110+('TANKS Data'!V110*((0.7*'TANKS Calculations'!$D$77)^'TANKS Data'!W110)))*E172</f>
        <v>0</v>
      </c>
    </row>
    <row r="173" spans="1:12" ht="20.100000000000001" customHeight="1" x14ac:dyDescent="0.2">
      <c r="A173" s="1360"/>
      <c r="B173" s="1361"/>
      <c r="C173" s="1362"/>
      <c r="D173" s="1361"/>
      <c r="E173" s="404"/>
      <c r="F173" s="295">
        <f>_xlfn.IFNA(VLOOKUP(A173&amp;C173,'TANKS Data'!$A$98:$E$169,3,FALSE),0)</f>
        <v>0</v>
      </c>
      <c r="G173" s="405"/>
      <c r="H173" s="295">
        <f>_xlfn.IFNA(VLOOKUP(A173&amp;C173,'TANKS Data'!$A$98:$E$169,4,FALSE),0)</f>
        <v>0</v>
      </c>
      <c r="I173" s="405"/>
      <c r="J173" s="295">
        <f>_xlfn.IFNA(VLOOKUP(A173&amp;C173,'TANKS Data'!$A$98:$E$169,5,FALSE),0)</f>
        <v>0</v>
      </c>
      <c r="K173" s="404"/>
      <c r="L173" s="296">
        <f>IF(OR($C$68="Domed/Covered external floating roof",$C$68="Internal Floating Roof",'TANKS Data'!W111=0),'TANKS Data'!U111,'TANKS Data'!U111+('TANKS Data'!V111*((0.7*'TANKS Calculations'!$D$77)^'TANKS Data'!W111)))*E173</f>
        <v>0</v>
      </c>
    </row>
    <row r="174" spans="1:12" ht="20.100000000000001" customHeight="1" x14ac:dyDescent="0.2">
      <c r="A174" s="1360"/>
      <c r="B174" s="1361"/>
      <c r="C174" s="1362"/>
      <c r="D174" s="1361"/>
      <c r="E174" s="404"/>
      <c r="F174" s="295">
        <f>_xlfn.IFNA(VLOOKUP(A174&amp;C174,'TANKS Data'!$A$98:$E$169,3,FALSE),0)</f>
        <v>0</v>
      </c>
      <c r="G174" s="405"/>
      <c r="H174" s="295">
        <f>_xlfn.IFNA(VLOOKUP(A174&amp;C174,'TANKS Data'!$A$98:$E$169,4,FALSE),0)</f>
        <v>0</v>
      </c>
      <c r="I174" s="405"/>
      <c r="J174" s="295">
        <f>_xlfn.IFNA(VLOOKUP(A174&amp;C174,'TANKS Data'!$A$98:$E$169,5,FALSE),0)</f>
        <v>0</v>
      </c>
      <c r="K174" s="404"/>
      <c r="L174" s="296">
        <f>IF(OR($C$68="Domed/Covered external floating roof",$C$68="Internal Floating Roof",'TANKS Data'!W112=0),'TANKS Data'!U112,'TANKS Data'!U112+('TANKS Data'!V112*((0.7*'TANKS Calculations'!$D$77)^'TANKS Data'!W112)))*E174</f>
        <v>0</v>
      </c>
    </row>
    <row r="175" spans="1:12" ht="20.100000000000001" customHeight="1" x14ac:dyDescent="0.2">
      <c r="A175" s="1360"/>
      <c r="B175" s="1361"/>
      <c r="C175" s="1362"/>
      <c r="D175" s="1361"/>
      <c r="E175" s="404"/>
      <c r="F175" s="295">
        <f>_xlfn.IFNA(VLOOKUP(A175&amp;C175,'TANKS Data'!$A$98:$E$169,3,FALSE),0)</f>
        <v>0</v>
      </c>
      <c r="G175" s="405"/>
      <c r="H175" s="295">
        <f>_xlfn.IFNA(VLOOKUP(A175&amp;C175,'TANKS Data'!$A$98:$E$169,4,FALSE),0)</f>
        <v>0</v>
      </c>
      <c r="I175" s="405"/>
      <c r="J175" s="295">
        <f>_xlfn.IFNA(VLOOKUP(A175&amp;C175,'TANKS Data'!$A$98:$E$169,5,FALSE),0)</f>
        <v>0</v>
      </c>
      <c r="K175" s="404"/>
      <c r="L175" s="296">
        <f>IF(OR($C$68="Domed/Covered external floating roof",$C$68="Internal Floating Roof",'TANKS Data'!W113=0),'TANKS Data'!U113,'TANKS Data'!U113+('TANKS Data'!V113*((0.7*'TANKS Calculations'!$D$77)^'TANKS Data'!W113)))*E175</f>
        <v>0</v>
      </c>
    </row>
    <row r="176" spans="1:12" ht="20.100000000000001" customHeight="1" x14ac:dyDescent="0.2">
      <c r="A176" s="1360"/>
      <c r="B176" s="1361"/>
      <c r="C176" s="1362"/>
      <c r="D176" s="1361"/>
      <c r="E176" s="404"/>
      <c r="F176" s="295">
        <f>_xlfn.IFNA(VLOOKUP(A176&amp;C176,'TANKS Data'!$A$98:$E$169,3,FALSE),0)</f>
        <v>0</v>
      </c>
      <c r="G176" s="405"/>
      <c r="H176" s="295">
        <f>_xlfn.IFNA(VLOOKUP(A176&amp;C176,'TANKS Data'!$A$98:$E$169,4,FALSE),0)</f>
        <v>0</v>
      </c>
      <c r="I176" s="405"/>
      <c r="J176" s="295">
        <f>_xlfn.IFNA(VLOOKUP(A176&amp;C176,'TANKS Data'!$A$98:$E$169,5,FALSE),0)</f>
        <v>0</v>
      </c>
      <c r="K176" s="404"/>
      <c r="L176" s="296">
        <f>IF(OR($C$68="Domed/Covered external floating roof",$C$68="Internal Floating Roof",'TANKS Data'!W114=0),'TANKS Data'!U114,'TANKS Data'!U114+('TANKS Data'!V114*((0.7*'TANKS Calculations'!$D$77)^'TANKS Data'!W114)))*E176</f>
        <v>0</v>
      </c>
    </row>
    <row r="177" spans="1:17" ht="20.100000000000001" customHeight="1" thickBot="1" x14ac:dyDescent="0.25">
      <c r="A177" s="1349"/>
      <c r="B177" s="1350"/>
      <c r="C177" s="1351"/>
      <c r="D177" s="1350"/>
      <c r="E177" s="398"/>
      <c r="F177" s="297">
        <f>_xlfn.IFNA(VLOOKUP(A177&amp;C177,'TANKS Data'!$A$98:$E$169,3,FALSE),0)</f>
        <v>0</v>
      </c>
      <c r="G177" s="406"/>
      <c r="H177" s="297">
        <f>_xlfn.IFNA(VLOOKUP(A177&amp;C177,'TANKS Data'!$A$98:$E$169,4,FALSE),0)</f>
        <v>0</v>
      </c>
      <c r="I177" s="406"/>
      <c r="J177" s="297">
        <f>_xlfn.IFNA(VLOOKUP(A177&amp;C177,'TANKS Data'!$A$98:$E$169,5,FALSE),0)</f>
        <v>0</v>
      </c>
      <c r="K177" s="398"/>
      <c r="L177" s="298">
        <f>IF(OR($C$68="Domed/Covered external floating roof",$C$68="Internal Floating Roof",'TANKS Data'!W115=0),'TANKS Data'!U115,'TANKS Data'!U115+('TANKS Data'!V115*((0.7*'TANKS Calculations'!$D$77)^'TANKS Data'!W115)))*E177</f>
        <v>0</v>
      </c>
    </row>
    <row r="178" spans="1:17" ht="20.100000000000001" customHeight="1" thickBot="1" x14ac:dyDescent="0.35">
      <c r="A178" s="1355" t="s">
        <v>9825</v>
      </c>
      <c r="B178" s="1356"/>
      <c r="C178" s="1357" t="s">
        <v>9826</v>
      </c>
      <c r="D178" s="1357"/>
      <c r="E178" s="326" t="s">
        <v>9826</v>
      </c>
      <c r="F178" s="326" t="s">
        <v>9826</v>
      </c>
      <c r="G178" s="326" t="s">
        <v>9826</v>
      </c>
      <c r="H178" s="326" t="s">
        <v>9826</v>
      </c>
      <c r="I178" s="326" t="s">
        <v>9826</v>
      </c>
      <c r="J178" s="326" t="s">
        <v>9826</v>
      </c>
      <c r="K178" s="160" t="s">
        <v>9826</v>
      </c>
      <c r="L178" s="299">
        <f>SUM(L158:L177)</f>
        <v>0</v>
      </c>
    </row>
    <row r="179" spans="1:17" ht="30" customHeight="1" thickBot="1" x14ac:dyDescent="0.25">
      <c r="A179" s="1376" t="s">
        <v>8411</v>
      </c>
      <c r="B179" s="1376"/>
      <c r="C179" s="1376"/>
      <c r="D179" s="1376"/>
      <c r="E179" s="224"/>
      <c r="F179" s="224"/>
      <c r="G179" s="224"/>
      <c r="H179" s="224"/>
    </row>
    <row r="180" spans="1:17" ht="60" customHeight="1" thickBot="1" x14ac:dyDescent="0.3">
      <c r="A180" s="1352" t="s">
        <v>9801</v>
      </c>
      <c r="B180" s="1358"/>
      <c r="C180" s="1358"/>
      <c r="D180" s="1359"/>
      <c r="E180" s="224"/>
      <c r="F180" s="224"/>
      <c r="G180" s="224"/>
      <c r="H180" s="224"/>
      <c r="I180" s="224"/>
      <c r="J180" s="224"/>
      <c r="K180" s="224"/>
      <c r="L180" s="224"/>
      <c r="M180" s="224"/>
      <c r="N180" s="224"/>
      <c r="O180" s="224"/>
      <c r="P180" s="224"/>
      <c r="Q180" s="224"/>
    </row>
    <row r="181" spans="1:17" ht="20.100000000000001" customHeight="1" thickBot="1" x14ac:dyDescent="0.3">
      <c r="A181" s="152" t="s">
        <v>9685</v>
      </c>
      <c r="B181" s="153" t="s">
        <v>9686</v>
      </c>
      <c r="C181" s="154" t="s">
        <v>9687</v>
      </c>
      <c r="D181" s="155" t="s">
        <v>9688</v>
      </c>
      <c r="E181" s="224"/>
      <c r="F181" s="224"/>
      <c r="G181" s="224"/>
      <c r="H181" s="224"/>
      <c r="I181" s="224"/>
      <c r="J181" s="224"/>
      <c r="K181" s="224"/>
      <c r="L181" s="224"/>
      <c r="M181" s="224"/>
      <c r="N181" s="224"/>
      <c r="O181" s="224"/>
      <c r="P181" s="224"/>
      <c r="Q181" s="224"/>
    </row>
    <row r="182" spans="1:17" ht="20.100000000000001" customHeight="1" x14ac:dyDescent="0.2">
      <c r="A182" s="357" t="s">
        <v>9827</v>
      </c>
      <c r="B182" s="245">
        <f>L178</f>
        <v>0</v>
      </c>
      <c r="C182" s="375"/>
      <c r="D182" s="246" t="s">
        <v>9828</v>
      </c>
      <c r="E182" s="224"/>
      <c r="F182" s="224"/>
      <c r="G182" s="224"/>
      <c r="H182" s="224"/>
      <c r="I182" s="224"/>
      <c r="J182" s="224"/>
      <c r="K182" s="224"/>
      <c r="L182" s="224"/>
      <c r="M182" s="224"/>
      <c r="N182" s="224"/>
      <c r="O182" s="224"/>
      <c r="P182" s="224"/>
      <c r="Q182" s="224"/>
    </row>
    <row r="183" spans="1:17" ht="20.100000000000001" customHeight="1" x14ac:dyDescent="0.2">
      <c r="A183" s="353" t="s">
        <v>9829</v>
      </c>
      <c r="B183" s="300" t="s">
        <v>8708</v>
      </c>
      <c r="C183" s="407"/>
      <c r="D183" s="249" t="s">
        <v>9689</v>
      </c>
      <c r="E183" s="224"/>
      <c r="F183" s="224"/>
      <c r="G183" s="224"/>
      <c r="H183" s="224"/>
      <c r="I183" s="224"/>
      <c r="J183" s="224"/>
      <c r="K183" s="224"/>
      <c r="L183" s="224"/>
      <c r="M183" s="224"/>
      <c r="N183" s="224"/>
      <c r="O183" s="224"/>
      <c r="P183" s="224"/>
      <c r="Q183" s="224"/>
    </row>
    <row r="184" spans="1:17" ht="20.100000000000001" customHeight="1" x14ac:dyDescent="0.2">
      <c r="A184" s="351" t="s">
        <v>9830</v>
      </c>
      <c r="B184" s="291">
        <f>PI()*('TANKS Calculations'!D8^2)/4</f>
        <v>0</v>
      </c>
      <c r="C184" s="397"/>
      <c r="D184" s="259" t="s">
        <v>9831</v>
      </c>
      <c r="E184" s="224"/>
      <c r="F184" s="224"/>
      <c r="G184" s="224"/>
      <c r="H184" s="224"/>
      <c r="I184" s="224"/>
      <c r="J184" s="224"/>
      <c r="K184" s="224"/>
      <c r="L184" s="224"/>
      <c r="M184" s="224"/>
      <c r="N184" s="224"/>
      <c r="O184" s="224"/>
      <c r="P184" s="224"/>
      <c r="Q184" s="224"/>
    </row>
    <row r="185" spans="1:17" ht="20.100000000000001" customHeight="1" x14ac:dyDescent="0.2">
      <c r="A185" s="351" t="s">
        <v>9832</v>
      </c>
      <c r="B185" s="301" t="s">
        <v>8708</v>
      </c>
      <c r="C185" s="397"/>
      <c r="D185" s="259" t="s">
        <v>9707</v>
      </c>
      <c r="E185" s="224"/>
      <c r="F185" s="224"/>
      <c r="G185" s="224"/>
      <c r="H185" s="224"/>
      <c r="I185" s="224"/>
      <c r="J185" s="224"/>
      <c r="K185" s="224"/>
      <c r="L185" s="224"/>
      <c r="M185" s="224"/>
      <c r="N185" s="224"/>
      <c r="O185" s="224"/>
      <c r="P185" s="224"/>
      <c r="Q185" s="224"/>
    </row>
    <row r="186" spans="1:17" ht="45" customHeight="1" x14ac:dyDescent="0.2">
      <c r="A186" s="358" t="s">
        <v>9833</v>
      </c>
      <c r="B186" s="301" t="s">
        <v>8708</v>
      </c>
      <c r="C186" s="402"/>
      <c r="D186" s="259" t="s">
        <v>9689</v>
      </c>
      <c r="E186" s="224"/>
      <c r="F186" s="224"/>
      <c r="G186" s="224"/>
      <c r="H186" s="224"/>
      <c r="I186" s="224"/>
      <c r="J186" s="224"/>
      <c r="K186" s="224"/>
      <c r="L186" s="224"/>
      <c r="M186" s="224"/>
      <c r="N186" s="224"/>
      <c r="O186" s="224"/>
      <c r="P186" s="224"/>
      <c r="Q186" s="224"/>
    </row>
    <row r="187" spans="1:17" ht="30" customHeight="1" x14ac:dyDescent="0.2">
      <c r="A187" s="256" t="s">
        <v>9834</v>
      </c>
      <c r="B187" s="301" t="s">
        <v>8708</v>
      </c>
      <c r="C187" s="397"/>
      <c r="D187" s="259" t="s">
        <v>9707</v>
      </c>
      <c r="E187" s="224"/>
      <c r="F187" s="224"/>
      <c r="G187" s="224"/>
      <c r="H187" s="224"/>
      <c r="I187" s="224"/>
      <c r="J187" s="224"/>
      <c r="K187" s="224"/>
      <c r="L187" s="224"/>
      <c r="M187" s="224"/>
      <c r="N187" s="224"/>
      <c r="O187" s="224"/>
      <c r="P187" s="224"/>
      <c r="Q187" s="224"/>
    </row>
    <row r="188" spans="1:17" ht="20.100000000000001" customHeight="1" x14ac:dyDescent="0.35">
      <c r="A188" s="256" t="s">
        <v>9835</v>
      </c>
      <c r="B188" s="291">
        <f>IF(ISBLANK(C185),_xlfn.IFNA(VLOOKUP(C187,'TANKS Data'!B226:C230,2,FALSE),0),'TANKS Calculations'!D86/'TANKS Calculations'!D85)</f>
        <v>0</v>
      </c>
      <c r="C188" s="397"/>
      <c r="D188" s="259" t="s">
        <v>9836</v>
      </c>
      <c r="E188" s="224"/>
      <c r="F188" s="224"/>
      <c r="G188" s="224"/>
      <c r="H188" s="224"/>
      <c r="I188" s="224"/>
      <c r="J188" s="224"/>
      <c r="K188" s="224"/>
      <c r="L188" s="224"/>
      <c r="M188" s="224"/>
      <c r="N188" s="224"/>
      <c r="O188" s="224"/>
      <c r="P188" s="224"/>
      <c r="Q188" s="224"/>
    </row>
    <row r="189" spans="1:17" ht="35.1" customHeight="1" thickBot="1" x14ac:dyDescent="0.25">
      <c r="A189" s="262" t="s">
        <v>9837</v>
      </c>
      <c r="B189" s="263">
        <v>0.14000000000000001</v>
      </c>
      <c r="C189" s="385"/>
      <c r="D189" s="264" t="s">
        <v>9804</v>
      </c>
      <c r="E189" s="224"/>
      <c r="F189" s="224"/>
      <c r="G189" s="224"/>
      <c r="H189" s="224"/>
      <c r="I189" s="224"/>
      <c r="J189" s="224"/>
      <c r="K189" s="224"/>
      <c r="L189" s="224"/>
      <c r="M189" s="224"/>
      <c r="N189" s="224"/>
      <c r="O189" s="224"/>
      <c r="P189" s="224"/>
      <c r="Q189" s="224"/>
    </row>
    <row r="190" spans="1:17" ht="30" customHeight="1" x14ac:dyDescent="0.2">
      <c r="A190" s="360" t="s">
        <v>10005</v>
      </c>
      <c r="B190" s="300" t="s">
        <v>8708</v>
      </c>
      <c r="C190" s="408"/>
      <c r="D190" s="249" t="s">
        <v>9689</v>
      </c>
      <c r="E190" s="224"/>
      <c r="F190" s="224"/>
      <c r="G190" s="224"/>
      <c r="H190" s="224"/>
      <c r="I190" s="224"/>
      <c r="J190" s="224"/>
      <c r="K190" s="224"/>
      <c r="L190" s="224"/>
      <c r="M190" s="224"/>
      <c r="N190" s="224"/>
      <c r="O190" s="224"/>
      <c r="P190" s="224"/>
      <c r="Q190" s="224"/>
    </row>
    <row r="191" spans="1:17" ht="50.1" customHeight="1" x14ac:dyDescent="0.2">
      <c r="A191" s="256" t="s">
        <v>9838</v>
      </c>
      <c r="B191" s="258">
        <f>'TANKS Calculations'!D51</f>
        <v>0</v>
      </c>
      <c r="C191" s="383"/>
      <c r="D191" s="259" t="s">
        <v>8867</v>
      </c>
      <c r="E191" s="224"/>
      <c r="F191" s="224"/>
      <c r="G191" s="224"/>
      <c r="H191" s="224"/>
      <c r="I191" s="224"/>
      <c r="J191" s="224"/>
      <c r="K191" s="224"/>
      <c r="L191" s="224"/>
      <c r="M191" s="224"/>
      <c r="N191" s="224"/>
      <c r="O191" s="224"/>
      <c r="P191" s="224"/>
      <c r="Q191" s="224"/>
    </row>
    <row r="192" spans="1:17" ht="50.1" customHeight="1" x14ac:dyDescent="0.2">
      <c r="A192" s="256" t="s">
        <v>9839</v>
      </c>
      <c r="B192" s="258">
        <f>'TANKS Calculations'!D48</f>
        <v>0</v>
      </c>
      <c r="C192" s="383"/>
      <c r="D192" s="259" t="s">
        <v>9754</v>
      </c>
      <c r="E192" s="224"/>
      <c r="F192" s="224"/>
      <c r="G192" s="224"/>
      <c r="H192" s="224"/>
      <c r="I192" s="224"/>
      <c r="J192" s="224"/>
      <c r="K192" s="224"/>
      <c r="L192" s="224"/>
      <c r="M192" s="224"/>
      <c r="N192" s="224"/>
      <c r="O192" s="224"/>
      <c r="P192" s="224"/>
      <c r="Q192" s="224"/>
    </row>
    <row r="193" spans="1:17" ht="20.100000000000001" customHeight="1" x14ac:dyDescent="0.2">
      <c r="A193" s="225"/>
      <c r="B193" s="258">
        <f>'TANKS Calculations'!D94+459.67</f>
        <v>459.67</v>
      </c>
      <c r="C193" s="383"/>
      <c r="D193" s="259" t="s">
        <v>9755</v>
      </c>
      <c r="E193" s="224"/>
      <c r="F193" s="224"/>
      <c r="G193" s="224"/>
      <c r="H193" s="224"/>
      <c r="I193" s="224"/>
      <c r="J193" s="224"/>
      <c r="K193" s="224"/>
      <c r="L193" s="224"/>
      <c r="M193" s="224"/>
      <c r="N193" s="224"/>
      <c r="O193" s="224"/>
      <c r="P193" s="224"/>
      <c r="Q193" s="224"/>
    </row>
    <row r="194" spans="1:17" ht="50.1" customHeight="1" x14ac:dyDescent="0.2">
      <c r="A194" s="256" t="s">
        <v>9840</v>
      </c>
      <c r="B194" s="258">
        <f>'TANKS Calculations'!D76</f>
        <v>0</v>
      </c>
      <c r="C194" s="383"/>
      <c r="D194" s="259" t="s">
        <v>9795</v>
      </c>
      <c r="E194" s="224"/>
      <c r="F194" s="224"/>
      <c r="G194" s="224"/>
      <c r="H194" s="224"/>
      <c r="I194" s="224"/>
      <c r="J194" s="224"/>
      <c r="K194" s="224"/>
      <c r="L194" s="224"/>
      <c r="M194" s="224"/>
      <c r="N194" s="224"/>
      <c r="O194" s="224"/>
      <c r="P194" s="224"/>
      <c r="Q194" s="224"/>
    </row>
    <row r="195" spans="1:17" ht="30" customHeight="1" thickBot="1" x14ac:dyDescent="0.25">
      <c r="A195" s="262" t="s">
        <v>9841</v>
      </c>
      <c r="B195" s="263">
        <f>IFERROR(('TANKS Calculations'!D93/'TANKS Calculations'!D3)/((1+(1-('TANKS Calculations'!D93/'TANKS Calculations'!D3))^0.5)^2),0)</f>
        <v>0</v>
      </c>
      <c r="C195" s="385"/>
      <c r="D195" s="264" t="s">
        <v>9689</v>
      </c>
      <c r="E195" s="224"/>
      <c r="F195" s="224"/>
      <c r="G195" s="224"/>
      <c r="H195" s="224"/>
      <c r="I195" s="224"/>
      <c r="J195" s="224"/>
      <c r="K195" s="224"/>
      <c r="L195" s="224"/>
      <c r="M195" s="224"/>
      <c r="N195" s="224"/>
      <c r="O195" s="224"/>
      <c r="P195" s="224"/>
      <c r="Q195" s="224"/>
    </row>
    <row r="196" spans="1:17" ht="20.100000000000001" customHeight="1" thickBot="1" x14ac:dyDescent="0.3">
      <c r="A196" s="1352" t="s">
        <v>9842</v>
      </c>
      <c r="B196" s="1358"/>
      <c r="C196" s="1358"/>
      <c r="D196" s="1359"/>
      <c r="E196" s="224"/>
      <c r="F196" s="224"/>
      <c r="G196" s="224"/>
      <c r="H196" s="224"/>
      <c r="I196" s="224"/>
      <c r="J196" s="224"/>
      <c r="K196" s="224"/>
      <c r="L196" s="224"/>
      <c r="M196" s="224"/>
      <c r="N196" s="224"/>
      <c r="O196" s="224"/>
      <c r="P196" s="224"/>
      <c r="Q196" s="224"/>
    </row>
    <row r="197" spans="1:17" ht="20.100000000000001" customHeight="1" thickBot="1" x14ac:dyDescent="0.3">
      <c r="A197" s="152" t="s">
        <v>9685</v>
      </c>
      <c r="B197" s="153" t="s">
        <v>9686</v>
      </c>
      <c r="C197" s="154" t="s">
        <v>9687</v>
      </c>
      <c r="D197" s="155" t="s">
        <v>9688</v>
      </c>
      <c r="E197" s="224"/>
      <c r="F197" s="224"/>
      <c r="G197" s="224"/>
      <c r="H197" s="224"/>
      <c r="I197" s="224"/>
      <c r="J197" s="224"/>
      <c r="K197" s="224"/>
      <c r="L197" s="224"/>
      <c r="M197" s="224"/>
      <c r="N197" s="224"/>
      <c r="O197" s="224"/>
      <c r="P197" s="224"/>
      <c r="Q197" s="224"/>
    </row>
    <row r="198" spans="1:17" ht="20.100000000000001" customHeight="1" x14ac:dyDescent="0.2">
      <c r="A198" s="353" t="s">
        <v>9843</v>
      </c>
      <c r="B198" s="300" t="s">
        <v>8708</v>
      </c>
      <c r="C198" s="391"/>
      <c r="D198" s="249" t="s">
        <v>9707</v>
      </c>
      <c r="E198" s="224"/>
      <c r="F198" s="224"/>
      <c r="G198" s="224"/>
      <c r="H198" s="224"/>
      <c r="I198" s="224"/>
      <c r="J198" s="224"/>
      <c r="K198" s="224"/>
      <c r="L198" s="224"/>
      <c r="M198" s="224"/>
      <c r="N198" s="224"/>
      <c r="O198" s="224"/>
      <c r="P198" s="224"/>
      <c r="Q198" s="224"/>
    </row>
    <row r="199" spans="1:17" ht="20.100000000000001" customHeight="1" x14ac:dyDescent="0.2">
      <c r="A199" s="351" t="s">
        <v>9844</v>
      </c>
      <c r="B199" s="291">
        <f>ROUND('TANKS Calculations'!D15,0)</f>
        <v>0</v>
      </c>
      <c r="C199" s="383"/>
      <c r="D199" s="259" t="s">
        <v>9845</v>
      </c>
      <c r="E199" s="224"/>
      <c r="F199" s="224"/>
      <c r="G199" s="224"/>
      <c r="H199" s="224"/>
      <c r="I199" s="224"/>
      <c r="J199" s="224"/>
      <c r="K199" s="224"/>
      <c r="L199" s="224"/>
      <c r="M199" s="224"/>
      <c r="N199" s="224"/>
      <c r="O199" s="224"/>
      <c r="P199" s="224"/>
      <c r="Q199" s="224"/>
    </row>
    <row r="200" spans="1:17" ht="20.100000000000001" customHeight="1" x14ac:dyDescent="0.2">
      <c r="A200" s="354" t="s">
        <v>9792</v>
      </c>
      <c r="B200" s="252">
        <f>IFERROR('TANKS Calculations'!D96*'TANKS Calculations'!D93/(10.731*'TANKS Calculations'!D95),0)</f>
        <v>0</v>
      </c>
      <c r="C200" s="379"/>
      <c r="D200" s="227" t="s">
        <v>9793</v>
      </c>
      <c r="E200" s="224"/>
      <c r="F200" s="224"/>
      <c r="G200" s="224"/>
      <c r="H200" s="224"/>
    </row>
    <row r="201" spans="1:17" ht="50.1" customHeight="1" x14ac:dyDescent="0.2">
      <c r="A201" s="353" t="s">
        <v>9846</v>
      </c>
      <c r="B201" s="276">
        <f>IF(ISBLANK(B14),0.04,('TANKS Calculations'!D50/'TANKS Calculations'!D42)+(('TANKS Calculations'!D47-'TANKS Calculations'!D46)/('TANKS Calculations'!D3-'TANKS Calculations'!W75)))</f>
        <v>0.04</v>
      </c>
      <c r="C201" s="391"/>
      <c r="D201" s="249" t="s">
        <v>9798</v>
      </c>
      <c r="E201" s="224"/>
      <c r="F201" s="224"/>
      <c r="G201" s="224"/>
      <c r="H201" s="224"/>
    </row>
    <row r="202" spans="1:17" ht="35.1" customHeight="1" x14ac:dyDescent="0.35">
      <c r="A202" s="256" t="s">
        <v>9847</v>
      </c>
      <c r="B202" s="258">
        <f>1/(1+(0.053*Q113*'TANKS Calculations'!D60))</f>
        <v>1</v>
      </c>
      <c r="C202" s="383"/>
      <c r="D202" s="259" t="s">
        <v>9689</v>
      </c>
      <c r="E202" s="224"/>
      <c r="F202" s="224"/>
      <c r="G202" s="224"/>
      <c r="H202" s="224"/>
      <c r="I202" s="224"/>
      <c r="J202" s="224"/>
      <c r="K202" s="224"/>
      <c r="L202" s="224"/>
      <c r="M202" s="224"/>
      <c r="N202" s="224"/>
      <c r="O202" s="224"/>
      <c r="P202" s="224"/>
    </row>
    <row r="203" spans="1:17" ht="20.100000000000001" customHeight="1" thickBot="1" x14ac:dyDescent="0.4">
      <c r="A203" s="256" t="s">
        <v>9848</v>
      </c>
      <c r="B203" s="301" t="s">
        <v>8708</v>
      </c>
      <c r="C203" s="383"/>
      <c r="D203" s="259" t="s">
        <v>9849</v>
      </c>
      <c r="E203" s="224"/>
      <c r="F203" s="224"/>
      <c r="G203" s="224"/>
      <c r="H203" s="224"/>
      <c r="I203" s="224"/>
    </row>
    <row r="204" spans="1:17" ht="20.100000000000001" customHeight="1" thickBot="1" x14ac:dyDescent="0.3">
      <c r="A204" s="1352" t="s">
        <v>9850</v>
      </c>
      <c r="B204" s="1358"/>
      <c r="C204" s="1358"/>
      <c r="D204" s="1359"/>
      <c r="E204" s="224"/>
      <c r="F204" s="224"/>
      <c r="G204" s="224"/>
      <c r="H204" s="224"/>
      <c r="I204" s="224"/>
      <c r="J204" s="224"/>
      <c r="K204" s="224"/>
      <c r="L204" s="224"/>
      <c r="M204" s="224"/>
      <c r="N204" s="224"/>
      <c r="O204" s="224"/>
      <c r="P204" s="224"/>
      <c r="Q204" s="224"/>
    </row>
    <row r="205" spans="1:17" ht="20.100000000000001" customHeight="1" thickBot="1" x14ac:dyDescent="0.3">
      <c r="A205" s="152" t="s">
        <v>9685</v>
      </c>
      <c r="B205" s="153" t="s">
        <v>9686</v>
      </c>
      <c r="C205" s="154" t="s">
        <v>9687</v>
      </c>
      <c r="D205" s="155" t="s">
        <v>9688</v>
      </c>
      <c r="E205" s="224"/>
      <c r="F205" s="224"/>
      <c r="G205" s="224"/>
      <c r="H205" s="224"/>
      <c r="I205" s="224"/>
      <c r="J205" s="224"/>
      <c r="K205" s="224"/>
      <c r="L205" s="224"/>
      <c r="M205" s="224"/>
      <c r="N205" s="224"/>
      <c r="O205" s="224"/>
      <c r="P205" s="224"/>
      <c r="Q205" s="224"/>
    </row>
    <row r="206" spans="1:17" ht="30" customHeight="1" x14ac:dyDescent="0.2">
      <c r="A206" s="247" t="s">
        <v>9851</v>
      </c>
      <c r="B206" s="248">
        <f>'TANKS Calculations'!D85</f>
        <v>0</v>
      </c>
      <c r="C206" s="408"/>
      <c r="D206" s="249" t="s">
        <v>9831</v>
      </c>
      <c r="E206" s="224"/>
      <c r="F206" s="224"/>
      <c r="G206" s="224"/>
      <c r="H206" s="224"/>
      <c r="I206" s="224"/>
    </row>
    <row r="207" spans="1:17" ht="20.100000000000001" customHeight="1" x14ac:dyDescent="0.2">
      <c r="A207" s="351" t="s">
        <v>9852</v>
      </c>
      <c r="B207" s="291">
        <f>IF(C190="Full liquid heel",0.6,IF(C190="Partial liquid heel",0.5,0.15))</f>
        <v>0.15</v>
      </c>
      <c r="C207" s="397"/>
      <c r="D207" s="259" t="s">
        <v>9689</v>
      </c>
      <c r="E207" s="224"/>
      <c r="F207" s="224"/>
      <c r="G207" s="224"/>
      <c r="H207" s="224"/>
      <c r="I207" s="224"/>
    </row>
    <row r="208" spans="1:17" ht="35.1" customHeight="1" x14ac:dyDescent="0.35">
      <c r="A208" s="256" t="s">
        <v>9853</v>
      </c>
      <c r="B208" s="291">
        <f>IF(C68="External Floating Roof",IFERROR(1-(((0.57*'TANKS Calculations'!D8*'TANKS Calculations'!D78*'TANKS Calculations'!D76)-('TANKS Calculations'!D99*'TANKS Calculations'!D79*'TANKS Calculations'!D76*'TANKS Calculations'!D100))/(('TANKS Calculations'!D99*'TANKS Calculations'!D79*'TANKS Calculations'!D76*'TANKS Calculations'!D100)+('TANKS Calculations'!D76*'TANKS Calculations'!D105*'TANKS Calculations'!D104))),0),IF(C190="Full liquid heel",0.6,IF(C190="Partial liquid heel",0.5,1)))</f>
        <v>1</v>
      </c>
      <c r="C208" s="397"/>
      <c r="D208" s="259" t="s">
        <v>9689</v>
      </c>
      <c r="E208" s="224"/>
      <c r="F208" s="224"/>
      <c r="G208" s="224"/>
      <c r="H208" s="224"/>
      <c r="I208" s="224"/>
      <c r="J208" s="224"/>
      <c r="K208" s="224"/>
      <c r="L208" s="224"/>
      <c r="M208" s="224"/>
      <c r="N208" s="224"/>
      <c r="O208" s="224"/>
      <c r="P208" s="224"/>
    </row>
    <row r="209" spans="1:17" ht="35.1" customHeight="1" x14ac:dyDescent="0.35">
      <c r="A209" s="256" t="s">
        <v>9854</v>
      </c>
      <c r="B209" s="301" t="s">
        <v>8708</v>
      </c>
      <c r="C209" s="397"/>
      <c r="D209" s="259" t="s">
        <v>9707</v>
      </c>
      <c r="E209" s="224"/>
      <c r="F209" s="224"/>
      <c r="G209" s="224"/>
      <c r="H209" s="224"/>
      <c r="I209" s="224"/>
      <c r="J209" s="224"/>
      <c r="K209" s="224"/>
      <c r="L209" s="224"/>
      <c r="M209" s="224"/>
      <c r="N209" s="224"/>
      <c r="O209" s="224"/>
      <c r="P209" s="224"/>
    </row>
    <row r="210" spans="1:17" ht="20.100000000000001" customHeight="1" thickBot="1" x14ac:dyDescent="0.4">
      <c r="A210" s="262" t="s">
        <v>9855</v>
      </c>
      <c r="B210" s="289">
        <f>IF(ISBLANK(C209),'TANKS Calculations'!D61,(PI()/4)*('TANKS Calculations'!D8^2)*'TANKS Calculations'!D107)</f>
        <v>0</v>
      </c>
      <c r="C210" s="393"/>
      <c r="D210" s="424" t="s">
        <v>9730</v>
      </c>
      <c r="E210" s="224"/>
      <c r="F210" s="224"/>
      <c r="G210" s="224"/>
      <c r="H210" s="224"/>
      <c r="I210" s="224"/>
    </row>
    <row r="211" spans="1:17" ht="30" customHeight="1" thickBot="1" x14ac:dyDescent="0.25">
      <c r="A211" s="1376" t="s">
        <v>8411</v>
      </c>
      <c r="B211" s="1376"/>
      <c r="C211" s="1376"/>
      <c r="D211" s="1376"/>
      <c r="E211" s="224"/>
      <c r="F211" s="224"/>
      <c r="G211" s="224"/>
      <c r="H211" s="224"/>
      <c r="I211" s="224"/>
      <c r="J211" s="224"/>
      <c r="K211" s="224"/>
      <c r="L211" s="224"/>
      <c r="M211" s="224"/>
      <c r="N211" s="224"/>
      <c r="O211" s="224"/>
      <c r="P211" s="224"/>
      <c r="Q211" s="224"/>
    </row>
    <row r="212" spans="1:17" ht="64.5" customHeight="1" thickBot="1" x14ac:dyDescent="0.3">
      <c r="A212" s="1352" t="s">
        <v>9856</v>
      </c>
      <c r="B212" s="1358"/>
      <c r="C212" s="1358"/>
      <c r="D212" s="1359"/>
      <c r="E212" s="224"/>
      <c r="F212" s="224"/>
      <c r="G212" s="224"/>
      <c r="H212" s="224"/>
      <c r="I212" s="224"/>
      <c r="J212" s="224"/>
      <c r="K212" s="224"/>
      <c r="L212" s="224"/>
      <c r="M212" s="224"/>
      <c r="N212" s="224"/>
      <c r="O212" s="224"/>
      <c r="P212" s="224"/>
      <c r="Q212" s="224"/>
    </row>
    <row r="213" spans="1:17" ht="20.100000000000001" customHeight="1" thickBot="1" x14ac:dyDescent="0.3">
      <c r="A213" s="152" t="s">
        <v>9685</v>
      </c>
      <c r="B213" s="153" t="s">
        <v>9686</v>
      </c>
      <c r="C213" s="154" t="s">
        <v>9687</v>
      </c>
      <c r="D213" s="155" t="s">
        <v>9688</v>
      </c>
      <c r="E213" s="224"/>
      <c r="F213" s="224"/>
      <c r="G213" s="224"/>
      <c r="H213" s="224"/>
      <c r="I213" s="224"/>
      <c r="J213" s="224"/>
      <c r="K213" s="224"/>
      <c r="L213" s="224"/>
      <c r="M213" s="224"/>
      <c r="N213" s="224"/>
      <c r="O213" s="224"/>
      <c r="P213" s="224"/>
      <c r="Q213" s="224"/>
    </row>
    <row r="214" spans="1:17" ht="20.100000000000001" customHeight="1" x14ac:dyDescent="0.2">
      <c r="A214" s="292" t="s">
        <v>9857</v>
      </c>
      <c r="B214" s="302" t="s">
        <v>8708</v>
      </c>
      <c r="C214" s="409"/>
      <c r="D214" s="294" t="s">
        <v>9725</v>
      </c>
      <c r="E214" s="224"/>
      <c r="F214" s="224"/>
      <c r="G214" s="224"/>
      <c r="H214" s="224"/>
      <c r="I214" s="224"/>
      <c r="J214" s="224"/>
      <c r="K214" s="224"/>
      <c r="L214" s="224"/>
      <c r="M214" s="224"/>
      <c r="N214" s="224"/>
      <c r="O214" s="224"/>
      <c r="P214" s="224"/>
      <c r="Q214" s="224"/>
    </row>
    <row r="215" spans="1:17" ht="20.100000000000001" customHeight="1" x14ac:dyDescent="0.35">
      <c r="A215" s="256" t="s">
        <v>9858</v>
      </c>
      <c r="B215" s="258">
        <f>'TANKS Calculations'!W79</f>
        <v>0</v>
      </c>
      <c r="C215" s="397"/>
      <c r="D215" s="259" t="s">
        <v>9795</v>
      </c>
      <c r="E215" s="224"/>
      <c r="F215" s="224"/>
      <c r="G215" s="224"/>
      <c r="H215" s="224"/>
      <c r="I215" s="224"/>
      <c r="J215" s="224"/>
      <c r="K215" s="224"/>
      <c r="L215" s="224"/>
      <c r="M215" s="224"/>
      <c r="N215" s="224"/>
      <c r="O215" s="224"/>
      <c r="P215" s="224"/>
      <c r="Q215" s="224"/>
    </row>
    <row r="216" spans="1:17" ht="35.1" customHeight="1" x14ac:dyDescent="0.35">
      <c r="A216" s="256" t="s">
        <v>9859</v>
      </c>
      <c r="B216" s="258">
        <f>'TANKS Calculations'!D51</f>
        <v>0</v>
      </c>
      <c r="C216" s="397"/>
      <c r="D216" s="259" t="s">
        <v>8867</v>
      </c>
      <c r="E216" s="224"/>
      <c r="F216" s="224"/>
      <c r="G216" s="224"/>
      <c r="H216" s="224"/>
      <c r="I216" s="224"/>
      <c r="J216" s="224"/>
      <c r="K216" s="224"/>
      <c r="L216" s="224"/>
      <c r="M216" s="224"/>
      <c r="N216" s="224"/>
      <c r="O216" s="224"/>
      <c r="P216" s="224"/>
      <c r="Q216" s="224"/>
    </row>
    <row r="217" spans="1:17" ht="30" customHeight="1" x14ac:dyDescent="0.2">
      <c r="A217" s="256" t="s">
        <v>9860</v>
      </c>
      <c r="B217" s="258">
        <f>'TANKS Calculations'!D32</f>
        <v>459.67</v>
      </c>
      <c r="C217" s="397"/>
      <c r="D217" s="259" t="s">
        <v>9755</v>
      </c>
      <c r="E217" s="224"/>
      <c r="F217" s="224"/>
      <c r="G217" s="224"/>
      <c r="H217" s="224"/>
      <c r="I217" s="224"/>
      <c r="J217" s="224"/>
      <c r="K217" s="224"/>
      <c r="L217" s="224"/>
      <c r="M217" s="224"/>
      <c r="N217" s="224"/>
      <c r="O217" s="224"/>
      <c r="P217" s="224"/>
      <c r="Q217" s="224"/>
    </row>
    <row r="218" spans="1:17" ht="20.100000000000001" customHeight="1" x14ac:dyDescent="0.35">
      <c r="A218" s="256" t="s">
        <v>9855</v>
      </c>
      <c r="B218" s="258">
        <f>IF(B12="Fixed",'TANKS Calculations'!D10-'TANKS Calculations'!D125+'TANKS Calculations'!D59,'TANKS Calculations'!D61)</f>
        <v>0</v>
      </c>
      <c r="C218" s="397"/>
      <c r="D218" s="259" t="s">
        <v>9730</v>
      </c>
      <c r="E218" s="224"/>
      <c r="F218" s="224"/>
      <c r="G218" s="224"/>
      <c r="H218" s="224"/>
      <c r="I218" s="224"/>
      <c r="J218" s="224"/>
      <c r="K218" s="224"/>
      <c r="L218" s="224"/>
      <c r="M218" s="224"/>
      <c r="N218" s="224"/>
      <c r="O218" s="224"/>
      <c r="P218" s="224"/>
      <c r="Q218" s="224"/>
    </row>
    <row r="219" spans="1:17" ht="35.1" customHeight="1" x14ac:dyDescent="0.35">
      <c r="A219" s="256" t="s">
        <v>9861</v>
      </c>
      <c r="B219" s="303" t="s">
        <v>8708</v>
      </c>
      <c r="C219" s="397"/>
      <c r="D219" s="259" t="s">
        <v>9707</v>
      </c>
      <c r="E219" s="224"/>
      <c r="F219" s="224"/>
      <c r="G219" s="224"/>
      <c r="H219" s="224"/>
      <c r="I219" s="224"/>
      <c r="J219" s="224"/>
      <c r="K219" s="224"/>
      <c r="L219" s="224"/>
      <c r="M219" s="224"/>
      <c r="N219" s="224"/>
      <c r="O219" s="224"/>
      <c r="P219" s="224"/>
      <c r="Q219" s="224"/>
    </row>
    <row r="220" spans="1:17" ht="20.100000000000001" customHeight="1" x14ac:dyDescent="0.35">
      <c r="A220" s="256" t="s">
        <v>9862</v>
      </c>
      <c r="B220" s="258">
        <f>IFERROR(365/IF('TANKS Calculations'!D15&gt;=365,365,'TANKS Calculations'!D15),0)</f>
        <v>0</v>
      </c>
      <c r="C220" s="397"/>
      <c r="D220" s="259" t="s">
        <v>9849</v>
      </c>
      <c r="E220" s="224"/>
      <c r="F220" s="224"/>
      <c r="G220" s="224"/>
      <c r="H220" s="224"/>
      <c r="I220" s="224"/>
      <c r="J220" s="224"/>
      <c r="K220" s="224"/>
      <c r="L220" s="224"/>
      <c r="M220" s="224"/>
      <c r="N220" s="224"/>
      <c r="O220" s="224"/>
      <c r="P220" s="224"/>
      <c r="Q220" s="224"/>
    </row>
    <row r="221" spans="1:17" ht="20.100000000000001" customHeight="1" x14ac:dyDescent="0.2">
      <c r="A221" s="351" t="s">
        <v>9863</v>
      </c>
      <c r="B221" s="258">
        <f>IF(C190="Drain dry",0,MIN(MAX(IF(B12="Fixed",(('TANKS Calculations'!D126/2)+1)/6,_xlfn.IFNA(VLOOKUP(C68&amp;C190,'TANKS Calculations'!$G$138:$J$143,4,FALSE),0)),0.5),0.25))</f>
        <v>0.25</v>
      </c>
      <c r="C221" s="397"/>
      <c r="D221" s="259" t="s">
        <v>9689</v>
      </c>
      <c r="E221" s="224"/>
      <c r="F221" s="224"/>
      <c r="G221" s="224"/>
      <c r="H221" s="224"/>
      <c r="I221" s="224"/>
      <c r="J221" s="224"/>
      <c r="K221" s="224"/>
      <c r="L221" s="224"/>
      <c r="M221" s="224"/>
      <c r="N221" s="224"/>
      <c r="O221" s="224"/>
      <c r="P221" s="224"/>
      <c r="Q221" s="224"/>
    </row>
    <row r="222" spans="1:17" ht="45" customHeight="1" thickBot="1" x14ac:dyDescent="0.25">
      <c r="A222" s="262" t="s">
        <v>9864</v>
      </c>
      <c r="B222" s="304">
        <f>IF('TANKS Calculations'!D126=0,0,ROUNDUP('TANKS Calculations'!D126/365,0)-1)</f>
        <v>0</v>
      </c>
      <c r="C222" s="385"/>
      <c r="D222" s="264" t="s">
        <v>9725</v>
      </c>
      <c r="E222" s="224"/>
      <c r="F222" s="224"/>
      <c r="G222" s="224"/>
      <c r="H222" s="224"/>
      <c r="I222" s="224"/>
      <c r="J222" s="224"/>
      <c r="K222" s="224"/>
      <c r="L222" s="224"/>
      <c r="M222" s="224"/>
      <c r="N222" s="224"/>
      <c r="O222" s="224"/>
      <c r="P222" s="224"/>
      <c r="Q222" s="224"/>
    </row>
    <row r="223" spans="1:17" ht="30" customHeight="1" x14ac:dyDescent="0.2">
      <c r="A223" s="247" t="s">
        <v>9865</v>
      </c>
      <c r="B223" s="305" t="s">
        <v>8708</v>
      </c>
      <c r="C223" s="407"/>
      <c r="D223" s="249" t="s">
        <v>9689</v>
      </c>
      <c r="E223" s="224"/>
      <c r="F223" s="224"/>
      <c r="G223" s="224"/>
      <c r="H223" s="224"/>
      <c r="I223" s="224"/>
      <c r="J223" s="224"/>
      <c r="K223" s="224"/>
      <c r="L223" s="224"/>
      <c r="M223" s="224"/>
      <c r="N223" s="224"/>
      <c r="O223" s="224"/>
      <c r="P223" s="224"/>
      <c r="Q223" s="224"/>
    </row>
    <row r="224" spans="1:17" ht="30" customHeight="1" x14ac:dyDescent="0.2">
      <c r="A224" s="256" t="s">
        <v>9866</v>
      </c>
      <c r="B224" s="303" t="s">
        <v>8708</v>
      </c>
      <c r="C224" s="397"/>
      <c r="D224" s="259" t="s">
        <v>9689</v>
      </c>
      <c r="E224" s="224"/>
      <c r="F224" s="224"/>
      <c r="G224" s="224"/>
      <c r="H224" s="224"/>
      <c r="I224" s="224"/>
      <c r="J224" s="224"/>
      <c r="K224" s="224"/>
      <c r="L224" s="224"/>
      <c r="M224" s="224"/>
      <c r="N224" s="224"/>
      <c r="O224" s="224"/>
      <c r="P224" s="224"/>
      <c r="Q224" s="224"/>
    </row>
    <row r="225" spans="1:17" ht="30" customHeight="1" x14ac:dyDescent="0.2">
      <c r="A225" s="256" t="s">
        <v>9867</v>
      </c>
      <c r="B225" s="303" t="s">
        <v>8708</v>
      </c>
      <c r="C225" s="397"/>
      <c r="D225" s="259" t="s">
        <v>9689</v>
      </c>
      <c r="E225" s="224"/>
      <c r="F225" s="224"/>
      <c r="G225" s="224"/>
      <c r="H225" s="224"/>
      <c r="I225" s="224"/>
      <c r="J225" s="224"/>
      <c r="K225" s="224"/>
      <c r="L225" s="224"/>
      <c r="M225" s="224"/>
      <c r="N225" s="224"/>
      <c r="O225" s="224"/>
      <c r="P225" s="224"/>
      <c r="Q225" s="224"/>
    </row>
    <row r="226" spans="1:17" ht="30" customHeight="1" x14ac:dyDescent="0.2">
      <c r="A226" s="256" t="s">
        <v>9868</v>
      </c>
      <c r="B226" s="258">
        <v>1</v>
      </c>
      <c r="C226" s="397"/>
      <c r="D226" s="259" t="s">
        <v>9689</v>
      </c>
      <c r="E226" s="224"/>
      <c r="F226" s="224"/>
      <c r="G226" s="224"/>
      <c r="H226" s="224"/>
      <c r="I226" s="224"/>
      <c r="J226" s="224"/>
      <c r="K226" s="224"/>
      <c r="L226" s="224"/>
      <c r="M226" s="224"/>
      <c r="N226" s="224"/>
      <c r="O226" s="224"/>
      <c r="P226" s="224"/>
      <c r="Q226" s="224"/>
    </row>
    <row r="227" spans="1:17" ht="35.1" customHeight="1" x14ac:dyDescent="0.35">
      <c r="A227" s="256" t="s">
        <v>9869</v>
      </c>
      <c r="B227" s="258">
        <f>MIN('TANKS Calculations'!D129*'TANKS Calculations'!D130*'TANKS Calculations'!D131,'TANKS Calculations'!D121/'TANKS Calculations'!D3)</f>
        <v>0</v>
      </c>
      <c r="C227" s="397"/>
      <c r="D227" s="259" t="s">
        <v>9689</v>
      </c>
      <c r="E227" s="224"/>
      <c r="F227" s="224"/>
      <c r="G227" s="224"/>
      <c r="H227" s="224"/>
      <c r="I227" s="224"/>
      <c r="J227" s="224"/>
      <c r="K227" s="224"/>
      <c r="L227" s="224"/>
      <c r="M227" s="224"/>
      <c r="N227" s="224"/>
      <c r="O227" s="224"/>
      <c r="P227" s="224"/>
      <c r="Q227" s="224"/>
    </row>
    <row r="228" spans="1:17" ht="20.100000000000001" customHeight="1" x14ac:dyDescent="0.35">
      <c r="A228" s="256" t="s">
        <v>9870</v>
      </c>
      <c r="B228" s="303" t="s">
        <v>8708</v>
      </c>
      <c r="C228" s="397"/>
      <c r="D228" s="259" t="s">
        <v>9871</v>
      </c>
      <c r="E228" s="224"/>
      <c r="F228" s="224"/>
      <c r="G228" s="306"/>
      <c r="H228" s="224"/>
      <c r="I228" s="224"/>
      <c r="J228" s="224"/>
      <c r="K228" s="224"/>
      <c r="L228" s="224"/>
      <c r="M228" s="224"/>
      <c r="N228" s="224"/>
      <c r="O228" s="224"/>
      <c r="P228" s="224"/>
      <c r="Q228" s="224"/>
    </row>
    <row r="229" spans="1:17" ht="20.100000000000001" customHeight="1" x14ac:dyDescent="0.35">
      <c r="A229" s="256" t="s">
        <v>9872</v>
      </c>
      <c r="B229" s="303" t="s">
        <v>8708</v>
      </c>
      <c r="C229" s="397"/>
      <c r="D229" s="259" t="s">
        <v>9849</v>
      </c>
      <c r="E229" s="224"/>
      <c r="F229" s="224"/>
      <c r="G229" s="224"/>
      <c r="H229" s="224"/>
      <c r="I229" s="224"/>
      <c r="J229" s="224"/>
      <c r="K229" s="224"/>
      <c r="L229" s="224"/>
      <c r="M229" s="224"/>
      <c r="N229" s="224"/>
      <c r="O229" s="224"/>
      <c r="P229" s="224"/>
      <c r="Q229" s="224"/>
    </row>
    <row r="230" spans="1:17" ht="65.099999999999994" customHeight="1" x14ac:dyDescent="0.2">
      <c r="A230" s="256" t="s">
        <v>9873</v>
      </c>
      <c r="B230" s="303" t="s">
        <v>8708</v>
      </c>
      <c r="C230" s="397"/>
      <c r="D230" s="259" t="s">
        <v>9874</v>
      </c>
      <c r="E230" s="224"/>
      <c r="F230" s="224"/>
      <c r="G230" s="224"/>
      <c r="H230" s="224"/>
      <c r="I230" s="224"/>
      <c r="J230" s="224"/>
      <c r="K230" s="224"/>
      <c r="L230" s="224"/>
      <c r="M230" s="224"/>
      <c r="N230" s="224"/>
      <c r="O230" s="224"/>
      <c r="P230" s="224"/>
      <c r="Q230" s="224"/>
    </row>
    <row r="231" spans="1:17" ht="20.100000000000001" customHeight="1" x14ac:dyDescent="0.35">
      <c r="A231" s="256" t="s">
        <v>9875</v>
      </c>
      <c r="B231" s="258">
        <f>'TANKS Calculations'!D120</f>
        <v>0</v>
      </c>
      <c r="C231" s="397"/>
      <c r="D231" s="259" t="s">
        <v>9795</v>
      </c>
      <c r="E231" s="224"/>
      <c r="F231" s="224"/>
      <c r="G231" s="224"/>
      <c r="H231" s="224"/>
      <c r="I231" s="224"/>
      <c r="J231" s="224"/>
      <c r="K231" s="224"/>
      <c r="L231" s="224"/>
      <c r="M231" s="224"/>
      <c r="N231" s="224"/>
      <c r="O231" s="224"/>
      <c r="P231" s="224"/>
      <c r="Q231" s="224"/>
    </row>
    <row r="232" spans="1:17" ht="35.1" customHeight="1" thickBot="1" x14ac:dyDescent="0.4">
      <c r="A232" s="256" t="s">
        <v>9876</v>
      </c>
      <c r="B232" s="258">
        <f>'TANKS Calculations'!D12</f>
        <v>1</v>
      </c>
      <c r="C232" s="397"/>
      <c r="D232" s="259" t="s">
        <v>9707</v>
      </c>
      <c r="E232" s="224"/>
      <c r="F232" s="224"/>
      <c r="G232" s="224"/>
      <c r="H232" s="224"/>
      <c r="I232" s="224"/>
      <c r="J232" s="224"/>
      <c r="K232" s="224"/>
      <c r="L232" s="224"/>
      <c r="M232" s="224"/>
      <c r="N232" s="224"/>
      <c r="O232" s="224"/>
      <c r="P232" s="224"/>
      <c r="Q232" s="224"/>
    </row>
    <row r="233" spans="1:17" ht="50.1" customHeight="1" x14ac:dyDescent="0.35">
      <c r="A233" s="292" t="s">
        <v>9877</v>
      </c>
      <c r="B233" s="307" t="s">
        <v>8708</v>
      </c>
      <c r="C233" s="403"/>
      <c r="D233" s="294" t="s">
        <v>9689</v>
      </c>
      <c r="E233" s="224"/>
      <c r="F233" s="224"/>
      <c r="G233" s="224"/>
      <c r="H233" s="224"/>
      <c r="I233" s="224"/>
      <c r="J233" s="224"/>
      <c r="K233" s="224"/>
      <c r="L233" s="224"/>
      <c r="M233" s="224"/>
      <c r="N233" s="224"/>
      <c r="O233" s="224"/>
      <c r="P233" s="224"/>
      <c r="Q233" s="224"/>
    </row>
    <row r="234" spans="1:17" ht="35.1" customHeight="1" x14ac:dyDescent="0.2">
      <c r="A234" s="349" t="s">
        <v>10002</v>
      </c>
      <c r="B234" s="303" t="s">
        <v>8708</v>
      </c>
      <c r="C234" s="397"/>
      <c r="D234" s="259" t="s">
        <v>9849</v>
      </c>
      <c r="E234" s="224"/>
      <c r="F234" s="224"/>
      <c r="G234" s="224"/>
      <c r="H234" s="224"/>
      <c r="I234" s="224"/>
      <c r="J234" s="224"/>
      <c r="K234" s="224"/>
      <c r="L234" s="224"/>
      <c r="M234" s="224"/>
      <c r="N234" s="224"/>
      <c r="O234" s="224"/>
      <c r="P234" s="224"/>
      <c r="Q234" s="224"/>
    </row>
    <row r="235" spans="1:17" ht="35.1" customHeight="1" x14ac:dyDescent="0.2">
      <c r="A235" s="349" t="s">
        <v>10003</v>
      </c>
      <c r="B235" s="303" t="s">
        <v>8708</v>
      </c>
      <c r="C235" s="397"/>
      <c r="D235" s="259" t="s">
        <v>9874</v>
      </c>
      <c r="E235" s="224"/>
      <c r="F235" s="224"/>
      <c r="G235" s="224"/>
      <c r="H235" s="224"/>
      <c r="I235" s="224"/>
      <c r="J235" s="224"/>
      <c r="K235" s="224"/>
      <c r="L235" s="224"/>
      <c r="M235" s="224"/>
      <c r="N235" s="224"/>
      <c r="O235" s="224"/>
      <c r="P235" s="224"/>
      <c r="Q235" s="224"/>
    </row>
    <row r="236" spans="1:17" ht="35.1" customHeight="1" thickBot="1" x14ac:dyDescent="0.4">
      <c r="A236" s="262" t="s">
        <v>9878</v>
      </c>
      <c r="B236" s="308" t="s">
        <v>8708</v>
      </c>
      <c r="C236" s="385"/>
      <c r="D236" s="264" t="s">
        <v>9707</v>
      </c>
      <c r="E236" s="224"/>
      <c r="F236" s="224"/>
      <c r="G236" s="224"/>
      <c r="H236" s="224"/>
      <c r="I236" s="224"/>
      <c r="J236" s="224"/>
      <c r="K236" s="224"/>
      <c r="L236" s="224"/>
      <c r="M236" s="224"/>
      <c r="N236" s="224"/>
      <c r="O236" s="224"/>
      <c r="P236" s="224"/>
      <c r="Q236" s="224"/>
    </row>
    <row r="237" spans="1:17" ht="30" customHeight="1" thickBot="1" x14ac:dyDescent="0.25">
      <c r="A237" s="1376" t="s">
        <v>8411</v>
      </c>
      <c r="B237" s="1376"/>
      <c r="C237" s="1376"/>
      <c r="D237" s="1376"/>
      <c r="E237" s="224"/>
      <c r="F237" s="224"/>
      <c r="G237" s="224"/>
      <c r="H237" s="224"/>
      <c r="I237" s="224"/>
      <c r="J237" s="224"/>
      <c r="K237" s="224"/>
      <c r="L237" s="224"/>
      <c r="M237" s="224"/>
      <c r="N237" s="224"/>
      <c r="O237" s="224"/>
      <c r="P237" s="224"/>
      <c r="Q237" s="224"/>
    </row>
    <row r="238" spans="1:17" ht="44.25" customHeight="1" thickBot="1" x14ac:dyDescent="0.3">
      <c r="A238" s="1352" t="s">
        <v>9879</v>
      </c>
      <c r="B238" s="1358"/>
      <c r="C238" s="1358"/>
      <c r="D238" s="1359"/>
      <c r="E238" s="224"/>
      <c r="F238" s="224"/>
      <c r="G238" s="224"/>
      <c r="H238" s="224"/>
      <c r="I238" s="224"/>
      <c r="J238" s="224"/>
      <c r="K238" s="224"/>
      <c r="L238" s="224"/>
      <c r="M238" s="224"/>
      <c r="N238" s="224"/>
      <c r="O238" s="224"/>
      <c r="P238" s="224"/>
      <c r="Q238" s="224"/>
    </row>
    <row r="239" spans="1:17" ht="20.100000000000001" customHeight="1" thickBot="1" x14ac:dyDescent="0.3">
      <c r="A239" s="152" t="s">
        <v>9685</v>
      </c>
      <c r="B239" s="153" t="s">
        <v>9686</v>
      </c>
      <c r="C239" s="154" t="s">
        <v>9687</v>
      </c>
      <c r="D239" s="155" t="s">
        <v>9688</v>
      </c>
      <c r="E239" s="224"/>
      <c r="F239" s="224"/>
      <c r="G239" s="224"/>
      <c r="H239" s="224"/>
      <c r="I239" s="224"/>
      <c r="J239" s="224"/>
      <c r="K239" s="224"/>
      <c r="L239" s="224"/>
      <c r="M239" s="224"/>
      <c r="N239" s="224"/>
      <c r="O239" s="224"/>
      <c r="P239" s="224"/>
      <c r="Q239" s="224"/>
    </row>
    <row r="240" spans="1:17" ht="30" customHeight="1" x14ac:dyDescent="0.2">
      <c r="A240" s="266" t="s">
        <v>9880</v>
      </c>
      <c r="B240" s="267" t="s">
        <v>8708</v>
      </c>
      <c r="C240" s="410"/>
      <c r="D240" s="268" t="s">
        <v>9881</v>
      </c>
      <c r="E240" s="224"/>
      <c r="F240" s="224"/>
      <c r="G240" s="224"/>
      <c r="H240" s="224"/>
      <c r="I240" s="224"/>
      <c r="J240" s="224"/>
      <c r="K240" s="224"/>
      <c r="L240" s="224"/>
      <c r="M240" s="224"/>
      <c r="N240" s="224"/>
      <c r="O240" s="224"/>
      <c r="P240" s="224"/>
      <c r="Q240" s="224"/>
    </row>
    <row r="241" spans="1:17" ht="30" customHeight="1" x14ac:dyDescent="0.2">
      <c r="A241" s="228" t="s">
        <v>9882</v>
      </c>
      <c r="B241" s="226" t="s">
        <v>8708</v>
      </c>
      <c r="C241" s="411"/>
      <c r="D241" s="227" t="s">
        <v>9881</v>
      </c>
      <c r="E241" s="224"/>
      <c r="F241" s="224"/>
      <c r="G241" s="224"/>
      <c r="H241" s="224"/>
      <c r="I241" s="224"/>
      <c r="J241" s="224"/>
      <c r="K241" s="224"/>
      <c r="L241" s="224"/>
      <c r="M241" s="224"/>
      <c r="N241" s="224"/>
      <c r="O241" s="224"/>
      <c r="P241" s="224"/>
      <c r="Q241" s="224"/>
    </row>
    <row r="242" spans="1:17" ht="30" customHeight="1" x14ac:dyDescent="0.2">
      <c r="A242" s="225" t="s">
        <v>9883</v>
      </c>
      <c r="B242" s="309" t="s">
        <v>8708</v>
      </c>
      <c r="C242" s="412"/>
      <c r="D242" s="246" t="s">
        <v>9884</v>
      </c>
      <c r="E242" s="224"/>
      <c r="F242" s="224"/>
      <c r="G242" s="224"/>
      <c r="H242" s="224"/>
      <c r="I242" s="224"/>
      <c r="J242" s="224"/>
      <c r="K242" s="224"/>
      <c r="L242" s="224"/>
      <c r="M242" s="224"/>
      <c r="N242" s="224"/>
      <c r="O242" s="224"/>
      <c r="P242" s="224"/>
      <c r="Q242" s="224"/>
    </row>
    <row r="243" spans="1:17" ht="45" customHeight="1" x14ac:dyDescent="0.2">
      <c r="A243" s="225" t="s">
        <v>9885</v>
      </c>
      <c r="B243" s="310">
        <v>2.635184989986297E-3</v>
      </c>
      <c r="C243" s="412"/>
      <c r="D243" s="246" t="s">
        <v>9886</v>
      </c>
      <c r="E243" s="224"/>
      <c r="F243" s="224"/>
      <c r="G243" s="224"/>
      <c r="H243" s="224"/>
      <c r="I243" s="224"/>
      <c r="J243" s="224"/>
      <c r="K243" s="224"/>
      <c r="L243" s="224"/>
      <c r="M243" s="224"/>
      <c r="N243" s="224"/>
      <c r="O243" s="224"/>
      <c r="P243" s="224"/>
      <c r="Q243" s="224"/>
    </row>
    <row r="244" spans="1:17" ht="30" customHeight="1" x14ac:dyDescent="0.2">
      <c r="A244" s="225" t="s">
        <v>9887</v>
      </c>
      <c r="B244" s="309" t="s">
        <v>8708</v>
      </c>
      <c r="C244" s="412"/>
      <c r="D244" s="246" t="s">
        <v>9795</v>
      </c>
      <c r="E244" s="224"/>
      <c r="F244" s="224"/>
      <c r="G244" s="224"/>
      <c r="H244" s="224"/>
      <c r="I244" s="224"/>
      <c r="J244" s="224"/>
      <c r="K244" s="224"/>
      <c r="L244" s="224"/>
      <c r="M244" s="224"/>
      <c r="N244" s="224"/>
      <c r="O244" s="224"/>
      <c r="P244" s="224"/>
      <c r="Q244" s="224"/>
    </row>
    <row r="245" spans="1:17" ht="30" customHeight="1" x14ac:dyDescent="0.2">
      <c r="A245" s="225" t="s">
        <v>9888</v>
      </c>
      <c r="B245" s="311" t="s">
        <v>8708</v>
      </c>
      <c r="C245" s="412"/>
      <c r="D245" s="246" t="s">
        <v>9889</v>
      </c>
      <c r="E245" s="224"/>
      <c r="F245" s="224"/>
      <c r="H245" s="224"/>
      <c r="I245" s="224"/>
      <c r="J245" s="224"/>
      <c r="K245" s="224"/>
      <c r="L245" s="224"/>
      <c r="M245" s="224"/>
      <c r="N245" s="224"/>
      <c r="O245" s="224"/>
      <c r="P245" s="224"/>
      <c r="Q245" s="224"/>
    </row>
    <row r="246" spans="1:17" ht="35.1" customHeight="1" x14ac:dyDescent="0.35">
      <c r="A246" s="420" t="s">
        <v>10008</v>
      </c>
      <c r="B246" s="309" t="s">
        <v>8708</v>
      </c>
      <c r="C246" s="412"/>
      <c r="D246" s="246" t="s">
        <v>9782</v>
      </c>
      <c r="E246" s="224"/>
      <c r="F246" s="224"/>
      <c r="H246" s="224"/>
      <c r="I246" s="224"/>
      <c r="J246" s="224"/>
      <c r="K246" s="224"/>
      <c r="L246" s="224"/>
      <c r="M246" s="224"/>
      <c r="N246" s="224"/>
      <c r="O246" s="224"/>
      <c r="P246" s="224"/>
      <c r="Q246" s="224"/>
    </row>
    <row r="247" spans="1:17" ht="35.1" customHeight="1" x14ac:dyDescent="0.35">
      <c r="A247" s="421" t="s">
        <v>10009</v>
      </c>
      <c r="B247" s="285">
        <v>70</v>
      </c>
      <c r="C247" s="412"/>
      <c r="D247" s="246" t="s">
        <v>9754</v>
      </c>
      <c r="E247" s="224"/>
      <c r="F247" s="224"/>
      <c r="H247" s="224"/>
      <c r="I247" s="224"/>
      <c r="J247" s="224"/>
      <c r="K247" s="224"/>
      <c r="L247" s="224"/>
      <c r="M247" s="224"/>
      <c r="N247" s="224"/>
      <c r="O247" s="224"/>
      <c r="P247" s="224"/>
      <c r="Q247" s="224"/>
    </row>
    <row r="248" spans="1:17" ht="20.100000000000001" customHeight="1" x14ac:dyDescent="0.2">
      <c r="A248" s="225"/>
      <c r="B248" s="285">
        <f>'TANKS Calculations'!D154+459.67</f>
        <v>529.67000000000007</v>
      </c>
      <c r="C248" s="412"/>
      <c r="D248" s="246" t="s">
        <v>9755</v>
      </c>
      <c r="E248" s="224"/>
      <c r="F248" s="224"/>
      <c r="H248" s="224"/>
      <c r="I248" s="224"/>
      <c r="J248" s="224"/>
      <c r="K248" s="224"/>
      <c r="L248" s="224"/>
      <c r="M248" s="224"/>
      <c r="N248" s="224"/>
      <c r="O248" s="224"/>
      <c r="P248" s="224"/>
      <c r="Q248" s="224"/>
    </row>
    <row r="249" spans="1:17" ht="35.1" customHeight="1" x14ac:dyDescent="0.35">
      <c r="A249" s="422" t="s">
        <v>10010</v>
      </c>
      <c r="B249" s="285">
        <v>0.9</v>
      </c>
      <c r="C249" s="412"/>
      <c r="D249" s="246" t="s">
        <v>9881</v>
      </c>
      <c r="E249" s="224"/>
      <c r="F249" s="224"/>
      <c r="H249" s="224"/>
      <c r="I249" s="224"/>
    </row>
    <row r="250" spans="1:17" ht="30" customHeight="1" x14ac:dyDescent="0.2">
      <c r="A250" s="225" t="s">
        <v>9890</v>
      </c>
      <c r="B250" s="285">
        <v>0.8</v>
      </c>
      <c r="C250" s="412"/>
      <c r="D250" s="246" t="s">
        <v>9881</v>
      </c>
      <c r="E250" s="224"/>
      <c r="F250" s="224"/>
      <c r="H250" s="224"/>
      <c r="I250" s="224"/>
      <c r="J250" s="224"/>
      <c r="K250" s="224"/>
      <c r="L250" s="224"/>
      <c r="M250" s="224"/>
      <c r="N250" s="224"/>
      <c r="O250" s="224"/>
      <c r="P250" s="224"/>
      <c r="Q250" s="224"/>
    </row>
    <row r="251" spans="1:17" ht="30" customHeight="1" x14ac:dyDescent="0.2">
      <c r="A251" s="225" t="s">
        <v>9891</v>
      </c>
      <c r="B251" s="285">
        <f>'TANKS Calculations'!D156*(1+(0.00005912*'TANKS Calculations'!D151*'TANKS Calculations'!D154*LOG10('TANKS Calculations'!D153/114.7)))</f>
        <v>0.9</v>
      </c>
      <c r="C251" s="412"/>
      <c r="D251" s="246" t="s">
        <v>9881</v>
      </c>
      <c r="E251" s="224"/>
      <c r="G251" s="224"/>
      <c r="H251" s="224"/>
      <c r="I251" s="224"/>
      <c r="J251" s="224"/>
      <c r="K251" s="224"/>
      <c r="L251" s="224"/>
      <c r="M251" s="224"/>
      <c r="N251" s="224"/>
      <c r="O251" s="224"/>
      <c r="P251" s="224"/>
      <c r="Q251" s="224"/>
    </row>
    <row r="252" spans="1:17" ht="30" customHeight="1" x14ac:dyDescent="0.2">
      <c r="A252" s="422" t="s">
        <v>10011</v>
      </c>
      <c r="B252" s="245">
        <f>IF('TANKS Calculations'!D151&gt;=30,0.0178,0.0362)</f>
        <v>3.6200000000000003E-2</v>
      </c>
      <c r="C252" s="412"/>
      <c r="D252" s="246" t="s">
        <v>9881</v>
      </c>
      <c r="E252" s="224"/>
      <c r="G252" s="224"/>
      <c r="H252" s="224"/>
      <c r="I252" s="224"/>
      <c r="J252" s="224"/>
      <c r="K252" s="224"/>
      <c r="L252" s="224"/>
      <c r="M252" s="224"/>
      <c r="N252" s="224"/>
      <c r="O252" s="224"/>
      <c r="P252" s="224"/>
      <c r="Q252" s="224"/>
    </row>
    <row r="253" spans="1:17" ht="30" customHeight="1" x14ac:dyDescent="0.2">
      <c r="A253" s="422" t="s">
        <v>10012</v>
      </c>
      <c r="B253" s="285">
        <f>IF('TANKS Calculations'!D151&gt;=30,1.187,1.0937)</f>
        <v>1.0936999999999999</v>
      </c>
      <c r="C253" s="412"/>
      <c r="D253" s="246" t="s">
        <v>9881</v>
      </c>
      <c r="E253" s="224"/>
      <c r="G253" s="224"/>
      <c r="H253" s="224"/>
      <c r="I253" s="224"/>
      <c r="J253" s="224"/>
      <c r="K253" s="224"/>
      <c r="L253" s="224"/>
      <c r="M253" s="224"/>
      <c r="N253" s="224"/>
      <c r="O253" s="224"/>
      <c r="P253" s="224"/>
      <c r="Q253" s="224"/>
    </row>
    <row r="254" spans="1:17" ht="30" customHeight="1" x14ac:dyDescent="0.2">
      <c r="A254" s="422" t="s">
        <v>10013</v>
      </c>
      <c r="B254" s="285">
        <f>IF('TANKS Calculations'!D151&gt;=30,23.931,25.724)</f>
        <v>25.724</v>
      </c>
      <c r="C254" s="412"/>
      <c r="D254" s="246" t="s">
        <v>9881</v>
      </c>
      <c r="E254" s="224"/>
      <c r="G254" s="224"/>
      <c r="H254" s="224"/>
      <c r="I254" s="224"/>
      <c r="J254" s="224"/>
      <c r="K254" s="224"/>
      <c r="L254" s="224"/>
      <c r="M254" s="224"/>
      <c r="N254" s="224"/>
      <c r="O254" s="224"/>
      <c r="P254" s="224"/>
      <c r="Q254" s="224"/>
    </row>
    <row r="255" spans="1:17" ht="35.1" customHeight="1" x14ac:dyDescent="0.35">
      <c r="A255" s="225" t="s">
        <v>9892</v>
      </c>
      <c r="B255" s="285">
        <f>('TANKS Calculations'!D159*'TANKS Calculations'!D158*(('TANKS Calculations'!D153)^'TANKS Calculations'!D160))*EXP(('TANKS Calculations'!D161*'TANKS Calculations'!D151)/('TANKS Calculations'!D155))</f>
        <v>0.61609268022449837</v>
      </c>
      <c r="C255" s="412"/>
      <c r="D255" s="246" t="s">
        <v>9881</v>
      </c>
      <c r="E255" s="224"/>
      <c r="G255" s="224"/>
      <c r="H255" s="224"/>
      <c r="I255" s="224"/>
      <c r="J255" s="224"/>
      <c r="K255" s="224"/>
      <c r="L255" s="224"/>
      <c r="M255" s="224"/>
      <c r="N255" s="224"/>
      <c r="O255" s="224"/>
      <c r="P255" s="224"/>
      <c r="Q255" s="224"/>
    </row>
    <row r="256" spans="1:17" ht="45" customHeight="1" x14ac:dyDescent="0.2">
      <c r="A256" s="225" t="s">
        <v>9893</v>
      </c>
      <c r="B256" s="310">
        <v>2.635184989986297E-3</v>
      </c>
      <c r="C256" s="412"/>
      <c r="D256" s="246" t="s">
        <v>9886</v>
      </c>
      <c r="E256" s="224"/>
      <c r="G256" s="224"/>
      <c r="H256" s="224"/>
      <c r="I256" s="224"/>
      <c r="J256" s="224"/>
      <c r="K256" s="224"/>
      <c r="L256" s="224"/>
      <c r="M256" s="224"/>
      <c r="N256" s="224"/>
      <c r="O256" s="224"/>
      <c r="P256" s="224"/>
      <c r="Q256" s="224"/>
    </row>
    <row r="257" spans="1:17" ht="30" customHeight="1" thickBot="1" x14ac:dyDescent="0.25">
      <c r="A257" s="247" t="s">
        <v>9894</v>
      </c>
      <c r="B257" s="261">
        <f>'TANKS Calculations'!D162*'TANKS Calculations'!D17*IF(B12="Floating",'TANKS Calculations'!D76,'TANKS Calculations'!D64)*'TANKS Calculations'!D163</f>
        <v>0</v>
      </c>
      <c r="C257" s="413"/>
      <c r="D257" s="249" t="s">
        <v>9895</v>
      </c>
      <c r="E257" s="224"/>
      <c r="G257" s="224"/>
      <c r="H257" s="224"/>
      <c r="I257" s="224"/>
      <c r="J257" s="224"/>
      <c r="K257" s="224"/>
      <c r="L257" s="224"/>
      <c r="M257" s="224"/>
      <c r="N257" s="224"/>
      <c r="O257" s="224"/>
      <c r="P257" s="224"/>
      <c r="Q257" s="224"/>
    </row>
    <row r="258" spans="1:17" ht="30" customHeight="1" thickBot="1" x14ac:dyDescent="0.3">
      <c r="A258" s="161" t="s">
        <v>9896</v>
      </c>
      <c r="B258" s="312">
        <f>IF(OR(,ISBLANK(C240),C240="No",C241="Computer Simulation Modeling",C241="Direct Measurement"),0,IF(C241="Laboratory GOR",'TANKS Calculations'!D148*'TANKS Calculations'!D17*'TANKS Calculations'!D150*'TANKS Calculations'!D149,'TANKS Calculations'!D164*'TANKS Calculations'!D157))</f>
        <v>0</v>
      </c>
      <c r="C258" s="414"/>
      <c r="D258" s="313" t="s">
        <v>9895</v>
      </c>
      <c r="E258" s="224"/>
      <c r="F258" s="224"/>
      <c r="G258" s="224"/>
      <c r="H258" s="224"/>
      <c r="I258" s="224"/>
      <c r="J258" s="224"/>
      <c r="K258" s="224"/>
      <c r="L258" s="224"/>
      <c r="M258" s="224"/>
      <c r="N258" s="224"/>
      <c r="O258" s="224"/>
      <c r="P258" s="224"/>
      <c r="Q258" s="224"/>
    </row>
    <row r="259" spans="1:17" ht="30" customHeight="1" thickBot="1" x14ac:dyDescent="0.25">
      <c r="A259" s="1376" t="s">
        <v>8411</v>
      </c>
      <c r="B259" s="1376"/>
      <c r="C259" s="1376"/>
      <c r="D259" s="1376"/>
      <c r="E259" s="224"/>
      <c r="F259" s="224"/>
      <c r="G259" s="224"/>
    </row>
    <row r="260" spans="1:17" ht="44.25" customHeight="1" thickBot="1" x14ac:dyDescent="0.3">
      <c r="A260" s="1352" t="s">
        <v>9897</v>
      </c>
      <c r="B260" s="1358"/>
      <c r="C260" s="1358"/>
      <c r="D260" s="1359"/>
      <c r="E260" s="224"/>
      <c r="F260" s="224"/>
      <c r="G260" s="224"/>
      <c r="H260" s="224"/>
      <c r="I260" s="224"/>
      <c r="J260" s="224"/>
      <c r="K260" s="224"/>
      <c r="L260" s="224"/>
      <c r="M260" s="224"/>
      <c r="N260" s="224"/>
      <c r="O260" s="224"/>
      <c r="P260" s="224"/>
      <c r="Q260" s="224"/>
    </row>
    <row r="261" spans="1:17" ht="20.100000000000001" customHeight="1" thickBot="1" x14ac:dyDescent="0.3">
      <c r="A261" s="152" t="s">
        <v>9685</v>
      </c>
      <c r="B261" s="153" t="s">
        <v>9686</v>
      </c>
      <c r="C261" s="154" t="s">
        <v>9687</v>
      </c>
      <c r="D261" s="155" t="s">
        <v>9688</v>
      </c>
      <c r="E261" s="224"/>
      <c r="F261" s="224"/>
      <c r="G261" s="224"/>
      <c r="H261" s="224"/>
      <c r="I261" s="224"/>
      <c r="J261" s="224"/>
      <c r="K261" s="224"/>
      <c r="L261" s="224"/>
      <c r="M261" s="224"/>
      <c r="N261" s="224"/>
      <c r="O261" s="224"/>
      <c r="P261" s="224"/>
      <c r="Q261" s="224"/>
    </row>
    <row r="262" spans="1:17" ht="20.100000000000001" customHeight="1" x14ac:dyDescent="0.2">
      <c r="A262" s="266" t="s">
        <v>9898</v>
      </c>
      <c r="B262" s="267" t="s">
        <v>8708</v>
      </c>
      <c r="C262" s="386"/>
      <c r="D262" s="268" t="s">
        <v>9689</v>
      </c>
      <c r="E262" s="224"/>
      <c r="F262" s="224"/>
      <c r="G262" s="224"/>
      <c r="H262" s="224"/>
      <c r="I262" s="224"/>
      <c r="J262" s="224"/>
      <c r="K262" s="224"/>
      <c r="L262" s="224"/>
      <c r="M262" s="224"/>
      <c r="N262" s="224"/>
      <c r="O262" s="224"/>
      <c r="P262" s="224"/>
      <c r="Q262" s="224"/>
    </row>
    <row r="263" spans="1:17" ht="35.1" customHeight="1" x14ac:dyDescent="0.35">
      <c r="A263" s="256" t="s">
        <v>9899</v>
      </c>
      <c r="B263" s="291">
        <f>'TANKS Calculations'!D17</f>
        <v>0</v>
      </c>
      <c r="C263" s="397"/>
      <c r="D263" s="259" t="s">
        <v>9728</v>
      </c>
      <c r="E263" s="224"/>
      <c r="F263" s="224"/>
      <c r="G263" s="224"/>
      <c r="H263" s="224"/>
      <c r="I263" s="224"/>
      <c r="J263" s="224"/>
      <c r="K263" s="224"/>
      <c r="L263" s="224"/>
      <c r="M263" s="224"/>
      <c r="N263" s="224"/>
      <c r="O263" s="224"/>
      <c r="P263" s="224"/>
      <c r="Q263" s="224"/>
    </row>
    <row r="264" spans="1:17" ht="35.1" customHeight="1" x14ac:dyDescent="0.35">
      <c r="A264" s="256" t="s">
        <v>9900</v>
      </c>
      <c r="B264" s="301" t="s">
        <v>8708</v>
      </c>
      <c r="C264" s="397"/>
      <c r="D264" s="259" t="s">
        <v>9901</v>
      </c>
      <c r="E264" s="224"/>
      <c r="F264" s="224"/>
      <c r="G264" s="224"/>
      <c r="H264" s="224"/>
      <c r="I264" s="224"/>
      <c r="J264" s="224"/>
      <c r="K264" s="224"/>
      <c r="L264" s="224"/>
      <c r="M264" s="224"/>
      <c r="N264" s="224"/>
      <c r="O264" s="224"/>
      <c r="P264" s="224"/>
      <c r="Q264" s="224"/>
    </row>
    <row r="265" spans="1:17" ht="35.1" customHeight="1" thickBot="1" x14ac:dyDescent="0.25">
      <c r="A265" s="350" t="s">
        <v>10001</v>
      </c>
      <c r="B265" s="301" t="s">
        <v>8708</v>
      </c>
      <c r="C265" s="397"/>
      <c r="D265" s="259" t="s">
        <v>9689</v>
      </c>
      <c r="E265" s="224"/>
      <c r="F265" s="224"/>
      <c r="G265" s="224"/>
      <c r="H265" s="224"/>
      <c r="I265" s="224"/>
      <c r="J265" s="224"/>
      <c r="K265" s="224"/>
      <c r="L265" s="224"/>
      <c r="M265" s="224"/>
      <c r="N265" s="224"/>
      <c r="O265" s="224"/>
      <c r="P265" s="224"/>
      <c r="Q265" s="224"/>
    </row>
    <row r="266" spans="1:17" ht="30" customHeight="1" x14ac:dyDescent="0.25">
      <c r="A266" s="162" t="s">
        <v>9902</v>
      </c>
      <c r="B266" s="238">
        <f>IFERROR(IF(C262="yes",1,0)*0.024*IF(B12="Fixed",'TANKS Calculations'!D64,'TANKS Calculations'!D76)*'TANKS Calculations'!D51*('TANKS Calculations'!D166-('TANKS Calculations'!D167*'TANKS Calculations'!D168/4))/'TANKS Calculations'!D166,0)</f>
        <v>0</v>
      </c>
      <c r="C266" s="415"/>
      <c r="D266" s="314" t="s">
        <v>9903</v>
      </c>
      <c r="E266" s="224"/>
      <c r="F266" s="224"/>
      <c r="G266" s="224"/>
      <c r="H266" s="224"/>
      <c r="I266" s="224"/>
      <c r="J266" s="224"/>
      <c r="K266" s="224"/>
      <c r="L266" s="224"/>
      <c r="M266" s="224"/>
      <c r="N266" s="224"/>
      <c r="O266" s="224"/>
      <c r="P266" s="224"/>
      <c r="Q266" s="224"/>
    </row>
    <row r="267" spans="1:17" ht="20.100000000000001" customHeight="1" thickBot="1" x14ac:dyDescent="0.25">
      <c r="A267" s="230"/>
      <c r="B267" s="290">
        <f>'TANKS Calculations'!D169*'TANKS Calculations'!D166*0.042</f>
        <v>0</v>
      </c>
      <c r="C267" s="416"/>
      <c r="D267" s="231" t="s">
        <v>9895</v>
      </c>
      <c r="E267" s="224"/>
      <c r="F267" s="224"/>
      <c r="G267" s="224"/>
      <c r="H267" s="224"/>
      <c r="I267" s="224"/>
      <c r="J267" s="224"/>
      <c r="K267" s="224"/>
      <c r="L267" s="224"/>
      <c r="M267" s="224"/>
      <c r="N267" s="224"/>
      <c r="O267" s="224"/>
      <c r="P267" s="224"/>
      <c r="Q267" s="224"/>
    </row>
    <row r="268" spans="1:17" ht="30" customHeight="1" thickBot="1" x14ac:dyDescent="0.25">
      <c r="A268" s="1376" t="s">
        <v>8411</v>
      </c>
      <c r="B268" s="1376"/>
      <c r="C268" s="1376"/>
      <c r="D268" s="1376"/>
      <c r="E268" s="224"/>
      <c r="F268" s="224"/>
      <c r="G268" s="224"/>
      <c r="H268" s="224"/>
    </row>
    <row r="269" spans="1:17" ht="45" customHeight="1" thickBot="1" x14ac:dyDescent="0.3">
      <c r="A269" s="1352" t="s">
        <v>9904</v>
      </c>
      <c r="B269" s="1358"/>
      <c r="C269" s="1358"/>
      <c r="D269" s="1358"/>
      <c r="E269" s="1359"/>
      <c r="F269" s="224"/>
      <c r="G269" s="224"/>
      <c r="H269" s="224"/>
      <c r="I269" s="224"/>
      <c r="J269" s="224"/>
      <c r="K269" s="224"/>
      <c r="L269" s="224"/>
      <c r="M269" s="224"/>
      <c r="N269" s="224"/>
      <c r="O269" s="224"/>
      <c r="P269" s="224"/>
      <c r="Q269" s="224"/>
    </row>
    <row r="270" spans="1:17" ht="20.100000000000001" customHeight="1" x14ac:dyDescent="0.25">
      <c r="A270" s="163" t="s">
        <v>9905</v>
      </c>
      <c r="B270" s="164" t="s">
        <v>9686</v>
      </c>
      <c r="C270" s="165" t="s">
        <v>9688</v>
      </c>
      <c r="D270" s="164" t="s">
        <v>9686</v>
      </c>
      <c r="E270" s="165" t="s">
        <v>9688</v>
      </c>
      <c r="F270" s="224"/>
      <c r="G270" s="224"/>
      <c r="H270" s="224"/>
      <c r="I270" s="224"/>
      <c r="J270" s="224"/>
      <c r="K270" s="224"/>
      <c r="L270" s="224"/>
      <c r="M270" s="224"/>
      <c r="N270" s="224"/>
      <c r="O270" s="224"/>
      <c r="P270" s="224"/>
      <c r="Q270" s="224"/>
    </row>
    <row r="271" spans="1:17" ht="35.1" customHeight="1" x14ac:dyDescent="0.35">
      <c r="A271" s="284" t="s">
        <v>9906</v>
      </c>
      <c r="B271" s="285">
        <f>IF(B12="Fixed",365*'TANKS Calculations'!D61*'TANKS Calculations'!D63*'TANKS Calculations'!D66*'TANKS Calculations'!D65*'TANKS Calculations'!D53,0)</f>
        <v>0</v>
      </c>
      <c r="C271" s="246" t="s">
        <v>9895</v>
      </c>
      <c r="D271" s="285">
        <f>B271/2000</f>
        <v>0</v>
      </c>
      <c r="E271" s="246" t="s">
        <v>9907</v>
      </c>
      <c r="F271" s="224"/>
      <c r="G271" s="224"/>
      <c r="H271" s="224"/>
      <c r="I271" s="224"/>
      <c r="J271" s="224"/>
      <c r="K271" s="224"/>
      <c r="L271" s="224"/>
      <c r="M271" s="224"/>
      <c r="N271" s="224"/>
      <c r="O271" s="224"/>
      <c r="P271" s="224"/>
      <c r="Q271" s="224"/>
    </row>
    <row r="272" spans="1:17" ht="35.1" customHeight="1" x14ac:dyDescent="0.35">
      <c r="A272" s="284" t="s">
        <v>9908</v>
      </c>
      <c r="B272" s="285">
        <f>'TANKS Calculations'!D165</f>
        <v>0</v>
      </c>
      <c r="C272" s="246" t="s">
        <v>9895</v>
      </c>
      <c r="D272" s="285">
        <f>B272/2000</f>
        <v>0</v>
      </c>
      <c r="E272" s="246" t="s">
        <v>9907</v>
      </c>
      <c r="F272" s="224"/>
      <c r="G272" s="224"/>
      <c r="H272" s="224"/>
      <c r="I272" s="224"/>
      <c r="J272" s="224"/>
      <c r="K272" s="224"/>
      <c r="L272" s="224"/>
      <c r="M272" s="224"/>
      <c r="N272" s="224"/>
      <c r="O272" s="224"/>
      <c r="P272" s="224"/>
      <c r="Q272" s="224"/>
    </row>
    <row r="273" spans="1:17" ht="35.1" customHeight="1" x14ac:dyDescent="0.35">
      <c r="A273" s="284" t="s">
        <v>9909</v>
      </c>
      <c r="B273" s="285">
        <f>IF(C262="Yes",IF(B12="Fixed",'TANKS Calculations'!D170*'TANKS Calculations'!D53,0),0)</f>
        <v>0</v>
      </c>
      <c r="C273" s="246" t="s">
        <v>9895</v>
      </c>
      <c r="D273" s="252">
        <f>B273/2000</f>
        <v>0</v>
      </c>
      <c r="E273" s="227" t="s">
        <v>9907</v>
      </c>
      <c r="F273" s="224"/>
      <c r="G273" s="224"/>
      <c r="H273" s="224"/>
      <c r="I273" s="224"/>
      <c r="J273" s="224"/>
      <c r="K273" s="224"/>
      <c r="L273" s="224"/>
      <c r="M273" s="224"/>
      <c r="N273" s="224"/>
      <c r="O273" s="224"/>
      <c r="P273" s="224"/>
      <c r="Q273" s="224"/>
    </row>
    <row r="274" spans="1:17" ht="35.1" customHeight="1" x14ac:dyDescent="0.35">
      <c r="A274" s="233" t="s">
        <v>9910</v>
      </c>
      <c r="B274" s="252">
        <f>IF(B12="Fixed",'TANKS Calculations'!D20*'TANKS Calculations'!D21*'TANKS Calculations'!D4*'TANKS Calculations'!D63*'TANKS Calculations'!D68*'TANKS Calculations'!D53,0)</f>
        <v>0</v>
      </c>
      <c r="C274" s="227" t="s">
        <v>9895</v>
      </c>
      <c r="D274" s="252">
        <f>B274/2000</f>
        <v>0</v>
      </c>
      <c r="E274" s="227" t="s">
        <v>9907</v>
      </c>
      <c r="F274" s="224"/>
      <c r="G274" s="224"/>
      <c r="H274" s="224"/>
      <c r="I274" s="224"/>
      <c r="J274" s="224"/>
      <c r="K274" s="224"/>
      <c r="L274" s="224"/>
      <c r="M274" s="224"/>
      <c r="N274" s="224"/>
      <c r="O274" s="224"/>
      <c r="P274" s="224"/>
      <c r="Q274" s="224"/>
    </row>
    <row r="275" spans="1:17" ht="35.1" customHeight="1" thickBot="1" x14ac:dyDescent="0.35">
      <c r="A275" s="166" t="s">
        <v>9911</v>
      </c>
      <c r="B275" s="290">
        <f>B271+B273+B274</f>
        <v>0</v>
      </c>
      <c r="C275" s="231" t="s">
        <v>9895</v>
      </c>
      <c r="D275" s="290">
        <f>B275/2000</f>
        <v>0</v>
      </c>
      <c r="E275" s="231" t="s">
        <v>9907</v>
      </c>
      <c r="F275" s="224"/>
      <c r="G275" s="224"/>
      <c r="H275" s="224"/>
      <c r="I275" s="224"/>
      <c r="J275" s="224"/>
      <c r="K275" s="224"/>
      <c r="L275" s="224"/>
      <c r="M275" s="224"/>
      <c r="N275" s="224"/>
      <c r="O275" s="224"/>
      <c r="P275" s="224"/>
      <c r="Q275" s="224"/>
    </row>
    <row r="276" spans="1:17" ht="45" customHeight="1" thickBot="1" x14ac:dyDescent="0.3">
      <c r="A276" s="1352" t="s">
        <v>9912</v>
      </c>
      <c r="B276" s="1358"/>
      <c r="C276" s="1358"/>
      <c r="D276" s="1358"/>
      <c r="E276" s="1359"/>
      <c r="F276" s="224"/>
      <c r="G276" s="224"/>
      <c r="H276" s="224"/>
      <c r="I276" s="224"/>
      <c r="J276" s="224"/>
      <c r="K276" s="224"/>
      <c r="L276" s="224"/>
      <c r="M276" s="224"/>
      <c r="N276" s="224"/>
      <c r="O276" s="224"/>
      <c r="P276" s="224"/>
      <c r="Q276" s="224"/>
    </row>
    <row r="277" spans="1:17" ht="20.100000000000001" customHeight="1" thickBot="1" x14ac:dyDescent="0.3">
      <c r="A277" s="167" t="s">
        <v>9905</v>
      </c>
      <c r="B277" s="168" t="s">
        <v>9686</v>
      </c>
      <c r="C277" s="169" t="s">
        <v>9688</v>
      </c>
      <c r="D277" s="168" t="s">
        <v>9686</v>
      </c>
      <c r="E277" s="169" t="s">
        <v>9688</v>
      </c>
      <c r="F277" s="224"/>
      <c r="G277" s="224"/>
      <c r="H277" s="224"/>
      <c r="I277" s="224"/>
      <c r="J277" s="224"/>
      <c r="K277" s="224"/>
      <c r="L277" s="224"/>
      <c r="M277" s="224"/>
      <c r="N277" s="224"/>
      <c r="O277" s="224"/>
      <c r="P277" s="224"/>
      <c r="Q277" s="224"/>
    </row>
    <row r="278" spans="1:17" ht="35.1" customHeight="1" x14ac:dyDescent="0.35">
      <c r="A278" s="237" t="s">
        <v>9913</v>
      </c>
      <c r="B278" s="315">
        <f>IF(B12="Floating",IFERROR(('TANKS Calculations'!D73+'TANKS Calculations'!D74*('TANKS Calculations'!D77^'TANKS Calculations'!D75))*'TANKS Calculations'!D8*'TANKS Calculations'!D78*'TANKS Calculations'!D76*'TANKS Calculations'!D4,0)*'TANKS Calculations'!D53,0)</f>
        <v>0</v>
      </c>
      <c r="C278" s="268" t="s">
        <v>9895</v>
      </c>
      <c r="D278" s="315">
        <f t="shared" ref="D278:D290" si="7">B278/2000</f>
        <v>0</v>
      </c>
      <c r="E278" s="268" t="s">
        <v>9907</v>
      </c>
      <c r="F278" s="224"/>
      <c r="G278" s="224"/>
      <c r="H278" s="224"/>
      <c r="I278" s="224"/>
      <c r="J278" s="224"/>
      <c r="K278" s="224"/>
      <c r="L278" s="224"/>
      <c r="M278" s="224"/>
      <c r="N278" s="224"/>
      <c r="O278" s="224"/>
      <c r="P278" s="224"/>
      <c r="Q278" s="224"/>
    </row>
    <row r="279" spans="1:17" ht="35.1" customHeight="1" x14ac:dyDescent="0.35">
      <c r="A279" s="284" t="s">
        <v>9914</v>
      </c>
      <c r="B279" s="316">
        <f>IF(B12="Floating",'TANKS Calculations'!D84*'TANKS Calculations'!D78*'TANKS Calculations'!D76*'TANKS Calculations'!D4*'TANKS Calculations'!D53,0)</f>
        <v>0</v>
      </c>
      <c r="C279" s="246" t="s">
        <v>9895</v>
      </c>
      <c r="D279" s="316">
        <f t="shared" si="7"/>
        <v>0</v>
      </c>
      <c r="E279" s="246" t="s">
        <v>9907</v>
      </c>
      <c r="F279" s="224"/>
      <c r="G279" s="224"/>
      <c r="H279" s="224"/>
      <c r="I279" s="224"/>
      <c r="J279" s="224"/>
      <c r="K279" s="224"/>
      <c r="L279" s="224"/>
      <c r="M279" s="224"/>
      <c r="N279" s="224"/>
      <c r="O279" s="224"/>
      <c r="P279" s="224"/>
      <c r="Q279" s="224"/>
    </row>
    <row r="280" spans="1:17" ht="35.1" customHeight="1" x14ac:dyDescent="0.35">
      <c r="A280" s="233" t="s">
        <v>9915</v>
      </c>
      <c r="B280" s="260">
        <f>IF(B12="Floating",IF(OR(C183="Yes",C68="External Floating Roof",C68="Domed/Covered External Floating Roof"),0,'TANKS Calculations'!D88*'TANKS Calculations'!D87*'TANKS Calculations'!D78*'TANKS Calculations'!D76*'TANKS Calculations'!D4*('TANKS Calculations'!D8^2))*'TANKS Calculations'!D53,0)</f>
        <v>0</v>
      </c>
      <c r="C280" s="227" t="s">
        <v>9895</v>
      </c>
      <c r="D280" s="260">
        <f t="shared" si="7"/>
        <v>0</v>
      </c>
      <c r="E280" s="227" t="s">
        <v>9907</v>
      </c>
      <c r="F280" s="224"/>
      <c r="G280" s="224"/>
      <c r="H280" s="224"/>
      <c r="I280" s="224"/>
      <c r="J280" s="224"/>
      <c r="K280" s="224"/>
      <c r="L280" s="224"/>
      <c r="M280" s="224"/>
      <c r="N280" s="224"/>
      <c r="O280" s="224"/>
      <c r="P280" s="224"/>
      <c r="Q280" s="224"/>
    </row>
    <row r="281" spans="1:17" ht="35.1" customHeight="1" thickBot="1" x14ac:dyDescent="0.4">
      <c r="A281" s="317" t="s">
        <v>9916</v>
      </c>
      <c r="B281" s="318">
        <f>B278+B279+B280</f>
        <v>0</v>
      </c>
      <c r="C281" s="231" t="s">
        <v>9895</v>
      </c>
      <c r="D281" s="318">
        <f t="shared" si="7"/>
        <v>0</v>
      </c>
      <c r="E281" s="231" t="s">
        <v>9907</v>
      </c>
      <c r="F281" s="224"/>
      <c r="G281" s="224"/>
      <c r="H281" s="224"/>
      <c r="I281" s="224"/>
      <c r="J281" s="224"/>
      <c r="K281" s="224"/>
      <c r="L281" s="224"/>
      <c r="M281" s="224"/>
      <c r="N281" s="224"/>
      <c r="O281" s="224"/>
      <c r="P281" s="224"/>
      <c r="Q281" s="224"/>
    </row>
    <row r="282" spans="1:17" ht="35.1" customHeight="1" x14ac:dyDescent="0.35">
      <c r="A282" s="237" t="s">
        <v>9908</v>
      </c>
      <c r="B282" s="315">
        <f>'TANKS Calculations'!D165</f>
        <v>0</v>
      </c>
      <c r="C282" s="268" t="s">
        <v>9895</v>
      </c>
      <c r="D282" s="315">
        <f t="shared" si="7"/>
        <v>0</v>
      </c>
      <c r="E282" s="268" t="s">
        <v>9907</v>
      </c>
      <c r="F282" s="224"/>
      <c r="G282" s="224"/>
      <c r="H282" s="224"/>
      <c r="I282" s="224"/>
      <c r="J282" s="224"/>
      <c r="K282" s="224"/>
      <c r="L282" s="224"/>
      <c r="M282" s="224"/>
      <c r="N282" s="224"/>
      <c r="O282" s="224"/>
      <c r="P282" s="224"/>
      <c r="Q282" s="224"/>
    </row>
    <row r="283" spans="1:17" ht="35.1" customHeight="1" x14ac:dyDescent="0.35">
      <c r="A283" s="284" t="s">
        <v>9917</v>
      </c>
      <c r="B283" s="316">
        <f>IFERROR(IF(B12="Floating",(0.943*'TANKS Calculations'!D17*'TANKS Calculations'!D80*'TANKS Calculations'!D83*(1+('TANKS Calculations'!D81*'TANKS Calculations'!D82/'TANKS Calculations'!D8))/'TANKS Calculations'!D8)*'TANKS Calculations'!D53,0),0)</f>
        <v>0</v>
      </c>
      <c r="C283" s="246" t="s">
        <v>9895</v>
      </c>
      <c r="D283" s="316">
        <f>B283/2000</f>
        <v>0</v>
      </c>
      <c r="E283" s="246" t="s">
        <v>9907</v>
      </c>
      <c r="F283" s="224"/>
      <c r="G283" s="224"/>
      <c r="H283" s="224"/>
      <c r="I283" s="224"/>
      <c r="J283" s="224"/>
      <c r="K283" s="224"/>
      <c r="L283" s="224"/>
      <c r="M283" s="224"/>
      <c r="N283" s="224"/>
      <c r="O283" s="224"/>
      <c r="P283" s="224"/>
      <c r="Q283" s="224"/>
    </row>
    <row r="284" spans="1:17" ht="35.1" customHeight="1" x14ac:dyDescent="0.35">
      <c r="A284" s="284" t="s">
        <v>9909</v>
      </c>
      <c r="B284" s="285">
        <f>IFERROR(IF(B12="Floating",'TANKS Calculations'!D170*'TANKS Calculations'!D53,0),0)</f>
        <v>0</v>
      </c>
      <c r="C284" s="246" t="s">
        <v>9895</v>
      </c>
      <c r="D284" s="252">
        <f>B284/2000</f>
        <v>0</v>
      </c>
      <c r="E284" s="227" t="s">
        <v>9907</v>
      </c>
      <c r="F284" s="224"/>
      <c r="G284" s="224"/>
      <c r="H284" s="224"/>
      <c r="I284" s="224"/>
      <c r="J284" s="224"/>
      <c r="K284" s="224"/>
      <c r="L284" s="224"/>
      <c r="M284" s="224"/>
      <c r="N284" s="224"/>
      <c r="O284" s="224"/>
      <c r="P284" s="224"/>
      <c r="Q284" s="224"/>
    </row>
    <row r="285" spans="1:17" ht="35.1" customHeight="1" thickBot="1" x14ac:dyDescent="0.35">
      <c r="A285" s="166" t="s">
        <v>9918</v>
      </c>
      <c r="B285" s="318">
        <f>B281+B283+B284</f>
        <v>0</v>
      </c>
      <c r="C285" s="231" t="s">
        <v>9895</v>
      </c>
      <c r="D285" s="318">
        <f>B285/2000</f>
        <v>0</v>
      </c>
      <c r="E285" s="231" t="s">
        <v>9907</v>
      </c>
      <c r="F285" s="224"/>
      <c r="G285" s="224"/>
      <c r="H285" s="224"/>
      <c r="I285" s="224"/>
      <c r="J285" s="224"/>
      <c r="K285" s="224"/>
      <c r="L285" s="224"/>
      <c r="M285" s="224"/>
      <c r="N285" s="224"/>
      <c r="O285" s="224"/>
      <c r="P285" s="224"/>
      <c r="Q285" s="224"/>
    </row>
    <row r="286" spans="1:17" ht="35.1" customHeight="1" x14ac:dyDescent="0.35">
      <c r="A286" s="237" t="s">
        <v>9919</v>
      </c>
      <c r="B286" s="315">
        <f>IF(B12="Floating",0.57*'TANKS Calculations'!D101*'TANKS Calculations'!D97*'TANKS Calculations'!D96*'TANKS Calculations'!D53,0)</f>
        <v>0</v>
      </c>
      <c r="C286" s="268" t="s">
        <v>9895</v>
      </c>
      <c r="D286" s="315">
        <f>B286/2000</f>
        <v>0</v>
      </c>
      <c r="E286" s="268" t="s">
        <v>9907</v>
      </c>
      <c r="F286" s="224"/>
      <c r="G286" s="224"/>
      <c r="H286" s="224"/>
      <c r="I286" s="224"/>
      <c r="J286" s="224"/>
      <c r="K286" s="224"/>
      <c r="L286" s="224"/>
      <c r="M286" s="224"/>
      <c r="N286" s="224"/>
      <c r="O286" s="224"/>
      <c r="P286" s="224"/>
      <c r="Q286" s="224"/>
    </row>
    <row r="287" spans="1:17" ht="35.1" customHeight="1" x14ac:dyDescent="0.35">
      <c r="A287" s="284" t="s">
        <v>9920</v>
      </c>
      <c r="B287" s="316">
        <f>IF(B12="Floating",MIN(IF(C68="Internal Floating Roof",IF(ISBLANK(C203),365,'TANKS Calculations'!D101)*'TANKS Calculations'!D61*'TANKS Calculations'!D98*'TANKS Calculations'!D99*'TANKS Calculations'!D100,0.57*'TANKS Calculations'!D101*'TANKS Calculations'!D78*'TANKS Calculations'!D96*'TANKS Calculations'!D8),'TANKS Calculations'!D91)*'TANKS Calculations'!D53,0)</f>
        <v>0</v>
      </c>
      <c r="C287" s="246" t="s">
        <v>9895</v>
      </c>
      <c r="D287" s="316">
        <f t="shared" si="7"/>
        <v>0</v>
      </c>
      <c r="E287" s="246" t="s">
        <v>9907</v>
      </c>
      <c r="F287" s="224"/>
      <c r="G287" s="224"/>
      <c r="H287" s="224"/>
      <c r="I287" s="224"/>
      <c r="J287" s="224"/>
      <c r="K287" s="224"/>
      <c r="L287" s="224"/>
      <c r="M287" s="224"/>
      <c r="N287" s="224"/>
      <c r="O287" s="224"/>
      <c r="P287" s="224"/>
      <c r="Q287" s="224"/>
    </row>
    <row r="288" spans="1:17" ht="35.1" customHeight="1" x14ac:dyDescent="0.35">
      <c r="A288" s="284" t="s">
        <v>9921</v>
      </c>
      <c r="B288" s="316">
        <f>IF(B12="Floating",IFERROR(IF(C262="Yes",0.024*'TANKS Calculations'!D96*'TANKS Calculations'!D93*('TANKS Calculations'!D166-(0.25*'TANKS Calculations'!D167*'TANKS Calculations'!D168))/'TANKS Calculations'!D166,'TANKS Calculations'!D106*'TANKS Calculations'!D104*'TANKS Calculations'!D96*'TANKS Calculations'!D105),0),0)*'TANKS Calculations'!D53</f>
        <v>0</v>
      </c>
      <c r="C288" s="246" t="s">
        <v>9895</v>
      </c>
      <c r="D288" s="316">
        <f>B288/2000</f>
        <v>0</v>
      </c>
      <c r="E288" s="246" t="s">
        <v>9907</v>
      </c>
      <c r="F288" s="224"/>
      <c r="G288" s="224"/>
      <c r="H288" s="224"/>
      <c r="I288" s="224"/>
      <c r="J288" s="224"/>
      <c r="K288" s="224"/>
      <c r="L288" s="224"/>
      <c r="M288" s="224"/>
      <c r="N288" s="224"/>
      <c r="O288" s="224"/>
      <c r="P288" s="224"/>
      <c r="Q288" s="224"/>
    </row>
    <row r="289" spans="1:17" ht="35.1" customHeight="1" x14ac:dyDescent="0.35">
      <c r="A289" s="233" t="s">
        <v>9922</v>
      </c>
      <c r="B289" s="260">
        <f>IF(B12="Floating",IF(OR(C190="Drain dry",C180="Drain-dry"),MIN(0.042*'TANKS Calculations'!D80*'TANKS Calculations'!D102*'TANKS Calculations'!D83,'TANKS Calculations'!D91,'TANKS Calculations'!D103),0)*'TANKS Calculations'!D53,0)</f>
        <v>0</v>
      </c>
      <c r="C289" s="246" t="s">
        <v>9895</v>
      </c>
      <c r="D289" s="316">
        <f>B289/2000</f>
        <v>0</v>
      </c>
      <c r="E289" s="246" t="s">
        <v>9907</v>
      </c>
      <c r="F289" s="224"/>
      <c r="G289" s="224"/>
      <c r="H289" s="224"/>
      <c r="I289" s="224"/>
      <c r="J289" s="224"/>
      <c r="K289" s="224"/>
      <c r="L289" s="224"/>
      <c r="M289" s="224"/>
      <c r="N289" s="224"/>
      <c r="O289" s="224"/>
      <c r="P289" s="224"/>
      <c r="Q289" s="224"/>
    </row>
    <row r="290" spans="1:17" ht="35.1" customHeight="1" thickBot="1" x14ac:dyDescent="0.35">
      <c r="A290" s="170" t="s">
        <v>9923</v>
      </c>
      <c r="B290" s="319">
        <f>B286+B287+B288+B289</f>
        <v>0</v>
      </c>
      <c r="C290" s="264" t="s">
        <v>9895</v>
      </c>
      <c r="D290" s="319">
        <f t="shared" si="7"/>
        <v>0</v>
      </c>
      <c r="E290" s="264" t="s">
        <v>9907</v>
      </c>
      <c r="F290" s="224"/>
      <c r="G290" s="224"/>
      <c r="H290" s="224"/>
      <c r="I290" s="224"/>
      <c r="J290" s="224"/>
      <c r="K290" s="224"/>
      <c r="L290" s="224"/>
      <c r="M290" s="224"/>
      <c r="N290" s="224"/>
      <c r="O290" s="224"/>
      <c r="P290" s="224"/>
      <c r="Q290" s="224"/>
    </row>
    <row r="291" spans="1:17" ht="35.1" customHeight="1" thickBot="1" x14ac:dyDescent="0.3">
      <c r="A291" s="166" t="s">
        <v>9924</v>
      </c>
      <c r="B291" s="318">
        <f>B285+B290</f>
        <v>0</v>
      </c>
      <c r="C291" s="231" t="s">
        <v>9895</v>
      </c>
      <c r="D291" s="318">
        <f>B291/2000</f>
        <v>0</v>
      </c>
      <c r="E291" s="231" t="s">
        <v>9907</v>
      </c>
      <c r="F291" s="224"/>
      <c r="G291" s="224"/>
      <c r="H291" s="224"/>
      <c r="I291" s="224"/>
      <c r="J291" s="224"/>
      <c r="K291" s="224"/>
      <c r="L291" s="224"/>
      <c r="M291" s="224"/>
      <c r="N291" s="224"/>
      <c r="O291" s="224"/>
      <c r="P291" s="224"/>
      <c r="Q291" s="224"/>
    </row>
    <row r="292" spans="1:17" ht="41.25" customHeight="1" thickBot="1" x14ac:dyDescent="0.3">
      <c r="A292" s="1352" t="s">
        <v>9925</v>
      </c>
      <c r="B292" s="1358"/>
      <c r="C292" s="1358"/>
      <c r="D292" s="1358"/>
      <c r="E292" s="1359"/>
      <c r="F292" s="224"/>
      <c r="G292" s="224"/>
      <c r="H292" s="224"/>
      <c r="I292" s="224"/>
      <c r="J292" s="224"/>
      <c r="K292" s="224"/>
      <c r="L292" s="224"/>
      <c r="M292" s="224"/>
      <c r="N292" s="224"/>
      <c r="O292" s="224"/>
      <c r="P292" s="224"/>
      <c r="Q292" s="224"/>
    </row>
    <row r="293" spans="1:17" ht="20.100000000000001" customHeight="1" thickBot="1" x14ac:dyDescent="0.3">
      <c r="A293" s="167" t="s">
        <v>9905</v>
      </c>
      <c r="B293" s="168" t="s">
        <v>9686</v>
      </c>
      <c r="C293" s="169" t="s">
        <v>9688</v>
      </c>
      <c r="D293" s="168" t="s">
        <v>9686</v>
      </c>
      <c r="E293" s="169" t="s">
        <v>9688</v>
      </c>
      <c r="F293" s="224"/>
      <c r="G293" s="224"/>
      <c r="H293" s="224"/>
      <c r="I293" s="224"/>
      <c r="J293" s="224"/>
      <c r="K293" s="224"/>
      <c r="L293" s="224"/>
      <c r="M293" s="224"/>
      <c r="N293" s="224"/>
      <c r="O293" s="224"/>
      <c r="P293" s="224"/>
      <c r="Q293" s="224"/>
    </row>
    <row r="294" spans="1:17" ht="33" x14ac:dyDescent="0.35">
      <c r="A294" s="266" t="s">
        <v>9926</v>
      </c>
      <c r="B294" s="315">
        <f>IF('TANKS Calculations'!D119=0,0,'TANKS Calculations'!D124*'TANKS Calculations'!D128*'TANKS Calculations'!D120)*'TANKS Calculations'!D53</f>
        <v>0</v>
      </c>
      <c r="C294" s="268" t="s">
        <v>9927</v>
      </c>
      <c r="D294" s="315">
        <f>B294*'TANKS Calculations'!$D$119</f>
        <v>0</v>
      </c>
      <c r="E294" s="268" t="s">
        <v>9895</v>
      </c>
      <c r="F294" s="224"/>
      <c r="G294" s="224"/>
      <c r="H294" s="224"/>
      <c r="I294" s="224"/>
      <c r="J294" s="224"/>
      <c r="K294" s="224"/>
      <c r="L294" s="224"/>
      <c r="M294" s="224"/>
      <c r="N294" s="224"/>
      <c r="O294" s="224"/>
      <c r="P294" s="224"/>
      <c r="Q294" s="224"/>
    </row>
    <row r="295" spans="1:17" ht="33" x14ac:dyDescent="0.35">
      <c r="A295" s="228" t="s">
        <v>9928</v>
      </c>
      <c r="B295" s="260">
        <f>IF('TANKS Calculations'!D119=0,0,'TANKS Calculations'!D146+'TANKS Calculations'!D147)*'TANKS Calculations'!D53</f>
        <v>0</v>
      </c>
      <c r="C295" s="227" t="s">
        <v>9927</v>
      </c>
      <c r="D295" s="260">
        <f>B295*'TANKS Calculations'!$D$119</f>
        <v>0</v>
      </c>
      <c r="E295" s="227" t="s">
        <v>9895</v>
      </c>
      <c r="F295" s="224"/>
      <c r="G295" s="224"/>
      <c r="H295" s="224"/>
      <c r="I295" s="224"/>
      <c r="J295" s="224"/>
      <c r="K295" s="224"/>
      <c r="L295" s="224"/>
      <c r="M295" s="224"/>
      <c r="N295" s="224"/>
      <c r="O295" s="224"/>
      <c r="P295" s="224"/>
      <c r="Q295" s="224"/>
    </row>
    <row r="296" spans="1:17" ht="32.25" thickBot="1" x14ac:dyDescent="0.35">
      <c r="A296" s="171" t="s">
        <v>9929</v>
      </c>
      <c r="B296" s="318">
        <f>B294+B295</f>
        <v>0</v>
      </c>
      <c r="C296" s="231" t="s">
        <v>9927</v>
      </c>
      <c r="D296" s="318">
        <f>D294+D295</f>
        <v>0</v>
      </c>
      <c r="E296" s="231" t="s">
        <v>9895</v>
      </c>
      <c r="F296" s="224"/>
      <c r="G296" s="224"/>
      <c r="H296" s="224"/>
      <c r="I296" s="224"/>
      <c r="J296" s="224"/>
      <c r="K296" s="224"/>
      <c r="L296" s="224"/>
      <c r="M296" s="224"/>
      <c r="N296" s="224"/>
      <c r="O296" s="224"/>
      <c r="P296" s="224"/>
      <c r="Q296" s="224"/>
    </row>
    <row r="297" spans="1:17" ht="56.25" customHeight="1" thickBot="1" x14ac:dyDescent="0.3">
      <c r="A297" s="152" t="s">
        <v>9930</v>
      </c>
      <c r="B297" s="320">
        <f>D296+B291+B275</f>
        <v>0</v>
      </c>
      <c r="C297" s="313" t="s">
        <v>9895</v>
      </c>
      <c r="D297" s="320">
        <f>B297/2000</f>
        <v>0</v>
      </c>
      <c r="E297" s="313" t="s">
        <v>9907</v>
      </c>
      <c r="F297" s="224"/>
      <c r="G297" s="224"/>
      <c r="H297" s="224"/>
      <c r="I297" s="224"/>
      <c r="J297" s="224"/>
      <c r="K297" s="224"/>
      <c r="L297" s="224"/>
      <c r="M297" s="224"/>
      <c r="N297" s="224"/>
      <c r="O297" s="224"/>
      <c r="P297" s="224"/>
      <c r="Q297" s="224"/>
    </row>
    <row r="298" spans="1:17" ht="30" customHeight="1" thickBot="1" x14ac:dyDescent="0.25">
      <c r="A298" s="1376" t="s">
        <v>8411</v>
      </c>
      <c r="B298" s="1376"/>
      <c r="C298" s="1376"/>
      <c r="D298" s="1376"/>
      <c r="E298" s="1376"/>
      <c r="F298" s="224"/>
      <c r="G298" s="224"/>
      <c r="H298" s="224"/>
      <c r="I298" s="224"/>
      <c r="J298" s="224"/>
      <c r="K298" s="224"/>
      <c r="L298" s="224"/>
      <c r="M298" s="224"/>
      <c r="N298" s="224"/>
      <c r="O298" s="224"/>
      <c r="P298" s="224"/>
      <c r="Q298" s="224"/>
    </row>
    <row r="299" spans="1:17" ht="45" customHeight="1" thickBot="1" x14ac:dyDescent="0.3">
      <c r="A299" s="1352" t="s">
        <v>9931</v>
      </c>
      <c r="B299" s="1353"/>
      <c r="C299" s="1353"/>
      <c r="D299" s="1353"/>
      <c r="E299" s="1353"/>
      <c r="F299" s="1353"/>
      <c r="G299" s="1353"/>
      <c r="H299" s="1353"/>
      <c r="I299" s="1353"/>
      <c r="J299" s="1353"/>
      <c r="K299" s="1353"/>
      <c r="L299" s="1353"/>
      <c r="M299" s="1353"/>
      <c r="N299" s="1353"/>
      <c r="O299" s="1353"/>
      <c r="P299" s="1353"/>
      <c r="Q299" s="1354"/>
    </row>
    <row r="300" spans="1:17" ht="20.100000000000001" customHeight="1" x14ac:dyDescent="0.25">
      <c r="A300" s="146" t="s">
        <v>9502</v>
      </c>
      <c r="B300" s="147" t="s">
        <v>9503</v>
      </c>
      <c r="C300" s="148" t="s">
        <v>9504</v>
      </c>
      <c r="D300" s="148" t="s">
        <v>9505</v>
      </c>
      <c r="E300" s="148" t="s">
        <v>9506</v>
      </c>
      <c r="F300" s="148" t="s">
        <v>9507</v>
      </c>
      <c r="G300" s="148" t="s">
        <v>9508</v>
      </c>
      <c r="H300" s="148" t="s">
        <v>9509</v>
      </c>
      <c r="I300" s="148" t="s">
        <v>9510</v>
      </c>
      <c r="J300" s="148" t="s">
        <v>9511</v>
      </c>
      <c r="K300" s="150" t="s">
        <v>9512</v>
      </c>
      <c r="L300" s="148" t="s">
        <v>9513</v>
      </c>
      <c r="M300" s="148" t="s">
        <v>9514</v>
      </c>
      <c r="N300" s="150" t="s">
        <v>9515</v>
      </c>
      <c r="O300" s="148" t="s">
        <v>9516</v>
      </c>
      <c r="P300" s="148" t="s">
        <v>9517</v>
      </c>
      <c r="Q300" s="146" t="s">
        <v>1</v>
      </c>
    </row>
    <row r="301" spans="1:17" ht="20.100000000000001" customHeight="1" x14ac:dyDescent="0.2">
      <c r="A301" s="228" t="s">
        <v>9932</v>
      </c>
      <c r="B301" s="280" t="str">
        <f t="shared" ref="B301:P301" si="8">IF(ISBLANK(B18),"",B18)</f>
        <v/>
      </c>
      <c r="C301" s="280" t="str">
        <f t="shared" si="8"/>
        <v/>
      </c>
      <c r="D301" s="280" t="str">
        <f t="shared" si="8"/>
        <v/>
      </c>
      <c r="E301" s="280" t="str">
        <f t="shared" si="8"/>
        <v/>
      </c>
      <c r="F301" s="280" t="str">
        <f t="shared" si="8"/>
        <v/>
      </c>
      <c r="G301" s="280" t="str">
        <f t="shared" si="8"/>
        <v/>
      </c>
      <c r="H301" s="280" t="str">
        <f t="shared" si="8"/>
        <v/>
      </c>
      <c r="I301" s="280" t="str">
        <f t="shared" si="8"/>
        <v/>
      </c>
      <c r="J301" s="280" t="str">
        <f t="shared" si="8"/>
        <v/>
      </c>
      <c r="K301" s="280" t="str">
        <f t="shared" si="8"/>
        <v/>
      </c>
      <c r="L301" s="280" t="str">
        <f t="shared" si="8"/>
        <v/>
      </c>
      <c r="M301" s="280" t="str">
        <f t="shared" si="8"/>
        <v/>
      </c>
      <c r="N301" s="280" t="str">
        <f t="shared" si="8"/>
        <v/>
      </c>
      <c r="O301" s="280" t="str">
        <f t="shared" si="8"/>
        <v/>
      </c>
      <c r="P301" s="280" t="str">
        <f t="shared" si="8"/>
        <v/>
      </c>
      <c r="Q301" s="232"/>
    </row>
    <row r="302" spans="1:17" ht="20.100000000000001" customHeight="1" x14ac:dyDescent="0.2">
      <c r="A302" s="233" t="s">
        <v>9933</v>
      </c>
      <c r="B302" s="252" t="str">
        <f>IF(ISBLANK(B18),"",'TANKS Calculations'!H64)</f>
        <v/>
      </c>
      <c r="C302" s="252" t="str">
        <f>IF(ISBLANK(C18),"",'TANKS Calculations'!I64)</f>
        <v/>
      </c>
      <c r="D302" s="252" t="str">
        <f>IF(ISBLANK(D18),"",'TANKS Calculations'!J64)</f>
        <v/>
      </c>
      <c r="E302" s="252" t="str">
        <f>IF(ISBLANK(E18),"",'TANKS Calculations'!K64)</f>
        <v/>
      </c>
      <c r="F302" s="252" t="str">
        <f>IF(ISBLANK(F18),"",'TANKS Calculations'!L64)</f>
        <v/>
      </c>
      <c r="G302" s="252" t="str">
        <f>IF(ISBLANK(G18),"",'TANKS Calculations'!M64)</f>
        <v/>
      </c>
      <c r="H302" s="252" t="str">
        <f>IF(ISBLANK(H18),"",'TANKS Calculations'!N64)</f>
        <v/>
      </c>
      <c r="I302" s="252" t="str">
        <f>IF(ISBLANK(I18),"",'TANKS Calculations'!O64)</f>
        <v/>
      </c>
      <c r="J302" s="252" t="str">
        <f>IF(ISBLANK(J18),"",'TANKS Calculations'!P64)</f>
        <v/>
      </c>
      <c r="K302" s="252" t="str">
        <f>IF(ISBLANK(K18),"",'TANKS Calculations'!Q64)</f>
        <v/>
      </c>
      <c r="L302" s="252" t="str">
        <f>IF(ISBLANK(L18),"",'TANKS Calculations'!R64)</f>
        <v/>
      </c>
      <c r="M302" s="252" t="str">
        <f>IF(ISBLANK(M18),"",'TANKS Calculations'!S64)</f>
        <v/>
      </c>
      <c r="N302" s="252" t="str">
        <f>IF(ISBLANK(N18),"",'TANKS Calculations'!T64)</f>
        <v/>
      </c>
      <c r="O302" s="252" t="str">
        <f>IF(ISBLANK(O18),"",'TANKS Calculations'!U64)</f>
        <v/>
      </c>
      <c r="P302" s="252" t="str">
        <f>IF(ISBLANK(P18),"",'TANKS Calculations'!V64)</f>
        <v/>
      </c>
      <c r="Q302" s="288">
        <f>SUM(B302:P302)</f>
        <v>0</v>
      </c>
    </row>
    <row r="303" spans="1:17" ht="20.100000000000001" customHeight="1" x14ac:dyDescent="0.2">
      <c r="A303" s="233" t="s">
        <v>9934</v>
      </c>
      <c r="B303" s="277" t="str">
        <f>IF(ISBLANK(B18),"",'TANKS Calculations'!H76)</f>
        <v/>
      </c>
      <c r="C303" s="252" t="str">
        <f>IF(ISBLANK(C18),"",'TANKS Calculations'!I76)</f>
        <v/>
      </c>
      <c r="D303" s="252" t="str">
        <f>IF(ISBLANK(D18),"",'TANKS Calculations'!J76)</f>
        <v/>
      </c>
      <c r="E303" s="252" t="str">
        <f>IF(ISBLANK(E18),"",'TANKS Calculations'!K76)</f>
        <v/>
      </c>
      <c r="F303" s="252" t="str">
        <f>IF(ISBLANK(F18),"",'TANKS Calculations'!L76)</f>
        <v/>
      </c>
      <c r="G303" s="252" t="str">
        <f>IF(ISBLANK(G18),"",'TANKS Calculations'!M76)</f>
        <v/>
      </c>
      <c r="H303" s="252" t="str">
        <f>IF(ISBLANK(H18),"",'TANKS Calculations'!N76)</f>
        <v/>
      </c>
      <c r="I303" s="252" t="str">
        <f>IF(ISBLANK(I18),"",'TANKS Calculations'!O76)</f>
        <v/>
      </c>
      <c r="J303" s="252" t="str">
        <f>IF(ISBLANK(J18),"",'TANKS Calculations'!P76)</f>
        <v/>
      </c>
      <c r="K303" s="252" t="str">
        <f>IF(ISBLANK(K18),"",'TANKS Calculations'!Q76)</f>
        <v/>
      </c>
      <c r="L303" s="252" t="str">
        <f>IF(ISBLANK(L18),"",'TANKS Calculations'!R76)</f>
        <v/>
      </c>
      <c r="M303" s="252" t="str">
        <f>IF(ISBLANK(M18),"",'TANKS Calculations'!S76)</f>
        <v/>
      </c>
      <c r="N303" s="252" t="str">
        <f>IF(ISBLANK(N18),"",'TANKS Calculations'!T76)</f>
        <v/>
      </c>
      <c r="O303" s="252" t="str">
        <f>IF(ISBLANK(O18),"",'TANKS Calculations'!U76)</f>
        <v/>
      </c>
      <c r="P303" s="252" t="str">
        <f>IF(ISBLANK(P18),"",'TANKS Calculations'!V76)</f>
        <v/>
      </c>
      <c r="Q303" s="288">
        <f>SUM(B303:P303)</f>
        <v>0</v>
      </c>
    </row>
    <row r="304" spans="1:17" ht="20.100000000000001" customHeight="1" x14ac:dyDescent="0.2">
      <c r="A304" s="233" t="s">
        <v>9935</v>
      </c>
      <c r="B304" s="252" t="str">
        <f>IF(ISBLANK(B18),"",'TANKS Calculations'!H79)</f>
        <v/>
      </c>
      <c r="C304" s="252" t="str">
        <f>IF(ISBLANK(C18),"",'TANKS Calculations'!I79)</f>
        <v/>
      </c>
      <c r="D304" s="252" t="str">
        <f>IF(ISBLANK(D18),"",'TANKS Calculations'!J79)</f>
        <v/>
      </c>
      <c r="E304" s="252" t="str">
        <f>IF(ISBLANK(E18),"",'TANKS Calculations'!K79)</f>
        <v/>
      </c>
      <c r="F304" s="252" t="str">
        <f>IF(ISBLANK(F18),"",'TANKS Calculations'!L79)</f>
        <v/>
      </c>
      <c r="G304" s="252" t="str">
        <f>IF(ISBLANK(G18),"",'TANKS Calculations'!M79)</f>
        <v/>
      </c>
      <c r="H304" s="252" t="str">
        <f>IF(ISBLANK(H18),"",'TANKS Calculations'!N79)</f>
        <v/>
      </c>
      <c r="I304" s="252" t="str">
        <f>IF(ISBLANK(I18),"",'TANKS Calculations'!O79)</f>
        <v/>
      </c>
      <c r="J304" s="252" t="str">
        <f>IF(ISBLANK(J18),"",'TANKS Calculations'!P79)</f>
        <v/>
      </c>
      <c r="K304" s="252" t="str">
        <f>IF(ISBLANK(K18),"",'TANKS Calculations'!Q79)</f>
        <v/>
      </c>
      <c r="L304" s="252" t="str">
        <f>IF(ISBLANK(L18),"",'TANKS Calculations'!R79)</f>
        <v/>
      </c>
      <c r="M304" s="252" t="str">
        <f>IF(ISBLANK(M18),"",'TANKS Calculations'!S79)</f>
        <v/>
      </c>
      <c r="N304" s="252" t="str">
        <f>IF(ISBLANK(N18),"",'TANKS Calculations'!T79)</f>
        <v/>
      </c>
      <c r="O304" s="252" t="str">
        <f>IF(ISBLANK(O18),"",'TANKS Calculations'!U79)</f>
        <v/>
      </c>
      <c r="P304" s="252" t="str">
        <f>IF(ISBLANK(P18),"",'TANKS Calculations'!V79)</f>
        <v/>
      </c>
      <c r="Q304" s="288">
        <f>SUM(B304:P304)</f>
        <v>0</v>
      </c>
    </row>
    <row r="305" spans="1:17" ht="20.100000000000001" customHeight="1" thickBot="1" x14ac:dyDescent="0.25">
      <c r="A305" s="240" t="s">
        <v>9936</v>
      </c>
      <c r="B305" s="258" t="str">
        <f t="shared" ref="B305:P305" si="9">IF(ISBLANK(B18),"",IFERROR(B303*B302/$Q$304,0))</f>
        <v/>
      </c>
      <c r="C305" s="258" t="str">
        <f t="shared" si="9"/>
        <v/>
      </c>
      <c r="D305" s="258" t="str">
        <f t="shared" si="9"/>
        <v/>
      </c>
      <c r="E305" s="258" t="str">
        <f t="shared" si="9"/>
        <v/>
      </c>
      <c r="F305" s="258" t="str">
        <f t="shared" si="9"/>
        <v/>
      </c>
      <c r="G305" s="258" t="str">
        <f t="shared" si="9"/>
        <v/>
      </c>
      <c r="H305" s="258" t="str">
        <f t="shared" si="9"/>
        <v/>
      </c>
      <c r="I305" s="258" t="str">
        <f t="shared" si="9"/>
        <v/>
      </c>
      <c r="J305" s="258" t="str">
        <f t="shared" si="9"/>
        <v/>
      </c>
      <c r="K305" s="258" t="str">
        <f t="shared" si="9"/>
        <v/>
      </c>
      <c r="L305" s="258" t="str">
        <f t="shared" si="9"/>
        <v/>
      </c>
      <c r="M305" s="258" t="str">
        <f t="shared" si="9"/>
        <v/>
      </c>
      <c r="N305" s="258" t="str">
        <f t="shared" si="9"/>
        <v/>
      </c>
      <c r="O305" s="258" t="str">
        <f t="shared" si="9"/>
        <v/>
      </c>
      <c r="P305" s="258" t="str">
        <f t="shared" si="9"/>
        <v/>
      </c>
      <c r="Q305" s="321">
        <f>SUM(B305:P305)</f>
        <v>0</v>
      </c>
    </row>
    <row r="306" spans="1:17" ht="20.100000000000001" customHeight="1" thickBot="1" x14ac:dyDescent="0.25">
      <c r="A306" s="322" t="s">
        <v>9937</v>
      </c>
      <c r="B306" s="312" t="str">
        <f t="shared" ref="B306:P306" si="10">IF(ISBLANK(B18),"",$B$297)</f>
        <v/>
      </c>
      <c r="C306" s="312" t="str">
        <f t="shared" si="10"/>
        <v/>
      </c>
      <c r="D306" s="312" t="str">
        <f t="shared" si="10"/>
        <v/>
      </c>
      <c r="E306" s="312" t="str">
        <f t="shared" si="10"/>
        <v/>
      </c>
      <c r="F306" s="312" t="str">
        <f t="shared" si="10"/>
        <v/>
      </c>
      <c r="G306" s="312" t="str">
        <f t="shared" si="10"/>
        <v/>
      </c>
      <c r="H306" s="312" t="str">
        <f t="shared" si="10"/>
        <v/>
      </c>
      <c r="I306" s="312" t="str">
        <f t="shared" si="10"/>
        <v/>
      </c>
      <c r="J306" s="312" t="str">
        <f t="shared" si="10"/>
        <v/>
      </c>
      <c r="K306" s="312" t="str">
        <f t="shared" si="10"/>
        <v/>
      </c>
      <c r="L306" s="312" t="str">
        <f t="shared" si="10"/>
        <v/>
      </c>
      <c r="M306" s="312" t="str">
        <f t="shared" si="10"/>
        <v/>
      </c>
      <c r="N306" s="312" t="str">
        <f t="shared" si="10"/>
        <v/>
      </c>
      <c r="O306" s="312" t="str">
        <f t="shared" si="10"/>
        <v/>
      </c>
      <c r="P306" s="312" t="str">
        <f t="shared" si="10"/>
        <v/>
      </c>
      <c r="Q306" s="323"/>
    </row>
    <row r="307" spans="1:17" ht="20.100000000000001" customHeight="1" x14ac:dyDescent="0.2">
      <c r="A307" s="237" t="s">
        <v>9938</v>
      </c>
      <c r="B307" s="315" t="str">
        <f t="shared" ref="B307:P307" si="11">IF(ISBLANK(B18),"",B305*B306)</f>
        <v/>
      </c>
      <c r="C307" s="315" t="str">
        <f t="shared" si="11"/>
        <v/>
      </c>
      <c r="D307" s="315" t="str">
        <f t="shared" si="11"/>
        <v/>
      </c>
      <c r="E307" s="315" t="str">
        <f t="shared" si="11"/>
        <v/>
      </c>
      <c r="F307" s="315" t="str">
        <f t="shared" si="11"/>
        <v/>
      </c>
      <c r="G307" s="315" t="str">
        <f t="shared" si="11"/>
        <v/>
      </c>
      <c r="H307" s="315" t="str">
        <f t="shared" si="11"/>
        <v/>
      </c>
      <c r="I307" s="315" t="str">
        <f t="shared" si="11"/>
        <v/>
      </c>
      <c r="J307" s="315" t="str">
        <f t="shared" si="11"/>
        <v/>
      </c>
      <c r="K307" s="315" t="str">
        <f t="shared" si="11"/>
        <v/>
      </c>
      <c r="L307" s="315" t="str">
        <f t="shared" si="11"/>
        <v/>
      </c>
      <c r="M307" s="315" t="str">
        <f t="shared" si="11"/>
        <v/>
      </c>
      <c r="N307" s="315" t="str">
        <f t="shared" si="11"/>
        <v/>
      </c>
      <c r="O307" s="315" t="str">
        <f t="shared" si="11"/>
        <v/>
      </c>
      <c r="P307" s="315" t="str">
        <f t="shared" si="11"/>
        <v/>
      </c>
      <c r="Q307" s="324">
        <f>SUM(B307:P307)</f>
        <v>0</v>
      </c>
    </row>
    <row r="308" spans="1:17" ht="20.100000000000001" customHeight="1" thickBot="1" x14ac:dyDescent="0.25">
      <c r="A308" s="317" t="s">
        <v>9939</v>
      </c>
      <c r="B308" s="290" t="str">
        <f t="shared" ref="B308:P308" si="12">IF(ISBLANK(B18),"",B307/2000)</f>
        <v/>
      </c>
      <c r="C308" s="290" t="str">
        <f t="shared" si="12"/>
        <v/>
      </c>
      <c r="D308" s="290" t="str">
        <f t="shared" si="12"/>
        <v/>
      </c>
      <c r="E308" s="290" t="str">
        <f t="shared" si="12"/>
        <v/>
      </c>
      <c r="F308" s="290" t="str">
        <f t="shared" si="12"/>
        <v/>
      </c>
      <c r="G308" s="290" t="str">
        <f t="shared" si="12"/>
        <v/>
      </c>
      <c r="H308" s="290" t="str">
        <f t="shared" si="12"/>
        <v/>
      </c>
      <c r="I308" s="290" t="str">
        <f t="shared" si="12"/>
        <v/>
      </c>
      <c r="J308" s="290" t="str">
        <f t="shared" si="12"/>
        <v/>
      </c>
      <c r="K308" s="290" t="str">
        <f t="shared" si="12"/>
        <v/>
      </c>
      <c r="L308" s="290" t="str">
        <f t="shared" si="12"/>
        <v/>
      </c>
      <c r="M308" s="290" t="str">
        <f t="shared" si="12"/>
        <v/>
      </c>
      <c r="N308" s="290" t="str">
        <f t="shared" si="12"/>
        <v/>
      </c>
      <c r="O308" s="290" t="str">
        <f t="shared" si="12"/>
        <v/>
      </c>
      <c r="P308" s="290" t="str">
        <f t="shared" si="12"/>
        <v/>
      </c>
      <c r="Q308" s="325">
        <f>SUM(B308:P308)</f>
        <v>0</v>
      </c>
    </row>
    <row r="309" spans="1:17" x14ac:dyDescent="0.2">
      <c r="A309" s="1378" t="s">
        <v>8455</v>
      </c>
      <c r="B309" s="1378"/>
      <c r="C309" s="1378"/>
      <c r="D309" s="1378"/>
      <c r="E309" s="1378"/>
    </row>
  </sheetData>
  <sheetProtection algorithmName="SHA-512" hashValue="3tdCHdF3p3tl1Rz5xv4/l1LdYcOCl0GIyis79i+a5yzQwgP7+1T3PLS5shqKix/J87W3FcoHQoylunfTs8nMiw==" saltValue="5uSb2przAHc6jCsYiWGKbw==" spinCount="100000" sheet="1" objects="1" scenarios="1" formatColumns="0" formatRows="0" autoFilter="0"/>
  <mergeCells count="81">
    <mergeCell ref="A309:E309"/>
    <mergeCell ref="A1:G1"/>
    <mergeCell ref="A179:D179"/>
    <mergeCell ref="A211:D211"/>
    <mergeCell ref="A237:D237"/>
    <mergeCell ref="A259:D259"/>
    <mergeCell ref="A268:D268"/>
    <mergeCell ref="A157:B157"/>
    <mergeCell ref="C157:D157"/>
    <mergeCell ref="A2:Q2"/>
    <mergeCell ref="A3:Q3"/>
    <mergeCell ref="A4:C4"/>
    <mergeCell ref="A16:Q16"/>
    <mergeCell ref="A28:D28"/>
    <mergeCell ref="A15:D15"/>
    <mergeCell ref="A27:D27"/>
    <mergeCell ref="A92:D92"/>
    <mergeCell ref="A93:D93"/>
    <mergeCell ref="A94:D94"/>
    <mergeCell ref="A118:D118"/>
    <mergeCell ref="A95:Q95"/>
    <mergeCell ref="A119:D119"/>
    <mergeCell ref="A129:D129"/>
    <mergeCell ref="A139:D139"/>
    <mergeCell ref="A156:L156"/>
    <mergeCell ref="A128:D128"/>
    <mergeCell ref="A138:D138"/>
    <mergeCell ref="A155:D155"/>
    <mergeCell ref="A158:B158"/>
    <mergeCell ref="C158:D158"/>
    <mergeCell ref="A159:B159"/>
    <mergeCell ref="C159:D159"/>
    <mergeCell ref="A160:B160"/>
    <mergeCell ref="C160:D160"/>
    <mergeCell ref="A161:B161"/>
    <mergeCell ref="C161:D161"/>
    <mergeCell ref="A162:B162"/>
    <mergeCell ref="C162:D162"/>
    <mergeCell ref="A163:B163"/>
    <mergeCell ref="C163:D163"/>
    <mergeCell ref="A164:B164"/>
    <mergeCell ref="C164:D164"/>
    <mergeCell ref="A165:B165"/>
    <mergeCell ref="C165:D165"/>
    <mergeCell ref="A166:B166"/>
    <mergeCell ref="C166:D166"/>
    <mergeCell ref="A167:B167"/>
    <mergeCell ref="C167:D167"/>
    <mergeCell ref="A168:B168"/>
    <mergeCell ref="C168:D168"/>
    <mergeCell ref="A169:B169"/>
    <mergeCell ref="C169:D169"/>
    <mergeCell ref="A170:B170"/>
    <mergeCell ref="C170:D170"/>
    <mergeCell ref="A171:B171"/>
    <mergeCell ref="C171:D171"/>
    <mergeCell ref="A172:B172"/>
    <mergeCell ref="C172:D172"/>
    <mergeCell ref="A173:B173"/>
    <mergeCell ref="C173:D173"/>
    <mergeCell ref="A174:B174"/>
    <mergeCell ref="C174:D174"/>
    <mergeCell ref="A175:B175"/>
    <mergeCell ref="C175:D175"/>
    <mergeCell ref="A176:B176"/>
    <mergeCell ref="C176:D176"/>
    <mergeCell ref="A177:B177"/>
    <mergeCell ref="C177:D177"/>
    <mergeCell ref="A178:B178"/>
    <mergeCell ref="C178:D178"/>
    <mergeCell ref="A269:E269"/>
    <mergeCell ref="A276:E276"/>
    <mergeCell ref="A292:E292"/>
    <mergeCell ref="A299:Q299"/>
    <mergeCell ref="A180:D180"/>
    <mergeCell ref="A196:D196"/>
    <mergeCell ref="A204:D204"/>
    <mergeCell ref="A212:D212"/>
    <mergeCell ref="A238:D238"/>
    <mergeCell ref="A260:D260"/>
    <mergeCell ref="A298:E298"/>
  </mergeCells>
  <conditionalFormatting sqref="A34:D34">
    <cfRule type="expression" dxfId="265" priority="19">
      <formula>$C$33="Horizontal"</formula>
    </cfRule>
  </conditionalFormatting>
  <conditionalFormatting sqref="A35:D37 A39:D39">
    <cfRule type="expression" dxfId="264" priority="18">
      <formula>$C$33="Vertical"</formula>
    </cfRule>
  </conditionalFormatting>
  <conditionalFormatting sqref="A47:D48">
    <cfRule type="expression" dxfId="263" priority="17">
      <formula>$C$45="No"</formula>
    </cfRule>
  </conditionalFormatting>
  <conditionalFormatting sqref="A59:D59">
    <cfRule type="expression" dxfId="262" priority="16">
      <formula>$C$58="Dome"</formula>
    </cfRule>
  </conditionalFormatting>
  <conditionalFormatting sqref="A60:D60">
    <cfRule type="expression" dxfId="261" priority="15">
      <formula>$C$58="Cone"</formula>
    </cfRule>
  </conditionalFormatting>
  <conditionalFormatting sqref="A67:D68 A140:D154 A157:L178 A181:D210 A277:E291">
    <cfRule type="expression" dxfId="260" priority="20">
      <formula>$B$12="Fixed"</formula>
    </cfRule>
  </conditionalFormatting>
  <conditionalFormatting sqref="A130:D137 A270:E275">
    <cfRule type="expression" dxfId="259" priority="21">
      <formula>$B$12="Floating"</formula>
    </cfRule>
  </conditionalFormatting>
  <conditionalFormatting sqref="A197:D203">
    <cfRule type="expression" dxfId="258" priority="12">
      <formula>$C$190="Drain dry"</formula>
    </cfRule>
  </conditionalFormatting>
  <conditionalFormatting sqref="A201:D202">
    <cfRule type="expression" dxfId="257" priority="3">
      <formula>RIGHT($C$68,22)="External Floating Roof"</formula>
    </cfRule>
  </conditionalFormatting>
  <conditionalFormatting sqref="A206:D206">
    <cfRule type="expression" dxfId="256" priority="11">
      <formula>"right($C$191,11)=""liquid heel"""</formula>
    </cfRule>
  </conditionalFormatting>
  <conditionalFormatting sqref="A208:D209">
    <cfRule type="expression" dxfId="255" priority="10">
      <formula>NOT(OR($C$68="External Floating Roof",ISBLANK($C$68)))</formula>
    </cfRule>
  </conditionalFormatting>
  <conditionalFormatting sqref="A215:D236 A293:E296">
    <cfRule type="expression" dxfId="254" priority="9">
      <formula>AND($C$214=0,ISNUMBER($C$214))</formula>
    </cfRule>
  </conditionalFormatting>
  <conditionalFormatting sqref="A224:D226">
    <cfRule type="expression" dxfId="253" priority="8">
      <formula>$C$223="Vapor Analyzer"</formula>
    </cfRule>
  </conditionalFormatting>
  <conditionalFormatting sqref="A241:D258 A272:E272 A282:E282">
    <cfRule type="expression" dxfId="252" priority="7">
      <formula>$C$240="No"</formula>
    </cfRule>
  </conditionalFormatting>
  <conditionalFormatting sqref="A242:D244">
    <cfRule type="expression" dxfId="251" priority="6">
      <formula>NOT(OR(ISBLANK($C$241),$C$241="Laboratory GOR"))</formula>
    </cfRule>
  </conditionalFormatting>
  <conditionalFormatting sqref="A245:D257">
    <cfRule type="expression" dxfId="250" priority="5">
      <formula>NOT(OR(ISBLANK($C$241),$C$241="Vasquez-Beggs Equation"))</formula>
    </cfRule>
  </conditionalFormatting>
  <conditionalFormatting sqref="A263:D267 A273:E273 A284:E284">
    <cfRule type="expression" dxfId="249" priority="4">
      <formula>AND(ISNUMBER($C$262),$C$262=0)</formula>
    </cfRule>
  </conditionalFormatting>
  <conditionalFormatting sqref="A3:Q3">
    <cfRule type="expression" dxfId="248" priority="1" stopIfTrue="1">
      <formula>NOT(ISBLANK($F$4))</formula>
    </cfRule>
  </conditionalFormatting>
  <conditionalFormatting sqref="H157:K177">
    <cfRule type="expression" dxfId="246" priority="13">
      <formula>OR($C$68="Domed/Covered external floating roof",$C$68="Internal Floating Roof")</formula>
    </cfRule>
  </conditionalFormatting>
  <dataValidations count="187">
    <dataValidation type="list" allowBlank="1" showErrorMessage="1" prompt="Is this chemical a crude petroleum product? Select yes or no." sqref="B19:P19" xr:uid="{1E9C170E-3B21-424A-B427-5F4962748374}">
      <formula1>"Yes, No"</formula1>
    </dataValidation>
    <dataValidation type="list" allowBlank="1" showInputMessage="1" showErrorMessage="1" sqref="C69" xr:uid="{B8C3D7F9-CE93-4E5D-AE59-160A18EBE4EC}">
      <formula1>"Not Insulated,Partially Insulated,Fully Insulated"</formula1>
    </dataValidation>
    <dataValidation type="list" allowBlank="1" showInputMessage="1" showErrorMessage="1" sqref="C297 C269:C291 C266:C267" xr:uid="{C5A28152-F1D7-4A58-B91F-F3A2E747A0E8}">
      <formula1>"Fixed, Floating"</formula1>
    </dataValidation>
    <dataValidation allowBlank="1" showInputMessage="1" showErrorMessage="1" prompt="Yellow cell" sqref="C297 E157 C269:C291" xr:uid="{F4018BFD-1610-4ED0-96D1-F9664790848A}"/>
    <dataValidation type="list" allowBlank="1" showErrorMessage="1" prompt="What type of roof does this tank have? Select or enter &quot;Fixed&quot; or &quot;Floating&quot; from the drop-down menu." sqref="B12" xr:uid="{D69BB1C1-F5CA-47A7-B7BF-BE55B8A0CE6A}">
      <formula1>"Fixed, Floating"</formula1>
    </dataValidation>
    <dataValidation allowBlank="1" showErrorMessage="1" prompt="Enter the city (or nearest city to) where the site is located:" sqref="B13" xr:uid="{ECA5769F-502E-438E-9F90-8A7C6E0CC63F}"/>
    <dataValidation allowBlank="1" showErrorMessage="1" prompt="Enter the Weight Fraction in Mixture:" sqref="B20:P20" xr:uid="{821C1400-C892-44C6-ACE0-2D91597E480D}"/>
    <dataValidation allowBlank="1" showErrorMessage="1" prompt="Enter the actual liquid density if the calculated liquid density (above) is inaccurate." sqref="B22:P22" xr:uid="{4A36E92E-A06F-4DDE-BBE1-0C5BF5539CE7}"/>
    <dataValidation allowBlank="1" showErrorMessage="1" prompt="Enter the actual working loss product factor if the calculated working loss product factor (above) is inaccurate." sqref="B24:P24" xr:uid="{76FE14B4-41AF-43B7-8009-3A33ECFC29D7}"/>
    <dataValidation allowBlank="1" showErrorMessage="1" prompt="Enter the actual molecular weight of this contituent if the calculated molecular weight of this contituent (above) is inaccurate." sqref="B26:P26" xr:uid="{605D96BF-9B34-42D8-AC9A-7AA5770C57F1}"/>
    <dataValidation allowBlank="1" showErrorMessage="1" prompt="Enter the working loss turnover factor, if necessary:" sqref="C53" xr:uid="{0AD31B83-2465-452E-A0DC-91B398435A88}"/>
    <dataValidation allowBlank="1" showErrorMessage="1" prompt="Enter the net working loss throughput (VQ), if necessary:" sqref="C52" xr:uid="{B8EDCDAD-A539-4191-8610-4BB1CA8408A3}"/>
    <dataValidation allowBlank="1" showErrorMessage="1" prompt="Enter the annual net throughput (Q), in gallons per year." sqref="C50:C51" xr:uid="{D5A72F2A-2EF1-417D-9679-7931C0621455}"/>
    <dataValidation allowBlank="1" showErrorMessage="1" prompt="Enter the number of turnovers per year:" sqref="C49" xr:uid="{0C4F6386-2725-4AF1-8B15-C4D9997BBAC5}"/>
    <dataValidation allowBlank="1" showErrorMessage="1" prompt="Enter the annual sum of the decreases in liquid (ΣHQI), if necessary:" sqref="C48" xr:uid="{F3BB7F8E-B6FC-44A8-A4B0-938304A64F19}"/>
    <dataValidation allowBlank="1" showErrorMessage="1" prompt="Enter the annual sum of the increases in liquid (ΣHQI), if necessary:" sqref="C47" xr:uid="{13E5CA1E-C08B-4DB0-8979-3DECD191FC1D}"/>
    <dataValidation type="list" allowBlank="1" showErrorMessage="1" prompt="Is liquid pumped in at the same time as it is pumped out? Select or enter &quot;Yes&quot; or &quot;No&quot;." sqref="C46" xr:uid="{3837C003-4297-4D10-A3AA-60DD2AC01B79}">
      <formula1>"Yes,No"</formula1>
    </dataValidation>
    <dataValidation type="list" allowBlank="1" showErrorMessage="1" prompt="Is the annual sum of the increases and decreases in liquid (ΣHQI and ΣHQD) known? Select or enter &quot;Yes&quot; or &quot;No&quot;." sqref="C45" xr:uid="{12D20493-3032-4C35-8FB4-652B536D9A72}">
      <formula1>"Yes,No"</formula1>
    </dataValidation>
    <dataValidation allowBlank="1" showErrorMessage="1" prompt="Enter the volume of the tank." sqref="C44" xr:uid="{0690B902-78EB-4988-9778-15C06C4E28F7}"/>
    <dataValidation allowBlank="1" showErrorMessage="1" prompt="Enter the average liquid height:" sqref="C43" xr:uid="{670FFBD5-4C7B-4D7A-8F33-1015F8EB401C}"/>
    <dataValidation allowBlank="1" showErrorMessage="1" prompt="Enter the minimum liquid height:" sqref="C42" xr:uid="{EAAA1794-63B7-4A43-B78E-8E20D4407251}"/>
    <dataValidation allowBlank="1" showErrorMessage="1" prompt="Enter the maximum liquid height:" sqref="C41" xr:uid="{E3368651-78DA-44BF-8F96-65C6F372500C}"/>
    <dataValidation allowBlank="1" showErrorMessage="1" prompt="Enter the tank shell height:" sqref="C40" xr:uid="{49D9B52E-6728-455D-A7F9-EBFF02293B87}"/>
    <dataValidation allowBlank="1" showErrorMessage="1" prompt="If the tank is horizontal, enter the effective height (hE), if necessary:" sqref="C39" xr:uid="{DACF563B-1170-4F38-9522-B944C5F73F31}"/>
    <dataValidation allowBlank="1" showErrorMessage="1" prompt="Enter the effective diameter (DE), if necessary:" sqref="C38" xr:uid="{A211E69F-9644-4244-AE3A-E27E10F3ECD3}"/>
    <dataValidation allowBlank="1" showErrorMessage="1" prompt="If the tank is horizontal, what is the length of the tank?" sqref="C37" xr:uid="{4DB31860-F7E4-44FF-AA7C-DBBC8A4007B6}"/>
    <dataValidation allowBlank="1" showErrorMessage="1" prompt="If the tank is horizontal, what is the diameter of the vertical cross-section?" sqref="C36" xr:uid="{165827B3-8A5A-4268-8FB6-483E085797BF}"/>
    <dataValidation type="list" allowBlank="1" showErrorMessage="1" prompt="If the tank is horizontal, is the storage tank underground?" sqref="C35" xr:uid="{64F000C2-BC60-452E-90E2-DE33BDBC0BEA}">
      <formula1>"Yes,No"</formula1>
    </dataValidation>
    <dataValidation type="list" allowBlank="1" showErrorMessage="1" prompt="Is the tank vertical or horizontal? Select from the drop-down menu." sqref="C33" xr:uid="{7DE9E0D3-BE1C-45E8-9981-804987E33281}">
      <formula1>"Vertical, Horizontal"</formula1>
    </dataValidation>
    <dataValidation allowBlank="1" showErrorMessage="1" prompt="If the tank is vertical, enter the diameter (D) of the tank:" sqref="C34" xr:uid="{2B511A44-890B-4687-9079-7665E16E1072}"/>
    <dataValidation type="list" allowBlank="1" showErrorMessage="1" prompt="Is the tank vertical or horizontal?" sqref="C33" xr:uid="{2B0D1E38-8326-4790-888A-2EF7FC4EB87B}">
      <formula1>"Vertical,Horizontal"</formula1>
    </dataValidation>
    <dataValidation allowBlank="1" showErrorMessage="1" prompt="Enter the working loss product factor (KC), if necessary:" sqref="C32" xr:uid="{EDDFD3AE-0D26-4043-9444-83DA9B0858A1}"/>
    <dataValidation allowBlank="1" showErrorMessage="1" prompt="Enter the atmospheric pressure for the nearest city, if necessary:" sqref="C30" xr:uid="{AE7E4218-C6A1-4371-8AD1-3B2962C27FC0}"/>
    <dataValidation type="list" allowBlank="1" showErrorMessage="1" prompt="Is the tank welded or riveted? Select or answer from the drop-down menu:" sqref="C31" xr:uid="{A008703C-6984-41C0-AE41-3789BD8CBD3B}">
      <formula1>"Welded,Riveted"</formula1>
    </dataValidation>
    <dataValidation type="list" allowBlank="1" showErrorMessage="1" prompt="What condition is the paint on the shell? Select New, Average, or Aged." sqref="C55 C57" xr:uid="{B1AED771-4829-4F93-A3A1-E52BECAC09E3}">
      <formula1>"New,Average,Aged"</formula1>
    </dataValidation>
    <dataValidation type="list" allowBlank="1" showErrorMessage="1" prompt="Are the shell plates and roof airtight? Select or enter yes or no." sqref="C66" xr:uid="{B2AC0A7F-687B-435F-AF5C-973D104ED347}">
      <formula1>"Yes,No"</formula1>
    </dataValidation>
    <dataValidation allowBlank="1" showErrorMessage="1" prompt="Enter the vapor space volume, if necessary:" sqref="C65" xr:uid="{C708018D-093A-4687-B0E2-6F235B4C51DB}"/>
    <dataValidation allowBlank="1" showErrorMessage="1" prompt="Enter the vapor space outage, if necessary:" sqref="C64" xr:uid="{324E9F90-2527-4295-8933-CBF498767393}"/>
    <dataValidation allowBlank="1" showErrorMessage="1" prompt="Enter the roof outage, if necessary:" sqref="C63" xr:uid="{F112933A-929E-4CEA-94C9-1398494836F3}"/>
    <dataValidation allowBlank="1" showErrorMessage="1" prompt="Enter the tank roof height, if necessary:" sqref="C62" xr:uid="{46F5E360-34AD-4393-A949-9B9E87DFA291}"/>
    <dataValidation allowBlank="1" showErrorMessage="1" prompt="Enter the tank shell radius, if necessary:" sqref="C61" xr:uid="{4549A9F5-1678-4786-B051-E6C8C1EF396F}"/>
    <dataValidation allowBlank="1" showErrorMessage="1" prompt="If the roof is dome-shaped, enter the tank's roof radius, if necessary:" sqref="C60" xr:uid="{7470DB6D-CB75-44BE-BD06-6A1881CC9328}"/>
    <dataValidation allowBlank="1" showErrorMessage="1" prompt="If the roof is cone-shaped, enter the tank's roof slope, if necessary:" sqref="C59" xr:uid="{F22D2CBE-A30E-4A84-9CB1-77B7E0F12412}"/>
    <dataValidation allowBlank="1" showErrorMessage="1" prompt="Enter the daily total solar insolation, if necessary:" sqref="C73" xr:uid="{2C8C8EF3-52FF-4BB1-9376-B5082748098F}"/>
    <dataValidation allowBlank="1" showErrorMessage="1" prompt="Enter tank solar absorptance, if needed." sqref="C72" xr:uid="{47822534-400A-4B9B-9794-77856203C065}"/>
    <dataValidation allowBlank="1" showErrorMessage="1" prompt="Enter tank roof paint solar absorptance, if needed." sqref="C71" xr:uid="{819C5FED-1C33-4D73-9BE1-CA10F69AB7ED}"/>
    <dataValidation allowBlank="1" showErrorMessage="1" prompt="Enter tank shell paint solar absorptance, if needed." sqref="C70" xr:uid="{2155AB96-8886-44C9-95A4-973C0D16BA73}"/>
    <dataValidation type="list" allowBlank="1" showErrorMessage="1" prompt="If the tank is a floating roof tank, what type of deck is used? Select or enter from the drop down menu &quot;Steel Pontoon&quot;, &quot;Steel Double Deck&quot;, or &quot;Other&quot;." sqref="C67" xr:uid="{79FA7161-8545-434B-B0EA-465EFEC12409}">
      <formula1>"Steel Pontoon,Steel Double Deck,Other"</formula1>
    </dataValidation>
    <dataValidation type="list" allowBlank="1" showErrorMessage="1" prompt="Is the tank fully insulated? Select from the dropdown &quot;Not Insulated&quot;, &quot;Partially Insulated&quot;, or &quot;Fully Insulated&quot;." sqref="C69" xr:uid="{FAFA1ADC-F2A1-4A09-A9BA-CA68B1AECD36}">
      <formula1>"Not Insulated, Partially Insulated, Fully Insulated"</formula1>
    </dataValidation>
    <dataValidation type="list" allowBlank="1" showErrorMessage="1" prompt="If the tank is a floating roof tank, does this tank have an Internal Floating Roof, External Floating Roof, or a Domed/Covered External Floating Roof? Select or enter from the drop-down menu." sqref="C68" xr:uid="{27A70EAD-085A-4BC4-AD12-C642881EFAFB}">
      <formula1>"Internal Floating Roof,External Floating Roof, Domed/Covered External Floating Roof"</formula1>
    </dataValidation>
    <dataValidation allowBlank="1" showErrorMessage="1" prompt="Enter the average daily maximum liquid temperature, if necessary, in Rankine." sqref="C91" xr:uid="{D598FC78-A162-438F-B4E3-C579908CCD71}"/>
    <dataValidation allowBlank="1" showErrorMessage="1" prompt="Enter the average daily maximum liquid temperature, if necessary, in Fahrenheit." sqref="C90" xr:uid="{EC745B5E-E9B0-4A58-9109-117A111E65F3}"/>
    <dataValidation allowBlank="1" showErrorMessage="1" prompt="Enter the average daily minimum liquid temperature, if necessary, in Rankine." sqref="C89" xr:uid="{E2335DE9-E61A-4113-9B69-98662392586B}"/>
    <dataValidation allowBlank="1" showErrorMessage="1" prompt="Enter the average daily minimum liquid temperature, if necessary, in Fahrenheit." sqref="C88" xr:uid="{60DBC460-59A1-43F3-BDF6-FA78CD8E6C9E}"/>
    <dataValidation allowBlank="1" showErrorMessage="1" prompt="Enter the average daily liquid surface temperature, if necessary, in Rankine." sqref="C87" xr:uid="{F47953BB-5E68-44FE-9862-E937747D90F1}"/>
    <dataValidation allowBlank="1" showErrorMessage="1" prompt="Enter the average daily liquid surface temperature, if necessary, in Fahrenheit." sqref="C86" xr:uid="{0AD5B845-E7CF-465E-8A0E-099D8F8D2D8C}"/>
    <dataValidation allowBlank="1" showErrorMessage="1" prompt="Enter the average daily vapor temperature range, if necessary:" sqref="C85" xr:uid="{CBC1701F-8CB2-4E58-B637-75315C5D8B5F}"/>
    <dataValidation allowBlank="1" showErrorMessage="1" prompt="Enter the average daily vapor temperature (Tv), if necessary, in Rankine." sqref="C84" xr:uid="{06422C9A-E556-4F8E-B76B-17CEB11A7325}"/>
    <dataValidation allowBlank="1" showErrorMessage="1" prompt="Enter the average daily vapor temperature (Tv), if necessary, in Fahrenheit." sqref="C83" xr:uid="{73909EF4-3BF3-4E7F-A6CA-8A1CC45A4F4A}"/>
    <dataValidation allowBlank="1" showErrorMessage="1" prompt="Enter the liquid bulk temperature, if necessary, in Rankine." sqref="C82" xr:uid="{637A5235-4945-44E7-8528-AE669A80E851}"/>
    <dataValidation allowBlank="1" showErrorMessage="1" prompt="Enter the liquid bulk temperature, if necessary, in Fahrenheit." sqref="C81" xr:uid="{65194F65-7ABC-49C7-83C2-06101C27B130}"/>
    <dataValidation allowBlank="1" showErrorMessage="1" prompt="Enter the average daily ambient temperature range, if necessary:" sqref="C80" xr:uid="{52032BDA-ACA8-4469-959F-ECD62A478B3B}"/>
    <dataValidation allowBlank="1" showErrorMessage="1" prompt="Enter the average daily ambient temperature, if necessary, in Rankine." sqref="C79" xr:uid="{04D03A9D-C261-4164-B580-9EAF4FFC13A1}"/>
    <dataValidation allowBlank="1" showErrorMessage="1" prompt="Enter the average daily ambient temperature, if necessary, in Fahrenheit." sqref="C78" xr:uid="{DDF13F01-D300-4CD4-BF6D-C7BAD23B82EE}"/>
    <dataValidation allowBlank="1" showErrorMessage="1" prompt="Enter the average daily minimum ambient temperature, if necessary, in Rankine." sqref="C77" xr:uid="{3338608B-C6ED-4E68-B534-D0344BC3838F}"/>
    <dataValidation allowBlank="1" showErrorMessage="1" prompt="Enter the average daily minimum ambient temperature, if necessary, in Fahrenheit." sqref="C76" xr:uid="{DA4323CF-EA33-4EEE-BCA9-4891DD6CACEA}"/>
    <dataValidation allowBlank="1" showErrorMessage="1" prompt="Enter the average daily maximum ambient temperature, if necessary. This cell is for Rankine." sqref="C75" xr:uid="{26598CE2-6EC0-4E85-B4E5-2FEC7F628B71}"/>
    <dataValidation allowBlank="1" showErrorMessage="1" prompt="Enter the average daily maximum ambient temperature, if necessary. This cell is for Fahrenheit." sqref="C74" xr:uid="{ABBD72B4-81BD-4108-910F-346E7144522E}"/>
    <dataValidation allowBlank="1" showErrorMessage="1" prompt="Enter the vapor pressure constant A if the calculated vapor pressure constant A (above) is inaccurate." sqref="B99:P99" xr:uid="{BF1A4A20-5B69-4275-8B72-D65211D96AA1}"/>
    <dataValidation allowBlank="1" showErrorMessage="1" prompt="Enter the vapor pressure constant B if the calculated vapor pressure constant B (above) is inaccurate." sqref="B101:P101" xr:uid="{6EF91CB4-1FB2-4F10-B66E-9781E43EFC23}"/>
    <dataValidation allowBlank="1" showErrorMessage="1" prompt="Enter the vapor pressure constant C if the calculated vapor pressure constant C (above) is inaccurate." sqref="B103:P103" xr:uid="{A44B6BA4-D99B-447A-9D39-50627C85A3FC}"/>
    <dataValidation allowBlank="1" showErrorMessage="1" prompt="Enter the Reid vapor pressure if vapor pressure constant C is unknown and the calculated Reid vapor pressure (above) is inaccurate." sqref="B105:P105" xr:uid="{F3C0B0BF-A00E-4304-8F8C-04F0EF043AAA}"/>
    <dataValidation allowBlank="1" showErrorMessage="1" prompt="Enter the vapor pressure at average daily liquid surface temperature if the calculated vapor pressure at average daily liquid surface temperature (above) is inaccurate." sqref="B107:P107" xr:uid="{5FCE2A5E-2AA9-4B46-A4C5-5A1A4EDA77AE}"/>
    <dataValidation allowBlank="1" showErrorMessage="1" prompt="Enter the vapor pressure at average daily maximum liquid surface temperature if the calculated vapor pressure at average daily maximum liquid surface temperature (above) is inaccurate." sqref="B109:P109" xr:uid="{7AAD936A-8A71-4A8B-87AB-5355C89C3CF6}"/>
    <dataValidation allowBlank="1" showErrorMessage="1" prompt="Enter the vapor pressure at average daily minimum liquid surface temperature if the calculated vapor pressure at average daily minimum liquid surface temperature (above) is inaccurate." sqref="B111:P111" xr:uid="{FE1471A6-33AA-4315-942B-C018355DE4E0}"/>
    <dataValidation allowBlank="1" showErrorMessage="1" prompt="Enter true vapor pressure, if necessary:" sqref="C125" xr:uid="{68F288F0-EC64-4BD9-9D70-2ED385073A5F}"/>
    <dataValidation allowBlank="1" showErrorMessage="1" prompt="Enter the average daily vapor pressure range, if necessary:" sqref="C124" xr:uid="{4CADDB61-1597-4F0C-9034-E192E858A2E6}"/>
    <dataValidation allowBlank="1" showErrorMessage="1" prompt="Enter the breather vent pressure setting range, if necessary." sqref="C123" xr:uid="{125CB83A-9C60-4B36-8D9D-8FF88F7704C9}"/>
    <dataValidation allowBlank="1" showErrorMessage="1" prompt="Enter the breather vent vacuum setting:" sqref="C122" xr:uid="{E1FDB809-9152-4798-AD6E-A24B23CF63E9}"/>
    <dataValidation allowBlank="1" showErrorMessage="1" prompt="Enter the breather vent pressure setting:" sqref="C121" xr:uid="{8F34E38F-88DC-4174-A05C-4E221C863BC6}"/>
    <dataValidation type="list" allowBlank="1" prompt="If this tank has a special vapor control efficiency, select or enter the method or technology (e.g. Flare, TO, VCU, etc.)." sqref="C126" xr:uid="{12F4642E-D0B2-4F1B-B82B-1207751C4634}">
      <formula1>"Flare,TO,VCU"</formula1>
    </dataValidation>
    <dataValidation type="decimal" allowBlank="1" showErrorMessage="1" prompt="If this tank has a special vapor control efficiency, enter the control efficiency as a decimal (e.g. 0.905 for 90.5%)." sqref="C127" xr:uid="{0F47E613-FB89-4472-8788-137E153ED3D5}">
      <formula1>0</formula1>
      <formula2>1</formula2>
    </dataValidation>
    <dataValidation allowBlank="1" showErrorMessage="1" prompt="Enter the vent setting correction factor, if necessary:" sqref="C137" xr:uid="{98989A8B-18E5-41DF-B71B-26D9788A3E70}"/>
    <dataValidation allowBlank="1" showErrorMessage="1" prompt="Enter the pressure of the vapor space at normal operating conditions, if not held at atmospheric pressure:" sqref="C136" xr:uid="{19C55257-CDFE-4D5A-96EE-5985E237909A}"/>
    <dataValidation allowBlank="1" showErrorMessage="1" prompt="Enter the vapor space expansion factor, if necessary:" sqref="C135" xr:uid="{1D93406B-2577-4284-AD90-34303D596919}"/>
    <dataValidation allowBlank="1" showErrorMessage="1" prompt="Enter the vented vapor saturation factor, if necessary:" sqref="C134" xr:uid="{129625AE-81F3-4DE3-9F80-73CD5062933C}"/>
    <dataValidation allowBlank="1" showErrorMessage="1" prompt="Enter the average molecular weight, if necessary:" sqref="C133" xr:uid="{0DB08B42-84CA-4C39-9790-16CC75AD0510}"/>
    <dataValidation allowBlank="1" showErrorMessage="1" prompt="Enter the vapor density, if necessary:" sqref="C132 C200" xr:uid="{F63464AD-EFAE-444E-9338-D5C3E9EDF82F}"/>
    <dataValidation allowBlank="1" showErrorMessage="1" prompt="Enter average organic liquid density, if necessary." sqref="C131" xr:uid="{1B23F142-3200-4ACB-B796-66900C8362C3}"/>
    <dataValidation allowBlank="1" showErrorMessage="1" prompt="Enter the result of the vapor pressure function, if necessary:" sqref="C149" xr:uid="{1226340B-478C-4B6C-BDAE-621AE6D36752}"/>
    <dataValidation allowBlank="1" showErrorMessage="1" prompt="Enter the average ambient wind speed at the tank site (v), if necessary:" sqref="C148" xr:uid="{43329500-B7EA-46A9-98D8-00E7E17D5279}"/>
    <dataValidation allowBlank="1" showErrorMessage="1" prompt="Enter the average molecular weight (MV), if necessary:" sqref="C147" xr:uid="{9E4C1533-EF8E-4FFA-9D68-65A5FC482985}"/>
    <dataValidation allowBlank="1" showErrorMessage="1" prompt="Enter the seal-related wind speed exponent (n), if necessary:" sqref="C146" xr:uid="{A8ACF15B-A933-4CEE-AF6A-8034EBB3F1D8}"/>
    <dataValidation allowBlank="1" showErrorMessage="1" prompt="Enter the wind-speed dependent rim seal loss factor (KRb), if necessary:" sqref="C145" xr:uid="{B7AEF5D0-F5BB-4BEC-B387-F0F5BA9DDF35}"/>
    <dataValidation allowBlank="1" showErrorMessage="1" prompt="Enter the zero-wind-speed rim seal loss factor (KRa), if necessary:" sqref="C144" xr:uid="{06D3A22B-E908-437C-9CB9-D052CA040AD9}"/>
    <dataValidation type="list" allowBlank="1" prompt="Is the rim seal maintained with no gaps greater than 1/8 in. wide between the rim seal and the tank shell? (Note: If the seal is maintained with gaps no greater than 1/8 in., &quot;Tight-fitting&quot; rim-seal loss facotrs may apply.)" sqref="C143" xr:uid="{768F0E99-7FB0-4A37-BE6C-2139FE5A9B9A}">
      <formula1>"Yes,No"</formula1>
    </dataValidation>
    <dataValidation type="list" allowBlank="1" prompt="What rim-seal system is in use? Select or enter from drop-down menu:" sqref="C141" xr:uid="{DE1A4087-F911-4F1A-917E-C974539AE294}">
      <formula1>INDIRECT($C$31)</formula1>
    </dataValidation>
    <dataValidation type="list" allowBlank="1" prompt="What subsystem is in use (e.g. &quot;Primary only&quot;, &quot;Shoe-Mounted Secondary&quot;, &quot;Weather Shield&quot;, or &quot;Rim-Mounted Secondary&quot;) Select or enter from drop-down menu:" sqref="C142" xr:uid="{AE716488-3A0B-48BA-AE88-180C251EE803}">
      <formula1>IF($C$141="Mechanical-shoe seal",Subsystem1,Subsystem2)</formula1>
    </dataValidation>
    <dataValidation allowBlank="1" showErrorMessage="1" prompt="Enter average organic liquid density." sqref="C154" xr:uid="{50BF89C5-1075-48E3-9424-A890B382209F}"/>
    <dataValidation allowBlank="1" showErrorMessage="1" prompt="Enter the tank-specific column diameter (FC), if known." sqref="C153" xr:uid="{9D67D532-0893-4B62-9B3A-3E36B1DDFF36}"/>
    <dataValidation allowBlank="1" showErrorMessage="1" prompt="Enter the number of fixed roof support columns (NC), if necessary. For a self-supporting external floating roof tank, enter 0. For a column-supported fixed roof, use tank-specific information." sqref="C152" xr:uid="{F510B82C-9A0B-4FF4-A2D3-E7CE851B5B6F}"/>
    <dataValidation allowBlank="1" showErrorMessage="1" prompt="Enter shell clingage factor CS, if necessary:" sqref="C151" xr:uid="{8486C005-4D3D-4495-938F-57EC0EB4770C}"/>
    <dataValidation type="list" allowBlank="1" showErrorMessage="1" prompt="Select or enter the shell condition (e.g. &quot;Light Rust&quot;, &quot;Dense Rust&quot;, or &quot;Gunite Lining&quot;):" sqref="C150" xr:uid="{70AA0AE1-F278-4B68-B576-48C446AE4497}">
      <formula1>"Light Rust,Dense Rust,Gunite Lining"</formula1>
    </dataValidation>
    <dataValidation allowBlank="1" showErrorMessage="1" prompt="Enter the number of fittings per fitting type." sqref="E158:E177" xr:uid="{DC13EC86-8712-4A2E-BD03-907691FAB24E}"/>
    <dataValidation allowBlank="1" showErrorMessage="1" prompt="Enter the zero wind speed loss factor if the previous column's calculated value is inaccurate." sqref="G158:G177" xr:uid="{409E2B70-9F01-4116-AD36-1E9D16ED17B6}"/>
    <dataValidation allowBlank="1" showErrorMessage="1" prompt="Enter the wind speed-dependent loss factor if the previous column's calculated value is inaccurate." sqref="I158:I177" xr:uid="{799349E7-D6A0-490F-A8BA-987D3028DFF9}"/>
    <dataValidation allowBlank="1" showErrorMessage="1" prompt="Enter the loss factor if the previous column's calculated value is inaccurate." sqref="K158:K177" xr:uid="{73CAA501-D3E6-4204-9635-B71E092CD36D}"/>
    <dataValidation allowBlank="1" showErrorMessage="1" prompt="Enter the deck seam loss per unit seam length factor, if necessary:" sqref="C189" xr:uid="{88111DF9-CD24-4940-AE0D-194649E8BE37}"/>
    <dataValidation allowBlank="1" showErrorMessage="1" prompt="Enter the deck seam length factor, if necessary:" sqref="C188" xr:uid="{5DD3C2B1-C5B2-464D-B659-9F30A9C49C0D}"/>
    <dataValidation type="list" allowBlank="1" showErrorMessage="1" prompt="If total length of deck seams is unknown, select or enter the type of deck seam construction (e.g. Continuous sheet construction, Panel construction):" sqref="C186" xr:uid="{16E19DF6-948A-4DB1-9E60-D73D10433CFA}">
      <formula1>"Continuous sheet construction,Panel construction"</formula1>
    </dataValidation>
    <dataValidation allowBlank="1" showErrorMessage="1" prompt="Enter the total length of the deck seams, if known:" sqref="C185" xr:uid="{AACBE204-5A8D-4A97-AF25-720230F8F590}"/>
    <dataValidation allowBlank="1" showErrorMessage="1" prompt="Enter the area of the deck, if necessary:" sqref="C184" xr:uid="{C584F763-19F6-4F5F-ACC0-BF1EF8808D0E}"/>
    <dataValidation type="list" allowBlank="1" showErrorMessage="1" prompt="Is the deck seam welded? Select or enter &quot;Yes&quot; or &quot;No&quot;." sqref="C183" xr:uid="{FC74386F-9FF5-41FE-8E5B-723747F83D88}">
      <formula1>"Yes,No"</formula1>
    </dataValidation>
    <dataValidation allowBlank="1" showErrorMessage="1" prompt="Enter deck fitting loss factor (FF), if necessary:" sqref="C182" xr:uid="{06BA9CE2-D24E-41CB-A85A-6D8BDC4B9E3E}"/>
    <dataValidation type="list" allowBlank="1" prompt="If total length of deck seams is unknown, select or enter average deck seam size:" sqref="C187" xr:uid="{40C53E08-C6F3-4B46-A494-920AFF8D8287}">
      <formula1>INDIRECT(LEFT($C$186,5))</formula1>
    </dataValidation>
    <dataValidation type="list" allowBlank="1" prompt="If total length of deck seams is unknown, select or enter the type of deck seam construction (e.g. Continuous sheet construction, Panel construction):" sqref="C186" xr:uid="{A6B2888F-D1B5-436A-A46E-6A2EF7F1F881}">
      <formula1>"Continuous sheet construction,Panel construction"</formula1>
    </dataValidation>
    <dataValidation allowBlank="1" showErrorMessage="1" prompt="Enter the result of the vapor pressure function at the temperature beneath the landed floating roof, if necessary:" sqref="C195" xr:uid="{029F2546-4DD0-4092-874E-CB7B8E65DCFE}"/>
    <dataValidation allowBlank="1" showErrorMessage="1" prompt="If a distillate material is added to decrease volatility during roof landing, enter the average molecular weight of the new mixture:" sqref="C194" xr:uid="{ED6BC82E-95EC-4892-9787-829FA982B06B}"/>
    <dataValidation allowBlank="1" showErrorMessage="1" prompt="Enter the average vapor temperature at the temperature beneath the landed floating roof, if different than average ambient temperature, in Rankine." sqref="C193" xr:uid="{1E6A2B35-3E39-47C5-98F9-6928B7A1E0A1}"/>
    <dataValidation allowBlank="1" showErrorMessage="1" prompt="Enter the average vapor temperature at the temperature beneath the landed floating roof, if different than average ambient temperature, in Fahrenheit." sqref="C192" xr:uid="{6CD4CD26-8F50-488F-B650-3A58722A186E}"/>
    <dataValidation allowBlank="1" showErrorMessage="1" prompt="Enter the true vapor pressure of the stock liquid at the temperature beneath the landed floating roof, if different than average ambient temperature:" sqref="C191" xr:uid="{7C0C01E1-A3F2-4FB6-90AE-382EDCA10489}"/>
    <dataValidation type="list" allowBlank="1" showErrorMessage="1" prompt="Is this tank have a liquid &quot;heel&quot; or is it drain-dry? Select or enter &quot;Full liquid heel&quot;, &quot;Partial liquid heel&quot;, or &quot;Drain dry&quot;." sqref="C190" xr:uid="{F9A7F205-F9B5-4233-AE0E-DCE23FF023D9}">
      <formula1>"Full liquid heel,Partial liquid heel,Drain dry"</formula1>
    </dataValidation>
    <dataValidation allowBlank="1" showErrorMessage="1" prompt="Enter the number of days that the tank stands idle." sqref="C203" xr:uid="{5F13699D-51E8-49B6-A456-6E2E1B070C6E}"/>
    <dataValidation allowBlank="1" showErrorMessage="1" prompt="If this is an internal floating roof tank, enter the saturation factor, if necessary:" sqref="C202" xr:uid="{D44FE520-1EEE-4F54-900E-FDAC2755A28D}"/>
    <dataValidation allowBlank="1" showErrorMessage="1" prompt="If this is an internal floating roof tank, enter the vapor space expansion factor, if necessary: Note that if a distillate material is used, a different vapor space expansion factor may apply." sqref="C201" xr:uid="{65102F4F-E28A-4A72-B38E-2AD9D0298223}"/>
    <dataValidation allowBlank="1" showErrorMessage="1" prompt="Enter the frequency of landing episodes, if necessary:" sqref="C199" xr:uid="{678872E0-AAD1-462B-904B-7727B6AF84C0}"/>
    <dataValidation allowBlank="1" showErrorMessage="1" prompt="Enter the effective height of the stock liquid inside the tank:" sqref="C198" xr:uid="{05D23654-35F5-4806-A0E3-C06838EAB089}"/>
    <dataValidation allowBlank="1" showErrorMessage="1" prompt="Enter the volume of the vapor space, if necessary:" sqref="C210 C218" xr:uid="{FCB52C89-5502-407E-8ADC-748CC66D2C9B}"/>
    <dataValidation allowBlank="1" showErrorMessage="1" prompt="If this is an external floating roof tank, enter the height of the vapor space under the floating roof." sqref="C209" xr:uid="{14E95CCB-54AB-4BB0-9F62-88FB703F46BE}"/>
    <dataValidation allowBlank="1" showErrorMessage="1" prompt="If this is an external floating roof tank, enter the filling saturation correction factor for wind, if necessary:" sqref="C208" xr:uid="{43CED3A3-A3CE-4661-BEA1-D5F8385B6B11}"/>
    <dataValidation allowBlank="1" showErrorMessage="1" prompt="Enter the filling saturation factor, if necessary:" sqref="C207" xr:uid="{48F691D0-5587-4D2D-AE9A-00190D4AB7CF}"/>
    <dataValidation allowBlank="1" showErrorMessage="1" prompt="If this is a drain-dry tank, enter the area of the tank bottom, if necessary:" sqref="C206" xr:uid="{71CFA0B4-B038-4E6F-8D5C-87B32F5FE1A1}"/>
    <dataValidation allowBlank="1" showErrorMessage="1" prompt="Enter the number of vapor space purges per year that follow a cessation of forces ventilation overnight, other than the initial vapor space purge:" sqref="C222" xr:uid="{99165C2C-3A05-4E9A-AB1D-B5C11B363DAF}"/>
    <dataValidation allowBlank="1" showErrorMessage="1" prompt="Enter the saturation factor, if necessary:" sqref="C221" xr:uid="{956A7922-8665-4935-A90D-07D62B52486E}"/>
    <dataValidation allowBlank="1" showErrorMessage="1" prompt="Enter the number of days between turnover, if necessary:" sqref="C220" xr:uid="{A75B5901-3E63-4D38-817A-4381BFD2033B}"/>
    <dataValidation allowBlank="1" showErrorMessage="1" prompt="Enter the height of the stock liquid and sludge above the tank bottom at the tank shell, if necessary:" sqref="C219" xr:uid="{593AA7E2-8118-4114-AB36-92E75A003A1F}"/>
    <dataValidation allowBlank="1" showErrorMessage="1" prompt="Enter the average temperature of the vapor space, if necessary:" sqref="C217" xr:uid="{14F1706D-D293-473C-95AC-75DC0BC8F7BB}"/>
    <dataValidation allowBlank="1" showErrorMessage="1" prompt="Enter the true vapor pressure of the exposed volatile material in the tank, if necessary:" sqref="C216" xr:uid="{D0BE8D92-1D53-4588-9115-F3E0F8C06817}"/>
    <dataValidation allowBlank="1" showErrorMessage="1" prompt="Enter the stock vapor molecular weight, if necessary:" sqref="C215" xr:uid="{EE90BE5A-E791-4B4C-99B6-1CEE6BBC7F96}"/>
    <dataValidation allowBlank="1" showErrorMessage="1" prompt="Enter how many times per year is this tank cleaned." sqref="C214" xr:uid="{D7B76F77-DDE4-484B-8164-902726F4AE1F}"/>
    <dataValidation allowBlank="1" showErrorMessage="1" prompt="Enter the effective height of the stock liquid and sludge for the given stage of continued forced ventilation." sqref="C232" xr:uid="{216E3C8E-4845-4567-ABF0-EECA354D9D2A}"/>
    <dataValidation allowBlank="1" showErrorMessage="1" prompt="Enter the calibration gas molecular weight." sqref="C231" xr:uid="{700A2034-6996-497B-94C8-BB794408AEF0}"/>
    <dataValidation allowBlank="1" showErrorMessage="1" prompt="Enter the daily period of forced ventilation. Note: Do not include the initial time for the vapor space purge. It would be reasonable to neglect the first half hour from each stage of continued forced ventilation." sqref="C230" xr:uid="{CDB5829D-34CD-4CBF-89E4-4413C891A4FD}"/>
    <dataValidation allowBlank="1" showErrorMessage="1" prompt="Enter the duration of continued forced ventilation, in days." sqref="C229" xr:uid="{88176166-356D-4C5E-AEC3-AFBF46DC3E0C}"/>
    <dataValidation allowBlank="1" showErrorMessage="1" prompt="Enter the average ventilation rate during forced ventilation." sqref="C228" xr:uid="{37883759-2760-40EB-A975-C40216AB2744}"/>
    <dataValidation allowBlank="1" showErrorMessage="1" prompt="Enter the average vapor concentration by volume during continued forced ventilation, if known:" sqref="C227" xr:uid="{359AC3C8-EAFB-4B39-AD6E-601EA4E6229A}"/>
    <dataValidation allowBlank="1" showErrorMessage="1" prompt="If using a LEL reading, enter the Response Factor (RF), if known:" sqref="C226" xr:uid="{2175DFA0-9119-458E-BEF6-91C7ADFA4593}"/>
    <dataValidation allowBlank="1" showErrorMessage="1" prompt="If using a LEL reading, enter the LEL of the calibration gas, as a decimal fraction:" sqref="C225" xr:uid="{D71B4782-5DDA-49BA-9E87-DFC249284278}"/>
    <dataValidation allowBlank="1" showErrorMessage="1" prompt="If using a Lower Explosive Limit (LEL) reading, enter the average LEL, as displayed, as a decimal fraction:" sqref="C224" xr:uid="{5459E73B-DEAE-4989-918D-74DE17327951}"/>
    <dataValidation type="list" allowBlank="1" showErrorMessage="1" prompt="How is the average vapor concentration measured? Select or enter a response from the drop-down menu." sqref="C223" xr:uid="{F513B272-99BA-4F94-9145-74D552F058A1}">
      <formula1>"LEL Reading,Vapor Analyzer"</formula1>
    </dataValidation>
    <dataValidation allowBlank="1" showErrorMessage="1" prompt="Enter the average depth of sludge once all the free-standing liquid had been vacuumed (or drained) out." sqref="C236" xr:uid="{851F4E17-6F29-49D9-9EA6-7CE2B32E0956}"/>
    <dataValidation allowBlank="1" showErrorMessage="1" prompt="Enter the daily period of forced ventilation once all the free-standing liquid had been vacuumed (or drained) out." sqref="C235" xr:uid="{E68BF62B-D88F-4BDA-8EF0-515258AC8ADD}"/>
    <dataValidation allowBlank="1" showErrorMessage="1" prompt="Enter the duration of continued forced ventilation once all the free-standing liquid had been vacuumed (or drained) out:" sqref="C234" xr:uid="{D855A38C-7044-4897-BE21-B682041DD2AB}"/>
    <dataValidation allowBlank="1" showErrorMessage="1" prompt="Enter the decimal fraction of the sludge with potential to evaporate once all the free-standing liquid had been vacuumed (or drained) out." sqref="C233" xr:uid="{F310C706-61CC-4C19-8B73-678A5ECE4712}"/>
    <dataValidation allowBlank="1" showErrorMessage="1" prompt="If using the Laboratory GOR method, enter the molecular weight of the flash gas:" sqref="C244" xr:uid="{86EF76BC-198C-4FD8-A285-046B74810C15}"/>
    <dataValidation allowBlank="1" showErrorMessage="1" prompt="If using the Laboratory GOR method, enter the volume of gas at given pressure and temperature, if necessary. The default value 1/379.48 scf/lb-mole is at Standard Conditions." sqref="C243" xr:uid="{D23DDAD9-5FB5-4335-AE1C-C7BA8AB7FD09}"/>
    <dataValidation allowBlank="1" showErrorMessage="1" prompt="If using the Laboratory Gas-Oil Ratio (GOR) method, enter the GOR:" sqref="C242" xr:uid="{1FE1F621-9503-4BE3-8860-DB927DA21898}"/>
    <dataValidation type="list" allowBlank="1" showErrorMessage="1" prompt="Does this tank store a liquid with a possibility of undergoing flashing? Select or enter yes or no." sqref="C240" xr:uid="{8FF3C45A-890C-4D7E-BB9C-CE3FCC132C9C}">
      <formula1>"Yes,No"</formula1>
    </dataValidation>
    <dataValidation type="decimal" allowBlank="1" showErrorMessage="1" error="Seperator Gas Gravity must be between 0.56 - 1.18. If the gas gravity is below this range, you can increase to minimum 0.56. If gas gravity is above this range, you cannot use this equation." prompt="If using the Vasquez-Beggs Equation, enter the seperator gas gravity." sqref="C249" xr:uid="{B54DCF94-BF7B-49C3-B0E2-E944E0B5983B}">
      <formula1>0.56</formula1>
      <formula2>1.18</formula2>
    </dataValidation>
    <dataValidation type="decimal" allowBlank="1" showErrorMessage="1" error="Seperator Temperature must be between 529 - 755°R. If the temperature is outside this range, you cannot use the Vasquez-Beggs Equation." prompt="If using the Vasquez-Beggs Equation, enter the seperator temperature, in Rankine." sqref="C248" xr:uid="{6712F1A6-D68D-4D67-B095-6AE265548EC3}">
      <formula1>529</formula1>
      <formula2>755</formula2>
    </dataValidation>
    <dataValidation type="decimal" allowBlank="1" showErrorMessage="1" error="Seperator Temperature must be between 70 - 295°F. If the temperature is outside this range, you cannot use the Vasquez-Beggs Equation." prompt="If using the Vasquez-Beggs Equation, enter the seperator temperature, in Fahrenheit." sqref="C247" xr:uid="{339142E0-9943-4B97-A39C-0F6210E609F4}">
      <formula1>70</formula1>
      <formula2>295</formula2>
    </dataValidation>
    <dataValidation type="decimal" allowBlank="1" showErrorMessage="1" error="Seperator pressure must be between 35.3 - 5235.3 psig (or 50 - 5250 psia) to use this equation. If below range, increase to minimum 35.3 psig/50 psia." prompt="If using the Vasquez-Beggs Equation, enter the seperator pressure." sqref="C246" xr:uid="{46C30DA3-C53C-4BA6-A337-77761FA0C733}">
      <formula1>35.3</formula1>
      <formula2>5235.3</formula2>
    </dataValidation>
    <dataValidation type="decimal" allowBlank="1" showErrorMessage="1" error="API Gravity must be between 16 - 40° to use Vasquex-Beggs Equation. If API is below range, increase to minimum 16°. Do not use this equation if API is over 40°." prompt="If using the Vasquez-Beggs Equation, enter the stock's API Gravity:" sqref="C245" xr:uid="{641D880B-4D0B-40C8-86B2-CF956C4F181B}">
      <formula1>16</formula1>
      <formula2>40</formula2>
    </dataValidation>
    <dataValidation type="list" allowBlank="1" showErrorMessage="1" prompt="What method of analyzing flashing was used? Select or enter a method from the drop-down menu:" sqref="C241" xr:uid="{37A4526E-78E5-4925-B5DB-A3D445F0C710}">
      <formula1>"Laboratory GOR,Computer simulation modeling,Vasquez-Beggs Equation,Direct Measurement"</formula1>
    </dataValidation>
    <dataValidation allowBlank="1" showErrorMessage="1" prompt="Enter the total calculated or measured emissions from flashing, if necessary:" sqref="C258" xr:uid="{41C034D8-5360-48A5-80CE-1C466FFB573A}"/>
    <dataValidation allowBlank="1" showErrorMessage="1" prompt="If using the Vasquez-Beggs Equation, enter the total amount of hydrocarbons in tons per year, if necessary:" sqref="C257" xr:uid="{90599C74-2C4B-4375-B14A-DCD918ED7074}"/>
    <dataValidation allowBlank="1" showErrorMessage="1" prompt="If using the Vasquez-Beggs Equation, enter the volume of gas at given pressure and temperature, if necessary. The default value 1/379.48 scf/lb-mole is at Standard Conditions." sqref="C256" xr:uid="{892EE169-D1B1-43C8-8B61-25ECBCCD137C}"/>
    <dataValidation allowBlank="1" showErrorMessage="1" prompt="If using the Vasquez-Beggs Equation, enter the Gas/Oil Ratio of liquid at pressure of interest, if necessary:" sqref="C255" xr:uid="{7781B4F1-9318-4ADD-8633-FC0DB5CB896B}"/>
    <dataValidation allowBlank="1" showErrorMessage="1" prompt="If using the Vasquez-Beggs Equation, enter the the value for the constant C3." sqref="C254" xr:uid="{9D975ECD-DB21-4211-A9CB-C1C6B62C10FD}"/>
    <dataValidation allowBlank="1" showErrorMessage="1" prompt="If using the Vasquez-Beggs Equation, enter the the value for the constant C2." sqref="C253" xr:uid="{776C95ED-E1AC-44F5-8899-C9AF8FD31AAB}"/>
    <dataValidation allowBlank="1" showErrorMessage="1" prompt="If using the Vasquez-Beggs Equation, enter the the value for the constant C1." sqref="C252" xr:uid="{98206236-A59F-4D44-A11E-AFE2EB7251CA}"/>
    <dataValidation allowBlank="1" showErrorMessage="1" prompt="If using the Vasquez-Beggs Equation, enter the dissolved gas gravity at 100 psig, if necessary:" sqref="C251" xr:uid="{38CA8995-BE2F-4B10-B377-76392A68E90A}"/>
    <dataValidation type="decimal" allowBlank="1" showErrorMessage="1" error="VOC fraction must be between 0.5 (50%) - 1.0 (100%)." prompt="If using the Vasquez-Beggs Equation, enter the fraction of VOC in the stock tank gas:" sqref="C250" xr:uid="{35AF6BD8-A6D7-4940-BBF5-14CD2780E183}">
      <formula1>0.5</formula1>
      <formula2>1</formula2>
    </dataValidation>
    <dataValidation allowBlank="1" showErrorMessage="1" prompt="If this is a Variable Vapor Space tank, enter the total variable vapor space filling loss, if necessary, in pounds per year." sqref="C267" xr:uid="{800D8CA1-3190-4AB0-AE08-2492C3962753}"/>
    <dataValidation allowBlank="1" showErrorMessage="1" prompt="If this is a Variable Vapor Space tank, enter the total variable vapor space filling loss, if necessary, in pounds per thousand gallons throughput." sqref="C266" xr:uid="{E8F689C5-D18B-4228-8424-BF0E7E5FC0B7}"/>
    <dataValidation allowBlank="1" showErrorMessage="1" prompt="If this is a Variable Vapor Space tank, enter the number of transfers into system (N2):" sqref="C265" xr:uid="{2F7B24AE-FE0C-4A1A-A7DC-45B986B3B0B6}"/>
    <dataValidation type="list" allowBlank="1" showErrorMessage="1" prompt="If this is a Variable Vapor Space tank, enter the volume of liquid pumped into the system (throughput, V1), if necessary:" sqref="C263" xr:uid="{D107718B-2BBF-4FA2-BF1F-28D6924A547E}">
      <formula1>"Fixed, Floating"</formula1>
    </dataValidation>
    <dataValidation allowBlank="1" showErrorMessage="1" prompt="If this is a Variable Vapor Space tank, enter the volume expansion capacity of the system (V2):" sqref="C264" xr:uid="{5B090483-18FA-45DB-AEA9-0EC95F75565E}"/>
    <dataValidation allowBlank="1" showErrorMessage="1" prompt="If this is a Variable Vapor Space tank, enter the volume of liquid pumped into the system (throughput, V1), if necessary:" sqref="C263" xr:uid="{8896B924-9E66-4255-AFA4-308D154B4262}"/>
    <dataValidation type="list" allowBlank="1" showErrorMessage="1" prompt="Is this a Variable Vapor Space tank? Select or enter &quot;Yes&quot; or &quot;No&quot;." sqref="C262" xr:uid="{B10EBA67-8FDD-44BC-A399-446C2AC3613F}">
      <formula1>"Yes,No"</formula1>
    </dataValidation>
    <dataValidation allowBlank="1" showErrorMessage="1" prompt="Enter the FIN for this tank. Note that it must match the existing authorization's FIN." sqref="B6" xr:uid="{E5C464A2-13F0-4CC1-936A-153140237B46}"/>
    <dataValidation allowBlank="1" showErrorMessage="1" prompt="Enter the EPN for this tank. Note that it must match the existing authorization's EPN." sqref="B7" xr:uid="{0F8369F8-B9A5-4D3E-AD1C-2F5797565B02}"/>
    <dataValidation allowBlank="1" showErrorMessage="1" prompt="Enter the source name for this tank. Note that it must match the existing authorization's source name." sqref="B8" xr:uid="{6F4F4BBA-6B14-4803-AD5B-502CC243C5A0}"/>
    <dataValidation type="list" allowBlank="1" showErrorMessage="1" prompt="Enter the UTM Zone for this tank." sqref="B9" xr:uid="{0A341FF9-6BB0-40FB-8CBD-EF90D447591B}">
      <formula1>"13,14,15"</formula1>
    </dataValidation>
    <dataValidation allowBlank="1" showErrorMessage="1" prompt="Enter the Easting distance from the UTM coordinate." sqref="B10" xr:uid="{3844CFE6-3042-4020-BA84-BB15860CF211}"/>
    <dataValidation allowBlank="1" showErrorMessage="1" prompt="Enter the Northing distance from the UTM coordinate." sqref="B11" xr:uid="{74A6AEA4-BFDF-4636-AEFE-CBB7F776110F}"/>
    <dataValidation type="list" allowBlank="1" showErrorMessage="1" prompt="What is the roof shape? Select or enter Cone or Dome." sqref="C58" xr:uid="{37770CB2-B861-429E-92BE-92316E3FE1A2}">
      <formula1>"Cone,Dome"</formula1>
    </dataValidation>
  </dataValidations>
  <hyperlinks>
    <hyperlink ref="A93" r:id="rId1" xr:uid="{741FCB87-268A-4AC6-99A8-B2C323FBE7DB}"/>
    <hyperlink ref="A93:D93" r:id="rId2" tooltip="Click to link to ambient temperature and wind speed data." display="https://www.ncdc.noaa.gov/ghcn/comparative-climatic-data" xr:uid="{BEDABE7B-54EC-42AC-9319-01AF0563C171}"/>
  </hyperlinks>
  <pageMargins left="0.7" right="0.7" top="0.75" bottom="0.75" header="0.3" footer="0.3"/>
  <pageSetup orientation="portrait" r:id="rId3"/>
  <headerFooter>
    <oddHeader>&amp;C&amp;"Arial,Regular"Annual Throughput Increase RAP Application</oddHeader>
    <oddFooter>&amp;LVersion: 5/1/2019&amp;CSheet: &amp;A&amp;RPage &amp;P/&amp;N</oddFooter>
  </headerFooter>
  <extLst>
    <ext xmlns:x14="http://schemas.microsoft.com/office/spreadsheetml/2009/9/main" uri="{78C0D931-6437-407d-A8EE-F0AAD7539E65}">
      <x14:conditionalFormattings>
        <x14:conditionalFormatting xmlns:xm="http://schemas.microsoft.com/office/excel/2006/main">
          <x14:cfRule type="expression" priority="2" stopIfTrue="1" id="{0A6E510A-17A1-4698-8959-8175F915AF8C}">
            <xm:f>'Hidden Inputs'!$BR$5</xm:f>
            <x14:dxf>
              <font>
                <color theme="0" tint="-0.499984740745262"/>
              </font>
              <numFmt numFmtId="171" formatCode=";;;"/>
              <fill>
                <patternFill>
                  <bgColor theme="0" tint="-0.499984740745262"/>
                </patternFill>
              </fill>
            </x14:dxf>
          </x14:cfRule>
          <xm:sqref>A4:C14 A16:Q26 A28:D91 A95:Q117 A119:D127 A129:D137 A139:D154 A156:L178 A180:D210 A212:D236 A238:D258 A260:D267 A269:E297 A299:Q308</xm:sqref>
        </x14:conditionalFormatting>
        <x14:conditionalFormatting xmlns:xm="http://schemas.microsoft.com/office/excel/2006/main">
          <x14:cfRule type="expression" priority="14" id="{26E4222A-23F2-4B34-A36B-1CC28C36DACD}">
            <xm:f>'TANKS Calculations'!H$71&gt;0</xm:f>
            <x14:dxf>
              <font>
                <color theme="0" tint="-0.499984740745262"/>
              </font>
              <numFmt numFmtId="171" formatCode=";;;"/>
              <fill>
                <patternFill>
                  <bgColor theme="0" tint="-0.499984740745262"/>
                </patternFill>
              </fill>
            </x14:dxf>
          </x14:cfRule>
          <xm:sqref>B104:P105</xm:sqref>
        </x14:conditionalFormatting>
      </x14:conditionalFormattings>
    </ext>
    <ext xmlns:x14="http://schemas.microsoft.com/office/spreadsheetml/2009/9/main" uri="{CCE6A557-97BC-4b89-ADB6-D9C93CAAB3DF}">
      <x14:dataValidations xmlns:xm="http://schemas.microsoft.com/office/excel/2006/main" count="5">
        <x14:dataValidation type="list" allowBlank="1" prompt="Select the chemical name from the drop-down. If the chemical name is not in the list, enter the chemical name in the cell." xr:uid="{B01DF8FE-7688-413B-BB7C-D82A4C0C6918}">
          <x14:formula1>
            <xm:f>'TANKS Vapor Fx'!$A$3:$A$294</xm:f>
          </x14:formula1>
          <xm:sqref>B18:P18</xm:sqref>
        </x14:dataValidation>
        <x14:dataValidation type="list" allowBlank="1" prompt="Select the fitting type from the drop-down menu." xr:uid="{5FE81E1F-C50B-4738-A274-49BAEBC74BD4}">
          <x14:formula1>
            <xm:f>'TANKS Data'!$G$96:$G$111</xm:f>
          </x14:formula1>
          <xm:sqref>A158:B177</xm:sqref>
        </x14:dataValidation>
        <x14:dataValidation type="list" allowBlank="1" showErrorMessage="1" prompt="Select the nearest city and state from the drop-down menu. This will fill in appropriate meteorological data for the region. If this field is left blank, meteorological data must be entered manually in the &quot;Input Parameters&quot; section." xr:uid="{0878CC2A-A55A-4305-812D-F9C8A7404D81}">
          <x14:formula1>
            <xm:f>'TANKS Data'!$A$189:$A$213</xm:f>
          </x14:formula1>
          <xm:sqref>B14</xm:sqref>
        </x14:dataValidation>
        <x14:dataValidation type="list" allowBlank="1" showErrorMessage="1" prompt="What color is the paint on the shell? Select color from drop-down menu." xr:uid="{12327A99-9BC8-4940-AA78-3B92435641A8}">
          <x14:formula1>
            <xm:f>'TANKS Data'!$B$174:$B$186</xm:f>
          </x14:formula1>
          <xm:sqref>C54 C56</xm:sqref>
        </x14:dataValidation>
        <x14:dataValidation type="list" allowBlank="1" prompt="Specify the construction details for the fitting type specified in the previous column. If no matching result is present in the drop-down menu, you may enter your own details and factors." xr:uid="{11017ED3-4BA3-472E-A670-9D6BF2709D0C}">
          <x14:formula1>
            <xm:f>INDIRECT('TANKS Data'!$T96)</xm:f>
          </x14:formula1>
          <xm:sqref>C158:D177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41F02-A24C-438E-A2F5-F27279C7C475}">
  <sheetPr codeName="Sheet28">
    <tabColor theme="1"/>
  </sheetPr>
  <dimension ref="A1:R309"/>
  <sheetViews>
    <sheetView workbookViewId="0">
      <selection sqref="A1:G1"/>
    </sheetView>
  </sheetViews>
  <sheetFormatPr defaultColWidth="0" defaultRowHeight="12.75" zeroHeight="1" x14ac:dyDescent="0.2"/>
  <cols>
    <col min="1" max="1" width="62" style="106" customWidth="1"/>
    <col min="2" max="2" width="19.5703125" style="106" bestFit="1" customWidth="1"/>
    <col min="3" max="3" width="23.140625" style="106" customWidth="1"/>
    <col min="4" max="4" width="21.42578125" style="106" customWidth="1"/>
    <col min="5" max="17" width="18.7109375" style="106" customWidth="1"/>
    <col min="18" max="18" width="14.7109375" style="106" hidden="1" customWidth="1"/>
    <col min="19" max="16384" width="9.140625" style="106" hidden="1"/>
  </cols>
  <sheetData>
    <row r="1" spans="1:17" ht="5.0999999999999996" customHeight="1" x14ac:dyDescent="0.2">
      <c r="A1" s="1379" t="s">
        <v>8392</v>
      </c>
      <c r="B1" s="1379"/>
      <c r="C1" s="1379"/>
      <c r="D1" s="1379"/>
      <c r="E1" s="1379"/>
      <c r="F1" s="1379"/>
      <c r="G1" s="1379"/>
    </row>
    <row r="2" spans="1:17" ht="25.5" x14ac:dyDescent="0.35">
      <c r="A2" s="1368" t="s">
        <v>9996</v>
      </c>
      <c r="B2" s="1368"/>
      <c r="C2" s="1368"/>
      <c r="D2" s="1368"/>
      <c r="E2" s="1368"/>
      <c r="F2" s="1368"/>
      <c r="G2" s="1368"/>
      <c r="H2" s="1368"/>
      <c r="I2" s="1368"/>
      <c r="J2" s="1368"/>
      <c r="K2" s="1368"/>
      <c r="L2" s="1368"/>
      <c r="M2" s="1368"/>
      <c r="N2" s="1368"/>
      <c r="O2" s="1368"/>
      <c r="P2" s="1368"/>
      <c r="Q2" s="1368"/>
    </row>
    <row r="3" spans="1:17" ht="50.25" customHeight="1" thickBot="1" x14ac:dyDescent="0.25">
      <c r="A3" s="1369" t="s">
        <v>10015</v>
      </c>
      <c r="B3" s="1369"/>
      <c r="C3" s="1369"/>
      <c r="D3" s="1369"/>
      <c r="E3" s="1369"/>
      <c r="F3" s="1369"/>
      <c r="G3" s="1369"/>
      <c r="H3" s="1369"/>
      <c r="I3" s="1369"/>
      <c r="J3" s="1369"/>
      <c r="K3" s="1369"/>
      <c r="L3" s="1369"/>
      <c r="M3" s="1369"/>
      <c r="N3" s="1369"/>
      <c r="O3" s="1369"/>
      <c r="P3" s="1369"/>
      <c r="Q3" s="1369"/>
    </row>
    <row r="4" spans="1:17" ht="60" customHeight="1" thickBot="1" x14ac:dyDescent="0.3">
      <c r="A4" s="1363" t="s">
        <v>9684</v>
      </c>
      <c r="B4" s="1364"/>
      <c r="C4" s="1365"/>
      <c r="D4" s="224"/>
      <c r="E4" s="224"/>
      <c r="F4" s="224"/>
      <c r="G4" s="224"/>
    </row>
    <row r="5" spans="1:17" ht="20.100000000000001" customHeight="1" x14ac:dyDescent="0.25">
      <c r="A5" s="146" t="s">
        <v>9685</v>
      </c>
      <c r="B5" s="148" t="s">
        <v>9687</v>
      </c>
      <c r="C5" s="149" t="s">
        <v>9688</v>
      </c>
      <c r="D5" s="224"/>
      <c r="E5" s="224"/>
      <c r="F5" s="224"/>
      <c r="G5" s="224"/>
    </row>
    <row r="6" spans="1:17" ht="30" customHeight="1" x14ac:dyDescent="0.2">
      <c r="A6" s="329" t="s">
        <v>9986</v>
      </c>
      <c r="B6" s="361"/>
      <c r="C6" s="227" t="s">
        <v>9689</v>
      </c>
      <c r="D6" s="224"/>
      <c r="E6" s="224"/>
      <c r="F6" s="224"/>
      <c r="G6" s="224"/>
      <c r="H6" s="224"/>
      <c r="I6" s="224"/>
      <c r="J6" s="224"/>
      <c r="K6" s="224"/>
      <c r="L6" s="224"/>
    </row>
    <row r="7" spans="1:17" ht="30" customHeight="1" x14ac:dyDescent="0.2">
      <c r="A7" s="329" t="s">
        <v>9987</v>
      </c>
      <c r="B7" s="361"/>
      <c r="C7" s="227" t="s">
        <v>9689</v>
      </c>
      <c r="D7" s="224"/>
      <c r="E7" s="224"/>
      <c r="F7" s="224"/>
      <c r="G7" s="224"/>
      <c r="H7" s="224"/>
      <c r="I7" s="224"/>
      <c r="J7" s="224"/>
      <c r="K7" s="224"/>
      <c r="L7" s="224"/>
    </row>
    <row r="8" spans="1:17" ht="30" customHeight="1" x14ac:dyDescent="0.2">
      <c r="A8" s="329" t="s">
        <v>9988</v>
      </c>
      <c r="B8" s="431"/>
      <c r="C8" s="227" t="s">
        <v>9689</v>
      </c>
      <c r="D8" s="224"/>
      <c r="E8" s="224"/>
      <c r="F8" s="224"/>
      <c r="G8" s="224"/>
      <c r="H8" s="224"/>
      <c r="I8" s="224"/>
      <c r="J8" s="224"/>
      <c r="K8" s="224"/>
      <c r="L8" s="224"/>
    </row>
    <row r="9" spans="1:17" ht="20.100000000000001" customHeight="1" x14ac:dyDescent="0.2">
      <c r="A9" s="329" t="s">
        <v>9990</v>
      </c>
      <c r="B9" s="361"/>
      <c r="C9" s="227" t="s">
        <v>9689</v>
      </c>
      <c r="D9" s="224"/>
      <c r="E9" s="224"/>
      <c r="F9" s="224"/>
      <c r="G9" s="224"/>
      <c r="H9" s="224"/>
      <c r="I9" s="224"/>
      <c r="J9" s="224"/>
      <c r="K9" s="224"/>
      <c r="L9" s="224"/>
    </row>
    <row r="10" spans="1:17" ht="20.100000000000001" customHeight="1" x14ac:dyDescent="0.2">
      <c r="A10" s="329" t="s">
        <v>9991</v>
      </c>
      <c r="B10" s="361"/>
      <c r="C10" s="335" t="s">
        <v>9989</v>
      </c>
      <c r="D10" s="224"/>
      <c r="E10" s="224"/>
      <c r="F10" s="224"/>
      <c r="G10" s="224"/>
      <c r="H10" s="224"/>
      <c r="I10" s="224"/>
      <c r="J10" s="224"/>
      <c r="K10" s="224"/>
      <c r="L10" s="224"/>
    </row>
    <row r="11" spans="1:17" ht="20.100000000000001" customHeight="1" x14ac:dyDescent="0.2">
      <c r="A11" s="329" t="s">
        <v>9992</v>
      </c>
      <c r="B11" s="361"/>
      <c r="C11" s="335" t="s">
        <v>9989</v>
      </c>
      <c r="D11" s="224"/>
      <c r="E11" s="224"/>
      <c r="F11" s="224"/>
      <c r="G11" s="224"/>
      <c r="H11" s="224"/>
      <c r="I11" s="224"/>
      <c r="J11" s="224"/>
      <c r="K11" s="224"/>
      <c r="L11" s="224"/>
    </row>
    <row r="12" spans="1:17" ht="30" customHeight="1" x14ac:dyDescent="0.2">
      <c r="A12" s="330" t="s">
        <v>9690</v>
      </c>
      <c r="B12" s="361"/>
      <c r="C12" s="227" t="s">
        <v>9689</v>
      </c>
      <c r="D12" s="224"/>
      <c r="E12" s="224"/>
    </row>
    <row r="13" spans="1:17" ht="30" customHeight="1" x14ac:dyDescent="0.2">
      <c r="A13" s="330" t="s">
        <v>9691</v>
      </c>
      <c r="B13" s="361"/>
      <c r="C13" s="227" t="s">
        <v>9689</v>
      </c>
      <c r="D13" s="224"/>
      <c r="E13" s="224"/>
    </row>
    <row r="14" spans="1:17" ht="60" customHeight="1" thickBot="1" x14ac:dyDescent="0.25">
      <c r="A14" s="331" t="s">
        <v>9692</v>
      </c>
      <c r="B14" s="362"/>
      <c r="C14" s="231" t="s">
        <v>9689</v>
      </c>
      <c r="D14" s="224"/>
      <c r="E14" s="224"/>
    </row>
    <row r="15" spans="1:17" ht="30" customHeight="1" thickBot="1" x14ac:dyDescent="0.25">
      <c r="A15" s="1377" t="s">
        <v>8411</v>
      </c>
      <c r="B15" s="1377"/>
      <c r="C15" s="1377"/>
      <c r="D15" s="1377"/>
      <c r="E15" s="224"/>
    </row>
    <row r="16" spans="1:17" ht="45" customHeight="1" thickBot="1" x14ac:dyDescent="0.3">
      <c r="A16" s="1370" t="s">
        <v>9969</v>
      </c>
      <c r="B16" s="1371"/>
      <c r="C16" s="1371"/>
      <c r="D16" s="1371"/>
      <c r="E16" s="1371"/>
      <c r="F16" s="1371"/>
      <c r="G16" s="1371"/>
      <c r="H16" s="1371"/>
      <c r="I16" s="1371"/>
      <c r="J16" s="1371"/>
      <c r="K16" s="1371"/>
      <c r="L16" s="1371"/>
      <c r="M16" s="1371"/>
      <c r="N16" s="1371"/>
      <c r="O16" s="1371"/>
      <c r="P16" s="1371"/>
      <c r="Q16" s="1372"/>
    </row>
    <row r="17" spans="1:17" ht="20.100000000000001" customHeight="1" x14ac:dyDescent="0.25">
      <c r="A17" s="146" t="s">
        <v>9502</v>
      </c>
      <c r="B17" s="147" t="s">
        <v>9503</v>
      </c>
      <c r="C17" s="148" t="s">
        <v>9504</v>
      </c>
      <c r="D17" s="148" t="s">
        <v>9505</v>
      </c>
      <c r="E17" s="148" t="s">
        <v>9506</v>
      </c>
      <c r="F17" s="148" t="s">
        <v>9507</v>
      </c>
      <c r="G17" s="148" t="s">
        <v>9508</v>
      </c>
      <c r="H17" s="148" t="s">
        <v>9509</v>
      </c>
      <c r="I17" s="148" t="s">
        <v>9510</v>
      </c>
      <c r="J17" s="148" t="s">
        <v>9511</v>
      </c>
      <c r="K17" s="150" t="s">
        <v>9512</v>
      </c>
      <c r="L17" s="148" t="s">
        <v>9513</v>
      </c>
      <c r="M17" s="148" t="s">
        <v>9514</v>
      </c>
      <c r="N17" s="150" t="s">
        <v>9515</v>
      </c>
      <c r="O17" s="148" t="s">
        <v>9516</v>
      </c>
      <c r="P17" s="148" t="s">
        <v>9517</v>
      </c>
      <c r="Q17" s="146" t="s">
        <v>1</v>
      </c>
    </row>
    <row r="18" spans="1:17" ht="30" customHeight="1" x14ac:dyDescent="0.2">
      <c r="A18" s="228" t="s">
        <v>9693</v>
      </c>
      <c r="B18" s="363"/>
      <c r="C18" s="364"/>
      <c r="D18" s="364"/>
      <c r="E18" s="364"/>
      <c r="F18" s="364"/>
      <c r="G18" s="364"/>
      <c r="H18" s="364"/>
      <c r="I18" s="364"/>
      <c r="J18" s="364"/>
      <c r="K18" s="365"/>
      <c r="L18" s="364"/>
      <c r="M18" s="364"/>
      <c r="N18" s="365"/>
      <c r="O18" s="364"/>
      <c r="P18" s="364"/>
      <c r="Q18" s="232"/>
    </row>
    <row r="19" spans="1:17" ht="20.100000000000001" customHeight="1" x14ac:dyDescent="0.2">
      <c r="A19" s="332" t="s">
        <v>9694</v>
      </c>
      <c r="B19" s="363"/>
      <c r="C19" s="364"/>
      <c r="D19" s="364"/>
      <c r="E19" s="364"/>
      <c r="F19" s="364"/>
      <c r="G19" s="364"/>
      <c r="H19" s="364"/>
      <c r="I19" s="364"/>
      <c r="J19" s="364"/>
      <c r="K19" s="365"/>
      <c r="L19" s="364"/>
      <c r="M19" s="364"/>
      <c r="N19" s="365"/>
      <c r="O19" s="364"/>
      <c r="P19" s="364"/>
      <c r="Q19" s="234" t="str">
        <f>IF(IFERROR(MATCH("Yes",$B$19:$P$19,0),0)&lt;&gt;0,"Yes","No")</f>
        <v>No</v>
      </c>
    </row>
    <row r="20" spans="1:17" ht="20.100000000000001" customHeight="1" thickBot="1" x14ac:dyDescent="0.25">
      <c r="A20" s="235" t="s">
        <v>9695</v>
      </c>
      <c r="B20" s="366"/>
      <c r="C20" s="367"/>
      <c r="D20" s="367"/>
      <c r="E20" s="367"/>
      <c r="F20" s="367"/>
      <c r="G20" s="367"/>
      <c r="H20" s="367"/>
      <c r="I20" s="367"/>
      <c r="J20" s="367"/>
      <c r="K20" s="368"/>
      <c r="L20" s="367"/>
      <c r="M20" s="367"/>
      <c r="N20" s="368"/>
      <c r="O20" s="367"/>
      <c r="P20" s="367"/>
      <c r="Q20" s="236">
        <f>SUM(B20:P20)</f>
        <v>0</v>
      </c>
    </row>
    <row r="21" spans="1:17" ht="20.100000000000001" customHeight="1" x14ac:dyDescent="0.2">
      <c r="A21" s="237" t="s">
        <v>9696</v>
      </c>
      <c r="B21" s="238">
        <f>_xlfn.IFNA(VLOOKUP(B18,'TANKS Vapor Fx'!$A$3:$C$294,3,FALSE),0)</f>
        <v>0</v>
      </c>
      <c r="C21" s="238">
        <f>_xlfn.IFNA(VLOOKUP(C18,'TANKS Vapor Fx'!$A$3:$C$294,3,FALSE),0)</f>
        <v>0</v>
      </c>
      <c r="D21" s="238">
        <f>_xlfn.IFNA(VLOOKUP(D18,'TANKS Vapor Fx'!$A$3:$C$294,3,FALSE),0)</f>
        <v>0</v>
      </c>
      <c r="E21" s="238">
        <f>_xlfn.IFNA(VLOOKUP(E18,'TANKS Vapor Fx'!$A$3:$C$294,3,FALSE),0)</f>
        <v>0</v>
      </c>
      <c r="F21" s="238">
        <f>_xlfn.IFNA(VLOOKUP(F18,'TANKS Vapor Fx'!$A$3:$C$294,3,FALSE),0)</f>
        <v>0</v>
      </c>
      <c r="G21" s="238">
        <f>_xlfn.IFNA(VLOOKUP(G18,'TANKS Vapor Fx'!$A$3:$C$294,3,FALSE),0)</f>
        <v>0</v>
      </c>
      <c r="H21" s="238">
        <f>_xlfn.IFNA(VLOOKUP(H18,'TANKS Vapor Fx'!$A$3:$C$294,3,FALSE),0)</f>
        <v>0</v>
      </c>
      <c r="I21" s="238">
        <f>_xlfn.IFNA(VLOOKUP(I18,'TANKS Vapor Fx'!$A$3:$C$294,3,FALSE),0)</f>
        <v>0</v>
      </c>
      <c r="J21" s="238">
        <f>_xlfn.IFNA(VLOOKUP(J18,'TANKS Vapor Fx'!$A$3:$C$294,3,FALSE),0)</f>
        <v>0</v>
      </c>
      <c r="K21" s="238">
        <f>_xlfn.IFNA(VLOOKUP(K18,'TANKS Vapor Fx'!$A$3:$C$294,3,FALSE),0)</f>
        <v>0</v>
      </c>
      <c r="L21" s="238">
        <f>_xlfn.IFNA(VLOOKUP(L18,'TANKS Vapor Fx'!$A$3:$C$294,3,FALSE),0)</f>
        <v>0</v>
      </c>
      <c r="M21" s="238">
        <f>_xlfn.IFNA(VLOOKUP(M18,'TANKS Vapor Fx'!$A$3:$C$294,3,FALSE),0)</f>
        <v>0</v>
      </c>
      <c r="N21" s="238">
        <f>_xlfn.IFNA(VLOOKUP(N18,'TANKS Vapor Fx'!$A$3:$C$294,3,FALSE),0)</f>
        <v>0</v>
      </c>
      <c r="O21" s="238">
        <f>_xlfn.IFNA(VLOOKUP(O18,'TANKS Vapor Fx'!$A$3:$C$294,3,FALSE),0)</f>
        <v>0</v>
      </c>
      <c r="P21" s="238">
        <f>_xlfn.IFNA(VLOOKUP(P18,'TANKS Vapor Fx'!$A$3:$C$294,3,FALSE),0)</f>
        <v>0</v>
      </c>
      <c r="Q21" s="239">
        <f>'TANKS Calculations'!W88</f>
        <v>0</v>
      </c>
    </row>
    <row r="22" spans="1:17" ht="20.100000000000001" customHeight="1" thickBot="1" x14ac:dyDescent="0.25">
      <c r="A22" s="240" t="s">
        <v>9697</v>
      </c>
      <c r="B22" s="373"/>
      <c r="C22" s="369"/>
      <c r="D22" s="369"/>
      <c r="E22" s="369"/>
      <c r="F22" s="369"/>
      <c r="G22" s="369"/>
      <c r="H22" s="369"/>
      <c r="I22" s="369"/>
      <c r="J22" s="369"/>
      <c r="K22" s="370"/>
      <c r="L22" s="369"/>
      <c r="M22" s="369"/>
      <c r="N22" s="370"/>
      <c r="O22" s="369"/>
      <c r="P22" s="369"/>
      <c r="Q22" s="241"/>
    </row>
    <row r="23" spans="1:17" ht="20.100000000000001" customHeight="1" x14ac:dyDescent="0.2">
      <c r="A23" s="237" t="s">
        <v>9698</v>
      </c>
      <c r="B23" s="242">
        <f t="shared" ref="B23:P23" si="0">IF(ISBLANK(B18),0,IF(B19="Yes",IF($B$12="Fixed",0.75,0.4),1))</f>
        <v>0</v>
      </c>
      <c r="C23" s="242">
        <f t="shared" si="0"/>
        <v>0</v>
      </c>
      <c r="D23" s="242">
        <f t="shared" si="0"/>
        <v>0</v>
      </c>
      <c r="E23" s="242">
        <f t="shared" si="0"/>
        <v>0</v>
      </c>
      <c r="F23" s="242">
        <f t="shared" si="0"/>
        <v>0</v>
      </c>
      <c r="G23" s="242">
        <f t="shared" si="0"/>
        <v>0</v>
      </c>
      <c r="H23" s="242">
        <f t="shared" si="0"/>
        <v>0</v>
      </c>
      <c r="I23" s="242">
        <f t="shared" si="0"/>
        <v>0</v>
      </c>
      <c r="J23" s="242">
        <f t="shared" si="0"/>
        <v>0</v>
      </c>
      <c r="K23" s="242">
        <f t="shared" si="0"/>
        <v>0</v>
      </c>
      <c r="L23" s="242">
        <f t="shared" si="0"/>
        <v>0</v>
      </c>
      <c r="M23" s="242">
        <f t="shared" si="0"/>
        <v>0</v>
      </c>
      <c r="N23" s="242">
        <f t="shared" si="0"/>
        <v>0</v>
      </c>
      <c r="O23" s="242">
        <f t="shared" si="0"/>
        <v>0</v>
      </c>
      <c r="P23" s="242">
        <f t="shared" si="0"/>
        <v>0</v>
      </c>
      <c r="Q23" s="243">
        <f>'TANKS Calculations'!W90</f>
        <v>1</v>
      </c>
    </row>
    <row r="24" spans="1:17" ht="20.100000000000001" customHeight="1" thickBot="1" x14ac:dyDescent="0.25">
      <c r="A24" s="240" t="s">
        <v>9699</v>
      </c>
      <c r="B24" s="373"/>
      <c r="C24" s="369"/>
      <c r="D24" s="369"/>
      <c r="E24" s="369"/>
      <c r="F24" s="369"/>
      <c r="G24" s="369"/>
      <c r="H24" s="369"/>
      <c r="I24" s="369"/>
      <c r="J24" s="369"/>
      <c r="K24" s="370"/>
      <c r="L24" s="369"/>
      <c r="M24" s="369"/>
      <c r="N24" s="370"/>
      <c r="O24" s="369"/>
      <c r="P24" s="369"/>
      <c r="Q24" s="241"/>
    </row>
    <row r="25" spans="1:17" ht="20.100000000000001" customHeight="1" x14ac:dyDescent="0.2">
      <c r="A25" s="237" t="s">
        <v>9700</v>
      </c>
      <c r="B25" s="238">
        <f>_xlfn.IFNA(VLOOKUP(B18,'TANKS Vapor Fx'!$A$3:$B$294,2,FALSE),0)</f>
        <v>0</v>
      </c>
      <c r="C25" s="238">
        <f>_xlfn.IFNA(VLOOKUP(C18,'TANKS Vapor Fx'!$A$3:$B$294,2,FALSE),0)</f>
        <v>0</v>
      </c>
      <c r="D25" s="238">
        <f>_xlfn.IFNA(VLOOKUP(D18,'TANKS Vapor Fx'!$A$3:$B$294,2,FALSE),0)</f>
        <v>0</v>
      </c>
      <c r="E25" s="238">
        <f>_xlfn.IFNA(VLOOKUP(E18,'TANKS Vapor Fx'!$A$3:$B$294,2,FALSE),0)</f>
        <v>0</v>
      </c>
      <c r="F25" s="238">
        <f>_xlfn.IFNA(VLOOKUP(F18,'TANKS Vapor Fx'!$A$3:$B$294,2,FALSE),0)</f>
        <v>0</v>
      </c>
      <c r="G25" s="238">
        <f>_xlfn.IFNA(VLOOKUP(G18,'TANKS Vapor Fx'!$A$3:$B$294,2,FALSE),0)</f>
        <v>0</v>
      </c>
      <c r="H25" s="238">
        <f>_xlfn.IFNA(VLOOKUP(H18,'TANKS Vapor Fx'!$A$3:$B$294,2,FALSE),0)</f>
        <v>0</v>
      </c>
      <c r="I25" s="238">
        <f>_xlfn.IFNA(VLOOKUP(I18,'TANKS Vapor Fx'!$A$3:$B$294,2,FALSE),0)</f>
        <v>0</v>
      </c>
      <c r="J25" s="238">
        <f>_xlfn.IFNA(VLOOKUP(J18,'TANKS Vapor Fx'!$A$3:$B$294,2,FALSE),0)</f>
        <v>0</v>
      </c>
      <c r="K25" s="238">
        <f>_xlfn.IFNA(VLOOKUP(K18,'TANKS Vapor Fx'!$A$3:$B$294,2,FALSE),0)</f>
        <v>0</v>
      </c>
      <c r="L25" s="238">
        <f>_xlfn.IFNA(VLOOKUP(L18,'TANKS Vapor Fx'!$A$3:$B$294,2,FALSE),0)</f>
        <v>0</v>
      </c>
      <c r="M25" s="238">
        <f>_xlfn.IFNA(VLOOKUP(M18,'TANKS Vapor Fx'!$A$3:$B$294,2,FALSE),0)</f>
        <v>0</v>
      </c>
      <c r="N25" s="238">
        <f>_xlfn.IFNA(VLOOKUP(N18,'TANKS Vapor Fx'!$A$3:$B$294,2,FALSE),0)</f>
        <v>0</v>
      </c>
      <c r="O25" s="238">
        <f>_xlfn.IFNA(VLOOKUP(O18,'TANKS Vapor Fx'!$A$3:$B$294,2,FALSE),0)</f>
        <v>0</v>
      </c>
      <c r="P25" s="238">
        <f>_xlfn.IFNA(VLOOKUP(P18,'TANKS Vapor Fx'!$A$3:$B$294,2,FALSE),0)</f>
        <v>0</v>
      </c>
      <c r="Q25" s="239">
        <f>SUM('TANKS Calculations'!H91:Q91)</f>
        <v>0</v>
      </c>
    </row>
    <row r="26" spans="1:17" ht="20.100000000000001" customHeight="1" thickBot="1" x14ac:dyDescent="0.25">
      <c r="A26" s="235" t="s">
        <v>9701</v>
      </c>
      <c r="B26" s="374"/>
      <c r="C26" s="371"/>
      <c r="D26" s="371"/>
      <c r="E26" s="371"/>
      <c r="F26" s="371"/>
      <c r="G26" s="371"/>
      <c r="H26" s="371"/>
      <c r="I26" s="371"/>
      <c r="J26" s="371"/>
      <c r="K26" s="372"/>
      <c r="L26" s="371"/>
      <c r="M26" s="371"/>
      <c r="N26" s="372"/>
      <c r="O26" s="371"/>
      <c r="P26" s="371"/>
      <c r="Q26" s="244"/>
    </row>
    <row r="27" spans="1:17" ht="30" customHeight="1" thickBot="1" x14ac:dyDescent="0.25">
      <c r="A27" s="1377" t="s">
        <v>8411</v>
      </c>
      <c r="B27" s="1377"/>
      <c r="C27" s="1377"/>
      <c r="D27" s="1377"/>
      <c r="E27" s="151"/>
      <c r="F27" s="224"/>
      <c r="G27" s="224"/>
      <c r="H27" s="224"/>
      <c r="I27" s="224"/>
      <c r="J27" s="224"/>
      <c r="K27" s="224"/>
      <c r="L27" s="224"/>
      <c r="M27" s="224"/>
      <c r="N27" s="224"/>
      <c r="O27" s="224"/>
      <c r="P27" s="224"/>
      <c r="Q27" s="224"/>
    </row>
    <row r="28" spans="1:17" ht="60" customHeight="1" thickBot="1" x14ac:dyDescent="0.3">
      <c r="A28" s="1352" t="s">
        <v>9684</v>
      </c>
      <c r="B28" s="1353"/>
      <c r="C28" s="1353"/>
      <c r="D28" s="1354"/>
      <c r="E28" s="224"/>
      <c r="F28" s="224"/>
      <c r="G28" s="224"/>
      <c r="H28" s="224"/>
      <c r="I28" s="224"/>
      <c r="J28" s="224"/>
      <c r="K28" s="224"/>
      <c r="L28" s="224"/>
      <c r="M28" s="224"/>
      <c r="N28" s="224"/>
      <c r="O28" s="224"/>
      <c r="P28" s="224"/>
      <c r="Q28" s="224"/>
    </row>
    <row r="29" spans="1:17" ht="20.100000000000001" customHeight="1" thickBot="1" x14ac:dyDescent="0.3">
      <c r="A29" s="152" t="s">
        <v>9685</v>
      </c>
      <c r="B29" s="153" t="s">
        <v>9686</v>
      </c>
      <c r="C29" s="154" t="s">
        <v>9687</v>
      </c>
      <c r="D29" s="155" t="s">
        <v>9688</v>
      </c>
      <c r="E29" s="224"/>
      <c r="F29" s="224"/>
      <c r="G29" s="224"/>
      <c r="H29" s="224"/>
      <c r="I29" s="224"/>
      <c r="J29" s="224"/>
      <c r="K29" s="224"/>
      <c r="L29" s="224"/>
      <c r="M29" s="224"/>
      <c r="N29" s="224"/>
      <c r="O29" s="224"/>
      <c r="P29" s="224"/>
      <c r="Q29" s="224"/>
    </row>
    <row r="30" spans="1:17" ht="20.100000000000001" customHeight="1" x14ac:dyDescent="0.2">
      <c r="A30" s="225" t="s">
        <v>9702</v>
      </c>
      <c r="B30" s="245">
        <f>_xlfn.IFNA(VLOOKUP(B14,'TANKS Data'!$A$189:$H$213,8,FALSE),14.7)</f>
        <v>14.7</v>
      </c>
      <c r="C30" s="375"/>
      <c r="D30" s="246" t="s">
        <v>8867</v>
      </c>
      <c r="E30" s="224"/>
      <c r="F30" s="224"/>
      <c r="G30" s="224"/>
      <c r="H30" s="224"/>
      <c r="I30" s="224"/>
      <c r="J30" s="224"/>
      <c r="K30" s="224"/>
      <c r="L30" s="224"/>
      <c r="M30" s="224"/>
      <c r="N30" s="224"/>
      <c r="O30" s="224"/>
      <c r="P30" s="224"/>
      <c r="Q30" s="224"/>
    </row>
    <row r="31" spans="1:17" ht="30" customHeight="1" x14ac:dyDescent="0.2">
      <c r="A31" s="247" t="s">
        <v>9703</v>
      </c>
      <c r="B31" s="300" t="s">
        <v>8708</v>
      </c>
      <c r="C31" s="376"/>
      <c r="D31" s="249" t="s">
        <v>9689</v>
      </c>
      <c r="E31" s="224"/>
      <c r="F31" s="224"/>
      <c r="G31" s="224"/>
      <c r="H31" s="224"/>
      <c r="I31" s="224"/>
      <c r="J31" s="224"/>
      <c r="K31" s="224"/>
      <c r="L31" s="224"/>
      <c r="M31" s="224"/>
      <c r="N31" s="224"/>
      <c r="O31" s="224"/>
      <c r="P31" s="224"/>
      <c r="Q31" s="224"/>
    </row>
    <row r="32" spans="1:17" ht="20.100000000000001" customHeight="1" x14ac:dyDescent="0.35">
      <c r="A32" s="228" t="s">
        <v>9704</v>
      </c>
      <c r="B32" s="250">
        <f>Q23</f>
        <v>1</v>
      </c>
      <c r="C32" s="377"/>
      <c r="D32" s="227" t="s">
        <v>9689</v>
      </c>
      <c r="E32" s="224"/>
      <c r="F32" s="224"/>
      <c r="G32" s="224"/>
      <c r="H32" s="224"/>
      <c r="I32" s="224"/>
    </row>
    <row r="33" spans="1:9" ht="20.100000000000001" customHeight="1" x14ac:dyDescent="0.2">
      <c r="A33" s="329" t="s">
        <v>9705</v>
      </c>
      <c r="B33" s="251" t="s">
        <v>8708</v>
      </c>
      <c r="C33" s="378"/>
      <c r="D33" s="246" t="s">
        <v>9689</v>
      </c>
      <c r="E33" s="224"/>
      <c r="F33" s="224"/>
      <c r="G33" s="224"/>
      <c r="H33" s="224"/>
      <c r="I33" s="224"/>
    </row>
    <row r="34" spans="1:9" ht="20.100000000000001" customHeight="1" x14ac:dyDescent="0.2">
      <c r="A34" s="330" t="s">
        <v>9706</v>
      </c>
      <c r="B34" s="229" t="s">
        <v>8708</v>
      </c>
      <c r="C34" s="379"/>
      <c r="D34" s="227" t="s">
        <v>9707</v>
      </c>
      <c r="E34" s="224"/>
      <c r="F34" s="224"/>
      <c r="G34" s="224"/>
      <c r="H34" s="224"/>
      <c r="I34" s="224"/>
    </row>
    <row r="35" spans="1:9" ht="20.100000000000001" customHeight="1" x14ac:dyDescent="0.2">
      <c r="A35" s="228" t="s">
        <v>9708</v>
      </c>
      <c r="B35" s="229" t="s">
        <v>8708</v>
      </c>
      <c r="C35" s="380"/>
      <c r="D35" s="227" t="s">
        <v>9689</v>
      </c>
      <c r="E35" s="224"/>
      <c r="F35" s="224"/>
      <c r="G35" s="224"/>
      <c r="H35" s="224"/>
      <c r="I35" s="224"/>
    </row>
    <row r="36" spans="1:9" ht="30" customHeight="1" x14ac:dyDescent="0.2">
      <c r="A36" s="228" t="s">
        <v>9709</v>
      </c>
      <c r="B36" s="229" t="s">
        <v>8708</v>
      </c>
      <c r="C36" s="379"/>
      <c r="D36" s="227" t="s">
        <v>9707</v>
      </c>
      <c r="E36" s="224"/>
      <c r="F36" s="224"/>
      <c r="G36" s="224"/>
      <c r="H36" s="224"/>
      <c r="I36" s="224"/>
    </row>
    <row r="37" spans="1:9" ht="20.100000000000001" customHeight="1" x14ac:dyDescent="0.2">
      <c r="A37" s="228" t="s">
        <v>9710</v>
      </c>
      <c r="B37" s="229" t="s">
        <v>8708</v>
      </c>
      <c r="C37" s="379"/>
      <c r="D37" s="227" t="s">
        <v>9707</v>
      </c>
      <c r="E37" s="224"/>
      <c r="F37" s="224"/>
      <c r="G37" s="224"/>
      <c r="H37" s="224"/>
      <c r="I37" s="224"/>
    </row>
    <row r="38" spans="1:9" ht="20.100000000000001" customHeight="1" x14ac:dyDescent="0.35">
      <c r="A38" s="228" t="s">
        <v>9711</v>
      </c>
      <c r="B38" s="252">
        <f>IFERROR(IF('TANKS Calculations'!E5&gt;0,'TANKS Calculations'!E5,SQRT(4*'TANKS Calculations'!E7*'TANKS Calculations'!E6/PI())),0)</f>
        <v>0</v>
      </c>
      <c r="C38" s="379"/>
      <c r="D38" s="227" t="s">
        <v>9707</v>
      </c>
      <c r="E38" s="224"/>
      <c r="F38" s="224"/>
      <c r="G38" s="224"/>
      <c r="H38" s="224"/>
      <c r="I38" s="224"/>
    </row>
    <row r="39" spans="1:9" ht="30" customHeight="1" x14ac:dyDescent="0.2">
      <c r="A39" s="228" t="s">
        <v>9712</v>
      </c>
      <c r="B39" s="253">
        <f>'TANKS Calculations'!E6*PI()/4</f>
        <v>0</v>
      </c>
      <c r="C39" s="379"/>
      <c r="D39" s="227" t="s">
        <v>9707</v>
      </c>
      <c r="E39" s="224"/>
      <c r="F39" s="224"/>
      <c r="G39" s="224"/>
      <c r="H39" s="224"/>
      <c r="I39" s="224"/>
    </row>
    <row r="40" spans="1:9" ht="20.100000000000001" customHeight="1" x14ac:dyDescent="0.2">
      <c r="A40" s="228" t="s">
        <v>9713</v>
      </c>
      <c r="B40" s="254" t="s">
        <v>8708</v>
      </c>
      <c r="C40" s="379"/>
      <c r="D40" s="227" t="s">
        <v>9707</v>
      </c>
      <c r="E40" s="224"/>
      <c r="F40" s="224"/>
      <c r="G40" s="224"/>
      <c r="H40" s="224"/>
      <c r="I40" s="224"/>
    </row>
    <row r="41" spans="1:9" ht="20.100000000000001" customHeight="1" x14ac:dyDescent="0.2">
      <c r="A41" s="228" t="s">
        <v>9714</v>
      </c>
      <c r="B41" s="255">
        <f>IF(C33="Horizontal",'TANKS Calculations'!E6,'TANKS Calculations'!E10)-1</f>
        <v>-1</v>
      </c>
      <c r="C41" s="379"/>
      <c r="D41" s="227" t="s">
        <v>9707</v>
      </c>
      <c r="E41" s="224"/>
      <c r="F41" s="224"/>
      <c r="G41" s="224"/>
      <c r="H41" s="224"/>
      <c r="I41" s="224"/>
    </row>
    <row r="42" spans="1:9" ht="20.100000000000001" customHeight="1" x14ac:dyDescent="0.2">
      <c r="A42" s="228" t="s">
        <v>9715</v>
      </c>
      <c r="B42" s="255">
        <v>1</v>
      </c>
      <c r="C42" s="379"/>
      <c r="D42" s="227" t="s">
        <v>9707</v>
      </c>
      <c r="E42" s="224"/>
      <c r="F42" s="224"/>
      <c r="G42" s="224"/>
      <c r="H42" s="224"/>
      <c r="I42" s="224"/>
    </row>
    <row r="43" spans="1:9" ht="20.100000000000001" customHeight="1" x14ac:dyDescent="0.2">
      <c r="A43" s="228" t="s">
        <v>9716</v>
      </c>
      <c r="B43" s="255">
        <f>('TANKS Calculations'!E11+'TANKS Calculations'!E12)/2</f>
        <v>0</v>
      </c>
      <c r="C43" s="379"/>
      <c r="D43" s="227" t="s">
        <v>9707</v>
      </c>
      <c r="E43" s="224"/>
      <c r="F43" s="224"/>
      <c r="G43" s="224"/>
      <c r="H43" s="224"/>
      <c r="I43" s="224"/>
    </row>
    <row r="44" spans="1:9" ht="20.100000000000001" customHeight="1" x14ac:dyDescent="0.2">
      <c r="A44" s="256" t="s">
        <v>9717</v>
      </c>
      <c r="B44" s="229" t="s">
        <v>8708</v>
      </c>
      <c r="C44" s="381"/>
      <c r="D44" s="227" t="s">
        <v>9718</v>
      </c>
      <c r="E44" s="224"/>
      <c r="F44" s="224"/>
      <c r="G44" s="224"/>
      <c r="H44" s="224"/>
      <c r="I44" s="224"/>
    </row>
    <row r="45" spans="1:9" ht="39.950000000000003" customHeight="1" x14ac:dyDescent="0.35">
      <c r="A45" s="228" t="s">
        <v>9719</v>
      </c>
      <c r="B45" s="229" t="s">
        <v>8708</v>
      </c>
      <c r="C45" s="382"/>
      <c r="D45" s="227" t="s">
        <v>9689</v>
      </c>
      <c r="E45" s="224"/>
      <c r="F45" s="224"/>
      <c r="G45" s="224"/>
      <c r="H45" s="224"/>
      <c r="I45" s="224"/>
    </row>
    <row r="46" spans="1:9" ht="30" customHeight="1" x14ac:dyDescent="0.2">
      <c r="A46" s="228" t="s">
        <v>9720</v>
      </c>
      <c r="B46" s="229" t="s">
        <v>8708</v>
      </c>
      <c r="C46" s="382"/>
      <c r="D46" s="227" t="s">
        <v>9689</v>
      </c>
      <c r="E46" s="224"/>
      <c r="F46" s="224"/>
      <c r="G46" s="224"/>
      <c r="H46" s="224"/>
      <c r="I46" s="224"/>
    </row>
    <row r="47" spans="1:9" ht="30" customHeight="1" x14ac:dyDescent="0.2">
      <c r="A47" s="228" t="s">
        <v>9721</v>
      </c>
      <c r="B47" s="257" t="s">
        <v>8708</v>
      </c>
      <c r="C47" s="381"/>
      <c r="D47" s="227" t="s">
        <v>9722</v>
      </c>
      <c r="E47" s="224"/>
      <c r="F47" s="224"/>
      <c r="G47" s="224"/>
      <c r="H47" s="224"/>
      <c r="I47" s="224"/>
    </row>
    <row r="48" spans="1:9" ht="30" customHeight="1" x14ac:dyDescent="0.2">
      <c r="A48" s="228" t="s">
        <v>9723</v>
      </c>
      <c r="B48" s="257" t="s">
        <v>8708</v>
      </c>
      <c r="C48" s="381"/>
      <c r="D48" s="227" t="s">
        <v>9722</v>
      </c>
      <c r="E48" s="224"/>
      <c r="F48" s="224"/>
      <c r="G48" s="224"/>
      <c r="H48" s="224"/>
      <c r="I48" s="224"/>
    </row>
    <row r="49" spans="1:9" ht="20.100000000000001" customHeight="1" x14ac:dyDescent="0.2">
      <c r="A49" s="256" t="s">
        <v>9724</v>
      </c>
      <c r="B49" s="258">
        <f>IFERROR(IF(C45="Yes",'TANKS Calculations'!E18/('TANKS Calculations'!E11-'TANKS Calculations'!E12),'TANKS Calculations'!E16/'TANKS Calculations'!E14),0)</f>
        <v>0</v>
      </c>
      <c r="C49" s="383"/>
      <c r="D49" s="259" t="s">
        <v>9725</v>
      </c>
      <c r="E49" s="224"/>
      <c r="F49" s="224"/>
      <c r="G49" s="224"/>
      <c r="H49" s="224"/>
      <c r="I49" s="224"/>
    </row>
    <row r="50" spans="1:9" ht="20.100000000000001" customHeight="1" x14ac:dyDescent="0.2">
      <c r="A50" s="256" t="s">
        <v>9726</v>
      </c>
      <c r="B50" s="260">
        <f>IF(AND(C45="No",C46="No"),C44*'TANKS Calculations'!E15,('TANKS Calculations'!E19*(PI()/4)*('TANKS Calculations'!E8^2))/(5.614*0.02381))</f>
        <v>0</v>
      </c>
      <c r="C50" s="381"/>
      <c r="D50" s="227" t="s">
        <v>9727</v>
      </c>
      <c r="E50" s="224"/>
      <c r="F50" s="224"/>
      <c r="G50" s="224"/>
      <c r="H50" s="224"/>
      <c r="I50" s="224"/>
    </row>
    <row r="51" spans="1:9" ht="20.100000000000001" customHeight="1" x14ac:dyDescent="0.2">
      <c r="A51" s="225"/>
      <c r="B51" s="260">
        <f>IFERROR('TANKS Calculations'!E16*0.02381,0)</f>
        <v>0</v>
      </c>
      <c r="C51" s="381"/>
      <c r="D51" s="227" t="s">
        <v>9728</v>
      </c>
      <c r="E51" s="224"/>
      <c r="F51" s="224"/>
      <c r="G51" s="224"/>
      <c r="H51" s="224"/>
      <c r="I51" s="224"/>
    </row>
    <row r="52" spans="1:9" ht="20.100000000000001" customHeight="1" x14ac:dyDescent="0.35">
      <c r="A52" s="247" t="s">
        <v>9729</v>
      </c>
      <c r="B52" s="261">
        <f>IFERROR(IF(C45="Yes",'TANKS Calculations'!E18*('TANKS Calculations'!E8^2)*PI()/4,5.614*'TANKS Calculations'!E17),0)</f>
        <v>0</v>
      </c>
      <c r="C52" s="384"/>
      <c r="D52" s="249" t="s">
        <v>9730</v>
      </c>
      <c r="E52" s="224"/>
      <c r="F52" s="224"/>
      <c r="G52" s="224"/>
      <c r="H52" s="224"/>
      <c r="I52" s="224"/>
    </row>
    <row r="53" spans="1:9" ht="20.100000000000001" customHeight="1" thickBot="1" x14ac:dyDescent="0.25">
      <c r="A53" s="262" t="s">
        <v>9731</v>
      </c>
      <c r="B53" s="263">
        <f>IFERROR(IF(ISBLANK(C49),IF(('TANKS Calculations'!E17/0.02381)/'TANKS Calculations'!E14&lt;=36,1,(180+(('TANKS Calculations'!E17/0.02381))/'TANKS Calculations'!E14)/(6*(('TANKS Calculations'!E17/0.02381)/'TANKS Calculations'!E14))),IF('TANKS Calculations'!E15&lt;=36,1,(180+'TANKS Calculations'!E15)/(6*'TANKS Calculations'!E15))),1)</f>
        <v>1</v>
      </c>
      <c r="C53" s="385"/>
      <c r="D53" s="264" t="s">
        <v>9689</v>
      </c>
      <c r="E53" s="224"/>
      <c r="F53" s="224"/>
      <c r="G53" s="224"/>
      <c r="H53" s="224"/>
      <c r="I53" s="224"/>
    </row>
    <row r="54" spans="1:9" ht="30" customHeight="1" x14ac:dyDescent="0.2">
      <c r="A54" s="225" t="s">
        <v>9732</v>
      </c>
      <c r="B54" s="251" t="s">
        <v>8708</v>
      </c>
      <c r="C54" s="378"/>
      <c r="D54" s="246" t="s">
        <v>9689</v>
      </c>
      <c r="E54" s="224"/>
      <c r="F54" s="224"/>
      <c r="G54" s="224"/>
      <c r="H54" s="224"/>
      <c r="I54" s="224"/>
    </row>
    <row r="55" spans="1:9" ht="30" customHeight="1" x14ac:dyDescent="0.2">
      <c r="A55" s="228" t="s">
        <v>9733</v>
      </c>
      <c r="B55" s="229" t="s">
        <v>8708</v>
      </c>
      <c r="C55" s="380"/>
      <c r="D55" s="227" t="s">
        <v>9689</v>
      </c>
      <c r="E55" s="224"/>
      <c r="F55" s="224"/>
      <c r="G55" s="224"/>
      <c r="H55" s="224"/>
      <c r="I55" s="224"/>
    </row>
    <row r="56" spans="1:9" ht="30" customHeight="1" x14ac:dyDescent="0.2">
      <c r="A56" s="225" t="s">
        <v>9734</v>
      </c>
      <c r="B56" s="251" t="s">
        <v>8708</v>
      </c>
      <c r="C56" s="378"/>
      <c r="D56" s="246" t="s">
        <v>9689</v>
      </c>
      <c r="E56" s="224"/>
      <c r="F56" s="224"/>
      <c r="G56" s="224"/>
      <c r="H56" s="224"/>
      <c r="I56" s="224"/>
    </row>
    <row r="57" spans="1:9" ht="30" customHeight="1" thickBot="1" x14ac:dyDescent="0.25">
      <c r="A57" s="262" t="s">
        <v>9735</v>
      </c>
      <c r="B57" s="265" t="s">
        <v>8708</v>
      </c>
      <c r="C57" s="380"/>
      <c r="D57" s="264" t="s">
        <v>9689</v>
      </c>
      <c r="E57" s="224"/>
      <c r="F57" s="224"/>
      <c r="G57" s="224"/>
      <c r="H57" s="224"/>
      <c r="I57" s="224"/>
    </row>
    <row r="58" spans="1:9" ht="20.100000000000001" customHeight="1" x14ac:dyDescent="0.2">
      <c r="A58" s="429" t="s">
        <v>10014</v>
      </c>
      <c r="B58" s="267" t="s">
        <v>8708</v>
      </c>
      <c r="C58" s="386"/>
      <c r="D58" s="268" t="s">
        <v>9689</v>
      </c>
      <c r="E58" s="224"/>
      <c r="F58" s="224"/>
      <c r="G58" s="224"/>
      <c r="H58" s="224"/>
      <c r="I58" s="224"/>
    </row>
    <row r="59" spans="1:9" ht="30" customHeight="1" x14ac:dyDescent="0.2">
      <c r="A59" s="228" t="s">
        <v>9736</v>
      </c>
      <c r="B59" s="252">
        <f>IF(C58="Cone",0.0625,0)</f>
        <v>0</v>
      </c>
      <c r="C59" s="379"/>
      <c r="D59" s="227" t="s">
        <v>9737</v>
      </c>
      <c r="E59" s="224"/>
      <c r="F59" s="224"/>
      <c r="G59" s="224"/>
      <c r="H59" s="224"/>
      <c r="I59" s="224"/>
    </row>
    <row r="60" spans="1:9" ht="30" customHeight="1" x14ac:dyDescent="0.2">
      <c r="A60" s="228" t="s">
        <v>9738</v>
      </c>
      <c r="B60" s="252">
        <f>IF(C58="Dome",IF(C33="Horizontal",SQRT((C37*C36*4)/PI())/2,C34/2),0)</f>
        <v>0</v>
      </c>
      <c r="C60" s="379"/>
      <c r="D60" s="227" t="s">
        <v>9707</v>
      </c>
      <c r="E60" s="224"/>
      <c r="F60" s="224"/>
      <c r="G60" s="224"/>
      <c r="H60" s="224"/>
      <c r="I60" s="224"/>
    </row>
    <row r="61" spans="1:9" ht="20.100000000000001" customHeight="1" x14ac:dyDescent="0.2">
      <c r="A61" s="228" t="s">
        <v>9739</v>
      </c>
      <c r="B61" s="252">
        <f>IF(C33="Horizontal",SQRT((C37*C36*4)/PI())/2,C34/2)</f>
        <v>0</v>
      </c>
      <c r="C61" s="379"/>
      <c r="D61" s="227" t="s">
        <v>9707</v>
      </c>
      <c r="E61" s="224"/>
      <c r="F61" s="224"/>
      <c r="G61" s="224"/>
      <c r="H61" s="224"/>
      <c r="I61" s="224"/>
    </row>
    <row r="62" spans="1:9" ht="20.100000000000001" customHeight="1" x14ac:dyDescent="0.2">
      <c r="A62" s="228" t="s">
        <v>9740</v>
      </c>
      <c r="B62" s="252">
        <f>IF(C58="Dome",IF('TANKS Calculations'!E55=0,0.268*'TANKS Calculations'!E56,'TANKS Calculations'!E55-SQRT(('TANKS Calculations'!E55^2)-('TANKS Calculations'!E56^2))),'TANKS Calculations'!E56*'TANKS Calculations'!E54)</f>
        <v>0</v>
      </c>
      <c r="C62" s="379"/>
      <c r="D62" s="227" t="s">
        <v>9707</v>
      </c>
      <c r="E62" s="224"/>
      <c r="F62" s="224"/>
      <c r="G62" s="224"/>
      <c r="H62" s="224"/>
      <c r="I62" s="224"/>
    </row>
    <row r="63" spans="1:9" ht="20.100000000000001" customHeight="1" x14ac:dyDescent="0.2">
      <c r="A63" s="228" t="s">
        <v>9741</v>
      </c>
      <c r="B63" s="252">
        <f>IF(C58="Dome",IF('TANKS Calculations'!E55=0,0.137*'TANKS Calculations'!E56,('TANKS Calculations'!E57*(0.5+(1/6)*(('TANKS Calculations'!E57/'TANKS Calculations'!E56)^2)))),IF(C58="Cone",'TANKS Calculations'!E57/3,0))</f>
        <v>0</v>
      </c>
      <c r="C63" s="379"/>
      <c r="D63" s="227" t="s">
        <v>9707</v>
      </c>
      <c r="E63" s="224"/>
      <c r="F63" s="224"/>
      <c r="G63" s="224"/>
      <c r="H63" s="224"/>
      <c r="I63" s="224"/>
    </row>
    <row r="64" spans="1:9" ht="20.100000000000001" customHeight="1" x14ac:dyDescent="0.2">
      <c r="A64" s="228" t="s">
        <v>9742</v>
      </c>
      <c r="B64" s="252">
        <f>IFERROR(IF(C33="Horizontal",'TANKS Calculations'!E9/2,'TANKS Calculations'!E10-'TANKS Calculations'!E58+'TANKS Calculations'!E59),0)</f>
        <v>0</v>
      </c>
      <c r="C64" s="379"/>
      <c r="D64" s="227" t="s">
        <v>9707</v>
      </c>
      <c r="E64" s="224"/>
      <c r="F64" s="224"/>
      <c r="G64" s="224"/>
      <c r="H64" s="224"/>
      <c r="I64" s="224"/>
    </row>
    <row r="65" spans="1:16" ht="20.100000000000001" customHeight="1" x14ac:dyDescent="0.2">
      <c r="A65" s="256" t="s">
        <v>9743</v>
      </c>
      <c r="B65" s="258">
        <f>(PI()/4)*('TANKS Calculations'!E8^2)*'TANKS Calculations'!E60</f>
        <v>0</v>
      </c>
      <c r="C65" s="383"/>
      <c r="D65" s="259" t="s">
        <v>9730</v>
      </c>
      <c r="E65" s="224"/>
      <c r="F65" s="224"/>
      <c r="G65" s="224"/>
      <c r="H65" s="224"/>
      <c r="I65" s="224"/>
    </row>
    <row r="66" spans="1:16" ht="20.100000000000001" customHeight="1" thickBot="1" x14ac:dyDescent="0.25">
      <c r="A66" s="262" t="s">
        <v>9744</v>
      </c>
      <c r="B66" s="269" t="s">
        <v>6</v>
      </c>
      <c r="C66" s="387"/>
      <c r="D66" s="264" t="s">
        <v>9689</v>
      </c>
      <c r="E66" s="224"/>
      <c r="F66" s="224"/>
      <c r="G66" s="224"/>
      <c r="H66" s="224"/>
      <c r="I66" s="224"/>
    </row>
    <row r="67" spans="1:16" ht="45" customHeight="1" x14ac:dyDescent="0.2">
      <c r="A67" s="266" t="s">
        <v>9745</v>
      </c>
      <c r="B67" s="270" t="s">
        <v>8708</v>
      </c>
      <c r="C67" s="386"/>
      <c r="D67" s="268" t="s">
        <v>9689</v>
      </c>
      <c r="E67" s="224"/>
      <c r="F67" s="224"/>
      <c r="G67" s="224"/>
      <c r="H67" s="224"/>
      <c r="I67" s="224"/>
    </row>
    <row r="68" spans="1:16" ht="45" customHeight="1" thickBot="1" x14ac:dyDescent="0.25">
      <c r="A68" s="262" t="s">
        <v>9746</v>
      </c>
      <c r="B68" s="271" t="s">
        <v>8708</v>
      </c>
      <c r="C68" s="388"/>
      <c r="D68" s="264" t="s">
        <v>9689</v>
      </c>
      <c r="E68" s="224"/>
      <c r="F68" s="224"/>
      <c r="G68" s="224"/>
      <c r="H68" s="224"/>
      <c r="I68" s="224"/>
      <c r="J68" s="224"/>
      <c r="K68" s="224"/>
      <c r="L68" s="224"/>
      <c r="M68" s="224"/>
      <c r="N68" s="224"/>
      <c r="O68" s="224"/>
      <c r="P68" s="224"/>
    </row>
    <row r="69" spans="1:16" ht="30" customHeight="1" x14ac:dyDescent="0.2">
      <c r="A69" s="225" t="s">
        <v>9747</v>
      </c>
      <c r="B69" s="272" t="s">
        <v>8708</v>
      </c>
      <c r="C69" s="378"/>
      <c r="D69" s="246" t="s">
        <v>9689</v>
      </c>
      <c r="E69" s="224"/>
      <c r="F69" s="224"/>
      <c r="G69" s="224"/>
      <c r="H69" s="224"/>
      <c r="I69" s="224"/>
    </row>
    <row r="70" spans="1:16" ht="20.100000000000001" customHeight="1" x14ac:dyDescent="0.2">
      <c r="A70" s="225" t="s">
        <v>9748</v>
      </c>
      <c r="B70" s="273">
        <f>_xlfn.IFNA(HLOOKUP(C55,'TANKS Data'!$C$173:$E$186,MATCH(C54,'TANKS Data'!$B$173:$B$186,0),FALSE),0)</f>
        <v>0</v>
      </c>
      <c r="C70" s="389"/>
      <c r="D70" s="246" t="s">
        <v>9689</v>
      </c>
      <c r="E70" s="224"/>
      <c r="F70" s="224"/>
      <c r="G70" s="224"/>
      <c r="H70" s="224"/>
      <c r="I70" s="224"/>
    </row>
    <row r="71" spans="1:16" ht="20.100000000000001" customHeight="1" x14ac:dyDescent="0.2">
      <c r="A71" s="228" t="s">
        <v>9749</v>
      </c>
      <c r="B71" s="274">
        <f>_xlfn.IFNA(HLOOKUP(C57,'TANKS Data'!$C$173:$E$186,MATCH(C56,'TANKS Data'!$B$173:$B$186,0),FALSE),0)</f>
        <v>0</v>
      </c>
      <c r="C71" s="390"/>
      <c r="D71" s="227" t="s">
        <v>9689</v>
      </c>
      <c r="E71" s="224"/>
      <c r="F71" s="224"/>
      <c r="G71" s="224"/>
      <c r="H71" s="224"/>
      <c r="I71" s="224"/>
    </row>
    <row r="72" spans="1:16" ht="20.100000000000001" customHeight="1" x14ac:dyDescent="0.2">
      <c r="A72" s="228" t="s">
        <v>9750</v>
      </c>
      <c r="B72" s="274">
        <f>AVERAGE('TANKS Calculations'!E22:E23)</f>
        <v>0</v>
      </c>
      <c r="C72" s="390"/>
      <c r="D72" s="227" t="s">
        <v>9689</v>
      </c>
      <c r="E72" s="224"/>
      <c r="F72" s="224"/>
      <c r="G72" s="224"/>
      <c r="H72" s="224"/>
      <c r="I72" s="224"/>
    </row>
    <row r="73" spans="1:16" ht="20.100000000000001" customHeight="1" x14ac:dyDescent="0.2">
      <c r="A73" s="228" t="s">
        <v>9751</v>
      </c>
      <c r="B73" s="274">
        <f>_xlfn.IFNA(VLOOKUP(B14,'TANKS Data'!$A$189:$F$213,6,FALSE),0)</f>
        <v>0</v>
      </c>
      <c r="C73" s="390"/>
      <c r="D73" s="227" t="s">
        <v>9752</v>
      </c>
      <c r="E73" s="224"/>
      <c r="F73" s="275"/>
      <c r="G73" s="224"/>
      <c r="H73" s="224"/>
      <c r="I73" s="224"/>
    </row>
    <row r="74" spans="1:16" ht="30" customHeight="1" x14ac:dyDescent="0.2">
      <c r="A74" s="256" t="s">
        <v>9753</v>
      </c>
      <c r="B74" s="253">
        <f>_xlfn.IFNA(VLOOKUP($B$14,'TANKS Data'!$A$189:$C$213,2,FALSE),0)</f>
        <v>0</v>
      </c>
      <c r="C74" s="379"/>
      <c r="D74" s="227" t="s">
        <v>9754</v>
      </c>
      <c r="E74" s="224"/>
      <c r="F74" s="275"/>
      <c r="G74" s="224"/>
      <c r="H74" s="224"/>
      <c r="I74" s="224"/>
    </row>
    <row r="75" spans="1:16" ht="20.100000000000001" customHeight="1" x14ac:dyDescent="0.2">
      <c r="A75" s="225"/>
      <c r="B75" s="253">
        <f>'TANKS Calculations'!E26+459.67</f>
        <v>459.67</v>
      </c>
      <c r="C75" s="379"/>
      <c r="D75" s="227" t="s">
        <v>9755</v>
      </c>
      <c r="E75" s="224"/>
      <c r="F75" s="275"/>
      <c r="G75" s="224"/>
      <c r="H75" s="224"/>
      <c r="I75" s="224"/>
    </row>
    <row r="76" spans="1:16" ht="30" customHeight="1" x14ac:dyDescent="0.2">
      <c r="A76" s="256" t="s">
        <v>9756</v>
      </c>
      <c r="B76" s="253">
        <f>_xlfn.IFNA(VLOOKUP($B$14,'TANKS Data'!$A$189:$C$213,3,FALSE),0)</f>
        <v>0</v>
      </c>
      <c r="C76" s="379"/>
      <c r="D76" s="227" t="s">
        <v>9754</v>
      </c>
      <c r="E76" s="224"/>
      <c r="F76" s="275"/>
      <c r="G76" s="224"/>
      <c r="H76" s="224"/>
      <c r="I76" s="224"/>
    </row>
    <row r="77" spans="1:16" ht="20.100000000000001" customHeight="1" x14ac:dyDescent="0.2">
      <c r="A77" s="225"/>
      <c r="B77" s="253">
        <f>'TANKS Calculations'!E28+459.67</f>
        <v>459.67</v>
      </c>
      <c r="C77" s="379"/>
      <c r="D77" s="227" t="s">
        <v>9755</v>
      </c>
      <c r="E77" s="224"/>
      <c r="F77" s="275"/>
      <c r="G77" s="224"/>
      <c r="H77" s="224"/>
      <c r="I77" s="224"/>
    </row>
    <row r="78" spans="1:16" ht="20.100000000000001" customHeight="1" x14ac:dyDescent="0.2">
      <c r="A78" s="256" t="s">
        <v>9757</v>
      </c>
      <c r="B78" s="253">
        <f>('TANKS Calculations'!E27+'TANKS Calculations'!E29)/2-459.67</f>
        <v>0</v>
      </c>
      <c r="C78" s="379"/>
      <c r="D78" s="227" t="s">
        <v>9754</v>
      </c>
      <c r="E78" s="224"/>
      <c r="F78" s="275"/>
      <c r="G78" s="224"/>
      <c r="H78" s="224"/>
      <c r="I78" s="224"/>
    </row>
    <row r="79" spans="1:16" ht="20.100000000000001" customHeight="1" x14ac:dyDescent="0.2">
      <c r="A79" s="156"/>
      <c r="B79" s="253">
        <f>'TANKS Calculations'!E31+459.67</f>
        <v>459.67</v>
      </c>
      <c r="C79" s="379"/>
      <c r="D79" s="227" t="s">
        <v>9755</v>
      </c>
      <c r="E79" s="224"/>
      <c r="F79" s="275"/>
      <c r="G79" s="224"/>
      <c r="H79" s="224"/>
      <c r="I79" s="224"/>
    </row>
    <row r="80" spans="1:16" ht="20.100000000000001" customHeight="1" x14ac:dyDescent="0.2">
      <c r="A80" s="228" t="s">
        <v>9758</v>
      </c>
      <c r="B80" s="253">
        <f>'TANKS Calculations'!E26-'TANKS Calculations'!E28</f>
        <v>0</v>
      </c>
      <c r="C80" s="379"/>
      <c r="D80" s="227" t="s">
        <v>9759</v>
      </c>
      <c r="E80" s="224"/>
      <c r="F80" s="275"/>
      <c r="G80" s="224"/>
      <c r="H80" s="224"/>
      <c r="I80" s="224"/>
    </row>
    <row r="81" spans="1:17" ht="20.100000000000001" customHeight="1" x14ac:dyDescent="0.2">
      <c r="A81" s="247" t="s">
        <v>9760</v>
      </c>
      <c r="B81" s="276">
        <f>IF(C68="External Floating Roof",IF(C67="Steel Double Deck",'TANKS Calculations'!E32+(0.005*'TANKS Calculations'!E22*'TANKS Calculations'!E25),'TANKS Calculations'!E32+(0.007*'TANKS Calculations'!E22*'TANKS Calculations'!E25)),'TANKS Calculations'!E32+(0.003*'TANKS Calculations'!E22*'TANKS Calculations'!E25))-459.67</f>
        <v>0</v>
      </c>
      <c r="C81" s="391"/>
      <c r="D81" s="246" t="s">
        <v>9754</v>
      </c>
      <c r="E81" s="224"/>
      <c r="F81" s="275"/>
      <c r="G81" s="224"/>
      <c r="H81" s="224"/>
      <c r="I81" s="224"/>
    </row>
    <row r="82" spans="1:17" ht="20.100000000000001" customHeight="1" x14ac:dyDescent="0.2">
      <c r="A82" s="225"/>
      <c r="B82" s="277">
        <f>'TANKS Calculations'!E33+459.67</f>
        <v>459.67</v>
      </c>
      <c r="C82" s="379"/>
      <c r="D82" s="227" t="s">
        <v>9755</v>
      </c>
      <c r="E82" s="224"/>
      <c r="F82" s="275"/>
      <c r="G82" s="224"/>
      <c r="H82" s="224"/>
      <c r="I82" s="224"/>
    </row>
    <row r="83" spans="1:17" ht="20.100000000000001" customHeight="1" x14ac:dyDescent="0.2">
      <c r="A83" s="256" t="s">
        <v>9761</v>
      </c>
      <c r="B83" s="252">
        <f>IFERROR(IF(OR(ISBLANK(C69),C69="Not Insulated"),((0.7*'TANKS Calculations'!E32)+(0.3*'TANKS Calculations'!E34)+(0.009*'TANKS Calculations'!E25*'TANKS Calculations'!E24)),IF(C69="Partially Insulated",((0.6*'TANKS Calculations'!E32)+(0.4*'TANKS Calculations'!E34)+(0.01*'TANKS Calculations'!E25*'TANKS Calculations'!E24)),'TANKS Calculations'!E34)),459.67)-459.67</f>
        <v>0</v>
      </c>
      <c r="C83" s="379"/>
      <c r="D83" s="227" t="s">
        <v>9754</v>
      </c>
      <c r="E83" s="224"/>
      <c r="F83" s="275"/>
      <c r="G83" s="224"/>
      <c r="H83" s="224"/>
      <c r="I83" s="224"/>
    </row>
    <row r="84" spans="1:17" ht="20.100000000000001" customHeight="1" x14ac:dyDescent="0.2">
      <c r="A84" s="225"/>
      <c r="B84" s="252">
        <f>'TANKS Calculations'!E48+459.67</f>
        <v>459.67</v>
      </c>
      <c r="C84" s="379"/>
      <c r="D84" s="227" t="s">
        <v>9755</v>
      </c>
      <c r="E84" s="224"/>
      <c r="F84" s="275"/>
      <c r="G84" s="224"/>
      <c r="H84" s="224"/>
      <c r="I84" s="224"/>
    </row>
    <row r="85" spans="1:17" ht="20.100000000000001" customHeight="1" x14ac:dyDescent="0.2">
      <c r="A85" s="228" t="s">
        <v>9762</v>
      </c>
      <c r="B85" s="253">
        <f>IFERROR(IF(OR(ISBLANK(C69),C69="Not Insulated"),((0.7*'TANKS Calculations'!E30)+(0.02*'TANKS Calculations'!E25*'TANKS Calculations'!E24)),IF(C69="Partially Insulated",((0.6*'TANKS Calculations'!E30)+(0.02*'TANKS Calculations'!E25*'TANKS Calculations'!E24)),0)),0)</f>
        <v>0</v>
      </c>
      <c r="C85" s="379"/>
      <c r="D85" s="227" t="s">
        <v>9759</v>
      </c>
      <c r="E85" s="224"/>
      <c r="F85" s="275"/>
      <c r="G85" s="224"/>
      <c r="H85" s="224"/>
      <c r="I85" s="224"/>
    </row>
    <row r="86" spans="1:17" ht="20.100000000000001" customHeight="1" x14ac:dyDescent="0.2">
      <c r="A86" s="247" t="s">
        <v>9763</v>
      </c>
      <c r="B86" s="278">
        <f>IF(B12="Fixed",IF(C69="Fully Insulated",'TANKS Calculations'!E34,IF(C69="Partially Insulated",(0.3*'TANKS Calculations'!E32)+(0.7*'TANKS Calculations'!E34)+(0.005*'TANKS Calculations'!E25*'TANKS Calculations'!E24),(0.4*'TANKS Calculations'!E32)+(0.6*'TANKS Calculations'!E34)+(0.005*'TANKS Calculations'!E25*'TANKS Calculations'!E24))),IF(C68="External Floating Roof",IF(C67="Steel Double Deck",(0.3*'TANKS Calculations'!E32)+(0.7*'TANKS Calculations'!E34)+(0.009*'TANKS Calculations'!E25*'TANKS Calculations'!E24),(0.7*'TANKS Calculations'!E32)+(0.3*'TANKS Calculations'!E34)+(0.009*'TANKS Calculations'!E25*'TANKS Calculations'!E24)),(0.3*'TANKS Calculations'!E32)+(0.7*'TANKS Calculations'!E34)+(0.004*'TANKS Calculations'!E25*'TANKS Calculations'!E24)))-459.67</f>
        <v>0</v>
      </c>
      <c r="C86" s="392"/>
      <c r="D86" s="246" t="s">
        <v>9754</v>
      </c>
      <c r="E86" s="224"/>
      <c r="F86" s="275"/>
      <c r="G86" s="224"/>
      <c r="H86" s="224"/>
    </row>
    <row r="87" spans="1:17" ht="20.100000000000001" customHeight="1" x14ac:dyDescent="0.2">
      <c r="A87" s="225"/>
      <c r="B87" s="253">
        <f>'TANKS Calculations'!E41+459.67</f>
        <v>459.67</v>
      </c>
      <c r="C87" s="379"/>
      <c r="D87" s="227" t="s">
        <v>9755</v>
      </c>
      <c r="E87" s="224"/>
      <c r="F87" s="275"/>
      <c r="G87" s="224"/>
      <c r="H87" s="224"/>
      <c r="I87" s="224"/>
    </row>
    <row r="88" spans="1:17" ht="20.100000000000001" customHeight="1" x14ac:dyDescent="0.2">
      <c r="A88" s="247" t="s">
        <v>9764</v>
      </c>
      <c r="B88" s="253">
        <f>'TANKS Calculations'!E41-0.25*'TANKS Calculations'!E50</f>
        <v>0</v>
      </c>
      <c r="C88" s="379"/>
      <c r="D88" s="227" t="s">
        <v>9754</v>
      </c>
      <c r="E88" s="224"/>
      <c r="F88" s="275"/>
      <c r="G88" s="224"/>
      <c r="H88" s="224"/>
      <c r="I88" s="224"/>
    </row>
    <row r="89" spans="1:17" ht="20.100000000000001" customHeight="1" x14ac:dyDescent="0.2">
      <c r="A89" s="225"/>
      <c r="B89" s="253">
        <f>'TANKS Calculations'!E38+459.67</f>
        <v>459.67</v>
      </c>
      <c r="C89" s="379"/>
      <c r="D89" s="227" t="s">
        <v>9755</v>
      </c>
      <c r="E89" s="224"/>
      <c r="F89" s="275"/>
      <c r="G89" s="224"/>
      <c r="H89" s="224"/>
      <c r="I89" s="224"/>
    </row>
    <row r="90" spans="1:17" ht="20.100000000000001" customHeight="1" x14ac:dyDescent="0.2">
      <c r="A90" s="247" t="s">
        <v>9765</v>
      </c>
      <c r="B90" s="278">
        <f>'TANKS Calculations'!E41+0.25*'TANKS Calculations'!E50</f>
        <v>0</v>
      </c>
      <c r="C90" s="379"/>
      <c r="D90" s="246" t="s">
        <v>9754</v>
      </c>
      <c r="E90" s="224"/>
      <c r="F90" s="275"/>
      <c r="G90" s="224"/>
      <c r="H90" s="224"/>
      <c r="I90" s="224"/>
    </row>
    <row r="91" spans="1:17" ht="20.100000000000001" customHeight="1" thickBot="1" x14ac:dyDescent="0.25">
      <c r="A91" s="230"/>
      <c r="B91" s="279">
        <f>'TANKS Calculations'!E35+459.67</f>
        <v>459.67</v>
      </c>
      <c r="C91" s="393"/>
      <c r="D91" s="264" t="s">
        <v>9755</v>
      </c>
      <c r="E91" s="224"/>
      <c r="F91" s="224"/>
      <c r="G91" s="224"/>
      <c r="H91" s="224"/>
      <c r="I91" s="224"/>
    </row>
    <row r="92" spans="1:17" ht="48" customHeight="1" x14ac:dyDescent="0.2">
      <c r="A92" s="1380" t="s">
        <v>10007</v>
      </c>
      <c r="B92" s="1381"/>
      <c r="C92" s="1381"/>
      <c r="D92" s="1381"/>
      <c r="E92" s="347"/>
      <c r="F92" s="347"/>
      <c r="G92" s="347"/>
      <c r="H92" s="347"/>
      <c r="I92" s="347"/>
      <c r="J92" s="347"/>
      <c r="K92" s="347"/>
      <c r="L92" s="347"/>
      <c r="M92" s="347"/>
      <c r="N92" s="347"/>
      <c r="O92" s="347"/>
      <c r="P92" s="347"/>
      <c r="Q92" s="347"/>
    </row>
    <row r="93" spans="1:17" ht="15" customHeight="1" x14ac:dyDescent="0.2">
      <c r="A93" s="1382" t="s">
        <v>9998</v>
      </c>
      <c r="B93" s="1383"/>
      <c r="C93" s="1383"/>
      <c r="D93" s="1383"/>
      <c r="E93" s="348"/>
      <c r="F93" s="348"/>
      <c r="G93" s="348"/>
      <c r="H93" s="348"/>
      <c r="I93" s="348"/>
      <c r="J93" s="348"/>
      <c r="K93" s="348"/>
      <c r="L93" s="348"/>
      <c r="M93" s="348"/>
      <c r="N93" s="348"/>
      <c r="O93" s="348"/>
      <c r="P93" s="348"/>
      <c r="Q93" s="348"/>
    </row>
    <row r="94" spans="1:17" ht="106.5" customHeight="1" thickBot="1" x14ac:dyDescent="0.25">
      <c r="A94" s="1366" t="s">
        <v>10006</v>
      </c>
      <c r="B94" s="1367"/>
      <c r="C94" s="1367"/>
      <c r="D94" s="1367"/>
      <c r="E94" s="347"/>
      <c r="F94" s="347"/>
      <c r="G94" s="347"/>
      <c r="H94" s="347"/>
      <c r="I94" s="347"/>
      <c r="J94" s="347"/>
      <c r="K94" s="347"/>
      <c r="L94" s="347"/>
      <c r="M94" s="347"/>
      <c r="N94" s="347"/>
      <c r="O94" s="347"/>
      <c r="P94" s="347"/>
      <c r="Q94" s="347"/>
    </row>
    <row r="95" spans="1:17" ht="45" customHeight="1" thickBot="1" x14ac:dyDescent="0.3">
      <c r="A95" s="1370" t="s">
        <v>9970</v>
      </c>
      <c r="B95" s="1371"/>
      <c r="C95" s="1371"/>
      <c r="D95" s="1371"/>
      <c r="E95" s="1371"/>
      <c r="F95" s="1371"/>
      <c r="G95" s="1371"/>
      <c r="H95" s="1371"/>
      <c r="I95" s="1371"/>
      <c r="J95" s="1371"/>
      <c r="K95" s="1371"/>
      <c r="L95" s="1371"/>
      <c r="M95" s="1371"/>
      <c r="N95" s="1371"/>
      <c r="O95" s="1371"/>
      <c r="P95" s="1371"/>
      <c r="Q95" s="1372"/>
    </row>
    <row r="96" spans="1:17" ht="20.100000000000001" customHeight="1" x14ac:dyDescent="0.25">
      <c r="A96" s="146" t="s">
        <v>9502</v>
      </c>
      <c r="B96" s="147" t="s">
        <v>9503</v>
      </c>
      <c r="C96" s="148" t="s">
        <v>9504</v>
      </c>
      <c r="D96" s="148" t="s">
        <v>9505</v>
      </c>
      <c r="E96" s="148" t="s">
        <v>9506</v>
      </c>
      <c r="F96" s="148" t="s">
        <v>9507</v>
      </c>
      <c r="G96" s="148" t="s">
        <v>9508</v>
      </c>
      <c r="H96" s="148" t="s">
        <v>9509</v>
      </c>
      <c r="I96" s="148" t="s">
        <v>9510</v>
      </c>
      <c r="J96" s="148" t="s">
        <v>9511</v>
      </c>
      <c r="K96" s="150" t="s">
        <v>9512</v>
      </c>
      <c r="L96" s="148" t="s">
        <v>9513</v>
      </c>
      <c r="M96" s="148" t="s">
        <v>9514</v>
      </c>
      <c r="N96" s="150" t="s">
        <v>9515</v>
      </c>
      <c r="O96" s="148" t="s">
        <v>9516</v>
      </c>
      <c r="P96" s="148" t="s">
        <v>9517</v>
      </c>
      <c r="Q96" s="146" t="s">
        <v>1</v>
      </c>
    </row>
    <row r="97" spans="1:17" ht="30" customHeight="1" thickBot="1" x14ac:dyDescent="0.25">
      <c r="A97" s="228" t="s">
        <v>9693</v>
      </c>
      <c r="B97" s="280" t="str">
        <f t="shared" ref="B97:P97" si="1">IF(ISBLANK(B18),"",B18)</f>
        <v/>
      </c>
      <c r="C97" s="281" t="str">
        <f t="shared" si="1"/>
        <v/>
      </c>
      <c r="D97" s="281" t="str">
        <f t="shared" si="1"/>
        <v/>
      </c>
      <c r="E97" s="281" t="str">
        <f t="shared" si="1"/>
        <v/>
      </c>
      <c r="F97" s="281" t="str">
        <f t="shared" si="1"/>
        <v/>
      </c>
      <c r="G97" s="281" t="str">
        <f t="shared" si="1"/>
        <v/>
      </c>
      <c r="H97" s="281" t="str">
        <f t="shared" si="1"/>
        <v/>
      </c>
      <c r="I97" s="281" t="str">
        <f t="shared" si="1"/>
        <v/>
      </c>
      <c r="J97" s="281" t="str">
        <f t="shared" si="1"/>
        <v/>
      </c>
      <c r="K97" s="282" t="str">
        <f t="shared" si="1"/>
        <v/>
      </c>
      <c r="L97" s="281" t="str">
        <f t="shared" si="1"/>
        <v/>
      </c>
      <c r="M97" s="281" t="str">
        <f t="shared" si="1"/>
        <v/>
      </c>
      <c r="N97" s="282" t="str">
        <f t="shared" si="1"/>
        <v/>
      </c>
      <c r="O97" s="281" t="str">
        <f t="shared" si="1"/>
        <v/>
      </c>
      <c r="P97" s="281" t="str">
        <f t="shared" si="1"/>
        <v/>
      </c>
      <c r="Q97" s="232"/>
    </row>
    <row r="98" spans="1:17" ht="20.100000000000001" customHeight="1" x14ac:dyDescent="0.2">
      <c r="A98" s="237" t="s">
        <v>9766</v>
      </c>
      <c r="B98" s="238" t="str">
        <f>IF(ISBLANK(B18),"",_xlfn.IFNA(VLOOKUP(B18,'TANKS Vapor Fx'!$A$3:$G$294,5,FALSE),0))</f>
        <v/>
      </c>
      <c r="C98" s="238" t="str">
        <f>IF(ISBLANK(C18),"",_xlfn.IFNA(VLOOKUP(C18,'TANKS Vapor Fx'!$A$3:$G$294,5,FALSE),0))</f>
        <v/>
      </c>
      <c r="D98" s="238" t="str">
        <f>IF(ISBLANK(D18),"",_xlfn.IFNA(VLOOKUP(D18,'TANKS Vapor Fx'!$A$3:$G$294,5,FALSE),0))</f>
        <v/>
      </c>
      <c r="E98" s="238" t="str">
        <f>IF(ISBLANK(E18),"",_xlfn.IFNA(VLOOKUP(E18,'TANKS Vapor Fx'!$A$3:$G$294,5,FALSE),0))</f>
        <v/>
      </c>
      <c r="F98" s="238" t="str">
        <f>IF(ISBLANK(F18),"",_xlfn.IFNA(VLOOKUP(F18,'TANKS Vapor Fx'!$A$3:$G$294,5,FALSE),0))</f>
        <v/>
      </c>
      <c r="G98" s="238" t="str">
        <f>IF(ISBLANK(G18),"",_xlfn.IFNA(VLOOKUP(G18,'TANKS Vapor Fx'!$A$3:$G$294,5,FALSE),0))</f>
        <v/>
      </c>
      <c r="H98" s="238" t="str">
        <f>IF(ISBLANK(H18),"",_xlfn.IFNA(VLOOKUP(H18,'TANKS Vapor Fx'!$A$3:$G$294,5,FALSE),0))</f>
        <v/>
      </c>
      <c r="I98" s="238" t="str">
        <f>IF(ISBLANK(I18),"",_xlfn.IFNA(VLOOKUP(I18,'TANKS Vapor Fx'!$A$3:$G$294,5,FALSE),0))</f>
        <v/>
      </c>
      <c r="J98" s="238" t="str">
        <f>IF(ISBLANK(J18),"",_xlfn.IFNA(VLOOKUP(J18,'TANKS Vapor Fx'!$A$3:$G$294,5,FALSE),0))</f>
        <v/>
      </c>
      <c r="K98" s="238" t="str">
        <f>IF(ISBLANK(K18),"",_xlfn.IFNA(VLOOKUP(K18,'TANKS Vapor Fx'!$A$3:$G$294,5,FALSE),0))</f>
        <v/>
      </c>
      <c r="L98" s="238" t="str">
        <f>IF(ISBLANK(L18),"",_xlfn.IFNA(VLOOKUP(L18,'TANKS Vapor Fx'!$A$3:$G$294,5,FALSE),0))</f>
        <v/>
      </c>
      <c r="M98" s="238" t="str">
        <f>IF(ISBLANK(M18),"",_xlfn.IFNA(VLOOKUP(M18,'TANKS Vapor Fx'!$A$3:$G$294,5,FALSE),0))</f>
        <v/>
      </c>
      <c r="N98" s="238" t="str">
        <f>IF(ISBLANK(N18),"",_xlfn.IFNA(VLOOKUP(N18,'TANKS Vapor Fx'!$A$3:$G$294,5,FALSE),0))</f>
        <v/>
      </c>
      <c r="O98" s="238" t="str">
        <f>IF(ISBLANK(O18),"",_xlfn.IFNA(VLOOKUP(O18,'TANKS Vapor Fx'!$A$3:$G$294,5,FALSE),0))</f>
        <v/>
      </c>
      <c r="P98" s="238" t="str">
        <f>IF(ISBLANK(P18),"",_xlfn.IFNA(VLOOKUP(P18,'TANKS Vapor Fx'!$A$3:$G$294,5,FALSE),0))</f>
        <v/>
      </c>
      <c r="Q98" s="283"/>
    </row>
    <row r="99" spans="1:17" ht="20.100000000000001" customHeight="1" thickBot="1" x14ac:dyDescent="0.25">
      <c r="A99" s="235" t="s">
        <v>9767</v>
      </c>
      <c r="B99" s="394"/>
      <c r="C99" s="385"/>
      <c r="D99" s="385"/>
      <c r="E99" s="385"/>
      <c r="F99" s="385"/>
      <c r="G99" s="385"/>
      <c r="H99" s="385"/>
      <c r="I99" s="385"/>
      <c r="J99" s="385"/>
      <c r="K99" s="395"/>
      <c r="L99" s="385"/>
      <c r="M99" s="385"/>
      <c r="N99" s="395"/>
      <c r="O99" s="385"/>
      <c r="P99" s="385"/>
      <c r="Q99" s="244"/>
    </row>
    <row r="100" spans="1:17" ht="20.100000000000001" customHeight="1" x14ac:dyDescent="0.2">
      <c r="A100" s="284" t="s">
        <v>9768</v>
      </c>
      <c r="B100" s="285" t="str">
        <f>IF(ISBLANK(B18),"",_xlfn.IFNA(VLOOKUP(B18,'TANKS Vapor Fx'!$A$3:$G$294,6,FALSE),0))</f>
        <v/>
      </c>
      <c r="C100" s="285" t="str">
        <f>IF(ISBLANK(C18),"",_xlfn.IFNA(VLOOKUP(C18,'TANKS Vapor Fx'!$A$3:$G$294,6,FALSE),0))</f>
        <v/>
      </c>
      <c r="D100" s="285" t="str">
        <f>IF(ISBLANK(D18),"",_xlfn.IFNA(VLOOKUP(D18,'TANKS Vapor Fx'!$A$3:$G$294,6,FALSE),0))</f>
        <v/>
      </c>
      <c r="E100" s="285" t="str">
        <f>IF(ISBLANK(E18),"",_xlfn.IFNA(VLOOKUP(E18,'TANKS Vapor Fx'!$A$3:$G$294,6,FALSE),0))</f>
        <v/>
      </c>
      <c r="F100" s="285" t="str">
        <f>IF(ISBLANK(F18),"",_xlfn.IFNA(VLOOKUP(F18,'TANKS Vapor Fx'!$A$3:$G$294,6,FALSE),0))</f>
        <v/>
      </c>
      <c r="G100" s="285" t="str">
        <f>IF(ISBLANK(G18),"",_xlfn.IFNA(VLOOKUP(G18,'TANKS Vapor Fx'!$A$3:$G$294,6,FALSE),0))</f>
        <v/>
      </c>
      <c r="H100" s="285" t="str">
        <f>IF(ISBLANK(H18),"",_xlfn.IFNA(VLOOKUP(H18,'TANKS Vapor Fx'!$A$3:$G$294,6,FALSE),0))</f>
        <v/>
      </c>
      <c r="I100" s="285" t="str">
        <f>IF(ISBLANK(I18),"",_xlfn.IFNA(VLOOKUP(I18,'TANKS Vapor Fx'!$A$3:$G$294,6,FALSE),0))</f>
        <v/>
      </c>
      <c r="J100" s="285" t="str">
        <f>IF(ISBLANK(J18),"",_xlfn.IFNA(VLOOKUP(J18,'TANKS Vapor Fx'!$A$3:$G$294,6,FALSE),0))</f>
        <v/>
      </c>
      <c r="K100" s="285" t="str">
        <f>IF(ISBLANK(K18),"",_xlfn.IFNA(VLOOKUP(K18,'TANKS Vapor Fx'!$A$3:$G$294,6,FALSE),0))</f>
        <v/>
      </c>
      <c r="L100" s="285" t="str">
        <f>IF(ISBLANK(L18),"",_xlfn.IFNA(VLOOKUP(L18,'TANKS Vapor Fx'!$A$3:$G$294,6,FALSE),0))</f>
        <v/>
      </c>
      <c r="M100" s="285" t="str">
        <f>IF(ISBLANK(M18),"",_xlfn.IFNA(VLOOKUP(M18,'TANKS Vapor Fx'!$A$3:$G$294,6,FALSE),0))</f>
        <v/>
      </c>
      <c r="N100" s="285" t="str">
        <f>IF(ISBLANK(N18),"",_xlfn.IFNA(VLOOKUP(N18,'TANKS Vapor Fx'!$A$3:$G$294,6,FALSE),0))</f>
        <v/>
      </c>
      <c r="O100" s="285" t="str">
        <f>IF(ISBLANK(O18),"",_xlfn.IFNA(VLOOKUP(O18,'TANKS Vapor Fx'!$A$3:$G$294,6,FALSE),0))</f>
        <v/>
      </c>
      <c r="P100" s="285" t="str">
        <f>IF(ISBLANK(P18),"",_xlfn.IFNA(VLOOKUP(P18,'TANKS Vapor Fx'!$A$3:$G$294,6,FALSE),0))</f>
        <v/>
      </c>
      <c r="Q100" s="286"/>
    </row>
    <row r="101" spans="1:17" ht="20.100000000000001" customHeight="1" thickBot="1" x14ac:dyDescent="0.25">
      <c r="A101" s="240" t="s">
        <v>9769</v>
      </c>
      <c r="B101" s="396"/>
      <c r="C101" s="397"/>
      <c r="D101" s="397"/>
      <c r="E101" s="397"/>
      <c r="F101" s="397"/>
      <c r="G101" s="397"/>
      <c r="H101" s="397"/>
      <c r="I101" s="397"/>
      <c r="J101" s="397"/>
      <c r="K101" s="398"/>
      <c r="L101" s="397"/>
      <c r="M101" s="397"/>
      <c r="N101" s="398"/>
      <c r="O101" s="397"/>
      <c r="P101" s="397"/>
      <c r="Q101" s="241"/>
    </row>
    <row r="102" spans="1:17" ht="20.100000000000001" customHeight="1" x14ac:dyDescent="0.2">
      <c r="A102" s="237" t="s">
        <v>9770</v>
      </c>
      <c r="B102" s="238" t="str">
        <f>IF(ISBLANK(B18),"",_xlfn.IFNA(VLOOKUP(B18,'TANKS Vapor Fx'!$A$3:$G$294,7,FALSE),0))</f>
        <v/>
      </c>
      <c r="C102" s="238" t="str">
        <f>IF(ISBLANK(C18),"",_xlfn.IFNA(VLOOKUP(C18,'TANKS Vapor Fx'!$A$3:$G$294,7,FALSE),0))</f>
        <v/>
      </c>
      <c r="D102" s="238" t="str">
        <f>IF(ISBLANK(D18),"",_xlfn.IFNA(VLOOKUP(D18,'TANKS Vapor Fx'!$A$3:$G$294,7,FALSE),0))</f>
        <v/>
      </c>
      <c r="E102" s="238" t="str">
        <f>IF(ISBLANK(E18),"",_xlfn.IFNA(VLOOKUP(E18,'TANKS Vapor Fx'!$A$3:$G$294,7,FALSE),0))</f>
        <v/>
      </c>
      <c r="F102" s="238" t="str">
        <f>IF(ISBLANK(F18),"",_xlfn.IFNA(VLOOKUP(F18,'TANKS Vapor Fx'!$A$3:$G$294,7,FALSE),0))</f>
        <v/>
      </c>
      <c r="G102" s="238" t="str">
        <f>IF(ISBLANK(G18),"",_xlfn.IFNA(VLOOKUP(G18,'TANKS Vapor Fx'!$A$3:$G$294,7,FALSE),0))</f>
        <v/>
      </c>
      <c r="H102" s="238" t="str">
        <f>IF(ISBLANK(H18),"",_xlfn.IFNA(VLOOKUP(H18,'TANKS Vapor Fx'!$A$3:$G$294,7,FALSE),0))</f>
        <v/>
      </c>
      <c r="I102" s="238" t="str">
        <f>IF(ISBLANK(I18),"",_xlfn.IFNA(VLOOKUP(I18,'TANKS Vapor Fx'!$A$3:$G$294,7,FALSE),0))</f>
        <v/>
      </c>
      <c r="J102" s="238" t="str">
        <f>IF(ISBLANK(J18),"",_xlfn.IFNA(VLOOKUP(J18,'TANKS Vapor Fx'!$A$3:$G$294,7,FALSE),0))</f>
        <v/>
      </c>
      <c r="K102" s="238" t="str">
        <f>IF(ISBLANK(K18),"",_xlfn.IFNA(VLOOKUP(K18,'TANKS Vapor Fx'!$A$3:$G$294,7,FALSE),0))</f>
        <v/>
      </c>
      <c r="L102" s="238" t="str">
        <f>IF(ISBLANK(L18),"",_xlfn.IFNA(VLOOKUP(L18,'TANKS Vapor Fx'!$A$3:$G$294,7,FALSE),0))</f>
        <v/>
      </c>
      <c r="M102" s="238" t="str">
        <f>IF(ISBLANK(M18),"",_xlfn.IFNA(VLOOKUP(M18,'TANKS Vapor Fx'!$A$3:$G$294,7,FALSE),0))</f>
        <v/>
      </c>
      <c r="N102" s="238" t="str">
        <f>IF(ISBLANK(N18),"",_xlfn.IFNA(VLOOKUP(N18,'TANKS Vapor Fx'!$A$3:$G$294,7,FALSE),0))</f>
        <v/>
      </c>
      <c r="O102" s="238" t="str">
        <f>IF(ISBLANK(O18),"",_xlfn.IFNA(VLOOKUP(O18,'TANKS Vapor Fx'!$A$3:$G$294,7,FALSE),0))</f>
        <v/>
      </c>
      <c r="P102" s="238" t="str">
        <f>IF(ISBLANK(P18),"",_xlfn.IFNA(VLOOKUP(P18,'TANKS Vapor Fx'!$A$3:$G$294,7,FALSE),0))</f>
        <v/>
      </c>
      <c r="Q102" s="283"/>
    </row>
    <row r="103" spans="1:17" ht="20.100000000000001" customHeight="1" thickBot="1" x14ac:dyDescent="0.25">
      <c r="A103" s="235" t="s">
        <v>9771</v>
      </c>
      <c r="B103" s="394"/>
      <c r="C103" s="385"/>
      <c r="D103" s="385"/>
      <c r="E103" s="385"/>
      <c r="F103" s="385"/>
      <c r="G103" s="385"/>
      <c r="H103" s="385"/>
      <c r="I103" s="385"/>
      <c r="J103" s="385"/>
      <c r="K103" s="395"/>
      <c r="L103" s="385"/>
      <c r="M103" s="385"/>
      <c r="N103" s="395"/>
      <c r="O103" s="385"/>
      <c r="P103" s="385"/>
      <c r="Q103" s="244"/>
    </row>
    <row r="104" spans="1:17" ht="30" customHeight="1" x14ac:dyDescent="0.2">
      <c r="A104" s="266" t="s">
        <v>9772</v>
      </c>
      <c r="B104" s="238" t="str">
        <f>IF(ISBLANK(B20),"",IF('TANKS Calculations'!H98=0,IF(VLOOKUP(B97,'TANKS Vapor Fx'!$A$3:$K$294,11,FALSE)=0,IF(ISNUMBER(SEARCH("RVP",B97)),RIGHT(B97,LEN(B97)-(SEARCH("RVP",B97)+3)),0),_xlfn.IFNA(VLOOKUP(B97,'TANKS Vapor Fx'!$A$3:$K$294,11,FALSE),0)),0))</f>
        <v/>
      </c>
      <c r="C104" s="238" t="str">
        <f>IF(ISBLANK(C20),"",IF('TANKS Calculations'!I98=0,IF(VLOOKUP(C97,'TANKS Vapor Fx'!$A$3:$K$294,11,FALSE)=0,IF(ISNUMBER(SEARCH("RVP",C97)),RIGHT(C97,LEN(C97)-(SEARCH("RVP",C97)+3)),0),_xlfn.IFNA(VLOOKUP(C97,'TANKS Vapor Fx'!$A$3:$K$294,11,FALSE),0)),0))</f>
        <v/>
      </c>
      <c r="D104" s="238" t="str">
        <f>IF(ISBLANK(D20),"",IF('TANKS Calculations'!J98=0,IF(VLOOKUP(D97,'TANKS Vapor Fx'!$A$3:$K$294,11,FALSE)=0,IF(ISNUMBER(SEARCH("RVP",D97)),RIGHT(D97,LEN(D97)-(SEARCH("RVP",D97)+3)),0),_xlfn.IFNA(VLOOKUP(D97,'TANKS Vapor Fx'!$A$3:$K$294,11,FALSE),0)),0))</f>
        <v/>
      </c>
      <c r="E104" s="238" t="str">
        <f>IF(ISBLANK(E20),"",IF('TANKS Calculations'!K98=0,IF(VLOOKUP(E97,'TANKS Vapor Fx'!$A$3:$K$294,11,FALSE)=0,IF(ISNUMBER(SEARCH("RVP",E97)),RIGHT(E97,LEN(E97)-(SEARCH("RVP",E97)+3)),0),_xlfn.IFNA(VLOOKUP(E97,'TANKS Vapor Fx'!$A$3:$K$294,11,FALSE),0)),0))</f>
        <v/>
      </c>
      <c r="F104" s="238" t="str">
        <f>IF(ISBLANK(F20),"",IF('TANKS Calculations'!L98=0,IF(VLOOKUP(F97,'TANKS Vapor Fx'!$A$3:$K$294,11,FALSE)=0,IF(ISNUMBER(SEARCH("RVP",F97)),RIGHT(F97,LEN(F97)-(SEARCH("RVP",F97)+3)),0),_xlfn.IFNA(VLOOKUP(F97,'TANKS Vapor Fx'!$A$3:$K$294,11,FALSE),0)),0))</f>
        <v/>
      </c>
      <c r="G104" s="238" t="str">
        <f>IF(ISBLANK(G20),"",IF('TANKS Calculations'!M98=0,IF(VLOOKUP(G97,'TANKS Vapor Fx'!$A$3:$K$294,11,FALSE)=0,IF(ISNUMBER(SEARCH("RVP",G97)),RIGHT(G97,LEN(G97)-(SEARCH("RVP",G97)+3)),0),_xlfn.IFNA(VLOOKUP(G97,'TANKS Vapor Fx'!$A$3:$K$294,11,FALSE),0)),0))</f>
        <v/>
      </c>
      <c r="H104" s="238" t="str">
        <f>IF(ISBLANK(H20),"",IF('TANKS Calculations'!N98=0,IF(VLOOKUP(H97,'TANKS Vapor Fx'!$A$3:$K$294,11,FALSE)=0,IF(ISNUMBER(SEARCH("RVP",H97)),RIGHT(H97,LEN(H97)-(SEARCH("RVP",H97)+3)),0),_xlfn.IFNA(VLOOKUP(H97,'TANKS Vapor Fx'!$A$3:$K$294,11,FALSE),0)),0))</f>
        <v/>
      </c>
      <c r="I104" s="238" t="str">
        <f>IF(ISBLANK(I20),"",IF('TANKS Calculations'!O98=0,IF(VLOOKUP(I97,'TANKS Vapor Fx'!$A$3:$K$294,11,FALSE)=0,IF(ISNUMBER(SEARCH("RVP",I97)),RIGHT(I97,LEN(I97)-(SEARCH("RVP",I97)+3)),0),_xlfn.IFNA(VLOOKUP(I97,'TANKS Vapor Fx'!$A$3:$K$294,11,FALSE),0)),0))</f>
        <v/>
      </c>
      <c r="J104" s="238" t="str">
        <f>IF(ISBLANK(J20),"",IF('TANKS Calculations'!P98=0,IF(VLOOKUP(J97,'TANKS Vapor Fx'!$A$3:$K$294,11,FALSE)=0,IF(ISNUMBER(SEARCH("RVP",J97)),RIGHT(J97,LEN(J97)-(SEARCH("RVP",J97)+3)),0),_xlfn.IFNA(VLOOKUP(J97,'TANKS Vapor Fx'!$A$3:$K$294,11,FALSE),0)),0))</f>
        <v/>
      </c>
      <c r="K104" s="238" t="str">
        <f>IF(ISBLANK(K20),"",IF('TANKS Calculations'!Q98=0,IF(VLOOKUP(K97,'TANKS Vapor Fx'!$A$3:$K$294,11,FALSE)=0,IF(ISNUMBER(SEARCH("RVP",K97)),RIGHT(K97,LEN(K97)-(SEARCH("RVP",K97)+3)),0),_xlfn.IFNA(VLOOKUP(K97,'TANKS Vapor Fx'!$A$3:$K$294,11,FALSE),0)),0))</f>
        <v/>
      </c>
      <c r="L104" s="238" t="str">
        <f>IF(ISBLANK(L20),"",IF('TANKS Calculations'!R98=0,IF(VLOOKUP(L97,'TANKS Vapor Fx'!$A$3:$K$294,11,FALSE)=0,IF(ISNUMBER(SEARCH("RVP",L97)),RIGHT(L97,LEN(L97)-(SEARCH("RVP",L97)+3)),0),_xlfn.IFNA(VLOOKUP(L97,'TANKS Vapor Fx'!$A$3:$K$294,11,FALSE),0)),0))</f>
        <v/>
      </c>
      <c r="M104" s="238" t="str">
        <f>IF(ISBLANK(M20),"",IF('TANKS Calculations'!S98=0,IF(VLOOKUP(M97,'TANKS Vapor Fx'!$A$3:$K$294,11,FALSE)=0,IF(ISNUMBER(SEARCH("RVP",M97)),RIGHT(M97,LEN(M97)-(SEARCH("RVP",M97)+3)),0),_xlfn.IFNA(VLOOKUP(M97,'TANKS Vapor Fx'!$A$3:$K$294,11,FALSE),0)),0))</f>
        <v/>
      </c>
      <c r="N104" s="238" t="str">
        <f>IF(ISBLANK(N20),"",IF('TANKS Calculations'!T98=0,IF(VLOOKUP(N97,'TANKS Vapor Fx'!$A$3:$K$294,11,FALSE)=0,IF(ISNUMBER(SEARCH("RVP",N97)),RIGHT(N97,LEN(N97)-(SEARCH("RVP",N97)+3)),0),_xlfn.IFNA(VLOOKUP(N97,'TANKS Vapor Fx'!$A$3:$K$294,11,FALSE),0)),0))</f>
        <v/>
      </c>
      <c r="O104" s="238" t="str">
        <f>IF(ISBLANK(O20),"",IF('TANKS Calculations'!U98=0,IF(VLOOKUP(O97,'TANKS Vapor Fx'!$A$3:$K$294,11,FALSE)=0,IF(ISNUMBER(SEARCH("RVP",O97)),RIGHT(O97,LEN(O97)-(SEARCH("RVP",O97)+3)),0),_xlfn.IFNA(VLOOKUP(O97,'TANKS Vapor Fx'!$A$3:$K$294,11,FALSE),0)),0))</f>
        <v/>
      </c>
      <c r="P104" s="238" t="str">
        <f>IF(ISBLANK(P20),"",IF('TANKS Calculations'!V98=0,IF(VLOOKUP(P97,'TANKS Vapor Fx'!$A$3:$K$294,11,FALSE)=0,IF(ISNUMBER(SEARCH("RVP",P97)),RIGHT(P97,LEN(P97)-(SEARCH("RVP",P97)+3)),0),_xlfn.IFNA(VLOOKUP(P97,'TANKS Vapor Fx'!$A$3:$K$294,11,FALSE),0)),0))</f>
        <v/>
      </c>
      <c r="Q104" s="283"/>
    </row>
    <row r="105" spans="1:17" ht="30" customHeight="1" thickBot="1" x14ac:dyDescent="0.25">
      <c r="A105" s="262" t="s">
        <v>9773</v>
      </c>
      <c r="B105" s="434"/>
      <c r="C105" s="385"/>
      <c r="D105" s="385"/>
      <c r="E105" s="385"/>
      <c r="F105" s="385"/>
      <c r="G105" s="385"/>
      <c r="H105" s="385"/>
      <c r="I105" s="385"/>
      <c r="J105" s="385"/>
      <c r="K105" s="395"/>
      <c r="L105" s="385"/>
      <c r="M105" s="385"/>
      <c r="N105" s="395"/>
      <c r="O105" s="385"/>
      <c r="P105" s="385"/>
      <c r="Q105" s="244"/>
    </row>
    <row r="106" spans="1:17" ht="30" customHeight="1" x14ac:dyDescent="0.2">
      <c r="A106" s="266" t="s">
        <v>9774</v>
      </c>
      <c r="B106" s="238" t="str">
        <f>IF(ISBLANK(B18),"",IF(B97="",0,IF('TANKS Calculations'!H98=0,'TANKS Calculations'!H100,10^('TANKS Calculations'!H96-('TANKS Calculations'!H97/('TANKS Calculations'!H98+'TANKS Calculations'!$E$43)))/51.715)))</f>
        <v/>
      </c>
      <c r="C106" s="238" t="str">
        <f>IF(ISBLANK(C18),"",IF(C97="",0,IF('TANKS Calculations'!I98=0,'TANKS Calculations'!I100,10^('TANKS Calculations'!I96-('TANKS Calculations'!I97/('TANKS Calculations'!I98+'TANKS Calculations'!$E$43)))/51.715)))</f>
        <v/>
      </c>
      <c r="D106" s="238" t="str">
        <f>IF(ISBLANK(D18),"",IF(D97="",0,IF('TANKS Calculations'!J98=0,'TANKS Calculations'!J100,10^('TANKS Calculations'!J96-('TANKS Calculations'!J97/('TANKS Calculations'!J98+'TANKS Calculations'!$E$43)))/51.715)))</f>
        <v/>
      </c>
      <c r="E106" s="238" t="str">
        <f>IF(ISBLANK(E18),"",IF(E97="",0,IF('TANKS Calculations'!K98=0,'TANKS Calculations'!K100,10^('TANKS Calculations'!K96-('TANKS Calculations'!K97/('TANKS Calculations'!K98+'TANKS Calculations'!$E$43)))/51.715)))</f>
        <v/>
      </c>
      <c r="F106" s="238" t="str">
        <f>IF(ISBLANK(F18),"",IF(F97="",0,IF('TANKS Calculations'!L98=0,'TANKS Calculations'!L100,10^('TANKS Calculations'!L96-('TANKS Calculations'!L97/('TANKS Calculations'!L98+'TANKS Calculations'!$E$43)))/51.715)))</f>
        <v/>
      </c>
      <c r="G106" s="238" t="str">
        <f>IF(ISBLANK(G18),"",IF(G97="",0,IF('TANKS Calculations'!M98=0,'TANKS Calculations'!M100,10^('TANKS Calculations'!M96-('TANKS Calculations'!M97/('TANKS Calculations'!M98+'TANKS Calculations'!$E$43)))/51.715)))</f>
        <v/>
      </c>
      <c r="H106" s="238" t="str">
        <f>IF(ISBLANK(H18),"",IF(H97="",0,IF('TANKS Calculations'!N98=0,'TANKS Calculations'!N100,10^('TANKS Calculations'!N96-('TANKS Calculations'!N97/('TANKS Calculations'!N98+'TANKS Calculations'!$E$43)))/51.715)))</f>
        <v/>
      </c>
      <c r="I106" s="238" t="str">
        <f>IF(ISBLANK(I18),"",IF(I97="",0,IF('TANKS Calculations'!O98=0,'TANKS Calculations'!O100,10^('TANKS Calculations'!O96-('TANKS Calculations'!O97/('TANKS Calculations'!O98+'TANKS Calculations'!$E$43)))/51.715)))</f>
        <v/>
      </c>
      <c r="J106" s="238" t="str">
        <f>IF(ISBLANK(J18),"",IF(J97="",0,IF('TANKS Calculations'!P98=0,'TANKS Calculations'!P100,10^('TANKS Calculations'!P96-('TANKS Calculations'!P97/('TANKS Calculations'!P98+'TANKS Calculations'!$E$43)))/51.715)))</f>
        <v/>
      </c>
      <c r="K106" s="238" t="str">
        <f>IF(ISBLANK(K18),"",IF(K97="",0,IF('TANKS Calculations'!Q98=0,'TANKS Calculations'!Q100,10^('TANKS Calculations'!Q96-('TANKS Calculations'!Q97/('TANKS Calculations'!Q98+'TANKS Calculations'!$E$43)))/51.715)))</f>
        <v/>
      </c>
      <c r="L106" s="238" t="str">
        <f>IF(ISBLANK(L18),"",IF(L97="",0,IF('TANKS Calculations'!R98=0,'TANKS Calculations'!R100,10^('TANKS Calculations'!R96-('TANKS Calculations'!R97/('TANKS Calculations'!R98+'TANKS Calculations'!$E$43)))/51.715)))</f>
        <v/>
      </c>
      <c r="M106" s="238" t="str">
        <f>IF(ISBLANK(M18),"",IF(M97="",0,IF('TANKS Calculations'!S98=0,'TANKS Calculations'!S100,10^('TANKS Calculations'!S96-('TANKS Calculations'!S97/('TANKS Calculations'!S98+'TANKS Calculations'!$E$43)))/51.715)))</f>
        <v/>
      </c>
      <c r="N106" s="238" t="str">
        <f>IF(ISBLANK(N18),"",IF(N97="",0,IF('TANKS Calculations'!T98=0,'TANKS Calculations'!T100,10^('TANKS Calculations'!T96-('TANKS Calculations'!T97/('TANKS Calculations'!T98+'TANKS Calculations'!$E$43)))/51.715)))</f>
        <v/>
      </c>
      <c r="O106" s="238" t="str">
        <f>IF(ISBLANK(O18),"",IF(O97="",0,IF('TANKS Calculations'!U98=0,'TANKS Calculations'!U100,10^('TANKS Calculations'!U96-('TANKS Calculations'!U97/('TANKS Calculations'!U98+'TANKS Calculations'!$E$43)))/51.715)))</f>
        <v/>
      </c>
      <c r="P106" s="238" t="str">
        <f>IF(ISBLANK(P18),"",IF(P97="",0,IF('TANKS Calculations'!V98=0,'TANKS Calculations'!V100,10^('TANKS Calculations'!V96-('TANKS Calculations'!V97/('TANKS Calculations'!V98+'TANKS Calculations'!$E$43)))/51.715)))</f>
        <v/>
      </c>
      <c r="Q106" s="283"/>
    </row>
    <row r="107" spans="1:17" ht="30" customHeight="1" thickBot="1" x14ac:dyDescent="0.25">
      <c r="A107" s="256" t="s">
        <v>9775</v>
      </c>
      <c r="B107" s="396"/>
      <c r="C107" s="397"/>
      <c r="D107" s="397"/>
      <c r="E107" s="397"/>
      <c r="F107" s="397"/>
      <c r="G107" s="397"/>
      <c r="H107" s="397"/>
      <c r="I107" s="397"/>
      <c r="J107" s="397"/>
      <c r="K107" s="398"/>
      <c r="L107" s="397"/>
      <c r="M107" s="397"/>
      <c r="N107" s="398"/>
      <c r="O107" s="397"/>
      <c r="P107" s="397"/>
      <c r="Q107" s="241"/>
    </row>
    <row r="108" spans="1:17" ht="30" customHeight="1" x14ac:dyDescent="0.2">
      <c r="A108" s="266" t="s">
        <v>9776</v>
      </c>
      <c r="B108" s="238" t="str">
        <f>IF(ISBLANK(B18),"",IF(B97="",0,10^('TANKS Calculations'!H96-('TANKS Calculations'!H97/('TANKS Calculations'!H98+'TANKS Calculations'!$E$37)))/51.715))</f>
        <v/>
      </c>
      <c r="C108" s="238" t="str">
        <f>IF(ISBLANK(C18),"",IF(C97="",0,10^('TANKS Calculations'!I96-('TANKS Calculations'!I97/('TANKS Calculations'!I98+'TANKS Calculations'!$E$37)))/51.715))</f>
        <v/>
      </c>
      <c r="D108" s="238" t="str">
        <f>IF(ISBLANK(D18),"",IF(D97="",0,10^('TANKS Calculations'!J96-('TANKS Calculations'!J97/('TANKS Calculations'!J98+'TANKS Calculations'!$E$37)))/51.715))</f>
        <v/>
      </c>
      <c r="E108" s="238" t="str">
        <f>IF(ISBLANK(E18),"",IF(E97="",0,10^('TANKS Calculations'!K96-('TANKS Calculations'!K97/('TANKS Calculations'!K98+'TANKS Calculations'!$E$37)))/51.715))</f>
        <v/>
      </c>
      <c r="F108" s="238" t="str">
        <f>IF(ISBLANK(F18),"",IF(F97="",0,10^('TANKS Calculations'!L96-('TANKS Calculations'!L97/('TANKS Calculations'!L98+'TANKS Calculations'!$E$37)))/51.715))</f>
        <v/>
      </c>
      <c r="G108" s="238" t="str">
        <f>IF(ISBLANK(G18),"",IF(G97="",0,10^('TANKS Calculations'!M96-('TANKS Calculations'!M97/('TANKS Calculations'!M98+'TANKS Calculations'!$E$37)))/51.715))</f>
        <v/>
      </c>
      <c r="H108" s="238" t="str">
        <f>IF(ISBLANK(H18),"",IF(H97="",0,10^('TANKS Calculations'!N96-('TANKS Calculations'!N97/('TANKS Calculations'!N98+'TANKS Calculations'!$E$37)))/51.715))</f>
        <v/>
      </c>
      <c r="I108" s="238" t="str">
        <f>IF(ISBLANK(I18),"",IF(I97="",0,10^('TANKS Calculations'!O96-('TANKS Calculations'!O97/('TANKS Calculations'!O98+'TANKS Calculations'!$E$37)))/51.715))</f>
        <v/>
      </c>
      <c r="J108" s="238" t="str">
        <f>IF(ISBLANK(J18),"",IF(J97="",0,10^('TANKS Calculations'!P96-('TANKS Calculations'!P97/('TANKS Calculations'!P98+'TANKS Calculations'!$E$37)))/51.715))</f>
        <v/>
      </c>
      <c r="K108" s="238" t="str">
        <f>IF(ISBLANK(K18),"",IF(K97="",0,10^('TANKS Calculations'!Q96-('TANKS Calculations'!Q97/('TANKS Calculations'!Q98+'TANKS Calculations'!$E$37)))/51.715))</f>
        <v/>
      </c>
      <c r="L108" s="238" t="str">
        <f>IF(ISBLANK(L18),"",IF(L97="",0,10^('TANKS Calculations'!R96-('TANKS Calculations'!R97/('TANKS Calculations'!R98+'TANKS Calculations'!$E$37)))/51.715))</f>
        <v/>
      </c>
      <c r="M108" s="238" t="str">
        <f>IF(ISBLANK(M18),"",IF(M97="",0,10^('TANKS Calculations'!S96-('TANKS Calculations'!S97/('TANKS Calculations'!S98+'TANKS Calculations'!$E$37)))/51.715))</f>
        <v/>
      </c>
      <c r="N108" s="238" t="str">
        <f>IF(ISBLANK(N18),"",IF(N97="",0,10^('TANKS Calculations'!T96-('TANKS Calculations'!T97/('TANKS Calculations'!T98+'TANKS Calculations'!$E$37)))/51.715))</f>
        <v/>
      </c>
      <c r="O108" s="238" t="str">
        <f>IF(ISBLANK(O18),"",IF(O97="",0,10^('TANKS Calculations'!U96-('TANKS Calculations'!U97/('TANKS Calculations'!U98+'TANKS Calculations'!$E$37)))/51.715))</f>
        <v/>
      </c>
      <c r="P108" s="238" t="str">
        <f>IF(ISBLANK(P18),"",IF(P97="",0,10^('TANKS Calculations'!V96-('TANKS Calculations'!V97/('TANKS Calculations'!V98+'TANKS Calculations'!$E$37)))/51.715))</f>
        <v/>
      </c>
      <c r="Q108" s="283"/>
    </row>
    <row r="109" spans="1:17" ht="30" customHeight="1" thickBot="1" x14ac:dyDescent="0.25">
      <c r="A109" s="262" t="s">
        <v>9777</v>
      </c>
      <c r="B109" s="394"/>
      <c r="C109" s="385"/>
      <c r="D109" s="385"/>
      <c r="E109" s="385"/>
      <c r="F109" s="385"/>
      <c r="G109" s="385"/>
      <c r="H109" s="385"/>
      <c r="I109" s="385"/>
      <c r="J109" s="385"/>
      <c r="K109" s="395"/>
      <c r="L109" s="385"/>
      <c r="M109" s="385"/>
      <c r="N109" s="395"/>
      <c r="O109" s="385"/>
      <c r="P109" s="385"/>
      <c r="Q109" s="244"/>
    </row>
    <row r="110" spans="1:17" ht="30" customHeight="1" x14ac:dyDescent="0.2">
      <c r="A110" s="266" t="s">
        <v>9778</v>
      </c>
      <c r="B110" s="238" t="str">
        <f>IF(ISBLANK(B18),"",IF(B97="",0,10^('TANKS Calculations'!H96-('TANKS Calculations'!H97/('TANKS Calculations'!H98+'TANKS Calculations'!$E$40)))/51.715))</f>
        <v/>
      </c>
      <c r="C110" s="238" t="str">
        <f>IF(ISBLANK(C18),"",IF(C97="",0,10^('TANKS Calculations'!I96-('TANKS Calculations'!I97/('TANKS Calculations'!I98+'TANKS Calculations'!$E$40)))/51.715))</f>
        <v/>
      </c>
      <c r="D110" s="238" t="str">
        <f>IF(ISBLANK(D18),"",IF(D97="",0,10^('TANKS Calculations'!J96-('TANKS Calculations'!J97/('TANKS Calculations'!J98+'TANKS Calculations'!$E$40)))/51.715))</f>
        <v/>
      </c>
      <c r="E110" s="238" t="str">
        <f>IF(ISBLANK(E18),"",IF(E97="",0,10^('TANKS Calculations'!K96-('TANKS Calculations'!K97/('TANKS Calculations'!K98+'TANKS Calculations'!$E$40)))/51.715))</f>
        <v/>
      </c>
      <c r="F110" s="238" t="str">
        <f>IF(ISBLANK(F18),"",IF(F97="",0,10^('TANKS Calculations'!L96-('TANKS Calculations'!L97/('TANKS Calculations'!L98+'TANKS Calculations'!$E$40)))/51.715))</f>
        <v/>
      </c>
      <c r="G110" s="238" t="str">
        <f>IF(ISBLANK(G18),"",IF(G97="",0,10^('TANKS Calculations'!M96-('TANKS Calculations'!M97/('TANKS Calculations'!M98+'TANKS Calculations'!$E$40)))/51.715))</f>
        <v/>
      </c>
      <c r="H110" s="238" t="str">
        <f>IF(ISBLANK(H18),"",IF(H97="",0,10^('TANKS Calculations'!N96-('TANKS Calculations'!N97/('TANKS Calculations'!N98+'TANKS Calculations'!$E$40)))/51.715))</f>
        <v/>
      </c>
      <c r="I110" s="238" t="str">
        <f>IF(ISBLANK(I18),"",IF(I97="",0,10^('TANKS Calculations'!O96-('TANKS Calculations'!O97/('TANKS Calculations'!O98+'TANKS Calculations'!$E$40)))/51.715))</f>
        <v/>
      </c>
      <c r="J110" s="238" t="str">
        <f>IF(ISBLANK(J18),"",IF(J97="",0,10^('TANKS Calculations'!P96-('TANKS Calculations'!P97/('TANKS Calculations'!P98+'TANKS Calculations'!$E$40)))/51.715))</f>
        <v/>
      </c>
      <c r="K110" s="238" t="str">
        <f>IF(ISBLANK(K18),"",IF(K97="",0,10^('TANKS Calculations'!Q96-('TANKS Calculations'!Q97/('TANKS Calculations'!Q98+'TANKS Calculations'!$E$40)))/51.715))</f>
        <v/>
      </c>
      <c r="L110" s="238" t="str">
        <f>IF(ISBLANK(L18),"",IF(L97="",0,10^('TANKS Calculations'!R96-('TANKS Calculations'!R97/('TANKS Calculations'!R98+'TANKS Calculations'!$E$40)))/51.715))</f>
        <v/>
      </c>
      <c r="M110" s="238" t="str">
        <f>IF(ISBLANK(M18),"",IF(M97="",0,10^('TANKS Calculations'!S96-('TANKS Calculations'!S97/('TANKS Calculations'!S98+'TANKS Calculations'!$E$40)))/51.715))</f>
        <v/>
      </c>
      <c r="N110" s="238" t="str">
        <f>IF(ISBLANK(N18),"",IF(N97="",0,10^('TANKS Calculations'!T96-('TANKS Calculations'!T97/('TANKS Calculations'!T98+'TANKS Calculations'!$E$40)))/51.715))</f>
        <v/>
      </c>
      <c r="O110" s="238" t="str">
        <f>IF(ISBLANK(O18),"",IF(O97="",0,10^('TANKS Calculations'!U96-('TANKS Calculations'!U97/('TANKS Calculations'!U98+'TANKS Calculations'!$E$40)))/51.715))</f>
        <v/>
      </c>
      <c r="P110" s="238" t="str">
        <f>IF(ISBLANK(P18),"",IF(P97="",0,10^('TANKS Calculations'!V96-('TANKS Calculations'!V97/('TANKS Calculations'!V98+'TANKS Calculations'!$E$40)))/51.715))</f>
        <v/>
      </c>
      <c r="Q110" s="283"/>
    </row>
    <row r="111" spans="1:17" ht="30" customHeight="1" thickBot="1" x14ac:dyDescent="0.25">
      <c r="A111" s="262" t="s">
        <v>9779</v>
      </c>
      <c r="B111" s="394"/>
      <c r="C111" s="385"/>
      <c r="D111" s="385"/>
      <c r="E111" s="385"/>
      <c r="F111" s="385"/>
      <c r="G111" s="385"/>
      <c r="H111" s="385"/>
      <c r="I111" s="385"/>
      <c r="J111" s="385"/>
      <c r="K111" s="395"/>
      <c r="L111" s="385"/>
      <c r="M111" s="385"/>
      <c r="N111" s="395"/>
      <c r="O111" s="385"/>
      <c r="P111" s="385"/>
      <c r="Q111" s="244"/>
    </row>
    <row r="112" spans="1:17" ht="20.100000000000001" customHeight="1" x14ac:dyDescent="0.2">
      <c r="A112" s="284" t="s">
        <v>9546</v>
      </c>
      <c r="B112" s="285" t="str">
        <f>IF(ISBLANK(B18),"",IFERROR('TANKS Calculations'!H92/'TANKS Calculations'!$W$92,0))</f>
        <v/>
      </c>
      <c r="C112" s="285" t="str">
        <f>IF(ISBLANK(C18),"",IFERROR('TANKS Calculations'!I92/'TANKS Calculations'!$W$92,0))</f>
        <v/>
      </c>
      <c r="D112" s="285" t="str">
        <f>IF(ISBLANK(D18),"",IFERROR('TANKS Calculations'!J92/'TANKS Calculations'!$W$92,0))</f>
        <v/>
      </c>
      <c r="E112" s="285" t="str">
        <f>IF(ISBLANK(E18),"",IFERROR('TANKS Calculations'!K92/'TANKS Calculations'!$W$92,0))</f>
        <v/>
      </c>
      <c r="F112" s="285" t="str">
        <f>IF(ISBLANK(F18),"",IFERROR('TANKS Calculations'!L92/'TANKS Calculations'!$W$92,0))</f>
        <v/>
      </c>
      <c r="G112" s="285" t="str">
        <f>IF(ISBLANK(G18),"",IFERROR('TANKS Calculations'!M92/'TANKS Calculations'!$W$92,0))</f>
        <v/>
      </c>
      <c r="H112" s="285" t="str">
        <f>IF(ISBLANK(H18),"",IFERROR('TANKS Calculations'!N92/'TANKS Calculations'!$W$92,0))</f>
        <v/>
      </c>
      <c r="I112" s="285" t="str">
        <f>IF(ISBLANK(I18),"",IFERROR('TANKS Calculations'!O92/'TANKS Calculations'!$W$92,0))</f>
        <v/>
      </c>
      <c r="J112" s="285" t="str">
        <f>IF(ISBLANK(J18),"",IFERROR('TANKS Calculations'!P92/'TANKS Calculations'!$W$92,0))</f>
        <v/>
      </c>
      <c r="K112" s="285" t="str">
        <f>IF(ISBLANK(K18),"",IFERROR('TANKS Calculations'!Q92/'TANKS Calculations'!$W$92,0))</f>
        <v/>
      </c>
      <c r="L112" s="285" t="str">
        <f>IF(ISBLANK(L18),"",IFERROR('TANKS Calculations'!R92/'TANKS Calculations'!$W$92,0))</f>
        <v/>
      </c>
      <c r="M112" s="285" t="str">
        <f>IF(ISBLANK(M18),"",IFERROR('TANKS Calculations'!S92/'TANKS Calculations'!$W$92,0))</f>
        <v/>
      </c>
      <c r="N112" s="285" t="str">
        <f>IF(ISBLANK(N18),"",IFERROR('TANKS Calculations'!T92/'TANKS Calculations'!$W$92,0))</f>
        <v/>
      </c>
      <c r="O112" s="285" t="str">
        <f>IF(ISBLANK(O18),"",IFERROR('TANKS Calculations'!U92/'TANKS Calculations'!$W$92,0))</f>
        <v/>
      </c>
      <c r="P112" s="285" t="str">
        <f>IF(ISBLANK(P18),"",IFERROR('TANKS Calculations'!V92/'TANKS Calculations'!$W$92,0))</f>
        <v/>
      </c>
      <c r="Q112" s="287">
        <f t="shared" ref="Q112:Q117" si="2">SUM(B112:P112)</f>
        <v>0</v>
      </c>
    </row>
    <row r="113" spans="1:17" ht="20.100000000000001" customHeight="1" x14ac:dyDescent="0.2">
      <c r="A113" s="233" t="s">
        <v>9548</v>
      </c>
      <c r="B113" s="252" t="str">
        <f>IF(ISBLANK(B18),"",'TANKS Calculations'!H93*B112)</f>
        <v/>
      </c>
      <c r="C113" s="252" t="str">
        <f>IF(ISBLANK(C18),"",'TANKS Calculations'!I93*C112)</f>
        <v/>
      </c>
      <c r="D113" s="252" t="str">
        <f>IF(ISBLANK(D18),"",'TANKS Calculations'!J93*D112)</f>
        <v/>
      </c>
      <c r="E113" s="252" t="str">
        <f>IF(ISBLANK(E18),"",'TANKS Calculations'!K93*E112)</f>
        <v/>
      </c>
      <c r="F113" s="252" t="str">
        <f>IF(ISBLANK(F18),"",'TANKS Calculations'!L93*F112)</f>
        <v/>
      </c>
      <c r="G113" s="252" t="str">
        <f>IF(ISBLANK(G18),"",'TANKS Calculations'!M93*G112)</f>
        <v/>
      </c>
      <c r="H113" s="252" t="str">
        <f>IF(ISBLANK(H18),"",'TANKS Calculations'!N93*H112)</f>
        <v/>
      </c>
      <c r="I113" s="252" t="str">
        <f>IF(ISBLANK(I18),"",'TANKS Calculations'!O93*I112)</f>
        <v/>
      </c>
      <c r="J113" s="252" t="str">
        <f>IF(ISBLANK(J18),"",'TANKS Calculations'!P93*J112)</f>
        <v/>
      </c>
      <c r="K113" s="252" t="str">
        <f>IF(ISBLANK(K18),"",'TANKS Calculations'!Q93*K112)</f>
        <v/>
      </c>
      <c r="L113" s="252" t="str">
        <f>IF(ISBLANK(L18),"",'TANKS Calculations'!R93*L112)</f>
        <v/>
      </c>
      <c r="M113" s="252" t="str">
        <f>IF(ISBLANK(M18),"",'TANKS Calculations'!S93*M112)</f>
        <v/>
      </c>
      <c r="N113" s="252" t="str">
        <f>IF(ISBLANK(N18),"",'TANKS Calculations'!T93*N112)</f>
        <v/>
      </c>
      <c r="O113" s="252" t="str">
        <f>IF(ISBLANK(O18),"",'TANKS Calculations'!U93*O112)</f>
        <v/>
      </c>
      <c r="P113" s="252" t="str">
        <f>IF(ISBLANK(P18),"",'TANKS Calculations'!V93*P112)</f>
        <v/>
      </c>
      <c r="Q113" s="288">
        <f t="shared" si="2"/>
        <v>0</v>
      </c>
    </row>
    <row r="114" spans="1:17" ht="20.100000000000001" customHeight="1" x14ac:dyDescent="0.2">
      <c r="A114" s="233" t="s">
        <v>9550</v>
      </c>
      <c r="B114" s="252" t="str">
        <f t="shared" ref="B114:P114" si="3">IF(ISBLANK(B18),"",IFERROR(B113/$Q$113,0))</f>
        <v/>
      </c>
      <c r="C114" s="252" t="str">
        <f t="shared" si="3"/>
        <v/>
      </c>
      <c r="D114" s="252" t="str">
        <f t="shared" si="3"/>
        <v/>
      </c>
      <c r="E114" s="252" t="str">
        <f t="shared" si="3"/>
        <v/>
      </c>
      <c r="F114" s="252" t="str">
        <f t="shared" si="3"/>
        <v/>
      </c>
      <c r="G114" s="252" t="str">
        <f t="shared" si="3"/>
        <v/>
      </c>
      <c r="H114" s="252" t="str">
        <f t="shared" si="3"/>
        <v/>
      </c>
      <c r="I114" s="252" t="str">
        <f t="shared" si="3"/>
        <v/>
      </c>
      <c r="J114" s="252" t="str">
        <f t="shared" si="3"/>
        <v/>
      </c>
      <c r="K114" s="252" t="str">
        <f t="shared" si="3"/>
        <v/>
      </c>
      <c r="L114" s="252" t="str">
        <f t="shared" si="3"/>
        <v/>
      </c>
      <c r="M114" s="252" t="str">
        <f t="shared" si="3"/>
        <v/>
      </c>
      <c r="N114" s="252" t="str">
        <f t="shared" si="3"/>
        <v/>
      </c>
      <c r="O114" s="252" t="str">
        <f t="shared" si="3"/>
        <v/>
      </c>
      <c r="P114" s="252" t="str">
        <f t="shared" si="3"/>
        <v/>
      </c>
      <c r="Q114" s="288">
        <f t="shared" si="2"/>
        <v>0</v>
      </c>
    </row>
    <row r="115" spans="1:17" ht="20.100000000000001" customHeight="1" x14ac:dyDescent="0.2">
      <c r="A115" s="233" t="s">
        <v>9780</v>
      </c>
      <c r="B115" s="252" t="str">
        <f t="shared" ref="B115:P115" si="4">IF(ISBLANK(B18),"",B114*IF(ISBLANK(B26),B25,B26))</f>
        <v/>
      </c>
      <c r="C115" s="252" t="str">
        <f t="shared" si="4"/>
        <v/>
      </c>
      <c r="D115" s="252" t="str">
        <f t="shared" si="4"/>
        <v/>
      </c>
      <c r="E115" s="252" t="str">
        <f t="shared" si="4"/>
        <v/>
      </c>
      <c r="F115" s="252" t="str">
        <f t="shared" si="4"/>
        <v/>
      </c>
      <c r="G115" s="252" t="str">
        <f t="shared" si="4"/>
        <v/>
      </c>
      <c r="H115" s="252" t="str">
        <f t="shared" si="4"/>
        <v/>
      </c>
      <c r="I115" s="252" t="str">
        <f t="shared" si="4"/>
        <v/>
      </c>
      <c r="J115" s="252" t="str">
        <f t="shared" si="4"/>
        <v/>
      </c>
      <c r="K115" s="252" t="str">
        <f t="shared" si="4"/>
        <v/>
      </c>
      <c r="L115" s="252" t="str">
        <f t="shared" si="4"/>
        <v/>
      </c>
      <c r="M115" s="252" t="str">
        <f t="shared" si="4"/>
        <v/>
      </c>
      <c r="N115" s="252" t="str">
        <f t="shared" si="4"/>
        <v/>
      </c>
      <c r="O115" s="252" t="str">
        <f t="shared" si="4"/>
        <v/>
      </c>
      <c r="P115" s="252" t="str">
        <f t="shared" si="4"/>
        <v/>
      </c>
      <c r="Q115" s="288">
        <f t="shared" si="2"/>
        <v>0</v>
      </c>
    </row>
    <row r="116" spans="1:17" ht="20.100000000000001" customHeight="1" x14ac:dyDescent="0.2">
      <c r="A116" s="233" t="s">
        <v>9558</v>
      </c>
      <c r="B116" s="252" t="str">
        <f t="shared" ref="B116:P116" si="5">IF(ISBLANK(B18),"",IF(ISBLANK(B109),B108,B109)*B112)</f>
        <v/>
      </c>
      <c r="C116" s="252" t="str">
        <f t="shared" si="5"/>
        <v/>
      </c>
      <c r="D116" s="252" t="str">
        <f t="shared" si="5"/>
        <v/>
      </c>
      <c r="E116" s="252" t="str">
        <f t="shared" si="5"/>
        <v/>
      </c>
      <c r="F116" s="252" t="str">
        <f t="shared" si="5"/>
        <v/>
      </c>
      <c r="G116" s="252" t="str">
        <f t="shared" si="5"/>
        <v/>
      </c>
      <c r="H116" s="252" t="str">
        <f t="shared" si="5"/>
        <v/>
      </c>
      <c r="I116" s="252" t="str">
        <f t="shared" si="5"/>
        <v/>
      </c>
      <c r="J116" s="252" t="str">
        <f t="shared" si="5"/>
        <v/>
      </c>
      <c r="K116" s="252" t="str">
        <f t="shared" si="5"/>
        <v/>
      </c>
      <c r="L116" s="252" t="str">
        <f t="shared" si="5"/>
        <v/>
      </c>
      <c r="M116" s="252" t="str">
        <f t="shared" si="5"/>
        <v/>
      </c>
      <c r="N116" s="252" t="str">
        <f t="shared" si="5"/>
        <v/>
      </c>
      <c r="O116" s="252" t="str">
        <f t="shared" si="5"/>
        <v/>
      </c>
      <c r="P116" s="252" t="str">
        <f t="shared" si="5"/>
        <v/>
      </c>
      <c r="Q116" s="288">
        <f t="shared" si="2"/>
        <v>0</v>
      </c>
    </row>
    <row r="117" spans="1:17" ht="20.100000000000001" customHeight="1" thickBot="1" x14ac:dyDescent="0.25">
      <c r="A117" s="235" t="s">
        <v>9560</v>
      </c>
      <c r="B117" s="289" t="str">
        <f t="shared" ref="B117:P117" si="6">IF(ISBLANK(B18),"",IF(ISBLANK(B111),B110,B111)*B112)</f>
        <v/>
      </c>
      <c r="C117" s="289" t="str">
        <f t="shared" si="6"/>
        <v/>
      </c>
      <c r="D117" s="289" t="str">
        <f t="shared" si="6"/>
        <v/>
      </c>
      <c r="E117" s="289" t="str">
        <f t="shared" si="6"/>
        <v/>
      </c>
      <c r="F117" s="289" t="str">
        <f t="shared" si="6"/>
        <v/>
      </c>
      <c r="G117" s="289" t="str">
        <f t="shared" si="6"/>
        <v/>
      </c>
      <c r="H117" s="289" t="str">
        <f t="shared" si="6"/>
        <v/>
      </c>
      <c r="I117" s="289" t="str">
        <f t="shared" si="6"/>
        <v/>
      </c>
      <c r="J117" s="289" t="str">
        <f t="shared" si="6"/>
        <v/>
      </c>
      <c r="K117" s="289" t="str">
        <f t="shared" si="6"/>
        <v/>
      </c>
      <c r="L117" s="289" t="str">
        <f t="shared" si="6"/>
        <v/>
      </c>
      <c r="M117" s="289" t="str">
        <f t="shared" si="6"/>
        <v/>
      </c>
      <c r="N117" s="289" t="str">
        <f t="shared" si="6"/>
        <v/>
      </c>
      <c r="O117" s="289" t="str">
        <f t="shared" si="6"/>
        <v/>
      </c>
      <c r="P117" s="289" t="str">
        <f t="shared" si="6"/>
        <v/>
      </c>
      <c r="Q117" s="236">
        <f t="shared" si="2"/>
        <v>0</v>
      </c>
    </row>
    <row r="118" spans="1:17" ht="30" customHeight="1" thickBot="1" x14ac:dyDescent="0.25">
      <c r="A118" s="1377" t="s">
        <v>8411</v>
      </c>
      <c r="B118" s="1377"/>
      <c r="C118" s="1377"/>
      <c r="D118" s="1377"/>
      <c r="E118" s="224"/>
    </row>
    <row r="119" spans="1:17" ht="60" customHeight="1" thickBot="1" x14ac:dyDescent="0.3">
      <c r="A119" s="1352" t="s">
        <v>9684</v>
      </c>
      <c r="B119" s="1353"/>
      <c r="C119" s="1353"/>
      <c r="D119" s="1354"/>
      <c r="E119" s="224"/>
      <c r="F119" s="224"/>
      <c r="G119" s="224"/>
      <c r="H119" s="224"/>
      <c r="I119" s="224"/>
      <c r="J119" s="224"/>
      <c r="K119" s="224"/>
      <c r="L119" s="224"/>
      <c r="M119" s="224"/>
      <c r="N119" s="224"/>
      <c r="O119" s="224"/>
      <c r="P119" s="224"/>
      <c r="Q119" s="224"/>
    </row>
    <row r="120" spans="1:17" ht="20.100000000000001" customHeight="1" thickBot="1" x14ac:dyDescent="0.3">
      <c r="A120" s="146" t="s">
        <v>9685</v>
      </c>
      <c r="B120" s="147" t="s">
        <v>9686</v>
      </c>
      <c r="C120" s="148" t="s">
        <v>9687</v>
      </c>
      <c r="D120" s="149" t="s">
        <v>9688</v>
      </c>
      <c r="E120" s="224"/>
      <c r="F120" s="224"/>
      <c r="G120" s="224"/>
      <c r="H120" s="224"/>
      <c r="I120" s="224"/>
      <c r="J120" s="224"/>
      <c r="K120" s="224"/>
      <c r="L120" s="224"/>
      <c r="M120" s="224"/>
      <c r="N120" s="224"/>
      <c r="O120" s="224"/>
      <c r="P120" s="224"/>
      <c r="Q120" s="224"/>
    </row>
    <row r="121" spans="1:17" ht="20.100000000000001" customHeight="1" x14ac:dyDescent="0.2">
      <c r="A121" s="266" t="s">
        <v>9781</v>
      </c>
      <c r="B121" s="238">
        <v>0.03</v>
      </c>
      <c r="C121" s="399"/>
      <c r="D121" s="268" t="s">
        <v>9782</v>
      </c>
      <c r="E121" s="224"/>
      <c r="F121" s="224"/>
      <c r="G121" s="224"/>
      <c r="H121" s="224"/>
      <c r="I121" s="224"/>
    </row>
    <row r="122" spans="1:17" ht="20.100000000000001" customHeight="1" x14ac:dyDescent="0.2">
      <c r="A122" s="228" t="s">
        <v>9783</v>
      </c>
      <c r="B122" s="252">
        <v>-0.03</v>
      </c>
      <c r="C122" s="379"/>
      <c r="D122" s="227" t="s">
        <v>9782</v>
      </c>
      <c r="E122" s="224"/>
      <c r="F122" s="224"/>
      <c r="G122" s="224"/>
      <c r="H122" s="224"/>
      <c r="I122" s="224"/>
    </row>
    <row r="123" spans="1:17" ht="20.100000000000001" customHeight="1" x14ac:dyDescent="0.2">
      <c r="A123" s="225" t="s">
        <v>9784</v>
      </c>
      <c r="B123" s="285">
        <f>IF(OR(C66="No",C31="Riveted"),0,'TANKS Calculations'!E44-'TANKS Calculations'!E45)</f>
        <v>0.06</v>
      </c>
      <c r="C123" s="392"/>
      <c r="D123" s="246" t="s">
        <v>9782</v>
      </c>
      <c r="E123" s="224"/>
      <c r="F123" s="224"/>
      <c r="G123" s="224"/>
      <c r="H123" s="224"/>
      <c r="I123" s="224"/>
    </row>
    <row r="124" spans="1:17" ht="20.100000000000001" customHeight="1" x14ac:dyDescent="0.2">
      <c r="A124" s="256" t="s">
        <v>9785</v>
      </c>
      <c r="B124" s="258">
        <f>IF(C69="Fully Insulated",0,Q116-Q117)</f>
        <v>0</v>
      </c>
      <c r="C124" s="383"/>
      <c r="D124" s="259" t="s">
        <v>8867</v>
      </c>
      <c r="E124" s="224"/>
      <c r="F124" s="224"/>
      <c r="G124" s="224"/>
      <c r="H124" s="224"/>
      <c r="I124" s="224"/>
    </row>
    <row r="125" spans="1:17" ht="20.100000000000001" customHeight="1" x14ac:dyDescent="0.2">
      <c r="A125" s="228" t="s">
        <v>9786</v>
      </c>
      <c r="B125" s="252">
        <f>Q113</f>
        <v>0</v>
      </c>
      <c r="C125" s="379"/>
      <c r="D125" s="227" t="s">
        <v>8867</v>
      </c>
      <c r="E125" s="224"/>
      <c r="F125" s="224"/>
      <c r="G125" s="224"/>
      <c r="H125" s="224"/>
      <c r="I125" s="224"/>
    </row>
    <row r="126" spans="1:17" ht="30" customHeight="1" x14ac:dyDescent="0.2">
      <c r="A126" s="228" t="s">
        <v>9787</v>
      </c>
      <c r="B126" s="254" t="s">
        <v>269</v>
      </c>
      <c r="C126" s="379"/>
      <c r="D126" s="227" t="s">
        <v>9689</v>
      </c>
      <c r="E126" s="224"/>
      <c r="F126" s="224"/>
      <c r="G126" s="224"/>
      <c r="H126" s="224"/>
      <c r="I126" s="224"/>
    </row>
    <row r="127" spans="1:17" ht="30" customHeight="1" thickBot="1" x14ac:dyDescent="0.25">
      <c r="A127" s="230" t="s">
        <v>9788</v>
      </c>
      <c r="B127" s="290">
        <v>0</v>
      </c>
      <c r="C127" s="401"/>
      <c r="D127" s="231" t="s">
        <v>9689</v>
      </c>
      <c r="E127" s="224"/>
      <c r="F127" s="224"/>
      <c r="G127" s="224"/>
      <c r="H127" s="224"/>
      <c r="I127" s="224"/>
    </row>
    <row r="128" spans="1:17" ht="30" customHeight="1" thickBot="1" x14ac:dyDescent="0.25">
      <c r="A128" s="1377" t="s">
        <v>8411</v>
      </c>
      <c r="B128" s="1377"/>
      <c r="C128" s="1377"/>
      <c r="D128" s="1377"/>
    </row>
    <row r="129" spans="1:17" ht="60" customHeight="1" thickBot="1" x14ac:dyDescent="0.3">
      <c r="A129" s="1352" t="s">
        <v>9789</v>
      </c>
      <c r="B129" s="1358"/>
      <c r="C129" s="1358"/>
      <c r="D129" s="1359"/>
      <c r="E129" s="224"/>
      <c r="F129" s="224"/>
      <c r="G129" s="224"/>
      <c r="H129" s="224"/>
      <c r="I129" s="224"/>
      <c r="J129" s="224"/>
      <c r="K129" s="224"/>
      <c r="L129" s="224"/>
      <c r="M129" s="224"/>
      <c r="N129" s="224"/>
      <c r="O129" s="224"/>
      <c r="P129" s="224"/>
      <c r="Q129" s="224"/>
    </row>
    <row r="130" spans="1:17" ht="20.100000000000001" customHeight="1" thickBot="1" x14ac:dyDescent="0.3">
      <c r="A130" s="152" t="s">
        <v>9685</v>
      </c>
      <c r="B130" s="153" t="s">
        <v>9686</v>
      </c>
      <c r="C130" s="154" t="s">
        <v>9687</v>
      </c>
      <c r="D130" s="155" t="s">
        <v>9688</v>
      </c>
      <c r="E130" s="224"/>
      <c r="F130" s="224"/>
      <c r="G130" s="224"/>
      <c r="H130" s="224"/>
      <c r="I130" s="224"/>
      <c r="J130" s="224"/>
      <c r="K130" s="224"/>
      <c r="L130" s="224"/>
      <c r="M130" s="224"/>
      <c r="N130" s="224"/>
      <c r="O130" s="224"/>
      <c r="P130" s="224"/>
      <c r="Q130" s="224"/>
    </row>
    <row r="131" spans="1:17" ht="20.100000000000001" customHeight="1" x14ac:dyDescent="0.35">
      <c r="A131" s="225" t="s">
        <v>9790</v>
      </c>
      <c r="B131" s="285">
        <f>'TANKS Calculations'!W88</f>
        <v>0</v>
      </c>
      <c r="C131" s="392"/>
      <c r="D131" s="246" t="s">
        <v>9791</v>
      </c>
      <c r="E131" s="224"/>
      <c r="F131" s="224"/>
      <c r="G131" s="224"/>
      <c r="H131" s="224"/>
      <c r="I131" s="224"/>
    </row>
    <row r="132" spans="1:17" ht="20.100000000000001" customHeight="1" x14ac:dyDescent="0.35">
      <c r="A132" s="228" t="s">
        <v>9792</v>
      </c>
      <c r="B132" s="252">
        <f>IFERROR(Q115*Q113/(10.731*'TANKS Calculations'!E49),0)</f>
        <v>0</v>
      </c>
      <c r="C132" s="379"/>
      <c r="D132" s="227" t="s">
        <v>9793</v>
      </c>
      <c r="E132" s="224"/>
      <c r="F132" s="224"/>
      <c r="G132" s="224"/>
      <c r="H132" s="224"/>
      <c r="I132" s="224"/>
    </row>
    <row r="133" spans="1:17" ht="20.100000000000001" customHeight="1" x14ac:dyDescent="0.35">
      <c r="A133" s="256" t="s">
        <v>9794</v>
      </c>
      <c r="B133" s="258">
        <f>Q115</f>
        <v>0</v>
      </c>
      <c r="C133" s="383"/>
      <c r="D133" s="259" t="s">
        <v>9795</v>
      </c>
      <c r="E133" s="224"/>
      <c r="F133" s="224"/>
      <c r="G133" s="224"/>
      <c r="H133" s="224"/>
      <c r="I133" s="224"/>
    </row>
    <row r="134" spans="1:17" ht="20.100000000000001" customHeight="1" x14ac:dyDescent="0.35">
      <c r="A134" s="228" t="s">
        <v>9796</v>
      </c>
      <c r="B134" s="252">
        <f>1/(1+(0.053*Q113*'TANKS Calculations'!E60))</f>
        <v>1</v>
      </c>
      <c r="C134" s="379"/>
      <c r="D134" s="227" t="s">
        <v>9689</v>
      </c>
      <c r="E134" s="224"/>
      <c r="F134" s="224"/>
      <c r="G134" s="224"/>
      <c r="H134" s="224"/>
      <c r="I134" s="224"/>
    </row>
    <row r="135" spans="1:17" ht="20.100000000000001" customHeight="1" x14ac:dyDescent="0.35">
      <c r="A135" s="247" t="s">
        <v>9797</v>
      </c>
      <c r="B135" s="276">
        <f>IF(AND('TANKS Calculations'!E44&lt;=0.03,'TANKS Calculations'!E45&gt;=-0.03,'TANKS Calculations'!E51&lt;0.1),IF(ISBLANK(B14),0.04,0.0018*'TANKS Calculations'!E50),IF(ISBLANK(B14),0.04,('TANKS Calculations'!E50/'TANKS Calculations'!E42)+(('TANKS Calculations'!E47-'TANKS Calculations'!E46)/('TANKS Calculations'!E3-'TANKS Calculations'!W102))))</f>
        <v>0.04</v>
      </c>
      <c r="C135" s="391"/>
      <c r="D135" s="249" t="s">
        <v>9798</v>
      </c>
      <c r="E135" s="224"/>
      <c r="F135" s="224"/>
      <c r="G135" s="224"/>
      <c r="H135" s="224"/>
      <c r="I135" s="224"/>
    </row>
    <row r="136" spans="1:17" ht="30" customHeight="1" x14ac:dyDescent="0.2">
      <c r="A136" s="256" t="s">
        <v>9799</v>
      </c>
      <c r="B136" s="258">
        <v>0</v>
      </c>
      <c r="C136" s="383"/>
      <c r="D136" s="259" t="s">
        <v>9782</v>
      </c>
      <c r="E136" s="224"/>
      <c r="F136" s="224"/>
      <c r="G136" s="224"/>
      <c r="H136" s="224"/>
      <c r="I136" s="224"/>
    </row>
    <row r="137" spans="1:17" ht="20.100000000000001" customHeight="1" thickBot="1" x14ac:dyDescent="0.25">
      <c r="A137" s="262" t="s">
        <v>9800</v>
      </c>
      <c r="B137" s="289">
        <f>IF(OR(IFERROR('TANKS Calculations'!E21*(('TANKS Calculations'!E44+'TANKS Calculations'!E3)/('TANKS Calculations'!E67+'TANKS Calculations'!E3)),0)&gt;1,'TANKS Calculations'!E44&gt;0.03,'TANKS Calculations'!E45&lt;-0.03),1,((('TANKS Calculations'!E67+'TANKS Calculations'!E3)/'TANKS Calculations'!E21)-'TANKS Calculations'!W103)/('TANKS Calculations'!E44+'TANKS Calculations'!E3-'TANKS Calculations'!W103))</f>
        <v>1</v>
      </c>
      <c r="C137" s="393"/>
      <c r="D137" s="264" t="s">
        <v>9689</v>
      </c>
      <c r="E137" s="224"/>
      <c r="F137" s="224"/>
      <c r="G137" s="224"/>
      <c r="H137" s="224"/>
      <c r="I137" s="224"/>
    </row>
    <row r="138" spans="1:17" ht="30" customHeight="1" thickBot="1" x14ac:dyDescent="0.25">
      <c r="A138" s="1377" t="s">
        <v>8411</v>
      </c>
      <c r="B138" s="1377"/>
      <c r="C138" s="1377"/>
      <c r="D138" s="1377"/>
      <c r="E138" s="224"/>
      <c r="F138" s="224"/>
      <c r="G138" s="224"/>
      <c r="H138" s="224"/>
      <c r="I138" s="224"/>
      <c r="J138" s="224"/>
      <c r="K138" s="224"/>
      <c r="L138" s="224"/>
      <c r="M138" s="224"/>
      <c r="N138" s="224"/>
      <c r="O138" s="224"/>
      <c r="P138" s="224"/>
      <c r="Q138" s="224"/>
    </row>
    <row r="139" spans="1:17" ht="60" customHeight="1" thickBot="1" x14ac:dyDescent="0.3">
      <c r="A139" s="1352" t="s">
        <v>9801</v>
      </c>
      <c r="B139" s="1358"/>
      <c r="C139" s="1358"/>
      <c r="D139" s="1359"/>
      <c r="E139" s="224"/>
      <c r="F139" s="224"/>
      <c r="G139" s="224"/>
      <c r="H139" s="224"/>
      <c r="I139" s="224"/>
      <c r="J139" s="224"/>
      <c r="K139" s="224"/>
      <c r="L139" s="224"/>
      <c r="M139" s="224"/>
      <c r="N139" s="224"/>
      <c r="O139" s="224"/>
      <c r="P139" s="224"/>
      <c r="Q139" s="224"/>
    </row>
    <row r="140" spans="1:17" ht="20.100000000000001" customHeight="1" thickBot="1" x14ac:dyDescent="0.3">
      <c r="A140" s="152" t="s">
        <v>9685</v>
      </c>
      <c r="B140" s="153" t="s">
        <v>9686</v>
      </c>
      <c r="C140" s="154" t="s">
        <v>9687</v>
      </c>
      <c r="D140" s="155" t="s">
        <v>9688</v>
      </c>
      <c r="E140" s="224"/>
      <c r="F140" s="224"/>
      <c r="G140" s="224"/>
      <c r="H140" s="224"/>
      <c r="I140" s="224"/>
      <c r="J140" s="224"/>
      <c r="K140" s="224"/>
      <c r="L140" s="224"/>
      <c r="M140" s="224"/>
      <c r="N140" s="224"/>
      <c r="O140" s="224"/>
      <c r="P140" s="224"/>
      <c r="Q140" s="224"/>
    </row>
    <row r="141" spans="1:17" ht="30" customHeight="1" x14ac:dyDescent="0.2">
      <c r="A141" s="256" t="s">
        <v>9802</v>
      </c>
      <c r="B141" s="291" t="s">
        <v>8708</v>
      </c>
      <c r="C141" s="402"/>
      <c r="D141" s="259" t="s">
        <v>9689</v>
      </c>
      <c r="E141" s="224"/>
      <c r="F141" s="224"/>
      <c r="G141" s="224"/>
      <c r="H141" s="224"/>
      <c r="I141" s="224"/>
      <c r="J141" s="224"/>
      <c r="K141" s="224"/>
      <c r="L141" s="224"/>
      <c r="M141" s="224"/>
      <c r="N141" s="224"/>
      <c r="O141" s="224"/>
      <c r="P141" s="224"/>
    </row>
    <row r="142" spans="1:17" ht="45" customHeight="1" x14ac:dyDescent="0.2">
      <c r="A142" s="256" t="s">
        <v>9803</v>
      </c>
      <c r="B142" s="291" t="s">
        <v>8708</v>
      </c>
      <c r="C142" s="402"/>
      <c r="D142" s="259" t="s">
        <v>9689</v>
      </c>
      <c r="E142" s="224"/>
      <c r="F142" s="224"/>
      <c r="G142" s="224"/>
      <c r="H142" s="224"/>
      <c r="I142" s="224"/>
      <c r="J142" s="224"/>
      <c r="K142" s="224"/>
      <c r="L142" s="224"/>
      <c r="M142" s="224"/>
      <c r="N142" s="224"/>
      <c r="O142" s="224"/>
      <c r="P142" s="224"/>
    </row>
    <row r="143" spans="1:17" ht="60" customHeight="1" x14ac:dyDescent="0.2">
      <c r="A143" s="423" t="s">
        <v>10004</v>
      </c>
      <c r="B143" s="291" t="s">
        <v>7</v>
      </c>
      <c r="C143" s="402"/>
      <c r="D143" s="259" t="s">
        <v>9689</v>
      </c>
      <c r="E143" s="224"/>
      <c r="F143" s="224"/>
      <c r="G143" s="224"/>
      <c r="H143" s="224"/>
      <c r="I143" s="224"/>
      <c r="J143" s="224"/>
      <c r="K143" s="224"/>
      <c r="L143" s="224"/>
      <c r="M143" s="224"/>
      <c r="N143" s="224"/>
      <c r="O143" s="224"/>
      <c r="P143" s="224"/>
    </row>
    <row r="144" spans="1:17" ht="20.100000000000001" customHeight="1" x14ac:dyDescent="0.2">
      <c r="A144" s="350" t="s">
        <v>9999</v>
      </c>
      <c r="B144" s="291">
        <f>_xlfn.IFNA(VLOOKUP($C$31&amp;$C$141&amp;$C$142,'TANKS Data'!$A$4:$J$15,IF('TANKS Calculations'!E72="Tight",8,5),FALSE),0)</f>
        <v>0</v>
      </c>
      <c r="C144" s="397"/>
      <c r="D144" s="259" t="s">
        <v>9804</v>
      </c>
      <c r="E144" s="224"/>
      <c r="F144" s="224"/>
      <c r="G144" s="224"/>
      <c r="H144" s="224"/>
      <c r="I144" s="224"/>
      <c r="J144" s="224"/>
      <c r="K144" s="224"/>
      <c r="L144" s="224"/>
      <c r="M144" s="224"/>
      <c r="N144" s="224"/>
      <c r="O144" s="224"/>
      <c r="P144" s="224"/>
      <c r="Q144" s="224"/>
    </row>
    <row r="145" spans="1:17" ht="35.1" customHeight="1" x14ac:dyDescent="0.2">
      <c r="A145" s="350" t="s">
        <v>10000</v>
      </c>
      <c r="B145" s="291">
        <f>_xlfn.IFNA(VLOOKUP($C$31&amp;$C$141&amp;$C$142,'TANKS Data'!$A$4:$J$15,IF('TANKS Calculations'!E72="Tight",9,6),FALSE),0)</f>
        <v>0</v>
      </c>
      <c r="C145" s="397"/>
      <c r="D145" s="259" t="s">
        <v>9805</v>
      </c>
      <c r="E145" s="224"/>
      <c r="F145" s="224"/>
      <c r="G145" s="224"/>
      <c r="H145" s="224"/>
      <c r="I145" s="224"/>
      <c r="J145" s="224"/>
      <c r="K145" s="224"/>
      <c r="L145" s="224"/>
      <c r="M145" s="224"/>
      <c r="N145" s="224"/>
      <c r="O145" s="224"/>
      <c r="P145" s="224"/>
      <c r="Q145" s="224"/>
    </row>
    <row r="146" spans="1:17" ht="20.100000000000001" customHeight="1" x14ac:dyDescent="0.2">
      <c r="A146" s="351" t="s">
        <v>9806</v>
      </c>
      <c r="B146" s="291">
        <f>_xlfn.IFNA(VLOOKUP($C$31&amp;$C$141&amp;$C$142,'TANKS Data'!$A$4:$J$15,IF('TANKS Calculations'!E72="Tight",10,7),FALSE),0)</f>
        <v>0</v>
      </c>
      <c r="C146" s="397"/>
      <c r="D146" s="259" t="s">
        <v>9689</v>
      </c>
      <c r="E146" s="224"/>
      <c r="F146" s="224"/>
      <c r="G146" s="224"/>
      <c r="H146" s="224"/>
      <c r="I146" s="224"/>
      <c r="J146" s="224"/>
      <c r="K146" s="224"/>
      <c r="L146" s="224"/>
      <c r="M146" s="224"/>
      <c r="N146" s="224"/>
      <c r="O146" s="224"/>
      <c r="P146" s="224"/>
      <c r="Q146" s="224"/>
    </row>
    <row r="147" spans="1:17" ht="20.100000000000001" customHeight="1" x14ac:dyDescent="0.2">
      <c r="A147" s="351" t="s">
        <v>9794</v>
      </c>
      <c r="B147" s="258">
        <f>Q115</f>
        <v>0</v>
      </c>
      <c r="C147" s="397"/>
      <c r="D147" s="259" t="s">
        <v>9795</v>
      </c>
      <c r="E147" s="224"/>
      <c r="F147" s="224"/>
      <c r="G147" s="224"/>
      <c r="H147" s="224"/>
      <c r="I147" s="224"/>
      <c r="J147" s="224"/>
      <c r="K147" s="224"/>
      <c r="L147" s="224"/>
      <c r="M147" s="224"/>
      <c r="N147" s="224"/>
      <c r="O147" s="224"/>
      <c r="P147" s="224"/>
      <c r="Q147" s="224"/>
    </row>
    <row r="148" spans="1:17" ht="30" customHeight="1" x14ac:dyDescent="0.2">
      <c r="A148" s="256" t="s">
        <v>9807</v>
      </c>
      <c r="B148" s="291">
        <f>IF(C68="Internal Floating Roof",0,_xlfn.IFNA(VLOOKUP(B14,'TANKS Data'!$A$189:$G$213,7,FALSE),0))</f>
        <v>0</v>
      </c>
      <c r="C148" s="397"/>
      <c r="D148" s="259" t="s">
        <v>9808</v>
      </c>
      <c r="E148" s="224"/>
      <c r="F148" s="224"/>
      <c r="G148" s="224"/>
      <c r="H148" s="224"/>
      <c r="I148" s="224"/>
      <c r="J148" s="224"/>
      <c r="K148" s="224"/>
      <c r="L148" s="224"/>
      <c r="M148" s="224"/>
      <c r="N148" s="224"/>
      <c r="O148" s="224"/>
      <c r="P148" s="224"/>
      <c r="Q148" s="224"/>
    </row>
    <row r="149" spans="1:17" ht="20.100000000000001" customHeight="1" thickBot="1" x14ac:dyDescent="0.25">
      <c r="A149" s="352" t="s">
        <v>9809</v>
      </c>
      <c r="B149" s="263">
        <f>('TANKS Calculations'!W102/'TANKS Calculations'!E3)/((1+(1-('TANKS Calculations'!W102/'TANKS Calculations'!E3))^0.5)^2)</f>
        <v>0</v>
      </c>
      <c r="C149" s="385"/>
      <c r="D149" s="264" t="s">
        <v>9689</v>
      </c>
      <c r="E149" s="224"/>
      <c r="F149" s="224"/>
      <c r="G149" s="224"/>
      <c r="H149" s="224"/>
      <c r="I149" s="224"/>
      <c r="J149" s="224"/>
      <c r="K149" s="224"/>
      <c r="L149" s="224"/>
      <c r="M149" s="224"/>
      <c r="N149" s="224"/>
      <c r="O149" s="224"/>
      <c r="P149" s="224"/>
      <c r="Q149" s="224"/>
    </row>
    <row r="150" spans="1:17" ht="30" customHeight="1" x14ac:dyDescent="0.2">
      <c r="A150" s="292" t="s">
        <v>9810</v>
      </c>
      <c r="B150" s="293" t="s">
        <v>8708</v>
      </c>
      <c r="C150" s="403"/>
      <c r="D150" s="294" t="s">
        <v>9689</v>
      </c>
      <c r="E150" s="224"/>
      <c r="F150" s="224"/>
      <c r="G150" s="224"/>
      <c r="H150" s="224"/>
      <c r="I150" s="224"/>
      <c r="J150" s="224"/>
      <c r="K150" s="224"/>
      <c r="L150" s="224"/>
      <c r="M150" s="224"/>
      <c r="N150" s="224"/>
      <c r="O150" s="224"/>
      <c r="P150" s="224"/>
      <c r="Q150" s="224"/>
    </row>
    <row r="151" spans="1:17" ht="20.100000000000001" customHeight="1" x14ac:dyDescent="0.2">
      <c r="A151" s="351" t="s">
        <v>9811</v>
      </c>
      <c r="B151" s="291">
        <f>IFERROR(HLOOKUP(C150,'TANKS Data'!$B$219:$D$222,IF('TANKS Calculations'!W90=1,2,4),FALSE),0)</f>
        <v>0</v>
      </c>
      <c r="C151" s="397"/>
      <c r="D151" s="259" t="s">
        <v>9812</v>
      </c>
      <c r="E151" s="224"/>
      <c r="F151" s="224"/>
      <c r="G151" s="224"/>
      <c r="H151" s="224"/>
      <c r="I151" s="224"/>
      <c r="J151" s="224"/>
      <c r="K151" s="224"/>
      <c r="L151" s="224"/>
      <c r="M151" s="224"/>
      <c r="N151" s="224"/>
      <c r="O151" s="224"/>
      <c r="P151" s="224"/>
      <c r="Q151" s="224"/>
    </row>
    <row r="152" spans="1:17" ht="45" customHeight="1" x14ac:dyDescent="0.2">
      <c r="A152" s="256" t="s">
        <v>9813</v>
      </c>
      <c r="B152" s="291">
        <f>IFERROR(VLOOKUP('TANKS Calculations'!E8,'TANKS Data'!A20:B35,2,TRUE),0)</f>
        <v>1</v>
      </c>
      <c r="C152" s="397"/>
      <c r="D152" s="259" t="s">
        <v>9689</v>
      </c>
      <c r="E152" s="224"/>
      <c r="F152" s="224"/>
      <c r="G152" s="224"/>
      <c r="H152" s="224"/>
      <c r="I152" s="224"/>
      <c r="J152" s="224"/>
      <c r="K152" s="224"/>
      <c r="L152" s="224"/>
      <c r="M152" s="224"/>
      <c r="N152" s="224"/>
      <c r="O152" s="224"/>
      <c r="P152" s="224"/>
      <c r="Q152" s="224"/>
    </row>
    <row r="153" spans="1:17" ht="20.100000000000001" customHeight="1" x14ac:dyDescent="0.2">
      <c r="A153" s="354" t="s">
        <v>9814</v>
      </c>
      <c r="B153" s="250">
        <v>1</v>
      </c>
      <c r="C153" s="377"/>
      <c r="D153" s="227" t="s">
        <v>9707</v>
      </c>
      <c r="E153" s="224"/>
      <c r="F153" s="224"/>
      <c r="G153" s="224"/>
      <c r="H153" s="224"/>
      <c r="I153" s="224"/>
      <c r="J153" s="224"/>
      <c r="K153" s="224"/>
      <c r="L153" s="224"/>
      <c r="M153" s="224"/>
      <c r="N153" s="224"/>
      <c r="O153" s="224"/>
      <c r="P153" s="224"/>
      <c r="Q153" s="224"/>
    </row>
    <row r="154" spans="1:17" ht="20.100000000000001" customHeight="1" thickBot="1" x14ac:dyDescent="0.25">
      <c r="A154" s="352" t="s">
        <v>9790</v>
      </c>
      <c r="B154" s="289">
        <f>'TANKS Calculations'!W88</f>
        <v>0</v>
      </c>
      <c r="C154" s="393"/>
      <c r="D154" s="264" t="s">
        <v>9791</v>
      </c>
      <c r="E154" s="224"/>
      <c r="F154" s="224"/>
      <c r="G154" s="224"/>
      <c r="H154" s="224"/>
      <c r="I154" s="224"/>
      <c r="J154" s="224"/>
      <c r="K154" s="224"/>
      <c r="L154" s="224"/>
      <c r="M154" s="224"/>
      <c r="N154" s="224"/>
      <c r="O154" s="224"/>
      <c r="P154" s="224"/>
      <c r="Q154" s="224"/>
    </row>
    <row r="155" spans="1:17" ht="30" customHeight="1" thickBot="1" x14ac:dyDescent="0.25">
      <c r="A155" s="1377" t="s">
        <v>8411</v>
      </c>
      <c r="B155" s="1377"/>
      <c r="C155" s="1377"/>
      <c r="D155" s="1377"/>
      <c r="E155" s="224"/>
      <c r="F155" s="224"/>
      <c r="G155" s="224"/>
      <c r="H155" s="224"/>
    </row>
    <row r="156" spans="1:17" ht="80.25" customHeight="1" thickBot="1" x14ac:dyDescent="0.3">
      <c r="A156" s="1352" t="s">
        <v>9815</v>
      </c>
      <c r="B156" s="1358"/>
      <c r="C156" s="1358"/>
      <c r="D156" s="1358"/>
      <c r="E156" s="1358"/>
      <c r="F156" s="1358"/>
      <c r="G156" s="1358"/>
      <c r="H156" s="1358"/>
      <c r="I156" s="1358"/>
      <c r="J156" s="1358"/>
      <c r="K156" s="1358"/>
      <c r="L156" s="1359"/>
    </row>
    <row r="157" spans="1:17" ht="76.5" x14ac:dyDescent="0.25">
      <c r="A157" s="1373" t="s">
        <v>9057</v>
      </c>
      <c r="B157" s="1374"/>
      <c r="C157" s="1375" t="s">
        <v>9816</v>
      </c>
      <c r="D157" s="1374"/>
      <c r="E157" s="328" t="s">
        <v>9817</v>
      </c>
      <c r="F157" s="157" t="s">
        <v>9818</v>
      </c>
      <c r="G157" s="158" t="s">
        <v>9819</v>
      </c>
      <c r="H157" s="327" t="s">
        <v>9820</v>
      </c>
      <c r="I157" s="158" t="s">
        <v>9821</v>
      </c>
      <c r="J157" s="327" t="s">
        <v>9822</v>
      </c>
      <c r="K157" s="328" t="s">
        <v>9823</v>
      </c>
      <c r="L157" s="159" t="s">
        <v>9824</v>
      </c>
      <c r="M157" s="224"/>
      <c r="N157" s="224"/>
    </row>
    <row r="158" spans="1:17" ht="20.100000000000001" customHeight="1" x14ac:dyDescent="0.2">
      <c r="A158" s="1360"/>
      <c r="B158" s="1361"/>
      <c r="C158" s="1362"/>
      <c r="D158" s="1361"/>
      <c r="E158" s="404"/>
      <c r="F158" s="295">
        <f>_xlfn.IFNA(VLOOKUP(A158&amp;C158,'TANKS Data'!$A$98:$E$169,3,FALSE),0)</f>
        <v>0</v>
      </c>
      <c r="G158" s="405"/>
      <c r="H158" s="295">
        <f>_xlfn.IFNA(VLOOKUP(A158&amp;C158,'TANKS Data'!$A$98:$E$169,4,FALSE),0)</f>
        <v>0</v>
      </c>
      <c r="I158" s="405"/>
      <c r="J158" s="295">
        <f>_xlfn.IFNA(VLOOKUP(A158&amp;C158,'TANKS Data'!$A$98:$E$169,5,FALSE),0)</f>
        <v>0</v>
      </c>
      <c r="K158" s="404"/>
      <c r="L158" s="296">
        <f>IF(OR($C$68="Domed/Covered external floating roof",$C$68="Internal Floating Roof",'TANKS Data'!AB96=0),'TANKS Data'!Z96,'TANKS Data'!Z96+('TANKS Data'!AA96*((0.7*'TANKS Calculations'!$E$77)^'TANKS Data'!AB96)))*E158</f>
        <v>0</v>
      </c>
    </row>
    <row r="159" spans="1:17" ht="20.100000000000001" customHeight="1" x14ac:dyDescent="0.2">
      <c r="A159" s="1360"/>
      <c r="B159" s="1361"/>
      <c r="C159" s="1362"/>
      <c r="D159" s="1361"/>
      <c r="E159" s="404"/>
      <c r="F159" s="295">
        <f>_xlfn.IFNA(VLOOKUP(A159&amp;C159,'TANKS Data'!$A$98:$E$169,3,FALSE),0)</f>
        <v>0</v>
      </c>
      <c r="G159" s="405"/>
      <c r="H159" s="295">
        <f>_xlfn.IFNA(VLOOKUP(A159&amp;C159,'TANKS Data'!$A$98:$E$169,4,FALSE),0)</f>
        <v>0</v>
      </c>
      <c r="I159" s="405"/>
      <c r="J159" s="295">
        <f>_xlfn.IFNA(VLOOKUP(A159&amp;C159,'TANKS Data'!$A$98:$E$169,5,FALSE),0)</f>
        <v>0</v>
      </c>
      <c r="K159" s="404"/>
      <c r="L159" s="296">
        <f>IF(OR($C$68="Domed/Covered external floating roof",$C$68="Internal Floating Roof",'TANKS Data'!AB97=0),'TANKS Data'!Z97,'TANKS Data'!Z97+('TANKS Data'!AA97*((0.7*'TANKS Calculations'!$E$77)^'TANKS Data'!AB97)))*E159</f>
        <v>0</v>
      </c>
    </row>
    <row r="160" spans="1:17" ht="20.100000000000001" customHeight="1" x14ac:dyDescent="0.2">
      <c r="A160" s="1360"/>
      <c r="B160" s="1361"/>
      <c r="C160" s="1362"/>
      <c r="D160" s="1361"/>
      <c r="E160" s="404"/>
      <c r="F160" s="295">
        <f>_xlfn.IFNA(VLOOKUP(A160&amp;C160,'TANKS Data'!$A$98:$E$169,3,FALSE),0)</f>
        <v>0</v>
      </c>
      <c r="G160" s="405"/>
      <c r="H160" s="295">
        <f>_xlfn.IFNA(VLOOKUP(A160&amp;C160,'TANKS Data'!$A$98:$E$169,4,FALSE),0)</f>
        <v>0</v>
      </c>
      <c r="I160" s="405"/>
      <c r="J160" s="295">
        <f>_xlfn.IFNA(VLOOKUP(A160&amp;C160,'TANKS Data'!$A$98:$E$169,5,FALSE),0)</f>
        <v>0</v>
      </c>
      <c r="K160" s="404"/>
      <c r="L160" s="296">
        <f>IF(OR($C$68="Domed/Covered external floating roof",$C$68="Internal Floating Roof",'TANKS Data'!AB98=0),'TANKS Data'!Z98,'TANKS Data'!Z98+('TANKS Data'!AA98*((0.7*'TANKS Calculations'!$E$77)^'TANKS Data'!AB98)))*E160</f>
        <v>0</v>
      </c>
    </row>
    <row r="161" spans="1:12" ht="20.100000000000001" customHeight="1" x14ac:dyDescent="0.2">
      <c r="A161" s="1360"/>
      <c r="B161" s="1361"/>
      <c r="C161" s="1362"/>
      <c r="D161" s="1361"/>
      <c r="E161" s="404"/>
      <c r="F161" s="295">
        <f>_xlfn.IFNA(VLOOKUP(A161&amp;C161,'TANKS Data'!$A$98:$E$169,3,FALSE),0)</f>
        <v>0</v>
      </c>
      <c r="G161" s="405"/>
      <c r="H161" s="295">
        <f>_xlfn.IFNA(VLOOKUP(A161&amp;C161,'TANKS Data'!$A$98:$E$169,4,FALSE),0)</f>
        <v>0</v>
      </c>
      <c r="I161" s="405"/>
      <c r="J161" s="295">
        <f>_xlfn.IFNA(VLOOKUP(A161&amp;C161,'TANKS Data'!$A$98:$E$169,5,FALSE),0)</f>
        <v>0</v>
      </c>
      <c r="K161" s="404"/>
      <c r="L161" s="296">
        <f>IF(OR($C$68="Domed/Covered external floating roof",$C$68="Internal Floating Roof",'TANKS Data'!AB99=0),'TANKS Data'!Z99,'TANKS Data'!Z99+('TANKS Data'!AA99*((0.7*'TANKS Calculations'!$E$77)^'TANKS Data'!AB99)))*E161</f>
        <v>0</v>
      </c>
    </row>
    <row r="162" spans="1:12" ht="20.100000000000001" customHeight="1" x14ac:dyDescent="0.2">
      <c r="A162" s="1360"/>
      <c r="B162" s="1361"/>
      <c r="C162" s="1362"/>
      <c r="D162" s="1361"/>
      <c r="E162" s="404"/>
      <c r="F162" s="295">
        <f>_xlfn.IFNA(VLOOKUP(A162&amp;C162,'TANKS Data'!$A$98:$E$169,3,FALSE),0)</f>
        <v>0</v>
      </c>
      <c r="G162" s="405"/>
      <c r="H162" s="295">
        <f>_xlfn.IFNA(VLOOKUP(A162&amp;C162,'TANKS Data'!$A$98:$E$169,4,FALSE),0)</f>
        <v>0</v>
      </c>
      <c r="I162" s="405"/>
      <c r="J162" s="295">
        <f>_xlfn.IFNA(VLOOKUP(A162&amp;C162,'TANKS Data'!$A$98:$E$169,5,FALSE),0)</f>
        <v>0</v>
      </c>
      <c r="K162" s="404"/>
      <c r="L162" s="296">
        <f>IF(OR($C$68="Domed/Covered external floating roof",$C$68="Internal Floating Roof",'TANKS Data'!AB100=0),'TANKS Data'!Z100,'TANKS Data'!Z100+('TANKS Data'!AA100*((0.7*'TANKS Calculations'!$E$77)^'TANKS Data'!AB100)))*E162</f>
        <v>0</v>
      </c>
    </row>
    <row r="163" spans="1:12" ht="20.100000000000001" customHeight="1" x14ac:dyDescent="0.2">
      <c r="A163" s="1360"/>
      <c r="B163" s="1361"/>
      <c r="C163" s="1362"/>
      <c r="D163" s="1361"/>
      <c r="E163" s="404"/>
      <c r="F163" s="295">
        <f>_xlfn.IFNA(VLOOKUP(A163&amp;C163,'TANKS Data'!$A$98:$E$169,3,FALSE),0)</f>
        <v>0</v>
      </c>
      <c r="G163" s="405"/>
      <c r="H163" s="295">
        <f>_xlfn.IFNA(VLOOKUP(A163&amp;C163,'TANKS Data'!$A$98:$E$169,4,FALSE),0)</f>
        <v>0</v>
      </c>
      <c r="I163" s="405"/>
      <c r="J163" s="295">
        <f>_xlfn.IFNA(VLOOKUP(A163&amp;C163,'TANKS Data'!$A$98:$E$169,5,FALSE),0)</f>
        <v>0</v>
      </c>
      <c r="K163" s="404"/>
      <c r="L163" s="296">
        <f>IF(OR($C$68="Domed/Covered external floating roof",$C$68="Internal Floating Roof",'TANKS Data'!AB101=0),'TANKS Data'!Z101,'TANKS Data'!Z101+('TANKS Data'!AA101*((0.7*'TANKS Calculations'!$E$77)^'TANKS Data'!AB101)))*E163</f>
        <v>0</v>
      </c>
    </row>
    <row r="164" spans="1:12" ht="20.100000000000001" customHeight="1" x14ac:dyDescent="0.2">
      <c r="A164" s="1360"/>
      <c r="B164" s="1361"/>
      <c r="C164" s="1362"/>
      <c r="D164" s="1361"/>
      <c r="E164" s="404"/>
      <c r="F164" s="295">
        <f>_xlfn.IFNA(VLOOKUP(A164&amp;C164,'TANKS Data'!$A$98:$E$169,3,FALSE),0)</f>
        <v>0</v>
      </c>
      <c r="G164" s="405"/>
      <c r="H164" s="295">
        <f>_xlfn.IFNA(VLOOKUP(A164&amp;C164,'TANKS Data'!$A$98:$E$169,4,FALSE),0)</f>
        <v>0</v>
      </c>
      <c r="I164" s="405"/>
      <c r="J164" s="295">
        <f>_xlfn.IFNA(VLOOKUP(A164&amp;C164,'TANKS Data'!$A$98:$E$169,5,FALSE),0)</f>
        <v>0</v>
      </c>
      <c r="K164" s="404"/>
      <c r="L164" s="296">
        <f>IF(OR($C$68="Domed/Covered external floating roof",$C$68="Internal Floating Roof",'TANKS Data'!AB102=0),'TANKS Data'!Z102,'TANKS Data'!Z102+('TANKS Data'!AA102*((0.7*'TANKS Calculations'!$E$77)^'TANKS Data'!AB102)))*E164</f>
        <v>0</v>
      </c>
    </row>
    <row r="165" spans="1:12" ht="20.100000000000001" customHeight="1" x14ac:dyDescent="0.2">
      <c r="A165" s="1360"/>
      <c r="B165" s="1361"/>
      <c r="C165" s="1362"/>
      <c r="D165" s="1361"/>
      <c r="E165" s="404"/>
      <c r="F165" s="295">
        <f>_xlfn.IFNA(VLOOKUP(A165&amp;C165,'TANKS Data'!$A$98:$E$169,3,FALSE),0)</f>
        <v>0</v>
      </c>
      <c r="G165" s="405"/>
      <c r="H165" s="295">
        <f>_xlfn.IFNA(VLOOKUP(A165&amp;C165,'TANKS Data'!$A$98:$E$169,4,FALSE),0)</f>
        <v>0</v>
      </c>
      <c r="I165" s="405"/>
      <c r="J165" s="295">
        <f>_xlfn.IFNA(VLOOKUP(A165&amp;C165,'TANKS Data'!$A$98:$E$169,5,FALSE),0)</f>
        <v>0</v>
      </c>
      <c r="K165" s="404"/>
      <c r="L165" s="296">
        <f>IF(OR($C$68="Domed/Covered external floating roof",$C$68="Internal Floating Roof",'TANKS Data'!AB103=0),'TANKS Data'!Z103,'TANKS Data'!Z103+('TANKS Data'!AA103*((0.7*'TANKS Calculations'!$E$77)^'TANKS Data'!AB103)))*E165</f>
        <v>0</v>
      </c>
    </row>
    <row r="166" spans="1:12" ht="20.100000000000001" customHeight="1" x14ac:dyDescent="0.2">
      <c r="A166" s="1360"/>
      <c r="B166" s="1361"/>
      <c r="C166" s="1362"/>
      <c r="D166" s="1361"/>
      <c r="E166" s="404"/>
      <c r="F166" s="295">
        <f>_xlfn.IFNA(VLOOKUP(A166&amp;C166,'TANKS Data'!$A$98:$E$169,3,FALSE),0)</f>
        <v>0</v>
      </c>
      <c r="G166" s="405"/>
      <c r="H166" s="295">
        <f>_xlfn.IFNA(VLOOKUP(A166&amp;C166,'TANKS Data'!$A$98:$E$169,4,FALSE),0)</f>
        <v>0</v>
      </c>
      <c r="I166" s="405"/>
      <c r="J166" s="295">
        <f>_xlfn.IFNA(VLOOKUP(A166&amp;C166,'TANKS Data'!$A$98:$E$169,5,FALSE),0)</f>
        <v>0</v>
      </c>
      <c r="K166" s="404"/>
      <c r="L166" s="296">
        <f>IF(OR($C$68="Domed/Covered external floating roof",$C$68="Internal Floating Roof",'TANKS Data'!AB104=0),'TANKS Data'!Z104,'TANKS Data'!Z104+('TANKS Data'!AA104*((0.7*'TANKS Calculations'!$E$77)^'TANKS Data'!AB104)))*E166</f>
        <v>0</v>
      </c>
    </row>
    <row r="167" spans="1:12" ht="20.100000000000001" customHeight="1" x14ac:dyDescent="0.2">
      <c r="A167" s="1360"/>
      <c r="B167" s="1361"/>
      <c r="C167" s="1362"/>
      <c r="D167" s="1361"/>
      <c r="E167" s="404"/>
      <c r="F167" s="295">
        <f>_xlfn.IFNA(VLOOKUP(A167&amp;C167,'TANKS Data'!$A$98:$E$169,3,FALSE),0)</f>
        <v>0</v>
      </c>
      <c r="G167" s="405"/>
      <c r="H167" s="295">
        <f>_xlfn.IFNA(VLOOKUP(A167&amp;C167,'TANKS Data'!$A$98:$E$169,4,FALSE),0)</f>
        <v>0</v>
      </c>
      <c r="I167" s="405"/>
      <c r="J167" s="295">
        <f>_xlfn.IFNA(VLOOKUP(A167&amp;C167,'TANKS Data'!$A$98:$E$169,5,FALSE),0)</f>
        <v>0</v>
      </c>
      <c r="K167" s="404"/>
      <c r="L167" s="296">
        <f>IF(OR($C$68="Domed/Covered external floating roof",$C$68="Internal Floating Roof",'TANKS Data'!AB105=0),'TANKS Data'!Z105,'TANKS Data'!Z105+('TANKS Data'!AA105*((0.7*'TANKS Calculations'!$E$77)^'TANKS Data'!AB105)))*E167</f>
        <v>0</v>
      </c>
    </row>
    <row r="168" spans="1:12" ht="20.100000000000001" customHeight="1" x14ac:dyDescent="0.2">
      <c r="A168" s="1360"/>
      <c r="B168" s="1361"/>
      <c r="C168" s="1362"/>
      <c r="D168" s="1361"/>
      <c r="E168" s="404"/>
      <c r="F168" s="295">
        <f>_xlfn.IFNA(VLOOKUP(A168&amp;C168,'TANKS Data'!$A$98:$E$169,3,FALSE),0)</f>
        <v>0</v>
      </c>
      <c r="G168" s="405"/>
      <c r="H168" s="295">
        <f>_xlfn.IFNA(VLOOKUP(A168&amp;C168,'TANKS Data'!$A$98:$E$169,4,FALSE),0)</f>
        <v>0</v>
      </c>
      <c r="I168" s="405"/>
      <c r="J168" s="295">
        <f>_xlfn.IFNA(VLOOKUP(A168&amp;C168,'TANKS Data'!$A$98:$E$169,5,FALSE),0)</f>
        <v>0</v>
      </c>
      <c r="K168" s="404"/>
      <c r="L168" s="296">
        <f>IF(OR($C$68="Domed/Covered external floating roof",$C$68="Internal Floating Roof",'TANKS Data'!AB106=0),'TANKS Data'!Z106,'TANKS Data'!Z106+('TANKS Data'!AA106*((0.7*'TANKS Calculations'!$E$77)^'TANKS Data'!AB106)))*E168</f>
        <v>0</v>
      </c>
    </row>
    <row r="169" spans="1:12" ht="20.100000000000001" customHeight="1" x14ac:dyDescent="0.2">
      <c r="A169" s="1360"/>
      <c r="B169" s="1361"/>
      <c r="C169" s="1362"/>
      <c r="D169" s="1361"/>
      <c r="E169" s="404"/>
      <c r="F169" s="295">
        <f>_xlfn.IFNA(VLOOKUP(A169&amp;C169,'TANKS Data'!$A$98:$E$169,3,FALSE),0)</f>
        <v>0</v>
      </c>
      <c r="G169" s="405"/>
      <c r="H169" s="295">
        <f>_xlfn.IFNA(VLOOKUP(A169&amp;C169,'TANKS Data'!$A$98:$E$169,4,FALSE),0)</f>
        <v>0</v>
      </c>
      <c r="I169" s="405"/>
      <c r="J169" s="295">
        <f>_xlfn.IFNA(VLOOKUP(A169&amp;C169,'TANKS Data'!$A$98:$E$169,5,FALSE),0)</f>
        <v>0</v>
      </c>
      <c r="K169" s="404"/>
      <c r="L169" s="296">
        <f>IF(OR($C$68="Domed/Covered external floating roof",$C$68="Internal Floating Roof",'TANKS Data'!AB107=0),'TANKS Data'!Z107,'TANKS Data'!Z107+('TANKS Data'!AA107*((0.7*'TANKS Calculations'!$E$77)^'TANKS Data'!AB107)))*E169</f>
        <v>0</v>
      </c>
    </row>
    <row r="170" spans="1:12" ht="20.100000000000001" customHeight="1" x14ac:dyDescent="0.2">
      <c r="A170" s="1360"/>
      <c r="B170" s="1361"/>
      <c r="C170" s="1362"/>
      <c r="D170" s="1361"/>
      <c r="E170" s="404"/>
      <c r="F170" s="295">
        <f>_xlfn.IFNA(VLOOKUP(A170&amp;C170,'TANKS Data'!$A$98:$E$169,3,FALSE),0)</f>
        <v>0</v>
      </c>
      <c r="G170" s="405"/>
      <c r="H170" s="295">
        <f>_xlfn.IFNA(VLOOKUP(A170&amp;C170,'TANKS Data'!$A$98:$E$169,4,FALSE),0)</f>
        <v>0</v>
      </c>
      <c r="I170" s="405"/>
      <c r="J170" s="295">
        <f>_xlfn.IFNA(VLOOKUP(A170&amp;C170,'TANKS Data'!$A$98:$E$169,5,FALSE),0)</f>
        <v>0</v>
      </c>
      <c r="K170" s="404"/>
      <c r="L170" s="296">
        <f>IF(OR($C$68="Domed/Covered external floating roof",$C$68="Internal Floating Roof",'TANKS Data'!AB108=0),'TANKS Data'!Z108,'TANKS Data'!Z108+('TANKS Data'!AA108*((0.7*'TANKS Calculations'!$E$77)^'TANKS Data'!AB108)))*E170</f>
        <v>0</v>
      </c>
    </row>
    <row r="171" spans="1:12" ht="20.100000000000001" customHeight="1" x14ac:dyDescent="0.2">
      <c r="A171" s="1360"/>
      <c r="B171" s="1361"/>
      <c r="C171" s="1362"/>
      <c r="D171" s="1361"/>
      <c r="E171" s="404"/>
      <c r="F171" s="295">
        <f>_xlfn.IFNA(VLOOKUP(A171&amp;C171,'TANKS Data'!$A$98:$E$169,3,FALSE),0)</f>
        <v>0</v>
      </c>
      <c r="G171" s="405"/>
      <c r="H171" s="295">
        <f>_xlfn.IFNA(VLOOKUP(A171&amp;C171,'TANKS Data'!$A$98:$E$169,4,FALSE),0)</f>
        <v>0</v>
      </c>
      <c r="I171" s="405"/>
      <c r="J171" s="295">
        <f>_xlfn.IFNA(VLOOKUP(A171&amp;C171,'TANKS Data'!$A$98:$E$169,5,FALSE),0)</f>
        <v>0</v>
      </c>
      <c r="K171" s="404"/>
      <c r="L171" s="296">
        <f>IF(OR($C$68="Domed/Covered external floating roof",$C$68="Internal Floating Roof",'TANKS Data'!AB109=0),'TANKS Data'!Z109,'TANKS Data'!Z109+('TANKS Data'!AA109*((0.7*'TANKS Calculations'!$E$77)^'TANKS Data'!AB109)))*E171</f>
        <v>0</v>
      </c>
    </row>
    <row r="172" spans="1:12" ht="20.100000000000001" customHeight="1" x14ac:dyDescent="0.2">
      <c r="A172" s="1360"/>
      <c r="B172" s="1361"/>
      <c r="C172" s="1362"/>
      <c r="D172" s="1361"/>
      <c r="E172" s="404"/>
      <c r="F172" s="295">
        <f>_xlfn.IFNA(VLOOKUP(A172&amp;C172,'TANKS Data'!$A$98:$E$169,3,FALSE),0)</f>
        <v>0</v>
      </c>
      <c r="G172" s="405"/>
      <c r="H172" s="295">
        <f>_xlfn.IFNA(VLOOKUP(A172&amp;C172,'TANKS Data'!$A$98:$E$169,4,FALSE),0)</f>
        <v>0</v>
      </c>
      <c r="I172" s="405"/>
      <c r="J172" s="295">
        <f>_xlfn.IFNA(VLOOKUP(A172&amp;C172,'TANKS Data'!$A$98:$E$169,5,FALSE),0)</f>
        <v>0</v>
      </c>
      <c r="K172" s="404"/>
      <c r="L172" s="296">
        <f>IF(OR($C$68="Domed/Covered external floating roof",$C$68="Internal Floating Roof",'TANKS Data'!AB110=0),'TANKS Data'!Z110,'TANKS Data'!Z110+('TANKS Data'!AA110*((0.7*'TANKS Calculations'!$E$77)^'TANKS Data'!AB110)))*E172</f>
        <v>0</v>
      </c>
    </row>
    <row r="173" spans="1:12" ht="20.100000000000001" customHeight="1" x14ac:dyDescent="0.2">
      <c r="A173" s="1360"/>
      <c r="B173" s="1361"/>
      <c r="C173" s="1362"/>
      <c r="D173" s="1361"/>
      <c r="E173" s="404"/>
      <c r="F173" s="295">
        <f>_xlfn.IFNA(VLOOKUP(A173&amp;C173,'TANKS Data'!$A$98:$E$169,3,FALSE),0)</f>
        <v>0</v>
      </c>
      <c r="G173" s="405"/>
      <c r="H173" s="295">
        <f>_xlfn.IFNA(VLOOKUP(A173&amp;C173,'TANKS Data'!$A$98:$E$169,4,FALSE),0)</f>
        <v>0</v>
      </c>
      <c r="I173" s="405"/>
      <c r="J173" s="295">
        <f>_xlfn.IFNA(VLOOKUP(A173&amp;C173,'TANKS Data'!$A$98:$E$169,5,FALSE),0)</f>
        <v>0</v>
      </c>
      <c r="K173" s="404"/>
      <c r="L173" s="296">
        <f>IF(OR($C$68="Domed/Covered external floating roof",$C$68="Internal Floating Roof",'TANKS Data'!AB111=0),'TANKS Data'!Z111,'TANKS Data'!Z111+('TANKS Data'!AA111*((0.7*'TANKS Calculations'!$E$77)^'TANKS Data'!AB111)))*E173</f>
        <v>0</v>
      </c>
    </row>
    <row r="174" spans="1:12" ht="20.100000000000001" customHeight="1" x14ac:dyDescent="0.2">
      <c r="A174" s="1360"/>
      <c r="B174" s="1361"/>
      <c r="C174" s="1362"/>
      <c r="D174" s="1361"/>
      <c r="E174" s="404"/>
      <c r="F174" s="295">
        <f>_xlfn.IFNA(VLOOKUP(A174&amp;C174,'TANKS Data'!$A$98:$E$169,3,FALSE),0)</f>
        <v>0</v>
      </c>
      <c r="G174" s="405"/>
      <c r="H174" s="295">
        <f>_xlfn.IFNA(VLOOKUP(A174&amp;C174,'TANKS Data'!$A$98:$E$169,4,FALSE),0)</f>
        <v>0</v>
      </c>
      <c r="I174" s="405"/>
      <c r="J174" s="295">
        <f>_xlfn.IFNA(VLOOKUP(A174&amp;C174,'TANKS Data'!$A$98:$E$169,5,FALSE),0)</f>
        <v>0</v>
      </c>
      <c r="K174" s="404"/>
      <c r="L174" s="296">
        <f>IF(OR($C$68="Domed/Covered external floating roof",$C$68="Internal Floating Roof",'TANKS Data'!AB112=0),'TANKS Data'!Z112,'TANKS Data'!Z112+('TANKS Data'!AA112*((0.7*'TANKS Calculations'!$E$77)^'TANKS Data'!AB112)))*E174</f>
        <v>0</v>
      </c>
    </row>
    <row r="175" spans="1:12" ht="20.100000000000001" customHeight="1" x14ac:dyDescent="0.2">
      <c r="A175" s="1360"/>
      <c r="B175" s="1361"/>
      <c r="C175" s="1362"/>
      <c r="D175" s="1361"/>
      <c r="E175" s="404"/>
      <c r="F175" s="295">
        <f>_xlfn.IFNA(VLOOKUP(A175&amp;C175,'TANKS Data'!$A$98:$E$169,3,FALSE),0)</f>
        <v>0</v>
      </c>
      <c r="G175" s="405"/>
      <c r="H175" s="295">
        <f>_xlfn.IFNA(VLOOKUP(A175&amp;C175,'TANKS Data'!$A$98:$E$169,4,FALSE),0)</f>
        <v>0</v>
      </c>
      <c r="I175" s="405"/>
      <c r="J175" s="295">
        <f>_xlfn.IFNA(VLOOKUP(A175&amp;C175,'TANKS Data'!$A$98:$E$169,5,FALSE),0)</f>
        <v>0</v>
      </c>
      <c r="K175" s="404"/>
      <c r="L175" s="296">
        <f>IF(OR($C$68="Domed/Covered external floating roof",$C$68="Internal Floating Roof",'TANKS Data'!AB113=0),'TANKS Data'!Z113,'TANKS Data'!Z113+('TANKS Data'!AA113*((0.7*'TANKS Calculations'!$E$77)^'TANKS Data'!AB113)))*E175</f>
        <v>0</v>
      </c>
    </row>
    <row r="176" spans="1:12" ht="20.100000000000001" customHeight="1" x14ac:dyDescent="0.2">
      <c r="A176" s="1360"/>
      <c r="B176" s="1361"/>
      <c r="C176" s="1362"/>
      <c r="D176" s="1361"/>
      <c r="E176" s="404"/>
      <c r="F176" s="295">
        <f>_xlfn.IFNA(VLOOKUP(A176&amp;C176,'TANKS Data'!$A$98:$E$169,3,FALSE),0)</f>
        <v>0</v>
      </c>
      <c r="G176" s="405"/>
      <c r="H176" s="295">
        <f>_xlfn.IFNA(VLOOKUP(A176&amp;C176,'TANKS Data'!$A$98:$E$169,4,FALSE),0)</f>
        <v>0</v>
      </c>
      <c r="I176" s="405"/>
      <c r="J176" s="295">
        <f>_xlfn.IFNA(VLOOKUP(A176&amp;C176,'TANKS Data'!$A$98:$E$169,5,FALSE),0)</f>
        <v>0</v>
      </c>
      <c r="K176" s="404"/>
      <c r="L176" s="296">
        <f>IF(OR($C$68="Domed/Covered external floating roof",$C$68="Internal Floating Roof",'TANKS Data'!AB114=0),'TANKS Data'!Z114,'TANKS Data'!Z114+('TANKS Data'!AA114*((0.7*'TANKS Calculations'!$E$77)^'TANKS Data'!AB114)))*E176</f>
        <v>0</v>
      </c>
    </row>
    <row r="177" spans="1:17" ht="20.100000000000001" customHeight="1" thickBot="1" x14ac:dyDescent="0.25">
      <c r="A177" s="1349"/>
      <c r="B177" s="1350"/>
      <c r="C177" s="1351"/>
      <c r="D177" s="1350"/>
      <c r="E177" s="398"/>
      <c r="F177" s="297">
        <f>_xlfn.IFNA(VLOOKUP(A177&amp;C177,'TANKS Data'!$A$98:$E$169,3,FALSE),0)</f>
        <v>0</v>
      </c>
      <c r="G177" s="406"/>
      <c r="H177" s="297">
        <f>_xlfn.IFNA(VLOOKUP(A177&amp;C177,'TANKS Data'!$A$98:$E$169,4,FALSE),0)</f>
        <v>0</v>
      </c>
      <c r="I177" s="406"/>
      <c r="J177" s="297">
        <f>_xlfn.IFNA(VLOOKUP(A177&amp;C177,'TANKS Data'!$A$98:$E$169,5,FALSE),0)</f>
        <v>0</v>
      </c>
      <c r="K177" s="398"/>
      <c r="L177" s="298">
        <f>IF(OR($C$68="Domed/Covered external floating roof",$C$68="Internal Floating Roof",'TANKS Data'!AB115=0),'TANKS Data'!Z115,'TANKS Data'!Z115+('TANKS Data'!AA115*((0.7*'TANKS Calculations'!$E$77)^'TANKS Data'!AB115)))*E177</f>
        <v>0</v>
      </c>
    </row>
    <row r="178" spans="1:17" ht="20.100000000000001" customHeight="1" thickBot="1" x14ac:dyDescent="0.35">
      <c r="A178" s="1355" t="s">
        <v>9825</v>
      </c>
      <c r="B178" s="1356"/>
      <c r="C178" s="1357" t="s">
        <v>9826</v>
      </c>
      <c r="D178" s="1357"/>
      <c r="E178" s="326" t="s">
        <v>9826</v>
      </c>
      <c r="F178" s="326" t="s">
        <v>9826</v>
      </c>
      <c r="G178" s="326" t="s">
        <v>9826</v>
      </c>
      <c r="H178" s="326" t="s">
        <v>9826</v>
      </c>
      <c r="I178" s="326" t="s">
        <v>9826</v>
      </c>
      <c r="J178" s="326" t="s">
        <v>9826</v>
      </c>
      <c r="K178" s="160" t="s">
        <v>9826</v>
      </c>
      <c r="L178" s="299">
        <f>SUM(L158:L177)</f>
        <v>0</v>
      </c>
    </row>
    <row r="179" spans="1:17" ht="30" customHeight="1" thickBot="1" x14ac:dyDescent="0.25">
      <c r="A179" s="1377" t="s">
        <v>8411</v>
      </c>
      <c r="B179" s="1377"/>
      <c r="C179" s="1377"/>
      <c r="D179" s="1377"/>
      <c r="E179" s="224"/>
      <c r="F179" s="224"/>
      <c r="G179" s="224"/>
      <c r="H179" s="224"/>
    </row>
    <row r="180" spans="1:17" ht="60" customHeight="1" thickBot="1" x14ac:dyDescent="0.3">
      <c r="A180" s="1352" t="s">
        <v>9801</v>
      </c>
      <c r="B180" s="1358"/>
      <c r="C180" s="1358"/>
      <c r="D180" s="1359"/>
      <c r="E180" s="224"/>
      <c r="F180" s="224"/>
      <c r="G180" s="224"/>
      <c r="H180" s="224"/>
      <c r="I180" s="224"/>
      <c r="J180" s="224"/>
      <c r="K180" s="224"/>
      <c r="L180" s="224"/>
      <c r="M180" s="224"/>
      <c r="N180" s="224"/>
      <c r="O180" s="224"/>
      <c r="P180" s="224"/>
      <c r="Q180" s="224"/>
    </row>
    <row r="181" spans="1:17" ht="20.100000000000001" customHeight="1" thickBot="1" x14ac:dyDescent="0.3">
      <c r="A181" s="152" t="s">
        <v>9685</v>
      </c>
      <c r="B181" s="153" t="s">
        <v>9686</v>
      </c>
      <c r="C181" s="154" t="s">
        <v>9687</v>
      </c>
      <c r="D181" s="155" t="s">
        <v>9688</v>
      </c>
      <c r="E181" s="224"/>
      <c r="F181" s="224"/>
      <c r="G181" s="224"/>
      <c r="H181" s="224"/>
      <c r="I181" s="224"/>
      <c r="J181" s="224"/>
      <c r="K181" s="224"/>
      <c r="L181" s="224"/>
      <c r="M181" s="224"/>
      <c r="N181" s="224"/>
      <c r="O181" s="224"/>
      <c r="P181" s="224"/>
      <c r="Q181" s="224"/>
    </row>
    <row r="182" spans="1:17" ht="20.100000000000001" customHeight="1" x14ac:dyDescent="0.2">
      <c r="A182" s="357" t="s">
        <v>9827</v>
      </c>
      <c r="B182" s="245">
        <f>L178</f>
        <v>0</v>
      </c>
      <c r="C182" s="375"/>
      <c r="D182" s="246" t="s">
        <v>9828</v>
      </c>
      <c r="E182" s="224"/>
      <c r="F182" s="224"/>
      <c r="G182" s="224"/>
      <c r="H182" s="224"/>
      <c r="I182" s="224"/>
      <c r="J182" s="224"/>
      <c r="K182" s="224"/>
      <c r="L182" s="224"/>
      <c r="M182" s="224"/>
      <c r="N182" s="224"/>
      <c r="O182" s="224"/>
      <c r="P182" s="224"/>
      <c r="Q182" s="224"/>
    </row>
    <row r="183" spans="1:17" ht="20.100000000000001" customHeight="1" x14ac:dyDescent="0.2">
      <c r="A183" s="353" t="s">
        <v>9829</v>
      </c>
      <c r="B183" s="300" t="s">
        <v>8708</v>
      </c>
      <c r="C183" s="407"/>
      <c r="D183" s="249" t="s">
        <v>9689</v>
      </c>
      <c r="E183" s="224"/>
      <c r="F183" s="224"/>
      <c r="G183" s="224"/>
      <c r="H183" s="224"/>
      <c r="I183" s="224"/>
      <c r="J183" s="224"/>
      <c r="K183" s="224"/>
      <c r="L183" s="224"/>
      <c r="M183" s="224"/>
      <c r="N183" s="224"/>
      <c r="O183" s="224"/>
      <c r="P183" s="224"/>
      <c r="Q183" s="224"/>
    </row>
    <row r="184" spans="1:17" ht="20.100000000000001" customHeight="1" x14ac:dyDescent="0.2">
      <c r="A184" s="351" t="s">
        <v>9830</v>
      </c>
      <c r="B184" s="291">
        <f>PI()*('TANKS Calculations'!E8^2)/4</f>
        <v>0</v>
      </c>
      <c r="C184" s="397"/>
      <c r="D184" s="259" t="s">
        <v>9831</v>
      </c>
      <c r="E184" s="224"/>
      <c r="F184" s="224"/>
      <c r="G184" s="224"/>
      <c r="H184" s="224"/>
      <c r="I184" s="224"/>
      <c r="J184" s="224"/>
      <c r="K184" s="224"/>
      <c r="L184" s="224"/>
      <c r="M184" s="224"/>
      <c r="N184" s="224"/>
      <c r="O184" s="224"/>
      <c r="P184" s="224"/>
      <c r="Q184" s="224"/>
    </row>
    <row r="185" spans="1:17" ht="20.100000000000001" customHeight="1" x14ac:dyDescent="0.2">
      <c r="A185" s="351" t="s">
        <v>9832</v>
      </c>
      <c r="B185" s="301" t="s">
        <v>8708</v>
      </c>
      <c r="C185" s="397"/>
      <c r="D185" s="259" t="s">
        <v>9707</v>
      </c>
      <c r="E185" s="224"/>
      <c r="F185" s="224"/>
      <c r="G185" s="224"/>
      <c r="H185" s="224"/>
      <c r="I185" s="224"/>
      <c r="J185" s="224"/>
      <c r="K185" s="224"/>
      <c r="L185" s="224"/>
      <c r="M185" s="224"/>
      <c r="N185" s="224"/>
      <c r="O185" s="224"/>
      <c r="P185" s="224"/>
      <c r="Q185" s="224"/>
    </row>
    <row r="186" spans="1:17" ht="45" customHeight="1" x14ac:dyDescent="0.2">
      <c r="A186" s="358" t="s">
        <v>9833</v>
      </c>
      <c r="B186" s="301" t="s">
        <v>8708</v>
      </c>
      <c r="C186" s="402"/>
      <c r="D186" s="259" t="s">
        <v>9689</v>
      </c>
      <c r="E186" s="224"/>
      <c r="F186" s="224"/>
      <c r="G186" s="224"/>
      <c r="H186" s="224"/>
      <c r="I186" s="224"/>
      <c r="J186" s="224"/>
      <c r="K186" s="224"/>
      <c r="L186" s="224"/>
      <c r="M186" s="224"/>
      <c r="N186" s="224"/>
      <c r="O186" s="224"/>
      <c r="P186" s="224"/>
      <c r="Q186" s="224"/>
    </row>
    <row r="187" spans="1:17" ht="30" customHeight="1" x14ac:dyDescent="0.2">
      <c r="A187" s="256" t="s">
        <v>9834</v>
      </c>
      <c r="B187" s="301" t="s">
        <v>8708</v>
      </c>
      <c r="C187" s="397"/>
      <c r="D187" s="259" t="s">
        <v>9707</v>
      </c>
      <c r="E187" s="224"/>
      <c r="F187" s="224"/>
      <c r="G187" s="224"/>
      <c r="H187" s="224"/>
      <c r="I187" s="224"/>
      <c r="J187" s="224"/>
      <c r="K187" s="224"/>
      <c r="L187" s="224"/>
      <c r="M187" s="224"/>
      <c r="N187" s="224"/>
      <c r="O187" s="224"/>
      <c r="P187" s="224"/>
      <c r="Q187" s="224"/>
    </row>
    <row r="188" spans="1:17" ht="20.100000000000001" customHeight="1" x14ac:dyDescent="0.35">
      <c r="A188" s="256" t="s">
        <v>9835</v>
      </c>
      <c r="B188" s="291">
        <f>IF(ISBLANK(C185),_xlfn.IFNA(VLOOKUP(C187,'TANKS Data'!B226:C230,2,FALSE),0),'TANKS Calculations'!E86/'TANKS Calculations'!E85)</f>
        <v>0</v>
      </c>
      <c r="C188" s="397"/>
      <c r="D188" s="259" t="s">
        <v>9836</v>
      </c>
      <c r="E188" s="224"/>
      <c r="F188" s="224"/>
      <c r="G188" s="224"/>
      <c r="H188" s="224"/>
      <c r="I188" s="224"/>
      <c r="J188" s="224"/>
      <c r="K188" s="224"/>
      <c r="L188" s="224"/>
      <c r="M188" s="224"/>
      <c r="N188" s="224"/>
      <c r="O188" s="224"/>
      <c r="P188" s="224"/>
      <c r="Q188" s="224"/>
    </row>
    <row r="189" spans="1:17" ht="35.1" customHeight="1" thickBot="1" x14ac:dyDescent="0.25">
      <c r="A189" s="262" t="s">
        <v>9837</v>
      </c>
      <c r="B189" s="263">
        <v>0.14000000000000001</v>
      </c>
      <c r="C189" s="385"/>
      <c r="D189" s="264" t="s">
        <v>9804</v>
      </c>
      <c r="E189" s="224"/>
      <c r="F189" s="224"/>
      <c r="G189" s="224"/>
      <c r="H189" s="224"/>
      <c r="I189" s="224"/>
      <c r="J189" s="224"/>
      <c r="K189" s="224"/>
      <c r="L189" s="224"/>
      <c r="M189" s="224"/>
      <c r="N189" s="224"/>
      <c r="O189" s="224"/>
      <c r="P189" s="224"/>
      <c r="Q189" s="224"/>
    </row>
    <row r="190" spans="1:17" ht="30" customHeight="1" x14ac:dyDescent="0.2">
      <c r="A190" s="360" t="s">
        <v>10005</v>
      </c>
      <c r="B190" s="300" t="s">
        <v>8708</v>
      </c>
      <c r="C190" s="408"/>
      <c r="D190" s="249" t="s">
        <v>9689</v>
      </c>
      <c r="E190" s="224"/>
      <c r="F190" s="224"/>
      <c r="G190" s="224"/>
      <c r="H190" s="224"/>
      <c r="I190" s="224"/>
      <c r="J190" s="224"/>
      <c r="K190" s="224"/>
      <c r="L190" s="224"/>
      <c r="M190" s="224"/>
      <c r="N190" s="224"/>
      <c r="O190" s="224"/>
      <c r="P190" s="224"/>
      <c r="Q190" s="224"/>
    </row>
    <row r="191" spans="1:17" ht="50.1" customHeight="1" x14ac:dyDescent="0.2">
      <c r="A191" s="256" t="s">
        <v>9838</v>
      </c>
      <c r="B191" s="258">
        <f>'TANKS Calculations'!E51</f>
        <v>0</v>
      </c>
      <c r="C191" s="383"/>
      <c r="D191" s="259" t="s">
        <v>8867</v>
      </c>
      <c r="E191" s="224"/>
      <c r="F191" s="224"/>
      <c r="G191" s="224"/>
      <c r="H191" s="224"/>
      <c r="I191" s="224"/>
      <c r="J191" s="224"/>
      <c r="K191" s="224"/>
      <c r="L191" s="224"/>
      <c r="M191" s="224"/>
      <c r="N191" s="224"/>
      <c r="O191" s="224"/>
      <c r="P191" s="224"/>
      <c r="Q191" s="224"/>
    </row>
    <row r="192" spans="1:17" ht="50.1" customHeight="1" x14ac:dyDescent="0.2">
      <c r="A192" s="256" t="s">
        <v>9839</v>
      </c>
      <c r="B192" s="258">
        <f>'TANKS Calculations'!E48</f>
        <v>0</v>
      </c>
      <c r="C192" s="383"/>
      <c r="D192" s="259" t="s">
        <v>9754</v>
      </c>
      <c r="E192" s="224"/>
      <c r="F192" s="224"/>
      <c r="G192" s="224"/>
      <c r="H192" s="224"/>
      <c r="I192" s="224"/>
      <c r="J192" s="224"/>
      <c r="K192" s="224"/>
      <c r="L192" s="224"/>
      <c r="M192" s="224"/>
      <c r="N192" s="224"/>
      <c r="O192" s="224"/>
      <c r="P192" s="224"/>
      <c r="Q192" s="224"/>
    </row>
    <row r="193" spans="1:17" ht="20.100000000000001" customHeight="1" x14ac:dyDescent="0.2">
      <c r="A193" s="225"/>
      <c r="B193" s="258">
        <f>'TANKS Calculations'!E94+459.67</f>
        <v>459.67</v>
      </c>
      <c r="C193" s="383"/>
      <c r="D193" s="259" t="s">
        <v>9755</v>
      </c>
      <c r="E193" s="224"/>
      <c r="F193" s="224"/>
      <c r="G193" s="224"/>
      <c r="H193" s="224"/>
      <c r="I193" s="224"/>
      <c r="J193" s="224"/>
      <c r="K193" s="224"/>
      <c r="L193" s="224"/>
      <c r="M193" s="224"/>
      <c r="N193" s="224"/>
      <c r="O193" s="224"/>
      <c r="P193" s="224"/>
      <c r="Q193" s="224"/>
    </row>
    <row r="194" spans="1:17" ht="50.1" customHeight="1" x14ac:dyDescent="0.2">
      <c r="A194" s="256" t="s">
        <v>9840</v>
      </c>
      <c r="B194" s="258">
        <f>'TANKS Calculations'!E76</f>
        <v>0</v>
      </c>
      <c r="C194" s="383"/>
      <c r="D194" s="259" t="s">
        <v>9795</v>
      </c>
      <c r="E194" s="224"/>
      <c r="F194" s="224"/>
      <c r="G194" s="224"/>
      <c r="H194" s="224"/>
      <c r="I194" s="224"/>
      <c r="J194" s="224"/>
      <c r="K194" s="224"/>
      <c r="L194" s="224"/>
      <c r="M194" s="224"/>
      <c r="N194" s="224"/>
      <c r="O194" s="224"/>
      <c r="P194" s="224"/>
      <c r="Q194" s="224"/>
    </row>
    <row r="195" spans="1:17" ht="30" customHeight="1" thickBot="1" x14ac:dyDescent="0.25">
      <c r="A195" s="262" t="s">
        <v>9841</v>
      </c>
      <c r="B195" s="263">
        <f>IFERROR(('TANKS Calculations'!E93/'TANKS Calculations'!E3)/((1+(1-('TANKS Calculations'!E93/'TANKS Calculations'!E3))^0.5)^2),0)</f>
        <v>0</v>
      </c>
      <c r="C195" s="385"/>
      <c r="D195" s="264" t="s">
        <v>9689</v>
      </c>
      <c r="E195" s="224"/>
      <c r="F195" s="224"/>
      <c r="G195" s="224"/>
      <c r="H195" s="224"/>
      <c r="I195" s="224"/>
      <c r="J195" s="224"/>
      <c r="K195" s="224"/>
      <c r="L195" s="224"/>
      <c r="M195" s="224"/>
      <c r="N195" s="224"/>
      <c r="O195" s="224"/>
      <c r="P195" s="224"/>
      <c r="Q195" s="224"/>
    </row>
    <row r="196" spans="1:17" ht="20.100000000000001" customHeight="1" thickBot="1" x14ac:dyDescent="0.3">
      <c r="A196" s="1352" t="s">
        <v>9842</v>
      </c>
      <c r="B196" s="1358"/>
      <c r="C196" s="1358"/>
      <c r="D196" s="1359"/>
      <c r="E196" s="224"/>
      <c r="F196" s="224"/>
      <c r="G196" s="224"/>
      <c r="H196" s="224"/>
      <c r="I196" s="224"/>
      <c r="J196" s="224"/>
      <c r="K196" s="224"/>
      <c r="L196" s="224"/>
      <c r="M196" s="224"/>
      <c r="N196" s="224"/>
      <c r="O196" s="224"/>
      <c r="P196" s="224"/>
      <c r="Q196" s="224"/>
    </row>
    <row r="197" spans="1:17" ht="20.100000000000001" customHeight="1" thickBot="1" x14ac:dyDescent="0.3">
      <c r="A197" s="152" t="s">
        <v>9685</v>
      </c>
      <c r="B197" s="153" t="s">
        <v>9686</v>
      </c>
      <c r="C197" s="154" t="s">
        <v>9687</v>
      </c>
      <c r="D197" s="155" t="s">
        <v>9688</v>
      </c>
      <c r="E197" s="224"/>
      <c r="F197" s="224"/>
      <c r="G197" s="224"/>
      <c r="H197" s="224"/>
      <c r="I197" s="224"/>
      <c r="J197" s="224"/>
      <c r="K197" s="224"/>
      <c r="L197" s="224"/>
      <c r="M197" s="224"/>
      <c r="N197" s="224"/>
      <c r="O197" s="224"/>
      <c r="P197" s="224"/>
      <c r="Q197" s="224"/>
    </row>
    <row r="198" spans="1:17" ht="20.100000000000001" customHeight="1" x14ac:dyDescent="0.2">
      <c r="A198" s="353" t="s">
        <v>9843</v>
      </c>
      <c r="B198" s="300" t="s">
        <v>8708</v>
      </c>
      <c r="C198" s="391"/>
      <c r="D198" s="249" t="s">
        <v>9707</v>
      </c>
      <c r="E198" s="224"/>
      <c r="F198" s="224"/>
      <c r="G198" s="224"/>
      <c r="H198" s="224"/>
      <c r="I198" s="224"/>
      <c r="J198" s="224"/>
      <c r="K198" s="224"/>
      <c r="L198" s="224"/>
      <c r="M198" s="224"/>
      <c r="N198" s="224"/>
      <c r="O198" s="224"/>
      <c r="P198" s="224"/>
      <c r="Q198" s="224"/>
    </row>
    <row r="199" spans="1:17" ht="20.100000000000001" customHeight="1" x14ac:dyDescent="0.2">
      <c r="A199" s="351" t="s">
        <v>9844</v>
      </c>
      <c r="B199" s="291">
        <f>ROUND('TANKS Calculations'!E15,0)</f>
        <v>0</v>
      </c>
      <c r="C199" s="383"/>
      <c r="D199" s="259" t="s">
        <v>9845</v>
      </c>
      <c r="E199" s="224"/>
      <c r="F199" s="224"/>
      <c r="G199" s="224"/>
      <c r="H199" s="224"/>
      <c r="I199" s="224"/>
      <c r="J199" s="224"/>
      <c r="K199" s="224"/>
      <c r="L199" s="224"/>
      <c r="M199" s="224"/>
      <c r="N199" s="224"/>
      <c r="O199" s="224"/>
      <c r="P199" s="224"/>
      <c r="Q199" s="224"/>
    </row>
    <row r="200" spans="1:17" ht="20.100000000000001" customHeight="1" x14ac:dyDescent="0.2">
      <c r="A200" s="354" t="s">
        <v>9792</v>
      </c>
      <c r="B200" s="252">
        <f>IFERROR('TANKS Calculations'!E96*'TANKS Calculations'!E93/(10.731*'TANKS Calculations'!E95),0)</f>
        <v>0</v>
      </c>
      <c r="C200" s="379"/>
      <c r="D200" s="227" t="s">
        <v>9793</v>
      </c>
      <c r="E200" s="224"/>
      <c r="F200" s="224"/>
      <c r="G200" s="224"/>
      <c r="H200" s="224"/>
    </row>
    <row r="201" spans="1:17" ht="50.1" customHeight="1" x14ac:dyDescent="0.2">
      <c r="A201" s="353" t="s">
        <v>9846</v>
      </c>
      <c r="B201" s="276">
        <f>IF(ISBLANK(B14),0.04,('TANKS Calculations'!E50/'TANKS Calculations'!E42)+(('TANKS Calculations'!E47-'TANKS Calculations'!E46)/('TANKS Calculations'!E3-'TANKS Calculations'!W102)))</f>
        <v>0.04</v>
      </c>
      <c r="C201" s="391"/>
      <c r="D201" s="249" t="s">
        <v>9798</v>
      </c>
      <c r="E201" s="224"/>
      <c r="F201" s="224"/>
      <c r="G201" s="224"/>
      <c r="H201" s="224"/>
    </row>
    <row r="202" spans="1:17" ht="35.1" customHeight="1" x14ac:dyDescent="0.35">
      <c r="A202" s="256" t="s">
        <v>9847</v>
      </c>
      <c r="B202" s="258">
        <f>1/(1+(0.053*Q113*'TANKS Calculations'!E60))</f>
        <v>1</v>
      </c>
      <c r="C202" s="383"/>
      <c r="D202" s="259" t="s">
        <v>9689</v>
      </c>
      <c r="E202" s="224"/>
      <c r="F202" s="224"/>
      <c r="G202" s="224"/>
      <c r="H202" s="224"/>
      <c r="I202" s="224"/>
      <c r="J202" s="224"/>
      <c r="K202" s="224"/>
      <c r="L202" s="224"/>
      <c r="M202" s="224"/>
      <c r="N202" s="224"/>
      <c r="O202" s="224"/>
      <c r="P202" s="224"/>
    </row>
    <row r="203" spans="1:17" ht="20.100000000000001" customHeight="1" thickBot="1" x14ac:dyDescent="0.4">
      <c r="A203" s="256" t="s">
        <v>9848</v>
      </c>
      <c r="B203" s="301" t="s">
        <v>8708</v>
      </c>
      <c r="C203" s="383"/>
      <c r="D203" s="259" t="s">
        <v>9849</v>
      </c>
      <c r="E203" s="224"/>
      <c r="F203" s="224"/>
      <c r="G203" s="224"/>
      <c r="H203" s="224"/>
      <c r="I203" s="224"/>
    </row>
    <row r="204" spans="1:17" ht="20.100000000000001" customHeight="1" thickBot="1" x14ac:dyDescent="0.3">
      <c r="A204" s="1352" t="s">
        <v>9850</v>
      </c>
      <c r="B204" s="1358"/>
      <c r="C204" s="1358"/>
      <c r="D204" s="1359"/>
      <c r="E204" s="224"/>
      <c r="F204" s="224"/>
      <c r="G204" s="224"/>
      <c r="H204" s="224"/>
      <c r="I204" s="224"/>
      <c r="J204" s="224"/>
      <c r="K204" s="224"/>
      <c r="L204" s="224"/>
      <c r="M204" s="224"/>
      <c r="N204" s="224"/>
      <c r="O204" s="224"/>
      <c r="P204" s="224"/>
      <c r="Q204" s="224"/>
    </row>
    <row r="205" spans="1:17" ht="20.100000000000001" customHeight="1" thickBot="1" x14ac:dyDescent="0.3">
      <c r="A205" s="152" t="s">
        <v>9685</v>
      </c>
      <c r="B205" s="153" t="s">
        <v>9686</v>
      </c>
      <c r="C205" s="154" t="s">
        <v>9687</v>
      </c>
      <c r="D205" s="155" t="s">
        <v>9688</v>
      </c>
      <c r="E205" s="224"/>
      <c r="F205" s="224"/>
      <c r="G205" s="224"/>
      <c r="H205" s="224"/>
      <c r="I205" s="224"/>
      <c r="J205" s="224"/>
      <c r="K205" s="224"/>
      <c r="L205" s="224"/>
      <c r="M205" s="224"/>
      <c r="N205" s="224"/>
      <c r="O205" s="224"/>
      <c r="P205" s="224"/>
      <c r="Q205" s="224"/>
    </row>
    <row r="206" spans="1:17" ht="30" customHeight="1" x14ac:dyDescent="0.2">
      <c r="A206" s="247" t="s">
        <v>9851</v>
      </c>
      <c r="B206" s="248">
        <f>'TANKS Calculations'!E85</f>
        <v>0</v>
      </c>
      <c r="C206" s="408"/>
      <c r="D206" s="249" t="s">
        <v>9831</v>
      </c>
      <c r="E206" s="224"/>
      <c r="F206" s="224"/>
      <c r="G206" s="224"/>
      <c r="H206" s="224"/>
      <c r="I206" s="224"/>
    </row>
    <row r="207" spans="1:17" ht="20.100000000000001" customHeight="1" x14ac:dyDescent="0.2">
      <c r="A207" s="351" t="s">
        <v>9852</v>
      </c>
      <c r="B207" s="291">
        <f>IF(C190="Full liquid heel",0.6,IF(C190="Partial liquid heel",0.5,0.15))</f>
        <v>0.15</v>
      </c>
      <c r="C207" s="397"/>
      <c r="D207" s="259" t="s">
        <v>9689</v>
      </c>
      <c r="E207" s="224"/>
      <c r="F207" s="224"/>
      <c r="G207" s="224"/>
      <c r="H207" s="224"/>
      <c r="I207" s="224"/>
    </row>
    <row r="208" spans="1:17" ht="35.1" customHeight="1" x14ac:dyDescent="0.35">
      <c r="A208" s="256" t="s">
        <v>9853</v>
      </c>
      <c r="B208" s="291">
        <f>IF(C68="External Floating Roof",IFERROR(1-(((0.57*'TANKS Calculations'!E8*'TANKS Calculations'!E78*'TANKS Calculations'!E76)-('TANKS Calculations'!E99*'TANKS Calculations'!E79*'TANKS Calculations'!E76*'TANKS Calculations'!E100))/(('TANKS Calculations'!E99*'TANKS Calculations'!E79*'TANKS Calculations'!E76*'TANKS Calculations'!E100)+('TANKS Calculations'!E76*'TANKS Calculations'!E105*'TANKS Calculations'!E104))),0),IF(C190="Full liquid heel",0.6,IF(C190="Partial liquid heel",0.5,1)))</f>
        <v>1</v>
      </c>
      <c r="C208" s="397"/>
      <c r="D208" s="259" t="s">
        <v>9689</v>
      </c>
      <c r="E208" s="224"/>
      <c r="F208" s="224"/>
      <c r="G208" s="224"/>
      <c r="H208" s="224"/>
      <c r="I208" s="224"/>
      <c r="J208" s="224"/>
      <c r="K208" s="224"/>
      <c r="L208" s="224"/>
      <c r="M208" s="224"/>
      <c r="N208" s="224"/>
      <c r="O208" s="224"/>
      <c r="P208" s="224"/>
    </row>
    <row r="209" spans="1:17" ht="35.1" customHeight="1" x14ac:dyDescent="0.35">
      <c r="A209" s="256" t="s">
        <v>9854</v>
      </c>
      <c r="B209" s="301" t="s">
        <v>8708</v>
      </c>
      <c r="C209" s="397"/>
      <c r="D209" s="259" t="s">
        <v>9707</v>
      </c>
      <c r="E209" s="224"/>
      <c r="F209" s="224"/>
      <c r="G209" s="224"/>
      <c r="H209" s="224"/>
      <c r="I209" s="224"/>
      <c r="J209" s="224"/>
      <c r="K209" s="224"/>
      <c r="L209" s="224"/>
      <c r="M209" s="224"/>
      <c r="N209" s="224"/>
      <c r="O209" s="224"/>
      <c r="P209" s="224"/>
    </row>
    <row r="210" spans="1:17" ht="20.100000000000001" customHeight="1" thickBot="1" x14ac:dyDescent="0.4">
      <c r="A210" s="262" t="s">
        <v>9855</v>
      </c>
      <c r="B210" s="289">
        <f>IF(ISBLANK(C209),'TANKS Calculations'!E61,(PI()/4)*('TANKS Calculations'!E8^2)*'TANKS Calculations'!E107)</f>
        <v>0</v>
      </c>
      <c r="C210" s="393"/>
      <c r="D210" s="424" t="s">
        <v>9730</v>
      </c>
      <c r="E210" s="224"/>
      <c r="F210" s="224"/>
      <c r="G210" s="224"/>
      <c r="H210" s="224"/>
      <c r="I210" s="224"/>
    </row>
    <row r="211" spans="1:17" ht="30" customHeight="1" thickBot="1" x14ac:dyDescent="0.25">
      <c r="A211" s="1377" t="s">
        <v>8411</v>
      </c>
      <c r="B211" s="1377"/>
      <c r="C211" s="1377"/>
      <c r="D211" s="1377"/>
      <c r="E211" s="224"/>
      <c r="F211" s="224"/>
      <c r="G211" s="224"/>
      <c r="H211" s="224"/>
      <c r="I211" s="224"/>
      <c r="J211" s="224"/>
      <c r="K211" s="224"/>
      <c r="L211" s="224"/>
      <c r="M211" s="224"/>
      <c r="N211" s="224"/>
      <c r="O211" s="224"/>
      <c r="P211" s="224"/>
      <c r="Q211" s="224"/>
    </row>
    <row r="212" spans="1:17" ht="64.5" customHeight="1" thickBot="1" x14ac:dyDescent="0.3">
      <c r="A212" s="1352" t="s">
        <v>9856</v>
      </c>
      <c r="B212" s="1358"/>
      <c r="C212" s="1358"/>
      <c r="D212" s="1359"/>
      <c r="E212" s="224"/>
      <c r="F212" s="224"/>
      <c r="G212" s="224"/>
      <c r="H212" s="224"/>
      <c r="I212" s="224"/>
      <c r="J212" s="224"/>
      <c r="K212" s="224"/>
      <c r="L212" s="224"/>
      <c r="M212" s="224"/>
      <c r="N212" s="224"/>
      <c r="O212" s="224"/>
      <c r="P212" s="224"/>
      <c r="Q212" s="224"/>
    </row>
    <row r="213" spans="1:17" ht="20.100000000000001" customHeight="1" thickBot="1" x14ac:dyDescent="0.3">
      <c r="A213" s="152" t="s">
        <v>9685</v>
      </c>
      <c r="B213" s="153" t="s">
        <v>9686</v>
      </c>
      <c r="C213" s="154" t="s">
        <v>9687</v>
      </c>
      <c r="D213" s="155" t="s">
        <v>9688</v>
      </c>
      <c r="E213" s="224"/>
      <c r="F213" s="224"/>
      <c r="G213" s="224"/>
      <c r="H213" s="224"/>
      <c r="I213" s="224"/>
      <c r="J213" s="224"/>
      <c r="K213" s="224"/>
      <c r="L213" s="224"/>
      <c r="M213" s="224"/>
      <c r="N213" s="224"/>
      <c r="O213" s="224"/>
      <c r="P213" s="224"/>
      <c r="Q213" s="224"/>
    </row>
    <row r="214" spans="1:17" ht="20.100000000000001" customHeight="1" x14ac:dyDescent="0.2">
      <c r="A214" s="292" t="s">
        <v>9857</v>
      </c>
      <c r="B214" s="302" t="s">
        <v>8708</v>
      </c>
      <c r="C214" s="409"/>
      <c r="D214" s="294" t="s">
        <v>9725</v>
      </c>
      <c r="E214" s="224"/>
      <c r="F214" s="224"/>
      <c r="G214" s="224"/>
      <c r="H214" s="224"/>
      <c r="I214" s="224"/>
      <c r="J214" s="224"/>
      <c r="K214" s="224"/>
      <c r="L214" s="224"/>
      <c r="M214" s="224"/>
      <c r="N214" s="224"/>
      <c r="O214" s="224"/>
      <c r="P214" s="224"/>
      <c r="Q214" s="224"/>
    </row>
    <row r="215" spans="1:17" ht="20.100000000000001" customHeight="1" x14ac:dyDescent="0.35">
      <c r="A215" s="256" t="s">
        <v>9858</v>
      </c>
      <c r="B215" s="258">
        <f>'TANKS Calculations'!W106</f>
        <v>0</v>
      </c>
      <c r="C215" s="397"/>
      <c r="D215" s="259" t="s">
        <v>9795</v>
      </c>
      <c r="E215" s="224"/>
      <c r="F215" s="224"/>
      <c r="G215" s="224"/>
      <c r="H215" s="224"/>
      <c r="I215" s="224"/>
      <c r="J215" s="224"/>
      <c r="K215" s="224"/>
      <c r="L215" s="224"/>
      <c r="M215" s="224"/>
      <c r="N215" s="224"/>
      <c r="O215" s="224"/>
      <c r="P215" s="224"/>
      <c r="Q215" s="224"/>
    </row>
    <row r="216" spans="1:17" ht="35.1" customHeight="1" x14ac:dyDescent="0.35">
      <c r="A216" s="256" t="s">
        <v>9859</v>
      </c>
      <c r="B216" s="258">
        <f>'TANKS Calculations'!E51</f>
        <v>0</v>
      </c>
      <c r="C216" s="397"/>
      <c r="D216" s="259" t="s">
        <v>8867</v>
      </c>
      <c r="E216" s="224"/>
      <c r="F216" s="224"/>
      <c r="G216" s="224"/>
      <c r="H216" s="224"/>
      <c r="I216" s="224"/>
      <c r="J216" s="224"/>
      <c r="K216" s="224"/>
      <c r="L216" s="224"/>
      <c r="M216" s="224"/>
      <c r="N216" s="224"/>
      <c r="O216" s="224"/>
      <c r="P216" s="224"/>
      <c r="Q216" s="224"/>
    </row>
    <row r="217" spans="1:17" ht="30" customHeight="1" x14ac:dyDescent="0.2">
      <c r="A217" s="256" t="s">
        <v>9860</v>
      </c>
      <c r="B217" s="258">
        <f>'TANKS Calculations'!E32</f>
        <v>459.67</v>
      </c>
      <c r="C217" s="397"/>
      <c r="D217" s="259" t="s">
        <v>9755</v>
      </c>
      <c r="E217" s="224"/>
      <c r="F217" s="224"/>
      <c r="G217" s="224"/>
      <c r="H217" s="224"/>
      <c r="I217" s="224"/>
      <c r="J217" s="224"/>
      <c r="K217" s="224"/>
      <c r="L217" s="224"/>
      <c r="M217" s="224"/>
      <c r="N217" s="224"/>
      <c r="O217" s="224"/>
      <c r="P217" s="224"/>
      <c r="Q217" s="224"/>
    </row>
    <row r="218" spans="1:17" ht="20.100000000000001" customHeight="1" x14ac:dyDescent="0.35">
      <c r="A218" s="256" t="s">
        <v>9855</v>
      </c>
      <c r="B218" s="258">
        <f>IF(B12="Fixed",'TANKS Calculations'!E10-'TANKS Calculations'!E125+'TANKS Calculations'!E59,'TANKS Calculations'!E61)</f>
        <v>0</v>
      </c>
      <c r="C218" s="397"/>
      <c r="D218" s="259" t="s">
        <v>9730</v>
      </c>
      <c r="E218" s="224"/>
      <c r="F218" s="224"/>
      <c r="G218" s="224"/>
      <c r="H218" s="224"/>
      <c r="I218" s="224"/>
      <c r="J218" s="224"/>
      <c r="K218" s="224"/>
      <c r="L218" s="224"/>
      <c r="M218" s="224"/>
      <c r="N218" s="224"/>
      <c r="O218" s="224"/>
      <c r="P218" s="224"/>
      <c r="Q218" s="224"/>
    </row>
    <row r="219" spans="1:17" ht="35.1" customHeight="1" x14ac:dyDescent="0.35">
      <c r="A219" s="256" t="s">
        <v>9861</v>
      </c>
      <c r="B219" s="303" t="s">
        <v>8708</v>
      </c>
      <c r="C219" s="397"/>
      <c r="D219" s="259" t="s">
        <v>9707</v>
      </c>
      <c r="E219" s="224"/>
      <c r="F219" s="224"/>
      <c r="G219" s="224"/>
      <c r="H219" s="224"/>
      <c r="I219" s="224"/>
      <c r="J219" s="224"/>
      <c r="K219" s="224"/>
      <c r="L219" s="224"/>
      <c r="M219" s="224"/>
      <c r="N219" s="224"/>
      <c r="O219" s="224"/>
      <c r="P219" s="224"/>
      <c r="Q219" s="224"/>
    </row>
    <row r="220" spans="1:17" ht="20.100000000000001" customHeight="1" x14ac:dyDescent="0.35">
      <c r="A220" s="256" t="s">
        <v>9862</v>
      </c>
      <c r="B220" s="258">
        <f>IFERROR(365/IF('TANKS Calculations'!E15&gt;=365,365,'TANKS Calculations'!E15),0)</f>
        <v>0</v>
      </c>
      <c r="C220" s="397"/>
      <c r="D220" s="259" t="s">
        <v>9849</v>
      </c>
      <c r="E220" s="224"/>
      <c r="F220" s="224"/>
      <c r="G220" s="224"/>
      <c r="H220" s="224"/>
      <c r="I220" s="224"/>
      <c r="J220" s="224"/>
      <c r="K220" s="224"/>
      <c r="L220" s="224"/>
      <c r="M220" s="224"/>
      <c r="N220" s="224"/>
      <c r="O220" s="224"/>
      <c r="P220" s="224"/>
      <c r="Q220" s="224"/>
    </row>
    <row r="221" spans="1:17" ht="20.100000000000001" customHeight="1" x14ac:dyDescent="0.2">
      <c r="A221" s="351" t="s">
        <v>9863</v>
      </c>
      <c r="B221" s="258">
        <f>IF(C190="Drain dry",0,MIN(MAX(IF(B12="Fixed",(('TANKS Calculations'!E126/2)+1)/6,_xlfn.IFNA(VLOOKUP(C68&amp;C190,'TANKS Calculations'!$G$138:$K$143,5,FALSE),0)),0.5),0.25))</f>
        <v>0.25</v>
      </c>
      <c r="C221" s="397"/>
      <c r="D221" s="259" t="s">
        <v>9689</v>
      </c>
      <c r="E221" s="224"/>
      <c r="F221" s="224"/>
      <c r="G221" s="224"/>
      <c r="H221" s="224"/>
      <c r="I221" s="224"/>
      <c r="J221" s="224"/>
      <c r="K221" s="224"/>
      <c r="L221" s="224"/>
      <c r="M221" s="224"/>
      <c r="N221" s="224"/>
      <c r="O221" s="224"/>
      <c r="P221" s="224"/>
      <c r="Q221" s="224"/>
    </row>
    <row r="222" spans="1:17" ht="45" customHeight="1" thickBot="1" x14ac:dyDescent="0.25">
      <c r="A222" s="262" t="s">
        <v>9864</v>
      </c>
      <c r="B222" s="304">
        <f>IF('TANKS Calculations'!E126=0,0,ROUNDUP('TANKS Calculations'!E126/365,0)-1)</f>
        <v>0</v>
      </c>
      <c r="C222" s="385"/>
      <c r="D222" s="264" t="s">
        <v>9725</v>
      </c>
      <c r="E222" s="224"/>
      <c r="F222" s="224"/>
      <c r="G222" s="224"/>
      <c r="H222" s="224"/>
      <c r="I222" s="224"/>
      <c r="J222" s="224"/>
      <c r="K222" s="224"/>
      <c r="L222" s="224"/>
      <c r="M222" s="224"/>
      <c r="N222" s="224"/>
      <c r="O222" s="224"/>
      <c r="P222" s="224"/>
      <c r="Q222" s="224"/>
    </row>
    <row r="223" spans="1:17" ht="30" customHeight="1" x14ac:dyDescent="0.2">
      <c r="A223" s="247" t="s">
        <v>9865</v>
      </c>
      <c r="B223" s="305" t="s">
        <v>8708</v>
      </c>
      <c r="C223" s="407"/>
      <c r="D223" s="249" t="s">
        <v>9689</v>
      </c>
      <c r="E223" s="224"/>
      <c r="F223" s="224"/>
      <c r="G223" s="224"/>
      <c r="H223" s="224"/>
      <c r="I223" s="224"/>
      <c r="J223" s="224"/>
      <c r="K223" s="224"/>
      <c r="L223" s="224"/>
      <c r="M223" s="224"/>
      <c r="N223" s="224"/>
      <c r="O223" s="224"/>
      <c r="P223" s="224"/>
      <c r="Q223" s="224"/>
    </row>
    <row r="224" spans="1:17" ht="30" customHeight="1" x14ac:dyDescent="0.2">
      <c r="A224" s="256" t="s">
        <v>9866</v>
      </c>
      <c r="B224" s="303" t="s">
        <v>8708</v>
      </c>
      <c r="C224" s="397"/>
      <c r="D224" s="259" t="s">
        <v>9689</v>
      </c>
      <c r="E224" s="224"/>
      <c r="F224" s="224"/>
      <c r="G224" s="224"/>
      <c r="H224" s="224"/>
      <c r="I224" s="224"/>
      <c r="J224" s="224"/>
      <c r="K224" s="224"/>
      <c r="L224" s="224"/>
      <c r="M224" s="224"/>
      <c r="N224" s="224"/>
      <c r="O224" s="224"/>
      <c r="P224" s="224"/>
      <c r="Q224" s="224"/>
    </row>
    <row r="225" spans="1:17" ht="30" customHeight="1" x14ac:dyDescent="0.2">
      <c r="A225" s="256" t="s">
        <v>9867</v>
      </c>
      <c r="B225" s="303" t="s">
        <v>8708</v>
      </c>
      <c r="C225" s="397"/>
      <c r="D225" s="259" t="s">
        <v>9689</v>
      </c>
      <c r="E225" s="224"/>
      <c r="F225" s="224"/>
      <c r="G225" s="224"/>
      <c r="H225" s="224"/>
      <c r="I225" s="224"/>
      <c r="J225" s="224"/>
      <c r="K225" s="224"/>
      <c r="L225" s="224"/>
      <c r="M225" s="224"/>
      <c r="N225" s="224"/>
      <c r="O225" s="224"/>
      <c r="P225" s="224"/>
      <c r="Q225" s="224"/>
    </row>
    <row r="226" spans="1:17" ht="30" customHeight="1" x14ac:dyDescent="0.2">
      <c r="A226" s="256" t="s">
        <v>9868</v>
      </c>
      <c r="B226" s="258">
        <v>1</v>
      </c>
      <c r="C226" s="397"/>
      <c r="D226" s="259" t="s">
        <v>9689</v>
      </c>
      <c r="E226" s="224"/>
      <c r="F226" s="224"/>
      <c r="G226" s="224"/>
      <c r="H226" s="224"/>
      <c r="I226" s="224"/>
      <c r="J226" s="224"/>
      <c r="K226" s="224"/>
      <c r="L226" s="224"/>
      <c r="M226" s="224"/>
      <c r="N226" s="224"/>
      <c r="O226" s="224"/>
      <c r="P226" s="224"/>
      <c r="Q226" s="224"/>
    </row>
    <row r="227" spans="1:17" ht="35.1" customHeight="1" x14ac:dyDescent="0.35">
      <c r="A227" s="256" t="s">
        <v>9869</v>
      </c>
      <c r="B227" s="258">
        <f>MIN('TANKS Calculations'!E129*'TANKS Calculations'!E130*'TANKS Calculations'!E131,'TANKS Calculations'!E121/'TANKS Calculations'!E3)</f>
        <v>0</v>
      </c>
      <c r="C227" s="397"/>
      <c r="D227" s="259" t="s">
        <v>9689</v>
      </c>
      <c r="E227" s="224"/>
      <c r="F227" s="224"/>
      <c r="G227" s="224"/>
      <c r="H227" s="224"/>
      <c r="I227" s="224"/>
      <c r="J227" s="224"/>
      <c r="K227" s="224"/>
      <c r="L227" s="224"/>
      <c r="M227" s="224"/>
      <c r="N227" s="224"/>
      <c r="O227" s="224"/>
      <c r="P227" s="224"/>
      <c r="Q227" s="224"/>
    </row>
    <row r="228" spans="1:17" ht="20.100000000000001" customHeight="1" x14ac:dyDescent="0.35">
      <c r="A228" s="256" t="s">
        <v>9870</v>
      </c>
      <c r="B228" s="303" t="s">
        <v>8708</v>
      </c>
      <c r="C228" s="397"/>
      <c r="D228" s="259" t="s">
        <v>9871</v>
      </c>
      <c r="E228" s="224"/>
      <c r="F228" s="224"/>
      <c r="G228" s="306"/>
      <c r="H228" s="224"/>
      <c r="I228" s="224"/>
      <c r="J228" s="224"/>
      <c r="K228" s="224"/>
      <c r="L228" s="224"/>
      <c r="M228" s="224"/>
      <c r="N228" s="224"/>
      <c r="O228" s="224"/>
      <c r="P228" s="224"/>
      <c r="Q228" s="224"/>
    </row>
    <row r="229" spans="1:17" ht="20.100000000000001" customHeight="1" x14ac:dyDescent="0.35">
      <c r="A229" s="256" t="s">
        <v>9872</v>
      </c>
      <c r="B229" s="303" t="s">
        <v>8708</v>
      </c>
      <c r="C229" s="397"/>
      <c r="D229" s="259" t="s">
        <v>9849</v>
      </c>
      <c r="E229" s="224"/>
      <c r="F229" s="224"/>
      <c r="G229" s="224"/>
      <c r="H229" s="224"/>
      <c r="I229" s="224"/>
      <c r="J229" s="224"/>
      <c r="K229" s="224"/>
      <c r="L229" s="224"/>
      <c r="M229" s="224"/>
      <c r="N229" s="224"/>
      <c r="O229" s="224"/>
      <c r="P229" s="224"/>
      <c r="Q229" s="224"/>
    </row>
    <row r="230" spans="1:17" ht="65.099999999999994" customHeight="1" x14ac:dyDescent="0.2">
      <c r="A230" s="256" t="s">
        <v>9873</v>
      </c>
      <c r="B230" s="303" t="s">
        <v>8708</v>
      </c>
      <c r="C230" s="397"/>
      <c r="D230" s="259" t="s">
        <v>9874</v>
      </c>
      <c r="E230" s="224"/>
      <c r="F230" s="224"/>
      <c r="G230" s="224"/>
      <c r="H230" s="224"/>
      <c r="I230" s="224"/>
      <c r="J230" s="224"/>
      <c r="K230" s="224"/>
      <c r="L230" s="224"/>
      <c r="M230" s="224"/>
      <c r="N230" s="224"/>
      <c r="O230" s="224"/>
      <c r="P230" s="224"/>
      <c r="Q230" s="224"/>
    </row>
    <row r="231" spans="1:17" ht="20.100000000000001" customHeight="1" x14ac:dyDescent="0.35">
      <c r="A231" s="256" t="s">
        <v>9875</v>
      </c>
      <c r="B231" s="258">
        <f>'TANKS Calculations'!E120</f>
        <v>0</v>
      </c>
      <c r="C231" s="397"/>
      <c r="D231" s="259" t="s">
        <v>9795</v>
      </c>
      <c r="E231" s="224"/>
      <c r="F231" s="224"/>
      <c r="G231" s="224"/>
      <c r="H231" s="224"/>
      <c r="I231" s="224"/>
      <c r="J231" s="224"/>
      <c r="K231" s="224"/>
      <c r="L231" s="224"/>
      <c r="M231" s="224"/>
      <c r="N231" s="224"/>
      <c r="O231" s="224"/>
      <c r="P231" s="224"/>
      <c r="Q231" s="224"/>
    </row>
    <row r="232" spans="1:17" ht="35.1" customHeight="1" thickBot="1" x14ac:dyDescent="0.4">
      <c r="A232" s="256" t="s">
        <v>9876</v>
      </c>
      <c r="B232" s="258">
        <f>'TANKS Calculations'!E12</f>
        <v>1</v>
      </c>
      <c r="C232" s="397"/>
      <c r="D232" s="259" t="s">
        <v>9707</v>
      </c>
      <c r="E232" s="224"/>
      <c r="F232" s="224"/>
      <c r="G232" s="224"/>
      <c r="H232" s="224"/>
      <c r="I232" s="224"/>
      <c r="J232" s="224"/>
      <c r="K232" s="224"/>
      <c r="L232" s="224"/>
      <c r="M232" s="224"/>
      <c r="N232" s="224"/>
      <c r="O232" s="224"/>
      <c r="P232" s="224"/>
      <c r="Q232" s="224"/>
    </row>
    <row r="233" spans="1:17" ht="50.1" customHeight="1" x14ac:dyDescent="0.35">
      <c r="A233" s="292" t="s">
        <v>9877</v>
      </c>
      <c r="B233" s="307" t="s">
        <v>8708</v>
      </c>
      <c r="C233" s="403"/>
      <c r="D233" s="294" t="s">
        <v>9689</v>
      </c>
      <c r="E233" s="224"/>
      <c r="F233" s="224"/>
      <c r="G233" s="224"/>
      <c r="H233" s="224"/>
      <c r="I233" s="224"/>
      <c r="J233" s="224"/>
      <c r="K233" s="224"/>
      <c r="L233" s="224"/>
      <c r="M233" s="224"/>
      <c r="N233" s="224"/>
      <c r="O233" s="224"/>
      <c r="P233" s="224"/>
      <c r="Q233" s="224"/>
    </row>
    <row r="234" spans="1:17" ht="35.1" customHeight="1" x14ac:dyDescent="0.2">
      <c r="A234" s="349" t="s">
        <v>10002</v>
      </c>
      <c r="B234" s="303" t="s">
        <v>8708</v>
      </c>
      <c r="C234" s="397"/>
      <c r="D234" s="259" t="s">
        <v>9849</v>
      </c>
      <c r="E234" s="224"/>
      <c r="F234" s="224"/>
      <c r="G234" s="224"/>
      <c r="H234" s="224"/>
      <c r="I234" s="224"/>
      <c r="J234" s="224"/>
      <c r="K234" s="224"/>
      <c r="L234" s="224"/>
      <c r="M234" s="224"/>
      <c r="N234" s="224"/>
      <c r="O234" s="224"/>
      <c r="P234" s="224"/>
      <c r="Q234" s="224"/>
    </row>
    <row r="235" spans="1:17" ht="35.1" customHeight="1" x14ac:dyDescent="0.2">
      <c r="A235" s="349" t="s">
        <v>10003</v>
      </c>
      <c r="B235" s="303" t="s">
        <v>8708</v>
      </c>
      <c r="C235" s="397"/>
      <c r="D235" s="259" t="s">
        <v>9874</v>
      </c>
      <c r="E235" s="224"/>
      <c r="F235" s="224"/>
      <c r="G235" s="224"/>
      <c r="H235" s="224"/>
      <c r="I235" s="224"/>
      <c r="J235" s="224"/>
      <c r="K235" s="224"/>
      <c r="L235" s="224"/>
      <c r="M235" s="224"/>
      <c r="N235" s="224"/>
      <c r="O235" s="224"/>
      <c r="P235" s="224"/>
      <c r="Q235" s="224"/>
    </row>
    <row r="236" spans="1:17" ht="35.1" customHeight="1" thickBot="1" x14ac:dyDescent="0.4">
      <c r="A236" s="262" t="s">
        <v>9878</v>
      </c>
      <c r="B236" s="308" t="s">
        <v>8708</v>
      </c>
      <c r="C236" s="385"/>
      <c r="D236" s="264" t="s">
        <v>9707</v>
      </c>
      <c r="E236" s="224"/>
      <c r="F236" s="224"/>
      <c r="G236" s="224"/>
      <c r="H236" s="224"/>
      <c r="I236" s="224"/>
      <c r="J236" s="224"/>
      <c r="K236" s="224"/>
      <c r="L236" s="224"/>
      <c r="M236" s="224"/>
      <c r="N236" s="224"/>
      <c r="O236" s="224"/>
      <c r="P236" s="224"/>
      <c r="Q236" s="224"/>
    </row>
    <row r="237" spans="1:17" ht="30" customHeight="1" thickBot="1" x14ac:dyDescent="0.25">
      <c r="A237" s="1377" t="s">
        <v>8411</v>
      </c>
      <c r="B237" s="1377"/>
      <c r="C237" s="1377"/>
      <c r="D237" s="1377"/>
      <c r="E237" s="224"/>
      <c r="F237" s="224"/>
      <c r="G237" s="224"/>
      <c r="H237" s="224"/>
      <c r="I237" s="224"/>
      <c r="J237" s="224"/>
      <c r="K237" s="224"/>
      <c r="L237" s="224"/>
      <c r="M237" s="224"/>
      <c r="N237" s="224"/>
      <c r="O237" s="224"/>
      <c r="P237" s="224"/>
      <c r="Q237" s="224"/>
    </row>
    <row r="238" spans="1:17" ht="44.25" customHeight="1" thickBot="1" x14ac:dyDescent="0.3">
      <c r="A238" s="1352" t="s">
        <v>9879</v>
      </c>
      <c r="B238" s="1358"/>
      <c r="C238" s="1358"/>
      <c r="D238" s="1359"/>
      <c r="E238" s="224"/>
      <c r="F238" s="224"/>
      <c r="G238" s="224"/>
      <c r="H238" s="224"/>
      <c r="I238" s="224"/>
      <c r="J238" s="224"/>
      <c r="K238" s="224"/>
      <c r="L238" s="224"/>
      <c r="M238" s="224"/>
      <c r="N238" s="224"/>
      <c r="O238" s="224"/>
      <c r="P238" s="224"/>
      <c r="Q238" s="224"/>
    </row>
    <row r="239" spans="1:17" ht="20.100000000000001" customHeight="1" thickBot="1" x14ac:dyDescent="0.3">
      <c r="A239" s="152" t="s">
        <v>9685</v>
      </c>
      <c r="B239" s="153" t="s">
        <v>9686</v>
      </c>
      <c r="C239" s="154" t="s">
        <v>9687</v>
      </c>
      <c r="D239" s="155" t="s">
        <v>9688</v>
      </c>
      <c r="E239" s="224"/>
      <c r="F239" s="224"/>
      <c r="G239" s="224"/>
      <c r="H239" s="224"/>
      <c r="I239" s="224"/>
      <c r="J239" s="224"/>
      <c r="K239" s="224"/>
      <c r="L239" s="224"/>
      <c r="M239" s="224"/>
      <c r="N239" s="224"/>
      <c r="O239" s="224"/>
      <c r="P239" s="224"/>
      <c r="Q239" s="224"/>
    </row>
    <row r="240" spans="1:17" ht="30" customHeight="1" x14ac:dyDescent="0.2">
      <c r="A240" s="266" t="s">
        <v>9880</v>
      </c>
      <c r="B240" s="267" t="s">
        <v>8708</v>
      </c>
      <c r="C240" s="410"/>
      <c r="D240" s="268" t="s">
        <v>9881</v>
      </c>
      <c r="E240" s="224"/>
      <c r="F240" s="224"/>
      <c r="G240" s="224"/>
      <c r="H240" s="224"/>
      <c r="I240" s="224"/>
      <c r="J240" s="224"/>
      <c r="K240" s="224"/>
      <c r="L240" s="224"/>
      <c r="M240" s="224"/>
      <c r="N240" s="224"/>
      <c r="O240" s="224"/>
      <c r="P240" s="224"/>
      <c r="Q240" s="224"/>
    </row>
    <row r="241" spans="1:17" ht="30" customHeight="1" x14ac:dyDescent="0.2">
      <c r="A241" s="228" t="s">
        <v>9882</v>
      </c>
      <c r="B241" s="226" t="s">
        <v>8708</v>
      </c>
      <c r="C241" s="411"/>
      <c r="D241" s="227" t="s">
        <v>9881</v>
      </c>
      <c r="E241" s="224"/>
      <c r="F241" s="224"/>
      <c r="G241" s="224"/>
      <c r="H241" s="224"/>
      <c r="I241" s="224"/>
      <c r="J241" s="224"/>
      <c r="K241" s="224"/>
      <c r="L241" s="224"/>
      <c r="M241" s="224"/>
      <c r="N241" s="224"/>
      <c r="O241" s="224"/>
      <c r="P241" s="224"/>
      <c r="Q241" s="224"/>
    </row>
    <row r="242" spans="1:17" ht="30" customHeight="1" x14ac:dyDescent="0.2">
      <c r="A242" s="225" t="s">
        <v>9883</v>
      </c>
      <c r="B242" s="309" t="s">
        <v>8708</v>
      </c>
      <c r="C242" s="412"/>
      <c r="D242" s="246" t="s">
        <v>9884</v>
      </c>
      <c r="E242" s="224"/>
      <c r="F242" s="224"/>
      <c r="G242" s="224"/>
      <c r="H242" s="224"/>
      <c r="I242" s="224"/>
      <c r="J242" s="224"/>
      <c r="K242" s="224"/>
      <c r="L242" s="224"/>
      <c r="M242" s="224"/>
      <c r="N242" s="224"/>
      <c r="O242" s="224"/>
      <c r="P242" s="224"/>
      <c r="Q242" s="224"/>
    </row>
    <row r="243" spans="1:17" ht="45" customHeight="1" x14ac:dyDescent="0.2">
      <c r="A243" s="225" t="s">
        <v>9885</v>
      </c>
      <c r="B243" s="310">
        <v>2.635184989986297E-3</v>
      </c>
      <c r="C243" s="412"/>
      <c r="D243" s="246" t="s">
        <v>9886</v>
      </c>
      <c r="E243" s="224"/>
      <c r="F243" s="224"/>
      <c r="G243" s="224"/>
      <c r="H243" s="224"/>
      <c r="I243" s="224"/>
      <c r="J243" s="224"/>
      <c r="K243" s="224"/>
      <c r="L243" s="224"/>
      <c r="M243" s="224"/>
      <c r="N243" s="224"/>
      <c r="O243" s="224"/>
      <c r="P243" s="224"/>
      <c r="Q243" s="224"/>
    </row>
    <row r="244" spans="1:17" ht="30" customHeight="1" x14ac:dyDescent="0.2">
      <c r="A244" s="225" t="s">
        <v>9887</v>
      </c>
      <c r="B244" s="309" t="s">
        <v>8708</v>
      </c>
      <c r="C244" s="412"/>
      <c r="D244" s="246" t="s">
        <v>9795</v>
      </c>
      <c r="E244" s="224"/>
      <c r="F244" s="224"/>
      <c r="G244" s="224"/>
      <c r="H244" s="224"/>
      <c r="I244" s="224"/>
      <c r="J244" s="224"/>
      <c r="K244" s="224"/>
      <c r="L244" s="224"/>
      <c r="M244" s="224"/>
      <c r="N244" s="224"/>
      <c r="O244" s="224"/>
      <c r="P244" s="224"/>
      <c r="Q244" s="224"/>
    </row>
    <row r="245" spans="1:17" ht="30" customHeight="1" x14ac:dyDescent="0.2">
      <c r="A245" s="225" t="s">
        <v>9888</v>
      </c>
      <c r="B245" s="311" t="s">
        <v>8708</v>
      </c>
      <c r="C245" s="412"/>
      <c r="D245" s="246" t="s">
        <v>9889</v>
      </c>
      <c r="E245" s="224"/>
      <c r="F245" s="224"/>
      <c r="H245" s="224"/>
      <c r="I245" s="224"/>
      <c r="J245" s="224"/>
      <c r="K245" s="224"/>
      <c r="L245" s="224"/>
      <c r="M245" s="224"/>
      <c r="N245" s="224"/>
      <c r="O245" s="224"/>
      <c r="P245" s="224"/>
      <c r="Q245" s="224"/>
    </row>
    <row r="246" spans="1:17" ht="35.1" customHeight="1" x14ac:dyDescent="0.35">
      <c r="A246" s="420" t="s">
        <v>10008</v>
      </c>
      <c r="B246" s="309" t="s">
        <v>8708</v>
      </c>
      <c r="C246" s="412"/>
      <c r="D246" s="246" t="s">
        <v>9782</v>
      </c>
      <c r="E246" s="224"/>
      <c r="F246" s="224"/>
      <c r="H246" s="224"/>
      <c r="I246" s="224"/>
      <c r="J246" s="224"/>
      <c r="K246" s="224"/>
      <c r="L246" s="224"/>
      <c r="M246" s="224"/>
      <c r="N246" s="224"/>
      <c r="O246" s="224"/>
      <c r="P246" s="224"/>
      <c r="Q246" s="224"/>
    </row>
    <row r="247" spans="1:17" ht="35.1" customHeight="1" x14ac:dyDescent="0.35">
      <c r="A247" s="421" t="s">
        <v>10009</v>
      </c>
      <c r="B247" s="285">
        <v>70</v>
      </c>
      <c r="C247" s="412"/>
      <c r="D247" s="246" t="s">
        <v>9754</v>
      </c>
      <c r="E247" s="224"/>
      <c r="F247" s="224"/>
      <c r="H247" s="224"/>
      <c r="I247" s="224"/>
      <c r="J247" s="224"/>
      <c r="K247" s="224"/>
      <c r="L247" s="224"/>
      <c r="M247" s="224"/>
      <c r="N247" s="224"/>
      <c r="O247" s="224"/>
      <c r="P247" s="224"/>
      <c r="Q247" s="224"/>
    </row>
    <row r="248" spans="1:17" ht="20.100000000000001" customHeight="1" x14ac:dyDescent="0.2">
      <c r="A248" s="225"/>
      <c r="B248" s="285">
        <f>'TANKS Calculations'!E154+459.67</f>
        <v>529.67000000000007</v>
      </c>
      <c r="C248" s="412"/>
      <c r="D248" s="246" t="s">
        <v>9755</v>
      </c>
      <c r="E248" s="224"/>
      <c r="F248" s="224"/>
      <c r="H248" s="224"/>
      <c r="I248" s="224"/>
      <c r="J248" s="224"/>
      <c r="K248" s="224"/>
      <c r="L248" s="224"/>
      <c r="M248" s="224"/>
      <c r="N248" s="224"/>
      <c r="O248" s="224"/>
      <c r="P248" s="224"/>
      <c r="Q248" s="224"/>
    </row>
    <row r="249" spans="1:17" ht="35.1" customHeight="1" x14ac:dyDescent="0.35">
      <c r="A249" s="422" t="s">
        <v>10010</v>
      </c>
      <c r="B249" s="285">
        <v>0.9</v>
      </c>
      <c r="C249" s="412"/>
      <c r="D249" s="246" t="s">
        <v>9881</v>
      </c>
      <c r="E249" s="224"/>
      <c r="F249" s="224"/>
      <c r="H249" s="224"/>
      <c r="I249" s="224"/>
    </row>
    <row r="250" spans="1:17" ht="30" customHeight="1" x14ac:dyDescent="0.2">
      <c r="A250" s="225" t="s">
        <v>9890</v>
      </c>
      <c r="B250" s="285">
        <v>0.8</v>
      </c>
      <c r="C250" s="412"/>
      <c r="D250" s="246" t="s">
        <v>9881</v>
      </c>
      <c r="E250" s="224"/>
      <c r="F250" s="224"/>
      <c r="H250" s="224"/>
      <c r="I250" s="224"/>
      <c r="J250" s="224"/>
      <c r="K250" s="224"/>
      <c r="L250" s="224"/>
      <c r="M250" s="224"/>
      <c r="N250" s="224"/>
      <c r="O250" s="224"/>
      <c r="P250" s="224"/>
      <c r="Q250" s="224"/>
    </row>
    <row r="251" spans="1:17" ht="30" customHeight="1" x14ac:dyDescent="0.2">
      <c r="A251" s="225" t="s">
        <v>9891</v>
      </c>
      <c r="B251" s="285">
        <f>'TANKS Calculations'!E156*(1+(0.00005912*'TANKS Calculations'!E151*'TANKS Calculations'!E154*LOG10('TANKS Calculations'!E153/114.7)))</f>
        <v>0.9</v>
      </c>
      <c r="C251" s="412"/>
      <c r="D251" s="246" t="s">
        <v>9881</v>
      </c>
      <c r="E251" s="224"/>
      <c r="G251" s="224"/>
      <c r="H251" s="224"/>
      <c r="I251" s="224"/>
      <c r="J251" s="224"/>
      <c r="K251" s="224"/>
      <c r="L251" s="224"/>
      <c r="M251" s="224"/>
      <c r="N251" s="224"/>
      <c r="O251" s="224"/>
      <c r="P251" s="224"/>
      <c r="Q251" s="224"/>
    </row>
    <row r="252" spans="1:17" ht="30" customHeight="1" x14ac:dyDescent="0.2">
      <c r="A252" s="422" t="s">
        <v>10011</v>
      </c>
      <c r="B252" s="245">
        <f>IF('TANKS Calculations'!E151&gt;=30,0.0178,0.0362)</f>
        <v>3.6200000000000003E-2</v>
      </c>
      <c r="C252" s="412"/>
      <c r="D252" s="246" t="s">
        <v>9881</v>
      </c>
      <c r="E252" s="224"/>
      <c r="G252" s="224"/>
      <c r="H252" s="224"/>
      <c r="I252" s="224"/>
      <c r="J252" s="224"/>
      <c r="K252" s="224"/>
      <c r="L252" s="224"/>
      <c r="M252" s="224"/>
      <c r="N252" s="224"/>
      <c r="O252" s="224"/>
      <c r="P252" s="224"/>
      <c r="Q252" s="224"/>
    </row>
    <row r="253" spans="1:17" ht="30" customHeight="1" x14ac:dyDescent="0.2">
      <c r="A253" s="422" t="s">
        <v>10012</v>
      </c>
      <c r="B253" s="285">
        <f>IF('TANKS Calculations'!E151&gt;=30,1.187,1.0937)</f>
        <v>1.0936999999999999</v>
      </c>
      <c r="C253" s="412"/>
      <c r="D253" s="246" t="s">
        <v>9881</v>
      </c>
      <c r="E253" s="224"/>
      <c r="G253" s="224"/>
      <c r="H253" s="224"/>
      <c r="I253" s="224"/>
      <c r="J253" s="224"/>
      <c r="K253" s="224"/>
      <c r="L253" s="224"/>
      <c r="M253" s="224"/>
      <c r="N253" s="224"/>
      <c r="O253" s="224"/>
      <c r="P253" s="224"/>
      <c r="Q253" s="224"/>
    </row>
    <row r="254" spans="1:17" ht="30" customHeight="1" x14ac:dyDescent="0.2">
      <c r="A254" s="422" t="s">
        <v>10013</v>
      </c>
      <c r="B254" s="285">
        <f>IF('TANKS Calculations'!E151&gt;=30,23.931,25.724)</f>
        <v>25.724</v>
      </c>
      <c r="C254" s="412"/>
      <c r="D254" s="246" t="s">
        <v>9881</v>
      </c>
      <c r="E254" s="224"/>
      <c r="G254" s="224"/>
      <c r="H254" s="224"/>
      <c r="I254" s="224"/>
      <c r="J254" s="224"/>
      <c r="K254" s="224"/>
      <c r="L254" s="224"/>
      <c r="M254" s="224"/>
      <c r="N254" s="224"/>
      <c r="O254" s="224"/>
      <c r="P254" s="224"/>
      <c r="Q254" s="224"/>
    </row>
    <row r="255" spans="1:17" ht="35.1" customHeight="1" x14ac:dyDescent="0.35">
      <c r="A255" s="225" t="s">
        <v>9892</v>
      </c>
      <c r="B255" s="285">
        <f>('TANKS Calculations'!E159*'TANKS Calculations'!E158*(('TANKS Calculations'!E153)^'TANKS Calculations'!E160))*EXP(('TANKS Calculations'!E161*'TANKS Calculations'!E151)/('TANKS Calculations'!E155))</f>
        <v>0.61609268022449837</v>
      </c>
      <c r="C255" s="412"/>
      <c r="D255" s="246" t="s">
        <v>9881</v>
      </c>
      <c r="E255" s="224"/>
      <c r="G255" s="224"/>
      <c r="H255" s="224"/>
      <c r="I255" s="224"/>
      <c r="J255" s="224"/>
      <c r="K255" s="224"/>
      <c r="L255" s="224"/>
      <c r="M255" s="224"/>
      <c r="N255" s="224"/>
      <c r="O255" s="224"/>
      <c r="P255" s="224"/>
      <c r="Q255" s="224"/>
    </row>
    <row r="256" spans="1:17" ht="45" customHeight="1" x14ac:dyDescent="0.2">
      <c r="A256" s="225" t="s">
        <v>9893</v>
      </c>
      <c r="B256" s="310">
        <v>2.635184989986297E-3</v>
      </c>
      <c r="C256" s="412"/>
      <c r="D256" s="246" t="s">
        <v>9886</v>
      </c>
      <c r="E256" s="224"/>
      <c r="G256" s="224"/>
      <c r="H256" s="224"/>
      <c r="I256" s="224"/>
      <c r="J256" s="224"/>
      <c r="K256" s="224"/>
      <c r="L256" s="224"/>
      <c r="M256" s="224"/>
      <c r="N256" s="224"/>
      <c r="O256" s="224"/>
      <c r="P256" s="224"/>
      <c r="Q256" s="224"/>
    </row>
    <row r="257" spans="1:17" ht="30" customHeight="1" thickBot="1" x14ac:dyDescent="0.25">
      <c r="A257" s="247" t="s">
        <v>9894</v>
      </c>
      <c r="B257" s="261">
        <f>'TANKS Calculations'!E162*'TANKS Calculations'!E17*IF(B12="Floating",'TANKS Calculations'!E76,'TANKS Calculations'!E64)*'TANKS Calculations'!E163</f>
        <v>0</v>
      </c>
      <c r="C257" s="413"/>
      <c r="D257" s="249" t="s">
        <v>9895</v>
      </c>
      <c r="E257" s="224"/>
      <c r="G257" s="224"/>
      <c r="H257" s="224"/>
      <c r="I257" s="224"/>
      <c r="J257" s="224"/>
      <c r="K257" s="224"/>
      <c r="L257" s="224"/>
      <c r="M257" s="224"/>
      <c r="N257" s="224"/>
      <c r="O257" s="224"/>
      <c r="P257" s="224"/>
      <c r="Q257" s="224"/>
    </row>
    <row r="258" spans="1:17" ht="30" customHeight="1" thickBot="1" x14ac:dyDescent="0.3">
      <c r="A258" s="161" t="s">
        <v>9896</v>
      </c>
      <c r="B258" s="312">
        <f>IF(OR(,ISBLANK(C240),C240="No",C241="Computer Simulation Modeling",C241="Direct Measurement"),0,IF(C241="Laboratory GOR",'TANKS Calculations'!E148*'TANKS Calculations'!E17*'TANKS Calculations'!E150*'TANKS Calculations'!E149,'TANKS Calculations'!E164*'TANKS Calculations'!E157))</f>
        <v>0</v>
      </c>
      <c r="C258" s="414"/>
      <c r="D258" s="313" t="s">
        <v>9895</v>
      </c>
      <c r="E258" s="224"/>
      <c r="F258" s="224"/>
      <c r="G258" s="224"/>
      <c r="H258" s="224"/>
      <c r="I258" s="224"/>
      <c r="J258" s="224"/>
      <c r="K258" s="224"/>
      <c r="L258" s="224"/>
      <c r="M258" s="224"/>
      <c r="N258" s="224"/>
      <c r="O258" s="224"/>
      <c r="P258" s="224"/>
      <c r="Q258" s="224"/>
    </row>
    <row r="259" spans="1:17" ht="30" customHeight="1" thickBot="1" x14ac:dyDescent="0.25">
      <c r="A259" s="1377" t="s">
        <v>8411</v>
      </c>
      <c r="B259" s="1377"/>
      <c r="C259" s="1377"/>
      <c r="D259" s="1377"/>
      <c r="E259" s="224"/>
      <c r="F259" s="224"/>
      <c r="G259" s="224"/>
    </row>
    <row r="260" spans="1:17" ht="44.25" customHeight="1" thickBot="1" x14ac:dyDescent="0.3">
      <c r="A260" s="1352" t="s">
        <v>9897</v>
      </c>
      <c r="B260" s="1358"/>
      <c r="C260" s="1358"/>
      <c r="D260" s="1359"/>
      <c r="E260" s="224"/>
      <c r="F260" s="224"/>
      <c r="G260" s="224"/>
      <c r="H260" s="224"/>
      <c r="I260" s="224"/>
      <c r="J260" s="224"/>
      <c r="K260" s="224"/>
      <c r="L260" s="224"/>
      <c r="M260" s="224"/>
      <c r="N260" s="224"/>
      <c r="O260" s="224"/>
      <c r="P260" s="224"/>
      <c r="Q260" s="224"/>
    </row>
    <row r="261" spans="1:17" ht="20.100000000000001" customHeight="1" thickBot="1" x14ac:dyDescent="0.3">
      <c r="A261" s="152" t="s">
        <v>9685</v>
      </c>
      <c r="B261" s="153" t="s">
        <v>9686</v>
      </c>
      <c r="C261" s="154" t="s">
        <v>9687</v>
      </c>
      <c r="D261" s="155" t="s">
        <v>9688</v>
      </c>
      <c r="E261" s="224"/>
      <c r="F261" s="224"/>
      <c r="G261" s="224"/>
      <c r="H261" s="224"/>
      <c r="I261" s="224"/>
      <c r="J261" s="224"/>
      <c r="K261" s="224"/>
      <c r="L261" s="224"/>
      <c r="M261" s="224"/>
      <c r="N261" s="224"/>
      <c r="O261" s="224"/>
      <c r="P261" s="224"/>
      <c r="Q261" s="224"/>
    </row>
    <row r="262" spans="1:17" ht="20.100000000000001" customHeight="1" x14ac:dyDescent="0.2">
      <c r="A262" s="266" t="s">
        <v>9898</v>
      </c>
      <c r="B262" s="267" t="s">
        <v>8708</v>
      </c>
      <c r="C262" s="386"/>
      <c r="D262" s="268" t="s">
        <v>9689</v>
      </c>
      <c r="E262" s="224"/>
      <c r="F262" s="224"/>
      <c r="G262" s="224"/>
      <c r="H262" s="224"/>
      <c r="I262" s="224"/>
      <c r="J262" s="224"/>
      <c r="K262" s="224"/>
      <c r="L262" s="224"/>
      <c r="M262" s="224"/>
      <c r="N262" s="224"/>
      <c r="O262" s="224"/>
      <c r="P262" s="224"/>
      <c r="Q262" s="224"/>
    </row>
    <row r="263" spans="1:17" ht="35.1" customHeight="1" x14ac:dyDescent="0.35">
      <c r="A263" s="256" t="s">
        <v>9899</v>
      </c>
      <c r="B263" s="291">
        <f>'TANKS Calculations'!E17</f>
        <v>0</v>
      </c>
      <c r="C263" s="397"/>
      <c r="D263" s="259" t="s">
        <v>9728</v>
      </c>
      <c r="E263" s="224"/>
      <c r="F263" s="224"/>
      <c r="G263" s="224"/>
      <c r="H263" s="224"/>
      <c r="I263" s="224"/>
      <c r="J263" s="224"/>
      <c r="K263" s="224"/>
      <c r="L263" s="224"/>
      <c r="M263" s="224"/>
      <c r="N263" s="224"/>
      <c r="O263" s="224"/>
      <c r="P263" s="224"/>
      <c r="Q263" s="224"/>
    </row>
    <row r="264" spans="1:17" ht="35.1" customHeight="1" x14ac:dyDescent="0.35">
      <c r="A264" s="256" t="s">
        <v>9900</v>
      </c>
      <c r="B264" s="301" t="s">
        <v>8708</v>
      </c>
      <c r="C264" s="397"/>
      <c r="D264" s="259" t="s">
        <v>9901</v>
      </c>
      <c r="E264" s="224"/>
      <c r="F264" s="224"/>
      <c r="G264" s="224"/>
      <c r="H264" s="224"/>
      <c r="I264" s="224"/>
      <c r="J264" s="224"/>
      <c r="K264" s="224"/>
      <c r="L264" s="224"/>
      <c r="M264" s="224"/>
      <c r="N264" s="224"/>
      <c r="O264" s="224"/>
      <c r="P264" s="224"/>
      <c r="Q264" s="224"/>
    </row>
    <row r="265" spans="1:17" ht="35.1" customHeight="1" thickBot="1" x14ac:dyDescent="0.25">
      <c r="A265" s="350" t="s">
        <v>10001</v>
      </c>
      <c r="B265" s="301" t="s">
        <v>8708</v>
      </c>
      <c r="C265" s="397"/>
      <c r="D265" s="259" t="s">
        <v>9689</v>
      </c>
      <c r="E265" s="224"/>
      <c r="F265" s="224"/>
      <c r="G265" s="224"/>
      <c r="H265" s="224"/>
      <c r="I265" s="224"/>
      <c r="J265" s="224"/>
      <c r="K265" s="224"/>
      <c r="L265" s="224"/>
      <c r="M265" s="224"/>
      <c r="N265" s="224"/>
      <c r="O265" s="224"/>
      <c r="P265" s="224"/>
      <c r="Q265" s="224"/>
    </row>
    <row r="266" spans="1:17" ht="30" customHeight="1" x14ac:dyDescent="0.25">
      <c r="A266" s="162" t="s">
        <v>9902</v>
      </c>
      <c r="B266" s="238">
        <f>IFERROR(IF(C262="yes",1,0)*0.024*IF(B12="Fixed",'TANKS Calculations'!E64,'TANKS Calculations'!E76)*'TANKS Calculations'!E51*('TANKS Calculations'!E166-('TANKS Calculations'!E167*'TANKS Calculations'!E168/4))/'TANKS Calculations'!E166,0)</f>
        <v>0</v>
      </c>
      <c r="C266" s="415"/>
      <c r="D266" s="314" t="s">
        <v>9903</v>
      </c>
      <c r="E266" s="224"/>
      <c r="F266" s="224"/>
      <c r="G266" s="224"/>
      <c r="H266" s="224"/>
      <c r="I266" s="224"/>
      <c r="J266" s="224"/>
      <c r="K266" s="224"/>
      <c r="L266" s="224"/>
      <c r="M266" s="224"/>
      <c r="N266" s="224"/>
      <c r="O266" s="224"/>
      <c r="P266" s="224"/>
      <c r="Q266" s="224"/>
    </row>
    <row r="267" spans="1:17" ht="20.100000000000001" customHeight="1" thickBot="1" x14ac:dyDescent="0.25">
      <c r="A267" s="230"/>
      <c r="B267" s="290">
        <f>'TANKS Calculations'!E169*'TANKS Calculations'!E166*0.042</f>
        <v>0</v>
      </c>
      <c r="C267" s="416"/>
      <c r="D267" s="231" t="s">
        <v>9895</v>
      </c>
      <c r="E267" s="224"/>
      <c r="F267" s="224"/>
      <c r="G267" s="224"/>
      <c r="H267" s="224"/>
      <c r="I267" s="224"/>
      <c r="J267" s="224"/>
      <c r="K267" s="224"/>
      <c r="L267" s="224"/>
      <c r="M267" s="224"/>
      <c r="N267" s="224"/>
      <c r="O267" s="224"/>
      <c r="P267" s="224"/>
      <c r="Q267" s="224"/>
    </row>
    <row r="268" spans="1:17" ht="30" customHeight="1" thickBot="1" x14ac:dyDescent="0.25">
      <c r="A268" s="1377" t="s">
        <v>8411</v>
      </c>
      <c r="B268" s="1377"/>
      <c r="C268" s="1377"/>
      <c r="D268" s="1377"/>
      <c r="E268" s="224"/>
      <c r="F268" s="224"/>
      <c r="G268" s="224"/>
      <c r="H268" s="224"/>
    </row>
    <row r="269" spans="1:17" ht="45" customHeight="1" thickBot="1" x14ac:dyDescent="0.3">
      <c r="A269" s="1352" t="s">
        <v>9904</v>
      </c>
      <c r="B269" s="1358"/>
      <c r="C269" s="1358"/>
      <c r="D269" s="1358"/>
      <c r="E269" s="1359"/>
      <c r="F269" s="224"/>
      <c r="G269" s="224"/>
      <c r="H269" s="224"/>
      <c r="I269" s="224"/>
      <c r="J269" s="224"/>
      <c r="K269" s="224"/>
      <c r="L269" s="224"/>
      <c r="M269" s="224"/>
      <c r="N269" s="224"/>
      <c r="O269" s="224"/>
      <c r="P269" s="224"/>
      <c r="Q269" s="224"/>
    </row>
    <row r="270" spans="1:17" ht="20.100000000000001" customHeight="1" x14ac:dyDescent="0.25">
      <c r="A270" s="163" t="s">
        <v>9905</v>
      </c>
      <c r="B270" s="164" t="s">
        <v>9686</v>
      </c>
      <c r="C270" s="165" t="s">
        <v>9688</v>
      </c>
      <c r="D270" s="164" t="s">
        <v>9686</v>
      </c>
      <c r="E270" s="165" t="s">
        <v>9688</v>
      </c>
      <c r="F270" s="224"/>
      <c r="G270" s="224"/>
      <c r="H270" s="224"/>
      <c r="I270" s="224"/>
      <c r="J270" s="224"/>
      <c r="K270" s="224"/>
      <c r="L270" s="224"/>
      <c r="M270" s="224"/>
      <c r="N270" s="224"/>
      <c r="O270" s="224"/>
      <c r="P270" s="224"/>
      <c r="Q270" s="224"/>
    </row>
    <row r="271" spans="1:17" ht="35.1" customHeight="1" x14ac:dyDescent="0.35">
      <c r="A271" s="284" t="s">
        <v>9906</v>
      </c>
      <c r="B271" s="285">
        <f>IF(B12="Fixed",365*'TANKS Calculations'!E61*'TANKS Calculations'!E63*'TANKS Calculations'!E66*'TANKS Calculations'!E65*'TANKS Calculations'!E53,0)</f>
        <v>0</v>
      </c>
      <c r="C271" s="246" t="s">
        <v>9895</v>
      </c>
      <c r="D271" s="285">
        <f>B271/2000</f>
        <v>0</v>
      </c>
      <c r="E271" s="246" t="s">
        <v>9907</v>
      </c>
      <c r="F271" s="224"/>
      <c r="G271" s="224"/>
      <c r="H271" s="224"/>
      <c r="I271" s="224"/>
      <c r="J271" s="224"/>
      <c r="K271" s="224"/>
      <c r="L271" s="224"/>
      <c r="M271" s="224"/>
      <c r="N271" s="224"/>
      <c r="O271" s="224"/>
      <c r="P271" s="224"/>
      <c r="Q271" s="224"/>
    </row>
    <row r="272" spans="1:17" ht="35.1" customHeight="1" x14ac:dyDescent="0.35">
      <c r="A272" s="284" t="s">
        <v>9908</v>
      </c>
      <c r="B272" s="285">
        <f>'TANKS Calculations'!E165</f>
        <v>0</v>
      </c>
      <c r="C272" s="246" t="s">
        <v>9895</v>
      </c>
      <c r="D272" s="285">
        <f>B272/2000</f>
        <v>0</v>
      </c>
      <c r="E272" s="246" t="s">
        <v>9907</v>
      </c>
      <c r="F272" s="224"/>
      <c r="G272" s="224"/>
      <c r="H272" s="224"/>
      <c r="I272" s="224"/>
      <c r="J272" s="224"/>
      <c r="K272" s="224"/>
      <c r="L272" s="224"/>
      <c r="M272" s="224"/>
      <c r="N272" s="224"/>
      <c r="O272" s="224"/>
      <c r="P272" s="224"/>
      <c r="Q272" s="224"/>
    </row>
    <row r="273" spans="1:17" ht="35.1" customHeight="1" x14ac:dyDescent="0.35">
      <c r="A273" s="284" t="s">
        <v>9909</v>
      </c>
      <c r="B273" s="285">
        <f>IF(C262="Yes",IF(B12="Fixed",'TANKS Calculations'!E170*'TANKS Calculations'!E53,0),0)</f>
        <v>0</v>
      </c>
      <c r="C273" s="246" t="s">
        <v>9895</v>
      </c>
      <c r="D273" s="252">
        <f>B273/2000</f>
        <v>0</v>
      </c>
      <c r="E273" s="227" t="s">
        <v>9907</v>
      </c>
      <c r="F273" s="224"/>
      <c r="G273" s="224"/>
      <c r="H273" s="224"/>
      <c r="I273" s="224"/>
      <c r="J273" s="224"/>
      <c r="K273" s="224"/>
      <c r="L273" s="224"/>
      <c r="M273" s="224"/>
      <c r="N273" s="224"/>
      <c r="O273" s="224"/>
      <c r="P273" s="224"/>
      <c r="Q273" s="224"/>
    </row>
    <row r="274" spans="1:17" ht="35.1" customHeight="1" x14ac:dyDescent="0.35">
      <c r="A274" s="233" t="s">
        <v>9910</v>
      </c>
      <c r="B274" s="252">
        <f>IF(B12="Fixed",'TANKS Calculations'!E20*'TANKS Calculations'!E21*'TANKS Calculations'!E4*'TANKS Calculations'!E63*'TANKS Calculations'!E68*'TANKS Calculations'!E53,0)</f>
        <v>0</v>
      </c>
      <c r="C274" s="227" t="s">
        <v>9895</v>
      </c>
      <c r="D274" s="252">
        <f>B274/2000</f>
        <v>0</v>
      </c>
      <c r="E274" s="227" t="s">
        <v>9907</v>
      </c>
      <c r="F274" s="224"/>
      <c r="G274" s="224"/>
      <c r="H274" s="224"/>
      <c r="I274" s="224"/>
      <c r="J274" s="224"/>
      <c r="K274" s="224"/>
      <c r="L274" s="224"/>
      <c r="M274" s="224"/>
      <c r="N274" s="224"/>
      <c r="O274" s="224"/>
      <c r="P274" s="224"/>
      <c r="Q274" s="224"/>
    </row>
    <row r="275" spans="1:17" ht="35.1" customHeight="1" thickBot="1" x14ac:dyDescent="0.35">
      <c r="A275" s="166" t="s">
        <v>9911</v>
      </c>
      <c r="B275" s="290">
        <f>B271+B273+B274</f>
        <v>0</v>
      </c>
      <c r="C275" s="231" t="s">
        <v>9895</v>
      </c>
      <c r="D275" s="290">
        <f>B275/2000</f>
        <v>0</v>
      </c>
      <c r="E275" s="231" t="s">
        <v>9907</v>
      </c>
      <c r="F275" s="224"/>
      <c r="G275" s="224"/>
      <c r="H275" s="224"/>
      <c r="I275" s="224"/>
      <c r="J275" s="224"/>
      <c r="K275" s="224"/>
      <c r="L275" s="224"/>
      <c r="M275" s="224"/>
      <c r="N275" s="224"/>
      <c r="O275" s="224"/>
      <c r="P275" s="224"/>
      <c r="Q275" s="224"/>
    </row>
    <row r="276" spans="1:17" ht="45" customHeight="1" thickBot="1" x14ac:dyDescent="0.3">
      <c r="A276" s="1352" t="s">
        <v>9912</v>
      </c>
      <c r="B276" s="1358"/>
      <c r="C276" s="1358"/>
      <c r="D276" s="1358"/>
      <c r="E276" s="1359"/>
      <c r="F276" s="224"/>
      <c r="G276" s="224"/>
      <c r="H276" s="224"/>
      <c r="I276" s="224"/>
      <c r="J276" s="224"/>
      <c r="K276" s="224"/>
      <c r="L276" s="224"/>
      <c r="M276" s="224"/>
      <c r="N276" s="224"/>
      <c r="O276" s="224"/>
      <c r="P276" s="224"/>
      <c r="Q276" s="224"/>
    </row>
    <row r="277" spans="1:17" ht="20.100000000000001" customHeight="1" thickBot="1" x14ac:dyDescent="0.3">
      <c r="A277" s="167" t="s">
        <v>9905</v>
      </c>
      <c r="B277" s="168" t="s">
        <v>9686</v>
      </c>
      <c r="C277" s="169" t="s">
        <v>9688</v>
      </c>
      <c r="D277" s="168" t="s">
        <v>9686</v>
      </c>
      <c r="E277" s="169" t="s">
        <v>9688</v>
      </c>
      <c r="F277" s="224"/>
      <c r="G277" s="224"/>
      <c r="H277" s="224"/>
      <c r="I277" s="224"/>
      <c r="J277" s="224"/>
      <c r="K277" s="224"/>
      <c r="L277" s="224"/>
      <c r="M277" s="224"/>
      <c r="N277" s="224"/>
      <c r="O277" s="224"/>
      <c r="P277" s="224"/>
      <c r="Q277" s="224"/>
    </row>
    <row r="278" spans="1:17" ht="35.1" customHeight="1" x14ac:dyDescent="0.35">
      <c r="A278" s="237" t="s">
        <v>9913</v>
      </c>
      <c r="B278" s="315">
        <f>IF(B12="Floating",IFERROR(('TANKS Calculations'!E73+'TANKS Calculations'!E74*('TANKS Calculations'!E77^'TANKS Calculations'!E75))*'TANKS Calculations'!E8*'TANKS Calculations'!E78*'TANKS Calculations'!E76*'TANKS Calculations'!E4,0)*'TANKS Calculations'!E53,0)</f>
        <v>0</v>
      </c>
      <c r="C278" s="268" t="s">
        <v>9895</v>
      </c>
      <c r="D278" s="315">
        <f t="shared" ref="D278:D290" si="7">B278/2000</f>
        <v>0</v>
      </c>
      <c r="E278" s="268" t="s">
        <v>9907</v>
      </c>
      <c r="F278" s="224"/>
      <c r="G278" s="224"/>
      <c r="H278" s="224"/>
      <c r="I278" s="224"/>
      <c r="J278" s="224"/>
      <c r="K278" s="224"/>
      <c r="L278" s="224"/>
      <c r="M278" s="224"/>
      <c r="N278" s="224"/>
      <c r="O278" s="224"/>
      <c r="P278" s="224"/>
      <c r="Q278" s="224"/>
    </row>
    <row r="279" spans="1:17" ht="35.1" customHeight="1" x14ac:dyDescent="0.35">
      <c r="A279" s="284" t="s">
        <v>9914</v>
      </c>
      <c r="B279" s="316">
        <f>IF(B12="Floating",'TANKS Calculations'!E84*'TANKS Calculations'!E78*'TANKS Calculations'!E76*'TANKS Calculations'!E4*'TANKS Calculations'!E53,0)</f>
        <v>0</v>
      </c>
      <c r="C279" s="246" t="s">
        <v>9895</v>
      </c>
      <c r="D279" s="316">
        <f t="shared" si="7"/>
        <v>0</v>
      </c>
      <c r="E279" s="246" t="s">
        <v>9907</v>
      </c>
      <c r="F279" s="224"/>
      <c r="G279" s="224"/>
      <c r="H279" s="224"/>
      <c r="I279" s="224"/>
      <c r="J279" s="224"/>
      <c r="K279" s="224"/>
      <c r="L279" s="224"/>
      <c r="M279" s="224"/>
      <c r="N279" s="224"/>
      <c r="O279" s="224"/>
      <c r="P279" s="224"/>
      <c r="Q279" s="224"/>
    </row>
    <row r="280" spans="1:17" ht="35.1" customHeight="1" x14ac:dyDescent="0.35">
      <c r="A280" s="233" t="s">
        <v>9915</v>
      </c>
      <c r="B280" s="260">
        <f>IF(B12="Floating",IF(OR(C183="Yes",C68="External Floating Roof",C68="Domed/Covered External Floating Roof"),0,'TANKS Calculations'!E88*'TANKS Calculations'!E87*'TANKS Calculations'!E78*'TANKS Calculations'!E76*'TANKS Calculations'!E4*('TANKS Calculations'!E8^2))*'TANKS Calculations'!E53,0)</f>
        <v>0</v>
      </c>
      <c r="C280" s="227" t="s">
        <v>9895</v>
      </c>
      <c r="D280" s="260">
        <f t="shared" si="7"/>
        <v>0</v>
      </c>
      <c r="E280" s="227" t="s">
        <v>9907</v>
      </c>
      <c r="F280" s="224"/>
      <c r="G280" s="224"/>
      <c r="H280" s="224"/>
      <c r="I280" s="224"/>
      <c r="J280" s="224"/>
      <c r="K280" s="224"/>
      <c r="L280" s="224"/>
      <c r="M280" s="224"/>
      <c r="N280" s="224"/>
      <c r="O280" s="224"/>
      <c r="P280" s="224"/>
      <c r="Q280" s="224"/>
    </row>
    <row r="281" spans="1:17" ht="35.1" customHeight="1" thickBot="1" x14ac:dyDescent="0.4">
      <c r="A281" s="317" t="s">
        <v>9916</v>
      </c>
      <c r="B281" s="318">
        <f>B278+B279+B280</f>
        <v>0</v>
      </c>
      <c r="C281" s="231" t="s">
        <v>9895</v>
      </c>
      <c r="D281" s="318">
        <f t="shared" si="7"/>
        <v>0</v>
      </c>
      <c r="E281" s="231" t="s">
        <v>9907</v>
      </c>
      <c r="F281" s="224"/>
      <c r="G281" s="224"/>
      <c r="H281" s="224"/>
      <c r="I281" s="224"/>
      <c r="J281" s="224"/>
      <c r="K281" s="224"/>
      <c r="L281" s="224"/>
      <c r="M281" s="224"/>
      <c r="N281" s="224"/>
      <c r="O281" s="224"/>
      <c r="P281" s="224"/>
      <c r="Q281" s="224"/>
    </row>
    <row r="282" spans="1:17" ht="35.1" customHeight="1" x14ac:dyDescent="0.35">
      <c r="A282" s="237" t="s">
        <v>9908</v>
      </c>
      <c r="B282" s="315">
        <f>'TANKS Calculations'!E165</f>
        <v>0</v>
      </c>
      <c r="C282" s="268" t="s">
        <v>9895</v>
      </c>
      <c r="D282" s="315">
        <f t="shared" si="7"/>
        <v>0</v>
      </c>
      <c r="E282" s="268" t="s">
        <v>9907</v>
      </c>
      <c r="F282" s="224"/>
      <c r="G282" s="224"/>
      <c r="H282" s="224"/>
      <c r="I282" s="224"/>
      <c r="J282" s="224"/>
      <c r="K282" s="224"/>
      <c r="L282" s="224"/>
      <c r="M282" s="224"/>
      <c r="N282" s="224"/>
      <c r="O282" s="224"/>
      <c r="P282" s="224"/>
      <c r="Q282" s="224"/>
    </row>
    <row r="283" spans="1:17" ht="35.1" customHeight="1" x14ac:dyDescent="0.35">
      <c r="A283" s="284" t="s">
        <v>9917</v>
      </c>
      <c r="B283" s="316">
        <f>IFERROR(IF(B12="Floating",(0.943*'TANKS Calculations'!E17*'TANKS Calculations'!E80*'TANKS Calculations'!E83*(1+('TANKS Calculations'!E81*'TANKS Calculations'!E82/'TANKS Calculations'!E8))/'TANKS Calculations'!E8)*'TANKS Calculations'!E53,0),0)</f>
        <v>0</v>
      </c>
      <c r="C283" s="246" t="s">
        <v>9895</v>
      </c>
      <c r="D283" s="316">
        <f>B283/2000</f>
        <v>0</v>
      </c>
      <c r="E283" s="246" t="s">
        <v>9907</v>
      </c>
      <c r="F283" s="224"/>
      <c r="G283" s="224"/>
      <c r="H283" s="224"/>
      <c r="I283" s="224"/>
      <c r="J283" s="224"/>
      <c r="K283" s="224"/>
      <c r="L283" s="224"/>
      <c r="M283" s="224"/>
      <c r="N283" s="224"/>
      <c r="O283" s="224"/>
      <c r="P283" s="224"/>
      <c r="Q283" s="224"/>
    </row>
    <row r="284" spans="1:17" ht="35.1" customHeight="1" x14ac:dyDescent="0.35">
      <c r="A284" s="284" t="s">
        <v>9909</v>
      </c>
      <c r="B284" s="285">
        <f>IFERROR(IF(B12="Floating",'TANKS Calculations'!E170*'TANKS Calculations'!E53,0),0)</f>
        <v>0</v>
      </c>
      <c r="C284" s="246" t="s">
        <v>9895</v>
      </c>
      <c r="D284" s="252">
        <f>B284/2000</f>
        <v>0</v>
      </c>
      <c r="E284" s="227" t="s">
        <v>9907</v>
      </c>
      <c r="F284" s="224"/>
      <c r="G284" s="224"/>
      <c r="H284" s="224"/>
      <c r="I284" s="224"/>
      <c r="J284" s="224"/>
      <c r="K284" s="224"/>
      <c r="L284" s="224"/>
      <c r="M284" s="224"/>
      <c r="N284" s="224"/>
      <c r="O284" s="224"/>
      <c r="P284" s="224"/>
      <c r="Q284" s="224"/>
    </row>
    <row r="285" spans="1:17" ht="35.1" customHeight="1" thickBot="1" x14ac:dyDescent="0.35">
      <c r="A285" s="166" t="s">
        <v>9918</v>
      </c>
      <c r="B285" s="318">
        <f>B281+B283+B284</f>
        <v>0</v>
      </c>
      <c r="C285" s="231" t="s">
        <v>9895</v>
      </c>
      <c r="D285" s="318">
        <f>B285/2000</f>
        <v>0</v>
      </c>
      <c r="E285" s="231" t="s">
        <v>9907</v>
      </c>
      <c r="F285" s="224"/>
      <c r="G285" s="224"/>
      <c r="H285" s="224"/>
      <c r="I285" s="224"/>
      <c r="J285" s="224"/>
      <c r="K285" s="224"/>
      <c r="L285" s="224"/>
      <c r="M285" s="224"/>
      <c r="N285" s="224"/>
      <c r="O285" s="224"/>
      <c r="P285" s="224"/>
      <c r="Q285" s="224"/>
    </row>
    <row r="286" spans="1:17" ht="35.1" customHeight="1" x14ac:dyDescent="0.35">
      <c r="A286" s="237" t="s">
        <v>9919</v>
      </c>
      <c r="B286" s="315">
        <f>IF(B12="Floating",0.57*'TANKS Calculations'!E101*'TANKS Calculations'!E97*'TANKS Calculations'!E96*'TANKS Calculations'!E53,0)</f>
        <v>0</v>
      </c>
      <c r="C286" s="268" t="s">
        <v>9895</v>
      </c>
      <c r="D286" s="315">
        <f>B286/2000</f>
        <v>0</v>
      </c>
      <c r="E286" s="268" t="s">
        <v>9907</v>
      </c>
      <c r="F286" s="224"/>
      <c r="G286" s="224"/>
      <c r="H286" s="224"/>
      <c r="I286" s="224"/>
      <c r="J286" s="224"/>
      <c r="K286" s="224"/>
      <c r="L286" s="224"/>
      <c r="M286" s="224"/>
      <c r="N286" s="224"/>
      <c r="O286" s="224"/>
      <c r="P286" s="224"/>
      <c r="Q286" s="224"/>
    </row>
    <row r="287" spans="1:17" ht="35.1" customHeight="1" x14ac:dyDescent="0.35">
      <c r="A287" s="284" t="s">
        <v>9920</v>
      </c>
      <c r="B287" s="316">
        <f>IF(B12="Floating",MIN(IF(C68="Internal Floating Roof",IF(ISBLANK(C203),365,'TANKS Calculations'!E101)*'TANKS Calculations'!E61*'TANKS Calculations'!E98*'TANKS Calculations'!E99*'TANKS Calculations'!E100,0.57*'TANKS Calculations'!E101*'TANKS Calculations'!E78*'TANKS Calculations'!E96*'TANKS Calculations'!E8),'TANKS Calculations'!E91)*'TANKS Calculations'!E53,0)</f>
        <v>0</v>
      </c>
      <c r="C287" s="246" t="s">
        <v>9895</v>
      </c>
      <c r="D287" s="316">
        <f t="shared" si="7"/>
        <v>0</v>
      </c>
      <c r="E287" s="246" t="s">
        <v>9907</v>
      </c>
      <c r="F287" s="224"/>
      <c r="G287" s="224"/>
      <c r="H287" s="224"/>
      <c r="I287" s="224"/>
      <c r="J287" s="224"/>
      <c r="K287" s="224"/>
      <c r="L287" s="224"/>
      <c r="M287" s="224"/>
      <c r="N287" s="224"/>
      <c r="O287" s="224"/>
      <c r="P287" s="224"/>
      <c r="Q287" s="224"/>
    </row>
    <row r="288" spans="1:17" ht="35.1" customHeight="1" x14ac:dyDescent="0.35">
      <c r="A288" s="284" t="s">
        <v>9921</v>
      </c>
      <c r="B288" s="316">
        <f>IF(B12="Floating",IFERROR(IF(C262="Yes",0.024*'TANKS Calculations'!E96*'TANKS Calculations'!E93*('TANKS Calculations'!E166-(0.25*'TANKS Calculations'!E167*'TANKS Calculations'!E168))/'TANKS Calculations'!E166,'TANKS Calculations'!E106*'TANKS Calculations'!E104*'TANKS Calculations'!E96*'TANKS Calculations'!E105),0),0)*'TANKS Calculations'!E53</f>
        <v>0</v>
      </c>
      <c r="C288" s="246" t="s">
        <v>9895</v>
      </c>
      <c r="D288" s="316">
        <f>B288/2000</f>
        <v>0</v>
      </c>
      <c r="E288" s="246" t="s">
        <v>9907</v>
      </c>
      <c r="F288" s="224"/>
      <c r="G288" s="224"/>
      <c r="H288" s="224"/>
      <c r="I288" s="224"/>
      <c r="J288" s="224"/>
      <c r="K288" s="224"/>
      <c r="L288" s="224"/>
      <c r="M288" s="224"/>
      <c r="N288" s="224"/>
      <c r="O288" s="224"/>
      <c r="P288" s="224"/>
      <c r="Q288" s="224"/>
    </row>
    <row r="289" spans="1:17" ht="35.1" customHeight="1" x14ac:dyDescent="0.35">
      <c r="A289" s="233" t="s">
        <v>9922</v>
      </c>
      <c r="B289" s="260">
        <f>IF(B12="Floating",IF(OR(C190="Drain dry",C180="Drain-dry"),MIN(0.042*'TANKS Calculations'!E80*'TANKS Calculations'!E102*'TANKS Calculations'!E83,'TANKS Calculations'!E91,'TANKS Calculations'!E103),0)*'TANKS Calculations'!E53,0)</f>
        <v>0</v>
      </c>
      <c r="C289" s="246" t="s">
        <v>9895</v>
      </c>
      <c r="D289" s="316">
        <f>B289/2000</f>
        <v>0</v>
      </c>
      <c r="E289" s="246" t="s">
        <v>9907</v>
      </c>
      <c r="F289" s="224"/>
      <c r="G289" s="224"/>
      <c r="H289" s="224"/>
      <c r="I289" s="224"/>
      <c r="J289" s="224"/>
      <c r="K289" s="224"/>
      <c r="L289" s="224"/>
      <c r="M289" s="224"/>
      <c r="N289" s="224"/>
      <c r="O289" s="224"/>
      <c r="P289" s="224"/>
      <c r="Q289" s="224"/>
    </row>
    <row r="290" spans="1:17" ht="35.1" customHeight="1" thickBot="1" x14ac:dyDescent="0.35">
      <c r="A290" s="170" t="s">
        <v>9923</v>
      </c>
      <c r="B290" s="319">
        <f>B286+B287+B288+B289</f>
        <v>0</v>
      </c>
      <c r="C290" s="264" t="s">
        <v>9895</v>
      </c>
      <c r="D290" s="319">
        <f t="shared" si="7"/>
        <v>0</v>
      </c>
      <c r="E290" s="264" t="s">
        <v>9907</v>
      </c>
      <c r="F290" s="224"/>
      <c r="G290" s="224"/>
      <c r="H290" s="224"/>
      <c r="I290" s="224"/>
      <c r="J290" s="224"/>
      <c r="K290" s="224"/>
      <c r="L290" s="224"/>
      <c r="M290" s="224"/>
      <c r="N290" s="224"/>
      <c r="O290" s="224"/>
      <c r="P290" s="224"/>
      <c r="Q290" s="224"/>
    </row>
    <row r="291" spans="1:17" ht="35.1" customHeight="1" thickBot="1" x14ac:dyDescent="0.3">
      <c r="A291" s="166" t="s">
        <v>9924</v>
      </c>
      <c r="B291" s="318">
        <f>B285+B290</f>
        <v>0</v>
      </c>
      <c r="C291" s="231" t="s">
        <v>9895</v>
      </c>
      <c r="D291" s="318">
        <f>B291/2000</f>
        <v>0</v>
      </c>
      <c r="E291" s="231" t="s">
        <v>9907</v>
      </c>
      <c r="F291" s="224"/>
      <c r="G291" s="224"/>
      <c r="H291" s="224"/>
      <c r="I291" s="224"/>
      <c r="J291" s="224"/>
      <c r="K291" s="224"/>
      <c r="L291" s="224"/>
      <c r="M291" s="224"/>
      <c r="N291" s="224"/>
      <c r="O291" s="224"/>
      <c r="P291" s="224"/>
      <c r="Q291" s="224"/>
    </row>
    <row r="292" spans="1:17" ht="41.25" customHeight="1" thickBot="1" x14ac:dyDescent="0.3">
      <c r="A292" s="1352" t="s">
        <v>9925</v>
      </c>
      <c r="B292" s="1358"/>
      <c r="C292" s="1358"/>
      <c r="D292" s="1358"/>
      <c r="E292" s="1359"/>
      <c r="F292" s="224"/>
      <c r="G292" s="224"/>
      <c r="H292" s="224"/>
      <c r="I292" s="224"/>
      <c r="J292" s="224"/>
      <c r="K292" s="224"/>
      <c r="L292" s="224"/>
      <c r="M292" s="224"/>
      <c r="N292" s="224"/>
      <c r="O292" s="224"/>
      <c r="P292" s="224"/>
      <c r="Q292" s="224"/>
    </row>
    <row r="293" spans="1:17" ht="20.100000000000001" customHeight="1" thickBot="1" x14ac:dyDescent="0.3">
      <c r="A293" s="167" t="s">
        <v>9905</v>
      </c>
      <c r="B293" s="168" t="s">
        <v>9686</v>
      </c>
      <c r="C293" s="169" t="s">
        <v>9688</v>
      </c>
      <c r="D293" s="168" t="s">
        <v>9686</v>
      </c>
      <c r="E293" s="169" t="s">
        <v>9688</v>
      </c>
      <c r="F293" s="224"/>
      <c r="G293" s="224"/>
      <c r="H293" s="224"/>
      <c r="I293" s="224"/>
      <c r="J293" s="224"/>
      <c r="K293" s="224"/>
      <c r="L293" s="224"/>
      <c r="M293" s="224"/>
      <c r="N293" s="224"/>
      <c r="O293" s="224"/>
      <c r="P293" s="224"/>
      <c r="Q293" s="224"/>
    </row>
    <row r="294" spans="1:17" ht="33" x14ac:dyDescent="0.35">
      <c r="A294" s="266" t="s">
        <v>9926</v>
      </c>
      <c r="B294" s="315">
        <f>IF('TANKS Calculations'!E119=0,0,'TANKS Calculations'!E124*'TANKS Calculations'!E128*'TANKS Calculations'!E120)*'TANKS Calculations'!E53</f>
        <v>0</v>
      </c>
      <c r="C294" s="268" t="s">
        <v>9927</v>
      </c>
      <c r="D294" s="315">
        <f>B294*'TANKS Calculations'!$E$119</f>
        <v>0</v>
      </c>
      <c r="E294" s="268" t="s">
        <v>9895</v>
      </c>
      <c r="F294" s="224"/>
      <c r="G294" s="224"/>
      <c r="H294" s="224"/>
      <c r="I294" s="224"/>
      <c r="J294" s="224"/>
      <c r="K294" s="224"/>
      <c r="L294" s="224"/>
      <c r="M294" s="224"/>
      <c r="N294" s="224"/>
      <c r="O294" s="224"/>
      <c r="P294" s="224"/>
      <c r="Q294" s="224"/>
    </row>
    <row r="295" spans="1:17" ht="33" x14ac:dyDescent="0.35">
      <c r="A295" s="228" t="s">
        <v>9928</v>
      </c>
      <c r="B295" s="260">
        <f>IF('TANKS Calculations'!E119=0,0,'TANKS Calculations'!E146+'TANKS Calculations'!E147)*'TANKS Calculations'!E53</f>
        <v>0</v>
      </c>
      <c r="C295" s="227" t="s">
        <v>9927</v>
      </c>
      <c r="D295" s="260">
        <f>B295*'TANKS Calculations'!$E$119</f>
        <v>0</v>
      </c>
      <c r="E295" s="227" t="s">
        <v>9895</v>
      </c>
      <c r="F295" s="224"/>
      <c r="G295" s="224"/>
      <c r="H295" s="224"/>
      <c r="I295" s="224"/>
      <c r="J295" s="224"/>
      <c r="K295" s="224"/>
      <c r="L295" s="224"/>
      <c r="M295" s="224"/>
      <c r="N295" s="224"/>
      <c r="O295" s="224"/>
      <c r="P295" s="224"/>
      <c r="Q295" s="224"/>
    </row>
    <row r="296" spans="1:17" ht="32.25" thickBot="1" x14ac:dyDescent="0.35">
      <c r="A296" s="171" t="s">
        <v>9929</v>
      </c>
      <c r="B296" s="318">
        <f>B294+B295</f>
        <v>0</v>
      </c>
      <c r="C296" s="231" t="s">
        <v>9927</v>
      </c>
      <c r="D296" s="318">
        <f>D294+D295</f>
        <v>0</v>
      </c>
      <c r="E296" s="231" t="s">
        <v>9895</v>
      </c>
      <c r="F296" s="224"/>
      <c r="G296" s="224"/>
      <c r="H296" s="224"/>
      <c r="I296" s="224"/>
      <c r="J296" s="224"/>
      <c r="K296" s="224"/>
      <c r="L296" s="224"/>
      <c r="M296" s="224"/>
      <c r="N296" s="224"/>
      <c r="O296" s="224"/>
      <c r="P296" s="224"/>
      <c r="Q296" s="224"/>
    </row>
    <row r="297" spans="1:17" ht="56.25" customHeight="1" thickBot="1" x14ac:dyDescent="0.3">
      <c r="A297" s="152" t="s">
        <v>9930</v>
      </c>
      <c r="B297" s="320">
        <f>D296+B291+B275</f>
        <v>0</v>
      </c>
      <c r="C297" s="313" t="s">
        <v>9895</v>
      </c>
      <c r="D297" s="320">
        <f>B297/2000</f>
        <v>0</v>
      </c>
      <c r="E297" s="313" t="s">
        <v>9907</v>
      </c>
      <c r="F297" s="224"/>
      <c r="G297" s="224"/>
      <c r="H297" s="224"/>
      <c r="I297" s="224"/>
      <c r="J297" s="224"/>
      <c r="K297" s="224"/>
      <c r="L297" s="224"/>
      <c r="M297" s="224"/>
      <c r="N297" s="224"/>
      <c r="O297" s="224"/>
      <c r="P297" s="224"/>
      <c r="Q297" s="224"/>
    </row>
    <row r="298" spans="1:17" ht="30" customHeight="1" thickBot="1" x14ac:dyDescent="0.25">
      <c r="A298" s="1376" t="s">
        <v>8411</v>
      </c>
      <c r="B298" s="1376"/>
      <c r="C298" s="1376"/>
      <c r="D298" s="1376"/>
      <c r="E298" s="1376"/>
      <c r="F298" s="224"/>
      <c r="G298" s="224"/>
      <c r="H298" s="224"/>
      <c r="I298" s="224"/>
      <c r="J298" s="224"/>
      <c r="K298" s="224"/>
      <c r="L298" s="224"/>
      <c r="M298" s="224"/>
      <c r="N298" s="224"/>
      <c r="O298" s="224"/>
      <c r="P298" s="224"/>
      <c r="Q298" s="224"/>
    </row>
    <row r="299" spans="1:17" ht="45" customHeight="1" thickBot="1" x14ac:dyDescent="0.3">
      <c r="A299" s="1352" t="s">
        <v>9931</v>
      </c>
      <c r="B299" s="1353"/>
      <c r="C299" s="1353"/>
      <c r="D299" s="1353"/>
      <c r="E299" s="1353"/>
      <c r="F299" s="1353"/>
      <c r="G299" s="1353"/>
      <c r="H299" s="1353"/>
      <c r="I299" s="1353"/>
      <c r="J299" s="1353"/>
      <c r="K299" s="1353"/>
      <c r="L299" s="1353"/>
      <c r="M299" s="1353"/>
      <c r="N299" s="1353"/>
      <c r="O299" s="1353"/>
      <c r="P299" s="1353"/>
      <c r="Q299" s="1354"/>
    </row>
    <row r="300" spans="1:17" ht="20.100000000000001" customHeight="1" x14ac:dyDescent="0.25">
      <c r="A300" s="146" t="s">
        <v>9502</v>
      </c>
      <c r="B300" s="147" t="s">
        <v>9503</v>
      </c>
      <c r="C300" s="148" t="s">
        <v>9504</v>
      </c>
      <c r="D300" s="148" t="s">
        <v>9505</v>
      </c>
      <c r="E300" s="148" t="s">
        <v>9506</v>
      </c>
      <c r="F300" s="148" t="s">
        <v>9507</v>
      </c>
      <c r="G300" s="148" t="s">
        <v>9508</v>
      </c>
      <c r="H300" s="148" t="s">
        <v>9509</v>
      </c>
      <c r="I300" s="148" t="s">
        <v>9510</v>
      </c>
      <c r="J300" s="148" t="s">
        <v>9511</v>
      </c>
      <c r="K300" s="150" t="s">
        <v>9512</v>
      </c>
      <c r="L300" s="148" t="s">
        <v>9513</v>
      </c>
      <c r="M300" s="148" t="s">
        <v>9514</v>
      </c>
      <c r="N300" s="150" t="s">
        <v>9515</v>
      </c>
      <c r="O300" s="148" t="s">
        <v>9516</v>
      </c>
      <c r="P300" s="148" t="s">
        <v>9517</v>
      </c>
      <c r="Q300" s="146" t="s">
        <v>1</v>
      </c>
    </row>
    <row r="301" spans="1:17" ht="20.100000000000001" customHeight="1" x14ac:dyDescent="0.2">
      <c r="A301" s="228" t="s">
        <v>9932</v>
      </c>
      <c r="B301" s="280" t="str">
        <f t="shared" ref="B301:P301" si="8">IF(ISBLANK(B18),"",B18)</f>
        <v/>
      </c>
      <c r="C301" s="280" t="str">
        <f t="shared" si="8"/>
        <v/>
      </c>
      <c r="D301" s="280" t="str">
        <f t="shared" si="8"/>
        <v/>
      </c>
      <c r="E301" s="280" t="str">
        <f t="shared" si="8"/>
        <v/>
      </c>
      <c r="F301" s="280" t="str">
        <f t="shared" si="8"/>
        <v/>
      </c>
      <c r="G301" s="280" t="str">
        <f t="shared" si="8"/>
        <v/>
      </c>
      <c r="H301" s="280" t="str">
        <f t="shared" si="8"/>
        <v/>
      </c>
      <c r="I301" s="280" t="str">
        <f t="shared" si="8"/>
        <v/>
      </c>
      <c r="J301" s="280" t="str">
        <f t="shared" si="8"/>
        <v/>
      </c>
      <c r="K301" s="280" t="str">
        <f t="shared" si="8"/>
        <v/>
      </c>
      <c r="L301" s="280" t="str">
        <f t="shared" si="8"/>
        <v/>
      </c>
      <c r="M301" s="280" t="str">
        <f t="shared" si="8"/>
        <v/>
      </c>
      <c r="N301" s="280" t="str">
        <f t="shared" si="8"/>
        <v/>
      </c>
      <c r="O301" s="280" t="str">
        <f t="shared" si="8"/>
        <v/>
      </c>
      <c r="P301" s="280" t="str">
        <f t="shared" si="8"/>
        <v/>
      </c>
      <c r="Q301" s="232"/>
    </row>
    <row r="302" spans="1:17" ht="20.100000000000001" customHeight="1" x14ac:dyDescent="0.2">
      <c r="A302" s="233" t="s">
        <v>9933</v>
      </c>
      <c r="B302" s="252" t="str">
        <f>IF(ISBLANK(B18),"",'TANKS Calculations'!H91)</f>
        <v/>
      </c>
      <c r="C302" s="252" t="str">
        <f>IF(ISBLANK(C18),"",'TANKS Calculations'!I91)</f>
        <v/>
      </c>
      <c r="D302" s="252" t="str">
        <f>IF(ISBLANK(D18),"",'TANKS Calculations'!J91)</f>
        <v/>
      </c>
      <c r="E302" s="252" t="str">
        <f>IF(ISBLANK(E18),"",'TANKS Calculations'!K91)</f>
        <v/>
      </c>
      <c r="F302" s="252" t="str">
        <f>IF(ISBLANK(F18),"",'TANKS Calculations'!L91)</f>
        <v/>
      </c>
      <c r="G302" s="252" t="str">
        <f>IF(ISBLANK(G18),"",'TANKS Calculations'!M91)</f>
        <v/>
      </c>
      <c r="H302" s="252" t="str">
        <f>IF(ISBLANK(H18),"",'TANKS Calculations'!N91)</f>
        <v/>
      </c>
      <c r="I302" s="252" t="str">
        <f>IF(ISBLANK(I18),"",'TANKS Calculations'!O91)</f>
        <v/>
      </c>
      <c r="J302" s="252" t="str">
        <f>IF(ISBLANK(J18),"",'TANKS Calculations'!P91)</f>
        <v/>
      </c>
      <c r="K302" s="252" t="str">
        <f>IF(ISBLANK(K18),"",'TANKS Calculations'!Q91)</f>
        <v/>
      </c>
      <c r="L302" s="252" t="str">
        <f>IF(ISBLANK(L18),"",'TANKS Calculations'!R91)</f>
        <v/>
      </c>
      <c r="M302" s="252" t="str">
        <f>IF(ISBLANK(M18),"",'TANKS Calculations'!S91)</f>
        <v/>
      </c>
      <c r="N302" s="252" t="str">
        <f>IF(ISBLANK(N18),"",'TANKS Calculations'!T91)</f>
        <v/>
      </c>
      <c r="O302" s="252" t="str">
        <f>IF(ISBLANK(O18),"",'TANKS Calculations'!U91)</f>
        <v/>
      </c>
      <c r="P302" s="252" t="str">
        <f>IF(ISBLANK(P18),"",'TANKS Calculations'!V91)</f>
        <v/>
      </c>
      <c r="Q302" s="288">
        <f>SUM(B302:P302)</f>
        <v>0</v>
      </c>
    </row>
    <row r="303" spans="1:17" ht="20.100000000000001" customHeight="1" x14ac:dyDescent="0.2">
      <c r="A303" s="233" t="s">
        <v>9934</v>
      </c>
      <c r="B303" s="277" t="str">
        <f>IF(ISBLANK(B18),"",'TANKS Calculations'!H103)</f>
        <v/>
      </c>
      <c r="C303" s="252" t="str">
        <f>IF(ISBLANK(C18),"",'TANKS Calculations'!I103)</f>
        <v/>
      </c>
      <c r="D303" s="252" t="str">
        <f>IF(ISBLANK(D18),"",'TANKS Calculations'!J103)</f>
        <v/>
      </c>
      <c r="E303" s="252" t="str">
        <f>IF(ISBLANK(E18),"",'TANKS Calculations'!K103)</f>
        <v/>
      </c>
      <c r="F303" s="252" t="str">
        <f>IF(ISBLANK(F18),"",'TANKS Calculations'!L103)</f>
        <v/>
      </c>
      <c r="G303" s="252" t="str">
        <f>IF(ISBLANK(G18),"",'TANKS Calculations'!M103)</f>
        <v/>
      </c>
      <c r="H303" s="252" t="str">
        <f>IF(ISBLANK(H18),"",'TANKS Calculations'!N103)</f>
        <v/>
      </c>
      <c r="I303" s="252" t="str">
        <f>IF(ISBLANK(I18),"",'TANKS Calculations'!O103)</f>
        <v/>
      </c>
      <c r="J303" s="252" t="str">
        <f>IF(ISBLANK(J18),"",'TANKS Calculations'!P103)</f>
        <v/>
      </c>
      <c r="K303" s="252" t="str">
        <f>IF(ISBLANK(K18),"",'TANKS Calculations'!Q103)</f>
        <v/>
      </c>
      <c r="L303" s="252" t="str">
        <f>IF(ISBLANK(L18),"",'TANKS Calculations'!R103)</f>
        <v/>
      </c>
      <c r="M303" s="252" t="str">
        <f>IF(ISBLANK(M18),"",'TANKS Calculations'!S103)</f>
        <v/>
      </c>
      <c r="N303" s="252" t="str">
        <f>IF(ISBLANK(N18),"",'TANKS Calculations'!T103)</f>
        <v/>
      </c>
      <c r="O303" s="252" t="str">
        <f>IF(ISBLANK(O18),"",'TANKS Calculations'!U103)</f>
        <v/>
      </c>
      <c r="P303" s="252" t="str">
        <f>IF(ISBLANK(P18),"",'TANKS Calculations'!V103)</f>
        <v/>
      </c>
      <c r="Q303" s="288">
        <f>SUM(B303:P303)</f>
        <v>0</v>
      </c>
    </row>
    <row r="304" spans="1:17" ht="20.100000000000001" customHeight="1" x14ac:dyDescent="0.2">
      <c r="A304" s="233" t="s">
        <v>9935</v>
      </c>
      <c r="B304" s="252" t="str">
        <f>IF(ISBLANK(B18),"",'TANKS Calculations'!H106)</f>
        <v/>
      </c>
      <c r="C304" s="252" t="str">
        <f>IF(ISBLANK(C18),"",'TANKS Calculations'!I106)</f>
        <v/>
      </c>
      <c r="D304" s="252" t="str">
        <f>IF(ISBLANK(D18),"",'TANKS Calculations'!J106)</f>
        <v/>
      </c>
      <c r="E304" s="252" t="str">
        <f>IF(ISBLANK(E18),"",'TANKS Calculations'!K106)</f>
        <v/>
      </c>
      <c r="F304" s="252" t="str">
        <f>IF(ISBLANK(F18),"",'TANKS Calculations'!L106)</f>
        <v/>
      </c>
      <c r="G304" s="252" t="str">
        <f>IF(ISBLANK(G18),"",'TANKS Calculations'!M106)</f>
        <v/>
      </c>
      <c r="H304" s="252" t="str">
        <f>IF(ISBLANK(H18),"",'TANKS Calculations'!N106)</f>
        <v/>
      </c>
      <c r="I304" s="252" t="str">
        <f>IF(ISBLANK(I18),"",'TANKS Calculations'!O106)</f>
        <v/>
      </c>
      <c r="J304" s="252" t="str">
        <f>IF(ISBLANK(J18),"",'TANKS Calculations'!P106)</f>
        <v/>
      </c>
      <c r="K304" s="252" t="str">
        <f>IF(ISBLANK(K18),"",'TANKS Calculations'!Q106)</f>
        <v/>
      </c>
      <c r="L304" s="252" t="str">
        <f>IF(ISBLANK(L18),"",'TANKS Calculations'!R106)</f>
        <v/>
      </c>
      <c r="M304" s="252" t="str">
        <f>IF(ISBLANK(M18),"",'TANKS Calculations'!S106)</f>
        <v/>
      </c>
      <c r="N304" s="252" t="str">
        <f>IF(ISBLANK(N18),"",'TANKS Calculations'!T106)</f>
        <v/>
      </c>
      <c r="O304" s="252" t="str">
        <f>IF(ISBLANK(O18),"",'TANKS Calculations'!U106)</f>
        <v/>
      </c>
      <c r="P304" s="252" t="str">
        <f>IF(ISBLANK(P18),"",'TANKS Calculations'!V106)</f>
        <v/>
      </c>
      <c r="Q304" s="288">
        <f>SUM(B304:P304)</f>
        <v>0</v>
      </c>
    </row>
    <row r="305" spans="1:17" ht="20.100000000000001" customHeight="1" thickBot="1" x14ac:dyDescent="0.25">
      <c r="A305" s="240" t="s">
        <v>9936</v>
      </c>
      <c r="B305" s="258" t="str">
        <f t="shared" ref="B305:P305" si="9">IF(ISBLANK(B18),"",IFERROR(B303*B302/$Q$304,0))</f>
        <v/>
      </c>
      <c r="C305" s="258" t="str">
        <f t="shared" si="9"/>
        <v/>
      </c>
      <c r="D305" s="258" t="str">
        <f t="shared" si="9"/>
        <v/>
      </c>
      <c r="E305" s="258" t="str">
        <f t="shared" si="9"/>
        <v/>
      </c>
      <c r="F305" s="258" t="str">
        <f t="shared" si="9"/>
        <v/>
      </c>
      <c r="G305" s="258" t="str">
        <f t="shared" si="9"/>
        <v/>
      </c>
      <c r="H305" s="258" t="str">
        <f t="shared" si="9"/>
        <v/>
      </c>
      <c r="I305" s="258" t="str">
        <f t="shared" si="9"/>
        <v/>
      </c>
      <c r="J305" s="258" t="str">
        <f t="shared" si="9"/>
        <v/>
      </c>
      <c r="K305" s="258" t="str">
        <f t="shared" si="9"/>
        <v/>
      </c>
      <c r="L305" s="258" t="str">
        <f t="shared" si="9"/>
        <v/>
      </c>
      <c r="M305" s="258" t="str">
        <f t="shared" si="9"/>
        <v/>
      </c>
      <c r="N305" s="258" t="str">
        <f t="shared" si="9"/>
        <v/>
      </c>
      <c r="O305" s="258" t="str">
        <f t="shared" si="9"/>
        <v/>
      </c>
      <c r="P305" s="258" t="str">
        <f t="shared" si="9"/>
        <v/>
      </c>
      <c r="Q305" s="321">
        <f>SUM(B305:P305)</f>
        <v>0</v>
      </c>
    </row>
    <row r="306" spans="1:17" ht="20.100000000000001" customHeight="1" thickBot="1" x14ac:dyDescent="0.25">
      <c r="A306" s="322" t="s">
        <v>9937</v>
      </c>
      <c r="B306" s="312" t="str">
        <f t="shared" ref="B306:P306" si="10">IF(ISBLANK(B18),"",$B$297)</f>
        <v/>
      </c>
      <c r="C306" s="312" t="str">
        <f t="shared" si="10"/>
        <v/>
      </c>
      <c r="D306" s="312" t="str">
        <f t="shared" si="10"/>
        <v/>
      </c>
      <c r="E306" s="312" t="str">
        <f t="shared" si="10"/>
        <v/>
      </c>
      <c r="F306" s="312" t="str">
        <f t="shared" si="10"/>
        <v/>
      </c>
      <c r="G306" s="312" t="str">
        <f t="shared" si="10"/>
        <v/>
      </c>
      <c r="H306" s="312" t="str">
        <f t="shared" si="10"/>
        <v/>
      </c>
      <c r="I306" s="312" t="str">
        <f t="shared" si="10"/>
        <v/>
      </c>
      <c r="J306" s="312" t="str">
        <f t="shared" si="10"/>
        <v/>
      </c>
      <c r="K306" s="312" t="str">
        <f t="shared" si="10"/>
        <v/>
      </c>
      <c r="L306" s="312" t="str">
        <f t="shared" si="10"/>
        <v/>
      </c>
      <c r="M306" s="312" t="str">
        <f t="shared" si="10"/>
        <v/>
      </c>
      <c r="N306" s="312" t="str">
        <f t="shared" si="10"/>
        <v/>
      </c>
      <c r="O306" s="312" t="str">
        <f t="shared" si="10"/>
        <v/>
      </c>
      <c r="P306" s="312" t="str">
        <f t="shared" si="10"/>
        <v/>
      </c>
      <c r="Q306" s="323"/>
    </row>
    <row r="307" spans="1:17" ht="20.100000000000001" customHeight="1" x14ac:dyDescent="0.2">
      <c r="A307" s="237" t="s">
        <v>9938</v>
      </c>
      <c r="B307" s="315" t="str">
        <f t="shared" ref="B307:P307" si="11">IF(ISBLANK(B18),"",B305*B306)</f>
        <v/>
      </c>
      <c r="C307" s="315" t="str">
        <f t="shared" si="11"/>
        <v/>
      </c>
      <c r="D307" s="315" t="str">
        <f t="shared" si="11"/>
        <v/>
      </c>
      <c r="E307" s="315" t="str">
        <f t="shared" si="11"/>
        <v/>
      </c>
      <c r="F307" s="315" t="str">
        <f t="shared" si="11"/>
        <v/>
      </c>
      <c r="G307" s="315" t="str">
        <f t="shared" si="11"/>
        <v/>
      </c>
      <c r="H307" s="315" t="str">
        <f t="shared" si="11"/>
        <v/>
      </c>
      <c r="I307" s="315" t="str">
        <f t="shared" si="11"/>
        <v/>
      </c>
      <c r="J307" s="315" t="str">
        <f t="shared" si="11"/>
        <v/>
      </c>
      <c r="K307" s="315" t="str">
        <f t="shared" si="11"/>
        <v/>
      </c>
      <c r="L307" s="315" t="str">
        <f t="shared" si="11"/>
        <v/>
      </c>
      <c r="M307" s="315" t="str">
        <f t="shared" si="11"/>
        <v/>
      </c>
      <c r="N307" s="315" t="str">
        <f t="shared" si="11"/>
        <v/>
      </c>
      <c r="O307" s="315" t="str">
        <f t="shared" si="11"/>
        <v/>
      </c>
      <c r="P307" s="315" t="str">
        <f t="shared" si="11"/>
        <v/>
      </c>
      <c r="Q307" s="324">
        <f>SUM(B307:P307)</f>
        <v>0</v>
      </c>
    </row>
    <row r="308" spans="1:17" ht="20.100000000000001" customHeight="1" thickBot="1" x14ac:dyDescent="0.25">
      <c r="A308" s="317" t="s">
        <v>9939</v>
      </c>
      <c r="B308" s="290" t="str">
        <f t="shared" ref="B308:P308" si="12">IF(ISBLANK(B18),"",B307/2000)</f>
        <v/>
      </c>
      <c r="C308" s="290" t="str">
        <f t="shared" si="12"/>
        <v/>
      </c>
      <c r="D308" s="290" t="str">
        <f t="shared" si="12"/>
        <v/>
      </c>
      <c r="E308" s="290" t="str">
        <f t="shared" si="12"/>
        <v/>
      </c>
      <c r="F308" s="290" t="str">
        <f t="shared" si="12"/>
        <v/>
      </c>
      <c r="G308" s="290" t="str">
        <f t="shared" si="12"/>
        <v/>
      </c>
      <c r="H308" s="290" t="str">
        <f t="shared" si="12"/>
        <v/>
      </c>
      <c r="I308" s="290" t="str">
        <f t="shared" si="12"/>
        <v/>
      </c>
      <c r="J308" s="290" t="str">
        <f t="shared" si="12"/>
        <v/>
      </c>
      <c r="K308" s="290" t="str">
        <f t="shared" si="12"/>
        <v/>
      </c>
      <c r="L308" s="290" t="str">
        <f t="shared" si="12"/>
        <v/>
      </c>
      <c r="M308" s="290" t="str">
        <f t="shared" si="12"/>
        <v/>
      </c>
      <c r="N308" s="290" t="str">
        <f t="shared" si="12"/>
        <v/>
      </c>
      <c r="O308" s="290" t="str">
        <f t="shared" si="12"/>
        <v/>
      </c>
      <c r="P308" s="290" t="str">
        <f t="shared" si="12"/>
        <v/>
      </c>
      <c r="Q308" s="325">
        <f>SUM(B308:P308)</f>
        <v>0</v>
      </c>
    </row>
    <row r="309" spans="1:17" x14ac:dyDescent="0.2">
      <c r="A309" s="1378" t="s">
        <v>8455</v>
      </c>
      <c r="B309" s="1378"/>
      <c r="C309" s="1378"/>
      <c r="D309" s="1378"/>
      <c r="E309" s="1378"/>
    </row>
  </sheetData>
  <sheetProtection algorithmName="SHA-512" hashValue="if2qY7fosKVXJF5o55c9CPLDI+7B4o3MFaCE8E0e5kRxxqH9QeXb+vA3kGG5SYC7A0nTb4icaQEjSchDrHc33g==" saltValue="85Cmr6E/YABcjSrAO5q/rw==" spinCount="100000" sheet="1" objects="1" scenarios="1" formatColumns="0" formatRows="0" autoFilter="0"/>
  <mergeCells count="81">
    <mergeCell ref="A309:E309"/>
    <mergeCell ref="A1:G1"/>
    <mergeCell ref="A92:D92"/>
    <mergeCell ref="A93:D93"/>
    <mergeCell ref="A94:D94"/>
    <mergeCell ref="A179:D179"/>
    <mergeCell ref="A211:D211"/>
    <mergeCell ref="A237:D237"/>
    <mergeCell ref="A259:D259"/>
    <mergeCell ref="A268:D268"/>
    <mergeCell ref="A157:B157"/>
    <mergeCell ref="C157:D157"/>
    <mergeCell ref="A2:Q2"/>
    <mergeCell ref="A3:Q3"/>
    <mergeCell ref="A4:C4"/>
    <mergeCell ref="A16:Q16"/>
    <mergeCell ref="A28:D28"/>
    <mergeCell ref="A15:D15"/>
    <mergeCell ref="A27:D27"/>
    <mergeCell ref="A118:D118"/>
    <mergeCell ref="A95:Q95"/>
    <mergeCell ref="A119:D119"/>
    <mergeCell ref="A129:D129"/>
    <mergeCell ref="A139:D139"/>
    <mergeCell ref="A156:L156"/>
    <mergeCell ref="A128:D128"/>
    <mergeCell ref="A138:D138"/>
    <mergeCell ref="A155:D155"/>
    <mergeCell ref="A158:B158"/>
    <mergeCell ref="C158:D158"/>
    <mergeCell ref="A159:B159"/>
    <mergeCell ref="C159:D159"/>
    <mergeCell ref="A160:B160"/>
    <mergeCell ref="C160:D160"/>
    <mergeCell ref="A161:B161"/>
    <mergeCell ref="C161:D161"/>
    <mergeCell ref="A162:B162"/>
    <mergeCell ref="C162:D162"/>
    <mergeCell ref="A163:B163"/>
    <mergeCell ref="C163:D163"/>
    <mergeCell ref="A164:B164"/>
    <mergeCell ref="C164:D164"/>
    <mergeCell ref="A165:B165"/>
    <mergeCell ref="C165:D165"/>
    <mergeCell ref="A166:B166"/>
    <mergeCell ref="C166:D166"/>
    <mergeCell ref="A167:B167"/>
    <mergeCell ref="C167:D167"/>
    <mergeCell ref="A168:B168"/>
    <mergeCell ref="C168:D168"/>
    <mergeCell ref="A169:B169"/>
    <mergeCell ref="C169:D169"/>
    <mergeCell ref="A170:B170"/>
    <mergeCell ref="C170:D170"/>
    <mergeCell ref="A171:B171"/>
    <mergeCell ref="C171:D171"/>
    <mergeCell ref="A172:B172"/>
    <mergeCell ref="C172:D172"/>
    <mergeCell ref="A173:B173"/>
    <mergeCell ref="C173:D173"/>
    <mergeCell ref="A174:B174"/>
    <mergeCell ref="C174:D174"/>
    <mergeCell ref="A175:B175"/>
    <mergeCell ref="C175:D175"/>
    <mergeCell ref="A176:B176"/>
    <mergeCell ref="C176:D176"/>
    <mergeCell ref="A177:B177"/>
    <mergeCell ref="C177:D177"/>
    <mergeCell ref="A178:B178"/>
    <mergeCell ref="C178:D178"/>
    <mergeCell ref="A269:E269"/>
    <mergeCell ref="A276:E276"/>
    <mergeCell ref="A292:E292"/>
    <mergeCell ref="A299:Q299"/>
    <mergeCell ref="A180:D180"/>
    <mergeCell ref="A196:D196"/>
    <mergeCell ref="A204:D204"/>
    <mergeCell ref="A212:D212"/>
    <mergeCell ref="A238:D238"/>
    <mergeCell ref="A260:D260"/>
    <mergeCell ref="A298:E298"/>
  </mergeCells>
  <conditionalFormatting sqref="A34:D34">
    <cfRule type="expression" dxfId="244" priority="17">
      <formula>$C$33="Horizontal"</formula>
    </cfRule>
  </conditionalFormatting>
  <conditionalFormatting sqref="A35:D37 A39:D39">
    <cfRule type="expression" dxfId="243" priority="16">
      <formula>$C$33="Vertical"</formula>
    </cfRule>
  </conditionalFormatting>
  <conditionalFormatting sqref="A47:D48">
    <cfRule type="expression" dxfId="242" priority="15">
      <formula>$C$45="No"</formula>
    </cfRule>
  </conditionalFormatting>
  <conditionalFormatting sqref="A59:D59">
    <cfRule type="expression" dxfId="241" priority="12">
      <formula>$C$58="Dome"</formula>
    </cfRule>
  </conditionalFormatting>
  <conditionalFormatting sqref="A60:D60">
    <cfRule type="expression" dxfId="240" priority="11">
      <formula>$C$58="Cone"</formula>
    </cfRule>
  </conditionalFormatting>
  <conditionalFormatting sqref="A67:D68 A140:D154 A157:L178 A181:D210 A277:E291">
    <cfRule type="expression" dxfId="239" priority="13">
      <formula>$B$12="Fixed"</formula>
    </cfRule>
  </conditionalFormatting>
  <conditionalFormatting sqref="A130:D137 A270:E275">
    <cfRule type="expression" dxfId="238" priority="14">
      <formula>$B$12="Floating"</formula>
    </cfRule>
  </conditionalFormatting>
  <conditionalFormatting sqref="A197:D203">
    <cfRule type="expression" dxfId="237" priority="22">
      <formula>$C$190="Drain dry"</formula>
    </cfRule>
  </conditionalFormatting>
  <conditionalFormatting sqref="A201:D202">
    <cfRule type="expression" dxfId="236" priority="19">
      <formula>NOT(OR(ISBLANK($C$68),$C$68="Internal Floating Roof"))</formula>
    </cfRule>
  </conditionalFormatting>
  <conditionalFormatting sqref="A206:D206">
    <cfRule type="expression" dxfId="235" priority="9">
      <formula>RIGHT($C$190,11)="liquid heel"</formula>
    </cfRule>
  </conditionalFormatting>
  <conditionalFormatting sqref="A208:D209">
    <cfRule type="expression" dxfId="234" priority="18">
      <formula>NOT(OR(ISBLANK($C$68),$C$68="External Floating Roof"))</formula>
    </cfRule>
  </conditionalFormatting>
  <conditionalFormatting sqref="A215:D236 A294:E296">
    <cfRule type="expression" dxfId="233" priority="8">
      <formula>AND($C$214=0,ISNUMBER($C$214))</formula>
    </cfRule>
  </conditionalFormatting>
  <conditionalFormatting sqref="A224:D226">
    <cfRule type="expression" dxfId="232" priority="7">
      <formula>$C$223="Vapor Analyzer"</formula>
    </cfRule>
  </conditionalFormatting>
  <conditionalFormatting sqref="A241:D258 A272:E272 A282:E282">
    <cfRule type="expression" dxfId="231" priority="6">
      <formula>$C$240="No"</formula>
    </cfRule>
  </conditionalFormatting>
  <conditionalFormatting sqref="A242:D244">
    <cfRule type="expression" dxfId="230" priority="5">
      <formula>NOT(OR(ISBLANK($C$241),$C$241="Laboratory GOR"))</formula>
    </cfRule>
  </conditionalFormatting>
  <conditionalFormatting sqref="A245:D257">
    <cfRule type="expression" dxfId="229" priority="4">
      <formula>NOT(OR(ISBLANK($C$241),$C$241="Vasquez-Beggs Equation"))</formula>
    </cfRule>
  </conditionalFormatting>
  <conditionalFormatting sqref="A263:D267 A273:E273 A284:E284">
    <cfRule type="expression" dxfId="228" priority="3">
      <formula>$C$262="No"</formula>
    </cfRule>
  </conditionalFormatting>
  <conditionalFormatting sqref="A3:Q3">
    <cfRule type="expression" dxfId="227" priority="1" stopIfTrue="1">
      <formula>NOT(ISBLANK($F$4))</formula>
    </cfRule>
  </conditionalFormatting>
  <conditionalFormatting sqref="H158:K177">
    <cfRule type="expression" dxfId="225" priority="23">
      <formula>OR($C$68="Domed/Covered external floating roof",$C$68="Internal Floating Roof")</formula>
    </cfRule>
  </conditionalFormatting>
  <dataValidations count="192">
    <dataValidation type="list" allowBlank="1" showErrorMessage="1" prompt="Is this a Variable Vapor Space tank? Select or enter &quot;Yes&quot; or &quot;No&quot;." sqref="C262" xr:uid="{5717D660-009A-4541-9ED9-45132F0185F4}">
      <formula1>"Yes,No"</formula1>
    </dataValidation>
    <dataValidation allowBlank="1" showErrorMessage="1" prompt="If this is a Variable Vapor Space tank, enter the volume of liquid pumped into the system (throughput, V1), if necessary:" sqref="C263" xr:uid="{90F7A11F-F2B8-40EC-9658-F9DF36A45435}"/>
    <dataValidation allowBlank="1" showErrorMessage="1" prompt="If this is a Variable Vapor Space tank, enter the volume expansion capacity of the system (V2):" sqref="C264" xr:uid="{8A17E712-82C6-42E6-9754-25B3E696AC25}"/>
    <dataValidation type="list" allowBlank="1" showErrorMessage="1" prompt="If this is a Variable Vapor Space tank, enter the volume of liquid pumped into the system (throughput, V1), if necessary:" sqref="C263" xr:uid="{99F6EC5D-FAA6-4C56-B686-6AD07C4A54EB}">
      <formula1>"Fixed, Floating"</formula1>
    </dataValidation>
    <dataValidation allowBlank="1" showErrorMessage="1" prompt="If this is a Variable Vapor Space tank, enter the number of transfers into system (N2):" sqref="C265" xr:uid="{7F831886-F714-4275-93F5-F40F9E57EC75}"/>
    <dataValidation allowBlank="1" showErrorMessage="1" prompt="If this is a Variable Vapor Space tank, enter the total variable vapor space filling loss, if necessary, in pounds per thousand gallons throughput." sqref="C266" xr:uid="{8BC8888A-5C70-49EA-89A7-AFB451229496}"/>
    <dataValidation allowBlank="1" showErrorMessage="1" prompt="If this is a Variable Vapor Space tank, enter the total variable vapor space filling loss, if necessary, in pounds per year." sqref="C267" xr:uid="{B0E4A149-6AD0-46E3-BB21-E8E9FD2C133E}"/>
    <dataValidation type="decimal" allowBlank="1" showErrorMessage="1" error="VOC fraction must be between 0.5 (50%) - 1.0 (100%)." prompt="If using the Vasquez-Beggs Equation, enter the fraction of VOC in the stock tank gas:" sqref="C250" xr:uid="{8C3CBEB7-8569-46AB-9F03-8B47616FC72D}">
      <formula1>0.5</formula1>
      <formula2>1</formula2>
    </dataValidation>
    <dataValidation allowBlank="1" showErrorMessage="1" prompt="If using the Vasquez-Beggs Equation, enter the dissolved gas gravity at 100 psig, if necessary:" sqref="C251" xr:uid="{9327966C-10D2-400F-8666-B5FB6D872972}"/>
    <dataValidation allowBlank="1" showErrorMessage="1" prompt="If using the Vasquez-Beggs Equation, enter the the value for the constant C1." sqref="C252" xr:uid="{83C77821-C9B9-41DA-8A72-6334138F5B37}"/>
    <dataValidation allowBlank="1" showErrorMessage="1" prompt="If using the Vasquez-Beggs Equation, enter the the value for the constant C2." sqref="C253" xr:uid="{64649233-F364-421D-8D1E-CB188B3AF891}"/>
    <dataValidation allowBlank="1" showErrorMessage="1" prompt="If using the Vasquez-Beggs Equation, enter the the value for the constant C3." sqref="C254" xr:uid="{23B04C5B-3B17-4D68-986E-67A21862C620}"/>
    <dataValidation allowBlank="1" showErrorMessage="1" prompt="If using the Vasquez-Beggs Equation, enter the Gas/Oil Ratio of liquid at pressure of interest, if necessary:" sqref="C255" xr:uid="{9C4580CC-A656-4125-8247-658B4AEE2333}"/>
    <dataValidation allowBlank="1" showErrorMessage="1" prompt="If using the Vasquez-Beggs Equation, enter the volume of gas at given pressure and temperature, if necessary. The default value 1/379.48 scf/lb-mole is at Standard Conditions." sqref="C256" xr:uid="{94234F67-D0A0-4482-B274-60838FA7A1C5}"/>
    <dataValidation allowBlank="1" showErrorMessage="1" prompt="If using the Vasquez-Beggs Equation, enter the total amount of hydrocarbons in tons per year, if necessary:" sqref="C257" xr:uid="{F8BF34BC-C9E5-47BF-BA5A-4B32EB09DA30}"/>
    <dataValidation allowBlank="1" showErrorMessage="1" prompt="Enter the total calculated or measured emissions from flashing, if necessary:" sqref="C258" xr:uid="{1D526764-E6B3-44B1-8E2A-50A88635585E}"/>
    <dataValidation type="list" allowBlank="1" showErrorMessage="1" prompt="What method of analyzing flashing was used? Select or enter a method from the drop-down menu:" sqref="C241" xr:uid="{683F264D-3190-439B-865A-E9BB501715A8}">
      <formula1>"Laboratory GOR,Computer simulation modeling,Vasquez-Beggs Equation,Direct Measurement"</formula1>
    </dataValidation>
    <dataValidation type="decimal" allowBlank="1" showErrorMessage="1" error="API Gravity must be between 16 - 40° to use Vasquex-Beggs Equation. If API is below range, increase to minimum 16°. Do not use this equation if API is over 40°." prompt="If using the Vasquez-Beggs Equation, enter the stock's API Gravity:" sqref="C245" xr:uid="{60523F3A-4825-44B5-A465-EFDF19DA7B55}">
      <formula1>16</formula1>
      <formula2>40</formula2>
    </dataValidation>
    <dataValidation type="decimal" allowBlank="1" showErrorMessage="1" error="Seperator pressure must be between 35.3 - 5235.3 psig (or 50 - 5250 psia) to use this equation. If below range, increase to minimum 35.3 psig/50 psia." prompt="If using the Vasquez-Beggs Equation, enter the seperator pressure." sqref="C246" xr:uid="{607DE172-07E5-4E01-96D7-694F98A0C5AB}">
      <formula1>35.3</formula1>
      <formula2>5235.3</formula2>
    </dataValidation>
    <dataValidation type="decimal" allowBlank="1" showErrorMessage="1" error="Seperator Temperature must be between 70 - 295°F. If the temperature is outside this range, you cannot use the Vasquez-Beggs Equation." prompt="If using the Vasquez-Beggs Equation, enter the seperator temperature, in Fahrenheit." sqref="C247" xr:uid="{1842B9E2-A620-4AE0-85A6-CB9A841FBC8E}">
      <formula1>70</formula1>
      <formula2>295</formula2>
    </dataValidation>
    <dataValidation type="decimal" allowBlank="1" showErrorMessage="1" error="Seperator Temperature must be between 529 - 755°R. If the temperature is outside this range, you cannot use the Vasquez-Beggs Equation." prompt="If using the Vasquez-Beggs Equation, enter the seperator temperature, in Rankine." sqref="C248" xr:uid="{0B2CBA1E-4E5D-4D9C-A6DB-6615205DC9E9}">
      <formula1>529</formula1>
      <formula2>755</formula2>
    </dataValidation>
    <dataValidation type="decimal" allowBlank="1" showErrorMessage="1" error="Seperator Gas Gravity must be between 0.56 - 1.18. If the gas gravity is below this range, you can increase to minimum 0.56. If gas gravity is above this range, you cannot use this equation." prompt="If using the Vasquez-Beggs Equation, enter the seperator gas gravity." sqref="C249" xr:uid="{348EFFC5-9008-4FD1-9720-F6F42A8C7D63}">
      <formula1>0.56</formula1>
      <formula2>1.18</formula2>
    </dataValidation>
    <dataValidation type="list" allowBlank="1" showErrorMessage="1" prompt="Does this tank store a liquid with a possibility of undergoing flashing? Select or enter yes or no." sqref="C240" xr:uid="{1CE75D8D-9080-4754-9E5D-EA5752505CF4}">
      <formula1>"Yes,No"</formula1>
    </dataValidation>
    <dataValidation allowBlank="1" showErrorMessage="1" prompt="If using the Laboratory Gas-Oil Ratio (GOR) method, enter the GOR:" sqref="C242" xr:uid="{E3D0CD41-C009-4CB0-9234-7F993F27014F}"/>
    <dataValidation allowBlank="1" showErrorMessage="1" prompt="If using the Laboratory GOR method, enter the volume of gas at given pressure and temperature, if necessary. The default value 1/379.48 scf/lb-mole is at Standard Conditions." sqref="C243" xr:uid="{4FAD9709-0413-4076-B98C-91837B9A445B}"/>
    <dataValidation allowBlank="1" showErrorMessage="1" prompt="If using the Laboratory GOR method, enter the molecular weight of the flash gas:" sqref="C244" xr:uid="{5CB20FDF-65B6-43B0-8676-BE2A4E51E242}"/>
    <dataValidation allowBlank="1" showErrorMessage="1" prompt="Enter the decimal fraction of the sludge with potential to evaporate once all the free-standing liquid had been vacuumed (or drained) out." sqref="C233" xr:uid="{833A3264-66DC-40AE-AF67-A845705FAC73}"/>
    <dataValidation allowBlank="1" showErrorMessage="1" prompt="Enter the duration of continued forced ventilation once all the free-standing liquid had been vacuumed (or drained) out:" sqref="C234" xr:uid="{45DC249B-7422-4420-A08C-2FD4FA943CD3}"/>
    <dataValidation allowBlank="1" showErrorMessage="1" prompt="Enter the daily period of forced ventilation once all the free-standing liquid had been vacuumed (or drained) out." sqref="C235" xr:uid="{E9ADEA07-0FFD-42CA-8150-72658A48C018}"/>
    <dataValidation allowBlank="1" showErrorMessage="1" prompt="Enter the average depth of sludge once all the free-standing liquid had been vacuumed (or drained) out." sqref="C236" xr:uid="{AD7B84F6-B8FD-43EB-94AE-5A86695B4A48}"/>
    <dataValidation type="list" allowBlank="1" showErrorMessage="1" prompt="How is the average vapor concentration measured? Select or enter a response from the drop-down menu." sqref="C223" xr:uid="{D41931E9-A702-4FE3-B541-DF538196B217}">
      <formula1>"LEL Reading,Vapor Analyzer"</formula1>
    </dataValidation>
    <dataValidation allowBlank="1" showErrorMessage="1" prompt="If using a Lower Explosive Limit (LEL) reading, enter the average LEL, as displayed, as a decimal fraction:" sqref="C224" xr:uid="{47AD035E-5F62-4240-8951-A79FDCA976A9}"/>
    <dataValidation allowBlank="1" showErrorMessage="1" prompt="If using a LEL reading, enter the LEL of the calibration gas, as a decimal fraction:" sqref="C225" xr:uid="{365C040B-5A21-44A2-BE1C-1FA4FC8830E1}"/>
    <dataValidation allowBlank="1" showErrorMessage="1" prompt="If using a LEL reading, enter the Response Factor (RF), if known:" sqref="C226" xr:uid="{59F52C8C-7F26-445E-B846-9AAC66B8E485}"/>
    <dataValidation allowBlank="1" showErrorMessage="1" prompt="Enter the average vapor concentration by volume during continued forced ventilation, if known:" sqref="C227" xr:uid="{2F439D39-9875-42BD-BB9C-97BA7BCF1E81}"/>
    <dataValidation allowBlank="1" showErrorMessage="1" prompt="Enter the average ventilation rate during forced ventilation." sqref="C228" xr:uid="{72BF940E-86BE-4DE9-A11B-708B65FA5917}"/>
    <dataValidation allowBlank="1" showErrorMessage="1" prompt="Enter the duration of continued forced ventilation, in days." sqref="C229" xr:uid="{70E41AB1-DA13-40D4-9FB3-ADA5FECFF432}"/>
    <dataValidation allowBlank="1" showErrorMessage="1" prompt="Enter the daily period of forced ventilation. Note: Do not include the initial time for the vapor space purge. It would be reasonable to neglect the first half hour from each stage of continued forced ventilation." sqref="C230" xr:uid="{FE6F251A-8020-474E-90AA-71429270428F}"/>
    <dataValidation allowBlank="1" showErrorMessage="1" prompt="Enter the calibration gas molecular weight." sqref="C231" xr:uid="{65DFFB0C-07C2-449E-8956-132E4850546C}"/>
    <dataValidation allowBlank="1" showErrorMessage="1" prompt="Enter the effective height of the stock liquid and sludge for the given stage of continued forced ventilation." sqref="C232" xr:uid="{9F77672D-FDF5-4FD1-BF54-D415C88F197A}"/>
    <dataValidation allowBlank="1" showErrorMessage="1" prompt="Enter how many times per year is this tank cleaned." sqref="C214" xr:uid="{2C9B20F6-1CFE-4D89-B029-2F246E580514}"/>
    <dataValidation allowBlank="1" showErrorMessage="1" prompt="Enter the stock vapor molecular weight, if necessary:" sqref="C215" xr:uid="{6C78227B-627E-4E50-80D7-A7668BBA4387}"/>
    <dataValidation allowBlank="1" showErrorMessage="1" prompt="Enter the true vapor pressure of the exposed volatile material in the tank, if necessary:" sqref="C216" xr:uid="{B9D3700C-0BC0-4DDC-A30F-7409454DF5DA}"/>
    <dataValidation allowBlank="1" showErrorMessage="1" prompt="Enter the average temperature of the vapor space, if necessary:" sqref="C217" xr:uid="{D09CCCE3-602E-4C8A-88E3-D0D123A64E4D}"/>
    <dataValidation allowBlank="1" showErrorMessage="1" prompt="Enter the height of the stock liquid and sludge above the tank bottom at the tank shell, if necessary:" sqref="C219" xr:uid="{6AB89F53-90EC-4AA9-9C2A-6756EB63F6F5}"/>
    <dataValidation allowBlank="1" showErrorMessage="1" prompt="Enter the number of days between turnover, if necessary:" sqref="C220" xr:uid="{3302DE35-3314-44E5-9ED5-45B46A025D7B}"/>
    <dataValidation allowBlank="1" showErrorMessage="1" prompt="Enter the saturation factor, if necessary:" sqref="C221" xr:uid="{D9205B04-C92E-49C9-A845-6A9EE90BAE21}"/>
    <dataValidation allowBlank="1" showErrorMessage="1" prompt="Enter the number of vapor space purges per year that follow a cessation of forces ventilation overnight, other than the initial vapor space purge:" sqref="C222" xr:uid="{E917F513-FF29-4D9A-AF18-2B8C003A7775}"/>
    <dataValidation allowBlank="1" showErrorMessage="1" prompt="If this is a drain-dry tank, enter the area of the tank bottom, if necessary:" sqref="C206" xr:uid="{E3F2D49B-9212-4A46-83C2-D93C70CB05F1}"/>
    <dataValidation allowBlank="1" showErrorMessage="1" prompt="Enter the filling saturation factor, if necessary:" sqref="C207" xr:uid="{407A2139-7666-4CCA-8D49-9578CB2E3AD5}"/>
    <dataValidation allowBlank="1" showErrorMessage="1" prompt="If this is an external floating roof tank, enter the filling saturation correction factor for wind, if necessary:" sqref="C208" xr:uid="{91D96B16-6C66-4B16-A6A5-682B66040A2A}"/>
    <dataValidation allowBlank="1" showErrorMessage="1" prompt="If this is an external floating roof tank, enter the height of the vapor space under the floating roof." sqref="C209" xr:uid="{3CE96FF7-354E-43EF-B2ED-03C7777DC556}"/>
    <dataValidation allowBlank="1" showErrorMessage="1" prompt="Enter the volume of the vapor space, if necessary:" sqref="C210 C218" xr:uid="{8C22296A-1771-4803-969F-5C96301F06DC}"/>
    <dataValidation allowBlank="1" showErrorMessage="1" prompt="Enter the effective height of the stock liquid inside the tank:" sqref="C198" xr:uid="{07165229-9F5F-45FC-8DA5-CBC9A775992F}"/>
    <dataValidation allowBlank="1" showErrorMessage="1" prompt="Enter the frequency of landing episodes, if necessary:" sqref="C199" xr:uid="{C507B370-993F-4CEA-8FFF-3FDF719510D2}"/>
    <dataValidation allowBlank="1" showErrorMessage="1" prompt="If this is an internal floating roof tank, enter the vapor space expansion factor, if necessary: Note that if a distillate material is used, a different vapor space expansion factor may apply." sqref="C201" xr:uid="{BD2125CC-4CE8-4C5C-9C7C-2562DA0C9B2B}"/>
    <dataValidation allowBlank="1" showErrorMessage="1" prompt="If this is an internal floating roof tank, enter the saturation factor, if necessary:" sqref="C202" xr:uid="{DB0D790E-65A4-4296-9274-48B316CB4A7A}"/>
    <dataValidation allowBlank="1" showErrorMessage="1" prompt="Enter the number of days that the tank stands idle." sqref="C203" xr:uid="{39F1410C-170A-47E4-8628-ADBB5699EF2B}"/>
    <dataValidation type="list" allowBlank="1" showErrorMessage="1" prompt="Is this tank have a liquid &quot;heel&quot; or is it drain-dry? Select or enter &quot;Full liquid heel&quot;, &quot;Partial liquid heel&quot;, or &quot;Drain dry&quot;." sqref="C190" xr:uid="{F34DDE2E-7B40-4472-81B4-67B06E8CEA82}">
      <formula1>"Full liquid heel,Partial liquid heel,Drain dry"</formula1>
    </dataValidation>
    <dataValidation allowBlank="1" showErrorMessage="1" prompt="Enter the true vapor pressure of the stock liquid at the temperature beneath the landed floating roof, if different than average ambient temperature:" sqref="C191" xr:uid="{3EE05351-2E9E-41C7-9415-027A42658832}"/>
    <dataValidation allowBlank="1" showErrorMessage="1" prompt="Enter the average vapor temperature at the temperature beneath the landed floating roof, if different than average ambient temperature, in Fahrenheit." sqref="C192" xr:uid="{9A63186A-492D-4073-AFD8-72BA3858889E}"/>
    <dataValidation allowBlank="1" showErrorMessage="1" prompt="Enter the average vapor temperature at the temperature beneath the landed floating roof, if different than average ambient temperature, in Rankine." sqref="C193" xr:uid="{25422051-DA25-46DA-B0CF-F043592FB653}"/>
    <dataValidation allowBlank="1" showErrorMessage="1" prompt="If a distillate material is added to decrease volatility during roof landing, enter the average molecular weight of the new mixture:" sqref="C194" xr:uid="{4AD8497E-52C9-4551-8D96-08212E2CFDC6}"/>
    <dataValidation allowBlank="1" showErrorMessage="1" prompt="Enter the result of the vapor pressure function at the temperature beneath the landed floating roof, if necessary:" sqref="C195" xr:uid="{181941D4-4612-40AF-B599-D7C4EC302E0A}"/>
    <dataValidation type="list" allowBlank="1" prompt="If total length of deck seams is unknown, select or enter the type of deck seam construction (e.g. Continuous sheet construction, Panel construction):" sqref="C186" xr:uid="{4EFF6F9A-62DC-453C-8B12-51FC737E85A7}">
      <formula1>"Continuous sheet construction,Panel construction"</formula1>
    </dataValidation>
    <dataValidation type="list" allowBlank="1" prompt="If total length of deck seams is unknown, select or enter average deck seam size:" sqref="C187" xr:uid="{89E3674E-2E4E-44AF-A283-E853BF361850}">
      <formula1>INDIRECT(LEFT($C$186,5))</formula1>
    </dataValidation>
    <dataValidation allowBlank="1" showErrorMessage="1" prompt="Enter deck fitting loss factor (FF), if necessary:" sqref="C182" xr:uid="{B8B9BAFF-8A01-4EC1-BD52-5065B2A4317B}"/>
    <dataValidation type="list" allowBlank="1" showErrorMessage="1" prompt="Is the deck seam welded? Select or enter &quot;Yes&quot; or &quot;No&quot;." sqref="C183" xr:uid="{E7B3127F-6A7C-4474-BCBB-366DDF8471CB}">
      <formula1>"Yes,No"</formula1>
    </dataValidation>
    <dataValidation allowBlank="1" showErrorMessage="1" prompt="Enter the area of the deck, if necessary:" sqref="C184" xr:uid="{15B80712-1017-490F-BFD6-0D880573CB45}"/>
    <dataValidation allowBlank="1" showErrorMessage="1" prompt="Enter the total length of the deck seams, if known:" sqref="C185" xr:uid="{538E352E-9220-4D0B-845C-EBF55C6B91B8}"/>
    <dataValidation type="list" allowBlank="1" showErrorMessage="1" prompt="If total length of deck seams is unknown, select or enter the type of deck seam construction (e.g. Continuous sheet construction, Panel construction):" sqref="C186" xr:uid="{5A6D67FE-83E0-4729-A332-DB16743CC202}">
      <formula1>"Continuous sheet construction,Panel construction"</formula1>
    </dataValidation>
    <dataValidation allowBlank="1" showErrorMessage="1" prompt="Enter the deck seam length factor, if necessary:" sqref="C188" xr:uid="{56E68698-7ADB-4FB6-A8AF-9B5F3F23FAA0}"/>
    <dataValidation allowBlank="1" showErrorMessage="1" prompt="Enter the deck seam loss per unit seam length factor, if necessary:" sqref="C189" xr:uid="{1F2FACBB-0F0B-498B-87F8-1DDB532DF27A}"/>
    <dataValidation allowBlank="1" showErrorMessage="1" prompt="Enter the loss factor if the previous column's calculated value is inaccurate." sqref="K158:K177" xr:uid="{221E9BF2-0AD0-41F2-835F-EAF28C22D9DB}"/>
    <dataValidation allowBlank="1" showErrorMessage="1" prompt="Enter the wind speed-dependent loss factor if the previous column's calculated value is inaccurate." sqref="I158:I177" xr:uid="{A4B7AF90-32AE-482C-88EC-32DB377980CF}"/>
    <dataValidation allowBlank="1" showErrorMessage="1" prompt="Enter the zero wind speed loss factor if the previous column's calculated value is inaccurate." sqref="G158:G177" xr:uid="{6E942D22-A76F-41EE-AFFE-07815E297675}"/>
    <dataValidation allowBlank="1" showErrorMessage="1" prompt="Enter the number of fittings per fitting type." sqref="E158:E177" xr:uid="{1E945A6F-213E-43C5-8ACA-E795AA624A3D}"/>
    <dataValidation type="list" allowBlank="1" showErrorMessage="1" prompt="Select or enter the shell condition (e.g. &quot;Light Rust&quot;, &quot;Dense Rust&quot;, or &quot;Gunite Lining&quot;):" sqref="C150" xr:uid="{DDF523C7-CC90-43E9-8758-4447774E2FA3}">
      <formula1>"Light Rust,Dense Rust,Gunite Lining"</formula1>
    </dataValidation>
    <dataValidation allowBlank="1" showErrorMessage="1" prompt="Enter shell clingage factor CS, if necessary:" sqref="C151" xr:uid="{54DBA1CB-0B76-49EA-B7C5-903477757664}"/>
    <dataValidation allowBlank="1" showErrorMessage="1" prompt="Enter the number of fixed roof support columns (NC), if necessary. For a self-supporting external floating roof tank, enter 0. For a column-supported fixed roof, use tank-specific information." sqref="C152" xr:uid="{2FC7B32C-DD6B-4D84-ADF0-D6BC3DF8B942}"/>
    <dataValidation allowBlank="1" showErrorMessage="1" prompt="Enter the tank-specific column diameter (FC), if known." sqref="C153" xr:uid="{C06E4EDC-C303-491D-B7BA-91B5FFC7D6F8}"/>
    <dataValidation allowBlank="1" showErrorMessage="1" prompt="Enter average organic liquid density." sqref="C154" xr:uid="{D2276455-46EF-43BE-BB42-CE9262542BAB}"/>
    <dataValidation type="list" allowBlank="1" prompt="What subsystem is in use (e.g. &quot;Primary only&quot;, &quot;Shoe-Mounted Secondary&quot;, &quot;Weather Shield&quot;, or &quot;Rim-Mounted Secondary&quot;) Select or enter from drop-down menu:" sqref="C142" xr:uid="{83804247-A1AE-483A-8BC4-6DBA460EE7EE}">
      <formula1>IF($C$141="Mechanical-shoe seal",Subsystem1,Subsystem2)</formula1>
    </dataValidation>
    <dataValidation type="list" allowBlank="1" prompt="What rim-seal system is in use? Select or enter from drop-down menu:" sqref="C141" xr:uid="{0407851E-C73D-4625-8ACA-5F8DE90662B1}">
      <formula1>INDIRECT($C$31)</formula1>
    </dataValidation>
    <dataValidation type="list" allowBlank="1" prompt="Is the rim seal maintained with no gaps greater than 1/8 in. wide between the rim seal and the tank shell? (Note: If the seal is maintained with gaps no greater than 1/8 in., &quot;Tight-fitting&quot; rim-seal loss facotrs may apply.)" sqref="C143" xr:uid="{E502A2D9-8B88-4988-B465-132ECEF173FB}">
      <formula1>"Yes,No"</formula1>
    </dataValidation>
    <dataValidation allowBlank="1" showErrorMessage="1" prompt="Enter the zero-wind-speed rim seal loss factor (KRa), if necessary:" sqref="C144" xr:uid="{65E3AC6E-3533-43B8-8CE2-31ADBCFD0B44}"/>
    <dataValidation allowBlank="1" showErrorMessage="1" prompt="Enter the wind-speed dependent rim seal loss factor (KRb), if necessary:" sqref="C145" xr:uid="{B7413F10-C58C-41D8-84A9-C3E832EC3478}"/>
    <dataValidation allowBlank="1" showErrorMessage="1" prompt="Enter the seal-related wind speed exponent (n), if necessary:" sqref="C146" xr:uid="{3B909DA1-4735-491F-B3DE-F45E56796F75}"/>
    <dataValidation allowBlank="1" showErrorMessage="1" prompt="Enter the average molecular weight (MV), if necessary:" sqref="C147" xr:uid="{6AAC310C-7D91-4F18-A8DA-B6F636196695}"/>
    <dataValidation allowBlank="1" showErrorMessage="1" prompt="Enter the average ambient wind speed at the tank site (v), if necessary:" sqref="C148" xr:uid="{B7C7FD28-AC55-480A-9FD1-02AC600672FA}"/>
    <dataValidation allowBlank="1" showErrorMessage="1" prompt="Enter the result of the vapor pressure function, if necessary:" sqref="C149" xr:uid="{D2C4B2F0-468D-4423-8F7E-0EEF1EBE60AE}"/>
    <dataValidation allowBlank="1" showErrorMessage="1" prompt="Enter average organic liquid density, if necessary." sqref="C131" xr:uid="{A2ED8C1C-B21A-4F5E-A630-24CB337D2E2D}"/>
    <dataValidation allowBlank="1" showErrorMessage="1" prompt="Enter the vapor density, if necessary:" sqref="C132 C200" xr:uid="{BD14F233-F35E-4936-95E5-03A712176857}"/>
    <dataValidation allowBlank="1" showErrorMessage="1" prompt="Enter the average molecular weight, if necessary:" sqref="C133" xr:uid="{4F4848C8-F4DE-46CD-AF9B-48AF08811272}"/>
    <dataValidation allowBlank="1" showErrorMessage="1" prompt="Enter the vented vapor saturation factor, if necessary:" sqref="C134" xr:uid="{761E2C54-9BC4-4477-861E-1B5FDD435539}"/>
    <dataValidation allowBlank="1" showErrorMessage="1" prompt="Enter the vapor space expansion factor, if necessary:" sqref="C135" xr:uid="{5944EBB5-5DD6-4807-9648-336FB96F6486}"/>
    <dataValidation allowBlank="1" showErrorMessage="1" prompt="Enter the pressure of the vapor space at normal operating conditions, if not held at atmospheric pressure:" sqref="C136" xr:uid="{2710A64E-BBB2-4CB1-95D7-108AA05958FA}"/>
    <dataValidation allowBlank="1" showErrorMessage="1" prompt="Enter the vent setting correction factor, if necessary:" sqref="C137" xr:uid="{4943D6D0-BBA2-46E9-9248-3FFCFBFB7FEE}"/>
    <dataValidation type="decimal" allowBlank="1" showErrorMessage="1" prompt="If this tank has a special vapor control efficiency, enter the control efficiency as a decimal (e.g. 0.905 for 90.5%)." sqref="C127" xr:uid="{F2E08023-68F8-4B61-841F-838EEA93B1C7}">
      <formula1>0</formula1>
      <formula2>1</formula2>
    </dataValidation>
    <dataValidation type="list" allowBlank="1" prompt="If this tank has a special vapor control efficiency, select or enter the method or technology (e.g. Flare, TO, VCU, etc.)." sqref="C126" xr:uid="{41C85C2D-D64E-4642-BDB2-CFDF1CAEFF79}">
      <formula1>"Flare,TO,VCU"</formula1>
    </dataValidation>
    <dataValidation allowBlank="1" showErrorMessage="1" prompt="Enter the breather vent pressure setting:" sqref="C121" xr:uid="{5B613150-B802-45DA-8EAA-E7F7DA98474C}"/>
    <dataValidation allowBlank="1" showErrorMessage="1" prompt="Enter the breather vent vacuum setting:" sqref="C122" xr:uid="{9A73648C-FBA7-4CD1-8700-D91F732E6653}"/>
    <dataValidation allowBlank="1" showErrorMessage="1" prompt="Enter the breather vent pressure setting range, if necessary." sqref="C123" xr:uid="{23023E0E-1A82-4639-A61C-D9AA3E413B6F}"/>
    <dataValidation allowBlank="1" showErrorMessage="1" prompt="Enter the average daily vapor pressure range, if necessary:" sqref="C124" xr:uid="{2D825F59-7D9B-48D4-BE60-C37D12A0F0AA}"/>
    <dataValidation allowBlank="1" showErrorMessage="1" prompt="Enter true vapor pressure, if necessary:" sqref="C125" xr:uid="{8A273520-41C0-443A-ADBF-749B8B2B1305}"/>
    <dataValidation allowBlank="1" showErrorMessage="1" prompt="Enter the vapor pressure at average daily minimum liquid surface temperature if the calculated vapor pressure at average daily minimum liquid surface temperature (above) is inaccurate." sqref="B111:P111" xr:uid="{DD56491F-17DC-48D2-B738-3CE162DF3B21}"/>
    <dataValidation allowBlank="1" showErrorMessage="1" prompt="Enter the vapor pressure at average daily maximum liquid surface temperature if the calculated vapor pressure at average daily maximum liquid surface temperature (above) is inaccurate." sqref="B109:P109" xr:uid="{7C0AC3E0-8AF8-4CCC-9FEC-671B900405B3}"/>
    <dataValidation allowBlank="1" showErrorMessage="1" prompt="Enter the vapor pressure at average daily liquid surface temperature if the calculated vapor pressure at average daily liquid surface temperature (above) is inaccurate." sqref="B107:P107" xr:uid="{41821CEE-53F7-47ED-AEEE-A7921E1B825F}"/>
    <dataValidation allowBlank="1" showErrorMessage="1" prompt="Enter the Reid vapor pressure if vapor pressure constant C is unknown and the calculated Reid vapor pressure (above) is inaccurate." sqref="B105:P105" xr:uid="{33D3054E-4C87-4173-A0CD-D5FBD06C6A79}"/>
    <dataValidation allowBlank="1" showErrorMessage="1" prompt="Enter the vapor pressure constant C if the calculated vapor pressure constant C (above) is inaccurate." sqref="B103:P103" xr:uid="{B9D83788-FFB1-4651-80D0-1EFB55452308}"/>
    <dataValidation allowBlank="1" showErrorMessage="1" prompt="Enter the vapor pressure constant B if the calculated vapor pressure constant B (above) is inaccurate." sqref="B101:P101" xr:uid="{5708ACC9-C83C-4FEF-A02F-A3FAA2A0BEAB}"/>
    <dataValidation allowBlank="1" showErrorMessage="1" prompt="Enter the vapor pressure constant A if the calculated vapor pressure constant A (above) is inaccurate." sqref="B99:P99" xr:uid="{AD7D3AFE-9EC8-416E-85EA-E2ED06E9DB4B}"/>
    <dataValidation allowBlank="1" showErrorMessage="1" prompt="Enter the average daily maximum ambient temperature, if necessary. This cell is for Fahrenheit." sqref="C74" xr:uid="{9F84A4FD-9019-4FF3-810C-9E3B23D321A2}"/>
    <dataValidation allowBlank="1" showErrorMessage="1" prompt="Enter the average daily maximum ambient temperature, if necessary. This cell is for Rankine." sqref="C75" xr:uid="{F87C2B45-20F8-4AFD-8EF8-7AC5E3CBB777}"/>
    <dataValidation allowBlank="1" showErrorMessage="1" prompt="Enter the average daily minimum ambient temperature, if necessary, in Fahrenheit." sqref="C76" xr:uid="{CBC689D3-6375-4486-9976-741EB6627687}"/>
    <dataValidation allowBlank="1" showErrorMessage="1" prompt="Enter the average daily minimum ambient temperature, if necessary, in Rankine." sqref="C77" xr:uid="{69F61A1C-BAE8-4104-8461-E3764F3976E2}"/>
    <dataValidation allowBlank="1" showErrorMessage="1" prompt="Enter the average daily ambient temperature, if necessary, in Fahrenheit." sqref="C78" xr:uid="{2C1B1C65-03D5-4E73-84F4-F6EB1C04F63A}"/>
    <dataValidation allowBlank="1" showErrorMessage="1" prompt="Enter the average daily ambient temperature, if necessary, in Rankine." sqref="C79" xr:uid="{816421E2-7566-4FB8-80E0-FA5CE68B241C}"/>
    <dataValidation allowBlank="1" showErrorMessage="1" prompt="Enter the average daily ambient temperature range, if necessary:" sqref="C80" xr:uid="{7983EE51-2137-44BD-A2B6-F766F7BC3AC5}"/>
    <dataValidation allowBlank="1" showErrorMessage="1" prompt="Enter the liquid bulk temperature, if necessary, in Fahrenheit." sqref="C81" xr:uid="{A5B28604-6FDB-48BF-8387-BA7FDF2B5C74}"/>
    <dataValidation allowBlank="1" showErrorMessage="1" prompt="Enter the liquid bulk temperature, if necessary, in Rankine." sqref="C82" xr:uid="{3516B970-F26C-4488-8E98-09CC70C97EE4}"/>
    <dataValidation allowBlank="1" showErrorMessage="1" prompt="Enter the average daily vapor temperature (Tv), if necessary, in Fahrenheit." sqref="C83" xr:uid="{47CCA207-B82C-4B18-9F95-CF4445817A6F}"/>
    <dataValidation allowBlank="1" showErrorMessage="1" prompt="Enter the average daily vapor temperature (Tv), if necessary, in Rankine." sqref="C84" xr:uid="{063CF96D-4242-413E-9E1C-5250EEA362E1}"/>
    <dataValidation allowBlank="1" showErrorMessage="1" prompt="Enter the average daily vapor temperature range, if necessary:" sqref="C85" xr:uid="{E25151EA-7862-419E-8066-0E88B99551F5}"/>
    <dataValidation allowBlank="1" showErrorMessage="1" prompt="Enter the average daily liquid surface temperature, if necessary, in Fahrenheit." sqref="C86" xr:uid="{1D35AE6A-0178-42D1-A4B6-AF276804864E}"/>
    <dataValidation allowBlank="1" showErrorMessage="1" prompt="Enter the average daily liquid surface temperature, if necessary, in Rankine." sqref="C87" xr:uid="{E90C71A1-F990-44AB-BAA2-8C0F50EAE540}"/>
    <dataValidation allowBlank="1" showErrorMessage="1" prompt="Enter the average daily minimum liquid temperature, if necessary, in Fahrenheit." sqref="C88" xr:uid="{E1F3431A-F5E0-4124-9319-62D7F982157A}"/>
    <dataValidation allowBlank="1" showErrorMessage="1" prompt="Enter the average daily minimum liquid temperature, if necessary, in Rankine." sqref="C89" xr:uid="{5D1DA09C-C0B6-4AC4-A7BC-45366D247CCB}"/>
    <dataValidation allowBlank="1" showErrorMessage="1" prompt="Enter the average daily maximum liquid temperature, if necessary, in Fahrenheit." sqref="C90" xr:uid="{4309C597-4987-48F9-BE70-682A0DDFBFB9}"/>
    <dataValidation allowBlank="1" showErrorMessage="1" prompt="Enter the average daily maximum liquid temperature, if necessary, in Rankine." sqref="C91" xr:uid="{AA38D9FD-9214-409B-8537-0B519B4276E6}"/>
    <dataValidation type="list" allowBlank="1" showErrorMessage="1" prompt="If the tank is a floating roof tank, does this tank have an Internal Floating Roof, External Floating Roof, or a Domed/Covered External Floating Roof? Select or enter from the drop-down menu." sqref="C68" xr:uid="{F02E06B5-6CAE-4223-98DE-A6F98E1712CC}">
      <formula1>"Internal Floating Roof,External Floating Roof, Domed/Covered External Floating Roof"</formula1>
    </dataValidation>
    <dataValidation type="list" allowBlank="1" showErrorMessage="1" prompt="Is the tank fully insulated? Select from the dropdown &quot;Not Insulated&quot;, &quot;Partially Insulated&quot;, or &quot;Fully Insulated&quot;." sqref="C69" xr:uid="{4D8EE7B3-B94E-4640-8A9A-3652438C8CBE}">
      <formula1>"Not Insulated, Partially Insulated, Fully Insulated"</formula1>
    </dataValidation>
    <dataValidation type="list" allowBlank="1" showErrorMessage="1" prompt="If the tank is a floating roof tank, what type of deck is used? Select or enter from the drop down menu &quot;Steel Pontoon&quot;, &quot;Steel Double Deck&quot;, or &quot;Other&quot;." sqref="C67" xr:uid="{3D822D8E-C5BA-4914-BD22-6E8672035D55}">
      <formula1>"Steel Pontoon,Steel Double Deck,Other"</formula1>
    </dataValidation>
    <dataValidation allowBlank="1" showErrorMessage="1" prompt="Enter tank shell paint solar absorptance, if needed." sqref="C70" xr:uid="{9472EB7F-CB76-4C79-8DA3-20D446EE3D60}"/>
    <dataValidation allowBlank="1" showErrorMessage="1" prompt="Enter tank roof paint solar absorptance, if needed." sqref="C71" xr:uid="{F4A6C0F4-7A04-4337-8098-2BD50BDF9B83}"/>
    <dataValidation allowBlank="1" showErrorMessage="1" prompt="Enter tank solar absorptance, if needed." sqref="C72" xr:uid="{6A09226D-EDAD-4482-B147-BACB30C13CE3}"/>
    <dataValidation allowBlank="1" showErrorMessage="1" prompt="Enter the daily total solar insolation, if necessary:" sqref="C73" xr:uid="{C0C1EDE4-2891-4DBB-9E84-E4776E7631CD}"/>
    <dataValidation allowBlank="1" showErrorMessage="1" prompt="If the roof is cone-shaped, enter the tank's roof slope, if necessary:" sqref="C59" xr:uid="{E13E79BE-8683-4E1B-B44B-34CCF29DCD25}"/>
    <dataValidation allowBlank="1" showErrorMessage="1" prompt="If the roof is dome-shaped, enter the tank's roof radius, if necessary:" sqref="C60" xr:uid="{297E44CE-101B-4767-9C35-54C3AB68579D}"/>
    <dataValidation allowBlank="1" showErrorMessage="1" prompt="Enter the tank shell radius, if necessary:" sqref="C61" xr:uid="{4E0E99A6-93F9-4C1F-94BA-76129C56A78D}"/>
    <dataValidation allowBlank="1" showErrorMessage="1" prompt="Enter the tank roof height, if necessary:" sqref="C62" xr:uid="{25FBBE1F-AB93-4549-B4DE-1581C279F46A}"/>
    <dataValidation allowBlank="1" showErrorMessage="1" prompt="Enter the roof outage, if necessary:" sqref="C63" xr:uid="{3A892554-8C6A-44E9-9D6F-3096F49F9A92}"/>
    <dataValidation allowBlank="1" showErrorMessage="1" prompt="Enter the vapor space outage, if necessary:" sqref="C64" xr:uid="{7418FD74-0339-462B-B953-6D1C8B6D6D26}"/>
    <dataValidation allowBlank="1" showErrorMessage="1" prompt="Enter the vapor space volume, if necessary:" sqref="C65" xr:uid="{08C8CB14-E074-4DB2-9F74-3A19B5037480}"/>
    <dataValidation type="list" allowBlank="1" showErrorMessage="1" prompt="Are the shell plates and roof airtight? Select or enter yes or no." sqref="C66" xr:uid="{181F0AB7-A4D4-47EF-BFED-D90D1D2994F4}">
      <formula1>"Yes,No"</formula1>
    </dataValidation>
    <dataValidation type="list" allowBlank="1" showErrorMessage="1" prompt="What condition is the paint on the shell? Select New, Average, or Aged." sqref="C55 C57" xr:uid="{EA05064A-0AB1-4856-BDF9-0D4BDC65CBFC}">
      <formula1>"New,Average,Aged"</formula1>
    </dataValidation>
    <dataValidation type="list" allowBlank="1" showErrorMessage="1" prompt="Is the tank welded or riveted? Select or answer from the drop-down menu:" sqref="C31" xr:uid="{E46D98CA-90A2-49E1-8C55-BD36C24560B4}">
      <formula1>"Welded,Riveted"</formula1>
    </dataValidation>
    <dataValidation allowBlank="1" showErrorMessage="1" prompt="Enter the atmospheric pressure for the nearest city, if necessary:" sqref="C30" xr:uid="{151930E9-5AC7-4266-B35E-36DAECD0995C}"/>
    <dataValidation allowBlank="1" showErrorMessage="1" prompt="Enter the working loss product factor (KC), if necessary:" sqref="C32" xr:uid="{980F4106-D40C-4EDF-9B2C-44A9B2066BA8}"/>
    <dataValidation type="list" allowBlank="1" showErrorMessage="1" prompt="Is the tank vertical or horizontal?" sqref="C33" xr:uid="{40004D18-146D-46BE-B136-C43F0B2BA968}">
      <formula1>"Vertical,Horizontal"</formula1>
    </dataValidation>
    <dataValidation allowBlank="1" showErrorMessage="1" prompt="If the tank is vertical, enter the diameter (D) of the tank:" sqref="C34" xr:uid="{E24FDE7C-0104-4D1F-B48D-51065C793DAB}"/>
    <dataValidation type="list" allowBlank="1" showErrorMessage="1" prompt="Is the tank vertical or horizontal? Select from the drop-down menu." sqref="C33" xr:uid="{B962870D-94AB-40B1-B765-634D0E8B6FC8}">
      <formula1>"Vertical, Horizontal"</formula1>
    </dataValidation>
    <dataValidation type="list" allowBlank="1" showErrorMessage="1" prompt="If the tank is horizontal, is the storage tank underground?" sqref="C35" xr:uid="{52BA7F13-4C7D-4151-A737-7E9975A9CA33}">
      <formula1>"Yes,No"</formula1>
    </dataValidation>
    <dataValidation allowBlank="1" showErrorMessage="1" prompt="If the tank is horizontal, what is the diameter of the vertical cross-section?" sqref="C36" xr:uid="{EC96D341-7245-414D-B5DA-0A61424D93F7}"/>
    <dataValidation type="list" allowBlank="1" showErrorMessage="1" prompt="If the tank is horizontal, what is the diameter of the vertical cross-section?" sqref="C36" xr:uid="{73F94D84-D6AC-4C43-970C-2570C6058891}">
      <formula1>"Vertical,Horizontal"</formula1>
    </dataValidation>
    <dataValidation allowBlank="1" showErrorMessage="1" prompt="If the tank is horizontal, what is the length of the tank?" sqref="C37" xr:uid="{AC5735A9-5939-4536-BDB7-224BF9CB84E8}"/>
    <dataValidation allowBlank="1" showErrorMessage="1" prompt="Enter the effective diameter (DE), if necessary:" sqref="C38" xr:uid="{895341D0-37E8-493D-83B6-98AF5C020C84}"/>
    <dataValidation allowBlank="1" showErrorMessage="1" prompt="If the tank is horizontal, enter the effective height (hE), if necessary:" sqref="C39" xr:uid="{2798C31B-2960-4294-B661-23880DFC2B79}"/>
    <dataValidation allowBlank="1" showErrorMessage="1" prompt="Enter the tank shell height:" sqref="C40" xr:uid="{9757C2A2-492C-49ED-9B9A-045101E358E0}"/>
    <dataValidation allowBlank="1" showErrorMessage="1" prompt="Enter the maximum liquid height:" sqref="C41" xr:uid="{AEA9C79E-DC34-4168-9B29-CD611658A7FC}"/>
    <dataValidation allowBlank="1" showErrorMessage="1" prompt="Enter the minimum liquid height:" sqref="C42" xr:uid="{1CB0C71F-86C9-4DAD-92C9-4A4B4BF0EC02}"/>
    <dataValidation allowBlank="1" showErrorMessage="1" prompt="Enter the average liquid height:" sqref="C43" xr:uid="{57D85192-A8DE-4FEF-8EDB-99D5BDD03F7B}"/>
    <dataValidation allowBlank="1" showErrorMessage="1" prompt="Enter the volume of the tank." sqref="C44" xr:uid="{028BF7DD-2DC3-422A-B336-98517D85FDCE}"/>
    <dataValidation type="list" allowBlank="1" showErrorMessage="1" prompt="Is the annual sum of the increases and decreases in liquid (ΣHQI and ΣHQD) known? Select or enter &quot;Yes&quot; or &quot;No&quot;." sqref="C45" xr:uid="{34B1C2D1-040C-495A-869A-0D60A32272B2}">
      <formula1>"Yes,No"</formula1>
    </dataValidation>
    <dataValidation type="list" allowBlank="1" showErrorMessage="1" prompt="Is liquid pumped in at the same time as it is pumped out? Select or enter &quot;Yes&quot; or &quot;No&quot;." sqref="C46" xr:uid="{074A10F1-FA19-47BC-9A04-E03BEA62E881}">
      <formula1>"Yes,No"</formula1>
    </dataValidation>
    <dataValidation allowBlank="1" showErrorMessage="1" prompt="Enter the annual sum of the increases in liquid (ΣHQI), if necessary:" sqref="C47" xr:uid="{CFDA3C85-F719-4320-907A-E9C5572363EE}"/>
    <dataValidation allowBlank="1" showErrorMessage="1" prompt="Enter the annual sum of the decreases in liquid (ΣHQI), if necessary:" sqref="C48" xr:uid="{DD7634A5-EFAD-4E00-8FE5-F79E25892C31}"/>
    <dataValidation allowBlank="1" showErrorMessage="1" prompt="Enter the number of turnovers per year:" sqref="C49" xr:uid="{B119C780-F121-4D3F-810E-3F0AFF5C7C63}"/>
    <dataValidation allowBlank="1" showErrorMessage="1" prompt="Enter the annual net throughput (Q), in gallons per year." sqref="C50:C51" xr:uid="{8F391C98-9507-4CFB-B507-AFBC34997F88}"/>
    <dataValidation allowBlank="1" showErrorMessage="1" prompt="Enter the net working loss throughput (VQ), if necessary:" sqref="C52" xr:uid="{FAD5D645-2066-46D0-95AC-B43B64214765}"/>
    <dataValidation allowBlank="1" showErrorMessage="1" prompt="Enter the working loss turnover factor, if necessary:" sqref="C53" xr:uid="{A9E740BA-3036-4DE8-9479-8786B762054E}"/>
    <dataValidation allowBlank="1" showErrorMessage="1" prompt="Enter the actual molecular weight of this contituent if the calculated molecular weight of this contituent (above) is inaccurate." sqref="B26:P26" xr:uid="{EDEDA141-31BC-47A7-8D56-108125293115}"/>
    <dataValidation allowBlank="1" showErrorMessage="1" prompt="Enter the actual working loss product factor if the calculated working loss product factor (above) is inaccurate." sqref="B24:P24" xr:uid="{AB8BA02C-B7B7-4BD3-AFE0-20E6464C8E64}"/>
    <dataValidation allowBlank="1" showErrorMessage="1" prompt="Enter the actual liquid density if the calculated liquid density (above) is inaccurate." sqref="B22:P22" xr:uid="{46D5917A-AAA1-4747-836F-329EF1FF3649}"/>
    <dataValidation allowBlank="1" showErrorMessage="1" prompt="Enter the Weight Fraction in Mixture:" sqref="B20:P20" xr:uid="{9E4288F0-A617-4A7B-BCA0-99D8A3894CBB}"/>
    <dataValidation allowBlank="1" showErrorMessage="1" prompt="Enter the city (or nearest city to) where the site is located:" sqref="B13" xr:uid="{70F44874-5098-4BE9-AFDE-BDD94AA238D6}"/>
    <dataValidation type="list" allowBlank="1" showErrorMessage="1" prompt="What type of roof does this tank have? Select or enter &quot;Fixed&quot; or &quot;Floating&quot; from the drop-down menu." sqref="B12" xr:uid="{6429818F-8C68-460F-BC04-DC1C2E394208}">
      <formula1>"Fixed, Floating"</formula1>
    </dataValidation>
    <dataValidation allowBlank="1" showInputMessage="1" showErrorMessage="1" prompt="Yellow cell" sqref="C297 E157 C269:C291" xr:uid="{C073AFC2-FABD-4F6F-AAE2-AC6DCA88E2F2}"/>
    <dataValidation type="list" allowBlank="1" showInputMessage="1" showErrorMessage="1" sqref="C65" xr:uid="{196EB000-62A1-4799-A65C-F7EECC2F150D}">
      <formula1>"Good,Poor"</formula1>
    </dataValidation>
    <dataValidation type="list" allowBlank="1" showInputMessage="1" showErrorMessage="1" sqref="C297 C73 C266:C267 C269:C291" xr:uid="{31FF4B73-808C-45C2-92F3-2BE726D4C980}">
      <formula1>"Fixed, Floating"</formula1>
    </dataValidation>
    <dataValidation type="list" allowBlank="1" showInputMessage="1" showErrorMessage="1" prompt="Yellow cell" sqref="C262" xr:uid="{C06E1BAF-0A50-4A96-84E1-0E3F37D4445A}">
      <formula1>"Yes,No"</formula1>
    </dataValidation>
    <dataValidation type="list" allowBlank="1" showInputMessage="1" showErrorMessage="1" sqref="C69" xr:uid="{E630BBDB-D620-46E1-83DA-EFD7F2E86252}">
      <formula1>"Not Insulated,Partially Insulated,Fully Insulated"</formula1>
    </dataValidation>
    <dataValidation type="list" allowBlank="1" showInputMessage="1" showErrorMessage="1" prompt="Yellow cell" sqref="C69" xr:uid="{F9D8EE7A-8F07-48B6-9940-58D97AF3158E}">
      <formula1>"Not Insulated,Partially Insulated,Fully Insulated"</formula1>
    </dataValidation>
    <dataValidation type="list" allowBlank="1" showErrorMessage="1" prompt="Is this chemical a crude petroleum product? Select yes or no." sqref="B19:P19" xr:uid="{7803BBCB-97FB-4F65-9A33-26EE77D0961D}">
      <formula1>"Yes, No"</formula1>
    </dataValidation>
    <dataValidation type="list" allowBlank="1" showInputMessage="1" showErrorMessage="1" sqref="C68" xr:uid="{143FA8AE-65FC-43E9-9D5D-567B86978F40}">
      <formula1>"Steel Pontoon,Steel Double Deck,Other"</formula1>
    </dataValidation>
    <dataValidation allowBlank="1" showErrorMessage="1" prompt="Enter the FIN for this tank. Note that it must match the existing authorization's FIN." sqref="B6" xr:uid="{BA7D5783-8312-48FC-8048-A190F3F998C5}"/>
    <dataValidation allowBlank="1" showErrorMessage="1" prompt="Enter the EPN for this tank. Note that it must match the existing authorization's EPN." sqref="B7" xr:uid="{3545E072-8DCD-451D-AD3F-016B49622FB8}"/>
    <dataValidation allowBlank="1" showErrorMessage="1" prompt="Enter the source name for this tank. Note that it must match the existing authorization's source name." sqref="B8" xr:uid="{01B45989-4710-4D2C-B89F-2EDADB873B56}"/>
    <dataValidation type="list" allowBlank="1" showErrorMessage="1" prompt="Enter the UTM Zone for this tank." sqref="B9" xr:uid="{4E233843-B5F1-46E3-8CAC-60DEFF808598}">
      <formula1>"13,14,15"</formula1>
    </dataValidation>
    <dataValidation allowBlank="1" showErrorMessage="1" prompt="Enter the Easting distance from the UTM coordinate." sqref="B10" xr:uid="{FD8937C7-D2D2-4956-B609-827B3E757ED0}"/>
    <dataValidation allowBlank="1" showErrorMessage="1" prompt="Enter the Northing distance from the UTM coordinate." sqref="B11" xr:uid="{5E8164CA-1142-4751-87F0-83CCAB68754F}"/>
    <dataValidation type="list" allowBlank="1" showErrorMessage="1" prompt="What is the roof shape? Select or enter Cone or Dome." sqref="C58" xr:uid="{93A9EAC5-05DD-4807-81DA-0102918DB072}">
      <formula1>"Cone,Dome"</formula1>
    </dataValidation>
  </dataValidations>
  <hyperlinks>
    <hyperlink ref="A93" r:id="rId1" xr:uid="{74F75227-7FD1-4950-86E9-BC4DA1E524FB}"/>
    <hyperlink ref="A93:D93" r:id="rId2" tooltip="Click to link to ambient temperature and wind speed data." display="https://www.ncdc.noaa.gov/ghcn/comparative-climatic-data" xr:uid="{BE52AEAB-64A6-465C-938B-1EFEE121B6FD}"/>
  </hyperlinks>
  <pageMargins left="0.7" right="0.7" top="0.75" bottom="0.75" header="0.3" footer="0.3"/>
  <pageSetup orientation="portrait" r:id="rId3"/>
  <headerFooter>
    <oddHeader>&amp;C&amp;"Arial,Regular"Annual Throughput Increase RAP Application</oddHeader>
    <oddFooter>&amp;LVersion: 5/1/2019&amp;CSheet: &amp;A&amp;RPage &amp;P/&amp;N</oddFooter>
  </headerFooter>
  <extLst>
    <ext xmlns:x14="http://schemas.microsoft.com/office/spreadsheetml/2009/9/main" uri="{78C0D931-6437-407d-A8EE-F0AAD7539E65}">
      <x14:conditionalFormattings>
        <x14:conditionalFormatting xmlns:xm="http://schemas.microsoft.com/office/excel/2006/main">
          <x14:cfRule type="expression" priority="2" stopIfTrue="1" id="{52ABDA9A-5A42-4B07-948E-2DAF8C6A3E26}">
            <xm:f>'Hidden Inputs'!$BR$5</xm:f>
            <x14:dxf>
              <font>
                <color theme="0" tint="-0.499984740745262"/>
              </font>
              <numFmt numFmtId="171" formatCode=";;;"/>
              <fill>
                <patternFill>
                  <bgColor theme="0" tint="-0.499984740745262"/>
                </patternFill>
              </fill>
            </x14:dxf>
          </x14:cfRule>
          <xm:sqref>A4:C14 A16:Q26 A28:D91 A95:Q117 A119:D127 A129:D137 A139:D154 A156:L178 A180:D210 A212:D236 A238:D258 A260:D267 A269:E297 A299:Q308</xm:sqref>
        </x14:conditionalFormatting>
        <x14:conditionalFormatting xmlns:xm="http://schemas.microsoft.com/office/excel/2006/main">
          <x14:cfRule type="expression" priority="10" id="{270FBD51-B36E-4B5C-AB0F-DF3866EEF6A3}">
            <xm:f>'TANKS Calculations'!H$98&gt;0</xm:f>
            <x14:dxf>
              <font>
                <color theme="0" tint="-0.499984740745262"/>
              </font>
              <numFmt numFmtId="171" formatCode=";;;"/>
              <fill>
                <patternFill>
                  <bgColor theme="0" tint="-0.499984740745262"/>
                </patternFill>
              </fill>
            </x14:dxf>
          </x14:cfRule>
          <xm:sqref>B104:P105</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ErrorMessage="1" prompt="Select the nearest city and state from the drop-down menu. This will fill in appropriate meteorological data for the region. If this field is left blank, meteorological data must be entered manually in the &quot;Input Parameters&quot; section." xr:uid="{6A2C42A5-9475-41E4-BB2E-4EEF30434140}">
          <x14:formula1>
            <xm:f>'TANKS Data'!$A$189:$A$213</xm:f>
          </x14:formula1>
          <xm:sqref>B14</xm:sqref>
        </x14:dataValidation>
        <x14:dataValidation type="list" allowBlank="1" prompt="Select the fitting type from the drop-down menu." xr:uid="{06EB5345-CE36-4B46-ADAB-F64DD28D4E59}">
          <x14:formula1>
            <xm:f>'TANKS Data'!$G$96:$G$111</xm:f>
          </x14:formula1>
          <xm:sqref>A158:B177</xm:sqref>
        </x14:dataValidation>
        <x14:dataValidation type="list" allowBlank="1" prompt="Select the chemical name from the drop-down. If the chemical name is not in the list, enter the chemical name in the cell." xr:uid="{8B961508-1B8D-47E0-92AE-C6FFC8661997}">
          <x14:formula1>
            <xm:f>'TANKS Vapor Fx'!$A$3:$A$294</xm:f>
          </x14:formula1>
          <xm:sqref>B18:P18</xm:sqref>
        </x14:dataValidation>
        <x14:dataValidation type="list" allowBlank="1" showErrorMessage="1" prompt="What color is the paint on the shell? Select color from drop-down menu." xr:uid="{277FB2D0-223D-42D2-A22F-5A66D0E3BBF7}">
          <x14:formula1>
            <xm:f>'TANKS Data'!$B$174:$B$186</xm:f>
          </x14:formula1>
          <xm:sqref>C54 C56</xm:sqref>
        </x14:dataValidation>
        <x14:dataValidation type="list" allowBlank="1" prompt="Specify the construction details for the fitting type specified in the previous column. If no matching result is present in the drop-down menu, you may enter your own details and factors." xr:uid="{494AF985-6392-4C9C-AA43-3DE1A92564D6}">
          <x14:formula1>
            <xm:f>INDIRECT('TANKS Data'!$Y96)</xm:f>
          </x14:formula1>
          <xm:sqref>C158:D177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CE9AD-075C-4B4F-BCA3-8EA1D71EF9BF}">
  <sheetPr codeName="Sheet29">
    <tabColor theme="1"/>
  </sheetPr>
  <dimension ref="A1:R309"/>
  <sheetViews>
    <sheetView workbookViewId="0">
      <selection sqref="A1:G1"/>
    </sheetView>
  </sheetViews>
  <sheetFormatPr defaultColWidth="0" defaultRowHeight="12.75" zeroHeight="1" x14ac:dyDescent="0.2"/>
  <cols>
    <col min="1" max="1" width="62" style="106" customWidth="1"/>
    <col min="2" max="2" width="19.5703125" style="106" bestFit="1" customWidth="1"/>
    <col min="3" max="3" width="23.140625" style="106" customWidth="1"/>
    <col min="4" max="4" width="21.42578125" style="106" customWidth="1"/>
    <col min="5" max="17" width="18.7109375" style="106" customWidth="1"/>
    <col min="18" max="18" width="14.7109375" style="106" hidden="1" customWidth="1"/>
    <col min="19" max="16384" width="9.140625" style="106" hidden="1"/>
  </cols>
  <sheetData>
    <row r="1" spans="1:17" ht="5.0999999999999996" customHeight="1" x14ac:dyDescent="0.2">
      <c r="A1" s="1379"/>
      <c r="B1" s="1379"/>
      <c r="C1" s="1379"/>
      <c r="D1" s="1379"/>
      <c r="E1" s="1379"/>
      <c r="F1" s="1379"/>
      <c r="G1" s="1379"/>
    </row>
    <row r="2" spans="1:17" ht="25.5" x14ac:dyDescent="0.35">
      <c r="A2" s="1368" t="s">
        <v>9997</v>
      </c>
      <c r="B2" s="1368"/>
      <c r="C2" s="1368"/>
      <c r="D2" s="1368"/>
      <c r="E2" s="1368"/>
      <c r="F2" s="1368"/>
      <c r="G2" s="1368"/>
      <c r="H2" s="1368"/>
      <c r="I2" s="1368"/>
      <c r="J2" s="1368"/>
      <c r="K2" s="1368"/>
      <c r="L2" s="1368"/>
      <c r="M2" s="1368"/>
      <c r="N2" s="1368"/>
      <c r="O2" s="1368"/>
      <c r="P2" s="1368"/>
      <c r="Q2" s="1368"/>
    </row>
    <row r="3" spans="1:17" ht="50.25" customHeight="1" thickBot="1" x14ac:dyDescent="0.25">
      <c r="A3" s="1369" t="s">
        <v>10015</v>
      </c>
      <c r="B3" s="1369"/>
      <c r="C3" s="1369"/>
      <c r="D3" s="1369"/>
      <c r="E3" s="1369"/>
      <c r="F3" s="1369"/>
      <c r="G3" s="1369"/>
      <c r="H3" s="1369"/>
      <c r="I3" s="1369"/>
      <c r="J3" s="1369"/>
      <c r="K3" s="1369"/>
      <c r="L3" s="1369"/>
      <c r="M3" s="1369"/>
      <c r="N3" s="1369"/>
      <c r="O3" s="1369"/>
      <c r="P3" s="1369"/>
      <c r="Q3" s="1369"/>
    </row>
    <row r="4" spans="1:17" ht="60" customHeight="1" thickBot="1" x14ac:dyDescent="0.3">
      <c r="A4" s="1363" t="s">
        <v>9684</v>
      </c>
      <c r="B4" s="1364"/>
      <c r="C4" s="1365"/>
      <c r="D4" s="224"/>
      <c r="E4" s="224"/>
      <c r="F4" s="224"/>
      <c r="G4" s="224"/>
    </row>
    <row r="5" spans="1:17" ht="20.100000000000001" customHeight="1" x14ac:dyDescent="0.25">
      <c r="A5" s="146" t="s">
        <v>9685</v>
      </c>
      <c r="B5" s="148" t="s">
        <v>9687</v>
      </c>
      <c r="C5" s="149" t="s">
        <v>9688</v>
      </c>
      <c r="D5" s="224"/>
      <c r="E5" s="224"/>
      <c r="F5" s="224"/>
      <c r="G5" s="224"/>
    </row>
    <row r="6" spans="1:17" ht="30" customHeight="1" x14ac:dyDescent="0.2">
      <c r="A6" s="329" t="s">
        <v>9986</v>
      </c>
      <c r="B6" s="361"/>
      <c r="C6" s="227" t="s">
        <v>9689</v>
      </c>
      <c r="D6" s="224"/>
      <c r="E6" s="224"/>
      <c r="F6" s="224"/>
      <c r="G6" s="224"/>
      <c r="H6" s="224"/>
      <c r="I6" s="224"/>
      <c r="J6" s="224"/>
      <c r="K6" s="224"/>
      <c r="L6" s="224"/>
    </row>
    <row r="7" spans="1:17" ht="30" customHeight="1" x14ac:dyDescent="0.2">
      <c r="A7" s="329" t="s">
        <v>9987</v>
      </c>
      <c r="B7" s="361"/>
      <c r="C7" s="227" t="s">
        <v>9689</v>
      </c>
      <c r="D7" s="224"/>
      <c r="E7" s="224"/>
      <c r="F7" s="224"/>
      <c r="G7" s="224"/>
      <c r="H7" s="224"/>
      <c r="I7" s="224"/>
      <c r="J7" s="224"/>
      <c r="K7" s="224"/>
      <c r="L7" s="224"/>
    </row>
    <row r="8" spans="1:17" ht="30" customHeight="1" x14ac:dyDescent="0.2">
      <c r="A8" s="329" t="s">
        <v>9988</v>
      </c>
      <c r="B8" s="431"/>
      <c r="C8" s="227" t="s">
        <v>9689</v>
      </c>
      <c r="D8" s="224"/>
      <c r="E8" s="224"/>
      <c r="F8" s="224"/>
      <c r="G8" s="224"/>
      <c r="H8" s="224"/>
      <c r="I8" s="224"/>
      <c r="J8" s="224"/>
      <c r="K8" s="224"/>
      <c r="L8" s="224"/>
    </row>
    <row r="9" spans="1:17" ht="20.100000000000001" customHeight="1" x14ac:dyDescent="0.2">
      <c r="A9" s="359" t="s">
        <v>9990</v>
      </c>
      <c r="B9" s="361"/>
      <c r="C9" s="227" t="s">
        <v>9689</v>
      </c>
      <c r="D9" s="224"/>
      <c r="E9" s="224"/>
      <c r="F9" s="224"/>
      <c r="G9" s="224"/>
      <c r="H9" s="224"/>
      <c r="I9" s="224"/>
      <c r="J9" s="224"/>
      <c r="K9" s="224"/>
      <c r="L9" s="224"/>
    </row>
    <row r="10" spans="1:17" ht="20.100000000000001" customHeight="1" x14ac:dyDescent="0.2">
      <c r="A10" s="329" t="s">
        <v>9991</v>
      </c>
      <c r="B10" s="361"/>
      <c r="C10" s="335" t="s">
        <v>9989</v>
      </c>
      <c r="D10" s="224"/>
      <c r="E10" s="224"/>
      <c r="F10" s="224"/>
      <c r="G10" s="224"/>
      <c r="H10" s="224"/>
      <c r="I10" s="224"/>
      <c r="J10" s="224"/>
      <c r="K10" s="224"/>
      <c r="L10" s="224"/>
    </row>
    <row r="11" spans="1:17" ht="20.100000000000001" customHeight="1" x14ac:dyDescent="0.2">
      <c r="A11" s="329" t="s">
        <v>9992</v>
      </c>
      <c r="B11" s="361"/>
      <c r="C11" s="335" t="s">
        <v>9989</v>
      </c>
      <c r="D11" s="224"/>
      <c r="E11" s="224"/>
      <c r="F11" s="224"/>
      <c r="G11" s="224"/>
      <c r="H11" s="224"/>
      <c r="I11" s="224"/>
      <c r="J11" s="224"/>
      <c r="K11" s="224"/>
      <c r="L11" s="224"/>
    </row>
    <row r="12" spans="1:17" ht="30" customHeight="1" x14ac:dyDescent="0.2">
      <c r="A12" s="330" t="s">
        <v>9690</v>
      </c>
      <c r="B12" s="361"/>
      <c r="C12" s="227" t="s">
        <v>9689</v>
      </c>
      <c r="D12" s="224"/>
      <c r="E12" s="224"/>
    </row>
    <row r="13" spans="1:17" ht="30" customHeight="1" x14ac:dyDescent="0.2">
      <c r="A13" s="330" t="s">
        <v>9691</v>
      </c>
      <c r="B13" s="361"/>
      <c r="C13" s="227" t="s">
        <v>9689</v>
      </c>
      <c r="D13" s="224"/>
      <c r="E13" s="224"/>
    </row>
    <row r="14" spans="1:17" ht="60" customHeight="1" thickBot="1" x14ac:dyDescent="0.25">
      <c r="A14" s="331" t="s">
        <v>9692</v>
      </c>
      <c r="B14" s="362"/>
      <c r="C14" s="231" t="s">
        <v>9689</v>
      </c>
      <c r="D14" s="224"/>
      <c r="E14" s="224"/>
    </row>
    <row r="15" spans="1:17" ht="30" customHeight="1" thickBot="1" x14ac:dyDescent="0.25">
      <c r="A15" s="1377" t="s">
        <v>8411</v>
      </c>
      <c r="B15" s="1377"/>
      <c r="C15" s="1377"/>
      <c r="D15" s="1377"/>
      <c r="E15" s="224"/>
    </row>
    <row r="16" spans="1:17" ht="45" customHeight="1" thickBot="1" x14ac:dyDescent="0.3">
      <c r="A16" s="1370" t="s">
        <v>9969</v>
      </c>
      <c r="B16" s="1371"/>
      <c r="C16" s="1371"/>
      <c r="D16" s="1371"/>
      <c r="E16" s="1371"/>
      <c r="F16" s="1371"/>
      <c r="G16" s="1371"/>
      <c r="H16" s="1371"/>
      <c r="I16" s="1371"/>
      <c r="J16" s="1371"/>
      <c r="K16" s="1371"/>
      <c r="L16" s="1371"/>
      <c r="M16" s="1371"/>
      <c r="N16" s="1371"/>
      <c r="O16" s="1371"/>
      <c r="P16" s="1371"/>
      <c r="Q16" s="1372"/>
    </row>
    <row r="17" spans="1:17" ht="20.100000000000001" customHeight="1" x14ac:dyDescent="0.25">
      <c r="A17" s="146" t="s">
        <v>9502</v>
      </c>
      <c r="B17" s="147" t="s">
        <v>9503</v>
      </c>
      <c r="C17" s="148" t="s">
        <v>9504</v>
      </c>
      <c r="D17" s="148" t="s">
        <v>9505</v>
      </c>
      <c r="E17" s="148" t="s">
        <v>9506</v>
      </c>
      <c r="F17" s="148" t="s">
        <v>9507</v>
      </c>
      <c r="G17" s="148" t="s">
        <v>9508</v>
      </c>
      <c r="H17" s="148" t="s">
        <v>9509</v>
      </c>
      <c r="I17" s="148" t="s">
        <v>9510</v>
      </c>
      <c r="J17" s="148" t="s">
        <v>9511</v>
      </c>
      <c r="K17" s="150" t="s">
        <v>9512</v>
      </c>
      <c r="L17" s="148" t="s">
        <v>9513</v>
      </c>
      <c r="M17" s="148" t="s">
        <v>9514</v>
      </c>
      <c r="N17" s="150" t="s">
        <v>9515</v>
      </c>
      <c r="O17" s="148" t="s">
        <v>9516</v>
      </c>
      <c r="P17" s="148" t="s">
        <v>9517</v>
      </c>
      <c r="Q17" s="146" t="s">
        <v>1</v>
      </c>
    </row>
    <row r="18" spans="1:17" ht="30" customHeight="1" x14ac:dyDescent="0.2">
      <c r="A18" s="228" t="s">
        <v>9693</v>
      </c>
      <c r="B18" s="363"/>
      <c r="C18" s="364"/>
      <c r="D18" s="364"/>
      <c r="E18" s="364"/>
      <c r="F18" s="364"/>
      <c r="G18" s="364"/>
      <c r="H18" s="364"/>
      <c r="I18" s="364"/>
      <c r="J18" s="364"/>
      <c r="K18" s="365"/>
      <c r="L18" s="364"/>
      <c r="M18" s="364"/>
      <c r="N18" s="365"/>
      <c r="O18" s="364"/>
      <c r="P18" s="364"/>
      <c r="Q18" s="232"/>
    </row>
    <row r="19" spans="1:17" ht="20.100000000000001" customHeight="1" x14ac:dyDescent="0.2">
      <c r="A19" s="332" t="s">
        <v>9694</v>
      </c>
      <c r="B19" s="363"/>
      <c r="C19" s="364"/>
      <c r="D19" s="364"/>
      <c r="E19" s="364"/>
      <c r="F19" s="364"/>
      <c r="G19" s="364"/>
      <c r="H19" s="364"/>
      <c r="I19" s="364"/>
      <c r="J19" s="364"/>
      <c r="K19" s="365"/>
      <c r="L19" s="364"/>
      <c r="M19" s="364"/>
      <c r="N19" s="365"/>
      <c r="O19" s="364"/>
      <c r="P19" s="364"/>
      <c r="Q19" s="234" t="str">
        <f>IF(IFERROR(MATCH("Yes",$B$19:$P$19,0),0)&lt;&gt;0,"Yes","No")</f>
        <v>No</v>
      </c>
    </row>
    <row r="20" spans="1:17" ht="20.100000000000001" customHeight="1" thickBot="1" x14ac:dyDescent="0.25">
      <c r="A20" s="235" t="s">
        <v>9695</v>
      </c>
      <c r="B20" s="366"/>
      <c r="C20" s="367"/>
      <c r="D20" s="367"/>
      <c r="E20" s="367"/>
      <c r="F20" s="367"/>
      <c r="G20" s="367"/>
      <c r="H20" s="367"/>
      <c r="I20" s="367"/>
      <c r="J20" s="367"/>
      <c r="K20" s="368"/>
      <c r="L20" s="367"/>
      <c r="M20" s="367"/>
      <c r="N20" s="368"/>
      <c r="O20" s="367"/>
      <c r="P20" s="367"/>
      <c r="Q20" s="236">
        <f>SUM(B20:P20)</f>
        <v>0</v>
      </c>
    </row>
    <row r="21" spans="1:17" ht="20.100000000000001" customHeight="1" x14ac:dyDescent="0.2">
      <c r="A21" s="237" t="s">
        <v>9696</v>
      </c>
      <c r="B21" s="238">
        <f>IFERROR(VLOOKUP(B18,'TANKS Vapor Fx'!$A$3:$C$294,3,FALSE),0)</f>
        <v>0</v>
      </c>
      <c r="C21" s="238">
        <f>_xlfn.IFNA(VLOOKUP(C18,'TANKS Vapor Fx'!$A$3:$C$294,3,FALSE),0)</f>
        <v>0</v>
      </c>
      <c r="D21" s="238">
        <f>_xlfn.IFNA(VLOOKUP(D18,'TANKS Vapor Fx'!$A$3:$C$294,3,FALSE),0)</f>
        <v>0</v>
      </c>
      <c r="E21" s="238">
        <f>_xlfn.IFNA(VLOOKUP(E18,'TANKS Vapor Fx'!$A$3:$C$294,3,FALSE),0)</f>
        <v>0</v>
      </c>
      <c r="F21" s="238">
        <f>_xlfn.IFNA(VLOOKUP(F18,'TANKS Vapor Fx'!$A$3:$C$294,3,FALSE),0)</f>
        <v>0</v>
      </c>
      <c r="G21" s="238">
        <f>_xlfn.IFNA(VLOOKUP(G18,'TANKS Vapor Fx'!$A$3:$C$294,3,FALSE),0)</f>
        <v>0</v>
      </c>
      <c r="H21" s="238">
        <f>_xlfn.IFNA(VLOOKUP(H18,'TANKS Vapor Fx'!$A$3:$C$294,3,FALSE),0)</f>
        <v>0</v>
      </c>
      <c r="I21" s="238">
        <f>_xlfn.IFNA(VLOOKUP(I18,'TANKS Vapor Fx'!$A$3:$C$294,3,FALSE),0)</f>
        <v>0</v>
      </c>
      <c r="J21" s="238">
        <f>_xlfn.IFNA(VLOOKUP(J18,'TANKS Vapor Fx'!$A$3:$C$294,3,FALSE),0)</f>
        <v>0</v>
      </c>
      <c r="K21" s="238">
        <f>_xlfn.IFNA(VLOOKUP(K18,'TANKS Vapor Fx'!$A$3:$C$294,3,FALSE),0)</f>
        <v>0</v>
      </c>
      <c r="L21" s="238">
        <f>_xlfn.IFNA(VLOOKUP(L18,'TANKS Vapor Fx'!$A$3:$C$294,3,FALSE),0)</f>
        <v>0</v>
      </c>
      <c r="M21" s="238">
        <f>_xlfn.IFNA(VLOOKUP(M18,'TANKS Vapor Fx'!$A$3:$C$294,3,FALSE),0)</f>
        <v>0</v>
      </c>
      <c r="N21" s="238">
        <f>_xlfn.IFNA(VLOOKUP(N18,'TANKS Vapor Fx'!$A$3:$C$294,3,FALSE),0)</f>
        <v>0</v>
      </c>
      <c r="O21" s="238">
        <f>_xlfn.IFNA(VLOOKUP(O18,'TANKS Vapor Fx'!$A$3:$C$294,3,FALSE),0)</f>
        <v>0</v>
      </c>
      <c r="P21" s="238">
        <f>_xlfn.IFNA(VLOOKUP(P18,'TANKS Vapor Fx'!$A$3:$C$294,3,FALSE),0)</f>
        <v>0</v>
      </c>
      <c r="Q21" s="239">
        <f>'TANKS Calculations'!W115</f>
        <v>0</v>
      </c>
    </row>
    <row r="22" spans="1:17" ht="20.100000000000001" customHeight="1" thickBot="1" x14ac:dyDescent="0.25">
      <c r="A22" s="240" t="s">
        <v>9697</v>
      </c>
      <c r="B22" s="373"/>
      <c r="C22" s="369"/>
      <c r="D22" s="369"/>
      <c r="E22" s="369"/>
      <c r="F22" s="369"/>
      <c r="G22" s="369"/>
      <c r="H22" s="369"/>
      <c r="I22" s="369"/>
      <c r="J22" s="369"/>
      <c r="K22" s="370"/>
      <c r="L22" s="369"/>
      <c r="M22" s="369"/>
      <c r="N22" s="370"/>
      <c r="O22" s="369"/>
      <c r="P22" s="369"/>
      <c r="Q22" s="241"/>
    </row>
    <row r="23" spans="1:17" ht="20.100000000000001" customHeight="1" x14ac:dyDescent="0.2">
      <c r="A23" s="237" t="s">
        <v>9698</v>
      </c>
      <c r="B23" s="242">
        <f t="shared" ref="B23:P23" si="0">IF(ISBLANK(B18),0,IF(B19="Yes",IF($B$12="Fixed",0.75,0.4),1))</f>
        <v>0</v>
      </c>
      <c r="C23" s="242">
        <f t="shared" si="0"/>
        <v>0</v>
      </c>
      <c r="D23" s="242">
        <f t="shared" si="0"/>
        <v>0</v>
      </c>
      <c r="E23" s="242">
        <f t="shared" si="0"/>
        <v>0</v>
      </c>
      <c r="F23" s="242">
        <f t="shared" si="0"/>
        <v>0</v>
      </c>
      <c r="G23" s="242">
        <f t="shared" si="0"/>
        <v>0</v>
      </c>
      <c r="H23" s="242">
        <f t="shared" si="0"/>
        <v>0</v>
      </c>
      <c r="I23" s="242">
        <f t="shared" si="0"/>
        <v>0</v>
      </c>
      <c r="J23" s="242">
        <f t="shared" si="0"/>
        <v>0</v>
      </c>
      <c r="K23" s="242">
        <f t="shared" si="0"/>
        <v>0</v>
      </c>
      <c r="L23" s="242">
        <f t="shared" si="0"/>
        <v>0</v>
      </c>
      <c r="M23" s="242">
        <f t="shared" si="0"/>
        <v>0</v>
      </c>
      <c r="N23" s="242">
        <f t="shared" si="0"/>
        <v>0</v>
      </c>
      <c r="O23" s="242">
        <f t="shared" si="0"/>
        <v>0</v>
      </c>
      <c r="P23" s="242">
        <f t="shared" si="0"/>
        <v>0</v>
      </c>
      <c r="Q23" s="243">
        <f>'TANKS Calculations'!W117</f>
        <v>1</v>
      </c>
    </row>
    <row r="24" spans="1:17" ht="20.100000000000001" customHeight="1" thickBot="1" x14ac:dyDescent="0.25">
      <c r="A24" s="240" t="s">
        <v>9699</v>
      </c>
      <c r="B24" s="373"/>
      <c r="C24" s="369"/>
      <c r="D24" s="369"/>
      <c r="E24" s="369"/>
      <c r="F24" s="369"/>
      <c r="G24" s="369"/>
      <c r="H24" s="369"/>
      <c r="I24" s="369"/>
      <c r="J24" s="369"/>
      <c r="K24" s="370"/>
      <c r="L24" s="369"/>
      <c r="M24" s="369"/>
      <c r="N24" s="370"/>
      <c r="O24" s="369"/>
      <c r="P24" s="369"/>
      <c r="Q24" s="241"/>
    </row>
    <row r="25" spans="1:17" ht="20.100000000000001" customHeight="1" x14ac:dyDescent="0.2">
      <c r="A25" s="237" t="s">
        <v>9700</v>
      </c>
      <c r="B25" s="238">
        <f>_xlfn.IFNA(VLOOKUP(B18,'TANKS Vapor Fx'!$A$3:$B$294,2,FALSE),0)</f>
        <v>0</v>
      </c>
      <c r="C25" s="238">
        <f>_xlfn.IFNA(VLOOKUP(C18,'TANKS Vapor Fx'!$A$3:$B$294,2,FALSE),0)</f>
        <v>0</v>
      </c>
      <c r="D25" s="238">
        <f>_xlfn.IFNA(VLOOKUP(D18,'TANKS Vapor Fx'!$A$3:$B$294,2,FALSE),0)</f>
        <v>0</v>
      </c>
      <c r="E25" s="238">
        <f>_xlfn.IFNA(VLOOKUP(E18,'TANKS Vapor Fx'!$A$3:$B$294,2,FALSE),0)</f>
        <v>0</v>
      </c>
      <c r="F25" s="238">
        <f>_xlfn.IFNA(VLOOKUP(F18,'TANKS Vapor Fx'!$A$3:$B$294,2,FALSE),0)</f>
        <v>0</v>
      </c>
      <c r="G25" s="238">
        <f>_xlfn.IFNA(VLOOKUP(G18,'TANKS Vapor Fx'!$A$3:$B$294,2,FALSE),0)</f>
        <v>0</v>
      </c>
      <c r="H25" s="238">
        <f>_xlfn.IFNA(VLOOKUP(H18,'TANKS Vapor Fx'!$A$3:$B$294,2,FALSE),0)</f>
        <v>0</v>
      </c>
      <c r="I25" s="238">
        <f>_xlfn.IFNA(VLOOKUP(I18,'TANKS Vapor Fx'!$A$3:$B$294,2,FALSE),0)</f>
        <v>0</v>
      </c>
      <c r="J25" s="238">
        <f>_xlfn.IFNA(VLOOKUP(J18,'TANKS Vapor Fx'!$A$3:$B$294,2,FALSE),0)</f>
        <v>0</v>
      </c>
      <c r="K25" s="238">
        <f>_xlfn.IFNA(VLOOKUP(K18,'TANKS Vapor Fx'!$A$3:$B$294,2,FALSE),0)</f>
        <v>0</v>
      </c>
      <c r="L25" s="238">
        <f>_xlfn.IFNA(VLOOKUP(L18,'TANKS Vapor Fx'!$A$3:$B$294,2,FALSE),0)</f>
        <v>0</v>
      </c>
      <c r="M25" s="238">
        <f>_xlfn.IFNA(VLOOKUP(M18,'TANKS Vapor Fx'!$A$3:$B$294,2,FALSE),0)</f>
        <v>0</v>
      </c>
      <c r="N25" s="238">
        <f>_xlfn.IFNA(VLOOKUP(N18,'TANKS Vapor Fx'!$A$3:$B$294,2,FALSE),0)</f>
        <v>0</v>
      </c>
      <c r="O25" s="238">
        <f>_xlfn.IFNA(VLOOKUP(O18,'TANKS Vapor Fx'!$A$3:$B$294,2,FALSE),0)</f>
        <v>0</v>
      </c>
      <c r="P25" s="238">
        <f>_xlfn.IFNA(VLOOKUP(P18,'TANKS Vapor Fx'!$A$3:$B$294,2,FALSE),0)</f>
        <v>0</v>
      </c>
      <c r="Q25" s="239">
        <f>SUM('TANKS Calculations'!H118:Q118)</f>
        <v>0</v>
      </c>
    </row>
    <row r="26" spans="1:17" ht="20.100000000000001" customHeight="1" thickBot="1" x14ac:dyDescent="0.25">
      <c r="A26" s="235" t="s">
        <v>9701</v>
      </c>
      <c r="B26" s="374"/>
      <c r="C26" s="371"/>
      <c r="D26" s="371"/>
      <c r="E26" s="371"/>
      <c r="F26" s="371"/>
      <c r="G26" s="371"/>
      <c r="H26" s="371"/>
      <c r="I26" s="371"/>
      <c r="J26" s="371"/>
      <c r="K26" s="372"/>
      <c r="L26" s="371"/>
      <c r="M26" s="371"/>
      <c r="N26" s="372"/>
      <c r="O26" s="371"/>
      <c r="P26" s="371"/>
      <c r="Q26" s="244"/>
    </row>
    <row r="27" spans="1:17" ht="30" customHeight="1" thickBot="1" x14ac:dyDescent="0.25">
      <c r="A27" s="1377" t="s">
        <v>8411</v>
      </c>
      <c r="B27" s="1377"/>
      <c r="C27" s="1377"/>
      <c r="D27" s="1377"/>
      <c r="E27" s="151"/>
      <c r="F27" s="224"/>
      <c r="G27" s="224"/>
      <c r="H27" s="224"/>
      <c r="I27" s="224"/>
      <c r="J27" s="224"/>
      <c r="K27" s="224"/>
      <c r="L27" s="224"/>
      <c r="M27" s="224"/>
      <c r="N27" s="224"/>
      <c r="O27" s="224"/>
      <c r="P27" s="224"/>
      <c r="Q27" s="224"/>
    </row>
    <row r="28" spans="1:17" ht="60" customHeight="1" thickBot="1" x14ac:dyDescent="0.3">
      <c r="A28" s="1352" t="s">
        <v>9684</v>
      </c>
      <c r="B28" s="1353"/>
      <c r="C28" s="1353"/>
      <c r="D28" s="1354"/>
      <c r="E28" s="224"/>
      <c r="F28" s="224"/>
      <c r="G28" s="224"/>
      <c r="H28" s="224"/>
      <c r="I28" s="224"/>
      <c r="J28" s="224"/>
      <c r="K28" s="224"/>
      <c r="L28" s="224"/>
      <c r="M28" s="224"/>
      <c r="N28" s="224"/>
      <c r="O28" s="224"/>
      <c r="P28" s="224"/>
      <c r="Q28" s="224"/>
    </row>
    <row r="29" spans="1:17" ht="20.100000000000001" customHeight="1" thickBot="1" x14ac:dyDescent="0.3">
      <c r="A29" s="152" t="s">
        <v>9685</v>
      </c>
      <c r="B29" s="153" t="s">
        <v>9686</v>
      </c>
      <c r="C29" s="154" t="s">
        <v>9687</v>
      </c>
      <c r="D29" s="155" t="s">
        <v>9688</v>
      </c>
      <c r="E29" s="224"/>
      <c r="F29" s="224"/>
      <c r="G29" s="224"/>
      <c r="H29" s="224"/>
      <c r="I29" s="224"/>
      <c r="J29" s="224"/>
      <c r="K29" s="224"/>
      <c r="L29" s="224"/>
      <c r="M29" s="224"/>
      <c r="N29" s="224"/>
      <c r="O29" s="224"/>
      <c r="P29" s="224"/>
      <c r="Q29" s="224"/>
    </row>
    <row r="30" spans="1:17" ht="20.100000000000001" customHeight="1" x14ac:dyDescent="0.2">
      <c r="A30" s="225" t="s">
        <v>9702</v>
      </c>
      <c r="B30" s="245">
        <f>_xlfn.IFNA(VLOOKUP(B14,'TANKS Data'!$A$189:$H$213,8,FALSE),14.7)</f>
        <v>14.7</v>
      </c>
      <c r="C30" s="375"/>
      <c r="D30" s="246" t="s">
        <v>8867</v>
      </c>
      <c r="E30" s="224"/>
      <c r="F30" s="224"/>
      <c r="G30" s="224"/>
      <c r="H30" s="224"/>
      <c r="I30" s="224"/>
      <c r="J30" s="224"/>
      <c r="K30" s="224"/>
      <c r="L30" s="224"/>
      <c r="M30" s="224"/>
      <c r="N30" s="224"/>
      <c r="O30" s="224"/>
      <c r="P30" s="224"/>
      <c r="Q30" s="224"/>
    </row>
    <row r="31" spans="1:17" ht="30" customHeight="1" x14ac:dyDescent="0.2">
      <c r="A31" s="247" t="s">
        <v>9703</v>
      </c>
      <c r="B31" s="300" t="s">
        <v>8708</v>
      </c>
      <c r="C31" s="376"/>
      <c r="D31" s="249" t="s">
        <v>9689</v>
      </c>
      <c r="E31" s="224"/>
      <c r="F31" s="224"/>
      <c r="G31" s="224"/>
      <c r="H31" s="224"/>
      <c r="I31" s="224"/>
      <c r="J31" s="224"/>
      <c r="K31" s="224"/>
      <c r="L31" s="224"/>
      <c r="M31" s="224"/>
      <c r="N31" s="224"/>
      <c r="O31" s="224"/>
      <c r="P31" s="224"/>
      <c r="Q31" s="224"/>
    </row>
    <row r="32" spans="1:17" ht="20.100000000000001" customHeight="1" x14ac:dyDescent="0.35">
      <c r="A32" s="228" t="s">
        <v>9704</v>
      </c>
      <c r="B32" s="250">
        <f>Q23</f>
        <v>1</v>
      </c>
      <c r="C32" s="377"/>
      <c r="D32" s="227" t="s">
        <v>9689</v>
      </c>
      <c r="E32" s="224"/>
      <c r="F32" s="224"/>
      <c r="G32" s="224"/>
      <c r="H32" s="224"/>
      <c r="I32" s="224"/>
    </row>
    <row r="33" spans="1:9" ht="20.100000000000001" customHeight="1" x14ac:dyDescent="0.2">
      <c r="A33" s="329" t="s">
        <v>9705</v>
      </c>
      <c r="B33" s="251" t="s">
        <v>8708</v>
      </c>
      <c r="C33" s="378"/>
      <c r="D33" s="246" t="s">
        <v>9689</v>
      </c>
      <c r="E33" s="224"/>
      <c r="F33" s="224"/>
      <c r="G33" s="224"/>
      <c r="H33" s="224"/>
      <c r="I33" s="224"/>
    </row>
    <row r="34" spans="1:9" ht="20.100000000000001" customHeight="1" x14ac:dyDescent="0.2">
      <c r="A34" s="330" t="s">
        <v>9706</v>
      </c>
      <c r="B34" s="229" t="s">
        <v>8708</v>
      </c>
      <c r="C34" s="379"/>
      <c r="D34" s="227" t="s">
        <v>9707</v>
      </c>
      <c r="E34" s="224"/>
      <c r="F34" s="224"/>
      <c r="G34" s="224"/>
      <c r="H34" s="224"/>
      <c r="I34" s="224"/>
    </row>
    <row r="35" spans="1:9" ht="20.100000000000001" customHeight="1" x14ac:dyDescent="0.2">
      <c r="A35" s="228" t="s">
        <v>9708</v>
      </c>
      <c r="B35" s="229" t="s">
        <v>8708</v>
      </c>
      <c r="C35" s="380"/>
      <c r="D35" s="227" t="s">
        <v>9689</v>
      </c>
      <c r="E35" s="224"/>
      <c r="F35" s="224"/>
      <c r="G35" s="224"/>
      <c r="H35" s="224"/>
      <c r="I35" s="224"/>
    </row>
    <row r="36" spans="1:9" ht="30" customHeight="1" x14ac:dyDescent="0.2">
      <c r="A36" s="228" t="s">
        <v>9709</v>
      </c>
      <c r="B36" s="229" t="s">
        <v>8708</v>
      </c>
      <c r="C36" s="379"/>
      <c r="D36" s="227" t="s">
        <v>9707</v>
      </c>
      <c r="E36" s="224"/>
      <c r="F36" s="224"/>
      <c r="G36" s="224"/>
      <c r="H36" s="224"/>
      <c r="I36" s="224"/>
    </row>
    <row r="37" spans="1:9" ht="20.100000000000001" customHeight="1" x14ac:dyDescent="0.2">
      <c r="A37" s="228" t="s">
        <v>9710</v>
      </c>
      <c r="B37" s="229" t="s">
        <v>8708</v>
      </c>
      <c r="C37" s="379"/>
      <c r="D37" s="227" t="s">
        <v>9707</v>
      </c>
      <c r="E37" s="224"/>
      <c r="F37" s="224"/>
      <c r="G37" s="224"/>
      <c r="H37" s="224"/>
      <c r="I37" s="224"/>
    </row>
    <row r="38" spans="1:9" ht="20.100000000000001" customHeight="1" x14ac:dyDescent="0.35">
      <c r="A38" s="228" t="s">
        <v>9711</v>
      </c>
      <c r="B38" s="252">
        <f>IFERROR(IF('TANKS Calculations'!F5&gt;0,'TANKS Calculations'!F5,SQRT(4*'TANKS Calculations'!F7*'TANKS Calculations'!F6/PI())),0)</f>
        <v>0</v>
      </c>
      <c r="C38" s="379"/>
      <c r="D38" s="227" t="s">
        <v>9707</v>
      </c>
      <c r="E38" s="224"/>
      <c r="F38" s="224"/>
      <c r="G38" s="224"/>
      <c r="H38" s="224"/>
      <c r="I38" s="224"/>
    </row>
    <row r="39" spans="1:9" ht="30" customHeight="1" x14ac:dyDescent="0.2">
      <c r="A39" s="228" t="s">
        <v>9712</v>
      </c>
      <c r="B39" s="253">
        <f>'TANKS Calculations'!F6*PI()/4</f>
        <v>0</v>
      </c>
      <c r="C39" s="379"/>
      <c r="D39" s="227" t="s">
        <v>9707</v>
      </c>
      <c r="E39" s="224"/>
      <c r="F39" s="224"/>
      <c r="G39" s="224"/>
      <c r="H39" s="224"/>
      <c r="I39" s="224"/>
    </row>
    <row r="40" spans="1:9" ht="20.100000000000001" customHeight="1" x14ac:dyDescent="0.2">
      <c r="A40" s="228" t="s">
        <v>9713</v>
      </c>
      <c r="B40" s="254" t="s">
        <v>8708</v>
      </c>
      <c r="C40" s="379"/>
      <c r="D40" s="227" t="s">
        <v>9707</v>
      </c>
      <c r="E40" s="224"/>
      <c r="F40" s="224"/>
      <c r="G40" s="224"/>
      <c r="H40" s="224"/>
      <c r="I40" s="224"/>
    </row>
    <row r="41" spans="1:9" ht="20.100000000000001" customHeight="1" x14ac:dyDescent="0.2">
      <c r="A41" s="228" t="s">
        <v>9714</v>
      </c>
      <c r="B41" s="255">
        <f>IF(C33="Horizontal",'TANKS Calculations'!F6,'TANKS Calculations'!F10)-1</f>
        <v>-1</v>
      </c>
      <c r="C41" s="379"/>
      <c r="D41" s="227" t="s">
        <v>9707</v>
      </c>
      <c r="E41" s="224"/>
      <c r="F41" s="224"/>
      <c r="G41" s="224"/>
      <c r="H41" s="224"/>
      <c r="I41" s="224"/>
    </row>
    <row r="42" spans="1:9" ht="20.100000000000001" customHeight="1" x14ac:dyDescent="0.2">
      <c r="A42" s="228" t="s">
        <v>9715</v>
      </c>
      <c r="B42" s="255">
        <v>1</v>
      </c>
      <c r="C42" s="379"/>
      <c r="D42" s="227" t="s">
        <v>9707</v>
      </c>
      <c r="E42" s="224"/>
      <c r="F42" s="224"/>
      <c r="G42" s="224"/>
      <c r="H42" s="224"/>
      <c r="I42" s="224"/>
    </row>
    <row r="43" spans="1:9" ht="20.100000000000001" customHeight="1" x14ac:dyDescent="0.2">
      <c r="A43" s="228" t="s">
        <v>9716</v>
      </c>
      <c r="B43" s="255">
        <f>('TANKS Calculations'!F11+'TANKS Calculations'!F12)/2</f>
        <v>0</v>
      </c>
      <c r="C43" s="379"/>
      <c r="D43" s="227" t="s">
        <v>9707</v>
      </c>
      <c r="E43" s="224"/>
      <c r="F43" s="224"/>
      <c r="G43" s="224"/>
      <c r="H43" s="224"/>
      <c r="I43" s="224"/>
    </row>
    <row r="44" spans="1:9" ht="20.100000000000001" customHeight="1" x14ac:dyDescent="0.2">
      <c r="A44" s="256" t="s">
        <v>9717</v>
      </c>
      <c r="B44" s="229" t="s">
        <v>8708</v>
      </c>
      <c r="C44" s="381"/>
      <c r="D44" s="227" t="s">
        <v>9718</v>
      </c>
      <c r="E44" s="224"/>
      <c r="F44" s="224"/>
      <c r="G44" s="224"/>
      <c r="H44" s="224"/>
      <c r="I44" s="224"/>
    </row>
    <row r="45" spans="1:9" ht="39.950000000000003" customHeight="1" x14ac:dyDescent="0.35">
      <c r="A45" s="228" t="s">
        <v>9719</v>
      </c>
      <c r="B45" s="229" t="s">
        <v>8708</v>
      </c>
      <c r="C45" s="382"/>
      <c r="D45" s="227" t="s">
        <v>9689</v>
      </c>
      <c r="E45" s="224"/>
      <c r="F45" s="224"/>
      <c r="G45" s="224"/>
      <c r="H45" s="224"/>
      <c r="I45" s="224"/>
    </row>
    <row r="46" spans="1:9" ht="30" customHeight="1" x14ac:dyDescent="0.2">
      <c r="A46" s="228" t="s">
        <v>9720</v>
      </c>
      <c r="B46" s="229" t="s">
        <v>8708</v>
      </c>
      <c r="C46" s="382"/>
      <c r="D46" s="227" t="s">
        <v>9689</v>
      </c>
      <c r="E46" s="224"/>
      <c r="F46" s="224"/>
      <c r="G46" s="224"/>
      <c r="H46" s="224"/>
      <c r="I46" s="224"/>
    </row>
    <row r="47" spans="1:9" ht="30" customHeight="1" x14ac:dyDescent="0.2">
      <c r="A47" s="228" t="s">
        <v>9721</v>
      </c>
      <c r="B47" s="257" t="s">
        <v>8708</v>
      </c>
      <c r="C47" s="381"/>
      <c r="D47" s="227" t="s">
        <v>9722</v>
      </c>
      <c r="E47" s="224"/>
      <c r="F47" s="224"/>
      <c r="G47" s="224"/>
      <c r="H47" s="224"/>
      <c r="I47" s="224"/>
    </row>
    <row r="48" spans="1:9" ht="30" customHeight="1" x14ac:dyDescent="0.2">
      <c r="A48" s="228" t="s">
        <v>9723</v>
      </c>
      <c r="B48" s="257" t="s">
        <v>8708</v>
      </c>
      <c r="C48" s="381"/>
      <c r="D48" s="227" t="s">
        <v>9722</v>
      </c>
      <c r="E48" s="224"/>
      <c r="F48" s="224"/>
      <c r="G48" s="224"/>
      <c r="H48" s="224"/>
      <c r="I48" s="224"/>
    </row>
    <row r="49" spans="1:9" ht="20.100000000000001" customHeight="1" x14ac:dyDescent="0.2">
      <c r="A49" s="256" t="s">
        <v>9724</v>
      </c>
      <c r="B49" s="258">
        <f>IFERROR(IF(C45="Yes",'TANKS Calculations'!F18/('TANKS Calculations'!F11-'TANKS Calculations'!F12),'TANKS Calculations'!F16/'TANKS Calculations'!F14),0)</f>
        <v>0</v>
      </c>
      <c r="C49" s="383"/>
      <c r="D49" s="259" t="s">
        <v>9725</v>
      </c>
      <c r="E49" s="224"/>
      <c r="F49" s="224"/>
      <c r="G49" s="224"/>
      <c r="H49" s="224"/>
      <c r="I49" s="224"/>
    </row>
    <row r="50" spans="1:9" ht="20.100000000000001" customHeight="1" x14ac:dyDescent="0.2">
      <c r="A50" s="256" t="s">
        <v>9726</v>
      </c>
      <c r="B50" s="260">
        <f>IF(AND(C45="No",C46="No"),C44*'TANKS Calculations'!F15,('TANKS Calculations'!F19*(PI()/4)*('TANKS Calculations'!F8^2))/(5.614*0.02381))</f>
        <v>0</v>
      </c>
      <c r="C50" s="381"/>
      <c r="D50" s="227" t="s">
        <v>9727</v>
      </c>
      <c r="E50" s="224"/>
      <c r="F50" s="224"/>
      <c r="G50" s="224"/>
      <c r="H50" s="224"/>
      <c r="I50" s="224"/>
    </row>
    <row r="51" spans="1:9" ht="20.100000000000001" customHeight="1" x14ac:dyDescent="0.2">
      <c r="A51" s="225"/>
      <c r="B51" s="260">
        <f>IFERROR('TANKS Calculations'!F16*0.02381,0)</f>
        <v>0</v>
      </c>
      <c r="C51" s="381"/>
      <c r="D51" s="227" t="s">
        <v>9728</v>
      </c>
      <c r="E51" s="224"/>
      <c r="F51" s="224"/>
      <c r="G51" s="224"/>
      <c r="H51" s="224"/>
      <c r="I51" s="224"/>
    </row>
    <row r="52" spans="1:9" ht="20.100000000000001" customHeight="1" x14ac:dyDescent="0.35">
      <c r="A52" s="247" t="s">
        <v>9729</v>
      </c>
      <c r="B52" s="261">
        <f>IFERROR(IF(C45="Yes",'TANKS Calculations'!F18*('TANKS Calculations'!F8^2)*PI()/4,5.614*'TANKS Calculations'!F17),0)</f>
        <v>0</v>
      </c>
      <c r="C52" s="384"/>
      <c r="D52" s="249" t="s">
        <v>9730</v>
      </c>
      <c r="E52" s="224"/>
      <c r="F52" s="224"/>
      <c r="G52" s="224"/>
      <c r="H52" s="224"/>
      <c r="I52" s="224"/>
    </row>
    <row r="53" spans="1:9" ht="20.100000000000001" customHeight="1" thickBot="1" x14ac:dyDescent="0.25">
      <c r="A53" s="262" t="s">
        <v>9731</v>
      </c>
      <c r="B53" s="263">
        <f>IFERROR(IF(ISBLANK(C49),IF(('TANKS Calculations'!F17/0.02381)/'TANKS Calculations'!F14&lt;=36,1,(180+(('TANKS Calculations'!F17/0.02381))/'TANKS Calculations'!F14)/(6*(('TANKS Calculations'!F17/0.02381)/'TANKS Calculations'!F14))),IF('TANKS Calculations'!F15&lt;=36,1,(180+'TANKS Calculations'!F15)/(6*'TANKS Calculations'!F15))),1)</f>
        <v>1</v>
      </c>
      <c r="C53" s="385"/>
      <c r="D53" s="264" t="s">
        <v>9689</v>
      </c>
      <c r="E53" s="224"/>
      <c r="F53" s="224"/>
      <c r="G53" s="224"/>
      <c r="H53" s="224"/>
      <c r="I53" s="224"/>
    </row>
    <row r="54" spans="1:9" ht="30" customHeight="1" x14ac:dyDescent="0.2">
      <c r="A54" s="225" t="s">
        <v>9732</v>
      </c>
      <c r="B54" s="251" t="s">
        <v>8708</v>
      </c>
      <c r="C54" s="378"/>
      <c r="D54" s="246" t="s">
        <v>9689</v>
      </c>
      <c r="E54" s="224"/>
      <c r="F54" s="224"/>
      <c r="G54" s="224"/>
      <c r="H54" s="224"/>
      <c r="I54" s="224"/>
    </row>
    <row r="55" spans="1:9" ht="30" customHeight="1" x14ac:dyDescent="0.2">
      <c r="A55" s="228" t="s">
        <v>9733</v>
      </c>
      <c r="B55" s="229" t="s">
        <v>8708</v>
      </c>
      <c r="C55" s="380"/>
      <c r="D55" s="227" t="s">
        <v>9689</v>
      </c>
      <c r="E55" s="224"/>
      <c r="F55" s="224"/>
      <c r="G55" s="224"/>
      <c r="H55" s="224"/>
      <c r="I55" s="224"/>
    </row>
    <row r="56" spans="1:9" ht="30" customHeight="1" x14ac:dyDescent="0.2">
      <c r="A56" s="225" t="s">
        <v>9734</v>
      </c>
      <c r="B56" s="251" t="s">
        <v>8708</v>
      </c>
      <c r="C56" s="378"/>
      <c r="D56" s="246" t="s">
        <v>9689</v>
      </c>
      <c r="E56" s="224"/>
      <c r="F56" s="224"/>
      <c r="G56" s="224"/>
      <c r="H56" s="224"/>
      <c r="I56" s="224"/>
    </row>
    <row r="57" spans="1:9" ht="30" customHeight="1" thickBot="1" x14ac:dyDescent="0.25">
      <c r="A57" s="262" t="s">
        <v>9735</v>
      </c>
      <c r="B57" s="265" t="s">
        <v>8708</v>
      </c>
      <c r="C57" s="380"/>
      <c r="D57" s="264" t="s">
        <v>9689</v>
      </c>
      <c r="E57" s="224"/>
      <c r="F57" s="224"/>
      <c r="G57" s="224"/>
      <c r="H57" s="224"/>
      <c r="I57" s="224"/>
    </row>
    <row r="58" spans="1:9" ht="20.100000000000001" customHeight="1" x14ac:dyDescent="0.2">
      <c r="A58" s="429" t="s">
        <v>10014</v>
      </c>
      <c r="B58" s="267" t="s">
        <v>8708</v>
      </c>
      <c r="C58" s="386"/>
      <c r="D58" s="268" t="s">
        <v>9689</v>
      </c>
      <c r="E58" s="224"/>
      <c r="F58" s="224"/>
      <c r="G58" s="224"/>
      <c r="H58" s="224"/>
      <c r="I58" s="224"/>
    </row>
    <row r="59" spans="1:9" ht="30" customHeight="1" x14ac:dyDescent="0.2">
      <c r="A59" s="228" t="s">
        <v>9736</v>
      </c>
      <c r="B59" s="252">
        <f>IF(C58="Cone",0.0625,0)</f>
        <v>0</v>
      </c>
      <c r="C59" s="379"/>
      <c r="D59" s="227" t="s">
        <v>9737</v>
      </c>
      <c r="E59" s="224"/>
      <c r="F59" s="224"/>
      <c r="G59" s="224"/>
      <c r="H59" s="224"/>
      <c r="I59" s="224"/>
    </row>
    <row r="60" spans="1:9" ht="30" customHeight="1" x14ac:dyDescent="0.2">
      <c r="A60" s="228" t="s">
        <v>9738</v>
      </c>
      <c r="B60" s="252">
        <f>IF(C58="Dome",IF(C33="Horizontal",SQRT((C37*C36*4)/PI())/2,C34/2),0)</f>
        <v>0</v>
      </c>
      <c r="C60" s="379"/>
      <c r="D60" s="227" t="s">
        <v>9707</v>
      </c>
      <c r="E60" s="224"/>
      <c r="F60" s="224"/>
      <c r="G60" s="224"/>
      <c r="H60" s="224"/>
      <c r="I60" s="224"/>
    </row>
    <row r="61" spans="1:9" ht="20.100000000000001" customHeight="1" x14ac:dyDescent="0.2">
      <c r="A61" s="228" t="s">
        <v>9739</v>
      </c>
      <c r="B61" s="252">
        <f>IF(C33="Horizontal",SQRT((C37*C36*4)/PI())/2,C34/2)</f>
        <v>0</v>
      </c>
      <c r="C61" s="379"/>
      <c r="D61" s="227" t="s">
        <v>9707</v>
      </c>
      <c r="E61" s="224"/>
      <c r="F61" s="224"/>
      <c r="G61" s="224"/>
      <c r="H61" s="224"/>
      <c r="I61" s="224"/>
    </row>
    <row r="62" spans="1:9" ht="20.100000000000001" customHeight="1" x14ac:dyDescent="0.2">
      <c r="A62" s="228" t="s">
        <v>9740</v>
      </c>
      <c r="B62" s="252">
        <f>IF(C58="Dome",IF('TANKS Calculations'!F55=0,0.268*'TANKS Calculations'!F56,'TANKS Calculations'!F55-SQRT(('TANKS Calculations'!F55^2)-('TANKS Calculations'!F56^2))),'TANKS Calculations'!F56*'TANKS Calculations'!F54)</f>
        <v>0</v>
      </c>
      <c r="C62" s="379"/>
      <c r="D62" s="227" t="s">
        <v>9707</v>
      </c>
      <c r="E62" s="224"/>
      <c r="F62" s="224"/>
      <c r="G62" s="224"/>
      <c r="H62" s="224"/>
      <c r="I62" s="224"/>
    </row>
    <row r="63" spans="1:9" ht="20.100000000000001" customHeight="1" x14ac:dyDescent="0.2">
      <c r="A63" s="228" t="s">
        <v>9741</v>
      </c>
      <c r="B63" s="252">
        <f>IF(C58="Dome",IF('TANKS Calculations'!F55=0,0.137*'TANKS Calculations'!F56,('TANKS Calculations'!F57*(0.5+(1/6)*(('TANKS Calculations'!F57/'TANKS Calculations'!F56)^2)))),IF(C58="Cone",'TANKS Calculations'!F57/3,0))</f>
        <v>0</v>
      </c>
      <c r="C63" s="379"/>
      <c r="D63" s="227" t="s">
        <v>9707</v>
      </c>
      <c r="E63" s="224"/>
      <c r="F63" s="224"/>
      <c r="G63" s="224"/>
      <c r="H63" s="224"/>
      <c r="I63" s="224"/>
    </row>
    <row r="64" spans="1:9" ht="20.100000000000001" customHeight="1" x14ac:dyDescent="0.2">
      <c r="A64" s="228" t="s">
        <v>9742</v>
      </c>
      <c r="B64" s="252">
        <f>IFERROR(IF(C33="Horizontal",'TANKS Calculations'!F9/2,'TANKS Calculations'!F10-'TANKS Calculations'!F58+'TANKS Calculations'!F59),0)</f>
        <v>0</v>
      </c>
      <c r="C64" s="379"/>
      <c r="D64" s="227" t="s">
        <v>9707</v>
      </c>
      <c r="E64" s="224"/>
      <c r="F64" s="224"/>
      <c r="G64" s="224"/>
      <c r="H64" s="224"/>
      <c r="I64" s="224"/>
    </row>
    <row r="65" spans="1:16" ht="20.100000000000001" customHeight="1" x14ac:dyDescent="0.2">
      <c r="A65" s="256" t="s">
        <v>9743</v>
      </c>
      <c r="B65" s="258">
        <f>(PI()/4)*('TANKS Calculations'!F8^2)*'TANKS Calculations'!F60</f>
        <v>0</v>
      </c>
      <c r="C65" s="383"/>
      <c r="D65" s="259" t="s">
        <v>9730</v>
      </c>
      <c r="E65" s="224"/>
      <c r="F65" s="224"/>
      <c r="G65" s="224"/>
      <c r="H65" s="224"/>
      <c r="I65" s="224"/>
    </row>
    <row r="66" spans="1:16" ht="20.100000000000001" customHeight="1" thickBot="1" x14ac:dyDescent="0.25">
      <c r="A66" s="262" t="s">
        <v>9744</v>
      </c>
      <c r="B66" s="269" t="s">
        <v>6</v>
      </c>
      <c r="C66" s="387"/>
      <c r="D66" s="264" t="s">
        <v>9689</v>
      </c>
      <c r="E66" s="224"/>
      <c r="F66" s="224"/>
      <c r="G66" s="224"/>
      <c r="H66" s="224"/>
      <c r="I66" s="224"/>
    </row>
    <row r="67" spans="1:16" ht="45" customHeight="1" x14ac:dyDescent="0.2">
      <c r="A67" s="266" t="s">
        <v>9745</v>
      </c>
      <c r="B67" s="270" t="s">
        <v>8708</v>
      </c>
      <c r="C67" s="386"/>
      <c r="D67" s="268" t="s">
        <v>9689</v>
      </c>
      <c r="E67" s="224"/>
      <c r="F67" s="224"/>
      <c r="G67" s="224"/>
      <c r="H67" s="224"/>
      <c r="I67" s="224"/>
    </row>
    <row r="68" spans="1:16" ht="45" customHeight="1" thickBot="1" x14ac:dyDescent="0.25">
      <c r="A68" s="262" t="s">
        <v>9746</v>
      </c>
      <c r="B68" s="271" t="s">
        <v>8708</v>
      </c>
      <c r="C68" s="388"/>
      <c r="D68" s="264" t="s">
        <v>9689</v>
      </c>
      <c r="E68" s="224"/>
      <c r="F68" s="224"/>
      <c r="G68" s="224"/>
      <c r="H68" s="224"/>
      <c r="I68" s="224"/>
      <c r="J68" s="224"/>
      <c r="K68" s="224"/>
      <c r="L68" s="224"/>
      <c r="M68" s="224"/>
      <c r="N68" s="224"/>
      <c r="O68" s="224"/>
      <c r="P68" s="224"/>
    </row>
    <row r="69" spans="1:16" ht="30" customHeight="1" x14ac:dyDescent="0.2">
      <c r="A69" s="225" t="s">
        <v>9747</v>
      </c>
      <c r="B69" s="272" t="s">
        <v>8708</v>
      </c>
      <c r="C69" s="378"/>
      <c r="D69" s="246" t="s">
        <v>9689</v>
      </c>
      <c r="E69" s="224"/>
      <c r="F69" s="224"/>
      <c r="G69" s="224"/>
      <c r="H69" s="224"/>
      <c r="I69" s="224"/>
    </row>
    <row r="70" spans="1:16" ht="20.100000000000001" customHeight="1" x14ac:dyDescent="0.2">
      <c r="A70" s="225" t="s">
        <v>9748</v>
      </c>
      <c r="B70" s="273">
        <f>_xlfn.IFNA(HLOOKUP(C55,'TANKS Data'!$C$173:$E$186,MATCH(C54,'TANKS Data'!$B$173:$B$186,0),FALSE),0)</f>
        <v>0</v>
      </c>
      <c r="C70" s="389"/>
      <c r="D70" s="246" t="s">
        <v>9689</v>
      </c>
      <c r="E70" s="224"/>
      <c r="F70" s="224"/>
      <c r="G70" s="224"/>
      <c r="H70" s="224"/>
      <c r="I70" s="224"/>
    </row>
    <row r="71" spans="1:16" ht="20.100000000000001" customHeight="1" x14ac:dyDescent="0.2">
      <c r="A71" s="228" t="s">
        <v>9749</v>
      </c>
      <c r="B71" s="274">
        <f>_xlfn.IFNA(HLOOKUP(C57,'TANKS Data'!$C$173:$E$186,MATCH(C56,'TANKS Data'!$B$173:$B$186,0),FALSE),0)</f>
        <v>0</v>
      </c>
      <c r="C71" s="390"/>
      <c r="D71" s="227" t="s">
        <v>9689</v>
      </c>
      <c r="E71" s="224"/>
      <c r="F71" s="224"/>
      <c r="G71" s="224"/>
      <c r="H71" s="224"/>
      <c r="I71" s="224"/>
    </row>
    <row r="72" spans="1:16" ht="20.100000000000001" customHeight="1" x14ac:dyDescent="0.2">
      <c r="A72" s="228" t="s">
        <v>9750</v>
      </c>
      <c r="B72" s="274">
        <f>AVERAGE('TANKS Calculations'!F22:F23)</f>
        <v>0</v>
      </c>
      <c r="C72" s="390"/>
      <c r="D72" s="227" t="s">
        <v>9689</v>
      </c>
      <c r="E72" s="224"/>
      <c r="F72" s="224"/>
      <c r="G72" s="224"/>
      <c r="H72" s="224"/>
      <c r="I72" s="224"/>
    </row>
    <row r="73" spans="1:16" ht="20.100000000000001" customHeight="1" x14ac:dyDescent="0.2">
      <c r="A73" s="228" t="s">
        <v>9751</v>
      </c>
      <c r="B73" s="274">
        <f>_xlfn.IFNA(VLOOKUP(B14,'TANKS Data'!$A$189:$F$213,6,FALSE),0)</f>
        <v>0</v>
      </c>
      <c r="C73" s="390"/>
      <c r="D73" s="227" t="s">
        <v>9752</v>
      </c>
      <c r="E73" s="224"/>
      <c r="F73" s="275"/>
      <c r="G73" s="224"/>
      <c r="H73" s="224"/>
      <c r="I73" s="224"/>
    </row>
    <row r="74" spans="1:16" ht="30" customHeight="1" x14ac:dyDescent="0.2">
      <c r="A74" s="256" t="s">
        <v>9753</v>
      </c>
      <c r="B74" s="253">
        <f>_xlfn.IFNA(VLOOKUP($B$14,'TANKS Data'!$A$189:$C$213,2,FALSE),0)</f>
        <v>0</v>
      </c>
      <c r="C74" s="379"/>
      <c r="D74" s="227" t="s">
        <v>9754</v>
      </c>
      <c r="E74" s="224"/>
      <c r="F74" s="275"/>
      <c r="G74" s="224"/>
      <c r="H74" s="224"/>
      <c r="I74" s="224"/>
    </row>
    <row r="75" spans="1:16" ht="20.100000000000001" customHeight="1" x14ac:dyDescent="0.2">
      <c r="A75" s="225"/>
      <c r="B75" s="253">
        <f>'TANKS Calculations'!F26+459.67</f>
        <v>459.67</v>
      </c>
      <c r="C75" s="379"/>
      <c r="D75" s="227" t="s">
        <v>9755</v>
      </c>
      <c r="E75" s="224"/>
      <c r="F75" s="275"/>
      <c r="G75" s="224"/>
      <c r="H75" s="224"/>
      <c r="I75" s="224"/>
    </row>
    <row r="76" spans="1:16" ht="30" customHeight="1" x14ac:dyDescent="0.2">
      <c r="A76" s="256" t="s">
        <v>9756</v>
      </c>
      <c r="B76" s="253">
        <f>_xlfn.IFNA(VLOOKUP($B$14,'TANKS Data'!$A$189:$C$213,3,FALSE),0)</f>
        <v>0</v>
      </c>
      <c r="C76" s="379"/>
      <c r="D76" s="227" t="s">
        <v>9754</v>
      </c>
      <c r="E76" s="224"/>
      <c r="F76" s="275"/>
      <c r="G76" s="224"/>
      <c r="H76" s="224"/>
      <c r="I76" s="224"/>
    </row>
    <row r="77" spans="1:16" ht="20.100000000000001" customHeight="1" x14ac:dyDescent="0.2">
      <c r="A77" s="225"/>
      <c r="B77" s="253">
        <f>'TANKS Calculations'!F28+459.67</f>
        <v>459.67</v>
      </c>
      <c r="C77" s="379"/>
      <c r="D77" s="227" t="s">
        <v>9755</v>
      </c>
      <c r="E77" s="224"/>
      <c r="F77" s="275"/>
      <c r="G77" s="224"/>
      <c r="H77" s="224"/>
      <c r="I77" s="224"/>
    </row>
    <row r="78" spans="1:16" ht="20.100000000000001" customHeight="1" x14ac:dyDescent="0.2">
      <c r="A78" s="256" t="s">
        <v>9757</v>
      </c>
      <c r="B78" s="253">
        <f>('TANKS Calculations'!F27+'TANKS Calculations'!F29)/2-459.67</f>
        <v>0</v>
      </c>
      <c r="C78" s="379"/>
      <c r="D78" s="227" t="s">
        <v>9754</v>
      </c>
      <c r="E78" s="224"/>
      <c r="F78" s="275"/>
      <c r="G78" s="224"/>
      <c r="H78" s="224"/>
      <c r="I78" s="224"/>
    </row>
    <row r="79" spans="1:16" ht="20.100000000000001" customHeight="1" x14ac:dyDescent="0.2">
      <c r="A79" s="156"/>
      <c r="B79" s="253">
        <f>'TANKS Calculations'!F31+459.67</f>
        <v>459.67</v>
      </c>
      <c r="C79" s="379"/>
      <c r="D79" s="227" t="s">
        <v>9755</v>
      </c>
      <c r="E79" s="224"/>
      <c r="F79" s="275"/>
      <c r="G79" s="224"/>
      <c r="H79" s="224"/>
      <c r="I79" s="224"/>
    </row>
    <row r="80" spans="1:16" ht="20.100000000000001" customHeight="1" x14ac:dyDescent="0.2">
      <c r="A80" s="228" t="s">
        <v>9758</v>
      </c>
      <c r="B80" s="253">
        <f>'TANKS Calculations'!F26-'TANKS Calculations'!F28</f>
        <v>0</v>
      </c>
      <c r="C80" s="379"/>
      <c r="D80" s="227" t="s">
        <v>9759</v>
      </c>
      <c r="E80" s="224"/>
      <c r="F80" s="275"/>
      <c r="G80" s="224"/>
      <c r="H80" s="224"/>
      <c r="I80" s="224"/>
    </row>
    <row r="81" spans="1:17" ht="20.100000000000001" customHeight="1" x14ac:dyDescent="0.2">
      <c r="A81" s="247" t="s">
        <v>9760</v>
      </c>
      <c r="B81" s="276">
        <f>IF(C68="External Floating Roof",IF(C67="Steel Double Deck",'TANKS Calculations'!F32+(0.005*'TANKS Calculations'!F22*'TANKS Calculations'!F25),'TANKS Calculations'!F32+(0.007*'TANKS Calculations'!F22*'TANKS Calculations'!F25)),'TANKS Calculations'!F32+(0.003*'TANKS Calculations'!F22*'TANKS Calculations'!F25))-459.67</f>
        <v>0</v>
      </c>
      <c r="C81" s="391"/>
      <c r="D81" s="246" t="s">
        <v>9754</v>
      </c>
      <c r="E81" s="224"/>
      <c r="F81" s="275"/>
      <c r="G81" s="224"/>
      <c r="H81" s="224"/>
      <c r="I81" s="224"/>
    </row>
    <row r="82" spans="1:17" ht="20.100000000000001" customHeight="1" x14ac:dyDescent="0.2">
      <c r="A82" s="225"/>
      <c r="B82" s="277">
        <f>'TANKS Calculations'!F33+459.67</f>
        <v>459.67</v>
      </c>
      <c r="C82" s="379"/>
      <c r="D82" s="227" t="s">
        <v>9755</v>
      </c>
      <c r="E82" s="224"/>
      <c r="F82" s="275"/>
      <c r="G82" s="224"/>
      <c r="H82" s="224"/>
      <c r="I82" s="224"/>
    </row>
    <row r="83" spans="1:17" ht="20.100000000000001" customHeight="1" x14ac:dyDescent="0.2">
      <c r="A83" s="256" t="s">
        <v>9761</v>
      </c>
      <c r="B83" s="252">
        <f>IFERROR(IF(OR(ISBLANK(C69),C69="Not Insulated"),((0.7*'TANKS Calculations'!F32)+(0.3*'TANKS Calculations'!F34)+(0.009*'TANKS Calculations'!F25*'TANKS Calculations'!F24)),IF(C69="Partially Insulated",((0.6*'TANKS Calculations'!F32)+(0.4*'TANKS Calculations'!F34)+(0.01*'TANKS Calculations'!F25*'TANKS Calculations'!F24)),'TANKS Calculations'!F34)),459.67)-459.67</f>
        <v>0</v>
      </c>
      <c r="C83" s="379"/>
      <c r="D83" s="227" t="s">
        <v>9754</v>
      </c>
      <c r="E83" s="224"/>
      <c r="F83" s="275"/>
      <c r="G83" s="224"/>
      <c r="H83" s="224"/>
      <c r="I83" s="224"/>
    </row>
    <row r="84" spans="1:17" ht="20.100000000000001" customHeight="1" x14ac:dyDescent="0.2">
      <c r="A84" s="225"/>
      <c r="B84" s="252">
        <f>'TANKS Calculations'!F48+459.67</f>
        <v>459.67</v>
      </c>
      <c r="C84" s="379"/>
      <c r="D84" s="227" t="s">
        <v>9755</v>
      </c>
      <c r="E84" s="224"/>
      <c r="F84" s="275"/>
      <c r="G84" s="224"/>
      <c r="H84" s="224"/>
      <c r="I84" s="224"/>
    </row>
    <row r="85" spans="1:17" ht="20.100000000000001" customHeight="1" x14ac:dyDescent="0.2">
      <c r="A85" s="228" t="s">
        <v>9762</v>
      </c>
      <c r="B85" s="253">
        <f>IFERROR(IF(OR(ISBLANK(C69),C69="Not Insulated"),((0.7*'TANKS Calculations'!F30)+(0.02*'TANKS Calculations'!F25*'TANKS Calculations'!F24)),IF(C69="Partially Insulated",((0.6*'TANKS Calculations'!F30)+(0.02*'TANKS Calculations'!F25*'TANKS Calculations'!F24)),0)),0)</f>
        <v>0</v>
      </c>
      <c r="C85" s="379"/>
      <c r="D85" s="227" t="s">
        <v>9759</v>
      </c>
      <c r="E85" s="224"/>
      <c r="F85" s="275"/>
      <c r="G85" s="224"/>
      <c r="H85" s="224"/>
      <c r="I85" s="224"/>
    </row>
    <row r="86" spans="1:17" ht="20.100000000000001" customHeight="1" x14ac:dyDescent="0.2">
      <c r="A86" s="247" t="s">
        <v>9763</v>
      </c>
      <c r="B86" s="278">
        <f>IF(B12="Fixed",IF(C69="Fully Insulated",'TANKS Calculations'!F34,IF(C69="Partially Insulated",(0.3*'TANKS Calculations'!F32)+(0.7*'TANKS Calculations'!F34)+(0.005*'TANKS Calculations'!F25*'TANKS Calculations'!F24),(0.4*'TANKS Calculations'!F32)+(0.6*'TANKS Calculations'!F34)+(0.005*'TANKS Calculations'!F25*'TANKS Calculations'!F24))),IF(C68="External Floating Roof",IF(C67="Steel Double Deck",(0.3*'TANKS Calculations'!F32)+(0.7*'TANKS Calculations'!F34)+(0.009*'TANKS Calculations'!F25*'TANKS Calculations'!F24),(0.7*'TANKS Calculations'!F32)+(0.3*'TANKS Calculations'!F34)+(0.009*'TANKS Calculations'!F25*'TANKS Calculations'!F24)),(0.3*'TANKS Calculations'!F32)+(0.7*'TANKS Calculations'!F34)+(0.004*'TANKS Calculations'!F25*'TANKS Calculations'!F24)))-459.67</f>
        <v>0</v>
      </c>
      <c r="C86" s="392"/>
      <c r="D86" s="246" t="s">
        <v>9754</v>
      </c>
      <c r="E86" s="224"/>
      <c r="F86" s="275"/>
      <c r="G86" s="224"/>
      <c r="H86" s="224"/>
    </row>
    <row r="87" spans="1:17" ht="20.100000000000001" customHeight="1" x14ac:dyDescent="0.2">
      <c r="A87" s="225"/>
      <c r="B87" s="253">
        <f>'TANKS Calculations'!F41+459.67</f>
        <v>459.67</v>
      </c>
      <c r="C87" s="379"/>
      <c r="D87" s="227" t="s">
        <v>9755</v>
      </c>
      <c r="E87" s="224"/>
      <c r="F87" s="275"/>
      <c r="G87" s="224"/>
      <c r="H87" s="224"/>
      <c r="I87" s="224"/>
    </row>
    <row r="88" spans="1:17" ht="20.100000000000001" customHeight="1" x14ac:dyDescent="0.2">
      <c r="A88" s="247" t="s">
        <v>9764</v>
      </c>
      <c r="B88" s="253">
        <f>'TANKS Calculations'!F41-0.25*'TANKS Calculations'!F50</f>
        <v>0</v>
      </c>
      <c r="C88" s="379"/>
      <c r="D88" s="227" t="s">
        <v>9754</v>
      </c>
      <c r="E88" s="224"/>
      <c r="F88" s="275"/>
      <c r="G88" s="224"/>
      <c r="H88" s="224"/>
      <c r="I88" s="224"/>
    </row>
    <row r="89" spans="1:17" ht="20.100000000000001" customHeight="1" x14ac:dyDescent="0.2">
      <c r="A89" s="225"/>
      <c r="B89" s="253">
        <f>'TANKS Calculations'!F38+459.67</f>
        <v>459.67</v>
      </c>
      <c r="C89" s="379"/>
      <c r="D89" s="227" t="s">
        <v>9755</v>
      </c>
      <c r="E89" s="224"/>
      <c r="F89" s="275"/>
      <c r="G89" s="224"/>
      <c r="H89" s="224"/>
      <c r="I89" s="224"/>
    </row>
    <row r="90" spans="1:17" ht="20.100000000000001" customHeight="1" x14ac:dyDescent="0.2">
      <c r="A90" s="247" t="s">
        <v>9765</v>
      </c>
      <c r="B90" s="278">
        <f>'TANKS Calculations'!F41+0.25*'TANKS Calculations'!F50</f>
        <v>0</v>
      </c>
      <c r="C90" s="379"/>
      <c r="D90" s="246" t="s">
        <v>9754</v>
      </c>
      <c r="E90" s="224"/>
      <c r="F90" s="275"/>
      <c r="G90" s="224"/>
      <c r="H90" s="224"/>
      <c r="I90" s="224"/>
    </row>
    <row r="91" spans="1:17" ht="20.100000000000001" customHeight="1" thickBot="1" x14ac:dyDescent="0.25">
      <c r="A91" s="230"/>
      <c r="B91" s="279">
        <f>'TANKS Calculations'!F35+459.67</f>
        <v>459.67</v>
      </c>
      <c r="C91" s="393"/>
      <c r="D91" s="264" t="s">
        <v>9755</v>
      </c>
      <c r="E91" s="224"/>
      <c r="F91" s="224"/>
      <c r="G91" s="224"/>
      <c r="H91" s="224"/>
      <c r="I91" s="224"/>
    </row>
    <row r="92" spans="1:17" ht="48" customHeight="1" x14ac:dyDescent="0.2">
      <c r="A92" s="1380" t="s">
        <v>10007</v>
      </c>
      <c r="B92" s="1381"/>
      <c r="C92" s="1381"/>
      <c r="D92" s="1381"/>
      <c r="E92" s="347"/>
      <c r="F92" s="347"/>
      <c r="G92" s="347"/>
      <c r="H92" s="347"/>
      <c r="I92" s="347"/>
      <c r="J92" s="347"/>
      <c r="K92" s="347"/>
      <c r="L92" s="347"/>
      <c r="M92" s="347"/>
      <c r="N92" s="347"/>
      <c r="O92" s="347"/>
      <c r="P92" s="347"/>
      <c r="Q92" s="347"/>
    </row>
    <row r="93" spans="1:17" ht="15" customHeight="1" x14ac:dyDescent="0.2">
      <c r="A93" s="1382" t="s">
        <v>9998</v>
      </c>
      <c r="B93" s="1383"/>
      <c r="C93" s="1383"/>
      <c r="D93" s="1383"/>
      <c r="E93" s="348"/>
      <c r="F93" s="348"/>
      <c r="G93" s="348"/>
      <c r="H93" s="348"/>
      <c r="I93" s="348"/>
      <c r="J93" s="348"/>
      <c r="K93" s="348"/>
      <c r="L93" s="348"/>
      <c r="M93" s="348"/>
      <c r="N93" s="348"/>
      <c r="O93" s="348"/>
      <c r="P93" s="348"/>
      <c r="Q93" s="348"/>
    </row>
    <row r="94" spans="1:17" ht="106.5" customHeight="1" thickBot="1" x14ac:dyDescent="0.25">
      <c r="A94" s="1366" t="s">
        <v>10006</v>
      </c>
      <c r="B94" s="1367"/>
      <c r="C94" s="1367"/>
      <c r="D94" s="1367"/>
      <c r="E94" s="347"/>
      <c r="F94" s="347"/>
      <c r="G94" s="347"/>
      <c r="H94" s="347"/>
      <c r="I94" s="347"/>
      <c r="J94" s="347"/>
      <c r="K94" s="347"/>
      <c r="L94" s="347"/>
      <c r="M94" s="347"/>
      <c r="N94" s="347"/>
      <c r="O94" s="347"/>
      <c r="P94" s="347"/>
      <c r="Q94" s="347"/>
    </row>
    <row r="95" spans="1:17" ht="45" customHeight="1" thickBot="1" x14ac:dyDescent="0.3">
      <c r="A95" s="1370" t="s">
        <v>9970</v>
      </c>
      <c r="B95" s="1371"/>
      <c r="C95" s="1371"/>
      <c r="D95" s="1371"/>
      <c r="E95" s="1371"/>
      <c r="F95" s="1371"/>
      <c r="G95" s="1371"/>
      <c r="H95" s="1371"/>
      <c r="I95" s="1371"/>
      <c r="J95" s="1371"/>
      <c r="K95" s="1371"/>
      <c r="L95" s="1371"/>
      <c r="M95" s="1371"/>
      <c r="N95" s="1371"/>
      <c r="O95" s="1371"/>
      <c r="P95" s="1371"/>
      <c r="Q95" s="1372"/>
    </row>
    <row r="96" spans="1:17" ht="20.100000000000001" customHeight="1" x14ac:dyDescent="0.25">
      <c r="A96" s="146" t="s">
        <v>9502</v>
      </c>
      <c r="B96" s="147" t="s">
        <v>9503</v>
      </c>
      <c r="C96" s="148" t="s">
        <v>9504</v>
      </c>
      <c r="D96" s="148" t="s">
        <v>9505</v>
      </c>
      <c r="E96" s="148" t="s">
        <v>9506</v>
      </c>
      <c r="F96" s="148" t="s">
        <v>9507</v>
      </c>
      <c r="G96" s="148" t="s">
        <v>9508</v>
      </c>
      <c r="H96" s="148" t="s">
        <v>9509</v>
      </c>
      <c r="I96" s="148" t="s">
        <v>9510</v>
      </c>
      <c r="J96" s="148" t="s">
        <v>9511</v>
      </c>
      <c r="K96" s="150" t="s">
        <v>9512</v>
      </c>
      <c r="L96" s="148" t="s">
        <v>9513</v>
      </c>
      <c r="M96" s="148" t="s">
        <v>9514</v>
      </c>
      <c r="N96" s="150" t="s">
        <v>9515</v>
      </c>
      <c r="O96" s="148" t="s">
        <v>9516</v>
      </c>
      <c r="P96" s="148" t="s">
        <v>9517</v>
      </c>
      <c r="Q96" s="146" t="s">
        <v>1</v>
      </c>
    </row>
    <row r="97" spans="1:17" ht="30" customHeight="1" thickBot="1" x14ac:dyDescent="0.25">
      <c r="A97" s="228" t="s">
        <v>9693</v>
      </c>
      <c r="B97" s="280" t="str">
        <f t="shared" ref="B97:P97" si="1">IF(ISBLANK(B18),"",B18)</f>
        <v/>
      </c>
      <c r="C97" s="281" t="str">
        <f t="shared" si="1"/>
        <v/>
      </c>
      <c r="D97" s="281" t="str">
        <f t="shared" si="1"/>
        <v/>
      </c>
      <c r="E97" s="281" t="str">
        <f t="shared" si="1"/>
        <v/>
      </c>
      <c r="F97" s="281" t="str">
        <f t="shared" si="1"/>
        <v/>
      </c>
      <c r="G97" s="281" t="str">
        <f t="shared" si="1"/>
        <v/>
      </c>
      <c r="H97" s="281" t="str">
        <f t="shared" si="1"/>
        <v/>
      </c>
      <c r="I97" s="281" t="str">
        <f t="shared" si="1"/>
        <v/>
      </c>
      <c r="J97" s="281" t="str">
        <f t="shared" si="1"/>
        <v/>
      </c>
      <c r="K97" s="282" t="str">
        <f t="shared" si="1"/>
        <v/>
      </c>
      <c r="L97" s="281" t="str">
        <f t="shared" si="1"/>
        <v/>
      </c>
      <c r="M97" s="281" t="str">
        <f t="shared" si="1"/>
        <v/>
      </c>
      <c r="N97" s="282" t="str">
        <f t="shared" si="1"/>
        <v/>
      </c>
      <c r="O97" s="281" t="str">
        <f t="shared" si="1"/>
        <v/>
      </c>
      <c r="P97" s="281" t="str">
        <f t="shared" si="1"/>
        <v/>
      </c>
      <c r="Q97" s="232"/>
    </row>
    <row r="98" spans="1:17" ht="20.100000000000001" customHeight="1" x14ac:dyDescent="0.2">
      <c r="A98" s="237" t="s">
        <v>9766</v>
      </c>
      <c r="B98" s="238" t="str">
        <f>IF(ISBLANK(B18),"",_xlfn.IFNA(VLOOKUP(B18,'TANKS Vapor Fx'!$A$3:$G$294,5,FALSE),0))</f>
        <v/>
      </c>
      <c r="C98" s="238" t="str">
        <f>IF(ISBLANK(C18),"",_xlfn.IFNA(VLOOKUP(C18,'TANKS Vapor Fx'!$A$3:$G$294,5,FALSE),0))</f>
        <v/>
      </c>
      <c r="D98" s="238" t="str">
        <f>IF(ISBLANK(D18),"",_xlfn.IFNA(VLOOKUP(D18,'TANKS Vapor Fx'!$A$3:$G$294,5,FALSE),0))</f>
        <v/>
      </c>
      <c r="E98" s="238" t="str">
        <f>IF(ISBLANK(E18),"",_xlfn.IFNA(VLOOKUP(E18,'TANKS Vapor Fx'!$A$3:$G$294,5,FALSE),0))</f>
        <v/>
      </c>
      <c r="F98" s="238" t="str">
        <f>IF(ISBLANK(F18),"",_xlfn.IFNA(VLOOKUP(F18,'TANKS Vapor Fx'!$A$3:$G$294,5,FALSE),0))</f>
        <v/>
      </c>
      <c r="G98" s="238" t="str">
        <f>IF(ISBLANK(G18),"",_xlfn.IFNA(VLOOKUP(G18,'TANKS Vapor Fx'!$A$3:$G$294,5,FALSE),0))</f>
        <v/>
      </c>
      <c r="H98" s="238" t="str">
        <f>IF(ISBLANK(H18),"",_xlfn.IFNA(VLOOKUP(H18,'TANKS Vapor Fx'!$A$3:$G$294,5,FALSE),0))</f>
        <v/>
      </c>
      <c r="I98" s="238" t="str">
        <f>IF(ISBLANK(I18),"",_xlfn.IFNA(VLOOKUP(I18,'TANKS Vapor Fx'!$A$3:$G$294,5,FALSE),0))</f>
        <v/>
      </c>
      <c r="J98" s="238" t="str">
        <f>IF(ISBLANK(J18),"",_xlfn.IFNA(VLOOKUP(J18,'TANKS Vapor Fx'!$A$3:$G$294,5,FALSE),0))</f>
        <v/>
      </c>
      <c r="K98" s="238" t="str">
        <f>IF(ISBLANK(K18),"",_xlfn.IFNA(VLOOKUP(K18,'TANKS Vapor Fx'!$A$3:$G$294,5,FALSE),0))</f>
        <v/>
      </c>
      <c r="L98" s="238" t="str">
        <f>IF(ISBLANK(L18),"",_xlfn.IFNA(VLOOKUP(L18,'TANKS Vapor Fx'!$A$3:$G$294,5,FALSE),0))</f>
        <v/>
      </c>
      <c r="M98" s="238" t="str">
        <f>IF(ISBLANK(M18),"",_xlfn.IFNA(VLOOKUP(M18,'TANKS Vapor Fx'!$A$3:$G$294,5,FALSE),0))</f>
        <v/>
      </c>
      <c r="N98" s="238" t="str">
        <f>IF(ISBLANK(N18),"",_xlfn.IFNA(VLOOKUP(N18,'TANKS Vapor Fx'!$A$3:$G$294,5,FALSE),0))</f>
        <v/>
      </c>
      <c r="O98" s="238" t="str">
        <f>IF(ISBLANK(O18),"",_xlfn.IFNA(VLOOKUP(O18,'TANKS Vapor Fx'!$A$3:$G$294,5,FALSE),0))</f>
        <v/>
      </c>
      <c r="P98" s="238" t="str">
        <f>IF(ISBLANK(P18),"",_xlfn.IFNA(VLOOKUP(P18,'TANKS Vapor Fx'!$A$3:$G$294,5,FALSE),0))</f>
        <v/>
      </c>
      <c r="Q98" s="283"/>
    </row>
    <row r="99" spans="1:17" ht="20.100000000000001" customHeight="1" thickBot="1" x14ac:dyDescent="0.25">
      <c r="A99" s="235" t="s">
        <v>9767</v>
      </c>
      <c r="B99" s="394"/>
      <c r="C99" s="385"/>
      <c r="D99" s="385"/>
      <c r="E99" s="385"/>
      <c r="F99" s="385"/>
      <c r="G99" s="385"/>
      <c r="H99" s="385"/>
      <c r="I99" s="385"/>
      <c r="J99" s="385"/>
      <c r="K99" s="395"/>
      <c r="L99" s="385"/>
      <c r="M99" s="385"/>
      <c r="N99" s="395"/>
      <c r="O99" s="385"/>
      <c r="P99" s="385"/>
      <c r="Q99" s="244"/>
    </row>
    <row r="100" spans="1:17" ht="20.100000000000001" customHeight="1" x14ac:dyDescent="0.2">
      <c r="A100" s="284" t="s">
        <v>9768</v>
      </c>
      <c r="B100" s="285" t="str">
        <f>IF(ISBLANK(B18),"",_xlfn.IFNA(VLOOKUP(B18,'TANKS Vapor Fx'!$A$3:$G$294,6,FALSE),0))</f>
        <v/>
      </c>
      <c r="C100" s="285" t="str">
        <f>IF(ISBLANK(C18),"",_xlfn.IFNA(VLOOKUP(C18,'TANKS Vapor Fx'!$A$3:$G$294,6,FALSE),0))</f>
        <v/>
      </c>
      <c r="D100" s="285" t="str">
        <f>IF(ISBLANK(D18),"",_xlfn.IFNA(VLOOKUP(D18,'TANKS Vapor Fx'!$A$3:$G$294,6,FALSE),0))</f>
        <v/>
      </c>
      <c r="E100" s="285" t="str">
        <f>IF(ISBLANK(E18),"",_xlfn.IFNA(VLOOKUP(E18,'TANKS Vapor Fx'!$A$3:$G$294,6,FALSE),0))</f>
        <v/>
      </c>
      <c r="F100" s="285" t="str">
        <f>IF(ISBLANK(F18),"",_xlfn.IFNA(VLOOKUP(F18,'TANKS Vapor Fx'!$A$3:$G$294,6,FALSE),0))</f>
        <v/>
      </c>
      <c r="G100" s="285" t="str">
        <f>IF(ISBLANK(G18),"",_xlfn.IFNA(VLOOKUP(G18,'TANKS Vapor Fx'!$A$3:$G$294,6,FALSE),0))</f>
        <v/>
      </c>
      <c r="H100" s="285" t="str">
        <f>IF(ISBLANK(H18),"",_xlfn.IFNA(VLOOKUP(H18,'TANKS Vapor Fx'!$A$3:$G$294,6,FALSE),0))</f>
        <v/>
      </c>
      <c r="I100" s="285" t="str">
        <f>IF(ISBLANK(I18),"",_xlfn.IFNA(VLOOKUP(I18,'TANKS Vapor Fx'!$A$3:$G$294,6,FALSE),0))</f>
        <v/>
      </c>
      <c r="J100" s="285" t="str">
        <f>IF(ISBLANK(J18),"",_xlfn.IFNA(VLOOKUP(J18,'TANKS Vapor Fx'!$A$3:$G$294,6,FALSE),0))</f>
        <v/>
      </c>
      <c r="K100" s="285" t="str">
        <f>IF(ISBLANK(K18),"",_xlfn.IFNA(VLOOKUP(K18,'TANKS Vapor Fx'!$A$3:$G$294,6,FALSE),0))</f>
        <v/>
      </c>
      <c r="L100" s="285" t="str">
        <f>IF(ISBLANK(L18),"",_xlfn.IFNA(VLOOKUP(L18,'TANKS Vapor Fx'!$A$3:$G$294,6,FALSE),0))</f>
        <v/>
      </c>
      <c r="M100" s="285" t="str">
        <f>IF(ISBLANK(M18),"",_xlfn.IFNA(VLOOKUP(M18,'TANKS Vapor Fx'!$A$3:$G$294,6,FALSE),0))</f>
        <v/>
      </c>
      <c r="N100" s="285" t="str">
        <f>IF(ISBLANK(N18),"",_xlfn.IFNA(VLOOKUP(N18,'TANKS Vapor Fx'!$A$3:$G$294,6,FALSE),0))</f>
        <v/>
      </c>
      <c r="O100" s="285" t="str">
        <f>IF(ISBLANK(O18),"",_xlfn.IFNA(VLOOKUP(O18,'TANKS Vapor Fx'!$A$3:$G$294,6,FALSE),0))</f>
        <v/>
      </c>
      <c r="P100" s="285" t="str">
        <f>IF(ISBLANK(P18),"",_xlfn.IFNA(VLOOKUP(P18,'TANKS Vapor Fx'!$A$3:$G$294,6,FALSE),0))</f>
        <v/>
      </c>
      <c r="Q100" s="286"/>
    </row>
    <row r="101" spans="1:17" ht="20.100000000000001" customHeight="1" thickBot="1" x14ac:dyDescent="0.25">
      <c r="A101" s="240" t="s">
        <v>9769</v>
      </c>
      <c r="B101" s="396"/>
      <c r="C101" s="397"/>
      <c r="D101" s="397"/>
      <c r="E101" s="397"/>
      <c r="F101" s="397"/>
      <c r="G101" s="397"/>
      <c r="H101" s="397"/>
      <c r="I101" s="397"/>
      <c r="J101" s="397"/>
      <c r="K101" s="398"/>
      <c r="L101" s="397"/>
      <c r="M101" s="397"/>
      <c r="N101" s="398"/>
      <c r="O101" s="397"/>
      <c r="P101" s="397"/>
      <c r="Q101" s="241"/>
    </row>
    <row r="102" spans="1:17" ht="20.100000000000001" customHeight="1" x14ac:dyDescent="0.2">
      <c r="A102" s="237" t="s">
        <v>9770</v>
      </c>
      <c r="B102" s="238" t="str">
        <f>IF(ISBLANK(B18),"",_xlfn.IFNA(VLOOKUP(B18,'TANKS Vapor Fx'!$A$3:$G$294,7,FALSE),0))</f>
        <v/>
      </c>
      <c r="C102" s="238" t="str">
        <f>IF(ISBLANK(C18),"",_xlfn.IFNA(VLOOKUP(C18,'TANKS Vapor Fx'!$A$3:$G$294,7,FALSE),0))</f>
        <v/>
      </c>
      <c r="D102" s="238" t="str">
        <f>IF(ISBLANK(D18),"",_xlfn.IFNA(VLOOKUP(D18,'TANKS Vapor Fx'!$A$3:$G$294,7,FALSE),0))</f>
        <v/>
      </c>
      <c r="E102" s="238" t="str">
        <f>IF(ISBLANK(E18),"",_xlfn.IFNA(VLOOKUP(E18,'TANKS Vapor Fx'!$A$3:$G$294,7,FALSE),0))</f>
        <v/>
      </c>
      <c r="F102" s="238" t="str">
        <f>IF(ISBLANK(F18),"",_xlfn.IFNA(VLOOKUP(F18,'TANKS Vapor Fx'!$A$3:$G$294,7,FALSE),0))</f>
        <v/>
      </c>
      <c r="G102" s="238" t="str">
        <f>IF(ISBLANK(G18),"",_xlfn.IFNA(VLOOKUP(G18,'TANKS Vapor Fx'!$A$3:$G$294,7,FALSE),0))</f>
        <v/>
      </c>
      <c r="H102" s="238" t="str">
        <f>IF(ISBLANK(H18),"",_xlfn.IFNA(VLOOKUP(H18,'TANKS Vapor Fx'!$A$3:$G$294,7,FALSE),0))</f>
        <v/>
      </c>
      <c r="I102" s="238" t="str">
        <f>IF(ISBLANK(I18),"",_xlfn.IFNA(VLOOKUP(I18,'TANKS Vapor Fx'!$A$3:$G$294,7,FALSE),0))</f>
        <v/>
      </c>
      <c r="J102" s="238" t="str">
        <f>IF(ISBLANK(J18),"",_xlfn.IFNA(VLOOKUP(J18,'TANKS Vapor Fx'!$A$3:$G$294,7,FALSE),0))</f>
        <v/>
      </c>
      <c r="K102" s="238" t="str">
        <f>IF(ISBLANK(K18),"",_xlfn.IFNA(VLOOKUP(K18,'TANKS Vapor Fx'!$A$3:$G$294,7,FALSE),0))</f>
        <v/>
      </c>
      <c r="L102" s="238" t="str">
        <f>IF(ISBLANK(L18),"",_xlfn.IFNA(VLOOKUP(L18,'TANKS Vapor Fx'!$A$3:$G$294,7,FALSE),0))</f>
        <v/>
      </c>
      <c r="M102" s="238" t="str">
        <f>IF(ISBLANK(M18),"",_xlfn.IFNA(VLOOKUP(M18,'TANKS Vapor Fx'!$A$3:$G$294,7,FALSE),0))</f>
        <v/>
      </c>
      <c r="N102" s="238" t="str">
        <f>IF(ISBLANK(N18),"",_xlfn.IFNA(VLOOKUP(N18,'TANKS Vapor Fx'!$A$3:$G$294,7,FALSE),0))</f>
        <v/>
      </c>
      <c r="O102" s="238" t="str">
        <f>IF(ISBLANK(O18),"",_xlfn.IFNA(VLOOKUP(O18,'TANKS Vapor Fx'!$A$3:$G$294,7,FALSE),0))</f>
        <v/>
      </c>
      <c r="P102" s="238" t="str">
        <f>IF(ISBLANK(P18),"",_xlfn.IFNA(VLOOKUP(P18,'TANKS Vapor Fx'!$A$3:$G$294,7,FALSE),0))</f>
        <v/>
      </c>
      <c r="Q102" s="283"/>
    </row>
    <row r="103" spans="1:17" ht="20.100000000000001" customHeight="1" thickBot="1" x14ac:dyDescent="0.25">
      <c r="A103" s="235" t="s">
        <v>9771</v>
      </c>
      <c r="B103" s="394"/>
      <c r="C103" s="385"/>
      <c r="D103" s="385"/>
      <c r="E103" s="385"/>
      <c r="F103" s="385"/>
      <c r="G103" s="385"/>
      <c r="H103" s="385"/>
      <c r="I103" s="385"/>
      <c r="J103" s="385"/>
      <c r="K103" s="395"/>
      <c r="L103" s="385"/>
      <c r="M103" s="385"/>
      <c r="N103" s="395"/>
      <c r="O103" s="385"/>
      <c r="P103" s="385"/>
      <c r="Q103" s="244"/>
    </row>
    <row r="104" spans="1:17" ht="30" customHeight="1" x14ac:dyDescent="0.2">
      <c r="A104" s="266" t="s">
        <v>9772</v>
      </c>
      <c r="B104" s="238" t="str">
        <f>IF(ISBLANK(B20),"",IF('TANKS Calculations'!H125=0,IF(VLOOKUP(B97,'TANKS Vapor Fx'!$A$3:$K$294,11,FALSE)=0,IF(ISNUMBER(SEARCH("RVP",B97)),RIGHT(B97,LEN(B97)-(SEARCH("RVP",B97)+3)),0),_xlfn.IFNA(VLOOKUP(B97,'TANKS Vapor Fx'!$A$3:$K$294,11,FALSE),0)),0))</f>
        <v/>
      </c>
      <c r="C104" s="238" t="str">
        <f>IF(ISBLANK(C20),"",IF('TANKS Calculations'!I125=0,IF(VLOOKUP(C97,'TANKS Vapor Fx'!$A$3:$K$294,11,FALSE)=0,IF(ISNUMBER(SEARCH("RVP",C97)),RIGHT(C97,LEN(C97)-(SEARCH("RVP",C97)+3)),0),_xlfn.IFNA(VLOOKUP(C97,'TANKS Vapor Fx'!$A$3:$K$294,11,FALSE),0)),0))</f>
        <v/>
      </c>
      <c r="D104" s="238" t="str">
        <f>IF(ISBLANK(D20),"",IF('TANKS Calculations'!J125=0,IF(VLOOKUP(D97,'TANKS Vapor Fx'!$A$3:$K$294,11,FALSE)=0,IF(ISNUMBER(SEARCH("RVP",D97)),RIGHT(D97,LEN(D97)-(SEARCH("RVP",D97)+3)),0),_xlfn.IFNA(VLOOKUP(D97,'TANKS Vapor Fx'!$A$3:$K$294,11,FALSE),0)),0))</f>
        <v/>
      </c>
      <c r="E104" s="238" t="str">
        <f>IF(ISBLANK(E20),"",IF('TANKS Calculations'!K125=0,IF(VLOOKUP(E97,'TANKS Vapor Fx'!$A$3:$K$294,11,FALSE)=0,IF(ISNUMBER(SEARCH("RVP",E97)),RIGHT(E97,LEN(E97)-(SEARCH("RVP",E97)+3)),0),_xlfn.IFNA(VLOOKUP(E97,'TANKS Vapor Fx'!$A$3:$K$294,11,FALSE),0)),0))</f>
        <v/>
      </c>
      <c r="F104" s="238" t="str">
        <f>IF(ISBLANK(F20),"",IF('TANKS Calculations'!L125=0,IF(VLOOKUP(F97,'TANKS Vapor Fx'!$A$3:$K$294,11,FALSE)=0,IF(ISNUMBER(SEARCH("RVP",F97)),RIGHT(F97,LEN(F97)-(SEARCH("RVP",F97)+3)),0),_xlfn.IFNA(VLOOKUP(F97,'TANKS Vapor Fx'!$A$3:$K$294,11,FALSE),0)),0))</f>
        <v/>
      </c>
      <c r="G104" s="238" t="str">
        <f>IF(ISBLANK(G20),"",IF('TANKS Calculations'!M125=0,IF(VLOOKUP(G97,'TANKS Vapor Fx'!$A$3:$K$294,11,FALSE)=0,IF(ISNUMBER(SEARCH("RVP",G97)),RIGHT(G97,LEN(G97)-(SEARCH("RVP",G97)+3)),0),_xlfn.IFNA(VLOOKUP(G97,'TANKS Vapor Fx'!$A$3:$K$294,11,FALSE),0)),0))</f>
        <v/>
      </c>
      <c r="H104" s="238" t="str">
        <f>IF(ISBLANK(H20),"",IF('TANKS Calculations'!N125=0,IF(VLOOKUP(H97,'TANKS Vapor Fx'!$A$3:$K$294,11,FALSE)=0,IF(ISNUMBER(SEARCH("RVP",H97)),RIGHT(H97,LEN(H97)-(SEARCH("RVP",H97)+3)),0),_xlfn.IFNA(VLOOKUP(H97,'TANKS Vapor Fx'!$A$3:$K$294,11,FALSE),0)),0))</f>
        <v/>
      </c>
      <c r="I104" s="238" t="str">
        <f>IF(ISBLANK(I20),"",IF('TANKS Calculations'!O125=0,IF(VLOOKUP(I97,'TANKS Vapor Fx'!$A$3:$K$294,11,FALSE)=0,IF(ISNUMBER(SEARCH("RVP",I97)),RIGHT(I97,LEN(I97)-(SEARCH("RVP",I97)+3)),0),_xlfn.IFNA(VLOOKUP(I97,'TANKS Vapor Fx'!$A$3:$K$294,11,FALSE),0)),0))</f>
        <v/>
      </c>
      <c r="J104" s="238" t="str">
        <f>IF(ISBLANK(J20),"",IF('TANKS Calculations'!P125=0,IF(VLOOKUP(J97,'TANKS Vapor Fx'!$A$3:$K$294,11,FALSE)=0,IF(ISNUMBER(SEARCH("RVP",J97)),RIGHT(J97,LEN(J97)-(SEARCH("RVP",J97)+3)),0),_xlfn.IFNA(VLOOKUP(J97,'TANKS Vapor Fx'!$A$3:$K$294,11,FALSE),0)),0))</f>
        <v/>
      </c>
      <c r="K104" s="238" t="str">
        <f>IF(ISBLANK(K20),"",IF('TANKS Calculations'!Q125=0,IF(VLOOKUP(K97,'TANKS Vapor Fx'!$A$3:$K$294,11,FALSE)=0,IF(ISNUMBER(SEARCH("RVP",K97)),RIGHT(K97,LEN(K97)-(SEARCH("RVP",K97)+3)),0),_xlfn.IFNA(VLOOKUP(K97,'TANKS Vapor Fx'!$A$3:$K$294,11,FALSE),0)),0))</f>
        <v/>
      </c>
      <c r="L104" s="238" t="str">
        <f>IF(ISBLANK(L20),"",IF('TANKS Calculations'!R125=0,IF(VLOOKUP(L97,'TANKS Vapor Fx'!$A$3:$K$294,11,FALSE)=0,IF(ISNUMBER(SEARCH("RVP",L97)),RIGHT(L97,LEN(L97)-(SEARCH("RVP",L97)+3)),0),_xlfn.IFNA(VLOOKUP(L97,'TANKS Vapor Fx'!$A$3:$K$294,11,FALSE),0)),0))</f>
        <v/>
      </c>
      <c r="M104" s="238" t="str">
        <f>IF(ISBLANK(M20),"",IF('TANKS Calculations'!S125=0,IF(VLOOKUP(M97,'TANKS Vapor Fx'!$A$3:$K$294,11,FALSE)=0,IF(ISNUMBER(SEARCH("RVP",M97)),RIGHT(M97,LEN(M97)-(SEARCH("RVP",M97)+3)),0),_xlfn.IFNA(VLOOKUP(M97,'TANKS Vapor Fx'!$A$3:$K$294,11,FALSE),0)),0))</f>
        <v/>
      </c>
      <c r="N104" s="238" t="str">
        <f>IF(ISBLANK(N20),"",IF('TANKS Calculations'!T125=0,IF(VLOOKUP(N97,'TANKS Vapor Fx'!$A$3:$K$294,11,FALSE)=0,IF(ISNUMBER(SEARCH("RVP",N97)),RIGHT(N97,LEN(N97)-(SEARCH("RVP",N97)+3)),0),_xlfn.IFNA(VLOOKUP(N97,'TANKS Vapor Fx'!$A$3:$K$294,11,FALSE),0)),0))</f>
        <v/>
      </c>
      <c r="O104" s="238" t="str">
        <f>IF(ISBLANK(O20),"",IF('TANKS Calculations'!U125=0,IF(VLOOKUP(O97,'TANKS Vapor Fx'!$A$3:$K$294,11,FALSE)=0,IF(ISNUMBER(SEARCH("RVP",O97)),RIGHT(O97,LEN(O97)-(SEARCH("RVP",O97)+3)),0),_xlfn.IFNA(VLOOKUP(O97,'TANKS Vapor Fx'!$A$3:$K$294,11,FALSE),0)),0))</f>
        <v/>
      </c>
      <c r="P104" s="238" t="str">
        <f>IF(ISBLANK(P20),"",IF('TANKS Calculations'!V125=0,IF(VLOOKUP(P97,'TANKS Vapor Fx'!$A$3:$K$294,11,FALSE)=0,IF(ISNUMBER(SEARCH("RVP",P97)),RIGHT(P97,LEN(P97)-(SEARCH("RVP",P97)+3)),0),_xlfn.IFNA(VLOOKUP(P97,'TANKS Vapor Fx'!$A$3:$K$294,11,FALSE),0)),0))</f>
        <v/>
      </c>
      <c r="Q104" s="283"/>
    </row>
    <row r="105" spans="1:17" ht="30" customHeight="1" thickBot="1" x14ac:dyDescent="0.25">
      <c r="A105" s="262" t="s">
        <v>9773</v>
      </c>
      <c r="B105" s="394"/>
      <c r="C105" s="385"/>
      <c r="D105" s="385"/>
      <c r="E105" s="385"/>
      <c r="F105" s="385"/>
      <c r="G105" s="385"/>
      <c r="H105" s="385"/>
      <c r="I105" s="385"/>
      <c r="J105" s="385"/>
      <c r="K105" s="395"/>
      <c r="L105" s="385"/>
      <c r="M105" s="385"/>
      <c r="N105" s="395"/>
      <c r="O105" s="385"/>
      <c r="P105" s="385"/>
      <c r="Q105" s="244"/>
    </row>
    <row r="106" spans="1:17" ht="30" customHeight="1" x14ac:dyDescent="0.2">
      <c r="A106" s="266" t="s">
        <v>9774</v>
      </c>
      <c r="B106" s="238" t="str">
        <f>IF(ISBLANK(B18),"",IF(B97="",0,IF('TANKS Calculations'!H125=0,'TANKS Calculations'!H127,10^('TANKS Calculations'!H123-('TANKS Calculations'!H124/('TANKS Calculations'!H125+'TANKS Calculations'!$F$43)))/51.715)))</f>
        <v/>
      </c>
      <c r="C106" s="238" t="str">
        <f>IF(ISBLANK(C18),"",IF(C97="",0,IF('TANKS Calculations'!I125=0,'TANKS Calculations'!I127,10^('TANKS Calculations'!I123-('TANKS Calculations'!I124/('TANKS Calculations'!I125+'TANKS Calculations'!$F$43)))/51.715)))</f>
        <v/>
      </c>
      <c r="D106" s="238" t="str">
        <f>IF(ISBLANK(D18),"",IF(D97="",0,IF('TANKS Calculations'!J125=0,'TANKS Calculations'!J127,10^('TANKS Calculations'!J123-('TANKS Calculations'!J124/('TANKS Calculations'!J125+'TANKS Calculations'!$F$43)))/51.715)))</f>
        <v/>
      </c>
      <c r="E106" s="238" t="str">
        <f>IF(ISBLANK(E18),"",IF(E97="",0,IF('TANKS Calculations'!K125=0,'TANKS Calculations'!K127,10^('TANKS Calculations'!K123-('TANKS Calculations'!K124/('TANKS Calculations'!K125+'TANKS Calculations'!$F$43)))/51.715)))</f>
        <v/>
      </c>
      <c r="F106" s="238" t="str">
        <f>IF(ISBLANK(F18),"",IF(F97="",0,IF('TANKS Calculations'!L125=0,'TANKS Calculations'!L127,10^('TANKS Calculations'!L123-('TANKS Calculations'!L124/('TANKS Calculations'!L125+'TANKS Calculations'!$F$43)))/51.715)))</f>
        <v/>
      </c>
      <c r="G106" s="238" t="str">
        <f>IF(ISBLANK(G18),"",IF(G97="",0,IF('TANKS Calculations'!M125=0,'TANKS Calculations'!M127,10^('TANKS Calculations'!M123-('TANKS Calculations'!M124/('TANKS Calculations'!M125+'TANKS Calculations'!$F$43)))/51.715)))</f>
        <v/>
      </c>
      <c r="H106" s="238" t="str">
        <f>IF(ISBLANK(H18),"",IF(H97="",0,IF('TANKS Calculations'!N125=0,'TANKS Calculations'!N127,10^('TANKS Calculations'!N123-('TANKS Calculations'!N124/('TANKS Calculations'!N125+'TANKS Calculations'!$F$43)))/51.715)))</f>
        <v/>
      </c>
      <c r="I106" s="238" t="str">
        <f>IF(ISBLANK(I18),"",IF(I97="",0,IF('TANKS Calculations'!O125=0,'TANKS Calculations'!O127,10^('TANKS Calculations'!O123-('TANKS Calculations'!O124/('TANKS Calculations'!O125+'TANKS Calculations'!$F$43)))/51.715)))</f>
        <v/>
      </c>
      <c r="J106" s="238" t="str">
        <f>IF(ISBLANK(J18),"",IF(J97="",0,IF('TANKS Calculations'!P125=0,'TANKS Calculations'!P127,10^('TANKS Calculations'!P123-('TANKS Calculations'!P124/('TANKS Calculations'!P125+'TANKS Calculations'!$F$43)))/51.715)))</f>
        <v/>
      </c>
      <c r="K106" s="238" t="str">
        <f>IF(ISBLANK(K18),"",IF(K97="",0,IF('TANKS Calculations'!Q125=0,'TANKS Calculations'!Q127,10^('TANKS Calculations'!Q123-('TANKS Calculations'!Q124/('TANKS Calculations'!Q125+'TANKS Calculations'!$F$43)))/51.715)))</f>
        <v/>
      </c>
      <c r="L106" s="238" t="str">
        <f>IF(ISBLANK(L18),"",IF(L97="",0,IF('TANKS Calculations'!R125=0,'TANKS Calculations'!R127,10^('TANKS Calculations'!R123-('TANKS Calculations'!R124/('TANKS Calculations'!R125+'TANKS Calculations'!$F$43)))/51.715)))</f>
        <v/>
      </c>
      <c r="M106" s="238" t="str">
        <f>IF(ISBLANK(M18),"",IF(M97="",0,IF('TANKS Calculations'!S125=0,'TANKS Calculations'!S127,10^('TANKS Calculations'!S123-('TANKS Calculations'!S124/('TANKS Calculations'!S125+'TANKS Calculations'!$F$43)))/51.715)))</f>
        <v/>
      </c>
      <c r="N106" s="238" t="str">
        <f>IF(ISBLANK(N18),"",IF(N97="",0,IF('TANKS Calculations'!T125=0,'TANKS Calculations'!T127,10^('TANKS Calculations'!T123-('TANKS Calculations'!T124/('TANKS Calculations'!T125+'TANKS Calculations'!$F$43)))/51.715)))</f>
        <v/>
      </c>
      <c r="O106" s="238" t="str">
        <f>IF(ISBLANK(O18),"",IF(O97="",0,IF('TANKS Calculations'!U125=0,'TANKS Calculations'!U127,10^('TANKS Calculations'!U123-('TANKS Calculations'!U124/('TANKS Calculations'!U125+'TANKS Calculations'!$F$43)))/51.715)))</f>
        <v/>
      </c>
      <c r="P106" s="238" t="str">
        <f>IF(ISBLANK(P18),"",IF(P97="",0,IF('TANKS Calculations'!V125=0,'TANKS Calculations'!V127,10^('TANKS Calculations'!V123-('TANKS Calculations'!V124/('TANKS Calculations'!V125+'TANKS Calculations'!$F$43)))/51.715)))</f>
        <v/>
      </c>
      <c r="Q106" s="283"/>
    </row>
    <row r="107" spans="1:17" ht="30" customHeight="1" thickBot="1" x14ac:dyDescent="0.25">
      <c r="A107" s="256" t="s">
        <v>9775</v>
      </c>
      <c r="B107" s="396"/>
      <c r="C107" s="397"/>
      <c r="D107" s="397"/>
      <c r="E107" s="397"/>
      <c r="F107" s="397"/>
      <c r="G107" s="397"/>
      <c r="H107" s="397"/>
      <c r="I107" s="397"/>
      <c r="J107" s="397"/>
      <c r="K107" s="398"/>
      <c r="L107" s="397"/>
      <c r="M107" s="397"/>
      <c r="N107" s="398"/>
      <c r="O107" s="397"/>
      <c r="P107" s="397"/>
      <c r="Q107" s="241"/>
    </row>
    <row r="108" spans="1:17" ht="30" customHeight="1" x14ac:dyDescent="0.2">
      <c r="A108" s="266" t="s">
        <v>9776</v>
      </c>
      <c r="B108" s="238" t="str">
        <f>IF(ISBLANK(B18),"",IF(B97="",0,10^('TANKS Calculations'!H123-('TANKS Calculations'!H124/('TANKS Calculations'!H125+'TANKS Calculations'!$F$37)))/51.715))</f>
        <v/>
      </c>
      <c r="C108" s="238" t="str">
        <f>IF(ISBLANK(C18),"",IF(C97="",0,10^('TANKS Calculations'!I123-('TANKS Calculations'!I124/('TANKS Calculations'!I125+'TANKS Calculations'!$F$37)))/51.715))</f>
        <v/>
      </c>
      <c r="D108" s="238" t="str">
        <f>IF(ISBLANK(D18),"",IF(D97="",0,10^('TANKS Calculations'!J123-('TANKS Calculations'!J124/('TANKS Calculations'!J125+'TANKS Calculations'!$F$37)))/51.715))</f>
        <v/>
      </c>
      <c r="E108" s="238" t="str">
        <f>IF(ISBLANK(E18),"",IF(E97="",0,10^('TANKS Calculations'!K123-('TANKS Calculations'!K124/('TANKS Calculations'!K125+'TANKS Calculations'!$F$37)))/51.715))</f>
        <v/>
      </c>
      <c r="F108" s="238" t="str">
        <f>IF(ISBLANK(F18),"",IF(F97="",0,10^('TANKS Calculations'!L123-('TANKS Calculations'!L124/('TANKS Calculations'!L125+'TANKS Calculations'!$F$37)))/51.715))</f>
        <v/>
      </c>
      <c r="G108" s="238" t="str">
        <f>IF(ISBLANK(G18),"",IF(G97="",0,10^('TANKS Calculations'!M123-('TANKS Calculations'!M124/('TANKS Calculations'!M125+'TANKS Calculations'!$F$37)))/51.715))</f>
        <v/>
      </c>
      <c r="H108" s="238" t="str">
        <f>IF(ISBLANK(H18),"",IF(H97="",0,10^('TANKS Calculations'!N123-('TANKS Calculations'!N124/('TANKS Calculations'!N125+'TANKS Calculations'!$F$37)))/51.715))</f>
        <v/>
      </c>
      <c r="I108" s="238" t="str">
        <f>IF(ISBLANK(I18),"",IF(I97="",0,10^('TANKS Calculations'!O123-('TANKS Calculations'!O124/('TANKS Calculations'!O125+'TANKS Calculations'!$F$37)))/51.715))</f>
        <v/>
      </c>
      <c r="J108" s="238" t="str">
        <f>IF(ISBLANK(J18),"",IF(J97="",0,10^('TANKS Calculations'!P123-('TANKS Calculations'!P124/('TANKS Calculations'!P125+'TANKS Calculations'!$F$37)))/51.715))</f>
        <v/>
      </c>
      <c r="K108" s="238" t="str">
        <f>IF(ISBLANK(K18),"",IF(K97="",0,10^('TANKS Calculations'!Q123-('TANKS Calculations'!Q124/('TANKS Calculations'!Q125+'TANKS Calculations'!$F$37)))/51.715))</f>
        <v/>
      </c>
      <c r="L108" s="238" t="str">
        <f>IF(ISBLANK(L18),"",IF(L97="",0,10^('TANKS Calculations'!R123-('TANKS Calculations'!R124/('TANKS Calculations'!R125+'TANKS Calculations'!$F$37)))/51.715))</f>
        <v/>
      </c>
      <c r="M108" s="238" t="str">
        <f>IF(ISBLANK(M18),"",IF(M97="",0,10^('TANKS Calculations'!S123-('TANKS Calculations'!S124/('TANKS Calculations'!S125+'TANKS Calculations'!$F$37)))/51.715))</f>
        <v/>
      </c>
      <c r="N108" s="238" t="str">
        <f>IF(ISBLANK(N18),"",IF(N97="",0,10^('TANKS Calculations'!T123-('TANKS Calculations'!T124/('TANKS Calculations'!T125+'TANKS Calculations'!$F$37)))/51.715))</f>
        <v/>
      </c>
      <c r="O108" s="238" t="str">
        <f>IF(ISBLANK(O18),"",IF(O97="",0,10^('TANKS Calculations'!U123-('TANKS Calculations'!U124/('TANKS Calculations'!U125+'TANKS Calculations'!$F$37)))/51.715))</f>
        <v/>
      </c>
      <c r="P108" s="238" t="str">
        <f>IF(ISBLANK(P18),"",IF(P97="",0,10^('TANKS Calculations'!V123-('TANKS Calculations'!V124/('TANKS Calculations'!V125+'TANKS Calculations'!$F$37)))/51.715))</f>
        <v/>
      </c>
      <c r="Q108" s="283"/>
    </row>
    <row r="109" spans="1:17" ht="30" customHeight="1" thickBot="1" x14ac:dyDescent="0.25">
      <c r="A109" s="262" t="s">
        <v>9777</v>
      </c>
      <c r="B109" s="394"/>
      <c r="C109" s="385"/>
      <c r="D109" s="385"/>
      <c r="E109" s="385"/>
      <c r="F109" s="385"/>
      <c r="G109" s="385"/>
      <c r="H109" s="385"/>
      <c r="I109" s="385"/>
      <c r="J109" s="385"/>
      <c r="K109" s="395"/>
      <c r="L109" s="385"/>
      <c r="M109" s="385"/>
      <c r="N109" s="395"/>
      <c r="O109" s="385"/>
      <c r="P109" s="385"/>
      <c r="Q109" s="244"/>
    </row>
    <row r="110" spans="1:17" ht="30" customHeight="1" x14ac:dyDescent="0.2">
      <c r="A110" s="266" t="s">
        <v>9778</v>
      </c>
      <c r="B110" s="238" t="str">
        <f>IF(ISBLANK(B18),"",IF(B97="",0,10^('TANKS Calculations'!H123-('TANKS Calculations'!H124/('TANKS Calculations'!H125+'TANKS Calculations'!$F$40)))/51.715))</f>
        <v/>
      </c>
      <c r="C110" s="238" t="str">
        <f>IF(ISBLANK(C18),"",IF(C97="",0,10^('TANKS Calculations'!I123-('TANKS Calculations'!I124/('TANKS Calculations'!I125+'TANKS Calculations'!$F$40)))/51.715))</f>
        <v/>
      </c>
      <c r="D110" s="238" t="str">
        <f>IF(ISBLANK(D18),"",IF(D97="",0,10^('TANKS Calculations'!J123-('TANKS Calculations'!J124/('TANKS Calculations'!J125+'TANKS Calculations'!$F$40)))/51.715))</f>
        <v/>
      </c>
      <c r="E110" s="238" t="str">
        <f>IF(ISBLANK(E18),"",IF(E97="",0,10^('TANKS Calculations'!K123-('TANKS Calculations'!K124/('TANKS Calculations'!K125+'TANKS Calculations'!$F$40)))/51.715))</f>
        <v/>
      </c>
      <c r="F110" s="238" t="str">
        <f>IF(ISBLANK(F18),"",IF(F97="",0,10^('TANKS Calculations'!L123-('TANKS Calculations'!L124/('TANKS Calculations'!L125+'TANKS Calculations'!$F$40)))/51.715))</f>
        <v/>
      </c>
      <c r="G110" s="238" t="str">
        <f>IF(ISBLANK(G18),"",IF(G97="",0,10^('TANKS Calculations'!M123-('TANKS Calculations'!M124/('TANKS Calculations'!M125+'TANKS Calculations'!$F$40)))/51.715))</f>
        <v/>
      </c>
      <c r="H110" s="238" t="str">
        <f>IF(ISBLANK(H18),"",IF(H97="",0,10^('TANKS Calculations'!N123-('TANKS Calculations'!N124/('TANKS Calculations'!N125+'TANKS Calculations'!$F$40)))/51.715))</f>
        <v/>
      </c>
      <c r="I110" s="238" t="str">
        <f>IF(ISBLANK(I18),"",IF(I97="",0,10^('TANKS Calculations'!O123-('TANKS Calculations'!O124/('TANKS Calculations'!O125+'TANKS Calculations'!$F$40)))/51.715))</f>
        <v/>
      </c>
      <c r="J110" s="238" t="str">
        <f>IF(ISBLANK(J18),"",IF(J97="",0,10^('TANKS Calculations'!P123-('TANKS Calculations'!P124/('TANKS Calculations'!P125+'TANKS Calculations'!$F$40)))/51.715))</f>
        <v/>
      </c>
      <c r="K110" s="238" t="str">
        <f>IF(ISBLANK(K18),"",IF(K97="",0,10^('TANKS Calculations'!Q123-('TANKS Calculations'!Q124/('TANKS Calculations'!Q125+'TANKS Calculations'!$F$40)))/51.715))</f>
        <v/>
      </c>
      <c r="L110" s="238" t="str">
        <f>IF(ISBLANK(L18),"",IF(L97="",0,10^('TANKS Calculations'!R123-('TANKS Calculations'!R124/('TANKS Calculations'!R125+'TANKS Calculations'!$F$40)))/51.715))</f>
        <v/>
      </c>
      <c r="M110" s="238" t="str">
        <f>IF(ISBLANK(M18),"",IF(M97="",0,10^('TANKS Calculations'!S123-('TANKS Calculations'!S124/('TANKS Calculations'!S125+'TANKS Calculations'!$F$40)))/51.715))</f>
        <v/>
      </c>
      <c r="N110" s="238" t="str">
        <f>IF(ISBLANK(N18),"",IF(N97="",0,10^('TANKS Calculations'!T123-('TANKS Calculations'!T124/('TANKS Calculations'!T125+'TANKS Calculations'!$F$40)))/51.715))</f>
        <v/>
      </c>
      <c r="O110" s="238" t="str">
        <f>IF(ISBLANK(O18),"",IF(O97="",0,10^('TANKS Calculations'!U123-('TANKS Calculations'!U124/('TANKS Calculations'!U125+'TANKS Calculations'!$F$40)))/51.715))</f>
        <v/>
      </c>
      <c r="P110" s="238" t="str">
        <f>IF(ISBLANK(P18),"",IF(P97="",0,10^('TANKS Calculations'!V123-('TANKS Calculations'!V124/('TANKS Calculations'!V125+'TANKS Calculations'!$F$40)))/51.715))</f>
        <v/>
      </c>
      <c r="Q110" s="283"/>
    </row>
    <row r="111" spans="1:17" ht="30" customHeight="1" thickBot="1" x14ac:dyDescent="0.25">
      <c r="A111" s="262" t="s">
        <v>9779</v>
      </c>
      <c r="B111" s="394"/>
      <c r="C111" s="385"/>
      <c r="D111" s="385"/>
      <c r="E111" s="385"/>
      <c r="F111" s="385"/>
      <c r="G111" s="385"/>
      <c r="H111" s="385"/>
      <c r="I111" s="385"/>
      <c r="J111" s="385"/>
      <c r="K111" s="395"/>
      <c r="L111" s="385"/>
      <c r="M111" s="385"/>
      <c r="N111" s="395"/>
      <c r="O111" s="385"/>
      <c r="P111" s="385"/>
      <c r="Q111" s="244"/>
    </row>
    <row r="112" spans="1:17" ht="20.100000000000001" customHeight="1" x14ac:dyDescent="0.2">
      <c r="A112" s="284" t="s">
        <v>9546</v>
      </c>
      <c r="B112" s="285" t="str">
        <f>IF(ISBLANK(B18),"",IFERROR('TANKS Calculations'!H119/'TANKS Calculations'!$W$119,0))</f>
        <v/>
      </c>
      <c r="C112" s="285" t="str">
        <f>IF(ISBLANK(C18),"",IFERROR('TANKS Calculations'!I119/'TANKS Calculations'!$W$119,0))</f>
        <v/>
      </c>
      <c r="D112" s="285" t="str">
        <f>IF(ISBLANK(D18),"",IFERROR('TANKS Calculations'!J119/'TANKS Calculations'!$W$119,0))</f>
        <v/>
      </c>
      <c r="E112" s="285" t="str">
        <f>IF(ISBLANK(E18),"",IFERROR('TANKS Calculations'!K119/'TANKS Calculations'!$W$119,0))</f>
        <v/>
      </c>
      <c r="F112" s="285" t="str">
        <f>IF(ISBLANK(F18),"",IFERROR('TANKS Calculations'!L119/'TANKS Calculations'!$W$119,0))</f>
        <v/>
      </c>
      <c r="G112" s="285" t="str">
        <f>IF(ISBLANK(G18),"",IFERROR('TANKS Calculations'!M119/'TANKS Calculations'!$W$119,0))</f>
        <v/>
      </c>
      <c r="H112" s="285" t="str">
        <f>IF(ISBLANK(H18),"",IFERROR('TANKS Calculations'!N119/'TANKS Calculations'!$W$119,0))</f>
        <v/>
      </c>
      <c r="I112" s="285" t="str">
        <f>IF(ISBLANK(I18),"",IFERROR('TANKS Calculations'!O119/'TANKS Calculations'!$W$119,0))</f>
        <v/>
      </c>
      <c r="J112" s="285" t="str">
        <f>IF(ISBLANK(J18),"",IFERROR('TANKS Calculations'!P119/'TANKS Calculations'!$W$119,0))</f>
        <v/>
      </c>
      <c r="K112" s="285" t="str">
        <f>IF(ISBLANK(K18),"",IFERROR('TANKS Calculations'!Q119/'TANKS Calculations'!$W$119,0))</f>
        <v/>
      </c>
      <c r="L112" s="285" t="str">
        <f>IF(ISBLANK(L18),"",IFERROR('TANKS Calculations'!R119/'TANKS Calculations'!$W$119,0))</f>
        <v/>
      </c>
      <c r="M112" s="285" t="str">
        <f>IF(ISBLANK(M18),"",IFERROR('TANKS Calculations'!S119/'TANKS Calculations'!$W$119,0))</f>
        <v/>
      </c>
      <c r="N112" s="285" t="str">
        <f>IF(ISBLANK(N18),"",IFERROR('TANKS Calculations'!T119/'TANKS Calculations'!$W$119,0))</f>
        <v/>
      </c>
      <c r="O112" s="285" t="str">
        <f>IF(ISBLANK(O18),"",IFERROR('TANKS Calculations'!U119/'TANKS Calculations'!$W$119,0))</f>
        <v/>
      </c>
      <c r="P112" s="285" t="str">
        <f>IF(ISBLANK(P18),"",IFERROR('TANKS Calculations'!V119/'TANKS Calculations'!$W$119,0))</f>
        <v/>
      </c>
      <c r="Q112" s="287">
        <f t="shared" ref="Q112:Q117" si="2">SUM(B112:P112)</f>
        <v>0</v>
      </c>
    </row>
    <row r="113" spans="1:17" ht="20.100000000000001" customHeight="1" x14ac:dyDescent="0.2">
      <c r="A113" s="233" t="s">
        <v>9548</v>
      </c>
      <c r="B113" s="252" t="str">
        <f>IF(ISBLANK(B18),"",'TANKS Calculations'!H120*B112)</f>
        <v/>
      </c>
      <c r="C113" s="252" t="str">
        <f>IF(ISBLANK(C18),"",'TANKS Calculations'!I120*C112)</f>
        <v/>
      </c>
      <c r="D113" s="252" t="str">
        <f>IF(ISBLANK(D18),"",'TANKS Calculations'!J120*D112)</f>
        <v/>
      </c>
      <c r="E113" s="252" t="str">
        <f>IF(ISBLANK(E18),"",'TANKS Calculations'!K120*E112)</f>
        <v/>
      </c>
      <c r="F113" s="252" t="str">
        <f>IF(ISBLANK(F18),"",'TANKS Calculations'!L120*F112)</f>
        <v/>
      </c>
      <c r="G113" s="252" t="str">
        <f>IF(ISBLANK(G18),"",'TANKS Calculations'!M120*G112)</f>
        <v/>
      </c>
      <c r="H113" s="252" t="str">
        <f>IF(ISBLANK(H18),"",'TANKS Calculations'!N120*H112)</f>
        <v/>
      </c>
      <c r="I113" s="252" t="str">
        <f>IF(ISBLANK(I18),"",'TANKS Calculations'!O120*I112)</f>
        <v/>
      </c>
      <c r="J113" s="252" t="str">
        <f>IF(ISBLANK(J18),"",'TANKS Calculations'!P120*J112)</f>
        <v/>
      </c>
      <c r="K113" s="252" t="str">
        <f>IF(ISBLANK(K18),"",'TANKS Calculations'!Q120*K112)</f>
        <v/>
      </c>
      <c r="L113" s="252" t="str">
        <f>IF(ISBLANK(L18),"",'TANKS Calculations'!R120*L112)</f>
        <v/>
      </c>
      <c r="M113" s="252" t="str">
        <f>IF(ISBLANK(M18),"",'TANKS Calculations'!S120*M112)</f>
        <v/>
      </c>
      <c r="N113" s="252" t="str">
        <f>IF(ISBLANK(N18),"",'TANKS Calculations'!T120*N112)</f>
        <v/>
      </c>
      <c r="O113" s="252" t="str">
        <f>IF(ISBLANK(O18),"",'TANKS Calculations'!U120*O112)</f>
        <v/>
      </c>
      <c r="P113" s="252" t="str">
        <f>IF(ISBLANK(P18),"",'TANKS Calculations'!V120*P112)</f>
        <v/>
      </c>
      <c r="Q113" s="288">
        <f t="shared" si="2"/>
        <v>0</v>
      </c>
    </row>
    <row r="114" spans="1:17" ht="20.100000000000001" customHeight="1" x14ac:dyDescent="0.2">
      <c r="A114" s="233" t="s">
        <v>9550</v>
      </c>
      <c r="B114" s="252" t="str">
        <f t="shared" ref="B114:P114" si="3">IF(ISBLANK(B18),"",IFERROR(B113/$Q$113,0))</f>
        <v/>
      </c>
      <c r="C114" s="252" t="str">
        <f t="shared" si="3"/>
        <v/>
      </c>
      <c r="D114" s="252" t="str">
        <f t="shared" si="3"/>
        <v/>
      </c>
      <c r="E114" s="252" t="str">
        <f t="shared" si="3"/>
        <v/>
      </c>
      <c r="F114" s="252" t="str">
        <f t="shared" si="3"/>
        <v/>
      </c>
      <c r="G114" s="252" t="str">
        <f t="shared" si="3"/>
        <v/>
      </c>
      <c r="H114" s="252" t="str">
        <f t="shared" si="3"/>
        <v/>
      </c>
      <c r="I114" s="252" t="str">
        <f t="shared" si="3"/>
        <v/>
      </c>
      <c r="J114" s="252" t="str">
        <f t="shared" si="3"/>
        <v/>
      </c>
      <c r="K114" s="252" t="str">
        <f t="shared" si="3"/>
        <v/>
      </c>
      <c r="L114" s="252" t="str">
        <f t="shared" si="3"/>
        <v/>
      </c>
      <c r="M114" s="252" t="str">
        <f t="shared" si="3"/>
        <v/>
      </c>
      <c r="N114" s="252" t="str">
        <f t="shared" si="3"/>
        <v/>
      </c>
      <c r="O114" s="252" t="str">
        <f t="shared" si="3"/>
        <v/>
      </c>
      <c r="P114" s="252" t="str">
        <f t="shared" si="3"/>
        <v/>
      </c>
      <c r="Q114" s="288">
        <f t="shared" si="2"/>
        <v>0</v>
      </c>
    </row>
    <row r="115" spans="1:17" ht="20.100000000000001" customHeight="1" x14ac:dyDescent="0.2">
      <c r="A115" s="233" t="s">
        <v>9780</v>
      </c>
      <c r="B115" s="252" t="str">
        <f t="shared" ref="B115:P115" si="4">IF(ISBLANK(B18),"",B114*IF(ISBLANK(B26),B25,B26))</f>
        <v/>
      </c>
      <c r="C115" s="252" t="str">
        <f t="shared" si="4"/>
        <v/>
      </c>
      <c r="D115" s="252" t="str">
        <f t="shared" si="4"/>
        <v/>
      </c>
      <c r="E115" s="252" t="str">
        <f t="shared" si="4"/>
        <v/>
      </c>
      <c r="F115" s="252" t="str">
        <f t="shared" si="4"/>
        <v/>
      </c>
      <c r="G115" s="252" t="str">
        <f t="shared" si="4"/>
        <v/>
      </c>
      <c r="H115" s="252" t="str">
        <f t="shared" si="4"/>
        <v/>
      </c>
      <c r="I115" s="252" t="str">
        <f t="shared" si="4"/>
        <v/>
      </c>
      <c r="J115" s="252" t="str">
        <f t="shared" si="4"/>
        <v/>
      </c>
      <c r="K115" s="252" t="str">
        <f t="shared" si="4"/>
        <v/>
      </c>
      <c r="L115" s="252" t="str">
        <f t="shared" si="4"/>
        <v/>
      </c>
      <c r="M115" s="252" t="str">
        <f t="shared" si="4"/>
        <v/>
      </c>
      <c r="N115" s="252" t="str">
        <f t="shared" si="4"/>
        <v/>
      </c>
      <c r="O115" s="252" t="str">
        <f t="shared" si="4"/>
        <v/>
      </c>
      <c r="P115" s="252" t="str">
        <f t="shared" si="4"/>
        <v/>
      </c>
      <c r="Q115" s="288">
        <f t="shared" si="2"/>
        <v>0</v>
      </c>
    </row>
    <row r="116" spans="1:17" ht="20.100000000000001" customHeight="1" x14ac:dyDescent="0.2">
      <c r="A116" s="233" t="s">
        <v>9558</v>
      </c>
      <c r="B116" s="252" t="str">
        <f t="shared" ref="B116:P116" si="5">IF(ISBLANK(B18),"",IF(ISBLANK(B109),B108,B109)*B112)</f>
        <v/>
      </c>
      <c r="C116" s="252" t="str">
        <f t="shared" si="5"/>
        <v/>
      </c>
      <c r="D116" s="252" t="str">
        <f t="shared" si="5"/>
        <v/>
      </c>
      <c r="E116" s="252" t="str">
        <f t="shared" si="5"/>
        <v/>
      </c>
      <c r="F116" s="252" t="str">
        <f t="shared" si="5"/>
        <v/>
      </c>
      <c r="G116" s="252" t="str">
        <f t="shared" si="5"/>
        <v/>
      </c>
      <c r="H116" s="252" t="str">
        <f t="shared" si="5"/>
        <v/>
      </c>
      <c r="I116" s="252" t="str">
        <f t="shared" si="5"/>
        <v/>
      </c>
      <c r="J116" s="252" t="str">
        <f t="shared" si="5"/>
        <v/>
      </c>
      <c r="K116" s="252" t="str">
        <f t="shared" si="5"/>
        <v/>
      </c>
      <c r="L116" s="252" t="str">
        <f t="shared" si="5"/>
        <v/>
      </c>
      <c r="M116" s="252" t="str">
        <f t="shared" si="5"/>
        <v/>
      </c>
      <c r="N116" s="252" t="str">
        <f t="shared" si="5"/>
        <v/>
      </c>
      <c r="O116" s="252" t="str">
        <f t="shared" si="5"/>
        <v/>
      </c>
      <c r="P116" s="252" t="str">
        <f t="shared" si="5"/>
        <v/>
      </c>
      <c r="Q116" s="288">
        <f t="shared" si="2"/>
        <v>0</v>
      </c>
    </row>
    <row r="117" spans="1:17" ht="20.100000000000001" customHeight="1" thickBot="1" x14ac:dyDescent="0.25">
      <c r="A117" s="235" t="s">
        <v>9560</v>
      </c>
      <c r="B117" s="289" t="str">
        <f t="shared" ref="B117:P117" si="6">IF(ISBLANK(B18),"",IF(ISBLANK(B111),B110,B111)*B112)</f>
        <v/>
      </c>
      <c r="C117" s="289" t="str">
        <f t="shared" si="6"/>
        <v/>
      </c>
      <c r="D117" s="289" t="str">
        <f t="shared" si="6"/>
        <v/>
      </c>
      <c r="E117" s="289" t="str">
        <f t="shared" si="6"/>
        <v/>
      </c>
      <c r="F117" s="289" t="str">
        <f t="shared" si="6"/>
        <v/>
      </c>
      <c r="G117" s="289" t="str">
        <f t="shared" si="6"/>
        <v/>
      </c>
      <c r="H117" s="289" t="str">
        <f t="shared" si="6"/>
        <v/>
      </c>
      <c r="I117" s="289" t="str">
        <f t="shared" si="6"/>
        <v/>
      </c>
      <c r="J117" s="289" t="str">
        <f t="shared" si="6"/>
        <v/>
      </c>
      <c r="K117" s="289" t="str">
        <f t="shared" si="6"/>
        <v/>
      </c>
      <c r="L117" s="289" t="str">
        <f t="shared" si="6"/>
        <v/>
      </c>
      <c r="M117" s="289" t="str">
        <f t="shared" si="6"/>
        <v/>
      </c>
      <c r="N117" s="289" t="str">
        <f t="shared" si="6"/>
        <v/>
      </c>
      <c r="O117" s="289" t="str">
        <f t="shared" si="6"/>
        <v/>
      </c>
      <c r="P117" s="289" t="str">
        <f t="shared" si="6"/>
        <v/>
      </c>
      <c r="Q117" s="236">
        <f t="shared" si="2"/>
        <v>0</v>
      </c>
    </row>
    <row r="118" spans="1:17" ht="30" customHeight="1" thickBot="1" x14ac:dyDescent="0.25">
      <c r="A118" s="1377" t="s">
        <v>8411</v>
      </c>
      <c r="B118" s="1377"/>
      <c r="C118" s="1377"/>
      <c r="D118" s="1377"/>
      <c r="E118" s="224"/>
    </row>
    <row r="119" spans="1:17" ht="60" customHeight="1" thickBot="1" x14ac:dyDescent="0.3">
      <c r="A119" s="1352" t="s">
        <v>9684</v>
      </c>
      <c r="B119" s="1353"/>
      <c r="C119" s="1353"/>
      <c r="D119" s="1354"/>
      <c r="E119" s="224"/>
      <c r="F119" s="224"/>
      <c r="G119" s="224"/>
      <c r="H119" s="224"/>
      <c r="I119" s="224"/>
      <c r="J119" s="224"/>
      <c r="K119" s="224"/>
      <c r="L119" s="224"/>
      <c r="M119" s="224"/>
      <c r="N119" s="224"/>
      <c r="O119" s="224"/>
      <c r="P119" s="224"/>
      <c r="Q119" s="224"/>
    </row>
    <row r="120" spans="1:17" ht="20.100000000000001" customHeight="1" thickBot="1" x14ac:dyDescent="0.3">
      <c r="A120" s="146" t="s">
        <v>9685</v>
      </c>
      <c r="B120" s="147" t="s">
        <v>9686</v>
      </c>
      <c r="C120" s="148" t="s">
        <v>9687</v>
      </c>
      <c r="D120" s="149" t="s">
        <v>9688</v>
      </c>
      <c r="E120" s="224"/>
      <c r="F120" s="224"/>
      <c r="G120" s="224"/>
      <c r="H120" s="224"/>
      <c r="I120" s="224"/>
      <c r="J120" s="224"/>
      <c r="K120" s="224"/>
      <c r="L120" s="224"/>
      <c r="M120" s="224"/>
      <c r="N120" s="224"/>
      <c r="O120" s="224"/>
      <c r="P120" s="224"/>
      <c r="Q120" s="224"/>
    </row>
    <row r="121" spans="1:17" ht="20.100000000000001" customHeight="1" x14ac:dyDescent="0.2">
      <c r="A121" s="266" t="s">
        <v>9781</v>
      </c>
      <c r="B121" s="238">
        <v>0.03</v>
      </c>
      <c r="C121" s="399"/>
      <c r="D121" s="268" t="s">
        <v>9782</v>
      </c>
      <c r="E121" s="224"/>
      <c r="F121" s="224"/>
      <c r="G121" s="224"/>
      <c r="H121" s="224"/>
      <c r="I121" s="224"/>
    </row>
    <row r="122" spans="1:17" ht="20.100000000000001" customHeight="1" x14ac:dyDescent="0.2">
      <c r="A122" s="228" t="s">
        <v>9783</v>
      </c>
      <c r="B122" s="252">
        <v>-0.03</v>
      </c>
      <c r="C122" s="379"/>
      <c r="D122" s="227" t="s">
        <v>9782</v>
      </c>
      <c r="E122" s="224"/>
      <c r="F122" s="224"/>
      <c r="G122" s="224"/>
      <c r="H122" s="224"/>
      <c r="I122" s="224"/>
    </row>
    <row r="123" spans="1:17" ht="20.100000000000001" customHeight="1" x14ac:dyDescent="0.2">
      <c r="A123" s="225" t="s">
        <v>9784</v>
      </c>
      <c r="B123" s="285">
        <f>IF(OR(C66="No",C31="Riveted"),0,'TANKS Calculations'!F44-'TANKS Calculations'!F45)</f>
        <v>0.06</v>
      </c>
      <c r="C123" s="392"/>
      <c r="D123" s="246" t="s">
        <v>9782</v>
      </c>
      <c r="E123" s="224"/>
      <c r="F123" s="224"/>
      <c r="G123" s="224"/>
      <c r="H123" s="224"/>
      <c r="I123" s="224"/>
    </row>
    <row r="124" spans="1:17" ht="20.100000000000001" customHeight="1" x14ac:dyDescent="0.2">
      <c r="A124" s="256" t="s">
        <v>9785</v>
      </c>
      <c r="B124" s="258">
        <f>IF(C69="Fully Insulated",0,Q116-Q117)</f>
        <v>0</v>
      </c>
      <c r="C124" s="383"/>
      <c r="D124" s="259" t="s">
        <v>8867</v>
      </c>
      <c r="E124" s="224"/>
      <c r="F124" s="224"/>
      <c r="G124" s="224"/>
      <c r="H124" s="224"/>
      <c r="I124" s="224"/>
    </row>
    <row r="125" spans="1:17" ht="20.100000000000001" customHeight="1" x14ac:dyDescent="0.2">
      <c r="A125" s="228" t="s">
        <v>9786</v>
      </c>
      <c r="B125" s="252">
        <f>Q113</f>
        <v>0</v>
      </c>
      <c r="C125" s="379"/>
      <c r="D125" s="227" t="s">
        <v>8867</v>
      </c>
      <c r="E125" s="224"/>
      <c r="F125" s="224"/>
      <c r="G125" s="224"/>
      <c r="H125" s="224"/>
      <c r="I125" s="224"/>
    </row>
    <row r="126" spans="1:17" ht="30" customHeight="1" x14ac:dyDescent="0.2">
      <c r="A126" s="228" t="s">
        <v>9787</v>
      </c>
      <c r="B126" s="254" t="s">
        <v>269</v>
      </c>
      <c r="C126" s="379"/>
      <c r="D126" s="227" t="s">
        <v>9689</v>
      </c>
      <c r="E126" s="224"/>
      <c r="F126" s="224"/>
      <c r="G126" s="224"/>
      <c r="H126" s="224"/>
      <c r="I126" s="224"/>
    </row>
    <row r="127" spans="1:17" ht="30" customHeight="1" thickBot="1" x14ac:dyDescent="0.25">
      <c r="A127" s="230" t="s">
        <v>9788</v>
      </c>
      <c r="B127" s="290">
        <v>0</v>
      </c>
      <c r="C127" s="401"/>
      <c r="D127" s="231" t="s">
        <v>9689</v>
      </c>
      <c r="E127" s="224"/>
      <c r="F127" s="224"/>
      <c r="G127" s="224"/>
      <c r="H127" s="224"/>
      <c r="I127" s="224"/>
    </row>
    <row r="128" spans="1:17" ht="30" customHeight="1" thickBot="1" x14ac:dyDescent="0.25">
      <c r="A128" s="1377" t="s">
        <v>8411</v>
      </c>
      <c r="B128" s="1377"/>
      <c r="C128" s="1377"/>
      <c r="D128" s="1377"/>
    </row>
    <row r="129" spans="1:17" ht="60" customHeight="1" thickBot="1" x14ac:dyDescent="0.3">
      <c r="A129" s="1352" t="s">
        <v>9789</v>
      </c>
      <c r="B129" s="1358"/>
      <c r="C129" s="1358"/>
      <c r="D129" s="1359"/>
      <c r="E129" s="224"/>
      <c r="F129" s="224"/>
      <c r="G129" s="224"/>
      <c r="H129" s="224"/>
      <c r="I129" s="224"/>
      <c r="J129" s="224"/>
      <c r="K129" s="224"/>
      <c r="L129" s="224"/>
      <c r="M129" s="224"/>
      <c r="N129" s="224"/>
      <c r="O129" s="224"/>
      <c r="P129" s="224"/>
      <c r="Q129" s="224"/>
    </row>
    <row r="130" spans="1:17" ht="20.100000000000001" customHeight="1" thickBot="1" x14ac:dyDescent="0.3">
      <c r="A130" s="152" t="s">
        <v>9685</v>
      </c>
      <c r="B130" s="153" t="s">
        <v>9686</v>
      </c>
      <c r="C130" s="154" t="s">
        <v>9687</v>
      </c>
      <c r="D130" s="155" t="s">
        <v>9688</v>
      </c>
      <c r="E130" s="224"/>
      <c r="F130" s="224"/>
      <c r="G130" s="224"/>
      <c r="H130" s="224"/>
      <c r="I130" s="224"/>
      <c r="J130" s="224"/>
      <c r="K130" s="224"/>
      <c r="L130" s="224"/>
      <c r="M130" s="224"/>
      <c r="N130" s="224"/>
      <c r="O130" s="224"/>
      <c r="P130" s="224"/>
      <c r="Q130" s="224"/>
    </row>
    <row r="131" spans="1:17" ht="20.100000000000001" customHeight="1" x14ac:dyDescent="0.35">
      <c r="A131" s="225" t="s">
        <v>9790</v>
      </c>
      <c r="B131" s="285">
        <f>'TANKS Calculations'!W115</f>
        <v>0</v>
      </c>
      <c r="C131" s="392"/>
      <c r="D131" s="246" t="s">
        <v>9791</v>
      </c>
      <c r="E131" s="224"/>
      <c r="F131" s="224"/>
      <c r="G131" s="224"/>
      <c r="H131" s="224"/>
      <c r="I131" s="224"/>
    </row>
    <row r="132" spans="1:17" ht="20.100000000000001" customHeight="1" x14ac:dyDescent="0.35">
      <c r="A132" s="228" t="s">
        <v>9792</v>
      </c>
      <c r="B132" s="252">
        <f>IFERROR(Q115*Q113/(10.731*'TANKS Calculations'!F49),0)</f>
        <v>0</v>
      </c>
      <c r="C132" s="379"/>
      <c r="D132" s="227" t="s">
        <v>9793</v>
      </c>
      <c r="E132" s="224"/>
      <c r="F132" s="224"/>
      <c r="G132" s="224"/>
      <c r="H132" s="224"/>
      <c r="I132" s="224"/>
    </row>
    <row r="133" spans="1:17" ht="20.100000000000001" customHeight="1" x14ac:dyDescent="0.35">
      <c r="A133" s="256" t="s">
        <v>9794</v>
      </c>
      <c r="B133" s="258">
        <f>Q115</f>
        <v>0</v>
      </c>
      <c r="C133" s="383"/>
      <c r="D133" s="259" t="s">
        <v>9795</v>
      </c>
      <c r="E133" s="224"/>
      <c r="F133" s="224"/>
      <c r="G133" s="224"/>
      <c r="H133" s="224"/>
      <c r="I133" s="224"/>
    </row>
    <row r="134" spans="1:17" ht="20.100000000000001" customHeight="1" x14ac:dyDescent="0.35">
      <c r="A134" s="228" t="s">
        <v>9796</v>
      </c>
      <c r="B134" s="252">
        <f>1/(1+(0.053*Q113*'TANKS Calculations'!F60))</f>
        <v>1</v>
      </c>
      <c r="C134" s="379"/>
      <c r="D134" s="227" t="s">
        <v>9689</v>
      </c>
      <c r="E134" s="224"/>
      <c r="F134" s="224"/>
      <c r="G134" s="224"/>
      <c r="H134" s="224"/>
      <c r="I134" s="224"/>
    </row>
    <row r="135" spans="1:17" ht="20.100000000000001" customHeight="1" x14ac:dyDescent="0.35">
      <c r="A135" s="247" t="s">
        <v>9797</v>
      </c>
      <c r="B135" s="276">
        <f>IF(AND('TANKS Calculations'!F44&lt;=0.03,'TANKS Calculations'!F45&gt;=-0.03,'TANKS Calculations'!F51&lt;0.1),IF(ISBLANK(B14),0.04,0.0018*'TANKS Calculations'!F50),IF(ISBLANK(B14),0.04,('TANKS Calculations'!F50/'TANKS Calculations'!F42)+(('TANKS Calculations'!F47-'TANKS Calculations'!F46)/('TANKS Calculations'!F3-'TANKS Calculations'!W129))))</f>
        <v>0.04</v>
      </c>
      <c r="C135" s="391"/>
      <c r="D135" s="249" t="s">
        <v>9798</v>
      </c>
      <c r="E135" s="224"/>
      <c r="F135" s="224"/>
      <c r="G135" s="224"/>
      <c r="H135" s="224"/>
      <c r="I135" s="224"/>
    </row>
    <row r="136" spans="1:17" ht="30" customHeight="1" x14ac:dyDescent="0.2">
      <c r="A136" s="256" t="s">
        <v>9799</v>
      </c>
      <c r="B136" s="258">
        <v>0</v>
      </c>
      <c r="C136" s="383"/>
      <c r="D136" s="259" t="s">
        <v>9782</v>
      </c>
      <c r="E136" s="224"/>
      <c r="F136" s="224"/>
      <c r="G136" s="224"/>
      <c r="H136" s="224"/>
      <c r="I136" s="224"/>
    </row>
    <row r="137" spans="1:17" ht="20.100000000000001" customHeight="1" thickBot="1" x14ac:dyDescent="0.25">
      <c r="A137" s="262" t="s">
        <v>9800</v>
      </c>
      <c r="B137" s="289">
        <f>IF(OR(IFERROR('TANKS Calculations'!F21*(('TANKS Calculations'!F44+'TANKS Calculations'!F3)/('TANKS Calculations'!F67+'TANKS Calculations'!F3)),0)&gt;1,'TANKS Calculations'!F44&gt;0.03,'TANKS Calculations'!F45&lt;-0.03),1,((('TANKS Calculations'!F67+'TANKS Calculations'!F3)/'TANKS Calculations'!F21)-'TANKS Calculations'!W130)/('TANKS Calculations'!F44+'TANKS Calculations'!F3-'TANKS Calculations'!W130))</f>
        <v>1</v>
      </c>
      <c r="C137" s="393"/>
      <c r="D137" s="264" t="s">
        <v>9689</v>
      </c>
      <c r="E137" s="224"/>
      <c r="F137" s="224"/>
      <c r="G137" s="224"/>
      <c r="H137" s="224"/>
      <c r="I137" s="224"/>
    </row>
    <row r="138" spans="1:17" ht="30" customHeight="1" thickBot="1" x14ac:dyDescent="0.25">
      <c r="A138" s="1377" t="s">
        <v>8411</v>
      </c>
      <c r="B138" s="1377"/>
      <c r="C138" s="1377"/>
      <c r="D138" s="1377"/>
      <c r="E138" s="224"/>
      <c r="F138" s="224"/>
      <c r="G138" s="224"/>
      <c r="H138" s="224"/>
      <c r="I138" s="224"/>
      <c r="J138" s="224"/>
      <c r="K138" s="224"/>
      <c r="L138" s="224"/>
      <c r="M138" s="224"/>
      <c r="N138" s="224"/>
      <c r="O138" s="224"/>
      <c r="P138" s="224"/>
      <c r="Q138" s="224"/>
    </row>
    <row r="139" spans="1:17" ht="60" customHeight="1" thickBot="1" x14ac:dyDescent="0.3">
      <c r="A139" s="1352" t="s">
        <v>9801</v>
      </c>
      <c r="B139" s="1358"/>
      <c r="C139" s="1358"/>
      <c r="D139" s="1359"/>
      <c r="E139" s="224"/>
      <c r="F139" s="224"/>
      <c r="G139" s="224"/>
      <c r="H139" s="224"/>
      <c r="I139" s="224"/>
      <c r="J139" s="224"/>
      <c r="K139" s="224"/>
      <c r="L139" s="224"/>
      <c r="M139" s="224"/>
      <c r="N139" s="224"/>
      <c r="O139" s="224"/>
      <c r="P139" s="224"/>
      <c r="Q139" s="224"/>
    </row>
    <row r="140" spans="1:17" ht="20.100000000000001" customHeight="1" thickBot="1" x14ac:dyDescent="0.3">
      <c r="A140" s="152" t="s">
        <v>9685</v>
      </c>
      <c r="B140" s="153" t="s">
        <v>9686</v>
      </c>
      <c r="C140" s="154" t="s">
        <v>9687</v>
      </c>
      <c r="D140" s="155" t="s">
        <v>9688</v>
      </c>
      <c r="E140" s="224"/>
      <c r="F140" s="224"/>
      <c r="G140" s="224"/>
      <c r="H140" s="224"/>
      <c r="I140" s="224"/>
      <c r="J140" s="224"/>
      <c r="K140" s="224"/>
      <c r="L140" s="224"/>
      <c r="M140" s="224"/>
      <c r="N140" s="224"/>
      <c r="O140" s="224"/>
      <c r="P140" s="224"/>
      <c r="Q140" s="224"/>
    </row>
    <row r="141" spans="1:17" ht="30" customHeight="1" x14ac:dyDescent="0.2">
      <c r="A141" s="256" t="s">
        <v>9802</v>
      </c>
      <c r="B141" s="291" t="s">
        <v>8708</v>
      </c>
      <c r="C141" s="402"/>
      <c r="D141" s="259" t="s">
        <v>9689</v>
      </c>
      <c r="E141" s="224"/>
      <c r="F141" s="224"/>
      <c r="G141" s="224"/>
      <c r="H141" s="224"/>
      <c r="I141" s="224"/>
      <c r="J141" s="224"/>
      <c r="K141" s="224"/>
      <c r="L141" s="224"/>
      <c r="M141" s="224"/>
      <c r="N141" s="224"/>
      <c r="O141" s="224"/>
      <c r="P141" s="224"/>
    </row>
    <row r="142" spans="1:17" ht="45" customHeight="1" x14ac:dyDescent="0.2">
      <c r="A142" s="256" t="s">
        <v>9803</v>
      </c>
      <c r="B142" s="291" t="s">
        <v>8708</v>
      </c>
      <c r="C142" s="402"/>
      <c r="D142" s="259" t="s">
        <v>9689</v>
      </c>
      <c r="E142" s="224"/>
      <c r="F142" s="224"/>
      <c r="G142" s="224"/>
      <c r="H142" s="224"/>
      <c r="I142" s="224"/>
      <c r="J142" s="224"/>
      <c r="K142" s="224"/>
      <c r="L142" s="224"/>
      <c r="M142" s="224"/>
      <c r="N142" s="224"/>
      <c r="O142" s="224"/>
      <c r="P142" s="224"/>
    </row>
    <row r="143" spans="1:17" ht="60" customHeight="1" x14ac:dyDescent="0.2">
      <c r="A143" s="423" t="s">
        <v>10004</v>
      </c>
      <c r="B143" s="291" t="s">
        <v>7</v>
      </c>
      <c r="C143" s="402"/>
      <c r="D143" s="259" t="s">
        <v>9689</v>
      </c>
      <c r="E143" s="224"/>
      <c r="F143" s="224"/>
      <c r="G143" s="224"/>
      <c r="H143" s="224"/>
      <c r="I143" s="224"/>
      <c r="J143" s="224"/>
      <c r="K143" s="224"/>
      <c r="L143" s="224"/>
      <c r="M143" s="224"/>
      <c r="N143" s="224"/>
      <c r="O143" s="224"/>
      <c r="P143" s="224"/>
    </row>
    <row r="144" spans="1:17" ht="20.100000000000001" customHeight="1" x14ac:dyDescent="0.2">
      <c r="A144" s="350" t="s">
        <v>9999</v>
      </c>
      <c r="B144" s="291">
        <f>_xlfn.IFNA(VLOOKUP($C$31&amp;$C$141&amp;$C$142,'TANKS Data'!$A$4:$J$15,IF('TANKS Calculations'!F72="Tight",8,5),FALSE),0)</f>
        <v>0</v>
      </c>
      <c r="C144" s="397"/>
      <c r="D144" s="259" t="s">
        <v>9804</v>
      </c>
      <c r="E144" s="224"/>
      <c r="F144" s="224"/>
      <c r="G144" s="224"/>
      <c r="H144" s="224"/>
      <c r="I144" s="224"/>
      <c r="J144" s="224"/>
      <c r="K144" s="224"/>
      <c r="L144" s="224"/>
      <c r="M144" s="224"/>
      <c r="N144" s="224"/>
      <c r="O144" s="224"/>
      <c r="P144" s="224"/>
      <c r="Q144" s="224"/>
    </row>
    <row r="145" spans="1:17" ht="35.1" customHeight="1" x14ac:dyDescent="0.2">
      <c r="A145" s="350" t="s">
        <v>10000</v>
      </c>
      <c r="B145" s="291">
        <f>_xlfn.IFNA(VLOOKUP($C$31&amp;$C$141&amp;$C$142,'TANKS Data'!$A$4:$J$15,IF('TANKS Calculations'!F72="Tight",9,6),FALSE),0)</f>
        <v>0</v>
      </c>
      <c r="C145" s="397"/>
      <c r="D145" s="259" t="s">
        <v>9805</v>
      </c>
      <c r="E145" s="224"/>
      <c r="F145" s="224"/>
      <c r="G145" s="224"/>
      <c r="H145" s="224"/>
      <c r="I145" s="224"/>
      <c r="J145" s="224"/>
      <c r="K145" s="224"/>
      <c r="L145" s="224"/>
      <c r="M145" s="224"/>
      <c r="N145" s="224"/>
      <c r="O145" s="224"/>
      <c r="P145" s="224"/>
      <c r="Q145" s="224"/>
    </row>
    <row r="146" spans="1:17" ht="20.100000000000001" customHeight="1" x14ac:dyDescent="0.2">
      <c r="A146" s="351" t="s">
        <v>9806</v>
      </c>
      <c r="B146" s="291">
        <f>_xlfn.IFNA(VLOOKUP($C$31&amp;$C$141&amp;$C$142,'TANKS Data'!$A$4:$J$15,IF('TANKS Calculations'!F72="Tight",10,7),FALSE),0)</f>
        <v>0</v>
      </c>
      <c r="C146" s="397"/>
      <c r="D146" s="259" t="s">
        <v>9689</v>
      </c>
      <c r="E146" s="224"/>
      <c r="F146" s="224"/>
      <c r="G146" s="224"/>
      <c r="H146" s="224"/>
      <c r="I146" s="224"/>
      <c r="J146" s="224"/>
      <c r="K146" s="224"/>
      <c r="L146" s="224"/>
      <c r="M146" s="224"/>
      <c r="N146" s="224"/>
      <c r="O146" s="224"/>
      <c r="P146" s="224"/>
      <c r="Q146" s="224"/>
    </row>
    <row r="147" spans="1:17" ht="20.100000000000001" customHeight="1" x14ac:dyDescent="0.2">
      <c r="A147" s="351" t="s">
        <v>9794</v>
      </c>
      <c r="B147" s="258">
        <f>Q115</f>
        <v>0</v>
      </c>
      <c r="C147" s="397"/>
      <c r="D147" s="259" t="s">
        <v>9795</v>
      </c>
      <c r="E147" s="224"/>
      <c r="F147" s="224"/>
      <c r="G147" s="224"/>
      <c r="H147" s="224"/>
      <c r="I147" s="224"/>
      <c r="J147" s="224"/>
      <c r="K147" s="224"/>
      <c r="L147" s="224"/>
      <c r="M147" s="224"/>
      <c r="N147" s="224"/>
      <c r="O147" s="224"/>
      <c r="P147" s="224"/>
      <c r="Q147" s="224"/>
    </row>
    <row r="148" spans="1:17" ht="30" customHeight="1" x14ac:dyDescent="0.2">
      <c r="A148" s="256" t="s">
        <v>9807</v>
      </c>
      <c r="B148" s="291">
        <f>IF(C68="Internal Floating Roof",0,_xlfn.IFNA(VLOOKUP(B14,'TANKS Data'!$A$189:$G$213,7,FALSE),0))</f>
        <v>0</v>
      </c>
      <c r="C148" s="397"/>
      <c r="D148" s="259" t="s">
        <v>9808</v>
      </c>
      <c r="E148" s="224"/>
      <c r="F148" s="224"/>
      <c r="G148" s="224"/>
      <c r="H148" s="224"/>
      <c r="I148" s="224"/>
      <c r="J148" s="224"/>
      <c r="K148" s="224"/>
      <c r="L148" s="224"/>
      <c r="M148" s="224"/>
      <c r="N148" s="224"/>
      <c r="O148" s="224"/>
      <c r="P148" s="224"/>
      <c r="Q148" s="224"/>
    </row>
    <row r="149" spans="1:17" ht="20.100000000000001" customHeight="1" thickBot="1" x14ac:dyDescent="0.25">
      <c r="A149" s="352" t="s">
        <v>9809</v>
      </c>
      <c r="B149" s="263">
        <f>('TANKS Calculations'!W129/'TANKS Calculations'!F3)/((1+(1-('TANKS Calculations'!W129/'TANKS Calculations'!F3))^0.5)^2)</f>
        <v>0</v>
      </c>
      <c r="C149" s="385"/>
      <c r="D149" s="264" t="s">
        <v>9689</v>
      </c>
      <c r="E149" s="224"/>
      <c r="F149" s="224"/>
      <c r="G149" s="224"/>
      <c r="H149" s="224"/>
      <c r="I149" s="224"/>
      <c r="J149" s="224"/>
      <c r="K149" s="224"/>
      <c r="L149" s="224"/>
      <c r="M149" s="224"/>
      <c r="N149" s="224"/>
      <c r="O149" s="224"/>
      <c r="P149" s="224"/>
      <c r="Q149" s="224"/>
    </row>
    <row r="150" spans="1:17" ht="30" customHeight="1" x14ac:dyDescent="0.2">
      <c r="A150" s="292" t="s">
        <v>9810</v>
      </c>
      <c r="B150" s="293" t="s">
        <v>8708</v>
      </c>
      <c r="C150" s="403"/>
      <c r="D150" s="294" t="s">
        <v>9689</v>
      </c>
      <c r="E150" s="224"/>
      <c r="F150" s="224"/>
      <c r="G150" s="224"/>
      <c r="H150" s="224"/>
      <c r="I150" s="224"/>
      <c r="J150" s="224"/>
      <c r="K150" s="224"/>
      <c r="L150" s="224"/>
      <c r="M150" s="224"/>
      <c r="N150" s="224"/>
      <c r="O150" s="224"/>
      <c r="P150" s="224"/>
      <c r="Q150" s="224"/>
    </row>
    <row r="151" spans="1:17" ht="20.100000000000001" customHeight="1" x14ac:dyDescent="0.2">
      <c r="A151" s="351" t="s">
        <v>9811</v>
      </c>
      <c r="B151" s="291">
        <f>IFERROR(HLOOKUP(C150,'TANKS Data'!$B$219:$D$222,IF('TANKS Calculations'!W117=1,2,4),FALSE),0)</f>
        <v>0</v>
      </c>
      <c r="C151" s="397"/>
      <c r="D151" s="259" t="s">
        <v>9812</v>
      </c>
      <c r="E151" s="224"/>
      <c r="F151" s="224"/>
      <c r="G151" s="224"/>
      <c r="H151" s="224"/>
      <c r="I151" s="224"/>
      <c r="J151" s="224"/>
      <c r="K151" s="224"/>
      <c r="L151" s="224"/>
      <c r="M151" s="224"/>
      <c r="N151" s="224"/>
      <c r="O151" s="224"/>
      <c r="P151" s="224"/>
      <c r="Q151" s="224"/>
    </row>
    <row r="152" spans="1:17" ht="45" customHeight="1" x14ac:dyDescent="0.2">
      <c r="A152" s="256" t="s">
        <v>9813</v>
      </c>
      <c r="B152" s="291">
        <f>IFERROR(VLOOKUP('TANKS Calculations'!F8,'TANKS Data'!A20:B35,2,TRUE),0)</f>
        <v>1</v>
      </c>
      <c r="C152" s="397"/>
      <c r="D152" s="259" t="s">
        <v>9689</v>
      </c>
      <c r="E152" s="224"/>
      <c r="F152" s="224"/>
      <c r="G152" s="224"/>
      <c r="H152" s="224"/>
      <c r="I152" s="224"/>
      <c r="J152" s="224"/>
      <c r="K152" s="224"/>
      <c r="L152" s="224"/>
      <c r="M152" s="224"/>
      <c r="N152" s="224"/>
      <c r="O152" s="224"/>
      <c r="P152" s="224"/>
      <c r="Q152" s="224"/>
    </row>
    <row r="153" spans="1:17" ht="20.100000000000001" customHeight="1" x14ac:dyDescent="0.2">
      <c r="A153" s="354" t="s">
        <v>9814</v>
      </c>
      <c r="B153" s="250">
        <v>1</v>
      </c>
      <c r="C153" s="377"/>
      <c r="D153" s="227" t="s">
        <v>9707</v>
      </c>
      <c r="E153" s="224"/>
      <c r="F153" s="224"/>
      <c r="G153" s="224"/>
      <c r="H153" s="224"/>
      <c r="I153" s="224"/>
      <c r="J153" s="224"/>
      <c r="K153" s="224"/>
      <c r="L153" s="224"/>
      <c r="M153" s="224"/>
      <c r="N153" s="224"/>
      <c r="O153" s="224"/>
      <c r="P153" s="224"/>
      <c r="Q153" s="224"/>
    </row>
    <row r="154" spans="1:17" ht="20.100000000000001" customHeight="1" thickBot="1" x14ac:dyDescent="0.25">
      <c r="A154" s="352" t="s">
        <v>9790</v>
      </c>
      <c r="B154" s="289">
        <f>'TANKS Calculations'!W115</f>
        <v>0</v>
      </c>
      <c r="C154" s="393"/>
      <c r="D154" s="264" t="s">
        <v>9791</v>
      </c>
      <c r="E154" s="224"/>
      <c r="F154" s="224"/>
      <c r="G154" s="224"/>
      <c r="H154" s="224"/>
      <c r="I154" s="224"/>
      <c r="J154" s="224"/>
      <c r="K154" s="224"/>
      <c r="L154" s="224"/>
      <c r="M154" s="224"/>
      <c r="N154" s="224"/>
      <c r="O154" s="224"/>
      <c r="P154" s="224"/>
      <c r="Q154" s="224"/>
    </row>
    <row r="155" spans="1:17" ht="30" customHeight="1" thickBot="1" x14ac:dyDescent="0.25">
      <c r="A155" s="1377" t="s">
        <v>8411</v>
      </c>
      <c r="B155" s="1377"/>
      <c r="C155" s="1377"/>
      <c r="D155" s="1377"/>
      <c r="E155" s="224"/>
      <c r="F155" s="224"/>
      <c r="G155" s="224"/>
      <c r="H155" s="224"/>
    </row>
    <row r="156" spans="1:17" ht="80.25" customHeight="1" thickBot="1" x14ac:dyDescent="0.3">
      <c r="A156" s="1352" t="s">
        <v>9815</v>
      </c>
      <c r="B156" s="1358"/>
      <c r="C156" s="1358"/>
      <c r="D156" s="1358"/>
      <c r="E156" s="1358"/>
      <c r="F156" s="1358"/>
      <c r="G156" s="1358"/>
      <c r="H156" s="1358"/>
      <c r="I156" s="1358"/>
      <c r="J156" s="1358"/>
      <c r="K156" s="1358"/>
      <c r="L156" s="1359"/>
    </row>
    <row r="157" spans="1:17" ht="76.5" x14ac:dyDescent="0.25">
      <c r="A157" s="1373" t="s">
        <v>9057</v>
      </c>
      <c r="B157" s="1374"/>
      <c r="C157" s="1375" t="s">
        <v>9816</v>
      </c>
      <c r="D157" s="1374"/>
      <c r="E157" s="328" t="s">
        <v>9817</v>
      </c>
      <c r="F157" s="157" t="s">
        <v>9818</v>
      </c>
      <c r="G157" s="158" t="s">
        <v>9819</v>
      </c>
      <c r="H157" s="327" t="s">
        <v>9820</v>
      </c>
      <c r="I157" s="158" t="s">
        <v>9821</v>
      </c>
      <c r="J157" s="327" t="s">
        <v>9822</v>
      </c>
      <c r="K157" s="328" t="s">
        <v>9823</v>
      </c>
      <c r="L157" s="159" t="s">
        <v>9824</v>
      </c>
      <c r="M157" s="224"/>
      <c r="N157" s="224"/>
    </row>
    <row r="158" spans="1:17" ht="20.100000000000001" customHeight="1" x14ac:dyDescent="0.2">
      <c r="A158" s="1360"/>
      <c r="B158" s="1361"/>
      <c r="C158" s="1362"/>
      <c r="D158" s="1361"/>
      <c r="E158" s="404"/>
      <c r="F158" s="295">
        <f>_xlfn.IFNA(VLOOKUP(A158&amp;C158,'TANKS Data'!$A$98:$E$169,3,FALSE),0)</f>
        <v>0</v>
      </c>
      <c r="G158" s="405"/>
      <c r="H158" s="295">
        <f>_xlfn.IFNA(VLOOKUP(A158&amp;C158,'TANKS Data'!$A$98:$E$169,4,FALSE),0)</f>
        <v>0</v>
      </c>
      <c r="I158" s="405"/>
      <c r="J158" s="295">
        <f>_xlfn.IFNA(VLOOKUP(A158&amp;C158,'TANKS Data'!$A$98:$E$169,5,FALSE),0)</f>
        <v>0</v>
      </c>
      <c r="K158" s="404"/>
      <c r="L158" s="296">
        <f>IF(OR($C$68="Domed/Covered external floating roof",$C$68="Internal Floating Roof",'TANKS Data'!AG96=0),'TANKS Data'!AE96,'TANKS Data'!AE96+('TANKS Data'!AF96*((0.7*'TANKS Calculations'!$F$77)^'TANKS Data'!AG96)))*E158</f>
        <v>0</v>
      </c>
    </row>
    <row r="159" spans="1:17" ht="20.100000000000001" customHeight="1" x14ac:dyDescent="0.2">
      <c r="A159" s="1360"/>
      <c r="B159" s="1361"/>
      <c r="C159" s="1362"/>
      <c r="D159" s="1361"/>
      <c r="E159" s="404"/>
      <c r="F159" s="295">
        <f>_xlfn.IFNA(VLOOKUP(A159&amp;C159,'TANKS Data'!$A$98:$E$169,3,FALSE),0)</f>
        <v>0</v>
      </c>
      <c r="G159" s="405"/>
      <c r="H159" s="295">
        <f>_xlfn.IFNA(VLOOKUP(A159&amp;C159,'TANKS Data'!$A$98:$E$169,4,FALSE),0)</f>
        <v>0</v>
      </c>
      <c r="I159" s="405"/>
      <c r="J159" s="295">
        <f>_xlfn.IFNA(VLOOKUP(A159&amp;C159,'TANKS Data'!$A$98:$E$169,5,FALSE),0)</f>
        <v>0</v>
      </c>
      <c r="K159" s="404"/>
      <c r="L159" s="296">
        <f>IF(OR($C$68="Domed/Covered external floating roof",$C$68="Internal Floating Roof",'TANKS Data'!AG97=0),'TANKS Data'!AE97,'TANKS Data'!AE97+('TANKS Data'!AF97*((0.7*'TANKS Calculations'!$F$77)^'TANKS Data'!AG97)))*E159</f>
        <v>0</v>
      </c>
    </row>
    <row r="160" spans="1:17" ht="20.100000000000001" customHeight="1" x14ac:dyDescent="0.2">
      <c r="A160" s="1360"/>
      <c r="B160" s="1361"/>
      <c r="C160" s="1362"/>
      <c r="D160" s="1361"/>
      <c r="E160" s="404"/>
      <c r="F160" s="295">
        <f>_xlfn.IFNA(VLOOKUP(A160&amp;C160,'TANKS Data'!$A$98:$E$169,3,FALSE),0)</f>
        <v>0</v>
      </c>
      <c r="G160" s="405"/>
      <c r="H160" s="295">
        <f>_xlfn.IFNA(VLOOKUP(A160&amp;C160,'TANKS Data'!$A$98:$E$169,4,FALSE),0)</f>
        <v>0</v>
      </c>
      <c r="I160" s="405"/>
      <c r="J160" s="295">
        <f>_xlfn.IFNA(VLOOKUP(A160&amp;C160,'TANKS Data'!$A$98:$E$169,5,FALSE),0)</f>
        <v>0</v>
      </c>
      <c r="K160" s="404"/>
      <c r="L160" s="296">
        <f>IF(OR($C$68="Domed/Covered external floating roof",$C$68="Internal Floating Roof",'TANKS Data'!AG98=0),'TANKS Data'!AE98,'TANKS Data'!AE98+('TANKS Data'!AF98*((0.7*'TANKS Calculations'!$F$77)^'TANKS Data'!AG98)))*E160</f>
        <v>0</v>
      </c>
    </row>
    <row r="161" spans="1:12" ht="20.100000000000001" customHeight="1" x14ac:dyDescent="0.2">
      <c r="A161" s="1360"/>
      <c r="B161" s="1361"/>
      <c r="C161" s="1362"/>
      <c r="D161" s="1361"/>
      <c r="E161" s="404"/>
      <c r="F161" s="295">
        <f>_xlfn.IFNA(VLOOKUP(A161&amp;C161,'TANKS Data'!$A$98:$E$169,3,FALSE),0)</f>
        <v>0</v>
      </c>
      <c r="G161" s="405"/>
      <c r="H161" s="295">
        <f>_xlfn.IFNA(VLOOKUP(A161&amp;C161,'TANKS Data'!$A$98:$E$169,4,FALSE),0)</f>
        <v>0</v>
      </c>
      <c r="I161" s="405"/>
      <c r="J161" s="295">
        <f>_xlfn.IFNA(VLOOKUP(A161&amp;C161,'TANKS Data'!$A$98:$E$169,5,FALSE),0)</f>
        <v>0</v>
      </c>
      <c r="K161" s="404"/>
      <c r="L161" s="296">
        <f>IF(OR($C$68="Domed/Covered external floating roof",$C$68="Internal Floating Roof",'TANKS Data'!AG99=0),'TANKS Data'!AE99,'TANKS Data'!AE99+('TANKS Data'!AF99*((0.7*'TANKS Calculations'!$F$77)^'TANKS Data'!AG99)))*E161</f>
        <v>0</v>
      </c>
    </row>
    <row r="162" spans="1:12" ht="20.100000000000001" customHeight="1" x14ac:dyDescent="0.2">
      <c r="A162" s="1360"/>
      <c r="B162" s="1361"/>
      <c r="C162" s="1362"/>
      <c r="D162" s="1361"/>
      <c r="E162" s="404"/>
      <c r="F162" s="295">
        <f>_xlfn.IFNA(VLOOKUP(A162&amp;C162,'TANKS Data'!$A$98:$E$169,3,FALSE),0)</f>
        <v>0</v>
      </c>
      <c r="G162" s="405"/>
      <c r="H162" s="295">
        <f>_xlfn.IFNA(VLOOKUP(A162&amp;C162,'TANKS Data'!$A$98:$E$169,4,FALSE),0)</f>
        <v>0</v>
      </c>
      <c r="I162" s="405"/>
      <c r="J162" s="295">
        <f>_xlfn.IFNA(VLOOKUP(A162&amp;C162,'TANKS Data'!$A$98:$E$169,5,FALSE),0)</f>
        <v>0</v>
      </c>
      <c r="K162" s="404"/>
      <c r="L162" s="296">
        <f>IF(OR($C$68="Domed/Covered external floating roof",$C$68="Internal Floating Roof",'TANKS Data'!AG100=0),'TANKS Data'!AE100,'TANKS Data'!AE100+('TANKS Data'!AF100*((0.7*'TANKS Calculations'!$F$77)^'TANKS Data'!AG100)))*E162</f>
        <v>0</v>
      </c>
    </row>
    <row r="163" spans="1:12" ht="20.100000000000001" customHeight="1" x14ac:dyDescent="0.2">
      <c r="A163" s="1360"/>
      <c r="B163" s="1361"/>
      <c r="C163" s="1362"/>
      <c r="D163" s="1361"/>
      <c r="E163" s="404"/>
      <c r="F163" s="295">
        <f>_xlfn.IFNA(VLOOKUP(A163&amp;C163,'TANKS Data'!$A$98:$E$169,3,FALSE),0)</f>
        <v>0</v>
      </c>
      <c r="G163" s="405"/>
      <c r="H163" s="295">
        <f>_xlfn.IFNA(VLOOKUP(A163&amp;C163,'TANKS Data'!$A$98:$E$169,4,FALSE),0)</f>
        <v>0</v>
      </c>
      <c r="I163" s="405"/>
      <c r="J163" s="295">
        <f>_xlfn.IFNA(VLOOKUP(A163&amp;C163,'TANKS Data'!$A$98:$E$169,5,FALSE),0)</f>
        <v>0</v>
      </c>
      <c r="K163" s="404"/>
      <c r="L163" s="296">
        <f>IF(OR($C$68="Domed/Covered external floating roof",$C$68="Internal Floating Roof",'TANKS Data'!AG101=0),'TANKS Data'!AE101,'TANKS Data'!AE101+('TANKS Data'!AF101*((0.7*'TANKS Calculations'!$F$77)^'TANKS Data'!AG101)))*E163</f>
        <v>0</v>
      </c>
    </row>
    <row r="164" spans="1:12" ht="20.100000000000001" customHeight="1" x14ac:dyDescent="0.2">
      <c r="A164" s="1360"/>
      <c r="B164" s="1361"/>
      <c r="C164" s="1362"/>
      <c r="D164" s="1361"/>
      <c r="E164" s="404"/>
      <c r="F164" s="295">
        <f>_xlfn.IFNA(VLOOKUP(A164&amp;C164,'TANKS Data'!$A$98:$E$169,3,FALSE),0)</f>
        <v>0</v>
      </c>
      <c r="G164" s="405"/>
      <c r="H164" s="295">
        <f>_xlfn.IFNA(VLOOKUP(A164&amp;C164,'TANKS Data'!$A$98:$E$169,4,FALSE),0)</f>
        <v>0</v>
      </c>
      <c r="I164" s="405"/>
      <c r="J164" s="295">
        <f>_xlfn.IFNA(VLOOKUP(A164&amp;C164,'TANKS Data'!$A$98:$E$169,5,FALSE),0)</f>
        <v>0</v>
      </c>
      <c r="K164" s="404"/>
      <c r="L164" s="296">
        <f>IF(OR($C$68="Domed/Covered external floating roof",$C$68="Internal Floating Roof",'TANKS Data'!AG102=0),'TANKS Data'!AE102,'TANKS Data'!AE102+('TANKS Data'!AF102*((0.7*'TANKS Calculations'!$F$77)^'TANKS Data'!AG102)))*E164</f>
        <v>0</v>
      </c>
    </row>
    <row r="165" spans="1:12" ht="20.100000000000001" customHeight="1" x14ac:dyDescent="0.2">
      <c r="A165" s="1360"/>
      <c r="B165" s="1361"/>
      <c r="C165" s="1362"/>
      <c r="D165" s="1361"/>
      <c r="E165" s="404"/>
      <c r="F165" s="295">
        <f>_xlfn.IFNA(VLOOKUP(A165&amp;C165,'TANKS Data'!$A$98:$E$169,3,FALSE),0)</f>
        <v>0</v>
      </c>
      <c r="G165" s="405"/>
      <c r="H165" s="295">
        <f>_xlfn.IFNA(VLOOKUP(A165&amp;C165,'TANKS Data'!$A$98:$E$169,4,FALSE),0)</f>
        <v>0</v>
      </c>
      <c r="I165" s="405"/>
      <c r="J165" s="295">
        <f>_xlfn.IFNA(VLOOKUP(A165&amp;C165,'TANKS Data'!$A$98:$E$169,5,FALSE),0)</f>
        <v>0</v>
      </c>
      <c r="K165" s="404"/>
      <c r="L165" s="296">
        <f>IF(OR($C$68="Domed/Covered external floating roof",$C$68="Internal Floating Roof",'TANKS Data'!AG103=0),'TANKS Data'!AE103,'TANKS Data'!AE103+('TANKS Data'!AF103*((0.7*'TANKS Calculations'!$F$77)^'TANKS Data'!AG103)))*E165</f>
        <v>0</v>
      </c>
    </row>
    <row r="166" spans="1:12" ht="20.100000000000001" customHeight="1" x14ac:dyDescent="0.2">
      <c r="A166" s="1360"/>
      <c r="B166" s="1361"/>
      <c r="C166" s="1362"/>
      <c r="D166" s="1361"/>
      <c r="E166" s="404"/>
      <c r="F166" s="295">
        <f>_xlfn.IFNA(VLOOKUP(A166&amp;C166,'TANKS Data'!$A$98:$E$169,3,FALSE),0)</f>
        <v>0</v>
      </c>
      <c r="G166" s="405"/>
      <c r="H166" s="295">
        <f>_xlfn.IFNA(VLOOKUP(A166&amp;C166,'TANKS Data'!$A$98:$E$169,4,FALSE),0)</f>
        <v>0</v>
      </c>
      <c r="I166" s="405"/>
      <c r="J166" s="295">
        <f>_xlfn.IFNA(VLOOKUP(A166&amp;C166,'TANKS Data'!$A$98:$E$169,5,FALSE),0)</f>
        <v>0</v>
      </c>
      <c r="K166" s="404"/>
      <c r="L166" s="296">
        <f>IF(OR($C$68="Domed/Covered external floating roof",$C$68="Internal Floating Roof",'TANKS Data'!AG104=0),'TANKS Data'!AE104,'TANKS Data'!AE104+('TANKS Data'!AF104*((0.7*'TANKS Calculations'!$F$77)^'TANKS Data'!AG104)))*E166</f>
        <v>0</v>
      </c>
    </row>
    <row r="167" spans="1:12" ht="20.100000000000001" customHeight="1" x14ac:dyDescent="0.2">
      <c r="A167" s="1360"/>
      <c r="B167" s="1361"/>
      <c r="C167" s="1362"/>
      <c r="D167" s="1361"/>
      <c r="E167" s="404"/>
      <c r="F167" s="295">
        <f>_xlfn.IFNA(VLOOKUP(A167&amp;C167,'TANKS Data'!$A$98:$E$169,3,FALSE),0)</f>
        <v>0</v>
      </c>
      <c r="G167" s="405"/>
      <c r="H167" s="295">
        <f>_xlfn.IFNA(VLOOKUP(A167&amp;C167,'TANKS Data'!$A$98:$E$169,4,FALSE),0)</f>
        <v>0</v>
      </c>
      <c r="I167" s="405"/>
      <c r="J167" s="295">
        <f>_xlfn.IFNA(VLOOKUP(A167&amp;C167,'TANKS Data'!$A$98:$E$169,5,FALSE),0)</f>
        <v>0</v>
      </c>
      <c r="K167" s="404"/>
      <c r="L167" s="296">
        <f>IF(OR($C$68="Domed/Covered external floating roof",$C$68="Internal Floating Roof",'TANKS Data'!AG105=0),'TANKS Data'!AE105,'TANKS Data'!AE105+('TANKS Data'!AF105*((0.7*'TANKS Calculations'!$F$77)^'TANKS Data'!AG105)))*E167</f>
        <v>0</v>
      </c>
    </row>
    <row r="168" spans="1:12" ht="20.100000000000001" customHeight="1" x14ac:dyDescent="0.2">
      <c r="A168" s="1360"/>
      <c r="B168" s="1361"/>
      <c r="C168" s="1362"/>
      <c r="D168" s="1361"/>
      <c r="E168" s="404"/>
      <c r="F168" s="295">
        <f>_xlfn.IFNA(VLOOKUP(A168&amp;C168,'TANKS Data'!$A$98:$E$169,3,FALSE),0)</f>
        <v>0</v>
      </c>
      <c r="G168" s="405"/>
      <c r="H168" s="295">
        <f>_xlfn.IFNA(VLOOKUP(A168&amp;C168,'TANKS Data'!$A$98:$E$169,4,FALSE),0)</f>
        <v>0</v>
      </c>
      <c r="I168" s="405"/>
      <c r="J168" s="295">
        <f>_xlfn.IFNA(VLOOKUP(A168&amp;C168,'TANKS Data'!$A$98:$E$169,5,FALSE),0)</f>
        <v>0</v>
      </c>
      <c r="K168" s="404"/>
      <c r="L168" s="296">
        <f>IF(OR($C$68="Domed/Covered external floating roof",$C$68="Internal Floating Roof",'TANKS Data'!AG106=0),'TANKS Data'!AE106,'TANKS Data'!AE106+('TANKS Data'!AF106*((0.7*'TANKS Calculations'!$F$77)^'TANKS Data'!AG106)))*E168</f>
        <v>0</v>
      </c>
    </row>
    <row r="169" spans="1:12" ht="20.100000000000001" customHeight="1" x14ac:dyDescent="0.2">
      <c r="A169" s="1360"/>
      <c r="B169" s="1361"/>
      <c r="C169" s="1362"/>
      <c r="D169" s="1361"/>
      <c r="E169" s="404"/>
      <c r="F169" s="295">
        <f>_xlfn.IFNA(VLOOKUP(A169&amp;C169,'TANKS Data'!$A$98:$E$169,3,FALSE),0)</f>
        <v>0</v>
      </c>
      <c r="G169" s="405"/>
      <c r="H169" s="295">
        <f>_xlfn.IFNA(VLOOKUP(A169&amp;C169,'TANKS Data'!$A$98:$E$169,4,FALSE),0)</f>
        <v>0</v>
      </c>
      <c r="I169" s="405"/>
      <c r="J169" s="295">
        <f>_xlfn.IFNA(VLOOKUP(A169&amp;C169,'TANKS Data'!$A$98:$E$169,5,FALSE),0)</f>
        <v>0</v>
      </c>
      <c r="K169" s="404"/>
      <c r="L169" s="296">
        <f>IF(OR($C$68="Domed/Covered external floating roof",$C$68="Internal Floating Roof",'TANKS Data'!AG107=0),'TANKS Data'!AE107,'TANKS Data'!AE107+('TANKS Data'!AF107*((0.7*'TANKS Calculations'!$F$77)^'TANKS Data'!AG107)))*E169</f>
        <v>0</v>
      </c>
    </row>
    <row r="170" spans="1:12" ht="20.100000000000001" customHeight="1" x14ac:dyDescent="0.2">
      <c r="A170" s="1360"/>
      <c r="B170" s="1361"/>
      <c r="C170" s="1362"/>
      <c r="D170" s="1361"/>
      <c r="E170" s="404"/>
      <c r="F170" s="295">
        <f>_xlfn.IFNA(VLOOKUP(A170&amp;C170,'TANKS Data'!$A$98:$E$169,3,FALSE),0)</f>
        <v>0</v>
      </c>
      <c r="G170" s="405"/>
      <c r="H170" s="295">
        <f>_xlfn.IFNA(VLOOKUP(A170&amp;C170,'TANKS Data'!$A$98:$E$169,4,FALSE),0)</f>
        <v>0</v>
      </c>
      <c r="I170" s="405"/>
      <c r="J170" s="295">
        <f>_xlfn.IFNA(VLOOKUP(A170&amp;C170,'TANKS Data'!$A$98:$E$169,5,FALSE),0)</f>
        <v>0</v>
      </c>
      <c r="K170" s="404"/>
      <c r="L170" s="296">
        <f>IF(OR($C$68="Domed/Covered external floating roof",$C$68="Internal Floating Roof",'TANKS Data'!AG108=0),'TANKS Data'!AE108,'TANKS Data'!AE108+('TANKS Data'!AF108*((0.7*'TANKS Calculations'!$F$77)^'TANKS Data'!AG108)))*E170</f>
        <v>0</v>
      </c>
    </row>
    <row r="171" spans="1:12" ht="20.100000000000001" customHeight="1" x14ac:dyDescent="0.2">
      <c r="A171" s="1360"/>
      <c r="B171" s="1361"/>
      <c r="C171" s="1362"/>
      <c r="D171" s="1361"/>
      <c r="E171" s="404"/>
      <c r="F171" s="295">
        <f>_xlfn.IFNA(VLOOKUP(A171&amp;C171,'TANKS Data'!$A$98:$E$169,3,FALSE),0)</f>
        <v>0</v>
      </c>
      <c r="G171" s="405"/>
      <c r="H171" s="295">
        <f>_xlfn.IFNA(VLOOKUP(A171&amp;C171,'TANKS Data'!$A$98:$E$169,4,FALSE),0)</f>
        <v>0</v>
      </c>
      <c r="I171" s="405"/>
      <c r="J171" s="295">
        <f>_xlfn.IFNA(VLOOKUP(A171&amp;C171,'TANKS Data'!$A$98:$E$169,5,FALSE),0)</f>
        <v>0</v>
      </c>
      <c r="K171" s="404"/>
      <c r="L171" s="296">
        <f>IF(OR($C$68="Domed/Covered external floating roof",$C$68="Internal Floating Roof",'TANKS Data'!AG109=0),'TANKS Data'!AE109,'TANKS Data'!AE109+('TANKS Data'!AF109*((0.7*'TANKS Calculations'!$F$77)^'TANKS Data'!AG109)))*E171</f>
        <v>0</v>
      </c>
    </row>
    <row r="172" spans="1:12" ht="20.100000000000001" customHeight="1" x14ac:dyDescent="0.2">
      <c r="A172" s="1360"/>
      <c r="B172" s="1361"/>
      <c r="C172" s="1362"/>
      <c r="D172" s="1361"/>
      <c r="E172" s="404"/>
      <c r="F172" s="295">
        <f>_xlfn.IFNA(VLOOKUP(A172&amp;C172,'TANKS Data'!$A$98:$E$169,3,FALSE),0)</f>
        <v>0</v>
      </c>
      <c r="G172" s="405"/>
      <c r="H172" s="295">
        <f>_xlfn.IFNA(VLOOKUP(A172&amp;C172,'TANKS Data'!$A$98:$E$169,4,FALSE),0)</f>
        <v>0</v>
      </c>
      <c r="I172" s="405"/>
      <c r="J172" s="295">
        <f>_xlfn.IFNA(VLOOKUP(A172&amp;C172,'TANKS Data'!$A$98:$E$169,5,FALSE),0)</f>
        <v>0</v>
      </c>
      <c r="K172" s="404"/>
      <c r="L172" s="296">
        <f>IF(OR($C$68="Domed/Covered external floating roof",$C$68="Internal Floating Roof",'TANKS Data'!AG110=0),'TANKS Data'!AE110,'TANKS Data'!AE110+('TANKS Data'!AF110*((0.7*'TANKS Calculations'!$F$77)^'TANKS Data'!AG110)))*E172</f>
        <v>0</v>
      </c>
    </row>
    <row r="173" spans="1:12" ht="20.100000000000001" customHeight="1" x14ac:dyDescent="0.2">
      <c r="A173" s="1360"/>
      <c r="B173" s="1361"/>
      <c r="C173" s="1362"/>
      <c r="D173" s="1361"/>
      <c r="E173" s="404"/>
      <c r="F173" s="295">
        <f>_xlfn.IFNA(VLOOKUP(A173&amp;C173,'TANKS Data'!$A$98:$E$169,3,FALSE),0)</f>
        <v>0</v>
      </c>
      <c r="G173" s="405"/>
      <c r="H173" s="295">
        <f>_xlfn.IFNA(VLOOKUP(A173&amp;C173,'TANKS Data'!$A$98:$E$169,4,FALSE),0)</f>
        <v>0</v>
      </c>
      <c r="I173" s="405"/>
      <c r="J173" s="295">
        <f>_xlfn.IFNA(VLOOKUP(A173&amp;C173,'TANKS Data'!$A$98:$E$169,5,FALSE),0)</f>
        <v>0</v>
      </c>
      <c r="K173" s="404"/>
      <c r="L173" s="296">
        <f>IF(OR($C$68="Domed/Covered external floating roof",$C$68="Internal Floating Roof",'TANKS Data'!AG111=0),'TANKS Data'!AE111,'TANKS Data'!AE111+('TANKS Data'!AF111*((0.7*'TANKS Calculations'!$F$77)^'TANKS Data'!AG111)))*E173</f>
        <v>0</v>
      </c>
    </row>
    <row r="174" spans="1:12" ht="20.100000000000001" customHeight="1" x14ac:dyDescent="0.2">
      <c r="A174" s="1360"/>
      <c r="B174" s="1361"/>
      <c r="C174" s="1362"/>
      <c r="D174" s="1361"/>
      <c r="E174" s="404"/>
      <c r="F174" s="295">
        <f>_xlfn.IFNA(VLOOKUP(A174&amp;C174,'TANKS Data'!$A$98:$E$169,3,FALSE),0)</f>
        <v>0</v>
      </c>
      <c r="G174" s="405"/>
      <c r="H174" s="295">
        <f>_xlfn.IFNA(VLOOKUP(A174&amp;C174,'TANKS Data'!$A$98:$E$169,4,FALSE),0)</f>
        <v>0</v>
      </c>
      <c r="I174" s="405"/>
      <c r="J174" s="295">
        <f>_xlfn.IFNA(VLOOKUP(A174&amp;C174,'TANKS Data'!$A$98:$E$169,5,FALSE),0)</f>
        <v>0</v>
      </c>
      <c r="K174" s="404"/>
      <c r="L174" s="296">
        <f>IF(OR($C$68="Domed/Covered external floating roof",$C$68="Internal Floating Roof",'TANKS Data'!AG112=0),'TANKS Data'!AE112,'TANKS Data'!AE112+('TANKS Data'!AF112*((0.7*'TANKS Calculations'!$F$77)^'TANKS Data'!AG112)))*E174</f>
        <v>0</v>
      </c>
    </row>
    <row r="175" spans="1:12" ht="20.100000000000001" customHeight="1" x14ac:dyDescent="0.2">
      <c r="A175" s="1360"/>
      <c r="B175" s="1361"/>
      <c r="C175" s="1362"/>
      <c r="D175" s="1361"/>
      <c r="E175" s="404"/>
      <c r="F175" s="295">
        <f>_xlfn.IFNA(VLOOKUP(A175&amp;C175,'TANKS Data'!$A$98:$E$169,3,FALSE),0)</f>
        <v>0</v>
      </c>
      <c r="G175" s="405"/>
      <c r="H175" s="295">
        <f>_xlfn.IFNA(VLOOKUP(A175&amp;C175,'TANKS Data'!$A$98:$E$169,4,FALSE),0)</f>
        <v>0</v>
      </c>
      <c r="I175" s="405"/>
      <c r="J175" s="295">
        <f>_xlfn.IFNA(VLOOKUP(A175&amp;C175,'TANKS Data'!$A$98:$E$169,5,FALSE),0)</f>
        <v>0</v>
      </c>
      <c r="K175" s="404"/>
      <c r="L175" s="296">
        <f>IF(OR($C$68="Domed/Covered external floating roof",$C$68="Internal Floating Roof",'TANKS Data'!AG113=0),'TANKS Data'!AE113,'TANKS Data'!AE113+('TANKS Data'!AF113*((0.7*'TANKS Calculations'!$F$77)^'TANKS Data'!AG113)))*E175</f>
        <v>0</v>
      </c>
    </row>
    <row r="176" spans="1:12" ht="20.100000000000001" customHeight="1" x14ac:dyDescent="0.2">
      <c r="A176" s="1360"/>
      <c r="B176" s="1361"/>
      <c r="C176" s="1362"/>
      <c r="D176" s="1361"/>
      <c r="E176" s="404"/>
      <c r="F176" s="295">
        <f>_xlfn.IFNA(VLOOKUP(A176&amp;C176,'TANKS Data'!$A$98:$E$169,3,FALSE),0)</f>
        <v>0</v>
      </c>
      <c r="G176" s="405"/>
      <c r="H176" s="295">
        <f>_xlfn.IFNA(VLOOKUP(A176&amp;C176,'TANKS Data'!$A$98:$E$169,4,FALSE),0)</f>
        <v>0</v>
      </c>
      <c r="I176" s="405"/>
      <c r="J176" s="295">
        <f>_xlfn.IFNA(VLOOKUP(A176&amp;C176,'TANKS Data'!$A$98:$E$169,5,FALSE),0)</f>
        <v>0</v>
      </c>
      <c r="K176" s="404"/>
      <c r="L176" s="296">
        <f>IF(OR($C$68="Domed/Covered external floating roof",$C$68="Internal Floating Roof",'TANKS Data'!AG114=0),'TANKS Data'!AE114,'TANKS Data'!AE114+('TANKS Data'!AF114*((0.7*'TANKS Calculations'!$F$77)^'TANKS Data'!AG114)))*E176</f>
        <v>0</v>
      </c>
    </row>
    <row r="177" spans="1:17" ht="20.100000000000001" customHeight="1" thickBot="1" x14ac:dyDescent="0.25">
      <c r="A177" s="1349"/>
      <c r="B177" s="1350"/>
      <c r="C177" s="1351"/>
      <c r="D177" s="1350"/>
      <c r="E177" s="398"/>
      <c r="F177" s="297">
        <f>_xlfn.IFNA(VLOOKUP(A177&amp;C177,'TANKS Data'!$A$98:$E$169,3,FALSE),0)</f>
        <v>0</v>
      </c>
      <c r="G177" s="406"/>
      <c r="H177" s="297">
        <f>_xlfn.IFNA(VLOOKUP(A177&amp;C177,'TANKS Data'!$A$98:$E$169,4,FALSE),0)</f>
        <v>0</v>
      </c>
      <c r="I177" s="406"/>
      <c r="J177" s="297">
        <f>_xlfn.IFNA(VLOOKUP(A177&amp;C177,'TANKS Data'!$A$98:$E$169,5,FALSE),0)</f>
        <v>0</v>
      </c>
      <c r="K177" s="398"/>
      <c r="L177" s="298">
        <f>IF(OR($C$68="Domed/Covered external floating roof",$C$68="Internal Floating Roof",'TANKS Data'!AG115=0),'TANKS Data'!AE115,'TANKS Data'!AE115+('TANKS Data'!AF115*((0.7*'TANKS Calculations'!$F$77)^'TANKS Data'!AG115)))*E177</f>
        <v>0</v>
      </c>
    </row>
    <row r="178" spans="1:17" ht="20.100000000000001" customHeight="1" thickBot="1" x14ac:dyDescent="0.35">
      <c r="A178" s="1355" t="s">
        <v>9825</v>
      </c>
      <c r="B178" s="1356"/>
      <c r="C178" s="1357" t="s">
        <v>9826</v>
      </c>
      <c r="D178" s="1357"/>
      <c r="E178" s="326" t="s">
        <v>9826</v>
      </c>
      <c r="F178" s="326" t="s">
        <v>9826</v>
      </c>
      <c r="G178" s="326" t="s">
        <v>9826</v>
      </c>
      <c r="H178" s="326" t="s">
        <v>9826</v>
      </c>
      <c r="I178" s="326" t="s">
        <v>9826</v>
      </c>
      <c r="J178" s="326" t="s">
        <v>9826</v>
      </c>
      <c r="K178" s="160" t="s">
        <v>9826</v>
      </c>
      <c r="L178" s="299">
        <f>SUM(L158:L177)</f>
        <v>0</v>
      </c>
    </row>
    <row r="179" spans="1:17" ht="30" customHeight="1" thickBot="1" x14ac:dyDescent="0.25">
      <c r="A179" s="1377" t="s">
        <v>8411</v>
      </c>
      <c r="B179" s="1377"/>
      <c r="C179" s="1377"/>
      <c r="D179" s="1377"/>
      <c r="E179" s="224"/>
      <c r="F179" s="224"/>
      <c r="G179" s="224"/>
      <c r="H179" s="224"/>
    </row>
    <row r="180" spans="1:17" ht="60" customHeight="1" thickBot="1" x14ac:dyDescent="0.3">
      <c r="A180" s="1352" t="s">
        <v>9801</v>
      </c>
      <c r="B180" s="1358"/>
      <c r="C180" s="1358"/>
      <c r="D180" s="1359"/>
      <c r="E180" s="224"/>
      <c r="F180" s="224"/>
      <c r="G180" s="224"/>
      <c r="H180" s="224"/>
      <c r="I180" s="224"/>
      <c r="J180" s="224"/>
      <c r="K180" s="224"/>
      <c r="L180" s="224"/>
      <c r="M180" s="224"/>
      <c r="N180" s="224"/>
      <c r="O180" s="224"/>
      <c r="P180" s="224"/>
      <c r="Q180" s="224"/>
    </row>
    <row r="181" spans="1:17" ht="20.100000000000001" customHeight="1" thickBot="1" x14ac:dyDescent="0.3">
      <c r="A181" s="152" t="s">
        <v>9685</v>
      </c>
      <c r="B181" s="153" t="s">
        <v>9686</v>
      </c>
      <c r="C181" s="154" t="s">
        <v>9687</v>
      </c>
      <c r="D181" s="155" t="s">
        <v>9688</v>
      </c>
      <c r="E181" s="224"/>
      <c r="F181" s="224"/>
      <c r="G181" s="224"/>
      <c r="H181" s="224"/>
      <c r="I181" s="224"/>
      <c r="J181" s="224"/>
      <c r="K181" s="224"/>
      <c r="L181" s="224"/>
      <c r="M181" s="224"/>
      <c r="N181" s="224"/>
      <c r="O181" s="224"/>
      <c r="P181" s="224"/>
      <c r="Q181" s="224"/>
    </row>
    <row r="182" spans="1:17" ht="20.100000000000001" customHeight="1" x14ac:dyDescent="0.2">
      <c r="A182" s="357" t="s">
        <v>9827</v>
      </c>
      <c r="B182" s="245">
        <f>L178</f>
        <v>0</v>
      </c>
      <c r="C182" s="375"/>
      <c r="D182" s="246" t="s">
        <v>9828</v>
      </c>
      <c r="E182" s="224"/>
      <c r="F182" s="224"/>
      <c r="G182" s="224"/>
      <c r="H182" s="224"/>
      <c r="I182" s="224"/>
      <c r="J182" s="224"/>
      <c r="K182" s="224"/>
      <c r="L182" s="224"/>
      <c r="M182" s="224"/>
      <c r="N182" s="224"/>
      <c r="O182" s="224"/>
      <c r="P182" s="224"/>
      <c r="Q182" s="224"/>
    </row>
    <row r="183" spans="1:17" ht="20.100000000000001" customHeight="1" x14ac:dyDescent="0.2">
      <c r="A183" s="353" t="s">
        <v>9829</v>
      </c>
      <c r="B183" s="300" t="s">
        <v>8708</v>
      </c>
      <c r="C183" s="407"/>
      <c r="D183" s="249" t="s">
        <v>9689</v>
      </c>
      <c r="E183" s="224"/>
      <c r="F183" s="224"/>
      <c r="G183" s="224"/>
      <c r="H183" s="224"/>
      <c r="I183" s="224"/>
      <c r="J183" s="224"/>
      <c r="K183" s="224"/>
      <c r="L183" s="224"/>
      <c r="M183" s="224"/>
      <c r="N183" s="224"/>
      <c r="O183" s="224"/>
      <c r="P183" s="224"/>
      <c r="Q183" s="224"/>
    </row>
    <row r="184" spans="1:17" ht="20.100000000000001" customHeight="1" x14ac:dyDescent="0.2">
      <c r="A184" s="351" t="s">
        <v>9830</v>
      </c>
      <c r="B184" s="291">
        <f>PI()*('TANKS Calculations'!F8^2)/4</f>
        <v>0</v>
      </c>
      <c r="C184" s="397"/>
      <c r="D184" s="259" t="s">
        <v>9831</v>
      </c>
      <c r="E184" s="224"/>
      <c r="F184" s="224"/>
      <c r="G184" s="224"/>
      <c r="H184" s="224"/>
      <c r="I184" s="224"/>
      <c r="J184" s="224"/>
      <c r="K184" s="224"/>
      <c r="L184" s="224"/>
      <c r="M184" s="224"/>
      <c r="N184" s="224"/>
      <c r="O184" s="224"/>
      <c r="P184" s="224"/>
      <c r="Q184" s="224"/>
    </row>
    <row r="185" spans="1:17" ht="20.100000000000001" customHeight="1" x14ac:dyDescent="0.2">
      <c r="A185" s="351" t="s">
        <v>9832</v>
      </c>
      <c r="B185" s="301" t="s">
        <v>8708</v>
      </c>
      <c r="C185" s="397"/>
      <c r="D185" s="259" t="s">
        <v>9707</v>
      </c>
      <c r="E185" s="224"/>
      <c r="F185" s="224"/>
      <c r="G185" s="224"/>
      <c r="H185" s="224"/>
      <c r="I185" s="224"/>
      <c r="J185" s="224"/>
      <c r="K185" s="224"/>
      <c r="L185" s="224"/>
      <c r="M185" s="224"/>
      <c r="N185" s="224"/>
      <c r="O185" s="224"/>
      <c r="P185" s="224"/>
      <c r="Q185" s="224"/>
    </row>
    <row r="186" spans="1:17" ht="45" customHeight="1" x14ac:dyDescent="0.2">
      <c r="A186" s="358" t="s">
        <v>9833</v>
      </c>
      <c r="B186" s="301" t="s">
        <v>8708</v>
      </c>
      <c r="C186" s="402"/>
      <c r="D186" s="259" t="s">
        <v>9689</v>
      </c>
      <c r="E186" s="224"/>
      <c r="F186" s="224"/>
      <c r="G186" s="224"/>
      <c r="H186" s="224"/>
      <c r="I186" s="224"/>
      <c r="J186" s="224"/>
      <c r="K186" s="224"/>
      <c r="L186" s="224"/>
      <c r="M186" s="224"/>
      <c r="N186" s="224"/>
      <c r="O186" s="224"/>
      <c r="P186" s="224"/>
      <c r="Q186" s="224"/>
    </row>
    <row r="187" spans="1:17" ht="30" customHeight="1" x14ac:dyDescent="0.2">
      <c r="A187" s="256" t="s">
        <v>9834</v>
      </c>
      <c r="B187" s="301" t="s">
        <v>8708</v>
      </c>
      <c r="C187" s="397"/>
      <c r="D187" s="259" t="s">
        <v>9707</v>
      </c>
      <c r="E187" s="224"/>
      <c r="F187" s="224"/>
      <c r="G187" s="224"/>
      <c r="H187" s="224"/>
      <c r="I187" s="224"/>
      <c r="J187" s="224"/>
      <c r="K187" s="224"/>
      <c r="L187" s="224"/>
      <c r="M187" s="224"/>
      <c r="N187" s="224"/>
      <c r="O187" s="224"/>
      <c r="P187" s="224"/>
      <c r="Q187" s="224"/>
    </row>
    <row r="188" spans="1:17" ht="20.100000000000001" customHeight="1" x14ac:dyDescent="0.35">
      <c r="A188" s="256" t="s">
        <v>9835</v>
      </c>
      <c r="B188" s="291">
        <f>IF(ISBLANK(C185),_xlfn.IFNA(VLOOKUP(C187,'TANKS Data'!B226:C230,2,FALSE),0),'TANKS Calculations'!F86/'TANKS Calculations'!F85)</f>
        <v>0</v>
      </c>
      <c r="C188" s="397"/>
      <c r="D188" s="259" t="s">
        <v>9836</v>
      </c>
      <c r="E188" s="224"/>
      <c r="F188" s="224"/>
      <c r="G188" s="224"/>
      <c r="H188" s="224"/>
      <c r="I188" s="224"/>
      <c r="J188" s="224"/>
      <c r="K188" s="224"/>
      <c r="L188" s="224"/>
      <c r="M188" s="224"/>
      <c r="N188" s="224"/>
      <c r="O188" s="224"/>
      <c r="P188" s="224"/>
      <c r="Q188" s="224"/>
    </row>
    <row r="189" spans="1:17" ht="35.1" customHeight="1" thickBot="1" x14ac:dyDescent="0.25">
      <c r="A189" s="262" t="s">
        <v>9837</v>
      </c>
      <c r="B189" s="263">
        <v>0.14000000000000001</v>
      </c>
      <c r="C189" s="385"/>
      <c r="D189" s="264" t="s">
        <v>9804</v>
      </c>
      <c r="E189" s="224"/>
      <c r="F189" s="224"/>
      <c r="G189" s="224"/>
      <c r="H189" s="224"/>
      <c r="I189" s="224"/>
      <c r="J189" s="224"/>
      <c r="K189" s="224"/>
      <c r="L189" s="224"/>
      <c r="M189" s="224"/>
      <c r="N189" s="224"/>
      <c r="O189" s="224"/>
      <c r="P189" s="224"/>
      <c r="Q189" s="224"/>
    </row>
    <row r="190" spans="1:17" ht="30" customHeight="1" x14ac:dyDescent="0.2">
      <c r="A190" s="360" t="s">
        <v>10005</v>
      </c>
      <c r="B190" s="300" t="s">
        <v>8708</v>
      </c>
      <c r="C190" s="408"/>
      <c r="D190" s="249" t="s">
        <v>9689</v>
      </c>
      <c r="E190" s="224"/>
      <c r="F190" s="224"/>
      <c r="G190" s="224"/>
      <c r="H190" s="224"/>
      <c r="I190" s="224"/>
      <c r="J190" s="224"/>
      <c r="K190" s="224"/>
      <c r="L190" s="224"/>
      <c r="M190" s="224"/>
      <c r="N190" s="224"/>
      <c r="O190" s="224"/>
      <c r="P190" s="224"/>
      <c r="Q190" s="224"/>
    </row>
    <row r="191" spans="1:17" ht="50.1" customHeight="1" x14ac:dyDescent="0.2">
      <c r="A191" s="256" t="s">
        <v>9838</v>
      </c>
      <c r="B191" s="258">
        <f>'TANKS Calculations'!F51</f>
        <v>0</v>
      </c>
      <c r="C191" s="383"/>
      <c r="D191" s="259" t="s">
        <v>8867</v>
      </c>
      <c r="E191" s="224"/>
      <c r="F191" s="224"/>
      <c r="G191" s="224"/>
      <c r="H191" s="224"/>
      <c r="I191" s="224"/>
      <c r="J191" s="224"/>
      <c r="K191" s="224"/>
      <c r="L191" s="224"/>
      <c r="M191" s="224"/>
      <c r="N191" s="224"/>
      <c r="O191" s="224"/>
      <c r="P191" s="224"/>
      <c r="Q191" s="224"/>
    </row>
    <row r="192" spans="1:17" ht="50.1" customHeight="1" x14ac:dyDescent="0.2">
      <c r="A192" s="256" t="s">
        <v>9839</v>
      </c>
      <c r="B192" s="258">
        <f>'TANKS Calculations'!F48</f>
        <v>0</v>
      </c>
      <c r="C192" s="383"/>
      <c r="D192" s="259" t="s">
        <v>9754</v>
      </c>
      <c r="E192" s="224"/>
      <c r="F192" s="224"/>
      <c r="G192" s="224"/>
      <c r="H192" s="224"/>
      <c r="I192" s="224"/>
      <c r="J192" s="224"/>
      <c r="K192" s="224"/>
      <c r="L192" s="224"/>
      <c r="M192" s="224"/>
      <c r="N192" s="224"/>
      <c r="O192" s="224"/>
      <c r="P192" s="224"/>
      <c r="Q192" s="224"/>
    </row>
    <row r="193" spans="1:17" ht="20.100000000000001" customHeight="1" x14ac:dyDescent="0.2">
      <c r="A193" s="225"/>
      <c r="B193" s="258">
        <f>'TANKS Calculations'!F94+459.67</f>
        <v>459.67</v>
      </c>
      <c r="C193" s="383"/>
      <c r="D193" s="259" t="s">
        <v>9755</v>
      </c>
      <c r="E193" s="224"/>
      <c r="F193" s="224"/>
      <c r="G193" s="224"/>
      <c r="H193" s="224"/>
      <c r="I193" s="224"/>
      <c r="J193" s="224"/>
      <c r="K193" s="224"/>
      <c r="L193" s="224"/>
      <c r="M193" s="224"/>
      <c r="N193" s="224"/>
      <c r="O193" s="224"/>
      <c r="P193" s="224"/>
      <c r="Q193" s="224"/>
    </row>
    <row r="194" spans="1:17" ht="50.1" customHeight="1" x14ac:dyDescent="0.2">
      <c r="A194" s="256" t="s">
        <v>9840</v>
      </c>
      <c r="B194" s="258">
        <f>'TANKS Calculations'!F76</f>
        <v>0</v>
      </c>
      <c r="C194" s="383"/>
      <c r="D194" s="259" t="s">
        <v>9795</v>
      </c>
      <c r="E194" s="224"/>
      <c r="F194" s="224"/>
      <c r="G194" s="224"/>
      <c r="H194" s="224"/>
      <c r="I194" s="224"/>
      <c r="J194" s="224"/>
      <c r="K194" s="224"/>
      <c r="L194" s="224"/>
      <c r="M194" s="224"/>
      <c r="N194" s="224"/>
      <c r="O194" s="224"/>
      <c r="P194" s="224"/>
      <c r="Q194" s="224"/>
    </row>
    <row r="195" spans="1:17" ht="30" customHeight="1" thickBot="1" x14ac:dyDescent="0.25">
      <c r="A195" s="262" t="s">
        <v>9841</v>
      </c>
      <c r="B195" s="263">
        <f>IFERROR(('TANKS Calculations'!F93/'TANKS Calculations'!F3)/((1+(1-('TANKS Calculations'!F93/'TANKS Calculations'!F3))^0.5)^2),0)</f>
        <v>0</v>
      </c>
      <c r="C195" s="385"/>
      <c r="D195" s="264" t="s">
        <v>9689</v>
      </c>
      <c r="E195" s="224"/>
      <c r="F195" s="224"/>
      <c r="G195" s="224"/>
      <c r="H195" s="224"/>
      <c r="I195" s="224"/>
      <c r="J195" s="224"/>
      <c r="K195" s="224"/>
      <c r="L195" s="224"/>
      <c r="M195" s="224"/>
      <c r="N195" s="224"/>
      <c r="O195" s="224"/>
      <c r="P195" s="224"/>
      <c r="Q195" s="224"/>
    </row>
    <row r="196" spans="1:17" ht="20.100000000000001" customHeight="1" thickBot="1" x14ac:dyDescent="0.3">
      <c r="A196" s="1352" t="s">
        <v>9842</v>
      </c>
      <c r="B196" s="1358"/>
      <c r="C196" s="1358"/>
      <c r="D196" s="1359"/>
      <c r="E196" s="224"/>
      <c r="F196" s="224"/>
      <c r="G196" s="224"/>
      <c r="H196" s="224"/>
      <c r="I196" s="224"/>
      <c r="J196" s="224"/>
      <c r="K196" s="224"/>
      <c r="L196" s="224"/>
      <c r="M196" s="224"/>
      <c r="N196" s="224"/>
      <c r="O196" s="224"/>
      <c r="P196" s="224"/>
      <c r="Q196" s="224"/>
    </row>
    <row r="197" spans="1:17" ht="20.100000000000001" customHeight="1" thickBot="1" x14ac:dyDescent="0.3">
      <c r="A197" s="152" t="s">
        <v>9685</v>
      </c>
      <c r="B197" s="153" t="s">
        <v>9686</v>
      </c>
      <c r="C197" s="154" t="s">
        <v>9687</v>
      </c>
      <c r="D197" s="155" t="s">
        <v>9688</v>
      </c>
      <c r="E197" s="224"/>
      <c r="F197" s="224"/>
      <c r="G197" s="224"/>
      <c r="H197" s="224"/>
      <c r="I197" s="224"/>
      <c r="J197" s="224"/>
      <c r="K197" s="224"/>
      <c r="L197" s="224"/>
      <c r="M197" s="224"/>
      <c r="N197" s="224"/>
      <c r="O197" s="224"/>
      <c r="P197" s="224"/>
      <c r="Q197" s="224"/>
    </row>
    <row r="198" spans="1:17" ht="20.100000000000001" customHeight="1" x14ac:dyDescent="0.2">
      <c r="A198" s="353" t="s">
        <v>9843</v>
      </c>
      <c r="B198" s="300" t="s">
        <v>8708</v>
      </c>
      <c r="C198" s="391"/>
      <c r="D198" s="249" t="s">
        <v>9707</v>
      </c>
      <c r="E198" s="224"/>
      <c r="F198" s="224"/>
      <c r="G198" s="224"/>
      <c r="H198" s="224"/>
      <c r="I198" s="224"/>
      <c r="J198" s="224"/>
      <c r="K198" s="224"/>
      <c r="L198" s="224"/>
      <c r="M198" s="224"/>
      <c r="N198" s="224"/>
      <c r="O198" s="224"/>
      <c r="P198" s="224"/>
      <c r="Q198" s="224"/>
    </row>
    <row r="199" spans="1:17" ht="20.100000000000001" customHeight="1" x14ac:dyDescent="0.2">
      <c r="A199" s="351" t="s">
        <v>9844</v>
      </c>
      <c r="B199" s="291">
        <f>ROUND('TANKS Calculations'!F15,0)</f>
        <v>0</v>
      </c>
      <c r="C199" s="383"/>
      <c r="D199" s="259" t="s">
        <v>9845</v>
      </c>
      <c r="E199" s="224"/>
      <c r="F199" s="224"/>
      <c r="G199" s="224"/>
      <c r="H199" s="224"/>
      <c r="I199" s="224"/>
      <c r="J199" s="224"/>
      <c r="K199" s="224"/>
      <c r="L199" s="224"/>
      <c r="M199" s="224"/>
      <c r="N199" s="224"/>
      <c r="O199" s="224"/>
      <c r="P199" s="224"/>
      <c r="Q199" s="224"/>
    </row>
    <row r="200" spans="1:17" ht="20.100000000000001" customHeight="1" x14ac:dyDescent="0.2">
      <c r="A200" s="354" t="s">
        <v>9792</v>
      </c>
      <c r="B200" s="252">
        <f>IFERROR('TANKS Calculations'!F96*'TANKS Calculations'!F93/(10.731*'TANKS Calculations'!F95),0)</f>
        <v>0</v>
      </c>
      <c r="C200" s="379"/>
      <c r="D200" s="227" t="s">
        <v>9793</v>
      </c>
      <c r="E200" s="224"/>
      <c r="F200" s="224"/>
      <c r="G200" s="224"/>
      <c r="H200" s="224"/>
    </row>
    <row r="201" spans="1:17" ht="50.1" customHeight="1" x14ac:dyDescent="0.2">
      <c r="A201" s="353" t="s">
        <v>9846</v>
      </c>
      <c r="B201" s="276">
        <f>IF(ISBLANK(B14),0.04,('TANKS Calculations'!F50/'TANKS Calculations'!F42)+(('TANKS Calculations'!F47-'TANKS Calculations'!F46)/('TANKS Calculations'!F3-'TANKS Calculations'!W129)))</f>
        <v>0.04</v>
      </c>
      <c r="C201" s="391"/>
      <c r="D201" s="249" t="s">
        <v>9798</v>
      </c>
      <c r="E201" s="224"/>
      <c r="F201" s="224"/>
      <c r="G201" s="224"/>
      <c r="H201" s="224"/>
    </row>
    <row r="202" spans="1:17" ht="35.1" customHeight="1" x14ac:dyDescent="0.35">
      <c r="A202" s="256" t="s">
        <v>9847</v>
      </c>
      <c r="B202" s="258">
        <f>1/(1+(0.053*Q113*'TANKS Calculations'!F60))</f>
        <v>1</v>
      </c>
      <c r="C202" s="383"/>
      <c r="D202" s="259" t="s">
        <v>9689</v>
      </c>
      <c r="E202" s="224"/>
      <c r="F202" s="224"/>
      <c r="G202" s="224"/>
      <c r="H202" s="224"/>
      <c r="I202" s="224"/>
      <c r="J202" s="224"/>
      <c r="K202" s="224"/>
      <c r="L202" s="224"/>
      <c r="M202" s="224"/>
      <c r="N202" s="224"/>
      <c r="O202" s="224"/>
      <c r="P202" s="224"/>
    </row>
    <row r="203" spans="1:17" ht="20.100000000000001" customHeight="1" thickBot="1" x14ac:dyDescent="0.4">
      <c r="A203" s="256" t="s">
        <v>9848</v>
      </c>
      <c r="B203" s="301" t="s">
        <v>8708</v>
      </c>
      <c r="C203" s="383"/>
      <c r="D203" s="259" t="s">
        <v>9849</v>
      </c>
      <c r="E203" s="224"/>
      <c r="F203" s="224"/>
      <c r="G203" s="224"/>
      <c r="H203" s="224"/>
      <c r="I203" s="224"/>
    </row>
    <row r="204" spans="1:17" ht="20.100000000000001" customHeight="1" thickBot="1" x14ac:dyDescent="0.3">
      <c r="A204" s="1352" t="s">
        <v>9850</v>
      </c>
      <c r="B204" s="1358"/>
      <c r="C204" s="1358"/>
      <c r="D204" s="1359"/>
      <c r="E204" s="224"/>
      <c r="F204" s="224"/>
      <c r="G204" s="224"/>
      <c r="H204" s="224"/>
      <c r="I204" s="224"/>
      <c r="J204" s="224"/>
      <c r="K204" s="224"/>
      <c r="L204" s="224"/>
      <c r="M204" s="224"/>
      <c r="N204" s="224"/>
      <c r="O204" s="224"/>
      <c r="P204" s="224"/>
      <c r="Q204" s="224"/>
    </row>
    <row r="205" spans="1:17" ht="20.100000000000001" customHeight="1" thickBot="1" x14ac:dyDescent="0.3">
      <c r="A205" s="152" t="s">
        <v>9685</v>
      </c>
      <c r="B205" s="153" t="s">
        <v>9686</v>
      </c>
      <c r="C205" s="154" t="s">
        <v>9687</v>
      </c>
      <c r="D205" s="155" t="s">
        <v>9688</v>
      </c>
      <c r="E205" s="224"/>
      <c r="F205" s="224"/>
      <c r="G205" s="224"/>
      <c r="H205" s="224"/>
      <c r="I205" s="224"/>
      <c r="J205" s="224"/>
      <c r="K205" s="224"/>
      <c r="L205" s="224"/>
      <c r="M205" s="224"/>
      <c r="N205" s="224"/>
      <c r="O205" s="224"/>
      <c r="P205" s="224"/>
      <c r="Q205" s="224"/>
    </row>
    <row r="206" spans="1:17" ht="30" customHeight="1" x14ac:dyDescent="0.2">
      <c r="A206" s="247" t="s">
        <v>9851</v>
      </c>
      <c r="B206" s="248">
        <f>'TANKS Calculations'!F85</f>
        <v>0</v>
      </c>
      <c r="C206" s="408"/>
      <c r="D206" s="249" t="s">
        <v>9831</v>
      </c>
      <c r="E206" s="224"/>
      <c r="F206" s="224"/>
      <c r="G206" s="224"/>
      <c r="H206" s="224"/>
      <c r="I206" s="224"/>
    </row>
    <row r="207" spans="1:17" ht="20.100000000000001" customHeight="1" x14ac:dyDescent="0.2">
      <c r="A207" s="351" t="s">
        <v>9852</v>
      </c>
      <c r="B207" s="291">
        <f>IF(C190="Full liquid heel",0.6,IF(C190="Partial liquid heel",0.5,0.15))</f>
        <v>0.15</v>
      </c>
      <c r="C207" s="397"/>
      <c r="D207" s="259" t="s">
        <v>9689</v>
      </c>
      <c r="E207" s="224"/>
      <c r="F207" s="224"/>
      <c r="G207" s="224"/>
      <c r="H207" s="224"/>
      <c r="I207" s="224"/>
    </row>
    <row r="208" spans="1:17" ht="35.1" customHeight="1" x14ac:dyDescent="0.35">
      <c r="A208" s="256" t="s">
        <v>9853</v>
      </c>
      <c r="B208" s="291">
        <f>IF(C68="External Floating Roof",IFERROR(1-(((0.57*'TANKS Calculations'!F8*'TANKS Calculations'!F78*'TANKS Calculations'!F76)-('TANKS Calculations'!F99*'TANKS Calculations'!F79*'TANKS Calculations'!F76*'TANKS Calculations'!F100))/(('TANKS Calculations'!F99*'TANKS Calculations'!F79*'TANKS Calculations'!F76*'TANKS Calculations'!F100)+('TANKS Calculations'!F76*'TANKS Calculations'!F105*'TANKS Calculations'!F104))),0),IF(C190="Full liquid heel",0.6,IF(C190="Partial liquid heel",0.5,1)))</f>
        <v>1</v>
      </c>
      <c r="C208" s="397"/>
      <c r="D208" s="259" t="s">
        <v>9689</v>
      </c>
      <c r="E208" s="224"/>
      <c r="F208" s="224"/>
      <c r="G208" s="224"/>
      <c r="H208" s="224"/>
      <c r="I208" s="224"/>
      <c r="J208" s="224"/>
      <c r="K208" s="224"/>
      <c r="L208" s="224"/>
      <c r="M208" s="224"/>
      <c r="N208" s="224"/>
      <c r="O208" s="224"/>
      <c r="P208" s="224"/>
    </row>
    <row r="209" spans="1:17" ht="35.1" customHeight="1" x14ac:dyDescent="0.35">
      <c r="A209" s="256" t="s">
        <v>9854</v>
      </c>
      <c r="B209" s="301" t="s">
        <v>8708</v>
      </c>
      <c r="C209" s="397"/>
      <c r="D209" s="259" t="s">
        <v>9707</v>
      </c>
      <c r="E209" s="224"/>
      <c r="F209" s="224"/>
      <c r="G209" s="224"/>
      <c r="H209" s="224"/>
      <c r="I209" s="224"/>
      <c r="J209" s="224"/>
      <c r="K209" s="224"/>
      <c r="L209" s="224"/>
      <c r="M209" s="224"/>
      <c r="N209" s="224"/>
      <c r="O209" s="224"/>
      <c r="P209" s="224"/>
    </row>
    <row r="210" spans="1:17" ht="20.100000000000001" customHeight="1" thickBot="1" x14ac:dyDescent="0.4">
      <c r="A210" s="262" t="s">
        <v>9855</v>
      </c>
      <c r="B210" s="289">
        <f>IF(ISBLANK(C209),'TANKS Calculations'!F61,(PI()/4)*('TANKS Calculations'!F8^2)*'TANKS Calculations'!F107)</f>
        <v>0</v>
      </c>
      <c r="C210" s="393"/>
      <c r="D210" s="424" t="s">
        <v>9730</v>
      </c>
      <c r="E210" s="224"/>
      <c r="F210" s="224"/>
      <c r="G210" s="224"/>
      <c r="H210" s="224"/>
      <c r="I210" s="224"/>
    </row>
    <row r="211" spans="1:17" ht="30" customHeight="1" thickBot="1" x14ac:dyDescent="0.25">
      <c r="A211" s="1377" t="s">
        <v>8411</v>
      </c>
      <c r="B211" s="1377"/>
      <c r="C211" s="1377"/>
      <c r="D211" s="1377"/>
      <c r="E211" s="224"/>
      <c r="F211" s="224"/>
      <c r="G211" s="224"/>
      <c r="H211" s="224"/>
      <c r="I211" s="224"/>
      <c r="J211" s="224"/>
      <c r="K211" s="224"/>
      <c r="L211" s="224"/>
      <c r="M211" s="224"/>
      <c r="N211" s="224"/>
      <c r="O211" s="224"/>
      <c r="P211" s="224"/>
      <c r="Q211" s="224"/>
    </row>
    <row r="212" spans="1:17" ht="64.5" customHeight="1" thickBot="1" x14ac:dyDescent="0.3">
      <c r="A212" s="1352" t="s">
        <v>9856</v>
      </c>
      <c r="B212" s="1358"/>
      <c r="C212" s="1358"/>
      <c r="D212" s="1359"/>
      <c r="E212" s="224"/>
      <c r="F212" s="224"/>
      <c r="G212" s="224"/>
      <c r="H212" s="224"/>
      <c r="I212" s="224"/>
      <c r="J212" s="224"/>
      <c r="K212" s="224"/>
      <c r="L212" s="224"/>
      <c r="M212" s="224"/>
      <c r="N212" s="224"/>
      <c r="O212" s="224"/>
      <c r="P212" s="224"/>
      <c r="Q212" s="224"/>
    </row>
    <row r="213" spans="1:17" ht="20.100000000000001" customHeight="1" thickBot="1" x14ac:dyDescent="0.3">
      <c r="A213" s="152" t="s">
        <v>9685</v>
      </c>
      <c r="B213" s="153" t="s">
        <v>9686</v>
      </c>
      <c r="C213" s="154" t="s">
        <v>9687</v>
      </c>
      <c r="D213" s="155" t="s">
        <v>9688</v>
      </c>
      <c r="E213" s="224"/>
      <c r="F213" s="224"/>
      <c r="G213" s="224"/>
      <c r="H213" s="224"/>
      <c r="I213" s="224"/>
      <c r="J213" s="224"/>
      <c r="K213" s="224"/>
      <c r="L213" s="224"/>
      <c r="M213" s="224"/>
      <c r="N213" s="224"/>
      <c r="O213" s="224"/>
      <c r="P213" s="224"/>
      <c r="Q213" s="224"/>
    </row>
    <row r="214" spans="1:17" ht="20.100000000000001" customHeight="1" x14ac:dyDescent="0.2">
      <c r="A214" s="292" t="s">
        <v>9857</v>
      </c>
      <c r="B214" s="302" t="s">
        <v>8708</v>
      </c>
      <c r="C214" s="409"/>
      <c r="D214" s="294" t="s">
        <v>9725</v>
      </c>
      <c r="E214" s="224"/>
      <c r="F214" s="224"/>
      <c r="G214" s="224"/>
      <c r="H214" s="224"/>
      <c r="I214" s="224"/>
      <c r="J214" s="224"/>
      <c r="K214" s="224"/>
      <c r="L214" s="224"/>
      <c r="M214" s="224"/>
      <c r="N214" s="224"/>
      <c r="O214" s="224"/>
      <c r="P214" s="224"/>
      <c r="Q214" s="224"/>
    </row>
    <row r="215" spans="1:17" ht="20.100000000000001" customHeight="1" x14ac:dyDescent="0.35">
      <c r="A215" s="256" t="s">
        <v>9858</v>
      </c>
      <c r="B215" s="258">
        <f>'TANKS Calculations'!W133</f>
        <v>0</v>
      </c>
      <c r="C215" s="397"/>
      <c r="D215" s="259" t="s">
        <v>9795</v>
      </c>
      <c r="E215" s="224"/>
      <c r="F215" s="224"/>
      <c r="G215" s="224"/>
      <c r="H215" s="224"/>
      <c r="I215" s="224"/>
      <c r="J215" s="224"/>
      <c r="K215" s="224"/>
      <c r="L215" s="224"/>
      <c r="M215" s="224"/>
      <c r="N215" s="224"/>
      <c r="O215" s="224"/>
      <c r="P215" s="224"/>
      <c r="Q215" s="224"/>
    </row>
    <row r="216" spans="1:17" ht="35.1" customHeight="1" x14ac:dyDescent="0.35">
      <c r="A216" s="256" t="s">
        <v>9859</v>
      </c>
      <c r="B216" s="258">
        <f>'TANKS Calculations'!F51</f>
        <v>0</v>
      </c>
      <c r="C216" s="397"/>
      <c r="D216" s="259" t="s">
        <v>8867</v>
      </c>
      <c r="E216" s="224"/>
      <c r="F216" s="224"/>
      <c r="G216" s="224"/>
      <c r="H216" s="224"/>
      <c r="I216" s="224"/>
      <c r="J216" s="224"/>
      <c r="K216" s="224"/>
      <c r="L216" s="224"/>
      <c r="M216" s="224"/>
      <c r="N216" s="224"/>
      <c r="O216" s="224"/>
      <c r="P216" s="224"/>
      <c r="Q216" s="224"/>
    </row>
    <row r="217" spans="1:17" ht="30" customHeight="1" x14ac:dyDescent="0.2">
      <c r="A217" s="256" t="s">
        <v>9860</v>
      </c>
      <c r="B217" s="258">
        <f>'TANKS Calculations'!F32</f>
        <v>459.67</v>
      </c>
      <c r="C217" s="397"/>
      <c r="D217" s="259" t="s">
        <v>9755</v>
      </c>
      <c r="E217" s="224"/>
      <c r="F217" s="224"/>
      <c r="G217" s="224"/>
      <c r="H217" s="224"/>
      <c r="I217" s="224"/>
      <c r="J217" s="224"/>
      <c r="K217" s="224"/>
      <c r="L217" s="224"/>
      <c r="M217" s="224"/>
      <c r="N217" s="224"/>
      <c r="O217" s="224"/>
      <c r="P217" s="224"/>
      <c r="Q217" s="224"/>
    </row>
    <row r="218" spans="1:17" ht="20.100000000000001" customHeight="1" x14ac:dyDescent="0.35">
      <c r="A218" s="256" t="s">
        <v>9855</v>
      </c>
      <c r="B218" s="258">
        <f>IF(B12="Fixed",'TANKS Calculations'!F10-'TANKS Calculations'!F125+'TANKS Calculations'!F59,'TANKS Calculations'!F61)</f>
        <v>0</v>
      </c>
      <c r="C218" s="397"/>
      <c r="D218" s="259" t="s">
        <v>9730</v>
      </c>
      <c r="E218" s="224"/>
      <c r="F218" s="224"/>
      <c r="G218" s="224"/>
      <c r="H218" s="224"/>
      <c r="I218" s="224"/>
      <c r="J218" s="224"/>
      <c r="K218" s="224"/>
      <c r="L218" s="224"/>
      <c r="M218" s="224"/>
      <c r="N218" s="224"/>
      <c r="O218" s="224"/>
      <c r="P218" s="224"/>
      <c r="Q218" s="224"/>
    </row>
    <row r="219" spans="1:17" ht="35.1" customHeight="1" x14ac:dyDescent="0.35">
      <c r="A219" s="256" t="s">
        <v>9861</v>
      </c>
      <c r="B219" s="303" t="s">
        <v>8708</v>
      </c>
      <c r="C219" s="397"/>
      <c r="D219" s="259" t="s">
        <v>9707</v>
      </c>
      <c r="E219" s="224"/>
      <c r="F219" s="224"/>
      <c r="G219" s="224"/>
      <c r="H219" s="224"/>
      <c r="I219" s="224"/>
      <c r="J219" s="224"/>
      <c r="K219" s="224"/>
      <c r="L219" s="224"/>
      <c r="M219" s="224"/>
      <c r="N219" s="224"/>
      <c r="O219" s="224"/>
      <c r="P219" s="224"/>
      <c r="Q219" s="224"/>
    </row>
    <row r="220" spans="1:17" ht="20.100000000000001" customHeight="1" x14ac:dyDescent="0.35">
      <c r="A220" s="256" t="s">
        <v>9862</v>
      </c>
      <c r="B220" s="258">
        <f>IFERROR(365/IF('TANKS Calculations'!F15&gt;=365,365,'TANKS Calculations'!F15),0)</f>
        <v>0</v>
      </c>
      <c r="C220" s="397"/>
      <c r="D220" s="259" t="s">
        <v>9849</v>
      </c>
      <c r="E220" s="224"/>
      <c r="F220" s="224"/>
      <c r="G220" s="224"/>
      <c r="H220" s="224"/>
      <c r="I220" s="224"/>
      <c r="J220" s="224"/>
      <c r="K220" s="224"/>
      <c r="L220" s="224"/>
      <c r="M220" s="224"/>
      <c r="N220" s="224"/>
      <c r="O220" s="224"/>
      <c r="P220" s="224"/>
      <c r="Q220" s="224"/>
    </row>
    <row r="221" spans="1:17" ht="20.100000000000001" customHeight="1" x14ac:dyDescent="0.2">
      <c r="A221" s="351" t="s">
        <v>9863</v>
      </c>
      <c r="B221" s="258">
        <f>IF(C190="Drain dry",0,MIN(MAX(IF(B12="Fixed",(('TANKS Calculations'!F126/2)+1)/6,_xlfn.IFNA(VLOOKUP(C68&amp;C190,'TANKS Calculations'!$G$138:$L$143,6,FALSE),0)),0.5),0.25))</f>
        <v>0.25</v>
      </c>
      <c r="C221" s="397"/>
      <c r="D221" s="259" t="s">
        <v>9689</v>
      </c>
      <c r="E221" s="224"/>
      <c r="F221" s="224"/>
      <c r="G221" s="224"/>
      <c r="H221" s="224"/>
      <c r="I221" s="224"/>
      <c r="J221" s="224"/>
      <c r="K221" s="224"/>
      <c r="L221" s="224"/>
      <c r="M221" s="224"/>
      <c r="N221" s="224"/>
      <c r="O221" s="224"/>
      <c r="P221" s="224"/>
      <c r="Q221" s="224"/>
    </row>
    <row r="222" spans="1:17" ht="45" customHeight="1" thickBot="1" x14ac:dyDescent="0.25">
      <c r="A222" s="262" t="s">
        <v>9864</v>
      </c>
      <c r="B222" s="304">
        <f>IF('TANKS Calculations'!F126=0,0,ROUNDUP('TANKS Calculations'!F126/365,0)-1)</f>
        <v>0</v>
      </c>
      <c r="C222" s="385"/>
      <c r="D222" s="264" t="s">
        <v>9725</v>
      </c>
      <c r="E222" s="224"/>
      <c r="F222" s="224"/>
      <c r="G222" s="224"/>
      <c r="H222" s="224"/>
      <c r="I222" s="224"/>
      <c r="J222" s="224"/>
      <c r="K222" s="224"/>
      <c r="L222" s="224"/>
      <c r="M222" s="224"/>
      <c r="N222" s="224"/>
      <c r="O222" s="224"/>
      <c r="P222" s="224"/>
      <c r="Q222" s="224"/>
    </row>
    <row r="223" spans="1:17" ht="30" customHeight="1" x14ac:dyDescent="0.2">
      <c r="A223" s="247" t="s">
        <v>9865</v>
      </c>
      <c r="B223" s="305" t="s">
        <v>8708</v>
      </c>
      <c r="C223" s="407"/>
      <c r="D223" s="249" t="s">
        <v>9689</v>
      </c>
      <c r="E223" s="224"/>
      <c r="F223" s="224"/>
      <c r="G223" s="224"/>
      <c r="H223" s="224"/>
      <c r="I223" s="224"/>
      <c r="J223" s="224"/>
      <c r="K223" s="224"/>
      <c r="L223" s="224"/>
      <c r="M223" s="224"/>
      <c r="N223" s="224"/>
      <c r="O223" s="224"/>
      <c r="P223" s="224"/>
      <c r="Q223" s="224"/>
    </row>
    <row r="224" spans="1:17" ht="30" customHeight="1" x14ac:dyDescent="0.2">
      <c r="A224" s="256" t="s">
        <v>9866</v>
      </c>
      <c r="B224" s="303" t="s">
        <v>8708</v>
      </c>
      <c r="C224" s="397"/>
      <c r="D224" s="259" t="s">
        <v>9689</v>
      </c>
      <c r="E224" s="224"/>
      <c r="F224" s="224"/>
      <c r="G224" s="224"/>
      <c r="H224" s="224"/>
      <c r="I224" s="224"/>
      <c r="J224" s="224"/>
      <c r="K224" s="224"/>
      <c r="L224" s="224"/>
      <c r="M224" s="224"/>
      <c r="N224" s="224"/>
      <c r="O224" s="224"/>
      <c r="P224" s="224"/>
      <c r="Q224" s="224"/>
    </row>
    <row r="225" spans="1:17" ht="30" customHeight="1" x14ac:dyDescent="0.2">
      <c r="A225" s="256" t="s">
        <v>9867</v>
      </c>
      <c r="B225" s="303" t="s">
        <v>8708</v>
      </c>
      <c r="C225" s="397"/>
      <c r="D225" s="259" t="s">
        <v>9689</v>
      </c>
      <c r="E225" s="224"/>
      <c r="F225" s="224"/>
      <c r="G225" s="224"/>
      <c r="H225" s="224"/>
      <c r="I225" s="224"/>
      <c r="J225" s="224"/>
      <c r="K225" s="224"/>
      <c r="L225" s="224"/>
      <c r="M225" s="224"/>
      <c r="N225" s="224"/>
      <c r="O225" s="224"/>
      <c r="P225" s="224"/>
      <c r="Q225" s="224"/>
    </row>
    <row r="226" spans="1:17" ht="30" customHeight="1" x14ac:dyDescent="0.2">
      <c r="A226" s="256" t="s">
        <v>9868</v>
      </c>
      <c r="B226" s="258">
        <v>1</v>
      </c>
      <c r="C226" s="397"/>
      <c r="D226" s="259" t="s">
        <v>9689</v>
      </c>
      <c r="E226" s="224"/>
      <c r="F226" s="224"/>
      <c r="G226" s="224"/>
      <c r="H226" s="224"/>
      <c r="I226" s="224"/>
      <c r="J226" s="224"/>
      <c r="K226" s="224"/>
      <c r="L226" s="224"/>
      <c r="M226" s="224"/>
      <c r="N226" s="224"/>
      <c r="O226" s="224"/>
      <c r="P226" s="224"/>
      <c r="Q226" s="224"/>
    </row>
    <row r="227" spans="1:17" ht="35.1" customHeight="1" x14ac:dyDescent="0.35">
      <c r="A227" s="256" t="s">
        <v>9869</v>
      </c>
      <c r="B227" s="258">
        <f>MIN('TANKS Calculations'!F129*'TANKS Calculations'!F130*'TANKS Calculations'!F131,'TANKS Calculations'!F121/'TANKS Calculations'!F3)</f>
        <v>0</v>
      </c>
      <c r="C227" s="397"/>
      <c r="D227" s="259" t="s">
        <v>9689</v>
      </c>
      <c r="E227" s="224"/>
      <c r="F227" s="224"/>
      <c r="G227" s="224"/>
      <c r="H227" s="224"/>
      <c r="I227" s="224"/>
      <c r="J227" s="224"/>
      <c r="K227" s="224"/>
      <c r="L227" s="224"/>
      <c r="M227" s="224"/>
      <c r="N227" s="224"/>
      <c r="O227" s="224"/>
      <c r="P227" s="224"/>
      <c r="Q227" s="224"/>
    </row>
    <row r="228" spans="1:17" ht="20.100000000000001" customHeight="1" x14ac:dyDescent="0.35">
      <c r="A228" s="256" t="s">
        <v>9870</v>
      </c>
      <c r="B228" s="303" t="s">
        <v>8708</v>
      </c>
      <c r="C228" s="397"/>
      <c r="D228" s="259" t="s">
        <v>9871</v>
      </c>
      <c r="E228" s="224"/>
      <c r="F228" s="224"/>
      <c r="G228" s="306"/>
      <c r="H228" s="224"/>
      <c r="I228" s="224"/>
      <c r="J228" s="224"/>
      <c r="K228" s="224"/>
      <c r="L228" s="224"/>
      <c r="M228" s="224"/>
      <c r="N228" s="224"/>
      <c r="O228" s="224"/>
      <c r="P228" s="224"/>
      <c r="Q228" s="224"/>
    </row>
    <row r="229" spans="1:17" ht="20.100000000000001" customHeight="1" x14ac:dyDescent="0.35">
      <c r="A229" s="256" t="s">
        <v>9872</v>
      </c>
      <c r="B229" s="303" t="s">
        <v>8708</v>
      </c>
      <c r="C229" s="397"/>
      <c r="D229" s="259" t="s">
        <v>9849</v>
      </c>
      <c r="E229" s="224"/>
      <c r="F229" s="224"/>
      <c r="G229" s="224"/>
      <c r="H229" s="224"/>
      <c r="I229" s="224"/>
      <c r="J229" s="224"/>
      <c r="K229" s="224"/>
      <c r="L229" s="224"/>
      <c r="M229" s="224"/>
      <c r="N229" s="224"/>
      <c r="O229" s="224"/>
      <c r="P229" s="224"/>
      <c r="Q229" s="224"/>
    </row>
    <row r="230" spans="1:17" ht="65.099999999999994" customHeight="1" x14ac:dyDescent="0.2">
      <c r="A230" s="256" t="s">
        <v>9873</v>
      </c>
      <c r="B230" s="303" t="s">
        <v>8708</v>
      </c>
      <c r="C230" s="397"/>
      <c r="D230" s="259" t="s">
        <v>9874</v>
      </c>
      <c r="E230" s="224"/>
      <c r="F230" s="224"/>
      <c r="G230" s="224"/>
      <c r="H230" s="224"/>
      <c r="I230" s="224"/>
      <c r="J230" s="224"/>
      <c r="K230" s="224"/>
      <c r="L230" s="224"/>
      <c r="M230" s="224"/>
      <c r="N230" s="224"/>
      <c r="O230" s="224"/>
      <c r="P230" s="224"/>
      <c r="Q230" s="224"/>
    </row>
    <row r="231" spans="1:17" ht="20.100000000000001" customHeight="1" x14ac:dyDescent="0.35">
      <c r="A231" s="256" t="s">
        <v>9875</v>
      </c>
      <c r="B231" s="258">
        <f>'TANKS Calculations'!F120</f>
        <v>0</v>
      </c>
      <c r="C231" s="397"/>
      <c r="D231" s="259" t="s">
        <v>9795</v>
      </c>
      <c r="E231" s="224"/>
      <c r="F231" s="224"/>
      <c r="G231" s="224"/>
      <c r="H231" s="224"/>
      <c r="I231" s="224"/>
      <c r="J231" s="224"/>
      <c r="K231" s="224"/>
      <c r="L231" s="224"/>
      <c r="M231" s="224"/>
      <c r="N231" s="224"/>
      <c r="O231" s="224"/>
      <c r="P231" s="224"/>
      <c r="Q231" s="224"/>
    </row>
    <row r="232" spans="1:17" ht="35.1" customHeight="1" thickBot="1" x14ac:dyDescent="0.4">
      <c r="A232" s="256" t="s">
        <v>9876</v>
      </c>
      <c r="B232" s="258">
        <f>'TANKS Calculations'!F12</f>
        <v>1</v>
      </c>
      <c r="C232" s="397"/>
      <c r="D232" s="259" t="s">
        <v>9707</v>
      </c>
      <c r="E232" s="224"/>
      <c r="F232" s="224"/>
      <c r="G232" s="224"/>
      <c r="H232" s="224"/>
      <c r="I232" s="224"/>
      <c r="J232" s="224"/>
      <c r="K232" s="224"/>
      <c r="L232" s="224"/>
      <c r="M232" s="224"/>
      <c r="N232" s="224"/>
      <c r="O232" s="224"/>
      <c r="P232" s="224"/>
      <c r="Q232" s="224"/>
    </row>
    <row r="233" spans="1:17" ht="50.1" customHeight="1" x14ac:dyDescent="0.35">
      <c r="A233" s="292" t="s">
        <v>9877</v>
      </c>
      <c r="B233" s="307" t="s">
        <v>8708</v>
      </c>
      <c r="C233" s="403"/>
      <c r="D233" s="294" t="s">
        <v>9689</v>
      </c>
      <c r="E233" s="224"/>
      <c r="F233" s="224"/>
      <c r="G233" s="224"/>
      <c r="H233" s="224"/>
      <c r="I233" s="224"/>
      <c r="J233" s="224"/>
      <c r="K233" s="224"/>
      <c r="L233" s="224"/>
      <c r="M233" s="224"/>
      <c r="N233" s="224"/>
      <c r="O233" s="224"/>
      <c r="P233" s="224"/>
      <c r="Q233" s="224"/>
    </row>
    <row r="234" spans="1:17" ht="35.1" customHeight="1" x14ac:dyDescent="0.2">
      <c r="A234" s="349" t="s">
        <v>10002</v>
      </c>
      <c r="B234" s="303" t="s">
        <v>8708</v>
      </c>
      <c r="C234" s="397"/>
      <c r="D234" s="259" t="s">
        <v>9849</v>
      </c>
      <c r="E234" s="224"/>
      <c r="F234" s="224"/>
      <c r="G234" s="224"/>
      <c r="H234" s="224"/>
      <c r="I234" s="224"/>
      <c r="J234" s="224"/>
      <c r="K234" s="224"/>
      <c r="L234" s="224"/>
      <c r="M234" s="224"/>
      <c r="N234" s="224"/>
      <c r="O234" s="224"/>
      <c r="P234" s="224"/>
      <c r="Q234" s="224"/>
    </row>
    <row r="235" spans="1:17" ht="35.1" customHeight="1" x14ac:dyDescent="0.2">
      <c r="A235" s="349" t="s">
        <v>10003</v>
      </c>
      <c r="B235" s="303" t="s">
        <v>8708</v>
      </c>
      <c r="C235" s="397"/>
      <c r="D235" s="259" t="s">
        <v>9874</v>
      </c>
      <c r="E235" s="224"/>
      <c r="F235" s="224"/>
      <c r="G235" s="224"/>
      <c r="H235" s="224"/>
      <c r="I235" s="224"/>
      <c r="J235" s="224"/>
      <c r="K235" s="224"/>
      <c r="L235" s="224"/>
      <c r="M235" s="224"/>
      <c r="N235" s="224"/>
      <c r="O235" s="224"/>
      <c r="P235" s="224"/>
      <c r="Q235" s="224"/>
    </row>
    <row r="236" spans="1:17" ht="35.1" customHeight="1" thickBot="1" x14ac:dyDescent="0.4">
      <c r="A236" s="262" t="s">
        <v>9878</v>
      </c>
      <c r="B236" s="308" t="s">
        <v>8708</v>
      </c>
      <c r="C236" s="385"/>
      <c r="D236" s="264" t="s">
        <v>9707</v>
      </c>
      <c r="E236" s="224"/>
      <c r="F236" s="224"/>
      <c r="G236" s="224"/>
      <c r="H236" s="224"/>
      <c r="I236" s="224"/>
      <c r="J236" s="224"/>
      <c r="K236" s="224"/>
      <c r="L236" s="224"/>
      <c r="M236" s="224"/>
      <c r="N236" s="224"/>
      <c r="O236" s="224"/>
      <c r="P236" s="224"/>
      <c r="Q236" s="224"/>
    </row>
    <row r="237" spans="1:17" ht="30" customHeight="1" thickBot="1" x14ac:dyDescent="0.25">
      <c r="A237" s="1377" t="s">
        <v>8411</v>
      </c>
      <c r="B237" s="1377"/>
      <c r="C237" s="1377"/>
      <c r="D237" s="1377"/>
      <c r="E237" s="224"/>
      <c r="F237" s="224"/>
      <c r="G237" s="224"/>
      <c r="H237" s="224"/>
      <c r="I237" s="224"/>
      <c r="J237" s="224"/>
      <c r="K237" s="224"/>
      <c r="L237" s="224"/>
      <c r="M237" s="224"/>
      <c r="N237" s="224"/>
      <c r="O237" s="224"/>
      <c r="P237" s="224"/>
      <c r="Q237" s="224"/>
    </row>
    <row r="238" spans="1:17" ht="44.25" customHeight="1" thickBot="1" x14ac:dyDescent="0.3">
      <c r="A238" s="1352" t="s">
        <v>9879</v>
      </c>
      <c r="B238" s="1358"/>
      <c r="C238" s="1358"/>
      <c r="D238" s="1359"/>
      <c r="E238" s="224"/>
      <c r="F238" s="224"/>
      <c r="G238" s="224"/>
      <c r="H238" s="224"/>
      <c r="I238" s="224"/>
      <c r="J238" s="224"/>
      <c r="K238" s="224"/>
      <c r="L238" s="224"/>
      <c r="M238" s="224"/>
      <c r="N238" s="224"/>
      <c r="O238" s="224"/>
      <c r="P238" s="224"/>
      <c r="Q238" s="224"/>
    </row>
    <row r="239" spans="1:17" ht="20.100000000000001" customHeight="1" thickBot="1" x14ac:dyDescent="0.3">
      <c r="A239" s="152" t="s">
        <v>9685</v>
      </c>
      <c r="B239" s="153" t="s">
        <v>9686</v>
      </c>
      <c r="C239" s="154" t="s">
        <v>9687</v>
      </c>
      <c r="D239" s="155" t="s">
        <v>9688</v>
      </c>
      <c r="E239" s="224"/>
      <c r="F239" s="224"/>
      <c r="G239" s="224"/>
      <c r="H239" s="224"/>
      <c r="I239" s="224"/>
      <c r="J239" s="224"/>
      <c r="K239" s="224"/>
      <c r="L239" s="224"/>
      <c r="M239" s="224"/>
      <c r="N239" s="224"/>
      <c r="O239" s="224"/>
      <c r="P239" s="224"/>
      <c r="Q239" s="224"/>
    </row>
    <row r="240" spans="1:17" ht="30" customHeight="1" x14ac:dyDescent="0.2">
      <c r="A240" s="266" t="s">
        <v>9880</v>
      </c>
      <c r="B240" s="267" t="s">
        <v>8708</v>
      </c>
      <c r="C240" s="410"/>
      <c r="D240" s="268" t="s">
        <v>9881</v>
      </c>
      <c r="E240" s="224"/>
      <c r="F240" s="224"/>
      <c r="G240" s="224"/>
      <c r="H240" s="224"/>
      <c r="I240" s="224"/>
      <c r="J240" s="224"/>
      <c r="K240" s="224"/>
      <c r="L240" s="224"/>
      <c r="M240" s="224"/>
      <c r="N240" s="224"/>
      <c r="O240" s="224"/>
      <c r="P240" s="224"/>
      <c r="Q240" s="224"/>
    </row>
    <row r="241" spans="1:17" ht="30" customHeight="1" x14ac:dyDescent="0.2">
      <c r="A241" s="228" t="s">
        <v>9882</v>
      </c>
      <c r="B241" s="226" t="s">
        <v>8708</v>
      </c>
      <c r="C241" s="435"/>
      <c r="D241" s="227" t="s">
        <v>9881</v>
      </c>
      <c r="E241" s="224"/>
      <c r="F241" s="224"/>
      <c r="G241" s="224"/>
      <c r="H241" s="224"/>
      <c r="I241" s="224"/>
      <c r="J241" s="224"/>
      <c r="K241" s="224"/>
      <c r="L241" s="224"/>
      <c r="M241" s="224"/>
      <c r="N241" s="224"/>
      <c r="O241" s="224"/>
      <c r="P241" s="224"/>
      <c r="Q241" s="224"/>
    </row>
    <row r="242" spans="1:17" ht="30" customHeight="1" x14ac:dyDescent="0.2">
      <c r="A242" s="225" t="s">
        <v>9883</v>
      </c>
      <c r="B242" s="309" t="s">
        <v>8708</v>
      </c>
      <c r="C242" s="412"/>
      <c r="D242" s="246" t="s">
        <v>9884</v>
      </c>
      <c r="E242" s="224"/>
      <c r="F242" s="224"/>
      <c r="G242" s="224"/>
      <c r="H242" s="224"/>
      <c r="I242" s="224"/>
      <c r="J242" s="224"/>
      <c r="K242" s="224"/>
      <c r="L242" s="224"/>
      <c r="M242" s="224"/>
      <c r="N242" s="224"/>
      <c r="O242" s="224"/>
      <c r="P242" s="224"/>
      <c r="Q242" s="224"/>
    </row>
    <row r="243" spans="1:17" ht="45" customHeight="1" x14ac:dyDescent="0.2">
      <c r="A243" s="225" t="s">
        <v>9885</v>
      </c>
      <c r="B243" s="310">
        <v>2.635184989986297E-3</v>
      </c>
      <c r="C243" s="412"/>
      <c r="D243" s="246" t="s">
        <v>9886</v>
      </c>
      <c r="E243" s="224"/>
      <c r="F243" s="224"/>
      <c r="G243" s="224"/>
      <c r="H243" s="224"/>
      <c r="I243" s="224"/>
      <c r="J243" s="224"/>
      <c r="K243" s="224"/>
      <c r="L243" s="224"/>
      <c r="M243" s="224"/>
      <c r="N243" s="224"/>
      <c r="O243" s="224"/>
      <c r="P243" s="224"/>
      <c r="Q243" s="224"/>
    </row>
    <row r="244" spans="1:17" ht="30" customHeight="1" x14ac:dyDescent="0.2">
      <c r="A244" s="225" t="s">
        <v>9887</v>
      </c>
      <c r="B244" s="309" t="s">
        <v>8708</v>
      </c>
      <c r="C244" s="412"/>
      <c r="D244" s="246" t="s">
        <v>9795</v>
      </c>
      <c r="E244" s="224"/>
      <c r="F244" s="224"/>
      <c r="G244" s="224"/>
      <c r="H244" s="224"/>
      <c r="I244" s="224"/>
      <c r="J244" s="224"/>
      <c r="K244" s="224"/>
      <c r="L244" s="224"/>
      <c r="M244" s="224"/>
      <c r="N244" s="224"/>
      <c r="O244" s="224"/>
      <c r="P244" s="224"/>
      <c r="Q244" s="224"/>
    </row>
    <row r="245" spans="1:17" ht="30" customHeight="1" x14ac:dyDescent="0.2">
      <c r="A245" s="225" t="s">
        <v>9888</v>
      </c>
      <c r="B245" s="311" t="s">
        <v>8708</v>
      </c>
      <c r="C245" s="412"/>
      <c r="D245" s="246" t="s">
        <v>9889</v>
      </c>
      <c r="E245" s="224"/>
      <c r="F245" s="224"/>
      <c r="H245" s="224"/>
      <c r="I245" s="224"/>
      <c r="J245" s="224"/>
      <c r="K245" s="224"/>
      <c r="L245" s="224"/>
      <c r="M245" s="224"/>
      <c r="N245" s="224"/>
      <c r="O245" s="224"/>
      <c r="P245" s="224"/>
      <c r="Q245" s="224"/>
    </row>
    <row r="246" spans="1:17" ht="35.1" customHeight="1" x14ac:dyDescent="0.35">
      <c r="A246" s="420" t="s">
        <v>10008</v>
      </c>
      <c r="B246" s="309" t="s">
        <v>8708</v>
      </c>
      <c r="C246" s="412"/>
      <c r="D246" s="246" t="s">
        <v>9782</v>
      </c>
      <c r="E246" s="224"/>
      <c r="F246" s="224"/>
      <c r="H246" s="224"/>
      <c r="I246" s="224"/>
      <c r="J246" s="224"/>
      <c r="K246" s="224"/>
      <c r="L246" s="224"/>
      <c r="M246" s="224"/>
      <c r="N246" s="224"/>
      <c r="O246" s="224"/>
      <c r="P246" s="224"/>
      <c r="Q246" s="224"/>
    </row>
    <row r="247" spans="1:17" ht="35.1" customHeight="1" x14ac:dyDescent="0.35">
      <c r="A247" s="421" t="s">
        <v>10009</v>
      </c>
      <c r="B247" s="285">
        <v>70</v>
      </c>
      <c r="C247" s="412"/>
      <c r="D247" s="246" t="s">
        <v>9754</v>
      </c>
      <c r="E247" s="224"/>
      <c r="F247" s="224"/>
      <c r="H247" s="224"/>
      <c r="I247" s="224"/>
      <c r="J247" s="224"/>
      <c r="K247" s="224"/>
      <c r="L247" s="224"/>
      <c r="M247" s="224"/>
      <c r="N247" s="224"/>
      <c r="O247" s="224"/>
      <c r="P247" s="224"/>
      <c r="Q247" s="224"/>
    </row>
    <row r="248" spans="1:17" ht="20.100000000000001" customHeight="1" x14ac:dyDescent="0.2">
      <c r="A248" s="225"/>
      <c r="B248" s="285">
        <f>'TANKS Calculations'!F154+459.67</f>
        <v>529.67000000000007</v>
      </c>
      <c r="C248" s="412"/>
      <c r="D248" s="246" t="s">
        <v>9755</v>
      </c>
      <c r="E248" s="224"/>
      <c r="F248" s="224"/>
      <c r="H248" s="224"/>
      <c r="I248" s="224"/>
      <c r="J248" s="224"/>
      <c r="K248" s="224"/>
      <c r="L248" s="224"/>
      <c r="M248" s="224"/>
      <c r="N248" s="224"/>
      <c r="O248" s="224"/>
      <c r="P248" s="224"/>
      <c r="Q248" s="224"/>
    </row>
    <row r="249" spans="1:17" ht="35.1" customHeight="1" x14ac:dyDescent="0.35">
      <c r="A249" s="422" t="s">
        <v>10010</v>
      </c>
      <c r="B249" s="285">
        <v>0.9</v>
      </c>
      <c r="C249" s="412"/>
      <c r="D249" s="246" t="s">
        <v>9881</v>
      </c>
      <c r="E249" s="224"/>
      <c r="F249" s="224"/>
      <c r="H249" s="224"/>
      <c r="I249" s="224"/>
    </row>
    <row r="250" spans="1:17" ht="30" customHeight="1" x14ac:dyDescent="0.2">
      <c r="A250" s="225" t="s">
        <v>9890</v>
      </c>
      <c r="B250" s="285">
        <v>0.8</v>
      </c>
      <c r="C250" s="412"/>
      <c r="D250" s="246" t="s">
        <v>9881</v>
      </c>
      <c r="E250" s="224"/>
      <c r="F250" s="224"/>
      <c r="H250" s="224"/>
      <c r="I250" s="224"/>
      <c r="J250" s="224"/>
      <c r="K250" s="224"/>
      <c r="L250" s="224"/>
      <c r="M250" s="224"/>
      <c r="N250" s="224"/>
      <c r="O250" s="224"/>
      <c r="P250" s="224"/>
      <c r="Q250" s="224"/>
    </row>
    <row r="251" spans="1:17" ht="30" customHeight="1" x14ac:dyDescent="0.2">
      <c r="A251" s="225" t="s">
        <v>9891</v>
      </c>
      <c r="B251" s="285">
        <f>'TANKS Calculations'!F156*(1+(0.00005912*'TANKS Calculations'!F151*'TANKS Calculations'!F154*LOG10('TANKS Calculations'!F153/114.7)))</f>
        <v>0.9</v>
      </c>
      <c r="C251" s="412"/>
      <c r="D251" s="246" t="s">
        <v>9881</v>
      </c>
      <c r="E251" s="224"/>
      <c r="G251" s="224"/>
      <c r="H251" s="224"/>
      <c r="I251" s="224"/>
      <c r="J251" s="224"/>
      <c r="K251" s="224"/>
      <c r="L251" s="224"/>
      <c r="M251" s="224"/>
      <c r="N251" s="224"/>
      <c r="O251" s="224"/>
      <c r="P251" s="224"/>
      <c r="Q251" s="224"/>
    </row>
    <row r="252" spans="1:17" ht="30" customHeight="1" x14ac:dyDescent="0.2">
      <c r="A252" s="425" t="s">
        <v>10011</v>
      </c>
      <c r="B252" s="245">
        <f>IF('TANKS Calculations'!F151&gt;=30,0.0178,0.0362)</f>
        <v>3.6200000000000003E-2</v>
      </c>
      <c r="C252" s="412"/>
      <c r="D252" s="246" t="s">
        <v>9881</v>
      </c>
      <c r="E252" s="224"/>
      <c r="G252" s="224"/>
      <c r="H252" s="224"/>
      <c r="I252" s="224"/>
      <c r="J252" s="224"/>
      <c r="K252" s="224"/>
      <c r="L252" s="224"/>
      <c r="M252" s="224"/>
      <c r="N252" s="224"/>
      <c r="O252" s="224"/>
      <c r="P252" s="224"/>
      <c r="Q252" s="224"/>
    </row>
    <row r="253" spans="1:17" ht="30" customHeight="1" x14ac:dyDescent="0.2">
      <c r="A253" s="425" t="s">
        <v>10012</v>
      </c>
      <c r="B253" s="285">
        <f>IF('TANKS Calculations'!F151&gt;=30,1.187,1.0937)</f>
        <v>1.0936999999999999</v>
      </c>
      <c r="C253" s="412"/>
      <c r="D253" s="246" t="s">
        <v>9881</v>
      </c>
      <c r="E253" s="224"/>
      <c r="G253" s="224"/>
      <c r="H253" s="224"/>
      <c r="I253" s="224"/>
      <c r="J253" s="224"/>
      <c r="K253" s="224"/>
      <c r="L253" s="224"/>
      <c r="M253" s="224"/>
      <c r="N253" s="224"/>
      <c r="O253" s="224"/>
      <c r="P253" s="224"/>
      <c r="Q253" s="224"/>
    </row>
    <row r="254" spans="1:17" ht="30" customHeight="1" x14ac:dyDescent="0.2">
      <c r="A254" s="425" t="s">
        <v>10013</v>
      </c>
      <c r="B254" s="285">
        <f>IF('TANKS Calculations'!F151&gt;=30,23.931,25.724)</f>
        <v>25.724</v>
      </c>
      <c r="C254" s="412"/>
      <c r="D254" s="246" t="s">
        <v>9881</v>
      </c>
      <c r="E254" s="224"/>
      <c r="G254" s="224"/>
      <c r="H254" s="224"/>
      <c r="I254" s="224"/>
      <c r="J254" s="224"/>
      <c r="K254" s="224"/>
      <c r="L254" s="224"/>
      <c r="M254" s="224"/>
      <c r="N254" s="224"/>
      <c r="O254" s="224"/>
      <c r="P254" s="224"/>
      <c r="Q254" s="224"/>
    </row>
    <row r="255" spans="1:17" ht="35.1" customHeight="1" x14ac:dyDescent="0.35">
      <c r="A255" s="225" t="s">
        <v>9892</v>
      </c>
      <c r="B255" s="285">
        <f>('TANKS Calculations'!F159*'TANKS Calculations'!F158*(('TANKS Calculations'!F153)^'TANKS Calculations'!F160))*EXP(('TANKS Calculations'!F161*'TANKS Calculations'!F151)/('TANKS Calculations'!F155))</f>
        <v>0.61609268022449837</v>
      </c>
      <c r="C255" s="412"/>
      <c r="D255" s="246" t="s">
        <v>9881</v>
      </c>
      <c r="E255" s="224"/>
      <c r="G255" s="224"/>
      <c r="H255" s="224"/>
      <c r="I255" s="224"/>
      <c r="J255" s="224"/>
      <c r="K255" s="224"/>
      <c r="L255" s="224"/>
      <c r="M255" s="224"/>
      <c r="N255" s="224"/>
      <c r="O255" s="224"/>
      <c r="P255" s="224"/>
      <c r="Q255" s="224"/>
    </row>
    <row r="256" spans="1:17" ht="45" customHeight="1" x14ac:dyDescent="0.2">
      <c r="A256" s="225" t="s">
        <v>9893</v>
      </c>
      <c r="B256" s="310">
        <v>2.635184989986297E-3</v>
      </c>
      <c r="C256" s="412"/>
      <c r="D256" s="246" t="s">
        <v>9886</v>
      </c>
      <c r="E256" s="224"/>
      <c r="G256" s="224"/>
      <c r="H256" s="224"/>
      <c r="I256" s="224"/>
      <c r="J256" s="224"/>
      <c r="K256" s="224"/>
      <c r="L256" s="224"/>
      <c r="M256" s="224"/>
      <c r="N256" s="224"/>
      <c r="O256" s="224"/>
      <c r="P256" s="224"/>
      <c r="Q256" s="224"/>
    </row>
    <row r="257" spans="1:17" ht="30" customHeight="1" thickBot="1" x14ac:dyDescent="0.25">
      <c r="A257" s="247" t="s">
        <v>9894</v>
      </c>
      <c r="B257" s="261">
        <f>'TANKS Calculations'!F162*'TANKS Calculations'!F17*IF(B12="Floating",'TANKS Calculations'!F76,'TANKS Calculations'!F64)*'TANKS Calculations'!F163</f>
        <v>0</v>
      </c>
      <c r="C257" s="413"/>
      <c r="D257" s="249" t="s">
        <v>9895</v>
      </c>
      <c r="E257" s="224"/>
      <c r="G257" s="224"/>
      <c r="H257" s="224"/>
      <c r="I257" s="224"/>
      <c r="J257" s="224"/>
      <c r="K257" s="224"/>
      <c r="L257" s="224"/>
      <c r="M257" s="224"/>
      <c r="N257" s="224"/>
      <c r="O257" s="224"/>
      <c r="P257" s="224"/>
      <c r="Q257" s="224"/>
    </row>
    <row r="258" spans="1:17" ht="30" customHeight="1" thickBot="1" x14ac:dyDescent="0.3">
      <c r="A258" s="161" t="s">
        <v>9896</v>
      </c>
      <c r="B258" s="312">
        <f>IF(OR(,ISBLANK(C240),C240="No",C241="Computer Simulation Modeling",C241="Direct Measurement"),0,IF(C241="Laboratory GOR",'TANKS Calculations'!F148*'TANKS Calculations'!F17*'TANKS Calculations'!F150*'TANKS Calculations'!F149,'TANKS Calculations'!F164*'TANKS Calculations'!F157))</f>
        <v>0</v>
      </c>
      <c r="C258" s="414"/>
      <c r="D258" s="313" t="s">
        <v>9895</v>
      </c>
      <c r="E258" s="224"/>
      <c r="F258" s="224"/>
      <c r="G258" s="224"/>
      <c r="H258" s="224"/>
      <c r="I258" s="224"/>
      <c r="J258" s="224"/>
      <c r="K258" s="224"/>
      <c r="L258" s="224"/>
      <c r="M258" s="224"/>
      <c r="N258" s="224"/>
      <c r="O258" s="224"/>
      <c r="P258" s="224"/>
      <c r="Q258" s="224"/>
    </row>
    <row r="259" spans="1:17" ht="30" customHeight="1" thickBot="1" x14ac:dyDescent="0.25">
      <c r="A259" s="1377" t="s">
        <v>8411</v>
      </c>
      <c r="B259" s="1377"/>
      <c r="C259" s="1377"/>
      <c r="D259" s="1377"/>
      <c r="E259" s="224"/>
      <c r="F259" s="224"/>
      <c r="G259" s="224"/>
    </row>
    <row r="260" spans="1:17" ht="44.25" customHeight="1" thickBot="1" x14ac:dyDescent="0.3">
      <c r="A260" s="1352" t="s">
        <v>9897</v>
      </c>
      <c r="B260" s="1358"/>
      <c r="C260" s="1358"/>
      <c r="D260" s="1359"/>
      <c r="E260" s="224"/>
      <c r="F260" s="224"/>
      <c r="G260" s="224"/>
      <c r="H260" s="224"/>
      <c r="I260" s="224"/>
      <c r="J260" s="224"/>
      <c r="K260" s="224"/>
      <c r="L260" s="224"/>
      <c r="M260" s="224"/>
      <c r="N260" s="224"/>
      <c r="O260" s="224"/>
      <c r="P260" s="224"/>
      <c r="Q260" s="224"/>
    </row>
    <row r="261" spans="1:17" ht="20.100000000000001" customHeight="1" thickBot="1" x14ac:dyDescent="0.3">
      <c r="A261" s="152" t="s">
        <v>9685</v>
      </c>
      <c r="B261" s="153" t="s">
        <v>9686</v>
      </c>
      <c r="C261" s="154" t="s">
        <v>9687</v>
      </c>
      <c r="D261" s="155" t="s">
        <v>9688</v>
      </c>
      <c r="E261" s="224"/>
      <c r="F261" s="224"/>
      <c r="G261" s="224"/>
      <c r="H261" s="224"/>
      <c r="I261" s="224"/>
      <c r="J261" s="224"/>
      <c r="K261" s="224"/>
      <c r="L261" s="224"/>
      <c r="M261" s="224"/>
      <c r="N261" s="224"/>
      <c r="O261" s="224"/>
      <c r="P261" s="224"/>
      <c r="Q261" s="224"/>
    </row>
    <row r="262" spans="1:17" ht="20.100000000000001" customHeight="1" x14ac:dyDescent="0.2">
      <c r="A262" s="266" t="s">
        <v>9898</v>
      </c>
      <c r="B262" s="267" t="s">
        <v>8708</v>
      </c>
      <c r="C262" s="386"/>
      <c r="D262" s="268" t="s">
        <v>9689</v>
      </c>
      <c r="E262" s="224"/>
      <c r="F262" s="224"/>
      <c r="G262" s="224"/>
      <c r="H262" s="224"/>
      <c r="I262" s="224"/>
      <c r="J262" s="224"/>
      <c r="K262" s="224"/>
      <c r="L262" s="224"/>
      <c r="M262" s="224"/>
      <c r="N262" s="224"/>
      <c r="O262" s="224"/>
      <c r="P262" s="224"/>
      <c r="Q262" s="224"/>
    </row>
    <row r="263" spans="1:17" ht="35.1" customHeight="1" x14ac:dyDescent="0.35">
      <c r="A263" s="256" t="s">
        <v>9899</v>
      </c>
      <c r="B263" s="291">
        <f>'TANKS Calculations'!F17</f>
        <v>0</v>
      </c>
      <c r="C263" s="397"/>
      <c r="D263" s="259" t="s">
        <v>9728</v>
      </c>
      <c r="E263" s="224"/>
      <c r="F263" s="224"/>
      <c r="G263" s="224"/>
      <c r="H263" s="224"/>
      <c r="I263" s="224"/>
      <c r="J263" s="224"/>
      <c r="K263" s="224"/>
      <c r="L263" s="224"/>
      <c r="M263" s="224"/>
      <c r="N263" s="224"/>
      <c r="O263" s="224"/>
      <c r="P263" s="224"/>
      <c r="Q263" s="224"/>
    </row>
    <row r="264" spans="1:17" ht="35.1" customHeight="1" x14ac:dyDescent="0.35">
      <c r="A264" s="256" t="s">
        <v>9900</v>
      </c>
      <c r="B264" s="301" t="s">
        <v>8708</v>
      </c>
      <c r="C264" s="397"/>
      <c r="D264" s="259" t="s">
        <v>9901</v>
      </c>
      <c r="E264" s="224"/>
      <c r="F264" s="224"/>
      <c r="G264" s="224"/>
      <c r="H264" s="224"/>
      <c r="I264" s="224"/>
      <c r="J264" s="224"/>
      <c r="K264" s="224"/>
      <c r="L264" s="224"/>
      <c r="M264" s="224"/>
      <c r="N264" s="224"/>
      <c r="O264" s="224"/>
      <c r="P264" s="224"/>
      <c r="Q264" s="224"/>
    </row>
    <row r="265" spans="1:17" ht="35.1" customHeight="1" thickBot="1" x14ac:dyDescent="0.25">
      <c r="A265" s="350" t="s">
        <v>10001</v>
      </c>
      <c r="B265" s="301" t="s">
        <v>8708</v>
      </c>
      <c r="C265" s="397"/>
      <c r="D265" s="259" t="s">
        <v>9689</v>
      </c>
      <c r="E265" s="224"/>
      <c r="F265" s="224"/>
      <c r="G265" s="224"/>
      <c r="H265" s="224"/>
      <c r="I265" s="224"/>
      <c r="J265" s="224"/>
      <c r="K265" s="224"/>
      <c r="L265" s="224"/>
      <c r="M265" s="224"/>
      <c r="N265" s="224"/>
      <c r="O265" s="224"/>
      <c r="P265" s="224"/>
      <c r="Q265" s="224"/>
    </row>
    <row r="266" spans="1:17" ht="30" x14ac:dyDescent="0.25">
      <c r="A266" s="162" t="s">
        <v>9902</v>
      </c>
      <c r="B266" s="238">
        <f>IFERROR(IF(C262="yes",1,0)*0.024*IF(B12="Fixed",'TANKS Calculations'!F64,'TANKS Calculations'!F76)*'TANKS Calculations'!F51*('TANKS Calculations'!F166-('TANKS Calculations'!F167*'TANKS Calculations'!F168/4))/'TANKS Calculations'!F166,0)</f>
        <v>0</v>
      </c>
      <c r="C266" s="415"/>
      <c r="D266" s="314" t="s">
        <v>9903</v>
      </c>
      <c r="E266" s="224"/>
      <c r="F266" s="224"/>
      <c r="G266" s="224"/>
      <c r="H266" s="224"/>
      <c r="I266" s="224"/>
      <c r="J266" s="224"/>
      <c r="K266" s="224"/>
      <c r="L266" s="224"/>
      <c r="M266" s="224"/>
      <c r="N266" s="224"/>
      <c r="O266" s="224"/>
      <c r="P266" s="224"/>
      <c r="Q266" s="224"/>
    </row>
    <row r="267" spans="1:17" ht="20.100000000000001" customHeight="1" thickBot="1" x14ac:dyDescent="0.25">
      <c r="A267" s="230"/>
      <c r="B267" s="290">
        <f>'TANKS Calculations'!F169*'TANKS Calculations'!F166*0.042</f>
        <v>0</v>
      </c>
      <c r="C267" s="416"/>
      <c r="D267" s="231" t="s">
        <v>9895</v>
      </c>
      <c r="E267" s="224"/>
      <c r="F267" s="224"/>
      <c r="G267" s="224"/>
      <c r="H267" s="224"/>
      <c r="I267" s="224"/>
      <c r="J267" s="224"/>
      <c r="K267" s="224"/>
      <c r="L267" s="224"/>
      <c r="M267" s="224"/>
      <c r="N267" s="224"/>
      <c r="O267" s="224"/>
      <c r="P267" s="224"/>
      <c r="Q267" s="224"/>
    </row>
    <row r="268" spans="1:17" ht="30" customHeight="1" thickBot="1" x14ac:dyDescent="0.25">
      <c r="A268" s="1377" t="s">
        <v>8411</v>
      </c>
      <c r="B268" s="1377"/>
      <c r="C268" s="1377"/>
      <c r="D268" s="1377"/>
      <c r="E268" s="224"/>
      <c r="F268" s="224"/>
      <c r="G268" s="224"/>
      <c r="H268" s="224"/>
    </row>
    <row r="269" spans="1:17" ht="45" customHeight="1" thickBot="1" x14ac:dyDescent="0.3">
      <c r="A269" s="1352" t="s">
        <v>9904</v>
      </c>
      <c r="B269" s="1358"/>
      <c r="C269" s="1358"/>
      <c r="D269" s="1358"/>
      <c r="E269" s="1359"/>
      <c r="F269" s="224"/>
      <c r="G269" s="224"/>
      <c r="H269" s="224"/>
      <c r="I269" s="224"/>
      <c r="J269" s="224"/>
      <c r="K269" s="224"/>
      <c r="L269" s="224"/>
      <c r="M269" s="224"/>
      <c r="N269" s="224"/>
      <c r="O269" s="224"/>
      <c r="P269" s="224"/>
      <c r="Q269" s="224"/>
    </row>
    <row r="270" spans="1:17" ht="20.100000000000001" customHeight="1" x14ac:dyDescent="0.25">
      <c r="A270" s="163" t="s">
        <v>9905</v>
      </c>
      <c r="B270" s="164" t="s">
        <v>9686</v>
      </c>
      <c r="C270" s="165" t="s">
        <v>9688</v>
      </c>
      <c r="D270" s="164" t="s">
        <v>9686</v>
      </c>
      <c r="E270" s="165" t="s">
        <v>9688</v>
      </c>
      <c r="F270" s="224"/>
      <c r="G270" s="224"/>
      <c r="H270" s="224"/>
      <c r="I270" s="224"/>
      <c r="J270" s="224"/>
      <c r="K270" s="224"/>
      <c r="L270" s="224"/>
      <c r="M270" s="224"/>
      <c r="N270" s="224"/>
      <c r="O270" s="224"/>
      <c r="P270" s="224"/>
      <c r="Q270" s="224"/>
    </row>
    <row r="271" spans="1:17" ht="35.1" customHeight="1" x14ac:dyDescent="0.35">
      <c r="A271" s="284" t="s">
        <v>9906</v>
      </c>
      <c r="B271" s="285">
        <f>IF(B12="Fixed",365*'TANKS Calculations'!F61*'TANKS Calculations'!F63*'TANKS Calculations'!F66*'TANKS Calculations'!F65*'TANKS Calculations'!F53,0)</f>
        <v>0</v>
      </c>
      <c r="C271" s="246" t="s">
        <v>9895</v>
      </c>
      <c r="D271" s="285">
        <f>B271/2000</f>
        <v>0</v>
      </c>
      <c r="E271" s="246" t="s">
        <v>9907</v>
      </c>
      <c r="F271" s="224"/>
      <c r="G271" s="224"/>
      <c r="H271" s="224"/>
      <c r="I271" s="224"/>
      <c r="J271" s="224"/>
      <c r="K271" s="224"/>
      <c r="L271" s="224"/>
      <c r="M271" s="224"/>
      <c r="N271" s="224"/>
      <c r="O271" s="224"/>
      <c r="P271" s="224"/>
      <c r="Q271" s="224"/>
    </row>
    <row r="272" spans="1:17" ht="35.1" customHeight="1" x14ac:dyDescent="0.35">
      <c r="A272" s="284" t="s">
        <v>9908</v>
      </c>
      <c r="B272" s="285">
        <f>'TANKS Calculations'!F165</f>
        <v>0</v>
      </c>
      <c r="C272" s="246" t="s">
        <v>9895</v>
      </c>
      <c r="D272" s="285">
        <f>B272/2000</f>
        <v>0</v>
      </c>
      <c r="E272" s="246" t="s">
        <v>9907</v>
      </c>
      <c r="F272" s="224"/>
      <c r="G272" s="224"/>
      <c r="H272" s="224"/>
      <c r="I272" s="224"/>
      <c r="J272" s="224"/>
      <c r="K272" s="224"/>
      <c r="L272" s="224"/>
      <c r="M272" s="224"/>
      <c r="N272" s="224"/>
      <c r="O272" s="224"/>
      <c r="P272" s="224"/>
      <c r="Q272" s="224"/>
    </row>
    <row r="273" spans="1:17" ht="35.1" customHeight="1" x14ac:dyDescent="0.35">
      <c r="A273" s="284" t="s">
        <v>9909</v>
      </c>
      <c r="B273" s="285">
        <f>IF(C262="Yes",IF(B12="Fixed",'TANKS Calculations'!F170*'TANKS Calculations'!F53,0),0)</f>
        <v>0</v>
      </c>
      <c r="C273" s="246" t="s">
        <v>9895</v>
      </c>
      <c r="D273" s="252">
        <f>B273/2000</f>
        <v>0</v>
      </c>
      <c r="E273" s="227" t="s">
        <v>9907</v>
      </c>
      <c r="F273" s="224"/>
      <c r="G273" s="224"/>
      <c r="H273" s="224"/>
      <c r="I273" s="224"/>
      <c r="J273" s="224"/>
      <c r="K273" s="224"/>
      <c r="L273" s="224"/>
      <c r="M273" s="224"/>
      <c r="N273" s="224"/>
      <c r="O273" s="224"/>
      <c r="P273" s="224"/>
      <c r="Q273" s="224"/>
    </row>
    <row r="274" spans="1:17" ht="35.1" customHeight="1" x14ac:dyDescent="0.35">
      <c r="A274" s="233" t="s">
        <v>9910</v>
      </c>
      <c r="B274" s="252">
        <f>IF(B12="Fixed",'TANKS Calculations'!F20*'TANKS Calculations'!F21*'TANKS Calculations'!F4*'TANKS Calculations'!F63*'TANKS Calculations'!F68*'TANKS Calculations'!F53,0)</f>
        <v>0</v>
      </c>
      <c r="C274" s="227" t="s">
        <v>9895</v>
      </c>
      <c r="D274" s="252">
        <f>B274/2000</f>
        <v>0</v>
      </c>
      <c r="E274" s="227" t="s">
        <v>9907</v>
      </c>
      <c r="F274" s="224"/>
      <c r="G274" s="224"/>
      <c r="H274" s="224"/>
      <c r="I274" s="224"/>
      <c r="J274" s="224"/>
      <c r="K274" s="224"/>
      <c r="L274" s="224"/>
      <c r="M274" s="224"/>
      <c r="N274" s="224"/>
      <c r="O274" s="224"/>
      <c r="P274" s="224"/>
      <c r="Q274" s="224"/>
    </row>
    <row r="275" spans="1:17" ht="35.1" customHeight="1" thickBot="1" x14ac:dyDescent="0.35">
      <c r="A275" s="166" t="s">
        <v>9911</v>
      </c>
      <c r="B275" s="290">
        <f>B271+B273+B274</f>
        <v>0</v>
      </c>
      <c r="C275" s="231" t="s">
        <v>9895</v>
      </c>
      <c r="D275" s="290">
        <f>B275/2000</f>
        <v>0</v>
      </c>
      <c r="E275" s="231" t="s">
        <v>9907</v>
      </c>
      <c r="F275" s="224"/>
      <c r="G275" s="224"/>
      <c r="H275" s="224"/>
      <c r="I275" s="224"/>
      <c r="J275" s="224"/>
      <c r="K275" s="224"/>
      <c r="L275" s="224"/>
      <c r="M275" s="224"/>
      <c r="N275" s="224"/>
      <c r="O275" s="224"/>
      <c r="P275" s="224"/>
      <c r="Q275" s="224"/>
    </row>
    <row r="276" spans="1:17" ht="45" customHeight="1" thickBot="1" x14ac:dyDescent="0.3">
      <c r="A276" s="1352" t="s">
        <v>9912</v>
      </c>
      <c r="B276" s="1358"/>
      <c r="C276" s="1358"/>
      <c r="D276" s="1358"/>
      <c r="E276" s="1359"/>
      <c r="F276" s="224"/>
      <c r="G276" s="224"/>
      <c r="H276" s="224"/>
      <c r="I276" s="224"/>
      <c r="J276" s="224"/>
      <c r="K276" s="224"/>
      <c r="L276" s="224"/>
      <c r="M276" s="224"/>
      <c r="N276" s="224"/>
      <c r="O276" s="224"/>
      <c r="P276" s="224"/>
      <c r="Q276" s="224"/>
    </row>
    <row r="277" spans="1:17" ht="20.100000000000001" customHeight="1" thickBot="1" x14ac:dyDescent="0.3">
      <c r="A277" s="167" t="s">
        <v>9905</v>
      </c>
      <c r="B277" s="168" t="s">
        <v>9686</v>
      </c>
      <c r="C277" s="169" t="s">
        <v>9688</v>
      </c>
      <c r="D277" s="168" t="s">
        <v>9686</v>
      </c>
      <c r="E277" s="169" t="s">
        <v>9688</v>
      </c>
      <c r="F277" s="224"/>
      <c r="G277" s="224"/>
      <c r="H277" s="224"/>
      <c r="I277" s="224"/>
      <c r="J277" s="224"/>
      <c r="K277" s="224"/>
      <c r="L277" s="224"/>
      <c r="M277" s="224"/>
      <c r="N277" s="224"/>
      <c r="O277" s="224"/>
      <c r="P277" s="224"/>
      <c r="Q277" s="224"/>
    </row>
    <row r="278" spans="1:17" ht="35.1" customHeight="1" x14ac:dyDescent="0.35">
      <c r="A278" s="237" t="s">
        <v>9913</v>
      </c>
      <c r="B278" s="315">
        <f>IF(B12="Floating",IFERROR(('TANKS Calculations'!F73+'TANKS Calculations'!F74*('TANKS Calculations'!F77^'TANKS Calculations'!F75))*'TANKS Calculations'!F8*'TANKS Calculations'!F78*'TANKS Calculations'!F76*'TANKS Calculations'!F4,0)*'TANKS Calculations'!F53,0)</f>
        <v>0</v>
      </c>
      <c r="C278" s="268" t="s">
        <v>9895</v>
      </c>
      <c r="D278" s="315">
        <f t="shared" ref="D278:D290" si="7">B278/2000</f>
        <v>0</v>
      </c>
      <c r="E278" s="268" t="s">
        <v>9907</v>
      </c>
      <c r="F278" s="224"/>
      <c r="G278" s="224"/>
      <c r="H278" s="224"/>
      <c r="I278" s="224"/>
      <c r="J278" s="224"/>
      <c r="K278" s="224"/>
      <c r="L278" s="224"/>
      <c r="M278" s="224"/>
      <c r="N278" s="224"/>
      <c r="O278" s="224"/>
      <c r="P278" s="224"/>
      <c r="Q278" s="224"/>
    </row>
    <row r="279" spans="1:17" ht="35.1" customHeight="1" x14ac:dyDescent="0.35">
      <c r="A279" s="284" t="s">
        <v>9914</v>
      </c>
      <c r="B279" s="316">
        <f>IF(B12="Floating",'TANKS Calculations'!F84*'TANKS Calculations'!F78*'TANKS Calculations'!F76*'TANKS Calculations'!F4*'TANKS Calculations'!F53,0)</f>
        <v>0</v>
      </c>
      <c r="C279" s="246" t="s">
        <v>9895</v>
      </c>
      <c r="D279" s="316">
        <f t="shared" si="7"/>
        <v>0</v>
      </c>
      <c r="E279" s="246" t="s">
        <v>9907</v>
      </c>
      <c r="F279" s="224"/>
      <c r="G279" s="224"/>
      <c r="H279" s="224"/>
      <c r="I279" s="224"/>
      <c r="J279" s="224"/>
      <c r="K279" s="224"/>
      <c r="L279" s="224"/>
      <c r="M279" s="224"/>
      <c r="N279" s="224"/>
      <c r="O279" s="224"/>
      <c r="P279" s="224"/>
      <c r="Q279" s="224"/>
    </row>
    <row r="280" spans="1:17" ht="35.1" customHeight="1" x14ac:dyDescent="0.35">
      <c r="A280" s="233" t="s">
        <v>9915</v>
      </c>
      <c r="B280" s="260">
        <f>IF(B12="Floating",IF(OR(C183="Yes",C68="External Floating Roof",C68="Domed/Covered External Floating Roof"),0,'TANKS Calculations'!F88*'TANKS Calculations'!F87*'TANKS Calculations'!F78*'TANKS Calculations'!F76*'TANKS Calculations'!F4*('TANKS Calculations'!F8^2))*'TANKS Calculations'!F53,0)</f>
        <v>0</v>
      </c>
      <c r="C280" s="227" t="s">
        <v>9895</v>
      </c>
      <c r="D280" s="260">
        <f t="shared" si="7"/>
        <v>0</v>
      </c>
      <c r="E280" s="227" t="s">
        <v>9907</v>
      </c>
      <c r="F280" s="224"/>
      <c r="G280" s="224"/>
      <c r="H280" s="224"/>
      <c r="I280" s="224"/>
      <c r="J280" s="224"/>
      <c r="K280" s="224"/>
      <c r="L280" s="224"/>
      <c r="M280" s="224"/>
      <c r="N280" s="224"/>
      <c r="O280" s="224"/>
      <c r="P280" s="224"/>
      <c r="Q280" s="224"/>
    </row>
    <row r="281" spans="1:17" ht="35.1" customHeight="1" thickBot="1" x14ac:dyDescent="0.4">
      <c r="A281" s="317" t="s">
        <v>9916</v>
      </c>
      <c r="B281" s="318">
        <f>B278+B279+B280</f>
        <v>0</v>
      </c>
      <c r="C281" s="231" t="s">
        <v>9895</v>
      </c>
      <c r="D281" s="318">
        <f t="shared" si="7"/>
        <v>0</v>
      </c>
      <c r="E281" s="231" t="s">
        <v>9907</v>
      </c>
      <c r="F281" s="224"/>
      <c r="G281" s="224"/>
      <c r="H281" s="224"/>
      <c r="I281" s="224"/>
      <c r="J281" s="224"/>
      <c r="K281" s="224"/>
      <c r="L281" s="224"/>
      <c r="M281" s="224"/>
      <c r="N281" s="224"/>
      <c r="O281" s="224"/>
      <c r="P281" s="224"/>
      <c r="Q281" s="224"/>
    </row>
    <row r="282" spans="1:17" ht="35.1" customHeight="1" x14ac:dyDescent="0.35">
      <c r="A282" s="237" t="s">
        <v>9908</v>
      </c>
      <c r="B282" s="315">
        <f>'TANKS Calculations'!F165</f>
        <v>0</v>
      </c>
      <c r="C282" s="268" t="s">
        <v>9895</v>
      </c>
      <c r="D282" s="315">
        <f t="shared" si="7"/>
        <v>0</v>
      </c>
      <c r="E282" s="268" t="s">
        <v>9907</v>
      </c>
      <c r="F282" s="224"/>
      <c r="G282" s="224"/>
      <c r="H282" s="224"/>
      <c r="I282" s="224"/>
      <c r="J282" s="224"/>
      <c r="K282" s="224"/>
      <c r="L282" s="224"/>
      <c r="M282" s="224"/>
      <c r="N282" s="224"/>
      <c r="O282" s="224"/>
      <c r="P282" s="224"/>
      <c r="Q282" s="224"/>
    </row>
    <row r="283" spans="1:17" ht="35.1" customHeight="1" x14ac:dyDescent="0.35">
      <c r="A283" s="284" t="s">
        <v>9917</v>
      </c>
      <c r="B283" s="316">
        <f>IFERROR(IF(B12="Floating",(0.943*'TANKS Calculations'!F17*'TANKS Calculations'!F80*'TANKS Calculations'!F83*(1+('TANKS Calculations'!F81*'TANKS Calculations'!F82/'TANKS Calculations'!F8))/'TANKS Calculations'!F8)*'TANKS Calculations'!F53,0),0)</f>
        <v>0</v>
      </c>
      <c r="C283" s="246" t="s">
        <v>9895</v>
      </c>
      <c r="D283" s="316">
        <f>B283/2000</f>
        <v>0</v>
      </c>
      <c r="E283" s="246" t="s">
        <v>9907</v>
      </c>
      <c r="F283" s="224"/>
      <c r="G283" s="224"/>
      <c r="H283" s="224"/>
      <c r="I283" s="224"/>
      <c r="J283" s="224"/>
      <c r="K283" s="224"/>
      <c r="L283" s="224"/>
      <c r="M283" s="224"/>
      <c r="N283" s="224"/>
      <c r="O283" s="224"/>
      <c r="P283" s="224"/>
      <c r="Q283" s="224"/>
    </row>
    <row r="284" spans="1:17" ht="35.1" customHeight="1" x14ac:dyDescent="0.35">
      <c r="A284" s="284" t="s">
        <v>9909</v>
      </c>
      <c r="B284" s="285">
        <f>IFERROR(IF(B12="Floating",'TANKS Calculations'!F170*'TANKS Calculations'!F53,0),0)</f>
        <v>0</v>
      </c>
      <c r="C284" s="246" t="s">
        <v>9895</v>
      </c>
      <c r="D284" s="252">
        <f>B284/2000</f>
        <v>0</v>
      </c>
      <c r="E284" s="227" t="s">
        <v>9907</v>
      </c>
      <c r="F284" s="224"/>
      <c r="G284" s="224"/>
      <c r="H284" s="224"/>
      <c r="I284" s="224"/>
      <c r="J284" s="224"/>
      <c r="K284" s="224"/>
      <c r="L284" s="224"/>
      <c r="M284" s="224"/>
      <c r="N284" s="224"/>
      <c r="O284" s="224"/>
      <c r="P284" s="224"/>
      <c r="Q284" s="224"/>
    </row>
    <row r="285" spans="1:17" ht="35.1" customHeight="1" thickBot="1" x14ac:dyDescent="0.35">
      <c r="A285" s="166" t="s">
        <v>9918</v>
      </c>
      <c r="B285" s="318">
        <f>B281+B283+B284</f>
        <v>0</v>
      </c>
      <c r="C285" s="231" t="s">
        <v>9895</v>
      </c>
      <c r="D285" s="318">
        <f>B285/2000</f>
        <v>0</v>
      </c>
      <c r="E285" s="231" t="s">
        <v>9907</v>
      </c>
      <c r="F285" s="224"/>
      <c r="G285" s="224"/>
      <c r="H285" s="224"/>
      <c r="I285" s="224"/>
      <c r="J285" s="224"/>
      <c r="K285" s="224"/>
      <c r="L285" s="224"/>
      <c r="M285" s="224"/>
      <c r="N285" s="224"/>
      <c r="O285" s="224"/>
      <c r="P285" s="224"/>
      <c r="Q285" s="224"/>
    </row>
    <row r="286" spans="1:17" ht="35.1" customHeight="1" x14ac:dyDescent="0.35">
      <c r="A286" s="237" t="s">
        <v>9919</v>
      </c>
      <c r="B286" s="315">
        <f>IF(B12="Floating",0.57*'TANKS Calculations'!F101*'TANKS Calculations'!F97*'TANKS Calculations'!F96*'TANKS Calculations'!F53,0)</f>
        <v>0</v>
      </c>
      <c r="C286" s="268" t="s">
        <v>9895</v>
      </c>
      <c r="D286" s="315">
        <f>B286/2000</f>
        <v>0</v>
      </c>
      <c r="E286" s="268" t="s">
        <v>9907</v>
      </c>
      <c r="F286" s="224"/>
      <c r="G286" s="224"/>
      <c r="H286" s="224"/>
      <c r="I286" s="224"/>
      <c r="J286" s="224"/>
      <c r="K286" s="224"/>
      <c r="L286" s="224"/>
      <c r="M286" s="224"/>
      <c r="N286" s="224"/>
      <c r="O286" s="224"/>
      <c r="P286" s="224"/>
      <c r="Q286" s="224"/>
    </row>
    <row r="287" spans="1:17" ht="35.1" customHeight="1" x14ac:dyDescent="0.35">
      <c r="A287" s="284" t="s">
        <v>9920</v>
      </c>
      <c r="B287" s="316">
        <f>IF(B12="Floating",MIN(IF(C68="Internal Floating Roof",IF(ISBLANK(C203),365,'TANKS Calculations'!F101)*'TANKS Calculations'!F61*'TANKS Calculations'!F98*'TANKS Calculations'!F99*'TANKS Calculations'!F100,0.57*'TANKS Calculations'!F101*'TANKS Calculations'!F78*'TANKS Calculations'!F96*'TANKS Calculations'!F8),'TANKS Calculations'!F91)*'TANKS Calculations'!F53,0)</f>
        <v>0</v>
      </c>
      <c r="C287" s="246" t="s">
        <v>9895</v>
      </c>
      <c r="D287" s="316">
        <f t="shared" si="7"/>
        <v>0</v>
      </c>
      <c r="E287" s="246" t="s">
        <v>9907</v>
      </c>
      <c r="F287" s="224"/>
      <c r="G287" s="224"/>
      <c r="H287" s="224"/>
      <c r="I287" s="224"/>
      <c r="J287" s="224"/>
      <c r="K287" s="224"/>
      <c r="L287" s="224"/>
      <c r="M287" s="224"/>
      <c r="N287" s="224"/>
      <c r="O287" s="224"/>
      <c r="P287" s="224"/>
      <c r="Q287" s="224"/>
    </row>
    <row r="288" spans="1:17" ht="35.1" customHeight="1" x14ac:dyDescent="0.35">
      <c r="A288" s="284" t="s">
        <v>9921</v>
      </c>
      <c r="B288" s="316">
        <f>IF(B12="Floating",IFERROR(IF(C262="Yes",0.024*'TANKS Calculations'!F96*'TANKS Calculations'!F93*('TANKS Calculations'!F166-(0.25*'TANKS Calculations'!F167*'TANKS Calculations'!F168))/'TANKS Calculations'!F166,'TANKS Calculations'!F106*'TANKS Calculations'!F104*'TANKS Calculations'!F96*'TANKS Calculations'!F105),0),0)*'TANKS Calculations'!F53</f>
        <v>0</v>
      </c>
      <c r="C288" s="246" t="s">
        <v>9895</v>
      </c>
      <c r="D288" s="316">
        <f>B288/2000</f>
        <v>0</v>
      </c>
      <c r="E288" s="246" t="s">
        <v>9907</v>
      </c>
      <c r="F288" s="224"/>
      <c r="G288" s="224"/>
      <c r="H288" s="224"/>
      <c r="I288" s="224"/>
      <c r="J288" s="224"/>
      <c r="K288" s="224"/>
      <c r="L288" s="224"/>
      <c r="M288" s="224"/>
      <c r="N288" s="224"/>
      <c r="O288" s="224"/>
      <c r="P288" s="224"/>
      <c r="Q288" s="224"/>
    </row>
    <row r="289" spans="1:17" ht="35.1" customHeight="1" x14ac:dyDescent="0.35">
      <c r="A289" s="233" t="s">
        <v>9922</v>
      </c>
      <c r="B289" s="260">
        <f>IF(B12="Floating",IF(OR(C190="Drain dry",C180="Drain-dry"),MIN(0.042*'TANKS Calculations'!F80*'TANKS Calculations'!F102*'TANKS Calculations'!F83,'TANKS Calculations'!F91,'TANKS Calculations'!F103),0)*'TANKS Calculations'!F53,0)</f>
        <v>0</v>
      </c>
      <c r="C289" s="246" t="s">
        <v>9895</v>
      </c>
      <c r="D289" s="316">
        <f>B289/2000</f>
        <v>0</v>
      </c>
      <c r="E289" s="246" t="s">
        <v>9907</v>
      </c>
      <c r="F289" s="224"/>
      <c r="G289" s="224"/>
      <c r="H289" s="224"/>
      <c r="I289" s="224"/>
      <c r="J289" s="224"/>
      <c r="K289" s="224"/>
      <c r="L289" s="224"/>
      <c r="M289" s="224"/>
      <c r="N289" s="224"/>
      <c r="O289" s="224"/>
      <c r="P289" s="224"/>
      <c r="Q289" s="224"/>
    </row>
    <row r="290" spans="1:17" ht="35.1" customHeight="1" thickBot="1" x14ac:dyDescent="0.35">
      <c r="A290" s="170" t="s">
        <v>9923</v>
      </c>
      <c r="B290" s="319">
        <f>B286+B287+B288+B289</f>
        <v>0</v>
      </c>
      <c r="C290" s="264" t="s">
        <v>9895</v>
      </c>
      <c r="D290" s="319">
        <f t="shared" si="7"/>
        <v>0</v>
      </c>
      <c r="E290" s="264" t="s">
        <v>9907</v>
      </c>
      <c r="F290" s="224"/>
      <c r="G290" s="224"/>
      <c r="H290" s="224"/>
      <c r="I290" s="224"/>
      <c r="J290" s="224"/>
      <c r="K290" s="224"/>
      <c r="L290" s="224"/>
      <c r="M290" s="224"/>
      <c r="N290" s="224"/>
      <c r="O290" s="224"/>
      <c r="P290" s="224"/>
      <c r="Q290" s="224"/>
    </row>
    <row r="291" spans="1:17" ht="35.1" customHeight="1" thickBot="1" x14ac:dyDescent="0.3">
      <c r="A291" s="166" t="s">
        <v>9924</v>
      </c>
      <c r="B291" s="318">
        <f>B285+B290</f>
        <v>0</v>
      </c>
      <c r="C291" s="231" t="s">
        <v>9895</v>
      </c>
      <c r="D291" s="318">
        <f>B291/2000</f>
        <v>0</v>
      </c>
      <c r="E291" s="231" t="s">
        <v>9907</v>
      </c>
      <c r="F291" s="224"/>
      <c r="G291" s="224"/>
      <c r="H291" s="224"/>
      <c r="I291" s="224"/>
      <c r="J291" s="224"/>
      <c r="K291" s="224"/>
      <c r="L291" s="224"/>
      <c r="M291" s="224"/>
      <c r="N291" s="224"/>
      <c r="O291" s="224"/>
      <c r="P291" s="224"/>
      <c r="Q291" s="224"/>
    </row>
    <row r="292" spans="1:17" ht="41.25" customHeight="1" thickBot="1" x14ac:dyDescent="0.3">
      <c r="A292" s="1352" t="s">
        <v>9925</v>
      </c>
      <c r="B292" s="1358"/>
      <c r="C292" s="1358"/>
      <c r="D292" s="1358"/>
      <c r="E292" s="1359"/>
      <c r="F292" s="224"/>
      <c r="G292" s="224"/>
      <c r="H292" s="224"/>
      <c r="I292" s="224"/>
      <c r="J292" s="224"/>
      <c r="K292" s="224"/>
      <c r="L292" s="224"/>
      <c r="M292" s="224"/>
      <c r="N292" s="224"/>
      <c r="O292" s="224"/>
      <c r="P292" s="224"/>
      <c r="Q292" s="224"/>
    </row>
    <row r="293" spans="1:17" ht="20.100000000000001" customHeight="1" thickBot="1" x14ac:dyDescent="0.3">
      <c r="A293" s="167" t="s">
        <v>9905</v>
      </c>
      <c r="B293" s="168" t="s">
        <v>9686</v>
      </c>
      <c r="C293" s="169" t="s">
        <v>9688</v>
      </c>
      <c r="D293" s="168" t="s">
        <v>9686</v>
      </c>
      <c r="E293" s="169" t="s">
        <v>9688</v>
      </c>
      <c r="F293" s="224"/>
      <c r="G293" s="224"/>
      <c r="H293" s="224"/>
      <c r="I293" s="224"/>
      <c r="J293" s="224"/>
      <c r="K293" s="224"/>
      <c r="L293" s="224"/>
      <c r="M293" s="224"/>
      <c r="N293" s="224"/>
      <c r="O293" s="224"/>
      <c r="P293" s="224"/>
      <c r="Q293" s="224"/>
    </row>
    <row r="294" spans="1:17" ht="33" x14ac:dyDescent="0.35">
      <c r="A294" s="266" t="s">
        <v>9926</v>
      </c>
      <c r="B294" s="315">
        <f>IF('TANKS Calculations'!F119=0,0,'TANKS Calculations'!F124*'TANKS Calculations'!F128*'TANKS Calculations'!F120)*'TANKS Calculations'!F53</f>
        <v>0</v>
      </c>
      <c r="C294" s="268" t="s">
        <v>9927</v>
      </c>
      <c r="D294" s="315">
        <f>B294*'TANKS Calculations'!$F$119</f>
        <v>0</v>
      </c>
      <c r="E294" s="268" t="s">
        <v>9895</v>
      </c>
      <c r="F294" s="224"/>
      <c r="G294" s="224"/>
      <c r="H294" s="224"/>
      <c r="I294" s="224"/>
      <c r="J294" s="224"/>
      <c r="K294" s="224"/>
      <c r="L294" s="224"/>
      <c r="M294" s="224"/>
      <c r="N294" s="224"/>
      <c r="O294" s="224"/>
      <c r="P294" s="224"/>
      <c r="Q294" s="224"/>
    </row>
    <row r="295" spans="1:17" ht="33" x14ac:dyDescent="0.35">
      <c r="A295" s="228" t="s">
        <v>9928</v>
      </c>
      <c r="B295" s="260">
        <f>IF('TANKS Calculations'!F119=0,0,'TANKS Calculations'!F146+'TANKS Calculations'!F147)*'TANKS Calculations'!F53</f>
        <v>0</v>
      </c>
      <c r="C295" s="227" t="s">
        <v>9927</v>
      </c>
      <c r="D295" s="260">
        <f>B295*'TANKS Calculations'!$F$119</f>
        <v>0</v>
      </c>
      <c r="E295" s="227" t="s">
        <v>9895</v>
      </c>
      <c r="F295" s="224"/>
      <c r="G295" s="224"/>
      <c r="H295" s="224"/>
      <c r="I295" s="224"/>
      <c r="J295" s="224"/>
      <c r="K295" s="224"/>
      <c r="L295" s="224"/>
      <c r="M295" s="224"/>
      <c r="N295" s="224"/>
      <c r="O295" s="224"/>
      <c r="P295" s="224"/>
      <c r="Q295" s="224"/>
    </row>
    <row r="296" spans="1:17" ht="32.25" thickBot="1" x14ac:dyDescent="0.35">
      <c r="A296" s="171" t="s">
        <v>9929</v>
      </c>
      <c r="B296" s="318">
        <f>B294+B295</f>
        <v>0</v>
      </c>
      <c r="C296" s="231" t="s">
        <v>9927</v>
      </c>
      <c r="D296" s="318">
        <f>D294+D295</f>
        <v>0</v>
      </c>
      <c r="E296" s="231" t="s">
        <v>9895</v>
      </c>
      <c r="F296" s="224"/>
      <c r="G296" s="224"/>
      <c r="H296" s="224"/>
      <c r="I296" s="224"/>
      <c r="J296" s="224"/>
      <c r="K296" s="224"/>
      <c r="L296" s="224"/>
      <c r="M296" s="224"/>
      <c r="N296" s="224"/>
      <c r="O296" s="224"/>
      <c r="P296" s="224"/>
      <c r="Q296" s="224"/>
    </row>
    <row r="297" spans="1:17" ht="56.25" customHeight="1" thickBot="1" x14ac:dyDescent="0.3">
      <c r="A297" s="152" t="s">
        <v>9930</v>
      </c>
      <c r="B297" s="320">
        <f>D296+B291+B275</f>
        <v>0</v>
      </c>
      <c r="C297" s="313" t="s">
        <v>9895</v>
      </c>
      <c r="D297" s="320">
        <f>B297/2000</f>
        <v>0</v>
      </c>
      <c r="E297" s="313" t="s">
        <v>9907</v>
      </c>
      <c r="F297" s="224"/>
      <c r="G297" s="224"/>
      <c r="H297" s="224"/>
      <c r="I297" s="224"/>
      <c r="J297" s="224"/>
      <c r="K297" s="224"/>
      <c r="L297" s="224"/>
      <c r="M297" s="224"/>
      <c r="N297" s="224"/>
      <c r="O297" s="224"/>
      <c r="P297" s="224"/>
      <c r="Q297" s="224"/>
    </row>
    <row r="298" spans="1:17" ht="30" customHeight="1" thickBot="1" x14ac:dyDescent="0.25">
      <c r="A298" s="1376" t="s">
        <v>8411</v>
      </c>
      <c r="B298" s="1376"/>
      <c r="C298" s="1376"/>
      <c r="D298" s="1376"/>
      <c r="E298" s="1376"/>
      <c r="F298" s="224"/>
      <c r="G298" s="224"/>
      <c r="H298" s="224"/>
      <c r="I298" s="224"/>
      <c r="J298" s="224"/>
      <c r="K298" s="224"/>
      <c r="L298" s="224"/>
      <c r="M298" s="224"/>
      <c r="N298" s="224"/>
      <c r="O298" s="224"/>
      <c r="P298" s="224"/>
      <c r="Q298" s="224"/>
    </row>
    <row r="299" spans="1:17" ht="45" customHeight="1" thickBot="1" x14ac:dyDescent="0.3">
      <c r="A299" s="1352" t="s">
        <v>9931</v>
      </c>
      <c r="B299" s="1353"/>
      <c r="C299" s="1353"/>
      <c r="D299" s="1353"/>
      <c r="E299" s="1353"/>
      <c r="F299" s="1353"/>
      <c r="G299" s="1353"/>
      <c r="H299" s="1353"/>
      <c r="I299" s="1353"/>
      <c r="J299" s="1353"/>
      <c r="K299" s="1353"/>
      <c r="L299" s="1353"/>
      <c r="M299" s="1353"/>
      <c r="N299" s="1353"/>
      <c r="O299" s="1353"/>
      <c r="P299" s="1353"/>
      <c r="Q299" s="1354"/>
    </row>
    <row r="300" spans="1:17" ht="20.100000000000001" customHeight="1" x14ac:dyDescent="0.25">
      <c r="A300" s="146" t="s">
        <v>9502</v>
      </c>
      <c r="B300" s="147" t="s">
        <v>9503</v>
      </c>
      <c r="C300" s="148" t="s">
        <v>9504</v>
      </c>
      <c r="D300" s="148" t="s">
        <v>9505</v>
      </c>
      <c r="E300" s="148" t="s">
        <v>9506</v>
      </c>
      <c r="F300" s="148" t="s">
        <v>9507</v>
      </c>
      <c r="G300" s="148" t="s">
        <v>9508</v>
      </c>
      <c r="H300" s="148" t="s">
        <v>9509</v>
      </c>
      <c r="I300" s="148" t="s">
        <v>9510</v>
      </c>
      <c r="J300" s="148" t="s">
        <v>9511</v>
      </c>
      <c r="K300" s="150" t="s">
        <v>9512</v>
      </c>
      <c r="L300" s="148" t="s">
        <v>9513</v>
      </c>
      <c r="M300" s="148" t="s">
        <v>9514</v>
      </c>
      <c r="N300" s="150" t="s">
        <v>9515</v>
      </c>
      <c r="O300" s="148" t="s">
        <v>9516</v>
      </c>
      <c r="P300" s="148" t="s">
        <v>9517</v>
      </c>
      <c r="Q300" s="146" t="s">
        <v>1</v>
      </c>
    </row>
    <row r="301" spans="1:17" ht="20.100000000000001" customHeight="1" x14ac:dyDescent="0.2">
      <c r="A301" s="228" t="s">
        <v>9932</v>
      </c>
      <c r="B301" s="280" t="str">
        <f t="shared" ref="B301:P301" si="8">IF(ISBLANK(B18),"",B18)</f>
        <v/>
      </c>
      <c r="C301" s="280" t="str">
        <f t="shared" si="8"/>
        <v/>
      </c>
      <c r="D301" s="280" t="str">
        <f t="shared" si="8"/>
        <v/>
      </c>
      <c r="E301" s="280" t="str">
        <f t="shared" si="8"/>
        <v/>
      </c>
      <c r="F301" s="280" t="str">
        <f t="shared" si="8"/>
        <v/>
      </c>
      <c r="G301" s="280" t="str">
        <f t="shared" si="8"/>
        <v/>
      </c>
      <c r="H301" s="280" t="str">
        <f t="shared" si="8"/>
        <v/>
      </c>
      <c r="I301" s="280" t="str">
        <f t="shared" si="8"/>
        <v/>
      </c>
      <c r="J301" s="280" t="str">
        <f t="shared" si="8"/>
        <v/>
      </c>
      <c r="K301" s="280" t="str">
        <f t="shared" si="8"/>
        <v/>
      </c>
      <c r="L301" s="280" t="str">
        <f t="shared" si="8"/>
        <v/>
      </c>
      <c r="M301" s="280" t="str">
        <f t="shared" si="8"/>
        <v/>
      </c>
      <c r="N301" s="280" t="str">
        <f t="shared" si="8"/>
        <v/>
      </c>
      <c r="O301" s="280" t="str">
        <f t="shared" si="8"/>
        <v/>
      </c>
      <c r="P301" s="280" t="str">
        <f t="shared" si="8"/>
        <v/>
      </c>
      <c r="Q301" s="232"/>
    </row>
    <row r="302" spans="1:17" ht="20.100000000000001" customHeight="1" x14ac:dyDescent="0.2">
      <c r="A302" s="233" t="s">
        <v>9933</v>
      </c>
      <c r="B302" s="252" t="str">
        <f>IF(ISBLANK(B18),"",'TANKS Calculations'!H118)</f>
        <v/>
      </c>
      <c r="C302" s="252" t="str">
        <f>IF(ISBLANK(C18),"",'TANKS Calculations'!I118)</f>
        <v/>
      </c>
      <c r="D302" s="252" t="str">
        <f>IF(ISBLANK(D18),"",'TANKS Calculations'!J118)</f>
        <v/>
      </c>
      <c r="E302" s="252" t="str">
        <f>IF(ISBLANK(E18),"",'TANKS Calculations'!K118)</f>
        <v/>
      </c>
      <c r="F302" s="252" t="str">
        <f>IF(ISBLANK(F18),"",'TANKS Calculations'!L118)</f>
        <v/>
      </c>
      <c r="G302" s="252" t="str">
        <f>IF(ISBLANK(G18),"",'TANKS Calculations'!M118)</f>
        <v/>
      </c>
      <c r="H302" s="252" t="str">
        <f>IF(ISBLANK(H18),"",'TANKS Calculations'!N118)</f>
        <v/>
      </c>
      <c r="I302" s="252" t="str">
        <f>IF(ISBLANK(I18),"",'TANKS Calculations'!O118)</f>
        <v/>
      </c>
      <c r="J302" s="252" t="str">
        <f>IF(ISBLANK(J18),"",'TANKS Calculations'!P118)</f>
        <v/>
      </c>
      <c r="K302" s="252" t="str">
        <f>IF(ISBLANK(K18),"",'TANKS Calculations'!Q118)</f>
        <v/>
      </c>
      <c r="L302" s="252" t="str">
        <f>IF(ISBLANK(L18),"",'TANKS Calculations'!R118)</f>
        <v/>
      </c>
      <c r="M302" s="252" t="str">
        <f>IF(ISBLANK(M18),"",'TANKS Calculations'!S118)</f>
        <v/>
      </c>
      <c r="N302" s="252" t="str">
        <f>IF(ISBLANK(N18),"",'TANKS Calculations'!T118)</f>
        <v/>
      </c>
      <c r="O302" s="252" t="str">
        <f>IF(ISBLANK(O18),"",'TANKS Calculations'!U118)</f>
        <v/>
      </c>
      <c r="P302" s="252" t="str">
        <f>IF(ISBLANK(P18),"",'TANKS Calculations'!V118)</f>
        <v/>
      </c>
      <c r="Q302" s="288">
        <f>SUM(B302:P302)</f>
        <v>0</v>
      </c>
    </row>
    <row r="303" spans="1:17" ht="20.100000000000001" customHeight="1" x14ac:dyDescent="0.2">
      <c r="A303" s="233" t="s">
        <v>9934</v>
      </c>
      <c r="B303" s="277" t="str">
        <f>IF(ISBLANK(B18),"",'TANKS Calculations'!H130)</f>
        <v/>
      </c>
      <c r="C303" s="252" t="str">
        <f>IF(ISBLANK(C18),"",'TANKS Calculations'!I130)</f>
        <v/>
      </c>
      <c r="D303" s="252" t="str">
        <f>IF(ISBLANK(D18),"",'TANKS Calculations'!J130)</f>
        <v/>
      </c>
      <c r="E303" s="252" t="str">
        <f>IF(ISBLANK(E18),"",'TANKS Calculations'!K130)</f>
        <v/>
      </c>
      <c r="F303" s="252" t="str">
        <f>IF(ISBLANK(F18),"",'TANKS Calculations'!L130)</f>
        <v/>
      </c>
      <c r="G303" s="252" t="str">
        <f>IF(ISBLANK(G18),"",'TANKS Calculations'!M130)</f>
        <v/>
      </c>
      <c r="H303" s="252" t="str">
        <f>IF(ISBLANK(H18),"",'TANKS Calculations'!N130)</f>
        <v/>
      </c>
      <c r="I303" s="252" t="str">
        <f>IF(ISBLANK(I18),"",'TANKS Calculations'!O130)</f>
        <v/>
      </c>
      <c r="J303" s="252" t="str">
        <f>IF(ISBLANK(J18),"",'TANKS Calculations'!P130)</f>
        <v/>
      </c>
      <c r="K303" s="252" t="str">
        <f>IF(ISBLANK(K18),"",'TANKS Calculations'!Q130)</f>
        <v/>
      </c>
      <c r="L303" s="252" t="str">
        <f>IF(ISBLANK(L18),"",'TANKS Calculations'!R130)</f>
        <v/>
      </c>
      <c r="M303" s="252" t="str">
        <f>IF(ISBLANK(M18),"",'TANKS Calculations'!S130)</f>
        <v/>
      </c>
      <c r="N303" s="252" t="str">
        <f>IF(ISBLANK(N18),"",'TANKS Calculations'!T130)</f>
        <v/>
      </c>
      <c r="O303" s="252" t="str">
        <f>IF(ISBLANK(O18),"",'TANKS Calculations'!U130)</f>
        <v/>
      </c>
      <c r="P303" s="252" t="str">
        <f>IF(ISBLANK(P18),"",'TANKS Calculations'!V130)</f>
        <v/>
      </c>
      <c r="Q303" s="288">
        <f>SUM(B303:P303)</f>
        <v>0</v>
      </c>
    </row>
    <row r="304" spans="1:17" ht="20.100000000000001" customHeight="1" x14ac:dyDescent="0.2">
      <c r="A304" s="233" t="s">
        <v>9935</v>
      </c>
      <c r="B304" s="252" t="str">
        <f>IF(ISBLANK(B18),"",'TANKS Calculations'!H133)</f>
        <v/>
      </c>
      <c r="C304" s="252" t="str">
        <f>IF(ISBLANK(C18),"",'TANKS Calculations'!I133)</f>
        <v/>
      </c>
      <c r="D304" s="252" t="str">
        <f>IF(ISBLANK(D18),"",'TANKS Calculations'!J133)</f>
        <v/>
      </c>
      <c r="E304" s="252" t="str">
        <f>IF(ISBLANK(E18),"",'TANKS Calculations'!K133)</f>
        <v/>
      </c>
      <c r="F304" s="252" t="str">
        <f>IF(ISBLANK(F18),"",'TANKS Calculations'!L133)</f>
        <v/>
      </c>
      <c r="G304" s="252" t="str">
        <f>IF(ISBLANK(G18),"",'TANKS Calculations'!M133)</f>
        <v/>
      </c>
      <c r="H304" s="252" t="str">
        <f>IF(ISBLANK(H18),"",'TANKS Calculations'!N133)</f>
        <v/>
      </c>
      <c r="I304" s="252" t="str">
        <f>IF(ISBLANK(I18),"",'TANKS Calculations'!O133)</f>
        <v/>
      </c>
      <c r="J304" s="252" t="str">
        <f>IF(ISBLANK(J18),"",'TANKS Calculations'!P133)</f>
        <v/>
      </c>
      <c r="K304" s="252" t="str">
        <f>IF(ISBLANK(K18),"",'TANKS Calculations'!Q133)</f>
        <v/>
      </c>
      <c r="L304" s="252" t="str">
        <f>IF(ISBLANK(L18),"",'TANKS Calculations'!R133)</f>
        <v/>
      </c>
      <c r="M304" s="252" t="str">
        <f>IF(ISBLANK(M18),"",'TANKS Calculations'!S133)</f>
        <v/>
      </c>
      <c r="N304" s="252" t="str">
        <f>IF(ISBLANK(N18),"",'TANKS Calculations'!T133)</f>
        <v/>
      </c>
      <c r="O304" s="252" t="str">
        <f>IF(ISBLANK(O18),"",'TANKS Calculations'!U133)</f>
        <v/>
      </c>
      <c r="P304" s="252" t="str">
        <f>IF(ISBLANK(P18),"",'TANKS Calculations'!V133)</f>
        <v/>
      </c>
      <c r="Q304" s="288">
        <f>SUM(B304:P304)</f>
        <v>0</v>
      </c>
    </row>
    <row r="305" spans="1:17" ht="20.100000000000001" customHeight="1" thickBot="1" x14ac:dyDescent="0.25">
      <c r="A305" s="240" t="s">
        <v>9936</v>
      </c>
      <c r="B305" s="258" t="str">
        <f t="shared" ref="B305:P305" si="9">IF(ISBLANK(B18),"",IFERROR(B303*B302/$Q$304,0))</f>
        <v/>
      </c>
      <c r="C305" s="258" t="str">
        <f t="shared" si="9"/>
        <v/>
      </c>
      <c r="D305" s="258" t="str">
        <f t="shared" si="9"/>
        <v/>
      </c>
      <c r="E305" s="258" t="str">
        <f t="shared" si="9"/>
        <v/>
      </c>
      <c r="F305" s="258" t="str">
        <f t="shared" si="9"/>
        <v/>
      </c>
      <c r="G305" s="258" t="str">
        <f t="shared" si="9"/>
        <v/>
      </c>
      <c r="H305" s="258" t="str">
        <f t="shared" si="9"/>
        <v/>
      </c>
      <c r="I305" s="258" t="str">
        <f t="shared" si="9"/>
        <v/>
      </c>
      <c r="J305" s="258" t="str">
        <f t="shared" si="9"/>
        <v/>
      </c>
      <c r="K305" s="258" t="str">
        <f t="shared" si="9"/>
        <v/>
      </c>
      <c r="L305" s="258" t="str">
        <f t="shared" si="9"/>
        <v/>
      </c>
      <c r="M305" s="258" t="str">
        <f t="shared" si="9"/>
        <v/>
      </c>
      <c r="N305" s="258" t="str">
        <f t="shared" si="9"/>
        <v/>
      </c>
      <c r="O305" s="258" t="str">
        <f t="shared" si="9"/>
        <v/>
      </c>
      <c r="P305" s="258" t="str">
        <f t="shared" si="9"/>
        <v/>
      </c>
      <c r="Q305" s="321">
        <f>SUM(B305:P305)</f>
        <v>0</v>
      </c>
    </row>
    <row r="306" spans="1:17" ht="20.100000000000001" customHeight="1" thickBot="1" x14ac:dyDescent="0.25">
      <c r="A306" s="322" t="s">
        <v>9937</v>
      </c>
      <c r="B306" s="312" t="str">
        <f t="shared" ref="B306:P306" si="10">IF(ISBLANK(B18),"",$B$297)</f>
        <v/>
      </c>
      <c r="C306" s="312" t="str">
        <f t="shared" si="10"/>
        <v/>
      </c>
      <c r="D306" s="312" t="str">
        <f t="shared" si="10"/>
        <v/>
      </c>
      <c r="E306" s="312" t="str">
        <f t="shared" si="10"/>
        <v/>
      </c>
      <c r="F306" s="312" t="str">
        <f t="shared" si="10"/>
        <v/>
      </c>
      <c r="G306" s="312" t="str">
        <f t="shared" si="10"/>
        <v/>
      </c>
      <c r="H306" s="312" t="str">
        <f t="shared" si="10"/>
        <v/>
      </c>
      <c r="I306" s="312" t="str">
        <f t="shared" si="10"/>
        <v/>
      </c>
      <c r="J306" s="312" t="str">
        <f t="shared" si="10"/>
        <v/>
      </c>
      <c r="K306" s="312" t="str">
        <f t="shared" si="10"/>
        <v/>
      </c>
      <c r="L306" s="312" t="str">
        <f t="shared" si="10"/>
        <v/>
      </c>
      <c r="M306" s="312" t="str">
        <f t="shared" si="10"/>
        <v/>
      </c>
      <c r="N306" s="312" t="str">
        <f t="shared" si="10"/>
        <v/>
      </c>
      <c r="O306" s="312" t="str">
        <f t="shared" si="10"/>
        <v/>
      </c>
      <c r="P306" s="312" t="str">
        <f t="shared" si="10"/>
        <v/>
      </c>
      <c r="Q306" s="323"/>
    </row>
    <row r="307" spans="1:17" ht="20.100000000000001" customHeight="1" x14ac:dyDescent="0.2">
      <c r="A307" s="237" t="s">
        <v>9938</v>
      </c>
      <c r="B307" s="315" t="str">
        <f t="shared" ref="B307:P307" si="11">IF(ISBLANK(B18),"",B305*B306)</f>
        <v/>
      </c>
      <c r="C307" s="315" t="str">
        <f t="shared" si="11"/>
        <v/>
      </c>
      <c r="D307" s="315" t="str">
        <f t="shared" si="11"/>
        <v/>
      </c>
      <c r="E307" s="315" t="str">
        <f t="shared" si="11"/>
        <v/>
      </c>
      <c r="F307" s="315" t="str">
        <f t="shared" si="11"/>
        <v/>
      </c>
      <c r="G307" s="315" t="str">
        <f t="shared" si="11"/>
        <v/>
      </c>
      <c r="H307" s="315" t="str">
        <f t="shared" si="11"/>
        <v/>
      </c>
      <c r="I307" s="315" t="str">
        <f t="shared" si="11"/>
        <v/>
      </c>
      <c r="J307" s="315" t="str">
        <f t="shared" si="11"/>
        <v/>
      </c>
      <c r="K307" s="315" t="str">
        <f t="shared" si="11"/>
        <v/>
      </c>
      <c r="L307" s="315" t="str">
        <f t="shared" si="11"/>
        <v/>
      </c>
      <c r="M307" s="315" t="str">
        <f t="shared" si="11"/>
        <v/>
      </c>
      <c r="N307" s="315" t="str">
        <f t="shared" si="11"/>
        <v/>
      </c>
      <c r="O307" s="315" t="str">
        <f t="shared" si="11"/>
        <v/>
      </c>
      <c r="P307" s="315" t="str">
        <f t="shared" si="11"/>
        <v/>
      </c>
      <c r="Q307" s="324">
        <f>SUM(B307:P307)</f>
        <v>0</v>
      </c>
    </row>
    <row r="308" spans="1:17" ht="20.100000000000001" customHeight="1" thickBot="1" x14ac:dyDescent="0.25">
      <c r="A308" s="317" t="s">
        <v>9939</v>
      </c>
      <c r="B308" s="290" t="str">
        <f t="shared" ref="B308:P308" si="12">IF(ISBLANK(B18),"",B307/2000)</f>
        <v/>
      </c>
      <c r="C308" s="290" t="str">
        <f t="shared" si="12"/>
        <v/>
      </c>
      <c r="D308" s="290" t="str">
        <f t="shared" si="12"/>
        <v/>
      </c>
      <c r="E308" s="290" t="str">
        <f t="shared" si="12"/>
        <v/>
      </c>
      <c r="F308" s="290" t="str">
        <f t="shared" si="12"/>
        <v/>
      </c>
      <c r="G308" s="290" t="str">
        <f t="shared" si="12"/>
        <v/>
      </c>
      <c r="H308" s="290" t="str">
        <f t="shared" si="12"/>
        <v/>
      </c>
      <c r="I308" s="290" t="str">
        <f t="shared" si="12"/>
        <v/>
      </c>
      <c r="J308" s="290" t="str">
        <f t="shared" si="12"/>
        <v/>
      </c>
      <c r="K308" s="290" t="str">
        <f t="shared" si="12"/>
        <v/>
      </c>
      <c r="L308" s="290" t="str">
        <f t="shared" si="12"/>
        <v/>
      </c>
      <c r="M308" s="290" t="str">
        <f t="shared" si="12"/>
        <v/>
      </c>
      <c r="N308" s="290" t="str">
        <f t="shared" si="12"/>
        <v/>
      </c>
      <c r="O308" s="290" t="str">
        <f t="shared" si="12"/>
        <v/>
      </c>
      <c r="P308" s="290" t="str">
        <f t="shared" si="12"/>
        <v/>
      </c>
      <c r="Q308" s="325">
        <f>SUM(B308:P308)</f>
        <v>0</v>
      </c>
    </row>
    <row r="309" spans="1:17" x14ac:dyDescent="0.2">
      <c r="A309" s="1378" t="s">
        <v>8455</v>
      </c>
      <c r="B309" s="1378"/>
      <c r="C309" s="1378"/>
      <c r="D309" s="1378"/>
      <c r="E309" s="1378"/>
    </row>
  </sheetData>
  <sheetProtection algorithmName="SHA-512" hashValue="KDObHc0pKAgQj7twXg+16ikF11tKrgdhGhCYZdn5vx2+EB7Jwcp1Omk0m3Ju7Jm9jTTn3SxVRpX/nrP9KdYAgA==" saltValue="V6GFXbMGEXNR08c2MKqIGA==" spinCount="100000" sheet="1" objects="1" scenarios="1" formatColumns="0" formatRows="0" autoFilter="0"/>
  <mergeCells count="81">
    <mergeCell ref="A309:E309"/>
    <mergeCell ref="A1:G1"/>
    <mergeCell ref="A92:D92"/>
    <mergeCell ref="A93:D93"/>
    <mergeCell ref="A94:D94"/>
    <mergeCell ref="A179:D179"/>
    <mergeCell ref="A211:D211"/>
    <mergeCell ref="A237:D237"/>
    <mergeCell ref="A259:D259"/>
    <mergeCell ref="A268:D268"/>
    <mergeCell ref="A157:B157"/>
    <mergeCell ref="C157:D157"/>
    <mergeCell ref="A2:Q2"/>
    <mergeCell ref="A3:Q3"/>
    <mergeCell ref="A4:C4"/>
    <mergeCell ref="A16:Q16"/>
    <mergeCell ref="A28:D28"/>
    <mergeCell ref="A15:D15"/>
    <mergeCell ref="A27:D27"/>
    <mergeCell ref="A118:D118"/>
    <mergeCell ref="A95:Q95"/>
    <mergeCell ref="A119:D119"/>
    <mergeCell ref="A129:D129"/>
    <mergeCell ref="A139:D139"/>
    <mergeCell ref="A156:L156"/>
    <mergeCell ref="A128:D128"/>
    <mergeCell ref="A138:D138"/>
    <mergeCell ref="A155:D155"/>
    <mergeCell ref="A158:B158"/>
    <mergeCell ref="C158:D158"/>
    <mergeCell ref="A159:B159"/>
    <mergeCell ref="C159:D159"/>
    <mergeCell ref="A160:B160"/>
    <mergeCell ref="C160:D160"/>
    <mergeCell ref="A161:B161"/>
    <mergeCell ref="C161:D161"/>
    <mergeCell ref="A162:B162"/>
    <mergeCell ref="C162:D162"/>
    <mergeCell ref="A163:B163"/>
    <mergeCell ref="C163:D163"/>
    <mergeCell ref="A164:B164"/>
    <mergeCell ref="C164:D164"/>
    <mergeCell ref="A165:B165"/>
    <mergeCell ref="C165:D165"/>
    <mergeCell ref="A166:B166"/>
    <mergeCell ref="C166:D166"/>
    <mergeCell ref="A167:B167"/>
    <mergeCell ref="C167:D167"/>
    <mergeCell ref="A168:B168"/>
    <mergeCell ref="C168:D168"/>
    <mergeCell ref="A169:B169"/>
    <mergeCell ref="C169:D169"/>
    <mergeCell ref="A170:B170"/>
    <mergeCell ref="C170:D170"/>
    <mergeCell ref="A171:B171"/>
    <mergeCell ref="C171:D171"/>
    <mergeCell ref="A172:B172"/>
    <mergeCell ref="C172:D172"/>
    <mergeCell ref="A173:B173"/>
    <mergeCell ref="C173:D173"/>
    <mergeCell ref="A174:B174"/>
    <mergeCell ref="C174:D174"/>
    <mergeCell ref="A175:B175"/>
    <mergeCell ref="C175:D175"/>
    <mergeCell ref="A176:B176"/>
    <mergeCell ref="C176:D176"/>
    <mergeCell ref="A177:B177"/>
    <mergeCell ref="C177:D177"/>
    <mergeCell ref="A178:B178"/>
    <mergeCell ref="C178:D178"/>
    <mergeCell ref="A269:E269"/>
    <mergeCell ref="A276:E276"/>
    <mergeCell ref="A292:E292"/>
    <mergeCell ref="A299:Q299"/>
    <mergeCell ref="A180:D180"/>
    <mergeCell ref="A196:D196"/>
    <mergeCell ref="A204:D204"/>
    <mergeCell ref="A212:D212"/>
    <mergeCell ref="A238:D238"/>
    <mergeCell ref="A260:D260"/>
    <mergeCell ref="A298:E298"/>
  </mergeCells>
  <conditionalFormatting sqref="A34:D34">
    <cfRule type="expression" dxfId="223" priority="19">
      <formula>$C$33="horizontal"</formula>
    </cfRule>
  </conditionalFormatting>
  <conditionalFormatting sqref="A35:D37 A39:D39">
    <cfRule type="expression" dxfId="222" priority="18">
      <formula>$C$33="Vertical"</formula>
    </cfRule>
  </conditionalFormatting>
  <conditionalFormatting sqref="A47:D48">
    <cfRule type="expression" dxfId="221" priority="17">
      <formula>$C$45="No"</formula>
    </cfRule>
  </conditionalFormatting>
  <conditionalFormatting sqref="A59:D59">
    <cfRule type="expression" dxfId="220" priority="14">
      <formula>$C$58="Dome"</formula>
    </cfRule>
  </conditionalFormatting>
  <conditionalFormatting sqref="A60:D60">
    <cfRule type="expression" dxfId="219" priority="13">
      <formula>$C$58="Cone"</formula>
    </cfRule>
  </conditionalFormatting>
  <conditionalFormatting sqref="A67:D68 A140:D154 A157:L178 A181:D210 A277:E291">
    <cfRule type="expression" dxfId="218" priority="15">
      <formula>$B$12="Fixed"</formula>
    </cfRule>
  </conditionalFormatting>
  <conditionalFormatting sqref="A130:D137 A270:E275">
    <cfRule type="expression" dxfId="217" priority="16">
      <formula>$B$12="Floating"</formula>
    </cfRule>
  </conditionalFormatting>
  <conditionalFormatting sqref="A197:D203">
    <cfRule type="expression" dxfId="216" priority="11">
      <formula>$C$190="Drain dry"</formula>
    </cfRule>
  </conditionalFormatting>
  <conditionalFormatting sqref="A201:D202">
    <cfRule type="expression" dxfId="215" priority="10">
      <formula>NOT(OR($C$68="Internal Floating Roof",ISBLANK($C$68)))</formula>
    </cfRule>
  </conditionalFormatting>
  <conditionalFormatting sqref="A206:D206">
    <cfRule type="expression" dxfId="214" priority="9">
      <formula>RIGHT($C$190,11)="liquid heel"</formula>
    </cfRule>
  </conditionalFormatting>
  <conditionalFormatting sqref="A215:D236 A293:E296">
    <cfRule type="expression" dxfId="213" priority="8">
      <formula>AND($C$214=0,ISNUMBER($C$214))</formula>
    </cfRule>
  </conditionalFormatting>
  <conditionalFormatting sqref="A241:D258 A272:E272 A282:E282">
    <cfRule type="expression" dxfId="212" priority="7">
      <formula>$C$240="No"</formula>
    </cfRule>
  </conditionalFormatting>
  <conditionalFormatting sqref="A242:D244">
    <cfRule type="expression" dxfId="211" priority="5">
      <formula>NOT(OR(ISBLANK($C$241),$C$241="Laboratory GOR"))</formula>
    </cfRule>
  </conditionalFormatting>
  <conditionalFormatting sqref="A245:D257">
    <cfRule type="expression" dxfId="210" priority="4">
      <formula>NOT(OR(ISBLANK($C$241),$C$241="Vasquez-Beggs Equation"))</formula>
    </cfRule>
  </conditionalFormatting>
  <conditionalFormatting sqref="A263:D267 A273:E273 A284:E284">
    <cfRule type="expression" dxfId="209" priority="3">
      <formula>$C$262="No"</formula>
    </cfRule>
  </conditionalFormatting>
  <conditionalFormatting sqref="A3:Q3">
    <cfRule type="expression" dxfId="208" priority="1" stopIfTrue="1">
      <formula>NOT(ISBLANK($F$4))</formula>
    </cfRule>
  </conditionalFormatting>
  <dataValidations disablePrompts="1" count="187">
    <dataValidation type="list" allowBlank="1" showErrorMessage="1" prompt="Is this chemical a crude petroleum product? Select yes or no." sqref="B19:P19" xr:uid="{A23E108D-EF73-430F-9AD0-93FCBA1517EC}">
      <formula1>"Yes, No"</formula1>
    </dataValidation>
    <dataValidation type="list" allowBlank="1" showErrorMessage="1" prompt="Is the tank fully insulated? Select from the dropdown &quot;Not Insulated&quot;, &quot;Partially Insulated&quot;, or &quot;Fully Insulated&quot;." sqref="C69" xr:uid="{697C5132-C671-4400-AD7C-5D1E815655F0}">
      <formula1>"Not Insulated,Partially Insulated,Fully Insulated"</formula1>
    </dataValidation>
    <dataValidation type="list" allowBlank="1" showInputMessage="1" showErrorMessage="1" sqref="C69" xr:uid="{C86B73BC-B4E6-4820-87D9-E4E6445464DA}">
      <formula1>"Not Insulated,Partially Insulated,Fully Insulated"</formula1>
    </dataValidation>
    <dataValidation type="list" allowBlank="1" showInputMessage="1" showErrorMessage="1" sqref="C297 C269:C291" xr:uid="{C8131F4F-36DC-4531-8A5D-9266DD2E772C}">
      <formula1>"Fixed, Floating"</formula1>
    </dataValidation>
    <dataValidation allowBlank="1" showInputMessage="1" showErrorMessage="1" prompt="Yellow cell" sqref="C297 E157 C269:C291" xr:uid="{C90A4CCC-E3BC-44BA-AD74-3BDCE5F4C33C}"/>
    <dataValidation type="list" allowBlank="1" showErrorMessage="1" prompt="What type of roof does this tank have? Select or enter &quot;Fixed&quot; or &quot;Floating&quot; from the drop-down menu." sqref="B12" xr:uid="{DD648C8B-6913-42FC-87DA-66A1E6B6F7C6}">
      <formula1>"Fixed, Floating"</formula1>
    </dataValidation>
    <dataValidation allowBlank="1" showErrorMessage="1" prompt="Enter the city (or nearest city to) where the site is located:" sqref="B13" xr:uid="{54463FB9-933E-4904-AD1B-6778C907F4D3}"/>
    <dataValidation allowBlank="1" showErrorMessage="1" prompt="Enter the Weight Fraction in Mixture:" sqref="B20:P20" xr:uid="{C96B28BD-E933-439E-BAAF-C7535225AE12}"/>
    <dataValidation allowBlank="1" showErrorMessage="1" prompt="Enter the actual liquid density if the calculated liquid density (above) is inaccurate." sqref="B22:P22" xr:uid="{FB503DCF-C720-4B9E-9D16-853DD1E0B664}"/>
    <dataValidation allowBlank="1" showErrorMessage="1" prompt="Enter the actual working loss product factor if the calculated working loss product factor (above) is inaccurate." sqref="B24:P24" xr:uid="{25FB4488-1BE0-49BB-816C-BAA1FFE66910}"/>
    <dataValidation allowBlank="1" showErrorMessage="1" prompt="Enter the actual molecular weight of this contituent if the calculated molecular weight of this contituent (above) is inaccurate." sqref="B26:P26" xr:uid="{F903A34E-E5E9-4AEC-A64A-D81D15FC8A2E}"/>
    <dataValidation allowBlank="1" showErrorMessage="1" prompt="Enter the working loss turnover factor, if necessary:" sqref="C53" xr:uid="{EECEB566-2AEF-44C8-B006-A5751E0161C5}"/>
    <dataValidation allowBlank="1" showErrorMessage="1" prompt="Enter the net working loss throughput (VQ), if necessary:" sqref="C52" xr:uid="{18029C76-67EE-4A09-B599-C8D809D0BC6D}"/>
    <dataValidation allowBlank="1" showErrorMessage="1" prompt="Enter the annual net throughput (Q), in gallons per year." sqref="C50:C51" xr:uid="{9845263A-872A-4F3B-A58B-EE364181103F}"/>
    <dataValidation allowBlank="1" showErrorMessage="1" prompt="Enter the number of turnovers per year:" sqref="C49" xr:uid="{4B0F5A28-3A3A-469E-8ADB-98AE57194654}"/>
    <dataValidation allowBlank="1" showErrorMessage="1" prompt="Enter the annual sum of the decreases in liquid (ΣHQI), if necessary:" sqref="C48" xr:uid="{1A0EFBA0-D1EA-44F7-83F5-71CBD5311358}"/>
    <dataValidation allowBlank="1" showErrorMessage="1" prompt="Enter the annual sum of the increases in liquid (ΣHQI), if necessary:" sqref="C47" xr:uid="{0B760FDB-7933-4B12-A9E8-55C222D2B975}"/>
    <dataValidation type="list" allowBlank="1" showErrorMessage="1" prompt="Is liquid pumped in at the same time as it is pumped out? Select or enter &quot;Yes&quot; or &quot;No&quot;." sqref="C46" xr:uid="{3BB3E235-BA27-4D4C-BAA2-A326B0748756}">
      <formula1>"Yes,No"</formula1>
    </dataValidation>
    <dataValidation type="list" allowBlank="1" showErrorMessage="1" prompt="Is the annual sum of the increases and decreases in liquid (ΣHQI and ΣHQD) known? Select or enter &quot;Yes&quot; or &quot;No&quot;." sqref="C45" xr:uid="{9F9E84E3-E38F-4C06-B280-4C015AE07C9C}">
      <formula1>"Yes,No"</formula1>
    </dataValidation>
    <dataValidation allowBlank="1" showErrorMessage="1" prompt="Enter the volume of the tank." sqref="C44" xr:uid="{7E1FB7F8-DCBB-4447-99B0-8893695C65E2}"/>
    <dataValidation allowBlank="1" showErrorMessage="1" prompt="Enter the average liquid height:" sqref="C43" xr:uid="{167A6D37-386A-40AD-9D40-197358C10189}"/>
    <dataValidation allowBlank="1" showErrorMessage="1" prompt="Enter the minimum liquid height:" sqref="C42" xr:uid="{0A2DC3D2-DFDB-4D44-8C1B-D4F7589DA907}"/>
    <dataValidation allowBlank="1" showErrorMessage="1" prompt="Enter the maximum liquid height:" sqref="C41" xr:uid="{D8B52FDB-3B9D-4738-9A5A-AFEB4D3539C8}"/>
    <dataValidation allowBlank="1" showErrorMessage="1" prompt="Enter the tank shell height:" sqref="C40" xr:uid="{91D0893C-EA6B-49DC-ABC8-A8A43A298984}"/>
    <dataValidation allowBlank="1" showErrorMessage="1" prompt="If the tank is horizontal, enter the effective height (hE), if necessary:" sqref="C39" xr:uid="{132A6468-ADBE-4C2B-9408-99E7A664A589}"/>
    <dataValidation allowBlank="1" showErrorMessage="1" prompt="Enter the effective diameter (DE), if necessary:" sqref="C38" xr:uid="{5F329931-66C6-4B35-BC08-429C22E28CBD}"/>
    <dataValidation allowBlank="1" showErrorMessage="1" prompt="If the tank is horizontal, what is the length of the tank?" sqref="C37" xr:uid="{6D64BEB9-A815-47C7-9C61-C36AB0BF14B1}"/>
    <dataValidation allowBlank="1" showErrorMessage="1" prompt="If the tank is horizontal, what is the diameter of the vertical cross-section?" sqref="C36" xr:uid="{AF07968B-C259-4B71-BF85-40A2737EE5D5}"/>
    <dataValidation type="list" allowBlank="1" showErrorMessage="1" prompt="If the tank is horizontal, is the storage tank underground?" sqref="C35" xr:uid="{BC50FC1E-75A2-429F-86CC-1AFC45031A54}">
      <formula1>"Yes,No"</formula1>
    </dataValidation>
    <dataValidation type="list" allowBlank="1" showErrorMessage="1" prompt="Is the tank vertical or horizontal? Select from the drop-down menu." sqref="C33" xr:uid="{AC14116D-D4F2-4E62-BE91-8FCC62841CB1}">
      <formula1>"Vertical, Horizontal"</formula1>
    </dataValidation>
    <dataValidation allowBlank="1" showErrorMessage="1" prompt="If the tank is vertical, enter the diameter (D) of the tank:" sqref="C34" xr:uid="{70156789-92CC-47BB-8201-1D6BCA94F6D3}"/>
    <dataValidation type="list" allowBlank="1" showErrorMessage="1" prompt="Is the tank vertical or horizontal?" sqref="C33" xr:uid="{72476118-18AB-48A7-A82C-83E163C08B71}">
      <formula1>"Vertical,Horizontal"</formula1>
    </dataValidation>
    <dataValidation allowBlank="1" showErrorMessage="1" prompt="Enter the working loss product factor (KC), if necessary:" sqref="C32" xr:uid="{1D7A58F0-FF62-42CC-BD4A-092FAC22C754}"/>
    <dataValidation allowBlank="1" showErrorMessage="1" prompt="Enter the atmospheric pressure for the nearest city, if necessary:" sqref="C30" xr:uid="{D52A4F38-0C8A-44FC-B7E1-ADF0303B5DB4}"/>
    <dataValidation type="list" allowBlank="1" showErrorMessage="1" prompt="Is the tank welded or riveted? Select or answer from the drop-down menu:" sqref="C31" xr:uid="{412B7810-5049-4BA0-901E-3F80E708FE89}">
      <formula1>"Welded,Riveted"</formula1>
    </dataValidation>
    <dataValidation type="list" allowBlank="1" showErrorMessage="1" prompt="What condition is the paint on the shell? Select New, Average, or Aged." sqref="C55 C57" xr:uid="{7AB811B6-9A30-4D74-96EF-9ECA362FBF35}">
      <formula1>"New,Average,Aged"</formula1>
    </dataValidation>
    <dataValidation type="list" allowBlank="1" showErrorMessage="1" prompt="Are the shell plates and roof airtight? Select or enter yes or no." sqref="C66" xr:uid="{48EE1B36-66E0-4E98-B3C8-D3EB1570BBED}">
      <formula1>"Yes,No"</formula1>
    </dataValidation>
    <dataValidation allowBlank="1" showErrorMessage="1" prompt="Enter the vapor space volume, if necessary:" sqref="C65" xr:uid="{1EB32FAE-A341-4261-AB8B-6861C5DBBC92}"/>
    <dataValidation allowBlank="1" showErrorMessage="1" prompt="Enter the vapor space outage, if necessary:" sqref="C64" xr:uid="{4F6A66AB-DD32-4C13-B30D-0B489A56A541}"/>
    <dataValidation allowBlank="1" showErrorMessage="1" prompt="Enter the roof outage, if necessary:" sqref="C63" xr:uid="{225EC4F3-522E-4ED2-9110-57A8D7870CA7}"/>
    <dataValidation allowBlank="1" showErrorMessage="1" prompt="Enter the tank roof height, if necessary:" sqref="C62" xr:uid="{AD3AC60C-4349-4FD5-AC9D-1023D9BF2FB5}"/>
    <dataValidation allowBlank="1" showErrorMessage="1" prompt="Enter the tank shell radius, if necessary:" sqref="C61" xr:uid="{2864D6C5-8B85-444E-8FAD-CE4FA2779A8C}"/>
    <dataValidation allowBlank="1" showErrorMessage="1" prompt="If the roof is dome-shaped, enter the tank's roof radius, if necessary:" sqref="C60" xr:uid="{256472DF-C724-4DF7-A651-3CBD6838BFB5}"/>
    <dataValidation allowBlank="1" showErrorMessage="1" prompt="If the roof is cone-shaped, enter the tank's roof slope, if necessary:" sqref="C59" xr:uid="{9AED6028-CD57-4EBB-93D4-D14AE1384D14}"/>
    <dataValidation allowBlank="1" showErrorMessage="1" prompt="Enter the daily total solar insolation, if necessary:" sqref="C73" xr:uid="{506C1A1D-2003-4A12-8CA2-DE4F7D1718B9}"/>
    <dataValidation allowBlank="1" showErrorMessage="1" prompt="Enter tank solar absorptance, if needed." sqref="C72" xr:uid="{A07A51AB-D06A-4826-AB80-5908036C2FA3}"/>
    <dataValidation allowBlank="1" showErrorMessage="1" prompt="Enter tank roof paint solar absorptance, if needed." sqref="C71" xr:uid="{2B567DB9-60F3-4ED4-8415-0DDE564F81CB}"/>
    <dataValidation allowBlank="1" showErrorMessage="1" prompt="Enter tank shell paint solar absorptance, if needed." sqref="C70" xr:uid="{E6C8AACA-9B8B-49F5-AF4E-407FCDE4D543}"/>
    <dataValidation type="list" allowBlank="1" showErrorMessage="1" prompt="If the tank is a floating roof tank, what type of deck is used? Select or enter from the drop down menu &quot;Steel Pontoon&quot;, &quot;Steel Double Deck&quot;, or &quot;Other&quot;." sqref="C67" xr:uid="{1638A4EC-F777-42B4-9175-40BCC5D85DFD}">
      <formula1>"Steel Pontoon,Steel Double Deck,Other"</formula1>
    </dataValidation>
    <dataValidation type="list" allowBlank="1" showErrorMessage="1" prompt="Is the tank fully insulated? Select from the dropdown &quot;Not Insulated&quot;, &quot;Partially Insulated&quot;, or &quot;Fully Insulated&quot;." sqref="C69" xr:uid="{76F1CABA-2860-4F01-8CB0-CEB54A63F228}">
      <formula1>"Not Insulated, Partially Insulated, Fully Insulated"</formula1>
    </dataValidation>
    <dataValidation type="list" allowBlank="1" showErrorMessage="1" prompt="If the tank is a floating roof tank, does this tank have an Internal Floating Roof, External Floating Roof, or a Domed/Covered External Floating Roof? Select or enter from the drop-down menu." sqref="C68" xr:uid="{831737D9-A9B2-407F-9C40-B0766E581CA1}">
      <formula1>"Internal Floating Roof,External Floating Roof, Domed/Covered External Floating Roof"</formula1>
    </dataValidation>
    <dataValidation allowBlank="1" showErrorMessage="1" prompt="Enter the average daily maximum liquid temperature, if necessary, in Rankine." sqref="C91" xr:uid="{B353C15B-74D1-416B-A3F3-FA316886D105}"/>
    <dataValidation allowBlank="1" showErrorMessage="1" prompt="Enter the average daily maximum liquid temperature, if necessary, in Fahrenheit." sqref="C90" xr:uid="{34B6F543-43AD-4681-B5DD-3072CB64940C}"/>
    <dataValidation allowBlank="1" showErrorMessage="1" prompt="Enter the average daily minimum liquid temperature, if necessary, in Rankine." sqref="C89" xr:uid="{7A9E30E2-AABC-43DC-8683-52825F430516}"/>
    <dataValidation allowBlank="1" showErrorMessage="1" prompt="Enter the average daily minimum liquid temperature, if necessary, in Fahrenheit." sqref="C88" xr:uid="{457DF381-A49D-42F9-9FC7-966E246F7633}"/>
    <dataValidation allowBlank="1" showErrorMessage="1" prompt="Enter the average daily liquid surface temperature, if necessary, in Rankine." sqref="C87" xr:uid="{B8D61671-8352-4286-99AC-34A5E25A4ECF}"/>
    <dataValidation allowBlank="1" showErrorMessage="1" prompt="Enter the average daily liquid surface temperature, if necessary, in Fahrenheit." sqref="C86" xr:uid="{0B7C4912-FB63-48DD-AB25-06F83C461E58}"/>
    <dataValidation allowBlank="1" showErrorMessage="1" prompt="Enter the average daily vapor temperature range, if necessary:" sqref="C85" xr:uid="{FBE06961-B25D-4DAF-B167-D8700AB48EA8}"/>
    <dataValidation allowBlank="1" showErrorMessage="1" prompt="Enter the average daily vapor temperature (Tv), if necessary, in Rankine." sqref="C84" xr:uid="{B84C86F0-27E4-4E6A-B390-2750A84838A7}"/>
    <dataValidation allowBlank="1" showErrorMessage="1" prompt="Enter the average daily vapor temperature (Tv), if necessary, in Fahrenheit." sqref="C83" xr:uid="{D11E8029-3E36-46A7-893B-CB3EB40A7E3D}"/>
    <dataValidation allowBlank="1" showErrorMessage="1" prompt="Enter the liquid bulk temperature, if necessary, in Rankine." sqref="C82" xr:uid="{67175041-B2FB-4639-8DDC-407941B64394}"/>
    <dataValidation allowBlank="1" showErrorMessage="1" prompt="Enter the liquid bulk temperature, if necessary, in Fahrenheit." sqref="C81" xr:uid="{55B2E850-8C8C-4767-8001-50F9B7A3BEF7}"/>
    <dataValidation allowBlank="1" showErrorMessage="1" prompt="Enter the average daily ambient temperature range, if necessary:" sqref="C80" xr:uid="{8797AF14-B70F-4FA8-A8D8-329E8B61CB6A}"/>
    <dataValidation allowBlank="1" showErrorMessage="1" prompt="Enter the average daily ambient temperature, if necessary, in Rankine." sqref="C79" xr:uid="{3A3FAE46-E8D7-404F-BAAF-49E3421A343B}"/>
    <dataValidation allowBlank="1" showErrorMessage="1" prompt="Enter the average daily ambient temperature, if necessary, in Fahrenheit." sqref="C78" xr:uid="{3E37CF26-1C1E-40C7-BFC1-3F9C64AA9738}"/>
    <dataValidation allowBlank="1" showErrorMessage="1" prompt="Enter the average daily minimum ambient temperature, if necessary, in Rankine." sqref="C77" xr:uid="{25491813-8206-43A9-BC9A-12A9F8B7FEC4}"/>
    <dataValidation allowBlank="1" showErrorMessage="1" prompt="Enter the average daily minimum ambient temperature, if necessary, in Fahrenheit." sqref="C76" xr:uid="{F413D0D5-883E-48AB-8C52-0CE7265301CF}"/>
    <dataValidation allowBlank="1" showErrorMessage="1" prompt="Enter the average daily maximum ambient temperature, if necessary. This cell is for Rankine." sqref="C75" xr:uid="{129C82B1-DF51-460F-856D-FDAEE0F247C9}"/>
    <dataValidation allowBlank="1" showErrorMessage="1" prompt="Enter the average daily maximum ambient temperature, if necessary. This cell is for Fahrenheit." sqref="C74" xr:uid="{116E361F-8576-4D8A-8421-360811F54AAC}"/>
    <dataValidation allowBlank="1" showErrorMessage="1" prompt="Enter the vapor pressure constant A if the calculated vapor pressure constant A (above) is inaccurate." sqref="B99:P99" xr:uid="{49271EEF-011E-477C-BEFA-765F8ACBD0FC}"/>
    <dataValidation allowBlank="1" showErrorMessage="1" prompt="Enter the vapor pressure constant B if the calculated vapor pressure constant B (above) is inaccurate." sqref="B101:P101" xr:uid="{3E73C458-BDD1-4187-9CE1-EE8DCFE081BD}"/>
    <dataValidation allowBlank="1" showErrorMessage="1" prompt="Enter the vapor pressure constant C if the calculated vapor pressure constant C (above) is inaccurate." sqref="B103:P103" xr:uid="{67F6ADEC-7226-434E-911F-D46E8C70EB4C}"/>
    <dataValidation allowBlank="1" showErrorMessage="1" prompt="Enter the Reid vapor pressure if vapor pressure constant C is unknown and the calculated Reid vapor pressure (above) is inaccurate." sqref="B105:P105" xr:uid="{382608AD-0A3B-48E4-A07F-2571EA7204C9}"/>
    <dataValidation allowBlank="1" showErrorMessage="1" prompt="Enter the vapor pressure at average daily liquid surface temperature if the calculated vapor pressure at average daily liquid surface temperature (above) is inaccurate." sqref="B107:P107" xr:uid="{F316344C-6D8A-444D-9E7E-FC14F934A682}"/>
    <dataValidation allowBlank="1" showErrorMessage="1" prompt="Enter the vapor pressure at average daily maximum liquid surface temperature if the calculated vapor pressure at average daily maximum liquid surface temperature (above) is inaccurate." sqref="B109:P109" xr:uid="{6E5E98E1-7406-4255-8C14-CB167DA68729}"/>
    <dataValidation allowBlank="1" showErrorMessage="1" prompt="Enter the vapor pressure at average daily minimum liquid surface temperature if the calculated vapor pressure at average daily minimum liquid surface temperature (above) is inaccurate." sqref="B111:P111" xr:uid="{725E1286-96E5-43B4-8211-779A7AFFB028}"/>
    <dataValidation allowBlank="1" showErrorMessage="1" prompt="Enter true vapor pressure, if necessary:" sqref="C125" xr:uid="{2B65A32D-367A-4F37-86AC-9008AB854D9A}"/>
    <dataValidation allowBlank="1" showErrorMessage="1" prompt="Enter the average daily vapor pressure range, if necessary:" sqref="C124" xr:uid="{0A90302A-7EA3-4806-AD39-06BEC4BD0E87}"/>
    <dataValidation allowBlank="1" showErrorMessage="1" prompt="Enter the breather vent pressure setting range, if necessary." sqref="C123" xr:uid="{27042B23-A066-41FB-9584-6F226ABDC8F5}"/>
    <dataValidation allowBlank="1" showErrorMessage="1" prompt="Enter the breather vent vacuum setting:" sqref="C122" xr:uid="{A846C131-2B93-4ECF-AAFE-315DE055F3D2}"/>
    <dataValidation allowBlank="1" showErrorMessage="1" prompt="Enter the breather vent pressure setting:" sqref="C121" xr:uid="{E12FCFF9-EABC-4153-8718-229E73917639}"/>
    <dataValidation type="list" allowBlank="1" prompt="If this tank has a special vapor control efficiency, select or enter the method or technology (e.g. Flare, TO, VCU, etc.)." sqref="C126" xr:uid="{E3DC36AA-1410-4819-860E-0CDA6BF1650F}">
      <formula1>"Flare,TO,VCU"</formula1>
    </dataValidation>
    <dataValidation type="decimal" allowBlank="1" showErrorMessage="1" prompt="If this tank has a special vapor control efficiency, enter the control efficiency as a decimal (e.g. 0.905 for 90.5%)." sqref="C127" xr:uid="{E3AD641E-615E-497A-B1C7-9D7F71C00B39}">
      <formula1>0</formula1>
      <formula2>1</formula2>
    </dataValidation>
    <dataValidation allowBlank="1" showErrorMessage="1" prompt="Enter the vent setting correction factor, if necessary:" sqref="C137" xr:uid="{5C704377-0060-4ADB-934F-1A55C3A84C58}"/>
    <dataValidation allowBlank="1" showErrorMessage="1" prompt="Enter the pressure of the vapor space at normal operating conditions, if not held at atmospheric pressure:" sqref="C136" xr:uid="{8AF1E623-7ED5-4944-A6A3-B3D565FBB9F2}"/>
    <dataValidation allowBlank="1" showErrorMessage="1" prompt="Enter the vapor space expansion factor, if necessary:" sqref="C135" xr:uid="{E4F6FD68-B6A6-45DF-A260-384C12575EB6}"/>
    <dataValidation allowBlank="1" showErrorMessage="1" prompt="Enter the vented vapor saturation factor, if necessary:" sqref="C134" xr:uid="{027306BF-5528-4E93-974B-D1C8B5BED98D}"/>
    <dataValidation allowBlank="1" showErrorMessage="1" prompt="Enter the average molecular weight, if necessary:" sqref="C133" xr:uid="{8DF11C5C-06FA-4A5E-96CE-452DCD05BED5}"/>
    <dataValidation allowBlank="1" showErrorMessage="1" prompt="Enter the vapor density, if necessary:" sqref="C132 C200" xr:uid="{B7A8DB4A-34FA-43A7-8E20-53E8EC5C4FA4}"/>
    <dataValidation allowBlank="1" showErrorMessage="1" prompt="Enter average organic liquid density, if necessary." sqref="C131" xr:uid="{0F384C40-DCD1-4305-9D03-A758B72201E5}"/>
    <dataValidation allowBlank="1" showErrorMessage="1" prompt="Enter the result of the vapor pressure function, if necessary:" sqref="C149" xr:uid="{71880998-9EEE-4BB3-B60A-5673F827A1CD}"/>
    <dataValidation allowBlank="1" showErrorMessage="1" prompt="Enter the average ambient wind speed at the tank site (v), if necessary:" sqref="C148" xr:uid="{A0FDC676-4BEA-4503-8EF6-6C152475CE6A}"/>
    <dataValidation allowBlank="1" showErrorMessage="1" prompt="Enter the average molecular weight (MV), if necessary:" sqref="C147" xr:uid="{E3F6967F-1433-483C-BD38-F175A65893C1}"/>
    <dataValidation allowBlank="1" showErrorMessage="1" prompt="Enter the seal-related wind speed exponent (n), if necessary:" sqref="C146" xr:uid="{A7DE0D83-70F5-4629-A673-CFCF653ACD2F}"/>
    <dataValidation allowBlank="1" showErrorMessage="1" prompt="Enter the wind-speed dependent rim seal loss factor (KRb), if necessary:" sqref="C145" xr:uid="{E72E8343-DB9F-419A-9876-F02CA19213E2}"/>
    <dataValidation allowBlank="1" showErrorMessage="1" prompt="Enter the zero-wind-speed rim seal loss factor (KRa), if necessary:" sqref="C144" xr:uid="{47679A16-38A1-4CFC-9901-02CD16D8B826}"/>
    <dataValidation type="list" allowBlank="1" prompt="Is the rim seal maintained with no gaps greater than 1/8 in. wide between the rim seal and the tank shell? (Note: If the seal is maintained with gaps no greater than 1/8 in., &quot;Tight-fitting&quot; rim-seal loss facotrs may apply.)" sqref="C143" xr:uid="{AD668EC8-0372-4A6A-8A32-69F28D0FA418}">
      <formula1>"Yes,No"</formula1>
    </dataValidation>
    <dataValidation type="list" allowBlank="1" prompt="What rim-seal system is in use? Select or enter from drop-down menu:" sqref="C141" xr:uid="{7C74505F-A803-402E-97B9-E2C2418CEDD9}">
      <formula1>INDIRECT($C$31)</formula1>
    </dataValidation>
    <dataValidation type="list" allowBlank="1" prompt="What subsystem is in use (e.g. &quot;Primary only&quot;, &quot;Shoe-Mounted Secondary&quot;, &quot;Weather Shield&quot;, or &quot;Rim-Mounted Secondary&quot;) Select or enter from drop-down menu:" sqref="C142" xr:uid="{471395B8-D50D-444B-A597-D224D6BCC52F}">
      <formula1>IF($C$141="Mechanical-shoe seal",Subsystem1,Subsystem2)</formula1>
    </dataValidation>
    <dataValidation allowBlank="1" showErrorMessage="1" prompt="Enter average organic liquid density." sqref="C154" xr:uid="{79BE800B-B434-413F-99B4-CEC39F9A7A28}"/>
    <dataValidation allowBlank="1" showErrorMessage="1" prompt="Enter the tank-specific column diameter (FC), if known." sqref="C153" xr:uid="{7054F7C3-6015-446B-9ACF-CA5931836583}"/>
    <dataValidation allowBlank="1" showErrorMessage="1" prompt="Enter the number of fixed roof support columns (NC), if necessary. For a self-supporting external floating roof tank, enter 0. For a column-supported fixed roof, use tank-specific information." sqref="C152" xr:uid="{6C3BF2DF-3F36-49D8-9FD4-6C683115669B}"/>
    <dataValidation allowBlank="1" showErrorMessage="1" prompt="Enter shell clingage factor CS, if necessary:" sqref="C151" xr:uid="{C96E8ED6-44CD-40B1-B855-5994E47A2256}"/>
    <dataValidation type="list" allowBlank="1" showErrorMessage="1" prompt="Select or enter the shell condition (e.g. &quot;Light Rust&quot;, &quot;Dense Rust&quot;, or &quot;Gunite Lining&quot;):" sqref="C150" xr:uid="{754239CF-5EB2-45C1-B4C9-E168F9E17B67}">
      <formula1>"Light Rust,Dense Rust,Gunite Lining"</formula1>
    </dataValidation>
    <dataValidation allowBlank="1" showErrorMessage="1" prompt="Enter the number of fittings per fitting type." sqref="E158:E177" xr:uid="{E6767DAD-3F36-4D2E-A9E5-13477EF1F021}"/>
    <dataValidation allowBlank="1" showErrorMessage="1" prompt="Enter the zero wind speed loss factor if the previous column's calculated value is inaccurate." sqref="G158:G177" xr:uid="{D57C0CFA-7979-4578-8297-41C38797C8FE}"/>
    <dataValidation allowBlank="1" showErrorMessage="1" prompt="Enter the wind speed-dependent loss factor if the previous column's calculated value is inaccurate." sqref="I158:I177" xr:uid="{42A2E5EF-FEF8-493D-8CBB-9373ABB4B8BC}"/>
    <dataValidation allowBlank="1" showErrorMessage="1" prompt="Enter the loss factor if the previous column's calculated value is inaccurate." sqref="K158:K177" xr:uid="{4A05ED37-03A0-4AFD-A442-D83BED75D84C}"/>
    <dataValidation allowBlank="1" showErrorMessage="1" prompt="Enter the deck seam loss per unit seam length factor, if necessary:" sqref="C189" xr:uid="{5F69486E-E046-47F7-BC2D-1589BCA03D69}"/>
    <dataValidation allowBlank="1" showErrorMessage="1" prompt="Enter the deck seam length factor, if necessary:" sqref="C188" xr:uid="{CBBAF864-4651-43F8-A115-07BFECC2AEA4}"/>
    <dataValidation type="list" allowBlank="1" showErrorMessage="1" prompt="If total length of deck seams is unknown, select or enter the type of deck seam construction (e.g. Continuous sheet construction, Panel construction):" sqref="C186" xr:uid="{722CAA3D-A065-41D0-9087-116782A8A28C}">
      <formula1>"Continuous sheet construction,Panel construction"</formula1>
    </dataValidation>
    <dataValidation allowBlank="1" showErrorMessage="1" prompt="Enter the total length of the deck seams, if known:" sqref="C185" xr:uid="{261F0D57-5869-47C3-B864-497E887E0BAD}"/>
    <dataValidation allowBlank="1" showErrorMessage="1" prompt="Enter the area of the deck, if necessary:" sqref="C184" xr:uid="{22A152D1-6503-43D6-9D8F-D2C97FBF2B02}"/>
    <dataValidation type="list" allowBlank="1" showErrorMessage="1" prompt="Is the deck seam welded? Select or enter &quot;Yes&quot; or &quot;No&quot;." sqref="C183" xr:uid="{03124D2B-1AFF-4F5C-99F8-93A246E44074}">
      <formula1>"Yes,No"</formula1>
    </dataValidation>
    <dataValidation allowBlank="1" showErrorMessage="1" prompt="Enter deck fitting loss factor (FF), if necessary:" sqref="C182" xr:uid="{A894DF2A-5715-40BA-B7A1-830A144A4014}"/>
    <dataValidation type="list" allowBlank="1" prompt="If total length of deck seams is unknown, select or enter average deck seam size:" sqref="C187" xr:uid="{5813A4A1-0888-4E89-94D8-0C626BFE1664}">
      <formula1>INDIRECT(LEFT($C$186,5))</formula1>
    </dataValidation>
    <dataValidation type="list" allowBlank="1" prompt="If total length of deck seams is unknown, select or enter the type of deck seam construction (e.g. Continuous sheet construction, Panel construction):" sqref="C186" xr:uid="{DFFB625F-5ED6-4A12-97C3-2EB8B719A08F}">
      <formula1>"Continuous sheet construction,Panel construction"</formula1>
    </dataValidation>
    <dataValidation allowBlank="1" showErrorMessage="1" prompt="Enter the result of the vapor pressure function at the temperature beneath the landed floating roof, if necessary:" sqref="C195" xr:uid="{59B8187E-9BF4-401A-8DC6-CB63F7BC480F}"/>
    <dataValidation allowBlank="1" showErrorMessage="1" prompt="If a distillate material is added to decrease volatility during roof landing, enter the average molecular weight of the new mixture:" sqref="C194" xr:uid="{94CA0996-A8DE-497D-8B20-461E7BCB9A3D}"/>
    <dataValidation allowBlank="1" showErrorMessage="1" prompt="Enter the average vapor temperature at the temperature beneath the landed floating roof, if different than average ambient temperature, in Rankine." sqref="C193" xr:uid="{1C9DB5ED-42B9-4BA1-852F-BBD959A95C6A}"/>
    <dataValidation allowBlank="1" showErrorMessage="1" prompt="Enter the average vapor temperature at the temperature beneath the landed floating roof, if different than average ambient temperature, in Fahrenheit." sqref="C192" xr:uid="{CC0468BA-D7A6-4BF5-936C-1A19F3AF3870}"/>
    <dataValidation allowBlank="1" showErrorMessage="1" prompt="Enter the true vapor pressure of the stock liquid at the temperature beneath the landed floating roof, if different than average ambient temperature:" sqref="C191" xr:uid="{182B2F78-CCD7-47CF-8C48-00F166F75153}"/>
    <dataValidation type="list" allowBlank="1" showErrorMessage="1" prompt="Is this tank have a liquid &quot;heel&quot; or is it drain-dry? Select or enter &quot;Full liquid heel&quot;, &quot;Partial liquid heel&quot;, or &quot;Drain dry&quot;." sqref="C190" xr:uid="{69B29515-3B9B-4140-B19A-FD6D977985C3}">
      <formula1>"Full liquid heel,Partial liquid heel,Drain dry"</formula1>
    </dataValidation>
    <dataValidation allowBlank="1" showErrorMessage="1" prompt="Enter the number of days that the tank stands idle." sqref="C203" xr:uid="{36A4B8D2-35D9-4880-A3E9-FBA98EB48ABF}"/>
    <dataValidation allowBlank="1" showErrorMessage="1" prompt="If this is an internal floating roof tank, enter the saturation factor, if necessary:" sqref="C202" xr:uid="{E7052957-853D-4211-9BCC-CA06C015057A}"/>
    <dataValidation allowBlank="1" showErrorMessage="1" prompt="If this is an internal floating roof tank, enter the vapor space expansion factor, if necessary: Note that if a distillate material is used, a different vapor space expansion factor may apply." sqref="C201" xr:uid="{98A2C473-BD04-4E5C-952C-17BF3EC51A41}"/>
    <dataValidation allowBlank="1" showErrorMessage="1" prompt="Enter the frequency of landing episodes, if necessary:" sqref="C199" xr:uid="{63D225D2-6B1D-4E31-B147-1E4BDD4FD3A6}"/>
    <dataValidation allowBlank="1" showErrorMessage="1" prompt="Enter the effective height of the stock liquid inside the tank:" sqref="C198" xr:uid="{4BFE47F5-5B84-4148-898B-0816C6286C4C}"/>
    <dataValidation allowBlank="1" showErrorMessage="1" prompt="Enter the volume of the vapor space, if necessary:" sqref="C210 C218" xr:uid="{447C91F4-544D-4DDD-9FB6-88795DDE64E2}"/>
    <dataValidation allowBlank="1" showErrorMessage="1" prompt="If this is an external floating roof tank, enter the height of the vapor space under the floating roof." sqref="C209" xr:uid="{6E4F1D27-B36F-4777-BB2A-457281B0CC9C}"/>
    <dataValidation allowBlank="1" showErrorMessage="1" prompt="If this is an external floating roof tank, enter the filling saturation correction factor for wind, if necessary:" sqref="C208" xr:uid="{034C92A2-B177-4C29-BCD3-C076C80B1D50}"/>
    <dataValidation allowBlank="1" showErrorMessage="1" prompt="Enter the filling saturation factor, if necessary:" sqref="C207" xr:uid="{0CDDFA11-6BB3-4DAA-A480-8171825B7805}"/>
    <dataValidation allowBlank="1" showErrorMessage="1" prompt="If this is a drain-dry tank, enter the area of the tank bottom, if necessary:" sqref="C206" xr:uid="{A0680546-F449-4538-83CC-EAC28C9E87B4}"/>
    <dataValidation allowBlank="1" showErrorMessage="1" prompt="Enter the number of vapor space purges per year that follow a cessation of forces ventilation overnight, other than the initial vapor space purge:" sqref="C222" xr:uid="{60F5DADA-02E3-43C5-84BC-A417A5A8520B}"/>
    <dataValidation allowBlank="1" showErrorMessage="1" prompt="Enter the saturation factor, if necessary:" sqref="C221" xr:uid="{2A1ADAB1-4565-428C-9CE2-61EAB2070826}"/>
    <dataValidation allowBlank="1" showErrorMessage="1" prompt="Enter the number of days between turnover, if necessary:" sqref="C220" xr:uid="{7BA0DBAD-2337-485E-9BB7-21A0F00A8C13}"/>
    <dataValidation allowBlank="1" showErrorMessage="1" prompt="Enter the height of the stock liquid and sludge above the tank bottom at the tank shell, if necessary:" sqref="C219" xr:uid="{60F834EE-7565-46AC-939E-E5487528B0C2}"/>
    <dataValidation allowBlank="1" showErrorMessage="1" prompt="Enter the average temperature of the vapor space, if necessary:" sqref="C217" xr:uid="{9536FB08-71FD-4EEC-B2C6-E6CF25DDAA65}"/>
    <dataValidation allowBlank="1" showErrorMessage="1" prompt="Enter the true vapor pressure of the exposed volatile material in the tank, if necessary:" sqref="C216" xr:uid="{66885C19-134E-46B9-9D53-BC667CCA614B}"/>
    <dataValidation allowBlank="1" showErrorMessage="1" prompt="Enter the stock vapor molecular weight, if necessary:" sqref="C215" xr:uid="{10463ECE-F0EF-443E-837F-D3BCDCA493DD}"/>
    <dataValidation allowBlank="1" showErrorMessage="1" prompt="Enter how many times per year is this tank cleaned." sqref="C214" xr:uid="{301F2FFB-BF88-4039-B898-F43B80B2EAF8}"/>
    <dataValidation allowBlank="1" showErrorMessage="1" prompt="Enter the effective height of the stock liquid and sludge for the given stage of continued forced ventilation." sqref="C232" xr:uid="{E1C3991B-BADA-4EAA-B190-F9BC45EE0E8A}"/>
    <dataValidation allowBlank="1" showErrorMessage="1" prompt="Enter the calibration gas molecular weight." sqref="C231" xr:uid="{E3CB40E2-7A4F-43EE-A5CD-0BA18A0FBE4A}"/>
    <dataValidation allowBlank="1" showErrorMessage="1" prompt="Enter the daily period of forced ventilation. Note: Do not include the initial time for the vapor space purge. It would be reasonable to neglect the first half hour from each stage of continued forced ventilation." sqref="C230" xr:uid="{7434B228-9F94-4A86-94A2-4912514DE040}"/>
    <dataValidation allowBlank="1" showErrorMessage="1" prompt="Enter the duration of continued forced ventilation, in days." sqref="C229" xr:uid="{8E6661D1-0C14-4D95-A339-BB83B4675F12}"/>
    <dataValidation allowBlank="1" showErrorMessage="1" prompt="Enter the average ventilation rate during forced ventilation." sqref="C228" xr:uid="{FC12CC9A-F31D-4A2A-B31D-C598D160A4EE}"/>
    <dataValidation allowBlank="1" showErrorMessage="1" prompt="Enter the average vapor concentration by volume during continued forced ventilation, if known:" sqref="C227" xr:uid="{3AF25A49-8A43-4F31-858C-5A034BCCAA9C}"/>
    <dataValidation allowBlank="1" showErrorMessage="1" prompt="If using a LEL reading, enter the Response Factor (RF), if known:" sqref="C226" xr:uid="{88E602DE-E7ED-4CD3-9609-5D435B0E9995}"/>
    <dataValidation allowBlank="1" showErrorMessage="1" prompt="If using a LEL reading, enter the LEL of the calibration gas, as a decimal fraction:" sqref="C225" xr:uid="{DAEE46E8-408C-4115-B61C-E13C0CBB7E2A}"/>
    <dataValidation allowBlank="1" showErrorMessage="1" prompt="If using a Lower Explosive Limit (LEL) reading, enter the average LEL, as displayed, as a decimal fraction:" sqref="C224" xr:uid="{19031AC7-6306-4E29-8A92-C9F8CCAC0A24}"/>
    <dataValidation type="list" allowBlank="1" showErrorMessage="1" prompt="How is the average vapor concentration measured? Select or enter a response from the drop-down menu." sqref="C223" xr:uid="{1BAEF9B0-8381-420E-AC20-52D2B02D6ECC}">
      <formula1>"LEL Reading,Vapor Analyzer"</formula1>
    </dataValidation>
    <dataValidation allowBlank="1" showErrorMessage="1" prompt="Enter the average depth of sludge once all the free-standing liquid had been vacuumed (or drained) out." sqref="C236" xr:uid="{560A64D0-0A9F-4BD6-A3F9-9CC794EAAB36}"/>
    <dataValidation allowBlank="1" showErrorMessage="1" prompt="Enter the daily period of forced ventilation once all the free-standing liquid had been vacuumed (or drained) out." sqref="C235" xr:uid="{11A60609-F62D-4DA8-BDA4-9287A0671B63}"/>
    <dataValidation allowBlank="1" showErrorMessage="1" prompt="Enter the duration of continued forced ventilation once all the free-standing liquid had been vacuumed (or drained) out:" sqref="C234" xr:uid="{EF228AAD-DDFD-416E-94D2-DA97BFF033B0}"/>
    <dataValidation allowBlank="1" showErrorMessage="1" prompt="Enter the decimal fraction of the sludge with potential to evaporate once all the free-standing liquid had been vacuumed (or drained) out." sqref="C233" xr:uid="{70D2AD94-6961-44F3-9DF3-1FDB05A3721A}"/>
    <dataValidation allowBlank="1" showErrorMessage="1" prompt="If using the Laboratory GOR method, enter the molecular weight of the flash gas:" sqref="C244" xr:uid="{5089F1A1-5629-498D-AAEA-BDD7017EC9CE}"/>
    <dataValidation allowBlank="1" showErrorMessage="1" prompt="If using the Laboratory GOR method, enter the volume of gas at given pressure and temperature, if necessary. The default value 1/379.48 scf/lb-mole is at Standard Conditions." sqref="C243" xr:uid="{A3E4706C-6D6A-4250-A768-7E28FB01EAEA}"/>
    <dataValidation allowBlank="1" showErrorMessage="1" prompt="If using the Laboratory Gas-Oil Ratio (GOR) method, enter the GOR:" sqref="C242" xr:uid="{40ACC2C7-6A7A-4A44-8B1A-90123F6A4791}"/>
    <dataValidation type="list" allowBlank="1" showErrorMessage="1" prompt="Does this tank store a liquid with a possibility of undergoing flashing? Select or enter yes or no." sqref="C240" xr:uid="{9DD6962D-D72A-4356-80F3-F75FFFA765EB}">
      <formula1>"Yes,No"</formula1>
    </dataValidation>
    <dataValidation type="decimal" allowBlank="1" showErrorMessage="1" error="Seperator Gas Gravity must be between 0.56 - 1.18. If the gas gravity is below this range, you can increase to minimum 0.56. If gas gravity is above this range, you cannot use this equation." prompt="If using the Vasquez-Beggs Equation, enter the seperator gas gravity." sqref="C249" xr:uid="{E59EE770-41C3-4D8A-841F-4A46AC0D4C7A}">
      <formula1>0.56</formula1>
      <formula2>1.18</formula2>
    </dataValidation>
    <dataValidation type="decimal" allowBlank="1" showErrorMessage="1" error="Seperator Temperature must be between 529 - 755°R. If the temperature is outside this range, you cannot use the Vasquez-Beggs Equation." prompt="If using the Vasquez-Beggs Equation, enter the seperator temperature, in Rankine." sqref="C248" xr:uid="{5F261161-67DF-4CC3-95BB-093DC7FAA9F7}">
      <formula1>529</formula1>
      <formula2>755</formula2>
    </dataValidation>
    <dataValidation type="decimal" allowBlank="1" showErrorMessage="1" error="Seperator Temperature must be between 70 - 295°F. If the temperature is outside this range, you cannot use the Vasquez-Beggs Equation." prompt="If using the Vasquez-Beggs Equation, enter the seperator temperature, in Fahrenheit." sqref="C247" xr:uid="{18FA1C74-1A59-4C76-853A-744050804685}">
      <formula1>70</formula1>
      <formula2>295</formula2>
    </dataValidation>
    <dataValidation type="decimal" allowBlank="1" showErrorMessage="1" error="Seperator pressure must be between 35.3 - 5235.3 psig (or 50 - 5250 psia) to use this equation. If below range, increase to minimum 35.3 psig/50 psia." prompt="If using the Vasquez-Beggs Equation, enter the seperator pressure." sqref="C246" xr:uid="{7E3F14BA-9FFC-424F-8881-3B0A031C194D}">
      <formula1>35.3</formula1>
      <formula2>5235.3</formula2>
    </dataValidation>
    <dataValidation type="decimal" allowBlank="1" showErrorMessage="1" error="API Gravity must be between 16 - 40° to use Vasquex-Beggs Equation. If API is below range, increase to minimum 16°. Do not use this equation if API is over 40°." prompt="If using the Vasquez-Beggs Equation, enter the stock's API Gravity:" sqref="C245" xr:uid="{A5A7BEB2-CC84-4DAF-94AE-2C4EC20369A8}">
      <formula1>16</formula1>
      <formula2>40</formula2>
    </dataValidation>
    <dataValidation type="list" allowBlank="1" showErrorMessage="1" prompt="What method of analyzing flashing was used? Select or enter a method from the drop-down menu:" sqref="C241" xr:uid="{AB3CD505-13EF-4F06-9487-40B2D585D73F}">
      <formula1>"Laboratory GOR,Computer simulation modeling,Vasquez-Beggs Equation,Direct Measurement"</formula1>
    </dataValidation>
    <dataValidation allowBlank="1" showErrorMessage="1" prompt="Enter the total calculated or measured emissions from flashing, if necessary:" sqref="C258" xr:uid="{B5B780B0-1CE4-4927-A670-6F0C5ECB079D}"/>
    <dataValidation allowBlank="1" showErrorMessage="1" prompt="If using the Vasquez-Beggs Equation, enter the total amount of hydrocarbons in tons per year, if necessary:" sqref="C257" xr:uid="{B19B138E-AACF-4353-A33F-323217C7FFEF}"/>
    <dataValidation allowBlank="1" showErrorMessage="1" prompt="If using the Vasquez-Beggs Equation, enter the volume of gas at given pressure and temperature, if necessary. The default value 1/379.48 scf/lb-mole is at Standard Conditions." sqref="C256" xr:uid="{7F313ECA-A15A-435E-B4DC-A7F27B9164F8}"/>
    <dataValidation allowBlank="1" showErrorMessage="1" prompt="If using the Vasquez-Beggs Equation, enter the Gas/Oil Ratio of liquid at pressure of interest, if necessary:" sqref="C255" xr:uid="{C000EC7E-6FC6-4B9F-807D-AB446D105662}"/>
    <dataValidation allowBlank="1" showErrorMessage="1" prompt="If using the Vasquez-Beggs Equation, enter the the value for the constant C3." sqref="C254" xr:uid="{980380A6-159F-4B4E-B78C-B0422B205917}"/>
    <dataValidation allowBlank="1" showErrorMessage="1" prompt="If using the Vasquez-Beggs Equation, enter the the value for the constant C2." sqref="C253" xr:uid="{20336E47-50FC-426E-921D-8C21F51CF952}"/>
    <dataValidation allowBlank="1" showErrorMessage="1" prompt="If using the Vasquez-Beggs Equation, enter the the value for the constant C1." sqref="C252" xr:uid="{0E0AD211-A284-416A-B01B-EC56A3E4609E}"/>
    <dataValidation allowBlank="1" showErrorMessage="1" prompt="If using the Vasquez-Beggs Equation, enter the dissolved gas gravity at 100 psig, if necessary:" sqref="C251" xr:uid="{E6340C8C-6BD9-4867-906F-4E793CAF477C}"/>
    <dataValidation type="decimal" allowBlank="1" showErrorMessage="1" error="VOC fraction must be between 0.5 (50%) - 1.0 (100%)." prompt="If using the Vasquez-Beggs Equation, enter the fraction of VOC in the stock tank gas:" sqref="C250" xr:uid="{4B69C4B6-F262-4A90-B15C-AEEB622CA70F}">
      <formula1>0.5</formula1>
      <formula2>1</formula2>
    </dataValidation>
    <dataValidation allowBlank="1" showErrorMessage="1" prompt="If this is a Variable Vapor Space tank, enter the total variable vapor space filling loss, if necessary, in pounds per year." sqref="C267" xr:uid="{EC138EEE-5EDD-41F2-B8A1-DD2F3A9A7384}"/>
    <dataValidation allowBlank="1" showErrorMessage="1" prompt="If this is a Variable Vapor Space tank, enter the total variable vapor space filling loss, if necessary, in pounds per thousand gallons throughput." sqref="C266" xr:uid="{DEEFE570-9341-43C2-9860-54E6EAA2CE48}"/>
    <dataValidation allowBlank="1" showErrorMessage="1" prompt="If this is a Variable Vapor Space tank, enter the number of transfers into system (N2):" sqref="C265" xr:uid="{36792EC7-90C2-46B2-B3BF-EF6BA4212073}"/>
    <dataValidation allowBlank="1" showErrorMessage="1" prompt="If this is a Variable Vapor Space tank, enter the volume expansion capacity of the system (V2):" sqref="C264" xr:uid="{CB5B1191-166C-42A9-B543-179C119D8532}"/>
    <dataValidation allowBlank="1" showErrorMessage="1" prompt="If this is a Variable Vapor Space tank, enter the volume of liquid pumped into the system (throughput, V1), if necessary:" sqref="C263" xr:uid="{D1BE5F43-F36C-4408-B71C-6FCA38DD7FC5}"/>
    <dataValidation type="list" allowBlank="1" showErrorMessage="1" prompt="Is this a Variable Vapor Space tank? Select or enter &quot;Yes&quot; or &quot;No&quot;." sqref="C262" xr:uid="{351D42AC-1AD0-4290-B3B2-BFB26F92E839}">
      <formula1>"Yes,No"</formula1>
    </dataValidation>
    <dataValidation allowBlank="1" showErrorMessage="1" prompt="Enter the FIN for this tank. Note that it must match the existing authorization's FIN." sqref="B6" xr:uid="{7A973CCD-AE19-4C22-94F3-C186F13A971D}"/>
    <dataValidation allowBlank="1" showErrorMessage="1" prompt="Enter the EPN for this tank. Note that it must match the existing authorization's EPN." sqref="B7" xr:uid="{4CDE4F23-F11B-4532-994E-74BF958CF7E2}"/>
    <dataValidation allowBlank="1" showErrorMessage="1" prompt="Enter the source name for this tank. Note that it must match the existing authorization's source name." sqref="B8" xr:uid="{92898278-F0CB-4DFD-B34F-1038F6EB8738}"/>
    <dataValidation type="list" allowBlank="1" showErrorMessage="1" prompt="Enter the UTM Zone for this tank." sqref="B9" xr:uid="{93DC540B-41BE-4CDC-868F-0AFB709061F2}">
      <formula1>"13,14,15"</formula1>
    </dataValidation>
    <dataValidation allowBlank="1" showErrorMessage="1" prompt="Enter the Easting distance from the UTM coordinate." sqref="B10" xr:uid="{1ABC1204-541D-4668-A2C8-154F1B4AAED7}"/>
    <dataValidation allowBlank="1" showErrorMessage="1" prompt="Enter the Northing distance from the UTM coordinate." sqref="B11" xr:uid="{BDA0A2EA-1A57-48B8-8E87-D5F9AE112070}"/>
    <dataValidation type="list" allowBlank="1" showErrorMessage="1" prompt="What is the roof shape? Select or enter Cone or Dome." sqref="C58" xr:uid="{361C47AF-CC11-48B6-B75A-FE810AF5DA07}">
      <formula1>"Cone,Dome"</formula1>
    </dataValidation>
  </dataValidations>
  <hyperlinks>
    <hyperlink ref="A93" r:id="rId1" xr:uid="{BCBC4F4A-B7E2-43C3-8B5E-FFAB7649BDDC}"/>
    <hyperlink ref="A93:D93" r:id="rId2" tooltip="Click to link to ambient temperature and wind speed data." display="https://www.ncdc.noaa.gov/ghcn/comparative-climatic-data" xr:uid="{601C2859-33CE-431D-913A-73BEF39DE95A}"/>
  </hyperlinks>
  <pageMargins left="0.7" right="0.7" top="0.75" bottom="0.75" header="0.3" footer="0.3"/>
  <pageSetup orientation="portrait" r:id="rId3"/>
  <headerFooter>
    <oddHeader>&amp;C&amp;"Arial,Regular"Annual Throughput Increase RAP Application</oddHeader>
    <oddFooter>&amp;LVersion: 5/1/2019&amp;CSheet: &amp;A&amp;RPage &amp;P/&amp;N</oddFooter>
  </headerFooter>
  <extLst>
    <ext xmlns:x14="http://schemas.microsoft.com/office/spreadsheetml/2009/9/main" uri="{78C0D931-6437-407d-A8EE-F0AAD7539E65}">
      <x14:conditionalFormattings>
        <x14:conditionalFormatting xmlns:xm="http://schemas.microsoft.com/office/excel/2006/main">
          <x14:cfRule type="expression" priority="2" stopIfTrue="1" id="{219A062E-3A66-493C-BD8C-CAC9475FCDAE}">
            <xm:f>'Hidden Inputs'!$BR$5</xm:f>
            <x14:dxf>
              <font>
                <color theme="0" tint="-0.499984740745262"/>
              </font>
              <numFmt numFmtId="171" formatCode=";;;"/>
              <fill>
                <patternFill>
                  <bgColor theme="0" tint="-0.499984740745262"/>
                </patternFill>
              </fill>
            </x14:dxf>
          </x14:cfRule>
          <xm:sqref>A4:C14 A16:Q26 A28:D91 A95:Q117 A119:D127 A129:D137 A139:D154 A156:L178 A180:D210 A212:D236 A238:D258 A260:D267 A269:E297 A299:Q308</xm:sqref>
        </x14:conditionalFormatting>
        <x14:conditionalFormatting xmlns:xm="http://schemas.microsoft.com/office/excel/2006/main">
          <x14:cfRule type="expression" priority="12" id="{37E77601-7F3F-423E-9BAB-78B9F27F1918}">
            <xm:f>'TANKS Calculations'!H$125&gt;0</xm:f>
            <x14:dxf>
              <font>
                <color theme="0" tint="-0.499984740745262"/>
              </font>
              <numFmt numFmtId="171" formatCode=";;;"/>
              <fill>
                <patternFill>
                  <bgColor theme="0" tint="-0.499984740745262"/>
                </patternFill>
              </fill>
            </x14:dxf>
          </x14:cfRule>
          <xm:sqref>B104:P105</xm:sqref>
        </x14:conditionalFormatting>
      </x14:conditionalFormattings>
    </ext>
    <ext xmlns:x14="http://schemas.microsoft.com/office/spreadsheetml/2009/9/main" uri="{CCE6A557-97BC-4b89-ADB6-D9C93CAAB3DF}">
      <x14:dataValidations xmlns:xm="http://schemas.microsoft.com/office/excel/2006/main" disablePrompts="1" count="5">
        <x14:dataValidation type="list" allowBlank="1" prompt="Select the chemical name from the drop-down. If the chemical name is not in the list, enter the chemical name in the cell." xr:uid="{29E08BF1-700C-4623-9AAB-1022E0B1841A}">
          <x14:formula1>
            <xm:f>'TANKS Vapor Fx'!$A$3:$A$294</xm:f>
          </x14:formula1>
          <xm:sqref>B18:P18</xm:sqref>
        </x14:dataValidation>
        <x14:dataValidation type="list" allowBlank="1" showErrorMessage="1" prompt="What color is the paint on the shell? Select color from drop-down menu." xr:uid="{C190A485-1605-47AD-9CD8-0FA061CB7893}">
          <x14:formula1>
            <xm:f>'TANKS Data'!$B$174:$B$186</xm:f>
          </x14:formula1>
          <xm:sqref>C56 C54</xm:sqref>
        </x14:dataValidation>
        <x14:dataValidation type="list" allowBlank="1" prompt="Select the fitting type from the drop-down menu." xr:uid="{63A44101-1825-48FB-AA59-E0A2E5190E90}">
          <x14:formula1>
            <xm:f>'TANKS Data'!$G$96:$G$111</xm:f>
          </x14:formula1>
          <xm:sqref>A158:B177</xm:sqref>
        </x14:dataValidation>
        <x14:dataValidation type="list" allowBlank="1" showErrorMessage="1" prompt="Select the nearest city and state from the drop-down menu. This will fill in appropriate meteorological data for the region. If this field is left blank, meteorological data must be entered manually in the &quot;Input Parameters&quot; section." xr:uid="{92CAF924-B398-4B44-BE74-71FA0EE6DB03}">
          <x14:formula1>
            <xm:f>'TANKS Data'!$A$189:$A$213</xm:f>
          </x14:formula1>
          <xm:sqref>B14</xm:sqref>
        </x14:dataValidation>
        <x14:dataValidation type="list" allowBlank="1" prompt="Specify the construction details for the fitting type specified in the previous column. If no matching result is present in the drop-down menu, you may enter your own details and factors." xr:uid="{1CC74A48-82F7-4166-8B79-201633718578}">
          <x14:formula1>
            <xm:f>INDIRECT('TANKS Data'!$AD96)</xm:f>
          </x14:formula1>
          <xm:sqref>C158:D177</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58040E-814D-4072-875C-915EE8A6D5D5}">
  <sheetPr codeName="Sheet30">
    <tabColor theme="1"/>
  </sheetPr>
  <dimension ref="A1:W170"/>
  <sheetViews>
    <sheetView workbookViewId="0">
      <selection sqref="A1:W1"/>
    </sheetView>
  </sheetViews>
  <sheetFormatPr defaultRowHeight="12.75" x14ac:dyDescent="0.2"/>
  <cols>
    <col min="1" max="1" width="53.7109375" style="106" bestFit="1" customWidth="1"/>
    <col min="2" max="6" width="28.5703125" style="106" customWidth="1"/>
    <col min="7" max="7" width="49.42578125" style="106" bestFit="1" customWidth="1"/>
    <col min="8" max="8" width="12" style="106" bestFit="1" customWidth="1"/>
    <col min="9" max="9" width="14" style="106" bestFit="1" customWidth="1"/>
    <col min="10" max="10" width="12" style="106" bestFit="1" customWidth="1"/>
    <col min="11" max="11" width="12" style="106" customWidth="1"/>
    <col min="12" max="12" width="12" style="106" bestFit="1" customWidth="1"/>
    <col min="13" max="16384" width="9.140625" style="106"/>
  </cols>
  <sheetData>
    <row r="1" spans="1:23" ht="21" thickBot="1" x14ac:dyDescent="0.35">
      <c r="A1" s="1386" t="s">
        <v>9948</v>
      </c>
      <c r="B1" s="1386"/>
      <c r="C1" s="1386"/>
      <c r="D1" s="1386"/>
      <c r="E1" s="1386"/>
      <c r="F1" s="1386"/>
      <c r="G1" s="1386"/>
      <c r="H1" s="1386"/>
      <c r="I1" s="1386"/>
      <c r="J1" s="1386"/>
      <c r="K1" s="1386"/>
      <c r="L1" s="1386"/>
      <c r="M1" s="1386"/>
      <c r="N1" s="1386"/>
      <c r="O1" s="1386"/>
      <c r="P1" s="1386"/>
      <c r="Q1" s="1386"/>
      <c r="R1" s="1386"/>
      <c r="S1" s="1386"/>
      <c r="T1" s="1386"/>
      <c r="U1" s="1386"/>
      <c r="V1" s="1386"/>
      <c r="W1" s="1386"/>
    </row>
    <row r="2" spans="1:23" ht="13.5" thickBot="1" x14ac:dyDescent="0.25">
      <c r="A2" s="120" t="s">
        <v>9500</v>
      </c>
      <c r="B2" s="198" t="s">
        <v>9971</v>
      </c>
      <c r="C2" s="198" t="s">
        <v>9972</v>
      </c>
      <c r="D2" s="198" t="s">
        <v>9973</v>
      </c>
      <c r="E2" s="198" t="s">
        <v>9974</v>
      </c>
      <c r="F2" s="198" t="s">
        <v>9975</v>
      </c>
      <c r="G2" s="1384" t="s">
        <v>9976</v>
      </c>
      <c r="H2" s="1384"/>
      <c r="I2" s="1384"/>
      <c r="J2" s="1384"/>
      <c r="K2" s="1384"/>
      <c r="L2" s="1384"/>
      <c r="M2" s="1384"/>
      <c r="N2" s="1384"/>
      <c r="O2" s="1384"/>
      <c r="P2" s="1384"/>
      <c r="Q2" s="1384"/>
      <c r="R2" s="1384"/>
      <c r="S2" s="1384"/>
      <c r="T2" s="1384"/>
      <c r="U2" s="1384"/>
      <c r="V2" s="1384"/>
      <c r="W2" s="1385"/>
    </row>
    <row r="3" spans="1:23" ht="13.5" thickBot="1" x14ac:dyDescent="0.25">
      <c r="A3" s="115" t="s">
        <v>9501</v>
      </c>
      <c r="B3" s="199">
        <f>IF(ISBLANK('Tank Loss 1'!C30),'Tank Loss 1'!B30,'Tank Loss 1'!C30)</f>
        <v>14.7</v>
      </c>
      <c r="C3" s="199">
        <f>IF(ISBLANK('Tank Loss 2'!C30),'Tank Loss 2'!B30,'Tank Loss 2'!C30)</f>
        <v>14.7</v>
      </c>
      <c r="D3" s="199">
        <f>IF(ISBLANK('Tank Loss 3'!C30),'Tank Loss 3'!B30,'Tank Loss 3'!C30)</f>
        <v>14.7</v>
      </c>
      <c r="E3" s="199">
        <f>IF(ISBLANK('Tank Loss 4'!C30),'Tank Loss 4'!B30,'Tank Loss 4'!C30)</f>
        <v>14.7</v>
      </c>
      <c r="F3" s="199">
        <f>IF(ISBLANK('Tank Loss 5'!C30),'Tank Loss 5'!B30,'Tank Loss 5'!C30)</f>
        <v>14.7</v>
      </c>
      <c r="G3" s="200" t="s">
        <v>9502</v>
      </c>
      <c r="H3" s="201" t="s">
        <v>9503</v>
      </c>
      <c r="I3" s="202" t="s">
        <v>9504</v>
      </c>
      <c r="J3" s="202" t="s">
        <v>9505</v>
      </c>
      <c r="K3" s="202" t="s">
        <v>9506</v>
      </c>
      <c r="L3" s="202" t="s">
        <v>9507</v>
      </c>
      <c r="M3" s="202" t="s">
        <v>9508</v>
      </c>
      <c r="N3" s="202" t="s">
        <v>9509</v>
      </c>
      <c r="O3" s="202" t="s">
        <v>9510</v>
      </c>
      <c r="P3" s="202" t="s">
        <v>9511</v>
      </c>
      <c r="Q3" s="202" t="s">
        <v>9512</v>
      </c>
      <c r="R3" s="202" t="s">
        <v>9513</v>
      </c>
      <c r="S3" s="202" t="s">
        <v>9514</v>
      </c>
      <c r="T3" s="202" t="s">
        <v>9515</v>
      </c>
      <c r="U3" s="202" t="s">
        <v>9516</v>
      </c>
      <c r="V3" s="202" t="s">
        <v>9517</v>
      </c>
      <c r="W3" s="203" t="s">
        <v>1</v>
      </c>
    </row>
    <row r="4" spans="1:23" x14ac:dyDescent="0.2">
      <c r="A4" s="115" t="s">
        <v>9518</v>
      </c>
      <c r="B4" s="199">
        <f>W9</f>
        <v>1</v>
      </c>
      <c r="C4" s="199">
        <f>W36</f>
        <v>1</v>
      </c>
      <c r="D4" s="199">
        <f>W63</f>
        <v>1</v>
      </c>
      <c r="E4" s="199">
        <f>W90</f>
        <v>1</v>
      </c>
      <c r="F4" s="199">
        <f>W117</f>
        <v>1</v>
      </c>
      <c r="G4" s="204" t="s">
        <v>9519</v>
      </c>
      <c r="H4" s="205">
        <f>'Tank Loss 1'!B18</f>
        <v>0</v>
      </c>
      <c r="I4" s="206">
        <f>'Tank Loss 1'!C18</f>
        <v>0</v>
      </c>
      <c r="J4" s="206">
        <f>'Tank Loss 1'!D18</f>
        <v>0</v>
      </c>
      <c r="K4" s="206">
        <f>'Tank Loss 1'!E18</f>
        <v>0</v>
      </c>
      <c r="L4" s="206">
        <f>'Tank Loss 1'!F18</f>
        <v>0</v>
      </c>
      <c r="M4" s="206">
        <f>'Tank Loss 1'!G18</f>
        <v>0</v>
      </c>
      <c r="N4" s="206">
        <f>'Tank Loss 1'!H18</f>
        <v>0</v>
      </c>
      <c r="O4" s="206">
        <f>'Tank Loss 1'!I18</f>
        <v>0</v>
      </c>
      <c r="P4" s="206">
        <f>'Tank Loss 1'!J18</f>
        <v>0</v>
      </c>
      <c r="Q4" s="206">
        <f>'Tank Loss 1'!K18</f>
        <v>0</v>
      </c>
      <c r="R4" s="206">
        <f>'Tank Loss 1'!L18</f>
        <v>0</v>
      </c>
      <c r="S4" s="206">
        <f>'Tank Loss 1'!M18</f>
        <v>0</v>
      </c>
      <c r="T4" s="206">
        <f>'Tank Loss 1'!N18</f>
        <v>0</v>
      </c>
      <c r="U4" s="206">
        <f>'Tank Loss 1'!O18</f>
        <v>0</v>
      </c>
      <c r="V4" s="206">
        <f>'Tank Loss 1'!P18</f>
        <v>0</v>
      </c>
      <c r="W4" s="207"/>
    </row>
    <row r="5" spans="1:23" x14ac:dyDescent="0.2">
      <c r="A5" s="115" t="s">
        <v>9520</v>
      </c>
      <c r="B5" s="199">
        <f>'Tank Loss 1'!C34</f>
        <v>0</v>
      </c>
      <c r="C5" s="199">
        <f>'Tank Loss 2'!C34</f>
        <v>0</v>
      </c>
      <c r="D5" s="199">
        <f>'Tank Loss 3'!C34</f>
        <v>0</v>
      </c>
      <c r="E5" s="199">
        <f>'Tank Loss 4'!C34</f>
        <v>0</v>
      </c>
      <c r="F5" s="199">
        <f>'Tank Loss 5'!C34</f>
        <v>0</v>
      </c>
      <c r="G5" s="208" t="s">
        <v>9521</v>
      </c>
      <c r="H5" s="182">
        <f>'Tank Loss 1'!B19</f>
        <v>0</v>
      </c>
      <c r="I5" s="209">
        <f>'Tank Loss 1'!C19</f>
        <v>0</v>
      </c>
      <c r="J5" s="209">
        <f>'Tank Loss 1'!D19</f>
        <v>0</v>
      </c>
      <c r="K5" s="209">
        <f>'Tank Loss 1'!E19</f>
        <v>0</v>
      </c>
      <c r="L5" s="209">
        <f>'Tank Loss 1'!F19</f>
        <v>0</v>
      </c>
      <c r="M5" s="209">
        <f>'Tank Loss 1'!G19</f>
        <v>0</v>
      </c>
      <c r="N5" s="209">
        <f>'Tank Loss 1'!H19</f>
        <v>0</v>
      </c>
      <c r="O5" s="209">
        <f>'Tank Loss 1'!I19</f>
        <v>0</v>
      </c>
      <c r="P5" s="209">
        <f>'Tank Loss 1'!J19</f>
        <v>0</v>
      </c>
      <c r="Q5" s="209">
        <f>'Tank Loss 1'!K19</f>
        <v>0</v>
      </c>
      <c r="R5" s="209">
        <f>'Tank Loss 1'!L19</f>
        <v>0</v>
      </c>
      <c r="S5" s="209">
        <f>'Tank Loss 1'!M19</f>
        <v>0</v>
      </c>
      <c r="T5" s="209">
        <f>'Tank Loss 1'!N19</f>
        <v>0</v>
      </c>
      <c r="U5" s="209">
        <f>'Tank Loss 1'!O19</f>
        <v>0</v>
      </c>
      <c r="V5" s="209">
        <f>'Tank Loss 1'!P19</f>
        <v>0</v>
      </c>
      <c r="W5" s="210"/>
    </row>
    <row r="6" spans="1:23" x14ac:dyDescent="0.2">
      <c r="A6" s="115" t="s">
        <v>9522</v>
      </c>
      <c r="B6" s="199">
        <f>'Tank Loss 1'!C36</f>
        <v>0</v>
      </c>
      <c r="C6" s="199">
        <f>'Tank Loss 2'!C36</f>
        <v>0</v>
      </c>
      <c r="D6" s="199">
        <f>'Tank Loss 3'!C36</f>
        <v>0</v>
      </c>
      <c r="E6" s="199">
        <f>'Tank Loss 4'!C36</f>
        <v>0</v>
      </c>
      <c r="F6" s="199">
        <f>'Tank Loss 5'!C36</f>
        <v>0</v>
      </c>
      <c r="G6" s="208" t="s">
        <v>9523</v>
      </c>
      <c r="H6" s="182">
        <f>'Tank Loss 1'!B20</f>
        <v>0</v>
      </c>
      <c r="I6" s="209">
        <f>'Tank Loss 1'!C20</f>
        <v>0</v>
      </c>
      <c r="J6" s="209">
        <f>'Tank Loss 1'!D20</f>
        <v>0</v>
      </c>
      <c r="K6" s="209">
        <f>'Tank Loss 1'!E20</f>
        <v>0</v>
      </c>
      <c r="L6" s="209">
        <f>'Tank Loss 1'!F20</f>
        <v>0</v>
      </c>
      <c r="M6" s="209">
        <f>'Tank Loss 1'!G20</f>
        <v>0</v>
      </c>
      <c r="N6" s="209">
        <f>'Tank Loss 1'!H20</f>
        <v>0</v>
      </c>
      <c r="O6" s="209">
        <f>'Tank Loss 1'!I20</f>
        <v>0</v>
      </c>
      <c r="P6" s="209">
        <f>'Tank Loss 1'!J20</f>
        <v>0</v>
      </c>
      <c r="Q6" s="209">
        <f>'Tank Loss 1'!K20</f>
        <v>0</v>
      </c>
      <c r="R6" s="209">
        <f>'Tank Loss 1'!L20</f>
        <v>0</v>
      </c>
      <c r="S6" s="209">
        <f>'Tank Loss 1'!M20</f>
        <v>0</v>
      </c>
      <c r="T6" s="209">
        <f>'Tank Loss 1'!N20</f>
        <v>0</v>
      </c>
      <c r="U6" s="209">
        <f>'Tank Loss 1'!O20</f>
        <v>0</v>
      </c>
      <c r="V6" s="209">
        <f>'Tank Loss 1'!P20</f>
        <v>0</v>
      </c>
      <c r="W6" s="184">
        <f>SUM(H6:V6)</f>
        <v>0</v>
      </c>
    </row>
    <row r="7" spans="1:23" x14ac:dyDescent="0.2">
      <c r="A7" s="115" t="s">
        <v>9524</v>
      </c>
      <c r="B7" s="199">
        <f>'Tank Loss 1'!C37</f>
        <v>0</v>
      </c>
      <c r="C7" s="199">
        <f>'Tank Loss 2'!C37</f>
        <v>0</v>
      </c>
      <c r="D7" s="199">
        <f>'Tank Loss 3'!C37</f>
        <v>0</v>
      </c>
      <c r="E7" s="199">
        <f>'Tank Loss 4'!C37</f>
        <v>0</v>
      </c>
      <c r="F7" s="199">
        <f>'Tank Loss 5'!C37</f>
        <v>0</v>
      </c>
      <c r="G7" s="208" t="s">
        <v>9201</v>
      </c>
      <c r="H7" s="182">
        <f>IF(ISBLANK('Tank Loss 1'!B22),'Tank Loss 1'!B21,'Tank Loss 1'!B22)</f>
        <v>0</v>
      </c>
      <c r="I7" s="209">
        <f>IF(ISBLANK('Tank Loss 1'!C22),'Tank Loss 1'!C21,'Tank Loss 1'!C22)</f>
        <v>0</v>
      </c>
      <c r="J7" s="209">
        <f>IF(ISBLANK('Tank Loss 1'!D22),'Tank Loss 1'!D21,'Tank Loss 1'!D22)</f>
        <v>0</v>
      </c>
      <c r="K7" s="209">
        <f>IF(ISBLANK('Tank Loss 1'!E22),'Tank Loss 1'!E21,'Tank Loss 1'!E22)</f>
        <v>0</v>
      </c>
      <c r="L7" s="209">
        <f>IF(ISBLANK('Tank Loss 1'!F22),'Tank Loss 1'!F21,'Tank Loss 1'!F22)</f>
        <v>0</v>
      </c>
      <c r="M7" s="209">
        <f>IF(ISBLANK('Tank Loss 1'!G22),'Tank Loss 1'!G21,'Tank Loss 1'!G22)</f>
        <v>0</v>
      </c>
      <c r="N7" s="209">
        <f>IF(ISBLANK('Tank Loss 1'!H22),'Tank Loss 1'!H21,'Tank Loss 1'!H22)</f>
        <v>0</v>
      </c>
      <c r="O7" s="209">
        <f>IF(ISBLANK('Tank Loss 1'!I22),'Tank Loss 1'!I21,'Tank Loss 1'!I22)</f>
        <v>0</v>
      </c>
      <c r="P7" s="209">
        <f>IF(ISBLANK('Tank Loss 1'!J22),'Tank Loss 1'!J21,'Tank Loss 1'!J22)</f>
        <v>0</v>
      </c>
      <c r="Q7" s="209">
        <f>IF(ISBLANK('Tank Loss 1'!K22),'Tank Loss 1'!K21,'Tank Loss 1'!K22)</f>
        <v>0</v>
      </c>
      <c r="R7" s="209">
        <f>IF(ISBLANK('Tank Loss 1'!L22),'Tank Loss 1'!L21,'Tank Loss 1'!L22)</f>
        <v>0</v>
      </c>
      <c r="S7" s="209">
        <f>IF(ISBLANK('Tank Loss 1'!M22),'Tank Loss 1'!M21,'Tank Loss 1'!M22)</f>
        <v>0</v>
      </c>
      <c r="T7" s="209">
        <f>IF(ISBLANK('Tank Loss 1'!N22),'Tank Loss 1'!N21,'Tank Loss 1'!N22)</f>
        <v>0</v>
      </c>
      <c r="U7" s="209">
        <f>IF(ISBLANK('Tank Loss 1'!O22),'Tank Loss 1'!O21,'Tank Loss 1'!O22)</f>
        <v>0</v>
      </c>
      <c r="V7" s="209">
        <f>IF(ISBLANK('Tank Loss 1'!P22),'Tank Loss 1'!P21,'Tank Loss 1'!P22)</f>
        <v>0</v>
      </c>
      <c r="W7" s="211">
        <f>IFERROR(1/W8,0)</f>
        <v>0</v>
      </c>
    </row>
    <row r="8" spans="1:23" x14ac:dyDescent="0.2">
      <c r="A8" s="115" t="s">
        <v>9525</v>
      </c>
      <c r="B8" s="199">
        <f>IF(ISBLANK('Tank Loss 1'!C38),'Tank Loss 1'!B38,'Tank Loss 1'!C38)</f>
        <v>0</v>
      </c>
      <c r="C8" s="199">
        <f>IF(ISBLANK('Tank Loss 2'!C38),'Tank Loss 2'!B38,'Tank Loss 2'!C38)</f>
        <v>0</v>
      </c>
      <c r="D8" s="199">
        <f>IF(ISBLANK('Tank Loss 3'!C38),'Tank Loss 3'!B38,'Tank Loss 3'!C38)</f>
        <v>0</v>
      </c>
      <c r="E8" s="199">
        <f>IF(ISBLANK('Tank Loss 4'!C38),'Tank Loss 4'!B38,'Tank Loss 4'!C38)</f>
        <v>0</v>
      </c>
      <c r="F8" s="199">
        <f>IF(ISBLANK('Tank Loss 5'!C38),'Tank Loss 5'!B38,'Tank Loss 5'!C38)</f>
        <v>0</v>
      </c>
      <c r="G8" s="208" t="s">
        <v>9526</v>
      </c>
      <c r="H8" s="182">
        <f>IFERROR((H6/H7),0)</f>
        <v>0</v>
      </c>
      <c r="I8" s="209">
        <f t="shared" ref="I8:V8" si="0">IFERROR((I6/I7),0)</f>
        <v>0</v>
      </c>
      <c r="J8" s="209">
        <f t="shared" si="0"/>
        <v>0</v>
      </c>
      <c r="K8" s="209">
        <f t="shared" si="0"/>
        <v>0</v>
      </c>
      <c r="L8" s="209">
        <f t="shared" si="0"/>
        <v>0</v>
      </c>
      <c r="M8" s="209">
        <f t="shared" si="0"/>
        <v>0</v>
      </c>
      <c r="N8" s="209">
        <f t="shared" si="0"/>
        <v>0</v>
      </c>
      <c r="O8" s="209">
        <f t="shared" si="0"/>
        <v>0</v>
      </c>
      <c r="P8" s="209">
        <f t="shared" si="0"/>
        <v>0</v>
      </c>
      <c r="Q8" s="209">
        <f t="shared" si="0"/>
        <v>0</v>
      </c>
      <c r="R8" s="209">
        <f t="shared" si="0"/>
        <v>0</v>
      </c>
      <c r="S8" s="209">
        <f t="shared" si="0"/>
        <v>0</v>
      </c>
      <c r="T8" s="209">
        <f t="shared" si="0"/>
        <v>0</v>
      </c>
      <c r="U8" s="209">
        <f t="shared" si="0"/>
        <v>0</v>
      </c>
      <c r="V8" s="209">
        <f t="shared" si="0"/>
        <v>0</v>
      </c>
      <c r="W8" s="184">
        <f>SUM(H8:V8)</f>
        <v>0</v>
      </c>
    </row>
    <row r="9" spans="1:23" x14ac:dyDescent="0.2">
      <c r="A9" s="115" t="s">
        <v>9527</v>
      </c>
      <c r="B9" s="199">
        <f>IF(ISBLANK('Tank Loss 1'!C39),'Tank Loss 1'!B39,'Tank Loss 1'!C39)</f>
        <v>0</v>
      </c>
      <c r="C9" s="199">
        <f>IF(ISBLANK('Tank Loss 2'!C39),'Tank Loss 2'!B39,'Tank Loss 2'!C39)</f>
        <v>0</v>
      </c>
      <c r="D9" s="199">
        <f>IF(ISBLANK('Tank Loss 3'!C39),'Tank Loss 3'!B39,'Tank Loss 3'!C39)</f>
        <v>0</v>
      </c>
      <c r="E9" s="199">
        <f>IF(ISBLANK('Tank Loss 4'!C39),'Tank Loss 4'!B39,'Tank Loss 4'!C39)</f>
        <v>0</v>
      </c>
      <c r="F9" s="199">
        <f>IF(ISBLANK('Tank Loss 5'!C39),'Tank Loss 5'!B39,'Tank Loss 5'!C39)</f>
        <v>0</v>
      </c>
      <c r="G9" s="208" t="s">
        <v>9528</v>
      </c>
      <c r="H9" s="182">
        <f>IF(ISBLANK('Tank Loss 1'!B24),'Tank Loss 1'!B23,'Tank Loss 1'!B24)</f>
        <v>0</v>
      </c>
      <c r="I9" s="209">
        <f>IF(ISBLANK('Tank Loss 1'!C24),'Tank Loss 1'!C23,'Tank Loss 1'!C24)</f>
        <v>0</v>
      </c>
      <c r="J9" s="209">
        <f>IF(ISBLANK('Tank Loss 1'!D24),'Tank Loss 1'!D23,'Tank Loss 1'!D24)</f>
        <v>0</v>
      </c>
      <c r="K9" s="209">
        <f>IF(ISBLANK('Tank Loss 1'!E24),'Tank Loss 1'!E23,'Tank Loss 1'!E24)</f>
        <v>0</v>
      </c>
      <c r="L9" s="209">
        <f>IF(ISBLANK('Tank Loss 1'!F24),'Tank Loss 1'!F23,'Tank Loss 1'!F24)</f>
        <v>0</v>
      </c>
      <c r="M9" s="209">
        <f>IF(ISBLANK('Tank Loss 1'!G24),'Tank Loss 1'!G23,'Tank Loss 1'!G24)</f>
        <v>0</v>
      </c>
      <c r="N9" s="209">
        <f>IF(ISBLANK('Tank Loss 1'!H24),'Tank Loss 1'!H23,'Tank Loss 1'!H24)</f>
        <v>0</v>
      </c>
      <c r="O9" s="209">
        <f>IF(ISBLANK('Tank Loss 1'!I24),'Tank Loss 1'!I23,'Tank Loss 1'!I24)</f>
        <v>0</v>
      </c>
      <c r="P9" s="209">
        <f>IF(ISBLANK('Tank Loss 1'!J24),'Tank Loss 1'!J23,'Tank Loss 1'!J24)</f>
        <v>0</v>
      </c>
      <c r="Q9" s="209">
        <f>IF(ISBLANK('Tank Loss 1'!K24),'Tank Loss 1'!K23,'Tank Loss 1'!K24)</f>
        <v>0</v>
      </c>
      <c r="R9" s="209">
        <f>IF(ISBLANK('Tank Loss 1'!L24),'Tank Loss 1'!L23,'Tank Loss 1'!L24)</f>
        <v>0</v>
      </c>
      <c r="S9" s="209">
        <f>IF(ISBLANK('Tank Loss 1'!M24),'Tank Loss 1'!M23,'Tank Loss 1'!M24)</f>
        <v>0</v>
      </c>
      <c r="T9" s="209">
        <f>IF(ISBLANK('Tank Loss 1'!N24),'Tank Loss 1'!N23,'Tank Loss 1'!N24)</f>
        <v>0</v>
      </c>
      <c r="U9" s="209">
        <f>IF(ISBLANK('Tank Loss 1'!O24),'Tank Loss 1'!O23,'Tank Loss 1'!O24)</f>
        <v>0</v>
      </c>
      <c r="V9" s="209">
        <f>IF(ISBLANK('Tank Loss 1'!P24),'Tank Loss 1'!P23,'Tank Loss 1'!P24)</f>
        <v>0</v>
      </c>
      <c r="W9" s="184">
        <f>IFERROR(IF(AND(AVERAGEIF(H9:V9,"&gt;0")=IF('Tank Loss 1'!B12="Fixed",0.75,0.4),IFERROR(AVERAGEIF(H9:V9,"&gt;0"),1)=IF('Tank Loss 1'!B12="Fixed",0.75,0.4)),IF('Tank Loss 1'!B12="Fixed",0.75,0.4),1),1)</f>
        <v>1</v>
      </c>
    </row>
    <row r="10" spans="1:23" x14ac:dyDescent="0.2">
      <c r="A10" s="115" t="s">
        <v>9529</v>
      </c>
      <c r="B10" s="199">
        <f>'Tank Loss 1'!C40</f>
        <v>0</v>
      </c>
      <c r="C10" s="199">
        <f>'Tank Loss 2'!C40</f>
        <v>0</v>
      </c>
      <c r="D10" s="199">
        <f>'Tank Loss 3'!C40</f>
        <v>0</v>
      </c>
      <c r="E10" s="199">
        <f>'Tank Loss 4'!C40</f>
        <v>0</v>
      </c>
      <c r="F10" s="199">
        <f>'Tank Loss 5'!C40</f>
        <v>0</v>
      </c>
      <c r="G10" s="208" t="s">
        <v>9530</v>
      </c>
      <c r="H10" s="182">
        <f>IF(ISBLANK('Tank Loss 1'!B26),'Tank Loss 1'!B25,'Tank Loss 1'!B26)</f>
        <v>0</v>
      </c>
      <c r="I10" s="209">
        <f>IF(ISBLANK('Tank Loss 1'!C26),'Tank Loss 1'!C25,'Tank Loss 1'!C26)</f>
        <v>0</v>
      </c>
      <c r="J10" s="209">
        <f>IF(ISBLANK('Tank Loss 1'!D26),'Tank Loss 1'!D25,'Tank Loss 1'!D26)</f>
        <v>0</v>
      </c>
      <c r="K10" s="209">
        <f>IF(ISBLANK('Tank Loss 1'!E26),'Tank Loss 1'!E25,'Tank Loss 1'!E26)</f>
        <v>0</v>
      </c>
      <c r="L10" s="209">
        <f>IF(ISBLANK('Tank Loss 1'!F26),'Tank Loss 1'!F25,'Tank Loss 1'!F26)</f>
        <v>0</v>
      </c>
      <c r="M10" s="209">
        <f>IF(ISBLANK('Tank Loss 1'!G26),'Tank Loss 1'!G25,'Tank Loss 1'!G26)</f>
        <v>0</v>
      </c>
      <c r="N10" s="209">
        <f>IF(ISBLANK('Tank Loss 1'!H26),'Tank Loss 1'!H25,'Tank Loss 1'!H26)</f>
        <v>0</v>
      </c>
      <c r="O10" s="209">
        <f>IF(ISBLANK('Tank Loss 1'!I26),'Tank Loss 1'!I25,'Tank Loss 1'!I26)</f>
        <v>0</v>
      </c>
      <c r="P10" s="209">
        <f>IF(ISBLANK('Tank Loss 1'!J26),'Tank Loss 1'!J25,'Tank Loss 1'!J26)</f>
        <v>0</v>
      </c>
      <c r="Q10" s="209">
        <f>IF(ISBLANK('Tank Loss 1'!K26),'Tank Loss 1'!K25,'Tank Loss 1'!K26)</f>
        <v>0</v>
      </c>
      <c r="R10" s="209">
        <f>IF(ISBLANK('Tank Loss 1'!L26),'Tank Loss 1'!L25,'Tank Loss 1'!L26)</f>
        <v>0</v>
      </c>
      <c r="S10" s="209">
        <f>IF(ISBLANK('Tank Loss 1'!M26),'Tank Loss 1'!M25,'Tank Loss 1'!M26)</f>
        <v>0</v>
      </c>
      <c r="T10" s="209">
        <f>IF(ISBLANK('Tank Loss 1'!N26),'Tank Loss 1'!N25,'Tank Loss 1'!N26)</f>
        <v>0</v>
      </c>
      <c r="U10" s="209">
        <f>IF(ISBLANK('Tank Loss 1'!O26),'Tank Loss 1'!O25,'Tank Loss 1'!O26)</f>
        <v>0</v>
      </c>
      <c r="V10" s="209">
        <f>IF(ISBLANK('Tank Loss 1'!P26),'Tank Loss 1'!P25,'Tank Loss 1'!P26)</f>
        <v>0</v>
      </c>
      <c r="W10" s="184">
        <f>SUM(H10:V10)</f>
        <v>0</v>
      </c>
    </row>
    <row r="11" spans="1:23" x14ac:dyDescent="0.2">
      <c r="A11" s="115" t="s">
        <v>9531</v>
      </c>
      <c r="B11" s="199">
        <f>IF(ISBLANK('Tank Loss 1'!C41),'Tank Loss 1'!B41,'Tank Loss 1'!C41)</f>
        <v>-1</v>
      </c>
      <c r="C11" s="199">
        <f>IF(ISBLANK('Tank Loss 2'!C41),'Tank Loss 2'!B41,'Tank Loss 2'!C41)</f>
        <v>-1</v>
      </c>
      <c r="D11" s="199">
        <f>IF(ISBLANK('Tank Loss 3'!C41),'Tank Loss 3'!B41,'Tank Loss 3'!C41)</f>
        <v>-1</v>
      </c>
      <c r="E11" s="199">
        <f>IF(ISBLANK('Tank Loss 4'!C41),'Tank Loss 4'!B41,'Tank Loss 4'!C41)</f>
        <v>-1</v>
      </c>
      <c r="F11" s="199">
        <f>IF(ISBLANK('Tank Loss 5'!C41),'Tank Loss 5'!B41,'Tank Loss 5'!C41)</f>
        <v>-1</v>
      </c>
      <c r="G11" s="208" t="s">
        <v>9532</v>
      </c>
      <c r="H11" s="182">
        <f>IFERROR(H6/H10*1000,0)</f>
        <v>0</v>
      </c>
      <c r="I11" s="209">
        <f t="shared" ref="I11:V11" si="1">IFERROR(I6/I10*1000,0)</f>
        <v>0</v>
      </c>
      <c r="J11" s="209">
        <f t="shared" si="1"/>
        <v>0</v>
      </c>
      <c r="K11" s="209">
        <f t="shared" si="1"/>
        <v>0</v>
      </c>
      <c r="L11" s="209">
        <f t="shared" si="1"/>
        <v>0</v>
      </c>
      <c r="M11" s="209">
        <f t="shared" si="1"/>
        <v>0</v>
      </c>
      <c r="N11" s="209">
        <f t="shared" si="1"/>
        <v>0</v>
      </c>
      <c r="O11" s="209">
        <f t="shared" si="1"/>
        <v>0</v>
      </c>
      <c r="P11" s="209">
        <f t="shared" si="1"/>
        <v>0</v>
      </c>
      <c r="Q11" s="209">
        <f t="shared" si="1"/>
        <v>0</v>
      </c>
      <c r="R11" s="209">
        <f t="shared" si="1"/>
        <v>0</v>
      </c>
      <c r="S11" s="209">
        <f t="shared" si="1"/>
        <v>0</v>
      </c>
      <c r="T11" s="209">
        <f t="shared" si="1"/>
        <v>0</v>
      </c>
      <c r="U11" s="209">
        <f t="shared" si="1"/>
        <v>0</v>
      </c>
      <c r="V11" s="209">
        <f t="shared" si="1"/>
        <v>0</v>
      </c>
      <c r="W11" s="184">
        <f>SUM(H11:V11)</f>
        <v>0</v>
      </c>
    </row>
    <row r="12" spans="1:23" x14ac:dyDescent="0.2">
      <c r="A12" s="115" t="s">
        <v>9533</v>
      </c>
      <c r="B12" s="199">
        <f>IF(ISBLANK('Tank Loss 1'!C42),'Tank Loss 1'!B42,'Tank Loss 1'!C42)</f>
        <v>1</v>
      </c>
      <c r="C12" s="199">
        <f>IF(ISBLANK('Tank Loss 2'!C42),'Tank Loss 2'!B42,'Tank Loss 2'!C42)</f>
        <v>1</v>
      </c>
      <c r="D12" s="199">
        <f>IF(ISBLANK('Tank Loss 3'!C42),'Tank Loss 3'!B42,'Tank Loss 3'!C42)</f>
        <v>1</v>
      </c>
      <c r="E12" s="199">
        <f>IF(ISBLANK('Tank Loss 4'!C42),'Tank Loss 4'!B42,'Tank Loss 4'!C42)</f>
        <v>1</v>
      </c>
      <c r="F12" s="199">
        <f>IF(ISBLANK('Tank Loss 5'!C42),'Tank Loss 5'!B42,'Tank Loss 5'!C42)</f>
        <v>1</v>
      </c>
      <c r="G12" s="208" t="s">
        <v>9534</v>
      </c>
      <c r="H12" s="182">
        <f>IF(H4=0,0,IF(ISBLANK('Tank Loss 1'!B107),'Tank Loss 1'!B106,'Tank Loss 1'!B107))</f>
        <v>0</v>
      </c>
      <c r="I12" s="209">
        <f>IF(I4=0,0,IF(ISBLANK('Tank Loss 1'!C107),'Tank Loss 1'!C106,'Tank Loss 1'!C107))</f>
        <v>0</v>
      </c>
      <c r="J12" s="209">
        <f>IF(J4=0,0,IF(ISBLANK('Tank Loss 1'!D107),'Tank Loss 1'!D106,'Tank Loss 1'!D107))</f>
        <v>0</v>
      </c>
      <c r="K12" s="209">
        <f>IF(K4=0,0,IF(ISBLANK('Tank Loss 1'!E107),'Tank Loss 1'!E106,'Tank Loss 1'!E107))</f>
        <v>0</v>
      </c>
      <c r="L12" s="209">
        <f>IF(L4=0,0,IF(ISBLANK('Tank Loss 1'!F107),'Tank Loss 1'!F106,'Tank Loss 1'!F107))</f>
        <v>0</v>
      </c>
      <c r="M12" s="209">
        <f>IF(M4=0,0,IF(ISBLANK('Tank Loss 1'!G107),'Tank Loss 1'!G106,'Tank Loss 1'!G107))</f>
        <v>0</v>
      </c>
      <c r="N12" s="209">
        <f>IF(N4=0,0,IF(ISBLANK('Tank Loss 1'!H107),'Tank Loss 1'!H106,'Tank Loss 1'!H107))</f>
        <v>0</v>
      </c>
      <c r="O12" s="209">
        <f>IF(O4=0,0,IF(ISBLANK('Tank Loss 1'!I107),'Tank Loss 1'!I106,'Tank Loss 1'!I107))</f>
        <v>0</v>
      </c>
      <c r="P12" s="209">
        <f>IF(P4=0,0,IF(ISBLANK('Tank Loss 1'!J107),'Tank Loss 1'!J106,'Tank Loss 1'!J107))</f>
        <v>0</v>
      </c>
      <c r="Q12" s="209">
        <f>IF(Q4=0,0,IF(ISBLANK('Tank Loss 1'!K107),'Tank Loss 1'!K106,'Tank Loss 1'!K107))</f>
        <v>0</v>
      </c>
      <c r="R12" s="209">
        <f>IF(R4=0,0,IF(ISBLANK('Tank Loss 1'!L107),'Tank Loss 1'!L106,'Tank Loss 1'!L107))</f>
        <v>0</v>
      </c>
      <c r="S12" s="209">
        <f>IF(S4=0,0,IF(ISBLANK('Tank Loss 1'!M107),'Tank Loss 1'!M106,'Tank Loss 1'!M107))</f>
        <v>0</v>
      </c>
      <c r="T12" s="209">
        <f>IF(T4=0,0,IF(ISBLANK('Tank Loss 1'!N107),'Tank Loss 1'!N106,'Tank Loss 1'!N107))</f>
        <v>0</v>
      </c>
      <c r="U12" s="209">
        <f>IF(U4=0,0,IF(ISBLANK('Tank Loss 1'!O107),'Tank Loss 1'!O106,'Tank Loss 1'!O107))</f>
        <v>0</v>
      </c>
      <c r="V12" s="209">
        <f>IF(V4=0,0,IF(ISBLANK('Tank Loss 1'!P107),'Tank Loss 1'!P106,'Tank Loss 1'!P107))</f>
        <v>0</v>
      </c>
      <c r="W12" s="210"/>
    </row>
    <row r="13" spans="1:23" x14ac:dyDescent="0.2">
      <c r="A13" s="115" t="s">
        <v>9535</v>
      </c>
      <c r="B13" s="199">
        <f>'Tank Loss 1'!C43</f>
        <v>0</v>
      </c>
      <c r="C13" s="199">
        <f>'Tank Loss 2'!C43</f>
        <v>0</v>
      </c>
      <c r="D13" s="199">
        <f>'Tank Loss 3'!C43</f>
        <v>0</v>
      </c>
      <c r="E13" s="199">
        <f>'Tank Loss 4'!C43</f>
        <v>0</v>
      </c>
      <c r="F13" s="199">
        <f>'Tank Loss 5'!C43</f>
        <v>0</v>
      </c>
      <c r="G13" s="208" t="s">
        <v>9536</v>
      </c>
      <c r="H13" s="182">
        <f>IF(H4=0,0,IF(ISBLANK('Tank Loss 1'!B109),'Tank Loss 1'!B108,'Tank Loss 1'!B109))</f>
        <v>0</v>
      </c>
      <c r="I13" s="209">
        <f>IF(I4=0,0,IF(ISBLANK('Tank Loss 1'!C109),'Tank Loss 1'!C108,'Tank Loss 1'!C109))</f>
        <v>0</v>
      </c>
      <c r="J13" s="209">
        <f>IF(J4=0,0,IF(ISBLANK('Tank Loss 1'!D109),'Tank Loss 1'!D108,'Tank Loss 1'!D109))</f>
        <v>0</v>
      </c>
      <c r="K13" s="209">
        <f>IF(K4=0,0,IF(ISBLANK('Tank Loss 1'!E109),'Tank Loss 1'!E108,'Tank Loss 1'!E109))</f>
        <v>0</v>
      </c>
      <c r="L13" s="209">
        <f>IF(L4=0,0,IF(ISBLANK('Tank Loss 1'!F109),'Tank Loss 1'!F108,'Tank Loss 1'!F109))</f>
        <v>0</v>
      </c>
      <c r="M13" s="209">
        <f>IF(M4=0,0,IF(ISBLANK('Tank Loss 1'!G109),'Tank Loss 1'!G108,'Tank Loss 1'!G109))</f>
        <v>0</v>
      </c>
      <c r="N13" s="209">
        <f>IF(N4=0,0,IF(ISBLANK('Tank Loss 1'!H109),'Tank Loss 1'!H108,'Tank Loss 1'!H109))</f>
        <v>0</v>
      </c>
      <c r="O13" s="209">
        <f>IF(O4=0,0,IF(ISBLANK('Tank Loss 1'!I109),'Tank Loss 1'!I108,'Tank Loss 1'!I109))</f>
        <v>0</v>
      </c>
      <c r="P13" s="209">
        <f>IF(P4=0,0,IF(ISBLANK('Tank Loss 1'!J109),'Tank Loss 1'!J108,'Tank Loss 1'!J109))</f>
        <v>0</v>
      </c>
      <c r="Q13" s="209">
        <f>IF(Q4=0,0,IF(ISBLANK('Tank Loss 1'!K109),'Tank Loss 1'!K108,'Tank Loss 1'!K109))</f>
        <v>0</v>
      </c>
      <c r="R13" s="209">
        <f>IF(R4=0,0,IF(ISBLANK('Tank Loss 1'!L109),'Tank Loss 1'!L108,'Tank Loss 1'!L109))</f>
        <v>0</v>
      </c>
      <c r="S13" s="209">
        <f>IF(S4=0,0,IF(ISBLANK('Tank Loss 1'!M109),'Tank Loss 1'!M108,'Tank Loss 1'!M109))</f>
        <v>0</v>
      </c>
      <c r="T13" s="209">
        <f>IF(T4=0,0,IF(ISBLANK('Tank Loss 1'!N109),'Tank Loss 1'!N108,'Tank Loss 1'!N109))</f>
        <v>0</v>
      </c>
      <c r="U13" s="209">
        <f>IF(U4=0,0,IF(ISBLANK('Tank Loss 1'!O109),'Tank Loss 1'!O108,'Tank Loss 1'!O109))</f>
        <v>0</v>
      </c>
      <c r="V13" s="209">
        <f>IF(V4=0,0,IF(ISBLANK('Tank Loss 1'!P109),'Tank Loss 1'!P108,'Tank Loss 1'!P109))</f>
        <v>0</v>
      </c>
      <c r="W13" s="210"/>
    </row>
    <row r="14" spans="1:23" x14ac:dyDescent="0.2">
      <c r="A14" s="115" t="s">
        <v>10547</v>
      </c>
      <c r="B14" s="199">
        <f>'Tank Loss 1'!C44</f>
        <v>0</v>
      </c>
      <c r="C14" s="199">
        <f>'Tank Loss 2'!C44</f>
        <v>0</v>
      </c>
      <c r="D14" s="199">
        <f>'Tank Loss 3'!C44</f>
        <v>0</v>
      </c>
      <c r="E14" s="199">
        <f>'Tank Loss 4'!C44</f>
        <v>0</v>
      </c>
      <c r="F14" s="199">
        <f>'Tank Loss 5'!C44</f>
        <v>0</v>
      </c>
      <c r="G14" s="208" t="s">
        <v>9537</v>
      </c>
      <c r="H14" s="182">
        <f>IF(H4=0,0,IF(ISBLANK('Tank Loss 1'!B111),'Tank Loss 1'!B110,'Tank Loss 1'!B111))</f>
        <v>0</v>
      </c>
      <c r="I14" s="209">
        <f>IF(I4=0,0,IF(ISBLANK('Tank Loss 1'!C111),'Tank Loss 1'!C110,'Tank Loss 1'!C111))</f>
        <v>0</v>
      </c>
      <c r="J14" s="209">
        <f>IF(J4=0,0,IF(ISBLANK('Tank Loss 1'!D111),'Tank Loss 1'!D110,'Tank Loss 1'!D111))</f>
        <v>0</v>
      </c>
      <c r="K14" s="209">
        <f>IF(K4=0,0,IF(ISBLANK('Tank Loss 1'!E111),'Tank Loss 1'!E110,'Tank Loss 1'!E111))</f>
        <v>0</v>
      </c>
      <c r="L14" s="209">
        <f>IF(L4=0,0,IF(ISBLANK('Tank Loss 1'!F111),'Tank Loss 1'!F110,'Tank Loss 1'!F111))</f>
        <v>0</v>
      </c>
      <c r="M14" s="209">
        <f>IF(M4=0,0,IF(ISBLANK('Tank Loss 1'!G111),'Tank Loss 1'!G110,'Tank Loss 1'!G111))</f>
        <v>0</v>
      </c>
      <c r="N14" s="209">
        <f>IF(N4=0,0,IF(ISBLANK('Tank Loss 1'!H111),'Tank Loss 1'!H110,'Tank Loss 1'!H111))</f>
        <v>0</v>
      </c>
      <c r="O14" s="209">
        <f>IF(O4=0,0,IF(ISBLANK('Tank Loss 1'!I111),'Tank Loss 1'!I110,'Tank Loss 1'!I111))</f>
        <v>0</v>
      </c>
      <c r="P14" s="209">
        <f>IF(P4=0,0,IF(ISBLANK('Tank Loss 1'!J111),'Tank Loss 1'!J110,'Tank Loss 1'!J111))</f>
        <v>0</v>
      </c>
      <c r="Q14" s="209">
        <f>IF(Q4=0,0,IF(ISBLANK('Tank Loss 1'!K111),'Tank Loss 1'!K110,'Tank Loss 1'!K111))</f>
        <v>0</v>
      </c>
      <c r="R14" s="209">
        <f>IF(R4=0,0,IF(ISBLANK('Tank Loss 1'!L111),'Tank Loss 1'!L110,'Tank Loss 1'!L111))</f>
        <v>0</v>
      </c>
      <c r="S14" s="209">
        <f>IF(S4=0,0,IF(ISBLANK('Tank Loss 1'!M111),'Tank Loss 1'!M110,'Tank Loss 1'!M111))</f>
        <v>0</v>
      </c>
      <c r="T14" s="209">
        <f>IF(T4=0,0,IF(ISBLANK('Tank Loss 1'!N111),'Tank Loss 1'!N110,'Tank Loss 1'!N111))</f>
        <v>0</v>
      </c>
      <c r="U14" s="209">
        <f>IF(U4=0,0,IF(ISBLANK('Tank Loss 1'!O111),'Tank Loss 1'!O110,'Tank Loss 1'!O111))</f>
        <v>0</v>
      </c>
      <c r="V14" s="209">
        <f>IF(V4=0,0,IF(ISBLANK('Tank Loss 1'!P111),'Tank Loss 1'!P110,'Tank Loss 1'!P111))</f>
        <v>0</v>
      </c>
      <c r="W14" s="210"/>
    </row>
    <row r="15" spans="1:23" x14ac:dyDescent="0.2">
      <c r="A15" s="115" t="s">
        <v>9538</v>
      </c>
      <c r="B15" s="199">
        <f>'Tank Loss 1'!C49</f>
        <v>0</v>
      </c>
      <c r="C15" s="199">
        <f>'Tank Loss 2'!C49</f>
        <v>0</v>
      </c>
      <c r="D15" s="199">
        <f>'Tank Loss 3'!C49</f>
        <v>0</v>
      </c>
      <c r="E15" s="199">
        <f>'Tank Loss 4'!C49</f>
        <v>0</v>
      </c>
      <c r="F15" s="199">
        <f>'Tank Loss 5'!C49</f>
        <v>0</v>
      </c>
      <c r="G15" s="208" t="s">
        <v>9539</v>
      </c>
      <c r="H15" s="182">
        <f>IF(H4=0,0,IF(ISBLANK('Tank Loss 1'!B99),'Tank Loss 1'!B98,'Tank Loss 1'!B99))</f>
        <v>0</v>
      </c>
      <c r="I15" s="209">
        <f>IF(I4=0,0,IF(ISBLANK('Tank Loss 1'!C99),'Tank Loss 1'!C98,'Tank Loss 1'!C99))</f>
        <v>0</v>
      </c>
      <c r="J15" s="209">
        <f>IF(J4=0,0,IF(ISBLANK('Tank Loss 1'!D99),'Tank Loss 1'!D98,'Tank Loss 1'!D99))</f>
        <v>0</v>
      </c>
      <c r="K15" s="209">
        <f>IF(K4=0,0,IF(ISBLANK('Tank Loss 1'!E99),'Tank Loss 1'!E98,'Tank Loss 1'!E99))</f>
        <v>0</v>
      </c>
      <c r="L15" s="209">
        <f>IF(L4=0,0,IF(ISBLANK('Tank Loss 1'!F99),'Tank Loss 1'!F98,'Tank Loss 1'!F99))</f>
        <v>0</v>
      </c>
      <c r="M15" s="209">
        <f>IF(M4=0,0,IF(ISBLANK('Tank Loss 1'!G99),'Tank Loss 1'!G98,'Tank Loss 1'!G99))</f>
        <v>0</v>
      </c>
      <c r="N15" s="209">
        <f>IF(N4=0,0,IF(ISBLANK('Tank Loss 1'!H99),'Tank Loss 1'!H98,'Tank Loss 1'!H99))</f>
        <v>0</v>
      </c>
      <c r="O15" s="209">
        <f>IF(O4=0,0,IF(ISBLANK('Tank Loss 1'!I99),'Tank Loss 1'!I98,'Tank Loss 1'!I99))</f>
        <v>0</v>
      </c>
      <c r="P15" s="209">
        <f>IF(P4=0,0,IF(ISBLANK('Tank Loss 1'!J99),'Tank Loss 1'!J98,'Tank Loss 1'!J99))</f>
        <v>0</v>
      </c>
      <c r="Q15" s="209">
        <f>IF(Q4=0,0,IF(ISBLANK('Tank Loss 1'!K99),'Tank Loss 1'!K98,'Tank Loss 1'!K99))</f>
        <v>0</v>
      </c>
      <c r="R15" s="209">
        <f>IF(R4=0,0,IF(ISBLANK('Tank Loss 1'!L99),'Tank Loss 1'!L98,'Tank Loss 1'!L99))</f>
        <v>0</v>
      </c>
      <c r="S15" s="209">
        <f>IF(S4=0,0,IF(ISBLANK('Tank Loss 1'!M99),'Tank Loss 1'!M98,'Tank Loss 1'!M99))</f>
        <v>0</v>
      </c>
      <c r="T15" s="209">
        <f>IF(T4=0,0,IF(ISBLANK('Tank Loss 1'!N99),'Tank Loss 1'!N98,'Tank Loss 1'!N99))</f>
        <v>0</v>
      </c>
      <c r="U15" s="209">
        <f>IF(U4=0,0,IF(ISBLANK('Tank Loss 1'!O99),'Tank Loss 1'!O98,'Tank Loss 1'!O99))</f>
        <v>0</v>
      </c>
      <c r="V15" s="209">
        <f>IF(V4=0,0,IF(ISBLANK('Tank Loss 1'!P99),'Tank Loss 1'!P98,'Tank Loss 1'!P99))</f>
        <v>0</v>
      </c>
      <c r="W15" s="210"/>
    </row>
    <row r="16" spans="1:23" x14ac:dyDescent="0.2">
      <c r="A16" s="115" t="s">
        <v>9540</v>
      </c>
      <c r="B16" s="199">
        <f>IF(ISBLANK('Tank Loss 1'!C50),'Tank Loss 1'!B50,'Tank Loss 1'!C50)</f>
        <v>0</v>
      </c>
      <c r="C16" s="199">
        <f>IF(ISBLANK('Tank Loss 2'!C50),'Tank Loss 2'!B50,'Tank Loss 2'!C50)</f>
        <v>0</v>
      </c>
      <c r="D16" s="199">
        <f>IF(ISBLANK('Tank Loss 3'!C50),'Tank Loss 3'!B50,'Tank Loss 3'!C50)</f>
        <v>0</v>
      </c>
      <c r="E16" s="199">
        <f>IF(ISBLANK('Tank Loss 4'!C50),'Tank Loss 4'!B50,'Tank Loss 4'!C50)</f>
        <v>0</v>
      </c>
      <c r="F16" s="199">
        <f>IF(ISBLANK('Tank Loss 5'!C50),'Tank Loss 5'!B50,'Tank Loss 5'!C50)</f>
        <v>0</v>
      </c>
      <c r="G16" s="208" t="s">
        <v>9541</v>
      </c>
      <c r="H16" s="182">
        <f>IF(H4=0,0,IF(ISBLANK('Tank Loss 1'!B101),'Tank Loss 1'!B100,'Tank Loss 1'!B101))</f>
        <v>0</v>
      </c>
      <c r="I16" s="209">
        <f>IF(I4=0,0,IF(ISBLANK('Tank Loss 1'!C101),'Tank Loss 1'!C100,'Tank Loss 1'!C101))</f>
        <v>0</v>
      </c>
      <c r="J16" s="209">
        <f>IF(J4=0,0,IF(ISBLANK('Tank Loss 1'!D101),'Tank Loss 1'!D100,'Tank Loss 1'!D101))</f>
        <v>0</v>
      </c>
      <c r="K16" s="209">
        <f>IF(K4=0,0,IF(ISBLANK('Tank Loss 1'!E101),'Tank Loss 1'!E100,'Tank Loss 1'!E101))</f>
        <v>0</v>
      </c>
      <c r="L16" s="209">
        <f>IF(L4=0,0,IF(ISBLANK('Tank Loss 1'!F101),'Tank Loss 1'!F100,'Tank Loss 1'!F101))</f>
        <v>0</v>
      </c>
      <c r="M16" s="209">
        <f>IF(M4=0,0,IF(ISBLANK('Tank Loss 1'!G101),'Tank Loss 1'!G100,'Tank Loss 1'!G101))</f>
        <v>0</v>
      </c>
      <c r="N16" s="209">
        <f>IF(N4=0,0,IF(ISBLANK('Tank Loss 1'!H101),'Tank Loss 1'!H100,'Tank Loss 1'!H101))</f>
        <v>0</v>
      </c>
      <c r="O16" s="209">
        <f>IF(O4=0,0,IF(ISBLANK('Tank Loss 1'!I101),'Tank Loss 1'!I100,'Tank Loss 1'!I101))</f>
        <v>0</v>
      </c>
      <c r="P16" s="209">
        <f>IF(P4=0,0,IF(ISBLANK('Tank Loss 1'!J101),'Tank Loss 1'!J100,'Tank Loss 1'!J101))</f>
        <v>0</v>
      </c>
      <c r="Q16" s="209">
        <f>IF(Q4=0,0,IF(ISBLANK('Tank Loss 1'!K101),'Tank Loss 1'!K100,'Tank Loss 1'!K101))</f>
        <v>0</v>
      </c>
      <c r="R16" s="209">
        <f>IF(R4=0,0,IF(ISBLANK('Tank Loss 1'!L101),'Tank Loss 1'!L100,'Tank Loss 1'!L101))</f>
        <v>0</v>
      </c>
      <c r="S16" s="209">
        <f>IF(S4=0,0,IF(ISBLANK('Tank Loss 1'!M101),'Tank Loss 1'!M100,'Tank Loss 1'!M101))</f>
        <v>0</v>
      </c>
      <c r="T16" s="209">
        <f>IF(T4=0,0,IF(ISBLANK('Tank Loss 1'!N101),'Tank Loss 1'!N100,'Tank Loss 1'!N101))</f>
        <v>0</v>
      </c>
      <c r="U16" s="209">
        <f>IF(U4=0,0,IF(ISBLANK('Tank Loss 1'!O101),'Tank Loss 1'!O100,'Tank Loss 1'!O101))</f>
        <v>0</v>
      </c>
      <c r="V16" s="209">
        <f>IF(V4=0,0,IF(ISBLANK('Tank Loss 1'!P101),'Tank Loss 1'!P100,'Tank Loss 1'!P101))</f>
        <v>0</v>
      </c>
      <c r="W16" s="210"/>
    </row>
    <row r="17" spans="1:23" x14ac:dyDescent="0.2">
      <c r="A17" s="115" t="s">
        <v>9542</v>
      </c>
      <c r="B17" s="199">
        <f>IF(ISBLANK('Tank Loss 1'!C51),'Tank Loss 1'!B51,'Tank Loss 1'!C51)</f>
        <v>0</v>
      </c>
      <c r="C17" s="199">
        <f>IF(ISBLANK('Tank Loss 2'!C51),'Tank Loss 2'!B51,'Tank Loss 2'!C51)</f>
        <v>0</v>
      </c>
      <c r="D17" s="199">
        <f>IF(ISBLANK('Tank Loss 3'!C51),'Tank Loss 3'!B51,'Tank Loss 3'!C51)</f>
        <v>0</v>
      </c>
      <c r="E17" s="199">
        <f>IF(ISBLANK('Tank Loss 4'!C51),'Tank Loss 4'!B51,'Tank Loss 4'!C51)</f>
        <v>0</v>
      </c>
      <c r="F17" s="199">
        <f>IF(ISBLANK('Tank Loss 5'!C51),'Tank Loss 5'!B51,'Tank Loss 5'!C51)</f>
        <v>0</v>
      </c>
      <c r="G17" s="208" t="s">
        <v>9543</v>
      </c>
      <c r="H17" s="182">
        <f>IF(H4=0,0,IF(ISBLANK('Tank Loss 1'!B103),'Tank Loss 1'!B102,'Tank Loss 1'!B103))</f>
        <v>0</v>
      </c>
      <c r="I17" s="209">
        <f>IF(I4=0,0,IF(ISBLANK('Tank Loss 1'!C103),'Tank Loss 1'!C102,'Tank Loss 1'!C103))</f>
        <v>0</v>
      </c>
      <c r="J17" s="209">
        <f>IF(J4=0,0,IF(ISBLANK('Tank Loss 1'!D103),'Tank Loss 1'!D102,'Tank Loss 1'!D103))</f>
        <v>0</v>
      </c>
      <c r="K17" s="209">
        <f>IF(K4=0,0,IF(ISBLANK('Tank Loss 1'!E103),'Tank Loss 1'!E102,'Tank Loss 1'!E103))</f>
        <v>0</v>
      </c>
      <c r="L17" s="209">
        <f>IF(L4=0,0,IF(ISBLANK('Tank Loss 1'!F103),'Tank Loss 1'!F102,'Tank Loss 1'!F103))</f>
        <v>0</v>
      </c>
      <c r="M17" s="209">
        <f>IF(M4=0,0,IF(ISBLANK('Tank Loss 1'!G103),'Tank Loss 1'!G102,'Tank Loss 1'!G103))</f>
        <v>0</v>
      </c>
      <c r="N17" s="209">
        <f>IF(N4=0,0,IF(ISBLANK('Tank Loss 1'!H103),'Tank Loss 1'!H102,'Tank Loss 1'!H103))</f>
        <v>0</v>
      </c>
      <c r="O17" s="209">
        <f>IF(O4=0,0,IF(ISBLANK('Tank Loss 1'!I103),'Tank Loss 1'!I102,'Tank Loss 1'!I103))</f>
        <v>0</v>
      </c>
      <c r="P17" s="209">
        <f>IF(P4=0,0,IF(ISBLANK('Tank Loss 1'!J103),'Tank Loss 1'!J102,'Tank Loss 1'!J103))</f>
        <v>0</v>
      </c>
      <c r="Q17" s="209">
        <f>IF(Q4=0,0,IF(ISBLANK('Tank Loss 1'!K103),'Tank Loss 1'!K102,'Tank Loss 1'!K103))</f>
        <v>0</v>
      </c>
      <c r="R17" s="209">
        <f>IF(R4=0,0,IF(ISBLANK('Tank Loss 1'!L103),'Tank Loss 1'!L102,'Tank Loss 1'!L103))</f>
        <v>0</v>
      </c>
      <c r="S17" s="209">
        <f>IF(S4=0,0,IF(ISBLANK('Tank Loss 1'!M103),'Tank Loss 1'!M102,'Tank Loss 1'!M103))</f>
        <v>0</v>
      </c>
      <c r="T17" s="209">
        <f>IF(T4=0,0,IF(ISBLANK('Tank Loss 1'!N103),'Tank Loss 1'!N102,'Tank Loss 1'!N103))</f>
        <v>0</v>
      </c>
      <c r="U17" s="209">
        <f>IF(U4=0,0,IF(ISBLANK('Tank Loss 1'!O103),'Tank Loss 1'!O102,'Tank Loss 1'!O103))</f>
        <v>0</v>
      </c>
      <c r="V17" s="209">
        <f>IF(V4=0,0,IF(ISBLANK('Tank Loss 1'!P103),'Tank Loss 1'!P102,'Tank Loss 1'!P103))</f>
        <v>0</v>
      </c>
      <c r="W17" s="210"/>
    </row>
    <row r="18" spans="1:23" ht="15.75" x14ac:dyDescent="0.3">
      <c r="A18" s="115" t="s">
        <v>10548</v>
      </c>
      <c r="B18" s="199">
        <f>'Tank Loss 1'!C47</f>
        <v>0</v>
      </c>
      <c r="C18" s="199">
        <f>'Tank Loss 2'!C47</f>
        <v>0</v>
      </c>
      <c r="D18" s="199">
        <f>'Tank Loss 3'!C47</f>
        <v>0</v>
      </c>
      <c r="E18" s="199">
        <f>'Tank Loss 4'!C47</f>
        <v>0</v>
      </c>
      <c r="F18" s="199">
        <f>'Tank Loss 5'!C47</f>
        <v>0</v>
      </c>
      <c r="G18" s="208" t="s">
        <v>9544</v>
      </c>
      <c r="H18" s="182">
        <f>IF(H4=0,0,IF(ISBLANK('Tank Loss 1'!B105),'Tank Loss 1'!B104,'Tank Loss 1'!B105))</f>
        <v>0</v>
      </c>
      <c r="I18" s="209">
        <f>IF(I4=0,0,IF(ISBLANK('Tank Loss 1'!C105),'Tank Loss 1'!C104,'Tank Loss 1'!C105))</f>
        <v>0</v>
      </c>
      <c r="J18" s="209">
        <f>IF(J4=0,0,IF(ISBLANK('Tank Loss 1'!D105),'Tank Loss 1'!D104,'Tank Loss 1'!D105))</f>
        <v>0</v>
      </c>
      <c r="K18" s="209">
        <f>IF(K4=0,0,IF(ISBLANK('Tank Loss 1'!E105),'Tank Loss 1'!E104,'Tank Loss 1'!E105))</f>
        <v>0</v>
      </c>
      <c r="L18" s="209">
        <f>IF(L4=0,0,IF(ISBLANK('Tank Loss 1'!F105),'Tank Loss 1'!F104,'Tank Loss 1'!F105))</f>
        <v>0</v>
      </c>
      <c r="M18" s="209">
        <f>IF(M4=0,0,IF(ISBLANK('Tank Loss 1'!G105),'Tank Loss 1'!G104,'Tank Loss 1'!G105))</f>
        <v>0</v>
      </c>
      <c r="N18" s="209">
        <f>IF(N4=0,0,IF(ISBLANK('Tank Loss 1'!H105),'Tank Loss 1'!H104,'Tank Loss 1'!H105))</f>
        <v>0</v>
      </c>
      <c r="O18" s="209">
        <f>IF(O4=0,0,IF(ISBLANK('Tank Loss 1'!I105),'Tank Loss 1'!I104,'Tank Loss 1'!I105))</f>
        <v>0</v>
      </c>
      <c r="P18" s="209">
        <f>IF(P4=0,0,IF(ISBLANK('Tank Loss 1'!J105),'Tank Loss 1'!J104,'Tank Loss 1'!J105))</f>
        <v>0</v>
      </c>
      <c r="Q18" s="209">
        <f>IF(Q4=0,0,IF(ISBLANK('Tank Loss 1'!K105),'Tank Loss 1'!K104,'Tank Loss 1'!K105))</f>
        <v>0</v>
      </c>
      <c r="R18" s="209">
        <f>IF(R4=0,0,IF(ISBLANK('Tank Loss 1'!L105),'Tank Loss 1'!L104,'Tank Loss 1'!L105))</f>
        <v>0</v>
      </c>
      <c r="S18" s="209">
        <f>IF(S4=0,0,IF(ISBLANK('Tank Loss 1'!M105),'Tank Loss 1'!M104,'Tank Loss 1'!M105))</f>
        <v>0</v>
      </c>
      <c r="T18" s="209">
        <f>IF(T4=0,0,IF(ISBLANK('Tank Loss 1'!N105),'Tank Loss 1'!N104,'Tank Loss 1'!N105))</f>
        <v>0</v>
      </c>
      <c r="U18" s="209">
        <f>IF(U4=0,0,IF(ISBLANK('Tank Loss 1'!O105),'Tank Loss 1'!O104,'Tank Loss 1'!O105))</f>
        <v>0</v>
      </c>
      <c r="V18" s="209">
        <f>IF(V4=0,0,IF(ISBLANK('Tank Loss 1'!P105),'Tank Loss 1'!P104,'Tank Loss 1'!P105))</f>
        <v>0</v>
      </c>
      <c r="W18" s="210"/>
    </row>
    <row r="19" spans="1:23" ht="15.75" x14ac:dyDescent="0.3">
      <c r="A19" s="115" t="s">
        <v>10549</v>
      </c>
      <c r="B19" s="199">
        <f>'Tank Loss 1'!C48</f>
        <v>0</v>
      </c>
      <c r="C19" s="199">
        <f>'Tank Loss 2'!C48</f>
        <v>0</v>
      </c>
      <c r="D19" s="199">
        <f>'Tank Loss 3'!C48</f>
        <v>0</v>
      </c>
      <c r="E19" s="199">
        <f>'Tank Loss 4'!C48</f>
        <v>0</v>
      </c>
      <c r="F19" s="199">
        <f>'Tank Loss 5'!C48</f>
        <v>0</v>
      </c>
      <c r="G19" s="208" t="s">
        <v>9545</v>
      </c>
      <c r="H19" s="182">
        <f>EXP(H15-(((H16*1.8)+491.67)/$B$42))</f>
        <v>0.34314054666570826</v>
      </c>
      <c r="I19" s="209">
        <f t="shared" ref="I19:V19" si="2">EXP(I15-(((I16*1.8)+491.67)/$B$42))</f>
        <v>0.34314054666570826</v>
      </c>
      <c r="J19" s="209">
        <f t="shared" si="2"/>
        <v>0.34314054666570826</v>
      </c>
      <c r="K19" s="209">
        <f t="shared" si="2"/>
        <v>0.34314054666570826</v>
      </c>
      <c r="L19" s="209">
        <f t="shared" si="2"/>
        <v>0.34314054666570826</v>
      </c>
      <c r="M19" s="209">
        <f t="shared" si="2"/>
        <v>0.34314054666570826</v>
      </c>
      <c r="N19" s="209">
        <f t="shared" si="2"/>
        <v>0.34314054666570826</v>
      </c>
      <c r="O19" s="209">
        <f t="shared" si="2"/>
        <v>0.34314054666570826</v>
      </c>
      <c r="P19" s="209">
        <f t="shared" si="2"/>
        <v>0.34314054666570826</v>
      </c>
      <c r="Q19" s="209">
        <f t="shared" si="2"/>
        <v>0.34314054666570826</v>
      </c>
      <c r="R19" s="209">
        <f t="shared" si="2"/>
        <v>0.34314054666570826</v>
      </c>
      <c r="S19" s="209">
        <f t="shared" si="2"/>
        <v>0.34314054666570826</v>
      </c>
      <c r="T19" s="209">
        <f t="shared" si="2"/>
        <v>0.34314054666570826</v>
      </c>
      <c r="U19" s="209">
        <f t="shared" si="2"/>
        <v>0.34314054666570826</v>
      </c>
      <c r="V19" s="209">
        <f t="shared" si="2"/>
        <v>0.34314054666570826</v>
      </c>
      <c r="W19" s="210"/>
    </row>
    <row r="20" spans="1:23" ht="15.75" x14ac:dyDescent="0.3">
      <c r="A20" s="115" t="s">
        <v>9949</v>
      </c>
      <c r="B20" s="199">
        <f>IF(ISBLANK('Tank Loss 1'!C52),'Tank Loss 1'!B52,'Tank Loss 1'!C52)</f>
        <v>0</v>
      </c>
      <c r="C20" s="199">
        <f>IF(ISBLANK('Tank Loss 2'!C52),'Tank Loss 2'!B52,'Tank Loss 2'!C52)</f>
        <v>0</v>
      </c>
      <c r="D20" s="199">
        <f>IF(ISBLANK('Tank Loss 3'!C52),'Tank Loss 3'!B52,'Tank Loss 3'!C52)</f>
        <v>0</v>
      </c>
      <c r="E20" s="199">
        <f>IF(ISBLANK('Tank Loss 4'!C52),'Tank Loss 4'!B52,'Tank Loss 4'!C52)</f>
        <v>0</v>
      </c>
      <c r="F20" s="199">
        <f>IF(ISBLANK('Tank Loss 5'!C52),'Tank Loss 5'!B52,'Tank Loss 5'!C52)</f>
        <v>0</v>
      </c>
      <c r="G20" s="208" t="s">
        <v>9546</v>
      </c>
      <c r="H20" s="212">
        <f>IF(H4=0,0,'Tank Loss 1'!B112)</f>
        <v>0</v>
      </c>
      <c r="I20" s="213">
        <f>IF(I4=0,0,'Tank Loss 1'!C112)</f>
        <v>0</v>
      </c>
      <c r="J20" s="213">
        <f>IF(J4=0,0,'Tank Loss 1'!D112)</f>
        <v>0</v>
      </c>
      <c r="K20" s="213">
        <f>IF(K4=0,0,'Tank Loss 1'!E112)</f>
        <v>0</v>
      </c>
      <c r="L20" s="213">
        <f>IF(L4=0,0,'Tank Loss 1'!F112)</f>
        <v>0</v>
      </c>
      <c r="M20" s="213">
        <f>IF(M4=0,0,'Tank Loss 1'!G112)</f>
        <v>0</v>
      </c>
      <c r="N20" s="213">
        <f>IF(N4=0,0,'Tank Loss 1'!H112)</f>
        <v>0</v>
      </c>
      <c r="O20" s="213">
        <f>IF(O4=0,0,'Tank Loss 1'!I112)</f>
        <v>0</v>
      </c>
      <c r="P20" s="213">
        <f>IF(P4=0,0,'Tank Loss 1'!J112)</f>
        <v>0</v>
      </c>
      <c r="Q20" s="213">
        <f>IF(Q4=0,0,'Tank Loss 1'!K112)</f>
        <v>0</v>
      </c>
      <c r="R20" s="213">
        <f>IF(R4=0,0,'Tank Loss 1'!L112)</f>
        <v>0</v>
      </c>
      <c r="S20" s="213">
        <f>IF(S4=0,0,'Tank Loss 1'!M112)</f>
        <v>0</v>
      </c>
      <c r="T20" s="213">
        <f>IF(T4=0,0,'Tank Loss 1'!N112)</f>
        <v>0</v>
      </c>
      <c r="U20" s="213">
        <f>IF(U4=0,0,'Tank Loss 1'!O112)</f>
        <v>0</v>
      </c>
      <c r="V20" s="213">
        <f>IF(V4=0,0,'Tank Loss 1'!P112)</f>
        <v>0</v>
      </c>
      <c r="W20" s="214">
        <f t="shared" ref="W20:W25" si="3">SUM(H20:Q20)</f>
        <v>0</v>
      </c>
    </row>
    <row r="21" spans="1:23" x14ac:dyDescent="0.2">
      <c r="A21" s="115" t="s">
        <v>9547</v>
      </c>
      <c r="B21" s="199">
        <f>IF(ISBLANK('Tank Loss 1'!C53),'Tank Loss 1'!B53,'Tank Loss 1'!C53)</f>
        <v>1</v>
      </c>
      <c r="C21" s="199">
        <f>IF(ISBLANK('Tank Loss 2'!C53),'Tank Loss 2'!B53,'Tank Loss 2'!C53)</f>
        <v>1</v>
      </c>
      <c r="D21" s="199">
        <f>IF(ISBLANK('Tank Loss 3'!C53),'Tank Loss 3'!B53,'Tank Loss 3'!C53)</f>
        <v>1</v>
      </c>
      <c r="E21" s="199">
        <f>IF(ISBLANK('Tank Loss 4'!C53),'Tank Loss 4'!B53,'Tank Loss 4'!C53)</f>
        <v>1</v>
      </c>
      <c r="F21" s="199">
        <f>IF(ISBLANK('Tank Loss 5'!C53),'Tank Loss 5'!B53,'Tank Loss 5'!C53)</f>
        <v>1</v>
      </c>
      <c r="G21" s="208" t="s">
        <v>9548</v>
      </c>
      <c r="H21" s="212">
        <f>IF(H4=0,0,'Tank Loss 1'!B113)</f>
        <v>0</v>
      </c>
      <c r="I21" s="213">
        <f>IF(I4=0,0,'Tank Loss 1'!C113)</f>
        <v>0</v>
      </c>
      <c r="J21" s="213">
        <f>IF(J4=0,0,'Tank Loss 1'!D113)</f>
        <v>0</v>
      </c>
      <c r="K21" s="213">
        <f>IF(K4=0,0,'Tank Loss 1'!E113)</f>
        <v>0</v>
      </c>
      <c r="L21" s="213">
        <f>IF(L4=0,0,'Tank Loss 1'!F113)</f>
        <v>0</v>
      </c>
      <c r="M21" s="213">
        <f>IF(M4=0,0,'Tank Loss 1'!G113)</f>
        <v>0</v>
      </c>
      <c r="N21" s="213">
        <f>IF(N4=0,0,'Tank Loss 1'!H113)</f>
        <v>0</v>
      </c>
      <c r="O21" s="213">
        <f>IF(O4=0,0,'Tank Loss 1'!I113)</f>
        <v>0</v>
      </c>
      <c r="P21" s="213">
        <f>IF(P4=0,0,'Tank Loss 1'!J113)</f>
        <v>0</v>
      </c>
      <c r="Q21" s="213">
        <f>IF(Q4=0,0,'Tank Loss 1'!K113)</f>
        <v>0</v>
      </c>
      <c r="R21" s="213">
        <f>IF(R4=0,0,'Tank Loss 1'!L113)</f>
        <v>0</v>
      </c>
      <c r="S21" s="213">
        <f>IF(S4=0,0,'Tank Loss 1'!M113)</f>
        <v>0</v>
      </c>
      <c r="T21" s="213">
        <f>IF(T4=0,0,'Tank Loss 1'!N113)</f>
        <v>0</v>
      </c>
      <c r="U21" s="213">
        <f>IF(U4=0,0,'Tank Loss 1'!O113)</f>
        <v>0</v>
      </c>
      <c r="V21" s="213">
        <f>IF(V4=0,0,'Tank Loss 1'!P113)</f>
        <v>0</v>
      </c>
      <c r="W21" s="214">
        <f t="shared" si="3"/>
        <v>0</v>
      </c>
    </row>
    <row r="22" spans="1:23" x14ac:dyDescent="0.2">
      <c r="A22" s="115" t="s">
        <v>9549</v>
      </c>
      <c r="B22" s="215">
        <f>IF(ISBLANK('Tank Loss 1'!C70),'Tank Loss 1'!B70,'Tank Loss 1'!C70)</f>
        <v>0</v>
      </c>
      <c r="C22" s="215">
        <f>IF(ISBLANK('Tank Loss 2'!C70),'Tank Loss 2'!B70,'Tank Loss 2'!C70)</f>
        <v>0</v>
      </c>
      <c r="D22" s="215">
        <f>IF(ISBLANK('Tank Loss 2'!C70),'Tank Loss 2'!B70,'Tank Loss 2'!C70)</f>
        <v>0</v>
      </c>
      <c r="E22" s="215">
        <f>IF(ISBLANK('Tank Loss 4'!C70),'Tank Loss 4'!B70,'Tank Loss 4'!C70)</f>
        <v>0</v>
      </c>
      <c r="F22" s="215">
        <f>IF(ISBLANK('Tank Loss 5'!C70),'Tank Loss 5'!B70,'Tank Loss 5'!C70)</f>
        <v>0</v>
      </c>
      <c r="G22" s="208" t="s">
        <v>9550</v>
      </c>
      <c r="H22" s="182">
        <f>IF(H4=0,0,'Tank Loss 1'!B114)</f>
        <v>0</v>
      </c>
      <c r="I22" s="209">
        <f>IF(I4=0,0,'Tank Loss 1'!C114)</f>
        <v>0</v>
      </c>
      <c r="J22" s="209">
        <f>IF(J4=0,0,'Tank Loss 1'!D114)</f>
        <v>0</v>
      </c>
      <c r="K22" s="209">
        <f>IF(K4=0,0,'Tank Loss 1'!E114)</f>
        <v>0</v>
      </c>
      <c r="L22" s="209">
        <f>IF(L4=0,0,'Tank Loss 1'!F114)</f>
        <v>0</v>
      </c>
      <c r="M22" s="209">
        <f>IF(M4=0,0,'Tank Loss 1'!G114)</f>
        <v>0</v>
      </c>
      <c r="N22" s="209">
        <f>IF(N4=0,0,'Tank Loss 1'!H114)</f>
        <v>0</v>
      </c>
      <c r="O22" s="209">
        <f>IF(O4=0,0,'Tank Loss 1'!I114)</f>
        <v>0</v>
      </c>
      <c r="P22" s="209">
        <f>IF(P4=0,0,'Tank Loss 1'!J114)</f>
        <v>0</v>
      </c>
      <c r="Q22" s="209">
        <f>IF(Q4=0,0,'Tank Loss 1'!K114)</f>
        <v>0</v>
      </c>
      <c r="R22" s="209">
        <f>IF(R4=0,0,'Tank Loss 1'!L114)</f>
        <v>0</v>
      </c>
      <c r="S22" s="209">
        <f>IF(S4=0,0,'Tank Loss 1'!M114)</f>
        <v>0</v>
      </c>
      <c r="T22" s="209">
        <f>IF(T4=0,0,'Tank Loss 1'!N114)</f>
        <v>0</v>
      </c>
      <c r="U22" s="209">
        <f>IF(U4=0,0,'Tank Loss 1'!O114)</f>
        <v>0</v>
      </c>
      <c r="V22" s="209">
        <f>IF(V4=0,0,'Tank Loss 1'!P114)</f>
        <v>0</v>
      </c>
      <c r="W22" s="184">
        <f t="shared" si="3"/>
        <v>0</v>
      </c>
    </row>
    <row r="23" spans="1:23" x14ac:dyDescent="0.2">
      <c r="A23" s="115" t="s">
        <v>9551</v>
      </c>
      <c r="B23" s="215">
        <f>IF(ISBLANK('Tank Loss 1'!C71),'Tank Loss 1'!B71,'Tank Loss 1'!C71)</f>
        <v>0</v>
      </c>
      <c r="C23" s="215">
        <f>IF(ISBLANK('Tank Loss 2'!C71),'Tank Loss 2'!B71,'Tank Loss 2'!C71)</f>
        <v>0</v>
      </c>
      <c r="D23" s="215">
        <f>IF(ISBLANK('Tank Loss 3'!C71),'Tank Loss 3'!B71,'Tank Loss 3'!C71)</f>
        <v>0</v>
      </c>
      <c r="E23" s="215">
        <f>IF(ISBLANK('Tank Loss 4'!C71),'Tank Loss 4'!B71,'Tank Loss 4'!C71)</f>
        <v>0</v>
      </c>
      <c r="F23" s="215">
        <f>IF(ISBLANK('Tank Loss 5'!C71),'Tank Loss 5'!B71,'Tank Loss 5'!C71)</f>
        <v>0</v>
      </c>
      <c r="G23" s="208" t="s">
        <v>9552</v>
      </c>
      <c r="H23" s="182">
        <f t="shared" ref="H23:V23" si="4">H22*H10</f>
        <v>0</v>
      </c>
      <c r="I23" s="209">
        <f t="shared" si="4"/>
        <v>0</v>
      </c>
      <c r="J23" s="209">
        <f t="shared" si="4"/>
        <v>0</v>
      </c>
      <c r="K23" s="209">
        <f t="shared" si="4"/>
        <v>0</v>
      </c>
      <c r="L23" s="209">
        <f t="shared" si="4"/>
        <v>0</v>
      </c>
      <c r="M23" s="209">
        <f t="shared" si="4"/>
        <v>0</v>
      </c>
      <c r="N23" s="209">
        <f t="shared" si="4"/>
        <v>0</v>
      </c>
      <c r="O23" s="209">
        <f t="shared" si="4"/>
        <v>0</v>
      </c>
      <c r="P23" s="209">
        <f t="shared" si="4"/>
        <v>0</v>
      </c>
      <c r="Q23" s="209">
        <f t="shared" si="4"/>
        <v>0</v>
      </c>
      <c r="R23" s="209">
        <f t="shared" si="4"/>
        <v>0</v>
      </c>
      <c r="S23" s="209">
        <f t="shared" si="4"/>
        <v>0</v>
      </c>
      <c r="T23" s="209">
        <f t="shared" si="4"/>
        <v>0</v>
      </c>
      <c r="U23" s="209">
        <f t="shared" si="4"/>
        <v>0</v>
      </c>
      <c r="V23" s="209">
        <f t="shared" si="4"/>
        <v>0</v>
      </c>
      <c r="W23" s="184">
        <f t="shared" si="3"/>
        <v>0</v>
      </c>
    </row>
    <row r="24" spans="1:23" x14ac:dyDescent="0.2">
      <c r="A24" s="115" t="s">
        <v>9553</v>
      </c>
      <c r="B24" s="215">
        <f>IF(ISBLANK('Tank Loss 1'!C72),'Tank Loss 1'!B72,'Tank Loss 1'!C72)</f>
        <v>0</v>
      </c>
      <c r="C24" s="215">
        <f>IF(ISBLANK('Tank Loss 2'!C72),'Tank Loss 2'!B72,'Tank Loss 2'!C72)</f>
        <v>0</v>
      </c>
      <c r="D24" s="215">
        <f>IF(ISBLANK('Tank Loss 3'!C72),'Tank Loss 3'!B72,'Tank Loss 3'!C72)</f>
        <v>0</v>
      </c>
      <c r="E24" s="215">
        <f>IF(ISBLANK('Tank Loss 4'!C72),'Tank Loss 4'!B72,'Tank Loss 4'!C72)</f>
        <v>0</v>
      </c>
      <c r="F24" s="215">
        <f>IF(ISBLANK('Tank Loss 5'!C72),'Tank Loss 5'!B72,'Tank Loss 5'!C72)</f>
        <v>0</v>
      </c>
      <c r="G24" s="208" t="s">
        <v>9554</v>
      </c>
      <c r="H24" s="182">
        <f>IFERROR(H23/$W23,0)</f>
        <v>0</v>
      </c>
      <c r="I24" s="209">
        <f t="shared" ref="I24:V24" si="5">IFERROR(I23/$W23,0)</f>
        <v>0</v>
      </c>
      <c r="J24" s="209">
        <f t="shared" si="5"/>
        <v>0</v>
      </c>
      <c r="K24" s="209">
        <f t="shared" si="5"/>
        <v>0</v>
      </c>
      <c r="L24" s="209">
        <f t="shared" si="5"/>
        <v>0</v>
      </c>
      <c r="M24" s="209">
        <f t="shared" si="5"/>
        <v>0</v>
      </c>
      <c r="N24" s="209">
        <f t="shared" si="5"/>
        <v>0</v>
      </c>
      <c r="O24" s="209">
        <f t="shared" si="5"/>
        <v>0</v>
      </c>
      <c r="P24" s="209">
        <f t="shared" si="5"/>
        <v>0</v>
      </c>
      <c r="Q24" s="209">
        <f t="shared" si="5"/>
        <v>0</v>
      </c>
      <c r="R24" s="209">
        <f t="shared" si="5"/>
        <v>0</v>
      </c>
      <c r="S24" s="209">
        <f t="shared" si="5"/>
        <v>0</v>
      </c>
      <c r="T24" s="209">
        <f t="shared" si="5"/>
        <v>0</v>
      </c>
      <c r="U24" s="209">
        <f t="shared" si="5"/>
        <v>0</v>
      </c>
      <c r="V24" s="209">
        <f t="shared" si="5"/>
        <v>0</v>
      </c>
      <c r="W24" s="184">
        <f t="shared" si="3"/>
        <v>0</v>
      </c>
    </row>
    <row r="25" spans="1:23" x14ac:dyDescent="0.2">
      <c r="A25" s="115" t="s">
        <v>9555</v>
      </c>
      <c r="B25" s="199">
        <f>IF(ISBLANK('Tank Loss 1'!C73),'Tank Loss 1'!B73,'Tank Loss 1'!C73)</f>
        <v>0</v>
      </c>
      <c r="C25" s="199">
        <f>IF(ISBLANK('Tank Loss 2'!C73),'Tank Loss 2'!B73,'Tank Loss 2'!C73)</f>
        <v>0</v>
      </c>
      <c r="D25" s="199">
        <f>IF(ISBLANK('Tank Loss 3'!C73),'Tank Loss 3'!B73,'Tank Loss 3'!C73)</f>
        <v>0</v>
      </c>
      <c r="E25" s="199">
        <f>IF(ISBLANK('Tank Loss 4'!C73),'Tank Loss 4'!B73,'Tank Loss 4'!C73)</f>
        <v>0</v>
      </c>
      <c r="F25" s="199">
        <f>IF(ISBLANK('Tank Loss 5'!C73),'Tank Loss 5'!B73,'Tank Loss 5'!C73)</f>
        <v>0</v>
      </c>
      <c r="G25" s="208" t="s">
        <v>9556</v>
      </c>
      <c r="H25" s="182" t="str">
        <f>'Tank Loss 1'!B115</f>
        <v/>
      </c>
      <c r="I25" s="209" t="str">
        <f>'Tank Loss 1'!C115</f>
        <v/>
      </c>
      <c r="J25" s="209" t="str">
        <f>'Tank Loss 1'!D115</f>
        <v/>
      </c>
      <c r="K25" s="209" t="str">
        <f>'Tank Loss 1'!E115</f>
        <v/>
      </c>
      <c r="L25" s="209" t="str">
        <f>'Tank Loss 1'!F115</f>
        <v/>
      </c>
      <c r="M25" s="209" t="str">
        <f>'Tank Loss 1'!G115</f>
        <v/>
      </c>
      <c r="N25" s="209" t="str">
        <f>'Tank Loss 1'!H115</f>
        <v/>
      </c>
      <c r="O25" s="209" t="str">
        <f>'Tank Loss 1'!I115</f>
        <v/>
      </c>
      <c r="P25" s="209" t="str">
        <f>'Tank Loss 1'!J115</f>
        <v/>
      </c>
      <c r="Q25" s="209" t="str">
        <f>'Tank Loss 1'!K115</f>
        <v/>
      </c>
      <c r="R25" s="209" t="str">
        <f>'Tank Loss 1'!L115</f>
        <v/>
      </c>
      <c r="S25" s="209" t="str">
        <f>'Tank Loss 1'!M115</f>
        <v/>
      </c>
      <c r="T25" s="209" t="str">
        <f>'Tank Loss 1'!N115</f>
        <v/>
      </c>
      <c r="U25" s="209" t="str">
        <f>'Tank Loss 1'!O115</f>
        <v/>
      </c>
      <c r="V25" s="209" t="str">
        <f>'Tank Loss 1'!P115</f>
        <v/>
      </c>
      <c r="W25" s="214">
        <f t="shared" si="3"/>
        <v>0</v>
      </c>
    </row>
    <row r="26" spans="1:23" x14ac:dyDescent="0.2">
      <c r="A26" s="115" t="s">
        <v>9557</v>
      </c>
      <c r="B26" s="215">
        <f>IF(ISBLANK('Tank Loss 1'!C74),'Tank Loss 1'!B74,'Tank Loss 1'!C74)</f>
        <v>0</v>
      </c>
      <c r="C26" s="215">
        <f>IF(ISBLANK('Tank Loss 2'!C74),'Tank Loss 2'!B74,'Tank Loss 2'!C74)</f>
        <v>0</v>
      </c>
      <c r="D26" s="215">
        <f>IF(ISBLANK('Tank Loss 3'!C74),'Tank Loss 3'!B74,'Tank Loss 3'!C74)</f>
        <v>0</v>
      </c>
      <c r="E26" s="215">
        <f>IF(ISBLANK('Tank Loss 4'!C74),'Tank Loss 4'!B74,'Tank Loss 4'!C74)</f>
        <v>0</v>
      </c>
      <c r="F26" s="215">
        <f>IF(ISBLANK('Tank Loss 5'!C74),'Tank Loss 5'!B74,'Tank Loss 5'!C74)</f>
        <v>0</v>
      </c>
      <c r="G26" s="208" t="s">
        <v>9558</v>
      </c>
      <c r="H26" s="182" t="str">
        <f>'Tank Loss 1'!B116</f>
        <v/>
      </c>
      <c r="I26" s="209" t="str">
        <f>'Tank Loss 1'!C116</f>
        <v/>
      </c>
      <c r="J26" s="209" t="str">
        <f>'Tank Loss 1'!D116</f>
        <v/>
      </c>
      <c r="K26" s="209" t="str">
        <f>'Tank Loss 1'!E116</f>
        <v/>
      </c>
      <c r="L26" s="209" t="str">
        <f>'Tank Loss 1'!F116</f>
        <v/>
      </c>
      <c r="M26" s="209" t="str">
        <f>'Tank Loss 1'!G116</f>
        <v/>
      </c>
      <c r="N26" s="209" t="str">
        <f>'Tank Loss 1'!H116</f>
        <v/>
      </c>
      <c r="O26" s="209" t="str">
        <f>'Tank Loss 1'!I116</f>
        <v/>
      </c>
      <c r="P26" s="209" t="str">
        <f>'Tank Loss 1'!J116</f>
        <v/>
      </c>
      <c r="Q26" s="209" t="str">
        <f>'Tank Loss 1'!K116</f>
        <v/>
      </c>
      <c r="R26" s="209" t="str">
        <f>'Tank Loss 1'!L116</f>
        <v/>
      </c>
      <c r="S26" s="209" t="str">
        <f>'Tank Loss 1'!M116</f>
        <v/>
      </c>
      <c r="T26" s="209" t="str">
        <f>'Tank Loss 1'!N116</f>
        <v/>
      </c>
      <c r="U26" s="209" t="str">
        <f>'Tank Loss 1'!O116</f>
        <v/>
      </c>
      <c r="V26" s="209" t="str">
        <f>'Tank Loss 1'!P116</f>
        <v/>
      </c>
      <c r="W26" s="184">
        <f>SUM(H26:Q26)</f>
        <v>0</v>
      </c>
    </row>
    <row r="27" spans="1:23" ht="13.5" thickBot="1" x14ac:dyDescent="0.25">
      <c r="A27" s="115" t="s">
        <v>9559</v>
      </c>
      <c r="B27" s="215">
        <f>IF(ISBLANK('Tank Loss 1'!C75),'Tank Loss 1'!B75,'Tank Loss 1'!C75)</f>
        <v>459.67</v>
      </c>
      <c r="C27" s="215">
        <f>IF(ISBLANK('Tank Loss 2'!C75),'Tank Loss 2'!B75,'Tank Loss 2'!C75)</f>
        <v>459.67</v>
      </c>
      <c r="D27" s="215">
        <f>IF(ISBLANK('Tank Loss 3'!C75),'Tank Loss 3'!B75,'Tank Loss 3'!C75)</f>
        <v>459.67</v>
      </c>
      <c r="E27" s="215">
        <f>IF(ISBLANK('Tank Loss 4'!C75),'Tank Loss 4'!B75,'Tank Loss 4'!C75)</f>
        <v>459.67</v>
      </c>
      <c r="F27" s="215">
        <f>IF(ISBLANK('Tank Loss 5'!C75),'Tank Loss 5'!B75,'Tank Loss 5'!C75)</f>
        <v>459.67</v>
      </c>
      <c r="G27" s="216" t="s">
        <v>9560</v>
      </c>
      <c r="H27" s="188" t="str">
        <f>'Tank Loss 1'!B117</f>
        <v/>
      </c>
      <c r="I27" s="217" t="str">
        <f>'Tank Loss 1'!C117</f>
        <v/>
      </c>
      <c r="J27" s="217" t="str">
        <f>'Tank Loss 1'!D117</f>
        <v/>
      </c>
      <c r="K27" s="217" t="str">
        <f>'Tank Loss 1'!E117</f>
        <v/>
      </c>
      <c r="L27" s="217" t="str">
        <f>'Tank Loss 1'!F117</f>
        <v/>
      </c>
      <c r="M27" s="217" t="str">
        <f>'Tank Loss 1'!G117</f>
        <v/>
      </c>
      <c r="N27" s="217" t="str">
        <f>'Tank Loss 1'!H117</f>
        <v/>
      </c>
      <c r="O27" s="217" t="str">
        <f>'Tank Loss 1'!I117</f>
        <v/>
      </c>
      <c r="P27" s="217" t="str">
        <f>'Tank Loss 1'!J117</f>
        <v/>
      </c>
      <c r="Q27" s="217" t="str">
        <f>'Tank Loss 1'!K117</f>
        <v/>
      </c>
      <c r="R27" s="217" t="str">
        <f>'Tank Loss 1'!L117</f>
        <v/>
      </c>
      <c r="S27" s="217" t="str">
        <f>'Tank Loss 1'!M117</f>
        <v/>
      </c>
      <c r="T27" s="217" t="str">
        <f>'Tank Loss 1'!N117</f>
        <v/>
      </c>
      <c r="U27" s="217" t="str">
        <f>'Tank Loss 1'!O117</f>
        <v/>
      </c>
      <c r="V27" s="217" t="str">
        <f>'Tank Loss 1'!P117</f>
        <v/>
      </c>
      <c r="W27" s="191">
        <f>SUM(H27:Q27)</f>
        <v>0</v>
      </c>
    </row>
    <row r="28" spans="1:23" ht="13.5" thickBot="1" x14ac:dyDescent="0.25">
      <c r="A28" s="115" t="s">
        <v>9561</v>
      </c>
      <c r="B28" s="215">
        <f>IF(ISBLANK('Tank Loss 1'!C76),'Tank Loss 1'!B76,'Tank Loss 1'!C76)</f>
        <v>0</v>
      </c>
      <c r="C28" s="215">
        <f>IF(ISBLANK('Tank Loss 2'!C76),'Tank Loss 2'!B76,'Tank Loss 2'!C76)</f>
        <v>0</v>
      </c>
      <c r="D28" s="215">
        <f>IF(ISBLANK('Tank Loss 3'!C76),'Tank Loss 3'!B76,'Tank Loss 3'!C76)</f>
        <v>0</v>
      </c>
      <c r="E28" s="215">
        <f>IF(ISBLANK('Tank Loss 4'!C76),'Tank Loss 4'!B76,'Tank Loss 4'!C76)</f>
        <v>0</v>
      </c>
      <c r="F28" s="215">
        <f>IF(ISBLANK('Tank Loss 5'!C76),'Tank Loss 5'!B76,'Tank Loss 5'!C76)</f>
        <v>0</v>
      </c>
    </row>
    <row r="29" spans="1:23" ht="13.5" thickBot="1" x14ac:dyDescent="0.25">
      <c r="A29" s="115" t="s">
        <v>9562</v>
      </c>
      <c r="B29" s="215">
        <f>IF(ISBLANK('Tank Loss 1'!C77),'Tank Loss 1'!B77,'Tank Loss 1'!C77)</f>
        <v>459.67</v>
      </c>
      <c r="C29" s="215">
        <f>IF(ISBLANK('Tank Loss 2'!C77),'Tank Loss 2'!B77,'Tank Loss 2'!C77)</f>
        <v>459.67</v>
      </c>
      <c r="D29" s="215">
        <f>IF(ISBLANK('Tank Loss 3'!C77),'Tank Loss 3'!B77,'Tank Loss 3'!C77)</f>
        <v>459.67</v>
      </c>
      <c r="E29" s="215">
        <f>IF(ISBLANK('Tank Loss 4'!C77),'Tank Loss 4'!B77,'Tank Loss 4'!C77)</f>
        <v>459.67</v>
      </c>
      <c r="F29" s="215">
        <f>IF(ISBLANK('Tank Loss 5'!C77),'Tank Loss 5'!B77,'Tank Loss 5'!C77)</f>
        <v>459.67</v>
      </c>
      <c r="G29" s="1384" t="s">
        <v>9977</v>
      </c>
      <c r="H29" s="1384"/>
      <c r="I29" s="1384"/>
      <c r="J29" s="1384"/>
      <c r="K29" s="1384"/>
      <c r="L29" s="1384"/>
      <c r="M29" s="1384"/>
      <c r="N29" s="1384"/>
      <c r="O29" s="1384"/>
      <c r="P29" s="1384"/>
      <c r="Q29" s="1384"/>
      <c r="R29" s="1384"/>
      <c r="S29" s="1384"/>
      <c r="T29" s="1384"/>
      <c r="U29" s="1384"/>
      <c r="V29" s="1384"/>
      <c r="W29" s="1385"/>
    </row>
    <row r="30" spans="1:23" ht="13.5" thickBot="1" x14ac:dyDescent="0.25">
      <c r="A30" s="115" t="s">
        <v>9563</v>
      </c>
      <c r="B30" s="215">
        <f>IF(ISBLANK('Tank Loss 1'!C80),'Tank Loss 1'!B80,'Tank Loss 1'!C80)</f>
        <v>0</v>
      </c>
      <c r="C30" s="215">
        <f>IF(ISBLANK('Tank Loss 2'!C80),'Tank Loss 2'!B80,'Tank Loss 2'!C80)</f>
        <v>0</v>
      </c>
      <c r="D30" s="215">
        <f>IF(ISBLANK('Tank Loss 3'!C80),'Tank Loss 3'!B80,'Tank Loss 3'!C80)</f>
        <v>0</v>
      </c>
      <c r="E30" s="215">
        <f>IF(ISBLANK('Tank Loss 4'!C80),'Tank Loss 4'!B80,'Tank Loss 4'!C80)</f>
        <v>0</v>
      </c>
      <c r="F30" s="215">
        <f>IF(ISBLANK('Tank Loss 5'!C80),'Tank Loss 5'!B80,'Tank Loss 5'!C80)</f>
        <v>0</v>
      </c>
      <c r="G30" s="200" t="s">
        <v>9502</v>
      </c>
      <c r="H30" s="201" t="s">
        <v>9503</v>
      </c>
      <c r="I30" s="202" t="s">
        <v>9504</v>
      </c>
      <c r="J30" s="202" t="s">
        <v>9505</v>
      </c>
      <c r="K30" s="202" t="s">
        <v>9506</v>
      </c>
      <c r="L30" s="202" t="s">
        <v>9507</v>
      </c>
      <c r="M30" s="202" t="s">
        <v>9508</v>
      </c>
      <c r="N30" s="202" t="s">
        <v>9509</v>
      </c>
      <c r="O30" s="202" t="s">
        <v>9510</v>
      </c>
      <c r="P30" s="202" t="s">
        <v>9511</v>
      </c>
      <c r="Q30" s="202" t="s">
        <v>9512</v>
      </c>
      <c r="R30" s="202" t="s">
        <v>9513</v>
      </c>
      <c r="S30" s="202" t="s">
        <v>9514</v>
      </c>
      <c r="T30" s="202" t="s">
        <v>9515</v>
      </c>
      <c r="U30" s="202" t="s">
        <v>9516</v>
      </c>
      <c r="V30" s="202" t="s">
        <v>9517</v>
      </c>
      <c r="W30" s="203" t="s">
        <v>1</v>
      </c>
    </row>
    <row r="31" spans="1:23" x14ac:dyDescent="0.2">
      <c r="A31" s="115" t="s">
        <v>9564</v>
      </c>
      <c r="B31" s="215">
        <f>IF(ISBLANK('Tank Loss 1'!C78),'Tank Loss 1'!B78,'Tank Loss 1'!C78)</f>
        <v>0</v>
      </c>
      <c r="C31" s="215">
        <f>IF(ISBLANK('Tank Loss 2'!C78),'Tank Loss 2'!B78,'Tank Loss 2'!C78)</f>
        <v>0</v>
      </c>
      <c r="D31" s="215">
        <f>IF(ISBLANK('Tank Loss 3'!C78),'Tank Loss 3'!B78,'Tank Loss 3'!C78)</f>
        <v>0</v>
      </c>
      <c r="E31" s="215">
        <f>IF(ISBLANK('Tank Loss 4'!C78),'Tank Loss 4'!B78,'Tank Loss 4'!C78)</f>
        <v>0</v>
      </c>
      <c r="F31" s="215">
        <f>IF(ISBLANK('Tank Loss 5'!C78),'Tank Loss 5'!B78,'Tank Loss 5'!C78)</f>
        <v>0</v>
      </c>
      <c r="G31" s="204" t="s">
        <v>9519</v>
      </c>
      <c r="H31" s="205">
        <f>'Tank Loss 2'!B18</f>
        <v>0</v>
      </c>
      <c r="I31" s="206">
        <f>'Tank Loss 2'!C18</f>
        <v>0</v>
      </c>
      <c r="J31" s="206">
        <f>'Tank Loss 2'!D18</f>
        <v>0</v>
      </c>
      <c r="K31" s="206">
        <f>'Tank Loss 2'!E18</f>
        <v>0</v>
      </c>
      <c r="L31" s="206">
        <f>'Tank Loss 2'!F18</f>
        <v>0</v>
      </c>
      <c r="M31" s="206">
        <f>'Tank Loss 2'!G18</f>
        <v>0</v>
      </c>
      <c r="N31" s="206">
        <f>'Tank Loss 2'!H18</f>
        <v>0</v>
      </c>
      <c r="O31" s="206">
        <f>'Tank Loss 2'!I18</f>
        <v>0</v>
      </c>
      <c r="P31" s="206">
        <f>'Tank Loss 2'!J18</f>
        <v>0</v>
      </c>
      <c r="Q31" s="206">
        <f>'Tank Loss 2'!K18</f>
        <v>0</v>
      </c>
      <c r="R31" s="206">
        <f>'Tank Loss 2'!L18</f>
        <v>0</v>
      </c>
      <c r="S31" s="206">
        <f>'Tank Loss 2'!M18</f>
        <v>0</v>
      </c>
      <c r="T31" s="206">
        <f>'Tank Loss 2'!N18</f>
        <v>0</v>
      </c>
      <c r="U31" s="206">
        <f>'Tank Loss 2'!O18</f>
        <v>0</v>
      </c>
      <c r="V31" s="206">
        <f>'Tank Loss 2'!P18</f>
        <v>0</v>
      </c>
      <c r="W31" s="207"/>
    </row>
    <row r="32" spans="1:23" x14ac:dyDescent="0.2">
      <c r="A32" s="115" t="s">
        <v>9566</v>
      </c>
      <c r="B32" s="215">
        <f>IF(ISBLANK('Tank Loss 1'!C79),'Tank Loss 1'!B79,'Tank Loss 1'!C79)</f>
        <v>459.67</v>
      </c>
      <c r="C32" s="215">
        <f>IF(ISBLANK('Tank Loss 2'!C79),'Tank Loss 2'!B79,'Tank Loss 2'!C79)</f>
        <v>459.67</v>
      </c>
      <c r="D32" s="215">
        <f>IF(ISBLANK('Tank Loss 3'!C79),'Tank Loss 3'!B79,'Tank Loss 3'!C79)</f>
        <v>459.67</v>
      </c>
      <c r="E32" s="215">
        <f>IF(ISBLANK('Tank Loss 4'!C79),'Tank Loss 4'!B79,'Tank Loss 4'!C79)</f>
        <v>459.67</v>
      </c>
      <c r="F32" s="215">
        <f>IF(ISBLANK('Tank Loss 5'!C79),'Tank Loss 5'!B79,'Tank Loss 5'!C79)</f>
        <v>459.67</v>
      </c>
      <c r="G32" s="208" t="s">
        <v>9521</v>
      </c>
      <c r="H32" s="182">
        <f>'Tank Loss 2'!B19</f>
        <v>0</v>
      </c>
      <c r="I32" s="209">
        <f>'Tank Loss 2'!C19</f>
        <v>0</v>
      </c>
      <c r="J32" s="209">
        <f>'Tank Loss 2'!D19</f>
        <v>0</v>
      </c>
      <c r="K32" s="209">
        <f>'Tank Loss 2'!E19</f>
        <v>0</v>
      </c>
      <c r="L32" s="209">
        <f>'Tank Loss 2'!F19</f>
        <v>0</v>
      </c>
      <c r="M32" s="209">
        <f>'Tank Loss 2'!G19</f>
        <v>0</v>
      </c>
      <c r="N32" s="209">
        <f>'Tank Loss 2'!H19</f>
        <v>0</v>
      </c>
      <c r="O32" s="209">
        <f>'Tank Loss 2'!I19</f>
        <v>0</v>
      </c>
      <c r="P32" s="209">
        <f>'Tank Loss 2'!J19</f>
        <v>0</v>
      </c>
      <c r="Q32" s="209">
        <f>'Tank Loss 2'!K19</f>
        <v>0</v>
      </c>
      <c r="R32" s="209">
        <f>'Tank Loss 2'!L19</f>
        <v>0</v>
      </c>
      <c r="S32" s="209">
        <f>'Tank Loss 2'!M19</f>
        <v>0</v>
      </c>
      <c r="T32" s="209">
        <f>'Tank Loss 2'!N19</f>
        <v>0</v>
      </c>
      <c r="U32" s="209">
        <f>'Tank Loss 2'!O19</f>
        <v>0</v>
      </c>
      <c r="V32" s="209">
        <f>'Tank Loss 2'!P19</f>
        <v>0</v>
      </c>
      <c r="W32" s="210"/>
    </row>
    <row r="33" spans="1:23" x14ac:dyDescent="0.2">
      <c r="A33" s="115" t="s">
        <v>9568</v>
      </c>
      <c r="B33" s="199">
        <f>IF(ISBLANK('Tank Loss 1'!C81),'Tank Loss 1'!B81,'Tank Loss 1'!C81)</f>
        <v>0</v>
      </c>
      <c r="C33" s="199">
        <f>IF(ISBLANK('Tank Loss 2'!C81),'Tank Loss 2'!B81,'Tank Loss 2'!C81)</f>
        <v>0</v>
      </c>
      <c r="D33" s="199">
        <f>IF(ISBLANK('Tank Loss 3'!C81),'Tank Loss 3'!B81,'Tank Loss 3'!C81)</f>
        <v>0</v>
      </c>
      <c r="E33" s="199">
        <f>IF(ISBLANK('Tank Loss 4'!C81),'Tank Loss 4'!B81,'Tank Loss 4'!C81)</f>
        <v>0</v>
      </c>
      <c r="F33" s="199">
        <f>IF(ISBLANK('Tank Loss 5'!C81),'Tank Loss 5'!B81,'Tank Loss 5'!C81)</f>
        <v>0</v>
      </c>
      <c r="G33" s="208" t="s">
        <v>9523</v>
      </c>
      <c r="H33" s="182">
        <f>'Tank Loss 2'!B20</f>
        <v>0</v>
      </c>
      <c r="I33" s="209">
        <f>'Tank Loss 2'!C20</f>
        <v>0</v>
      </c>
      <c r="J33" s="209">
        <f>'Tank Loss 2'!D20</f>
        <v>0</v>
      </c>
      <c r="K33" s="209">
        <f>'Tank Loss 2'!E20</f>
        <v>0</v>
      </c>
      <c r="L33" s="209">
        <f>'Tank Loss 2'!F20</f>
        <v>0</v>
      </c>
      <c r="M33" s="209">
        <f>'Tank Loss 2'!G20</f>
        <v>0</v>
      </c>
      <c r="N33" s="209">
        <f>'Tank Loss 2'!H20</f>
        <v>0</v>
      </c>
      <c r="O33" s="209">
        <f>'Tank Loss 2'!I20</f>
        <v>0</v>
      </c>
      <c r="P33" s="209">
        <f>'Tank Loss 2'!J20</f>
        <v>0</v>
      </c>
      <c r="Q33" s="209">
        <f>'Tank Loss 2'!K20</f>
        <v>0</v>
      </c>
      <c r="R33" s="209">
        <f>'Tank Loss 2'!L20</f>
        <v>0</v>
      </c>
      <c r="S33" s="209">
        <f>'Tank Loss 2'!M20</f>
        <v>0</v>
      </c>
      <c r="T33" s="209">
        <f>'Tank Loss 2'!N20</f>
        <v>0</v>
      </c>
      <c r="U33" s="209">
        <f>'Tank Loss 2'!O20</f>
        <v>0</v>
      </c>
      <c r="V33" s="209">
        <f>'Tank Loss 2'!P20</f>
        <v>0</v>
      </c>
      <c r="W33" s="184">
        <f>SUM(H33:V33)</f>
        <v>0</v>
      </c>
    </row>
    <row r="34" spans="1:23" x14ac:dyDescent="0.2">
      <c r="A34" s="115" t="s">
        <v>9570</v>
      </c>
      <c r="B34" s="199">
        <f>IF(ISBLANK('Tank Loss 1'!C82),'Tank Loss 1'!B82,'Tank Loss 1'!C82)</f>
        <v>459.67</v>
      </c>
      <c r="C34" s="199">
        <f>IF(ISBLANK('Tank Loss 2'!C82),'Tank Loss 2'!B82,'Tank Loss 2'!C82)</f>
        <v>459.67</v>
      </c>
      <c r="D34" s="199">
        <f>IF(ISBLANK('Tank Loss 3'!C82),'Tank Loss 3'!B82,'Tank Loss 3'!C82)</f>
        <v>459.67</v>
      </c>
      <c r="E34" s="199">
        <f>IF(ISBLANK('Tank Loss 4'!C82),'Tank Loss 4'!B82,'Tank Loss 4'!C82)</f>
        <v>459.67</v>
      </c>
      <c r="F34" s="199">
        <f>IF(ISBLANK('Tank Loss 5'!C82),'Tank Loss 5'!B82,'Tank Loss 5'!C82)</f>
        <v>459.67</v>
      </c>
      <c r="G34" s="208" t="s">
        <v>9201</v>
      </c>
      <c r="H34" s="182">
        <f>IF(ISBLANK('Tank Loss 2'!B22),'Tank Loss 2'!B21,'Tank Loss 2'!B22)</f>
        <v>0</v>
      </c>
      <c r="I34" s="209">
        <f>IF(ISBLANK('Tank Loss 2'!C22),'Tank Loss 2'!C21,'Tank Loss 2'!C22)</f>
        <v>0</v>
      </c>
      <c r="J34" s="209">
        <f>IF(ISBLANK('Tank Loss 2'!D22),'Tank Loss 2'!D21,'Tank Loss 2'!D22)</f>
        <v>0</v>
      </c>
      <c r="K34" s="209">
        <f>IF(ISBLANK('Tank Loss 2'!E22),'Tank Loss 2'!E21,'Tank Loss 2'!E22)</f>
        <v>0</v>
      </c>
      <c r="L34" s="209">
        <f>IF(ISBLANK('Tank Loss 2'!F22),'Tank Loss 2'!F21,'Tank Loss 2'!F22)</f>
        <v>0</v>
      </c>
      <c r="M34" s="209">
        <f>IF(ISBLANK('Tank Loss 2'!G22),'Tank Loss 2'!G21,'Tank Loss 2'!G22)</f>
        <v>0</v>
      </c>
      <c r="N34" s="209">
        <f>IF(ISBLANK('Tank Loss 2'!H22),'Tank Loss 2'!H21,'Tank Loss 2'!H22)</f>
        <v>0</v>
      </c>
      <c r="O34" s="209">
        <f>IF(ISBLANK('Tank Loss 2'!I22),'Tank Loss 2'!I21,'Tank Loss 2'!I22)</f>
        <v>0</v>
      </c>
      <c r="P34" s="209">
        <f>IF(ISBLANK('Tank Loss 2'!J22),'Tank Loss 2'!J21,'Tank Loss 2'!J22)</f>
        <v>0</v>
      </c>
      <c r="Q34" s="209">
        <f>IF(ISBLANK('Tank Loss 2'!K22),'Tank Loss 2'!K21,'Tank Loss 2'!K22)</f>
        <v>0</v>
      </c>
      <c r="R34" s="209">
        <f>IF(ISBLANK('Tank Loss 2'!L22),'Tank Loss 2'!L21,'Tank Loss 2'!L22)</f>
        <v>0</v>
      </c>
      <c r="S34" s="209">
        <f>IF(ISBLANK('Tank Loss 2'!M22),'Tank Loss 2'!M21,'Tank Loss 2'!M22)</f>
        <v>0</v>
      </c>
      <c r="T34" s="209">
        <f>IF(ISBLANK('Tank Loss 2'!N22),'Tank Loss 2'!N21,'Tank Loss 2'!N22)</f>
        <v>0</v>
      </c>
      <c r="U34" s="209">
        <f>IF(ISBLANK('Tank Loss 2'!O22),'Tank Loss 2'!O21,'Tank Loss 2'!O22)</f>
        <v>0</v>
      </c>
      <c r="V34" s="209">
        <f>IF(ISBLANK('Tank Loss 2'!P22),'Tank Loss 2'!P21,'Tank Loss 2'!P22)</f>
        <v>0</v>
      </c>
      <c r="W34" s="211">
        <f>IFERROR(1/W35,0)</f>
        <v>0</v>
      </c>
    </row>
    <row r="35" spans="1:23" x14ac:dyDescent="0.2">
      <c r="A35" s="115" t="s">
        <v>9572</v>
      </c>
      <c r="B35" s="199">
        <f>IF(ISBLANK('Tank Loss 1'!C90),'Tank Loss 1'!B90,'Tank Loss 1'!C90)</f>
        <v>0</v>
      </c>
      <c r="C35" s="199">
        <f>IF(ISBLANK('Tank Loss 2'!C90),'Tank Loss 2'!B90,'Tank Loss 2'!C90)</f>
        <v>0</v>
      </c>
      <c r="D35" s="199">
        <f>IF(ISBLANK('Tank Loss 3'!C90),'Tank Loss 3'!B90,'Tank Loss 3'!C90)</f>
        <v>0</v>
      </c>
      <c r="E35" s="199">
        <f>IF(ISBLANK('Tank Loss 4'!C90),'Tank Loss 4'!B90,'Tank Loss 4'!C90)</f>
        <v>0</v>
      </c>
      <c r="F35" s="199">
        <f>IF(ISBLANK('Tank Loss 5'!C90),'Tank Loss 5'!B90,'Tank Loss 5'!C90)</f>
        <v>0</v>
      </c>
      <c r="G35" s="208" t="s">
        <v>9526</v>
      </c>
      <c r="H35" s="182">
        <f>IFERROR((H33/H34),0)</f>
        <v>0</v>
      </c>
      <c r="I35" s="209">
        <f t="shared" ref="I35:V35" si="6">IFERROR((I33/I34),0)</f>
        <v>0</v>
      </c>
      <c r="J35" s="209">
        <f t="shared" si="6"/>
        <v>0</v>
      </c>
      <c r="K35" s="209">
        <f t="shared" si="6"/>
        <v>0</v>
      </c>
      <c r="L35" s="209">
        <f t="shared" si="6"/>
        <v>0</v>
      </c>
      <c r="M35" s="209">
        <f t="shared" si="6"/>
        <v>0</v>
      </c>
      <c r="N35" s="209">
        <f t="shared" si="6"/>
        <v>0</v>
      </c>
      <c r="O35" s="209">
        <f t="shared" si="6"/>
        <v>0</v>
      </c>
      <c r="P35" s="209">
        <f t="shared" si="6"/>
        <v>0</v>
      </c>
      <c r="Q35" s="209">
        <f t="shared" si="6"/>
        <v>0</v>
      </c>
      <c r="R35" s="209">
        <f t="shared" si="6"/>
        <v>0</v>
      </c>
      <c r="S35" s="209">
        <f t="shared" si="6"/>
        <v>0</v>
      </c>
      <c r="T35" s="209">
        <f t="shared" si="6"/>
        <v>0</v>
      </c>
      <c r="U35" s="209">
        <f t="shared" si="6"/>
        <v>0</v>
      </c>
      <c r="V35" s="209">
        <f t="shared" si="6"/>
        <v>0</v>
      </c>
      <c r="W35" s="184">
        <f>SUM(H35:V35)</f>
        <v>0</v>
      </c>
    </row>
    <row r="36" spans="1:23" x14ac:dyDescent="0.2">
      <c r="A36" s="115" t="s">
        <v>9574</v>
      </c>
      <c r="B36" s="199">
        <f>IF(ISBLANK('Tank Loss 1'!C91),'Tank Loss 1'!B91,'Tank Loss 1'!C91)</f>
        <v>459.67</v>
      </c>
      <c r="C36" s="199">
        <f>IF(ISBLANK('Tank Loss 2'!C91),'Tank Loss 2'!B91,'Tank Loss 2'!C91)</f>
        <v>459.67</v>
      </c>
      <c r="D36" s="199">
        <f>IF(ISBLANK('Tank Loss 3'!C91),'Tank Loss 3'!B91,'Tank Loss 3'!C91)</f>
        <v>459.67</v>
      </c>
      <c r="E36" s="199">
        <f>IF(ISBLANK('Tank Loss 4'!C91),'Tank Loss 4'!B91,'Tank Loss 4'!C91)</f>
        <v>459.67</v>
      </c>
      <c r="F36" s="199">
        <f>IF(ISBLANK('Tank Loss 5'!C91),'Tank Loss 5'!B91,'Tank Loss 5'!C91)</f>
        <v>459.67</v>
      </c>
      <c r="G36" s="208" t="s">
        <v>9528</v>
      </c>
      <c r="H36" s="182">
        <f>IF(ISBLANK('Tank Loss 2'!B24),'Tank Loss 2'!B23,'Tank Loss 2'!B24)</f>
        <v>0</v>
      </c>
      <c r="I36" s="209">
        <f>IF(ISBLANK('Tank Loss 2'!C24),'Tank Loss 2'!C23,'Tank Loss 2'!C24)</f>
        <v>0</v>
      </c>
      <c r="J36" s="209">
        <f>IF(ISBLANK('Tank Loss 2'!D24),'Tank Loss 2'!D23,'Tank Loss 2'!D24)</f>
        <v>0</v>
      </c>
      <c r="K36" s="209">
        <f>IF(ISBLANK('Tank Loss 2'!E24),'Tank Loss 2'!E23,'Tank Loss 2'!E24)</f>
        <v>0</v>
      </c>
      <c r="L36" s="209">
        <f>IF(ISBLANK('Tank Loss 2'!F24),'Tank Loss 2'!F23,'Tank Loss 2'!F24)</f>
        <v>0</v>
      </c>
      <c r="M36" s="209">
        <f>IF(ISBLANK('Tank Loss 2'!G24),'Tank Loss 2'!G23,'Tank Loss 2'!G24)</f>
        <v>0</v>
      </c>
      <c r="N36" s="209">
        <f>IF(ISBLANK('Tank Loss 2'!H24),'Tank Loss 2'!H23,'Tank Loss 2'!H24)</f>
        <v>0</v>
      </c>
      <c r="O36" s="209">
        <f>IF(ISBLANK('Tank Loss 2'!I24),'Tank Loss 2'!I23,'Tank Loss 2'!I24)</f>
        <v>0</v>
      </c>
      <c r="P36" s="209">
        <f>IF(ISBLANK('Tank Loss 2'!J24),'Tank Loss 2'!J23,'Tank Loss 2'!J24)</f>
        <v>0</v>
      </c>
      <c r="Q36" s="209">
        <f>IF(ISBLANK('Tank Loss 2'!K24),'Tank Loss 2'!K23,'Tank Loss 2'!K24)</f>
        <v>0</v>
      </c>
      <c r="R36" s="209">
        <f>IF(ISBLANK('Tank Loss 2'!L24),'Tank Loss 2'!L23,'Tank Loss 2'!L24)</f>
        <v>0</v>
      </c>
      <c r="S36" s="209">
        <f>IF(ISBLANK('Tank Loss 2'!M24),'Tank Loss 2'!M23,'Tank Loss 2'!M24)</f>
        <v>0</v>
      </c>
      <c r="T36" s="209">
        <f>IF(ISBLANK('Tank Loss 2'!N24),'Tank Loss 2'!N23,'Tank Loss 2'!N24)</f>
        <v>0</v>
      </c>
      <c r="U36" s="209">
        <f>IF(ISBLANK('Tank Loss 2'!O24),'Tank Loss 2'!O23,'Tank Loss 2'!O24)</f>
        <v>0</v>
      </c>
      <c r="V36" s="209">
        <f>IF(ISBLANK('Tank Loss 2'!P24),'Tank Loss 2'!P23,'Tank Loss 2'!P24)</f>
        <v>0</v>
      </c>
      <c r="W36" s="184">
        <f>IFERROR(IF(AND(AVERAGEIF(H36:V36,"&gt;0")=IF('Tank Loss 2'!B12="Fixed",0.75,0.4),IFERROR(AVERAGEIF(H36:V36,"&gt;0"),1)=IF('Tank Loss 2'!B12="Fixed",0.75,0.4)),IF('Tank Loss 2'!B12="Fixed",0.75,0.4),1),1)</f>
        <v>1</v>
      </c>
    </row>
    <row r="37" spans="1:23" x14ac:dyDescent="0.2">
      <c r="A37" s="115" t="s">
        <v>9576</v>
      </c>
      <c r="B37" s="199">
        <f>(B36-491.67)/1.8</f>
        <v>-17.777777777777779</v>
      </c>
      <c r="C37" s="199">
        <f>(C36-491.67)/1.8</f>
        <v>-17.777777777777779</v>
      </c>
      <c r="D37" s="199">
        <f>(D36-491.67)/1.8</f>
        <v>-17.777777777777779</v>
      </c>
      <c r="E37" s="199">
        <f>(E36-491.67)/1.8</f>
        <v>-17.777777777777779</v>
      </c>
      <c r="F37" s="199">
        <f>(F36-491.67)/1.8</f>
        <v>-17.777777777777779</v>
      </c>
      <c r="G37" s="208" t="s">
        <v>9530</v>
      </c>
      <c r="H37" s="182">
        <f>IF(ISBLANK('Tank Loss 2'!B26),'Tank Loss 2'!B25,'Tank Loss 2'!B26)</f>
        <v>0</v>
      </c>
      <c r="I37" s="209">
        <f>IF(ISBLANK('Tank Loss 2'!C26),'Tank Loss 2'!C25,'Tank Loss 2'!C26)</f>
        <v>0</v>
      </c>
      <c r="J37" s="209">
        <f>IF(ISBLANK('Tank Loss 2'!D26),'Tank Loss 2'!D25,'Tank Loss 2'!D26)</f>
        <v>0</v>
      </c>
      <c r="K37" s="209">
        <f>IF(ISBLANK('Tank Loss 2'!E26),'Tank Loss 2'!E25,'Tank Loss 2'!E26)</f>
        <v>0</v>
      </c>
      <c r="L37" s="209">
        <f>IF(ISBLANK('Tank Loss 2'!F26),'Tank Loss 2'!F25,'Tank Loss 2'!F26)</f>
        <v>0</v>
      </c>
      <c r="M37" s="209">
        <f>IF(ISBLANK('Tank Loss 2'!G26),'Tank Loss 2'!G25,'Tank Loss 2'!G26)</f>
        <v>0</v>
      </c>
      <c r="N37" s="209">
        <f>IF(ISBLANK('Tank Loss 2'!H26),'Tank Loss 2'!H25,'Tank Loss 2'!H26)</f>
        <v>0</v>
      </c>
      <c r="O37" s="209">
        <f>IF(ISBLANK('Tank Loss 2'!I26),'Tank Loss 2'!I25,'Tank Loss 2'!I26)</f>
        <v>0</v>
      </c>
      <c r="P37" s="209">
        <f>IF(ISBLANK('Tank Loss 2'!J26),'Tank Loss 2'!J25,'Tank Loss 2'!J26)</f>
        <v>0</v>
      </c>
      <c r="Q37" s="209">
        <f>IF(ISBLANK('Tank Loss 2'!K26),'Tank Loss 2'!K25,'Tank Loss 2'!K26)</f>
        <v>0</v>
      </c>
      <c r="R37" s="209">
        <f>IF(ISBLANK('Tank Loss 2'!L26),'Tank Loss 2'!L25,'Tank Loss 2'!L26)</f>
        <v>0</v>
      </c>
      <c r="S37" s="209">
        <f>IF(ISBLANK('Tank Loss 2'!M26),'Tank Loss 2'!M25,'Tank Loss 2'!M26)</f>
        <v>0</v>
      </c>
      <c r="T37" s="209">
        <f>IF(ISBLANK('Tank Loss 2'!N26),'Tank Loss 2'!N25,'Tank Loss 2'!N26)</f>
        <v>0</v>
      </c>
      <c r="U37" s="209">
        <f>IF(ISBLANK('Tank Loss 2'!O26),'Tank Loss 2'!O25,'Tank Loss 2'!O26)</f>
        <v>0</v>
      </c>
      <c r="V37" s="209">
        <f>IF(ISBLANK('Tank Loss 2'!P26),'Tank Loss 2'!P25,'Tank Loss 2'!P26)</f>
        <v>0</v>
      </c>
      <c r="W37" s="184">
        <f>SUM(H37:V37)</f>
        <v>0</v>
      </c>
    </row>
    <row r="38" spans="1:23" x14ac:dyDescent="0.2">
      <c r="A38" s="115" t="s">
        <v>9577</v>
      </c>
      <c r="B38" s="199">
        <f>IF(ISBLANK('Tank Loss 1'!C88),'Tank Loss 1'!B88,'Tank Loss 1'!C88)</f>
        <v>0</v>
      </c>
      <c r="C38" s="199">
        <f>IF(ISBLANK('Tank Loss 2'!C88),'Tank Loss 2'!B88,'Tank Loss 2'!C88)</f>
        <v>0</v>
      </c>
      <c r="D38" s="199">
        <f>IF(ISBLANK('Tank Loss 3'!C88),'Tank Loss 3'!B88,'Tank Loss 3'!C88)</f>
        <v>0</v>
      </c>
      <c r="E38" s="199">
        <f>IF(ISBLANK('Tank Loss 4'!C88),'Tank Loss 4'!B88,'Tank Loss 4'!C88)</f>
        <v>0</v>
      </c>
      <c r="F38" s="199">
        <f>IF(ISBLANK('Tank Loss 5'!C88),'Tank Loss 5'!B88,'Tank Loss 5'!C88)</f>
        <v>0</v>
      </c>
      <c r="G38" s="208" t="s">
        <v>9532</v>
      </c>
      <c r="H38" s="182">
        <f>IFERROR(H33/H37*1000,0)</f>
        <v>0</v>
      </c>
      <c r="I38" s="209">
        <f t="shared" ref="I38:V38" si="7">IFERROR(I33/I37*1000,0)</f>
        <v>0</v>
      </c>
      <c r="J38" s="209">
        <f t="shared" si="7"/>
        <v>0</v>
      </c>
      <c r="K38" s="209">
        <f t="shared" si="7"/>
        <v>0</v>
      </c>
      <c r="L38" s="209">
        <f t="shared" si="7"/>
        <v>0</v>
      </c>
      <c r="M38" s="209">
        <f t="shared" si="7"/>
        <v>0</v>
      </c>
      <c r="N38" s="209">
        <f t="shared" si="7"/>
        <v>0</v>
      </c>
      <c r="O38" s="209">
        <f t="shared" si="7"/>
        <v>0</v>
      </c>
      <c r="P38" s="209">
        <f t="shared" si="7"/>
        <v>0</v>
      </c>
      <c r="Q38" s="209">
        <f t="shared" si="7"/>
        <v>0</v>
      </c>
      <c r="R38" s="209">
        <f t="shared" si="7"/>
        <v>0</v>
      </c>
      <c r="S38" s="209">
        <f t="shared" si="7"/>
        <v>0</v>
      </c>
      <c r="T38" s="209">
        <f t="shared" si="7"/>
        <v>0</v>
      </c>
      <c r="U38" s="209">
        <f t="shared" si="7"/>
        <v>0</v>
      </c>
      <c r="V38" s="209">
        <f t="shared" si="7"/>
        <v>0</v>
      </c>
      <c r="W38" s="184">
        <f>SUM(H38:V38)</f>
        <v>0</v>
      </c>
    </row>
    <row r="39" spans="1:23" x14ac:dyDescent="0.2">
      <c r="A39" s="115" t="s">
        <v>9578</v>
      </c>
      <c r="B39" s="199">
        <f>IF(ISBLANK('Tank Loss 1'!C89),'Tank Loss 1'!B89,'Tank Loss 1'!C89)</f>
        <v>459.67</v>
      </c>
      <c r="C39" s="199">
        <f>IF(ISBLANK('Tank Loss 2'!C89),'Tank Loss 2'!B89,'Tank Loss 2'!C89)</f>
        <v>459.67</v>
      </c>
      <c r="D39" s="199">
        <f>IF(ISBLANK('Tank Loss 3'!C89),'Tank Loss 3'!B89,'Tank Loss 3'!C89)</f>
        <v>459.67</v>
      </c>
      <c r="E39" s="199">
        <f>IF(ISBLANK('Tank Loss 4'!C89),'Tank Loss 4'!B89,'Tank Loss 4'!C89)</f>
        <v>459.67</v>
      </c>
      <c r="F39" s="199">
        <f>IF(ISBLANK('Tank Loss 5'!C89),'Tank Loss 5'!B89,'Tank Loss 5'!C89)</f>
        <v>459.67</v>
      </c>
      <c r="G39" s="208" t="s">
        <v>9534</v>
      </c>
      <c r="H39" s="182">
        <f>IF(H31=0,0,IF(ISBLANK('Tank Loss 2'!B107),'Tank Loss 2'!B106,'Tank Loss 2'!B107))</f>
        <v>0</v>
      </c>
      <c r="I39" s="209">
        <f>IF(I31=0,0,IF(ISBLANK('Tank Loss 2'!C107),'Tank Loss 2'!C106,'Tank Loss 2'!C107))</f>
        <v>0</v>
      </c>
      <c r="J39" s="209">
        <f>IF(J31=0,0,IF(ISBLANK('Tank Loss 2'!D107),'Tank Loss 2'!D106,'Tank Loss 2'!D107))</f>
        <v>0</v>
      </c>
      <c r="K39" s="209">
        <f>IF(K31=0,0,IF(ISBLANK('Tank Loss 2'!E107),'Tank Loss 2'!E106,'Tank Loss 2'!E107))</f>
        <v>0</v>
      </c>
      <c r="L39" s="209">
        <f>IF(L31=0,0,IF(ISBLANK('Tank Loss 2'!F107),'Tank Loss 2'!F106,'Tank Loss 2'!F107))</f>
        <v>0</v>
      </c>
      <c r="M39" s="209">
        <f>IF(M31=0,0,IF(ISBLANK('Tank Loss 2'!G107),'Tank Loss 2'!G106,'Tank Loss 2'!G107))</f>
        <v>0</v>
      </c>
      <c r="N39" s="209">
        <f>IF(N31=0,0,IF(ISBLANK('Tank Loss 2'!H107),'Tank Loss 2'!H106,'Tank Loss 2'!H107))</f>
        <v>0</v>
      </c>
      <c r="O39" s="209">
        <f>IF(O31=0,0,IF(ISBLANK('Tank Loss 2'!I107),'Tank Loss 2'!I106,'Tank Loss 2'!I107))</f>
        <v>0</v>
      </c>
      <c r="P39" s="209">
        <f>IF(P31=0,0,IF(ISBLANK('Tank Loss 2'!J107),'Tank Loss 2'!J106,'Tank Loss 2'!J107))</f>
        <v>0</v>
      </c>
      <c r="Q39" s="209">
        <f>IF(Q31=0,0,IF(ISBLANK('Tank Loss 2'!K107),'Tank Loss 2'!K106,'Tank Loss 2'!K107))</f>
        <v>0</v>
      </c>
      <c r="R39" s="209">
        <f>IF(R31=0,0,IF(ISBLANK('Tank Loss 2'!L107),'Tank Loss 2'!L106,'Tank Loss 2'!L107))</f>
        <v>0</v>
      </c>
      <c r="S39" s="209">
        <f>IF(S31=0,0,IF(ISBLANK('Tank Loss 2'!M107),'Tank Loss 2'!M106,'Tank Loss 2'!M107))</f>
        <v>0</v>
      </c>
      <c r="T39" s="209">
        <f>IF(T31=0,0,IF(ISBLANK('Tank Loss 2'!N107),'Tank Loss 2'!N106,'Tank Loss 2'!N107))</f>
        <v>0</v>
      </c>
      <c r="U39" s="209">
        <f>IF(U31=0,0,IF(ISBLANK('Tank Loss 2'!O107),'Tank Loss 2'!O106,'Tank Loss 2'!O107))</f>
        <v>0</v>
      </c>
      <c r="V39" s="209">
        <f>IF(V31=0,0,IF(ISBLANK('Tank Loss 2'!P107),'Tank Loss 2'!P106,'Tank Loss 2'!P107))</f>
        <v>0</v>
      </c>
      <c r="W39" s="210"/>
    </row>
    <row r="40" spans="1:23" x14ac:dyDescent="0.2">
      <c r="A40" s="115" t="s">
        <v>9579</v>
      </c>
      <c r="B40" s="199">
        <f>(B39-491.67)/1.8</f>
        <v>-17.777777777777779</v>
      </c>
      <c r="C40" s="199">
        <f>(C39-491.67)/1.8</f>
        <v>-17.777777777777779</v>
      </c>
      <c r="D40" s="199">
        <f>(D39-491.67)/1.8</f>
        <v>-17.777777777777779</v>
      </c>
      <c r="E40" s="199">
        <f>(E39-491.67)/1.8</f>
        <v>-17.777777777777779</v>
      </c>
      <c r="F40" s="199">
        <f>(F39-491.67)/1.8</f>
        <v>-17.777777777777779</v>
      </c>
      <c r="G40" s="208" t="s">
        <v>9536</v>
      </c>
      <c r="H40" s="182">
        <f>IF(H31=0,0,IF(ISBLANK('Tank Loss 2'!B109),'Tank Loss 2'!B108,'Tank Loss 2'!B109))</f>
        <v>0</v>
      </c>
      <c r="I40" s="209">
        <f>IF(I31=0,0,IF(ISBLANK('Tank Loss 2'!C109),'Tank Loss 2'!C108,'Tank Loss 2'!C109))</f>
        <v>0</v>
      </c>
      <c r="J40" s="209">
        <f>IF(J31=0,0,IF(ISBLANK('Tank Loss 2'!D109),'Tank Loss 2'!D108,'Tank Loss 2'!D109))</f>
        <v>0</v>
      </c>
      <c r="K40" s="209">
        <f>IF(K31=0,0,IF(ISBLANK('Tank Loss 2'!E109),'Tank Loss 2'!E108,'Tank Loss 2'!E109))</f>
        <v>0</v>
      </c>
      <c r="L40" s="209">
        <f>IF(L31=0,0,IF(ISBLANK('Tank Loss 2'!F109),'Tank Loss 2'!F108,'Tank Loss 2'!F109))</f>
        <v>0</v>
      </c>
      <c r="M40" s="209">
        <f>IF(M31=0,0,IF(ISBLANK('Tank Loss 2'!G109),'Tank Loss 2'!G108,'Tank Loss 2'!G109))</f>
        <v>0</v>
      </c>
      <c r="N40" s="209">
        <f>IF(N31=0,0,IF(ISBLANK('Tank Loss 2'!H109),'Tank Loss 2'!H108,'Tank Loss 2'!H109))</f>
        <v>0</v>
      </c>
      <c r="O40" s="209">
        <f>IF(O31=0,0,IF(ISBLANK('Tank Loss 2'!I109),'Tank Loss 2'!I108,'Tank Loss 2'!I109))</f>
        <v>0</v>
      </c>
      <c r="P40" s="209">
        <f>IF(P31=0,0,IF(ISBLANK('Tank Loss 2'!J109),'Tank Loss 2'!J108,'Tank Loss 2'!J109))</f>
        <v>0</v>
      </c>
      <c r="Q40" s="209">
        <f>IF(Q31=0,0,IF(ISBLANK('Tank Loss 2'!K109),'Tank Loss 2'!K108,'Tank Loss 2'!K109))</f>
        <v>0</v>
      </c>
      <c r="R40" s="209">
        <f>IF(R31=0,0,IF(ISBLANK('Tank Loss 2'!L109),'Tank Loss 2'!L108,'Tank Loss 2'!L109))</f>
        <v>0</v>
      </c>
      <c r="S40" s="209">
        <f>IF(S31=0,0,IF(ISBLANK('Tank Loss 2'!M109),'Tank Loss 2'!M108,'Tank Loss 2'!M109))</f>
        <v>0</v>
      </c>
      <c r="T40" s="209">
        <f>IF(T31=0,0,IF(ISBLANK('Tank Loss 2'!N109),'Tank Loss 2'!N108,'Tank Loss 2'!N109))</f>
        <v>0</v>
      </c>
      <c r="U40" s="209">
        <f>IF(U31=0,0,IF(ISBLANK('Tank Loss 2'!O109),'Tank Loss 2'!O108,'Tank Loss 2'!O109))</f>
        <v>0</v>
      </c>
      <c r="V40" s="209">
        <f>IF(V31=0,0,IF(ISBLANK('Tank Loss 2'!P109),'Tank Loss 2'!P108,'Tank Loss 2'!P109))</f>
        <v>0</v>
      </c>
      <c r="W40" s="210"/>
    </row>
    <row r="41" spans="1:23" x14ac:dyDescent="0.2">
      <c r="A41" s="115" t="s">
        <v>9580</v>
      </c>
      <c r="B41" s="199">
        <f>IF(ISBLANK('Tank Loss 1'!C86),'Tank Loss 1'!B86,'Tank Loss 1'!C86)</f>
        <v>0</v>
      </c>
      <c r="C41" s="199">
        <f>IF(ISBLANK('Tank Loss 2'!C86),'Tank Loss 2'!B86,'Tank Loss 2'!C86)</f>
        <v>0</v>
      </c>
      <c r="D41" s="199">
        <f>IF(ISBLANK('Tank Loss 3'!C86),'Tank Loss 3'!B86,'Tank Loss 3'!C86)</f>
        <v>0</v>
      </c>
      <c r="E41" s="199">
        <f>IF(ISBLANK('Tank Loss 4'!C86),'Tank Loss 4'!B86,'Tank Loss 4'!C86)</f>
        <v>0</v>
      </c>
      <c r="F41" s="199">
        <f>IF(ISBLANK('Tank Loss 5'!C86),'Tank Loss 5'!B86,'Tank Loss 5'!C86)</f>
        <v>0</v>
      </c>
      <c r="G41" s="208" t="s">
        <v>9537</v>
      </c>
      <c r="H41" s="182">
        <f>IF(H31=0,0,IF(ISBLANK('Tank Loss 2'!B111),'Tank Loss 2'!B110,'Tank Loss 2'!B111))</f>
        <v>0</v>
      </c>
      <c r="I41" s="209">
        <f>IF(I31=0,0,IF(ISBLANK('Tank Loss 2'!C111),'Tank Loss 2'!C110,'Tank Loss 2'!C111))</f>
        <v>0</v>
      </c>
      <c r="J41" s="209">
        <f>IF(J31=0,0,IF(ISBLANK('Tank Loss 2'!D111),'Tank Loss 2'!D110,'Tank Loss 2'!D111))</f>
        <v>0</v>
      </c>
      <c r="K41" s="209">
        <f>IF(K31=0,0,IF(ISBLANK('Tank Loss 2'!E111),'Tank Loss 2'!E110,'Tank Loss 2'!E111))</f>
        <v>0</v>
      </c>
      <c r="L41" s="209">
        <f>IF(L31=0,0,IF(ISBLANK('Tank Loss 2'!F111),'Tank Loss 2'!F110,'Tank Loss 2'!F111))</f>
        <v>0</v>
      </c>
      <c r="M41" s="209">
        <f>IF(M31=0,0,IF(ISBLANK('Tank Loss 2'!G111),'Tank Loss 2'!G110,'Tank Loss 2'!G111))</f>
        <v>0</v>
      </c>
      <c r="N41" s="209">
        <f>IF(N31=0,0,IF(ISBLANK('Tank Loss 2'!H111),'Tank Loss 2'!H110,'Tank Loss 2'!H111))</f>
        <v>0</v>
      </c>
      <c r="O41" s="209">
        <f>IF(O31=0,0,IF(ISBLANK('Tank Loss 2'!I111),'Tank Loss 2'!I110,'Tank Loss 2'!I111))</f>
        <v>0</v>
      </c>
      <c r="P41" s="209">
        <f>IF(P31=0,0,IF(ISBLANK('Tank Loss 2'!J111),'Tank Loss 2'!J110,'Tank Loss 2'!J111))</f>
        <v>0</v>
      </c>
      <c r="Q41" s="209">
        <f>IF(Q31=0,0,IF(ISBLANK('Tank Loss 2'!K111),'Tank Loss 2'!K110,'Tank Loss 2'!K111))</f>
        <v>0</v>
      </c>
      <c r="R41" s="209">
        <f>IF(R31=0,0,IF(ISBLANK('Tank Loss 2'!L111),'Tank Loss 2'!L110,'Tank Loss 2'!L111))</f>
        <v>0</v>
      </c>
      <c r="S41" s="209">
        <f>IF(S31=0,0,IF(ISBLANK('Tank Loss 2'!M111),'Tank Loss 2'!M110,'Tank Loss 2'!M111))</f>
        <v>0</v>
      </c>
      <c r="T41" s="209">
        <f>IF(T31=0,0,IF(ISBLANK('Tank Loss 2'!N111),'Tank Loss 2'!N110,'Tank Loss 2'!N111))</f>
        <v>0</v>
      </c>
      <c r="U41" s="209">
        <f>IF(U31=0,0,IF(ISBLANK('Tank Loss 2'!O111),'Tank Loss 2'!O110,'Tank Loss 2'!O111))</f>
        <v>0</v>
      </c>
      <c r="V41" s="209">
        <f>IF(V31=0,0,IF(ISBLANK('Tank Loss 2'!P111),'Tank Loss 2'!P110,'Tank Loss 2'!P111))</f>
        <v>0</v>
      </c>
      <c r="W41" s="210"/>
    </row>
    <row r="42" spans="1:23" x14ac:dyDescent="0.2">
      <c r="A42" s="115" t="s">
        <v>9581</v>
      </c>
      <c r="B42" s="199">
        <f>IF(ISBLANK('Tank Loss 1'!C87),'Tank Loss 1'!B87,'Tank Loss 1'!C87)</f>
        <v>459.67</v>
      </c>
      <c r="C42" s="199">
        <f>IF(ISBLANK('Tank Loss 2'!C87),'Tank Loss 2'!B87,'Tank Loss 2'!C87)</f>
        <v>459.67</v>
      </c>
      <c r="D42" s="199">
        <f>IF(ISBLANK('Tank Loss 3'!C87),'Tank Loss 3'!B87,'Tank Loss 3'!C87)</f>
        <v>459.67</v>
      </c>
      <c r="E42" s="199">
        <f>IF(ISBLANK('Tank Loss 4'!C87),'Tank Loss 4'!B87,'Tank Loss 4'!C87)</f>
        <v>459.67</v>
      </c>
      <c r="F42" s="199">
        <f>IF(ISBLANK('Tank Loss 5'!C87),'Tank Loss 5'!B87,'Tank Loss 5'!C87)</f>
        <v>459.67</v>
      </c>
      <c r="G42" s="208" t="s">
        <v>9539</v>
      </c>
      <c r="H42" s="182">
        <f>IF(H31=0,0,IF(ISBLANK('Tank Loss 2'!B99),'Tank Loss 2'!B98,'Tank Loss 2'!B99))</f>
        <v>0</v>
      </c>
      <c r="I42" s="209">
        <f>IF(I31=0,0,IF(ISBLANK('Tank Loss 2'!C99),'Tank Loss 2'!C98,'Tank Loss 2'!C99))</f>
        <v>0</v>
      </c>
      <c r="J42" s="209">
        <f>IF(J31=0,0,IF(ISBLANK('Tank Loss 2'!D99),'Tank Loss 2'!D98,'Tank Loss 2'!D99))</f>
        <v>0</v>
      </c>
      <c r="K42" s="209">
        <f>IF(K31=0,0,IF(ISBLANK('Tank Loss 2'!E99),'Tank Loss 2'!E98,'Tank Loss 2'!E99))</f>
        <v>0</v>
      </c>
      <c r="L42" s="209">
        <f>IF(L31=0,0,IF(ISBLANK('Tank Loss 2'!F99),'Tank Loss 2'!F98,'Tank Loss 2'!F99))</f>
        <v>0</v>
      </c>
      <c r="M42" s="209">
        <f>IF(M31=0,0,IF(ISBLANK('Tank Loss 2'!G99),'Tank Loss 2'!G98,'Tank Loss 2'!G99))</f>
        <v>0</v>
      </c>
      <c r="N42" s="209">
        <f>IF(N31=0,0,IF(ISBLANK('Tank Loss 2'!H99),'Tank Loss 2'!H98,'Tank Loss 2'!H99))</f>
        <v>0</v>
      </c>
      <c r="O42" s="209">
        <f>IF(O31=0,0,IF(ISBLANK('Tank Loss 2'!I99),'Tank Loss 2'!I98,'Tank Loss 2'!I99))</f>
        <v>0</v>
      </c>
      <c r="P42" s="209">
        <f>IF(P31=0,0,IF(ISBLANK('Tank Loss 2'!J99),'Tank Loss 2'!J98,'Tank Loss 2'!J99))</f>
        <v>0</v>
      </c>
      <c r="Q42" s="209">
        <f>IF(Q31=0,0,IF(ISBLANK('Tank Loss 2'!K99),'Tank Loss 2'!K98,'Tank Loss 2'!K99))</f>
        <v>0</v>
      </c>
      <c r="R42" s="209">
        <f>IF(R31=0,0,IF(ISBLANK('Tank Loss 2'!L99),'Tank Loss 2'!L98,'Tank Loss 2'!L99))</f>
        <v>0</v>
      </c>
      <c r="S42" s="209">
        <f>IF(S31=0,0,IF(ISBLANK('Tank Loss 2'!M99),'Tank Loss 2'!M98,'Tank Loss 2'!M99))</f>
        <v>0</v>
      </c>
      <c r="T42" s="209">
        <f>IF(T31=0,0,IF(ISBLANK('Tank Loss 2'!N99),'Tank Loss 2'!N98,'Tank Loss 2'!N99))</f>
        <v>0</v>
      </c>
      <c r="U42" s="209">
        <f>IF(U31=0,0,IF(ISBLANK('Tank Loss 2'!O99),'Tank Loss 2'!O98,'Tank Loss 2'!O99))</f>
        <v>0</v>
      </c>
      <c r="V42" s="209">
        <f>IF(V31=0,0,IF(ISBLANK('Tank Loss 2'!P99),'Tank Loss 2'!P98,'Tank Loss 2'!P99))</f>
        <v>0</v>
      </c>
      <c r="W42" s="210"/>
    </row>
    <row r="43" spans="1:23" x14ac:dyDescent="0.2">
      <c r="A43" s="115" t="s">
        <v>9582</v>
      </c>
      <c r="B43" s="199">
        <f>(B42-491.67)/1.8</f>
        <v>-17.777777777777779</v>
      </c>
      <c r="C43" s="199">
        <f>(C42-491.67)/1.8</f>
        <v>-17.777777777777779</v>
      </c>
      <c r="D43" s="199">
        <f>(D42-491.67)/1.8</f>
        <v>-17.777777777777779</v>
      </c>
      <c r="E43" s="199">
        <f>(E42-491.67)/1.8</f>
        <v>-17.777777777777779</v>
      </c>
      <c r="F43" s="199">
        <f>(F42-491.67)/1.8</f>
        <v>-17.777777777777779</v>
      </c>
      <c r="G43" s="208" t="s">
        <v>9541</v>
      </c>
      <c r="H43" s="182">
        <f>IF(H31=0,0,IF(ISBLANK('Tank Loss 2'!B101),'Tank Loss 2'!B100,'Tank Loss 2'!B101))</f>
        <v>0</v>
      </c>
      <c r="I43" s="209">
        <f>IF(I31=0,0,IF(ISBLANK('Tank Loss 2'!C101),'Tank Loss 2'!C100,'Tank Loss 2'!C101))</f>
        <v>0</v>
      </c>
      <c r="J43" s="209">
        <f>IF(J31=0,0,IF(ISBLANK('Tank Loss 2'!D101),'Tank Loss 2'!D100,'Tank Loss 2'!D101))</f>
        <v>0</v>
      </c>
      <c r="K43" s="209">
        <f>IF(K31=0,0,IF(ISBLANK('Tank Loss 2'!E101),'Tank Loss 2'!E100,'Tank Loss 2'!E101))</f>
        <v>0</v>
      </c>
      <c r="L43" s="209">
        <f>IF(L31=0,0,IF(ISBLANK('Tank Loss 2'!F101),'Tank Loss 2'!F100,'Tank Loss 2'!F101))</f>
        <v>0</v>
      </c>
      <c r="M43" s="209">
        <f>IF(M31=0,0,IF(ISBLANK('Tank Loss 2'!G101),'Tank Loss 2'!G100,'Tank Loss 2'!G101))</f>
        <v>0</v>
      </c>
      <c r="N43" s="209">
        <f>IF(N31=0,0,IF(ISBLANK('Tank Loss 2'!H101),'Tank Loss 2'!H100,'Tank Loss 2'!H101))</f>
        <v>0</v>
      </c>
      <c r="O43" s="209">
        <f>IF(O31=0,0,IF(ISBLANK('Tank Loss 2'!I101),'Tank Loss 2'!I100,'Tank Loss 2'!I101))</f>
        <v>0</v>
      </c>
      <c r="P43" s="209">
        <f>IF(P31=0,0,IF(ISBLANK('Tank Loss 2'!J101),'Tank Loss 2'!J100,'Tank Loss 2'!J101))</f>
        <v>0</v>
      </c>
      <c r="Q43" s="209">
        <f>IF(Q31=0,0,IF(ISBLANK('Tank Loss 2'!K101),'Tank Loss 2'!K100,'Tank Loss 2'!K101))</f>
        <v>0</v>
      </c>
      <c r="R43" s="209">
        <f>IF(R31=0,0,IF(ISBLANK('Tank Loss 2'!L101),'Tank Loss 2'!L100,'Tank Loss 2'!L101))</f>
        <v>0</v>
      </c>
      <c r="S43" s="209">
        <f>IF(S31=0,0,IF(ISBLANK('Tank Loss 2'!M101),'Tank Loss 2'!M100,'Tank Loss 2'!M101))</f>
        <v>0</v>
      </c>
      <c r="T43" s="209">
        <f>IF(T31=0,0,IF(ISBLANK('Tank Loss 2'!N101),'Tank Loss 2'!N100,'Tank Loss 2'!N101))</f>
        <v>0</v>
      </c>
      <c r="U43" s="209">
        <f>IF(U31=0,0,IF(ISBLANK('Tank Loss 2'!O101),'Tank Loss 2'!O100,'Tank Loss 2'!O101))</f>
        <v>0</v>
      </c>
      <c r="V43" s="209">
        <f>IF(V31=0,0,IF(ISBLANK('Tank Loss 2'!P101),'Tank Loss 2'!P100,'Tank Loss 2'!P101))</f>
        <v>0</v>
      </c>
      <c r="W43" s="210"/>
    </row>
    <row r="44" spans="1:23" x14ac:dyDescent="0.2">
      <c r="A44" s="115" t="s">
        <v>9583</v>
      </c>
      <c r="B44" s="199">
        <f>IF(ISBLANK('Tank Loss 1'!C121),'Tank Loss 1'!B121,'Tank Loss 1'!C121)</f>
        <v>0.03</v>
      </c>
      <c r="C44" s="199">
        <f>IF(ISBLANK('Tank Loss 2'!C121),'Tank Loss 2'!B121,'Tank Loss 2'!C121)</f>
        <v>0.03</v>
      </c>
      <c r="D44" s="199">
        <f>IF(ISBLANK('Tank Loss 3'!C121),'Tank Loss 3'!B121,'Tank Loss 3'!C121)</f>
        <v>0.03</v>
      </c>
      <c r="E44" s="199">
        <f>IF(ISBLANK('Tank Loss 4'!C121),'Tank Loss 4'!B121,'Tank Loss 4'!C121)</f>
        <v>0.03</v>
      </c>
      <c r="F44" s="199">
        <f>IF(ISBLANK('Tank Loss 5'!C121),'Tank Loss 5'!B121,'Tank Loss 5'!C121)</f>
        <v>0.03</v>
      </c>
      <c r="G44" s="208" t="s">
        <v>9543</v>
      </c>
      <c r="H44" s="182">
        <f>IF(H31=0,0,IF(ISBLANK('Tank Loss 2'!B103),'Tank Loss 2'!B102,'Tank Loss 2'!B103))</f>
        <v>0</v>
      </c>
      <c r="I44" s="209">
        <f>IF(I31=0,0,IF(ISBLANK('Tank Loss 2'!C103),'Tank Loss 2'!C102,'Tank Loss 2'!C103))</f>
        <v>0</v>
      </c>
      <c r="J44" s="209">
        <f>IF(J31=0,0,IF(ISBLANK('Tank Loss 2'!D103),'Tank Loss 2'!D102,'Tank Loss 2'!D103))</f>
        <v>0</v>
      </c>
      <c r="K44" s="209">
        <f>IF(K31=0,0,IF(ISBLANK('Tank Loss 2'!E103),'Tank Loss 2'!E102,'Tank Loss 2'!E103))</f>
        <v>0</v>
      </c>
      <c r="L44" s="209">
        <f>IF(L31=0,0,IF(ISBLANK('Tank Loss 2'!F103),'Tank Loss 2'!F102,'Tank Loss 2'!F103))</f>
        <v>0</v>
      </c>
      <c r="M44" s="209">
        <f>IF(M31=0,0,IF(ISBLANK('Tank Loss 2'!G103),'Tank Loss 2'!G102,'Tank Loss 2'!G103))</f>
        <v>0</v>
      </c>
      <c r="N44" s="209">
        <f>IF(N31=0,0,IF(ISBLANK('Tank Loss 2'!H103),'Tank Loss 2'!H102,'Tank Loss 2'!H103))</f>
        <v>0</v>
      </c>
      <c r="O44" s="209">
        <f>IF(O31=0,0,IF(ISBLANK('Tank Loss 2'!I103),'Tank Loss 2'!I102,'Tank Loss 2'!I103))</f>
        <v>0</v>
      </c>
      <c r="P44" s="209">
        <f>IF(P31=0,0,IF(ISBLANK('Tank Loss 2'!J103),'Tank Loss 2'!J102,'Tank Loss 2'!J103))</f>
        <v>0</v>
      </c>
      <c r="Q44" s="209">
        <f>IF(Q31=0,0,IF(ISBLANK('Tank Loss 2'!K103),'Tank Loss 2'!K102,'Tank Loss 2'!K103))</f>
        <v>0</v>
      </c>
      <c r="R44" s="209">
        <f>IF(R31=0,0,IF(ISBLANK('Tank Loss 2'!L103),'Tank Loss 2'!L102,'Tank Loss 2'!L103))</f>
        <v>0</v>
      </c>
      <c r="S44" s="209">
        <f>IF(S31=0,0,IF(ISBLANK('Tank Loss 2'!M103),'Tank Loss 2'!M102,'Tank Loss 2'!M103))</f>
        <v>0</v>
      </c>
      <c r="T44" s="209">
        <f>IF(T31=0,0,IF(ISBLANK('Tank Loss 2'!N103),'Tank Loss 2'!N102,'Tank Loss 2'!N103))</f>
        <v>0</v>
      </c>
      <c r="U44" s="209">
        <f>IF(U31=0,0,IF(ISBLANK('Tank Loss 2'!O103),'Tank Loss 2'!O102,'Tank Loss 2'!O103))</f>
        <v>0</v>
      </c>
      <c r="V44" s="209">
        <f>IF(V31=0,0,IF(ISBLANK('Tank Loss 2'!P103),'Tank Loss 2'!P102,'Tank Loss 2'!P103))</f>
        <v>0</v>
      </c>
      <c r="W44" s="210"/>
    </row>
    <row r="45" spans="1:23" x14ac:dyDescent="0.2">
      <c r="A45" s="115" t="s">
        <v>9584</v>
      </c>
      <c r="B45" s="199">
        <f>IF(ISBLANK('Tank Loss 1'!C122),'Tank Loss 1'!B122,'Tank Loss 1'!C122)</f>
        <v>-0.03</v>
      </c>
      <c r="C45" s="199">
        <f>IF(ISBLANK('Tank Loss 2'!C122),'Tank Loss 2'!B122,'Tank Loss 2'!C122)</f>
        <v>-0.03</v>
      </c>
      <c r="D45" s="199">
        <f>IF(ISBLANK('Tank Loss 3'!C122),'Tank Loss 3'!B122,'Tank Loss 3'!C122)</f>
        <v>-0.03</v>
      </c>
      <c r="E45" s="199">
        <f>IF(ISBLANK('Tank Loss 4'!C122),'Tank Loss 4'!B122,'Tank Loss 4'!C122)</f>
        <v>-0.03</v>
      </c>
      <c r="F45" s="199">
        <f>IF(ISBLANK('Tank Loss 5'!C122),'Tank Loss 5'!B122,'Tank Loss 5'!C122)</f>
        <v>-0.03</v>
      </c>
      <c r="G45" s="208" t="s">
        <v>9544</v>
      </c>
      <c r="H45" s="182">
        <f>IF(H31=0,0,IF(ISBLANK('Tank Loss 2'!B105),'Tank Loss 2'!B104,'Tank Loss 2'!B105))</f>
        <v>0</v>
      </c>
      <c r="I45" s="209">
        <f>IF(I31=0,0,IF(ISBLANK('Tank Loss 2'!C105),'Tank Loss 2'!C104,'Tank Loss 2'!C105))</f>
        <v>0</v>
      </c>
      <c r="J45" s="209">
        <f>IF(J31=0,0,IF(ISBLANK('Tank Loss 2'!D105),'Tank Loss 2'!D104,'Tank Loss 2'!D105))</f>
        <v>0</v>
      </c>
      <c r="K45" s="209">
        <f>IF(K31=0,0,IF(ISBLANK('Tank Loss 2'!E105),'Tank Loss 2'!E104,'Tank Loss 2'!E105))</f>
        <v>0</v>
      </c>
      <c r="L45" s="209">
        <f>IF(L31=0,0,IF(ISBLANK('Tank Loss 2'!F105),'Tank Loss 2'!F104,'Tank Loss 2'!F105))</f>
        <v>0</v>
      </c>
      <c r="M45" s="209">
        <f>IF(M31=0,0,IF(ISBLANK('Tank Loss 2'!G105),'Tank Loss 2'!G104,'Tank Loss 2'!G105))</f>
        <v>0</v>
      </c>
      <c r="N45" s="209">
        <f>IF(N31=0,0,IF(ISBLANK('Tank Loss 2'!H105),'Tank Loss 2'!H104,'Tank Loss 2'!H105))</f>
        <v>0</v>
      </c>
      <c r="O45" s="209">
        <f>IF(O31=0,0,IF(ISBLANK('Tank Loss 2'!I105),'Tank Loss 2'!I104,'Tank Loss 2'!I105))</f>
        <v>0</v>
      </c>
      <c r="P45" s="209">
        <f>IF(P31=0,0,IF(ISBLANK('Tank Loss 2'!J105),'Tank Loss 2'!J104,'Tank Loss 2'!J105))</f>
        <v>0</v>
      </c>
      <c r="Q45" s="209">
        <f>IF(Q31=0,0,IF(ISBLANK('Tank Loss 2'!K105),'Tank Loss 2'!K104,'Tank Loss 2'!K105))</f>
        <v>0</v>
      </c>
      <c r="R45" s="209">
        <f>IF(R31=0,0,IF(ISBLANK('Tank Loss 2'!L105),'Tank Loss 2'!L104,'Tank Loss 2'!L105))</f>
        <v>0</v>
      </c>
      <c r="S45" s="209">
        <f>IF(S31=0,0,IF(ISBLANK('Tank Loss 2'!M105),'Tank Loss 2'!M104,'Tank Loss 2'!M105))</f>
        <v>0</v>
      </c>
      <c r="T45" s="209">
        <f>IF(T31=0,0,IF(ISBLANK('Tank Loss 2'!N105),'Tank Loss 2'!N104,'Tank Loss 2'!N105))</f>
        <v>0</v>
      </c>
      <c r="U45" s="209">
        <f>IF(U31=0,0,IF(ISBLANK('Tank Loss 2'!O105),'Tank Loss 2'!O104,'Tank Loss 2'!O105))</f>
        <v>0</v>
      </c>
      <c r="V45" s="209">
        <f>IF(V31=0,0,IF(ISBLANK('Tank Loss 2'!P105),'Tank Loss 2'!P104,'Tank Loss 2'!P105))</f>
        <v>0</v>
      </c>
      <c r="W45" s="210"/>
    </row>
    <row r="46" spans="1:23" x14ac:dyDescent="0.2">
      <c r="A46" s="115" t="s">
        <v>9585</v>
      </c>
      <c r="B46" s="199">
        <f>IF(ISBLANK('Tank Loss 1'!C123),'Tank Loss 1'!B123,'Tank Loss 1'!C123)</f>
        <v>0.06</v>
      </c>
      <c r="C46" s="199">
        <f>IF(ISBLANK('Tank Loss 2'!C123),'Tank Loss 2'!B123,'Tank Loss 2'!C123)</f>
        <v>0.06</v>
      </c>
      <c r="D46" s="199">
        <f>IF(ISBLANK('Tank Loss 3'!C123),'Tank Loss 3'!B123,'Tank Loss 3'!C123)</f>
        <v>0.06</v>
      </c>
      <c r="E46" s="199">
        <f>IF(ISBLANK('Tank Loss 4'!C123),'Tank Loss 4'!B123,'Tank Loss 4'!C123)</f>
        <v>0.06</v>
      </c>
      <c r="F46" s="199">
        <f>IF(ISBLANK('Tank Loss 5'!C123),'Tank Loss 5'!B123,'Tank Loss 5'!C123)</f>
        <v>0.06</v>
      </c>
      <c r="G46" s="208" t="s">
        <v>9545</v>
      </c>
      <c r="H46" s="182">
        <f>EXP(H42-(((H43*1.8)+491.67)/$C$42))</f>
        <v>0.34314054666570826</v>
      </c>
      <c r="I46" s="209">
        <f t="shared" ref="I46:V46" si="8">EXP(I42-(((I43*1.8)+491.67)/$C$42))</f>
        <v>0.34314054666570826</v>
      </c>
      <c r="J46" s="209">
        <f t="shared" si="8"/>
        <v>0.34314054666570826</v>
      </c>
      <c r="K46" s="209">
        <f t="shared" si="8"/>
        <v>0.34314054666570826</v>
      </c>
      <c r="L46" s="209">
        <f t="shared" si="8"/>
        <v>0.34314054666570826</v>
      </c>
      <c r="M46" s="209">
        <f t="shared" si="8"/>
        <v>0.34314054666570826</v>
      </c>
      <c r="N46" s="209">
        <f t="shared" si="8"/>
        <v>0.34314054666570826</v>
      </c>
      <c r="O46" s="209">
        <f t="shared" si="8"/>
        <v>0.34314054666570826</v>
      </c>
      <c r="P46" s="209">
        <f t="shared" si="8"/>
        <v>0.34314054666570826</v>
      </c>
      <c r="Q46" s="209">
        <f t="shared" si="8"/>
        <v>0.34314054666570826</v>
      </c>
      <c r="R46" s="209">
        <f t="shared" si="8"/>
        <v>0.34314054666570826</v>
      </c>
      <c r="S46" s="209">
        <f t="shared" si="8"/>
        <v>0.34314054666570826</v>
      </c>
      <c r="T46" s="209">
        <f t="shared" si="8"/>
        <v>0.34314054666570826</v>
      </c>
      <c r="U46" s="209">
        <f t="shared" si="8"/>
        <v>0.34314054666570826</v>
      </c>
      <c r="V46" s="209">
        <f t="shared" si="8"/>
        <v>0.34314054666570826</v>
      </c>
      <c r="W46" s="210"/>
    </row>
    <row r="47" spans="1:23" x14ac:dyDescent="0.2">
      <c r="A47" s="115" t="s">
        <v>9586</v>
      </c>
      <c r="B47" s="199">
        <f>IF(ISBLANK('Tank Loss 1'!C124),'Tank Loss 1'!B124,'Tank Loss 1'!C124)</f>
        <v>0</v>
      </c>
      <c r="C47" s="199">
        <f>IF(ISBLANK('Tank Loss 2'!C124),'Tank Loss 2'!B124,'Tank Loss 2'!C124)</f>
        <v>0</v>
      </c>
      <c r="D47" s="199">
        <f>IF(ISBLANK('Tank Loss 3'!C124),'Tank Loss 3'!B124,'Tank Loss 3'!C124)</f>
        <v>0</v>
      </c>
      <c r="E47" s="199">
        <f>IF(ISBLANK('Tank Loss 4'!C124),'Tank Loss 4'!B124,'Tank Loss 4'!C124)</f>
        <v>0</v>
      </c>
      <c r="F47" s="199">
        <f>IF(ISBLANK('Tank Loss 5'!C124),'Tank Loss 5'!B124,'Tank Loss 5'!C124)</f>
        <v>0</v>
      </c>
      <c r="G47" s="208" t="s">
        <v>9546</v>
      </c>
      <c r="H47" s="212">
        <f>IF(H31=0,0,'Tank Loss 2'!B112)</f>
        <v>0</v>
      </c>
      <c r="I47" s="213">
        <f>IF(I31=0,0,'Tank Loss 2'!C112)</f>
        <v>0</v>
      </c>
      <c r="J47" s="213">
        <f>IF(J31=0,0,'Tank Loss 2'!D112)</f>
        <v>0</v>
      </c>
      <c r="K47" s="213">
        <f>IF(K31=0,0,'Tank Loss 2'!E112)</f>
        <v>0</v>
      </c>
      <c r="L47" s="213">
        <f>IF(L31=0,0,'Tank Loss 2'!F112)</f>
        <v>0</v>
      </c>
      <c r="M47" s="213">
        <f>IF(M31=0,0,'Tank Loss 2'!G112)</f>
        <v>0</v>
      </c>
      <c r="N47" s="213">
        <f>IF(N31=0,0,'Tank Loss 2'!H112)</f>
        <v>0</v>
      </c>
      <c r="O47" s="213">
        <f>IF(O31=0,0,'Tank Loss 2'!I112)</f>
        <v>0</v>
      </c>
      <c r="P47" s="213">
        <f>IF(P31=0,0,'Tank Loss 2'!J112)</f>
        <v>0</v>
      </c>
      <c r="Q47" s="213">
        <f>IF(Q31=0,0,'Tank Loss 2'!K112)</f>
        <v>0</v>
      </c>
      <c r="R47" s="213">
        <f>IF(R31=0,0,'Tank Loss 2'!L112)</f>
        <v>0</v>
      </c>
      <c r="S47" s="213">
        <f>IF(S31=0,0,'Tank Loss 2'!M112)</f>
        <v>0</v>
      </c>
      <c r="T47" s="213">
        <f>IF(T31=0,0,'Tank Loss 2'!N112)</f>
        <v>0</v>
      </c>
      <c r="U47" s="213">
        <f>IF(U31=0,0,'Tank Loss 2'!O112)</f>
        <v>0</v>
      </c>
      <c r="V47" s="213">
        <f>IF(V31=0,0,'Tank Loss 2'!P112)</f>
        <v>0</v>
      </c>
      <c r="W47" s="214">
        <f t="shared" ref="W47:W52" si="9">SUM(H47:Q47)</f>
        <v>0</v>
      </c>
    </row>
    <row r="48" spans="1:23" x14ac:dyDescent="0.2">
      <c r="A48" s="115" t="s">
        <v>9587</v>
      </c>
      <c r="B48" s="199">
        <f>IF(ISBLANK('Tank Loss 1'!C83),'Tank Loss 1'!B83,'Tank Loss 1'!C83)</f>
        <v>0</v>
      </c>
      <c r="C48" s="199">
        <f>IF(ISBLANK('Tank Loss 2'!C83),'Tank Loss 2'!B83,'Tank Loss 2'!C83)</f>
        <v>0</v>
      </c>
      <c r="D48" s="199">
        <f>IF(ISBLANK('Tank Loss 3'!C83),'Tank Loss 3'!B83,'Tank Loss 3'!C83)</f>
        <v>0</v>
      </c>
      <c r="E48" s="199">
        <f>IF(ISBLANK('Tank Loss 4'!C83),'Tank Loss 4'!B83,'Tank Loss 4'!C83)</f>
        <v>0</v>
      </c>
      <c r="F48" s="199">
        <f>IF(ISBLANK('Tank Loss 5'!C83),'Tank Loss 5'!B83,'Tank Loss 5'!C83)</f>
        <v>0</v>
      </c>
      <c r="G48" s="208" t="s">
        <v>9548</v>
      </c>
      <c r="H48" s="212">
        <f>IF(H31=0,0,'Tank Loss 2'!B113)</f>
        <v>0</v>
      </c>
      <c r="I48" s="213">
        <f>IF(I31=0,0,'Tank Loss 2'!C113)</f>
        <v>0</v>
      </c>
      <c r="J48" s="213">
        <f>IF(J31=0,0,'Tank Loss 2'!D113)</f>
        <v>0</v>
      </c>
      <c r="K48" s="213">
        <f>IF(K31=0,0,'Tank Loss 2'!E113)</f>
        <v>0</v>
      </c>
      <c r="L48" s="213">
        <f>IF(L31=0,0,'Tank Loss 2'!F113)</f>
        <v>0</v>
      </c>
      <c r="M48" s="213">
        <f>IF(M31=0,0,'Tank Loss 2'!G113)</f>
        <v>0</v>
      </c>
      <c r="N48" s="213">
        <f>IF(N31=0,0,'Tank Loss 2'!H113)</f>
        <v>0</v>
      </c>
      <c r="O48" s="213">
        <f>IF(O31=0,0,'Tank Loss 2'!I113)</f>
        <v>0</v>
      </c>
      <c r="P48" s="213">
        <f>IF(P31=0,0,'Tank Loss 2'!J113)</f>
        <v>0</v>
      </c>
      <c r="Q48" s="213">
        <f>IF(Q31=0,0,'Tank Loss 2'!K113)</f>
        <v>0</v>
      </c>
      <c r="R48" s="213">
        <f>IF(R31=0,0,'Tank Loss 2'!L113)</f>
        <v>0</v>
      </c>
      <c r="S48" s="213">
        <f>IF(S31=0,0,'Tank Loss 2'!M113)</f>
        <v>0</v>
      </c>
      <c r="T48" s="213">
        <f>IF(T31=0,0,'Tank Loss 2'!N113)</f>
        <v>0</v>
      </c>
      <c r="U48" s="213">
        <f>IF(U31=0,0,'Tank Loss 2'!O113)</f>
        <v>0</v>
      </c>
      <c r="V48" s="213">
        <f>IF(V31=0,0,'Tank Loss 2'!P113)</f>
        <v>0</v>
      </c>
      <c r="W48" s="214">
        <f t="shared" si="9"/>
        <v>0</v>
      </c>
    </row>
    <row r="49" spans="1:23" x14ac:dyDescent="0.2">
      <c r="A49" s="115" t="s">
        <v>9588</v>
      </c>
      <c r="B49" s="199">
        <f>IF(ISBLANK('Tank Loss 1'!C84),'Tank Loss 1'!B84,'Tank Loss 1'!C84)</f>
        <v>459.67</v>
      </c>
      <c r="C49" s="199">
        <f>IF(ISBLANK('Tank Loss 2'!C84),'Tank Loss 2'!B84,'Tank Loss 2'!C84)</f>
        <v>459.67</v>
      </c>
      <c r="D49" s="199">
        <f>IF(ISBLANK('Tank Loss 3'!C84),'Tank Loss 3'!B84,'Tank Loss 3'!C84)</f>
        <v>459.67</v>
      </c>
      <c r="E49" s="199">
        <f>IF(ISBLANK('Tank Loss 4'!C84),'Tank Loss 4'!B84,'Tank Loss 4'!C84)</f>
        <v>459.67</v>
      </c>
      <c r="F49" s="199">
        <f>IF(ISBLANK('Tank Loss 5'!C84),'Tank Loss 5'!B84,'Tank Loss 5'!C84)</f>
        <v>459.67</v>
      </c>
      <c r="G49" s="208" t="s">
        <v>9550</v>
      </c>
      <c r="H49" s="182">
        <f>IF(H31=0,0,'Tank Loss 2'!B114)</f>
        <v>0</v>
      </c>
      <c r="I49" s="209">
        <f>IF(I31=0,0,'Tank Loss 2'!C114)</f>
        <v>0</v>
      </c>
      <c r="J49" s="209">
        <f>IF(J31=0,0,'Tank Loss 2'!D114)</f>
        <v>0</v>
      </c>
      <c r="K49" s="209">
        <f>IF(K31=0,0,'Tank Loss 2'!E114)</f>
        <v>0</v>
      </c>
      <c r="L49" s="209">
        <f>IF(L31=0,0,'Tank Loss 2'!F114)</f>
        <v>0</v>
      </c>
      <c r="M49" s="209">
        <f>IF(M31=0,0,'Tank Loss 2'!G114)</f>
        <v>0</v>
      </c>
      <c r="N49" s="209">
        <f>IF(N31=0,0,'Tank Loss 2'!H114)</f>
        <v>0</v>
      </c>
      <c r="O49" s="209">
        <f>IF(O31=0,0,'Tank Loss 2'!I114)</f>
        <v>0</v>
      </c>
      <c r="P49" s="209">
        <f>IF(P31=0,0,'Tank Loss 2'!J114)</f>
        <v>0</v>
      </c>
      <c r="Q49" s="209">
        <f>IF(Q31=0,0,'Tank Loss 2'!K114)</f>
        <v>0</v>
      </c>
      <c r="R49" s="209">
        <f>IF(R31=0,0,'Tank Loss 2'!L114)</f>
        <v>0</v>
      </c>
      <c r="S49" s="209">
        <f>IF(S31=0,0,'Tank Loss 2'!M114)</f>
        <v>0</v>
      </c>
      <c r="T49" s="209">
        <f>IF(T31=0,0,'Tank Loss 2'!N114)</f>
        <v>0</v>
      </c>
      <c r="U49" s="209">
        <f>IF(U31=0,0,'Tank Loss 2'!O114)</f>
        <v>0</v>
      </c>
      <c r="V49" s="209">
        <f>IF(V31=0,0,'Tank Loss 2'!P114)</f>
        <v>0</v>
      </c>
      <c r="W49" s="184">
        <f t="shared" si="9"/>
        <v>0</v>
      </c>
    </row>
    <row r="50" spans="1:23" x14ac:dyDescent="0.2">
      <c r="A50" s="115" t="s">
        <v>9589</v>
      </c>
      <c r="B50" s="199">
        <f>IF(ISBLANK('Tank Loss 1'!C85),'Tank Loss 1'!B85,'Tank Loss 1'!C85)</f>
        <v>0</v>
      </c>
      <c r="C50" s="199">
        <f>IF(ISBLANK('Tank Loss 2'!C85),'Tank Loss 2'!B85,'Tank Loss 2'!C85)</f>
        <v>0</v>
      </c>
      <c r="D50" s="199">
        <f>IF(ISBLANK('Tank Loss 3'!C85),'Tank Loss 3'!B85,'Tank Loss 3'!C85)</f>
        <v>0</v>
      </c>
      <c r="E50" s="199">
        <f>IF(ISBLANK('Tank Loss 4'!C85),'Tank Loss 4'!B85,'Tank Loss 4'!C85)</f>
        <v>0</v>
      </c>
      <c r="F50" s="199">
        <f>IF(ISBLANK('Tank Loss 5'!C85),'Tank Loss 5'!B85,'Tank Loss 5'!C85)</f>
        <v>0</v>
      </c>
      <c r="G50" s="208" t="s">
        <v>9552</v>
      </c>
      <c r="H50" s="182">
        <f>H49*H37</f>
        <v>0</v>
      </c>
      <c r="I50" s="209">
        <f t="shared" ref="I50:V50" si="10">I49*I37</f>
        <v>0</v>
      </c>
      <c r="J50" s="209">
        <f t="shared" si="10"/>
        <v>0</v>
      </c>
      <c r="K50" s="209">
        <f t="shared" si="10"/>
        <v>0</v>
      </c>
      <c r="L50" s="209">
        <f t="shared" si="10"/>
        <v>0</v>
      </c>
      <c r="M50" s="209">
        <f t="shared" si="10"/>
        <v>0</v>
      </c>
      <c r="N50" s="209">
        <f t="shared" si="10"/>
        <v>0</v>
      </c>
      <c r="O50" s="209">
        <f t="shared" si="10"/>
        <v>0</v>
      </c>
      <c r="P50" s="209">
        <f t="shared" si="10"/>
        <v>0</v>
      </c>
      <c r="Q50" s="209">
        <f t="shared" si="10"/>
        <v>0</v>
      </c>
      <c r="R50" s="209">
        <f t="shared" si="10"/>
        <v>0</v>
      </c>
      <c r="S50" s="209">
        <f t="shared" si="10"/>
        <v>0</v>
      </c>
      <c r="T50" s="209">
        <f t="shared" si="10"/>
        <v>0</v>
      </c>
      <c r="U50" s="209">
        <f t="shared" si="10"/>
        <v>0</v>
      </c>
      <c r="V50" s="209">
        <f t="shared" si="10"/>
        <v>0</v>
      </c>
      <c r="W50" s="184">
        <f t="shared" si="9"/>
        <v>0</v>
      </c>
    </row>
    <row r="51" spans="1:23" x14ac:dyDescent="0.2">
      <c r="A51" s="115" t="s">
        <v>9590</v>
      </c>
      <c r="B51" s="199">
        <f>IF(ISBLANK('Tank Loss 1'!C125),'Tank Loss 1'!B125,'Tank Loss 1'!C125)</f>
        <v>0</v>
      </c>
      <c r="C51" s="199">
        <f>IF(ISBLANK('Tank Loss 2'!C125),'Tank Loss 2'!B125,'Tank Loss 2'!C125)</f>
        <v>0</v>
      </c>
      <c r="D51" s="199">
        <f>IF(ISBLANK('Tank Loss 3'!C125),'Tank Loss 3'!B125,'Tank Loss 3'!C125)</f>
        <v>0</v>
      </c>
      <c r="E51" s="199">
        <f>IF(ISBLANK('Tank Loss 4'!C125),'Tank Loss 4'!B125,'Tank Loss 4'!C125)</f>
        <v>0</v>
      </c>
      <c r="F51" s="199">
        <f>IF(ISBLANK('Tank Loss 5'!C125),'Tank Loss 5'!B125,'Tank Loss 5'!C125)</f>
        <v>0</v>
      </c>
      <c r="G51" s="208" t="s">
        <v>9554</v>
      </c>
      <c r="H51" s="182">
        <f t="shared" ref="H51:V51" si="11">IFERROR(H50/$W50,0)</f>
        <v>0</v>
      </c>
      <c r="I51" s="209">
        <f t="shared" si="11"/>
        <v>0</v>
      </c>
      <c r="J51" s="209">
        <f t="shared" si="11"/>
        <v>0</v>
      </c>
      <c r="K51" s="209">
        <f t="shared" si="11"/>
        <v>0</v>
      </c>
      <c r="L51" s="209">
        <f t="shared" si="11"/>
        <v>0</v>
      </c>
      <c r="M51" s="209">
        <f t="shared" si="11"/>
        <v>0</v>
      </c>
      <c r="N51" s="209">
        <f t="shared" si="11"/>
        <v>0</v>
      </c>
      <c r="O51" s="209">
        <f t="shared" si="11"/>
        <v>0</v>
      </c>
      <c r="P51" s="209">
        <f t="shared" si="11"/>
        <v>0</v>
      </c>
      <c r="Q51" s="209">
        <f t="shared" si="11"/>
        <v>0</v>
      </c>
      <c r="R51" s="209">
        <f t="shared" si="11"/>
        <v>0</v>
      </c>
      <c r="S51" s="209">
        <f t="shared" si="11"/>
        <v>0</v>
      </c>
      <c r="T51" s="209">
        <f t="shared" si="11"/>
        <v>0</v>
      </c>
      <c r="U51" s="209">
        <f t="shared" si="11"/>
        <v>0</v>
      </c>
      <c r="V51" s="209">
        <f t="shared" si="11"/>
        <v>0</v>
      </c>
      <c r="W51" s="184">
        <f t="shared" si="9"/>
        <v>0</v>
      </c>
    </row>
    <row r="52" spans="1:23" x14ac:dyDescent="0.2">
      <c r="A52" s="122" t="s">
        <v>8368</v>
      </c>
      <c r="B52" s="199">
        <f>IF(ISBLANK('Tank Loss 1'!C127),'Tank Loss 1'!B127,'Tank Loss 1'!C127)</f>
        <v>0</v>
      </c>
      <c r="C52" s="199">
        <f>IF(ISBLANK('Tank Loss 2'!C127),'Tank Loss 2'!B127,'Tank Loss 2'!C127)</f>
        <v>0</v>
      </c>
      <c r="D52" s="199">
        <f>IF(ISBLANK('Tank Loss 3'!C127),'Tank Loss 3'!B127,'Tank Loss 3'!C127)</f>
        <v>0</v>
      </c>
      <c r="E52" s="199">
        <f>IF(ISBLANK('Tank Loss 4'!C127),'Tank Loss 4'!B127,'Tank Loss 4'!C127)</f>
        <v>0</v>
      </c>
      <c r="F52" s="199">
        <f>IF(ISBLANK('Tank Loss 5'!C127),'Tank Loss 5'!B127,'Tank Loss 5'!C127)</f>
        <v>0</v>
      </c>
      <c r="G52" s="208" t="s">
        <v>9556</v>
      </c>
      <c r="H52" s="182" t="str">
        <f>'Tank Loss 2'!B115</f>
        <v/>
      </c>
      <c r="I52" s="209" t="str">
        <f>'Tank Loss 2'!C115</f>
        <v/>
      </c>
      <c r="J52" s="209" t="str">
        <f>'Tank Loss 2'!D115</f>
        <v/>
      </c>
      <c r="K52" s="209" t="str">
        <f>'Tank Loss 2'!E115</f>
        <v/>
      </c>
      <c r="L52" s="209" t="str">
        <f>'Tank Loss 2'!F115</f>
        <v/>
      </c>
      <c r="M52" s="209" t="str">
        <f>'Tank Loss 2'!G115</f>
        <v/>
      </c>
      <c r="N52" s="209" t="str">
        <f>'Tank Loss 2'!H115</f>
        <v/>
      </c>
      <c r="O52" s="209" t="str">
        <f>'Tank Loss 2'!I115</f>
        <v/>
      </c>
      <c r="P52" s="209" t="str">
        <f>'Tank Loss 2'!J115</f>
        <v/>
      </c>
      <c r="Q52" s="209" t="str">
        <f>'Tank Loss 2'!K115</f>
        <v/>
      </c>
      <c r="R52" s="209" t="str">
        <f>'Tank Loss 2'!L115</f>
        <v/>
      </c>
      <c r="S52" s="209" t="str">
        <f>'Tank Loss 2'!M115</f>
        <v/>
      </c>
      <c r="T52" s="209" t="str">
        <f>'Tank Loss 2'!N115</f>
        <v/>
      </c>
      <c r="U52" s="209" t="str">
        <f>'Tank Loss 2'!O115</f>
        <v/>
      </c>
      <c r="V52" s="209" t="str">
        <f>'Tank Loss 2'!P115</f>
        <v/>
      </c>
      <c r="W52" s="214">
        <f t="shared" si="9"/>
        <v>0</v>
      </c>
    </row>
    <row r="53" spans="1:23" x14ac:dyDescent="0.2">
      <c r="A53" s="122" t="s">
        <v>9591</v>
      </c>
      <c r="B53" s="218">
        <f>IF(B51&gt;=11,1-B52,1)</f>
        <v>1</v>
      </c>
      <c r="C53" s="218">
        <f>IF(C51&gt;=11,1-C52,1)</f>
        <v>1</v>
      </c>
      <c r="D53" s="218">
        <f>IF(D51&gt;=11,1-D52,1)</f>
        <v>1</v>
      </c>
      <c r="E53" s="218">
        <f>IF(E51&gt;=11,1-E52,1)</f>
        <v>1</v>
      </c>
      <c r="F53" s="218">
        <f>IF(F51&gt;=11,1-F52,1)</f>
        <v>1</v>
      </c>
      <c r="G53" s="208" t="s">
        <v>9558</v>
      </c>
      <c r="H53" s="182" t="str">
        <f>'Tank Loss 2'!B116</f>
        <v/>
      </c>
      <c r="I53" s="209" t="str">
        <f>'Tank Loss 2'!C116</f>
        <v/>
      </c>
      <c r="J53" s="209" t="str">
        <f>'Tank Loss 2'!D116</f>
        <v/>
      </c>
      <c r="K53" s="209" t="str">
        <f>'Tank Loss 2'!E116</f>
        <v/>
      </c>
      <c r="L53" s="209" t="str">
        <f>'Tank Loss 2'!F116</f>
        <v/>
      </c>
      <c r="M53" s="209" t="str">
        <f>'Tank Loss 2'!G116</f>
        <v/>
      </c>
      <c r="N53" s="209" t="str">
        <f>'Tank Loss 2'!H116</f>
        <v/>
      </c>
      <c r="O53" s="209" t="str">
        <f>'Tank Loss 2'!I116</f>
        <v/>
      </c>
      <c r="P53" s="209" t="str">
        <f>'Tank Loss 2'!J116</f>
        <v/>
      </c>
      <c r="Q53" s="209" t="str">
        <f>'Tank Loss 2'!K116</f>
        <v/>
      </c>
      <c r="R53" s="209" t="str">
        <f>'Tank Loss 2'!L116</f>
        <v/>
      </c>
      <c r="S53" s="209" t="str">
        <f>'Tank Loss 2'!M116</f>
        <v/>
      </c>
      <c r="T53" s="209" t="str">
        <f>'Tank Loss 2'!N116</f>
        <v/>
      </c>
      <c r="U53" s="209" t="str">
        <f>'Tank Loss 2'!O116</f>
        <v/>
      </c>
      <c r="V53" s="209" t="str">
        <f>'Tank Loss 2'!P116</f>
        <v/>
      </c>
      <c r="W53" s="184">
        <f>SUM(H53:Q53)</f>
        <v>0</v>
      </c>
    </row>
    <row r="54" spans="1:23" ht="13.5" thickBot="1" x14ac:dyDescent="0.25">
      <c r="A54" s="122" t="s">
        <v>9592</v>
      </c>
      <c r="B54" s="218">
        <f>IF(ISBLANK('Tank Loss 1'!C59),'Tank Loss 1'!B59,'Tank Loss 1'!C59)</f>
        <v>0</v>
      </c>
      <c r="C54" s="218">
        <f>IF(ISBLANK('Tank Loss 2'!C59),'Tank Loss 2'!B59,'Tank Loss 2'!C59)</f>
        <v>0</v>
      </c>
      <c r="D54" s="218">
        <f>IF(ISBLANK('Tank Loss 3'!C59),'Tank Loss 3'!B59,'Tank Loss 3'!C59)</f>
        <v>0</v>
      </c>
      <c r="E54" s="218">
        <f>IF(ISBLANK('Tank Loss 4'!C59),'Tank Loss 4'!B59,'Tank Loss 4'!C59)</f>
        <v>0</v>
      </c>
      <c r="F54" s="218">
        <f>IF(ISBLANK('Tank Loss 5'!C59),'Tank Loss 5'!B59,'Tank Loss 5'!C59)</f>
        <v>0</v>
      </c>
      <c r="G54" s="216" t="s">
        <v>9560</v>
      </c>
      <c r="H54" s="188" t="str">
        <f>'Tank Loss 2'!B117</f>
        <v/>
      </c>
      <c r="I54" s="217" t="str">
        <f>'Tank Loss 2'!C117</f>
        <v/>
      </c>
      <c r="J54" s="217" t="str">
        <f>'Tank Loss 2'!D117</f>
        <v/>
      </c>
      <c r="K54" s="217" t="str">
        <f>'Tank Loss 2'!E117</f>
        <v/>
      </c>
      <c r="L54" s="217" t="str">
        <f>'Tank Loss 2'!F117</f>
        <v/>
      </c>
      <c r="M54" s="217" t="str">
        <f>'Tank Loss 2'!G117</f>
        <v/>
      </c>
      <c r="N54" s="217" t="str">
        <f>'Tank Loss 2'!H117</f>
        <v/>
      </c>
      <c r="O54" s="217" t="str">
        <f>'Tank Loss 2'!I117</f>
        <v/>
      </c>
      <c r="P54" s="217" t="str">
        <f>'Tank Loss 2'!J117</f>
        <v/>
      </c>
      <c r="Q54" s="217" t="str">
        <f>'Tank Loss 2'!K117</f>
        <v/>
      </c>
      <c r="R54" s="217" t="str">
        <f>'Tank Loss 2'!L117</f>
        <v/>
      </c>
      <c r="S54" s="217" t="str">
        <f>'Tank Loss 2'!M117</f>
        <v/>
      </c>
      <c r="T54" s="217" t="str">
        <f>'Tank Loss 2'!N117</f>
        <v/>
      </c>
      <c r="U54" s="217" t="str">
        <f>'Tank Loss 2'!O117</f>
        <v/>
      </c>
      <c r="V54" s="217" t="str">
        <f>'Tank Loss 2'!P117</f>
        <v/>
      </c>
      <c r="W54" s="191">
        <f>SUM(H54:Q54)</f>
        <v>0</v>
      </c>
    </row>
    <row r="55" spans="1:23" ht="13.5" thickBot="1" x14ac:dyDescent="0.25">
      <c r="A55" s="115" t="s">
        <v>9593</v>
      </c>
      <c r="B55" s="199">
        <f>IF(ISBLANK('Tank Loss 1'!C60),'Tank Loss 1'!B60,'Tank Loss 1'!C60)</f>
        <v>0</v>
      </c>
      <c r="C55" s="199">
        <f>IF(ISBLANK('Tank Loss 2'!C60),'Tank Loss 2'!B60,'Tank Loss 2'!C60)</f>
        <v>0</v>
      </c>
      <c r="D55" s="199">
        <f>IF(ISBLANK('Tank Loss 3'!C60),'Tank Loss 3'!B60,'Tank Loss 3'!C60)</f>
        <v>0</v>
      </c>
      <c r="E55" s="199">
        <f>IF(ISBLANK('Tank Loss 4'!C60),'Tank Loss 4'!B60,'Tank Loss 4'!C60)</f>
        <v>0</v>
      </c>
      <c r="F55" s="199">
        <f>IF(ISBLANK('Tank Loss 5'!C60),'Tank Loss 5'!B60,'Tank Loss 5'!C60)</f>
        <v>0</v>
      </c>
    </row>
    <row r="56" spans="1:23" ht="13.5" thickBot="1" x14ac:dyDescent="0.25">
      <c r="A56" s="115" t="s">
        <v>9594</v>
      </c>
      <c r="B56" s="199">
        <f>IF(ISBLANK('Tank Loss 1'!C61),'Tank Loss 1'!B61,'Tank Loss 1'!C61)</f>
        <v>0</v>
      </c>
      <c r="C56" s="199">
        <f>IF(ISBLANK('Tank Loss 2'!C61),'Tank Loss 2'!B61,'Tank Loss 2'!C61)</f>
        <v>0</v>
      </c>
      <c r="D56" s="199">
        <f>IF(ISBLANK('Tank Loss 3'!C61),'Tank Loss 3'!B61,'Tank Loss 3'!C61)</f>
        <v>0</v>
      </c>
      <c r="E56" s="199">
        <f>IF(ISBLANK('Tank Loss 4'!C61),'Tank Loss 4'!B61,'Tank Loss 4'!C61)</f>
        <v>0</v>
      </c>
      <c r="F56" s="199">
        <f>IF(ISBLANK('Tank Loss 5'!C61),'Tank Loss 5'!B61,'Tank Loss 5'!C61)</f>
        <v>0</v>
      </c>
      <c r="G56" s="1384" t="s">
        <v>9978</v>
      </c>
      <c r="H56" s="1384"/>
      <c r="I56" s="1384"/>
      <c r="J56" s="1384"/>
      <c r="K56" s="1384"/>
      <c r="L56" s="1384"/>
      <c r="M56" s="1384"/>
      <c r="N56" s="1384"/>
      <c r="O56" s="1384"/>
      <c r="P56" s="1384"/>
      <c r="Q56" s="1384"/>
      <c r="R56" s="1384"/>
      <c r="S56" s="1384"/>
      <c r="T56" s="1384"/>
      <c r="U56" s="1384"/>
      <c r="V56" s="1384"/>
      <c r="W56" s="1385"/>
    </row>
    <row r="57" spans="1:23" ht="13.5" thickBot="1" x14ac:dyDescent="0.25">
      <c r="A57" s="115" t="s">
        <v>9595</v>
      </c>
      <c r="B57" s="199">
        <f>IF(ISBLANK('Tank Loss 1'!C62),'Tank Loss 1'!B62,'Tank Loss 1'!C62)</f>
        <v>0</v>
      </c>
      <c r="C57" s="199">
        <f>IF(ISBLANK('Tank Loss 2'!C62),'Tank Loss 2'!B62,'Tank Loss 2'!C62)</f>
        <v>0</v>
      </c>
      <c r="D57" s="199">
        <f>IF(ISBLANK('Tank Loss 3'!C62),'Tank Loss 3'!B62,'Tank Loss 3'!C62)</f>
        <v>0</v>
      </c>
      <c r="E57" s="199">
        <f>IF(ISBLANK('Tank Loss 4'!C62),'Tank Loss 4'!B62,'Tank Loss 4'!C62)</f>
        <v>0</v>
      </c>
      <c r="F57" s="199">
        <f>IF(ISBLANK('Tank Loss 5'!C62),'Tank Loss 5'!B62,'Tank Loss 5'!C62)</f>
        <v>0</v>
      </c>
      <c r="G57" s="200" t="s">
        <v>9502</v>
      </c>
      <c r="H57" s="201" t="s">
        <v>9503</v>
      </c>
      <c r="I57" s="202" t="s">
        <v>9504</v>
      </c>
      <c r="J57" s="202" t="s">
        <v>9505</v>
      </c>
      <c r="K57" s="202" t="s">
        <v>9506</v>
      </c>
      <c r="L57" s="202" t="s">
        <v>9507</v>
      </c>
      <c r="M57" s="202" t="s">
        <v>9508</v>
      </c>
      <c r="N57" s="202" t="s">
        <v>9509</v>
      </c>
      <c r="O57" s="202" t="s">
        <v>9510</v>
      </c>
      <c r="P57" s="202" t="s">
        <v>9511</v>
      </c>
      <c r="Q57" s="202" t="s">
        <v>9512</v>
      </c>
      <c r="R57" s="202" t="s">
        <v>9513</v>
      </c>
      <c r="S57" s="202" t="s">
        <v>9514</v>
      </c>
      <c r="T57" s="202" t="s">
        <v>9515</v>
      </c>
      <c r="U57" s="202" t="s">
        <v>9516</v>
      </c>
      <c r="V57" s="202" t="s">
        <v>9517</v>
      </c>
      <c r="W57" s="203" t="s">
        <v>1</v>
      </c>
    </row>
    <row r="58" spans="1:23" x14ac:dyDescent="0.2">
      <c r="A58" s="115" t="s">
        <v>9596</v>
      </c>
      <c r="B58" s="199">
        <f>IF(ISBLANK('Tank Loss 1'!C43),'Tank Loss 1'!B43,'Tank Loss 1'!C43)</f>
        <v>0</v>
      </c>
      <c r="C58" s="199">
        <f>IF(ISBLANK('Tank Loss 2'!C43),'Tank Loss 2'!B43,'Tank Loss 2'!C43)</f>
        <v>0</v>
      </c>
      <c r="D58" s="199">
        <f>IF(ISBLANK('Tank Loss 3'!C43),'Tank Loss 3'!B43,'Tank Loss 3'!C43)</f>
        <v>0</v>
      </c>
      <c r="E58" s="199">
        <f>IF(ISBLANK('Tank Loss 4'!C43),'Tank Loss 4'!B43,'Tank Loss 4'!C43)</f>
        <v>0</v>
      </c>
      <c r="F58" s="199">
        <f>IF(ISBLANK('Tank Loss 5'!C43),'Tank Loss 5'!B43,'Tank Loss 5'!C43)</f>
        <v>0</v>
      </c>
      <c r="G58" s="204" t="s">
        <v>9519</v>
      </c>
      <c r="H58" s="205">
        <f>'Tank Loss 3'!B18</f>
        <v>0</v>
      </c>
      <c r="I58" s="206">
        <f>'Tank Loss 3'!C18</f>
        <v>0</v>
      </c>
      <c r="J58" s="206">
        <f>'Tank Loss 3'!D18</f>
        <v>0</v>
      </c>
      <c r="K58" s="206">
        <f>'Tank Loss 3'!E18</f>
        <v>0</v>
      </c>
      <c r="L58" s="206">
        <f>'Tank Loss 3'!F18</f>
        <v>0</v>
      </c>
      <c r="M58" s="206">
        <f>'Tank Loss 3'!G18</f>
        <v>0</v>
      </c>
      <c r="N58" s="206">
        <f>'Tank Loss 3'!H18</f>
        <v>0</v>
      </c>
      <c r="O58" s="206">
        <f>'Tank Loss 3'!I18</f>
        <v>0</v>
      </c>
      <c r="P58" s="206">
        <f>'Tank Loss 3'!J18</f>
        <v>0</v>
      </c>
      <c r="Q58" s="206">
        <f>'Tank Loss 3'!K18</f>
        <v>0</v>
      </c>
      <c r="R58" s="206">
        <f>'Tank Loss 3'!L18</f>
        <v>0</v>
      </c>
      <c r="S58" s="206">
        <f>'Tank Loss 3'!M18</f>
        <v>0</v>
      </c>
      <c r="T58" s="206">
        <f>'Tank Loss 3'!N18</f>
        <v>0</v>
      </c>
      <c r="U58" s="206">
        <f>'Tank Loss 3'!O18</f>
        <v>0</v>
      </c>
      <c r="V58" s="206">
        <f>'Tank Loss 3'!P18</f>
        <v>0</v>
      </c>
      <c r="W58" s="207"/>
    </row>
    <row r="59" spans="1:23" x14ac:dyDescent="0.2">
      <c r="A59" s="115" t="s">
        <v>9597</v>
      </c>
      <c r="B59" s="199">
        <f>IF(ISBLANK('Tank Loss 1'!C63),'Tank Loss 1'!B63,'Tank Loss 1'!C63)</f>
        <v>0</v>
      </c>
      <c r="C59" s="199">
        <f>IF(ISBLANK('Tank Loss 2'!C63),'Tank Loss 2'!B63,'Tank Loss 2'!C63)</f>
        <v>0</v>
      </c>
      <c r="D59" s="199">
        <f>IF(ISBLANK('Tank Loss 3'!C63),'Tank Loss 3'!B63,'Tank Loss 3'!C63)</f>
        <v>0</v>
      </c>
      <c r="E59" s="199">
        <f>IF(ISBLANK('Tank Loss 4'!C63),'Tank Loss 4'!B63,'Tank Loss 4'!C63)</f>
        <v>0</v>
      </c>
      <c r="F59" s="199">
        <f>IF(ISBLANK('Tank Loss 5'!C63),'Tank Loss 5'!B63,'Tank Loss 5'!C63)</f>
        <v>0</v>
      </c>
      <c r="G59" s="208" t="s">
        <v>9521</v>
      </c>
      <c r="H59" s="182">
        <f>'Tank Loss 3'!B19</f>
        <v>0</v>
      </c>
      <c r="I59" s="209">
        <f>'Tank Loss 3'!C19</f>
        <v>0</v>
      </c>
      <c r="J59" s="209">
        <f>'Tank Loss 3'!D19</f>
        <v>0</v>
      </c>
      <c r="K59" s="209">
        <f>'Tank Loss 3'!E19</f>
        <v>0</v>
      </c>
      <c r="L59" s="209">
        <f>'Tank Loss 3'!F19</f>
        <v>0</v>
      </c>
      <c r="M59" s="209">
        <f>'Tank Loss 3'!G19</f>
        <v>0</v>
      </c>
      <c r="N59" s="209">
        <f>'Tank Loss 3'!H19</f>
        <v>0</v>
      </c>
      <c r="O59" s="209">
        <f>'Tank Loss 3'!I19</f>
        <v>0</v>
      </c>
      <c r="P59" s="209">
        <f>'Tank Loss 3'!J19</f>
        <v>0</v>
      </c>
      <c r="Q59" s="209">
        <f>'Tank Loss 3'!K19</f>
        <v>0</v>
      </c>
      <c r="R59" s="209">
        <f>'Tank Loss 3'!L19</f>
        <v>0</v>
      </c>
      <c r="S59" s="209">
        <f>'Tank Loss 3'!M19</f>
        <v>0</v>
      </c>
      <c r="T59" s="209">
        <f>'Tank Loss 3'!N19</f>
        <v>0</v>
      </c>
      <c r="U59" s="209">
        <f>'Tank Loss 3'!O19</f>
        <v>0</v>
      </c>
      <c r="V59" s="209">
        <f>'Tank Loss 3'!P19</f>
        <v>0</v>
      </c>
      <c r="W59" s="210"/>
    </row>
    <row r="60" spans="1:23" x14ac:dyDescent="0.2">
      <c r="A60" s="115" t="s">
        <v>9598</v>
      </c>
      <c r="B60" s="199">
        <f>IF(ISBLANK('Tank Loss 1'!C64),'Tank Loss 1'!B64,'Tank Loss 1'!C64)</f>
        <v>0</v>
      </c>
      <c r="C60" s="199">
        <f>IF(ISBLANK('Tank Loss 2'!C64),'Tank Loss 2'!B64,'Tank Loss 2'!C64)</f>
        <v>0</v>
      </c>
      <c r="D60" s="199">
        <f>IF(ISBLANK('Tank Loss 3'!C64),'Tank Loss 3'!B64,'Tank Loss 3'!C64)</f>
        <v>0</v>
      </c>
      <c r="E60" s="199">
        <f>IF(ISBLANK('Tank Loss 4'!C64),'Tank Loss 4'!B64,'Tank Loss 4'!C64)</f>
        <v>0</v>
      </c>
      <c r="F60" s="199">
        <f>IF(ISBLANK('Tank Loss 5'!C64),'Tank Loss 5'!B64,'Tank Loss 5'!C64)</f>
        <v>0</v>
      </c>
      <c r="G60" s="208" t="s">
        <v>9523</v>
      </c>
      <c r="H60" s="182">
        <f>'Tank Loss 3'!B20</f>
        <v>0</v>
      </c>
      <c r="I60" s="209">
        <f>'Tank Loss 3'!C20</f>
        <v>0</v>
      </c>
      <c r="J60" s="209">
        <f>'Tank Loss 3'!D20</f>
        <v>0</v>
      </c>
      <c r="K60" s="209">
        <f>'Tank Loss 3'!E20</f>
        <v>0</v>
      </c>
      <c r="L60" s="209">
        <f>'Tank Loss 3'!F20</f>
        <v>0</v>
      </c>
      <c r="M60" s="209">
        <f>'Tank Loss 3'!G20</f>
        <v>0</v>
      </c>
      <c r="N60" s="209">
        <f>'Tank Loss 3'!H20</f>
        <v>0</v>
      </c>
      <c r="O60" s="209">
        <f>'Tank Loss 3'!I20</f>
        <v>0</v>
      </c>
      <c r="P60" s="209">
        <f>'Tank Loss 3'!J20</f>
        <v>0</v>
      </c>
      <c r="Q60" s="209">
        <f>'Tank Loss 3'!K20</f>
        <v>0</v>
      </c>
      <c r="R60" s="209">
        <f>'Tank Loss 3'!L20</f>
        <v>0</v>
      </c>
      <c r="S60" s="209">
        <f>'Tank Loss 3'!M20</f>
        <v>0</v>
      </c>
      <c r="T60" s="209">
        <f>'Tank Loss 3'!N20</f>
        <v>0</v>
      </c>
      <c r="U60" s="209">
        <f>'Tank Loss 3'!O20</f>
        <v>0</v>
      </c>
      <c r="V60" s="209">
        <f>'Tank Loss 3'!P20</f>
        <v>0</v>
      </c>
      <c r="W60" s="184">
        <f>SUM(H60:V60)</f>
        <v>0</v>
      </c>
    </row>
    <row r="61" spans="1:23" ht="13.5" thickBot="1" x14ac:dyDescent="0.25">
      <c r="A61" s="124" t="s">
        <v>9599</v>
      </c>
      <c r="B61" s="219">
        <f>IF(ISBLANK('Tank Loss 1'!C65),'Tank Loss 1'!B65,'Tank Loss 1'!C65)</f>
        <v>0</v>
      </c>
      <c r="C61" s="219">
        <f>IF(ISBLANK('Tank Loss 2'!C65),'Tank Loss 2'!B65,'Tank Loss 2'!C65)</f>
        <v>0</v>
      </c>
      <c r="D61" s="219">
        <f>IF(ISBLANK('Tank Loss 3'!C65),'Tank Loss 3'!B65,'Tank Loss 3'!C65)</f>
        <v>0</v>
      </c>
      <c r="E61" s="219">
        <f>IF(ISBLANK('Tank Loss 4'!C65),'Tank Loss 4'!B65,'Tank Loss 4'!C65)</f>
        <v>0</v>
      </c>
      <c r="F61" s="219">
        <f>IF(ISBLANK('Tank Loss 5'!C65),'Tank Loss 5'!B65,'Tank Loss 5'!C65)</f>
        <v>0</v>
      </c>
      <c r="G61" s="208" t="s">
        <v>9201</v>
      </c>
      <c r="H61" s="182">
        <f>IF(ISBLANK('Tank Loss 3'!B22),'Tank Loss 3'!B21,'Tank Loss 3'!B22)</f>
        <v>0</v>
      </c>
      <c r="I61" s="209">
        <f>IF(ISBLANK('Tank Loss 3'!C22),'Tank Loss 3'!C21,'Tank Loss 3'!C22)</f>
        <v>0</v>
      </c>
      <c r="J61" s="209">
        <f>IF(ISBLANK('Tank Loss 3'!D22),'Tank Loss 3'!D21,'Tank Loss 3'!D22)</f>
        <v>0</v>
      </c>
      <c r="K61" s="209">
        <f>IF(ISBLANK('Tank Loss 3'!E22),'Tank Loss 3'!E21,'Tank Loss 3'!E22)</f>
        <v>0</v>
      </c>
      <c r="L61" s="209">
        <f>IF(ISBLANK('Tank Loss 3'!F22),'Tank Loss 3'!F21,'Tank Loss 3'!F22)</f>
        <v>0</v>
      </c>
      <c r="M61" s="209">
        <f>IF(ISBLANK('Tank Loss 3'!G22),'Tank Loss 3'!G21,'Tank Loss 3'!G22)</f>
        <v>0</v>
      </c>
      <c r="N61" s="209">
        <f>IF(ISBLANK('Tank Loss 3'!H22),'Tank Loss 3'!H21,'Tank Loss 3'!H22)</f>
        <v>0</v>
      </c>
      <c r="O61" s="209">
        <f>IF(ISBLANK('Tank Loss 3'!I22),'Tank Loss 3'!I21,'Tank Loss 3'!I22)</f>
        <v>0</v>
      </c>
      <c r="P61" s="209">
        <f>IF(ISBLANK('Tank Loss 3'!J22),'Tank Loss 3'!J21,'Tank Loss 3'!J22)</f>
        <v>0</v>
      </c>
      <c r="Q61" s="209">
        <f>IF(ISBLANK('Tank Loss 3'!K22),'Tank Loss 3'!K21,'Tank Loss 3'!K22)</f>
        <v>0</v>
      </c>
      <c r="R61" s="209">
        <f>IF(ISBLANK('Tank Loss 3'!L22),'Tank Loss 3'!L21,'Tank Loss 3'!L22)</f>
        <v>0</v>
      </c>
      <c r="S61" s="209">
        <f>IF(ISBLANK('Tank Loss 3'!M22),'Tank Loss 3'!M21,'Tank Loss 3'!M22)</f>
        <v>0</v>
      </c>
      <c r="T61" s="209">
        <f>IF(ISBLANK('Tank Loss 3'!N22),'Tank Loss 3'!N21,'Tank Loss 3'!N22)</f>
        <v>0</v>
      </c>
      <c r="U61" s="209">
        <f>IF(ISBLANK('Tank Loss 3'!O22),'Tank Loss 3'!O21,'Tank Loss 3'!O22)</f>
        <v>0</v>
      </c>
      <c r="V61" s="209">
        <f>IF(ISBLANK('Tank Loss 3'!P22),'Tank Loss 3'!P21,'Tank Loss 3'!P22)</f>
        <v>0</v>
      </c>
      <c r="W61" s="211">
        <f>IFERROR(1/W62,0)</f>
        <v>0</v>
      </c>
    </row>
    <row r="62" spans="1:23" x14ac:dyDescent="0.2">
      <c r="A62" s="122" t="s">
        <v>9600</v>
      </c>
      <c r="B62" s="220">
        <f>IF(ISBLANK('Tank Loss 1'!C131),'Tank Loss 1'!B131,'Tank Loss 1'!C131)</f>
        <v>0</v>
      </c>
      <c r="C62" s="220">
        <f>IF(ISBLANK('Tank Loss 2'!C131),'Tank Loss 2'!B131,'Tank Loss 2'!C131)</f>
        <v>0</v>
      </c>
      <c r="D62" s="220">
        <f>IF(ISBLANK('Tank Loss 3'!C131),'Tank Loss 3'!B131,'Tank Loss 3'!C131)</f>
        <v>0</v>
      </c>
      <c r="E62" s="220">
        <f>IF(ISBLANK('Tank Loss 4'!C131),'Tank Loss 4'!B131,'Tank Loss 4'!C131)</f>
        <v>0</v>
      </c>
      <c r="F62" s="220">
        <f>IF(ISBLANK('Tank Loss 5'!C131),'Tank Loss 5'!B131,'Tank Loss 5'!C131)</f>
        <v>0</v>
      </c>
      <c r="G62" s="208" t="s">
        <v>9526</v>
      </c>
      <c r="H62" s="182">
        <f>IFERROR((H60/H61),0)</f>
        <v>0</v>
      </c>
      <c r="I62" s="209">
        <f t="shared" ref="I62:V62" si="12">IFERROR((I60/I61),0)</f>
        <v>0</v>
      </c>
      <c r="J62" s="209">
        <f t="shared" si="12"/>
        <v>0</v>
      </c>
      <c r="K62" s="209">
        <f t="shared" si="12"/>
        <v>0</v>
      </c>
      <c r="L62" s="209">
        <f t="shared" si="12"/>
        <v>0</v>
      </c>
      <c r="M62" s="209">
        <f t="shared" si="12"/>
        <v>0</v>
      </c>
      <c r="N62" s="209">
        <f t="shared" si="12"/>
        <v>0</v>
      </c>
      <c r="O62" s="209">
        <f t="shared" si="12"/>
        <v>0</v>
      </c>
      <c r="P62" s="209">
        <f t="shared" si="12"/>
        <v>0</v>
      </c>
      <c r="Q62" s="209">
        <f t="shared" si="12"/>
        <v>0</v>
      </c>
      <c r="R62" s="209">
        <f t="shared" si="12"/>
        <v>0</v>
      </c>
      <c r="S62" s="209">
        <f t="shared" si="12"/>
        <v>0</v>
      </c>
      <c r="T62" s="209">
        <f t="shared" si="12"/>
        <v>0</v>
      </c>
      <c r="U62" s="209">
        <f t="shared" si="12"/>
        <v>0</v>
      </c>
      <c r="V62" s="209">
        <f t="shared" si="12"/>
        <v>0</v>
      </c>
      <c r="W62" s="184">
        <f>SUM(H62:V62)</f>
        <v>0</v>
      </c>
    </row>
    <row r="63" spans="1:23" x14ac:dyDescent="0.2">
      <c r="A63" s="115" t="s">
        <v>9601</v>
      </c>
      <c r="B63" s="221">
        <f>IF(ISBLANK('Tank Loss 1'!C132),'Tank Loss 1'!B132,'Tank Loss 1'!C132)</f>
        <v>0</v>
      </c>
      <c r="C63" s="221">
        <f>IF(ISBLANK('Tank Loss 2'!C132),'Tank Loss 2'!B132,'Tank Loss 2'!C132)</f>
        <v>0</v>
      </c>
      <c r="D63" s="221">
        <f>IF(ISBLANK('Tank Loss 3'!C132),'Tank Loss 3'!B132,'Tank Loss 3'!C132)</f>
        <v>0</v>
      </c>
      <c r="E63" s="221">
        <f>IF(ISBLANK('Tank Loss 4'!C132),'Tank Loss 4'!B132,'Tank Loss 4'!C132)</f>
        <v>0</v>
      </c>
      <c r="F63" s="221">
        <f>IF(ISBLANK('Tank Loss 5'!C132),'Tank Loss 5'!B132,'Tank Loss 5'!C132)</f>
        <v>0</v>
      </c>
      <c r="G63" s="208" t="s">
        <v>9528</v>
      </c>
      <c r="H63" s="182">
        <f>IF(ISBLANK('Tank Loss 3'!B24),'Tank Loss 3'!B23,'Tank Loss 3'!B24)</f>
        <v>0</v>
      </c>
      <c r="I63" s="209">
        <f>IF(ISBLANK('Tank Loss 3'!C24),'Tank Loss 3'!C23,'Tank Loss 3'!C24)</f>
        <v>0</v>
      </c>
      <c r="J63" s="209">
        <f>IF(ISBLANK('Tank Loss 3'!D24),'Tank Loss 3'!D23,'Tank Loss 3'!D24)</f>
        <v>0</v>
      </c>
      <c r="K63" s="209">
        <f>IF(ISBLANK('Tank Loss 3'!E24),'Tank Loss 3'!E23,'Tank Loss 3'!E24)</f>
        <v>0</v>
      </c>
      <c r="L63" s="209">
        <f>IF(ISBLANK('Tank Loss 3'!F24),'Tank Loss 3'!F23,'Tank Loss 3'!F24)</f>
        <v>0</v>
      </c>
      <c r="M63" s="209">
        <f>IF(ISBLANK('Tank Loss 3'!G24),'Tank Loss 3'!G23,'Tank Loss 3'!G24)</f>
        <v>0</v>
      </c>
      <c r="N63" s="209">
        <f>IF(ISBLANK('Tank Loss 3'!H24),'Tank Loss 3'!H23,'Tank Loss 3'!H24)</f>
        <v>0</v>
      </c>
      <c r="O63" s="209">
        <f>IF(ISBLANK('Tank Loss 3'!I24),'Tank Loss 3'!I23,'Tank Loss 3'!I24)</f>
        <v>0</v>
      </c>
      <c r="P63" s="209">
        <f>IF(ISBLANK('Tank Loss 3'!J24),'Tank Loss 3'!J23,'Tank Loss 3'!J24)</f>
        <v>0</v>
      </c>
      <c r="Q63" s="209">
        <f>IF(ISBLANK('Tank Loss 3'!K24),'Tank Loss 3'!K23,'Tank Loss 3'!K24)</f>
        <v>0</v>
      </c>
      <c r="R63" s="209">
        <f>IF(ISBLANK('Tank Loss 3'!L24),'Tank Loss 3'!L23,'Tank Loss 3'!L24)</f>
        <v>0</v>
      </c>
      <c r="S63" s="209">
        <f>IF(ISBLANK('Tank Loss 3'!M24),'Tank Loss 3'!M23,'Tank Loss 3'!M24)</f>
        <v>0</v>
      </c>
      <c r="T63" s="209">
        <f>IF(ISBLANK('Tank Loss 3'!N24),'Tank Loss 3'!N23,'Tank Loss 3'!N24)</f>
        <v>0</v>
      </c>
      <c r="U63" s="209">
        <f>IF(ISBLANK('Tank Loss 3'!O24),'Tank Loss 3'!O23,'Tank Loss 3'!O24)</f>
        <v>0</v>
      </c>
      <c r="V63" s="209">
        <f>IF(ISBLANK('Tank Loss 3'!P24),'Tank Loss 3'!P23,'Tank Loss 3'!P24)</f>
        <v>0</v>
      </c>
      <c r="W63" s="184">
        <f>IFERROR(IF(AND(AVERAGEIF(H63:V63,"&gt;0")=IF('Tank Loss 1'!B12="Fixed",0.75,0.4),IFERROR(AVERAGEIF(H63:V63,"&gt;0"),1)=IF('Tank Loss 1'!B12="Fixed",0.75,0.4)),IF('Tank Loss 1'!B12="Fixed",0.75,0.4),1),1)</f>
        <v>1</v>
      </c>
    </row>
    <row r="64" spans="1:23" x14ac:dyDescent="0.2">
      <c r="A64" s="115" t="s">
        <v>9602</v>
      </c>
      <c r="B64" s="221">
        <f>IF(ISBLANK('Tank Loss 1'!C133),'Tank Loss 1'!B133,'Tank Loss 1'!C133)</f>
        <v>0</v>
      </c>
      <c r="C64" s="221">
        <f>IF(ISBLANK('Tank Loss 2'!C133),'Tank Loss 2'!B133,'Tank Loss 2'!C133)</f>
        <v>0</v>
      </c>
      <c r="D64" s="221">
        <f>IF(ISBLANK('Tank Loss 3'!C133),'Tank Loss 3'!B133,'Tank Loss 3'!C133)</f>
        <v>0</v>
      </c>
      <c r="E64" s="221">
        <f>IF(ISBLANK('Tank Loss 4'!C133),'Tank Loss 4'!B133,'Tank Loss 4'!C133)</f>
        <v>0</v>
      </c>
      <c r="F64" s="221">
        <f>IF(ISBLANK('Tank Loss 5'!C133),'Tank Loss 5'!B133,'Tank Loss 5'!C133)</f>
        <v>0</v>
      </c>
      <c r="G64" s="208" t="s">
        <v>9530</v>
      </c>
      <c r="H64" s="182">
        <f>IF(ISBLANK('Tank Loss 3'!B26),'Tank Loss 3'!B25,'Tank Loss 3'!B26)</f>
        <v>0</v>
      </c>
      <c r="I64" s="209">
        <f>IF(ISBLANK('Tank Loss 3'!C26),'Tank Loss 3'!C25,'Tank Loss 3'!C26)</f>
        <v>0</v>
      </c>
      <c r="J64" s="209">
        <f>IF(ISBLANK('Tank Loss 3'!D26),'Tank Loss 3'!D25,'Tank Loss 3'!D26)</f>
        <v>0</v>
      </c>
      <c r="K64" s="209">
        <f>IF(ISBLANK('Tank Loss 3'!E26),'Tank Loss 3'!E25,'Tank Loss 3'!E26)</f>
        <v>0</v>
      </c>
      <c r="L64" s="209">
        <f>IF(ISBLANK('Tank Loss 3'!F26),'Tank Loss 3'!F25,'Tank Loss 3'!F26)</f>
        <v>0</v>
      </c>
      <c r="M64" s="209">
        <f>IF(ISBLANK('Tank Loss 3'!G26),'Tank Loss 3'!G25,'Tank Loss 3'!G26)</f>
        <v>0</v>
      </c>
      <c r="N64" s="209">
        <f>IF(ISBLANK('Tank Loss 3'!H26),'Tank Loss 3'!H25,'Tank Loss 3'!H26)</f>
        <v>0</v>
      </c>
      <c r="O64" s="209">
        <f>IF(ISBLANK('Tank Loss 3'!I26),'Tank Loss 3'!I25,'Tank Loss 3'!I26)</f>
        <v>0</v>
      </c>
      <c r="P64" s="209">
        <f>IF(ISBLANK('Tank Loss 3'!J26),'Tank Loss 3'!J25,'Tank Loss 3'!J26)</f>
        <v>0</v>
      </c>
      <c r="Q64" s="209">
        <f>IF(ISBLANK('Tank Loss 3'!K26),'Tank Loss 3'!K25,'Tank Loss 3'!K26)</f>
        <v>0</v>
      </c>
      <c r="R64" s="209">
        <f>IF(ISBLANK('Tank Loss 3'!L26),'Tank Loss 3'!L25,'Tank Loss 3'!L26)</f>
        <v>0</v>
      </c>
      <c r="S64" s="209">
        <f>IF(ISBLANK('Tank Loss 3'!M26),'Tank Loss 3'!M25,'Tank Loss 3'!M26)</f>
        <v>0</v>
      </c>
      <c r="T64" s="209">
        <f>IF(ISBLANK('Tank Loss 3'!N26),'Tank Loss 3'!N25,'Tank Loss 3'!N26)</f>
        <v>0</v>
      </c>
      <c r="U64" s="209">
        <f>IF(ISBLANK('Tank Loss 3'!O26),'Tank Loss 3'!O25,'Tank Loss 3'!O26)</f>
        <v>0</v>
      </c>
      <c r="V64" s="209">
        <f>IF(ISBLANK('Tank Loss 3'!P26),'Tank Loss 3'!P25,'Tank Loss 3'!P26)</f>
        <v>0</v>
      </c>
      <c r="W64" s="184">
        <f>SUM(H64:V64)</f>
        <v>0</v>
      </c>
    </row>
    <row r="65" spans="1:23" x14ac:dyDescent="0.2">
      <c r="A65" s="115" t="s">
        <v>9603</v>
      </c>
      <c r="B65" s="221">
        <f>IF(ISBLANK('Tank Loss 1'!C134),'Tank Loss 1'!B134,'Tank Loss 1'!C134)</f>
        <v>1</v>
      </c>
      <c r="C65" s="221">
        <f>IF(ISBLANK('Tank Loss 2'!C134),'Tank Loss 2'!B134,'Tank Loss 2'!C134)</f>
        <v>1</v>
      </c>
      <c r="D65" s="221">
        <f>IF(ISBLANK('Tank Loss 3'!C134),'Tank Loss 3'!B134,'Tank Loss 3'!C134)</f>
        <v>1</v>
      </c>
      <c r="E65" s="221">
        <f>IF(ISBLANK('Tank Loss 4'!C134),'Tank Loss 4'!B134,'Tank Loss 4'!C134)</f>
        <v>1</v>
      </c>
      <c r="F65" s="221">
        <f>IF(ISBLANK('Tank Loss 5'!C134),'Tank Loss 5'!B134,'Tank Loss 5'!C134)</f>
        <v>1</v>
      </c>
      <c r="G65" s="208" t="s">
        <v>9532</v>
      </c>
      <c r="H65" s="182">
        <f>IFERROR(H60/H64*1000,0)</f>
        <v>0</v>
      </c>
      <c r="I65" s="209">
        <f t="shared" ref="I65:V65" si="13">IFERROR(I60/I64*1000,0)</f>
        <v>0</v>
      </c>
      <c r="J65" s="209">
        <f t="shared" si="13"/>
        <v>0</v>
      </c>
      <c r="K65" s="209">
        <f t="shared" si="13"/>
        <v>0</v>
      </c>
      <c r="L65" s="209">
        <f t="shared" si="13"/>
        <v>0</v>
      </c>
      <c r="M65" s="209">
        <f t="shared" si="13"/>
        <v>0</v>
      </c>
      <c r="N65" s="209">
        <f t="shared" si="13"/>
        <v>0</v>
      </c>
      <c r="O65" s="209">
        <f t="shared" si="13"/>
        <v>0</v>
      </c>
      <c r="P65" s="209">
        <f t="shared" si="13"/>
        <v>0</v>
      </c>
      <c r="Q65" s="209">
        <f t="shared" si="13"/>
        <v>0</v>
      </c>
      <c r="R65" s="209">
        <f t="shared" si="13"/>
        <v>0</v>
      </c>
      <c r="S65" s="209">
        <f t="shared" si="13"/>
        <v>0</v>
      </c>
      <c r="T65" s="209">
        <f t="shared" si="13"/>
        <v>0</v>
      </c>
      <c r="U65" s="209">
        <f t="shared" si="13"/>
        <v>0</v>
      </c>
      <c r="V65" s="209">
        <f t="shared" si="13"/>
        <v>0</v>
      </c>
      <c r="W65" s="184">
        <f>SUM(H65:V65)</f>
        <v>0</v>
      </c>
    </row>
    <row r="66" spans="1:23" x14ac:dyDescent="0.2">
      <c r="A66" s="115" t="s">
        <v>9604</v>
      </c>
      <c r="B66" s="221">
        <f>IF(ISBLANK('Tank Loss 1'!C135),'Tank Loss 1'!B135,'Tank Loss 1'!C135)</f>
        <v>0.04</v>
      </c>
      <c r="C66" s="221">
        <f>IF(ISBLANK('Tank Loss 2'!C135),'Tank Loss 2'!B135,'Tank Loss 2'!C135)</f>
        <v>0.04</v>
      </c>
      <c r="D66" s="221">
        <f>IF(ISBLANK('Tank Loss 3'!C135),'Tank Loss 3'!B135,'Tank Loss 3'!C135)</f>
        <v>0.04</v>
      </c>
      <c r="E66" s="221">
        <f>IF(ISBLANK('Tank Loss 4'!C135),'Tank Loss 4'!B135,'Tank Loss 4'!C135)</f>
        <v>0.04</v>
      </c>
      <c r="F66" s="221">
        <f>IF(ISBLANK('Tank Loss 5'!C135),'Tank Loss 5'!B135,'Tank Loss 5'!C135)</f>
        <v>0.04</v>
      </c>
      <c r="G66" s="208" t="s">
        <v>9534</v>
      </c>
      <c r="H66" s="182">
        <f>IF(H58=0,0,IF(ISBLANK('Tank Loss 3'!B107),'Tank Loss 3'!B106,'Tank Loss 3'!B107))</f>
        <v>0</v>
      </c>
      <c r="I66" s="209">
        <f>IF(I58=0,0,IF(ISBLANK('Tank Loss 3'!C107),'Tank Loss 3'!C106,'Tank Loss 3'!C107))</f>
        <v>0</v>
      </c>
      <c r="J66" s="209">
        <f>IF(J58=0,0,IF(ISBLANK('Tank Loss 3'!D107),'Tank Loss 3'!D106,'Tank Loss 3'!D107))</f>
        <v>0</v>
      </c>
      <c r="K66" s="209">
        <f>IF(K58=0,0,IF(ISBLANK('Tank Loss 3'!E107),'Tank Loss 3'!E106,'Tank Loss 3'!E107))</f>
        <v>0</v>
      </c>
      <c r="L66" s="209">
        <f>IF(L58=0,0,IF(ISBLANK('Tank Loss 3'!F107),'Tank Loss 3'!F106,'Tank Loss 3'!F107))</f>
        <v>0</v>
      </c>
      <c r="M66" s="209">
        <f>IF(M58=0,0,IF(ISBLANK('Tank Loss 3'!G107),'Tank Loss 3'!G106,'Tank Loss 3'!G107))</f>
        <v>0</v>
      </c>
      <c r="N66" s="209">
        <f>IF(N58=0,0,IF(ISBLANK('Tank Loss 3'!H107),'Tank Loss 3'!H106,'Tank Loss 3'!H107))</f>
        <v>0</v>
      </c>
      <c r="O66" s="209">
        <f>IF(O58=0,0,IF(ISBLANK('Tank Loss 3'!I107),'Tank Loss 3'!I106,'Tank Loss 3'!I107))</f>
        <v>0</v>
      </c>
      <c r="P66" s="209">
        <f>IF(P58=0,0,IF(ISBLANK('Tank Loss 3'!J107),'Tank Loss 3'!J106,'Tank Loss 3'!J107))</f>
        <v>0</v>
      </c>
      <c r="Q66" s="209">
        <f>IF(Q58=0,0,IF(ISBLANK('Tank Loss 3'!K107),'Tank Loss 3'!K106,'Tank Loss 3'!K107))</f>
        <v>0</v>
      </c>
      <c r="R66" s="209">
        <f>IF(R58=0,0,IF(ISBLANK('Tank Loss 3'!L107),'Tank Loss 3'!L106,'Tank Loss 3'!L107))</f>
        <v>0</v>
      </c>
      <c r="S66" s="209">
        <f>IF(S58=0,0,IF(ISBLANK('Tank Loss 3'!M107),'Tank Loss 3'!M106,'Tank Loss 3'!M107))</f>
        <v>0</v>
      </c>
      <c r="T66" s="209">
        <f>IF(T58=0,0,IF(ISBLANK('Tank Loss 3'!N107),'Tank Loss 3'!N106,'Tank Loss 3'!N107))</f>
        <v>0</v>
      </c>
      <c r="U66" s="209">
        <f>IF(U58=0,0,IF(ISBLANK('Tank Loss 3'!O107),'Tank Loss 3'!O106,'Tank Loss 3'!O107))</f>
        <v>0</v>
      </c>
      <c r="V66" s="209">
        <f>IF(V58=0,0,IF(ISBLANK('Tank Loss 3'!P107),'Tank Loss 3'!P106,'Tank Loss 3'!P107))</f>
        <v>0</v>
      </c>
      <c r="W66" s="210"/>
    </row>
    <row r="67" spans="1:23" x14ac:dyDescent="0.2">
      <c r="A67" s="115" t="s">
        <v>9605</v>
      </c>
      <c r="B67" s="221">
        <f>IF(ISBLANK('Tank Loss 1'!C136),'Tank Loss 1'!B136,'Tank Loss 1'!C136)</f>
        <v>0</v>
      </c>
      <c r="C67" s="221">
        <f>IF(ISBLANK('Tank Loss 2'!C136),'Tank Loss 2'!B136,'Tank Loss 2'!C136)</f>
        <v>0</v>
      </c>
      <c r="D67" s="221">
        <f>IF(ISBLANK('Tank Loss 3'!C136),'Tank Loss 3'!B136,'Tank Loss 3'!C136)</f>
        <v>0</v>
      </c>
      <c r="E67" s="221">
        <f>IF(ISBLANK('Tank Loss 4'!C136),'Tank Loss 4'!B136,'Tank Loss 4'!C136)</f>
        <v>0</v>
      </c>
      <c r="F67" s="221">
        <f>IF(ISBLANK('Tank Loss 5'!C136),'Tank Loss 5'!B136,'Tank Loss 5'!C136)</f>
        <v>0</v>
      </c>
      <c r="G67" s="208" t="s">
        <v>9536</v>
      </c>
      <c r="H67" s="182">
        <f>IF(H58=0,0,IF(ISBLANK('Tank Loss 3'!B109),'Tank Loss 3'!B108,'Tank Loss 3'!B109))</f>
        <v>0</v>
      </c>
      <c r="I67" s="209">
        <f>IF(I58=0,0,IF(ISBLANK('Tank Loss 3'!C109),'Tank Loss 3'!C108,'Tank Loss 3'!C109))</f>
        <v>0</v>
      </c>
      <c r="J67" s="209">
        <f>IF(J58=0,0,IF(ISBLANK('Tank Loss 3'!D109),'Tank Loss 3'!D108,'Tank Loss 3'!D109))</f>
        <v>0</v>
      </c>
      <c r="K67" s="209">
        <f>IF(K58=0,0,IF(ISBLANK('Tank Loss 3'!E109),'Tank Loss 3'!E108,'Tank Loss 3'!E109))</f>
        <v>0</v>
      </c>
      <c r="L67" s="209">
        <f>IF(L58=0,0,IF(ISBLANK('Tank Loss 3'!F109),'Tank Loss 3'!F108,'Tank Loss 3'!F109))</f>
        <v>0</v>
      </c>
      <c r="M67" s="209">
        <f>IF(M58=0,0,IF(ISBLANK('Tank Loss 3'!G109),'Tank Loss 3'!G108,'Tank Loss 3'!G109))</f>
        <v>0</v>
      </c>
      <c r="N67" s="209">
        <f>IF(N58=0,0,IF(ISBLANK('Tank Loss 3'!H109),'Tank Loss 3'!H108,'Tank Loss 3'!H109))</f>
        <v>0</v>
      </c>
      <c r="O67" s="209">
        <f>IF(O58=0,0,IF(ISBLANK('Tank Loss 3'!I109),'Tank Loss 3'!I108,'Tank Loss 3'!I109))</f>
        <v>0</v>
      </c>
      <c r="P67" s="209">
        <f>IF(P58=0,0,IF(ISBLANK('Tank Loss 3'!J109),'Tank Loss 3'!J108,'Tank Loss 3'!J109))</f>
        <v>0</v>
      </c>
      <c r="Q67" s="209">
        <f>IF(Q58=0,0,IF(ISBLANK('Tank Loss 3'!K109),'Tank Loss 3'!K108,'Tank Loss 3'!K109))</f>
        <v>0</v>
      </c>
      <c r="R67" s="209">
        <f>IF(R58=0,0,IF(ISBLANK('Tank Loss 3'!L109),'Tank Loss 3'!L108,'Tank Loss 3'!L109))</f>
        <v>0</v>
      </c>
      <c r="S67" s="209">
        <f>IF(S58=0,0,IF(ISBLANK('Tank Loss 3'!M109),'Tank Loss 3'!M108,'Tank Loss 3'!M109))</f>
        <v>0</v>
      </c>
      <c r="T67" s="209">
        <f>IF(T58=0,0,IF(ISBLANK('Tank Loss 3'!N109),'Tank Loss 3'!N108,'Tank Loss 3'!N109))</f>
        <v>0</v>
      </c>
      <c r="U67" s="209">
        <f>IF(U58=0,0,IF(ISBLANK('Tank Loss 3'!O109),'Tank Loss 3'!O108,'Tank Loss 3'!O109))</f>
        <v>0</v>
      </c>
      <c r="V67" s="209">
        <f>IF(V58=0,0,IF(ISBLANK('Tank Loss 3'!P109),'Tank Loss 3'!P108,'Tank Loss 3'!P109))</f>
        <v>0</v>
      </c>
      <c r="W67" s="210"/>
    </row>
    <row r="68" spans="1:23" x14ac:dyDescent="0.2">
      <c r="A68" s="115" t="s">
        <v>9606</v>
      </c>
      <c r="B68" s="221">
        <f>IF(ISBLANK('Tank Loss 1'!C137),'Tank Loss 1'!B137,'Tank Loss 1'!C137)</f>
        <v>1</v>
      </c>
      <c r="C68" s="221">
        <f>IF(ISBLANK('Tank Loss 2'!C137),'Tank Loss 2'!B137,'Tank Loss 2'!C137)</f>
        <v>1</v>
      </c>
      <c r="D68" s="221">
        <f>IF(ISBLANK('Tank Loss 3'!C137),'Tank Loss 3'!B137,'Tank Loss 3'!C137)</f>
        <v>1</v>
      </c>
      <c r="E68" s="221">
        <f>IF(ISBLANK('Tank Loss 4'!C137),'Tank Loss 4'!B137,'Tank Loss 4'!C137)</f>
        <v>1</v>
      </c>
      <c r="F68" s="221">
        <f>IF(ISBLANK('Tank Loss 5'!C137),'Tank Loss 5'!B137,'Tank Loss 5'!C137)</f>
        <v>1</v>
      </c>
      <c r="G68" s="208" t="s">
        <v>9537</v>
      </c>
      <c r="H68" s="182">
        <f>IF(H58=0,0,IF(ISBLANK('Tank Loss 3'!B111),'Tank Loss 3'!B110,'Tank Loss 3'!B111))</f>
        <v>0</v>
      </c>
      <c r="I68" s="209">
        <f>IF(I58=0,0,IF(ISBLANK('Tank Loss 3'!C111),'Tank Loss 3'!C110,'Tank Loss 3'!C111))</f>
        <v>0</v>
      </c>
      <c r="J68" s="209">
        <f>IF(J58=0,0,IF(ISBLANK('Tank Loss 3'!D111),'Tank Loss 3'!D110,'Tank Loss 3'!D111))</f>
        <v>0</v>
      </c>
      <c r="K68" s="209">
        <f>IF(K58=0,0,IF(ISBLANK('Tank Loss 3'!E111),'Tank Loss 3'!E110,'Tank Loss 3'!E111))</f>
        <v>0</v>
      </c>
      <c r="L68" s="209">
        <f>IF(L58=0,0,IF(ISBLANK('Tank Loss 3'!F111),'Tank Loss 3'!F110,'Tank Loss 3'!F111))</f>
        <v>0</v>
      </c>
      <c r="M68" s="209">
        <f>IF(M58=0,0,IF(ISBLANK('Tank Loss 3'!G111),'Tank Loss 3'!G110,'Tank Loss 3'!G111))</f>
        <v>0</v>
      </c>
      <c r="N68" s="209">
        <f>IF(N58=0,0,IF(ISBLANK('Tank Loss 3'!H111),'Tank Loss 3'!H110,'Tank Loss 3'!H111))</f>
        <v>0</v>
      </c>
      <c r="O68" s="209">
        <f>IF(O58=0,0,IF(ISBLANK('Tank Loss 3'!I111),'Tank Loss 3'!I110,'Tank Loss 3'!I111))</f>
        <v>0</v>
      </c>
      <c r="P68" s="209">
        <f>IF(P58=0,0,IF(ISBLANK('Tank Loss 3'!J111),'Tank Loss 3'!J110,'Tank Loss 3'!J111))</f>
        <v>0</v>
      </c>
      <c r="Q68" s="209">
        <f>IF(Q58=0,0,IF(ISBLANK('Tank Loss 3'!K111),'Tank Loss 3'!K110,'Tank Loss 3'!K111))</f>
        <v>0</v>
      </c>
      <c r="R68" s="209">
        <f>IF(R58=0,0,IF(ISBLANK('Tank Loss 3'!L111),'Tank Loss 3'!L110,'Tank Loss 3'!L111))</f>
        <v>0</v>
      </c>
      <c r="S68" s="209">
        <f>IF(S58=0,0,IF(ISBLANK('Tank Loss 3'!M111),'Tank Loss 3'!M110,'Tank Loss 3'!M111))</f>
        <v>0</v>
      </c>
      <c r="T68" s="209">
        <f>IF(T58=0,0,IF(ISBLANK('Tank Loss 3'!N111),'Tank Loss 3'!N110,'Tank Loss 3'!N111))</f>
        <v>0</v>
      </c>
      <c r="U68" s="209">
        <f>IF(U58=0,0,IF(ISBLANK('Tank Loss 3'!O111),'Tank Loss 3'!O110,'Tank Loss 3'!O111))</f>
        <v>0</v>
      </c>
      <c r="V68" s="209">
        <f>IF(V58=0,0,IF(ISBLANK('Tank Loss 3'!P111),'Tank Loss 3'!P110,'Tank Loss 3'!P111))</f>
        <v>0</v>
      </c>
      <c r="W68" s="210"/>
    </row>
    <row r="69" spans="1:23" x14ac:dyDescent="0.2">
      <c r="A69" s="115" t="s">
        <v>9607</v>
      </c>
      <c r="B69" s="221">
        <f>'Tank Loss 1'!B271</f>
        <v>0</v>
      </c>
      <c r="C69" s="221">
        <f>'Tank Loss 2'!B271</f>
        <v>0</v>
      </c>
      <c r="D69" s="221">
        <f>'Tank Loss 3'!B271</f>
        <v>0</v>
      </c>
      <c r="E69" s="221">
        <f>'Tank Loss 4'!B271</f>
        <v>0</v>
      </c>
      <c r="F69" s="221">
        <f>'Tank Loss 5'!B271</f>
        <v>0</v>
      </c>
      <c r="G69" s="208" t="s">
        <v>9539</v>
      </c>
      <c r="H69" s="182">
        <f>IF(H58=0,0,IF(ISBLANK('Tank Loss 3'!B99),'Tank Loss 3'!B98,'Tank Loss 3'!B99))</f>
        <v>0</v>
      </c>
      <c r="I69" s="209">
        <f>IF(I58=0,0,IF(ISBLANK('Tank Loss 3'!C99),'Tank Loss 3'!C98,'Tank Loss 3'!C99))</f>
        <v>0</v>
      </c>
      <c r="J69" s="209">
        <f>IF(J58=0,0,IF(ISBLANK('Tank Loss 3'!D99),'Tank Loss 3'!D98,'Tank Loss 3'!D99))</f>
        <v>0</v>
      </c>
      <c r="K69" s="209">
        <f>IF(K58=0,0,IF(ISBLANK('Tank Loss 3'!E99),'Tank Loss 3'!E98,'Tank Loss 3'!E99))</f>
        <v>0</v>
      </c>
      <c r="L69" s="209">
        <f>IF(L58=0,0,IF(ISBLANK('Tank Loss 3'!F99),'Tank Loss 3'!F98,'Tank Loss 3'!F99))</f>
        <v>0</v>
      </c>
      <c r="M69" s="209">
        <f>IF(M58=0,0,IF(ISBLANK('Tank Loss 3'!G99),'Tank Loss 3'!G98,'Tank Loss 3'!G99))</f>
        <v>0</v>
      </c>
      <c r="N69" s="209">
        <f>IF(N58=0,0,IF(ISBLANK('Tank Loss 3'!H99),'Tank Loss 3'!H98,'Tank Loss 3'!H99))</f>
        <v>0</v>
      </c>
      <c r="O69" s="209">
        <f>IF(O58=0,0,IF(ISBLANK('Tank Loss 3'!I99),'Tank Loss 3'!I98,'Tank Loss 3'!I99))</f>
        <v>0</v>
      </c>
      <c r="P69" s="209">
        <f>IF(P58=0,0,IF(ISBLANK('Tank Loss 3'!J99),'Tank Loss 3'!J98,'Tank Loss 3'!J99))</f>
        <v>0</v>
      </c>
      <c r="Q69" s="209">
        <f>IF(Q58=0,0,IF(ISBLANK('Tank Loss 3'!K99),'Tank Loss 3'!K98,'Tank Loss 3'!K99))</f>
        <v>0</v>
      </c>
      <c r="R69" s="209">
        <f>IF(R58=0,0,IF(ISBLANK('Tank Loss 3'!L99),'Tank Loss 3'!L98,'Tank Loss 3'!L99))</f>
        <v>0</v>
      </c>
      <c r="S69" s="209">
        <f>IF(S58=0,0,IF(ISBLANK('Tank Loss 3'!M99),'Tank Loss 3'!M98,'Tank Loss 3'!M99))</f>
        <v>0</v>
      </c>
      <c r="T69" s="209">
        <f>IF(T58=0,0,IF(ISBLANK('Tank Loss 3'!N99),'Tank Loss 3'!N98,'Tank Loss 3'!N99))</f>
        <v>0</v>
      </c>
      <c r="U69" s="209">
        <f>IF(U58=0,0,IF(ISBLANK('Tank Loss 3'!O99),'Tank Loss 3'!O98,'Tank Loss 3'!O99))</f>
        <v>0</v>
      </c>
      <c r="V69" s="209">
        <f>IF(V58=0,0,IF(ISBLANK('Tank Loss 3'!P99),'Tank Loss 3'!P98,'Tank Loss 3'!P99))</f>
        <v>0</v>
      </c>
      <c r="W69" s="210"/>
    </row>
    <row r="70" spans="1:23" x14ac:dyDescent="0.2">
      <c r="A70" s="115" t="s">
        <v>9608</v>
      </c>
      <c r="B70" s="221">
        <f>'Tank Loss 1'!B274</f>
        <v>0</v>
      </c>
      <c r="C70" s="221">
        <f>'Tank Loss 2'!B274</f>
        <v>0</v>
      </c>
      <c r="D70" s="221">
        <f>'Tank Loss 3'!B274</f>
        <v>0</v>
      </c>
      <c r="E70" s="221">
        <f>'Tank Loss 4'!B274</f>
        <v>0</v>
      </c>
      <c r="F70" s="221">
        <f>'Tank Loss 5'!B274</f>
        <v>0</v>
      </c>
      <c r="G70" s="208" t="s">
        <v>9541</v>
      </c>
      <c r="H70" s="182">
        <f>IF(H58=0,0,IF(ISBLANK('Tank Loss 3'!B101),'Tank Loss 3'!B100,'Tank Loss 3'!B101))</f>
        <v>0</v>
      </c>
      <c r="I70" s="209">
        <f>IF(I58=0,0,IF(ISBLANK('Tank Loss 3'!C101),'Tank Loss 3'!C100,'Tank Loss 3'!C101))</f>
        <v>0</v>
      </c>
      <c r="J70" s="209">
        <f>IF(J58=0,0,IF(ISBLANK('Tank Loss 3'!D101),'Tank Loss 3'!D100,'Tank Loss 3'!D101))</f>
        <v>0</v>
      </c>
      <c r="K70" s="209">
        <f>IF(K58=0,0,IF(ISBLANK('Tank Loss 3'!E101),'Tank Loss 3'!E100,'Tank Loss 3'!E101))</f>
        <v>0</v>
      </c>
      <c r="L70" s="209">
        <f>IF(L58=0,0,IF(ISBLANK('Tank Loss 3'!F101),'Tank Loss 3'!F100,'Tank Loss 3'!F101))</f>
        <v>0</v>
      </c>
      <c r="M70" s="209">
        <f>IF(M58=0,0,IF(ISBLANK('Tank Loss 3'!G101),'Tank Loss 3'!G100,'Tank Loss 3'!G101))</f>
        <v>0</v>
      </c>
      <c r="N70" s="209">
        <f>IF(N58=0,0,IF(ISBLANK('Tank Loss 3'!H101),'Tank Loss 3'!H100,'Tank Loss 3'!H101))</f>
        <v>0</v>
      </c>
      <c r="O70" s="209">
        <f>IF(O58=0,0,IF(ISBLANK('Tank Loss 3'!I101),'Tank Loss 3'!I100,'Tank Loss 3'!I101))</f>
        <v>0</v>
      </c>
      <c r="P70" s="209">
        <f>IF(P58=0,0,IF(ISBLANK('Tank Loss 3'!J101),'Tank Loss 3'!J100,'Tank Loss 3'!J101))</f>
        <v>0</v>
      </c>
      <c r="Q70" s="209">
        <f>IF(Q58=0,0,IF(ISBLANK('Tank Loss 3'!K101),'Tank Loss 3'!K100,'Tank Loss 3'!K101))</f>
        <v>0</v>
      </c>
      <c r="R70" s="209">
        <f>IF(R58=0,0,IF(ISBLANK('Tank Loss 3'!L101),'Tank Loss 3'!L100,'Tank Loss 3'!L101))</f>
        <v>0</v>
      </c>
      <c r="S70" s="209">
        <f>IF(S58=0,0,IF(ISBLANK('Tank Loss 3'!M101),'Tank Loss 3'!M100,'Tank Loss 3'!M101))</f>
        <v>0</v>
      </c>
      <c r="T70" s="209">
        <f>IF(T58=0,0,IF(ISBLANK('Tank Loss 3'!N101),'Tank Loss 3'!N100,'Tank Loss 3'!N101))</f>
        <v>0</v>
      </c>
      <c r="U70" s="209">
        <f>IF(U58=0,0,IF(ISBLANK('Tank Loss 3'!O101),'Tank Loss 3'!O100,'Tank Loss 3'!O101))</f>
        <v>0</v>
      </c>
      <c r="V70" s="209">
        <f>IF(V58=0,0,IF(ISBLANK('Tank Loss 3'!P101),'Tank Loss 3'!P100,'Tank Loss 3'!P101))</f>
        <v>0</v>
      </c>
      <c r="W70" s="210"/>
    </row>
    <row r="71" spans="1:23" ht="13.5" thickBot="1" x14ac:dyDescent="0.25">
      <c r="A71" s="124" t="s">
        <v>9609</v>
      </c>
      <c r="B71" s="222">
        <f>'Tank Loss 1'!B275</f>
        <v>0</v>
      </c>
      <c r="C71" s="222">
        <f>'Tank Loss 2'!B275</f>
        <v>0</v>
      </c>
      <c r="D71" s="222">
        <f>'Tank Loss 3'!B275</f>
        <v>0</v>
      </c>
      <c r="E71" s="222">
        <f>'Tank Loss 4'!B275</f>
        <v>0</v>
      </c>
      <c r="F71" s="222">
        <f>'Tank Loss 5'!B275</f>
        <v>0</v>
      </c>
      <c r="G71" s="208" t="s">
        <v>9543</v>
      </c>
      <c r="H71" s="182">
        <f>IF(H58=0,0,IF(ISBLANK('Tank Loss 3'!B103),'Tank Loss 3'!B102,'Tank Loss 3'!B103))</f>
        <v>0</v>
      </c>
      <c r="I71" s="209">
        <f>IF(I58=0,0,IF(ISBLANK('Tank Loss 3'!C103),'Tank Loss 3'!C102,'Tank Loss 3'!C103))</f>
        <v>0</v>
      </c>
      <c r="J71" s="209">
        <f>IF(J58=0,0,IF(ISBLANK('Tank Loss 3'!D103),'Tank Loss 3'!D102,'Tank Loss 3'!D103))</f>
        <v>0</v>
      </c>
      <c r="K71" s="209">
        <f>IF(K58=0,0,IF(ISBLANK('Tank Loss 3'!E103),'Tank Loss 3'!E102,'Tank Loss 3'!E103))</f>
        <v>0</v>
      </c>
      <c r="L71" s="209">
        <f>IF(L58=0,0,IF(ISBLANK('Tank Loss 3'!F103),'Tank Loss 3'!F102,'Tank Loss 3'!F103))</f>
        <v>0</v>
      </c>
      <c r="M71" s="209">
        <f>IF(M58=0,0,IF(ISBLANK('Tank Loss 3'!G103),'Tank Loss 3'!G102,'Tank Loss 3'!G103))</f>
        <v>0</v>
      </c>
      <c r="N71" s="209">
        <f>IF(N58=0,0,IF(ISBLANK('Tank Loss 3'!H103),'Tank Loss 3'!H102,'Tank Loss 3'!H103))</f>
        <v>0</v>
      </c>
      <c r="O71" s="209">
        <f>IF(O58=0,0,IF(ISBLANK('Tank Loss 3'!I103),'Tank Loss 3'!I102,'Tank Loss 3'!I103))</f>
        <v>0</v>
      </c>
      <c r="P71" s="209">
        <f>IF(P58=0,0,IF(ISBLANK('Tank Loss 3'!J103),'Tank Loss 3'!J102,'Tank Loss 3'!J103))</f>
        <v>0</v>
      </c>
      <c r="Q71" s="209">
        <f>IF(Q58=0,0,IF(ISBLANK('Tank Loss 3'!K103),'Tank Loss 3'!K102,'Tank Loss 3'!K103))</f>
        <v>0</v>
      </c>
      <c r="R71" s="209">
        <f>IF(R58=0,0,IF(ISBLANK('Tank Loss 3'!L103),'Tank Loss 3'!L102,'Tank Loss 3'!L103))</f>
        <v>0</v>
      </c>
      <c r="S71" s="209">
        <f>IF(S58=0,0,IF(ISBLANK('Tank Loss 3'!M103),'Tank Loss 3'!M102,'Tank Loss 3'!M103))</f>
        <v>0</v>
      </c>
      <c r="T71" s="209">
        <f>IF(T58=0,0,IF(ISBLANK('Tank Loss 3'!N103),'Tank Loss 3'!N102,'Tank Loss 3'!N103))</f>
        <v>0</v>
      </c>
      <c r="U71" s="209">
        <f>IF(U58=0,0,IF(ISBLANK('Tank Loss 3'!O103),'Tank Loss 3'!O102,'Tank Loss 3'!O103))</f>
        <v>0</v>
      </c>
      <c r="V71" s="209">
        <f>IF(V58=0,0,IF(ISBLANK('Tank Loss 3'!P103),'Tank Loss 3'!P102,'Tank Loss 3'!P103))</f>
        <v>0</v>
      </c>
      <c r="W71" s="210"/>
    </row>
    <row r="72" spans="1:23" x14ac:dyDescent="0.2">
      <c r="A72" s="120" t="s">
        <v>9610</v>
      </c>
      <c r="B72" s="223" t="str">
        <f>IF('Tank Loss 1'!C143="Yes","Tight","Average")</f>
        <v>Average</v>
      </c>
      <c r="C72" s="223" t="str">
        <f>IF('Tank Loss 2'!C143="Yes","Tight","Average")</f>
        <v>Average</v>
      </c>
      <c r="D72" s="223" t="str">
        <f>IF('Tank Loss 3'!C143="Yes","Tight","Average")</f>
        <v>Average</v>
      </c>
      <c r="E72" s="223" t="str">
        <f>IF('Tank Loss 4'!C143="Yes","Tight","Average")</f>
        <v>Average</v>
      </c>
      <c r="F72" s="223" t="str">
        <f>IF('Tank Loss 5'!C143="Yes","Tight","Average")</f>
        <v>Average</v>
      </c>
      <c r="G72" s="208" t="s">
        <v>9544</v>
      </c>
      <c r="H72" s="182">
        <f>IF(H58=0,0,IF(ISBLANK('Tank Loss 3'!B105),'Tank Loss 3'!B104,'Tank Loss 3'!B105))</f>
        <v>0</v>
      </c>
      <c r="I72" s="209">
        <f>IF(I58=0,0,IF(ISBLANK('Tank Loss 3'!C105),'Tank Loss 3'!C104,'Tank Loss 3'!C105))</f>
        <v>0</v>
      </c>
      <c r="J72" s="209">
        <f>IF(J58=0,0,IF(ISBLANK('Tank Loss 3'!D105),'Tank Loss 3'!D104,'Tank Loss 3'!D105))</f>
        <v>0</v>
      </c>
      <c r="K72" s="209">
        <f>IF(K58=0,0,IF(ISBLANK('Tank Loss 3'!E105),'Tank Loss 3'!E104,'Tank Loss 3'!E105))</f>
        <v>0</v>
      </c>
      <c r="L72" s="209">
        <f>IF(L58=0,0,IF(ISBLANK('Tank Loss 3'!F105),'Tank Loss 3'!F104,'Tank Loss 3'!F105))</f>
        <v>0</v>
      </c>
      <c r="M72" s="209">
        <f>IF(M58=0,0,IF(ISBLANK('Tank Loss 3'!G105),'Tank Loss 3'!G104,'Tank Loss 3'!G105))</f>
        <v>0</v>
      </c>
      <c r="N72" s="209">
        <f>IF(N58=0,0,IF(ISBLANK('Tank Loss 3'!H105),'Tank Loss 3'!H104,'Tank Loss 3'!H105))</f>
        <v>0</v>
      </c>
      <c r="O72" s="209">
        <f>IF(O58=0,0,IF(ISBLANK('Tank Loss 3'!I105),'Tank Loss 3'!I104,'Tank Loss 3'!I105))</f>
        <v>0</v>
      </c>
      <c r="P72" s="209">
        <f>IF(P58=0,0,IF(ISBLANK('Tank Loss 3'!J105),'Tank Loss 3'!J104,'Tank Loss 3'!J105))</f>
        <v>0</v>
      </c>
      <c r="Q72" s="209">
        <f>IF(Q58=0,0,IF(ISBLANK('Tank Loss 3'!K105),'Tank Loss 3'!K104,'Tank Loss 3'!K105))</f>
        <v>0</v>
      </c>
      <c r="R72" s="209">
        <f>IF(R58=0,0,IF(ISBLANK('Tank Loss 3'!L105),'Tank Loss 3'!L104,'Tank Loss 3'!L105))</f>
        <v>0</v>
      </c>
      <c r="S72" s="209">
        <f>IF(S58=0,0,IF(ISBLANK('Tank Loss 3'!M105),'Tank Loss 3'!M104,'Tank Loss 3'!M105))</f>
        <v>0</v>
      </c>
      <c r="T72" s="209">
        <f>IF(T58=0,0,IF(ISBLANK('Tank Loss 3'!N105),'Tank Loss 3'!N104,'Tank Loss 3'!N105))</f>
        <v>0</v>
      </c>
      <c r="U72" s="209">
        <f>IF(U58=0,0,IF(ISBLANK('Tank Loss 3'!O105),'Tank Loss 3'!O104,'Tank Loss 3'!O105))</f>
        <v>0</v>
      </c>
      <c r="V72" s="209">
        <f>IF(V58=0,0,IF(ISBLANK('Tank Loss 3'!P105),'Tank Loss 3'!P104,'Tank Loss 3'!P105))</f>
        <v>0</v>
      </c>
      <c r="W72" s="210"/>
    </row>
    <row r="73" spans="1:23" x14ac:dyDescent="0.2">
      <c r="A73" s="113" t="s">
        <v>9611</v>
      </c>
      <c r="B73" s="119">
        <f>IF(ISBLANK('Tank Loss 1'!C144),'Tank Loss 1'!B144,'Tank Loss 1'!C144)</f>
        <v>0</v>
      </c>
      <c r="C73" s="119">
        <f>IF(ISBLANK('Tank Loss 2'!C144),'Tank Loss 2'!B144,'Tank Loss 2'!C144)</f>
        <v>0</v>
      </c>
      <c r="D73" s="119">
        <f>IF(ISBLANK('Tank Loss 3'!C144),'Tank Loss 3'!B144,'Tank Loss 3'!C144)</f>
        <v>0</v>
      </c>
      <c r="E73" s="119">
        <f>IF(ISBLANK('Tank Loss 4'!C144),'Tank Loss 4'!B144,'Tank Loss 4'!C144)</f>
        <v>0</v>
      </c>
      <c r="F73" s="119">
        <f>IF(ISBLANK('Tank Loss 5'!C144),'Tank Loss 5'!B144,'Tank Loss 5'!C144)</f>
        <v>0</v>
      </c>
      <c r="G73" s="208" t="s">
        <v>9545</v>
      </c>
      <c r="H73" s="182">
        <f>EXP(H69-(((H70*1.8)+491.67)/$D$42))</f>
        <v>0.34314054666570826</v>
      </c>
      <c r="I73" s="209">
        <f t="shared" ref="I73:V73" si="14">EXP(I69-(((I70*1.8)+491.67)/$D$42))</f>
        <v>0.34314054666570826</v>
      </c>
      <c r="J73" s="209">
        <f t="shared" si="14"/>
        <v>0.34314054666570826</v>
      </c>
      <c r="K73" s="209">
        <f t="shared" si="14"/>
        <v>0.34314054666570826</v>
      </c>
      <c r="L73" s="209">
        <f t="shared" si="14"/>
        <v>0.34314054666570826</v>
      </c>
      <c r="M73" s="209">
        <f t="shared" si="14"/>
        <v>0.34314054666570826</v>
      </c>
      <c r="N73" s="209">
        <f t="shared" si="14"/>
        <v>0.34314054666570826</v>
      </c>
      <c r="O73" s="209">
        <f t="shared" si="14"/>
        <v>0.34314054666570826</v>
      </c>
      <c r="P73" s="209">
        <f t="shared" si="14"/>
        <v>0.34314054666570826</v>
      </c>
      <c r="Q73" s="209">
        <f t="shared" si="14"/>
        <v>0.34314054666570826</v>
      </c>
      <c r="R73" s="209">
        <f t="shared" si="14"/>
        <v>0.34314054666570826</v>
      </c>
      <c r="S73" s="209">
        <f t="shared" si="14"/>
        <v>0.34314054666570826</v>
      </c>
      <c r="T73" s="209">
        <f t="shared" si="14"/>
        <v>0.34314054666570826</v>
      </c>
      <c r="U73" s="209">
        <f t="shared" si="14"/>
        <v>0.34314054666570826</v>
      </c>
      <c r="V73" s="209">
        <f t="shared" si="14"/>
        <v>0.34314054666570826</v>
      </c>
      <c r="W73" s="210"/>
    </row>
    <row r="74" spans="1:23" x14ac:dyDescent="0.2">
      <c r="A74" s="109" t="s">
        <v>9612</v>
      </c>
      <c r="B74" s="110">
        <f>IF(ISBLANK('Tank Loss 1'!C145),'Tank Loss 1'!B145,'Tank Loss 1'!C145)</f>
        <v>0</v>
      </c>
      <c r="C74" s="110">
        <f>IF(ISBLANK('Tank Loss 2'!C145),'Tank Loss 2'!B145,'Tank Loss 2'!C145)</f>
        <v>0</v>
      </c>
      <c r="D74" s="110">
        <f>IF(ISBLANK('Tank Loss 3'!C145),'Tank Loss 3'!B145,'Tank Loss 3'!C145)</f>
        <v>0</v>
      </c>
      <c r="E74" s="110">
        <f>IF(ISBLANK('Tank Loss 4'!C145),'Tank Loss 4'!B145,'Tank Loss 4'!C145)</f>
        <v>0</v>
      </c>
      <c r="F74" s="110">
        <f>IF(ISBLANK('Tank Loss 5'!C145),'Tank Loss 5'!B145,'Tank Loss 5'!C145)</f>
        <v>0</v>
      </c>
      <c r="G74" s="208" t="s">
        <v>9546</v>
      </c>
      <c r="H74" s="212">
        <f>IF(H58=0,0,'Tank Loss 3'!B112)</f>
        <v>0</v>
      </c>
      <c r="I74" s="213">
        <f>IF(I58=0,0,'Tank Loss 3'!C112)</f>
        <v>0</v>
      </c>
      <c r="J74" s="213">
        <f>IF(J58=0,0,'Tank Loss 3'!D112)</f>
        <v>0</v>
      </c>
      <c r="K74" s="213">
        <f>IF(K58=0,0,'Tank Loss 3'!E112)</f>
        <v>0</v>
      </c>
      <c r="L74" s="213">
        <f>IF(L58=0,0,'Tank Loss 3'!F112)</f>
        <v>0</v>
      </c>
      <c r="M74" s="213">
        <f>IF(M58=0,0,'Tank Loss 3'!G112)</f>
        <v>0</v>
      </c>
      <c r="N74" s="213">
        <f>IF(N58=0,0,'Tank Loss 3'!H112)</f>
        <v>0</v>
      </c>
      <c r="O74" s="213">
        <f>IF(O58=0,0,'Tank Loss 3'!I112)</f>
        <v>0</v>
      </c>
      <c r="P74" s="213">
        <f>IF(P58=0,0,'Tank Loss 3'!J112)</f>
        <v>0</v>
      </c>
      <c r="Q74" s="213">
        <f>IF(Q58=0,0,'Tank Loss 3'!K112)</f>
        <v>0</v>
      </c>
      <c r="R74" s="213">
        <f>IF(R58=0,0,'Tank Loss 3'!L112)</f>
        <v>0</v>
      </c>
      <c r="S74" s="213">
        <f>IF(S58=0,0,'Tank Loss 3'!M112)</f>
        <v>0</v>
      </c>
      <c r="T74" s="213">
        <f>IF(T58=0,0,'Tank Loss 3'!N112)</f>
        <v>0</v>
      </c>
      <c r="U74" s="213">
        <f>IF(U58=0,0,'Tank Loss 3'!O112)</f>
        <v>0</v>
      </c>
      <c r="V74" s="213">
        <f>IF(V58=0,0,'Tank Loss 3'!P112)</f>
        <v>0</v>
      </c>
      <c r="W74" s="214">
        <f t="shared" ref="W74:W79" si="15">SUM(H74:Q74)</f>
        <v>0</v>
      </c>
    </row>
    <row r="75" spans="1:23" x14ac:dyDescent="0.2">
      <c r="A75" s="109" t="s">
        <v>9613</v>
      </c>
      <c r="B75" s="110">
        <f>IF(ISBLANK('Tank Loss 1'!C146),'Tank Loss 1'!B146,'Tank Loss 1'!C146)</f>
        <v>0</v>
      </c>
      <c r="C75" s="110">
        <f>IF(ISBLANK('Tank Loss 2'!C146),'Tank Loss 2'!B146,'Tank Loss 2'!C146)</f>
        <v>0</v>
      </c>
      <c r="D75" s="110">
        <f>IF(ISBLANK('Tank Loss 3'!C146),'Tank Loss 3'!B146,'Tank Loss 3'!C146)</f>
        <v>0</v>
      </c>
      <c r="E75" s="110">
        <f>IF(ISBLANK('Tank Loss 4'!C146),'Tank Loss 4'!B146,'Tank Loss 4'!C146)</f>
        <v>0</v>
      </c>
      <c r="F75" s="110">
        <f>IF(ISBLANK('Tank Loss 5'!C146),'Tank Loss 5'!B146,'Tank Loss 5'!C146)</f>
        <v>0</v>
      </c>
      <c r="G75" s="208" t="s">
        <v>9548</v>
      </c>
      <c r="H75" s="212">
        <f>IF(H58=0,0,'Tank Loss 3'!B113)</f>
        <v>0</v>
      </c>
      <c r="I75" s="213">
        <f>IF(I58=0,0,'Tank Loss 3'!C113)</f>
        <v>0</v>
      </c>
      <c r="J75" s="213">
        <f>IF(J58=0,0,'Tank Loss 3'!D113)</f>
        <v>0</v>
      </c>
      <c r="K75" s="213">
        <f>IF(K58=0,0,'Tank Loss 3'!E113)</f>
        <v>0</v>
      </c>
      <c r="L75" s="213">
        <f>IF(L58=0,0,'Tank Loss 3'!F113)</f>
        <v>0</v>
      </c>
      <c r="M75" s="213">
        <f>IF(M58=0,0,'Tank Loss 3'!G113)</f>
        <v>0</v>
      </c>
      <c r="N75" s="213">
        <f>IF(N58=0,0,'Tank Loss 3'!H113)</f>
        <v>0</v>
      </c>
      <c r="O75" s="213">
        <f>IF(O58=0,0,'Tank Loss 3'!I113)</f>
        <v>0</v>
      </c>
      <c r="P75" s="213">
        <f>IF(P58=0,0,'Tank Loss 3'!J113)</f>
        <v>0</v>
      </c>
      <c r="Q75" s="213">
        <f>IF(Q58=0,0,'Tank Loss 3'!K113)</f>
        <v>0</v>
      </c>
      <c r="R75" s="213">
        <f>IF(R58=0,0,'Tank Loss 3'!L113)</f>
        <v>0</v>
      </c>
      <c r="S75" s="213">
        <f>IF(S58=0,0,'Tank Loss 3'!M113)</f>
        <v>0</v>
      </c>
      <c r="T75" s="213">
        <f>IF(T58=0,0,'Tank Loss 3'!N113)</f>
        <v>0</v>
      </c>
      <c r="U75" s="213">
        <f>IF(U58=0,0,'Tank Loss 3'!O113)</f>
        <v>0</v>
      </c>
      <c r="V75" s="213">
        <f>IF(V58=0,0,'Tank Loss 3'!P113)</f>
        <v>0</v>
      </c>
      <c r="W75" s="214">
        <f t="shared" si="15"/>
        <v>0</v>
      </c>
    </row>
    <row r="76" spans="1:23" x14ac:dyDescent="0.2">
      <c r="A76" s="109" t="s">
        <v>9602</v>
      </c>
      <c r="B76" s="110">
        <f>IF(ISBLANK('Tank Loss 1'!C147),'Tank Loss 1'!B147,'Tank Loss 1'!C147)</f>
        <v>0</v>
      </c>
      <c r="C76" s="110">
        <f>IF(ISBLANK('Tank Loss 2'!C147),'Tank Loss 2'!B147,'Tank Loss 2'!C147)</f>
        <v>0</v>
      </c>
      <c r="D76" s="110">
        <f>IF(ISBLANK('Tank Loss 3'!C147),'Tank Loss 3'!B147,'Tank Loss 3'!C147)</f>
        <v>0</v>
      </c>
      <c r="E76" s="110">
        <f>IF(ISBLANK('Tank Loss 4'!C147),'Tank Loss 4'!B147,'Tank Loss 4'!C147)</f>
        <v>0</v>
      </c>
      <c r="F76" s="110">
        <f>IF(ISBLANK('Tank Loss 5'!C147),'Tank Loss 5'!B147,'Tank Loss 5'!C147)</f>
        <v>0</v>
      </c>
      <c r="G76" s="208" t="s">
        <v>9550</v>
      </c>
      <c r="H76" s="182">
        <f>IF(H58=0,0,'Tank Loss 3'!B114)</f>
        <v>0</v>
      </c>
      <c r="I76" s="209">
        <f>IF(I58=0,0,'Tank Loss 3'!C114)</f>
        <v>0</v>
      </c>
      <c r="J76" s="209">
        <f>IF(J58=0,0,'Tank Loss 3'!D114)</f>
        <v>0</v>
      </c>
      <c r="K76" s="209">
        <f>IF(K58=0,0,'Tank Loss 3'!E114)</f>
        <v>0</v>
      </c>
      <c r="L76" s="209">
        <f>IF(L58=0,0,'Tank Loss 3'!F114)</f>
        <v>0</v>
      </c>
      <c r="M76" s="209">
        <f>IF(M58=0,0,'Tank Loss 3'!G114)</f>
        <v>0</v>
      </c>
      <c r="N76" s="209">
        <f>IF(N58=0,0,'Tank Loss 3'!H114)</f>
        <v>0</v>
      </c>
      <c r="O76" s="209">
        <f>IF(O58=0,0,'Tank Loss 3'!I114)</f>
        <v>0</v>
      </c>
      <c r="P76" s="209">
        <f>IF(P58=0,0,'Tank Loss 3'!J114)</f>
        <v>0</v>
      </c>
      <c r="Q76" s="209">
        <f>IF(Q58=0,0,'Tank Loss 3'!K114)</f>
        <v>0</v>
      </c>
      <c r="R76" s="209">
        <f>IF(R58=0,0,'Tank Loss 3'!L114)</f>
        <v>0</v>
      </c>
      <c r="S76" s="209">
        <f>IF(S58=0,0,'Tank Loss 3'!M114)</f>
        <v>0</v>
      </c>
      <c r="T76" s="209">
        <f>IF(T58=0,0,'Tank Loss 3'!N114)</f>
        <v>0</v>
      </c>
      <c r="U76" s="209">
        <f>IF(U58=0,0,'Tank Loss 3'!O114)</f>
        <v>0</v>
      </c>
      <c r="V76" s="209">
        <f>IF(V58=0,0,'Tank Loss 3'!P114)</f>
        <v>0</v>
      </c>
      <c r="W76" s="184">
        <f t="shared" si="15"/>
        <v>0</v>
      </c>
    </row>
    <row r="77" spans="1:23" x14ac:dyDescent="0.2">
      <c r="A77" s="109" t="s">
        <v>9614</v>
      </c>
      <c r="B77" s="110">
        <f>IF(ISBLANK('Tank Loss 1'!C148),'Tank Loss 1'!B148,'Tank Loss 1'!C148)</f>
        <v>0</v>
      </c>
      <c r="C77" s="110">
        <f>IF(ISBLANK('Tank Loss 2'!C148),'Tank Loss 2'!B148,'Tank Loss 2'!C148)</f>
        <v>0</v>
      </c>
      <c r="D77" s="110">
        <f>IF(ISBLANK('Tank Loss 3'!C148),'Tank Loss 3'!B148,'Tank Loss 3'!C148)</f>
        <v>0</v>
      </c>
      <c r="E77" s="110">
        <f>IF(ISBLANK('Tank Loss 4'!C148),'Tank Loss 4'!B148,'Tank Loss 4'!C148)</f>
        <v>0</v>
      </c>
      <c r="F77" s="110">
        <f>IF(ISBLANK('Tank Loss 5'!C148),'Tank Loss 5'!B148,'Tank Loss 5'!C148)</f>
        <v>0</v>
      </c>
      <c r="G77" s="208" t="s">
        <v>9552</v>
      </c>
      <c r="H77" s="182">
        <f>H76*H64</f>
        <v>0</v>
      </c>
      <c r="I77" s="209">
        <f t="shared" ref="I77:V77" si="16">I76*I64</f>
        <v>0</v>
      </c>
      <c r="J77" s="209">
        <f t="shared" si="16"/>
        <v>0</v>
      </c>
      <c r="K77" s="209">
        <f t="shared" si="16"/>
        <v>0</v>
      </c>
      <c r="L77" s="209">
        <f t="shared" si="16"/>
        <v>0</v>
      </c>
      <c r="M77" s="209">
        <f t="shared" si="16"/>
        <v>0</v>
      </c>
      <c r="N77" s="209">
        <f t="shared" si="16"/>
        <v>0</v>
      </c>
      <c r="O77" s="209">
        <f t="shared" si="16"/>
        <v>0</v>
      </c>
      <c r="P77" s="209">
        <f t="shared" si="16"/>
        <v>0</v>
      </c>
      <c r="Q77" s="209">
        <f t="shared" si="16"/>
        <v>0</v>
      </c>
      <c r="R77" s="209">
        <f t="shared" si="16"/>
        <v>0</v>
      </c>
      <c r="S77" s="209">
        <f t="shared" si="16"/>
        <v>0</v>
      </c>
      <c r="T77" s="209">
        <f t="shared" si="16"/>
        <v>0</v>
      </c>
      <c r="U77" s="209">
        <f t="shared" si="16"/>
        <v>0</v>
      </c>
      <c r="V77" s="209">
        <f t="shared" si="16"/>
        <v>0</v>
      </c>
      <c r="W77" s="184">
        <f t="shared" si="15"/>
        <v>0</v>
      </c>
    </row>
    <row r="78" spans="1:23" x14ac:dyDescent="0.2">
      <c r="A78" s="109" t="s">
        <v>9615</v>
      </c>
      <c r="B78" s="110">
        <f>IF(ISBLANK('Tank Loss 1'!C149),'Tank Loss 1'!B149,'Tank Loss 1'!C149)</f>
        <v>0</v>
      </c>
      <c r="C78" s="110">
        <f>IF(ISBLANK('Tank Loss 2'!C149),'Tank Loss 2'!B149,'Tank Loss 2'!C149)</f>
        <v>0</v>
      </c>
      <c r="D78" s="110">
        <f>IF(ISBLANK('Tank Loss 3'!C149),'Tank Loss 3'!B149,'Tank Loss 3'!C149)</f>
        <v>0</v>
      </c>
      <c r="E78" s="110">
        <f>IF(ISBLANK('Tank Loss 4'!C149),'Tank Loss 4'!B149,'Tank Loss 4'!C149)</f>
        <v>0</v>
      </c>
      <c r="F78" s="110">
        <f>IF(ISBLANK('Tank Loss 5'!C149),'Tank Loss 5'!B149,'Tank Loss 5'!C149)</f>
        <v>0</v>
      </c>
      <c r="G78" s="208" t="s">
        <v>9554</v>
      </c>
      <c r="H78" s="182">
        <f t="shared" ref="H78:V78" si="17">IFERROR(H77/$W77,0)</f>
        <v>0</v>
      </c>
      <c r="I78" s="209">
        <f t="shared" si="17"/>
        <v>0</v>
      </c>
      <c r="J78" s="209">
        <f t="shared" si="17"/>
        <v>0</v>
      </c>
      <c r="K78" s="209">
        <f t="shared" si="17"/>
        <v>0</v>
      </c>
      <c r="L78" s="209">
        <f t="shared" si="17"/>
        <v>0</v>
      </c>
      <c r="M78" s="209">
        <f t="shared" si="17"/>
        <v>0</v>
      </c>
      <c r="N78" s="209">
        <f t="shared" si="17"/>
        <v>0</v>
      </c>
      <c r="O78" s="209">
        <f t="shared" si="17"/>
        <v>0</v>
      </c>
      <c r="P78" s="209">
        <f t="shared" si="17"/>
        <v>0</v>
      </c>
      <c r="Q78" s="209">
        <f t="shared" si="17"/>
        <v>0</v>
      </c>
      <c r="R78" s="209">
        <f t="shared" si="17"/>
        <v>0</v>
      </c>
      <c r="S78" s="209">
        <f t="shared" si="17"/>
        <v>0</v>
      </c>
      <c r="T78" s="209">
        <f t="shared" si="17"/>
        <v>0</v>
      </c>
      <c r="U78" s="209">
        <f t="shared" si="17"/>
        <v>0</v>
      </c>
      <c r="V78" s="209">
        <f t="shared" si="17"/>
        <v>0</v>
      </c>
      <c r="W78" s="184">
        <f t="shared" si="15"/>
        <v>0</v>
      </c>
    </row>
    <row r="79" spans="1:23" x14ac:dyDescent="0.2">
      <c r="A79" s="109" t="s">
        <v>9616</v>
      </c>
      <c r="B79" s="110">
        <f>(B51*B61)/(10.731*B49)</f>
        <v>0</v>
      </c>
      <c r="C79" s="110">
        <f>(C51*C61)/(10.731*C49)</f>
        <v>0</v>
      </c>
      <c r="D79" s="110">
        <f>(D51*D61)/(10.731*D49)</f>
        <v>0</v>
      </c>
      <c r="E79" s="110">
        <f>(E51*E61)/(10.731*E49)</f>
        <v>0</v>
      </c>
      <c r="F79" s="110">
        <f>(F51*F61)/(10.731*F49)</f>
        <v>0</v>
      </c>
      <c r="G79" s="208" t="s">
        <v>9556</v>
      </c>
      <c r="H79" s="182" t="str">
        <f>'Tank Loss 3'!B115</f>
        <v/>
      </c>
      <c r="I79" s="209" t="str">
        <f>'Tank Loss 3'!C115</f>
        <v/>
      </c>
      <c r="J79" s="209" t="str">
        <f>'Tank Loss 3'!D115</f>
        <v/>
      </c>
      <c r="K79" s="209" t="str">
        <f>'Tank Loss 3'!E115</f>
        <v/>
      </c>
      <c r="L79" s="209" t="str">
        <f>'Tank Loss 3'!F115</f>
        <v/>
      </c>
      <c r="M79" s="209" t="str">
        <f>'Tank Loss 3'!G115</f>
        <v/>
      </c>
      <c r="N79" s="209" t="str">
        <f>'Tank Loss 3'!H115</f>
        <v/>
      </c>
      <c r="O79" s="209" t="str">
        <f>'Tank Loss 3'!I115</f>
        <v/>
      </c>
      <c r="P79" s="209" t="str">
        <f>'Tank Loss 3'!J115</f>
        <v/>
      </c>
      <c r="Q79" s="209" t="str">
        <f>'Tank Loss 3'!K115</f>
        <v/>
      </c>
      <c r="R79" s="209" t="str">
        <f>'Tank Loss 3'!L115</f>
        <v/>
      </c>
      <c r="S79" s="209" t="str">
        <f>'Tank Loss 3'!M115</f>
        <v/>
      </c>
      <c r="T79" s="209" t="str">
        <f>'Tank Loss 3'!N115</f>
        <v/>
      </c>
      <c r="U79" s="209" t="str">
        <f>'Tank Loss 3'!O115</f>
        <v/>
      </c>
      <c r="V79" s="209" t="str">
        <f>'Tank Loss 3'!P115</f>
        <v/>
      </c>
      <c r="W79" s="214">
        <f t="shared" si="15"/>
        <v>0</v>
      </c>
    </row>
    <row r="80" spans="1:23" ht="15.75" x14ac:dyDescent="0.3">
      <c r="A80" s="111" t="s">
        <v>9617</v>
      </c>
      <c r="B80" s="110">
        <f>IF(ISBLANK('Tank Loss 1'!C151),'Tank Loss 1'!B151,'Tank Loss 1'!C151)</f>
        <v>0</v>
      </c>
      <c r="C80" s="110">
        <f>IF(ISBLANK('Tank Loss 2'!C151),'Tank Loss 2'!B151,'Tank Loss 2'!C151)</f>
        <v>0</v>
      </c>
      <c r="D80" s="110">
        <f>IF(ISBLANK('Tank Loss 3'!C151),'Tank Loss 3'!B151,'Tank Loss 3'!C151)</f>
        <v>0</v>
      </c>
      <c r="E80" s="110">
        <f>IF(ISBLANK('Tank Loss 4'!C151),'Tank Loss 4'!B151,'Tank Loss 4'!C151)</f>
        <v>0</v>
      </c>
      <c r="F80" s="110">
        <f>IF(ISBLANK('Tank Loss 5'!C151),'Tank Loss 5'!B151,'Tank Loss 5'!C151)</f>
        <v>0</v>
      </c>
      <c r="G80" s="208" t="s">
        <v>9558</v>
      </c>
      <c r="H80" s="182" t="str">
        <f>'Tank Loss 3'!B116</f>
        <v/>
      </c>
      <c r="I80" s="209" t="str">
        <f>'Tank Loss 3'!C116</f>
        <v/>
      </c>
      <c r="J80" s="209" t="str">
        <f>'Tank Loss 3'!D116</f>
        <v/>
      </c>
      <c r="K80" s="209" t="str">
        <f>'Tank Loss 3'!E116</f>
        <v/>
      </c>
      <c r="L80" s="209" t="str">
        <f>'Tank Loss 3'!F116</f>
        <v/>
      </c>
      <c r="M80" s="209" t="str">
        <f>'Tank Loss 3'!G116</f>
        <v/>
      </c>
      <c r="N80" s="209" t="str">
        <f>'Tank Loss 3'!H116</f>
        <v/>
      </c>
      <c r="O80" s="209" t="str">
        <f>'Tank Loss 3'!I116</f>
        <v/>
      </c>
      <c r="P80" s="209" t="str">
        <f>'Tank Loss 3'!J116</f>
        <v/>
      </c>
      <c r="Q80" s="209" t="str">
        <f>'Tank Loss 3'!K116</f>
        <v/>
      </c>
      <c r="R80" s="209" t="str">
        <f>'Tank Loss 3'!L116</f>
        <v/>
      </c>
      <c r="S80" s="209" t="str">
        <f>'Tank Loss 3'!M116</f>
        <v/>
      </c>
      <c r="T80" s="209" t="str">
        <f>'Tank Loss 3'!N116</f>
        <v/>
      </c>
      <c r="U80" s="209" t="str">
        <f>'Tank Loss 3'!O116</f>
        <v/>
      </c>
      <c r="V80" s="209" t="str">
        <f>'Tank Loss 3'!P116</f>
        <v/>
      </c>
      <c r="W80" s="184">
        <f>SUM(H80:Q80)</f>
        <v>0</v>
      </c>
    </row>
    <row r="81" spans="1:23" ht="16.5" thickBot="1" x14ac:dyDescent="0.35">
      <c r="A81" s="111" t="s">
        <v>9950</v>
      </c>
      <c r="B81" s="110">
        <f>IF(ISBLANK('Tank Loss 1'!C152),'Tank Loss 1'!B152,'Tank Loss 1'!C152)</f>
        <v>1</v>
      </c>
      <c r="C81" s="110">
        <f>IF(ISBLANK('Tank Loss 2'!C152),'Tank Loss 2'!B152,'Tank Loss 2'!C152)</f>
        <v>1</v>
      </c>
      <c r="D81" s="110">
        <f>IF(ISBLANK('Tank Loss 3'!C152),'Tank Loss 3'!B152,'Tank Loss 3'!C152)</f>
        <v>1</v>
      </c>
      <c r="E81" s="110">
        <f>IF(ISBLANK('Tank Loss 4'!C152),'Tank Loss 4'!B152,'Tank Loss 4'!C152)</f>
        <v>1</v>
      </c>
      <c r="F81" s="110">
        <f>IF(ISBLANK('Tank Loss 5'!C152),'Tank Loss 5'!B152,'Tank Loss 5'!C152)</f>
        <v>1</v>
      </c>
      <c r="G81" s="216" t="s">
        <v>9560</v>
      </c>
      <c r="H81" s="188" t="str">
        <f>'Tank Loss 3'!B117</f>
        <v/>
      </c>
      <c r="I81" s="217" t="str">
        <f>'Tank Loss 3'!C117</f>
        <v/>
      </c>
      <c r="J81" s="217" t="str">
        <f>'Tank Loss 3'!D117</f>
        <v/>
      </c>
      <c r="K81" s="217" t="str">
        <f>'Tank Loss 3'!E117</f>
        <v/>
      </c>
      <c r="L81" s="217" t="str">
        <f>'Tank Loss 3'!F117</f>
        <v/>
      </c>
      <c r="M81" s="217" t="str">
        <f>'Tank Loss 3'!G117</f>
        <v/>
      </c>
      <c r="N81" s="217" t="str">
        <f>'Tank Loss 3'!H117</f>
        <v/>
      </c>
      <c r="O81" s="217" t="str">
        <f>'Tank Loss 3'!I117</f>
        <v/>
      </c>
      <c r="P81" s="217" t="str">
        <f>'Tank Loss 3'!J117</f>
        <v/>
      </c>
      <c r="Q81" s="217" t="str">
        <f>'Tank Loss 3'!K117</f>
        <v/>
      </c>
      <c r="R81" s="217" t="str">
        <f>'Tank Loss 3'!L117</f>
        <v/>
      </c>
      <c r="S81" s="217" t="str">
        <f>'Tank Loss 3'!M117</f>
        <v/>
      </c>
      <c r="T81" s="217" t="str">
        <f>'Tank Loss 3'!N117</f>
        <v/>
      </c>
      <c r="U81" s="217" t="str">
        <f>'Tank Loss 3'!O117</f>
        <v/>
      </c>
      <c r="V81" s="217" t="str">
        <f>'Tank Loss 3'!P117</f>
        <v/>
      </c>
      <c r="W81" s="191">
        <f>SUM(H81:Q81)</f>
        <v>0</v>
      </c>
    </row>
    <row r="82" spans="1:23" ht="16.5" thickBot="1" x14ac:dyDescent="0.35">
      <c r="A82" s="112" t="s">
        <v>9951</v>
      </c>
      <c r="B82" s="110">
        <f>IF(ISBLANK('Tank Loss 1'!C153),'Tank Loss 1'!B153,'Tank Loss 1'!C153)</f>
        <v>1</v>
      </c>
      <c r="C82" s="110">
        <f>IF(ISBLANK('Tank Loss 2'!C153),'Tank Loss 2'!B153,'Tank Loss 2'!C153)</f>
        <v>1</v>
      </c>
      <c r="D82" s="110">
        <f>IF(ISBLANK('Tank Loss 3'!C153),'Tank Loss 3'!B153,'Tank Loss 3'!C153)</f>
        <v>1</v>
      </c>
      <c r="E82" s="110">
        <f>IF(ISBLANK('Tank Loss 4'!C153),'Tank Loss 4'!B153,'Tank Loss 4'!C153)</f>
        <v>1</v>
      </c>
      <c r="F82" s="110">
        <f>IF(ISBLANK('Tank Loss 5'!C153),'Tank Loss 5'!B153,'Tank Loss 5'!C153)</f>
        <v>1</v>
      </c>
    </row>
    <row r="83" spans="1:23" ht="16.5" thickBot="1" x14ac:dyDescent="0.35">
      <c r="A83" s="109" t="s">
        <v>9952</v>
      </c>
      <c r="B83" s="110">
        <f>IF(ISBLANK('Tank Loss 1'!C154),'Tank Loss 1'!B154,'Tank Loss 1'!C154)</f>
        <v>0</v>
      </c>
      <c r="C83" s="110">
        <f>IF(ISBLANK('Tank Loss 2'!C154),'Tank Loss 2'!B154,'Tank Loss 2'!C154)</f>
        <v>0</v>
      </c>
      <c r="D83" s="110">
        <f>IF(ISBLANK('Tank Loss 3'!C154),'Tank Loss 3'!B154,'Tank Loss 3'!C154)</f>
        <v>0</v>
      </c>
      <c r="E83" s="110">
        <f>IF(ISBLANK('Tank Loss 4'!C154),'Tank Loss 4'!B154,'Tank Loss 4'!C154)</f>
        <v>0</v>
      </c>
      <c r="F83" s="110">
        <f>IF(ISBLANK('Tank Loss 5'!C154),'Tank Loss 5'!B154,'Tank Loss 5'!C154)</f>
        <v>0</v>
      </c>
      <c r="G83" s="1384" t="s">
        <v>9979</v>
      </c>
      <c r="H83" s="1384"/>
      <c r="I83" s="1384"/>
      <c r="J83" s="1384"/>
      <c r="K83" s="1384"/>
      <c r="L83" s="1384"/>
      <c r="M83" s="1384"/>
      <c r="N83" s="1384"/>
      <c r="O83" s="1384"/>
      <c r="P83" s="1384"/>
      <c r="Q83" s="1384"/>
      <c r="R83" s="1384"/>
      <c r="S83" s="1384"/>
      <c r="T83" s="1384"/>
      <c r="U83" s="1384"/>
      <c r="V83" s="1384"/>
      <c r="W83" s="1385"/>
    </row>
    <row r="84" spans="1:23" ht="16.5" thickBot="1" x14ac:dyDescent="0.35">
      <c r="A84" s="109" t="s">
        <v>9953</v>
      </c>
      <c r="B84" s="110">
        <f>IF(ISBLANK('Tank Loss 1'!C182),'Tank Loss 1'!B182,'Tank Loss 1'!C182)</f>
        <v>0</v>
      </c>
      <c r="C84" s="110">
        <f>IF(ISBLANK('Tank Loss 2'!C182),'Tank Loss 2'!B182,'Tank Loss 2'!C182)</f>
        <v>0</v>
      </c>
      <c r="D84" s="110">
        <f>IF(ISBLANK('Tank Loss 3'!C182),'Tank Loss 3'!B182,'Tank Loss 3'!C182)</f>
        <v>0</v>
      </c>
      <c r="E84" s="110">
        <f>IF(ISBLANK('Tank Loss 4'!C182),'Tank Loss 4'!B182,'Tank Loss 4'!C182)</f>
        <v>0</v>
      </c>
      <c r="F84" s="110">
        <f>IF(ISBLANK('Tank Loss 5'!C182),'Tank Loss 5'!B182,'Tank Loss 5'!C182)</f>
        <v>0</v>
      </c>
      <c r="G84" s="200" t="s">
        <v>9502</v>
      </c>
      <c r="H84" s="201" t="s">
        <v>9503</v>
      </c>
      <c r="I84" s="202" t="s">
        <v>9504</v>
      </c>
      <c r="J84" s="202" t="s">
        <v>9505</v>
      </c>
      <c r="K84" s="202" t="s">
        <v>9506</v>
      </c>
      <c r="L84" s="202" t="s">
        <v>9507</v>
      </c>
      <c r="M84" s="202" t="s">
        <v>9508</v>
      </c>
      <c r="N84" s="202" t="s">
        <v>9509</v>
      </c>
      <c r="O84" s="202" t="s">
        <v>9510</v>
      </c>
      <c r="P84" s="202" t="s">
        <v>9511</v>
      </c>
      <c r="Q84" s="202" t="s">
        <v>9512</v>
      </c>
      <c r="R84" s="202" t="s">
        <v>9513</v>
      </c>
      <c r="S84" s="202" t="s">
        <v>9514</v>
      </c>
      <c r="T84" s="202" t="s">
        <v>9515</v>
      </c>
      <c r="U84" s="202" t="s">
        <v>9516</v>
      </c>
      <c r="V84" s="202" t="s">
        <v>9517</v>
      </c>
      <c r="W84" s="203" t="s">
        <v>1</v>
      </c>
    </row>
    <row r="85" spans="1:23" ht="15.75" x14ac:dyDescent="0.3">
      <c r="A85" s="111" t="s">
        <v>9954</v>
      </c>
      <c r="B85" s="110">
        <f>IF(ISBLANK('Tank Loss 1'!C184),'Tank Loss 1'!B184,'Tank Loss 1'!C184)</f>
        <v>0</v>
      </c>
      <c r="C85" s="110">
        <f>IF(ISBLANK('Tank Loss 2'!C184),'Tank Loss 2'!B184,'Tank Loss 2'!C184)</f>
        <v>0</v>
      </c>
      <c r="D85" s="110">
        <f>IF(ISBLANK('Tank Loss 3'!C184),'Tank Loss 3'!B184,'Tank Loss 3'!C184)</f>
        <v>0</v>
      </c>
      <c r="E85" s="110">
        <f>IF(ISBLANK('Tank Loss 4'!C184),'Tank Loss 4'!B184,'Tank Loss 4'!C184)</f>
        <v>0</v>
      </c>
      <c r="F85" s="110">
        <f>IF(ISBLANK('Tank Loss 5'!C184),'Tank Loss 5'!B184,'Tank Loss 5'!C184)</f>
        <v>0</v>
      </c>
      <c r="G85" s="204" t="s">
        <v>9519</v>
      </c>
      <c r="H85" s="205">
        <f>'Tank Loss 4'!B18</f>
        <v>0</v>
      </c>
      <c r="I85" s="206">
        <f>'Tank Loss 4'!C18</f>
        <v>0</v>
      </c>
      <c r="J85" s="206">
        <f>'Tank Loss 4'!D18</f>
        <v>0</v>
      </c>
      <c r="K85" s="206">
        <f>'Tank Loss 4'!E18</f>
        <v>0</v>
      </c>
      <c r="L85" s="206">
        <f>'Tank Loss 4'!F18</f>
        <v>0</v>
      </c>
      <c r="M85" s="206">
        <f>'Tank Loss 4'!G18</f>
        <v>0</v>
      </c>
      <c r="N85" s="206">
        <f>'Tank Loss 4'!H18</f>
        <v>0</v>
      </c>
      <c r="O85" s="206">
        <f>'Tank Loss 4'!I18</f>
        <v>0</v>
      </c>
      <c r="P85" s="206">
        <f>'Tank Loss 4'!J18</f>
        <v>0</v>
      </c>
      <c r="Q85" s="206">
        <f>'Tank Loss 4'!K18</f>
        <v>0</v>
      </c>
      <c r="R85" s="206">
        <f>'Tank Loss 4'!L18</f>
        <v>0</v>
      </c>
      <c r="S85" s="206">
        <f>'Tank Loss 4'!M18</f>
        <v>0</v>
      </c>
      <c r="T85" s="206">
        <f>'Tank Loss 4'!N18</f>
        <v>0</v>
      </c>
      <c r="U85" s="206">
        <f>'Tank Loss 4'!O18</f>
        <v>0</v>
      </c>
      <c r="V85" s="206">
        <f>'Tank Loss 4'!P18</f>
        <v>0</v>
      </c>
      <c r="W85" s="207"/>
    </row>
    <row r="86" spans="1:23" ht="15.75" x14ac:dyDescent="0.3">
      <c r="A86" s="111" t="s">
        <v>9955</v>
      </c>
      <c r="B86" s="110">
        <f>'Tank Loss 1'!C185</f>
        <v>0</v>
      </c>
      <c r="C86" s="110">
        <f>'Tank Loss 2'!C185</f>
        <v>0</v>
      </c>
      <c r="D86" s="110">
        <f>'Tank Loss 3'!C185</f>
        <v>0</v>
      </c>
      <c r="E86" s="110">
        <f>'Tank Loss 4'!C185</f>
        <v>0</v>
      </c>
      <c r="F86" s="110">
        <f>'Tank Loss 5'!C185</f>
        <v>0</v>
      </c>
      <c r="G86" s="208" t="s">
        <v>9521</v>
      </c>
      <c r="H86" s="182">
        <f>'Tank Loss 4'!B19</f>
        <v>0</v>
      </c>
      <c r="I86" s="209">
        <f>'Tank Loss 4'!C19</f>
        <v>0</v>
      </c>
      <c r="J86" s="209">
        <f>'Tank Loss 4'!D19</f>
        <v>0</v>
      </c>
      <c r="K86" s="209">
        <f>'Tank Loss 4'!E19</f>
        <v>0</v>
      </c>
      <c r="L86" s="209">
        <f>'Tank Loss 4'!F19</f>
        <v>0</v>
      </c>
      <c r="M86" s="209">
        <f>'Tank Loss 4'!G19</f>
        <v>0</v>
      </c>
      <c r="N86" s="209">
        <f>'Tank Loss 4'!H19</f>
        <v>0</v>
      </c>
      <c r="O86" s="209">
        <f>'Tank Loss 4'!I19</f>
        <v>0</v>
      </c>
      <c r="P86" s="209">
        <f>'Tank Loss 4'!J19</f>
        <v>0</v>
      </c>
      <c r="Q86" s="209">
        <f>'Tank Loss 4'!K19</f>
        <v>0</v>
      </c>
      <c r="R86" s="209">
        <f>'Tank Loss 4'!L19</f>
        <v>0</v>
      </c>
      <c r="S86" s="209">
        <f>'Tank Loss 4'!M19</f>
        <v>0</v>
      </c>
      <c r="T86" s="209">
        <f>'Tank Loss 4'!N19</f>
        <v>0</v>
      </c>
      <c r="U86" s="209">
        <f>'Tank Loss 4'!O19</f>
        <v>0</v>
      </c>
      <c r="V86" s="209">
        <f>'Tank Loss 4'!P19</f>
        <v>0</v>
      </c>
      <c r="W86" s="210"/>
    </row>
    <row r="87" spans="1:23" ht="15.75" x14ac:dyDescent="0.3">
      <c r="A87" s="112" t="s">
        <v>9956</v>
      </c>
      <c r="B87" s="114">
        <f>IF(ISBLANK('Tank Loss 1'!C188),'Tank Loss 1'!B188,'Tank Loss 1'!C188)</f>
        <v>0</v>
      </c>
      <c r="C87" s="114">
        <f>IF(ISBLANK('Tank Loss 2'!C188),'Tank Loss 2'!B188,'Tank Loss 2'!C188)</f>
        <v>0</v>
      </c>
      <c r="D87" s="114">
        <f>IF(ISBLANK('Tank Loss 3'!C188),'Tank Loss 3'!B188,'Tank Loss 3'!C188)</f>
        <v>0</v>
      </c>
      <c r="E87" s="114">
        <f>IF(ISBLANK('Tank Loss 4'!C188),'Tank Loss 4'!B188,'Tank Loss 4'!C188)</f>
        <v>0</v>
      </c>
      <c r="F87" s="114">
        <f>IF(ISBLANK('Tank Loss 5'!C188),'Tank Loss 5'!B188,'Tank Loss 5'!C188)</f>
        <v>0</v>
      </c>
      <c r="G87" s="208" t="s">
        <v>9523</v>
      </c>
      <c r="H87" s="182">
        <f>'Tank Loss 4'!B20</f>
        <v>0</v>
      </c>
      <c r="I87" s="209">
        <f>'Tank Loss 4'!C20</f>
        <v>0</v>
      </c>
      <c r="J87" s="209">
        <f>'Tank Loss 4'!D20</f>
        <v>0</v>
      </c>
      <c r="K87" s="209">
        <f>'Tank Loss 4'!E20</f>
        <v>0</v>
      </c>
      <c r="L87" s="209">
        <f>'Tank Loss 4'!F20</f>
        <v>0</v>
      </c>
      <c r="M87" s="209">
        <f>'Tank Loss 4'!G20</f>
        <v>0</v>
      </c>
      <c r="N87" s="209">
        <f>'Tank Loss 4'!H20</f>
        <v>0</v>
      </c>
      <c r="O87" s="209">
        <f>'Tank Loss 4'!I20</f>
        <v>0</v>
      </c>
      <c r="P87" s="209">
        <f>'Tank Loss 4'!J20</f>
        <v>0</v>
      </c>
      <c r="Q87" s="209">
        <f>'Tank Loss 4'!K20</f>
        <v>0</v>
      </c>
      <c r="R87" s="209">
        <f>'Tank Loss 4'!L20</f>
        <v>0</v>
      </c>
      <c r="S87" s="209">
        <f>'Tank Loss 4'!M20</f>
        <v>0</v>
      </c>
      <c r="T87" s="209">
        <f>'Tank Loss 4'!N20</f>
        <v>0</v>
      </c>
      <c r="U87" s="209">
        <f>'Tank Loss 4'!O20</f>
        <v>0</v>
      </c>
      <c r="V87" s="209">
        <f>'Tank Loss 4'!P20</f>
        <v>0</v>
      </c>
      <c r="W87" s="184">
        <f>SUM(H87:V87)</f>
        <v>0</v>
      </c>
    </row>
    <row r="88" spans="1:23" ht="15.75" x14ac:dyDescent="0.3">
      <c r="A88" s="112" t="s">
        <v>9957</v>
      </c>
      <c r="B88" s="114">
        <f>IF(ISBLANK('Tank Loss 1'!C189),'Tank Loss 1'!B189,'Tank Loss 1'!C189)</f>
        <v>0.14000000000000001</v>
      </c>
      <c r="C88" s="114">
        <f>IF(ISBLANK('Tank Loss 2'!C189),'Tank Loss 2'!B189,'Tank Loss 2'!C189)</f>
        <v>0.14000000000000001</v>
      </c>
      <c r="D88" s="114">
        <f>IF(ISBLANK('Tank Loss 3'!C189),'Tank Loss 3'!B189,'Tank Loss 3'!C189)</f>
        <v>0.14000000000000001</v>
      </c>
      <c r="E88" s="114">
        <f>IF(ISBLANK('Tank Loss 4'!C189),'Tank Loss 4'!B189,'Tank Loss 4'!C189)</f>
        <v>0.14000000000000001</v>
      </c>
      <c r="F88" s="114">
        <f>IF(ISBLANK('Tank Loss 5'!C189),'Tank Loss 5'!B189,'Tank Loss 5'!C189)</f>
        <v>0.14000000000000001</v>
      </c>
      <c r="G88" s="208" t="s">
        <v>9201</v>
      </c>
      <c r="H88" s="182">
        <f>IF(ISBLANK('Tank Loss 4'!B22),'Tank Loss 4'!B21,'Tank Loss 4'!B22)</f>
        <v>0</v>
      </c>
      <c r="I88" s="209">
        <f>IF(ISBLANK('Tank Loss 4'!C22),'Tank Loss 4'!C21,'Tank Loss 4'!C22)</f>
        <v>0</v>
      </c>
      <c r="J88" s="209">
        <f>IF(ISBLANK('Tank Loss 4'!D22),'Tank Loss 4'!D21,'Tank Loss 4'!D22)</f>
        <v>0</v>
      </c>
      <c r="K88" s="209">
        <f>IF(ISBLANK('Tank Loss 4'!E22),'Tank Loss 4'!E21,'Tank Loss 4'!E22)</f>
        <v>0</v>
      </c>
      <c r="L88" s="209">
        <f>IF(ISBLANK('Tank Loss 4'!F22),'Tank Loss 4'!F21,'Tank Loss 4'!F22)</f>
        <v>0</v>
      </c>
      <c r="M88" s="209">
        <f>IF(ISBLANK('Tank Loss 4'!G22),'Tank Loss 4'!G21,'Tank Loss 4'!G22)</f>
        <v>0</v>
      </c>
      <c r="N88" s="209">
        <f>IF(ISBLANK('Tank Loss 4'!H22),'Tank Loss 4'!H21,'Tank Loss 4'!H22)</f>
        <v>0</v>
      </c>
      <c r="O88" s="209">
        <f>IF(ISBLANK('Tank Loss 4'!I22),'Tank Loss 4'!I21,'Tank Loss 4'!I22)</f>
        <v>0</v>
      </c>
      <c r="P88" s="209">
        <f>IF(ISBLANK('Tank Loss 4'!J22),'Tank Loss 4'!J21,'Tank Loss 4'!J22)</f>
        <v>0</v>
      </c>
      <c r="Q88" s="209">
        <f>IF(ISBLANK('Tank Loss 4'!K22),'Tank Loss 4'!K21,'Tank Loss 4'!K22)</f>
        <v>0</v>
      </c>
      <c r="R88" s="209">
        <f>IF(ISBLANK('Tank Loss 4'!L22),'Tank Loss 4'!L21,'Tank Loss 4'!L22)</f>
        <v>0</v>
      </c>
      <c r="S88" s="209">
        <f>IF(ISBLANK('Tank Loss 4'!M22),'Tank Loss 4'!M21,'Tank Loss 4'!M22)</f>
        <v>0</v>
      </c>
      <c r="T88" s="209">
        <f>IF(ISBLANK('Tank Loss 4'!N22),'Tank Loss 4'!N21,'Tank Loss 4'!N22)</f>
        <v>0</v>
      </c>
      <c r="U88" s="209">
        <f>IF(ISBLANK('Tank Loss 4'!O22),'Tank Loss 4'!O21,'Tank Loss 4'!O22)</f>
        <v>0</v>
      </c>
      <c r="V88" s="209">
        <f>IF(ISBLANK('Tank Loss 4'!P22),'Tank Loss 4'!P21,'Tank Loss 4'!P22)</f>
        <v>0</v>
      </c>
      <c r="W88" s="211">
        <f>IFERROR(1/W89,0)</f>
        <v>0</v>
      </c>
    </row>
    <row r="89" spans="1:23" x14ac:dyDescent="0.2">
      <c r="A89" s="113" t="s">
        <v>9618</v>
      </c>
      <c r="B89" s="114">
        <f>'Tank Loss 1'!C190</f>
        <v>0</v>
      </c>
      <c r="C89" s="114">
        <f>'Tank Loss 2'!C190</f>
        <v>0</v>
      </c>
      <c r="D89" s="114">
        <f>'Tank Loss 3'!C190</f>
        <v>0</v>
      </c>
      <c r="E89" s="114">
        <f>'Tank Loss 4'!C190</f>
        <v>0</v>
      </c>
      <c r="F89" s="114">
        <f>'Tank Loss 5'!C190</f>
        <v>0</v>
      </c>
      <c r="G89" s="208" t="s">
        <v>9526</v>
      </c>
      <c r="H89" s="182">
        <f>IFERROR((H87/H88),0)</f>
        <v>0</v>
      </c>
      <c r="I89" s="209">
        <f t="shared" ref="I89:V89" si="18">IFERROR((I87/I88),0)</f>
        <v>0</v>
      </c>
      <c r="J89" s="209">
        <f t="shared" si="18"/>
        <v>0</v>
      </c>
      <c r="K89" s="209">
        <f t="shared" si="18"/>
        <v>0</v>
      </c>
      <c r="L89" s="209">
        <f t="shared" si="18"/>
        <v>0</v>
      </c>
      <c r="M89" s="209">
        <f t="shared" si="18"/>
        <v>0</v>
      </c>
      <c r="N89" s="209">
        <f t="shared" si="18"/>
        <v>0</v>
      </c>
      <c r="O89" s="209">
        <f t="shared" si="18"/>
        <v>0</v>
      </c>
      <c r="P89" s="209">
        <f t="shared" si="18"/>
        <v>0</v>
      </c>
      <c r="Q89" s="209">
        <f t="shared" si="18"/>
        <v>0</v>
      </c>
      <c r="R89" s="209">
        <f t="shared" si="18"/>
        <v>0</v>
      </c>
      <c r="S89" s="209">
        <f t="shared" si="18"/>
        <v>0</v>
      </c>
      <c r="T89" s="209">
        <f t="shared" si="18"/>
        <v>0</v>
      </c>
      <c r="U89" s="209">
        <f t="shared" si="18"/>
        <v>0</v>
      </c>
      <c r="V89" s="209">
        <f t="shared" si="18"/>
        <v>0</v>
      </c>
      <c r="W89" s="184">
        <f>SUM(H89:V89)</f>
        <v>0</v>
      </c>
    </row>
    <row r="90" spans="1:23" ht="15.75" x14ac:dyDescent="0.3">
      <c r="A90" s="109" t="s">
        <v>9958</v>
      </c>
      <c r="B90" s="114">
        <f>'Tank Loss 1'!C198</f>
        <v>0</v>
      </c>
      <c r="C90" s="114">
        <f>'Tank Loss 2'!C198</f>
        <v>0</v>
      </c>
      <c r="D90" s="114">
        <f>'Tank Loss 3'!C198</f>
        <v>0</v>
      </c>
      <c r="E90" s="114">
        <f>'Tank Loss 4'!C198</f>
        <v>0</v>
      </c>
      <c r="F90" s="114">
        <f>'Tank Loss 5'!C198</f>
        <v>0</v>
      </c>
      <c r="G90" s="208" t="s">
        <v>9528</v>
      </c>
      <c r="H90" s="182">
        <f>IF(ISBLANK('Tank Loss 4'!B24),'Tank Loss 4'!B23,'Tank Loss 4'!B24)</f>
        <v>0</v>
      </c>
      <c r="I90" s="209">
        <f>IF(ISBLANK('Tank Loss 4'!C24),'Tank Loss 4'!C23,'Tank Loss 4'!C24)</f>
        <v>0</v>
      </c>
      <c r="J90" s="209">
        <f>IF(ISBLANK('Tank Loss 4'!D24),'Tank Loss 4'!D23,'Tank Loss 4'!D24)</f>
        <v>0</v>
      </c>
      <c r="K90" s="209">
        <f>IF(ISBLANK('Tank Loss 4'!E24),'Tank Loss 4'!E23,'Tank Loss 4'!E24)</f>
        <v>0</v>
      </c>
      <c r="L90" s="209">
        <f>IF(ISBLANK('Tank Loss 4'!F24),'Tank Loss 4'!F23,'Tank Loss 4'!F24)</f>
        <v>0</v>
      </c>
      <c r="M90" s="209">
        <f>IF(ISBLANK('Tank Loss 4'!G24),'Tank Loss 4'!G23,'Tank Loss 4'!G24)</f>
        <v>0</v>
      </c>
      <c r="N90" s="209">
        <f>IF(ISBLANK('Tank Loss 4'!H24),'Tank Loss 4'!H23,'Tank Loss 4'!H24)</f>
        <v>0</v>
      </c>
      <c r="O90" s="209">
        <f>IF(ISBLANK('Tank Loss 4'!I24),'Tank Loss 4'!I23,'Tank Loss 4'!I24)</f>
        <v>0</v>
      </c>
      <c r="P90" s="209">
        <f>IF(ISBLANK('Tank Loss 4'!J24),'Tank Loss 4'!J23,'Tank Loss 4'!J24)</f>
        <v>0</v>
      </c>
      <c r="Q90" s="209">
        <f>IF(ISBLANK('Tank Loss 4'!K24),'Tank Loss 4'!K23,'Tank Loss 4'!K24)</f>
        <v>0</v>
      </c>
      <c r="R90" s="209">
        <f>IF(ISBLANK('Tank Loss 4'!L24),'Tank Loss 4'!L23,'Tank Loss 4'!L24)</f>
        <v>0</v>
      </c>
      <c r="S90" s="209">
        <f>IF(ISBLANK('Tank Loss 4'!M24),'Tank Loss 4'!M23,'Tank Loss 4'!M24)</f>
        <v>0</v>
      </c>
      <c r="T90" s="209">
        <f>IF(ISBLANK('Tank Loss 4'!N24),'Tank Loss 4'!N23,'Tank Loss 4'!N24)</f>
        <v>0</v>
      </c>
      <c r="U90" s="209">
        <f>IF(ISBLANK('Tank Loss 4'!O24),'Tank Loss 4'!O23,'Tank Loss 4'!O24)</f>
        <v>0</v>
      </c>
      <c r="V90" s="209">
        <f>IF(ISBLANK('Tank Loss 4'!P24),'Tank Loss 4'!P23,'Tank Loss 4'!P24)</f>
        <v>0</v>
      </c>
      <c r="W90" s="184">
        <f>IFERROR(IF(AND(AVERAGEIF(H90:V90,"&gt;0")=IF('Tank Loss 1'!B12="Fixed",0.75,0.4),IFERROR(AVERAGEIF(H90:V90,"&gt;0"),1)=IF('Tank Loss 1'!B12="Fixed",0.75,0.4)),IF('Tank Loss 1'!B12="Fixed",0.75,0.4),1),1)</f>
        <v>1</v>
      </c>
    </row>
    <row r="91" spans="1:23" ht="15.75" x14ac:dyDescent="0.3">
      <c r="A91" s="112" t="s">
        <v>9959</v>
      </c>
      <c r="B91" s="114">
        <f>PI()*(B8^2)*B90*B83*1.87</f>
        <v>0</v>
      </c>
      <c r="C91" s="114">
        <f>PI()*(C8^2)*C90*C83*1.87</f>
        <v>0</v>
      </c>
      <c r="D91" s="114">
        <f>PI()*(D8^2)*D90*D83*1.87</f>
        <v>0</v>
      </c>
      <c r="E91" s="114">
        <f>PI()*(E8^2)*E90*E83*1.87</f>
        <v>0</v>
      </c>
      <c r="F91" s="114">
        <f>PI()*(F8^2)*F90*F83*1.87</f>
        <v>0</v>
      </c>
      <c r="G91" s="208" t="s">
        <v>9530</v>
      </c>
      <c r="H91" s="182">
        <f>IF(ISBLANK('Tank Loss 4'!B26),'Tank Loss 4'!B25,'Tank Loss 4'!B26)</f>
        <v>0</v>
      </c>
      <c r="I91" s="209">
        <f>IF(ISBLANK('Tank Loss 4'!C26),'Tank Loss 4'!C25,'Tank Loss 4'!C26)</f>
        <v>0</v>
      </c>
      <c r="J91" s="209">
        <f>IF(ISBLANK('Tank Loss 4'!D26),'Tank Loss 4'!D25,'Tank Loss 4'!D26)</f>
        <v>0</v>
      </c>
      <c r="K91" s="209">
        <f>IF(ISBLANK('Tank Loss 4'!E26),'Tank Loss 4'!E25,'Tank Loss 4'!E26)</f>
        <v>0</v>
      </c>
      <c r="L91" s="209">
        <f>IF(ISBLANK('Tank Loss 4'!F26),'Tank Loss 4'!F25,'Tank Loss 4'!F26)</f>
        <v>0</v>
      </c>
      <c r="M91" s="209">
        <f>IF(ISBLANK('Tank Loss 4'!G26),'Tank Loss 4'!G25,'Tank Loss 4'!G26)</f>
        <v>0</v>
      </c>
      <c r="N91" s="209">
        <f>IF(ISBLANK('Tank Loss 4'!H26),'Tank Loss 4'!H25,'Tank Loss 4'!H26)</f>
        <v>0</v>
      </c>
      <c r="O91" s="209">
        <f>IF(ISBLANK('Tank Loss 4'!I26),'Tank Loss 4'!I25,'Tank Loss 4'!I26)</f>
        <v>0</v>
      </c>
      <c r="P91" s="209">
        <f>IF(ISBLANK('Tank Loss 4'!J26),'Tank Loss 4'!J25,'Tank Loss 4'!J26)</f>
        <v>0</v>
      </c>
      <c r="Q91" s="209">
        <f>IF(ISBLANK('Tank Loss 4'!K26),'Tank Loss 4'!K25,'Tank Loss 4'!K26)</f>
        <v>0</v>
      </c>
      <c r="R91" s="209">
        <f>IF(ISBLANK('Tank Loss 4'!L26),'Tank Loss 4'!L25,'Tank Loss 4'!L26)</f>
        <v>0</v>
      </c>
      <c r="S91" s="209">
        <f>IF(ISBLANK('Tank Loss 4'!M26),'Tank Loss 4'!M25,'Tank Loss 4'!M26)</f>
        <v>0</v>
      </c>
      <c r="T91" s="209">
        <f>IF(ISBLANK('Tank Loss 4'!N26),'Tank Loss 4'!N25,'Tank Loss 4'!N26)</f>
        <v>0</v>
      </c>
      <c r="U91" s="209">
        <f>IF(ISBLANK('Tank Loss 4'!O26),'Tank Loss 4'!O25,'Tank Loss 4'!O26)</f>
        <v>0</v>
      </c>
      <c r="V91" s="209">
        <f>IF(ISBLANK('Tank Loss 4'!P26),'Tank Loss 4'!P25,'Tank Loss 4'!P26)</f>
        <v>0</v>
      </c>
      <c r="W91" s="184">
        <f>SUM(H91:V91)</f>
        <v>0</v>
      </c>
    </row>
    <row r="92" spans="1:23" x14ac:dyDescent="0.2">
      <c r="A92" s="109" t="s">
        <v>9619</v>
      </c>
      <c r="B92" s="110">
        <f>IF(ISBLANK('Tank Loss 1'!C199),'Tank Loss 1'!B199,'Tank Loss 1'!C199)</f>
        <v>0</v>
      </c>
      <c r="C92" s="110">
        <f>IF(ISBLANK('Tank Loss 2'!C199),'Tank Loss 2'!B199,'Tank Loss 2'!C199)</f>
        <v>0</v>
      </c>
      <c r="D92" s="110">
        <f>IF(ISBLANK('Tank Loss 3'!C199),'Tank Loss 3'!B199,'Tank Loss 3'!C199)</f>
        <v>0</v>
      </c>
      <c r="E92" s="110">
        <f>IF(ISBLANK('Tank Loss 4'!C199),'Tank Loss 4'!B199,'Tank Loss 4'!C199)</f>
        <v>0</v>
      </c>
      <c r="F92" s="110">
        <f>IF(ISBLANK('Tank Loss 5'!C199),'Tank Loss 5'!B199,'Tank Loss 5'!C199)</f>
        <v>0</v>
      </c>
      <c r="G92" s="208" t="s">
        <v>9532</v>
      </c>
      <c r="H92" s="182">
        <f>IFERROR(H87/H91*1000,0)</f>
        <v>0</v>
      </c>
      <c r="I92" s="209">
        <f t="shared" ref="I92:V92" si="19">IFERROR(I87/I91*1000,0)</f>
        <v>0</v>
      </c>
      <c r="J92" s="209">
        <f t="shared" si="19"/>
        <v>0</v>
      </c>
      <c r="K92" s="209">
        <f t="shared" si="19"/>
        <v>0</v>
      </c>
      <c r="L92" s="209">
        <f t="shared" si="19"/>
        <v>0</v>
      </c>
      <c r="M92" s="209">
        <f t="shared" si="19"/>
        <v>0</v>
      </c>
      <c r="N92" s="209">
        <f t="shared" si="19"/>
        <v>0</v>
      </c>
      <c r="O92" s="209">
        <f t="shared" si="19"/>
        <v>0</v>
      </c>
      <c r="P92" s="209">
        <f t="shared" si="19"/>
        <v>0</v>
      </c>
      <c r="Q92" s="209">
        <f t="shared" si="19"/>
        <v>0</v>
      </c>
      <c r="R92" s="209">
        <f t="shared" si="19"/>
        <v>0</v>
      </c>
      <c r="S92" s="209">
        <f t="shared" si="19"/>
        <v>0</v>
      </c>
      <c r="T92" s="209">
        <f t="shared" si="19"/>
        <v>0</v>
      </c>
      <c r="U92" s="209">
        <f t="shared" si="19"/>
        <v>0</v>
      </c>
      <c r="V92" s="209">
        <f t="shared" si="19"/>
        <v>0</v>
      </c>
      <c r="W92" s="184">
        <f>SUM(H92:V92)</f>
        <v>0</v>
      </c>
    </row>
    <row r="93" spans="1:23" ht="30.75" x14ac:dyDescent="0.25">
      <c r="A93" s="111" t="s">
        <v>9960</v>
      </c>
      <c r="B93" s="110">
        <f>IF(ISBLANK('Tank Loss 1'!C191),'Tank Loss 1'!B191,'Tank Loss 1'!C191)</f>
        <v>0</v>
      </c>
      <c r="C93" s="110">
        <f>IF(ISBLANK('Tank Loss 2'!C191),'Tank Loss 2'!B191,'Tank Loss 2'!C191)</f>
        <v>0</v>
      </c>
      <c r="D93" s="110">
        <f>IF(ISBLANK('Tank Loss 3'!C191),'Tank Loss 3'!B191,'Tank Loss 3'!C191)</f>
        <v>0</v>
      </c>
      <c r="E93" s="110">
        <f>IF(ISBLANK('Tank Loss 4'!C191),'Tank Loss 4'!B191,'Tank Loss 4'!C191)</f>
        <v>0</v>
      </c>
      <c r="F93" s="110">
        <f>IF(ISBLANK('Tank Loss 5'!C191),'Tank Loss 5'!B191,'Tank Loss 5'!C191)</f>
        <v>0</v>
      </c>
      <c r="G93" s="208" t="s">
        <v>9534</v>
      </c>
      <c r="H93" s="182">
        <f>IF(H85=0,0,IF(ISBLANK('Tank Loss 4'!B107),'Tank Loss 4'!B106,'Tank Loss 4'!B107))</f>
        <v>0</v>
      </c>
      <c r="I93" s="209">
        <f>IF(I85=0,0,IF(ISBLANK('Tank Loss 4'!C107),'Tank Loss 4'!C106,'Tank Loss 4'!C107))</f>
        <v>0</v>
      </c>
      <c r="J93" s="209">
        <f>IF(J85=0,0,IF(ISBLANK('Tank Loss 4'!D107),'Tank Loss 4'!D106,'Tank Loss 4'!D107))</f>
        <v>0</v>
      </c>
      <c r="K93" s="209">
        <f>IF(K85=0,0,IF(ISBLANK('Tank Loss 4'!E107),'Tank Loss 4'!E106,'Tank Loss 4'!E107))</f>
        <v>0</v>
      </c>
      <c r="L93" s="209">
        <f>IF(L85=0,0,IF(ISBLANK('Tank Loss 4'!F107),'Tank Loss 4'!F106,'Tank Loss 4'!F107))</f>
        <v>0</v>
      </c>
      <c r="M93" s="209">
        <f>IF(M85=0,0,IF(ISBLANK('Tank Loss 4'!G107),'Tank Loss 4'!G106,'Tank Loss 4'!G107))</f>
        <v>0</v>
      </c>
      <c r="N93" s="209">
        <f>IF(N85=0,0,IF(ISBLANK('Tank Loss 4'!H107),'Tank Loss 4'!H106,'Tank Loss 4'!H107))</f>
        <v>0</v>
      </c>
      <c r="O93" s="209">
        <f>IF(O85=0,0,IF(ISBLANK('Tank Loss 4'!I107),'Tank Loss 4'!I106,'Tank Loss 4'!I107))</f>
        <v>0</v>
      </c>
      <c r="P93" s="209">
        <f>IF(P85=0,0,IF(ISBLANK('Tank Loss 4'!J107),'Tank Loss 4'!J106,'Tank Loss 4'!J107))</f>
        <v>0</v>
      </c>
      <c r="Q93" s="209">
        <f>IF(Q85=0,0,IF(ISBLANK('Tank Loss 4'!K107),'Tank Loss 4'!K106,'Tank Loss 4'!K107))</f>
        <v>0</v>
      </c>
      <c r="R93" s="209">
        <f>IF(R85=0,0,IF(ISBLANK('Tank Loss 4'!L107),'Tank Loss 4'!L106,'Tank Loss 4'!L107))</f>
        <v>0</v>
      </c>
      <c r="S93" s="209">
        <f>IF(S85=0,0,IF(ISBLANK('Tank Loss 4'!M107),'Tank Loss 4'!M106,'Tank Loss 4'!M107))</f>
        <v>0</v>
      </c>
      <c r="T93" s="209">
        <f>IF(T85=0,0,IF(ISBLANK('Tank Loss 4'!N107),'Tank Loss 4'!N106,'Tank Loss 4'!N107))</f>
        <v>0</v>
      </c>
      <c r="U93" s="209">
        <f>IF(U85=0,0,IF(ISBLANK('Tank Loss 4'!O107),'Tank Loss 4'!O106,'Tank Loss 4'!O107))</f>
        <v>0</v>
      </c>
      <c r="V93" s="209">
        <f>IF(V85=0,0,IF(ISBLANK('Tank Loss 4'!P107),'Tank Loss 4'!P106,'Tank Loss 4'!P107))</f>
        <v>0</v>
      </c>
      <c r="W93" s="210"/>
    </row>
    <row r="94" spans="1:23" ht="30.75" x14ac:dyDescent="0.25">
      <c r="A94" s="112" t="s">
        <v>9961</v>
      </c>
      <c r="B94" s="110">
        <f>IF(ISBLANK('Tank Loss 1'!C192),'Tank Loss 1'!B192,'Tank Loss 1'!C192)</f>
        <v>0</v>
      </c>
      <c r="C94" s="110">
        <f>IF(ISBLANK('Tank Loss 2'!C192),'Tank Loss 2'!B192,'Tank Loss 2'!C192)</f>
        <v>0</v>
      </c>
      <c r="D94" s="110">
        <f>IF(ISBLANK('Tank Loss 3'!C192),'Tank Loss 3'!B192,'Tank Loss 3'!C192)</f>
        <v>0</v>
      </c>
      <c r="E94" s="110">
        <f>IF(ISBLANK('Tank Loss 4'!C192),'Tank Loss 4'!B192,'Tank Loss 4'!C192)</f>
        <v>0</v>
      </c>
      <c r="F94" s="110">
        <f>IF(ISBLANK('Tank Loss 5'!C192),'Tank Loss 5'!B192,'Tank Loss 5'!C192)</f>
        <v>0</v>
      </c>
      <c r="G94" s="208" t="s">
        <v>9536</v>
      </c>
      <c r="H94" s="182">
        <f>IF(H85=0,0,IF(ISBLANK('Tank Loss 4'!B109),'Tank Loss 4'!B108,'Tank Loss 4'!B109))</f>
        <v>0</v>
      </c>
      <c r="I94" s="209">
        <f>IF(I85=0,0,IF(ISBLANK('Tank Loss 4'!C109),'Tank Loss 4'!C108,'Tank Loss 4'!C109))</f>
        <v>0</v>
      </c>
      <c r="J94" s="209">
        <f>IF(J85=0,0,IF(ISBLANK('Tank Loss 4'!D109),'Tank Loss 4'!D108,'Tank Loss 4'!D109))</f>
        <v>0</v>
      </c>
      <c r="K94" s="209">
        <f>IF(K85=0,0,IF(ISBLANK('Tank Loss 4'!E109),'Tank Loss 4'!E108,'Tank Loss 4'!E109))</f>
        <v>0</v>
      </c>
      <c r="L94" s="209">
        <f>IF(L85=0,0,IF(ISBLANK('Tank Loss 4'!F109),'Tank Loss 4'!F108,'Tank Loss 4'!F109))</f>
        <v>0</v>
      </c>
      <c r="M94" s="209">
        <f>IF(M85=0,0,IF(ISBLANK('Tank Loss 4'!G109),'Tank Loss 4'!G108,'Tank Loss 4'!G109))</f>
        <v>0</v>
      </c>
      <c r="N94" s="209">
        <f>IF(N85=0,0,IF(ISBLANK('Tank Loss 4'!H109),'Tank Loss 4'!H108,'Tank Loss 4'!H109))</f>
        <v>0</v>
      </c>
      <c r="O94" s="209">
        <f>IF(O85=0,0,IF(ISBLANK('Tank Loss 4'!I109),'Tank Loss 4'!I108,'Tank Loss 4'!I109))</f>
        <v>0</v>
      </c>
      <c r="P94" s="209">
        <f>IF(P85=0,0,IF(ISBLANK('Tank Loss 4'!J109),'Tank Loss 4'!J108,'Tank Loss 4'!J109))</f>
        <v>0</v>
      </c>
      <c r="Q94" s="209">
        <f>IF(Q85=0,0,IF(ISBLANK('Tank Loss 4'!K109),'Tank Loss 4'!K108,'Tank Loss 4'!K109))</f>
        <v>0</v>
      </c>
      <c r="R94" s="209">
        <f>IF(R85=0,0,IF(ISBLANK('Tank Loss 4'!L109),'Tank Loss 4'!L108,'Tank Loss 4'!L109))</f>
        <v>0</v>
      </c>
      <c r="S94" s="209">
        <f>IF(S85=0,0,IF(ISBLANK('Tank Loss 4'!M109),'Tank Loss 4'!M108,'Tank Loss 4'!M109))</f>
        <v>0</v>
      </c>
      <c r="T94" s="209">
        <f>IF(T85=0,0,IF(ISBLANK('Tank Loss 4'!N109),'Tank Loss 4'!N108,'Tank Loss 4'!N109))</f>
        <v>0</v>
      </c>
      <c r="U94" s="209">
        <f>IF(U85=0,0,IF(ISBLANK('Tank Loss 4'!O109),'Tank Loss 4'!O108,'Tank Loss 4'!O109))</f>
        <v>0</v>
      </c>
      <c r="V94" s="209">
        <f>IF(V85=0,0,IF(ISBLANK('Tank Loss 4'!P109),'Tank Loss 4'!P108,'Tank Loss 4'!P109))</f>
        <v>0</v>
      </c>
      <c r="W94" s="210"/>
    </row>
    <row r="95" spans="1:23" ht="30.75" x14ac:dyDescent="0.25">
      <c r="A95" s="112" t="s">
        <v>9962</v>
      </c>
      <c r="B95" s="110">
        <f>IF(ISBLANK('Tank Loss 1'!C193),'Tank Loss 1'!B193,'Tank Loss 1'!C193)</f>
        <v>459.67</v>
      </c>
      <c r="C95" s="110">
        <f>IF(ISBLANK('Tank Loss 2'!C193),'Tank Loss 2'!B193,'Tank Loss 2'!C193)</f>
        <v>459.67</v>
      </c>
      <c r="D95" s="110">
        <f>IF(ISBLANK('Tank Loss 3'!C193),'Tank Loss 3'!B193,'Tank Loss 3'!C193)</f>
        <v>459.67</v>
      </c>
      <c r="E95" s="110">
        <f>IF(ISBLANK('Tank Loss 4'!C193),'Tank Loss 4'!B193,'Tank Loss 4'!C193)</f>
        <v>459.67</v>
      </c>
      <c r="F95" s="110">
        <f>IF(ISBLANK('Tank Loss 5'!C193),'Tank Loss 5'!B193,'Tank Loss 5'!C193)</f>
        <v>459.67</v>
      </c>
      <c r="G95" s="208" t="s">
        <v>9537</v>
      </c>
      <c r="H95" s="182">
        <f>IF(H85=0,0,IF(ISBLANK('Tank Loss 4'!B111),'Tank Loss 4'!B110,'Tank Loss 4'!B111))</f>
        <v>0</v>
      </c>
      <c r="I95" s="209">
        <f>IF(I85=0,0,IF(ISBLANK('Tank Loss 4'!C111),'Tank Loss 4'!C110,'Tank Loss 4'!C111))</f>
        <v>0</v>
      </c>
      <c r="J95" s="209">
        <f>IF(J85=0,0,IF(ISBLANK('Tank Loss 4'!D111),'Tank Loss 4'!D110,'Tank Loss 4'!D111))</f>
        <v>0</v>
      </c>
      <c r="K95" s="209">
        <f>IF(K85=0,0,IF(ISBLANK('Tank Loss 4'!E111),'Tank Loss 4'!E110,'Tank Loss 4'!E111))</f>
        <v>0</v>
      </c>
      <c r="L95" s="209">
        <f>IF(L85=0,0,IF(ISBLANK('Tank Loss 4'!F111),'Tank Loss 4'!F110,'Tank Loss 4'!F111))</f>
        <v>0</v>
      </c>
      <c r="M95" s="209">
        <f>IF(M85=0,0,IF(ISBLANK('Tank Loss 4'!G111),'Tank Loss 4'!G110,'Tank Loss 4'!G111))</f>
        <v>0</v>
      </c>
      <c r="N95" s="209">
        <f>IF(N85=0,0,IF(ISBLANK('Tank Loss 4'!H111),'Tank Loss 4'!H110,'Tank Loss 4'!H111))</f>
        <v>0</v>
      </c>
      <c r="O95" s="209">
        <f>IF(O85=0,0,IF(ISBLANK('Tank Loss 4'!I111),'Tank Loss 4'!I110,'Tank Loss 4'!I111))</f>
        <v>0</v>
      </c>
      <c r="P95" s="209">
        <f>IF(P85=0,0,IF(ISBLANK('Tank Loss 4'!J111),'Tank Loss 4'!J110,'Tank Loss 4'!J111))</f>
        <v>0</v>
      </c>
      <c r="Q95" s="209">
        <f>IF(Q85=0,0,IF(ISBLANK('Tank Loss 4'!K111),'Tank Loss 4'!K110,'Tank Loss 4'!K111))</f>
        <v>0</v>
      </c>
      <c r="R95" s="209">
        <f>IF(R85=0,0,IF(ISBLANK('Tank Loss 4'!L111),'Tank Loss 4'!L110,'Tank Loss 4'!L111))</f>
        <v>0</v>
      </c>
      <c r="S95" s="209">
        <f>IF(S85=0,0,IF(ISBLANK('Tank Loss 4'!M111),'Tank Loss 4'!M110,'Tank Loss 4'!M111))</f>
        <v>0</v>
      </c>
      <c r="T95" s="209">
        <f>IF(T85=0,0,IF(ISBLANK('Tank Loss 4'!N111),'Tank Loss 4'!N110,'Tank Loss 4'!N111))</f>
        <v>0</v>
      </c>
      <c r="U95" s="209">
        <f>IF(U85=0,0,IF(ISBLANK('Tank Loss 4'!O111),'Tank Loss 4'!O110,'Tank Loss 4'!O111))</f>
        <v>0</v>
      </c>
      <c r="V95" s="209">
        <f>IF(V85=0,0,IF(ISBLANK('Tank Loss 4'!P111),'Tank Loss 4'!P110,'Tank Loss 4'!P111))</f>
        <v>0</v>
      </c>
      <c r="W95" s="210"/>
    </row>
    <row r="96" spans="1:23" ht="30.75" x14ac:dyDescent="0.25">
      <c r="A96" s="112" t="s">
        <v>9963</v>
      </c>
      <c r="B96" s="110">
        <f>IF(ISBLANK('Tank Loss 1'!C194),'Tank Loss 1'!B194,'Tank Loss 1'!C194)</f>
        <v>0</v>
      </c>
      <c r="C96" s="110">
        <f>IF(ISBLANK('Tank Loss 2'!C194),'Tank Loss 2'!B194,'Tank Loss 2'!C194)</f>
        <v>0</v>
      </c>
      <c r="D96" s="110">
        <f>IF(ISBLANK('Tank Loss 3'!C194),'Tank Loss 3'!B194,'Tank Loss 3'!C194)</f>
        <v>0</v>
      </c>
      <c r="E96" s="110">
        <f>IF(ISBLANK('Tank Loss 4'!C194),'Tank Loss 4'!B194,'Tank Loss 4'!C194)</f>
        <v>0</v>
      </c>
      <c r="F96" s="110">
        <f>IF(ISBLANK('Tank Loss 5'!C194),'Tank Loss 5'!B194,'Tank Loss 5'!C194)</f>
        <v>0</v>
      </c>
      <c r="G96" s="208" t="s">
        <v>9539</v>
      </c>
      <c r="H96" s="182">
        <f>IF(H85=0,0,IF(ISBLANK('Tank Loss 4'!B99),'Tank Loss 4'!B98,'Tank Loss 4'!B99))</f>
        <v>0</v>
      </c>
      <c r="I96" s="209">
        <f>IF(I85=0,0,IF(ISBLANK('Tank Loss 4'!C99),'Tank Loss 4'!C98,'Tank Loss 4'!C99))</f>
        <v>0</v>
      </c>
      <c r="J96" s="209">
        <f>IF(J85=0,0,IF(ISBLANK('Tank Loss 4'!D99),'Tank Loss 4'!D98,'Tank Loss 4'!D99))</f>
        <v>0</v>
      </c>
      <c r="K96" s="209">
        <f>IF(K85=0,0,IF(ISBLANK('Tank Loss 4'!E99),'Tank Loss 4'!E98,'Tank Loss 4'!E99))</f>
        <v>0</v>
      </c>
      <c r="L96" s="209">
        <f>IF(L85=0,0,IF(ISBLANK('Tank Loss 4'!F99),'Tank Loss 4'!F98,'Tank Loss 4'!F99))</f>
        <v>0</v>
      </c>
      <c r="M96" s="209">
        <f>IF(M85=0,0,IF(ISBLANK('Tank Loss 4'!G99),'Tank Loss 4'!G98,'Tank Loss 4'!G99))</f>
        <v>0</v>
      </c>
      <c r="N96" s="209">
        <f>IF(N85=0,0,IF(ISBLANK('Tank Loss 4'!H99),'Tank Loss 4'!H98,'Tank Loss 4'!H99))</f>
        <v>0</v>
      </c>
      <c r="O96" s="209">
        <f>IF(O85=0,0,IF(ISBLANK('Tank Loss 4'!I99),'Tank Loss 4'!I98,'Tank Loss 4'!I99))</f>
        <v>0</v>
      </c>
      <c r="P96" s="209">
        <f>IF(P85=0,0,IF(ISBLANK('Tank Loss 4'!J99),'Tank Loss 4'!J98,'Tank Loss 4'!J99))</f>
        <v>0</v>
      </c>
      <c r="Q96" s="209">
        <f>IF(Q85=0,0,IF(ISBLANK('Tank Loss 4'!K99),'Tank Loss 4'!K98,'Tank Loss 4'!K99))</f>
        <v>0</v>
      </c>
      <c r="R96" s="209">
        <f>IF(R85=0,0,IF(ISBLANK('Tank Loss 4'!L99),'Tank Loss 4'!L98,'Tank Loss 4'!L99))</f>
        <v>0</v>
      </c>
      <c r="S96" s="209">
        <f>IF(S85=0,0,IF(ISBLANK('Tank Loss 4'!M99),'Tank Loss 4'!M98,'Tank Loss 4'!M99))</f>
        <v>0</v>
      </c>
      <c r="T96" s="209">
        <f>IF(T85=0,0,IF(ISBLANK('Tank Loss 4'!N99),'Tank Loss 4'!N98,'Tank Loss 4'!N99))</f>
        <v>0</v>
      </c>
      <c r="U96" s="209">
        <f>IF(U85=0,0,IF(ISBLANK('Tank Loss 4'!O99),'Tank Loss 4'!O98,'Tank Loss 4'!O99))</f>
        <v>0</v>
      </c>
      <c r="V96" s="209">
        <f>IF(V85=0,0,IF(ISBLANK('Tank Loss 4'!P99),'Tank Loss 4'!P98,'Tank Loss 4'!P99))</f>
        <v>0</v>
      </c>
      <c r="W96" s="210"/>
    </row>
    <row r="97" spans="1:23" x14ac:dyDescent="0.2">
      <c r="A97" s="109" t="s">
        <v>9620</v>
      </c>
      <c r="B97" s="110">
        <f>IF(ISBLANK('Tank Loss 1'!C195),'Tank Loss 1'!B195,'Tank Loss 1'!C195)</f>
        <v>0</v>
      </c>
      <c r="C97" s="110">
        <f>IF(ISBLANK('Tank Loss 2'!C195),'Tank Loss 2'!B195,'Tank Loss 2'!C195)</f>
        <v>0</v>
      </c>
      <c r="D97" s="110">
        <f>IF(ISBLANK('Tank Loss 3'!C195),'Tank Loss 3'!B195,'Tank Loss 3'!C195)</f>
        <v>0</v>
      </c>
      <c r="E97" s="110">
        <f>IF(ISBLANK('Tank Loss 4'!C195),'Tank Loss 4'!B195,'Tank Loss 4'!C195)</f>
        <v>0</v>
      </c>
      <c r="F97" s="110">
        <f>IF(ISBLANK('Tank Loss 5'!C195),'Tank Loss 5'!B195,'Tank Loss 5'!C195)</f>
        <v>0</v>
      </c>
      <c r="G97" s="208" t="s">
        <v>9541</v>
      </c>
      <c r="H97" s="182">
        <f>IF(H85=0,0,IF(ISBLANK('Tank Loss 4'!B101),'Tank Loss 4'!B100,'Tank Loss 4'!B101))</f>
        <v>0</v>
      </c>
      <c r="I97" s="209">
        <f>IF(I85=0,0,IF(ISBLANK('Tank Loss 4'!C101),'Tank Loss 4'!C100,'Tank Loss 4'!C101))</f>
        <v>0</v>
      </c>
      <c r="J97" s="209">
        <f>IF(J85=0,0,IF(ISBLANK('Tank Loss 4'!D101),'Tank Loss 4'!D100,'Tank Loss 4'!D101))</f>
        <v>0</v>
      </c>
      <c r="K97" s="209">
        <f>IF(K85=0,0,IF(ISBLANK('Tank Loss 4'!E101),'Tank Loss 4'!E100,'Tank Loss 4'!E101))</f>
        <v>0</v>
      </c>
      <c r="L97" s="209">
        <f>IF(L85=0,0,IF(ISBLANK('Tank Loss 4'!F101),'Tank Loss 4'!F100,'Tank Loss 4'!F101))</f>
        <v>0</v>
      </c>
      <c r="M97" s="209">
        <f>IF(M85=0,0,IF(ISBLANK('Tank Loss 4'!G101),'Tank Loss 4'!G100,'Tank Loss 4'!G101))</f>
        <v>0</v>
      </c>
      <c r="N97" s="209">
        <f>IF(N85=0,0,IF(ISBLANK('Tank Loss 4'!H101),'Tank Loss 4'!H100,'Tank Loss 4'!H101))</f>
        <v>0</v>
      </c>
      <c r="O97" s="209">
        <f>IF(O85=0,0,IF(ISBLANK('Tank Loss 4'!I101),'Tank Loss 4'!I100,'Tank Loss 4'!I101))</f>
        <v>0</v>
      </c>
      <c r="P97" s="209">
        <f>IF(P85=0,0,IF(ISBLANK('Tank Loss 4'!J101),'Tank Loss 4'!J100,'Tank Loss 4'!J101))</f>
        <v>0</v>
      </c>
      <c r="Q97" s="209">
        <f>IF(Q85=0,0,IF(ISBLANK('Tank Loss 4'!K101),'Tank Loss 4'!K100,'Tank Loss 4'!K101))</f>
        <v>0</v>
      </c>
      <c r="R97" s="209">
        <f>IF(R85=0,0,IF(ISBLANK('Tank Loss 4'!L101),'Tank Loss 4'!L100,'Tank Loss 4'!L101))</f>
        <v>0</v>
      </c>
      <c r="S97" s="209">
        <f>IF(S85=0,0,IF(ISBLANK('Tank Loss 4'!M101),'Tank Loss 4'!M100,'Tank Loss 4'!M101))</f>
        <v>0</v>
      </c>
      <c r="T97" s="209">
        <f>IF(T85=0,0,IF(ISBLANK('Tank Loss 4'!N101),'Tank Loss 4'!N100,'Tank Loss 4'!N101))</f>
        <v>0</v>
      </c>
      <c r="U97" s="209">
        <f>IF(U85=0,0,IF(ISBLANK('Tank Loss 4'!O101),'Tank Loss 4'!O100,'Tank Loss 4'!O101))</f>
        <v>0</v>
      </c>
      <c r="V97" s="209">
        <f>IF(V85=0,0,IF(ISBLANK('Tank Loss 4'!P101),'Tank Loss 4'!P100,'Tank Loss 4'!P101))</f>
        <v>0</v>
      </c>
      <c r="W97" s="210"/>
    </row>
    <row r="98" spans="1:23" x14ac:dyDescent="0.2">
      <c r="A98" s="115" t="s">
        <v>9601</v>
      </c>
      <c r="B98" s="110">
        <f>IF(ISBLANK('Tank Loss 1'!C200),'Tank Loss 1'!B200,'Tank Loss 1'!C200)</f>
        <v>0</v>
      </c>
      <c r="C98" s="110">
        <f>IF(ISBLANK('Tank Loss 2'!C200),'Tank Loss 2'!B200,'Tank Loss 2'!C200)</f>
        <v>0</v>
      </c>
      <c r="D98" s="110">
        <f>IF(ISBLANK('Tank Loss 3'!C200),'Tank Loss 3'!B200,'Tank Loss 3'!C200)</f>
        <v>0</v>
      </c>
      <c r="E98" s="110">
        <f>IF(ISBLANK('Tank Loss 4'!C200),'Tank Loss 4'!B200,'Tank Loss 4'!C200)</f>
        <v>0</v>
      </c>
      <c r="F98" s="110">
        <f>IF(ISBLANK('Tank Loss 5'!C200),'Tank Loss 5'!B200,'Tank Loss 5'!C200)</f>
        <v>0</v>
      </c>
      <c r="G98" s="208" t="s">
        <v>9543</v>
      </c>
      <c r="H98" s="182">
        <f>IF(H85=0,0,IF(ISBLANK('Tank Loss 4'!B103),'Tank Loss 4'!B102,'Tank Loss 4'!B103))</f>
        <v>0</v>
      </c>
      <c r="I98" s="209">
        <f>IF(I85=0,0,IF(ISBLANK('Tank Loss 4'!C103),'Tank Loss 4'!C102,'Tank Loss 4'!C103))</f>
        <v>0</v>
      </c>
      <c r="J98" s="209">
        <f>IF(J85=0,0,IF(ISBLANK('Tank Loss 4'!D103),'Tank Loss 4'!D102,'Tank Loss 4'!D103))</f>
        <v>0</v>
      </c>
      <c r="K98" s="209">
        <f>IF(K85=0,0,IF(ISBLANK('Tank Loss 4'!E103),'Tank Loss 4'!E102,'Tank Loss 4'!E103))</f>
        <v>0</v>
      </c>
      <c r="L98" s="209">
        <f>IF(L85=0,0,IF(ISBLANK('Tank Loss 4'!F103),'Tank Loss 4'!F102,'Tank Loss 4'!F103))</f>
        <v>0</v>
      </c>
      <c r="M98" s="209">
        <f>IF(M85=0,0,IF(ISBLANK('Tank Loss 4'!G103),'Tank Loss 4'!G102,'Tank Loss 4'!G103))</f>
        <v>0</v>
      </c>
      <c r="N98" s="209">
        <f>IF(N85=0,0,IF(ISBLANK('Tank Loss 4'!H103),'Tank Loss 4'!H102,'Tank Loss 4'!H103))</f>
        <v>0</v>
      </c>
      <c r="O98" s="209">
        <f>IF(O85=0,0,IF(ISBLANK('Tank Loss 4'!I103),'Tank Loss 4'!I102,'Tank Loss 4'!I103))</f>
        <v>0</v>
      </c>
      <c r="P98" s="209">
        <f>IF(P85=0,0,IF(ISBLANK('Tank Loss 4'!J103),'Tank Loss 4'!J102,'Tank Loss 4'!J103))</f>
        <v>0</v>
      </c>
      <c r="Q98" s="209">
        <f>IF(Q85=0,0,IF(ISBLANK('Tank Loss 4'!K103),'Tank Loss 4'!K102,'Tank Loss 4'!K103))</f>
        <v>0</v>
      </c>
      <c r="R98" s="209">
        <f>IF(R85=0,0,IF(ISBLANK('Tank Loss 4'!L103),'Tank Loss 4'!L102,'Tank Loss 4'!L103))</f>
        <v>0</v>
      </c>
      <c r="S98" s="209">
        <f>IF(S85=0,0,IF(ISBLANK('Tank Loss 4'!M103),'Tank Loss 4'!M102,'Tank Loss 4'!M103))</f>
        <v>0</v>
      </c>
      <c r="T98" s="209">
        <f>IF(T85=0,0,IF(ISBLANK('Tank Loss 4'!N103),'Tank Loss 4'!N102,'Tank Loss 4'!N103))</f>
        <v>0</v>
      </c>
      <c r="U98" s="209">
        <f>IF(U85=0,0,IF(ISBLANK('Tank Loss 4'!O103),'Tank Loss 4'!O102,'Tank Loss 4'!O103))</f>
        <v>0</v>
      </c>
      <c r="V98" s="209">
        <f>IF(V85=0,0,IF(ISBLANK('Tank Loss 4'!P103),'Tank Loss 4'!P102,'Tank Loss 4'!P103))</f>
        <v>0</v>
      </c>
      <c r="W98" s="210"/>
    </row>
    <row r="99" spans="1:23" ht="15.75" x14ac:dyDescent="0.3">
      <c r="A99" s="116" t="s">
        <v>9964</v>
      </c>
      <c r="B99" s="110">
        <f>IF(ISBLANK('Tank Loss 1'!C201),'Tank Loss 1'!B201,'Tank Loss 1'!C201)</f>
        <v>0.04</v>
      </c>
      <c r="C99" s="110">
        <f>IF(ISBLANK('Tank Loss 2'!C201),'Tank Loss 2'!B201,'Tank Loss 2'!C201)</f>
        <v>0.04</v>
      </c>
      <c r="D99" s="110">
        <f>IF(ISBLANK('Tank Loss 3'!C201),'Tank Loss 3'!B201,'Tank Loss 3'!C201)</f>
        <v>0.04</v>
      </c>
      <c r="E99" s="110">
        <f>IF(ISBLANK('Tank Loss 4'!C201),'Tank Loss 4'!B201,'Tank Loss 4'!C201)</f>
        <v>0.04</v>
      </c>
      <c r="F99" s="110">
        <f>IF(ISBLANK('Tank Loss 5'!C201),'Tank Loss 5'!B201,'Tank Loss 5'!C201)</f>
        <v>0.04</v>
      </c>
      <c r="G99" s="208" t="s">
        <v>9544</v>
      </c>
      <c r="H99" s="182">
        <f>IF(H85=0,0,IF(ISBLANK('Tank Loss 4'!B105),'Tank Loss 4'!B104,'Tank Loss 4'!B105))</f>
        <v>0</v>
      </c>
      <c r="I99" s="209">
        <f>IF(I85=0,0,IF(ISBLANK('Tank Loss 4'!C105),'Tank Loss 4'!C104,'Tank Loss 4'!C105))</f>
        <v>0</v>
      </c>
      <c r="J99" s="209">
        <f>IF(J85=0,0,IF(ISBLANK('Tank Loss 4'!D105),'Tank Loss 4'!D104,'Tank Loss 4'!D105))</f>
        <v>0</v>
      </c>
      <c r="K99" s="209">
        <f>IF(K85=0,0,IF(ISBLANK('Tank Loss 4'!E105),'Tank Loss 4'!E104,'Tank Loss 4'!E105))</f>
        <v>0</v>
      </c>
      <c r="L99" s="209">
        <f>IF(L85=0,0,IF(ISBLANK('Tank Loss 4'!F105),'Tank Loss 4'!F104,'Tank Loss 4'!F105))</f>
        <v>0</v>
      </c>
      <c r="M99" s="209">
        <f>IF(M85=0,0,IF(ISBLANK('Tank Loss 4'!G105),'Tank Loss 4'!G104,'Tank Loss 4'!G105))</f>
        <v>0</v>
      </c>
      <c r="N99" s="209">
        <f>IF(N85=0,0,IF(ISBLANK('Tank Loss 4'!H105),'Tank Loss 4'!H104,'Tank Loss 4'!H105))</f>
        <v>0</v>
      </c>
      <c r="O99" s="209">
        <f>IF(O85=0,0,IF(ISBLANK('Tank Loss 4'!I105),'Tank Loss 4'!I104,'Tank Loss 4'!I105))</f>
        <v>0</v>
      </c>
      <c r="P99" s="209">
        <f>IF(P85=0,0,IF(ISBLANK('Tank Loss 4'!J105),'Tank Loss 4'!J104,'Tank Loss 4'!J105))</f>
        <v>0</v>
      </c>
      <c r="Q99" s="209">
        <f>IF(Q85=0,0,IF(ISBLANK('Tank Loss 4'!K105),'Tank Loss 4'!K104,'Tank Loss 4'!K105))</f>
        <v>0</v>
      </c>
      <c r="R99" s="209">
        <f>IF(R85=0,0,IF(ISBLANK('Tank Loss 4'!L105),'Tank Loss 4'!L104,'Tank Loss 4'!L105))</f>
        <v>0</v>
      </c>
      <c r="S99" s="209">
        <f>IF(S85=0,0,IF(ISBLANK('Tank Loss 4'!M105),'Tank Loss 4'!M104,'Tank Loss 4'!M105))</f>
        <v>0</v>
      </c>
      <c r="T99" s="209">
        <f>IF(T85=0,0,IF(ISBLANK('Tank Loss 4'!N105),'Tank Loss 4'!N104,'Tank Loss 4'!N105))</f>
        <v>0</v>
      </c>
      <c r="U99" s="209">
        <f>IF(U85=0,0,IF(ISBLANK('Tank Loss 4'!O105),'Tank Loss 4'!O104,'Tank Loss 4'!O105))</f>
        <v>0</v>
      </c>
      <c r="V99" s="209">
        <f>IF(V85=0,0,IF(ISBLANK('Tank Loss 4'!P105),'Tank Loss 4'!P104,'Tank Loss 4'!P105))</f>
        <v>0</v>
      </c>
      <c r="W99" s="210"/>
    </row>
    <row r="100" spans="1:23" ht="15.75" x14ac:dyDescent="0.3">
      <c r="A100" s="117" t="s">
        <v>9965</v>
      </c>
      <c r="B100" s="110">
        <f>IF(ISBLANK('Tank Loss 1'!C202),'Tank Loss 1'!B202,'Tank Loss 1'!C202)</f>
        <v>1</v>
      </c>
      <c r="C100" s="110">
        <f>IF(ISBLANK('Tank Loss 2'!C202),'Tank Loss 2'!B202,'Tank Loss 2'!C202)</f>
        <v>1</v>
      </c>
      <c r="D100" s="110">
        <f>IF(ISBLANK('Tank Loss 3'!C202),'Tank Loss 3'!B202,'Tank Loss 3'!C202)</f>
        <v>1</v>
      </c>
      <c r="E100" s="110">
        <f>IF(ISBLANK('Tank Loss 4'!C202),'Tank Loss 4'!B202,'Tank Loss 4'!C202)</f>
        <v>1</v>
      </c>
      <c r="F100" s="110">
        <f>IF(ISBLANK('Tank Loss 5'!C202),'Tank Loss 5'!B202,'Tank Loss 5'!C202)</f>
        <v>1</v>
      </c>
      <c r="G100" s="208" t="s">
        <v>9545</v>
      </c>
      <c r="H100" s="182">
        <f>EXP(H96-(((H97*1.8)+491.67)/$E$42))</f>
        <v>0.34314054666570826</v>
      </c>
      <c r="I100" s="209">
        <f t="shared" ref="I100:V100" si="20">EXP(I96-(((I97*1.8)+491.67)/$E$42))</f>
        <v>0.34314054666570826</v>
      </c>
      <c r="J100" s="209">
        <f t="shared" si="20"/>
        <v>0.34314054666570826</v>
      </c>
      <c r="K100" s="209">
        <f t="shared" si="20"/>
        <v>0.34314054666570826</v>
      </c>
      <c r="L100" s="209">
        <f t="shared" si="20"/>
        <v>0.34314054666570826</v>
      </c>
      <c r="M100" s="209">
        <f t="shared" si="20"/>
        <v>0.34314054666570826</v>
      </c>
      <c r="N100" s="209">
        <f t="shared" si="20"/>
        <v>0.34314054666570826</v>
      </c>
      <c r="O100" s="209">
        <f t="shared" si="20"/>
        <v>0.34314054666570826</v>
      </c>
      <c r="P100" s="209">
        <f t="shared" si="20"/>
        <v>0.34314054666570826</v>
      </c>
      <c r="Q100" s="209">
        <f t="shared" si="20"/>
        <v>0.34314054666570826</v>
      </c>
      <c r="R100" s="209">
        <f t="shared" si="20"/>
        <v>0.34314054666570826</v>
      </c>
      <c r="S100" s="209">
        <f t="shared" si="20"/>
        <v>0.34314054666570826</v>
      </c>
      <c r="T100" s="209">
        <f t="shared" si="20"/>
        <v>0.34314054666570826</v>
      </c>
      <c r="U100" s="209">
        <f t="shared" si="20"/>
        <v>0.34314054666570826</v>
      </c>
      <c r="V100" s="209">
        <f t="shared" si="20"/>
        <v>0.34314054666570826</v>
      </c>
      <c r="W100" s="210"/>
    </row>
    <row r="101" spans="1:23" ht="15.75" x14ac:dyDescent="0.3">
      <c r="A101" s="109" t="s">
        <v>9966</v>
      </c>
      <c r="B101" s="110">
        <f>'Tank Loss 1'!C203</f>
        <v>0</v>
      </c>
      <c r="C101" s="110">
        <f>'Tank Loss 2'!C203</f>
        <v>0</v>
      </c>
      <c r="D101" s="110">
        <f>'Tank Loss 3'!C203</f>
        <v>0</v>
      </c>
      <c r="E101" s="110">
        <f>'Tank Loss 4'!C203</f>
        <v>0</v>
      </c>
      <c r="F101" s="110">
        <f>'Tank Loss 5'!C203</f>
        <v>0</v>
      </c>
      <c r="G101" s="208" t="s">
        <v>9546</v>
      </c>
      <c r="H101" s="212">
        <f>IF(H85=0,0,'Tank Loss 4'!B112)</f>
        <v>0</v>
      </c>
      <c r="I101" s="213">
        <f>IF(I85=0,0,'Tank Loss 4'!C112)</f>
        <v>0</v>
      </c>
      <c r="J101" s="213">
        <f>IF(J85=0,0,'Tank Loss 4'!D112)</f>
        <v>0</v>
      </c>
      <c r="K101" s="213">
        <f>IF(K85=0,0,'Tank Loss 4'!E112)</f>
        <v>0</v>
      </c>
      <c r="L101" s="213">
        <f>IF(L85=0,0,'Tank Loss 4'!F112)</f>
        <v>0</v>
      </c>
      <c r="M101" s="213">
        <f>IF(M85=0,0,'Tank Loss 4'!G112)</f>
        <v>0</v>
      </c>
      <c r="N101" s="213">
        <f>IF(N85=0,0,'Tank Loss 4'!H112)</f>
        <v>0</v>
      </c>
      <c r="O101" s="213">
        <f>IF(O85=0,0,'Tank Loss 4'!I112)</f>
        <v>0</v>
      </c>
      <c r="P101" s="213">
        <f>IF(P85=0,0,'Tank Loss 4'!J112)</f>
        <v>0</v>
      </c>
      <c r="Q101" s="213">
        <f>IF(Q85=0,0,'Tank Loss 4'!K112)</f>
        <v>0</v>
      </c>
      <c r="R101" s="213">
        <f>IF(R85=0,0,'Tank Loss 4'!L112)</f>
        <v>0</v>
      </c>
      <c r="S101" s="213">
        <f>IF(S85=0,0,'Tank Loss 4'!M112)</f>
        <v>0</v>
      </c>
      <c r="T101" s="213">
        <f>IF(T85=0,0,'Tank Loss 4'!N112)</f>
        <v>0</v>
      </c>
      <c r="U101" s="213">
        <f>IF(U85=0,0,'Tank Loss 4'!O112)</f>
        <v>0</v>
      </c>
      <c r="V101" s="213">
        <f>IF(V85=0,0,'Tank Loss 4'!P112)</f>
        <v>0</v>
      </c>
      <c r="W101" s="214">
        <f t="shared" ref="W101:W106" si="21">SUM(H101:Q101)</f>
        <v>0</v>
      </c>
    </row>
    <row r="102" spans="1:23" x14ac:dyDescent="0.2">
      <c r="A102" s="109" t="s">
        <v>9621</v>
      </c>
      <c r="B102" s="110">
        <f>IF(ISBLANK('Tank Loss 1'!C206),'Tank Loss 1'!B206,'Tank Loss 1'!C206)</f>
        <v>0</v>
      </c>
      <c r="C102" s="110">
        <f>IF(ISBLANK('Tank Loss 2'!C206),'Tank Loss 2'!B206,'Tank Loss 2'!C206)</f>
        <v>0</v>
      </c>
      <c r="D102" s="110">
        <f>IF(ISBLANK('Tank Loss 3'!C206),'Tank Loss 3'!B206,'Tank Loss 3'!C206)</f>
        <v>0</v>
      </c>
      <c r="E102" s="110">
        <f>IF(ISBLANK('Tank Loss 4'!C206),'Tank Loss 4'!B206,'Tank Loss 4'!C206)</f>
        <v>0</v>
      </c>
      <c r="F102" s="110">
        <f>IF(ISBLANK('Tank Loss 5'!C206),'Tank Loss 5'!B206,'Tank Loss 5'!C206)</f>
        <v>0</v>
      </c>
      <c r="G102" s="208" t="s">
        <v>9548</v>
      </c>
      <c r="H102" s="212">
        <f>IF(H85=0,0,'Tank Loss 4'!B113)</f>
        <v>0</v>
      </c>
      <c r="I102" s="213">
        <f>IF(I85=0,0,'Tank Loss 4'!C113)</f>
        <v>0</v>
      </c>
      <c r="J102" s="213">
        <f>IF(J85=0,0,'Tank Loss 4'!D113)</f>
        <v>0</v>
      </c>
      <c r="K102" s="213">
        <f>IF(K85=0,0,'Tank Loss 4'!E113)</f>
        <v>0</v>
      </c>
      <c r="L102" s="213">
        <f>IF(L85=0,0,'Tank Loss 4'!F113)</f>
        <v>0</v>
      </c>
      <c r="M102" s="213">
        <f>IF(M85=0,0,'Tank Loss 4'!G113)</f>
        <v>0</v>
      </c>
      <c r="N102" s="213">
        <f>IF(N85=0,0,'Tank Loss 4'!H113)</f>
        <v>0</v>
      </c>
      <c r="O102" s="213">
        <f>IF(O85=0,0,'Tank Loss 4'!I113)</f>
        <v>0</v>
      </c>
      <c r="P102" s="213">
        <f>IF(P85=0,0,'Tank Loss 4'!J113)</f>
        <v>0</v>
      </c>
      <c r="Q102" s="213">
        <f>IF(Q85=0,0,'Tank Loss 4'!K113)</f>
        <v>0</v>
      </c>
      <c r="R102" s="213">
        <f>IF(R85=0,0,'Tank Loss 4'!L113)</f>
        <v>0</v>
      </c>
      <c r="S102" s="213">
        <f>IF(S85=0,0,'Tank Loss 4'!M113)</f>
        <v>0</v>
      </c>
      <c r="T102" s="213">
        <f>IF(T85=0,0,'Tank Loss 4'!N113)</f>
        <v>0</v>
      </c>
      <c r="U102" s="213">
        <f>IF(U85=0,0,'Tank Loss 4'!O113)</f>
        <v>0</v>
      </c>
      <c r="V102" s="213">
        <f>IF(V85=0,0,'Tank Loss 4'!P113)</f>
        <v>0</v>
      </c>
      <c r="W102" s="214">
        <f t="shared" si="21"/>
        <v>0</v>
      </c>
    </row>
    <row r="103" spans="1:23" x14ac:dyDescent="0.2">
      <c r="A103" s="109" t="s">
        <v>9622</v>
      </c>
      <c r="B103" s="110">
        <f>0.6*B104*B96</f>
        <v>0</v>
      </c>
      <c r="C103" s="110">
        <f>0.6*C104*C96</f>
        <v>0</v>
      </c>
      <c r="D103" s="110">
        <f>0.6*D104*D96</f>
        <v>0</v>
      </c>
      <c r="E103" s="110">
        <f>0.6*E104*E96</f>
        <v>0</v>
      </c>
      <c r="F103" s="110">
        <f>0.6*F104*F96</f>
        <v>0</v>
      </c>
      <c r="G103" s="208" t="s">
        <v>9550</v>
      </c>
      <c r="H103" s="182">
        <f>IF(H85=0,0,'Tank Loss 4'!B114)</f>
        <v>0</v>
      </c>
      <c r="I103" s="209">
        <f>IF(I85=0,0,'Tank Loss 4'!C114)</f>
        <v>0</v>
      </c>
      <c r="J103" s="209">
        <f>IF(J85=0,0,'Tank Loss 4'!D114)</f>
        <v>0</v>
      </c>
      <c r="K103" s="209">
        <f>IF(K85=0,0,'Tank Loss 4'!E114)</f>
        <v>0</v>
      </c>
      <c r="L103" s="209">
        <f>IF(L85=0,0,'Tank Loss 4'!F114)</f>
        <v>0</v>
      </c>
      <c r="M103" s="209">
        <f>IF(M85=0,0,'Tank Loss 4'!G114)</f>
        <v>0</v>
      </c>
      <c r="N103" s="209">
        <f>IF(N85=0,0,'Tank Loss 4'!H114)</f>
        <v>0</v>
      </c>
      <c r="O103" s="209">
        <f>IF(O85=0,0,'Tank Loss 4'!I114)</f>
        <v>0</v>
      </c>
      <c r="P103" s="209">
        <f>IF(P85=0,0,'Tank Loss 4'!J114)</f>
        <v>0</v>
      </c>
      <c r="Q103" s="209">
        <f>IF(Q85=0,0,'Tank Loss 4'!K114)</f>
        <v>0</v>
      </c>
      <c r="R103" s="209">
        <f>IF(R85=0,0,'Tank Loss 4'!L114)</f>
        <v>0</v>
      </c>
      <c r="S103" s="209">
        <f>IF(S85=0,0,'Tank Loss 4'!M114)</f>
        <v>0</v>
      </c>
      <c r="T103" s="209">
        <f>IF(T85=0,0,'Tank Loss 4'!N114)</f>
        <v>0</v>
      </c>
      <c r="U103" s="209">
        <f>IF(U85=0,0,'Tank Loss 4'!O114)</f>
        <v>0</v>
      </c>
      <c r="V103" s="209">
        <f>IF(V85=0,0,'Tank Loss 4'!P114)</f>
        <v>0</v>
      </c>
      <c r="W103" s="184">
        <f t="shared" si="21"/>
        <v>0</v>
      </c>
    </row>
    <row r="104" spans="1:23" x14ac:dyDescent="0.2">
      <c r="A104" s="109" t="s">
        <v>9616</v>
      </c>
      <c r="B104" s="110">
        <f>(B93*B108)/(10.731*B95)</f>
        <v>0</v>
      </c>
      <c r="C104" s="110">
        <f>(C93*C108)/(10.731*C95)</f>
        <v>0</v>
      </c>
      <c r="D104" s="110">
        <f>(D93*D108)/(10.731*D95)</f>
        <v>0</v>
      </c>
      <c r="E104" s="110">
        <f>(E93*E108)/(10.731*E95)</f>
        <v>0</v>
      </c>
      <c r="F104" s="110">
        <f>(F93*F108)/(10.731*F95)</f>
        <v>0</v>
      </c>
      <c r="G104" s="208" t="s">
        <v>9552</v>
      </c>
      <c r="H104" s="182">
        <f>H103*H91</f>
        <v>0</v>
      </c>
      <c r="I104" s="209">
        <f t="shared" ref="I104:V104" si="22">I103*I91</f>
        <v>0</v>
      </c>
      <c r="J104" s="209">
        <f t="shared" si="22"/>
        <v>0</v>
      </c>
      <c r="K104" s="209">
        <f t="shared" si="22"/>
        <v>0</v>
      </c>
      <c r="L104" s="209">
        <f t="shared" si="22"/>
        <v>0</v>
      </c>
      <c r="M104" s="209">
        <f t="shared" si="22"/>
        <v>0</v>
      </c>
      <c r="N104" s="209">
        <f t="shared" si="22"/>
        <v>0</v>
      </c>
      <c r="O104" s="209">
        <f t="shared" si="22"/>
        <v>0</v>
      </c>
      <c r="P104" s="209">
        <f t="shared" si="22"/>
        <v>0</v>
      </c>
      <c r="Q104" s="209">
        <f t="shared" si="22"/>
        <v>0</v>
      </c>
      <c r="R104" s="209">
        <f t="shared" si="22"/>
        <v>0</v>
      </c>
      <c r="S104" s="209">
        <f t="shared" si="22"/>
        <v>0</v>
      </c>
      <c r="T104" s="209">
        <f t="shared" si="22"/>
        <v>0</v>
      </c>
      <c r="U104" s="209">
        <f t="shared" si="22"/>
        <v>0</v>
      </c>
      <c r="V104" s="209">
        <f t="shared" si="22"/>
        <v>0</v>
      </c>
      <c r="W104" s="184">
        <f t="shared" si="21"/>
        <v>0</v>
      </c>
    </row>
    <row r="105" spans="1:23" x14ac:dyDescent="0.2">
      <c r="A105" s="109" t="s">
        <v>9623</v>
      </c>
      <c r="B105" s="110">
        <f>IF(ISBLANK('Tank Loss 1'!C207),'Tank Loss 1'!B207,'Tank Loss 1'!C207)</f>
        <v>0.15</v>
      </c>
      <c r="C105" s="110">
        <f>IF(ISBLANK('Tank Loss 2'!C207),'Tank Loss 2'!B207,'Tank Loss 2'!C207)</f>
        <v>0.15</v>
      </c>
      <c r="D105" s="110">
        <f>IF(ISBLANK('Tank Loss 3'!C207),'Tank Loss 3'!B207,'Tank Loss 3'!C207)</f>
        <v>0.15</v>
      </c>
      <c r="E105" s="110">
        <f>IF(ISBLANK('Tank Loss 4'!C207),'Tank Loss 4'!B207,'Tank Loss 4'!C207)</f>
        <v>0.15</v>
      </c>
      <c r="F105" s="110">
        <f>IF(ISBLANK('Tank Loss 5'!C207),'Tank Loss 5'!B207,'Tank Loss 5'!C207)</f>
        <v>0.15</v>
      </c>
      <c r="G105" s="208" t="s">
        <v>9554</v>
      </c>
      <c r="H105" s="182">
        <f t="shared" ref="H105:V105" si="23">IFERROR(H104/$W104,0)</f>
        <v>0</v>
      </c>
      <c r="I105" s="209">
        <f t="shared" si="23"/>
        <v>0</v>
      </c>
      <c r="J105" s="209">
        <f t="shared" si="23"/>
        <v>0</v>
      </c>
      <c r="K105" s="209">
        <f t="shared" si="23"/>
        <v>0</v>
      </c>
      <c r="L105" s="209">
        <f t="shared" si="23"/>
        <v>0</v>
      </c>
      <c r="M105" s="209">
        <f t="shared" si="23"/>
        <v>0</v>
      </c>
      <c r="N105" s="209">
        <f t="shared" si="23"/>
        <v>0</v>
      </c>
      <c r="O105" s="209">
        <f t="shared" si="23"/>
        <v>0</v>
      </c>
      <c r="P105" s="209">
        <f t="shared" si="23"/>
        <v>0</v>
      </c>
      <c r="Q105" s="209">
        <f t="shared" si="23"/>
        <v>0</v>
      </c>
      <c r="R105" s="209">
        <f t="shared" si="23"/>
        <v>0</v>
      </c>
      <c r="S105" s="209">
        <f t="shared" si="23"/>
        <v>0</v>
      </c>
      <c r="T105" s="209">
        <f t="shared" si="23"/>
        <v>0</v>
      </c>
      <c r="U105" s="209">
        <f t="shared" si="23"/>
        <v>0</v>
      </c>
      <c r="V105" s="209">
        <f t="shared" si="23"/>
        <v>0</v>
      </c>
      <c r="W105" s="184">
        <f t="shared" si="21"/>
        <v>0</v>
      </c>
    </row>
    <row r="106" spans="1:23" x14ac:dyDescent="0.2">
      <c r="A106" s="109" t="s">
        <v>9624</v>
      </c>
      <c r="B106" s="110">
        <f>IF(ISBLANK('Tank Loss 1'!C208),'Tank Loss 1'!B208,'Tank Loss 1'!C208)</f>
        <v>1</v>
      </c>
      <c r="C106" s="110">
        <f>IF(ISBLANK('Tank Loss 2'!C208),'Tank Loss 2'!B208,'Tank Loss 2'!C208)</f>
        <v>1</v>
      </c>
      <c r="D106" s="110">
        <f>IF(ISBLANK('Tank Loss 3'!C208),'Tank Loss 3'!B208,'Tank Loss 3'!C208)</f>
        <v>1</v>
      </c>
      <c r="E106" s="110">
        <f>IF(ISBLANK('Tank Loss 4'!C208),'Tank Loss 4'!B208,'Tank Loss 4'!C208)</f>
        <v>1</v>
      </c>
      <c r="F106" s="110">
        <f>IF(ISBLANK('Tank Loss 5'!C208),'Tank Loss 5'!B208,'Tank Loss 5'!C208)</f>
        <v>1</v>
      </c>
      <c r="G106" s="208" t="s">
        <v>9556</v>
      </c>
      <c r="H106" s="182" t="str">
        <f>'Tank Loss 4'!B115</f>
        <v/>
      </c>
      <c r="I106" s="209" t="str">
        <f>'Tank Loss 4'!C115</f>
        <v/>
      </c>
      <c r="J106" s="209" t="str">
        <f>'Tank Loss 4'!D115</f>
        <v/>
      </c>
      <c r="K106" s="209" t="str">
        <f>'Tank Loss 4'!E115</f>
        <v/>
      </c>
      <c r="L106" s="209" t="str">
        <f>'Tank Loss 4'!F115</f>
        <v/>
      </c>
      <c r="M106" s="209" t="str">
        <f>'Tank Loss 4'!G115</f>
        <v/>
      </c>
      <c r="N106" s="209" t="str">
        <f>'Tank Loss 4'!H115</f>
        <v/>
      </c>
      <c r="O106" s="209" t="str">
        <f>'Tank Loss 4'!I115</f>
        <v/>
      </c>
      <c r="P106" s="209" t="str">
        <f>'Tank Loss 4'!J115</f>
        <v/>
      </c>
      <c r="Q106" s="209" t="str">
        <f>'Tank Loss 4'!K115</f>
        <v/>
      </c>
      <c r="R106" s="209" t="str">
        <f>'Tank Loss 4'!L115</f>
        <v/>
      </c>
      <c r="S106" s="209" t="str">
        <f>'Tank Loss 4'!M115</f>
        <v/>
      </c>
      <c r="T106" s="209" t="str">
        <f>'Tank Loss 4'!N115</f>
        <v/>
      </c>
      <c r="U106" s="209" t="str">
        <f>'Tank Loss 4'!O115</f>
        <v/>
      </c>
      <c r="V106" s="209" t="str">
        <f>'Tank Loss 4'!P115</f>
        <v/>
      </c>
      <c r="W106" s="214">
        <f t="shared" si="21"/>
        <v>0</v>
      </c>
    </row>
    <row r="107" spans="1:23" ht="15.75" x14ac:dyDescent="0.3">
      <c r="A107" s="109" t="s">
        <v>9967</v>
      </c>
      <c r="B107" s="110">
        <f>'Tank Loss 1'!C209</f>
        <v>0</v>
      </c>
      <c r="C107" s="110">
        <f>'Tank Loss 2'!C209</f>
        <v>0</v>
      </c>
      <c r="D107" s="110">
        <f>'Tank Loss 3'!C209</f>
        <v>0</v>
      </c>
      <c r="E107" s="110">
        <f>'Tank Loss 4'!C209</f>
        <v>0</v>
      </c>
      <c r="F107" s="110">
        <f>'Tank Loss 5'!C209</f>
        <v>0</v>
      </c>
      <c r="G107" s="208" t="s">
        <v>9558</v>
      </c>
      <c r="H107" s="182" t="str">
        <f>'Tank Loss 4'!B116</f>
        <v/>
      </c>
      <c r="I107" s="209" t="str">
        <f>'Tank Loss 4'!C116</f>
        <v/>
      </c>
      <c r="J107" s="209" t="str">
        <f>'Tank Loss 4'!D116</f>
        <v/>
      </c>
      <c r="K107" s="209" t="str">
        <f>'Tank Loss 4'!E116</f>
        <v/>
      </c>
      <c r="L107" s="209" t="str">
        <f>'Tank Loss 4'!F116</f>
        <v/>
      </c>
      <c r="M107" s="209" t="str">
        <f>'Tank Loss 4'!G116</f>
        <v/>
      </c>
      <c r="N107" s="209" t="str">
        <f>'Tank Loss 4'!H116</f>
        <v/>
      </c>
      <c r="O107" s="209" t="str">
        <f>'Tank Loss 4'!I116</f>
        <v/>
      </c>
      <c r="P107" s="209" t="str">
        <f>'Tank Loss 4'!J116</f>
        <v/>
      </c>
      <c r="Q107" s="209" t="str">
        <f>'Tank Loss 4'!K116</f>
        <v/>
      </c>
      <c r="R107" s="209" t="str">
        <f>'Tank Loss 4'!L116</f>
        <v/>
      </c>
      <c r="S107" s="209" t="str">
        <f>'Tank Loss 4'!M116</f>
        <v/>
      </c>
      <c r="T107" s="209" t="str">
        <f>'Tank Loss 4'!N116</f>
        <v/>
      </c>
      <c r="U107" s="209" t="str">
        <f>'Tank Loss 4'!O116</f>
        <v/>
      </c>
      <c r="V107" s="209" t="str">
        <f>'Tank Loss 4'!P116</f>
        <v/>
      </c>
      <c r="W107" s="184">
        <f>SUM(H107:Q107)</f>
        <v>0</v>
      </c>
    </row>
    <row r="108" spans="1:23" ht="16.5" thickBot="1" x14ac:dyDescent="0.35">
      <c r="A108" s="115" t="s">
        <v>9968</v>
      </c>
      <c r="B108" s="118">
        <f>IF(ISBLANK('Tank Loss 1'!C210),'Tank Loss 1'!B210,'Tank Loss 1'!C210)</f>
        <v>0</v>
      </c>
      <c r="C108" s="118">
        <f>IF(ISBLANK('Tank Loss 2'!C210),'Tank Loss 2'!B210,'Tank Loss 2'!C210)</f>
        <v>0</v>
      </c>
      <c r="D108" s="118">
        <f>IF(ISBLANK('Tank Loss 3'!C210),'Tank Loss 3'!B210,'Tank Loss 3'!C210)</f>
        <v>0</v>
      </c>
      <c r="E108" s="118">
        <f>IF(ISBLANK('Tank Loss 4'!C210),'Tank Loss 4'!B210,'Tank Loss 4'!C210)</f>
        <v>0</v>
      </c>
      <c r="F108" s="118">
        <f>IF(ISBLANK('Tank Loss 5'!C210),'Tank Loss 5'!B210,'Tank Loss 5'!C210)</f>
        <v>0</v>
      </c>
      <c r="G108" s="216" t="s">
        <v>9560</v>
      </c>
      <c r="H108" s="188" t="str">
        <f>'Tank Loss 4'!B117</f>
        <v/>
      </c>
      <c r="I108" s="217" t="str">
        <f>'Tank Loss 4'!C117</f>
        <v/>
      </c>
      <c r="J108" s="217" t="str">
        <f>'Tank Loss 4'!D117</f>
        <v/>
      </c>
      <c r="K108" s="217" t="str">
        <f>'Tank Loss 4'!E117</f>
        <v/>
      </c>
      <c r="L108" s="217" t="str">
        <f>'Tank Loss 4'!F117</f>
        <v/>
      </c>
      <c r="M108" s="217" t="str">
        <f>'Tank Loss 4'!G117</f>
        <v/>
      </c>
      <c r="N108" s="217" t="str">
        <f>'Tank Loss 4'!H117</f>
        <v/>
      </c>
      <c r="O108" s="217" t="str">
        <f>'Tank Loss 4'!I117</f>
        <v/>
      </c>
      <c r="P108" s="217" t="str">
        <f>'Tank Loss 4'!J117</f>
        <v/>
      </c>
      <c r="Q108" s="217" t="str">
        <f>'Tank Loss 4'!K117</f>
        <v/>
      </c>
      <c r="R108" s="217" t="str">
        <f>'Tank Loss 4'!L117</f>
        <v/>
      </c>
      <c r="S108" s="217" t="str">
        <f>'Tank Loss 4'!M117</f>
        <v/>
      </c>
      <c r="T108" s="217" t="str">
        <f>'Tank Loss 4'!N117</f>
        <v/>
      </c>
      <c r="U108" s="217" t="str">
        <f>'Tank Loss 4'!O117</f>
        <v/>
      </c>
      <c r="V108" s="217" t="str">
        <f>'Tank Loss 4'!P117</f>
        <v/>
      </c>
      <c r="W108" s="191">
        <f>SUM(H108:Q108)</f>
        <v>0</v>
      </c>
    </row>
    <row r="109" spans="1:23" ht="13.5" thickBot="1" x14ac:dyDescent="0.25">
      <c r="A109" s="113" t="s">
        <v>9625</v>
      </c>
      <c r="B109" s="119">
        <f>(5.98*(B8^2)*B90*B83)-B114+(0.15*B97*B96)</f>
        <v>0</v>
      </c>
      <c r="C109" s="119">
        <f>(5.98*(C8^2)*C90*C83)-C114+(0.15*C97*C96)</f>
        <v>0</v>
      </c>
      <c r="D109" s="119">
        <f>(5.98*(D8^2)*D90*D83)-D114+(0.15*D97*D96)</f>
        <v>0</v>
      </c>
      <c r="E109" s="119">
        <f>(5.98*(E8^2)*E90*E83)-E114+(0.15*E97*E96)</f>
        <v>0</v>
      </c>
      <c r="F109" s="119">
        <f>(5.98*(F8^2)*F90*F83)-F114+(0.15*F97*F96)</f>
        <v>0</v>
      </c>
    </row>
    <row r="110" spans="1:23" ht="13.5" thickBot="1" x14ac:dyDescent="0.25">
      <c r="A110" s="120" t="s">
        <v>9626</v>
      </c>
      <c r="B110" s="121">
        <f>'Tank Loss 1'!B278</f>
        <v>0</v>
      </c>
      <c r="C110" s="121">
        <f>'Tank Loss 2'!B278</f>
        <v>0</v>
      </c>
      <c r="D110" s="121">
        <f>'Tank Loss 3'!B278</f>
        <v>0</v>
      </c>
      <c r="E110" s="121">
        <f>'Tank Loss 4'!B278</f>
        <v>0</v>
      </c>
      <c r="F110" s="121">
        <f>'Tank Loss 5'!B278</f>
        <v>0</v>
      </c>
      <c r="G110" s="1384" t="s">
        <v>9980</v>
      </c>
      <c r="H110" s="1384"/>
      <c r="I110" s="1384"/>
      <c r="J110" s="1384"/>
      <c r="K110" s="1384"/>
      <c r="L110" s="1384"/>
      <c r="M110" s="1384"/>
      <c r="N110" s="1384"/>
      <c r="O110" s="1384"/>
      <c r="P110" s="1384"/>
      <c r="Q110" s="1384"/>
      <c r="R110" s="1384"/>
      <c r="S110" s="1384"/>
      <c r="T110" s="1384"/>
      <c r="U110" s="1384"/>
      <c r="V110" s="1384"/>
      <c r="W110" s="1385"/>
    </row>
    <row r="111" spans="1:23" ht="13.5" thickBot="1" x14ac:dyDescent="0.25">
      <c r="A111" s="122" t="s">
        <v>9627</v>
      </c>
      <c r="B111" s="123">
        <f>'Tank Loss 1'!B279</f>
        <v>0</v>
      </c>
      <c r="C111" s="123">
        <f>'Tank Loss 2'!B279</f>
        <v>0</v>
      </c>
      <c r="D111" s="123">
        <f>'Tank Loss 3'!B279</f>
        <v>0</v>
      </c>
      <c r="E111" s="123">
        <f>'Tank Loss 4'!B279</f>
        <v>0</v>
      </c>
      <c r="F111" s="123">
        <f>'Tank Loss 5'!B279</f>
        <v>0</v>
      </c>
      <c r="G111" s="200" t="s">
        <v>9502</v>
      </c>
      <c r="H111" s="201" t="s">
        <v>9503</v>
      </c>
      <c r="I111" s="202" t="s">
        <v>9504</v>
      </c>
      <c r="J111" s="202" t="s">
        <v>9505</v>
      </c>
      <c r="K111" s="202" t="s">
        <v>9506</v>
      </c>
      <c r="L111" s="202" t="s">
        <v>9507</v>
      </c>
      <c r="M111" s="202" t="s">
        <v>9508</v>
      </c>
      <c r="N111" s="202" t="s">
        <v>9509</v>
      </c>
      <c r="O111" s="202" t="s">
        <v>9510</v>
      </c>
      <c r="P111" s="202" t="s">
        <v>9511</v>
      </c>
      <c r="Q111" s="202" t="s">
        <v>9512</v>
      </c>
      <c r="R111" s="202" t="s">
        <v>9513</v>
      </c>
      <c r="S111" s="202" t="s">
        <v>9514</v>
      </c>
      <c r="T111" s="202" t="s">
        <v>9515</v>
      </c>
      <c r="U111" s="202" t="s">
        <v>9516</v>
      </c>
      <c r="V111" s="202" t="s">
        <v>9517</v>
      </c>
      <c r="W111" s="203" t="s">
        <v>1</v>
      </c>
    </row>
    <row r="112" spans="1:23" x14ac:dyDescent="0.2">
      <c r="A112" s="115" t="s">
        <v>9628</v>
      </c>
      <c r="B112" s="123">
        <f>'Tank Loss 1'!B280</f>
        <v>0</v>
      </c>
      <c r="C112" s="123">
        <f>'Tank Loss 2'!B280</f>
        <v>0</v>
      </c>
      <c r="D112" s="123">
        <f>'Tank Loss 3'!B280</f>
        <v>0</v>
      </c>
      <c r="E112" s="123">
        <f>'Tank Loss 4'!B280</f>
        <v>0</v>
      </c>
      <c r="F112" s="123">
        <f>'Tank Loss 5'!B280</f>
        <v>0</v>
      </c>
      <c r="G112" s="204" t="s">
        <v>9519</v>
      </c>
      <c r="H112" s="205">
        <f>'Tank Loss 5'!B18</f>
        <v>0</v>
      </c>
      <c r="I112" s="206">
        <f>'Tank Loss 5'!C18</f>
        <v>0</v>
      </c>
      <c r="J112" s="206">
        <f>'Tank Loss 5'!D18</f>
        <v>0</v>
      </c>
      <c r="K112" s="206">
        <f>'Tank Loss 5'!E18</f>
        <v>0</v>
      </c>
      <c r="L112" s="206">
        <f>'Tank Loss 5'!F18</f>
        <v>0</v>
      </c>
      <c r="M112" s="206">
        <f>'Tank Loss 5'!G18</f>
        <v>0</v>
      </c>
      <c r="N112" s="206">
        <f>'Tank Loss 5'!H18</f>
        <v>0</v>
      </c>
      <c r="O112" s="206">
        <f>'Tank Loss 5'!I18</f>
        <v>0</v>
      </c>
      <c r="P112" s="206">
        <f>'Tank Loss 5'!J18</f>
        <v>0</v>
      </c>
      <c r="Q112" s="206">
        <f>'Tank Loss 5'!K18</f>
        <v>0</v>
      </c>
      <c r="R112" s="206">
        <f>'Tank Loss 5'!L18</f>
        <v>0</v>
      </c>
      <c r="S112" s="206">
        <f>'Tank Loss 5'!M18</f>
        <v>0</v>
      </c>
      <c r="T112" s="206">
        <f>'Tank Loss 5'!N18</f>
        <v>0</v>
      </c>
      <c r="U112" s="206">
        <f>'Tank Loss 5'!O18</f>
        <v>0</v>
      </c>
      <c r="V112" s="206">
        <f>'Tank Loss 5'!P18</f>
        <v>0</v>
      </c>
      <c r="W112" s="207"/>
    </row>
    <row r="113" spans="1:23" x14ac:dyDescent="0.2">
      <c r="A113" s="109" t="s">
        <v>9629</v>
      </c>
      <c r="B113" s="123">
        <f>'Tank Loss 1'!B281</f>
        <v>0</v>
      </c>
      <c r="C113" s="123">
        <f>'Tank Loss 2'!B281</f>
        <v>0</v>
      </c>
      <c r="D113" s="123">
        <f>'Tank Loss 3'!B281</f>
        <v>0</v>
      </c>
      <c r="E113" s="123">
        <f>'Tank Loss 4'!B281</f>
        <v>0</v>
      </c>
      <c r="F113" s="123">
        <f>'Tank Loss 5'!B281</f>
        <v>0</v>
      </c>
      <c r="G113" s="208" t="s">
        <v>9521</v>
      </c>
      <c r="H113" s="182">
        <f>'Tank Loss 5'!B19</f>
        <v>0</v>
      </c>
      <c r="I113" s="209">
        <f>'Tank Loss 5'!C19</f>
        <v>0</v>
      </c>
      <c r="J113" s="209">
        <f>'Tank Loss 5'!D19</f>
        <v>0</v>
      </c>
      <c r="K113" s="209">
        <f>'Tank Loss 5'!E19</f>
        <v>0</v>
      </c>
      <c r="L113" s="209">
        <f>'Tank Loss 5'!F19</f>
        <v>0</v>
      </c>
      <c r="M113" s="209">
        <f>'Tank Loss 5'!G19</f>
        <v>0</v>
      </c>
      <c r="N113" s="209">
        <f>'Tank Loss 5'!H19</f>
        <v>0</v>
      </c>
      <c r="O113" s="209">
        <f>'Tank Loss 5'!I19</f>
        <v>0</v>
      </c>
      <c r="P113" s="209">
        <f>'Tank Loss 5'!J19</f>
        <v>0</v>
      </c>
      <c r="Q113" s="209">
        <f>'Tank Loss 5'!K19</f>
        <v>0</v>
      </c>
      <c r="R113" s="209">
        <f>'Tank Loss 5'!L19</f>
        <v>0</v>
      </c>
      <c r="S113" s="209">
        <f>'Tank Loss 5'!M19</f>
        <v>0</v>
      </c>
      <c r="T113" s="209">
        <f>'Tank Loss 5'!N19</f>
        <v>0</v>
      </c>
      <c r="U113" s="209">
        <f>'Tank Loss 5'!O19</f>
        <v>0</v>
      </c>
      <c r="V113" s="209">
        <f>'Tank Loss 5'!P19</f>
        <v>0</v>
      </c>
      <c r="W113" s="210"/>
    </row>
    <row r="114" spans="1:23" x14ac:dyDescent="0.2">
      <c r="A114" s="109" t="s">
        <v>9630</v>
      </c>
      <c r="B114" s="123">
        <f>'Tank Loss 1'!B287</f>
        <v>0</v>
      </c>
      <c r="C114" s="123">
        <f>'Tank Loss 2'!B287</f>
        <v>0</v>
      </c>
      <c r="D114" s="123">
        <f>'Tank Loss 3'!B287</f>
        <v>0</v>
      </c>
      <c r="E114" s="123">
        <f>'Tank Loss 4'!B287</f>
        <v>0</v>
      </c>
      <c r="F114" s="123">
        <f>'Tank Loss 5'!B287</f>
        <v>0</v>
      </c>
      <c r="G114" s="208" t="s">
        <v>9523</v>
      </c>
      <c r="H114" s="182">
        <f>'Tank Loss 5'!B20</f>
        <v>0</v>
      </c>
      <c r="I114" s="209">
        <f>'Tank Loss 5'!C20</f>
        <v>0</v>
      </c>
      <c r="J114" s="209">
        <f>'Tank Loss 5'!D20</f>
        <v>0</v>
      </c>
      <c r="K114" s="209">
        <f>'Tank Loss 5'!E20</f>
        <v>0</v>
      </c>
      <c r="L114" s="209">
        <f>'Tank Loss 5'!F20</f>
        <v>0</v>
      </c>
      <c r="M114" s="209">
        <f>'Tank Loss 5'!G20</f>
        <v>0</v>
      </c>
      <c r="N114" s="209">
        <f>'Tank Loss 5'!H20</f>
        <v>0</v>
      </c>
      <c r="O114" s="209">
        <f>'Tank Loss 5'!I20</f>
        <v>0</v>
      </c>
      <c r="P114" s="209">
        <f>'Tank Loss 5'!J20</f>
        <v>0</v>
      </c>
      <c r="Q114" s="209">
        <f>'Tank Loss 5'!K20</f>
        <v>0</v>
      </c>
      <c r="R114" s="209">
        <f>'Tank Loss 5'!L20</f>
        <v>0</v>
      </c>
      <c r="S114" s="209">
        <f>'Tank Loss 5'!M20</f>
        <v>0</v>
      </c>
      <c r="T114" s="209">
        <f>'Tank Loss 5'!N20</f>
        <v>0</v>
      </c>
      <c r="U114" s="209">
        <f>'Tank Loss 5'!O20</f>
        <v>0</v>
      </c>
      <c r="V114" s="209">
        <f>'Tank Loss 5'!P20</f>
        <v>0</v>
      </c>
      <c r="W114" s="184">
        <f>SUM(H114:V114)</f>
        <v>0</v>
      </c>
    </row>
    <row r="115" spans="1:23" x14ac:dyDescent="0.2">
      <c r="A115" s="109" t="s">
        <v>9631</v>
      </c>
      <c r="B115" s="123">
        <f>'Tank Loss 1'!B289</f>
        <v>0</v>
      </c>
      <c r="C115" s="123">
        <f>'Tank Loss 2'!B289</f>
        <v>0</v>
      </c>
      <c r="D115" s="123">
        <f>'Tank Loss 3'!B289</f>
        <v>0</v>
      </c>
      <c r="E115" s="123">
        <f>'Tank Loss 4'!B289</f>
        <v>0</v>
      </c>
      <c r="F115" s="123">
        <f>'Tank Loss 5'!B289</f>
        <v>0</v>
      </c>
      <c r="G115" s="208" t="s">
        <v>9201</v>
      </c>
      <c r="H115" s="182">
        <f>IF(ISBLANK('Tank Loss 5'!B22),'Tank Loss 5'!B21,'Tank Loss 5'!B22)</f>
        <v>0</v>
      </c>
      <c r="I115" s="209">
        <f>IF(ISBLANK('Tank Loss 5'!C22),'Tank Loss 5'!C21,'Tank Loss 5'!C22)</f>
        <v>0</v>
      </c>
      <c r="J115" s="209">
        <f>IF(ISBLANK('Tank Loss 5'!D22),'Tank Loss 5'!D21,'Tank Loss 5'!D22)</f>
        <v>0</v>
      </c>
      <c r="K115" s="209">
        <f>IF(ISBLANK('Tank Loss 5'!E22),'Tank Loss 5'!E21,'Tank Loss 5'!E22)</f>
        <v>0</v>
      </c>
      <c r="L115" s="209">
        <f>IF(ISBLANK('Tank Loss 5'!F22),'Tank Loss 5'!F21,'Tank Loss 5'!F22)</f>
        <v>0</v>
      </c>
      <c r="M115" s="209">
        <f>IF(ISBLANK('Tank Loss 5'!G22),'Tank Loss 5'!G21,'Tank Loss 5'!G22)</f>
        <v>0</v>
      </c>
      <c r="N115" s="209">
        <f>IF(ISBLANK('Tank Loss 5'!H22),'Tank Loss 5'!H21,'Tank Loss 5'!H22)</f>
        <v>0</v>
      </c>
      <c r="O115" s="209">
        <f>IF(ISBLANK('Tank Loss 5'!I22),'Tank Loss 5'!I21,'Tank Loss 5'!I22)</f>
        <v>0</v>
      </c>
      <c r="P115" s="209">
        <f>IF(ISBLANK('Tank Loss 5'!J22),'Tank Loss 5'!J21,'Tank Loss 5'!J22)</f>
        <v>0</v>
      </c>
      <c r="Q115" s="209">
        <f>IF(ISBLANK('Tank Loss 5'!K22),'Tank Loss 5'!K21,'Tank Loss 5'!K22)</f>
        <v>0</v>
      </c>
      <c r="R115" s="209">
        <f>IF(ISBLANK('Tank Loss 5'!L22),'Tank Loss 5'!L21,'Tank Loss 5'!L22)</f>
        <v>0</v>
      </c>
      <c r="S115" s="209">
        <f>IF(ISBLANK('Tank Loss 5'!M22),'Tank Loss 5'!M21,'Tank Loss 5'!M22)</f>
        <v>0</v>
      </c>
      <c r="T115" s="209">
        <f>IF(ISBLANK('Tank Loss 5'!N22),'Tank Loss 5'!N21,'Tank Loss 5'!N22)</f>
        <v>0</v>
      </c>
      <c r="U115" s="209">
        <f>IF(ISBLANK('Tank Loss 5'!O22),'Tank Loss 5'!O21,'Tank Loss 5'!O22)</f>
        <v>0</v>
      </c>
      <c r="V115" s="209">
        <f>IF(ISBLANK('Tank Loss 5'!P22),'Tank Loss 5'!P21,'Tank Loss 5'!P22)</f>
        <v>0</v>
      </c>
      <c r="W115" s="211">
        <f>IFERROR(1/W116,0)</f>
        <v>0</v>
      </c>
    </row>
    <row r="116" spans="1:23" x14ac:dyDescent="0.2">
      <c r="A116" s="109" t="s">
        <v>9632</v>
      </c>
      <c r="B116" s="123">
        <f>'Tank Loss 1'!B288</f>
        <v>0</v>
      </c>
      <c r="C116" s="123">
        <f>'Tank Loss 2'!B288</f>
        <v>0</v>
      </c>
      <c r="D116" s="123">
        <f>'Tank Loss 3'!B288</f>
        <v>0</v>
      </c>
      <c r="E116" s="123">
        <f>'Tank Loss 4'!B288</f>
        <v>0</v>
      </c>
      <c r="F116" s="123">
        <f>'Tank Loss 5'!B288</f>
        <v>0</v>
      </c>
      <c r="G116" s="208" t="s">
        <v>9526</v>
      </c>
      <c r="H116" s="182">
        <f>IFERROR((H114/H115),0)</f>
        <v>0</v>
      </c>
      <c r="I116" s="209">
        <f t="shared" ref="I116:V116" si="24">IFERROR((I114/I115),0)</f>
        <v>0</v>
      </c>
      <c r="J116" s="209">
        <f t="shared" si="24"/>
        <v>0</v>
      </c>
      <c r="K116" s="209">
        <f t="shared" si="24"/>
        <v>0</v>
      </c>
      <c r="L116" s="209">
        <f t="shared" si="24"/>
        <v>0</v>
      </c>
      <c r="M116" s="209">
        <f t="shared" si="24"/>
        <v>0</v>
      </c>
      <c r="N116" s="209">
        <f t="shared" si="24"/>
        <v>0</v>
      </c>
      <c r="O116" s="209">
        <f t="shared" si="24"/>
        <v>0</v>
      </c>
      <c r="P116" s="209">
        <f t="shared" si="24"/>
        <v>0</v>
      </c>
      <c r="Q116" s="209">
        <f t="shared" si="24"/>
        <v>0</v>
      </c>
      <c r="R116" s="209">
        <f t="shared" si="24"/>
        <v>0</v>
      </c>
      <c r="S116" s="209">
        <f t="shared" si="24"/>
        <v>0</v>
      </c>
      <c r="T116" s="209">
        <f t="shared" si="24"/>
        <v>0</v>
      </c>
      <c r="U116" s="209">
        <f t="shared" si="24"/>
        <v>0</v>
      </c>
      <c r="V116" s="209">
        <f t="shared" si="24"/>
        <v>0</v>
      </c>
      <c r="W116" s="184">
        <f>SUM(H116:V116)</f>
        <v>0</v>
      </c>
    </row>
    <row r="117" spans="1:23" x14ac:dyDescent="0.2">
      <c r="A117" s="109" t="s">
        <v>9633</v>
      </c>
      <c r="B117" s="123">
        <f>'Tank Loss 1'!B290</f>
        <v>0</v>
      </c>
      <c r="C117" s="123">
        <f>'Tank Loss 2'!B290</f>
        <v>0</v>
      </c>
      <c r="D117" s="123">
        <f>'Tank Loss 3'!B290</f>
        <v>0</v>
      </c>
      <c r="E117" s="123">
        <f>'Tank Loss 4'!B290</f>
        <v>0</v>
      </c>
      <c r="F117" s="123">
        <f>'Tank Loss 5'!B290</f>
        <v>0</v>
      </c>
      <c r="G117" s="208" t="s">
        <v>9528</v>
      </c>
      <c r="H117" s="182">
        <f>IF(ISBLANK('Tank Loss 5'!B24),'Tank Loss 5'!B23,'Tank Loss 5'!B24)</f>
        <v>0</v>
      </c>
      <c r="I117" s="209">
        <f>IF(ISBLANK('Tank Loss 5'!C24),'Tank Loss 5'!C23,'Tank Loss 5'!C24)</f>
        <v>0</v>
      </c>
      <c r="J117" s="209">
        <f>IF(ISBLANK('Tank Loss 5'!D24),'Tank Loss 5'!D23,'Tank Loss 5'!D24)</f>
        <v>0</v>
      </c>
      <c r="K117" s="209">
        <f>IF(ISBLANK('Tank Loss 5'!E24),'Tank Loss 5'!E23,'Tank Loss 5'!E24)</f>
        <v>0</v>
      </c>
      <c r="L117" s="209">
        <f>IF(ISBLANK('Tank Loss 5'!F24),'Tank Loss 5'!F23,'Tank Loss 5'!F24)</f>
        <v>0</v>
      </c>
      <c r="M117" s="209">
        <f>IF(ISBLANK('Tank Loss 5'!G24),'Tank Loss 5'!G23,'Tank Loss 5'!G24)</f>
        <v>0</v>
      </c>
      <c r="N117" s="209">
        <f>IF(ISBLANK('Tank Loss 5'!H24),'Tank Loss 5'!H23,'Tank Loss 5'!H24)</f>
        <v>0</v>
      </c>
      <c r="O117" s="209">
        <f>IF(ISBLANK('Tank Loss 5'!I24),'Tank Loss 5'!I23,'Tank Loss 5'!I24)</f>
        <v>0</v>
      </c>
      <c r="P117" s="209">
        <f>IF(ISBLANK('Tank Loss 5'!J24),'Tank Loss 5'!J23,'Tank Loss 5'!J24)</f>
        <v>0</v>
      </c>
      <c r="Q117" s="209">
        <f>IF(ISBLANK('Tank Loss 5'!K24),'Tank Loss 5'!K23,'Tank Loss 5'!K24)</f>
        <v>0</v>
      </c>
      <c r="R117" s="209">
        <f>IF(ISBLANK('Tank Loss 5'!L24),'Tank Loss 5'!L23,'Tank Loss 5'!L24)</f>
        <v>0</v>
      </c>
      <c r="S117" s="209">
        <f>IF(ISBLANK('Tank Loss 5'!M24),'Tank Loss 5'!M23,'Tank Loss 5'!M24)</f>
        <v>0</v>
      </c>
      <c r="T117" s="209">
        <f>IF(ISBLANK('Tank Loss 5'!N24),'Tank Loss 5'!N23,'Tank Loss 5'!N24)</f>
        <v>0</v>
      </c>
      <c r="U117" s="209">
        <f>IF(ISBLANK('Tank Loss 5'!O24),'Tank Loss 5'!O23,'Tank Loss 5'!O24)</f>
        <v>0</v>
      </c>
      <c r="V117" s="209">
        <f>IF(ISBLANK('Tank Loss 5'!P24),'Tank Loss 5'!P23,'Tank Loss 5'!P24)</f>
        <v>0</v>
      </c>
      <c r="W117" s="184">
        <f>IFERROR(IF(AND(AVERAGEIF(H117:V117,"&gt;0")=IF('Tank Loss 1'!B12="Fixed",0.75,0.4),IFERROR(AVERAGEIF(H117:V117,"&gt;0"),1)=IF('Tank Loss 1'!B12="Fixed",0.75,0.4)),IF('Tank Loss 1'!B12="Fixed",0.75,0.4),1),1)</f>
        <v>1</v>
      </c>
    </row>
    <row r="118" spans="1:23" ht="13.5" thickBot="1" x14ac:dyDescent="0.25">
      <c r="A118" s="124" t="s">
        <v>9609</v>
      </c>
      <c r="B118" s="125">
        <f>'Tank Loss 1'!B291</f>
        <v>0</v>
      </c>
      <c r="C118" s="125">
        <f>'Tank Loss 2'!B291</f>
        <v>0</v>
      </c>
      <c r="D118" s="125">
        <f>'Tank Loss 3'!B291</f>
        <v>0</v>
      </c>
      <c r="E118" s="125">
        <f>'Tank Loss 4'!B291</f>
        <v>0</v>
      </c>
      <c r="F118" s="125">
        <f>'Tank Loss 5'!B291</f>
        <v>0</v>
      </c>
      <c r="G118" s="208" t="s">
        <v>9530</v>
      </c>
      <c r="H118" s="182">
        <f>IF(ISBLANK('Tank Loss 5'!B26),'Tank Loss 5'!B25,'Tank Loss 5'!B26)</f>
        <v>0</v>
      </c>
      <c r="I118" s="209">
        <f>IF(ISBLANK('Tank Loss 5'!C26),'Tank Loss 5'!C25,'Tank Loss 5'!C26)</f>
        <v>0</v>
      </c>
      <c r="J118" s="209">
        <f>IF(ISBLANK('Tank Loss 5'!D26),'Tank Loss 5'!D25,'Tank Loss 5'!D26)</f>
        <v>0</v>
      </c>
      <c r="K118" s="209">
        <f>IF(ISBLANK('Tank Loss 5'!E26),'Tank Loss 5'!E25,'Tank Loss 5'!E26)</f>
        <v>0</v>
      </c>
      <c r="L118" s="209">
        <f>IF(ISBLANK('Tank Loss 5'!F26),'Tank Loss 5'!F25,'Tank Loss 5'!F26)</f>
        <v>0</v>
      </c>
      <c r="M118" s="209">
        <f>IF(ISBLANK('Tank Loss 5'!G26),'Tank Loss 5'!G25,'Tank Loss 5'!G26)</f>
        <v>0</v>
      </c>
      <c r="N118" s="209">
        <f>IF(ISBLANK('Tank Loss 5'!H26),'Tank Loss 5'!H25,'Tank Loss 5'!H26)</f>
        <v>0</v>
      </c>
      <c r="O118" s="209">
        <f>IF(ISBLANK('Tank Loss 5'!I26),'Tank Loss 5'!I25,'Tank Loss 5'!I26)</f>
        <v>0</v>
      </c>
      <c r="P118" s="209">
        <f>IF(ISBLANK('Tank Loss 5'!J26),'Tank Loss 5'!J25,'Tank Loss 5'!J26)</f>
        <v>0</v>
      </c>
      <c r="Q118" s="209">
        <f>IF(ISBLANK('Tank Loss 5'!K26),'Tank Loss 5'!K25,'Tank Loss 5'!K26)</f>
        <v>0</v>
      </c>
      <c r="R118" s="209">
        <f>IF(ISBLANK('Tank Loss 5'!L26),'Tank Loss 5'!L25,'Tank Loss 5'!L26)</f>
        <v>0</v>
      </c>
      <c r="S118" s="209">
        <f>IF(ISBLANK('Tank Loss 5'!M26),'Tank Loss 5'!M25,'Tank Loss 5'!M26)</f>
        <v>0</v>
      </c>
      <c r="T118" s="209">
        <f>IF(ISBLANK('Tank Loss 5'!N26),'Tank Loss 5'!N25,'Tank Loss 5'!N26)</f>
        <v>0</v>
      </c>
      <c r="U118" s="209">
        <f>IF(ISBLANK('Tank Loss 5'!O26),'Tank Loss 5'!O25,'Tank Loss 5'!O26)</f>
        <v>0</v>
      </c>
      <c r="V118" s="209">
        <f>IF(ISBLANK('Tank Loss 5'!P26),'Tank Loss 5'!P25,'Tank Loss 5'!P26)</f>
        <v>0</v>
      </c>
      <c r="W118" s="184">
        <f>SUM(H118:V118)</f>
        <v>0</v>
      </c>
    </row>
    <row r="119" spans="1:23" x14ac:dyDescent="0.2">
      <c r="A119" s="126" t="s">
        <v>9634</v>
      </c>
      <c r="B119" s="127">
        <f>'Tank Loss 1'!C214</f>
        <v>0</v>
      </c>
      <c r="C119" s="127">
        <f>'Tank Loss 2'!C214</f>
        <v>0</v>
      </c>
      <c r="D119" s="127">
        <f>'Tank Loss 3'!C214</f>
        <v>0</v>
      </c>
      <c r="E119" s="127">
        <f>'Tank Loss 4'!C214</f>
        <v>0</v>
      </c>
      <c r="F119" s="127">
        <f>'Tank Loss 5'!C214</f>
        <v>0</v>
      </c>
      <c r="G119" s="208" t="s">
        <v>9532</v>
      </c>
      <c r="H119" s="182">
        <f>IFERROR(H114/H118*1000,0)</f>
        <v>0</v>
      </c>
      <c r="I119" s="209">
        <f t="shared" ref="I119:V119" si="25">IFERROR(I114/I118*1000,0)</f>
        <v>0</v>
      </c>
      <c r="J119" s="209">
        <f t="shared" si="25"/>
        <v>0</v>
      </c>
      <c r="K119" s="209">
        <f t="shared" si="25"/>
        <v>0</v>
      </c>
      <c r="L119" s="209">
        <f t="shared" si="25"/>
        <v>0</v>
      </c>
      <c r="M119" s="209">
        <f t="shared" si="25"/>
        <v>0</v>
      </c>
      <c r="N119" s="209">
        <f t="shared" si="25"/>
        <v>0</v>
      </c>
      <c r="O119" s="209">
        <f t="shared" si="25"/>
        <v>0</v>
      </c>
      <c r="P119" s="209">
        <f t="shared" si="25"/>
        <v>0</v>
      </c>
      <c r="Q119" s="209">
        <f t="shared" si="25"/>
        <v>0</v>
      </c>
      <c r="R119" s="209">
        <f t="shared" si="25"/>
        <v>0</v>
      </c>
      <c r="S119" s="209">
        <f t="shared" si="25"/>
        <v>0</v>
      </c>
      <c r="T119" s="209">
        <f t="shared" si="25"/>
        <v>0</v>
      </c>
      <c r="U119" s="209">
        <f t="shared" si="25"/>
        <v>0</v>
      </c>
      <c r="V119" s="209">
        <f t="shared" si="25"/>
        <v>0</v>
      </c>
      <c r="W119" s="184">
        <f>SUM(H119:V119)</f>
        <v>0</v>
      </c>
    </row>
    <row r="120" spans="1:23" x14ac:dyDescent="0.2">
      <c r="A120" s="128" t="s">
        <v>9635</v>
      </c>
      <c r="B120" s="129">
        <f>IF(ISBLANK('Tank Loss 1'!C215),'Tank Loss 1'!B215,'Tank Loss 1'!C215)</f>
        <v>0</v>
      </c>
      <c r="C120" s="129">
        <f>IF(ISBLANK('Tank Loss 2'!C215),'Tank Loss 2'!B215,'Tank Loss 2'!C215)</f>
        <v>0</v>
      </c>
      <c r="D120" s="129">
        <f>IF(ISBLANK('Tank Loss 3'!C215),'Tank Loss 3'!B215,'Tank Loss 3'!C215)</f>
        <v>0</v>
      </c>
      <c r="E120" s="129">
        <f>IF(ISBLANK('Tank Loss 4'!C215),'Tank Loss 4'!B215,'Tank Loss 4'!C215)</f>
        <v>0</v>
      </c>
      <c r="F120" s="129">
        <f>IF(ISBLANK('Tank Loss 5'!C215),'Tank Loss 5'!B215,'Tank Loss 5'!C215)</f>
        <v>0</v>
      </c>
      <c r="G120" s="208" t="s">
        <v>9534</v>
      </c>
      <c r="H120" s="182">
        <f>IF(H112=0,0,IF(ISBLANK('Tank Loss 5'!B107),'Tank Loss 5'!B106,'Tank Loss 5'!B107))</f>
        <v>0</v>
      </c>
      <c r="I120" s="209">
        <f>IF(I112=0,0,IF(ISBLANK('Tank Loss 5'!C107),'Tank Loss 5'!C106,'Tank Loss 5'!C107))</f>
        <v>0</v>
      </c>
      <c r="J120" s="209">
        <f>IF(J112=0,0,IF(ISBLANK('Tank Loss 5'!D107),'Tank Loss 5'!D106,'Tank Loss 5'!D107))</f>
        <v>0</v>
      </c>
      <c r="K120" s="209">
        <f>IF(K112=0,0,IF(ISBLANK('Tank Loss 5'!E107),'Tank Loss 5'!E106,'Tank Loss 5'!E107))</f>
        <v>0</v>
      </c>
      <c r="L120" s="209">
        <f>IF(L112=0,0,IF(ISBLANK('Tank Loss 5'!F107),'Tank Loss 5'!F106,'Tank Loss 5'!F107))</f>
        <v>0</v>
      </c>
      <c r="M120" s="209">
        <f>IF(M112=0,0,IF(ISBLANK('Tank Loss 5'!G107),'Tank Loss 5'!G106,'Tank Loss 5'!G107))</f>
        <v>0</v>
      </c>
      <c r="N120" s="209">
        <f>IF(N112=0,0,IF(ISBLANK('Tank Loss 5'!H107),'Tank Loss 5'!H106,'Tank Loss 5'!H107))</f>
        <v>0</v>
      </c>
      <c r="O120" s="209">
        <f>IF(O112=0,0,IF(ISBLANK('Tank Loss 5'!I107),'Tank Loss 5'!I106,'Tank Loss 5'!I107))</f>
        <v>0</v>
      </c>
      <c r="P120" s="209">
        <f>IF(P112=0,0,IF(ISBLANK('Tank Loss 5'!J107),'Tank Loss 5'!J106,'Tank Loss 5'!J107))</f>
        <v>0</v>
      </c>
      <c r="Q120" s="209">
        <f>IF(Q112=0,0,IF(ISBLANK('Tank Loss 5'!K107),'Tank Loss 5'!K106,'Tank Loss 5'!K107))</f>
        <v>0</v>
      </c>
      <c r="R120" s="209">
        <f>IF(R112=0,0,IF(ISBLANK('Tank Loss 5'!L107),'Tank Loss 5'!L106,'Tank Loss 5'!L107))</f>
        <v>0</v>
      </c>
      <c r="S120" s="209">
        <f>IF(S112=0,0,IF(ISBLANK('Tank Loss 5'!M107),'Tank Loss 5'!M106,'Tank Loss 5'!M107))</f>
        <v>0</v>
      </c>
      <c r="T120" s="209">
        <f>IF(T112=0,0,IF(ISBLANK('Tank Loss 5'!N107),'Tank Loss 5'!N106,'Tank Loss 5'!N107))</f>
        <v>0</v>
      </c>
      <c r="U120" s="209">
        <f>IF(U112=0,0,IF(ISBLANK('Tank Loss 5'!O107),'Tank Loss 5'!O106,'Tank Loss 5'!O107))</f>
        <v>0</v>
      </c>
      <c r="V120" s="209">
        <f>IF(V112=0,0,IF(ISBLANK('Tank Loss 5'!P107),'Tank Loss 5'!P106,'Tank Loss 5'!P107))</f>
        <v>0</v>
      </c>
      <c r="W120" s="210"/>
    </row>
    <row r="121" spans="1:23" ht="25.5" x14ac:dyDescent="0.2">
      <c r="A121" s="112" t="s">
        <v>9636</v>
      </c>
      <c r="B121" s="129">
        <f>IF(ISBLANK('Tank Loss 1'!C216),'Tank Loss 1'!B216,'Tank Loss 1'!C216)</f>
        <v>0</v>
      </c>
      <c r="C121" s="129">
        <f>IF(ISBLANK('Tank Loss 2'!C216),'Tank Loss 2'!B216,'Tank Loss 2'!C216)</f>
        <v>0</v>
      </c>
      <c r="D121" s="129">
        <f>IF(ISBLANK('Tank Loss 3'!C216),'Tank Loss 3'!B216,'Tank Loss 3'!C216)</f>
        <v>0</v>
      </c>
      <c r="E121" s="129">
        <f>IF(ISBLANK('Tank Loss 4'!C216),'Tank Loss 4'!B216,'Tank Loss 4'!C216)</f>
        <v>0</v>
      </c>
      <c r="F121" s="129">
        <f>IF(ISBLANK('Tank Loss 5'!C216),'Tank Loss 5'!B216,'Tank Loss 5'!C216)</f>
        <v>0</v>
      </c>
      <c r="G121" s="208" t="s">
        <v>9536</v>
      </c>
      <c r="H121" s="182">
        <f>IF(H112=0,0,IF(ISBLANK('Tank Loss 5'!B109),'Tank Loss 5'!B108,'Tank Loss 5'!B109))</f>
        <v>0</v>
      </c>
      <c r="I121" s="209">
        <f>IF(I112=0,0,IF(ISBLANK('Tank Loss 5'!C109),'Tank Loss 5'!C108,'Tank Loss 5'!C109))</f>
        <v>0</v>
      </c>
      <c r="J121" s="209">
        <f>IF(J112=0,0,IF(ISBLANK('Tank Loss 5'!D109),'Tank Loss 5'!D108,'Tank Loss 5'!D109))</f>
        <v>0</v>
      </c>
      <c r="K121" s="209">
        <f>IF(K112=0,0,IF(ISBLANK('Tank Loss 5'!E109),'Tank Loss 5'!E108,'Tank Loss 5'!E109))</f>
        <v>0</v>
      </c>
      <c r="L121" s="209">
        <f>IF(L112=0,0,IF(ISBLANK('Tank Loss 5'!F109),'Tank Loss 5'!F108,'Tank Loss 5'!F109))</f>
        <v>0</v>
      </c>
      <c r="M121" s="209">
        <f>IF(M112=0,0,IF(ISBLANK('Tank Loss 5'!G109),'Tank Loss 5'!G108,'Tank Loss 5'!G109))</f>
        <v>0</v>
      </c>
      <c r="N121" s="209">
        <f>IF(N112=0,0,IF(ISBLANK('Tank Loss 5'!H109),'Tank Loss 5'!H108,'Tank Loss 5'!H109))</f>
        <v>0</v>
      </c>
      <c r="O121" s="209">
        <f>IF(O112=0,0,IF(ISBLANK('Tank Loss 5'!I109),'Tank Loss 5'!I108,'Tank Loss 5'!I109))</f>
        <v>0</v>
      </c>
      <c r="P121" s="209">
        <f>IF(P112=0,0,IF(ISBLANK('Tank Loss 5'!J109),'Tank Loss 5'!J108,'Tank Loss 5'!J109))</f>
        <v>0</v>
      </c>
      <c r="Q121" s="209">
        <f>IF(Q112=0,0,IF(ISBLANK('Tank Loss 5'!K109),'Tank Loss 5'!K108,'Tank Loss 5'!K109))</f>
        <v>0</v>
      </c>
      <c r="R121" s="209">
        <f>IF(R112=0,0,IF(ISBLANK('Tank Loss 5'!L109),'Tank Loss 5'!L108,'Tank Loss 5'!L109))</f>
        <v>0</v>
      </c>
      <c r="S121" s="209">
        <f>IF(S112=0,0,IF(ISBLANK('Tank Loss 5'!M109),'Tank Loss 5'!M108,'Tank Loss 5'!M109))</f>
        <v>0</v>
      </c>
      <c r="T121" s="209">
        <f>IF(T112=0,0,IF(ISBLANK('Tank Loss 5'!N109),'Tank Loss 5'!N108,'Tank Loss 5'!N109))</f>
        <v>0</v>
      </c>
      <c r="U121" s="209">
        <f>IF(U112=0,0,IF(ISBLANK('Tank Loss 5'!O109),'Tank Loss 5'!O108,'Tank Loss 5'!O109))</f>
        <v>0</v>
      </c>
      <c r="V121" s="209">
        <f>IF(V112=0,0,IF(ISBLANK('Tank Loss 5'!P109),'Tank Loss 5'!P108,'Tank Loss 5'!P109))</f>
        <v>0</v>
      </c>
      <c r="W121" s="210"/>
    </row>
    <row r="122" spans="1:23" x14ac:dyDescent="0.2">
      <c r="A122" s="112" t="s">
        <v>9637</v>
      </c>
      <c r="B122" s="129">
        <f>IF(ISBLANK('Tank Loss 1'!C217),'Tank Loss 1'!B217,'Tank Loss 1'!C217)</f>
        <v>459.67</v>
      </c>
      <c r="C122" s="129">
        <f>IF(ISBLANK('Tank Loss 2'!C217),'Tank Loss 2'!B217,'Tank Loss 2'!C217)</f>
        <v>459.67</v>
      </c>
      <c r="D122" s="129">
        <f>IF(ISBLANK('Tank Loss 3'!C217),'Tank Loss 3'!B217,'Tank Loss 3'!C217)</f>
        <v>459.67</v>
      </c>
      <c r="E122" s="129">
        <f>IF(ISBLANK('Tank Loss 4'!C217),'Tank Loss 4'!B217,'Tank Loss 4'!C217)</f>
        <v>459.67</v>
      </c>
      <c r="F122" s="129">
        <f>IF(ISBLANK('Tank Loss 5'!C217),'Tank Loss 5'!B217,'Tank Loss 5'!C217)</f>
        <v>459.67</v>
      </c>
      <c r="G122" s="208" t="s">
        <v>9537</v>
      </c>
      <c r="H122" s="182">
        <f>IF(H112=0,0,IF(ISBLANK('Tank Loss 5'!B111),'Tank Loss 5'!B110,'Tank Loss 5'!B111))</f>
        <v>0</v>
      </c>
      <c r="I122" s="209">
        <f>IF(I112=0,0,IF(ISBLANK('Tank Loss 5'!C111),'Tank Loss 5'!C110,'Tank Loss 5'!C111))</f>
        <v>0</v>
      </c>
      <c r="J122" s="209">
        <f>IF(J112=0,0,IF(ISBLANK('Tank Loss 5'!D111),'Tank Loss 5'!D110,'Tank Loss 5'!D111))</f>
        <v>0</v>
      </c>
      <c r="K122" s="209">
        <f>IF(K112=0,0,IF(ISBLANK('Tank Loss 5'!E111),'Tank Loss 5'!E110,'Tank Loss 5'!E111))</f>
        <v>0</v>
      </c>
      <c r="L122" s="209">
        <f>IF(L112=0,0,IF(ISBLANK('Tank Loss 5'!F111),'Tank Loss 5'!F110,'Tank Loss 5'!F111))</f>
        <v>0</v>
      </c>
      <c r="M122" s="209">
        <f>IF(M112=0,0,IF(ISBLANK('Tank Loss 5'!G111),'Tank Loss 5'!G110,'Tank Loss 5'!G111))</f>
        <v>0</v>
      </c>
      <c r="N122" s="209">
        <f>IF(N112=0,0,IF(ISBLANK('Tank Loss 5'!H111),'Tank Loss 5'!H110,'Tank Loss 5'!H111))</f>
        <v>0</v>
      </c>
      <c r="O122" s="209">
        <f>IF(O112=0,0,IF(ISBLANK('Tank Loss 5'!I111),'Tank Loss 5'!I110,'Tank Loss 5'!I111))</f>
        <v>0</v>
      </c>
      <c r="P122" s="209">
        <f>IF(P112=0,0,IF(ISBLANK('Tank Loss 5'!J111),'Tank Loss 5'!J110,'Tank Loss 5'!J111))</f>
        <v>0</v>
      </c>
      <c r="Q122" s="209">
        <f>IF(Q112=0,0,IF(ISBLANK('Tank Loss 5'!K111),'Tank Loss 5'!K110,'Tank Loss 5'!K111))</f>
        <v>0</v>
      </c>
      <c r="R122" s="209">
        <f>IF(R112=0,0,IF(ISBLANK('Tank Loss 5'!L111),'Tank Loss 5'!L110,'Tank Loss 5'!L111))</f>
        <v>0</v>
      </c>
      <c r="S122" s="209">
        <f>IF(S112=0,0,IF(ISBLANK('Tank Loss 5'!M111),'Tank Loss 5'!M110,'Tank Loss 5'!M111))</f>
        <v>0</v>
      </c>
      <c r="T122" s="209">
        <f>IF(T112=0,0,IF(ISBLANK('Tank Loss 5'!N111),'Tank Loss 5'!N110,'Tank Loss 5'!N111))</f>
        <v>0</v>
      </c>
      <c r="U122" s="209">
        <f>IF(U112=0,0,IF(ISBLANK('Tank Loss 5'!O111),'Tank Loss 5'!O110,'Tank Loss 5'!O111))</f>
        <v>0</v>
      </c>
      <c r="V122" s="209">
        <f>IF(V112=0,0,IF(ISBLANK('Tank Loss 5'!P111),'Tank Loss 5'!P110,'Tank Loss 5'!P111))</f>
        <v>0</v>
      </c>
      <c r="W122" s="210"/>
    </row>
    <row r="123" spans="1:23" x14ac:dyDescent="0.2">
      <c r="A123" s="112" t="s">
        <v>9638</v>
      </c>
      <c r="B123" s="129">
        <f>IF(ISBLANK('Tank Loss 1'!C218),'Tank Loss 1'!B218,'Tank Loss 1'!C218)</f>
        <v>0</v>
      </c>
      <c r="C123" s="129">
        <f>IF(ISBLANK('Tank Loss 2'!C218),'Tank Loss 2'!B218,'Tank Loss 2'!C218)</f>
        <v>0</v>
      </c>
      <c r="D123" s="129">
        <f>IF(ISBLANK('Tank Loss 3'!C218),'Tank Loss 3'!B218,'Tank Loss 3'!C218)</f>
        <v>0</v>
      </c>
      <c r="E123" s="129">
        <f>IF(ISBLANK('Tank Loss 4'!C218),'Tank Loss 4'!B218,'Tank Loss 4'!C218)</f>
        <v>0</v>
      </c>
      <c r="F123" s="129">
        <f>IF(ISBLANK('Tank Loss 5'!C218),'Tank Loss 5'!B218,'Tank Loss 5'!C218)</f>
        <v>0</v>
      </c>
      <c r="G123" s="208" t="s">
        <v>9539</v>
      </c>
      <c r="H123" s="182">
        <f>IF(H112=0,0,IF(ISBLANK('Tank Loss 5'!B99),'Tank Loss 5'!B98,'Tank Loss 5'!B99))</f>
        <v>0</v>
      </c>
      <c r="I123" s="209">
        <f>IF(I112=0,0,IF(ISBLANK('Tank Loss 5'!C99),'Tank Loss 5'!C98,'Tank Loss 5'!C99))</f>
        <v>0</v>
      </c>
      <c r="J123" s="209">
        <f>IF(J112=0,0,IF(ISBLANK('Tank Loss 5'!D99),'Tank Loss 5'!D98,'Tank Loss 5'!D99))</f>
        <v>0</v>
      </c>
      <c r="K123" s="209">
        <f>IF(K112=0,0,IF(ISBLANK('Tank Loss 5'!E99),'Tank Loss 5'!E98,'Tank Loss 5'!E99))</f>
        <v>0</v>
      </c>
      <c r="L123" s="209">
        <f>IF(L112=0,0,IF(ISBLANK('Tank Loss 5'!F99),'Tank Loss 5'!F98,'Tank Loss 5'!F99))</f>
        <v>0</v>
      </c>
      <c r="M123" s="209">
        <f>IF(M112=0,0,IF(ISBLANK('Tank Loss 5'!G99),'Tank Loss 5'!G98,'Tank Loss 5'!G99))</f>
        <v>0</v>
      </c>
      <c r="N123" s="209">
        <f>IF(N112=0,0,IF(ISBLANK('Tank Loss 5'!H99),'Tank Loss 5'!H98,'Tank Loss 5'!H99))</f>
        <v>0</v>
      </c>
      <c r="O123" s="209">
        <f>IF(O112=0,0,IF(ISBLANK('Tank Loss 5'!I99),'Tank Loss 5'!I98,'Tank Loss 5'!I99))</f>
        <v>0</v>
      </c>
      <c r="P123" s="209">
        <f>IF(P112=0,0,IF(ISBLANK('Tank Loss 5'!J99),'Tank Loss 5'!J98,'Tank Loss 5'!J99))</f>
        <v>0</v>
      </c>
      <c r="Q123" s="209">
        <f>IF(Q112=0,0,IF(ISBLANK('Tank Loss 5'!K99),'Tank Loss 5'!K98,'Tank Loss 5'!K99))</f>
        <v>0</v>
      </c>
      <c r="R123" s="209">
        <f>IF(R112=0,0,IF(ISBLANK('Tank Loss 5'!L99),'Tank Loss 5'!L98,'Tank Loss 5'!L99))</f>
        <v>0</v>
      </c>
      <c r="S123" s="209">
        <f>IF(S112=0,0,IF(ISBLANK('Tank Loss 5'!M99),'Tank Loss 5'!M98,'Tank Loss 5'!M99))</f>
        <v>0</v>
      </c>
      <c r="T123" s="209">
        <f>IF(T112=0,0,IF(ISBLANK('Tank Loss 5'!N99),'Tank Loss 5'!N98,'Tank Loss 5'!N99))</f>
        <v>0</v>
      </c>
      <c r="U123" s="209">
        <f>IF(U112=0,0,IF(ISBLANK('Tank Loss 5'!O99),'Tank Loss 5'!O98,'Tank Loss 5'!O99))</f>
        <v>0</v>
      </c>
      <c r="V123" s="209">
        <f>IF(V112=0,0,IF(ISBLANK('Tank Loss 5'!P99),'Tank Loss 5'!P98,'Tank Loss 5'!P99))</f>
        <v>0</v>
      </c>
      <c r="W123" s="210"/>
    </row>
    <row r="124" spans="1:23" x14ac:dyDescent="0.2">
      <c r="A124" s="111" t="s">
        <v>9639</v>
      </c>
      <c r="B124" s="129">
        <f>B121*B123/(10.731*B122)</f>
        <v>0</v>
      </c>
      <c r="C124" s="129">
        <f>C121*C123/(10.731*C122)</f>
        <v>0</v>
      </c>
      <c r="D124" s="129">
        <f>D121*D123/(10.731*D122)</f>
        <v>0</v>
      </c>
      <c r="E124" s="129">
        <f>E121*E123/(10.731*E122)</f>
        <v>0</v>
      </c>
      <c r="F124" s="129">
        <f>F121*F123/(10.731*F122)</f>
        <v>0</v>
      </c>
      <c r="G124" s="208" t="s">
        <v>9541</v>
      </c>
      <c r="H124" s="182">
        <f>IF(H112=0,0,IF(ISBLANK('Tank Loss 5'!B101),'Tank Loss 5'!B100,'Tank Loss 5'!B101))</f>
        <v>0</v>
      </c>
      <c r="I124" s="209">
        <f>IF(I112=0,0,IF(ISBLANK('Tank Loss 5'!C101),'Tank Loss 5'!C100,'Tank Loss 5'!C101))</f>
        <v>0</v>
      </c>
      <c r="J124" s="209">
        <f>IF(J112=0,0,IF(ISBLANK('Tank Loss 5'!D101),'Tank Loss 5'!D100,'Tank Loss 5'!D101))</f>
        <v>0</v>
      </c>
      <c r="K124" s="209">
        <f>IF(K112=0,0,IF(ISBLANK('Tank Loss 5'!E101),'Tank Loss 5'!E100,'Tank Loss 5'!E101))</f>
        <v>0</v>
      </c>
      <c r="L124" s="209">
        <f>IF(L112=0,0,IF(ISBLANK('Tank Loss 5'!F101),'Tank Loss 5'!F100,'Tank Loss 5'!F101))</f>
        <v>0</v>
      </c>
      <c r="M124" s="209">
        <f>IF(M112=0,0,IF(ISBLANK('Tank Loss 5'!G101),'Tank Loss 5'!G100,'Tank Loss 5'!G101))</f>
        <v>0</v>
      </c>
      <c r="N124" s="209">
        <f>IF(N112=0,0,IF(ISBLANK('Tank Loss 5'!H101),'Tank Loss 5'!H100,'Tank Loss 5'!H101))</f>
        <v>0</v>
      </c>
      <c r="O124" s="209">
        <f>IF(O112=0,0,IF(ISBLANK('Tank Loss 5'!I101),'Tank Loss 5'!I100,'Tank Loss 5'!I101))</f>
        <v>0</v>
      </c>
      <c r="P124" s="209">
        <f>IF(P112=0,0,IF(ISBLANK('Tank Loss 5'!J101),'Tank Loss 5'!J100,'Tank Loss 5'!J101))</f>
        <v>0</v>
      </c>
      <c r="Q124" s="209">
        <f>IF(Q112=0,0,IF(ISBLANK('Tank Loss 5'!K101),'Tank Loss 5'!K100,'Tank Loss 5'!K101))</f>
        <v>0</v>
      </c>
      <c r="R124" s="209">
        <f>IF(R112=0,0,IF(ISBLANK('Tank Loss 5'!L101),'Tank Loss 5'!L100,'Tank Loss 5'!L101))</f>
        <v>0</v>
      </c>
      <c r="S124" s="209">
        <f>IF(S112=0,0,IF(ISBLANK('Tank Loss 5'!M101),'Tank Loss 5'!M100,'Tank Loss 5'!M101))</f>
        <v>0</v>
      </c>
      <c r="T124" s="209">
        <f>IF(T112=0,0,IF(ISBLANK('Tank Loss 5'!N101),'Tank Loss 5'!N100,'Tank Loss 5'!N101))</f>
        <v>0</v>
      </c>
      <c r="U124" s="209">
        <f>IF(U112=0,0,IF(ISBLANK('Tank Loss 5'!O101),'Tank Loss 5'!O100,'Tank Loss 5'!O101))</f>
        <v>0</v>
      </c>
      <c r="V124" s="209">
        <f>IF(V112=0,0,IF(ISBLANK('Tank Loss 5'!P101),'Tank Loss 5'!P100,'Tank Loss 5'!P101))</f>
        <v>0</v>
      </c>
      <c r="W124" s="210"/>
    </row>
    <row r="125" spans="1:23" ht="25.5" x14ac:dyDescent="0.2">
      <c r="A125" s="111" t="s">
        <v>9640</v>
      </c>
      <c r="B125" s="129">
        <f>'Tank Loss 1'!C219</f>
        <v>0</v>
      </c>
      <c r="C125" s="129">
        <f>'Tank Loss 2'!C219</f>
        <v>0</v>
      </c>
      <c r="D125" s="129">
        <f>'Tank Loss 3'!C219</f>
        <v>0</v>
      </c>
      <c r="E125" s="129">
        <f>'Tank Loss 4'!C219</f>
        <v>0</v>
      </c>
      <c r="F125" s="129">
        <f>'Tank Loss 5'!C219</f>
        <v>0</v>
      </c>
      <c r="G125" s="208" t="s">
        <v>9543</v>
      </c>
      <c r="H125" s="182">
        <f>IF(H112=0,0,IF(ISBLANK('Tank Loss 5'!B103),'Tank Loss 5'!B102,'Tank Loss 5'!B103))</f>
        <v>0</v>
      </c>
      <c r="I125" s="209">
        <f>IF(I112=0,0,IF(ISBLANK('Tank Loss 5'!C103),'Tank Loss 5'!C102,'Tank Loss 5'!C103))</f>
        <v>0</v>
      </c>
      <c r="J125" s="209">
        <f>IF(J112=0,0,IF(ISBLANK('Tank Loss 5'!D103),'Tank Loss 5'!D102,'Tank Loss 5'!D103))</f>
        <v>0</v>
      </c>
      <c r="K125" s="209">
        <f>IF(K112=0,0,IF(ISBLANK('Tank Loss 5'!E103),'Tank Loss 5'!E102,'Tank Loss 5'!E103))</f>
        <v>0</v>
      </c>
      <c r="L125" s="209">
        <f>IF(L112=0,0,IF(ISBLANK('Tank Loss 5'!F103),'Tank Loss 5'!F102,'Tank Loss 5'!F103))</f>
        <v>0</v>
      </c>
      <c r="M125" s="209">
        <f>IF(M112=0,0,IF(ISBLANK('Tank Loss 5'!G103),'Tank Loss 5'!G102,'Tank Loss 5'!G103))</f>
        <v>0</v>
      </c>
      <c r="N125" s="209">
        <f>IF(N112=0,0,IF(ISBLANK('Tank Loss 5'!H103),'Tank Loss 5'!H102,'Tank Loss 5'!H103))</f>
        <v>0</v>
      </c>
      <c r="O125" s="209">
        <f>IF(O112=0,0,IF(ISBLANK('Tank Loss 5'!I103),'Tank Loss 5'!I102,'Tank Loss 5'!I103))</f>
        <v>0</v>
      </c>
      <c r="P125" s="209">
        <f>IF(P112=0,0,IF(ISBLANK('Tank Loss 5'!J103),'Tank Loss 5'!J102,'Tank Loss 5'!J103))</f>
        <v>0</v>
      </c>
      <c r="Q125" s="209">
        <f>IF(Q112=0,0,IF(ISBLANK('Tank Loss 5'!K103),'Tank Loss 5'!K102,'Tank Loss 5'!K103))</f>
        <v>0</v>
      </c>
      <c r="R125" s="209">
        <f>IF(R112=0,0,IF(ISBLANK('Tank Loss 5'!L103),'Tank Loss 5'!L102,'Tank Loss 5'!L103))</f>
        <v>0</v>
      </c>
      <c r="S125" s="209">
        <f>IF(S112=0,0,IF(ISBLANK('Tank Loss 5'!M103),'Tank Loss 5'!M102,'Tank Loss 5'!M103))</f>
        <v>0</v>
      </c>
      <c r="T125" s="209">
        <f>IF(T112=0,0,IF(ISBLANK('Tank Loss 5'!N103),'Tank Loss 5'!N102,'Tank Loss 5'!N103))</f>
        <v>0</v>
      </c>
      <c r="U125" s="209">
        <f>IF(U112=0,0,IF(ISBLANK('Tank Loss 5'!O103),'Tank Loss 5'!O102,'Tank Loss 5'!O103))</f>
        <v>0</v>
      </c>
      <c r="V125" s="209">
        <f>IF(V112=0,0,IF(ISBLANK('Tank Loss 5'!P103),'Tank Loss 5'!P102,'Tank Loss 5'!P103))</f>
        <v>0</v>
      </c>
      <c r="W125" s="210"/>
    </row>
    <row r="126" spans="1:23" x14ac:dyDescent="0.2">
      <c r="A126" s="111" t="s">
        <v>9641</v>
      </c>
      <c r="B126" s="129">
        <f>IF(ISBLANK('Tank Loss 1'!C220),'Tank Loss 1'!B220,'Tank Loss 1'!C220)</f>
        <v>0</v>
      </c>
      <c r="C126" s="129">
        <f>IF(ISBLANK('Tank Loss 2'!C220),'Tank Loss 2'!B220,'Tank Loss 2'!C220)</f>
        <v>0</v>
      </c>
      <c r="D126" s="129">
        <f>IF(ISBLANK('Tank Loss 3'!C220),'Tank Loss 3'!B220,'Tank Loss 3'!C220)</f>
        <v>0</v>
      </c>
      <c r="E126" s="129">
        <f>IF(ISBLANK('Tank Loss 4'!C220),'Tank Loss 4'!B220,'Tank Loss 4'!C220)</f>
        <v>0</v>
      </c>
      <c r="F126" s="129">
        <f>IF(ISBLANK('Tank Loss 5'!C220),'Tank Loss 5'!B220,'Tank Loss 5'!C220)</f>
        <v>0</v>
      </c>
      <c r="G126" s="208" t="s">
        <v>9544</v>
      </c>
      <c r="H126" s="182">
        <f>IF(H112=0,0,IF(ISBLANK('Tank Loss 5'!B105),'Tank Loss 5'!B104,'Tank Loss 5'!B105))</f>
        <v>0</v>
      </c>
      <c r="I126" s="209">
        <f>IF(I112=0,0,IF(ISBLANK('Tank Loss 5'!C105),'Tank Loss 5'!C104,'Tank Loss 5'!C105))</f>
        <v>0</v>
      </c>
      <c r="J126" s="209">
        <f>IF(J112=0,0,IF(ISBLANK('Tank Loss 5'!D105),'Tank Loss 5'!D104,'Tank Loss 5'!D105))</f>
        <v>0</v>
      </c>
      <c r="K126" s="209">
        <f>IF(K112=0,0,IF(ISBLANK('Tank Loss 5'!E105),'Tank Loss 5'!E104,'Tank Loss 5'!E105))</f>
        <v>0</v>
      </c>
      <c r="L126" s="209">
        <f>IF(L112=0,0,IF(ISBLANK('Tank Loss 5'!F105),'Tank Loss 5'!F104,'Tank Loss 5'!F105))</f>
        <v>0</v>
      </c>
      <c r="M126" s="209">
        <f>IF(M112=0,0,IF(ISBLANK('Tank Loss 5'!G105),'Tank Loss 5'!G104,'Tank Loss 5'!G105))</f>
        <v>0</v>
      </c>
      <c r="N126" s="209">
        <f>IF(N112=0,0,IF(ISBLANK('Tank Loss 5'!H105),'Tank Loss 5'!H104,'Tank Loss 5'!H105))</f>
        <v>0</v>
      </c>
      <c r="O126" s="209">
        <f>IF(O112=0,0,IF(ISBLANK('Tank Loss 5'!I105),'Tank Loss 5'!I104,'Tank Loss 5'!I105))</f>
        <v>0</v>
      </c>
      <c r="P126" s="209">
        <f>IF(P112=0,0,IF(ISBLANK('Tank Loss 5'!J105),'Tank Loss 5'!J104,'Tank Loss 5'!J105))</f>
        <v>0</v>
      </c>
      <c r="Q126" s="209">
        <f>IF(Q112=0,0,IF(ISBLANK('Tank Loss 5'!K105),'Tank Loss 5'!K104,'Tank Loss 5'!K105))</f>
        <v>0</v>
      </c>
      <c r="R126" s="209">
        <f>IF(R112=0,0,IF(ISBLANK('Tank Loss 5'!L105),'Tank Loss 5'!L104,'Tank Loss 5'!L105))</f>
        <v>0</v>
      </c>
      <c r="S126" s="209">
        <f>IF(S112=0,0,IF(ISBLANK('Tank Loss 5'!M105),'Tank Loss 5'!M104,'Tank Loss 5'!M105))</f>
        <v>0</v>
      </c>
      <c r="T126" s="209">
        <f>IF(T112=0,0,IF(ISBLANK('Tank Loss 5'!N105),'Tank Loss 5'!N104,'Tank Loss 5'!N105))</f>
        <v>0</v>
      </c>
      <c r="U126" s="209">
        <f>IF(U112=0,0,IF(ISBLANK('Tank Loss 5'!O105),'Tank Loss 5'!O104,'Tank Loss 5'!O105))</f>
        <v>0</v>
      </c>
      <c r="V126" s="209">
        <f>IF(V112=0,0,IF(ISBLANK('Tank Loss 5'!P105),'Tank Loss 5'!P104,'Tank Loss 5'!P105))</f>
        <v>0</v>
      </c>
      <c r="W126" s="210"/>
    </row>
    <row r="127" spans="1:23" x14ac:dyDescent="0.2">
      <c r="A127" s="111" t="s">
        <v>9642</v>
      </c>
      <c r="B127" s="129">
        <f>IF(ISBLANK('Tank Loss 1'!C222),'Tank Loss 1'!B222,'Tank Loss 1'!C222)</f>
        <v>0</v>
      </c>
      <c r="C127" s="129">
        <f>IF(ISBLANK('Tank Loss 2'!C222),'Tank Loss 2'!B222,'Tank Loss 2'!C222)</f>
        <v>0</v>
      </c>
      <c r="D127" s="129">
        <f>IF(ISBLANK('Tank Loss 3'!C222),'Tank Loss 3'!B222,'Tank Loss 3'!C222)</f>
        <v>0</v>
      </c>
      <c r="E127" s="129">
        <f>IF(ISBLANK('Tank Loss 4'!C222),'Tank Loss 4'!B222,'Tank Loss 4'!C222)</f>
        <v>0</v>
      </c>
      <c r="F127" s="129">
        <f>IF(ISBLANK('Tank Loss 5'!C222),'Tank Loss 5'!B222,'Tank Loss 5'!C222)</f>
        <v>0</v>
      </c>
      <c r="G127" s="208" t="s">
        <v>9545</v>
      </c>
      <c r="H127" s="182">
        <f>EXP(H123-(((H124*1.8)+491.67)/$F$42))</f>
        <v>0.34314054666570826</v>
      </c>
      <c r="I127" s="209">
        <f t="shared" ref="I127:V127" si="26">EXP(I123-(((I124*1.8)+491.67)/$F$42))</f>
        <v>0.34314054666570826</v>
      </c>
      <c r="J127" s="209">
        <f t="shared" si="26"/>
        <v>0.34314054666570826</v>
      </c>
      <c r="K127" s="209">
        <f t="shared" si="26"/>
        <v>0.34314054666570826</v>
      </c>
      <c r="L127" s="209">
        <f t="shared" si="26"/>
        <v>0.34314054666570826</v>
      </c>
      <c r="M127" s="209">
        <f t="shared" si="26"/>
        <v>0.34314054666570826</v>
      </c>
      <c r="N127" s="209">
        <f t="shared" si="26"/>
        <v>0.34314054666570826</v>
      </c>
      <c r="O127" s="209">
        <f t="shared" si="26"/>
        <v>0.34314054666570826</v>
      </c>
      <c r="P127" s="209">
        <f t="shared" si="26"/>
        <v>0.34314054666570826</v>
      </c>
      <c r="Q127" s="209">
        <f t="shared" si="26"/>
        <v>0.34314054666570826</v>
      </c>
      <c r="R127" s="209">
        <f t="shared" si="26"/>
        <v>0.34314054666570826</v>
      </c>
      <c r="S127" s="209">
        <f t="shared" si="26"/>
        <v>0.34314054666570826</v>
      </c>
      <c r="T127" s="209">
        <f t="shared" si="26"/>
        <v>0.34314054666570826</v>
      </c>
      <c r="U127" s="209">
        <f t="shared" si="26"/>
        <v>0.34314054666570826</v>
      </c>
      <c r="V127" s="209">
        <f t="shared" si="26"/>
        <v>0.34314054666570826</v>
      </c>
      <c r="W127" s="210"/>
    </row>
    <row r="128" spans="1:23" x14ac:dyDescent="0.2">
      <c r="A128" s="111" t="s">
        <v>9643</v>
      </c>
      <c r="B128" s="129">
        <f>IF(ISBLANK('Tank Loss 1'!C221),'Tank Loss 1'!B221,'Tank Loss 1'!C221)</f>
        <v>0.25</v>
      </c>
      <c r="C128" s="129">
        <f>IF(ISBLANK('Tank Loss 2'!C221),'Tank Loss 2'!B221,'Tank Loss 2'!C221)</f>
        <v>0.25</v>
      </c>
      <c r="D128" s="129">
        <f>IF(ISBLANK('Tank Loss 3'!C221),'Tank Loss 3'!B221,'Tank Loss 3'!C221)</f>
        <v>0.25</v>
      </c>
      <c r="E128" s="129">
        <f>IF(ISBLANK('Tank Loss 4'!C221),'Tank Loss 4'!B221,'Tank Loss 4'!C221)</f>
        <v>0.25</v>
      </c>
      <c r="F128" s="129">
        <f>IF(ISBLANK('Tank Loss 5'!C221),'Tank Loss 5'!B221,'Tank Loss 5'!C221)</f>
        <v>0.25</v>
      </c>
      <c r="G128" s="208" t="s">
        <v>9546</v>
      </c>
      <c r="H128" s="212">
        <f>IF(H112=0,0,'Tank Loss 5'!B112)</f>
        <v>0</v>
      </c>
      <c r="I128" s="213">
        <f>IF(I112=0,0,'Tank Loss 5'!C112)</f>
        <v>0</v>
      </c>
      <c r="J128" s="213">
        <f>IF(J112=0,0,'Tank Loss 5'!D112)</f>
        <v>0</v>
      </c>
      <c r="K128" s="213">
        <f>IF(K112=0,0,'Tank Loss 5'!E112)</f>
        <v>0</v>
      </c>
      <c r="L128" s="213">
        <f>IF(L112=0,0,'Tank Loss 5'!F112)</f>
        <v>0</v>
      </c>
      <c r="M128" s="213">
        <f>IF(M112=0,0,'Tank Loss 5'!G112)</f>
        <v>0</v>
      </c>
      <c r="N128" s="213">
        <f>IF(N112=0,0,'Tank Loss 5'!H112)</f>
        <v>0</v>
      </c>
      <c r="O128" s="213">
        <f>IF(O112=0,0,'Tank Loss 5'!I112)</f>
        <v>0</v>
      </c>
      <c r="P128" s="213">
        <f>IF(P112=0,0,'Tank Loss 5'!J112)</f>
        <v>0</v>
      </c>
      <c r="Q128" s="213">
        <f>IF(Q112=0,0,'Tank Loss 5'!K112)</f>
        <v>0</v>
      </c>
      <c r="R128" s="213">
        <f>IF(R112=0,0,'Tank Loss 5'!L112)</f>
        <v>0</v>
      </c>
      <c r="S128" s="213">
        <f>IF(S112=0,0,'Tank Loss 5'!M112)</f>
        <v>0</v>
      </c>
      <c r="T128" s="213">
        <f>IF(T112=0,0,'Tank Loss 5'!N112)</f>
        <v>0</v>
      </c>
      <c r="U128" s="213">
        <f>IF(U112=0,0,'Tank Loss 5'!O112)</f>
        <v>0</v>
      </c>
      <c r="V128" s="213">
        <f>IF(V112=0,0,'Tank Loss 5'!P112)</f>
        <v>0</v>
      </c>
      <c r="W128" s="214">
        <f t="shared" ref="W128:W133" si="27">SUM(H128:Q128)</f>
        <v>0</v>
      </c>
    </row>
    <row r="129" spans="1:23" x14ac:dyDescent="0.2">
      <c r="A129" s="111" t="s">
        <v>9644</v>
      </c>
      <c r="B129" s="129">
        <f>'Tank Loss 1'!C224</f>
        <v>0</v>
      </c>
      <c r="C129" s="129">
        <f>'Tank Loss 2'!C224</f>
        <v>0</v>
      </c>
      <c r="D129" s="129">
        <f>'Tank Loss 3'!C224</f>
        <v>0</v>
      </c>
      <c r="E129" s="129">
        <f>'Tank Loss 4'!C224</f>
        <v>0</v>
      </c>
      <c r="F129" s="129">
        <f>'Tank Loss 5'!C224</f>
        <v>0</v>
      </c>
      <c r="G129" s="208" t="s">
        <v>9548</v>
      </c>
      <c r="H129" s="212">
        <f>IF(H112=0,0,'Tank Loss 5'!B113)</f>
        <v>0</v>
      </c>
      <c r="I129" s="213">
        <f>IF(I112=0,0,'Tank Loss 5'!C113)</f>
        <v>0</v>
      </c>
      <c r="J129" s="213">
        <f>IF(J112=0,0,'Tank Loss 5'!D113)</f>
        <v>0</v>
      </c>
      <c r="K129" s="213">
        <f>IF(K112=0,0,'Tank Loss 5'!E113)</f>
        <v>0</v>
      </c>
      <c r="L129" s="213">
        <f>IF(L112=0,0,'Tank Loss 5'!F113)</f>
        <v>0</v>
      </c>
      <c r="M129" s="213">
        <f>IF(M112=0,0,'Tank Loss 5'!G113)</f>
        <v>0</v>
      </c>
      <c r="N129" s="213">
        <f>IF(N112=0,0,'Tank Loss 5'!H113)</f>
        <v>0</v>
      </c>
      <c r="O129" s="213">
        <f>IF(O112=0,0,'Tank Loss 5'!I113)</f>
        <v>0</v>
      </c>
      <c r="P129" s="213">
        <f>IF(P112=0,0,'Tank Loss 5'!J113)</f>
        <v>0</v>
      </c>
      <c r="Q129" s="213">
        <f>IF(Q112=0,0,'Tank Loss 5'!K113)</f>
        <v>0</v>
      </c>
      <c r="R129" s="213">
        <f>IF(R112=0,0,'Tank Loss 5'!L113)</f>
        <v>0</v>
      </c>
      <c r="S129" s="213">
        <f>IF(S112=0,0,'Tank Loss 5'!M113)</f>
        <v>0</v>
      </c>
      <c r="T129" s="213">
        <f>IF(T112=0,0,'Tank Loss 5'!N113)</f>
        <v>0</v>
      </c>
      <c r="U129" s="213">
        <f>IF(U112=0,0,'Tank Loss 5'!O113)</f>
        <v>0</v>
      </c>
      <c r="V129" s="213">
        <f>IF(V112=0,0,'Tank Loss 5'!P113)</f>
        <v>0</v>
      </c>
      <c r="W129" s="214">
        <f t="shared" si="27"/>
        <v>0</v>
      </c>
    </row>
    <row r="130" spans="1:23" x14ac:dyDescent="0.2">
      <c r="A130" s="111" t="s">
        <v>9645</v>
      </c>
      <c r="B130" s="129">
        <f>'Tank Loss 1'!C225</f>
        <v>0</v>
      </c>
      <c r="C130" s="129">
        <f>'Tank Loss 2'!C225</f>
        <v>0</v>
      </c>
      <c r="D130" s="129">
        <f>'Tank Loss 3'!C225</f>
        <v>0</v>
      </c>
      <c r="E130" s="129">
        <f>'Tank Loss 4'!C225</f>
        <v>0</v>
      </c>
      <c r="F130" s="129">
        <f>'Tank Loss 5'!C225</f>
        <v>0</v>
      </c>
      <c r="G130" s="208" t="s">
        <v>9550</v>
      </c>
      <c r="H130" s="182">
        <f>IF(H112=0,0,'Tank Loss 5'!B114)</f>
        <v>0</v>
      </c>
      <c r="I130" s="209">
        <f>IF(I112=0,0,'Tank Loss 5'!C114)</f>
        <v>0</v>
      </c>
      <c r="J130" s="209">
        <f>IF(J112=0,0,'Tank Loss 5'!D114)</f>
        <v>0</v>
      </c>
      <c r="K130" s="209">
        <f>IF(K112=0,0,'Tank Loss 5'!E114)</f>
        <v>0</v>
      </c>
      <c r="L130" s="209">
        <f>IF(L112=0,0,'Tank Loss 5'!F114)</f>
        <v>0</v>
      </c>
      <c r="M130" s="209">
        <f>IF(M112=0,0,'Tank Loss 5'!G114)</f>
        <v>0</v>
      </c>
      <c r="N130" s="209">
        <f>IF(N112=0,0,'Tank Loss 5'!H114)</f>
        <v>0</v>
      </c>
      <c r="O130" s="209">
        <f>IF(O112=0,0,'Tank Loss 5'!I114)</f>
        <v>0</v>
      </c>
      <c r="P130" s="209">
        <f>IF(P112=0,0,'Tank Loss 5'!J114)</f>
        <v>0</v>
      </c>
      <c r="Q130" s="209">
        <f>IF(Q112=0,0,'Tank Loss 5'!K114)</f>
        <v>0</v>
      </c>
      <c r="R130" s="209">
        <f>IF(R112=0,0,'Tank Loss 5'!L114)</f>
        <v>0</v>
      </c>
      <c r="S130" s="209">
        <f>IF(S112=0,0,'Tank Loss 5'!M114)</f>
        <v>0</v>
      </c>
      <c r="T130" s="209">
        <f>IF(T112=0,0,'Tank Loss 5'!N114)</f>
        <v>0</v>
      </c>
      <c r="U130" s="209">
        <f>IF(U112=0,0,'Tank Loss 5'!O114)</f>
        <v>0</v>
      </c>
      <c r="V130" s="209">
        <f>IF(V112=0,0,'Tank Loss 5'!P114)</f>
        <v>0</v>
      </c>
      <c r="W130" s="184">
        <f t="shared" si="27"/>
        <v>0</v>
      </c>
    </row>
    <row r="131" spans="1:23" x14ac:dyDescent="0.2">
      <c r="A131" s="111" t="s">
        <v>9646</v>
      </c>
      <c r="B131" s="129">
        <f>IF(ISBLANK('Tank Loss 1'!C226),'Tank Loss 1'!B226,'Tank Loss 1'!C226)</f>
        <v>1</v>
      </c>
      <c r="C131" s="129">
        <f>IF(ISBLANK('Tank Loss 2'!C226),'Tank Loss 2'!B226,'Tank Loss 2'!C226)</f>
        <v>1</v>
      </c>
      <c r="D131" s="129">
        <f>IF(ISBLANK('Tank Loss 3'!C226),'Tank Loss 3'!B226,'Tank Loss 3'!C226)</f>
        <v>1</v>
      </c>
      <c r="E131" s="129">
        <f>IF(ISBLANK('Tank Loss 4'!C226),'Tank Loss 4'!B226,'Tank Loss 4'!C226)</f>
        <v>1</v>
      </c>
      <c r="F131" s="129">
        <f>IF(ISBLANK('Tank Loss 5'!C226),'Tank Loss 5'!B226,'Tank Loss 5'!C226)</f>
        <v>1</v>
      </c>
      <c r="G131" s="208" t="s">
        <v>9552</v>
      </c>
      <c r="H131" s="182">
        <f>H130*H118</f>
        <v>0</v>
      </c>
      <c r="I131" s="209">
        <f t="shared" ref="I131:V131" si="28">I130*I118</f>
        <v>0</v>
      </c>
      <c r="J131" s="209">
        <f t="shared" si="28"/>
        <v>0</v>
      </c>
      <c r="K131" s="209">
        <f t="shared" si="28"/>
        <v>0</v>
      </c>
      <c r="L131" s="209">
        <f t="shared" si="28"/>
        <v>0</v>
      </c>
      <c r="M131" s="209">
        <f t="shared" si="28"/>
        <v>0</v>
      </c>
      <c r="N131" s="209">
        <f t="shared" si="28"/>
        <v>0</v>
      </c>
      <c r="O131" s="209">
        <f t="shared" si="28"/>
        <v>0</v>
      </c>
      <c r="P131" s="209">
        <f t="shared" si="28"/>
        <v>0</v>
      </c>
      <c r="Q131" s="209">
        <f t="shared" si="28"/>
        <v>0</v>
      </c>
      <c r="R131" s="209">
        <f t="shared" si="28"/>
        <v>0</v>
      </c>
      <c r="S131" s="209">
        <f t="shared" si="28"/>
        <v>0</v>
      </c>
      <c r="T131" s="209">
        <f t="shared" si="28"/>
        <v>0</v>
      </c>
      <c r="U131" s="209">
        <f t="shared" si="28"/>
        <v>0</v>
      </c>
      <c r="V131" s="209">
        <f t="shared" si="28"/>
        <v>0</v>
      </c>
      <c r="W131" s="184">
        <f t="shared" si="27"/>
        <v>0</v>
      </c>
    </row>
    <row r="132" spans="1:23" ht="25.5" x14ac:dyDescent="0.2">
      <c r="A132" s="111" t="s">
        <v>9647</v>
      </c>
      <c r="B132" s="129">
        <f>IF(ISBLANK('Tank Loss 1'!C227),'Tank Loss 1'!B227,'Tank Loss 1'!C227)</f>
        <v>0</v>
      </c>
      <c r="C132" s="129">
        <f>IF(ISBLANK('Tank Loss 2'!C227),'Tank Loss 2'!B227,'Tank Loss 2'!C227)</f>
        <v>0</v>
      </c>
      <c r="D132" s="129">
        <f>IF(ISBLANK('Tank Loss 3'!C227),'Tank Loss 3'!B227,'Tank Loss 3'!C227)</f>
        <v>0</v>
      </c>
      <c r="E132" s="129">
        <f>IF(ISBLANK('Tank Loss 4'!C227),'Tank Loss 4'!B227,'Tank Loss 4'!C227)</f>
        <v>0</v>
      </c>
      <c r="F132" s="129">
        <f>IF(ISBLANK('Tank Loss 5'!C227),'Tank Loss 5'!B227,'Tank Loss 5'!C227)</f>
        <v>0</v>
      </c>
      <c r="G132" s="208" t="s">
        <v>9554</v>
      </c>
      <c r="H132" s="182">
        <f t="shared" ref="H132:V132" si="29">IFERROR(H131/$W131,0)</f>
        <v>0</v>
      </c>
      <c r="I132" s="209">
        <f t="shared" si="29"/>
        <v>0</v>
      </c>
      <c r="J132" s="209">
        <f t="shared" si="29"/>
        <v>0</v>
      </c>
      <c r="K132" s="209">
        <f t="shared" si="29"/>
        <v>0</v>
      </c>
      <c r="L132" s="209">
        <f t="shared" si="29"/>
        <v>0</v>
      </c>
      <c r="M132" s="209">
        <f t="shared" si="29"/>
        <v>0</v>
      </c>
      <c r="N132" s="209">
        <f t="shared" si="29"/>
        <v>0</v>
      </c>
      <c r="O132" s="209">
        <f t="shared" si="29"/>
        <v>0</v>
      </c>
      <c r="P132" s="209">
        <f t="shared" si="29"/>
        <v>0</v>
      </c>
      <c r="Q132" s="209">
        <f t="shared" si="29"/>
        <v>0</v>
      </c>
      <c r="R132" s="209">
        <f t="shared" si="29"/>
        <v>0</v>
      </c>
      <c r="S132" s="209">
        <f t="shared" si="29"/>
        <v>0</v>
      </c>
      <c r="T132" s="209">
        <f t="shared" si="29"/>
        <v>0</v>
      </c>
      <c r="U132" s="209">
        <f t="shared" si="29"/>
        <v>0</v>
      </c>
      <c r="V132" s="209">
        <f t="shared" si="29"/>
        <v>0</v>
      </c>
      <c r="W132" s="184">
        <f t="shared" si="27"/>
        <v>0</v>
      </c>
    </row>
    <row r="133" spans="1:23" x14ac:dyDescent="0.2">
      <c r="A133" s="111" t="s">
        <v>9648</v>
      </c>
      <c r="B133" s="129">
        <f>'Tank Loss 1'!C228</f>
        <v>0</v>
      </c>
      <c r="C133" s="129">
        <f>'Tank Loss 2'!C228</f>
        <v>0</v>
      </c>
      <c r="D133" s="129">
        <f>'Tank Loss 3'!C228</f>
        <v>0</v>
      </c>
      <c r="E133" s="129">
        <f>'Tank Loss 4'!C228</f>
        <v>0</v>
      </c>
      <c r="F133" s="129">
        <f>'Tank Loss 5'!C228</f>
        <v>0</v>
      </c>
      <c r="G133" s="208" t="s">
        <v>9556</v>
      </c>
      <c r="H133" s="182" t="str">
        <f>'Tank Loss 5'!B115</f>
        <v/>
      </c>
      <c r="I133" s="209" t="str">
        <f>'Tank Loss 5'!C115</f>
        <v/>
      </c>
      <c r="J133" s="209" t="str">
        <f>'Tank Loss 5'!D115</f>
        <v/>
      </c>
      <c r="K133" s="209" t="str">
        <f>'Tank Loss 5'!E115</f>
        <v/>
      </c>
      <c r="L133" s="209" t="str">
        <f>'Tank Loss 5'!F115</f>
        <v/>
      </c>
      <c r="M133" s="209" t="str">
        <f>'Tank Loss 5'!G115</f>
        <v/>
      </c>
      <c r="N133" s="209" t="str">
        <f>'Tank Loss 5'!H115</f>
        <v/>
      </c>
      <c r="O133" s="209" t="str">
        <f>'Tank Loss 5'!I115</f>
        <v/>
      </c>
      <c r="P133" s="209" t="str">
        <f>'Tank Loss 5'!J115</f>
        <v/>
      </c>
      <c r="Q133" s="209" t="str">
        <f>'Tank Loss 5'!K115</f>
        <v/>
      </c>
      <c r="R133" s="209" t="str">
        <f>'Tank Loss 5'!L115</f>
        <v/>
      </c>
      <c r="S133" s="209" t="str">
        <f>'Tank Loss 5'!M115</f>
        <v/>
      </c>
      <c r="T133" s="209" t="str">
        <f>'Tank Loss 5'!N115</f>
        <v/>
      </c>
      <c r="U133" s="209" t="str">
        <f>'Tank Loss 5'!O115</f>
        <v/>
      </c>
      <c r="V133" s="209" t="str">
        <f>'Tank Loss 5'!P115</f>
        <v/>
      </c>
      <c r="W133" s="214">
        <f t="shared" si="27"/>
        <v>0</v>
      </c>
    </row>
    <row r="134" spans="1:23" x14ac:dyDescent="0.2">
      <c r="A134" s="111" t="s">
        <v>9649</v>
      </c>
      <c r="B134" s="129">
        <f>'Tank Loss 1'!C229</f>
        <v>0</v>
      </c>
      <c r="C134" s="129">
        <f>'Tank Loss 2'!C229</f>
        <v>0</v>
      </c>
      <c r="D134" s="129">
        <f>'Tank Loss 3'!C229</f>
        <v>0</v>
      </c>
      <c r="E134" s="129">
        <f>'Tank Loss 4'!C229</f>
        <v>0</v>
      </c>
      <c r="F134" s="129">
        <f>'Tank Loss 5'!C229</f>
        <v>0</v>
      </c>
      <c r="G134" s="208" t="s">
        <v>9558</v>
      </c>
      <c r="H134" s="182" t="str">
        <f>'Tank Loss 5'!B116</f>
        <v/>
      </c>
      <c r="I134" s="209" t="str">
        <f>'Tank Loss 5'!C116</f>
        <v/>
      </c>
      <c r="J134" s="209" t="str">
        <f>'Tank Loss 5'!D116</f>
        <v/>
      </c>
      <c r="K134" s="209" t="str">
        <f>'Tank Loss 5'!E116</f>
        <v/>
      </c>
      <c r="L134" s="209" t="str">
        <f>'Tank Loss 5'!F116</f>
        <v/>
      </c>
      <c r="M134" s="209" t="str">
        <f>'Tank Loss 5'!G116</f>
        <v/>
      </c>
      <c r="N134" s="209" t="str">
        <f>'Tank Loss 5'!H116</f>
        <v/>
      </c>
      <c r="O134" s="209" t="str">
        <f>'Tank Loss 5'!I116</f>
        <v/>
      </c>
      <c r="P134" s="209" t="str">
        <f>'Tank Loss 5'!J116</f>
        <v/>
      </c>
      <c r="Q134" s="209" t="str">
        <f>'Tank Loss 5'!K116</f>
        <v/>
      </c>
      <c r="R134" s="209" t="str">
        <f>'Tank Loss 5'!L116</f>
        <v/>
      </c>
      <c r="S134" s="209" t="str">
        <f>'Tank Loss 5'!M116</f>
        <v/>
      </c>
      <c r="T134" s="209" t="str">
        <f>'Tank Loss 5'!N116</f>
        <v/>
      </c>
      <c r="U134" s="209" t="str">
        <f>'Tank Loss 5'!O116</f>
        <v/>
      </c>
      <c r="V134" s="209" t="str">
        <f>'Tank Loss 5'!P116</f>
        <v/>
      </c>
      <c r="W134" s="184">
        <f>SUM(H134:Q134)</f>
        <v>0</v>
      </c>
    </row>
    <row r="135" spans="1:23" ht="13.5" thickBot="1" x14ac:dyDescent="0.25">
      <c r="A135" s="111" t="s">
        <v>9650</v>
      </c>
      <c r="B135" s="129">
        <f>'Tank Loss 1'!C230</f>
        <v>0</v>
      </c>
      <c r="C135" s="129">
        <f>'Tank Loss 2'!C230</f>
        <v>0</v>
      </c>
      <c r="D135" s="129">
        <f>'Tank Loss 3'!C230</f>
        <v>0</v>
      </c>
      <c r="E135" s="129">
        <f>'Tank Loss 4'!C230</f>
        <v>0</v>
      </c>
      <c r="F135" s="129">
        <f>'Tank Loss 5'!C230</f>
        <v>0</v>
      </c>
      <c r="G135" s="216" t="s">
        <v>9560</v>
      </c>
      <c r="H135" s="188" t="str">
        <f>'Tank Loss 5'!B117</f>
        <v/>
      </c>
      <c r="I135" s="217" t="str">
        <f>'Tank Loss 5'!C117</f>
        <v/>
      </c>
      <c r="J135" s="217" t="str">
        <f>'Tank Loss 5'!D117</f>
        <v/>
      </c>
      <c r="K135" s="217" t="str">
        <f>'Tank Loss 5'!E117</f>
        <v/>
      </c>
      <c r="L135" s="217" t="str">
        <f>'Tank Loss 5'!F117</f>
        <v/>
      </c>
      <c r="M135" s="217" t="str">
        <f>'Tank Loss 5'!G117</f>
        <v/>
      </c>
      <c r="N135" s="217" t="str">
        <f>'Tank Loss 5'!H117</f>
        <v/>
      </c>
      <c r="O135" s="217" t="str">
        <f>'Tank Loss 5'!I117</f>
        <v/>
      </c>
      <c r="P135" s="217" t="str">
        <f>'Tank Loss 5'!J117</f>
        <v/>
      </c>
      <c r="Q135" s="217" t="str">
        <f>'Tank Loss 5'!K117</f>
        <v/>
      </c>
      <c r="R135" s="217" t="str">
        <f>'Tank Loss 5'!L117</f>
        <v/>
      </c>
      <c r="S135" s="217" t="str">
        <f>'Tank Loss 5'!M117</f>
        <v/>
      </c>
      <c r="T135" s="217" t="str">
        <f>'Tank Loss 5'!N117</f>
        <v/>
      </c>
      <c r="U135" s="217" t="str">
        <f>'Tank Loss 5'!O117</f>
        <v/>
      </c>
      <c r="V135" s="217" t="str">
        <f>'Tank Loss 5'!P117</f>
        <v/>
      </c>
      <c r="W135" s="191">
        <f>SUM(H135:Q135)</f>
        <v>0</v>
      </c>
    </row>
    <row r="136" spans="1:23" ht="13.5" thickBot="1" x14ac:dyDescent="0.25">
      <c r="A136" s="111" t="s">
        <v>9651</v>
      </c>
      <c r="B136" s="130">
        <f>IF(ISBLANK('Tank Loss 1'!C231),'Tank Loss 1'!B231,'Tank Loss 1'!C231)</f>
        <v>0</v>
      </c>
      <c r="C136" s="130">
        <f>IF(ISBLANK('Tank Loss 2'!C231),'Tank Loss 2'!B231,'Tank Loss 2'!C231)</f>
        <v>0</v>
      </c>
      <c r="D136" s="130">
        <f>IF(ISBLANK('Tank Loss 3'!C231),'Tank Loss 3'!B231,'Tank Loss 3'!C231)</f>
        <v>0</v>
      </c>
      <c r="E136" s="130">
        <f>IF(ISBLANK('Tank Loss 4'!C231),'Tank Loss 4'!B231,'Tank Loss 4'!C231)</f>
        <v>0</v>
      </c>
      <c r="F136" s="130">
        <f>IF(ISBLANK('Tank Loss 5'!C231),'Tank Loss 5'!B231,'Tank Loss 5'!C231)</f>
        <v>0</v>
      </c>
    </row>
    <row r="137" spans="1:23" ht="25.5" x14ac:dyDescent="0.2">
      <c r="A137" s="111" t="s">
        <v>9652</v>
      </c>
      <c r="B137" s="130">
        <f>IF(ISBLANK('Tank Loss 1'!C232),'Tank Loss 1'!B232,'Tank Loss 1'!C232)</f>
        <v>1</v>
      </c>
      <c r="C137" s="130">
        <f>IF(ISBLANK('Tank Loss 2'!C232),'Tank Loss 2'!B232,'Tank Loss 2'!C232)</f>
        <v>1</v>
      </c>
      <c r="D137" s="130">
        <f>IF(ISBLANK('Tank Loss 3'!C232),'Tank Loss 3'!B232,'Tank Loss 3'!C232)</f>
        <v>1</v>
      </c>
      <c r="E137" s="130">
        <f>IF(ISBLANK('Tank Loss 4'!C232),'Tank Loss 4'!B232,'Tank Loss 4'!C232)</f>
        <v>1</v>
      </c>
      <c r="F137" s="130">
        <f>IF(ISBLANK('Tank Loss 5'!C232),'Tank Loss 5'!B232,'Tank Loss 5'!C232)</f>
        <v>1</v>
      </c>
      <c r="G137" s="333" t="s">
        <v>9058</v>
      </c>
      <c r="H137" s="336" t="s">
        <v>9981</v>
      </c>
      <c r="I137" s="336" t="s">
        <v>9982</v>
      </c>
      <c r="J137" s="336" t="s">
        <v>9983</v>
      </c>
      <c r="K137" s="336" t="s">
        <v>9984</v>
      </c>
      <c r="L137" s="334" t="s">
        <v>9985</v>
      </c>
    </row>
    <row r="138" spans="1:23" ht="25.5" x14ac:dyDescent="0.2">
      <c r="A138" s="111" t="s">
        <v>9653</v>
      </c>
      <c r="B138" s="130">
        <f>'Tank Loss 1'!C233</f>
        <v>0</v>
      </c>
      <c r="C138" s="130">
        <f>'Tank Loss 2'!C233</f>
        <v>0</v>
      </c>
      <c r="D138" s="130">
        <f>'Tank Loss 3'!C233</f>
        <v>0</v>
      </c>
      <c r="E138" s="130">
        <f>'Tank Loss 4'!C233</f>
        <v>0</v>
      </c>
      <c r="F138" s="130">
        <f>'Tank Loss 5'!C233</f>
        <v>0</v>
      </c>
      <c r="G138" s="182" t="s">
        <v>9565</v>
      </c>
      <c r="H138" s="187">
        <v>0.6</v>
      </c>
      <c r="I138" s="187">
        <v>0.6</v>
      </c>
      <c r="J138" s="187">
        <v>0.6</v>
      </c>
      <c r="K138" s="187">
        <v>0.6</v>
      </c>
      <c r="L138" s="184">
        <v>0.6</v>
      </c>
    </row>
    <row r="139" spans="1:23" x14ac:dyDescent="0.2">
      <c r="A139" s="111" t="s">
        <v>9654</v>
      </c>
      <c r="B139" s="130">
        <f>'Tank Loss 1'!C236</f>
        <v>0</v>
      </c>
      <c r="C139" s="130">
        <f>'Tank Loss 2'!C236</f>
        <v>0</v>
      </c>
      <c r="D139" s="130">
        <f>'Tank Loss 3'!C236</f>
        <v>0</v>
      </c>
      <c r="E139" s="130">
        <f>'Tank Loss 4'!C236</f>
        <v>0</v>
      </c>
      <c r="F139" s="130">
        <f>'Tank Loss 5'!C236</f>
        <v>0</v>
      </c>
      <c r="G139" s="182" t="s">
        <v>9567</v>
      </c>
      <c r="H139" s="187">
        <v>0.5</v>
      </c>
      <c r="I139" s="187">
        <v>0.5</v>
      </c>
      <c r="J139" s="187">
        <v>0.5</v>
      </c>
      <c r="K139" s="187">
        <v>0.5</v>
      </c>
      <c r="L139" s="184">
        <v>0.5</v>
      </c>
    </row>
    <row r="140" spans="1:23" x14ac:dyDescent="0.2">
      <c r="A140" s="111" t="s">
        <v>9655</v>
      </c>
      <c r="B140" s="130">
        <f>'Tank Loss 1'!C234</f>
        <v>0</v>
      </c>
      <c r="C140" s="130">
        <f>'Tank Loss 2'!C234</f>
        <v>0</v>
      </c>
      <c r="D140" s="130">
        <f>'Tank Loss 3'!C234</f>
        <v>0</v>
      </c>
      <c r="E140" s="130">
        <f>'Tank Loss 4'!C234</f>
        <v>0</v>
      </c>
      <c r="F140" s="130">
        <f>'Tank Loss 5'!C234</f>
        <v>0</v>
      </c>
      <c r="G140" s="182" t="s">
        <v>9569</v>
      </c>
      <c r="H140" s="187">
        <f>(0.6*B106)+(0.6*B127)</f>
        <v>0.6</v>
      </c>
      <c r="I140" s="187">
        <f>(0.6*C106)+(0.6*C127)</f>
        <v>0.6</v>
      </c>
      <c r="J140" s="187">
        <f>(0.6*D106)+(0.6*D127)</f>
        <v>0.6</v>
      </c>
      <c r="K140" s="187">
        <f>(0.6*E106)+(0.6*E127)</f>
        <v>0.6</v>
      </c>
      <c r="L140" s="184">
        <f>(0.6*F106)+(0.6*F127)</f>
        <v>0.6</v>
      </c>
    </row>
    <row r="141" spans="1:23" x14ac:dyDescent="0.2">
      <c r="A141" s="111" t="s">
        <v>9656</v>
      </c>
      <c r="B141" s="130">
        <f>'Tank Loss 1'!C235</f>
        <v>0</v>
      </c>
      <c r="C141" s="130">
        <f>'Tank Loss 2'!C235</f>
        <v>0</v>
      </c>
      <c r="D141" s="130">
        <f>'Tank Loss 3'!C235</f>
        <v>0</v>
      </c>
      <c r="E141" s="130">
        <f>'Tank Loss 4'!C235</f>
        <v>0</v>
      </c>
      <c r="F141" s="130">
        <f>'Tank Loss 5'!C235</f>
        <v>0</v>
      </c>
      <c r="G141" s="182" t="s">
        <v>9571</v>
      </c>
      <c r="H141" s="187">
        <f>(0.5*B106)+(0.5*B127)</f>
        <v>0.5</v>
      </c>
      <c r="I141" s="187">
        <f>(0.5*C106)+(0.5*C127)</f>
        <v>0.5</v>
      </c>
      <c r="J141" s="187">
        <f>(0.5*D106)+(0.5*D127)</f>
        <v>0.5</v>
      </c>
      <c r="K141" s="187">
        <f>(0.5*E106)+(0.5*E127)</f>
        <v>0.5</v>
      </c>
      <c r="L141" s="184">
        <f>(0.5*F106)+(0.5*F127)</f>
        <v>0.5</v>
      </c>
    </row>
    <row r="142" spans="1:23" x14ac:dyDescent="0.2">
      <c r="A142" s="111" t="s">
        <v>9657</v>
      </c>
      <c r="B142" s="130">
        <f>5.8752*(B8^2)*B137*IF('Tank Loss 1'!B12="Fixed",B62,B83)</f>
        <v>0</v>
      </c>
      <c r="C142" s="130">
        <f>5.8752*(C8^2)*C137*IF('Tank Loss 2'!B12="Fixed",C62,C83)</f>
        <v>0</v>
      </c>
      <c r="D142" s="130">
        <f>5.8752*(D8^2)*D137*IF('Tank Loss 3'!B12="Fixed",D62,D83)</f>
        <v>0</v>
      </c>
      <c r="E142" s="130">
        <f>5.8752*(E8^2)*E137*IF('Tank Loss 4'!B12="Fixed",E62,E83)</f>
        <v>0</v>
      </c>
      <c r="F142" s="130">
        <f>5.8752*(F8^2)*F137*IF('Tank Loss 5'!B12="Fixed",F62,F83)</f>
        <v>0</v>
      </c>
      <c r="G142" s="182" t="s">
        <v>9573</v>
      </c>
      <c r="H142" s="187">
        <f>(0.6*B106)+(0.6*B127)</f>
        <v>0.6</v>
      </c>
      <c r="I142" s="187">
        <f>(0.6*C106)+(0.6*C127)</f>
        <v>0.6</v>
      </c>
      <c r="J142" s="187">
        <f>(0.6*D106)+(0.6*D127)</f>
        <v>0.6</v>
      </c>
      <c r="K142" s="187">
        <f>(0.6*E106)+(0.6*E127)</f>
        <v>0.6</v>
      </c>
      <c r="L142" s="184">
        <f>(0.6*F106)+(0.6*F127)</f>
        <v>0.6</v>
      </c>
    </row>
    <row r="143" spans="1:23" ht="26.25" thickBot="1" x14ac:dyDescent="0.25">
      <c r="A143" s="112" t="s">
        <v>9658</v>
      </c>
      <c r="B143" s="129">
        <f>0.48956*B138*(B8^2)*B139*IF('Tank Loss 1'!B12="Fixed",B62,B83)</f>
        <v>0</v>
      </c>
      <c r="C143" s="129">
        <f>0.48956*C138*(C8^2)*C139*IF('Tank Loss 2'!B12="Fixed",C62,C83)</f>
        <v>0</v>
      </c>
      <c r="D143" s="129">
        <f>0.48956*D138*(D8^2)*D139*IF('Tank Loss 3'!B12="Fixed",D62,D83)</f>
        <v>0</v>
      </c>
      <c r="E143" s="129">
        <f>0.48956*E138*(E8^2)*E139*IF('Tank Loss 4'!B12="Fixed",E62,E83)</f>
        <v>0</v>
      </c>
      <c r="F143" s="129">
        <f>0.48956*F138*(F8^2)*F139*IF('Tank Loss 5'!B12="Fixed",F62,F83)</f>
        <v>0</v>
      </c>
      <c r="G143" s="188" t="s">
        <v>9575</v>
      </c>
      <c r="H143" s="337">
        <f>(0.5*B106)+(0.5*B127)</f>
        <v>0.5</v>
      </c>
      <c r="I143" s="337">
        <f>(0.5*C106)+(0.5*C127)</f>
        <v>0.5</v>
      </c>
      <c r="J143" s="337">
        <f>(0.5*D106)+(0.5*D127)</f>
        <v>0.5</v>
      </c>
      <c r="K143" s="337">
        <f>(0.5*E106)+(0.5*E127)</f>
        <v>0.5</v>
      </c>
      <c r="L143" s="191">
        <f>(0.5*F106)+(0.5*F127)</f>
        <v>0.5</v>
      </c>
    </row>
    <row r="144" spans="1:23" x14ac:dyDescent="0.2">
      <c r="A144" s="128" t="s">
        <v>9659</v>
      </c>
      <c r="B144" s="131">
        <f>60*B133*B134*B135*B132*(B3*B136/(10.731*B32))</f>
        <v>0</v>
      </c>
      <c r="C144" s="131">
        <f>60*C133*C134*C135*C132*(C3*C136/(10.731*C32))</f>
        <v>0</v>
      </c>
      <c r="D144" s="131">
        <f>60*D133*D134*D135*D132*(D3*D136/(10.731*D32))</f>
        <v>0</v>
      </c>
      <c r="E144" s="131">
        <f>60*E133*E134*E135*E132*(E3*E136/(10.731*E32))</f>
        <v>0</v>
      </c>
      <c r="F144" s="131">
        <f>60*F133*F134*F135*F132*(F3*F136/(10.731*F32))</f>
        <v>0</v>
      </c>
    </row>
    <row r="145" spans="1:6" x14ac:dyDescent="0.2">
      <c r="A145" s="128" t="s">
        <v>9660</v>
      </c>
      <c r="B145" s="131">
        <f>60*B133*B140*B141*B132*(B3*B136/(10.731*B32))</f>
        <v>0</v>
      </c>
      <c r="C145" s="131">
        <f>60*C133*C140*C141*C132*(C3*C136/(10.731*C32))</f>
        <v>0</v>
      </c>
      <c r="D145" s="131">
        <f>60*D133*D140*D141*D132*(D3*D136/(10.731*D32))</f>
        <v>0</v>
      </c>
      <c r="E145" s="131">
        <f>60*E133*E140*E141*E132*(E3*E136/(10.731*E32))</f>
        <v>0</v>
      </c>
      <c r="F145" s="131">
        <f>60*F133*F140*F141*F132*(F3*F136/(10.731*F32))</f>
        <v>0</v>
      </c>
    </row>
    <row r="146" spans="1:6" x14ac:dyDescent="0.2">
      <c r="A146" s="132" t="s">
        <v>9659</v>
      </c>
      <c r="B146" s="133">
        <f t="shared" ref="B146:F147" si="30">MIN(B144,B142)</f>
        <v>0</v>
      </c>
      <c r="C146" s="133">
        <f t="shared" si="30"/>
        <v>0</v>
      </c>
      <c r="D146" s="133">
        <f t="shared" si="30"/>
        <v>0</v>
      </c>
      <c r="E146" s="133">
        <f t="shared" si="30"/>
        <v>0</v>
      </c>
      <c r="F146" s="133">
        <f t="shared" si="30"/>
        <v>0</v>
      </c>
    </row>
    <row r="147" spans="1:6" ht="13.5" thickBot="1" x14ac:dyDescent="0.25">
      <c r="A147" s="134" t="s">
        <v>9660</v>
      </c>
      <c r="B147" s="135">
        <f t="shared" si="30"/>
        <v>0</v>
      </c>
      <c r="C147" s="135">
        <f t="shared" si="30"/>
        <v>0</v>
      </c>
      <c r="D147" s="135">
        <f t="shared" si="30"/>
        <v>0</v>
      </c>
      <c r="E147" s="135">
        <f t="shared" si="30"/>
        <v>0</v>
      </c>
      <c r="F147" s="135">
        <f t="shared" si="30"/>
        <v>0</v>
      </c>
    </row>
    <row r="148" spans="1:6" x14ac:dyDescent="0.2">
      <c r="A148" s="126" t="s">
        <v>9661</v>
      </c>
      <c r="B148" s="136">
        <f>'Tank Loss 1'!C242</f>
        <v>0</v>
      </c>
      <c r="C148" s="136">
        <f>'Tank Loss 2'!C242</f>
        <v>0</v>
      </c>
      <c r="D148" s="136">
        <f>'Tank Loss 3'!C242</f>
        <v>0</v>
      </c>
      <c r="E148" s="136">
        <f>'Tank Loss 4'!C242</f>
        <v>0</v>
      </c>
      <c r="F148" s="136">
        <f>'Tank Loss 5'!C242</f>
        <v>0</v>
      </c>
    </row>
    <row r="149" spans="1:6" x14ac:dyDescent="0.2">
      <c r="A149" s="128" t="s">
        <v>9662</v>
      </c>
      <c r="B149" s="137">
        <f>IF(ISBLANK('Tank Loss 1'!C243),'Tank Loss 1'!B243,'Tank Loss 1'!C243)</f>
        <v>2.635184989986297E-3</v>
      </c>
      <c r="C149" s="137">
        <f>IF(ISBLANK('Tank Loss 2'!C243),'Tank Loss 2'!B243,'Tank Loss 2'!C243)</f>
        <v>2.635184989986297E-3</v>
      </c>
      <c r="D149" s="137">
        <f>IF(ISBLANK('Tank Loss 3'!C243),'Tank Loss 3'!B243,'Tank Loss 3'!C243)</f>
        <v>2.635184989986297E-3</v>
      </c>
      <c r="E149" s="137">
        <f>IF(ISBLANK('Tank Loss 4'!C243),'Tank Loss 4'!B243,'Tank Loss 4'!C243)</f>
        <v>2.635184989986297E-3</v>
      </c>
      <c r="F149" s="137">
        <f>IF(ISBLANK('Tank Loss 5'!C243),'Tank Loss 5'!B243,'Tank Loss 5'!C243)</f>
        <v>2.635184989986297E-3</v>
      </c>
    </row>
    <row r="150" spans="1:6" x14ac:dyDescent="0.2">
      <c r="A150" s="112" t="s">
        <v>9663</v>
      </c>
      <c r="B150" s="137">
        <f>'Tank Loss 1'!C244</f>
        <v>0</v>
      </c>
      <c r="C150" s="137">
        <f>'Tank Loss 2'!C244</f>
        <v>0</v>
      </c>
      <c r="D150" s="137">
        <f>'Tank Loss 3'!C244</f>
        <v>0</v>
      </c>
      <c r="E150" s="137">
        <f>'Tank Loss 4'!C244</f>
        <v>0</v>
      </c>
      <c r="F150" s="137">
        <f>'Tank Loss 5'!C244</f>
        <v>0</v>
      </c>
    </row>
    <row r="151" spans="1:6" x14ac:dyDescent="0.2">
      <c r="A151" s="111" t="s">
        <v>9664</v>
      </c>
      <c r="B151" s="137">
        <f>'Tank Loss 1'!C245</f>
        <v>0</v>
      </c>
      <c r="C151" s="137">
        <f>'Tank Loss 2'!C245</f>
        <v>0</v>
      </c>
      <c r="D151" s="137">
        <f>'Tank Loss 3'!C245</f>
        <v>0</v>
      </c>
      <c r="E151" s="137">
        <f>'Tank Loss 4'!C245</f>
        <v>0</v>
      </c>
      <c r="F151" s="137">
        <f>'Tank Loss 5'!C245</f>
        <v>0</v>
      </c>
    </row>
    <row r="152" spans="1:6" x14ac:dyDescent="0.2">
      <c r="A152" s="111" t="s">
        <v>9665</v>
      </c>
      <c r="B152" s="137">
        <f>'Tank Loss 1'!C246</f>
        <v>0</v>
      </c>
      <c r="C152" s="137">
        <f>'Tank Loss 2'!C246</f>
        <v>0</v>
      </c>
      <c r="D152" s="137">
        <f>'Tank Loss 3'!C246</f>
        <v>0</v>
      </c>
      <c r="E152" s="137">
        <f>'Tank Loss 4'!C246</f>
        <v>0</v>
      </c>
      <c r="F152" s="137">
        <f>'Tank Loss 5'!C246</f>
        <v>0</v>
      </c>
    </row>
    <row r="153" spans="1:6" x14ac:dyDescent="0.2">
      <c r="A153" s="111" t="s">
        <v>9666</v>
      </c>
      <c r="B153" s="137">
        <f>B152+B3</f>
        <v>14.7</v>
      </c>
      <c r="C153" s="137">
        <f>C152+C3</f>
        <v>14.7</v>
      </c>
      <c r="D153" s="137">
        <f>D152+D3</f>
        <v>14.7</v>
      </c>
      <c r="E153" s="137">
        <f>E152+E3</f>
        <v>14.7</v>
      </c>
      <c r="F153" s="137">
        <f>F152+F3</f>
        <v>14.7</v>
      </c>
    </row>
    <row r="154" spans="1:6" x14ac:dyDescent="0.2">
      <c r="A154" s="111" t="s">
        <v>9667</v>
      </c>
      <c r="B154" s="137">
        <f>IF(ISBLANK('Tank Loss 1'!C247),'Tank Loss 1'!B247,'Tank Loss 1'!C247)</f>
        <v>70</v>
      </c>
      <c r="C154" s="137">
        <f>IF(ISBLANK('Tank Loss 2'!C247),'Tank Loss 2'!B247,'Tank Loss 2'!C247)</f>
        <v>70</v>
      </c>
      <c r="D154" s="137">
        <f>IF(ISBLANK('Tank Loss 3'!C247),'Tank Loss 3'!B247,'Tank Loss 3'!C247)</f>
        <v>70</v>
      </c>
      <c r="E154" s="137">
        <f>IF(ISBLANK('Tank Loss 4'!C247),'Tank Loss 4'!B247,'Tank Loss 4'!C247)</f>
        <v>70</v>
      </c>
      <c r="F154" s="137">
        <f>IF(ISBLANK('Tank Loss 5'!C247),'Tank Loss 5'!B247,'Tank Loss 5'!C247)</f>
        <v>70</v>
      </c>
    </row>
    <row r="155" spans="1:6" x14ac:dyDescent="0.2">
      <c r="A155" s="111" t="s">
        <v>9668</v>
      </c>
      <c r="B155" s="137">
        <f>IF(ISBLANK('Tank Loss 1'!C248),'Tank Loss 1'!B248,'Tank Loss 1'!C248)</f>
        <v>529.67000000000007</v>
      </c>
      <c r="C155" s="137">
        <f>IF(ISBLANK('Tank Loss 2'!C248),'Tank Loss 2'!B248,'Tank Loss 2'!C248)</f>
        <v>529.67000000000007</v>
      </c>
      <c r="D155" s="137">
        <f>IF(ISBLANK('Tank Loss 3'!C248),'Tank Loss 3'!B248,'Tank Loss 3'!C248)</f>
        <v>529.67000000000007</v>
      </c>
      <c r="E155" s="137">
        <f>IF(ISBLANK('Tank Loss 4'!C248),'Tank Loss 4'!B248,'Tank Loss 4'!C248)</f>
        <v>529.67000000000007</v>
      </c>
      <c r="F155" s="137">
        <f>IF(ISBLANK('Tank Loss 5'!C248),'Tank Loss 5'!B248,'Tank Loss 5'!C248)</f>
        <v>529.67000000000007</v>
      </c>
    </row>
    <row r="156" spans="1:6" x14ac:dyDescent="0.2">
      <c r="A156" s="111" t="s">
        <v>9669</v>
      </c>
      <c r="B156" s="137">
        <f>IF(ISBLANK('Tank Loss 1'!C249),'Tank Loss 1'!B249,'Tank Loss 1'!C249)</f>
        <v>0.9</v>
      </c>
      <c r="C156" s="137">
        <f>IF(ISBLANK('Tank Loss 2'!C249),'Tank Loss 2'!B249,'Tank Loss 2'!C249)</f>
        <v>0.9</v>
      </c>
      <c r="D156" s="137">
        <f>IF(ISBLANK('Tank Loss 3'!C249),'Tank Loss 3'!B249,'Tank Loss 3'!C249)</f>
        <v>0.9</v>
      </c>
      <c r="E156" s="137">
        <f>IF(ISBLANK('Tank Loss 4'!C249),'Tank Loss 4'!B249,'Tank Loss 4'!C249)</f>
        <v>0.9</v>
      </c>
      <c r="F156" s="137">
        <f>IF(ISBLANK('Tank Loss 5'!C249),'Tank Loss 5'!B249,'Tank Loss 5'!C249)</f>
        <v>0.9</v>
      </c>
    </row>
    <row r="157" spans="1:6" x14ac:dyDescent="0.2">
      <c r="A157" s="111" t="s">
        <v>9670</v>
      </c>
      <c r="B157" s="137">
        <f>IF(ISBLANK('Tank Loss 1'!C250),'Tank Loss 1'!B250,'Tank Loss 1'!C250)</f>
        <v>0.8</v>
      </c>
      <c r="C157" s="137">
        <f>IF(ISBLANK('Tank Loss 2'!C250),'Tank Loss 2'!B250,'Tank Loss 2'!C250)</f>
        <v>0.8</v>
      </c>
      <c r="D157" s="137">
        <f>IF(ISBLANK('Tank Loss 3'!C250),'Tank Loss 3'!B250,'Tank Loss 3'!C250)</f>
        <v>0.8</v>
      </c>
      <c r="E157" s="137">
        <f>IF(ISBLANK('Tank Loss 4'!C250),'Tank Loss 4'!B250,'Tank Loss 4'!C250)</f>
        <v>0.8</v>
      </c>
      <c r="F157" s="137">
        <f>IF(ISBLANK('Tank Loss 5'!C250),'Tank Loss 5'!B250,'Tank Loss 5'!C250)</f>
        <v>0.8</v>
      </c>
    </row>
    <row r="158" spans="1:6" x14ac:dyDescent="0.2">
      <c r="A158" s="111" t="s">
        <v>9671</v>
      </c>
      <c r="B158" s="137">
        <f>IF(ISBLANK('Tank Loss 1'!C251),'Tank Loss 1'!B251,'Tank Loss 1'!C251)</f>
        <v>0.9</v>
      </c>
      <c r="C158" s="137">
        <f>IF(ISBLANK('Tank Loss 2'!C251),'Tank Loss 2'!B251,'Tank Loss 2'!C251)</f>
        <v>0.9</v>
      </c>
      <c r="D158" s="137">
        <f>IF(ISBLANK('Tank Loss 3'!C251),'Tank Loss 3'!B251,'Tank Loss 3'!C251)</f>
        <v>0.9</v>
      </c>
      <c r="E158" s="137">
        <f>IF(ISBLANK('Tank Loss 4'!C251),'Tank Loss 4'!B251,'Tank Loss 4'!C251)</f>
        <v>0.9</v>
      </c>
      <c r="F158" s="137">
        <f>IF(ISBLANK('Tank Loss 5'!C251),'Tank Loss 5'!B251,'Tank Loss 5'!C251)</f>
        <v>0.9</v>
      </c>
    </row>
    <row r="159" spans="1:6" x14ac:dyDescent="0.2">
      <c r="A159" s="111" t="s">
        <v>9672</v>
      </c>
      <c r="B159" s="137">
        <f>IF(ISBLANK('Tank Loss 1'!C252),'Tank Loss 1'!B252,'Tank Loss 1'!C252)</f>
        <v>3.6200000000000003E-2</v>
      </c>
      <c r="C159" s="137">
        <f>IF(ISBLANK('Tank Loss 2'!C252),'Tank Loss 2'!B252,'Tank Loss 2'!C252)</f>
        <v>3.6200000000000003E-2</v>
      </c>
      <c r="D159" s="137">
        <f>IF(ISBLANK('Tank Loss 3'!C252),'Tank Loss 3'!B252,'Tank Loss 3'!C252)</f>
        <v>3.6200000000000003E-2</v>
      </c>
      <c r="E159" s="137">
        <f>IF(ISBLANK('Tank Loss 4'!C252),'Tank Loss 4'!B252,'Tank Loss 4'!C252)</f>
        <v>3.6200000000000003E-2</v>
      </c>
      <c r="F159" s="137">
        <f>IF(ISBLANK('Tank Loss 5'!C252),'Tank Loss 5'!B252,'Tank Loss 5'!C252)</f>
        <v>3.6200000000000003E-2</v>
      </c>
    </row>
    <row r="160" spans="1:6" x14ac:dyDescent="0.2">
      <c r="A160" s="111" t="s">
        <v>9673</v>
      </c>
      <c r="B160" s="137">
        <f>IF(ISBLANK('Tank Loss 1'!C253),'Tank Loss 1'!B253,'Tank Loss 1'!C253)</f>
        <v>1.0936999999999999</v>
      </c>
      <c r="C160" s="137">
        <f>IF(ISBLANK('Tank Loss 2'!C253),'Tank Loss 2'!B253,'Tank Loss 2'!C253)</f>
        <v>1.0936999999999999</v>
      </c>
      <c r="D160" s="137">
        <f>IF(ISBLANK('Tank Loss 3'!C253),'Tank Loss 3'!B253,'Tank Loss 3'!C253)</f>
        <v>1.0936999999999999</v>
      </c>
      <c r="E160" s="137">
        <f>IF(ISBLANK('Tank Loss 4'!C253),'Tank Loss 4'!B253,'Tank Loss 4'!C253)</f>
        <v>1.0936999999999999</v>
      </c>
      <c r="F160" s="137">
        <f>IF(ISBLANK('Tank Loss 5'!C253),'Tank Loss 5'!B253,'Tank Loss 5'!C253)</f>
        <v>1.0936999999999999</v>
      </c>
    </row>
    <row r="161" spans="1:6" x14ac:dyDescent="0.2">
      <c r="A161" s="111" t="s">
        <v>9674</v>
      </c>
      <c r="B161" s="137">
        <f>IF(ISBLANK('Tank Loss 1'!C254),'Tank Loss 1'!B254,'Tank Loss 1'!C254)</f>
        <v>25.724</v>
      </c>
      <c r="C161" s="137">
        <f>IF(ISBLANK('Tank Loss 2'!C254),'Tank Loss 2'!B254,'Tank Loss 2'!C254)</f>
        <v>25.724</v>
      </c>
      <c r="D161" s="137">
        <f>IF(ISBLANK('Tank Loss 3'!C254),'Tank Loss 3'!B254,'Tank Loss 3'!C254)</f>
        <v>25.724</v>
      </c>
      <c r="E161" s="137">
        <f>IF(ISBLANK('Tank Loss 4'!C254),'Tank Loss 4'!B254,'Tank Loss 4'!C254)</f>
        <v>25.724</v>
      </c>
      <c r="F161" s="137">
        <f>IF(ISBLANK('Tank Loss 5'!C254),'Tank Loss 5'!B254,'Tank Loss 5'!C254)</f>
        <v>25.724</v>
      </c>
    </row>
    <row r="162" spans="1:6" x14ac:dyDescent="0.2">
      <c r="A162" s="111" t="s">
        <v>9675</v>
      </c>
      <c r="B162" s="137">
        <f>IF(ISBLANK('Tank Loss 1'!C255),'Tank Loss 1'!B255,'Tank Loss 1'!C255)</f>
        <v>0.61609268022449837</v>
      </c>
      <c r="C162" s="137">
        <f>IF(ISBLANK('Tank Loss 2'!C255),'Tank Loss 2'!B255,'Tank Loss 2'!C255)</f>
        <v>0.61609268022449837</v>
      </c>
      <c r="D162" s="137">
        <f>IF(ISBLANK('Tank Loss 3'!C255),'Tank Loss 3'!B255,'Tank Loss 3'!C255)</f>
        <v>0.61609268022449837</v>
      </c>
      <c r="E162" s="137">
        <f>IF(ISBLANK('Tank Loss 4'!C255),'Tank Loss 4'!B255,'Tank Loss 4'!C255)</f>
        <v>0.61609268022449837</v>
      </c>
      <c r="F162" s="137">
        <f>IF(ISBLANK('Tank Loss 5'!C255),'Tank Loss 5'!B255,'Tank Loss 5'!C255)</f>
        <v>0.61609268022449837</v>
      </c>
    </row>
    <row r="163" spans="1:6" x14ac:dyDescent="0.2">
      <c r="A163" s="111" t="s">
        <v>9676</v>
      </c>
      <c r="B163" s="137">
        <f>IF(ISBLANK('Tank Loss 1'!C256),1/385,'Tank Loss 1'!C256)</f>
        <v>2.5974025974025974E-3</v>
      </c>
      <c r="C163" s="137">
        <f>IF(ISBLANK('Tank Loss 2'!C256),1/385,'Tank Loss 2'!C256)</f>
        <v>2.5974025974025974E-3</v>
      </c>
      <c r="D163" s="137">
        <f>IF(ISBLANK('Tank Loss 3'!C256),1/385,'Tank Loss 3'!C256)</f>
        <v>2.5974025974025974E-3</v>
      </c>
      <c r="E163" s="137">
        <f>IF(ISBLANK('Tank Loss 4'!C256),1/385,'Tank Loss 4'!C256)</f>
        <v>2.5974025974025974E-3</v>
      </c>
      <c r="F163" s="137">
        <f>IF(ISBLANK('Tank Loss 5'!C256),1/385,'Tank Loss 5'!C256)</f>
        <v>2.5974025974025974E-3</v>
      </c>
    </row>
    <row r="164" spans="1:6" x14ac:dyDescent="0.2">
      <c r="A164" s="111" t="s">
        <v>9677</v>
      </c>
      <c r="B164" s="137">
        <f>IF(ISBLANK('Tank Loss 1'!C257),'Tank Loss 1'!B257,'Tank Loss 1'!C257)</f>
        <v>0</v>
      </c>
      <c r="C164" s="137">
        <f>IF(ISBLANK('Tank Loss 2'!C257),'Tank Loss 2'!B257,'Tank Loss 2'!C257)</f>
        <v>0</v>
      </c>
      <c r="D164" s="137">
        <f>IF(ISBLANK('Tank Loss 3'!C257),'Tank Loss 3'!B257,'Tank Loss 3'!C257)</f>
        <v>0</v>
      </c>
      <c r="E164" s="137">
        <f>IF(ISBLANK('Tank Loss 4'!C257),'Tank Loss 4'!B257,'Tank Loss 4'!C257)</f>
        <v>0</v>
      </c>
      <c r="F164" s="137">
        <f>IF(ISBLANK('Tank Loss 5'!C257),'Tank Loss 5'!B257,'Tank Loss 5'!C257)</f>
        <v>0</v>
      </c>
    </row>
    <row r="165" spans="1:6" ht="13.5" thickBot="1" x14ac:dyDescent="0.25">
      <c r="A165" s="134" t="s">
        <v>9678</v>
      </c>
      <c r="B165" s="138">
        <f>IF(ISBLANK('Tank Loss 1'!C258),'Tank Loss 1'!B258,'Tank Loss 1'!C258)</f>
        <v>0</v>
      </c>
      <c r="C165" s="138">
        <f>IF(ISBLANK('Tank Loss 2'!C258),'Tank Loss 2'!B258,'Tank Loss 2'!C258)</f>
        <v>0</v>
      </c>
      <c r="D165" s="138">
        <f>IF(ISBLANK('Tank Loss 3'!C258),'Tank Loss 3'!B258,'Tank Loss 3'!C258)</f>
        <v>0</v>
      </c>
      <c r="E165" s="138">
        <f>IF(ISBLANK('Tank Loss 4'!C258),'Tank Loss 4'!B258,'Tank Loss 4'!C258)</f>
        <v>0</v>
      </c>
      <c r="F165" s="138">
        <f>IF(ISBLANK('Tank Loss 5'!C258),'Tank Loss 5'!B258,'Tank Loss 5'!C258)</f>
        <v>0</v>
      </c>
    </row>
    <row r="166" spans="1:6" x14ac:dyDescent="0.2">
      <c r="A166" s="139" t="s">
        <v>9679</v>
      </c>
      <c r="B166" s="140">
        <f>IF(ISBLANK('Tank Loss 1'!C263),'Tank Loss 1'!B263,'Tank Loss 1'!C263)</f>
        <v>0</v>
      </c>
      <c r="C166" s="140">
        <f>IF(ISBLANK('Tank Loss 2'!C263),'Tank Loss 2'!B263,'Tank Loss 2'!C263)</f>
        <v>0</v>
      </c>
      <c r="D166" s="140">
        <f>IF(ISBLANK('Tank Loss 3'!C263),'Tank Loss 3'!B263,'Tank Loss 3'!C263)</f>
        <v>0</v>
      </c>
      <c r="E166" s="140">
        <f>IF(ISBLANK('Tank Loss 4'!C263),'Tank Loss 4'!B263,'Tank Loss 4'!C263)</f>
        <v>0</v>
      </c>
      <c r="F166" s="140">
        <f>IF(ISBLANK('Tank Loss 5'!C263),'Tank Loss 5'!B263,'Tank Loss 5'!C263)</f>
        <v>0</v>
      </c>
    </row>
    <row r="167" spans="1:6" x14ac:dyDescent="0.2">
      <c r="A167" s="109" t="s">
        <v>9680</v>
      </c>
      <c r="B167" s="141">
        <f>'Tank Loss 1'!C264</f>
        <v>0</v>
      </c>
      <c r="C167" s="141">
        <f>'Tank Loss 2'!C264</f>
        <v>0</v>
      </c>
      <c r="D167" s="141">
        <f>'Tank Loss 3'!C264</f>
        <v>0</v>
      </c>
      <c r="E167" s="141">
        <f>'Tank Loss 4'!C264</f>
        <v>0</v>
      </c>
      <c r="F167" s="141">
        <f>'Tank Loss 5'!C264</f>
        <v>0</v>
      </c>
    </row>
    <row r="168" spans="1:6" x14ac:dyDescent="0.2">
      <c r="A168" s="115" t="s">
        <v>9681</v>
      </c>
      <c r="B168" s="142">
        <f>'Tank Loss 1'!C265</f>
        <v>0</v>
      </c>
      <c r="C168" s="142">
        <f>'Tank Loss 2'!C265</f>
        <v>0</v>
      </c>
      <c r="D168" s="142">
        <f>'Tank Loss 3'!C265</f>
        <v>0</v>
      </c>
      <c r="E168" s="142">
        <f>'Tank Loss 4'!C265</f>
        <v>0</v>
      </c>
      <c r="F168" s="142">
        <f>'Tank Loss 5'!C265</f>
        <v>0</v>
      </c>
    </row>
    <row r="169" spans="1:6" x14ac:dyDescent="0.2">
      <c r="A169" s="122" t="s">
        <v>9682</v>
      </c>
      <c r="B169" s="143">
        <f>IF(ISBLANK('Tank Loss 1'!C266),'Tank Loss 1'!B266,'Tank Loss 1'!C266)</f>
        <v>0</v>
      </c>
      <c r="C169" s="143">
        <f>IF(ISBLANK('Tank Loss 2'!C266),'Tank Loss 2'!B266,'Tank Loss 2'!C266)</f>
        <v>0</v>
      </c>
      <c r="D169" s="143">
        <f>IF(ISBLANK('Tank Loss 3'!C266),'Tank Loss 3'!B266,'Tank Loss 3'!C266)</f>
        <v>0</v>
      </c>
      <c r="E169" s="143">
        <f>IF(ISBLANK('Tank Loss 4'!C266),'Tank Loss 4'!B266,'Tank Loss 4'!C266)</f>
        <v>0</v>
      </c>
      <c r="F169" s="143">
        <f>IF(ISBLANK('Tank Loss 5'!C266),'Tank Loss 5'!B266,'Tank Loss 5'!C266)</f>
        <v>0</v>
      </c>
    </row>
    <row r="170" spans="1:6" ht="13.5" thickBot="1" x14ac:dyDescent="0.25">
      <c r="A170" s="144" t="s">
        <v>9683</v>
      </c>
      <c r="B170" s="145">
        <f>IF(ISBLANK('Tank Loss 1'!C267),'Tank Loss 1'!B267,'Tank Loss 1'!C267)</f>
        <v>0</v>
      </c>
      <c r="C170" s="145">
        <f>IF(ISBLANK('Tank Loss 2'!C267),'Tank Loss 2'!B267,'Tank Loss 2'!C267)</f>
        <v>0</v>
      </c>
      <c r="D170" s="145">
        <f>IF(ISBLANK('Tank Loss 3'!C267),'Tank Loss 3'!B267,'Tank Loss 3'!C267)</f>
        <v>0</v>
      </c>
      <c r="E170" s="145">
        <f>IF(ISBLANK('Tank Loss 4'!C267),'Tank Loss 4'!B267,'Tank Loss 4'!C267)</f>
        <v>0</v>
      </c>
      <c r="F170" s="145">
        <f>IF(ISBLANK('Tank Loss 5'!C267),'Tank Loss 5'!B267,'Tank Loss 5'!C267)</f>
        <v>0</v>
      </c>
    </row>
  </sheetData>
  <sheetProtection algorithmName="SHA-512" hashValue="uk8lr8Rp/NTpCwVYvXSrKKbvLaKxMXo+B3DKC/DQe/iTa0X7y0K3uVrJ0QgAEDG8nfmtjE/ktEEKqUzEap37Wg==" saltValue="gxTav0QjviuUGE75P7Vp5Q==" spinCount="100000" sheet="1" objects="1" scenarios="1" formatColumns="0" formatRows="0" autoFilter="0"/>
  <mergeCells count="6">
    <mergeCell ref="G110:W110"/>
    <mergeCell ref="A1:W1"/>
    <mergeCell ref="G2:W2"/>
    <mergeCell ref="G29:W29"/>
    <mergeCell ref="G56:W56"/>
    <mergeCell ref="G83:W83"/>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6CE504-5D60-444C-94FE-5D616A552BEA}">
  <sheetPr codeName="Sheet31">
    <tabColor theme="1"/>
  </sheetPr>
  <dimension ref="A1:AG230"/>
  <sheetViews>
    <sheetView workbookViewId="0">
      <selection sqref="A1:F1"/>
    </sheetView>
  </sheetViews>
  <sheetFormatPr defaultRowHeight="12.75" x14ac:dyDescent="0.2"/>
  <cols>
    <col min="1" max="1" width="18.85546875" style="106" customWidth="1"/>
    <col min="2" max="2" width="20.140625" style="106" bestFit="1" customWidth="1"/>
    <col min="3" max="3" width="23.140625" style="106" bestFit="1" customWidth="1"/>
    <col min="4" max="4" width="18.140625" style="106" customWidth="1"/>
    <col min="5" max="5" width="17.5703125" style="106" customWidth="1"/>
    <col min="6" max="6" width="9.140625" style="106"/>
    <col min="7" max="7" width="13.85546875" style="106" customWidth="1"/>
    <col min="8" max="8" width="11.42578125" style="106" customWidth="1"/>
    <col min="9" max="16384" width="9.140625" style="106"/>
  </cols>
  <sheetData>
    <row r="1" spans="1:11" ht="14.25" x14ac:dyDescent="0.2">
      <c r="A1" s="1392" t="s">
        <v>9006</v>
      </c>
      <c r="B1" s="1392"/>
      <c r="C1" s="1392"/>
      <c r="D1" s="1392"/>
      <c r="E1" s="1392"/>
      <c r="F1" s="1392"/>
    </row>
    <row r="2" spans="1:11" x14ac:dyDescent="0.2">
      <c r="A2" s="176"/>
      <c r="B2" s="176"/>
      <c r="C2" s="176"/>
      <c r="D2" s="176"/>
      <c r="E2" s="1393" t="s">
        <v>9007</v>
      </c>
      <c r="F2" s="1393"/>
      <c r="G2" s="1393"/>
      <c r="H2" s="1393" t="s">
        <v>9008</v>
      </c>
      <c r="I2" s="1393"/>
      <c r="J2" s="1393"/>
    </row>
    <row r="3" spans="1:11" ht="38.25" x14ac:dyDescent="0.2">
      <c r="A3" s="176"/>
      <c r="B3" s="176" t="s">
        <v>9009</v>
      </c>
      <c r="C3" s="177" t="s">
        <v>9010</v>
      </c>
      <c r="D3" s="176" t="s">
        <v>9011</v>
      </c>
      <c r="E3" s="177" t="s">
        <v>9012</v>
      </c>
      <c r="F3" s="177" t="s">
        <v>9013</v>
      </c>
      <c r="G3" s="177" t="s">
        <v>9014</v>
      </c>
      <c r="H3" s="177" t="s">
        <v>9012</v>
      </c>
      <c r="I3" s="177" t="s">
        <v>9013</v>
      </c>
      <c r="J3" s="177" t="s">
        <v>9014</v>
      </c>
      <c r="K3" s="108" t="s">
        <v>9015</v>
      </c>
    </row>
    <row r="4" spans="1:11" ht="38.25" x14ac:dyDescent="0.2">
      <c r="A4" s="177" t="s">
        <v>9016</v>
      </c>
      <c r="B4" s="176" t="s">
        <v>9017</v>
      </c>
      <c r="C4" s="176" t="s">
        <v>9018</v>
      </c>
      <c r="D4" s="176" t="s">
        <v>9019</v>
      </c>
      <c r="E4" s="176">
        <v>5.8</v>
      </c>
      <c r="F4" s="176">
        <v>0.3</v>
      </c>
      <c r="G4" s="176">
        <v>2.1</v>
      </c>
      <c r="H4" s="176">
        <v>1.5</v>
      </c>
      <c r="I4" s="176">
        <v>0.4</v>
      </c>
      <c r="J4" s="176">
        <v>1.9</v>
      </c>
      <c r="K4" s="106" t="s">
        <v>9018</v>
      </c>
    </row>
    <row r="5" spans="1:11" ht="38.25" x14ac:dyDescent="0.2">
      <c r="A5" s="177" t="s">
        <v>9020</v>
      </c>
      <c r="B5" s="176"/>
      <c r="C5" s="176"/>
      <c r="D5" s="176" t="s">
        <v>9021</v>
      </c>
      <c r="E5" s="176">
        <v>1.6</v>
      </c>
      <c r="F5" s="176">
        <v>0.3</v>
      </c>
      <c r="G5" s="176">
        <v>1.6</v>
      </c>
      <c r="H5" s="176">
        <v>1</v>
      </c>
      <c r="I5" s="176">
        <v>0.4</v>
      </c>
      <c r="J5" s="176">
        <v>1.5</v>
      </c>
      <c r="K5" s="106" t="s">
        <v>9022</v>
      </c>
    </row>
    <row r="6" spans="1:11" ht="38.25" x14ac:dyDescent="0.2">
      <c r="A6" s="177" t="s">
        <v>9023</v>
      </c>
      <c r="B6" s="176"/>
      <c r="C6" s="176"/>
      <c r="D6" s="176" t="s">
        <v>9024</v>
      </c>
      <c r="E6" s="176">
        <v>0.6</v>
      </c>
      <c r="F6" s="176">
        <v>0.4</v>
      </c>
      <c r="G6" s="176">
        <v>1</v>
      </c>
      <c r="H6" s="176">
        <v>0.4</v>
      </c>
      <c r="I6" s="176">
        <v>0.4</v>
      </c>
      <c r="J6" s="176">
        <v>1</v>
      </c>
      <c r="K6" s="106" t="s">
        <v>9025</v>
      </c>
    </row>
    <row r="7" spans="1:11" ht="38.25" x14ac:dyDescent="0.2">
      <c r="A7" s="177" t="s">
        <v>9026</v>
      </c>
      <c r="B7" s="176"/>
      <c r="C7" s="176" t="s">
        <v>9022</v>
      </c>
      <c r="D7" s="176" t="s">
        <v>9019</v>
      </c>
      <c r="E7" s="176">
        <v>1.6</v>
      </c>
      <c r="F7" s="176">
        <v>0.3</v>
      </c>
      <c r="G7" s="176">
        <v>1.5</v>
      </c>
      <c r="H7" s="176">
        <v>1</v>
      </c>
      <c r="I7" s="176">
        <v>0.08</v>
      </c>
      <c r="J7" s="176">
        <v>1.8</v>
      </c>
    </row>
    <row r="8" spans="1:11" ht="38.25" x14ac:dyDescent="0.2">
      <c r="A8" s="177" t="s">
        <v>9027</v>
      </c>
      <c r="B8" s="176"/>
      <c r="C8" s="176"/>
      <c r="D8" s="176" t="s">
        <v>9028</v>
      </c>
      <c r="E8" s="176">
        <v>0.7</v>
      </c>
      <c r="F8" s="176">
        <v>0.3</v>
      </c>
      <c r="G8" s="176">
        <v>1.2</v>
      </c>
      <c r="H8" s="176">
        <v>0.4</v>
      </c>
      <c r="I8" s="176">
        <v>0.2</v>
      </c>
      <c r="J8" s="176">
        <v>1.3</v>
      </c>
    </row>
    <row r="9" spans="1:11" ht="38.25" x14ac:dyDescent="0.2">
      <c r="A9" s="177" t="s">
        <v>9029</v>
      </c>
      <c r="B9" s="176"/>
      <c r="C9" s="176"/>
      <c r="D9" s="176" t="s">
        <v>9024</v>
      </c>
      <c r="E9" s="176">
        <v>0.3</v>
      </c>
      <c r="F9" s="176">
        <v>0.6</v>
      </c>
      <c r="G9" s="176">
        <v>0.3</v>
      </c>
      <c r="H9" s="176">
        <v>0.2</v>
      </c>
      <c r="I9" s="176">
        <v>0.4</v>
      </c>
      <c r="J9" s="176">
        <v>0.4</v>
      </c>
    </row>
    <row r="10" spans="1:11" ht="38.25" x14ac:dyDescent="0.2">
      <c r="A10" s="177" t="s">
        <v>9030</v>
      </c>
      <c r="B10" s="176"/>
      <c r="C10" s="176" t="s">
        <v>9025</v>
      </c>
      <c r="D10" s="176" t="s">
        <v>9019</v>
      </c>
      <c r="E10" s="176">
        <v>6.7</v>
      </c>
      <c r="F10" s="176">
        <v>0.2</v>
      </c>
      <c r="G10" s="176">
        <v>3</v>
      </c>
      <c r="H10" s="176">
        <v>5.6</v>
      </c>
      <c r="I10" s="176">
        <v>0.2</v>
      </c>
      <c r="J10" s="176">
        <v>2.4</v>
      </c>
    </row>
    <row r="11" spans="1:11" ht="38.25" x14ac:dyDescent="0.2">
      <c r="A11" s="177" t="s">
        <v>9031</v>
      </c>
      <c r="B11" s="176"/>
      <c r="C11" s="176"/>
      <c r="D11" s="176" t="s">
        <v>9028</v>
      </c>
      <c r="E11" s="176">
        <v>3.3</v>
      </c>
      <c r="F11" s="176">
        <v>0.1</v>
      </c>
      <c r="G11" s="176">
        <v>3</v>
      </c>
      <c r="H11" s="176">
        <v>2.8</v>
      </c>
      <c r="I11" s="176">
        <v>0.1</v>
      </c>
      <c r="J11" s="176">
        <v>2.2999999999999998</v>
      </c>
    </row>
    <row r="12" spans="1:11" ht="38.25" x14ac:dyDescent="0.2">
      <c r="A12" s="177" t="s">
        <v>9032</v>
      </c>
      <c r="B12" s="176"/>
      <c r="C12" s="176"/>
      <c r="D12" s="176" t="s">
        <v>9024</v>
      </c>
      <c r="E12" s="176">
        <v>2.2000000000000002</v>
      </c>
      <c r="F12" s="176">
        <v>3.0000000000000001E-3</v>
      </c>
      <c r="G12" s="176">
        <v>4.3</v>
      </c>
      <c r="H12" s="176">
        <v>2.2000000000000002</v>
      </c>
      <c r="I12" s="176">
        <v>0.02</v>
      </c>
      <c r="J12" s="176">
        <v>2.6</v>
      </c>
    </row>
    <row r="13" spans="1:11" ht="38.25" x14ac:dyDescent="0.2">
      <c r="A13" s="177" t="s">
        <v>9033</v>
      </c>
      <c r="B13" s="176" t="s">
        <v>9034</v>
      </c>
      <c r="C13" s="176" t="s">
        <v>9018</v>
      </c>
      <c r="D13" s="176" t="s">
        <v>9019</v>
      </c>
      <c r="E13" s="176">
        <v>10.8</v>
      </c>
      <c r="F13" s="176">
        <v>0.4</v>
      </c>
      <c r="G13" s="176">
        <v>2</v>
      </c>
      <c r="H13" s="176">
        <v>10.8</v>
      </c>
      <c r="I13" s="176">
        <v>0.4</v>
      </c>
      <c r="J13" s="176">
        <v>2</v>
      </c>
    </row>
    <row r="14" spans="1:11" ht="38.25" x14ac:dyDescent="0.2">
      <c r="A14" s="177" t="s">
        <v>9035</v>
      </c>
      <c r="B14" s="176"/>
      <c r="C14" s="176"/>
      <c r="D14" s="176" t="s">
        <v>9021</v>
      </c>
      <c r="E14" s="176">
        <v>9.1999999999999993</v>
      </c>
      <c r="F14" s="176">
        <v>0.2</v>
      </c>
      <c r="G14" s="176">
        <v>1.9</v>
      </c>
      <c r="H14" s="176">
        <v>9.1999999999999993</v>
      </c>
      <c r="I14" s="176">
        <v>0.2</v>
      </c>
      <c r="J14" s="176">
        <v>1.9</v>
      </c>
    </row>
    <row r="15" spans="1:11" ht="38.25" x14ac:dyDescent="0.2">
      <c r="A15" s="177" t="s">
        <v>9036</v>
      </c>
      <c r="B15" s="176"/>
      <c r="C15" s="176"/>
      <c r="D15" s="176" t="s">
        <v>9024</v>
      </c>
      <c r="E15" s="176">
        <v>1.1000000000000001</v>
      </c>
      <c r="F15" s="176">
        <v>0.3</v>
      </c>
      <c r="G15" s="176">
        <v>1.5</v>
      </c>
      <c r="H15" s="176">
        <v>1.1000000000000001</v>
      </c>
      <c r="I15" s="176">
        <v>0.3</v>
      </c>
      <c r="J15" s="176">
        <v>1.5</v>
      </c>
    </row>
    <row r="18" spans="1:2" x14ac:dyDescent="0.2">
      <c r="A18" s="106" t="s">
        <v>9037</v>
      </c>
    </row>
    <row r="19" spans="1:2" x14ac:dyDescent="0.2">
      <c r="A19" s="106" t="s">
        <v>9038</v>
      </c>
      <c r="B19" s="106" t="s">
        <v>9039</v>
      </c>
    </row>
    <row r="20" spans="1:2" x14ac:dyDescent="0.2">
      <c r="A20" s="106">
        <v>0</v>
      </c>
      <c r="B20" s="106">
        <v>1</v>
      </c>
    </row>
    <row r="21" spans="1:2" x14ac:dyDescent="0.2">
      <c r="A21" s="106">
        <v>85</v>
      </c>
      <c r="B21" s="106">
        <v>6</v>
      </c>
    </row>
    <row r="22" spans="1:2" x14ac:dyDescent="0.2">
      <c r="A22" s="106">
        <v>100</v>
      </c>
      <c r="B22" s="106">
        <v>7</v>
      </c>
    </row>
    <row r="23" spans="1:2" x14ac:dyDescent="0.2">
      <c r="A23" s="106">
        <v>120</v>
      </c>
      <c r="B23" s="106">
        <v>8</v>
      </c>
    </row>
    <row r="24" spans="1:2" x14ac:dyDescent="0.2">
      <c r="A24" s="106">
        <v>135</v>
      </c>
      <c r="B24" s="106">
        <v>9</v>
      </c>
    </row>
    <row r="25" spans="1:2" x14ac:dyDescent="0.2">
      <c r="A25" s="106">
        <v>150</v>
      </c>
      <c r="B25" s="106">
        <v>16</v>
      </c>
    </row>
    <row r="26" spans="1:2" x14ac:dyDescent="0.2">
      <c r="A26" s="106">
        <v>170</v>
      </c>
      <c r="B26" s="106">
        <v>19</v>
      </c>
    </row>
    <row r="27" spans="1:2" x14ac:dyDescent="0.2">
      <c r="A27" s="106">
        <v>190</v>
      </c>
      <c r="B27" s="106">
        <v>22</v>
      </c>
    </row>
    <row r="28" spans="1:2" x14ac:dyDescent="0.2">
      <c r="A28" s="106">
        <v>220</v>
      </c>
      <c r="B28" s="106">
        <v>31</v>
      </c>
    </row>
    <row r="29" spans="1:2" x14ac:dyDescent="0.2">
      <c r="A29" s="106">
        <v>235</v>
      </c>
      <c r="B29" s="106">
        <v>37</v>
      </c>
    </row>
    <row r="30" spans="1:2" x14ac:dyDescent="0.2">
      <c r="A30" s="106">
        <v>270</v>
      </c>
      <c r="B30" s="106">
        <v>43</v>
      </c>
    </row>
    <row r="31" spans="1:2" x14ac:dyDescent="0.2">
      <c r="A31" s="106">
        <v>275</v>
      </c>
      <c r="B31" s="106">
        <v>49</v>
      </c>
    </row>
    <row r="32" spans="1:2" x14ac:dyDescent="0.2">
      <c r="A32" s="106">
        <v>290</v>
      </c>
      <c r="B32" s="106">
        <v>61</v>
      </c>
    </row>
    <row r="33" spans="1:4" x14ac:dyDescent="0.2">
      <c r="A33" s="106">
        <v>330</v>
      </c>
      <c r="B33" s="106">
        <v>71</v>
      </c>
    </row>
    <row r="34" spans="1:4" x14ac:dyDescent="0.2">
      <c r="A34" s="106">
        <v>360</v>
      </c>
      <c r="B34" s="106">
        <v>81</v>
      </c>
    </row>
    <row r="35" spans="1:4" x14ac:dyDescent="0.2">
      <c r="A35" s="106">
        <v>400</v>
      </c>
      <c r="B35" s="106">
        <v>82</v>
      </c>
    </row>
    <row r="38" spans="1:4" x14ac:dyDescent="0.2">
      <c r="A38" s="106" t="s">
        <v>9040</v>
      </c>
    </row>
    <row r="39" spans="1:4" x14ac:dyDescent="0.2">
      <c r="B39" s="1390" t="s">
        <v>9041</v>
      </c>
      <c r="C39" s="1390"/>
    </row>
    <row r="40" spans="1:4" x14ac:dyDescent="0.2">
      <c r="A40" s="106" t="s">
        <v>9042</v>
      </c>
      <c r="B40" s="106" t="s">
        <v>9043</v>
      </c>
      <c r="C40" s="106" t="s">
        <v>9044</v>
      </c>
      <c r="D40" s="106" t="s">
        <v>9045</v>
      </c>
    </row>
    <row r="41" spans="1:4" x14ac:dyDescent="0.2">
      <c r="A41" s="106">
        <v>50</v>
      </c>
      <c r="B41" s="106">
        <v>1</v>
      </c>
      <c r="C41" s="106">
        <v>1</v>
      </c>
      <c r="D41" s="106">
        <v>1</v>
      </c>
    </row>
    <row r="42" spans="1:4" x14ac:dyDescent="0.2">
      <c r="A42" s="106">
        <v>100</v>
      </c>
      <c r="B42" s="106">
        <v>1</v>
      </c>
      <c r="C42" s="106">
        <v>1</v>
      </c>
      <c r="D42" s="106">
        <v>1</v>
      </c>
    </row>
    <row r="43" spans="1:4" x14ac:dyDescent="0.2">
      <c r="A43" s="106">
        <v>150</v>
      </c>
      <c r="B43" s="106">
        <v>2</v>
      </c>
      <c r="C43" s="106">
        <v>2</v>
      </c>
      <c r="D43" s="106">
        <v>2</v>
      </c>
    </row>
    <row r="44" spans="1:4" x14ac:dyDescent="0.2">
      <c r="A44" s="106">
        <v>200</v>
      </c>
      <c r="B44" s="106">
        <v>3</v>
      </c>
      <c r="C44" s="106">
        <v>2</v>
      </c>
      <c r="D44" s="106">
        <v>3</v>
      </c>
    </row>
    <row r="45" spans="1:4" x14ac:dyDescent="0.2">
      <c r="A45" s="106">
        <v>250</v>
      </c>
      <c r="B45" s="106">
        <v>4</v>
      </c>
      <c r="C45" s="106">
        <v>3</v>
      </c>
      <c r="D45" s="106">
        <v>5</v>
      </c>
    </row>
    <row r="46" spans="1:4" x14ac:dyDescent="0.2">
      <c r="A46" s="106">
        <v>300</v>
      </c>
      <c r="B46" s="106">
        <v>5</v>
      </c>
      <c r="C46" s="106">
        <v>3</v>
      </c>
      <c r="D46" s="106">
        <v>7</v>
      </c>
    </row>
    <row r="47" spans="1:4" x14ac:dyDescent="0.2">
      <c r="A47" s="106">
        <v>350</v>
      </c>
      <c r="B47" s="106">
        <v>6</v>
      </c>
      <c r="C47" s="106">
        <v>4</v>
      </c>
    </row>
    <row r="48" spans="1:4" x14ac:dyDescent="0.2">
      <c r="A48" s="106">
        <v>400</v>
      </c>
      <c r="B48" s="106">
        <v>7</v>
      </c>
      <c r="C48" s="106">
        <v>4</v>
      </c>
    </row>
    <row r="51" spans="1:4" x14ac:dyDescent="0.2">
      <c r="A51" s="106" t="s">
        <v>9046</v>
      </c>
    </row>
    <row r="52" spans="1:4" x14ac:dyDescent="0.2">
      <c r="B52" s="1390" t="s">
        <v>9043</v>
      </c>
      <c r="C52" s="1390"/>
    </row>
    <row r="53" spans="1:4" ht="25.5" x14ac:dyDescent="0.2">
      <c r="A53" s="106" t="s">
        <v>9042</v>
      </c>
      <c r="B53" s="108" t="s">
        <v>9047</v>
      </c>
      <c r="C53" s="108" t="s">
        <v>9048</v>
      </c>
      <c r="D53" s="108" t="s">
        <v>9049</v>
      </c>
    </row>
    <row r="54" spans="1:4" x14ac:dyDescent="0.2">
      <c r="A54" s="106">
        <v>30</v>
      </c>
      <c r="B54" s="106">
        <v>4</v>
      </c>
      <c r="C54" s="106">
        <v>2</v>
      </c>
      <c r="D54" s="106">
        <v>6</v>
      </c>
    </row>
    <row r="55" spans="1:4" x14ac:dyDescent="0.2">
      <c r="A55" s="106">
        <v>40</v>
      </c>
      <c r="B55" s="106">
        <v>4</v>
      </c>
      <c r="C55" s="106">
        <v>4</v>
      </c>
      <c r="D55" s="106">
        <v>7</v>
      </c>
    </row>
    <row r="56" spans="1:4" x14ac:dyDescent="0.2">
      <c r="A56" s="106">
        <v>50</v>
      </c>
      <c r="B56" s="106">
        <v>6</v>
      </c>
      <c r="C56" s="106">
        <v>6</v>
      </c>
      <c r="D56" s="106">
        <v>8</v>
      </c>
    </row>
    <row r="57" spans="1:4" x14ac:dyDescent="0.2">
      <c r="A57" s="106">
        <v>60</v>
      </c>
      <c r="B57" s="106">
        <v>9</v>
      </c>
      <c r="C57" s="106">
        <v>7</v>
      </c>
      <c r="D57" s="106">
        <v>10</v>
      </c>
    </row>
    <row r="58" spans="1:4" x14ac:dyDescent="0.2">
      <c r="A58" s="106">
        <v>70</v>
      </c>
      <c r="B58" s="106">
        <v>13</v>
      </c>
      <c r="C58" s="106">
        <v>9</v>
      </c>
      <c r="D58" s="106">
        <v>13</v>
      </c>
    </row>
    <row r="59" spans="1:4" x14ac:dyDescent="0.2">
      <c r="A59" s="106">
        <v>80</v>
      </c>
      <c r="B59" s="106">
        <v>15</v>
      </c>
      <c r="C59" s="106">
        <v>10</v>
      </c>
      <c r="D59" s="106">
        <v>16</v>
      </c>
    </row>
    <row r="60" spans="1:4" x14ac:dyDescent="0.2">
      <c r="A60" s="106">
        <v>90</v>
      </c>
      <c r="B60" s="106">
        <v>16</v>
      </c>
      <c r="C60" s="106">
        <v>12</v>
      </c>
      <c r="D60" s="106">
        <v>20</v>
      </c>
    </row>
    <row r="61" spans="1:4" x14ac:dyDescent="0.2">
      <c r="A61" s="106">
        <v>100</v>
      </c>
      <c r="B61" s="106">
        <v>17</v>
      </c>
      <c r="C61" s="106">
        <v>16</v>
      </c>
      <c r="D61" s="106">
        <v>25</v>
      </c>
    </row>
    <row r="62" spans="1:4" x14ac:dyDescent="0.2">
      <c r="A62" s="106">
        <v>110</v>
      </c>
      <c r="B62" s="106">
        <v>18</v>
      </c>
      <c r="C62" s="106">
        <v>20</v>
      </c>
      <c r="D62" s="106">
        <v>29</v>
      </c>
    </row>
    <row r="63" spans="1:4" x14ac:dyDescent="0.2">
      <c r="A63" s="106">
        <v>120</v>
      </c>
      <c r="B63" s="106">
        <v>19</v>
      </c>
      <c r="C63" s="106">
        <v>24</v>
      </c>
      <c r="D63" s="106">
        <v>34</v>
      </c>
    </row>
    <row r="64" spans="1:4" x14ac:dyDescent="0.2">
      <c r="A64" s="106">
        <v>130</v>
      </c>
      <c r="B64" s="106">
        <v>20</v>
      </c>
      <c r="C64" s="106">
        <v>28</v>
      </c>
      <c r="D64" s="106">
        <v>40</v>
      </c>
    </row>
    <row r="65" spans="1:4" x14ac:dyDescent="0.2">
      <c r="A65" s="106">
        <v>140</v>
      </c>
      <c r="B65" s="106">
        <v>21</v>
      </c>
      <c r="C65" s="106">
        <v>33</v>
      </c>
      <c r="D65" s="106">
        <v>46</v>
      </c>
    </row>
    <row r="66" spans="1:4" x14ac:dyDescent="0.2">
      <c r="A66" s="106">
        <v>150</v>
      </c>
      <c r="B66" s="106">
        <v>23</v>
      </c>
      <c r="C66" s="106">
        <v>38</v>
      </c>
      <c r="D66" s="106">
        <v>52</v>
      </c>
    </row>
    <row r="67" spans="1:4" x14ac:dyDescent="0.2">
      <c r="A67" s="106">
        <v>160</v>
      </c>
      <c r="B67" s="106">
        <v>26</v>
      </c>
      <c r="C67" s="106">
        <v>42</v>
      </c>
      <c r="D67" s="106">
        <v>58</v>
      </c>
    </row>
    <row r="68" spans="1:4" x14ac:dyDescent="0.2">
      <c r="A68" s="106">
        <v>170</v>
      </c>
      <c r="B68" s="106">
        <v>27</v>
      </c>
      <c r="C68" s="106">
        <v>49</v>
      </c>
      <c r="D68" s="106">
        <v>66</v>
      </c>
    </row>
    <row r="69" spans="1:4" x14ac:dyDescent="0.2">
      <c r="A69" s="106">
        <v>180</v>
      </c>
      <c r="B69" s="106">
        <v>28</v>
      </c>
      <c r="C69" s="106">
        <v>56</v>
      </c>
      <c r="D69" s="106">
        <v>74</v>
      </c>
    </row>
    <row r="70" spans="1:4" x14ac:dyDescent="0.2">
      <c r="A70" s="106">
        <v>190</v>
      </c>
      <c r="B70" s="106">
        <v>29</v>
      </c>
      <c r="C70" s="106">
        <v>62</v>
      </c>
      <c r="D70" s="106">
        <v>82</v>
      </c>
    </row>
    <row r="71" spans="1:4" x14ac:dyDescent="0.2">
      <c r="A71" s="106">
        <v>200</v>
      </c>
      <c r="B71" s="106">
        <v>30</v>
      </c>
      <c r="C71" s="106">
        <v>69</v>
      </c>
      <c r="D71" s="106">
        <v>90</v>
      </c>
    </row>
    <row r="72" spans="1:4" x14ac:dyDescent="0.2">
      <c r="A72" s="106">
        <v>210</v>
      </c>
      <c r="B72" s="106">
        <v>31</v>
      </c>
      <c r="C72" s="106">
        <v>77</v>
      </c>
      <c r="D72" s="106">
        <v>98</v>
      </c>
    </row>
    <row r="73" spans="1:4" x14ac:dyDescent="0.2">
      <c r="A73" s="106">
        <v>220</v>
      </c>
      <c r="B73" s="106">
        <v>32</v>
      </c>
      <c r="C73" s="106">
        <v>83</v>
      </c>
      <c r="D73" s="106">
        <v>107</v>
      </c>
    </row>
    <row r="74" spans="1:4" x14ac:dyDescent="0.2">
      <c r="A74" s="106">
        <v>230</v>
      </c>
      <c r="B74" s="106">
        <v>33</v>
      </c>
      <c r="C74" s="106">
        <v>92</v>
      </c>
      <c r="D74" s="106">
        <v>115</v>
      </c>
    </row>
    <row r="75" spans="1:4" x14ac:dyDescent="0.2">
      <c r="A75" s="106">
        <v>240</v>
      </c>
      <c r="B75" s="106">
        <v>34</v>
      </c>
      <c r="C75" s="106">
        <v>101</v>
      </c>
      <c r="D75" s="106">
        <v>127</v>
      </c>
    </row>
    <row r="76" spans="1:4" x14ac:dyDescent="0.2">
      <c r="A76" s="106">
        <v>250</v>
      </c>
      <c r="B76" s="106">
        <v>35</v>
      </c>
      <c r="C76" s="106">
        <v>109</v>
      </c>
      <c r="D76" s="106">
        <v>138</v>
      </c>
    </row>
    <row r="77" spans="1:4" x14ac:dyDescent="0.2">
      <c r="A77" s="106">
        <v>260</v>
      </c>
      <c r="B77" s="106">
        <v>36</v>
      </c>
      <c r="C77" s="106">
        <v>118</v>
      </c>
      <c r="D77" s="106">
        <v>149</v>
      </c>
    </row>
    <row r="78" spans="1:4" x14ac:dyDescent="0.2">
      <c r="A78" s="106">
        <v>270</v>
      </c>
      <c r="B78" s="106">
        <v>36</v>
      </c>
      <c r="C78" s="106">
        <v>128</v>
      </c>
      <c r="D78" s="106">
        <v>162</v>
      </c>
    </row>
    <row r="79" spans="1:4" x14ac:dyDescent="0.2">
      <c r="A79" s="106">
        <v>280</v>
      </c>
      <c r="B79" s="106">
        <v>37</v>
      </c>
      <c r="C79" s="106">
        <v>138</v>
      </c>
      <c r="D79" s="106">
        <v>173</v>
      </c>
    </row>
    <row r="80" spans="1:4" x14ac:dyDescent="0.2">
      <c r="A80" s="106">
        <v>290</v>
      </c>
      <c r="B80" s="106">
        <v>38</v>
      </c>
      <c r="C80" s="106">
        <v>148</v>
      </c>
      <c r="D80" s="106">
        <v>186</v>
      </c>
    </row>
    <row r="81" spans="1:33" x14ac:dyDescent="0.2">
      <c r="A81" s="106">
        <v>300</v>
      </c>
      <c r="B81" s="106">
        <v>38</v>
      </c>
      <c r="C81" s="106">
        <v>156</v>
      </c>
      <c r="D81" s="106">
        <v>200</v>
      </c>
    </row>
    <row r="82" spans="1:33" x14ac:dyDescent="0.2">
      <c r="A82" s="106">
        <v>310</v>
      </c>
      <c r="B82" s="106">
        <v>39</v>
      </c>
      <c r="C82" s="106">
        <v>168</v>
      </c>
      <c r="D82" s="106">
        <v>213</v>
      </c>
    </row>
    <row r="83" spans="1:33" x14ac:dyDescent="0.2">
      <c r="A83" s="106">
        <v>320</v>
      </c>
      <c r="B83" s="106">
        <v>39</v>
      </c>
      <c r="C83" s="106">
        <v>179</v>
      </c>
      <c r="D83" s="106">
        <v>226</v>
      </c>
    </row>
    <row r="84" spans="1:33" x14ac:dyDescent="0.2">
      <c r="A84" s="106">
        <v>330</v>
      </c>
      <c r="B84" s="106">
        <v>40</v>
      </c>
      <c r="C84" s="106">
        <v>190</v>
      </c>
      <c r="D84" s="106">
        <v>240</v>
      </c>
    </row>
    <row r="85" spans="1:33" x14ac:dyDescent="0.2">
      <c r="A85" s="106">
        <v>340</v>
      </c>
      <c r="B85" s="106">
        <v>41</v>
      </c>
      <c r="C85" s="106">
        <v>202</v>
      </c>
      <c r="D85" s="106">
        <v>255</v>
      </c>
    </row>
    <row r="86" spans="1:33" x14ac:dyDescent="0.2">
      <c r="A86" s="106">
        <v>350</v>
      </c>
      <c r="B86" s="106">
        <v>42</v>
      </c>
      <c r="C86" s="106">
        <v>213</v>
      </c>
      <c r="D86" s="106">
        <v>270</v>
      </c>
    </row>
    <row r="87" spans="1:33" x14ac:dyDescent="0.2">
      <c r="A87" s="106">
        <v>360</v>
      </c>
      <c r="B87" s="106">
        <v>44</v>
      </c>
      <c r="C87" s="106">
        <v>226</v>
      </c>
      <c r="D87" s="106">
        <v>285</v>
      </c>
    </row>
    <row r="88" spans="1:33" x14ac:dyDescent="0.2">
      <c r="A88" s="106">
        <v>370</v>
      </c>
      <c r="B88" s="106">
        <v>45</v>
      </c>
      <c r="C88" s="106">
        <v>238</v>
      </c>
      <c r="D88" s="106">
        <v>300</v>
      </c>
    </row>
    <row r="89" spans="1:33" x14ac:dyDescent="0.2">
      <c r="A89" s="106">
        <v>380</v>
      </c>
      <c r="B89" s="106">
        <v>46</v>
      </c>
      <c r="C89" s="106">
        <v>252</v>
      </c>
      <c r="D89" s="106">
        <v>315</v>
      </c>
    </row>
    <row r="90" spans="1:33" x14ac:dyDescent="0.2">
      <c r="A90" s="106">
        <v>390</v>
      </c>
      <c r="B90" s="106">
        <v>47</v>
      </c>
      <c r="C90" s="106">
        <v>266</v>
      </c>
      <c r="D90" s="106">
        <v>330</v>
      </c>
    </row>
    <row r="91" spans="1:33" x14ac:dyDescent="0.2">
      <c r="A91" s="106">
        <v>400</v>
      </c>
      <c r="B91" s="106">
        <v>48</v>
      </c>
      <c r="C91" s="106">
        <v>281</v>
      </c>
      <c r="D91" s="106">
        <v>345</v>
      </c>
    </row>
    <row r="93" spans="1:33" ht="13.5" thickBot="1" x14ac:dyDescent="0.25">
      <c r="B93" s="1390" t="s">
        <v>9050</v>
      </c>
      <c r="C93" s="1390"/>
      <c r="D93" s="1390"/>
      <c r="E93" s="1390"/>
    </row>
    <row r="94" spans="1:33" ht="13.5" thickBot="1" x14ac:dyDescent="0.25">
      <c r="B94" s="106" t="s">
        <v>9051</v>
      </c>
      <c r="C94" s="1390" t="s">
        <v>9052</v>
      </c>
      <c r="D94" s="1390"/>
      <c r="E94" s="1390"/>
      <c r="I94" s="1387" t="s">
        <v>275</v>
      </c>
      <c r="J94" s="1388"/>
      <c r="K94" s="1388"/>
      <c r="L94" s="1388"/>
      <c r="M94" s="1389"/>
      <c r="N94" s="1387" t="s">
        <v>8359</v>
      </c>
      <c r="O94" s="1388"/>
      <c r="P94" s="1388"/>
      <c r="Q94" s="1388"/>
      <c r="R94" s="1389"/>
      <c r="S94" s="1387" t="s">
        <v>8360</v>
      </c>
      <c r="T94" s="1388"/>
      <c r="U94" s="1388"/>
      <c r="V94" s="1388"/>
      <c r="W94" s="1389"/>
      <c r="X94" s="1387" t="s">
        <v>8361</v>
      </c>
      <c r="Y94" s="1388"/>
      <c r="Z94" s="1388"/>
      <c r="AA94" s="1388"/>
      <c r="AB94" s="1389"/>
      <c r="AC94" s="1387" t="s">
        <v>8362</v>
      </c>
      <c r="AD94" s="1388"/>
      <c r="AE94" s="1388"/>
      <c r="AF94" s="1388"/>
      <c r="AG94" s="1389"/>
    </row>
    <row r="95" spans="1:33" ht="25.5" x14ac:dyDescent="0.2">
      <c r="B95" s="108" t="s">
        <v>9053</v>
      </c>
      <c r="C95" s="108" t="s">
        <v>9054</v>
      </c>
      <c r="D95" s="108" t="s">
        <v>9055</v>
      </c>
      <c r="E95" s="108" t="s">
        <v>9056</v>
      </c>
      <c r="G95" s="178" t="s">
        <v>9057</v>
      </c>
      <c r="H95" s="179" t="s">
        <v>9058</v>
      </c>
      <c r="I95" s="338" t="s">
        <v>9059</v>
      </c>
      <c r="J95" s="339" t="s">
        <v>9060</v>
      </c>
      <c r="K95" s="339" t="s">
        <v>9061</v>
      </c>
      <c r="L95" s="339" t="s">
        <v>9062</v>
      </c>
      <c r="M95" s="340" t="s">
        <v>9063</v>
      </c>
      <c r="N95" s="178" t="s">
        <v>9059</v>
      </c>
      <c r="O95" s="180" t="s">
        <v>9060</v>
      </c>
      <c r="P95" s="180" t="s">
        <v>9061</v>
      </c>
      <c r="Q95" s="180" t="s">
        <v>9062</v>
      </c>
      <c r="R95" s="181" t="s">
        <v>9063</v>
      </c>
      <c r="S95" s="338" t="s">
        <v>9059</v>
      </c>
      <c r="T95" s="339" t="s">
        <v>9060</v>
      </c>
      <c r="U95" s="339" t="s">
        <v>9061</v>
      </c>
      <c r="V95" s="339" t="s">
        <v>9062</v>
      </c>
      <c r="W95" s="340" t="s">
        <v>9063</v>
      </c>
      <c r="X95" s="178" t="s">
        <v>9059</v>
      </c>
      <c r="Y95" s="180" t="s">
        <v>9060</v>
      </c>
      <c r="Z95" s="180" t="s">
        <v>9061</v>
      </c>
      <c r="AA95" s="180" t="s">
        <v>9062</v>
      </c>
      <c r="AB95" s="181" t="s">
        <v>9063</v>
      </c>
      <c r="AC95" s="338" t="s">
        <v>9059</v>
      </c>
      <c r="AD95" s="339" t="s">
        <v>9060</v>
      </c>
      <c r="AE95" s="339" t="s">
        <v>9061</v>
      </c>
      <c r="AF95" s="339" t="s">
        <v>9062</v>
      </c>
      <c r="AG95" s="340" t="s">
        <v>9063</v>
      </c>
    </row>
    <row r="96" spans="1:33" x14ac:dyDescent="0.2">
      <c r="B96" s="106" t="s">
        <v>9051</v>
      </c>
      <c r="C96" s="106" t="s">
        <v>9051</v>
      </c>
      <c r="D96" s="106" t="s">
        <v>9051</v>
      </c>
      <c r="E96" s="106" t="s">
        <v>9051</v>
      </c>
      <c r="G96" s="182" t="s">
        <v>9064</v>
      </c>
      <c r="H96" s="183" t="s">
        <v>9065</v>
      </c>
      <c r="I96" s="341">
        <v>1</v>
      </c>
      <c r="J96" s="342" t="str">
        <f>IFERROR(VLOOKUP('Tank Loss 1'!A158,'TANKS Data'!$G$96:$H$111,2,FALSE),"")</f>
        <v/>
      </c>
      <c r="K96" s="342">
        <f>IF(ISBLANK('Tank Loss 1'!G158),'Tank Loss 1'!F158,'Tank Loss 1'!G158)</f>
        <v>0</v>
      </c>
      <c r="L96" s="342">
        <f>IF(ISBLANK('Tank Loss 1'!I158),'Tank Loss 1'!H158,'Tank Loss 1'!I158)</f>
        <v>0</v>
      </c>
      <c r="M96" s="343">
        <f>IF(ISBLANK('Tank Loss 1'!K158),'Tank Loss 1'!J158,'Tank Loss 1'!K158)</f>
        <v>0</v>
      </c>
      <c r="N96" s="182">
        <v>1</v>
      </c>
      <c r="O96" s="176" t="str">
        <f>IFERROR(VLOOKUP('Tank Loss 2'!A158,'TANKS Data'!$G$96:$H$111,2,FALSE),"")</f>
        <v/>
      </c>
      <c r="P96" s="176">
        <f>IF(ISBLANK('Tank Loss 2'!G158),'Tank Loss 2'!F158,'Tank Loss 2'!G158)</f>
        <v>0</v>
      </c>
      <c r="Q96" s="176">
        <f>IF(ISBLANK('Tank Loss 2'!I158),'Tank Loss 2'!H158,'Tank Loss 2'!I158)</f>
        <v>0</v>
      </c>
      <c r="R96" s="184">
        <f>IF(ISBLANK('Tank Loss 2'!K158),'Tank Loss 2'!J158,'Tank Loss 2'!K158)</f>
        <v>0</v>
      </c>
      <c r="S96" s="341">
        <v>1</v>
      </c>
      <c r="T96" s="342" t="str">
        <f>IFERROR(VLOOKUP('Tank Loss 3'!A158,'TANKS Data'!$G$96:$H$111,2,FALSE),"")</f>
        <v/>
      </c>
      <c r="U96" s="342">
        <f>IF(ISBLANK('Tank Loss 3'!G158),'Tank Loss 3'!F158,'Tank Loss 3'!G158)</f>
        <v>0</v>
      </c>
      <c r="V96" s="342">
        <f>IF(ISBLANK('Tank Loss 3'!I158),'Tank Loss 3'!H158,'Tank Loss 3'!I158)</f>
        <v>0</v>
      </c>
      <c r="W96" s="343">
        <f>IF(ISBLANK('Tank Loss 3'!K158),'Tank Loss 3'!J158,'Tank Loss 3'!K158)</f>
        <v>0</v>
      </c>
      <c r="X96" s="182">
        <v>1</v>
      </c>
      <c r="Y96" s="176" t="str">
        <f>IFERROR(VLOOKUP('Tank Loss 4'!A158,'TANKS Data'!$G$96:$H$111,2,FALSE),"")</f>
        <v/>
      </c>
      <c r="Z96" s="176">
        <f>IF(ISBLANK('Tank Loss 4'!G158),'Tank Loss 4'!F158,'Tank Loss 4'!G158)</f>
        <v>0</v>
      </c>
      <c r="AA96" s="176">
        <f>IF(ISBLANK('Tank Loss 4'!I158),'Tank Loss 4'!H158,'Tank Loss 4'!I158)</f>
        <v>0</v>
      </c>
      <c r="AB96" s="184">
        <f>IF(ISBLANK('Tank Loss 4'!K158),'Tank Loss 4'!J158,'Tank Loss 4'!K158)</f>
        <v>0</v>
      </c>
      <c r="AC96" s="341">
        <v>1</v>
      </c>
      <c r="AD96" s="342" t="str">
        <f>IFERROR(VLOOKUP('Tank Loss 5'!A158,'TANKS Data'!$G$96:$H$111,2,FALSE),"")</f>
        <v/>
      </c>
      <c r="AE96" s="342">
        <f>IF(ISBLANK('Tank Loss 5'!G158),'Tank Loss 5'!F158,'Tank Loss 5'!G158)</f>
        <v>0</v>
      </c>
      <c r="AF96" s="342">
        <f>IF(ISBLANK('Tank Loss 5'!I158),'Tank Loss 5'!H158,'Tank Loss 5'!I158)</f>
        <v>0</v>
      </c>
      <c r="AG96" s="343">
        <f>IF(ISBLANK('Tank Loss 5'!K158),'Tank Loss 5'!J158,'Tank Loss 5'!K158)</f>
        <v>0</v>
      </c>
    </row>
    <row r="97" spans="1:33" x14ac:dyDescent="0.2">
      <c r="B97" s="107" t="s">
        <v>9064</v>
      </c>
      <c r="E97" s="106" t="s">
        <v>9051</v>
      </c>
      <c r="G97" s="182" t="s">
        <v>9094</v>
      </c>
      <c r="H97" s="183" t="s">
        <v>9095</v>
      </c>
      <c r="I97" s="341">
        <v>2</v>
      </c>
      <c r="J97" s="342" t="str">
        <f>IFERROR(VLOOKUP('Tank Loss 1'!A159,'TANKS Data'!$G$96:$H$111,2,FALSE),"")</f>
        <v/>
      </c>
      <c r="K97" s="342">
        <f>IF(ISBLANK('Tank Loss 1'!G159),'Tank Loss 1'!F159,'Tank Loss 1'!G159)</f>
        <v>0</v>
      </c>
      <c r="L97" s="342">
        <f>IF(ISBLANK('Tank Loss 1'!I159),'Tank Loss 1'!H159,'Tank Loss 1'!I159)</f>
        <v>0</v>
      </c>
      <c r="M97" s="343">
        <f>IF(ISBLANK('Tank Loss 1'!K159),'Tank Loss 1'!J159,'Tank Loss 1'!K159)</f>
        <v>0</v>
      </c>
      <c r="N97" s="182">
        <v>2</v>
      </c>
      <c r="O97" s="176" t="str">
        <f>IFERROR(VLOOKUP('Tank Loss 2'!A159,'TANKS Data'!$G$96:$H$111,2,FALSE),"")</f>
        <v/>
      </c>
      <c r="P97" s="176">
        <f>IF(ISBLANK('Tank Loss 2'!G159),'Tank Loss 2'!F159,'Tank Loss 2'!G159)</f>
        <v>0</v>
      </c>
      <c r="Q97" s="176">
        <f>IF(ISBLANK('Tank Loss 2'!I159),'Tank Loss 2'!H159,'Tank Loss 2'!I159)</f>
        <v>0</v>
      </c>
      <c r="R97" s="184">
        <f>IF(ISBLANK('Tank Loss 2'!K159),'Tank Loss 2'!J159,'Tank Loss 2'!K159)</f>
        <v>0</v>
      </c>
      <c r="S97" s="341">
        <v>2</v>
      </c>
      <c r="T97" s="342" t="str">
        <f>IFERROR(VLOOKUP('Tank Loss 3'!A159,'TANKS Data'!$G$96:$H$111,2,FALSE),"")</f>
        <v/>
      </c>
      <c r="U97" s="342">
        <f>IF(ISBLANK('Tank Loss 3'!G159),'Tank Loss 3'!F159,'Tank Loss 3'!G159)</f>
        <v>0</v>
      </c>
      <c r="V97" s="342">
        <f>IF(ISBLANK('Tank Loss 3'!I159),'Tank Loss 3'!H159,'Tank Loss 3'!I159)</f>
        <v>0</v>
      </c>
      <c r="W97" s="343">
        <f>IF(ISBLANK('Tank Loss 3'!K159),'Tank Loss 3'!J159,'Tank Loss 3'!K159)</f>
        <v>0</v>
      </c>
      <c r="X97" s="182">
        <v>2</v>
      </c>
      <c r="Y97" s="176" t="str">
        <f>IFERROR(VLOOKUP('Tank Loss 4'!A159,'TANKS Data'!$G$96:$H$111,2,FALSE),"")</f>
        <v/>
      </c>
      <c r="Z97" s="176">
        <f>IF(ISBLANK('Tank Loss 4'!G159),'Tank Loss 4'!F159,'Tank Loss 4'!G159)</f>
        <v>0</v>
      </c>
      <c r="AA97" s="176">
        <f>IF(ISBLANK('Tank Loss 4'!I159),'Tank Loss 4'!H159,'Tank Loss 4'!I159)</f>
        <v>0</v>
      </c>
      <c r="AB97" s="184">
        <f>IF(ISBLANK('Tank Loss 4'!K159),'Tank Loss 4'!J159,'Tank Loss 4'!K159)</f>
        <v>0</v>
      </c>
      <c r="AC97" s="341">
        <v>2</v>
      </c>
      <c r="AD97" s="342" t="str">
        <f>IFERROR(VLOOKUP('Tank Loss 5'!A159,'TANKS Data'!$G$96:$H$111,2,FALSE),"")</f>
        <v/>
      </c>
      <c r="AE97" s="342">
        <f>IF(ISBLANK('Tank Loss 5'!G159),'Tank Loss 5'!F159,'Tank Loss 5'!G159)</f>
        <v>0</v>
      </c>
      <c r="AF97" s="342">
        <f>IF(ISBLANK('Tank Loss 5'!I159),'Tank Loss 5'!H159,'Tank Loss 5'!I159)</f>
        <v>0</v>
      </c>
      <c r="AG97" s="343">
        <f>IF(ISBLANK('Tank Loss 5'!K159),'Tank Loss 5'!J159,'Tank Loss 5'!K159)</f>
        <v>0</v>
      </c>
    </row>
    <row r="98" spans="1:33" x14ac:dyDescent="0.2">
      <c r="A98" s="106" t="str">
        <f>$B$97&amp;B98</f>
        <v>Access hatchBolted cover, gasketed</v>
      </c>
      <c r="B98" s="106" t="s">
        <v>9068</v>
      </c>
      <c r="C98" s="185">
        <v>1.6</v>
      </c>
      <c r="D98" s="185">
        <v>0</v>
      </c>
      <c r="E98" s="185">
        <v>0</v>
      </c>
      <c r="G98" s="182" t="s">
        <v>9091</v>
      </c>
      <c r="H98" s="183" t="s">
        <v>9092</v>
      </c>
      <c r="I98" s="341">
        <v>3</v>
      </c>
      <c r="J98" s="342" t="str">
        <f>IFERROR(VLOOKUP('Tank Loss 1'!A160,'TANKS Data'!$G$96:$H$111,2,FALSE),"")</f>
        <v/>
      </c>
      <c r="K98" s="342">
        <f>IF(ISBLANK('Tank Loss 1'!G160),'Tank Loss 1'!F160,'Tank Loss 1'!G160)</f>
        <v>0</v>
      </c>
      <c r="L98" s="342">
        <f>IF(ISBLANK('Tank Loss 1'!I160),'Tank Loss 1'!H160,'Tank Loss 1'!I160)</f>
        <v>0</v>
      </c>
      <c r="M98" s="343">
        <f>IF(ISBLANK('Tank Loss 1'!K160),'Tank Loss 1'!J160,'Tank Loss 1'!K160)</f>
        <v>0</v>
      </c>
      <c r="N98" s="182">
        <v>3</v>
      </c>
      <c r="O98" s="176" t="str">
        <f>IFERROR(VLOOKUP('Tank Loss 2'!A160,'TANKS Data'!$G$96:$H$111,2,FALSE),"")</f>
        <v/>
      </c>
      <c r="P98" s="176">
        <f>IF(ISBLANK('Tank Loss 2'!G160),'Tank Loss 2'!F160,'Tank Loss 2'!G160)</f>
        <v>0</v>
      </c>
      <c r="Q98" s="176">
        <f>IF(ISBLANK('Tank Loss 2'!I160),'Tank Loss 2'!H160,'Tank Loss 2'!I160)</f>
        <v>0</v>
      </c>
      <c r="R98" s="184">
        <f>IF(ISBLANK('Tank Loss 2'!K160),'Tank Loss 2'!J160,'Tank Loss 2'!K160)</f>
        <v>0</v>
      </c>
      <c r="S98" s="341">
        <v>3</v>
      </c>
      <c r="T98" s="342" t="str">
        <f>IFERROR(VLOOKUP('Tank Loss 3'!A160,'TANKS Data'!$G$96:$H$111,2,FALSE),"")</f>
        <v/>
      </c>
      <c r="U98" s="342">
        <f>IF(ISBLANK('Tank Loss 3'!G160),'Tank Loss 3'!F160,'Tank Loss 3'!G160)</f>
        <v>0</v>
      </c>
      <c r="V98" s="342">
        <f>IF(ISBLANK('Tank Loss 3'!I160),'Tank Loss 3'!H160,'Tank Loss 3'!I160)</f>
        <v>0</v>
      </c>
      <c r="W98" s="343">
        <f>IF(ISBLANK('Tank Loss 3'!K160),'Tank Loss 3'!J160,'Tank Loss 3'!K160)</f>
        <v>0</v>
      </c>
      <c r="X98" s="182">
        <v>3</v>
      </c>
      <c r="Y98" s="176" t="str">
        <f>IFERROR(VLOOKUP('Tank Loss 4'!A160,'TANKS Data'!$G$96:$H$111,2,FALSE),"")</f>
        <v/>
      </c>
      <c r="Z98" s="176">
        <f>IF(ISBLANK('Tank Loss 4'!G160),'Tank Loss 4'!F160,'Tank Loss 4'!G160)</f>
        <v>0</v>
      </c>
      <c r="AA98" s="176">
        <f>IF(ISBLANK('Tank Loss 4'!I160),'Tank Loss 4'!H160,'Tank Loss 4'!I160)</f>
        <v>0</v>
      </c>
      <c r="AB98" s="184">
        <f>IF(ISBLANK('Tank Loss 4'!K160),'Tank Loss 4'!J160,'Tank Loss 4'!K160)</f>
        <v>0</v>
      </c>
      <c r="AC98" s="341">
        <v>3</v>
      </c>
      <c r="AD98" s="342" t="str">
        <f>IFERROR(VLOOKUP('Tank Loss 5'!A160,'TANKS Data'!$G$96:$H$111,2,FALSE),"")</f>
        <v/>
      </c>
      <c r="AE98" s="342">
        <f>IF(ISBLANK('Tank Loss 5'!G160),'Tank Loss 5'!F160,'Tank Loss 5'!G160)</f>
        <v>0</v>
      </c>
      <c r="AF98" s="342">
        <f>IF(ISBLANK('Tank Loss 5'!I160),'Tank Loss 5'!H160,'Tank Loss 5'!I160)</f>
        <v>0</v>
      </c>
      <c r="AG98" s="343">
        <f>IF(ISBLANK('Tank Loss 5'!K160),'Tank Loss 5'!J160,'Tank Loss 5'!K160)</f>
        <v>0</v>
      </c>
    </row>
    <row r="99" spans="1:33" x14ac:dyDescent="0.2">
      <c r="A99" s="106" t="str">
        <f>$B$97&amp;B99</f>
        <v>Access hatchUnbolted cover, ungasketed</v>
      </c>
      <c r="B99" s="106" t="s">
        <v>9071</v>
      </c>
      <c r="C99" s="185">
        <v>36</v>
      </c>
      <c r="D99" s="185">
        <v>5.9</v>
      </c>
      <c r="E99" s="185">
        <v>1.2</v>
      </c>
      <c r="G99" s="182" t="s">
        <v>9088</v>
      </c>
      <c r="H99" s="183" t="s">
        <v>9089</v>
      </c>
      <c r="I99" s="341">
        <v>4</v>
      </c>
      <c r="J99" s="342" t="str">
        <f>IFERROR(VLOOKUP('Tank Loss 1'!A161,'TANKS Data'!$G$96:$H$111,2,FALSE),"")</f>
        <v/>
      </c>
      <c r="K99" s="342">
        <f>IF(ISBLANK('Tank Loss 1'!G161),'Tank Loss 1'!F161,'Tank Loss 1'!G161)</f>
        <v>0</v>
      </c>
      <c r="L99" s="342">
        <f>IF(ISBLANK('Tank Loss 1'!I161),'Tank Loss 1'!H161,'Tank Loss 1'!I161)</f>
        <v>0</v>
      </c>
      <c r="M99" s="343">
        <f>IF(ISBLANK('Tank Loss 1'!K161),'Tank Loss 1'!J161,'Tank Loss 1'!K161)</f>
        <v>0</v>
      </c>
      <c r="N99" s="182">
        <v>4</v>
      </c>
      <c r="O99" s="176" t="str">
        <f>IFERROR(VLOOKUP('Tank Loss 2'!A161,'TANKS Data'!$G$96:$H$111,2,FALSE),"")</f>
        <v/>
      </c>
      <c r="P99" s="176">
        <f>IF(ISBLANK('Tank Loss 2'!G161),'Tank Loss 2'!F161,'Tank Loss 2'!G161)</f>
        <v>0</v>
      </c>
      <c r="Q99" s="176">
        <f>IF(ISBLANK('Tank Loss 2'!I161),'Tank Loss 2'!H161,'Tank Loss 2'!I161)</f>
        <v>0</v>
      </c>
      <c r="R99" s="184">
        <f>IF(ISBLANK('Tank Loss 2'!K161),'Tank Loss 2'!J161,'Tank Loss 2'!K161)</f>
        <v>0</v>
      </c>
      <c r="S99" s="341">
        <v>4</v>
      </c>
      <c r="T99" s="342" t="str">
        <f>IFERROR(VLOOKUP('Tank Loss 3'!A161,'TANKS Data'!$G$96:$H$111,2,FALSE),"")</f>
        <v/>
      </c>
      <c r="U99" s="342">
        <f>IF(ISBLANK('Tank Loss 3'!G161),'Tank Loss 3'!F161,'Tank Loss 3'!G161)</f>
        <v>0</v>
      </c>
      <c r="V99" s="342">
        <f>IF(ISBLANK('Tank Loss 3'!I161),'Tank Loss 3'!H161,'Tank Loss 3'!I161)</f>
        <v>0</v>
      </c>
      <c r="W99" s="343">
        <f>IF(ISBLANK('Tank Loss 3'!K161),'Tank Loss 3'!J161,'Tank Loss 3'!K161)</f>
        <v>0</v>
      </c>
      <c r="X99" s="182">
        <v>4</v>
      </c>
      <c r="Y99" s="176" t="str">
        <f>IFERROR(VLOOKUP('Tank Loss 4'!A161,'TANKS Data'!$G$96:$H$111,2,FALSE),"")</f>
        <v/>
      </c>
      <c r="Z99" s="176">
        <f>IF(ISBLANK('Tank Loss 4'!G161),'Tank Loss 4'!F161,'Tank Loss 4'!G161)</f>
        <v>0</v>
      </c>
      <c r="AA99" s="176">
        <f>IF(ISBLANK('Tank Loss 4'!I161),'Tank Loss 4'!H161,'Tank Loss 4'!I161)</f>
        <v>0</v>
      </c>
      <c r="AB99" s="184">
        <f>IF(ISBLANK('Tank Loss 4'!K161),'Tank Loss 4'!J161,'Tank Loss 4'!K161)</f>
        <v>0</v>
      </c>
      <c r="AC99" s="341">
        <v>4</v>
      </c>
      <c r="AD99" s="342" t="str">
        <f>IFERROR(VLOOKUP('Tank Loss 5'!A161,'TANKS Data'!$G$96:$H$111,2,FALSE),"")</f>
        <v/>
      </c>
      <c r="AE99" s="342">
        <f>IF(ISBLANK('Tank Loss 5'!G161),'Tank Loss 5'!F161,'Tank Loss 5'!G161)</f>
        <v>0</v>
      </c>
      <c r="AF99" s="342">
        <f>IF(ISBLANK('Tank Loss 5'!I161),'Tank Loss 5'!H161,'Tank Loss 5'!I161)</f>
        <v>0</v>
      </c>
      <c r="AG99" s="343">
        <f>IF(ISBLANK('Tank Loss 5'!K161),'Tank Loss 5'!J161,'Tank Loss 5'!K161)</f>
        <v>0</v>
      </c>
    </row>
    <row r="100" spans="1:33" x14ac:dyDescent="0.2">
      <c r="A100" s="106" t="str">
        <f>$B$97&amp;B100</f>
        <v>Access hatchUnbolted cover, gasketed</v>
      </c>
      <c r="B100" s="106" t="s">
        <v>9074</v>
      </c>
      <c r="C100" s="185">
        <v>31</v>
      </c>
      <c r="D100" s="185">
        <v>5.2</v>
      </c>
      <c r="E100" s="185">
        <v>1.3</v>
      </c>
      <c r="G100" s="182" t="s">
        <v>9085</v>
      </c>
      <c r="H100" s="183" t="s">
        <v>9086</v>
      </c>
      <c r="I100" s="341">
        <v>5</v>
      </c>
      <c r="J100" s="342" t="str">
        <f>IFERROR(VLOOKUP('Tank Loss 1'!A162,'TANKS Data'!$G$96:$H$111,2,FALSE),"")</f>
        <v/>
      </c>
      <c r="K100" s="342">
        <f>IF(ISBLANK('Tank Loss 1'!G162),'Tank Loss 1'!F162,'Tank Loss 1'!G162)</f>
        <v>0</v>
      </c>
      <c r="L100" s="342">
        <f>IF(ISBLANK('Tank Loss 1'!I162),'Tank Loss 1'!H162,'Tank Loss 1'!I162)</f>
        <v>0</v>
      </c>
      <c r="M100" s="343">
        <f>IF(ISBLANK('Tank Loss 1'!K162),'Tank Loss 1'!J162,'Tank Loss 1'!K162)</f>
        <v>0</v>
      </c>
      <c r="N100" s="182">
        <v>5</v>
      </c>
      <c r="O100" s="176" t="str">
        <f>IFERROR(VLOOKUP('Tank Loss 2'!A162,'TANKS Data'!$G$96:$H$111,2,FALSE),"")</f>
        <v/>
      </c>
      <c r="P100" s="176">
        <f>IF(ISBLANK('Tank Loss 2'!G162),'Tank Loss 2'!F162,'Tank Loss 2'!G162)</f>
        <v>0</v>
      </c>
      <c r="Q100" s="176">
        <f>IF(ISBLANK('Tank Loss 2'!I162),'Tank Loss 2'!H162,'Tank Loss 2'!I162)</f>
        <v>0</v>
      </c>
      <c r="R100" s="184">
        <f>IF(ISBLANK('Tank Loss 2'!K162),'Tank Loss 2'!J162,'Tank Loss 2'!K162)</f>
        <v>0</v>
      </c>
      <c r="S100" s="341">
        <v>5</v>
      </c>
      <c r="T100" s="342" t="str">
        <f>IFERROR(VLOOKUP('Tank Loss 3'!A162,'TANKS Data'!$G$96:$H$111,2,FALSE),"")</f>
        <v/>
      </c>
      <c r="U100" s="342">
        <f>IF(ISBLANK('Tank Loss 3'!G162),'Tank Loss 3'!F162,'Tank Loss 3'!G162)</f>
        <v>0</v>
      </c>
      <c r="V100" s="342">
        <f>IF(ISBLANK('Tank Loss 3'!I162),'Tank Loss 3'!H162,'Tank Loss 3'!I162)</f>
        <v>0</v>
      </c>
      <c r="W100" s="343">
        <f>IF(ISBLANK('Tank Loss 3'!K162),'Tank Loss 3'!J162,'Tank Loss 3'!K162)</f>
        <v>0</v>
      </c>
      <c r="X100" s="182">
        <v>5</v>
      </c>
      <c r="Y100" s="176" t="str">
        <f>IFERROR(VLOOKUP('Tank Loss 4'!A162,'TANKS Data'!$G$96:$H$111,2,FALSE),"")</f>
        <v/>
      </c>
      <c r="Z100" s="176">
        <f>IF(ISBLANK('Tank Loss 4'!G162),'Tank Loss 4'!F162,'Tank Loss 4'!G162)</f>
        <v>0</v>
      </c>
      <c r="AA100" s="176">
        <f>IF(ISBLANK('Tank Loss 4'!I162),'Tank Loss 4'!H162,'Tank Loss 4'!I162)</f>
        <v>0</v>
      </c>
      <c r="AB100" s="184">
        <f>IF(ISBLANK('Tank Loss 4'!K162),'Tank Loss 4'!J162,'Tank Loss 4'!K162)</f>
        <v>0</v>
      </c>
      <c r="AC100" s="341">
        <v>5</v>
      </c>
      <c r="AD100" s="342" t="str">
        <f>IFERROR(VLOOKUP('Tank Loss 5'!A162,'TANKS Data'!$G$96:$H$111,2,FALSE),"")</f>
        <v/>
      </c>
      <c r="AE100" s="342">
        <f>IF(ISBLANK('Tank Loss 5'!G162),'Tank Loss 5'!F162,'Tank Loss 5'!G162)</f>
        <v>0</v>
      </c>
      <c r="AF100" s="342">
        <f>IF(ISBLANK('Tank Loss 5'!I162),'Tank Loss 5'!H162,'Tank Loss 5'!I162)</f>
        <v>0</v>
      </c>
      <c r="AG100" s="343">
        <f>IF(ISBLANK('Tank Loss 5'!K162),'Tank Loss 5'!J162,'Tank Loss 5'!K162)</f>
        <v>0</v>
      </c>
    </row>
    <row r="101" spans="1:33" x14ac:dyDescent="0.2">
      <c r="C101" s="186"/>
      <c r="D101" s="186" t="s">
        <v>9051</v>
      </c>
      <c r="E101" s="186" t="s">
        <v>9051</v>
      </c>
      <c r="G101" s="182" t="s">
        <v>9066</v>
      </c>
      <c r="H101" s="183" t="s">
        <v>9067</v>
      </c>
      <c r="I101" s="341">
        <v>6</v>
      </c>
      <c r="J101" s="342" t="str">
        <f>IFERROR(VLOOKUP('Tank Loss 1'!A163,'TANKS Data'!$G$96:$H$111,2,FALSE),"")</f>
        <v/>
      </c>
      <c r="K101" s="342">
        <f>IF(ISBLANK('Tank Loss 1'!G163),'Tank Loss 1'!F163,'Tank Loss 1'!G163)</f>
        <v>0</v>
      </c>
      <c r="L101" s="342">
        <f>IF(ISBLANK('Tank Loss 1'!I163),'Tank Loss 1'!H163,'Tank Loss 1'!I163)</f>
        <v>0</v>
      </c>
      <c r="M101" s="343">
        <f>IF(ISBLANK('Tank Loss 1'!K163),'Tank Loss 1'!J163,'Tank Loss 1'!K163)</f>
        <v>0</v>
      </c>
      <c r="N101" s="182">
        <v>6</v>
      </c>
      <c r="O101" s="176" t="str">
        <f>IFERROR(VLOOKUP('Tank Loss 2'!A163,'TANKS Data'!$G$96:$H$111,2,FALSE),"")</f>
        <v/>
      </c>
      <c r="P101" s="176">
        <f>IF(ISBLANK('Tank Loss 2'!G163),'Tank Loss 2'!F163,'Tank Loss 2'!G163)</f>
        <v>0</v>
      </c>
      <c r="Q101" s="176">
        <f>IF(ISBLANK('Tank Loss 2'!I163),'Tank Loss 2'!H163,'Tank Loss 2'!I163)</f>
        <v>0</v>
      </c>
      <c r="R101" s="184">
        <f>IF(ISBLANK('Tank Loss 2'!K163),'Tank Loss 2'!J163,'Tank Loss 2'!K163)</f>
        <v>0</v>
      </c>
      <c r="S101" s="341">
        <v>6</v>
      </c>
      <c r="T101" s="342" t="str">
        <f>IFERROR(VLOOKUP('Tank Loss 3'!A163,'TANKS Data'!$G$96:$H$111,2,FALSE),"")</f>
        <v/>
      </c>
      <c r="U101" s="342">
        <f>IF(ISBLANK('Tank Loss 3'!G163),'Tank Loss 3'!F163,'Tank Loss 3'!G163)</f>
        <v>0</v>
      </c>
      <c r="V101" s="342">
        <f>IF(ISBLANK('Tank Loss 3'!I163),'Tank Loss 3'!H163,'Tank Loss 3'!I163)</f>
        <v>0</v>
      </c>
      <c r="W101" s="343">
        <f>IF(ISBLANK('Tank Loss 3'!K163),'Tank Loss 3'!J163,'Tank Loss 3'!K163)</f>
        <v>0</v>
      </c>
      <c r="X101" s="182">
        <v>6</v>
      </c>
      <c r="Y101" s="176" t="str">
        <f>IFERROR(VLOOKUP('Tank Loss 4'!A163,'TANKS Data'!$G$96:$H$111,2,FALSE),"")</f>
        <v/>
      </c>
      <c r="Z101" s="176">
        <f>IF(ISBLANK('Tank Loss 4'!G163),'Tank Loss 4'!F163,'Tank Loss 4'!G163)</f>
        <v>0</v>
      </c>
      <c r="AA101" s="176">
        <f>IF(ISBLANK('Tank Loss 4'!I163),'Tank Loss 4'!H163,'Tank Loss 4'!I163)</f>
        <v>0</v>
      </c>
      <c r="AB101" s="184">
        <f>IF(ISBLANK('Tank Loss 4'!K163),'Tank Loss 4'!J163,'Tank Loss 4'!K163)</f>
        <v>0</v>
      </c>
      <c r="AC101" s="341">
        <v>6</v>
      </c>
      <c r="AD101" s="342" t="str">
        <f>IFERROR(VLOOKUP('Tank Loss 5'!A163,'TANKS Data'!$G$96:$H$111,2,FALSE),"")</f>
        <v/>
      </c>
      <c r="AE101" s="342">
        <f>IF(ISBLANK('Tank Loss 5'!G163),'Tank Loss 5'!F163,'Tank Loss 5'!G163)</f>
        <v>0</v>
      </c>
      <c r="AF101" s="342">
        <f>IF(ISBLANK('Tank Loss 5'!I163),'Tank Loss 5'!H163,'Tank Loss 5'!I163)</f>
        <v>0</v>
      </c>
      <c r="AG101" s="343">
        <f>IF(ISBLANK('Tank Loss 5'!K163),'Tank Loss 5'!J163,'Tank Loss 5'!K163)</f>
        <v>0</v>
      </c>
    </row>
    <row r="102" spans="1:33" x14ac:dyDescent="0.2">
      <c r="B102" s="107" t="s">
        <v>9066</v>
      </c>
      <c r="C102" s="186"/>
      <c r="D102" s="186" t="s">
        <v>9051</v>
      </c>
      <c r="E102" s="186" t="s">
        <v>9051</v>
      </c>
      <c r="G102" s="182" t="s">
        <v>9075</v>
      </c>
      <c r="H102" s="183" t="s">
        <v>9076</v>
      </c>
      <c r="I102" s="341">
        <v>7</v>
      </c>
      <c r="J102" s="342" t="str">
        <f>IFERROR(VLOOKUP('Tank Loss 1'!A164,'TANKS Data'!$G$96:$H$111,2,FALSE),"")</f>
        <v/>
      </c>
      <c r="K102" s="342">
        <f>IF(ISBLANK('Tank Loss 1'!G164),'Tank Loss 1'!F164,'Tank Loss 1'!G164)</f>
        <v>0</v>
      </c>
      <c r="L102" s="342">
        <f>IF(ISBLANK('Tank Loss 1'!I164),'Tank Loss 1'!H164,'Tank Loss 1'!I164)</f>
        <v>0</v>
      </c>
      <c r="M102" s="343">
        <f>IF(ISBLANK('Tank Loss 1'!K164),'Tank Loss 1'!J164,'Tank Loss 1'!K164)</f>
        <v>0</v>
      </c>
      <c r="N102" s="182">
        <v>7</v>
      </c>
      <c r="O102" s="176" t="str">
        <f>IFERROR(VLOOKUP('Tank Loss 2'!A164,'TANKS Data'!$G$96:$H$111,2,FALSE),"")</f>
        <v/>
      </c>
      <c r="P102" s="176">
        <f>IF(ISBLANK('Tank Loss 2'!G164),'Tank Loss 2'!F164,'Tank Loss 2'!G164)</f>
        <v>0</v>
      </c>
      <c r="Q102" s="176">
        <f>IF(ISBLANK('Tank Loss 2'!I164),'Tank Loss 2'!H164,'Tank Loss 2'!I164)</f>
        <v>0</v>
      </c>
      <c r="R102" s="184">
        <f>IF(ISBLANK('Tank Loss 2'!K164),'Tank Loss 2'!J164,'Tank Loss 2'!K164)</f>
        <v>0</v>
      </c>
      <c r="S102" s="341">
        <v>7</v>
      </c>
      <c r="T102" s="342" t="str">
        <f>IFERROR(VLOOKUP('Tank Loss 3'!A164,'TANKS Data'!$G$96:$H$111,2,FALSE),"")</f>
        <v/>
      </c>
      <c r="U102" s="342">
        <f>IF(ISBLANK('Tank Loss 3'!G164),'Tank Loss 3'!F164,'Tank Loss 3'!G164)</f>
        <v>0</v>
      </c>
      <c r="V102" s="342">
        <f>IF(ISBLANK('Tank Loss 3'!I164),'Tank Loss 3'!H164,'Tank Loss 3'!I164)</f>
        <v>0</v>
      </c>
      <c r="W102" s="343">
        <f>IF(ISBLANK('Tank Loss 3'!K164),'Tank Loss 3'!J164,'Tank Loss 3'!K164)</f>
        <v>0</v>
      </c>
      <c r="X102" s="182">
        <v>7</v>
      </c>
      <c r="Y102" s="176" t="str">
        <f>IFERROR(VLOOKUP('Tank Loss 4'!A164,'TANKS Data'!$G$96:$H$111,2,FALSE),"")</f>
        <v/>
      </c>
      <c r="Z102" s="176">
        <f>IF(ISBLANK('Tank Loss 4'!G164),'Tank Loss 4'!F164,'Tank Loss 4'!G164)</f>
        <v>0</v>
      </c>
      <c r="AA102" s="176">
        <f>IF(ISBLANK('Tank Loss 4'!I164),'Tank Loss 4'!H164,'Tank Loss 4'!I164)</f>
        <v>0</v>
      </c>
      <c r="AB102" s="184">
        <f>IF(ISBLANK('Tank Loss 4'!K164),'Tank Loss 4'!J164,'Tank Loss 4'!K164)</f>
        <v>0</v>
      </c>
      <c r="AC102" s="341">
        <v>7</v>
      </c>
      <c r="AD102" s="342" t="str">
        <f>IFERROR(VLOOKUP('Tank Loss 5'!A164,'TANKS Data'!$G$96:$H$111,2,FALSE),"")</f>
        <v/>
      </c>
      <c r="AE102" s="342">
        <f>IF(ISBLANK('Tank Loss 5'!G164),'Tank Loss 5'!F164,'Tank Loss 5'!G164)</f>
        <v>0</v>
      </c>
      <c r="AF102" s="342">
        <f>IF(ISBLANK('Tank Loss 5'!I164),'Tank Loss 5'!H164,'Tank Loss 5'!I164)</f>
        <v>0</v>
      </c>
      <c r="AG102" s="343">
        <f>IF(ISBLANK('Tank Loss 5'!K164),'Tank Loss 5'!J164,'Tank Loss 5'!K164)</f>
        <v>0</v>
      </c>
    </row>
    <row r="103" spans="1:33" x14ac:dyDescent="0.2">
      <c r="A103" s="106" t="str">
        <f>$B$102&amp;B103</f>
        <v>Fixed roof support column wellRound pipe, ungasketed sliding cover</v>
      </c>
      <c r="B103" s="106" t="s">
        <v>9081</v>
      </c>
      <c r="C103" s="185">
        <v>31</v>
      </c>
      <c r="D103" s="185">
        <v>0</v>
      </c>
      <c r="E103" s="185">
        <v>0</v>
      </c>
      <c r="G103" s="182" t="s">
        <v>9077</v>
      </c>
      <c r="H103" s="183" t="s">
        <v>9078</v>
      </c>
      <c r="I103" s="341">
        <v>8</v>
      </c>
      <c r="J103" s="342" t="str">
        <f>IFERROR(VLOOKUP('Tank Loss 1'!A165,'TANKS Data'!$G$96:$H$111,2,FALSE),"")</f>
        <v/>
      </c>
      <c r="K103" s="342">
        <f>IF(ISBLANK('Tank Loss 1'!G165),'Tank Loss 1'!F165,'Tank Loss 1'!G165)</f>
        <v>0</v>
      </c>
      <c r="L103" s="342">
        <f>IF(ISBLANK('Tank Loss 1'!I165),'Tank Loss 1'!H165,'Tank Loss 1'!I165)</f>
        <v>0</v>
      </c>
      <c r="M103" s="343">
        <f>IF(ISBLANK('Tank Loss 1'!K165),'Tank Loss 1'!J165,'Tank Loss 1'!K165)</f>
        <v>0</v>
      </c>
      <c r="N103" s="182">
        <v>8</v>
      </c>
      <c r="O103" s="176" t="str">
        <f>IFERROR(VLOOKUP('Tank Loss 2'!A165,'TANKS Data'!$G$96:$H$111,2,FALSE),"")</f>
        <v/>
      </c>
      <c r="P103" s="176">
        <f>IF(ISBLANK('Tank Loss 2'!G165),'Tank Loss 2'!F165,'Tank Loss 2'!G165)</f>
        <v>0</v>
      </c>
      <c r="Q103" s="176">
        <f>IF(ISBLANK('Tank Loss 2'!I165),'Tank Loss 2'!H165,'Tank Loss 2'!I165)</f>
        <v>0</v>
      </c>
      <c r="R103" s="184">
        <f>IF(ISBLANK('Tank Loss 2'!K165),'Tank Loss 2'!J165,'Tank Loss 2'!K165)</f>
        <v>0</v>
      </c>
      <c r="S103" s="341">
        <v>8</v>
      </c>
      <c r="T103" s="342" t="str">
        <f>IFERROR(VLOOKUP('Tank Loss 3'!A165,'TANKS Data'!$G$96:$H$111,2,FALSE),"")</f>
        <v/>
      </c>
      <c r="U103" s="342">
        <f>IF(ISBLANK('Tank Loss 3'!G165),'Tank Loss 3'!F165,'Tank Loss 3'!G165)</f>
        <v>0</v>
      </c>
      <c r="V103" s="342">
        <f>IF(ISBLANK('Tank Loss 3'!I165),'Tank Loss 3'!H165,'Tank Loss 3'!I165)</f>
        <v>0</v>
      </c>
      <c r="W103" s="343">
        <f>IF(ISBLANK('Tank Loss 3'!K165),'Tank Loss 3'!J165,'Tank Loss 3'!K165)</f>
        <v>0</v>
      </c>
      <c r="X103" s="182">
        <v>8</v>
      </c>
      <c r="Y103" s="176" t="str">
        <f>IFERROR(VLOOKUP('Tank Loss 4'!A165,'TANKS Data'!$G$96:$H$111,2,FALSE),"")</f>
        <v/>
      </c>
      <c r="Z103" s="176">
        <f>IF(ISBLANK('Tank Loss 4'!G165),'Tank Loss 4'!F165,'Tank Loss 4'!G165)</f>
        <v>0</v>
      </c>
      <c r="AA103" s="176">
        <f>IF(ISBLANK('Tank Loss 4'!I165),'Tank Loss 4'!H165,'Tank Loss 4'!I165)</f>
        <v>0</v>
      </c>
      <c r="AB103" s="184">
        <f>IF(ISBLANK('Tank Loss 4'!K165),'Tank Loss 4'!J165,'Tank Loss 4'!K165)</f>
        <v>0</v>
      </c>
      <c r="AC103" s="341">
        <v>8</v>
      </c>
      <c r="AD103" s="342" t="str">
        <f>IFERROR(VLOOKUP('Tank Loss 5'!A165,'TANKS Data'!$G$96:$H$111,2,FALSE),"")</f>
        <v/>
      </c>
      <c r="AE103" s="342">
        <f>IF(ISBLANK('Tank Loss 5'!G165),'Tank Loss 5'!F165,'Tank Loss 5'!G165)</f>
        <v>0</v>
      </c>
      <c r="AF103" s="342">
        <f>IF(ISBLANK('Tank Loss 5'!I165),'Tank Loss 5'!H165,'Tank Loss 5'!I165)</f>
        <v>0</v>
      </c>
      <c r="AG103" s="343">
        <f>IF(ISBLANK('Tank Loss 5'!K165),'Tank Loss 5'!J165,'Tank Loss 5'!K165)</f>
        <v>0</v>
      </c>
    </row>
    <row r="104" spans="1:33" x14ac:dyDescent="0.2">
      <c r="A104" s="106" t="str">
        <f>$B$102&amp;B104</f>
        <v>Fixed roof support column wellRound pipe, gasketed sliding cover</v>
      </c>
      <c r="B104" s="106" t="s">
        <v>9084</v>
      </c>
      <c r="C104" s="185">
        <v>25</v>
      </c>
      <c r="D104" s="185">
        <v>0</v>
      </c>
      <c r="E104" s="185">
        <v>0</v>
      </c>
      <c r="G104" s="182" t="s">
        <v>9098</v>
      </c>
      <c r="H104" s="183" t="s">
        <v>9099</v>
      </c>
      <c r="I104" s="341">
        <v>9</v>
      </c>
      <c r="J104" s="342" t="str">
        <f>IFERROR(VLOOKUP('Tank Loss 1'!A166,'TANKS Data'!$G$96:$H$111,2,FALSE),"")</f>
        <v/>
      </c>
      <c r="K104" s="342">
        <f>IF(ISBLANK('Tank Loss 1'!G166),'Tank Loss 1'!F166,'Tank Loss 1'!G166)</f>
        <v>0</v>
      </c>
      <c r="L104" s="342">
        <f>IF(ISBLANK('Tank Loss 1'!I166),'Tank Loss 1'!H166,'Tank Loss 1'!I166)</f>
        <v>0</v>
      </c>
      <c r="M104" s="343">
        <f>IF(ISBLANK('Tank Loss 1'!K166),'Tank Loss 1'!J166,'Tank Loss 1'!K166)</f>
        <v>0</v>
      </c>
      <c r="N104" s="182">
        <v>9</v>
      </c>
      <c r="O104" s="176" t="str">
        <f>IFERROR(VLOOKUP('Tank Loss 2'!A166,'TANKS Data'!$G$96:$H$111,2,FALSE),"")</f>
        <v/>
      </c>
      <c r="P104" s="176">
        <f>IF(ISBLANK('Tank Loss 2'!G166),'Tank Loss 2'!F166,'Tank Loss 2'!G166)</f>
        <v>0</v>
      </c>
      <c r="Q104" s="176">
        <f>IF(ISBLANK('Tank Loss 2'!I166),'Tank Loss 2'!H166,'Tank Loss 2'!I166)</f>
        <v>0</v>
      </c>
      <c r="R104" s="184">
        <f>IF(ISBLANK('Tank Loss 2'!K166),'Tank Loss 2'!J166,'Tank Loss 2'!K166)</f>
        <v>0</v>
      </c>
      <c r="S104" s="341">
        <v>9</v>
      </c>
      <c r="T104" s="342" t="str">
        <f>IFERROR(VLOOKUP('Tank Loss 3'!A166,'TANKS Data'!$G$96:$H$111,2,FALSE),"")</f>
        <v/>
      </c>
      <c r="U104" s="342">
        <f>IF(ISBLANK('Tank Loss 3'!G166),'Tank Loss 3'!F166,'Tank Loss 3'!G166)</f>
        <v>0</v>
      </c>
      <c r="V104" s="342">
        <f>IF(ISBLANK('Tank Loss 3'!I166),'Tank Loss 3'!H166,'Tank Loss 3'!I166)</f>
        <v>0</v>
      </c>
      <c r="W104" s="343">
        <f>IF(ISBLANK('Tank Loss 3'!K166),'Tank Loss 3'!J166,'Tank Loss 3'!K166)</f>
        <v>0</v>
      </c>
      <c r="X104" s="182">
        <v>9</v>
      </c>
      <c r="Y104" s="176" t="str">
        <f>IFERROR(VLOOKUP('Tank Loss 4'!A166,'TANKS Data'!$G$96:$H$111,2,FALSE),"")</f>
        <v/>
      </c>
      <c r="Z104" s="176">
        <f>IF(ISBLANK('Tank Loss 4'!G166),'Tank Loss 4'!F166,'Tank Loss 4'!G166)</f>
        <v>0</v>
      </c>
      <c r="AA104" s="176">
        <f>IF(ISBLANK('Tank Loss 4'!I166),'Tank Loss 4'!H166,'Tank Loss 4'!I166)</f>
        <v>0</v>
      </c>
      <c r="AB104" s="184">
        <f>IF(ISBLANK('Tank Loss 4'!K166),'Tank Loss 4'!J166,'Tank Loss 4'!K166)</f>
        <v>0</v>
      </c>
      <c r="AC104" s="341">
        <v>9</v>
      </c>
      <c r="AD104" s="342" t="str">
        <f>IFERROR(VLOOKUP('Tank Loss 5'!A166,'TANKS Data'!$G$96:$H$111,2,FALSE),"")</f>
        <v/>
      </c>
      <c r="AE104" s="342">
        <f>IF(ISBLANK('Tank Loss 5'!G166),'Tank Loss 5'!F166,'Tank Loss 5'!G166)</f>
        <v>0</v>
      </c>
      <c r="AF104" s="342">
        <f>IF(ISBLANK('Tank Loss 5'!I166),'Tank Loss 5'!H166,'Tank Loss 5'!I166)</f>
        <v>0</v>
      </c>
      <c r="AG104" s="343">
        <f>IF(ISBLANK('Tank Loss 5'!K166),'Tank Loss 5'!J166,'Tank Loss 5'!K166)</f>
        <v>0</v>
      </c>
    </row>
    <row r="105" spans="1:33" x14ac:dyDescent="0.2">
      <c r="A105" s="106" t="str">
        <f>$B$102&amp;B105</f>
        <v>Fixed roof support column wellRound pipe, flexible fabric sleeve seal</v>
      </c>
      <c r="B105" s="106" t="s">
        <v>9087</v>
      </c>
      <c r="C105" s="185">
        <v>10</v>
      </c>
      <c r="D105" s="185">
        <v>0</v>
      </c>
      <c r="E105" s="185">
        <v>0</v>
      </c>
      <c r="G105" s="182" t="s">
        <v>9101</v>
      </c>
      <c r="H105" s="187" t="s">
        <v>9102</v>
      </c>
      <c r="I105" s="341">
        <v>10</v>
      </c>
      <c r="J105" s="342" t="str">
        <f>IFERROR(VLOOKUP('Tank Loss 1'!A167,'TANKS Data'!$G$96:$H$111,2,FALSE),"")</f>
        <v/>
      </c>
      <c r="K105" s="342">
        <f>IF(ISBLANK('Tank Loss 1'!G167),'Tank Loss 1'!F167,'Tank Loss 1'!G167)</f>
        <v>0</v>
      </c>
      <c r="L105" s="342">
        <f>IF(ISBLANK('Tank Loss 1'!I167),'Tank Loss 1'!H167,'Tank Loss 1'!I167)</f>
        <v>0</v>
      </c>
      <c r="M105" s="343">
        <f>IF(ISBLANK('Tank Loss 1'!K167),'Tank Loss 1'!J167,'Tank Loss 1'!K167)</f>
        <v>0</v>
      </c>
      <c r="N105" s="182">
        <v>10</v>
      </c>
      <c r="O105" s="176" t="str">
        <f>IFERROR(VLOOKUP('Tank Loss 2'!A167,'TANKS Data'!$G$96:$H$111,2,FALSE),"")</f>
        <v/>
      </c>
      <c r="P105" s="176">
        <f>IF(ISBLANK('Tank Loss 2'!G167),'Tank Loss 2'!F167,'Tank Loss 2'!G167)</f>
        <v>0</v>
      </c>
      <c r="Q105" s="176">
        <f>IF(ISBLANK('Tank Loss 2'!I167),'Tank Loss 2'!H167,'Tank Loss 2'!I167)</f>
        <v>0</v>
      </c>
      <c r="R105" s="184">
        <f>IF(ISBLANK('Tank Loss 2'!K167),'Tank Loss 2'!J167,'Tank Loss 2'!K167)</f>
        <v>0</v>
      </c>
      <c r="S105" s="341">
        <v>10</v>
      </c>
      <c r="T105" s="342" t="str">
        <f>IFERROR(VLOOKUP('Tank Loss 3'!A167,'TANKS Data'!$G$96:$H$111,2,FALSE),"")</f>
        <v/>
      </c>
      <c r="U105" s="342">
        <f>IF(ISBLANK('Tank Loss 3'!G167),'Tank Loss 3'!F167,'Tank Loss 3'!G167)</f>
        <v>0</v>
      </c>
      <c r="V105" s="342">
        <f>IF(ISBLANK('Tank Loss 3'!I167),'Tank Loss 3'!H167,'Tank Loss 3'!I167)</f>
        <v>0</v>
      </c>
      <c r="W105" s="343">
        <f>IF(ISBLANK('Tank Loss 3'!K167),'Tank Loss 3'!J167,'Tank Loss 3'!K167)</f>
        <v>0</v>
      </c>
      <c r="X105" s="182">
        <v>10</v>
      </c>
      <c r="Y105" s="176" t="str">
        <f>IFERROR(VLOOKUP('Tank Loss 4'!A167,'TANKS Data'!$G$96:$H$111,2,FALSE),"")</f>
        <v/>
      </c>
      <c r="Z105" s="176">
        <f>IF(ISBLANK('Tank Loss 4'!G167),'Tank Loss 4'!F167,'Tank Loss 4'!G167)</f>
        <v>0</v>
      </c>
      <c r="AA105" s="176">
        <f>IF(ISBLANK('Tank Loss 4'!I167),'Tank Loss 4'!H167,'Tank Loss 4'!I167)</f>
        <v>0</v>
      </c>
      <c r="AB105" s="184">
        <f>IF(ISBLANK('Tank Loss 4'!K167),'Tank Loss 4'!J167,'Tank Loss 4'!K167)</f>
        <v>0</v>
      </c>
      <c r="AC105" s="341">
        <v>10</v>
      </c>
      <c r="AD105" s="342" t="str">
        <f>IFERROR(VLOOKUP('Tank Loss 5'!A167,'TANKS Data'!$G$96:$H$111,2,FALSE),"")</f>
        <v/>
      </c>
      <c r="AE105" s="342">
        <f>IF(ISBLANK('Tank Loss 5'!G167),'Tank Loss 5'!F167,'Tank Loss 5'!G167)</f>
        <v>0</v>
      </c>
      <c r="AF105" s="342">
        <f>IF(ISBLANK('Tank Loss 5'!I167),'Tank Loss 5'!H167,'Tank Loss 5'!I167)</f>
        <v>0</v>
      </c>
      <c r="AG105" s="343">
        <f>IF(ISBLANK('Tank Loss 5'!K167),'Tank Loss 5'!J167,'Tank Loss 5'!K167)</f>
        <v>0</v>
      </c>
    </row>
    <row r="106" spans="1:33" x14ac:dyDescent="0.2">
      <c r="A106" s="106" t="str">
        <f>$B$102&amp;B106</f>
        <v>Fixed roof support column wellBuilt-up column, ungasketed sliding cover</v>
      </c>
      <c r="B106" s="106" t="s">
        <v>9090</v>
      </c>
      <c r="C106" s="185">
        <v>51</v>
      </c>
      <c r="D106" s="185">
        <v>0</v>
      </c>
      <c r="E106" s="185">
        <v>0</v>
      </c>
      <c r="G106" s="182" t="s">
        <v>9096</v>
      </c>
      <c r="H106" s="183" t="s">
        <v>9097</v>
      </c>
      <c r="I106" s="341">
        <v>11</v>
      </c>
      <c r="J106" s="342" t="str">
        <f>IFERROR(VLOOKUP('Tank Loss 1'!A168,'TANKS Data'!$G$96:$H$111,2,FALSE),"")</f>
        <v/>
      </c>
      <c r="K106" s="342">
        <f>IF(ISBLANK('Tank Loss 1'!G168),'Tank Loss 1'!F168,'Tank Loss 1'!G168)</f>
        <v>0</v>
      </c>
      <c r="L106" s="342">
        <f>IF(ISBLANK('Tank Loss 1'!I168),'Tank Loss 1'!H168,'Tank Loss 1'!I168)</f>
        <v>0</v>
      </c>
      <c r="M106" s="343">
        <f>IF(ISBLANK('Tank Loss 1'!K168),'Tank Loss 1'!J168,'Tank Loss 1'!K168)</f>
        <v>0</v>
      </c>
      <c r="N106" s="182">
        <v>11</v>
      </c>
      <c r="O106" s="176" t="str">
        <f>IFERROR(VLOOKUP('Tank Loss 2'!A168,'TANKS Data'!$G$96:$H$111,2,FALSE),"")</f>
        <v/>
      </c>
      <c r="P106" s="176">
        <f>IF(ISBLANK('Tank Loss 2'!G168),'Tank Loss 2'!F168,'Tank Loss 2'!G168)</f>
        <v>0</v>
      </c>
      <c r="Q106" s="176">
        <f>IF(ISBLANK('Tank Loss 2'!I168),'Tank Loss 2'!H168,'Tank Loss 2'!I168)</f>
        <v>0</v>
      </c>
      <c r="R106" s="184">
        <f>IF(ISBLANK('Tank Loss 2'!K168),'Tank Loss 2'!J168,'Tank Loss 2'!K168)</f>
        <v>0</v>
      </c>
      <c r="S106" s="341">
        <v>11</v>
      </c>
      <c r="T106" s="342" t="str">
        <f>IFERROR(VLOOKUP('Tank Loss 3'!A168,'TANKS Data'!$G$96:$H$111,2,FALSE),"")</f>
        <v/>
      </c>
      <c r="U106" s="342">
        <f>IF(ISBLANK('Tank Loss 3'!G168),'Tank Loss 3'!F168,'Tank Loss 3'!G168)</f>
        <v>0</v>
      </c>
      <c r="V106" s="342">
        <f>IF(ISBLANK('Tank Loss 3'!I168),'Tank Loss 3'!H168,'Tank Loss 3'!I168)</f>
        <v>0</v>
      </c>
      <c r="W106" s="343">
        <f>IF(ISBLANK('Tank Loss 3'!K168),'Tank Loss 3'!J168,'Tank Loss 3'!K168)</f>
        <v>0</v>
      </c>
      <c r="X106" s="182">
        <v>11</v>
      </c>
      <c r="Y106" s="176" t="str">
        <f>IFERROR(VLOOKUP('Tank Loss 4'!A168,'TANKS Data'!$G$96:$H$111,2,FALSE),"")</f>
        <v/>
      </c>
      <c r="Z106" s="176">
        <f>IF(ISBLANK('Tank Loss 4'!G168),'Tank Loss 4'!F168,'Tank Loss 4'!G168)</f>
        <v>0</v>
      </c>
      <c r="AA106" s="176">
        <f>IF(ISBLANK('Tank Loss 4'!I168),'Tank Loss 4'!H168,'Tank Loss 4'!I168)</f>
        <v>0</v>
      </c>
      <c r="AB106" s="184">
        <f>IF(ISBLANK('Tank Loss 4'!K168),'Tank Loss 4'!J168,'Tank Loss 4'!K168)</f>
        <v>0</v>
      </c>
      <c r="AC106" s="341">
        <v>11</v>
      </c>
      <c r="AD106" s="342" t="str">
        <f>IFERROR(VLOOKUP('Tank Loss 5'!A168,'TANKS Data'!$G$96:$H$111,2,FALSE),"")</f>
        <v/>
      </c>
      <c r="AE106" s="342">
        <f>IF(ISBLANK('Tank Loss 5'!G168),'Tank Loss 5'!F168,'Tank Loss 5'!G168)</f>
        <v>0</v>
      </c>
      <c r="AF106" s="342">
        <f>IF(ISBLANK('Tank Loss 5'!I168),'Tank Loss 5'!H168,'Tank Loss 5'!I168)</f>
        <v>0</v>
      </c>
      <c r="AG106" s="343">
        <f>IF(ISBLANK('Tank Loss 5'!K168),'Tank Loss 5'!J168,'Tank Loss 5'!K168)</f>
        <v>0</v>
      </c>
    </row>
    <row r="107" spans="1:33" x14ac:dyDescent="0.2">
      <c r="A107" s="106" t="str">
        <f>$B$102&amp;B107</f>
        <v>Fixed roof support column wellBuilt-up column, gasketed sliding cover</v>
      </c>
      <c r="B107" s="106" t="s">
        <v>9093</v>
      </c>
      <c r="C107" s="185">
        <v>33</v>
      </c>
      <c r="D107" s="185">
        <v>0</v>
      </c>
      <c r="E107" s="185">
        <v>0</v>
      </c>
      <c r="G107" s="182" t="s">
        <v>9072</v>
      </c>
      <c r="H107" s="183" t="s">
        <v>9073</v>
      </c>
      <c r="I107" s="341">
        <v>12</v>
      </c>
      <c r="J107" s="342" t="str">
        <f>IFERROR(VLOOKUP('Tank Loss 1'!A169,'TANKS Data'!$G$96:$H$111,2,FALSE),"")</f>
        <v/>
      </c>
      <c r="K107" s="342">
        <f>IF(ISBLANK('Tank Loss 1'!G169),'Tank Loss 1'!F169,'Tank Loss 1'!G169)</f>
        <v>0</v>
      </c>
      <c r="L107" s="342">
        <f>IF(ISBLANK('Tank Loss 1'!I169),'Tank Loss 1'!H169,'Tank Loss 1'!I169)</f>
        <v>0</v>
      </c>
      <c r="M107" s="343">
        <f>IF(ISBLANK('Tank Loss 1'!K169),'Tank Loss 1'!J169,'Tank Loss 1'!K169)</f>
        <v>0</v>
      </c>
      <c r="N107" s="182">
        <v>12</v>
      </c>
      <c r="O107" s="176" t="str">
        <f>IFERROR(VLOOKUP('Tank Loss 2'!A169,'TANKS Data'!$G$96:$H$111,2,FALSE),"")</f>
        <v/>
      </c>
      <c r="P107" s="176">
        <f>IF(ISBLANK('Tank Loss 2'!G169),'Tank Loss 2'!F169,'Tank Loss 2'!G169)</f>
        <v>0</v>
      </c>
      <c r="Q107" s="176">
        <f>IF(ISBLANK('Tank Loss 2'!I169),'Tank Loss 2'!H169,'Tank Loss 2'!I169)</f>
        <v>0</v>
      </c>
      <c r="R107" s="184">
        <f>IF(ISBLANK('Tank Loss 2'!K169),'Tank Loss 2'!J169,'Tank Loss 2'!K169)</f>
        <v>0</v>
      </c>
      <c r="S107" s="341">
        <v>12</v>
      </c>
      <c r="T107" s="342" t="str">
        <f>IFERROR(VLOOKUP('Tank Loss 3'!A169,'TANKS Data'!$G$96:$H$111,2,FALSE),"")</f>
        <v/>
      </c>
      <c r="U107" s="342">
        <f>IF(ISBLANK('Tank Loss 3'!G169),'Tank Loss 3'!F169,'Tank Loss 3'!G169)</f>
        <v>0</v>
      </c>
      <c r="V107" s="342">
        <f>IF(ISBLANK('Tank Loss 3'!I169),'Tank Loss 3'!H169,'Tank Loss 3'!I169)</f>
        <v>0</v>
      </c>
      <c r="W107" s="343">
        <f>IF(ISBLANK('Tank Loss 3'!K169),'Tank Loss 3'!J169,'Tank Loss 3'!K169)</f>
        <v>0</v>
      </c>
      <c r="X107" s="182">
        <v>12</v>
      </c>
      <c r="Y107" s="176" t="str">
        <f>IFERROR(VLOOKUP('Tank Loss 4'!A169,'TANKS Data'!$G$96:$H$111,2,FALSE),"")</f>
        <v/>
      </c>
      <c r="Z107" s="176">
        <f>IF(ISBLANK('Tank Loss 4'!G169),'Tank Loss 4'!F169,'Tank Loss 4'!G169)</f>
        <v>0</v>
      </c>
      <c r="AA107" s="176">
        <f>IF(ISBLANK('Tank Loss 4'!I169),'Tank Loss 4'!H169,'Tank Loss 4'!I169)</f>
        <v>0</v>
      </c>
      <c r="AB107" s="184">
        <f>IF(ISBLANK('Tank Loss 4'!K169),'Tank Loss 4'!J169,'Tank Loss 4'!K169)</f>
        <v>0</v>
      </c>
      <c r="AC107" s="341">
        <v>12</v>
      </c>
      <c r="AD107" s="342" t="str">
        <f>IFERROR(VLOOKUP('Tank Loss 5'!A169,'TANKS Data'!$G$96:$H$111,2,FALSE),"")</f>
        <v/>
      </c>
      <c r="AE107" s="342">
        <f>IF(ISBLANK('Tank Loss 5'!G169),'Tank Loss 5'!F169,'Tank Loss 5'!G169)</f>
        <v>0</v>
      </c>
      <c r="AF107" s="342">
        <f>IF(ISBLANK('Tank Loss 5'!I169),'Tank Loss 5'!H169,'Tank Loss 5'!I169)</f>
        <v>0</v>
      </c>
      <c r="AG107" s="343">
        <f>IF(ISBLANK('Tank Loss 5'!K169),'Tank Loss 5'!J169,'Tank Loss 5'!K169)</f>
        <v>0</v>
      </c>
    </row>
    <row r="108" spans="1:33" x14ac:dyDescent="0.2">
      <c r="C108" s="186"/>
      <c r="D108" s="186"/>
      <c r="E108" s="186"/>
      <c r="G108" s="182" t="s">
        <v>9082</v>
      </c>
      <c r="H108" s="183" t="s">
        <v>9083</v>
      </c>
      <c r="I108" s="341">
        <v>13</v>
      </c>
      <c r="J108" s="342" t="str">
        <f>IFERROR(VLOOKUP('Tank Loss 1'!A170,'TANKS Data'!$G$96:$H$111,2,FALSE),"")</f>
        <v/>
      </c>
      <c r="K108" s="342">
        <f>IF(ISBLANK('Tank Loss 1'!G170),'Tank Loss 1'!F170,'Tank Loss 1'!G170)</f>
        <v>0</v>
      </c>
      <c r="L108" s="342">
        <f>IF(ISBLANK('Tank Loss 1'!I170),'Tank Loss 1'!H170,'Tank Loss 1'!I170)</f>
        <v>0</v>
      </c>
      <c r="M108" s="343">
        <f>IF(ISBLANK('Tank Loss 1'!K170),'Tank Loss 1'!J170,'Tank Loss 1'!K170)</f>
        <v>0</v>
      </c>
      <c r="N108" s="182">
        <v>13</v>
      </c>
      <c r="O108" s="176" t="str">
        <f>IFERROR(VLOOKUP('Tank Loss 2'!A170,'TANKS Data'!$G$96:$H$111,2,FALSE),"")</f>
        <v/>
      </c>
      <c r="P108" s="176">
        <f>IF(ISBLANK('Tank Loss 2'!G170),'Tank Loss 2'!F170,'Tank Loss 2'!G170)</f>
        <v>0</v>
      </c>
      <c r="Q108" s="176">
        <f>IF(ISBLANK('Tank Loss 2'!I170),'Tank Loss 2'!H170,'Tank Loss 2'!I170)</f>
        <v>0</v>
      </c>
      <c r="R108" s="184">
        <f>IF(ISBLANK('Tank Loss 2'!K170),'Tank Loss 2'!J170,'Tank Loss 2'!K170)</f>
        <v>0</v>
      </c>
      <c r="S108" s="341">
        <v>13</v>
      </c>
      <c r="T108" s="342" t="str">
        <f>IFERROR(VLOOKUP('Tank Loss 3'!A170,'TANKS Data'!$G$96:$H$111,2,FALSE),"")</f>
        <v/>
      </c>
      <c r="U108" s="342">
        <f>IF(ISBLANK('Tank Loss 3'!G170),'Tank Loss 3'!F170,'Tank Loss 3'!G170)</f>
        <v>0</v>
      </c>
      <c r="V108" s="342">
        <f>IF(ISBLANK('Tank Loss 3'!I170),'Tank Loss 3'!H170,'Tank Loss 3'!I170)</f>
        <v>0</v>
      </c>
      <c r="W108" s="343">
        <f>IF(ISBLANK('Tank Loss 3'!K170),'Tank Loss 3'!J170,'Tank Loss 3'!K170)</f>
        <v>0</v>
      </c>
      <c r="X108" s="182">
        <v>13</v>
      </c>
      <c r="Y108" s="176" t="str">
        <f>IFERROR(VLOOKUP('Tank Loss 4'!A170,'TANKS Data'!$G$96:$H$111,2,FALSE),"")</f>
        <v/>
      </c>
      <c r="Z108" s="176">
        <f>IF(ISBLANK('Tank Loss 4'!G170),'Tank Loss 4'!F170,'Tank Loss 4'!G170)</f>
        <v>0</v>
      </c>
      <c r="AA108" s="176">
        <f>IF(ISBLANK('Tank Loss 4'!I170),'Tank Loss 4'!H170,'Tank Loss 4'!I170)</f>
        <v>0</v>
      </c>
      <c r="AB108" s="184">
        <f>IF(ISBLANK('Tank Loss 4'!K170),'Tank Loss 4'!J170,'Tank Loss 4'!K170)</f>
        <v>0</v>
      </c>
      <c r="AC108" s="341">
        <v>13</v>
      </c>
      <c r="AD108" s="342" t="str">
        <f>IFERROR(VLOOKUP('Tank Loss 5'!A170,'TANKS Data'!$G$96:$H$111,2,FALSE),"")</f>
        <v/>
      </c>
      <c r="AE108" s="342">
        <f>IF(ISBLANK('Tank Loss 5'!G170),'Tank Loss 5'!F170,'Tank Loss 5'!G170)</f>
        <v>0</v>
      </c>
      <c r="AF108" s="342">
        <f>IF(ISBLANK('Tank Loss 5'!I170),'Tank Loss 5'!H170,'Tank Loss 5'!I170)</f>
        <v>0</v>
      </c>
      <c r="AG108" s="343">
        <f>IF(ISBLANK('Tank Loss 5'!K170),'Tank Loss 5'!J170,'Tank Loss 5'!K170)</f>
        <v>0</v>
      </c>
    </row>
    <row r="109" spans="1:33" x14ac:dyDescent="0.2">
      <c r="B109" s="107" t="s">
        <v>9069</v>
      </c>
      <c r="C109" s="186"/>
      <c r="D109" s="186"/>
      <c r="E109" s="186"/>
      <c r="G109" s="182" t="s">
        <v>9069</v>
      </c>
      <c r="H109" s="183" t="s">
        <v>9070</v>
      </c>
      <c r="I109" s="341">
        <v>14</v>
      </c>
      <c r="J109" s="342" t="str">
        <f>IFERROR(VLOOKUP('Tank Loss 1'!A171,'TANKS Data'!$G$96:$H$111,2,FALSE),"")</f>
        <v/>
      </c>
      <c r="K109" s="342">
        <f>IF(ISBLANK('Tank Loss 1'!G171),'Tank Loss 1'!F171,'Tank Loss 1'!G171)</f>
        <v>0</v>
      </c>
      <c r="L109" s="342">
        <f>IF(ISBLANK('Tank Loss 1'!I171),'Tank Loss 1'!H171,'Tank Loss 1'!I171)</f>
        <v>0</v>
      </c>
      <c r="M109" s="343">
        <f>IF(ISBLANK('Tank Loss 1'!K171),'Tank Loss 1'!J171,'Tank Loss 1'!K171)</f>
        <v>0</v>
      </c>
      <c r="N109" s="182">
        <v>14</v>
      </c>
      <c r="O109" s="176" t="str">
        <f>IFERROR(VLOOKUP('Tank Loss 2'!A171,'TANKS Data'!$G$96:$H$111,2,FALSE),"")</f>
        <v/>
      </c>
      <c r="P109" s="176">
        <f>IF(ISBLANK('Tank Loss 2'!G171),'Tank Loss 2'!F171,'Tank Loss 2'!G171)</f>
        <v>0</v>
      </c>
      <c r="Q109" s="176">
        <f>IF(ISBLANK('Tank Loss 2'!I171),'Tank Loss 2'!H171,'Tank Loss 2'!I171)</f>
        <v>0</v>
      </c>
      <c r="R109" s="184">
        <f>IF(ISBLANK('Tank Loss 2'!K171),'Tank Loss 2'!J171,'Tank Loss 2'!K171)</f>
        <v>0</v>
      </c>
      <c r="S109" s="341">
        <v>14</v>
      </c>
      <c r="T109" s="342" t="str">
        <f>IFERROR(VLOOKUP('Tank Loss 3'!A171,'TANKS Data'!$G$96:$H$111,2,FALSE),"")</f>
        <v/>
      </c>
      <c r="U109" s="342">
        <f>IF(ISBLANK('Tank Loss 3'!G171),'Tank Loss 3'!F171,'Tank Loss 3'!G171)</f>
        <v>0</v>
      </c>
      <c r="V109" s="342">
        <f>IF(ISBLANK('Tank Loss 3'!I171),'Tank Loss 3'!H171,'Tank Loss 3'!I171)</f>
        <v>0</v>
      </c>
      <c r="W109" s="343">
        <f>IF(ISBLANK('Tank Loss 3'!K171),'Tank Loss 3'!J171,'Tank Loss 3'!K171)</f>
        <v>0</v>
      </c>
      <c r="X109" s="182">
        <v>14</v>
      </c>
      <c r="Y109" s="176" t="str">
        <f>IFERROR(VLOOKUP('Tank Loss 4'!A171,'TANKS Data'!$G$96:$H$111,2,FALSE),"")</f>
        <v/>
      </c>
      <c r="Z109" s="176">
        <f>IF(ISBLANK('Tank Loss 4'!G171),'Tank Loss 4'!F171,'Tank Loss 4'!G171)</f>
        <v>0</v>
      </c>
      <c r="AA109" s="176">
        <f>IF(ISBLANK('Tank Loss 4'!I171),'Tank Loss 4'!H171,'Tank Loss 4'!I171)</f>
        <v>0</v>
      </c>
      <c r="AB109" s="184">
        <f>IF(ISBLANK('Tank Loss 4'!K171),'Tank Loss 4'!J171,'Tank Loss 4'!K171)</f>
        <v>0</v>
      </c>
      <c r="AC109" s="341">
        <v>14</v>
      </c>
      <c r="AD109" s="342" t="str">
        <f>IFERROR(VLOOKUP('Tank Loss 5'!A171,'TANKS Data'!$G$96:$H$111,2,FALSE),"")</f>
        <v/>
      </c>
      <c r="AE109" s="342">
        <f>IF(ISBLANK('Tank Loss 5'!G171),'Tank Loss 5'!F171,'Tank Loss 5'!G171)</f>
        <v>0</v>
      </c>
      <c r="AF109" s="342">
        <f>IF(ISBLANK('Tank Loss 5'!I171),'Tank Loss 5'!H171,'Tank Loss 5'!I171)</f>
        <v>0</v>
      </c>
      <c r="AG109" s="343">
        <f>IF(ISBLANK('Tank Loss 5'!K171),'Tank Loss 5'!J171,'Tank Loss 5'!K171)</f>
        <v>0</v>
      </c>
    </row>
    <row r="110" spans="1:33" x14ac:dyDescent="0.2">
      <c r="A110" s="106" t="str">
        <f>$B$109&amp;B110</f>
        <v>Unslotted guide-pole and wellUngasketed sliding cover</v>
      </c>
      <c r="B110" s="106" t="s">
        <v>9100</v>
      </c>
      <c r="C110" s="185">
        <v>31</v>
      </c>
      <c r="D110" s="185">
        <v>150</v>
      </c>
      <c r="E110" s="185">
        <v>1.4</v>
      </c>
      <c r="G110" s="182" t="s">
        <v>9079</v>
      </c>
      <c r="H110" s="183" t="s">
        <v>9080</v>
      </c>
      <c r="I110" s="341">
        <v>15</v>
      </c>
      <c r="J110" s="342" t="str">
        <f>IFERROR(VLOOKUP('Tank Loss 1'!A172,'TANKS Data'!$G$96:$H$111,2,FALSE),"")</f>
        <v/>
      </c>
      <c r="K110" s="342">
        <f>IF(ISBLANK('Tank Loss 1'!G172),'Tank Loss 1'!F172,'Tank Loss 1'!G172)</f>
        <v>0</v>
      </c>
      <c r="L110" s="342">
        <f>IF(ISBLANK('Tank Loss 1'!I172),'Tank Loss 1'!H172,'Tank Loss 1'!I172)</f>
        <v>0</v>
      </c>
      <c r="M110" s="343">
        <f>IF(ISBLANK('Tank Loss 1'!K172),'Tank Loss 1'!J172,'Tank Loss 1'!K172)</f>
        <v>0</v>
      </c>
      <c r="N110" s="182">
        <v>15</v>
      </c>
      <c r="O110" s="176" t="str">
        <f>IFERROR(VLOOKUP('Tank Loss 2'!A172,'TANKS Data'!$G$96:$H$111,2,FALSE),"")</f>
        <v/>
      </c>
      <c r="P110" s="176">
        <f>IF(ISBLANK('Tank Loss 2'!G172),'Tank Loss 2'!F172,'Tank Loss 2'!G172)</f>
        <v>0</v>
      </c>
      <c r="Q110" s="176">
        <f>IF(ISBLANK('Tank Loss 2'!I172),'Tank Loss 2'!H172,'Tank Loss 2'!I172)</f>
        <v>0</v>
      </c>
      <c r="R110" s="184">
        <f>IF(ISBLANK('Tank Loss 2'!K172),'Tank Loss 2'!J172,'Tank Loss 2'!K172)</f>
        <v>0</v>
      </c>
      <c r="S110" s="341">
        <v>15</v>
      </c>
      <c r="T110" s="342" t="str">
        <f>IFERROR(VLOOKUP('Tank Loss 3'!A172,'TANKS Data'!$G$96:$H$111,2,FALSE),"")</f>
        <v/>
      </c>
      <c r="U110" s="342">
        <f>IF(ISBLANK('Tank Loss 3'!G172),'Tank Loss 3'!F172,'Tank Loss 3'!G172)</f>
        <v>0</v>
      </c>
      <c r="V110" s="342">
        <f>IF(ISBLANK('Tank Loss 3'!I172),'Tank Loss 3'!H172,'Tank Loss 3'!I172)</f>
        <v>0</v>
      </c>
      <c r="W110" s="343">
        <f>IF(ISBLANK('Tank Loss 3'!K172),'Tank Loss 3'!J172,'Tank Loss 3'!K172)</f>
        <v>0</v>
      </c>
      <c r="X110" s="182">
        <v>15</v>
      </c>
      <c r="Y110" s="176" t="str">
        <f>IFERROR(VLOOKUP('Tank Loss 4'!A172,'TANKS Data'!$G$96:$H$111,2,FALSE),"")</f>
        <v/>
      </c>
      <c r="Z110" s="176">
        <f>IF(ISBLANK('Tank Loss 4'!G172),'Tank Loss 4'!F172,'Tank Loss 4'!G172)</f>
        <v>0</v>
      </c>
      <c r="AA110" s="176">
        <f>IF(ISBLANK('Tank Loss 4'!I172),'Tank Loss 4'!H172,'Tank Loss 4'!I172)</f>
        <v>0</v>
      </c>
      <c r="AB110" s="184">
        <f>IF(ISBLANK('Tank Loss 4'!K172),'Tank Loss 4'!J172,'Tank Loss 4'!K172)</f>
        <v>0</v>
      </c>
      <c r="AC110" s="341">
        <v>15</v>
      </c>
      <c r="AD110" s="342" t="str">
        <f>IFERROR(VLOOKUP('Tank Loss 5'!A172,'TANKS Data'!$G$96:$H$111,2,FALSE),"")</f>
        <v/>
      </c>
      <c r="AE110" s="342">
        <f>IF(ISBLANK('Tank Loss 5'!G172),'Tank Loss 5'!F172,'Tank Loss 5'!G172)</f>
        <v>0</v>
      </c>
      <c r="AF110" s="342">
        <f>IF(ISBLANK('Tank Loss 5'!I172),'Tank Loss 5'!H172,'Tank Loss 5'!I172)</f>
        <v>0</v>
      </c>
      <c r="AG110" s="343">
        <f>IF(ISBLANK('Tank Loss 5'!K172),'Tank Loss 5'!J172,'Tank Loss 5'!K172)</f>
        <v>0</v>
      </c>
    </row>
    <row r="111" spans="1:33" ht="13.5" thickBot="1" x14ac:dyDescent="0.25">
      <c r="A111" s="106" t="str">
        <f>$B$109&amp;B111</f>
        <v>Unslotted guide-pole and wellUngasketed sliding cover w/pole sleeve</v>
      </c>
      <c r="B111" s="106" t="s">
        <v>9103</v>
      </c>
      <c r="C111" s="185">
        <v>25</v>
      </c>
      <c r="D111" s="185">
        <v>2.2000000000000002</v>
      </c>
      <c r="E111" s="185">
        <v>2.1</v>
      </c>
      <c r="G111" s="188" t="s">
        <v>9104</v>
      </c>
      <c r="H111" s="189" t="s">
        <v>9105</v>
      </c>
      <c r="I111" s="341">
        <v>16</v>
      </c>
      <c r="J111" s="342" t="str">
        <f>IFERROR(VLOOKUP('Tank Loss 1'!A173,'TANKS Data'!$G$96:$H$111,2,FALSE),"")</f>
        <v/>
      </c>
      <c r="K111" s="342">
        <f>IF(ISBLANK('Tank Loss 1'!G173),'Tank Loss 1'!F173,'Tank Loss 1'!G173)</f>
        <v>0</v>
      </c>
      <c r="L111" s="342">
        <f>IF(ISBLANK('Tank Loss 1'!I173),'Tank Loss 1'!H173,'Tank Loss 1'!I173)</f>
        <v>0</v>
      </c>
      <c r="M111" s="343">
        <f>IF(ISBLANK('Tank Loss 1'!K173),'Tank Loss 1'!J173,'Tank Loss 1'!K173)</f>
        <v>0</v>
      </c>
      <c r="N111" s="182">
        <v>16</v>
      </c>
      <c r="O111" s="176" t="str">
        <f>IFERROR(VLOOKUP('Tank Loss 2'!A173,'TANKS Data'!$G$96:$H$111,2,FALSE),"")</f>
        <v/>
      </c>
      <c r="P111" s="176">
        <f>IF(ISBLANK('Tank Loss 2'!G173),'Tank Loss 2'!F173,'Tank Loss 2'!G173)</f>
        <v>0</v>
      </c>
      <c r="Q111" s="176">
        <f>IF(ISBLANK('Tank Loss 2'!I173),'Tank Loss 2'!H173,'Tank Loss 2'!I173)</f>
        <v>0</v>
      </c>
      <c r="R111" s="184">
        <f>IF(ISBLANK('Tank Loss 2'!K173),'Tank Loss 2'!J173,'Tank Loss 2'!K173)</f>
        <v>0</v>
      </c>
      <c r="S111" s="341">
        <v>16</v>
      </c>
      <c r="T111" s="342" t="str">
        <f>IFERROR(VLOOKUP('Tank Loss 3'!A173,'TANKS Data'!$G$96:$H$111,2,FALSE),"")</f>
        <v/>
      </c>
      <c r="U111" s="342">
        <f>IF(ISBLANK('Tank Loss 3'!G173),'Tank Loss 3'!F173,'Tank Loss 3'!G173)</f>
        <v>0</v>
      </c>
      <c r="V111" s="342">
        <f>IF(ISBLANK('Tank Loss 3'!I173),'Tank Loss 3'!H173,'Tank Loss 3'!I173)</f>
        <v>0</v>
      </c>
      <c r="W111" s="343">
        <f>IF(ISBLANK('Tank Loss 3'!K173),'Tank Loss 3'!J173,'Tank Loss 3'!K173)</f>
        <v>0</v>
      </c>
      <c r="X111" s="182">
        <v>16</v>
      </c>
      <c r="Y111" s="176" t="str">
        <f>IFERROR(VLOOKUP('Tank Loss 4'!A173,'TANKS Data'!$G$96:$H$111,2,FALSE),"")</f>
        <v/>
      </c>
      <c r="Z111" s="176">
        <f>IF(ISBLANK('Tank Loss 4'!G173),'Tank Loss 4'!F173,'Tank Loss 4'!G173)</f>
        <v>0</v>
      </c>
      <c r="AA111" s="176">
        <f>IF(ISBLANK('Tank Loss 4'!I173),'Tank Loss 4'!H173,'Tank Loss 4'!I173)</f>
        <v>0</v>
      </c>
      <c r="AB111" s="184">
        <f>IF(ISBLANK('Tank Loss 4'!K173),'Tank Loss 4'!J173,'Tank Loss 4'!K173)</f>
        <v>0</v>
      </c>
      <c r="AC111" s="341">
        <v>16</v>
      </c>
      <c r="AD111" s="342" t="str">
        <f>IFERROR(VLOOKUP('Tank Loss 5'!A173,'TANKS Data'!$G$96:$H$111,2,FALSE),"")</f>
        <v/>
      </c>
      <c r="AE111" s="342">
        <f>IF(ISBLANK('Tank Loss 5'!G173),'Tank Loss 5'!F173,'Tank Loss 5'!G173)</f>
        <v>0</v>
      </c>
      <c r="AF111" s="342">
        <f>IF(ISBLANK('Tank Loss 5'!I173),'Tank Loss 5'!H173,'Tank Loss 5'!I173)</f>
        <v>0</v>
      </c>
      <c r="AG111" s="343">
        <f>IF(ISBLANK('Tank Loss 5'!K173),'Tank Loss 5'!J173,'Tank Loss 5'!K173)</f>
        <v>0</v>
      </c>
    </row>
    <row r="112" spans="1:33" x14ac:dyDescent="0.2">
      <c r="A112" s="106" t="str">
        <f>$B$109&amp;B112</f>
        <v>Unslotted guide-pole and wellGasketed sliding cover</v>
      </c>
      <c r="B112" s="106" t="s">
        <v>9106</v>
      </c>
      <c r="C112" s="185">
        <v>25</v>
      </c>
      <c r="D112" s="185">
        <v>13</v>
      </c>
      <c r="E112" s="185">
        <v>2.2000000000000002</v>
      </c>
      <c r="I112" s="341">
        <v>17</v>
      </c>
      <c r="J112" s="342" t="str">
        <f>IFERROR(VLOOKUP('Tank Loss 1'!A174,'TANKS Data'!$G$96:$H$111,2,FALSE),"")</f>
        <v/>
      </c>
      <c r="K112" s="342">
        <f>IF(ISBLANK('Tank Loss 1'!G174),'Tank Loss 1'!F174,'Tank Loss 1'!G174)</f>
        <v>0</v>
      </c>
      <c r="L112" s="342">
        <f>IF(ISBLANK('Tank Loss 1'!I174),'Tank Loss 1'!H174,'Tank Loss 1'!I174)</f>
        <v>0</v>
      </c>
      <c r="M112" s="343">
        <f>IF(ISBLANK('Tank Loss 1'!K174),'Tank Loss 1'!J174,'Tank Loss 1'!K174)</f>
        <v>0</v>
      </c>
      <c r="N112" s="182">
        <v>17</v>
      </c>
      <c r="O112" s="176" t="str">
        <f>IFERROR(VLOOKUP('Tank Loss 2'!A174,'TANKS Data'!$G$96:$H$111,2,FALSE),"")</f>
        <v/>
      </c>
      <c r="P112" s="176">
        <f>IF(ISBLANK('Tank Loss 2'!G174),'Tank Loss 2'!F174,'Tank Loss 2'!G174)</f>
        <v>0</v>
      </c>
      <c r="Q112" s="176">
        <f>IF(ISBLANK('Tank Loss 2'!I174),'Tank Loss 2'!H174,'Tank Loss 2'!I174)</f>
        <v>0</v>
      </c>
      <c r="R112" s="184">
        <f>IF(ISBLANK('Tank Loss 2'!K174),'Tank Loss 2'!J174,'Tank Loss 2'!K174)</f>
        <v>0</v>
      </c>
      <c r="S112" s="341">
        <v>17</v>
      </c>
      <c r="T112" s="342" t="str">
        <f>IFERROR(VLOOKUP('Tank Loss 3'!A174,'TANKS Data'!$G$96:$H$111,2,FALSE),"")</f>
        <v/>
      </c>
      <c r="U112" s="342">
        <f>IF(ISBLANK('Tank Loss 3'!G174),'Tank Loss 3'!F174,'Tank Loss 3'!G174)</f>
        <v>0</v>
      </c>
      <c r="V112" s="342">
        <f>IF(ISBLANK('Tank Loss 3'!I174),'Tank Loss 3'!H174,'Tank Loss 3'!I174)</f>
        <v>0</v>
      </c>
      <c r="W112" s="343">
        <f>IF(ISBLANK('Tank Loss 3'!K174),'Tank Loss 3'!J174,'Tank Loss 3'!K174)</f>
        <v>0</v>
      </c>
      <c r="X112" s="182">
        <v>17</v>
      </c>
      <c r="Y112" s="176" t="str">
        <f>IFERROR(VLOOKUP('Tank Loss 4'!A174,'TANKS Data'!$G$96:$H$111,2,FALSE),"")</f>
        <v/>
      </c>
      <c r="Z112" s="176">
        <f>IF(ISBLANK('Tank Loss 4'!G174),'Tank Loss 4'!F174,'Tank Loss 4'!G174)</f>
        <v>0</v>
      </c>
      <c r="AA112" s="176">
        <f>IF(ISBLANK('Tank Loss 4'!I174),'Tank Loss 4'!H174,'Tank Loss 4'!I174)</f>
        <v>0</v>
      </c>
      <c r="AB112" s="184">
        <f>IF(ISBLANK('Tank Loss 4'!K174),'Tank Loss 4'!J174,'Tank Loss 4'!K174)</f>
        <v>0</v>
      </c>
      <c r="AC112" s="341">
        <v>17</v>
      </c>
      <c r="AD112" s="342" t="str">
        <f>IFERROR(VLOOKUP('Tank Loss 5'!A174,'TANKS Data'!$G$96:$H$111,2,FALSE),"")</f>
        <v/>
      </c>
      <c r="AE112" s="342">
        <f>IF(ISBLANK('Tank Loss 5'!G174),'Tank Loss 5'!F174,'Tank Loss 5'!G174)</f>
        <v>0</v>
      </c>
      <c r="AF112" s="342">
        <f>IF(ISBLANK('Tank Loss 5'!I174),'Tank Loss 5'!H174,'Tank Loss 5'!I174)</f>
        <v>0</v>
      </c>
      <c r="AG112" s="343">
        <f>IF(ISBLANK('Tank Loss 5'!K174),'Tank Loss 5'!J174,'Tank Loss 5'!K174)</f>
        <v>0</v>
      </c>
    </row>
    <row r="113" spans="1:33" x14ac:dyDescent="0.2">
      <c r="A113" s="106" t="str">
        <f>$B$109&amp;B113</f>
        <v>Unslotted guide-pole and wellGasketed sliding cover w/pole wiper</v>
      </c>
      <c r="B113" s="106" t="s">
        <v>9107</v>
      </c>
      <c r="C113" s="185">
        <v>14</v>
      </c>
      <c r="D113" s="185">
        <v>3.7</v>
      </c>
      <c r="E113" s="185">
        <v>0.78</v>
      </c>
      <c r="I113" s="341">
        <v>18</v>
      </c>
      <c r="J113" s="342" t="str">
        <f>IFERROR(VLOOKUP('Tank Loss 1'!A175,'TANKS Data'!$G$96:$H$111,2,FALSE),"")</f>
        <v/>
      </c>
      <c r="K113" s="342">
        <f>IF(ISBLANK('Tank Loss 1'!G175),'Tank Loss 1'!F175,'Tank Loss 1'!G175)</f>
        <v>0</v>
      </c>
      <c r="L113" s="342">
        <f>IF(ISBLANK('Tank Loss 1'!I175),'Tank Loss 1'!H175,'Tank Loss 1'!I175)</f>
        <v>0</v>
      </c>
      <c r="M113" s="343">
        <f>IF(ISBLANK('Tank Loss 1'!K175),'Tank Loss 1'!J175,'Tank Loss 1'!K175)</f>
        <v>0</v>
      </c>
      <c r="N113" s="182">
        <v>18</v>
      </c>
      <c r="O113" s="176" t="str">
        <f>IFERROR(VLOOKUP('Tank Loss 2'!A175,'TANKS Data'!$G$96:$H$111,2,FALSE),"")</f>
        <v/>
      </c>
      <c r="P113" s="176">
        <f>IF(ISBLANK('Tank Loss 2'!G175),'Tank Loss 2'!F175,'Tank Loss 2'!G175)</f>
        <v>0</v>
      </c>
      <c r="Q113" s="176">
        <f>IF(ISBLANK('Tank Loss 2'!I175),'Tank Loss 2'!H175,'Tank Loss 2'!I175)</f>
        <v>0</v>
      </c>
      <c r="R113" s="184">
        <f>IF(ISBLANK('Tank Loss 2'!K175),'Tank Loss 2'!J175,'Tank Loss 2'!K175)</f>
        <v>0</v>
      </c>
      <c r="S113" s="341">
        <v>18</v>
      </c>
      <c r="T113" s="342" t="str">
        <f>IFERROR(VLOOKUP('Tank Loss 3'!A175,'TANKS Data'!$G$96:$H$111,2,FALSE),"")</f>
        <v/>
      </c>
      <c r="U113" s="342">
        <f>IF(ISBLANK('Tank Loss 3'!G175),'Tank Loss 3'!F175,'Tank Loss 3'!G175)</f>
        <v>0</v>
      </c>
      <c r="V113" s="342">
        <f>IF(ISBLANK('Tank Loss 3'!I175),'Tank Loss 3'!H175,'Tank Loss 3'!I175)</f>
        <v>0</v>
      </c>
      <c r="W113" s="343">
        <f>IF(ISBLANK('Tank Loss 3'!K175),'Tank Loss 3'!J175,'Tank Loss 3'!K175)</f>
        <v>0</v>
      </c>
      <c r="X113" s="182">
        <v>18</v>
      </c>
      <c r="Y113" s="176" t="str">
        <f>IFERROR(VLOOKUP('Tank Loss 4'!A175,'TANKS Data'!$G$96:$H$111,2,FALSE),"")</f>
        <v/>
      </c>
      <c r="Z113" s="176">
        <f>IF(ISBLANK('Tank Loss 4'!G175),'Tank Loss 4'!F175,'Tank Loss 4'!G175)</f>
        <v>0</v>
      </c>
      <c r="AA113" s="176">
        <f>IF(ISBLANK('Tank Loss 4'!I175),'Tank Loss 4'!H175,'Tank Loss 4'!I175)</f>
        <v>0</v>
      </c>
      <c r="AB113" s="184">
        <f>IF(ISBLANK('Tank Loss 4'!K175),'Tank Loss 4'!J175,'Tank Loss 4'!K175)</f>
        <v>0</v>
      </c>
      <c r="AC113" s="341">
        <v>18</v>
      </c>
      <c r="AD113" s="342" t="str">
        <f>IFERROR(VLOOKUP('Tank Loss 5'!A175,'TANKS Data'!$G$96:$H$111,2,FALSE),"")</f>
        <v/>
      </c>
      <c r="AE113" s="342">
        <f>IF(ISBLANK('Tank Loss 5'!G175),'Tank Loss 5'!F175,'Tank Loss 5'!G175)</f>
        <v>0</v>
      </c>
      <c r="AF113" s="342">
        <f>IF(ISBLANK('Tank Loss 5'!I175),'Tank Loss 5'!H175,'Tank Loss 5'!I175)</f>
        <v>0</v>
      </c>
      <c r="AG113" s="343">
        <f>IF(ISBLANK('Tank Loss 5'!K175),'Tank Loss 5'!J175,'Tank Loss 5'!K175)</f>
        <v>0</v>
      </c>
    </row>
    <row r="114" spans="1:33" x14ac:dyDescent="0.2">
      <c r="A114" s="106" t="str">
        <f>$B$109&amp;B114</f>
        <v>Unslotted guide-pole and wellGasketed sliding cover w/pole sleeve</v>
      </c>
      <c r="B114" s="106" t="s">
        <v>9108</v>
      </c>
      <c r="C114" s="185">
        <v>8.6</v>
      </c>
      <c r="D114" s="185">
        <v>12</v>
      </c>
      <c r="E114" s="185">
        <v>0.81</v>
      </c>
      <c r="I114" s="341">
        <v>19</v>
      </c>
      <c r="J114" s="342" t="str">
        <f>IFERROR(VLOOKUP('Tank Loss 1'!A176,'TANKS Data'!$G$96:$H$111,2,FALSE),"")</f>
        <v/>
      </c>
      <c r="K114" s="342">
        <f>IF(ISBLANK('Tank Loss 1'!G176),'Tank Loss 1'!F176,'Tank Loss 1'!G176)</f>
        <v>0</v>
      </c>
      <c r="L114" s="342">
        <f>IF(ISBLANK('Tank Loss 1'!I176),'Tank Loss 1'!H176,'Tank Loss 1'!I176)</f>
        <v>0</v>
      </c>
      <c r="M114" s="343">
        <f>IF(ISBLANK('Tank Loss 1'!K176),'Tank Loss 1'!J176,'Tank Loss 1'!K176)</f>
        <v>0</v>
      </c>
      <c r="N114" s="182">
        <v>19</v>
      </c>
      <c r="O114" s="176" t="str">
        <f>IFERROR(VLOOKUP('Tank Loss 2'!A176,'TANKS Data'!$G$96:$H$111,2,FALSE),"")</f>
        <v/>
      </c>
      <c r="P114" s="176">
        <f>IF(ISBLANK('Tank Loss 2'!G176),'Tank Loss 2'!F176,'Tank Loss 2'!G176)</f>
        <v>0</v>
      </c>
      <c r="Q114" s="176">
        <f>IF(ISBLANK('Tank Loss 2'!I176),'Tank Loss 2'!H176,'Tank Loss 2'!I176)</f>
        <v>0</v>
      </c>
      <c r="R114" s="184">
        <f>IF(ISBLANK('Tank Loss 2'!K176),'Tank Loss 2'!J176,'Tank Loss 2'!K176)</f>
        <v>0</v>
      </c>
      <c r="S114" s="341">
        <v>19</v>
      </c>
      <c r="T114" s="342" t="str">
        <f>IFERROR(VLOOKUP('Tank Loss 3'!A176,'TANKS Data'!$G$96:$H$111,2,FALSE),"")</f>
        <v/>
      </c>
      <c r="U114" s="342">
        <f>IF(ISBLANK('Tank Loss 3'!G176),'Tank Loss 3'!F176,'Tank Loss 3'!G176)</f>
        <v>0</v>
      </c>
      <c r="V114" s="342">
        <f>IF(ISBLANK('Tank Loss 3'!I176),'Tank Loss 3'!H176,'Tank Loss 3'!I176)</f>
        <v>0</v>
      </c>
      <c r="W114" s="343">
        <f>IF(ISBLANK('Tank Loss 3'!K176),'Tank Loss 3'!J176,'Tank Loss 3'!K176)</f>
        <v>0</v>
      </c>
      <c r="X114" s="182">
        <v>19</v>
      </c>
      <c r="Y114" s="176" t="str">
        <f>IFERROR(VLOOKUP('Tank Loss 4'!A176,'TANKS Data'!$G$96:$H$111,2,FALSE),"")</f>
        <v/>
      </c>
      <c r="Z114" s="176">
        <f>IF(ISBLANK('Tank Loss 4'!G176),'Tank Loss 4'!F176,'Tank Loss 4'!G176)</f>
        <v>0</v>
      </c>
      <c r="AA114" s="176">
        <f>IF(ISBLANK('Tank Loss 4'!I176),'Tank Loss 4'!H176,'Tank Loss 4'!I176)</f>
        <v>0</v>
      </c>
      <c r="AB114" s="184">
        <f>IF(ISBLANK('Tank Loss 4'!K176),'Tank Loss 4'!J176,'Tank Loss 4'!K176)</f>
        <v>0</v>
      </c>
      <c r="AC114" s="341">
        <v>19</v>
      </c>
      <c r="AD114" s="342" t="str">
        <f>IFERROR(VLOOKUP('Tank Loss 5'!A176,'TANKS Data'!$G$96:$H$111,2,FALSE),"")</f>
        <v/>
      </c>
      <c r="AE114" s="342">
        <f>IF(ISBLANK('Tank Loss 5'!G176),'Tank Loss 5'!F176,'Tank Loss 5'!G176)</f>
        <v>0</v>
      </c>
      <c r="AF114" s="342">
        <f>IF(ISBLANK('Tank Loss 5'!I176),'Tank Loss 5'!H176,'Tank Loss 5'!I176)</f>
        <v>0</v>
      </c>
      <c r="AG114" s="343">
        <f>IF(ISBLANK('Tank Loss 5'!K176),'Tank Loss 5'!J176,'Tank Loss 5'!K176)</f>
        <v>0</v>
      </c>
    </row>
    <row r="115" spans="1:33" ht="13.5" thickBot="1" x14ac:dyDescent="0.25">
      <c r="C115" s="186"/>
      <c r="D115" s="186"/>
      <c r="E115" s="186"/>
      <c r="I115" s="344">
        <v>20</v>
      </c>
      <c r="J115" s="345" t="str">
        <f>IFERROR(VLOOKUP('Tank Loss 1'!A177,'TANKS Data'!$G$96:$H$111,2,FALSE),"")</f>
        <v/>
      </c>
      <c r="K115" s="345">
        <f>IF(ISBLANK('Tank Loss 1'!G177),'Tank Loss 1'!F177,'Tank Loss 1'!G177)</f>
        <v>0</v>
      </c>
      <c r="L115" s="345">
        <f>IF(ISBLANK('Tank Loss 1'!I177),'Tank Loss 1'!H177,'Tank Loss 1'!I177)</f>
        <v>0</v>
      </c>
      <c r="M115" s="346">
        <f>IF(ISBLANK('Tank Loss 1'!K177),'Tank Loss 1'!J177,'Tank Loss 1'!K177)</f>
        <v>0</v>
      </c>
      <c r="N115" s="188">
        <v>20</v>
      </c>
      <c r="O115" s="190" t="str">
        <f>IFERROR(VLOOKUP('Tank Loss 2'!A177,'TANKS Data'!$G$96:$H$111,2,FALSE),"")</f>
        <v/>
      </c>
      <c r="P115" s="190">
        <f>IF(ISBLANK('Tank Loss 2'!G177),'Tank Loss 2'!F177,'Tank Loss 2'!G177)</f>
        <v>0</v>
      </c>
      <c r="Q115" s="190">
        <f>IF(ISBLANK('Tank Loss 2'!I177),'Tank Loss 2'!H177,'Tank Loss 2'!I177)</f>
        <v>0</v>
      </c>
      <c r="R115" s="191">
        <f>IF(ISBLANK('Tank Loss 2'!K177),'Tank Loss 2'!J177,'Tank Loss 2'!K177)</f>
        <v>0</v>
      </c>
      <c r="S115" s="344">
        <v>20</v>
      </c>
      <c r="T115" s="345" t="str">
        <f>IFERROR(VLOOKUP('Tank Loss 3'!A177,'TANKS Data'!$G$96:$H$111,2,FALSE),"")</f>
        <v/>
      </c>
      <c r="U115" s="345">
        <f>IF(ISBLANK('Tank Loss 3'!G177),'Tank Loss 3'!F177,'Tank Loss 3'!G177)</f>
        <v>0</v>
      </c>
      <c r="V115" s="345">
        <f>IF(ISBLANK('Tank Loss 3'!I177),'Tank Loss 3'!H177,'Tank Loss 3'!I177)</f>
        <v>0</v>
      </c>
      <c r="W115" s="346">
        <f>IF(ISBLANK('Tank Loss 3'!K177),'Tank Loss 3'!J177,'Tank Loss 3'!K177)</f>
        <v>0</v>
      </c>
      <c r="X115" s="188">
        <v>20</v>
      </c>
      <c r="Y115" s="190" t="str">
        <f>IFERROR(VLOOKUP('Tank Loss 4'!A177,'TANKS Data'!$G$96:$H$111,2,FALSE),"")</f>
        <v/>
      </c>
      <c r="Z115" s="190">
        <f>IF(ISBLANK('Tank Loss 4'!G177),'Tank Loss 4'!F177,'Tank Loss 4'!G177)</f>
        <v>0</v>
      </c>
      <c r="AA115" s="190">
        <f>IF(ISBLANK('Tank Loss 4'!I177),'Tank Loss 4'!H177,'Tank Loss 4'!I177)</f>
        <v>0</v>
      </c>
      <c r="AB115" s="191">
        <f>IF(ISBLANK('Tank Loss 4'!K177),'Tank Loss 4'!J177,'Tank Loss 4'!K177)</f>
        <v>0</v>
      </c>
      <c r="AC115" s="344">
        <v>20</v>
      </c>
      <c r="AD115" s="345" t="str">
        <f>IFERROR(VLOOKUP('Tank Loss 5'!A177,'TANKS Data'!$G$96:$H$111,2,FALSE),"")</f>
        <v/>
      </c>
      <c r="AE115" s="345">
        <f>IF(ISBLANK('Tank Loss 5'!G177),'Tank Loss 5'!F177,'Tank Loss 5'!G177)</f>
        <v>0</v>
      </c>
      <c r="AF115" s="345">
        <f>IF(ISBLANK('Tank Loss 5'!I177),'Tank Loss 5'!H177,'Tank Loss 5'!I177)</f>
        <v>0</v>
      </c>
      <c r="AG115" s="346">
        <f>IF(ISBLANK('Tank Loss 5'!K177),'Tank Loss 5'!J177,'Tank Loss 5'!K177)</f>
        <v>0</v>
      </c>
    </row>
    <row r="116" spans="1:33" x14ac:dyDescent="0.2">
      <c r="B116" s="107" t="s">
        <v>9072</v>
      </c>
      <c r="C116" s="186"/>
      <c r="D116" s="186"/>
      <c r="E116" s="186"/>
    </row>
    <row r="117" spans="1:33" x14ac:dyDescent="0.2">
      <c r="A117" s="106" t="str">
        <f>$B$116&amp;B117</f>
        <v>Slotted guide-pole/sample wellUngasketed or gasketed sliding cover</v>
      </c>
      <c r="B117" s="106" t="s">
        <v>9109</v>
      </c>
      <c r="C117" s="185">
        <v>43</v>
      </c>
      <c r="D117" s="185">
        <v>270</v>
      </c>
      <c r="E117" s="185">
        <v>1.4</v>
      </c>
    </row>
    <row r="118" spans="1:33" x14ac:dyDescent="0.2">
      <c r="A118" s="106" t="str">
        <f t="shared" ref="A118:A124" si="0">$B$116&amp;B118</f>
        <v>Slotted guide-pole/sample wellUngasketed or gasketed sliding cover, with float</v>
      </c>
      <c r="B118" s="106" t="s">
        <v>9110</v>
      </c>
      <c r="C118" s="185">
        <v>31</v>
      </c>
      <c r="D118" s="185">
        <v>36</v>
      </c>
      <c r="E118" s="185">
        <v>2</v>
      </c>
    </row>
    <row r="119" spans="1:33" x14ac:dyDescent="0.2">
      <c r="A119" s="106" t="str">
        <f t="shared" si="0"/>
        <v>Slotted guide-pole/sample wellGasketed sliding cover, with pole wiper</v>
      </c>
      <c r="B119" s="106" t="s">
        <v>9111</v>
      </c>
      <c r="C119" s="185">
        <v>41</v>
      </c>
      <c r="D119" s="185">
        <v>48</v>
      </c>
      <c r="E119" s="185">
        <v>1.4</v>
      </c>
    </row>
    <row r="120" spans="1:33" x14ac:dyDescent="0.2">
      <c r="A120" s="106" t="str">
        <f t="shared" si="0"/>
        <v>Slotted guide-pole/sample wellGasketed sliding cover, with pole sleeve</v>
      </c>
      <c r="B120" s="106" t="s">
        <v>9112</v>
      </c>
      <c r="C120" s="185">
        <v>11</v>
      </c>
      <c r="D120" s="185">
        <v>46</v>
      </c>
      <c r="E120" s="185">
        <v>1.4</v>
      </c>
    </row>
    <row r="121" spans="1:33" x14ac:dyDescent="0.2">
      <c r="A121" s="106" t="str">
        <f t="shared" si="0"/>
        <v>Slotted guide-pole/sample wellGasketed sliding cover, with pole sleeve and pole wiper</v>
      </c>
      <c r="B121" s="106" t="s">
        <v>9113</v>
      </c>
      <c r="C121" s="185">
        <v>8.3000000000000007</v>
      </c>
      <c r="D121" s="185">
        <v>4.4000000000000004</v>
      </c>
      <c r="E121" s="185">
        <v>1.6</v>
      </c>
    </row>
    <row r="122" spans="1:33" x14ac:dyDescent="0.2">
      <c r="A122" s="106" t="str">
        <f t="shared" si="0"/>
        <v>Slotted guide-pole/sample wellGasketed sliding cover, with float and pole wiper</v>
      </c>
      <c r="B122" s="106" t="s">
        <v>9114</v>
      </c>
      <c r="C122" s="185">
        <v>21</v>
      </c>
      <c r="D122" s="185">
        <v>7.9</v>
      </c>
      <c r="E122" s="185">
        <v>1.8</v>
      </c>
    </row>
    <row r="123" spans="1:33" x14ac:dyDescent="0.2">
      <c r="A123" s="106" t="str">
        <f t="shared" si="0"/>
        <v>Slotted guide-pole/sample wellGasketed sliding cover, with float, pole sleeve, and pole wiper</v>
      </c>
      <c r="B123" s="106" t="s">
        <v>9115</v>
      </c>
      <c r="C123" s="185">
        <v>11</v>
      </c>
      <c r="D123" s="185">
        <v>9.9</v>
      </c>
      <c r="E123" s="185">
        <v>0.89</v>
      </c>
    </row>
    <row r="124" spans="1:33" x14ac:dyDescent="0.2">
      <c r="A124" s="106" t="str">
        <f t="shared" si="0"/>
        <v>Slotted guide-pole/sample wellFlexible enclosure</v>
      </c>
      <c r="B124" s="106" t="s">
        <v>9116</v>
      </c>
      <c r="C124" s="185">
        <v>21</v>
      </c>
      <c r="D124" s="185">
        <v>7.9</v>
      </c>
      <c r="E124" s="185">
        <v>1.8</v>
      </c>
    </row>
    <row r="125" spans="1:33" x14ac:dyDescent="0.2">
      <c r="C125" s="186"/>
      <c r="D125" s="186"/>
      <c r="E125" s="186"/>
    </row>
    <row r="126" spans="1:33" x14ac:dyDescent="0.2">
      <c r="B126" s="107" t="s">
        <v>9075</v>
      </c>
      <c r="C126" s="186"/>
      <c r="D126" s="186"/>
      <c r="E126" s="186"/>
    </row>
    <row r="127" spans="1:33" x14ac:dyDescent="0.2">
      <c r="A127" s="106" t="str">
        <f>$B$126&amp;B127</f>
        <v>Gauge-float well (automatic gauge)Unbolted cover, ungasketed</v>
      </c>
      <c r="B127" s="106" t="s">
        <v>9071</v>
      </c>
      <c r="C127" s="185">
        <v>14</v>
      </c>
      <c r="D127" s="185">
        <v>5.4</v>
      </c>
      <c r="E127" s="185">
        <v>1.1000000000000001</v>
      </c>
    </row>
    <row r="128" spans="1:33" x14ac:dyDescent="0.2">
      <c r="A128" s="106" t="str">
        <f>$B$126&amp;B128</f>
        <v>Gauge-float well (automatic gauge)Unbolted cover, gasketed</v>
      </c>
      <c r="B128" s="106" t="s">
        <v>9074</v>
      </c>
      <c r="C128" s="185">
        <v>4.3</v>
      </c>
      <c r="D128" s="185">
        <v>17</v>
      </c>
      <c r="E128" s="185">
        <v>0.38</v>
      </c>
    </row>
    <row r="129" spans="1:5" x14ac:dyDescent="0.2">
      <c r="A129" s="106" t="str">
        <f>$B$126&amp;B129</f>
        <v>Gauge-float well (automatic gauge)Bolted cover, gasketed</v>
      </c>
      <c r="B129" s="106" t="s">
        <v>9068</v>
      </c>
      <c r="C129" s="185">
        <v>2.8</v>
      </c>
      <c r="D129" s="185">
        <v>0</v>
      </c>
      <c r="E129" s="185">
        <v>0</v>
      </c>
    </row>
    <row r="130" spans="1:5" x14ac:dyDescent="0.2">
      <c r="C130" s="186"/>
      <c r="D130" s="186"/>
      <c r="E130" s="186"/>
    </row>
    <row r="131" spans="1:5" x14ac:dyDescent="0.2">
      <c r="B131" s="107" t="s">
        <v>9077</v>
      </c>
      <c r="C131" s="186"/>
      <c r="D131" s="186"/>
      <c r="E131" s="186"/>
    </row>
    <row r="132" spans="1:5" x14ac:dyDescent="0.2">
      <c r="A132" s="106" t="str">
        <f>$B$131&amp;B132</f>
        <v>Gauge-hatch/sample portWeighted mechanical actuation, gasketed</v>
      </c>
      <c r="B132" s="106" t="s">
        <v>9117</v>
      </c>
      <c r="C132" s="185">
        <v>0.47</v>
      </c>
      <c r="D132" s="185">
        <v>0.02</v>
      </c>
      <c r="E132" s="185">
        <v>0.97</v>
      </c>
    </row>
    <row r="133" spans="1:5" x14ac:dyDescent="0.2">
      <c r="A133" s="106" t="str">
        <f>$B$131&amp;B133</f>
        <v>Gauge-hatch/sample portWeighted mechanical actuation, ungasketed</v>
      </c>
      <c r="B133" s="106" t="s">
        <v>9118</v>
      </c>
      <c r="C133" s="185">
        <v>2.2999999999999998</v>
      </c>
      <c r="D133" s="185">
        <v>0</v>
      </c>
      <c r="E133" s="185">
        <v>0</v>
      </c>
    </row>
    <row r="134" spans="1:5" x14ac:dyDescent="0.2">
      <c r="A134" s="106" t="str">
        <f>$B$131&amp;B134</f>
        <v>Gauge-hatch/sample portSlit fabric seal, 10% open area</v>
      </c>
      <c r="B134" s="106" t="s">
        <v>9119</v>
      </c>
      <c r="C134" s="185">
        <v>12</v>
      </c>
      <c r="D134" s="185">
        <v>0</v>
      </c>
      <c r="E134" s="185">
        <v>0</v>
      </c>
    </row>
    <row r="135" spans="1:5" x14ac:dyDescent="0.2">
      <c r="C135" s="186"/>
      <c r="D135" s="186"/>
      <c r="E135" s="186"/>
    </row>
    <row r="136" spans="1:5" x14ac:dyDescent="0.2">
      <c r="B136" s="107" t="s">
        <v>9079</v>
      </c>
      <c r="C136" s="186"/>
      <c r="D136" s="186"/>
      <c r="E136" s="186"/>
    </row>
    <row r="137" spans="1:5" x14ac:dyDescent="0.2">
      <c r="A137" s="106" t="str">
        <f>$B$136&amp;B137</f>
        <v>Vacuum breakerWeighted mechanical actuation, ungasketed</v>
      </c>
      <c r="B137" s="106" t="s">
        <v>9118</v>
      </c>
      <c r="C137" s="185">
        <v>7.8</v>
      </c>
      <c r="D137" s="185">
        <v>0.01</v>
      </c>
      <c r="E137" s="185">
        <v>4</v>
      </c>
    </row>
    <row r="138" spans="1:5" x14ac:dyDescent="0.2">
      <c r="A138" s="106" t="str">
        <f>$B$136&amp;B138</f>
        <v>Vacuum breakerWeighted mechanical actuation, gasketed</v>
      </c>
      <c r="B138" s="106" t="s">
        <v>9117</v>
      </c>
      <c r="C138" s="185">
        <v>6.2</v>
      </c>
      <c r="D138" s="185">
        <v>1.2</v>
      </c>
      <c r="E138" s="185">
        <v>0.94</v>
      </c>
    </row>
    <row r="139" spans="1:5" x14ac:dyDescent="0.2">
      <c r="C139" s="186"/>
      <c r="D139" s="186"/>
      <c r="E139" s="186"/>
    </row>
    <row r="140" spans="1:5" x14ac:dyDescent="0.2">
      <c r="A140" s="106" t="str">
        <f>$B$140&amp;B140</f>
        <v>Stub drain (1-inch diameter)Stub drain (1-inch diameter)</v>
      </c>
      <c r="B140" s="107" t="s">
        <v>9082</v>
      </c>
      <c r="C140" s="185">
        <v>1.2</v>
      </c>
      <c r="D140" s="185">
        <v>0</v>
      </c>
      <c r="E140" s="185">
        <v>0</v>
      </c>
    </row>
    <row r="141" spans="1:5" x14ac:dyDescent="0.2">
      <c r="C141" s="186"/>
      <c r="D141" s="186"/>
      <c r="E141" s="186"/>
    </row>
    <row r="142" spans="1:5" x14ac:dyDescent="0.2">
      <c r="B142" s="107" t="s">
        <v>9085</v>
      </c>
      <c r="C142" s="186"/>
      <c r="D142" s="186"/>
      <c r="E142" s="186"/>
    </row>
    <row r="143" spans="1:5" x14ac:dyDescent="0.2">
      <c r="A143" s="106" t="str">
        <f>$B$142&amp;B143</f>
        <v>Deck leg, IFR-type (total sleeve length approx. 12 inches)Adjustable</v>
      </c>
      <c r="B143" s="106" t="s">
        <v>9120</v>
      </c>
      <c r="C143" s="185">
        <v>7.9</v>
      </c>
      <c r="D143" s="185">
        <v>0</v>
      </c>
      <c r="E143" s="185">
        <v>0</v>
      </c>
    </row>
    <row r="144" spans="1:5" x14ac:dyDescent="0.2">
      <c r="C144" s="185"/>
      <c r="D144" s="185"/>
      <c r="E144" s="185"/>
    </row>
    <row r="145" spans="1:5" x14ac:dyDescent="0.2">
      <c r="B145" s="107" t="s">
        <v>9088</v>
      </c>
      <c r="C145" s="185"/>
      <c r="D145" s="185"/>
      <c r="E145" s="185"/>
    </row>
    <row r="146" spans="1:5" x14ac:dyDescent="0.2">
      <c r="A146" s="106" t="str">
        <f>$B$145&amp;B146</f>
        <v>Deck leg, EFR-type (pontoon area of pontoon roofs; total sleeve length approx. 30 inches)Adjustable, ungasketed</v>
      </c>
      <c r="B146" s="106" t="s">
        <v>9121</v>
      </c>
      <c r="C146" s="185">
        <v>2</v>
      </c>
      <c r="D146" s="185">
        <v>0.37</v>
      </c>
      <c r="E146" s="185">
        <v>0.91</v>
      </c>
    </row>
    <row r="147" spans="1:5" x14ac:dyDescent="0.2">
      <c r="A147" s="106" t="str">
        <f>$B$145&amp;B147</f>
        <v>Deck leg, EFR-type (pontoon area of pontoon roofs; total sleeve length approx. 30 inches)Adjustable, gasketed</v>
      </c>
      <c r="B147" s="106" t="s">
        <v>9122</v>
      </c>
      <c r="C147" s="185">
        <v>1.3</v>
      </c>
      <c r="D147" s="185">
        <v>0.08</v>
      </c>
      <c r="E147" s="185">
        <v>0.65</v>
      </c>
    </row>
    <row r="148" spans="1:5" x14ac:dyDescent="0.2">
      <c r="A148" s="106" t="str">
        <f>$B$145&amp;B148</f>
        <v>Deck leg, EFR-type (pontoon area of pontoon roofs; total sleeve length approx. 30 inches)Adjustable, sock</v>
      </c>
      <c r="B148" s="106" t="s">
        <v>9123</v>
      </c>
      <c r="C148" s="185">
        <v>1.2</v>
      </c>
      <c r="D148" s="185">
        <v>0.14000000000000001</v>
      </c>
      <c r="E148" s="185">
        <v>0.65</v>
      </c>
    </row>
    <row r="149" spans="1:5" x14ac:dyDescent="0.2">
      <c r="C149" s="185"/>
      <c r="D149" s="185"/>
      <c r="E149" s="185"/>
    </row>
    <row r="150" spans="1:5" x14ac:dyDescent="0.2">
      <c r="B150" s="107" t="s">
        <v>9091</v>
      </c>
      <c r="C150" s="185"/>
      <c r="D150" s="185"/>
      <c r="E150" s="185"/>
    </row>
    <row r="151" spans="1:5" x14ac:dyDescent="0.2">
      <c r="A151" s="106" t="str">
        <f>$B$150&amp;B151</f>
        <v>Deck leg, EFR-type (double-deck roofs and center area of pontoon roofs, total sleeve length approx. 48 inches)Adjustable, ungasketed</v>
      </c>
      <c r="B151" s="106" t="s">
        <v>9121</v>
      </c>
      <c r="C151" s="185">
        <v>0.82</v>
      </c>
      <c r="D151" s="185">
        <v>0.53</v>
      </c>
      <c r="E151" s="185">
        <v>0.14000000000000001</v>
      </c>
    </row>
    <row r="152" spans="1:5" x14ac:dyDescent="0.2">
      <c r="A152" s="106" t="str">
        <f>$B$150&amp;B152</f>
        <v>Deck leg, EFR-type (double-deck roofs and center area of pontoon roofs, total sleeve length approx. 48 inches)Adjustable, gasketed</v>
      </c>
      <c r="B152" s="106" t="s">
        <v>9122</v>
      </c>
      <c r="C152" s="185">
        <v>0.53</v>
      </c>
      <c r="D152" s="185">
        <v>0.11</v>
      </c>
      <c r="E152" s="185">
        <v>0.13</v>
      </c>
    </row>
    <row r="153" spans="1:5" x14ac:dyDescent="0.2">
      <c r="A153" s="106" t="str">
        <f>$B$150&amp;B153</f>
        <v>Deck leg, EFR-type (double-deck roofs and center area of pontoon roofs, total sleeve length approx. 48 inches)Adjustable, sock</v>
      </c>
      <c r="B153" s="106" t="s">
        <v>9123</v>
      </c>
      <c r="C153" s="185">
        <v>0.49</v>
      </c>
      <c r="D153" s="185">
        <v>0.16</v>
      </c>
      <c r="E153" s="185">
        <v>0.14000000000000001</v>
      </c>
    </row>
    <row r="154" spans="1:5" x14ac:dyDescent="0.2">
      <c r="C154" s="185"/>
      <c r="D154" s="185"/>
      <c r="E154" s="185"/>
    </row>
    <row r="155" spans="1:5" x14ac:dyDescent="0.2">
      <c r="B155" s="107" t="s">
        <v>9094</v>
      </c>
      <c r="C155" s="185"/>
      <c r="D155" s="185"/>
      <c r="E155" s="185"/>
    </row>
    <row r="156" spans="1:5" x14ac:dyDescent="0.2">
      <c r="A156" s="106" t="str">
        <f>$B$155&amp;B156</f>
        <v>Deck leg or hanger (no opening through deck)Fixed</v>
      </c>
      <c r="B156" s="106" t="s">
        <v>9124</v>
      </c>
      <c r="C156" s="185">
        <v>0</v>
      </c>
      <c r="D156" s="185">
        <v>0</v>
      </c>
      <c r="E156" s="185">
        <v>0</v>
      </c>
    </row>
    <row r="157" spans="1:5" x14ac:dyDescent="0.2">
      <c r="C157" s="186"/>
      <c r="D157" s="186"/>
      <c r="E157" s="186"/>
    </row>
    <row r="158" spans="1:5" x14ac:dyDescent="0.2">
      <c r="B158" s="107" t="s">
        <v>9096</v>
      </c>
      <c r="C158" s="186"/>
      <c r="D158" s="186"/>
      <c r="E158" s="186"/>
    </row>
    <row r="159" spans="1:5" x14ac:dyDescent="0.2">
      <c r="A159" s="106" t="str">
        <f>$B$158&amp;B159</f>
        <v>Rim ventWeighted mechanical actuation, ungasketed</v>
      </c>
      <c r="B159" s="106" t="s">
        <v>9118</v>
      </c>
      <c r="C159" s="185">
        <v>0.68</v>
      </c>
      <c r="D159" s="185">
        <v>1.8</v>
      </c>
      <c r="E159" s="185">
        <v>1</v>
      </c>
    </row>
    <row r="160" spans="1:5" x14ac:dyDescent="0.2">
      <c r="A160" s="106" t="str">
        <f>$B$158&amp;B160</f>
        <v>Rim ventWeighted mechanical actuation, gasketed</v>
      </c>
      <c r="B160" s="106" t="s">
        <v>9117</v>
      </c>
      <c r="C160" s="185">
        <v>0.71</v>
      </c>
      <c r="D160" s="185">
        <v>0.1</v>
      </c>
      <c r="E160" s="185">
        <v>1</v>
      </c>
    </row>
    <row r="161" spans="1:5" x14ac:dyDescent="0.2">
      <c r="C161" s="186"/>
      <c r="D161" s="186" t="s">
        <v>9051</v>
      </c>
      <c r="E161" s="186"/>
    </row>
    <row r="162" spans="1:5" x14ac:dyDescent="0.2">
      <c r="B162" s="107" t="s">
        <v>9098</v>
      </c>
      <c r="C162" s="186"/>
      <c r="D162" s="186"/>
      <c r="E162" s="186"/>
    </row>
    <row r="163" spans="1:5" x14ac:dyDescent="0.2">
      <c r="A163" s="106" t="str">
        <f>$B$162&amp;B163</f>
        <v>Ladder wellSliding cover, ungasketed</v>
      </c>
      <c r="B163" s="106" t="s">
        <v>9125</v>
      </c>
      <c r="C163" s="185">
        <v>98</v>
      </c>
      <c r="D163" s="185">
        <v>0</v>
      </c>
      <c r="E163" s="185">
        <v>0</v>
      </c>
    </row>
    <row r="164" spans="1:5" x14ac:dyDescent="0.2">
      <c r="A164" s="106" t="str">
        <f>$B$162&amp;B164</f>
        <v>Ladder wellSliding cover, gasketed</v>
      </c>
      <c r="B164" s="106" t="s">
        <v>9126</v>
      </c>
      <c r="C164" s="185">
        <v>56</v>
      </c>
      <c r="D164" s="185">
        <v>0</v>
      </c>
      <c r="E164" s="185">
        <v>0</v>
      </c>
    </row>
    <row r="165" spans="1:5" x14ac:dyDescent="0.2">
      <c r="C165" s="185"/>
      <c r="D165" s="185"/>
      <c r="E165" s="185"/>
    </row>
    <row r="166" spans="1:5" x14ac:dyDescent="0.2">
      <c r="B166" s="107" t="s">
        <v>9101</v>
      </c>
      <c r="C166" s="185"/>
      <c r="D166" s="185"/>
      <c r="E166" s="185"/>
    </row>
    <row r="167" spans="1:5" x14ac:dyDescent="0.2">
      <c r="A167" s="106" t="str">
        <f>$B$166&amp;B167</f>
        <v>Ladder-guidepole combination wellSliding cover, ungasketed</v>
      </c>
      <c r="B167" s="106" t="s">
        <v>9125</v>
      </c>
      <c r="C167" s="185">
        <v>98</v>
      </c>
      <c r="D167" s="185">
        <v>0</v>
      </c>
      <c r="E167" s="185">
        <v>0</v>
      </c>
    </row>
    <row r="168" spans="1:5" x14ac:dyDescent="0.2">
      <c r="A168" s="106" t="str">
        <f>$B$166&amp;B168</f>
        <v>Ladder-guidepole combination wellLadder sleeve, ungasketed sliding cover</v>
      </c>
      <c r="B168" s="106" t="s">
        <v>9127</v>
      </c>
      <c r="C168" s="185">
        <v>65</v>
      </c>
      <c r="D168" s="185">
        <v>0</v>
      </c>
      <c r="E168" s="185">
        <v>0</v>
      </c>
    </row>
    <row r="169" spans="1:5" x14ac:dyDescent="0.2">
      <c r="A169" s="106" t="str">
        <f>$B$166&amp;B169</f>
        <v>Ladder-guidepole combination wellLadder sleeve, gasketed sliding cover</v>
      </c>
      <c r="B169" s="106" t="s">
        <v>9128</v>
      </c>
      <c r="C169" s="185">
        <v>60</v>
      </c>
      <c r="D169" s="185">
        <v>0</v>
      </c>
      <c r="E169" s="185">
        <v>0</v>
      </c>
    </row>
    <row r="171" spans="1:5" x14ac:dyDescent="0.2">
      <c r="A171" s="1390" t="s">
        <v>9129</v>
      </c>
      <c r="B171" s="1390"/>
      <c r="C171" s="1390"/>
      <c r="D171" s="1390"/>
    </row>
    <row r="172" spans="1:5" x14ac:dyDescent="0.2">
      <c r="C172" s="1390" t="s">
        <v>9130</v>
      </c>
      <c r="D172" s="1390"/>
    </row>
    <row r="173" spans="1:5" x14ac:dyDescent="0.2">
      <c r="A173" s="106" t="s">
        <v>8625</v>
      </c>
      <c r="B173" s="106" t="s">
        <v>9131</v>
      </c>
      <c r="C173" s="106" t="s">
        <v>9132</v>
      </c>
      <c r="D173" s="106" t="s">
        <v>9133</v>
      </c>
      <c r="E173" s="106" t="s">
        <v>9134</v>
      </c>
    </row>
    <row r="174" spans="1:5" x14ac:dyDescent="0.2">
      <c r="A174" s="106" t="s">
        <v>9124</v>
      </c>
      <c r="B174" s="106" t="s">
        <v>9135</v>
      </c>
      <c r="C174" s="106">
        <v>0.39</v>
      </c>
      <c r="D174" s="106">
        <v>0.44</v>
      </c>
      <c r="E174" s="106">
        <v>0.49</v>
      </c>
    </row>
    <row r="175" spans="1:5" x14ac:dyDescent="0.2">
      <c r="B175" s="106" t="s">
        <v>9136</v>
      </c>
      <c r="C175" s="106">
        <v>0.6</v>
      </c>
      <c r="D175" s="106">
        <v>0.64</v>
      </c>
      <c r="E175" s="106">
        <v>0.68</v>
      </c>
    </row>
    <row r="176" spans="1:5" x14ac:dyDescent="0.2">
      <c r="B176" s="106" t="s">
        <v>9137</v>
      </c>
      <c r="C176" s="106">
        <v>0.1</v>
      </c>
      <c r="D176" s="106">
        <v>0.12</v>
      </c>
      <c r="E176" s="106">
        <v>0.15</v>
      </c>
    </row>
    <row r="177" spans="1:8" x14ac:dyDescent="0.2">
      <c r="B177" s="106" t="s">
        <v>9138</v>
      </c>
      <c r="C177" s="106">
        <v>0.35</v>
      </c>
      <c r="D177" s="106">
        <v>0.42</v>
      </c>
      <c r="E177" s="106">
        <v>0.49</v>
      </c>
    </row>
    <row r="178" spans="1:8" x14ac:dyDescent="0.2">
      <c r="B178" s="106" t="s">
        <v>9139</v>
      </c>
      <c r="C178" s="106">
        <v>0.97</v>
      </c>
      <c r="D178" s="106">
        <v>0.97</v>
      </c>
      <c r="E178" s="106">
        <v>0.97</v>
      </c>
    </row>
    <row r="179" spans="1:8" x14ac:dyDescent="0.2">
      <c r="B179" s="106" t="s">
        <v>35</v>
      </c>
      <c r="C179" s="106">
        <v>0.57999999999999996</v>
      </c>
      <c r="D179" s="106">
        <v>0.62</v>
      </c>
      <c r="E179" s="106">
        <v>0.67</v>
      </c>
    </row>
    <row r="180" spans="1:8" x14ac:dyDescent="0.2">
      <c r="B180" s="106" t="s">
        <v>9140</v>
      </c>
      <c r="C180" s="106">
        <v>0.54</v>
      </c>
      <c r="D180" s="106">
        <v>0.57999999999999996</v>
      </c>
      <c r="E180" s="106">
        <v>0.63</v>
      </c>
    </row>
    <row r="181" spans="1:8" x14ac:dyDescent="0.2">
      <c r="B181" s="106" t="s">
        <v>9141</v>
      </c>
      <c r="C181" s="106">
        <v>0.68</v>
      </c>
      <c r="D181" s="106">
        <v>0.71</v>
      </c>
      <c r="E181" s="106">
        <v>0.74</v>
      </c>
    </row>
    <row r="182" spans="1:8" x14ac:dyDescent="0.2">
      <c r="B182" s="106" t="s">
        <v>9142</v>
      </c>
      <c r="C182" s="106">
        <v>0.89</v>
      </c>
      <c r="D182" s="106">
        <v>0.9</v>
      </c>
      <c r="E182" s="106">
        <v>0.91</v>
      </c>
    </row>
    <row r="183" spans="1:8" x14ac:dyDescent="0.2">
      <c r="B183" s="106" t="s">
        <v>9143</v>
      </c>
      <c r="C183" s="106">
        <v>0.89</v>
      </c>
      <c r="D183" s="106">
        <v>0.9</v>
      </c>
      <c r="E183" s="106">
        <v>0.91</v>
      </c>
    </row>
    <row r="184" spans="1:8" x14ac:dyDescent="0.2">
      <c r="B184" s="106" t="s">
        <v>9144</v>
      </c>
      <c r="C184" s="106">
        <v>0.38</v>
      </c>
      <c r="D184" s="106">
        <v>0.44</v>
      </c>
      <c r="E184" s="106">
        <v>0.5</v>
      </c>
    </row>
    <row r="185" spans="1:8" x14ac:dyDescent="0.2">
      <c r="B185" s="106" t="s">
        <v>9145</v>
      </c>
      <c r="C185" s="106">
        <v>0.43</v>
      </c>
      <c r="D185" s="106">
        <v>0.49</v>
      </c>
      <c r="E185" s="106">
        <v>0.55000000000000004</v>
      </c>
    </row>
    <row r="186" spans="1:8" x14ac:dyDescent="0.2">
      <c r="B186" s="106" t="s">
        <v>9146</v>
      </c>
      <c r="C186" s="106">
        <v>0.17</v>
      </c>
      <c r="D186" s="106">
        <v>0.25</v>
      </c>
      <c r="E186" s="106">
        <v>0.34</v>
      </c>
    </row>
    <row r="188" spans="1:8" ht="57" x14ac:dyDescent="0.3">
      <c r="A188" s="106" t="s">
        <v>9147</v>
      </c>
      <c r="B188" s="108" t="s">
        <v>9943</v>
      </c>
      <c r="C188" s="108" t="s">
        <v>9944</v>
      </c>
      <c r="D188" s="108" t="s">
        <v>9148</v>
      </c>
      <c r="E188" s="108" t="s">
        <v>9945</v>
      </c>
      <c r="F188" s="108" t="s">
        <v>9946</v>
      </c>
      <c r="G188" s="108" t="s">
        <v>9149</v>
      </c>
      <c r="H188" s="108" t="s">
        <v>9150</v>
      </c>
    </row>
    <row r="189" spans="1:8" x14ac:dyDescent="0.2">
      <c r="A189" s="106" t="s">
        <v>9151</v>
      </c>
      <c r="B189" s="192">
        <v>76.2</v>
      </c>
      <c r="C189" s="192">
        <v>52.9</v>
      </c>
      <c r="D189" s="192">
        <f t="shared" ref="D189:D213" si="1">B189-C189</f>
        <v>23.300000000000004</v>
      </c>
      <c r="E189" s="192">
        <f t="shared" ref="E189:E213" si="2">(B189+C189)/2</f>
        <v>64.55</v>
      </c>
      <c r="F189" s="193">
        <v>1617</v>
      </c>
      <c r="G189" s="192">
        <v>10.9</v>
      </c>
      <c r="H189" s="194">
        <v>13.82</v>
      </c>
    </row>
    <row r="190" spans="1:8" x14ac:dyDescent="0.2">
      <c r="A190" s="106" t="s">
        <v>9152</v>
      </c>
      <c r="B190" s="192">
        <v>70.900000000000006</v>
      </c>
      <c r="C190" s="192">
        <v>43.8</v>
      </c>
      <c r="D190" s="192">
        <f t="shared" si="1"/>
        <v>27.100000000000009</v>
      </c>
      <c r="E190" s="192">
        <f t="shared" si="2"/>
        <v>57.35</v>
      </c>
      <c r="F190" s="193">
        <v>1585</v>
      </c>
      <c r="G190" s="192">
        <v>12.8</v>
      </c>
      <c r="H190" s="194">
        <v>12.92</v>
      </c>
    </row>
    <row r="191" spans="1:8" x14ac:dyDescent="0.2">
      <c r="A191" s="106" t="s">
        <v>9153</v>
      </c>
      <c r="B191" s="192">
        <v>79.7</v>
      </c>
      <c r="C191" s="192">
        <v>59</v>
      </c>
      <c r="D191" s="192">
        <f t="shared" si="1"/>
        <v>20.700000000000003</v>
      </c>
      <c r="E191" s="192">
        <f t="shared" si="2"/>
        <v>69.349999999999994</v>
      </c>
      <c r="F191" s="193">
        <v>1554</v>
      </c>
      <c r="G191" s="192">
        <v>6.8</v>
      </c>
      <c r="H191" s="194">
        <v>14.42</v>
      </c>
    </row>
    <row r="192" spans="1:8" x14ac:dyDescent="0.2">
      <c r="A192" s="106" t="s">
        <v>9154</v>
      </c>
      <c r="B192" s="192">
        <v>83.5</v>
      </c>
      <c r="C192" s="192">
        <v>65.400000000000006</v>
      </c>
      <c r="D192" s="192">
        <f t="shared" si="1"/>
        <v>18.099999999999994</v>
      </c>
      <c r="E192" s="192">
        <f t="shared" si="2"/>
        <v>74.45</v>
      </c>
      <c r="F192" s="193">
        <v>1522</v>
      </c>
      <c r="G192" s="192">
        <v>10.4</v>
      </c>
      <c r="H192" s="194">
        <v>14.72</v>
      </c>
    </row>
    <row r="193" spans="1:8" x14ac:dyDescent="0.2">
      <c r="A193" s="195" t="s">
        <v>9155</v>
      </c>
      <c r="B193" s="192">
        <v>67.8</v>
      </c>
      <c r="C193" s="192">
        <v>40.299999999999997</v>
      </c>
      <c r="D193" s="192">
        <f t="shared" si="1"/>
        <v>27.5</v>
      </c>
      <c r="E193" s="192">
        <f t="shared" si="2"/>
        <v>54.05</v>
      </c>
      <c r="F193" s="186"/>
      <c r="G193" s="192">
        <v>12.1</v>
      </c>
      <c r="H193" s="185">
        <v>14.7</v>
      </c>
    </row>
    <row r="194" spans="1:8" x14ac:dyDescent="0.2">
      <c r="A194" s="106" t="s">
        <v>9156</v>
      </c>
      <c r="B194" s="192">
        <v>81.599999999999994</v>
      </c>
      <c r="C194" s="192">
        <v>62.7</v>
      </c>
      <c r="D194" s="192">
        <f t="shared" si="1"/>
        <v>18.899999999999991</v>
      </c>
      <c r="E194" s="192">
        <f t="shared" si="2"/>
        <v>72.150000000000006</v>
      </c>
      <c r="F194" s="193">
        <v>1458</v>
      </c>
      <c r="G194" s="192">
        <v>11.7</v>
      </c>
      <c r="H194" s="194">
        <v>14.71</v>
      </c>
    </row>
    <row r="195" spans="1:8" x14ac:dyDescent="0.2">
      <c r="A195" s="106" t="s">
        <v>9157</v>
      </c>
      <c r="B195" s="192">
        <v>76.599999999999994</v>
      </c>
      <c r="C195" s="192">
        <v>55.9</v>
      </c>
      <c r="D195" s="192">
        <f t="shared" si="1"/>
        <v>20.699999999999996</v>
      </c>
      <c r="E195" s="192">
        <f t="shared" si="2"/>
        <v>66.25</v>
      </c>
      <c r="F195" s="193">
        <v>1554</v>
      </c>
      <c r="G195" s="192">
        <v>9.5</v>
      </c>
      <c r="H195" s="194">
        <v>14.45</v>
      </c>
    </row>
    <row r="196" spans="1:8" x14ac:dyDescent="0.2">
      <c r="A196" s="106" t="s">
        <v>9158</v>
      </c>
      <c r="B196" s="192">
        <v>81.599999999999994</v>
      </c>
      <c r="C196" s="192">
        <v>59.2</v>
      </c>
      <c r="D196" s="192">
        <f t="shared" si="1"/>
        <v>22.399999999999991</v>
      </c>
      <c r="E196" s="192">
        <f t="shared" si="2"/>
        <v>70.400000000000006</v>
      </c>
      <c r="F196" s="186"/>
      <c r="G196" s="192">
        <v>8.8000000000000007</v>
      </c>
      <c r="H196" s="185">
        <v>14.7</v>
      </c>
    </row>
    <row r="197" spans="1:8" x14ac:dyDescent="0.2">
      <c r="A197" s="195" t="s">
        <v>9159</v>
      </c>
      <c r="B197" s="192">
        <v>68.099999999999994</v>
      </c>
      <c r="C197" s="192">
        <v>42.6</v>
      </c>
      <c r="D197" s="192">
        <f t="shared" si="1"/>
        <v>25.499999999999993</v>
      </c>
      <c r="E197" s="192">
        <f t="shared" si="2"/>
        <v>55.349999999999994</v>
      </c>
      <c r="F197" s="193">
        <v>1554</v>
      </c>
      <c r="G197" s="192">
        <v>13.1</v>
      </c>
      <c r="H197" s="194">
        <v>13.42</v>
      </c>
    </row>
    <row r="198" spans="1:8" x14ac:dyDescent="0.2">
      <c r="A198" s="106" t="s">
        <v>9160</v>
      </c>
      <c r="B198" s="192">
        <v>77.400000000000006</v>
      </c>
      <c r="C198" s="192">
        <v>51.7</v>
      </c>
      <c r="D198" s="192">
        <f t="shared" si="1"/>
        <v>25.700000000000003</v>
      </c>
      <c r="E198" s="192">
        <f t="shared" si="2"/>
        <v>64.550000000000011</v>
      </c>
      <c r="F198" s="193">
        <v>1807</v>
      </c>
      <c r="G198" s="192">
        <v>8.1</v>
      </c>
      <c r="H198" s="194">
        <v>12.79</v>
      </c>
    </row>
    <row r="199" spans="1:8" x14ac:dyDescent="0.2">
      <c r="A199" s="195" t="s">
        <v>9161</v>
      </c>
      <c r="B199" s="192">
        <v>72.8</v>
      </c>
      <c r="C199" s="192">
        <v>50.6</v>
      </c>
      <c r="D199" s="192">
        <f t="shared" si="1"/>
        <v>22.199999999999996</v>
      </c>
      <c r="E199" s="192">
        <f t="shared" si="2"/>
        <v>61.7</v>
      </c>
      <c r="F199" s="193">
        <v>1458</v>
      </c>
      <c r="G199" s="192">
        <v>7.1</v>
      </c>
      <c r="H199" s="194">
        <v>14.52</v>
      </c>
    </row>
    <row r="200" spans="1:8" x14ac:dyDescent="0.2">
      <c r="A200" s="106" t="s">
        <v>9162</v>
      </c>
      <c r="B200" s="192">
        <v>76.599999999999994</v>
      </c>
      <c r="C200" s="192">
        <v>55.9</v>
      </c>
      <c r="D200" s="192">
        <f t="shared" si="1"/>
        <v>20.699999999999996</v>
      </c>
      <c r="E200" s="192">
        <f t="shared" si="2"/>
        <v>66.25</v>
      </c>
      <c r="F200" s="193">
        <v>1554</v>
      </c>
      <c r="G200" s="192">
        <v>9.5</v>
      </c>
      <c r="H200" s="194">
        <v>14.45</v>
      </c>
    </row>
    <row r="201" spans="1:8" x14ac:dyDescent="0.2">
      <c r="A201" s="106" t="s">
        <v>9163</v>
      </c>
      <c r="B201" s="192">
        <v>77.2</v>
      </c>
      <c r="C201" s="192">
        <v>65.3</v>
      </c>
      <c r="D201" s="192">
        <f t="shared" si="1"/>
        <v>11.900000000000006</v>
      </c>
      <c r="E201" s="192">
        <f t="shared" si="2"/>
        <v>71.25</v>
      </c>
      <c r="F201" s="186"/>
      <c r="G201" s="192">
        <v>11.1</v>
      </c>
      <c r="H201" s="185">
        <v>14.7</v>
      </c>
    </row>
    <row r="202" spans="1:8" x14ac:dyDescent="0.2">
      <c r="A202" s="106" t="s">
        <v>9164</v>
      </c>
      <c r="B202" s="192">
        <v>78.5</v>
      </c>
      <c r="C202" s="192">
        <v>60.5</v>
      </c>
      <c r="D202" s="192">
        <f t="shared" si="1"/>
        <v>18</v>
      </c>
      <c r="E202" s="192">
        <f t="shared" si="2"/>
        <v>69.5</v>
      </c>
      <c r="F202" s="193">
        <v>1395</v>
      </c>
      <c r="G202" s="192">
        <v>7.5</v>
      </c>
      <c r="H202" s="194">
        <v>14.71</v>
      </c>
    </row>
    <row r="203" spans="1:8" x14ac:dyDescent="0.2">
      <c r="A203" s="195" t="s">
        <v>9165</v>
      </c>
      <c r="B203" s="192">
        <v>78</v>
      </c>
      <c r="C203" s="192">
        <v>59.1</v>
      </c>
      <c r="D203" s="192">
        <f t="shared" si="1"/>
        <v>18.899999999999999</v>
      </c>
      <c r="E203" s="192">
        <f t="shared" si="2"/>
        <v>68.55</v>
      </c>
      <c r="F203" s="193">
        <v>1458</v>
      </c>
      <c r="G203" s="192">
        <v>7.6</v>
      </c>
      <c r="H203" s="194">
        <v>14.74</v>
      </c>
    </row>
    <row r="204" spans="1:8" x14ac:dyDescent="0.2">
      <c r="A204" s="106" t="s">
        <v>9166</v>
      </c>
      <c r="B204" s="192">
        <v>74.3</v>
      </c>
      <c r="C204" s="192">
        <v>47</v>
      </c>
      <c r="D204" s="192">
        <f t="shared" si="1"/>
        <v>27.299999999999997</v>
      </c>
      <c r="E204" s="192">
        <f t="shared" si="2"/>
        <v>60.65</v>
      </c>
      <c r="F204" s="193">
        <v>1617</v>
      </c>
      <c r="G204" s="192">
        <v>12</v>
      </c>
      <c r="H204" s="194">
        <v>13.11</v>
      </c>
    </row>
    <row r="205" spans="1:8" x14ac:dyDescent="0.2">
      <c r="A205" s="106" t="s">
        <v>9167</v>
      </c>
      <c r="B205" s="192">
        <v>77.3</v>
      </c>
      <c r="C205" s="192">
        <v>50.4</v>
      </c>
      <c r="D205" s="192">
        <f t="shared" si="1"/>
        <v>26.9</v>
      </c>
      <c r="E205" s="192">
        <f t="shared" si="2"/>
        <v>63.849999999999994</v>
      </c>
      <c r="F205" s="193">
        <v>1680</v>
      </c>
      <c r="G205" s="192">
        <v>10.9</v>
      </c>
      <c r="H205" s="194">
        <v>13.28</v>
      </c>
    </row>
    <row r="206" spans="1:8" x14ac:dyDescent="0.2">
      <c r="A206" s="106" t="s">
        <v>9168</v>
      </c>
      <c r="B206" s="192">
        <v>78.3</v>
      </c>
      <c r="C206" s="192">
        <v>59.7</v>
      </c>
      <c r="D206" s="192">
        <f t="shared" si="1"/>
        <v>18.599999999999994</v>
      </c>
      <c r="E206" s="192">
        <f t="shared" si="2"/>
        <v>69</v>
      </c>
      <c r="F206" s="193">
        <v>1458</v>
      </c>
      <c r="G206" s="192">
        <v>8.6</v>
      </c>
      <c r="H206" s="194">
        <v>14.75</v>
      </c>
    </row>
    <row r="207" spans="1:8" x14ac:dyDescent="0.2">
      <c r="A207" s="195" t="s">
        <v>9169</v>
      </c>
      <c r="B207" s="192">
        <v>75.400000000000006</v>
      </c>
      <c r="C207" s="192">
        <v>46.3</v>
      </c>
      <c r="D207" s="192">
        <f t="shared" si="1"/>
        <v>29.100000000000009</v>
      </c>
      <c r="E207" s="192">
        <f t="shared" si="2"/>
        <v>60.85</v>
      </c>
      <c r="F207" s="186"/>
      <c r="G207" s="192">
        <v>8.5</v>
      </c>
      <c r="H207" s="185">
        <v>14.7</v>
      </c>
    </row>
    <row r="208" spans="1:8" x14ac:dyDescent="0.2">
      <c r="A208" s="106" t="s">
        <v>9170</v>
      </c>
      <c r="B208" s="192">
        <v>78.2</v>
      </c>
      <c r="C208" s="192">
        <v>52.8</v>
      </c>
      <c r="D208" s="192">
        <f t="shared" si="1"/>
        <v>25.400000000000006</v>
      </c>
      <c r="E208" s="192">
        <f t="shared" si="2"/>
        <v>65.5</v>
      </c>
      <c r="F208" s="193">
        <v>1617</v>
      </c>
      <c r="G208" s="192">
        <v>9.6</v>
      </c>
      <c r="H208" s="194">
        <v>13.76</v>
      </c>
    </row>
    <row r="209" spans="1:8" x14ac:dyDescent="0.2">
      <c r="A209" s="106" t="s">
        <v>9171</v>
      </c>
      <c r="B209" s="192">
        <v>80.7</v>
      </c>
      <c r="C209" s="192">
        <v>58.9</v>
      </c>
      <c r="D209" s="192">
        <f t="shared" si="1"/>
        <v>21.800000000000004</v>
      </c>
      <c r="E209" s="192">
        <f t="shared" si="2"/>
        <v>69.8</v>
      </c>
      <c r="F209" s="193">
        <v>1554</v>
      </c>
      <c r="G209" s="192">
        <v>8.1999999999999993</v>
      </c>
      <c r="H209" s="194">
        <v>14.33</v>
      </c>
    </row>
    <row r="210" spans="1:8" x14ac:dyDescent="0.2">
      <c r="A210" s="195" t="s">
        <v>9172</v>
      </c>
      <c r="B210" s="192">
        <v>75.8</v>
      </c>
      <c r="C210" s="192">
        <v>55.1</v>
      </c>
      <c r="D210" s="192">
        <f t="shared" si="1"/>
        <v>20.699999999999996</v>
      </c>
      <c r="E210" s="192">
        <f t="shared" si="2"/>
        <v>65.45</v>
      </c>
      <c r="F210" s="193">
        <v>1458</v>
      </c>
      <c r="G210" s="192">
        <v>7.3</v>
      </c>
      <c r="H210" s="194">
        <v>14.62</v>
      </c>
    </row>
    <row r="211" spans="1:8" x14ac:dyDescent="0.2">
      <c r="A211" s="106" t="s">
        <v>9173</v>
      </c>
      <c r="B211" s="192">
        <v>80.7</v>
      </c>
      <c r="C211" s="192">
        <v>59.6</v>
      </c>
      <c r="D211" s="192">
        <f t="shared" si="1"/>
        <v>21.1</v>
      </c>
      <c r="E211" s="192">
        <f t="shared" si="2"/>
        <v>70.150000000000006</v>
      </c>
      <c r="F211" s="193">
        <v>1458</v>
      </c>
      <c r="G211" s="192">
        <v>9.4</v>
      </c>
      <c r="H211" s="194">
        <v>14.68</v>
      </c>
    </row>
    <row r="212" spans="1:8" x14ac:dyDescent="0.2">
      <c r="A212" s="106" t="s">
        <v>9174</v>
      </c>
      <c r="B212" s="192">
        <v>77.8</v>
      </c>
      <c r="C212" s="192">
        <v>55.7</v>
      </c>
      <c r="D212" s="192">
        <f t="shared" si="1"/>
        <v>22.099999999999994</v>
      </c>
      <c r="E212" s="192">
        <f t="shared" si="2"/>
        <v>66.75</v>
      </c>
      <c r="F212" s="193">
        <v>1554</v>
      </c>
      <c r="G212" s="192">
        <v>10</v>
      </c>
      <c r="H212" s="194">
        <v>14.47</v>
      </c>
    </row>
    <row r="213" spans="1:8" x14ac:dyDescent="0.2">
      <c r="A213" s="106" t="s">
        <v>9175</v>
      </c>
      <c r="B213" s="192">
        <v>75.7</v>
      </c>
      <c r="C213" s="192">
        <v>51</v>
      </c>
      <c r="D213" s="192">
        <f t="shared" si="1"/>
        <v>24.700000000000003</v>
      </c>
      <c r="E213" s="192">
        <f t="shared" si="2"/>
        <v>63.35</v>
      </c>
      <c r="F213" s="193">
        <v>1554</v>
      </c>
      <c r="G213" s="192">
        <v>11.2</v>
      </c>
      <c r="H213" s="194">
        <v>14.2</v>
      </c>
    </row>
    <row r="214" spans="1:8" ht="15" x14ac:dyDescent="0.25">
      <c r="B214" s="106" t="s">
        <v>9947</v>
      </c>
    </row>
    <row r="215" spans="1:8" x14ac:dyDescent="0.2">
      <c r="B215" s="106" t="s">
        <v>9176</v>
      </c>
    </row>
    <row r="216" spans="1:8" x14ac:dyDescent="0.2">
      <c r="B216" s="106" t="s">
        <v>9177</v>
      </c>
    </row>
    <row r="218" spans="1:8" x14ac:dyDescent="0.2">
      <c r="A218" s="1390" t="s">
        <v>9178</v>
      </c>
      <c r="B218" s="1390"/>
      <c r="C218" s="1390"/>
      <c r="D218" s="1390"/>
    </row>
    <row r="219" spans="1:8" x14ac:dyDescent="0.2">
      <c r="A219" s="106" t="s">
        <v>9179</v>
      </c>
      <c r="B219" s="106" t="s">
        <v>9180</v>
      </c>
      <c r="C219" s="106" t="s">
        <v>9181</v>
      </c>
      <c r="D219" s="106" t="s">
        <v>9182</v>
      </c>
    </row>
    <row r="220" spans="1:8" x14ac:dyDescent="0.2">
      <c r="A220" s="106" t="s">
        <v>9183</v>
      </c>
      <c r="B220" s="106">
        <v>1.5E-3</v>
      </c>
      <c r="C220" s="106">
        <v>7.4999999999999997E-3</v>
      </c>
      <c r="D220" s="106">
        <v>0.15</v>
      </c>
    </row>
    <row r="221" spans="1:8" x14ac:dyDescent="0.2">
      <c r="A221" s="106" t="s">
        <v>9184</v>
      </c>
      <c r="B221" s="106">
        <v>1.5E-3</v>
      </c>
      <c r="C221" s="106">
        <v>7.4999999999999997E-3</v>
      </c>
      <c r="D221" s="106">
        <v>0.15</v>
      </c>
    </row>
    <row r="222" spans="1:8" x14ac:dyDescent="0.2">
      <c r="A222" s="106" t="s">
        <v>9185</v>
      </c>
      <c r="B222" s="106">
        <v>6.0000000000000001E-3</v>
      </c>
      <c r="C222" s="106">
        <v>0.03</v>
      </c>
      <c r="D222" s="106">
        <v>0.6</v>
      </c>
    </row>
    <row r="224" spans="1:8" ht="31.5" customHeight="1" x14ac:dyDescent="0.2">
      <c r="A224" s="1391" t="s">
        <v>9186</v>
      </c>
      <c r="B224" s="1391"/>
      <c r="C224" s="1391"/>
    </row>
    <row r="225" spans="1:3" ht="27.75" customHeight="1" x14ac:dyDescent="0.2">
      <c r="A225" s="106" t="s">
        <v>9187</v>
      </c>
      <c r="B225" s="106" t="s">
        <v>9188</v>
      </c>
      <c r="C225" s="108" t="s">
        <v>9189</v>
      </c>
    </row>
    <row r="226" spans="1:3" x14ac:dyDescent="0.2">
      <c r="A226" s="106" t="s">
        <v>9190</v>
      </c>
      <c r="B226" s="106" t="s">
        <v>9191</v>
      </c>
      <c r="C226" s="106">
        <v>0.2</v>
      </c>
    </row>
    <row r="227" spans="1:3" x14ac:dyDescent="0.2">
      <c r="B227" s="106" t="s">
        <v>9192</v>
      </c>
      <c r="C227" s="106">
        <v>0.17</v>
      </c>
    </row>
    <row r="228" spans="1:3" x14ac:dyDescent="0.2">
      <c r="B228" s="106" t="s">
        <v>9193</v>
      </c>
      <c r="C228" s="106">
        <v>0.14000000000000001</v>
      </c>
    </row>
    <row r="229" spans="1:3" x14ac:dyDescent="0.2">
      <c r="A229" s="106" t="s">
        <v>9194</v>
      </c>
      <c r="B229" s="106" t="s">
        <v>9195</v>
      </c>
      <c r="C229" s="106">
        <v>0.33</v>
      </c>
    </row>
    <row r="230" spans="1:3" x14ac:dyDescent="0.2">
      <c r="B230" s="106" t="s">
        <v>9196</v>
      </c>
      <c r="C230" s="106">
        <v>0.25</v>
      </c>
    </row>
  </sheetData>
  <sheetProtection algorithmName="SHA-512" hashValue="hIejsrc9XzkA+LyYF6TQijseKhcad8fMnI9RuDBmEnEpTHbrtS1tDze1NR3ra3d5p5YKEAvKktuyXQBq9pSioQ==" saltValue="iYHb+ReOeEpFDW3hvWg7Jg==" spinCount="100000" sheet="1" objects="1" scenarios="1" formatColumns="0" formatRows="0" autoFilter="0"/>
  <sortState xmlns:xlrd2="http://schemas.microsoft.com/office/spreadsheetml/2017/richdata2" ref="G96:H110">
    <sortCondition ref="G96"/>
  </sortState>
  <mergeCells count="16">
    <mergeCell ref="B93:E93"/>
    <mergeCell ref="A1:F1"/>
    <mergeCell ref="E2:G2"/>
    <mergeCell ref="H2:J2"/>
    <mergeCell ref="B39:C39"/>
    <mergeCell ref="B52:C52"/>
    <mergeCell ref="C94:E94"/>
    <mergeCell ref="A171:D171"/>
    <mergeCell ref="C172:D172"/>
    <mergeCell ref="A218:D218"/>
    <mergeCell ref="A224:C224"/>
    <mergeCell ref="I94:M94"/>
    <mergeCell ref="N94:R94"/>
    <mergeCell ref="S94:W94"/>
    <mergeCell ref="X94:AB94"/>
    <mergeCell ref="AC94:AG94"/>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543FFF-96B7-4B88-A2B1-C1A50CB9230F}">
  <sheetPr codeName="Sheet32">
    <tabColor theme="1"/>
  </sheetPr>
  <dimension ref="A1:O294"/>
  <sheetViews>
    <sheetView workbookViewId="0"/>
  </sheetViews>
  <sheetFormatPr defaultRowHeight="12.75" x14ac:dyDescent="0.2"/>
  <cols>
    <col min="1" max="1" width="39" style="106" customWidth="1"/>
    <col min="2" max="2" width="10.42578125" style="106" bestFit="1" customWidth="1"/>
    <col min="3" max="10" width="9.140625" style="106"/>
    <col min="11" max="11" width="13.140625" style="106" customWidth="1"/>
    <col min="12" max="12" width="20" style="106" customWidth="1"/>
    <col min="13" max="13" width="9.42578125" style="106" bestFit="1" customWidth="1"/>
    <col min="14" max="14" width="10.7109375" style="106" bestFit="1" customWidth="1"/>
    <col min="15" max="15" width="11.85546875" style="106" bestFit="1" customWidth="1"/>
    <col min="16" max="16384" width="9.140625" style="106"/>
  </cols>
  <sheetData>
    <row r="1" spans="1:15" ht="12.75" customHeight="1" x14ac:dyDescent="0.2">
      <c r="A1" s="107"/>
      <c r="B1" s="107"/>
      <c r="C1" s="107"/>
      <c r="D1" s="107"/>
      <c r="E1" s="1394" t="s">
        <v>9197</v>
      </c>
      <c r="F1" s="1394"/>
      <c r="G1" s="1394"/>
      <c r="H1" s="1394"/>
      <c r="I1" s="1394"/>
      <c r="J1" s="107"/>
      <c r="K1" s="107"/>
      <c r="L1" s="107"/>
      <c r="M1" s="1395" t="s">
        <v>9198</v>
      </c>
      <c r="N1" s="1395"/>
      <c r="O1" s="1395"/>
    </row>
    <row r="2" spans="1:15" s="108" customFormat="1" ht="63.75" x14ac:dyDescent="0.2">
      <c r="A2" s="196" t="s">
        <v>9199</v>
      </c>
      <c r="B2" s="196" t="s">
        <v>9200</v>
      </c>
      <c r="C2" s="196" t="s">
        <v>9201</v>
      </c>
      <c r="D2" s="196" t="s">
        <v>9202</v>
      </c>
      <c r="E2" s="196" t="s">
        <v>9203</v>
      </c>
      <c r="F2" s="196" t="s">
        <v>9204</v>
      </c>
      <c r="G2" s="196" t="s">
        <v>9205</v>
      </c>
      <c r="H2" s="196" t="s">
        <v>9206</v>
      </c>
      <c r="I2" s="196" t="s">
        <v>9207</v>
      </c>
      <c r="J2" s="196" t="s">
        <v>9208</v>
      </c>
      <c r="K2" s="196" t="s">
        <v>9209</v>
      </c>
      <c r="L2" s="196" t="s">
        <v>9210</v>
      </c>
      <c r="M2" s="107" t="s">
        <v>9180</v>
      </c>
      <c r="N2" s="107" t="s">
        <v>9181</v>
      </c>
      <c r="O2" s="107" t="s">
        <v>9182</v>
      </c>
    </row>
    <row r="3" spans="1:15" x14ac:dyDescent="0.2">
      <c r="A3" s="106" t="s">
        <v>9211</v>
      </c>
      <c r="B3" s="106">
        <v>133.4</v>
      </c>
      <c r="C3" s="106">
        <v>11.18</v>
      </c>
      <c r="D3" s="106">
        <v>1.65</v>
      </c>
      <c r="E3" s="106">
        <v>8.7609999999999992</v>
      </c>
      <c r="F3" s="106">
        <v>2210.1999999999998</v>
      </c>
      <c r="G3" s="106">
        <v>308.05</v>
      </c>
      <c r="H3" s="106">
        <v>22</v>
      </c>
      <c r="I3" s="106">
        <v>62</v>
      </c>
      <c r="J3" s="106">
        <v>165</v>
      </c>
    </row>
    <row r="4" spans="1:15" x14ac:dyDescent="0.2">
      <c r="A4" s="106" t="s">
        <v>9212</v>
      </c>
      <c r="B4" s="106">
        <v>96.94</v>
      </c>
      <c r="C4" s="106">
        <v>10.130000000000001</v>
      </c>
      <c r="D4" s="106">
        <v>8.0960000000000001</v>
      </c>
      <c r="E4" s="106">
        <v>6.9829999999999997</v>
      </c>
      <c r="F4" s="106">
        <v>1104.7</v>
      </c>
      <c r="G4" s="106">
        <v>237.75</v>
      </c>
      <c r="H4" s="106">
        <v>-19</v>
      </c>
      <c r="I4" s="106">
        <v>90</v>
      </c>
      <c r="J4" s="106">
        <v>88</v>
      </c>
    </row>
    <row r="5" spans="1:15" x14ac:dyDescent="0.2">
      <c r="A5" s="108" t="s">
        <v>9213</v>
      </c>
      <c r="B5" s="106">
        <v>98.97</v>
      </c>
      <c r="C5" s="106">
        <v>9.8610000000000007</v>
      </c>
      <c r="D5" s="106">
        <v>2.9009999999999998</v>
      </c>
      <c r="J5" s="106">
        <v>135.1</v>
      </c>
    </row>
    <row r="6" spans="1:15" x14ac:dyDescent="0.2">
      <c r="A6" s="106" t="s">
        <v>9214</v>
      </c>
      <c r="B6" s="106">
        <v>74.12</v>
      </c>
      <c r="C6" s="106">
        <v>6.58</v>
      </c>
      <c r="D6" s="106">
        <v>0.42399999999999999</v>
      </c>
      <c r="E6" s="106">
        <v>7.3730000000000002</v>
      </c>
      <c r="F6" s="106">
        <v>1174.9000000000001</v>
      </c>
      <c r="G6" s="106">
        <v>179.23</v>
      </c>
      <c r="H6" s="106">
        <v>103</v>
      </c>
      <c r="I6" s="106">
        <v>180</v>
      </c>
      <c r="J6" s="106">
        <v>180</v>
      </c>
    </row>
    <row r="7" spans="1:15" x14ac:dyDescent="0.2">
      <c r="A7" s="106" t="s">
        <v>9215</v>
      </c>
      <c r="B7" s="106">
        <v>96.94</v>
      </c>
      <c r="C7" s="106">
        <v>10.76</v>
      </c>
      <c r="D7" s="106">
        <v>2.5790000000000002</v>
      </c>
      <c r="E7" s="106">
        <v>7.0220000000000002</v>
      </c>
      <c r="F7" s="106">
        <v>1205.4000000000001</v>
      </c>
      <c r="G7" s="106">
        <v>230.6</v>
      </c>
      <c r="H7" s="106">
        <v>32</v>
      </c>
      <c r="I7" s="106">
        <v>183</v>
      </c>
      <c r="J7" s="106">
        <v>141</v>
      </c>
    </row>
    <row r="8" spans="1:15" x14ac:dyDescent="0.2">
      <c r="A8" s="106" t="s">
        <v>9216</v>
      </c>
      <c r="B8" s="106">
        <v>76.09</v>
      </c>
      <c r="C8" s="106">
        <v>8.65</v>
      </c>
      <c r="D8" s="106">
        <v>9.3999999999999997E-4</v>
      </c>
      <c r="E8" s="106">
        <v>8.2080000000000002</v>
      </c>
      <c r="F8" s="106">
        <v>2085.9</v>
      </c>
      <c r="G8" s="106">
        <v>203.54</v>
      </c>
      <c r="H8" s="106">
        <v>368</v>
      </c>
    </row>
    <row r="9" spans="1:15" x14ac:dyDescent="0.2">
      <c r="A9" s="108" t="s">
        <v>9217</v>
      </c>
      <c r="B9" s="106">
        <v>98.97</v>
      </c>
      <c r="C9" s="106">
        <v>10.5</v>
      </c>
      <c r="D9" s="106">
        <v>1.0249999999999999</v>
      </c>
      <c r="J9" s="106">
        <v>182.5</v>
      </c>
    </row>
    <row r="10" spans="1:15" x14ac:dyDescent="0.2">
      <c r="A10" s="106" t="s">
        <v>9218</v>
      </c>
      <c r="B10" s="106">
        <v>106.17</v>
      </c>
      <c r="C10" s="106">
        <v>7.3550000000000004</v>
      </c>
      <c r="D10" s="106">
        <v>7.0999999999999994E-2</v>
      </c>
      <c r="E10" s="106">
        <v>6.9989999999999997</v>
      </c>
      <c r="F10" s="106">
        <v>1474.7</v>
      </c>
      <c r="G10" s="106">
        <v>213.69</v>
      </c>
      <c r="H10" s="106">
        <v>90</v>
      </c>
      <c r="I10" s="106">
        <v>342</v>
      </c>
      <c r="J10" s="106">
        <v>291</v>
      </c>
    </row>
    <row r="11" spans="1:15" x14ac:dyDescent="0.2">
      <c r="A11" s="106" t="s">
        <v>9219</v>
      </c>
      <c r="B11" s="106">
        <v>106.17</v>
      </c>
      <c r="C11" s="106">
        <v>7.21</v>
      </c>
      <c r="D11" s="106">
        <v>0.09</v>
      </c>
      <c r="E11" s="106">
        <v>7.0090000000000003</v>
      </c>
      <c r="F11" s="106">
        <v>1462.3</v>
      </c>
      <c r="G11" s="106">
        <v>215.11</v>
      </c>
      <c r="H11" s="106">
        <v>82</v>
      </c>
      <c r="I11" s="106">
        <v>331</v>
      </c>
      <c r="J11" s="106">
        <v>283</v>
      </c>
    </row>
    <row r="12" spans="1:15" x14ac:dyDescent="0.2">
      <c r="A12" s="106" t="s">
        <v>9220</v>
      </c>
      <c r="B12" s="106">
        <v>106.17</v>
      </c>
      <c r="C12" s="106">
        <v>7.19</v>
      </c>
      <c r="D12" s="106">
        <v>9.7000000000000003E-2</v>
      </c>
      <c r="E12" s="106">
        <v>7.0209999999999999</v>
      </c>
      <c r="F12" s="106">
        <v>1474.4</v>
      </c>
      <c r="G12" s="106">
        <v>217.77</v>
      </c>
      <c r="H12" s="106">
        <v>56</v>
      </c>
      <c r="I12" s="106">
        <v>355</v>
      </c>
      <c r="J12" s="106">
        <v>281</v>
      </c>
    </row>
    <row r="13" spans="1:15" x14ac:dyDescent="0.2">
      <c r="A13" s="108" t="s">
        <v>9221</v>
      </c>
      <c r="B13" s="106">
        <v>88.1</v>
      </c>
      <c r="C13" s="106">
        <v>8.6590000000000007</v>
      </c>
      <c r="D13" s="106">
        <v>0.42499999999999999</v>
      </c>
      <c r="J13" s="106">
        <v>214.7</v>
      </c>
    </row>
    <row r="14" spans="1:15" x14ac:dyDescent="0.2">
      <c r="A14" s="106" t="s">
        <v>9222</v>
      </c>
      <c r="B14" s="106">
        <v>126.58</v>
      </c>
      <c r="C14" s="106">
        <v>9.0399999999999991</v>
      </c>
      <c r="D14" s="106">
        <v>3.9E-2</v>
      </c>
      <c r="E14" s="106">
        <v>7.3630000000000004</v>
      </c>
      <c r="F14" s="106">
        <v>1768.1</v>
      </c>
      <c r="G14" s="106">
        <v>234.76</v>
      </c>
      <c r="H14" s="106">
        <v>42</v>
      </c>
      <c r="I14" s="106">
        <v>319</v>
      </c>
      <c r="J14" s="106">
        <v>318</v>
      </c>
    </row>
    <row r="15" spans="1:15" x14ac:dyDescent="0.2">
      <c r="A15" s="106" t="s">
        <v>9223</v>
      </c>
      <c r="B15" s="106">
        <v>92.57</v>
      </c>
      <c r="C15" s="106">
        <v>7.4</v>
      </c>
      <c r="D15" s="106">
        <v>1.2549999999999999</v>
      </c>
      <c r="E15" s="106">
        <v>6.8710000000000004</v>
      </c>
      <c r="F15" s="106">
        <v>1182.9000000000001</v>
      </c>
      <c r="G15" s="106">
        <v>218.27</v>
      </c>
      <c r="H15" s="106">
        <v>2</v>
      </c>
      <c r="I15" s="106">
        <v>173</v>
      </c>
      <c r="J15" s="106">
        <v>170</v>
      </c>
    </row>
    <row r="16" spans="1:15" x14ac:dyDescent="0.2">
      <c r="A16" s="106" t="s">
        <v>9224</v>
      </c>
      <c r="B16" s="106">
        <v>59.11</v>
      </c>
      <c r="C16" s="106">
        <v>5.99</v>
      </c>
      <c r="D16" s="106">
        <v>3.99</v>
      </c>
      <c r="E16" s="106">
        <v>6.9260000000000002</v>
      </c>
      <c r="F16" s="106">
        <v>1044</v>
      </c>
      <c r="G16" s="106">
        <v>210.84</v>
      </c>
      <c r="H16" s="106">
        <v>73</v>
      </c>
      <c r="I16" s="106">
        <v>172</v>
      </c>
      <c r="J16" s="106">
        <v>120</v>
      </c>
    </row>
    <row r="17" spans="1:10" x14ac:dyDescent="0.2">
      <c r="A17" s="106" t="s">
        <v>9225</v>
      </c>
      <c r="B17" s="106">
        <v>114.23</v>
      </c>
      <c r="C17" s="106">
        <v>5.76</v>
      </c>
      <c r="D17" s="106">
        <v>0.59599999999999997</v>
      </c>
      <c r="J17" s="106">
        <v>210.6</v>
      </c>
    </row>
    <row r="18" spans="1:10" x14ac:dyDescent="0.2">
      <c r="A18" s="106" t="s">
        <v>771</v>
      </c>
      <c r="B18" s="106">
        <v>114.23</v>
      </c>
      <c r="C18" s="106">
        <v>5.7477</v>
      </c>
      <c r="D18" s="106">
        <v>0.59599999999999997</v>
      </c>
      <c r="E18" s="106">
        <v>6.8120000000000003</v>
      </c>
      <c r="F18" s="106">
        <v>1257.8</v>
      </c>
      <c r="G18" s="106">
        <v>220.74</v>
      </c>
      <c r="H18" s="106">
        <v>76</v>
      </c>
      <c r="I18" s="106">
        <v>212</v>
      </c>
      <c r="J18" s="106">
        <v>211</v>
      </c>
    </row>
    <row r="19" spans="1:10" x14ac:dyDescent="0.2">
      <c r="A19" s="106" t="s">
        <v>9226</v>
      </c>
      <c r="B19" s="106">
        <v>72.11</v>
      </c>
      <c r="C19" s="106">
        <v>6.6877000000000004</v>
      </c>
      <c r="D19" s="106">
        <v>1.081</v>
      </c>
      <c r="E19" s="106">
        <v>6.8639999999999999</v>
      </c>
      <c r="F19" s="106">
        <v>1150.2</v>
      </c>
      <c r="G19" s="106">
        <v>209.25</v>
      </c>
      <c r="H19" s="106">
        <v>106</v>
      </c>
      <c r="I19" s="106">
        <v>207</v>
      </c>
      <c r="J19" s="106">
        <v>176</v>
      </c>
    </row>
    <row r="20" spans="1:10" x14ac:dyDescent="0.2">
      <c r="A20" s="106" t="s">
        <v>9227</v>
      </c>
      <c r="B20" s="106">
        <v>88.54</v>
      </c>
      <c r="C20" s="106">
        <v>7.98</v>
      </c>
      <c r="D20" s="106">
        <v>2.7360000000000002</v>
      </c>
      <c r="E20" s="106">
        <v>6.2910000000000004</v>
      </c>
      <c r="F20" s="106">
        <v>841.9</v>
      </c>
      <c r="G20" s="106">
        <v>187.79</v>
      </c>
      <c r="H20" s="106">
        <v>68</v>
      </c>
      <c r="I20" s="106">
        <v>140</v>
      </c>
      <c r="J20" s="106">
        <v>140</v>
      </c>
    </row>
    <row r="21" spans="1:10" x14ac:dyDescent="0.2">
      <c r="A21" s="106" t="s">
        <v>9228</v>
      </c>
      <c r="B21" s="106">
        <v>96.09</v>
      </c>
      <c r="C21" s="106">
        <v>9.68</v>
      </c>
      <c r="D21" s="106">
        <v>1.7999999999999999E-2</v>
      </c>
      <c r="E21" s="106">
        <v>6.9690000000000003</v>
      </c>
      <c r="F21" s="106">
        <v>1430.1</v>
      </c>
      <c r="G21" s="106">
        <v>188.7</v>
      </c>
      <c r="H21" s="106">
        <v>133</v>
      </c>
      <c r="I21" s="106">
        <v>321</v>
      </c>
      <c r="J21" s="106">
        <v>323</v>
      </c>
    </row>
    <row r="22" spans="1:10" x14ac:dyDescent="0.2">
      <c r="A22" s="106" t="s">
        <v>9229</v>
      </c>
      <c r="B22" s="106">
        <v>68.12</v>
      </c>
      <c r="C22" s="106">
        <v>5.67</v>
      </c>
      <c r="D22" s="106">
        <v>7.4459999999999997</v>
      </c>
      <c r="E22" s="106">
        <v>6.0910000000000002</v>
      </c>
      <c r="F22" s="106">
        <v>706.9</v>
      </c>
      <c r="G22" s="106">
        <v>186.1</v>
      </c>
      <c r="H22" s="106">
        <v>62</v>
      </c>
      <c r="I22" s="106">
        <v>93</v>
      </c>
      <c r="J22" s="106">
        <v>93</v>
      </c>
    </row>
    <row r="23" spans="1:10" x14ac:dyDescent="0.2">
      <c r="A23" s="106" t="s">
        <v>9230</v>
      </c>
      <c r="B23" s="106">
        <v>74.12</v>
      </c>
      <c r="C23" s="106">
        <v>6.69</v>
      </c>
      <c r="D23" s="106">
        <v>9.6000000000000002E-2</v>
      </c>
      <c r="E23" s="106">
        <v>7.306</v>
      </c>
      <c r="F23" s="106">
        <v>1237</v>
      </c>
      <c r="G23" s="106">
        <v>171.62</v>
      </c>
      <c r="H23" s="106">
        <v>176</v>
      </c>
      <c r="I23" s="106">
        <v>240</v>
      </c>
      <c r="J23" s="106">
        <v>226</v>
      </c>
    </row>
    <row r="24" spans="1:10" x14ac:dyDescent="0.2">
      <c r="A24" s="106" t="s">
        <v>9231</v>
      </c>
      <c r="B24" s="106">
        <v>70.13</v>
      </c>
      <c r="C24" s="106">
        <v>5.53</v>
      </c>
      <c r="D24" s="106">
        <v>6.21</v>
      </c>
      <c r="E24" s="106">
        <v>6.9219999999999997</v>
      </c>
      <c r="F24" s="106">
        <v>1098.5999999999999</v>
      </c>
      <c r="G24" s="106">
        <v>233.26</v>
      </c>
      <c r="H24" s="106">
        <v>37</v>
      </c>
      <c r="I24" s="106">
        <v>159</v>
      </c>
      <c r="J24" s="106">
        <v>100</v>
      </c>
    </row>
    <row r="25" spans="1:10" x14ac:dyDescent="0.2">
      <c r="A25" s="106" t="s">
        <v>9232</v>
      </c>
      <c r="B25" s="106">
        <v>67.09</v>
      </c>
      <c r="C25" s="106">
        <v>6.68</v>
      </c>
      <c r="D25" s="106">
        <v>0.88600000000000001</v>
      </c>
      <c r="E25" s="106">
        <v>6.9989999999999997</v>
      </c>
      <c r="F25" s="106">
        <v>1353.6</v>
      </c>
      <c r="G25" s="106">
        <v>238.03</v>
      </c>
      <c r="H25" s="106">
        <v>-48</v>
      </c>
      <c r="I25" s="106">
        <v>194</v>
      </c>
      <c r="J25" s="106">
        <v>194</v>
      </c>
    </row>
    <row r="26" spans="1:10" x14ac:dyDescent="0.2">
      <c r="A26" s="106" t="s">
        <v>9233</v>
      </c>
      <c r="B26" s="106">
        <v>72.150000000000006</v>
      </c>
      <c r="C26" s="106">
        <v>5.18</v>
      </c>
      <c r="D26" s="106">
        <v>9.4260000000000002</v>
      </c>
      <c r="E26" s="106">
        <v>6.79</v>
      </c>
      <c r="F26" s="106">
        <v>1020</v>
      </c>
      <c r="G26" s="106">
        <v>233.1</v>
      </c>
      <c r="H26" s="106">
        <v>61</v>
      </c>
      <c r="I26" s="106">
        <v>83</v>
      </c>
      <c r="J26" s="106">
        <v>82</v>
      </c>
    </row>
    <row r="27" spans="1:10" x14ac:dyDescent="0.2">
      <c r="A27" s="106" t="s">
        <v>9234</v>
      </c>
      <c r="B27" s="106">
        <v>108.14</v>
      </c>
      <c r="C27" s="106">
        <v>9.4777000000000005</v>
      </c>
      <c r="D27" s="106">
        <v>1.6000000000000001E-3</v>
      </c>
      <c r="E27" s="106">
        <v>6.843</v>
      </c>
      <c r="F27" s="106">
        <v>1391.3</v>
      </c>
      <c r="G27" s="106">
        <v>160.18</v>
      </c>
      <c r="H27" s="106">
        <v>248</v>
      </c>
      <c r="I27" s="106">
        <v>376</v>
      </c>
      <c r="J27" s="106">
        <v>376</v>
      </c>
    </row>
    <row r="28" spans="1:10" x14ac:dyDescent="0.2">
      <c r="A28" s="106" t="s">
        <v>9235</v>
      </c>
      <c r="B28" s="106">
        <v>53.06</v>
      </c>
      <c r="C28" s="106">
        <v>6.73</v>
      </c>
      <c r="D28" s="106">
        <v>1.383</v>
      </c>
      <c r="E28" s="106">
        <v>6.9420000000000002</v>
      </c>
      <c r="F28" s="106">
        <v>1255.9000000000001</v>
      </c>
      <c r="G28" s="106">
        <v>231.3</v>
      </c>
      <c r="H28" s="106">
        <v>-60</v>
      </c>
      <c r="I28" s="106">
        <v>172</v>
      </c>
      <c r="J28" s="106">
        <v>172</v>
      </c>
    </row>
    <row r="29" spans="1:10" x14ac:dyDescent="0.2">
      <c r="A29" s="106" t="s">
        <v>9236</v>
      </c>
      <c r="B29" s="106">
        <v>72.06</v>
      </c>
      <c r="C29" s="106">
        <v>8.77</v>
      </c>
      <c r="D29" s="106">
        <v>1.3440000000000001</v>
      </c>
      <c r="E29" s="106">
        <v>5.6520000000000001</v>
      </c>
      <c r="F29" s="106">
        <v>648.6</v>
      </c>
      <c r="G29" s="106">
        <v>154.68</v>
      </c>
      <c r="H29" s="106">
        <v>68</v>
      </c>
      <c r="I29" s="106">
        <v>158</v>
      </c>
      <c r="J29" s="106">
        <v>282</v>
      </c>
    </row>
    <row r="30" spans="1:10" x14ac:dyDescent="0.2">
      <c r="A30" s="106" t="s">
        <v>9237</v>
      </c>
      <c r="B30" s="106">
        <v>76.52</v>
      </c>
      <c r="C30" s="106">
        <v>7.83</v>
      </c>
      <c r="D30" s="106">
        <v>4.702</v>
      </c>
      <c r="E30" s="106">
        <v>5.2969999999999997</v>
      </c>
      <c r="F30" s="106">
        <v>418.4</v>
      </c>
      <c r="G30" s="106">
        <v>128.68</v>
      </c>
      <c r="H30" s="106">
        <v>55</v>
      </c>
      <c r="I30" s="106">
        <v>111</v>
      </c>
      <c r="J30" s="106">
        <v>113</v>
      </c>
    </row>
    <row r="31" spans="1:10" x14ac:dyDescent="0.2">
      <c r="A31" s="106" t="s">
        <v>9238</v>
      </c>
      <c r="B31" s="106">
        <v>93.13</v>
      </c>
      <c r="C31" s="106">
        <v>7.98</v>
      </c>
      <c r="D31" s="106">
        <v>6.4000000000000001E-2</v>
      </c>
      <c r="E31" s="106">
        <v>7.0540000000000003</v>
      </c>
      <c r="F31" s="106">
        <v>1484.3</v>
      </c>
      <c r="G31" s="106">
        <v>211.54</v>
      </c>
      <c r="H31" s="106">
        <v>165</v>
      </c>
      <c r="I31" s="106">
        <v>364</v>
      </c>
      <c r="J31" s="106">
        <v>291</v>
      </c>
    </row>
    <row r="32" spans="1:10" x14ac:dyDescent="0.2">
      <c r="A32" s="106" t="s">
        <v>9239</v>
      </c>
      <c r="B32" s="106">
        <v>108.14</v>
      </c>
      <c r="C32" s="106">
        <v>8.6300000000000008</v>
      </c>
      <c r="D32" s="106">
        <v>1.2999999999999999E-3</v>
      </c>
      <c r="E32" s="106">
        <v>7.4770000000000003</v>
      </c>
      <c r="F32" s="106">
        <v>1833.1</v>
      </c>
      <c r="G32" s="106">
        <v>196.74</v>
      </c>
      <c r="H32" s="106">
        <v>301</v>
      </c>
      <c r="I32" s="106">
        <v>394</v>
      </c>
      <c r="J32" s="106">
        <v>396</v>
      </c>
    </row>
    <row r="33" spans="1:15" x14ac:dyDescent="0.2">
      <c r="A33" s="106" t="s">
        <v>621</v>
      </c>
      <c r="B33" s="106">
        <v>86.13</v>
      </c>
      <c r="C33" s="106">
        <v>6.7676999999999996</v>
      </c>
      <c r="D33" s="106">
        <v>0.42299999999999999</v>
      </c>
      <c r="E33" s="106">
        <v>5.7409999999999997</v>
      </c>
      <c r="F33" s="106">
        <v>716.2</v>
      </c>
      <c r="G33" s="106">
        <v>147.16999999999999</v>
      </c>
      <c r="H33" s="106">
        <v>97</v>
      </c>
      <c r="I33" s="106">
        <v>215</v>
      </c>
      <c r="J33" s="106">
        <v>215</v>
      </c>
    </row>
    <row r="34" spans="1:15" x14ac:dyDescent="0.2">
      <c r="A34" s="106" t="s">
        <v>9240</v>
      </c>
      <c r="B34" s="106">
        <v>108.14</v>
      </c>
      <c r="C34" s="106">
        <v>8.5010399999999997</v>
      </c>
      <c r="D34" s="106">
        <v>6.2E-4</v>
      </c>
      <c r="E34" s="106">
        <v>7.016</v>
      </c>
      <c r="F34" s="106">
        <v>1498.6</v>
      </c>
      <c r="G34" s="106">
        <v>160.55000000000001</v>
      </c>
      <c r="H34" s="106">
        <v>262</v>
      </c>
      <c r="I34" s="106">
        <v>395</v>
      </c>
      <c r="J34" s="106">
        <v>395</v>
      </c>
    </row>
    <row r="35" spans="1:15" ht="12.75" customHeight="1" x14ac:dyDescent="0.2">
      <c r="A35" s="106" t="s">
        <v>9241</v>
      </c>
      <c r="B35" s="106">
        <v>44.05</v>
      </c>
      <c r="C35" s="106">
        <v>6.5464000000000002</v>
      </c>
      <c r="D35" s="106">
        <v>12.19</v>
      </c>
      <c r="E35" s="106">
        <v>8.0630000000000006</v>
      </c>
      <c r="F35" s="106">
        <v>1637.1</v>
      </c>
      <c r="G35" s="106">
        <v>295.47000000000003</v>
      </c>
      <c r="H35" s="106">
        <v>32</v>
      </c>
      <c r="I35" s="106">
        <v>94</v>
      </c>
      <c r="J35" s="106">
        <v>69</v>
      </c>
      <c r="M35" s="106">
        <v>6.0000000000000001E-3</v>
      </c>
      <c r="N35" s="106">
        <v>0.03</v>
      </c>
      <c r="O35" s="106">
        <v>0.6</v>
      </c>
    </row>
    <row r="36" spans="1:15" x14ac:dyDescent="0.2">
      <c r="A36" s="106" t="s">
        <v>9242</v>
      </c>
      <c r="B36" s="106">
        <v>60.05</v>
      </c>
      <c r="C36" s="106">
        <v>8.7277000000000005</v>
      </c>
      <c r="D36" s="106">
        <v>0.17599999999999999</v>
      </c>
      <c r="E36" s="106">
        <v>7.5570000000000004</v>
      </c>
      <c r="F36" s="106">
        <v>1642.5</v>
      </c>
      <c r="G36" s="106">
        <v>233.39</v>
      </c>
      <c r="H36" s="106">
        <v>63</v>
      </c>
      <c r="I36" s="106">
        <v>244</v>
      </c>
      <c r="J36" s="106">
        <v>244</v>
      </c>
    </row>
    <row r="37" spans="1:15" x14ac:dyDescent="0.2">
      <c r="A37" s="106" t="s">
        <v>9243</v>
      </c>
      <c r="B37" s="106">
        <v>102.09</v>
      </c>
      <c r="C37" s="106">
        <v>9.0299999999999994</v>
      </c>
      <c r="D37" s="106">
        <v>5.2999999999999999E-2</v>
      </c>
      <c r="E37" s="106">
        <v>7.1219999999999999</v>
      </c>
      <c r="F37" s="106">
        <v>1427.8</v>
      </c>
      <c r="G37" s="106">
        <v>198.04</v>
      </c>
      <c r="H37" s="106">
        <v>145</v>
      </c>
      <c r="I37" s="106">
        <v>283</v>
      </c>
      <c r="J37" s="106">
        <v>282</v>
      </c>
    </row>
    <row r="38" spans="1:15" x14ac:dyDescent="0.2">
      <c r="A38" s="106" t="s">
        <v>9244</v>
      </c>
      <c r="B38" s="106">
        <v>86.09</v>
      </c>
      <c r="C38" s="106">
        <v>7.78</v>
      </c>
      <c r="D38" s="106">
        <v>1.3959999999999999</v>
      </c>
      <c r="E38" s="106">
        <v>7.2149999999999999</v>
      </c>
      <c r="F38" s="106">
        <v>1299.0999999999999</v>
      </c>
      <c r="G38" s="106">
        <v>226.97</v>
      </c>
      <c r="H38" s="106">
        <v>71</v>
      </c>
      <c r="I38" s="106">
        <v>162</v>
      </c>
      <c r="J38" s="106">
        <v>163</v>
      </c>
    </row>
    <row r="39" spans="1:15" x14ac:dyDescent="0.2">
      <c r="A39" s="106" t="s">
        <v>9245</v>
      </c>
      <c r="B39" s="106">
        <v>102.09</v>
      </c>
      <c r="C39" s="106">
        <v>9.0299999999999994</v>
      </c>
      <c r="D39" s="106">
        <v>5.2999999999999999E-2</v>
      </c>
      <c r="E39" s="106">
        <v>7.1219999999999999</v>
      </c>
      <c r="F39" s="106">
        <v>1427.8</v>
      </c>
      <c r="G39" s="106">
        <v>198.04</v>
      </c>
      <c r="H39" s="106">
        <v>145</v>
      </c>
      <c r="I39" s="106">
        <v>283</v>
      </c>
      <c r="J39" s="106">
        <v>282</v>
      </c>
    </row>
    <row r="40" spans="1:15" x14ac:dyDescent="0.2">
      <c r="A40" s="106" t="s">
        <v>9246</v>
      </c>
      <c r="B40" s="106">
        <v>58.08</v>
      </c>
      <c r="C40" s="106">
        <v>6.5576999999999996</v>
      </c>
      <c r="D40" s="106">
        <v>2.9209999999999998</v>
      </c>
      <c r="E40" s="106">
        <v>7.3</v>
      </c>
      <c r="F40" s="106">
        <v>1312.3</v>
      </c>
      <c r="G40" s="106">
        <v>240.71</v>
      </c>
      <c r="H40" s="106">
        <v>7</v>
      </c>
      <c r="I40" s="106">
        <v>454</v>
      </c>
      <c r="J40" s="106">
        <v>133</v>
      </c>
    </row>
    <row r="41" spans="1:15" x14ac:dyDescent="0.2">
      <c r="A41" s="106" t="s">
        <v>9247</v>
      </c>
      <c r="B41" s="106">
        <v>41.05</v>
      </c>
      <c r="C41" s="106">
        <v>6.56</v>
      </c>
      <c r="D41" s="106">
        <v>1.0900000000000001</v>
      </c>
      <c r="E41" s="106">
        <v>7.1539999999999999</v>
      </c>
      <c r="F41" s="106">
        <v>1355.4</v>
      </c>
      <c r="G41" s="106">
        <v>235.3</v>
      </c>
      <c r="H41" s="106">
        <v>59</v>
      </c>
      <c r="I41" s="106">
        <v>192</v>
      </c>
      <c r="J41" s="106">
        <v>179</v>
      </c>
    </row>
    <row r="42" spans="1:15" x14ac:dyDescent="0.2">
      <c r="A42" s="106" t="s">
        <v>9248</v>
      </c>
      <c r="B42" s="106">
        <v>71.08</v>
      </c>
      <c r="C42" s="106">
        <v>9.36</v>
      </c>
      <c r="D42" s="106">
        <v>8.5699999999999996E-5</v>
      </c>
      <c r="E42" s="106">
        <v>11.292999999999999</v>
      </c>
      <c r="F42" s="106">
        <v>3939.9</v>
      </c>
      <c r="G42" s="106">
        <v>273.16000000000003</v>
      </c>
      <c r="H42" s="106">
        <v>379</v>
      </c>
    </row>
    <row r="43" spans="1:15" x14ac:dyDescent="0.2">
      <c r="A43" s="106" t="s">
        <v>9249</v>
      </c>
      <c r="B43" s="106">
        <v>72.06</v>
      </c>
      <c r="C43" s="106">
        <v>8.77</v>
      </c>
      <c r="D43" s="106">
        <v>1.3440000000000001</v>
      </c>
      <c r="E43" s="106">
        <v>5.6520000000000001</v>
      </c>
      <c r="F43" s="106">
        <v>648.6</v>
      </c>
      <c r="G43" s="106">
        <v>154.68</v>
      </c>
      <c r="H43" s="106">
        <v>68</v>
      </c>
      <c r="I43" s="106">
        <v>158</v>
      </c>
      <c r="J43" s="106">
        <v>282</v>
      </c>
    </row>
    <row r="44" spans="1:15" x14ac:dyDescent="0.2">
      <c r="A44" s="106" t="s">
        <v>9250</v>
      </c>
      <c r="B44" s="106">
        <v>53.06</v>
      </c>
      <c r="C44" s="106">
        <v>6.73</v>
      </c>
      <c r="D44" s="106">
        <v>1.383</v>
      </c>
      <c r="E44" s="106">
        <v>6.9420000000000002</v>
      </c>
      <c r="F44" s="106">
        <v>1255.9000000000001</v>
      </c>
      <c r="G44" s="106">
        <v>231.3</v>
      </c>
      <c r="H44" s="106">
        <v>-60</v>
      </c>
      <c r="I44" s="106">
        <v>172</v>
      </c>
      <c r="J44" s="106">
        <v>172</v>
      </c>
    </row>
    <row r="45" spans="1:15" x14ac:dyDescent="0.2">
      <c r="A45" s="106" t="s">
        <v>9251</v>
      </c>
      <c r="B45" s="106">
        <v>58.08</v>
      </c>
      <c r="C45" s="106">
        <v>7.13</v>
      </c>
      <c r="D45" s="106">
        <v>0.32600000000000001</v>
      </c>
      <c r="E45" s="106">
        <v>11.657999999999999</v>
      </c>
      <c r="F45" s="106">
        <v>4510.2</v>
      </c>
      <c r="G45" s="106">
        <v>416.8</v>
      </c>
      <c r="H45" s="106">
        <v>70</v>
      </c>
      <c r="I45" s="106">
        <v>207</v>
      </c>
      <c r="J45" s="106">
        <v>206</v>
      </c>
    </row>
    <row r="46" spans="1:15" x14ac:dyDescent="0.2">
      <c r="A46" s="106" t="s">
        <v>9252</v>
      </c>
      <c r="B46" s="106">
        <v>76.52</v>
      </c>
      <c r="C46" s="106">
        <v>7.83</v>
      </c>
      <c r="D46" s="106">
        <v>4.702</v>
      </c>
      <c r="E46" s="106">
        <v>5.2969999999999997</v>
      </c>
      <c r="F46" s="106">
        <v>418.4</v>
      </c>
      <c r="G46" s="106">
        <v>128.68</v>
      </c>
      <c r="H46" s="106">
        <v>55</v>
      </c>
      <c r="I46" s="106">
        <v>111</v>
      </c>
      <c r="J46" s="106">
        <v>113</v>
      </c>
    </row>
    <row r="47" spans="1:15" x14ac:dyDescent="0.2">
      <c r="A47" s="108" t="s">
        <v>9253</v>
      </c>
      <c r="B47" s="106">
        <v>35.049999999999997</v>
      </c>
      <c r="C47" s="106">
        <v>7.4809999999999999</v>
      </c>
      <c r="D47" s="106">
        <v>8.48</v>
      </c>
      <c r="J47" s="106">
        <v>83</v>
      </c>
    </row>
    <row r="48" spans="1:15" x14ac:dyDescent="0.2">
      <c r="A48" s="106" t="s">
        <v>9254</v>
      </c>
      <c r="B48" s="106">
        <v>93.13</v>
      </c>
      <c r="C48" s="106">
        <v>8.5299999999999994</v>
      </c>
      <c r="D48" s="106">
        <v>5.7999999999999996E-3</v>
      </c>
      <c r="E48" s="106">
        <v>7.2210000000000001</v>
      </c>
      <c r="F48" s="106">
        <v>1661.9</v>
      </c>
      <c r="G48" s="106">
        <v>199.1</v>
      </c>
      <c r="H48" s="106">
        <v>88</v>
      </c>
      <c r="I48" s="106">
        <v>363</v>
      </c>
      <c r="J48" s="106">
        <v>363</v>
      </c>
    </row>
    <row r="49" spans="1:15" x14ac:dyDescent="0.2">
      <c r="A49" s="106" t="s">
        <v>9255</v>
      </c>
    </row>
    <row r="50" spans="1:15" x14ac:dyDescent="0.2">
      <c r="A50" s="106" t="s">
        <v>9256</v>
      </c>
      <c r="B50" s="106">
        <v>228.29</v>
      </c>
      <c r="D50" s="106">
        <v>7.9199999999999995E-10</v>
      </c>
      <c r="E50" s="106">
        <v>11.528</v>
      </c>
      <c r="F50" s="106">
        <v>5461</v>
      </c>
      <c r="G50" s="106">
        <v>273.14999999999998</v>
      </c>
      <c r="H50" s="106">
        <v>219</v>
      </c>
      <c r="I50" s="106">
        <v>260</v>
      </c>
      <c r="J50" s="106">
        <v>820</v>
      </c>
    </row>
    <row r="51" spans="1:15" x14ac:dyDescent="0.2">
      <c r="A51" s="106" t="s">
        <v>9257</v>
      </c>
      <c r="B51" s="106">
        <v>78.11</v>
      </c>
      <c r="C51" s="106">
        <v>7.32</v>
      </c>
      <c r="D51" s="106">
        <v>1.171</v>
      </c>
      <c r="E51" s="106">
        <v>6.9059999999999997</v>
      </c>
      <c r="F51" s="106">
        <v>1211</v>
      </c>
      <c r="G51" s="106">
        <v>220.79</v>
      </c>
      <c r="H51" s="106">
        <v>46</v>
      </c>
      <c r="I51" s="106">
        <v>217</v>
      </c>
      <c r="J51" s="106">
        <v>176</v>
      </c>
    </row>
    <row r="52" spans="1:15" x14ac:dyDescent="0.2">
      <c r="A52" s="106" t="s">
        <v>9258</v>
      </c>
      <c r="B52" s="106">
        <v>228.29</v>
      </c>
      <c r="C52" s="106">
        <v>10.63</v>
      </c>
      <c r="D52" s="106">
        <v>1.8599999999999999E-11</v>
      </c>
      <c r="E52" s="106">
        <v>12.32</v>
      </c>
      <c r="F52" s="106">
        <v>6160</v>
      </c>
      <c r="G52" s="106">
        <v>273.14999999999998</v>
      </c>
      <c r="H52" s="106">
        <v>185</v>
      </c>
      <c r="I52" s="106">
        <v>374</v>
      </c>
      <c r="J52" s="106">
        <v>838</v>
      </c>
    </row>
    <row r="53" spans="1:15" x14ac:dyDescent="0.2">
      <c r="A53" s="106" t="s">
        <v>9259</v>
      </c>
      <c r="B53" s="106">
        <v>252.31</v>
      </c>
      <c r="D53" s="106">
        <v>2.29E-11</v>
      </c>
      <c r="E53" s="106">
        <v>12.481999999999999</v>
      </c>
      <c r="F53" s="106">
        <v>6181</v>
      </c>
      <c r="G53" s="106">
        <v>273.14999999999998</v>
      </c>
      <c r="H53" s="106">
        <v>185</v>
      </c>
      <c r="I53" s="106">
        <v>316</v>
      </c>
      <c r="J53" s="106">
        <v>923</v>
      </c>
    </row>
    <row r="54" spans="1:15" x14ac:dyDescent="0.2">
      <c r="A54" s="106" t="s">
        <v>9260</v>
      </c>
      <c r="B54" s="106">
        <v>276.33</v>
      </c>
      <c r="D54" s="106">
        <v>2.07E-13</v>
      </c>
      <c r="E54" s="106">
        <v>11.82</v>
      </c>
      <c r="F54" s="106">
        <v>6580</v>
      </c>
      <c r="G54" s="106">
        <v>273.14999999999998</v>
      </c>
      <c r="H54" s="106">
        <v>391</v>
      </c>
      <c r="I54" s="106">
        <v>513</v>
      </c>
    </row>
    <row r="55" spans="1:15" x14ac:dyDescent="0.2">
      <c r="A55" s="106" t="s">
        <v>9261</v>
      </c>
      <c r="B55" s="106">
        <v>154.21</v>
      </c>
      <c r="C55" s="106">
        <v>8.68</v>
      </c>
      <c r="D55" s="106">
        <v>2.3699999999999999E-4</v>
      </c>
      <c r="E55" s="106">
        <v>7.2450000000000001</v>
      </c>
      <c r="F55" s="106">
        <v>1998.7</v>
      </c>
      <c r="G55" s="106">
        <v>202.73</v>
      </c>
      <c r="H55" s="106">
        <v>156</v>
      </c>
      <c r="I55" s="106">
        <v>520</v>
      </c>
      <c r="J55" s="106">
        <v>489</v>
      </c>
    </row>
    <row r="56" spans="1:15" x14ac:dyDescent="0.2">
      <c r="A56" s="106" t="s">
        <v>9262</v>
      </c>
      <c r="B56" s="106">
        <v>54.09</v>
      </c>
      <c r="C56" s="106">
        <v>5.1376999999999997</v>
      </c>
      <c r="D56" s="106">
        <v>30.22</v>
      </c>
      <c r="E56" s="106">
        <v>6.8730000000000002</v>
      </c>
      <c r="F56" s="106">
        <v>941.7</v>
      </c>
      <c r="G56" s="106">
        <v>240.4</v>
      </c>
      <c r="H56" s="106">
        <v>-104</v>
      </c>
      <c r="I56" s="106">
        <v>29</v>
      </c>
      <c r="J56" s="106">
        <v>24</v>
      </c>
    </row>
    <row r="57" spans="1:15" x14ac:dyDescent="0.2">
      <c r="A57" s="106" t="s">
        <v>9263</v>
      </c>
      <c r="B57" s="106">
        <v>58.12</v>
      </c>
      <c r="C57" s="106">
        <v>4.7877000000000001</v>
      </c>
      <c r="D57" s="106">
        <v>25.67</v>
      </c>
      <c r="E57" s="106">
        <v>6.7249999999999996</v>
      </c>
      <c r="F57" s="106">
        <v>909.7</v>
      </c>
      <c r="G57" s="106">
        <v>237</v>
      </c>
      <c r="H57" s="106">
        <v>-108</v>
      </c>
      <c r="I57" s="106">
        <v>31</v>
      </c>
      <c r="J57" s="106">
        <v>32</v>
      </c>
    </row>
    <row r="58" spans="1:15" x14ac:dyDescent="0.2">
      <c r="A58" s="106" t="s">
        <v>9264</v>
      </c>
      <c r="B58" s="106">
        <v>74.12</v>
      </c>
      <c r="C58" s="106">
        <v>6.76</v>
      </c>
      <c r="D58" s="106">
        <v>6.2E-2</v>
      </c>
      <c r="E58" s="106">
        <v>7.4210000000000003</v>
      </c>
      <c r="F58" s="106">
        <v>1351.6</v>
      </c>
      <c r="G58" s="106">
        <v>179.81</v>
      </c>
      <c r="H58" s="106">
        <v>73</v>
      </c>
      <c r="I58" s="106">
        <v>244</v>
      </c>
      <c r="J58" s="106">
        <v>243</v>
      </c>
      <c r="K58" s="106">
        <v>10</v>
      </c>
      <c r="L58" s="106">
        <v>3</v>
      </c>
      <c r="M58" s="106">
        <v>1.5E-3</v>
      </c>
      <c r="N58" s="106">
        <v>7.4999999999999997E-3</v>
      </c>
      <c r="O58" s="106">
        <v>0.15</v>
      </c>
    </row>
    <row r="59" spans="1:15" x14ac:dyDescent="0.2">
      <c r="A59" s="106" t="s">
        <v>9265</v>
      </c>
      <c r="E59" s="106">
        <v>7.4743000000000004</v>
      </c>
      <c r="F59" s="106">
        <v>1314.19</v>
      </c>
      <c r="G59" s="106">
        <v>186.55</v>
      </c>
      <c r="K59" s="106">
        <v>13</v>
      </c>
      <c r="L59" s="106">
        <v>3</v>
      </c>
      <c r="M59" s="106">
        <v>1.5E-3</v>
      </c>
      <c r="N59" s="106">
        <v>7.4999999999999997E-3</v>
      </c>
      <c r="O59" s="106">
        <v>0.15</v>
      </c>
    </row>
    <row r="60" spans="1:15" x14ac:dyDescent="0.2">
      <c r="A60" s="106" t="s">
        <v>9266</v>
      </c>
      <c r="E60" s="106">
        <v>7.4767999999999999</v>
      </c>
      <c r="F60" s="106">
        <v>1362.39</v>
      </c>
      <c r="G60" s="106">
        <v>178.77</v>
      </c>
      <c r="K60" s="106">
        <v>15</v>
      </c>
      <c r="M60" s="106">
        <v>1.5E-3</v>
      </c>
      <c r="N60" s="106">
        <v>7.4999999999999997E-3</v>
      </c>
      <c r="O60" s="106">
        <v>0.15</v>
      </c>
    </row>
    <row r="61" spans="1:15" x14ac:dyDescent="0.2">
      <c r="A61" s="106" t="s">
        <v>9267</v>
      </c>
      <c r="B61" s="106">
        <v>56.11</v>
      </c>
      <c r="C61" s="106">
        <v>4.9177</v>
      </c>
      <c r="D61" s="106">
        <v>30.83</v>
      </c>
      <c r="E61" s="106">
        <v>7.1219999999999999</v>
      </c>
      <c r="F61" s="106">
        <v>1099.2</v>
      </c>
      <c r="G61" s="106">
        <v>264.89</v>
      </c>
      <c r="H61" s="106">
        <v>-108</v>
      </c>
      <c r="I61" s="106">
        <v>25</v>
      </c>
      <c r="J61" s="106">
        <v>21</v>
      </c>
      <c r="K61" s="106">
        <v>10</v>
      </c>
      <c r="L61" s="106">
        <v>3</v>
      </c>
      <c r="M61" s="106">
        <v>1.5E-3</v>
      </c>
      <c r="N61" s="106">
        <v>7.4999999999999997E-3</v>
      </c>
      <c r="O61" s="106">
        <v>0.15</v>
      </c>
    </row>
    <row r="62" spans="1:15" x14ac:dyDescent="0.2">
      <c r="A62" s="106" t="s">
        <v>9268</v>
      </c>
      <c r="B62" s="106">
        <v>70.13</v>
      </c>
      <c r="C62" s="106">
        <v>5.43</v>
      </c>
      <c r="D62" s="106">
        <v>8.2569999999999997</v>
      </c>
      <c r="E62" s="106">
        <v>6.8620000000000001</v>
      </c>
      <c r="F62" s="106">
        <v>1047.8</v>
      </c>
      <c r="G62" s="106">
        <v>232.06</v>
      </c>
      <c r="H62" s="106">
        <v>34</v>
      </c>
      <c r="I62" s="106">
        <v>145</v>
      </c>
      <c r="J62" s="106">
        <v>88</v>
      </c>
      <c r="K62" s="106">
        <v>13</v>
      </c>
      <c r="L62" s="106">
        <v>3</v>
      </c>
      <c r="M62" s="106">
        <v>1.5E-3</v>
      </c>
      <c r="N62" s="106">
        <v>7.4999999999999997E-3</v>
      </c>
      <c r="O62" s="106">
        <v>0.15</v>
      </c>
    </row>
    <row r="63" spans="1:15" x14ac:dyDescent="0.2">
      <c r="A63" s="106" t="s">
        <v>9269</v>
      </c>
      <c r="B63" s="106">
        <v>56.11</v>
      </c>
      <c r="C63" s="106">
        <v>5.1477000000000004</v>
      </c>
      <c r="D63" s="106">
        <v>22.62</v>
      </c>
      <c r="E63" s="106">
        <v>6.8630000000000004</v>
      </c>
      <c r="F63" s="106">
        <v>957.1</v>
      </c>
      <c r="G63" s="106">
        <v>236.65</v>
      </c>
      <c r="H63" s="106">
        <v>-94</v>
      </c>
      <c r="I63" s="106">
        <v>73</v>
      </c>
      <c r="J63" s="106">
        <v>39</v>
      </c>
      <c r="K63" s="106">
        <v>15</v>
      </c>
      <c r="M63" s="106">
        <v>1.5E-3</v>
      </c>
      <c r="N63" s="106">
        <v>7.4999999999999997E-3</v>
      </c>
      <c r="O63" s="106">
        <v>0.15</v>
      </c>
    </row>
    <row r="64" spans="1:15" x14ac:dyDescent="0.2">
      <c r="A64" s="106" t="s">
        <v>9270</v>
      </c>
      <c r="B64" s="106">
        <v>56.11</v>
      </c>
      <c r="C64" s="106">
        <v>5.0076999999999998</v>
      </c>
      <c r="D64" s="106">
        <v>24.97</v>
      </c>
      <c r="E64" s="106">
        <v>6.9189999999999996</v>
      </c>
      <c r="F64" s="106">
        <v>982.2</v>
      </c>
      <c r="G64" s="106">
        <v>242.38</v>
      </c>
      <c r="H64" s="106">
        <v>-97</v>
      </c>
      <c r="I64" s="106">
        <v>34</v>
      </c>
      <c r="J64" s="106">
        <v>34</v>
      </c>
      <c r="K64" s="106">
        <v>7</v>
      </c>
      <c r="L64" s="106">
        <v>3</v>
      </c>
      <c r="M64" s="106">
        <v>1.5E-3</v>
      </c>
      <c r="N64" s="106">
        <v>7.4999999999999997E-3</v>
      </c>
      <c r="O64" s="106">
        <v>0.15</v>
      </c>
    </row>
    <row r="65" spans="1:15" x14ac:dyDescent="0.2">
      <c r="A65" s="106" t="s">
        <v>9271</v>
      </c>
      <c r="B65" s="106">
        <v>74.12</v>
      </c>
      <c r="C65" s="106">
        <v>6.76</v>
      </c>
      <c r="D65" s="106">
        <v>6.2E-2</v>
      </c>
      <c r="E65" s="106">
        <v>7.4210000000000003</v>
      </c>
      <c r="F65" s="106">
        <v>1351.6</v>
      </c>
      <c r="G65" s="106">
        <v>179.81</v>
      </c>
      <c r="H65" s="106">
        <v>73</v>
      </c>
      <c r="I65" s="106">
        <v>244</v>
      </c>
      <c r="J65" s="106">
        <v>243</v>
      </c>
      <c r="K65" s="106">
        <v>7.8</v>
      </c>
      <c r="M65" s="106">
        <v>1.5E-3</v>
      </c>
      <c r="N65" s="106">
        <v>7.4999999999999997E-3</v>
      </c>
      <c r="O65" s="106">
        <v>0.15</v>
      </c>
    </row>
    <row r="66" spans="1:15" x14ac:dyDescent="0.2">
      <c r="A66" s="106" t="s">
        <v>9272</v>
      </c>
      <c r="B66" s="106">
        <v>74.12</v>
      </c>
      <c r="C66" s="106">
        <v>6.58</v>
      </c>
      <c r="D66" s="106">
        <v>0.42399999999999999</v>
      </c>
      <c r="E66" s="106">
        <v>7.3730000000000002</v>
      </c>
      <c r="F66" s="106">
        <v>1174.9000000000001</v>
      </c>
      <c r="G66" s="106">
        <v>179.23</v>
      </c>
      <c r="H66" s="106">
        <v>103</v>
      </c>
      <c r="I66" s="106">
        <v>180</v>
      </c>
      <c r="J66" s="106">
        <v>180</v>
      </c>
    </row>
    <row r="67" spans="1:15" x14ac:dyDescent="0.2">
      <c r="A67" s="106" t="s">
        <v>9273</v>
      </c>
      <c r="B67" s="106">
        <v>92.57</v>
      </c>
      <c r="C67" s="106">
        <v>7.4</v>
      </c>
      <c r="D67" s="106">
        <v>1.2549999999999999</v>
      </c>
      <c r="E67" s="106">
        <v>6.8710000000000004</v>
      </c>
      <c r="F67" s="106">
        <v>1182.9000000000001</v>
      </c>
      <c r="G67" s="106">
        <v>218.27</v>
      </c>
      <c r="H67" s="106">
        <v>2</v>
      </c>
      <c r="I67" s="106">
        <v>173</v>
      </c>
      <c r="J67" s="106">
        <v>170</v>
      </c>
    </row>
    <row r="68" spans="1:15" x14ac:dyDescent="0.2">
      <c r="A68" s="106" t="s">
        <v>9274</v>
      </c>
      <c r="B68" s="106">
        <v>130.22999999999999</v>
      </c>
      <c r="C68" s="106">
        <v>6.39</v>
      </c>
      <c r="D68" s="106">
        <v>0.38100000000000001</v>
      </c>
      <c r="E68" s="106">
        <v>6.59</v>
      </c>
      <c r="F68" s="106">
        <v>1157.7</v>
      </c>
      <c r="G68" s="106">
        <v>203.05</v>
      </c>
      <c r="H68" s="106">
        <v>39</v>
      </c>
      <c r="I68" s="106">
        <v>228</v>
      </c>
      <c r="J68" s="106">
        <v>224</v>
      </c>
    </row>
    <row r="69" spans="1:15" x14ac:dyDescent="0.2">
      <c r="A69" s="106" t="s">
        <v>9275</v>
      </c>
      <c r="B69" s="106">
        <v>76.14</v>
      </c>
      <c r="C69" s="106">
        <v>10.54</v>
      </c>
      <c r="D69" s="106">
        <v>4.8170000000000002</v>
      </c>
      <c r="E69" s="106">
        <v>6.9420000000000002</v>
      </c>
      <c r="F69" s="106">
        <v>1168.5999999999999</v>
      </c>
      <c r="G69" s="106">
        <v>241.53</v>
      </c>
      <c r="H69" s="106">
        <v>38</v>
      </c>
      <c r="I69" s="106">
        <v>176</v>
      </c>
      <c r="J69" s="106">
        <v>115</v>
      </c>
    </row>
    <row r="70" spans="1:15" x14ac:dyDescent="0.2">
      <c r="A70" s="106" t="s">
        <v>9276</v>
      </c>
      <c r="B70" s="106">
        <v>153.82</v>
      </c>
      <c r="C70" s="106">
        <v>13.31</v>
      </c>
      <c r="D70" s="106">
        <v>1.431</v>
      </c>
      <c r="E70" s="106">
        <v>6.8979999999999997</v>
      </c>
      <c r="F70" s="106">
        <v>1221.8</v>
      </c>
      <c r="G70" s="106">
        <v>227.41</v>
      </c>
      <c r="H70" s="106">
        <v>68</v>
      </c>
      <c r="I70" s="106">
        <v>172</v>
      </c>
      <c r="J70" s="106">
        <v>170</v>
      </c>
    </row>
    <row r="71" spans="1:15" x14ac:dyDescent="0.2">
      <c r="A71" s="106" t="s">
        <v>9277</v>
      </c>
      <c r="B71" s="106">
        <v>112.56</v>
      </c>
      <c r="C71" s="106">
        <v>9.23</v>
      </c>
      <c r="D71" s="106">
        <v>0.13400000000000001</v>
      </c>
      <c r="E71" s="106">
        <v>6.9859999999999998</v>
      </c>
      <c r="F71" s="106">
        <v>1435.7</v>
      </c>
      <c r="G71" s="106">
        <v>218.03</v>
      </c>
      <c r="H71" s="106">
        <v>144</v>
      </c>
      <c r="I71" s="106">
        <v>269</v>
      </c>
      <c r="J71" s="106">
        <v>269</v>
      </c>
    </row>
    <row r="72" spans="1:15" x14ac:dyDescent="0.2">
      <c r="A72" s="106" t="s">
        <v>9278</v>
      </c>
      <c r="B72" s="106">
        <v>92.57</v>
      </c>
      <c r="C72" s="106">
        <v>7.27</v>
      </c>
      <c r="D72" s="106">
        <v>1.2549999999999999</v>
      </c>
      <c r="E72" s="106">
        <v>6.8710000000000004</v>
      </c>
      <c r="F72" s="106">
        <v>1182.9000000000001</v>
      </c>
      <c r="G72" s="106">
        <v>218.27</v>
      </c>
      <c r="H72" s="106">
        <v>2</v>
      </c>
      <c r="I72" s="106">
        <v>173</v>
      </c>
      <c r="J72" s="106">
        <v>170</v>
      </c>
    </row>
    <row r="73" spans="1:15" x14ac:dyDescent="0.2">
      <c r="A73" s="106" t="s">
        <v>9279</v>
      </c>
      <c r="B73" s="106">
        <v>119.38</v>
      </c>
      <c r="C73" s="106">
        <v>12.38</v>
      </c>
      <c r="D73" s="106">
        <v>2.468</v>
      </c>
      <c r="E73" s="106">
        <v>7.0830000000000002</v>
      </c>
      <c r="F73" s="106">
        <v>1233.0999999999999</v>
      </c>
      <c r="G73" s="106">
        <v>232.2</v>
      </c>
      <c r="H73" s="106">
        <v>-73</v>
      </c>
      <c r="I73" s="106">
        <v>142</v>
      </c>
      <c r="J73" s="106">
        <v>142</v>
      </c>
    </row>
    <row r="74" spans="1:15" x14ac:dyDescent="0.2">
      <c r="A74" s="106" t="s">
        <v>9280</v>
      </c>
      <c r="B74" s="106">
        <v>92.52</v>
      </c>
      <c r="C74" s="106">
        <v>9.85</v>
      </c>
      <c r="D74" s="106">
        <v>0.19400000000000001</v>
      </c>
      <c r="E74" s="106">
        <v>8.2289999999999992</v>
      </c>
      <c r="F74" s="106">
        <v>2086.8000000000002</v>
      </c>
      <c r="G74" s="106">
        <v>273.16000000000003</v>
      </c>
      <c r="H74" s="106">
        <v>241</v>
      </c>
      <c r="K74" s="197"/>
      <c r="L74" s="106">
        <v>3.5</v>
      </c>
    </row>
    <row r="75" spans="1:15" x14ac:dyDescent="0.2">
      <c r="A75" s="106" t="s">
        <v>7067</v>
      </c>
      <c r="B75" s="106">
        <v>88.54</v>
      </c>
      <c r="C75" s="106">
        <v>7.98</v>
      </c>
      <c r="D75" s="106">
        <v>2.7360000000000002</v>
      </c>
      <c r="E75" s="106">
        <v>6.2910000000000004</v>
      </c>
      <c r="F75" s="106">
        <v>841.9</v>
      </c>
      <c r="G75" s="106">
        <v>187.79</v>
      </c>
      <c r="H75" s="106">
        <v>68</v>
      </c>
      <c r="I75" s="106">
        <v>140</v>
      </c>
      <c r="J75" s="106">
        <v>140</v>
      </c>
    </row>
    <row r="76" spans="1:15" x14ac:dyDescent="0.2">
      <c r="A76" s="106" t="s">
        <v>9281</v>
      </c>
      <c r="B76" s="106">
        <v>126.58</v>
      </c>
      <c r="C76" s="106">
        <v>9.0399999999999991</v>
      </c>
      <c r="D76" s="106">
        <v>3.9E-2</v>
      </c>
      <c r="E76" s="106">
        <v>7.3630000000000004</v>
      </c>
      <c r="F76" s="106">
        <v>1768.1</v>
      </c>
      <c r="G76" s="106">
        <v>234.76</v>
      </c>
      <c r="H76" s="106">
        <v>42</v>
      </c>
      <c r="I76" s="106">
        <v>319</v>
      </c>
      <c r="J76" s="106">
        <v>318</v>
      </c>
    </row>
    <row r="77" spans="1:15" x14ac:dyDescent="0.2">
      <c r="A77" s="106" t="s">
        <v>9282</v>
      </c>
      <c r="B77" s="106">
        <v>108.64</v>
      </c>
      <c r="C77" s="106">
        <v>7.1577000000000002</v>
      </c>
      <c r="D77" s="106">
        <v>3.0680000000000001</v>
      </c>
      <c r="E77" s="106">
        <v>6.9509999999999996</v>
      </c>
      <c r="F77" s="106">
        <v>1191</v>
      </c>
      <c r="G77" s="106">
        <v>235.15</v>
      </c>
      <c r="H77" s="106">
        <v>37</v>
      </c>
      <c r="I77" s="106">
        <v>132</v>
      </c>
      <c r="J77" s="106">
        <v>136</v>
      </c>
    </row>
    <row r="78" spans="1:15" x14ac:dyDescent="0.2">
      <c r="A78" s="106" t="s">
        <v>9283</v>
      </c>
      <c r="B78" s="106">
        <v>228.29</v>
      </c>
      <c r="C78" s="106">
        <v>10.63</v>
      </c>
      <c r="D78" s="106">
        <v>1.8599999999999999E-11</v>
      </c>
      <c r="E78" s="106">
        <v>12.32</v>
      </c>
      <c r="F78" s="106">
        <v>6160</v>
      </c>
      <c r="G78" s="106">
        <v>273.14999999999998</v>
      </c>
      <c r="H78" s="106">
        <v>185</v>
      </c>
      <c r="I78" s="106">
        <v>374</v>
      </c>
      <c r="J78" s="106">
        <v>838</v>
      </c>
    </row>
    <row r="79" spans="1:15" x14ac:dyDescent="0.2">
      <c r="A79" s="108" t="s">
        <v>9284</v>
      </c>
      <c r="B79" s="106">
        <v>96.95</v>
      </c>
      <c r="C79" s="106">
        <v>10.763</v>
      </c>
      <c r="D79" s="106">
        <v>2.6680000000000001</v>
      </c>
      <c r="J79" s="106">
        <v>140.19999999999999</v>
      </c>
    </row>
    <row r="80" spans="1:15" x14ac:dyDescent="0.2">
      <c r="A80" s="106" t="s">
        <v>9285</v>
      </c>
      <c r="B80" s="106">
        <v>108.14</v>
      </c>
      <c r="C80" s="106">
        <v>8.6300000000000008</v>
      </c>
      <c r="D80" s="106">
        <v>1.2999999999999999E-3</v>
      </c>
      <c r="E80" s="106">
        <v>7.4770000000000003</v>
      </c>
      <c r="F80" s="106">
        <v>1833.1</v>
      </c>
      <c r="G80" s="106">
        <v>196.74</v>
      </c>
      <c r="H80" s="106">
        <v>301</v>
      </c>
      <c r="I80" s="106">
        <v>394</v>
      </c>
      <c r="J80" s="106">
        <v>396</v>
      </c>
    </row>
    <row r="81" spans="1:12" x14ac:dyDescent="0.2">
      <c r="A81" s="106" t="s">
        <v>9286</v>
      </c>
      <c r="B81" s="106">
        <v>108.14</v>
      </c>
      <c r="C81" s="106">
        <v>9.4777000000000005</v>
      </c>
      <c r="D81" s="106">
        <v>1.6000000000000001E-3</v>
      </c>
      <c r="E81" s="106">
        <v>6.843</v>
      </c>
      <c r="F81" s="106">
        <v>1391.3</v>
      </c>
      <c r="G81" s="106">
        <v>160.18</v>
      </c>
      <c r="H81" s="106">
        <v>248</v>
      </c>
      <c r="I81" s="106">
        <v>376</v>
      </c>
      <c r="J81" s="106">
        <v>376</v>
      </c>
    </row>
    <row r="82" spans="1:12" x14ac:dyDescent="0.2">
      <c r="A82" s="106" t="s">
        <v>9287</v>
      </c>
      <c r="B82" s="106">
        <v>108.14</v>
      </c>
      <c r="C82" s="106">
        <v>8.5010399999999997</v>
      </c>
      <c r="D82" s="106">
        <v>6.2E-4</v>
      </c>
      <c r="E82" s="106">
        <v>7.016</v>
      </c>
      <c r="F82" s="106">
        <v>1498.6</v>
      </c>
      <c r="G82" s="106">
        <v>160.55000000000001</v>
      </c>
      <c r="H82" s="106">
        <v>262</v>
      </c>
      <c r="I82" s="106">
        <v>395</v>
      </c>
      <c r="J82" s="106">
        <v>395</v>
      </c>
    </row>
    <row r="83" spans="1:12" x14ac:dyDescent="0.2">
      <c r="A83" s="108" t="s">
        <v>9288</v>
      </c>
      <c r="B83" s="106">
        <v>50</v>
      </c>
      <c r="C83" s="106">
        <v>7.1</v>
      </c>
      <c r="D83" s="106">
        <v>2.8</v>
      </c>
    </row>
    <row r="84" spans="1:12" x14ac:dyDescent="0.2">
      <c r="A84" s="106" t="s">
        <v>9289</v>
      </c>
      <c r="B84" s="106">
        <v>120.19</v>
      </c>
      <c r="C84" s="106">
        <v>7.19</v>
      </c>
      <c r="D84" s="106">
        <v>4.8000000000000001E-2</v>
      </c>
      <c r="E84" s="106">
        <v>6.9290000000000003</v>
      </c>
      <c r="F84" s="106">
        <v>1455.8</v>
      </c>
      <c r="G84" s="106">
        <v>207.2</v>
      </c>
      <c r="H84" s="106">
        <v>158</v>
      </c>
      <c r="I84" s="106">
        <v>308</v>
      </c>
      <c r="J84" s="106">
        <v>305</v>
      </c>
    </row>
    <row r="85" spans="1:12" x14ac:dyDescent="0.2">
      <c r="A85" s="106" t="s">
        <v>9290</v>
      </c>
      <c r="B85" s="106">
        <v>84.16</v>
      </c>
      <c r="C85" s="106">
        <v>6.4676999999999998</v>
      </c>
      <c r="D85" s="106">
        <v>1.212</v>
      </c>
      <c r="E85" s="106">
        <v>6.8449999999999998</v>
      </c>
      <c r="F85" s="106">
        <v>1203.5</v>
      </c>
      <c r="G85" s="106">
        <v>222.86</v>
      </c>
      <c r="H85" s="106">
        <v>68</v>
      </c>
      <c r="I85" s="106">
        <v>179</v>
      </c>
      <c r="J85" s="106">
        <v>177</v>
      </c>
    </row>
    <row r="86" spans="1:12" x14ac:dyDescent="0.2">
      <c r="A86" s="106" t="s">
        <v>9291</v>
      </c>
      <c r="B86" s="106">
        <v>100.16</v>
      </c>
      <c r="C86" s="106">
        <v>8.0299999999999994</v>
      </c>
      <c r="D86" s="106">
        <v>8.9999999999999998E-4</v>
      </c>
      <c r="E86" s="106">
        <v>5.9560000000000004</v>
      </c>
      <c r="F86" s="106">
        <v>777.4</v>
      </c>
      <c r="G86" s="106">
        <v>91.11</v>
      </c>
      <c r="H86" s="106">
        <v>201</v>
      </c>
      <c r="I86" s="106">
        <v>321</v>
      </c>
      <c r="J86" s="106">
        <v>320</v>
      </c>
    </row>
    <row r="87" spans="1:12" x14ac:dyDescent="0.2">
      <c r="A87" s="106" t="s">
        <v>9292</v>
      </c>
      <c r="B87" s="106">
        <v>98.14</v>
      </c>
      <c r="C87" s="106">
        <v>7.91</v>
      </c>
      <c r="D87" s="106">
        <v>4.1999999999999997E-3</v>
      </c>
      <c r="E87" s="106">
        <v>5.9779999999999998</v>
      </c>
      <c r="F87" s="106">
        <v>1495.5</v>
      </c>
      <c r="G87" s="106">
        <v>209.55</v>
      </c>
      <c r="H87" s="106">
        <v>193</v>
      </c>
      <c r="I87" s="106">
        <v>330</v>
      </c>
      <c r="J87" s="106">
        <v>311</v>
      </c>
    </row>
    <row r="88" spans="1:12" x14ac:dyDescent="0.2">
      <c r="A88" s="106" t="s">
        <v>9293</v>
      </c>
      <c r="B88" s="106">
        <v>82.14</v>
      </c>
      <c r="C88" s="106">
        <v>6.77</v>
      </c>
      <c r="D88" s="106">
        <v>0.11</v>
      </c>
      <c r="E88" s="106">
        <v>5.8719999999999999</v>
      </c>
      <c r="F88" s="106">
        <v>1221.9000000000001</v>
      </c>
      <c r="G88" s="106">
        <v>223.17</v>
      </c>
      <c r="H88" s="106">
        <v>98</v>
      </c>
      <c r="I88" s="106">
        <v>196</v>
      </c>
      <c r="J88" s="106">
        <v>181</v>
      </c>
    </row>
    <row r="89" spans="1:12" x14ac:dyDescent="0.2">
      <c r="A89" s="106" t="s">
        <v>9294</v>
      </c>
      <c r="B89" s="106">
        <v>70.13</v>
      </c>
      <c r="C89" s="106">
        <v>6.22</v>
      </c>
      <c r="D89" s="106">
        <v>4.1710000000000003</v>
      </c>
      <c r="E89" s="106">
        <v>6.8780000000000001</v>
      </c>
      <c r="F89" s="106">
        <v>1119.2</v>
      </c>
      <c r="G89" s="106">
        <v>230.74</v>
      </c>
      <c r="H89" s="106">
        <v>60</v>
      </c>
      <c r="I89" s="106">
        <v>122</v>
      </c>
      <c r="J89" s="106">
        <v>121</v>
      </c>
    </row>
    <row r="90" spans="1:12" x14ac:dyDescent="0.2">
      <c r="A90" s="106" t="s">
        <v>9295</v>
      </c>
      <c r="B90" s="106">
        <v>84.12</v>
      </c>
      <c r="C90" s="106">
        <v>7.92</v>
      </c>
      <c r="D90" s="106">
        <v>0.13</v>
      </c>
      <c r="E90" s="106">
        <v>3.9580000000000002</v>
      </c>
      <c r="F90" s="106">
        <v>376.4</v>
      </c>
      <c r="G90" s="106">
        <v>104.65</v>
      </c>
      <c r="H90" s="106">
        <v>32</v>
      </c>
      <c r="I90" s="106">
        <v>78</v>
      </c>
      <c r="J90" s="106">
        <v>266</v>
      </c>
      <c r="L90" s="106">
        <v>3</v>
      </c>
    </row>
    <row r="91" spans="1:12" x14ac:dyDescent="0.2">
      <c r="A91" s="106" t="s">
        <v>9296</v>
      </c>
      <c r="B91" s="106">
        <v>68.12</v>
      </c>
      <c r="C91" s="106">
        <v>6.44</v>
      </c>
      <c r="D91" s="106">
        <v>3.2639999999999998</v>
      </c>
      <c r="E91" s="106">
        <v>6.9210000000000003</v>
      </c>
      <c r="F91" s="106">
        <v>1121.8</v>
      </c>
      <c r="G91" s="106">
        <v>223.45</v>
      </c>
      <c r="H91" s="106">
        <v>111</v>
      </c>
    </row>
    <row r="92" spans="1:12" x14ac:dyDescent="0.2">
      <c r="A92" s="106" t="s">
        <v>9297</v>
      </c>
      <c r="B92" s="106">
        <v>142.28</v>
      </c>
      <c r="C92" s="106">
        <v>6.09</v>
      </c>
      <c r="D92" s="106">
        <v>1.0999999999999999E-2</v>
      </c>
      <c r="E92" s="106">
        <v>3.085</v>
      </c>
      <c r="F92" s="106">
        <v>440.6</v>
      </c>
      <c r="G92" s="106">
        <v>116.25</v>
      </c>
      <c r="H92" s="106">
        <v>-21</v>
      </c>
      <c r="I92" s="106">
        <v>99</v>
      </c>
      <c r="J92" s="106">
        <v>345</v>
      </c>
    </row>
    <row r="93" spans="1:12" x14ac:dyDescent="0.2">
      <c r="A93" s="106" t="s">
        <v>9298</v>
      </c>
      <c r="B93" s="106">
        <v>201.89</v>
      </c>
      <c r="C93" s="106">
        <v>16.13</v>
      </c>
      <c r="D93" s="106">
        <v>8.7999999999999995E-2</v>
      </c>
      <c r="E93" s="106">
        <v>7.3140000000000001</v>
      </c>
      <c r="F93" s="106">
        <v>1667</v>
      </c>
      <c r="G93" s="106">
        <v>234.85</v>
      </c>
      <c r="H93" s="106">
        <v>19</v>
      </c>
      <c r="I93" s="106">
        <v>287</v>
      </c>
      <c r="J93" s="106">
        <v>286</v>
      </c>
      <c r="K93" s="197"/>
      <c r="L93" s="197">
        <v>2.5</v>
      </c>
    </row>
    <row r="94" spans="1:12" x14ac:dyDescent="0.2">
      <c r="A94" s="106" t="s">
        <v>9299</v>
      </c>
      <c r="B94" s="106">
        <v>201.89</v>
      </c>
      <c r="C94" s="106">
        <v>16.55</v>
      </c>
      <c r="D94" s="106">
        <v>2.9000000000000001E-2</v>
      </c>
      <c r="E94" s="106">
        <v>7.3090000000000002</v>
      </c>
      <c r="F94" s="106">
        <v>1776.7</v>
      </c>
      <c r="G94" s="106">
        <v>233.46</v>
      </c>
      <c r="H94" s="106">
        <v>49</v>
      </c>
      <c r="I94" s="106">
        <v>333</v>
      </c>
      <c r="J94" s="106">
        <v>314</v>
      </c>
    </row>
    <row r="95" spans="1:12" x14ac:dyDescent="0.2">
      <c r="A95" s="106" t="s">
        <v>9300</v>
      </c>
      <c r="B95" s="106">
        <v>98.96</v>
      </c>
      <c r="C95" s="106">
        <v>9.81</v>
      </c>
      <c r="D95" s="106">
        <v>2.863</v>
      </c>
      <c r="E95" s="106">
        <v>7.0970000000000004</v>
      </c>
      <c r="F95" s="106">
        <v>1229.2</v>
      </c>
      <c r="G95" s="106">
        <v>233.95</v>
      </c>
      <c r="H95" s="106">
        <v>-77</v>
      </c>
      <c r="I95" s="106">
        <v>135</v>
      </c>
      <c r="J95" s="106">
        <v>135</v>
      </c>
    </row>
    <row r="96" spans="1:12" x14ac:dyDescent="0.2">
      <c r="A96" s="106" t="s">
        <v>9301</v>
      </c>
      <c r="B96" s="106">
        <v>98.96</v>
      </c>
      <c r="C96" s="106">
        <v>10.4077</v>
      </c>
      <c r="D96" s="106">
        <v>0.96099999999999997</v>
      </c>
      <c r="E96" s="106">
        <v>7.46</v>
      </c>
      <c r="F96" s="106">
        <v>1521.8</v>
      </c>
      <c r="G96" s="106">
        <v>248.48</v>
      </c>
      <c r="H96" s="106">
        <v>-23</v>
      </c>
      <c r="I96" s="106">
        <v>211</v>
      </c>
      <c r="J96" s="106">
        <v>182</v>
      </c>
    </row>
    <row r="97" spans="1:10" x14ac:dyDescent="0.2">
      <c r="A97" s="106" t="s">
        <v>9302</v>
      </c>
      <c r="E97" s="106">
        <v>7.0250000000000004</v>
      </c>
      <c r="F97" s="106">
        <v>1272.3</v>
      </c>
      <c r="G97" s="106">
        <v>222.9</v>
      </c>
    </row>
    <row r="98" spans="1:10" x14ac:dyDescent="0.2">
      <c r="A98" s="106" t="s">
        <v>9303</v>
      </c>
      <c r="B98" s="106">
        <v>96.94</v>
      </c>
      <c r="C98" s="106">
        <v>10.76</v>
      </c>
      <c r="D98" s="106">
        <v>2.5790000000000002</v>
      </c>
      <c r="E98" s="106">
        <v>7.0220000000000002</v>
      </c>
      <c r="F98" s="106">
        <v>1205.4000000000001</v>
      </c>
      <c r="G98" s="106">
        <v>230.6</v>
      </c>
      <c r="H98" s="106">
        <v>32</v>
      </c>
      <c r="I98" s="106">
        <v>183</v>
      </c>
      <c r="J98" s="106">
        <v>141</v>
      </c>
    </row>
    <row r="99" spans="1:10" x14ac:dyDescent="0.2">
      <c r="A99" s="106" t="s">
        <v>9304</v>
      </c>
      <c r="B99" s="106">
        <v>96.94</v>
      </c>
      <c r="C99" s="106">
        <v>10.49</v>
      </c>
      <c r="D99" s="106">
        <v>4.3330000000000002</v>
      </c>
      <c r="E99" s="106">
        <v>6.9649999999999999</v>
      </c>
      <c r="F99" s="106">
        <v>1141.9000000000001</v>
      </c>
      <c r="G99" s="106">
        <v>231.9</v>
      </c>
      <c r="H99" s="106">
        <v>-36</v>
      </c>
      <c r="I99" s="106">
        <v>185</v>
      </c>
      <c r="J99" s="106">
        <v>118</v>
      </c>
    </row>
    <row r="100" spans="1:10" x14ac:dyDescent="0.2">
      <c r="A100" s="106" t="s">
        <v>9305</v>
      </c>
      <c r="E100" s="106">
        <v>6.9649999999999999</v>
      </c>
      <c r="F100" s="106">
        <v>1141.9000000000001</v>
      </c>
      <c r="G100" s="106">
        <v>231.9</v>
      </c>
    </row>
    <row r="101" spans="1:10" x14ac:dyDescent="0.2">
      <c r="A101" s="106" t="s">
        <v>9306</v>
      </c>
      <c r="B101" s="106">
        <v>161.03</v>
      </c>
      <c r="C101" s="106">
        <v>10.49</v>
      </c>
      <c r="D101" s="106">
        <v>2.8999999999999998E-3</v>
      </c>
      <c r="E101" s="106">
        <v>7.3440000000000003</v>
      </c>
      <c r="F101" s="106">
        <v>1882.5</v>
      </c>
      <c r="G101" s="106">
        <v>215</v>
      </c>
      <c r="H101" s="106">
        <v>32</v>
      </c>
      <c r="I101" s="106">
        <v>221</v>
      </c>
      <c r="J101" s="106">
        <v>408</v>
      </c>
    </row>
    <row r="102" spans="1:10" x14ac:dyDescent="0.2">
      <c r="A102" s="106" t="s">
        <v>9307</v>
      </c>
      <c r="B102" s="106">
        <v>118.17</v>
      </c>
      <c r="C102" s="106">
        <v>6.89</v>
      </c>
      <c r="D102" s="106">
        <v>0.307</v>
      </c>
      <c r="E102" s="106">
        <v>7.625</v>
      </c>
      <c r="F102" s="106">
        <v>1574</v>
      </c>
      <c r="G102" s="106">
        <v>229.47</v>
      </c>
      <c r="H102" s="106">
        <v>-10</v>
      </c>
      <c r="I102" s="106">
        <v>216</v>
      </c>
      <c r="J102" s="106">
        <v>212</v>
      </c>
    </row>
    <row r="103" spans="1:10" x14ac:dyDescent="0.2">
      <c r="A103" s="106" t="s">
        <v>9308</v>
      </c>
      <c r="B103" s="106">
        <v>104.15</v>
      </c>
      <c r="C103" s="106">
        <v>6.94</v>
      </c>
      <c r="D103" s="106">
        <v>0.81</v>
      </c>
      <c r="E103" s="106">
        <v>6.9859999999999998</v>
      </c>
      <c r="F103" s="106">
        <v>1270.2</v>
      </c>
      <c r="G103" s="106">
        <v>221.26</v>
      </c>
      <c r="H103" s="106">
        <v>32</v>
      </c>
      <c r="I103" s="106">
        <v>167</v>
      </c>
      <c r="J103" s="106">
        <v>191</v>
      </c>
    </row>
    <row r="104" spans="1:10" x14ac:dyDescent="0.2">
      <c r="A104" s="106" t="s">
        <v>9309</v>
      </c>
      <c r="E104" s="106">
        <v>7.4660000000000002</v>
      </c>
      <c r="F104" s="106">
        <v>1993.57</v>
      </c>
      <c r="G104" s="106">
        <v>218.5</v>
      </c>
    </row>
    <row r="105" spans="1:10" x14ac:dyDescent="0.2">
      <c r="A105" s="106" t="s">
        <v>9310</v>
      </c>
      <c r="B105" s="106">
        <v>149.22999999999999</v>
      </c>
      <c r="C105" s="106">
        <v>7.77</v>
      </c>
      <c r="D105" s="106">
        <v>3.0999999999999999E-3</v>
      </c>
      <c r="E105" s="106">
        <v>8.2579999999999991</v>
      </c>
      <c r="F105" s="106">
        <v>2652.8</v>
      </c>
      <c r="G105" s="106">
        <v>277.32</v>
      </c>
      <c r="H105" s="106">
        <v>122</v>
      </c>
      <c r="I105" s="106">
        <v>425</v>
      </c>
      <c r="J105" s="106">
        <v>422</v>
      </c>
    </row>
    <row r="106" spans="1:10" x14ac:dyDescent="0.2">
      <c r="A106" s="106" t="s">
        <v>9311</v>
      </c>
      <c r="B106" s="106">
        <v>74.12</v>
      </c>
      <c r="C106" s="106">
        <v>5.96</v>
      </c>
      <c r="D106" s="106">
        <v>6.6749999999999998</v>
      </c>
      <c r="E106" s="106">
        <v>6.8970000000000002</v>
      </c>
      <c r="F106" s="106">
        <v>1062.5999999999999</v>
      </c>
      <c r="G106" s="106">
        <v>228.22</v>
      </c>
      <c r="H106" s="106">
        <v>-10</v>
      </c>
      <c r="I106" s="106">
        <v>132</v>
      </c>
      <c r="J106" s="106">
        <v>94</v>
      </c>
    </row>
    <row r="107" spans="1:10" x14ac:dyDescent="0.2">
      <c r="A107" s="106" t="s">
        <v>9312</v>
      </c>
      <c r="B107" s="106">
        <v>86.13</v>
      </c>
      <c r="C107" s="106">
        <v>6.7676999999999996</v>
      </c>
      <c r="D107" s="106">
        <v>0.42299999999999999</v>
      </c>
      <c r="E107" s="106">
        <v>5.7409999999999997</v>
      </c>
      <c r="F107" s="106">
        <v>716.2</v>
      </c>
      <c r="G107" s="106">
        <v>147.16999999999999</v>
      </c>
      <c r="H107" s="106">
        <v>97</v>
      </c>
      <c r="I107" s="106">
        <v>215</v>
      </c>
      <c r="J107" s="106">
        <v>215</v>
      </c>
    </row>
    <row r="108" spans="1:10" x14ac:dyDescent="0.2">
      <c r="A108" s="106" t="s">
        <v>9313</v>
      </c>
      <c r="B108" s="106">
        <v>90.19</v>
      </c>
      <c r="C108" s="106">
        <v>6.98</v>
      </c>
      <c r="D108" s="106">
        <v>0.749</v>
      </c>
      <c r="E108" s="106">
        <v>7.5410000000000004</v>
      </c>
      <c r="F108" s="106">
        <v>1560.5</v>
      </c>
      <c r="G108" s="106">
        <v>246.59</v>
      </c>
      <c r="H108" s="106">
        <v>-39</v>
      </c>
      <c r="I108" s="106">
        <v>190</v>
      </c>
      <c r="J108" s="106">
        <v>197</v>
      </c>
    </row>
    <row r="109" spans="1:10" x14ac:dyDescent="0.2">
      <c r="A109" s="106" t="s">
        <v>9314</v>
      </c>
      <c r="B109" s="106">
        <v>73.14</v>
      </c>
      <c r="C109" s="106">
        <v>5.89</v>
      </c>
      <c r="D109" s="106">
        <v>2.7120000000000002</v>
      </c>
      <c r="E109" s="106">
        <v>5.7370000000000001</v>
      </c>
      <c r="F109" s="106">
        <v>559.1</v>
      </c>
      <c r="G109" s="106">
        <v>140.18</v>
      </c>
      <c r="H109" s="106">
        <v>89</v>
      </c>
      <c r="I109" s="106">
        <v>141</v>
      </c>
      <c r="J109" s="106">
        <v>132</v>
      </c>
    </row>
    <row r="110" spans="1:10" x14ac:dyDescent="0.2">
      <c r="A110" s="106" t="s">
        <v>9315</v>
      </c>
      <c r="B110" s="106">
        <v>134.22</v>
      </c>
      <c r="C110" s="106">
        <v>7.34</v>
      </c>
      <c r="D110" s="106">
        <v>9.4000000000000004E-3</v>
      </c>
      <c r="E110" s="106">
        <v>6.99</v>
      </c>
      <c r="F110" s="106">
        <v>1577.9</v>
      </c>
      <c r="G110" s="106">
        <v>200.55</v>
      </c>
      <c r="H110" s="106">
        <v>206</v>
      </c>
      <c r="I110" s="106">
        <v>364</v>
      </c>
      <c r="J110" s="106">
        <v>361</v>
      </c>
    </row>
    <row r="111" spans="1:10" x14ac:dyDescent="0.2">
      <c r="A111" s="106" t="s">
        <v>9316</v>
      </c>
      <c r="B111" s="106">
        <v>134.22</v>
      </c>
      <c r="C111" s="106">
        <v>7.18</v>
      </c>
      <c r="D111" s="106">
        <v>0.01</v>
      </c>
      <c r="E111" s="106">
        <v>7.0060000000000002</v>
      </c>
      <c r="F111" s="106">
        <v>1576.3</v>
      </c>
      <c r="G111" s="106">
        <v>201</v>
      </c>
      <c r="H111" s="106">
        <v>203</v>
      </c>
      <c r="I111" s="106">
        <v>360</v>
      </c>
      <c r="J111" s="106">
        <v>358</v>
      </c>
    </row>
    <row r="112" spans="1:10" x14ac:dyDescent="0.2">
      <c r="A112" s="106" t="s">
        <v>9317</v>
      </c>
      <c r="B112" s="106">
        <v>134.22</v>
      </c>
      <c r="C112" s="106">
        <v>7.2</v>
      </c>
      <c r="D112" s="106">
        <v>0.01</v>
      </c>
      <c r="E112" s="106">
        <v>7.0010000000000003</v>
      </c>
      <c r="F112" s="106">
        <v>1589.3</v>
      </c>
      <c r="G112" s="106">
        <v>202.02</v>
      </c>
      <c r="H112" s="106">
        <v>206</v>
      </c>
      <c r="I112" s="106">
        <v>365</v>
      </c>
      <c r="J112" s="106">
        <v>363</v>
      </c>
    </row>
    <row r="113" spans="1:10" x14ac:dyDescent="0.2">
      <c r="A113" s="106" t="s">
        <v>9318</v>
      </c>
      <c r="B113" s="106">
        <v>102.17</v>
      </c>
      <c r="C113" s="106">
        <v>6.04</v>
      </c>
      <c r="D113" s="106">
        <v>1.877</v>
      </c>
      <c r="E113" s="106">
        <v>6.8419999999999996</v>
      </c>
      <c r="F113" s="106">
        <v>1135</v>
      </c>
      <c r="G113" s="106">
        <v>218.23</v>
      </c>
      <c r="H113" s="106">
        <v>74</v>
      </c>
      <c r="I113" s="106">
        <v>153</v>
      </c>
      <c r="J113" s="106">
        <v>155</v>
      </c>
    </row>
    <row r="114" spans="1:10" x14ac:dyDescent="0.2">
      <c r="A114" s="106" t="s">
        <v>9319</v>
      </c>
      <c r="B114" s="106">
        <v>90.12</v>
      </c>
      <c r="C114" s="106">
        <v>7.25</v>
      </c>
      <c r="D114" s="106">
        <v>0.96599999999999997</v>
      </c>
      <c r="E114" s="106">
        <v>6.7130000000000001</v>
      </c>
      <c r="F114" s="106">
        <v>1260.5</v>
      </c>
      <c r="G114" s="106">
        <v>235.83</v>
      </c>
      <c r="H114" s="106">
        <v>-55</v>
      </c>
      <c r="I114" s="106">
        <v>199</v>
      </c>
      <c r="J114" s="106">
        <v>185</v>
      </c>
    </row>
    <row r="115" spans="1:10" x14ac:dyDescent="0.2">
      <c r="A115" s="106" t="s">
        <v>9320</v>
      </c>
      <c r="E115" s="106">
        <v>6.9279999999999999</v>
      </c>
      <c r="F115" s="106">
        <v>1400.87</v>
      </c>
      <c r="G115" s="106">
        <v>196.43</v>
      </c>
    </row>
    <row r="116" spans="1:10" x14ac:dyDescent="0.2">
      <c r="A116" s="106" t="s">
        <v>9321</v>
      </c>
      <c r="B116" s="106">
        <v>73.09</v>
      </c>
      <c r="C116" s="106">
        <v>7.8876999999999997</v>
      </c>
      <c r="D116" s="106">
        <v>0.04</v>
      </c>
      <c r="E116" s="106">
        <v>6.806</v>
      </c>
      <c r="F116" s="106">
        <v>1337.7</v>
      </c>
      <c r="G116" s="106">
        <v>190.5</v>
      </c>
      <c r="H116" s="106">
        <v>86</v>
      </c>
      <c r="I116" s="106">
        <v>194</v>
      </c>
      <c r="J116" s="106">
        <v>307</v>
      </c>
    </row>
    <row r="117" spans="1:10" x14ac:dyDescent="0.2">
      <c r="A117" s="106" t="s">
        <v>9322</v>
      </c>
      <c r="B117" s="106">
        <v>60.1</v>
      </c>
      <c r="C117" s="106">
        <v>6.6071999999999997</v>
      </c>
      <c r="D117" s="106">
        <v>1.8959999999999999</v>
      </c>
      <c r="E117" s="106">
        <v>7.5880000000000001</v>
      </c>
      <c r="F117" s="106">
        <v>1388.5</v>
      </c>
      <c r="G117" s="106">
        <v>232.54</v>
      </c>
      <c r="H117" s="106">
        <v>-32</v>
      </c>
      <c r="I117" s="106">
        <v>68</v>
      </c>
      <c r="J117" s="106">
        <v>146</v>
      </c>
    </row>
    <row r="118" spans="1:10" x14ac:dyDescent="0.2">
      <c r="A118" s="106" t="s">
        <v>9323</v>
      </c>
      <c r="B118" s="106">
        <v>194.18</v>
      </c>
      <c r="C118" s="106">
        <v>9.94</v>
      </c>
      <c r="D118" s="106">
        <v>2.25E-8</v>
      </c>
      <c r="E118" s="106">
        <v>4.5220000000000002</v>
      </c>
      <c r="F118" s="106">
        <v>700.3</v>
      </c>
      <c r="G118" s="106">
        <v>51.42</v>
      </c>
      <c r="H118" s="106">
        <v>180</v>
      </c>
      <c r="I118" s="106">
        <v>304</v>
      </c>
      <c r="J118" s="106">
        <v>540</v>
      </c>
    </row>
    <row r="119" spans="1:10" x14ac:dyDescent="0.2">
      <c r="A119" s="106" t="s">
        <v>9324</v>
      </c>
      <c r="B119" s="106">
        <v>86.18</v>
      </c>
      <c r="C119" s="106">
        <v>5.52</v>
      </c>
      <c r="D119" s="106">
        <v>3.0640000000000001</v>
      </c>
      <c r="E119" s="106">
        <v>6.81</v>
      </c>
      <c r="F119" s="106">
        <v>1127.2</v>
      </c>
      <c r="G119" s="106">
        <v>228.95</v>
      </c>
      <c r="H119" s="106">
        <v>58</v>
      </c>
      <c r="I119" s="106">
        <v>138</v>
      </c>
      <c r="J119" s="106">
        <v>136</v>
      </c>
    </row>
    <row r="120" spans="1:10" x14ac:dyDescent="0.2">
      <c r="A120" s="106" t="s">
        <v>9325</v>
      </c>
      <c r="B120" s="106">
        <v>98.19</v>
      </c>
      <c r="C120" s="106">
        <v>6.2676999999999996</v>
      </c>
      <c r="D120" s="106">
        <v>0.93200000000000005</v>
      </c>
      <c r="E120" s="106">
        <v>6.83</v>
      </c>
      <c r="F120" s="106">
        <v>1226.5999999999999</v>
      </c>
      <c r="G120" s="106">
        <v>222.76</v>
      </c>
      <c r="H120" s="106">
        <v>60</v>
      </c>
      <c r="I120" s="106">
        <v>192</v>
      </c>
      <c r="J120" s="106">
        <v>190</v>
      </c>
    </row>
    <row r="121" spans="1:10" x14ac:dyDescent="0.2">
      <c r="A121" s="106" t="s">
        <v>9326</v>
      </c>
      <c r="B121" s="106">
        <v>100.2</v>
      </c>
      <c r="C121" s="106">
        <v>5.63</v>
      </c>
      <c r="D121" s="106">
        <v>1.3149999999999999</v>
      </c>
      <c r="E121" s="106">
        <v>6.8150000000000004</v>
      </c>
      <c r="F121" s="106">
        <v>1190.3</v>
      </c>
      <c r="G121" s="106">
        <v>223.34</v>
      </c>
      <c r="H121" s="106">
        <v>60</v>
      </c>
      <c r="I121" s="106">
        <v>176</v>
      </c>
      <c r="J121" s="106">
        <v>174</v>
      </c>
    </row>
    <row r="122" spans="1:10" x14ac:dyDescent="0.2">
      <c r="A122" s="106" t="s">
        <v>9327</v>
      </c>
      <c r="B122" s="106">
        <v>100.2</v>
      </c>
      <c r="C122" s="106">
        <v>5.8</v>
      </c>
      <c r="D122" s="106">
        <v>0.84199999999999997</v>
      </c>
      <c r="E122" s="106">
        <v>6.8620000000000001</v>
      </c>
      <c r="F122" s="106">
        <v>1242.5999999999999</v>
      </c>
      <c r="G122" s="106">
        <v>222.34</v>
      </c>
      <c r="H122" s="106">
        <v>64</v>
      </c>
      <c r="I122" s="106">
        <v>195</v>
      </c>
      <c r="J122" s="106">
        <v>194</v>
      </c>
    </row>
    <row r="123" spans="1:10" x14ac:dyDescent="0.2">
      <c r="A123" s="106" t="s">
        <v>9328</v>
      </c>
      <c r="B123" s="106">
        <v>100.2</v>
      </c>
      <c r="C123" s="106">
        <v>5.62</v>
      </c>
      <c r="D123" s="106">
        <v>1.2210000000000001</v>
      </c>
      <c r="E123" s="106">
        <v>6.8360000000000003</v>
      </c>
      <c r="F123" s="106">
        <v>1197.5999999999999</v>
      </c>
      <c r="G123" s="106">
        <v>222.27</v>
      </c>
      <c r="H123" s="106">
        <v>57</v>
      </c>
      <c r="I123" s="106">
        <v>178</v>
      </c>
      <c r="J123" s="106">
        <v>177</v>
      </c>
    </row>
    <row r="124" spans="1:10" x14ac:dyDescent="0.2">
      <c r="A124" s="106" t="s">
        <v>9329</v>
      </c>
      <c r="B124" s="106">
        <v>100.2</v>
      </c>
      <c r="C124" s="106">
        <v>5.79</v>
      </c>
      <c r="D124" s="106">
        <v>1.0289999999999999</v>
      </c>
      <c r="E124" s="106">
        <v>6.8310000000000004</v>
      </c>
      <c r="F124" s="106">
        <v>1231</v>
      </c>
      <c r="G124" s="106">
        <v>225.58</v>
      </c>
      <c r="H124" s="106">
        <v>56</v>
      </c>
      <c r="I124" s="106">
        <v>189</v>
      </c>
      <c r="J124" s="106">
        <v>187</v>
      </c>
    </row>
    <row r="125" spans="1:10" x14ac:dyDescent="0.2">
      <c r="A125" s="106" t="s">
        <v>9330</v>
      </c>
      <c r="E125" s="106">
        <v>4.3369999999999997</v>
      </c>
      <c r="F125" s="106">
        <v>229.2</v>
      </c>
      <c r="G125" s="106">
        <v>-137</v>
      </c>
    </row>
    <row r="126" spans="1:10" x14ac:dyDescent="0.2">
      <c r="A126" s="106" t="s">
        <v>9331</v>
      </c>
      <c r="B126" s="106">
        <v>102.17</v>
      </c>
      <c r="C126" s="106">
        <v>6.23</v>
      </c>
      <c r="D126" s="106">
        <v>0.754</v>
      </c>
      <c r="E126" s="106">
        <v>6.9450000000000003</v>
      </c>
      <c r="F126" s="106">
        <v>1254.8</v>
      </c>
      <c r="G126" s="106">
        <v>218.82</v>
      </c>
      <c r="H126" s="106">
        <v>80</v>
      </c>
      <c r="I126" s="106">
        <v>192</v>
      </c>
      <c r="J126" s="106">
        <v>194</v>
      </c>
    </row>
    <row r="127" spans="1:10" x14ac:dyDescent="0.2">
      <c r="A127" s="106" t="s">
        <v>9332</v>
      </c>
      <c r="B127" s="106">
        <v>88.11</v>
      </c>
      <c r="C127" s="106">
        <v>8.6300000000000008</v>
      </c>
      <c r="D127" s="106">
        <v>0.439</v>
      </c>
      <c r="E127" s="106">
        <v>7.4560000000000004</v>
      </c>
      <c r="F127" s="106">
        <v>1570.1</v>
      </c>
      <c r="G127" s="106">
        <v>241.85</v>
      </c>
      <c r="H127" s="106">
        <v>68</v>
      </c>
      <c r="I127" s="106">
        <v>221</v>
      </c>
      <c r="J127" s="106">
        <v>214</v>
      </c>
    </row>
    <row r="128" spans="1:10" x14ac:dyDescent="0.2">
      <c r="A128" s="106" t="s">
        <v>9333</v>
      </c>
      <c r="E128" s="106">
        <v>7.431</v>
      </c>
      <c r="F128" s="106">
        <v>1554.68</v>
      </c>
      <c r="G128" s="106">
        <v>240.34</v>
      </c>
    </row>
    <row r="129" spans="1:11" x14ac:dyDescent="0.2">
      <c r="A129" s="106" t="s">
        <v>9334</v>
      </c>
      <c r="B129" s="106">
        <v>102.17</v>
      </c>
      <c r="C129" s="106">
        <v>6.23</v>
      </c>
      <c r="D129" s="106">
        <v>0.754</v>
      </c>
      <c r="E129" s="106">
        <v>6.9450000000000003</v>
      </c>
      <c r="F129" s="106">
        <v>1254.8</v>
      </c>
      <c r="G129" s="106">
        <v>218.82</v>
      </c>
      <c r="H129" s="106">
        <v>80</v>
      </c>
      <c r="I129" s="106">
        <v>192</v>
      </c>
      <c r="J129" s="106">
        <v>194</v>
      </c>
    </row>
    <row r="130" spans="1:11" x14ac:dyDescent="0.2">
      <c r="A130" s="108" t="s">
        <v>9335</v>
      </c>
      <c r="B130" s="106">
        <v>130</v>
      </c>
      <c r="C130" s="106">
        <v>7.1</v>
      </c>
      <c r="D130" s="106">
        <v>6.4999999999999997E-3</v>
      </c>
    </row>
    <row r="131" spans="1:11" x14ac:dyDescent="0.2">
      <c r="A131" s="106" t="s">
        <v>9336</v>
      </c>
      <c r="B131" s="106">
        <v>54.09</v>
      </c>
      <c r="C131" s="106">
        <v>5.1376999999999997</v>
      </c>
      <c r="D131" s="106">
        <v>30.22</v>
      </c>
      <c r="E131" s="106">
        <v>6.8730000000000002</v>
      </c>
      <c r="F131" s="106">
        <v>941.7</v>
      </c>
      <c r="G131" s="106">
        <v>240.4</v>
      </c>
      <c r="H131" s="106">
        <v>-104</v>
      </c>
      <c r="I131" s="106">
        <v>29</v>
      </c>
      <c r="J131" s="106">
        <v>24</v>
      </c>
    </row>
    <row r="132" spans="1:11" x14ac:dyDescent="0.2">
      <c r="A132" s="106" t="s">
        <v>9337</v>
      </c>
      <c r="B132" s="106">
        <v>170.33</v>
      </c>
      <c r="C132" s="106">
        <v>6.25</v>
      </c>
      <c r="D132" s="106">
        <v>9.3000000000000005E-4</v>
      </c>
      <c r="E132" s="106">
        <v>6.9809999999999999</v>
      </c>
      <c r="F132" s="106">
        <v>1625.9</v>
      </c>
      <c r="G132" s="106">
        <v>180.31</v>
      </c>
      <c r="H132" s="106">
        <v>259</v>
      </c>
      <c r="I132" s="106">
        <v>423</v>
      </c>
      <c r="J132" s="106">
        <v>421</v>
      </c>
    </row>
    <row r="133" spans="1:11" x14ac:dyDescent="0.2">
      <c r="A133" s="106" t="s">
        <v>9338</v>
      </c>
      <c r="B133" s="106">
        <v>92.52</v>
      </c>
      <c r="C133" s="106">
        <v>9.85</v>
      </c>
      <c r="D133" s="106">
        <v>0.19400000000000001</v>
      </c>
      <c r="E133" s="106">
        <v>8.2289999999999992</v>
      </c>
      <c r="F133" s="106">
        <v>2086.8000000000002</v>
      </c>
      <c r="G133" s="106">
        <v>273.16000000000003</v>
      </c>
      <c r="H133" s="106">
        <v>241</v>
      </c>
    </row>
    <row r="134" spans="1:11" x14ac:dyDescent="0.2">
      <c r="A134" s="106" t="s">
        <v>9339</v>
      </c>
      <c r="B134" s="106">
        <v>30.07</v>
      </c>
      <c r="D134" s="106">
        <v>472</v>
      </c>
      <c r="E134" s="106">
        <v>6.8129999999999997</v>
      </c>
      <c r="F134" s="106">
        <v>659.7</v>
      </c>
      <c r="G134" s="106">
        <v>256.43099999999998</v>
      </c>
      <c r="H134" s="106">
        <v>-215</v>
      </c>
      <c r="I134" s="106">
        <v>-100</v>
      </c>
      <c r="J134" s="106">
        <v>-127</v>
      </c>
    </row>
    <row r="135" spans="1:11" x14ac:dyDescent="0.2">
      <c r="A135" s="106" t="s">
        <v>9340</v>
      </c>
      <c r="B135" s="106">
        <v>46.07</v>
      </c>
      <c r="C135" s="106">
        <v>6.59</v>
      </c>
      <c r="D135" s="106">
        <v>0.64800000000000002</v>
      </c>
      <c r="E135" s="106">
        <v>8.2469999999999999</v>
      </c>
      <c r="F135" s="106">
        <v>1670.4</v>
      </c>
      <c r="G135" s="106">
        <v>232.96</v>
      </c>
      <c r="H135" s="106">
        <v>32</v>
      </c>
      <c r="I135" s="106">
        <v>173</v>
      </c>
      <c r="J135" s="106">
        <v>173</v>
      </c>
    </row>
    <row r="136" spans="1:11" x14ac:dyDescent="0.2">
      <c r="A136" s="106" t="s">
        <v>9341</v>
      </c>
      <c r="B136" s="106">
        <v>61.08</v>
      </c>
      <c r="C136" s="106">
        <v>8.5</v>
      </c>
      <c r="D136" s="106">
        <v>2E-3</v>
      </c>
      <c r="E136" s="106">
        <v>7.1680000000000001</v>
      </c>
      <c r="F136" s="106">
        <v>1408.9</v>
      </c>
      <c r="G136" s="106">
        <v>157.06</v>
      </c>
      <c r="H136" s="106">
        <v>150</v>
      </c>
      <c r="I136" s="106">
        <v>340</v>
      </c>
      <c r="J136" s="106">
        <v>339</v>
      </c>
    </row>
    <row r="137" spans="1:11" x14ac:dyDescent="0.2">
      <c r="A137" s="106" t="s">
        <v>9342</v>
      </c>
      <c r="E137" s="106">
        <v>7.4560000000000004</v>
      </c>
      <c r="F137" s="106">
        <v>1577.67</v>
      </c>
      <c r="G137" s="106">
        <v>173.37</v>
      </c>
    </row>
    <row r="138" spans="1:11" x14ac:dyDescent="0.2">
      <c r="A138" s="106" t="s">
        <v>9343</v>
      </c>
      <c r="B138" s="106">
        <v>28.05</v>
      </c>
      <c r="C138" s="106">
        <v>4.74</v>
      </c>
      <c r="D138" s="106">
        <v>749</v>
      </c>
      <c r="E138" s="106">
        <v>6.7480000000000002</v>
      </c>
      <c r="F138" s="106">
        <v>584.1</v>
      </c>
      <c r="G138" s="106">
        <v>254.84</v>
      </c>
      <c r="H138" s="106">
        <v>-191</v>
      </c>
      <c r="I138" s="106">
        <v>-120</v>
      </c>
      <c r="J138" s="106">
        <v>-155</v>
      </c>
    </row>
    <row r="139" spans="1:11" x14ac:dyDescent="0.2">
      <c r="A139" s="106" t="s">
        <v>9344</v>
      </c>
      <c r="B139" s="106">
        <v>88.11</v>
      </c>
      <c r="C139" s="106">
        <v>7.51</v>
      </c>
      <c r="D139" s="106">
        <v>1.135</v>
      </c>
      <c r="E139" s="106">
        <v>7.1029999999999998</v>
      </c>
      <c r="F139" s="106">
        <v>1245.7</v>
      </c>
      <c r="G139" s="106">
        <v>217.96</v>
      </c>
      <c r="H139" s="106">
        <v>60</v>
      </c>
      <c r="I139" s="106">
        <v>168</v>
      </c>
      <c r="J139" s="106">
        <v>171</v>
      </c>
    </row>
    <row r="140" spans="1:11" x14ac:dyDescent="0.2">
      <c r="A140" s="106" t="s">
        <v>9345</v>
      </c>
      <c r="B140" s="106">
        <v>100.12</v>
      </c>
      <c r="C140" s="106">
        <v>7.71</v>
      </c>
      <c r="D140" s="106">
        <v>0.44500000000000001</v>
      </c>
      <c r="E140" s="106">
        <v>7.15</v>
      </c>
      <c r="F140" s="106">
        <v>1366.1</v>
      </c>
      <c r="G140" s="106">
        <v>220.47</v>
      </c>
      <c r="H140" s="106">
        <v>-21</v>
      </c>
      <c r="I140" s="106">
        <v>211</v>
      </c>
      <c r="J140" s="106">
        <v>211</v>
      </c>
    </row>
    <row r="141" spans="1:11" x14ac:dyDescent="0.2">
      <c r="A141" s="106" t="s">
        <v>9346</v>
      </c>
      <c r="B141" s="106">
        <v>46.07</v>
      </c>
      <c r="C141" s="106">
        <v>6.59</v>
      </c>
      <c r="D141" s="106">
        <v>0.64800000000000002</v>
      </c>
      <c r="E141" s="106">
        <v>8.2469999999999999</v>
      </c>
      <c r="F141" s="106">
        <v>1670.4</v>
      </c>
      <c r="G141" s="106">
        <v>232.96</v>
      </c>
      <c r="H141" s="106">
        <v>32</v>
      </c>
      <c r="I141" s="106">
        <v>173</v>
      </c>
      <c r="J141" s="106">
        <v>173</v>
      </c>
    </row>
    <row r="142" spans="1:11" x14ac:dyDescent="0.2">
      <c r="A142" s="106" t="s">
        <v>9347</v>
      </c>
      <c r="E142" s="106">
        <v>6.9749999999999996</v>
      </c>
      <c r="F142" s="106">
        <v>1424.2550000000001</v>
      </c>
      <c r="G142" s="106">
        <v>213.21</v>
      </c>
    </row>
    <row r="143" spans="1:11" x14ac:dyDescent="0.2">
      <c r="A143" s="106" t="s">
        <v>9348</v>
      </c>
      <c r="B143" s="106">
        <v>64.510000000000005</v>
      </c>
      <c r="C143" s="106">
        <v>7.4377000000000004</v>
      </c>
      <c r="D143" s="106">
        <v>16.63</v>
      </c>
      <c r="E143" s="106">
        <v>7.0369999999999999</v>
      </c>
      <c r="F143" s="106">
        <v>1052.8</v>
      </c>
      <c r="G143" s="106">
        <v>241.07</v>
      </c>
      <c r="H143" s="106">
        <v>-69</v>
      </c>
      <c r="I143" s="106">
        <v>55</v>
      </c>
      <c r="J143" s="106">
        <v>61</v>
      </c>
    </row>
    <row r="144" spans="1:11" x14ac:dyDescent="0.2">
      <c r="A144" s="106" t="s">
        <v>9349</v>
      </c>
      <c r="B144" s="106">
        <v>100.12</v>
      </c>
      <c r="C144" s="106">
        <v>7.71</v>
      </c>
      <c r="D144" s="106">
        <v>0.44500000000000001</v>
      </c>
      <c r="E144" s="106">
        <v>7.15</v>
      </c>
      <c r="F144" s="106">
        <v>1366.1</v>
      </c>
      <c r="G144" s="106">
        <v>220.47</v>
      </c>
      <c r="H144" s="106">
        <v>-21</v>
      </c>
      <c r="I144" s="106">
        <v>211</v>
      </c>
      <c r="J144" s="106">
        <v>211</v>
      </c>
      <c r="K144" s="106">
        <v>10</v>
      </c>
    </row>
    <row r="145" spans="1:11" x14ac:dyDescent="0.2">
      <c r="A145" s="106" t="s">
        <v>9350</v>
      </c>
      <c r="B145" s="106">
        <v>74.12</v>
      </c>
      <c r="C145" s="106">
        <v>5.96</v>
      </c>
      <c r="D145" s="106">
        <v>6.6749999999999998</v>
      </c>
      <c r="E145" s="106">
        <v>6.8970000000000002</v>
      </c>
      <c r="F145" s="106">
        <v>1062.5999999999999</v>
      </c>
      <c r="G145" s="106">
        <v>228.22</v>
      </c>
      <c r="H145" s="106">
        <v>-10</v>
      </c>
      <c r="I145" s="106">
        <v>132</v>
      </c>
      <c r="J145" s="106">
        <v>94</v>
      </c>
      <c r="K145" s="106">
        <v>11.5</v>
      </c>
    </row>
    <row r="146" spans="1:11" x14ac:dyDescent="0.2">
      <c r="A146" s="106" t="s">
        <v>9351</v>
      </c>
      <c r="B146" s="106">
        <v>45.08</v>
      </c>
      <c r="C146" s="106">
        <v>5.6577000000000002</v>
      </c>
      <c r="D146" s="106">
        <v>14.08</v>
      </c>
      <c r="E146" s="106">
        <v>7.4050000000000002</v>
      </c>
      <c r="F146" s="106">
        <v>1203.8</v>
      </c>
      <c r="G146" s="106">
        <v>249.43</v>
      </c>
      <c r="H146" s="106">
        <v>62</v>
      </c>
      <c r="I146" s="106">
        <v>349</v>
      </c>
      <c r="J146" s="106">
        <v>64</v>
      </c>
      <c r="K146" s="106">
        <v>13</v>
      </c>
    </row>
    <row r="147" spans="1:11" x14ac:dyDescent="0.2">
      <c r="A147" s="106" t="s">
        <v>9352</v>
      </c>
      <c r="B147" s="106">
        <v>106.17</v>
      </c>
      <c r="C147" s="106">
        <v>7.24</v>
      </c>
      <c r="D147" s="106">
        <v>0.104</v>
      </c>
      <c r="E147" s="106">
        <v>6.95</v>
      </c>
      <c r="F147" s="106">
        <v>1419.3</v>
      </c>
      <c r="G147" s="106">
        <v>212.61</v>
      </c>
      <c r="H147" s="106">
        <v>134</v>
      </c>
      <c r="I147" s="106">
        <v>279</v>
      </c>
      <c r="J147" s="106">
        <v>277</v>
      </c>
      <c r="K147" s="106">
        <v>13.5</v>
      </c>
    </row>
    <row r="148" spans="1:11" x14ac:dyDescent="0.2">
      <c r="A148" s="106" t="s">
        <v>9353</v>
      </c>
      <c r="B148" s="106">
        <v>98.19</v>
      </c>
      <c r="C148" s="106">
        <v>6.4</v>
      </c>
      <c r="D148" s="106">
        <v>0.47499999999999998</v>
      </c>
      <c r="E148" s="106">
        <v>6.8979999999999997</v>
      </c>
      <c r="F148" s="106">
        <v>1305</v>
      </c>
      <c r="G148" s="106">
        <v>221.4</v>
      </c>
      <c r="H148" s="106">
        <v>84</v>
      </c>
      <c r="I148" s="106">
        <v>220</v>
      </c>
      <c r="J148" s="106">
        <v>218</v>
      </c>
      <c r="K148" s="106">
        <v>15</v>
      </c>
    </row>
    <row r="149" spans="1:11" x14ac:dyDescent="0.2">
      <c r="A149" s="106" t="s">
        <v>9354</v>
      </c>
      <c r="B149" s="106">
        <v>28.05</v>
      </c>
      <c r="C149" s="106">
        <v>4.74</v>
      </c>
      <c r="D149" s="106">
        <v>749</v>
      </c>
      <c r="E149" s="106">
        <v>6.7480000000000002</v>
      </c>
      <c r="F149" s="106">
        <v>584.1</v>
      </c>
      <c r="G149" s="106">
        <v>254.84</v>
      </c>
      <c r="H149" s="106">
        <v>-191</v>
      </c>
      <c r="I149" s="106">
        <v>-120</v>
      </c>
      <c r="J149" s="106">
        <v>-155</v>
      </c>
      <c r="K149" s="106">
        <v>7</v>
      </c>
    </row>
    <row r="150" spans="1:11" x14ac:dyDescent="0.2">
      <c r="A150" s="106" t="s">
        <v>9355</v>
      </c>
      <c r="B150" s="106">
        <v>44.05</v>
      </c>
      <c r="C150" s="106">
        <v>7.3650000000000002</v>
      </c>
      <c r="D150" s="106">
        <v>17.84</v>
      </c>
      <c r="E150" s="106">
        <v>8.7219999999999995</v>
      </c>
      <c r="F150" s="106">
        <v>2022.8</v>
      </c>
      <c r="G150" s="106">
        <v>335.81</v>
      </c>
      <c r="H150" s="106">
        <v>32</v>
      </c>
      <c r="I150" s="106">
        <v>89</v>
      </c>
      <c r="J150" s="106">
        <v>53</v>
      </c>
      <c r="K150" s="106">
        <v>7.8</v>
      </c>
    </row>
    <row r="151" spans="1:11" x14ac:dyDescent="0.2">
      <c r="A151" s="106" t="s">
        <v>9356</v>
      </c>
      <c r="B151" s="106">
        <v>100.2</v>
      </c>
      <c r="C151" s="106">
        <v>5.83</v>
      </c>
      <c r="D151" s="106">
        <v>0.70099999999999996</v>
      </c>
      <c r="E151" s="106">
        <v>6.88</v>
      </c>
      <c r="F151" s="106">
        <v>1254.0999999999999</v>
      </c>
      <c r="G151" s="106">
        <v>220.15</v>
      </c>
      <c r="H151" s="106">
        <v>70</v>
      </c>
      <c r="I151" s="106">
        <v>202</v>
      </c>
      <c r="J151" s="106">
        <v>200</v>
      </c>
      <c r="K151" s="106">
        <v>8.3000000000000007</v>
      </c>
    </row>
    <row r="152" spans="1:11" x14ac:dyDescent="0.2">
      <c r="A152" s="106" t="s">
        <v>9357</v>
      </c>
      <c r="B152" s="106">
        <v>202.25</v>
      </c>
      <c r="C152" s="106">
        <v>10.45</v>
      </c>
      <c r="D152" s="106">
        <v>3.9599999999999997E-8</v>
      </c>
      <c r="E152" s="106">
        <v>12.836</v>
      </c>
      <c r="F152" s="106">
        <v>5348.1</v>
      </c>
      <c r="G152" s="106">
        <v>273.14999999999998</v>
      </c>
      <c r="H152" s="106">
        <v>77</v>
      </c>
      <c r="I152" s="106">
        <v>230</v>
      </c>
      <c r="J152" s="106">
        <v>723</v>
      </c>
    </row>
    <row r="153" spans="1:11" x14ac:dyDescent="0.2">
      <c r="A153" s="106" t="s">
        <v>9358</v>
      </c>
      <c r="B153" s="106">
        <v>96.1</v>
      </c>
      <c r="C153" s="106">
        <v>8.5299999999999994</v>
      </c>
      <c r="D153" s="106">
        <v>0.93600000000000005</v>
      </c>
      <c r="E153" s="106">
        <v>7.2370000000000001</v>
      </c>
      <c r="F153" s="106">
        <v>1409.8</v>
      </c>
      <c r="G153" s="106">
        <v>238.36</v>
      </c>
      <c r="H153" s="106">
        <v>0</v>
      </c>
      <c r="I153" s="106">
        <v>183</v>
      </c>
      <c r="J153" s="106">
        <v>185</v>
      </c>
    </row>
    <row r="154" spans="1:11" x14ac:dyDescent="0.2">
      <c r="A154" s="106" t="s">
        <v>9359</v>
      </c>
      <c r="B154" s="106">
        <v>46.03</v>
      </c>
      <c r="C154" s="106">
        <v>10.18</v>
      </c>
      <c r="D154" s="106">
        <v>0.51600000000000001</v>
      </c>
      <c r="E154" s="106">
        <v>4.8760000000000003</v>
      </c>
      <c r="F154" s="106">
        <v>515</v>
      </c>
      <c r="G154" s="106">
        <v>133.74</v>
      </c>
      <c r="H154" s="106">
        <v>33</v>
      </c>
      <c r="I154" s="106">
        <v>93</v>
      </c>
      <c r="J154" s="106">
        <v>213</v>
      </c>
    </row>
    <row r="155" spans="1:11" x14ac:dyDescent="0.2">
      <c r="A155" s="106" t="s">
        <v>9360</v>
      </c>
      <c r="B155" s="106">
        <v>137.37</v>
      </c>
      <c r="C155" s="106">
        <v>12.48</v>
      </c>
      <c r="D155" s="106">
        <v>10.93</v>
      </c>
      <c r="E155" s="106">
        <v>6.8840000000000003</v>
      </c>
      <c r="F155" s="106">
        <v>1043</v>
      </c>
      <c r="G155" s="106">
        <v>236.88</v>
      </c>
      <c r="H155" s="106">
        <v>75</v>
      </c>
      <c r="J155" s="106">
        <v>75.400000000000006</v>
      </c>
    </row>
    <row r="156" spans="1:11" x14ac:dyDescent="0.2">
      <c r="A156" s="106" t="s">
        <v>9361</v>
      </c>
      <c r="B156" s="106">
        <v>68.069999999999993</v>
      </c>
      <c r="C156" s="106">
        <v>7.94</v>
      </c>
      <c r="D156" s="106">
        <v>7.9630000000000001</v>
      </c>
      <c r="E156" s="106">
        <v>6.9749999999999996</v>
      </c>
      <c r="F156" s="106">
        <v>1060.8</v>
      </c>
      <c r="G156" s="106">
        <v>227.73</v>
      </c>
      <c r="H156" s="106">
        <v>37</v>
      </c>
      <c r="I156" s="106">
        <v>143</v>
      </c>
      <c r="J156" s="106">
        <v>89</v>
      </c>
    </row>
    <row r="157" spans="1:11" x14ac:dyDescent="0.2">
      <c r="A157" s="106" t="s">
        <v>9362</v>
      </c>
      <c r="B157" s="106">
        <v>96.09</v>
      </c>
      <c r="C157" s="106">
        <v>9.68</v>
      </c>
      <c r="D157" s="106">
        <v>1.7999999999999999E-2</v>
      </c>
      <c r="E157" s="106">
        <v>6.9690000000000003</v>
      </c>
      <c r="F157" s="106">
        <v>1430.1</v>
      </c>
      <c r="G157" s="106">
        <v>188.7</v>
      </c>
      <c r="H157" s="106">
        <v>133</v>
      </c>
      <c r="I157" s="106">
        <v>321</v>
      </c>
      <c r="J157" s="106">
        <v>323</v>
      </c>
    </row>
    <row r="158" spans="1:11" x14ac:dyDescent="0.2">
      <c r="A158" s="108" t="s">
        <v>9363</v>
      </c>
      <c r="B158" s="106">
        <v>66</v>
      </c>
      <c r="C158" s="106">
        <v>5.6</v>
      </c>
      <c r="D158" s="106">
        <v>5.2</v>
      </c>
      <c r="E158" s="106">
        <v>11.724</v>
      </c>
      <c r="F158" s="106">
        <v>2636.46</v>
      </c>
    </row>
    <row r="159" spans="1:11" x14ac:dyDescent="0.2">
      <c r="A159" s="108" t="s">
        <v>9364</v>
      </c>
      <c r="B159" s="106">
        <v>65</v>
      </c>
      <c r="C159" s="106">
        <v>5.6</v>
      </c>
      <c r="D159" s="106">
        <v>6.069</v>
      </c>
    </row>
    <row r="160" spans="1:11" x14ac:dyDescent="0.2">
      <c r="A160" s="108" t="s">
        <v>9365</v>
      </c>
      <c r="B160" s="106">
        <v>62</v>
      </c>
      <c r="C160" s="106">
        <v>5.6</v>
      </c>
      <c r="D160" s="106">
        <v>7</v>
      </c>
      <c r="E160" s="106">
        <v>11.644</v>
      </c>
      <c r="F160" s="106">
        <v>2528.85</v>
      </c>
    </row>
    <row r="161" spans="1:10" x14ac:dyDescent="0.2">
      <c r="A161" s="108" t="s">
        <v>9366</v>
      </c>
      <c r="B161" s="106">
        <v>62</v>
      </c>
      <c r="C161" s="106">
        <v>5.6</v>
      </c>
      <c r="D161" s="106">
        <v>7.2572999999999999</v>
      </c>
    </row>
    <row r="162" spans="1:10" x14ac:dyDescent="0.2">
      <c r="A162" s="108" t="s">
        <v>9367</v>
      </c>
      <c r="B162" s="106">
        <v>60</v>
      </c>
      <c r="C162" s="106">
        <v>5.6</v>
      </c>
      <c r="D162" s="106">
        <v>8.1621000000000006</v>
      </c>
    </row>
    <row r="163" spans="1:10" x14ac:dyDescent="0.2">
      <c r="A163" s="108" t="s">
        <v>9368</v>
      </c>
      <c r="B163" s="106">
        <v>68</v>
      </c>
      <c r="C163" s="106">
        <v>5.6</v>
      </c>
      <c r="D163" s="106">
        <v>3.5</v>
      </c>
      <c r="E163" s="106">
        <v>11.833</v>
      </c>
      <c r="F163" s="106">
        <v>2782.74</v>
      </c>
    </row>
    <row r="164" spans="1:10" x14ac:dyDescent="0.2">
      <c r="A164" s="108" t="s">
        <v>9369</v>
      </c>
      <c r="B164" s="106">
        <v>68</v>
      </c>
      <c r="C164" s="106">
        <v>5.6</v>
      </c>
      <c r="D164" s="106">
        <v>3.9363000000000001</v>
      </c>
    </row>
    <row r="165" spans="1:10" x14ac:dyDescent="0.2">
      <c r="A165" s="108" t="s">
        <v>9370</v>
      </c>
      <c r="B165" s="106">
        <v>68</v>
      </c>
      <c r="C165" s="106">
        <v>5.6</v>
      </c>
      <c r="D165" s="106">
        <v>4.2187999999999999</v>
      </c>
    </row>
    <row r="166" spans="1:10" x14ac:dyDescent="0.2">
      <c r="A166" s="106" t="s">
        <v>9371</v>
      </c>
      <c r="B166" s="106">
        <v>296.57</v>
      </c>
      <c r="C166" s="106">
        <v>6.61</v>
      </c>
      <c r="D166" s="106">
        <v>6.2300000000000001E-7</v>
      </c>
      <c r="E166" s="106">
        <v>8.7959999999999994</v>
      </c>
      <c r="F166" s="106">
        <v>3571.2</v>
      </c>
      <c r="G166" s="106">
        <v>253.2</v>
      </c>
      <c r="H166" s="106">
        <v>307</v>
      </c>
      <c r="I166" s="106">
        <v>663</v>
      </c>
      <c r="J166" s="106">
        <v>679</v>
      </c>
    </row>
    <row r="167" spans="1:10" x14ac:dyDescent="0.2">
      <c r="A167" s="106" t="s">
        <v>9372</v>
      </c>
      <c r="B167" s="106">
        <v>100.2</v>
      </c>
      <c r="C167" s="106">
        <v>5.71</v>
      </c>
      <c r="D167" s="106">
        <v>0.54100000000000004</v>
      </c>
      <c r="E167" s="106">
        <v>6.9029999999999996</v>
      </c>
      <c r="F167" s="106">
        <v>1268.5999999999999</v>
      </c>
      <c r="G167" s="106">
        <v>216.95</v>
      </c>
      <c r="H167" s="106">
        <v>79</v>
      </c>
      <c r="I167" s="106">
        <v>211</v>
      </c>
      <c r="J167" s="106">
        <v>209</v>
      </c>
    </row>
    <row r="168" spans="1:10" x14ac:dyDescent="0.2">
      <c r="A168" s="106" t="s">
        <v>9373</v>
      </c>
      <c r="E168" s="106">
        <v>6.8994</v>
      </c>
      <c r="F168" s="106">
        <v>1331.53</v>
      </c>
      <c r="G168" s="106">
        <v>212.41</v>
      </c>
    </row>
    <row r="169" spans="1:10" x14ac:dyDescent="0.2">
      <c r="A169" s="106" t="s">
        <v>9374</v>
      </c>
      <c r="B169" s="106">
        <v>98.19</v>
      </c>
      <c r="C169" s="106">
        <v>5.82</v>
      </c>
      <c r="D169" s="106">
        <v>0.752</v>
      </c>
      <c r="E169" s="106">
        <v>7.093</v>
      </c>
      <c r="F169" s="106">
        <v>1400.7</v>
      </c>
      <c r="G169" s="106">
        <v>238.96</v>
      </c>
      <c r="H169" s="106">
        <v>32</v>
      </c>
      <c r="I169" s="106">
        <v>192</v>
      </c>
      <c r="J169" s="106">
        <v>201</v>
      </c>
    </row>
    <row r="170" spans="1:10" x14ac:dyDescent="0.2">
      <c r="A170" s="106" t="s">
        <v>9375</v>
      </c>
      <c r="B170" s="106">
        <v>82.14</v>
      </c>
      <c r="C170" s="106">
        <v>5.7477</v>
      </c>
      <c r="D170" s="106">
        <v>2.89</v>
      </c>
      <c r="E170" s="106">
        <v>6.5629999999999997</v>
      </c>
      <c r="F170" s="106">
        <v>1008.1</v>
      </c>
      <c r="G170" s="106">
        <v>214.16</v>
      </c>
      <c r="H170" s="106">
        <v>32</v>
      </c>
      <c r="I170" s="106">
        <v>138</v>
      </c>
      <c r="J170" s="106">
        <v>140</v>
      </c>
    </row>
    <row r="171" spans="1:10" x14ac:dyDescent="0.2">
      <c r="A171" s="106" t="s">
        <v>9376</v>
      </c>
      <c r="B171" s="106">
        <v>86.18</v>
      </c>
      <c r="C171" s="106">
        <v>5.4776999999999996</v>
      </c>
      <c r="D171" s="106">
        <v>1.913</v>
      </c>
      <c r="E171" s="106">
        <v>6.8780000000000001</v>
      </c>
      <c r="F171" s="106">
        <v>1171.5</v>
      </c>
      <c r="G171" s="106">
        <v>224.37</v>
      </c>
      <c r="H171" s="106">
        <v>55</v>
      </c>
      <c r="I171" s="106">
        <v>157</v>
      </c>
      <c r="J171" s="106">
        <v>156</v>
      </c>
    </row>
    <row r="172" spans="1:10" x14ac:dyDescent="0.2">
      <c r="A172" s="106" t="s">
        <v>9377</v>
      </c>
      <c r="B172" s="106">
        <v>102.17</v>
      </c>
      <c r="C172" s="106">
        <v>6.79</v>
      </c>
      <c r="D172" s="106">
        <v>5.0000000000000001E-3</v>
      </c>
      <c r="E172" s="106">
        <v>7.2880000000000003</v>
      </c>
      <c r="F172" s="106">
        <v>1422</v>
      </c>
      <c r="G172" s="106">
        <v>165.44</v>
      </c>
      <c r="H172" s="106">
        <v>126</v>
      </c>
      <c r="I172" s="106">
        <v>315</v>
      </c>
      <c r="J172" s="106">
        <v>314</v>
      </c>
    </row>
    <row r="173" spans="1:10" x14ac:dyDescent="0.2">
      <c r="A173" s="106" t="s">
        <v>9378</v>
      </c>
      <c r="B173" s="106">
        <v>84.16</v>
      </c>
      <c r="C173" s="106">
        <v>5.62</v>
      </c>
      <c r="D173" s="106">
        <v>2.3780000000000001</v>
      </c>
      <c r="E173" s="106">
        <v>6.8659999999999997</v>
      </c>
      <c r="F173" s="106">
        <v>1153</v>
      </c>
      <c r="G173" s="106">
        <v>225.85</v>
      </c>
      <c r="H173" s="106">
        <v>61</v>
      </c>
      <c r="I173" s="106">
        <v>148</v>
      </c>
      <c r="J173" s="106">
        <v>147</v>
      </c>
    </row>
    <row r="174" spans="1:10" x14ac:dyDescent="0.2">
      <c r="A174" s="106" t="s">
        <v>9379</v>
      </c>
      <c r="B174" s="106">
        <v>27.03</v>
      </c>
      <c r="C174" s="106">
        <v>5.74</v>
      </c>
      <c r="D174" s="106">
        <v>9.9309999999999992</v>
      </c>
      <c r="E174" s="106">
        <v>7.5490000000000004</v>
      </c>
      <c r="F174" s="106">
        <v>1340.8</v>
      </c>
      <c r="G174" s="106">
        <v>261.56</v>
      </c>
      <c r="H174" s="106">
        <v>2</v>
      </c>
      <c r="I174" s="106">
        <v>115</v>
      </c>
      <c r="J174" s="106">
        <v>79</v>
      </c>
    </row>
    <row r="175" spans="1:10" x14ac:dyDescent="0.2">
      <c r="A175" s="106" t="s">
        <v>9380</v>
      </c>
      <c r="B175" s="106">
        <v>27.03</v>
      </c>
      <c r="C175" s="106">
        <v>5.74</v>
      </c>
      <c r="D175" s="106">
        <v>9.9309999999999992</v>
      </c>
      <c r="E175" s="106">
        <v>7.5490000000000004</v>
      </c>
      <c r="F175" s="106">
        <v>1340.8</v>
      </c>
      <c r="G175" s="106">
        <v>261.56</v>
      </c>
      <c r="H175" s="106">
        <v>2</v>
      </c>
      <c r="I175" s="106">
        <v>115</v>
      </c>
      <c r="J175" s="106">
        <v>79</v>
      </c>
    </row>
    <row r="176" spans="1:10" x14ac:dyDescent="0.2">
      <c r="A176" s="106" t="s">
        <v>9381</v>
      </c>
      <c r="B176" s="106">
        <v>58.12</v>
      </c>
      <c r="C176" s="106">
        <v>4.6077000000000004</v>
      </c>
      <c r="D176" s="106">
        <v>38.22</v>
      </c>
      <c r="E176" s="106">
        <v>6.819</v>
      </c>
      <c r="F176" s="106">
        <v>912.1</v>
      </c>
      <c r="G176" s="106">
        <v>243.34</v>
      </c>
      <c r="H176" s="106">
        <v>-121</v>
      </c>
      <c r="I176" s="106">
        <v>11</v>
      </c>
      <c r="J176" s="106">
        <v>12</v>
      </c>
    </row>
    <row r="177" spans="1:10" x14ac:dyDescent="0.2">
      <c r="A177" s="106" t="s">
        <v>9382</v>
      </c>
      <c r="B177" s="106">
        <v>56.11</v>
      </c>
      <c r="C177" s="106">
        <v>4.9276999999999997</v>
      </c>
      <c r="D177" s="106">
        <v>32.18</v>
      </c>
      <c r="E177" s="106">
        <v>6.5220000000000002</v>
      </c>
      <c r="F177" s="106">
        <v>799.1</v>
      </c>
      <c r="G177" s="106">
        <v>226.54</v>
      </c>
      <c r="H177" s="106">
        <v>-70</v>
      </c>
      <c r="I177" s="106">
        <v>32</v>
      </c>
      <c r="J177" s="106">
        <v>20</v>
      </c>
    </row>
    <row r="178" spans="1:10" x14ac:dyDescent="0.2">
      <c r="A178" s="106" t="s">
        <v>9383</v>
      </c>
      <c r="B178" s="106">
        <v>74.12</v>
      </c>
      <c r="C178" s="106">
        <v>6.69</v>
      </c>
      <c r="D178" s="106">
        <v>9.6000000000000002E-2</v>
      </c>
      <c r="E178" s="106">
        <v>7.306</v>
      </c>
      <c r="F178" s="106">
        <v>1237</v>
      </c>
      <c r="G178" s="106">
        <v>171.62</v>
      </c>
      <c r="H178" s="106">
        <v>176</v>
      </c>
      <c r="I178" s="106">
        <v>240</v>
      </c>
      <c r="J178" s="106">
        <v>226</v>
      </c>
    </row>
    <row r="179" spans="1:10" x14ac:dyDescent="0.2">
      <c r="A179" s="106" t="s">
        <v>9384</v>
      </c>
      <c r="B179" s="106">
        <v>114.23</v>
      </c>
      <c r="C179" s="106">
        <v>5.7477</v>
      </c>
      <c r="D179" s="106">
        <v>0.59599999999999997</v>
      </c>
      <c r="E179" s="106">
        <v>6.8120000000000003</v>
      </c>
      <c r="F179" s="106">
        <v>1257.8</v>
      </c>
      <c r="G179" s="106">
        <v>220.74</v>
      </c>
      <c r="H179" s="106">
        <v>76</v>
      </c>
      <c r="I179" s="106">
        <v>212</v>
      </c>
      <c r="J179" s="106">
        <v>211</v>
      </c>
    </row>
    <row r="180" spans="1:10" x14ac:dyDescent="0.2">
      <c r="A180" s="106" t="s">
        <v>9385</v>
      </c>
      <c r="B180" s="106">
        <v>72.150000000000006</v>
      </c>
      <c r="C180" s="106">
        <v>5.18</v>
      </c>
      <c r="D180" s="106">
        <v>9.4260000000000002</v>
      </c>
      <c r="E180" s="106">
        <v>6.79</v>
      </c>
      <c r="F180" s="106">
        <v>1020</v>
      </c>
      <c r="G180" s="106">
        <v>233.1</v>
      </c>
      <c r="H180" s="106">
        <v>61</v>
      </c>
      <c r="I180" s="106">
        <v>83</v>
      </c>
      <c r="J180" s="106">
        <v>82</v>
      </c>
    </row>
    <row r="181" spans="1:10" x14ac:dyDescent="0.2">
      <c r="A181" s="106" t="s">
        <v>9386</v>
      </c>
      <c r="B181" s="106">
        <v>70.13</v>
      </c>
      <c r="C181" s="106">
        <v>5.53</v>
      </c>
      <c r="D181" s="106">
        <v>6.21</v>
      </c>
      <c r="E181" s="106">
        <v>6.9219999999999997</v>
      </c>
      <c r="F181" s="106">
        <v>1098.5999999999999</v>
      </c>
      <c r="G181" s="106">
        <v>233.26</v>
      </c>
      <c r="H181" s="106">
        <v>37</v>
      </c>
      <c r="I181" s="106">
        <v>159</v>
      </c>
      <c r="J181" s="106">
        <v>100</v>
      </c>
    </row>
    <row r="182" spans="1:10" x14ac:dyDescent="0.2">
      <c r="A182" s="106" t="s">
        <v>9387</v>
      </c>
      <c r="B182" s="106">
        <v>68.12</v>
      </c>
      <c r="C182" s="106">
        <v>5.67</v>
      </c>
      <c r="D182" s="106">
        <v>7.4459999999999997</v>
      </c>
      <c r="E182" s="106">
        <v>6.0910000000000002</v>
      </c>
      <c r="F182" s="106">
        <v>706.9</v>
      </c>
      <c r="G182" s="106">
        <v>186.1</v>
      </c>
      <c r="H182" s="106">
        <v>62</v>
      </c>
      <c r="I182" s="106">
        <v>93</v>
      </c>
      <c r="J182" s="106">
        <v>93</v>
      </c>
    </row>
    <row r="183" spans="1:10" x14ac:dyDescent="0.2">
      <c r="A183" s="106" t="s">
        <v>9388</v>
      </c>
      <c r="B183" s="106">
        <v>60.1</v>
      </c>
      <c r="C183" s="106">
        <v>6.5277000000000003</v>
      </c>
      <c r="D183" s="106">
        <v>0.443</v>
      </c>
      <c r="E183" s="106">
        <v>7.7359999999999998</v>
      </c>
      <c r="F183" s="106">
        <v>1357.4</v>
      </c>
      <c r="G183" s="106">
        <v>197.34</v>
      </c>
      <c r="H183" s="106">
        <v>134</v>
      </c>
      <c r="I183" s="106">
        <v>193</v>
      </c>
      <c r="J183" s="106">
        <v>180</v>
      </c>
    </row>
    <row r="184" spans="1:10" x14ac:dyDescent="0.2">
      <c r="A184" s="106" t="s">
        <v>9389</v>
      </c>
      <c r="B184" s="106">
        <v>60.1</v>
      </c>
      <c r="C184" s="106">
        <v>6.5277000000000003</v>
      </c>
      <c r="D184" s="106">
        <v>0.443</v>
      </c>
      <c r="E184" s="106">
        <v>7.7359999999999998</v>
      </c>
      <c r="F184" s="106">
        <v>1357.4</v>
      </c>
      <c r="G184" s="106">
        <v>197.34</v>
      </c>
      <c r="H184" s="106">
        <v>134</v>
      </c>
      <c r="I184" s="106">
        <v>193</v>
      </c>
      <c r="J184" s="106">
        <v>180</v>
      </c>
    </row>
    <row r="185" spans="1:10" x14ac:dyDescent="0.2">
      <c r="A185" s="106" t="s">
        <v>9390</v>
      </c>
      <c r="B185" s="106">
        <v>120.19</v>
      </c>
      <c r="C185" s="106">
        <v>7.19</v>
      </c>
      <c r="D185" s="106">
        <v>4.8000000000000001E-2</v>
      </c>
      <c r="E185" s="106">
        <v>6.9290000000000003</v>
      </c>
      <c r="F185" s="106">
        <v>1455.8</v>
      </c>
      <c r="G185" s="106">
        <v>207.2</v>
      </c>
      <c r="H185" s="106">
        <v>158</v>
      </c>
      <c r="I185" s="106">
        <v>308</v>
      </c>
      <c r="J185" s="106">
        <v>305</v>
      </c>
    </row>
    <row r="186" spans="1:10" x14ac:dyDescent="0.2">
      <c r="A186" s="106" t="s">
        <v>9391</v>
      </c>
      <c r="B186" s="106">
        <v>134.22</v>
      </c>
      <c r="C186" s="106">
        <v>7.32</v>
      </c>
      <c r="D186" s="106">
        <v>1.7000000000000001E-2</v>
      </c>
      <c r="E186" s="106">
        <v>7.4169999999999998</v>
      </c>
      <c r="F186" s="106">
        <v>1880.5</v>
      </c>
      <c r="G186" s="106">
        <v>236.27</v>
      </c>
      <c r="H186" s="106">
        <v>178</v>
      </c>
      <c r="I186" s="106">
        <v>355</v>
      </c>
      <c r="J186" s="106">
        <v>350</v>
      </c>
    </row>
    <row r="187" spans="1:10" x14ac:dyDescent="0.2">
      <c r="A187" s="108" t="s">
        <v>9392</v>
      </c>
      <c r="B187" s="106">
        <v>130</v>
      </c>
      <c r="C187" s="106">
        <v>7</v>
      </c>
      <c r="D187" s="106">
        <v>8.0000000000000002E-3</v>
      </c>
      <c r="E187" s="106">
        <v>12.39</v>
      </c>
      <c r="F187" s="106">
        <v>4689.63</v>
      </c>
    </row>
    <row r="188" spans="1:10" x14ac:dyDescent="0.2">
      <c r="A188" s="108" t="s">
        <v>9393</v>
      </c>
      <c r="B188" s="106">
        <v>80</v>
      </c>
      <c r="C188" s="106">
        <v>6.4</v>
      </c>
      <c r="D188" s="106">
        <v>1.3</v>
      </c>
      <c r="E188" s="106">
        <v>11.368</v>
      </c>
      <c r="F188" s="106">
        <v>2940.35</v>
      </c>
    </row>
    <row r="189" spans="1:10" x14ac:dyDescent="0.2">
      <c r="A189" s="106" t="s">
        <v>9394</v>
      </c>
    </row>
    <row r="190" spans="1:10" x14ac:dyDescent="0.2">
      <c r="A190" s="106" t="s">
        <v>9395</v>
      </c>
      <c r="B190" s="106">
        <v>67.09</v>
      </c>
      <c r="C190" s="106">
        <v>6.68</v>
      </c>
      <c r="D190" s="106">
        <v>0.88600000000000001</v>
      </c>
      <c r="E190" s="106">
        <v>6.9989999999999997</v>
      </c>
      <c r="F190" s="106">
        <v>1353.6</v>
      </c>
      <c r="G190" s="106">
        <v>238.03</v>
      </c>
      <c r="H190" s="106">
        <v>-48</v>
      </c>
      <c r="I190" s="106">
        <v>194</v>
      </c>
      <c r="J190" s="106">
        <v>194</v>
      </c>
    </row>
    <row r="191" spans="1:10" x14ac:dyDescent="0.2">
      <c r="A191" s="106" t="s">
        <v>9396</v>
      </c>
      <c r="B191" s="106">
        <v>16.04</v>
      </c>
      <c r="C191" s="106">
        <v>3.53</v>
      </c>
      <c r="D191" s="106">
        <v>4567</v>
      </c>
      <c r="E191" s="106">
        <v>7.0960000000000001</v>
      </c>
      <c r="F191" s="106">
        <v>516.70000000000005</v>
      </c>
      <c r="G191" s="106">
        <v>284.37</v>
      </c>
      <c r="H191" s="106">
        <v>-262</v>
      </c>
      <c r="I191" s="106">
        <v>-117</v>
      </c>
      <c r="J191" s="106">
        <v>-260</v>
      </c>
    </row>
    <row r="192" spans="1:10" x14ac:dyDescent="0.2">
      <c r="A192" s="106" t="s">
        <v>9397</v>
      </c>
      <c r="B192" s="106">
        <v>32.04</v>
      </c>
      <c r="C192" s="106">
        <v>6.61</v>
      </c>
      <c r="D192" s="106">
        <v>1.476</v>
      </c>
      <c r="E192" s="106">
        <v>8.0790000000000006</v>
      </c>
      <c r="F192" s="106">
        <v>1581.3</v>
      </c>
      <c r="G192" s="106">
        <v>239.65</v>
      </c>
      <c r="H192" s="106">
        <v>59</v>
      </c>
      <c r="I192" s="106">
        <v>183</v>
      </c>
      <c r="J192" s="106">
        <v>148</v>
      </c>
    </row>
    <row r="193" spans="1:10" x14ac:dyDescent="0.2">
      <c r="A193" s="106" t="s">
        <v>9398</v>
      </c>
      <c r="B193" s="106">
        <v>74.08</v>
      </c>
      <c r="C193" s="106">
        <v>7.8</v>
      </c>
      <c r="D193" s="106">
        <v>2.7029999999999998</v>
      </c>
      <c r="E193" s="106">
        <v>7.0789999999999997</v>
      </c>
      <c r="F193" s="106">
        <v>1164.4000000000001</v>
      </c>
      <c r="G193" s="106">
        <v>220.46</v>
      </c>
      <c r="H193" s="106">
        <v>35</v>
      </c>
      <c r="I193" s="106">
        <v>133</v>
      </c>
      <c r="J193" s="106">
        <v>134</v>
      </c>
    </row>
    <row r="194" spans="1:10" x14ac:dyDescent="0.2">
      <c r="A194" s="106" t="s">
        <v>9399</v>
      </c>
      <c r="B194" s="106">
        <v>86.09</v>
      </c>
      <c r="C194" s="106">
        <v>7.96</v>
      </c>
      <c r="D194" s="106">
        <v>1.0580000000000001</v>
      </c>
      <c r="E194" s="106">
        <v>7.1980000000000004</v>
      </c>
      <c r="F194" s="106">
        <v>1338.7</v>
      </c>
      <c r="G194" s="106">
        <v>229.63</v>
      </c>
      <c r="H194" s="106">
        <v>-47</v>
      </c>
      <c r="I194" s="106">
        <v>176</v>
      </c>
      <c r="J194" s="106">
        <v>177</v>
      </c>
    </row>
    <row r="195" spans="1:10" x14ac:dyDescent="0.2">
      <c r="A195" s="106" t="s">
        <v>9400</v>
      </c>
      <c r="B195" s="106">
        <v>32.04</v>
      </c>
      <c r="C195" s="106">
        <v>6.63</v>
      </c>
      <c r="D195" s="106">
        <v>1.4119999999999999</v>
      </c>
      <c r="J195" s="106">
        <v>148.4</v>
      </c>
    </row>
    <row r="196" spans="1:10" x14ac:dyDescent="0.2">
      <c r="A196" s="106" t="s">
        <v>9401</v>
      </c>
      <c r="B196" s="106">
        <v>86.09</v>
      </c>
      <c r="C196" s="106">
        <v>7.96</v>
      </c>
      <c r="D196" s="106">
        <v>1.0580000000000001</v>
      </c>
      <c r="E196" s="106">
        <v>7.1980000000000004</v>
      </c>
      <c r="F196" s="106">
        <v>1338.7</v>
      </c>
      <c r="G196" s="106">
        <v>229.63</v>
      </c>
      <c r="H196" s="106">
        <v>-47</v>
      </c>
      <c r="I196" s="106">
        <v>176</v>
      </c>
      <c r="J196" s="106">
        <v>177</v>
      </c>
    </row>
    <row r="197" spans="1:10" x14ac:dyDescent="0.2">
      <c r="A197" s="106" t="s">
        <v>9402</v>
      </c>
      <c r="B197" s="106">
        <v>74.08</v>
      </c>
      <c r="C197" s="106">
        <v>7.8</v>
      </c>
      <c r="D197" s="106">
        <v>2.7029999999999998</v>
      </c>
      <c r="E197" s="106">
        <v>7.0789999999999997</v>
      </c>
      <c r="F197" s="106">
        <v>1164.4000000000001</v>
      </c>
      <c r="G197" s="106">
        <v>220.46</v>
      </c>
      <c r="H197" s="106">
        <v>35</v>
      </c>
      <c r="I197" s="106">
        <v>133</v>
      </c>
      <c r="J197" s="106">
        <v>134</v>
      </c>
    </row>
    <row r="198" spans="1:10" x14ac:dyDescent="0.2">
      <c r="A198" s="106" t="s">
        <v>9403</v>
      </c>
      <c r="B198" s="106">
        <v>72.11</v>
      </c>
      <c r="C198" s="106">
        <v>6.6877000000000004</v>
      </c>
      <c r="D198" s="106">
        <v>1.081</v>
      </c>
      <c r="E198" s="106">
        <v>6.8639999999999999</v>
      </c>
      <c r="F198" s="106">
        <v>1150.2</v>
      </c>
      <c r="G198" s="106">
        <v>209.25</v>
      </c>
      <c r="H198" s="106">
        <v>106</v>
      </c>
      <c r="I198" s="106">
        <v>207</v>
      </c>
      <c r="J198" s="106">
        <v>176</v>
      </c>
    </row>
    <row r="199" spans="1:10" x14ac:dyDescent="0.2">
      <c r="A199" s="106" t="s">
        <v>9404</v>
      </c>
      <c r="B199" s="106">
        <v>100.16</v>
      </c>
      <c r="C199" s="106">
        <v>6.6577000000000002</v>
      </c>
      <c r="D199" s="106">
        <v>0.219</v>
      </c>
      <c r="E199" s="106">
        <v>6.8280000000000003</v>
      </c>
      <c r="F199" s="106">
        <v>1254.0999999999999</v>
      </c>
      <c r="G199" s="106">
        <v>201.61</v>
      </c>
      <c r="H199" s="106">
        <v>71</v>
      </c>
      <c r="I199" s="106">
        <v>241</v>
      </c>
      <c r="J199" s="106">
        <v>241</v>
      </c>
    </row>
    <row r="200" spans="1:10" x14ac:dyDescent="0.2">
      <c r="A200" s="106" t="s">
        <v>9405</v>
      </c>
      <c r="B200" s="106">
        <v>100.12</v>
      </c>
      <c r="C200" s="106">
        <v>7.88</v>
      </c>
      <c r="D200" s="106">
        <v>0.41599999999999998</v>
      </c>
      <c r="E200" s="106">
        <v>8.2530000000000001</v>
      </c>
      <c r="F200" s="106">
        <v>1945.6</v>
      </c>
      <c r="G200" s="106">
        <v>265.58</v>
      </c>
      <c r="H200" s="106">
        <v>102</v>
      </c>
      <c r="I200" s="106">
        <v>192</v>
      </c>
      <c r="J200" s="106">
        <v>213</v>
      </c>
    </row>
    <row r="201" spans="1:10" x14ac:dyDescent="0.2">
      <c r="A201" s="106" t="s">
        <v>9406</v>
      </c>
      <c r="B201" s="106">
        <v>74.12</v>
      </c>
      <c r="C201" s="106">
        <v>6.1455000000000002</v>
      </c>
      <c r="D201" s="106">
        <v>6.0170000000000003</v>
      </c>
      <c r="E201" s="106">
        <v>6.5629999999999997</v>
      </c>
      <c r="F201" s="106">
        <v>903.6</v>
      </c>
      <c r="G201" s="106">
        <v>206.46</v>
      </c>
      <c r="H201" s="106">
        <v>31</v>
      </c>
      <c r="I201" s="106">
        <v>103</v>
      </c>
      <c r="J201" s="106">
        <v>102</v>
      </c>
    </row>
    <row r="202" spans="1:10" x14ac:dyDescent="0.2">
      <c r="A202" s="106" t="s">
        <v>9407</v>
      </c>
      <c r="B202" s="106">
        <v>118.18</v>
      </c>
      <c r="C202" s="106">
        <v>7.6</v>
      </c>
      <c r="D202" s="106">
        <v>2.4E-2</v>
      </c>
      <c r="E202" s="106">
        <v>6.9240000000000004</v>
      </c>
      <c r="F202" s="106">
        <v>1486.9</v>
      </c>
      <c r="G202" s="106">
        <v>202.4</v>
      </c>
      <c r="H202" s="106">
        <v>329</v>
      </c>
    </row>
    <row r="203" spans="1:10" x14ac:dyDescent="0.2">
      <c r="A203" s="106" t="s">
        <v>9408</v>
      </c>
      <c r="B203" s="106">
        <v>98.19</v>
      </c>
      <c r="C203" s="106">
        <v>6.42</v>
      </c>
      <c r="D203" s="106">
        <v>0.55800000000000005</v>
      </c>
      <c r="E203" s="106">
        <v>6.8230000000000004</v>
      </c>
      <c r="F203" s="106">
        <v>1270.8</v>
      </c>
      <c r="G203" s="106">
        <v>221.42</v>
      </c>
      <c r="H203" s="106">
        <v>27</v>
      </c>
      <c r="I203" s="106">
        <v>261</v>
      </c>
      <c r="J203" s="106">
        <v>214</v>
      </c>
    </row>
    <row r="204" spans="1:10" x14ac:dyDescent="0.2">
      <c r="A204" s="106" t="s">
        <v>9409</v>
      </c>
      <c r="B204" s="106">
        <v>84.16</v>
      </c>
      <c r="C204" s="106">
        <v>6.25</v>
      </c>
      <c r="D204" s="106">
        <v>1.738</v>
      </c>
      <c r="E204" s="106">
        <v>6.8630000000000004</v>
      </c>
      <c r="F204" s="106">
        <v>1186.0999999999999</v>
      </c>
      <c r="G204" s="106">
        <v>226.04</v>
      </c>
      <c r="H204" s="106">
        <v>59</v>
      </c>
      <c r="I204" s="106">
        <v>163</v>
      </c>
      <c r="J204" s="106">
        <v>161</v>
      </c>
    </row>
    <row r="205" spans="1:10" x14ac:dyDescent="0.2">
      <c r="A205" s="106" t="s">
        <v>9410</v>
      </c>
      <c r="B205" s="106">
        <v>115.03</v>
      </c>
      <c r="C205" s="106">
        <v>8.91</v>
      </c>
      <c r="D205" s="106">
        <v>5.718</v>
      </c>
      <c r="E205" s="106">
        <v>7.0279999999999996</v>
      </c>
      <c r="F205" s="106">
        <v>1167.8</v>
      </c>
      <c r="G205" s="106">
        <v>240.7</v>
      </c>
      <c r="H205" s="106">
        <v>34</v>
      </c>
      <c r="I205" s="106">
        <v>106</v>
      </c>
    </row>
    <row r="206" spans="1:10" x14ac:dyDescent="0.2">
      <c r="A206" s="106" t="s">
        <v>9411</v>
      </c>
      <c r="B206" s="106">
        <v>84.93</v>
      </c>
      <c r="C206" s="106">
        <v>11.07</v>
      </c>
      <c r="D206" s="106">
        <v>5.64</v>
      </c>
      <c r="E206" s="106">
        <v>7.4119999999999999</v>
      </c>
      <c r="F206" s="106">
        <v>1327</v>
      </c>
      <c r="G206" s="106">
        <v>252.68</v>
      </c>
      <c r="H206" s="106">
        <v>-40</v>
      </c>
      <c r="I206" s="106">
        <v>104</v>
      </c>
      <c r="J206" s="106">
        <v>104</v>
      </c>
    </row>
    <row r="207" spans="1:10" x14ac:dyDescent="0.2">
      <c r="A207" s="106" t="s">
        <v>9412</v>
      </c>
      <c r="B207" s="106">
        <v>100.2</v>
      </c>
      <c r="C207" s="106">
        <v>5.66</v>
      </c>
      <c r="D207" s="106">
        <v>0.79900000000000004</v>
      </c>
      <c r="E207" s="106">
        <v>6.8819999999999997</v>
      </c>
      <c r="F207" s="106">
        <v>1240.9000000000001</v>
      </c>
      <c r="G207" s="106">
        <v>220.1</v>
      </c>
      <c r="H207" s="106">
        <v>65</v>
      </c>
      <c r="I207" s="106">
        <v>196</v>
      </c>
      <c r="J207" s="106">
        <v>194</v>
      </c>
    </row>
    <row r="208" spans="1:10" x14ac:dyDescent="0.2">
      <c r="A208" s="106" t="s">
        <v>9413</v>
      </c>
      <c r="B208" s="106">
        <v>100.2</v>
      </c>
      <c r="C208" s="106">
        <v>5.72</v>
      </c>
      <c r="D208" s="106">
        <v>0.74399999999999999</v>
      </c>
      <c r="E208" s="106">
        <v>6.8739999999999997</v>
      </c>
      <c r="F208" s="106">
        <v>1243.8</v>
      </c>
      <c r="G208" s="106">
        <v>219.63</v>
      </c>
      <c r="H208" s="106">
        <v>68</v>
      </c>
      <c r="I208" s="106">
        <v>199</v>
      </c>
      <c r="J208" s="106">
        <v>197</v>
      </c>
    </row>
    <row r="209" spans="1:10" x14ac:dyDescent="0.2">
      <c r="A209" s="106" t="s">
        <v>9414</v>
      </c>
      <c r="B209" s="106">
        <v>86.18</v>
      </c>
      <c r="C209" s="106">
        <v>5.4377000000000004</v>
      </c>
      <c r="D209" s="106">
        <v>2.73</v>
      </c>
      <c r="E209" s="106">
        <v>6.8390000000000004</v>
      </c>
      <c r="F209" s="106">
        <v>1135.4000000000001</v>
      </c>
      <c r="G209" s="106">
        <v>226.57</v>
      </c>
      <c r="H209" s="106">
        <v>55</v>
      </c>
      <c r="I209" s="106">
        <v>142</v>
      </c>
      <c r="J209" s="106">
        <v>142</v>
      </c>
    </row>
    <row r="210" spans="1:10" x14ac:dyDescent="0.2">
      <c r="A210" s="106" t="s">
        <v>9415</v>
      </c>
      <c r="B210" s="106">
        <v>58.12</v>
      </c>
      <c r="C210" s="106">
        <v>4.6077000000000004</v>
      </c>
      <c r="D210" s="106">
        <v>38.22</v>
      </c>
      <c r="E210" s="106">
        <v>6.819</v>
      </c>
      <c r="F210" s="106">
        <v>912.1</v>
      </c>
      <c r="G210" s="106">
        <v>243.34</v>
      </c>
      <c r="H210" s="106">
        <v>-121</v>
      </c>
      <c r="I210" s="106">
        <v>11</v>
      </c>
      <c r="J210" s="106">
        <v>12</v>
      </c>
    </row>
    <row r="211" spans="1:10" x14ac:dyDescent="0.2">
      <c r="A211" s="106" t="s">
        <v>9416</v>
      </c>
      <c r="B211" s="106">
        <v>56.11</v>
      </c>
      <c r="C211" s="106">
        <v>4.9276999999999997</v>
      </c>
      <c r="D211" s="106">
        <v>32.18</v>
      </c>
      <c r="E211" s="106">
        <v>6.5220000000000002</v>
      </c>
      <c r="F211" s="106">
        <v>799.1</v>
      </c>
      <c r="G211" s="106">
        <v>226.54</v>
      </c>
      <c r="H211" s="106">
        <v>-70</v>
      </c>
      <c r="I211" s="106">
        <v>32</v>
      </c>
      <c r="J211" s="106">
        <v>20</v>
      </c>
    </row>
    <row r="212" spans="1:10" x14ac:dyDescent="0.2">
      <c r="A212" s="106" t="s">
        <v>9417</v>
      </c>
      <c r="B212" s="106">
        <v>88.15</v>
      </c>
      <c r="C212" s="106">
        <v>6.18</v>
      </c>
      <c r="D212" s="106">
        <v>3.226</v>
      </c>
      <c r="E212" s="106">
        <v>6.867</v>
      </c>
      <c r="F212" s="106">
        <v>1116.0999999999999</v>
      </c>
      <c r="G212" s="106">
        <v>224.74</v>
      </c>
      <c r="H212" s="106">
        <v>125</v>
      </c>
      <c r="I212" s="106">
        <v>431</v>
      </c>
      <c r="J212" s="106">
        <v>131</v>
      </c>
    </row>
    <row r="213" spans="1:10" x14ac:dyDescent="0.2">
      <c r="A213" s="106" t="s">
        <v>9418</v>
      </c>
      <c r="B213" s="106">
        <v>87.12</v>
      </c>
      <c r="C213" s="106">
        <v>8.35</v>
      </c>
      <c r="D213" s="106">
        <v>0.109</v>
      </c>
      <c r="E213" s="106">
        <v>7.718</v>
      </c>
      <c r="F213" s="106">
        <v>1745.8</v>
      </c>
      <c r="G213" s="106">
        <v>235</v>
      </c>
      <c r="H213" s="106">
        <v>32</v>
      </c>
      <c r="I213" s="106">
        <v>111</v>
      </c>
      <c r="J213" s="106">
        <v>263</v>
      </c>
    </row>
    <row r="214" spans="1:10" x14ac:dyDescent="0.2">
      <c r="A214" s="106" t="s">
        <v>9419</v>
      </c>
    </row>
    <row r="215" spans="1:10" x14ac:dyDescent="0.2">
      <c r="A215" s="106" t="s">
        <v>9420</v>
      </c>
      <c r="B215" s="106">
        <v>88.15</v>
      </c>
      <c r="C215" s="106">
        <v>6.18</v>
      </c>
      <c r="D215" s="106">
        <v>3.226</v>
      </c>
      <c r="E215" s="106">
        <v>6.867</v>
      </c>
      <c r="F215" s="106">
        <v>1116.0999999999999</v>
      </c>
      <c r="G215" s="106">
        <v>224.74</v>
      </c>
      <c r="H215" s="106">
        <v>125</v>
      </c>
      <c r="I215" s="106">
        <v>431</v>
      </c>
      <c r="J215" s="106">
        <v>131</v>
      </c>
    </row>
    <row r="216" spans="1:10" x14ac:dyDescent="0.2">
      <c r="A216" s="108" t="s">
        <v>9421</v>
      </c>
      <c r="B216" s="106">
        <v>92.57</v>
      </c>
      <c r="C216" s="106">
        <v>7.43</v>
      </c>
      <c r="D216" s="106">
        <v>1.32</v>
      </c>
      <c r="J216" s="106">
        <v>172</v>
      </c>
    </row>
    <row r="217" spans="1:10" x14ac:dyDescent="0.2">
      <c r="A217" s="106" t="s">
        <v>9422</v>
      </c>
      <c r="B217" s="106">
        <v>149.22999999999999</v>
      </c>
      <c r="C217" s="106">
        <v>7.77</v>
      </c>
      <c r="D217" s="106">
        <v>3.0999999999999999E-3</v>
      </c>
      <c r="E217" s="106">
        <v>8.2579999999999991</v>
      </c>
      <c r="F217" s="106">
        <v>2652.8</v>
      </c>
      <c r="G217" s="106">
        <v>277.32</v>
      </c>
      <c r="H217" s="106">
        <v>122</v>
      </c>
      <c r="I217" s="106">
        <v>425</v>
      </c>
      <c r="J217" s="106">
        <v>422</v>
      </c>
    </row>
    <row r="218" spans="1:10" x14ac:dyDescent="0.2">
      <c r="A218" s="106" t="s">
        <v>9423</v>
      </c>
      <c r="B218" s="106">
        <v>128.16999999999999</v>
      </c>
      <c r="C218" s="106">
        <v>8.56</v>
      </c>
      <c r="D218" s="106">
        <v>2.3999999999999998E-3</v>
      </c>
      <c r="E218" s="106">
        <v>7.1459999999999999</v>
      </c>
      <c r="F218" s="106">
        <v>1831.6</v>
      </c>
      <c r="G218" s="106">
        <v>211.82</v>
      </c>
      <c r="H218" s="106">
        <v>177</v>
      </c>
      <c r="I218" s="106">
        <v>354</v>
      </c>
      <c r="J218" s="106">
        <v>422</v>
      </c>
    </row>
    <row r="219" spans="1:10" x14ac:dyDescent="0.2">
      <c r="A219" s="106" t="s">
        <v>9424</v>
      </c>
    </row>
    <row r="220" spans="1:10" x14ac:dyDescent="0.2">
      <c r="A220" s="106" t="s">
        <v>9425</v>
      </c>
      <c r="B220" s="106">
        <v>73.14</v>
      </c>
      <c r="C220" s="106">
        <v>5.89</v>
      </c>
      <c r="D220" s="106">
        <v>2.7120000000000002</v>
      </c>
      <c r="E220" s="106">
        <v>5.7370000000000001</v>
      </c>
      <c r="F220" s="106">
        <v>559.1</v>
      </c>
      <c r="G220" s="106">
        <v>140.18</v>
      </c>
      <c r="H220" s="106">
        <v>89</v>
      </c>
      <c r="I220" s="106">
        <v>141</v>
      </c>
      <c r="J220" s="106">
        <v>132</v>
      </c>
    </row>
    <row r="221" spans="1:10" x14ac:dyDescent="0.2">
      <c r="A221" s="106" t="s">
        <v>9426</v>
      </c>
      <c r="B221" s="106">
        <v>100.2</v>
      </c>
      <c r="C221" s="106">
        <v>5.7270000000000003</v>
      </c>
      <c r="D221" s="106">
        <v>0.54100000000000004</v>
      </c>
      <c r="J221" s="106">
        <v>209.2</v>
      </c>
    </row>
    <row r="222" spans="1:10" x14ac:dyDescent="0.2">
      <c r="A222" s="106" t="s">
        <v>9427</v>
      </c>
      <c r="B222" s="106">
        <v>86.17</v>
      </c>
      <c r="C222" s="106">
        <v>5.5270000000000001</v>
      </c>
      <c r="D222" s="106">
        <v>1.8759999999999999</v>
      </c>
      <c r="J222" s="106">
        <v>155.69999999999999</v>
      </c>
    </row>
    <row r="223" spans="1:10" x14ac:dyDescent="0.2">
      <c r="A223" s="106" t="s">
        <v>9428</v>
      </c>
      <c r="B223" s="106">
        <v>123.11</v>
      </c>
      <c r="C223" s="106">
        <v>10.050000000000001</v>
      </c>
      <c r="D223" s="106">
        <v>2.2000000000000001E-3</v>
      </c>
      <c r="E223" s="106">
        <v>7.0910000000000002</v>
      </c>
      <c r="F223" s="106">
        <v>1727.6</v>
      </c>
      <c r="G223" s="106">
        <v>199.71</v>
      </c>
      <c r="H223" s="106">
        <v>273</v>
      </c>
      <c r="I223" s="106">
        <v>411</v>
      </c>
      <c r="J223" s="106">
        <v>412</v>
      </c>
    </row>
    <row r="224" spans="1:10" x14ac:dyDescent="0.2">
      <c r="A224" s="106" t="s">
        <v>9429</v>
      </c>
      <c r="B224" s="106">
        <v>61.04</v>
      </c>
      <c r="C224" s="106">
        <v>9.49</v>
      </c>
      <c r="D224" s="106">
        <v>0.41499999999999998</v>
      </c>
      <c r="E224" s="106">
        <v>7.2809999999999997</v>
      </c>
      <c r="F224" s="106">
        <v>1446.2</v>
      </c>
      <c r="G224" s="106">
        <v>227.52</v>
      </c>
      <c r="H224" s="106">
        <v>132</v>
      </c>
      <c r="I224" s="106">
        <v>277</v>
      </c>
      <c r="J224" s="106">
        <v>214</v>
      </c>
    </row>
    <row r="225" spans="1:10" x14ac:dyDescent="0.2">
      <c r="A225" s="106" t="s">
        <v>9430</v>
      </c>
      <c r="B225" s="106">
        <v>130</v>
      </c>
      <c r="C225" s="106">
        <v>7.1</v>
      </c>
      <c r="D225" s="106">
        <v>6.0000000000000001E-3</v>
      </c>
      <c r="E225" s="106">
        <v>12.101000000000001</v>
      </c>
      <c r="F225" s="106">
        <v>4675.18</v>
      </c>
    </row>
    <row r="226" spans="1:10" x14ac:dyDescent="0.2">
      <c r="A226" s="106" t="s">
        <v>9431</v>
      </c>
      <c r="B226" s="106">
        <v>130</v>
      </c>
      <c r="C226" s="106">
        <v>7.9</v>
      </c>
      <c r="D226" s="106">
        <v>2E-3</v>
      </c>
      <c r="E226" s="106">
        <v>10.781000000000001</v>
      </c>
      <c r="F226" s="106">
        <v>4689.63</v>
      </c>
    </row>
    <row r="227" spans="1:10" x14ac:dyDescent="0.2">
      <c r="A227" s="106" t="s">
        <v>9432</v>
      </c>
      <c r="B227" s="106">
        <v>268.52</v>
      </c>
      <c r="C227" s="106">
        <v>6.56</v>
      </c>
      <c r="D227" s="106">
        <v>3.6399999999999998E-7</v>
      </c>
      <c r="E227" s="106">
        <v>33.302999999999997</v>
      </c>
      <c r="F227" s="106">
        <v>28197</v>
      </c>
      <c r="G227" s="106">
        <v>725.94</v>
      </c>
      <c r="H227" s="106">
        <v>91</v>
      </c>
      <c r="I227" s="106">
        <v>131</v>
      </c>
      <c r="J227" s="106">
        <v>624</v>
      </c>
    </row>
    <row r="228" spans="1:10" x14ac:dyDescent="0.2">
      <c r="A228" s="106" t="s">
        <v>9433</v>
      </c>
      <c r="B228" s="106">
        <v>128.26</v>
      </c>
      <c r="C228" s="106">
        <v>5.99</v>
      </c>
      <c r="D228" s="106">
        <v>3.6999999999999998E-2</v>
      </c>
      <c r="E228" s="106">
        <v>6.7</v>
      </c>
      <c r="F228" s="106">
        <v>1492.9</v>
      </c>
      <c r="G228" s="106">
        <v>217.26</v>
      </c>
      <c r="H228" s="106">
        <v>-64</v>
      </c>
      <c r="I228" s="106">
        <v>94</v>
      </c>
      <c r="J228" s="106">
        <v>303</v>
      </c>
    </row>
    <row r="229" spans="1:10" x14ac:dyDescent="0.2">
      <c r="A229" s="106" t="s">
        <v>9434</v>
      </c>
      <c r="B229" s="106">
        <v>72.150000000000006</v>
      </c>
      <c r="C229" s="106">
        <v>5.2530000000000001</v>
      </c>
      <c r="D229" s="106">
        <v>6.8280000000000003</v>
      </c>
      <c r="J229" s="106">
        <v>96.9</v>
      </c>
    </row>
    <row r="230" spans="1:10" x14ac:dyDescent="0.2">
      <c r="A230" s="106" t="s">
        <v>9435</v>
      </c>
      <c r="B230" s="106">
        <v>59.11</v>
      </c>
      <c r="C230" s="106">
        <v>6.03</v>
      </c>
      <c r="D230" s="106">
        <v>4.157</v>
      </c>
      <c r="J230" s="106">
        <v>119.7</v>
      </c>
    </row>
    <row r="231" spans="1:10" x14ac:dyDescent="0.2">
      <c r="A231" s="106" t="s">
        <v>9436</v>
      </c>
      <c r="B231" s="106">
        <v>254.49</v>
      </c>
      <c r="C231" s="106">
        <v>6.4882</v>
      </c>
      <c r="D231" s="106">
        <v>6.1600000000000001E-7</v>
      </c>
      <c r="E231" s="106">
        <v>7.2069999999999999</v>
      </c>
      <c r="F231" s="106">
        <v>2069</v>
      </c>
      <c r="G231" s="106">
        <v>161.22</v>
      </c>
      <c r="H231" s="106">
        <v>346</v>
      </c>
      <c r="I231" s="106">
        <v>602</v>
      </c>
      <c r="J231" s="106">
        <v>592</v>
      </c>
    </row>
    <row r="232" spans="1:10" x14ac:dyDescent="0.2">
      <c r="A232" s="106" t="s">
        <v>9437</v>
      </c>
      <c r="B232" s="106">
        <v>114.23</v>
      </c>
      <c r="C232" s="106">
        <v>5.8376999999999999</v>
      </c>
      <c r="D232" s="106">
        <v>0.14199999999999999</v>
      </c>
      <c r="E232" s="106">
        <v>8.0760000000000005</v>
      </c>
      <c r="F232" s="106">
        <v>1936.3</v>
      </c>
      <c r="G232" s="106">
        <v>253.01</v>
      </c>
      <c r="H232" s="106">
        <v>-70</v>
      </c>
      <c r="I232" s="106">
        <v>75</v>
      </c>
      <c r="J232" s="106">
        <v>258</v>
      </c>
    </row>
    <row r="233" spans="1:10" x14ac:dyDescent="0.2">
      <c r="A233" s="106" t="s">
        <v>9438</v>
      </c>
      <c r="B233" s="106">
        <v>130.22999999999999</v>
      </c>
      <c r="C233" s="106">
        <v>6.9077000000000002</v>
      </c>
      <c r="D233" s="106">
        <v>6.0999999999999997E-4</v>
      </c>
      <c r="E233" s="106">
        <v>9.3520000000000003</v>
      </c>
      <c r="F233" s="106">
        <v>2603.4</v>
      </c>
      <c r="G233" s="106">
        <v>224.35</v>
      </c>
      <c r="H233" s="106">
        <v>68</v>
      </c>
      <c r="I233" s="106">
        <v>176</v>
      </c>
      <c r="J233" s="106">
        <v>383</v>
      </c>
    </row>
    <row r="234" spans="1:10" x14ac:dyDescent="0.2">
      <c r="A234" s="106" t="s">
        <v>9439</v>
      </c>
      <c r="B234" s="106">
        <v>112.21</v>
      </c>
      <c r="C234" s="106">
        <v>5.97</v>
      </c>
      <c r="D234" s="106">
        <v>0.19600000000000001</v>
      </c>
      <c r="E234" s="106">
        <v>6.9329999999999998</v>
      </c>
      <c r="F234" s="106">
        <v>1353.5</v>
      </c>
      <c r="G234" s="106">
        <v>212.76</v>
      </c>
      <c r="H234" s="106">
        <v>113</v>
      </c>
      <c r="I234" s="106">
        <v>252</v>
      </c>
      <c r="J234" s="106">
        <v>251</v>
      </c>
    </row>
    <row r="235" spans="1:10" x14ac:dyDescent="0.2">
      <c r="A235" s="106" t="s">
        <v>9440</v>
      </c>
      <c r="B235" s="106">
        <v>202.29</v>
      </c>
      <c r="C235" s="106">
        <v>14.02</v>
      </c>
      <c r="D235" s="106">
        <v>0.04</v>
      </c>
      <c r="E235" s="106">
        <v>6.6429999999999998</v>
      </c>
      <c r="F235" s="106">
        <v>1342.3</v>
      </c>
      <c r="G235" s="106">
        <v>196.51</v>
      </c>
      <c r="H235" s="106">
        <v>77</v>
      </c>
      <c r="I235" s="106">
        <v>324</v>
      </c>
      <c r="J235" s="106">
        <v>324</v>
      </c>
    </row>
    <row r="236" spans="1:10" x14ac:dyDescent="0.2">
      <c r="A236" s="106" t="s">
        <v>9441</v>
      </c>
      <c r="B236" s="106">
        <v>68.12</v>
      </c>
      <c r="C236" s="106">
        <v>5.78</v>
      </c>
      <c r="D236" s="106">
        <v>4.718</v>
      </c>
      <c r="E236" s="106">
        <v>6.9359999999999999</v>
      </c>
      <c r="F236" s="106">
        <v>1125.5</v>
      </c>
      <c r="G236" s="106">
        <v>231.88</v>
      </c>
      <c r="H236" s="106">
        <v>-76</v>
      </c>
      <c r="I236" s="106">
        <v>-19</v>
      </c>
      <c r="J236" s="106">
        <v>113</v>
      </c>
    </row>
    <row r="237" spans="1:10" x14ac:dyDescent="0.2">
      <c r="A237" s="106" t="s">
        <v>9442</v>
      </c>
      <c r="B237" s="106">
        <v>68.12</v>
      </c>
      <c r="C237" s="106">
        <v>5.52</v>
      </c>
      <c r="D237" s="106">
        <v>10.06</v>
      </c>
      <c r="E237" s="106">
        <v>7.0350000000000001</v>
      </c>
      <c r="F237" s="106">
        <v>1108.2</v>
      </c>
      <c r="G237" s="106">
        <v>241.05</v>
      </c>
      <c r="H237" s="106">
        <v>-110</v>
      </c>
      <c r="I237" s="106">
        <v>65</v>
      </c>
      <c r="J237" s="106">
        <v>79</v>
      </c>
    </row>
    <row r="238" spans="1:10" x14ac:dyDescent="0.2">
      <c r="A238" s="106" t="s">
        <v>9443</v>
      </c>
      <c r="B238" s="106">
        <v>68.12</v>
      </c>
      <c r="C238" s="106">
        <v>5.8</v>
      </c>
      <c r="D238" s="106">
        <v>4.2229999999999999</v>
      </c>
      <c r="E238" s="106">
        <v>7.2629999999999999</v>
      </c>
      <c r="F238" s="106">
        <v>1256.2</v>
      </c>
      <c r="G238" s="106">
        <v>239.57</v>
      </c>
      <c r="H238" s="106">
        <v>-76</v>
      </c>
      <c r="I238" s="106">
        <v>-15</v>
      </c>
      <c r="J238" s="106">
        <v>119</v>
      </c>
    </row>
    <row r="239" spans="1:10" x14ac:dyDescent="0.2">
      <c r="A239" s="106" t="s">
        <v>9444</v>
      </c>
      <c r="B239" s="106">
        <v>72.150000000000006</v>
      </c>
      <c r="C239" s="106">
        <v>5.23</v>
      </c>
      <c r="D239" s="106">
        <v>6.8840000000000003</v>
      </c>
      <c r="E239" s="106">
        <v>6.8639999999999999</v>
      </c>
      <c r="F239" s="106">
        <v>1070.5999999999999</v>
      </c>
      <c r="G239" s="106">
        <v>232.7</v>
      </c>
      <c r="H239" s="106">
        <v>24</v>
      </c>
      <c r="I239" s="106">
        <v>155</v>
      </c>
      <c r="J239" s="106">
        <v>97</v>
      </c>
    </row>
    <row r="240" spans="1:10" x14ac:dyDescent="0.2">
      <c r="A240" s="106" t="s">
        <v>9445</v>
      </c>
      <c r="B240" s="106">
        <v>70.13</v>
      </c>
      <c r="C240" s="106">
        <v>5.35</v>
      </c>
      <c r="D240" s="106">
        <v>8.6709999999999994</v>
      </c>
      <c r="E240" s="106">
        <v>6.7859999999999996</v>
      </c>
      <c r="F240" s="106">
        <v>1014.3</v>
      </c>
      <c r="G240" s="106">
        <v>229.78</v>
      </c>
      <c r="H240" s="106">
        <v>55</v>
      </c>
      <c r="I240" s="106">
        <v>87</v>
      </c>
      <c r="J240" s="106">
        <v>88</v>
      </c>
    </row>
    <row r="241" spans="1:10" x14ac:dyDescent="0.2">
      <c r="A241" s="106" t="s">
        <v>9446</v>
      </c>
      <c r="B241" s="106">
        <v>68.12</v>
      </c>
      <c r="C241" s="106">
        <v>5.76</v>
      </c>
      <c r="D241" s="106">
        <v>5.657</v>
      </c>
      <c r="E241" s="106">
        <v>6.9669999999999996</v>
      </c>
      <c r="F241" s="106">
        <v>1092.5</v>
      </c>
      <c r="G241" s="106">
        <v>227.18</v>
      </c>
      <c r="H241" s="106">
        <v>-47</v>
      </c>
      <c r="I241" s="106">
        <v>142</v>
      </c>
      <c r="J241" s="106">
        <v>104</v>
      </c>
    </row>
    <row r="242" spans="1:10" x14ac:dyDescent="0.2">
      <c r="A242" s="106" t="s">
        <v>9447</v>
      </c>
      <c r="B242" s="106">
        <v>178.23</v>
      </c>
      <c r="C242" s="106">
        <v>8.18</v>
      </c>
      <c r="D242" s="106">
        <v>3.3699999999999999E-6</v>
      </c>
      <c r="E242" s="106">
        <v>7.3940000000000001</v>
      </c>
      <c r="F242" s="106">
        <v>2428.5</v>
      </c>
      <c r="G242" s="106">
        <v>202.19</v>
      </c>
      <c r="H242" s="106">
        <v>212</v>
      </c>
      <c r="I242" s="106">
        <v>302</v>
      </c>
      <c r="J242" s="106">
        <v>635</v>
      </c>
    </row>
    <row r="243" spans="1:10" x14ac:dyDescent="0.2">
      <c r="A243" s="106" t="s">
        <v>9448</v>
      </c>
      <c r="B243" s="106">
        <v>94.11</v>
      </c>
      <c r="C243" s="106">
        <v>8.8011300000000006</v>
      </c>
      <c r="D243" s="106">
        <v>3.0000000000000001E-3</v>
      </c>
      <c r="E243" s="106">
        <v>7.1219999999999999</v>
      </c>
      <c r="F243" s="106">
        <v>1509.7</v>
      </c>
      <c r="G243" s="106">
        <v>174.2</v>
      </c>
      <c r="H243" s="106">
        <v>225</v>
      </c>
      <c r="I243" s="106">
        <v>359</v>
      </c>
      <c r="J243" s="106">
        <v>359</v>
      </c>
    </row>
    <row r="244" spans="1:10" x14ac:dyDescent="0.2">
      <c r="A244" s="106" t="s">
        <v>9449</v>
      </c>
      <c r="B244" s="106">
        <v>98.92</v>
      </c>
      <c r="C244" s="106">
        <v>11.457700000000001</v>
      </c>
      <c r="D244" s="106">
        <v>19.43</v>
      </c>
      <c r="E244" s="106">
        <v>7.1459999999999999</v>
      </c>
      <c r="F244" s="106">
        <v>1072.7</v>
      </c>
      <c r="G244" s="106">
        <v>243.3</v>
      </c>
      <c r="H244" s="106">
        <v>47</v>
      </c>
      <c r="I244" s="106">
        <v>345</v>
      </c>
      <c r="J244" s="106">
        <v>46</v>
      </c>
    </row>
    <row r="245" spans="1:10" x14ac:dyDescent="0.2">
      <c r="A245" s="106" t="s">
        <v>9450</v>
      </c>
      <c r="B245" s="106">
        <v>93.13</v>
      </c>
      <c r="C245" s="106">
        <v>7.98</v>
      </c>
      <c r="D245" s="106">
        <v>6.4000000000000001E-2</v>
      </c>
      <c r="E245" s="106">
        <v>7.0540000000000003</v>
      </c>
      <c r="F245" s="106">
        <v>1484.3</v>
      </c>
      <c r="G245" s="106">
        <v>211.54</v>
      </c>
      <c r="H245" s="106">
        <v>165</v>
      </c>
      <c r="I245" s="106">
        <v>364</v>
      </c>
      <c r="J245" s="106">
        <v>291</v>
      </c>
    </row>
    <row r="246" spans="1:10" x14ac:dyDescent="0.2">
      <c r="A246" s="106" t="s">
        <v>9451</v>
      </c>
      <c r="E246" s="106">
        <v>7.032</v>
      </c>
      <c r="F246" s="106">
        <v>1415.73</v>
      </c>
      <c r="G246" s="106">
        <v>211.63</v>
      </c>
    </row>
    <row r="247" spans="1:10" x14ac:dyDescent="0.2">
      <c r="A247" s="106" t="s">
        <v>9452</v>
      </c>
      <c r="B247" s="106">
        <v>44.1</v>
      </c>
      <c r="C247" s="106">
        <v>4.1276999999999999</v>
      </c>
      <c r="D247" s="106">
        <v>111</v>
      </c>
      <c r="E247" s="106">
        <v>6.8579999999999997</v>
      </c>
      <c r="F247" s="106">
        <v>819.3</v>
      </c>
      <c r="G247" s="106">
        <v>248.73</v>
      </c>
      <c r="H247" s="106">
        <v>-45</v>
      </c>
      <c r="I247" s="106">
        <v>117</v>
      </c>
      <c r="J247" s="106">
        <v>-44</v>
      </c>
    </row>
    <row r="248" spans="1:10" x14ac:dyDescent="0.2">
      <c r="A248" s="106" t="s">
        <v>9453</v>
      </c>
      <c r="B248" s="106">
        <v>76.16</v>
      </c>
      <c r="C248" s="106">
        <v>7.02</v>
      </c>
      <c r="D248" s="106">
        <v>1.9430000000000001</v>
      </c>
      <c r="E248" s="106">
        <v>6.9290000000000003</v>
      </c>
      <c r="F248" s="106">
        <v>1183.4000000000001</v>
      </c>
      <c r="G248" s="106">
        <v>224.63</v>
      </c>
      <c r="H248" s="106">
        <v>76</v>
      </c>
      <c r="I248" s="106">
        <v>216</v>
      </c>
      <c r="J248" s="106">
        <v>154</v>
      </c>
    </row>
    <row r="249" spans="1:10" x14ac:dyDescent="0.2">
      <c r="A249" s="106" t="s">
        <v>9454</v>
      </c>
      <c r="B249" s="106">
        <v>76.16</v>
      </c>
      <c r="C249" s="106">
        <v>6.8</v>
      </c>
      <c r="D249" s="106">
        <v>3.59</v>
      </c>
      <c r="E249" s="106">
        <v>6.8769999999999998</v>
      </c>
      <c r="F249" s="106">
        <v>1113.9000000000001</v>
      </c>
      <c r="G249" s="106">
        <v>226.16</v>
      </c>
      <c r="H249" s="106">
        <v>51</v>
      </c>
      <c r="I249" s="106">
        <v>186</v>
      </c>
      <c r="J249" s="106">
        <v>131</v>
      </c>
    </row>
    <row r="250" spans="1:10" x14ac:dyDescent="0.2">
      <c r="A250" s="106" t="s">
        <v>9455</v>
      </c>
      <c r="B250" s="106">
        <v>60.1</v>
      </c>
      <c r="C250" s="106">
        <v>6.6776999999999997</v>
      </c>
      <c r="D250" s="106">
        <v>0.218</v>
      </c>
      <c r="E250" s="106">
        <v>8.1890000000000001</v>
      </c>
      <c r="F250" s="106">
        <v>1690.9</v>
      </c>
      <c r="G250" s="106">
        <v>221.35</v>
      </c>
      <c r="H250" s="106">
        <v>67</v>
      </c>
      <c r="I250" s="106">
        <v>207</v>
      </c>
      <c r="J250" s="106">
        <v>207</v>
      </c>
    </row>
    <row r="251" spans="1:10" x14ac:dyDescent="0.2">
      <c r="A251" s="106" t="s">
        <v>9456</v>
      </c>
      <c r="E251" s="106">
        <v>8.1170000000000009</v>
      </c>
      <c r="F251" s="106">
        <v>1580.92</v>
      </c>
      <c r="G251" s="106">
        <v>219.61</v>
      </c>
    </row>
    <row r="252" spans="1:10" x14ac:dyDescent="0.2">
      <c r="A252" s="106" t="s">
        <v>9457</v>
      </c>
      <c r="B252" s="106">
        <v>42.08</v>
      </c>
      <c r="C252" s="106">
        <v>4.22</v>
      </c>
      <c r="D252" s="106">
        <v>132</v>
      </c>
      <c r="E252" s="106">
        <v>6.85</v>
      </c>
      <c r="F252" s="106">
        <v>795.8</v>
      </c>
      <c r="G252" s="106">
        <v>248.27</v>
      </c>
      <c r="H252" s="106">
        <v>-161</v>
      </c>
      <c r="I252" s="106">
        <v>-53</v>
      </c>
      <c r="J252" s="106">
        <v>-54</v>
      </c>
    </row>
    <row r="253" spans="1:10" x14ac:dyDescent="0.2">
      <c r="A253" s="106" t="s">
        <v>9458</v>
      </c>
      <c r="B253" s="106">
        <v>60.1</v>
      </c>
      <c r="C253" s="106">
        <v>6.6776999999999997</v>
      </c>
      <c r="D253" s="106">
        <v>0.218</v>
      </c>
      <c r="E253" s="106">
        <v>8.1890000000000001</v>
      </c>
      <c r="F253" s="106">
        <v>1690.9</v>
      </c>
      <c r="G253" s="106">
        <v>221.35</v>
      </c>
      <c r="H253" s="106">
        <v>67</v>
      </c>
      <c r="I253" s="106">
        <v>207</v>
      </c>
      <c r="J253" s="106">
        <v>207</v>
      </c>
    </row>
    <row r="254" spans="1:10" x14ac:dyDescent="0.2">
      <c r="A254" s="106" t="s">
        <v>9459</v>
      </c>
      <c r="B254" s="106">
        <v>105.09</v>
      </c>
      <c r="C254" s="106">
        <v>8.8000000000000007</v>
      </c>
      <c r="D254" s="106">
        <v>0.26100000000000001</v>
      </c>
      <c r="E254" s="106">
        <v>6.9550000000000001</v>
      </c>
      <c r="F254" s="106">
        <v>1294.4000000000001</v>
      </c>
      <c r="G254" s="106">
        <v>206.7</v>
      </c>
      <c r="H254" s="106">
        <v>32</v>
      </c>
      <c r="I254" s="106">
        <v>158</v>
      </c>
      <c r="J254" s="106">
        <v>231</v>
      </c>
    </row>
    <row r="255" spans="1:10" x14ac:dyDescent="0.2">
      <c r="A255" s="106" t="s">
        <v>9460</v>
      </c>
      <c r="B255" s="106">
        <v>105.09</v>
      </c>
      <c r="C255" s="106">
        <v>8.8000000000000007</v>
      </c>
      <c r="D255" s="106">
        <v>0.26100000000000001</v>
      </c>
      <c r="E255" s="106">
        <v>6.9550000000000001</v>
      </c>
      <c r="F255" s="106">
        <v>1294.4000000000001</v>
      </c>
      <c r="G255" s="106">
        <v>206.7</v>
      </c>
      <c r="H255" s="106">
        <v>32</v>
      </c>
      <c r="I255" s="106">
        <v>158</v>
      </c>
      <c r="J255" s="106">
        <v>231</v>
      </c>
    </row>
    <row r="256" spans="1:10" x14ac:dyDescent="0.2">
      <c r="A256" s="106" t="s">
        <v>9461</v>
      </c>
      <c r="B256" s="106">
        <v>59.11</v>
      </c>
      <c r="C256" s="106">
        <v>5.99</v>
      </c>
      <c r="D256" s="106">
        <v>3.99</v>
      </c>
      <c r="E256" s="106">
        <v>6.9260000000000002</v>
      </c>
      <c r="F256" s="106">
        <v>1044</v>
      </c>
      <c r="G256" s="106">
        <v>210.84</v>
      </c>
      <c r="H256" s="106">
        <v>73</v>
      </c>
      <c r="I256" s="106">
        <v>172</v>
      </c>
      <c r="J256" s="106">
        <v>120</v>
      </c>
    </row>
    <row r="257" spans="1:10" x14ac:dyDescent="0.2">
      <c r="A257" s="106" t="s">
        <v>9462</v>
      </c>
      <c r="B257" s="106">
        <v>42.08</v>
      </c>
      <c r="C257" s="106">
        <v>4.22</v>
      </c>
      <c r="D257" s="106">
        <v>132</v>
      </c>
      <c r="E257" s="106">
        <v>6.85</v>
      </c>
      <c r="F257" s="106">
        <v>795.8</v>
      </c>
      <c r="G257" s="106">
        <v>248.27</v>
      </c>
      <c r="H257" s="106">
        <v>-161</v>
      </c>
      <c r="I257" s="106">
        <v>-53</v>
      </c>
      <c r="J257" s="106">
        <v>-54</v>
      </c>
    </row>
    <row r="258" spans="1:10" x14ac:dyDescent="0.2">
      <c r="A258" s="106" t="s">
        <v>9463</v>
      </c>
      <c r="E258" s="106">
        <v>8.2081999999999997</v>
      </c>
      <c r="F258" s="106">
        <v>2085.9</v>
      </c>
      <c r="G258" s="106">
        <v>203.54</v>
      </c>
    </row>
    <row r="259" spans="1:10" x14ac:dyDescent="0.2">
      <c r="A259" s="106" t="s">
        <v>9464</v>
      </c>
      <c r="B259" s="106">
        <v>76.09</v>
      </c>
      <c r="C259" s="106">
        <v>8.65</v>
      </c>
      <c r="D259" s="106">
        <v>9.3999999999999997E-4</v>
      </c>
      <c r="E259" s="106">
        <v>8.2080000000000002</v>
      </c>
      <c r="F259" s="106">
        <v>2085.9</v>
      </c>
      <c r="G259" s="106">
        <v>203.54</v>
      </c>
      <c r="H259" s="106">
        <v>368</v>
      </c>
    </row>
    <row r="260" spans="1:10" x14ac:dyDescent="0.2">
      <c r="A260" s="106" t="s">
        <v>9465</v>
      </c>
      <c r="B260" s="106">
        <v>58.08</v>
      </c>
      <c r="C260" s="106">
        <v>7.1731999999999996</v>
      </c>
      <c r="D260" s="106">
        <v>7.101</v>
      </c>
      <c r="E260" s="106">
        <v>6.97</v>
      </c>
      <c r="F260" s="106">
        <v>1065.3</v>
      </c>
      <c r="G260" s="106">
        <v>226.28</v>
      </c>
      <c r="H260" s="106">
        <v>-100</v>
      </c>
      <c r="I260" s="106">
        <v>94</v>
      </c>
      <c r="J260" s="106">
        <v>95</v>
      </c>
    </row>
    <row r="261" spans="1:10" x14ac:dyDescent="0.2">
      <c r="A261" s="106" t="s">
        <v>9466</v>
      </c>
      <c r="B261" s="106">
        <v>79.099999999999994</v>
      </c>
      <c r="C261" s="106">
        <v>8.1999999999999993</v>
      </c>
      <c r="D261" s="106">
        <v>0.23300000000000001</v>
      </c>
      <c r="E261" s="106">
        <v>7.0380000000000003</v>
      </c>
      <c r="F261" s="106">
        <v>1371.4</v>
      </c>
      <c r="G261" s="106">
        <v>214.65</v>
      </c>
      <c r="H261" s="106">
        <v>153</v>
      </c>
      <c r="I261" s="106">
        <v>307</v>
      </c>
      <c r="J261" s="106">
        <v>240</v>
      </c>
    </row>
    <row r="262" spans="1:10" x14ac:dyDescent="0.2">
      <c r="A262" s="108" t="s">
        <v>9467</v>
      </c>
      <c r="B262" s="106">
        <v>190</v>
      </c>
      <c r="C262" s="106">
        <v>7.9</v>
      </c>
      <c r="D262" s="106">
        <v>4.0000000000000003E-5</v>
      </c>
      <c r="E262" s="106">
        <v>10.103999999999999</v>
      </c>
      <c r="F262" s="106">
        <v>5546.57</v>
      </c>
    </row>
    <row r="263" spans="1:10" x14ac:dyDescent="0.2">
      <c r="A263" s="106" t="s">
        <v>9468</v>
      </c>
      <c r="B263" s="106">
        <v>110.11</v>
      </c>
      <c r="C263" s="106">
        <v>10.617699999999999</v>
      </c>
      <c r="D263" s="106">
        <v>6.6499999999999999E-6</v>
      </c>
      <c r="E263" s="106">
        <v>8.3979999999999997</v>
      </c>
      <c r="F263" s="106">
        <v>2687.2</v>
      </c>
      <c r="G263" s="106">
        <v>210.99</v>
      </c>
      <c r="H263" s="106">
        <v>305</v>
      </c>
      <c r="I263" s="106">
        <v>530</v>
      </c>
      <c r="J263" s="106">
        <v>532</v>
      </c>
    </row>
    <row r="264" spans="1:10" x14ac:dyDescent="0.2">
      <c r="A264" s="106" t="s">
        <v>9469</v>
      </c>
      <c r="B264" s="106">
        <v>104.15</v>
      </c>
      <c r="C264" s="106">
        <v>7.56</v>
      </c>
      <c r="D264" s="106">
        <v>6.6000000000000003E-2</v>
      </c>
      <c r="E264" s="106">
        <v>7.0949999999999998</v>
      </c>
      <c r="F264" s="106">
        <v>1525.1</v>
      </c>
      <c r="G264" s="106">
        <v>216.77</v>
      </c>
      <c r="H264" s="106">
        <v>86</v>
      </c>
      <c r="I264" s="106">
        <v>293</v>
      </c>
      <c r="J264" s="106">
        <v>295</v>
      </c>
    </row>
    <row r="265" spans="1:10" x14ac:dyDescent="0.2">
      <c r="A265" s="108" t="s">
        <v>9470</v>
      </c>
      <c r="B265" s="106">
        <v>74.12</v>
      </c>
      <c r="C265" s="106">
        <v>6.5949999999999998</v>
      </c>
      <c r="D265" s="106">
        <v>0.42499999999999999</v>
      </c>
      <c r="J265" s="106">
        <v>180.5</v>
      </c>
    </row>
    <row r="266" spans="1:10" x14ac:dyDescent="0.2">
      <c r="A266" s="106" t="s">
        <v>9471</v>
      </c>
      <c r="B266" s="106">
        <v>167.85</v>
      </c>
      <c r="C266" s="106">
        <v>12.86</v>
      </c>
      <c r="D266" s="106">
        <v>0.13300000000000001</v>
      </c>
      <c r="E266" s="106">
        <v>6.9059999999999997</v>
      </c>
      <c r="F266" s="106">
        <v>1370.4</v>
      </c>
      <c r="G266" s="106">
        <v>210.25</v>
      </c>
      <c r="H266" s="106">
        <v>139</v>
      </c>
      <c r="I266" s="106">
        <v>266</v>
      </c>
      <c r="J266" s="106">
        <v>271</v>
      </c>
    </row>
    <row r="267" spans="1:10" x14ac:dyDescent="0.2">
      <c r="A267" s="106" t="s">
        <v>9472</v>
      </c>
      <c r="B267" s="106">
        <v>167.85</v>
      </c>
      <c r="C267" s="106">
        <v>13.32</v>
      </c>
      <c r="D267" s="106">
        <v>3.6999999999999998E-2</v>
      </c>
      <c r="E267" s="106">
        <v>6.0910000000000002</v>
      </c>
      <c r="F267" s="106">
        <v>959.6</v>
      </c>
      <c r="G267" s="106">
        <v>149.78</v>
      </c>
      <c r="H267" s="106">
        <v>77</v>
      </c>
      <c r="I267" s="106">
        <v>266</v>
      </c>
      <c r="J267" s="106">
        <v>295</v>
      </c>
    </row>
    <row r="268" spans="1:10" x14ac:dyDescent="0.2">
      <c r="A268" s="106" t="s">
        <v>9473</v>
      </c>
      <c r="E268" s="106">
        <v>6.8979999999999997</v>
      </c>
      <c r="F268" s="106">
        <v>1365.88</v>
      </c>
      <c r="G268" s="106">
        <v>209.74</v>
      </c>
    </row>
    <row r="269" spans="1:10" x14ac:dyDescent="0.2">
      <c r="A269" s="106" t="s">
        <v>9474</v>
      </c>
      <c r="E269" s="106">
        <v>6.6310000000000002</v>
      </c>
      <c r="F269" s="106">
        <v>1228.0999999999999</v>
      </c>
      <c r="G269" s="106">
        <v>179.9</v>
      </c>
    </row>
    <row r="270" spans="1:10" x14ac:dyDescent="0.2">
      <c r="A270" s="106" t="s">
        <v>9475</v>
      </c>
      <c r="B270" s="106">
        <v>165.83</v>
      </c>
      <c r="C270" s="106">
        <v>13.54</v>
      </c>
      <c r="D270" s="106">
        <v>0.21299999999999999</v>
      </c>
      <c r="E270" s="106">
        <v>7.056</v>
      </c>
      <c r="F270" s="106">
        <v>1440.8</v>
      </c>
      <c r="G270" s="106">
        <v>223.98</v>
      </c>
      <c r="H270" s="106">
        <v>82</v>
      </c>
      <c r="I270" s="106">
        <v>226</v>
      </c>
      <c r="J270" s="106">
        <v>250</v>
      </c>
    </row>
    <row r="271" spans="1:10" x14ac:dyDescent="0.2">
      <c r="A271" s="106" t="s">
        <v>9476</v>
      </c>
      <c r="B271" s="106">
        <v>72.11</v>
      </c>
      <c r="C271" s="106">
        <v>7.42</v>
      </c>
      <c r="D271" s="106">
        <v>2.0390000000000001</v>
      </c>
      <c r="E271" s="106">
        <v>6.9960000000000004</v>
      </c>
      <c r="F271" s="106">
        <v>1202.9000000000001</v>
      </c>
      <c r="G271" s="106">
        <v>226.33</v>
      </c>
      <c r="H271" s="106">
        <v>74</v>
      </c>
      <c r="I271" s="106">
        <v>211</v>
      </c>
      <c r="J271" s="106">
        <v>151</v>
      </c>
    </row>
    <row r="272" spans="1:10" x14ac:dyDescent="0.2">
      <c r="A272" s="106" t="s">
        <v>9477</v>
      </c>
      <c r="B272" s="106">
        <v>92.14</v>
      </c>
      <c r="C272" s="106">
        <v>7.24</v>
      </c>
      <c r="D272" s="106">
        <v>0.33100000000000002</v>
      </c>
      <c r="E272" s="106">
        <v>7.0170000000000003</v>
      </c>
      <c r="F272" s="106">
        <v>1377.6</v>
      </c>
      <c r="G272" s="106">
        <v>222.64</v>
      </c>
      <c r="H272" s="106">
        <v>32</v>
      </c>
      <c r="I272" s="106">
        <v>122</v>
      </c>
      <c r="J272" s="106">
        <v>231</v>
      </c>
    </row>
    <row r="273" spans="1:10" x14ac:dyDescent="0.2">
      <c r="A273" s="108" t="s">
        <v>9478</v>
      </c>
      <c r="B273" s="106">
        <v>96.95</v>
      </c>
      <c r="C273" s="106">
        <v>10.523999999999999</v>
      </c>
      <c r="D273" s="106">
        <v>4.351</v>
      </c>
      <c r="J273" s="106">
        <v>119.1</v>
      </c>
    </row>
    <row r="274" spans="1:10" x14ac:dyDescent="0.2">
      <c r="A274" s="106" t="s">
        <v>9479</v>
      </c>
      <c r="E274" s="106">
        <v>6.88</v>
      </c>
      <c r="F274" s="106">
        <v>1099.9000000000001</v>
      </c>
      <c r="G274" s="106">
        <v>227.5</v>
      </c>
    </row>
    <row r="275" spans="1:10" x14ac:dyDescent="0.2">
      <c r="A275" s="106" t="s">
        <v>9480</v>
      </c>
      <c r="B275" s="106">
        <v>133.4</v>
      </c>
      <c r="C275" s="106">
        <v>11.18</v>
      </c>
      <c r="D275" s="106">
        <v>1.65</v>
      </c>
      <c r="E275" s="106">
        <v>8.7609999999999992</v>
      </c>
      <c r="F275" s="106">
        <v>2210.1999999999998</v>
      </c>
      <c r="G275" s="106">
        <v>308.05</v>
      </c>
      <c r="H275" s="106">
        <v>22</v>
      </c>
      <c r="I275" s="106">
        <v>62</v>
      </c>
      <c r="J275" s="106">
        <v>165</v>
      </c>
    </row>
    <row r="276" spans="1:10" x14ac:dyDescent="0.2">
      <c r="A276" s="106" t="s">
        <v>9481</v>
      </c>
      <c r="B276" s="106">
        <v>133.4</v>
      </c>
      <c r="C276" s="106">
        <v>12.02</v>
      </c>
      <c r="D276" s="106">
        <v>0.245</v>
      </c>
      <c r="E276" s="106">
        <v>6.9450000000000003</v>
      </c>
      <c r="F276" s="106">
        <v>1310.3</v>
      </c>
      <c r="G276" s="106">
        <v>208.74</v>
      </c>
      <c r="H276" s="106">
        <v>122</v>
      </c>
      <c r="I276" s="106">
        <v>237</v>
      </c>
      <c r="J276" s="106">
        <v>237</v>
      </c>
    </row>
    <row r="277" spans="1:10" x14ac:dyDescent="0.2">
      <c r="A277" s="106" t="s">
        <v>9482</v>
      </c>
      <c r="E277" s="106">
        <v>6.9509999999999996</v>
      </c>
      <c r="F277" s="106">
        <v>1314.41</v>
      </c>
      <c r="G277" s="106">
        <v>209.2</v>
      </c>
    </row>
    <row r="278" spans="1:10" x14ac:dyDescent="0.2">
      <c r="A278" s="106" t="s">
        <v>9483</v>
      </c>
      <c r="B278" s="106">
        <v>131.38999999999999</v>
      </c>
      <c r="C278" s="106">
        <v>12.22</v>
      </c>
      <c r="D278" s="106">
        <v>0.81699999999999995</v>
      </c>
      <c r="E278" s="106">
        <v>6.4290000000000003</v>
      </c>
      <c r="F278" s="106">
        <v>974.5</v>
      </c>
      <c r="G278" s="106">
        <v>187.34</v>
      </c>
      <c r="H278" s="106">
        <v>64</v>
      </c>
      <c r="I278" s="106">
        <v>188</v>
      </c>
      <c r="J278" s="106">
        <v>189</v>
      </c>
    </row>
    <row r="279" spans="1:10" x14ac:dyDescent="0.2">
      <c r="A279" s="106" t="s">
        <v>9484</v>
      </c>
      <c r="B279" s="106">
        <v>137.37</v>
      </c>
      <c r="C279" s="106">
        <v>12.48</v>
      </c>
      <c r="D279" s="106">
        <v>10.93</v>
      </c>
      <c r="E279" s="106">
        <v>6.8840000000000003</v>
      </c>
      <c r="F279" s="106">
        <v>1043</v>
      </c>
      <c r="G279" s="106">
        <v>236.88</v>
      </c>
      <c r="H279" s="106">
        <v>75</v>
      </c>
      <c r="J279" s="106">
        <v>75.400000000000006</v>
      </c>
    </row>
    <row r="280" spans="1:10" x14ac:dyDescent="0.2">
      <c r="A280" s="106" t="s">
        <v>9485</v>
      </c>
      <c r="B280" s="106">
        <v>147.43</v>
      </c>
      <c r="C280" s="106">
        <v>11.59</v>
      </c>
      <c r="D280" s="106">
        <v>3.1E-2</v>
      </c>
      <c r="E280" s="106">
        <v>7.532</v>
      </c>
      <c r="F280" s="106">
        <v>1818.9</v>
      </c>
      <c r="G280" s="106">
        <v>232.52</v>
      </c>
      <c r="H280" s="106">
        <v>48</v>
      </c>
      <c r="I280" s="106">
        <v>316</v>
      </c>
      <c r="J280" s="106">
        <v>313</v>
      </c>
    </row>
    <row r="281" spans="1:10" x14ac:dyDescent="0.2">
      <c r="A281" s="106" t="s">
        <v>9486</v>
      </c>
      <c r="E281" s="106">
        <v>6.9029999999999996</v>
      </c>
      <c r="F281" s="106">
        <v>788.2</v>
      </c>
      <c r="G281" s="106">
        <v>243.23</v>
      </c>
    </row>
    <row r="282" spans="1:10" x14ac:dyDescent="0.2">
      <c r="A282" s="106" t="s">
        <v>9487</v>
      </c>
      <c r="B282" s="106">
        <v>184.36</v>
      </c>
      <c r="C282" s="106">
        <v>6.31</v>
      </c>
      <c r="D282" s="106">
        <v>2.4600000000000002E-4</v>
      </c>
      <c r="E282" s="106">
        <v>7.0030000000000001</v>
      </c>
      <c r="F282" s="106">
        <v>1689.1</v>
      </c>
      <c r="G282" s="106">
        <v>174.28</v>
      </c>
      <c r="H282" s="106">
        <v>283</v>
      </c>
      <c r="I282" s="106">
        <v>457</v>
      </c>
      <c r="J282" s="106">
        <v>453</v>
      </c>
    </row>
    <row r="283" spans="1:10" x14ac:dyDescent="0.2">
      <c r="A283" s="106" t="s">
        <v>9488</v>
      </c>
      <c r="B283" s="106">
        <v>187.37</v>
      </c>
      <c r="C283" s="106">
        <v>13.057700000000001</v>
      </c>
      <c r="D283" s="106">
        <v>4.3760000000000003</v>
      </c>
      <c r="E283" s="106">
        <v>6.88</v>
      </c>
      <c r="F283" s="106">
        <v>1099.9000000000001</v>
      </c>
      <c r="G283" s="106">
        <v>227.5</v>
      </c>
      <c r="H283" s="106">
        <v>-13</v>
      </c>
      <c r="I283" s="106">
        <v>181</v>
      </c>
      <c r="J283" s="106">
        <v>118</v>
      </c>
    </row>
    <row r="284" spans="1:10" x14ac:dyDescent="0.2">
      <c r="A284" s="106" t="s">
        <v>9489</v>
      </c>
      <c r="B284" s="106">
        <v>120.19</v>
      </c>
      <c r="C284" s="106">
        <v>7.31</v>
      </c>
      <c r="D284" s="106">
        <v>0.02</v>
      </c>
      <c r="E284" s="106">
        <v>7.0439999999999996</v>
      </c>
      <c r="F284" s="106">
        <v>1573.3</v>
      </c>
      <c r="G284" s="106">
        <v>208.56</v>
      </c>
      <c r="H284" s="106">
        <v>126</v>
      </c>
      <c r="I284" s="106">
        <v>388</v>
      </c>
      <c r="J284" s="106">
        <v>337</v>
      </c>
    </row>
    <row r="285" spans="1:10" x14ac:dyDescent="0.2">
      <c r="A285" s="106" t="s">
        <v>9490</v>
      </c>
      <c r="B285" s="106">
        <v>108.64</v>
      </c>
      <c r="C285" s="106">
        <v>7.1577000000000002</v>
      </c>
      <c r="D285" s="106">
        <v>3.0680000000000001</v>
      </c>
      <c r="E285" s="106">
        <v>6.9509999999999996</v>
      </c>
      <c r="F285" s="106">
        <v>1191</v>
      </c>
      <c r="G285" s="106">
        <v>235.15</v>
      </c>
      <c r="H285" s="106">
        <v>37</v>
      </c>
      <c r="I285" s="106">
        <v>132</v>
      </c>
      <c r="J285" s="106">
        <v>136</v>
      </c>
    </row>
    <row r="286" spans="1:10" x14ac:dyDescent="0.2">
      <c r="A286" s="106" t="s">
        <v>9491</v>
      </c>
      <c r="B286" s="106">
        <v>114.23</v>
      </c>
      <c r="C286" s="106">
        <v>5.7477</v>
      </c>
      <c r="D286" s="106">
        <v>0.378</v>
      </c>
      <c r="E286" s="106">
        <v>6.8250000000000002</v>
      </c>
      <c r="F286" s="106">
        <v>1294.9000000000001</v>
      </c>
      <c r="G286" s="106">
        <v>218.42</v>
      </c>
      <c r="H286" s="106">
        <v>230</v>
      </c>
    </row>
    <row r="287" spans="1:10" x14ac:dyDescent="0.2">
      <c r="A287" s="106" t="s">
        <v>9492</v>
      </c>
      <c r="B287" s="106">
        <v>114.23</v>
      </c>
      <c r="C287" s="106">
        <v>6.06</v>
      </c>
      <c r="D287" s="106">
        <v>0.317</v>
      </c>
      <c r="E287" s="106">
        <v>6.8440000000000003</v>
      </c>
      <c r="F287" s="106">
        <v>1328.1</v>
      </c>
      <c r="G287" s="106">
        <v>220.38</v>
      </c>
      <c r="H287" s="106">
        <v>238</v>
      </c>
    </row>
    <row r="288" spans="1:10" x14ac:dyDescent="0.2">
      <c r="A288" s="106" t="s">
        <v>9493</v>
      </c>
      <c r="B288" s="106">
        <v>114.23</v>
      </c>
      <c r="C288" s="106">
        <v>6</v>
      </c>
      <c r="D288" s="106">
        <v>0.314</v>
      </c>
      <c r="E288" s="106">
        <v>7.0309999999999997</v>
      </c>
      <c r="F288" s="106">
        <v>1420.7</v>
      </c>
      <c r="G288" s="106">
        <v>228.53</v>
      </c>
      <c r="H288" s="106">
        <v>-59</v>
      </c>
      <c r="I288" s="106">
        <v>308</v>
      </c>
      <c r="J288" s="106">
        <v>237</v>
      </c>
    </row>
    <row r="289" spans="1:10" x14ac:dyDescent="0.2">
      <c r="A289" s="106" t="s">
        <v>9494</v>
      </c>
      <c r="B289" s="106">
        <v>156.31</v>
      </c>
      <c r="C289" s="106">
        <v>6.18</v>
      </c>
      <c r="D289" s="106">
        <v>3.5000000000000001E-3</v>
      </c>
      <c r="E289" s="106">
        <v>6.9770000000000003</v>
      </c>
      <c r="F289" s="106">
        <v>1572.5</v>
      </c>
      <c r="G289" s="106">
        <v>188.02</v>
      </c>
      <c r="H289" s="106">
        <v>220</v>
      </c>
      <c r="I289" s="106">
        <v>387</v>
      </c>
      <c r="J289" s="106">
        <v>383</v>
      </c>
    </row>
    <row r="290" spans="1:10" x14ac:dyDescent="0.2">
      <c r="A290" s="106" t="s">
        <v>9495</v>
      </c>
      <c r="B290" s="106">
        <v>86.09</v>
      </c>
      <c r="C290" s="106">
        <v>7.78</v>
      </c>
      <c r="D290" s="106">
        <v>1.3959999999999999</v>
      </c>
      <c r="E290" s="106">
        <v>7.2149999999999999</v>
      </c>
      <c r="F290" s="106">
        <v>1299.0999999999999</v>
      </c>
      <c r="G290" s="106">
        <v>226.97</v>
      </c>
      <c r="H290" s="106">
        <v>71</v>
      </c>
      <c r="I290" s="106">
        <v>162</v>
      </c>
      <c r="J290" s="106">
        <v>163</v>
      </c>
    </row>
    <row r="291" spans="1:10" x14ac:dyDescent="0.2">
      <c r="A291" s="106" t="s">
        <v>9496</v>
      </c>
      <c r="B291" s="106">
        <v>96.94</v>
      </c>
      <c r="C291" s="106">
        <v>10.130000000000001</v>
      </c>
      <c r="D291" s="106">
        <v>8.0960000000000001</v>
      </c>
      <c r="E291" s="106">
        <v>6.9829999999999997</v>
      </c>
      <c r="F291" s="106">
        <v>1104.7</v>
      </c>
      <c r="G291" s="106">
        <v>237.75</v>
      </c>
      <c r="H291" s="106">
        <v>-19</v>
      </c>
      <c r="I291" s="106">
        <v>90</v>
      </c>
      <c r="J291" s="106">
        <v>88</v>
      </c>
    </row>
    <row r="292" spans="1:10" x14ac:dyDescent="0.2">
      <c r="A292" s="106" t="s">
        <v>9497</v>
      </c>
      <c r="B292" s="106">
        <v>106.17</v>
      </c>
      <c r="C292" s="106">
        <v>7.21</v>
      </c>
      <c r="D292" s="106">
        <v>0.09</v>
      </c>
      <c r="E292" s="106">
        <v>7.0090000000000003</v>
      </c>
      <c r="F292" s="106">
        <v>1462.3</v>
      </c>
      <c r="G292" s="106">
        <v>215.11</v>
      </c>
      <c r="H292" s="106">
        <v>82</v>
      </c>
      <c r="I292" s="106">
        <v>331</v>
      </c>
      <c r="J292" s="106">
        <v>283</v>
      </c>
    </row>
    <row r="293" spans="1:10" x14ac:dyDescent="0.2">
      <c r="A293" s="106" t="s">
        <v>9498</v>
      </c>
      <c r="B293" s="106">
        <v>106.17</v>
      </c>
      <c r="C293" s="106">
        <v>7.3550000000000004</v>
      </c>
      <c r="D293" s="106">
        <v>7.0999999999999994E-2</v>
      </c>
      <c r="E293" s="106">
        <v>6.9989999999999997</v>
      </c>
      <c r="F293" s="106">
        <v>1474.7</v>
      </c>
      <c r="G293" s="106">
        <v>213.69</v>
      </c>
      <c r="H293" s="106">
        <v>90</v>
      </c>
      <c r="I293" s="106">
        <v>342</v>
      </c>
      <c r="J293" s="106">
        <v>291</v>
      </c>
    </row>
    <row r="294" spans="1:10" x14ac:dyDescent="0.2">
      <c r="A294" s="106" t="s">
        <v>9499</v>
      </c>
      <c r="B294" s="106">
        <v>106.17</v>
      </c>
      <c r="C294" s="106">
        <v>7.19</v>
      </c>
      <c r="D294" s="106">
        <v>9.7000000000000003E-2</v>
      </c>
      <c r="E294" s="106">
        <v>7.0209999999999999</v>
      </c>
      <c r="F294" s="106">
        <v>1474.4</v>
      </c>
      <c r="G294" s="106">
        <v>217.77</v>
      </c>
      <c r="H294" s="106">
        <v>56</v>
      </c>
      <c r="I294" s="106">
        <v>355</v>
      </c>
      <c r="J294" s="106">
        <v>281</v>
      </c>
    </row>
  </sheetData>
  <sheetProtection algorithmName="SHA-512" hashValue="Ed/fKSsiSFc8j/lhnHhuf13nUS5c+ND5c9jjKS+SVmXf/pE7GgZegojeFBlqMaAne11LVKjmvKoi8RGgwQr34A==" saltValue="aSSqbk51o2U9PAS3yCjrJQ==" spinCount="100000" sheet="1" objects="1" scenarios="1" formatColumns="0" formatRows="0" autoFilter="0"/>
  <autoFilter ref="A2:J2" xr:uid="{3AC10D59-885A-47D0-AEC6-3380B38FAF9D}">
    <sortState xmlns:xlrd2="http://schemas.microsoft.com/office/spreadsheetml/2017/richdata2" ref="A3:J294">
      <sortCondition ref="A2"/>
    </sortState>
  </autoFilter>
  <mergeCells count="2">
    <mergeCell ref="E1:I1"/>
    <mergeCell ref="M1:O1"/>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rgb="FFFFFFCC"/>
    <pageSetUpPr fitToPage="1"/>
  </sheetPr>
  <dimension ref="A1:E105"/>
  <sheetViews>
    <sheetView workbookViewId="0">
      <selection sqref="A1:D1"/>
    </sheetView>
  </sheetViews>
  <sheetFormatPr defaultColWidth="0" defaultRowHeight="14.25" zeroHeight="1" x14ac:dyDescent="0.25"/>
  <cols>
    <col min="1" max="1" width="20.7109375" style="466" customWidth="1"/>
    <col min="2" max="2" width="60.7109375" style="510" customWidth="1"/>
    <col min="3" max="3" width="39.28515625" style="466" customWidth="1"/>
    <col min="4" max="4" width="28.28515625" style="510" customWidth="1"/>
    <col min="5" max="5" width="0" style="466" hidden="1" customWidth="1"/>
    <col min="6" max="16384" width="44.5703125" style="466" hidden="1"/>
  </cols>
  <sheetData>
    <row r="1" spans="1:4" ht="6" customHeight="1" thickBot="1" x14ac:dyDescent="0.3">
      <c r="A1" s="1428" t="s">
        <v>8392</v>
      </c>
      <c r="B1" s="1428"/>
      <c r="C1" s="1428"/>
      <c r="D1" s="1428"/>
    </row>
    <row r="2" spans="1:4" ht="18.75" thickBot="1" x14ac:dyDescent="0.3">
      <c r="A2" s="1436" t="s">
        <v>275</v>
      </c>
      <c r="B2" s="1437"/>
      <c r="C2" s="1437"/>
      <c r="D2" s="1438"/>
    </row>
    <row r="3" spans="1:4" ht="131.25" customHeight="1" thickBot="1" x14ac:dyDescent="0.3">
      <c r="A3" s="1429" t="s">
        <v>10285</v>
      </c>
      <c r="B3" s="1430"/>
      <c r="C3" s="1430"/>
      <c r="D3" s="1431"/>
    </row>
    <row r="4" spans="1:4" ht="15" customHeight="1" thickBot="1" x14ac:dyDescent="0.3">
      <c r="A4" s="1414" t="s">
        <v>8567</v>
      </c>
      <c r="B4" s="1414"/>
      <c r="C4" s="1414"/>
      <c r="D4" s="1414"/>
    </row>
    <row r="5" spans="1:4" ht="15" customHeight="1" thickBot="1" x14ac:dyDescent="0.3">
      <c r="A5" s="1411" t="s">
        <v>8575</v>
      </c>
      <c r="B5" s="1412"/>
      <c r="C5" s="1412"/>
      <c r="D5" s="1413"/>
    </row>
    <row r="6" spans="1:4" ht="15" customHeight="1" x14ac:dyDescent="0.25">
      <c r="A6" s="1446" t="s">
        <v>10125</v>
      </c>
      <c r="B6" s="1447"/>
      <c r="C6" s="1444"/>
      <c r="D6" s="1445"/>
    </row>
    <row r="7" spans="1:4" ht="15" customHeight="1" x14ac:dyDescent="0.25">
      <c r="A7" s="1432" t="s">
        <v>8582</v>
      </c>
      <c r="B7" s="1433"/>
      <c r="C7" s="1439"/>
      <c r="D7" s="1440"/>
    </row>
    <row r="8" spans="1:4" ht="15" customHeight="1" x14ac:dyDescent="0.25">
      <c r="A8" s="1434" t="s">
        <v>8583</v>
      </c>
      <c r="B8" s="1435"/>
      <c r="C8" s="1441"/>
      <c r="D8" s="1424"/>
    </row>
    <row r="9" spans="1:4" ht="15" customHeight="1" x14ac:dyDescent="0.25">
      <c r="A9" s="1434" t="s">
        <v>8584</v>
      </c>
      <c r="B9" s="1435"/>
      <c r="C9" s="1442"/>
      <c r="D9" s="1443"/>
    </row>
    <row r="10" spans="1:4" ht="15" customHeight="1" x14ac:dyDescent="0.25">
      <c r="A10" s="1402" t="s">
        <v>8576</v>
      </c>
      <c r="B10" s="1403"/>
      <c r="C10" s="1423"/>
      <c r="D10" s="1424"/>
    </row>
    <row r="11" spans="1:4" ht="15" customHeight="1" x14ac:dyDescent="0.25">
      <c r="A11" s="1402" t="s">
        <v>8577</v>
      </c>
      <c r="B11" s="1403"/>
      <c r="C11" s="1423"/>
      <c r="D11" s="1424"/>
    </row>
    <row r="12" spans="1:4" ht="15" customHeight="1" thickBot="1" x14ac:dyDescent="0.3">
      <c r="A12" s="1406" t="s">
        <v>8578</v>
      </c>
      <c r="B12" s="1407"/>
      <c r="C12" s="1425"/>
      <c r="D12" s="1426"/>
    </row>
    <row r="13" spans="1:4" ht="15" customHeight="1" thickBot="1" x14ac:dyDescent="0.3">
      <c r="A13" s="1414" t="s">
        <v>8567</v>
      </c>
      <c r="B13" s="1414"/>
      <c r="C13" s="1414"/>
      <c r="D13" s="1414"/>
    </row>
    <row r="14" spans="1:4" ht="15" customHeight="1" thickBot="1" x14ac:dyDescent="0.3">
      <c r="A14" s="1411" t="s">
        <v>8581</v>
      </c>
      <c r="B14" s="1412"/>
      <c r="C14" s="1412"/>
      <c r="D14" s="1413"/>
    </row>
    <row r="15" spans="1:4" ht="15" customHeight="1" x14ac:dyDescent="0.25">
      <c r="A15" s="1420" t="s">
        <v>8373</v>
      </c>
      <c r="B15" s="1421"/>
      <c r="C15" s="53" t="s">
        <v>8580</v>
      </c>
      <c r="D15" s="440" t="s">
        <v>8645</v>
      </c>
    </row>
    <row r="16" spans="1:4" ht="15" customHeight="1" x14ac:dyDescent="0.2">
      <c r="A16" s="1404" t="s">
        <v>8700</v>
      </c>
      <c r="B16" s="1405"/>
      <c r="C16" s="732"/>
      <c r="D16" s="499"/>
    </row>
    <row r="17" spans="1:4" ht="15" customHeight="1" x14ac:dyDescent="0.2">
      <c r="A17" s="1427" t="s">
        <v>10256</v>
      </c>
      <c r="B17" s="1405"/>
      <c r="C17" s="732"/>
      <c r="D17" s="499"/>
    </row>
    <row r="18" spans="1:4" ht="15" customHeight="1" x14ac:dyDescent="0.2">
      <c r="A18" s="1408" t="s">
        <v>8701</v>
      </c>
      <c r="B18" s="1405"/>
      <c r="C18" s="732"/>
      <c r="D18" s="499"/>
    </row>
    <row r="19" spans="1:4" ht="30.75" customHeight="1" x14ac:dyDescent="0.2">
      <c r="A19" s="1408" t="s">
        <v>8626</v>
      </c>
      <c r="B19" s="1405"/>
      <c r="C19" s="732"/>
      <c r="D19" s="499"/>
    </row>
    <row r="20" spans="1:4" ht="15" customHeight="1" x14ac:dyDescent="0.2">
      <c r="A20" s="1408" t="s">
        <v>8993</v>
      </c>
      <c r="B20" s="1405"/>
      <c r="C20" s="732"/>
      <c r="D20" s="499"/>
    </row>
    <row r="21" spans="1:4" ht="15" customHeight="1" x14ac:dyDescent="0.2">
      <c r="A21" s="1427" t="s">
        <v>10281</v>
      </c>
      <c r="B21" s="1405"/>
      <c r="C21" s="732"/>
      <c r="D21" s="499"/>
    </row>
    <row r="22" spans="1:4" ht="30" customHeight="1" x14ac:dyDescent="0.2">
      <c r="A22" s="1138" t="s">
        <v>10032</v>
      </c>
      <c r="B22" s="1139"/>
      <c r="C22" s="732"/>
      <c r="D22" s="499"/>
    </row>
    <row r="23" spans="1:4" ht="15" customHeight="1" x14ac:dyDescent="0.2">
      <c r="A23" s="1422" t="s">
        <v>10290</v>
      </c>
      <c r="B23" s="1417"/>
      <c r="C23" s="498"/>
      <c r="D23" s="499"/>
    </row>
    <row r="24" spans="1:4" ht="15" customHeight="1" x14ac:dyDescent="0.2">
      <c r="A24" s="1416" t="s">
        <v>277</v>
      </c>
      <c r="B24" s="1417"/>
      <c r="C24" s="500"/>
      <c r="D24" s="499">
        <v>50</v>
      </c>
    </row>
    <row r="25" spans="1:4" ht="15" customHeight="1" x14ac:dyDescent="0.2">
      <c r="A25" s="1416" t="s">
        <v>4</v>
      </c>
      <c r="B25" s="1417"/>
      <c r="C25" s="500"/>
      <c r="D25" s="499">
        <v>3</v>
      </c>
    </row>
    <row r="26" spans="1:4" ht="15" customHeight="1" x14ac:dyDescent="0.2">
      <c r="A26" s="1409" t="s">
        <v>10117</v>
      </c>
      <c r="B26" s="1410"/>
      <c r="C26" s="501" t="s">
        <v>6</v>
      </c>
      <c r="D26" s="499"/>
    </row>
    <row r="27" spans="1:4" ht="15" customHeight="1" x14ac:dyDescent="0.2">
      <c r="A27" s="1416" t="s">
        <v>8382</v>
      </c>
      <c r="B27" s="1417"/>
      <c r="C27" s="797"/>
      <c r="D27" s="499"/>
    </row>
    <row r="28" spans="1:4" ht="15" customHeight="1" thickBot="1" x14ac:dyDescent="0.25">
      <c r="A28" s="1418" t="s">
        <v>8632</v>
      </c>
      <c r="B28" s="1419"/>
      <c r="C28" s="798"/>
      <c r="D28" s="504" t="s">
        <v>8592</v>
      </c>
    </row>
    <row r="29" spans="1:4" ht="15" customHeight="1" thickBot="1" x14ac:dyDescent="0.3">
      <c r="A29" s="1415" t="s">
        <v>8567</v>
      </c>
      <c r="B29" s="1415"/>
      <c r="C29" s="1415"/>
      <c r="D29" s="1415"/>
    </row>
    <row r="30" spans="1:4" s="462" customFormat="1" ht="15" customHeight="1" thickBot="1" x14ac:dyDescent="0.25">
      <c r="A30" s="1411" t="s">
        <v>10276</v>
      </c>
      <c r="B30" s="1412"/>
      <c r="C30" s="1412"/>
      <c r="D30" s="1413"/>
    </row>
    <row r="31" spans="1:4" ht="45" customHeight="1" x14ac:dyDescent="0.25">
      <c r="A31" s="441" t="s">
        <v>8353</v>
      </c>
      <c r="B31" s="487" t="s">
        <v>2</v>
      </c>
      <c r="C31" s="1400" t="s">
        <v>10171</v>
      </c>
      <c r="D31" s="1401"/>
    </row>
    <row r="32" spans="1:4" x14ac:dyDescent="0.2">
      <c r="A32" s="505" t="s">
        <v>3</v>
      </c>
      <c r="B32" s="617" t="s">
        <v>10118</v>
      </c>
      <c r="C32" s="1396"/>
      <c r="D32" s="1397"/>
    </row>
    <row r="33" spans="1:4" x14ac:dyDescent="0.2">
      <c r="A33" s="792"/>
      <c r="B33" s="506" t="str">
        <f t="shared" ref="B33:B49" si="0">IFERROR(VLOOKUP(A33, SpeciesDataTable,2,FALSE),"")</f>
        <v/>
      </c>
      <c r="C33" s="1396"/>
      <c r="D33" s="1397"/>
    </row>
    <row r="34" spans="1:4" x14ac:dyDescent="0.2">
      <c r="A34" s="508"/>
      <c r="B34" s="506" t="str">
        <f t="shared" si="0"/>
        <v/>
      </c>
      <c r="C34" s="1396"/>
      <c r="D34" s="1397"/>
    </row>
    <row r="35" spans="1:4" x14ac:dyDescent="0.2">
      <c r="A35" s="508"/>
      <c r="B35" s="506" t="str">
        <f t="shared" si="0"/>
        <v/>
      </c>
      <c r="C35" s="1396"/>
      <c r="D35" s="1397"/>
    </row>
    <row r="36" spans="1:4" x14ac:dyDescent="0.2">
      <c r="A36" s="853"/>
      <c r="B36" s="506" t="str">
        <f t="shared" si="0"/>
        <v/>
      </c>
      <c r="C36" s="1396"/>
      <c r="D36" s="1397"/>
    </row>
    <row r="37" spans="1:4" x14ac:dyDescent="0.2">
      <c r="A37" s="508"/>
      <c r="B37" s="506" t="str">
        <f t="shared" si="0"/>
        <v/>
      </c>
      <c r="C37" s="1396"/>
      <c r="D37" s="1397"/>
    </row>
    <row r="38" spans="1:4" x14ac:dyDescent="0.2">
      <c r="A38" s="508"/>
      <c r="B38" s="506" t="str">
        <f t="shared" si="0"/>
        <v/>
      </c>
      <c r="C38" s="1396"/>
      <c r="D38" s="1397"/>
    </row>
    <row r="39" spans="1:4" x14ac:dyDescent="0.2">
      <c r="A39" s="508"/>
      <c r="B39" s="506" t="str">
        <f t="shared" si="0"/>
        <v/>
      </c>
      <c r="C39" s="1396"/>
      <c r="D39" s="1397"/>
    </row>
    <row r="40" spans="1:4" x14ac:dyDescent="0.2">
      <c r="A40" s="508"/>
      <c r="B40" s="506" t="str">
        <f t="shared" si="0"/>
        <v/>
      </c>
      <c r="C40" s="1396"/>
      <c r="D40" s="1397"/>
    </row>
    <row r="41" spans="1:4" x14ac:dyDescent="0.2">
      <c r="A41" s="508"/>
      <c r="B41" s="506" t="str">
        <f t="shared" si="0"/>
        <v/>
      </c>
      <c r="C41" s="1396"/>
      <c r="D41" s="1397"/>
    </row>
    <row r="42" spans="1:4" x14ac:dyDescent="0.2">
      <c r="A42" s="508"/>
      <c r="B42" s="506" t="str">
        <f t="shared" si="0"/>
        <v/>
      </c>
      <c r="C42" s="1396"/>
      <c r="D42" s="1397"/>
    </row>
    <row r="43" spans="1:4" x14ac:dyDescent="0.2">
      <c r="A43" s="508"/>
      <c r="B43" s="506" t="str">
        <f t="shared" si="0"/>
        <v/>
      </c>
      <c r="C43" s="1396"/>
      <c r="D43" s="1397"/>
    </row>
    <row r="44" spans="1:4" x14ac:dyDescent="0.2">
      <c r="A44" s="508"/>
      <c r="B44" s="506" t="str">
        <f t="shared" si="0"/>
        <v/>
      </c>
      <c r="C44" s="1396"/>
      <c r="D44" s="1397"/>
    </row>
    <row r="45" spans="1:4" x14ac:dyDescent="0.2">
      <c r="A45" s="508"/>
      <c r="B45" s="506" t="str">
        <f t="shared" si="0"/>
        <v/>
      </c>
      <c r="C45" s="1396"/>
      <c r="D45" s="1397"/>
    </row>
    <row r="46" spans="1:4" x14ac:dyDescent="0.2">
      <c r="A46" s="508"/>
      <c r="B46" s="506" t="str">
        <f t="shared" si="0"/>
        <v/>
      </c>
      <c r="C46" s="1396"/>
      <c r="D46" s="1397"/>
    </row>
    <row r="47" spans="1:4" x14ac:dyDescent="0.2">
      <c r="A47" s="508"/>
      <c r="B47" s="506" t="str">
        <f t="shared" si="0"/>
        <v/>
      </c>
      <c r="C47" s="1396"/>
      <c r="D47" s="1397"/>
    </row>
    <row r="48" spans="1:4" x14ac:dyDescent="0.2">
      <c r="A48" s="508"/>
      <c r="B48" s="506" t="str">
        <f t="shared" si="0"/>
        <v/>
      </c>
      <c r="C48" s="1396"/>
      <c r="D48" s="1397"/>
    </row>
    <row r="49" spans="1:5" ht="15.75" customHeight="1" thickBot="1" x14ac:dyDescent="0.25">
      <c r="A49" s="509"/>
      <c r="B49" s="724" t="str">
        <f t="shared" si="0"/>
        <v/>
      </c>
      <c r="C49" s="1398"/>
      <c r="D49" s="1399"/>
    </row>
    <row r="50" spans="1:5" ht="15" customHeight="1" x14ac:dyDescent="0.25">
      <c r="A50" s="1115" t="s">
        <v>8455</v>
      </c>
      <c r="B50" s="1115"/>
      <c r="C50" s="1115"/>
      <c r="D50" s="1115"/>
      <c r="E50" s="573"/>
    </row>
    <row r="105" spans="2:2" hidden="1" x14ac:dyDescent="0.25">
      <c r="B105" s="510" t="b">
        <f>(IF(Tank1!C23="carbon adsorption system","""shallventthroughaCASconsistingofatleasttwoactivatedcarboncanistersthatareconnectedinseries."))</f>
        <v>0</v>
      </c>
    </row>
  </sheetData>
  <sheetProtection algorithmName="SHA-512" hashValue="kUWR0RD8qAGTjhW8Z5CONerGqQNRj8OfDH2VC8GkLR6ZdKYeZ7cSlTFG2RAV0aM72r8jOR6Gqe1KqaX5xNfokw==" saltValue="EmMA6rVKIg/LMCCBaILJTQ==" spinCount="100000" sheet="1" objects="1" scenarios="1" formatColumns="0" formatRows="0" autoFilter="0"/>
  <mergeCells count="57">
    <mergeCell ref="A1:D1"/>
    <mergeCell ref="A3:D3"/>
    <mergeCell ref="A7:B7"/>
    <mergeCell ref="A8:B8"/>
    <mergeCell ref="A9:B9"/>
    <mergeCell ref="A2:D2"/>
    <mergeCell ref="A5:D5"/>
    <mergeCell ref="C7:D7"/>
    <mergeCell ref="C8:D8"/>
    <mergeCell ref="C9:D9"/>
    <mergeCell ref="A4:D4"/>
    <mergeCell ref="C6:D6"/>
    <mergeCell ref="A6:B6"/>
    <mergeCell ref="A24:B24"/>
    <mergeCell ref="C10:D10"/>
    <mergeCell ref="C11:D11"/>
    <mergeCell ref="C12:D12"/>
    <mergeCell ref="A17:B17"/>
    <mergeCell ref="A18:B18"/>
    <mergeCell ref="A22:B22"/>
    <mergeCell ref="A20:B20"/>
    <mergeCell ref="A21:B21"/>
    <mergeCell ref="A50:D50"/>
    <mergeCell ref="A10:B10"/>
    <mergeCell ref="A11:B11"/>
    <mergeCell ref="A16:B16"/>
    <mergeCell ref="A12:B12"/>
    <mergeCell ref="A19:B19"/>
    <mergeCell ref="A26:B26"/>
    <mergeCell ref="A30:D30"/>
    <mergeCell ref="A13:D13"/>
    <mergeCell ref="A29:D29"/>
    <mergeCell ref="A25:B25"/>
    <mergeCell ref="A27:B27"/>
    <mergeCell ref="A28:B28"/>
    <mergeCell ref="A14:D14"/>
    <mergeCell ref="A15:B15"/>
    <mergeCell ref="A23:B23"/>
    <mergeCell ref="C31:D31"/>
    <mergeCell ref="C32:D32"/>
    <mergeCell ref="C33:D33"/>
    <mergeCell ref="C34:D34"/>
    <mergeCell ref="C35:D35"/>
    <mergeCell ref="C36:D36"/>
    <mergeCell ref="C37:D37"/>
    <mergeCell ref="C38:D38"/>
    <mergeCell ref="C39:D39"/>
    <mergeCell ref="C40:D40"/>
    <mergeCell ref="C46:D46"/>
    <mergeCell ref="C47:D47"/>
    <mergeCell ref="C48:D48"/>
    <mergeCell ref="C49:D49"/>
    <mergeCell ref="C41:D41"/>
    <mergeCell ref="C42:D42"/>
    <mergeCell ref="C43:D43"/>
    <mergeCell ref="C44:D44"/>
    <mergeCell ref="C45:D45"/>
  </mergeCells>
  <conditionalFormatting sqref="A16:D22 A10:D12 A24:D30 A31:C49">
    <cfRule type="expression" dxfId="204" priority="6" stopIfTrue="1">
      <formula>$C$6="Affected"</formula>
    </cfRule>
  </conditionalFormatting>
  <conditionalFormatting sqref="A19:D19">
    <cfRule type="expression" dxfId="203" priority="2">
      <formula>$C$16="Fixed roof"</formula>
    </cfRule>
  </conditionalFormatting>
  <conditionalFormatting sqref="A21:D21">
    <cfRule type="expression" dxfId="202" priority="1">
      <formula>$C$20="No"</formula>
    </cfRule>
  </conditionalFormatting>
  <conditionalFormatting sqref="A24:D26">
    <cfRule type="expression" dxfId="201" priority="12">
      <formula>OR($C$23="Flare",$C$23="Vapor combustion unit",$C$23="Carbon adsorption system")</formula>
    </cfRule>
  </conditionalFormatting>
  <dataValidations count="18">
    <dataValidation type="decimal" operator="greaterThanOrEqual" allowBlank="1" showErrorMessage="1" error="Minimum release height is 3 feet." prompt="enter release height (ft)" sqref="C25" xr:uid="{17BD3EA5-1714-48E2-A447-D715E0D8571F}">
      <formula1>3</formula1>
    </dataValidation>
    <dataValidation type="decimal" operator="greaterThanOrEqual" allowBlank="1" showErrorMessage="1" error="The minimum distance to the property line is 50 feet." prompt="enter distance to property line (ft)" sqref="C24" xr:uid="{17A9B5AA-6091-4E61-AF3E-472DFA24F0B7}">
      <formula1>50</formula1>
    </dataValidation>
    <dataValidation allowBlank="1" showErrorMessage="1" prompt="enter source name" sqref="C9:D9" xr:uid="{9558438B-7631-4E14-A389-442B11ACD487}"/>
    <dataValidation operator="greaterThanOrEqual" allowBlank="1" showInputMessage="1" showErrorMessage="1" prompt="Review Section V of the &quot;Instruction&quot; sheet of this workbook for downwash applicability guidance." sqref="C26" xr:uid="{89DA9580-F2C9-4E61-8792-75E1C5C84C83}"/>
    <dataValidation type="decimal" allowBlank="1" showErrorMessage="1" error="Value must be between 205,000 and 795,000 meters." prompt="enter UTM easting in meters" sqref="C11:D11" xr:uid="{42E03806-3933-4A88-8A29-5664E15D4F46}">
      <formula1>205000</formula1>
      <formula2>795000</formula2>
    </dataValidation>
    <dataValidation type="decimal" allowBlank="1" showErrorMessage="1" error="Value must be between 2,854,000 and 4,059,000 meters." prompt="enter UTM northing in meters" sqref="C12:D12" xr:uid="{735B6704-EBBE-4B63-B2BA-47A381F9B5DD}">
      <formula1>2854000</formula1>
      <formula2>4059000</formula2>
    </dataValidation>
    <dataValidation type="list" allowBlank="1" showErrorMessage="1" prompt="select tank type" sqref="C16" xr:uid="{23188C78-C374-42AE-8517-12DDE66C99A1}">
      <formula1>"Fixed roof, External floating roof, Internal floating roof"</formula1>
    </dataValidation>
    <dataValidation type="list" allowBlank="1" showErrorMessage="1" prompt="select true vapor pressure range" sqref="C17" xr:uid="{58FA9B8F-A236-49C4-ADF3-E4C8A6998B62}">
      <formula1>IF($C$16="external floating roof",ExternalTankVP,IF($C$16="internal floating roof",InternalTankVP, FixedTankVP))</formula1>
    </dataValidation>
    <dataValidation type="list" allowBlank="1" showErrorMessage="1" prompt="select one" sqref="C22 C20" xr:uid="{CA93BD84-65CE-41AE-B0F3-3D18F47A2FD0}">
      <formula1>"Yes,No"</formula1>
    </dataValidation>
    <dataValidation type="list" allowBlank="1" showErrorMessage="1" prompt="select one" sqref="C6:D6" xr:uid="{06448B8B-2D33-4C3C-A177-945799E646C6}">
      <formula1>"Modified,Affected"</formula1>
    </dataValidation>
    <dataValidation allowBlank="1" showErrorMessage="1" prompt="enter FIN" sqref="C7:D7" xr:uid="{CEA60152-890C-4328-B410-D3DA2A01B51A}"/>
    <dataValidation allowBlank="1" showErrorMessage="1" prompt="enter EPN" sqref="C8:D8" xr:uid="{209D4F5A-25B2-4F4F-8113-50C2A2BABFE6}"/>
    <dataValidation type="list" allowBlank="1" showErrorMessage="1" prompt="select UTM zone" sqref="C10:D10" xr:uid="{20728ED3-EF5A-43F9-96FA-D163D1C2719A}">
      <formula1>Zones</formula1>
    </dataValidation>
    <dataValidation allowBlank="1" showErrorMessage="1" prompt="enter maximum vapor pressure (psia)" sqref="C21" xr:uid="{9E4489F3-829F-46FC-945A-1DA7CDFDD5F1}"/>
    <dataValidation type="decimal" operator="greaterThanOrEqual" allowBlank="1" showErrorMessage="1" prompt="enter currently authorized throughput (bbl/hr)" sqref="C27" xr:uid="{BCA4A2E5-91E6-4C82-B504-BAFE7B5DDB44}">
      <formula1>0</formula1>
    </dataValidation>
    <dataValidation type="decimal" operator="greaterThanOrEqual" allowBlank="1" showErrorMessage="1" prompt="enter proposed throughput increase (bbl/yr)" sqref="C28" xr:uid="{5541FED9-6C81-4795-A70E-E3E5762D16C9}">
      <formula1>0</formula1>
    </dataValidation>
    <dataValidation allowBlank="1" showErrorMessage="1" prompt="select or enter the cas number" sqref="A34:A49 A33" xr:uid="{39F25EC6-D391-40E7-B4DE-2EC3C8EC3591}"/>
    <dataValidation allowBlank="1" showErrorMessage="1" prompt="enter the allowable increase of uncontrolled emissions from this project from this tank in tons per year" sqref="C32:D49" xr:uid="{024B005E-7825-45F4-8A26-6367122DF6A7}"/>
  </dataValidations>
  <printOptions horizontalCentered="1"/>
  <pageMargins left="0.7" right="0.7" top="0.75" bottom="0.75" header="0.3" footer="0.3"/>
  <pageSetup scale="60" orientation="portrait" cellComments="atEnd" r:id="rId1"/>
  <headerFooter>
    <oddHeader>&amp;C&amp;"Arial,Regular"Tanks and Loading Increases RAP Application</oddHeader>
    <oddFooter>&amp;LVersion 3.0&amp;CSheet: &amp;A&amp;RPage &amp;P</oddFooter>
  </headerFooter>
  <rowBreaks count="1" manualBreakCount="1">
    <brk id="29" max="3" man="1"/>
  </rowBreaks>
  <extLst>
    <ext xmlns:x14="http://schemas.microsoft.com/office/spreadsheetml/2009/9/main" uri="{78C0D931-6437-407d-A8EE-F0AAD7539E65}">
      <x14:conditionalFormattings>
        <x14:conditionalFormatting xmlns:xm="http://schemas.microsoft.com/office/excel/2006/main">
          <x14:cfRule type="expression" priority="475" stopIfTrue="1" id="{2E9C968D-89BA-4876-8DCE-3CAD4306056B}">
            <xm:f>NOT(OR('PI-1-TankLoading'!$G$102=1,'PI-1-TankLoading'!$G$102=2,'PI-1-TankLoading'!$G$102=3,'PI-1-TankLoading'!$G$102=4,'PI-1-TankLoading'!$G$102=5,'PI-1-TankLoading'!$G$102=""))</xm:f>
            <x14:dxf>
              <font>
                <color theme="0" tint="-0.24994659260841701"/>
              </font>
              <numFmt numFmtId="171" formatCode=";;;"/>
              <fill>
                <patternFill>
                  <bgColor theme="0" tint="-0.499984740745262"/>
                </patternFill>
              </fill>
              <border>
                <left/>
                <right/>
                <top/>
                <bottom/>
                <vertical/>
                <horizontal/>
              </border>
            </x14:dxf>
          </x14:cfRule>
          <xm:sqref>A1:D30 A31:C49 A50:D50</xm:sqref>
        </x14:conditionalFormatting>
        <x14:conditionalFormatting xmlns:xm="http://schemas.microsoft.com/office/excel/2006/main">
          <x14:cfRule type="expression" priority="7" stopIfTrue="1" id="{E42AAFF8-1510-4D9A-AD1C-0AB8B780DF33}">
            <xm:f>'Hidden Inputs'!$BR$5</xm:f>
            <x14:dxf>
              <font>
                <color theme="0" tint="-0.499984740745262"/>
              </font>
              <numFmt numFmtId="171" formatCode=";;;"/>
              <fill>
                <patternFill>
                  <bgColor theme="0" tint="-0.499984740745262"/>
                </patternFill>
              </fill>
              <border>
                <left/>
                <right/>
                <top/>
                <bottom/>
              </border>
            </x14:dxf>
          </x14:cfRule>
          <xm:sqref>A2:D30 A31:C49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ErrorMessage="1" prompt="select seal type" xr:uid="{B7000632-F5E1-4452-B4E1-932644577B90}">
          <x14:formula1>
            <xm:f>INDIRECT('Hidden Inputs'!$AX$2)</xm:f>
          </x14:formula1>
          <xm:sqref>C19</xm:sqref>
        </x14:dataValidation>
        <x14:dataValidation type="list" allowBlank="1" showErrorMessage="1" prompt="select capacity" xr:uid="{21BBE54C-56D6-462B-A370-02779676832F}">
          <x14:formula1>
            <xm:f>'Hidden Inputs'!$BB$2:$BC$2</xm:f>
          </x14:formula1>
          <xm:sqref>C18</xm:sqref>
        </x14:dataValidation>
        <x14:dataValidation type="list" allowBlank="1" showErrorMessage="1" prompt="select control device" xr:uid="{CF7FC8AC-6D19-402D-AF79-734982D38A74}">
          <x14:formula1>
            <xm:f>IF(AND('PI-1-TankLoading'!G106="No",'PI-1-TankLoading'!G107="No",'PI-1-TankLoading'!G108="No"),NoControl,IF('PI-1-TankLoading'!D86="Gasoline Terminal",GasTermTankControls,ControlDevices))</xm:f>
          </x14:formula1>
          <xm:sqref>C23</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4B2245-09CD-40BF-B4C2-4A23BB69A4FD}">
  <sheetPr codeName="Sheet8">
    <tabColor rgb="FFFFFFCC"/>
  </sheetPr>
  <dimension ref="A1:F50"/>
  <sheetViews>
    <sheetView workbookViewId="0">
      <selection sqref="A1:D1"/>
    </sheetView>
  </sheetViews>
  <sheetFormatPr defaultColWidth="0" defaultRowHeight="14.25" zeroHeight="1" x14ac:dyDescent="0.25"/>
  <cols>
    <col min="1" max="1" width="20.7109375" style="466" customWidth="1"/>
    <col min="2" max="2" width="60.7109375" style="466" customWidth="1"/>
    <col min="3" max="3" width="39.28515625" style="466" customWidth="1"/>
    <col min="4" max="4" width="28.28515625" style="466" customWidth="1"/>
    <col min="5" max="5" width="13.28515625" style="466" hidden="1" customWidth="1"/>
    <col min="6" max="6" width="0" style="466" hidden="1" customWidth="1"/>
    <col min="7" max="16384" width="44.5703125" style="466" hidden="1"/>
  </cols>
  <sheetData>
    <row r="1" spans="1:4" ht="6" customHeight="1" thickBot="1" x14ac:dyDescent="0.3">
      <c r="A1" s="1428" t="s">
        <v>8392</v>
      </c>
      <c r="B1" s="1428"/>
      <c r="C1" s="1428"/>
      <c r="D1" s="1428"/>
    </row>
    <row r="2" spans="1:4" ht="18.75" thickBot="1" x14ac:dyDescent="0.3">
      <c r="A2" s="1436" t="s">
        <v>8359</v>
      </c>
      <c r="B2" s="1437"/>
      <c r="C2" s="1437"/>
      <c r="D2" s="1438"/>
    </row>
    <row r="3" spans="1:4" ht="132" customHeight="1" thickBot="1" x14ac:dyDescent="0.3">
      <c r="A3" s="1448" t="s">
        <v>10286</v>
      </c>
      <c r="B3" s="1430"/>
      <c r="C3" s="1430"/>
      <c r="D3" s="1431"/>
    </row>
    <row r="4" spans="1:4" ht="15" customHeight="1" thickBot="1" x14ac:dyDescent="0.3">
      <c r="A4" s="1414" t="s">
        <v>8567</v>
      </c>
      <c r="B4" s="1414"/>
      <c r="C4" s="1414"/>
      <c r="D4" s="1414"/>
    </row>
    <row r="5" spans="1:4" ht="15" customHeight="1" thickBot="1" x14ac:dyDescent="0.3">
      <c r="A5" s="1411" t="s">
        <v>8575</v>
      </c>
      <c r="B5" s="1412"/>
      <c r="C5" s="1412"/>
      <c r="D5" s="1413"/>
    </row>
    <row r="6" spans="1:4" ht="15" customHeight="1" x14ac:dyDescent="0.25">
      <c r="A6" s="1446" t="s">
        <v>10125</v>
      </c>
      <c r="B6" s="1447"/>
      <c r="C6" s="1444"/>
      <c r="D6" s="1445"/>
    </row>
    <row r="7" spans="1:4" ht="15" customHeight="1" x14ac:dyDescent="0.25">
      <c r="A7" s="1432" t="s">
        <v>8582</v>
      </c>
      <c r="B7" s="1433"/>
      <c r="C7" s="1449"/>
      <c r="D7" s="1440"/>
    </row>
    <row r="8" spans="1:4" ht="15" customHeight="1" x14ac:dyDescent="0.25">
      <c r="A8" s="1434" t="s">
        <v>8583</v>
      </c>
      <c r="B8" s="1435"/>
      <c r="C8" s="1456"/>
      <c r="D8" s="1424"/>
    </row>
    <row r="9" spans="1:4" ht="15" customHeight="1" x14ac:dyDescent="0.25">
      <c r="A9" s="1434" t="s">
        <v>8584</v>
      </c>
      <c r="B9" s="1435"/>
      <c r="C9" s="1456"/>
      <c r="D9" s="1424"/>
    </row>
    <row r="10" spans="1:4" ht="15" customHeight="1" x14ac:dyDescent="0.25">
      <c r="A10" s="1402" t="s">
        <v>8576</v>
      </c>
      <c r="B10" s="1403"/>
      <c r="C10" s="1423"/>
      <c r="D10" s="1424"/>
    </row>
    <row r="11" spans="1:4" ht="15" customHeight="1" x14ac:dyDescent="0.25">
      <c r="A11" s="1402" t="s">
        <v>8577</v>
      </c>
      <c r="B11" s="1403"/>
      <c r="C11" s="1423"/>
      <c r="D11" s="1424"/>
    </row>
    <row r="12" spans="1:4" ht="15" customHeight="1" thickBot="1" x14ac:dyDescent="0.3">
      <c r="A12" s="1406" t="s">
        <v>8578</v>
      </c>
      <c r="B12" s="1407"/>
      <c r="C12" s="1425"/>
      <c r="D12" s="1426"/>
    </row>
    <row r="13" spans="1:4" ht="15" customHeight="1" thickBot="1" x14ac:dyDescent="0.3">
      <c r="A13" s="1414" t="s">
        <v>8567</v>
      </c>
      <c r="B13" s="1414"/>
      <c r="C13" s="1414"/>
      <c r="D13" s="1414"/>
    </row>
    <row r="14" spans="1:4" ht="15" customHeight="1" thickBot="1" x14ac:dyDescent="0.3">
      <c r="A14" s="1248" t="s">
        <v>8581</v>
      </c>
      <c r="B14" s="1249"/>
      <c r="C14" s="1249"/>
      <c r="D14" s="1250"/>
    </row>
    <row r="15" spans="1:4" ht="15" customHeight="1" x14ac:dyDescent="0.25">
      <c r="A15" s="1420" t="s">
        <v>8373</v>
      </c>
      <c r="B15" s="1421"/>
      <c r="C15" s="53" t="s">
        <v>8580</v>
      </c>
      <c r="D15" s="33" t="s">
        <v>8645</v>
      </c>
    </row>
    <row r="16" spans="1:4" ht="15" customHeight="1" x14ac:dyDescent="0.2">
      <c r="A16" s="1450" t="s">
        <v>8700</v>
      </c>
      <c r="B16" s="1451"/>
      <c r="C16" s="496"/>
      <c r="D16" s="497"/>
    </row>
    <row r="17" spans="1:4" ht="15" customHeight="1" x14ac:dyDescent="0.2">
      <c r="A17" s="1452" t="s">
        <v>10256</v>
      </c>
      <c r="B17" s="1451"/>
      <c r="C17" s="496"/>
      <c r="D17" s="497"/>
    </row>
    <row r="18" spans="1:4" ht="15" customHeight="1" x14ac:dyDescent="0.2">
      <c r="A18" s="1450" t="s">
        <v>8701</v>
      </c>
      <c r="B18" s="1451"/>
      <c r="C18" s="496"/>
      <c r="D18" s="497"/>
    </row>
    <row r="19" spans="1:4" ht="30" customHeight="1" x14ac:dyDescent="0.2">
      <c r="A19" s="1450" t="s">
        <v>8626</v>
      </c>
      <c r="B19" s="1451"/>
      <c r="C19" s="496"/>
      <c r="D19" s="497"/>
    </row>
    <row r="20" spans="1:4" ht="15" customHeight="1" x14ac:dyDescent="0.2">
      <c r="A20" s="1450" t="s">
        <v>8993</v>
      </c>
      <c r="B20" s="1451"/>
      <c r="C20" s="805"/>
      <c r="D20" s="497"/>
    </row>
    <row r="21" spans="1:4" ht="15" customHeight="1" x14ac:dyDescent="0.2">
      <c r="A21" s="1427" t="s">
        <v>10281</v>
      </c>
      <c r="B21" s="1405"/>
      <c r="C21" s="732"/>
      <c r="D21" s="499"/>
    </row>
    <row r="22" spans="1:4" ht="30" customHeight="1" x14ac:dyDescent="0.2">
      <c r="A22" s="1455" t="s">
        <v>10032</v>
      </c>
      <c r="B22" s="1219"/>
      <c r="C22" s="496"/>
      <c r="D22" s="497"/>
    </row>
    <row r="23" spans="1:4" ht="15" customHeight="1" x14ac:dyDescent="0.2">
      <c r="A23" s="1422" t="s">
        <v>10290</v>
      </c>
      <c r="B23" s="1417"/>
      <c r="C23" s="498"/>
      <c r="D23" s="499"/>
    </row>
    <row r="24" spans="1:4" ht="15" customHeight="1" x14ac:dyDescent="0.2">
      <c r="A24" s="1416" t="s">
        <v>277</v>
      </c>
      <c r="B24" s="1417"/>
      <c r="C24" s="500"/>
      <c r="D24" s="499">
        <v>50</v>
      </c>
    </row>
    <row r="25" spans="1:4" ht="15" customHeight="1" x14ac:dyDescent="0.2">
      <c r="A25" s="1416" t="s">
        <v>4</v>
      </c>
      <c r="B25" s="1417"/>
      <c r="C25" s="500"/>
      <c r="D25" s="499">
        <v>3</v>
      </c>
    </row>
    <row r="26" spans="1:4" ht="15" customHeight="1" x14ac:dyDescent="0.2">
      <c r="A26" s="1453" t="s">
        <v>10117</v>
      </c>
      <c r="B26" s="1454"/>
      <c r="C26" s="501" t="s">
        <v>6</v>
      </c>
      <c r="D26" s="499"/>
    </row>
    <row r="27" spans="1:4" ht="15" customHeight="1" x14ac:dyDescent="0.2">
      <c r="A27" s="1416" t="s">
        <v>8382</v>
      </c>
      <c r="B27" s="1417"/>
      <c r="C27" s="797"/>
      <c r="D27" s="499"/>
    </row>
    <row r="28" spans="1:4" ht="15" customHeight="1" thickBot="1" x14ac:dyDescent="0.25">
      <c r="A28" s="1418" t="s">
        <v>8632</v>
      </c>
      <c r="B28" s="1419"/>
      <c r="C28" s="798"/>
      <c r="D28" s="504" t="s">
        <v>8592</v>
      </c>
    </row>
    <row r="29" spans="1:4" ht="15" customHeight="1" thickBot="1" x14ac:dyDescent="0.3">
      <c r="A29" s="1414" t="s">
        <v>8567</v>
      </c>
      <c r="B29" s="1414"/>
      <c r="C29" s="1414"/>
      <c r="D29" s="1414"/>
    </row>
    <row r="30" spans="1:4" ht="15" customHeight="1" thickBot="1" x14ac:dyDescent="0.3">
      <c r="A30" s="1411" t="s">
        <v>10276</v>
      </c>
      <c r="B30" s="1412"/>
      <c r="C30" s="1412"/>
      <c r="D30" s="1413"/>
    </row>
    <row r="31" spans="1:4" ht="45" customHeight="1" x14ac:dyDescent="0.25">
      <c r="A31" s="441" t="s">
        <v>8353</v>
      </c>
      <c r="B31" s="487" t="s">
        <v>2</v>
      </c>
      <c r="C31" s="1400" t="s">
        <v>10171</v>
      </c>
      <c r="D31" s="1401"/>
    </row>
    <row r="32" spans="1:4" x14ac:dyDescent="0.2">
      <c r="A32" s="505" t="s">
        <v>3</v>
      </c>
      <c r="B32" s="617" t="s">
        <v>10118</v>
      </c>
      <c r="C32" s="1396"/>
      <c r="D32" s="1397"/>
    </row>
    <row r="33" spans="1:4" x14ac:dyDescent="0.2">
      <c r="A33" s="508"/>
      <c r="B33" s="506" t="str">
        <f t="shared" ref="B33:B49" si="0">IFERROR(VLOOKUP(A33, SpeciesDataTable,2,FALSE),"")</f>
        <v/>
      </c>
      <c r="C33" s="1396"/>
      <c r="D33" s="1397"/>
    </row>
    <row r="34" spans="1:4" x14ac:dyDescent="0.2">
      <c r="A34" s="508"/>
      <c r="B34" s="506" t="str">
        <f t="shared" si="0"/>
        <v/>
      </c>
      <c r="C34" s="1396"/>
      <c r="D34" s="1397"/>
    </row>
    <row r="35" spans="1:4" x14ac:dyDescent="0.2">
      <c r="A35" s="508"/>
      <c r="B35" s="506" t="str">
        <f t="shared" si="0"/>
        <v/>
      </c>
      <c r="C35" s="1396"/>
      <c r="D35" s="1397"/>
    </row>
    <row r="36" spans="1:4" x14ac:dyDescent="0.2">
      <c r="A36" s="508"/>
      <c r="B36" s="506" t="str">
        <f t="shared" si="0"/>
        <v/>
      </c>
      <c r="C36" s="1396"/>
      <c r="D36" s="1397"/>
    </row>
    <row r="37" spans="1:4" x14ac:dyDescent="0.2">
      <c r="A37" s="508"/>
      <c r="B37" s="506" t="str">
        <f t="shared" si="0"/>
        <v/>
      </c>
      <c r="C37" s="1396"/>
      <c r="D37" s="1397"/>
    </row>
    <row r="38" spans="1:4" x14ac:dyDescent="0.2">
      <c r="A38" s="508"/>
      <c r="B38" s="506" t="str">
        <f t="shared" si="0"/>
        <v/>
      </c>
      <c r="C38" s="1396"/>
      <c r="D38" s="1397"/>
    </row>
    <row r="39" spans="1:4" x14ac:dyDescent="0.2">
      <c r="A39" s="508"/>
      <c r="B39" s="506" t="str">
        <f t="shared" si="0"/>
        <v/>
      </c>
      <c r="C39" s="1396"/>
      <c r="D39" s="1397"/>
    </row>
    <row r="40" spans="1:4" x14ac:dyDescent="0.2">
      <c r="A40" s="508"/>
      <c r="B40" s="506" t="str">
        <f t="shared" si="0"/>
        <v/>
      </c>
      <c r="C40" s="1396"/>
      <c r="D40" s="1397"/>
    </row>
    <row r="41" spans="1:4" x14ac:dyDescent="0.2">
      <c r="A41" s="508"/>
      <c r="B41" s="506" t="str">
        <f t="shared" si="0"/>
        <v/>
      </c>
      <c r="C41" s="1396"/>
      <c r="D41" s="1397"/>
    </row>
    <row r="42" spans="1:4" x14ac:dyDescent="0.2">
      <c r="A42" s="508"/>
      <c r="B42" s="506" t="str">
        <f t="shared" si="0"/>
        <v/>
      </c>
      <c r="C42" s="1396"/>
      <c r="D42" s="1397"/>
    </row>
    <row r="43" spans="1:4" x14ac:dyDescent="0.2">
      <c r="A43" s="508"/>
      <c r="B43" s="506" t="str">
        <f t="shared" si="0"/>
        <v/>
      </c>
      <c r="C43" s="1396"/>
      <c r="D43" s="1397"/>
    </row>
    <row r="44" spans="1:4" x14ac:dyDescent="0.2">
      <c r="A44" s="508"/>
      <c r="B44" s="506" t="str">
        <f t="shared" si="0"/>
        <v/>
      </c>
      <c r="C44" s="1396"/>
      <c r="D44" s="1397"/>
    </row>
    <row r="45" spans="1:4" x14ac:dyDescent="0.2">
      <c r="A45" s="508"/>
      <c r="B45" s="506" t="str">
        <f t="shared" si="0"/>
        <v/>
      </c>
      <c r="C45" s="1396"/>
      <c r="D45" s="1397"/>
    </row>
    <row r="46" spans="1:4" x14ac:dyDescent="0.2">
      <c r="A46" s="508"/>
      <c r="B46" s="506" t="str">
        <f t="shared" si="0"/>
        <v/>
      </c>
      <c r="C46" s="1396"/>
      <c r="D46" s="1397"/>
    </row>
    <row r="47" spans="1:4" x14ac:dyDescent="0.2">
      <c r="A47" s="508"/>
      <c r="B47" s="506" t="str">
        <f t="shared" si="0"/>
        <v/>
      </c>
      <c r="C47" s="1396"/>
      <c r="D47" s="1397"/>
    </row>
    <row r="48" spans="1:4" x14ac:dyDescent="0.2">
      <c r="A48" s="508"/>
      <c r="B48" s="506" t="str">
        <f t="shared" si="0"/>
        <v/>
      </c>
      <c r="C48" s="1396"/>
      <c r="D48" s="1397"/>
    </row>
    <row r="49" spans="1:6" ht="15.75" customHeight="1" thickBot="1" x14ac:dyDescent="0.25">
      <c r="A49" s="509"/>
      <c r="B49" s="724" t="str">
        <f t="shared" si="0"/>
        <v/>
      </c>
      <c r="C49" s="1398"/>
      <c r="D49" s="1399"/>
    </row>
    <row r="50" spans="1:6" ht="15" customHeight="1" x14ac:dyDescent="0.25">
      <c r="A50" s="1115" t="s">
        <v>8455</v>
      </c>
      <c r="B50" s="1115"/>
      <c r="C50" s="1115"/>
      <c r="D50" s="1115"/>
      <c r="E50" s="573"/>
      <c r="F50" s="687"/>
    </row>
  </sheetData>
  <sheetProtection algorithmName="SHA-512" hashValue="nOsQtaCevcF4QR7lfSJI9UTlGF5vbV9SEa9lVIleybmncseuAdtndeX5nfObHVMF3jU7Lv667iekbocalO5k8A==" saltValue="ZGCk5CuqmSryaEd00O4PZQ==" spinCount="100000" sheet="1" objects="1" scenarios="1" formatColumns="0" formatRows="0" autoFilter="0"/>
  <mergeCells count="57">
    <mergeCell ref="A22:B22"/>
    <mergeCell ref="C8:D8"/>
    <mergeCell ref="C9:D9"/>
    <mergeCell ref="C11:D11"/>
    <mergeCell ref="A10:B10"/>
    <mergeCell ref="A9:B9"/>
    <mergeCell ref="A14:D14"/>
    <mergeCell ref="A30:D30"/>
    <mergeCell ref="A13:D13"/>
    <mergeCell ref="A29:D29"/>
    <mergeCell ref="A27:B27"/>
    <mergeCell ref="A28:B28"/>
    <mergeCell ref="A15:B15"/>
    <mergeCell ref="A23:B23"/>
    <mergeCell ref="A24:B24"/>
    <mergeCell ref="A25:B25"/>
    <mergeCell ref="A16:B16"/>
    <mergeCell ref="A18:B18"/>
    <mergeCell ref="A17:B17"/>
    <mergeCell ref="A26:B26"/>
    <mergeCell ref="A19:B19"/>
    <mergeCell ref="A20:B20"/>
    <mergeCell ref="A21:B21"/>
    <mergeCell ref="A1:D1"/>
    <mergeCell ref="A2:D2"/>
    <mergeCell ref="A3:D3"/>
    <mergeCell ref="A11:B11"/>
    <mergeCell ref="C12:D12"/>
    <mergeCell ref="A5:D5"/>
    <mergeCell ref="C7:D7"/>
    <mergeCell ref="C10:D10"/>
    <mergeCell ref="A4:D4"/>
    <mergeCell ref="A12:B12"/>
    <mergeCell ref="A7:B7"/>
    <mergeCell ref="A8:B8"/>
    <mergeCell ref="C6:D6"/>
    <mergeCell ref="A6:B6"/>
    <mergeCell ref="C41:D41"/>
    <mergeCell ref="C42:D42"/>
    <mergeCell ref="C43:D43"/>
    <mergeCell ref="C44:D44"/>
    <mergeCell ref="C45:D45"/>
    <mergeCell ref="A50:D50"/>
    <mergeCell ref="C46:D46"/>
    <mergeCell ref="C47:D47"/>
    <mergeCell ref="C48:D48"/>
    <mergeCell ref="C49:D49"/>
    <mergeCell ref="C38:D38"/>
    <mergeCell ref="C39:D39"/>
    <mergeCell ref="C40:D40"/>
    <mergeCell ref="C31:D31"/>
    <mergeCell ref="C32:D32"/>
    <mergeCell ref="C33:D33"/>
    <mergeCell ref="C34:D34"/>
    <mergeCell ref="C35:D35"/>
    <mergeCell ref="C36:D36"/>
    <mergeCell ref="C37:D37"/>
  </mergeCells>
  <conditionalFormatting sqref="A16:D22 A10:D12 A24:D30 A31:C49">
    <cfRule type="expression" dxfId="198" priority="7">
      <formula>$C$6="Affected"</formula>
    </cfRule>
  </conditionalFormatting>
  <conditionalFormatting sqref="A19:D19">
    <cfRule type="expression" dxfId="197" priority="6">
      <formula>$C$16="Fixed roof"</formula>
    </cfRule>
  </conditionalFormatting>
  <conditionalFormatting sqref="A21:D21">
    <cfRule type="expression" dxfId="196" priority="1">
      <formula>$C$20="No"</formula>
    </cfRule>
  </conditionalFormatting>
  <conditionalFormatting sqref="A24:D26">
    <cfRule type="expression" dxfId="193" priority="16">
      <formula>OR($C$23="Flare",$C$23="Vapor combustion unit",$C$23="Carbon adsorption system")</formula>
    </cfRule>
  </conditionalFormatting>
  <dataValidations count="18">
    <dataValidation operator="greaterThanOrEqual" allowBlank="1" showInputMessage="1" showErrorMessage="1" prompt="Review Section V of the &quot;Instruction&quot; sheet of this workbook for downwash applicability guidance." sqref="C26" xr:uid="{160BF4F9-BE2E-4AF6-9759-8B9DA104EEA0}"/>
    <dataValidation type="list" allowBlank="1" showErrorMessage="1" prompt="select UTM zone" sqref="C10:D10" xr:uid="{49147ACE-511B-4B10-B15C-8E118A9243F2}">
      <formula1>Zones</formula1>
    </dataValidation>
    <dataValidation allowBlank="1" showErrorMessage="1" prompt="enter EPN" sqref="C8:D8" xr:uid="{9FE8FE0B-0DF5-4F30-B446-654BAE385D1E}"/>
    <dataValidation allowBlank="1" showErrorMessage="1" prompt="enter FIN" sqref="C7:D7" xr:uid="{9155754C-B973-40B4-B187-95E93E498969}"/>
    <dataValidation type="list" allowBlank="1" showErrorMessage="1" prompt="select one" sqref="C6:D6" xr:uid="{85C3F7C7-2132-44D3-8FDF-5B99588A2B05}">
      <formula1>"Modified,Affected"</formula1>
    </dataValidation>
    <dataValidation type="decimal" allowBlank="1" showErrorMessage="1" error="Value must be between 2,854,000 and 4,059,000 meters." prompt="enter UTM northing in meters" sqref="C12:D12" xr:uid="{73EB4B4B-63EA-48B2-A438-BDBD55E85FAC}">
      <formula1>2854000</formula1>
      <formula2>4059000</formula2>
    </dataValidation>
    <dataValidation type="decimal" allowBlank="1" showErrorMessage="1" error="Value must be between 205,000 and 795,000 meters." prompt="enter UTM easting in meters" sqref="C11:D11" xr:uid="{BD47C58F-98BF-4CC8-B844-69565C836915}">
      <formula1>205000</formula1>
      <formula2>795000</formula2>
    </dataValidation>
    <dataValidation allowBlank="1" showErrorMessage="1" prompt="enter source name" sqref="C9:D9" xr:uid="{2E56FE5F-FFB3-45D1-ADEE-1B3E0EE729AE}"/>
    <dataValidation allowBlank="1" showErrorMessage="1" prompt="enter maximum vapor pressure (psia)" sqref="C21" xr:uid="{49BE9B93-7005-4418-8272-F5C1F84CB4DD}"/>
    <dataValidation type="list" allowBlank="1" showErrorMessage="1" prompt="select one" sqref="C22 C20" xr:uid="{5521BC4A-F7BE-457B-8E96-99BB4E421915}">
      <formula1>"Yes,No"</formula1>
    </dataValidation>
    <dataValidation type="list" allowBlank="1" showErrorMessage="1" prompt="select true vapor pressure range" sqref="C17" xr:uid="{E3824396-CCE3-4806-B489-415FD0EDC703}">
      <formula1>IF($C$16="external floating roof",ExternalTankVP,IF($C$16="internal floating roof",InternalTankVP, FixedTankVP))</formula1>
    </dataValidation>
    <dataValidation type="list" allowBlank="1" showErrorMessage="1" prompt="select tank type" sqref="C16" xr:uid="{CEC90179-4166-4EC5-8227-1D2B4EE5AE61}">
      <formula1>"Fixed roof, External floating roof, Internal floating roof"</formula1>
    </dataValidation>
    <dataValidation type="decimal" operator="greaterThanOrEqual" allowBlank="1" showErrorMessage="1" error="The minimum distance to the property line is 50 feet." prompt="enter distance to property line (ft)" sqref="C24" xr:uid="{18533636-604C-4A34-AC2A-53835BB208C8}">
      <formula1>50</formula1>
    </dataValidation>
    <dataValidation type="decimal" operator="greaterThanOrEqual" allowBlank="1" showErrorMessage="1" error="Minimum release height is 3 feet." prompt="enter release height (ft)" sqref="C25" xr:uid="{89CB6E3A-297F-4851-A067-7862858FB45E}">
      <formula1>3</formula1>
    </dataValidation>
    <dataValidation type="decimal" operator="greaterThanOrEqual" allowBlank="1" showErrorMessage="1" prompt="enter proposed throughput increase (bbl/yr)" sqref="C28" xr:uid="{D5BE79B6-4EBB-4D54-9725-71D9C3290621}">
      <formula1>0</formula1>
    </dataValidation>
    <dataValidation type="decimal" operator="greaterThanOrEqual" allowBlank="1" showErrorMessage="1" prompt="enter currently authorized throughput (bbl/hr)" sqref="C27" xr:uid="{8487C94F-BA98-42C2-B6FD-6748D4133ABC}">
      <formula1>0</formula1>
    </dataValidation>
    <dataValidation allowBlank="1" showErrorMessage="1" prompt="enter allowable increase of uncontrolled emissions from this project from this tank (tpy)" sqref="C32:D49" xr:uid="{5C9D953A-ACCF-4C3B-B60A-DF3530A9481E}"/>
    <dataValidation allowBlank="1" showErrorMessage="1" prompt="select or enter the cas number" sqref="A33:A49" xr:uid="{7D4E6DFE-C895-4038-9B7F-C5BFCE06D4DA}"/>
  </dataValidations>
  <printOptions horizontalCentered="1"/>
  <pageMargins left="0.7" right="0.7" top="0.75" bottom="0.75" header="0.3" footer="0.3"/>
  <pageSetup scale="61" orientation="portrait" r:id="rId1"/>
  <headerFooter>
    <oddHeader>&amp;C&amp;"Arial,Regular"Tanks and Loading Increases RAP Application</oddHeader>
    <oddFooter>&amp;LVersion 3.0&amp;CSheet: &amp;A&amp;RPage &amp;P</oddFooter>
  </headerFooter>
  <rowBreaks count="1" manualBreakCount="1">
    <brk id="29" max="3" man="1"/>
  </rowBreaks>
  <extLst>
    <ext xmlns:x14="http://schemas.microsoft.com/office/spreadsheetml/2009/9/main" uri="{78C0D931-6437-407d-A8EE-F0AAD7539E65}">
      <x14:conditionalFormattings>
        <x14:conditionalFormatting xmlns:xm="http://schemas.microsoft.com/office/excel/2006/main">
          <x14:cfRule type="expression" priority="480" id="{4C5223C7-8134-4DBD-8D42-D8E1F581898C}">
            <xm:f>NOT(OR('PI-1-TankLoading'!$G$102=2,'PI-1-TankLoading'!$G$102=3,'PI-1-TankLoading'!$G$102=4,'PI-1-TankLoading'!$G$102=5,'PI-1-TankLoading'!$G$102=""))</xm:f>
            <x14:dxf>
              <font>
                <color theme="0" tint="-0.24994659260841701"/>
              </font>
              <numFmt numFmtId="171" formatCode=";;;"/>
              <fill>
                <patternFill>
                  <bgColor theme="0" tint="-0.499984740745262"/>
                </patternFill>
              </fill>
              <border>
                <left/>
                <right/>
                <top/>
                <bottom/>
              </border>
            </x14:dxf>
          </x14:cfRule>
          <xm:sqref>A1:D50</xm:sqref>
        </x14:conditionalFormatting>
        <x14:conditionalFormatting xmlns:xm="http://schemas.microsoft.com/office/excel/2006/main">
          <x14:cfRule type="expression" priority="10" stopIfTrue="1" id="{D226E782-FF6D-4E28-87AB-795DD89A31CB}">
            <xm:f>'Hidden Inputs'!$BR$5</xm:f>
            <x14:dxf>
              <font>
                <color theme="0" tint="-0.499984740745262"/>
              </font>
              <numFmt numFmtId="171" formatCode=";;;"/>
              <fill>
                <patternFill>
                  <bgColor theme="0" tint="-0.499984740745262"/>
                </patternFill>
              </fill>
              <border>
                <left/>
                <right/>
                <top/>
                <bottom/>
              </border>
            </x14:dxf>
          </x14:cfRule>
          <xm:sqref>A2:D20 A22:D30 A31:C49</xm:sqref>
        </x14:conditionalFormatting>
        <x14:conditionalFormatting xmlns:xm="http://schemas.microsoft.com/office/excel/2006/main">
          <x14:cfRule type="expression" priority="4" stopIfTrue="1" id="{BB62BB67-A683-40FC-A178-02BF756A5C9B}">
            <xm:f>'Hidden Inputs'!$BR$5</xm:f>
            <x14:dxf>
              <font>
                <color theme="0" tint="-0.499984740745262"/>
              </font>
              <numFmt numFmtId="171" formatCode=";;;"/>
              <fill>
                <patternFill>
                  <bgColor theme="0" tint="-0.499984740745262"/>
                </patternFill>
              </fill>
              <border>
                <left/>
                <right/>
                <top/>
                <bottom/>
              </border>
            </x14:dxf>
          </x14:cfRule>
          <x14:cfRule type="expression" priority="5" stopIfTrue="1" id="{6235CD62-B1FA-4568-BED2-7B4A38DFCEA5}">
            <xm:f>NOT(OR('PI-1-TankLoading'!$G$102=1,'PI-1-TankLoading'!$G$102=2,'PI-1-TankLoading'!$G$102=3,'PI-1-TankLoading'!$G$102=4,'PI-1-TankLoading'!$G$102=5,'PI-1-TankLoading'!$G$102=""))</xm:f>
            <x14:dxf>
              <font>
                <color theme="0" tint="-0.24994659260841701"/>
              </font>
              <numFmt numFmtId="171" formatCode=";;;"/>
              <fill>
                <patternFill>
                  <bgColor theme="0" tint="-0.499984740745262"/>
                </patternFill>
              </fill>
              <border>
                <left/>
                <right/>
                <top/>
                <bottom/>
                <vertical/>
                <horizontal/>
              </border>
            </x14:dxf>
          </x14:cfRule>
          <xm:sqref>A21:D21</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ErrorMessage="1" prompt="select capacity" xr:uid="{8BA11B60-8E78-4104-BBFC-6D8FAD0009CD}">
          <x14:formula1>
            <xm:f>'Hidden Inputs'!$BB$2:$BC$2</xm:f>
          </x14:formula1>
          <xm:sqref>C18</xm:sqref>
        </x14:dataValidation>
        <x14:dataValidation type="list" allowBlank="1" showErrorMessage="1" prompt="select seal type" xr:uid="{83886BDC-615B-4DE6-B1EF-C1B174D6EB66}">
          <x14:formula1>
            <xm:f>INDIRECT('Hidden Inputs'!$AX$2)</xm:f>
          </x14:formula1>
          <xm:sqref>C19</xm:sqref>
        </x14:dataValidation>
        <x14:dataValidation type="list" allowBlank="1" showErrorMessage="1" prompt="select control device" xr:uid="{F92CB480-8AA9-4641-B1A1-9F8186138C26}">
          <x14:formula1>
            <xm:f>IF(AND('PI-1-TankLoading'!G106="No",'PI-1-TankLoading'!G107="No",'PI-1-TankLoading'!G108="No"),NoControl,IF('PI-1-TankLoading'!D86="Gasoline Terminal",GasTermTankControls,ControlDevices))</xm:f>
          </x14:formula1>
          <xm:sqref>C23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5DA32-10B7-4D27-AEF4-3F2AF6E9E570}">
  <sheetPr codeName="Sheet9">
    <tabColor rgb="FFFFFFCC"/>
  </sheetPr>
  <dimension ref="A1:F50"/>
  <sheetViews>
    <sheetView workbookViewId="0">
      <selection sqref="A1:D1"/>
    </sheetView>
  </sheetViews>
  <sheetFormatPr defaultColWidth="0" defaultRowHeight="14.25" zeroHeight="1" x14ac:dyDescent="0.25"/>
  <cols>
    <col min="1" max="1" width="20.7109375" style="466" customWidth="1"/>
    <col min="2" max="2" width="60.7109375" style="466" customWidth="1"/>
    <col min="3" max="3" width="39.28515625" style="466" customWidth="1"/>
    <col min="4" max="4" width="28.28515625" style="466" customWidth="1"/>
    <col min="5" max="6" width="13.28515625" style="466" hidden="1" customWidth="1"/>
    <col min="7" max="16384" width="44.5703125" style="466" hidden="1"/>
  </cols>
  <sheetData>
    <row r="1" spans="1:4" ht="6" customHeight="1" thickBot="1" x14ac:dyDescent="0.3">
      <c r="A1" s="1428" t="s">
        <v>8392</v>
      </c>
      <c r="B1" s="1428"/>
      <c r="C1" s="1428"/>
      <c r="D1" s="1428"/>
    </row>
    <row r="2" spans="1:4" ht="18.75" thickBot="1" x14ac:dyDescent="0.3">
      <c r="A2" s="1437" t="s">
        <v>8360</v>
      </c>
      <c r="B2" s="1437"/>
      <c r="C2" s="1437"/>
      <c r="D2" s="1438"/>
    </row>
    <row r="3" spans="1:4" ht="130.5" customHeight="1" thickBot="1" x14ac:dyDescent="0.3">
      <c r="A3" s="1448" t="s">
        <v>10286</v>
      </c>
      <c r="B3" s="1430"/>
      <c r="C3" s="1430"/>
      <c r="D3" s="1431"/>
    </row>
    <row r="4" spans="1:4" ht="15" customHeight="1" thickBot="1" x14ac:dyDescent="0.3">
      <c r="A4" s="1414" t="s">
        <v>8567</v>
      </c>
      <c r="B4" s="1414"/>
      <c r="C4" s="1414"/>
      <c r="D4" s="1414"/>
    </row>
    <row r="5" spans="1:4" ht="15" customHeight="1" thickBot="1" x14ac:dyDescent="0.3">
      <c r="A5" s="1411" t="s">
        <v>8575</v>
      </c>
      <c r="B5" s="1412"/>
      <c r="C5" s="1412"/>
      <c r="D5" s="1413"/>
    </row>
    <row r="6" spans="1:4" ht="15" customHeight="1" x14ac:dyDescent="0.25">
      <c r="A6" s="1446" t="s">
        <v>10125</v>
      </c>
      <c r="B6" s="1447"/>
      <c r="C6" s="1444"/>
      <c r="D6" s="1445"/>
    </row>
    <row r="7" spans="1:4" ht="15" customHeight="1" x14ac:dyDescent="0.25">
      <c r="A7" s="1432" t="s">
        <v>8582</v>
      </c>
      <c r="B7" s="1433"/>
      <c r="C7" s="1449"/>
      <c r="D7" s="1440"/>
    </row>
    <row r="8" spans="1:4" ht="15" customHeight="1" x14ac:dyDescent="0.25">
      <c r="A8" s="1434" t="s">
        <v>8583</v>
      </c>
      <c r="B8" s="1435"/>
      <c r="C8" s="1456"/>
      <c r="D8" s="1424"/>
    </row>
    <row r="9" spans="1:4" ht="15" customHeight="1" x14ac:dyDescent="0.25">
      <c r="A9" s="1434" t="s">
        <v>8584</v>
      </c>
      <c r="B9" s="1435"/>
      <c r="C9" s="1456"/>
      <c r="D9" s="1424"/>
    </row>
    <row r="10" spans="1:4" ht="15" customHeight="1" x14ac:dyDescent="0.25">
      <c r="A10" s="1402" t="s">
        <v>8576</v>
      </c>
      <c r="B10" s="1403"/>
      <c r="C10" s="1423"/>
      <c r="D10" s="1424"/>
    </row>
    <row r="11" spans="1:4" ht="15" customHeight="1" x14ac:dyDescent="0.25">
      <c r="A11" s="1402" t="s">
        <v>8577</v>
      </c>
      <c r="B11" s="1403"/>
      <c r="C11" s="1423"/>
      <c r="D11" s="1424"/>
    </row>
    <row r="12" spans="1:4" ht="15" customHeight="1" thickBot="1" x14ac:dyDescent="0.3">
      <c r="A12" s="1406" t="s">
        <v>8578</v>
      </c>
      <c r="B12" s="1407"/>
      <c r="C12" s="1425"/>
      <c r="D12" s="1426"/>
    </row>
    <row r="13" spans="1:4" ht="15" customHeight="1" thickBot="1" x14ac:dyDescent="0.3">
      <c r="A13" s="1414" t="s">
        <v>8567</v>
      </c>
      <c r="B13" s="1414"/>
      <c r="C13" s="1414"/>
      <c r="D13" s="1414"/>
    </row>
    <row r="14" spans="1:4" ht="15" customHeight="1" thickBot="1" x14ac:dyDescent="0.3">
      <c r="A14" s="1411" t="s">
        <v>8581</v>
      </c>
      <c r="B14" s="1412"/>
      <c r="C14" s="1412"/>
      <c r="D14" s="1413"/>
    </row>
    <row r="15" spans="1:4" ht="15" customHeight="1" x14ac:dyDescent="0.25">
      <c r="A15" s="1461" t="s">
        <v>8373</v>
      </c>
      <c r="B15" s="1462"/>
      <c r="C15" s="53" t="s">
        <v>8580</v>
      </c>
      <c r="D15" s="33" t="s">
        <v>8645</v>
      </c>
    </row>
    <row r="16" spans="1:4" ht="15" customHeight="1" x14ac:dyDescent="0.2">
      <c r="A16" s="1450" t="s">
        <v>8700</v>
      </c>
      <c r="B16" s="1451"/>
      <c r="C16" s="496"/>
      <c r="D16" s="497"/>
    </row>
    <row r="17" spans="1:4" ht="15" customHeight="1" x14ac:dyDescent="0.2">
      <c r="A17" s="1452" t="s">
        <v>10256</v>
      </c>
      <c r="B17" s="1451"/>
      <c r="C17" s="496"/>
      <c r="D17" s="497"/>
    </row>
    <row r="18" spans="1:4" ht="15" customHeight="1" x14ac:dyDescent="0.2">
      <c r="A18" s="1450" t="s">
        <v>8701</v>
      </c>
      <c r="B18" s="1451"/>
      <c r="C18" s="496"/>
      <c r="D18" s="497"/>
    </row>
    <row r="19" spans="1:4" ht="30" customHeight="1" x14ac:dyDescent="0.2">
      <c r="A19" s="1450" t="s">
        <v>8626</v>
      </c>
      <c r="B19" s="1451"/>
      <c r="C19" s="496"/>
      <c r="D19" s="497"/>
    </row>
    <row r="20" spans="1:4" ht="15" customHeight="1" x14ac:dyDescent="0.2">
      <c r="A20" s="1455" t="s">
        <v>8993</v>
      </c>
      <c r="B20" s="1219"/>
      <c r="C20" s="496"/>
      <c r="D20" s="497"/>
    </row>
    <row r="21" spans="1:4" ht="15" customHeight="1" x14ac:dyDescent="0.2">
      <c r="A21" s="1427" t="s">
        <v>10281</v>
      </c>
      <c r="B21" s="1405"/>
      <c r="C21" s="732"/>
      <c r="D21" s="499"/>
    </row>
    <row r="22" spans="1:4" ht="30" customHeight="1" x14ac:dyDescent="0.2">
      <c r="A22" s="1455" t="s">
        <v>10032</v>
      </c>
      <c r="B22" s="1219"/>
      <c r="C22" s="496"/>
      <c r="D22" s="497"/>
    </row>
    <row r="23" spans="1:4" ht="15" customHeight="1" x14ac:dyDescent="0.2">
      <c r="A23" s="1463" t="s">
        <v>10290</v>
      </c>
      <c r="B23" s="1454"/>
      <c r="C23" s="498"/>
      <c r="D23" s="499"/>
    </row>
    <row r="24" spans="1:4" ht="15" customHeight="1" x14ac:dyDescent="0.2">
      <c r="A24" s="1458" t="s">
        <v>277</v>
      </c>
      <c r="B24" s="1454"/>
      <c r="C24" s="500"/>
      <c r="D24" s="499">
        <v>50</v>
      </c>
    </row>
    <row r="25" spans="1:4" ht="15" customHeight="1" x14ac:dyDescent="0.2">
      <c r="A25" s="1458" t="s">
        <v>4</v>
      </c>
      <c r="B25" s="1454"/>
      <c r="C25" s="500"/>
      <c r="D25" s="499">
        <v>3</v>
      </c>
    </row>
    <row r="26" spans="1:4" ht="15" customHeight="1" x14ac:dyDescent="0.2">
      <c r="A26" s="1453" t="s">
        <v>10117</v>
      </c>
      <c r="B26" s="1454"/>
      <c r="C26" s="501" t="s">
        <v>6</v>
      </c>
      <c r="D26" s="499"/>
    </row>
    <row r="27" spans="1:4" ht="15" customHeight="1" x14ac:dyDescent="0.2">
      <c r="A27" s="1458" t="s">
        <v>8382</v>
      </c>
      <c r="B27" s="1454"/>
      <c r="C27" s="797"/>
      <c r="D27" s="499"/>
    </row>
    <row r="28" spans="1:4" ht="15" customHeight="1" thickBot="1" x14ac:dyDescent="0.25">
      <c r="A28" s="1459" t="s">
        <v>8632</v>
      </c>
      <c r="B28" s="1460"/>
      <c r="C28" s="798"/>
      <c r="D28" s="504" t="s">
        <v>8592</v>
      </c>
    </row>
    <row r="29" spans="1:4" ht="15" customHeight="1" thickBot="1" x14ac:dyDescent="0.3">
      <c r="A29" s="1414" t="s">
        <v>8567</v>
      </c>
      <c r="B29" s="1414"/>
      <c r="C29" s="1414"/>
      <c r="D29" s="1414"/>
    </row>
    <row r="30" spans="1:4" ht="15" customHeight="1" thickBot="1" x14ac:dyDescent="0.3">
      <c r="A30" s="1411" t="s">
        <v>10276</v>
      </c>
      <c r="B30" s="1412"/>
      <c r="C30" s="1412"/>
      <c r="D30" s="1413"/>
    </row>
    <row r="31" spans="1:4" ht="45" customHeight="1" x14ac:dyDescent="0.25">
      <c r="A31" s="441" t="s">
        <v>8353</v>
      </c>
      <c r="B31" s="487" t="s">
        <v>2</v>
      </c>
      <c r="C31" s="1400" t="s">
        <v>10171</v>
      </c>
      <c r="D31" s="1401"/>
    </row>
    <row r="32" spans="1:4" x14ac:dyDescent="0.2">
      <c r="A32" s="505" t="s">
        <v>3</v>
      </c>
      <c r="B32" s="506" t="s">
        <v>10118</v>
      </c>
      <c r="C32" s="1396"/>
      <c r="D32" s="1397"/>
    </row>
    <row r="33" spans="1:4" x14ac:dyDescent="0.2">
      <c r="A33" s="508"/>
      <c r="B33" s="506" t="str">
        <f t="shared" ref="B33:B49" si="0">IFERROR(VLOOKUP(A33, SpeciesDataTable,2,FALSE),"")</f>
        <v/>
      </c>
      <c r="C33" s="1396"/>
      <c r="D33" s="1397"/>
    </row>
    <row r="34" spans="1:4" x14ac:dyDescent="0.2">
      <c r="A34" s="508"/>
      <c r="B34" s="506" t="str">
        <f t="shared" si="0"/>
        <v/>
      </c>
      <c r="C34" s="1396"/>
      <c r="D34" s="1397"/>
    </row>
    <row r="35" spans="1:4" x14ac:dyDescent="0.2">
      <c r="A35" s="508"/>
      <c r="B35" s="506" t="str">
        <f t="shared" si="0"/>
        <v/>
      </c>
      <c r="C35" s="1396"/>
      <c r="D35" s="1397"/>
    </row>
    <row r="36" spans="1:4" x14ac:dyDescent="0.2">
      <c r="A36" s="508"/>
      <c r="B36" s="506" t="str">
        <f t="shared" si="0"/>
        <v/>
      </c>
      <c r="C36" s="1396"/>
      <c r="D36" s="1397"/>
    </row>
    <row r="37" spans="1:4" x14ac:dyDescent="0.2">
      <c r="A37" s="508"/>
      <c r="B37" s="506" t="str">
        <f t="shared" si="0"/>
        <v/>
      </c>
      <c r="C37" s="1396"/>
      <c r="D37" s="1397"/>
    </row>
    <row r="38" spans="1:4" x14ac:dyDescent="0.2">
      <c r="A38" s="508"/>
      <c r="B38" s="506" t="str">
        <f t="shared" si="0"/>
        <v/>
      </c>
      <c r="C38" s="1396"/>
      <c r="D38" s="1397"/>
    </row>
    <row r="39" spans="1:4" x14ac:dyDescent="0.2">
      <c r="A39" s="508"/>
      <c r="B39" s="506" t="str">
        <f t="shared" si="0"/>
        <v/>
      </c>
      <c r="C39" s="1396"/>
      <c r="D39" s="1397"/>
    </row>
    <row r="40" spans="1:4" x14ac:dyDescent="0.2">
      <c r="A40" s="508"/>
      <c r="B40" s="506" t="str">
        <f t="shared" si="0"/>
        <v/>
      </c>
      <c r="C40" s="1396"/>
      <c r="D40" s="1397"/>
    </row>
    <row r="41" spans="1:4" x14ac:dyDescent="0.2">
      <c r="A41" s="508"/>
      <c r="B41" s="506" t="str">
        <f t="shared" si="0"/>
        <v/>
      </c>
      <c r="C41" s="1396"/>
      <c r="D41" s="1397"/>
    </row>
    <row r="42" spans="1:4" x14ac:dyDescent="0.2">
      <c r="A42" s="508"/>
      <c r="B42" s="506" t="str">
        <f t="shared" si="0"/>
        <v/>
      </c>
      <c r="C42" s="1396"/>
      <c r="D42" s="1397"/>
    </row>
    <row r="43" spans="1:4" x14ac:dyDescent="0.2">
      <c r="A43" s="508"/>
      <c r="B43" s="506" t="str">
        <f t="shared" si="0"/>
        <v/>
      </c>
      <c r="C43" s="1396"/>
      <c r="D43" s="1397"/>
    </row>
    <row r="44" spans="1:4" x14ac:dyDescent="0.2">
      <c r="A44" s="508"/>
      <c r="B44" s="506" t="str">
        <f t="shared" si="0"/>
        <v/>
      </c>
      <c r="C44" s="1396"/>
      <c r="D44" s="1397"/>
    </row>
    <row r="45" spans="1:4" x14ac:dyDescent="0.2">
      <c r="A45" s="508"/>
      <c r="B45" s="506" t="str">
        <f t="shared" si="0"/>
        <v/>
      </c>
      <c r="C45" s="1396"/>
      <c r="D45" s="1397"/>
    </row>
    <row r="46" spans="1:4" x14ac:dyDescent="0.2">
      <c r="A46" s="508"/>
      <c r="B46" s="506" t="str">
        <f t="shared" si="0"/>
        <v/>
      </c>
      <c r="C46" s="1396"/>
      <c r="D46" s="1397"/>
    </row>
    <row r="47" spans="1:4" x14ac:dyDescent="0.2">
      <c r="A47" s="508"/>
      <c r="B47" s="506" t="str">
        <f t="shared" si="0"/>
        <v/>
      </c>
      <c r="C47" s="1396"/>
      <c r="D47" s="1397"/>
    </row>
    <row r="48" spans="1:4" x14ac:dyDescent="0.2">
      <c r="A48" s="508"/>
      <c r="B48" s="506" t="str">
        <f t="shared" si="0"/>
        <v/>
      </c>
      <c r="C48" s="1396"/>
      <c r="D48" s="1397"/>
    </row>
    <row r="49" spans="1:5" ht="15.75" customHeight="1" thickBot="1" x14ac:dyDescent="0.25">
      <c r="A49" s="509"/>
      <c r="B49" s="506" t="str">
        <f t="shared" si="0"/>
        <v/>
      </c>
      <c r="C49" s="1398"/>
      <c r="D49" s="1399"/>
    </row>
    <row r="50" spans="1:5" ht="15" customHeight="1" x14ac:dyDescent="0.25">
      <c r="A50" s="1457" t="s">
        <v>8455</v>
      </c>
      <c r="B50" s="1457"/>
      <c r="C50" s="1457"/>
      <c r="D50" s="1457"/>
      <c r="E50" s="573"/>
    </row>
  </sheetData>
  <sheetProtection algorithmName="SHA-512" hashValue="7pecmfYxaNO5Iy8VMSI0xi5gb97kMVm4QF89UZcpAsxgxpRiKoKDMddWfUDcmu2bnWDOCDUF7CGXoWkzrJI0vQ==" saltValue="vCnhldriB8MZrnKUxOKoyg==" spinCount="100000" sheet="1" objects="1" scenarios="1" formatColumns="0" formatRows="0" autoFilter="0"/>
  <mergeCells count="57">
    <mergeCell ref="C10:D10"/>
    <mergeCell ref="A11:B11"/>
    <mergeCell ref="C11:D11"/>
    <mergeCell ref="A12:B12"/>
    <mergeCell ref="A1:D1"/>
    <mergeCell ref="A2:D2"/>
    <mergeCell ref="A3:D3"/>
    <mergeCell ref="A5:D5"/>
    <mergeCell ref="A7:B7"/>
    <mergeCell ref="C7:D7"/>
    <mergeCell ref="A4:D4"/>
    <mergeCell ref="A8:B8"/>
    <mergeCell ref="C8:D8"/>
    <mergeCell ref="A9:B9"/>
    <mergeCell ref="C9:D9"/>
    <mergeCell ref="A10:B10"/>
    <mergeCell ref="A19:B19"/>
    <mergeCell ref="A17:B17"/>
    <mergeCell ref="A18:B18"/>
    <mergeCell ref="A22:B22"/>
    <mergeCell ref="A20:B20"/>
    <mergeCell ref="A21:B21"/>
    <mergeCell ref="C6:D6"/>
    <mergeCell ref="A6:B6"/>
    <mergeCell ref="A50:D50"/>
    <mergeCell ref="A26:B26"/>
    <mergeCell ref="A27:B27"/>
    <mergeCell ref="A28:B28"/>
    <mergeCell ref="A30:D30"/>
    <mergeCell ref="A13:D13"/>
    <mergeCell ref="A29:D29"/>
    <mergeCell ref="A24:B24"/>
    <mergeCell ref="A25:B25"/>
    <mergeCell ref="C12:D12"/>
    <mergeCell ref="A14:D14"/>
    <mergeCell ref="A15:B15"/>
    <mergeCell ref="A23:B23"/>
    <mergeCell ref="A16:B16"/>
    <mergeCell ref="C31:D31"/>
    <mergeCell ref="C32:D32"/>
    <mergeCell ref="C33:D33"/>
    <mergeCell ref="C34:D34"/>
    <mergeCell ref="C35:D35"/>
    <mergeCell ref="C36:D36"/>
    <mergeCell ref="C37:D37"/>
    <mergeCell ref="C38:D38"/>
    <mergeCell ref="C39:D39"/>
    <mergeCell ref="C40:D40"/>
    <mergeCell ref="C46:D46"/>
    <mergeCell ref="C47:D47"/>
    <mergeCell ref="C48:D48"/>
    <mergeCell ref="C49:D49"/>
    <mergeCell ref="C41:D41"/>
    <mergeCell ref="C42:D42"/>
    <mergeCell ref="C43:D43"/>
    <mergeCell ref="C44:D44"/>
    <mergeCell ref="C45:D45"/>
  </mergeCells>
  <conditionalFormatting sqref="A16:D22 A10:D12 A24:D30 A31:C49">
    <cfRule type="expression" dxfId="190" priority="6">
      <formula>$C$6="Affected"</formula>
    </cfRule>
  </conditionalFormatting>
  <conditionalFormatting sqref="A19:D19">
    <cfRule type="expression" dxfId="189" priority="5">
      <formula>$C$16="Fixed roof"</formula>
    </cfRule>
  </conditionalFormatting>
  <conditionalFormatting sqref="A21:D21">
    <cfRule type="expression" dxfId="188" priority="1">
      <formula>$C$20="No"</formula>
    </cfRule>
  </conditionalFormatting>
  <conditionalFormatting sqref="A24:D26">
    <cfRule type="expression" dxfId="185" priority="17">
      <formula>OR($C$23="Flare",$C$23="Vapor combustion unit",$C$23="Carbon adsorption system")</formula>
    </cfRule>
  </conditionalFormatting>
  <dataValidations count="18">
    <dataValidation operator="greaterThanOrEqual" allowBlank="1" showInputMessage="1" showErrorMessage="1" prompt="Review Section V of the &quot;Instruction&quot; sheet of this workbook for downwash applicability guidance." sqref="C26" xr:uid="{714EE736-4CD3-4414-8E88-E14EBDD21307}"/>
    <dataValidation type="list" allowBlank="1" showErrorMessage="1" prompt="select UTM zone" sqref="C10:D10" xr:uid="{7591F897-D242-46D7-BDF3-18CB41909852}">
      <formula1>Zones</formula1>
    </dataValidation>
    <dataValidation allowBlank="1" showErrorMessage="1" prompt="enter EPN" sqref="C8:D8" xr:uid="{BDC62011-3127-4333-B930-E1490EC50AF0}"/>
    <dataValidation allowBlank="1" showErrorMessage="1" prompt="enter FIN" sqref="C7:D7" xr:uid="{0394A09F-8407-43BD-84AD-611725CAFD1F}"/>
    <dataValidation type="list" allowBlank="1" showErrorMessage="1" prompt="select one" sqref="C6:D6" xr:uid="{2246D46F-C252-4211-92EA-9563D421B694}">
      <formula1>"Modified,Affected"</formula1>
    </dataValidation>
    <dataValidation type="decimal" allowBlank="1" showErrorMessage="1" error="Value must be between 2,854,000 and 4,059,000 meters." prompt="enter UTM northing in meters" sqref="C12:D12" xr:uid="{477F0796-8776-4E29-A75D-8CE5255E28AB}">
      <formula1>2854000</formula1>
      <formula2>4059000</formula2>
    </dataValidation>
    <dataValidation type="decimal" allowBlank="1" showErrorMessage="1" error="Value must be between 205,000 and 795,000 meters." prompt="enter UTM easting in meters" sqref="C11:D11" xr:uid="{41D80A0D-91C7-483F-81BD-8B8280E43A9E}">
      <formula1>205000</formula1>
      <formula2>795000</formula2>
    </dataValidation>
    <dataValidation allowBlank="1" showErrorMessage="1" prompt="enter source name" sqref="C9:D9" xr:uid="{E78F27E3-D980-430A-A285-996FB532929A}"/>
    <dataValidation allowBlank="1" showErrorMessage="1" prompt="enter maximum vapor pressure (psia)" sqref="C21" xr:uid="{536AC211-4557-4F22-95D2-A3AAEAF0EB8E}"/>
    <dataValidation type="list" allowBlank="1" showErrorMessage="1" prompt="select one" sqref="C22 C20" xr:uid="{6BF7AF20-BA9F-4B62-B8B6-0C9785905AC2}">
      <formula1>"Yes,No"</formula1>
    </dataValidation>
    <dataValidation type="list" allowBlank="1" showErrorMessage="1" prompt="select true vapor pressure range" sqref="C17" xr:uid="{92853F7B-EC9A-4C42-8346-A63873D4FCF7}">
      <formula1>IF($C$16="external floating roof",ExternalTankVP,IF($C$16="internal floating roof",InternalTankVP, FixedTankVP))</formula1>
    </dataValidation>
    <dataValidation type="list" allowBlank="1" showErrorMessage="1" prompt="select tank type" sqref="C16" xr:uid="{E11A3DF5-5647-4B60-A0CA-1C8BB0358537}">
      <formula1>"Fixed roof, External floating roof, Internal floating roof"</formula1>
    </dataValidation>
    <dataValidation type="decimal" operator="greaterThanOrEqual" allowBlank="1" showErrorMessage="1" error="The minimum distance to the property line is 50 feet." prompt="enter distance to property line (ft)" sqref="C24" xr:uid="{04FF4B18-A30A-4F5E-92C2-3C042AABB1A1}">
      <formula1>50</formula1>
    </dataValidation>
    <dataValidation type="decimal" operator="greaterThanOrEqual" allowBlank="1" showErrorMessage="1" error="Minimum release height is 3 feet." prompt="enter release height (ft)" sqref="C25" xr:uid="{2E1AF7A4-E1EA-405F-A8F2-67663948EF53}">
      <formula1>3</formula1>
    </dataValidation>
    <dataValidation type="decimal" operator="greaterThanOrEqual" allowBlank="1" showErrorMessage="1" prompt="enter proposed throughput increase (bbl/yr)" sqref="C28" xr:uid="{F4BAE4BC-313E-4DAB-81D5-4333F5813F5A}">
      <formula1>0</formula1>
    </dataValidation>
    <dataValidation type="decimal" operator="greaterThanOrEqual" allowBlank="1" showErrorMessage="1" prompt="enter currently authorized throughput (bbl/hr)" sqref="C27" xr:uid="{5C4E0DC1-EEE3-4955-9D40-EA4856950485}">
      <formula1>0</formula1>
    </dataValidation>
    <dataValidation allowBlank="1" showErrorMessage="1" prompt="enter allowable increase of uncontrolled emissions from this project from this tank (tpy)" sqref="C32:D49" xr:uid="{C331856A-F132-4EDB-8367-61E72E01A0A1}"/>
    <dataValidation allowBlank="1" showErrorMessage="1" prompt="select or enter the cas number" sqref="A33:A49" xr:uid="{4D99BCED-20B1-48FD-A04C-A7CCA64ECC12}"/>
  </dataValidations>
  <printOptions horizontalCentered="1"/>
  <pageMargins left="0.7" right="0.7" top="0.75" bottom="0.75" header="0.3" footer="0.3"/>
  <pageSetup scale="61" orientation="portrait" r:id="rId1"/>
  <headerFooter>
    <oddHeader>&amp;C&amp;"Arial,Regular"Tanks and Loading Increases RAP Application</oddHeader>
    <oddFooter>&amp;LVersion 3.0&amp;CSheet: &amp;A&amp;RPage &amp;P</oddFooter>
  </headerFooter>
  <rowBreaks count="1" manualBreakCount="1">
    <brk id="29" max="3" man="1"/>
  </rowBreaks>
  <extLst>
    <ext xmlns:x14="http://schemas.microsoft.com/office/spreadsheetml/2009/9/main" uri="{78C0D931-6437-407d-A8EE-F0AAD7539E65}">
      <x14:conditionalFormattings>
        <x14:conditionalFormatting xmlns:xm="http://schemas.microsoft.com/office/excel/2006/main">
          <x14:cfRule type="expression" priority="480" id="{6BD5F376-6461-437C-AE52-B4F4FE0173DA}">
            <xm:f>NOT(OR('PI-1-TankLoading'!$G$102=3,'PI-1-TankLoading'!$G$102=4,'PI-1-TankLoading'!$G$102=5,'PI-1-TankLoading'!$G$102=""))</xm:f>
            <x14:dxf>
              <font>
                <color theme="0" tint="-0.24994659260841701"/>
              </font>
              <numFmt numFmtId="171" formatCode=";;;"/>
              <fill>
                <patternFill>
                  <bgColor theme="0" tint="-0.499984740745262"/>
                </patternFill>
              </fill>
              <border>
                <left/>
                <right/>
                <top/>
                <bottom/>
              </border>
            </x14:dxf>
          </x14:cfRule>
          <xm:sqref>A1:D50</xm:sqref>
        </x14:conditionalFormatting>
        <x14:conditionalFormatting xmlns:xm="http://schemas.microsoft.com/office/excel/2006/main">
          <x14:cfRule type="expression" priority="9" stopIfTrue="1" id="{247919F8-21A3-4EE2-B571-A3CDFBCFD526}">
            <xm:f>'Hidden Inputs'!$BR$5</xm:f>
            <x14:dxf>
              <font>
                <color theme="0" tint="-0.499984740745262"/>
              </font>
              <numFmt numFmtId="171" formatCode=";;;"/>
              <fill>
                <patternFill>
                  <bgColor theme="0" tint="-0.499984740745262"/>
                </patternFill>
              </fill>
              <border>
                <left/>
                <right/>
                <top/>
                <bottom/>
              </border>
            </x14:dxf>
          </x14:cfRule>
          <xm:sqref>A2:D20 A22:D30 A31:C49</xm:sqref>
        </x14:conditionalFormatting>
        <x14:conditionalFormatting xmlns:xm="http://schemas.microsoft.com/office/excel/2006/main">
          <x14:cfRule type="expression" priority="3" stopIfTrue="1" id="{5DD8BDB6-EA17-4404-ABE3-FCAD170B0C7C}">
            <xm:f>'Hidden Inputs'!$BR$5</xm:f>
            <x14:dxf>
              <font>
                <color theme="0" tint="-0.499984740745262"/>
              </font>
              <numFmt numFmtId="171" formatCode=";;;"/>
              <fill>
                <patternFill>
                  <bgColor theme="0" tint="-0.499984740745262"/>
                </patternFill>
              </fill>
              <border>
                <left/>
                <right/>
                <top/>
                <bottom/>
              </border>
            </x14:dxf>
          </x14:cfRule>
          <x14:cfRule type="expression" priority="4" stopIfTrue="1" id="{E80143CF-2DD8-4CC5-BC54-2D1E26B51600}">
            <xm:f>NOT(OR('PI-1-TankLoading'!$G$102=1,'PI-1-TankLoading'!$G$102=2,'PI-1-TankLoading'!$G$102=3,'PI-1-TankLoading'!$G$102=4,'PI-1-TankLoading'!$G$102=5,'PI-1-TankLoading'!$G$102=""))</xm:f>
            <x14:dxf>
              <font>
                <color theme="0" tint="-0.24994659260841701"/>
              </font>
              <numFmt numFmtId="171" formatCode=";;;"/>
              <fill>
                <patternFill>
                  <bgColor theme="0" tint="-0.499984740745262"/>
                </patternFill>
              </fill>
              <border>
                <left/>
                <right/>
                <top/>
                <bottom/>
                <vertical/>
                <horizontal/>
              </border>
            </x14:dxf>
          </x14:cfRule>
          <xm:sqref>A21:D21</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ErrorMessage="1" prompt="select capacity" xr:uid="{DF86C0F7-38F2-4AFE-B727-A3AFBD4CFF91}">
          <x14:formula1>
            <xm:f>'Hidden Inputs'!$BB$2:$BC$2</xm:f>
          </x14:formula1>
          <xm:sqref>C18</xm:sqref>
        </x14:dataValidation>
        <x14:dataValidation type="list" allowBlank="1" showErrorMessage="1" prompt="select seal type" xr:uid="{1A68E2CA-6FBD-4EA1-A58C-594A2CB639C8}">
          <x14:formula1>
            <xm:f>INDIRECT('Hidden Inputs'!$AX$2)</xm:f>
          </x14:formula1>
          <xm:sqref>C19</xm:sqref>
        </x14:dataValidation>
        <x14:dataValidation type="list" allowBlank="1" showErrorMessage="1" prompt="select control device" xr:uid="{50FE3B11-8EDE-4E16-9500-7B56F6936A25}">
          <x14:formula1>
            <xm:f>IF(AND('PI-1-TankLoading'!G106="No",'PI-1-TankLoading'!G107="No",'PI-1-TankLoading'!G108="No"),NoControl,IF('PI-1-TankLoading'!D86="Gasoline Terminal",GasTermTankControls,ControlDevices))</xm:f>
          </x14:formula1>
          <xm:sqref>C23</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3E0C7-8D20-465F-A62B-65C1AC0ED06C}">
  <sheetPr codeName="Sheet10">
    <tabColor rgb="FFFFFFCC"/>
  </sheetPr>
  <dimension ref="A1:F50"/>
  <sheetViews>
    <sheetView workbookViewId="0">
      <selection sqref="A1:D1"/>
    </sheetView>
  </sheetViews>
  <sheetFormatPr defaultColWidth="0" defaultRowHeight="14.25" zeroHeight="1" x14ac:dyDescent="0.25"/>
  <cols>
    <col min="1" max="1" width="20.7109375" style="466" customWidth="1"/>
    <col min="2" max="2" width="60.7109375" style="466" customWidth="1"/>
    <col min="3" max="3" width="39.28515625" style="466" customWidth="1"/>
    <col min="4" max="4" width="28.28515625" style="466" customWidth="1"/>
    <col min="5" max="6" width="13.28515625" style="466" hidden="1" customWidth="1"/>
    <col min="7" max="16384" width="44.5703125" style="466" hidden="1"/>
  </cols>
  <sheetData>
    <row r="1" spans="1:4" ht="6" customHeight="1" thickBot="1" x14ac:dyDescent="0.3">
      <c r="A1" s="1428" t="s">
        <v>8392</v>
      </c>
      <c r="B1" s="1428"/>
      <c r="C1" s="1428"/>
      <c r="D1" s="1428"/>
    </row>
    <row r="2" spans="1:4" ht="18.75" thickBot="1" x14ac:dyDescent="0.3">
      <c r="A2" s="1437" t="s">
        <v>8361</v>
      </c>
      <c r="B2" s="1437"/>
      <c r="C2" s="1437"/>
      <c r="D2" s="1438"/>
    </row>
    <row r="3" spans="1:4" ht="129" customHeight="1" thickBot="1" x14ac:dyDescent="0.3">
      <c r="A3" s="1448" t="s">
        <v>10286</v>
      </c>
      <c r="B3" s="1430"/>
      <c r="C3" s="1430"/>
      <c r="D3" s="1431"/>
    </row>
    <row r="4" spans="1:4" ht="15" customHeight="1" thickBot="1" x14ac:dyDescent="0.3">
      <c r="A4" s="1414" t="s">
        <v>8567</v>
      </c>
      <c r="B4" s="1414"/>
      <c r="C4" s="1414"/>
      <c r="D4" s="1414"/>
    </row>
    <row r="5" spans="1:4" ht="15" customHeight="1" thickBot="1" x14ac:dyDescent="0.3">
      <c r="A5" s="1411" t="s">
        <v>8575</v>
      </c>
      <c r="B5" s="1412"/>
      <c r="C5" s="1412"/>
      <c r="D5" s="1413"/>
    </row>
    <row r="6" spans="1:4" ht="15" customHeight="1" x14ac:dyDescent="0.25">
      <c r="A6" s="1446" t="s">
        <v>10125</v>
      </c>
      <c r="B6" s="1447"/>
      <c r="C6" s="1444"/>
      <c r="D6" s="1445"/>
    </row>
    <row r="7" spans="1:4" ht="15" customHeight="1" x14ac:dyDescent="0.25">
      <c r="A7" s="1472" t="s">
        <v>8582</v>
      </c>
      <c r="B7" s="1473"/>
      <c r="C7" s="1474"/>
      <c r="D7" s="1475"/>
    </row>
    <row r="8" spans="1:4" ht="15" customHeight="1" x14ac:dyDescent="0.25">
      <c r="A8" s="1476" t="s">
        <v>8583</v>
      </c>
      <c r="B8" s="1477"/>
      <c r="C8" s="1478"/>
      <c r="D8" s="1479"/>
    </row>
    <row r="9" spans="1:4" ht="15" customHeight="1" x14ac:dyDescent="0.25">
      <c r="A9" s="1476" t="s">
        <v>8584</v>
      </c>
      <c r="B9" s="1477"/>
      <c r="C9" s="1480"/>
      <c r="D9" s="1467"/>
    </row>
    <row r="10" spans="1:4" ht="15" customHeight="1" x14ac:dyDescent="0.25">
      <c r="A10" s="1402" t="s">
        <v>8576</v>
      </c>
      <c r="B10" s="1403"/>
      <c r="C10" s="1466"/>
      <c r="D10" s="1467"/>
    </row>
    <row r="11" spans="1:4" ht="15" customHeight="1" x14ac:dyDescent="0.25">
      <c r="A11" s="1468" t="s">
        <v>8577</v>
      </c>
      <c r="B11" s="1469"/>
      <c r="C11" s="1423"/>
      <c r="D11" s="1424"/>
    </row>
    <row r="12" spans="1:4" ht="15" customHeight="1" thickBot="1" x14ac:dyDescent="0.3">
      <c r="A12" s="1470" t="s">
        <v>8578</v>
      </c>
      <c r="B12" s="1471"/>
      <c r="C12" s="1425"/>
      <c r="D12" s="1426"/>
    </row>
    <row r="13" spans="1:4" ht="15" customHeight="1" thickBot="1" x14ac:dyDescent="0.3">
      <c r="A13" s="1414" t="s">
        <v>8567</v>
      </c>
      <c r="B13" s="1414"/>
      <c r="C13" s="1414"/>
      <c r="D13" s="1414"/>
    </row>
    <row r="14" spans="1:4" ht="15" customHeight="1" thickBot="1" x14ac:dyDescent="0.3">
      <c r="A14" s="1411" t="s">
        <v>8581</v>
      </c>
      <c r="B14" s="1412"/>
      <c r="C14" s="1412"/>
      <c r="D14" s="1413"/>
    </row>
    <row r="15" spans="1:4" ht="15" customHeight="1" x14ac:dyDescent="0.25">
      <c r="A15" s="1420" t="s">
        <v>8373</v>
      </c>
      <c r="B15" s="1421"/>
      <c r="C15" s="53" t="s">
        <v>8580</v>
      </c>
      <c r="D15" s="33" t="s">
        <v>8645</v>
      </c>
    </row>
    <row r="16" spans="1:4" ht="15" customHeight="1" x14ac:dyDescent="0.2">
      <c r="A16" s="1450" t="s">
        <v>8700</v>
      </c>
      <c r="B16" s="1451"/>
      <c r="C16" s="496"/>
      <c r="D16" s="497"/>
    </row>
    <row r="17" spans="1:4" ht="15" customHeight="1" x14ac:dyDescent="0.2">
      <c r="A17" s="1452" t="s">
        <v>10256</v>
      </c>
      <c r="B17" s="1451"/>
      <c r="C17" s="496"/>
      <c r="D17" s="497"/>
    </row>
    <row r="18" spans="1:4" ht="15" customHeight="1" x14ac:dyDescent="0.2">
      <c r="A18" s="1450" t="s">
        <v>8701</v>
      </c>
      <c r="B18" s="1451"/>
      <c r="C18" s="496"/>
      <c r="D18" s="497"/>
    </row>
    <row r="19" spans="1:4" ht="28.5" customHeight="1" x14ac:dyDescent="0.2">
      <c r="A19" s="1465" t="s">
        <v>8626</v>
      </c>
      <c r="B19" s="1451"/>
      <c r="C19" s="496"/>
      <c r="D19" s="497"/>
    </row>
    <row r="20" spans="1:4" ht="15" customHeight="1" x14ac:dyDescent="0.2">
      <c r="A20" s="1450" t="s">
        <v>8993</v>
      </c>
      <c r="B20" s="1451"/>
      <c r="C20" s="496"/>
      <c r="D20" s="497"/>
    </row>
    <row r="21" spans="1:4" ht="15" customHeight="1" x14ac:dyDescent="0.2">
      <c r="A21" s="1427" t="s">
        <v>10281</v>
      </c>
      <c r="B21" s="1405"/>
      <c r="C21" s="732"/>
      <c r="D21" s="499"/>
    </row>
    <row r="22" spans="1:4" ht="30" customHeight="1" x14ac:dyDescent="0.2">
      <c r="A22" s="1455" t="s">
        <v>10032</v>
      </c>
      <c r="B22" s="1219"/>
      <c r="C22" s="496"/>
      <c r="D22" s="497"/>
    </row>
    <row r="23" spans="1:4" ht="15" customHeight="1" x14ac:dyDescent="0.2">
      <c r="A23" s="1422" t="s">
        <v>10290</v>
      </c>
      <c r="B23" s="1417"/>
      <c r="C23" s="498"/>
      <c r="D23" s="499"/>
    </row>
    <row r="24" spans="1:4" ht="15" customHeight="1" x14ac:dyDescent="0.2">
      <c r="A24" s="1416" t="s">
        <v>277</v>
      </c>
      <c r="B24" s="1417"/>
      <c r="C24" s="500"/>
      <c r="D24" s="499">
        <v>50</v>
      </c>
    </row>
    <row r="25" spans="1:4" ht="15" customHeight="1" x14ac:dyDescent="0.2">
      <c r="A25" s="1416" t="s">
        <v>4</v>
      </c>
      <c r="B25" s="1417"/>
      <c r="C25" s="500"/>
      <c r="D25" s="499">
        <v>3</v>
      </c>
    </row>
    <row r="26" spans="1:4" ht="15" customHeight="1" x14ac:dyDescent="0.2">
      <c r="A26" s="1453" t="s">
        <v>10117</v>
      </c>
      <c r="B26" s="1454"/>
      <c r="C26" s="511" t="s">
        <v>6</v>
      </c>
      <c r="D26" s="499"/>
    </row>
    <row r="27" spans="1:4" ht="15" customHeight="1" x14ac:dyDescent="0.2">
      <c r="A27" s="1416" t="s">
        <v>8382</v>
      </c>
      <c r="B27" s="1417"/>
      <c r="C27" s="797"/>
      <c r="D27" s="499"/>
    </row>
    <row r="28" spans="1:4" ht="15" customHeight="1" thickBot="1" x14ac:dyDescent="0.25">
      <c r="A28" s="1418" t="s">
        <v>8632</v>
      </c>
      <c r="B28" s="1419"/>
      <c r="C28" s="798"/>
      <c r="D28" s="504" t="s">
        <v>8592</v>
      </c>
    </row>
    <row r="29" spans="1:4" ht="15" customHeight="1" thickBot="1" x14ac:dyDescent="0.3">
      <c r="A29" s="1414" t="s">
        <v>8567</v>
      </c>
      <c r="B29" s="1414"/>
      <c r="C29" s="1414"/>
      <c r="D29" s="1414"/>
    </row>
    <row r="30" spans="1:4" ht="15" customHeight="1" thickBot="1" x14ac:dyDescent="0.3">
      <c r="A30" s="1411" t="s">
        <v>10276</v>
      </c>
      <c r="B30" s="1412"/>
      <c r="C30" s="1412"/>
      <c r="D30" s="1413"/>
    </row>
    <row r="31" spans="1:4" ht="45" customHeight="1" x14ac:dyDescent="0.25">
      <c r="A31" s="441" t="s">
        <v>8353</v>
      </c>
      <c r="B31" s="487" t="s">
        <v>2</v>
      </c>
      <c r="C31" s="1400" t="s">
        <v>10171</v>
      </c>
      <c r="D31" s="1401"/>
    </row>
    <row r="32" spans="1:4" x14ac:dyDescent="0.2">
      <c r="A32" s="505" t="s">
        <v>3</v>
      </c>
      <c r="B32" s="506" t="s">
        <v>10118</v>
      </c>
      <c r="C32" s="1396"/>
      <c r="D32" s="1397"/>
    </row>
    <row r="33" spans="1:4" x14ac:dyDescent="0.2">
      <c r="A33" s="508"/>
      <c r="B33" s="506" t="str">
        <f t="shared" ref="B33:B49" si="0">IFERROR(VLOOKUP(A33, SpeciesDataTable,2,FALSE),"")</f>
        <v/>
      </c>
      <c r="C33" s="1396"/>
      <c r="D33" s="1397"/>
    </row>
    <row r="34" spans="1:4" x14ac:dyDescent="0.2">
      <c r="A34" s="508"/>
      <c r="B34" s="506" t="str">
        <f t="shared" si="0"/>
        <v/>
      </c>
      <c r="C34" s="1396"/>
      <c r="D34" s="1397"/>
    </row>
    <row r="35" spans="1:4" x14ac:dyDescent="0.2">
      <c r="A35" s="508"/>
      <c r="B35" s="506" t="str">
        <f t="shared" si="0"/>
        <v/>
      </c>
      <c r="C35" s="1396"/>
      <c r="D35" s="1397"/>
    </row>
    <row r="36" spans="1:4" x14ac:dyDescent="0.2">
      <c r="A36" s="508"/>
      <c r="B36" s="506" t="str">
        <f t="shared" si="0"/>
        <v/>
      </c>
      <c r="C36" s="1396"/>
      <c r="D36" s="1397"/>
    </row>
    <row r="37" spans="1:4" x14ac:dyDescent="0.2">
      <c r="A37" s="508"/>
      <c r="B37" s="506" t="str">
        <f t="shared" si="0"/>
        <v/>
      </c>
      <c r="C37" s="1396"/>
      <c r="D37" s="1397"/>
    </row>
    <row r="38" spans="1:4" x14ac:dyDescent="0.2">
      <c r="A38" s="508"/>
      <c r="B38" s="506" t="str">
        <f t="shared" si="0"/>
        <v/>
      </c>
      <c r="C38" s="1396"/>
      <c r="D38" s="1397"/>
    </row>
    <row r="39" spans="1:4" x14ac:dyDescent="0.2">
      <c r="A39" s="508"/>
      <c r="B39" s="506" t="str">
        <f t="shared" si="0"/>
        <v/>
      </c>
      <c r="C39" s="1396"/>
      <c r="D39" s="1397"/>
    </row>
    <row r="40" spans="1:4" x14ac:dyDescent="0.2">
      <c r="A40" s="508"/>
      <c r="B40" s="506" t="str">
        <f t="shared" si="0"/>
        <v/>
      </c>
      <c r="C40" s="1396"/>
      <c r="D40" s="1397"/>
    </row>
    <row r="41" spans="1:4" x14ac:dyDescent="0.2">
      <c r="A41" s="508"/>
      <c r="B41" s="506" t="str">
        <f t="shared" si="0"/>
        <v/>
      </c>
      <c r="C41" s="1396"/>
      <c r="D41" s="1397"/>
    </row>
    <row r="42" spans="1:4" x14ac:dyDescent="0.2">
      <c r="A42" s="508"/>
      <c r="B42" s="506" t="str">
        <f t="shared" si="0"/>
        <v/>
      </c>
      <c r="C42" s="1396"/>
      <c r="D42" s="1397"/>
    </row>
    <row r="43" spans="1:4" x14ac:dyDescent="0.2">
      <c r="A43" s="508"/>
      <c r="B43" s="506" t="str">
        <f t="shared" si="0"/>
        <v/>
      </c>
      <c r="C43" s="1396"/>
      <c r="D43" s="1397"/>
    </row>
    <row r="44" spans="1:4" x14ac:dyDescent="0.2">
      <c r="A44" s="508"/>
      <c r="B44" s="506" t="str">
        <f t="shared" si="0"/>
        <v/>
      </c>
      <c r="C44" s="1396"/>
      <c r="D44" s="1397"/>
    </row>
    <row r="45" spans="1:4" x14ac:dyDescent="0.2">
      <c r="A45" s="508"/>
      <c r="B45" s="506" t="str">
        <f t="shared" si="0"/>
        <v/>
      </c>
      <c r="C45" s="1396"/>
      <c r="D45" s="1397"/>
    </row>
    <row r="46" spans="1:4" x14ac:dyDescent="0.2">
      <c r="A46" s="508"/>
      <c r="B46" s="506" t="str">
        <f t="shared" si="0"/>
        <v/>
      </c>
      <c r="C46" s="1396"/>
      <c r="D46" s="1397"/>
    </row>
    <row r="47" spans="1:4" x14ac:dyDescent="0.2">
      <c r="A47" s="508"/>
      <c r="B47" s="506" t="str">
        <f t="shared" si="0"/>
        <v/>
      </c>
      <c r="C47" s="1396"/>
      <c r="D47" s="1397"/>
    </row>
    <row r="48" spans="1:4" x14ac:dyDescent="0.2">
      <c r="A48" s="508"/>
      <c r="B48" s="506" t="str">
        <f t="shared" si="0"/>
        <v/>
      </c>
      <c r="C48" s="1396"/>
      <c r="D48" s="1397"/>
    </row>
    <row r="49" spans="1:5" ht="17.25" customHeight="1" thickBot="1" x14ac:dyDescent="0.25">
      <c r="A49" s="509"/>
      <c r="B49" s="506" t="str">
        <f t="shared" si="0"/>
        <v/>
      </c>
      <c r="C49" s="1398"/>
      <c r="D49" s="1399"/>
    </row>
    <row r="50" spans="1:5" ht="15" customHeight="1" x14ac:dyDescent="0.25">
      <c r="A50" s="1464" t="s">
        <v>8641</v>
      </c>
      <c r="B50" s="1464"/>
      <c r="C50" s="1464"/>
      <c r="D50" s="1464"/>
      <c r="E50" s="698"/>
    </row>
  </sheetData>
  <sheetProtection algorithmName="SHA-512" hashValue="Xypb01tdntQtLdI/yr5qDiGhv2HsQYFTb0NeK5nzSijJM2lrAvyqYIG3T2s29HxwaUnipVLFBiXMrvzZG3Yfbg==" saltValue="eyg8y4KgIbgEz/e5vMHMCw==" spinCount="100000" sheet="1" objects="1" scenarios="1" formatColumns="0" formatRows="0" autoFilter="0"/>
  <mergeCells count="57">
    <mergeCell ref="C10:D10"/>
    <mergeCell ref="A11:B11"/>
    <mergeCell ref="C11:D11"/>
    <mergeCell ref="A12:B12"/>
    <mergeCell ref="A1:D1"/>
    <mergeCell ref="A2:D2"/>
    <mergeCell ref="A3:D3"/>
    <mergeCell ref="A5:D5"/>
    <mergeCell ref="A7:B7"/>
    <mergeCell ref="C7:D7"/>
    <mergeCell ref="A4:D4"/>
    <mergeCell ref="A8:B8"/>
    <mergeCell ref="C8:D8"/>
    <mergeCell ref="A9:B9"/>
    <mergeCell ref="C9:D9"/>
    <mergeCell ref="A10:B10"/>
    <mergeCell ref="A19:B19"/>
    <mergeCell ref="A17:B17"/>
    <mergeCell ref="A18:B18"/>
    <mergeCell ref="A22:B22"/>
    <mergeCell ref="A20:B20"/>
    <mergeCell ref="A21:B21"/>
    <mergeCell ref="C6:D6"/>
    <mergeCell ref="A6:B6"/>
    <mergeCell ref="A50:D50"/>
    <mergeCell ref="A26:B26"/>
    <mergeCell ref="A27:B27"/>
    <mergeCell ref="A28:B28"/>
    <mergeCell ref="A30:D30"/>
    <mergeCell ref="A13:D13"/>
    <mergeCell ref="A29:D29"/>
    <mergeCell ref="A24:B24"/>
    <mergeCell ref="A25:B25"/>
    <mergeCell ref="C12:D12"/>
    <mergeCell ref="A14:D14"/>
    <mergeCell ref="A15:B15"/>
    <mergeCell ref="A23:B23"/>
    <mergeCell ref="A16:B16"/>
    <mergeCell ref="C31:D31"/>
    <mergeCell ref="C32:D32"/>
    <mergeCell ref="C33:D33"/>
    <mergeCell ref="C34:D34"/>
    <mergeCell ref="C35:D35"/>
    <mergeCell ref="C36:D36"/>
    <mergeCell ref="C37:D37"/>
    <mergeCell ref="C38:D38"/>
    <mergeCell ref="C39:D39"/>
    <mergeCell ref="C40:D40"/>
    <mergeCell ref="C46:D46"/>
    <mergeCell ref="C47:D47"/>
    <mergeCell ref="C48:D48"/>
    <mergeCell ref="C49:D49"/>
    <mergeCell ref="C41:D41"/>
    <mergeCell ref="C42:D42"/>
    <mergeCell ref="C43:D43"/>
    <mergeCell ref="C44:D44"/>
    <mergeCell ref="C45:D45"/>
  </mergeCells>
  <conditionalFormatting sqref="A16:D22 A10:D12 A24:D30 A31:C49">
    <cfRule type="expression" dxfId="182" priority="6">
      <formula>$C$6="Affected"</formula>
    </cfRule>
  </conditionalFormatting>
  <conditionalFormatting sqref="A19:D19">
    <cfRule type="expression" dxfId="181" priority="5">
      <formula>$C$16="Fixed roof"</formula>
    </cfRule>
  </conditionalFormatting>
  <conditionalFormatting sqref="A21:D21">
    <cfRule type="expression" dxfId="180" priority="1">
      <formula>$C$20="No"</formula>
    </cfRule>
  </conditionalFormatting>
  <conditionalFormatting sqref="A24:D26">
    <cfRule type="expression" dxfId="177" priority="19">
      <formula>OR($C$23="Flare",$C$23="Vapor combustion unit",$C$23="Carbon adsorption system")</formula>
    </cfRule>
  </conditionalFormatting>
  <dataValidations count="18">
    <dataValidation operator="greaterThanOrEqual" allowBlank="1" showInputMessage="1" showErrorMessage="1" prompt="Review Section V of the &quot;Instruction&quot; sheet of this workbook for downwash applicability guidance." sqref="C26" xr:uid="{A4137F5B-113B-47BD-99AB-BCA658C171EC}"/>
    <dataValidation type="list" allowBlank="1" showErrorMessage="1" prompt="select UTM zone" sqref="C10:D10" xr:uid="{79690A0A-A3C1-4EB8-AE4C-E50A714B884D}">
      <formula1>Zones</formula1>
    </dataValidation>
    <dataValidation allowBlank="1" showErrorMessage="1" prompt="enter EPN" sqref="C8:D8" xr:uid="{6043883C-7B07-40D6-8B7B-89B411819893}"/>
    <dataValidation allowBlank="1" showErrorMessage="1" prompt="enter FIN" sqref="C7:D7" xr:uid="{9EF27165-24B7-40AF-9944-37C23C318549}"/>
    <dataValidation type="list" allowBlank="1" showErrorMessage="1" prompt="select one" sqref="C6:D6" xr:uid="{CE4B1F80-8700-43B1-8E64-F2014818621D}">
      <formula1>"Modified,Affected"</formula1>
    </dataValidation>
    <dataValidation type="decimal" allowBlank="1" showErrorMessage="1" error="Value must be between 2,854,000 and 4,059,000 meters." prompt="enter UTM northing in meters" sqref="C12:D12" xr:uid="{DA068EC4-D424-46F3-8C4A-3BECCA018B0A}">
      <formula1>2854000</formula1>
      <formula2>4059000</formula2>
    </dataValidation>
    <dataValidation type="decimal" allowBlank="1" showErrorMessage="1" error="Value must be between 205,000 and 795,000 meters." prompt="enter UTM easting in meters" sqref="C11:D11" xr:uid="{83FFE2A5-CDC7-4BF3-8017-5245883F83BE}">
      <formula1>205000</formula1>
      <formula2>795000</formula2>
    </dataValidation>
    <dataValidation allowBlank="1" showErrorMessage="1" prompt="enter source name" sqref="C9:D9" xr:uid="{F6B5D035-3FE3-4A2C-AAEA-6C746AB742B2}"/>
    <dataValidation allowBlank="1" showErrorMessage="1" prompt="enter maximum vapor pressure (psia)" sqref="C21" xr:uid="{1CCF36AD-21A3-4B33-A139-8BF967CE8D0A}"/>
    <dataValidation type="list" allowBlank="1" showErrorMessage="1" prompt="select one" sqref="C22 C20" xr:uid="{A4470A45-9A0A-4247-9E80-799A5711CFF2}">
      <formula1>"Yes,No"</formula1>
    </dataValidation>
    <dataValidation type="list" allowBlank="1" showErrorMessage="1" prompt="select true vapor pressure range" sqref="C17" xr:uid="{CFEF182E-D710-4CC1-9878-5C2E9B52B724}">
      <formula1>IF($C$16="external floating roof",ExternalTankVP,IF($C$16="internal floating roof",InternalTankVP, FixedTankVP))</formula1>
    </dataValidation>
    <dataValidation type="list" allowBlank="1" showErrorMessage="1" prompt="select tank type" sqref="C16" xr:uid="{16638806-6E9C-497E-B3DE-BC88C45D1BE4}">
      <formula1>"Fixed roof, External floating roof, Internal floating roof"</formula1>
    </dataValidation>
    <dataValidation type="decimal" operator="greaterThanOrEqual" allowBlank="1" showErrorMessage="1" error="The minimum distance to the property line is 50 feet." prompt="enter distance to property line (ft)" sqref="C24" xr:uid="{A95D5C77-D0CE-42CA-9F7A-E88802E3DD65}">
      <formula1>50</formula1>
    </dataValidation>
    <dataValidation type="decimal" operator="greaterThanOrEqual" allowBlank="1" showErrorMessage="1" error="Minimum release height is 3 feet." prompt="enter release height (ft)" sqref="C25" xr:uid="{5E3411C6-BA18-491C-BA8F-0D776E9A7060}">
      <formula1>3</formula1>
    </dataValidation>
    <dataValidation type="decimal" operator="greaterThanOrEqual" allowBlank="1" showErrorMessage="1" prompt="enter proposed throughput increase (bbl/yr)" sqref="C28" xr:uid="{5E1EECE3-C4D4-44E7-939E-37EB06E27023}">
      <formula1>0</formula1>
    </dataValidation>
    <dataValidation type="decimal" operator="greaterThanOrEqual" allowBlank="1" showErrorMessage="1" prompt="enter currently authorized throughput (bbl/hr)" sqref="C27" xr:uid="{735645EC-89D5-4BDC-B44E-CC2192744BF3}">
      <formula1>0</formula1>
    </dataValidation>
    <dataValidation allowBlank="1" showErrorMessage="1" prompt="enter allowable increase of uncontrolled emissions from this project from this tank (tpy)" sqref="C32:D49" xr:uid="{81D73B60-2958-49CD-9077-28DB6615E1A6}"/>
    <dataValidation allowBlank="1" showErrorMessage="1" prompt="select or enter the cas number" sqref="A33:A49" xr:uid="{35330164-96DA-4514-8CC2-6CAC705071FB}"/>
  </dataValidations>
  <printOptions horizontalCentered="1"/>
  <pageMargins left="0.7" right="0.7" top="0.75" bottom="0.75" header="0.3" footer="0.3"/>
  <pageSetup scale="61" orientation="portrait" r:id="rId1"/>
  <headerFooter>
    <oddHeader>&amp;C&amp;"Arial,Regular"Tanks and Loading Increases RAP Application</oddHeader>
    <oddFooter>&amp;LVersion 3.0&amp;CSheet: &amp;A&amp;RPage &amp;P</oddFooter>
  </headerFooter>
  <rowBreaks count="1" manualBreakCount="1">
    <brk id="29" max="3" man="1"/>
  </rowBreaks>
  <extLst>
    <ext xmlns:x14="http://schemas.microsoft.com/office/spreadsheetml/2009/9/main" uri="{78C0D931-6437-407d-A8EE-F0AAD7539E65}">
      <x14:conditionalFormattings>
        <x14:conditionalFormatting xmlns:xm="http://schemas.microsoft.com/office/excel/2006/main">
          <x14:cfRule type="expression" priority="481" id="{98C62818-EC0D-4B3D-86E1-F8B038BCCD29}">
            <xm:f>NOT(OR('PI-1-TankLoading'!$G$102=4,'PI-1-TankLoading'!$G$102=5,'PI-1-TankLoading'!$G$102=""))</xm:f>
            <x14:dxf>
              <font>
                <color theme="0" tint="-0.24994659260841701"/>
              </font>
              <numFmt numFmtId="171" formatCode=";;;"/>
              <fill>
                <patternFill>
                  <bgColor theme="0" tint="-0.499984740745262"/>
                </patternFill>
              </fill>
              <border>
                <left/>
                <right/>
                <top/>
                <bottom/>
                <vertical/>
                <horizontal/>
              </border>
            </x14:dxf>
          </x14:cfRule>
          <xm:sqref>A1:D50</xm:sqref>
        </x14:conditionalFormatting>
        <x14:conditionalFormatting xmlns:xm="http://schemas.microsoft.com/office/excel/2006/main">
          <x14:cfRule type="expression" priority="9" stopIfTrue="1" id="{77CB78E1-CB3F-45FC-B75B-719127839457}">
            <xm:f>'Hidden Inputs'!$BR$5</xm:f>
            <x14:dxf>
              <font>
                <color theme="0" tint="-0.499984740745262"/>
              </font>
              <numFmt numFmtId="171" formatCode=";;;"/>
              <fill>
                <patternFill>
                  <bgColor theme="0" tint="-0.499984740745262"/>
                </patternFill>
              </fill>
              <border>
                <left/>
                <right/>
                <top/>
                <bottom/>
              </border>
            </x14:dxf>
          </x14:cfRule>
          <xm:sqref>A2:D20 A22:D30 A31:C49</xm:sqref>
        </x14:conditionalFormatting>
        <x14:conditionalFormatting xmlns:xm="http://schemas.microsoft.com/office/excel/2006/main">
          <x14:cfRule type="expression" priority="3" stopIfTrue="1" id="{6AC14AEB-014B-412D-85DB-D47529BD6ADB}">
            <xm:f>'Hidden Inputs'!$BR$5</xm:f>
            <x14:dxf>
              <font>
                <color theme="0" tint="-0.499984740745262"/>
              </font>
              <numFmt numFmtId="171" formatCode=";;;"/>
              <fill>
                <patternFill>
                  <bgColor theme="0" tint="-0.499984740745262"/>
                </patternFill>
              </fill>
              <border>
                <left/>
                <right/>
                <top/>
                <bottom/>
              </border>
            </x14:dxf>
          </x14:cfRule>
          <x14:cfRule type="expression" priority="4" stopIfTrue="1" id="{AE47D427-E7C8-436B-9F31-85BA9D82C4AE}">
            <xm:f>NOT(OR('PI-1-TankLoading'!$G$102=1,'PI-1-TankLoading'!$G$102=2,'PI-1-TankLoading'!$G$102=3,'PI-1-TankLoading'!$G$102=4,'PI-1-TankLoading'!$G$102=5,'PI-1-TankLoading'!$G$102=""))</xm:f>
            <x14:dxf>
              <font>
                <color theme="0" tint="-0.24994659260841701"/>
              </font>
              <numFmt numFmtId="171" formatCode=";;;"/>
              <fill>
                <patternFill>
                  <bgColor theme="0" tint="-0.499984740745262"/>
                </patternFill>
              </fill>
              <border>
                <left/>
                <right/>
                <top/>
                <bottom/>
                <vertical/>
                <horizontal/>
              </border>
            </x14:dxf>
          </x14:cfRule>
          <xm:sqref>A21:D21</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ErrorMessage="1" prompt="select capacity" xr:uid="{55F99E3A-1A1E-4560-A185-163DF490C59E}">
          <x14:formula1>
            <xm:f>'Hidden Inputs'!$BB$2:$BC$2</xm:f>
          </x14:formula1>
          <xm:sqref>C18</xm:sqref>
        </x14:dataValidation>
        <x14:dataValidation type="list" allowBlank="1" showErrorMessage="1" prompt="select seal type" xr:uid="{42138C85-90A1-45B0-BFAC-523A61059C1B}">
          <x14:formula1>
            <xm:f>INDIRECT('Hidden Inputs'!$AX$2)</xm:f>
          </x14:formula1>
          <xm:sqref>C19</xm:sqref>
        </x14:dataValidation>
        <x14:dataValidation type="list" allowBlank="1" showErrorMessage="1" prompt="select control device" xr:uid="{9478EE9B-5131-46F9-A94A-D644B00C2B12}">
          <x14:formula1>
            <xm:f>IF(AND('PI-1-TankLoading'!G106="No",'PI-1-TankLoading'!G107="No",'PI-1-TankLoading'!G108="No"),NoControl,IF('PI-1-TankLoading'!D86="Gasoline Terminal",GasTermTankControls,ControlDevices))</xm:f>
          </x14:formula1>
          <xm:sqref>C23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F92AF8-3548-4474-9C1F-E9F7EDBD1A30}">
  <sheetPr codeName="Sheet34">
    <tabColor theme="1"/>
  </sheetPr>
  <dimension ref="A2:C19"/>
  <sheetViews>
    <sheetView workbookViewId="0"/>
  </sheetViews>
  <sheetFormatPr defaultRowHeight="15" x14ac:dyDescent="0.25"/>
  <cols>
    <col min="1" max="1" width="9.7109375" bestFit="1" customWidth="1"/>
  </cols>
  <sheetData>
    <row r="2" spans="1:3" x14ac:dyDescent="0.25">
      <c r="A2" t="s">
        <v>10543</v>
      </c>
      <c r="B2" t="s">
        <v>10544</v>
      </c>
      <c r="C2" t="s">
        <v>8372</v>
      </c>
    </row>
    <row r="3" spans="1:3" x14ac:dyDescent="0.25">
      <c r="A3" s="863">
        <v>44446</v>
      </c>
      <c r="B3" t="s">
        <v>10542</v>
      </c>
      <c r="C3" t="s">
        <v>10545</v>
      </c>
    </row>
    <row r="4" spans="1:3" x14ac:dyDescent="0.25">
      <c r="C4" t="s">
        <v>10552</v>
      </c>
    </row>
    <row r="5" spans="1:3" x14ac:dyDescent="0.25">
      <c r="C5" t="s">
        <v>10564</v>
      </c>
    </row>
    <row r="6" spans="1:3" x14ac:dyDescent="0.25">
      <c r="C6" t="s">
        <v>10563</v>
      </c>
    </row>
    <row r="7" spans="1:3" x14ac:dyDescent="0.25">
      <c r="C7" t="s">
        <v>10553</v>
      </c>
    </row>
    <row r="8" spans="1:3" x14ac:dyDescent="0.25">
      <c r="C8" t="s">
        <v>10554</v>
      </c>
    </row>
    <row r="9" spans="1:3" x14ac:dyDescent="0.25">
      <c r="C9" t="s">
        <v>10558</v>
      </c>
    </row>
    <row r="10" spans="1:3" x14ac:dyDescent="0.25">
      <c r="C10" t="s">
        <v>10556</v>
      </c>
    </row>
    <row r="11" spans="1:3" x14ac:dyDescent="0.25">
      <c r="C11" t="s">
        <v>10561</v>
      </c>
    </row>
    <row r="12" spans="1:3" x14ac:dyDescent="0.25">
      <c r="C12" t="s">
        <v>10560</v>
      </c>
    </row>
    <row r="13" spans="1:3" x14ac:dyDescent="0.25">
      <c r="C13" t="s">
        <v>10559</v>
      </c>
    </row>
    <row r="14" spans="1:3" x14ac:dyDescent="0.25">
      <c r="C14" t="s">
        <v>10565</v>
      </c>
    </row>
    <row r="15" spans="1:3" x14ac:dyDescent="0.25">
      <c r="C15" t="s">
        <v>10566</v>
      </c>
    </row>
    <row r="16" spans="1:3" x14ac:dyDescent="0.25">
      <c r="A16" s="863">
        <v>44673</v>
      </c>
      <c r="B16" t="s">
        <v>10608</v>
      </c>
      <c r="C16" t="s">
        <v>10611</v>
      </c>
    </row>
    <row r="17" spans="3:3" x14ac:dyDescent="0.25">
      <c r="C17" t="s">
        <v>10609</v>
      </c>
    </row>
    <row r="18" spans="3:3" x14ac:dyDescent="0.25">
      <c r="C18" t="s">
        <v>10610</v>
      </c>
    </row>
    <row r="19" spans="3:3" x14ac:dyDescent="0.25">
      <c r="C19" t="s">
        <v>10618</v>
      </c>
    </row>
  </sheetData>
  <sheetProtection algorithmName="SHA-512" hashValue="xK7DAcP7Gs/tP5W4jn+MWlCAPb3nlc4UaGy5B3WjgDTk6bPALTCmu1r2vKdpPo0z9e5ymz4B79MIFP2hvkCG6w==" saltValue="6jyzdHxnOKbIfNIdkVh2Eg==" spinCount="100000" sheet="1" objects="1" scenarios="1" formatColumns="0" formatRows="0" autoFilter="0"/>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CC88C-AC28-4B88-8D52-6E47A5D6C1FE}">
  <sheetPr codeName="Sheet11">
    <tabColor rgb="FFFFFFCC"/>
  </sheetPr>
  <dimension ref="A1:F50"/>
  <sheetViews>
    <sheetView workbookViewId="0">
      <selection sqref="A1:D1"/>
    </sheetView>
  </sheetViews>
  <sheetFormatPr defaultColWidth="0" defaultRowHeight="14.25" zeroHeight="1" x14ac:dyDescent="0.25"/>
  <cols>
    <col min="1" max="1" width="20.7109375" style="466" customWidth="1"/>
    <col min="2" max="2" width="60.7109375" style="466" customWidth="1"/>
    <col min="3" max="3" width="39.28515625" style="466" customWidth="1"/>
    <col min="4" max="4" width="28.28515625" style="466" customWidth="1"/>
    <col min="5" max="6" width="13.28515625" style="466" hidden="1" customWidth="1"/>
    <col min="7" max="16384" width="44.5703125" style="466" hidden="1"/>
  </cols>
  <sheetData>
    <row r="1" spans="1:4" ht="6" customHeight="1" thickBot="1" x14ac:dyDescent="0.3">
      <c r="A1" s="1428" t="s">
        <v>8392</v>
      </c>
      <c r="B1" s="1428"/>
      <c r="C1" s="1428"/>
      <c r="D1" s="1428"/>
    </row>
    <row r="2" spans="1:4" ht="18.75" thickBot="1" x14ac:dyDescent="0.3">
      <c r="A2" s="1437" t="s">
        <v>8362</v>
      </c>
      <c r="B2" s="1437"/>
      <c r="C2" s="1437"/>
      <c r="D2" s="1438"/>
    </row>
    <row r="3" spans="1:4" ht="131.25" customHeight="1" thickBot="1" x14ac:dyDescent="0.3">
      <c r="A3" s="1448" t="s">
        <v>10286</v>
      </c>
      <c r="B3" s="1430"/>
      <c r="C3" s="1430"/>
      <c r="D3" s="1431"/>
    </row>
    <row r="4" spans="1:4" ht="15" customHeight="1" thickBot="1" x14ac:dyDescent="0.3">
      <c r="A4" s="1414" t="s">
        <v>8567</v>
      </c>
      <c r="B4" s="1414"/>
      <c r="C4" s="1414"/>
      <c r="D4" s="1414"/>
    </row>
    <row r="5" spans="1:4" ht="15" customHeight="1" thickBot="1" x14ac:dyDescent="0.3">
      <c r="A5" s="1411" t="s">
        <v>8575</v>
      </c>
      <c r="B5" s="1412"/>
      <c r="C5" s="1412"/>
      <c r="D5" s="1413"/>
    </row>
    <row r="6" spans="1:4" ht="15" customHeight="1" x14ac:dyDescent="0.25">
      <c r="A6" s="1446" t="s">
        <v>10125</v>
      </c>
      <c r="B6" s="1447"/>
      <c r="C6" s="1444"/>
      <c r="D6" s="1445"/>
    </row>
    <row r="7" spans="1:4" ht="15" customHeight="1" x14ac:dyDescent="0.25">
      <c r="A7" s="1432" t="s">
        <v>8582</v>
      </c>
      <c r="B7" s="1433"/>
      <c r="C7" s="1449"/>
      <c r="D7" s="1440"/>
    </row>
    <row r="8" spans="1:4" ht="15" customHeight="1" x14ac:dyDescent="0.25">
      <c r="A8" s="1434" t="s">
        <v>8583</v>
      </c>
      <c r="B8" s="1435"/>
      <c r="C8" s="1456"/>
      <c r="D8" s="1424"/>
    </row>
    <row r="9" spans="1:4" ht="15" customHeight="1" x14ac:dyDescent="0.25">
      <c r="A9" s="1434" t="s">
        <v>8584</v>
      </c>
      <c r="B9" s="1435"/>
      <c r="C9" s="1456"/>
      <c r="D9" s="1424"/>
    </row>
    <row r="10" spans="1:4" ht="15" customHeight="1" x14ac:dyDescent="0.25">
      <c r="A10" s="1402" t="s">
        <v>8576</v>
      </c>
      <c r="B10" s="1403"/>
      <c r="C10" s="1423"/>
      <c r="D10" s="1424"/>
    </row>
    <row r="11" spans="1:4" ht="15" customHeight="1" x14ac:dyDescent="0.25">
      <c r="A11" s="1402" t="s">
        <v>8577</v>
      </c>
      <c r="B11" s="1403"/>
      <c r="C11" s="1423"/>
      <c r="D11" s="1424"/>
    </row>
    <row r="12" spans="1:4" ht="15" customHeight="1" thickBot="1" x14ac:dyDescent="0.3">
      <c r="A12" s="1406" t="s">
        <v>8578</v>
      </c>
      <c r="B12" s="1407"/>
      <c r="C12" s="1425"/>
      <c r="D12" s="1426"/>
    </row>
    <row r="13" spans="1:4" ht="15" customHeight="1" thickBot="1" x14ac:dyDescent="0.3">
      <c r="A13" s="1415" t="s">
        <v>8567</v>
      </c>
      <c r="B13" s="1415"/>
      <c r="C13" s="1415"/>
      <c r="D13" s="1415"/>
    </row>
    <row r="14" spans="1:4" ht="15" customHeight="1" thickBot="1" x14ac:dyDescent="0.3">
      <c r="A14" s="1411" t="s">
        <v>8581</v>
      </c>
      <c r="B14" s="1412"/>
      <c r="C14" s="1412"/>
      <c r="D14" s="1413"/>
    </row>
    <row r="15" spans="1:4" ht="15" customHeight="1" x14ac:dyDescent="0.25">
      <c r="A15" s="1481" t="s">
        <v>8373</v>
      </c>
      <c r="B15" s="1482"/>
      <c r="C15" s="53" t="s">
        <v>8580</v>
      </c>
      <c r="D15" s="33" t="s">
        <v>8645</v>
      </c>
    </row>
    <row r="16" spans="1:4" ht="15" customHeight="1" x14ac:dyDescent="0.2">
      <c r="A16" s="1450" t="s">
        <v>8700</v>
      </c>
      <c r="B16" s="1451"/>
      <c r="C16" s="496"/>
      <c r="D16" s="497"/>
    </row>
    <row r="17" spans="1:4" ht="15" customHeight="1" x14ac:dyDescent="0.2">
      <c r="A17" s="1452" t="s">
        <v>10256</v>
      </c>
      <c r="B17" s="1451"/>
      <c r="C17" s="496"/>
      <c r="D17" s="497"/>
    </row>
    <row r="18" spans="1:4" ht="15.75" customHeight="1" x14ac:dyDescent="0.2">
      <c r="A18" s="1450" t="s">
        <v>8701</v>
      </c>
      <c r="B18" s="1451"/>
      <c r="C18" s="799"/>
      <c r="D18" s="497"/>
    </row>
    <row r="19" spans="1:4" ht="30" customHeight="1" x14ac:dyDescent="0.2">
      <c r="A19" s="1450" t="s">
        <v>8626</v>
      </c>
      <c r="B19" s="1451"/>
      <c r="C19" s="496"/>
      <c r="D19" s="497"/>
    </row>
    <row r="20" spans="1:4" ht="15" customHeight="1" x14ac:dyDescent="0.2">
      <c r="A20" s="1450" t="s">
        <v>8993</v>
      </c>
      <c r="B20" s="1451"/>
      <c r="C20" s="496"/>
      <c r="D20" s="497"/>
    </row>
    <row r="21" spans="1:4" ht="15" customHeight="1" x14ac:dyDescent="0.2">
      <c r="A21" s="1427" t="s">
        <v>10281</v>
      </c>
      <c r="B21" s="1405"/>
      <c r="C21" s="732"/>
      <c r="D21" s="499"/>
    </row>
    <row r="22" spans="1:4" ht="30" customHeight="1" x14ac:dyDescent="0.2">
      <c r="A22" s="1455" t="s">
        <v>10032</v>
      </c>
      <c r="B22" s="1219"/>
      <c r="C22" s="496"/>
      <c r="D22" s="497"/>
    </row>
    <row r="23" spans="1:4" ht="15" customHeight="1" x14ac:dyDescent="0.2">
      <c r="A23" s="1422" t="s">
        <v>10290</v>
      </c>
      <c r="B23" s="1417"/>
      <c r="C23" s="498"/>
      <c r="D23" s="499"/>
    </row>
    <row r="24" spans="1:4" ht="15" customHeight="1" x14ac:dyDescent="0.2">
      <c r="A24" s="1416" t="s">
        <v>277</v>
      </c>
      <c r="B24" s="1417"/>
      <c r="C24" s="500"/>
      <c r="D24" s="499">
        <v>50</v>
      </c>
    </row>
    <row r="25" spans="1:4" ht="15" customHeight="1" x14ac:dyDescent="0.2">
      <c r="A25" s="1416" t="s">
        <v>4</v>
      </c>
      <c r="B25" s="1417"/>
      <c r="C25" s="500"/>
      <c r="D25" s="499">
        <v>3</v>
      </c>
    </row>
    <row r="26" spans="1:4" ht="15" customHeight="1" x14ac:dyDescent="0.2">
      <c r="A26" s="1453" t="s">
        <v>10117</v>
      </c>
      <c r="B26" s="1454"/>
      <c r="C26" s="501" t="s">
        <v>6</v>
      </c>
      <c r="D26" s="499"/>
    </row>
    <row r="27" spans="1:4" ht="15" customHeight="1" x14ac:dyDescent="0.2">
      <c r="A27" s="1416" t="s">
        <v>8382</v>
      </c>
      <c r="B27" s="1417"/>
      <c r="C27" s="797"/>
      <c r="D27" s="499"/>
    </row>
    <row r="28" spans="1:4" ht="15" customHeight="1" thickBot="1" x14ac:dyDescent="0.25">
      <c r="A28" s="1418" t="s">
        <v>8632</v>
      </c>
      <c r="B28" s="1419"/>
      <c r="C28" s="798"/>
      <c r="D28" s="504" t="s">
        <v>8592</v>
      </c>
    </row>
    <row r="29" spans="1:4" ht="15" customHeight="1" thickBot="1" x14ac:dyDescent="0.3">
      <c r="A29" s="1414" t="s">
        <v>8567</v>
      </c>
      <c r="B29" s="1414"/>
      <c r="C29" s="1414"/>
      <c r="D29" s="1414"/>
    </row>
    <row r="30" spans="1:4" ht="15" customHeight="1" thickBot="1" x14ac:dyDescent="0.3">
      <c r="A30" s="1248" t="s">
        <v>10276</v>
      </c>
      <c r="B30" s="1249"/>
      <c r="C30" s="1249"/>
      <c r="D30" s="1250"/>
    </row>
    <row r="31" spans="1:4" ht="45" customHeight="1" x14ac:dyDescent="0.25">
      <c r="A31" s="441" t="s">
        <v>8353</v>
      </c>
      <c r="B31" s="487" t="s">
        <v>2</v>
      </c>
      <c r="C31" s="1400" t="s">
        <v>10171</v>
      </c>
      <c r="D31" s="1401"/>
    </row>
    <row r="32" spans="1:4" x14ac:dyDescent="0.2">
      <c r="A32" s="505" t="s">
        <v>3</v>
      </c>
      <c r="B32" s="506" t="s">
        <v>10118</v>
      </c>
      <c r="C32" s="1396"/>
      <c r="D32" s="1397"/>
    </row>
    <row r="33" spans="1:4" x14ac:dyDescent="0.2">
      <c r="A33" s="508"/>
      <c r="B33" s="506" t="str">
        <f t="shared" ref="B33:B49" si="0">IFERROR(VLOOKUP(A33, SpeciesDataTable,2,FALSE),"")</f>
        <v/>
      </c>
      <c r="C33" s="1396"/>
      <c r="D33" s="1397"/>
    </row>
    <row r="34" spans="1:4" x14ac:dyDescent="0.2">
      <c r="A34" s="508"/>
      <c r="B34" s="506" t="str">
        <f t="shared" si="0"/>
        <v/>
      </c>
      <c r="C34" s="1396"/>
      <c r="D34" s="1397"/>
    </row>
    <row r="35" spans="1:4" x14ac:dyDescent="0.2">
      <c r="A35" s="508"/>
      <c r="B35" s="506" t="str">
        <f t="shared" si="0"/>
        <v/>
      </c>
      <c r="C35" s="1396"/>
      <c r="D35" s="1397"/>
    </row>
    <row r="36" spans="1:4" x14ac:dyDescent="0.2">
      <c r="A36" s="508"/>
      <c r="B36" s="506" t="str">
        <f t="shared" si="0"/>
        <v/>
      </c>
      <c r="C36" s="1396"/>
      <c r="D36" s="1397"/>
    </row>
    <row r="37" spans="1:4" x14ac:dyDescent="0.2">
      <c r="A37" s="508"/>
      <c r="B37" s="506" t="str">
        <f t="shared" si="0"/>
        <v/>
      </c>
      <c r="C37" s="1396"/>
      <c r="D37" s="1397"/>
    </row>
    <row r="38" spans="1:4" x14ac:dyDescent="0.2">
      <c r="A38" s="508"/>
      <c r="B38" s="506" t="str">
        <f t="shared" si="0"/>
        <v/>
      </c>
      <c r="C38" s="1396"/>
      <c r="D38" s="1397"/>
    </row>
    <row r="39" spans="1:4" x14ac:dyDescent="0.2">
      <c r="A39" s="508"/>
      <c r="B39" s="506" t="str">
        <f t="shared" si="0"/>
        <v/>
      </c>
      <c r="C39" s="1396"/>
      <c r="D39" s="1397"/>
    </row>
    <row r="40" spans="1:4" x14ac:dyDescent="0.2">
      <c r="A40" s="508"/>
      <c r="B40" s="506" t="str">
        <f t="shared" si="0"/>
        <v/>
      </c>
      <c r="C40" s="1396"/>
      <c r="D40" s="1397"/>
    </row>
    <row r="41" spans="1:4" x14ac:dyDescent="0.2">
      <c r="A41" s="508"/>
      <c r="B41" s="506" t="str">
        <f t="shared" si="0"/>
        <v/>
      </c>
      <c r="C41" s="1396"/>
      <c r="D41" s="1397"/>
    </row>
    <row r="42" spans="1:4" x14ac:dyDescent="0.2">
      <c r="A42" s="508"/>
      <c r="B42" s="506" t="str">
        <f t="shared" si="0"/>
        <v/>
      </c>
      <c r="C42" s="1396"/>
      <c r="D42" s="1397"/>
    </row>
    <row r="43" spans="1:4" x14ac:dyDescent="0.2">
      <c r="A43" s="508"/>
      <c r="B43" s="506" t="str">
        <f t="shared" si="0"/>
        <v/>
      </c>
      <c r="C43" s="1396"/>
      <c r="D43" s="1397"/>
    </row>
    <row r="44" spans="1:4" x14ac:dyDescent="0.2">
      <c r="A44" s="508"/>
      <c r="B44" s="506" t="str">
        <f t="shared" si="0"/>
        <v/>
      </c>
      <c r="C44" s="1396"/>
      <c r="D44" s="1397"/>
    </row>
    <row r="45" spans="1:4" x14ac:dyDescent="0.2">
      <c r="A45" s="508"/>
      <c r="B45" s="506" t="str">
        <f t="shared" si="0"/>
        <v/>
      </c>
      <c r="C45" s="1396"/>
      <c r="D45" s="1397"/>
    </row>
    <row r="46" spans="1:4" x14ac:dyDescent="0.2">
      <c r="A46" s="508"/>
      <c r="B46" s="506" t="str">
        <f t="shared" si="0"/>
        <v/>
      </c>
      <c r="C46" s="1396"/>
      <c r="D46" s="1397"/>
    </row>
    <row r="47" spans="1:4" x14ac:dyDescent="0.2">
      <c r="A47" s="508"/>
      <c r="B47" s="506" t="str">
        <f t="shared" si="0"/>
        <v/>
      </c>
      <c r="C47" s="1396"/>
      <c r="D47" s="1397"/>
    </row>
    <row r="48" spans="1:4" x14ac:dyDescent="0.2">
      <c r="A48" s="508"/>
      <c r="B48" s="506" t="str">
        <f t="shared" si="0"/>
        <v/>
      </c>
      <c r="C48" s="1396"/>
      <c r="D48" s="1397"/>
    </row>
    <row r="49" spans="1:5" ht="15.75" customHeight="1" thickBot="1" x14ac:dyDescent="0.25">
      <c r="A49" s="509"/>
      <c r="B49" s="724" t="str">
        <f t="shared" si="0"/>
        <v/>
      </c>
      <c r="C49" s="1398"/>
      <c r="D49" s="1399"/>
    </row>
    <row r="50" spans="1:5" ht="15" customHeight="1" x14ac:dyDescent="0.25">
      <c r="A50" s="1464" t="s">
        <v>8641</v>
      </c>
      <c r="B50" s="1464"/>
      <c r="C50" s="1464"/>
      <c r="D50" s="1464"/>
      <c r="E50" s="698"/>
    </row>
  </sheetData>
  <sheetProtection algorithmName="SHA-512" hashValue="crnMt+p2CJzjwE50tryT1i1KKjuudkJOMZ1Jm0hkIfDxcZgIBijrBJMprddSXRaqC6udf3Dq9edZsHitohq+rw==" saltValue="GyJTYkbTUS7oBlKlcMwMfQ==" spinCount="100000" sheet="1" objects="1" scenarios="1" formatColumns="0" formatRows="0" autoFilter="0"/>
  <mergeCells count="57">
    <mergeCell ref="C10:D10"/>
    <mergeCell ref="A11:B11"/>
    <mergeCell ref="C11:D11"/>
    <mergeCell ref="A12:B12"/>
    <mergeCell ref="A1:D1"/>
    <mergeCell ref="A2:D2"/>
    <mergeCell ref="A3:D3"/>
    <mergeCell ref="A5:D5"/>
    <mergeCell ref="A7:B7"/>
    <mergeCell ref="C7:D7"/>
    <mergeCell ref="A4:D4"/>
    <mergeCell ref="A8:B8"/>
    <mergeCell ref="C8:D8"/>
    <mergeCell ref="A9:B9"/>
    <mergeCell ref="C9:D9"/>
    <mergeCell ref="A10:B10"/>
    <mergeCell ref="A19:B19"/>
    <mergeCell ref="A17:B17"/>
    <mergeCell ref="A18:B18"/>
    <mergeCell ref="A20:B20"/>
    <mergeCell ref="A22:B22"/>
    <mergeCell ref="A21:B21"/>
    <mergeCell ref="C6:D6"/>
    <mergeCell ref="A6:B6"/>
    <mergeCell ref="A28:B28"/>
    <mergeCell ref="A30:D30"/>
    <mergeCell ref="A50:D50"/>
    <mergeCell ref="A13:D13"/>
    <mergeCell ref="A29:D29"/>
    <mergeCell ref="A24:B24"/>
    <mergeCell ref="A25:B25"/>
    <mergeCell ref="A26:B26"/>
    <mergeCell ref="A27:B27"/>
    <mergeCell ref="C12:D12"/>
    <mergeCell ref="A14:D14"/>
    <mergeCell ref="A15:B15"/>
    <mergeCell ref="A23:B23"/>
    <mergeCell ref="A16:B16"/>
    <mergeCell ref="C31:D31"/>
    <mergeCell ref="C32:D32"/>
    <mergeCell ref="C33:D33"/>
    <mergeCell ref="C34:D34"/>
    <mergeCell ref="C35:D35"/>
    <mergeCell ref="C36:D36"/>
    <mergeCell ref="C37:D37"/>
    <mergeCell ref="C38:D38"/>
    <mergeCell ref="C39:D39"/>
    <mergeCell ref="C40:D40"/>
    <mergeCell ref="C46:D46"/>
    <mergeCell ref="C47:D47"/>
    <mergeCell ref="C48:D48"/>
    <mergeCell ref="C49:D49"/>
    <mergeCell ref="C41:D41"/>
    <mergeCell ref="C42:D42"/>
    <mergeCell ref="C43:D43"/>
    <mergeCell ref="C44:D44"/>
    <mergeCell ref="C45:D45"/>
  </mergeCells>
  <conditionalFormatting sqref="A16:D22 A10:D12 A24:D30 A31:C49">
    <cfRule type="expression" dxfId="174" priority="6">
      <formula>$C$6="Affected"</formula>
    </cfRule>
  </conditionalFormatting>
  <conditionalFormatting sqref="A19:D19">
    <cfRule type="expression" dxfId="173" priority="5">
      <formula>$C$16="Fixed roof"</formula>
    </cfRule>
  </conditionalFormatting>
  <conditionalFormatting sqref="A21:D21">
    <cfRule type="expression" dxfId="172" priority="1">
      <formula>$C$20="No"</formula>
    </cfRule>
  </conditionalFormatting>
  <conditionalFormatting sqref="A24:D26">
    <cfRule type="expression" dxfId="169" priority="13">
      <formula>OR($C$23="Flare",$C$23="Vapor combustion unit",$C$23="Carbon adsorption system")</formula>
    </cfRule>
  </conditionalFormatting>
  <dataValidations count="18">
    <dataValidation operator="greaterThanOrEqual" allowBlank="1" showInputMessage="1" showErrorMessage="1" prompt="Review Section V of the &quot;Instruction&quot; sheet of this workbook for downwash applicability guidance." sqref="C26" xr:uid="{F3FDD500-D088-4362-8570-6464565D5FE9}"/>
    <dataValidation type="list" allowBlank="1" showErrorMessage="1" prompt="select UTM zone" sqref="C10:D10" xr:uid="{F8172B71-8EE1-4960-A33B-FA4053654616}">
      <formula1>Zones</formula1>
    </dataValidation>
    <dataValidation allowBlank="1" showErrorMessage="1" prompt="enter EPN" sqref="C8:D8" xr:uid="{469485F4-0F11-4D7A-AC43-0F547958DB3B}"/>
    <dataValidation allowBlank="1" showErrorMessage="1" prompt="enter FIN" sqref="C7:D7" xr:uid="{5C4AD1DC-6E7C-40EC-809C-B1E5B1C6E568}"/>
    <dataValidation type="list" allowBlank="1" showErrorMessage="1" prompt="select one" sqref="C6:D6" xr:uid="{4D7A048C-F45C-4AB3-ABC3-78255169BEE5}">
      <formula1>"Modified,Affected"</formula1>
    </dataValidation>
    <dataValidation type="decimal" allowBlank="1" showErrorMessage="1" error="Value must be between 2,854,000 and 4,059,000 meters." prompt="enter UTM northing in meters" sqref="C12:D12" xr:uid="{79519821-E9B1-47EB-BCEE-23CB3A76CC7A}">
      <formula1>2854000</formula1>
      <formula2>4059000</formula2>
    </dataValidation>
    <dataValidation type="decimal" allowBlank="1" showErrorMessage="1" error="Value must be between 205,000 and 795,000 meters." prompt="enter UTM easting in meters" sqref="C11:D11" xr:uid="{D963CBB5-0D55-4415-895E-D64EB1C499D3}">
      <formula1>205000</formula1>
      <formula2>795000</formula2>
    </dataValidation>
    <dataValidation allowBlank="1" showErrorMessage="1" prompt="enter source name" sqref="C9:D9" xr:uid="{83DC65F6-0058-4EBB-AC01-F82F0497EEBA}"/>
    <dataValidation allowBlank="1" showErrorMessage="1" prompt="enter maximum vapor pressure (psia)" sqref="C21" xr:uid="{5DA7427F-CEE8-4782-B87A-71D010A48568}"/>
    <dataValidation type="list" allowBlank="1" showErrorMessage="1" prompt="select one" sqref="C22 C20" xr:uid="{36020CFC-AD80-4DAA-8F93-6F35E278D578}">
      <formula1>"Yes,No"</formula1>
    </dataValidation>
    <dataValidation type="list" allowBlank="1" showErrorMessage="1" prompt="select true vapor pressure range" sqref="C17" xr:uid="{545222BB-3D84-40DB-94FA-AD5483CBC076}">
      <formula1>IF($C$16="external floating roof",ExternalTankVP,IF($C$16="internal floating roof",InternalTankVP, FixedTankVP))</formula1>
    </dataValidation>
    <dataValidation type="list" allowBlank="1" showErrorMessage="1" prompt="select tank type" sqref="C16" xr:uid="{44792EF6-728A-43C3-BD0E-4C5BE4F93CA0}">
      <formula1>"Fixed roof, External floating roof, Internal floating roof"</formula1>
    </dataValidation>
    <dataValidation type="decimal" operator="greaterThanOrEqual" allowBlank="1" showErrorMessage="1" error="The minimum distance to the property line is 50 feet." prompt="enter distance to property line (ft)" sqref="C24" xr:uid="{FE1C3AA3-CA90-4FF6-B720-16F78330E020}">
      <formula1>50</formula1>
    </dataValidation>
    <dataValidation type="decimal" operator="greaterThanOrEqual" allowBlank="1" showErrorMessage="1" error="Minimum release height is 3 feet." prompt="enter release height (ft)" sqref="C25" xr:uid="{607F8D7A-29EA-43EE-8E69-2575F150FA04}">
      <formula1>3</formula1>
    </dataValidation>
    <dataValidation type="decimal" operator="greaterThanOrEqual" allowBlank="1" showErrorMessage="1" prompt="enter proposed throughput increase (bbl/yr)" sqref="C28" xr:uid="{93387CD7-09F4-490B-AF6A-A681D754CD8F}">
      <formula1>0</formula1>
    </dataValidation>
    <dataValidation type="decimal" operator="greaterThanOrEqual" allowBlank="1" showErrorMessage="1" prompt="enter currently authorized throughput (bbl/hr)" sqref="C27" xr:uid="{5EDA54BE-11FC-4A02-BB79-4E97D1BB76F6}">
      <formula1>0</formula1>
    </dataValidation>
    <dataValidation allowBlank="1" showErrorMessage="1" prompt="enter allowable increase of uncontrolled emissions from this project from this tank (tpy)" sqref="C32:D49" xr:uid="{37E85A75-17D9-4FB3-8E5A-133283847C4C}"/>
    <dataValidation allowBlank="1" showErrorMessage="1" prompt="select or enter the cas number" sqref="A33:A49" xr:uid="{B4C0C424-3613-4E38-8E4D-FF2FD177D2B4}"/>
  </dataValidations>
  <printOptions horizontalCentered="1"/>
  <pageMargins left="0.7" right="0.7" top="0.75" bottom="0.75" header="0.3" footer="0.3"/>
  <pageSetup scale="61" orientation="portrait" r:id="rId1"/>
  <headerFooter>
    <oddHeader>&amp;C&amp;"Arial,Regular"Tanks and Loading Increases RAP Application</oddHeader>
    <oddFooter>&amp;LVersion 3.0&amp;CSheet: &amp;A&amp;RPage &amp;P</oddFooter>
  </headerFooter>
  <rowBreaks count="1" manualBreakCount="1">
    <brk id="29" max="3" man="1"/>
  </rowBreaks>
  <extLst>
    <ext xmlns:x14="http://schemas.microsoft.com/office/spreadsheetml/2009/9/main" uri="{78C0D931-6437-407d-A8EE-F0AAD7539E65}">
      <x14:conditionalFormattings>
        <x14:conditionalFormatting xmlns:xm="http://schemas.microsoft.com/office/excel/2006/main">
          <x14:cfRule type="expression" priority="482" id="{9180D695-FAD7-43F0-A565-FB7A9EA27162}">
            <xm:f>NOT(OR('PI-1-TankLoading'!$G$102=5,'PI-1-TankLoading'!$G$102=""))</xm:f>
            <x14:dxf>
              <font>
                <color theme="0" tint="-0.24994659260841701"/>
              </font>
              <numFmt numFmtId="171" formatCode=";;;"/>
              <fill>
                <patternFill>
                  <bgColor theme="0" tint="-0.499984740745262"/>
                </patternFill>
              </fill>
              <border>
                <left/>
                <right/>
                <top/>
                <bottom/>
              </border>
            </x14:dxf>
          </x14:cfRule>
          <xm:sqref>A1:D50</xm:sqref>
        </x14:conditionalFormatting>
        <x14:conditionalFormatting xmlns:xm="http://schemas.microsoft.com/office/excel/2006/main">
          <x14:cfRule type="expression" priority="7" stopIfTrue="1" id="{1D7CCFC8-B02D-4326-9E55-C33A17105158}">
            <xm:f>'Hidden Inputs'!$BR$5</xm:f>
            <x14:dxf>
              <font>
                <color theme="0" tint="-0.499984740745262"/>
              </font>
              <numFmt numFmtId="171" formatCode=";;;"/>
              <fill>
                <patternFill>
                  <bgColor theme="0" tint="-0.499984740745262"/>
                </patternFill>
              </fill>
              <border>
                <left/>
                <right/>
                <top/>
                <bottom/>
              </border>
            </x14:dxf>
          </x14:cfRule>
          <xm:sqref>A2:D20 A22:D30 A31:C49</xm:sqref>
        </x14:conditionalFormatting>
        <x14:conditionalFormatting xmlns:xm="http://schemas.microsoft.com/office/excel/2006/main">
          <x14:cfRule type="expression" priority="3" stopIfTrue="1" id="{8A3BA0F4-19C6-4AC3-9407-31B4622CDBB1}">
            <xm:f>'Hidden Inputs'!$BR$5</xm:f>
            <x14:dxf>
              <font>
                <color theme="0" tint="-0.499984740745262"/>
              </font>
              <numFmt numFmtId="171" formatCode=";;;"/>
              <fill>
                <patternFill>
                  <bgColor theme="0" tint="-0.499984740745262"/>
                </patternFill>
              </fill>
              <border>
                <left/>
                <right/>
                <top/>
                <bottom/>
              </border>
            </x14:dxf>
          </x14:cfRule>
          <x14:cfRule type="expression" priority="4" stopIfTrue="1" id="{992B5F6B-6870-4939-8071-9C31F08C1B3F}">
            <xm:f>NOT(OR('PI-1-TankLoading'!$G$102=1,'PI-1-TankLoading'!$G$102=2,'PI-1-TankLoading'!$G$102=3,'PI-1-TankLoading'!$G$102=4,'PI-1-TankLoading'!$G$102=5,'PI-1-TankLoading'!$G$102=""))</xm:f>
            <x14:dxf>
              <font>
                <color theme="0" tint="-0.24994659260841701"/>
              </font>
              <numFmt numFmtId="171" formatCode=";;;"/>
              <fill>
                <patternFill>
                  <bgColor theme="0" tint="-0.499984740745262"/>
                </patternFill>
              </fill>
              <border>
                <left/>
                <right/>
                <top/>
                <bottom/>
                <vertical/>
                <horizontal/>
              </border>
            </x14:dxf>
          </x14:cfRule>
          <xm:sqref>A21:D21</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ErrorMessage="1" prompt="select capacity" xr:uid="{9F28327E-0F1A-4D62-B211-2C3223973732}">
          <x14:formula1>
            <xm:f>'Hidden Inputs'!$BB$2:$BC$2</xm:f>
          </x14:formula1>
          <xm:sqref>C18</xm:sqref>
        </x14:dataValidation>
        <x14:dataValidation type="list" allowBlank="1" showErrorMessage="1" prompt="select seal type" xr:uid="{C6EC80AA-6F6E-4952-88E2-A9C97D87FB9F}">
          <x14:formula1>
            <xm:f>INDIRECT('Hidden Inputs'!$AX$2)</xm:f>
          </x14:formula1>
          <xm:sqref>C19</xm:sqref>
        </x14:dataValidation>
        <x14:dataValidation type="list" allowBlank="1" showErrorMessage="1" prompt="select control device" xr:uid="{674A75F3-C4B6-4E6E-B507-2633EEA7F40C}">
          <x14:formula1>
            <xm:f>IF(AND('PI-1-TankLoading'!G106="No",'PI-1-TankLoading'!G107="No",'PI-1-TankLoading'!G108="No"),NoControl,IF('PI-1-TankLoading'!D86="Gasoline Terminal",GasTermTankControls,ControlDevices))</xm:f>
          </x14:formula1>
          <xm:sqref>C23</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0A81C-51AF-456B-9129-4F0D2B5B66FC}">
  <sheetPr codeName="Sheet12">
    <tabColor rgb="FFFFFFCC"/>
  </sheetPr>
  <dimension ref="A1:F49"/>
  <sheetViews>
    <sheetView workbookViewId="0">
      <selection sqref="A1:F1"/>
    </sheetView>
  </sheetViews>
  <sheetFormatPr defaultColWidth="0" defaultRowHeight="14.25" zeroHeight="1" x14ac:dyDescent="0.2"/>
  <cols>
    <col min="1" max="1" width="27.140625" style="462" customWidth="1"/>
    <col min="2" max="2" width="45.28515625" style="462" customWidth="1"/>
    <col min="3" max="3" width="29.7109375" style="462" customWidth="1"/>
    <col min="4" max="4" width="30" style="462" bestFit="1" customWidth="1"/>
    <col min="5" max="5" width="26.28515625" style="462" customWidth="1"/>
    <col min="6" max="6" width="24.7109375" style="462" customWidth="1"/>
    <col min="7" max="16384" width="9.140625" style="462" hidden="1"/>
  </cols>
  <sheetData>
    <row r="1" spans="1:6" s="466" customFormat="1" ht="6" customHeight="1" thickBot="1" x14ac:dyDescent="0.3">
      <c r="A1" s="1503" t="s">
        <v>8392</v>
      </c>
      <c r="B1" s="1503"/>
      <c r="C1" s="1503"/>
      <c r="D1" s="1503"/>
      <c r="E1" s="1503"/>
      <c r="F1" s="1503"/>
    </row>
    <row r="2" spans="1:6" s="466" customFormat="1" ht="18.75" thickBot="1" x14ac:dyDescent="0.3">
      <c r="A2" s="1436" t="s">
        <v>8579</v>
      </c>
      <c r="B2" s="1437"/>
      <c r="C2" s="1437"/>
      <c r="D2" s="1437"/>
      <c r="E2" s="1437"/>
      <c r="F2" s="1438"/>
    </row>
    <row r="3" spans="1:6" s="466" customFormat="1" ht="74.25" customHeight="1" thickBot="1" x14ac:dyDescent="0.3">
      <c r="A3" s="1448" t="s">
        <v>10207</v>
      </c>
      <c r="B3" s="1504"/>
      <c r="C3" s="1504"/>
      <c r="D3" s="1504"/>
      <c r="E3" s="1504"/>
      <c r="F3" s="1505"/>
    </row>
    <row r="4" spans="1:6" ht="15.75" customHeight="1" thickBot="1" x14ac:dyDescent="0.25">
      <c r="A4" s="1498" t="s">
        <v>8567</v>
      </c>
      <c r="B4" s="1498"/>
      <c r="C4" s="1498"/>
      <c r="D4" s="1498"/>
      <c r="E4" s="1498"/>
      <c r="F4" s="1498"/>
    </row>
    <row r="5" spans="1:6" ht="15.75" thickBot="1" x14ac:dyDescent="0.25">
      <c r="A5" s="1411" t="s">
        <v>8575</v>
      </c>
      <c r="B5" s="1412"/>
      <c r="C5" s="1412"/>
      <c r="D5" s="1412"/>
      <c r="E5" s="1412"/>
      <c r="F5" s="1413"/>
    </row>
    <row r="6" spans="1:6" ht="15" customHeight="1" x14ac:dyDescent="0.2">
      <c r="A6" s="1508" t="s">
        <v>10125</v>
      </c>
      <c r="B6" s="1509"/>
      <c r="C6" s="1506"/>
      <c r="D6" s="1506"/>
      <c r="E6" s="1506"/>
      <c r="F6" s="1507"/>
    </row>
    <row r="7" spans="1:6" s="466" customFormat="1" ht="15" customHeight="1" x14ac:dyDescent="0.25">
      <c r="A7" s="1434" t="s">
        <v>8582</v>
      </c>
      <c r="B7" s="1435"/>
      <c r="C7" s="1456"/>
      <c r="D7" s="1499"/>
      <c r="E7" s="1499"/>
      <c r="F7" s="1500"/>
    </row>
    <row r="8" spans="1:6" s="466" customFormat="1" x14ac:dyDescent="0.25">
      <c r="A8" s="1434" t="s">
        <v>8583</v>
      </c>
      <c r="B8" s="1435"/>
      <c r="C8" s="1456"/>
      <c r="D8" s="1499"/>
      <c r="E8" s="1499"/>
      <c r="F8" s="1500"/>
    </row>
    <row r="9" spans="1:6" s="466" customFormat="1" x14ac:dyDescent="0.25">
      <c r="A9" s="1434" t="s">
        <v>8584</v>
      </c>
      <c r="B9" s="1435"/>
      <c r="C9" s="1456"/>
      <c r="D9" s="1499"/>
      <c r="E9" s="1499"/>
      <c r="F9" s="1500"/>
    </row>
    <row r="10" spans="1:6" s="466" customFormat="1" x14ac:dyDescent="0.25">
      <c r="A10" s="1493" t="s">
        <v>8576</v>
      </c>
      <c r="B10" s="1403"/>
      <c r="C10" s="1423"/>
      <c r="D10" s="1423"/>
      <c r="E10" s="1423"/>
      <c r="F10" s="1424"/>
    </row>
    <row r="11" spans="1:6" s="466" customFormat="1" x14ac:dyDescent="0.25">
      <c r="A11" s="1493" t="s">
        <v>8577</v>
      </c>
      <c r="B11" s="1403"/>
      <c r="C11" s="1423"/>
      <c r="D11" s="1423"/>
      <c r="E11" s="1423"/>
      <c r="F11" s="1424"/>
    </row>
    <row r="12" spans="1:6" s="466" customFormat="1" ht="15.75" customHeight="1" thickBot="1" x14ac:dyDescent="0.3">
      <c r="A12" s="1494" t="s">
        <v>8578</v>
      </c>
      <c r="B12" s="1407"/>
      <c r="C12" s="1425"/>
      <c r="D12" s="1425"/>
      <c r="E12" s="1425"/>
      <c r="F12" s="1426"/>
    </row>
    <row r="13" spans="1:6" s="466" customFormat="1" ht="15.75" customHeight="1" thickBot="1" x14ac:dyDescent="0.3">
      <c r="A13" s="1498" t="s">
        <v>8567</v>
      </c>
      <c r="B13" s="1498"/>
      <c r="C13" s="1498"/>
      <c r="D13" s="1498"/>
      <c r="E13" s="1498"/>
      <c r="F13" s="1498"/>
    </row>
    <row r="14" spans="1:6" s="466" customFormat="1" ht="15.75" thickBot="1" x14ac:dyDescent="0.3">
      <c r="A14" s="1344" t="s">
        <v>8581</v>
      </c>
      <c r="B14" s="1345"/>
      <c r="C14" s="1345"/>
      <c r="D14" s="1345"/>
      <c r="E14" s="1345"/>
      <c r="F14" s="1346"/>
    </row>
    <row r="15" spans="1:6" ht="15" x14ac:dyDescent="0.25">
      <c r="A15" s="1420" t="s">
        <v>8735</v>
      </c>
      <c r="B15" s="1421"/>
      <c r="C15" s="53" t="s">
        <v>8580</v>
      </c>
      <c r="D15" s="1421" t="s">
        <v>8645</v>
      </c>
      <c r="E15" s="1421"/>
      <c r="F15" s="1490"/>
    </row>
    <row r="16" spans="1:6" x14ac:dyDescent="0.2">
      <c r="A16" s="1487" t="s">
        <v>277</v>
      </c>
      <c r="B16" s="1485"/>
      <c r="C16" s="498"/>
      <c r="D16" s="1485">
        <v>50</v>
      </c>
      <c r="E16" s="1485"/>
      <c r="F16" s="1486"/>
    </row>
    <row r="17" spans="1:6" x14ac:dyDescent="0.2">
      <c r="A17" s="1487" t="s">
        <v>4</v>
      </c>
      <c r="B17" s="1485"/>
      <c r="C17" s="498"/>
      <c r="D17" s="1485">
        <v>3</v>
      </c>
      <c r="E17" s="1485"/>
      <c r="F17" s="1486"/>
    </row>
    <row r="18" spans="1:6" s="466" customFormat="1" ht="15" thickBot="1" x14ac:dyDescent="0.25">
      <c r="A18" s="1418" t="s">
        <v>8629</v>
      </c>
      <c r="B18" s="1419"/>
      <c r="C18" s="771"/>
      <c r="D18" s="1419"/>
      <c r="E18" s="1419"/>
      <c r="F18" s="1491"/>
    </row>
    <row r="19" spans="1:6" s="466" customFormat="1" ht="15" x14ac:dyDescent="0.25">
      <c r="A19" s="1501" t="s">
        <v>8901</v>
      </c>
      <c r="B19" s="1502"/>
      <c r="C19" s="53" t="s">
        <v>8580</v>
      </c>
      <c r="D19" s="1421" t="s">
        <v>8645</v>
      </c>
      <c r="E19" s="1421"/>
      <c r="F19" s="1490"/>
    </row>
    <row r="20" spans="1:6" x14ac:dyDescent="0.2">
      <c r="A20" s="1487" t="s">
        <v>8355</v>
      </c>
      <c r="B20" s="1485"/>
      <c r="C20" s="507"/>
      <c r="D20" s="1485"/>
      <c r="E20" s="1485"/>
      <c r="F20" s="1486"/>
    </row>
    <row r="21" spans="1:6" s="466" customFormat="1" x14ac:dyDescent="0.2">
      <c r="A21" s="1487" t="s">
        <v>8379</v>
      </c>
      <c r="B21" s="1485"/>
      <c r="C21" s="498"/>
      <c r="D21" s="1485"/>
      <c r="E21" s="1485"/>
      <c r="F21" s="1486"/>
    </row>
    <row r="22" spans="1:6" x14ac:dyDescent="0.2">
      <c r="A22" s="1487" t="s">
        <v>8357</v>
      </c>
      <c r="B22" s="1485"/>
      <c r="C22" s="502"/>
      <c r="D22" s="1488">
        <v>70</v>
      </c>
      <c r="E22" s="1488"/>
      <c r="F22" s="1489"/>
    </row>
    <row r="23" spans="1:6" x14ac:dyDescent="0.2">
      <c r="A23" s="1487" t="s">
        <v>8354</v>
      </c>
      <c r="B23" s="1485"/>
      <c r="C23" s="507"/>
      <c r="D23" s="1485">
        <v>0.5</v>
      </c>
      <c r="E23" s="1485"/>
      <c r="F23" s="1486"/>
    </row>
    <row r="24" spans="1:6" x14ac:dyDescent="0.2">
      <c r="A24" s="1487" t="s">
        <v>8356</v>
      </c>
      <c r="B24" s="1485"/>
      <c r="C24" s="507"/>
      <c r="D24" s="1485"/>
      <c r="E24" s="1485"/>
      <c r="F24" s="1486"/>
    </row>
    <row r="25" spans="1:6" x14ac:dyDescent="0.2">
      <c r="A25" s="1487" t="s">
        <v>10065</v>
      </c>
      <c r="B25" s="1485"/>
      <c r="C25" s="507"/>
      <c r="D25" s="1485"/>
      <c r="E25" s="1485"/>
      <c r="F25" s="1486"/>
    </row>
    <row r="26" spans="1:6" s="466" customFormat="1" x14ac:dyDescent="0.2">
      <c r="A26" s="1487" t="s">
        <v>8382</v>
      </c>
      <c r="B26" s="1485"/>
      <c r="C26" s="797"/>
      <c r="D26" s="1485"/>
      <c r="E26" s="1485"/>
      <c r="F26" s="1486"/>
    </row>
    <row r="27" spans="1:6" s="466" customFormat="1" ht="15" thickBot="1" x14ac:dyDescent="0.25">
      <c r="A27" s="1483" t="s">
        <v>8632</v>
      </c>
      <c r="B27" s="1484"/>
      <c r="C27" s="798"/>
      <c r="D27" s="1496" t="s">
        <v>8592</v>
      </c>
      <c r="E27" s="1496"/>
      <c r="F27" s="1497"/>
    </row>
    <row r="28" spans="1:6" ht="15" thickBot="1" x14ac:dyDescent="0.25">
      <c r="A28" s="1495" t="s">
        <v>8567</v>
      </c>
      <c r="B28" s="1495"/>
      <c r="C28" s="1495"/>
      <c r="D28" s="1495"/>
      <c r="E28" s="1495"/>
      <c r="F28" s="1495"/>
    </row>
    <row r="29" spans="1:6" ht="15.75" thickBot="1" x14ac:dyDescent="0.25">
      <c r="A29" s="1248" t="s">
        <v>8975</v>
      </c>
      <c r="B29" s="1249"/>
      <c r="C29" s="1249"/>
      <c r="D29" s="1249"/>
      <c r="E29" s="1249"/>
      <c r="F29" s="1250"/>
    </row>
    <row r="30" spans="1:6" ht="29.25" customHeight="1" x14ac:dyDescent="0.2">
      <c r="A30" s="699" t="s">
        <v>8353</v>
      </c>
      <c r="B30" s="700" t="s">
        <v>2</v>
      </c>
      <c r="C30" s="701" t="s">
        <v>8383</v>
      </c>
      <c r="D30" s="701" t="s">
        <v>8633</v>
      </c>
      <c r="E30" s="701" t="s">
        <v>8634</v>
      </c>
      <c r="F30" s="702" t="s">
        <v>10061</v>
      </c>
    </row>
    <row r="31" spans="1:6" x14ac:dyDescent="0.2">
      <c r="A31" s="505" t="s">
        <v>3</v>
      </c>
      <c r="B31" s="617" t="s">
        <v>10118</v>
      </c>
      <c r="C31" s="618"/>
      <c r="D31" s="513" t="str">
        <f>IF(C31="","",(((12.46*$C$23*$C$20*$C$24/$C$25)/1000)*C31*42/2000))</f>
        <v/>
      </c>
      <c r="E31" s="513" t="str">
        <f t="shared" ref="E31:E48" si="0">IF(D31="","",(((100-$C$22)/100)*D31))</f>
        <v/>
      </c>
      <c r="F31" s="612" t="str">
        <f>IF(E31="","",D31-E31)</f>
        <v/>
      </c>
    </row>
    <row r="32" spans="1:6" x14ac:dyDescent="0.2">
      <c r="A32" s="508"/>
      <c r="B32" s="514" t="str">
        <f t="shared" ref="B32:B48" si="1">IFERROR(VLOOKUP(A32, SpeciesDataTable,2,FALSE),"")</f>
        <v/>
      </c>
      <c r="C32" s="618"/>
      <c r="D32" s="515" t="str">
        <f t="shared" ref="D32:D48" si="2">IF(C32="","",(((12.46*$C$23*$C$20*$C$24/$C$25)/1000)*C32*42/2000))</f>
        <v/>
      </c>
      <c r="E32" s="515" t="str">
        <f t="shared" si="0"/>
        <v/>
      </c>
      <c r="F32" s="613" t="str">
        <f t="shared" ref="F32:F48" si="3">IF(E32="","",D32-E32)</f>
        <v/>
      </c>
    </row>
    <row r="33" spans="1:6" x14ac:dyDescent="0.2">
      <c r="A33" s="508"/>
      <c r="B33" s="514" t="str">
        <f t="shared" si="1"/>
        <v/>
      </c>
      <c r="C33" s="618"/>
      <c r="D33" s="515" t="str">
        <f t="shared" si="2"/>
        <v/>
      </c>
      <c r="E33" s="515" t="str">
        <f t="shared" si="0"/>
        <v/>
      </c>
      <c r="F33" s="613" t="str">
        <f t="shared" si="3"/>
        <v/>
      </c>
    </row>
    <row r="34" spans="1:6" x14ac:dyDescent="0.2">
      <c r="A34" s="508"/>
      <c r="B34" s="514" t="str">
        <f t="shared" si="1"/>
        <v/>
      </c>
      <c r="C34" s="618"/>
      <c r="D34" s="515" t="str">
        <f t="shared" si="2"/>
        <v/>
      </c>
      <c r="E34" s="515" t="str">
        <f t="shared" si="0"/>
        <v/>
      </c>
      <c r="F34" s="613" t="str">
        <f t="shared" si="3"/>
        <v/>
      </c>
    </row>
    <row r="35" spans="1:6" x14ac:dyDescent="0.2">
      <c r="A35" s="508"/>
      <c r="B35" s="514" t="str">
        <f t="shared" si="1"/>
        <v/>
      </c>
      <c r="C35" s="618"/>
      <c r="D35" s="515" t="str">
        <f t="shared" si="2"/>
        <v/>
      </c>
      <c r="E35" s="515" t="str">
        <f t="shared" si="0"/>
        <v/>
      </c>
      <c r="F35" s="613" t="str">
        <f t="shared" si="3"/>
        <v/>
      </c>
    </row>
    <row r="36" spans="1:6" x14ac:dyDescent="0.2">
      <c r="A36" s="508"/>
      <c r="B36" s="514" t="str">
        <f t="shared" si="1"/>
        <v/>
      </c>
      <c r="C36" s="618"/>
      <c r="D36" s="515" t="str">
        <f t="shared" si="2"/>
        <v/>
      </c>
      <c r="E36" s="515" t="str">
        <f t="shared" si="0"/>
        <v/>
      </c>
      <c r="F36" s="613" t="str">
        <f t="shared" si="3"/>
        <v/>
      </c>
    </row>
    <row r="37" spans="1:6" x14ac:dyDescent="0.2">
      <c r="A37" s="508"/>
      <c r="B37" s="514" t="str">
        <f t="shared" si="1"/>
        <v/>
      </c>
      <c r="C37" s="618"/>
      <c r="D37" s="515" t="str">
        <f t="shared" si="2"/>
        <v/>
      </c>
      <c r="E37" s="515" t="str">
        <f t="shared" si="0"/>
        <v/>
      </c>
      <c r="F37" s="613" t="str">
        <f t="shared" si="3"/>
        <v/>
      </c>
    </row>
    <row r="38" spans="1:6" x14ac:dyDescent="0.2">
      <c r="A38" s="508"/>
      <c r="B38" s="514" t="str">
        <f t="shared" si="1"/>
        <v/>
      </c>
      <c r="C38" s="618"/>
      <c r="D38" s="515" t="str">
        <f t="shared" si="2"/>
        <v/>
      </c>
      <c r="E38" s="515" t="str">
        <f t="shared" si="0"/>
        <v/>
      </c>
      <c r="F38" s="613" t="str">
        <f t="shared" si="3"/>
        <v/>
      </c>
    </row>
    <row r="39" spans="1:6" x14ac:dyDescent="0.2">
      <c r="A39" s="508"/>
      <c r="B39" s="514" t="str">
        <f t="shared" si="1"/>
        <v/>
      </c>
      <c r="C39" s="618"/>
      <c r="D39" s="515" t="str">
        <f t="shared" si="2"/>
        <v/>
      </c>
      <c r="E39" s="515" t="str">
        <f t="shared" si="0"/>
        <v/>
      </c>
      <c r="F39" s="613" t="str">
        <f t="shared" si="3"/>
        <v/>
      </c>
    </row>
    <row r="40" spans="1:6" x14ac:dyDescent="0.2">
      <c r="A40" s="508"/>
      <c r="B40" s="514" t="str">
        <f t="shared" si="1"/>
        <v/>
      </c>
      <c r="C40" s="618"/>
      <c r="D40" s="515" t="str">
        <f t="shared" si="2"/>
        <v/>
      </c>
      <c r="E40" s="515" t="str">
        <f t="shared" si="0"/>
        <v/>
      </c>
      <c r="F40" s="613" t="str">
        <f t="shared" si="3"/>
        <v/>
      </c>
    </row>
    <row r="41" spans="1:6" x14ac:dyDescent="0.2">
      <c r="A41" s="508"/>
      <c r="B41" s="514" t="str">
        <f t="shared" si="1"/>
        <v/>
      </c>
      <c r="C41" s="618"/>
      <c r="D41" s="515" t="str">
        <f t="shared" si="2"/>
        <v/>
      </c>
      <c r="E41" s="515" t="str">
        <f t="shared" si="0"/>
        <v/>
      </c>
      <c r="F41" s="613" t="str">
        <f t="shared" si="3"/>
        <v/>
      </c>
    </row>
    <row r="42" spans="1:6" x14ac:dyDescent="0.2">
      <c r="A42" s="508"/>
      <c r="B42" s="514" t="str">
        <f t="shared" si="1"/>
        <v/>
      </c>
      <c r="C42" s="618"/>
      <c r="D42" s="515" t="str">
        <f t="shared" si="2"/>
        <v/>
      </c>
      <c r="E42" s="515" t="str">
        <f t="shared" si="0"/>
        <v/>
      </c>
      <c r="F42" s="613" t="str">
        <f t="shared" si="3"/>
        <v/>
      </c>
    </row>
    <row r="43" spans="1:6" x14ac:dyDescent="0.2">
      <c r="A43" s="508"/>
      <c r="B43" s="514" t="str">
        <f t="shared" si="1"/>
        <v/>
      </c>
      <c r="C43" s="618"/>
      <c r="D43" s="515" t="str">
        <f t="shared" si="2"/>
        <v/>
      </c>
      <c r="E43" s="515" t="str">
        <f t="shared" si="0"/>
        <v/>
      </c>
      <c r="F43" s="613" t="str">
        <f t="shared" si="3"/>
        <v/>
      </c>
    </row>
    <row r="44" spans="1:6" x14ac:dyDescent="0.2">
      <c r="A44" s="508"/>
      <c r="B44" s="514" t="str">
        <f t="shared" si="1"/>
        <v/>
      </c>
      <c r="C44" s="618"/>
      <c r="D44" s="515" t="str">
        <f t="shared" si="2"/>
        <v/>
      </c>
      <c r="E44" s="515" t="str">
        <f t="shared" si="0"/>
        <v/>
      </c>
      <c r="F44" s="613" t="str">
        <f t="shared" si="3"/>
        <v/>
      </c>
    </row>
    <row r="45" spans="1:6" x14ac:dyDescent="0.2">
      <c r="A45" s="508"/>
      <c r="B45" s="514" t="str">
        <f t="shared" si="1"/>
        <v/>
      </c>
      <c r="C45" s="618"/>
      <c r="D45" s="515" t="str">
        <f t="shared" si="2"/>
        <v/>
      </c>
      <c r="E45" s="515" t="str">
        <f t="shared" si="0"/>
        <v/>
      </c>
      <c r="F45" s="613" t="str">
        <f t="shared" si="3"/>
        <v/>
      </c>
    </row>
    <row r="46" spans="1:6" x14ac:dyDescent="0.2">
      <c r="A46" s="508"/>
      <c r="B46" s="514" t="str">
        <f t="shared" si="1"/>
        <v/>
      </c>
      <c r="C46" s="618"/>
      <c r="D46" s="515" t="str">
        <f t="shared" si="2"/>
        <v/>
      </c>
      <c r="E46" s="515" t="str">
        <f t="shared" si="0"/>
        <v/>
      </c>
      <c r="F46" s="613" t="str">
        <f t="shared" si="3"/>
        <v/>
      </c>
    </row>
    <row r="47" spans="1:6" x14ac:dyDescent="0.2">
      <c r="A47" s="508"/>
      <c r="B47" s="514" t="str">
        <f t="shared" si="1"/>
        <v/>
      </c>
      <c r="C47" s="618"/>
      <c r="D47" s="515" t="str">
        <f>IF(C47="","",(((12.46*$C$23*$C$20*$C$24/$C$25)/1000)*C47*42/2000))</f>
        <v/>
      </c>
      <c r="E47" s="515" t="str">
        <f t="shared" si="0"/>
        <v/>
      </c>
      <c r="F47" s="613" t="str">
        <f t="shared" si="3"/>
        <v/>
      </c>
    </row>
    <row r="48" spans="1:6" ht="15" thickBot="1" x14ac:dyDescent="0.25">
      <c r="A48" s="509"/>
      <c r="B48" s="614" t="str">
        <f t="shared" si="1"/>
        <v/>
      </c>
      <c r="C48" s="619"/>
      <c r="D48" s="615" t="str">
        <f t="shared" si="2"/>
        <v/>
      </c>
      <c r="E48" s="615" t="str">
        <f t="shared" si="0"/>
        <v/>
      </c>
      <c r="F48" s="616" t="str">
        <f t="shared" si="3"/>
        <v/>
      </c>
    </row>
    <row r="49" spans="1:6" x14ac:dyDescent="0.2">
      <c r="A49" s="1492" t="s">
        <v>8641</v>
      </c>
      <c r="B49" s="1492"/>
      <c r="C49" s="1492"/>
      <c r="D49" s="1492"/>
      <c r="E49" s="1492"/>
      <c r="F49" s="1492"/>
    </row>
  </sheetData>
  <sheetProtection algorithmName="SHA-512" hashValue="NzeONrWJofGL9p3zSHuV0WmC6TxJArnztv6g5a9Go6dbEgkl/haHDaAAOYHvaDkBmdPtfcenIFfQ3BPj/Pa/iQ==" saltValue="qBI1FxEBueIM+5tXArQrOw==" spinCount="100000" sheet="1" objects="1" scenarios="1" formatColumns="0" formatRows="0" autoFilter="0"/>
  <mergeCells count="50">
    <mergeCell ref="A1:F1"/>
    <mergeCell ref="A2:F2"/>
    <mergeCell ref="A3:F3"/>
    <mergeCell ref="C6:F6"/>
    <mergeCell ref="C7:F7"/>
    <mergeCell ref="A6:B6"/>
    <mergeCell ref="A7:B7"/>
    <mergeCell ref="A25:B25"/>
    <mergeCell ref="A16:B16"/>
    <mergeCell ref="C11:F11"/>
    <mergeCell ref="C12:F12"/>
    <mergeCell ref="A4:F4"/>
    <mergeCell ref="A5:F5"/>
    <mergeCell ref="C8:F8"/>
    <mergeCell ref="C9:F9"/>
    <mergeCell ref="C10:F10"/>
    <mergeCell ref="A8:B8"/>
    <mergeCell ref="A19:B19"/>
    <mergeCell ref="A49:F49"/>
    <mergeCell ref="A29:F29"/>
    <mergeCell ref="A10:B10"/>
    <mergeCell ref="A11:B11"/>
    <mergeCell ref="A12:B12"/>
    <mergeCell ref="A23:B23"/>
    <mergeCell ref="A20:B20"/>
    <mergeCell ref="A24:B24"/>
    <mergeCell ref="A17:B17"/>
    <mergeCell ref="A18:B18"/>
    <mergeCell ref="A28:F28"/>
    <mergeCell ref="A26:B26"/>
    <mergeCell ref="D26:F26"/>
    <mergeCell ref="D27:F27"/>
    <mergeCell ref="A13:F13"/>
    <mergeCell ref="A14:F14"/>
    <mergeCell ref="A27:B27"/>
    <mergeCell ref="D25:F25"/>
    <mergeCell ref="A22:B22"/>
    <mergeCell ref="A15:B15"/>
    <mergeCell ref="A9:B9"/>
    <mergeCell ref="A21:B21"/>
    <mergeCell ref="D21:F21"/>
    <mergeCell ref="D22:F22"/>
    <mergeCell ref="D23:F23"/>
    <mergeCell ref="D20:F20"/>
    <mergeCell ref="D24:F24"/>
    <mergeCell ref="D15:F15"/>
    <mergeCell ref="D16:F16"/>
    <mergeCell ref="D17:F17"/>
    <mergeCell ref="D18:F18"/>
    <mergeCell ref="D19:F19"/>
  </mergeCells>
  <conditionalFormatting sqref="A10:C12 A15:D18 A20:D20 A22:D27 A28:F48">
    <cfRule type="expression" dxfId="167" priority="1">
      <formula>$C$6="Affected"</formula>
    </cfRule>
  </conditionalFormatting>
  <conditionalFormatting sqref="A22:D22">
    <cfRule type="expression" dxfId="165" priority="15">
      <formula>$C$21="No control"</formula>
    </cfRule>
  </conditionalFormatting>
  <conditionalFormatting sqref="E30:F48">
    <cfRule type="expression" dxfId="164" priority="9">
      <formula>$C$21="No control"</formula>
    </cfRule>
  </conditionalFormatting>
  <dataValidations count="21">
    <dataValidation type="list" allowBlank="1" showErrorMessage="1" prompt="select the CAS Number" sqref="A32:A48" xr:uid="{7AE6AB03-1365-44E1-B7CC-C3B10F48ED48}">
      <formula1>CASNo</formula1>
    </dataValidation>
    <dataValidation type="decimal" operator="greaterThanOrEqual" allowBlank="1" showErrorMessage="1" error="The collection efficiency must be at least 70%" prompt="enter collection efficiency" sqref="C22" xr:uid="{35986987-6D19-4DB0-8046-A3F9843B5D38}">
      <formula1>70</formula1>
    </dataValidation>
    <dataValidation type="decimal" operator="greaterThanOrEqual" allowBlank="1" showErrorMessage="1" error="The minimum acceptable entry is 50." prompt="enter the distance to the property line" sqref="C16" xr:uid="{248670CD-552C-4A73-B261-86DBDE7EAC69}">
      <formula1>50</formula1>
    </dataValidation>
    <dataValidation type="decimal" operator="greaterThanOrEqual" allowBlank="1" showErrorMessage="1" error="The minimum acceptable entry is 3." prompt="enter the release height" sqref="C17" xr:uid="{49123237-33F6-407A-BCBC-5E16783D3EBE}">
      <formula1>3</formula1>
    </dataValidation>
    <dataValidation type="list" allowBlank="1" showErrorMessage="1" error="Acceptable entries are 0.5 and 0.6." prompt="enter the saturation factor" sqref="C23" xr:uid="{FCD5A36C-66D4-451E-BB45-A744FB65E968}">
      <formula1>"0.50,0.60"</formula1>
    </dataValidation>
    <dataValidation type="list" operator="greaterThanOrEqual" allowBlank="1" showInputMessage="1" showErrorMessage="1" error="Minimum release height is 3 feet." prompt="Review Section IV of the &quot;Instruction&quot; sheet of this workbook for downwash applicability guidance." sqref="C22" xr:uid="{A4C2EBC1-9CBF-438F-8318-DE759740D6B5}">
      <formula1>YN</formula1>
    </dataValidation>
    <dataValidation type="list" allowBlank="1" showErrorMessage="1" prompt="Is this an affected or modified source? Select from drop-down." sqref="C6:F6" xr:uid="{B6F224EB-5363-44A3-BD6C-3FF9DD3D496E}">
      <formula1>"Modified, Affected"</formula1>
    </dataValidation>
    <dataValidation type="decimal" operator="greaterThanOrEqual" allowBlank="1" showErrorMessage="1" prompt="enter the Throughput increase proposed (bbl/yr)" sqref="C31:C48" xr:uid="{A0E2B506-8174-4D40-B0F4-421F6798A69A}">
      <formula1>0</formula1>
    </dataValidation>
    <dataValidation type="list" operator="greaterThanOrEqual" allowBlank="1" showInputMessage="1" showErrorMessage="1" prompt="Review Section V of the &quot;Instruction&quot; sheet of this workbook for downwash applicability guidance." sqref="C18" xr:uid="{B5A2CB1B-A4D9-410F-8FD0-562B9DD19A16}">
      <formula1>YN</formula1>
    </dataValidation>
    <dataValidation allowBlank="1" showErrorMessage="1" prompt="enter the FIN" sqref="C7:F7" xr:uid="{6A289897-71D8-49ED-9647-BECA3C9E68FC}"/>
    <dataValidation allowBlank="1" showErrorMessage="1" prompt="enter the EPN" sqref="C8:F8" xr:uid="{899B5857-04D6-44F9-83AA-C690269C5516}"/>
    <dataValidation allowBlank="1" showInputMessage="1" showErrorMessage="1" prompt="enter the source name" sqref="C9:F9" xr:uid="{7475029E-1DAE-41B5-94A8-3D583044CFF9}"/>
    <dataValidation type="list" allowBlank="1" showErrorMessage="1" promptTitle="UTM Zone" prompt="Enter the UTM Coordinates zone" sqref="C10:F10" xr:uid="{A649D29C-26B6-4D73-A7D1-40FF3813F36D}">
      <formula1>"13,14,15"</formula1>
    </dataValidation>
    <dataValidation type="decimal" allowBlank="1" showErrorMessage="1" error="Value must be between 205,000 and 795,000 meters." prompt="ente rthe UTM coordinates easting" sqref="C11:F11" xr:uid="{97BD15FF-2D7F-41BD-9A87-33DE8D758DE2}">
      <formula1>205000</formula1>
      <formula2>795000</formula2>
    </dataValidation>
    <dataValidation type="decimal" allowBlank="1" showErrorMessage="1" error="Value must be between 2,854,000 and 4,059,000 meters." prompt="enter the utm coordinates northing" sqref="C12:F12" xr:uid="{CE7ED4CD-C82D-4ABA-8BBB-B3148A34E94E}">
      <formula1>2854000</formula1>
      <formula2>4059000</formula2>
    </dataValidation>
    <dataValidation allowBlank="1" showErrorMessage="1" prompt="enter the true vaport pressure of the liquid loaded (psia)" sqref="C20" xr:uid="{30F71F73-BF08-417D-850A-EB07BB1E019C}"/>
    <dataValidation allowBlank="1" showErrorMessage="1" prompt="enter the molecular weight of vapors" sqref="C24" xr:uid="{2FD98761-B59C-4E09-9814-441F7CB5A9FC}"/>
    <dataValidation allowBlank="1" showErrorMessage="1" sqref="A25:B26" xr:uid="{291057A2-AF52-43BF-A06B-E44C985FCC74}"/>
    <dataValidation allowBlank="1" showErrorMessage="1" prompt="enter the average annual temperature of bulk liquid loaded" sqref="C25" xr:uid="{4C3F718C-EFF0-4214-9ABB-B5B481792416}"/>
    <dataValidation type="decimal" operator="greaterThanOrEqual" allowBlank="1" showInputMessage="1" showErrorMessage="1" prompt="enter the currently authorized throughput" sqref="C26" xr:uid="{1A455119-000B-479D-88C8-9F338FF6D134}">
      <formula1>0</formula1>
    </dataValidation>
    <dataValidation type="decimal" operator="greaterThanOrEqual" allowBlank="1" showErrorMessage="1" prompt="Proposed throughput increase (bbl/yr) " sqref="C27" xr:uid="{C30E04D4-EC32-4529-B4FE-A14F41531196}">
      <formula1>0</formula1>
    </dataValidation>
  </dataValidations>
  <printOptions horizontalCentered="1"/>
  <pageMargins left="0.7" right="0.7" top="0.75" bottom="0.75" header="0.3" footer="0.3"/>
  <pageSetup scale="61" fitToHeight="0" orientation="landscape" r:id="rId1"/>
  <headerFooter>
    <oddHeader>&amp;C&amp;"Arial,Regular"Tanks and Loading Increases RAP Application</oddHeader>
    <oddFooter>&amp;LVersion 3.0&amp;CSheet: &amp;A&amp;RPage &amp;P</oddFooter>
  </headerFooter>
  <extLst>
    <ext xmlns:x14="http://schemas.microsoft.com/office/spreadsheetml/2009/9/main" uri="{78C0D931-6437-407d-A8EE-F0AAD7539E65}">
      <x14:conditionalFormattings>
        <x14:conditionalFormatting xmlns:xm="http://schemas.microsoft.com/office/excel/2006/main">
          <x14:cfRule type="expression" priority="480" id="{01AEFEB0-0816-4DAE-95F2-4C231D6DCE67}">
            <xm:f>'PI-1-TankLoading'!$G$103="No"</xm:f>
            <x14:dxf>
              <font>
                <color theme="0" tint="-0.24994659260841701"/>
              </font>
              <numFmt numFmtId="171" formatCode=";;;"/>
              <fill>
                <patternFill>
                  <bgColor theme="0" tint="-0.499984740745262"/>
                </patternFill>
              </fill>
              <border>
                <left/>
                <right/>
                <top/>
                <bottom/>
              </border>
            </x14:dxf>
          </x14:cfRule>
          <xm:sqref>A2:A5 A6:C12 A13:A14 A15:D18 A19:A20 C19:D20 A20:D27 A28:F48</xm:sqref>
        </x14:conditionalFormatting>
        <x14:conditionalFormatting xmlns:xm="http://schemas.microsoft.com/office/excel/2006/main">
          <x14:cfRule type="expression" priority="479" stopIfTrue="1" id="{0A1B320D-99E1-4917-AC93-87E17D95009C}">
            <xm:f>'Hidden Inputs'!$BR$5</xm:f>
            <x14:dxf>
              <font>
                <color theme="0" tint="-0.499984740745262"/>
              </font>
              <numFmt numFmtId="171" formatCode=";;;"/>
              <fill>
                <patternFill>
                  <bgColor theme="0" tint="-0.499984740745262"/>
                </patternFill>
              </fill>
              <border>
                <left/>
                <right/>
                <top/>
                <bottom/>
              </border>
            </x14:dxf>
          </x14:cfRule>
          <xm:sqref>A20:D27 A28:F48 A6:C12 A15:D18 A19:A20 C19:D20 A2:A5 A13:A14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prompt="select one" xr:uid="{1409DBD1-D681-4701-83C1-A509173462CE}">
          <x14:formula1>
            <xm:f>IF(AND('PI-1-TankLoading'!$G$106="No",'PI-1-TankLoading'!$G$107="No",'PI-1-TankLoading'!$G$108="No"),NoControl,ControlDevices)</xm:f>
          </x14:formula1>
          <xm:sqref>C21</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6993EB-E17E-4E5F-89D1-AF5AC1A8BC68}">
  <sheetPr codeName="Sheet13">
    <tabColor rgb="FFFFFFCC"/>
  </sheetPr>
  <dimension ref="A1:F49"/>
  <sheetViews>
    <sheetView workbookViewId="0">
      <selection sqref="A1:F1"/>
    </sheetView>
  </sheetViews>
  <sheetFormatPr defaultColWidth="0" defaultRowHeight="14.25" zeroHeight="1" x14ac:dyDescent="0.2"/>
  <cols>
    <col min="1" max="1" width="27" style="462" customWidth="1"/>
    <col min="2" max="2" width="48.5703125" style="462" customWidth="1"/>
    <col min="3" max="3" width="27.85546875" style="462" customWidth="1"/>
    <col min="4" max="4" width="28.140625" style="462" bestFit="1" customWidth="1"/>
    <col min="5" max="5" width="26.28515625" style="462" customWidth="1"/>
    <col min="6" max="6" width="24.7109375" style="462" customWidth="1"/>
    <col min="7" max="16384" width="9.140625" style="462" hidden="1"/>
  </cols>
  <sheetData>
    <row r="1" spans="1:6" s="466" customFormat="1" ht="6" customHeight="1" thickBot="1" x14ac:dyDescent="0.3">
      <c r="A1" s="1503" t="s">
        <v>8392</v>
      </c>
      <c r="B1" s="1503"/>
      <c r="C1" s="1503"/>
      <c r="D1" s="1503"/>
      <c r="E1" s="1503"/>
      <c r="F1" s="1503"/>
    </row>
    <row r="2" spans="1:6" ht="18.75" thickBot="1" x14ac:dyDescent="0.25">
      <c r="A2" s="1436" t="s">
        <v>8590</v>
      </c>
      <c r="B2" s="1437"/>
      <c r="C2" s="1437"/>
      <c r="D2" s="1437"/>
      <c r="E2" s="1437"/>
      <c r="F2" s="1438"/>
    </row>
    <row r="3" spans="1:6" ht="76.5" customHeight="1" thickBot="1" x14ac:dyDescent="0.25">
      <c r="A3" s="1448" t="s">
        <v>10208</v>
      </c>
      <c r="B3" s="1504"/>
      <c r="C3" s="1504"/>
      <c r="D3" s="1504"/>
      <c r="E3" s="1504"/>
      <c r="F3" s="1505"/>
    </row>
    <row r="4" spans="1:6" ht="15.75" customHeight="1" thickBot="1" x14ac:dyDescent="0.25">
      <c r="A4" s="1498" t="s">
        <v>8567</v>
      </c>
      <c r="B4" s="1498"/>
      <c r="C4" s="1498"/>
      <c r="D4" s="1498"/>
      <c r="E4" s="1498"/>
      <c r="F4" s="1498"/>
    </row>
    <row r="5" spans="1:6" ht="15.75" thickBot="1" x14ac:dyDescent="0.25">
      <c r="A5" s="1411" t="s">
        <v>8575</v>
      </c>
      <c r="B5" s="1412"/>
      <c r="C5" s="1412"/>
      <c r="D5" s="1412"/>
      <c r="E5" s="1412"/>
      <c r="F5" s="1413"/>
    </row>
    <row r="6" spans="1:6" ht="15" customHeight="1" x14ac:dyDescent="0.2">
      <c r="A6" s="1516" t="s">
        <v>10125</v>
      </c>
      <c r="B6" s="1517"/>
      <c r="C6" s="1518"/>
      <c r="D6" s="1518"/>
      <c r="E6" s="1518"/>
      <c r="F6" s="1519"/>
    </row>
    <row r="7" spans="1:6" s="466" customFormat="1" ht="15" customHeight="1" x14ac:dyDescent="0.25">
      <c r="A7" s="1434" t="s">
        <v>8582</v>
      </c>
      <c r="B7" s="1435"/>
      <c r="C7" s="1456"/>
      <c r="D7" s="1499"/>
      <c r="E7" s="1499"/>
      <c r="F7" s="1500"/>
    </row>
    <row r="8" spans="1:6" s="466" customFormat="1" ht="15" customHeight="1" x14ac:dyDescent="0.25">
      <c r="A8" s="1434" t="s">
        <v>8583</v>
      </c>
      <c r="B8" s="1435"/>
      <c r="C8" s="1456"/>
      <c r="D8" s="1499"/>
      <c r="E8" s="1499"/>
      <c r="F8" s="1500"/>
    </row>
    <row r="9" spans="1:6" s="466" customFormat="1" ht="15" customHeight="1" x14ac:dyDescent="0.25">
      <c r="A9" s="1434" t="s">
        <v>8584</v>
      </c>
      <c r="B9" s="1435"/>
      <c r="C9" s="1456"/>
      <c r="D9" s="1499"/>
      <c r="E9" s="1499"/>
      <c r="F9" s="1500"/>
    </row>
    <row r="10" spans="1:6" s="466" customFormat="1" x14ac:dyDescent="0.25">
      <c r="A10" s="1514" t="s">
        <v>8576</v>
      </c>
      <c r="B10" s="1515"/>
      <c r="C10" s="1423"/>
      <c r="D10" s="1423"/>
      <c r="E10" s="1423"/>
      <c r="F10" s="1424"/>
    </row>
    <row r="11" spans="1:6" s="466" customFormat="1" x14ac:dyDescent="0.25">
      <c r="A11" s="1402" t="s">
        <v>8577</v>
      </c>
      <c r="B11" s="1403"/>
      <c r="C11" s="1423"/>
      <c r="D11" s="1423"/>
      <c r="E11" s="1423"/>
      <c r="F11" s="1424"/>
    </row>
    <row r="12" spans="1:6" s="466" customFormat="1" ht="15.75" customHeight="1" thickBot="1" x14ac:dyDescent="0.3">
      <c r="A12" s="1406" t="s">
        <v>8578</v>
      </c>
      <c r="B12" s="1407"/>
      <c r="C12" s="1425"/>
      <c r="D12" s="1425"/>
      <c r="E12" s="1425"/>
      <c r="F12" s="1426"/>
    </row>
    <row r="13" spans="1:6" s="466" customFormat="1" ht="15.75" customHeight="1" thickBot="1" x14ac:dyDescent="0.3">
      <c r="A13" s="1498" t="s">
        <v>8567</v>
      </c>
      <c r="B13" s="1498"/>
      <c r="C13" s="1498"/>
      <c r="D13" s="1498"/>
      <c r="E13" s="1498"/>
      <c r="F13" s="1498"/>
    </row>
    <row r="14" spans="1:6" s="466" customFormat="1" ht="15.75" thickBot="1" x14ac:dyDescent="0.3">
      <c r="A14" s="1411" t="s">
        <v>8581</v>
      </c>
      <c r="B14" s="1412"/>
      <c r="C14" s="1412"/>
      <c r="D14" s="1412"/>
      <c r="E14" s="1412"/>
      <c r="F14" s="1413"/>
    </row>
    <row r="15" spans="1:6" ht="15" x14ac:dyDescent="0.25">
      <c r="A15" s="1511" t="s">
        <v>8735</v>
      </c>
      <c r="B15" s="1512"/>
      <c r="C15" s="740" t="s">
        <v>8580</v>
      </c>
      <c r="D15" s="1512" t="s">
        <v>8645</v>
      </c>
      <c r="E15" s="1512"/>
      <c r="F15" s="1513"/>
    </row>
    <row r="16" spans="1:6" x14ac:dyDescent="0.2">
      <c r="A16" s="1487" t="s">
        <v>277</v>
      </c>
      <c r="B16" s="1485"/>
      <c r="C16" s="498"/>
      <c r="D16" s="1485">
        <v>50</v>
      </c>
      <c r="E16" s="1485"/>
      <c r="F16" s="1486"/>
    </row>
    <row r="17" spans="1:6" x14ac:dyDescent="0.2">
      <c r="A17" s="1510" t="s">
        <v>4</v>
      </c>
      <c r="B17" s="1485"/>
      <c r="C17" s="498"/>
      <c r="D17" s="1485">
        <v>3</v>
      </c>
      <c r="E17" s="1485"/>
      <c r="F17" s="1486"/>
    </row>
    <row r="18" spans="1:6" s="466" customFormat="1" ht="15" thickBot="1" x14ac:dyDescent="0.25">
      <c r="A18" s="1418" t="s">
        <v>8629</v>
      </c>
      <c r="B18" s="1419"/>
      <c r="C18" s="512"/>
      <c r="D18" s="1419"/>
      <c r="E18" s="1419"/>
      <c r="F18" s="1491"/>
    </row>
    <row r="19" spans="1:6" s="466" customFormat="1" ht="15" x14ac:dyDescent="0.25">
      <c r="A19" s="1501" t="s">
        <v>8901</v>
      </c>
      <c r="B19" s="1502"/>
      <c r="C19" s="740" t="s">
        <v>8580</v>
      </c>
      <c r="D19" s="1512" t="s">
        <v>8645</v>
      </c>
      <c r="E19" s="1512"/>
      <c r="F19" s="1513"/>
    </row>
    <row r="20" spans="1:6" x14ac:dyDescent="0.2">
      <c r="A20" s="1487" t="s">
        <v>8355</v>
      </c>
      <c r="B20" s="1485"/>
      <c r="C20" s="516"/>
      <c r="D20" s="1485"/>
      <c r="E20" s="1485"/>
      <c r="F20" s="1486"/>
    </row>
    <row r="21" spans="1:6" s="466" customFormat="1" x14ac:dyDescent="0.2">
      <c r="A21" s="1487" t="s">
        <v>8379</v>
      </c>
      <c r="B21" s="1485"/>
      <c r="C21" s="498"/>
      <c r="D21" s="1485"/>
      <c r="E21" s="1485"/>
      <c r="F21" s="1486"/>
    </row>
    <row r="22" spans="1:6" x14ac:dyDescent="0.2">
      <c r="A22" s="1487" t="s">
        <v>8357</v>
      </c>
      <c r="B22" s="1485"/>
      <c r="C22" s="502"/>
      <c r="D22" s="1520">
        <v>98.7</v>
      </c>
      <c r="E22" s="1520"/>
      <c r="F22" s="1521"/>
    </row>
    <row r="23" spans="1:6" x14ac:dyDescent="0.2">
      <c r="A23" s="1487" t="s">
        <v>8354</v>
      </c>
      <c r="B23" s="1485"/>
      <c r="C23" s="507"/>
      <c r="D23" s="1485">
        <v>0.5</v>
      </c>
      <c r="E23" s="1485"/>
      <c r="F23" s="1486"/>
    </row>
    <row r="24" spans="1:6" x14ac:dyDescent="0.2">
      <c r="A24" s="1487" t="s">
        <v>8356</v>
      </c>
      <c r="B24" s="1485"/>
      <c r="C24" s="507"/>
      <c r="D24" s="1485"/>
      <c r="E24" s="1485"/>
      <c r="F24" s="1486"/>
    </row>
    <row r="25" spans="1:6" x14ac:dyDescent="0.2">
      <c r="A25" s="1487" t="s">
        <v>10065</v>
      </c>
      <c r="B25" s="1485"/>
      <c r="C25" s="507"/>
      <c r="D25" s="1485"/>
      <c r="E25" s="1485"/>
      <c r="F25" s="1486"/>
    </row>
    <row r="26" spans="1:6" s="466" customFormat="1" x14ac:dyDescent="0.2">
      <c r="A26" s="1487" t="s">
        <v>8382</v>
      </c>
      <c r="B26" s="1485"/>
      <c r="C26" s="797"/>
      <c r="D26" s="1485"/>
      <c r="E26" s="1485"/>
      <c r="F26" s="1486"/>
    </row>
    <row r="27" spans="1:6" s="466" customFormat="1" ht="15" thickBot="1" x14ac:dyDescent="0.25">
      <c r="A27" s="1483" t="s">
        <v>8632</v>
      </c>
      <c r="B27" s="1484"/>
      <c r="C27" s="798"/>
      <c r="D27" s="1496" t="s">
        <v>8592</v>
      </c>
      <c r="E27" s="1496"/>
      <c r="F27" s="1497"/>
    </row>
    <row r="28" spans="1:6" ht="15.75" customHeight="1" thickBot="1" x14ac:dyDescent="0.25">
      <c r="A28" s="1415" t="s">
        <v>8567</v>
      </c>
      <c r="B28" s="1415"/>
      <c r="C28" s="1415"/>
      <c r="D28" s="1415"/>
      <c r="E28" s="1415"/>
      <c r="F28" s="1415"/>
    </row>
    <row r="29" spans="1:6" ht="15.75" thickBot="1" x14ac:dyDescent="0.25">
      <c r="A29" s="1248" t="s">
        <v>8975</v>
      </c>
      <c r="B29" s="1249"/>
      <c r="C29" s="1249"/>
      <c r="D29" s="1249"/>
      <c r="E29" s="1249"/>
      <c r="F29" s="1250"/>
    </row>
    <row r="30" spans="1:6" ht="30" customHeight="1" thickBot="1" x14ac:dyDescent="0.25">
      <c r="A30" s="710" t="s">
        <v>8353</v>
      </c>
      <c r="B30" s="711" t="s">
        <v>2</v>
      </c>
      <c r="C30" s="712" t="s">
        <v>8383</v>
      </c>
      <c r="D30" s="713" t="s">
        <v>8633</v>
      </c>
      <c r="E30" s="713" t="s">
        <v>8634</v>
      </c>
      <c r="F30" s="714" t="s">
        <v>10061</v>
      </c>
    </row>
    <row r="31" spans="1:6" x14ac:dyDescent="0.2">
      <c r="A31" s="703" t="s">
        <v>3</v>
      </c>
      <c r="B31" s="761" t="s">
        <v>10118</v>
      </c>
      <c r="C31" s="707"/>
      <c r="D31" s="708" t="str">
        <f t="shared" ref="D31:D48" si="0">IF(C31="","",(((12.46*$C$23*$C$20*$C$24/$C$25)/1000)*C31*42/2000))</f>
        <v/>
      </c>
      <c r="E31" s="708" t="str">
        <f t="shared" ref="E31:E48" si="1">IF(D31="","",(((100-$C$22)/100)*D31))</f>
        <v/>
      </c>
      <c r="F31" s="709" t="str">
        <f>IF(E31="","",D31-E31)</f>
        <v/>
      </c>
    </row>
    <row r="32" spans="1:6" x14ac:dyDescent="0.2">
      <c r="A32" s="508"/>
      <c r="B32" s="518" t="str">
        <f t="shared" ref="B32:B48" si="2">IFERROR(VLOOKUP(A32, SpeciesDataTable,2,FALSE),"")</f>
        <v/>
      </c>
      <c r="C32" s="507"/>
      <c r="D32" s="517" t="str">
        <f t="shared" si="0"/>
        <v/>
      </c>
      <c r="E32" s="517" t="str">
        <f t="shared" si="1"/>
        <v/>
      </c>
      <c r="F32" s="621" t="str">
        <f t="shared" ref="F32:F48" si="3">IF(E32="","",D32-E32)</f>
        <v/>
      </c>
    </row>
    <row r="33" spans="1:6" x14ac:dyDescent="0.2">
      <c r="A33" s="508"/>
      <c r="B33" s="518" t="str">
        <f t="shared" si="2"/>
        <v/>
      </c>
      <c r="C33" s="507"/>
      <c r="D33" s="517" t="str">
        <f t="shared" si="0"/>
        <v/>
      </c>
      <c r="E33" s="517" t="str">
        <f t="shared" si="1"/>
        <v/>
      </c>
      <c r="F33" s="621" t="str">
        <f t="shared" si="3"/>
        <v/>
      </c>
    </row>
    <row r="34" spans="1:6" x14ac:dyDescent="0.2">
      <c r="A34" s="508"/>
      <c r="B34" s="518" t="str">
        <f t="shared" si="2"/>
        <v/>
      </c>
      <c r="C34" s="507"/>
      <c r="D34" s="517" t="str">
        <f t="shared" si="0"/>
        <v/>
      </c>
      <c r="E34" s="517" t="str">
        <f t="shared" si="1"/>
        <v/>
      </c>
      <c r="F34" s="621" t="str">
        <f t="shared" si="3"/>
        <v/>
      </c>
    </row>
    <row r="35" spans="1:6" x14ac:dyDescent="0.2">
      <c r="A35" s="508"/>
      <c r="B35" s="518" t="str">
        <f t="shared" si="2"/>
        <v/>
      </c>
      <c r="C35" s="507"/>
      <c r="D35" s="517" t="str">
        <f t="shared" si="0"/>
        <v/>
      </c>
      <c r="E35" s="517" t="str">
        <f t="shared" si="1"/>
        <v/>
      </c>
      <c r="F35" s="621" t="str">
        <f t="shared" si="3"/>
        <v/>
      </c>
    </row>
    <row r="36" spans="1:6" x14ac:dyDescent="0.2">
      <c r="A36" s="508"/>
      <c r="B36" s="518" t="str">
        <f t="shared" si="2"/>
        <v/>
      </c>
      <c r="C36" s="507"/>
      <c r="D36" s="517" t="str">
        <f t="shared" si="0"/>
        <v/>
      </c>
      <c r="E36" s="517" t="str">
        <f t="shared" si="1"/>
        <v/>
      </c>
      <c r="F36" s="621" t="str">
        <f t="shared" si="3"/>
        <v/>
      </c>
    </row>
    <row r="37" spans="1:6" x14ac:dyDescent="0.2">
      <c r="A37" s="508"/>
      <c r="B37" s="518" t="str">
        <f t="shared" si="2"/>
        <v/>
      </c>
      <c r="C37" s="507"/>
      <c r="D37" s="517" t="str">
        <f t="shared" si="0"/>
        <v/>
      </c>
      <c r="E37" s="517" t="str">
        <f t="shared" si="1"/>
        <v/>
      </c>
      <c r="F37" s="621" t="str">
        <f t="shared" si="3"/>
        <v/>
      </c>
    </row>
    <row r="38" spans="1:6" x14ac:dyDescent="0.2">
      <c r="A38" s="508"/>
      <c r="B38" s="518" t="str">
        <f t="shared" si="2"/>
        <v/>
      </c>
      <c r="C38" s="507"/>
      <c r="D38" s="517" t="str">
        <f t="shared" si="0"/>
        <v/>
      </c>
      <c r="E38" s="517" t="str">
        <f t="shared" si="1"/>
        <v/>
      </c>
      <c r="F38" s="621" t="str">
        <f t="shared" si="3"/>
        <v/>
      </c>
    </row>
    <row r="39" spans="1:6" x14ac:dyDescent="0.2">
      <c r="A39" s="508"/>
      <c r="B39" s="518" t="str">
        <f t="shared" si="2"/>
        <v/>
      </c>
      <c r="C39" s="507"/>
      <c r="D39" s="517" t="str">
        <f t="shared" si="0"/>
        <v/>
      </c>
      <c r="E39" s="517" t="str">
        <f t="shared" si="1"/>
        <v/>
      </c>
      <c r="F39" s="621" t="str">
        <f t="shared" si="3"/>
        <v/>
      </c>
    </row>
    <row r="40" spans="1:6" x14ac:dyDescent="0.2">
      <c r="A40" s="508"/>
      <c r="B40" s="518" t="str">
        <f t="shared" si="2"/>
        <v/>
      </c>
      <c r="C40" s="507"/>
      <c r="D40" s="517" t="str">
        <f t="shared" si="0"/>
        <v/>
      </c>
      <c r="E40" s="517" t="str">
        <f t="shared" si="1"/>
        <v/>
      </c>
      <c r="F40" s="621" t="str">
        <f t="shared" si="3"/>
        <v/>
      </c>
    </row>
    <row r="41" spans="1:6" x14ac:dyDescent="0.2">
      <c r="A41" s="508"/>
      <c r="B41" s="518" t="str">
        <f t="shared" si="2"/>
        <v/>
      </c>
      <c r="C41" s="507"/>
      <c r="D41" s="517" t="str">
        <f t="shared" si="0"/>
        <v/>
      </c>
      <c r="E41" s="517" t="str">
        <f t="shared" si="1"/>
        <v/>
      </c>
      <c r="F41" s="621" t="str">
        <f t="shared" si="3"/>
        <v/>
      </c>
    </row>
    <row r="42" spans="1:6" x14ac:dyDescent="0.2">
      <c r="A42" s="508"/>
      <c r="B42" s="518" t="str">
        <f t="shared" si="2"/>
        <v/>
      </c>
      <c r="C42" s="507"/>
      <c r="D42" s="517" t="str">
        <f t="shared" si="0"/>
        <v/>
      </c>
      <c r="E42" s="517" t="str">
        <f t="shared" si="1"/>
        <v/>
      </c>
      <c r="F42" s="621" t="str">
        <f t="shared" si="3"/>
        <v/>
      </c>
    </row>
    <row r="43" spans="1:6" x14ac:dyDescent="0.2">
      <c r="A43" s="508"/>
      <c r="B43" s="518" t="str">
        <f t="shared" si="2"/>
        <v/>
      </c>
      <c r="C43" s="507"/>
      <c r="D43" s="517" t="str">
        <f t="shared" si="0"/>
        <v/>
      </c>
      <c r="E43" s="517" t="str">
        <f t="shared" si="1"/>
        <v/>
      </c>
      <c r="F43" s="621" t="str">
        <f t="shared" si="3"/>
        <v/>
      </c>
    </row>
    <row r="44" spans="1:6" x14ac:dyDescent="0.2">
      <c r="A44" s="508"/>
      <c r="B44" s="518" t="str">
        <f t="shared" si="2"/>
        <v/>
      </c>
      <c r="C44" s="507"/>
      <c r="D44" s="517" t="str">
        <f t="shared" si="0"/>
        <v/>
      </c>
      <c r="E44" s="517" t="str">
        <f t="shared" si="1"/>
        <v/>
      </c>
      <c r="F44" s="621" t="str">
        <f t="shared" si="3"/>
        <v/>
      </c>
    </row>
    <row r="45" spans="1:6" x14ac:dyDescent="0.2">
      <c r="A45" s="508"/>
      <c r="B45" s="518" t="str">
        <f t="shared" si="2"/>
        <v/>
      </c>
      <c r="C45" s="507"/>
      <c r="D45" s="517" t="str">
        <f t="shared" si="0"/>
        <v/>
      </c>
      <c r="E45" s="517" t="str">
        <f t="shared" si="1"/>
        <v/>
      </c>
      <c r="F45" s="621" t="str">
        <f t="shared" si="3"/>
        <v/>
      </c>
    </row>
    <row r="46" spans="1:6" x14ac:dyDescent="0.2">
      <c r="A46" s="508"/>
      <c r="B46" s="518" t="str">
        <f t="shared" si="2"/>
        <v/>
      </c>
      <c r="C46" s="507"/>
      <c r="D46" s="517" t="str">
        <f t="shared" si="0"/>
        <v/>
      </c>
      <c r="E46" s="517" t="str">
        <f t="shared" si="1"/>
        <v/>
      </c>
      <c r="F46" s="621" t="str">
        <f t="shared" si="3"/>
        <v/>
      </c>
    </row>
    <row r="47" spans="1:6" x14ac:dyDescent="0.2">
      <c r="A47" s="508"/>
      <c r="B47" s="518" t="str">
        <f t="shared" si="2"/>
        <v/>
      </c>
      <c r="C47" s="507"/>
      <c r="D47" s="517" t="str">
        <f t="shared" si="0"/>
        <v/>
      </c>
      <c r="E47" s="517" t="str">
        <f t="shared" si="1"/>
        <v/>
      </c>
      <c r="F47" s="621" t="str">
        <f t="shared" si="3"/>
        <v/>
      </c>
    </row>
    <row r="48" spans="1:6" ht="15" thickBot="1" x14ac:dyDescent="0.25">
      <c r="A48" s="509"/>
      <c r="B48" s="622" t="str">
        <f t="shared" si="2"/>
        <v/>
      </c>
      <c r="C48" s="503"/>
      <c r="D48" s="623" t="str">
        <f t="shared" si="0"/>
        <v/>
      </c>
      <c r="E48" s="623" t="str">
        <f t="shared" si="1"/>
        <v/>
      </c>
      <c r="F48" s="624" t="str">
        <f t="shared" si="3"/>
        <v/>
      </c>
    </row>
    <row r="49" spans="1:6" x14ac:dyDescent="0.2">
      <c r="A49" s="970" t="s">
        <v>8641</v>
      </c>
      <c r="B49" s="970"/>
      <c r="C49" s="970"/>
      <c r="D49" s="970"/>
      <c r="E49" s="970"/>
      <c r="F49" s="970"/>
    </row>
  </sheetData>
  <sheetProtection algorithmName="SHA-512" hashValue="oz1fqVnouLHgdw/T8lqB9V+Et2JlYmf/pf0gl/uQd8OAzCvgzCMT7sHGZ/lRN8FgVPNogZCfcoRvvVSJ/e55yA==" saltValue="J/GgzyQKG6wPWKtl72o+ng==" spinCount="100000" sheet="1" objects="1" scenarios="1" formatColumns="0" formatRows="0" autoFilter="0"/>
  <mergeCells count="50">
    <mergeCell ref="D25:F25"/>
    <mergeCell ref="D26:F26"/>
    <mergeCell ref="D27:F27"/>
    <mergeCell ref="A13:F13"/>
    <mergeCell ref="A14:F14"/>
    <mergeCell ref="D19:F19"/>
    <mergeCell ref="D21:F21"/>
    <mergeCell ref="D22:F22"/>
    <mergeCell ref="D23:F23"/>
    <mergeCell ref="D20:F20"/>
    <mergeCell ref="A16:B16"/>
    <mergeCell ref="A19:B19"/>
    <mergeCell ref="A7:B7"/>
    <mergeCell ref="A6:B6"/>
    <mergeCell ref="C6:F6"/>
    <mergeCell ref="C7:F7"/>
    <mergeCell ref="A1:F1"/>
    <mergeCell ref="A2:F2"/>
    <mergeCell ref="A3:F3"/>
    <mergeCell ref="A4:F4"/>
    <mergeCell ref="A5:F5"/>
    <mergeCell ref="A8:B8"/>
    <mergeCell ref="A9:B9"/>
    <mergeCell ref="C8:F8"/>
    <mergeCell ref="C9:F9"/>
    <mergeCell ref="C10:F10"/>
    <mergeCell ref="A10:B10"/>
    <mergeCell ref="A11:B11"/>
    <mergeCell ref="A12:B12"/>
    <mergeCell ref="A15:B15"/>
    <mergeCell ref="D15:F15"/>
    <mergeCell ref="D16:F16"/>
    <mergeCell ref="C11:F11"/>
    <mergeCell ref="C12:F12"/>
    <mergeCell ref="A49:F49"/>
    <mergeCell ref="A17:B17"/>
    <mergeCell ref="A23:B23"/>
    <mergeCell ref="A18:B18"/>
    <mergeCell ref="A29:F29"/>
    <mergeCell ref="A24:B24"/>
    <mergeCell ref="A25:B25"/>
    <mergeCell ref="A20:B20"/>
    <mergeCell ref="A26:B26"/>
    <mergeCell ref="A27:B27"/>
    <mergeCell ref="A21:B21"/>
    <mergeCell ref="A22:B22"/>
    <mergeCell ref="A28:F28"/>
    <mergeCell ref="D17:F17"/>
    <mergeCell ref="D18:F18"/>
    <mergeCell ref="D24:F24"/>
  </mergeCells>
  <conditionalFormatting sqref="A10:C12 A15:D18 A20:D20 A22:D27 A28 A29:F48">
    <cfRule type="expression" dxfId="162" priority="1">
      <formula>$C$6="Affected"</formula>
    </cfRule>
  </conditionalFormatting>
  <conditionalFormatting sqref="A22:D22">
    <cfRule type="expression" dxfId="160" priority="15">
      <formula>$C$21="No control"</formula>
    </cfRule>
  </conditionalFormatting>
  <conditionalFormatting sqref="E30:F48">
    <cfRule type="expression" dxfId="159" priority="4">
      <formula>$C$21="no control"</formula>
    </cfRule>
  </conditionalFormatting>
  <dataValidations count="20">
    <dataValidation type="decimal" operator="greaterThanOrEqual" allowBlank="1" showErrorMessage="1" error="The minimum acceptable entry is 98.7." prompt="enter the Collection efficiency (%)" sqref="C22" xr:uid="{F6F2D31C-D18B-4ADF-BC98-4EFC817B66B7}">
      <formula1>98.7</formula1>
    </dataValidation>
    <dataValidation type="decimal" operator="greaterThanOrEqual" allowBlank="1" showErrorMessage="1" error="The minimim acceptable entry is 50." prompt="enter the Distance to the property line (ft)" sqref="C16" xr:uid="{4AC236E9-AA40-44E1-8A8A-D2C349DEC9A0}">
      <formula1>50</formula1>
    </dataValidation>
    <dataValidation type="decimal" operator="greaterThanOrEqual" allowBlank="1" showErrorMessage="1" error="The minimum acceptable entry is 3." prompt="enter the Release height (ft) " sqref="C17" xr:uid="{AF6E8A0E-8D6F-4D92-A288-9BC166180775}">
      <formula1>3</formula1>
    </dataValidation>
    <dataValidation type="list" allowBlank="1" showErrorMessage="1" error="Acceptable entries are 0.5 and 0.6." prompt="enter the Saturation factor, from AP-42 Table 5.2-1" sqref="C23" xr:uid="{C6A921B3-0605-4205-91F9-7B351620B2BC}">
      <formula1>"0.50,0.60"</formula1>
    </dataValidation>
    <dataValidation type="list" operator="greaterThanOrEqual" allowBlank="1" showInputMessage="1" showErrorMessage="1" error="Minimum release height is 3 feet." prompt="Review Section IV of the &quot;Instruction&quot; sheet of this workbook for downwash applicability guidance." sqref="C22" xr:uid="{89C9693C-CA3E-4079-A8C0-3AC0CB5E3590}">
      <formula1>YN</formula1>
    </dataValidation>
    <dataValidation type="list" allowBlank="1" showErrorMessage="1" prompt="select the CAS Number" sqref="A32:A48" xr:uid="{DF5F1ABD-B238-4BA1-9B74-78C43733FEE2}">
      <formula1>CASNo</formula1>
    </dataValidation>
    <dataValidation type="list" allowBlank="1" showErrorMessage="1" prompt="Is this an affected or modified source? Select from drop-down." sqref="C6:F6" xr:uid="{B44FB28D-6E35-49B6-B21E-77E3C93B23C5}">
      <formula1>"Modified, Affected"</formula1>
    </dataValidation>
    <dataValidation type="decimal" operator="greaterThanOrEqual" allowBlank="1" showErrorMessage="1" prompt="enter the Currently authorized throughput (bbl/yr)" sqref="C26" xr:uid="{F75C0D81-B5E5-4EC6-B38F-A0CCD9E2A038}">
      <formula1>0</formula1>
    </dataValidation>
    <dataValidation type="list" operator="greaterThanOrEqual" allowBlank="1" showInputMessage="1" showErrorMessage="1" prompt="Review Section V of the &quot;Instruction&quot; sheet of this workbook for downwash applicability guidance." sqref="C18" xr:uid="{89CD39BB-3A4D-454E-B6A9-1B88C2C7F506}">
      <formula1>YN</formula1>
    </dataValidation>
    <dataValidation type="decimal" operator="greaterThanOrEqual" allowBlank="1" showErrorMessage="1" prompt="enter the Throughput increase proposed (bbl/yr)" sqref="C31:C48" xr:uid="{5DB441ED-D4CE-4E65-9A65-305F5748E475}">
      <formula1>0</formula1>
    </dataValidation>
    <dataValidation allowBlank="1" showErrorMessage="1" prompt="enter the fin" sqref="C7:F7" xr:uid="{69A339F4-0BA0-4853-AC9D-A1023D773015}"/>
    <dataValidation allowBlank="1" showErrorMessage="1" prompt="enter the EPN" sqref="C8:F8" xr:uid="{2DA4B7C6-678D-4A63-846D-BB72C3C725BE}"/>
    <dataValidation allowBlank="1" showErrorMessage="1" prompt="enter the source name" sqref="C9:F9" xr:uid="{E77F5BF9-8B97-46BD-A99F-48C02932BD83}"/>
    <dataValidation type="list" allowBlank="1" showErrorMessage="1" prompt="enter the utm zone" sqref="C10:F10" xr:uid="{94653439-30F2-4678-92A3-0C25425D1D6A}">
      <formula1>Zones</formula1>
    </dataValidation>
    <dataValidation type="decimal" allowBlank="1" showErrorMessage="1" error="Value must be between 205,000 and 795,000 meters." prompt="enter the utm coordinates easting" sqref="C11:F11" xr:uid="{C0B54BA0-6EB4-44BF-9C27-1A821A20F82A}">
      <formula1>205000</formula1>
      <formula2>795000</formula2>
    </dataValidation>
    <dataValidation type="decimal" allowBlank="1" showErrorMessage="1" error="Value must be between 2,854,000 and 4,059,000 meters." prompt="enter the utm coordinates northing" sqref="C12:F12" xr:uid="{FFC78D98-1DDF-49BE-9788-FE9AE628DD50}">
      <formula1>2854000</formula1>
      <formula2>4059000</formula2>
    </dataValidation>
    <dataValidation type="decimal" operator="greaterThanOrEqual" allowBlank="1" showErrorMessage="1" prompt="enter the Proposed throughput increase (bbl/yr) " sqref="C27" xr:uid="{EDF8297D-55B2-454B-B148-99E36D963490}">
      <formula1>0</formula1>
    </dataValidation>
    <dataValidation allowBlank="1" showErrorMessage="1" prompt="enter the Average annual temperature of bulk liquid loaded (⁰R) " sqref="C25" xr:uid="{AB51CC10-1BB6-4B70-94C7-766D3D7E49DA}"/>
    <dataValidation allowBlank="1" showErrorMessage="1" prompt="enter the Molecular weight of vapors (lb/lb-mol)" sqref="C24" xr:uid="{C2D8FD0B-1E1B-4F11-929B-13306BAED45A}"/>
    <dataValidation allowBlank="1" showErrorMessage="1" prompt="enter the True vapor pressure of liquid loaded (psia) " sqref="C20" xr:uid="{D843B682-0BD6-4D20-BE9B-265A73FC21BF}"/>
  </dataValidations>
  <printOptions horizontalCentered="1"/>
  <pageMargins left="0.7" right="0.7" top="0.75" bottom="0.75" header="0.3" footer="0.3"/>
  <pageSetup scale="61" orientation="landscape" r:id="rId1"/>
  <headerFooter>
    <oddHeader>&amp;C&amp;"Arial,Regular"Tanks and Loading Increases RAP Application</oddHeader>
    <oddFooter>&amp;LVersion 3.0&amp;CSheet: &amp;A&amp;RPage &amp;P</oddFooter>
  </headerFooter>
  <extLst>
    <ext xmlns:x14="http://schemas.microsoft.com/office/spreadsheetml/2009/9/main" uri="{78C0D931-6437-407d-A8EE-F0AAD7539E65}">
      <x14:conditionalFormattings>
        <x14:conditionalFormatting xmlns:xm="http://schemas.microsoft.com/office/excel/2006/main">
          <x14:cfRule type="expression" priority="490" id="{FF4E949F-B7B5-408C-A6D0-D4524CF60BD8}">
            <xm:f>'PI-1-TankLoading'!$G$104="No"</xm:f>
            <x14:dxf>
              <font>
                <color theme="0" tint="-0.24994659260841701"/>
              </font>
              <numFmt numFmtId="171" formatCode=";;;"/>
              <fill>
                <patternFill>
                  <bgColor theme="0" tint="-0.499984740745262"/>
                </patternFill>
              </fill>
              <border>
                <left/>
                <right/>
                <top/>
                <bottom/>
              </border>
            </x14:dxf>
          </x14:cfRule>
          <xm:sqref>A2:A5 A6:C12 A13:A14 A15:D18 A19:A20 C19:D20 A20:D27 A28 A29:F48</xm:sqref>
        </x14:conditionalFormatting>
        <x14:conditionalFormatting xmlns:xm="http://schemas.microsoft.com/office/excel/2006/main">
          <x14:cfRule type="expression" priority="489" stopIfTrue="1" id="{5C75DC7E-D809-4584-9897-B07AA746499E}">
            <xm:f>'Hidden Inputs'!$BR$5</xm:f>
            <x14:dxf>
              <font>
                <color theme="0" tint="-0.499984740745262"/>
              </font>
              <numFmt numFmtId="171" formatCode=";;;"/>
              <fill>
                <patternFill>
                  <bgColor theme="0" tint="-0.499984740745262"/>
                </patternFill>
              </fill>
              <border>
                <left/>
                <right/>
                <top/>
                <bottom/>
              </border>
            </x14:dxf>
          </x14:cfRule>
          <xm:sqref>A20:D27 A29:F48 A6:C12 A15:D18 A19:A20 C19:D20 A28 A2:A5 A13:A14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prompt="select the Control device for this loading activity" xr:uid="{0D155605-A568-43E6-966A-07A57C8B057B}">
          <x14:formula1>
            <xm:f>IF(AND('PI-1-TankLoading'!$G$106="No",'PI-1-TankLoading'!$G$107="No",'PI-1-TankLoading'!$G$108="No"),NoControl,IF($C$20&lt;0.5,ControlDevices,ControlRequired))</xm:f>
          </x14:formula1>
          <xm:sqref>C21</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4FFC6-5B23-4A6A-A1EC-73E8D6333CC8}">
  <sheetPr codeName="Sheet14">
    <tabColor rgb="FFFFFFCC"/>
  </sheetPr>
  <dimension ref="A1:F49"/>
  <sheetViews>
    <sheetView workbookViewId="0">
      <selection sqref="A1:F1"/>
    </sheetView>
  </sheetViews>
  <sheetFormatPr defaultColWidth="0" defaultRowHeight="14.25" zeroHeight="1" x14ac:dyDescent="0.2"/>
  <cols>
    <col min="1" max="1" width="26.85546875" style="462" customWidth="1"/>
    <col min="2" max="2" width="43" style="462" customWidth="1"/>
    <col min="3" max="3" width="26.140625" style="462" bestFit="1" customWidth="1"/>
    <col min="4" max="4" width="28.140625" style="462" bestFit="1" customWidth="1"/>
    <col min="5" max="5" width="26.28515625" style="462" customWidth="1"/>
    <col min="6" max="6" width="24.7109375" style="462" customWidth="1"/>
    <col min="7" max="16384" width="9.140625" style="462" hidden="1"/>
  </cols>
  <sheetData>
    <row r="1" spans="1:6" s="466" customFormat="1" ht="6" customHeight="1" thickBot="1" x14ac:dyDescent="0.3">
      <c r="A1" s="1503" t="s">
        <v>8392</v>
      </c>
      <c r="B1" s="1503"/>
      <c r="C1" s="1503"/>
      <c r="D1" s="1503"/>
      <c r="E1" s="1503"/>
      <c r="F1" s="1503"/>
    </row>
    <row r="2" spans="1:6" ht="18.75" thickBot="1" x14ac:dyDescent="0.25">
      <c r="A2" s="1436" t="s">
        <v>8591</v>
      </c>
      <c r="B2" s="1437"/>
      <c r="C2" s="1437"/>
      <c r="D2" s="1437"/>
      <c r="E2" s="1437"/>
      <c r="F2" s="1438"/>
    </row>
    <row r="3" spans="1:6" ht="77.25" customHeight="1" thickBot="1" x14ac:dyDescent="0.25">
      <c r="A3" s="1448" t="s">
        <v>10209</v>
      </c>
      <c r="B3" s="1504"/>
      <c r="C3" s="1504"/>
      <c r="D3" s="1504"/>
      <c r="E3" s="1504"/>
      <c r="F3" s="1505"/>
    </row>
    <row r="4" spans="1:6" ht="15.75" customHeight="1" thickBot="1" x14ac:dyDescent="0.25">
      <c r="A4" s="1498" t="s">
        <v>8567</v>
      </c>
      <c r="B4" s="1498"/>
      <c r="C4" s="1498"/>
      <c r="D4" s="1498"/>
      <c r="E4" s="1498"/>
      <c r="F4" s="1498"/>
    </row>
    <row r="5" spans="1:6" ht="15.75" thickBot="1" x14ac:dyDescent="0.25">
      <c r="A5" s="1248" t="s">
        <v>8575</v>
      </c>
      <c r="B5" s="1249"/>
      <c r="C5" s="1249"/>
      <c r="D5" s="1249"/>
      <c r="E5" s="1249"/>
      <c r="F5" s="1250"/>
    </row>
    <row r="6" spans="1:6" ht="15" customHeight="1" x14ac:dyDescent="0.2">
      <c r="A6" s="1516" t="s">
        <v>10125</v>
      </c>
      <c r="B6" s="1517"/>
      <c r="C6" s="1518"/>
      <c r="D6" s="1518"/>
      <c r="E6" s="1518"/>
      <c r="F6" s="1519"/>
    </row>
    <row r="7" spans="1:6" s="466" customFormat="1" x14ac:dyDescent="0.25">
      <c r="A7" s="1434" t="s">
        <v>8582</v>
      </c>
      <c r="B7" s="1435"/>
      <c r="C7" s="1456"/>
      <c r="D7" s="1499"/>
      <c r="E7" s="1499"/>
      <c r="F7" s="1500"/>
    </row>
    <row r="8" spans="1:6" s="466" customFormat="1" x14ac:dyDescent="0.25">
      <c r="A8" s="1434" t="s">
        <v>8583</v>
      </c>
      <c r="B8" s="1435"/>
      <c r="C8" s="1456"/>
      <c r="D8" s="1499"/>
      <c r="E8" s="1499"/>
      <c r="F8" s="1500"/>
    </row>
    <row r="9" spans="1:6" s="466" customFormat="1" x14ac:dyDescent="0.25">
      <c r="A9" s="1434" t="s">
        <v>8584</v>
      </c>
      <c r="B9" s="1435"/>
      <c r="C9" s="1456"/>
      <c r="D9" s="1499"/>
      <c r="E9" s="1499"/>
      <c r="F9" s="1500"/>
    </row>
    <row r="10" spans="1:6" s="466" customFormat="1" x14ac:dyDescent="0.25">
      <c r="A10" s="1153" t="s">
        <v>8576</v>
      </c>
      <c r="B10" s="1154"/>
      <c r="C10" s="1423"/>
      <c r="D10" s="1423"/>
      <c r="E10" s="1423"/>
      <c r="F10" s="1424"/>
    </row>
    <row r="11" spans="1:6" s="466" customFormat="1" x14ac:dyDescent="0.25">
      <c r="A11" s="1402" t="s">
        <v>8577</v>
      </c>
      <c r="B11" s="1403"/>
      <c r="C11" s="1423"/>
      <c r="D11" s="1423"/>
      <c r="E11" s="1423"/>
      <c r="F11" s="1424"/>
    </row>
    <row r="12" spans="1:6" s="466" customFormat="1" ht="15.75" customHeight="1" thickBot="1" x14ac:dyDescent="0.3">
      <c r="A12" s="1406" t="s">
        <v>8578</v>
      </c>
      <c r="B12" s="1407"/>
      <c r="C12" s="1425"/>
      <c r="D12" s="1425"/>
      <c r="E12" s="1425"/>
      <c r="F12" s="1426"/>
    </row>
    <row r="13" spans="1:6" s="466" customFormat="1" ht="15.75" customHeight="1" thickBot="1" x14ac:dyDescent="0.3">
      <c r="A13" s="1498" t="s">
        <v>8567</v>
      </c>
      <c r="B13" s="1498"/>
      <c r="C13" s="1498"/>
      <c r="D13" s="1498"/>
      <c r="E13" s="1498"/>
      <c r="F13" s="1498"/>
    </row>
    <row r="14" spans="1:6" s="466" customFormat="1" ht="15.75" thickBot="1" x14ac:dyDescent="0.3">
      <c r="A14" s="1248" t="s">
        <v>8581</v>
      </c>
      <c r="B14" s="1249"/>
      <c r="C14" s="1249"/>
      <c r="D14" s="1249"/>
      <c r="E14" s="1249"/>
      <c r="F14" s="1250"/>
    </row>
    <row r="15" spans="1:6" ht="15" x14ac:dyDescent="0.25">
      <c r="A15" s="1511" t="s">
        <v>8735</v>
      </c>
      <c r="B15" s="1512"/>
      <c r="C15" s="740" t="s">
        <v>8580</v>
      </c>
      <c r="D15" s="1512" t="s">
        <v>8645</v>
      </c>
      <c r="E15" s="1512"/>
      <c r="F15" s="1513"/>
    </row>
    <row r="16" spans="1:6" x14ac:dyDescent="0.2">
      <c r="A16" s="1522" t="s">
        <v>277</v>
      </c>
      <c r="B16" s="1410"/>
      <c r="C16" s="498"/>
      <c r="D16" s="1485">
        <v>50</v>
      </c>
      <c r="E16" s="1485"/>
      <c r="F16" s="1486"/>
    </row>
    <row r="17" spans="1:6" x14ac:dyDescent="0.2">
      <c r="A17" s="1522" t="s">
        <v>4</v>
      </c>
      <c r="B17" s="1410"/>
      <c r="C17" s="498"/>
      <c r="D17" s="1485">
        <v>3</v>
      </c>
      <c r="E17" s="1485"/>
      <c r="F17" s="1486"/>
    </row>
    <row r="18" spans="1:6" s="466" customFormat="1" ht="15" thickBot="1" x14ac:dyDescent="0.25">
      <c r="A18" s="1418" t="s">
        <v>8629</v>
      </c>
      <c r="B18" s="1419"/>
      <c r="C18" s="771"/>
      <c r="D18" s="1419"/>
      <c r="E18" s="1419"/>
      <c r="F18" s="1491"/>
    </row>
    <row r="19" spans="1:6" s="466" customFormat="1" ht="15" x14ac:dyDescent="0.25">
      <c r="A19" s="1501" t="s">
        <v>8901</v>
      </c>
      <c r="B19" s="1502"/>
      <c r="C19" s="488" t="s">
        <v>8580</v>
      </c>
      <c r="D19" s="1523" t="s">
        <v>8645</v>
      </c>
      <c r="E19" s="1523"/>
      <c r="F19" s="1524"/>
    </row>
    <row r="20" spans="1:6" x14ac:dyDescent="0.2">
      <c r="A20" s="1522" t="s">
        <v>8355</v>
      </c>
      <c r="B20" s="1410"/>
      <c r="C20" s="507"/>
      <c r="D20" s="1485"/>
      <c r="E20" s="1485"/>
      <c r="F20" s="1486"/>
    </row>
    <row r="21" spans="1:6" s="466" customFormat="1" x14ac:dyDescent="0.2">
      <c r="A21" s="1529" t="s">
        <v>8379</v>
      </c>
      <c r="B21" s="1410"/>
      <c r="C21" s="498"/>
      <c r="D21" s="1417"/>
      <c r="E21" s="1417"/>
      <c r="F21" s="1525"/>
    </row>
    <row r="22" spans="1:6" s="466" customFormat="1" x14ac:dyDescent="0.2">
      <c r="A22" s="1522" t="s">
        <v>8357</v>
      </c>
      <c r="B22" s="1410"/>
      <c r="C22" s="808"/>
      <c r="D22" s="1526">
        <v>100</v>
      </c>
      <c r="E22" s="1526"/>
      <c r="F22" s="1527"/>
    </row>
    <row r="23" spans="1:6" x14ac:dyDescent="0.2">
      <c r="A23" s="1522" t="s">
        <v>8354</v>
      </c>
      <c r="B23" s="1410"/>
      <c r="C23" s="507"/>
      <c r="D23" s="1485">
        <v>0.5</v>
      </c>
      <c r="E23" s="1485"/>
      <c r="F23" s="1486"/>
    </row>
    <row r="24" spans="1:6" x14ac:dyDescent="0.2">
      <c r="A24" s="1522" t="s">
        <v>8356</v>
      </c>
      <c r="B24" s="1410"/>
      <c r="C24" s="507"/>
      <c r="D24" s="1485"/>
      <c r="E24" s="1485"/>
      <c r="F24" s="1486"/>
    </row>
    <row r="25" spans="1:6" x14ac:dyDescent="0.2">
      <c r="A25" s="1522" t="s">
        <v>10065</v>
      </c>
      <c r="B25" s="1410"/>
      <c r="C25" s="507"/>
      <c r="D25" s="1485"/>
      <c r="E25" s="1485"/>
      <c r="F25" s="1486"/>
    </row>
    <row r="26" spans="1:6" s="466" customFormat="1" x14ac:dyDescent="0.2">
      <c r="A26" s="1487" t="s">
        <v>8382</v>
      </c>
      <c r="B26" s="1485"/>
      <c r="C26" s="797"/>
      <c r="D26" s="1485"/>
      <c r="E26" s="1485"/>
      <c r="F26" s="1486"/>
    </row>
    <row r="27" spans="1:6" s="466" customFormat="1" ht="15" thickBot="1" x14ac:dyDescent="0.25">
      <c r="A27" s="1483" t="s">
        <v>8632</v>
      </c>
      <c r="B27" s="1484"/>
      <c r="C27" s="798"/>
      <c r="D27" s="1496" t="s">
        <v>8592</v>
      </c>
      <c r="E27" s="1496"/>
      <c r="F27" s="1497"/>
    </row>
    <row r="28" spans="1:6" ht="15.75" customHeight="1" thickBot="1" x14ac:dyDescent="0.25">
      <c r="A28" s="1415" t="s">
        <v>8567</v>
      </c>
      <c r="B28" s="1415"/>
      <c r="C28" s="1415"/>
      <c r="D28" s="1415"/>
      <c r="E28" s="1415"/>
      <c r="F28" s="1415"/>
    </row>
    <row r="29" spans="1:6" ht="15.75" thickBot="1" x14ac:dyDescent="0.25">
      <c r="A29" s="1411" t="s">
        <v>8975</v>
      </c>
      <c r="B29" s="1412"/>
      <c r="C29" s="1412"/>
      <c r="D29" s="1412"/>
      <c r="E29" s="1412"/>
      <c r="F29" s="1413"/>
    </row>
    <row r="30" spans="1:6" ht="45.75" thickBot="1" x14ac:dyDescent="0.25">
      <c r="A30" s="710" t="s">
        <v>8353</v>
      </c>
      <c r="B30" s="711" t="s">
        <v>2</v>
      </c>
      <c r="C30" s="712" t="s">
        <v>8383</v>
      </c>
      <c r="D30" s="713" t="s">
        <v>8633</v>
      </c>
      <c r="E30" s="713" t="s">
        <v>8634</v>
      </c>
      <c r="F30" s="714" t="s">
        <v>10061</v>
      </c>
    </row>
    <row r="31" spans="1:6" x14ac:dyDescent="0.2">
      <c r="A31" s="703" t="s">
        <v>3</v>
      </c>
      <c r="B31" s="761" t="s">
        <v>10118</v>
      </c>
      <c r="C31" s="704"/>
      <c r="D31" s="705" t="str">
        <f t="shared" ref="D31:D48" si="0">IF(C31="","",(((12.46*$C$23*$C$20*$C$24/$C$25)/1000)*C31*42/2000))</f>
        <v/>
      </c>
      <c r="E31" s="705" t="str">
        <f t="shared" ref="E31:E48" si="1">IF(D31="","",(((100-$C$22)/100)*D31))</f>
        <v/>
      </c>
      <c r="F31" s="706" t="str">
        <f t="shared" ref="F31:F48" si="2">IF(E31="","",D31-E31)</f>
        <v/>
      </c>
    </row>
    <row r="32" spans="1:6" x14ac:dyDescent="0.2">
      <c r="A32" s="508"/>
      <c r="B32" s="518" t="str">
        <f t="shared" ref="B32:B48" si="3">IFERROR(VLOOKUP(A32, SpeciesDataTable,2,FALSE),"")</f>
        <v/>
      </c>
      <c r="C32" s="519"/>
      <c r="D32" s="520" t="str">
        <f t="shared" si="0"/>
        <v/>
      </c>
      <c r="E32" s="520" t="str">
        <f t="shared" si="1"/>
        <v/>
      </c>
      <c r="F32" s="521" t="str">
        <f t="shared" si="2"/>
        <v/>
      </c>
    </row>
    <row r="33" spans="1:6" x14ac:dyDescent="0.2">
      <c r="A33" s="508"/>
      <c r="B33" s="518" t="str">
        <f t="shared" si="3"/>
        <v/>
      </c>
      <c r="C33" s="519"/>
      <c r="D33" s="520" t="str">
        <f t="shared" si="0"/>
        <v/>
      </c>
      <c r="E33" s="520" t="str">
        <f t="shared" si="1"/>
        <v/>
      </c>
      <c r="F33" s="521" t="str">
        <f t="shared" si="2"/>
        <v/>
      </c>
    </row>
    <row r="34" spans="1:6" x14ac:dyDescent="0.2">
      <c r="A34" s="508"/>
      <c r="B34" s="518" t="str">
        <f t="shared" si="3"/>
        <v/>
      </c>
      <c r="C34" s="519"/>
      <c r="D34" s="520" t="str">
        <f t="shared" si="0"/>
        <v/>
      </c>
      <c r="E34" s="520" t="str">
        <f t="shared" si="1"/>
        <v/>
      </c>
      <c r="F34" s="521" t="str">
        <f t="shared" si="2"/>
        <v/>
      </c>
    </row>
    <row r="35" spans="1:6" x14ac:dyDescent="0.2">
      <c r="A35" s="508"/>
      <c r="B35" s="518" t="str">
        <f t="shared" si="3"/>
        <v/>
      </c>
      <c r="C35" s="519"/>
      <c r="D35" s="520" t="str">
        <f t="shared" si="0"/>
        <v/>
      </c>
      <c r="E35" s="520" t="str">
        <f t="shared" si="1"/>
        <v/>
      </c>
      <c r="F35" s="521" t="str">
        <f t="shared" si="2"/>
        <v/>
      </c>
    </row>
    <row r="36" spans="1:6" x14ac:dyDescent="0.2">
      <c r="A36" s="508"/>
      <c r="B36" s="518" t="str">
        <f t="shared" si="3"/>
        <v/>
      </c>
      <c r="C36" s="519"/>
      <c r="D36" s="520" t="str">
        <f t="shared" si="0"/>
        <v/>
      </c>
      <c r="E36" s="520" t="str">
        <f t="shared" si="1"/>
        <v/>
      </c>
      <c r="F36" s="521" t="str">
        <f t="shared" si="2"/>
        <v/>
      </c>
    </row>
    <row r="37" spans="1:6" x14ac:dyDescent="0.2">
      <c r="A37" s="508"/>
      <c r="B37" s="518" t="str">
        <f t="shared" si="3"/>
        <v/>
      </c>
      <c r="C37" s="519"/>
      <c r="D37" s="520" t="str">
        <f t="shared" si="0"/>
        <v/>
      </c>
      <c r="E37" s="520" t="str">
        <f t="shared" si="1"/>
        <v/>
      </c>
      <c r="F37" s="521" t="str">
        <f t="shared" si="2"/>
        <v/>
      </c>
    </row>
    <row r="38" spans="1:6" x14ac:dyDescent="0.2">
      <c r="A38" s="508"/>
      <c r="B38" s="518" t="str">
        <f t="shared" si="3"/>
        <v/>
      </c>
      <c r="C38" s="519"/>
      <c r="D38" s="520" t="str">
        <f t="shared" si="0"/>
        <v/>
      </c>
      <c r="E38" s="520" t="str">
        <f t="shared" si="1"/>
        <v/>
      </c>
      <c r="F38" s="521" t="str">
        <f t="shared" si="2"/>
        <v/>
      </c>
    </row>
    <row r="39" spans="1:6" x14ac:dyDescent="0.2">
      <c r="A39" s="508"/>
      <c r="B39" s="518" t="str">
        <f t="shared" si="3"/>
        <v/>
      </c>
      <c r="C39" s="519"/>
      <c r="D39" s="520" t="str">
        <f t="shared" si="0"/>
        <v/>
      </c>
      <c r="E39" s="520" t="str">
        <f t="shared" si="1"/>
        <v/>
      </c>
      <c r="F39" s="521" t="str">
        <f t="shared" si="2"/>
        <v/>
      </c>
    </row>
    <row r="40" spans="1:6" x14ac:dyDescent="0.2">
      <c r="A40" s="508"/>
      <c r="B40" s="518" t="str">
        <f t="shared" si="3"/>
        <v/>
      </c>
      <c r="C40" s="519"/>
      <c r="D40" s="520" t="str">
        <f t="shared" si="0"/>
        <v/>
      </c>
      <c r="E40" s="520" t="str">
        <f t="shared" si="1"/>
        <v/>
      </c>
      <c r="F40" s="521" t="str">
        <f t="shared" si="2"/>
        <v/>
      </c>
    </row>
    <row r="41" spans="1:6" x14ac:dyDescent="0.2">
      <c r="A41" s="508"/>
      <c r="B41" s="518" t="str">
        <f t="shared" si="3"/>
        <v/>
      </c>
      <c r="C41" s="519"/>
      <c r="D41" s="520" t="str">
        <f t="shared" si="0"/>
        <v/>
      </c>
      <c r="E41" s="520" t="str">
        <f t="shared" si="1"/>
        <v/>
      </c>
      <c r="F41" s="521" t="str">
        <f t="shared" si="2"/>
        <v/>
      </c>
    </row>
    <row r="42" spans="1:6" x14ac:dyDescent="0.2">
      <c r="A42" s="508"/>
      <c r="B42" s="518" t="str">
        <f t="shared" si="3"/>
        <v/>
      </c>
      <c r="C42" s="519"/>
      <c r="D42" s="520" t="str">
        <f t="shared" si="0"/>
        <v/>
      </c>
      <c r="E42" s="520" t="str">
        <f t="shared" si="1"/>
        <v/>
      </c>
      <c r="F42" s="521" t="str">
        <f t="shared" si="2"/>
        <v/>
      </c>
    </row>
    <row r="43" spans="1:6" x14ac:dyDescent="0.2">
      <c r="A43" s="508"/>
      <c r="B43" s="518" t="str">
        <f t="shared" si="3"/>
        <v/>
      </c>
      <c r="C43" s="519"/>
      <c r="D43" s="520" t="str">
        <f t="shared" si="0"/>
        <v/>
      </c>
      <c r="E43" s="520" t="str">
        <f t="shared" si="1"/>
        <v/>
      </c>
      <c r="F43" s="521" t="str">
        <f t="shared" si="2"/>
        <v/>
      </c>
    </row>
    <row r="44" spans="1:6" x14ac:dyDescent="0.2">
      <c r="A44" s="508"/>
      <c r="B44" s="518" t="str">
        <f t="shared" si="3"/>
        <v/>
      </c>
      <c r="C44" s="519"/>
      <c r="D44" s="520" t="str">
        <f t="shared" si="0"/>
        <v/>
      </c>
      <c r="E44" s="520" t="str">
        <f t="shared" si="1"/>
        <v/>
      </c>
      <c r="F44" s="521" t="str">
        <f t="shared" si="2"/>
        <v/>
      </c>
    </row>
    <row r="45" spans="1:6" x14ac:dyDescent="0.2">
      <c r="A45" s="508"/>
      <c r="B45" s="518" t="str">
        <f t="shared" si="3"/>
        <v/>
      </c>
      <c r="C45" s="519"/>
      <c r="D45" s="520" t="str">
        <f t="shared" si="0"/>
        <v/>
      </c>
      <c r="E45" s="520" t="str">
        <f t="shared" si="1"/>
        <v/>
      </c>
      <c r="F45" s="521" t="str">
        <f t="shared" si="2"/>
        <v/>
      </c>
    </row>
    <row r="46" spans="1:6" x14ac:dyDescent="0.2">
      <c r="A46" s="508"/>
      <c r="B46" s="518" t="str">
        <f t="shared" si="3"/>
        <v/>
      </c>
      <c r="C46" s="519"/>
      <c r="D46" s="520" t="str">
        <f t="shared" si="0"/>
        <v/>
      </c>
      <c r="E46" s="520" t="str">
        <f t="shared" si="1"/>
        <v/>
      </c>
      <c r="F46" s="521" t="str">
        <f t="shared" si="2"/>
        <v/>
      </c>
    </row>
    <row r="47" spans="1:6" x14ac:dyDescent="0.2">
      <c r="A47" s="508"/>
      <c r="B47" s="518" t="str">
        <f t="shared" si="3"/>
        <v/>
      </c>
      <c r="C47" s="519"/>
      <c r="D47" s="520" t="str">
        <f t="shared" si="0"/>
        <v/>
      </c>
      <c r="E47" s="520" t="str">
        <f t="shared" si="1"/>
        <v/>
      </c>
      <c r="F47" s="521" t="str">
        <f t="shared" si="2"/>
        <v/>
      </c>
    </row>
    <row r="48" spans="1:6" ht="15" thickBot="1" x14ac:dyDescent="0.25">
      <c r="A48" s="509"/>
      <c r="B48" s="518" t="str">
        <f t="shared" si="3"/>
        <v/>
      </c>
      <c r="C48" s="522"/>
      <c r="D48" s="520" t="str">
        <f t="shared" si="0"/>
        <v/>
      </c>
      <c r="E48" s="523" t="str">
        <f t="shared" si="1"/>
        <v/>
      </c>
      <c r="F48" s="524" t="str">
        <f t="shared" si="2"/>
        <v/>
      </c>
    </row>
    <row r="49" spans="1:6" x14ac:dyDescent="0.2">
      <c r="A49" s="1528" t="s">
        <v>8641</v>
      </c>
      <c r="B49" s="1528"/>
      <c r="C49" s="1528"/>
      <c r="D49" s="1528"/>
      <c r="E49" s="1528"/>
      <c r="F49" s="1528"/>
    </row>
  </sheetData>
  <sheetProtection algorithmName="SHA-512" hashValue="DsU2qS4m2oO3gwIc2854uXtuG/f2VSOjNj3AGHF+ZAGs4D1umu9vnCB+fNc3Xp3AnycNrnxQW08beSAlYBefVA==" saltValue="xClwhfp5U4x8HyfOmpcqNQ==" spinCount="100000" sheet="1" objects="1" scenarios="1" formatColumns="0" formatRows="0" autoFilter="0"/>
  <mergeCells count="50">
    <mergeCell ref="A16:B16"/>
    <mergeCell ref="D27:F27"/>
    <mergeCell ref="A28:F28"/>
    <mergeCell ref="D23:F23"/>
    <mergeCell ref="D20:F20"/>
    <mergeCell ref="D24:F24"/>
    <mergeCell ref="D25:F25"/>
    <mergeCell ref="D26:F26"/>
    <mergeCell ref="A20:B20"/>
    <mergeCell ref="A24:B24"/>
    <mergeCell ref="A25:B25"/>
    <mergeCell ref="A26:B26"/>
    <mergeCell ref="A19:B19"/>
    <mergeCell ref="A1:F1"/>
    <mergeCell ref="A2:F2"/>
    <mergeCell ref="A3:F3"/>
    <mergeCell ref="A4:F4"/>
    <mergeCell ref="A5:F5"/>
    <mergeCell ref="A49:F49"/>
    <mergeCell ref="A7:B7"/>
    <mergeCell ref="A8:B8"/>
    <mergeCell ref="A27:B27"/>
    <mergeCell ref="A11:B11"/>
    <mergeCell ref="A22:B22"/>
    <mergeCell ref="A21:B21"/>
    <mergeCell ref="A13:F13"/>
    <mergeCell ref="A9:B9"/>
    <mergeCell ref="A10:B10"/>
    <mergeCell ref="A12:B12"/>
    <mergeCell ref="C11:F11"/>
    <mergeCell ref="C12:F12"/>
    <mergeCell ref="C7:F7"/>
    <mergeCell ref="C8:F8"/>
    <mergeCell ref="C9:F9"/>
    <mergeCell ref="A29:F29"/>
    <mergeCell ref="A23:B23"/>
    <mergeCell ref="A14:F14"/>
    <mergeCell ref="D15:F15"/>
    <mergeCell ref="A6:B6"/>
    <mergeCell ref="C6:F6"/>
    <mergeCell ref="C10:F10"/>
    <mergeCell ref="A15:B15"/>
    <mergeCell ref="A17:B17"/>
    <mergeCell ref="D19:F19"/>
    <mergeCell ref="D21:F21"/>
    <mergeCell ref="D22:F22"/>
    <mergeCell ref="D16:F16"/>
    <mergeCell ref="D17:F17"/>
    <mergeCell ref="D18:F18"/>
    <mergeCell ref="A18:B18"/>
  </mergeCells>
  <conditionalFormatting sqref="A22:D22">
    <cfRule type="expression" dxfId="157" priority="21">
      <formula>$C$21="No control"</formula>
    </cfRule>
  </conditionalFormatting>
  <conditionalFormatting sqref="A10:XFD12 A15:XFD18 A20:XFD20 A22:XFD48">
    <cfRule type="expression" dxfId="155" priority="1">
      <formula>$C$6="Affected"</formula>
    </cfRule>
  </conditionalFormatting>
  <conditionalFormatting sqref="E30:F48">
    <cfRule type="expression" dxfId="154" priority="4">
      <formula>$C$21="no control"</formula>
    </cfRule>
  </conditionalFormatting>
  <dataValidations count="20">
    <dataValidation type="list" operator="greaterThanOrEqual" allowBlank="1" showErrorMessage="1" error="The collection efficiency must be at least 100%" prompt="enter the enter the Collection efficiency (%) " sqref="C22" xr:uid="{EBD915BE-F519-4044-AC18-E90DCCEDAA8C}">
      <formula1>"100"</formula1>
    </dataValidation>
    <dataValidation type="decimal" operator="greaterThanOrEqual" allowBlank="1" showErrorMessage="1" prompt="enter the Distance to the property line (ft)" sqref="C16" xr:uid="{9B8947E7-48F8-4E25-827E-B7D3EBB31D51}">
      <formula1>50</formula1>
    </dataValidation>
    <dataValidation type="decimal" operator="greaterThanOrEqual" allowBlank="1" showErrorMessage="1" prompt="enter the Release height (ft)" sqref="C17" xr:uid="{D9B1FB41-C4B5-4ABF-80C5-573B531A80CB}">
      <formula1>3</formula1>
    </dataValidation>
    <dataValidation type="list" allowBlank="1" showErrorMessage="1" error="Acceptable entries are 0.5 and 0.6." prompt="enter the Saturation factor, from AP-42 Table 5.2-1" sqref="C23" xr:uid="{68546C31-49D9-49A5-BFC1-91F7DF81CB6D}">
      <formula1>"0.50,0.60"</formula1>
    </dataValidation>
    <dataValidation type="list" operator="greaterThanOrEqual" allowBlank="1" showInputMessage="1" showErrorMessage="1" error="Minimum release height is 3 feet." prompt="Review Section IV of the &quot;Instruction&quot; sheet of this workbook for downwash applicability guidance." sqref="C22" xr:uid="{C9C99644-9943-4E9D-B1A1-D3F0279561AC}">
      <formula1>YN</formula1>
    </dataValidation>
    <dataValidation type="list" allowBlank="1" showErrorMessage="1" prompt="select the CAS number" sqref="A32:A48" xr:uid="{918E2D1C-AA4F-4DD9-9282-15C1278E2539}">
      <formula1>CASNo</formula1>
    </dataValidation>
    <dataValidation type="list" allowBlank="1" showErrorMessage="1" prompt="Is this an affected or modified source? Select from drop-down." sqref="C6:F6" xr:uid="{6315C530-0B38-4702-A152-B1F84CD1E3AE}">
      <formula1>"Modified,Affected"</formula1>
    </dataValidation>
    <dataValidation type="decimal" operator="greaterThanOrEqual" allowBlank="1" showErrorMessage="1" prompt="enter the Currently authorized throughput (bbl/yr)" sqref="C26" xr:uid="{DEEE7BE9-5E1F-461E-B560-780C4CDD15E3}">
      <formula1>0</formula1>
    </dataValidation>
    <dataValidation type="list" operator="greaterThanOrEqual" allowBlank="1" showInputMessage="1" showErrorMessage="1" prompt="Review Section V of the &quot;Instruction&quot; sheet of this workbook for downwash applicability guidance." sqref="C18" xr:uid="{59EFB58D-9D8E-443C-ACC6-3A3E1AFE2C88}">
      <formula1>YN</formula1>
    </dataValidation>
    <dataValidation allowBlank="1" showErrorMessage="1" prompt="_x000a_enter the FIN (must match the existing authorization's FIN)" sqref="C7:F7" xr:uid="{A8DE6909-4060-4E24-9182-58D427B6FF79}"/>
    <dataValidation allowBlank="1" showErrorMessage="1" prompt="enter the EPN (must match the existing authorization's EPN)" sqref="C8:F8" xr:uid="{61A6FAAB-ABAB-4AF4-BABD-BDFD58880A6E}"/>
    <dataValidation allowBlank="1" showErrorMessage="1" prompt="enter the Source Name (must match existing authorization's source name) " sqref="C9:F9" xr:uid="{122C0797-4D8D-4496-9471-B355200ACE2D}"/>
    <dataValidation type="list" allowBlank="1" showErrorMessage="1" prompt="enter the UTM Zone" sqref="C10:F10" xr:uid="{55C9BFC8-6244-40EC-ABB2-3375B17FFCF2}">
      <formula1>Zones</formula1>
    </dataValidation>
    <dataValidation type="decimal" allowBlank="1" showErrorMessage="1" error="Value must be between 205,000 and 795,000 meters." prompt=" _x000a_enter the UTM Coordinate - Easting (meters)" sqref="C11:F11" xr:uid="{34E43BD6-9FBF-40F2-AD8E-714208C6E14F}">
      <formula1>205000</formula1>
      <formula2>795000</formula2>
    </dataValidation>
    <dataValidation type="decimal" allowBlank="1" showErrorMessage="1" error="Value must be between 2,854,000 and 4,059,000 meters." prompt="enter the UTM Coordinate - Northing (meters)" sqref="C12:F12" xr:uid="{2E8F1AB8-D25D-4B04-8BA7-8661DD5B136F}">
      <formula1>2854000</formula1>
      <formula2>4059000</formula2>
    </dataValidation>
    <dataValidation type="decimal" operator="greaterThanOrEqual" allowBlank="1" showErrorMessage="1" prompt="enter the throughput increase proposed" sqref="C31:C48" xr:uid="{A531AF83-A377-42AF-96B1-ACA75201782A}">
      <formula1>0</formula1>
    </dataValidation>
    <dataValidation type="decimal" operator="greaterThanOrEqual" allowBlank="1" showErrorMessage="1" prompt="enter the Proposed throughput increase (bbl/yr) " sqref="C27" xr:uid="{D546F081-803B-423E-94BE-BB1A065ADE14}">
      <formula1>0</formula1>
    </dataValidation>
    <dataValidation allowBlank="1" showErrorMessage="1" prompt="enter the Average annual temperature of bulk liquid loaded (⁰R)" sqref="C25" xr:uid="{BC2EB047-8FF4-447D-95F2-13E7C9322F03}"/>
    <dataValidation allowBlank="1" showErrorMessage="1" prompt="enter the Molecular weight of vapors (lb/lb-mol)" sqref="C24" xr:uid="{80761553-8E03-4D79-BC4D-6EF8F25B9186}"/>
    <dataValidation allowBlank="1" showErrorMessage="1" prompt="enter the True vapor pressure of liquid loaded (psia) " sqref="C20" xr:uid="{0B061F39-F681-42B0-8874-4C5FCEDB56DA}"/>
  </dataValidations>
  <printOptions horizontalCentered="1"/>
  <pageMargins left="0.7" right="0.7" top="0.75" bottom="0.75" header="0.3" footer="0.3"/>
  <pageSetup scale="67" orientation="landscape" r:id="rId1"/>
  <headerFooter>
    <oddHeader>&amp;C&amp;"Arial,Regular"Tanks and Loading Increases RAP Application</oddHeader>
    <oddFooter>&amp;LVersion 3.0&amp;CSheet: &amp;A&amp;RPage &amp;P</oddFooter>
  </headerFooter>
  <extLst>
    <ext xmlns:x14="http://schemas.microsoft.com/office/spreadsheetml/2009/9/main" uri="{78C0D931-6437-407d-A8EE-F0AAD7539E65}">
      <x14:conditionalFormattings>
        <x14:conditionalFormatting xmlns:xm="http://schemas.microsoft.com/office/excel/2006/main">
          <x14:cfRule type="expression" priority="501" id="{0737AAC1-DB8F-4F25-A5E5-BFC6B78EF481}">
            <xm:f>'PI-1-TankLoading'!$G$105="No"</xm:f>
            <x14:dxf>
              <font>
                <color theme="0" tint="-0.24994659260841701"/>
              </font>
              <numFmt numFmtId="171" formatCode=";;;"/>
              <fill>
                <patternFill>
                  <bgColor theme="0" tint="-0.499984740745262"/>
                </patternFill>
              </fill>
              <border>
                <left/>
                <right/>
                <top/>
                <bottom/>
              </border>
            </x14:dxf>
          </x14:cfRule>
          <xm:sqref>A1:A6 G1:XFD1048576 C6 A7:C12 A13:A14 A15:D18 A19:A20 C19:D20 A20:D27 A28 A29:F1048576</xm:sqref>
        </x14:conditionalFormatting>
        <x14:conditionalFormatting xmlns:xm="http://schemas.microsoft.com/office/excel/2006/main">
          <x14:cfRule type="expression" priority="2" stopIfTrue="1" id="{4E574CC0-D148-4598-8D1C-31EFF8B2835E}">
            <xm:f>'Hidden Inputs'!$BR$5</xm:f>
            <x14:dxf>
              <font>
                <color theme="0" tint="-0.499984740745262"/>
              </font>
              <numFmt numFmtId="171" formatCode=";;;"/>
              <fill>
                <patternFill>
                  <bgColor theme="0" tint="-0.499984740745262"/>
                </patternFill>
              </fill>
              <border>
                <left/>
                <right/>
                <top/>
                <bottom/>
              </border>
            </x14:dxf>
          </x14:cfRule>
          <xm:sqref>A1:XFD1048576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prompt="select the Control device for this loading activity" xr:uid="{FE64BB32-9183-4287-9CDB-9D4DB26940ED}">
          <x14:formula1>
            <xm:f>IF(AND('PI-1-TankLoading'!$G$106="No",'PI-1-TankLoading'!$G$107="No",'PI-1-TankLoading'!$G$108="No"),NoControl,IF($C$20&lt;0.5,ControlDevices,ControlRequired))</xm:f>
          </x14:formula1>
          <xm:sqref>C21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5FA755-4DC9-41C4-AD3F-8C55848C602F}">
  <sheetPr codeName="Sheet15">
    <tabColor rgb="FFFFFFCC"/>
    <pageSetUpPr fitToPage="1"/>
  </sheetPr>
  <dimension ref="A1:F186"/>
  <sheetViews>
    <sheetView workbookViewId="0">
      <selection sqref="A1:E1"/>
    </sheetView>
  </sheetViews>
  <sheetFormatPr defaultColWidth="0" defaultRowHeight="14.25" zeroHeight="1" x14ac:dyDescent="0.25"/>
  <cols>
    <col min="1" max="1" width="18.28515625" style="466" customWidth="1"/>
    <col min="2" max="2" width="44.28515625" style="466" customWidth="1"/>
    <col min="3" max="3" width="21.85546875" style="466" bestFit="1" customWidth="1"/>
    <col min="4" max="4" width="24.5703125" style="466" bestFit="1" customWidth="1"/>
    <col min="5" max="5" width="26.28515625" style="466" customWidth="1"/>
    <col min="6" max="6" width="0" style="466" hidden="1" customWidth="1"/>
    <col min="7" max="16384" width="9.140625" style="466" hidden="1"/>
  </cols>
  <sheetData>
    <row r="1" spans="1:5" ht="6" customHeight="1" thickBot="1" x14ac:dyDescent="0.3">
      <c r="A1" s="1503" t="s">
        <v>8392</v>
      </c>
      <c r="B1" s="1503"/>
      <c r="C1" s="1503"/>
      <c r="D1" s="1503"/>
      <c r="E1" s="1503"/>
    </row>
    <row r="2" spans="1:5" ht="18.75" thickBot="1" x14ac:dyDescent="0.3">
      <c r="A2" s="1436" t="s">
        <v>267</v>
      </c>
      <c r="B2" s="1437"/>
      <c r="C2" s="1437"/>
      <c r="D2" s="1437"/>
      <c r="E2" s="1438"/>
    </row>
    <row r="3" spans="1:5" ht="108" customHeight="1" thickBot="1" x14ac:dyDescent="0.3">
      <c r="A3" s="1448" t="s">
        <v>10210</v>
      </c>
      <c r="B3" s="1504"/>
      <c r="C3" s="1504"/>
      <c r="D3" s="1504"/>
      <c r="E3" s="1505"/>
    </row>
    <row r="4" spans="1:5" ht="15.75" thickBot="1" x14ac:dyDescent="0.3">
      <c r="A4" s="1574" t="s">
        <v>8567</v>
      </c>
      <c r="B4" s="1574"/>
      <c r="C4" s="1574"/>
      <c r="D4" s="1574"/>
      <c r="E4" s="1574"/>
    </row>
    <row r="5" spans="1:5" ht="15.75" thickBot="1" x14ac:dyDescent="0.3">
      <c r="A5" s="1411" t="s">
        <v>8575</v>
      </c>
      <c r="B5" s="1412"/>
      <c r="C5" s="1412"/>
      <c r="D5" s="1412"/>
      <c r="E5" s="1413"/>
    </row>
    <row r="6" spans="1:5" ht="15" customHeight="1" x14ac:dyDescent="0.25">
      <c r="A6" s="1516" t="s">
        <v>10125</v>
      </c>
      <c r="B6" s="1517"/>
      <c r="C6" s="1518"/>
      <c r="D6" s="1518"/>
      <c r="E6" s="1519"/>
    </row>
    <row r="7" spans="1:5" x14ac:dyDescent="0.25">
      <c r="A7" s="1434" t="s">
        <v>8583</v>
      </c>
      <c r="B7" s="1435"/>
      <c r="C7" s="1456"/>
      <c r="D7" s="1499"/>
      <c r="E7" s="1500"/>
    </row>
    <row r="8" spans="1:5" x14ac:dyDescent="0.25">
      <c r="A8" s="1434" t="s">
        <v>8584</v>
      </c>
      <c r="B8" s="1435"/>
      <c r="C8" s="1456"/>
      <c r="D8" s="1499"/>
      <c r="E8" s="1500"/>
    </row>
    <row r="9" spans="1:5" x14ac:dyDescent="0.25">
      <c r="A9" s="1153" t="s">
        <v>8576</v>
      </c>
      <c r="B9" s="1154"/>
      <c r="C9" s="1423"/>
      <c r="D9" s="1423"/>
      <c r="E9" s="1424"/>
    </row>
    <row r="10" spans="1:5" x14ac:dyDescent="0.25">
      <c r="A10" s="1402" t="s">
        <v>8577</v>
      </c>
      <c r="B10" s="1403"/>
      <c r="C10" s="1423"/>
      <c r="D10" s="1423"/>
      <c r="E10" s="1424"/>
    </row>
    <row r="11" spans="1:5" ht="15.75" customHeight="1" thickBot="1" x14ac:dyDescent="0.3">
      <c r="A11" s="1406" t="s">
        <v>8578</v>
      </c>
      <c r="B11" s="1407"/>
      <c r="C11" s="1425"/>
      <c r="D11" s="1425"/>
      <c r="E11" s="1426"/>
    </row>
    <row r="12" spans="1:5" ht="15.75" thickBot="1" x14ac:dyDescent="0.3">
      <c r="A12" s="1574" t="s">
        <v>8567</v>
      </c>
      <c r="B12" s="1574"/>
      <c r="C12" s="1574"/>
      <c r="D12" s="1574"/>
      <c r="E12" s="1574"/>
    </row>
    <row r="13" spans="1:5" ht="15.75" thickBot="1" x14ac:dyDescent="0.3">
      <c r="A13" s="1344" t="s">
        <v>8581</v>
      </c>
      <c r="B13" s="1345"/>
      <c r="C13" s="1345"/>
      <c r="D13" s="1345"/>
      <c r="E13" s="1346"/>
    </row>
    <row r="14" spans="1:5" ht="15" x14ac:dyDescent="0.25">
      <c r="A14" s="1535" t="s">
        <v>8735</v>
      </c>
      <c r="B14" s="1536"/>
      <c r="C14" s="741" t="s">
        <v>8580</v>
      </c>
      <c r="D14" s="1536" t="s">
        <v>8645</v>
      </c>
      <c r="E14" s="1554"/>
    </row>
    <row r="15" spans="1:5" x14ac:dyDescent="0.25">
      <c r="A15" s="1153" t="s">
        <v>277</v>
      </c>
      <c r="B15" s="1154"/>
      <c r="C15" s="738"/>
      <c r="D15" s="1154">
        <v>50</v>
      </c>
      <c r="E15" s="1567"/>
    </row>
    <row r="16" spans="1:5" x14ac:dyDescent="0.25">
      <c r="A16" s="1153" t="s">
        <v>4</v>
      </c>
      <c r="B16" s="1154"/>
      <c r="C16" s="738"/>
      <c r="D16" s="1154">
        <v>3</v>
      </c>
      <c r="E16" s="1567"/>
    </row>
    <row r="17" spans="1:5" ht="15" thickBot="1" x14ac:dyDescent="0.25">
      <c r="A17" s="1575" t="s">
        <v>8629</v>
      </c>
      <c r="B17" s="1568"/>
      <c r="C17" s="744"/>
      <c r="D17" s="1568"/>
      <c r="E17" s="1569"/>
    </row>
    <row r="18" spans="1:5" ht="15" x14ac:dyDescent="0.25">
      <c r="A18" s="1481" t="s">
        <v>8737</v>
      </c>
      <c r="B18" s="1482"/>
      <c r="C18" s="741" t="s">
        <v>8580</v>
      </c>
      <c r="D18" s="1536" t="s">
        <v>8645</v>
      </c>
      <c r="E18" s="1554"/>
    </row>
    <row r="19" spans="1:5" x14ac:dyDescent="0.25">
      <c r="A19" s="1153" t="s">
        <v>8368</v>
      </c>
      <c r="B19" s="1154"/>
      <c r="C19" s="526">
        <v>0.98</v>
      </c>
      <c r="D19" s="1565">
        <v>0.98</v>
      </c>
      <c r="E19" s="1566"/>
    </row>
    <row r="20" spans="1:5" x14ac:dyDescent="0.25">
      <c r="A20" s="1545" t="s">
        <v>8536</v>
      </c>
      <c r="B20" s="1546"/>
      <c r="C20" s="527"/>
      <c r="D20" s="1565"/>
      <c r="E20" s="1566"/>
    </row>
    <row r="21" spans="1:5" ht="30.75" customHeight="1" x14ac:dyDescent="0.25">
      <c r="A21" s="1545" t="s">
        <v>10018</v>
      </c>
      <c r="B21" s="1546"/>
      <c r="C21" s="528"/>
      <c r="D21" s="1537">
        <v>300</v>
      </c>
      <c r="E21" s="1538"/>
    </row>
    <row r="22" spans="1:5" x14ac:dyDescent="0.25">
      <c r="A22" s="1545" t="s">
        <v>10066</v>
      </c>
      <c r="B22" s="1546"/>
      <c r="C22" s="530" t="str">
        <f>IF(C21="","",(VLOOKUP(Flare!C20,'Hidden Inputs'!AP3:AR4,MATCH('Hidden Inputs'!AV2,'Hidden Inputs'!AP2:AR2,0),FALSE)))</f>
        <v/>
      </c>
      <c r="D22" s="1537"/>
      <c r="E22" s="1538"/>
    </row>
    <row r="23" spans="1:5" x14ac:dyDescent="0.25">
      <c r="A23" s="1545" t="s">
        <v>8741</v>
      </c>
      <c r="B23" s="1546"/>
      <c r="C23" s="531" t="str">
        <f>IF(C21="","",(VLOOKUP(C20,'Hidden Inputs'!AS3:AU4,MATCH('Hidden Inputs'!AV2,'Hidden Inputs'!AS2:AU2,0),FALSE)))</f>
        <v/>
      </c>
      <c r="D23" s="1537"/>
      <c r="E23" s="1538"/>
    </row>
    <row r="24" spans="1:5" ht="15" customHeight="1" x14ac:dyDescent="0.25">
      <c r="A24" s="1549" t="s">
        <v>10114</v>
      </c>
      <c r="B24" s="1546"/>
      <c r="C24" s="527"/>
      <c r="D24" s="1561"/>
      <c r="E24" s="1562"/>
    </row>
    <row r="25" spans="1:5" ht="15" customHeight="1" thickBot="1" x14ac:dyDescent="0.3">
      <c r="A25" s="1155" t="s">
        <v>10323</v>
      </c>
      <c r="B25" s="1156"/>
      <c r="C25" s="839"/>
      <c r="D25" s="1572"/>
      <c r="E25" s="1573"/>
    </row>
    <row r="26" spans="1:5" ht="15" x14ac:dyDescent="0.25">
      <c r="A26" s="1570" t="s">
        <v>8734</v>
      </c>
      <c r="B26" s="1571"/>
      <c r="C26" s="749" t="s">
        <v>8580</v>
      </c>
      <c r="D26" s="1563" t="s">
        <v>8645</v>
      </c>
      <c r="E26" s="1564"/>
    </row>
    <row r="27" spans="1:5" x14ac:dyDescent="0.25">
      <c r="A27" s="1545" t="s">
        <v>8732</v>
      </c>
      <c r="B27" s="1546"/>
      <c r="C27" s="527"/>
      <c r="D27" s="1565"/>
      <c r="E27" s="1566"/>
    </row>
    <row r="28" spans="1:5" x14ac:dyDescent="0.25">
      <c r="A28" s="1545" t="s">
        <v>8733</v>
      </c>
      <c r="B28" s="1546"/>
      <c r="C28" s="527"/>
      <c r="D28" s="1565"/>
      <c r="E28" s="1566"/>
    </row>
    <row r="29" spans="1:5" x14ac:dyDescent="0.25">
      <c r="A29" s="1545" t="s">
        <v>8746</v>
      </c>
      <c r="B29" s="1546"/>
      <c r="C29" s="528"/>
      <c r="D29" s="1537"/>
      <c r="E29" s="1538"/>
    </row>
    <row r="30" spans="1:5" x14ac:dyDescent="0.25">
      <c r="A30" s="1545" t="s">
        <v>10020</v>
      </c>
      <c r="B30" s="1546"/>
      <c r="C30" s="528"/>
      <c r="D30" s="1537"/>
      <c r="E30" s="1538"/>
    </row>
    <row r="31" spans="1:5" ht="15" thickBot="1" x14ac:dyDescent="0.3">
      <c r="A31" s="1548" t="s">
        <v>10067</v>
      </c>
      <c r="B31" s="1156"/>
      <c r="C31" s="532" t="str">
        <f>IF(C28="natural gas",0.2,IF(C28="fuel gas",10,""))</f>
        <v/>
      </c>
      <c r="D31" s="1541"/>
      <c r="E31" s="1542"/>
    </row>
    <row r="32" spans="1:5" ht="15" x14ac:dyDescent="0.25">
      <c r="A32" s="1130" t="s">
        <v>8736</v>
      </c>
      <c r="B32" s="1131"/>
      <c r="C32" s="741" t="s">
        <v>8580</v>
      </c>
      <c r="D32" s="1536" t="s">
        <v>8645</v>
      </c>
      <c r="E32" s="1554"/>
    </row>
    <row r="33" spans="1:5" ht="15" customHeight="1" x14ac:dyDescent="0.25">
      <c r="A33" s="1545" t="s">
        <v>10019</v>
      </c>
      <c r="B33" s="1546"/>
      <c r="C33" s="738"/>
      <c r="D33" s="1154"/>
      <c r="E33" s="1567"/>
    </row>
    <row r="34" spans="1:5" x14ac:dyDescent="0.25">
      <c r="A34" s="1545" t="s">
        <v>8921</v>
      </c>
      <c r="B34" s="1546"/>
      <c r="C34" s="528"/>
      <c r="D34" s="1537"/>
      <c r="E34" s="1538"/>
    </row>
    <row r="35" spans="1:5" x14ac:dyDescent="0.25">
      <c r="A35" s="1549" t="s">
        <v>10116</v>
      </c>
      <c r="B35" s="1546"/>
      <c r="C35" s="528"/>
      <c r="D35" s="1537"/>
      <c r="E35" s="1538"/>
    </row>
    <row r="36" spans="1:5" x14ac:dyDescent="0.25">
      <c r="A36" s="1550" t="s">
        <v>10120</v>
      </c>
      <c r="B36" s="1546"/>
      <c r="C36" s="533">
        <f>SUMIF(B46:B185,"hydrogen sulfide",D46:D185)</f>
        <v>0</v>
      </c>
      <c r="D36" s="1537"/>
      <c r="E36" s="1538"/>
    </row>
    <row r="37" spans="1:5" x14ac:dyDescent="0.25">
      <c r="A37" s="1549" t="s">
        <v>10115</v>
      </c>
      <c r="B37" s="1546"/>
      <c r="C37" s="528"/>
      <c r="D37" s="1537"/>
      <c r="E37" s="1538"/>
    </row>
    <row r="38" spans="1:5" ht="15" thickBot="1" x14ac:dyDescent="0.3">
      <c r="A38" s="1548" t="s">
        <v>10068</v>
      </c>
      <c r="B38" s="1156"/>
      <c r="C38" s="532">
        <f>SUMIF(B46:B185,"ammonia",D46:D185)</f>
        <v>0</v>
      </c>
      <c r="D38" s="1539"/>
      <c r="E38" s="1540"/>
    </row>
    <row r="39" spans="1:5" ht="15" customHeight="1" x14ac:dyDescent="0.25">
      <c r="A39" s="1543" t="s">
        <v>8740</v>
      </c>
      <c r="B39" s="1544"/>
      <c r="C39" s="1536" t="s">
        <v>9687</v>
      </c>
      <c r="D39" s="1536"/>
      <c r="E39" s="1554"/>
    </row>
    <row r="40" spans="1:5" x14ac:dyDescent="0.25">
      <c r="A40" s="1545" t="s">
        <v>8739</v>
      </c>
      <c r="B40" s="1546"/>
      <c r="C40" s="1555"/>
      <c r="D40" s="1555"/>
      <c r="E40" s="1556"/>
    </row>
    <row r="41" spans="1:5" ht="54.75" customHeight="1" x14ac:dyDescent="0.25">
      <c r="A41" s="1547" t="s">
        <v>10087</v>
      </c>
      <c r="B41" s="1139"/>
      <c r="C41" s="1530"/>
      <c r="D41" s="1530"/>
      <c r="E41" s="1531"/>
    </row>
    <row r="42" spans="1:5" ht="15.75" customHeight="1" thickBot="1" x14ac:dyDescent="0.3">
      <c r="A42" s="1548" t="s">
        <v>8738</v>
      </c>
      <c r="B42" s="1156"/>
      <c r="C42" s="1532"/>
      <c r="D42" s="1533"/>
      <c r="E42" s="1534"/>
    </row>
    <row r="43" spans="1:5" ht="15.75" thickBot="1" x14ac:dyDescent="0.3">
      <c r="A43" s="1553" t="s">
        <v>8567</v>
      </c>
      <c r="B43" s="1553"/>
      <c r="C43" s="1553"/>
      <c r="D43" s="1553"/>
      <c r="E43" s="1553"/>
    </row>
    <row r="44" spans="1:5" ht="15.75" thickBot="1" x14ac:dyDescent="0.3">
      <c r="A44" s="1411" t="s">
        <v>8975</v>
      </c>
      <c r="B44" s="1412"/>
      <c r="C44" s="1412"/>
      <c r="D44" s="1412"/>
      <c r="E44" s="1413"/>
    </row>
    <row r="45" spans="1:5" ht="57.75" customHeight="1" x14ac:dyDescent="0.25">
      <c r="A45" s="441" t="s">
        <v>8353</v>
      </c>
      <c r="B45" s="1557" t="s">
        <v>2</v>
      </c>
      <c r="C45" s="1557"/>
      <c r="D45" s="443" t="s">
        <v>10062</v>
      </c>
      <c r="E45" s="445" t="s">
        <v>10063</v>
      </c>
    </row>
    <row r="46" spans="1:5" x14ac:dyDescent="0.2">
      <c r="A46" s="489" t="s">
        <v>8363</v>
      </c>
      <c r="B46" s="1552" t="s">
        <v>8363</v>
      </c>
      <c r="C46" s="1552"/>
      <c r="D46" s="802" t="s">
        <v>8704</v>
      </c>
      <c r="E46" s="575">
        <f>IF(C27="Yes",IFERROR((C22*C33*C34/2000/1000000)+(C22*C30*C29/2000/1000000)+(C38*46/17.03),0),IFERROR((C22*C33*C34/2000/1000000)+(C38*46/17.03),0))</f>
        <v>0</v>
      </c>
    </row>
    <row r="47" spans="1:5" x14ac:dyDescent="0.2">
      <c r="A47" s="489" t="s">
        <v>8706</v>
      </c>
      <c r="B47" s="1552" t="s">
        <v>8364</v>
      </c>
      <c r="C47" s="1552"/>
      <c r="D47" s="802" t="s">
        <v>8704</v>
      </c>
      <c r="E47" s="575">
        <f>IF(C27="Yes",IFERROR((C33*C34*C23/2000/1000000)+(C30*C29*C23/2000/1000000),0),IFERROR((C33*C34*C23/2000/1000000),0))</f>
        <v>0</v>
      </c>
    </row>
    <row r="48" spans="1:5" x14ac:dyDescent="0.2">
      <c r="A48" s="534" t="s">
        <v>8707</v>
      </c>
      <c r="B48" s="1552" t="s">
        <v>8366</v>
      </c>
      <c r="C48" s="1552"/>
      <c r="D48" s="802" t="s">
        <v>8704</v>
      </c>
      <c r="E48" s="575" t="str">
        <f>IF(C27="Yes",IFERROR((C31/15.432/453.592*100/2000*C29),0)+(C36*64.06/34.08),IF(C35="Yes",C36*64.06/34.08,"&lt;0.01"))</f>
        <v>&lt;0.01</v>
      </c>
    </row>
    <row r="49" spans="1:5" x14ac:dyDescent="0.2">
      <c r="A49" s="489" t="s">
        <v>3</v>
      </c>
      <c r="B49" s="1558" t="s">
        <v>10118</v>
      </c>
      <c r="C49" s="1552"/>
      <c r="D49" s="576">
        <f>(IF(
Tank1!$C$23="Flare",SUMIF(Tank1!$A$32:$A$49,Flare!A49,Tank1!$C$32:$C$49),0))+(
IF(Tank2!$C$23="Flare",SUMIF(Tank2!$A$32:$A$49, Flare!A49,Tank2!$C$32:$C$49),0))+(
IF(Tank3!$C$23="Flare",SUMIF(Tank3!$A$32:$A$49, Flare!A49,Tank3!$C$32:$C$49),0))+(
IF(Tank4!$C$23="Flare",SUMIF(Tank4!$A$32:$A$49, Flare!A49,Tank4!$C$32:$C$49),0))+(
IF(Tank5!$C$23="Flare",SUMIF(Tank5!$A$32:$A$49, Flare!A49,Tank5!$C$32:$C$49),0))+(
IF('Loading-drum,tote'!$C$21="Flare",SUMIF('Loading-drum,tote'!$A$31:$A$48, Flare!A49,'Loading-drum,tote'!$F$31:$F$48),0))+(
IF('Loading-truck'!$C$21="Flare",SUMIF('Loading-truck'!$A$31:$A$48, Flare!A49,'Loading-truck'!$F$31:$F$48),0))+(
IF('Loading-rail'!$C$21="Flare",SUMIF('Loading-rail'!$A$31:$A$48, Flare!A49,'Loading-rail'!$F$31:$F$48),0))</f>
        <v>0</v>
      </c>
      <c r="E49" s="575">
        <f>D49*(1-0.98)</f>
        <v>0</v>
      </c>
    </row>
    <row r="50" spans="1:5" x14ac:dyDescent="0.25">
      <c r="A50" s="688" t="str">
        <f>'Hidden Inputs'!AM2</f>
        <v/>
      </c>
      <c r="B50" s="1551" t="str">
        <f t="shared" ref="B50:B81" si="0">IFERROR(VLOOKUP(A50, SpeciesDataTable,2,FALSE),"")</f>
        <v/>
      </c>
      <c r="C50" s="1551"/>
      <c r="D50" s="576">
        <f>(IF(
Tank1!$C$23="Flare",SUMIF(Tank1!$A$32:$A$49,Flare!A50,Tank1!$C$32:$C$49),0))+(
IF(Tank2!$C$23="Flare",SUMIF(Tank2!$A$32:$A$49, Flare!A50,Tank2!$C$32:$C$49),0))+(
IF(Tank3!$C$23="Flare",SUMIF(Tank3!$A$32:$A$49, Flare!A50,Tank3!$C$32:$C$49),0))+(
IF(Tank4!$C$23="Flare",SUMIF(Tank4!$A$32:$A$49, Flare!A50,Tank4!$C$32:$C$49),0))+(
IF(Tank5!$C$23="Flare",SUMIF(Tank5!$A$32:$A$49, Flare!A50,Tank5!$C$32:$C$49),0))+(
IF('Loading-drum,tote'!$C$21="Flare",SUMIF('Loading-drum,tote'!$A$31:$A$48, Flare!A50,'Loading-drum,tote'!$F$31:$F$48),0))+(
IF('Loading-truck'!$C$21="Flare",SUMIF('Loading-truck'!$A$31:$A$48, Flare!A50,'Loading-truck'!$F$31:$F$48),0))+(
IF('Loading-rail'!$C$21="Flare",SUMIF('Loading-rail'!$A$31:$A$48, Flare!A50,'Loading-rail'!$F$31:$F$48),0))</f>
        <v>0</v>
      </c>
      <c r="E50" s="575">
        <f>IF(OR(B50="ammonia",B50="hydrogen sulfide"),D50,D50*(1-0.98))</f>
        <v>0</v>
      </c>
    </row>
    <row r="51" spans="1:5" x14ac:dyDescent="0.25">
      <c r="A51" s="688" t="str">
        <f>'Hidden Inputs'!AM3</f>
        <v/>
      </c>
      <c r="B51" s="1551" t="str">
        <f t="shared" si="0"/>
        <v/>
      </c>
      <c r="C51" s="1551"/>
      <c r="D51" s="576">
        <f>(IF(
Tank1!$C$23="Flare",SUMIF(Tank1!$A$32:$A$49,Flare!A51,Tank1!$C$32:$C$49),0))+(
IF(Tank2!$C$23="Flare",SUMIF(Tank2!$A$32:$A$49, Flare!A51,Tank2!$C$32:$C$49),0))+(
IF(Tank3!$C$23="Flare",SUMIF(Tank3!$A$32:$A$49, Flare!A51,Tank3!$C$32:$C$49),0))+(
IF(Tank4!$C$23="Flare",SUMIF(Tank4!$A$32:$A$49, Flare!A51,Tank4!$C$32:$C$49),0))+(
IF(Tank5!$C$23="Flare",SUMIF(Tank5!$A$32:$A$49, Flare!A51,Tank5!$C$32:$C$49),0))+(
IF('Loading-drum,tote'!$C$21="Flare",SUMIF('Loading-drum,tote'!$A$31:$A$48, Flare!A51,'Loading-drum,tote'!$F$31:$F$48),0))+(
IF('Loading-truck'!$C$21="Flare",SUMIF('Loading-truck'!$A$31:$A$48, Flare!A51,'Loading-truck'!$F$31:$F$48),0))+(
IF('Loading-rail'!$C$21="Flare",SUMIF('Loading-rail'!$A$31:$A$48, Flare!A51,'Loading-rail'!$F$31:$F$48),0))</f>
        <v>0</v>
      </c>
      <c r="E51" s="575">
        <f t="shared" ref="E51:E114" si="1">IF(OR(B51="ammonia",B51="hydrogen sulfide"),D51,D51*(1-0.98))</f>
        <v>0</v>
      </c>
    </row>
    <row r="52" spans="1:5" x14ac:dyDescent="0.25">
      <c r="A52" s="688" t="str">
        <f>'Hidden Inputs'!AM4</f>
        <v/>
      </c>
      <c r="B52" s="1551" t="str">
        <f t="shared" si="0"/>
        <v/>
      </c>
      <c r="C52" s="1551"/>
      <c r="D52" s="576">
        <f>(IF(
Tank1!$C$23="Flare",SUMIF(Tank1!$A$32:$A$49,Flare!A52,Tank1!$C$32:$C$49),0))+(
IF(Tank2!$C$23="Flare",SUMIF(Tank2!$A$32:$A$49, Flare!A52,Tank2!$C$32:$C$49),0))+(
IF(Tank3!$C$23="Flare",SUMIF(Tank3!$A$32:$A$49, Flare!A52,Tank3!$C$32:$C$49),0))+(
IF(Tank4!$C$23="Flare",SUMIF(Tank4!$A$32:$A$49, Flare!A52,Tank4!$C$32:$C$49),0))+(
IF(Tank5!$C$23="Flare",SUMIF(Tank5!$A$32:$A$49, Flare!A52,Tank5!$C$32:$C$49),0))+(
IF('Loading-drum,tote'!$C$21="Flare",SUMIF('Loading-drum,tote'!$A$31:$A$48, Flare!A52,'Loading-drum,tote'!$F$31:$F$48),0))+(
IF('Loading-truck'!$C$21="Flare",SUMIF('Loading-truck'!$A$31:$A$48, Flare!A52,'Loading-truck'!$F$31:$F$48),0))+(
IF('Loading-rail'!$C$21="Flare",SUMIF('Loading-rail'!$A$31:$A$48, Flare!A52,'Loading-rail'!$F$31:$F$48),0))</f>
        <v>0</v>
      </c>
      <c r="E52" s="575">
        <f t="shared" si="1"/>
        <v>0</v>
      </c>
    </row>
    <row r="53" spans="1:5" ht="15" customHeight="1" x14ac:dyDescent="0.25">
      <c r="A53" s="688" t="str">
        <f>'Hidden Inputs'!AM5</f>
        <v/>
      </c>
      <c r="B53" s="1551" t="str">
        <f t="shared" si="0"/>
        <v/>
      </c>
      <c r="C53" s="1551"/>
      <c r="D53" s="576">
        <f>(IF(
Tank1!$C$23="Flare",SUMIF(Tank1!$A$32:$A$49,Flare!A53,Tank1!$C$32:$C$49),0))+(
IF(Tank2!$C$23="Flare",SUMIF(Tank2!$A$32:$A$49, Flare!A53,Tank2!$C$32:$C$49),0))+(
IF(Tank3!$C$23="Flare",SUMIF(Tank3!$A$32:$A$49, Flare!A53,Tank3!$C$32:$C$49),0))+(
IF(Tank4!$C$23="Flare",SUMIF(Tank4!$A$32:$A$49, Flare!A53,Tank4!$C$32:$C$49),0))+(
IF(Tank5!$C$23="Flare",SUMIF(Tank5!$A$32:$A$49, Flare!A53,Tank5!$C$32:$C$49),0))+(
IF('Loading-drum,tote'!$C$21="Flare",SUMIF('Loading-drum,tote'!$A$31:$A$48, Flare!A53,'Loading-drum,tote'!$F$31:$F$48),0))+(
IF('Loading-truck'!$C$21="Flare",SUMIF('Loading-truck'!$A$31:$A$48, Flare!A53,'Loading-truck'!$F$31:$F$48),0))+(
IF('Loading-rail'!$C$21="Flare",SUMIF('Loading-rail'!$A$31:$A$48, Flare!A53,'Loading-rail'!$F$31:$F$48),0))</f>
        <v>0</v>
      </c>
      <c r="E53" s="575">
        <f t="shared" si="1"/>
        <v>0</v>
      </c>
    </row>
    <row r="54" spans="1:5" x14ac:dyDescent="0.25">
      <c r="A54" s="688" t="str">
        <f>'Hidden Inputs'!AM6</f>
        <v/>
      </c>
      <c r="B54" s="1551" t="str">
        <f t="shared" si="0"/>
        <v/>
      </c>
      <c r="C54" s="1551"/>
      <c r="D54" s="576">
        <f>(IF(
Tank1!$C$23="Flare",SUMIF(Tank1!$A$32:$A$49,Flare!A54,Tank1!$C$32:$C$49),0))+(
IF(Tank2!$C$23="Flare",SUMIF(Tank2!$A$32:$A$49, Flare!A54,Tank2!$C$32:$C$49),0))+(
IF(Tank3!$C$23="Flare",SUMIF(Tank3!$A$32:$A$49, Flare!A54,Tank3!$C$32:$C$49),0))+(
IF(Tank4!$C$23="Flare",SUMIF(Tank4!$A$32:$A$49, Flare!A54,Tank4!$C$32:$C$49),0))+(
IF(Tank5!$C$23="Flare",SUMIF(Tank5!$A$32:$A$49, Flare!A54,Tank5!$C$32:$C$49),0))+(
IF('Loading-drum,tote'!$C$21="Flare",SUMIF('Loading-drum,tote'!$A$31:$A$48, Flare!A54,'Loading-drum,tote'!$F$31:$F$48),0))+(
IF('Loading-truck'!$C$21="Flare",SUMIF('Loading-truck'!$A$31:$A$48, Flare!A54,'Loading-truck'!$F$31:$F$48),0))+(
IF('Loading-rail'!$C$21="Flare",SUMIF('Loading-rail'!$A$31:$A$48, Flare!A54,'Loading-rail'!$F$31:$F$48),0))</f>
        <v>0</v>
      </c>
      <c r="E54" s="575">
        <f t="shared" si="1"/>
        <v>0</v>
      </c>
    </row>
    <row r="55" spans="1:5" x14ac:dyDescent="0.25">
      <c r="A55" s="688" t="str">
        <f>'Hidden Inputs'!AM7</f>
        <v/>
      </c>
      <c r="B55" s="1551" t="str">
        <f t="shared" si="0"/>
        <v/>
      </c>
      <c r="C55" s="1551"/>
      <c r="D55" s="576">
        <f>(IF(
Tank1!$C$23="Flare",SUMIF(Tank1!$A$32:$A$49,Flare!A55,Tank1!$C$32:$C$49),0))+(
IF(Tank2!$C$23="Flare",SUMIF(Tank2!$A$32:$A$49, Flare!A55,Tank2!$C$32:$C$49),0))+(
IF(Tank3!$C$23="Flare",SUMIF(Tank3!$A$32:$A$49, Flare!A55,Tank3!$C$32:$C$49),0))+(
IF(Tank4!$C$23="Flare",SUMIF(Tank4!$A$32:$A$49, Flare!A55,Tank4!$C$32:$C$49),0))+(
IF(Tank5!$C$23="Flare",SUMIF(Tank5!$A$32:$A$49, Flare!A55,Tank5!$C$32:$C$49),0))+(
IF('Loading-drum,tote'!$C$21="Flare",SUMIF('Loading-drum,tote'!$A$31:$A$48, Flare!A55,'Loading-drum,tote'!$F$31:$F$48),0))+(
IF('Loading-truck'!$C$21="Flare",SUMIF('Loading-truck'!$A$31:$A$48, Flare!A55,'Loading-truck'!$F$31:$F$48),0))+(
IF('Loading-rail'!$C$21="Flare",SUMIF('Loading-rail'!$A$31:$A$48, Flare!A55,'Loading-rail'!$F$31:$F$48),0))</f>
        <v>0</v>
      </c>
      <c r="E55" s="575">
        <f t="shared" si="1"/>
        <v>0</v>
      </c>
    </row>
    <row r="56" spans="1:5" x14ac:dyDescent="0.25">
      <c r="A56" s="688" t="str">
        <f>'Hidden Inputs'!AM8</f>
        <v/>
      </c>
      <c r="B56" s="1551" t="str">
        <f t="shared" si="0"/>
        <v/>
      </c>
      <c r="C56" s="1551"/>
      <c r="D56" s="576">
        <f>(IF(
Tank1!$C$23="Flare",SUMIF(Tank1!$A$32:$A$49,Flare!A56,Tank1!$C$32:$C$49),0))+(
IF(Tank2!$C$23="Flare",SUMIF(Tank2!$A$32:$A$49, Flare!A56,Tank2!$C$32:$C$49),0))+(
IF(Tank3!$C$23="Flare",SUMIF(Tank3!$A$32:$A$49, Flare!A56,Tank3!$C$32:$C$49),0))+(
IF(Tank4!$C$23="Flare",SUMIF(Tank4!$A$32:$A$49, Flare!A56,Tank4!$C$32:$C$49),0))+(
IF(Tank5!$C$23="Flare",SUMIF(Tank5!$A$32:$A$49, Flare!A56,Tank5!$C$32:$C$49),0))+(
IF('Loading-drum,tote'!$C$21="Flare",SUMIF('Loading-drum,tote'!$A$31:$A$48, Flare!A56,'Loading-drum,tote'!$F$31:$F$48),0))+(
IF('Loading-truck'!$C$21="Flare",SUMIF('Loading-truck'!$A$31:$A$48, Flare!A56,'Loading-truck'!$F$31:$F$48),0))+(
IF('Loading-rail'!$C$21="Flare",SUMIF('Loading-rail'!$A$31:$A$48, Flare!A56,'Loading-rail'!$F$31:$F$48),0))</f>
        <v>0</v>
      </c>
      <c r="E56" s="575">
        <f t="shared" si="1"/>
        <v>0</v>
      </c>
    </row>
    <row r="57" spans="1:5" x14ac:dyDescent="0.25">
      <c r="A57" s="688" t="str">
        <f>'Hidden Inputs'!AM9</f>
        <v/>
      </c>
      <c r="B57" s="1551" t="str">
        <f t="shared" si="0"/>
        <v/>
      </c>
      <c r="C57" s="1551"/>
      <c r="D57" s="576">
        <f>(IF(
Tank1!$C$23="Flare",SUMIF(Tank1!$A$32:$A$49,Flare!A57,Tank1!$C$32:$C$49),0))+(
IF(Tank2!$C$23="Flare",SUMIF(Tank2!$A$32:$A$49, Flare!A57,Tank2!$C$32:$C$49),0))+(
IF(Tank3!$C$23="Flare",SUMIF(Tank3!$A$32:$A$49, Flare!A57,Tank3!$C$32:$C$49),0))+(
IF(Tank4!$C$23="Flare",SUMIF(Tank4!$A$32:$A$49, Flare!A57,Tank4!$C$32:$C$49),0))+(
IF(Tank5!$C$23="Flare",SUMIF(Tank5!$A$32:$A$49, Flare!A57,Tank5!$C$32:$C$49),0))+(
IF('Loading-drum,tote'!$C$21="Flare",SUMIF('Loading-drum,tote'!$A$31:$A$48, Flare!A57,'Loading-drum,tote'!$F$31:$F$48),0))+(
IF('Loading-truck'!$C$21="Flare",SUMIF('Loading-truck'!$A$31:$A$48, Flare!A57,'Loading-truck'!$F$31:$F$48),0))+(
IF('Loading-rail'!$C$21="Flare",SUMIF('Loading-rail'!$A$31:$A$48, Flare!A57,'Loading-rail'!$F$31:$F$48),0))</f>
        <v>0</v>
      </c>
      <c r="E57" s="575">
        <f t="shared" si="1"/>
        <v>0</v>
      </c>
    </row>
    <row r="58" spans="1:5" x14ac:dyDescent="0.25">
      <c r="A58" s="688" t="str">
        <f>'Hidden Inputs'!AM10</f>
        <v/>
      </c>
      <c r="B58" s="1551" t="str">
        <f t="shared" si="0"/>
        <v/>
      </c>
      <c r="C58" s="1551"/>
      <c r="D58" s="576">
        <f>(IF(
Tank1!$C$23="Flare",SUMIF(Tank1!$A$32:$A$49,Flare!A58,Tank1!$C$32:$C$49),0))+(
IF(Tank2!$C$23="Flare",SUMIF(Tank2!$A$32:$A$49, Flare!A58,Tank2!$C$32:$C$49),0))+(
IF(Tank3!$C$23="Flare",SUMIF(Tank3!$A$32:$A$49, Flare!A58,Tank3!$C$32:$C$49),0))+(
IF(Tank4!$C$23="Flare",SUMIF(Tank4!$A$32:$A$49, Flare!A58,Tank4!$C$32:$C$49),0))+(
IF(Tank5!$C$23="Flare",SUMIF(Tank5!$A$32:$A$49, Flare!A58,Tank5!$C$32:$C$49),0))+(
IF('Loading-drum,tote'!$C$21="Flare",SUMIF('Loading-drum,tote'!$A$31:$A$48, Flare!A58,'Loading-drum,tote'!$F$31:$F$48),0))+(
IF('Loading-truck'!$C$21="Flare",SUMIF('Loading-truck'!$A$31:$A$48, Flare!A58,'Loading-truck'!$F$31:$F$48),0))+(
IF('Loading-rail'!$C$21="Flare",SUMIF('Loading-rail'!$A$31:$A$48, Flare!A58,'Loading-rail'!$F$31:$F$48),0))</f>
        <v>0</v>
      </c>
      <c r="E58" s="575">
        <f t="shared" si="1"/>
        <v>0</v>
      </c>
    </row>
    <row r="59" spans="1:5" x14ac:dyDescent="0.25">
      <c r="A59" s="688" t="str">
        <f>'Hidden Inputs'!AM11</f>
        <v/>
      </c>
      <c r="B59" s="1551" t="str">
        <f t="shared" si="0"/>
        <v/>
      </c>
      <c r="C59" s="1551"/>
      <c r="D59" s="576">
        <f>(IF(
Tank1!$C$23="Flare",SUMIF(Tank1!$A$32:$A$49,Flare!A59,Tank1!$C$32:$C$49),0))+(
IF(Tank2!$C$23="Flare",SUMIF(Tank2!$A$32:$A$49, Flare!A59,Tank2!$C$32:$C$49),0))+(
IF(Tank3!$C$23="Flare",SUMIF(Tank3!$A$32:$A$49, Flare!A59,Tank3!$C$32:$C$49),0))+(
IF(Tank4!$C$23="Flare",SUMIF(Tank4!$A$32:$A$49, Flare!A59,Tank4!$C$32:$C$49),0))+(
IF(Tank5!$C$23="Flare",SUMIF(Tank5!$A$32:$A$49, Flare!A59,Tank5!$C$32:$C$49),0))+(
IF('Loading-drum,tote'!$C$21="Flare",SUMIF('Loading-drum,tote'!$A$31:$A$48, Flare!A59,'Loading-drum,tote'!$F$31:$F$48),0))+(
IF('Loading-truck'!$C$21="Flare",SUMIF('Loading-truck'!$A$31:$A$48, Flare!A59,'Loading-truck'!$F$31:$F$48),0))+(
IF('Loading-rail'!$C$21="Flare",SUMIF('Loading-rail'!$A$31:$A$48, Flare!A59,'Loading-rail'!$F$31:$F$48),0))</f>
        <v>0</v>
      </c>
      <c r="E59" s="575">
        <f t="shared" si="1"/>
        <v>0</v>
      </c>
    </row>
    <row r="60" spans="1:5" x14ac:dyDescent="0.25">
      <c r="A60" s="688" t="str">
        <f>'Hidden Inputs'!AM12</f>
        <v/>
      </c>
      <c r="B60" s="1551" t="str">
        <f t="shared" si="0"/>
        <v/>
      </c>
      <c r="C60" s="1551"/>
      <c r="D60" s="576">
        <f>(IF(
Tank1!$C$23="Flare",SUMIF(Tank1!$A$32:$A$49,Flare!A60,Tank1!$C$32:$C$49),0))+(
IF(Tank2!$C$23="Flare",SUMIF(Tank2!$A$32:$A$49, Flare!A60,Tank2!$C$32:$C$49),0))+(
IF(Tank3!$C$23="Flare",SUMIF(Tank3!$A$32:$A$49, Flare!A60,Tank3!$C$32:$C$49),0))+(
IF(Tank4!$C$23="Flare",SUMIF(Tank4!$A$32:$A$49, Flare!A60,Tank4!$C$32:$C$49),0))+(
IF(Tank5!$C$23="Flare",SUMIF(Tank5!$A$32:$A$49, Flare!A60,Tank5!$C$32:$C$49),0))+(
IF('Loading-drum,tote'!$C$21="Flare",SUMIF('Loading-drum,tote'!$A$31:$A$48, Flare!A60,'Loading-drum,tote'!$F$31:$F$48),0))+(
IF('Loading-truck'!$C$21="Flare",SUMIF('Loading-truck'!$A$31:$A$48, Flare!A60,'Loading-truck'!$F$31:$F$48),0))+(
IF('Loading-rail'!$C$21="Flare",SUMIF('Loading-rail'!$A$31:$A$48, Flare!A60,'Loading-rail'!$F$31:$F$48),0))</f>
        <v>0</v>
      </c>
      <c r="E60" s="575">
        <f t="shared" si="1"/>
        <v>0</v>
      </c>
    </row>
    <row r="61" spans="1:5" x14ac:dyDescent="0.25">
      <c r="A61" s="688" t="str">
        <f>'Hidden Inputs'!AM13</f>
        <v/>
      </c>
      <c r="B61" s="1551" t="str">
        <f t="shared" si="0"/>
        <v/>
      </c>
      <c r="C61" s="1551"/>
      <c r="D61" s="576">
        <f>(IF(
Tank1!$C$23="Flare",SUMIF(Tank1!$A$32:$A$49,Flare!A61,Tank1!$C$32:$C$49),0))+(
IF(Tank2!$C$23="Flare",SUMIF(Tank2!$A$32:$A$49, Flare!A61,Tank2!$C$32:$C$49),0))+(
IF(Tank3!$C$23="Flare",SUMIF(Tank3!$A$32:$A$49, Flare!A61,Tank3!$C$32:$C$49),0))+(
IF(Tank4!$C$23="Flare",SUMIF(Tank4!$A$32:$A$49, Flare!A61,Tank4!$C$32:$C$49),0))+(
IF(Tank5!$C$23="Flare",SUMIF(Tank5!$A$32:$A$49, Flare!A61,Tank5!$C$32:$C$49),0))+(
IF('Loading-drum,tote'!$C$21="Flare",SUMIF('Loading-drum,tote'!$A$31:$A$48, Flare!A61,'Loading-drum,tote'!$F$31:$F$48),0))+(
IF('Loading-truck'!$C$21="Flare",SUMIF('Loading-truck'!$A$31:$A$48, Flare!A61,'Loading-truck'!$F$31:$F$48),0))+(
IF('Loading-rail'!$C$21="Flare",SUMIF('Loading-rail'!$A$31:$A$48, Flare!A61,'Loading-rail'!$F$31:$F$48),0))</f>
        <v>0</v>
      </c>
      <c r="E61" s="575">
        <f t="shared" si="1"/>
        <v>0</v>
      </c>
    </row>
    <row r="62" spans="1:5" x14ac:dyDescent="0.25">
      <c r="A62" s="688" t="str">
        <f>'Hidden Inputs'!AM14</f>
        <v/>
      </c>
      <c r="B62" s="1551" t="str">
        <f t="shared" si="0"/>
        <v/>
      </c>
      <c r="C62" s="1551"/>
      <c r="D62" s="576">
        <f>(IF(
Tank1!$C$23="Flare",SUMIF(Tank1!$A$32:$A$49,Flare!A62,Tank1!$C$32:$C$49),0))+(
IF(Tank2!$C$23="Flare",SUMIF(Tank2!$A$32:$A$49, Flare!A62,Tank2!$C$32:$C$49),0))+(
IF(Tank3!$C$23="Flare",SUMIF(Tank3!$A$32:$A$49, Flare!A62,Tank3!$C$32:$C$49),0))+(
IF(Tank4!$C$23="Flare",SUMIF(Tank4!$A$32:$A$49, Flare!A62,Tank4!$C$32:$C$49),0))+(
IF(Tank5!$C$23="Flare",SUMIF(Tank5!$A$32:$A$49, Flare!A62,Tank5!$C$32:$C$49),0))+(
IF('Loading-drum,tote'!$C$21="Flare",SUMIF('Loading-drum,tote'!$A$31:$A$48, Flare!A62,'Loading-drum,tote'!$F$31:$F$48),0))+(
IF('Loading-truck'!$C$21="Flare",SUMIF('Loading-truck'!$A$31:$A$48, Flare!A62,'Loading-truck'!$F$31:$F$48),0))+(
IF('Loading-rail'!$C$21="Flare",SUMIF('Loading-rail'!$A$31:$A$48, Flare!A62,'Loading-rail'!$F$31:$F$48),0))</f>
        <v>0</v>
      </c>
      <c r="E62" s="575">
        <f t="shared" si="1"/>
        <v>0</v>
      </c>
    </row>
    <row r="63" spans="1:5" x14ac:dyDescent="0.25">
      <c r="A63" s="688" t="str">
        <f>'Hidden Inputs'!AM15</f>
        <v/>
      </c>
      <c r="B63" s="1551" t="str">
        <f t="shared" si="0"/>
        <v/>
      </c>
      <c r="C63" s="1551"/>
      <c r="D63" s="576">
        <f>(IF(
Tank1!$C$23="Flare",SUMIF(Tank1!$A$32:$A$49,Flare!A63,Tank1!$C$32:$C$49),0))+(
IF(Tank2!$C$23="Flare",SUMIF(Tank2!$A$32:$A$49, Flare!A63,Tank2!$C$32:$C$49),0))+(
IF(Tank3!$C$23="Flare",SUMIF(Tank3!$A$32:$A$49, Flare!A63,Tank3!$C$32:$C$49),0))+(
IF(Tank4!$C$23="Flare",SUMIF(Tank4!$A$32:$A$49, Flare!A63,Tank4!$C$32:$C$49),0))+(
IF(Tank5!$C$23="Flare",SUMIF(Tank5!$A$32:$A$49, Flare!A63,Tank5!$C$32:$C$49),0))+(
IF('Loading-drum,tote'!$C$21="Flare",SUMIF('Loading-drum,tote'!$A$31:$A$48, Flare!A63,'Loading-drum,tote'!$F$31:$F$48),0))+(
IF('Loading-truck'!$C$21="Flare",SUMIF('Loading-truck'!$A$31:$A$48, Flare!A63,'Loading-truck'!$F$31:$F$48),0))+(
IF('Loading-rail'!$C$21="Flare",SUMIF('Loading-rail'!$A$31:$A$48, Flare!A63,'Loading-rail'!$F$31:$F$48),0))</f>
        <v>0</v>
      </c>
      <c r="E63" s="575">
        <f t="shared" si="1"/>
        <v>0</v>
      </c>
    </row>
    <row r="64" spans="1:5" x14ac:dyDescent="0.25">
      <c r="A64" s="688" t="str">
        <f>'Hidden Inputs'!AM16</f>
        <v/>
      </c>
      <c r="B64" s="1551" t="str">
        <f t="shared" si="0"/>
        <v/>
      </c>
      <c r="C64" s="1551"/>
      <c r="D64" s="576">
        <f>(IF(
Tank1!$C$23="Flare",SUMIF(Tank1!$A$32:$A$49,Flare!A64,Tank1!$C$32:$C$49),0))+(
IF(Tank2!$C$23="Flare",SUMIF(Tank2!$A$32:$A$49, Flare!A64,Tank2!$C$32:$C$49),0))+(
IF(Tank3!$C$23="Flare",SUMIF(Tank3!$A$32:$A$49, Flare!A64,Tank3!$C$32:$C$49),0))+(
IF(Tank4!$C$23="Flare",SUMIF(Tank4!$A$32:$A$49, Flare!A64,Tank4!$C$32:$C$49),0))+(
IF(Tank5!$C$23="Flare",SUMIF(Tank5!$A$32:$A$49, Flare!A64,Tank5!$C$32:$C$49),0))+(
IF('Loading-drum,tote'!$C$21="Flare",SUMIF('Loading-drum,tote'!$A$31:$A$48, Flare!A64,'Loading-drum,tote'!$F$31:$F$48),0))+(
IF('Loading-truck'!$C$21="Flare",SUMIF('Loading-truck'!$A$31:$A$48, Flare!A64,'Loading-truck'!$F$31:$F$48),0))+(
IF('Loading-rail'!$C$21="Flare",SUMIF('Loading-rail'!$A$31:$A$48, Flare!A64,'Loading-rail'!$F$31:$F$48),0))</f>
        <v>0</v>
      </c>
      <c r="E64" s="575">
        <f t="shared" si="1"/>
        <v>0</v>
      </c>
    </row>
    <row r="65" spans="1:5" x14ac:dyDescent="0.25">
      <c r="A65" s="688" t="str">
        <f>'Hidden Inputs'!AM17</f>
        <v/>
      </c>
      <c r="B65" s="1551" t="str">
        <f t="shared" si="0"/>
        <v/>
      </c>
      <c r="C65" s="1551"/>
      <c r="D65" s="576">
        <f>(IF(
Tank1!$C$23="Flare",SUMIF(Tank1!$A$32:$A$49,Flare!A65,Tank1!$C$32:$C$49),0))+(
IF(Tank2!$C$23="Flare",SUMIF(Tank2!$A$32:$A$49, Flare!A65,Tank2!$C$32:$C$49),0))+(
IF(Tank3!$C$23="Flare",SUMIF(Tank3!$A$32:$A$49, Flare!A65,Tank3!$C$32:$C$49),0))+(
IF(Tank4!$C$23="Flare",SUMIF(Tank4!$A$32:$A$49, Flare!A65,Tank4!$C$32:$C$49),0))+(
IF(Tank5!$C$23="Flare",SUMIF(Tank5!$A$32:$A$49, Flare!A65,Tank5!$C$32:$C$49),0))+(
IF('Loading-drum,tote'!$C$21="Flare",SUMIF('Loading-drum,tote'!$A$31:$A$48, Flare!A65,'Loading-drum,tote'!$F$31:$F$48),0))+(
IF('Loading-truck'!$C$21="Flare",SUMIF('Loading-truck'!$A$31:$A$48, Flare!A65,'Loading-truck'!$F$31:$F$48),0))+(
IF('Loading-rail'!$C$21="Flare",SUMIF('Loading-rail'!$A$31:$A$48, Flare!A65,'Loading-rail'!$F$31:$F$48),0))</f>
        <v>0</v>
      </c>
      <c r="E65" s="575">
        <f t="shared" si="1"/>
        <v>0</v>
      </c>
    </row>
    <row r="66" spans="1:5" x14ac:dyDescent="0.25">
      <c r="A66" s="688" t="str">
        <f>'Hidden Inputs'!AM18</f>
        <v/>
      </c>
      <c r="B66" s="1551" t="str">
        <f t="shared" si="0"/>
        <v/>
      </c>
      <c r="C66" s="1551"/>
      <c r="D66" s="576">
        <f>(IF(
Tank1!$C$23="Flare",SUMIF(Tank1!$A$32:$A$49,Flare!A66,Tank1!$C$32:$C$49),0))+(
IF(Tank2!$C$23="Flare",SUMIF(Tank2!$A$32:$A$49, Flare!A66,Tank2!$C$32:$C$49),0))+(
IF(Tank3!$C$23="Flare",SUMIF(Tank3!$A$32:$A$49, Flare!A66,Tank3!$C$32:$C$49),0))+(
IF(Tank4!$C$23="Flare",SUMIF(Tank4!$A$32:$A$49, Flare!A66,Tank4!$C$32:$C$49),0))+(
IF(Tank5!$C$23="Flare",SUMIF(Tank5!$A$32:$A$49, Flare!A66,Tank5!$C$32:$C$49),0))+(
IF('Loading-drum,tote'!$C$21="Flare",SUMIF('Loading-drum,tote'!$A$31:$A$48, Flare!A66,'Loading-drum,tote'!$F$31:$F$48),0))+(
IF('Loading-truck'!$C$21="Flare",SUMIF('Loading-truck'!$A$31:$A$48, Flare!A66,'Loading-truck'!$F$31:$F$48),0))+(
IF('Loading-rail'!$C$21="Flare",SUMIF('Loading-rail'!$A$31:$A$48, Flare!A66,'Loading-rail'!$F$31:$F$48),0))</f>
        <v>0</v>
      </c>
      <c r="E66" s="575">
        <f t="shared" si="1"/>
        <v>0</v>
      </c>
    </row>
    <row r="67" spans="1:5" x14ac:dyDescent="0.25">
      <c r="A67" s="688" t="str">
        <f>'Hidden Inputs'!AM19</f>
        <v/>
      </c>
      <c r="B67" s="1551" t="str">
        <f t="shared" si="0"/>
        <v/>
      </c>
      <c r="C67" s="1551"/>
      <c r="D67" s="576">
        <f>(IF(
Tank1!$C$23="Flare",SUMIF(Tank1!$A$32:$A$49,Flare!A67,Tank1!$C$32:$C$49),0))+(
IF(Tank2!$C$23="Flare",SUMIF(Tank2!$A$32:$A$49, Flare!A67,Tank2!$C$32:$C$49),0))+(
IF(Tank3!$C$23="Flare",SUMIF(Tank3!$A$32:$A$49, Flare!A67,Tank3!$C$32:$C$49),0))+(
IF(Tank4!$C$23="Flare",SUMIF(Tank4!$A$32:$A$49, Flare!A67,Tank4!$C$32:$C$49),0))+(
IF(Tank5!$C$23="Flare",SUMIF(Tank5!$A$32:$A$49, Flare!A67,Tank5!$C$32:$C$49),0))+(
IF('Loading-drum,tote'!$C$21="Flare",SUMIF('Loading-drum,tote'!$A$31:$A$48, Flare!A67,'Loading-drum,tote'!$F$31:$F$48),0))+(
IF('Loading-truck'!$C$21="Flare",SUMIF('Loading-truck'!$A$31:$A$48, Flare!A67,'Loading-truck'!$F$31:$F$48),0))+(
IF('Loading-rail'!$C$21="Flare",SUMIF('Loading-rail'!$A$31:$A$48, Flare!A67,'Loading-rail'!$F$31:$F$48),0))</f>
        <v>0</v>
      </c>
      <c r="E67" s="575">
        <f t="shared" si="1"/>
        <v>0</v>
      </c>
    </row>
    <row r="68" spans="1:5" x14ac:dyDescent="0.25">
      <c r="A68" s="688" t="str">
        <f>'Hidden Inputs'!AM20</f>
        <v/>
      </c>
      <c r="B68" s="1551" t="str">
        <f t="shared" si="0"/>
        <v/>
      </c>
      <c r="C68" s="1551"/>
      <c r="D68" s="576">
        <f>(IF(
Tank1!$C$23="Flare",SUMIF(Tank1!$A$32:$A$49,Flare!A68,Tank1!$C$32:$C$49),0))+(
IF(Tank2!$C$23="Flare",SUMIF(Tank2!$A$32:$A$49, Flare!A68,Tank2!$C$32:$C$49),0))+(
IF(Tank3!$C$23="Flare",SUMIF(Tank3!$A$32:$A$49, Flare!A68,Tank3!$C$32:$C$49),0))+(
IF(Tank4!$C$23="Flare",SUMIF(Tank4!$A$32:$A$49, Flare!A68,Tank4!$C$32:$C$49),0))+(
IF(Tank5!$C$23="Flare",SUMIF(Tank5!$A$32:$A$49, Flare!A68,Tank5!$C$32:$C$49),0))+(
IF('Loading-drum,tote'!$C$21="Flare",SUMIF('Loading-drum,tote'!$A$31:$A$48, Flare!A68,'Loading-drum,tote'!$F$31:$F$48),0))+(
IF('Loading-truck'!$C$21="Flare",SUMIF('Loading-truck'!$A$31:$A$48, Flare!A68,'Loading-truck'!$F$31:$F$48),0))+(
IF('Loading-rail'!$C$21="Flare",SUMIF('Loading-rail'!$A$31:$A$48, Flare!A68,'Loading-rail'!$F$31:$F$48),0))</f>
        <v>0</v>
      </c>
      <c r="E68" s="575">
        <f t="shared" si="1"/>
        <v>0</v>
      </c>
    </row>
    <row r="69" spans="1:5" x14ac:dyDescent="0.25">
      <c r="A69" s="688" t="str">
        <f>'Hidden Inputs'!AM21</f>
        <v/>
      </c>
      <c r="B69" s="1551" t="str">
        <f t="shared" si="0"/>
        <v/>
      </c>
      <c r="C69" s="1551"/>
      <c r="D69" s="576">
        <f>(IF(
Tank1!$C$23="Flare",SUMIF(Tank1!$A$32:$A$49,Flare!A69,Tank1!$C$32:$C$49),0))+(
IF(Tank2!$C$23="Flare",SUMIF(Tank2!$A$32:$A$49, Flare!A69,Tank2!$C$32:$C$49),0))+(
IF(Tank3!$C$23="Flare",SUMIF(Tank3!$A$32:$A$49, Flare!A69,Tank3!$C$32:$C$49),0))+(
IF(Tank4!$C$23="Flare",SUMIF(Tank4!$A$32:$A$49, Flare!A69,Tank4!$C$32:$C$49),0))+(
IF(Tank5!$C$23="Flare",SUMIF(Tank5!$A$32:$A$49, Flare!A69,Tank5!$C$32:$C$49),0))+(
IF('Loading-drum,tote'!$C$21="Flare",SUMIF('Loading-drum,tote'!$A$31:$A$48, Flare!A69,'Loading-drum,tote'!$F$31:$F$48),0))+(
IF('Loading-truck'!$C$21="Flare",SUMIF('Loading-truck'!$A$31:$A$48, Flare!A69,'Loading-truck'!$F$31:$F$48),0))+(
IF('Loading-rail'!$C$21="Flare",SUMIF('Loading-rail'!$A$31:$A$48, Flare!A69,'Loading-rail'!$F$31:$F$48),0))</f>
        <v>0</v>
      </c>
      <c r="E69" s="575">
        <f t="shared" si="1"/>
        <v>0</v>
      </c>
    </row>
    <row r="70" spans="1:5" x14ac:dyDescent="0.25">
      <c r="A70" s="688" t="str">
        <f>'Hidden Inputs'!AM22</f>
        <v/>
      </c>
      <c r="B70" s="1551" t="str">
        <f t="shared" si="0"/>
        <v/>
      </c>
      <c r="C70" s="1551"/>
      <c r="D70" s="576">
        <f>(IF(
Tank1!$C$23="Flare",SUMIF(Tank1!$A$32:$A$49,Flare!A70,Tank1!$C$32:$C$49),0))+(
IF(Tank2!$C$23="Flare",SUMIF(Tank2!$A$32:$A$49, Flare!A70,Tank2!$C$32:$C$49),0))+(
IF(Tank3!$C$23="Flare",SUMIF(Tank3!$A$32:$A$49, Flare!A70,Tank3!$C$32:$C$49),0))+(
IF(Tank4!$C$23="Flare",SUMIF(Tank4!$A$32:$A$49, Flare!A70,Tank4!$C$32:$C$49),0))+(
IF(Tank5!$C$23="Flare",SUMIF(Tank5!$A$32:$A$49, Flare!A70,Tank5!$C$32:$C$49),0))+(
IF('Loading-drum,tote'!$C$21="Flare",SUMIF('Loading-drum,tote'!$A$31:$A$48, Flare!A70,'Loading-drum,tote'!$F$31:$F$48),0))+(
IF('Loading-truck'!$C$21="Flare",SUMIF('Loading-truck'!$A$31:$A$48, Flare!A70,'Loading-truck'!$F$31:$F$48),0))+(
IF('Loading-rail'!$C$21="Flare",SUMIF('Loading-rail'!$A$31:$A$48, Flare!A70,'Loading-rail'!$F$31:$F$48),0))</f>
        <v>0</v>
      </c>
      <c r="E70" s="575">
        <f t="shared" si="1"/>
        <v>0</v>
      </c>
    </row>
    <row r="71" spans="1:5" x14ac:dyDescent="0.25">
      <c r="A71" s="688" t="str">
        <f>'Hidden Inputs'!AM23</f>
        <v/>
      </c>
      <c r="B71" s="1551" t="str">
        <f t="shared" si="0"/>
        <v/>
      </c>
      <c r="C71" s="1551"/>
      <c r="D71" s="576">
        <f>(IF(
Tank1!$C$23="Flare",SUMIF(Tank1!$A$32:$A$49,Flare!A71,Tank1!$C$32:$C$49),0))+(
IF(Tank2!$C$23="Flare",SUMIF(Tank2!$A$32:$A$49, Flare!A71,Tank2!$C$32:$C$49),0))+(
IF(Tank3!$C$23="Flare",SUMIF(Tank3!$A$32:$A$49, Flare!A71,Tank3!$C$32:$C$49),0))+(
IF(Tank4!$C$23="Flare",SUMIF(Tank4!$A$32:$A$49, Flare!A71,Tank4!$C$32:$C$49),0))+(
IF(Tank5!$C$23="Flare",SUMIF(Tank5!$A$32:$A$49, Flare!A71,Tank5!$C$32:$C$49),0))+(
IF('Loading-drum,tote'!$C$21="Flare",SUMIF('Loading-drum,tote'!$A$31:$A$48, Flare!A71,'Loading-drum,tote'!$F$31:$F$48),0))+(
IF('Loading-truck'!$C$21="Flare",SUMIF('Loading-truck'!$A$31:$A$48, Flare!A71,'Loading-truck'!$F$31:$F$48),0))+(
IF('Loading-rail'!$C$21="Flare",SUMIF('Loading-rail'!$A$31:$A$48, Flare!A71,'Loading-rail'!$F$31:$F$48),0))</f>
        <v>0</v>
      </c>
      <c r="E71" s="575">
        <f t="shared" si="1"/>
        <v>0</v>
      </c>
    </row>
    <row r="72" spans="1:5" x14ac:dyDescent="0.25">
      <c r="A72" s="688" t="str">
        <f>'Hidden Inputs'!AM24</f>
        <v/>
      </c>
      <c r="B72" s="1551" t="str">
        <f t="shared" si="0"/>
        <v/>
      </c>
      <c r="C72" s="1551"/>
      <c r="D72" s="576">
        <f>(IF(
Tank1!$C$23="Flare",SUMIF(Tank1!$A$32:$A$49,Flare!A72,Tank1!$C$32:$C$49),0))+(
IF(Tank2!$C$23="Flare",SUMIF(Tank2!$A$32:$A$49, Flare!A72,Tank2!$C$32:$C$49),0))+(
IF(Tank3!$C$23="Flare",SUMIF(Tank3!$A$32:$A$49, Flare!A72,Tank3!$C$32:$C$49),0))+(
IF(Tank4!$C$23="Flare",SUMIF(Tank4!$A$32:$A$49, Flare!A72,Tank4!$C$32:$C$49),0))+(
IF(Tank5!$C$23="Flare",SUMIF(Tank5!$A$32:$A$49, Flare!A72,Tank5!$C$32:$C$49),0))+(
IF('Loading-drum,tote'!$C$21="Flare",SUMIF('Loading-drum,tote'!$A$31:$A$48, Flare!A72,'Loading-drum,tote'!$F$31:$F$48),0))+(
IF('Loading-truck'!$C$21="Flare",SUMIF('Loading-truck'!$A$31:$A$48, Flare!A72,'Loading-truck'!$F$31:$F$48),0))+(
IF('Loading-rail'!$C$21="Flare",SUMIF('Loading-rail'!$A$31:$A$48, Flare!A72,'Loading-rail'!$F$31:$F$48),0))</f>
        <v>0</v>
      </c>
      <c r="E72" s="575">
        <f t="shared" si="1"/>
        <v>0</v>
      </c>
    </row>
    <row r="73" spans="1:5" x14ac:dyDescent="0.25">
      <c r="A73" s="688" t="str">
        <f>'Hidden Inputs'!AM25</f>
        <v/>
      </c>
      <c r="B73" s="1551" t="str">
        <f t="shared" si="0"/>
        <v/>
      </c>
      <c r="C73" s="1551"/>
      <c r="D73" s="576">
        <f>(IF(
Tank1!$C$23="Flare",SUMIF(Tank1!$A$32:$A$49,Flare!A73,Tank1!$C$32:$C$49),0))+(
IF(Tank2!$C$23="Flare",SUMIF(Tank2!$A$32:$A$49, Flare!A73,Tank2!$C$32:$C$49),0))+(
IF(Tank3!$C$23="Flare",SUMIF(Tank3!$A$32:$A$49, Flare!A73,Tank3!$C$32:$C$49),0))+(
IF(Tank4!$C$23="Flare",SUMIF(Tank4!$A$32:$A$49, Flare!A73,Tank4!$C$32:$C$49),0))+(
IF(Tank5!$C$23="Flare",SUMIF(Tank5!$A$32:$A$49, Flare!A73,Tank5!$C$32:$C$49),0))+(
IF('Loading-drum,tote'!$C$21="Flare",SUMIF('Loading-drum,tote'!$A$31:$A$48, Flare!A73,'Loading-drum,tote'!$F$31:$F$48),0))+(
IF('Loading-truck'!$C$21="Flare",SUMIF('Loading-truck'!$A$31:$A$48, Flare!A73,'Loading-truck'!$F$31:$F$48),0))+(
IF('Loading-rail'!$C$21="Flare",SUMIF('Loading-rail'!$A$31:$A$48, Flare!A73,'Loading-rail'!$F$31:$F$48),0))</f>
        <v>0</v>
      </c>
      <c r="E73" s="575">
        <f t="shared" si="1"/>
        <v>0</v>
      </c>
    </row>
    <row r="74" spans="1:5" x14ac:dyDescent="0.25">
      <c r="A74" s="688" t="str">
        <f>'Hidden Inputs'!AM26</f>
        <v/>
      </c>
      <c r="B74" s="1551" t="str">
        <f t="shared" si="0"/>
        <v/>
      </c>
      <c r="C74" s="1551"/>
      <c r="D74" s="576">
        <f>(IF(
Tank1!$C$23="Flare",SUMIF(Tank1!$A$32:$A$49,Flare!A74,Tank1!$C$32:$C$49),0))+(
IF(Tank2!$C$23="Flare",SUMIF(Tank2!$A$32:$A$49, Flare!A74,Tank2!$C$32:$C$49),0))+(
IF(Tank3!$C$23="Flare",SUMIF(Tank3!$A$32:$A$49, Flare!A74,Tank3!$C$32:$C$49),0))+(
IF(Tank4!$C$23="Flare",SUMIF(Tank4!$A$32:$A$49, Flare!A74,Tank4!$C$32:$C$49),0))+(
IF(Tank5!$C$23="Flare",SUMIF(Tank5!$A$32:$A$49, Flare!A74,Tank5!$C$32:$C$49),0))+(
IF('Loading-drum,tote'!$C$21="Flare",SUMIF('Loading-drum,tote'!$A$31:$A$48, Flare!A74,'Loading-drum,tote'!$F$31:$F$48),0))+(
IF('Loading-truck'!$C$21="Flare",SUMIF('Loading-truck'!$A$31:$A$48, Flare!A74,'Loading-truck'!$F$31:$F$48),0))+(
IF('Loading-rail'!$C$21="Flare",SUMIF('Loading-rail'!$A$31:$A$48, Flare!A74,'Loading-rail'!$F$31:$F$48),0))</f>
        <v>0</v>
      </c>
      <c r="E74" s="575">
        <f t="shared" si="1"/>
        <v>0</v>
      </c>
    </row>
    <row r="75" spans="1:5" x14ac:dyDescent="0.25">
      <c r="A75" s="688" t="str">
        <f>'Hidden Inputs'!AM27</f>
        <v/>
      </c>
      <c r="B75" s="1551" t="str">
        <f t="shared" si="0"/>
        <v/>
      </c>
      <c r="C75" s="1551"/>
      <c r="D75" s="576">
        <f>(IF(
Tank1!$C$23="Flare",SUMIF(Tank1!$A$32:$A$49,Flare!A75,Tank1!$C$32:$C$49),0))+(
IF(Tank2!$C$23="Flare",SUMIF(Tank2!$A$32:$A$49, Flare!A75,Tank2!$C$32:$C$49),0))+(
IF(Tank3!$C$23="Flare",SUMIF(Tank3!$A$32:$A$49, Flare!A75,Tank3!$C$32:$C$49),0))+(
IF(Tank4!$C$23="Flare",SUMIF(Tank4!$A$32:$A$49, Flare!A75,Tank4!$C$32:$C$49),0))+(
IF(Tank5!$C$23="Flare",SUMIF(Tank5!$A$32:$A$49, Flare!A75,Tank5!$C$32:$C$49),0))+(
IF('Loading-drum,tote'!$C$21="Flare",SUMIF('Loading-drum,tote'!$A$31:$A$48, Flare!A75,'Loading-drum,tote'!$F$31:$F$48),0))+(
IF('Loading-truck'!$C$21="Flare",SUMIF('Loading-truck'!$A$31:$A$48, Flare!A75,'Loading-truck'!$F$31:$F$48),0))+(
IF('Loading-rail'!$C$21="Flare",SUMIF('Loading-rail'!$A$31:$A$48, Flare!A75,'Loading-rail'!$F$31:$F$48),0))</f>
        <v>0</v>
      </c>
      <c r="E75" s="575">
        <f t="shared" si="1"/>
        <v>0</v>
      </c>
    </row>
    <row r="76" spans="1:5" x14ac:dyDescent="0.25">
      <c r="A76" s="688" t="str">
        <f>'Hidden Inputs'!AM28</f>
        <v/>
      </c>
      <c r="B76" s="1551" t="str">
        <f t="shared" si="0"/>
        <v/>
      </c>
      <c r="C76" s="1551"/>
      <c r="D76" s="576">
        <f>(IF(
Tank1!$C$23="Flare",SUMIF(Tank1!$A$32:$A$49,Flare!A76,Tank1!$C$32:$C$49),0))+(
IF(Tank2!$C$23="Flare",SUMIF(Tank2!$A$32:$A$49, Flare!A76,Tank2!$C$32:$C$49),0))+(
IF(Tank3!$C$23="Flare",SUMIF(Tank3!$A$32:$A$49, Flare!A76,Tank3!$C$32:$C$49),0))+(
IF(Tank4!$C$23="Flare",SUMIF(Tank4!$A$32:$A$49, Flare!A76,Tank4!$C$32:$C$49),0))+(
IF(Tank5!$C$23="Flare",SUMIF(Tank5!$A$32:$A$49, Flare!A76,Tank5!$C$32:$C$49),0))+(
IF('Loading-drum,tote'!$C$21="Flare",SUMIF('Loading-drum,tote'!$A$31:$A$48, Flare!A76,'Loading-drum,tote'!$F$31:$F$48),0))+(
IF('Loading-truck'!$C$21="Flare",SUMIF('Loading-truck'!$A$31:$A$48, Flare!A76,'Loading-truck'!$F$31:$F$48),0))+(
IF('Loading-rail'!$C$21="Flare",SUMIF('Loading-rail'!$A$31:$A$48, Flare!A76,'Loading-rail'!$F$31:$F$48),0))</f>
        <v>0</v>
      </c>
      <c r="E76" s="575">
        <f t="shared" si="1"/>
        <v>0</v>
      </c>
    </row>
    <row r="77" spans="1:5" x14ac:dyDescent="0.25">
      <c r="A77" s="688" t="str">
        <f>'Hidden Inputs'!AM29</f>
        <v/>
      </c>
      <c r="B77" s="1551" t="str">
        <f t="shared" si="0"/>
        <v/>
      </c>
      <c r="C77" s="1551"/>
      <c r="D77" s="576">
        <f>(IF(
Tank1!$C$23="Flare",SUMIF(Tank1!$A$32:$A$49,Flare!A77,Tank1!$C$32:$C$49),0))+(
IF(Tank2!$C$23="Flare",SUMIF(Tank2!$A$32:$A$49, Flare!A77,Tank2!$C$32:$C$49),0))+(
IF(Tank3!$C$23="Flare",SUMIF(Tank3!$A$32:$A$49, Flare!A77,Tank3!$C$32:$C$49),0))+(
IF(Tank4!$C$23="Flare",SUMIF(Tank4!$A$32:$A$49, Flare!A77,Tank4!$C$32:$C$49),0))+(
IF(Tank5!$C$23="Flare",SUMIF(Tank5!$A$32:$A$49, Flare!A77,Tank5!$C$32:$C$49),0))+(
IF('Loading-drum,tote'!$C$21="Flare",SUMIF('Loading-drum,tote'!$A$31:$A$48, Flare!A77,'Loading-drum,tote'!$F$31:$F$48),0))+(
IF('Loading-truck'!$C$21="Flare",SUMIF('Loading-truck'!$A$31:$A$48, Flare!A77,'Loading-truck'!$F$31:$F$48),0))+(
IF('Loading-rail'!$C$21="Flare",SUMIF('Loading-rail'!$A$31:$A$48, Flare!A77,'Loading-rail'!$F$31:$F$48),0))</f>
        <v>0</v>
      </c>
      <c r="E77" s="575">
        <f t="shared" si="1"/>
        <v>0</v>
      </c>
    </row>
    <row r="78" spans="1:5" x14ac:dyDescent="0.25">
      <c r="A78" s="688" t="str">
        <f>'Hidden Inputs'!AM30</f>
        <v/>
      </c>
      <c r="B78" s="1551" t="str">
        <f t="shared" si="0"/>
        <v/>
      </c>
      <c r="C78" s="1551"/>
      <c r="D78" s="576">
        <f>(IF(
Tank1!$C$23="Flare",SUMIF(Tank1!$A$32:$A$49,Flare!A78,Tank1!$C$32:$C$49),0))+(
IF(Tank2!$C$23="Flare",SUMIF(Tank2!$A$32:$A$49, Flare!A78,Tank2!$C$32:$C$49),0))+(
IF(Tank3!$C$23="Flare",SUMIF(Tank3!$A$32:$A$49, Flare!A78,Tank3!$C$32:$C$49),0))+(
IF(Tank4!$C$23="Flare",SUMIF(Tank4!$A$32:$A$49, Flare!A78,Tank4!$C$32:$C$49),0))+(
IF(Tank5!$C$23="Flare",SUMIF(Tank5!$A$32:$A$49, Flare!A78,Tank5!$C$32:$C$49),0))+(
IF('Loading-drum,tote'!$C$21="Flare",SUMIF('Loading-drum,tote'!$A$31:$A$48, Flare!A78,'Loading-drum,tote'!$F$31:$F$48),0))+(
IF('Loading-truck'!$C$21="Flare",SUMIF('Loading-truck'!$A$31:$A$48, Flare!A78,'Loading-truck'!$F$31:$F$48),0))+(
IF('Loading-rail'!$C$21="Flare",SUMIF('Loading-rail'!$A$31:$A$48, Flare!A78,'Loading-rail'!$F$31:$F$48),0))</f>
        <v>0</v>
      </c>
      <c r="E78" s="575">
        <f t="shared" si="1"/>
        <v>0</v>
      </c>
    </row>
    <row r="79" spans="1:5" x14ac:dyDescent="0.25">
      <c r="A79" s="688" t="str">
        <f>'Hidden Inputs'!AM31</f>
        <v/>
      </c>
      <c r="B79" s="1551" t="str">
        <f t="shared" si="0"/>
        <v/>
      </c>
      <c r="C79" s="1551"/>
      <c r="D79" s="576">
        <f>(IF(
Tank1!$C$23="Flare",SUMIF(Tank1!$A$32:$A$49,Flare!A79,Tank1!$C$32:$C$49),0))+(
IF(Tank2!$C$23="Flare",SUMIF(Tank2!$A$32:$A$49, Flare!A79,Tank2!$C$32:$C$49),0))+(
IF(Tank3!$C$23="Flare",SUMIF(Tank3!$A$32:$A$49, Flare!A79,Tank3!$C$32:$C$49),0))+(
IF(Tank4!$C$23="Flare",SUMIF(Tank4!$A$32:$A$49, Flare!A79,Tank4!$C$32:$C$49),0))+(
IF(Tank5!$C$23="Flare",SUMIF(Tank5!$A$32:$A$49, Flare!A79,Tank5!$C$32:$C$49),0))+(
IF('Loading-drum,tote'!$C$21="Flare",SUMIF('Loading-drum,tote'!$A$31:$A$48, Flare!A79,'Loading-drum,tote'!$F$31:$F$48),0))+(
IF('Loading-truck'!$C$21="Flare",SUMIF('Loading-truck'!$A$31:$A$48, Flare!A79,'Loading-truck'!$F$31:$F$48),0))+(
IF('Loading-rail'!$C$21="Flare",SUMIF('Loading-rail'!$A$31:$A$48, Flare!A79,'Loading-rail'!$F$31:$F$48),0))</f>
        <v>0</v>
      </c>
      <c r="E79" s="575">
        <f t="shared" si="1"/>
        <v>0</v>
      </c>
    </row>
    <row r="80" spans="1:5" x14ac:dyDescent="0.25">
      <c r="A80" s="688" t="str">
        <f>'Hidden Inputs'!AM32</f>
        <v/>
      </c>
      <c r="B80" s="1551" t="str">
        <f t="shared" si="0"/>
        <v/>
      </c>
      <c r="C80" s="1551"/>
      <c r="D80" s="576">
        <f>(IF(
Tank1!$C$23="Flare",SUMIF(Tank1!$A$32:$A$49,Flare!A80,Tank1!$C$32:$C$49),0))+(
IF(Tank2!$C$23="Flare",SUMIF(Tank2!$A$32:$A$49, Flare!A80,Tank2!$C$32:$C$49),0))+(
IF(Tank3!$C$23="Flare",SUMIF(Tank3!$A$32:$A$49, Flare!A80,Tank3!$C$32:$C$49),0))+(
IF(Tank4!$C$23="Flare",SUMIF(Tank4!$A$32:$A$49, Flare!A80,Tank4!$C$32:$C$49),0))+(
IF(Tank5!$C$23="Flare",SUMIF(Tank5!$A$32:$A$49, Flare!A80,Tank5!$C$32:$C$49),0))+(
IF('Loading-drum,tote'!$C$21="Flare",SUMIF('Loading-drum,tote'!$A$31:$A$48, Flare!A80,'Loading-drum,tote'!$F$31:$F$48),0))+(
IF('Loading-truck'!$C$21="Flare",SUMIF('Loading-truck'!$A$31:$A$48, Flare!A80,'Loading-truck'!$F$31:$F$48),0))+(
IF('Loading-rail'!$C$21="Flare",SUMIF('Loading-rail'!$A$31:$A$48, Flare!A80,'Loading-rail'!$F$31:$F$48),0))</f>
        <v>0</v>
      </c>
      <c r="E80" s="575">
        <f t="shared" si="1"/>
        <v>0</v>
      </c>
    </row>
    <row r="81" spans="1:5" x14ac:dyDescent="0.25">
      <c r="A81" s="688" t="str">
        <f>'Hidden Inputs'!AM33</f>
        <v/>
      </c>
      <c r="B81" s="1551" t="str">
        <f t="shared" si="0"/>
        <v/>
      </c>
      <c r="C81" s="1551"/>
      <c r="D81" s="576">
        <f>(IF(
Tank1!$C$23="Flare",SUMIF(Tank1!$A$32:$A$49,Flare!A81,Tank1!$C$32:$C$49),0))+(
IF(Tank2!$C$23="Flare",SUMIF(Tank2!$A$32:$A$49, Flare!A81,Tank2!$C$32:$C$49),0))+(
IF(Tank3!$C$23="Flare",SUMIF(Tank3!$A$32:$A$49, Flare!A81,Tank3!$C$32:$C$49),0))+(
IF(Tank4!$C$23="Flare",SUMIF(Tank4!$A$32:$A$49, Flare!A81,Tank4!$C$32:$C$49),0))+(
IF(Tank5!$C$23="Flare",SUMIF(Tank5!$A$32:$A$49, Flare!A81,Tank5!$C$32:$C$49),0))+(
IF('Loading-drum,tote'!$C$21="Flare",SUMIF('Loading-drum,tote'!$A$31:$A$48, Flare!A81,'Loading-drum,tote'!$F$31:$F$48),0))+(
IF('Loading-truck'!$C$21="Flare",SUMIF('Loading-truck'!$A$31:$A$48, Flare!A81,'Loading-truck'!$F$31:$F$48),0))+(
IF('Loading-rail'!$C$21="Flare",SUMIF('Loading-rail'!$A$31:$A$48, Flare!A81,'Loading-rail'!$F$31:$F$48),0))</f>
        <v>0</v>
      </c>
      <c r="E81" s="575">
        <f t="shared" si="1"/>
        <v>0</v>
      </c>
    </row>
    <row r="82" spans="1:5" x14ac:dyDescent="0.25">
      <c r="A82" s="688" t="str">
        <f>'Hidden Inputs'!AM34</f>
        <v/>
      </c>
      <c r="B82" s="1551" t="str">
        <f t="shared" ref="B82:B113" si="2">IFERROR(VLOOKUP(A82, SpeciesDataTable,2,FALSE),"")</f>
        <v/>
      </c>
      <c r="C82" s="1551"/>
      <c r="D82" s="576">
        <f>(IF(
Tank1!$C$23="Flare",SUMIF(Tank1!$A$32:$A$49,Flare!A82,Tank1!$C$32:$C$49),0))+(
IF(Tank2!$C$23="Flare",SUMIF(Tank2!$A$32:$A$49, Flare!A82,Tank2!$C$32:$C$49),0))+(
IF(Tank3!$C$23="Flare",SUMIF(Tank3!$A$32:$A$49, Flare!A82,Tank3!$C$32:$C$49),0))+(
IF(Tank4!$C$23="Flare",SUMIF(Tank4!$A$32:$A$49, Flare!A82,Tank4!$C$32:$C$49),0))+(
IF(Tank5!$C$23="Flare",SUMIF(Tank5!$A$32:$A$49, Flare!A82,Tank5!$C$32:$C$49),0))+(
IF('Loading-drum,tote'!$C$21="Flare",SUMIF('Loading-drum,tote'!$A$31:$A$48, Flare!A82,'Loading-drum,tote'!$F$31:$F$48),0))+(
IF('Loading-truck'!$C$21="Flare",SUMIF('Loading-truck'!$A$31:$A$48, Flare!A82,'Loading-truck'!$F$31:$F$48),0))+(
IF('Loading-rail'!$C$21="Flare",SUMIF('Loading-rail'!$A$31:$A$48, Flare!A82,'Loading-rail'!$F$31:$F$48),0))</f>
        <v>0</v>
      </c>
      <c r="E82" s="575">
        <f t="shared" si="1"/>
        <v>0</v>
      </c>
    </row>
    <row r="83" spans="1:5" x14ac:dyDescent="0.25">
      <c r="A83" s="688" t="str">
        <f>'Hidden Inputs'!AM35</f>
        <v/>
      </c>
      <c r="B83" s="1551" t="str">
        <f t="shared" si="2"/>
        <v/>
      </c>
      <c r="C83" s="1551"/>
      <c r="D83" s="576">
        <f>(IF(
Tank1!$C$23="Flare",SUMIF(Tank1!$A$32:$A$49,Flare!A83,Tank1!$C$32:$C$49),0))+(
IF(Tank2!$C$23="Flare",SUMIF(Tank2!$A$32:$A$49, Flare!A83,Tank2!$C$32:$C$49),0))+(
IF(Tank3!$C$23="Flare",SUMIF(Tank3!$A$32:$A$49, Flare!A83,Tank3!$C$32:$C$49),0))+(
IF(Tank4!$C$23="Flare",SUMIF(Tank4!$A$32:$A$49, Flare!A83,Tank4!$C$32:$C$49),0))+(
IF(Tank5!$C$23="Flare",SUMIF(Tank5!$A$32:$A$49, Flare!A83,Tank5!$C$32:$C$49),0))+(
IF('Loading-drum,tote'!$C$21="Flare",SUMIF('Loading-drum,tote'!$A$31:$A$48, Flare!A83,'Loading-drum,tote'!$F$31:$F$48),0))+(
IF('Loading-truck'!$C$21="Flare",SUMIF('Loading-truck'!$A$31:$A$48, Flare!A83,'Loading-truck'!$F$31:$F$48),0))+(
IF('Loading-rail'!$C$21="Flare",SUMIF('Loading-rail'!$A$31:$A$48, Flare!A83,'Loading-rail'!$F$31:$F$48),0))</f>
        <v>0</v>
      </c>
      <c r="E83" s="575">
        <f t="shared" si="1"/>
        <v>0</v>
      </c>
    </row>
    <row r="84" spans="1:5" x14ac:dyDescent="0.25">
      <c r="A84" s="688" t="str">
        <f>'Hidden Inputs'!AM36</f>
        <v/>
      </c>
      <c r="B84" s="1551" t="str">
        <f t="shared" si="2"/>
        <v/>
      </c>
      <c r="C84" s="1551"/>
      <c r="D84" s="576">
        <f>(IF(
Tank1!$C$23="Flare",SUMIF(Tank1!$A$32:$A$49,Flare!A84,Tank1!$C$32:$C$49),0))+(
IF(Tank2!$C$23="Flare",SUMIF(Tank2!$A$32:$A$49, Flare!A84,Tank2!$C$32:$C$49),0))+(
IF(Tank3!$C$23="Flare",SUMIF(Tank3!$A$32:$A$49, Flare!A84,Tank3!$C$32:$C$49),0))+(
IF(Tank4!$C$23="Flare",SUMIF(Tank4!$A$32:$A$49, Flare!A84,Tank4!$C$32:$C$49),0))+(
IF(Tank5!$C$23="Flare",SUMIF(Tank5!$A$32:$A$49, Flare!A84,Tank5!$C$32:$C$49),0))+(
IF('Loading-drum,tote'!$C$21="Flare",SUMIF('Loading-drum,tote'!$A$31:$A$48, Flare!A84,'Loading-drum,tote'!$F$31:$F$48),0))+(
IF('Loading-truck'!$C$21="Flare",SUMIF('Loading-truck'!$A$31:$A$48, Flare!A84,'Loading-truck'!$F$31:$F$48),0))+(
IF('Loading-rail'!$C$21="Flare",SUMIF('Loading-rail'!$A$31:$A$48, Flare!A84,'Loading-rail'!$F$31:$F$48),0))</f>
        <v>0</v>
      </c>
      <c r="E84" s="575">
        <f t="shared" si="1"/>
        <v>0</v>
      </c>
    </row>
    <row r="85" spans="1:5" x14ac:dyDescent="0.25">
      <c r="A85" s="688" t="str">
        <f>'Hidden Inputs'!AM37</f>
        <v/>
      </c>
      <c r="B85" s="1551" t="str">
        <f t="shared" si="2"/>
        <v/>
      </c>
      <c r="C85" s="1551"/>
      <c r="D85" s="576">
        <f>(IF(
Tank1!$C$23="Flare",SUMIF(Tank1!$A$32:$A$49,Flare!A85,Tank1!$C$32:$C$49),0))+(
IF(Tank2!$C$23="Flare",SUMIF(Tank2!$A$32:$A$49, Flare!A85,Tank2!$C$32:$C$49),0))+(
IF(Tank3!$C$23="Flare",SUMIF(Tank3!$A$32:$A$49, Flare!A85,Tank3!$C$32:$C$49),0))+(
IF(Tank4!$C$23="Flare",SUMIF(Tank4!$A$32:$A$49, Flare!A85,Tank4!$C$32:$C$49),0))+(
IF(Tank5!$C$23="Flare",SUMIF(Tank5!$A$32:$A$49, Flare!A85,Tank5!$C$32:$C$49),0))+(
IF('Loading-drum,tote'!$C$21="Flare",SUMIF('Loading-drum,tote'!$A$31:$A$48, Flare!A85,'Loading-drum,tote'!$F$31:$F$48),0))+(
IF('Loading-truck'!$C$21="Flare",SUMIF('Loading-truck'!$A$31:$A$48, Flare!A85,'Loading-truck'!$F$31:$F$48),0))+(
IF('Loading-rail'!$C$21="Flare",SUMIF('Loading-rail'!$A$31:$A$48, Flare!A85,'Loading-rail'!$F$31:$F$48),0))</f>
        <v>0</v>
      </c>
      <c r="E85" s="575">
        <f t="shared" si="1"/>
        <v>0</v>
      </c>
    </row>
    <row r="86" spans="1:5" x14ac:dyDescent="0.25">
      <c r="A86" s="688" t="str">
        <f>'Hidden Inputs'!AM38</f>
        <v/>
      </c>
      <c r="B86" s="1551" t="str">
        <f t="shared" si="2"/>
        <v/>
      </c>
      <c r="C86" s="1551"/>
      <c r="D86" s="576">
        <f>(IF(
Tank1!$C$23="Flare",SUMIF(Tank1!$A$32:$A$49,Flare!A86,Tank1!$C$32:$C$49),0))+(
IF(Tank2!$C$23="Flare",SUMIF(Tank2!$A$32:$A$49, Flare!A86,Tank2!$C$32:$C$49),0))+(
IF(Tank3!$C$23="Flare",SUMIF(Tank3!$A$32:$A$49, Flare!A86,Tank3!$C$32:$C$49),0))+(
IF(Tank4!$C$23="Flare",SUMIF(Tank4!$A$32:$A$49, Flare!A86,Tank4!$C$32:$C$49),0))+(
IF(Tank5!$C$23="Flare",SUMIF(Tank5!$A$32:$A$49, Flare!A86,Tank5!$C$32:$C$49),0))+(
IF('Loading-drum,tote'!$C$21="Flare",SUMIF('Loading-drum,tote'!$A$31:$A$48, Flare!A86,'Loading-drum,tote'!$F$31:$F$48),0))+(
IF('Loading-truck'!$C$21="Flare",SUMIF('Loading-truck'!$A$31:$A$48, Flare!A86,'Loading-truck'!$F$31:$F$48),0))+(
IF('Loading-rail'!$C$21="Flare",SUMIF('Loading-rail'!$A$31:$A$48, Flare!A86,'Loading-rail'!$F$31:$F$48),0))</f>
        <v>0</v>
      </c>
      <c r="E86" s="575">
        <f t="shared" si="1"/>
        <v>0</v>
      </c>
    </row>
    <row r="87" spans="1:5" x14ac:dyDescent="0.25">
      <c r="A87" s="688" t="str">
        <f>'Hidden Inputs'!AM39</f>
        <v/>
      </c>
      <c r="B87" s="1551" t="str">
        <f t="shared" si="2"/>
        <v/>
      </c>
      <c r="C87" s="1551"/>
      <c r="D87" s="576">
        <f>(IF(
Tank1!$C$23="Flare",SUMIF(Tank1!$A$32:$A$49,Flare!A87,Tank1!$C$32:$C$49),0))+(
IF(Tank2!$C$23="Flare",SUMIF(Tank2!$A$32:$A$49, Flare!A87,Tank2!$C$32:$C$49),0))+(
IF(Tank3!$C$23="Flare",SUMIF(Tank3!$A$32:$A$49, Flare!A87,Tank3!$C$32:$C$49),0))+(
IF(Tank4!$C$23="Flare",SUMIF(Tank4!$A$32:$A$49, Flare!A87,Tank4!$C$32:$C$49),0))+(
IF(Tank5!$C$23="Flare",SUMIF(Tank5!$A$32:$A$49, Flare!A87,Tank5!$C$32:$C$49),0))+(
IF('Loading-drum,tote'!$C$21="Flare",SUMIF('Loading-drum,tote'!$A$31:$A$48, Flare!A87,'Loading-drum,tote'!$F$31:$F$48),0))+(
IF('Loading-truck'!$C$21="Flare",SUMIF('Loading-truck'!$A$31:$A$48, Flare!A87,'Loading-truck'!$F$31:$F$48),0))+(
IF('Loading-rail'!$C$21="Flare",SUMIF('Loading-rail'!$A$31:$A$48, Flare!A87,'Loading-rail'!$F$31:$F$48),0))</f>
        <v>0</v>
      </c>
      <c r="E87" s="575">
        <f t="shared" si="1"/>
        <v>0</v>
      </c>
    </row>
    <row r="88" spans="1:5" x14ac:dyDescent="0.25">
      <c r="A88" s="688" t="str">
        <f>'Hidden Inputs'!AM40</f>
        <v/>
      </c>
      <c r="B88" s="1551" t="str">
        <f t="shared" si="2"/>
        <v/>
      </c>
      <c r="C88" s="1551"/>
      <c r="D88" s="576">
        <f>(IF(
Tank1!$C$23="Flare",SUMIF(Tank1!$A$32:$A$49,Flare!A88,Tank1!$C$32:$C$49),0))+(
IF(Tank2!$C$23="Flare",SUMIF(Tank2!$A$32:$A$49, Flare!A88,Tank2!$C$32:$C$49),0))+(
IF(Tank3!$C$23="Flare",SUMIF(Tank3!$A$32:$A$49, Flare!A88,Tank3!$C$32:$C$49),0))+(
IF(Tank4!$C$23="Flare",SUMIF(Tank4!$A$32:$A$49, Flare!A88,Tank4!$C$32:$C$49),0))+(
IF(Tank5!$C$23="Flare",SUMIF(Tank5!$A$32:$A$49, Flare!A88,Tank5!$C$32:$C$49),0))+(
IF('Loading-drum,tote'!$C$21="Flare",SUMIF('Loading-drum,tote'!$A$31:$A$48, Flare!A88,'Loading-drum,tote'!$F$31:$F$48),0))+(
IF('Loading-truck'!$C$21="Flare",SUMIF('Loading-truck'!$A$31:$A$48, Flare!A88,'Loading-truck'!$F$31:$F$48),0))+(
IF('Loading-rail'!$C$21="Flare",SUMIF('Loading-rail'!$A$31:$A$48, Flare!A88,'Loading-rail'!$F$31:$F$48),0))</f>
        <v>0</v>
      </c>
      <c r="E88" s="575">
        <f t="shared" si="1"/>
        <v>0</v>
      </c>
    </row>
    <row r="89" spans="1:5" x14ac:dyDescent="0.25">
      <c r="A89" s="688" t="str">
        <f>'Hidden Inputs'!AM41</f>
        <v/>
      </c>
      <c r="B89" s="1551" t="str">
        <f t="shared" si="2"/>
        <v/>
      </c>
      <c r="C89" s="1551"/>
      <c r="D89" s="576">
        <f>(IF(
Tank1!$C$23="Flare",SUMIF(Tank1!$A$32:$A$49,Flare!A89,Tank1!$C$32:$C$49),0))+(
IF(Tank2!$C$23="Flare",SUMIF(Tank2!$A$32:$A$49, Flare!A89,Tank2!$C$32:$C$49),0))+(
IF(Tank3!$C$23="Flare",SUMIF(Tank3!$A$32:$A$49, Flare!A89,Tank3!$C$32:$C$49),0))+(
IF(Tank4!$C$23="Flare",SUMIF(Tank4!$A$32:$A$49, Flare!A89,Tank4!$C$32:$C$49),0))+(
IF(Tank5!$C$23="Flare",SUMIF(Tank5!$A$32:$A$49, Flare!A89,Tank5!$C$32:$C$49),0))+(
IF('Loading-drum,tote'!$C$21="Flare",SUMIF('Loading-drum,tote'!$A$31:$A$48, Flare!A89,'Loading-drum,tote'!$F$31:$F$48),0))+(
IF('Loading-truck'!$C$21="Flare",SUMIF('Loading-truck'!$A$31:$A$48, Flare!A89,'Loading-truck'!$F$31:$F$48),0))+(
IF('Loading-rail'!$C$21="Flare",SUMIF('Loading-rail'!$A$31:$A$48, Flare!A89,'Loading-rail'!$F$31:$F$48),0))</f>
        <v>0</v>
      </c>
      <c r="E89" s="575">
        <f t="shared" si="1"/>
        <v>0</v>
      </c>
    </row>
    <row r="90" spans="1:5" x14ac:dyDescent="0.25">
      <c r="A90" s="688" t="str">
        <f>'Hidden Inputs'!AM42</f>
        <v/>
      </c>
      <c r="B90" s="1551" t="str">
        <f t="shared" si="2"/>
        <v/>
      </c>
      <c r="C90" s="1551"/>
      <c r="D90" s="576">
        <f>(IF(
Tank1!$C$23="Flare",SUMIF(Tank1!$A$32:$A$49,Flare!A90,Tank1!$C$32:$C$49),0))+(
IF(Tank2!$C$23="Flare",SUMIF(Tank2!$A$32:$A$49, Flare!A90,Tank2!$C$32:$C$49),0))+(
IF(Tank3!$C$23="Flare",SUMIF(Tank3!$A$32:$A$49, Flare!A90,Tank3!$C$32:$C$49),0))+(
IF(Tank4!$C$23="Flare",SUMIF(Tank4!$A$32:$A$49, Flare!A90,Tank4!$C$32:$C$49),0))+(
IF(Tank5!$C$23="Flare",SUMIF(Tank5!$A$32:$A$49, Flare!A90,Tank5!$C$32:$C$49),0))+(
IF('Loading-drum,tote'!$C$21="Flare",SUMIF('Loading-drum,tote'!$A$31:$A$48, Flare!A90,'Loading-drum,tote'!$F$31:$F$48),0))+(
IF('Loading-truck'!$C$21="Flare",SUMIF('Loading-truck'!$A$31:$A$48, Flare!A90,'Loading-truck'!$F$31:$F$48),0))+(
IF('Loading-rail'!$C$21="Flare",SUMIF('Loading-rail'!$A$31:$A$48, Flare!A90,'Loading-rail'!$F$31:$F$48),0))</f>
        <v>0</v>
      </c>
      <c r="E90" s="575">
        <f t="shared" si="1"/>
        <v>0</v>
      </c>
    </row>
    <row r="91" spans="1:5" x14ac:dyDescent="0.25">
      <c r="A91" s="688" t="str">
        <f>'Hidden Inputs'!AM43</f>
        <v/>
      </c>
      <c r="B91" s="1551" t="str">
        <f t="shared" si="2"/>
        <v/>
      </c>
      <c r="C91" s="1551"/>
      <c r="D91" s="576">
        <f>(IF(
Tank1!$C$23="Flare",SUMIF(Tank1!$A$32:$A$49,Flare!A91,Tank1!$C$32:$C$49),0))+(
IF(Tank2!$C$23="Flare",SUMIF(Tank2!$A$32:$A$49, Flare!A91,Tank2!$C$32:$C$49),0))+(
IF(Tank3!$C$23="Flare",SUMIF(Tank3!$A$32:$A$49, Flare!A91,Tank3!$C$32:$C$49),0))+(
IF(Tank4!$C$23="Flare",SUMIF(Tank4!$A$32:$A$49, Flare!A91,Tank4!$C$32:$C$49),0))+(
IF(Tank5!$C$23="Flare",SUMIF(Tank5!$A$32:$A$49, Flare!A91,Tank5!$C$32:$C$49),0))+(
IF('Loading-drum,tote'!$C$21="Flare",SUMIF('Loading-drum,tote'!$A$31:$A$48, Flare!A91,'Loading-drum,tote'!$F$31:$F$48),0))+(
IF('Loading-truck'!$C$21="Flare",SUMIF('Loading-truck'!$A$31:$A$48, Flare!A91,'Loading-truck'!$F$31:$F$48),0))+(
IF('Loading-rail'!$C$21="Flare",SUMIF('Loading-rail'!$A$31:$A$48, Flare!A91,'Loading-rail'!$F$31:$F$48),0))</f>
        <v>0</v>
      </c>
      <c r="E91" s="575">
        <f t="shared" si="1"/>
        <v>0</v>
      </c>
    </row>
    <row r="92" spans="1:5" x14ac:dyDescent="0.25">
      <c r="A92" s="688" t="str">
        <f>'Hidden Inputs'!AM44</f>
        <v/>
      </c>
      <c r="B92" s="1551" t="str">
        <f t="shared" si="2"/>
        <v/>
      </c>
      <c r="C92" s="1551"/>
      <c r="D92" s="576">
        <f>(IF(
Tank1!$C$23="Flare",SUMIF(Tank1!$A$32:$A$49,Flare!A92,Tank1!$C$32:$C$49),0))+(
IF(Tank2!$C$23="Flare",SUMIF(Tank2!$A$32:$A$49, Flare!A92,Tank2!$C$32:$C$49),0))+(
IF(Tank3!$C$23="Flare",SUMIF(Tank3!$A$32:$A$49, Flare!A92,Tank3!$C$32:$C$49),0))+(
IF(Tank4!$C$23="Flare",SUMIF(Tank4!$A$32:$A$49, Flare!A92,Tank4!$C$32:$C$49),0))+(
IF(Tank5!$C$23="Flare",SUMIF(Tank5!$A$32:$A$49, Flare!A92,Tank5!$C$32:$C$49),0))+(
IF('Loading-drum,tote'!$C$21="Flare",SUMIF('Loading-drum,tote'!$A$31:$A$48, Flare!A92,'Loading-drum,tote'!$F$31:$F$48),0))+(
IF('Loading-truck'!$C$21="Flare",SUMIF('Loading-truck'!$A$31:$A$48, Flare!A92,'Loading-truck'!$F$31:$F$48),0))+(
IF('Loading-rail'!$C$21="Flare",SUMIF('Loading-rail'!$A$31:$A$48, Flare!A92,'Loading-rail'!$F$31:$F$48),0))</f>
        <v>0</v>
      </c>
      <c r="E92" s="575">
        <f t="shared" si="1"/>
        <v>0</v>
      </c>
    </row>
    <row r="93" spans="1:5" x14ac:dyDescent="0.25">
      <c r="A93" s="688" t="str">
        <f>'Hidden Inputs'!AM45</f>
        <v/>
      </c>
      <c r="B93" s="1551" t="str">
        <f t="shared" si="2"/>
        <v/>
      </c>
      <c r="C93" s="1551"/>
      <c r="D93" s="576">
        <f>(IF(
Tank1!$C$23="Flare",SUMIF(Tank1!$A$32:$A$49,Flare!A93,Tank1!$C$32:$C$49),0))+(
IF(Tank2!$C$23="Flare",SUMIF(Tank2!$A$32:$A$49, Flare!A93,Tank2!$C$32:$C$49),0))+(
IF(Tank3!$C$23="Flare",SUMIF(Tank3!$A$32:$A$49, Flare!A93,Tank3!$C$32:$C$49),0))+(
IF(Tank4!$C$23="Flare",SUMIF(Tank4!$A$32:$A$49, Flare!A93,Tank4!$C$32:$C$49),0))+(
IF(Tank5!$C$23="Flare",SUMIF(Tank5!$A$32:$A$49, Flare!A93,Tank5!$C$32:$C$49),0))+(
IF('Loading-drum,tote'!$C$21="Flare",SUMIF('Loading-drum,tote'!$A$31:$A$48, Flare!A93,'Loading-drum,tote'!$F$31:$F$48),0))+(
IF('Loading-truck'!$C$21="Flare",SUMIF('Loading-truck'!$A$31:$A$48, Flare!A93,'Loading-truck'!$F$31:$F$48),0))+(
IF('Loading-rail'!$C$21="Flare",SUMIF('Loading-rail'!$A$31:$A$48, Flare!A93,'Loading-rail'!$F$31:$F$48),0))</f>
        <v>0</v>
      </c>
      <c r="E93" s="575">
        <f t="shared" si="1"/>
        <v>0</v>
      </c>
    </row>
    <row r="94" spans="1:5" x14ac:dyDescent="0.25">
      <c r="A94" s="688" t="str">
        <f>'Hidden Inputs'!AM46</f>
        <v/>
      </c>
      <c r="B94" s="1551" t="str">
        <f t="shared" si="2"/>
        <v/>
      </c>
      <c r="C94" s="1551"/>
      <c r="D94" s="576">
        <f>(IF(
Tank1!$C$23="Flare",SUMIF(Tank1!$A$32:$A$49,Flare!A94,Tank1!$C$32:$C$49),0))+(
IF(Tank2!$C$23="Flare",SUMIF(Tank2!$A$32:$A$49, Flare!A94,Tank2!$C$32:$C$49),0))+(
IF(Tank3!$C$23="Flare",SUMIF(Tank3!$A$32:$A$49, Flare!A94,Tank3!$C$32:$C$49),0))+(
IF(Tank4!$C$23="Flare",SUMIF(Tank4!$A$32:$A$49, Flare!A94,Tank4!$C$32:$C$49),0))+(
IF(Tank5!$C$23="Flare",SUMIF(Tank5!$A$32:$A$49, Flare!A94,Tank5!$C$32:$C$49),0))+(
IF('Loading-drum,tote'!$C$21="Flare",SUMIF('Loading-drum,tote'!$A$31:$A$48, Flare!A94,'Loading-drum,tote'!$F$31:$F$48),0))+(
IF('Loading-truck'!$C$21="Flare",SUMIF('Loading-truck'!$A$31:$A$48, Flare!A94,'Loading-truck'!$F$31:$F$48),0))+(
IF('Loading-rail'!$C$21="Flare",SUMIF('Loading-rail'!$A$31:$A$48, Flare!A94,'Loading-rail'!$F$31:$F$48),0))</f>
        <v>0</v>
      </c>
      <c r="E94" s="575">
        <f t="shared" si="1"/>
        <v>0</v>
      </c>
    </row>
    <row r="95" spans="1:5" x14ac:dyDescent="0.25">
      <c r="A95" s="688" t="str">
        <f>'Hidden Inputs'!AM47</f>
        <v/>
      </c>
      <c r="B95" s="1551" t="str">
        <f t="shared" si="2"/>
        <v/>
      </c>
      <c r="C95" s="1551"/>
      <c r="D95" s="576">
        <f>(IF(
Tank1!$C$23="Flare",SUMIF(Tank1!$A$32:$A$49,Flare!A95,Tank1!$C$32:$C$49),0))+(
IF(Tank2!$C$23="Flare",SUMIF(Tank2!$A$32:$A$49, Flare!A95,Tank2!$C$32:$C$49),0))+(
IF(Tank3!$C$23="Flare",SUMIF(Tank3!$A$32:$A$49, Flare!A95,Tank3!$C$32:$C$49),0))+(
IF(Tank4!$C$23="Flare",SUMIF(Tank4!$A$32:$A$49, Flare!A95,Tank4!$C$32:$C$49),0))+(
IF(Tank5!$C$23="Flare",SUMIF(Tank5!$A$32:$A$49, Flare!A95,Tank5!$C$32:$C$49),0))+(
IF('Loading-drum,tote'!$C$21="Flare",SUMIF('Loading-drum,tote'!$A$31:$A$48, Flare!A95,'Loading-drum,tote'!$F$31:$F$48),0))+(
IF('Loading-truck'!$C$21="Flare",SUMIF('Loading-truck'!$A$31:$A$48, Flare!A95,'Loading-truck'!$F$31:$F$48),0))+(
IF('Loading-rail'!$C$21="Flare",SUMIF('Loading-rail'!$A$31:$A$48, Flare!A95,'Loading-rail'!$F$31:$F$48),0))</f>
        <v>0</v>
      </c>
      <c r="E95" s="575">
        <f t="shared" si="1"/>
        <v>0</v>
      </c>
    </row>
    <row r="96" spans="1:5" x14ac:dyDescent="0.25">
      <c r="A96" s="688" t="str">
        <f>'Hidden Inputs'!AM48</f>
        <v/>
      </c>
      <c r="B96" s="1551" t="str">
        <f t="shared" si="2"/>
        <v/>
      </c>
      <c r="C96" s="1551"/>
      <c r="D96" s="576">
        <f>(IF(
Tank1!$C$23="Flare",SUMIF(Tank1!$A$32:$A$49,Flare!A96,Tank1!$C$32:$C$49),0))+(
IF(Tank2!$C$23="Flare",SUMIF(Tank2!$A$32:$A$49, Flare!A96,Tank2!$C$32:$C$49),0))+(
IF(Tank3!$C$23="Flare",SUMIF(Tank3!$A$32:$A$49, Flare!A96,Tank3!$C$32:$C$49),0))+(
IF(Tank4!$C$23="Flare",SUMIF(Tank4!$A$32:$A$49, Flare!A96,Tank4!$C$32:$C$49),0))+(
IF(Tank5!$C$23="Flare",SUMIF(Tank5!$A$32:$A$49, Flare!A96,Tank5!$C$32:$C$49),0))+(
IF('Loading-drum,tote'!$C$21="Flare",SUMIF('Loading-drum,tote'!$A$31:$A$48, Flare!A96,'Loading-drum,tote'!$F$31:$F$48),0))+(
IF('Loading-truck'!$C$21="Flare",SUMIF('Loading-truck'!$A$31:$A$48, Flare!A96,'Loading-truck'!$F$31:$F$48),0))+(
IF('Loading-rail'!$C$21="Flare",SUMIF('Loading-rail'!$A$31:$A$48, Flare!A96,'Loading-rail'!$F$31:$F$48),0))</f>
        <v>0</v>
      </c>
      <c r="E96" s="575">
        <f t="shared" si="1"/>
        <v>0</v>
      </c>
    </row>
    <row r="97" spans="1:5" x14ac:dyDescent="0.25">
      <c r="A97" s="688" t="str">
        <f>'Hidden Inputs'!AM49</f>
        <v/>
      </c>
      <c r="B97" s="1551" t="str">
        <f t="shared" si="2"/>
        <v/>
      </c>
      <c r="C97" s="1551"/>
      <c r="D97" s="576">
        <f>(IF(
Tank1!$C$23="Flare",SUMIF(Tank1!$A$32:$A$49,Flare!A97,Tank1!$C$32:$C$49),0))+(
IF(Tank2!$C$23="Flare",SUMIF(Tank2!$A$32:$A$49, Flare!A97,Tank2!$C$32:$C$49),0))+(
IF(Tank3!$C$23="Flare",SUMIF(Tank3!$A$32:$A$49, Flare!A97,Tank3!$C$32:$C$49),0))+(
IF(Tank4!$C$23="Flare",SUMIF(Tank4!$A$32:$A$49, Flare!A97,Tank4!$C$32:$C$49),0))+(
IF(Tank5!$C$23="Flare",SUMIF(Tank5!$A$32:$A$49, Flare!A97,Tank5!$C$32:$C$49),0))+(
IF('Loading-drum,tote'!$C$21="Flare",SUMIF('Loading-drum,tote'!$A$31:$A$48, Flare!A97,'Loading-drum,tote'!$F$31:$F$48),0))+(
IF('Loading-truck'!$C$21="Flare",SUMIF('Loading-truck'!$A$31:$A$48, Flare!A97,'Loading-truck'!$F$31:$F$48),0))+(
IF('Loading-rail'!$C$21="Flare",SUMIF('Loading-rail'!$A$31:$A$48, Flare!A97,'Loading-rail'!$F$31:$F$48),0))</f>
        <v>0</v>
      </c>
      <c r="E97" s="575">
        <f t="shared" si="1"/>
        <v>0</v>
      </c>
    </row>
    <row r="98" spans="1:5" x14ac:dyDescent="0.25">
      <c r="A98" s="688" t="str">
        <f>'Hidden Inputs'!AM50</f>
        <v/>
      </c>
      <c r="B98" s="1551" t="str">
        <f t="shared" si="2"/>
        <v/>
      </c>
      <c r="C98" s="1551"/>
      <c r="D98" s="576">
        <f>(IF(
Tank1!$C$23="Flare",SUMIF(Tank1!$A$32:$A$49,Flare!A98,Tank1!$C$32:$C$49),0))+(
IF(Tank2!$C$23="Flare",SUMIF(Tank2!$A$32:$A$49, Flare!A98,Tank2!$C$32:$C$49),0))+(
IF(Tank3!$C$23="Flare",SUMIF(Tank3!$A$32:$A$49, Flare!A98,Tank3!$C$32:$C$49),0))+(
IF(Tank4!$C$23="Flare",SUMIF(Tank4!$A$32:$A$49, Flare!A98,Tank4!$C$32:$C$49),0))+(
IF(Tank5!$C$23="Flare",SUMIF(Tank5!$A$32:$A$49, Flare!A98,Tank5!$C$32:$C$49),0))+(
IF('Loading-drum,tote'!$C$21="Flare",SUMIF('Loading-drum,tote'!$A$31:$A$48, Flare!A98,'Loading-drum,tote'!$F$31:$F$48),0))+(
IF('Loading-truck'!$C$21="Flare",SUMIF('Loading-truck'!$A$31:$A$48, Flare!A98,'Loading-truck'!$F$31:$F$48),0))+(
IF('Loading-rail'!$C$21="Flare",SUMIF('Loading-rail'!$A$31:$A$48, Flare!A98,'Loading-rail'!$F$31:$F$48),0))</f>
        <v>0</v>
      </c>
      <c r="E98" s="575">
        <f t="shared" si="1"/>
        <v>0</v>
      </c>
    </row>
    <row r="99" spans="1:5" x14ac:dyDescent="0.25">
      <c r="A99" s="688" t="str">
        <f>'Hidden Inputs'!AM51</f>
        <v/>
      </c>
      <c r="B99" s="1551" t="str">
        <f t="shared" si="2"/>
        <v/>
      </c>
      <c r="C99" s="1551"/>
      <c r="D99" s="576">
        <f>(IF(
Tank1!$C$23="Flare",SUMIF(Tank1!$A$32:$A$49,Flare!A99,Tank1!$C$32:$C$49),0))+(
IF(Tank2!$C$23="Flare",SUMIF(Tank2!$A$32:$A$49, Flare!A99,Tank2!$C$32:$C$49),0))+(
IF(Tank3!$C$23="Flare",SUMIF(Tank3!$A$32:$A$49, Flare!A99,Tank3!$C$32:$C$49),0))+(
IF(Tank4!$C$23="Flare",SUMIF(Tank4!$A$32:$A$49, Flare!A99,Tank4!$C$32:$C$49),0))+(
IF(Tank5!$C$23="Flare",SUMIF(Tank5!$A$32:$A$49, Flare!A99,Tank5!$C$32:$C$49),0))+(
IF('Loading-drum,tote'!$C$21="Flare",SUMIF('Loading-drum,tote'!$A$31:$A$48, Flare!A99,'Loading-drum,tote'!$F$31:$F$48),0))+(
IF('Loading-truck'!$C$21="Flare",SUMIF('Loading-truck'!$A$31:$A$48, Flare!A99,'Loading-truck'!$F$31:$F$48),0))+(
IF('Loading-rail'!$C$21="Flare",SUMIF('Loading-rail'!$A$31:$A$48, Flare!A99,'Loading-rail'!$F$31:$F$48),0))</f>
        <v>0</v>
      </c>
      <c r="E99" s="575">
        <f t="shared" si="1"/>
        <v>0</v>
      </c>
    </row>
    <row r="100" spans="1:5" x14ac:dyDescent="0.25">
      <c r="A100" s="688" t="str">
        <f>'Hidden Inputs'!AM52</f>
        <v/>
      </c>
      <c r="B100" s="1551" t="str">
        <f t="shared" si="2"/>
        <v/>
      </c>
      <c r="C100" s="1551"/>
      <c r="D100" s="576">
        <f>(IF(
Tank1!$C$23="Flare",SUMIF(Tank1!$A$32:$A$49,Flare!A100,Tank1!$C$32:$C$49),0))+(
IF(Tank2!$C$23="Flare",SUMIF(Tank2!$A$32:$A$49, Flare!A100,Tank2!$C$32:$C$49),0))+(
IF(Tank3!$C$23="Flare",SUMIF(Tank3!$A$32:$A$49, Flare!A100,Tank3!$C$32:$C$49),0))+(
IF(Tank4!$C$23="Flare",SUMIF(Tank4!$A$32:$A$49, Flare!A100,Tank4!$C$32:$C$49),0))+(
IF(Tank5!$C$23="Flare",SUMIF(Tank5!$A$32:$A$49, Flare!A100,Tank5!$C$32:$C$49),0))+(
IF('Loading-drum,tote'!$C$21="Flare",SUMIF('Loading-drum,tote'!$A$31:$A$48, Flare!A100,'Loading-drum,tote'!$F$31:$F$48),0))+(
IF('Loading-truck'!$C$21="Flare",SUMIF('Loading-truck'!$A$31:$A$48, Flare!A100,'Loading-truck'!$F$31:$F$48),0))+(
IF('Loading-rail'!$C$21="Flare",SUMIF('Loading-rail'!$A$31:$A$48, Flare!A100,'Loading-rail'!$F$31:$F$48),0))</f>
        <v>0</v>
      </c>
      <c r="E100" s="575">
        <f t="shared" si="1"/>
        <v>0</v>
      </c>
    </row>
    <row r="101" spans="1:5" x14ac:dyDescent="0.25">
      <c r="A101" s="688" t="str">
        <f>'Hidden Inputs'!AM53</f>
        <v/>
      </c>
      <c r="B101" s="1551" t="str">
        <f t="shared" si="2"/>
        <v/>
      </c>
      <c r="C101" s="1551"/>
      <c r="D101" s="576">
        <f>(IF(
Tank1!$C$23="Flare",SUMIF(Tank1!$A$32:$A$49,Flare!A101,Tank1!$C$32:$C$49),0))+(
IF(Tank2!$C$23="Flare",SUMIF(Tank2!$A$32:$A$49, Flare!A101,Tank2!$C$32:$C$49),0))+(
IF(Tank3!$C$23="Flare",SUMIF(Tank3!$A$32:$A$49, Flare!A101,Tank3!$C$32:$C$49),0))+(
IF(Tank4!$C$23="Flare",SUMIF(Tank4!$A$32:$A$49, Flare!A101,Tank4!$C$32:$C$49),0))+(
IF(Tank5!$C$23="Flare",SUMIF(Tank5!$A$32:$A$49, Flare!A101,Tank5!$C$32:$C$49),0))+(
IF('Loading-drum,tote'!$C$21="Flare",SUMIF('Loading-drum,tote'!$A$31:$A$48, Flare!A101,'Loading-drum,tote'!$F$31:$F$48),0))+(
IF('Loading-truck'!$C$21="Flare",SUMIF('Loading-truck'!$A$31:$A$48, Flare!A101,'Loading-truck'!$F$31:$F$48),0))+(
IF('Loading-rail'!$C$21="Flare",SUMIF('Loading-rail'!$A$31:$A$48, Flare!A101,'Loading-rail'!$F$31:$F$48),0))</f>
        <v>0</v>
      </c>
      <c r="E101" s="575">
        <f t="shared" si="1"/>
        <v>0</v>
      </c>
    </row>
    <row r="102" spans="1:5" x14ac:dyDescent="0.25">
      <c r="A102" s="688" t="str">
        <f>'Hidden Inputs'!AM54</f>
        <v/>
      </c>
      <c r="B102" s="1551" t="str">
        <f t="shared" si="2"/>
        <v/>
      </c>
      <c r="C102" s="1551"/>
      <c r="D102" s="576">
        <f>(IF(
Tank1!$C$23="Flare",SUMIF(Tank1!$A$32:$A$49,Flare!A102,Tank1!$C$32:$C$49),0))+(
IF(Tank2!$C$23="Flare",SUMIF(Tank2!$A$32:$A$49, Flare!A102,Tank2!$C$32:$C$49),0))+(
IF(Tank3!$C$23="Flare",SUMIF(Tank3!$A$32:$A$49, Flare!A102,Tank3!$C$32:$C$49),0))+(
IF(Tank4!$C$23="Flare",SUMIF(Tank4!$A$32:$A$49, Flare!A102,Tank4!$C$32:$C$49),0))+(
IF(Tank5!$C$23="Flare",SUMIF(Tank5!$A$32:$A$49, Flare!A102,Tank5!$C$32:$C$49),0))+(
IF('Loading-drum,tote'!$C$21="Flare",SUMIF('Loading-drum,tote'!$A$31:$A$48, Flare!A102,'Loading-drum,tote'!$F$31:$F$48),0))+(
IF('Loading-truck'!$C$21="Flare",SUMIF('Loading-truck'!$A$31:$A$48, Flare!A102,'Loading-truck'!$F$31:$F$48),0))+(
IF('Loading-rail'!$C$21="Flare",SUMIF('Loading-rail'!$A$31:$A$48, Flare!A102,'Loading-rail'!$F$31:$F$48),0))</f>
        <v>0</v>
      </c>
      <c r="E102" s="575">
        <f t="shared" si="1"/>
        <v>0</v>
      </c>
    </row>
    <row r="103" spans="1:5" x14ac:dyDescent="0.25">
      <c r="A103" s="688" t="str">
        <f>'Hidden Inputs'!AM55</f>
        <v/>
      </c>
      <c r="B103" s="1551" t="str">
        <f t="shared" si="2"/>
        <v/>
      </c>
      <c r="C103" s="1551"/>
      <c r="D103" s="576">
        <f>(IF(
Tank1!$C$23="Flare",SUMIF(Tank1!$A$32:$A$49,Flare!A103,Tank1!$C$32:$C$49),0))+(
IF(Tank2!$C$23="Flare",SUMIF(Tank2!$A$32:$A$49, Flare!A103,Tank2!$C$32:$C$49),0))+(
IF(Tank3!$C$23="Flare",SUMIF(Tank3!$A$32:$A$49, Flare!A103,Tank3!$C$32:$C$49),0))+(
IF(Tank4!$C$23="Flare",SUMIF(Tank4!$A$32:$A$49, Flare!A103,Tank4!$C$32:$C$49),0))+(
IF(Tank5!$C$23="Flare",SUMIF(Tank5!$A$32:$A$49, Flare!A103,Tank5!$C$32:$C$49),0))+(
IF('Loading-drum,tote'!$C$21="Flare",SUMIF('Loading-drum,tote'!$A$31:$A$48, Flare!A103,'Loading-drum,tote'!$F$31:$F$48),0))+(
IF('Loading-truck'!$C$21="Flare",SUMIF('Loading-truck'!$A$31:$A$48, Flare!A103,'Loading-truck'!$F$31:$F$48),0))+(
IF('Loading-rail'!$C$21="Flare",SUMIF('Loading-rail'!$A$31:$A$48, Flare!A103,'Loading-rail'!$F$31:$F$48),0))</f>
        <v>0</v>
      </c>
      <c r="E103" s="575">
        <f t="shared" si="1"/>
        <v>0</v>
      </c>
    </row>
    <row r="104" spans="1:5" x14ac:dyDescent="0.25">
      <c r="A104" s="688" t="str">
        <f>'Hidden Inputs'!AM56</f>
        <v/>
      </c>
      <c r="B104" s="1551" t="str">
        <f t="shared" si="2"/>
        <v/>
      </c>
      <c r="C104" s="1551"/>
      <c r="D104" s="576">
        <f>(IF(
Tank1!$C$23="Flare",SUMIF(Tank1!$A$32:$A$49,Flare!A104,Tank1!$C$32:$C$49),0))+(
IF(Tank2!$C$23="Flare",SUMIF(Tank2!$A$32:$A$49, Flare!A104,Tank2!$C$32:$C$49),0))+(
IF(Tank3!$C$23="Flare",SUMIF(Tank3!$A$32:$A$49, Flare!A104,Tank3!$C$32:$C$49),0))+(
IF(Tank4!$C$23="Flare",SUMIF(Tank4!$A$32:$A$49, Flare!A104,Tank4!$C$32:$C$49),0))+(
IF(Tank5!$C$23="Flare",SUMIF(Tank5!$A$32:$A$49, Flare!A104,Tank5!$C$32:$C$49),0))+(
IF('Loading-drum,tote'!$C$21="Flare",SUMIF('Loading-drum,tote'!$A$31:$A$48, Flare!A104,'Loading-drum,tote'!$F$31:$F$48),0))+(
IF('Loading-truck'!$C$21="Flare",SUMIF('Loading-truck'!$A$31:$A$48, Flare!A104,'Loading-truck'!$F$31:$F$48),0))+(
IF('Loading-rail'!$C$21="Flare",SUMIF('Loading-rail'!$A$31:$A$48, Flare!A104,'Loading-rail'!$F$31:$F$48),0))</f>
        <v>0</v>
      </c>
      <c r="E104" s="575">
        <f t="shared" si="1"/>
        <v>0</v>
      </c>
    </row>
    <row r="105" spans="1:5" x14ac:dyDescent="0.25">
      <c r="A105" s="688" t="str">
        <f>'Hidden Inputs'!AM57</f>
        <v/>
      </c>
      <c r="B105" s="1551" t="str">
        <f t="shared" si="2"/>
        <v/>
      </c>
      <c r="C105" s="1551"/>
      <c r="D105" s="576">
        <f>(IF(
Tank1!$C$23="Flare",SUMIF(Tank1!$A$32:$A$49,Flare!A105,Tank1!$C$32:$C$49),0))+(
IF(Tank2!$C$23="Flare",SUMIF(Tank2!$A$32:$A$49, Flare!A105,Tank2!$C$32:$C$49),0))+(
IF(Tank3!$C$23="Flare",SUMIF(Tank3!$A$32:$A$49, Flare!A105,Tank3!$C$32:$C$49),0))+(
IF(Tank4!$C$23="Flare",SUMIF(Tank4!$A$32:$A$49, Flare!A105,Tank4!$C$32:$C$49),0))+(
IF(Tank5!$C$23="Flare",SUMIF(Tank5!$A$32:$A$49, Flare!A105,Tank5!$C$32:$C$49),0))+(
IF('Loading-drum,tote'!$C$21="Flare",SUMIF('Loading-drum,tote'!$A$31:$A$48, Flare!A105,'Loading-drum,tote'!$F$31:$F$48),0))+(
IF('Loading-truck'!$C$21="Flare",SUMIF('Loading-truck'!$A$31:$A$48, Flare!A105,'Loading-truck'!$F$31:$F$48),0))+(
IF('Loading-rail'!$C$21="Flare",SUMIF('Loading-rail'!$A$31:$A$48, Flare!A105,'Loading-rail'!$F$31:$F$48),0))</f>
        <v>0</v>
      </c>
      <c r="E105" s="575">
        <f t="shared" si="1"/>
        <v>0</v>
      </c>
    </row>
    <row r="106" spans="1:5" x14ac:dyDescent="0.25">
      <c r="A106" s="688" t="str">
        <f>'Hidden Inputs'!AM58</f>
        <v/>
      </c>
      <c r="B106" s="1551" t="str">
        <f t="shared" si="2"/>
        <v/>
      </c>
      <c r="C106" s="1551"/>
      <c r="D106" s="576">
        <f>(IF(
Tank1!$C$23="Flare",SUMIF(Tank1!$A$32:$A$49,Flare!A106,Tank1!$C$32:$C$49),0))+(
IF(Tank2!$C$23="Flare",SUMIF(Tank2!$A$32:$A$49, Flare!A106,Tank2!$C$32:$C$49),0))+(
IF(Tank3!$C$23="Flare",SUMIF(Tank3!$A$32:$A$49, Flare!A106,Tank3!$C$32:$C$49),0))+(
IF(Tank4!$C$23="Flare",SUMIF(Tank4!$A$32:$A$49, Flare!A106,Tank4!$C$32:$C$49),0))+(
IF(Tank5!$C$23="Flare",SUMIF(Tank5!$A$32:$A$49, Flare!A106,Tank5!$C$32:$C$49),0))+(
IF('Loading-drum,tote'!$C$21="Flare",SUMIF('Loading-drum,tote'!$A$31:$A$48, Flare!A106,'Loading-drum,tote'!$F$31:$F$48),0))+(
IF('Loading-truck'!$C$21="Flare",SUMIF('Loading-truck'!$A$31:$A$48, Flare!A106,'Loading-truck'!$F$31:$F$48),0))+(
IF('Loading-rail'!$C$21="Flare",SUMIF('Loading-rail'!$A$31:$A$48, Flare!A106,'Loading-rail'!$F$31:$F$48),0))</f>
        <v>0</v>
      </c>
      <c r="E106" s="575">
        <f t="shared" si="1"/>
        <v>0</v>
      </c>
    </row>
    <row r="107" spans="1:5" x14ac:dyDescent="0.25">
      <c r="A107" s="688" t="str">
        <f>'Hidden Inputs'!AM59</f>
        <v/>
      </c>
      <c r="B107" s="1551" t="str">
        <f t="shared" si="2"/>
        <v/>
      </c>
      <c r="C107" s="1551"/>
      <c r="D107" s="576">
        <f>(IF(
Tank1!$C$23="Flare",SUMIF(Tank1!$A$32:$A$49,Flare!A107,Tank1!$C$32:$C$49),0))+(
IF(Tank2!$C$23="Flare",SUMIF(Tank2!$A$32:$A$49, Flare!A107,Tank2!$C$32:$C$49),0))+(
IF(Tank3!$C$23="Flare",SUMIF(Tank3!$A$32:$A$49, Flare!A107,Tank3!$C$32:$C$49),0))+(
IF(Tank4!$C$23="Flare",SUMIF(Tank4!$A$32:$A$49, Flare!A107,Tank4!$C$32:$C$49),0))+(
IF(Tank5!$C$23="Flare",SUMIF(Tank5!$A$32:$A$49, Flare!A107,Tank5!$C$32:$C$49),0))+(
IF('Loading-drum,tote'!$C$21="Flare",SUMIF('Loading-drum,tote'!$A$31:$A$48, Flare!A107,'Loading-drum,tote'!$F$31:$F$48),0))+(
IF('Loading-truck'!$C$21="Flare",SUMIF('Loading-truck'!$A$31:$A$48, Flare!A107,'Loading-truck'!$F$31:$F$48),0))+(
IF('Loading-rail'!$C$21="Flare",SUMIF('Loading-rail'!$A$31:$A$48, Flare!A107,'Loading-rail'!$F$31:$F$48),0))</f>
        <v>0</v>
      </c>
      <c r="E107" s="575">
        <f t="shared" si="1"/>
        <v>0</v>
      </c>
    </row>
    <row r="108" spans="1:5" x14ac:dyDescent="0.25">
      <c r="A108" s="688" t="str">
        <f>'Hidden Inputs'!AM60</f>
        <v/>
      </c>
      <c r="B108" s="1551" t="str">
        <f t="shared" si="2"/>
        <v/>
      </c>
      <c r="C108" s="1551"/>
      <c r="D108" s="576">
        <f>(IF(
Tank1!$C$23="Flare",SUMIF(Tank1!$A$32:$A$49,Flare!A108,Tank1!$C$32:$C$49),0))+(
IF(Tank2!$C$23="Flare",SUMIF(Tank2!$A$32:$A$49, Flare!A108,Tank2!$C$32:$C$49),0))+(
IF(Tank3!$C$23="Flare",SUMIF(Tank3!$A$32:$A$49, Flare!A108,Tank3!$C$32:$C$49),0))+(
IF(Tank4!$C$23="Flare",SUMIF(Tank4!$A$32:$A$49, Flare!A108,Tank4!$C$32:$C$49),0))+(
IF(Tank5!$C$23="Flare",SUMIF(Tank5!$A$32:$A$49, Flare!A108,Tank5!$C$32:$C$49),0))+(
IF('Loading-drum,tote'!$C$21="Flare",SUMIF('Loading-drum,tote'!$A$31:$A$48, Flare!A108,'Loading-drum,tote'!$F$31:$F$48),0))+(
IF('Loading-truck'!$C$21="Flare",SUMIF('Loading-truck'!$A$31:$A$48, Flare!A108,'Loading-truck'!$F$31:$F$48),0))+(
IF('Loading-rail'!$C$21="Flare",SUMIF('Loading-rail'!$A$31:$A$48, Flare!A108,'Loading-rail'!$F$31:$F$48),0))</f>
        <v>0</v>
      </c>
      <c r="E108" s="575">
        <f t="shared" si="1"/>
        <v>0</v>
      </c>
    </row>
    <row r="109" spans="1:5" x14ac:dyDescent="0.25">
      <c r="A109" s="688" t="str">
        <f>'Hidden Inputs'!AM61</f>
        <v/>
      </c>
      <c r="B109" s="1551" t="str">
        <f t="shared" si="2"/>
        <v/>
      </c>
      <c r="C109" s="1551"/>
      <c r="D109" s="576">
        <f>(IF(
Tank1!$C$23="Flare",SUMIF(Tank1!$A$32:$A$49,Flare!A109,Tank1!$C$32:$C$49),0))+(
IF(Tank2!$C$23="Flare",SUMIF(Tank2!$A$32:$A$49, Flare!A109,Tank2!$C$32:$C$49),0))+(
IF(Tank3!$C$23="Flare",SUMIF(Tank3!$A$32:$A$49, Flare!A109,Tank3!$C$32:$C$49),0))+(
IF(Tank4!$C$23="Flare",SUMIF(Tank4!$A$32:$A$49, Flare!A109,Tank4!$C$32:$C$49),0))+(
IF(Tank5!$C$23="Flare",SUMIF(Tank5!$A$32:$A$49, Flare!A109,Tank5!$C$32:$C$49),0))+(
IF('Loading-drum,tote'!$C$21="Flare",SUMIF('Loading-drum,tote'!$A$31:$A$48, Flare!A109,'Loading-drum,tote'!$F$31:$F$48),0))+(
IF('Loading-truck'!$C$21="Flare",SUMIF('Loading-truck'!$A$31:$A$48, Flare!A109,'Loading-truck'!$F$31:$F$48),0))+(
IF('Loading-rail'!$C$21="Flare",SUMIF('Loading-rail'!$A$31:$A$48, Flare!A109,'Loading-rail'!$F$31:$F$48),0))</f>
        <v>0</v>
      </c>
      <c r="E109" s="575">
        <f t="shared" si="1"/>
        <v>0</v>
      </c>
    </row>
    <row r="110" spans="1:5" x14ac:dyDescent="0.25">
      <c r="A110" s="688" t="str">
        <f>'Hidden Inputs'!AM62</f>
        <v/>
      </c>
      <c r="B110" s="1551" t="str">
        <f t="shared" si="2"/>
        <v/>
      </c>
      <c r="C110" s="1551"/>
      <c r="D110" s="576">
        <f>(IF(
Tank1!$C$23="Flare",SUMIF(Tank1!$A$32:$A$49,Flare!A110,Tank1!$C$32:$C$49),0))+(
IF(Tank2!$C$23="Flare",SUMIF(Tank2!$A$32:$A$49, Flare!A110,Tank2!$C$32:$C$49),0))+(
IF(Tank3!$C$23="Flare",SUMIF(Tank3!$A$32:$A$49, Flare!A110,Tank3!$C$32:$C$49),0))+(
IF(Tank4!$C$23="Flare",SUMIF(Tank4!$A$32:$A$49, Flare!A110,Tank4!$C$32:$C$49),0))+(
IF(Tank5!$C$23="Flare",SUMIF(Tank5!$A$32:$A$49, Flare!A110,Tank5!$C$32:$C$49),0))+(
IF('Loading-drum,tote'!$C$21="Flare",SUMIF('Loading-drum,tote'!$A$31:$A$48, Flare!A110,'Loading-drum,tote'!$F$31:$F$48),0))+(
IF('Loading-truck'!$C$21="Flare",SUMIF('Loading-truck'!$A$31:$A$48, Flare!A110,'Loading-truck'!$F$31:$F$48),0))+(
IF('Loading-rail'!$C$21="Flare",SUMIF('Loading-rail'!$A$31:$A$48, Flare!A110,'Loading-rail'!$F$31:$F$48),0))</f>
        <v>0</v>
      </c>
      <c r="E110" s="575">
        <f t="shared" si="1"/>
        <v>0</v>
      </c>
    </row>
    <row r="111" spans="1:5" x14ac:dyDescent="0.25">
      <c r="A111" s="688" t="str">
        <f>'Hidden Inputs'!AM63</f>
        <v/>
      </c>
      <c r="B111" s="1551" t="str">
        <f t="shared" si="2"/>
        <v/>
      </c>
      <c r="C111" s="1551"/>
      <c r="D111" s="576">
        <f>(IF(
Tank1!$C$23="Flare",SUMIF(Tank1!$A$32:$A$49,Flare!A111,Tank1!$C$32:$C$49),0))+(
IF(Tank2!$C$23="Flare",SUMIF(Tank2!$A$32:$A$49, Flare!A111,Tank2!$C$32:$C$49),0))+(
IF(Tank3!$C$23="Flare",SUMIF(Tank3!$A$32:$A$49, Flare!A111,Tank3!$C$32:$C$49),0))+(
IF(Tank4!$C$23="Flare",SUMIF(Tank4!$A$32:$A$49, Flare!A111,Tank4!$C$32:$C$49),0))+(
IF(Tank5!$C$23="Flare",SUMIF(Tank5!$A$32:$A$49, Flare!A111,Tank5!$C$32:$C$49),0))+(
IF('Loading-drum,tote'!$C$21="Flare",SUMIF('Loading-drum,tote'!$A$31:$A$48, Flare!A111,'Loading-drum,tote'!$F$31:$F$48),0))+(
IF('Loading-truck'!$C$21="Flare",SUMIF('Loading-truck'!$A$31:$A$48, Flare!A111,'Loading-truck'!$F$31:$F$48),0))+(
IF('Loading-rail'!$C$21="Flare",SUMIF('Loading-rail'!$A$31:$A$48, Flare!A111,'Loading-rail'!$F$31:$F$48),0))</f>
        <v>0</v>
      </c>
      <c r="E111" s="575">
        <f t="shared" si="1"/>
        <v>0</v>
      </c>
    </row>
    <row r="112" spans="1:5" x14ac:dyDescent="0.25">
      <c r="A112" s="688" t="str">
        <f>'Hidden Inputs'!AM64</f>
        <v/>
      </c>
      <c r="B112" s="1551" t="str">
        <f t="shared" si="2"/>
        <v/>
      </c>
      <c r="C112" s="1551"/>
      <c r="D112" s="576">
        <f>(IF(
Tank1!$C$23="Flare",SUMIF(Tank1!$A$32:$A$49,Flare!A112,Tank1!$C$32:$C$49),0))+(
IF(Tank2!$C$23="Flare",SUMIF(Tank2!$A$32:$A$49, Flare!A112,Tank2!$C$32:$C$49),0))+(
IF(Tank3!$C$23="Flare",SUMIF(Tank3!$A$32:$A$49, Flare!A112,Tank3!$C$32:$C$49),0))+(
IF(Tank4!$C$23="Flare",SUMIF(Tank4!$A$32:$A$49, Flare!A112,Tank4!$C$32:$C$49),0))+(
IF(Tank5!$C$23="Flare",SUMIF(Tank5!$A$32:$A$49, Flare!A112,Tank5!$C$32:$C$49),0))+(
IF('Loading-drum,tote'!$C$21="Flare",SUMIF('Loading-drum,tote'!$A$31:$A$48, Flare!A112,'Loading-drum,tote'!$F$31:$F$48),0))+(
IF('Loading-truck'!$C$21="Flare",SUMIF('Loading-truck'!$A$31:$A$48, Flare!A112,'Loading-truck'!$F$31:$F$48),0))+(
IF('Loading-rail'!$C$21="Flare",SUMIF('Loading-rail'!$A$31:$A$48, Flare!A112,'Loading-rail'!$F$31:$F$48),0))</f>
        <v>0</v>
      </c>
      <c r="E112" s="575">
        <f t="shared" si="1"/>
        <v>0</v>
      </c>
    </row>
    <row r="113" spans="1:5" x14ac:dyDescent="0.25">
      <c r="A113" s="688" t="str">
        <f>'Hidden Inputs'!AM65</f>
        <v/>
      </c>
      <c r="B113" s="1551" t="str">
        <f t="shared" si="2"/>
        <v/>
      </c>
      <c r="C113" s="1551"/>
      <c r="D113" s="576">
        <f>(IF(
Tank1!$C$23="Flare",SUMIF(Tank1!$A$32:$A$49,Flare!A113,Tank1!$C$32:$C$49),0))+(
IF(Tank2!$C$23="Flare",SUMIF(Tank2!$A$32:$A$49, Flare!A113,Tank2!$C$32:$C$49),0))+(
IF(Tank3!$C$23="Flare",SUMIF(Tank3!$A$32:$A$49, Flare!A113,Tank3!$C$32:$C$49),0))+(
IF(Tank4!$C$23="Flare",SUMIF(Tank4!$A$32:$A$49, Flare!A113,Tank4!$C$32:$C$49),0))+(
IF(Tank5!$C$23="Flare",SUMIF(Tank5!$A$32:$A$49, Flare!A113,Tank5!$C$32:$C$49),0))+(
IF('Loading-drum,tote'!$C$21="Flare",SUMIF('Loading-drum,tote'!$A$31:$A$48, Flare!A113,'Loading-drum,tote'!$F$31:$F$48),0))+(
IF('Loading-truck'!$C$21="Flare",SUMIF('Loading-truck'!$A$31:$A$48, Flare!A113,'Loading-truck'!$F$31:$F$48),0))+(
IF('Loading-rail'!$C$21="Flare",SUMIF('Loading-rail'!$A$31:$A$48, Flare!A113,'Loading-rail'!$F$31:$F$48),0))</f>
        <v>0</v>
      </c>
      <c r="E113" s="575">
        <f t="shared" si="1"/>
        <v>0</v>
      </c>
    </row>
    <row r="114" spans="1:5" x14ac:dyDescent="0.25">
      <c r="A114" s="688" t="str">
        <f>'Hidden Inputs'!AM66</f>
        <v/>
      </c>
      <c r="B114" s="1551" t="str">
        <f t="shared" ref="B114:B145" si="3">IFERROR(VLOOKUP(A114, SpeciesDataTable,2,FALSE),"")</f>
        <v/>
      </c>
      <c r="C114" s="1551"/>
      <c r="D114" s="576">
        <f>(IF(
Tank1!$C$23="Flare",SUMIF(Tank1!$A$32:$A$49,Flare!A114,Tank1!$C$32:$C$49),0))+(
IF(Tank2!$C$23="Flare",SUMIF(Tank2!$A$32:$A$49, Flare!A114,Tank2!$C$32:$C$49),0))+(
IF(Tank3!$C$23="Flare",SUMIF(Tank3!$A$32:$A$49, Flare!A114,Tank3!$C$32:$C$49),0))+(
IF(Tank4!$C$23="Flare",SUMIF(Tank4!$A$32:$A$49, Flare!A114,Tank4!$C$32:$C$49),0))+(
IF(Tank5!$C$23="Flare",SUMIF(Tank5!$A$32:$A$49, Flare!A114,Tank5!$C$32:$C$49),0))+(
IF('Loading-drum,tote'!$C$21="Flare",SUMIF('Loading-drum,tote'!$A$31:$A$48, Flare!A114,'Loading-drum,tote'!$F$31:$F$48),0))+(
IF('Loading-truck'!$C$21="Flare",SUMIF('Loading-truck'!$A$31:$A$48, Flare!A114,'Loading-truck'!$F$31:$F$48),0))+(
IF('Loading-rail'!$C$21="Flare",SUMIF('Loading-rail'!$A$31:$A$48, Flare!A114,'Loading-rail'!$F$31:$F$48),0))</f>
        <v>0</v>
      </c>
      <c r="E114" s="575">
        <f t="shared" si="1"/>
        <v>0</v>
      </c>
    </row>
    <row r="115" spans="1:5" x14ac:dyDescent="0.25">
      <c r="A115" s="688" t="str">
        <f>'Hidden Inputs'!AM67</f>
        <v/>
      </c>
      <c r="B115" s="1551" t="str">
        <f t="shared" si="3"/>
        <v/>
      </c>
      <c r="C115" s="1551"/>
      <c r="D115" s="576">
        <f>(IF(
Tank1!$C$23="Flare",SUMIF(Tank1!$A$32:$A$49,Flare!A115,Tank1!$C$32:$C$49),0))+(
IF(Tank2!$C$23="Flare",SUMIF(Tank2!$A$32:$A$49, Flare!A115,Tank2!$C$32:$C$49),0))+(
IF(Tank3!$C$23="Flare",SUMIF(Tank3!$A$32:$A$49, Flare!A115,Tank3!$C$32:$C$49),0))+(
IF(Tank4!$C$23="Flare",SUMIF(Tank4!$A$32:$A$49, Flare!A115,Tank4!$C$32:$C$49),0))+(
IF(Tank5!$C$23="Flare",SUMIF(Tank5!$A$32:$A$49, Flare!A115,Tank5!$C$32:$C$49),0))+(
IF('Loading-drum,tote'!$C$21="Flare",SUMIF('Loading-drum,tote'!$A$31:$A$48, Flare!A115,'Loading-drum,tote'!$F$31:$F$48),0))+(
IF('Loading-truck'!$C$21="Flare",SUMIF('Loading-truck'!$A$31:$A$48, Flare!A115,'Loading-truck'!$F$31:$F$48),0))+(
IF('Loading-rail'!$C$21="Flare",SUMIF('Loading-rail'!$A$31:$A$48, Flare!A115,'Loading-rail'!$F$31:$F$48),0))</f>
        <v>0</v>
      </c>
      <c r="E115" s="575">
        <f t="shared" ref="E115:E178" si="4">IF(OR(B115="ammonia",B115="hydrogen sulfide"),D115,D115*(1-0.98))</f>
        <v>0</v>
      </c>
    </row>
    <row r="116" spans="1:5" x14ac:dyDescent="0.25">
      <c r="A116" s="688" t="str">
        <f>'Hidden Inputs'!AM68</f>
        <v/>
      </c>
      <c r="B116" s="1551" t="str">
        <f t="shared" si="3"/>
        <v/>
      </c>
      <c r="C116" s="1551"/>
      <c r="D116" s="576">
        <f>(IF(
Tank1!$C$23="Flare",SUMIF(Tank1!$A$32:$A$49,Flare!A116,Tank1!$C$32:$C$49),0))+(
IF(Tank2!$C$23="Flare",SUMIF(Tank2!$A$32:$A$49, Flare!A116,Tank2!$C$32:$C$49),0))+(
IF(Tank3!$C$23="Flare",SUMIF(Tank3!$A$32:$A$49, Flare!A116,Tank3!$C$32:$C$49),0))+(
IF(Tank4!$C$23="Flare",SUMIF(Tank4!$A$32:$A$49, Flare!A116,Tank4!$C$32:$C$49),0))+(
IF(Tank5!$C$23="Flare",SUMIF(Tank5!$A$32:$A$49, Flare!A116,Tank5!$C$32:$C$49),0))+(
IF('Loading-drum,tote'!$C$21="Flare",SUMIF('Loading-drum,tote'!$A$31:$A$48, Flare!A116,'Loading-drum,tote'!$F$31:$F$48),0))+(
IF('Loading-truck'!$C$21="Flare",SUMIF('Loading-truck'!$A$31:$A$48, Flare!A116,'Loading-truck'!$F$31:$F$48),0))+(
IF('Loading-rail'!$C$21="Flare",SUMIF('Loading-rail'!$A$31:$A$48, Flare!A116,'Loading-rail'!$F$31:$F$48),0))</f>
        <v>0</v>
      </c>
      <c r="E116" s="575">
        <f t="shared" si="4"/>
        <v>0</v>
      </c>
    </row>
    <row r="117" spans="1:5" x14ac:dyDescent="0.25">
      <c r="A117" s="688" t="str">
        <f>'Hidden Inputs'!AM69</f>
        <v/>
      </c>
      <c r="B117" s="1551" t="str">
        <f t="shared" si="3"/>
        <v/>
      </c>
      <c r="C117" s="1551"/>
      <c r="D117" s="576">
        <f>(IF(
Tank1!$C$23="Flare",SUMIF(Tank1!$A$32:$A$49,Flare!A117,Tank1!$C$32:$C$49),0))+(
IF(Tank2!$C$23="Flare",SUMIF(Tank2!$A$32:$A$49, Flare!A117,Tank2!$C$32:$C$49),0))+(
IF(Tank3!$C$23="Flare",SUMIF(Tank3!$A$32:$A$49, Flare!A117,Tank3!$C$32:$C$49),0))+(
IF(Tank4!$C$23="Flare",SUMIF(Tank4!$A$32:$A$49, Flare!A117,Tank4!$C$32:$C$49),0))+(
IF(Tank5!$C$23="Flare",SUMIF(Tank5!$A$32:$A$49, Flare!A117,Tank5!$C$32:$C$49),0))+(
IF('Loading-drum,tote'!$C$21="Flare",SUMIF('Loading-drum,tote'!$A$31:$A$48, Flare!A117,'Loading-drum,tote'!$F$31:$F$48),0))+(
IF('Loading-truck'!$C$21="Flare",SUMIF('Loading-truck'!$A$31:$A$48, Flare!A117,'Loading-truck'!$F$31:$F$48),0))+(
IF('Loading-rail'!$C$21="Flare",SUMIF('Loading-rail'!$A$31:$A$48, Flare!A117,'Loading-rail'!$F$31:$F$48),0))</f>
        <v>0</v>
      </c>
      <c r="E117" s="575">
        <f t="shared" si="4"/>
        <v>0</v>
      </c>
    </row>
    <row r="118" spans="1:5" x14ac:dyDescent="0.25">
      <c r="A118" s="688" t="str">
        <f>'Hidden Inputs'!AM70</f>
        <v/>
      </c>
      <c r="B118" s="1551" t="str">
        <f t="shared" si="3"/>
        <v/>
      </c>
      <c r="C118" s="1551"/>
      <c r="D118" s="576">
        <f>(IF(
Tank1!$C$23="Flare",SUMIF(Tank1!$A$32:$A$49,Flare!A118,Tank1!$C$32:$C$49),0))+(
IF(Tank2!$C$23="Flare",SUMIF(Tank2!$A$32:$A$49, Flare!A118,Tank2!$C$32:$C$49),0))+(
IF(Tank3!$C$23="Flare",SUMIF(Tank3!$A$32:$A$49, Flare!A118,Tank3!$C$32:$C$49),0))+(
IF(Tank4!$C$23="Flare",SUMIF(Tank4!$A$32:$A$49, Flare!A118,Tank4!$C$32:$C$49),0))+(
IF(Tank5!$C$23="Flare",SUMIF(Tank5!$A$32:$A$49, Flare!A118,Tank5!$C$32:$C$49),0))+(
IF('Loading-drum,tote'!$C$21="Flare",SUMIF('Loading-drum,tote'!$A$31:$A$48, Flare!A118,'Loading-drum,tote'!$F$31:$F$48),0))+(
IF('Loading-truck'!$C$21="Flare",SUMIF('Loading-truck'!$A$31:$A$48, Flare!A118,'Loading-truck'!$F$31:$F$48),0))+(
IF('Loading-rail'!$C$21="Flare",SUMIF('Loading-rail'!$A$31:$A$48, Flare!A118,'Loading-rail'!$F$31:$F$48),0))</f>
        <v>0</v>
      </c>
      <c r="E118" s="575">
        <f t="shared" si="4"/>
        <v>0</v>
      </c>
    </row>
    <row r="119" spans="1:5" x14ac:dyDescent="0.25">
      <c r="A119" s="688" t="str">
        <f>'Hidden Inputs'!AM71</f>
        <v/>
      </c>
      <c r="B119" s="1551" t="str">
        <f t="shared" si="3"/>
        <v/>
      </c>
      <c r="C119" s="1551"/>
      <c r="D119" s="576">
        <f>(IF(
Tank1!$C$23="Flare",SUMIF(Tank1!$A$32:$A$49,Flare!A119,Tank1!$C$32:$C$49),0))+(
IF(Tank2!$C$23="Flare",SUMIF(Tank2!$A$32:$A$49, Flare!A119,Tank2!$C$32:$C$49),0))+(
IF(Tank3!$C$23="Flare",SUMIF(Tank3!$A$32:$A$49, Flare!A119,Tank3!$C$32:$C$49),0))+(
IF(Tank4!$C$23="Flare",SUMIF(Tank4!$A$32:$A$49, Flare!A119,Tank4!$C$32:$C$49),0))+(
IF(Tank5!$C$23="Flare",SUMIF(Tank5!$A$32:$A$49, Flare!A119,Tank5!$C$32:$C$49),0))+(
IF('Loading-drum,tote'!$C$21="Flare",SUMIF('Loading-drum,tote'!$A$31:$A$48, Flare!A119,'Loading-drum,tote'!$F$31:$F$48),0))+(
IF('Loading-truck'!$C$21="Flare",SUMIF('Loading-truck'!$A$31:$A$48, Flare!A119,'Loading-truck'!$F$31:$F$48),0))+(
IF('Loading-rail'!$C$21="Flare",SUMIF('Loading-rail'!$A$31:$A$48, Flare!A119,'Loading-rail'!$F$31:$F$48),0))</f>
        <v>0</v>
      </c>
      <c r="E119" s="575">
        <f t="shared" si="4"/>
        <v>0</v>
      </c>
    </row>
    <row r="120" spans="1:5" x14ac:dyDescent="0.25">
      <c r="A120" s="688" t="str">
        <f>'Hidden Inputs'!AM72</f>
        <v/>
      </c>
      <c r="B120" s="1551" t="str">
        <f t="shared" si="3"/>
        <v/>
      </c>
      <c r="C120" s="1551"/>
      <c r="D120" s="576">
        <f>(IF(
Tank1!$C$23="Flare",SUMIF(Tank1!$A$32:$A$49,Flare!A120,Tank1!$C$32:$C$49),0))+(
IF(Tank2!$C$23="Flare",SUMIF(Tank2!$A$32:$A$49, Flare!A120,Tank2!$C$32:$C$49),0))+(
IF(Tank3!$C$23="Flare",SUMIF(Tank3!$A$32:$A$49, Flare!A120,Tank3!$C$32:$C$49),0))+(
IF(Tank4!$C$23="Flare",SUMIF(Tank4!$A$32:$A$49, Flare!A120,Tank4!$C$32:$C$49),0))+(
IF(Tank5!$C$23="Flare",SUMIF(Tank5!$A$32:$A$49, Flare!A120,Tank5!$C$32:$C$49),0))+(
IF('Loading-drum,tote'!$C$21="Flare",SUMIF('Loading-drum,tote'!$A$31:$A$48, Flare!A120,'Loading-drum,tote'!$F$31:$F$48),0))+(
IF('Loading-truck'!$C$21="Flare",SUMIF('Loading-truck'!$A$31:$A$48, Flare!A120,'Loading-truck'!$F$31:$F$48),0))+(
IF('Loading-rail'!$C$21="Flare",SUMIF('Loading-rail'!$A$31:$A$48, Flare!A120,'Loading-rail'!$F$31:$F$48),0))</f>
        <v>0</v>
      </c>
      <c r="E120" s="575">
        <f t="shared" si="4"/>
        <v>0</v>
      </c>
    </row>
    <row r="121" spans="1:5" x14ac:dyDescent="0.25">
      <c r="A121" s="688" t="str">
        <f>'Hidden Inputs'!AM73</f>
        <v/>
      </c>
      <c r="B121" s="1551" t="str">
        <f t="shared" si="3"/>
        <v/>
      </c>
      <c r="C121" s="1551"/>
      <c r="D121" s="576">
        <f>(IF(
Tank1!$C$23="Flare",SUMIF(Tank1!$A$32:$A$49,Flare!A121,Tank1!$C$32:$C$49),0))+(
IF(Tank2!$C$23="Flare",SUMIF(Tank2!$A$32:$A$49, Flare!A121,Tank2!$C$32:$C$49),0))+(
IF(Tank3!$C$23="Flare",SUMIF(Tank3!$A$32:$A$49, Flare!A121,Tank3!$C$32:$C$49),0))+(
IF(Tank4!$C$23="Flare",SUMIF(Tank4!$A$32:$A$49, Flare!A121,Tank4!$C$32:$C$49),0))+(
IF(Tank5!$C$23="Flare",SUMIF(Tank5!$A$32:$A$49, Flare!A121,Tank5!$C$32:$C$49),0))+(
IF('Loading-drum,tote'!$C$21="Flare",SUMIF('Loading-drum,tote'!$A$31:$A$48, Flare!A121,'Loading-drum,tote'!$F$31:$F$48),0))+(
IF('Loading-truck'!$C$21="Flare",SUMIF('Loading-truck'!$A$31:$A$48, Flare!A121,'Loading-truck'!$F$31:$F$48),0))+(
IF('Loading-rail'!$C$21="Flare",SUMIF('Loading-rail'!$A$31:$A$48, Flare!A121,'Loading-rail'!$F$31:$F$48),0))</f>
        <v>0</v>
      </c>
      <c r="E121" s="575">
        <f t="shared" si="4"/>
        <v>0</v>
      </c>
    </row>
    <row r="122" spans="1:5" x14ac:dyDescent="0.25">
      <c r="A122" s="688" t="str">
        <f>'Hidden Inputs'!AM74</f>
        <v/>
      </c>
      <c r="B122" s="1551" t="str">
        <f t="shared" si="3"/>
        <v/>
      </c>
      <c r="C122" s="1551"/>
      <c r="D122" s="576">
        <f>(IF(
Tank1!$C$23="Flare",SUMIF(Tank1!$A$32:$A$49,Flare!A122,Tank1!$C$32:$C$49),0))+(
IF(Tank2!$C$23="Flare",SUMIF(Tank2!$A$32:$A$49, Flare!A122,Tank2!$C$32:$C$49),0))+(
IF(Tank3!$C$23="Flare",SUMIF(Tank3!$A$32:$A$49, Flare!A122,Tank3!$C$32:$C$49),0))+(
IF(Tank4!$C$23="Flare",SUMIF(Tank4!$A$32:$A$49, Flare!A122,Tank4!$C$32:$C$49),0))+(
IF(Tank5!$C$23="Flare",SUMIF(Tank5!$A$32:$A$49, Flare!A122,Tank5!$C$32:$C$49),0))+(
IF('Loading-drum,tote'!$C$21="Flare",SUMIF('Loading-drum,tote'!$A$31:$A$48, Flare!A122,'Loading-drum,tote'!$F$31:$F$48),0))+(
IF('Loading-truck'!$C$21="Flare",SUMIF('Loading-truck'!$A$31:$A$48, Flare!A122,'Loading-truck'!$F$31:$F$48),0))+(
IF('Loading-rail'!$C$21="Flare",SUMIF('Loading-rail'!$A$31:$A$48, Flare!A122,'Loading-rail'!$F$31:$F$48),0))</f>
        <v>0</v>
      </c>
      <c r="E122" s="575">
        <f t="shared" si="4"/>
        <v>0</v>
      </c>
    </row>
    <row r="123" spans="1:5" x14ac:dyDescent="0.25">
      <c r="A123" s="688" t="str">
        <f>'Hidden Inputs'!AM75</f>
        <v/>
      </c>
      <c r="B123" s="1551" t="str">
        <f t="shared" si="3"/>
        <v/>
      </c>
      <c r="C123" s="1551"/>
      <c r="D123" s="576">
        <f>(IF(
Tank1!$C$23="Flare",SUMIF(Tank1!$A$32:$A$49,Flare!A123,Tank1!$C$32:$C$49),0))+(
IF(Tank2!$C$23="Flare",SUMIF(Tank2!$A$32:$A$49, Flare!A123,Tank2!$C$32:$C$49),0))+(
IF(Tank3!$C$23="Flare",SUMIF(Tank3!$A$32:$A$49, Flare!A123,Tank3!$C$32:$C$49),0))+(
IF(Tank4!$C$23="Flare",SUMIF(Tank4!$A$32:$A$49, Flare!A123,Tank4!$C$32:$C$49),0))+(
IF(Tank5!$C$23="Flare",SUMIF(Tank5!$A$32:$A$49, Flare!A123,Tank5!$C$32:$C$49),0))+(
IF('Loading-drum,tote'!$C$21="Flare",SUMIF('Loading-drum,tote'!$A$31:$A$48, Flare!A123,'Loading-drum,tote'!$F$31:$F$48),0))+(
IF('Loading-truck'!$C$21="Flare",SUMIF('Loading-truck'!$A$31:$A$48, Flare!A123,'Loading-truck'!$F$31:$F$48),0))+(
IF('Loading-rail'!$C$21="Flare",SUMIF('Loading-rail'!$A$31:$A$48, Flare!A123,'Loading-rail'!$F$31:$F$48),0))</f>
        <v>0</v>
      </c>
      <c r="E123" s="575">
        <f t="shared" si="4"/>
        <v>0</v>
      </c>
    </row>
    <row r="124" spans="1:5" x14ac:dyDescent="0.25">
      <c r="A124" s="688" t="str">
        <f>'Hidden Inputs'!AM76</f>
        <v/>
      </c>
      <c r="B124" s="1551" t="str">
        <f t="shared" si="3"/>
        <v/>
      </c>
      <c r="C124" s="1551"/>
      <c r="D124" s="576">
        <f>(IF(
Tank1!$C$23="Flare",SUMIF(Tank1!$A$32:$A$49,Flare!A124,Tank1!$C$32:$C$49),0))+(
IF(Tank2!$C$23="Flare",SUMIF(Tank2!$A$32:$A$49, Flare!A124,Tank2!$C$32:$C$49),0))+(
IF(Tank3!$C$23="Flare",SUMIF(Tank3!$A$32:$A$49, Flare!A124,Tank3!$C$32:$C$49),0))+(
IF(Tank4!$C$23="Flare",SUMIF(Tank4!$A$32:$A$49, Flare!A124,Tank4!$C$32:$C$49),0))+(
IF(Tank5!$C$23="Flare",SUMIF(Tank5!$A$32:$A$49, Flare!A124,Tank5!$C$32:$C$49),0))+(
IF('Loading-drum,tote'!$C$21="Flare",SUMIF('Loading-drum,tote'!$A$31:$A$48, Flare!A124,'Loading-drum,tote'!$F$31:$F$48),0))+(
IF('Loading-truck'!$C$21="Flare",SUMIF('Loading-truck'!$A$31:$A$48, Flare!A124,'Loading-truck'!$F$31:$F$48),0))+(
IF('Loading-rail'!$C$21="Flare",SUMIF('Loading-rail'!$A$31:$A$48, Flare!A124,'Loading-rail'!$F$31:$F$48),0))</f>
        <v>0</v>
      </c>
      <c r="E124" s="575">
        <f t="shared" si="4"/>
        <v>0</v>
      </c>
    </row>
    <row r="125" spans="1:5" x14ac:dyDescent="0.25">
      <c r="A125" s="688" t="str">
        <f>'Hidden Inputs'!AM77</f>
        <v/>
      </c>
      <c r="B125" s="1551" t="str">
        <f t="shared" si="3"/>
        <v/>
      </c>
      <c r="C125" s="1551"/>
      <c r="D125" s="576">
        <f>(IF(
Tank1!$C$23="Flare",SUMIF(Tank1!$A$32:$A$49,Flare!A125,Tank1!$C$32:$C$49),0))+(
IF(Tank2!$C$23="Flare",SUMIF(Tank2!$A$32:$A$49, Flare!A125,Tank2!$C$32:$C$49),0))+(
IF(Tank3!$C$23="Flare",SUMIF(Tank3!$A$32:$A$49, Flare!A125,Tank3!$C$32:$C$49),0))+(
IF(Tank4!$C$23="Flare",SUMIF(Tank4!$A$32:$A$49, Flare!A125,Tank4!$C$32:$C$49),0))+(
IF(Tank5!$C$23="Flare",SUMIF(Tank5!$A$32:$A$49, Flare!A125,Tank5!$C$32:$C$49),0))+(
IF('Loading-drum,tote'!$C$21="Flare",SUMIF('Loading-drum,tote'!$A$31:$A$48, Flare!A125,'Loading-drum,tote'!$F$31:$F$48),0))+(
IF('Loading-truck'!$C$21="Flare",SUMIF('Loading-truck'!$A$31:$A$48, Flare!A125,'Loading-truck'!$F$31:$F$48),0))+(
IF('Loading-rail'!$C$21="Flare",SUMIF('Loading-rail'!$A$31:$A$48, Flare!A125,'Loading-rail'!$F$31:$F$48),0))</f>
        <v>0</v>
      </c>
      <c r="E125" s="575">
        <f t="shared" si="4"/>
        <v>0</v>
      </c>
    </row>
    <row r="126" spans="1:5" x14ac:dyDescent="0.25">
      <c r="A126" s="688" t="str">
        <f>'Hidden Inputs'!AM78</f>
        <v/>
      </c>
      <c r="B126" s="1551" t="str">
        <f t="shared" si="3"/>
        <v/>
      </c>
      <c r="C126" s="1551"/>
      <c r="D126" s="576">
        <f>(IF(
Tank1!$C$23="Flare",SUMIF(Tank1!$A$32:$A$49,Flare!A126,Tank1!$C$32:$C$49),0))+(
IF(Tank2!$C$23="Flare",SUMIF(Tank2!$A$32:$A$49, Flare!A126,Tank2!$C$32:$C$49),0))+(
IF(Tank3!$C$23="Flare",SUMIF(Tank3!$A$32:$A$49, Flare!A126,Tank3!$C$32:$C$49),0))+(
IF(Tank4!$C$23="Flare",SUMIF(Tank4!$A$32:$A$49, Flare!A126,Tank4!$C$32:$C$49),0))+(
IF(Tank5!$C$23="Flare",SUMIF(Tank5!$A$32:$A$49, Flare!A126,Tank5!$C$32:$C$49),0))+(
IF('Loading-drum,tote'!$C$21="Flare",SUMIF('Loading-drum,tote'!$A$31:$A$48, Flare!A126,'Loading-drum,tote'!$F$31:$F$48),0))+(
IF('Loading-truck'!$C$21="Flare",SUMIF('Loading-truck'!$A$31:$A$48, Flare!A126,'Loading-truck'!$F$31:$F$48),0))+(
IF('Loading-rail'!$C$21="Flare",SUMIF('Loading-rail'!$A$31:$A$48, Flare!A126,'Loading-rail'!$F$31:$F$48),0))</f>
        <v>0</v>
      </c>
      <c r="E126" s="575">
        <f t="shared" si="4"/>
        <v>0</v>
      </c>
    </row>
    <row r="127" spans="1:5" x14ac:dyDescent="0.25">
      <c r="A127" s="688" t="str">
        <f>'Hidden Inputs'!AM79</f>
        <v/>
      </c>
      <c r="B127" s="1551" t="str">
        <f t="shared" si="3"/>
        <v/>
      </c>
      <c r="C127" s="1551"/>
      <c r="D127" s="576">
        <f>(IF(
Tank1!$C$23="Flare",SUMIF(Tank1!$A$32:$A$49,Flare!A127,Tank1!$C$32:$C$49),0))+(
IF(Tank2!$C$23="Flare",SUMIF(Tank2!$A$32:$A$49, Flare!A127,Tank2!$C$32:$C$49),0))+(
IF(Tank3!$C$23="Flare",SUMIF(Tank3!$A$32:$A$49, Flare!A127,Tank3!$C$32:$C$49),0))+(
IF(Tank4!$C$23="Flare",SUMIF(Tank4!$A$32:$A$49, Flare!A127,Tank4!$C$32:$C$49),0))+(
IF(Tank5!$C$23="Flare",SUMIF(Tank5!$A$32:$A$49, Flare!A127,Tank5!$C$32:$C$49),0))+(
IF('Loading-drum,tote'!$C$21="Flare",SUMIF('Loading-drum,tote'!$A$31:$A$48, Flare!A127,'Loading-drum,tote'!$F$31:$F$48),0))+(
IF('Loading-truck'!$C$21="Flare",SUMIF('Loading-truck'!$A$31:$A$48, Flare!A127,'Loading-truck'!$F$31:$F$48),0))+(
IF('Loading-rail'!$C$21="Flare",SUMIF('Loading-rail'!$A$31:$A$48, Flare!A127,'Loading-rail'!$F$31:$F$48),0))</f>
        <v>0</v>
      </c>
      <c r="E127" s="575">
        <f t="shared" si="4"/>
        <v>0</v>
      </c>
    </row>
    <row r="128" spans="1:5" x14ac:dyDescent="0.25">
      <c r="A128" s="688" t="str">
        <f>'Hidden Inputs'!AM80</f>
        <v/>
      </c>
      <c r="B128" s="1551" t="str">
        <f t="shared" si="3"/>
        <v/>
      </c>
      <c r="C128" s="1551"/>
      <c r="D128" s="576">
        <f>(IF(
Tank1!$C$23="Flare",SUMIF(Tank1!$A$32:$A$49,Flare!A128,Tank1!$C$32:$C$49),0))+(
IF(Tank2!$C$23="Flare",SUMIF(Tank2!$A$32:$A$49, Flare!A128,Tank2!$C$32:$C$49),0))+(
IF(Tank3!$C$23="Flare",SUMIF(Tank3!$A$32:$A$49, Flare!A128,Tank3!$C$32:$C$49),0))+(
IF(Tank4!$C$23="Flare",SUMIF(Tank4!$A$32:$A$49, Flare!A128,Tank4!$C$32:$C$49),0))+(
IF(Tank5!$C$23="Flare",SUMIF(Tank5!$A$32:$A$49, Flare!A128,Tank5!$C$32:$C$49),0))+(
IF('Loading-drum,tote'!$C$21="Flare",SUMIF('Loading-drum,tote'!$A$31:$A$48, Flare!A128,'Loading-drum,tote'!$F$31:$F$48),0))+(
IF('Loading-truck'!$C$21="Flare",SUMIF('Loading-truck'!$A$31:$A$48, Flare!A128,'Loading-truck'!$F$31:$F$48),0))+(
IF('Loading-rail'!$C$21="Flare",SUMIF('Loading-rail'!$A$31:$A$48, Flare!A128,'Loading-rail'!$F$31:$F$48),0))</f>
        <v>0</v>
      </c>
      <c r="E128" s="575">
        <f t="shared" si="4"/>
        <v>0</v>
      </c>
    </row>
    <row r="129" spans="1:5" x14ac:dyDescent="0.25">
      <c r="A129" s="688" t="str">
        <f>'Hidden Inputs'!AM81</f>
        <v/>
      </c>
      <c r="B129" s="1551" t="str">
        <f t="shared" si="3"/>
        <v/>
      </c>
      <c r="C129" s="1551"/>
      <c r="D129" s="576">
        <f>(IF(
Tank1!$C$23="Flare",SUMIF(Tank1!$A$32:$A$49,Flare!A129,Tank1!$C$32:$C$49),0))+(
IF(Tank2!$C$23="Flare",SUMIF(Tank2!$A$32:$A$49, Flare!A129,Tank2!$C$32:$C$49),0))+(
IF(Tank3!$C$23="Flare",SUMIF(Tank3!$A$32:$A$49, Flare!A129,Tank3!$C$32:$C$49),0))+(
IF(Tank4!$C$23="Flare",SUMIF(Tank4!$A$32:$A$49, Flare!A129,Tank4!$C$32:$C$49),0))+(
IF(Tank5!$C$23="Flare",SUMIF(Tank5!$A$32:$A$49, Flare!A129,Tank5!$C$32:$C$49),0))+(
IF('Loading-drum,tote'!$C$21="Flare",SUMIF('Loading-drum,tote'!$A$31:$A$48, Flare!A129,'Loading-drum,tote'!$F$31:$F$48),0))+(
IF('Loading-truck'!$C$21="Flare",SUMIF('Loading-truck'!$A$31:$A$48, Flare!A129,'Loading-truck'!$F$31:$F$48),0))+(
IF('Loading-rail'!$C$21="Flare",SUMIF('Loading-rail'!$A$31:$A$48, Flare!A129,'Loading-rail'!$F$31:$F$48),0))</f>
        <v>0</v>
      </c>
      <c r="E129" s="575">
        <f t="shared" si="4"/>
        <v>0</v>
      </c>
    </row>
    <row r="130" spans="1:5" x14ac:dyDescent="0.25">
      <c r="A130" s="688" t="str">
        <f>'Hidden Inputs'!AM82</f>
        <v/>
      </c>
      <c r="B130" s="1551" t="str">
        <f t="shared" si="3"/>
        <v/>
      </c>
      <c r="C130" s="1551"/>
      <c r="D130" s="576">
        <f>(IF(
Tank1!$C$23="Flare",SUMIF(Tank1!$A$32:$A$49,Flare!A130,Tank1!$C$32:$C$49),0))+(
IF(Tank2!$C$23="Flare",SUMIF(Tank2!$A$32:$A$49, Flare!A130,Tank2!$C$32:$C$49),0))+(
IF(Tank3!$C$23="Flare",SUMIF(Tank3!$A$32:$A$49, Flare!A130,Tank3!$C$32:$C$49),0))+(
IF(Tank4!$C$23="Flare",SUMIF(Tank4!$A$32:$A$49, Flare!A130,Tank4!$C$32:$C$49),0))+(
IF(Tank5!$C$23="Flare",SUMIF(Tank5!$A$32:$A$49, Flare!A130,Tank5!$C$32:$C$49),0))+(
IF('Loading-drum,tote'!$C$21="Flare",SUMIF('Loading-drum,tote'!$A$31:$A$48, Flare!A130,'Loading-drum,tote'!$F$31:$F$48),0))+(
IF('Loading-truck'!$C$21="Flare",SUMIF('Loading-truck'!$A$31:$A$48, Flare!A130,'Loading-truck'!$F$31:$F$48),0))+(
IF('Loading-rail'!$C$21="Flare",SUMIF('Loading-rail'!$A$31:$A$48, Flare!A130,'Loading-rail'!$F$31:$F$48),0))</f>
        <v>0</v>
      </c>
      <c r="E130" s="575">
        <f t="shared" si="4"/>
        <v>0</v>
      </c>
    </row>
    <row r="131" spans="1:5" x14ac:dyDescent="0.25">
      <c r="A131" s="688" t="str">
        <f>'Hidden Inputs'!AM83</f>
        <v/>
      </c>
      <c r="B131" s="1551" t="str">
        <f t="shared" si="3"/>
        <v/>
      </c>
      <c r="C131" s="1551"/>
      <c r="D131" s="576">
        <f>(IF(
Tank1!$C$23="Flare",SUMIF(Tank1!$A$32:$A$49,Flare!A131,Tank1!$C$32:$C$49),0))+(
IF(Tank2!$C$23="Flare",SUMIF(Tank2!$A$32:$A$49, Flare!A131,Tank2!$C$32:$C$49),0))+(
IF(Tank3!$C$23="Flare",SUMIF(Tank3!$A$32:$A$49, Flare!A131,Tank3!$C$32:$C$49),0))+(
IF(Tank4!$C$23="Flare",SUMIF(Tank4!$A$32:$A$49, Flare!A131,Tank4!$C$32:$C$49),0))+(
IF(Tank5!$C$23="Flare",SUMIF(Tank5!$A$32:$A$49, Flare!A131,Tank5!$C$32:$C$49),0))+(
IF('Loading-drum,tote'!$C$21="Flare",SUMIF('Loading-drum,tote'!$A$31:$A$48, Flare!A131,'Loading-drum,tote'!$F$31:$F$48),0))+(
IF('Loading-truck'!$C$21="Flare",SUMIF('Loading-truck'!$A$31:$A$48, Flare!A131,'Loading-truck'!$F$31:$F$48),0))+(
IF('Loading-rail'!$C$21="Flare",SUMIF('Loading-rail'!$A$31:$A$48, Flare!A131,'Loading-rail'!$F$31:$F$48),0))</f>
        <v>0</v>
      </c>
      <c r="E131" s="575">
        <f t="shared" si="4"/>
        <v>0</v>
      </c>
    </row>
    <row r="132" spans="1:5" x14ac:dyDescent="0.25">
      <c r="A132" s="688" t="str">
        <f>'Hidden Inputs'!AM84</f>
        <v/>
      </c>
      <c r="B132" s="1551" t="str">
        <f t="shared" si="3"/>
        <v/>
      </c>
      <c r="C132" s="1551"/>
      <c r="D132" s="576">
        <f>(IF(
Tank1!$C$23="Flare",SUMIF(Tank1!$A$32:$A$49,Flare!A132,Tank1!$C$32:$C$49),0))+(
IF(Tank2!$C$23="Flare",SUMIF(Tank2!$A$32:$A$49, Flare!A132,Tank2!$C$32:$C$49),0))+(
IF(Tank3!$C$23="Flare",SUMIF(Tank3!$A$32:$A$49, Flare!A132,Tank3!$C$32:$C$49),0))+(
IF(Tank4!$C$23="Flare",SUMIF(Tank4!$A$32:$A$49, Flare!A132,Tank4!$C$32:$C$49),0))+(
IF(Tank5!$C$23="Flare",SUMIF(Tank5!$A$32:$A$49, Flare!A132,Tank5!$C$32:$C$49),0))+(
IF('Loading-drum,tote'!$C$21="Flare",SUMIF('Loading-drum,tote'!$A$31:$A$48, Flare!A132,'Loading-drum,tote'!$F$31:$F$48),0))+(
IF('Loading-truck'!$C$21="Flare",SUMIF('Loading-truck'!$A$31:$A$48, Flare!A132,'Loading-truck'!$F$31:$F$48),0))+(
IF('Loading-rail'!$C$21="Flare",SUMIF('Loading-rail'!$A$31:$A$48, Flare!A132,'Loading-rail'!$F$31:$F$48),0))</f>
        <v>0</v>
      </c>
      <c r="E132" s="575">
        <f t="shared" si="4"/>
        <v>0</v>
      </c>
    </row>
    <row r="133" spans="1:5" x14ac:dyDescent="0.25">
      <c r="A133" s="688" t="str">
        <f>'Hidden Inputs'!AM85</f>
        <v/>
      </c>
      <c r="B133" s="1551" t="str">
        <f t="shared" si="3"/>
        <v/>
      </c>
      <c r="C133" s="1551"/>
      <c r="D133" s="576">
        <f>(IF(
Tank1!$C$23="Flare",SUMIF(Tank1!$A$32:$A$49,Flare!A133,Tank1!$C$32:$C$49),0))+(
IF(Tank2!$C$23="Flare",SUMIF(Tank2!$A$32:$A$49, Flare!A133,Tank2!$C$32:$C$49),0))+(
IF(Tank3!$C$23="Flare",SUMIF(Tank3!$A$32:$A$49, Flare!A133,Tank3!$C$32:$C$49),0))+(
IF(Tank4!$C$23="Flare",SUMIF(Tank4!$A$32:$A$49, Flare!A133,Tank4!$C$32:$C$49),0))+(
IF(Tank5!$C$23="Flare",SUMIF(Tank5!$A$32:$A$49, Flare!A133,Tank5!$C$32:$C$49),0))+(
IF('Loading-drum,tote'!$C$21="Flare",SUMIF('Loading-drum,tote'!$A$31:$A$48, Flare!A133,'Loading-drum,tote'!$F$31:$F$48),0))+(
IF('Loading-truck'!$C$21="Flare",SUMIF('Loading-truck'!$A$31:$A$48, Flare!A133,'Loading-truck'!$F$31:$F$48),0))+(
IF('Loading-rail'!$C$21="Flare",SUMIF('Loading-rail'!$A$31:$A$48, Flare!A133,'Loading-rail'!$F$31:$F$48),0))</f>
        <v>0</v>
      </c>
      <c r="E133" s="575">
        <f t="shared" si="4"/>
        <v>0</v>
      </c>
    </row>
    <row r="134" spans="1:5" x14ac:dyDescent="0.25">
      <c r="A134" s="688" t="str">
        <f>'Hidden Inputs'!AM86</f>
        <v/>
      </c>
      <c r="B134" s="1551" t="str">
        <f t="shared" si="3"/>
        <v/>
      </c>
      <c r="C134" s="1551"/>
      <c r="D134" s="576">
        <f>(IF(
Tank1!$C$23="Flare",SUMIF(Tank1!$A$32:$A$49,Flare!A134,Tank1!$C$32:$C$49),0))+(
IF(Tank2!$C$23="Flare",SUMIF(Tank2!$A$32:$A$49, Flare!A134,Tank2!$C$32:$C$49),0))+(
IF(Tank3!$C$23="Flare",SUMIF(Tank3!$A$32:$A$49, Flare!A134,Tank3!$C$32:$C$49),0))+(
IF(Tank4!$C$23="Flare",SUMIF(Tank4!$A$32:$A$49, Flare!A134,Tank4!$C$32:$C$49),0))+(
IF(Tank5!$C$23="Flare",SUMIF(Tank5!$A$32:$A$49, Flare!A134,Tank5!$C$32:$C$49),0))+(
IF('Loading-drum,tote'!$C$21="Flare",SUMIF('Loading-drum,tote'!$A$31:$A$48, Flare!A134,'Loading-drum,tote'!$F$31:$F$48),0))+(
IF('Loading-truck'!$C$21="Flare",SUMIF('Loading-truck'!$A$31:$A$48, Flare!A134,'Loading-truck'!$F$31:$F$48),0))+(
IF('Loading-rail'!$C$21="Flare",SUMIF('Loading-rail'!$A$31:$A$48, Flare!A134,'Loading-rail'!$F$31:$F$48),0))</f>
        <v>0</v>
      </c>
      <c r="E134" s="575">
        <f t="shared" si="4"/>
        <v>0</v>
      </c>
    </row>
    <row r="135" spans="1:5" x14ac:dyDescent="0.25">
      <c r="A135" s="688" t="str">
        <f>'Hidden Inputs'!AM87</f>
        <v/>
      </c>
      <c r="B135" s="1551" t="str">
        <f t="shared" si="3"/>
        <v/>
      </c>
      <c r="C135" s="1551"/>
      <c r="D135" s="576">
        <f>(IF(
Tank1!$C$23="Flare",SUMIF(Tank1!$A$32:$A$49,Flare!A135,Tank1!$C$32:$C$49),0))+(
IF(Tank2!$C$23="Flare",SUMIF(Tank2!$A$32:$A$49, Flare!A135,Tank2!$C$32:$C$49),0))+(
IF(Tank3!$C$23="Flare",SUMIF(Tank3!$A$32:$A$49, Flare!A135,Tank3!$C$32:$C$49),0))+(
IF(Tank4!$C$23="Flare",SUMIF(Tank4!$A$32:$A$49, Flare!A135,Tank4!$C$32:$C$49),0))+(
IF(Tank5!$C$23="Flare",SUMIF(Tank5!$A$32:$A$49, Flare!A135,Tank5!$C$32:$C$49),0))+(
IF('Loading-drum,tote'!$C$21="Flare",SUMIF('Loading-drum,tote'!$A$31:$A$48, Flare!A135,'Loading-drum,tote'!$F$31:$F$48),0))+(
IF('Loading-truck'!$C$21="Flare",SUMIF('Loading-truck'!$A$31:$A$48, Flare!A135,'Loading-truck'!$F$31:$F$48),0))+(
IF('Loading-rail'!$C$21="Flare",SUMIF('Loading-rail'!$A$31:$A$48, Flare!A135,'Loading-rail'!$F$31:$F$48),0))</f>
        <v>0</v>
      </c>
      <c r="E135" s="575">
        <f t="shared" si="4"/>
        <v>0</v>
      </c>
    </row>
    <row r="136" spans="1:5" x14ac:dyDescent="0.25">
      <c r="A136" s="688" t="str">
        <f>'Hidden Inputs'!AM88</f>
        <v/>
      </c>
      <c r="B136" s="1551" t="str">
        <f t="shared" si="3"/>
        <v/>
      </c>
      <c r="C136" s="1551"/>
      <c r="D136" s="576">
        <f>(IF(
Tank1!$C$23="Flare",SUMIF(Tank1!$A$32:$A$49,Flare!A136,Tank1!$C$32:$C$49),0))+(
IF(Tank2!$C$23="Flare",SUMIF(Tank2!$A$32:$A$49, Flare!A136,Tank2!$C$32:$C$49),0))+(
IF(Tank3!$C$23="Flare",SUMIF(Tank3!$A$32:$A$49, Flare!A136,Tank3!$C$32:$C$49),0))+(
IF(Tank4!$C$23="Flare",SUMIF(Tank4!$A$32:$A$49, Flare!A136,Tank4!$C$32:$C$49),0))+(
IF(Tank5!$C$23="Flare",SUMIF(Tank5!$A$32:$A$49, Flare!A136,Tank5!$C$32:$C$49),0))+(
IF('Loading-drum,tote'!$C$21="Flare",SUMIF('Loading-drum,tote'!$A$31:$A$48, Flare!A136,'Loading-drum,tote'!$F$31:$F$48),0))+(
IF('Loading-truck'!$C$21="Flare",SUMIF('Loading-truck'!$A$31:$A$48, Flare!A136,'Loading-truck'!$F$31:$F$48),0))+(
IF('Loading-rail'!$C$21="Flare",SUMIF('Loading-rail'!$A$31:$A$48, Flare!A136,'Loading-rail'!$F$31:$F$48),0))</f>
        <v>0</v>
      </c>
      <c r="E136" s="575">
        <f t="shared" si="4"/>
        <v>0</v>
      </c>
    </row>
    <row r="137" spans="1:5" x14ac:dyDescent="0.25">
      <c r="A137" s="688" t="str">
        <f>'Hidden Inputs'!AM89</f>
        <v/>
      </c>
      <c r="B137" s="1551" t="str">
        <f t="shared" si="3"/>
        <v/>
      </c>
      <c r="C137" s="1551"/>
      <c r="D137" s="576">
        <f>(IF(
Tank1!$C$23="Flare",SUMIF(Tank1!$A$32:$A$49,Flare!A137,Tank1!$C$32:$C$49),0))+(
IF(Tank2!$C$23="Flare",SUMIF(Tank2!$A$32:$A$49, Flare!A137,Tank2!$C$32:$C$49),0))+(
IF(Tank3!$C$23="Flare",SUMIF(Tank3!$A$32:$A$49, Flare!A137,Tank3!$C$32:$C$49),0))+(
IF(Tank4!$C$23="Flare",SUMIF(Tank4!$A$32:$A$49, Flare!A137,Tank4!$C$32:$C$49),0))+(
IF(Tank5!$C$23="Flare",SUMIF(Tank5!$A$32:$A$49, Flare!A137,Tank5!$C$32:$C$49),0))+(
IF('Loading-drum,tote'!$C$21="Flare",SUMIF('Loading-drum,tote'!$A$31:$A$48, Flare!A137,'Loading-drum,tote'!$F$31:$F$48),0))+(
IF('Loading-truck'!$C$21="Flare",SUMIF('Loading-truck'!$A$31:$A$48, Flare!A137,'Loading-truck'!$F$31:$F$48),0))+(
IF('Loading-rail'!$C$21="Flare",SUMIF('Loading-rail'!$A$31:$A$48, Flare!A137,'Loading-rail'!$F$31:$F$48),0))</f>
        <v>0</v>
      </c>
      <c r="E137" s="575">
        <f t="shared" si="4"/>
        <v>0</v>
      </c>
    </row>
    <row r="138" spans="1:5" x14ac:dyDescent="0.25">
      <c r="A138" s="688" t="str">
        <f>'Hidden Inputs'!AM90</f>
        <v/>
      </c>
      <c r="B138" s="1551" t="str">
        <f t="shared" si="3"/>
        <v/>
      </c>
      <c r="C138" s="1551"/>
      <c r="D138" s="576">
        <f>(IF(
Tank1!$C$23="Flare",SUMIF(Tank1!$A$32:$A$49,Flare!A138,Tank1!$C$32:$C$49),0))+(
IF(Tank2!$C$23="Flare",SUMIF(Tank2!$A$32:$A$49, Flare!A138,Tank2!$C$32:$C$49),0))+(
IF(Tank3!$C$23="Flare",SUMIF(Tank3!$A$32:$A$49, Flare!A138,Tank3!$C$32:$C$49),0))+(
IF(Tank4!$C$23="Flare",SUMIF(Tank4!$A$32:$A$49, Flare!A138,Tank4!$C$32:$C$49),0))+(
IF(Tank5!$C$23="Flare",SUMIF(Tank5!$A$32:$A$49, Flare!A138,Tank5!$C$32:$C$49),0))+(
IF('Loading-drum,tote'!$C$21="Flare",SUMIF('Loading-drum,tote'!$A$31:$A$48, Flare!A138,'Loading-drum,tote'!$F$31:$F$48),0))+(
IF('Loading-truck'!$C$21="Flare",SUMIF('Loading-truck'!$A$31:$A$48, Flare!A138,'Loading-truck'!$F$31:$F$48),0))+(
IF('Loading-rail'!$C$21="Flare",SUMIF('Loading-rail'!$A$31:$A$48, Flare!A138,'Loading-rail'!$F$31:$F$48),0))</f>
        <v>0</v>
      </c>
      <c r="E138" s="575">
        <f t="shared" si="4"/>
        <v>0</v>
      </c>
    </row>
    <row r="139" spans="1:5" x14ac:dyDescent="0.25">
      <c r="A139" s="688" t="str">
        <f>'Hidden Inputs'!AM91</f>
        <v/>
      </c>
      <c r="B139" s="1551" t="str">
        <f t="shared" si="3"/>
        <v/>
      </c>
      <c r="C139" s="1551"/>
      <c r="D139" s="576">
        <f>(IF(
Tank1!$C$23="Flare",SUMIF(Tank1!$A$32:$A$49,Flare!A139,Tank1!$C$32:$C$49),0))+(
IF(Tank2!$C$23="Flare",SUMIF(Tank2!$A$32:$A$49, Flare!A139,Tank2!$C$32:$C$49),0))+(
IF(Tank3!$C$23="Flare",SUMIF(Tank3!$A$32:$A$49, Flare!A139,Tank3!$C$32:$C$49),0))+(
IF(Tank4!$C$23="Flare",SUMIF(Tank4!$A$32:$A$49, Flare!A139,Tank4!$C$32:$C$49),0))+(
IF(Tank5!$C$23="Flare",SUMIF(Tank5!$A$32:$A$49, Flare!A139,Tank5!$C$32:$C$49),0))+(
IF('Loading-drum,tote'!$C$21="Flare",SUMIF('Loading-drum,tote'!$A$31:$A$48, Flare!A139,'Loading-drum,tote'!$F$31:$F$48),0))+(
IF('Loading-truck'!$C$21="Flare",SUMIF('Loading-truck'!$A$31:$A$48, Flare!A139,'Loading-truck'!$F$31:$F$48),0))+(
IF('Loading-rail'!$C$21="Flare",SUMIF('Loading-rail'!$A$31:$A$48, Flare!A139,'Loading-rail'!$F$31:$F$48),0))</f>
        <v>0</v>
      </c>
      <c r="E139" s="575">
        <f t="shared" si="4"/>
        <v>0</v>
      </c>
    </row>
    <row r="140" spans="1:5" x14ac:dyDescent="0.25">
      <c r="A140" s="688" t="str">
        <f>'Hidden Inputs'!AM92</f>
        <v/>
      </c>
      <c r="B140" s="1551" t="str">
        <f t="shared" si="3"/>
        <v/>
      </c>
      <c r="C140" s="1551"/>
      <c r="D140" s="576">
        <f>(IF(
Tank1!$C$23="Flare",SUMIF(Tank1!$A$32:$A$49,Flare!A140,Tank1!$C$32:$C$49),0))+(
IF(Tank2!$C$23="Flare",SUMIF(Tank2!$A$32:$A$49, Flare!A140,Tank2!$C$32:$C$49),0))+(
IF(Tank3!$C$23="Flare",SUMIF(Tank3!$A$32:$A$49, Flare!A140,Tank3!$C$32:$C$49),0))+(
IF(Tank4!$C$23="Flare",SUMIF(Tank4!$A$32:$A$49, Flare!A140,Tank4!$C$32:$C$49),0))+(
IF(Tank5!$C$23="Flare",SUMIF(Tank5!$A$32:$A$49, Flare!A140,Tank5!$C$32:$C$49),0))+(
IF('Loading-drum,tote'!$C$21="Flare",SUMIF('Loading-drum,tote'!$A$31:$A$48, Flare!A140,'Loading-drum,tote'!$F$31:$F$48),0))+(
IF('Loading-truck'!$C$21="Flare",SUMIF('Loading-truck'!$A$31:$A$48, Flare!A140,'Loading-truck'!$F$31:$F$48),0))+(
IF('Loading-rail'!$C$21="Flare",SUMIF('Loading-rail'!$A$31:$A$48, Flare!A140,'Loading-rail'!$F$31:$F$48),0))</f>
        <v>0</v>
      </c>
      <c r="E140" s="575">
        <f t="shared" si="4"/>
        <v>0</v>
      </c>
    </row>
    <row r="141" spans="1:5" x14ac:dyDescent="0.25">
      <c r="A141" s="688" t="str">
        <f>'Hidden Inputs'!AM93</f>
        <v/>
      </c>
      <c r="B141" s="1551" t="str">
        <f t="shared" si="3"/>
        <v/>
      </c>
      <c r="C141" s="1551"/>
      <c r="D141" s="576">
        <f>(IF(
Tank1!$C$23="Flare",SUMIF(Tank1!$A$32:$A$49,Flare!A141,Tank1!$C$32:$C$49),0))+(
IF(Tank2!$C$23="Flare",SUMIF(Tank2!$A$32:$A$49, Flare!A141,Tank2!$C$32:$C$49),0))+(
IF(Tank3!$C$23="Flare",SUMIF(Tank3!$A$32:$A$49, Flare!A141,Tank3!$C$32:$C$49),0))+(
IF(Tank4!$C$23="Flare",SUMIF(Tank4!$A$32:$A$49, Flare!A141,Tank4!$C$32:$C$49),0))+(
IF(Tank5!$C$23="Flare",SUMIF(Tank5!$A$32:$A$49, Flare!A141,Tank5!$C$32:$C$49),0))+(
IF('Loading-drum,tote'!$C$21="Flare",SUMIF('Loading-drum,tote'!$A$31:$A$48, Flare!A141,'Loading-drum,tote'!$F$31:$F$48),0))+(
IF('Loading-truck'!$C$21="Flare",SUMIF('Loading-truck'!$A$31:$A$48, Flare!A141,'Loading-truck'!$F$31:$F$48),0))+(
IF('Loading-rail'!$C$21="Flare",SUMIF('Loading-rail'!$A$31:$A$48, Flare!A141,'Loading-rail'!$F$31:$F$48),0))</f>
        <v>0</v>
      </c>
      <c r="E141" s="575">
        <f t="shared" si="4"/>
        <v>0</v>
      </c>
    </row>
    <row r="142" spans="1:5" x14ac:dyDescent="0.25">
      <c r="A142" s="688" t="str">
        <f>'Hidden Inputs'!AM94</f>
        <v/>
      </c>
      <c r="B142" s="1551" t="str">
        <f t="shared" si="3"/>
        <v/>
      </c>
      <c r="C142" s="1551"/>
      <c r="D142" s="576">
        <f>(IF(
Tank1!$C$23="Flare",SUMIF(Tank1!$A$32:$A$49,Flare!A142,Tank1!$C$32:$C$49),0))+(
IF(Tank2!$C$23="Flare",SUMIF(Tank2!$A$32:$A$49, Flare!A142,Tank2!$C$32:$C$49),0))+(
IF(Tank3!$C$23="Flare",SUMIF(Tank3!$A$32:$A$49, Flare!A142,Tank3!$C$32:$C$49),0))+(
IF(Tank4!$C$23="Flare",SUMIF(Tank4!$A$32:$A$49, Flare!A142,Tank4!$C$32:$C$49),0))+(
IF(Tank5!$C$23="Flare",SUMIF(Tank5!$A$32:$A$49, Flare!A142,Tank5!$C$32:$C$49),0))+(
IF('Loading-drum,tote'!$C$21="Flare",SUMIF('Loading-drum,tote'!$A$31:$A$48, Flare!A142,'Loading-drum,tote'!$F$31:$F$48),0))+(
IF('Loading-truck'!$C$21="Flare",SUMIF('Loading-truck'!$A$31:$A$48, Flare!A142,'Loading-truck'!$F$31:$F$48),0))+(
IF('Loading-rail'!$C$21="Flare",SUMIF('Loading-rail'!$A$31:$A$48, Flare!A142,'Loading-rail'!$F$31:$F$48),0))</f>
        <v>0</v>
      </c>
      <c r="E142" s="575">
        <f t="shared" si="4"/>
        <v>0</v>
      </c>
    </row>
    <row r="143" spans="1:5" x14ac:dyDescent="0.25">
      <c r="A143" s="688" t="str">
        <f>'Hidden Inputs'!AM95</f>
        <v/>
      </c>
      <c r="B143" s="1551" t="str">
        <f t="shared" si="3"/>
        <v/>
      </c>
      <c r="C143" s="1551"/>
      <c r="D143" s="576">
        <f>(IF(
Tank1!$C$23="Flare",SUMIF(Tank1!$A$32:$A$49,Flare!A143,Tank1!$C$32:$C$49),0))+(
IF(Tank2!$C$23="Flare",SUMIF(Tank2!$A$32:$A$49, Flare!A143,Tank2!$C$32:$C$49),0))+(
IF(Tank3!$C$23="Flare",SUMIF(Tank3!$A$32:$A$49, Flare!A143,Tank3!$C$32:$C$49),0))+(
IF(Tank4!$C$23="Flare",SUMIF(Tank4!$A$32:$A$49, Flare!A143,Tank4!$C$32:$C$49),0))+(
IF(Tank5!$C$23="Flare",SUMIF(Tank5!$A$32:$A$49, Flare!A143,Tank5!$C$32:$C$49),0))+(
IF('Loading-drum,tote'!$C$21="Flare",SUMIF('Loading-drum,tote'!$A$31:$A$48, Flare!A143,'Loading-drum,tote'!$F$31:$F$48),0))+(
IF('Loading-truck'!$C$21="Flare",SUMIF('Loading-truck'!$A$31:$A$48, Flare!A143,'Loading-truck'!$F$31:$F$48),0))+(
IF('Loading-rail'!$C$21="Flare",SUMIF('Loading-rail'!$A$31:$A$48, Flare!A143,'Loading-rail'!$F$31:$F$48),0))</f>
        <v>0</v>
      </c>
      <c r="E143" s="575">
        <f t="shared" si="4"/>
        <v>0</v>
      </c>
    </row>
    <row r="144" spans="1:5" x14ac:dyDescent="0.25">
      <c r="A144" s="688" t="str">
        <f>'Hidden Inputs'!AM96</f>
        <v/>
      </c>
      <c r="B144" s="1551" t="str">
        <f t="shared" si="3"/>
        <v/>
      </c>
      <c r="C144" s="1551"/>
      <c r="D144" s="576">
        <f>(IF(
Tank1!$C$23="Flare",SUMIF(Tank1!$A$32:$A$49,Flare!A144,Tank1!$C$32:$C$49),0))+(
IF(Tank2!$C$23="Flare",SUMIF(Tank2!$A$32:$A$49, Flare!A144,Tank2!$C$32:$C$49),0))+(
IF(Tank3!$C$23="Flare",SUMIF(Tank3!$A$32:$A$49, Flare!A144,Tank3!$C$32:$C$49),0))+(
IF(Tank4!$C$23="Flare",SUMIF(Tank4!$A$32:$A$49, Flare!A144,Tank4!$C$32:$C$49),0))+(
IF(Tank5!$C$23="Flare",SUMIF(Tank5!$A$32:$A$49, Flare!A144,Tank5!$C$32:$C$49),0))+(
IF('Loading-drum,tote'!$C$21="Flare",SUMIF('Loading-drum,tote'!$A$31:$A$48, Flare!A144,'Loading-drum,tote'!$F$31:$F$48),0))+(
IF('Loading-truck'!$C$21="Flare",SUMIF('Loading-truck'!$A$31:$A$48, Flare!A144,'Loading-truck'!$F$31:$F$48),0))+(
IF('Loading-rail'!$C$21="Flare",SUMIF('Loading-rail'!$A$31:$A$48, Flare!A144,'Loading-rail'!$F$31:$F$48),0))</f>
        <v>0</v>
      </c>
      <c r="E144" s="575">
        <f t="shared" si="4"/>
        <v>0</v>
      </c>
    </row>
    <row r="145" spans="1:5" x14ac:dyDescent="0.25">
      <c r="A145" s="688" t="str">
        <f>'Hidden Inputs'!AM97</f>
        <v/>
      </c>
      <c r="B145" s="1551" t="str">
        <f t="shared" si="3"/>
        <v/>
      </c>
      <c r="C145" s="1551"/>
      <c r="D145" s="576">
        <f>(IF(
Tank1!$C$23="Flare",SUMIF(Tank1!$A$32:$A$49,Flare!A145,Tank1!$C$32:$C$49),0))+(
IF(Tank2!$C$23="Flare",SUMIF(Tank2!$A$32:$A$49, Flare!A145,Tank2!$C$32:$C$49),0))+(
IF(Tank3!$C$23="Flare",SUMIF(Tank3!$A$32:$A$49, Flare!A145,Tank3!$C$32:$C$49),0))+(
IF(Tank4!$C$23="Flare",SUMIF(Tank4!$A$32:$A$49, Flare!A145,Tank4!$C$32:$C$49),0))+(
IF(Tank5!$C$23="Flare",SUMIF(Tank5!$A$32:$A$49, Flare!A145,Tank5!$C$32:$C$49),0))+(
IF('Loading-drum,tote'!$C$21="Flare",SUMIF('Loading-drum,tote'!$A$31:$A$48, Flare!A145,'Loading-drum,tote'!$F$31:$F$48),0))+(
IF('Loading-truck'!$C$21="Flare",SUMIF('Loading-truck'!$A$31:$A$48, Flare!A145,'Loading-truck'!$F$31:$F$48),0))+(
IF('Loading-rail'!$C$21="Flare",SUMIF('Loading-rail'!$A$31:$A$48, Flare!A145,'Loading-rail'!$F$31:$F$48),0))</f>
        <v>0</v>
      </c>
      <c r="E145" s="575">
        <f t="shared" si="4"/>
        <v>0</v>
      </c>
    </row>
    <row r="146" spans="1:5" x14ac:dyDescent="0.25">
      <c r="A146" s="688" t="str">
        <f>'Hidden Inputs'!AM98</f>
        <v/>
      </c>
      <c r="B146" s="1551" t="str">
        <f t="shared" ref="B146:B177" si="5">IFERROR(VLOOKUP(A146, SpeciesDataTable,2,FALSE),"")</f>
        <v/>
      </c>
      <c r="C146" s="1551"/>
      <c r="D146" s="576">
        <f>(IF(
Tank1!$C$23="Flare",SUMIF(Tank1!$A$32:$A$49,Flare!A146,Tank1!$C$32:$C$49),0))+(
IF(Tank2!$C$23="Flare",SUMIF(Tank2!$A$32:$A$49, Flare!A146,Tank2!$C$32:$C$49),0))+(
IF(Tank3!$C$23="Flare",SUMIF(Tank3!$A$32:$A$49, Flare!A146,Tank3!$C$32:$C$49),0))+(
IF(Tank4!$C$23="Flare",SUMIF(Tank4!$A$32:$A$49, Flare!A146,Tank4!$C$32:$C$49),0))+(
IF(Tank5!$C$23="Flare",SUMIF(Tank5!$A$32:$A$49, Flare!A146,Tank5!$C$32:$C$49),0))+(
IF('Loading-drum,tote'!$C$21="Flare",SUMIF('Loading-drum,tote'!$A$31:$A$48, Flare!A146,'Loading-drum,tote'!$F$31:$F$48),0))+(
IF('Loading-truck'!$C$21="Flare",SUMIF('Loading-truck'!$A$31:$A$48, Flare!A146,'Loading-truck'!$F$31:$F$48),0))+(
IF('Loading-rail'!$C$21="Flare",SUMIF('Loading-rail'!$A$31:$A$48, Flare!A146,'Loading-rail'!$F$31:$F$48),0))</f>
        <v>0</v>
      </c>
      <c r="E146" s="575">
        <f t="shared" si="4"/>
        <v>0</v>
      </c>
    </row>
    <row r="147" spans="1:5" x14ac:dyDescent="0.25">
      <c r="A147" s="688" t="str">
        <f>'Hidden Inputs'!AM99</f>
        <v/>
      </c>
      <c r="B147" s="1551" t="str">
        <f t="shared" si="5"/>
        <v/>
      </c>
      <c r="C147" s="1551"/>
      <c r="D147" s="576">
        <f>(IF(
Tank1!$C$23="Flare",SUMIF(Tank1!$A$32:$A$49,Flare!A147,Tank1!$C$32:$C$49),0))+(
IF(Tank2!$C$23="Flare",SUMIF(Tank2!$A$32:$A$49, Flare!A147,Tank2!$C$32:$C$49),0))+(
IF(Tank3!$C$23="Flare",SUMIF(Tank3!$A$32:$A$49, Flare!A147,Tank3!$C$32:$C$49),0))+(
IF(Tank4!$C$23="Flare",SUMIF(Tank4!$A$32:$A$49, Flare!A147,Tank4!$C$32:$C$49),0))+(
IF(Tank5!$C$23="Flare",SUMIF(Tank5!$A$32:$A$49, Flare!A147,Tank5!$C$32:$C$49),0))+(
IF('Loading-drum,tote'!$C$21="Flare",SUMIF('Loading-drum,tote'!$A$31:$A$48, Flare!A147,'Loading-drum,tote'!$F$31:$F$48),0))+(
IF('Loading-truck'!$C$21="Flare",SUMIF('Loading-truck'!$A$31:$A$48, Flare!A147,'Loading-truck'!$F$31:$F$48),0))+(
IF('Loading-rail'!$C$21="Flare",SUMIF('Loading-rail'!$A$31:$A$48, Flare!A147,'Loading-rail'!$F$31:$F$48),0))</f>
        <v>0</v>
      </c>
      <c r="E147" s="575">
        <f t="shared" si="4"/>
        <v>0</v>
      </c>
    </row>
    <row r="148" spans="1:5" x14ac:dyDescent="0.25">
      <c r="A148" s="688" t="str">
        <f>'Hidden Inputs'!AM100</f>
        <v/>
      </c>
      <c r="B148" s="1551" t="str">
        <f t="shared" si="5"/>
        <v/>
      </c>
      <c r="C148" s="1551"/>
      <c r="D148" s="576">
        <f>(IF(
Tank1!$C$23="Flare",SUMIF(Tank1!$A$32:$A$49,Flare!A148,Tank1!$C$32:$C$49),0))+(
IF(Tank2!$C$23="Flare",SUMIF(Tank2!$A$32:$A$49, Flare!A148,Tank2!$C$32:$C$49),0))+(
IF(Tank3!$C$23="Flare",SUMIF(Tank3!$A$32:$A$49, Flare!A148,Tank3!$C$32:$C$49),0))+(
IF(Tank4!$C$23="Flare",SUMIF(Tank4!$A$32:$A$49, Flare!A148,Tank4!$C$32:$C$49),0))+(
IF(Tank5!$C$23="Flare",SUMIF(Tank5!$A$32:$A$49, Flare!A148,Tank5!$C$32:$C$49),0))+(
IF('Loading-drum,tote'!$C$21="Flare",SUMIF('Loading-drum,tote'!$A$31:$A$48, Flare!A148,'Loading-drum,tote'!$F$31:$F$48),0))+(
IF('Loading-truck'!$C$21="Flare",SUMIF('Loading-truck'!$A$31:$A$48, Flare!A148,'Loading-truck'!$F$31:$F$48),0))+(
IF('Loading-rail'!$C$21="Flare",SUMIF('Loading-rail'!$A$31:$A$48, Flare!A148,'Loading-rail'!$F$31:$F$48),0))</f>
        <v>0</v>
      </c>
      <c r="E148" s="575">
        <f t="shared" si="4"/>
        <v>0</v>
      </c>
    </row>
    <row r="149" spans="1:5" x14ac:dyDescent="0.25">
      <c r="A149" s="688" t="str">
        <f>'Hidden Inputs'!AM101</f>
        <v/>
      </c>
      <c r="B149" s="1551" t="str">
        <f t="shared" si="5"/>
        <v/>
      </c>
      <c r="C149" s="1551"/>
      <c r="D149" s="576">
        <f>(IF(
Tank1!$C$23="Flare",SUMIF(Tank1!$A$32:$A$49,Flare!A149,Tank1!$C$32:$C$49),0))+(
IF(Tank2!$C$23="Flare",SUMIF(Tank2!$A$32:$A$49, Flare!A149,Tank2!$C$32:$C$49),0))+(
IF(Tank3!$C$23="Flare",SUMIF(Tank3!$A$32:$A$49, Flare!A149,Tank3!$C$32:$C$49),0))+(
IF(Tank4!$C$23="Flare",SUMIF(Tank4!$A$32:$A$49, Flare!A149,Tank4!$C$32:$C$49),0))+(
IF(Tank5!$C$23="Flare",SUMIF(Tank5!$A$32:$A$49, Flare!A149,Tank5!$C$32:$C$49),0))+(
IF('Loading-drum,tote'!$C$21="Flare",SUMIF('Loading-drum,tote'!$A$31:$A$48, Flare!A149,'Loading-drum,tote'!$F$31:$F$48),0))+(
IF('Loading-truck'!$C$21="Flare",SUMIF('Loading-truck'!$A$31:$A$48, Flare!A149,'Loading-truck'!$F$31:$F$48),0))+(
IF('Loading-rail'!$C$21="Flare",SUMIF('Loading-rail'!$A$31:$A$48, Flare!A149,'Loading-rail'!$F$31:$F$48),0))</f>
        <v>0</v>
      </c>
      <c r="E149" s="575">
        <f t="shared" si="4"/>
        <v>0</v>
      </c>
    </row>
    <row r="150" spans="1:5" x14ac:dyDescent="0.25">
      <c r="A150" s="688" t="str">
        <f>'Hidden Inputs'!AM102</f>
        <v/>
      </c>
      <c r="B150" s="1551" t="str">
        <f t="shared" si="5"/>
        <v/>
      </c>
      <c r="C150" s="1551"/>
      <c r="D150" s="576">
        <f>(IF(
Tank1!$C$23="Flare",SUMIF(Tank1!$A$32:$A$49,Flare!A150,Tank1!$C$32:$C$49),0))+(
IF(Tank2!$C$23="Flare",SUMIF(Tank2!$A$32:$A$49, Flare!A150,Tank2!$C$32:$C$49),0))+(
IF(Tank3!$C$23="Flare",SUMIF(Tank3!$A$32:$A$49, Flare!A150,Tank3!$C$32:$C$49),0))+(
IF(Tank4!$C$23="Flare",SUMIF(Tank4!$A$32:$A$49, Flare!A150,Tank4!$C$32:$C$49),0))+(
IF(Tank5!$C$23="Flare",SUMIF(Tank5!$A$32:$A$49, Flare!A150,Tank5!$C$32:$C$49),0))+(
IF('Loading-drum,tote'!$C$21="Flare",SUMIF('Loading-drum,tote'!$A$31:$A$48, Flare!A150,'Loading-drum,tote'!$F$31:$F$48),0))+(
IF('Loading-truck'!$C$21="Flare",SUMIF('Loading-truck'!$A$31:$A$48, Flare!A150,'Loading-truck'!$F$31:$F$48),0))+(
IF('Loading-rail'!$C$21="Flare",SUMIF('Loading-rail'!$A$31:$A$48, Flare!A150,'Loading-rail'!$F$31:$F$48),0))</f>
        <v>0</v>
      </c>
      <c r="E150" s="575">
        <f t="shared" si="4"/>
        <v>0</v>
      </c>
    </row>
    <row r="151" spans="1:5" x14ac:dyDescent="0.25">
      <c r="A151" s="688" t="str">
        <f>'Hidden Inputs'!AM103</f>
        <v/>
      </c>
      <c r="B151" s="1551" t="str">
        <f t="shared" si="5"/>
        <v/>
      </c>
      <c r="C151" s="1551"/>
      <c r="D151" s="576">
        <f>(IF(
Tank1!$C$23="Flare",SUMIF(Tank1!$A$32:$A$49,Flare!A151,Tank1!$C$32:$C$49),0))+(
IF(Tank2!$C$23="Flare",SUMIF(Tank2!$A$32:$A$49, Flare!A151,Tank2!$C$32:$C$49),0))+(
IF(Tank3!$C$23="Flare",SUMIF(Tank3!$A$32:$A$49, Flare!A151,Tank3!$C$32:$C$49),0))+(
IF(Tank4!$C$23="Flare",SUMIF(Tank4!$A$32:$A$49, Flare!A151,Tank4!$C$32:$C$49),0))+(
IF(Tank5!$C$23="Flare",SUMIF(Tank5!$A$32:$A$49, Flare!A151,Tank5!$C$32:$C$49),0))+(
IF('Loading-drum,tote'!$C$21="Flare",SUMIF('Loading-drum,tote'!$A$31:$A$48, Flare!A151,'Loading-drum,tote'!$F$31:$F$48),0))+(
IF('Loading-truck'!$C$21="Flare",SUMIF('Loading-truck'!$A$31:$A$48, Flare!A151,'Loading-truck'!$F$31:$F$48),0))+(
IF('Loading-rail'!$C$21="Flare",SUMIF('Loading-rail'!$A$31:$A$48, Flare!A151,'Loading-rail'!$F$31:$F$48),0))</f>
        <v>0</v>
      </c>
      <c r="E151" s="575">
        <f t="shared" si="4"/>
        <v>0</v>
      </c>
    </row>
    <row r="152" spans="1:5" x14ac:dyDescent="0.25">
      <c r="A152" s="688" t="str">
        <f>'Hidden Inputs'!AM104</f>
        <v/>
      </c>
      <c r="B152" s="1551" t="str">
        <f t="shared" si="5"/>
        <v/>
      </c>
      <c r="C152" s="1551"/>
      <c r="D152" s="576">
        <f>(IF(
Tank1!$C$23="Flare",SUMIF(Tank1!$A$32:$A$49,Flare!A152,Tank1!$C$32:$C$49),0))+(
IF(Tank2!$C$23="Flare",SUMIF(Tank2!$A$32:$A$49, Flare!A152,Tank2!$C$32:$C$49),0))+(
IF(Tank3!$C$23="Flare",SUMIF(Tank3!$A$32:$A$49, Flare!A152,Tank3!$C$32:$C$49),0))+(
IF(Tank4!$C$23="Flare",SUMIF(Tank4!$A$32:$A$49, Flare!A152,Tank4!$C$32:$C$49),0))+(
IF(Tank5!$C$23="Flare",SUMIF(Tank5!$A$32:$A$49, Flare!A152,Tank5!$C$32:$C$49),0))+(
IF('Loading-drum,tote'!$C$21="Flare",SUMIF('Loading-drum,tote'!$A$31:$A$48, Flare!A152,'Loading-drum,tote'!$F$31:$F$48),0))+(
IF('Loading-truck'!$C$21="Flare",SUMIF('Loading-truck'!$A$31:$A$48, Flare!A152,'Loading-truck'!$F$31:$F$48),0))+(
IF('Loading-rail'!$C$21="Flare",SUMIF('Loading-rail'!$A$31:$A$48, Flare!A152,'Loading-rail'!$F$31:$F$48),0))</f>
        <v>0</v>
      </c>
      <c r="E152" s="575">
        <f t="shared" si="4"/>
        <v>0</v>
      </c>
    </row>
    <row r="153" spans="1:5" x14ac:dyDescent="0.25">
      <c r="A153" s="688" t="str">
        <f>'Hidden Inputs'!AM105</f>
        <v/>
      </c>
      <c r="B153" s="1551" t="str">
        <f t="shared" si="5"/>
        <v/>
      </c>
      <c r="C153" s="1551"/>
      <c r="D153" s="576">
        <f>(IF(
Tank1!$C$23="Flare",SUMIF(Tank1!$A$32:$A$49,Flare!A153,Tank1!$C$32:$C$49),0))+(
IF(Tank2!$C$23="Flare",SUMIF(Tank2!$A$32:$A$49, Flare!A153,Tank2!$C$32:$C$49),0))+(
IF(Tank3!$C$23="Flare",SUMIF(Tank3!$A$32:$A$49, Flare!A153,Tank3!$C$32:$C$49),0))+(
IF(Tank4!$C$23="Flare",SUMIF(Tank4!$A$32:$A$49, Flare!A153,Tank4!$C$32:$C$49),0))+(
IF(Tank5!$C$23="Flare",SUMIF(Tank5!$A$32:$A$49, Flare!A153,Tank5!$C$32:$C$49),0))+(
IF('Loading-drum,tote'!$C$21="Flare",SUMIF('Loading-drum,tote'!$A$31:$A$48, Flare!A153,'Loading-drum,tote'!$F$31:$F$48),0))+(
IF('Loading-truck'!$C$21="Flare",SUMIF('Loading-truck'!$A$31:$A$48, Flare!A153,'Loading-truck'!$F$31:$F$48),0))+(
IF('Loading-rail'!$C$21="Flare",SUMIF('Loading-rail'!$A$31:$A$48, Flare!A153,'Loading-rail'!$F$31:$F$48),0))</f>
        <v>0</v>
      </c>
      <c r="E153" s="575">
        <f t="shared" si="4"/>
        <v>0</v>
      </c>
    </row>
    <row r="154" spans="1:5" x14ac:dyDescent="0.25">
      <c r="A154" s="688" t="str">
        <f>'Hidden Inputs'!AM106</f>
        <v/>
      </c>
      <c r="B154" s="1551" t="str">
        <f t="shared" si="5"/>
        <v/>
      </c>
      <c r="C154" s="1551"/>
      <c r="D154" s="576">
        <f>(IF(
Tank1!$C$23="Flare",SUMIF(Tank1!$A$32:$A$49,Flare!A154,Tank1!$C$32:$C$49),0))+(
IF(Tank2!$C$23="Flare",SUMIF(Tank2!$A$32:$A$49, Flare!A154,Tank2!$C$32:$C$49),0))+(
IF(Tank3!$C$23="Flare",SUMIF(Tank3!$A$32:$A$49, Flare!A154,Tank3!$C$32:$C$49),0))+(
IF(Tank4!$C$23="Flare",SUMIF(Tank4!$A$32:$A$49, Flare!A154,Tank4!$C$32:$C$49),0))+(
IF(Tank5!$C$23="Flare",SUMIF(Tank5!$A$32:$A$49, Flare!A154,Tank5!$C$32:$C$49),0))+(
IF('Loading-drum,tote'!$C$21="Flare",SUMIF('Loading-drum,tote'!$A$31:$A$48, Flare!A154,'Loading-drum,tote'!$F$31:$F$48),0))+(
IF('Loading-truck'!$C$21="Flare",SUMIF('Loading-truck'!$A$31:$A$48, Flare!A154,'Loading-truck'!$F$31:$F$48),0))+(
IF('Loading-rail'!$C$21="Flare",SUMIF('Loading-rail'!$A$31:$A$48, Flare!A154,'Loading-rail'!$F$31:$F$48),0))</f>
        <v>0</v>
      </c>
      <c r="E154" s="575">
        <f t="shared" si="4"/>
        <v>0</v>
      </c>
    </row>
    <row r="155" spans="1:5" x14ac:dyDescent="0.25">
      <c r="A155" s="688" t="str">
        <f>'Hidden Inputs'!AM107</f>
        <v/>
      </c>
      <c r="B155" s="1551" t="str">
        <f t="shared" si="5"/>
        <v/>
      </c>
      <c r="C155" s="1551"/>
      <c r="D155" s="576">
        <f>(IF(
Tank1!$C$23="Flare",SUMIF(Tank1!$A$32:$A$49,Flare!A155,Tank1!$C$32:$C$49),0))+(
IF(Tank2!$C$23="Flare",SUMIF(Tank2!$A$32:$A$49, Flare!A155,Tank2!$C$32:$C$49),0))+(
IF(Tank3!$C$23="Flare",SUMIF(Tank3!$A$32:$A$49, Flare!A155,Tank3!$C$32:$C$49),0))+(
IF(Tank4!$C$23="Flare",SUMIF(Tank4!$A$32:$A$49, Flare!A155,Tank4!$C$32:$C$49),0))+(
IF(Tank5!$C$23="Flare",SUMIF(Tank5!$A$32:$A$49, Flare!A155,Tank5!$C$32:$C$49),0))+(
IF('Loading-drum,tote'!$C$21="Flare",SUMIF('Loading-drum,tote'!$A$31:$A$48, Flare!A155,'Loading-drum,tote'!$F$31:$F$48),0))+(
IF('Loading-truck'!$C$21="Flare",SUMIF('Loading-truck'!$A$31:$A$48, Flare!A155,'Loading-truck'!$F$31:$F$48),0))+(
IF('Loading-rail'!$C$21="Flare",SUMIF('Loading-rail'!$A$31:$A$48, Flare!A155,'Loading-rail'!$F$31:$F$48),0))</f>
        <v>0</v>
      </c>
      <c r="E155" s="575">
        <f t="shared" si="4"/>
        <v>0</v>
      </c>
    </row>
    <row r="156" spans="1:5" x14ac:dyDescent="0.25">
      <c r="A156" s="688" t="str">
        <f>'Hidden Inputs'!AM108</f>
        <v/>
      </c>
      <c r="B156" s="1551" t="str">
        <f t="shared" si="5"/>
        <v/>
      </c>
      <c r="C156" s="1551"/>
      <c r="D156" s="576">
        <f>(IF(
Tank1!$C$23="Flare",SUMIF(Tank1!$A$32:$A$49,Flare!A156,Tank1!$C$32:$C$49),0))+(
IF(Tank2!$C$23="Flare",SUMIF(Tank2!$A$32:$A$49, Flare!A156,Tank2!$C$32:$C$49),0))+(
IF(Tank3!$C$23="Flare",SUMIF(Tank3!$A$32:$A$49, Flare!A156,Tank3!$C$32:$C$49),0))+(
IF(Tank4!$C$23="Flare",SUMIF(Tank4!$A$32:$A$49, Flare!A156,Tank4!$C$32:$C$49),0))+(
IF(Tank5!$C$23="Flare",SUMIF(Tank5!$A$32:$A$49, Flare!A156,Tank5!$C$32:$C$49),0))+(
IF('Loading-drum,tote'!$C$21="Flare",SUMIF('Loading-drum,tote'!$A$31:$A$48, Flare!A156,'Loading-drum,tote'!$F$31:$F$48),0))+(
IF('Loading-truck'!$C$21="Flare",SUMIF('Loading-truck'!$A$31:$A$48, Flare!A156,'Loading-truck'!$F$31:$F$48),0))+(
IF('Loading-rail'!$C$21="Flare",SUMIF('Loading-rail'!$A$31:$A$48, Flare!A156,'Loading-rail'!$F$31:$F$48),0))</f>
        <v>0</v>
      </c>
      <c r="E156" s="575">
        <f t="shared" si="4"/>
        <v>0</v>
      </c>
    </row>
    <row r="157" spans="1:5" x14ac:dyDescent="0.25">
      <c r="A157" s="688" t="str">
        <f>'Hidden Inputs'!AM109</f>
        <v/>
      </c>
      <c r="B157" s="1551" t="str">
        <f t="shared" si="5"/>
        <v/>
      </c>
      <c r="C157" s="1551"/>
      <c r="D157" s="576">
        <f>(IF(
Tank1!$C$23="Flare",SUMIF(Tank1!$A$32:$A$49,Flare!A157,Tank1!$C$32:$C$49),0))+(
IF(Tank2!$C$23="Flare",SUMIF(Tank2!$A$32:$A$49, Flare!A157,Tank2!$C$32:$C$49),0))+(
IF(Tank3!$C$23="Flare",SUMIF(Tank3!$A$32:$A$49, Flare!A157,Tank3!$C$32:$C$49),0))+(
IF(Tank4!$C$23="Flare",SUMIF(Tank4!$A$32:$A$49, Flare!A157,Tank4!$C$32:$C$49),0))+(
IF(Tank5!$C$23="Flare",SUMIF(Tank5!$A$32:$A$49, Flare!A157,Tank5!$C$32:$C$49),0))+(
IF('Loading-drum,tote'!$C$21="Flare",SUMIF('Loading-drum,tote'!$A$31:$A$48, Flare!A157,'Loading-drum,tote'!$F$31:$F$48),0))+(
IF('Loading-truck'!$C$21="Flare",SUMIF('Loading-truck'!$A$31:$A$48, Flare!A157,'Loading-truck'!$F$31:$F$48),0))+(
IF('Loading-rail'!$C$21="Flare",SUMIF('Loading-rail'!$A$31:$A$48, Flare!A157,'Loading-rail'!$F$31:$F$48),0))</f>
        <v>0</v>
      </c>
      <c r="E157" s="575">
        <f t="shared" si="4"/>
        <v>0</v>
      </c>
    </row>
    <row r="158" spans="1:5" x14ac:dyDescent="0.25">
      <c r="A158" s="688" t="str">
        <f>'Hidden Inputs'!AM110</f>
        <v/>
      </c>
      <c r="B158" s="1551" t="str">
        <f t="shared" si="5"/>
        <v/>
      </c>
      <c r="C158" s="1551"/>
      <c r="D158" s="576">
        <f>(IF(
Tank1!$C$23="Flare",SUMIF(Tank1!$A$32:$A$49,Flare!A158,Tank1!$C$32:$C$49),0))+(
IF(Tank2!$C$23="Flare",SUMIF(Tank2!$A$32:$A$49, Flare!A158,Tank2!$C$32:$C$49),0))+(
IF(Tank3!$C$23="Flare",SUMIF(Tank3!$A$32:$A$49, Flare!A158,Tank3!$C$32:$C$49),0))+(
IF(Tank4!$C$23="Flare",SUMIF(Tank4!$A$32:$A$49, Flare!A158,Tank4!$C$32:$C$49),0))+(
IF(Tank5!$C$23="Flare",SUMIF(Tank5!$A$32:$A$49, Flare!A158,Tank5!$C$32:$C$49),0))+(
IF('Loading-drum,tote'!$C$21="Flare",SUMIF('Loading-drum,tote'!$A$31:$A$48, Flare!A158,'Loading-drum,tote'!$F$31:$F$48),0))+(
IF('Loading-truck'!$C$21="Flare",SUMIF('Loading-truck'!$A$31:$A$48, Flare!A158,'Loading-truck'!$F$31:$F$48),0))+(
IF('Loading-rail'!$C$21="Flare",SUMIF('Loading-rail'!$A$31:$A$48, Flare!A158,'Loading-rail'!$F$31:$F$48),0))</f>
        <v>0</v>
      </c>
      <c r="E158" s="575">
        <f t="shared" si="4"/>
        <v>0</v>
      </c>
    </row>
    <row r="159" spans="1:5" x14ac:dyDescent="0.25">
      <c r="A159" s="688" t="str">
        <f>'Hidden Inputs'!AM111</f>
        <v/>
      </c>
      <c r="B159" s="1551" t="str">
        <f t="shared" si="5"/>
        <v/>
      </c>
      <c r="C159" s="1551"/>
      <c r="D159" s="576">
        <f>(IF(
Tank1!$C$23="Flare",SUMIF(Tank1!$A$32:$A$49,Flare!A159,Tank1!$C$32:$C$49),0))+(
IF(Tank2!$C$23="Flare",SUMIF(Tank2!$A$32:$A$49, Flare!A159,Tank2!$C$32:$C$49),0))+(
IF(Tank3!$C$23="Flare",SUMIF(Tank3!$A$32:$A$49, Flare!A159,Tank3!$C$32:$C$49),0))+(
IF(Tank4!$C$23="Flare",SUMIF(Tank4!$A$32:$A$49, Flare!A159,Tank4!$C$32:$C$49),0))+(
IF(Tank5!$C$23="Flare",SUMIF(Tank5!$A$32:$A$49, Flare!A159,Tank5!$C$32:$C$49),0))+(
IF('Loading-drum,tote'!$C$21="Flare",SUMIF('Loading-drum,tote'!$A$31:$A$48, Flare!A159,'Loading-drum,tote'!$F$31:$F$48),0))+(
IF('Loading-truck'!$C$21="Flare",SUMIF('Loading-truck'!$A$31:$A$48, Flare!A159,'Loading-truck'!$F$31:$F$48),0))+(
IF('Loading-rail'!$C$21="Flare",SUMIF('Loading-rail'!$A$31:$A$48, Flare!A159,'Loading-rail'!$F$31:$F$48),0))</f>
        <v>0</v>
      </c>
      <c r="E159" s="575">
        <f t="shared" si="4"/>
        <v>0</v>
      </c>
    </row>
    <row r="160" spans="1:5" x14ac:dyDescent="0.25">
      <c r="A160" s="688" t="str">
        <f>'Hidden Inputs'!AM112</f>
        <v/>
      </c>
      <c r="B160" s="1551" t="str">
        <f t="shared" si="5"/>
        <v/>
      </c>
      <c r="C160" s="1551"/>
      <c r="D160" s="576">
        <f>(IF(
Tank1!$C$23="Flare",SUMIF(Tank1!$A$32:$A$49,Flare!A160,Tank1!$C$32:$C$49),0))+(
IF(Tank2!$C$23="Flare",SUMIF(Tank2!$A$32:$A$49, Flare!A160,Tank2!$C$32:$C$49),0))+(
IF(Tank3!$C$23="Flare",SUMIF(Tank3!$A$32:$A$49, Flare!A160,Tank3!$C$32:$C$49),0))+(
IF(Tank4!$C$23="Flare",SUMIF(Tank4!$A$32:$A$49, Flare!A160,Tank4!$C$32:$C$49),0))+(
IF(Tank5!$C$23="Flare",SUMIF(Tank5!$A$32:$A$49, Flare!A160,Tank5!$C$32:$C$49),0))+(
IF('Loading-drum,tote'!$C$21="Flare",SUMIF('Loading-drum,tote'!$A$31:$A$48, Flare!A160,'Loading-drum,tote'!$F$31:$F$48),0))+(
IF('Loading-truck'!$C$21="Flare",SUMIF('Loading-truck'!$A$31:$A$48, Flare!A160,'Loading-truck'!$F$31:$F$48),0))+(
IF('Loading-rail'!$C$21="Flare",SUMIF('Loading-rail'!$A$31:$A$48, Flare!A160,'Loading-rail'!$F$31:$F$48),0))</f>
        <v>0</v>
      </c>
      <c r="E160" s="575">
        <f t="shared" si="4"/>
        <v>0</v>
      </c>
    </row>
    <row r="161" spans="1:5" x14ac:dyDescent="0.25">
      <c r="A161" s="688" t="str">
        <f>'Hidden Inputs'!AM113</f>
        <v/>
      </c>
      <c r="B161" s="1551" t="str">
        <f t="shared" si="5"/>
        <v/>
      </c>
      <c r="C161" s="1551"/>
      <c r="D161" s="576">
        <f>(IF(
Tank1!$C$23="Flare",SUMIF(Tank1!$A$32:$A$49,Flare!A161,Tank1!$C$32:$C$49),0))+(
IF(Tank2!$C$23="Flare",SUMIF(Tank2!$A$32:$A$49, Flare!A161,Tank2!$C$32:$C$49),0))+(
IF(Tank3!$C$23="Flare",SUMIF(Tank3!$A$32:$A$49, Flare!A161,Tank3!$C$32:$C$49),0))+(
IF(Tank4!$C$23="Flare",SUMIF(Tank4!$A$32:$A$49, Flare!A161,Tank4!$C$32:$C$49),0))+(
IF(Tank5!$C$23="Flare",SUMIF(Tank5!$A$32:$A$49, Flare!A161,Tank5!$C$32:$C$49),0))+(
IF('Loading-drum,tote'!$C$21="Flare",SUMIF('Loading-drum,tote'!$A$31:$A$48, Flare!A161,'Loading-drum,tote'!$F$31:$F$48),0))+(
IF('Loading-truck'!$C$21="Flare",SUMIF('Loading-truck'!$A$31:$A$48, Flare!A161,'Loading-truck'!$F$31:$F$48),0))+(
IF('Loading-rail'!$C$21="Flare",SUMIF('Loading-rail'!$A$31:$A$48, Flare!A161,'Loading-rail'!$F$31:$F$48),0))</f>
        <v>0</v>
      </c>
      <c r="E161" s="575">
        <f t="shared" si="4"/>
        <v>0</v>
      </c>
    </row>
    <row r="162" spans="1:5" x14ac:dyDescent="0.25">
      <c r="A162" s="688" t="str">
        <f>'Hidden Inputs'!AM114</f>
        <v/>
      </c>
      <c r="B162" s="1551" t="str">
        <f t="shared" si="5"/>
        <v/>
      </c>
      <c r="C162" s="1551"/>
      <c r="D162" s="576">
        <f>(IF(
Tank1!$C$23="Flare",SUMIF(Tank1!$A$32:$A$49,Flare!A162,Tank1!$C$32:$C$49),0))+(
IF(Tank2!$C$23="Flare",SUMIF(Tank2!$A$32:$A$49, Flare!A162,Tank2!$C$32:$C$49),0))+(
IF(Tank3!$C$23="Flare",SUMIF(Tank3!$A$32:$A$49, Flare!A162,Tank3!$C$32:$C$49),0))+(
IF(Tank4!$C$23="Flare",SUMIF(Tank4!$A$32:$A$49, Flare!A162,Tank4!$C$32:$C$49),0))+(
IF(Tank5!$C$23="Flare",SUMIF(Tank5!$A$32:$A$49, Flare!A162,Tank5!$C$32:$C$49),0))+(
IF('Loading-drum,tote'!$C$21="Flare",SUMIF('Loading-drum,tote'!$A$31:$A$48, Flare!A162,'Loading-drum,tote'!$F$31:$F$48),0))+(
IF('Loading-truck'!$C$21="Flare",SUMIF('Loading-truck'!$A$31:$A$48, Flare!A162,'Loading-truck'!$F$31:$F$48),0))+(
IF('Loading-rail'!$C$21="Flare",SUMIF('Loading-rail'!$A$31:$A$48, Flare!A162,'Loading-rail'!$F$31:$F$48),0))</f>
        <v>0</v>
      </c>
      <c r="E162" s="575">
        <f t="shared" si="4"/>
        <v>0</v>
      </c>
    </row>
    <row r="163" spans="1:5" x14ac:dyDescent="0.25">
      <c r="A163" s="688" t="str">
        <f>'Hidden Inputs'!AM115</f>
        <v/>
      </c>
      <c r="B163" s="1551" t="str">
        <f t="shared" si="5"/>
        <v/>
      </c>
      <c r="C163" s="1551"/>
      <c r="D163" s="576">
        <f>(IF(
Tank1!$C$23="Flare",SUMIF(Tank1!$A$32:$A$49,Flare!A163,Tank1!$C$32:$C$49),0))+(
IF(Tank2!$C$23="Flare",SUMIF(Tank2!$A$32:$A$49, Flare!A163,Tank2!$C$32:$C$49),0))+(
IF(Tank3!$C$23="Flare",SUMIF(Tank3!$A$32:$A$49, Flare!A163,Tank3!$C$32:$C$49),0))+(
IF(Tank4!$C$23="Flare",SUMIF(Tank4!$A$32:$A$49, Flare!A163,Tank4!$C$32:$C$49),0))+(
IF(Tank5!$C$23="Flare",SUMIF(Tank5!$A$32:$A$49, Flare!A163,Tank5!$C$32:$C$49),0))+(
IF('Loading-drum,tote'!$C$21="Flare",SUMIF('Loading-drum,tote'!$A$31:$A$48, Flare!A163,'Loading-drum,tote'!$F$31:$F$48),0))+(
IF('Loading-truck'!$C$21="Flare",SUMIF('Loading-truck'!$A$31:$A$48, Flare!A163,'Loading-truck'!$F$31:$F$48),0))+(
IF('Loading-rail'!$C$21="Flare",SUMIF('Loading-rail'!$A$31:$A$48, Flare!A163,'Loading-rail'!$F$31:$F$48),0))</f>
        <v>0</v>
      </c>
      <c r="E163" s="575">
        <f t="shared" si="4"/>
        <v>0</v>
      </c>
    </row>
    <row r="164" spans="1:5" x14ac:dyDescent="0.25">
      <c r="A164" s="688" t="str">
        <f>'Hidden Inputs'!AM116</f>
        <v/>
      </c>
      <c r="B164" s="1551" t="str">
        <f t="shared" si="5"/>
        <v/>
      </c>
      <c r="C164" s="1551"/>
      <c r="D164" s="576">
        <f>(IF(
Tank1!$C$23="Flare",SUMIF(Tank1!$A$32:$A$49,Flare!A164,Tank1!$C$32:$C$49),0))+(
IF(Tank2!$C$23="Flare",SUMIF(Tank2!$A$32:$A$49, Flare!A164,Tank2!$C$32:$C$49),0))+(
IF(Tank3!$C$23="Flare",SUMIF(Tank3!$A$32:$A$49, Flare!A164,Tank3!$C$32:$C$49),0))+(
IF(Tank4!$C$23="Flare",SUMIF(Tank4!$A$32:$A$49, Flare!A164,Tank4!$C$32:$C$49),0))+(
IF(Tank5!$C$23="Flare",SUMIF(Tank5!$A$32:$A$49, Flare!A164,Tank5!$C$32:$C$49),0))+(
IF('Loading-drum,tote'!$C$21="Flare",SUMIF('Loading-drum,tote'!$A$31:$A$48, Flare!A164,'Loading-drum,tote'!$F$31:$F$48),0))+(
IF('Loading-truck'!$C$21="Flare",SUMIF('Loading-truck'!$A$31:$A$48, Flare!A164,'Loading-truck'!$F$31:$F$48),0))+(
IF('Loading-rail'!$C$21="Flare",SUMIF('Loading-rail'!$A$31:$A$48, Flare!A164,'Loading-rail'!$F$31:$F$48),0))</f>
        <v>0</v>
      </c>
      <c r="E164" s="575">
        <f t="shared" si="4"/>
        <v>0</v>
      </c>
    </row>
    <row r="165" spans="1:5" x14ac:dyDescent="0.25">
      <c r="A165" s="688" t="str">
        <f>'Hidden Inputs'!AM117</f>
        <v/>
      </c>
      <c r="B165" s="1551" t="str">
        <f t="shared" si="5"/>
        <v/>
      </c>
      <c r="C165" s="1551"/>
      <c r="D165" s="576">
        <f>(IF(
Tank1!$C$23="Flare",SUMIF(Tank1!$A$32:$A$49,Flare!A165,Tank1!$C$32:$C$49),0))+(
IF(Tank2!$C$23="Flare",SUMIF(Tank2!$A$32:$A$49, Flare!A165,Tank2!$C$32:$C$49),0))+(
IF(Tank3!$C$23="Flare",SUMIF(Tank3!$A$32:$A$49, Flare!A165,Tank3!$C$32:$C$49),0))+(
IF(Tank4!$C$23="Flare",SUMIF(Tank4!$A$32:$A$49, Flare!A165,Tank4!$C$32:$C$49),0))+(
IF(Tank5!$C$23="Flare",SUMIF(Tank5!$A$32:$A$49, Flare!A165,Tank5!$C$32:$C$49),0))+(
IF('Loading-drum,tote'!$C$21="Flare",SUMIF('Loading-drum,tote'!$A$31:$A$48, Flare!A165,'Loading-drum,tote'!$F$31:$F$48),0))+(
IF('Loading-truck'!$C$21="Flare",SUMIF('Loading-truck'!$A$31:$A$48, Flare!A165,'Loading-truck'!$F$31:$F$48),0))+(
IF('Loading-rail'!$C$21="Flare",SUMIF('Loading-rail'!$A$31:$A$48, Flare!A165,'Loading-rail'!$F$31:$F$48),0))</f>
        <v>0</v>
      </c>
      <c r="E165" s="575">
        <f t="shared" si="4"/>
        <v>0</v>
      </c>
    </row>
    <row r="166" spans="1:5" x14ac:dyDescent="0.25">
      <c r="A166" s="688" t="str">
        <f>'Hidden Inputs'!AM118</f>
        <v/>
      </c>
      <c r="B166" s="1551" t="str">
        <f t="shared" si="5"/>
        <v/>
      </c>
      <c r="C166" s="1551"/>
      <c r="D166" s="576">
        <f>(IF(
Tank1!$C$23="Flare",SUMIF(Tank1!$A$32:$A$49,Flare!A166,Tank1!$C$32:$C$49),0))+(
IF(Tank2!$C$23="Flare",SUMIF(Tank2!$A$32:$A$49, Flare!A166,Tank2!$C$32:$C$49),0))+(
IF(Tank3!$C$23="Flare",SUMIF(Tank3!$A$32:$A$49, Flare!A166,Tank3!$C$32:$C$49),0))+(
IF(Tank4!$C$23="Flare",SUMIF(Tank4!$A$32:$A$49, Flare!A166,Tank4!$C$32:$C$49),0))+(
IF(Tank5!$C$23="Flare",SUMIF(Tank5!$A$32:$A$49, Flare!A166,Tank5!$C$32:$C$49),0))+(
IF('Loading-drum,tote'!$C$21="Flare",SUMIF('Loading-drum,tote'!$A$31:$A$48, Flare!A166,'Loading-drum,tote'!$F$31:$F$48),0))+(
IF('Loading-truck'!$C$21="Flare",SUMIF('Loading-truck'!$A$31:$A$48, Flare!A166,'Loading-truck'!$F$31:$F$48),0))+(
IF('Loading-rail'!$C$21="Flare",SUMIF('Loading-rail'!$A$31:$A$48, Flare!A166,'Loading-rail'!$F$31:$F$48),0))</f>
        <v>0</v>
      </c>
      <c r="E166" s="575">
        <f t="shared" si="4"/>
        <v>0</v>
      </c>
    </row>
    <row r="167" spans="1:5" x14ac:dyDescent="0.25">
      <c r="A167" s="688" t="str">
        <f>'Hidden Inputs'!AM119</f>
        <v/>
      </c>
      <c r="B167" s="1551" t="str">
        <f t="shared" si="5"/>
        <v/>
      </c>
      <c r="C167" s="1551"/>
      <c r="D167" s="576">
        <f>(IF(
Tank1!$C$23="Flare",SUMIF(Tank1!$A$32:$A$49,Flare!A167,Tank1!$C$32:$C$49),0))+(
IF(Tank2!$C$23="Flare",SUMIF(Tank2!$A$32:$A$49, Flare!A167,Tank2!$C$32:$C$49),0))+(
IF(Tank3!$C$23="Flare",SUMIF(Tank3!$A$32:$A$49, Flare!A167,Tank3!$C$32:$C$49),0))+(
IF(Tank4!$C$23="Flare",SUMIF(Tank4!$A$32:$A$49, Flare!A167,Tank4!$C$32:$C$49),0))+(
IF(Tank5!$C$23="Flare",SUMIF(Tank5!$A$32:$A$49, Flare!A167,Tank5!$C$32:$C$49),0))+(
IF('Loading-drum,tote'!$C$21="Flare",SUMIF('Loading-drum,tote'!$A$31:$A$48, Flare!A167,'Loading-drum,tote'!$F$31:$F$48),0))+(
IF('Loading-truck'!$C$21="Flare",SUMIF('Loading-truck'!$A$31:$A$48, Flare!A167,'Loading-truck'!$F$31:$F$48),0))+(
IF('Loading-rail'!$C$21="Flare",SUMIF('Loading-rail'!$A$31:$A$48, Flare!A167,'Loading-rail'!$F$31:$F$48),0))</f>
        <v>0</v>
      </c>
      <c r="E167" s="575">
        <f t="shared" si="4"/>
        <v>0</v>
      </c>
    </row>
    <row r="168" spans="1:5" x14ac:dyDescent="0.25">
      <c r="A168" s="688" t="str">
        <f>'Hidden Inputs'!AM120</f>
        <v/>
      </c>
      <c r="B168" s="1551" t="str">
        <f t="shared" si="5"/>
        <v/>
      </c>
      <c r="C168" s="1551"/>
      <c r="D168" s="576">
        <f>(IF(
Tank1!$C$23="Flare",SUMIF(Tank1!$A$32:$A$49,Flare!A168,Tank1!$C$32:$C$49),0))+(
IF(Tank2!$C$23="Flare",SUMIF(Tank2!$A$32:$A$49, Flare!A168,Tank2!$C$32:$C$49),0))+(
IF(Tank3!$C$23="Flare",SUMIF(Tank3!$A$32:$A$49, Flare!A168,Tank3!$C$32:$C$49),0))+(
IF(Tank4!$C$23="Flare",SUMIF(Tank4!$A$32:$A$49, Flare!A168,Tank4!$C$32:$C$49),0))+(
IF(Tank5!$C$23="Flare",SUMIF(Tank5!$A$32:$A$49, Flare!A168,Tank5!$C$32:$C$49),0))+(
IF('Loading-drum,tote'!$C$21="Flare",SUMIF('Loading-drum,tote'!$A$31:$A$48, Flare!A168,'Loading-drum,tote'!$F$31:$F$48),0))+(
IF('Loading-truck'!$C$21="Flare",SUMIF('Loading-truck'!$A$31:$A$48, Flare!A168,'Loading-truck'!$F$31:$F$48),0))+(
IF('Loading-rail'!$C$21="Flare",SUMIF('Loading-rail'!$A$31:$A$48, Flare!A168,'Loading-rail'!$F$31:$F$48),0))</f>
        <v>0</v>
      </c>
      <c r="E168" s="575">
        <f t="shared" si="4"/>
        <v>0</v>
      </c>
    </row>
    <row r="169" spans="1:5" x14ac:dyDescent="0.25">
      <c r="A169" s="688" t="str">
        <f>'Hidden Inputs'!AM121</f>
        <v/>
      </c>
      <c r="B169" s="1551" t="str">
        <f t="shared" si="5"/>
        <v/>
      </c>
      <c r="C169" s="1551"/>
      <c r="D169" s="576">
        <f>(IF(
Tank1!$C$23="Flare",SUMIF(Tank1!$A$32:$A$49,Flare!A169,Tank1!$C$32:$C$49),0))+(
IF(Tank2!$C$23="Flare",SUMIF(Tank2!$A$32:$A$49, Flare!A169,Tank2!$C$32:$C$49),0))+(
IF(Tank3!$C$23="Flare",SUMIF(Tank3!$A$32:$A$49, Flare!A169,Tank3!$C$32:$C$49),0))+(
IF(Tank4!$C$23="Flare",SUMIF(Tank4!$A$32:$A$49, Flare!A169,Tank4!$C$32:$C$49),0))+(
IF(Tank5!$C$23="Flare",SUMIF(Tank5!$A$32:$A$49, Flare!A169,Tank5!$C$32:$C$49),0))+(
IF('Loading-drum,tote'!$C$21="Flare",SUMIF('Loading-drum,tote'!$A$31:$A$48, Flare!A169,'Loading-drum,tote'!$F$31:$F$48),0))+(
IF('Loading-truck'!$C$21="Flare",SUMIF('Loading-truck'!$A$31:$A$48, Flare!A169,'Loading-truck'!$F$31:$F$48),0))+(
IF('Loading-rail'!$C$21="Flare",SUMIF('Loading-rail'!$A$31:$A$48, Flare!A169,'Loading-rail'!$F$31:$F$48),0))</f>
        <v>0</v>
      </c>
      <c r="E169" s="575">
        <f t="shared" si="4"/>
        <v>0</v>
      </c>
    </row>
    <row r="170" spans="1:5" x14ac:dyDescent="0.25">
      <c r="A170" s="688" t="str">
        <f>'Hidden Inputs'!AM122</f>
        <v/>
      </c>
      <c r="B170" s="1551" t="str">
        <f t="shared" si="5"/>
        <v/>
      </c>
      <c r="C170" s="1551"/>
      <c r="D170" s="576">
        <f>(IF(
Tank1!$C$23="Flare",SUMIF(Tank1!$A$32:$A$49,Flare!A170,Tank1!$C$32:$C$49),0))+(
IF(Tank2!$C$23="Flare",SUMIF(Tank2!$A$32:$A$49, Flare!A170,Tank2!$C$32:$C$49),0))+(
IF(Tank3!$C$23="Flare",SUMIF(Tank3!$A$32:$A$49, Flare!A170,Tank3!$C$32:$C$49),0))+(
IF(Tank4!$C$23="Flare",SUMIF(Tank4!$A$32:$A$49, Flare!A170,Tank4!$C$32:$C$49),0))+(
IF(Tank5!$C$23="Flare",SUMIF(Tank5!$A$32:$A$49, Flare!A170,Tank5!$C$32:$C$49),0))+(
IF('Loading-drum,tote'!$C$21="Flare",SUMIF('Loading-drum,tote'!$A$31:$A$48, Flare!A170,'Loading-drum,tote'!$F$31:$F$48),0))+(
IF('Loading-truck'!$C$21="Flare",SUMIF('Loading-truck'!$A$31:$A$48, Flare!A170,'Loading-truck'!$F$31:$F$48),0))+(
IF('Loading-rail'!$C$21="Flare",SUMIF('Loading-rail'!$A$31:$A$48, Flare!A170,'Loading-rail'!$F$31:$F$48),0))</f>
        <v>0</v>
      </c>
      <c r="E170" s="575">
        <f t="shared" si="4"/>
        <v>0</v>
      </c>
    </row>
    <row r="171" spans="1:5" x14ac:dyDescent="0.25">
      <c r="A171" s="688" t="str">
        <f>'Hidden Inputs'!AM123</f>
        <v/>
      </c>
      <c r="B171" s="1551" t="str">
        <f t="shared" si="5"/>
        <v/>
      </c>
      <c r="C171" s="1551"/>
      <c r="D171" s="576">
        <f>(IF(
Tank1!$C$23="Flare",SUMIF(Tank1!$A$32:$A$49,Flare!A171,Tank1!$C$32:$C$49),0))+(
IF(Tank2!$C$23="Flare",SUMIF(Tank2!$A$32:$A$49, Flare!A171,Tank2!$C$32:$C$49),0))+(
IF(Tank3!$C$23="Flare",SUMIF(Tank3!$A$32:$A$49, Flare!A171,Tank3!$C$32:$C$49),0))+(
IF(Tank4!$C$23="Flare",SUMIF(Tank4!$A$32:$A$49, Flare!A171,Tank4!$C$32:$C$49),0))+(
IF(Tank5!$C$23="Flare",SUMIF(Tank5!$A$32:$A$49, Flare!A171,Tank5!$C$32:$C$49),0))+(
IF('Loading-drum,tote'!$C$21="Flare",SUMIF('Loading-drum,tote'!$A$31:$A$48, Flare!A171,'Loading-drum,tote'!$F$31:$F$48),0))+(
IF('Loading-truck'!$C$21="Flare",SUMIF('Loading-truck'!$A$31:$A$48, Flare!A171,'Loading-truck'!$F$31:$F$48),0))+(
IF('Loading-rail'!$C$21="Flare",SUMIF('Loading-rail'!$A$31:$A$48, Flare!A171,'Loading-rail'!$F$31:$F$48),0))</f>
        <v>0</v>
      </c>
      <c r="E171" s="575">
        <f t="shared" si="4"/>
        <v>0</v>
      </c>
    </row>
    <row r="172" spans="1:5" x14ac:dyDescent="0.25">
      <c r="A172" s="688" t="str">
        <f>'Hidden Inputs'!AM124</f>
        <v/>
      </c>
      <c r="B172" s="1551" t="str">
        <f t="shared" si="5"/>
        <v/>
      </c>
      <c r="C172" s="1551"/>
      <c r="D172" s="576">
        <f>(IF(
Tank1!$C$23="Flare",SUMIF(Tank1!$A$32:$A$49,Flare!A172,Tank1!$C$32:$C$49),0))+(
IF(Tank2!$C$23="Flare",SUMIF(Tank2!$A$32:$A$49, Flare!A172,Tank2!$C$32:$C$49),0))+(
IF(Tank3!$C$23="Flare",SUMIF(Tank3!$A$32:$A$49, Flare!A172,Tank3!$C$32:$C$49),0))+(
IF(Tank4!$C$23="Flare",SUMIF(Tank4!$A$32:$A$49, Flare!A172,Tank4!$C$32:$C$49),0))+(
IF(Tank5!$C$23="Flare",SUMIF(Tank5!$A$32:$A$49, Flare!A172,Tank5!$C$32:$C$49),0))+(
IF('Loading-drum,tote'!$C$21="Flare",SUMIF('Loading-drum,tote'!$A$31:$A$48, Flare!A172,'Loading-drum,tote'!$F$31:$F$48),0))+(
IF('Loading-truck'!$C$21="Flare",SUMIF('Loading-truck'!$A$31:$A$48, Flare!A172,'Loading-truck'!$F$31:$F$48),0))+(
IF('Loading-rail'!$C$21="Flare",SUMIF('Loading-rail'!$A$31:$A$48, Flare!A172,'Loading-rail'!$F$31:$F$48),0))</f>
        <v>0</v>
      </c>
      <c r="E172" s="575">
        <f t="shared" si="4"/>
        <v>0</v>
      </c>
    </row>
    <row r="173" spans="1:5" x14ac:dyDescent="0.25">
      <c r="A173" s="688" t="str">
        <f>'Hidden Inputs'!AM125</f>
        <v/>
      </c>
      <c r="B173" s="1551" t="str">
        <f t="shared" si="5"/>
        <v/>
      </c>
      <c r="C173" s="1551"/>
      <c r="D173" s="576">
        <f>(IF(
Tank1!$C$23="Flare",SUMIF(Tank1!$A$32:$A$49,Flare!A173,Tank1!$C$32:$C$49),0))+(
IF(Tank2!$C$23="Flare",SUMIF(Tank2!$A$32:$A$49, Flare!A173,Tank2!$C$32:$C$49),0))+(
IF(Tank3!$C$23="Flare",SUMIF(Tank3!$A$32:$A$49, Flare!A173,Tank3!$C$32:$C$49),0))+(
IF(Tank4!$C$23="Flare",SUMIF(Tank4!$A$32:$A$49, Flare!A173,Tank4!$C$32:$C$49),0))+(
IF(Tank5!$C$23="Flare",SUMIF(Tank5!$A$32:$A$49, Flare!A173,Tank5!$C$32:$C$49),0))+(
IF('Loading-drum,tote'!$C$21="Flare",SUMIF('Loading-drum,tote'!$A$31:$A$48, Flare!A173,'Loading-drum,tote'!$F$31:$F$48),0))+(
IF('Loading-truck'!$C$21="Flare",SUMIF('Loading-truck'!$A$31:$A$48, Flare!A173,'Loading-truck'!$F$31:$F$48),0))+(
IF('Loading-rail'!$C$21="Flare",SUMIF('Loading-rail'!$A$31:$A$48, Flare!A173,'Loading-rail'!$F$31:$F$48),0))</f>
        <v>0</v>
      </c>
      <c r="E173" s="575">
        <f t="shared" si="4"/>
        <v>0</v>
      </c>
    </row>
    <row r="174" spans="1:5" x14ac:dyDescent="0.25">
      <c r="A174" s="688" t="str">
        <f>'Hidden Inputs'!AM126</f>
        <v/>
      </c>
      <c r="B174" s="1551" t="str">
        <f t="shared" si="5"/>
        <v/>
      </c>
      <c r="C174" s="1551"/>
      <c r="D174" s="576">
        <f>(IF(
Tank1!$C$23="Flare",SUMIF(Tank1!$A$32:$A$49,Flare!A174,Tank1!$C$32:$C$49),0))+(
IF(Tank2!$C$23="Flare",SUMIF(Tank2!$A$32:$A$49, Flare!A174,Tank2!$C$32:$C$49),0))+(
IF(Tank3!$C$23="Flare",SUMIF(Tank3!$A$32:$A$49, Flare!A174,Tank3!$C$32:$C$49),0))+(
IF(Tank4!$C$23="Flare",SUMIF(Tank4!$A$32:$A$49, Flare!A174,Tank4!$C$32:$C$49),0))+(
IF(Tank5!$C$23="Flare",SUMIF(Tank5!$A$32:$A$49, Flare!A174,Tank5!$C$32:$C$49),0))+(
IF('Loading-drum,tote'!$C$21="Flare",SUMIF('Loading-drum,tote'!$A$31:$A$48, Flare!A174,'Loading-drum,tote'!$F$31:$F$48),0))+(
IF('Loading-truck'!$C$21="Flare",SUMIF('Loading-truck'!$A$31:$A$48, Flare!A174,'Loading-truck'!$F$31:$F$48),0))+(
IF('Loading-rail'!$C$21="Flare",SUMIF('Loading-rail'!$A$31:$A$48, Flare!A174,'Loading-rail'!$F$31:$F$48),0))</f>
        <v>0</v>
      </c>
      <c r="E174" s="575">
        <f t="shared" si="4"/>
        <v>0</v>
      </c>
    </row>
    <row r="175" spans="1:5" x14ac:dyDescent="0.25">
      <c r="A175" s="688" t="str">
        <f>'Hidden Inputs'!AM127</f>
        <v/>
      </c>
      <c r="B175" s="1551" t="str">
        <f t="shared" si="5"/>
        <v/>
      </c>
      <c r="C175" s="1551"/>
      <c r="D175" s="576">
        <f>(IF(
Tank1!$C$23="Flare",SUMIF(Tank1!$A$32:$A$49,Flare!A175,Tank1!$C$32:$C$49),0))+(
IF(Tank2!$C$23="Flare",SUMIF(Tank2!$A$32:$A$49, Flare!A175,Tank2!$C$32:$C$49),0))+(
IF(Tank3!$C$23="Flare",SUMIF(Tank3!$A$32:$A$49, Flare!A175,Tank3!$C$32:$C$49),0))+(
IF(Tank4!$C$23="Flare",SUMIF(Tank4!$A$32:$A$49, Flare!A175,Tank4!$C$32:$C$49),0))+(
IF(Tank5!$C$23="Flare",SUMIF(Tank5!$A$32:$A$49, Flare!A175,Tank5!$C$32:$C$49),0))+(
IF('Loading-drum,tote'!$C$21="Flare",SUMIF('Loading-drum,tote'!$A$31:$A$48, Flare!A175,'Loading-drum,tote'!$F$31:$F$48),0))+(
IF('Loading-truck'!$C$21="Flare",SUMIF('Loading-truck'!$A$31:$A$48, Flare!A175,'Loading-truck'!$F$31:$F$48),0))+(
IF('Loading-rail'!$C$21="Flare",SUMIF('Loading-rail'!$A$31:$A$48, Flare!A175,'Loading-rail'!$F$31:$F$48),0))</f>
        <v>0</v>
      </c>
      <c r="E175" s="575">
        <f t="shared" si="4"/>
        <v>0</v>
      </c>
    </row>
    <row r="176" spans="1:5" x14ac:dyDescent="0.25">
      <c r="A176" s="688" t="str">
        <f>'Hidden Inputs'!AM128</f>
        <v/>
      </c>
      <c r="B176" s="1551" t="str">
        <f t="shared" si="5"/>
        <v/>
      </c>
      <c r="C176" s="1551"/>
      <c r="D176" s="576">
        <f>(IF(
Tank1!$C$23="Flare",SUMIF(Tank1!$A$32:$A$49,Flare!A176,Tank1!$C$32:$C$49),0))+(
IF(Tank2!$C$23="Flare",SUMIF(Tank2!$A$32:$A$49, Flare!A176,Tank2!$C$32:$C$49),0))+(
IF(Tank3!$C$23="Flare",SUMIF(Tank3!$A$32:$A$49, Flare!A176,Tank3!$C$32:$C$49),0))+(
IF(Tank4!$C$23="Flare",SUMIF(Tank4!$A$32:$A$49, Flare!A176,Tank4!$C$32:$C$49),0))+(
IF(Tank5!$C$23="Flare",SUMIF(Tank5!$A$32:$A$49, Flare!A176,Tank5!$C$32:$C$49),0))+(
IF('Loading-drum,tote'!$C$21="Flare",SUMIF('Loading-drum,tote'!$A$31:$A$48, Flare!A176,'Loading-drum,tote'!$F$31:$F$48),0))+(
IF('Loading-truck'!$C$21="Flare",SUMIF('Loading-truck'!$A$31:$A$48, Flare!A176,'Loading-truck'!$F$31:$F$48),0))+(
IF('Loading-rail'!$C$21="Flare",SUMIF('Loading-rail'!$A$31:$A$48, Flare!A176,'Loading-rail'!$F$31:$F$48),0))</f>
        <v>0</v>
      </c>
      <c r="E176" s="575">
        <f t="shared" si="4"/>
        <v>0</v>
      </c>
    </row>
    <row r="177" spans="1:5" x14ac:dyDescent="0.25">
      <c r="A177" s="688" t="str">
        <f>'Hidden Inputs'!AM129</f>
        <v/>
      </c>
      <c r="B177" s="1551" t="str">
        <f t="shared" si="5"/>
        <v/>
      </c>
      <c r="C177" s="1551"/>
      <c r="D177" s="576">
        <f>(IF(
Tank1!$C$23="Flare",SUMIF(Tank1!$A$32:$A$49,Flare!A177,Tank1!$C$32:$C$49),0))+(
IF(Tank2!$C$23="Flare",SUMIF(Tank2!$A$32:$A$49, Flare!A177,Tank2!$C$32:$C$49),0))+(
IF(Tank3!$C$23="Flare",SUMIF(Tank3!$A$32:$A$49, Flare!A177,Tank3!$C$32:$C$49),0))+(
IF(Tank4!$C$23="Flare",SUMIF(Tank4!$A$32:$A$49, Flare!A177,Tank4!$C$32:$C$49),0))+(
IF(Tank5!$C$23="Flare",SUMIF(Tank5!$A$32:$A$49, Flare!A177,Tank5!$C$32:$C$49),0))+(
IF('Loading-drum,tote'!$C$21="Flare",SUMIF('Loading-drum,tote'!$A$31:$A$48, Flare!A177,'Loading-drum,tote'!$F$31:$F$48),0))+(
IF('Loading-truck'!$C$21="Flare",SUMIF('Loading-truck'!$A$31:$A$48, Flare!A177,'Loading-truck'!$F$31:$F$48),0))+(
IF('Loading-rail'!$C$21="Flare",SUMIF('Loading-rail'!$A$31:$A$48, Flare!A177,'Loading-rail'!$F$31:$F$48),0))</f>
        <v>0</v>
      </c>
      <c r="E177" s="575">
        <f t="shared" si="4"/>
        <v>0</v>
      </c>
    </row>
    <row r="178" spans="1:5" x14ac:dyDescent="0.25">
      <c r="A178" s="688" t="str">
        <f>'Hidden Inputs'!AM130</f>
        <v/>
      </c>
      <c r="B178" s="1551" t="str">
        <f t="shared" ref="B178:B185" si="6">IFERROR(VLOOKUP(A178, SpeciesDataTable,2,FALSE),"")</f>
        <v/>
      </c>
      <c r="C178" s="1551"/>
      <c r="D178" s="576">
        <f>(IF(
Tank1!$C$23="Flare",SUMIF(Tank1!$A$32:$A$49,Flare!A178,Tank1!$C$32:$C$49),0))+(
IF(Tank2!$C$23="Flare",SUMIF(Tank2!$A$32:$A$49, Flare!A178,Tank2!$C$32:$C$49),0))+(
IF(Tank3!$C$23="Flare",SUMIF(Tank3!$A$32:$A$49, Flare!A178,Tank3!$C$32:$C$49),0))+(
IF(Tank4!$C$23="Flare",SUMIF(Tank4!$A$32:$A$49, Flare!A178,Tank4!$C$32:$C$49),0))+(
IF(Tank5!$C$23="Flare",SUMIF(Tank5!$A$32:$A$49, Flare!A178,Tank5!$C$32:$C$49),0))+(
IF('Loading-drum,tote'!$C$21="Flare",SUMIF('Loading-drum,tote'!$A$31:$A$48, Flare!A178,'Loading-drum,tote'!$F$31:$F$48),0))+(
IF('Loading-truck'!$C$21="Flare",SUMIF('Loading-truck'!$A$31:$A$48, Flare!A178,'Loading-truck'!$F$31:$F$48),0))+(
IF('Loading-rail'!$C$21="Flare",SUMIF('Loading-rail'!$A$31:$A$48, Flare!A178,'Loading-rail'!$F$31:$F$48),0))</f>
        <v>0</v>
      </c>
      <c r="E178" s="575">
        <f t="shared" si="4"/>
        <v>0</v>
      </c>
    </row>
    <row r="179" spans="1:5" x14ac:dyDescent="0.25">
      <c r="A179" s="688" t="str">
        <f>'Hidden Inputs'!AM131</f>
        <v/>
      </c>
      <c r="B179" s="1551" t="str">
        <f t="shared" si="6"/>
        <v/>
      </c>
      <c r="C179" s="1551"/>
      <c r="D179" s="576">
        <f>(IF(
Tank1!$C$23="Flare",SUMIF(Tank1!$A$32:$A$49,Flare!A179,Tank1!$C$32:$C$49),0))+(
IF(Tank2!$C$23="Flare",SUMIF(Tank2!$A$32:$A$49, Flare!A179,Tank2!$C$32:$C$49),0))+(
IF(Tank3!$C$23="Flare",SUMIF(Tank3!$A$32:$A$49, Flare!A179,Tank3!$C$32:$C$49),0))+(
IF(Tank4!$C$23="Flare",SUMIF(Tank4!$A$32:$A$49, Flare!A179,Tank4!$C$32:$C$49),0))+(
IF(Tank5!$C$23="Flare",SUMIF(Tank5!$A$32:$A$49, Flare!A179,Tank5!$C$32:$C$49),0))+(
IF('Loading-drum,tote'!$C$21="Flare",SUMIF('Loading-drum,tote'!$A$31:$A$48, Flare!A179,'Loading-drum,tote'!$F$31:$F$48),0))+(
IF('Loading-truck'!$C$21="Flare",SUMIF('Loading-truck'!$A$31:$A$48, Flare!A179,'Loading-truck'!$F$31:$F$48),0))+(
IF('Loading-rail'!$C$21="Flare",SUMIF('Loading-rail'!$A$31:$A$48, Flare!A179,'Loading-rail'!$F$31:$F$48),0))</f>
        <v>0</v>
      </c>
      <c r="E179" s="575">
        <f t="shared" ref="E179:E185" si="7">IF(OR(B179="ammonia",B179="hydrogen sulfide"),D179,D179*(1-0.98))</f>
        <v>0</v>
      </c>
    </row>
    <row r="180" spans="1:5" x14ac:dyDescent="0.25">
      <c r="A180" s="688" t="str">
        <f>'Hidden Inputs'!AM132</f>
        <v/>
      </c>
      <c r="B180" s="1551" t="str">
        <f t="shared" si="6"/>
        <v/>
      </c>
      <c r="C180" s="1551"/>
      <c r="D180" s="576">
        <f>(IF(
Tank1!$C$23="Flare",SUMIF(Tank1!$A$32:$A$49,Flare!A180,Tank1!$C$32:$C$49),0))+(
IF(Tank2!$C$23="Flare",SUMIF(Tank2!$A$32:$A$49, Flare!A180,Tank2!$C$32:$C$49),0))+(
IF(Tank3!$C$23="Flare",SUMIF(Tank3!$A$32:$A$49, Flare!A180,Tank3!$C$32:$C$49),0))+(
IF(Tank4!$C$23="Flare",SUMIF(Tank4!$A$32:$A$49, Flare!A180,Tank4!$C$32:$C$49),0))+(
IF(Tank5!$C$23="Flare",SUMIF(Tank5!$A$32:$A$49, Flare!A180,Tank5!$C$32:$C$49),0))+(
IF('Loading-drum,tote'!$C$21="Flare",SUMIF('Loading-drum,tote'!$A$31:$A$48, Flare!A180,'Loading-drum,tote'!$F$31:$F$48),0))+(
IF('Loading-truck'!$C$21="Flare",SUMIF('Loading-truck'!$A$31:$A$48, Flare!A180,'Loading-truck'!$F$31:$F$48),0))+(
IF('Loading-rail'!$C$21="Flare",SUMIF('Loading-rail'!$A$31:$A$48, Flare!A180,'Loading-rail'!$F$31:$F$48),0))</f>
        <v>0</v>
      </c>
      <c r="E180" s="575">
        <f t="shared" si="7"/>
        <v>0</v>
      </c>
    </row>
    <row r="181" spans="1:5" x14ac:dyDescent="0.25">
      <c r="A181" s="688" t="str">
        <f>'Hidden Inputs'!AM133</f>
        <v/>
      </c>
      <c r="B181" s="1551" t="str">
        <f t="shared" si="6"/>
        <v/>
      </c>
      <c r="C181" s="1551"/>
      <c r="D181" s="576">
        <f>(IF(
Tank1!$C$23="Flare",SUMIF(Tank1!$A$32:$A$49,Flare!A181,Tank1!$C$32:$C$49),0))+(
IF(Tank2!$C$23="Flare",SUMIF(Tank2!$A$32:$A$49, Flare!A181,Tank2!$C$32:$C$49),0))+(
IF(Tank3!$C$23="Flare",SUMIF(Tank3!$A$32:$A$49, Flare!A181,Tank3!$C$32:$C$49),0))+(
IF(Tank4!$C$23="Flare",SUMIF(Tank4!$A$32:$A$49, Flare!A181,Tank4!$C$32:$C$49),0))+(
IF(Tank5!$C$23="Flare",SUMIF(Tank5!$A$32:$A$49, Flare!A181,Tank5!$C$32:$C$49),0))+(
IF('Loading-drum,tote'!$C$21="Flare",SUMIF('Loading-drum,tote'!$A$31:$A$48, Flare!A181,'Loading-drum,tote'!$F$31:$F$48),0))+(
IF('Loading-truck'!$C$21="Flare",SUMIF('Loading-truck'!$A$31:$A$48, Flare!A181,'Loading-truck'!$F$31:$F$48),0))+(
IF('Loading-rail'!$C$21="Flare",SUMIF('Loading-rail'!$A$31:$A$48, Flare!A181,'Loading-rail'!$F$31:$F$48),0))</f>
        <v>0</v>
      </c>
      <c r="E181" s="575">
        <f t="shared" si="7"/>
        <v>0</v>
      </c>
    </row>
    <row r="182" spans="1:5" x14ac:dyDescent="0.25">
      <c r="A182" s="688" t="str">
        <f>'Hidden Inputs'!AM134</f>
        <v/>
      </c>
      <c r="B182" s="1551" t="str">
        <f t="shared" si="6"/>
        <v/>
      </c>
      <c r="C182" s="1551"/>
      <c r="D182" s="576">
        <f>(IF(
Tank1!$C$23="Flare",SUMIF(Tank1!$A$32:$A$49,Flare!A182,Tank1!$C$32:$C$49),0))+(
IF(Tank2!$C$23="Flare",SUMIF(Tank2!$A$32:$A$49, Flare!A182,Tank2!$C$32:$C$49),0))+(
IF(Tank3!$C$23="Flare",SUMIF(Tank3!$A$32:$A$49, Flare!A182,Tank3!$C$32:$C$49),0))+(
IF(Tank4!$C$23="Flare",SUMIF(Tank4!$A$32:$A$49, Flare!A182,Tank4!$C$32:$C$49),0))+(
IF(Tank5!$C$23="Flare",SUMIF(Tank5!$A$32:$A$49, Flare!A182,Tank5!$C$32:$C$49),0))+(
IF('Loading-drum,tote'!$C$21="Flare",SUMIF('Loading-drum,tote'!$A$31:$A$48, Flare!A182,'Loading-drum,tote'!$F$31:$F$48),0))+(
IF('Loading-truck'!$C$21="Flare",SUMIF('Loading-truck'!$A$31:$A$48, Flare!A182,'Loading-truck'!$F$31:$F$48),0))+(
IF('Loading-rail'!$C$21="Flare",SUMIF('Loading-rail'!$A$31:$A$48, Flare!A182,'Loading-rail'!$F$31:$F$48),0))</f>
        <v>0</v>
      </c>
      <c r="E182" s="575">
        <f t="shared" si="7"/>
        <v>0</v>
      </c>
    </row>
    <row r="183" spans="1:5" x14ac:dyDescent="0.25">
      <c r="A183" s="688" t="str">
        <f>'Hidden Inputs'!AM135</f>
        <v/>
      </c>
      <c r="B183" s="1551" t="str">
        <f t="shared" si="6"/>
        <v/>
      </c>
      <c r="C183" s="1551"/>
      <c r="D183" s="576">
        <f>(IF(
Tank1!$C$23="Flare",SUMIF(Tank1!$A$32:$A$49,Flare!A183,Tank1!$C$32:$C$49),0))+(
IF(Tank2!$C$23="Flare",SUMIF(Tank2!$A$32:$A$49, Flare!A183,Tank2!$C$32:$C$49),0))+(
IF(Tank3!$C$23="Flare",SUMIF(Tank3!$A$32:$A$49, Flare!A183,Tank3!$C$32:$C$49),0))+(
IF(Tank4!$C$23="Flare",SUMIF(Tank4!$A$32:$A$49, Flare!A183,Tank4!$C$32:$C$49),0))+(
IF(Tank5!$C$23="Flare",SUMIF(Tank5!$A$32:$A$49, Flare!A183,Tank5!$C$32:$C$49),0))+(
IF('Loading-drum,tote'!$C$21="Flare",SUMIF('Loading-drum,tote'!$A$31:$A$48, Flare!A183,'Loading-drum,tote'!$F$31:$F$48),0))+(
IF('Loading-truck'!$C$21="Flare",SUMIF('Loading-truck'!$A$31:$A$48, Flare!A183,'Loading-truck'!$F$31:$F$48),0))+(
IF('Loading-rail'!$C$21="Flare",SUMIF('Loading-rail'!$A$31:$A$48, Flare!A183,'Loading-rail'!$F$31:$F$48),0))</f>
        <v>0</v>
      </c>
      <c r="E183" s="575">
        <f t="shared" si="7"/>
        <v>0</v>
      </c>
    </row>
    <row r="184" spans="1:5" x14ac:dyDescent="0.25">
      <c r="A184" s="688" t="str">
        <f>'Hidden Inputs'!AM136</f>
        <v/>
      </c>
      <c r="B184" s="1551" t="str">
        <f t="shared" si="6"/>
        <v/>
      </c>
      <c r="C184" s="1551"/>
      <c r="D184" s="576">
        <f>(IF(
Tank1!$C$23="Flare",SUMIF(Tank1!$A$32:$A$49,Flare!A184,Tank1!$C$32:$C$49),0))+(
IF(Tank2!$C$23="Flare",SUMIF(Tank2!$A$32:$A$49, Flare!A184,Tank2!$C$32:$C$49),0))+(
IF(Tank3!$C$23="Flare",SUMIF(Tank3!$A$32:$A$49, Flare!A184,Tank3!$C$32:$C$49),0))+(
IF(Tank4!$C$23="Flare",SUMIF(Tank4!$A$32:$A$49, Flare!A184,Tank4!$C$32:$C$49),0))+(
IF(Tank5!$C$23="Flare",SUMIF(Tank5!$A$32:$A$49, Flare!A184,Tank5!$C$32:$C$49),0))+(
IF('Loading-drum,tote'!$C$21="Flare",SUMIF('Loading-drum,tote'!$A$31:$A$48, Flare!A184,'Loading-drum,tote'!$F$31:$F$48),0))+(
IF('Loading-truck'!$C$21="Flare",SUMIF('Loading-truck'!$A$31:$A$48, Flare!A184,'Loading-truck'!$F$31:$F$48),0))+(
IF('Loading-rail'!$C$21="Flare",SUMIF('Loading-rail'!$A$31:$A$48, Flare!A184,'Loading-rail'!$F$31:$F$48),0))</f>
        <v>0</v>
      </c>
      <c r="E184" s="575">
        <f t="shared" si="7"/>
        <v>0</v>
      </c>
    </row>
    <row r="185" spans="1:5" ht="15" thickBot="1" x14ac:dyDescent="0.3">
      <c r="A185" s="721" t="str">
        <f>'Hidden Inputs'!AM137</f>
        <v/>
      </c>
      <c r="B185" s="1560" t="str">
        <f t="shared" si="6"/>
        <v/>
      </c>
      <c r="C185" s="1560"/>
      <c r="D185" s="722">
        <f>(IF(
Tank1!$C$23="Flare",SUMIF(Tank1!$A$32:$A$49,Flare!A185,Tank1!$C$32:$C$49),0))+(
IF(Tank2!$C$23="Flare",SUMIF(Tank2!$A$32:$A$49, Flare!A185,Tank2!$C$32:$C$49),0))+(
IF(Tank3!$C$23="Flare",SUMIF(Tank3!$A$32:$A$49, Flare!A185,Tank3!$C$32:$C$49),0))+(
IF(Tank4!$C$23="Flare",SUMIF(Tank4!$A$32:$A$49, Flare!A185,Tank4!$C$32:$C$49),0))+(
IF(Tank5!$C$23="Flare",SUMIF(Tank5!$A$32:$A$49, Flare!A185,Tank5!$C$32:$C$49),0))+(
IF('Loading-drum,tote'!$C$21="Flare",SUMIF('Loading-drum,tote'!$A$31:$A$48, Flare!A185,'Loading-drum,tote'!$F$31:$F$48),0))+(
IF('Loading-truck'!$C$21="Flare",SUMIF('Loading-truck'!$A$31:$A$48, Flare!A185,'Loading-truck'!$F$31:$F$48),0))+(
IF('Loading-rail'!$C$21="Flare",SUMIF('Loading-rail'!$A$31:$A$48, Flare!A185,'Loading-rail'!$F$31:$F$48),0))</f>
        <v>0</v>
      </c>
      <c r="E185" s="723">
        <f t="shared" si="7"/>
        <v>0</v>
      </c>
    </row>
    <row r="186" spans="1:5" x14ac:dyDescent="0.25">
      <c r="A186" s="1559" t="s">
        <v>8643</v>
      </c>
      <c r="B186" s="1559"/>
      <c r="C186" s="1559"/>
      <c r="D186" s="1559"/>
      <c r="E186" s="1559"/>
    </row>
  </sheetData>
  <sheetProtection algorithmName="SHA-512" hashValue="Tx6CAuPPYqy7/G/qYRYQZ+K0+uva1otprH4FLR0ygXlU/r1rq/q9P9tKM0wa7xmPvHa4cSmSW8SkZymyciGRQg==" saltValue="0TJsgPV64VMeOWpWubNwYw==" spinCount="100000" sheet="1" objects="1" scenarios="1" formatColumns="0" formatRows="0" autoFilter="0"/>
  <mergeCells count="221">
    <mergeCell ref="C11:E11"/>
    <mergeCell ref="A1:E1"/>
    <mergeCell ref="A2:E2"/>
    <mergeCell ref="A3:E3"/>
    <mergeCell ref="A4:E4"/>
    <mergeCell ref="A5:E5"/>
    <mergeCell ref="D32:E32"/>
    <mergeCell ref="D33:E33"/>
    <mergeCell ref="D34:E34"/>
    <mergeCell ref="A33:B33"/>
    <mergeCell ref="A11:B11"/>
    <mergeCell ref="A17:B17"/>
    <mergeCell ref="A9:B9"/>
    <mergeCell ref="A10:B10"/>
    <mergeCell ref="A8:B8"/>
    <mergeCell ref="A7:B7"/>
    <mergeCell ref="A6:B6"/>
    <mergeCell ref="C6:E6"/>
    <mergeCell ref="C7:E7"/>
    <mergeCell ref="C8:E8"/>
    <mergeCell ref="C9:E9"/>
    <mergeCell ref="C10:E10"/>
    <mergeCell ref="A18:B18"/>
    <mergeCell ref="A12:E12"/>
    <mergeCell ref="A13:E13"/>
    <mergeCell ref="D23:E23"/>
    <mergeCell ref="D24:E24"/>
    <mergeCell ref="D26:E26"/>
    <mergeCell ref="D27:E27"/>
    <mergeCell ref="D28:E28"/>
    <mergeCell ref="D29:E29"/>
    <mergeCell ref="D14:E14"/>
    <mergeCell ref="D15:E15"/>
    <mergeCell ref="D16:E16"/>
    <mergeCell ref="D17:E17"/>
    <mergeCell ref="D18:E18"/>
    <mergeCell ref="D19:E19"/>
    <mergeCell ref="D20:E20"/>
    <mergeCell ref="D21:E21"/>
    <mergeCell ref="D22:E22"/>
    <mergeCell ref="A27:B27"/>
    <mergeCell ref="A26:B26"/>
    <mergeCell ref="A29:B29"/>
    <mergeCell ref="A21:B21"/>
    <mergeCell ref="A23:B23"/>
    <mergeCell ref="A25:B25"/>
    <mergeCell ref="D25:E25"/>
    <mergeCell ref="B161:C161"/>
    <mergeCell ref="B181:C181"/>
    <mergeCell ref="B182:C182"/>
    <mergeCell ref="B183:C183"/>
    <mergeCell ref="B184:C184"/>
    <mergeCell ref="B185:C185"/>
    <mergeCell ref="B162:C162"/>
    <mergeCell ref="B163:C163"/>
    <mergeCell ref="B164:C164"/>
    <mergeCell ref="B165:C165"/>
    <mergeCell ref="B166:C166"/>
    <mergeCell ref="B167:C167"/>
    <mergeCell ref="B168:C168"/>
    <mergeCell ref="B169:C169"/>
    <mergeCell ref="B170:C170"/>
    <mergeCell ref="B180:C180"/>
    <mergeCell ref="B172:C172"/>
    <mergeCell ref="B173:C173"/>
    <mergeCell ref="B174:C174"/>
    <mergeCell ref="B171:C171"/>
    <mergeCell ref="B176:C176"/>
    <mergeCell ref="B177:C177"/>
    <mergeCell ref="B178:C178"/>
    <mergeCell ref="B179:C179"/>
    <mergeCell ref="B126:C126"/>
    <mergeCell ref="B123:C123"/>
    <mergeCell ref="B159:C159"/>
    <mergeCell ref="B160:C160"/>
    <mergeCell ref="B143:C143"/>
    <mergeCell ref="B144:C144"/>
    <mergeCell ref="B145:C145"/>
    <mergeCell ref="B146:C146"/>
    <mergeCell ref="B147:C147"/>
    <mergeCell ref="B148:C148"/>
    <mergeCell ref="B149:C149"/>
    <mergeCell ref="B150:C150"/>
    <mergeCell ref="B151:C151"/>
    <mergeCell ref="B152:C152"/>
    <mergeCell ref="B153:C153"/>
    <mergeCell ref="B154:C154"/>
    <mergeCell ref="B155:C155"/>
    <mergeCell ref="B156:C156"/>
    <mergeCell ref="B157:C157"/>
    <mergeCell ref="B158:C158"/>
    <mergeCell ref="B139:C139"/>
    <mergeCell ref="B140:C140"/>
    <mergeCell ref="B141:C141"/>
    <mergeCell ref="B142:C142"/>
    <mergeCell ref="B127:C127"/>
    <mergeCell ref="B128:C128"/>
    <mergeCell ref="B129:C129"/>
    <mergeCell ref="B130:C130"/>
    <mergeCell ref="B131:C131"/>
    <mergeCell ref="B132:C132"/>
    <mergeCell ref="B133:C133"/>
    <mergeCell ref="B134:C134"/>
    <mergeCell ref="B138:C138"/>
    <mergeCell ref="B135:C135"/>
    <mergeCell ref="B136:C136"/>
    <mergeCell ref="B137:C137"/>
    <mergeCell ref="B122:C122"/>
    <mergeCell ref="B90:C90"/>
    <mergeCell ref="B91:C91"/>
    <mergeCell ref="B111:C111"/>
    <mergeCell ref="B112:C112"/>
    <mergeCell ref="B113:C113"/>
    <mergeCell ref="B88:C88"/>
    <mergeCell ref="B89:C89"/>
    <mergeCell ref="B105:C105"/>
    <mergeCell ref="B106:C106"/>
    <mergeCell ref="B107:C107"/>
    <mergeCell ref="B108:C108"/>
    <mergeCell ref="B109:C109"/>
    <mergeCell ref="B116:C116"/>
    <mergeCell ref="B117:C117"/>
    <mergeCell ref="B118:C118"/>
    <mergeCell ref="B119:C119"/>
    <mergeCell ref="B114:C114"/>
    <mergeCell ref="B115:C115"/>
    <mergeCell ref="B120:C120"/>
    <mergeCell ref="B121:C121"/>
    <mergeCell ref="A186:E186"/>
    <mergeCell ref="A19:B19"/>
    <mergeCell ref="A20:B20"/>
    <mergeCell ref="A24:B24"/>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54:C54"/>
    <mergeCell ref="B55:C55"/>
    <mergeCell ref="B124:C124"/>
    <mergeCell ref="B125:C125"/>
    <mergeCell ref="B110:C110"/>
    <mergeCell ref="B175:C175"/>
    <mergeCell ref="B48:C48"/>
    <mergeCell ref="B45:C45"/>
    <mergeCell ref="B87:C87"/>
    <mergeCell ref="B64:C64"/>
    <mergeCell ref="B65:C65"/>
    <mergeCell ref="B66:C66"/>
    <mergeCell ref="B49:C49"/>
    <mergeCell ref="B50:C50"/>
    <mergeCell ref="B51:C51"/>
    <mergeCell ref="B52:C52"/>
    <mergeCell ref="B53:C53"/>
    <mergeCell ref="B67:C67"/>
    <mergeCell ref="B68:C68"/>
    <mergeCell ref="B80:C80"/>
    <mergeCell ref="B81:C81"/>
    <mergeCell ref="B82:C82"/>
    <mergeCell ref="B86:C86"/>
    <mergeCell ref="B58:C58"/>
    <mergeCell ref="B59:C59"/>
    <mergeCell ref="B60:C60"/>
    <mergeCell ref="B61:C61"/>
    <mergeCell ref="B62:C62"/>
    <mergeCell ref="A36:B36"/>
    <mergeCell ref="B83:C83"/>
    <mergeCell ref="B84:C84"/>
    <mergeCell ref="B85:C85"/>
    <mergeCell ref="B63:C63"/>
    <mergeCell ref="B69:C69"/>
    <mergeCell ref="B70:C70"/>
    <mergeCell ref="B71:C71"/>
    <mergeCell ref="B72:C72"/>
    <mergeCell ref="B73:C73"/>
    <mergeCell ref="B74:C74"/>
    <mergeCell ref="B75:C75"/>
    <mergeCell ref="B76:C76"/>
    <mergeCell ref="B77:C77"/>
    <mergeCell ref="B78:C78"/>
    <mergeCell ref="B79:C79"/>
    <mergeCell ref="B46:C46"/>
    <mergeCell ref="A43:E43"/>
    <mergeCell ref="C39:E39"/>
    <mergeCell ref="B47:C47"/>
    <mergeCell ref="B56:C56"/>
    <mergeCell ref="B57:C57"/>
    <mergeCell ref="C40:E40"/>
    <mergeCell ref="A44:E44"/>
    <mergeCell ref="C41:E41"/>
    <mergeCell ref="C42:E42"/>
    <mergeCell ref="A14:B14"/>
    <mergeCell ref="A15:B15"/>
    <mergeCell ref="A16:B16"/>
    <mergeCell ref="D37:E37"/>
    <mergeCell ref="D38:E38"/>
    <mergeCell ref="D30:E30"/>
    <mergeCell ref="D31:E31"/>
    <mergeCell ref="A39:B39"/>
    <mergeCell ref="A30:B30"/>
    <mergeCell ref="A40:B40"/>
    <mergeCell ref="A41:B41"/>
    <mergeCell ref="A42:B42"/>
    <mergeCell ref="A37:B37"/>
    <mergeCell ref="A28:B28"/>
    <mergeCell ref="A35:B35"/>
    <mergeCell ref="D35:E35"/>
    <mergeCell ref="D36:E36"/>
    <mergeCell ref="A31:B31"/>
    <mergeCell ref="A34:B34"/>
    <mergeCell ref="A38:B38"/>
    <mergeCell ref="A22:B22"/>
    <mergeCell ref="A32:B32"/>
  </mergeCells>
  <conditionalFormatting sqref="A9:C11 A12:A13 A14:D24 A26:D38 A39:C42 A43 A44:E185">
    <cfRule type="expression" dxfId="152" priority="4">
      <formula>$C$6="Affected"</formula>
    </cfRule>
  </conditionalFormatting>
  <conditionalFormatting sqref="A41:C42">
    <cfRule type="expression" dxfId="151" priority="11">
      <formula>$C$40="No"</formula>
    </cfRule>
  </conditionalFormatting>
  <conditionalFormatting sqref="A25:D25">
    <cfRule type="expression" dxfId="150" priority="1">
      <formula>$C$6="Affected"</formula>
    </cfRule>
  </conditionalFormatting>
  <conditionalFormatting sqref="A28:D31">
    <cfRule type="expression" dxfId="147" priority="13">
      <formula>$C$27="No"</formula>
    </cfRule>
  </conditionalFormatting>
  <conditionalFormatting sqref="A36:D36">
    <cfRule type="expression" dxfId="146" priority="6">
      <formula>$C$35="No"</formula>
    </cfRule>
  </conditionalFormatting>
  <conditionalFormatting sqref="A38:D38">
    <cfRule type="expression" dxfId="145" priority="8">
      <formula>$C$37="No"</formula>
    </cfRule>
  </conditionalFormatting>
  <dataValidations xWindow="696" yWindow="665" count="23">
    <dataValidation allowBlank="1" showErrorMessage="1" sqref="C19" xr:uid="{FA2B9AE5-7F5C-452F-953E-222F7D4B2D16}"/>
    <dataValidation type="list" operator="greaterThanOrEqual" allowBlank="1" showInputMessage="1" showErrorMessage="1" prompt="Review Section V of the &quot;Instruction&quot; sheet of this workbook for downwash applicability guidance." sqref="C17" xr:uid="{4C80FB74-A7EB-48F5-A1CC-E831924B203E}">
      <formula1>YN</formula1>
    </dataValidation>
    <dataValidation type="decimal" operator="greaterThanOrEqual" allowBlank="1" showErrorMessage="1" error="Value must be at least 300." prompt="enter project's net heating value, including waste stream and supplemental gas (Btu/scf)" sqref="C21" xr:uid="{D9BBA44C-DA62-435D-934C-40C51BC80FC0}">
      <formula1>300</formula1>
    </dataValidation>
    <dataValidation type="list" allowBlank="1" showErrorMessage="1" prompt="select one" sqref="C28" xr:uid="{34D9ED0D-5CFF-4BBF-A852-2B629AD3788A}">
      <formula1>"natural gas,fuel gas"</formula1>
    </dataValidation>
    <dataValidation type="list" allowBlank="1" showErrorMessage="1" prompt="select one" sqref="C42:E42 C25 C27 C35 C37" xr:uid="{674CEF80-6CA9-46C1-9A7B-B4666450989A}">
      <formula1>"Yes,No"</formula1>
    </dataValidation>
    <dataValidation type="decimal" operator="greaterThanOrEqual" allowBlank="1" showInputMessage="1" showErrorMessage="1" sqref="C21" xr:uid="{7C56ACC9-AD05-4CEF-90F9-A0F3DA2E6FA4}">
      <formula1>300</formula1>
    </dataValidation>
    <dataValidation type="list" allowBlank="1" showInputMessage="1" showErrorMessage="1" sqref="C21" xr:uid="{E6E44F16-7D8E-4D3D-A46C-B675FD3E18C6}">
      <formula1>"Air,Steam"</formula1>
    </dataValidation>
    <dataValidation type="list" allowBlank="1" showErrorMessage="1" prompt="select one" sqref="C20" xr:uid="{A3970694-7D48-4A5E-9B36-76CE8B393759}">
      <formula1>"air,steam"</formula1>
    </dataValidation>
    <dataValidation operator="greaterThanOrEqual" allowBlank="1" showErrorMessage="1" prompt="enter heating value of waste stream (Btu/scf)" sqref="C33" xr:uid="{DA71F598-FE6B-4A3E-8EE3-79CA33EE0AF8}"/>
    <dataValidation type="list" allowBlank="1" showErrorMessage="1" prompt="select one" sqref="C24" xr:uid="{EEC238E8-2F39-43CF-95D5-BE78BF5449C1}">
      <formula1>"Btu calorimeter,gas analyzer,not applicable"</formula1>
    </dataValidation>
    <dataValidation type="decimal" operator="greaterThanOrEqual" allowBlank="1" showErrorMessage="1" prompt="enter distance to property line (ft)" sqref="C15" xr:uid="{820EE121-251A-4A0A-9C6C-CF0DFF6AFF98}">
      <formula1>50</formula1>
    </dataValidation>
    <dataValidation type="decimal" operator="greaterThanOrEqual" allowBlank="1" showErrorMessage="1" prompt="enter release height (ft)" sqref="C16" xr:uid="{C4D62AFF-43C9-40A6-BE74-E47ADCE75E22}">
      <formula1>3</formula1>
    </dataValidation>
    <dataValidation type="list" allowBlank="1" showErrorMessage="1" prompt="select one" sqref="C6:E6" xr:uid="{615176D7-90D7-4570-BA1D-EF2D8F7F14D5}">
      <formula1>"Modified, Affected"</formula1>
    </dataValidation>
    <dataValidation allowBlank="1" showErrorMessage="1" prompt="enter EPN" sqref="C7:E7" xr:uid="{84A76BF0-B515-4F07-A5BA-49851C7CB120}"/>
    <dataValidation allowBlank="1" showErrorMessage="1" prompt="enter source name" sqref="C8:E8" xr:uid="{C367723C-7D0F-416D-826A-C91669595459}"/>
    <dataValidation type="list" allowBlank="1" showErrorMessage="1" prompt="select UTM zone" sqref="C9:E9" xr:uid="{0CF9E849-0D5C-4119-8056-7B558CA03872}">
      <formula1>Zones</formula1>
    </dataValidation>
    <dataValidation type="decimal" allowBlank="1" showErrorMessage="1" error="Value must be between 205,000 and 795,000 meters." prompt="enter UTM easting (meters)" sqref="C10:E10" xr:uid="{31DD5D42-2253-48D8-8E12-37C8FCFF01CF}">
      <formula1>205000</formula1>
      <formula2>795000</formula2>
    </dataValidation>
    <dataValidation type="decimal" allowBlank="1" showErrorMessage="1" error="Value must be between 2,854,000 and 4,059,000 meters." prompt="enter UTM northing (meters)" sqref="C11:E11" xr:uid="{F6B56EB7-DC73-40F2-A988-C281C1278B8E}">
      <formula1>2854000</formula1>
      <formula2>4059000</formula2>
    </dataValidation>
    <dataValidation allowBlank="1" showErrorMessage="1" prompt="enter supplemental flow rate associated with this project (scf/yr)" sqref="C29" xr:uid="{219DB602-0760-45D3-94D9-39FA1FFCFD48}"/>
    <dataValidation operator="greaterThanOrEqual" allowBlank="1" showErrorMessage="1" prompt="enter supplemental heating value (Btu/scf)" sqref="C30" xr:uid="{74C4D3FD-612F-4DC3-92A4-B6743C1BCF2E}"/>
    <dataValidation allowBlank="1" showErrorMessage="1" prompt="enter maximum annual flow rate associated with this project (sccf/yr)" sqref="C34" xr:uid="{1E92B637-52FD-4539-9591-9CE08885B1FB}"/>
    <dataValidation type="list" allowBlank="1" showErrorMessage="1" prompt="select one" sqref="C40:E40" xr:uid="{3E83FEFF-1D09-48C9-94F2-A1A7E696885B}">
      <formula1>YN</formula1>
    </dataValidation>
    <dataValidation allowBlank="1" showErrorMessage="1" prompt="list units in this project subject to CAM using sheet name identifiers" sqref="C41:E41" xr:uid="{FC73BCFA-5C82-4541-ACDC-326C11357F9E}"/>
  </dataValidations>
  <printOptions horizontalCentered="1"/>
  <pageMargins left="0.7" right="0.7" top="0.75" bottom="0.75" header="0.3" footer="0.3"/>
  <pageSetup scale="66" fitToHeight="0" orientation="portrait" cellComments="atEnd" r:id="rId1"/>
  <headerFooter>
    <oddHeader>&amp;C&amp;"Arial,Regular"Tanks and Loading Increases RAP Application</oddHeader>
    <oddFooter>&amp;LVersion 3.0&amp;CSheet: &amp;A&amp;RPage &amp;P</oddFooter>
  </headerFooter>
  <extLst>
    <ext xmlns:x14="http://schemas.microsoft.com/office/spreadsheetml/2009/9/main" uri="{78C0D931-6437-407d-A8EE-F0AAD7539E65}">
      <x14:conditionalFormattings>
        <x14:conditionalFormatting xmlns:xm="http://schemas.microsoft.com/office/excel/2006/main">
          <x14:cfRule type="expression" priority="512" id="{78082893-1A3E-456E-8C8E-A6BFFA9A74A5}">
            <xm:f>'PI-1-TankLoading'!$G$106="No"</xm:f>
            <x14:dxf>
              <font>
                <color theme="0" tint="-0.24994659260841701"/>
              </font>
              <numFmt numFmtId="171" formatCode=";;;"/>
              <fill>
                <patternFill>
                  <bgColor theme="0" tint="-0.499984740745262"/>
                </patternFill>
              </fill>
              <border>
                <left/>
                <right/>
                <top/>
                <bottom/>
              </border>
            </x14:dxf>
          </x14:cfRule>
          <xm:sqref>A1:A6 F1:XFD1048576 C6 A7:C11 A12:A13 A14:D24 A26:D38 A39:C42 A43 A44:E1048576</xm:sqref>
        </x14:conditionalFormatting>
        <x14:conditionalFormatting xmlns:xm="http://schemas.microsoft.com/office/excel/2006/main">
          <x14:cfRule type="expression" priority="2" stopIfTrue="1" id="{36B41CF3-B745-4461-9C15-87328E52B700}">
            <xm:f>'Hidden Inputs'!$BR$5</xm:f>
            <x14:dxf>
              <font>
                <color theme="0" tint="-0.499984740745262"/>
              </font>
              <numFmt numFmtId="171" formatCode=";;;"/>
              <fill>
                <patternFill>
                  <bgColor theme="0" tint="-0.499984740745262"/>
                </patternFill>
              </fill>
              <border>
                <left/>
                <right/>
                <top/>
                <bottom/>
              </border>
            </x14:dxf>
          </x14:cfRule>
          <x14:cfRule type="expression" priority="3" id="{7128F56C-F8BC-4E38-B974-3DDECE73B3F8}">
            <xm:f>'PI-1-TankLoading'!$G$106="No"</xm:f>
            <x14:dxf>
              <font>
                <color theme="0" tint="-0.24994659260841701"/>
              </font>
              <numFmt numFmtId="171" formatCode=";;;"/>
              <fill>
                <patternFill>
                  <bgColor theme="0" tint="-0.499984740745262"/>
                </patternFill>
              </fill>
              <border>
                <left/>
                <right/>
                <top/>
                <bottom/>
              </border>
            </x14:dxf>
          </x14:cfRule>
          <xm:sqref>A25:D25</xm:sqref>
        </x14:conditionalFormatting>
        <x14:conditionalFormatting xmlns:xm="http://schemas.microsoft.com/office/excel/2006/main">
          <x14:cfRule type="expression" priority="5" stopIfTrue="1" id="{5F674E97-3F6F-4FBD-B169-E4F43EFA7009}">
            <xm:f>'Hidden Inputs'!$BR$5</xm:f>
            <x14:dxf>
              <font>
                <color theme="0" tint="-0.499984740745262"/>
              </font>
              <numFmt numFmtId="171" formatCode=";;;"/>
              <fill>
                <patternFill>
                  <bgColor theme="0" tint="-0.499984740745262"/>
                </patternFill>
              </fill>
              <border>
                <left/>
                <right/>
                <top/>
                <bottom/>
              </border>
            </x14:dxf>
          </x14:cfRule>
          <xm:sqref>A1:E23 A24:D24 A26:E1048576 F1:XFD1048576</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CDD0F-9056-46AF-A4E1-AD76B509EB60}">
  <sheetPr codeName="Sheet16">
    <tabColor rgb="FFFFFFCC"/>
    <pageSetUpPr fitToPage="1"/>
  </sheetPr>
  <dimension ref="A1:G194"/>
  <sheetViews>
    <sheetView workbookViewId="0">
      <selection sqref="A1:E1"/>
    </sheetView>
  </sheetViews>
  <sheetFormatPr defaultColWidth="0" defaultRowHeight="14.25" zeroHeight="1" x14ac:dyDescent="0.25"/>
  <cols>
    <col min="1" max="1" width="22.28515625" style="466" customWidth="1"/>
    <col min="2" max="2" width="44.5703125" style="545" customWidth="1"/>
    <col min="3" max="3" width="21.85546875" style="466" bestFit="1" customWidth="1"/>
    <col min="4" max="4" width="24.5703125" style="466" bestFit="1" customWidth="1"/>
    <col min="5" max="5" width="26.140625" style="466" customWidth="1"/>
    <col min="6" max="7" width="0" style="466" hidden="1" customWidth="1"/>
    <col min="8" max="16384" width="9.140625" style="466" hidden="1"/>
  </cols>
  <sheetData>
    <row r="1" spans="1:5" ht="6" customHeight="1" thickBot="1" x14ac:dyDescent="0.3">
      <c r="A1" s="1503" t="s">
        <v>8392</v>
      </c>
      <c r="B1" s="1503"/>
      <c r="C1" s="1503"/>
      <c r="D1" s="1503"/>
      <c r="E1" s="1503"/>
    </row>
    <row r="2" spans="1:5" ht="18.75" thickBot="1" x14ac:dyDescent="0.3">
      <c r="A2" s="1436" t="s">
        <v>8370</v>
      </c>
      <c r="B2" s="1437"/>
      <c r="C2" s="1437"/>
      <c r="D2" s="1437"/>
      <c r="E2" s="1438"/>
    </row>
    <row r="3" spans="1:5" ht="108" customHeight="1" thickBot="1" x14ac:dyDescent="0.3">
      <c r="A3" s="1448" t="s">
        <v>10211</v>
      </c>
      <c r="B3" s="1504"/>
      <c r="C3" s="1504"/>
      <c r="D3" s="1504"/>
      <c r="E3" s="1505"/>
    </row>
    <row r="4" spans="1:5" ht="15.75" thickBot="1" x14ac:dyDescent="0.3">
      <c r="A4" s="1574" t="s">
        <v>8567</v>
      </c>
      <c r="B4" s="1574"/>
      <c r="C4" s="1574"/>
      <c r="D4" s="1574"/>
      <c r="E4" s="1574"/>
    </row>
    <row r="5" spans="1:5" ht="15" x14ac:dyDescent="0.25">
      <c r="A5" s="1411" t="s">
        <v>8575</v>
      </c>
      <c r="B5" s="1412"/>
      <c r="C5" s="1412"/>
      <c r="D5" s="1412"/>
      <c r="E5" s="1413"/>
    </row>
    <row r="6" spans="1:5" ht="29.25" customHeight="1" x14ac:dyDescent="0.25">
      <c r="A6" s="1576" t="s">
        <v>10253</v>
      </c>
      <c r="B6" s="1577"/>
      <c r="C6" s="1584"/>
      <c r="D6" s="1585"/>
      <c r="E6" s="1586"/>
    </row>
    <row r="7" spans="1:5" ht="15.75" thickBot="1" x14ac:dyDescent="0.3">
      <c r="A7" s="1581" t="s">
        <v>10254</v>
      </c>
      <c r="B7" s="1582"/>
      <c r="C7" s="1582"/>
      <c r="D7" s="1582"/>
      <c r="E7" s="1583"/>
    </row>
    <row r="8" spans="1:5" ht="15" customHeight="1" x14ac:dyDescent="0.25">
      <c r="A8" s="1516" t="s">
        <v>10125</v>
      </c>
      <c r="B8" s="1517"/>
      <c r="C8" s="1518"/>
      <c r="D8" s="1518"/>
      <c r="E8" s="1519"/>
    </row>
    <row r="9" spans="1:5" x14ac:dyDescent="0.25">
      <c r="A9" s="1434" t="s">
        <v>8583</v>
      </c>
      <c r="B9" s="1435"/>
      <c r="C9" s="1605"/>
      <c r="D9" s="1605"/>
      <c r="E9" s="1606"/>
    </row>
    <row r="10" spans="1:5" x14ac:dyDescent="0.25">
      <c r="A10" s="1434" t="s">
        <v>8584</v>
      </c>
      <c r="B10" s="1435"/>
      <c r="C10" s="1605"/>
      <c r="D10" s="1605"/>
      <c r="E10" s="1606"/>
    </row>
    <row r="11" spans="1:5" x14ac:dyDescent="0.25">
      <c r="A11" s="1153" t="s">
        <v>8576</v>
      </c>
      <c r="B11" s="1154"/>
      <c r="C11" s="1423"/>
      <c r="D11" s="1423"/>
      <c r="E11" s="1424"/>
    </row>
    <row r="12" spans="1:5" x14ac:dyDescent="0.25">
      <c r="A12" s="1402" t="s">
        <v>8577</v>
      </c>
      <c r="B12" s="1403"/>
      <c r="C12" s="1423"/>
      <c r="D12" s="1423"/>
      <c r="E12" s="1424"/>
    </row>
    <row r="13" spans="1:5" ht="15.75" customHeight="1" thickBot="1" x14ac:dyDescent="0.3">
      <c r="A13" s="1406" t="s">
        <v>8578</v>
      </c>
      <c r="B13" s="1407"/>
      <c r="C13" s="1425"/>
      <c r="D13" s="1425"/>
      <c r="E13" s="1426"/>
    </row>
    <row r="14" spans="1:5" ht="15.75" thickBot="1" x14ac:dyDescent="0.3">
      <c r="A14" s="1607" t="s">
        <v>8567</v>
      </c>
      <c r="B14" s="1607"/>
      <c r="C14" s="1607"/>
      <c r="D14" s="1607"/>
      <c r="E14" s="1607"/>
    </row>
    <row r="15" spans="1:5" ht="15.75" thickBot="1" x14ac:dyDescent="0.3">
      <c r="A15" s="1411" t="s">
        <v>8581</v>
      </c>
      <c r="B15" s="1412"/>
      <c r="C15" s="1412"/>
      <c r="D15" s="1412"/>
      <c r="E15" s="1413"/>
    </row>
    <row r="16" spans="1:5" ht="15" x14ac:dyDescent="0.25">
      <c r="A16" s="1535" t="s">
        <v>8735</v>
      </c>
      <c r="B16" s="1536"/>
      <c r="C16" s="736" t="s">
        <v>8580</v>
      </c>
      <c r="D16" s="1536" t="s">
        <v>8645</v>
      </c>
      <c r="E16" s="1554"/>
    </row>
    <row r="17" spans="1:5" x14ac:dyDescent="0.25">
      <c r="A17" s="1514" t="s">
        <v>277</v>
      </c>
      <c r="B17" s="1515"/>
      <c r="C17" s="535"/>
      <c r="D17" s="1154">
        <v>50</v>
      </c>
      <c r="E17" s="1567"/>
    </row>
    <row r="18" spans="1:5" x14ac:dyDescent="0.25">
      <c r="A18" s="1514" t="s">
        <v>4</v>
      </c>
      <c r="B18" s="1515"/>
      <c r="C18" s="535"/>
      <c r="D18" s="1154">
        <v>3</v>
      </c>
      <c r="E18" s="1567"/>
    </row>
    <row r="19" spans="1:5" ht="15" thickBot="1" x14ac:dyDescent="0.25">
      <c r="A19" s="1575" t="s">
        <v>8629</v>
      </c>
      <c r="B19" s="1568"/>
      <c r="C19" s="744"/>
      <c r="D19" s="1568"/>
      <c r="E19" s="1569"/>
    </row>
    <row r="20" spans="1:5" ht="15" x14ac:dyDescent="0.25">
      <c r="A20" s="1535" t="s">
        <v>8747</v>
      </c>
      <c r="B20" s="1536"/>
      <c r="C20" s="736" t="s">
        <v>8580</v>
      </c>
      <c r="D20" s="1536" t="s">
        <v>8645</v>
      </c>
      <c r="E20" s="1554"/>
    </row>
    <row r="21" spans="1:5" x14ac:dyDescent="0.2">
      <c r="A21" s="1458" t="s">
        <v>8742</v>
      </c>
      <c r="B21" s="1454"/>
      <c r="C21" s="500"/>
      <c r="D21" s="1417"/>
      <c r="E21" s="1525"/>
    </row>
    <row r="22" spans="1:5" x14ac:dyDescent="0.2">
      <c r="A22" s="746" t="s">
        <v>10205</v>
      </c>
      <c r="B22" s="737"/>
      <c r="C22" s="500"/>
      <c r="D22" s="1417"/>
      <c r="E22" s="1525"/>
    </row>
    <row r="23" spans="1:5" ht="15" thickBot="1" x14ac:dyDescent="0.25">
      <c r="A23" s="747" t="s">
        <v>8671</v>
      </c>
      <c r="B23" s="748"/>
      <c r="C23" s="525"/>
      <c r="D23" s="1568"/>
      <c r="E23" s="1569"/>
    </row>
    <row r="24" spans="1:5" ht="15" x14ac:dyDescent="0.25">
      <c r="A24" s="1130" t="s">
        <v>8734</v>
      </c>
      <c r="B24" s="1131"/>
      <c r="C24" s="175" t="s">
        <v>8580</v>
      </c>
      <c r="D24" s="1482" t="s">
        <v>8645</v>
      </c>
      <c r="E24" s="1587"/>
    </row>
    <row r="25" spans="1:5" x14ac:dyDescent="0.2">
      <c r="A25" s="1545" t="s">
        <v>8732</v>
      </c>
      <c r="B25" s="1546"/>
      <c r="C25" s="500"/>
      <c r="D25" s="1417"/>
      <c r="E25" s="1525"/>
    </row>
    <row r="26" spans="1:5" x14ac:dyDescent="0.2">
      <c r="A26" s="1545" t="s">
        <v>8733</v>
      </c>
      <c r="B26" s="1546"/>
      <c r="C26" s="500"/>
      <c r="D26" s="1417"/>
      <c r="E26" s="1525"/>
    </row>
    <row r="27" spans="1:5" x14ac:dyDescent="0.2">
      <c r="A27" s="1545" t="s">
        <v>8746</v>
      </c>
      <c r="B27" s="1546"/>
      <c r="C27" s="500"/>
      <c r="D27" s="1417"/>
      <c r="E27" s="1525"/>
    </row>
    <row r="28" spans="1:5" x14ac:dyDescent="0.2">
      <c r="A28" s="1604" t="s">
        <v>10206</v>
      </c>
      <c r="B28" s="1546"/>
      <c r="C28" s="500"/>
      <c r="D28" s="1417">
        <v>300</v>
      </c>
      <c r="E28" s="1525"/>
    </row>
    <row r="29" spans="1:5" ht="15" thickBot="1" x14ac:dyDescent="0.25">
      <c r="A29" s="1548" t="s">
        <v>10067</v>
      </c>
      <c r="B29" s="1156"/>
      <c r="C29" s="536" t="str">
        <f>IF(C26="natural gas",0.2,IF(C26="fuel gas",10,IF(C26="combination",10,"")))</f>
        <v/>
      </c>
      <c r="D29" s="1419"/>
      <c r="E29" s="1491"/>
    </row>
    <row r="30" spans="1:5" ht="15" x14ac:dyDescent="0.25">
      <c r="A30" s="1570" t="s">
        <v>8736</v>
      </c>
      <c r="B30" s="1571"/>
      <c r="C30" s="745" t="s">
        <v>8580</v>
      </c>
      <c r="D30" s="1612" t="s">
        <v>8645</v>
      </c>
      <c r="E30" s="1613"/>
    </row>
    <row r="31" spans="1:5" x14ac:dyDescent="0.25">
      <c r="A31" s="1514" t="s">
        <v>8358</v>
      </c>
      <c r="B31" s="1515"/>
      <c r="C31" s="842"/>
      <c r="D31" s="1565">
        <v>0.99</v>
      </c>
      <c r="E31" s="1566"/>
    </row>
    <row r="32" spans="1:5" x14ac:dyDescent="0.25">
      <c r="A32" s="1514" t="s">
        <v>8538</v>
      </c>
      <c r="B32" s="1515"/>
      <c r="C32" s="533">
        <v>10</v>
      </c>
      <c r="D32" s="1602"/>
      <c r="E32" s="1603"/>
    </row>
    <row r="33" spans="1:5" x14ac:dyDescent="0.25">
      <c r="A33" s="1579" t="s">
        <v>10092</v>
      </c>
      <c r="B33" s="1580"/>
      <c r="C33" s="528"/>
      <c r="D33" s="1602"/>
      <c r="E33" s="1603"/>
    </row>
    <row r="34" spans="1:5" x14ac:dyDescent="0.25">
      <c r="A34" s="1591" t="s">
        <v>8743</v>
      </c>
      <c r="B34" s="1592"/>
      <c r="C34" s="537"/>
      <c r="D34" s="1565"/>
      <c r="E34" s="1566"/>
    </row>
    <row r="35" spans="1:5" x14ac:dyDescent="0.25">
      <c r="A35" s="1153" t="s">
        <v>10069</v>
      </c>
      <c r="B35" s="1154"/>
      <c r="C35" s="528"/>
      <c r="D35" s="1565"/>
      <c r="E35" s="1566"/>
    </row>
    <row r="36" spans="1:5" x14ac:dyDescent="0.25">
      <c r="A36" s="1153" t="s">
        <v>10070</v>
      </c>
      <c r="B36" s="1154"/>
      <c r="C36" s="528"/>
      <c r="D36" s="1565"/>
      <c r="E36" s="1566"/>
    </row>
    <row r="37" spans="1:5" ht="18.75" x14ac:dyDescent="0.25">
      <c r="A37" s="1578" t="s">
        <v>10140</v>
      </c>
      <c r="B37" s="1593"/>
      <c r="C37" s="528"/>
      <c r="D37" s="1565"/>
      <c r="E37" s="1566"/>
    </row>
    <row r="38" spans="1:5" ht="18.75" x14ac:dyDescent="0.25">
      <c r="A38" s="1578" t="s">
        <v>10139</v>
      </c>
      <c r="B38" s="1154"/>
      <c r="C38" s="528"/>
      <c r="D38" s="1565"/>
      <c r="E38" s="1566"/>
    </row>
    <row r="39" spans="1:5" x14ac:dyDescent="0.25">
      <c r="A39" s="1153" t="s">
        <v>8987</v>
      </c>
      <c r="B39" s="1154"/>
      <c r="C39" s="528"/>
      <c r="D39" s="1565"/>
      <c r="E39" s="1566"/>
    </row>
    <row r="40" spans="1:5" x14ac:dyDescent="0.25">
      <c r="A40" s="1153" t="s">
        <v>8821</v>
      </c>
      <c r="B40" s="1154"/>
      <c r="C40" s="528"/>
      <c r="D40" s="1565"/>
      <c r="E40" s="1566"/>
    </row>
    <row r="41" spans="1:5" x14ac:dyDescent="0.25">
      <c r="A41" s="1153" t="s">
        <v>10071</v>
      </c>
      <c r="B41" s="1154"/>
      <c r="C41" s="538"/>
      <c r="D41" s="1565"/>
      <c r="E41" s="1566"/>
    </row>
    <row r="42" spans="1:5" x14ac:dyDescent="0.25">
      <c r="A42" s="1153" t="s">
        <v>10072</v>
      </c>
      <c r="B42" s="1154"/>
      <c r="C42" s="742"/>
      <c r="D42" s="1565"/>
      <c r="E42" s="1566"/>
    </row>
    <row r="43" spans="1:5" ht="15" thickBot="1" x14ac:dyDescent="0.3">
      <c r="A43" s="1589" t="s">
        <v>10073</v>
      </c>
      <c r="B43" s="1590"/>
      <c r="C43" s="743">
        <f>SUMIF(B51:B193,"hydrogen sulfide",D51:D193)</f>
        <v>0</v>
      </c>
      <c r="D43" s="1541"/>
      <c r="E43" s="1542"/>
    </row>
    <row r="44" spans="1:5" ht="15" x14ac:dyDescent="0.25">
      <c r="A44" s="1588" t="s">
        <v>8740</v>
      </c>
      <c r="B44" s="1563"/>
      <c r="C44" s="1571" t="s">
        <v>9687</v>
      </c>
      <c r="D44" s="1571"/>
      <c r="E44" s="1608"/>
    </row>
    <row r="45" spans="1:5" x14ac:dyDescent="0.25">
      <c r="A45" s="1591" t="s">
        <v>8552</v>
      </c>
      <c r="B45" s="1592"/>
      <c r="C45" s="1609"/>
      <c r="D45" s="1555"/>
      <c r="E45" s="1556"/>
    </row>
    <row r="46" spans="1:5" ht="53.25" customHeight="1" x14ac:dyDescent="0.25">
      <c r="A46" s="1598" t="s">
        <v>10087</v>
      </c>
      <c r="B46" s="1592"/>
      <c r="C46" s="1610"/>
      <c r="D46" s="1610"/>
      <c r="E46" s="1611"/>
    </row>
    <row r="47" spans="1:5" ht="15.75" customHeight="1" thickBot="1" x14ac:dyDescent="0.3">
      <c r="A47" s="1599" t="s">
        <v>8553</v>
      </c>
      <c r="B47" s="1600"/>
      <c r="C47" s="1532"/>
      <c r="D47" s="1533"/>
      <c r="E47" s="1534"/>
    </row>
    <row r="48" spans="1:5" ht="15.75" thickBot="1" x14ac:dyDescent="0.3">
      <c r="A48" s="1553" t="s">
        <v>8567</v>
      </c>
      <c r="B48" s="1553"/>
      <c r="C48" s="1553"/>
      <c r="D48" s="1553"/>
      <c r="E48" s="1553"/>
    </row>
    <row r="49" spans="1:5" ht="15.75" thickBot="1" x14ac:dyDescent="0.3">
      <c r="A49" s="1411" t="s">
        <v>8975</v>
      </c>
      <c r="B49" s="1412"/>
      <c r="C49" s="1412"/>
      <c r="D49" s="1412"/>
      <c r="E49" s="1413"/>
    </row>
    <row r="50" spans="1:5" ht="44.25" customHeight="1" x14ac:dyDescent="0.25">
      <c r="A50" s="446" t="s">
        <v>8353</v>
      </c>
      <c r="B50" s="1595" t="s">
        <v>2</v>
      </c>
      <c r="C50" s="1596"/>
      <c r="D50" s="447" t="s">
        <v>10062</v>
      </c>
      <c r="E50" s="448" t="s">
        <v>10063</v>
      </c>
    </row>
    <row r="51" spans="1:5" x14ac:dyDescent="0.25">
      <c r="A51" s="539" t="s">
        <v>8363</v>
      </c>
      <c r="B51" s="1139" t="s">
        <v>8363</v>
      </c>
      <c r="C51" s="1139"/>
      <c r="D51" s="540" t="s">
        <v>8704</v>
      </c>
      <c r="E51" s="541" t="str">
        <f>IF(C25="Yes",
IF(C35="Vendor data",(C36*C33*C23/1000000/2000)+(100*C27/1000000/2000),IF(C35=0.1,(C35*C33*C23/1000000/2000)+(100*C27/1000000/2000),IF(C35=0.06,(C35*C33*C23/1000000/2000)+(100*C27/1000000/2000),"Complete input parameters"))),
IF(C35="Vendor data",C36*C33*C23/1000000/2000,IF(C35=0.1,C35*C33*C23/1000000/2000,IF(C35=0.06,C35*C33*C23/1000000/2000,"Complete input parameters"))))</f>
        <v>Complete input parameters</v>
      </c>
    </row>
    <row r="52" spans="1:5" x14ac:dyDescent="0.25">
      <c r="A52" s="539" t="s">
        <v>8706</v>
      </c>
      <c r="B52" s="1139" t="s">
        <v>8364</v>
      </c>
      <c r="C52" s="1139"/>
      <c r="D52" s="540" t="s">
        <v>8704</v>
      </c>
      <c r="E52" s="542" t="str">
        <f>IF(C39="","Complete input parameters",IF(C25="Yes",
IF(C39="0.2755 lb per MMBtu",(0.2755*C23*C33/1000000/2000)+(84*C27/1000000/2000),
IF(C39="0.5496 lb per MMBtu",(0.5496*C23*C33/1000000/2000)+(84*C27/1000000/2000),
IF(C39="84 lb per MMscf",(84*C23/1000000/2000)+(84*C27/1000000/2000),
IF(C39="Vendor data",(C40*C23/1000000/2000)+(84*C27/1000000/2000),"Complete input parameters")))),
IF(C39="0.2755 lb per MMBtu",0.2755*C23*C33/1000000/2000,
IF(C39="0.5496 lb per MMBtu",7.38*C23*C33/1000000/2000,
IF(C39="84 lb per MMscf",84*C23/1000000/2000,
IF(C39="Vendor data",C40*C23/1000000/2000,"Complete input parameters"))))))</f>
        <v>Complete input parameters</v>
      </c>
    </row>
    <row r="53" spans="1:5" x14ac:dyDescent="0.25">
      <c r="A53" s="539" t="s">
        <v>8365</v>
      </c>
      <c r="B53" s="1139" t="s">
        <v>8365</v>
      </c>
      <c r="C53" s="1139"/>
      <c r="D53" s="582" t="s">
        <v>8704</v>
      </c>
      <c r="E53" s="543" t="str">
        <f>IF($C$6="Yes",IF($C$6="","Complete input parameters",IF($C$37="Vendor data",$C$38*$C$23/1000000/2000,IF(ISNUMBER($C$37),$C$37*$C$23/1000000/2000,"0.00"))),IF($C$6="","Complete input parameters",IF($C$37="Vendor data",($C$38*$C$23/1000000/2000)+($C$22*$C$38/1000000/2000),IF(ISNUMBER($C$37),($C$37*$C$23/1000000/2000)+($C$22*$C$37/1000000/2000),"0.00"))))</f>
        <v>Complete input parameters</v>
      </c>
    </row>
    <row r="54" spans="1:5" x14ac:dyDescent="0.25">
      <c r="A54" s="539" t="s">
        <v>8714</v>
      </c>
      <c r="B54" s="1139" t="s">
        <v>8714</v>
      </c>
      <c r="C54" s="1139"/>
      <c r="D54" s="540" t="s">
        <v>8704</v>
      </c>
      <c r="E54" s="543" t="str">
        <f>IF($C$6="Yes",IF($C$6="","Complete input parameters",IF($C$37="Vendor data",$C$38*$C$23/1000000/2000,IF(ISNUMBER($C$37),$C$37*$C$23/1000000/2000,"0.00"))),IF($C$6="","Complete input parameters",IF($C$37="Vendor data",($C$38*$C$23/1000000/2000)+($C$22*$C$38/1000000/2000),IF(ISNUMBER($C$37),($C$37*$C$23/1000000/2000)+($C$22*$C$37/1000000/2000),"0.00"))))</f>
        <v>Complete input parameters</v>
      </c>
    </row>
    <row r="55" spans="1:5" x14ac:dyDescent="0.25">
      <c r="A55" s="539" t="s">
        <v>8715</v>
      </c>
      <c r="B55" s="1139" t="s">
        <v>8715</v>
      </c>
      <c r="C55" s="1139"/>
      <c r="D55" s="540" t="s">
        <v>8704</v>
      </c>
      <c r="E55" s="543" t="str">
        <f>IF($C$6="Yes",IF($C$6="","Complete input parameters",IF($C$37="Vendor data",$C$38*$C$23/1000000/2000,IF(ISNUMBER($C$37),$C$37*$C$23/1000000/2000,"0.00"))),IF($C$6="","Complete input parameters",IF($C$37="Vendor data",($C$38*$C$23/1000000/2000)+($C$22*$C$38/1000000/2000),IF(ISNUMBER($C$37),($C$37*$C$23/1000000/2000)+($C$22*$C$37/1000000/2000),"0.00"))))</f>
        <v>Complete input parameters</v>
      </c>
    </row>
    <row r="56" spans="1:5" x14ac:dyDescent="0.2">
      <c r="A56" s="534" t="s">
        <v>8707</v>
      </c>
      <c r="B56" s="1139" t="s">
        <v>8366</v>
      </c>
      <c r="C56" s="1139"/>
      <c r="D56" s="540" t="s">
        <v>8704</v>
      </c>
      <c r="E56" s="541" t="str">
        <f>IF(C25="Yes",(C29/15.432/453.592*100/2000*C27)+IF(C41=0.6,C41*C23/1000000/2000,IF(C41="H2S in waste stream",C43*64.06/34.08,IF(C41="Vendor data",C42*C23/1000000/2000,0))),IF(C41=0.6,C41*C23/1000000/2000,IF(C41="H2S in waste stream",C43*64.06/34.08,IF(C41="Vendor data",C42*C23/1000000/2000,"Complete input parameters"))))</f>
        <v>Complete input parameters</v>
      </c>
    </row>
    <row r="57" spans="1:5" x14ac:dyDescent="0.25">
      <c r="A57" s="539" t="s">
        <v>3</v>
      </c>
      <c r="B57" s="1597" t="s">
        <v>10118</v>
      </c>
      <c r="C57" s="1139"/>
      <c r="D57" s="544">
        <f>(IF(Tank1!$C$23="Vapor combustion unit",SUMIF(Tank1!$A$32:$A$49,VCU!A57,Tank1!$C$32:$C$49),0))+(IF(Tank2!$C$23="Vapor combustion unit",SUMIF(Tank2!$A$32:$A$49, VCU!A57,Tank2!$C$32:$C$49),0))+(IF(Tank3!$C$23="Vapor combustion unit",SUMIF(Tank3!$A$32:$A$49, VCU!A57,Tank3!$C$32:$C$49),0))+(IF(Tank4!$C$23="Vapor combustion unit",SUMIF(Tank4!$A$32:$A$49, VCU!A57,Tank4!$C$32:$C$49),0))+(IF(Tank5!$C$23="Vapor combustion unit",SUMIF(Tank5!$A$32:$A$49, VCU!A57,Tank5!$C$32:$C$49),0))+(IF('Loading-drum,tote'!$C$21="Vapor combustion unit",SUMIF('Loading-drum,tote'!$A$31:$A$48, VCU!A57,'Loading-drum,tote'!$F$31:$F$48),0))+(IF('Loading-truck'!$C$21="Vapor combustion unit",SUMIF('Loading-truck'!$A$31:$A$48, VCU!A57,'Loading-truck'!$F$31:$F$48),0))+(IF('Loading-rail'!$C$21="Vapor combustion unit",SUMIF('Loading-rail'!$A$31:$A$48, VCU!A57,'Loading-rail'!$F$31:$F$48),0))</f>
        <v>0</v>
      </c>
      <c r="E57" s="541">
        <f>IF(D57="","",
IF('PI-1-TankLoading'!$D$86="Gasoline Terminal",
(IF('Loading-drum,tote'!$C$21="Vapor combustion unit",'Loading-drum,tote'!$C$31,0)+
IF('Loading-truck'!$C$21="Vapor combustion unit",'Loading-truck'!$C$31,0)+
IF('Loading-rail'!$C$21="Vapor combustion unit",'Loading-rail'!$C$31,0))*0.0835*42/1000/2000,D57*(1-$C$31)))</f>
        <v>0</v>
      </c>
    </row>
    <row r="58" spans="1:5" x14ac:dyDescent="0.25">
      <c r="A58" s="539" t="str">
        <f>'Hidden Inputs'!AN2</f>
        <v/>
      </c>
      <c r="B58" s="1594" t="str">
        <f t="shared" ref="B58:B89" si="0">IFERROR(VLOOKUP(A58, SpeciesDataTable,2,FALSE),"")</f>
        <v/>
      </c>
      <c r="C58" s="1594"/>
      <c r="D58" s="544">
        <f>(IF(Tank1!$C$23="Vapor combustion unit",SUMIF(Tank1!$A$32:$A$49,VCU!A58,Tank1!$C$32:$C$49),0))+(IF(Tank2!$C$23="Vapor combustion unit",SUMIF(Tank2!$A$32:$A$49, VCU!A58,Tank2!$C$32:$C$49),0))+(IF(Tank3!$C$23="Vapor combustion unit",SUMIF(Tank3!$A$32:$A$49, VCU!A58,Tank3!$C$32:$C$49),0))+(IF(Tank4!$C$23="Vapor combustion unit",SUMIF(Tank4!$A$32:$A$49, VCU!A58,Tank4!$C$32:$C$49),0))+(IF(Tank5!$C$23="Vapor combustion unit",SUMIF(Tank5!$A$32:$A$49, VCU!A58,Tank5!$C$32:$C$49),0))+(IF('Loading-drum,tote'!$C$21="Vapor combustion unit",SUMIF('Loading-drum,tote'!$A$31:$A$48, VCU!A58,'Loading-drum,tote'!$F$31:$F$48),0))+(IF('Loading-truck'!$C$21="Vapor combustion unit",SUMIF('Loading-truck'!$A$31:$A$48, VCU!A58,'Loading-truck'!$F$31:$F$48),0))+(IF('Loading-rail'!$C$21="Vapor combustion unit",SUMIF('Loading-rail'!$A$31:$A$48, VCU!A58,'Loading-rail'!$F$31:$F$48),0))</f>
        <v>0</v>
      </c>
      <c r="E58" s="541">
        <f>IF(OR(B58="ammonia",B58="hydrogen sulfide"),D58,D58*(1-$C$31))</f>
        <v>0</v>
      </c>
    </row>
    <row r="59" spans="1:5" x14ac:dyDescent="0.25">
      <c r="A59" s="539" t="str">
        <f>'Hidden Inputs'!AN3</f>
        <v/>
      </c>
      <c r="B59" s="1594" t="str">
        <f t="shared" si="0"/>
        <v/>
      </c>
      <c r="C59" s="1594"/>
      <c r="D59" s="544">
        <f>(IF(Tank1!$C$23="Vapor combustion unit",SUMIF(Tank1!$A$32:$A$49,VCU!A59,Tank1!$C$32:$C$49),0))+(IF(Tank2!$C$23="Vapor combustion unit",SUMIF(Tank2!$A$32:$A$49, VCU!A59,Tank2!$C$32:$C$49),0))+(IF(Tank3!$C$23="Vapor combustion unit",SUMIF(Tank3!$A$32:$A$49, VCU!A59,Tank3!$C$32:$C$49),0))+(IF(Tank4!$C$23="Vapor combustion unit",SUMIF(Tank4!$A$32:$A$49, VCU!A59,Tank4!$C$32:$C$49),0))+(IF(Tank5!$C$23="Vapor combustion unit",SUMIF(Tank5!$A$32:$A$49, VCU!A59,Tank5!$C$32:$C$49),0))+(IF('Loading-drum,tote'!$C$21="Vapor combustion unit",SUMIF('Loading-drum,tote'!$A$31:$A$48, VCU!A59,'Loading-drum,tote'!$F$31:$F$48),0))+(IF('Loading-truck'!$C$21="Vapor combustion unit",SUMIF('Loading-truck'!$A$31:$A$48, VCU!A59,'Loading-truck'!$F$31:$F$48),0))+(IF('Loading-rail'!$C$21="Vapor combustion unit",SUMIF('Loading-rail'!$A$31:$A$48, VCU!A59,'Loading-rail'!$F$31:$F$48),0))</f>
        <v>0</v>
      </c>
      <c r="E59" s="541">
        <f t="shared" ref="E59:E122" si="1">IF(OR(B59="ammonia",B59="hydrogen sulfide"),D59,D59*(1-$C$31))</f>
        <v>0</v>
      </c>
    </row>
    <row r="60" spans="1:5" x14ac:dyDescent="0.25">
      <c r="A60" s="539" t="str">
        <f>'Hidden Inputs'!AN4</f>
        <v/>
      </c>
      <c r="B60" s="1594" t="str">
        <f t="shared" si="0"/>
        <v/>
      </c>
      <c r="C60" s="1594"/>
      <c r="D60" s="544">
        <f>(IF(Tank1!$C$23="Vapor combustion unit",SUMIF(Tank1!$A$32:$A$49,VCU!A60,Tank1!$C$32:$C$49),0))+(IF(Tank2!$C$23="Vapor combustion unit",SUMIF(Tank2!$A$32:$A$49, VCU!A60,Tank2!$C$32:$C$49),0))+(IF(Tank3!$C$23="Vapor combustion unit",SUMIF(Tank3!$A$32:$A$49, VCU!A60,Tank3!$C$32:$C$49),0))+(IF(Tank4!$C$23="Vapor combustion unit",SUMIF(Tank4!$A$32:$A$49, VCU!A60,Tank4!$C$32:$C$49),0))+(IF(Tank5!$C$23="Vapor combustion unit",SUMIF(Tank5!$A$32:$A$49, VCU!A60,Tank5!$C$32:$C$49),0))+(IF('Loading-drum,tote'!$C$21="Vapor combustion unit",SUMIF('Loading-drum,tote'!$A$31:$A$48, VCU!A60,'Loading-drum,tote'!$F$31:$F$48),0))+(IF('Loading-truck'!$C$21="Vapor combustion unit",SUMIF('Loading-truck'!$A$31:$A$48, VCU!A60,'Loading-truck'!$F$31:$F$48),0))+(IF('Loading-rail'!$C$21="Vapor combustion unit",SUMIF('Loading-rail'!$A$31:$A$48, VCU!A60,'Loading-rail'!$F$31:$F$48),0))</f>
        <v>0</v>
      </c>
      <c r="E60" s="541">
        <f t="shared" si="1"/>
        <v>0</v>
      </c>
    </row>
    <row r="61" spans="1:5" x14ac:dyDescent="0.25">
      <c r="A61" s="539" t="str">
        <f>'Hidden Inputs'!AN5</f>
        <v/>
      </c>
      <c r="B61" s="1594" t="str">
        <f t="shared" si="0"/>
        <v/>
      </c>
      <c r="C61" s="1594"/>
      <c r="D61" s="544">
        <f>(IF(Tank1!$C$23="Vapor combustion unit",SUMIF(Tank1!$A$32:$A$49,VCU!A61,Tank1!$C$32:$C$49),0))+(IF(Tank2!$C$23="Vapor combustion unit",SUMIF(Tank2!$A$32:$A$49, VCU!A61,Tank2!$C$32:$C$49),0))+(IF(Tank3!$C$23="Vapor combustion unit",SUMIF(Tank3!$A$32:$A$49, VCU!A61,Tank3!$C$32:$C$49),0))+(IF(Tank4!$C$23="Vapor combustion unit",SUMIF(Tank4!$A$32:$A$49, VCU!A61,Tank4!$C$32:$C$49),0))+(IF(Tank5!$C$23="Vapor combustion unit",SUMIF(Tank5!$A$32:$A$49, VCU!A61,Tank5!$C$32:$C$49),0))+(IF('Loading-drum,tote'!$C$21="Vapor combustion unit",SUMIF('Loading-drum,tote'!$A$31:$A$48, VCU!A61,'Loading-drum,tote'!$F$31:$F$48),0))+(IF('Loading-truck'!$C$21="Vapor combustion unit",SUMIF('Loading-truck'!$A$31:$A$48, VCU!A61,'Loading-truck'!$F$31:$F$48),0))+(IF('Loading-rail'!$C$21="Vapor combustion unit",SUMIF('Loading-rail'!$A$31:$A$48, VCU!A61,'Loading-rail'!$F$31:$F$48),0))</f>
        <v>0</v>
      </c>
      <c r="E61" s="541">
        <f t="shared" si="1"/>
        <v>0</v>
      </c>
    </row>
    <row r="62" spans="1:5" x14ac:dyDescent="0.25">
      <c r="A62" s="539" t="str">
        <f>'Hidden Inputs'!AN6</f>
        <v/>
      </c>
      <c r="B62" s="1594" t="str">
        <f t="shared" si="0"/>
        <v/>
      </c>
      <c r="C62" s="1594"/>
      <c r="D62" s="544">
        <f>(IF(Tank1!$C$23="Vapor combustion unit",SUMIF(Tank1!$A$32:$A$49,VCU!A62,Tank1!$C$32:$C$49),0))+(IF(Tank2!$C$23="Vapor combustion unit",SUMIF(Tank2!$A$32:$A$49, VCU!A62,Tank2!$C$32:$C$49),0))+(IF(Tank3!$C$23="Vapor combustion unit",SUMIF(Tank3!$A$32:$A$49, VCU!A62,Tank3!$C$32:$C$49),0))+(IF(Tank4!$C$23="Vapor combustion unit",SUMIF(Tank4!$A$32:$A$49, VCU!A62,Tank4!$C$32:$C$49),0))+(IF(Tank5!$C$23="Vapor combustion unit",SUMIF(Tank5!$A$32:$A$49, VCU!A62,Tank5!$C$32:$C$49),0))+(IF('Loading-drum,tote'!$C$21="Vapor combustion unit",SUMIF('Loading-drum,tote'!$A$31:$A$48, VCU!A62,'Loading-drum,tote'!$F$31:$F$48),0))+(IF('Loading-truck'!$C$21="Vapor combustion unit",SUMIF('Loading-truck'!$A$31:$A$48, VCU!A62,'Loading-truck'!$F$31:$F$48),0))+(IF('Loading-rail'!$C$21="Vapor combustion unit",SUMIF('Loading-rail'!$A$31:$A$48, VCU!A62,'Loading-rail'!$F$31:$F$48),0))</f>
        <v>0</v>
      </c>
      <c r="E62" s="541">
        <f t="shared" si="1"/>
        <v>0</v>
      </c>
    </row>
    <row r="63" spans="1:5" x14ac:dyDescent="0.25">
      <c r="A63" s="539" t="str">
        <f>'Hidden Inputs'!AN7</f>
        <v/>
      </c>
      <c r="B63" s="1594" t="str">
        <f t="shared" si="0"/>
        <v/>
      </c>
      <c r="C63" s="1594"/>
      <c r="D63" s="544">
        <f>(IF(Tank1!$C$23="Vapor combustion unit",SUMIF(Tank1!$A$32:$A$49,VCU!A63,Tank1!$C$32:$C$49),0))+(IF(Tank2!$C$23="Vapor combustion unit",SUMIF(Tank2!$A$32:$A$49, VCU!A63,Tank2!$C$32:$C$49),0))+(IF(Tank3!$C$23="Vapor combustion unit",SUMIF(Tank3!$A$32:$A$49, VCU!A63,Tank3!$C$32:$C$49),0))+(IF(Tank4!$C$23="Vapor combustion unit",SUMIF(Tank4!$A$32:$A$49, VCU!A63,Tank4!$C$32:$C$49),0))+(IF(Tank5!$C$23="Vapor combustion unit",SUMIF(Tank5!$A$32:$A$49, VCU!A63,Tank5!$C$32:$C$49),0))+(IF('Loading-drum,tote'!$C$21="Vapor combustion unit",SUMIF('Loading-drum,tote'!$A$31:$A$48, VCU!A63,'Loading-drum,tote'!$F$31:$F$48),0))+(IF('Loading-truck'!$C$21="Vapor combustion unit",SUMIF('Loading-truck'!$A$31:$A$48, VCU!A63,'Loading-truck'!$F$31:$F$48),0))+(IF('Loading-rail'!$C$21="Vapor combustion unit",SUMIF('Loading-rail'!$A$31:$A$48, VCU!A63,'Loading-rail'!$F$31:$F$48),0))</f>
        <v>0</v>
      </c>
      <c r="E63" s="541">
        <f t="shared" si="1"/>
        <v>0</v>
      </c>
    </row>
    <row r="64" spans="1:5" x14ac:dyDescent="0.25">
      <c r="A64" s="539" t="str">
        <f>'Hidden Inputs'!AN8</f>
        <v/>
      </c>
      <c r="B64" s="1594" t="str">
        <f t="shared" si="0"/>
        <v/>
      </c>
      <c r="C64" s="1594"/>
      <c r="D64" s="544">
        <f>(IF(Tank1!$C$23="Vapor combustion unit",SUMIF(Tank1!$A$32:$A$49,VCU!A64,Tank1!$C$32:$C$49),0))+(IF(Tank2!$C$23="Vapor combustion unit",SUMIF(Tank2!$A$32:$A$49, VCU!A64,Tank2!$C$32:$C$49),0))+(IF(Tank3!$C$23="Vapor combustion unit",SUMIF(Tank3!$A$32:$A$49, VCU!A64,Tank3!$C$32:$C$49),0))+(IF(Tank4!$C$23="Vapor combustion unit",SUMIF(Tank4!$A$32:$A$49, VCU!A64,Tank4!$C$32:$C$49),0))+(IF(Tank5!$C$23="Vapor combustion unit",SUMIF(Tank5!$A$32:$A$49, VCU!A64,Tank5!$C$32:$C$49),0))+(IF('Loading-drum,tote'!$C$21="Vapor combustion unit",SUMIF('Loading-drum,tote'!$A$31:$A$48, VCU!A64,'Loading-drum,tote'!$F$31:$F$48),0))+(IF('Loading-truck'!$C$21="Vapor combustion unit",SUMIF('Loading-truck'!$A$31:$A$48, VCU!A64,'Loading-truck'!$F$31:$F$48),0))+(IF('Loading-rail'!$C$21="Vapor combustion unit",SUMIF('Loading-rail'!$A$31:$A$48, VCU!A64,'Loading-rail'!$F$31:$F$48),0))</f>
        <v>0</v>
      </c>
      <c r="E64" s="541">
        <f t="shared" si="1"/>
        <v>0</v>
      </c>
    </row>
    <row r="65" spans="1:5" x14ac:dyDescent="0.25">
      <c r="A65" s="539" t="str">
        <f>'Hidden Inputs'!AN9</f>
        <v/>
      </c>
      <c r="B65" s="1594" t="str">
        <f t="shared" si="0"/>
        <v/>
      </c>
      <c r="C65" s="1594"/>
      <c r="D65" s="544">
        <f>(IF(Tank1!$C$23="Vapor combustion unit",SUMIF(Tank1!$A$32:$A$49,VCU!A65,Tank1!$C$32:$C$49),0))+(IF(Tank2!$C$23="Vapor combustion unit",SUMIF(Tank2!$A$32:$A$49, VCU!A65,Tank2!$C$32:$C$49),0))+(IF(Tank3!$C$23="Vapor combustion unit",SUMIF(Tank3!$A$32:$A$49, VCU!A65,Tank3!$C$32:$C$49),0))+(IF(Tank4!$C$23="Vapor combustion unit",SUMIF(Tank4!$A$32:$A$49, VCU!A65,Tank4!$C$32:$C$49),0))+(IF(Tank5!$C$23="Vapor combustion unit",SUMIF(Tank5!$A$32:$A$49, VCU!A65,Tank5!$C$32:$C$49),0))+(IF('Loading-drum,tote'!$C$21="Vapor combustion unit",SUMIF('Loading-drum,tote'!$A$31:$A$48, VCU!A65,'Loading-drum,tote'!$F$31:$F$48),0))+(IF('Loading-truck'!$C$21="Vapor combustion unit",SUMIF('Loading-truck'!$A$31:$A$48, VCU!A65,'Loading-truck'!$F$31:$F$48),0))+(IF('Loading-rail'!$C$21="Vapor combustion unit",SUMIF('Loading-rail'!$A$31:$A$48, VCU!A65,'Loading-rail'!$F$31:$F$48),0))</f>
        <v>0</v>
      </c>
      <c r="E65" s="541">
        <f t="shared" si="1"/>
        <v>0</v>
      </c>
    </row>
    <row r="66" spans="1:5" x14ac:dyDescent="0.25">
      <c r="A66" s="539" t="str">
        <f>'Hidden Inputs'!AN10</f>
        <v/>
      </c>
      <c r="B66" s="1594" t="str">
        <f t="shared" si="0"/>
        <v/>
      </c>
      <c r="C66" s="1594"/>
      <c r="D66" s="544">
        <f>(IF(Tank1!$C$23="Vapor combustion unit",SUMIF(Tank1!$A$32:$A$49,VCU!A66,Tank1!$C$32:$C$49),0))+(IF(Tank2!$C$23="Vapor combustion unit",SUMIF(Tank2!$A$32:$A$49, VCU!A66,Tank2!$C$32:$C$49),0))+(IF(Tank3!$C$23="Vapor combustion unit",SUMIF(Tank3!$A$32:$A$49, VCU!A66,Tank3!$C$32:$C$49),0))+(IF(Tank4!$C$23="Vapor combustion unit",SUMIF(Tank4!$A$32:$A$49, VCU!A66,Tank4!$C$32:$C$49),0))+(IF(Tank5!$C$23="Vapor combustion unit",SUMIF(Tank5!$A$32:$A$49, VCU!A66,Tank5!$C$32:$C$49),0))+(IF('Loading-drum,tote'!$C$21="Vapor combustion unit",SUMIF('Loading-drum,tote'!$A$31:$A$48, VCU!A66,'Loading-drum,tote'!$F$31:$F$48),0))+(IF('Loading-truck'!$C$21="Vapor combustion unit",SUMIF('Loading-truck'!$A$31:$A$48, VCU!A66,'Loading-truck'!$F$31:$F$48),0))+(IF('Loading-rail'!$C$21="Vapor combustion unit",SUMIF('Loading-rail'!$A$31:$A$48, VCU!A66,'Loading-rail'!$F$31:$F$48),0))</f>
        <v>0</v>
      </c>
      <c r="E66" s="541">
        <f t="shared" si="1"/>
        <v>0</v>
      </c>
    </row>
    <row r="67" spans="1:5" x14ac:dyDescent="0.25">
      <c r="A67" s="539" t="str">
        <f>'Hidden Inputs'!AN11</f>
        <v/>
      </c>
      <c r="B67" s="1594" t="str">
        <f t="shared" si="0"/>
        <v/>
      </c>
      <c r="C67" s="1594"/>
      <c r="D67" s="544">
        <f>(IF(Tank1!$C$23="Vapor combustion unit",SUMIF(Tank1!$A$32:$A$49,VCU!A67,Tank1!$C$32:$C$49),0))+(IF(Tank2!$C$23="Vapor combustion unit",SUMIF(Tank2!$A$32:$A$49, VCU!A67,Tank2!$C$32:$C$49),0))+(IF(Tank3!$C$23="Vapor combustion unit",SUMIF(Tank3!$A$32:$A$49, VCU!A67,Tank3!$C$32:$C$49),0))+(IF(Tank4!$C$23="Vapor combustion unit",SUMIF(Tank4!$A$32:$A$49, VCU!A67,Tank4!$C$32:$C$49),0))+(IF(Tank5!$C$23="Vapor combustion unit",SUMIF(Tank5!$A$32:$A$49, VCU!A67,Tank5!$C$32:$C$49),0))+(IF('Loading-drum,tote'!$C$21="Vapor combustion unit",SUMIF('Loading-drum,tote'!$A$31:$A$48, VCU!A67,'Loading-drum,tote'!$F$31:$F$48),0))+(IF('Loading-truck'!$C$21="Vapor combustion unit",SUMIF('Loading-truck'!$A$31:$A$48, VCU!A67,'Loading-truck'!$F$31:$F$48),0))+(IF('Loading-rail'!$C$21="Vapor combustion unit",SUMIF('Loading-rail'!$A$31:$A$48, VCU!A67,'Loading-rail'!$F$31:$F$48),0))</f>
        <v>0</v>
      </c>
      <c r="E67" s="541">
        <f t="shared" si="1"/>
        <v>0</v>
      </c>
    </row>
    <row r="68" spans="1:5" x14ac:dyDescent="0.25">
      <c r="A68" s="539" t="str">
        <f>'Hidden Inputs'!AN12</f>
        <v/>
      </c>
      <c r="B68" s="1594" t="str">
        <f t="shared" si="0"/>
        <v/>
      </c>
      <c r="C68" s="1594"/>
      <c r="D68" s="544">
        <f>(IF(Tank1!$C$23="Vapor combustion unit",SUMIF(Tank1!$A$32:$A$49,VCU!A68,Tank1!$C$32:$C$49),0))+(IF(Tank2!$C$23="Vapor combustion unit",SUMIF(Tank2!$A$32:$A$49, VCU!A68,Tank2!$C$32:$C$49),0))+(IF(Tank3!$C$23="Vapor combustion unit",SUMIF(Tank3!$A$32:$A$49, VCU!A68,Tank3!$C$32:$C$49),0))+(IF(Tank4!$C$23="Vapor combustion unit",SUMIF(Tank4!$A$32:$A$49, VCU!A68,Tank4!$C$32:$C$49),0))+(IF(Tank5!$C$23="Vapor combustion unit",SUMIF(Tank5!$A$32:$A$49, VCU!A68,Tank5!$C$32:$C$49),0))+(IF('Loading-drum,tote'!$C$21="Vapor combustion unit",SUMIF('Loading-drum,tote'!$A$31:$A$48, VCU!A68,'Loading-drum,tote'!$F$31:$F$48),0))+(IF('Loading-truck'!$C$21="Vapor combustion unit",SUMIF('Loading-truck'!$A$31:$A$48, VCU!A68,'Loading-truck'!$F$31:$F$48),0))+(IF('Loading-rail'!$C$21="Vapor combustion unit",SUMIF('Loading-rail'!$A$31:$A$48, VCU!A68,'Loading-rail'!$F$31:$F$48),0))</f>
        <v>0</v>
      </c>
      <c r="E68" s="541">
        <f t="shared" si="1"/>
        <v>0</v>
      </c>
    </row>
    <row r="69" spans="1:5" x14ac:dyDescent="0.25">
      <c r="A69" s="539" t="str">
        <f>'Hidden Inputs'!AN13</f>
        <v/>
      </c>
      <c r="B69" s="1594" t="str">
        <f t="shared" si="0"/>
        <v/>
      </c>
      <c r="C69" s="1594"/>
      <c r="D69" s="544">
        <f>(IF(Tank1!$C$23="Vapor combustion unit",SUMIF(Tank1!$A$32:$A$49,VCU!A69,Tank1!$C$32:$C$49),0))+(IF(Tank2!$C$23="Vapor combustion unit",SUMIF(Tank2!$A$32:$A$49, VCU!A69,Tank2!$C$32:$C$49),0))+(IF(Tank3!$C$23="Vapor combustion unit",SUMIF(Tank3!$A$32:$A$49, VCU!A69,Tank3!$C$32:$C$49),0))+(IF(Tank4!$C$23="Vapor combustion unit",SUMIF(Tank4!$A$32:$A$49, VCU!A69,Tank4!$C$32:$C$49),0))+(IF(Tank5!$C$23="Vapor combustion unit",SUMIF(Tank5!$A$32:$A$49, VCU!A69,Tank5!$C$32:$C$49),0))+(IF('Loading-drum,tote'!$C$21="Vapor combustion unit",SUMIF('Loading-drum,tote'!$A$31:$A$48, VCU!A69,'Loading-drum,tote'!$F$31:$F$48),0))+(IF('Loading-truck'!$C$21="Vapor combustion unit",SUMIF('Loading-truck'!$A$31:$A$48, VCU!A69,'Loading-truck'!$F$31:$F$48),0))+(IF('Loading-rail'!$C$21="Vapor combustion unit",SUMIF('Loading-rail'!$A$31:$A$48, VCU!A69,'Loading-rail'!$F$31:$F$48),0))</f>
        <v>0</v>
      </c>
      <c r="E69" s="541">
        <f t="shared" si="1"/>
        <v>0</v>
      </c>
    </row>
    <row r="70" spans="1:5" x14ac:dyDescent="0.25">
      <c r="A70" s="539" t="str">
        <f>'Hidden Inputs'!AN14</f>
        <v/>
      </c>
      <c r="B70" s="1594" t="str">
        <f t="shared" si="0"/>
        <v/>
      </c>
      <c r="C70" s="1594"/>
      <c r="D70" s="544">
        <f>(IF(Tank1!$C$23="Vapor combustion unit",SUMIF(Tank1!$A$32:$A$49,VCU!A70,Tank1!$C$32:$C$49),0))+(IF(Tank2!$C$23="Vapor combustion unit",SUMIF(Tank2!$A$32:$A$49, VCU!A70,Tank2!$C$32:$C$49),0))+(IF(Tank3!$C$23="Vapor combustion unit",SUMIF(Tank3!$A$32:$A$49, VCU!A70,Tank3!$C$32:$C$49),0))+(IF(Tank4!$C$23="Vapor combustion unit",SUMIF(Tank4!$A$32:$A$49, VCU!A70,Tank4!$C$32:$C$49),0))+(IF(Tank5!$C$23="Vapor combustion unit",SUMIF(Tank5!$A$32:$A$49, VCU!A70,Tank5!$C$32:$C$49),0))+(IF('Loading-drum,tote'!$C$21="Vapor combustion unit",SUMIF('Loading-drum,tote'!$A$31:$A$48, VCU!A70,'Loading-drum,tote'!$F$31:$F$48),0))+(IF('Loading-truck'!$C$21="Vapor combustion unit",SUMIF('Loading-truck'!$A$31:$A$48, VCU!A70,'Loading-truck'!$F$31:$F$48),0))+(IF('Loading-rail'!$C$21="Vapor combustion unit",SUMIF('Loading-rail'!$A$31:$A$48, VCU!A70,'Loading-rail'!$F$31:$F$48),0))</f>
        <v>0</v>
      </c>
      <c r="E70" s="541">
        <f t="shared" si="1"/>
        <v>0</v>
      </c>
    </row>
    <row r="71" spans="1:5" x14ac:dyDescent="0.25">
      <c r="A71" s="539" t="str">
        <f>'Hidden Inputs'!AN15</f>
        <v/>
      </c>
      <c r="B71" s="1594" t="str">
        <f t="shared" si="0"/>
        <v/>
      </c>
      <c r="C71" s="1594"/>
      <c r="D71" s="544">
        <f>(IF(Tank1!$C$23="Vapor combustion unit",SUMIF(Tank1!$A$32:$A$49,VCU!A71,Tank1!$C$32:$C$49),0))+(IF(Tank2!$C$23="Vapor combustion unit",SUMIF(Tank2!$A$32:$A$49, VCU!A71,Tank2!$C$32:$C$49),0))+(IF(Tank3!$C$23="Vapor combustion unit",SUMIF(Tank3!$A$32:$A$49, VCU!A71,Tank3!$C$32:$C$49),0))+(IF(Tank4!$C$23="Vapor combustion unit",SUMIF(Tank4!$A$32:$A$49, VCU!A71,Tank4!$C$32:$C$49),0))+(IF(Tank5!$C$23="Vapor combustion unit",SUMIF(Tank5!$A$32:$A$49, VCU!A71,Tank5!$C$32:$C$49),0))+(IF('Loading-drum,tote'!$C$21="Vapor combustion unit",SUMIF('Loading-drum,tote'!$A$31:$A$48, VCU!A71,'Loading-drum,tote'!$F$31:$F$48),0))+(IF('Loading-truck'!$C$21="Vapor combustion unit",SUMIF('Loading-truck'!$A$31:$A$48, VCU!A71,'Loading-truck'!$F$31:$F$48),0))+(IF('Loading-rail'!$C$21="Vapor combustion unit",SUMIF('Loading-rail'!$A$31:$A$48, VCU!A71,'Loading-rail'!$F$31:$F$48),0))</f>
        <v>0</v>
      </c>
      <c r="E71" s="541">
        <f t="shared" si="1"/>
        <v>0</v>
      </c>
    </row>
    <row r="72" spans="1:5" x14ac:dyDescent="0.25">
      <c r="A72" s="539" t="str">
        <f>'Hidden Inputs'!AN16</f>
        <v/>
      </c>
      <c r="B72" s="1594" t="str">
        <f t="shared" si="0"/>
        <v/>
      </c>
      <c r="C72" s="1594"/>
      <c r="D72" s="544">
        <f>(IF(Tank1!$C$23="Vapor combustion unit",SUMIF(Tank1!$A$32:$A$49,VCU!A72,Tank1!$C$32:$C$49),0))+(IF(Tank2!$C$23="Vapor combustion unit",SUMIF(Tank2!$A$32:$A$49, VCU!A72,Tank2!$C$32:$C$49),0))+(IF(Tank3!$C$23="Vapor combustion unit",SUMIF(Tank3!$A$32:$A$49, VCU!A72,Tank3!$C$32:$C$49),0))+(IF(Tank4!$C$23="Vapor combustion unit",SUMIF(Tank4!$A$32:$A$49, VCU!A72,Tank4!$C$32:$C$49),0))+(IF(Tank5!$C$23="Vapor combustion unit",SUMIF(Tank5!$A$32:$A$49, VCU!A72,Tank5!$C$32:$C$49),0))+(IF('Loading-drum,tote'!$C$21="Vapor combustion unit",SUMIF('Loading-drum,tote'!$A$31:$A$48, VCU!A72,'Loading-drum,tote'!$F$31:$F$48),0))+(IF('Loading-truck'!$C$21="Vapor combustion unit",SUMIF('Loading-truck'!$A$31:$A$48, VCU!A72,'Loading-truck'!$F$31:$F$48),0))+(IF('Loading-rail'!$C$21="Vapor combustion unit",SUMIF('Loading-rail'!$A$31:$A$48, VCU!A72,'Loading-rail'!$F$31:$F$48),0))</f>
        <v>0</v>
      </c>
      <c r="E72" s="541">
        <f t="shared" si="1"/>
        <v>0</v>
      </c>
    </row>
    <row r="73" spans="1:5" x14ac:dyDescent="0.25">
      <c r="A73" s="539" t="str">
        <f>'Hidden Inputs'!AN17</f>
        <v/>
      </c>
      <c r="B73" s="1594" t="str">
        <f t="shared" si="0"/>
        <v/>
      </c>
      <c r="C73" s="1594"/>
      <c r="D73" s="544">
        <f>(IF(Tank1!$C$23="Vapor combustion unit",SUMIF(Tank1!$A$32:$A$49,VCU!A73,Tank1!$C$32:$C$49),0))+(IF(Tank2!$C$23="Vapor combustion unit",SUMIF(Tank2!$A$32:$A$49, VCU!A73,Tank2!$C$32:$C$49),0))+(IF(Tank3!$C$23="Vapor combustion unit",SUMIF(Tank3!$A$32:$A$49, VCU!A73,Tank3!$C$32:$C$49),0))+(IF(Tank4!$C$23="Vapor combustion unit",SUMIF(Tank4!$A$32:$A$49, VCU!A73,Tank4!$C$32:$C$49),0))+(IF(Tank5!$C$23="Vapor combustion unit",SUMIF(Tank5!$A$32:$A$49, VCU!A73,Tank5!$C$32:$C$49),0))+(IF('Loading-drum,tote'!$C$21="Vapor combustion unit",SUMIF('Loading-drum,tote'!$A$31:$A$48, VCU!A73,'Loading-drum,tote'!$F$31:$F$48),0))+(IF('Loading-truck'!$C$21="Vapor combustion unit",SUMIF('Loading-truck'!$A$31:$A$48, VCU!A73,'Loading-truck'!$F$31:$F$48),0))+(IF('Loading-rail'!$C$21="Vapor combustion unit",SUMIF('Loading-rail'!$A$31:$A$48, VCU!A73,'Loading-rail'!$F$31:$F$48),0))</f>
        <v>0</v>
      </c>
      <c r="E73" s="541">
        <f t="shared" si="1"/>
        <v>0</v>
      </c>
    </row>
    <row r="74" spans="1:5" x14ac:dyDescent="0.25">
      <c r="A74" s="539" t="str">
        <f>'Hidden Inputs'!AN18</f>
        <v/>
      </c>
      <c r="B74" s="1594" t="str">
        <f t="shared" si="0"/>
        <v/>
      </c>
      <c r="C74" s="1594"/>
      <c r="D74" s="544">
        <f>(IF(Tank1!$C$23="Vapor combustion unit",SUMIF(Tank1!$A$32:$A$49,VCU!A74,Tank1!$C$32:$C$49),0))+(IF(Tank2!$C$23="Vapor combustion unit",SUMIF(Tank2!$A$32:$A$49, VCU!A74,Tank2!$C$32:$C$49),0))+(IF(Tank3!$C$23="Vapor combustion unit",SUMIF(Tank3!$A$32:$A$49, VCU!A74,Tank3!$C$32:$C$49),0))+(IF(Tank4!$C$23="Vapor combustion unit",SUMIF(Tank4!$A$32:$A$49, VCU!A74,Tank4!$C$32:$C$49),0))+(IF(Tank5!$C$23="Vapor combustion unit",SUMIF(Tank5!$A$32:$A$49, VCU!A74,Tank5!$C$32:$C$49),0))+(IF('Loading-drum,tote'!$C$21="Vapor combustion unit",SUMIF('Loading-drum,tote'!$A$31:$A$48, VCU!A74,'Loading-drum,tote'!$F$31:$F$48),0))+(IF('Loading-truck'!$C$21="Vapor combustion unit",SUMIF('Loading-truck'!$A$31:$A$48, VCU!A74,'Loading-truck'!$F$31:$F$48),0))+(IF('Loading-rail'!$C$21="Vapor combustion unit",SUMIF('Loading-rail'!$A$31:$A$48, VCU!A74,'Loading-rail'!$F$31:$F$48),0))</f>
        <v>0</v>
      </c>
      <c r="E74" s="541">
        <f t="shared" si="1"/>
        <v>0</v>
      </c>
    </row>
    <row r="75" spans="1:5" x14ac:dyDescent="0.25">
      <c r="A75" s="539" t="str">
        <f>'Hidden Inputs'!AN19</f>
        <v/>
      </c>
      <c r="B75" s="1594" t="str">
        <f t="shared" si="0"/>
        <v/>
      </c>
      <c r="C75" s="1594"/>
      <c r="D75" s="544">
        <f>(IF(Tank1!$C$23="Vapor combustion unit",SUMIF(Tank1!$A$32:$A$49,VCU!A75,Tank1!$C$32:$C$49),0))+(IF(Tank2!$C$23="Vapor combustion unit",SUMIF(Tank2!$A$32:$A$49, VCU!A75,Tank2!$C$32:$C$49),0))+(IF(Tank3!$C$23="Vapor combustion unit",SUMIF(Tank3!$A$32:$A$49, VCU!A75,Tank3!$C$32:$C$49),0))+(IF(Tank4!$C$23="Vapor combustion unit",SUMIF(Tank4!$A$32:$A$49, VCU!A75,Tank4!$C$32:$C$49),0))+(IF(Tank5!$C$23="Vapor combustion unit",SUMIF(Tank5!$A$32:$A$49, VCU!A75,Tank5!$C$32:$C$49),0))+(IF('Loading-drum,tote'!$C$21="Vapor combustion unit",SUMIF('Loading-drum,tote'!$A$31:$A$48, VCU!A75,'Loading-drum,tote'!$F$31:$F$48),0))+(IF('Loading-truck'!$C$21="Vapor combustion unit",SUMIF('Loading-truck'!$A$31:$A$48, VCU!A75,'Loading-truck'!$F$31:$F$48),0))+(IF('Loading-rail'!$C$21="Vapor combustion unit",SUMIF('Loading-rail'!$A$31:$A$48, VCU!A75,'Loading-rail'!$F$31:$F$48),0))</f>
        <v>0</v>
      </c>
      <c r="E75" s="541">
        <f t="shared" si="1"/>
        <v>0</v>
      </c>
    </row>
    <row r="76" spans="1:5" x14ac:dyDescent="0.25">
      <c r="A76" s="539" t="str">
        <f>'Hidden Inputs'!AN20</f>
        <v/>
      </c>
      <c r="B76" s="1594" t="str">
        <f t="shared" si="0"/>
        <v/>
      </c>
      <c r="C76" s="1594"/>
      <c r="D76" s="544">
        <f>(IF(Tank1!$C$23="Vapor combustion unit",SUMIF(Tank1!$A$32:$A$49,VCU!A76,Tank1!$C$32:$C$49),0))+(IF(Tank2!$C$23="Vapor combustion unit",SUMIF(Tank2!$A$32:$A$49, VCU!A76,Tank2!$C$32:$C$49),0))+(IF(Tank3!$C$23="Vapor combustion unit",SUMIF(Tank3!$A$32:$A$49, VCU!A76,Tank3!$C$32:$C$49),0))+(IF(Tank4!$C$23="Vapor combustion unit",SUMIF(Tank4!$A$32:$A$49, VCU!A76,Tank4!$C$32:$C$49),0))+(IF(Tank5!$C$23="Vapor combustion unit",SUMIF(Tank5!$A$32:$A$49, VCU!A76,Tank5!$C$32:$C$49),0))+(IF('Loading-drum,tote'!$C$21="Vapor combustion unit",SUMIF('Loading-drum,tote'!$A$31:$A$48, VCU!A76,'Loading-drum,tote'!$F$31:$F$48),0))+(IF('Loading-truck'!$C$21="Vapor combustion unit",SUMIF('Loading-truck'!$A$31:$A$48, VCU!A76,'Loading-truck'!$F$31:$F$48),0))+(IF('Loading-rail'!$C$21="Vapor combustion unit",SUMIF('Loading-rail'!$A$31:$A$48, VCU!A76,'Loading-rail'!$F$31:$F$48),0))</f>
        <v>0</v>
      </c>
      <c r="E76" s="541">
        <f t="shared" si="1"/>
        <v>0</v>
      </c>
    </row>
    <row r="77" spans="1:5" x14ac:dyDescent="0.25">
      <c r="A77" s="539" t="str">
        <f>'Hidden Inputs'!AN21</f>
        <v/>
      </c>
      <c r="B77" s="1594" t="str">
        <f t="shared" si="0"/>
        <v/>
      </c>
      <c r="C77" s="1594"/>
      <c r="D77" s="544">
        <f>(IF(Tank1!$C$23="Vapor combustion unit",SUMIF(Tank1!$A$32:$A$49,VCU!A77,Tank1!$C$32:$C$49),0))+(IF(Tank2!$C$23="Vapor combustion unit",SUMIF(Tank2!$A$32:$A$49, VCU!A77,Tank2!$C$32:$C$49),0))+(IF(Tank3!$C$23="Vapor combustion unit",SUMIF(Tank3!$A$32:$A$49, VCU!A77,Tank3!$C$32:$C$49),0))+(IF(Tank4!$C$23="Vapor combustion unit",SUMIF(Tank4!$A$32:$A$49, VCU!A77,Tank4!$C$32:$C$49),0))+(IF(Tank5!$C$23="Vapor combustion unit",SUMIF(Tank5!$A$32:$A$49, VCU!A77,Tank5!$C$32:$C$49),0))+(IF('Loading-drum,tote'!$C$21="Vapor combustion unit",SUMIF('Loading-drum,tote'!$A$31:$A$48, VCU!A77,'Loading-drum,tote'!$F$31:$F$48),0))+(IF('Loading-truck'!$C$21="Vapor combustion unit",SUMIF('Loading-truck'!$A$31:$A$48, VCU!A77,'Loading-truck'!$F$31:$F$48),0))+(IF('Loading-rail'!$C$21="Vapor combustion unit",SUMIF('Loading-rail'!$A$31:$A$48, VCU!A77,'Loading-rail'!$F$31:$F$48),0))</f>
        <v>0</v>
      </c>
      <c r="E77" s="541">
        <f t="shared" si="1"/>
        <v>0</v>
      </c>
    </row>
    <row r="78" spans="1:5" x14ac:dyDescent="0.25">
      <c r="A78" s="539" t="str">
        <f>'Hidden Inputs'!AN22</f>
        <v/>
      </c>
      <c r="B78" s="1594" t="str">
        <f t="shared" si="0"/>
        <v/>
      </c>
      <c r="C78" s="1594"/>
      <c r="D78" s="544">
        <f>(IF(Tank1!$C$23="Vapor combustion unit",SUMIF(Tank1!$A$32:$A$49,VCU!A78,Tank1!$C$32:$C$49),0))+(IF(Tank2!$C$23="Vapor combustion unit",SUMIF(Tank2!$A$32:$A$49, VCU!A78,Tank2!$C$32:$C$49),0))+(IF(Tank3!$C$23="Vapor combustion unit",SUMIF(Tank3!$A$32:$A$49, VCU!A78,Tank3!$C$32:$C$49),0))+(IF(Tank4!$C$23="Vapor combustion unit",SUMIF(Tank4!$A$32:$A$49, VCU!A78,Tank4!$C$32:$C$49),0))+(IF(Tank5!$C$23="Vapor combustion unit",SUMIF(Tank5!$A$32:$A$49, VCU!A78,Tank5!$C$32:$C$49),0))+(IF('Loading-drum,tote'!$C$21="Vapor combustion unit",SUMIF('Loading-drum,tote'!$A$31:$A$48, VCU!A78,'Loading-drum,tote'!$F$31:$F$48),0))+(IF('Loading-truck'!$C$21="Vapor combustion unit",SUMIF('Loading-truck'!$A$31:$A$48, VCU!A78,'Loading-truck'!$F$31:$F$48),0))+(IF('Loading-rail'!$C$21="Vapor combustion unit",SUMIF('Loading-rail'!$A$31:$A$48, VCU!A78,'Loading-rail'!$F$31:$F$48),0))</f>
        <v>0</v>
      </c>
      <c r="E78" s="541">
        <f t="shared" si="1"/>
        <v>0</v>
      </c>
    </row>
    <row r="79" spans="1:5" x14ac:dyDescent="0.25">
      <c r="A79" s="539" t="str">
        <f>'Hidden Inputs'!AN23</f>
        <v/>
      </c>
      <c r="B79" s="1594" t="str">
        <f t="shared" si="0"/>
        <v/>
      </c>
      <c r="C79" s="1594"/>
      <c r="D79" s="544">
        <f>(IF(Tank1!$C$23="Vapor combustion unit",SUMIF(Tank1!$A$32:$A$49,VCU!A79,Tank1!$C$32:$C$49),0))+(IF(Tank2!$C$23="Vapor combustion unit",SUMIF(Tank2!$A$32:$A$49, VCU!A79,Tank2!$C$32:$C$49),0))+(IF(Tank3!$C$23="Vapor combustion unit",SUMIF(Tank3!$A$32:$A$49, VCU!A79,Tank3!$C$32:$C$49),0))+(IF(Tank4!$C$23="Vapor combustion unit",SUMIF(Tank4!$A$32:$A$49, VCU!A79,Tank4!$C$32:$C$49),0))+(IF(Tank5!$C$23="Vapor combustion unit",SUMIF(Tank5!$A$32:$A$49, VCU!A79,Tank5!$C$32:$C$49),0))+(IF('Loading-drum,tote'!$C$21="Vapor combustion unit",SUMIF('Loading-drum,tote'!$A$31:$A$48, VCU!A79,'Loading-drum,tote'!$F$31:$F$48),0))+(IF('Loading-truck'!$C$21="Vapor combustion unit",SUMIF('Loading-truck'!$A$31:$A$48, VCU!A79,'Loading-truck'!$F$31:$F$48),0))+(IF('Loading-rail'!$C$21="Vapor combustion unit",SUMIF('Loading-rail'!$A$31:$A$48, VCU!A79,'Loading-rail'!$F$31:$F$48),0))</f>
        <v>0</v>
      </c>
      <c r="E79" s="541">
        <f t="shared" si="1"/>
        <v>0</v>
      </c>
    </row>
    <row r="80" spans="1:5" x14ac:dyDescent="0.25">
      <c r="A80" s="539" t="str">
        <f>'Hidden Inputs'!AN24</f>
        <v/>
      </c>
      <c r="B80" s="1594" t="str">
        <f t="shared" si="0"/>
        <v/>
      </c>
      <c r="C80" s="1594"/>
      <c r="D80" s="544">
        <f>(IF(Tank1!$C$23="Vapor combustion unit",SUMIF(Tank1!$A$32:$A$49,VCU!A80,Tank1!$C$32:$C$49),0))+(IF(Tank2!$C$23="Vapor combustion unit",SUMIF(Tank2!$A$32:$A$49, VCU!A80,Tank2!$C$32:$C$49),0))+(IF(Tank3!$C$23="Vapor combustion unit",SUMIF(Tank3!$A$32:$A$49, VCU!A80,Tank3!$C$32:$C$49),0))+(IF(Tank4!$C$23="Vapor combustion unit",SUMIF(Tank4!$A$32:$A$49, VCU!A80,Tank4!$C$32:$C$49),0))+(IF(Tank5!$C$23="Vapor combustion unit",SUMIF(Tank5!$A$32:$A$49, VCU!A80,Tank5!$C$32:$C$49),0))+(IF('Loading-drum,tote'!$C$21="Vapor combustion unit",SUMIF('Loading-drum,tote'!$A$31:$A$48, VCU!A80,'Loading-drum,tote'!$F$31:$F$48),0))+(IF('Loading-truck'!$C$21="Vapor combustion unit",SUMIF('Loading-truck'!$A$31:$A$48, VCU!A80,'Loading-truck'!$F$31:$F$48),0))+(IF('Loading-rail'!$C$21="Vapor combustion unit",SUMIF('Loading-rail'!$A$31:$A$48, VCU!A80,'Loading-rail'!$F$31:$F$48),0))</f>
        <v>0</v>
      </c>
      <c r="E80" s="541">
        <f t="shared" si="1"/>
        <v>0</v>
      </c>
    </row>
    <row r="81" spans="1:5" x14ac:dyDescent="0.25">
      <c r="A81" s="539" t="str">
        <f>'Hidden Inputs'!AN25</f>
        <v/>
      </c>
      <c r="B81" s="1594" t="str">
        <f t="shared" si="0"/>
        <v/>
      </c>
      <c r="C81" s="1594"/>
      <c r="D81" s="544">
        <f>(IF(Tank1!$C$23="Vapor combustion unit",SUMIF(Tank1!$A$32:$A$49,VCU!A81,Tank1!$C$32:$C$49),0))+(IF(Tank2!$C$23="Vapor combustion unit",SUMIF(Tank2!$A$32:$A$49, VCU!A81,Tank2!$C$32:$C$49),0))+(IF(Tank3!$C$23="Vapor combustion unit",SUMIF(Tank3!$A$32:$A$49, VCU!A81,Tank3!$C$32:$C$49),0))+(IF(Tank4!$C$23="Vapor combustion unit",SUMIF(Tank4!$A$32:$A$49, VCU!A81,Tank4!$C$32:$C$49),0))+(IF(Tank5!$C$23="Vapor combustion unit",SUMIF(Tank5!$A$32:$A$49, VCU!A81,Tank5!$C$32:$C$49),0))+(IF('Loading-drum,tote'!$C$21="Vapor combustion unit",SUMIF('Loading-drum,tote'!$A$31:$A$48, VCU!A81,'Loading-drum,tote'!$F$31:$F$48),0))+(IF('Loading-truck'!$C$21="Vapor combustion unit",SUMIF('Loading-truck'!$A$31:$A$48, VCU!A81,'Loading-truck'!$F$31:$F$48),0))+(IF('Loading-rail'!$C$21="Vapor combustion unit",SUMIF('Loading-rail'!$A$31:$A$48, VCU!A81,'Loading-rail'!$F$31:$F$48),0))</f>
        <v>0</v>
      </c>
      <c r="E81" s="541">
        <f t="shared" si="1"/>
        <v>0</v>
      </c>
    </row>
    <row r="82" spans="1:5" x14ac:dyDescent="0.25">
      <c r="A82" s="539" t="str">
        <f>'Hidden Inputs'!AN26</f>
        <v/>
      </c>
      <c r="B82" s="1594" t="str">
        <f t="shared" si="0"/>
        <v/>
      </c>
      <c r="C82" s="1594"/>
      <c r="D82" s="544">
        <f>(IF(Tank1!$C$23="Vapor combustion unit",SUMIF(Tank1!$A$32:$A$49,VCU!A82,Tank1!$C$32:$C$49),0))+(IF(Tank2!$C$23="Vapor combustion unit",SUMIF(Tank2!$A$32:$A$49, VCU!A82,Tank2!$C$32:$C$49),0))+(IF(Tank3!$C$23="Vapor combustion unit",SUMIF(Tank3!$A$32:$A$49, VCU!A82,Tank3!$C$32:$C$49),0))+(IF(Tank4!$C$23="Vapor combustion unit",SUMIF(Tank4!$A$32:$A$49, VCU!A82,Tank4!$C$32:$C$49),0))+(IF(Tank5!$C$23="Vapor combustion unit",SUMIF(Tank5!$A$32:$A$49, VCU!A82,Tank5!$C$32:$C$49),0))+(IF('Loading-drum,tote'!$C$21="Vapor combustion unit",SUMIF('Loading-drum,tote'!$A$31:$A$48, VCU!A82,'Loading-drum,tote'!$F$31:$F$48),0))+(IF('Loading-truck'!$C$21="Vapor combustion unit",SUMIF('Loading-truck'!$A$31:$A$48, VCU!A82,'Loading-truck'!$F$31:$F$48),0))+(IF('Loading-rail'!$C$21="Vapor combustion unit",SUMIF('Loading-rail'!$A$31:$A$48, VCU!A82,'Loading-rail'!$F$31:$F$48),0))</f>
        <v>0</v>
      </c>
      <c r="E82" s="541">
        <f t="shared" si="1"/>
        <v>0</v>
      </c>
    </row>
    <row r="83" spans="1:5" x14ac:dyDescent="0.25">
      <c r="A83" s="539" t="str">
        <f>'Hidden Inputs'!AN27</f>
        <v/>
      </c>
      <c r="B83" s="1594" t="str">
        <f t="shared" si="0"/>
        <v/>
      </c>
      <c r="C83" s="1594"/>
      <c r="D83" s="544">
        <f>(IF(Tank1!$C$23="Vapor combustion unit",SUMIF(Tank1!$A$32:$A$49,VCU!A83,Tank1!$C$32:$C$49),0))+(IF(Tank2!$C$23="Vapor combustion unit",SUMIF(Tank2!$A$32:$A$49, VCU!A83,Tank2!$C$32:$C$49),0))+(IF(Tank3!$C$23="Vapor combustion unit",SUMIF(Tank3!$A$32:$A$49, VCU!A83,Tank3!$C$32:$C$49),0))+(IF(Tank4!$C$23="Vapor combustion unit",SUMIF(Tank4!$A$32:$A$49, VCU!A83,Tank4!$C$32:$C$49),0))+(IF(Tank5!$C$23="Vapor combustion unit",SUMIF(Tank5!$A$32:$A$49, VCU!A83,Tank5!$C$32:$C$49),0))+(IF('Loading-drum,tote'!$C$21="Vapor combustion unit",SUMIF('Loading-drum,tote'!$A$31:$A$48, VCU!A83,'Loading-drum,tote'!$F$31:$F$48),0))+(IF('Loading-truck'!$C$21="Vapor combustion unit",SUMIF('Loading-truck'!$A$31:$A$48, VCU!A83,'Loading-truck'!$F$31:$F$48),0))+(IF('Loading-rail'!$C$21="Vapor combustion unit",SUMIF('Loading-rail'!$A$31:$A$48, VCU!A83,'Loading-rail'!$F$31:$F$48),0))</f>
        <v>0</v>
      </c>
      <c r="E83" s="541">
        <f t="shared" si="1"/>
        <v>0</v>
      </c>
    </row>
    <row r="84" spans="1:5" x14ac:dyDescent="0.25">
      <c r="A84" s="539" t="str">
        <f>'Hidden Inputs'!AN28</f>
        <v/>
      </c>
      <c r="B84" s="1594" t="str">
        <f t="shared" si="0"/>
        <v/>
      </c>
      <c r="C84" s="1594"/>
      <c r="D84" s="544">
        <f>(IF(Tank1!$C$23="Vapor combustion unit",SUMIF(Tank1!$A$32:$A$49,VCU!A84,Tank1!$C$32:$C$49),0))+(IF(Tank2!$C$23="Vapor combustion unit",SUMIF(Tank2!$A$32:$A$49, VCU!A84,Tank2!$C$32:$C$49),0))+(IF(Tank3!$C$23="Vapor combustion unit",SUMIF(Tank3!$A$32:$A$49, VCU!A84,Tank3!$C$32:$C$49),0))+(IF(Tank4!$C$23="Vapor combustion unit",SUMIF(Tank4!$A$32:$A$49, VCU!A84,Tank4!$C$32:$C$49),0))+(IF(Tank5!$C$23="Vapor combustion unit",SUMIF(Tank5!$A$32:$A$49, VCU!A84,Tank5!$C$32:$C$49),0))+(IF('Loading-drum,tote'!$C$21="Vapor combustion unit",SUMIF('Loading-drum,tote'!$A$31:$A$48, VCU!A84,'Loading-drum,tote'!$F$31:$F$48),0))+(IF('Loading-truck'!$C$21="Vapor combustion unit",SUMIF('Loading-truck'!$A$31:$A$48, VCU!A84,'Loading-truck'!$F$31:$F$48),0))+(IF('Loading-rail'!$C$21="Vapor combustion unit",SUMIF('Loading-rail'!$A$31:$A$48, VCU!A84,'Loading-rail'!$F$31:$F$48),0))</f>
        <v>0</v>
      </c>
      <c r="E84" s="541">
        <f t="shared" si="1"/>
        <v>0</v>
      </c>
    </row>
    <row r="85" spans="1:5" x14ac:dyDescent="0.25">
      <c r="A85" s="539" t="str">
        <f>'Hidden Inputs'!AN29</f>
        <v/>
      </c>
      <c r="B85" s="1594" t="str">
        <f t="shared" si="0"/>
        <v/>
      </c>
      <c r="C85" s="1594"/>
      <c r="D85" s="544">
        <f>(IF(Tank1!$C$23="Vapor combustion unit",SUMIF(Tank1!$A$32:$A$49,VCU!A85,Tank1!$C$32:$C$49),0))+(IF(Tank2!$C$23="Vapor combustion unit",SUMIF(Tank2!$A$32:$A$49, VCU!A85,Tank2!$C$32:$C$49),0))+(IF(Tank3!$C$23="Vapor combustion unit",SUMIF(Tank3!$A$32:$A$49, VCU!A85,Tank3!$C$32:$C$49),0))+(IF(Tank4!$C$23="Vapor combustion unit",SUMIF(Tank4!$A$32:$A$49, VCU!A85,Tank4!$C$32:$C$49),0))+(IF(Tank5!$C$23="Vapor combustion unit",SUMIF(Tank5!$A$32:$A$49, VCU!A85,Tank5!$C$32:$C$49),0))+(IF('Loading-drum,tote'!$C$21="Vapor combustion unit",SUMIF('Loading-drum,tote'!$A$31:$A$48, VCU!A85,'Loading-drum,tote'!$F$31:$F$48),0))+(IF('Loading-truck'!$C$21="Vapor combustion unit",SUMIF('Loading-truck'!$A$31:$A$48, VCU!A85,'Loading-truck'!$F$31:$F$48),0))+(IF('Loading-rail'!$C$21="Vapor combustion unit",SUMIF('Loading-rail'!$A$31:$A$48, VCU!A85,'Loading-rail'!$F$31:$F$48),0))</f>
        <v>0</v>
      </c>
      <c r="E85" s="541">
        <f t="shared" si="1"/>
        <v>0</v>
      </c>
    </row>
    <row r="86" spans="1:5" x14ac:dyDescent="0.25">
      <c r="A86" s="539" t="str">
        <f>'Hidden Inputs'!AN30</f>
        <v/>
      </c>
      <c r="B86" s="1594" t="str">
        <f t="shared" si="0"/>
        <v/>
      </c>
      <c r="C86" s="1594"/>
      <c r="D86" s="544">
        <f>(IF(Tank1!$C$23="Vapor combustion unit",SUMIF(Tank1!$A$32:$A$49,VCU!A86,Tank1!$C$32:$C$49),0))+(IF(Tank2!$C$23="Vapor combustion unit",SUMIF(Tank2!$A$32:$A$49, VCU!A86,Tank2!$C$32:$C$49),0))+(IF(Tank3!$C$23="Vapor combustion unit",SUMIF(Tank3!$A$32:$A$49, VCU!A86,Tank3!$C$32:$C$49),0))+(IF(Tank4!$C$23="Vapor combustion unit",SUMIF(Tank4!$A$32:$A$49, VCU!A86,Tank4!$C$32:$C$49),0))+(IF(Tank5!$C$23="Vapor combustion unit",SUMIF(Tank5!$A$32:$A$49, VCU!A86,Tank5!$C$32:$C$49),0))+(IF('Loading-drum,tote'!$C$21="Vapor combustion unit",SUMIF('Loading-drum,tote'!$A$31:$A$48, VCU!A86,'Loading-drum,tote'!$F$31:$F$48),0))+(IF('Loading-truck'!$C$21="Vapor combustion unit",SUMIF('Loading-truck'!$A$31:$A$48, VCU!A86,'Loading-truck'!$F$31:$F$48),0))+(IF('Loading-rail'!$C$21="Vapor combustion unit",SUMIF('Loading-rail'!$A$31:$A$48, VCU!A86,'Loading-rail'!$F$31:$F$48),0))</f>
        <v>0</v>
      </c>
      <c r="E86" s="541">
        <f t="shared" si="1"/>
        <v>0</v>
      </c>
    </row>
    <row r="87" spans="1:5" x14ac:dyDescent="0.25">
      <c r="A87" s="539" t="str">
        <f>'Hidden Inputs'!AN31</f>
        <v/>
      </c>
      <c r="B87" s="1594" t="str">
        <f t="shared" si="0"/>
        <v/>
      </c>
      <c r="C87" s="1594"/>
      <c r="D87" s="544">
        <f>(IF(Tank1!$C$23="Vapor combustion unit",SUMIF(Tank1!$A$32:$A$49,VCU!A87,Tank1!$C$32:$C$49),0))+(IF(Tank2!$C$23="Vapor combustion unit",SUMIF(Tank2!$A$32:$A$49, VCU!A87,Tank2!$C$32:$C$49),0))+(IF(Tank3!$C$23="Vapor combustion unit",SUMIF(Tank3!$A$32:$A$49, VCU!A87,Tank3!$C$32:$C$49),0))+(IF(Tank4!$C$23="Vapor combustion unit",SUMIF(Tank4!$A$32:$A$49, VCU!A87,Tank4!$C$32:$C$49),0))+(IF(Tank5!$C$23="Vapor combustion unit",SUMIF(Tank5!$A$32:$A$49, VCU!A87,Tank5!$C$32:$C$49),0))+(IF('Loading-drum,tote'!$C$21="Vapor combustion unit",SUMIF('Loading-drum,tote'!$A$31:$A$48, VCU!A87,'Loading-drum,tote'!$F$31:$F$48),0))+(IF('Loading-truck'!$C$21="Vapor combustion unit",SUMIF('Loading-truck'!$A$31:$A$48, VCU!A87,'Loading-truck'!$F$31:$F$48),0))+(IF('Loading-rail'!$C$21="Vapor combustion unit",SUMIF('Loading-rail'!$A$31:$A$48, VCU!A87,'Loading-rail'!$F$31:$F$48),0))</f>
        <v>0</v>
      </c>
      <c r="E87" s="541">
        <f t="shared" si="1"/>
        <v>0</v>
      </c>
    </row>
    <row r="88" spans="1:5" x14ac:dyDescent="0.25">
      <c r="A88" s="539" t="str">
        <f>'Hidden Inputs'!AN32</f>
        <v/>
      </c>
      <c r="B88" s="1594" t="str">
        <f t="shared" si="0"/>
        <v/>
      </c>
      <c r="C88" s="1594"/>
      <c r="D88" s="544">
        <f>(IF(Tank1!$C$23="Vapor combustion unit",SUMIF(Tank1!$A$32:$A$49,VCU!A88,Tank1!$C$32:$C$49),0))+(IF(Tank2!$C$23="Vapor combustion unit",SUMIF(Tank2!$A$32:$A$49, VCU!A88,Tank2!$C$32:$C$49),0))+(IF(Tank3!$C$23="Vapor combustion unit",SUMIF(Tank3!$A$32:$A$49, VCU!A88,Tank3!$C$32:$C$49),0))+(IF(Tank4!$C$23="Vapor combustion unit",SUMIF(Tank4!$A$32:$A$49, VCU!A88,Tank4!$C$32:$C$49),0))+(IF(Tank5!$C$23="Vapor combustion unit",SUMIF(Tank5!$A$32:$A$49, VCU!A88,Tank5!$C$32:$C$49),0))+(IF('Loading-drum,tote'!$C$21="Vapor combustion unit",SUMIF('Loading-drum,tote'!$A$31:$A$48, VCU!A88,'Loading-drum,tote'!$F$31:$F$48),0))+(IF('Loading-truck'!$C$21="Vapor combustion unit",SUMIF('Loading-truck'!$A$31:$A$48, VCU!A88,'Loading-truck'!$F$31:$F$48),0))+(IF('Loading-rail'!$C$21="Vapor combustion unit",SUMIF('Loading-rail'!$A$31:$A$48, VCU!A88,'Loading-rail'!$F$31:$F$48),0))</f>
        <v>0</v>
      </c>
      <c r="E88" s="541">
        <f t="shared" si="1"/>
        <v>0</v>
      </c>
    </row>
    <row r="89" spans="1:5" x14ac:dyDescent="0.25">
      <c r="A89" s="539" t="str">
        <f>'Hidden Inputs'!AN33</f>
        <v/>
      </c>
      <c r="B89" s="1594" t="str">
        <f t="shared" si="0"/>
        <v/>
      </c>
      <c r="C89" s="1594"/>
      <c r="D89" s="544">
        <f>(IF(Tank1!$C$23="Vapor combustion unit",SUMIF(Tank1!$A$32:$A$49,VCU!A89,Tank1!$C$32:$C$49),0))+(IF(Tank2!$C$23="Vapor combustion unit",SUMIF(Tank2!$A$32:$A$49, VCU!A89,Tank2!$C$32:$C$49),0))+(IF(Tank3!$C$23="Vapor combustion unit",SUMIF(Tank3!$A$32:$A$49, VCU!A89,Tank3!$C$32:$C$49),0))+(IF(Tank4!$C$23="Vapor combustion unit",SUMIF(Tank4!$A$32:$A$49, VCU!A89,Tank4!$C$32:$C$49),0))+(IF(Tank5!$C$23="Vapor combustion unit",SUMIF(Tank5!$A$32:$A$49, VCU!A89,Tank5!$C$32:$C$49),0))+(IF('Loading-drum,tote'!$C$21="Vapor combustion unit",SUMIF('Loading-drum,tote'!$A$31:$A$48, VCU!A89,'Loading-drum,tote'!$F$31:$F$48),0))+(IF('Loading-truck'!$C$21="Vapor combustion unit",SUMIF('Loading-truck'!$A$31:$A$48, VCU!A89,'Loading-truck'!$F$31:$F$48),0))+(IF('Loading-rail'!$C$21="Vapor combustion unit",SUMIF('Loading-rail'!$A$31:$A$48, VCU!A89,'Loading-rail'!$F$31:$F$48),0))</f>
        <v>0</v>
      </c>
      <c r="E89" s="541">
        <f t="shared" si="1"/>
        <v>0</v>
      </c>
    </row>
    <row r="90" spans="1:5" x14ac:dyDescent="0.25">
      <c r="A90" s="539" t="str">
        <f>'Hidden Inputs'!AN34</f>
        <v/>
      </c>
      <c r="B90" s="1594" t="str">
        <f t="shared" ref="B90:B121" si="2">IFERROR(VLOOKUP(A90, SpeciesDataTable,2,FALSE),"")</f>
        <v/>
      </c>
      <c r="C90" s="1594"/>
      <c r="D90" s="544">
        <f>(IF(Tank1!$C$23="Vapor combustion unit",SUMIF(Tank1!$A$32:$A$49,VCU!A90,Tank1!$C$32:$C$49),0))+(IF(Tank2!$C$23="Vapor combustion unit",SUMIF(Tank2!$A$32:$A$49, VCU!A90,Tank2!$C$32:$C$49),0))+(IF(Tank3!$C$23="Vapor combustion unit",SUMIF(Tank3!$A$32:$A$49, VCU!A90,Tank3!$C$32:$C$49),0))+(IF(Tank4!$C$23="Vapor combustion unit",SUMIF(Tank4!$A$32:$A$49, VCU!A90,Tank4!$C$32:$C$49),0))+(IF(Tank5!$C$23="Vapor combustion unit",SUMIF(Tank5!$A$32:$A$49, VCU!A90,Tank5!$C$32:$C$49),0))+(IF('Loading-drum,tote'!$C$21="Vapor combustion unit",SUMIF('Loading-drum,tote'!$A$31:$A$48, VCU!A90,'Loading-drum,tote'!$F$31:$F$48),0))+(IF('Loading-truck'!$C$21="Vapor combustion unit",SUMIF('Loading-truck'!$A$31:$A$48, VCU!A90,'Loading-truck'!$F$31:$F$48),0))+(IF('Loading-rail'!$C$21="Vapor combustion unit",SUMIF('Loading-rail'!$A$31:$A$48, VCU!A90,'Loading-rail'!$F$31:$F$48),0))</f>
        <v>0</v>
      </c>
      <c r="E90" s="541">
        <f t="shared" si="1"/>
        <v>0</v>
      </c>
    </row>
    <row r="91" spans="1:5" x14ac:dyDescent="0.25">
      <c r="A91" s="539" t="str">
        <f>'Hidden Inputs'!AN35</f>
        <v/>
      </c>
      <c r="B91" s="1594" t="str">
        <f t="shared" si="2"/>
        <v/>
      </c>
      <c r="C91" s="1594"/>
      <c r="D91" s="544">
        <f>(IF(Tank1!$C$23="Vapor combustion unit",SUMIF(Tank1!$A$32:$A$49,VCU!A91,Tank1!$C$32:$C$49),0))+(IF(Tank2!$C$23="Vapor combustion unit",SUMIF(Tank2!$A$32:$A$49, VCU!A91,Tank2!$C$32:$C$49),0))+(IF(Tank3!$C$23="Vapor combustion unit",SUMIF(Tank3!$A$32:$A$49, VCU!A91,Tank3!$C$32:$C$49),0))+(IF(Tank4!$C$23="Vapor combustion unit",SUMIF(Tank4!$A$32:$A$49, VCU!A91,Tank4!$C$32:$C$49),0))+(IF(Tank5!$C$23="Vapor combustion unit",SUMIF(Tank5!$A$32:$A$49, VCU!A91,Tank5!$C$32:$C$49),0))+(IF('Loading-drum,tote'!$C$21="Vapor combustion unit",SUMIF('Loading-drum,tote'!$A$31:$A$48, VCU!A91,'Loading-drum,tote'!$F$31:$F$48),0))+(IF('Loading-truck'!$C$21="Vapor combustion unit",SUMIF('Loading-truck'!$A$31:$A$48, VCU!A91,'Loading-truck'!$F$31:$F$48),0))+(IF('Loading-rail'!$C$21="Vapor combustion unit",SUMIF('Loading-rail'!$A$31:$A$48, VCU!A91,'Loading-rail'!$F$31:$F$48),0))</f>
        <v>0</v>
      </c>
      <c r="E91" s="541">
        <f t="shared" si="1"/>
        <v>0</v>
      </c>
    </row>
    <row r="92" spans="1:5" x14ac:dyDescent="0.25">
      <c r="A92" s="539" t="str">
        <f>'Hidden Inputs'!AN36</f>
        <v/>
      </c>
      <c r="B92" s="1594" t="str">
        <f t="shared" si="2"/>
        <v/>
      </c>
      <c r="C92" s="1594"/>
      <c r="D92" s="544">
        <f>(IF(Tank1!$C$23="Vapor combustion unit",SUMIF(Tank1!$A$32:$A$49,VCU!A92,Tank1!$C$32:$C$49),0))+(IF(Tank2!$C$23="Vapor combustion unit",SUMIF(Tank2!$A$32:$A$49, VCU!A92,Tank2!$C$32:$C$49),0))+(IF(Tank3!$C$23="Vapor combustion unit",SUMIF(Tank3!$A$32:$A$49, VCU!A92,Tank3!$C$32:$C$49),0))+(IF(Tank4!$C$23="Vapor combustion unit",SUMIF(Tank4!$A$32:$A$49, VCU!A92,Tank4!$C$32:$C$49),0))+(IF(Tank5!$C$23="Vapor combustion unit",SUMIF(Tank5!$A$32:$A$49, VCU!A92,Tank5!$C$32:$C$49),0))+(IF('Loading-drum,tote'!$C$21="Vapor combustion unit",SUMIF('Loading-drum,tote'!$A$31:$A$48, VCU!A92,'Loading-drum,tote'!$F$31:$F$48),0))+(IF('Loading-truck'!$C$21="Vapor combustion unit",SUMIF('Loading-truck'!$A$31:$A$48, VCU!A92,'Loading-truck'!$F$31:$F$48),0))+(IF('Loading-rail'!$C$21="Vapor combustion unit",SUMIF('Loading-rail'!$A$31:$A$48, VCU!A92,'Loading-rail'!$F$31:$F$48),0))</f>
        <v>0</v>
      </c>
      <c r="E92" s="541">
        <f t="shared" si="1"/>
        <v>0</v>
      </c>
    </row>
    <row r="93" spans="1:5" x14ac:dyDescent="0.25">
      <c r="A93" s="539" t="str">
        <f>'Hidden Inputs'!AN37</f>
        <v/>
      </c>
      <c r="B93" s="1594" t="str">
        <f t="shared" si="2"/>
        <v/>
      </c>
      <c r="C93" s="1594"/>
      <c r="D93" s="544">
        <f>(IF(Tank1!$C$23="Vapor combustion unit",SUMIF(Tank1!$A$32:$A$49,VCU!A93,Tank1!$C$32:$C$49),0))+(IF(Tank2!$C$23="Vapor combustion unit",SUMIF(Tank2!$A$32:$A$49, VCU!A93,Tank2!$C$32:$C$49),0))+(IF(Tank3!$C$23="Vapor combustion unit",SUMIF(Tank3!$A$32:$A$49, VCU!A93,Tank3!$C$32:$C$49),0))+(IF(Tank4!$C$23="Vapor combustion unit",SUMIF(Tank4!$A$32:$A$49, VCU!A93,Tank4!$C$32:$C$49),0))+(IF(Tank5!$C$23="Vapor combustion unit",SUMIF(Tank5!$A$32:$A$49, VCU!A93,Tank5!$C$32:$C$49),0))+(IF('Loading-drum,tote'!$C$21="Vapor combustion unit",SUMIF('Loading-drum,tote'!$A$31:$A$48, VCU!A93,'Loading-drum,tote'!$F$31:$F$48),0))+(IF('Loading-truck'!$C$21="Vapor combustion unit",SUMIF('Loading-truck'!$A$31:$A$48, VCU!A93,'Loading-truck'!$F$31:$F$48),0))+(IF('Loading-rail'!$C$21="Vapor combustion unit",SUMIF('Loading-rail'!$A$31:$A$48, VCU!A93,'Loading-rail'!$F$31:$F$48),0))</f>
        <v>0</v>
      </c>
      <c r="E93" s="541">
        <f t="shared" si="1"/>
        <v>0</v>
      </c>
    </row>
    <row r="94" spans="1:5" x14ac:dyDescent="0.25">
      <c r="A94" s="539" t="str">
        <f>'Hidden Inputs'!AN38</f>
        <v/>
      </c>
      <c r="B94" s="1594" t="str">
        <f t="shared" si="2"/>
        <v/>
      </c>
      <c r="C94" s="1594"/>
      <c r="D94" s="544">
        <f>(IF(Tank1!$C$23="Vapor combustion unit",SUMIF(Tank1!$A$32:$A$49,VCU!A94,Tank1!$C$32:$C$49),0))+(IF(Tank2!$C$23="Vapor combustion unit",SUMIF(Tank2!$A$32:$A$49, VCU!A94,Tank2!$C$32:$C$49),0))+(IF(Tank3!$C$23="Vapor combustion unit",SUMIF(Tank3!$A$32:$A$49, VCU!A94,Tank3!$C$32:$C$49),0))+(IF(Tank4!$C$23="Vapor combustion unit",SUMIF(Tank4!$A$32:$A$49, VCU!A94,Tank4!$C$32:$C$49),0))+(IF(Tank5!$C$23="Vapor combustion unit",SUMIF(Tank5!$A$32:$A$49, VCU!A94,Tank5!$C$32:$C$49),0))+(IF('Loading-drum,tote'!$C$21="Vapor combustion unit",SUMIF('Loading-drum,tote'!$A$31:$A$48, VCU!A94,'Loading-drum,tote'!$F$31:$F$48),0))+(IF('Loading-truck'!$C$21="Vapor combustion unit",SUMIF('Loading-truck'!$A$31:$A$48, VCU!A94,'Loading-truck'!$F$31:$F$48),0))+(IF('Loading-rail'!$C$21="Vapor combustion unit",SUMIF('Loading-rail'!$A$31:$A$48, VCU!A94,'Loading-rail'!$F$31:$F$48),0))</f>
        <v>0</v>
      </c>
      <c r="E94" s="541">
        <f t="shared" si="1"/>
        <v>0</v>
      </c>
    </row>
    <row r="95" spans="1:5" x14ac:dyDescent="0.25">
      <c r="A95" s="539" t="str">
        <f>'Hidden Inputs'!AN39</f>
        <v/>
      </c>
      <c r="B95" s="1594" t="str">
        <f t="shared" si="2"/>
        <v/>
      </c>
      <c r="C95" s="1594"/>
      <c r="D95" s="544">
        <f>(IF(Tank1!$C$23="Vapor combustion unit",SUMIF(Tank1!$A$32:$A$49,VCU!A95,Tank1!$C$32:$C$49),0))+(IF(Tank2!$C$23="Vapor combustion unit",SUMIF(Tank2!$A$32:$A$49, VCU!A95,Tank2!$C$32:$C$49),0))+(IF(Tank3!$C$23="Vapor combustion unit",SUMIF(Tank3!$A$32:$A$49, VCU!A95,Tank3!$C$32:$C$49),0))+(IF(Tank4!$C$23="Vapor combustion unit",SUMIF(Tank4!$A$32:$A$49, VCU!A95,Tank4!$C$32:$C$49),0))+(IF(Tank5!$C$23="Vapor combustion unit",SUMIF(Tank5!$A$32:$A$49, VCU!A95,Tank5!$C$32:$C$49),0))+(IF('Loading-drum,tote'!$C$21="Vapor combustion unit",SUMIF('Loading-drum,tote'!$A$31:$A$48, VCU!A95,'Loading-drum,tote'!$F$31:$F$48),0))+(IF('Loading-truck'!$C$21="Vapor combustion unit",SUMIF('Loading-truck'!$A$31:$A$48, VCU!A95,'Loading-truck'!$F$31:$F$48),0))+(IF('Loading-rail'!$C$21="Vapor combustion unit",SUMIF('Loading-rail'!$A$31:$A$48, VCU!A95,'Loading-rail'!$F$31:$F$48),0))</f>
        <v>0</v>
      </c>
      <c r="E95" s="541">
        <f t="shared" si="1"/>
        <v>0</v>
      </c>
    </row>
    <row r="96" spans="1:5" x14ac:dyDescent="0.25">
      <c r="A96" s="539" t="str">
        <f>'Hidden Inputs'!AN40</f>
        <v/>
      </c>
      <c r="B96" s="1594" t="str">
        <f t="shared" si="2"/>
        <v/>
      </c>
      <c r="C96" s="1594"/>
      <c r="D96" s="544">
        <f>(IF(Tank1!$C$23="Vapor combustion unit",SUMIF(Tank1!$A$32:$A$49,VCU!A96,Tank1!$C$32:$C$49),0))+(IF(Tank2!$C$23="Vapor combustion unit",SUMIF(Tank2!$A$32:$A$49, VCU!A96,Tank2!$C$32:$C$49),0))+(IF(Tank3!$C$23="Vapor combustion unit",SUMIF(Tank3!$A$32:$A$49, VCU!A96,Tank3!$C$32:$C$49),0))+(IF(Tank4!$C$23="Vapor combustion unit",SUMIF(Tank4!$A$32:$A$49, VCU!A96,Tank4!$C$32:$C$49),0))+(IF(Tank5!$C$23="Vapor combustion unit",SUMIF(Tank5!$A$32:$A$49, VCU!A96,Tank5!$C$32:$C$49),0))+(IF('Loading-drum,tote'!$C$21="Vapor combustion unit",SUMIF('Loading-drum,tote'!$A$31:$A$48, VCU!A96,'Loading-drum,tote'!$F$31:$F$48),0))+(IF('Loading-truck'!$C$21="Vapor combustion unit",SUMIF('Loading-truck'!$A$31:$A$48, VCU!A96,'Loading-truck'!$F$31:$F$48),0))+(IF('Loading-rail'!$C$21="Vapor combustion unit",SUMIF('Loading-rail'!$A$31:$A$48, VCU!A96,'Loading-rail'!$F$31:$F$48),0))</f>
        <v>0</v>
      </c>
      <c r="E96" s="541">
        <f t="shared" si="1"/>
        <v>0</v>
      </c>
    </row>
    <row r="97" spans="1:5" x14ac:dyDescent="0.25">
      <c r="A97" s="539" t="str">
        <f>'Hidden Inputs'!AN41</f>
        <v/>
      </c>
      <c r="B97" s="1594" t="str">
        <f t="shared" si="2"/>
        <v/>
      </c>
      <c r="C97" s="1594"/>
      <c r="D97" s="544">
        <f>(IF(Tank1!$C$23="Vapor combustion unit",SUMIF(Tank1!$A$32:$A$49,VCU!A97,Tank1!$C$32:$C$49),0))+(IF(Tank2!$C$23="Vapor combustion unit",SUMIF(Tank2!$A$32:$A$49, VCU!A97,Tank2!$C$32:$C$49),0))+(IF(Tank3!$C$23="Vapor combustion unit",SUMIF(Tank3!$A$32:$A$49, VCU!A97,Tank3!$C$32:$C$49),0))+(IF(Tank4!$C$23="Vapor combustion unit",SUMIF(Tank4!$A$32:$A$49, VCU!A97,Tank4!$C$32:$C$49),0))+(IF(Tank5!$C$23="Vapor combustion unit",SUMIF(Tank5!$A$32:$A$49, VCU!A97,Tank5!$C$32:$C$49),0))+(IF('Loading-drum,tote'!$C$21="Vapor combustion unit",SUMIF('Loading-drum,tote'!$A$31:$A$48, VCU!A97,'Loading-drum,tote'!$F$31:$F$48),0))+(IF('Loading-truck'!$C$21="Vapor combustion unit",SUMIF('Loading-truck'!$A$31:$A$48, VCU!A97,'Loading-truck'!$F$31:$F$48),0))+(IF('Loading-rail'!$C$21="Vapor combustion unit",SUMIF('Loading-rail'!$A$31:$A$48, VCU!A97,'Loading-rail'!$F$31:$F$48),0))</f>
        <v>0</v>
      </c>
      <c r="E97" s="541">
        <f t="shared" si="1"/>
        <v>0</v>
      </c>
    </row>
    <row r="98" spans="1:5" x14ac:dyDescent="0.25">
      <c r="A98" s="539" t="str">
        <f>'Hidden Inputs'!AN42</f>
        <v/>
      </c>
      <c r="B98" s="1594" t="str">
        <f t="shared" si="2"/>
        <v/>
      </c>
      <c r="C98" s="1594"/>
      <c r="D98" s="544">
        <f>(IF(Tank1!$C$23="Vapor combustion unit",SUMIF(Tank1!$A$32:$A$49,VCU!A98,Tank1!$C$32:$C$49),0))+(IF(Tank2!$C$23="Vapor combustion unit",SUMIF(Tank2!$A$32:$A$49, VCU!A98,Tank2!$C$32:$C$49),0))+(IF(Tank3!$C$23="Vapor combustion unit",SUMIF(Tank3!$A$32:$A$49, VCU!A98,Tank3!$C$32:$C$49),0))+(IF(Tank4!$C$23="Vapor combustion unit",SUMIF(Tank4!$A$32:$A$49, VCU!A98,Tank4!$C$32:$C$49),0))+(IF(Tank5!$C$23="Vapor combustion unit",SUMIF(Tank5!$A$32:$A$49, VCU!A98,Tank5!$C$32:$C$49),0))+(IF('Loading-drum,tote'!$C$21="Vapor combustion unit",SUMIF('Loading-drum,tote'!$A$31:$A$48, VCU!A98,'Loading-drum,tote'!$F$31:$F$48),0))+(IF('Loading-truck'!$C$21="Vapor combustion unit",SUMIF('Loading-truck'!$A$31:$A$48, VCU!A98,'Loading-truck'!$F$31:$F$48),0))+(IF('Loading-rail'!$C$21="Vapor combustion unit",SUMIF('Loading-rail'!$A$31:$A$48, VCU!A98,'Loading-rail'!$F$31:$F$48),0))</f>
        <v>0</v>
      </c>
      <c r="E98" s="541">
        <f t="shared" si="1"/>
        <v>0</v>
      </c>
    </row>
    <row r="99" spans="1:5" x14ac:dyDescent="0.25">
      <c r="A99" s="539" t="str">
        <f>'Hidden Inputs'!AN43</f>
        <v/>
      </c>
      <c r="B99" s="1594" t="str">
        <f t="shared" si="2"/>
        <v/>
      </c>
      <c r="C99" s="1594"/>
      <c r="D99" s="544">
        <f>(IF(Tank1!$C$23="Vapor combustion unit",SUMIF(Tank1!$A$32:$A$49,VCU!A99,Tank1!$C$32:$C$49),0))+(IF(Tank2!$C$23="Vapor combustion unit",SUMIF(Tank2!$A$32:$A$49, VCU!A99,Tank2!$C$32:$C$49),0))+(IF(Tank3!$C$23="Vapor combustion unit",SUMIF(Tank3!$A$32:$A$49, VCU!A99,Tank3!$C$32:$C$49),0))+(IF(Tank4!$C$23="Vapor combustion unit",SUMIF(Tank4!$A$32:$A$49, VCU!A99,Tank4!$C$32:$C$49),0))+(IF(Tank5!$C$23="Vapor combustion unit",SUMIF(Tank5!$A$32:$A$49, VCU!A99,Tank5!$C$32:$C$49),0))+(IF('Loading-drum,tote'!$C$21="Vapor combustion unit",SUMIF('Loading-drum,tote'!$A$31:$A$48, VCU!A99,'Loading-drum,tote'!$F$31:$F$48),0))+(IF('Loading-truck'!$C$21="Vapor combustion unit",SUMIF('Loading-truck'!$A$31:$A$48, VCU!A99,'Loading-truck'!$F$31:$F$48),0))+(IF('Loading-rail'!$C$21="Vapor combustion unit",SUMIF('Loading-rail'!$A$31:$A$48, VCU!A99,'Loading-rail'!$F$31:$F$48),0))</f>
        <v>0</v>
      </c>
      <c r="E99" s="541">
        <f t="shared" si="1"/>
        <v>0</v>
      </c>
    </row>
    <row r="100" spans="1:5" x14ac:dyDescent="0.25">
      <c r="A100" s="539" t="str">
        <f>'Hidden Inputs'!AN44</f>
        <v/>
      </c>
      <c r="B100" s="1594" t="str">
        <f t="shared" si="2"/>
        <v/>
      </c>
      <c r="C100" s="1594"/>
      <c r="D100" s="544">
        <f>(IF(Tank1!$C$23="Vapor combustion unit",SUMIF(Tank1!$A$32:$A$49,VCU!A100,Tank1!$C$32:$C$49),0))+(IF(Tank2!$C$23="Vapor combustion unit",SUMIF(Tank2!$A$32:$A$49, VCU!A100,Tank2!$C$32:$C$49),0))+(IF(Tank3!$C$23="Vapor combustion unit",SUMIF(Tank3!$A$32:$A$49, VCU!A100,Tank3!$C$32:$C$49),0))+(IF(Tank4!$C$23="Vapor combustion unit",SUMIF(Tank4!$A$32:$A$49, VCU!A100,Tank4!$C$32:$C$49),0))+(IF(Tank5!$C$23="Vapor combustion unit",SUMIF(Tank5!$A$32:$A$49, VCU!A100,Tank5!$C$32:$C$49),0))+(IF('Loading-drum,tote'!$C$21="Vapor combustion unit",SUMIF('Loading-drum,tote'!$A$31:$A$48, VCU!A100,'Loading-drum,tote'!$F$31:$F$48),0))+(IF('Loading-truck'!$C$21="Vapor combustion unit",SUMIF('Loading-truck'!$A$31:$A$48, VCU!A100,'Loading-truck'!$F$31:$F$48),0))+(IF('Loading-rail'!$C$21="Vapor combustion unit",SUMIF('Loading-rail'!$A$31:$A$48, VCU!A100,'Loading-rail'!$F$31:$F$48),0))</f>
        <v>0</v>
      </c>
      <c r="E100" s="541">
        <f t="shared" si="1"/>
        <v>0</v>
      </c>
    </row>
    <row r="101" spans="1:5" x14ac:dyDescent="0.25">
      <c r="A101" s="539" t="str">
        <f>'Hidden Inputs'!AN45</f>
        <v/>
      </c>
      <c r="B101" s="1594" t="str">
        <f t="shared" si="2"/>
        <v/>
      </c>
      <c r="C101" s="1594"/>
      <c r="D101" s="544">
        <f>(IF(Tank1!$C$23="Vapor combustion unit",SUMIF(Tank1!$A$32:$A$49,VCU!A101,Tank1!$C$32:$C$49),0))+(IF(Tank2!$C$23="Vapor combustion unit",SUMIF(Tank2!$A$32:$A$49, VCU!A101,Tank2!$C$32:$C$49),0))+(IF(Tank3!$C$23="Vapor combustion unit",SUMIF(Tank3!$A$32:$A$49, VCU!A101,Tank3!$C$32:$C$49),0))+(IF(Tank4!$C$23="Vapor combustion unit",SUMIF(Tank4!$A$32:$A$49, VCU!A101,Tank4!$C$32:$C$49),0))+(IF(Tank5!$C$23="Vapor combustion unit",SUMIF(Tank5!$A$32:$A$49, VCU!A101,Tank5!$C$32:$C$49),0))+(IF('Loading-drum,tote'!$C$21="Vapor combustion unit",SUMIF('Loading-drum,tote'!$A$31:$A$48, VCU!A101,'Loading-drum,tote'!$F$31:$F$48),0))+(IF('Loading-truck'!$C$21="Vapor combustion unit",SUMIF('Loading-truck'!$A$31:$A$48, VCU!A101,'Loading-truck'!$F$31:$F$48),0))+(IF('Loading-rail'!$C$21="Vapor combustion unit",SUMIF('Loading-rail'!$A$31:$A$48, VCU!A101,'Loading-rail'!$F$31:$F$48),0))</f>
        <v>0</v>
      </c>
      <c r="E101" s="541">
        <f t="shared" si="1"/>
        <v>0</v>
      </c>
    </row>
    <row r="102" spans="1:5" x14ac:dyDescent="0.25">
      <c r="A102" s="539" t="str">
        <f>'Hidden Inputs'!AN46</f>
        <v/>
      </c>
      <c r="B102" s="1594" t="str">
        <f t="shared" si="2"/>
        <v/>
      </c>
      <c r="C102" s="1594"/>
      <c r="D102" s="544">
        <f>(IF(Tank1!$C$23="Vapor combustion unit",SUMIF(Tank1!$A$32:$A$49,VCU!A102,Tank1!$C$32:$C$49),0))+(IF(Tank2!$C$23="Vapor combustion unit",SUMIF(Tank2!$A$32:$A$49, VCU!A102,Tank2!$C$32:$C$49),0))+(IF(Tank3!$C$23="Vapor combustion unit",SUMIF(Tank3!$A$32:$A$49, VCU!A102,Tank3!$C$32:$C$49),0))+(IF(Tank4!$C$23="Vapor combustion unit",SUMIF(Tank4!$A$32:$A$49, VCU!A102,Tank4!$C$32:$C$49),0))+(IF(Tank5!$C$23="Vapor combustion unit",SUMIF(Tank5!$A$32:$A$49, VCU!A102,Tank5!$C$32:$C$49),0))+(IF('Loading-drum,tote'!$C$21="Vapor combustion unit",SUMIF('Loading-drum,tote'!$A$31:$A$48, VCU!A102,'Loading-drum,tote'!$F$31:$F$48),0))+(IF('Loading-truck'!$C$21="Vapor combustion unit",SUMIF('Loading-truck'!$A$31:$A$48, VCU!A102,'Loading-truck'!$F$31:$F$48),0))+(IF('Loading-rail'!$C$21="Vapor combustion unit",SUMIF('Loading-rail'!$A$31:$A$48, VCU!A102,'Loading-rail'!$F$31:$F$48),0))</f>
        <v>0</v>
      </c>
      <c r="E102" s="541">
        <f t="shared" si="1"/>
        <v>0</v>
      </c>
    </row>
    <row r="103" spans="1:5" x14ac:dyDescent="0.25">
      <c r="A103" s="539" t="str">
        <f>'Hidden Inputs'!AN47</f>
        <v/>
      </c>
      <c r="B103" s="1594" t="str">
        <f t="shared" si="2"/>
        <v/>
      </c>
      <c r="C103" s="1594"/>
      <c r="D103" s="544">
        <f>(IF(Tank1!$C$23="Vapor combustion unit",SUMIF(Tank1!$A$32:$A$49,VCU!A103,Tank1!$C$32:$C$49),0))+(IF(Tank2!$C$23="Vapor combustion unit",SUMIF(Tank2!$A$32:$A$49, VCU!A103,Tank2!$C$32:$C$49),0))+(IF(Tank3!$C$23="Vapor combustion unit",SUMIF(Tank3!$A$32:$A$49, VCU!A103,Tank3!$C$32:$C$49),0))+(IF(Tank4!$C$23="Vapor combustion unit",SUMIF(Tank4!$A$32:$A$49, VCU!A103,Tank4!$C$32:$C$49),0))+(IF(Tank5!$C$23="Vapor combustion unit",SUMIF(Tank5!$A$32:$A$49, VCU!A103,Tank5!$C$32:$C$49),0))+(IF('Loading-drum,tote'!$C$21="Vapor combustion unit",SUMIF('Loading-drum,tote'!$A$31:$A$48, VCU!A103,'Loading-drum,tote'!$F$31:$F$48),0))+(IF('Loading-truck'!$C$21="Vapor combustion unit",SUMIF('Loading-truck'!$A$31:$A$48, VCU!A103,'Loading-truck'!$F$31:$F$48),0))+(IF('Loading-rail'!$C$21="Vapor combustion unit",SUMIF('Loading-rail'!$A$31:$A$48, VCU!A103,'Loading-rail'!$F$31:$F$48),0))</f>
        <v>0</v>
      </c>
      <c r="E103" s="541">
        <f t="shared" si="1"/>
        <v>0</v>
      </c>
    </row>
    <row r="104" spans="1:5" x14ac:dyDescent="0.25">
      <c r="A104" s="539" t="str">
        <f>'Hidden Inputs'!AN48</f>
        <v/>
      </c>
      <c r="B104" s="1594" t="str">
        <f t="shared" si="2"/>
        <v/>
      </c>
      <c r="C104" s="1594"/>
      <c r="D104" s="544">
        <f>(IF(Tank1!$C$23="Vapor combustion unit",SUMIF(Tank1!$A$32:$A$49,VCU!A104,Tank1!$C$32:$C$49),0))+(IF(Tank2!$C$23="Vapor combustion unit",SUMIF(Tank2!$A$32:$A$49, VCU!A104,Tank2!$C$32:$C$49),0))+(IF(Tank3!$C$23="Vapor combustion unit",SUMIF(Tank3!$A$32:$A$49, VCU!A104,Tank3!$C$32:$C$49),0))+(IF(Tank4!$C$23="Vapor combustion unit",SUMIF(Tank4!$A$32:$A$49, VCU!A104,Tank4!$C$32:$C$49),0))+(IF(Tank5!$C$23="Vapor combustion unit",SUMIF(Tank5!$A$32:$A$49, VCU!A104,Tank5!$C$32:$C$49),0))+(IF('Loading-drum,tote'!$C$21="Vapor combustion unit",SUMIF('Loading-drum,tote'!$A$31:$A$48, VCU!A104,'Loading-drum,tote'!$F$31:$F$48),0))+(IF('Loading-truck'!$C$21="Vapor combustion unit",SUMIF('Loading-truck'!$A$31:$A$48, VCU!A104,'Loading-truck'!$F$31:$F$48),0))+(IF('Loading-rail'!$C$21="Vapor combustion unit",SUMIF('Loading-rail'!$A$31:$A$48, VCU!A104,'Loading-rail'!$F$31:$F$48),0))</f>
        <v>0</v>
      </c>
      <c r="E104" s="541">
        <f t="shared" si="1"/>
        <v>0</v>
      </c>
    </row>
    <row r="105" spans="1:5" x14ac:dyDescent="0.25">
      <c r="A105" s="539" t="str">
        <f>'Hidden Inputs'!AN49</f>
        <v/>
      </c>
      <c r="B105" s="1594" t="str">
        <f t="shared" si="2"/>
        <v/>
      </c>
      <c r="C105" s="1594"/>
      <c r="D105" s="544">
        <f>(IF(Tank1!$C$23="Vapor combustion unit",SUMIF(Tank1!$A$32:$A$49,VCU!A105,Tank1!$C$32:$C$49),0))+(IF(Tank2!$C$23="Vapor combustion unit",SUMIF(Tank2!$A$32:$A$49, VCU!A105,Tank2!$C$32:$C$49),0))+(IF(Tank3!$C$23="Vapor combustion unit",SUMIF(Tank3!$A$32:$A$49, VCU!A105,Tank3!$C$32:$C$49),0))+(IF(Tank4!$C$23="Vapor combustion unit",SUMIF(Tank4!$A$32:$A$49, VCU!A105,Tank4!$C$32:$C$49),0))+(IF(Tank5!$C$23="Vapor combustion unit",SUMIF(Tank5!$A$32:$A$49, VCU!A105,Tank5!$C$32:$C$49),0))+(IF('Loading-drum,tote'!$C$21="Vapor combustion unit",SUMIF('Loading-drum,tote'!$A$31:$A$48, VCU!A105,'Loading-drum,tote'!$F$31:$F$48),0))+(IF('Loading-truck'!$C$21="Vapor combustion unit",SUMIF('Loading-truck'!$A$31:$A$48, VCU!A105,'Loading-truck'!$F$31:$F$48),0))+(IF('Loading-rail'!$C$21="Vapor combustion unit",SUMIF('Loading-rail'!$A$31:$A$48, VCU!A105,'Loading-rail'!$F$31:$F$48),0))</f>
        <v>0</v>
      </c>
      <c r="E105" s="541">
        <f t="shared" si="1"/>
        <v>0</v>
      </c>
    </row>
    <row r="106" spans="1:5" x14ac:dyDescent="0.25">
      <c r="A106" s="539" t="str">
        <f>'Hidden Inputs'!AN50</f>
        <v/>
      </c>
      <c r="B106" s="1594" t="str">
        <f t="shared" si="2"/>
        <v/>
      </c>
      <c r="C106" s="1594"/>
      <c r="D106" s="544">
        <f>(IF(Tank1!$C$23="Vapor combustion unit",SUMIF(Tank1!$A$32:$A$49,VCU!A106,Tank1!$C$32:$C$49),0))+(IF(Tank2!$C$23="Vapor combustion unit",SUMIF(Tank2!$A$32:$A$49, VCU!A106,Tank2!$C$32:$C$49),0))+(IF(Tank3!$C$23="Vapor combustion unit",SUMIF(Tank3!$A$32:$A$49, VCU!A106,Tank3!$C$32:$C$49),0))+(IF(Tank4!$C$23="Vapor combustion unit",SUMIF(Tank4!$A$32:$A$49, VCU!A106,Tank4!$C$32:$C$49),0))+(IF(Tank5!$C$23="Vapor combustion unit",SUMIF(Tank5!$A$32:$A$49, VCU!A106,Tank5!$C$32:$C$49),0))+(IF('Loading-drum,tote'!$C$21="Vapor combustion unit",SUMIF('Loading-drum,tote'!$A$31:$A$48, VCU!A106,'Loading-drum,tote'!$F$31:$F$48),0))+(IF('Loading-truck'!$C$21="Vapor combustion unit",SUMIF('Loading-truck'!$A$31:$A$48, VCU!A106,'Loading-truck'!$F$31:$F$48),0))+(IF('Loading-rail'!$C$21="Vapor combustion unit",SUMIF('Loading-rail'!$A$31:$A$48, VCU!A106,'Loading-rail'!$F$31:$F$48),0))</f>
        <v>0</v>
      </c>
      <c r="E106" s="541">
        <f t="shared" si="1"/>
        <v>0</v>
      </c>
    </row>
    <row r="107" spans="1:5" x14ac:dyDescent="0.25">
      <c r="A107" s="539" t="str">
        <f>'Hidden Inputs'!AN51</f>
        <v/>
      </c>
      <c r="B107" s="1594" t="str">
        <f t="shared" si="2"/>
        <v/>
      </c>
      <c r="C107" s="1594"/>
      <c r="D107" s="544">
        <f>(IF(Tank1!$C$23="Vapor combustion unit",SUMIF(Tank1!$A$32:$A$49,VCU!A107,Tank1!$C$32:$C$49),0))+(IF(Tank2!$C$23="Vapor combustion unit",SUMIF(Tank2!$A$32:$A$49, VCU!A107,Tank2!$C$32:$C$49),0))+(IF(Tank3!$C$23="Vapor combustion unit",SUMIF(Tank3!$A$32:$A$49, VCU!A107,Tank3!$C$32:$C$49),0))+(IF(Tank4!$C$23="Vapor combustion unit",SUMIF(Tank4!$A$32:$A$49, VCU!A107,Tank4!$C$32:$C$49),0))+(IF(Tank5!$C$23="Vapor combustion unit",SUMIF(Tank5!$A$32:$A$49, VCU!A107,Tank5!$C$32:$C$49),0))+(IF('Loading-drum,tote'!$C$21="Vapor combustion unit",SUMIF('Loading-drum,tote'!$A$31:$A$48, VCU!A107,'Loading-drum,tote'!$F$31:$F$48),0))+(IF('Loading-truck'!$C$21="Vapor combustion unit",SUMIF('Loading-truck'!$A$31:$A$48, VCU!A107,'Loading-truck'!$F$31:$F$48),0))+(IF('Loading-rail'!$C$21="Vapor combustion unit",SUMIF('Loading-rail'!$A$31:$A$48, VCU!A107,'Loading-rail'!$F$31:$F$48),0))</f>
        <v>0</v>
      </c>
      <c r="E107" s="541">
        <f t="shared" si="1"/>
        <v>0</v>
      </c>
    </row>
    <row r="108" spans="1:5" x14ac:dyDescent="0.25">
      <c r="A108" s="539" t="str">
        <f>'Hidden Inputs'!AN52</f>
        <v/>
      </c>
      <c r="B108" s="1594" t="str">
        <f t="shared" si="2"/>
        <v/>
      </c>
      <c r="C108" s="1594"/>
      <c r="D108" s="544">
        <f>(IF(Tank1!$C$23="Vapor combustion unit",SUMIF(Tank1!$A$32:$A$49,VCU!A108,Tank1!$C$32:$C$49),0))+(IF(Tank2!$C$23="Vapor combustion unit",SUMIF(Tank2!$A$32:$A$49, VCU!A108,Tank2!$C$32:$C$49),0))+(IF(Tank3!$C$23="Vapor combustion unit",SUMIF(Tank3!$A$32:$A$49, VCU!A108,Tank3!$C$32:$C$49),0))+(IF(Tank4!$C$23="Vapor combustion unit",SUMIF(Tank4!$A$32:$A$49, VCU!A108,Tank4!$C$32:$C$49),0))+(IF(Tank5!$C$23="Vapor combustion unit",SUMIF(Tank5!$A$32:$A$49, VCU!A108,Tank5!$C$32:$C$49),0))+(IF('Loading-drum,tote'!$C$21="Vapor combustion unit",SUMIF('Loading-drum,tote'!$A$31:$A$48, VCU!A108,'Loading-drum,tote'!$F$31:$F$48),0))+(IF('Loading-truck'!$C$21="Vapor combustion unit",SUMIF('Loading-truck'!$A$31:$A$48, VCU!A108,'Loading-truck'!$F$31:$F$48),0))+(IF('Loading-rail'!$C$21="Vapor combustion unit",SUMIF('Loading-rail'!$A$31:$A$48, VCU!A108,'Loading-rail'!$F$31:$F$48),0))</f>
        <v>0</v>
      </c>
      <c r="E108" s="541">
        <f t="shared" si="1"/>
        <v>0</v>
      </c>
    </row>
    <row r="109" spans="1:5" x14ac:dyDescent="0.25">
      <c r="A109" s="539" t="str">
        <f>'Hidden Inputs'!AN53</f>
        <v/>
      </c>
      <c r="B109" s="1594" t="str">
        <f t="shared" si="2"/>
        <v/>
      </c>
      <c r="C109" s="1594"/>
      <c r="D109" s="544">
        <f>(IF(Tank1!$C$23="Vapor combustion unit",SUMIF(Tank1!$A$32:$A$49,VCU!A109,Tank1!$C$32:$C$49),0))+(IF(Tank2!$C$23="Vapor combustion unit",SUMIF(Tank2!$A$32:$A$49, VCU!A109,Tank2!$C$32:$C$49),0))+(IF(Tank3!$C$23="Vapor combustion unit",SUMIF(Tank3!$A$32:$A$49, VCU!A109,Tank3!$C$32:$C$49),0))+(IF(Tank4!$C$23="Vapor combustion unit",SUMIF(Tank4!$A$32:$A$49, VCU!A109,Tank4!$C$32:$C$49),0))+(IF(Tank5!$C$23="Vapor combustion unit",SUMIF(Tank5!$A$32:$A$49, VCU!A109,Tank5!$C$32:$C$49),0))+(IF('Loading-drum,tote'!$C$21="Vapor combustion unit",SUMIF('Loading-drum,tote'!$A$31:$A$48, VCU!A109,'Loading-drum,tote'!$F$31:$F$48),0))+(IF('Loading-truck'!$C$21="Vapor combustion unit",SUMIF('Loading-truck'!$A$31:$A$48, VCU!A109,'Loading-truck'!$F$31:$F$48),0))+(IF('Loading-rail'!$C$21="Vapor combustion unit",SUMIF('Loading-rail'!$A$31:$A$48, VCU!A109,'Loading-rail'!$F$31:$F$48),0))</f>
        <v>0</v>
      </c>
      <c r="E109" s="541">
        <f t="shared" si="1"/>
        <v>0</v>
      </c>
    </row>
    <row r="110" spans="1:5" x14ac:dyDescent="0.25">
      <c r="A110" s="539" t="str">
        <f>'Hidden Inputs'!AN54</f>
        <v/>
      </c>
      <c r="B110" s="1594" t="str">
        <f t="shared" si="2"/>
        <v/>
      </c>
      <c r="C110" s="1594"/>
      <c r="D110" s="544">
        <f>(IF(Tank1!$C$23="Vapor combustion unit",SUMIF(Tank1!$A$32:$A$49,VCU!A110,Tank1!$C$32:$C$49),0))+(IF(Tank2!$C$23="Vapor combustion unit",SUMIF(Tank2!$A$32:$A$49, VCU!A110,Tank2!$C$32:$C$49),0))+(IF(Tank3!$C$23="Vapor combustion unit",SUMIF(Tank3!$A$32:$A$49, VCU!A110,Tank3!$C$32:$C$49),0))+(IF(Tank4!$C$23="Vapor combustion unit",SUMIF(Tank4!$A$32:$A$49, VCU!A110,Tank4!$C$32:$C$49),0))+(IF(Tank5!$C$23="Vapor combustion unit",SUMIF(Tank5!$A$32:$A$49, VCU!A110,Tank5!$C$32:$C$49),0))+(IF('Loading-drum,tote'!$C$21="Vapor combustion unit",SUMIF('Loading-drum,tote'!$A$31:$A$48, VCU!A110,'Loading-drum,tote'!$F$31:$F$48),0))+(IF('Loading-truck'!$C$21="Vapor combustion unit",SUMIF('Loading-truck'!$A$31:$A$48, VCU!A110,'Loading-truck'!$F$31:$F$48),0))+(IF('Loading-rail'!$C$21="Vapor combustion unit",SUMIF('Loading-rail'!$A$31:$A$48, VCU!A110,'Loading-rail'!$F$31:$F$48),0))</f>
        <v>0</v>
      </c>
      <c r="E110" s="541">
        <f t="shared" si="1"/>
        <v>0</v>
      </c>
    </row>
    <row r="111" spans="1:5" x14ac:dyDescent="0.25">
      <c r="A111" s="539" t="str">
        <f>'Hidden Inputs'!AN55</f>
        <v/>
      </c>
      <c r="B111" s="1594" t="str">
        <f t="shared" si="2"/>
        <v/>
      </c>
      <c r="C111" s="1594"/>
      <c r="D111" s="544">
        <f>(IF(Tank1!$C$23="Vapor combustion unit",SUMIF(Tank1!$A$32:$A$49,VCU!A111,Tank1!$C$32:$C$49),0))+(IF(Tank2!$C$23="Vapor combustion unit",SUMIF(Tank2!$A$32:$A$49, VCU!A111,Tank2!$C$32:$C$49),0))+(IF(Tank3!$C$23="Vapor combustion unit",SUMIF(Tank3!$A$32:$A$49, VCU!A111,Tank3!$C$32:$C$49),0))+(IF(Tank4!$C$23="Vapor combustion unit",SUMIF(Tank4!$A$32:$A$49, VCU!A111,Tank4!$C$32:$C$49),0))+(IF(Tank5!$C$23="Vapor combustion unit",SUMIF(Tank5!$A$32:$A$49, VCU!A111,Tank5!$C$32:$C$49),0))+(IF('Loading-drum,tote'!$C$21="Vapor combustion unit",SUMIF('Loading-drum,tote'!$A$31:$A$48, VCU!A111,'Loading-drum,tote'!$F$31:$F$48),0))+(IF('Loading-truck'!$C$21="Vapor combustion unit",SUMIF('Loading-truck'!$A$31:$A$48, VCU!A111,'Loading-truck'!$F$31:$F$48),0))+(IF('Loading-rail'!$C$21="Vapor combustion unit",SUMIF('Loading-rail'!$A$31:$A$48, VCU!A111,'Loading-rail'!$F$31:$F$48),0))</f>
        <v>0</v>
      </c>
      <c r="E111" s="541">
        <f t="shared" si="1"/>
        <v>0</v>
      </c>
    </row>
    <row r="112" spans="1:5" x14ac:dyDescent="0.25">
      <c r="A112" s="539" t="str">
        <f>'Hidden Inputs'!AN56</f>
        <v/>
      </c>
      <c r="B112" s="1594" t="str">
        <f t="shared" si="2"/>
        <v/>
      </c>
      <c r="C112" s="1594"/>
      <c r="D112" s="544">
        <f>(IF(Tank1!$C$23="Vapor combustion unit",SUMIF(Tank1!$A$32:$A$49,VCU!A112,Tank1!$C$32:$C$49),0))+(IF(Tank2!$C$23="Vapor combustion unit",SUMIF(Tank2!$A$32:$A$49, VCU!A112,Tank2!$C$32:$C$49),0))+(IF(Tank3!$C$23="Vapor combustion unit",SUMIF(Tank3!$A$32:$A$49, VCU!A112,Tank3!$C$32:$C$49),0))+(IF(Tank4!$C$23="Vapor combustion unit",SUMIF(Tank4!$A$32:$A$49, VCU!A112,Tank4!$C$32:$C$49),0))+(IF(Tank5!$C$23="Vapor combustion unit",SUMIF(Tank5!$A$32:$A$49, VCU!A112,Tank5!$C$32:$C$49),0))+(IF('Loading-drum,tote'!$C$21="Vapor combustion unit",SUMIF('Loading-drum,tote'!$A$31:$A$48, VCU!A112,'Loading-drum,tote'!$F$31:$F$48),0))+(IF('Loading-truck'!$C$21="Vapor combustion unit",SUMIF('Loading-truck'!$A$31:$A$48, VCU!A112,'Loading-truck'!$F$31:$F$48),0))+(IF('Loading-rail'!$C$21="Vapor combustion unit",SUMIF('Loading-rail'!$A$31:$A$48, VCU!A112,'Loading-rail'!$F$31:$F$48),0))</f>
        <v>0</v>
      </c>
      <c r="E112" s="541">
        <f t="shared" si="1"/>
        <v>0</v>
      </c>
    </row>
    <row r="113" spans="1:5" x14ac:dyDescent="0.25">
      <c r="A113" s="539" t="str">
        <f>'Hidden Inputs'!AN57</f>
        <v/>
      </c>
      <c r="B113" s="1594" t="str">
        <f t="shared" si="2"/>
        <v/>
      </c>
      <c r="C113" s="1594"/>
      <c r="D113" s="544">
        <f>(IF(Tank1!$C$23="Vapor combustion unit",SUMIF(Tank1!$A$32:$A$49,VCU!A113,Tank1!$C$32:$C$49),0))+(IF(Tank2!$C$23="Vapor combustion unit",SUMIF(Tank2!$A$32:$A$49, VCU!A113,Tank2!$C$32:$C$49),0))+(IF(Tank3!$C$23="Vapor combustion unit",SUMIF(Tank3!$A$32:$A$49, VCU!A113,Tank3!$C$32:$C$49),0))+(IF(Tank4!$C$23="Vapor combustion unit",SUMIF(Tank4!$A$32:$A$49, VCU!A113,Tank4!$C$32:$C$49),0))+(IF(Tank5!$C$23="Vapor combustion unit",SUMIF(Tank5!$A$32:$A$49, VCU!A113,Tank5!$C$32:$C$49),0))+(IF('Loading-drum,tote'!$C$21="Vapor combustion unit",SUMIF('Loading-drum,tote'!$A$31:$A$48, VCU!A113,'Loading-drum,tote'!$F$31:$F$48),0))+(IF('Loading-truck'!$C$21="Vapor combustion unit",SUMIF('Loading-truck'!$A$31:$A$48, VCU!A113,'Loading-truck'!$F$31:$F$48),0))+(IF('Loading-rail'!$C$21="Vapor combustion unit",SUMIF('Loading-rail'!$A$31:$A$48, VCU!A113,'Loading-rail'!$F$31:$F$48),0))</f>
        <v>0</v>
      </c>
      <c r="E113" s="541">
        <f t="shared" si="1"/>
        <v>0</v>
      </c>
    </row>
    <row r="114" spans="1:5" x14ac:dyDescent="0.25">
      <c r="A114" s="539" t="str">
        <f>'Hidden Inputs'!AN58</f>
        <v/>
      </c>
      <c r="B114" s="1594" t="str">
        <f t="shared" si="2"/>
        <v/>
      </c>
      <c r="C114" s="1594"/>
      <c r="D114" s="544">
        <f>(IF(Tank1!$C$23="Vapor combustion unit",SUMIF(Tank1!$A$32:$A$49,VCU!A114,Tank1!$C$32:$C$49),0))+(IF(Tank2!$C$23="Vapor combustion unit",SUMIF(Tank2!$A$32:$A$49, VCU!A114,Tank2!$C$32:$C$49),0))+(IF(Tank3!$C$23="Vapor combustion unit",SUMIF(Tank3!$A$32:$A$49, VCU!A114,Tank3!$C$32:$C$49),0))+(IF(Tank4!$C$23="Vapor combustion unit",SUMIF(Tank4!$A$32:$A$49, VCU!A114,Tank4!$C$32:$C$49),0))+(IF(Tank5!$C$23="Vapor combustion unit",SUMIF(Tank5!$A$32:$A$49, VCU!A114,Tank5!$C$32:$C$49),0))+(IF('Loading-drum,tote'!$C$21="Vapor combustion unit",SUMIF('Loading-drum,tote'!$A$31:$A$48, VCU!A114,'Loading-drum,tote'!$F$31:$F$48),0))+(IF('Loading-truck'!$C$21="Vapor combustion unit",SUMIF('Loading-truck'!$A$31:$A$48, VCU!A114,'Loading-truck'!$F$31:$F$48),0))+(IF('Loading-rail'!$C$21="Vapor combustion unit",SUMIF('Loading-rail'!$A$31:$A$48, VCU!A114,'Loading-rail'!$F$31:$F$48),0))</f>
        <v>0</v>
      </c>
      <c r="E114" s="541">
        <f t="shared" si="1"/>
        <v>0</v>
      </c>
    </row>
    <row r="115" spans="1:5" x14ac:dyDescent="0.25">
      <c r="A115" s="539" t="str">
        <f>'Hidden Inputs'!AN59</f>
        <v/>
      </c>
      <c r="B115" s="1594" t="str">
        <f t="shared" si="2"/>
        <v/>
      </c>
      <c r="C115" s="1594"/>
      <c r="D115" s="544">
        <f>(IF(Tank1!$C$23="Vapor combustion unit",SUMIF(Tank1!$A$32:$A$49,VCU!A115,Tank1!$C$32:$C$49),0))+(IF(Tank2!$C$23="Vapor combustion unit",SUMIF(Tank2!$A$32:$A$49, VCU!A115,Tank2!$C$32:$C$49),0))+(IF(Tank3!$C$23="Vapor combustion unit",SUMIF(Tank3!$A$32:$A$49, VCU!A115,Tank3!$C$32:$C$49),0))+(IF(Tank4!$C$23="Vapor combustion unit",SUMIF(Tank4!$A$32:$A$49, VCU!A115,Tank4!$C$32:$C$49),0))+(IF(Tank5!$C$23="Vapor combustion unit",SUMIF(Tank5!$A$32:$A$49, VCU!A115,Tank5!$C$32:$C$49),0))+(IF('Loading-drum,tote'!$C$21="Vapor combustion unit",SUMIF('Loading-drum,tote'!$A$31:$A$48, VCU!A115,'Loading-drum,tote'!$F$31:$F$48),0))+(IF('Loading-truck'!$C$21="Vapor combustion unit",SUMIF('Loading-truck'!$A$31:$A$48, VCU!A115,'Loading-truck'!$F$31:$F$48),0))+(IF('Loading-rail'!$C$21="Vapor combustion unit",SUMIF('Loading-rail'!$A$31:$A$48, VCU!A115,'Loading-rail'!$F$31:$F$48),0))</f>
        <v>0</v>
      </c>
      <c r="E115" s="541">
        <f t="shared" si="1"/>
        <v>0</v>
      </c>
    </row>
    <row r="116" spans="1:5" x14ac:dyDescent="0.25">
      <c r="A116" s="539" t="str">
        <f>'Hidden Inputs'!AN60</f>
        <v/>
      </c>
      <c r="B116" s="1594" t="str">
        <f t="shared" si="2"/>
        <v/>
      </c>
      <c r="C116" s="1594"/>
      <c r="D116" s="544">
        <f>(IF(Tank1!$C$23="Vapor combustion unit",SUMIF(Tank1!$A$32:$A$49,VCU!A116,Tank1!$C$32:$C$49),0))+(IF(Tank2!$C$23="Vapor combustion unit",SUMIF(Tank2!$A$32:$A$49, VCU!A116,Tank2!$C$32:$C$49),0))+(IF(Tank3!$C$23="Vapor combustion unit",SUMIF(Tank3!$A$32:$A$49, VCU!A116,Tank3!$C$32:$C$49),0))+(IF(Tank4!$C$23="Vapor combustion unit",SUMIF(Tank4!$A$32:$A$49, VCU!A116,Tank4!$C$32:$C$49),0))+(IF(Tank5!$C$23="Vapor combustion unit",SUMIF(Tank5!$A$32:$A$49, VCU!A116,Tank5!$C$32:$C$49),0))+(IF('Loading-drum,tote'!$C$21="Vapor combustion unit",SUMIF('Loading-drum,tote'!$A$31:$A$48, VCU!A116,'Loading-drum,tote'!$F$31:$F$48),0))+(IF('Loading-truck'!$C$21="Vapor combustion unit",SUMIF('Loading-truck'!$A$31:$A$48, VCU!A116,'Loading-truck'!$F$31:$F$48),0))+(IF('Loading-rail'!$C$21="Vapor combustion unit",SUMIF('Loading-rail'!$A$31:$A$48, VCU!A116,'Loading-rail'!$F$31:$F$48),0))</f>
        <v>0</v>
      </c>
      <c r="E116" s="541">
        <f t="shared" si="1"/>
        <v>0</v>
      </c>
    </row>
    <row r="117" spans="1:5" x14ac:dyDescent="0.25">
      <c r="A117" s="539" t="str">
        <f>'Hidden Inputs'!AN61</f>
        <v/>
      </c>
      <c r="B117" s="1594" t="str">
        <f t="shared" si="2"/>
        <v/>
      </c>
      <c r="C117" s="1594"/>
      <c r="D117" s="544">
        <f>(IF(Tank1!$C$23="Vapor combustion unit",SUMIF(Tank1!$A$32:$A$49,VCU!A117,Tank1!$C$32:$C$49),0))+(IF(Tank2!$C$23="Vapor combustion unit",SUMIF(Tank2!$A$32:$A$49, VCU!A117,Tank2!$C$32:$C$49),0))+(IF(Tank3!$C$23="Vapor combustion unit",SUMIF(Tank3!$A$32:$A$49, VCU!A117,Tank3!$C$32:$C$49),0))+(IF(Tank4!$C$23="Vapor combustion unit",SUMIF(Tank4!$A$32:$A$49, VCU!A117,Tank4!$C$32:$C$49),0))+(IF(Tank5!$C$23="Vapor combustion unit",SUMIF(Tank5!$A$32:$A$49, VCU!A117,Tank5!$C$32:$C$49),0))+(IF('Loading-drum,tote'!$C$21="Vapor combustion unit",SUMIF('Loading-drum,tote'!$A$31:$A$48, VCU!A117,'Loading-drum,tote'!$F$31:$F$48),0))+(IF('Loading-truck'!$C$21="Vapor combustion unit",SUMIF('Loading-truck'!$A$31:$A$48, VCU!A117,'Loading-truck'!$F$31:$F$48),0))+(IF('Loading-rail'!$C$21="Vapor combustion unit",SUMIF('Loading-rail'!$A$31:$A$48, VCU!A117,'Loading-rail'!$F$31:$F$48),0))</f>
        <v>0</v>
      </c>
      <c r="E117" s="541">
        <f t="shared" si="1"/>
        <v>0</v>
      </c>
    </row>
    <row r="118" spans="1:5" x14ac:dyDescent="0.25">
      <c r="A118" s="539" t="str">
        <f>'Hidden Inputs'!AN62</f>
        <v/>
      </c>
      <c r="B118" s="1594" t="str">
        <f t="shared" si="2"/>
        <v/>
      </c>
      <c r="C118" s="1594"/>
      <c r="D118" s="544">
        <f>(IF(Tank1!$C$23="Vapor combustion unit",SUMIF(Tank1!$A$32:$A$49,VCU!A118,Tank1!$C$32:$C$49),0))+(IF(Tank2!$C$23="Vapor combustion unit",SUMIF(Tank2!$A$32:$A$49, VCU!A118,Tank2!$C$32:$C$49),0))+(IF(Tank3!$C$23="Vapor combustion unit",SUMIF(Tank3!$A$32:$A$49, VCU!A118,Tank3!$C$32:$C$49),0))+(IF(Tank4!$C$23="Vapor combustion unit",SUMIF(Tank4!$A$32:$A$49, VCU!A118,Tank4!$C$32:$C$49),0))+(IF(Tank5!$C$23="Vapor combustion unit",SUMIF(Tank5!$A$32:$A$49, VCU!A118,Tank5!$C$32:$C$49),0))+(IF('Loading-drum,tote'!$C$21="Vapor combustion unit",SUMIF('Loading-drum,tote'!$A$31:$A$48, VCU!A118,'Loading-drum,tote'!$F$31:$F$48),0))+(IF('Loading-truck'!$C$21="Vapor combustion unit",SUMIF('Loading-truck'!$A$31:$A$48, VCU!A118,'Loading-truck'!$F$31:$F$48),0))+(IF('Loading-rail'!$C$21="Vapor combustion unit",SUMIF('Loading-rail'!$A$31:$A$48, VCU!A118,'Loading-rail'!$F$31:$F$48),0))</f>
        <v>0</v>
      </c>
      <c r="E118" s="541">
        <f t="shared" si="1"/>
        <v>0</v>
      </c>
    </row>
    <row r="119" spans="1:5" x14ac:dyDescent="0.25">
      <c r="A119" s="539" t="str">
        <f>'Hidden Inputs'!AN63</f>
        <v/>
      </c>
      <c r="B119" s="1594" t="str">
        <f t="shared" si="2"/>
        <v/>
      </c>
      <c r="C119" s="1594"/>
      <c r="D119" s="544">
        <f>(IF(Tank1!$C$23="Vapor combustion unit",SUMIF(Tank1!$A$32:$A$49,VCU!A119,Tank1!$C$32:$C$49),0))+(IF(Tank2!$C$23="Vapor combustion unit",SUMIF(Tank2!$A$32:$A$49, VCU!A119,Tank2!$C$32:$C$49),0))+(IF(Tank3!$C$23="Vapor combustion unit",SUMIF(Tank3!$A$32:$A$49, VCU!A119,Tank3!$C$32:$C$49),0))+(IF(Tank4!$C$23="Vapor combustion unit",SUMIF(Tank4!$A$32:$A$49, VCU!A119,Tank4!$C$32:$C$49),0))+(IF(Tank5!$C$23="Vapor combustion unit",SUMIF(Tank5!$A$32:$A$49, VCU!A119,Tank5!$C$32:$C$49),0))+(IF('Loading-drum,tote'!$C$21="Vapor combustion unit",SUMIF('Loading-drum,tote'!$A$31:$A$48, VCU!A119,'Loading-drum,tote'!$F$31:$F$48),0))+(IF('Loading-truck'!$C$21="Vapor combustion unit",SUMIF('Loading-truck'!$A$31:$A$48, VCU!A119,'Loading-truck'!$F$31:$F$48),0))+(IF('Loading-rail'!$C$21="Vapor combustion unit",SUMIF('Loading-rail'!$A$31:$A$48, VCU!A119,'Loading-rail'!$F$31:$F$48),0))</f>
        <v>0</v>
      </c>
      <c r="E119" s="541">
        <f t="shared" si="1"/>
        <v>0</v>
      </c>
    </row>
    <row r="120" spans="1:5" x14ac:dyDescent="0.25">
      <c r="A120" s="539" t="str">
        <f>'Hidden Inputs'!AN64</f>
        <v/>
      </c>
      <c r="B120" s="1594" t="str">
        <f t="shared" si="2"/>
        <v/>
      </c>
      <c r="C120" s="1594"/>
      <c r="D120" s="544">
        <f>(IF(Tank1!$C$23="Vapor combustion unit",SUMIF(Tank1!$A$32:$A$49,VCU!A120,Tank1!$C$32:$C$49),0))+(IF(Tank2!$C$23="Vapor combustion unit",SUMIF(Tank2!$A$32:$A$49, VCU!A120,Tank2!$C$32:$C$49),0))+(IF(Tank3!$C$23="Vapor combustion unit",SUMIF(Tank3!$A$32:$A$49, VCU!A120,Tank3!$C$32:$C$49),0))+(IF(Tank4!$C$23="Vapor combustion unit",SUMIF(Tank4!$A$32:$A$49, VCU!A120,Tank4!$C$32:$C$49),0))+(IF(Tank5!$C$23="Vapor combustion unit",SUMIF(Tank5!$A$32:$A$49, VCU!A120,Tank5!$C$32:$C$49),0))+(IF('Loading-drum,tote'!$C$21="Vapor combustion unit",SUMIF('Loading-drum,tote'!$A$31:$A$48, VCU!A120,'Loading-drum,tote'!$F$31:$F$48),0))+(IF('Loading-truck'!$C$21="Vapor combustion unit",SUMIF('Loading-truck'!$A$31:$A$48, VCU!A120,'Loading-truck'!$F$31:$F$48),0))+(IF('Loading-rail'!$C$21="Vapor combustion unit",SUMIF('Loading-rail'!$A$31:$A$48, VCU!A120,'Loading-rail'!$F$31:$F$48),0))</f>
        <v>0</v>
      </c>
      <c r="E120" s="541">
        <f t="shared" si="1"/>
        <v>0</v>
      </c>
    </row>
    <row r="121" spans="1:5" x14ac:dyDescent="0.25">
      <c r="A121" s="539" t="str">
        <f>'Hidden Inputs'!AN65</f>
        <v/>
      </c>
      <c r="B121" s="1594" t="str">
        <f t="shared" si="2"/>
        <v/>
      </c>
      <c r="C121" s="1594"/>
      <c r="D121" s="544">
        <f>(IF(Tank1!$C$23="Vapor combustion unit",SUMIF(Tank1!$A$32:$A$49,VCU!A121,Tank1!$C$32:$C$49),0))+(IF(Tank2!$C$23="Vapor combustion unit",SUMIF(Tank2!$A$32:$A$49, VCU!A121,Tank2!$C$32:$C$49),0))+(IF(Tank3!$C$23="Vapor combustion unit",SUMIF(Tank3!$A$32:$A$49, VCU!A121,Tank3!$C$32:$C$49),0))+(IF(Tank4!$C$23="Vapor combustion unit",SUMIF(Tank4!$A$32:$A$49, VCU!A121,Tank4!$C$32:$C$49),0))+(IF(Tank5!$C$23="Vapor combustion unit",SUMIF(Tank5!$A$32:$A$49, VCU!A121,Tank5!$C$32:$C$49),0))+(IF('Loading-drum,tote'!$C$21="Vapor combustion unit",SUMIF('Loading-drum,tote'!$A$31:$A$48, VCU!A121,'Loading-drum,tote'!$F$31:$F$48),0))+(IF('Loading-truck'!$C$21="Vapor combustion unit",SUMIF('Loading-truck'!$A$31:$A$48, VCU!A121,'Loading-truck'!$F$31:$F$48),0))+(IF('Loading-rail'!$C$21="Vapor combustion unit",SUMIF('Loading-rail'!$A$31:$A$48, VCU!A121,'Loading-rail'!$F$31:$F$48),0))</f>
        <v>0</v>
      </c>
      <c r="E121" s="541">
        <f t="shared" si="1"/>
        <v>0</v>
      </c>
    </row>
    <row r="122" spans="1:5" x14ac:dyDescent="0.25">
      <c r="A122" s="539" t="str">
        <f>'Hidden Inputs'!AN66</f>
        <v/>
      </c>
      <c r="B122" s="1594" t="str">
        <f t="shared" ref="B122:B153" si="3">IFERROR(VLOOKUP(A122, SpeciesDataTable,2,FALSE),"")</f>
        <v/>
      </c>
      <c r="C122" s="1594"/>
      <c r="D122" s="544">
        <f>(IF(Tank1!$C$23="Vapor combustion unit",SUMIF(Tank1!$A$32:$A$49,VCU!A122,Tank1!$C$32:$C$49),0))+(IF(Tank2!$C$23="Vapor combustion unit",SUMIF(Tank2!$A$32:$A$49, VCU!A122,Tank2!$C$32:$C$49),0))+(IF(Tank3!$C$23="Vapor combustion unit",SUMIF(Tank3!$A$32:$A$49, VCU!A122,Tank3!$C$32:$C$49),0))+(IF(Tank4!$C$23="Vapor combustion unit",SUMIF(Tank4!$A$32:$A$49, VCU!A122,Tank4!$C$32:$C$49),0))+(IF(Tank5!$C$23="Vapor combustion unit",SUMIF(Tank5!$A$32:$A$49, VCU!A122,Tank5!$C$32:$C$49),0))+(IF('Loading-drum,tote'!$C$21="Vapor combustion unit",SUMIF('Loading-drum,tote'!$A$31:$A$48, VCU!A122,'Loading-drum,tote'!$F$31:$F$48),0))+(IF('Loading-truck'!$C$21="Vapor combustion unit",SUMIF('Loading-truck'!$A$31:$A$48, VCU!A122,'Loading-truck'!$F$31:$F$48),0))+(IF('Loading-rail'!$C$21="Vapor combustion unit",SUMIF('Loading-rail'!$A$31:$A$48, VCU!A122,'Loading-rail'!$F$31:$F$48),0))</f>
        <v>0</v>
      </c>
      <c r="E122" s="541">
        <f t="shared" si="1"/>
        <v>0</v>
      </c>
    </row>
    <row r="123" spans="1:5" x14ac:dyDescent="0.25">
      <c r="A123" s="539" t="str">
        <f>'Hidden Inputs'!AN67</f>
        <v/>
      </c>
      <c r="B123" s="1594" t="str">
        <f t="shared" si="3"/>
        <v/>
      </c>
      <c r="C123" s="1594"/>
      <c r="D123" s="544">
        <f>(IF(Tank1!$C$23="Vapor combustion unit",SUMIF(Tank1!$A$32:$A$49,VCU!A123,Tank1!$C$32:$C$49),0))+(IF(Tank2!$C$23="Vapor combustion unit",SUMIF(Tank2!$A$32:$A$49, VCU!A123,Tank2!$C$32:$C$49),0))+(IF(Tank3!$C$23="Vapor combustion unit",SUMIF(Tank3!$A$32:$A$49, VCU!A123,Tank3!$C$32:$C$49),0))+(IF(Tank4!$C$23="Vapor combustion unit",SUMIF(Tank4!$A$32:$A$49, VCU!A123,Tank4!$C$32:$C$49),0))+(IF(Tank5!$C$23="Vapor combustion unit",SUMIF(Tank5!$A$32:$A$49, VCU!A123,Tank5!$C$32:$C$49),0))+(IF('Loading-drum,tote'!$C$21="Vapor combustion unit",SUMIF('Loading-drum,tote'!$A$31:$A$48, VCU!A123,'Loading-drum,tote'!$F$31:$F$48),0))+(IF('Loading-truck'!$C$21="Vapor combustion unit",SUMIF('Loading-truck'!$A$31:$A$48, VCU!A123,'Loading-truck'!$F$31:$F$48),0))+(IF('Loading-rail'!$C$21="Vapor combustion unit",SUMIF('Loading-rail'!$A$31:$A$48, VCU!A123,'Loading-rail'!$F$31:$F$48),0))</f>
        <v>0</v>
      </c>
      <c r="E123" s="541">
        <f t="shared" ref="E123:E186" si="4">IF(OR(B123="ammonia",B123="hydrogen sulfide"),D123,D123*(1-$C$31))</f>
        <v>0</v>
      </c>
    </row>
    <row r="124" spans="1:5" x14ac:dyDescent="0.25">
      <c r="A124" s="539" t="str">
        <f>'Hidden Inputs'!AN68</f>
        <v/>
      </c>
      <c r="B124" s="1594" t="str">
        <f t="shared" si="3"/>
        <v/>
      </c>
      <c r="C124" s="1594"/>
      <c r="D124" s="544">
        <f>(IF(Tank1!$C$23="Vapor combustion unit",SUMIF(Tank1!$A$32:$A$49,VCU!A124,Tank1!$C$32:$C$49),0))+(IF(Tank2!$C$23="Vapor combustion unit",SUMIF(Tank2!$A$32:$A$49, VCU!A124,Tank2!$C$32:$C$49),0))+(IF(Tank3!$C$23="Vapor combustion unit",SUMIF(Tank3!$A$32:$A$49, VCU!A124,Tank3!$C$32:$C$49),0))+(IF(Tank4!$C$23="Vapor combustion unit",SUMIF(Tank4!$A$32:$A$49, VCU!A124,Tank4!$C$32:$C$49),0))+(IF(Tank5!$C$23="Vapor combustion unit",SUMIF(Tank5!$A$32:$A$49, VCU!A124,Tank5!$C$32:$C$49),0))+(IF('Loading-drum,tote'!$C$21="Vapor combustion unit",SUMIF('Loading-drum,tote'!$A$31:$A$48, VCU!A124,'Loading-drum,tote'!$F$31:$F$48),0))+(IF('Loading-truck'!$C$21="Vapor combustion unit",SUMIF('Loading-truck'!$A$31:$A$48, VCU!A124,'Loading-truck'!$F$31:$F$48),0))+(IF('Loading-rail'!$C$21="Vapor combustion unit",SUMIF('Loading-rail'!$A$31:$A$48, VCU!A124,'Loading-rail'!$F$31:$F$48),0))</f>
        <v>0</v>
      </c>
      <c r="E124" s="541">
        <f t="shared" si="4"/>
        <v>0</v>
      </c>
    </row>
    <row r="125" spans="1:5" x14ac:dyDescent="0.25">
      <c r="A125" s="539" t="str">
        <f>'Hidden Inputs'!AN69</f>
        <v/>
      </c>
      <c r="B125" s="1594" t="str">
        <f t="shared" si="3"/>
        <v/>
      </c>
      <c r="C125" s="1594"/>
      <c r="D125" s="544">
        <f>(IF(Tank1!$C$23="Vapor combustion unit",SUMIF(Tank1!$A$32:$A$49,VCU!A125,Tank1!$C$32:$C$49),0))+(IF(Tank2!$C$23="Vapor combustion unit",SUMIF(Tank2!$A$32:$A$49, VCU!A125,Tank2!$C$32:$C$49),0))+(IF(Tank3!$C$23="Vapor combustion unit",SUMIF(Tank3!$A$32:$A$49, VCU!A125,Tank3!$C$32:$C$49),0))+(IF(Tank4!$C$23="Vapor combustion unit",SUMIF(Tank4!$A$32:$A$49, VCU!A125,Tank4!$C$32:$C$49),0))+(IF(Tank5!$C$23="Vapor combustion unit",SUMIF(Tank5!$A$32:$A$49, VCU!A125,Tank5!$C$32:$C$49),0))+(IF('Loading-drum,tote'!$C$21="Vapor combustion unit",SUMIF('Loading-drum,tote'!$A$31:$A$48, VCU!A125,'Loading-drum,tote'!$F$31:$F$48),0))+(IF('Loading-truck'!$C$21="Vapor combustion unit",SUMIF('Loading-truck'!$A$31:$A$48, VCU!A125,'Loading-truck'!$F$31:$F$48),0))+(IF('Loading-rail'!$C$21="Vapor combustion unit",SUMIF('Loading-rail'!$A$31:$A$48, VCU!A125,'Loading-rail'!$F$31:$F$48),0))</f>
        <v>0</v>
      </c>
      <c r="E125" s="541">
        <f t="shared" si="4"/>
        <v>0</v>
      </c>
    </row>
    <row r="126" spans="1:5" x14ac:dyDescent="0.25">
      <c r="A126" s="539" t="str">
        <f>'Hidden Inputs'!AN70</f>
        <v/>
      </c>
      <c r="B126" s="1594" t="str">
        <f t="shared" si="3"/>
        <v/>
      </c>
      <c r="C126" s="1594"/>
      <c r="D126" s="544">
        <f>(IF(Tank1!$C$23="Vapor combustion unit",SUMIF(Tank1!$A$32:$A$49,VCU!A126,Tank1!$C$32:$C$49),0))+(IF(Tank2!$C$23="Vapor combustion unit",SUMIF(Tank2!$A$32:$A$49, VCU!A126,Tank2!$C$32:$C$49),0))+(IF(Tank3!$C$23="Vapor combustion unit",SUMIF(Tank3!$A$32:$A$49, VCU!A126,Tank3!$C$32:$C$49),0))+(IF(Tank4!$C$23="Vapor combustion unit",SUMIF(Tank4!$A$32:$A$49, VCU!A126,Tank4!$C$32:$C$49),0))+(IF(Tank5!$C$23="Vapor combustion unit",SUMIF(Tank5!$A$32:$A$49, VCU!A126,Tank5!$C$32:$C$49),0))+(IF('Loading-drum,tote'!$C$21="Vapor combustion unit",SUMIF('Loading-drum,tote'!$A$31:$A$48, VCU!A126,'Loading-drum,tote'!$F$31:$F$48),0))+(IF('Loading-truck'!$C$21="Vapor combustion unit",SUMIF('Loading-truck'!$A$31:$A$48, VCU!A126,'Loading-truck'!$F$31:$F$48),0))+(IF('Loading-rail'!$C$21="Vapor combustion unit",SUMIF('Loading-rail'!$A$31:$A$48, VCU!A126,'Loading-rail'!$F$31:$F$48),0))</f>
        <v>0</v>
      </c>
      <c r="E126" s="541">
        <f t="shared" si="4"/>
        <v>0</v>
      </c>
    </row>
    <row r="127" spans="1:5" x14ac:dyDescent="0.25">
      <c r="A127" s="539" t="str">
        <f>'Hidden Inputs'!AN71</f>
        <v/>
      </c>
      <c r="B127" s="1594" t="str">
        <f t="shared" si="3"/>
        <v/>
      </c>
      <c r="C127" s="1594"/>
      <c r="D127" s="544">
        <f>(IF(Tank1!$C$23="Vapor combustion unit",SUMIF(Tank1!$A$32:$A$49,VCU!A127,Tank1!$C$32:$C$49),0))+(IF(Tank2!$C$23="Vapor combustion unit",SUMIF(Tank2!$A$32:$A$49, VCU!A127,Tank2!$C$32:$C$49),0))+(IF(Tank3!$C$23="Vapor combustion unit",SUMIF(Tank3!$A$32:$A$49, VCU!A127,Tank3!$C$32:$C$49),0))+(IF(Tank4!$C$23="Vapor combustion unit",SUMIF(Tank4!$A$32:$A$49, VCU!A127,Tank4!$C$32:$C$49),0))+(IF(Tank5!$C$23="Vapor combustion unit",SUMIF(Tank5!$A$32:$A$49, VCU!A127,Tank5!$C$32:$C$49),0))+(IF('Loading-drum,tote'!$C$21="Vapor combustion unit",SUMIF('Loading-drum,tote'!$A$31:$A$48, VCU!A127,'Loading-drum,tote'!$F$31:$F$48),0))+(IF('Loading-truck'!$C$21="Vapor combustion unit",SUMIF('Loading-truck'!$A$31:$A$48, VCU!A127,'Loading-truck'!$F$31:$F$48),0))+(IF('Loading-rail'!$C$21="Vapor combustion unit",SUMIF('Loading-rail'!$A$31:$A$48, VCU!A127,'Loading-rail'!$F$31:$F$48),0))</f>
        <v>0</v>
      </c>
      <c r="E127" s="541">
        <f t="shared" si="4"/>
        <v>0</v>
      </c>
    </row>
    <row r="128" spans="1:5" x14ac:dyDescent="0.25">
      <c r="A128" s="539" t="str">
        <f>'Hidden Inputs'!AN72</f>
        <v/>
      </c>
      <c r="B128" s="1594" t="str">
        <f t="shared" si="3"/>
        <v/>
      </c>
      <c r="C128" s="1594"/>
      <c r="D128" s="544">
        <f>(IF(Tank1!$C$23="Vapor combustion unit",SUMIF(Tank1!$A$32:$A$49,VCU!A128,Tank1!$C$32:$C$49),0))+(IF(Tank2!$C$23="Vapor combustion unit",SUMIF(Tank2!$A$32:$A$49, VCU!A128,Tank2!$C$32:$C$49),0))+(IF(Tank3!$C$23="Vapor combustion unit",SUMIF(Tank3!$A$32:$A$49, VCU!A128,Tank3!$C$32:$C$49),0))+(IF(Tank4!$C$23="Vapor combustion unit",SUMIF(Tank4!$A$32:$A$49, VCU!A128,Tank4!$C$32:$C$49),0))+(IF(Tank5!$C$23="Vapor combustion unit",SUMIF(Tank5!$A$32:$A$49, VCU!A128,Tank5!$C$32:$C$49),0))+(IF('Loading-drum,tote'!$C$21="Vapor combustion unit",SUMIF('Loading-drum,tote'!$A$31:$A$48, VCU!A128,'Loading-drum,tote'!$F$31:$F$48),0))+(IF('Loading-truck'!$C$21="Vapor combustion unit",SUMIF('Loading-truck'!$A$31:$A$48, VCU!A128,'Loading-truck'!$F$31:$F$48),0))+(IF('Loading-rail'!$C$21="Vapor combustion unit",SUMIF('Loading-rail'!$A$31:$A$48, VCU!A128,'Loading-rail'!$F$31:$F$48),0))</f>
        <v>0</v>
      </c>
      <c r="E128" s="541">
        <f t="shared" si="4"/>
        <v>0</v>
      </c>
    </row>
    <row r="129" spans="1:5" x14ac:dyDescent="0.25">
      <c r="A129" s="539" t="str">
        <f>'Hidden Inputs'!AN73</f>
        <v/>
      </c>
      <c r="B129" s="1594" t="str">
        <f t="shared" si="3"/>
        <v/>
      </c>
      <c r="C129" s="1594"/>
      <c r="D129" s="544">
        <f>(IF(Tank1!$C$23="Vapor combustion unit",SUMIF(Tank1!$A$32:$A$49,VCU!A129,Tank1!$C$32:$C$49),0))+(IF(Tank2!$C$23="Vapor combustion unit",SUMIF(Tank2!$A$32:$A$49, VCU!A129,Tank2!$C$32:$C$49),0))+(IF(Tank3!$C$23="Vapor combustion unit",SUMIF(Tank3!$A$32:$A$49, VCU!A129,Tank3!$C$32:$C$49),0))+(IF(Tank4!$C$23="Vapor combustion unit",SUMIF(Tank4!$A$32:$A$49, VCU!A129,Tank4!$C$32:$C$49),0))+(IF(Tank5!$C$23="Vapor combustion unit",SUMIF(Tank5!$A$32:$A$49, VCU!A129,Tank5!$C$32:$C$49),0))+(IF('Loading-drum,tote'!$C$21="Vapor combustion unit",SUMIF('Loading-drum,tote'!$A$31:$A$48, VCU!A129,'Loading-drum,tote'!$F$31:$F$48),0))+(IF('Loading-truck'!$C$21="Vapor combustion unit",SUMIF('Loading-truck'!$A$31:$A$48, VCU!A129,'Loading-truck'!$F$31:$F$48),0))+(IF('Loading-rail'!$C$21="Vapor combustion unit",SUMIF('Loading-rail'!$A$31:$A$48, VCU!A129,'Loading-rail'!$F$31:$F$48),0))</f>
        <v>0</v>
      </c>
      <c r="E129" s="541">
        <f t="shared" si="4"/>
        <v>0</v>
      </c>
    </row>
    <row r="130" spans="1:5" x14ac:dyDescent="0.25">
      <c r="A130" s="539" t="str">
        <f>'Hidden Inputs'!AN74</f>
        <v/>
      </c>
      <c r="B130" s="1594" t="str">
        <f t="shared" si="3"/>
        <v/>
      </c>
      <c r="C130" s="1594"/>
      <c r="D130" s="544">
        <f>(IF(Tank1!$C$23="Vapor combustion unit",SUMIF(Tank1!$A$32:$A$49,VCU!A130,Tank1!$C$32:$C$49),0))+(IF(Tank2!$C$23="Vapor combustion unit",SUMIF(Tank2!$A$32:$A$49, VCU!A130,Tank2!$C$32:$C$49),0))+(IF(Tank3!$C$23="Vapor combustion unit",SUMIF(Tank3!$A$32:$A$49, VCU!A130,Tank3!$C$32:$C$49),0))+(IF(Tank4!$C$23="Vapor combustion unit",SUMIF(Tank4!$A$32:$A$49, VCU!A130,Tank4!$C$32:$C$49),0))+(IF(Tank5!$C$23="Vapor combustion unit",SUMIF(Tank5!$A$32:$A$49, VCU!A130,Tank5!$C$32:$C$49),0))+(IF('Loading-drum,tote'!$C$21="Vapor combustion unit",SUMIF('Loading-drum,tote'!$A$31:$A$48, VCU!A130,'Loading-drum,tote'!$F$31:$F$48),0))+(IF('Loading-truck'!$C$21="Vapor combustion unit",SUMIF('Loading-truck'!$A$31:$A$48, VCU!A130,'Loading-truck'!$F$31:$F$48),0))+(IF('Loading-rail'!$C$21="Vapor combustion unit",SUMIF('Loading-rail'!$A$31:$A$48, VCU!A130,'Loading-rail'!$F$31:$F$48),0))</f>
        <v>0</v>
      </c>
      <c r="E130" s="541">
        <f t="shared" si="4"/>
        <v>0</v>
      </c>
    </row>
    <row r="131" spans="1:5" x14ac:dyDescent="0.25">
      <c r="A131" s="539" t="str">
        <f>'Hidden Inputs'!AN75</f>
        <v/>
      </c>
      <c r="B131" s="1594" t="str">
        <f t="shared" si="3"/>
        <v/>
      </c>
      <c r="C131" s="1594"/>
      <c r="D131" s="544">
        <f>(IF(Tank1!$C$23="Vapor combustion unit",SUMIF(Tank1!$A$32:$A$49,VCU!A131,Tank1!$C$32:$C$49),0))+(IF(Tank2!$C$23="Vapor combustion unit",SUMIF(Tank2!$A$32:$A$49, VCU!A131,Tank2!$C$32:$C$49),0))+(IF(Tank3!$C$23="Vapor combustion unit",SUMIF(Tank3!$A$32:$A$49, VCU!A131,Tank3!$C$32:$C$49),0))+(IF(Tank4!$C$23="Vapor combustion unit",SUMIF(Tank4!$A$32:$A$49, VCU!A131,Tank4!$C$32:$C$49),0))+(IF(Tank5!$C$23="Vapor combustion unit",SUMIF(Tank5!$A$32:$A$49, VCU!A131,Tank5!$C$32:$C$49),0))+(IF('Loading-drum,tote'!$C$21="Vapor combustion unit",SUMIF('Loading-drum,tote'!$A$31:$A$48, VCU!A131,'Loading-drum,tote'!$F$31:$F$48),0))+(IF('Loading-truck'!$C$21="Vapor combustion unit",SUMIF('Loading-truck'!$A$31:$A$48, VCU!A131,'Loading-truck'!$F$31:$F$48),0))+(IF('Loading-rail'!$C$21="Vapor combustion unit",SUMIF('Loading-rail'!$A$31:$A$48, VCU!A131,'Loading-rail'!$F$31:$F$48),0))</f>
        <v>0</v>
      </c>
      <c r="E131" s="541">
        <f t="shared" si="4"/>
        <v>0</v>
      </c>
    </row>
    <row r="132" spans="1:5" x14ac:dyDescent="0.25">
      <c r="A132" s="539" t="str">
        <f>'Hidden Inputs'!AN76</f>
        <v/>
      </c>
      <c r="B132" s="1594" t="str">
        <f t="shared" si="3"/>
        <v/>
      </c>
      <c r="C132" s="1594"/>
      <c r="D132" s="544">
        <f>(IF(Tank1!$C$23="Vapor combustion unit",SUMIF(Tank1!$A$32:$A$49,VCU!A132,Tank1!$C$32:$C$49),0))+(IF(Tank2!$C$23="Vapor combustion unit",SUMIF(Tank2!$A$32:$A$49, VCU!A132,Tank2!$C$32:$C$49),0))+(IF(Tank3!$C$23="Vapor combustion unit",SUMIF(Tank3!$A$32:$A$49, VCU!A132,Tank3!$C$32:$C$49),0))+(IF(Tank4!$C$23="Vapor combustion unit",SUMIF(Tank4!$A$32:$A$49, VCU!A132,Tank4!$C$32:$C$49),0))+(IF(Tank5!$C$23="Vapor combustion unit",SUMIF(Tank5!$A$32:$A$49, VCU!A132,Tank5!$C$32:$C$49),0))+(IF('Loading-drum,tote'!$C$21="Vapor combustion unit",SUMIF('Loading-drum,tote'!$A$31:$A$48, VCU!A132,'Loading-drum,tote'!$F$31:$F$48),0))+(IF('Loading-truck'!$C$21="Vapor combustion unit",SUMIF('Loading-truck'!$A$31:$A$48, VCU!A132,'Loading-truck'!$F$31:$F$48),0))+(IF('Loading-rail'!$C$21="Vapor combustion unit",SUMIF('Loading-rail'!$A$31:$A$48, VCU!A132,'Loading-rail'!$F$31:$F$48),0))</f>
        <v>0</v>
      </c>
      <c r="E132" s="541">
        <f t="shared" si="4"/>
        <v>0</v>
      </c>
    </row>
    <row r="133" spans="1:5" x14ac:dyDescent="0.25">
      <c r="A133" s="539" t="str">
        <f>'Hidden Inputs'!AN77</f>
        <v/>
      </c>
      <c r="B133" s="1594" t="str">
        <f t="shared" si="3"/>
        <v/>
      </c>
      <c r="C133" s="1594"/>
      <c r="D133" s="544">
        <f>(IF(Tank1!$C$23="Vapor combustion unit",SUMIF(Tank1!$A$32:$A$49,VCU!A133,Tank1!$C$32:$C$49),0))+(IF(Tank2!$C$23="Vapor combustion unit",SUMIF(Tank2!$A$32:$A$49, VCU!A133,Tank2!$C$32:$C$49),0))+(IF(Tank3!$C$23="Vapor combustion unit",SUMIF(Tank3!$A$32:$A$49, VCU!A133,Tank3!$C$32:$C$49),0))+(IF(Tank4!$C$23="Vapor combustion unit",SUMIF(Tank4!$A$32:$A$49, VCU!A133,Tank4!$C$32:$C$49),0))+(IF(Tank5!$C$23="Vapor combustion unit",SUMIF(Tank5!$A$32:$A$49, VCU!A133,Tank5!$C$32:$C$49),0))+(IF('Loading-drum,tote'!$C$21="Vapor combustion unit",SUMIF('Loading-drum,tote'!$A$31:$A$48, VCU!A133,'Loading-drum,tote'!$F$31:$F$48),0))+(IF('Loading-truck'!$C$21="Vapor combustion unit",SUMIF('Loading-truck'!$A$31:$A$48, VCU!A133,'Loading-truck'!$F$31:$F$48),0))+(IF('Loading-rail'!$C$21="Vapor combustion unit",SUMIF('Loading-rail'!$A$31:$A$48, VCU!A133,'Loading-rail'!$F$31:$F$48),0))</f>
        <v>0</v>
      </c>
      <c r="E133" s="541">
        <f t="shared" si="4"/>
        <v>0</v>
      </c>
    </row>
    <row r="134" spans="1:5" x14ac:dyDescent="0.25">
      <c r="A134" s="539" t="str">
        <f>'Hidden Inputs'!AN78</f>
        <v/>
      </c>
      <c r="B134" s="1594" t="str">
        <f t="shared" si="3"/>
        <v/>
      </c>
      <c r="C134" s="1594"/>
      <c r="D134" s="544">
        <f>(IF(Tank1!$C$23="Vapor combustion unit",SUMIF(Tank1!$A$32:$A$49,VCU!A134,Tank1!$C$32:$C$49),0))+(IF(Tank2!$C$23="Vapor combustion unit",SUMIF(Tank2!$A$32:$A$49, VCU!A134,Tank2!$C$32:$C$49),0))+(IF(Tank3!$C$23="Vapor combustion unit",SUMIF(Tank3!$A$32:$A$49, VCU!A134,Tank3!$C$32:$C$49),0))+(IF(Tank4!$C$23="Vapor combustion unit",SUMIF(Tank4!$A$32:$A$49, VCU!A134,Tank4!$C$32:$C$49),0))+(IF(Tank5!$C$23="Vapor combustion unit",SUMIF(Tank5!$A$32:$A$49, VCU!A134,Tank5!$C$32:$C$49),0))+(IF('Loading-drum,tote'!$C$21="Vapor combustion unit",SUMIF('Loading-drum,tote'!$A$31:$A$48, VCU!A134,'Loading-drum,tote'!$F$31:$F$48),0))+(IF('Loading-truck'!$C$21="Vapor combustion unit",SUMIF('Loading-truck'!$A$31:$A$48, VCU!A134,'Loading-truck'!$F$31:$F$48),0))+(IF('Loading-rail'!$C$21="Vapor combustion unit",SUMIF('Loading-rail'!$A$31:$A$48, VCU!A134,'Loading-rail'!$F$31:$F$48),0))</f>
        <v>0</v>
      </c>
      <c r="E134" s="541">
        <f t="shared" si="4"/>
        <v>0</v>
      </c>
    </row>
    <row r="135" spans="1:5" x14ac:dyDescent="0.25">
      <c r="A135" s="539" t="str">
        <f>'Hidden Inputs'!AN79</f>
        <v/>
      </c>
      <c r="B135" s="1594" t="str">
        <f t="shared" si="3"/>
        <v/>
      </c>
      <c r="C135" s="1594"/>
      <c r="D135" s="544">
        <f>(IF(Tank1!$C$23="Vapor combustion unit",SUMIF(Tank1!$A$32:$A$49,VCU!A135,Tank1!$C$32:$C$49),0))+(IF(Tank2!$C$23="Vapor combustion unit",SUMIF(Tank2!$A$32:$A$49, VCU!A135,Tank2!$C$32:$C$49),0))+(IF(Tank3!$C$23="Vapor combustion unit",SUMIF(Tank3!$A$32:$A$49, VCU!A135,Tank3!$C$32:$C$49),0))+(IF(Tank4!$C$23="Vapor combustion unit",SUMIF(Tank4!$A$32:$A$49, VCU!A135,Tank4!$C$32:$C$49),0))+(IF(Tank5!$C$23="Vapor combustion unit",SUMIF(Tank5!$A$32:$A$49, VCU!A135,Tank5!$C$32:$C$49),0))+(IF('Loading-drum,tote'!$C$21="Vapor combustion unit",SUMIF('Loading-drum,tote'!$A$31:$A$48, VCU!A135,'Loading-drum,tote'!$F$31:$F$48),0))+(IF('Loading-truck'!$C$21="Vapor combustion unit",SUMIF('Loading-truck'!$A$31:$A$48, VCU!A135,'Loading-truck'!$F$31:$F$48),0))+(IF('Loading-rail'!$C$21="Vapor combustion unit",SUMIF('Loading-rail'!$A$31:$A$48, VCU!A135,'Loading-rail'!$F$31:$F$48),0))</f>
        <v>0</v>
      </c>
      <c r="E135" s="541">
        <f t="shared" si="4"/>
        <v>0</v>
      </c>
    </row>
    <row r="136" spans="1:5" x14ac:dyDescent="0.25">
      <c r="A136" s="539" t="str">
        <f>'Hidden Inputs'!AN80</f>
        <v/>
      </c>
      <c r="B136" s="1594" t="str">
        <f t="shared" si="3"/>
        <v/>
      </c>
      <c r="C136" s="1594"/>
      <c r="D136" s="544">
        <f>(IF(Tank1!$C$23="Vapor combustion unit",SUMIF(Tank1!$A$32:$A$49,VCU!A136,Tank1!$C$32:$C$49),0))+(IF(Tank2!$C$23="Vapor combustion unit",SUMIF(Tank2!$A$32:$A$49, VCU!A136,Tank2!$C$32:$C$49),0))+(IF(Tank3!$C$23="Vapor combustion unit",SUMIF(Tank3!$A$32:$A$49, VCU!A136,Tank3!$C$32:$C$49),0))+(IF(Tank4!$C$23="Vapor combustion unit",SUMIF(Tank4!$A$32:$A$49, VCU!A136,Tank4!$C$32:$C$49),0))+(IF(Tank5!$C$23="Vapor combustion unit",SUMIF(Tank5!$A$32:$A$49, VCU!A136,Tank5!$C$32:$C$49),0))+(IF('Loading-drum,tote'!$C$21="Vapor combustion unit",SUMIF('Loading-drum,tote'!$A$31:$A$48, VCU!A136,'Loading-drum,tote'!$F$31:$F$48),0))+(IF('Loading-truck'!$C$21="Vapor combustion unit",SUMIF('Loading-truck'!$A$31:$A$48, VCU!A136,'Loading-truck'!$F$31:$F$48),0))+(IF('Loading-rail'!$C$21="Vapor combustion unit",SUMIF('Loading-rail'!$A$31:$A$48, VCU!A136,'Loading-rail'!$F$31:$F$48),0))</f>
        <v>0</v>
      </c>
      <c r="E136" s="541">
        <f t="shared" si="4"/>
        <v>0</v>
      </c>
    </row>
    <row r="137" spans="1:5" x14ac:dyDescent="0.25">
      <c r="A137" s="539" t="str">
        <f>'Hidden Inputs'!AN81</f>
        <v/>
      </c>
      <c r="B137" s="1594" t="str">
        <f t="shared" si="3"/>
        <v/>
      </c>
      <c r="C137" s="1594"/>
      <c r="D137" s="544">
        <f>(IF(Tank1!$C$23="Vapor combustion unit",SUMIF(Tank1!$A$32:$A$49,VCU!A137,Tank1!$C$32:$C$49),0))+(IF(Tank2!$C$23="Vapor combustion unit",SUMIF(Tank2!$A$32:$A$49, VCU!A137,Tank2!$C$32:$C$49),0))+(IF(Tank3!$C$23="Vapor combustion unit",SUMIF(Tank3!$A$32:$A$49, VCU!A137,Tank3!$C$32:$C$49),0))+(IF(Tank4!$C$23="Vapor combustion unit",SUMIF(Tank4!$A$32:$A$49, VCU!A137,Tank4!$C$32:$C$49),0))+(IF(Tank5!$C$23="Vapor combustion unit",SUMIF(Tank5!$A$32:$A$49, VCU!A137,Tank5!$C$32:$C$49),0))+(IF('Loading-drum,tote'!$C$21="Vapor combustion unit",SUMIF('Loading-drum,tote'!$A$31:$A$48, VCU!A137,'Loading-drum,tote'!$F$31:$F$48),0))+(IF('Loading-truck'!$C$21="Vapor combustion unit",SUMIF('Loading-truck'!$A$31:$A$48, VCU!A137,'Loading-truck'!$F$31:$F$48),0))+(IF('Loading-rail'!$C$21="Vapor combustion unit",SUMIF('Loading-rail'!$A$31:$A$48, VCU!A137,'Loading-rail'!$F$31:$F$48),0))</f>
        <v>0</v>
      </c>
      <c r="E137" s="541">
        <f t="shared" si="4"/>
        <v>0</v>
      </c>
    </row>
    <row r="138" spans="1:5" x14ac:dyDescent="0.25">
      <c r="A138" s="539" t="str">
        <f>'Hidden Inputs'!AN82</f>
        <v/>
      </c>
      <c r="B138" s="1594" t="str">
        <f t="shared" si="3"/>
        <v/>
      </c>
      <c r="C138" s="1594"/>
      <c r="D138" s="544">
        <f>(IF(Tank1!$C$23="Vapor combustion unit",SUMIF(Tank1!$A$32:$A$49,VCU!A138,Tank1!$C$32:$C$49),0))+(IF(Tank2!$C$23="Vapor combustion unit",SUMIF(Tank2!$A$32:$A$49, VCU!A138,Tank2!$C$32:$C$49),0))+(IF(Tank3!$C$23="Vapor combustion unit",SUMIF(Tank3!$A$32:$A$49, VCU!A138,Tank3!$C$32:$C$49),0))+(IF(Tank4!$C$23="Vapor combustion unit",SUMIF(Tank4!$A$32:$A$49, VCU!A138,Tank4!$C$32:$C$49),0))+(IF(Tank5!$C$23="Vapor combustion unit",SUMIF(Tank5!$A$32:$A$49, VCU!A138,Tank5!$C$32:$C$49),0))+(IF('Loading-drum,tote'!$C$21="Vapor combustion unit",SUMIF('Loading-drum,tote'!$A$31:$A$48, VCU!A138,'Loading-drum,tote'!$F$31:$F$48),0))+(IF('Loading-truck'!$C$21="Vapor combustion unit",SUMIF('Loading-truck'!$A$31:$A$48, VCU!A138,'Loading-truck'!$F$31:$F$48),0))+(IF('Loading-rail'!$C$21="Vapor combustion unit",SUMIF('Loading-rail'!$A$31:$A$48, VCU!A138,'Loading-rail'!$F$31:$F$48),0))</f>
        <v>0</v>
      </c>
      <c r="E138" s="541">
        <f t="shared" si="4"/>
        <v>0</v>
      </c>
    </row>
    <row r="139" spans="1:5" x14ac:dyDescent="0.25">
      <c r="A139" s="539" t="str">
        <f>'Hidden Inputs'!AN83</f>
        <v/>
      </c>
      <c r="B139" s="1594" t="str">
        <f t="shared" si="3"/>
        <v/>
      </c>
      <c r="C139" s="1594"/>
      <c r="D139" s="544">
        <f>(IF(Tank1!$C$23="Vapor combustion unit",SUMIF(Tank1!$A$32:$A$49,VCU!A139,Tank1!$C$32:$C$49),0))+(IF(Tank2!$C$23="Vapor combustion unit",SUMIF(Tank2!$A$32:$A$49, VCU!A139,Tank2!$C$32:$C$49),0))+(IF(Tank3!$C$23="Vapor combustion unit",SUMIF(Tank3!$A$32:$A$49, VCU!A139,Tank3!$C$32:$C$49),0))+(IF(Tank4!$C$23="Vapor combustion unit",SUMIF(Tank4!$A$32:$A$49, VCU!A139,Tank4!$C$32:$C$49),0))+(IF(Tank5!$C$23="Vapor combustion unit",SUMIF(Tank5!$A$32:$A$49, VCU!A139,Tank5!$C$32:$C$49),0))+(IF('Loading-drum,tote'!$C$21="Vapor combustion unit",SUMIF('Loading-drum,tote'!$A$31:$A$48, VCU!A139,'Loading-drum,tote'!$F$31:$F$48),0))+(IF('Loading-truck'!$C$21="Vapor combustion unit",SUMIF('Loading-truck'!$A$31:$A$48, VCU!A139,'Loading-truck'!$F$31:$F$48),0))+(IF('Loading-rail'!$C$21="Vapor combustion unit",SUMIF('Loading-rail'!$A$31:$A$48, VCU!A139,'Loading-rail'!$F$31:$F$48),0))</f>
        <v>0</v>
      </c>
      <c r="E139" s="541">
        <f t="shared" si="4"/>
        <v>0</v>
      </c>
    </row>
    <row r="140" spans="1:5" x14ac:dyDescent="0.25">
      <c r="A140" s="539" t="str">
        <f>'Hidden Inputs'!AN84</f>
        <v/>
      </c>
      <c r="B140" s="1594" t="str">
        <f t="shared" si="3"/>
        <v/>
      </c>
      <c r="C140" s="1594"/>
      <c r="D140" s="544">
        <f>(IF(Tank1!$C$23="Vapor combustion unit",SUMIF(Tank1!$A$32:$A$49,VCU!A140,Tank1!$C$32:$C$49),0))+(IF(Tank2!$C$23="Vapor combustion unit",SUMIF(Tank2!$A$32:$A$49, VCU!A140,Tank2!$C$32:$C$49),0))+(IF(Tank3!$C$23="Vapor combustion unit",SUMIF(Tank3!$A$32:$A$49, VCU!A140,Tank3!$C$32:$C$49),0))+(IF(Tank4!$C$23="Vapor combustion unit",SUMIF(Tank4!$A$32:$A$49, VCU!A140,Tank4!$C$32:$C$49),0))+(IF(Tank5!$C$23="Vapor combustion unit",SUMIF(Tank5!$A$32:$A$49, VCU!A140,Tank5!$C$32:$C$49),0))+(IF('Loading-drum,tote'!$C$21="Vapor combustion unit",SUMIF('Loading-drum,tote'!$A$31:$A$48, VCU!A140,'Loading-drum,tote'!$F$31:$F$48),0))+(IF('Loading-truck'!$C$21="Vapor combustion unit",SUMIF('Loading-truck'!$A$31:$A$48, VCU!A140,'Loading-truck'!$F$31:$F$48),0))+(IF('Loading-rail'!$C$21="Vapor combustion unit",SUMIF('Loading-rail'!$A$31:$A$48, VCU!A140,'Loading-rail'!$F$31:$F$48),0))</f>
        <v>0</v>
      </c>
      <c r="E140" s="541">
        <f t="shared" si="4"/>
        <v>0</v>
      </c>
    </row>
    <row r="141" spans="1:5" x14ac:dyDescent="0.25">
      <c r="A141" s="539" t="str">
        <f>'Hidden Inputs'!AN85</f>
        <v/>
      </c>
      <c r="B141" s="1594" t="str">
        <f t="shared" si="3"/>
        <v/>
      </c>
      <c r="C141" s="1594"/>
      <c r="D141" s="544">
        <f>(IF(Tank1!$C$23="Vapor combustion unit",SUMIF(Tank1!$A$32:$A$49,VCU!A141,Tank1!$C$32:$C$49),0))+(IF(Tank2!$C$23="Vapor combustion unit",SUMIF(Tank2!$A$32:$A$49, VCU!A141,Tank2!$C$32:$C$49),0))+(IF(Tank3!$C$23="Vapor combustion unit",SUMIF(Tank3!$A$32:$A$49, VCU!A141,Tank3!$C$32:$C$49),0))+(IF(Tank4!$C$23="Vapor combustion unit",SUMIF(Tank4!$A$32:$A$49, VCU!A141,Tank4!$C$32:$C$49),0))+(IF(Tank5!$C$23="Vapor combustion unit",SUMIF(Tank5!$A$32:$A$49, VCU!A141,Tank5!$C$32:$C$49),0))+(IF('Loading-drum,tote'!$C$21="Vapor combustion unit",SUMIF('Loading-drum,tote'!$A$31:$A$48, VCU!A141,'Loading-drum,tote'!$F$31:$F$48),0))+(IF('Loading-truck'!$C$21="Vapor combustion unit",SUMIF('Loading-truck'!$A$31:$A$48, VCU!A141,'Loading-truck'!$F$31:$F$48),0))+(IF('Loading-rail'!$C$21="Vapor combustion unit",SUMIF('Loading-rail'!$A$31:$A$48, VCU!A141,'Loading-rail'!$F$31:$F$48),0))</f>
        <v>0</v>
      </c>
      <c r="E141" s="541">
        <f t="shared" si="4"/>
        <v>0</v>
      </c>
    </row>
    <row r="142" spans="1:5" x14ac:dyDescent="0.25">
      <c r="A142" s="539" t="str">
        <f>'Hidden Inputs'!AN86</f>
        <v/>
      </c>
      <c r="B142" s="1594" t="str">
        <f t="shared" si="3"/>
        <v/>
      </c>
      <c r="C142" s="1594"/>
      <c r="D142" s="544">
        <f>(IF(Tank1!$C$23="Vapor combustion unit",SUMIF(Tank1!$A$32:$A$49,VCU!A142,Tank1!$C$32:$C$49),0))+(IF(Tank2!$C$23="Vapor combustion unit",SUMIF(Tank2!$A$32:$A$49, VCU!A142,Tank2!$C$32:$C$49),0))+(IF(Tank3!$C$23="Vapor combustion unit",SUMIF(Tank3!$A$32:$A$49, VCU!A142,Tank3!$C$32:$C$49),0))+(IF(Tank4!$C$23="Vapor combustion unit",SUMIF(Tank4!$A$32:$A$49, VCU!A142,Tank4!$C$32:$C$49),0))+(IF(Tank5!$C$23="Vapor combustion unit",SUMIF(Tank5!$A$32:$A$49, VCU!A142,Tank5!$C$32:$C$49),0))+(IF('Loading-drum,tote'!$C$21="Vapor combustion unit",SUMIF('Loading-drum,tote'!$A$31:$A$48, VCU!A142,'Loading-drum,tote'!$F$31:$F$48),0))+(IF('Loading-truck'!$C$21="Vapor combustion unit",SUMIF('Loading-truck'!$A$31:$A$48, VCU!A142,'Loading-truck'!$F$31:$F$48),0))+(IF('Loading-rail'!$C$21="Vapor combustion unit",SUMIF('Loading-rail'!$A$31:$A$48, VCU!A142,'Loading-rail'!$F$31:$F$48),0))</f>
        <v>0</v>
      </c>
      <c r="E142" s="541">
        <f t="shared" si="4"/>
        <v>0</v>
      </c>
    </row>
    <row r="143" spans="1:5" x14ac:dyDescent="0.25">
      <c r="A143" s="539" t="str">
        <f>'Hidden Inputs'!AN87</f>
        <v/>
      </c>
      <c r="B143" s="1594" t="str">
        <f t="shared" si="3"/>
        <v/>
      </c>
      <c r="C143" s="1594"/>
      <c r="D143" s="544">
        <f>(IF(Tank1!$C$23="Vapor combustion unit",SUMIF(Tank1!$A$32:$A$49,VCU!A143,Tank1!$C$32:$C$49),0))+(IF(Tank2!$C$23="Vapor combustion unit",SUMIF(Tank2!$A$32:$A$49, VCU!A143,Tank2!$C$32:$C$49),0))+(IF(Tank3!$C$23="Vapor combustion unit",SUMIF(Tank3!$A$32:$A$49, VCU!A143,Tank3!$C$32:$C$49),0))+(IF(Tank4!$C$23="Vapor combustion unit",SUMIF(Tank4!$A$32:$A$49, VCU!A143,Tank4!$C$32:$C$49),0))+(IF(Tank5!$C$23="Vapor combustion unit",SUMIF(Tank5!$A$32:$A$49, VCU!A143,Tank5!$C$32:$C$49),0))+(IF('Loading-drum,tote'!$C$21="Vapor combustion unit",SUMIF('Loading-drum,tote'!$A$31:$A$48, VCU!A143,'Loading-drum,tote'!$F$31:$F$48),0))+(IF('Loading-truck'!$C$21="Vapor combustion unit",SUMIF('Loading-truck'!$A$31:$A$48, VCU!A143,'Loading-truck'!$F$31:$F$48),0))+(IF('Loading-rail'!$C$21="Vapor combustion unit",SUMIF('Loading-rail'!$A$31:$A$48, VCU!A143,'Loading-rail'!$F$31:$F$48),0))</f>
        <v>0</v>
      </c>
      <c r="E143" s="541">
        <f t="shared" si="4"/>
        <v>0</v>
      </c>
    </row>
    <row r="144" spans="1:5" x14ac:dyDescent="0.25">
      <c r="A144" s="539" t="str">
        <f>'Hidden Inputs'!AN88</f>
        <v/>
      </c>
      <c r="B144" s="1594" t="str">
        <f t="shared" si="3"/>
        <v/>
      </c>
      <c r="C144" s="1594"/>
      <c r="D144" s="544">
        <f>(IF(Tank1!$C$23="Vapor combustion unit",SUMIF(Tank1!$A$32:$A$49,VCU!A144,Tank1!$C$32:$C$49),0))+(IF(Tank2!$C$23="Vapor combustion unit",SUMIF(Tank2!$A$32:$A$49, VCU!A144,Tank2!$C$32:$C$49),0))+(IF(Tank3!$C$23="Vapor combustion unit",SUMIF(Tank3!$A$32:$A$49, VCU!A144,Tank3!$C$32:$C$49),0))+(IF(Tank4!$C$23="Vapor combustion unit",SUMIF(Tank4!$A$32:$A$49, VCU!A144,Tank4!$C$32:$C$49),0))+(IF(Tank5!$C$23="Vapor combustion unit",SUMIF(Tank5!$A$32:$A$49, VCU!A144,Tank5!$C$32:$C$49),0))+(IF('Loading-drum,tote'!$C$21="Vapor combustion unit",SUMIF('Loading-drum,tote'!$A$31:$A$48, VCU!A144,'Loading-drum,tote'!$F$31:$F$48),0))+(IF('Loading-truck'!$C$21="Vapor combustion unit",SUMIF('Loading-truck'!$A$31:$A$48, VCU!A144,'Loading-truck'!$F$31:$F$48),0))+(IF('Loading-rail'!$C$21="Vapor combustion unit",SUMIF('Loading-rail'!$A$31:$A$48, VCU!A144,'Loading-rail'!$F$31:$F$48),0))</f>
        <v>0</v>
      </c>
      <c r="E144" s="541">
        <f t="shared" si="4"/>
        <v>0</v>
      </c>
    </row>
    <row r="145" spans="1:5" x14ac:dyDescent="0.25">
      <c r="A145" s="539" t="str">
        <f>'Hidden Inputs'!AN89</f>
        <v/>
      </c>
      <c r="B145" s="1594" t="str">
        <f t="shared" si="3"/>
        <v/>
      </c>
      <c r="C145" s="1594"/>
      <c r="D145" s="544">
        <f>(IF(Tank1!$C$23="Vapor combustion unit",SUMIF(Tank1!$A$32:$A$49,VCU!A145,Tank1!$C$32:$C$49),0))+(IF(Tank2!$C$23="Vapor combustion unit",SUMIF(Tank2!$A$32:$A$49, VCU!A145,Tank2!$C$32:$C$49),0))+(IF(Tank3!$C$23="Vapor combustion unit",SUMIF(Tank3!$A$32:$A$49, VCU!A145,Tank3!$C$32:$C$49),0))+(IF(Tank4!$C$23="Vapor combustion unit",SUMIF(Tank4!$A$32:$A$49, VCU!A145,Tank4!$C$32:$C$49),0))+(IF(Tank5!$C$23="Vapor combustion unit",SUMIF(Tank5!$A$32:$A$49, VCU!A145,Tank5!$C$32:$C$49),0))+(IF('Loading-drum,tote'!$C$21="Vapor combustion unit",SUMIF('Loading-drum,tote'!$A$31:$A$48, VCU!A145,'Loading-drum,tote'!$F$31:$F$48),0))+(IF('Loading-truck'!$C$21="Vapor combustion unit",SUMIF('Loading-truck'!$A$31:$A$48, VCU!A145,'Loading-truck'!$F$31:$F$48),0))+(IF('Loading-rail'!$C$21="Vapor combustion unit",SUMIF('Loading-rail'!$A$31:$A$48, VCU!A145,'Loading-rail'!$F$31:$F$48),0))</f>
        <v>0</v>
      </c>
      <c r="E145" s="541">
        <f t="shared" si="4"/>
        <v>0</v>
      </c>
    </row>
    <row r="146" spans="1:5" x14ac:dyDescent="0.25">
      <c r="A146" s="539" t="str">
        <f>'Hidden Inputs'!AN90</f>
        <v/>
      </c>
      <c r="B146" s="1594" t="str">
        <f t="shared" si="3"/>
        <v/>
      </c>
      <c r="C146" s="1594"/>
      <c r="D146" s="544">
        <f>(IF(Tank1!$C$23="Vapor combustion unit",SUMIF(Tank1!$A$32:$A$49,VCU!A146,Tank1!$C$32:$C$49),0))+(IF(Tank2!$C$23="Vapor combustion unit",SUMIF(Tank2!$A$32:$A$49, VCU!A146,Tank2!$C$32:$C$49),0))+(IF(Tank3!$C$23="Vapor combustion unit",SUMIF(Tank3!$A$32:$A$49, VCU!A146,Tank3!$C$32:$C$49),0))+(IF(Tank4!$C$23="Vapor combustion unit",SUMIF(Tank4!$A$32:$A$49, VCU!A146,Tank4!$C$32:$C$49),0))+(IF(Tank5!$C$23="Vapor combustion unit",SUMIF(Tank5!$A$32:$A$49, VCU!A146,Tank5!$C$32:$C$49),0))+(IF('Loading-drum,tote'!$C$21="Vapor combustion unit",SUMIF('Loading-drum,tote'!$A$31:$A$48, VCU!A146,'Loading-drum,tote'!$F$31:$F$48),0))+(IF('Loading-truck'!$C$21="Vapor combustion unit",SUMIF('Loading-truck'!$A$31:$A$48, VCU!A146,'Loading-truck'!$F$31:$F$48),0))+(IF('Loading-rail'!$C$21="Vapor combustion unit",SUMIF('Loading-rail'!$A$31:$A$48, VCU!A146,'Loading-rail'!$F$31:$F$48),0))</f>
        <v>0</v>
      </c>
      <c r="E146" s="541">
        <f t="shared" si="4"/>
        <v>0</v>
      </c>
    </row>
    <row r="147" spans="1:5" x14ac:dyDescent="0.25">
      <c r="A147" s="539" t="str">
        <f>'Hidden Inputs'!AN91</f>
        <v/>
      </c>
      <c r="B147" s="1594" t="str">
        <f t="shared" si="3"/>
        <v/>
      </c>
      <c r="C147" s="1594"/>
      <c r="D147" s="544">
        <f>(IF(Tank1!$C$23="Vapor combustion unit",SUMIF(Tank1!$A$32:$A$49,VCU!A147,Tank1!$C$32:$C$49),0))+(IF(Tank2!$C$23="Vapor combustion unit",SUMIF(Tank2!$A$32:$A$49, VCU!A147,Tank2!$C$32:$C$49),0))+(IF(Tank3!$C$23="Vapor combustion unit",SUMIF(Tank3!$A$32:$A$49, VCU!A147,Tank3!$C$32:$C$49),0))+(IF(Tank4!$C$23="Vapor combustion unit",SUMIF(Tank4!$A$32:$A$49, VCU!A147,Tank4!$C$32:$C$49),0))+(IF(Tank5!$C$23="Vapor combustion unit",SUMIF(Tank5!$A$32:$A$49, VCU!A147,Tank5!$C$32:$C$49),0))+(IF('Loading-drum,tote'!$C$21="Vapor combustion unit",SUMIF('Loading-drum,tote'!$A$31:$A$48, VCU!A147,'Loading-drum,tote'!$F$31:$F$48),0))+(IF('Loading-truck'!$C$21="Vapor combustion unit",SUMIF('Loading-truck'!$A$31:$A$48, VCU!A147,'Loading-truck'!$F$31:$F$48),0))+(IF('Loading-rail'!$C$21="Vapor combustion unit",SUMIF('Loading-rail'!$A$31:$A$48, VCU!A147,'Loading-rail'!$F$31:$F$48),0))</f>
        <v>0</v>
      </c>
      <c r="E147" s="541">
        <f t="shared" si="4"/>
        <v>0</v>
      </c>
    </row>
    <row r="148" spans="1:5" x14ac:dyDescent="0.25">
      <c r="A148" s="539" t="str">
        <f>'Hidden Inputs'!AN92</f>
        <v/>
      </c>
      <c r="B148" s="1594" t="str">
        <f t="shared" si="3"/>
        <v/>
      </c>
      <c r="C148" s="1594"/>
      <c r="D148" s="544">
        <f>(IF(Tank1!$C$23="Vapor combustion unit",SUMIF(Tank1!$A$32:$A$49,VCU!A148,Tank1!$C$32:$C$49),0))+(IF(Tank2!$C$23="Vapor combustion unit",SUMIF(Tank2!$A$32:$A$49, VCU!A148,Tank2!$C$32:$C$49),0))+(IF(Tank3!$C$23="Vapor combustion unit",SUMIF(Tank3!$A$32:$A$49, VCU!A148,Tank3!$C$32:$C$49),0))+(IF(Tank4!$C$23="Vapor combustion unit",SUMIF(Tank4!$A$32:$A$49, VCU!A148,Tank4!$C$32:$C$49),0))+(IF(Tank5!$C$23="Vapor combustion unit",SUMIF(Tank5!$A$32:$A$49, VCU!A148,Tank5!$C$32:$C$49),0))+(IF('Loading-drum,tote'!$C$21="Vapor combustion unit",SUMIF('Loading-drum,tote'!$A$31:$A$48, VCU!A148,'Loading-drum,tote'!$F$31:$F$48),0))+(IF('Loading-truck'!$C$21="Vapor combustion unit",SUMIF('Loading-truck'!$A$31:$A$48, VCU!A148,'Loading-truck'!$F$31:$F$48),0))+(IF('Loading-rail'!$C$21="Vapor combustion unit",SUMIF('Loading-rail'!$A$31:$A$48, VCU!A148,'Loading-rail'!$F$31:$F$48),0))</f>
        <v>0</v>
      </c>
      <c r="E148" s="541">
        <f t="shared" si="4"/>
        <v>0</v>
      </c>
    </row>
    <row r="149" spans="1:5" x14ac:dyDescent="0.25">
      <c r="A149" s="539" t="str">
        <f>'Hidden Inputs'!AN93</f>
        <v/>
      </c>
      <c r="B149" s="1594" t="str">
        <f t="shared" si="3"/>
        <v/>
      </c>
      <c r="C149" s="1594"/>
      <c r="D149" s="544">
        <f>(IF(Tank1!$C$23="Vapor combustion unit",SUMIF(Tank1!$A$32:$A$49,VCU!A149,Tank1!$C$32:$C$49),0))+(IF(Tank2!$C$23="Vapor combustion unit",SUMIF(Tank2!$A$32:$A$49, VCU!A149,Tank2!$C$32:$C$49),0))+(IF(Tank3!$C$23="Vapor combustion unit",SUMIF(Tank3!$A$32:$A$49, VCU!A149,Tank3!$C$32:$C$49),0))+(IF(Tank4!$C$23="Vapor combustion unit",SUMIF(Tank4!$A$32:$A$49, VCU!A149,Tank4!$C$32:$C$49),0))+(IF(Tank5!$C$23="Vapor combustion unit",SUMIF(Tank5!$A$32:$A$49, VCU!A149,Tank5!$C$32:$C$49),0))+(IF('Loading-drum,tote'!$C$21="Vapor combustion unit",SUMIF('Loading-drum,tote'!$A$31:$A$48, VCU!A149,'Loading-drum,tote'!$F$31:$F$48),0))+(IF('Loading-truck'!$C$21="Vapor combustion unit",SUMIF('Loading-truck'!$A$31:$A$48, VCU!A149,'Loading-truck'!$F$31:$F$48),0))+(IF('Loading-rail'!$C$21="Vapor combustion unit",SUMIF('Loading-rail'!$A$31:$A$48, VCU!A149,'Loading-rail'!$F$31:$F$48),0))</f>
        <v>0</v>
      </c>
      <c r="E149" s="541">
        <f t="shared" si="4"/>
        <v>0</v>
      </c>
    </row>
    <row r="150" spans="1:5" x14ac:dyDescent="0.25">
      <c r="A150" s="539" t="str">
        <f>'Hidden Inputs'!AN94</f>
        <v/>
      </c>
      <c r="B150" s="1594" t="str">
        <f t="shared" si="3"/>
        <v/>
      </c>
      <c r="C150" s="1594"/>
      <c r="D150" s="544">
        <f>(IF(Tank1!$C$23="Vapor combustion unit",SUMIF(Tank1!$A$32:$A$49,VCU!A150,Tank1!$C$32:$C$49),0))+(IF(Tank2!$C$23="Vapor combustion unit",SUMIF(Tank2!$A$32:$A$49, VCU!A150,Tank2!$C$32:$C$49),0))+(IF(Tank3!$C$23="Vapor combustion unit",SUMIF(Tank3!$A$32:$A$49, VCU!A150,Tank3!$C$32:$C$49),0))+(IF(Tank4!$C$23="Vapor combustion unit",SUMIF(Tank4!$A$32:$A$49, VCU!A150,Tank4!$C$32:$C$49),0))+(IF(Tank5!$C$23="Vapor combustion unit",SUMIF(Tank5!$A$32:$A$49, VCU!A150,Tank5!$C$32:$C$49),0))+(IF('Loading-drum,tote'!$C$21="Vapor combustion unit",SUMIF('Loading-drum,tote'!$A$31:$A$48, VCU!A150,'Loading-drum,tote'!$F$31:$F$48),0))+(IF('Loading-truck'!$C$21="Vapor combustion unit",SUMIF('Loading-truck'!$A$31:$A$48, VCU!A150,'Loading-truck'!$F$31:$F$48),0))+(IF('Loading-rail'!$C$21="Vapor combustion unit",SUMIF('Loading-rail'!$A$31:$A$48, VCU!A150,'Loading-rail'!$F$31:$F$48),0))</f>
        <v>0</v>
      </c>
      <c r="E150" s="541">
        <f t="shared" si="4"/>
        <v>0</v>
      </c>
    </row>
    <row r="151" spans="1:5" x14ac:dyDescent="0.25">
      <c r="A151" s="539" t="str">
        <f>'Hidden Inputs'!AN95</f>
        <v/>
      </c>
      <c r="B151" s="1594" t="str">
        <f t="shared" si="3"/>
        <v/>
      </c>
      <c r="C151" s="1594"/>
      <c r="D151" s="544">
        <f>(IF(Tank1!$C$23="Vapor combustion unit",SUMIF(Tank1!$A$32:$A$49,VCU!A151,Tank1!$C$32:$C$49),0))+(IF(Tank2!$C$23="Vapor combustion unit",SUMIF(Tank2!$A$32:$A$49, VCU!A151,Tank2!$C$32:$C$49),0))+(IF(Tank3!$C$23="Vapor combustion unit",SUMIF(Tank3!$A$32:$A$49, VCU!A151,Tank3!$C$32:$C$49),0))+(IF(Tank4!$C$23="Vapor combustion unit",SUMIF(Tank4!$A$32:$A$49, VCU!A151,Tank4!$C$32:$C$49),0))+(IF(Tank5!$C$23="Vapor combustion unit",SUMIF(Tank5!$A$32:$A$49, VCU!A151,Tank5!$C$32:$C$49),0))+(IF('Loading-drum,tote'!$C$21="Vapor combustion unit",SUMIF('Loading-drum,tote'!$A$31:$A$48, VCU!A151,'Loading-drum,tote'!$F$31:$F$48),0))+(IF('Loading-truck'!$C$21="Vapor combustion unit",SUMIF('Loading-truck'!$A$31:$A$48, VCU!A151,'Loading-truck'!$F$31:$F$48),0))+(IF('Loading-rail'!$C$21="Vapor combustion unit",SUMIF('Loading-rail'!$A$31:$A$48, VCU!A151,'Loading-rail'!$F$31:$F$48),0))</f>
        <v>0</v>
      </c>
      <c r="E151" s="541">
        <f t="shared" si="4"/>
        <v>0</v>
      </c>
    </row>
    <row r="152" spans="1:5" x14ac:dyDescent="0.25">
      <c r="A152" s="539" t="str">
        <f>'Hidden Inputs'!AN96</f>
        <v/>
      </c>
      <c r="B152" s="1594" t="str">
        <f t="shared" si="3"/>
        <v/>
      </c>
      <c r="C152" s="1594"/>
      <c r="D152" s="544">
        <f>(IF(Tank1!$C$23="Vapor combustion unit",SUMIF(Tank1!$A$32:$A$49,VCU!A152,Tank1!$C$32:$C$49),0))+(IF(Tank2!$C$23="Vapor combustion unit",SUMIF(Tank2!$A$32:$A$49, VCU!A152,Tank2!$C$32:$C$49),0))+(IF(Tank3!$C$23="Vapor combustion unit",SUMIF(Tank3!$A$32:$A$49, VCU!A152,Tank3!$C$32:$C$49),0))+(IF(Tank4!$C$23="Vapor combustion unit",SUMIF(Tank4!$A$32:$A$49, VCU!A152,Tank4!$C$32:$C$49),0))+(IF(Tank5!$C$23="Vapor combustion unit",SUMIF(Tank5!$A$32:$A$49, VCU!A152,Tank5!$C$32:$C$49),0))+(IF('Loading-drum,tote'!$C$21="Vapor combustion unit",SUMIF('Loading-drum,tote'!$A$31:$A$48, VCU!A152,'Loading-drum,tote'!$F$31:$F$48),0))+(IF('Loading-truck'!$C$21="Vapor combustion unit",SUMIF('Loading-truck'!$A$31:$A$48, VCU!A152,'Loading-truck'!$F$31:$F$48),0))+(IF('Loading-rail'!$C$21="Vapor combustion unit",SUMIF('Loading-rail'!$A$31:$A$48, VCU!A152,'Loading-rail'!$F$31:$F$48),0))</f>
        <v>0</v>
      </c>
      <c r="E152" s="541">
        <f t="shared" si="4"/>
        <v>0</v>
      </c>
    </row>
    <row r="153" spans="1:5" x14ac:dyDescent="0.25">
      <c r="A153" s="539" t="str">
        <f>'Hidden Inputs'!AN97</f>
        <v/>
      </c>
      <c r="B153" s="1594" t="str">
        <f t="shared" si="3"/>
        <v/>
      </c>
      <c r="C153" s="1594"/>
      <c r="D153" s="544">
        <f>(IF(Tank1!$C$23="Vapor combustion unit",SUMIF(Tank1!$A$32:$A$49,VCU!A153,Tank1!$C$32:$C$49),0))+(IF(Tank2!$C$23="Vapor combustion unit",SUMIF(Tank2!$A$32:$A$49, VCU!A153,Tank2!$C$32:$C$49),0))+(IF(Tank3!$C$23="Vapor combustion unit",SUMIF(Tank3!$A$32:$A$49, VCU!A153,Tank3!$C$32:$C$49),0))+(IF(Tank4!$C$23="Vapor combustion unit",SUMIF(Tank4!$A$32:$A$49, VCU!A153,Tank4!$C$32:$C$49),0))+(IF(Tank5!$C$23="Vapor combustion unit",SUMIF(Tank5!$A$32:$A$49, VCU!A153,Tank5!$C$32:$C$49),0))+(IF('Loading-drum,tote'!$C$21="Vapor combustion unit",SUMIF('Loading-drum,tote'!$A$31:$A$48, VCU!A153,'Loading-drum,tote'!$F$31:$F$48),0))+(IF('Loading-truck'!$C$21="Vapor combustion unit",SUMIF('Loading-truck'!$A$31:$A$48, VCU!A153,'Loading-truck'!$F$31:$F$48),0))+(IF('Loading-rail'!$C$21="Vapor combustion unit",SUMIF('Loading-rail'!$A$31:$A$48, VCU!A153,'Loading-rail'!$F$31:$F$48),0))</f>
        <v>0</v>
      </c>
      <c r="E153" s="541">
        <f t="shared" si="4"/>
        <v>0</v>
      </c>
    </row>
    <row r="154" spans="1:5" x14ac:dyDescent="0.25">
      <c r="A154" s="539" t="str">
        <f>'Hidden Inputs'!AN98</f>
        <v/>
      </c>
      <c r="B154" s="1594" t="str">
        <f t="shared" ref="B154:B185" si="5">IFERROR(VLOOKUP(A154, SpeciesDataTable,2,FALSE),"")</f>
        <v/>
      </c>
      <c r="C154" s="1594"/>
      <c r="D154" s="544">
        <f>(IF(Tank1!$C$23="Vapor combustion unit",SUMIF(Tank1!$A$32:$A$49,VCU!A154,Tank1!$C$32:$C$49),0))+(IF(Tank2!$C$23="Vapor combustion unit",SUMIF(Tank2!$A$32:$A$49, VCU!A154,Tank2!$C$32:$C$49),0))+(IF(Tank3!$C$23="Vapor combustion unit",SUMIF(Tank3!$A$32:$A$49, VCU!A154,Tank3!$C$32:$C$49),0))+(IF(Tank4!$C$23="Vapor combustion unit",SUMIF(Tank4!$A$32:$A$49, VCU!A154,Tank4!$C$32:$C$49),0))+(IF(Tank5!$C$23="Vapor combustion unit",SUMIF(Tank5!$A$32:$A$49, VCU!A154,Tank5!$C$32:$C$49),0))+(IF('Loading-drum,tote'!$C$21="Vapor combustion unit",SUMIF('Loading-drum,tote'!$A$31:$A$48, VCU!A154,'Loading-drum,tote'!$F$31:$F$48),0))+(IF('Loading-truck'!$C$21="Vapor combustion unit",SUMIF('Loading-truck'!$A$31:$A$48, VCU!A154,'Loading-truck'!$F$31:$F$48),0))+(IF('Loading-rail'!$C$21="Vapor combustion unit",SUMIF('Loading-rail'!$A$31:$A$48, VCU!A154,'Loading-rail'!$F$31:$F$48),0))</f>
        <v>0</v>
      </c>
      <c r="E154" s="541">
        <f t="shared" si="4"/>
        <v>0</v>
      </c>
    </row>
    <row r="155" spans="1:5" x14ac:dyDescent="0.25">
      <c r="A155" s="539" t="str">
        <f>'Hidden Inputs'!AN99</f>
        <v/>
      </c>
      <c r="B155" s="1594" t="str">
        <f t="shared" si="5"/>
        <v/>
      </c>
      <c r="C155" s="1594"/>
      <c r="D155" s="544">
        <f>(IF(Tank1!$C$23="Vapor combustion unit",SUMIF(Tank1!$A$32:$A$49,VCU!A155,Tank1!$C$32:$C$49),0))+(IF(Tank2!$C$23="Vapor combustion unit",SUMIF(Tank2!$A$32:$A$49, VCU!A155,Tank2!$C$32:$C$49),0))+(IF(Tank3!$C$23="Vapor combustion unit",SUMIF(Tank3!$A$32:$A$49, VCU!A155,Tank3!$C$32:$C$49),0))+(IF(Tank4!$C$23="Vapor combustion unit",SUMIF(Tank4!$A$32:$A$49, VCU!A155,Tank4!$C$32:$C$49),0))+(IF(Tank5!$C$23="Vapor combustion unit",SUMIF(Tank5!$A$32:$A$49, VCU!A155,Tank5!$C$32:$C$49),0))+(IF('Loading-drum,tote'!$C$21="Vapor combustion unit",SUMIF('Loading-drum,tote'!$A$31:$A$48, VCU!A155,'Loading-drum,tote'!$F$31:$F$48),0))+(IF('Loading-truck'!$C$21="Vapor combustion unit",SUMIF('Loading-truck'!$A$31:$A$48, VCU!A155,'Loading-truck'!$F$31:$F$48),0))+(IF('Loading-rail'!$C$21="Vapor combustion unit",SUMIF('Loading-rail'!$A$31:$A$48, VCU!A155,'Loading-rail'!$F$31:$F$48),0))</f>
        <v>0</v>
      </c>
      <c r="E155" s="541">
        <f t="shared" si="4"/>
        <v>0</v>
      </c>
    </row>
    <row r="156" spans="1:5" x14ac:dyDescent="0.25">
      <c r="A156" s="539" t="str">
        <f>'Hidden Inputs'!AN100</f>
        <v/>
      </c>
      <c r="B156" s="1594" t="str">
        <f t="shared" si="5"/>
        <v/>
      </c>
      <c r="C156" s="1594"/>
      <c r="D156" s="544">
        <f>(IF(Tank1!$C$23="Vapor combustion unit",SUMIF(Tank1!$A$32:$A$49,VCU!A156,Tank1!$C$32:$C$49),0))+(IF(Tank2!$C$23="Vapor combustion unit",SUMIF(Tank2!$A$32:$A$49, VCU!A156,Tank2!$C$32:$C$49),0))+(IF(Tank3!$C$23="Vapor combustion unit",SUMIF(Tank3!$A$32:$A$49, VCU!A156,Tank3!$C$32:$C$49),0))+(IF(Tank4!$C$23="Vapor combustion unit",SUMIF(Tank4!$A$32:$A$49, VCU!A156,Tank4!$C$32:$C$49),0))+(IF(Tank5!$C$23="Vapor combustion unit",SUMIF(Tank5!$A$32:$A$49, VCU!A156,Tank5!$C$32:$C$49),0))+(IF('Loading-drum,tote'!$C$21="Vapor combustion unit",SUMIF('Loading-drum,tote'!$A$31:$A$48, VCU!A156,'Loading-drum,tote'!$F$31:$F$48),0))+(IF('Loading-truck'!$C$21="Vapor combustion unit",SUMIF('Loading-truck'!$A$31:$A$48, VCU!A156,'Loading-truck'!$F$31:$F$48),0))+(IF('Loading-rail'!$C$21="Vapor combustion unit",SUMIF('Loading-rail'!$A$31:$A$48, VCU!A156,'Loading-rail'!$F$31:$F$48),0))</f>
        <v>0</v>
      </c>
      <c r="E156" s="541">
        <f t="shared" si="4"/>
        <v>0</v>
      </c>
    </row>
    <row r="157" spans="1:5" x14ac:dyDescent="0.25">
      <c r="A157" s="539" t="str">
        <f>'Hidden Inputs'!AN101</f>
        <v/>
      </c>
      <c r="B157" s="1594" t="str">
        <f t="shared" si="5"/>
        <v/>
      </c>
      <c r="C157" s="1594"/>
      <c r="D157" s="544">
        <f>(IF(Tank1!$C$23="Vapor combustion unit",SUMIF(Tank1!$A$32:$A$49,VCU!A157,Tank1!$C$32:$C$49),0))+(IF(Tank2!$C$23="Vapor combustion unit",SUMIF(Tank2!$A$32:$A$49, VCU!A157,Tank2!$C$32:$C$49),0))+(IF(Tank3!$C$23="Vapor combustion unit",SUMIF(Tank3!$A$32:$A$49, VCU!A157,Tank3!$C$32:$C$49),0))+(IF(Tank4!$C$23="Vapor combustion unit",SUMIF(Tank4!$A$32:$A$49, VCU!A157,Tank4!$C$32:$C$49),0))+(IF(Tank5!$C$23="Vapor combustion unit",SUMIF(Tank5!$A$32:$A$49, VCU!A157,Tank5!$C$32:$C$49),0))+(IF('Loading-drum,tote'!$C$21="Vapor combustion unit",SUMIF('Loading-drum,tote'!$A$31:$A$48, VCU!A157,'Loading-drum,tote'!$F$31:$F$48),0))+(IF('Loading-truck'!$C$21="Vapor combustion unit",SUMIF('Loading-truck'!$A$31:$A$48, VCU!A157,'Loading-truck'!$F$31:$F$48),0))+(IF('Loading-rail'!$C$21="Vapor combustion unit",SUMIF('Loading-rail'!$A$31:$A$48, VCU!A157,'Loading-rail'!$F$31:$F$48),0))</f>
        <v>0</v>
      </c>
      <c r="E157" s="541">
        <f t="shared" si="4"/>
        <v>0</v>
      </c>
    </row>
    <row r="158" spans="1:5" x14ac:dyDescent="0.25">
      <c r="A158" s="539" t="str">
        <f>'Hidden Inputs'!AN102</f>
        <v/>
      </c>
      <c r="B158" s="1594" t="str">
        <f t="shared" si="5"/>
        <v/>
      </c>
      <c r="C158" s="1594"/>
      <c r="D158" s="544">
        <f>(IF(Tank1!$C$23="Vapor combustion unit",SUMIF(Tank1!$A$32:$A$49,VCU!A158,Tank1!$C$32:$C$49),0))+(IF(Tank2!$C$23="Vapor combustion unit",SUMIF(Tank2!$A$32:$A$49, VCU!A158,Tank2!$C$32:$C$49),0))+(IF(Tank3!$C$23="Vapor combustion unit",SUMIF(Tank3!$A$32:$A$49, VCU!A158,Tank3!$C$32:$C$49),0))+(IF(Tank4!$C$23="Vapor combustion unit",SUMIF(Tank4!$A$32:$A$49, VCU!A158,Tank4!$C$32:$C$49),0))+(IF(Tank5!$C$23="Vapor combustion unit",SUMIF(Tank5!$A$32:$A$49, VCU!A158,Tank5!$C$32:$C$49),0))+(IF('Loading-drum,tote'!$C$21="Vapor combustion unit",SUMIF('Loading-drum,tote'!$A$31:$A$48, VCU!A158,'Loading-drum,tote'!$F$31:$F$48),0))+(IF('Loading-truck'!$C$21="Vapor combustion unit",SUMIF('Loading-truck'!$A$31:$A$48, VCU!A158,'Loading-truck'!$F$31:$F$48),0))+(IF('Loading-rail'!$C$21="Vapor combustion unit",SUMIF('Loading-rail'!$A$31:$A$48, VCU!A158,'Loading-rail'!$F$31:$F$48),0))</f>
        <v>0</v>
      </c>
      <c r="E158" s="541">
        <f t="shared" si="4"/>
        <v>0</v>
      </c>
    </row>
    <row r="159" spans="1:5" x14ac:dyDescent="0.25">
      <c r="A159" s="539" t="str">
        <f>'Hidden Inputs'!AN103</f>
        <v/>
      </c>
      <c r="B159" s="1594" t="str">
        <f t="shared" si="5"/>
        <v/>
      </c>
      <c r="C159" s="1594"/>
      <c r="D159" s="544">
        <f>(IF(Tank1!$C$23="Vapor combustion unit",SUMIF(Tank1!$A$32:$A$49,VCU!A159,Tank1!$C$32:$C$49),0))+(IF(Tank2!$C$23="Vapor combustion unit",SUMIF(Tank2!$A$32:$A$49, VCU!A159,Tank2!$C$32:$C$49),0))+(IF(Tank3!$C$23="Vapor combustion unit",SUMIF(Tank3!$A$32:$A$49, VCU!A159,Tank3!$C$32:$C$49),0))+(IF(Tank4!$C$23="Vapor combustion unit",SUMIF(Tank4!$A$32:$A$49, VCU!A159,Tank4!$C$32:$C$49),0))+(IF(Tank5!$C$23="Vapor combustion unit",SUMIF(Tank5!$A$32:$A$49, VCU!A159,Tank5!$C$32:$C$49),0))+(IF('Loading-drum,tote'!$C$21="Vapor combustion unit",SUMIF('Loading-drum,tote'!$A$31:$A$48, VCU!A159,'Loading-drum,tote'!$F$31:$F$48),0))+(IF('Loading-truck'!$C$21="Vapor combustion unit",SUMIF('Loading-truck'!$A$31:$A$48, VCU!A159,'Loading-truck'!$F$31:$F$48),0))+(IF('Loading-rail'!$C$21="Vapor combustion unit",SUMIF('Loading-rail'!$A$31:$A$48, VCU!A159,'Loading-rail'!$F$31:$F$48),0))</f>
        <v>0</v>
      </c>
      <c r="E159" s="541">
        <f t="shared" si="4"/>
        <v>0</v>
      </c>
    </row>
    <row r="160" spans="1:5" x14ac:dyDescent="0.25">
      <c r="A160" s="539" t="str">
        <f>'Hidden Inputs'!AN104</f>
        <v/>
      </c>
      <c r="B160" s="1594" t="str">
        <f t="shared" si="5"/>
        <v/>
      </c>
      <c r="C160" s="1594"/>
      <c r="D160" s="544">
        <f>(IF(Tank1!$C$23="Vapor combustion unit",SUMIF(Tank1!$A$32:$A$49,VCU!A160,Tank1!$C$32:$C$49),0))+(IF(Tank2!$C$23="Vapor combustion unit",SUMIF(Tank2!$A$32:$A$49, VCU!A160,Tank2!$C$32:$C$49),0))+(IF(Tank3!$C$23="Vapor combustion unit",SUMIF(Tank3!$A$32:$A$49, VCU!A160,Tank3!$C$32:$C$49),0))+(IF(Tank4!$C$23="Vapor combustion unit",SUMIF(Tank4!$A$32:$A$49, VCU!A160,Tank4!$C$32:$C$49),0))+(IF(Tank5!$C$23="Vapor combustion unit",SUMIF(Tank5!$A$32:$A$49, VCU!A160,Tank5!$C$32:$C$49),0))+(IF('Loading-drum,tote'!$C$21="Vapor combustion unit",SUMIF('Loading-drum,tote'!$A$31:$A$48, VCU!A160,'Loading-drum,tote'!$F$31:$F$48),0))+(IF('Loading-truck'!$C$21="Vapor combustion unit",SUMIF('Loading-truck'!$A$31:$A$48, VCU!A160,'Loading-truck'!$F$31:$F$48),0))+(IF('Loading-rail'!$C$21="Vapor combustion unit",SUMIF('Loading-rail'!$A$31:$A$48, VCU!A160,'Loading-rail'!$F$31:$F$48),0))</f>
        <v>0</v>
      </c>
      <c r="E160" s="541">
        <f t="shared" si="4"/>
        <v>0</v>
      </c>
    </row>
    <row r="161" spans="1:5" x14ac:dyDescent="0.25">
      <c r="A161" s="539" t="str">
        <f>'Hidden Inputs'!AN105</f>
        <v/>
      </c>
      <c r="B161" s="1594" t="str">
        <f t="shared" si="5"/>
        <v/>
      </c>
      <c r="C161" s="1594"/>
      <c r="D161" s="544">
        <f>(IF(Tank1!$C$23="Vapor combustion unit",SUMIF(Tank1!$A$32:$A$49,VCU!A161,Tank1!$C$32:$C$49),0))+(IF(Tank2!$C$23="Vapor combustion unit",SUMIF(Tank2!$A$32:$A$49, VCU!A161,Tank2!$C$32:$C$49),0))+(IF(Tank3!$C$23="Vapor combustion unit",SUMIF(Tank3!$A$32:$A$49, VCU!A161,Tank3!$C$32:$C$49),0))+(IF(Tank4!$C$23="Vapor combustion unit",SUMIF(Tank4!$A$32:$A$49, VCU!A161,Tank4!$C$32:$C$49),0))+(IF(Tank5!$C$23="Vapor combustion unit",SUMIF(Tank5!$A$32:$A$49, VCU!A161,Tank5!$C$32:$C$49),0))+(IF('Loading-drum,tote'!$C$21="Vapor combustion unit",SUMIF('Loading-drum,tote'!$A$31:$A$48, VCU!A161,'Loading-drum,tote'!$F$31:$F$48),0))+(IF('Loading-truck'!$C$21="Vapor combustion unit",SUMIF('Loading-truck'!$A$31:$A$48, VCU!A161,'Loading-truck'!$F$31:$F$48),0))+(IF('Loading-rail'!$C$21="Vapor combustion unit",SUMIF('Loading-rail'!$A$31:$A$48, VCU!A161,'Loading-rail'!$F$31:$F$48),0))</f>
        <v>0</v>
      </c>
      <c r="E161" s="541">
        <f t="shared" si="4"/>
        <v>0</v>
      </c>
    </row>
    <row r="162" spans="1:5" x14ac:dyDescent="0.25">
      <c r="A162" s="539" t="str">
        <f>'Hidden Inputs'!AN106</f>
        <v/>
      </c>
      <c r="B162" s="1594" t="str">
        <f t="shared" si="5"/>
        <v/>
      </c>
      <c r="C162" s="1594"/>
      <c r="D162" s="544">
        <f>(IF(Tank1!$C$23="Vapor combustion unit",SUMIF(Tank1!$A$32:$A$49,VCU!A162,Tank1!$C$32:$C$49),0))+(IF(Tank2!$C$23="Vapor combustion unit",SUMIF(Tank2!$A$32:$A$49, VCU!A162,Tank2!$C$32:$C$49),0))+(IF(Tank3!$C$23="Vapor combustion unit",SUMIF(Tank3!$A$32:$A$49, VCU!A162,Tank3!$C$32:$C$49),0))+(IF(Tank4!$C$23="Vapor combustion unit",SUMIF(Tank4!$A$32:$A$49, VCU!A162,Tank4!$C$32:$C$49),0))+(IF(Tank5!$C$23="Vapor combustion unit",SUMIF(Tank5!$A$32:$A$49, VCU!A162,Tank5!$C$32:$C$49),0))+(IF('Loading-drum,tote'!$C$21="Vapor combustion unit",SUMIF('Loading-drum,tote'!$A$31:$A$48, VCU!A162,'Loading-drum,tote'!$F$31:$F$48),0))+(IF('Loading-truck'!$C$21="Vapor combustion unit",SUMIF('Loading-truck'!$A$31:$A$48, VCU!A162,'Loading-truck'!$F$31:$F$48),0))+(IF('Loading-rail'!$C$21="Vapor combustion unit",SUMIF('Loading-rail'!$A$31:$A$48, VCU!A162,'Loading-rail'!$F$31:$F$48),0))</f>
        <v>0</v>
      </c>
      <c r="E162" s="541">
        <f t="shared" si="4"/>
        <v>0</v>
      </c>
    </row>
    <row r="163" spans="1:5" x14ac:dyDescent="0.25">
      <c r="A163" s="539" t="str">
        <f>'Hidden Inputs'!AN107</f>
        <v/>
      </c>
      <c r="B163" s="1594" t="str">
        <f t="shared" si="5"/>
        <v/>
      </c>
      <c r="C163" s="1594"/>
      <c r="D163" s="544">
        <f>(IF(Tank1!$C$23="Vapor combustion unit",SUMIF(Tank1!$A$32:$A$49,VCU!A163,Tank1!$C$32:$C$49),0))+(IF(Tank2!$C$23="Vapor combustion unit",SUMIF(Tank2!$A$32:$A$49, VCU!A163,Tank2!$C$32:$C$49),0))+(IF(Tank3!$C$23="Vapor combustion unit",SUMIF(Tank3!$A$32:$A$49, VCU!A163,Tank3!$C$32:$C$49),0))+(IF(Tank4!$C$23="Vapor combustion unit",SUMIF(Tank4!$A$32:$A$49, VCU!A163,Tank4!$C$32:$C$49),0))+(IF(Tank5!$C$23="Vapor combustion unit",SUMIF(Tank5!$A$32:$A$49, VCU!A163,Tank5!$C$32:$C$49),0))+(IF('Loading-drum,tote'!$C$21="Vapor combustion unit",SUMIF('Loading-drum,tote'!$A$31:$A$48, VCU!A163,'Loading-drum,tote'!$F$31:$F$48),0))+(IF('Loading-truck'!$C$21="Vapor combustion unit",SUMIF('Loading-truck'!$A$31:$A$48, VCU!A163,'Loading-truck'!$F$31:$F$48),0))+(IF('Loading-rail'!$C$21="Vapor combustion unit",SUMIF('Loading-rail'!$A$31:$A$48, VCU!A163,'Loading-rail'!$F$31:$F$48),0))</f>
        <v>0</v>
      </c>
      <c r="E163" s="541">
        <f t="shared" si="4"/>
        <v>0</v>
      </c>
    </row>
    <row r="164" spans="1:5" x14ac:dyDescent="0.25">
      <c r="A164" s="539" t="str">
        <f>'Hidden Inputs'!AN108</f>
        <v/>
      </c>
      <c r="B164" s="1594" t="str">
        <f t="shared" si="5"/>
        <v/>
      </c>
      <c r="C164" s="1594"/>
      <c r="D164" s="544">
        <f>(IF(Tank1!$C$23="Vapor combustion unit",SUMIF(Tank1!$A$32:$A$49,VCU!A164,Tank1!$C$32:$C$49),0))+(IF(Tank2!$C$23="Vapor combustion unit",SUMIF(Tank2!$A$32:$A$49, VCU!A164,Tank2!$C$32:$C$49),0))+(IF(Tank3!$C$23="Vapor combustion unit",SUMIF(Tank3!$A$32:$A$49, VCU!A164,Tank3!$C$32:$C$49),0))+(IF(Tank4!$C$23="Vapor combustion unit",SUMIF(Tank4!$A$32:$A$49, VCU!A164,Tank4!$C$32:$C$49),0))+(IF(Tank5!$C$23="Vapor combustion unit",SUMIF(Tank5!$A$32:$A$49, VCU!A164,Tank5!$C$32:$C$49),0))+(IF('Loading-drum,tote'!$C$21="Vapor combustion unit",SUMIF('Loading-drum,tote'!$A$31:$A$48, VCU!A164,'Loading-drum,tote'!$F$31:$F$48),0))+(IF('Loading-truck'!$C$21="Vapor combustion unit",SUMIF('Loading-truck'!$A$31:$A$48, VCU!A164,'Loading-truck'!$F$31:$F$48),0))+(IF('Loading-rail'!$C$21="Vapor combustion unit",SUMIF('Loading-rail'!$A$31:$A$48, VCU!A164,'Loading-rail'!$F$31:$F$48),0))</f>
        <v>0</v>
      </c>
      <c r="E164" s="541">
        <f t="shared" si="4"/>
        <v>0</v>
      </c>
    </row>
    <row r="165" spans="1:5" x14ac:dyDescent="0.25">
      <c r="A165" s="539" t="str">
        <f>'Hidden Inputs'!AN109</f>
        <v/>
      </c>
      <c r="B165" s="1594" t="str">
        <f t="shared" si="5"/>
        <v/>
      </c>
      <c r="C165" s="1594"/>
      <c r="D165" s="544">
        <f>(IF(Tank1!$C$23="Vapor combustion unit",SUMIF(Tank1!$A$32:$A$49,VCU!A165,Tank1!$C$32:$C$49),0))+(IF(Tank2!$C$23="Vapor combustion unit",SUMIF(Tank2!$A$32:$A$49, VCU!A165,Tank2!$C$32:$C$49),0))+(IF(Tank3!$C$23="Vapor combustion unit",SUMIF(Tank3!$A$32:$A$49, VCU!A165,Tank3!$C$32:$C$49),0))+(IF(Tank4!$C$23="Vapor combustion unit",SUMIF(Tank4!$A$32:$A$49, VCU!A165,Tank4!$C$32:$C$49),0))+(IF(Tank5!$C$23="Vapor combustion unit",SUMIF(Tank5!$A$32:$A$49, VCU!A165,Tank5!$C$32:$C$49),0))+(IF('Loading-drum,tote'!$C$21="Vapor combustion unit",SUMIF('Loading-drum,tote'!$A$31:$A$48, VCU!A165,'Loading-drum,tote'!$F$31:$F$48),0))+(IF('Loading-truck'!$C$21="Vapor combustion unit",SUMIF('Loading-truck'!$A$31:$A$48, VCU!A165,'Loading-truck'!$F$31:$F$48),0))+(IF('Loading-rail'!$C$21="Vapor combustion unit",SUMIF('Loading-rail'!$A$31:$A$48, VCU!A165,'Loading-rail'!$F$31:$F$48),0))</f>
        <v>0</v>
      </c>
      <c r="E165" s="541">
        <f t="shared" si="4"/>
        <v>0</v>
      </c>
    </row>
    <row r="166" spans="1:5" x14ac:dyDescent="0.25">
      <c r="A166" s="539" t="str">
        <f>'Hidden Inputs'!AN110</f>
        <v/>
      </c>
      <c r="B166" s="1594" t="str">
        <f t="shared" si="5"/>
        <v/>
      </c>
      <c r="C166" s="1594"/>
      <c r="D166" s="544">
        <f>(IF(Tank1!$C$23="Vapor combustion unit",SUMIF(Tank1!$A$32:$A$49,VCU!A166,Tank1!$C$32:$C$49),0))+(IF(Tank2!$C$23="Vapor combustion unit",SUMIF(Tank2!$A$32:$A$49, VCU!A166,Tank2!$C$32:$C$49),0))+(IF(Tank3!$C$23="Vapor combustion unit",SUMIF(Tank3!$A$32:$A$49, VCU!A166,Tank3!$C$32:$C$49),0))+(IF(Tank4!$C$23="Vapor combustion unit",SUMIF(Tank4!$A$32:$A$49, VCU!A166,Tank4!$C$32:$C$49),0))+(IF(Tank5!$C$23="Vapor combustion unit",SUMIF(Tank5!$A$32:$A$49, VCU!A166,Tank5!$C$32:$C$49),0))+(IF('Loading-drum,tote'!$C$21="Vapor combustion unit",SUMIF('Loading-drum,tote'!$A$31:$A$48, VCU!A166,'Loading-drum,tote'!$F$31:$F$48),0))+(IF('Loading-truck'!$C$21="Vapor combustion unit",SUMIF('Loading-truck'!$A$31:$A$48, VCU!A166,'Loading-truck'!$F$31:$F$48),0))+(IF('Loading-rail'!$C$21="Vapor combustion unit",SUMIF('Loading-rail'!$A$31:$A$48, VCU!A166,'Loading-rail'!$F$31:$F$48),0))</f>
        <v>0</v>
      </c>
      <c r="E166" s="541">
        <f t="shared" si="4"/>
        <v>0</v>
      </c>
    </row>
    <row r="167" spans="1:5" x14ac:dyDescent="0.25">
      <c r="A167" s="539" t="str">
        <f>'Hidden Inputs'!AN111</f>
        <v/>
      </c>
      <c r="B167" s="1594" t="str">
        <f t="shared" si="5"/>
        <v/>
      </c>
      <c r="C167" s="1594"/>
      <c r="D167" s="544">
        <f>(IF(Tank1!$C$23="Vapor combustion unit",SUMIF(Tank1!$A$32:$A$49,VCU!A167,Tank1!$C$32:$C$49),0))+(IF(Tank2!$C$23="Vapor combustion unit",SUMIF(Tank2!$A$32:$A$49, VCU!A167,Tank2!$C$32:$C$49),0))+(IF(Tank3!$C$23="Vapor combustion unit",SUMIF(Tank3!$A$32:$A$49, VCU!A167,Tank3!$C$32:$C$49),0))+(IF(Tank4!$C$23="Vapor combustion unit",SUMIF(Tank4!$A$32:$A$49, VCU!A167,Tank4!$C$32:$C$49),0))+(IF(Tank5!$C$23="Vapor combustion unit",SUMIF(Tank5!$A$32:$A$49, VCU!A167,Tank5!$C$32:$C$49),0))+(IF('Loading-drum,tote'!$C$21="Vapor combustion unit",SUMIF('Loading-drum,tote'!$A$31:$A$48, VCU!A167,'Loading-drum,tote'!$F$31:$F$48),0))+(IF('Loading-truck'!$C$21="Vapor combustion unit",SUMIF('Loading-truck'!$A$31:$A$48, VCU!A167,'Loading-truck'!$F$31:$F$48),0))+(IF('Loading-rail'!$C$21="Vapor combustion unit",SUMIF('Loading-rail'!$A$31:$A$48, VCU!A167,'Loading-rail'!$F$31:$F$48),0))</f>
        <v>0</v>
      </c>
      <c r="E167" s="541">
        <f t="shared" si="4"/>
        <v>0</v>
      </c>
    </row>
    <row r="168" spans="1:5" x14ac:dyDescent="0.25">
      <c r="A168" s="539" t="str">
        <f>'Hidden Inputs'!AN112</f>
        <v/>
      </c>
      <c r="B168" s="1594" t="str">
        <f t="shared" si="5"/>
        <v/>
      </c>
      <c r="C168" s="1594"/>
      <c r="D168" s="544">
        <f>(IF(Tank1!$C$23="Vapor combustion unit",SUMIF(Tank1!$A$32:$A$49,VCU!A168,Tank1!$C$32:$C$49),0))+(IF(Tank2!$C$23="Vapor combustion unit",SUMIF(Tank2!$A$32:$A$49, VCU!A168,Tank2!$C$32:$C$49),0))+(IF(Tank3!$C$23="Vapor combustion unit",SUMIF(Tank3!$A$32:$A$49, VCU!A168,Tank3!$C$32:$C$49),0))+(IF(Tank4!$C$23="Vapor combustion unit",SUMIF(Tank4!$A$32:$A$49, VCU!A168,Tank4!$C$32:$C$49),0))+(IF(Tank5!$C$23="Vapor combustion unit",SUMIF(Tank5!$A$32:$A$49, VCU!A168,Tank5!$C$32:$C$49),0))+(IF('Loading-drum,tote'!$C$21="Vapor combustion unit",SUMIF('Loading-drum,tote'!$A$31:$A$48, VCU!A168,'Loading-drum,tote'!$F$31:$F$48),0))+(IF('Loading-truck'!$C$21="Vapor combustion unit",SUMIF('Loading-truck'!$A$31:$A$48, VCU!A168,'Loading-truck'!$F$31:$F$48),0))+(IF('Loading-rail'!$C$21="Vapor combustion unit",SUMIF('Loading-rail'!$A$31:$A$48, VCU!A168,'Loading-rail'!$F$31:$F$48),0))</f>
        <v>0</v>
      </c>
      <c r="E168" s="541">
        <f t="shared" si="4"/>
        <v>0</v>
      </c>
    </row>
    <row r="169" spans="1:5" x14ac:dyDescent="0.25">
      <c r="A169" s="539" t="str">
        <f>'Hidden Inputs'!AN113</f>
        <v/>
      </c>
      <c r="B169" s="1594" t="str">
        <f t="shared" si="5"/>
        <v/>
      </c>
      <c r="C169" s="1594"/>
      <c r="D169" s="544">
        <f>(IF(Tank1!$C$23="Vapor combustion unit",SUMIF(Tank1!$A$32:$A$49,VCU!A169,Tank1!$C$32:$C$49),0))+(IF(Tank2!$C$23="Vapor combustion unit",SUMIF(Tank2!$A$32:$A$49, VCU!A169,Tank2!$C$32:$C$49),0))+(IF(Tank3!$C$23="Vapor combustion unit",SUMIF(Tank3!$A$32:$A$49, VCU!A169,Tank3!$C$32:$C$49),0))+(IF(Tank4!$C$23="Vapor combustion unit",SUMIF(Tank4!$A$32:$A$49, VCU!A169,Tank4!$C$32:$C$49),0))+(IF(Tank5!$C$23="Vapor combustion unit",SUMIF(Tank5!$A$32:$A$49, VCU!A169,Tank5!$C$32:$C$49),0))+(IF('Loading-drum,tote'!$C$21="Vapor combustion unit",SUMIF('Loading-drum,tote'!$A$31:$A$48, VCU!A169,'Loading-drum,tote'!$F$31:$F$48),0))+(IF('Loading-truck'!$C$21="Vapor combustion unit",SUMIF('Loading-truck'!$A$31:$A$48, VCU!A169,'Loading-truck'!$F$31:$F$48),0))+(IF('Loading-rail'!$C$21="Vapor combustion unit",SUMIF('Loading-rail'!$A$31:$A$48, VCU!A169,'Loading-rail'!$F$31:$F$48),0))</f>
        <v>0</v>
      </c>
      <c r="E169" s="541">
        <f t="shared" si="4"/>
        <v>0</v>
      </c>
    </row>
    <row r="170" spans="1:5" x14ac:dyDescent="0.25">
      <c r="A170" s="539" t="str">
        <f>'Hidden Inputs'!AN114</f>
        <v/>
      </c>
      <c r="B170" s="1594" t="str">
        <f t="shared" si="5"/>
        <v/>
      </c>
      <c r="C170" s="1594"/>
      <c r="D170" s="544">
        <f>(IF(Tank1!$C$23="Vapor combustion unit",SUMIF(Tank1!$A$32:$A$49,VCU!A170,Tank1!$C$32:$C$49),0))+(IF(Tank2!$C$23="Vapor combustion unit",SUMIF(Tank2!$A$32:$A$49, VCU!A170,Tank2!$C$32:$C$49),0))+(IF(Tank3!$C$23="Vapor combustion unit",SUMIF(Tank3!$A$32:$A$49, VCU!A170,Tank3!$C$32:$C$49),0))+(IF(Tank4!$C$23="Vapor combustion unit",SUMIF(Tank4!$A$32:$A$49, VCU!A170,Tank4!$C$32:$C$49),0))+(IF(Tank5!$C$23="Vapor combustion unit",SUMIF(Tank5!$A$32:$A$49, VCU!A170,Tank5!$C$32:$C$49),0))+(IF('Loading-drum,tote'!$C$21="Vapor combustion unit",SUMIF('Loading-drum,tote'!$A$31:$A$48, VCU!A170,'Loading-drum,tote'!$F$31:$F$48),0))+(IF('Loading-truck'!$C$21="Vapor combustion unit",SUMIF('Loading-truck'!$A$31:$A$48, VCU!A170,'Loading-truck'!$F$31:$F$48),0))+(IF('Loading-rail'!$C$21="Vapor combustion unit",SUMIF('Loading-rail'!$A$31:$A$48, VCU!A170,'Loading-rail'!$F$31:$F$48),0))</f>
        <v>0</v>
      </c>
      <c r="E170" s="541">
        <f t="shared" si="4"/>
        <v>0</v>
      </c>
    </row>
    <row r="171" spans="1:5" x14ac:dyDescent="0.25">
      <c r="A171" s="539" t="str">
        <f>'Hidden Inputs'!AN115</f>
        <v/>
      </c>
      <c r="B171" s="1594" t="str">
        <f t="shared" si="5"/>
        <v/>
      </c>
      <c r="C171" s="1594"/>
      <c r="D171" s="544">
        <f>(IF(Tank1!$C$23="Vapor combustion unit",SUMIF(Tank1!$A$32:$A$49,VCU!A171,Tank1!$C$32:$C$49),0))+(IF(Tank2!$C$23="Vapor combustion unit",SUMIF(Tank2!$A$32:$A$49, VCU!A171,Tank2!$C$32:$C$49),0))+(IF(Tank3!$C$23="Vapor combustion unit",SUMIF(Tank3!$A$32:$A$49, VCU!A171,Tank3!$C$32:$C$49),0))+(IF(Tank4!$C$23="Vapor combustion unit",SUMIF(Tank4!$A$32:$A$49, VCU!A171,Tank4!$C$32:$C$49),0))+(IF(Tank5!$C$23="Vapor combustion unit",SUMIF(Tank5!$A$32:$A$49, VCU!A171,Tank5!$C$32:$C$49),0))+(IF('Loading-drum,tote'!$C$21="Vapor combustion unit",SUMIF('Loading-drum,tote'!$A$31:$A$48, VCU!A171,'Loading-drum,tote'!$F$31:$F$48),0))+(IF('Loading-truck'!$C$21="Vapor combustion unit",SUMIF('Loading-truck'!$A$31:$A$48, VCU!A171,'Loading-truck'!$F$31:$F$48),0))+(IF('Loading-rail'!$C$21="Vapor combustion unit",SUMIF('Loading-rail'!$A$31:$A$48, VCU!A171,'Loading-rail'!$F$31:$F$48),0))</f>
        <v>0</v>
      </c>
      <c r="E171" s="541">
        <f t="shared" si="4"/>
        <v>0</v>
      </c>
    </row>
    <row r="172" spans="1:5" x14ac:dyDescent="0.25">
      <c r="A172" s="539" t="str">
        <f>'Hidden Inputs'!AN116</f>
        <v/>
      </c>
      <c r="B172" s="1594" t="str">
        <f t="shared" si="5"/>
        <v/>
      </c>
      <c r="C172" s="1594"/>
      <c r="D172" s="544">
        <f>(IF(Tank1!$C$23="Vapor combustion unit",SUMIF(Tank1!$A$32:$A$49,VCU!A172,Tank1!$C$32:$C$49),0))+(IF(Tank2!$C$23="Vapor combustion unit",SUMIF(Tank2!$A$32:$A$49, VCU!A172,Tank2!$C$32:$C$49),0))+(IF(Tank3!$C$23="Vapor combustion unit",SUMIF(Tank3!$A$32:$A$49, VCU!A172,Tank3!$C$32:$C$49),0))+(IF(Tank4!$C$23="Vapor combustion unit",SUMIF(Tank4!$A$32:$A$49, VCU!A172,Tank4!$C$32:$C$49),0))+(IF(Tank5!$C$23="Vapor combustion unit",SUMIF(Tank5!$A$32:$A$49, VCU!A172,Tank5!$C$32:$C$49),0))+(IF('Loading-drum,tote'!$C$21="Vapor combustion unit",SUMIF('Loading-drum,tote'!$A$31:$A$48, VCU!A172,'Loading-drum,tote'!$F$31:$F$48),0))+(IF('Loading-truck'!$C$21="Vapor combustion unit",SUMIF('Loading-truck'!$A$31:$A$48, VCU!A172,'Loading-truck'!$F$31:$F$48),0))+(IF('Loading-rail'!$C$21="Vapor combustion unit",SUMIF('Loading-rail'!$A$31:$A$48, VCU!A172,'Loading-rail'!$F$31:$F$48),0))</f>
        <v>0</v>
      </c>
      <c r="E172" s="541">
        <f t="shared" si="4"/>
        <v>0</v>
      </c>
    </row>
    <row r="173" spans="1:5" x14ac:dyDescent="0.25">
      <c r="A173" s="539" t="str">
        <f>'Hidden Inputs'!AN117</f>
        <v/>
      </c>
      <c r="B173" s="1594" t="str">
        <f t="shared" si="5"/>
        <v/>
      </c>
      <c r="C173" s="1594"/>
      <c r="D173" s="544">
        <f>(IF(Tank1!$C$23="Vapor combustion unit",SUMIF(Tank1!$A$32:$A$49,VCU!A173,Tank1!$C$32:$C$49),0))+(IF(Tank2!$C$23="Vapor combustion unit",SUMIF(Tank2!$A$32:$A$49, VCU!A173,Tank2!$C$32:$C$49),0))+(IF(Tank3!$C$23="Vapor combustion unit",SUMIF(Tank3!$A$32:$A$49, VCU!A173,Tank3!$C$32:$C$49),0))+(IF(Tank4!$C$23="Vapor combustion unit",SUMIF(Tank4!$A$32:$A$49, VCU!A173,Tank4!$C$32:$C$49),0))+(IF(Tank5!$C$23="Vapor combustion unit",SUMIF(Tank5!$A$32:$A$49, VCU!A173,Tank5!$C$32:$C$49),0))+(IF('Loading-drum,tote'!$C$21="Vapor combustion unit",SUMIF('Loading-drum,tote'!$A$31:$A$48, VCU!A173,'Loading-drum,tote'!$F$31:$F$48),0))+(IF('Loading-truck'!$C$21="Vapor combustion unit",SUMIF('Loading-truck'!$A$31:$A$48, VCU!A173,'Loading-truck'!$F$31:$F$48),0))+(IF('Loading-rail'!$C$21="Vapor combustion unit",SUMIF('Loading-rail'!$A$31:$A$48, VCU!A173,'Loading-rail'!$F$31:$F$48),0))</f>
        <v>0</v>
      </c>
      <c r="E173" s="541">
        <f t="shared" si="4"/>
        <v>0</v>
      </c>
    </row>
    <row r="174" spans="1:5" x14ac:dyDescent="0.25">
      <c r="A174" s="539" t="str">
        <f>'Hidden Inputs'!AN118</f>
        <v/>
      </c>
      <c r="B174" s="1594" t="str">
        <f t="shared" si="5"/>
        <v/>
      </c>
      <c r="C174" s="1594"/>
      <c r="D174" s="544">
        <f>(IF(Tank1!$C$23="Vapor combustion unit",SUMIF(Tank1!$A$32:$A$49,VCU!A174,Tank1!$C$32:$C$49),0))+(IF(Tank2!$C$23="Vapor combustion unit",SUMIF(Tank2!$A$32:$A$49, VCU!A174,Tank2!$C$32:$C$49),0))+(IF(Tank3!$C$23="Vapor combustion unit",SUMIF(Tank3!$A$32:$A$49, VCU!A174,Tank3!$C$32:$C$49),0))+(IF(Tank4!$C$23="Vapor combustion unit",SUMIF(Tank4!$A$32:$A$49, VCU!A174,Tank4!$C$32:$C$49),0))+(IF(Tank5!$C$23="Vapor combustion unit",SUMIF(Tank5!$A$32:$A$49, VCU!A174,Tank5!$C$32:$C$49),0))+(IF('Loading-drum,tote'!$C$21="Vapor combustion unit",SUMIF('Loading-drum,tote'!$A$31:$A$48, VCU!A174,'Loading-drum,tote'!$F$31:$F$48),0))+(IF('Loading-truck'!$C$21="Vapor combustion unit",SUMIF('Loading-truck'!$A$31:$A$48, VCU!A174,'Loading-truck'!$F$31:$F$48),0))+(IF('Loading-rail'!$C$21="Vapor combustion unit",SUMIF('Loading-rail'!$A$31:$A$48, VCU!A174,'Loading-rail'!$F$31:$F$48),0))</f>
        <v>0</v>
      </c>
      <c r="E174" s="541">
        <f t="shared" si="4"/>
        <v>0</v>
      </c>
    </row>
    <row r="175" spans="1:5" x14ac:dyDescent="0.25">
      <c r="A175" s="539" t="str">
        <f>'Hidden Inputs'!AN119</f>
        <v/>
      </c>
      <c r="B175" s="1594" t="str">
        <f t="shared" si="5"/>
        <v/>
      </c>
      <c r="C175" s="1594"/>
      <c r="D175" s="544">
        <f>(IF(Tank1!$C$23="Vapor combustion unit",SUMIF(Tank1!$A$32:$A$49,VCU!A175,Tank1!$C$32:$C$49),0))+(IF(Tank2!$C$23="Vapor combustion unit",SUMIF(Tank2!$A$32:$A$49, VCU!A175,Tank2!$C$32:$C$49),0))+(IF(Tank3!$C$23="Vapor combustion unit",SUMIF(Tank3!$A$32:$A$49, VCU!A175,Tank3!$C$32:$C$49),0))+(IF(Tank4!$C$23="Vapor combustion unit",SUMIF(Tank4!$A$32:$A$49, VCU!A175,Tank4!$C$32:$C$49),0))+(IF(Tank5!$C$23="Vapor combustion unit",SUMIF(Tank5!$A$32:$A$49, VCU!A175,Tank5!$C$32:$C$49),0))+(IF('Loading-drum,tote'!$C$21="Vapor combustion unit",SUMIF('Loading-drum,tote'!$A$31:$A$48, VCU!A175,'Loading-drum,tote'!$F$31:$F$48),0))+(IF('Loading-truck'!$C$21="Vapor combustion unit",SUMIF('Loading-truck'!$A$31:$A$48, VCU!A175,'Loading-truck'!$F$31:$F$48),0))+(IF('Loading-rail'!$C$21="Vapor combustion unit",SUMIF('Loading-rail'!$A$31:$A$48, VCU!A175,'Loading-rail'!$F$31:$F$48),0))</f>
        <v>0</v>
      </c>
      <c r="E175" s="541">
        <f t="shared" si="4"/>
        <v>0</v>
      </c>
    </row>
    <row r="176" spans="1:5" x14ac:dyDescent="0.25">
      <c r="A176" s="539" t="str">
        <f>'Hidden Inputs'!AN120</f>
        <v/>
      </c>
      <c r="B176" s="1594" t="str">
        <f t="shared" si="5"/>
        <v/>
      </c>
      <c r="C176" s="1594"/>
      <c r="D176" s="544">
        <f>(IF(Tank1!$C$23="Vapor combustion unit",SUMIF(Tank1!$A$32:$A$49,VCU!A176,Tank1!$C$32:$C$49),0))+(IF(Tank2!$C$23="Vapor combustion unit",SUMIF(Tank2!$A$32:$A$49, VCU!A176,Tank2!$C$32:$C$49),0))+(IF(Tank3!$C$23="Vapor combustion unit",SUMIF(Tank3!$A$32:$A$49, VCU!A176,Tank3!$C$32:$C$49),0))+(IF(Tank4!$C$23="Vapor combustion unit",SUMIF(Tank4!$A$32:$A$49, VCU!A176,Tank4!$C$32:$C$49),0))+(IF(Tank5!$C$23="Vapor combustion unit",SUMIF(Tank5!$A$32:$A$49, VCU!A176,Tank5!$C$32:$C$49),0))+(IF('Loading-drum,tote'!$C$21="Vapor combustion unit",SUMIF('Loading-drum,tote'!$A$31:$A$48, VCU!A176,'Loading-drum,tote'!$F$31:$F$48),0))+(IF('Loading-truck'!$C$21="Vapor combustion unit",SUMIF('Loading-truck'!$A$31:$A$48, VCU!A176,'Loading-truck'!$F$31:$F$48),0))+(IF('Loading-rail'!$C$21="Vapor combustion unit",SUMIF('Loading-rail'!$A$31:$A$48, VCU!A176,'Loading-rail'!$F$31:$F$48),0))</f>
        <v>0</v>
      </c>
      <c r="E176" s="541">
        <f t="shared" si="4"/>
        <v>0</v>
      </c>
    </row>
    <row r="177" spans="1:5" x14ac:dyDescent="0.25">
      <c r="A177" s="539" t="str">
        <f>'Hidden Inputs'!AN121</f>
        <v/>
      </c>
      <c r="B177" s="1594" t="str">
        <f t="shared" si="5"/>
        <v/>
      </c>
      <c r="C177" s="1594"/>
      <c r="D177" s="544">
        <f>(IF(Tank1!$C$23="Vapor combustion unit",SUMIF(Tank1!$A$32:$A$49,VCU!A177,Tank1!$C$32:$C$49),0))+(IF(Tank2!$C$23="Vapor combustion unit",SUMIF(Tank2!$A$32:$A$49, VCU!A177,Tank2!$C$32:$C$49),0))+(IF(Tank3!$C$23="Vapor combustion unit",SUMIF(Tank3!$A$32:$A$49, VCU!A177,Tank3!$C$32:$C$49),0))+(IF(Tank4!$C$23="Vapor combustion unit",SUMIF(Tank4!$A$32:$A$49, VCU!A177,Tank4!$C$32:$C$49),0))+(IF(Tank5!$C$23="Vapor combustion unit",SUMIF(Tank5!$A$32:$A$49, VCU!A177,Tank5!$C$32:$C$49),0))+(IF('Loading-drum,tote'!$C$21="Vapor combustion unit",SUMIF('Loading-drum,tote'!$A$31:$A$48, VCU!A177,'Loading-drum,tote'!$F$31:$F$48),0))+(IF('Loading-truck'!$C$21="Vapor combustion unit",SUMIF('Loading-truck'!$A$31:$A$48, VCU!A177,'Loading-truck'!$F$31:$F$48),0))+(IF('Loading-rail'!$C$21="Vapor combustion unit",SUMIF('Loading-rail'!$A$31:$A$48, VCU!A177,'Loading-rail'!$F$31:$F$48),0))</f>
        <v>0</v>
      </c>
      <c r="E177" s="541">
        <f t="shared" si="4"/>
        <v>0</v>
      </c>
    </row>
    <row r="178" spans="1:5" x14ac:dyDescent="0.25">
      <c r="A178" s="539" t="str">
        <f>'Hidden Inputs'!AN122</f>
        <v/>
      </c>
      <c r="B178" s="1594" t="str">
        <f t="shared" si="5"/>
        <v/>
      </c>
      <c r="C178" s="1594"/>
      <c r="D178" s="544">
        <f>(IF(Tank1!$C$23="Vapor combustion unit",SUMIF(Tank1!$A$32:$A$49,VCU!A178,Tank1!$C$32:$C$49),0))+(IF(Tank2!$C$23="Vapor combustion unit",SUMIF(Tank2!$A$32:$A$49, VCU!A178,Tank2!$C$32:$C$49),0))+(IF(Tank3!$C$23="Vapor combustion unit",SUMIF(Tank3!$A$32:$A$49, VCU!A178,Tank3!$C$32:$C$49),0))+(IF(Tank4!$C$23="Vapor combustion unit",SUMIF(Tank4!$A$32:$A$49, VCU!A178,Tank4!$C$32:$C$49),0))+(IF(Tank5!$C$23="Vapor combustion unit",SUMIF(Tank5!$A$32:$A$49, VCU!A178,Tank5!$C$32:$C$49),0))+(IF('Loading-drum,tote'!$C$21="Vapor combustion unit",SUMIF('Loading-drum,tote'!$A$31:$A$48, VCU!A178,'Loading-drum,tote'!$F$31:$F$48),0))+(IF('Loading-truck'!$C$21="Vapor combustion unit",SUMIF('Loading-truck'!$A$31:$A$48, VCU!A178,'Loading-truck'!$F$31:$F$48),0))+(IF('Loading-rail'!$C$21="Vapor combustion unit",SUMIF('Loading-rail'!$A$31:$A$48, VCU!A178,'Loading-rail'!$F$31:$F$48),0))</f>
        <v>0</v>
      </c>
      <c r="E178" s="541">
        <f t="shared" si="4"/>
        <v>0</v>
      </c>
    </row>
    <row r="179" spans="1:5" x14ac:dyDescent="0.25">
      <c r="A179" s="539" t="str">
        <f>'Hidden Inputs'!AN123</f>
        <v/>
      </c>
      <c r="B179" s="1594" t="str">
        <f t="shared" si="5"/>
        <v/>
      </c>
      <c r="C179" s="1594"/>
      <c r="D179" s="544">
        <f>(IF(Tank1!$C$23="Vapor combustion unit",SUMIF(Tank1!$A$32:$A$49,VCU!A179,Tank1!$C$32:$C$49),0))+(IF(Tank2!$C$23="Vapor combustion unit",SUMIF(Tank2!$A$32:$A$49, VCU!A179,Tank2!$C$32:$C$49),0))+(IF(Tank3!$C$23="Vapor combustion unit",SUMIF(Tank3!$A$32:$A$49, VCU!A179,Tank3!$C$32:$C$49),0))+(IF(Tank4!$C$23="Vapor combustion unit",SUMIF(Tank4!$A$32:$A$49, VCU!A179,Tank4!$C$32:$C$49),0))+(IF(Tank5!$C$23="Vapor combustion unit",SUMIF(Tank5!$A$32:$A$49, VCU!A179,Tank5!$C$32:$C$49),0))+(IF('Loading-drum,tote'!$C$21="Vapor combustion unit",SUMIF('Loading-drum,tote'!$A$31:$A$48, VCU!A179,'Loading-drum,tote'!$F$31:$F$48),0))+(IF('Loading-truck'!$C$21="Vapor combustion unit",SUMIF('Loading-truck'!$A$31:$A$48, VCU!A179,'Loading-truck'!$F$31:$F$48),0))+(IF('Loading-rail'!$C$21="Vapor combustion unit",SUMIF('Loading-rail'!$A$31:$A$48, VCU!A179,'Loading-rail'!$F$31:$F$48),0))</f>
        <v>0</v>
      </c>
      <c r="E179" s="541">
        <f t="shared" si="4"/>
        <v>0</v>
      </c>
    </row>
    <row r="180" spans="1:5" x14ac:dyDescent="0.25">
      <c r="A180" s="539" t="str">
        <f>'Hidden Inputs'!AN124</f>
        <v/>
      </c>
      <c r="B180" s="1594" t="str">
        <f t="shared" si="5"/>
        <v/>
      </c>
      <c r="C180" s="1594"/>
      <c r="D180" s="544">
        <f>(IF(Tank1!$C$23="Vapor combustion unit",SUMIF(Tank1!$A$32:$A$49,VCU!A180,Tank1!$C$32:$C$49),0))+(IF(Tank2!$C$23="Vapor combustion unit",SUMIF(Tank2!$A$32:$A$49, VCU!A180,Tank2!$C$32:$C$49),0))+(IF(Tank3!$C$23="Vapor combustion unit",SUMIF(Tank3!$A$32:$A$49, VCU!A180,Tank3!$C$32:$C$49),0))+(IF(Tank4!$C$23="Vapor combustion unit",SUMIF(Tank4!$A$32:$A$49, VCU!A180,Tank4!$C$32:$C$49),0))+(IF(Tank5!$C$23="Vapor combustion unit",SUMIF(Tank5!$A$32:$A$49, VCU!A180,Tank5!$C$32:$C$49),0))+(IF('Loading-drum,tote'!$C$21="Vapor combustion unit",SUMIF('Loading-drum,tote'!$A$31:$A$48, VCU!A180,'Loading-drum,tote'!$F$31:$F$48),0))+(IF('Loading-truck'!$C$21="Vapor combustion unit",SUMIF('Loading-truck'!$A$31:$A$48, VCU!A180,'Loading-truck'!$F$31:$F$48),0))+(IF('Loading-rail'!$C$21="Vapor combustion unit",SUMIF('Loading-rail'!$A$31:$A$48, VCU!A180,'Loading-rail'!$F$31:$F$48),0))</f>
        <v>0</v>
      </c>
      <c r="E180" s="541">
        <f t="shared" si="4"/>
        <v>0</v>
      </c>
    </row>
    <row r="181" spans="1:5" x14ac:dyDescent="0.25">
      <c r="A181" s="539" t="str">
        <f>'Hidden Inputs'!AN125</f>
        <v/>
      </c>
      <c r="B181" s="1594" t="str">
        <f t="shared" si="5"/>
        <v/>
      </c>
      <c r="C181" s="1594"/>
      <c r="D181" s="544">
        <f>(IF(Tank1!$C$23="Vapor combustion unit",SUMIF(Tank1!$A$32:$A$49,VCU!A181,Tank1!$C$32:$C$49),0))+(IF(Tank2!$C$23="Vapor combustion unit",SUMIF(Tank2!$A$32:$A$49, VCU!A181,Tank2!$C$32:$C$49),0))+(IF(Tank3!$C$23="Vapor combustion unit",SUMIF(Tank3!$A$32:$A$49, VCU!A181,Tank3!$C$32:$C$49),0))+(IF(Tank4!$C$23="Vapor combustion unit",SUMIF(Tank4!$A$32:$A$49, VCU!A181,Tank4!$C$32:$C$49),0))+(IF(Tank5!$C$23="Vapor combustion unit",SUMIF(Tank5!$A$32:$A$49, VCU!A181,Tank5!$C$32:$C$49),0))+(IF('Loading-drum,tote'!$C$21="Vapor combustion unit",SUMIF('Loading-drum,tote'!$A$31:$A$48, VCU!A181,'Loading-drum,tote'!$F$31:$F$48),0))+(IF('Loading-truck'!$C$21="Vapor combustion unit",SUMIF('Loading-truck'!$A$31:$A$48, VCU!A181,'Loading-truck'!$F$31:$F$48),0))+(IF('Loading-rail'!$C$21="Vapor combustion unit",SUMIF('Loading-rail'!$A$31:$A$48, VCU!A181,'Loading-rail'!$F$31:$F$48),0))</f>
        <v>0</v>
      </c>
      <c r="E181" s="541">
        <f t="shared" si="4"/>
        <v>0</v>
      </c>
    </row>
    <row r="182" spans="1:5" x14ac:dyDescent="0.25">
      <c r="A182" s="539" t="str">
        <f>'Hidden Inputs'!AN126</f>
        <v/>
      </c>
      <c r="B182" s="1594" t="str">
        <f t="shared" si="5"/>
        <v/>
      </c>
      <c r="C182" s="1594"/>
      <c r="D182" s="544">
        <f>(IF(Tank1!$C$23="Vapor combustion unit",SUMIF(Tank1!$A$32:$A$49,VCU!A182,Tank1!$C$32:$C$49),0))+(IF(Tank2!$C$23="Vapor combustion unit",SUMIF(Tank2!$A$32:$A$49, VCU!A182,Tank2!$C$32:$C$49),0))+(IF(Tank3!$C$23="Vapor combustion unit",SUMIF(Tank3!$A$32:$A$49, VCU!A182,Tank3!$C$32:$C$49),0))+(IF(Tank4!$C$23="Vapor combustion unit",SUMIF(Tank4!$A$32:$A$49, VCU!A182,Tank4!$C$32:$C$49),0))+(IF(Tank5!$C$23="Vapor combustion unit",SUMIF(Tank5!$A$32:$A$49, VCU!A182,Tank5!$C$32:$C$49),0))+(IF('Loading-drum,tote'!$C$21="Vapor combustion unit",SUMIF('Loading-drum,tote'!$A$31:$A$48, VCU!A182,'Loading-drum,tote'!$F$31:$F$48),0))+(IF('Loading-truck'!$C$21="Vapor combustion unit",SUMIF('Loading-truck'!$A$31:$A$48, VCU!A182,'Loading-truck'!$F$31:$F$48),0))+(IF('Loading-rail'!$C$21="Vapor combustion unit",SUMIF('Loading-rail'!$A$31:$A$48, VCU!A182,'Loading-rail'!$F$31:$F$48),0))</f>
        <v>0</v>
      </c>
      <c r="E182" s="541">
        <f t="shared" si="4"/>
        <v>0</v>
      </c>
    </row>
    <row r="183" spans="1:5" x14ac:dyDescent="0.25">
      <c r="A183" s="539" t="str">
        <f>'Hidden Inputs'!AN127</f>
        <v/>
      </c>
      <c r="B183" s="1594" t="str">
        <f t="shared" si="5"/>
        <v/>
      </c>
      <c r="C183" s="1594"/>
      <c r="D183" s="544">
        <f>(IF(Tank1!$C$23="Vapor combustion unit",SUMIF(Tank1!$A$32:$A$49,VCU!A183,Tank1!$C$32:$C$49),0))+(IF(Tank2!$C$23="Vapor combustion unit",SUMIF(Tank2!$A$32:$A$49, VCU!A183,Tank2!$C$32:$C$49),0))+(IF(Tank3!$C$23="Vapor combustion unit",SUMIF(Tank3!$A$32:$A$49, VCU!A183,Tank3!$C$32:$C$49),0))+(IF(Tank4!$C$23="Vapor combustion unit",SUMIF(Tank4!$A$32:$A$49, VCU!A183,Tank4!$C$32:$C$49),0))+(IF(Tank5!$C$23="Vapor combustion unit",SUMIF(Tank5!$A$32:$A$49, VCU!A183,Tank5!$C$32:$C$49),0))+(IF('Loading-drum,tote'!$C$21="Vapor combustion unit",SUMIF('Loading-drum,tote'!$A$31:$A$48, VCU!A183,'Loading-drum,tote'!$F$31:$F$48),0))+(IF('Loading-truck'!$C$21="Vapor combustion unit",SUMIF('Loading-truck'!$A$31:$A$48, VCU!A183,'Loading-truck'!$F$31:$F$48),0))+(IF('Loading-rail'!$C$21="Vapor combustion unit",SUMIF('Loading-rail'!$A$31:$A$48, VCU!A183,'Loading-rail'!$F$31:$F$48),0))</f>
        <v>0</v>
      </c>
      <c r="E183" s="541">
        <f t="shared" si="4"/>
        <v>0</v>
      </c>
    </row>
    <row r="184" spans="1:5" x14ac:dyDescent="0.25">
      <c r="A184" s="539" t="str">
        <f>'Hidden Inputs'!AN128</f>
        <v/>
      </c>
      <c r="B184" s="1594" t="str">
        <f t="shared" si="5"/>
        <v/>
      </c>
      <c r="C184" s="1594"/>
      <c r="D184" s="544">
        <f>(IF(Tank1!$C$23="Vapor combustion unit",SUMIF(Tank1!$A$32:$A$49,VCU!A184,Tank1!$C$32:$C$49),0))+(IF(Tank2!$C$23="Vapor combustion unit",SUMIF(Tank2!$A$32:$A$49, VCU!A184,Tank2!$C$32:$C$49),0))+(IF(Tank3!$C$23="Vapor combustion unit",SUMIF(Tank3!$A$32:$A$49, VCU!A184,Tank3!$C$32:$C$49),0))+(IF(Tank4!$C$23="Vapor combustion unit",SUMIF(Tank4!$A$32:$A$49, VCU!A184,Tank4!$C$32:$C$49),0))+(IF(Tank5!$C$23="Vapor combustion unit",SUMIF(Tank5!$A$32:$A$49, VCU!A184,Tank5!$C$32:$C$49),0))+(IF('Loading-drum,tote'!$C$21="Vapor combustion unit",SUMIF('Loading-drum,tote'!$A$31:$A$48, VCU!A184,'Loading-drum,tote'!$F$31:$F$48),0))+(IF('Loading-truck'!$C$21="Vapor combustion unit",SUMIF('Loading-truck'!$A$31:$A$48, VCU!A184,'Loading-truck'!$F$31:$F$48),0))+(IF('Loading-rail'!$C$21="Vapor combustion unit",SUMIF('Loading-rail'!$A$31:$A$48, VCU!A184,'Loading-rail'!$F$31:$F$48),0))</f>
        <v>0</v>
      </c>
      <c r="E184" s="541">
        <f t="shared" si="4"/>
        <v>0</v>
      </c>
    </row>
    <row r="185" spans="1:5" x14ac:dyDescent="0.25">
      <c r="A185" s="539" t="str">
        <f>'Hidden Inputs'!AN129</f>
        <v/>
      </c>
      <c r="B185" s="1594" t="str">
        <f t="shared" si="5"/>
        <v/>
      </c>
      <c r="C185" s="1594"/>
      <c r="D185" s="544">
        <f>(IF(Tank1!$C$23="Vapor combustion unit",SUMIF(Tank1!$A$32:$A$49,VCU!A185,Tank1!$C$32:$C$49),0))+(IF(Tank2!$C$23="Vapor combustion unit",SUMIF(Tank2!$A$32:$A$49, VCU!A185,Tank2!$C$32:$C$49),0))+(IF(Tank3!$C$23="Vapor combustion unit",SUMIF(Tank3!$A$32:$A$49, VCU!A185,Tank3!$C$32:$C$49),0))+(IF(Tank4!$C$23="Vapor combustion unit",SUMIF(Tank4!$A$32:$A$49, VCU!A185,Tank4!$C$32:$C$49),0))+(IF(Tank5!$C$23="Vapor combustion unit",SUMIF(Tank5!$A$32:$A$49, VCU!A185,Tank5!$C$32:$C$49),0))+(IF('Loading-drum,tote'!$C$21="Vapor combustion unit",SUMIF('Loading-drum,tote'!$A$31:$A$48, VCU!A185,'Loading-drum,tote'!$F$31:$F$48),0))+(IF('Loading-truck'!$C$21="Vapor combustion unit",SUMIF('Loading-truck'!$A$31:$A$48, VCU!A185,'Loading-truck'!$F$31:$F$48),0))+(IF('Loading-rail'!$C$21="Vapor combustion unit",SUMIF('Loading-rail'!$A$31:$A$48, VCU!A185,'Loading-rail'!$F$31:$F$48),0))</f>
        <v>0</v>
      </c>
      <c r="E185" s="541">
        <f t="shared" si="4"/>
        <v>0</v>
      </c>
    </row>
    <row r="186" spans="1:5" x14ac:dyDescent="0.25">
      <c r="A186" s="539" t="str">
        <f>'Hidden Inputs'!AN130</f>
        <v/>
      </c>
      <c r="B186" s="1594" t="str">
        <f t="shared" ref="B186:B193" si="6">IFERROR(VLOOKUP(A186, SpeciesDataTable,2,FALSE),"")</f>
        <v/>
      </c>
      <c r="C186" s="1594"/>
      <c r="D186" s="544">
        <f>(IF(Tank1!$C$23="Vapor combustion unit",SUMIF(Tank1!$A$32:$A$49,VCU!A186,Tank1!$C$32:$C$49),0))+(IF(Tank2!$C$23="Vapor combustion unit",SUMIF(Tank2!$A$32:$A$49, VCU!A186,Tank2!$C$32:$C$49),0))+(IF(Tank3!$C$23="Vapor combustion unit",SUMIF(Tank3!$A$32:$A$49, VCU!A186,Tank3!$C$32:$C$49),0))+(IF(Tank4!$C$23="Vapor combustion unit",SUMIF(Tank4!$A$32:$A$49, VCU!A186,Tank4!$C$32:$C$49),0))+(IF(Tank5!$C$23="Vapor combustion unit",SUMIF(Tank5!$A$32:$A$49, VCU!A186,Tank5!$C$32:$C$49),0))+(IF('Loading-drum,tote'!$C$21="Vapor combustion unit",SUMIF('Loading-drum,tote'!$A$31:$A$48, VCU!A186,'Loading-drum,tote'!$F$31:$F$48),0))+(IF('Loading-truck'!$C$21="Vapor combustion unit",SUMIF('Loading-truck'!$A$31:$A$48, VCU!A186,'Loading-truck'!$F$31:$F$48),0))+(IF('Loading-rail'!$C$21="Vapor combustion unit",SUMIF('Loading-rail'!$A$31:$A$48, VCU!A186,'Loading-rail'!$F$31:$F$48),0))</f>
        <v>0</v>
      </c>
      <c r="E186" s="541">
        <f t="shared" si="4"/>
        <v>0</v>
      </c>
    </row>
    <row r="187" spans="1:5" x14ac:dyDescent="0.25">
      <c r="A187" s="539" t="str">
        <f>'Hidden Inputs'!AN131</f>
        <v/>
      </c>
      <c r="B187" s="1594" t="str">
        <f t="shared" si="6"/>
        <v/>
      </c>
      <c r="C187" s="1594"/>
      <c r="D187" s="544">
        <f>(IF(Tank1!$C$23="Vapor combustion unit",SUMIF(Tank1!$A$32:$A$49,VCU!A187,Tank1!$C$32:$C$49),0))+(IF(Tank2!$C$23="Vapor combustion unit",SUMIF(Tank2!$A$32:$A$49, VCU!A187,Tank2!$C$32:$C$49),0))+(IF(Tank3!$C$23="Vapor combustion unit",SUMIF(Tank3!$A$32:$A$49, VCU!A187,Tank3!$C$32:$C$49),0))+(IF(Tank4!$C$23="Vapor combustion unit",SUMIF(Tank4!$A$32:$A$49, VCU!A187,Tank4!$C$32:$C$49),0))+(IF(Tank5!$C$23="Vapor combustion unit",SUMIF(Tank5!$A$32:$A$49, VCU!A187,Tank5!$C$32:$C$49),0))+(IF('Loading-drum,tote'!$C$21="Vapor combustion unit",SUMIF('Loading-drum,tote'!$A$31:$A$48, VCU!A187,'Loading-drum,tote'!$F$31:$F$48),0))+(IF('Loading-truck'!$C$21="Vapor combustion unit",SUMIF('Loading-truck'!$A$31:$A$48, VCU!A187,'Loading-truck'!$F$31:$F$48),0))+(IF('Loading-rail'!$C$21="Vapor combustion unit",SUMIF('Loading-rail'!$A$31:$A$48, VCU!A187,'Loading-rail'!$F$31:$F$48),0))</f>
        <v>0</v>
      </c>
      <c r="E187" s="541">
        <f t="shared" ref="E187:E193" si="7">IF(OR(B187="ammonia",B187="hydrogen sulfide"),D187,D187*(1-$C$31))</f>
        <v>0</v>
      </c>
    </row>
    <row r="188" spans="1:5" x14ac:dyDescent="0.25">
      <c r="A188" s="539" t="str">
        <f>'Hidden Inputs'!AN132</f>
        <v/>
      </c>
      <c r="B188" s="1594" t="str">
        <f t="shared" si="6"/>
        <v/>
      </c>
      <c r="C188" s="1594"/>
      <c r="D188" s="544">
        <f>(IF(Tank1!$C$23="Vapor combustion unit",SUMIF(Tank1!$A$32:$A$49,VCU!A188,Tank1!$C$32:$C$49),0))+(IF(Tank2!$C$23="Vapor combustion unit",SUMIF(Tank2!$A$32:$A$49, VCU!A188,Tank2!$C$32:$C$49),0))+(IF(Tank3!$C$23="Vapor combustion unit",SUMIF(Tank3!$A$32:$A$49, VCU!A188,Tank3!$C$32:$C$49),0))+(IF(Tank4!$C$23="Vapor combustion unit",SUMIF(Tank4!$A$32:$A$49, VCU!A188,Tank4!$C$32:$C$49),0))+(IF(Tank5!$C$23="Vapor combustion unit",SUMIF(Tank5!$A$32:$A$49, VCU!A188,Tank5!$C$32:$C$49),0))+(IF('Loading-drum,tote'!$C$21="Vapor combustion unit",SUMIF('Loading-drum,tote'!$A$31:$A$48, VCU!A188,'Loading-drum,tote'!$F$31:$F$48),0))+(IF('Loading-truck'!$C$21="Vapor combustion unit",SUMIF('Loading-truck'!$A$31:$A$48, VCU!A188,'Loading-truck'!$F$31:$F$48),0))+(IF('Loading-rail'!$C$21="Vapor combustion unit",SUMIF('Loading-rail'!$A$31:$A$48, VCU!A188,'Loading-rail'!$F$31:$F$48),0))</f>
        <v>0</v>
      </c>
      <c r="E188" s="541">
        <f t="shared" si="7"/>
        <v>0</v>
      </c>
    </row>
    <row r="189" spans="1:5" x14ac:dyDescent="0.25">
      <c r="A189" s="539" t="str">
        <f>'Hidden Inputs'!AN133</f>
        <v/>
      </c>
      <c r="B189" s="1594" t="str">
        <f t="shared" si="6"/>
        <v/>
      </c>
      <c r="C189" s="1594"/>
      <c r="D189" s="544">
        <f>(IF(Tank1!$C$23="Vapor combustion unit",SUMIF(Tank1!$A$32:$A$49,VCU!A189,Tank1!$C$32:$C$49),0))+(IF(Tank2!$C$23="Vapor combustion unit",SUMIF(Tank2!$A$32:$A$49, VCU!A189,Tank2!$C$32:$C$49),0))+(IF(Tank3!$C$23="Vapor combustion unit",SUMIF(Tank3!$A$32:$A$49, VCU!A189,Tank3!$C$32:$C$49),0))+(IF(Tank4!$C$23="Vapor combustion unit",SUMIF(Tank4!$A$32:$A$49, VCU!A189,Tank4!$C$32:$C$49),0))+(IF(Tank5!$C$23="Vapor combustion unit",SUMIF(Tank5!$A$32:$A$49, VCU!A189,Tank5!$C$32:$C$49),0))+(IF('Loading-drum,tote'!$C$21="Vapor combustion unit",SUMIF('Loading-drum,tote'!$A$31:$A$48, VCU!A189,'Loading-drum,tote'!$F$31:$F$48),0))+(IF('Loading-truck'!$C$21="Vapor combustion unit",SUMIF('Loading-truck'!$A$31:$A$48, VCU!A189,'Loading-truck'!$F$31:$F$48),0))+(IF('Loading-rail'!$C$21="Vapor combustion unit",SUMIF('Loading-rail'!$A$31:$A$48, VCU!A189,'Loading-rail'!$F$31:$F$48),0))</f>
        <v>0</v>
      </c>
      <c r="E189" s="541">
        <f t="shared" si="7"/>
        <v>0</v>
      </c>
    </row>
    <row r="190" spans="1:5" x14ac:dyDescent="0.25">
      <c r="A190" s="539" t="str">
        <f>'Hidden Inputs'!AN134</f>
        <v/>
      </c>
      <c r="B190" s="1594" t="str">
        <f t="shared" si="6"/>
        <v/>
      </c>
      <c r="C190" s="1594"/>
      <c r="D190" s="544">
        <f>(IF(Tank1!$C$23="Vapor combustion unit",SUMIF(Tank1!$A$32:$A$49,VCU!A190,Tank1!$C$32:$C$49),0))+(IF(Tank2!$C$23="Vapor combustion unit",SUMIF(Tank2!$A$32:$A$49, VCU!A190,Tank2!$C$32:$C$49),0))+(IF(Tank3!$C$23="Vapor combustion unit",SUMIF(Tank3!$A$32:$A$49, VCU!A190,Tank3!$C$32:$C$49),0))+(IF(Tank4!$C$23="Vapor combustion unit",SUMIF(Tank4!$A$32:$A$49, VCU!A190,Tank4!$C$32:$C$49),0))+(IF(Tank5!$C$23="Vapor combustion unit",SUMIF(Tank5!$A$32:$A$49, VCU!A190,Tank5!$C$32:$C$49),0))+(IF('Loading-drum,tote'!$C$21="Vapor combustion unit",SUMIF('Loading-drum,tote'!$A$31:$A$48, VCU!A190,'Loading-drum,tote'!$F$31:$F$48),0))+(IF('Loading-truck'!$C$21="Vapor combustion unit",SUMIF('Loading-truck'!$A$31:$A$48, VCU!A190,'Loading-truck'!$F$31:$F$48),0))+(IF('Loading-rail'!$C$21="Vapor combustion unit",SUMIF('Loading-rail'!$A$31:$A$48, VCU!A190,'Loading-rail'!$F$31:$F$48),0))</f>
        <v>0</v>
      </c>
      <c r="E190" s="541">
        <f t="shared" si="7"/>
        <v>0</v>
      </c>
    </row>
    <row r="191" spans="1:5" x14ac:dyDescent="0.25">
      <c r="A191" s="539" t="str">
        <f>'Hidden Inputs'!AN135</f>
        <v/>
      </c>
      <c r="B191" s="1594" t="str">
        <f t="shared" si="6"/>
        <v/>
      </c>
      <c r="C191" s="1594"/>
      <c r="D191" s="544">
        <f>(IF(Tank1!$C$23="Vapor combustion unit",SUMIF(Tank1!$A$32:$A$49,VCU!A191,Tank1!$C$32:$C$49),0))+(IF(Tank2!$C$23="Vapor combustion unit",SUMIF(Tank2!$A$32:$A$49, VCU!A191,Tank2!$C$32:$C$49),0))+(IF(Tank3!$C$23="Vapor combustion unit",SUMIF(Tank3!$A$32:$A$49, VCU!A191,Tank3!$C$32:$C$49),0))+(IF(Tank4!$C$23="Vapor combustion unit",SUMIF(Tank4!$A$32:$A$49, VCU!A191,Tank4!$C$32:$C$49),0))+(IF(Tank5!$C$23="Vapor combustion unit",SUMIF(Tank5!$A$32:$A$49, VCU!A191,Tank5!$C$32:$C$49),0))+(IF('Loading-drum,tote'!$C$21="Vapor combustion unit",SUMIF('Loading-drum,tote'!$A$31:$A$48, VCU!A191,'Loading-drum,tote'!$F$31:$F$48),0))+(IF('Loading-truck'!$C$21="Vapor combustion unit",SUMIF('Loading-truck'!$A$31:$A$48, VCU!A191,'Loading-truck'!$F$31:$F$48),0))+(IF('Loading-rail'!$C$21="Vapor combustion unit",SUMIF('Loading-rail'!$A$31:$A$48, VCU!A191,'Loading-rail'!$F$31:$F$48),0))</f>
        <v>0</v>
      </c>
      <c r="E191" s="541">
        <f t="shared" si="7"/>
        <v>0</v>
      </c>
    </row>
    <row r="192" spans="1:5" x14ac:dyDescent="0.25">
      <c r="A192" s="539" t="str">
        <f>'Hidden Inputs'!AN136</f>
        <v/>
      </c>
      <c r="B192" s="1594" t="str">
        <f t="shared" si="6"/>
        <v/>
      </c>
      <c r="C192" s="1594"/>
      <c r="D192" s="544">
        <f>(IF(Tank1!$C$23="Vapor combustion unit",SUMIF(Tank1!$A$32:$A$49,VCU!A192,Tank1!$C$32:$C$49),0))+(IF(Tank2!$C$23="Vapor combustion unit",SUMIF(Tank2!$A$32:$A$49, VCU!A192,Tank2!$C$32:$C$49),0))+(IF(Tank3!$C$23="Vapor combustion unit",SUMIF(Tank3!$A$32:$A$49, VCU!A192,Tank3!$C$32:$C$49),0))+(IF(Tank4!$C$23="Vapor combustion unit",SUMIF(Tank4!$A$32:$A$49, VCU!A192,Tank4!$C$32:$C$49),0))+(IF(Tank5!$C$23="Vapor combustion unit",SUMIF(Tank5!$A$32:$A$49, VCU!A192,Tank5!$C$32:$C$49),0))+(IF('Loading-drum,tote'!$C$21="Vapor combustion unit",SUMIF('Loading-drum,tote'!$A$31:$A$48, VCU!A192,'Loading-drum,tote'!$F$31:$F$48),0))+(IF('Loading-truck'!$C$21="Vapor combustion unit",SUMIF('Loading-truck'!$A$31:$A$48, VCU!A192,'Loading-truck'!$F$31:$F$48),0))+(IF('Loading-rail'!$C$21="Vapor combustion unit",SUMIF('Loading-rail'!$A$31:$A$48, VCU!A192,'Loading-rail'!$F$31:$F$48),0))</f>
        <v>0</v>
      </c>
      <c r="E192" s="541">
        <f t="shared" si="7"/>
        <v>0</v>
      </c>
    </row>
    <row r="193" spans="1:5" ht="15" thickBot="1" x14ac:dyDescent="0.3">
      <c r="A193" s="718" t="str">
        <f>'Hidden Inputs'!AN137</f>
        <v/>
      </c>
      <c r="B193" s="1601" t="str">
        <f t="shared" si="6"/>
        <v/>
      </c>
      <c r="C193" s="1601"/>
      <c r="D193" s="719">
        <f>(IF(Tank1!$C$23="Vapor combustion unit",SUMIF(Tank1!$A$32:$A$49,VCU!A193,Tank1!$C$32:$C$49),0))+(IF(Tank2!$C$23="Vapor combustion unit",SUMIF(Tank2!$A$32:$A$49, VCU!A193,Tank2!$C$32:$C$49),0))+(IF(Tank3!$C$23="Vapor combustion unit",SUMIF(Tank3!$A$32:$A$49, VCU!A193,Tank3!$C$32:$C$49),0))+(IF(Tank4!$C$23="Vapor combustion unit",SUMIF(Tank4!$A$32:$A$49, VCU!A193,Tank4!$C$32:$C$49),0))+(IF(Tank5!$C$23="Vapor combustion unit",SUMIF(Tank5!$A$32:$A$49, VCU!A193,Tank5!$C$32:$C$49),0))+(IF('Loading-drum,tote'!$C$21="Vapor combustion unit",SUMIF('Loading-drum,tote'!$A$31:$A$48, VCU!A193,'Loading-drum,tote'!$F$31:$F$48),0))+(IF('Loading-truck'!$C$21="Vapor combustion unit",SUMIF('Loading-truck'!$A$31:$A$48, VCU!A193,'Loading-truck'!$F$31:$F$48),0))+(IF('Loading-rail'!$C$21="Vapor combustion unit",SUMIF('Loading-rail'!$A$31:$A$48, VCU!A193,'Loading-rail'!$F$31:$F$48),0))</f>
        <v>0</v>
      </c>
      <c r="E193" s="720">
        <f t="shared" si="7"/>
        <v>0</v>
      </c>
    </row>
    <row r="194" spans="1:5" x14ac:dyDescent="0.25">
      <c r="A194" s="1559" t="s">
        <v>8643</v>
      </c>
      <c r="B194" s="1559"/>
      <c r="C194" s="1559"/>
      <c r="D194" s="1559"/>
      <c r="E194" s="1559"/>
    </row>
  </sheetData>
  <sheetProtection algorithmName="SHA-512" hashValue="wW+UfufOCPLqSbcH0SEnt1hmV6uMZXNvfATa47bAaU8asGKbul/ZBeUJg2H9CxywItjrd01kejKHPFxmegIXxQ==" saltValue="KzJ+3L9f+uURogZUaMz94w==" spinCount="100000" sheet="1" objects="1" scenarios="1" formatColumns="0" formatRows="0" autoFilter="0"/>
  <mergeCells count="231">
    <mergeCell ref="D42:E42"/>
    <mergeCell ref="D43:E43"/>
    <mergeCell ref="A14:E14"/>
    <mergeCell ref="A15:E15"/>
    <mergeCell ref="C44:E44"/>
    <mergeCell ref="C45:E45"/>
    <mergeCell ref="C46:E46"/>
    <mergeCell ref="C47:E47"/>
    <mergeCell ref="A48:E48"/>
    <mergeCell ref="D34:E34"/>
    <mergeCell ref="D35:E35"/>
    <mergeCell ref="D36:E36"/>
    <mergeCell ref="D37:E37"/>
    <mergeCell ref="D38:E38"/>
    <mergeCell ref="D39:E39"/>
    <mergeCell ref="D40:E40"/>
    <mergeCell ref="D41:E41"/>
    <mergeCell ref="D25:E25"/>
    <mergeCell ref="D26:E26"/>
    <mergeCell ref="D27:E27"/>
    <mergeCell ref="D28:E28"/>
    <mergeCell ref="D29:E29"/>
    <mergeCell ref="D30:E30"/>
    <mergeCell ref="D33:E33"/>
    <mergeCell ref="A1:E1"/>
    <mergeCell ref="A2:E2"/>
    <mergeCell ref="A3:E3"/>
    <mergeCell ref="A4:E4"/>
    <mergeCell ref="A5:E5"/>
    <mergeCell ref="A8:B8"/>
    <mergeCell ref="A9:B9"/>
    <mergeCell ref="D31:E31"/>
    <mergeCell ref="D32:E32"/>
    <mergeCell ref="A25:B25"/>
    <mergeCell ref="A26:B26"/>
    <mergeCell ref="A27:B27"/>
    <mergeCell ref="A28:B28"/>
    <mergeCell ref="A29:B29"/>
    <mergeCell ref="A30:B30"/>
    <mergeCell ref="C8:E8"/>
    <mergeCell ref="C9:E9"/>
    <mergeCell ref="C10:E10"/>
    <mergeCell ref="C11:E11"/>
    <mergeCell ref="C12:E12"/>
    <mergeCell ref="C13:E13"/>
    <mergeCell ref="A16:B16"/>
    <mergeCell ref="A17:B17"/>
    <mergeCell ref="A13:B13"/>
    <mergeCell ref="B150:C150"/>
    <mergeCell ref="B151:C151"/>
    <mergeCell ref="B152:C152"/>
    <mergeCell ref="B153:C153"/>
    <mergeCell ref="B154:C154"/>
    <mergeCell ref="B155:C155"/>
    <mergeCell ref="B156:C156"/>
    <mergeCell ref="B141:C141"/>
    <mergeCell ref="B142:C142"/>
    <mergeCell ref="B143:C143"/>
    <mergeCell ref="B144:C144"/>
    <mergeCell ref="B145:C145"/>
    <mergeCell ref="B146:C146"/>
    <mergeCell ref="B147:C147"/>
    <mergeCell ref="B148:C148"/>
    <mergeCell ref="B149:C149"/>
    <mergeCell ref="B185:C185"/>
    <mergeCell ref="B186:C186"/>
    <mergeCell ref="B187:C187"/>
    <mergeCell ref="B175:C175"/>
    <mergeCell ref="B176:C176"/>
    <mergeCell ref="B177:C177"/>
    <mergeCell ref="B174:C174"/>
    <mergeCell ref="B178:C178"/>
    <mergeCell ref="B179:C179"/>
    <mergeCell ref="B180:C180"/>
    <mergeCell ref="B181:C181"/>
    <mergeCell ref="B182:C182"/>
    <mergeCell ref="B183:C183"/>
    <mergeCell ref="B166:C166"/>
    <mergeCell ref="B167:C167"/>
    <mergeCell ref="B168:C168"/>
    <mergeCell ref="B169:C169"/>
    <mergeCell ref="B170:C170"/>
    <mergeCell ref="B171:C171"/>
    <mergeCell ref="B193:C193"/>
    <mergeCell ref="B157:C157"/>
    <mergeCell ref="B158:C158"/>
    <mergeCell ref="B159:C159"/>
    <mergeCell ref="B160:C160"/>
    <mergeCell ref="B161:C161"/>
    <mergeCell ref="B162:C162"/>
    <mergeCell ref="B163:C163"/>
    <mergeCell ref="B164:C164"/>
    <mergeCell ref="B165:C165"/>
    <mergeCell ref="B188:C188"/>
    <mergeCell ref="B189:C189"/>
    <mergeCell ref="B190:C190"/>
    <mergeCell ref="B191:C191"/>
    <mergeCell ref="B192:C192"/>
    <mergeCell ref="B172:C172"/>
    <mergeCell ref="B173:C173"/>
    <mergeCell ref="B184:C184"/>
    <mergeCell ref="B124:C124"/>
    <mergeCell ref="B125:C125"/>
    <mergeCell ref="B126:C126"/>
    <mergeCell ref="B127:C127"/>
    <mergeCell ref="B128:C128"/>
    <mergeCell ref="B129:C129"/>
    <mergeCell ref="B130:C130"/>
    <mergeCell ref="B139:C139"/>
    <mergeCell ref="B140:C140"/>
    <mergeCell ref="B134:C134"/>
    <mergeCell ref="B135:C135"/>
    <mergeCell ref="B136:C136"/>
    <mergeCell ref="B137:C137"/>
    <mergeCell ref="B138:C138"/>
    <mergeCell ref="B115:C115"/>
    <mergeCell ref="B116:C116"/>
    <mergeCell ref="B117:C117"/>
    <mergeCell ref="B118:C118"/>
    <mergeCell ref="B119:C119"/>
    <mergeCell ref="B120:C120"/>
    <mergeCell ref="B121:C121"/>
    <mergeCell ref="B122:C122"/>
    <mergeCell ref="B123:C123"/>
    <mergeCell ref="B106:C106"/>
    <mergeCell ref="B107:C107"/>
    <mergeCell ref="B108:C108"/>
    <mergeCell ref="B109:C109"/>
    <mergeCell ref="B110:C110"/>
    <mergeCell ref="B111:C111"/>
    <mergeCell ref="B112:C112"/>
    <mergeCell ref="B113:C113"/>
    <mergeCell ref="B114:C114"/>
    <mergeCell ref="B97:C97"/>
    <mergeCell ref="B98:C98"/>
    <mergeCell ref="B99:C99"/>
    <mergeCell ref="B100:C100"/>
    <mergeCell ref="B101:C101"/>
    <mergeCell ref="B102:C102"/>
    <mergeCell ref="B103:C103"/>
    <mergeCell ref="B104:C104"/>
    <mergeCell ref="B105:C105"/>
    <mergeCell ref="B88:C88"/>
    <mergeCell ref="B89:C89"/>
    <mergeCell ref="B90:C90"/>
    <mergeCell ref="B91:C91"/>
    <mergeCell ref="B92:C92"/>
    <mergeCell ref="B93:C93"/>
    <mergeCell ref="B94:C94"/>
    <mergeCell ref="B95:C95"/>
    <mergeCell ref="B96:C96"/>
    <mergeCell ref="B79:C79"/>
    <mergeCell ref="B80:C80"/>
    <mergeCell ref="B81:C81"/>
    <mergeCell ref="B82:C82"/>
    <mergeCell ref="B83:C83"/>
    <mergeCell ref="B84:C84"/>
    <mergeCell ref="B85:C85"/>
    <mergeCell ref="B86:C86"/>
    <mergeCell ref="B87:C87"/>
    <mergeCell ref="A194:E194"/>
    <mergeCell ref="A19:B19"/>
    <mergeCell ref="A45:B45"/>
    <mergeCell ref="A46:B46"/>
    <mergeCell ref="A47:B47"/>
    <mergeCell ref="A31:B31"/>
    <mergeCell ref="A32:B32"/>
    <mergeCell ref="A18:B18"/>
    <mergeCell ref="A49:E49"/>
    <mergeCell ref="B73:C73"/>
    <mergeCell ref="B74:C74"/>
    <mergeCell ref="B75:C75"/>
    <mergeCell ref="B76:C76"/>
    <mergeCell ref="B131:C131"/>
    <mergeCell ref="B132:C132"/>
    <mergeCell ref="B133:C133"/>
    <mergeCell ref="B78:C78"/>
    <mergeCell ref="B59:C59"/>
    <mergeCell ref="B60:C60"/>
    <mergeCell ref="B61:C61"/>
    <mergeCell ref="B62:C62"/>
    <mergeCell ref="B63:C63"/>
    <mergeCell ref="B64:C64"/>
    <mergeCell ref="B65:C65"/>
    <mergeCell ref="B70:C70"/>
    <mergeCell ref="B71:C71"/>
    <mergeCell ref="B72:C72"/>
    <mergeCell ref="B77:C77"/>
    <mergeCell ref="B68:C68"/>
    <mergeCell ref="B50:C50"/>
    <mergeCell ref="B51:C51"/>
    <mergeCell ref="B52:C52"/>
    <mergeCell ref="B53:C53"/>
    <mergeCell ref="B54:C54"/>
    <mergeCell ref="B55:C55"/>
    <mergeCell ref="B56:C56"/>
    <mergeCell ref="B57:C57"/>
    <mergeCell ref="B58:C58"/>
    <mergeCell ref="B66:C66"/>
    <mergeCell ref="B67:C67"/>
    <mergeCell ref="B69:C69"/>
    <mergeCell ref="A44:B44"/>
    <mergeCell ref="A43:B43"/>
    <mergeCell ref="A42:B42"/>
    <mergeCell ref="A34:B34"/>
    <mergeCell ref="A35:B35"/>
    <mergeCell ref="A37:B37"/>
    <mergeCell ref="A39:B39"/>
    <mergeCell ref="A41:B41"/>
    <mergeCell ref="A36:B36"/>
    <mergeCell ref="A40:B40"/>
    <mergeCell ref="A6:B6"/>
    <mergeCell ref="A38:B38"/>
    <mergeCell ref="A33:B33"/>
    <mergeCell ref="A24:B24"/>
    <mergeCell ref="A7:E7"/>
    <mergeCell ref="C6:E6"/>
    <mergeCell ref="A10:B10"/>
    <mergeCell ref="A11:B11"/>
    <mergeCell ref="A12:B12"/>
    <mergeCell ref="D16:E16"/>
    <mergeCell ref="D17:E17"/>
    <mergeCell ref="D18:E18"/>
    <mergeCell ref="D19:E19"/>
    <mergeCell ref="D20:E20"/>
    <mergeCell ref="D21:E21"/>
    <mergeCell ref="D22:E22"/>
    <mergeCell ref="D23:E23"/>
    <mergeCell ref="D24:E24"/>
    <mergeCell ref="A20:B20"/>
    <mergeCell ref="A21:B21"/>
  </mergeCells>
  <conditionalFormatting sqref="A26:B29 A30">
    <cfRule type="expression" dxfId="142" priority="14">
      <formula>$C$31="No"</formula>
    </cfRule>
  </conditionalFormatting>
  <conditionalFormatting sqref="A6:C6 A7 A11:C13 A14:A15 A16:D20 A21 C21:D21 A22:D43 A44:C47 A48 A49:E193">
    <cfRule type="expression" dxfId="141" priority="7">
      <formula>$C$8="Affected"</formula>
    </cfRule>
  </conditionalFormatting>
  <conditionalFormatting sqref="A46:C47">
    <cfRule type="expression" dxfId="140" priority="19">
      <formula>$C$45="no"</formula>
    </cfRule>
  </conditionalFormatting>
  <conditionalFormatting sqref="A36:D36">
    <cfRule type="expression" dxfId="137" priority="30">
      <formula>$C$35&lt;&gt;"Vendor data"</formula>
    </cfRule>
  </conditionalFormatting>
  <conditionalFormatting sqref="A38:D38">
    <cfRule type="expression" dxfId="136" priority="4">
      <formula>$C$37=7.6</formula>
    </cfRule>
  </conditionalFormatting>
  <conditionalFormatting sqref="A40:D40">
    <cfRule type="expression" dxfId="135" priority="28">
      <formula>$C$39&lt;&gt;"Vendor data"</formula>
    </cfRule>
  </conditionalFormatting>
  <conditionalFormatting sqref="A42:D42">
    <cfRule type="expression" dxfId="134" priority="18">
      <formula>$C$41&lt;&gt;"Vendor data"</formula>
    </cfRule>
    <cfRule type="expression" dxfId="133" priority="22">
      <formula>$C$41="H2S in waste stream"</formula>
    </cfRule>
  </conditionalFormatting>
  <conditionalFormatting sqref="A7:E7">
    <cfRule type="expression" dxfId="132" priority="1">
      <formula>OR($C$6="yes",$C$6="")</formula>
    </cfRule>
  </conditionalFormatting>
  <conditionalFormatting sqref="A8:E20 A21 C21:E21 A22:E194">
    <cfRule type="expression" dxfId="131" priority="617">
      <formula>$C$6="no"</formula>
    </cfRule>
  </conditionalFormatting>
  <conditionalFormatting sqref="A26:E29">
    <cfRule type="expression" dxfId="130" priority="3">
      <formula>$C$25="no"</formula>
    </cfRule>
  </conditionalFormatting>
  <dataValidations count="30">
    <dataValidation allowBlank="1" showErrorMessage="1" sqref="C32" xr:uid="{D8FB6E9C-5CD8-438A-BA47-DE4AFD823114}"/>
    <dataValidation type="list" operator="greaterThanOrEqual" allowBlank="1" showInputMessage="1" showErrorMessage="1" prompt="Review Section V of the &quot;Instruction&quot; sheet of this workbook for downwash applicability guidance." sqref="C19" xr:uid="{4699E56B-1C07-4F27-A30B-39BFA656FAD1}">
      <formula1>YN</formula1>
    </dataValidation>
    <dataValidation type="list" allowBlank="1" showErrorMessage="1" prompt="select one" sqref="C35" xr:uid="{97ABCCCC-CA8F-4610-BB64-F904334E5C1E}">
      <formula1>"0.1,0.06,Vendor data"</formula1>
    </dataValidation>
    <dataValidation type="list" allowBlank="1" showErrorMessage="1" prompt="select one" sqref="C39" xr:uid="{3C2ADF84-A79B-4304-B5C6-D66BDA5E1315}">
      <formula1>"0.2755 lb per MMBtu,0.5496 lb per MMBtu,84 lb per MMscf,Vendor data"</formula1>
    </dataValidation>
    <dataValidation type="list" allowBlank="1" showErrorMessage="1" prompt="select one" sqref="C25 C6:E6" xr:uid="{1F31DBAF-F363-490C-9D75-A55CDC18C4E9}">
      <formula1>"Yes,No"</formula1>
    </dataValidation>
    <dataValidation type="list" allowBlank="1" showErrorMessage="1" prompt="select one" sqref="C37" xr:uid="{AD93770B-32CE-4345-8347-48DC8B0970AD}">
      <formula1>"7.6,Vendor data"</formula1>
    </dataValidation>
    <dataValidation type="list" allowBlank="1" showErrorMessage="1" prompt="select one" sqref="C41" xr:uid="{1D2BA07D-E573-4817-9C51-774D5D3CCDB9}">
      <formula1>"H2S in waste stream,Vendor data"</formula1>
    </dataValidation>
    <dataValidation type="list" allowBlank="1" showErrorMessage="1" prompt="select one" sqref="C26" xr:uid="{BC87BB7C-338F-4D6D-8D17-EC183F68A2A1}">
      <formula1>"natural gas,fuel gas,combination"</formula1>
    </dataValidation>
    <dataValidation type="decimal" operator="greaterThanOrEqual" allowBlank="1" showErrorMessage="1" error="The minimum acceptable entry is 300." prompt="enter supplemental fuel higher heating value (Btu/scf)" sqref="C28" xr:uid="{2A9774FD-48F6-4021-95A8-E0E2C1DB9984}">
      <formula1>300</formula1>
    </dataValidation>
    <dataValidation type="decimal" operator="greaterThanOrEqual" allowBlank="1" showErrorMessage="1" error="The minimum acceptable entry is 50." prompt="enter distance to property line (ft)" sqref="C17" xr:uid="{824D26E7-F990-446F-9370-5AECCE21E377}">
      <formula1>50</formula1>
    </dataValidation>
    <dataValidation type="decimal" operator="greaterThanOrEqual" allowBlank="1" showErrorMessage="1" error="The minimum acceptable entry is 3." prompt="enter release height (ft)" sqref="C18" xr:uid="{5D8EE9AD-FDDF-4B26-8D73-584624CEC396}">
      <formula1>3</formula1>
    </dataValidation>
    <dataValidation type="decimal" allowBlank="1" showErrorMessage="1" prompt="enter control efficiency (%)" sqref="C31" xr:uid="{5A3AF4B3-6FCA-4972-91AA-31EA8E1A8951}">
      <formula1>0.99</formula1>
      <formula2>0.99999</formula2>
    </dataValidation>
    <dataValidation type="list" allowBlank="1" showErrorMessage="1" prompt="select one" sqref="C8:E8" xr:uid="{1F2E5F11-CA2B-4873-9B7C-53C4ABD69B70}">
      <formula1>"Modified,Affected"</formula1>
    </dataValidation>
    <dataValidation allowBlank="1" showErrorMessage="1" prompt="enter EPN" sqref="C9:E9" xr:uid="{35A613A5-E994-45DF-AC47-BD069E8E80A6}"/>
    <dataValidation allowBlank="1" showErrorMessage="1" prompt="enter source name" sqref="C10:E10" xr:uid="{5955DF4C-809F-463A-AC1E-399F63E3113D}"/>
    <dataValidation type="list" allowBlank="1" showErrorMessage="1" prompt="select UTM zone" sqref="C11:E11" xr:uid="{DE547D67-2E65-47D8-B908-320A236BB2C6}">
      <formula1>Zones</formula1>
    </dataValidation>
    <dataValidation type="decimal" allowBlank="1" showErrorMessage="1" error="Value must be between 205,000 and 795,000 meters." prompt="enter UTM easting (meters)" sqref="C12:E12" xr:uid="{82C8068F-152D-4C46-8E3F-BAE9BC1BF613}">
      <formula1>205000</formula1>
      <formula2>795000</formula2>
    </dataValidation>
    <dataValidation type="decimal" allowBlank="1" showErrorMessage="1" error="Value must be between 2,854,000 and 4,059,000 meters." prompt="enter UTM northing (meters)" sqref="C13:E13" xr:uid="{A97B45CA-4883-44E2-B94E-37A3E2B5C5FD}">
      <formula1>2854000</formula1>
      <formula2>4059000</formula2>
    </dataValidation>
    <dataValidation allowBlank="1" showErrorMessage="1" prompt="enter firing rate (MMBtu/hr)" sqref="C21" xr:uid="{7B043B16-1E0D-4776-93B7-DE38912FF419}"/>
    <dataValidation allowBlank="1" showErrorMessage="1" prompt="enter current maximum annual flow rate of the waste stream (scf/yr)" sqref="C22" xr:uid="{B284E951-0122-4F54-ABFE-6A615D631C7F}"/>
    <dataValidation allowBlank="1" showErrorMessage="1" prompt="enter increase of maximum annual flow rate of the stream (scf/yr)" sqref="C23" xr:uid="{55E9030F-E844-44C8-95F7-14BB3FD929A8}"/>
    <dataValidation allowBlank="1" showErrorMessage="1" prompt="enter supplemental flow rate associated with the project (scf/yr)" sqref="C27" xr:uid="{67919D96-F3F0-4F93-9803-C312AD8AAAE3}"/>
    <dataValidation allowBlank="1" showErrorMessage="1" prompt="enter waste stream heating value (Btu/scf)" sqref="C33" xr:uid="{5718A4E3-CB14-4388-9551-2B64A5B49571}"/>
    <dataValidation allowBlank="1" showErrorMessage="1" prompt="sulfur content of gas stream (mol%)" sqref="C34" xr:uid="{F29EDA40-15A3-480A-8CC8-1BC3875DCF4E}"/>
    <dataValidation allowBlank="1" showErrorMessage="1" prompt="enter vendor NOx emission factor (lb/MMBtu)" sqref="C36" xr:uid="{0DA1772E-BA38-4600-B600-05DBDA84B0EF}"/>
    <dataValidation allowBlank="1" showErrorMessage="1" prompt="enter PM/PM10/PM2.5 emission factor (lb/10^6 scf)" sqref="C38" xr:uid="{1F4172AF-40F7-40EC-A4E0-4046254D603F}"/>
    <dataValidation allowBlank="1" showErrorMessage="1" prompt="enter vendor data CO emission factor (lb/10^6 scf)" sqref="C40" xr:uid="{2C008EFE-1C72-4B9D-BA9C-2BC996869A02}"/>
    <dataValidation allowBlank="1" showErrorMessage="1" prompt="enter vendor SO2 emission factor (lb/10^6 scf)" sqref="C42" xr:uid="{2EF85AE5-BD85-48B2-8B2A-EDDFCC5F8535}"/>
    <dataValidation type="list" allowBlank="1" showErrorMessage="1" prompt="select one" sqref="C47:E47 C45:E45" xr:uid="{77AD8463-B273-47B7-BFF7-C508A80E3097}">
      <formula1>YN</formula1>
    </dataValidation>
    <dataValidation allowBlank="1" showErrorMessage="1" prompt="list units in this project subject to CAM using sheet name identifiers" sqref="C46:E46" xr:uid="{77EA1B17-2E12-46E2-AC58-969C914054F9}"/>
  </dataValidations>
  <printOptions horizontalCentered="1"/>
  <pageMargins left="0.7" right="0.7" top="0.75" bottom="0.75" header="0.3" footer="0.3"/>
  <pageSetup scale="64" fitToHeight="0" orientation="portrait" r:id="rId1"/>
  <headerFooter>
    <oddHeader>&amp;C&amp;"Arial,Regular"Tanks and Loading Increases RAP Application</oddHeader>
    <oddFooter>&amp;LVersion 3.0&amp;CSheet: &amp;A&amp;RPage &amp;P</oddFooter>
  </headerFooter>
  <extLst>
    <ext xmlns:x14="http://schemas.microsoft.com/office/spreadsheetml/2009/9/main" uri="{78C0D931-6437-407d-A8EE-F0AAD7539E65}">
      <x14:conditionalFormattings>
        <x14:conditionalFormatting xmlns:xm="http://schemas.microsoft.com/office/excel/2006/main">
          <x14:cfRule type="expression" priority="521" id="{70D6E7B3-B596-4CD8-A1C6-6392B19E34D6}">
            <xm:f>'PI-1-TankLoading'!$G$107="No"</xm:f>
            <x14:dxf>
              <font>
                <color theme="0" tint="-0.24994659260841701"/>
              </font>
              <numFmt numFmtId="171" formatCode=";;;"/>
              <fill>
                <patternFill>
                  <bgColor theme="0" tint="-0.499984740745262"/>
                </patternFill>
              </fill>
              <border>
                <left/>
                <right/>
                <top/>
                <bottom/>
              </border>
            </x14:dxf>
          </x14:cfRule>
          <xm:sqref>A1:A8 F1:XFD1048576 A6:C6 C8 A9:C13 A14:A15 A16:D20 A21 C21:D21 A22:D32 A33 C33:D33 A34:D43 A44:C47 A48 A49:E1048576</xm:sqref>
        </x14:conditionalFormatting>
        <x14:conditionalFormatting xmlns:xm="http://schemas.microsoft.com/office/excel/2006/main">
          <x14:cfRule type="expression" priority="46" id="{B756EC96-32DB-40F5-8FC1-ABA2C51EE1C7}">
            <xm:f>'PI-1-TankLoading'!$D$86="Gasoline Terminal"</xm:f>
            <x14:dxf>
              <font>
                <color theme="0" tint="-0.24994659260841701"/>
              </font>
              <numFmt numFmtId="171" formatCode=";;;"/>
              <fill>
                <patternFill>
                  <bgColor theme="0" tint="-0.499984740745262"/>
                </patternFill>
              </fill>
            </x14:dxf>
          </x14:cfRule>
          <xm:sqref>A31:D31</xm:sqref>
        </x14:conditionalFormatting>
        <x14:conditionalFormatting xmlns:xm="http://schemas.microsoft.com/office/excel/2006/main">
          <x14:cfRule type="expression" priority="47" id="{CF2F7D03-2402-4CEC-A693-FE09F0800EF0}">
            <xm:f>OR('PI-1-TankLoading'!$D$86="Chemical Plant",'PI-1-TankLoading'!$D$86="Refinery",'PI-1-TankLoading'!$D$86="Terminal")</xm:f>
            <x14:dxf>
              <font>
                <color theme="0" tint="-0.24994659260841701"/>
              </font>
              <numFmt numFmtId="171" formatCode=";;;"/>
              <fill>
                <patternFill>
                  <bgColor theme="0" tint="-0.499984740745262"/>
                </patternFill>
              </fill>
              <border>
                <left/>
                <right/>
                <top/>
                <bottom/>
              </border>
            </x14:dxf>
          </x14:cfRule>
          <xm:sqref>A32:D32 A33 C33:D33</xm:sqref>
        </x14:conditionalFormatting>
        <x14:conditionalFormatting xmlns:xm="http://schemas.microsoft.com/office/excel/2006/main">
          <x14:cfRule type="expression" priority="8" stopIfTrue="1" id="{EC9006EB-4CD2-4167-9D08-7665C996B6F2}">
            <xm:f>'Hidden Inputs'!$BR$5</xm:f>
            <x14:dxf>
              <font>
                <color theme="0" tint="-0.499984740745262"/>
              </font>
              <numFmt numFmtId="171" formatCode=";;;"/>
              <fill>
                <patternFill>
                  <bgColor theme="0" tint="-0.499984740745262"/>
                </patternFill>
              </fill>
              <border>
                <left/>
                <right/>
                <top/>
                <bottom/>
              </border>
            </x14:dxf>
          </x14:cfRule>
          <xm:sqref>A1:XFD20 A21 C21:XFD21 A22:XFD1048576</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01317-520B-40F4-A88E-113D4E99FED5}">
  <sheetPr codeName="Sheet17">
    <tabColor rgb="FFFFFFCC"/>
  </sheetPr>
  <dimension ref="A1:F168"/>
  <sheetViews>
    <sheetView workbookViewId="0">
      <selection sqref="A1:E1"/>
    </sheetView>
  </sheetViews>
  <sheetFormatPr defaultColWidth="0" defaultRowHeight="14.25" zeroHeight="1" x14ac:dyDescent="0.25"/>
  <cols>
    <col min="1" max="1" width="21.28515625" style="466" customWidth="1"/>
    <col min="2" max="2" width="48.5703125" style="466" customWidth="1"/>
    <col min="3" max="3" width="21.85546875" style="466" bestFit="1" customWidth="1"/>
    <col min="4" max="4" width="24.5703125" style="466" bestFit="1" customWidth="1"/>
    <col min="5" max="5" width="26.28515625" style="466" customWidth="1"/>
    <col min="6" max="6" width="0" style="466" hidden="1" customWidth="1"/>
    <col min="7" max="16384" width="9.140625" style="466" hidden="1"/>
  </cols>
  <sheetData>
    <row r="1" spans="1:5" ht="6" customHeight="1" thickBot="1" x14ac:dyDescent="0.3">
      <c r="A1" s="1623" t="s">
        <v>8392</v>
      </c>
      <c r="B1" s="1623"/>
      <c r="C1" s="1623"/>
      <c r="D1" s="1623"/>
      <c r="E1" s="1623"/>
    </row>
    <row r="2" spans="1:5" ht="18.75" thickBot="1" x14ac:dyDescent="0.3">
      <c r="A2" s="1436" t="s">
        <v>8546</v>
      </c>
      <c r="B2" s="1437"/>
      <c r="C2" s="1437"/>
      <c r="D2" s="1437"/>
      <c r="E2" s="1438"/>
    </row>
    <row r="3" spans="1:5" ht="76.5" customHeight="1" thickBot="1" x14ac:dyDescent="0.3">
      <c r="A3" s="1620" t="s">
        <v>10029</v>
      </c>
      <c r="B3" s="1621"/>
      <c r="C3" s="1621"/>
      <c r="D3" s="1621"/>
      <c r="E3" s="1622"/>
    </row>
    <row r="4" spans="1:5" ht="15.75" thickBot="1" x14ac:dyDescent="0.3">
      <c r="A4" s="1574" t="s">
        <v>8567</v>
      </c>
      <c r="B4" s="1574"/>
      <c r="C4" s="1574"/>
      <c r="D4" s="1574"/>
      <c r="E4" s="1574"/>
    </row>
    <row r="5" spans="1:5" ht="15.75" thickBot="1" x14ac:dyDescent="0.3">
      <c r="A5" s="1248" t="s">
        <v>8575</v>
      </c>
      <c r="B5" s="1249"/>
      <c r="C5" s="1249"/>
      <c r="D5" s="1249"/>
      <c r="E5" s="1250"/>
    </row>
    <row r="6" spans="1:5" ht="15" customHeight="1" x14ac:dyDescent="0.25">
      <c r="A6" s="1516" t="s">
        <v>10125</v>
      </c>
      <c r="B6" s="1517"/>
      <c r="C6" s="1518"/>
      <c r="D6" s="1518"/>
      <c r="E6" s="1519"/>
    </row>
    <row r="7" spans="1:5" x14ac:dyDescent="0.25">
      <c r="A7" s="1434" t="s">
        <v>8583</v>
      </c>
      <c r="B7" s="1435"/>
      <c r="C7" s="1456"/>
      <c r="D7" s="1499"/>
      <c r="E7" s="1500"/>
    </row>
    <row r="8" spans="1:5" x14ac:dyDescent="0.25">
      <c r="A8" s="1434" t="s">
        <v>8584</v>
      </c>
      <c r="B8" s="1435"/>
      <c r="C8" s="1456"/>
      <c r="D8" s="1499"/>
      <c r="E8" s="1500"/>
    </row>
    <row r="9" spans="1:5" x14ac:dyDescent="0.25">
      <c r="A9" s="1153" t="s">
        <v>8576</v>
      </c>
      <c r="B9" s="1154"/>
      <c r="C9" s="1423"/>
      <c r="D9" s="1423"/>
      <c r="E9" s="1424"/>
    </row>
    <row r="10" spans="1:5" x14ac:dyDescent="0.25">
      <c r="A10" s="1402" t="s">
        <v>8577</v>
      </c>
      <c r="B10" s="1403"/>
      <c r="C10" s="1423"/>
      <c r="D10" s="1423"/>
      <c r="E10" s="1424"/>
    </row>
    <row r="11" spans="1:5" ht="15.75" customHeight="1" thickBot="1" x14ac:dyDescent="0.3">
      <c r="A11" s="1406" t="s">
        <v>8578</v>
      </c>
      <c r="B11" s="1407"/>
      <c r="C11" s="1425"/>
      <c r="D11" s="1425"/>
      <c r="E11" s="1426"/>
    </row>
    <row r="12" spans="1:5" ht="15.75" thickBot="1" x14ac:dyDescent="0.3">
      <c r="A12" s="1574" t="s">
        <v>8567</v>
      </c>
      <c r="B12" s="1574"/>
      <c r="C12" s="1574"/>
      <c r="D12" s="1574"/>
      <c r="E12" s="1574"/>
    </row>
    <row r="13" spans="1:5" ht="15.75" thickBot="1" x14ac:dyDescent="0.3">
      <c r="A13" s="1248" t="s">
        <v>8581</v>
      </c>
      <c r="B13" s="1249"/>
      <c r="C13" s="1249"/>
      <c r="D13" s="1249"/>
      <c r="E13" s="1250"/>
    </row>
    <row r="14" spans="1:5" ht="15" x14ac:dyDescent="0.25">
      <c r="A14" s="1535" t="s">
        <v>8735</v>
      </c>
      <c r="B14" s="1536"/>
      <c r="C14" s="741" t="s">
        <v>8580</v>
      </c>
      <c r="D14" s="1536" t="s">
        <v>8645</v>
      </c>
      <c r="E14" s="1554"/>
    </row>
    <row r="15" spans="1:5" x14ac:dyDescent="0.25">
      <c r="A15" s="1514" t="s">
        <v>277</v>
      </c>
      <c r="B15" s="1515"/>
      <c r="C15" s="738"/>
      <c r="D15" s="1154">
        <v>50</v>
      </c>
      <c r="E15" s="1567"/>
    </row>
    <row r="16" spans="1:5" x14ac:dyDescent="0.25">
      <c r="A16" s="1514" t="s">
        <v>4</v>
      </c>
      <c r="B16" s="1515"/>
      <c r="C16" s="738"/>
      <c r="D16" s="1154">
        <v>3</v>
      </c>
      <c r="E16" s="1567"/>
    </row>
    <row r="17" spans="1:5" ht="15" thickBot="1" x14ac:dyDescent="0.25">
      <c r="A17" s="1418" t="s">
        <v>8629</v>
      </c>
      <c r="B17" s="1419"/>
      <c r="C17" s="771"/>
      <c r="D17" s="1419"/>
      <c r="E17" s="1491"/>
    </row>
    <row r="18" spans="1:5" ht="15" x14ac:dyDescent="0.25">
      <c r="A18" s="1619" t="s">
        <v>8900</v>
      </c>
      <c r="B18" s="1612"/>
      <c r="C18" s="749" t="s">
        <v>8580</v>
      </c>
      <c r="D18" s="1563" t="s">
        <v>8645</v>
      </c>
      <c r="E18" s="1564"/>
    </row>
    <row r="19" spans="1:5" ht="18.75" customHeight="1" x14ac:dyDescent="0.25">
      <c r="A19" s="1591" t="s">
        <v>8539</v>
      </c>
      <c r="B19" s="1592"/>
      <c r="C19" s="527"/>
      <c r="D19" s="1565"/>
      <c r="E19" s="1566"/>
    </row>
    <row r="20" spans="1:5" x14ac:dyDescent="0.25">
      <c r="A20" s="1514" t="s">
        <v>8829</v>
      </c>
      <c r="B20" s="1515"/>
      <c r="C20" s="738"/>
      <c r="D20" s="1154" t="s">
        <v>8384</v>
      </c>
      <c r="E20" s="1567"/>
    </row>
    <row r="21" spans="1:5" x14ac:dyDescent="0.25">
      <c r="A21" s="1616" t="s">
        <v>10248</v>
      </c>
      <c r="B21" s="1515"/>
      <c r="C21" s="738"/>
      <c r="D21" s="1154"/>
      <c r="E21" s="1567"/>
    </row>
    <row r="22" spans="1:5" x14ac:dyDescent="0.25">
      <c r="A22" s="1514" t="s">
        <v>8358</v>
      </c>
      <c r="B22" s="1515"/>
      <c r="C22" s="546"/>
      <c r="D22" s="1602" t="s">
        <v>10060</v>
      </c>
      <c r="E22" s="1603"/>
    </row>
    <row r="23" spans="1:5" ht="16.5" customHeight="1" thickBot="1" x14ac:dyDescent="0.3">
      <c r="A23" s="1617" t="s">
        <v>8991</v>
      </c>
      <c r="B23" s="1618"/>
      <c r="C23" s="739"/>
      <c r="D23" s="1156" t="s">
        <v>8899</v>
      </c>
      <c r="E23" s="1624"/>
    </row>
    <row r="24" spans="1:5" ht="15" customHeight="1" x14ac:dyDescent="0.25">
      <c r="A24" s="1588" t="s">
        <v>8748</v>
      </c>
      <c r="B24" s="1563"/>
      <c r="C24" s="1563" t="s">
        <v>9687</v>
      </c>
      <c r="D24" s="1563"/>
      <c r="E24" s="1564"/>
    </row>
    <row r="25" spans="1:5" x14ac:dyDescent="0.25">
      <c r="A25" s="1591" t="s">
        <v>8552</v>
      </c>
      <c r="B25" s="1592"/>
      <c r="C25" s="1555"/>
      <c r="D25" s="1555"/>
      <c r="E25" s="1556"/>
    </row>
    <row r="26" spans="1:5" ht="42.75" customHeight="1" x14ac:dyDescent="0.25">
      <c r="A26" s="1598" t="s">
        <v>10087</v>
      </c>
      <c r="B26" s="1592"/>
      <c r="C26" s="1610"/>
      <c r="D26" s="1610"/>
      <c r="E26" s="1611"/>
    </row>
    <row r="27" spans="1:5" ht="15.75" customHeight="1" thickBot="1" x14ac:dyDescent="0.3">
      <c r="A27" s="1599" t="s">
        <v>8553</v>
      </c>
      <c r="B27" s="1600"/>
      <c r="C27" s="1532"/>
      <c r="D27" s="1533"/>
      <c r="E27" s="1534"/>
    </row>
    <row r="28" spans="1:5" ht="15.75" thickBot="1" x14ac:dyDescent="0.3">
      <c r="A28" s="1553" t="s">
        <v>8567</v>
      </c>
      <c r="B28" s="1553"/>
      <c r="C28" s="1553"/>
      <c r="D28" s="1553"/>
      <c r="E28" s="1553"/>
    </row>
    <row r="29" spans="1:5" ht="15.75" thickBot="1" x14ac:dyDescent="0.3">
      <c r="A29" s="1411" t="s">
        <v>8975</v>
      </c>
      <c r="B29" s="1412"/>
      <c r="C29" s="1412"/>
      <c r="D29" s="1412"/>
      <c r="E29" s="1413"/>
    </row>
    <row r="30" spans="1:5" ht="45" customHeight="1" x14ac:dyDescent="0.25">
      <c r="A30" s="441" t="s">
        <v>8353</v>
      </c>
      <c r="B30" s="1614" t="s">
        <v>2</v>
      </c>
      <c r="C30" s="1614"/>
      <c r="D30" s="442" t="s">
        <v>10062</v>
      </c>
      <c r="E30" s="444" t="s">
        <v>10063</v>
      </c>
    </row>
    <row r="31" spans="1:5" x14ac:dyDescent="0.25">
      <c r="A31" s="486" t="s">
        <v>3</v>
      </c>
      <c r="B31" s="1615" t="s">
        <v>10118</v>
      </c>
      <c r="C31" s="1592"/>
      <c r="D31" s="800">
        <f>(IF(
Tank1!$C$23="Carbon adsorption system",SUMIF(Tank1!$A$32:$A$49,CAS!A31,Tank1!$C$32:$C$49),0))+(
IF(Tank2!$C$23="Carbon adsorption system",SUMIF(Tank2!$A$32:$A$49, CAS!A31,Tank2!$C$32:$C$49),0))+(
IF(Tank3!$C$23="Carbon adsorption system",SUMIF(Tank3!$A$32:$A$49, CAS!A31,Tank3!$C$32:$C$49),0))+(
IF(Tank4!$C$23="Carbon adsorption system",SUMIF(Tank4!$A$32:$A$49, CAS!A31,Tank4!$C$32:$C$49),0))+(
IF(Tank5!$C$23="Carbon adsorption system",SUMIF(Tank5!$A$32:$A$49, CAS!A31,Tank5!$C$32:$C$49),0))+(
IF('Loading-drum,tote'!$C$21="Carbon adsorption system",SUMIF('Loading-drum,tote'!$A$31:$A$48, CAS!A31,'Loading-drum,tote'!$F$31:$F$48),0))+(
IF('Loading-truck'!$C$21="Carbon adsorption system",SUMIF('Loading-truck'!$A$31:$A$48, CAS!A31,'Loading-truck'!$F$31:$F$48),0))+(
IF('Loading-rail'!$C$21="Carbon adsorption system",SUMIF('Loading-rail'!$A$31:$A$48, CAS!A31,'Loading-rail'!$F$31:$F$48),0))</f>
        <v>0</v>
      </c>
      <c r="E31" s="801">
        <f>D31*(1-$C$22)</f>
        <v>0</v>
      </c>
    </row>
    <row r="32" spans="1:5" x14ac:dyDescent="0.25">
      <c r="A32" s="539" t="str">
        <f>'Hidden Inputs'!AO2</f>
        <v/>
      </c>
      <c r="B32" s="1592" t="str">
        <f>IFERROR(VLOOKUP(A32, SpeciesDataTable,2,FALSE),"")</f>
        <v/>
      </c>
      <c r="C32" s="1592"/>
      <c r="D32" s="800">
        <f>(IF(
Tank1!$C$23="Carbon adsorption system",SUMIF(Tank1!$A$32:$A$49,CAS!A32,Tank1!$C$32:$C$49),0))+(
IF(Tank2!$C$23="Carbon adsorption system",SUMIF(Tank2!$A$32:$A$49, CAS!A32,Tank2!$C$32:$C$49),0))+(
IF(Tank3!$C$23="Carbon adsorption system",SUMIF(Tank3!$A$32:$A$49, CAS!A32,Tank3!$C$32:$C$49),0))+(
IF(Tank4!$C$23="Carbon adsorption system",SUMIF(Tank4!$A$32:$A$49, CAS!A32,Tank4!$C$32:$C$49),0))+(
IF(Tank5!$C$23="Carbon adsorption system",SUMIF(Tank5!$A$32:$A$49, CAS!A32,Tank5!$C$32:$C$49),0))+(
IF('Loading-drum,tote'!$C$21="Carbon adsorption system",SUMIF('Loading-drum,tote'!$A$31:$A$48, CAS!A32,'Loading-drum,tote'!$F$31:$F$48),0))+(
IF('Loading-truck'!$C$21="Carbon adsorption system",SUMIF('Loading-truck'!$A$31:$A$48, CAS!A32,'Loading-truck'!$F$31:$F$48),0))+(
IF('Loading-rail'!$C$21="Carbon adsorption system",SUMIF('Loading-rail'!$A$31:$A$48, CAS!A32,'Loading-rail'!$F$31:$F$48),0))</f>
        <v>0</v>
      </c>
      <c r="E32" s="801">
        <f>IF(OR(B32="ammonia",B32="hydrogen sulfide"),D32,D32*(1-$C$22))</f>
        <v>0</v>
      </c>
    </row>
    <row r="33" spans="1:5" x14ac:dyDescent="0.25">
      <c r="A33" s="539" t="str">
        <f>'Hidden Inputs'!AO3</f>
        <v/>
      </c>
      <c r="B33" s="1592" t="str">
        <f t="shared" ref="B33:B63" si="0">IFERROR(VLOOKUP(A33, SpeciesDataTable,2,FALSE),"")</f>
        <v/>
      </c>
      <c r="C33" s="1592"/>
      <c r="D33" s="800">
        <f>(IF(
Tank1!$C$23="Carbon adsorption system",SUMIF(Tank1!$A$32:$A$49,CAS!A33,Tank1!$C$32:$C$49),0))+(
IF(Tank2!$C$23="Carbon adsorption system",SUMIF(Tank2!$A$32:$A$49, CAS!A33,Tank2!$C$32:$C$49),0))+(
IF(Tank3!$C$23="Carbon adsorption system",SUMIF(Tank3!$A$32:$A$49, CAS!A33,Tank3!$C$32:$C$49),0))+(
IF(Tank4!$C$23="Carbon adsorption system",SUMIF(Tank4!$A$32:$A$49, CAS!A33,Tank4!$C$32:$C$49),0))+(
IF(Tank5!$C$23="Carbon adsorption system",SUMIF(Tank5!$A$32:$A$49, CAS!A33,Tank5!$C$32:$C$49),0))+(
IF('Loading-drum,tote'!$C$21="Carbon adsorption system",SUMIF('Loading-drum,tote'!$A$31:$A$48, CAS!A33,'Loading-drum,tote'!$F$31:$F$48),0))+(
IF('Loading-truck'!$C$21="Carbon adsorption system",SUMIF('Loading-truck'!$A$31:$A$48, CAS!A33,'Loading-truck'!$F$31:$F$48),0))+(
IF('Loading-rail'!$C$21="Carbon adsorption system",SUMIF('Loading-rail'!$A$31:$A$48, CAS!A33,'Loading-rail'!$F$31:$F$48),0))</f>
        <v>0</v>
      </c>
      <c r="E33" s="801">
        <f t="shared" ref="E33:E96" si="1">IF(OR(B33="ammonia",B33="hydrogen sulfide"),D33,D33*(1-$C$22))</f>
        <v>0</v>
      </c>
    </row>
    <row r="34" spans="1:5" x14ac:dyDescent="0.25">
      <c r="A34" s="539" t="str">
        <f>'Hidden Inputs'!AO4</f>
        <v/>
      </c>
      <c r="B34" s="1592" t="str">
        <f t="shared" si="0"/>
        <v/>
      </c>
      <c r="C34" s="1592"/>
      <c r="D34" s="800">
        <f>(IF(
Tank1!$C$23="Carbon adsorption system",SUMIF(Tank1!$A$32:$A$49,CAS!A34,Tank1!$C$32:$C$49),0))+(
IF(Tank2!$C$23="Carbon adsorption system",SUMIF(Tank2!$A$32:$A$49, CAS!A34,Tank2!$C$32:$C$49),0))+(
IF(Tank3!$C$23="Carbon adsorption system",SUMIF(Tank3!$A$32:$A$49, CAS!A34,Tank3!$C$32:$C$49),0))+(
IF(Tank4!$C$23="Carbon adsorption system",SUMIF(Tank4!$A$32:$A$49, CAS!A34,Tank4!$C$32:$C$49),0))+(
IF(Tank5!$C$23="Carbon adsorption system",SUMIF(Tank5!$A$32:$A$49, CAS!A34,Tank5!$C$32:$C$49),0))+(
IF('Loading-drum,tote'!$C$21="Carbon adsorption system",SUMIF('Loading-drum,tote'!$A$31:$A$48, CAS!A34,'Loading-drum,tote'!$F$31:$F$48),0))+(
IF('Loading-truck'!$C$21="Carbon adsorption system",SUMIF('Loading-truck'!$A$31:$A$48, CAS!A34,'Loading-truck'!$F$31:$F$48),0))+(
IF('Loading-rail'!$C$21="Carbon adsorption system",SUMIF('Loading-rail'!$A$31:$A$48, CAS!A34,'Loading-rail'!$F$31:$F$48),0))</f>
        <v>0</v>
      </c>
      <c r="E34" s="801">
        <f t="shared" si="1"/>
        <v>0</v>
      </c>
    </row>
    <row r="35" spans="1:5" x14ac:dyDescent="0.25">
      <c r="A35" s="539" t="str">
        <f>'Hidden Inputs'!AO5</f>
        <v/>
      </c>
      <c r="B35" s="1592" t="str">
        <f t="shared" si="0"/>
        <v/>
      </c>
      <c r="C35" s="1592"/>
      <c r="D35" s="800">
        <f>(IF(
Tank1!$C$23="Carbon adsorption system",SUMIF(Tank1!$A$32:$A$49,CAS!A35,Tank1!$C$32:$C$49),0))+(
IF(Tank2!$C$23="Carbon adsorption system",SUMIF(Tank2!$A$32:$A$49, CAS!A35,Tank2!$C$32:$C$49),0))+(
IF(Tank3!$C$23="Carbon adsorption system",SUMIF(Tank3!$A$32:$A$49, CAS!A35,Tank3!$C$32:$C$49),0))+(
IF(Tank4!$C$23="Carbon adsorption system",SUMIF(Tank4!$A$32:$A$49, CAS!A35,Tank4!$C$32:$C$49),0))+(
IF(Tank5!$C$23="Carbon adsorption system",SUMIF(Tank5!$A$32:$A$49, CAS!A35,Tank5!$C$32:$C$49),0))+(
IF('Loading-drum,tote'!$C$21="Carbon adsorption system",SUMIF('Loading-drum,tote'!$A$31:$A$48, CAS!A35,'Loading-drum,tote'!$F$31:$F$48),0))+(
IF('Loading-truck'!$C$21="Carbon adsorption system",SUMIF('Loading-truck'!$A$31:$A$48, CAS!A35,'Loading-truck'!$F$31:$F$48),0))+(
IF('Loading-rail'!$C$21="Carbon adsorption system",SUMIF('Loading-rail'!$A$31:$A$48, CAS!A35,'Loading-rail'!$F$31:$F$48),0))</f>
        <v>0</v>
      </c>
      <c r="E35" s="801">
        <f t="shared" si="1"/>
        <v>0</v>
      </c>
    </row>
    <row r="36" spans="1:5" x14ac:dyDescent="0.25">
      <c r="A36" s="539" t="str">
        <f>'Hidden Inputs'!AO6</f>
        <v/>
      </c>
      <c r="B36" s="1592" t="str">
        <f t="shared" si="0"/>
        <v/>
      </c>
      <c r="C36" s="1592"/>
      <c r="D36" s="800">
        <f>(IF(
Tank1!$C$23="Carbon adsorption system",SUMIF(Tank1!$A$32:$A$49,CAS!A36,Tank1!$C$32:$C$49),0))+(
IF(Tank2!$C$23="Carbon adsorption system",SUMIF(Tank2!$A$32:$A$49, CAS!A36,Tank2!$C$32:$C$49),0))+(
IF(Tank3!$C$23="Carbon adsorption system",SUMIF(Tank3!$A$32:$A$49, CAS!A36,Tank3!$C$32:$C$49),0))+(
IF(Tank4!$C$23="Carbon adsorption system",SUMIF(Tank4!$A$32:$A$49, CAS!A36,Tank4!$C$32:$C$49),0))+(
IF(Tank5!$C$23="Carbon adsorption system",SUMIF(Tank5!$A$32:$A$49, CAS!A36,Tank5!$C$32:$C$49),0))+(
IF('Loading-drum,tote'!$C$21="Carbon adsorption system",SUMIF('Loading-drum,tote'!$A$31:$A$48, CAS!A36,'Loading-drum,tote'!$F$31:$F$48),0))+(
IF('Loading-truck'!$C$21="Carbon adsorption system",SUMIF('Loading-truck'!$A$31:$A$48, CAS!A36,'Loading-truck'!$F$31:$F$48),0))+(
IF('Loading-rail'!$C$21="Carbon adsorption system",SUMIF('Loading-rail'!$A$31:$A$48, CAS!A36,'Loading-rail'!$F$31:$F$48),0))</f>
        <v>0</v>
      </c>
      <c r="E36" s="801">
        <f t="shared" si="1"/>
        <v>0</v>
      </c>
    </row>
    <row r="37" spans="1:5" x14ac:dyDescent="0.25">
      <c r="A37" s="539" t="str">
        <f>'Hidden Inputs'!AO7</f>
        <v/>
      </c>
      <c r="B37" s="1592" t="str">
        <f t="shared" si="0"/>
        <v/>
      </c>
      <c r="C37" s="1592"/>
      <c r="D37" s="800">
        <f>(IF(
Tank1!$C$23="Carbon adsorption system",SUMIF(Tank1!$A$32:$A$49,CAS!A37,Tank1!$C$32:$C$49),0))+(
IF(Tank2!$C$23="Carbon adsorption system",SUMIF(Tank2!$A$32:$A$49, CAS!A37,Tank2!$C$32:$C$49),0))+(
IF(Tank3!$C$23="Carbon adsorption system",SUMIF(Tank3!$A$32:$A$49, CAS!A37,Tank3!$C$32:$C$49),0))+(
IF(Tank4!$C$23="Carbon adsorption system",SUMIF(Tank4!$A$32:$A$49, CAS!A37,Tank4!$C$32:$C$49),0))+(
IF(Tank5!$C$23="Carbon adsorption system",SUMIF(Tank5!$A$32:$A$49, CAS!A37,Tank5!$C$32:$C$49),0))+(
IF('Loading-drum,tote'!$C$21="Carbon adsorption system",SUMIF('Loading-drum,tote'!$A$31:$A$48, CAS!A37,'Loading-drum,tote'!$F$31:$F$48),0))+(
IF('Loading-truck'!$C$21="Carbon adsorption system",SUMIF('Loading-truck'!$A$31:$A$48, CAS!A37,'Loading-truck'!$F$31:$F$48),0))+(
IF('Loading-rail'!$C$21="Carbon adsorption system",SUMIF('Loading-rail'!$A$31:$A$48, CAS!A37,'Loading-rail'!$F$31:$F$48),0))</f>
        <v>0</v>
      </c>
      <c r="E37" s="801">
        <f t="shared" si="1"/>
        <v>0</v>
      </c>
    </row>
    <row r="38" spans="1:5" x14ac:dyDescent="0.25">
      <c r="A38" s="539" t="str">
        <f>'Hidden Inputs'!AO8</f>
        <v/>
      </c>
      <c r="B38" s="1592" t="str">
        <f t="shared" si="0"/>
        <v/>
      </c>
      <c r="C38" s="1592"/>
      <c r="D38" s="800">
        <f>(IF(
Tank1!$C$23="Carbon adsorption system",SUMIF(Tank1!$A$32:$A$49,CAS!A38,Tank1!$C$32:$C$49),0))+(
IF(Tank2!$C$23="Carbon adsorption system",SUMIF(Tank2!$A$32:$A$49, CAS!A38,Tank2!$C$32:$C$49),0))+(
IF(Tank3!$C$23="Carbon adsorption system",SUMIF(Tank3!$A$32:$A$49, CAS!A38,Tank3!$C$32:$C$49),0))+(
IF(Tank4!$C$23="Carbon adsorption system",SUMIF(Tank4!$A$32:$A$49, CAS!A38,Tank4!$C$32:$C$49),0))+(
IF(Tank5!$C$23="Carbon adsorption system",SUMIF(Tank5!$A$32:$A$49, CAS!A38,Tank5!$C$32:$C$49),0))+(
IF('Loading-drum,tote'!$C$21="Carbon adsorption system",SUMIF('Loading-drum,tote'!$A$31:$A$48, CAS!A38,'Loading-drum,tote'!$F$31:$F$48),0))+(
IF('Loading-truck'!$C$21="Carbon adsorption system",SUMIF('Loading-truck'!$A$31:$A$48, CAS!A38,'Loading-truck'!$F$31:$F$48),0))+(
IF('Loading-rail'!$C$21="Carbon adsorption system",SUMIF('Loading-rail'!$A$31:$A$48, CAS!A38,'Loading-rail'!$F$31:$F$48),0))</f>
        <v>0</v>
      </c>
      <c r="E38" s="801">
        <f t="shared" si="1"/>
        <v>0</v>
      </c>
    </row>
    <row r="39" spans="1:5" x14ac:dyDescent="0.25">
      <c r="A39" s="539" t="str">
        <f>'Hidden Inputs'!AO9</f>
        <v/>
      </c>
      <c r="B39" s="1592" t="str">
        <f t="shared" si="0"/>
        <v/>
      </c>
      <c r="C39" s="1592"/>
      <c r="D39" s="800">
        <f>(IF(
Tank1!$C$23="Carbon adsorption system",SUMIF(Tank1!$A$32:$A$49,CAS!A39,Tank1!$C$32:$C$49),0))+(
IF(Tank2!$C$23="Carbon adsorption system",SUMIF(Tank2!$A$32:$A$49, CAS!A39,Tank2!$C$32:$C$49),0))+(
IF(Tank3!$C$23="Carbon adsorption system",SUMIF(Tank3!$A$32:$A$49, CAS!A39,Tank3!$C$32:$C$49),0))+(
IF(Tank4!$C$23="Carbon adsorption system",SUMIF(Tank4!$A$32:$A$49, CAS!A39,Tank4!$C$32:$C$49),0))+(
IF(Tank5!$C$23="Carbon adsorption system",SUMIF(Tank5!$A$32:$A$49, CAS!A39,Tank5!$C$32:$C$49),0))+(
IF('Loading-drum,tote'!$C$21="Carbon adsorption system",SUMIF('Loading-drum,tote'!$A$31:$A$48, CAS!A39,'Loading-drum,tote'!$F$31:$F$48),0))+(
IF('Loading-truck'!$C$21="Carbon adsorption system",SUMIF('Loading-truck'!$A$31:$A$48, CAS!A39,'Loading-truck'!$F$31:$F$48),0))+(
IF('Loading-rail'!$C$21="Carbon adsorption system",SUMIF('Loading-rail'!$A$31:$A$48, CAS!A39,'Loading-rail'!$F$31:$F$48),0))</f>
        <v>0</v>
      </c>
      <c r="E39" s="801">
        <f t="shared" si="1"/>
        <v>0</v>
      </c>
    </row>
    <row r="40" spans="1:5" x14ac:dyDescent="0.25">
      <c r="A40" s="539" t="str">
        <f>'Hidden Inputs'!AO10</f>
        <v/>
      </c>
      <c r="B40" s="1592" t="str">
        <f t="shared" si="0"/>
        <v/>
      </c>
      <c r="C40" s="1592"/>
      <c r="D40" s="800">
        <f>(IF(
Tank1!$C$23="Carbon adsorption system",SUMIF(Tank1!$A$32:$A$49,CAS!A40,Tank1!$C$32:$C$49),0))+(
IF(Tank2!$C$23="Carbon adsorption system",SUMIF(Tank2!$A$32:$A$49, CAS!A40,Tank2!$C$32:$C$49),0))+(
IF(Tank3!$C$23="Carbon adsorption system",SUMIF(Tank3!$A$32:$A$49, CAS!A40,Tank3!$C$32:$C$49),0))+(
IF(Tank4!$C$23="Carbon adsorption system",SUMIF(Tank4!$A$32:$A$49, CAS!A40,Tank4!$C$32:$C$49),0))+(
IF(Tank5!$C$23="Carbon adsorption system",SUMIF(Tank5!$A$32:$A$49, CAS!A40,Tank5!$C$32:$C$49),0))+(
IF('Loading-drum,tote'!$C$21="Carbon adsorption system",SUMIF('Loading-drum,tote'!$A$31:$A$48, CAS!A40,'Loading-drum,tote'!$F$31:$F$48),0))+(
IF('Loading-truck'!$C$21="Carbon adsorption system",SUMIF('Loading-truck'!$A$31:$A$48, CAS!A40,'Loading-truck'!$F$31:$F$48),0))+(
IF('Loading-rail'!$C$21="Carbon adsorption system",SUMIF('Loading-rail'!$A$31:$A$48, CAS!A40,'Loading-rail'!$F$31:$F$48),0))</f>
        <v>0</v>
      </c>
      <c r="E40" s="801">
        <f t="shared" si="1"/>
        <v>0</v>
      </c>
    </row>
    <row r="41" spans="1:5" x14ac:dyDescent="0.25">
      <c r="A41" s="539" t="str">
        <f>'Hidden Inputs'!AO11</f>
        <v/>
      </c>
      <c r="B41" s="1592" t="str">
        <f t="shared" si="0"/>
        <v/>
      </c>
      <c r="C41" s="1592"/>
      <c r="D41" s="800">
        <f>(IF(
Tank1!$C$23="Carbon adsorption system",SUMIF(Tank1!$A$32:$A$49,CAS!A41,Tank1!$C$32:$C$49),0))+(
IF(Tank2!$C$23="Carbon adsorption system",SUMIF(Tank2!$A$32:$A$49, CAS!A41,Tank2!$C$32:$C$49),0))+(
IF(Tank3!$C$23="Carbon adsorption system",SUMIF(Tank3!$A$32:$A$49, CAS!A41,Tank3!$C$32:$C$49),0))+(
IF(Tank4!$C$23="Carbon adsorption system",SUMIF(Tank4!$A$32:$A$49, CAS!A41,Tank4!$C$32:$C$49),0))+(
IF(Tank5!$C$23="Carbon adsorption system",SUMIF(Tank5!$A$32:$A$49, CAS!A41,Tank5!$C$32:$C$49),0))+(
IF('Loading-drum,tote'!$C$21="Carbon adsorption system",SUMIF('Loading-drum,tote'!$A$31:$A$48, CAS!A41,'Loading-drum,tote'!$F$31:$F$48),0))+(
IF('Loading-truck'!$C$21="Carbon adsorption system",SUMIF('Loading-truck'!$A$31:$A$48, CAS!A41,'Loading-truck'!$F$31:$F$48),0))+(
IF('Loading-rail'!$C$21="Carbon adsorption system",SUMIF('Loading-rail'!$A$31:$A$48, CAS!A41,'Loading-rail'!$F$31:$F$48),0))</f>
        <v>0</v>
      </c>
      <c r="E41" s="801">
        <f t="shared" si="1"/>
        <v>0</v>
      </c>
    </row>
    <row r="42" spans="1:5" x14ac:dyDescent="0.25">
      <c r="A42" s="539" t="str">
        <f>'Hidden Inputs'!AO12</f>
        <v/>
      </c>
      <c r="B42" s="1592" t="str">
        <f t="shared" si="0"/>
        <v/>
      </c>
      <c r="C42" s="1592"/>
      <c r="D42" s="800">
        <f>(IF(
Tank1!$C$23="Carbon adsorption system",SUMIF(Tank1!$A$32:$A$49,CAS!A42,Tank1!$C$32:$C$49),0))+(
IF(Tank2!$C$23="Carbon adsorption system",SUMIF(Tank2!$A$32:$A$49, CAS!A42,Tank2!$C$32:$C$49),0))+(
IF(Tank3!$C$23="Carbon adsorption system",SUMIF(Tank3!$A$32:$A$49, CAS!A42,Tank3!$C$32:$C$49),0))+(
IF(Tank4!$C$23="Carbon adsorption system",SUMIF(Tank4!$A$32:$A$49, CAS!A42,Tank4!$C$32:$C$49),0))+(
IF(Tank5!$C$23="Carbon adsorption system",SUMIF(Tank5!$A$32:$A$49, CAS!A42,Tank5!$C$32:$C$49),0))+(
IF('Loading-drum,tote'!$C$21="Carbon adsorption system",SUMIF('Loading-drum,tote'!$A$31:$A$48, CAS!A42,'Loading-drum,tote'!$F$31:$F$48),0))+(
IF('Loading-truck'!$C$21="Carbon adsorption system",SUMIF('Loading-truck'!$A$31:$A$48, CAS!A42,'Loading-truck'!$F$31:$F$48),0))+(
IF('Loading-rail'!$C$21="Carbon adsorption system",SUMIF('Loading-rail'!$A$31:$A$48, CAS!A42,'Loading-rail'!$F$31:$F$48),0))</f>
        <v>0</v>
      </c>
      <c r="E42" s="801">
        <f t="shared" si="1"/>
        <v>0</v>
      </c>
    </row>
    <row r="43" spans="1:5" x14ac:dyDescent="0.25">
      <c r="A43" s="539" t="str">
        <f>'Hidden Inputs'!AO13</f>
        <v/>
      </c>
      <c r="B43" s="1592" t="str">
        <f t="shared" si="0"/>
        <v/>
      </c>
      <c r="C43" s="1592"/>
      <c r="D43" s="800">
        <f>(IF(
Tank1!$C$23="Carbon adsorption system",SUMIF(Tank1!$A$32:$A$49,CAS!A43,Tank1!$C$32:$C$49),0))+(
IF(Tank2!$C$23="Carbon adsorption system",SUMIF(Tank2!$A$32:$A$49, CAS!A43,Tank2!$C$32:$C$49),0))+(
IF(Tank3!$C$23="Carbon adsorption system",SUMIF(Tank3!$A$32:$A$49, CAS!A43,Tank3!$C$32:$C$49),0))+(
IF(Tank4!$C$23="Carbon adsorption system",SUMIF(Tank4!$A$32:$A$49, CAS!A43,Tank4!$C$32:$C$49),0))+(
IF(Tank5!$C$23="Carbon adsorption system",SUMIF(Tank5!$A$32:$A$49, CAS!A43,Tank5!$C$32:$C$49),0))+(
IF('Loading-drum,tote'!$C$21="Carbon adsorption system",SUMIF('Loading-drum,tote'!$A$31:$A$48, CAS!A43,'Loading-drum,tote'!$F$31:$F$48),0))+(
IF('Loading-truck'!$C$21="Carbon adsorption system",SUMIF('Loading-truck'!$A$31:$A$48, CAS!A43,'Loading-truck'!$F$31:$F$48),0))+(
IF('Loading-rail'!$C$21="Carbon adsorption system",SUMIF('Loading-rail'!$A$31:$A$48, CAS!A43,'Loading-rail'!$F$31:$F$48),0))</f>
        <v>0</v>
      </c>
      <c r="E43" s="801">
        <f t="shared" si="1"/>
        <v>0</v>
      </c>
    </row>
    <row r="44" spans="1:5" ht="15" customHeight="1" x14ac:dyDescent="0.25">
      <c r="A44" s="539" t="str">
        <f>'Hidden Inputs'!AO14</f>
        <v/>
      </c>
      <c r="B44" s="1592" t="str">
        <f t="shared" si="0"/>
        <v/>
      </c>
      <c r="C44" s="1592"/>
      <c r="D44" s="800">
        <f>(IF(
Tank1!$C$23="Carbon adsorption system",SUMIF(Tank1!$A$32:$A$49,CAS!A44,Tank1!$C$32:$C$49),0))+(
IF(Tank2!$C$23="Carbon adsorption system",SUMIF(Tank2!$A$32:$A$49, CAS!A44,Tank2!$C$32:$C$49),0))+(
IF(Tank3!$C$23="Carbon adsorption system",SUMIF(Tank3!$A$32:$A$49, CAS!A44,Tank3!$C$32:$C$49),0))+(
IF(Tank4!$C$23="Carbon adsorption system",SUMIF(Tank4!$A$32:$A$49, CAS!A44,Tank4!$C$32:$C$49),0))+(
IF(Tank5!$C$23="Carbon adsorption system",SUMIF(Tank5!$A$32:$A$49, CAS!A44,Tank5!$C$32:$C$49),0))+(
IF('Loading-drum,tote'!$C$21="Carbon adsorption system",SUMIF('Loading-drum,tote'!$A$31:$A$48, CAS!A44,'Loading-drum,tote'!$F$31:$F$48),0))+(
IF('Loading-truck'!$C$21="Carbon adsorption system",SUMIF('Loading-truck'!$A$31:$A$48, CAS!A44,'Loading-truck'!$F$31:$F$48),0))+(
IF('Loading-rail'!$C$21="Carbon adsorption system",SUMIF('Loading-rail'!$A$31:$A$48, CAS!A44,'Loading-rail'!$F$31:$F$48),0))</f>
        <v>0</v>
      </c>
      <c r="E44" s="801">
        <f t="shared" si="1"/>
        <v>0</v>
      </c>
    </row>
    <row r="45" spans="1:5" ht="15" customHeight="1" x14ac:dyDescent="0.25">
      <c r="A45" s="539" t="str">
        <f>'Hidden Inputs'!AO15</f>
        <v/>
      </c>
      <c r="B45" s="1592" t="str">
        <f t="shared" si="0"/>
        <v/>
      </c>
      <c r="C45" s="1592"/>
      <c r="D45" s="800">
        <f>(IF(
Tank1!$C$23="Carbon adsorption system",SUMIF(Tank1!$A$32:$A$49,CAS!A45,Tank1!$C$32:$C$49),0))+(
IF(Tank2!$C$23="Carbon adsorption system",SUMIF(Tank2!$A$32:$A$49, CAS!A45,Tank2!$C$32:$C$49),0))+(
IF(Tank3!$C$23="Carbon adsorption system",SUMIF(Tank3!$A$32:$A$49, CAS!A45,Tank3!$C$32:$C$49),0))+(
IF(Tank4!$C$23="Carbon adsorption system",SUMIF(Tank4!$A$32:$A$49, CAS!A45,Tank4!$C$32:$C$49),0))+(
IF(Tank5!$C$23="Carbon adsorption system",SUMIF(Tank5!$A$32:$A$49, CAS!A45,Tank5!$C$32:$C$49),0))+(
IF('Loading-drum,tote'!$C$21="Carbon adsorption system",SUMIF('Loading-drum,tote'!$A$31:$A$48, CAS!A45,'Loading-drum,tote'!$F$31:$F$48),0))+(
IF('Loading-truck'!$C$21="Carbon adsorption system",SUMIF('Loading-truck'!$A$31:$A$48, CAS!A45,'Loading-truck'!$F$31:$F$48),0))+(
IF('Loading-rail'!$C$21="Carbon adsorption system",SUMIF('Loading-rail'!$A$31:$A$48, CAS!A45,'Loading-rail'!$F$31:$F$48),0))</f>
        <v>0</v>
      </c>
      <c r="E45" s="801">
        <f t="shared" si="1"/>
        <v>0</v>
      </c>
    </row>
    <row r="46" spans="1:5" x14ac:dyDescent="0.25">
      <c r="A46" s="539" t="str">
        <f>'Hidden Inputs'!AO16</f>
        <v/>
      </c>
      <c r="B46" s="1592" t="str">
        <f t="shared" si="0"/>
        <v/>
      </c>
      <c r="C46" s="1592"/>
      <c r="D46" s="800">
        <f>(IF(
Tank1!$C$23="Carbon adsorption system",SUMIF(Tank1!$A$32:$A$49,CAS!A46,Tank1!$C$32:$C$49),0))+(
IF(Tank2!$C$23="Carbon adsorption system",SUMIF(Tank2!$A$32:$A$49, CAS!A46,Tank2!$C$32:$C$49),0))+(
IF(Tank3!$C$23="Carbon adsorption system",SUMIF(Tank3!$A$32:$A$49, CAS!A46,Tank3!$C$32:$C$49),0))+(
IF(Tank4!$C$23="Carbon adsorption system",SUMIF(Tank4!$A$32:$A$49, CAS!A46,Tank4!$C$32:$C$49),0))+(
IF(Tank5!$C$23="Carbon adsorption system",SUMIF(Tank5!$A$32:$A$49, CAS!A46,Tank5!$C$32:$C$49),0))+(
IF('Loading-drum,tote'!$C$21="Carbon adsorption system",SUMIF('Loading-drum,tote'!$A$31:$A$48, CAS!A46,'Loading-drum,tote'!$F$31:$F$48),0))+(
IF('Loading-truck'!$C$21="Carbon adsorption system",SUMIF('Loading-truck'!$A$31:$A$48, CAS!A46,'Loading-truck'!$F$31:$F$48),0))+(
IF('Loading-rail'!$C$21="Carbon adsorption system",SUMIF('Loading-rail'!$A$31:$A$48, CAS!A46,'Loading-rail'!$F$31:$F$48),0))</f>
        <v>0</v>
      </c>
      <c r="E46" s="801">
        <f t="shared" si="1"/>
        <v>0</v>
      </c>
    </row>
    <row r="47" spans="1:5" x14ac:dyDescent="0.25">
      <c r="A47" s="539" t="str">
        <f>'Hidden Inputs'!AO17</f>
        <v/>
      </c>
      <c r="B47" s="1592" t="str">
        <f t="shared" si="0"/>
        <v/>
      </c>
      <c r="C47" s="1592"/>
      <c r="D47" s="800">
        <f>(IF(
Tank1!$C$23="Carbon adsorption system",SUMIF(Tank1!$A$32:$A$49,CAS!A47,Tank1!$C$32:$C$49),0))+(
IF(Tank2!$C$23="Carbon adsorption system",SUMIF(Tank2!$A$32:$A$49, CAS!A47,Tank2!$C$32:$C$49),0))+(
IF(Tank3!$C$23="Carbon adsorption system",SUMIF(Tank3!$A$32:$A$49, CAS!A47,Tank3!$C$32:$C$49),0))+(
IF(Tank4!$C$23="Carbon adsorption system",SUMIF(Tank4!$A$32:$A$49, CAS!A47,Tank4!$C$32:$C$49),0))+(
IF(Tank5!$C$23="Carbon adsorption system",SUMIF(Tank5!$A$32:$A$49, CAS!A47,Tank5!$C$32:$C$49),0))+(
IF('Loading-drum,tote'!$C$21="Carbon adsorption system",SUMIF('Loading-drum,tote'!$A$31:$A$48, CAS!A47,'Loading-drum,tote'!$F$31:$F$48),0))+(
IF('Loading-truck'!$C$21="Carbon adsorption system",SUMIF('Loading-truck'!$A$31:$A$48, CAS!A47,'Loading-truck'!$F$31:$F$48),0))+(
IF('Loading-rail'!$C$21="Carbon adsorption system",SUMIF('Loading-rail'!$A$31:$A$48, CAS!A47,'Loading-rail'!$F$31:$F$48),0))</f>
        <v>0</v>
      </c>
      <c r="E47" s="801">
        <f t="shared" si="1"/>
        <v>0</v>
      </c>
    </row>
    <row r="48" spans="1:5" x14ac:dyDescent="0.25">
      <c r="A48" s="539" t="str">
        <f>'Hidden Inputs'!AO18</f>
        <v/>
      </c>
      <c r="B48" s="1592" t="str">
        <f t="shared" si="0"/>
        <v/>
      </c>
      <c r="C48" s="1592"/>
      <c r="D48" s="800">
        <f>(IF(
Tank1!$C$23="Carbon adsorption system",SUMIF(Tank1!$A$32:$A$49,CAS!A48,Tank1!$C$32:$C$49),0))+(
IF(Tank2!$C$23="Carbon adsorption system",SUMIF(Tank2!$A$32:$A$49, CAS!A48,Tank2!$C$32:$C$49),0))+(
IF(Tank3!$C$23="Carbon adsorption system",SUMIF(Tank3!$A$32:$A$49, CAS!A48,Tank3!$C$32:$C$49),0))+(
IF(Tank4!$C$23="Carbon adsorption system",SUMIF(Tank4!$A$32:$A$49, CAS!A48,Tank4!$C$32:$C$49),0))+(
IF(Tank5!$C$23="Carbon adsorption system",SUMIF(Tank5!$A$32:$A$49, CAS!A48,Tank5!$C$32:$C$49),0))+(
IF('Loading-drum,tote'!$C$21="Carbon adsorption system",SUMIF('Loading-drum,tote'!$A$31:$A$48, CAS!A48,'Loading-drum,tote'!$F$31:$F$48),0))+(
IF('Loading-truck'!$C$21="Carbon adsorption system",SUMIF('Loading-truck'!$A$31:$A$48, CAS!A48,'Loading-truck'!$F$31:$F$48),0))+(
IF('Loading-rail'!$C$21="Carbon adsorption system",SUMIF('Loading-rail'!$A$31:$A$48, CAS!A48,'Loading-rail'!$F$31:$F$48),0))</f>
        <v>0</v>
      </c>
      <c r="E48" s="801">
        <f t="shared" si="1"/>
        <v>0</v>
      </c>
    </row>
    <row r="49" spans="1:5" x14ac:dyDescent="0.25">
      <c r="A49" s="539" t="str">
        <f>'Hidden Inputs'!AO19</f>
        <v/>
      </c>
      <c r="B49" s="1592" t="str">
        <f t="shared" si="0"/>
        <v/>
      </c>
      <c r="C49" s="1592"/>
      <c r="D49" s="800">
        <f>(IF(
Tank1!$C$23="Carbon adsorption system",SUMIF(Tank1!$A$32:$A$49,CAS!A49,Tank1!$C$32:$C$49),0))+(
IF(Tank2!$C$23="Carbon adsorption system",SUMIF(Tank2!$A$32:$A$49, CAS!A49,Tank2!$C$32:$C$49),0))+(
IF(Tank3!$C$23="Carbon adsorption system",SUMIF(Tank3!$A$32:$A$49, CAS!A49,Tank3!$C$32:$C$49),0))+(
IF(Tank4!$C$23="Carbon adsorption system",SUMIF(Tank4!$A$32:$A$49, CAS!A49,Tank4!$C$32:$C$49),0))+(
IF(Tank5!$C$23="Carbon adsorption system",SUMIF(Tank5!$A$32:$A$49, CAS!A49,Tank5!$C$32:$C$49),0))+(
IF('Loading-drum,tote'!$C$21="Carbon adsorption system",SUMIF('Loading-drum,tote'!$A$31:$A$48, CAS!A49,'Loading-drum,tote'!$F$31:$F$48),0))+(
IF('Loading-truck'!$C$21="Carbon adsorption system",SUMIF('Loading-truck'!$A$31:$A$48, CAS!A49,'Loading-truck'!$F$31:$F$48),0))+(
IF('Loading-rail'!$C$21="Carbon adsorption system",SUMIF('Loading-rail'!$A$31:$A$48, CAS!A49,'Loading-rail'!$F$31:$F$48),0))</f>
        <v>0</v>
      </c>
      <c r="E49" s="801">
        <f t="shared" si="1"/>
        <v>0</v>
      </c>
    </row>
    <row r="50" spans="1:5" x14ac:dyDescent="0.25">
      <c r="A50" s="539" t="str">
        <f>'Hidden Inputs'!AO20</f>
        <v/>
      </c>
      <c r="B50" s="1592" t="str">
        <f t="shared" si="0"/>
        <v/>
      </c>
      <c r="C50" s="1592"/>
      <c r="D50" s="800">
        <f>(IF(
Tank1!$C$23="Carbon adsorption system",SUMIF(Tank1!$A$32:$A$49,CAS!A50,Tank1!$C$32:$C$49),0))+(
IF(Tank2!$C$23="Carbon adsorption system",SUMIF(Tank2!$A$32:$A$49, CAS!A50,Tank2!$C$32:$C$49),0))+(
IF(Tank3!$C$23="Carbon adsorption system",SUMIF(Tank3!$A$32:$A$49, CAS!A50,Tank3!$C$32:$C$49),0))+(
IF(Tank4!$C$23="Carbon adsorption system",SUMIF(Tank4!$A$32:$A$49, CAS!A50,Tank4!$C$32:$C$49),0))+(
IF(Tank5!$C$23="Carbon adsorption system",SUMIF(Tank5!$A$32:$A$49, CAS!A50,Tank5!$C$32:$C$49),0))+(
IF('Loading-drum,tote'!$C$21="Carbon adsorption system",SUMIF('Loading-drum,tote'!$A$31:$A$48, CAS!A50,'Loading-drum,tote'!$F$31:$F$48),0))+(
IF('Loading-truck'!$C$21="Carbon adsorption system",SUMIF('Loading-truck'!$A$31:$A$48, CAS!A50,'Loading-truck'!$F$31:$F$48),0))+(
IF('Loading-rail'!$C$21="Carbon adsorption system",SUMIF('Loading-rail'!$A$31:$A$48, CAS!A50,'Loading-rail'!$F$31:$F$48),0))</f>
        <v>0</v>
      </c>
      <c r="E50" s="801">
        <f t="shared" si="1"/>
        <v>0</v>
      </c>
    </row>
    <row r="51" spans="1:5" x14ac:dyDescent="0.25">
      <c r="A51" s="539" t="str">
        <f>'Hidden Inputs'!AO21</f>
        <v/>
      </c>
      <c r="B51" s="1592" t="str">
        <f t="shared" si="0"/>
        <v/>
      </c>
      <c r="C51" s="1592"/>
      <c r="D51" s="800">
        <f>(IF(
Tank1!$C$23="Carbon adsorption system",SUMIF(Tank1!$A$32:$A$49,CAS!A51,Tank1!$C$32:$C$49),0))+(
IF(Tank2!$C$23="Carbon adsorption system",SUMIF(Tank2!$A$32:$A$49, CAS!A51,Tank2!$C$32:$C$49),0))+(
IF(Tank3!$C$23="Carbon adsorption system",SUMIF(Tank3!$A$32:$A$49, CAS!A51,Tank3!$C$32:$C$49),0))+(
IF(Tank4!$C$23="Carbon adsorption system",SUMIF(Tank4!$A$32:$A$49, CAS!A51,Tank4!$C$32:$C$49),0))+(
IF(Tank5!$C$23="Carbon adsorption system",SUMIF(Tank5!$A$32:$A$49, CAS!A51,Tank5!$C$32:$C$49),0))+(
IF('Loading-drum,tote'!$C$21="Carbon adsorption system",SUMIF('Loading-drum,tote'!$A$31:$A$48, CAS!A51,'Loading-drum,tote'!$F$31:$F$48),0))+(
IF('Loading-truck'!$C$21="Carbon adsorption system",SUMIF('Loading-truck'!$A$31:$A$48, CAS!A51,'Loading-truck'!$F$31:$F$48),0))+(
IF('Loading-rail'!$C$21="Carbon adsorption system",SUMIF('Loading-rail'!$A$31:$A$48, CAS!A51,'Loading-rail'!$F$31:$F$48),0))</f>
        <v>0</v>
      </c>
      <c r="E51" s="801">
        <f t="shared" si="1"/>
        <v>0</v>
      </c>
    </row>
    <row r="52" spans="1:5" x14ac:dyDescent="0.25">
      <c r="A52" s="539" t="str">
        <f>'Hidden Inputs'!AO22</f>
        <v/>
      </c>
      <c r="B52" s="1592" t="str">
        <f t="shared" si="0"/>
        <v/>
      </c>
      <c r="C52" s="1592"/>
      <c r="D52" s="800">
        <f>(IF(
Tank1!$C$23="Carbon adsorption system",SUMIF(Tank1!$A$32:$A$49,CAS!A52,Tank1!$C$32:$C$49),0))+(
IF(Tank2!$C$23="Carbon adsorption system",SUMIF(Tank2!$A$32:$A$49, CAS!A52,Tank2!$C$32:$C$49),0))+(
IF(Tank3!$C$23="Carbon adsorption system",SUMIF(Tank3!$A$32:$A$49, CAS!A52,Tank3!$C$32:$C$49),0))+(
IF(Tank4!$C$23="Carbon adsorption system",SUMIF(Tank4!$A$32:$A$49, CAS!A52,Tank4!$C$32:$C$49),0))+(
IF(Tank5!$C$23="Carbon adsorption system",SUMIF(Tank5!$A$32:$A$49, CAS!A52,Tank5!$C$32:$C$49),0))+(
IF('Loading-drum,tote'!$C$21="Carbon adsorption system",SUMIF('Loading-drum,tote'!$A$31:$A$48, CAS!A52,'Loading-drum,tote'!$F$31:$F$48),0))+(
IF('Loading-truck'!$C$21="Carbon adsorption system",SUMIF('Loading-truck'!$A$31:$A$48, CAS!A52,'Loading-truck'!$F$31:$F$48),0))+(
IF('Loading-rail'!$C$21="Carbon adsorption system",SUMIF('Loading-rail'!$A$31:$A$48, CAS!A52,'Loading-rail'!$F$31:$F$48),0))</f>
        <v>0</v>
      </c>
      <c r="E52" s="801">
        <f t="shared" si="1"/>
        <v>0</v>
      </c>
    </row>
    <row r="53" spans="1:5" x14ac:dyDescent="0.25">
      <c r="A53" s="539" t="str">
        <f>'Hidden Inputs'!AO23</f>
        <v/>
      </c>
      <c r="B53" s="1592" t="str">
        <f t="shared" si="0"/>
        <v/>
      </c>
      <c r="C53" s="1592"/>
      <c r="D53" s="800">
        <f>(IF(
Tank1!$C$23="Carbon adsorption system",SUMIF(Tank1!$A$32:$A$49,CAS!A53,Tank1!$C$32:$C$49),0))+(
IF(Tank2!$C$23="Carbon adsorption system",SUMIF(Tank2!$A$32:$A$49, CAS!A53,Tank2!$C$32:$C$49),0))+(
IF(Tank3!$C$23="Carbon adsorption system",SUMIF(Tank3!$A$32:$A$49, CAS!A53,Tank3!$C$32:$C$49),0))+(
IF(Tank4!$C$23="Carbon adsorption system",SUMIF(Tank4!$A$32:$A$49, CAS!A53,Tank4!$C$32:$C$49),0))+(
IF(Tank5!$C$23="Carbon adsorption system",SUMIF(Tank5!$A$32:$A$49, CAS!A53,Tank5!$C$32:$C$49),0))+(
IF('Loading-drum,tote'!$C$21="Carbon adsorption system",SUMIF('Loading-drum,tote'!$A$31:$A$48, CAS!A53,'Loading-drum,tote'!$F$31:$F$48),0))+(
IF('Loading-truck'!$C$21="Carbon adsorption system",SUMIF('Loading-truck'!$A$31:$A$48, CAS!A53,'Loading-truck'!$F$31:$F$48),0))+(
IF('Loading-rail'!$C$21="Carbon adsorption system",SUMIF('Loading-rail'!$A$31:$A$48, CAS!A53,'Loading-rail'!$F$31:$F$48),0))</f>
        <v>0</v>
      </c>
      <c r="E53" s="801">
        <f t="shared" si="1"/>
        <v>0</v>
      </c>
    </row>
    <row r="54" spans="1:5" x14ac:dyDescent="0.25">
      <c r="A54" s="539" t="str">
        <f>'Hidden Inputs'!AO24</f>
        <v/>
      </c>
      <c r="B54" s="1592" t="str">
        <f t="shared" si="0"/>
        <v/>
      </c>
      <c r="C54" s="1592"/>
      <c r="D54" s="800">
        <f>(IF(
Tank1!$C$23="Carbon adsorption system",SUMIF(Tank1!$A$32:$A$49,CAS!A54,Tank1!$C$32:$C$49),0))+(
IF(Tank2!$C$23="Carbon adsorption system",SUMIF(Tank2!$A$32:$A$49, CAS!A54,Tank2!$C$32:$C$49),0))+(
IF(Tank3!$C$23="Carbon adsorption system",SUMIF(Tank3!$A$32:$A$49, CAS!A54,Tank3!$C$32:$C$49),0))+(
IF(Tank4!$C$23="Carbon adsorption system",SUMIF(Tank4!$A$32:$A$49, CAS!A54,Tank4!$C$32:$C$49),0))+(
IF(Tank5!$C$23="Carbon adsorption system",SUMIF(Tank5!$A$32:$A$49, CAS!A54,Tank5!$C$32:$C$49),0))+(
IF('Loading-drum,tote'!$C$21="Carbon adsorption system",SUMIF('Loading-drum,tote'!$A$31:$A$48, CAS!A54,'Loading-drum,tote'!$F$31:$F$48),0))+(
IF('Loading-truck'!$C$21="Carbon adsorption system",SUMIF('Loading-truck'!$A$31:$A$48, CAS!A54,'Loading-truck'!$F$31:$F$48),0))+(
IF('Loading-rail'!$C$21="Carbon adsorption system",SUMIF('Loading-rail'!$A$31:$A$48, CAS!A54,'Loading-rail'!$F$31:$F$48),0))</f>
        <v>0</v>
      </c>
      <c r="E54" s="801">
        <f t="shared" si="1"/>
        <v>0</v>
      </c>
    </row>
    <row r="55" spans="1:5" x14ac:dyDescent="0.25">
      <c r="A55" s="539" t="str">
        <f>'Hidden Inputs'!AO25</f>
        <v/>
      </c>
      <c r="B55" s="1592" t="str">
        <f t="shared" si="0"/>
        <v/>
      </c>
      <c r="C55" s="1592"/>
      <c r="D55" s="800">
        <f>(IF(
Tank1!$C$23="Carbon adsorption system",SUMIF(Tank1!$A$32:$A$49,CAS!A55,Tank1!$C$32:$C$49),0))+(
IF(Tank2!$C$23="Carbon adsorption system",SUMIF(Tank2!$A$32:$A$49, CAS!A55,Tank2!$C$32:$C$49),0))+(
IF(Tank3!$C$23="Carbon adsorption system",SUMIF(Tank3!$A$32:$A$49, CAS!A55,Tank3!$C$32:$C$49),0))+(
IF(Tank4!$C$23="Carbon adsorption system",SUMIF(Tank4!$A$32:$A$49, CAS!A55,Tank4!$C$32:$C$49),0))+(
IF(Tank5!$C$23="Carbon adsorption system",SUMIF(Tank5!$A$32:$A$49, CAS!A55,Tank5!$C$32:$C$49),0))+(
IF('Loading-drum,tote'!$C$21="Carbon adsorption system",SUMIF('Loading-drum,tote'!$A$31:$A$48, CAS!A55,'Loading-drum,tote'!$F$31:$F$48),0))+(
IF('Loading-truck'!$C$21="Carbon adsorption system",SUMIF('Loading-truck'!$A$31:$A$48, CAS!A55,'Loading-truck'!$F$31:$F$48),0))+(
IF('Loading-rail'!$C$21="Carbon adsorption system",SUMIF('Loading-rail'!$A$31:$A$48, CAS!A55,'Loading-rail'!$F$31:$F$48),0))</f>
        <v>0</v>
      </c>
      <c r="E55" s="801">
        <f t="shared" si="1"/>
        <v>0</v>
      </c>
    </row>
    <row r="56" spans="1:5" x14ac:dyDescent="0.25">
      <c r="A56" s="539" t="str">
        <f>'Hidden Inputs'!AO26</f>
        <v/>
      </c>
      <c r="B56" s="1592" t="str">
        <f t="shared" si="0"/>
        <v/>
      </c>
      <c r="C56" s="1592"/>
      <c r="D56" s="800">
        <f>(IF(
Tank1!$C$23="Carbon adsorption system",SUMIF(Tank1!$A$32:$A$49,CAS!A56,Tank1!$C$32:$C$49),0))+(
IF(Tank2!$C$23="Carbon adsorption system",SUMIF(Tank2!$A$32:$A$49, CAS!A56,Tank2!$C$32:$C$49),0))+(
IF(Tank3!$C$23="Carbon adsorption system",SUMIF(Tank3!$A$32:$A$49, CAS!A56,Tank3!$C$32:$C$49),0))+(
IF(Tank4!$C$23="Carbon adsorption system",SUMIF(Tank4!$A$32:$A$49, CAS!A56,Tank4!$C$32:$C$49),0))+(
IF(Tank5!$C$23="Carbon adsorption system",SUMIF(Tank5!$A$32:$A$49, CAS!A56,Tank5!$C$32:$C$49),0))+(
IF('Loading-drum,tote'!$C$21="Carbon adsorption system",SUMIF('Loading-drum,tote'!$A$31:$A$48, CAS!A56,'Loading-drum,tote'!$F$31:$F$48),0))+(
IF('Loading-truck'!$C$21="Carbon adsorption system",SUMIF('Loading-truck'!$A$31:$A$48, CAS!A56,'Loading-truck'!$F$31:$F$48),0))+(
IF('Loading-rail'!$C$21="Carbon adsorption system",SUMIF('Loading-rail'!$A$31:$A$48, CAS!A56,'Loading-rail'!$F$31:$F$48),0))</f>
        <v>0</v>
      </c>
      <c r="E56" s="801">
        <f t="shared" si="1"/>
        <v>0</v>
      </c>
    </row>
    <row r="57" spans="1:5" x14ac:dyDescent="0.25">
      <c r="A57" s="539" t="str">
        <f>'Hidden Inputs'!AO27</f>
        <v/>
      </c>
      <c r="B57" s="1592" t="str">
        <f t="shared" si="0"/>
        <v/>
      </c>
      <c r="C57" s="1592"/>
      <c r="D57" s="800">
        <f>(IF(
Tank1!$C$23="Carbon adsorption system",SUMIF(Tank1!$A$32:$A$49,CAS!A57,Tank1!$C$32:$C$49),0))+(
IF(Tank2!$C$23="Carbon adsorption system",SUMIF(Tank2!$A$32:$A$49, CAS!A57,Tank2!$C$32:$C$49),0))+(
IF(Tank3!$C$23="Carbon adsorption system",SUMIF(Tank3!$A$32:$A$49, CAS!A57,Tank3!$C$32:$C$49),0))+(
IF(Tank4!$C$23="Carbon adsorption system",SUMIF(Tank4!$A$32:$A$49, CAS!A57,Tank4!$C$32:$C$49),0))+(
IF(Tank5!$C$23="Carbon adsorption system",SUMIF(Tank5!$A$32:$A$49, CAS!A57,Tank5!$C$32:$C$49),0))+(
IF('Loading-drum,tote'!$C$21="Carbon adsorption system",SUMIF('Loading-drum,tote'!$A$31:$A$48, CAS!A57,'Loading-drum,tote'!$F$31:$F$48),0))+(
IF('Loading-truck'!$C$21="Carbon adsorption system",SUMIF('Loading-truck'!$A$31:$A$48, CAS!A57,'Loading-truck'!$F$31:$F$48),0))+(
IF('Loading-rail'!$C$21="Carbon adsorption system",SUMIF('Loading-rail'!$A$31:$A$48, CAS!A57,'Loading-rail'!$F$31:$F$48),0))</f>
        <v>0</v>
      </c>
      <c r="E57" s="801">
        <f t="shared" si="1"/>
        <v>0</v>
      </c>
    </row>
    <row r="58" spans="1:5" x14ac:dyDescent="0.25">
      <c r="A58" s="539" t="str">
        <f>'Hidden Inputs'!AO28</f>
        <v/>
      </c>
      <c r="B58" s="1592" t="str">
        <f t="shared" si="0"/>
        <v/>
      </c>
      <c r="C58" s="1592"/>
      <c r="D58" s="800">
        <f>(IF(
Tank1!$C$23="Carbon adsorption system",SUMIF(Tank1!$A$32:$A$49,CAS!A58,Tank1!$C$32:$C$49),0))+(
IF(Tank2!$C$23="Carbon adsorption system",SUMIF(Tank2!$A$32:$A$49, CAS!A58,Tank2!$C$32:$C$49),0))+(
IF(Tank3!$C$23="Carbon adsorption system",SUMIF(Tank3!$A$32:$A$49, CAS!A58,Tank3!$C$32:$C$49),0))+(
IF(Tank4!$C$23="Carbon adsorption system",SUMIF(Tank4!$A$32:$A$49, CAS!A58,Tank4!$C$32:$C$49),0))+(
IF(Tank5!$C$23="Carbon adsorption system",SUMIF(Tank5!$A$32:$A$49, CAS!A58,Tank5!$C$32:$C$49),0))+(
IF('Loading-drum,tote'!$C$21="Carbon adsorption system",SUMIF('Loading-drum,tote'!$A$31:$A$48, CAS!A58,'Loading-drum,tote'!$F$31:$F$48),0))+(
IF('Loading-truck'!$C$21="Carbon adsorption system",SUMIF('Loading-truck'!$A$31:$A$48, CAS!A58,'Loading-truck'!$F$31:$F$48),0))+(
IF('Loading-rail'!$C$21="Carbon adsorption system",SUMIF('Loading-rail'!$A$31:$A$48, CAS!A58,'Loading-rail'!$F$31:$F$48),0))</f>
        <v>0</v>
      </c>
      <c r="E58" s="801">
        <f t="shared" si="1"/>
        <v>0</v>
      </c>
    </row>
    <row r="59" spans="1:5" x14ac:dyDescent="0.25">
      <c r="A59" s="539" t="str">
        <f>'Hidden Inputs'!AO29</f>
        <v/>
      </c>
      <c r="B59" s="1592" t="str">
        <f t="shared" si="0"/>
        <v/>
      </c>
      <c r="C59" s="1592"/>
      <c r="D59" s="800">
        <f>(IF(
Tank1!$C$23="Carbon adsorption system",SUMIF(Tank1!$A$32:$A$49,CAS!A59,Tank1!$C$32:$C$49),0))+(
IF(Tank2!$C$23="Carbon adsorption system",SUMIF(Tank2!$A$32:$A$49, CAS!A59,Tank2!$C$32:$C$49),0))+(
IF(Tank3!$C$23="Carbon adsorption system",SUMIF(Tank3!$A$32:$A$49, CAS!A59,Tank3!$C$32:$C$49),0))+(
IF(Tank4!$C$23="Carbon adsorption system",SUMIF(Tank4!$A$32:$A$49, CAS!A59,Tank4!$C$32:$C$49),0))+(
IF(Tank5!$C$23="Carbon adsorption system",SUMIF(Tank5!$A$32:$A$49, CAS!A59,Tank5!$C$32:$C$49),0))+(
IF('Loading-drum,tote'!$C$21="Carbon adsorption system",SUMIF('Loading-drum,tote'!$A$31:$A$48, CAS!A59,'Loading-drum,tote'!$F$31:$F$48),0))+(
IF('Loading-truck'!$C$21="Carbon adsorption system",SUMIF('Loading-truck'!$A$31:$A$48, CAS!A59,'Loading-truck'!$F$31:$F$48),0))+(
IF('Loading-rail'!$C$21="Carbon adsorption system",SUMIF('Loading-rail'!$A$31:$A$48, CAS!A59,'Loading-rail'!$F$31:$F$48),0))</f>
        <v>0</v>
      </c>
      <c r="E59" s="801">
        <f t="shared" si="1"/>
        <v>0</v>
      </c>
    </row>
    <row r="60" spans="1:5" x14ac:dyDescent="0.25">
      <c r="A60" s="539" t="str">
        <f>'Hidden Inputs'!AO30</f>
        <v/>
      </c>
      <c r="B60" s="1592" t="str">
        <f t="shared" si="0"/>
        <v/>
      </c>
      <c r="C60" s="1592"/>
      <c r="D60" s="800">
        <f>(IF(
Tank1!$C$23="Carbon adsorption system",SUMIF(Tank1!$A$32:$A$49,CAS!A60,Tank1!$C$32:$C$49),0))+(
IF(Tank2!$C$23="Carbon adsorption system",SUMIF(Tank2!$A$32:$A$49, CAS!A60,Tank2!$C$32:$C$49),0))+(
IF(Tank3!$C$23="Carbon adsorption system",SUMIF(Tank3!$A$32:$A$49, CAS!A60,Tank3!$C$32:$C$49),0))+(
IF(Tank4!$C$23="Carbon adsorption system",SUMIF(Tank4!$A$32:$A$49, CAS!A60,Tank4!$C$32:$C$49),0))+(
IF(Tank5!$C$23="Carbon adsorption system",SUMIF(Tank5!$A$32:$A$49, CAS!A60,Tank5!$C$32:$C$49),0))+(
IF('Loading-drum,tote'!$C$21="Carbon adsorption system",SUMIF('Loading-drum,tote'!$A$31:$A$48, CAS!A60,'Loading-drum,tote'!$F$31:$F$48),0))+(
IF('Loading-truck'!$C$21="Carbon adsorption system",SUMIF('Loading-truck'!$A$31:$A$48, CAS!A60,'Loading-truck'!$F$31:$F$48),0))+(
IF('Loading-rail'!$C$21="Carbon adsorption system",SUMIF('Loading-rail'!$A$31:$A$48, CAS!A60,'Loading-rail'!$F$31:$F$48),0))</f>
        <v>0</v>
      </c>
      <c r="E60" s="801">
        <f t="shared" si="1"/>
        <v>0</v>
      </c>
    </row>
    <row r="61" spans="1:5" x14ac:dyDescent="0.25">
      <c r="A61" s="539" t="str">
        <f>'Hidden Inputs'!AO31</f>
        <v/>
      </c>
      <c r="B61" s="1592" t="str">
        <f t="shared" si="0"/>
        <v/>
      </c>
      <c r="C61" s="1592"/>
      <c r="D61" s="800">
        <f>(IF(
Tank1!$C$23="Carbon adsorption system",SUMIF(Tank1!$A$32:$A$49,CAS!A61,Tank1!$C$32:$C$49),0))+(
IF(Tank2!$C$23="Carbon adsorption system",SUMIF(Tank2!$A$32:$A$49, CAS!A61,Tank2!$C$32:$C$49),0))+(
IF(Tank3!$C$23="Carbon adsorption system",SUMIF(Tank3!$A$32:$A$49, CAS!A61,Tank3!$C$32:$C$49),0))+(
IF(Tank4!$C$23="Carbon adsorption system",SUMIF(Tank4!$A$32:$A$49, CAS!A61,Tank4!$C$32:$C$49),0))+(
IF(Tank5!$C$23="Carbon adsorption system",SUMIF(Tank5!$A$32:$A$49, CAS!A61,Tank5!$C$32:$C$49),0))+(
IF('Loading-drum,tote'!$C$21="Carbon adsorption system",SUMIF('Loading-drum,tote'!$A$31:$A$48, CAS!A61,'Loading-drum,tote'!$F$31:$F$48),0))+(
IF('Loading-truck'!$C$21="Carbon adsorption system",SUMIF('Loading-truck'!$A$31:$A$48, CAS!A61,'Loading-truck'!$F$31:$F$48),0))+(
IF('Loading-rail'!$C$21="Carbon adsorption system",SUMIF('Loading-rail'!$A$31:$A$48, CAS!A61,'Loading-rail'!$F$31:$F$48),0))</f>
        <v>0</v>
      </c>
      <c r="E61" s="801">
        <f t="shared" si="1"/>
        <v>0</v>
      </c>
    </row>
    <row r="62" spans="1:5" x14ac:dyDescent="0.25">
      <c r="A62" s="539" t="str">
        <f>'Hidden Inputs'!AO32</f>
        <v/>
      </c>
      <c r="B62" s="1592" t="str">
        <f t="shared" si="0"/>
        <v/>
      </c>
      <c r="C62" s="1592"/>
      <c r="D62" s="800">
        <f>(IF(
Tank1!$C$23="Carbon adsorption system",SUMIF(Tank1!$A$32:$A$49,CAS!A62,Tank1!$C$32:$C$49),0))+(
IF(Tank2!$C$23="Carbon adsorption system",SUMIF(Tank2!$A$32:$A$49, CAS!A62,Tank2!$C$32:$C$49),0))+(
IF(Tank3!$C$23="Carbon adsorption system",SUMIF(Tank3!$A$32:$A$49, CAS!A62,Tank3!$C$32:$C$49),0))+(
IF(Tank4!$C$23="Carbon adsorption system",SUMIF(Tank4!$A$32:$A$49, CAS!A62,Tank4!$C$32:$C$49),0))+(
IF(Tank5!$C$23="Carbon adsorption system",SUMIF(Tank5!$A$32:$A$49, CAS!A62,Tank5!$C$32:$C$49),0))+(
IF('Loading-drum,tote'!$C$21="Carbon adsorption system",SUMIF('Loading-drum,tote'!$A$31:$A$48, CAS!A62,'Loading-drum,tote'!$F$31:$F$48),0))+(
IF('Loading-truck'!$C$21="Carbon adsorption system",SUMIF('Loading-truck'!$A$31:$A$48, CAS!A62,'Loading-truck'!$F$31:$F$48),0))+(
IF('Loading-rail'!$C$21="Carbon adsorption system",SUMIF('Loading-rail'!$A$31:$A$48, CAS!A62,'Loading-rail'!$F$31:$F$48),0))</f>
        <v>0</v>
      </c>
      <c r="E62" s="801">
        <f t="shared" si="1"/>
        <v>0</v>
      </c>
    </row>
    <row r="63" spans="1:5" x14ac:dyDescent="0.25">
      <c r="A63" s="539" t="str">
        <f>'Hidden Inputs'!AO33</f>
        <v/>
      </c>
      <c r="B63" s="1592" t="str">
        <f t="shared" si="0"/>
        <v/>
      </c>
      <c r="C63" s="1592"/>
      <c r="D63" s="800">
        <f>(IF(
Tank1!$C$23="Carbon adsorption system",SUMIF(Tank1!$A$32:$A$49,CAS!A63,Tank1!$C$32:$C$49),0))+(
IF(Tank2!$C$23="Carbon adsorption system",SUMIF(Tank2!$A$32:$A$49, CAS!A63,Tank2!$C$32:$C$49),0))+(
IF(Tank3!$C$23="Carbon adsorption system",SUMIF(Tank3!$A$32:$A$49, CAS!A63,Tank3!$C$32:$C$49),0))+(
IF(Tank4!$C$23="Carbon adsorption system",SUMIF(Tank4!$A$32:$A$49, CAS!A63,Tank4!$C$32:$C$49),0))+(
IF(Tank5!$C$23="Carbon adsorption system",SUMIF(Tank5!$A$32:$A$49, CAS!A63,Tank5!$C$32:$C$49),0))+(
IF('Loading-drum,tote'!$C$21="Carbon adsorption system",SUMIF('Loading-drum,tote'!$A$31:$A$48, CAS!A63,'Loading-drum,tote'!$F$31:$F$48),0))+(
IF('Loading-truck'!$C$21="Carbon adsorption system",SUMIF('Loading-truck'!$A$31:$A$48, CAS!A63,'Loading-truck'!$F$31:$F$48),0))+(
IF('Loading-rail'!$C$21="Carbon adsorption system",SUMIF('Loading-rail'!$A$31:$A$48, CAS!A63,'Loading-rail'!$F$31:$F$48),0))</f>
        <v>0</v>
      </c>
      <c r="E63" s="801">
        <f t="shared" si="1"/>
        <v>0</v>
      </c>
    </row>
    <row r="64" spans="1:5" x14ac:dyDescent="0.25">
      <c r="A64" s="539" t="str">
        <f>'Hidden Inputs'!AO34</f>
        <v/>
      </c>
      <c r="B64" s="1592" t="str">
        <f t="shared" ref="B64:B95" si="2">IFERROR(VLOOKUP(A64, SpeciesDataTable,2,FALSE),"")</f>
        <v/>
      </c>
      <c r="C64" s="1592"/>
      <c r="D64" s="800">
        <f>(IF(
Tank1!$C$23="Carbon adsorption system",SUMIF(Tank1!$A$32:$A$49,CAS!A64,Tank1!$C$32:$C$49),0))+(
IF(Tank2!$C$23="Carbon adsorption system",SUMIF(Tank2!$A$32:$A$49, CAS!A64,Tank2!$C$32:$C$49),0))+(
IF(Tank3!$C$23="Carbon adsorption system",SUMIF(Tank3!$A$32:$A$49, CAS!A64,Tank3!$C$32:$C$49),0))+(
IF(Tank4!$C$23="Carbon adsorption system",SUMIF(Tank4!$A$32:$A$49, CAS!A64,Tank4!$C$32:$C$49),0))+(
IF(Tank5!$C$23="Carbon adsorption system",SUMIF(Tank5!$A$32:$A$49, CAS!A64,Tank5!$C$32:$C$49),0))+(
IF('Loading-drum,tote'!$C$21="Carbon adsorption system",SUMIF('Loading-drum,tote'!$A$31:$A$48, CAS!A64,'Loading-drum,tote'!$F$31:$F$48),0))+(
IF('Loading-truck'!$C$21="Carbon adsorption system",SUMIF('Loading-truck'!$A$31:$A$48, CAS!A64,'Loading-truck'!$F$31:$F$48),0))+(
IF('Loading-rail'!$C$21="Carbon adsorption system",SUMIF('Loading-rail'!$A$31:$A$48, CAS!A64,'Loading-rail'!$F$31:$F$48),0))</f>
        <v>0</v>
      </c>
      <c r="E64" s="801">
        <f t="shared" si="1"/>
        <v>0</v>
      </c>
    </row>
    <row r="65" spans="1:5" x14ac:dyDescent="0.25">
      <c r="A65" s="539" t="str">
        <f>'Hidden Inputs'!AO35</f>
        <v/>
      </c>
      <c r="B65" s="1592" t="str">
        <f t="shared" si="2"/>
        <v/>
      </c>
      <c r="C65" s="1592"/>
      <c r="D65" s="800">
        <f>(IF(
Tank1!$C$23="Carbon adsorption system",SUMIF(Tank1!$A$32:$A$49,CAS!A65,Tank1!$C$32:$C$49),0))+(
IF(Tank2!$C$23="Carbon adsorption system",SUMIF(Tank2!$A$32:$A$49, CAS!A65,Tank2!$C$32:$C$49),0))+(
IF(Tank3!$C$23="Carbon adsorption system",SUMIF(Tank3!$A$32:$A$49, CAS!A65,Tank3!$C$32:$C$49),0))+(
IF(Tank4!$C$23="Carbon adsorption system",SUMIF(Tank4!$A$32:$A$49, CAS!A65,Tank4!$C$32:$C$49),0))+(
IF(Tank5!$C$23="Carbon adsorption system",SUMIF(Tank5!$A$32:$A$49, CAS!A65,Tank5!$C$32:$C$49),0))+(
IF('Loading-drum,tote'!$C$21="Carbon adsorption system",SUMIF('Loading-drum,tote'!$A$31:$A$48, CAS!A65,'Loading-drum,tote'!$F$31:$F$48),0))+(
IF('Loading-truck'!$C$21="Carbon adsorption system",SUMIF('Loading-truck'!$A$31:$A$48, CAS!A65,'Loading-truck'!$F$31:$F$48),0))+(
IF('Loading-rail'!$C$21="Carbon adsorption system",SUMIF('Loading-rail'!$A$31:$A$48, CAS!A65,'Loading-rail'!$F$31:$F$48),0))</f>
        <v>0</v>
      </c>
      <c r="E65" s="801">
        <f t="shared" si="1"/>
        <v>0</v>
      </c>
    </row>
    <row r="66" spans="1:5" x14ac:dyDescent="0.25">
      <c r="A66" s="539" t="str">
        <f>'Hidden Inputs'!AO36</f>
        <v/>
      </c>
      <c r="B66" s="1592" t="str">
        <f t="shared" si="2"/>
        <v/>
      </c>
      <c r="C66" s="1592"/>
      <c r="D66" s="800">
        <f>(IF(
Tank1!$C$23="Carbon adsorption system",SUMIF(Tank1!$A$32:$A$49,CAS!A66,Tank1!$C$32:$C$49),0))+(
IF(Tank2!$C$23="Carbon adsorption system",SUMIF(Tank2!$A$32:$A$49, CAS!A66,Tank2!$C$32:$C$49),0))+(
IF(Tank3!$C$23="Carbon adsorption system",SUMIF(Tank3!$A$32:$A$49, CAS!A66,Tank3!$C$32:$C$49),0))+(
IF(Tank4!$C$23="Carbon adsorption system",SUMIF(Tank4!$A$32:$A$49, CAS!A66,Tank4!$C$32:$C$49),0))+(
IF(Tank5!$C$23="Carbon adsorption system",SUMIF(Tank5!$A$32:$A$49, CAS!A66,Tank5!$C$32:$C$49),0))+(
IF('Loading-drum,tote'!$C$21="Carbon adsorption system",SUMIF('Loading-drum,tote'!$A$31:$A$48, CAS!A66,'Loading-drum,tote'!$F$31:$F$48),0))+(
IF('Loading-truck'!$C$21="Carbon adsorption system",SUMIF('Loading-truck'!$A$31:$A$48, CAS!A66,'Loading-truck'!$F$31:$F$48),0))+(
IF('Loading-rail'!$C$21="Carbon adsorption system",SUMIF('Loading-rail'!$A$31:$A$48, CAS!A66,'Loading-rail'!$F$31:$F$48),0))</f>
        <v>0</v>
      </c>
      <c r="E66" s="801">
        <f t="shared" si="1"/>
        <v>0</v>
      </c>
    </row>
    <row r="67" spans="1:5" x14ac:dyDescent="0.25">
      <c r="A67" s="539" t="str">
        <f>'Hidden Inputs'!AO37</f>
        <v/>
      </c>
      <c r="B67" s="1592" t="str">
        <f t="shared" si="2"/>
        <v/>
      </c>
      <c r="C67" s="1592"/>
      <c r="D67" s="800">
        <f>(IF(
Tank1!$C$23="Carbon adsorption system",SUMIF(Tank1!$A$32:$A$49,CAS!A67,Tank1!$C$32:$C$49),0))+(
IF(Tank2!$C$23="Carbon adsorption system",SUMIF(Tank2!$A$32:$A$49, CAS!A67,Tank2!$C$32:$C$49),0))+(
IF(Tank3!$C$23="Carbon adsorption system",SUMIF(Tank3!$A$32:$A$49, CAS!A67,Tank3!$C$32:$C$49),0))+(
IF(Tank4!$C$23="Carbon adsorption system",SUMIF(Tank4!$A$32:$A$49, CAS!A67,Tank4!$C$32:$C$49),0))+(
IF(Tank5!$C$23="Carbon adsorption system",SUMIF(Tank5!$A$32:$A$49, CAS!A67,Tank5!$C$32:$C$49),0))+(
IF('Loading-drum,tote'!$C$21="Carbon adsorption system",SUMIF('Loading-drum,tote'!$A$31:$A$48, CAS!A67,'Loading-drum,tote'!$F$31:$F$48),0))+(
IF('Loading-truck'!$C$21="Carbon adsorption system",SUMIF('Loading-truck'!$A$31:$A$48, CAS!A67,'Loading-truck'!$F$31:$F$48),0))+(
IF('Loading-rail'!$C$21="Carbon adsorption system",SUMIF('Loading-rail'!$A$31:$A$48, CAS!A67,'Loading-rail'!$F$31:$F$48),0))</f>
        <v>0</v>
      </c>
      <c r="E67" s="801">
        <f t="shared" si="1"/>
        <v>0</v>
      </c>
    </row>
    <row r="68" spans="1:5" x14ac:dyDescent="0.25">
      <c r="A68" s="539" t="str">
        <f>'Hidden Inputs'!AO38</f>
        <v/>
      </c>
      <c r="B68" s="1592" t="str">
        <f t="shared" si="2"/>
        <v/>
      </c>
      <c r="C68" s="1592"/>
      <c r="D68" s="800">
        <f>(IF(
Tank1!$C$23="Carbon adsorption system",SUMIF(Tank1!$A$32:$A$49,CAS!A68,Tank1!$C$32:$C$49),0))+(
IF(Tank2!$C$23="Carbon adsorption system",SUMIF(Tank2!$A$32:$A$49, CAS!A68,Tank2!$C$32:$C$49),0))+(
IF(Tank3!$C$23="Carbon adsorption system",SUMIF(Tank3!$A$32:$A$49, CAS!A68,Tank3!$C$32:$C$49),0))+(
IF(Tank4!$C$23="Carbon adsorption system",SUMIF(Tank4!$A$32:$A$49, CAS!A68,Tank4!$C$32:$C$49),0))+(
IF(Tank5!$C$23="Carbon adsorption system",SUMIF(Tank5!$A$32:$A$49, CAS!A68,Tank5!$C$32:$C$49),0))+(
IF('Loading-drum,tote'!$C$21="Carbon adsorption system",SUMIF('Loading-drum,tote'!$A$31:$A$48, CAS!A68,'Loading-drum,tote'!$F$31:$F$48),0))+(
IF('Loading-truck'!$C$21="Carbon adsorption system",SUMIF('Loading-truck'!$A$31:$A$48, CAS!A68,'Loading-truck'!$F$31:$F$48),0))+(
IF('Loading-rail'!$C$21="Carbon adsorption system",SUMIF('Loading-rail'!$A$31:$A$48, CAS!A68,'Loading-rail'!$F$31:$F$48),0))</f>
        <v>0</v>
      </c>
      <c r="E68" s="801">
        <f t="shared" si="1"/>
        <v>0</v>
      </c>
    </row>
    <row r="69" spans="1:5" x14ac:dyDescent="0.25">
      <c r="A69" s="539" t="str">
        <f>'Hidden Inputs'!AO39</f>
        <v/>
      </c>
      <c r="B69" s="1592" t="str">
        <f t="shared" si="2"/>
        <v/>
      </c>
      <c r="C69" s="1592"/>
      <c r="D69" s="800">
        <f>(IF(
Tank1!$C$23="Carbon adsorption system",SUMIF(Tank1!$A$32:$A$49,CAS!A69,Tank1!$C$32:$C$49),0))+(
IF(Tank2!$C$23="Carbon adsorption system",SUMIF(Tank2!$A$32:$A$49, CAS!A69,Tank2!$C$32:$C$49),0))+(
IF(Tank3!$C$23="Carbon adsorption system",SUMIF(Tank3!$A$32:$A$49, CAS!A69,Tank3!$C$32:$C$49),0))+(
IF(Tank4!$C$23="Carbon adsorption system",SUMIF(Tank4!$A$32:$A$49, CAS!A69,Tank4!$C$32:$C$49),0))+(
IF(Tank5!$C$23="Carbon adsorption system",SUMIF(Tank5!$A$32:$A$49, CAS!A69,Tank5!$C$32:$C$49),0))+(
IF('Loading-drum,tote'!$C$21="Carbon adsorption system",SUMIF('Loading-drum,tote'!$A$31:$A$48, CAS!A69,'Loading-drum,tote'!$F$31:$F$48),0))+(
IF('Loading-truck'!$C$21="Carbon adsorption system",SUMIF('Loading-truck'!$A$31:$A$48, CAS!A69,'Loading-truck'!$F$31:$F$48),0))+(
IF('Loading-rail'!$C$21="Carbon adsorption system",SUMIF('Loading-rail'!$A$31:$A$48, CAS!A69,'Loading-rail'!$F$31:$F$48),0))</f>
        <v>0</v>
      </c>
      <c r="E69" s="801">
        <f t="shared" si="1"/>
        <v>0</v>
      </c>
    </row>
    <row r="70" spans="1:5" x14ac:dyDescent="0.25">
      <c r="A70" s="539" t="str">
        <f>'Hidden Inputs'!AO40</f>
        <v/>
      </c>
      <c r="B70" s="1592" t="str">
        <f t="shared" si="2"/>
        <v/>
      </c>
      <c r="C70" s="1592"/>
      <c r="D70" s="800">
        <f>(IF(
Tank1!$C$23="Carbon adsorption system",SUMIF(Tank1!$A$32:$A$49,CAS!A70,Tank1!$C$32:$C$49),0))+(
IF(Tank2!$C$23="Carbon adsorption system",SUMIF(Tank2!$A$32:$A$49, CAS!A70,Tank2!$C$32:$C$49),0))+(
IF(Tank3!$C$23="Carbon adsorption system",SUMIF(Tank3!$A$32:$A$49, CAS!A70,Tank3!$C$32:$C$49),0))+(
IF(Tank4!$C$23="Carbon adsorption system",SUMIF(Tank4!$A$32:$A$49, CAS!A70,Tank4!$C$32:$C$49),0))+(
IF(Tank5!$C$23="Carbon adsorption system",SUMIF(Tank5!$A$32:$A$49, CAS!A70,Tank5!$C$32:$C$49),0))+(
IF('Loading-drum,tote'!$C$21="Carbon adsorption system",SUMIF('Loading-drum,tote'!$A$31:$A$48, CAS!A70,'Loading-drum,tote'!$F$31:$F$48),0))+(
IF('Loading-truck'!$C$21="Carbon adsorption system",SUMIF('Loading-truck'!$A$31:$A$48, CAS!A70,'Loading-truck'!$F$31:$F$48),0))+(
IF('Loading-rail'!$C$21="Carbon adsorption system",SUMIF('Loading-rail'!$A$31:$A$48, CAS!A70,'Loading-rail'!$F$31:$F$48),0))</f>
        <v>0</v>
      </c>
      <c r="E70" s="801">
        <f t="shared" si="1"/>
        <v>0</v>
      </c>
    </row>
    <row r="71" spans="1:5" x14ac:dyDescent="0.25">
      <c r="A71" s="539" t="str">
        <f>'Hidden Inputs'!AO41</f>
        <v/>
      </c>
      <c r="B71" s="1592" t="str">
        <f t="shared" si="2"/>
        <v/>
      </c>
      <c r="C71" s="1592"/>
      <c r="D71" s="800">
        <f>(IF(
Tank1!$C$23="Carbon adsorption system",SUMIF(Tank1!$A$32:$A$49,CAS!A71,Tank1!$C$32:$C$49),0))+(
IF(Tank2!$C$23="Carbon adsorption system",SUMIF(Tank2!$A$32:$A$49, CAS!A71,Tank2!$C$32:$C$49),0))+(
IF(Tank3!$C$23="Carbon adsorption system",SUMIF(Tank3!$A$32:$A$49, CAS!A71,Tank3!$C$32:$C$49),0))+(
IF(Tank4!$C$23="Carbon adsorption system",SUMIF(Tank4!$A$32:$A$49, CAS!A71,Tank4!$C$32:$C$49),0))+(
IF(Tank5!$C$23="Carbon adsorption system",SUMIF(Tank5!$A$32:$A$49, CAS!A71,Tank5!$C$32:$C$49),0))+(
IF('Loading-drum,tote'!$C$21="Carbon adsorption system",SUMIF('Loading-drum,tote'!$A$31:$A$48, CAS!A71,'Loading-drum,tote'!$F$31:$F$48),0))+(
IF('Loading-truck'!$C$21="Carbon adsorption system",SUMIF('Loading-truck'!$A$31:$A$48, CAS!A71,'Loading-truck'!$F$31:$F$48),0))+(
IF('Loading-rail'!$C$21="Carbon adsorption system",SUMIF('Loading-rail'!$A$31:$A$48, CAS!A71,'Loading-rail'!$F$31:$F$48),0))</f>
        <v>0</v>
      </c>
      <c r="E71" s="801">
        <f t="shared" si="1"/>
        <v>0</v>
      </c>
    </row>
    <row r="72" spans="1:5" x14ac:dyDescent="0.25">
      <c r="A72" s="539" t="str">
        <f>'Hidden Inputs'!AO42</f>
        <v/>
      </c>
      <c r="B72" s="1592" t="str">
        <f t="shared" si="2"/>
        <v/>
      </c>
      <c r="C72" s="1592"/>
      <c r="D72" s="800">
        <f>(IF(
Tank1!$C$23="Carbon adsorption system",SUMIF(Tank1!$A$32:$A$49,CAS!A72,Tank1!$C$32:$C$49),0))+(
IF(Tank2!$C$23="Carbon adsorption system",SUMIF(Tank2!$A$32:$A$49, CAS!A72,Tank2!$C$32:$C$49),0))+(
IF(Tank3!$C$23="Carbon adsorption system",SUMIF(Tank3!$A$32:$A$49, CAS!A72,Tank3!$C$32:$C$49),0))+(
IF(Tank4!$C$23="Carbon adsorption system",SUMIF(Tank4!$A$32:$A$49, CAS!A72,Tank4!$C$32:$C$49),0))+(
IF(Tank5!$C$23="Carbon adsorption system",SUMIF(Tank5!$A$32:$A$49, CAS!A72,Tank5!$C$32:$C$49),0))+(
IF('Loading-drum,tote'!$C$21="Carbon adsorption system",SUMIF('Loading-drum,tote'!$A$31:$A$48, CAS!A72,'Loading-drum,tote'!$F$31:$F$48),0))+(
IF('Loading-truck'!$C$21="Carbon adsorption system",SUMIF('Loading-truck'!$A$31:$A$48, CAS!A72,'Loading-truck'!$F$31:$F$48),0))+(
IF('Loading-rail'!$C$21="Carbon adsorption system",SUMIF('Loading-rail'!$A$31:$A$48, CAS!A72,'Loading-rail'!$F$31:$F$48),0))</f>
        <v>0</v>
      </c>
      <c r="E72" s="801">
        <f t="shared" si="1"/>
        <v>0</v>
      </c>
    </row>
    <row r="73" spans="1:5" x14ac:dyDescent="0.25">
      <c r="A73" s="539" t="str">
        <f>'Hidden Inputs'!AO43</f>
        <v/>
      </c>
      <c r="B73" s="1592" t="str">
        <f t="shared" si="2"/>
        <v/>
      </c>
      <c r="C73" s="1592"/>
      <c r="D73" s="800">
        <f>(IF(
Tank1!$C$23="Carbon adsorption system",SUMIF(Tank1!$A$32:$A$49,CAS!A73,Tank1!$C$32:$C$49),0))+(
IF(Tank2!$C$23="Carbon adsorption system",SUMIF(Tank2!$A$32:$A$49, CAS!A73,Tank2!$C$32:$C$49),0))+(
IF(Tank3!$C$23="Carbon adsorption system",SUMIF(Tank3!$A$32:$A$49, CAS!A73,Tank3!$C$32:$C$49),0))+(
IF(Tank4!$C$23="Carbon adsorption system",SUMIF(Tank4!$A$32:$A$49, CAS!A73,Tank4!$C$32:$C$49),0))+(
IF(Tank5!$C$23="Carbon adsorption system",SUMIF(Tank5!$A$32:$A$49, CAS!A73,Tank5!$C$32:$C$49),0))+(
IF('Loading-drum,tote'!$C$21="Carbon adsorption system",SUMIF('Loading-drum,tote'!$A$31:$A$48, CAS!A73,'Loading-drum,tote'!$F$31:$F$48),0))+(
IF('Loading-truck'!$C$21="Carbon adsorption system",SUMIF('Loading-truck'!$A$31:$A$48, CAS!A73,'Loading-truck'!$F$31:$F$48),0))+(
IF('Loading-rail'!$C$21="Carbon adsorption system",SUMIF('Loading-rail'!$A$31:$A$48, CAS!A73,'Loading-rail'!$F$31:$F$48),0))</f>
        <v>0</v>
      </c>
      <c r="E73" s="801">
        <f t="shared" si="1"/>
        <v>0</v>
      </c>
    </row>
    <row r="74" spans="1:5" x14ac:dyDescent="0.25">
      <c r="A74" s="539" t="str">
        <f>'Hidden Inputs'!AO44</f>
        <v/>
      </c>
      <c r="B74" s="1592" t="str">
        <f t="shared" si="2"/>
        <v/>
      </c>
      <c r="C74" s="1592"/>
      <c r="D74" s="800">
        <f>(IF(
Tank1!$C$23="Carbon adsorption system",SUMIF(Tank1!$A$32:$A$49,CAS!A74,Tank1!$C$32:$C$49),0))+(
IF(Tank2!$C$23="Carbon adsorption system",SUMIF(Tank2!$A$32:$A$49, CAS!A74,Tank2!$C$32:$C$49),0))+(
IF(Tank3!$C$23="Carbon adsorption system",SUMIF(Tank3!$A$32:$A$49, CAS!A74,Tank3!$C$32:$C$49),0))+(
IF(Tank4!$C$23="Carbon adsorption system",SUMIF(Tank4!$A$32:$A$49, CAS!A74,Tank4!$C$32:$C$49),0))+(
IF(Tank5!$C$23="Carbon adsorption system",SUMIF(Tank5!$A$32:$A$49, CAS!A74,Tank5!$C$32:$C$49),0))+(
IF('Loading-drum,tote'!$C$21="Carbon adsorption system",SUMIF('Loading-drum,tote'!$A$31:$A$48, CAS!A74,'Loading-drum,tote'!$F$31:$F$48),0))+(
IF('Loading-truck'!$C$21="Carbon adsorption system",SUMIF('Loading-truck'!$A$31:$A$48, CAS!A74,'Loading-truck'!$F$31:$F$48),0))+(
IF('Loading-rail'!$C$21="Carbon adsorption system",SUMIF('Loading-rail'!$A$31:$A$48, CAS!A74,'Loading-rail'!$F$31:$F$48),0))</f>
        <v>0</v>
      </c>
      <c r="E74" s="801">
        <f t="shared" si="1"/>
        <v>0</v>
      </c>
    </row>
    <row r="75" spans="1:5" x14ac:dyDescent="0.25">
      <c r="A75" s="539" t="str">
        <f>'Hidden Inputs'!AO45</f>
        <v/>
      </c>
      <c r="B75" s="1592" t="str">
        <f t="shared" si="2"/>
        <v/>
      </c>
      <c r="C75" s="1592"/>
      <c r="D75" s="800">
        <f>(IF(
Tank1!$C$23="Carbon adsorption system",SUMIF(Tank1!$A$32:$A$49,CAS!A75,Tank1!$C$32:$C$49),0))+(
IF(Tank2!$C$23="Carbon adsorption system",SUMIF(Tank2!$A$32:$A$49, CAS!A75,Tank2!$C$32:$C$49),0))+(
IF(Tank3!$C$23="Carbon adsorption system",SUMIF(Tank3!$A$32:$A$49, CAS!A75,Tank3!$C$32:$C$49),0))+(
IF(Tank4!$C$23="Carbon adsorption system",SUMIF(Tank4!$A$32:$A$49, CAS!A75,Tank4!$C$32:$C$49),0))+(
IF(Tank5!$C$23="Carbon adsorption system",SUMIF(Tank5!$A$32:$A$49, CAS!A75,Tank5!$C$32:$C$49),0))+(
IF('Loading-drum,tote'!$C$21="Carbon adsorption system",SUMIF('Loading-drum,tote'!$A$31:$A$48, CAS!A75,'Loading-drum,tote'!$F$31:$F$48),0))+(
IF('Loading-truck'!$C$21="Carbon adsorption system",SUMIF('Loading-truck'!$A$31:$A$48, CAS!A75,'Loading-truck'!$F$31:$F$48),0))+(
IF('Loading-rail'!$C$21="Carbon adsorption system",SUMIF('Loading-rail'!$A$31:$A$48, CAS!A75,'Loading-rail'!$F$31:$F$48),0))</f>
        <v>0</v>
      </c>
      <c r="E75" s="801">
        <f t="shared" si="1"/>
        <v>0</v>
      </c>
    </row>
    <row r="76" spans="1:5" x14ac:dyDescent="0.25">
      <c r="A76" s="539" t="str">
        <f>'Hidden Inputs'!AO46</f>
        <v/>
      </c>
      <c r="B76" s="1592" t="str">
        <f t="shared" si="2"/>
        <v/>
      </c>
      <c r="C76" s="1592"/>
      <c r="D76" s="800">
        <f>(IF(
Tank1!$C$23="Carbon adsorption system",SUMIF(Tank1!$A$32:$A$49,CAS!A76,Tank1!$C$32:$C$49),0))+(
IF(Tank2!$C$23="Carbon adsorption system",SUMIF(Tank2!$A$32:$A$49, CAS!A76,Tank2!$C$32:$C$49),0))+(
IF(Tank3!$C$23="Carbon adsorption system",SUMIF(Tank3!$A$32:$A$49, CAS!A76,Tank3!$C$32:$C$49),0))+(
IF(Tank4!$C$23="Carbon adsorption system",SUMIF(Tank4!$A$32:$A$49, CAS!A76,Tank4!$C$32:$C$49),0))+(
IF(Tank5!$C$23="Carbon adsorption system",SUMIF(Tank5!$A$32:$A$49, CAS!A76,Tank5!$C$32:$C$49),0))+(
IF('Loading-drum,tote'!$C$21="Carbon adsorption system",SUMIF('Loading-drum,tote'!$A$31:$A$48, CAS!A76,'Loading-drum,tote'!$F$31:$F$48),0))+(
IF('Loading-truck'!$C$21="Carbon adsorption system",SUMIF('Loading-truck'!$A$31:$A$48, CAS!A76,'Loading-truck'!$F$31:$F$48),0))+(
IF('Loading-rail'!$C$21="Carbon adsorption system",SUMIF('Loading-rail'!$A$31:$A$48, CAS!A76,'Loading-rail'!$F$31:$F$48),0))</f>
        <v>0</v>
      </c>
      <c r="E76" s="801">
        <f t="shared" si="1"/>
        <v>0</v>
      </c>
    </row>
    <row r="77" spans="1:5" x14ac:dyDescent="0.25">
      <c r="A77" s="539" t="str">
        <f>'Hidden Inputs'!AO47</f>
        <v/>
      </c>
      <c r="B77" s="1592" t="str">
        <f t="shared" si="2"/>
        <v/>
      </c>
      <c r="C77" s="1592"/>
      <c r="D77" s="800">
        <f>(IF(
Tank1!$C$23="Carbon adsorption system",SUMIF(Tank1!$A$32:$A$49,CAS!A77,Tank1!$C$32:$C$49),0))+(
IF(Tank2!$C$23="Carbon adsorption system",SUMIF(Tank2!$A$32:$A$49, CAS!A77,Tank2!$C$32:$C$49),0))+(
IF(Tank3!$C$23="Carbon adsorption system",SUMIF(Tank3!$A$32:$A$49, CAS!A77,Tank3!$C$32:$C$49),0))+(
IF(Tank4!$C$23="Carbon adsorption system",SUMIF(Tank4!$A$32:$A$49, CAS!A77,Tank4!$C$32:$C$49),0))+(
IF(Tank5!$C$23="Carbon adsorption system",SUMIF(Tank5!$A$32:$A$49, CAS!A77,Tank5!$C$32:$C$49),0))+(
IF('Loading-drum,tote'!$C$21="Carbon adsorption system",SUMIF('Loading-drum,tote'!$A$31:$A$48, CAS!A77,'Loading-drum,tote'!$F$31:$F$48),0))+(
IF('Loading-truck'!$C$21="Carbon adsorption system",SUMIF('Loading-truck'!$A$31:$A$48, CAS!A77,'Loading-truck'!$F$31:$F$48),0))+(
IF('Loading-rail'!$C$21="Carbon adsorption system",SUMIF('Loading-rail'!$A$31:$A$48, CAS!A77,'Loading-rail'!$F$31:$F$48),0))</f>
        <v>0</v>
      </c>
      <c r="E77" s="801">
        <f t="shared" si="1"/>
        <v>0</v>
      </c>
    </row>
    <row r="78" spans="1:5" x14ac:dyDescent="0.25">
      <c r="A78" s="539" t="str">
        <f>'Hidden Inputs'!AO48</f>
        <v/>
      </c>
      <c r="B78" s="1592" t="str">
        <f t="shared" si="2"/>
        <v/>
      </c>
      <c r="C78" s="1592"/>
      <c r="D78" s="800">
        <f>(IF(
Tank1!$C$23="Carbon adsorption system",SUMIF(Tank1!$A$32:$A$49,CAS!A78,Tank1!$C$32:$C$49),0))+(
IF(Tank2!$C$23="Carbon adsorption system",SUMIF(Tank2!$A$32:$A$49, CAS!A78,Tank2!$C$32:$C$49),0))+(
IF(Tank3!$C$23="Carbon adsorption system",SUMIF(Tank3!$A$32:$A$49, CAS!A78,Tank3!$C$32:$C$49),0))+(
IF(Tank4!$C$23="Carbon adsorption system",SUMIF(Tank4!$A$32:$A$49, CAS!A78,Tank4!$C$32:$C$49),0))+(
IF(Tank5!$C$23="Carbon adsorption system",SUMIF(Tank5!$A$32:$A$49, CAS!A78,Tank5!$C$32:$C$49),0))+(
IF('Loading-drum,tote'!$C$21="Carbon adsorption system",SUMIF('Loading-drum,tote'!$A$31:$A$48, CAS!A78,'Loading-drum,tote'!$F$31:$F$48),0))+(
IF('Loading-truck'!$C$21="Carbon adsorption system",SUMIF('Loading-truck'!$A$31:$A$48, CAS!A78,'Loading-truck'!$F$31:$F$48),0))+(
IF('Loading-rail'!$C$21="Carbon adsorption system",SUMIF('Loading-rail'!$A$31:$A$48, CAS!A78,'Loading-rail'!$F$31:$F$48),0))</f>
        <v>0</v>
      </c>
      <c r="E78" s="801">
        <f t="shared" si="1"/>
        <v>0</v>
      </c>
    </row>
    <row r="79" spans="1:5" x14ac:dyDescent="0.25">
      <c r="A79" s="539" t="str">
        <f>'Hidden Inputs'!AO49</f>
        <v/>
      </c>
      <c r="B79" s="1592" t="str">
        <f t="shared" si="2"/>
        <v/>
      </c>
      <c r="C79" s="1592"/>
      <c r="D79" s="800">
        <f>(IF(
Tank1!$C$23="Carbon adsorption system",SUMIF(Tank1!$A$32:$A$49,CAS!A79,Tank1!$C$32:$C$49),0))+(
IF(Tank2!$C$23="Carbon adsorption system",SUMIF(Tank2!$A$32:$A$49, CAS!A79,Tank2!$C$32:$C$49),0))+(
IF(Tank3!$C$23="Carbon adsorption system",SUMIF(Tank3!$A$32:$A$49, CAS!A79,Tank3!$C$32:$C$49),0))+(
IF(Tank4!$C$23="Carbon adsorption system",SUMIF(Tank4!$A$32:$A$49, CAS!A79,Tank4!$C$32:$C$49),0))+(
IF(Tank5!$C$23="Carbon adsorption system",SUMIF(Tank5!$A$32:$A$49, CAS!A79,Tank5!$C$32:$C$49),0))+(
IF('Loading-drum,tote'!$C$21="Carbon adsorption system",SUMIF('Loading-drum,tote'!$A$31:$A$48, CAS!A79,'Loading-drum,tote'!$F$31:$F$48),0))+(
IF('Loading-truck'!$C$21="Carbon adsorption system",SUMIF('Loading-truck'!$A$31:$A$48, CAS!A79,'Loading-truck'!$F$31:$F$48),0))+(
IF('Loading-rail'!$C$21="Carbon adsorption system",SUMIF('Loading-rail'!$A$31:$A$48, CAS!A79,'Loading-rail'!$F$31:$F$48),0))</f>
        <v>0</v>
      </c>
      <c r="E79" s="801">
        <f t="shared" si="1"/>
        <v>0</v>
      </c>
    </row>
    <row r="80" spans="1:5" x14ac:dyDescent="0.25">
      <c r="A80" s="539" t="str">
        <f>'Hidden Inputs'!AO50</f>
        <v/>
      </c>
      <c r="B80" s="1592" t="str">
        <f t="shared" si="2"/>
        <v/>
      </c>
      <c r="C80" s="1592"/>
      <c r="D80" s="800">
        <f>(IF(
Tank1!$C$23="Carbon adsorption system",SUMIF(Tank1!$A$32:$A$49,CAS!A80,Tank1!$C$32:$C$49),0))+(
IF(Tank2!$C$23="Carbon adsorption system",SUMIF(Tank2!$A$32:$A$49, CAS!A80,Tank2!$C$32:$C$49),0))+(
IF(Tank3!$C$23="Carbon adsorption system",SUMIF(Tank3!$A$32:$A$49, CAS!A80,Tank3!$C$32:$C$49),0))+(
IF(Tank4!$C$23="Carbon adsorption system",SUMIF(Tank4!$A$32:$A$49, CAS!A80,Tank4!$C$32:$C$49),0))+(
IF(Tank5!$C$23="Carbon adsorption system",SUMIF(Tank5!$A$32:$A$49, CAS!A80,Tank5!$C$32:$C$49),0))+(
IF('Loading-drum,tote'!$C$21="Carbon adsorption system",SUMIF('Loading-drum,tote'!$A$31:$A$48, CAS!A80,'Loading-drum,tote'!$F$31:$F$48),0))+(
IF('Loading-truck'!$C$21="Carbon adsorption system",SUMIF('Loading-truck'!$A$31:$A$48, CAS!A80,'Loading-truck'!$F$31:$F$48),0))+(
IF('Loading-rail'!$C$21="Carbon adsorption system",SUMIF('Loading-rail'!$A$31:$A$48, CAS!A80,'Loading-rail'!$F$31:$F$48),0))</f>
        <v>0</v>
      </c>
      <c r="E80" s="801">
        <f t="shared" si="1"/>
        <v>0</v>
      </c>
    </row>
    <row r="81" spans="1:5" x14ac:dyDescent="0.25">
      <c r="A81" s="539" t="str">
        <f>'Hidden Inputs'!AO51</f>
        <v/>
      </c>
      <c r="B81" s="1592" t="str">
        <f t="shared" si="2"/>
        <v/>
      </c>
      <c r="C81" s="1592"/>
      <c r="D81" s="800">
        <f>(IF(
Tank1!$C$23="Carbon adsorption system",SUMIF(Tank1!$A$32:$A$49,CAS!A81,Tank1!$C$32:$C$49),0))+(
IF(Tank2!$C$23="Carbon adsorption system",SUMIF(Tank2!$A$32:$A$49, CAS!A81,Tank2!$C$32:$C$49),0))+(
IF(Tank3!$C$23="Carbon adsorption system",SUMIF(Tank3!$A$32:$A$49, CAS!A81,Tank3!$C$32:$C$49),0))+(
IF(Tank4!$C$23="Carbon adsorption system",SUMIF(Tank4!$A$32:$A$49, CAS!A81,Tank4!$C$32:$C$49),0))+(
IF(Tank5!$C$23="Carbon adsorption system",SUMIF(Tank5!$A$32:$A$49, CAS!A81,Tank5!$C$32:$C$49),0))+(
IF('Loading-drum,tote'!$C$21="Carbon adsorption system",SUMIF('Loading-drum,tote'!$A$31:$A$48, CAS!A81,'Loading-drum,tote'!$F$31:$F$48),0))+(
IF('Loading-truck'!$C$21="Carbon adsorption system",SUMIF('Loading-truck'!$A$31:$A$48, CAS!A81,'Loading-truck'!$F$31:$F$48),0))+(
IF('Loading-rail'!$C$21="Carbon adsorption system",SUMIF('Loading-rail'!$A$31:$A$48, CAS!A81,'Loading-rail'!$F$31:$F$48),0))</f>
        <v>0</v>
      </c>
      <c r="E81" s="801">
        <f t="shared" si="1"/>
        <v>0</v>
      </c>
    </row>
    <row r="82" spans="1:5" x14ac:dyDescent="0.25">
      <c r="A82" s="539" t="str">
        <f>'Hidden Inputs'!AO52</f>
        <v/>
      </c>
      <c r="B82" s="1592" t="str">
        <f t="shared" si="2"/>
        <v/>
      </c>
      <c r="C82" s="1592"/>
      <c r="D82" s="800">
        <f>(IF(
Tank1!$C$23="Carbon adsorption system",SUMIF(Tank1!$A$32:$A$49,CAS!A82,Tank1!$C$32:$C$49),0))+(
IF(Tank2!$C$23="Carbon adsorption system",SUMIF(Tank2!$A$32:$A$49, CAS!A82,Tank2!$C$32:$C$49),0))+(
IF(Tank3!$C$23="Carbon adsorption system",SUMIF(Tank3!$A$32:$A$49, CAS!A82,Tank3!$C$32:$C$49),0))+(
IF(Tank4!$C$23="Carbon adsorption system",SUMIF(Tank4!$A$32:$A$49, CAS!A82,Tank4!$C$32:$C$49),0))+(
IF(Tank5!$C$23="Carbon adsorption system",SUMIF(Tank5!$A$32:$A$49, CAS!A82,Tank5!$C$32:$C$49),0))+(
IF('Loading-drum,tote'!$C$21="Carbon adsorption system",SUMIF('Loading-drum,tote'!$A$31:$A$48, CAS!A82,'Loading-drum,tote'!$F$31:$F$48),0))+(
IF('Loading-truck'!$C$21="Carbon adsorption system",SUMIF('Loading-truck'!$A$31:$A$48, CAS!A82,'Loading-truck'!$F$31:$F$48),0))+(
IF('Loading-rail'!$C$21="Carbon adsorption system",SUMIF('Loading-rail'!$A$31:$A$48, CAS!A82,'Loading-rail'!$F$31:$F$48),0))</f>
        <v>0</v>
      </c>
      <c r="E82" s="801">
        <f t="shared" si="1"/>
        <v>0</v>
      </c>
    </row>
    <row r="83" spans="1:5" x14ac:dyDescent="0.25">
      <c r="A83" s="539" t="str">
        <f>'Hidden Inputs'!AO53</f>
        <v/>
      </c>
      <c r="B83" s="1592" t="str">
        <f t="shared" si="2"/>
        <v/>
      </c>
      <c r="C83" s="1592"/>
      <c r="D83" s="800">
        <f>(IF(
Tank1!$C$23="Carbon adsorption system",SUMIF(Tank1!$A$32:$A$49,CAS!A83,Tank1!$C$32:$C$49),0))+(
IF(Tank2!$C$23="Carbon adsorption system",SUMIF(Tank2!$A$32:$A$49, CAS!A83,Tank2!$C$32:$C$49),0))+(
IF(Tank3!$C$23="Carbon adsorption system",SUMIF(Tank3!$A$32:$A$49, CAS!A83,Tank3!$C$32:$C$49),0))+(
IF(Tank4!$C$23="Carbon adsorption system",SUMIF(Tank4!$A$32:$A$49, CAS!A83,Tank4!$C$32:$C$49),0))+(
IF(Tank5!$C$23="Carbon adsorption system",SUMIF(Tank5!$A$32:$A$49, CAS!A83,Tank5!$C$32:$C$49),0))+(
IF('Loading-drum,tote'!$C$21="Carbon adsorption system",SUMIF('Loading-drum,tote'!$A$31:$A$48, CAS!A83,'Loading-drum,tote'!$F$31:$F$48),0))+(
IF('Loading-truck'!$C$21="Carbon adsorption system",SUMIF('Loading-truck'!$A$31:$A$48, CAS!A83,'Loading-truck'!$F$31:$F$48),0))+(
IF('Loading-rail'!$C$21="Carbon adsorption system",SUMIF('Loading-rail'!$A$31:$A$48, CAS!A83,'Loading-rail'!$F$31:$F$48),0))</f>
        <v>0</v>
      </c>
      <c r="E83" s="801">
        <f t="shared" si="1"/>
        <v>0</v>
      </c>
    </row>
    <row r="84" spans="1:5" x14ac:dyDescent="0.25">
      <c r="A84" s="539" t="str">
        <f>'Hidden Inputs'!AO54</f>
        <v/>
      </c>
      <c r="B84" s="1592" t="str">
        <f t="shared" si="2"/>
        <v/>
      </c>
      <c r="C84" s="1592"/>
      <c r="D84" s="800">
        <f>(IF(
Tank1!$C$23="Carbon adsorption system",SUMIF(Tank1!$A$32:$A$49,CAS!A84,Tank1!$C$32:$C$49),0))+(
IF(Tank2!$C$23="Carbon adsorption system",SUMIF(Tank2!$A$32:$A$49, CAS!A84,Tank2!$C$32:$C$49),0))+(
IF(Tank3!$C$23="Carbon adsorption system",SUMIF(Tank3!$A$32:$A$49, CAS!A84,Tank3!$C$32:$C$49),0))+(
IF(Tank4!$C$23="Carbon adsorption system",SUMIF(Tank4!$A$32:$A$49, CAS!A84,Tank4!$C$32:$C$49),0))+(
IF(Tank5!$C$23="Carbon adsorption system",SUMIF(Tank5!$A$32:$A$49, CAS!A84,Tank5!$C$32:$C$49),0))+(
IF('Loading-drum,tote'!$C$21="Carbon adsorption system",SUMIF('Loading-drum,tote'!$A$31:$A$48, CAS!A84,'Loading-drum,tote'!$F$31:$F$48),0))+(
IF('Loading-truck'!$C$21="Carbon adsorption system",SUMIF('Loading-truck'!$A$31:$A$48, CAS!A84,'Loading-truck'!$F$31:$F$48),0))+(
IF('Loading-rail'!$C$21="Carbon adsorption system",SUMIF('Loading-rail'!$A$31:$A$48, CAS!A84,'Loading-rail'!$F$31:$F$48),0))</f>
        <v>0</v>
      </c>
      <c r="E84" s="801">
        <f t="shared" si="1"/>
        <v>0</v>
      </c>
    </row>
    <row r="85" spans="1:5" x14ac:dyDescent="0.25">
      <c r="A85" s="539" t="str">
        <f>'Hidden Inputs'!AO55</f>
        <v/>
      </c>
      <c r="B85" s="1592" t="str">
        <f t="shared" si="2"/>
        <v/>
      </c>
      <c r="C85" s="1592"/>
      <c r="D85" s="800">
        <f>(IF(
Tank1!$C$23="Carbon adsorption system",SUMIF(Tank1!$A$32:$A$49,CAS!A85,Tank1!$C$32:$C$49),0))+(
IF(Tank2!$C$23="Carbon adsorption system",SUMIF(Tank2!$A$32:$A$49, CAS!A85,Tank2!$C$32:$C$49),0))+(
IF(Tank3!$C$23="Carbon adsorption system",SUMIF(Tank3!$A$32:$A$49, CAS!A85,Tank3!$C$32:$C$49),0))+(
IF(Tank4!$C$23="Carbon adsorption system",SUMIF(Tank4!$A$32:$A$49, CAS!A85,Tank4!$C$32:$C$49),0))+(
IF(Tank5!$C$23="Carbon adsorption system",SUMIF(Tank5!$A$32:$A$49, CAS!A85,Tank5!$C$32:$C$49),0))+(
IF('Loading-drum,tote'!$C$21="Carbon adsorption system",SUMIF('Loading-drum,tote'!$A$31:$A$48, CAS!A85,'Loading-drum,tote'!$F$31:$F$48),0))+(
IF('Loading-truck'!$C$21="Carbon adsorption system",SUMIF('Loading-truck'!$A$31:$A$48, CAS!A85,'Loading-truck'!$F$31:$F$48),0))+(
IF('Loading-rail'!$C$21="Carbon adsorption system",SUMIF('Loading-rail'!$A$31:$A$48, CAS!A85,'Loading-rail'!$F$31:$F$48),0))</f>
        <v>0</v>
      </c>
      <c r="E85" s="801">
        <f t="shared" si="1"/>
        <v>0</v>
      </c>
    </row>
    <row r="86" spans="1:5" x14ac:dyDescent="0.25">
      <c r="A86" s="539" t="str">
        <f>'Hidden Inputs'!AO56</f>
        <v/>
      </c>
      <c r="B86" s="1592" t="str">
        <f t="shared" si="2"/>
        <v/>
      </c>
      <c r="C86" s="1592"/>
      <c r="D86" s="800">
        <f>(IF(
Tank1!$C$23="Carbon adsorption system",SUMIF(Tank1!$A$32:$A$49,CAS!A86,Tank1!$C$32:$C$49),0))+(
IF(Tank2!$C$23="Carbon adsorption system",SUMIF(Tank2!$A$32:$A$49, CAS!A86,Tank2!$C$32:$C$49),0))+(
IF(Tank3!$C$23="Carbon adsorption system",SUMIF(Tank3!$A$32:$A$49, CAS!A86,Tank3!$C$32:$C$49),0))+(
IF(Tank4!$C$23="Carbon adsorption system",SUMIF(Tank4!$A$32:$A$49, CAS!A86,Tank4!$C$32:$C$49),0))+(
IF(Tank5!$C$23="Carbon adsorption system",SUMIF(Tank5!$A$32:$A$49, CAS!A86,Tank5!$C$32:$C$49),0))+(
IF('Loading-drum,tote'!$C$21="Carbon adsorption system",SUMIF('Loading-drum,tote'!$A$31:$A$48, CAS!A86,'Loading-drum,tote'!$F$31:$F$48),0))+(
IF('Loading-truck'!$C$21="Carbon adsorption system",SUMIF('Loading-truck'!$A$31:$A$48, CAS!A86,'Loading-truck'!$F$31:$F$48),0))+(
IF('Loading-rail'!$C$21="Carbon adsorption system",SUMIF('Loading-rail'!$A$31:$A$48, CAS!A86,'Loading-rail'!$F$31:$F$48),0))</f>
        <v>0</v>
      </c>
      <c r="E86" s="801">
        <f t="shared" si="1"/>
        <v>0</v>
      </c>
    </row>
    <row r="87" spans="1:5" x14ac:dyDescent="0.25">
      <c r="A87" s="539" t="str">
        <f>'Hidden Inputs'!AO57</f>
        <v/>
      </c>
      <c r="B87" s="1592" t="str">
        <f t="shared" si="2"/>
        <v/>
      </c>
      <c r="C87" s="1592"/>
      <c r="D87" s="800">
        <f>(IF(
Tank1!$C$23="Carbon adsorption system",SUMIF(Tank1!$A$32:$A$49,CAS!A87,Tank1!$C$32:$C$49),0))+(
IF(Tank2!$C$23="Carbon adsorption system",SUMIF(Tank2!$A$32:$A$49, CAS!A87,Tank2!$C$32:$C$49),0))+(
IF(Tank3!$C$23="Carbon adsorption system",SUMIF(Tank3!$A$32:$A$49, CAS!A87,Tank3!$C$32:$C$49),0))+(
IF(Tank4!$C$23="Carbon adsorption system",SUMIF(Tank4!$A$32:$A$49, CAS!A87,Tank4!$C$32:$C$49),0))+(
IF(Tank5!$C$23="Carbon adsorption system",SUMIF(Tank5!$A$32:$A$49, CAS!A87,Tank5!$C$32:$C$49),0))+(
IF('Loading-drum,tote'!$C$21="Carbon adsorption system",SUMIF('Loading-drum,tote'!$A$31:$A$48, CAS!A87,'Loading-drum,tote'!$F$31:$F$48),0))+(
IF('Loading-truck'!$C$21="Carbon adsorption system",SUMIF('Loading-truck'!$A$31:$A$48, CAS!A87,'Loading-truck'!$F$31:$F$48),0))+(
IF('Loading-rail'!$C$21="Carbon adsorption system",SUMIF('Loading-rail'!$A$31:$A$48, CAS!A87,'Loading-rail'!$F$31:$F$48),0))</f>
        <v>0</v>
      </c>
      <c r="E87" s="801">
        <f t="shared" si="1"/>
        <v>0</v>
      </c>
    </row>
    <row r="88" spans="1:5" x14ac:dyDescent="0.25">
      <c r="A88" s="539" t="str">
        <f>'Hidden Inputs'!AO58</f>
        <v/>
      </c>
      <c r="B88" s="1592" t="str">
        <f t="shared" si="2"/>
        <v/>
      </c>
      <c r="C88" s="1592"/>
      <c r="D88" s="800">
        <f>(IF(
Tank1!$C$23="Carbon adsorption system",SUMIF(Tank1!$A$32:$A$49,CAS!A88,Tank1!$C$32:$C$49),0))+(
IF(Tank2!$C$23="Carbon adsorption system",SUMIF(Tank2!$A$32:$A$49, CAS!A88,Tank2!$C$32:$C$49),0))+(
IF(Tank3!$C$23="Carbon adsorption system",SUMIF(Tank3!$A$32:$A$49, CAS!A88,Tank3!$C$32:$C$49),0))+(
IF(Tank4!$C$23="Carbon adsorption system",SUMIF(Tank4!$A$32:$A$49, CAS!A88,Tank4!$C$32:$C$49),0))+(
IF(Tank5!$C$23="Carbon adsorption system",SUMIF(Tank5!$A$32:$A$49, CAS!A88,Tank5!$C$32:$C$49),0))+(
IF('Loading-drum,tote'!$C$21="Carbon adsorption system",SUMIF('Loading-drum,tote'!$A$31:$A$48, CAS!A88,'Loading-drum,tote'!$F$31:$F$48),0))+(
IF('Loading-truck'!$C$21="Carbon adsorption system",SUMIF('Loading-truck'!$A$31:$A$48, CAS!A88,'Loading-truck'!$F$31:$F$48),0))+(
IF('Loading-rail'!$C$21="Carbon adsorption system",SUMIF('Loading-rail'!$A$31:$A$48, CAS!A88,'Loading-rail'!$F$31:$F$48),0))</f>
        <v>0</v>
      </c>
      <c r="E88" s="801">
        <f t="shared" si="1"/>
        <v>0</v>
      </c>
    </row>
    <row r="89" spans="1:5" x14ac:dyDescent="0.25">
      <c r="A89" s="539" t="str">
        <f>'Hidden Inputs'!AO59</f>
        <v/>
      </c>
      <c r="B89" s="1592" t="str">
        <f t="shared" si="2"/>
        <v/>
      </c>
      <c r="C89" s="1592"/>
      <c r="D89" s="800">
        <f>(IF(
Tank1!$C$23="Carbon adsorption system",SUMIF(Tank1!$A$32:$A$49,CAS!A89,Tank1!$C$32:$C$49),0))+(
IF(Tank2!$C$23="Carbon adsorption system",SUMIF(Tank2!$A$32:$A$49, CAS!A89,Tank2!$C$32:$C$49),0))+(
IF(Tank3!$C$23="Carbon adsorption system",SUMIF(Tank3!$A$32:$A$49, CAS!A89,Tank3!$C$32:$C$49),0))+(
IF(Tank4!$C$23="Carbon adsorption system",SUMIF(Tank4!$A$32:$A$49, CAS!A89,Tank4!$C$32:$C$49),0))+(
IF(Tank5!$C$23="Carbon adsorption system",SUMIF(Tank5!$A$32:$A$49, CAS!A89,Tank5!$C$32:$C$49),0))+(
IF('Loading-drum,tote'!$C$21="Carbon adsorption system",SUMIF('Loading-drum,tote'!$A$31:$A$48, CAS!A89,'Loading-drum,tote'!$F$31:$F$48),0))+(
IF('Loading-truck'!$C$21="Carbon adsorption system",SUMIF('Loading-truck'!$A$31:$A$48, CAS!A89,'Loading-truck'!$F$31:$F$48),0))+(
IF('Loading-rail'!$C$21="Carbon adsorption system",SUMIF('Loading-rail'!$A$31:$A$48, CAS!A89,'Loading-rail'!$F$31:$F$48),0))</f>
        <v>0</v>
      </c>
      <c r="E89" s="801">
        <f t="shared" si="1"/>
        <v>0</v>
      </c>
    </row>
    <row r="90" spans="1:5" x14ac:dyDescent="0.25">
      <c r="A90" s="539" t="str">
        <f>'Hidden Inputs'!AO60</f>
        <v/>
      </c>
      <c r="B90" s="1592" t="str">
        <f t="shared" si="2"/>
        <v/>
      </c>
      <c r="C90" s="1592"/>
      <c r="D90" s="800">
        <f>(IF(
Tank1!$C$23="Carbon adsorption system",SUMIF(Tank1!$A$32:$A$49,CAS!A90,Tank1!$C$32:$C$49),0))+(
IF(Tank2!$C$23="Carbon adsorption system",SUMIF(Tank2!$A$32:$A$49, CAS!A90,Tank2!$C$32:$C$49),0))+(
IF(Tank3!$C$23="Carbon adsorption system",SUMIF(Tank3!$A$32:$A$49, CAS!A90,Tank3!$C$32:$C$49),0))+(
IF(Tank4!$C$23="Carbon adsorption system",SUMIF(Tank4!$A$32:$A$49, CAS!A90,Tank4!$C$32:$C$49),0))+(
IF(Tank5!$C$23="Carbon adsorption system",SUMIF(Tank5!$A$32:$A$49, CAS!A90,Tank5!$C$32:$C$49),0))+(
IF('Loading-drum,tote'!$C$21="Carbon adsorption system",SUMIF('Loading-drum,tote'!$A$31:$A$48, CAS!A90,'Loading-drum,tote'!$F$31:$F$48),0))+(
IF('Loading-truck'!$C$21="Carbon adsorption system",SUMIF('Loading-truck'!$A$31:$A$48, CAS!A90,'Loading-truck'!$F$31:$F$48),0))+(
IF('Loading-rail'!$C$21="Carbon adsorption system",SUMIF('Loading-rail'!$A$31:$A$48, CAS!A90,'Loading-rail'!$F$31:$F$48),0))</f>
        <v>0</v>
      </c>
      <c r="E90" s="801">
        <f t="shared" si="1"/>
        <v>0</v>
      </c>
    </row>
    <row r="91" spans="1:5" x14ac:dyDescent="0.25">
      <c r="A91" s="539" t="str">
        <f>'Hidden Inputs'!AO61</f>
        <v/>
      </c>
      <c r="B91" s="1592" t="str">
        <f t="shared" si="2"/>
        <v/>
      </c>
      <c r="C91" s="1592"/>
      <c r="D91" s="800">
        <f>(IF(
Tank1!$C$23="Carbon adsorption system",SUMIF(Tank1!$A$32:$A$49,CAS!A91,Tank1!$C$32:$C$49),0))+(
IF(Tank2!$C$23="Carbon adsorption system",SUMIF(Tank2!$A$32:$A$49, CAS!A91,Tank2!$C$32:$C$49),0))+(
IF(Tank3!$C$23="Carbon adsorption system",SUMIF(Tank3!$A$32:$A$49, CAS!A91,Tank3!$C$32:$C$49),0))+(
IF(Tank4!$C$23="Carbon adsorption system",SUMIF(Tank4!$A$32:$A$49, CAS!A91,Tank4!$C$32:$C$49),0))+(
IF(Tank5!$C$23="Carbon adsorption system",SUMIF(Tank5!$A$32:$A$49, CAS!A91,Tank5!$C$32:$C$49),0))+(
IF('Loading-drum,tote'!$C$21="Carbon adsorption system",SUMIF('Loading-drum,tote'!$A$31:$A$48, CAS!A91,'Loading-drum,tote'!$F$31:$F$48),0))+(
IF('Loading-truck'!$C$21="Carbon adsorption system",SUMIF('Loading-truck'!$A$31:$A$48, CAS!A91,'Loading-truck'!$F$31:$F$48),0))+(
IF('Loading-rail'!$C$21="Carbon adsorption system",SUMIF('Loading-rail'!$A$31:$A$48, CAS!A91,'Loading-rail'!$F$31:$F$48),0))</f>
        <v>0</v>
      </c>
      <c r="E91" s="801">
        <f t="shared" si="1"/>
        <v>0</v>
      </c>
    </row>
    <row r="92" spans="1:5" x14ac:dyDescent="0.25">
      <c r="A92" s="539" t="str">
        <f>'Hidden Inputs'!AO62</f>
        <v/>
      </c>
      <c r="B92" s="1592" t="str">
        <f t="shared" si="2"/>
        <v/>
      </c>
      <c r="C92" s="1592"/>
      <c r="D92" s="800">
        <f>(IF(
Tank1!$C$23="Carbon adsorption system",SUMIF(Tank1!$A$32:$A$49,CAS!A92,Tank1!$C$32:$C$49),0))+(
IF(Tank2!$C$23="Carbon adsorption system",SUMIF(Tank2!$A$32:$A$49, CAS!A92,Tank2!$C$32:$C$49),0))+(
IF(Tank3!$C$23="Carbon adsorption system",SUMIF(Tank3!$A$32:$A$49, CAS!A92,Tank3!$C$32:$C$49),0))+(
IF(Tank4!$C$23="Carbon adsorption system",SUMIF(Tank4!$A$32:$A$49, CAS!A92,Tank4!$C$32:$C$49),0))+(
IF(Tank5!$C$23="Carbon adsorption system",SUMIF(Tank5!$A$32:$A$49, CAS!A92,Tank5!$C$32:$C$49),0))+(
IF('Loading-drum,tote'!$C$21="Carbon adsorption system",SUMIF('Loading-drum,tote'!$A$31:$A$48, CAS!A92,'Loading-drum,tote'!$F$31:$F$48),0))+(
IF('Loading-truck'!$C$21="Carbon adsorption system",SUMIF('Loading-truck'!$A$31:$A$48, CAS!A92,'Loading-truck'!$F$31:$F$48),0))+(
IF('Loading-rail'!$C$21="Carbon adsorption system",SUMIF('Loading-rail'!$A$31:$A$48, CAS!A92,'Loading-rail'!$F$31:$F$48),0))</f>
        <v>0</v>
      </c>
      <c r="E92" s="801">
        <f t="shared" si="1"/>
        <v>0</v>
      </c>
    </row>
    <row r="93" spans="1:5" x14ac:dyDescent="0.25">
      <c r="A93" s="539" t="str">
        <f>'Hidden Inputs'!AO63</f>
        <v/>
      </c>
      <c r="B93" s="1592" t="str">
        <f t="shared" si="2"/>
        <v/>
      </c>
      <c r="C93" s="1592"/>
      <c r="D93" s="800">
        <f>(IF(
Tank1!$C$23="Carbon adsorption system",SUMIF(Tank1!$A$32:$A$49,CAS!A93,Tank1!$C$32:$C$49),0))+(
IF(Tank2!$C$23="Carbon adsorption system",SUMIF(Tank2!$A$32:$A$49, CAS!A93,Tank2!$C$32:$C$49),0))+(
IF(Tank3!$C$23="Carbon adsorption system",SUMIF(Tank3!$A$32:$A$49, CAS!A93,Tank3!$C$32:$C$49),0))+(
IF(Tank4!$C$23="Carbon adsorption system",SUMIF(Tank4!$A$32:$A$49, CAS!A93,Tank4!$C$32:$C$49),0))+(
IF(Tank5!$C$23="Carbon adsorption system",SUMIF(Tank5!$A$32:$A$49, CAS!A93,Tank5!$C$32:$C$49),0))+(
IF('Loading-drum,tote'!$C$21="Carbon adsorption system",SUMIF('Loading-drum,tote'!$A$31:$A$48, CAS!A93,'Loading-drum,tote'!$F$31:$F$48),0))+(
IF('Loading-truck'!$C$21="Carbon adsorption system",SUMIF('Loading-truck'!$A$31:$A$48, CAS!A93,'Loading-truck'!$F$31:$F$48),0))+(
IF('Loading-rail'!$C$21="Carbon adsorption system",SUMIF('Loading-rail'!$A$31:$A$48, CAS!A93,'Loading-rail'!$F$31:$F$48),0))</f>
        <v>0</v>
      </c>
      <c r="E93" s="801">
        <f t="shared" si="1"/>
        <v>0</v>
      </c>
    </row>
    <row r="94" spans="1:5" x14ac:dyDescent="0.25">
      <c r="A94" s="539" t="str">
        <f>'Hidden Inputs'!AO64</f>
        <v/>
      </c>
      <c r="B94" s="1592" t="str">
        <f t="shared" si="2"/>
        <v/>
      </c>
      <c r="C94" s="1592"/>
      <c r="D94" s="800">
        <f>(IF(
Tank1!$C$23="Carbon adsorption system",SUMIF(Tank1!$A$32:$A$49,CAS!A94,Tank1!$C$32:$C$49),0))+(
IF(Tank2!$C$23="Carbon adsorption system",SUMIF(Tank2!$A$32:$A$49, CAS!A94,Tank2!$C$32:$C$49),0))+(
IF(Tank3!$C$23="Carbon adsorption system",SUMIF(Tank3!$A$32:$A$49, CAS!A94,Tank3!$C$32:$C$49),0))+(
IF(Tank4!$C$23="Carbon adsorption system",SUMIF(Tank4!$A$32:$A$49, CAS!A94,Tank4!$C$32:$C$49),0))+(
IF(Tank5!$C$23="Carbon adsorption system",SUMIF(Tank5!$A$32:$A$49, CAS!A94,Tank5!$C$32:$C$49),0))+(
IF('Loading-drum,tote'!$C$21="Carbon adsorption system",SUMIF('Loading-drum,tote'!$A$31:$A$48, CAS!A94,'Loading-drum,tote'!$F$31:$F$48),0))+(
IF('Loading-truck'!$C$21="Carbon adsorption system",SUMIF('Loading-truck'!$A$31:$A$48, CAS!A94,'Loading-truck'!$F$31:$F$48),0))+(
IF('Loading-rail'!$C$21="Carbon adsorption system",SUMIF('Loading-rail'!$A$31:$A$48, CAS!A94,'Loading-rail'!$F$31:$F$48),0))</f>
        <v>0</v>
      </c>
      <c r="E94" s="801">
        <f t="shared" si="1"/>
        <v>0</v>
      </c>
    </row>
    <row r="95" spans="1:5" x14ac:dyDescent="0.25">
      <c r="A95" s="539" t="str">
        <f>'Hidden Inputs'!AO65</f>
        <v/>
      </c>
      <c r="B95" s="1592" t="str">
        <f t="shared" si="2"/>
        <v/>
      </c>
      <c r="C95" s="1592"/>
      <c r="D95" s="800">
        <f>(IF(
Tank1!$C$23="Carbon adsorption system",SUMIF(Tank1!$A$32:$A$49,CAS!A95,Tank1!$C$32:$C$49),0))+(
IF(Tank2!$C$23="Carbon adsorption system",SUMIF(Tank2!$A$32:$A$49, CAS!A95,Tank2!$C$32:$C$49),0))+(
IF(Tank3!$C$23="Carbon adsorption system",SUMIF(Tank3!$A$32:$A$49, CAS!A95,Tank3!$C$32:$C$49),0))+(
IF(Tank4!$C$23="Carbon adsorption system",SUMIF(Tank4!$A$32:$A$49, CAS!A95,Tank4!$C$32:$C$49),0))+(
IF(Tank5!$C$23="Carbon adsorption system",SUMIF(Tank5!$A$32:$A$49, CAS!A95,Tank5!$C$32:$C$49),0))+(
IF('Loading-drum,tote'!$C$21="Carbon adsorption system",SUMIF('Loading-drum,tote'!$A$31:$A$48, CAS!A95,'Loading-drum,tote'!$F$31:$F$48),0))+(
IF('Loading-truck'!$C$21="Carbon adsorption system",SUMIF('Loading-truck'!$A$31:$A$48, CAS!A95,'Loading-truck'!$F$31:$F$48),0))+(
IF('Loading-rail'!$C$21="Carbon adsorption system",SUMIF('Loading-rail'!$A$31:$A$48, CAS!A95,'Loading-rail'!$F$31:$F$48),0))</f>
        <v>0</v>
      </c>
      <c r="E95" s="801">
        <f t="shared" si="1"/>
        <v>0</v>
      </c>
    </row>
    <row r="96" spans="1:5" x14ac:dyDescent="0.25">
      <c r="A96" s="539" t="str">
        <f>'Hidden Inputs'!AO66</f>
        <v/>
      </c>
      <c r="B96" s="1592" t="str">
        <f t="shared" ref="B96:B127" si="3">IFERROR(VLOOKUP(A96, SpeciesDataTable,2,FALSE),"")</f>
        <v/>
      </c>
      <c r="C96" s="1592"/>
      <c r="D96" s="800">
        <f>(IF(
Tank1!$C$23="Carbon adsorption system",SUMIF(Tank1!$A$32:$A$49,CAS!A96,Tank1!$C$32:$C$49),0))+(
IF(Tank2!$C$23="Carbon adsorption system",SUMIF(Tank2!$A$32:$A$49, CAS!A96,Tank2!$C$32:$C$49),0))+(
IF(Tank3!$C$23="Carbon adsorption system",SUMIF(Tank3!$A$32:$A$49, CAS!A96,Tank3!$C$32:$C$49),0))+(
IF(Tank4!$C$23="Carbon adsorption system",SUMIF(Tank4!$A$32:$A$49, CAS!A96,Tank4!$C$32:$C$49),0))+(
IF(Tank5!$C$23="Carbon adsorption system",SUMIF(Tank5!$A$32:$A$49, CAS!A96,Tank5!$C$32:$C$49),0))+(
IF('Loading-drum,tote'!$C$21="Carbon adsorption system",SUMIF('Loading-drum,tote'!$A$31:$A$48, CAS!A96,'Loading-drum,tote'!$F$31:$F$48),0))+(
IF('Loading-truck'!$C$21="Carbon adsorption system",SUMIF('Loading-truck'!$A$31:$A$48, CAS!A96,'Loading-truck'!$F$31:$F$48),0))+(
IF('Loading-rail'!$C$21="Carbon adsorption system",SUMIF('Loading-rail'!$A$31:$A$48, CAS!A96,'Loading-rail'!$F$31:$F$48),0))</f>
        <v>0</v>
      </c>
      <c r="E96" s="801">
        <f t="shared" si="1"/>
        <v>0</v>
      </c>
    </row>
    <row r="97" spans="1:5" x14ac:dyDescent="0.25">
      <c r="A97" s="539" t="str">
        <f>'Hidden Inputs'!AO67</f>
        <v/>
      </c>
      <c r="B97" s="1592" t="str">
        <f t="shared" si="3"/>
        <v/>
      </c>
      <c r="C97" s="1592"/>
      <c r="D97" s="800">
        <f>(IF(
Tank1!$C$23="Carbon adsorption system",SUMIF(Tank1!$A$32:$A$49,CAS!A97,Tank1!$C$32:$C$49),0))+(
IF(Tank2!$C$23="Carbon adsorption system",SUMIF(Tank2!$A$32:$A$49, CAS!A97,Tank2!$C$32:$C$49),0))+(
IF(Tank3!$C$23="Carbon adsorption system",SUMIF(Tank3!$A$32:$A$49, CAS!A97,Tank3!$C$32:$C$49),0))+(
IF(Tank4!$C$23="Carbon adsorption system",SUMIF(Tank4!$A$32:$A$49, CAS!A97,Tank4!$C$32:$C$49),0))+(
IF(Tank5!$C$23="Carbon adsorption system",SUMIF(Tank5!$A$32:$A$49, CAS!A97,Tank5!$C$32:$C$49),0))+(
IF('Loading-drum,tote'!$C$21="Carbon adsorption system",SUMIF('Loading-drum,tote'!$A$31:$A$48, CAS!A97,'Loading-drum,tote'!$F$31:$F$48),0))+(
IF('Loading-truck'!$C$21="Carbon adsorption system",SUMIF('Loading-truck'!$A$31:$A$48, CAS!A97,'Loading-truck'!$F$31:$F$48),0))+(
IF('Loading-rail'!$C$21="Carbon adsorption system",SUMIF('Loading-rail'!$A$31:$A$48, CAS!A97,'Loading-rail'!$F$31:$F$48),0))</f>
        <v>0</v>
      </c>
      <c r="E97" s="801">
        <f t="shared" ref="E97:E160" si="4">IF(OR(B97="ammonia",B97="hydrogen sulfide"),D97,D97*(1-$C$22))</f>
        <v>0</v>
      </c>
    </row>
    <row r="98" spans="1:5" x14ac:dyDescent="0.25">
      <c r="A98" s="539" t="str">
        <f>'Hidden Inputs'!AO68</f>
        <v/>
      </c>
      <c r="B98" s="1592" t="str">
        <f t="shared" si="3"/>
        <v/>
      </c>
      <c r="C98" s="1592"/>
      <c r="D98" s="800">
        <f>(IF(
Tank1!$C$23="Carbon adsorption system",SUMIF(Tank1!$A$32:$A$49,CAS!A98,Tank1!$C$32:$C$49),0))+(
IF(Tank2!$C$23="Carbon adsorption system",SUMIF(Tank2!$A$32:$A$49, CAS!A98,Tank2!$C$32:$C$49),0))+(
IF(Tank3!$C$23="Carbon adsorption system",SUMIF(Tank3!$A$32:$A$49, CAS!A98,Tank3!$C$32:$C$49),0))+(
IF(Tank4!$C$23="Carbon adsorption system",SUMIF(Tank4!$A$32:$A$49, CAS!A98,Tank4!$C$32:$C$49),0))+(
IF(Tank5!$C$23="Carbon adsorption system",SUMIF(Tank5!$A$32:$A$49, CAS!A98,Tank5!$C$32:$C$49),0))+(
IF('Loading-drum,tote'!$C$21="Carbon adsorption system",SUMIF('Loading-drum,tote'!$A$31:$A$48, CAS!A98,'Loading-drum,tote'!$F$31:$F$48),0))+(
IF('Loading-truck'!$C$21="Carbon adsorption system",SUMIF('Loading-truck'!$A$31:$A$48, CAS!A98,'Loading-truck'!$F$31:$F$48),0))+(
IF('Loading-rail'!$C$21="Carbon adsorption system",SUMIF('Loading-rail'!$A$31:$A$48, CAS!A98,'Loading-rail'!$F$31:$F$48),0))</f>
        <v>0</v>
      </c>
      <c r="E98" s="801">
        <f t="shared" si="4"/>
        <v>0</v>
      </c>
    </row>
    <row r="99" spans="1:5" x14ac:dyDescent="0.25">
      <c r="A99" s="539" t="str">
        <f>'Hidden Inputs'!AO69</f>
        <v/>
      </c>
      <c r="B99" s="1592" t="str">
        <f t="shared" si="3"/>
        <v/>
      </c>
      <c r="C99" s="1592"/>
      <c r="D99" s="800">
        <f>(IF(
Tank1!$C$23="Carbon adsorption system",SUMIF(Tank1!$A$32:$A$49,CAS!A99,Tank1!$C$32:$C$49),0))+(
IF(Tank2!$C$23="Carbon adsorption system",SUMIF(Tank2!$A$32:$A$49, CAS!A99,Tank2!$C$32:$C$49),0))+(
IF(Tank3!$C$23="Carbon adsorption system",SUMIF(Tank3!$A$32:$A$49, CAS!A99,Tank3!$C$32:$C$49),0))+(
IF(Tank4!$C$23="Carbon adsorption system",SUMIF(Tank4!$A$32:$A$49, CAS!A99,Tank4!$C$32:$C$49),0))+(
IF(Tank5!$C$23="Carbon adsorption system",SUMIF(Tank5!$A$32:$A$49, CAS!A99,Tank5!$C$32:$C$49),0))+(
IF('Loading-drum,tote'!$C$21="Carbon adsorption system",SUMIF('Loading-drum,tote'!$A$31:$A$48, CAS!A99,'Loading-drum,tote'!$F$31:$F$48),0))+(
IF('Loading-truck'!$C$21="Carbon adsorption system",SUMIF('Loading-truck'!$A$31:$A$48, CAS!A99,'Loading-truck'!$F$31:$F$48),0))+(
IF('Loading-rail'!$C$21="Carbon adsorption system",SUMIF('Loading-rail'!$A$31:$A$48, CAS!A99,'Loading-rail'!$F$31:$F$48),0))</f>
        <v>0</v>
      </c>
      <c r="E99" s="801">
        <f t="shared" si="4"/>
        <v>0</v>
      </c>
    </row>
    <row r="100" spans="1:5" x14ac:dyDescent="0.25">
      <c r="A100" s="539" t="str">
        <f>'Hidden Inputs'!AO70</f>
        <v/>
      </c>
      <c r="B100" s="1592" t="str">
        <f t="shared" si="3"/>
        <v/>
      </c>
      <c r="C100" s="1592"/>
      <c r="D100" s="800">
        <f>(IF(
Tank1!$C$23="Carbon adsorption system",SUMIF(Tank1!$A$32:$A$49,CAS!A100,Tank1!$C$32:$C$49),0))+(
IF(Tank2!$C$23="Carbon adsorption system",SUMIF(Tank2!$A$32:$A$49, CAS!A100,Tank2!$C$32:$C$49),0))+(
IF(Tank3!$C$23="Carbon adsorption system",SUMIF(Tank3!$A$32:$A$49, CAS!A100,Tank3!$C$32:$C$49),0))+(
IF(Tank4!$C$23="Carbon adsorption system",SUMIF(Tank4!$A$32:$A$49, CAS!A100,Tank4!$C$32:$C$49),0))+(
IF(Tank5!$C$23="Carbon adsorption system",SUMIF(Tank5!$A$32:$A$49, CAS!A100,Tank5!$C$32:$C$49),0))+(
IF('Loading-drum,tote'!$C$21="Carbon adsorption system",SUMIF('Loading-drum,tote'!$A$31:$A$48, CAS!A100,'Loading-drum,tote'!$F$31:$F$48),0))+(
IF('Loading-truck'!$C$21="Carbon adsorption system",SUMIF('Loading-truck'!$A$31:$A$48, CAS!A100,'Loading-truck'!$F$31:$F$48),0))+(
IF('Loading-rail'!$C$21="Carbon adsorption system",SUMIF('Loading-rail'!$A$31:$A$48, CAS!A100,'Loading-rail'!$F$31:$F$48),0))</f>
        <v>0</v>
      </c>
      <c r="E100" s="801">
        <f t="shared" si="4"/>
        <v>0</v>
      </c>
    </row>
    <row r="101" spans="1:5" x14ac:dyDescent="0.25">
      <c r="A101" s="539" t="str">
        <f>'Hidden Inputs'!AO71</f>
        <v/>
      </c>
      <c r="B101" s="1592" t="str">
        <f t="shared" si="3"/>
        <v/>
      </c>
      <c r="C101" s="1592"/>
      <c r="D101" s="800">
        <f>(IF(
Tank1!$C$23="Carbon adsorption system",SUMIF(Tank1!$A$32:$A$49,CAS!A101,Tank1!$C$32:$C$49),0))+(
IF(Tank2!$C$23="Carbon adsorption system",SUMIF(Tank2!$A$32:$A$49, CAS!A101,Tank2!$C$32:$C$49),0))+(
IF(Tank3!$C$23="Carbon adsorption system",SUMIF(Tank3!$A$32:$A$49, CAS!A101,Tank3!$C$32:$C$49),0))+(
IF(Tank4!$C$23="Carbon adsorption system",SUMIF(Tank4!$A$32:$A$49, CAS!A101,Tank4!$C$32:$C$49),0))+(
IF(Tank5!$C$23="Carbon adsorption system",SUMIF(Tank5!$A$32:$A$49, CAS!A101,Tank5!$C$32:$C$49),0))+(
IF('Loading-drum,tote'!$C$21="Carbon adsorption system",SUMIF('Loading-drum,tote'!$A$31:$A$48, CAS!A101,'Loading-drum,tote'!$F$31:$F$48),0))+(
IF('Loading-truck'!$C$21="Carbon adsorption system",SUMIF('Loading-truck'!$A$31:$A$48, CAS!A101,'Loading-truck'!$F$31:$F$48),0))+(
IF('Loading-rail'!$C$21="Carbon adsorption system",SUMIF('Loading-rail'!$A$31:$A$48, CAS!A101,'Loading-rail'!$F$31:$F$48),0))</f>
        <v>0</v>
      </c>
      <c r="E101" s="801">
        <f t="shared" si="4"/>
        <v>0</v>
      </c>
    </row>
    <row r="102" spans="1:5" x14ac:dyDescent="0.25">
      <c r="A102" s="539" t="str">
        <f>'Hidden Inputs'!AO72</f>
        <v/>
      </c>
      <c r="B102" s="1592" t="str">
        <f t="shared" si="3"/>
        <v/>
      </c>
      <c r="C102" s="1592"/>
      <c r="D102" s="800">
        <f>(IF(
Tank1!$C$23="Carbon adsorption system",SUMIF(Tank1!$A$32:$A$49,CAS!A102,Tank1!$C$32:$C$49),0))+(
IF(Tank2!$C$23="Carbon adsorption system",SUMIF(Tank2!$A$32:$A$49, CAS!A102,Tank2!$C$32:$C$49),0))+(
IF(Tank3!$C$23="Carbon adsorption system",SUMIF(Tank3!$A$32:$A$49, CAS!A102,Tank3!$C$32:$C$49),0))+(
IF(Tank4!$C$23="Carbon adsorption system",SUMIF(Tank4!$A$32:$A$49, CAS!A102,Tank4!$C$32:$C$49),0))+(
IF(Tank5!$C$23="Carbon adsorption system",SUMIF(Tank5!$A$32:$A$49, CAS!A102,Tank5!$C$32:$C$49),0))+(
IF('Loading-drum,tote'!$C$21="Carbon adsorption system",SUMIF('Loading-drum,tote'!$A$31:$A$48, CAS!A102,'Loading-drum,tote'!$F$31:$F$48),0))+(
IF('Loading-truck'!$C$21="Carbon adsorption system",SUMIF('Loading-truck'!$A$31:$A$48, CAS!A102,'Loading-truck'!$F$31:$F$48),0))+(
IF('Loading-rail'!$C$21="Carbon adsorption system",SUMIF('Loading-rail'!$A$31:$A$48, CAS!A102,'Loading-rail'!$F$31:$F$48),0))</f>
        <v>0</v>
      </c>
      <c r="E102" s="801">
        <f t="shared" si="4"/>
        <v>0</v>
      </c>
    </row>
    <row r="103" spans="1:5" x14ac:dyDescent="0.25">
      <c r="A103" s="539" t="str">
        <f>'Hidden Inputs'!AO73</f>
        <v/>
      </c>
      <c r="B103" s="1592" t="str">
        <f t="shared" si="3"/>
        <v/>
      </c>
      <c r="C103" s="1592"/>
      <c r="D103" s="800">
        <f>(IF(
Tank1!$C$23="Carbon adsorption system",SUMIF(Tank1!$A$32:$A$49,CAS!A103,Tank1!$C$32:$C$49),0))+(
IF(Tank2!$C$23="Carbon adsorption system",SUMIF(Tank2!$A$32:$A$49, CAS!A103,Tank2!$C$32:$C$49),0))+(
IF(Tank3!$C$23="Carbon adsorption system",SUMIF(Tank3!$A$32:$A$49, CAS!A103,Tank3!$C$32:$C$49),0))+(
IF(Tank4!$C$23="Carbon adsorption system",SUMIF(Tank4!$A$32:$A$49, CAS!A103,Tank4!$C$32:$C$49),0))+(
IF(Tank5!$C$23="Carbon adsorption system",SUMIF(Tank5!$A$32:$A$49, CAS!A103,Tank5!$C$32:$C$49),0))+(
IF('Loading-drum,tote'!$C$21="Carbon adsorption system",SUMIF('Loading-drum,tote'!$A$31:$A$48, CAS!A103,'Loading-drum,tote'!$F$31:$F$48),0))+(
IF('Loading-truck'!$C$21="Carbon adsorption system",SUMIF('Loading-truck'!$A$31:$A$48, CAS!A103,'Loading-truck'!$F$31:$F$48),0))+(
IF('Loading-rail'!$C$21="Carbon adsorption system",SUMIF('Loading-rail'!$A$31:$A$48, CAS!A103,'Loading-rail'!$F$31:$F$48),0))</f>
        <v>0</v>
      </c>
      <c r="E103" s="801">
        <f t="shared" si="4"/>
        <v>0</v>
      </c>
    </row>
    <row r="104" spans="1:5" x14ac:dyDescent="0.25">
      <c r="A104" s="539" t="str">
        <f>'Hidden Inputs'!AO74</f>
        <v/>
      </c>
      <c r="B104" s="1592" t="str">
        <f t="shared" si="3"/>
        <v/>
      </c>
      <c r="C104" s="1592"/>
      <c r="D104" s="800">
        <f>(IF(
Tank1!$C$23="Carbon adsorption system",SUMIF(Tank1!$A$32:$A$49,CAS!A104,Tank1!$C$32:$C$49),0))+(
IF(Tank2!$C$23="Carbon adsorption system",SUMIF(Tank2!$A$32:$A$49, CAS!A104,Tank2!$C$32:$C$49),0))+(
IF(Tank3!$C$23="Carbon adsorption system",SUMIF(Tank3!$A$32:$A$49, CAS!A104,Tank3!$C$32:$C$49),0))+(
IF(Tank4!$C$23="Carbon adsorption system",SUMIF(Tank4!$A$32:$A$49, CAS!A104,Tank4!$C$32:$C$49),0))+(
IF(Tank5!$C$23="Carbon adsorption system",SUMIF(Tank5!$A$32:$A$49, CAS!A104,Tank5!$C$32:$C$49),0))+(
IF('Loading-drum,tote'!$C$21="Carbon adsorption system",SUMIF('Loading-drum,tote'!$A$31:$A$48, CAS!A104,'Loading-drum,tote'!$F$31:$F$48),0))+(
IF('Loading-truck'!$C$21="Carbon adsorption system",SUMIF('Loading-truck'!$A$31:$A$48, CAS!A104,'Loading-truck'!$F$31:$F$48),0))+(
IF('Loading-rail'!$C$21="Carbon adsorption system",SUMIF('Loading-rail'!$A$31:$A$48, CAS!A104,'Loading-rail'!$F$31:$F$48),0))</f>
        <v>0</v>
      </c>
      <c r="E104" s="801">
        <f t="shared" si="4"/>
        <v>0</v>
      </c>
    </row>
    <row r="105" spans="1:5" x14ac:dyDescent="0.25">
      <c r="A105" s="539" t="str">
        <f>'Hidden Inputs'!AO75</f>
        <v/>
      </c>
      <c r="B105" s="1592" t="str">
        <f t="shared" si="3"/>
        <v/>
      </c>
      <c r="C105" s="1592"/>
      <c r="D105" s="800">
        <f>(IF(
Tank1!$C$23="Carbon adsorption system",SUMIF(Tank1!$A$32:$A$49,CAS!A105,Tank1!$C$32:$C$49),0))+(
IF(Tank2!$C$23="Carbon adsorption system",SUMIF(Tank2!$A$32:$A$49, CAS!A105,Tank2!$C$32:$C$49),0))+(
IF(Tank3!$C$23="Carbon adsorption system",SUMIF(Tank3!$A$32:$A$49, CAS!A105,Tank3!$C$32:$C$49),0))+(
IF(Tank4!$C$23="Carbon adsorption system",SUMIF(Tank4!$A$32:$A$49, CAS!A105,Tank4!$C$32:$C$49),0))+(
IF(Tank5!$C$23="Carbon adsorption system",SUMIF(Tank5!$A$32:$A$49, CAS!A105,Tank5!$C$32:$C$49),0))+(
IF('Loading-drum,tote'!$C$21="Carbon adsorption system",SUMIF('Loading-drum,tote'!$A$31:$A$48, CAS!A105,'Loading-drum,tote'!$F$31:$F$48),0))+(
IF('Loading-truck'!$C$21="Carbon adsorption system",SUMIF('Loading-truck'!$A$31:$A$48, CAS!A105,'Loading-truck'!$F$31:$F$48),0))+(
IF('Loading-rail'!$C$21="Carbon adsorption system",SUMIF('Loading-rail'!$A$31:$A$48, CAS!A105,'Loading-rail'!$F$31:$F$48),0))</f>
        <v>0</v>
      </c>
      <c r="E105" s="801">
        <f t="shared" si="4"/>
        <v>0</v>
      </c>
    </row>
    <row r="106" spans="1:5" x14ac:dyDescent="0.25">
      <c r="A106" s="539" t="str">
        <f>'Hidden Inputs'!AO76</f>
        <v/>
      </c>
      <c r="B106" s="1592" t="str">
        <f t="shared" si="3"/>
        <v/>
      </c>
      <c r="C106" s="1592"/>
      <c r="D106" s="800">
        <f>(IF(
Tank1!$C$23="Carbon adsorption system",SUMIF(Tank1!$A$32:$A$49,CAS!A106,Tank1!$C$32:$C$49),0))+(
IF(Tank2!$C$23="Carbon adsorption system",SUMIF(Tank2!$A$32:$A$49, CAS!A106,Tank2!$C$32:$C$49),0))+(
IF(Tank3!$C$23="Carbon adsorption system",SUMIF(Tank3!$A$32:$A$49, CAS!A106,Tank3!$C$32:$C$49),0))+(
IF(Tank4!$C$23="Carbon adsorption system",SUMIF(Tank4!$A$32:$A$49, CAS!A106,Tank4!$C$32:$C$49),0))+(
IF(Tank5!$C$23="Carbon adsorption system",SUMIF(Tank5!$A$32:$A$49, CAS!A106,Tank5!$C$32:$C$49),0))+(
IF('Loading-drum,tote'!$C$21="Carbon adsorption system",SUMIF('Loading-drum,tote'!$A$31:$A$48, CAS!A106,'Loading-drum,tote'!$F$31:$F$48),0))+(
IF('Loading-truck'!$C$21="Carbon adsorption system",SUMIF('Loading-truck'!$A$31:$A$48, CAS!A106,'Loading-truck'!$F$31:$F$48),0))+(
IF('Loading-rail'!$C$21="Carbon adsorption system",SUMIF('Loading-rail'!$A$31:$A$48, CAS!A106,'Loading-rail'!$F$31:$F$48),0))</f>
        <v>0</v>
      </c>
      <c r="E106" s="801">
        <f t="shared" si="4"/>
        <v>0</v>
      </c>
    </row>
    <row r="107" spans="1:5" x14ac:dyDescent="0.25">
      <c r="A107" s="539" t="str">
        <f>'Hidden Inputs'!AO77</f>
        <v/>
      </c>
      <c r="B107" s="1592" t="str">
        <f t="shared" si="3"/>
        <v/>
      </c>
      <c r="C107" s="1592"/>
      <c r="D107" s="800">
        <f>(IF(
Tank1!$C$23="Carbon adsorption system",SUMIF(Tank1!$A$32:$A$49,CAS!A107,Tank1!$C$32:$C$49),0))+(
IF(Tank2!$C$23="Carbon adsorption system",SUMIF(Tank2!$A$32:$A$49, CAS!A107,Tank2!$C$32:$C$49),0))+(
IF(Tank3!$C$23="Carbon adsorption system",SUMIF(Tank3!$A$32:$A$49, CAS!A107,Tank3!$C$32:$C$49),0))+(
IF(Tank4!$C$23="Carbon adsorption system",SUMIF(Tank4!$A$32:$A$49, CAS!A107,Tank4!$C$32:$C$49),0))+(
IF(Tank5!$C$23="Carbon adsorption system",SUMIF(Tank5!$A$32:$A$49, CAS!A107,Tank5!$C$32:$C$49),0))+(
IF('Loading-drum,tote'!$C$21="Carbon adsorption system",SUMIF('Loading-drum,tote'!$A$31:$A$48, CAS!A107,'Loading-drum,tote'!$F$31:$F$48),0))+(
IF('Loading-truck'!$C$21="Carbon adsorption system",SUMIF('Loading-truck'!$A$31:$A$48, CAS!A107,'Loading-truck'!$F$31:$F$48),0))+(
IF('Loading-rail'!$C$21="Carbon adsorption system",SUMIF('Loading-rail'!$A$31:$A$48, CAS!A107,'Loading-rail'!$F$31:$F$48),0))</f>
        <v>0</v>
      </c>
      <c r="E107" s="801">
        <f t="shared" si="4"/>
        <v>0</v>
      </c>
    </row>
    <row r="108" spans="1:5" x14ac:dyDescent="0.25">
      <c r="A108" s="539" t="str">
        <f>'Hidden Inputs'!AO78</f>
        <v/>
      </c>
      <c r="B108" s="1592" t="str">
        <f t="shared" si="3"/>
        <v/>
      </c>
      <c r="C108" s="1592"/>
      <c r="D108" s="800">
        <f>(IF(
Tank1!$C$23="Carbon adsorption system",SUMIF(Tank1!$A$32:$A$49,CAS!A108,Tank1!$C$32:$C$49),0))+(
IF(Tank2!$C$23="Carbon adsorption system",SUMIF(Tank2!$A$32:$A$49, CAS!A108,Tank2!$C$32:$C$49),0))+(
IF(Tank3!$C$23="Carbon adsorption system",SUMIF(Tank3!$A$32:$A$49, CAS!A108,Tank3!$C$32:$C$49),0))+(
IF(Tank4!$C$23="Carbon adsorption system",SUMIF(Tank4!$A$32:$A$49, CAS!A108,Tank4!$C$32:$C$49),0))+(
IF(Tank5!$C$23="Carbon adsorption system",SUMIF(Tank5!$A$32:$A$49, CAS!A108,Tank5!$C$32:$C$49),0))+(
IF('Loading-drum,tote'!$C$21="Carbon adsorption system",SUMIF('Loading-drum,tote'!$A$31:$A$48, CAS!A108,'Loading-drum,tote'!$F$31:$F$48),0))+(
IF('Loading-truck'!$C$21="Carbon adsorption system",SUMIF('Loading-truck'!$A$31:$A$48, CAS!A108,'Loading-truck'!$F$31:$F$48),0))+(
IF('Loading-rail'!$C$21="Carbon adsorption system",SUMIF('Loading-rail'!$A$31:$A$48, CAS!A108,'Loading-rail'!$F$31:$F$48),0))</f>
        <v>0</v>
      </c>
      <c r="E108" s="801">
        <f t="shared" si="4"/>
        <v>0</v>
      </c>
    </row>
    <row r="109" spans="1:5" x14ac:dyDescent="0.25">
      <c r="A109" s="539" t="str">
        <f>'Hidden Inputs'!AO79</f>
        <v/>
      </c>
      <c r="B109" s="1592" t="str">
        <f t="shared" si="3"/>
        <v/>
      </c>
      <c r="C109" s="1592"/>
      <c r="D109" s="800">
        <f>(IF(
Tank1!$C$23="Carbon adsorption system",SUMIF(Tank1!$A$32:$A$49,CAS!A109,Tank1!$C$32:$C$49),0))+(
IF(Tank2!$C$23="Carbon adsorption system",SUMIF(Tank2!$A$32:$A$49, CAS!A109,Tank2!$C$32:$C$49),0))+(
IF(Tank3!$C$23="Carbon adsorption system",SUMIF(Tank3!$A$32:$A$49, CAS!A109,Tank3!$C$32:$C$49),0))+(
IF(Tank4!$C$23="Carbon adsorption system",SUMIF(Tank4!$A$32:$A$49, CAS!A109,Tank4!$C$32:$C$49),0))+(
IF(Tank5!$C$23="Carbon adsorption system",SUMIF(Tank5!$A$32:$A$49, CAS!A109,Tank5!$C$32:$C$49),0))+(
IF('Loading-drum,tote'!$C$21="Carbon adsorption system",SUMIF('Loading-drum,tote'!$A$31:$A$48, CAS!A109,'Loading-drum,tote'!$F$31:$F$48),0))+(
IF('Loading-truck'!$C$21="Carbon adsorption system",SUMIF('Loading-truck'!$A$31:$A$48, CAS!A109,'Loading-truck'!$F$31:$F$48),0))+(
IF('Loading-rail'!$C$21="Carbon adsorption system",SUMIF('Loading-rail'!$A$31:$A$48, CAS!A109,'Loading-rail'!$F$31:$F$48),0))</f>
        <v>0</v>
      </c>
      <c r="E109" s="801">
        <f t="shared" si="4"/>
        <v>0</v>
      </c>
    </row>
    <row r="110" spans="1:5" x14ac:dyDescent="0.25">
      <c r="A110" s="539" t="str">
        <f>'Hidden Inputs'!AO80</f>
        <v/>
      </c>
      <c r="B110" s="1592" t="str">
        <f t="shared" si="3"/>
        <v/>
      </c>
      <c r="C110" s="1592"/>
      <c r="D110" s="800">
        <f>(IF(
Tank1!$C$23="Carbon adsorption system",SUMIF(Tank1!$A$32:$A$49,CAS!A110,Tank1!$C$32:$C$49),0))+(
IF(Tank2!$C$23="Carbon adsorption system",SUMIF(Tank2!$A$32:$A$49, CAS!A110,Tank2!$C$32:$C$49),0))+(
IF(Tank3!$C$23="Carbon adsorption system",SUMIF(Tank3!$A$32:$A$49, CAS!A110,Tank3!$C$32:$C$49),0))+(
IF(Tank4!$C$23="Carbon adsorption system",SUMIF(Tank4!$A$32:$A$49, CAS!A110,Tank4!$C$32:$C$49),0))+(
IF(Tank5!$C$23="Carbon adsorption system",SUMIF(Tank5!$A$32:$A$49, CAS!A110,Tank5!$C$32:$C$49),0))+(
IF('Loading-drum,tote'!$C$21="Carbon adsorption system",SUMIF('Loading-drum,tote'!$A$31:$A$48, CAS!A110,'Loading-drum,tote'!$F$31:$F$48),0))+(
IF('Loading-truck'!$C$21="Carbon adsorption system",SUMIF('Loading-truck'!$A$31:$A$48, CAS!A110,'Loading-truck'!$F$31:$F$48),0))+(
IF('Loading-rail'!$C$21="Carbon adsorption system",SUMIF('Loading-rail'!$A$31:$A$48, CAS!A110,'Loading-rail'!$F$31:$F$48),0))</f>
        <v>0</v>
      </c>
      <c r="E110" s="801">
        <f t="shared" si="4"/>
        <v>0</v>
      </c>
    </row>
    <row r="111" spans="1:5" x14ac:dyDescent="0.25">
      <c r="A111" s="539" t="str">
        <f>'Hidden Inputs'!AO81</f>
        <v/>
      </c>
      <c r="B111" s="1592" t="str">
        <f t="shared" si="3"/>
        <v/>
      </c>
      <c r="C111" s="1592"/>
      <c r="D111" s="800">
        <f>(IF(
Tank1!$C$23="Carbon adsorption system",SUMIF(Tank1!$A$32:$A$49,CAS!A111,Tank1!$C$32:$C$49),0))+(
IF(Tank2!$C$23="Carbon adsorption system",SUMIF(Tank2!$A$32:$A$49, CAS!A111,Tank2!$C$32:$C$49),0))+(
IF(Tank3!$C$23="Carbon adsorption system",SUMIF(Tank3!$A$32:$A$49, CAS!A111,Tank3!$C$32:$C$49),0))+(
IF(Tank4!$C$23="Carbon adsorption system",SUMIF(Tank4!$A$32:$A$49, CAS!A111,Tank4!$C$32:$C$49),0))+(
IF(Tank5!$C$23="Carbon adsorption system",SUMIF(Tank5!$A$32:$A$49, CAS!A111,Tank5!$C$32:$C$49),0))+(
IF('Loading-drum,tote'!$C$21="Carbon adsorption system",SUMIF('Loading-drum,tote'!$A$31:$A$48, CAS!A111,'Loading-drum,tote'!$F$31:$F$48),0))+(
IF('Loading-truck'!$C$21="Carbon adsorption system",SUMIF('Loading-truck'!$A$31:$A$48, CAS!A111,'Loading-truck'!$F$31:$F$48),0))+(
IF('Loading-rail'!$C$21="Carbon adsorption system",SUMIF('Loading-rail'!$A$31:$A$48, CAS!A111,'Loading-rail'!$F$31:$F$48),0))</f>
        <v>0</v>
      </c>
      <c r="E111" s="801">
        <f t="shared" si="4"/>
        <v>0</v>
      </c>
    </row>
    <row r="112" spans="1:5" x14ac:dyDescent="0.25">
      <c r="A112" s="539" t="str">
        <f>'Hidden Inputs'!AO82</f>
        <v/>
      </c>
      <c r="B112" s="1592" t="str">
        <f t="shared" si="3"/>
        <v/>
      </c>
      <c r="C112" s="1592"/>
      <c r="D112" s="800">
        <f>(IF(
Tank1!$C$23="Carbon adsorption system",SUMIF(Tank1!$A$32:$A$49,CAS!A112,Tank1!$C$32:$C$49),0))+(
IF(Tank2!$C$23="Carbon adsorption system",SUMIF(Tank2!$A$32:$A$49, CAS!A112,Tank2!$C$32:$C$49),0))+(
IF(Tank3!$C$23="Carbon adsorption system",SUMIF(Tank3!$A$32:$A$49, CAS!A112,Tank3!$C$32:$C$49),0))+(
IF(Tank4!$C$23="Carbon adsorption system",SUMIF(Tank4!$A$32:$A$49, CAS!A112,Tank4!$C$32:$C$49),0))+(
IF(Tank5!$C$23="Carbon adsorption system",SUMIF(Tank5!$A$32:$A$49, CAS!A112,Tank5!$C$32:$C$49),0))+(
IF('Loading-drum,tote'!$C$21="Carbon adsorption system",SUMIF('Loading-drum,tote'!$A$31:$A$48, CAS!A112,'Loading-drum,tote'!$F$31:$F$48),0))+(
IF('Loading-truck'!$C$21="Carbon adsorption system",SUMIF('Loading-truck'!$A$31:$A$48, CAS!A112,'Loading-truck'!$F$31:$F$48),0))+(
IF('Loading-rail'!$C$21="Carbon adsorption system",SUMIF('Loading-rail'!$A$31:$A$48, CAS!A112,'Loading-rail'!$F$31:$F$48),0))</f>
        <v>0</v>
      </c>
      <c r="E112" s="801">
        <f t="shared" si="4"/>
        <v>0</v>
      </c>
    </row>
    <row r="113" spans="1:5" x14ac:dyDescent="0.25">
      <c r="A113" s="539" t="str">
        <f>'Hidden Inputs'!AO83</f>
        <v/>
      </c>
      <c r="B113" s="1592" t="str">
        <f t="shared" si="3"/>
        <v/>
      </c>
      <c r="C113" s="1592"/>
      <c r="D113" s="800">
        <f>(IF(
Tank1!$C$23="Carbon adsorption system",SUMIF(Tank1!$A$32:$A$49,CAS!A113,Tank1!$C$32:$C$49),0))+(
IF(Tank2!$C$23="Carbon adsorption system",SUMIF(Tank2!$A$32:$A$49, CAS!A113,Tank2!$C$32:$C$49),0))+(
IF(Tank3!$C$23="Carbon adsorption system",SUMIF(Tank3!$A$32:$A$49, CAS!A113,Tank3!$C$32:$C$49),0))+(
IF(Tank4!$C$23="Carbon adsorption system",SUMIF(Tank4!$A$32:$A$49, CAS!A113,Tank4!$C$32:$C$49),0))+(
IF(Tank5!$C$23="Carbon adsorption system",SUMIF(Tank5!$A$32:$A$49, CAS!A113,Tank5!$C$32:$C$49),0))+(
IF('Loading-drum,tote'!$C$21="Carbon adsorption system",SUMIF('Loading-drum,tote'!$A$31:$A$48, CAS!A113,'Loading-drum,tote'!$F$31:$F$48),0))+(
IF('Loading-truck'!$C$21="Carbon adsorption system",SUMIF('Loading-truck'!$A$31:$A$48, CAS!A113,'Loading-truck'!$F$31:$F$48),0))+(
IF('Loading-rail'!$C$21="Carbon adsorption system",SUMIF('Loading-rail'!$A$31:$A$48, CAS!A113,'Loading-rail'!$F$31:$F$48),0))</f>
        <v>0</v>
      </c>
      <c r="E113" s="801">
        <f t="shared" si="4"/>
        <v>0</v>
      </c>
    </row>
    <row r="114" spans="1:5" x14ac:dyDescent="0.25">
      <c r="A114" s="539" t="str">
        <f>'Hidden Inputs'!AO84</f>
        <v/>
      </c>
      <c r="B114" s="1592" t="str">
        <f t="shared" si="3"/>
        <v/>
      </c>
      <c r="C114" s="1592"/>
      <c r="D114" s="800">
        <f>(IF(
Tank1!$C$23="Carbon adsorption system",SUMIF(Tank1!$A$32:$A$49,CAS!A114,Tank1!$C$32:$C$49),0))+(
IF(Tank2!$C$23="Carbon adsorption system",SUMIF(Tank2!$A$32:$A$49, CAS!A114,Tank2!$C$32:$C$49),0))+(
IF(Tank3!$C$23="Carbon adsorption system",SUMIF(Tank3!$A$32:$A$49, CAS!A114,Tank3!$C$32:$C$49),0))+(
IF(Tank4!$C$23="Carbon adsorption system",SUMIF(Tank4!$A$32:$A$49, CAS!A114,Tank4!$C$32:$C$49),0))+(
IF(Tank5!$C$23="Carbon adsorption system",SUMIF(Tank5!$A$32:$A$49, CAS!A114,Tank5!$C$32:$C$49),0))+(
IF('Loading-drum,tote'!$C$21="Carbon adsorption system",SUMIF('Loading-drum,tote'!$A$31:$A$48, CAS!A114,'Loading-drum,tote'!$F$31:$F$48),0))+(
IF('Loading-truck'!$C$21="Carbon adsorption system",SUMIF('Loading-truck'!$A$31:$A$48, CAS!A114,'Loading-truck'!$F$31:$F$48),0))+(
IF('Loading-rail'!$C$21="Carbon adsorption system",SUMIF('Loading-rail'!$A$31:$A$48, CAS!A114,'Loading-rail'!$F$31:$F$48),0))</f>
        <v>0</v>
      </c>
      <c r="E114" s="801">
        <f t="shared" si="4"/>
        <v>0</v>
      </c>
    </row>
    <row r="115" spans="1:5" x14ac:dyDescent="0.25">
      <c r="A115" s="539" t="str">
        <f>'Hidden Inputs'!AO85</f>
        <v/>
      </c>
      <c r="B115" s="1592" t="str">
        <f t="shared" si="3"/>
        <v/>
      </c>
      <c r="C115" s="1592"/>
      <c r="D115" s="800">
        <f>(IF(
Tank1!$C$23="Carbon adsorption system",SUMIF(Tank1!$A$32:$A$49,CAS!A115,Tank1!$C$32:$C$49),0))+(
IF(Tank2!$C$23="Carbon adsorption system",SUMIF(Tank2!$A$32:$A$49, CAS!A115,Tank2!$C$32:$C$49),0))+(
IF(Tank3!$C$23="Carbon adsorption system",SUMIF(Tank3!$A$32:$A$49, CAS!A115,Tank3!$C$32:$C$49),0))+(
IF(Tank4!$C$23="Carbon adsorption system",SUMIF(Tank4!$A$32:$A$49, CAS!A115,Tank4!$C$32:$C$49),0))+(
IF(Tank5!$C$23="Carbon adsorption system",SUMIF(Tank5!$A$32:$A$49, CAS!A115,Tank5!$C$32:$C$49),0))+(
IF('Loading-drum,tote'!$C$21="Carbon adsorption system",SUMIF('Loading-drum,tote'!$A$31:$A$48, CAS!A115,'Loading-drum,tote'!$F$31:$F$48),0))+(
IF('Loading-truck'!$C$21="Carbon adsorption system",SUMIF('Loading-truck'!$A$31:$A$48, CAS!A115,'Loading-truck'!$F$31:$F$48),0))+(
IF('Loading-rail'!$C$21="Carbon adsorption system",SUMIF('Loading-rail'!$A$31:$A$48, CAS!A115,'Loading-rail'!$F$31:$F$48),0))</f>
        <v>0</v>
      </c>
      <c r="E115" s="801">
        <f t="shared" si="4"/>
        <v>0</v>
      </c>
    </row>
    <row r="116" spans="1:5" x14ac:dyDescent="0.25">
      <c r="A116" s="539" t="str">
        <f>'Hidden Inputs'!AO86</f>
        <v/>
      </c>
      <c r="B116" s="1592" t="str">
        <f t="shared" si="3"/>
        <v/>
      </c>
      <c r="C116" s="1592"/>
      <c r="D116" s="800">
        <f>(IF(
Tank1!$C$23="Carbon adsorption system",SUMIF(Tank1!$A$32:$A$49,CAS!A116,Tank1!$C$32:$C$49),0))+(
IF(Tank2!$C$23="Carbon adsorption system",SUMIF(Tank2!$A$32:$A$49, CAS!A116,Tank2!$C$32:$C$49),0))+(
IF(Tank3!$C$23="Carbon adsorption system",SUMIF(Tank3!$A$32:$A$49, CAS!A116,Tank3!$C$32:$C$49),0))+(
IF(Tank4!$C$23="Carbon adsorption system",SUMIF(Tank4!$A$32:$A$49, CAS!A116,Tank4!$C$32:$C$49),0))+(
IF(Tank5!$C$23="Carbon adsorption system",SUMIF(Tank5!$A$32:$A$49, CAS!A116,Tank5!$C$32:$C$49),0))+(
IF('Loading-drum,tote'!$C$21="Carbon adsorption system",SUMIF('Loading-drum,tote'!$A$31:$A$48, CAS!A116,'Loading-drum,tote'!$F$31:$F$48),0))+(
IF('Loading-truck'!$C$21="Carbon adsorption system",SUMIF('Loading-truck'!$A$31:$A$48, CAS!A116,'Loading-truck'!$F$31:$F$48),0))+(
IF('Loading-rail'!$C$21="Carbon adsorption system",SUMIF('Loading-rail'!$A$31:$A$48, CAS!A116,'Loading-rail'!$F$31:$F$48),0))</f>
        <v>0</v>
      </c>
      <c r="E116" s="801">
        <f t="shared" si="4"/>
        <v>0</v>
      </c>
    </row>
    <row r="117" spans="1:5" x14ac:dyDescent="0.25">
      <c r="A117" s="539" t="str">
        <f>'Hidden Inputs'!AO87</f>
        <v/>
      </c>
      <c r="B117" s="1592" t="str">
        <f t="shared" si="3"/>
        <v/>
      </c>
      <c r="C117" s="1592"/>
      <c r="D117" s="800">
        <f>(IF(
Tank1!$C$23="Carbon adsorption system",SUMIF(Tank1!$A$32:$A$49,CAS!A117,Tank1!$C$32:$C$49),0))+(
IF(Tank2!$C$23="Carbon adsorption system",SUMIF(Tank2!$A$32:$A$49, CAS!A117,Tank2!$C$32:$C$49),0))+(
IF(Tank3!$C$23="Carbon adsorption system",SUMIF(Tank3!$A$32:$A$49, CAS!A117,Tank3!$C$32:$C$49),0))+(
IF(Tank4!$C$23="Carbon adsorption system",SUMIF(Tank4!$A$32:$A$49, CAS!A117,Tank4!$C$32:$C$49),0))+(
IF(Tank5!$C$23="Carbon adsorption system",SUMIF(Tank5!$A$32:$A$49, CAS!A117,Tank5!$C$32:$C$49),0))+(
IF('Loading-drum,tote'!$C$21="Carbon adsorption system",SUMIF('Loading-drum,tote'!$A$31:$A$48, CAS!A117,'Loading-drum,tote'!$F$31:$F$48),0))+(
IF('Loading-truck'!$C$21="Carbon adsorption system",SUMIF('Loading-truck'!$A$31:$A$48, CAS!A117,'Loading-truck'!$F$31:$F$48),0))+(
IF('Loading-rail'!$C$21="Carbon adsorption system",SUMIF('Loading-rail'!$A$31:$A$48, CAS!A117,'Loading-rail'!$F$31:$F$48),0))</f>
        <v>0</v>
      </c>
      <c r="E117" s="801">
        <f t="shared" si="4"/>
        <v>0</v>
      </c>
    </row>
    <row r="118" spans="1:5" x14ac:dyDescent="0.25">
      <c r="A118" s="539" t="str">
        <f>'Hidden Inputs'!AO88</f>
        <v/>
      </c>
      <c r="B118" s="1592" t="str">
        <f t="shared" si="3"/>
        <v/>
      </c>
      <c r="C118" s="1592"/>
      <c r="D118" s="800">
        <f>(IF(
Tank1!$C$23="Carbon adsorption system",SUMIF(Tank1!$A$32:$A$49,CAS!A118,Tank1!$C$32:$C$49),0))+(
IF(Tank2!$C$23="Carbon adsorption system",SUMIF(Tank2!$A$32:$A$49, CAS!A118,Tank2!$C$32:$C$49),0))+(
IF(Tank3!$C$23="Carbon adsorption system",SUMIF(Tank3!$A$32:$A$49, CAS!A118,Tank3!$C$32:$C$49),0))+(
IF(Tank4!$C$23="Carbon adsorption system",SUMIF(Tank4!$A$32:$A$49, CAS!A118,Tank4!$C$32:$C$49),0))+(
IF(Tank5!$C$23="Carbon adsorption system",SUMIF(Tank5!$A$32:$A$49, CAS!A118,Tank5!$C$32:$C$49),0))+(
IF('Loading-drum,tote'!$C$21="Carbon adsorption system",SUMIF('Loading-drum,tote'!$A$31:$A$48, CAS!A118,'Loading-drum,tote'!$F$31:$F$48),0))+(
IF('Loading-truck'!$C$21="Carbon adsorption system",SUMIF('Loading-truck'!$A$31:$A$48, CAS!A118,'Loading-truck'!$F$31:$F$48),0))+(
IF('Loading-rail'!$C$21="Carbon adsorption system",SUMIF('Loading-rail'!$A$31:$A$48, CAS!A118,'Loading-rail'!$F$31:$F$48),0))</f>
        <v>0</v>
      </c>
      <c r="E118" s="801">
        <f t="shared" si="4"/>
        <v>0</v>
      </c>
    </row>
    <row r="119" spans="1:5" x14ac:dyDescent="0.25">
      <c r="A119" s="539" t="str">
        <f>'Hidden Inputs'!AO89</f>
        <v/>
      </c>
      <c r="B119" s="1592" t="str">
        <f t="shared" si="3"/>
        <v/>
      </c>
      <c r="C119" s="1592"/>
      <c r="D119" s="800">
        <f>(IF(
Tank1!$C$23="Carbon adsorption system",SUMIF(Tank1!$A$32:$A$49,CAS!A119,Tank1!$C$32:$C$49),0))+(
IF(Tank2!$C$23="Carbon adsorption system",SUMIF(Tank2!$A$32:$A$49, CAS!A119,Tank2!$C$32:$C$49),0))+(
IF(Tank3!$C$23="Carbon adsorption system",SUMIF(Tank3!$A$32:$A$49, CAS!A119,Tank3!$C$32:$C$49),0))+(
IF(Tank4!$C$23="Carbon adsorption system",SUMIF(Tank4!$A$32:$A$49, CAS!A119,Tank4!$C$32:$C$49),0))+(
IF(Tank5!$C$23="Carbon adsorption system",SUMIF(Tank5!$A$32:$A$49, CAS!A119,Tank5!$C$32:$C$49),0))+(
IF('Loading-drum,tote'!$C$21="Carbon adsorption system",SUMIF('Loading-drum,tote'!$A$31:$A$48, CAS!A119,'Loading-drum,tote'!$F$31:$F$48),0))+(
IF('Loading-truck'!$C$21="Carbon adsorption system",SUMIF('Loading-truck'!$A$31:$A$48, CAS!A119,'Loading-truck'!$F$31:$F$48),0))+(
IF('Loading-rail'!$C$21="Carbon adsorption system",SUMIF('Loading-rail'!$A$31:$A$48, CAS!A119,'Loading-rail'!$F$31:$F$48),0))</f>
        <v>0</v>
      </c>
      <c r="E119" s="801">
        <f t="shared" si="4"/>
        <v>0</v>
      </c>
    </row>
    <row r="120" spans="1:5" x14ac:dyDescent="0.25">
      <c r="A120" s="539" t="str">
        <f>'Hidden Inputs'!AO90</f>
        <v/>
      </c>
      <c r="B120" s="1592" t="str">
        <f t="shared" si="3"/>
        <v/>
      </c>
      <c r="C120" s="1592"/>
      <c r="D120" s="800">
        <f>(IF(
Tank1!$C$23="Carbon adsorption system",SUMIF(Tank1!$A$32:$A$49,CAS!A120,Tank1!$C$32:$C$49),0))+(
IF(Tank2!$C$23="Carbon adsorption system",SUMIF(Tank2!$A$32:$A$49, CAS!A120,Tank2!$C$32:$C$49),0))+(
IF(Tank3!$C$23="Carbon adsorption system",SUMIF(Tank3!$A$32:$A$49, CAS!A120,Tank3!$C$32:$C$49),0))+(
IF(Tank4!$C$23="Carbon adsorption system",SUMIF(Tank4!$A$32:$A$49, CAS!A120,Tank4!$C$32:$C$49),0))+(
IF(Tank5!$C$23="Carbon adsorption system",SUMIF(Tank5!$A$32:$A$49, CAS!A120,Tank5!$C$32:$C$49),0))+(
IF('Loading-drum,tote'!$C$21="Carbon adsorption system",SUMIF('Loading-drum,tote'!$A$31:$A$48, CAS!A120,'Loading-drum,tote'!$F$31:$F$48),0))+(
IF('Loading-truck'!$C$21="Carbon adsorption system",SUMIF('Loading-truck'!$A$31:$A$48, CAS!A120,'Loading-truck'!$F$31:$F$48),0))+(
IF('Loading-rail'!$C$21="Carbon adsorption system",SUMIF('Loading-rail'!$A$31:$A$48, CAS!A120,'Loading-rail'!$F$31:$F$48),0))</f>
        <v>0</v>
      </c>
      <c r="E120" s="801">
        <f t="shared" si="4"/>
        <v>0</v>
      </c>
    </row>
    <row r="121" spans="1:5" x14ac:dyDescent="0.25">
      <c r="A121" s="539" t="str">
        <f>'Hidden Inputs'!AO91</f>
        <v/>
      </c>
      <c r="B121" s="1592" t="str">
        <f t="shared" si="3"/>
        <v/>
      </c>
      <c r="C121" s="1592"/>
      <c r="D121" s="800">
        <f>(IF(
Tank1!$C$23="Carbon adsorption system",SUMIF(Tank1!$A$32:$A$49,CAS!A121,Tank1!$C$32:$C$49),0))+(
IF(Tank2!$C$23="Carbon adsorption system",SUMIF(Tank2!$A$32:$A$49, CAS!A121,Tank2!$C$32:$C$49),0))+(
IF(Tank3!$C$23="Carbon adsorption system",SUMIF(Tank3!$A$32:$A$49, CAS!A121,Tank3!$C$32:$C$49),0))+(
IF(Tank4!$C$23="Carbon adsorption system",SUMIF(Tank4!$A$32:$A$49, CAS!A121,Tank4!$C$32:$C$49),0))+(
IF(Tank5!$C$23="Carbon adsorption system",SUMIF(Tank5!$A$32:$A$49, CAS!A121,Tank5!$C$32:$C$49),0))+(
IF('Loading-drum,tote'!$C$21="Carbon adsorption system",SUMIF('Loading-drum,tote'!$A$31:$A$48, CAS!A121,'Loading-drum,tote'!$F$31:$F$48),0))+(
IF('Loading-truck'!$C$21="Carbon adsorption system",SUMIF('Loading-truck'!$A$31:$A$48, CAS!A121,'Loading-truck'!$F$31:$F$48),0))+(
IF('Loading-rail'!$C$21="Carbon adsorption system",SUMIF('Loading-rail'!$A$31:$A$48, CAS!A121,'Loading-rail'!$F$31:$F$48),0))</f>
        <v>0</v>
      </c>
      <c r="E121" s="801">
        <f t="shared" si="4"/>
        <v>0</v>
      </c>
    </row>
    <row r="122" spans="1:5" x14ac:dyDescent="0.25">
      <c r="A122" s="539" t="str">
        <f>'Hidden Inputs'!AO92</f>
        <v/>
      </c>
      <c r="B122" s="1592" t="str">
        <f t="shared" si="3"/>
        <v/>
      </c>
      <c r="C122" s="1592"/>
      <c r="D122" s="800">
        <f>(IF(
Tank1!$C$23="Carbon adsorption system",SUMIF(Tank1!$A$32:$A$49,CAS!A122,Tank1!$C$32:$C$49),0))+(
IF(Tank2!$C$23="Carbon adsorption system",SUMIF(Tank2!$A$32:$A$49, CAS!A122,Tank2!$C$32:$C$49),0))+(
IF(Tank3!$C$23="Carbon adsorption system",SUMIF(Tank3!$A$32:$A$49, CAS!A122,Tank3!$C$32:$C$49),0))+(
IF(Tank4!$C$23="Carbon adsorption system",SUMIF(Tank4!$A$32:$A$49, CAS!A122,Tank4!$C$32:$C$49),0))+(
IF(Tank5!$C$23="Carbon adsorption system",SUMIF(Tank5!$A$32:$A$49, CAS!A122,Tank5!$C$32:$C$49),0))+(
IF('Loading-drum,tote'!$C$21="Carbon adsorption system",SUMIF('Loading-drum,tote'!$A$31:$A$48, CAS!A122,'Loading-drum,tote'!$F$31:$F$48),0))+(
IF('Loading-truck'!$C$21="Carbon adsorption system",SUMIF('Loading-truck'!$A$31:$A$48, CAS!A122,'Loading-truck'!$F$31:$F$48),0))+(
IF('Loading-rail'!$C$21="Carbon adsorption system",SUMIF('Loading-rail'!$A$31:$A$48, CAS!A122,'Loading-rail'!$F$31:$F$48),0))</f>
        <v>0</v>
      </c>
      <c r="E122" s="801">
        <f t="shared" si="4"/>
        <v>0</v>
      </c>
    </row>
    <row r="123" spans="1:5" x14ac:dyDescent="0.25">
      <c r="A123" s="539" t="str">
        <f>'Hidden Inputs'!AO93</f>
        <v/>
      </c>
      <c r="B123" s="1592" t="str">
        <f t="shared" si="3"/>
        <v/>
      </c>
      <c r="C123" s="1592"/>
      <c r="D123" s="800">
        <f>(IF(
Tank1!$C$23="Carbon adsorption system",SUMIF(Tank1!$A$32:$A$49,CAS!A123,Tank1!$C$32:$C$49),0))+(
IF(Tank2!$C$23="Carbon adsorption system",SUMIF(Tank2!$A$32:$A$49, CAS!A123,Tank2!$C$32:$C$49),0))+(
IF(Tank3!$C$23="Carbon adsorption system",SUMIF(Tank3!$A$32:$A$49, CAS!A123,Tank3!$C$32:$C$49),0))+(
IF(Tank4!$C$23="Carbon adsorption system",SUMIF(Tank4!$A$32:$A$49, CAS!A123,Tank4!$C$32:$C$49),0))+(
IF(Tank5!$C$23="Carbon adsorption system",SUMIF(Tank5!$A$32:$A$49, CAS!A123,Tank5!$C$32:$C$49),0))+(
IF('Loading-drum,tote'!$C$21="Carbon adsorption system",SUMIF('Loading-drum,tote'!$A$31:$A$48, CAS!A123,'Loading-drum,tote'!$F$31:$F$48),0))+(
IF('Loading-truck'!$C$21="Carbon adsorption system",SUMIF('Loading-truck'!$A$31:$A$48, CAS!A123,'Loading-truck'!$F$31:$F$48),0))+(
IF('Loading-rail'!$C$21="Carbon adsorption system",SUMIF('Loading-rail'!$A$31:$A$48, CAS!A123,'Loading-rail'!$F$31:$F$48),0))</f>
        <v>0</v>
      </c>
      <c r="E123" s="801">
        <f t="shared" si="4"/>
        <v>0</v>
      </c>
    </row>
    <row r="124" spans="1:5" x14ac:dyDescent="0.25">
      <c r="A124" s="539" t="str">
        <f>'Hidden Inputs'!AO94</f>
        <v/>
      </c>
      <c r="B124" s="1592" t="str">
        <f t="shared" si="3"/>
        <v/>
      </c>
      <c r="C124" s="1592"/>
      <c r="D124" s="800">
        <f>(IF(
Tank1!$C$23="Carbon adsorption system",SUMIF(Tank1!$A$32:$A$49,CAS!A124,Tank1!$C$32:$C$49),0))+(
IF(Tank2!$C$23="Carbon adsorption system",SUMIF(Tank2!$A$32:$A$49, CAS!A124,Tank2!$C$32:$C$49),0))+(
IF(Tank3!$C$23="Carbon adsorption system",SUMIF(Tank3!$A$32:$A$49, CAS!A124,Tank3!$C$32:$C$49),0))+(
IF(Tank4!$C$23="Carbon adsorption system",SUMIF(Tank4!$A$32:$A$49, CAS!A124,Tank4!$C$32:$C$49),0))+(
IF(Tank5!$C$23="Carbon adsorption system",SUMIF(Tank5!$A$32:$A$49, CAS!A124,Tank5!$C$32:$C$49),0))+(
IF('Loading-drum,tote'!$C$21="Carbon adsorption system",SUMIF('Loading-drum,tote'!$A$31:$A$48, CAS!A124,'Loading-drum,tote'!$F$31:$F$48),0))+(
IF('Loading-truck'!$C$21="Carbon adsorption system",SUMIF('Loading-truck'!$A$31:$A$48, CAS!A124,'Loading-truck'!$F$31:$F$48),0))+(
IF('Loading-rail'!$C$21="Carbon adsorption system",SUMIF('Loading-rail'!$A$31:$A$48, CAS!A124,'Loading-rail'!$F$31:$F$48),0))</f>
        <v>0</v>
      </c>
      <c r="E124" s="801">
        <f t="shared" si="4"/>
        <v>0</v>
      </c>
    </row>
    <row r="125" spans="1:5" x14ac:dyDescent="0.25">
      <c r="A125" s="539" t="str">
        <f>'Hidden Inputs'!AO95</f>
        <v/>
      </c>
      <c r="B125" s="1592" t="str">
        <f t="shared" si="3"/>
        <v/>
      </c>
      <c r="C125" s="1592"/>
      <c r="D125" s="800">
        <f>(IF(
Tank1!$C$23="Carbon adsorption system",SUMIF(Tank1!$A$32:$A$49,CAS!A125,Tank1!$C$32:$C$49),0))+(
IF(Tank2!$C$23="Carbon adsorption system",SUMIF(Tank2!$A$32:$A$49, CAS!A125,Tank2!$C$32:$C$49),0))+(
IF(Tank3!$C$23="Carbon adsorption system",SUMIF(Tank3!$A$32:$A$49, CAS!A125,Tank3!$C$32:$C$49),0))+(
IF(Tank4!$C$23="Carbon adsorption system",SUMIF(Tank4!$A$32:$A$49, CAS!A125,Tank4!$C$32:$C$49),0))+(
IF(Tank5!$C$23="Carbon adsorption system",SUMIF(Tank5!$A$32:$A$49, CAS!A125,Tank5!$C$32:$C$49),0))+(
IF('Loading-drum,tote'!$C$21="Carbon adsorption system",SUMIF('Loading-drum,tote'!$A$31:$A$48, CAS!A125,'Loading-drum,tote'!$F$31:$F$48),0))+(
IF('Loading-truck'!$C$21="Carbon adsorption system",SUMIF('Loading-truck'!$A$31:$A$48, CAS!A125,'Loading-truck'!$F$31:$F$48),0))+(
IF('Loading-rail'!$C$21="Carbon adsorption system",SUMIF('Loading-rail'!$A$31:$A$48, CAS!A125,'Loading-rail'!$F$31:$F$48),0))</f>
        <v>0</v>
      </c>
      <c r="E125" s="801">
        <f t="shared" si="4"/>
        <v>0</v>
      </c>
    </row>
    <row r="126" spans="1:5" x14ac:dyDescent="0.25">
      <c r="A126" s="539" t="str">
        <f>'Hidden Inputs'!AO96</f>
        <v/>
      </c>
      <c r="B126" s="1592" t="str">
        <f t="shared" si="3"/>
        <v/>
      </c>
      <c r="C126" s="1592"/>
      <c r="D126" s="800">
        <f>(IF(
Tank1!$C$23="Carbon adsorption system",SUMIF(Tank1!$A$32:$A$49,CAS!A126,Tank1!$C$32:$C$49),0))+(
IF(Tank2!$C$23="Carbon adsorption system",SUMIF(Tank2!$A$32:$A$49, CAS!A126,Tank2!$C$32:$C$49),0))+(
IF(Tank3!$C$23="Carbon adsorption system",SUMIF(Tank3!$A$32:$A$49, CAS!A126,Tank3!$C$32:$C$49),0))+(
IF(Tank4!$C$23="Carbon adsorption system",SUMIF(Tank4!$A$32:$A$49, CAS!A126,Tank4!$C$32:$C$49),0))+(
IF(Tank5!$C$23="Carbon adsorption system",SUMIF(Tank5!$A$32:$A$49, CAS!A126,Tank5!$C$32:$C$49),0))+(
IF('Loading-drum,tote'!$C$21="Carbon adsorption system",SUMIF('Loading-drum,tote'!$A$31:$A$48, CAS!A126,'Loading-drum,tote'!$F$31:$F$48),0))+(
IF('Loading-truck'!$C$21="Carbon adsorption system",SUMIF('Loading-truck'!$A$31:$A$48, CAS!A126,'Loading-truck'!$F$31:$F$48),0))+(
IF('Loading-rail'!$C$21="Carbon adsorption system",SUMIF('Loading-rail'!$A$31:$A$48, CAS!A126,'Loading-rail'!$F$31:$F$48),0))</f>
        <v>0</v>
      </c>
      <c r="E126" s="801">
        <f t="shared" si="4"/>
        <v>0</v>
      </c>
    </row>
    <row r="127" spans="1:5" x14ac:dyDescent="0.25">
      <c r="A127" s="539" t="str">
        <f>'Hidden Inputs'!AO97</f>
        <v/>
      </c>
      <c r="B127" s="1592" t="str">
        <f t="shared" si="3"/>
        <v/>
      </c>
      <c r="C127" s="1592"/>
      <c r="D127" s="800">
        <f>(IF(
Tank1!$C$23="Carbon adsorption system",SUMIF(Tank1!$A$32:$A$49,CAS!A127,Tank1!$C$32:$C$49),0))+(
IF(Tank2!$C$23="Carbon adsorption system",SUMIF(Tank2!$A$32:$A$49, CAS!A127,Tank2!$C$32:$C$49),0))+(
IF(Tank3!$C$23="Carbon adsorption system",SUMIF(Tank3!$A$32:$A$49, CAS!A127,Tank3!$C$32:$C$49),0))+(
IF(Tank4!$C$23="Carbon adsorption system",SUMIF(Tank4!$A$32:$A$49, CAS!A127,Tank4!$C$32:$C$49),0))+(
IF(Tank5!$C$23="Carbon adsorption system",SUMIF(Tank5!$A$32:$A$49, CAS!A127,Tank5!$C$32:$C$49),0))+(
IF('Loading-drum,tote'!$C$21="Carbon adsorption system",SUMIF('Loading-drum,tote'!$A$31:$A$48, CAS!A127,'Loading-drum,tote'!$F$31:$F$48),0))+(
IF('Loading-truck'!$C$21="Carbon adsorption system",SUMIF('Loading-truck'!$A$31:$A$48, CAS!A127,'Loading-truck'!$F$31:$F$48),0))+(
IF('Loading-rail'!$C$21="Carbon adsorption system",SUMIF('Loading-rail'!$A$31:$A$48, CAS!A127,'Loading-rail'!$F$31:$F$48),0))</f>
        <v>0</v>
      </c>
      <c r="E127" s="801">
        <f t="shared" si="4"/>
        <v>0</v>
      </c>
    </row>
    <row r="128" spans="1:5" x14ac:dyDescent="0.25">
      <c r="A128" s="539" t="str">
        <f>'Hidden Inputs'!AO98</f>
        <v/>
      </c>
      <c r="B128" s="1592" t="str">
        <f t="shared" ref="B128:B159" si="5">IFERROR(VLOOKUP(A128, SpeciesDataTable,2,FALSE),"")</f>
        <v/>
      </c>
      <c r="C128" s="1592"/>
      <c r="D128" s="800">
        <f>(IF(
Tank1!$C$23="Carbon adsorption system",SUMIF(Tank1!$A$32:$A$49,CAS!A128,Tank1!$C$32:$C$49),0))+(
IF(Tank2!$C$23="Carbon adsorption system",SUMIF(Tank2!$A$32:$A$49, CAS!A128,Tank2!$C$32:$C$49),0))+(
IF(Tank3!$C$23="Carbon adsorption system",SUMIF(Tank3!$A$32:$A$49, CAS!A128,Tank3!$C$32:$C$49),0))+(
IF(Tank4!$C$23="Carbon adsorption system",SUMIF(Tank4!$A$32:$A$49, CAS!A128,Tank4!$C$32:$C$49),0))+(
IF(Tank5!$C$23="Carbon adsorption system",SUMIF(Tank5!$A$32:$A$49, CAS!A128,Tank5!$C$32:$C$49),0))+(
IF('Loading-drum,tote'!$C$21="Carbon adsorption system",SUMIF('Loading-drum,tote'!$A$31:$A$48, CAS!A128,'Loading-drum,tote'!$F$31:$F$48),0))+(
IF('Loading-truck'!$C$21="Carbon adsorption system",SUMIF('Loading-truck'!$A$31:$A$48, CAS!A128,'Loading-truck'!$F$31:$F$48),0))+(
IF('Loading-rail'!$C$21="Carbon adsorption system",SUMIF('Loading-rail'!$A$31:$A$48, CAS!A128,'Loading-rail'!$F$31:$F$48),0))</f>
        <v>0</v>
      </c>
      <c r="E128" s="801">
        <f t="shared" si="4"/>
        <v>0</v>
      </c>
    </row>
    <row r="129" spans="1:5" x14ac:dyDescent="0.25">
      <c r="A129" s="539" t="str">
        <f>'Hidden Inputs'!AO99</f>
        <v/>
      </c>
      <c r="B129" s="1592" t="str">
        <f t="shared" si="5"/>
        <v/>
      </c>
      <c r="C129" s="1592"/>
      <c r="D129" s="800">
        <f>(IF(
Tank1!$C$23="Carbon adsorption system",SUMIF(Tank1!$A$32:$A$49,CAS!A129,Tank1!$C$32:$C$49),0))+(
IF(Tank2!$C$23="Carbon adsorption system",SUMIF(Tank2!$A$32:$A$49, CAS!A129,Tank2!$C$32:$C$49),0))+(
IF(Tank3!$C$23="Carbon adsorption system",SUMIF(Tank3!$A$32:$A$49, CAS!A129,Tank3!$C$32:$C$49),0))+(
IF(Tank4!$C$23="Carbon adsorption system",SUMIF(Tank4!$A$32:$A$49, CAS!A129,Tank4!$C$32:$C$49),0))+(
IF(Tank5!$C$23="Carbon adsorption system",SUMIF(Tank5!$A$32:$A$49, CAS!A129,Tank5!$C$32:$C$49),0))+(
IF('Loading-drum,tote'!$C$21="Carbon adsorption system",SUMIF('Loading-drum,tote'!$A$31:$A$48, CAS!A129,'Loading-drum,tote'!$F$31:$F$48),0))+(
IF('Loading-truck'!$C$21="Carbon adsorption system",SUMIF('Loading-truck'!$A$31:$A$48, CAS!A129,'Loading-truck'!$F$31:$F$48),0))+(
IF('Loading-rail'!$C$21="Carbon adsorption system",SUMIF('Loading-rail'!$A$31:$A$48, CAS!A129,'Loading-rail'!$F$31:$F$48),0))</f>
        <v>0</v>
      </c>
      <c r="E129" s="801">
        <f t="shared" si="4"/>
        <v>0</v>
      </c>
    </row>
    <row r="130" spans="1:5" x14ac:dyDescent="0.25">
      <c r="A130" s="539" t="str">
        <f>'Hidden Inputs'!AO100</f>
        <v/>
      </c>
      <c r="B130" s="1592" t="str">
        <f t="shared" si="5"/>
        <v/>
      </c>
      <c r="C130" s="1592"/>
      <c r="D130" s="800">
        <f>(IF(
Tank1!$C$23="Carbon adsorption system",SUMIF(Tank1!$A$32:$A$49,CAS!A130,Tank1!$C$32:$C$49),0))+(
IF(Tank2!$C$23="Carbon adsorption system",SUMIF(Tank2!$A$32:$A$49, CAS!A130,Tank2!$C$32:$C$49),0))+(
IF(Tank3!$C$23="Carbon adsorption system",SUMIF(Tank3!$A$32:$A$49, CAS!A130,Tank3!$C$32:$C$49),0))+(
IF(Tank4!$C$23="Carbon adsorption system",SUMIF(Tank4!$A$32:$A$49, CAS!A130,Tank4!$C$32:$C$49),0))+(
IF(Tank5!$C$23="Carbon adsorption system",SUMIF(Tank5!$A$32:$A$49, CAS!A130,Tank5!$C$32:$C$49),0))+(
IF('Loading-drum,tote'!$C$21="Carbon adsorption system",SUMIF('Loading-drum,tote'!$A$31:$A$48, CAS!A130,'Loading-drum,tote'!$F$31:$F$48),0))+(
IF('Loading-truck'!$C$21="Carbon adsorption system",SUMIF('Loading-truck'!$A$31:$A$48, CAS!A130,'Loading-truck'!$F$31:$F$48),0))+(
IF('Loading-rail'!$C$21="Carbon adsorption system",SUMIF('Loading-rail'!$A$31:$A$48, CAS!A130,'Loading-rail'!$F$31:$F$48),0))</f>
        <v>0</v>
      </c>
      <c r="E130" s="801">
        <f t="shared" si="4"/>
        <v>0</v>
      </c>
    </row>
    <row r="131" spans="1:5" x14ac:dyDescent="0.25">
      <c r="A131" s="539" t="str">
        <f>'Hidden Inputs'!AO101</f>
        <v/>
      </c>
      <c r="B131" s="1592" t="str">
        <f t="shared" si="5"/>
        <v/>
      </c>
      <c r="C131" s="1592"/>
      <c r="D131" s="800">
        <f>(IF(
Tank1!$C$23="Carbon adsorption system",SUMIF(Tank1!$A$32:$A$49,CAS!A131,Tank1!$C$32:$C$49),0))+(
IF(Tank2!$C$23="Carbon adsorption system",SUMIF(Tank2!$A$32:$A$49, CAS!A131,Tank2!$C$32:$C$49),0))+(
IF(Tank3!$C$23="Carbon adsorption system",SUMIF(Tank3!$A$32:$A$49, CAS!A131,Tank3!$C$32:$C$49),0))+(
IF(Tank4!$C$23="Carbon adsorption system",SUMIF(Tank4!$A$32:$A$49, CAS!A131,Tank4!$C$32:$C$49),0))+(
IF(Tank5!$C$23="Carbon adsorption system",SUMIF(Tank5!$A$32:$A$49, CAS!A131,Tank5!$C$32:$C$49),0))+(
IF('Loading-drum,tote'!$C$21="Carbon adsorption system",SUMIF('Loading-drum,tote'!$A$31:$A$48, CAS!A131,'Loading-drum,tote'!$F$31:$F$48),0))+(
IF('Loading-truck'!$C$21="Carbon adsorption system",SUMIF('Loading-truck'!$A$31:$A$48, CAS!A131,'Loading-truck'!$F$31:$F$48),0))+(
IF('Loading-rail'!$C$21="Carbon adsorption system",SUMIF('Loading-rail'!$A$31:$A$48, CAS!A131,'Loading-rail'!$F$31:$F$48),0))</f>
        <v>0</v>
      </c>
      <c r="E131" s="801">
        <f t="shared" si="4"/>
        <v>0</v>
      </c>
    </row>
    <row r="132" spans="1:5" x14ac:dyDescent="0.25">
      <c r="A132" s="539" t="str">
        <f>'Hidden Inputs'!AO102</f>
        <v/>
      </c>
      <c r="B132" s="1592" t="str">
        <f t="shared" si="5"/>
        <v/>
      </c>
      <c r="C132" s="1592"/>
      <c r="D132" s="800">
        <f>(IF(
Tank1!$C$23="Carbon adsorption system",SUMIF(Tank1!$A$32:$A$49,CAS!A132,Tank1!$C$32:$C$49),0))+(
IF(Tank2!$C$23="Carbon adsorption system",SUMIF(Tank2!$A$32:$A$49, CAS!A132,Tank2!$C$32:$C$49),0))+(
IF(Tank3!$C$23="Carbon adsorption system",SUMIF(Tank3!$A$32:$A$49, CAS!A132,Tank3!$C$32:$C$49),0))+(
IF(Tank4!$C$23="Carbon adsorption system",SUMIF(Tank4!$A$32:$A$49, CAS!A132,Tank4!$C$32:$C$49),0))+(
IF(Tank5!$C$23="Carbon adsorption system",SUMIF(Tank5!$A$32:$A$49, CAS!A132,Tank5!$C$32:$C$49),0))+(
IF('Loading-drum,tote'!$C$21="Carbon adsorption system",SUMIF('Loading-drum,tote'!$A$31:$A$48, CAS!A132,'Loading-drum,tote'!$F$31:$F$48),0))+(
IF('Loading-truck'!$C$21="Carbon adsorption system",SUMIF('Loading-truck'!$A$31:$A$48, CAS!A132,'Loading-truck'!$F$31:$F$48),0))+(
IF('Loading-rail'!$C$21="Carbon adsorption system",SUMIF('Loading-rail'!$A$31:$A$48, CAS!A132,'Loading-rail'!$F$31:$F$48),0))</f>
        <v>0</v>
      </c>
      <c r="E132" s="801">
        <f t="shared" si="4"/>
        <v>0</v>
      </c>
    </row>
    <row r="133" spans="1:5" x14ac:dyDescent="0.25">
      <c r="A133" s="539" t="str">
        <f>'Hidden Inputs'!AO103</f>
        <v/>
      </c>
      <c r="B133" s="1592" t="str">
        <f t="shared" si="5"/>
        <v/>
      </c>
      <c r="C133" s="1592"/>
      <c r="D133" s="800">
        <f>(IF(
Tank1!$C$23="Carbon adsorption system",SUMIF(Tank1!$A$32:$A$49,CAS!A133,Tank1!$C$32:$C$49),0))+(
IF(Tank2!$C$23="Carbon adsorption system",SUMIF(Tank2!$A$32:$A$49, CAS!A133,Tank2!$C$32:$C$49),0))+(
IF(Tank3!$C$23="Carbon adsorption system",SUMIF(Tank3!$A$32:$A$49, CAS!A133,Tank3!$C$32:$C$49),0))+(
IF(Tank4!$C$23="Carbon adsorption system",SUMIF(Tank4!$A$32:$A$49, CAS!A133,Tank4!$C$32:$C$49),0))+(
IF(Tank5!$C$23="Carbon adsorption system",SUMIF(Tank5!$A$32:$A$49, CAS!A133,Tank5!$C$32:$C$49),0))+(
IF('Loading-drum,tote'!$C$21="Carbon adsorption system",SUMIF('Loading-drum,tote'!$A$31:$A$48, CAS!A133,'Loading-drum,tote'!$F$31:$F$48),0))+(
IF('Loading-truck'!$C$21="Carbon adsorption system",SUMIF('Loading-truck'!$A$31:$A$48, CAS!A133,'Loading-truck'!$F$31:$F$48),0))+(
IF('Loading-rail'!$C$21="Carbon adsorption system",SUMIF('Loading-rail'!$A$31:$A$48, CAS!A133,'Loading-rail'!$F$31:$F$48),0))</f>
        <v>0</v>
      </c>
      <c r="E133" s="801">
        <f t="shared" si="4"/>
        <v>0</v>
      </c>
    </row>
    <row r="134" spans="1:5" x14ac:dyDescent="0.25">
      <c r="A134" s="539" t="str">
        <f>'Hidden Inputs'!AO104</f>
        <v/>
      </c>
      <c r="B134" s="1592" t="str">
        <f t="shared" si="5"/>
        <v/>
      </c>
      <c r="C134" s="1592"/>
      <c r="D134" s="800">
        <f>(IF(
Tank1!$C$23="Carbon adsorption system",SUMIF(Tank1!$A$32:$A$49,CAS!A134,Tank1!$C$32:$C$49),0))+(
IF(Tank2!$C$23="Carbon adsorption system",SUMIF(Tank2!$A$32:$A$49, CAS!A134,Tank2!$C$32:$C$49),0))+(
IF(Tank3!$C$23="Carbon adsorption system",SUMIF(Tank3!$A$32:$A$49, CAS!A134,Tank3!$C$32:$C$49),0))+(
IF(Tank4!$C$23="Carbon adsorption system",SUMIF(Tank4!$A$32:$A$49, CAS!A134,Tank4!$C$32:$C$49),0))+(
IF(Tank5!$C$23="Carbon adsorption system",SUMIF(Tank5!$A$32:$A$49, CAS!A134,Tank5!$C$32:$C$49),0))+(
IF('Loading-drum,tote'!$C$21="Carbon adsorption system",SUMIF('Loading-drum,tote'!$A$31:$A$48, CAS!A134,'Loading-drum,tote'!$F$31:$F$48),0))+(
IF('Loading-truck'!$C$21="Carbon adsorption system",SUMIF('Loading-truck'!$A$31:$A$48, CAS!A134,'Loading-truck'!$F$31:$F$48),0))+(
IF('Loading-rail'!$C$21="Carbon adsorption system",SUMIF('Loading-rail'!$A$31:$A$48, CAS!A134,'Loading-rail'!$F$31:$F$48),0))</f>
        <v>0</v>
      </c>
      <c r="E134" s="801">
        <f t="shared" si="4"/>
        <v>0</v>
      </c>
    </row>
    <row r="135" spans="1:5" x14ac:dyDescent="0.25">
      <c r="A135" s="539" t="str">
        <f>'Hidden Inputs'!AO105</f>
        <v/>
      </c>
      <c r="B135" s="1592" t="str">
        <f t="shared" si="5"/>
        <v/>
      </c>
      <c r="C135" s="1592"/>
      <c r="D135" s="800">
        <f>(IF(
Tank1!$C$23="Carbon adsorption system",SUMIF(Tank1!$A$32:$A$49,CAS!A135,Tank1!$C$32:$C$49),0))+(
IF(Tank2!$C$23="Carbon adsorption system",SUMIF(Tank2!$A$32:$A$49, CAS!A135,Tank2!$C$32:$C$49),0))+(
IF(Tank3!$C$23="Carbon adsorption system",SUMIF(Tank3!$A$32:$A$49, CAS!A135,Tank3!$C$32:$C$49),0))+(
IF(Tank4!$C$23="Carbon adsorption system",SUMIF(Tank4!$A$32:$A$49, CAS!A135,Tank4!$C$32:$C$49),0))+(
IF(Tank5!$C$23="Carbon adsorption system",SUMIF(Tank5!$A$32:$A$49, CAS!A135,Tank5!$C$32:$C$49),0))+(
IF('Loading-drum,tote'!$C$21="Carbon adsorption system",SUMIF('Loading-drum,tote'!$A$31:$A$48, CAS!A135,'Loading-drum,tote'!$F$31:$F$48),0))+(
IF('Loading-truck'!$C$21="Carbon adsorption system",SUMIF('Loading-truck'!$A$31:$A$48, CAS!A135,'Loading-truck'!$F$31:$F$48),0))+(
IF('Loading-rail'!$C$21="Carbon adsorption system",SUMIF('Loading-rail'!$A$31:$A$48, CAS!A135,'Loading-rail'!$F$31:$F$48),0))</f>
        <v>0</v>
      </c>
      <c r="E135" s="801">
        <f t="shared" si="4"/>
        <v>0</v>
      </c>
    </row>
    <row r="136" spans="1:5" x14ac:dyDescent="0.25">
      <c r="A136" s="539" t="str">
        <f>'Hidden Inputs'!AO106</f>
        <v/>
      </c>
      <c r="B136" s="1592" t="str">
        <f t="shared" si="5"/>
        <v/>
      </c>
      <c r="C136" s="1592"/>
      <c r="D136" s="800">
        <f>(IF(
Tank1!$C$23="Carbon adsorption system",SUMIF(Tank1!$A$32:$A$49,CAS!A136,Tank1!$C$32:$C$49),0))+(
IF(Tank2!$C$23="Carbon adsorption system",SUMIF(Tank2!$A$32:$A$49, CAS!A136,Tank2!$C$32:$C$49),0))+(
IF(Tank3!$C$23="Carbon adsorption system",SUMIF(Tank3!$A$32:$A$49, CAS!A136,Tank3!$C$32:$C$49),0))+(
IF(Tank4!$C$23="Carbon adsorption system",SUMIF(Tank4!$A$32:$A$49, CAS!A136,Tank4!$C$32:$C$49),0))+(
IF(Tank5!$C$23="Carbon adsorption system",SUMIF(Tank5!$A$32:$A$49, CAS!A136,Tank5!$C$32:$C$49),0))+(
IF('Loading-drum,tote'!$C$21="Carbon adsorption system",SUMIF('Loading-drum,tote'!$A$31:$A$48, CAS!A136,'Loading-drum,tote'!$F$31:$F$48),0))+(
IF('Loading-truck'!$C$21="Carbon adsorption system",SUMIF('Loading-truck'!$A$31:$A$48, CAS!A136,'Loading-truck'!$F$31:$F$48),0))+(
IF('Loading-rail'!$C$21="Carbon adsorption system",SUMIF('Loading-rail'!$A$31:$A$48, CAS!A136,'Loading-rail'!$F$31:$F$48),0))</f>
        <v>0</v>
      </c>
      <c r="E136" s="801">
        <f t="shared" si="4"/>
        <v>0</v>
      </c>
    </row>
    <row r="137" spans="1:5" x14ac:dyDescent="0.25">
      <c r="A137" s="539" t="str">
        <f>'Hidden Inputs'!AO107</f>
        <v/>
      </c>
      <c r="B137" s="1592" t="str">
        <f t="shared" si="5"/>
        <v/>
      </c>
      <c r="C137" s="1592"/>
      <c r="D137" s="800">
        <f>(IF(
Tank1!$C$23="Carbon adsorption system",SUMIF(Tank1!$A$32:$A$49,CAS!A137,Tank1!$C$32:$C$49),0))+(
IF(Tank2!$C$23="Carbon adsorption system",SUMIF(Tank2!$A$32:$A$49, CAS!A137,Tank2!$C$32:$C$49),0))+(
IF(Tank3!$C$23="Carbon adsorption system",SUMIF(Tank3!$A$32:$A$49, CAS!A137,Tank3!$C$32:$C$49),0))+(
IF(Tank4!$C$23="Carbon adsorption system",SUMIF(Tank4!$A$32:$A$49, CAS!A137,Tank4!$C$32:$C$49),0))+(
IF(Tank5!$C$23="Carbon adsorption system",SUMIF(Tank5!$A$32:$A$49, CAS!A137,Tank5!$C$32:$C$49),0))+(
IF('Loading-drum,tote'!$C$21="Carbon adsorption system",SUMIF('Loading-drum,tote'!$A$31:$A$48, CAS!A137,'Loading-drum,tote'!$F$31:$F$48),0))+(
IF('Loading-truck'!$C$21="Carbon adsorption system",SUMIF('Loading-truck'!$A$31:$A$48, CAS!A137,'Loading-truck'!$F$31:$F$48),0))+(
IF('Loading-rail'!$C$21="Carbon adsorption system",SUMIF('Loading-rail'!$A$31:$A$48, CAS!A137,'Loading-rail'!$F$31:$F$48),0))</f>
        <v>0</v>
      </c>
      <c r="E137" s="801">
        <f t="shared" si="4"/>
        <v>0</v>
      </c>
    </row>
    <row r="138" spans="1:5" x14ac:dyDescent="0.25">
      <c r="A138" s="539" t="str">
        <f>'Hidden Inputs'!AO108</f>
        <v/>
      </c>
      <c r="B138" s="1592" t="str">
        <f t="shared" si="5"/>
        <v/>
      </c>
      <c r="C138" s="1592"/>
      <c r="D138" s="800">
        <f>(IF(
Tank1!$C$23="Carbon adsorption system",SUMIF(Tank1!$A$32:$A$49,CAS!A138,Tank1!$C$32:$C$49),0))+(
IF(Tank2!$C$23="Carbon adsorption system",SUMIF(Tank2!$A$32:$A$49, CAS!A138,Tank2!$C$32:$C$49),0))+(
IF(Tank3!$C$23="Carbon adsorption system",SUMIF(Tank3!$A$32:$A$49, CAS!A138,Tank3!$C$32:$C$49),0))+(
IF(Tank4!$C$23="Carbon adsorption system",SUMIF(Tank4!$A$32:$A$49, CAS!A138,Tank4!$C$32:$C$49),0))+(
IF(Tank5!$C$23="Carbon adsorption system",SUMIF(Tank5!$A$32:$A$49, CAS!A138,Tank5!$C$32:$C$49),0))+(
IF('Loading-drum,tote'!$C$21="Carbon adsorption system",SUMIF('Loading-drum,tote'!$A$31:$A$48, CAS!A138,'Loading-drum,tote'!$F$31:$F$48),0))+(
IF('Loading-truck'!$C$21="Carbon adsorption system",SUMIF('Loading-truck'!$A$31:$A$48, CAS!A138,'Loading-truck'!$F$31:$F$48),0))+(
IF('Loading-rail'!$C$21="Carbon adsorption system",SUMIF('Loading-rail'!$A$31:$A$48, CAS!A138,'Loading-rail'!$F$31:$F$48),0))</f>
        <v>0</v>
      </c>
      <c r="E138" s="801">
        <f t="shared" si="4"/>
        <v>0</v>
      </c>
    </row>
    <row r="139" spans="1:5" x14ac:dyDescent="0.25">
      <c r="A139" s="539" t="str">
        <f>'Hidden Inputs'!AO109</f>
        <v/>
      </c>
      <c r="B139" s="1592" t="str">
        <f t="shared" si="5"/>
        <v/>
      </c>
      <c r="C139" s="1592"/>
      <c r="D139" s="800">
        <f>(IF(
Tank1!$C$23="Carbon adsorption system",SUMIF(Tank1!$A$32:$A$49,CAS!A139,Tank1!$C$32:$C$49),0))+(
IF(Tank2!$C$23="Carbon adsorption system",SUMIF(Tank2!$A$32:$A$49, CAS!A139,Tank2!$C$32:$C$49),0))+(
IF(Tank3!$C$23="Carbon adsorption system",SUMIF(Tank3!$A$32:$A$49, CAS!A139,Tank3!$C$32:$C$49),0))+(
IF(Tank4!$C$23="Carbon adsorption system",SUMIF(Tank4!$A$32:$A$49, CAS!A139,Tank4!$C$32:$C$49),0))+(
IF(Tank5!$C$23="Carbon adsorption system",SUMIF(Tank5!$A$32:$A$49, CAS!A139,Tank5!$C$32:$C$49),0))+(
IF('Loading-drum,tote'!$C$21="Carbon adsorption system",SUMIF('Loading-drum,tote'!$A$31:$A$48, CAS!A139,'Loading-drum,tote'!$F$31:$F$48),0))+(
IF('Loading-truck'!$C$21="Carbon adsorption system",SUMIF('Loading-truck'!$A$31:$A$48, CAS!A139,'Loading-truck'!$F$31:$F$48),0))+(
IF('Loading-rail'!$C$21="Carbon adsorption system",SUMIF('Loading-rail'!$A$31:$A$48, CAS!A139,'Loading-rail'!$F$31:$F$48),0))</f>
        <v>0</v>
      </c>
      <c r="E139" s="801">
        <f t="shared" si="4"/>
        <v>0</v>
      </c>
    </row>
    <row r="140" spans="1:5" x14ac:dyDescent="0.25">
      <c r="A140" s="539" t="str">
        <f>'Hidden Inputs'!AO110</f>
        <v/>
      </c>
      <c r="B140" s="1592" t="str">
        <f t="shared" si="5"/>
        <v/>
      </c>
      <c r="C140" s="1592"/>
      <c r="D140" s="800">
        <f>(IF(
Tank1!$C$23="Carbon adsorption system",SUMIF(Tank1!$A$32:$A$49,CAS!A140,Tank1!$C$32:$C$49),0))+(
IF(Tank2!$C$23="Carbon adsorption system",SUMIF(Tank2!$A$32:$A$49, CAS!A140,Tank2!$C$32:$C$49),0))+(
IF(Tank3!$C$23="Carbon adsorption system",SUMIF(Tank3!$A$32:$A$49, CAS!A140,Tank3!$C$32:$C$49),0))+(
IF(Tank4!$C$23="Carbon adsorption system",SUMIF(Tank4!$A$32:$A$49, CAS!A140,Tank4!$C$32:$C$49),0))+(
IF(Tank5!$C$23="Carbon adsorption system",SUMIF(Tank5!$A$32:$A$49, CAS!A140,Tank5!$C$32:$C$49),0))+(
IF('Loading-drum,tote'!$C$21="Carbon adsorption system",SUMIF('Loading-drum,tote'!$A$31:$A$48, CAS!A140,'Loading-drum,tote'!$F$31:$F$48),0))+(
IF('Loading-truck'!$C$21="Carbon adsorption system",SUMIF('Loading-truck'!$A$31:$A$48, CAS!A140,'Loading-truck'!$F$31:$F$48),0))+(
IF('Loading-rail'!$C$21="Carbon adsorption system",SUMIF('Loading-rail'!$A$31:$A$48, CAS!A140,'Loading-rail'!$F$31:$F$48),0))</f>
        <v>0</v>
      </c>
      <c r="E140" s="801">
        <f t="shared" si="4"/>
        <v>0</v>
      </c>
    </row>
    <row r="141" spans="1:5" x14ac:dyDescent="0.25">
      <c r="A141" s="539" t="str">
        <f>'Hidden Inputs'!AO111</f>
        <v/>
      </c>
      <c r="B141" s="1592" t="str">
        <f t="shared" si="5"/>
        <v/>
      </c>
      <c r="C141" s="1592"/>
      <c r="D141" s="800">
        <f>(IF(
Tank1!$C$23="Carbon adsorption system",SUMIF(Tank1!$A$32:$A$49,CAS!A141,Tank1!$C$32:$C$49),0))+(
IF(Tank2!$C$23="Carbon adsorption system",SUMIF(Tank2!$A$32:$A$49, CAS!A141,Tank2!$C$32:$C$49),0))+(
IF(Tank3!$C$23="Carbon adsorption system",SUMIF(Tank3!$A$32:$A$49, CAS!A141,Tank3!$C$32:$C$49),0))+(
IF(Tank4!$C$23="Carbon adsorption system",SUMIF(Tank4!$A$32:$A$49, CAS!A141,Tank4!$C$32:$C$49),0))+(
IF(Tank5!$C$23="Carbon adsorption system",SUMIF(Tank5!$A$32:$A$49, CAS!A141,Tank5!$C$32:$C$49),0))+(
IF('Loading-drum,tote'!$C$21="Carbon adsorption system",SUMIF('Loading-drum,tote'!$A$31:$A$48, CAS!A141,'Loading-drum,tote'!$F$31:$F$48),0))+(
IF('Loading-truck'!$C$21="Carbon adsorption system",SUMIF('Loading-truck'!$A$31:$A$48, CAS!A141,'Loading-truck'!$F$31:$F$48),0))+(
IF('Loading-rail'!$C$21="Carbon adsorption system",SUMIF('Loading-rail'!$A$31:$A$48, CAS!A141,'Loading-rail'!$F$31:$F$48),0))</f>
        <v>0</v>
      </c>
      <c r="E141" s="801">
        <f t="shared" si="4"/>
        <v>0</v>
      </c>
    </row>
    <row r="142" spans="1:5" x14ac:dyDescent="0.25">
      <c r="A142" s="539" t="str">
        <f>'Hidden Inputs'!AO112</f>
        <v/>
      </c>
      <c r="B142" s="1592" t="str">
        <f t="shared" si="5"/>
        <v/>
      </c>
      <c r="C142" s="1592"/>
      <c r="D142" s="800">
        <f>(IF(
Tank1!$C$23="Carbon adsorption system",SUMIF(Tank1!$A$32:$A$49,CAS!A142,Tank1!$C$32:$C$49),0))+(
IF(Tank2!$C$23="Carbon adsorption system",SUMIF(Tank2!$A$32:$A$49, CAS!A142,Tank2!$C$32:$C$49),0))+(
IF(Tank3!$C$23="Carbon adsorption system",SUMIF(Tank3!$A$32:$A$49, CAS!A142,Tank3!$C$32:$C$49),0))+(
IF(Tank4!$C$23="Carbon adsorption system",SUMIF(Tank4!$A$32:$A$49, CAS!A142,Tank4!$C$32:$C$49),0))+(
IF(Tank5!$C$23="Carbon adsorption system",SUMIF(Tank5!$A$32:$A$49, CAS!A142,Tank5!$C$32:$C$49),0))+(
IF('Loading-drum,tote'!$C$21="Carbon adsorption system",SUMIF('Loading-drum,tote'!$A$31:$A$48, CAS!A142,'Loading-drum,tote'!$F$31:$F$48),0))+(
IF('Loading-truck'!$C$21="Carbon adsorption system",SUMIF('Loading-truck'!$A$31:$A$48, CAS!A142,'Loading-truck'!$F$31:$F$48),0))+(
IF('Loading-rail'!$C$21="Carbon adsorption system",SUMIF('Loading-rail'!$A$31:$A$48, CAS!A142,'Loading-rail'!$F$31:$F$48),0))</f>
        <v>0</v>
      </c>
      <c r="E142" s="801">
        <f t="shared" si="4"/>
        <v>0</v>
      </c>
    </row>
    <row r="143" spans="1:5" x14ac:dyDescent="0.25">
      <c r="A143" s="539" t="str">
        <f>'Hidden Inputs'!AO113</f>
        <v/>
      </c>
      <c r="B143" s="1592" t="str">
        <f t="shared" si="5"/>
        <v/>
      </c>
      <c r="C143" s="1592"/>
      <c r="D143" s="800">
        <f>(IF(
Tank1!$C$23="Carbon adsorption system",SUMIF(Tank1!$A$32:$A$49,CAS!A143,Tank1!$C$32:$C$49),0))+(
IF(Tank2!$C$23="Carbon adsorption system",SUMIF(Tank2!$A$32:$A$49, CAS!A143,Tank2!$C$32:$C$49),0))+(
IF(Tank3!$C$23="Carbon adsorption system",SUMIF(Tank3!$A$32:$A$49, CAS!A143,Tank3!$C$32:$C$49),0))+(
IF(Tank4!$C$23="Carbon adsorption system",SUMIF(Tank4!$A$32:$A$49, CAS!A143,Tank4!$C$32:$C$49),0))+(
IF(Tank5!$C$23="Carbon adsorption system",SUMIF(Tank5!$A$32:$A$49, CAS!A143,Tank5!$C$32:$C$49),0))+(
IF('Loading-drum,tote'!$C$21="Carbon adsorption system",SUMIF('Loading-drum,tote'!$A$31:$A$48, CAS!A143,'Loading-drum,tote'!$F$31:$F$48),0))+(
IF('Loading-truck'!$C$21="Carbon adsorption system",SUMIF('Loading-truck'!$A$31:$A$48, CAS!A143,'Loading-truck'!$F$31:$F$48),0))+(
IF('Loading-rail'!$C$21="Carbon adsorption system",SUMIF('Loading-rail'!$A$31:$A$48, CAS!A143,'Loading-rail'!$F$31:$F$48),0))</f>
        <v>0</v>
      </c>
      <c r="E143" s="801">
        <f t="shared" si="4"/>
        <v>0</v>
      </c>
    </row>
    <row r="144" spans="1:5" x14ac:dyDescent="0.25">
      <c r="A144" s="539" t="str">
        <f>'Hidden Inputs'!AO114</f>
        <v/>
      </c>
      <c r="B144" s="1592" t="str">
        <f t="shared" si="5"/>
        <v/>
      </c>
      <c r="C144" s="1592"/>
      <c r="D144" s="800">
        <f>(IF(
Tank1!$C$23="Carbon adsorption system",SUMIF(Tank1!$A$32:$A$49,CAS!A144,Tank1!$C$32:$C$49),0))+(
IF(Tank2!$C$23="Carbon adsorption system",SUMIF(Tank2!$A$32:$A$49, CAS!A144,Tank2!$C$32:$C$49),0))+(
IF(Tank3!$C$23="Carbon adsorption system",SUMIF(Tank3!$A$32:$A$49, CAS!A144,Tank3!$C$32:$C$49),0))+(
IF(Tank4!$C$23="Carbon adsorption system",SUMIF(Tank4!$A$32:$A$49, CAS!A144,Tank4!$C$32:$C$49),0))+(
IF(Tank5!$C$23="Carbon adsorption system",SUMIF(Tank5!$A$32:$A$49, CAS!A144,Tank5!$C$32:$C$49),0))+(
IF('Loading-drum,tote'!$C$21="Carbon adsorption system",SUMIF('Loading-drum,tote'!$A$31:$A$48, CAS!A144,'Loading-drum,tote'!$F$31:$F$48),0))+(
IF('Loading-truck'!$C$21="Carbon adsorption system",SUMIF('Loading-truck'!$A$31:$A$48, CAS!A144,'Loading-truck'!$F$31:$F$48),0))+(
IF('Loading-rail'!$C$21="Carbon adsorption system",SUMIF('Loading-rail'!$A$31:$A$48, CAS!A144,'Loading-rail'!$F$31:$F$48),0))</f>
        <v>0</v>
      </c>
      <c r="E144" s="801">
        <f t="shared" si="4"/>
        <v>0</v>
      </c>
    </row>
    <row r="145" spans="1:5" x14ac:dyDescent="0.25">
      <c r="A145" s="539" t="str">
        <f>'Hidden Inputs'!AO115</f>
        <v/>
      </c>
      <c r="B145" s="1592" t="str">
        <f t="shared" si="5"/>
        <v/>
      </c>
      <c r="C145" s="1592"/>
      <c r="D145" s="800">
        <f>(IF(
Tank1!$C$23="Carbon adsorption system",SUMIF(Tank1!$A$32:$A$49,CAS!A145,Tank1!$C$32:$C$49),0))+(
IF(Tank2!$C$23="Carbon adsorption system",SUMIF(Tank2!$A$32:$A$49, CAS!A145,Tank2!$C$32:$C$49),0))+(
IF(Tank3!$C$23="Carbon adsorption system",SUMIF(Tank3!$A$32:$A$49, CAS!A145,Tank3!$C$32:$C$49),0))+(
IF(Tank4!$C$23="Carbon adsorption system",SUMIF(Tank4!$A$32:$A$49, CAS!A145,Tank4!$C$32:$C$49),0))+(
IF(Tank5!$C$23="Carbon adsorption system",SUMIF(Tank5!$A$32:$A$49, CAS!A145,Tank5!$C$32:$C$49),0))+(
IF('Loading-drum,tote'!$C$21="Carbon adsorption system",SUMIF('Loading-drum,tote'!$A$31:$A$48, CAS!A145,'Loading-drum,tote'!$F$31:$F$48),0))+(
IF('Loading-truck'!$C$21="Carbon adsorption system",SUMIF('Loading-truck'!$A$31:$A$48, CAS!A145,'Loading-truck'!$F$31:$F$48),0))+(
IF('Loading-rail'!$C$21="Carbon adsorption system",SUMIF('Loading-rail'!$A$31:$A$48, CAS!A145,'Loading-rail'!$F$31:$F$48),0))</f>
        <v>0</v>
      </c>
      <c r="E145" s="801">
        <f t="shared" si="4"/>
        <v>0</v>
      </c>
    </row>
    <row r="146" spans="1:5" x14ac:dyDescent="0.25">
      <c r="A146" s="539" t="str">
        <f>'Hidden Inputs'!AO116</f>
        <v/>
      </c>
      <c r="B146" s="1592" t="str">
        <f t="shared" si="5"/>
        <v/>
      </c>
      <c r="C146" s="1592"/>
      <c r="D146" s="800">
        <f>(IF(
Tank1!$C$23="Carbon adsorption system",SUMIF(Tank1!$A$32:$A$49,CAS!A146,Tank1!$C$32:$C$49),0))+(
IF(Tank2!$C$23="Carbon adsorption system",SUMIF(Tank2!$A$32:$A$49, CAS!A146,Tank2!$C$32:$C$49),0))+(
IF(Tank3!$C$23="Carbon adsorption system",SUMIF(Tank3!$A$32:$A$49, CAS!A146,Tank3!$C$32:$C$49),0))+(
IF(Tank4!$C$23="Carbon adsorption system",SUMIF(Tank4!$A$32:$A$49, CAS!A146,Tank4!$C$32:$C$49),0))+(
IF(Tank5!$C$23="Carbon adsorption system",SUMIF(Tank5!$A$32:$A$49, CAS!A146,Tank5!$C$32:$C$49),0))+(
IF('Loading-drum,tote'!$C$21="Carbon adsorption system",SUMIF('Loading-drum,tote'!$A$31:$A$48, CAS!A146,'Loading-drum,tote'!$F$31:$F$48),0))+(
IF('Loading-truck'!$C$21="Carbon adsorption system",SUMIF('Loading-truck'!$A$31:$A$48, CAS!A146,'Loading-truck'!$F$31:$F$48),0))+(
IF('Loading-rail'!$C$21="Carbon adsorption system",SUMIF('Loading-rail'!$A$31:$A$48, CAS!A146,'Loading-rail'!$F$31:$F$48),0))</f>
        <v>0</v>
      </c>
      <c r="E146" s="801">
        <f t="shared" si="4"/>
        <v>0</v>
      </c>
    </row>
    <row r="147" spans="1:5" x14ac:dyDescent="0.25">
      <c r="A147" s="539" t="str">
        <f>'Hidden Inputs'!AO117</f>
        <v/>
      </c>
      <c r="B147" s="1592" t="str">
        <f t="shared" si="5"/>
        <v/>
      </c>
      <c r="C147" s="1592"/>
      <c r="D147" s="800">
        <f>(IF(
Tank1!$C$23="Carbon adsorption system",SUMIF(Tank1!$A$32:$A$49,CAS!A147,Tank1!$C$32:$C$49),0))+(
IF(Tank2!$C$23="Carbon adsorption system",SUMIF(Tank2!$A$32:$A$49, CAS!A147,Tank2!$C$32:$C$49),0))+(
IF(Tank3!$C$23="Carbon adsorption system",SUMIF(Tank3!$A$32:$A$49, CAS!A147,Tank3!$C$32:$C$49),0))+(
IF(Tank4!$C$23="Carbon adsorption system",SUMIF(Tank4!$A$32:$A$49, CAS!A147,Tank4!$C$32:$C$49),0))+(
IF(Tank5!$C$23="Carbon adsorption system",SUMIF(Tank5!$A$32:$A$49, CAS!A147,Tank5!$C$32:$C$49),0))+(
IF('Loading-drum,tote'!$C$21="Carbon adsorption system",SUMIF('Loading-drum,tote'!$A$31:$A$48, CAS!A147,'Loading-drum,tote'!$F$31:$F$48),0))+(
IF('Loading-truck'!$C$21="Carbon adsorption system",SUMIF('Loading-truck'!$A$31:$A$48, CAS!A147,'Loading-truck'!$F$31:$F$48),0))+(
IF('Loading-rail'!$C$21="Carbon adsorption system",SUMIF('Loading-rail'!$A$31:$A$48, CAS!A147,'Loading-rail'!$F$31:$F$48),0))</f>
        <v>0</v>
      </c>
      <c r="E147" s="801">
        <f t="shared" si="4"/>
        <v>0</v>
      </c>
    </row>
    <row r="148" spans="1:5" x14ac:dyDescent="0.25">
      <c r="A148" s="539" t="str">
        <f>'Hidden Inputs'!AO118</f>
        <v/>
      </c>
      <c r="B148" s="1592" t="str">
        <f t="shared" si="5"/>
        <v/>
      </c>
      <c r="C148" s="1592"/>
      <c r="D148" s="800">
        <f>(IF(
Tank1!$C$23="Carbon adsorption system",SUMIF(Tank1!$A$32:$A$49,CAS!A148,Tank1!$C$32:$C$49),0))+(
IF(Tank2!$C$23="Carbon adsorption system",SUMIF(Tank2!$A$32:$A$49, CAS!A148,Tank2!$C$32:$C$49),0))+(
IF(Tank3!$C$23="Carbon adsorption system",SUMIF(Tank3!$A$32:$A$49, CAS!A148,Tank3!$C$32:$C$49),0))+(
IF(Tank4!$C$23="Carbon adsorption system",SUMIF(Tank4!$A$32:$A$49, CAS!A148,Tank4!$C$32:$C$49),0))+(
IF(Tank5!$C$23="Carbon adsorption system",SUMIF(Tank5!$A$32:$A$49, CAS!A148,Tank5!$C$32:$C$49),0))+(
IF('Loading-drum,tote'!$C$21="Carbon adsorption system",SUMIF('Loading-drum,tote'!$A$31:$A$48, CAS!A148,'Loading-drum,tote'!$F$31:$F$48),0))+(
IF('Loading-truck'!$C$21="Carbon adsorption system",SUMIF('Loading-truck'!$A$31:$A$48, CAS!A148,'Loading-truck'!$F$31:$F$48),0))+(
IF('Loading-rail'!$C$21="Carbon adsorption system",SUMIF('Loading-rail'!$A$31:$A$48, CAS!A148,'Loading-rail'!$F$31:$F$48),0))</f>
        <v>0</v>
      </c>
      <c r="E148" s="801">
        <f t="shared" si="4"/>
        <v>0</v>
      </c>
    </row>
    <row r="149" spans="1:5" x14ac:dyDescent="0.25">
      <c r="A149" s="539" t="str">
        <f>'Hidden Inputs'!AO119</f>
        <v/>
      </c>
      <c r="B149" s="1592" t="str">
        <f t="shared" si="5"/>
        <v/>
      </c>
      <c r="C149" s="1592"/>
      <c r="D149" s="800">
        <f>(IF(
Tank1!$C$23="Carbon adsorption system",SUMIF(Tank1!$A$32:$A$49,CAS!A149,Tank1!$C$32:$C$49),0))+(
IF(Tank2!$C$23="Carbon adsorption system",SUMIF(Tank2!$A$32:$A$49, CAS!A149,Tank2!$C$32:$C$49),0))+(
IF(Tank3!$C$23="Carbon adsorption system",SUMIF(Tank3!$A$32:$A$49, CAS!A149,Tank3!$C$32:$C$49),0))+(
IF(Tank4!$C$23="Carbon adsorption system",SUMIF(Tank4!$A$32:$A$49, CAS!A149,Tank4!$C$32:$C$49),0))+(
IF(Tank5!$C$23="Carbon adsorption system",SUMIF(Tank5!$A$32:$A$49, CAS!A149,Tank5!$C$32:$C$49),0))+(
IF('Loading-drum,tote'!$C$21="Carbon adsorption system",SUMIF('Loading-drum,tote'!$A$31:$A$48, CAS!A149,'Loading-drum,tote'!$F$31:$F$48),0))+(
IF('Loading-truck'!$C$21="Carbon adsorption system",SUMIF('Loading-truck'!$A$31:$A$48, CAS!A149,'Loading-truck'!$F$31:$F$48),0))+(
IF('Loading-rail'!$C$21="Carbon adsorption system",SUMIF('Loading-rail'!$A$31:$A$48, CAS!A149,'Loading-rail'!$F$31:$F$48),0))</f>
        <v>0</v>
      </c>
      <c r="E149" s="801">
        <f t="shared" si="4"/>
        <v>0</v>
      </c>
    </row>
    <row r="150" spans="1:5" x14ac:dyDescent="0.25">
      <c r="A150" s="539" t="str">
        <f>'Hidden Inputs'!AO120</f>
        <v/>
      </c>
      <c r="B150" s="1592" t="str">
        <f t="shared" si="5"/>
        <v/>
      </c>
      <c r="C150" s="1592"/>
      <c r="D150" s="800">
        <f>(IF(
Tank1!$C$23="Carbon adsorption system",SUMIF(Tank1!$A$32:$A$49,CAS!A150,Tank1!$C$32:$C$49),0))+(
IF(Tank2!$C$23="Carbon adsorption system",SUMIF(Tank2!$A$32:$A$49, CAS!A150,Tank2!$C$32:$C$49),0))+(
IF(Tank3!$C$23="Carbon adsorption system",SUMIF(Tank3!$A$32:$A$49, CAS!A150,Tank3!$C$32:$C$49),0))+(
IF(Tank4!$C$23="Carbon adsorption system",SUMIF(Tank4!$A$32:$A$49, CAS!A150,Tank4!$C$32:$C$49),0))+(
IF(Tank5!$C$23="Carbon adsorption system",SUMIF(Tank5!$A$32:$A$49, CAS!A150,Tank5!$C$32:$C$49),0))+(
IF('Loading-drum,tote'!$C$21="Carbon adsorption system",SUMIF('Loading-drum,tote'!$A$31:$A$48, CAS!A150,'Loading-drum,tote'!$F$31:$F$48),0))+(
IF('Loading-truck'!$C$21="Carbon adsorption system",SUMIF('Loading-truck'!$A$31:$A$48, CAS!A150,'Loading-truck'!$F$31:$F$48),0))+(
IF('Loading-rail'!$C$21="Carbon adsorption system",SUMIF('Loading-rail'!$A$31:$A$48, CAS!A150,'Loading-rail'!$F$31:$F$48),0))</f>
        <v>0</v>
      </c>
      <c r="E150" s="801">
        <f t="shared" si="4"/>
        <v>0</v>
      </c>
    </row>
    <row r="151" spans="1:5" x14ac:dyDescent="0.25">
      <c r="A151" s="539" t="str">
        <f>'Hidden Inputs'!AO121</f>
        <v/>
      </c>
      <c r="B151" s="1592" t="str">
        <f t="shared" si="5"/>
        <v/>
      </c>
      <c r="C151" s="1592"/>
      <c r="D151" s="800">
        <f>(IF(
Tank1!$C$23="Carbon adsorption system",SUMIF(Tank1!$A$32:$A$49,CAS!A151,Tank1!$C$32:$C$49),0))+(
IF(Tank2!$C$23="Carbon adsorption system",SUMIF(Tank2!$A$32:$A$49, CAS!A151,Tank2!$C$32:$C$49),0))+(
IF(Tank3!$C$23="Carbon adsorption system",SUMIF(Tank3!$A$32:$A$49, CAS!A151,Tank3!$C$32:$C$49),0))+(
IF(Tank4!$C$23="Carbon adsorption system",SUMIF(Tank4!$A$32:$A$49, CAS!A151,Tank4!$C$32:$C$49),0))+(
IF(Tank5!$C$23="Carbon adsorption system",SUMIF(Tank5!$A$32:$A$49, CAS!A151,Tank5!$C$32:$C$49),0))+(
IF('Loading-drum,tote'!$C$21="Carbon adsorption system",SUMIF('Loading-drum,tote'!$A$31:$A$48, CAS!A151,'Loading-drum,tote'!$F$31:$F$48),0))+(
IF('Loading-truck'!$C$21="Carbon adsorption system",SUMIF('Loading-truck'!$A$31:$A$48, CAS!A151,'Loading-truck'!$F$31:$F$48),0))+(
IF('Loading-rail'!$C$21="Carbon adsorption system",SUMIF('Loading-rail'!$A$31:$A$48, CAS!A151,'Loading-rail'!$F$31:$F$48),0))</f>
        <v>0</v>
      </c>
      <c r="E151" s="801">
        <f t="shared" si="4"/>
        <v>0</v>
      </c>
    </row>
    <row r="152" spans="1:5" x14ac:dyDescent="0.25">
      <c r="A152" s="539" t="str">
        <f>'Hidden Inputs'!AO122</f>
        <v/>
      </c>
      <c r="B152" s="1592" t="str">
        <f t="shared" si="5"/>
        <v/>
      </c>
      <c r="C152" s="1592"/>
      <c r="D152" s="800">
        <f>(IF(
Tank1!$C$23="Carbon adsorption system",SUMIF(Tank1!$A$32:$A$49,CAS!A152,Tank1!$C$32:$C$49),0))+(
IF(Tank2!$C$23="Carbon adsorption system",SUMIF(Tank2!$A$32:$A$49, CAS!A152,Tank2!$C$32:$C$49),0))+(
IF(Tank3!$C$23="Carbon adsorption system",SUMIF(Tank3!$A$32:$A$49, CAS!A152,Tank3!$C$32:$C$49),0))+(
IF(Tank4!$C$23="Carbon adsorption system",SUMIF(Tank4!$A$32:$A$49, CAS!A152,Tank4!$C$32:$C$49),0))+(
IF(Tank5!$C$23="Carbon adsorption system",SUMIF(Tank5!$A$32:$A$49, CAS!A152,Tank5!$C$32:$C$49),0))+(
IF('Loading-drum,tote'!$C$21="Carbon adsorption system",SUMIF('Loading-drum,tote'!$A$31:$A$48, CAS!A152,'Loading-drum,tote'!$F$31:$F$48),0))+(
IF('Loading-truck'!$C$21="Carbon adsorption system",SUMIF('Loading-truck'!$A$31:$A$48, CAS!A152,'Loading-truck'!$F$31:$F$48),0))+(
IF('Loading-rail'!$C$21="Carbon adsorption system",SUMIF('Loading-rail'!$A$31:$A$48, CAS!A152,'Loading-rail'!$F$31:$F$48),0))</f>
        <v>0</v>
      </c>
      <c r="E152" s="801">
        <f t="shared" si="4"/>
        <v>0</v>
      </c>
    </row>
    <row r="153" spans="1:5" x14ac:dyDescent="0.25">
      <c r="A153" s="539" t="str">
        <f>'Hidden Inputs'!AO123</f>
        <v/>
      </c>
      <c r="B153" s="1592" t="str">
        <f t="shared" si="5"/>
        <v/>
      </c>
      <c r="C153" s="1592"/>
      <c r="D153" s="800">
        <f>(IF(
Tank1!$C$23="Carbon adsorption system",SUMIF(Tank1!$A$32:$A$49,CAS!A153,Tank1!$C$32:$C$49),0))+(
IF(Tank2!$C$23="Carbon adsorption system",SUMIF(Tank2!$A$32:$A$49, CAS!A153,Tank2!$C$32:$C$49),0))+(
IF(Tank3!$C$23="Carbon adsorption system",SUMIF(Tank3!$A$32:$A$49, CAS!A153,Tank3!$C$32:$C$49),0))+(
IF(Tank4!$C$23="Carbon adsorption system",SUMIF(Tank4!$A$32:$A$49, CAS!A153,Tank4!$C$32:$C$49),0))+(
IF(Tank5!$C$23="Carbon adsorption system",SUMIF(Tank5!$A$32:$A$49, CAS!A153,Tank5!$C$32:$C$49),0))+(
IF('Loading-drum,tote'!$C$21="Carbon adsorption system",SUMIF('Loading-drum,tote'!$A$31:$A$48, CAS!A153,'Loading-drum,tote'!$F$31:$F$48),0))+(
IF('Loading-truck'!$C$21="Carbon adsorption system",SUMIF('Loading-truck'!$A$31:$A$48, CAS!A153,'Loading-truck'!$F$31:$F$48),0))+(
IF('Loading-rail'!$C$21="Carbon adsorption system",SUMIF('Loading-rail'!$A$31:$A$48, CAS!A153,'Loading-rail'!$F$31:$F$48),0))</f>
        <v>0</v>
      </c>
      <c r="E153" s="801">
        <f t="shared" si="4"/>
        <v>0</v>
      </c>
    </row>
    <row r="154" spans="1:5" x14ac:dyDescent="0.25">
      <c r="A154" s="539" t="str">
        <f>'Hidden Inputs'!AO124</f>
        <v/>
      </c>
      <c r="B154" s="1592" t="str">
        <f t="shared" si="5"/>
        <v/>
      </c>
      <c r="C154" s="1592"/>
      <c r="D154" s="800">
        <f>(IF(
Tank1!$C$23="Carbon adsorption system",SUMIF(Tank1!$A$32:$A$49,CAS!A154,Tank1!$C$32:$C$49),0))+(
IF(Tank2!$C$23="Carbon adsorption system",SUMIF(Tank2!$A$32:$A$49, CAS!A154,Tank2!$C$32:$C$49),0))+(
IF(Tank3!$C$23="Carbon adsorption system",SUMIF(Tank3!$A$32:$A$49, CAS!A154,Tank3!$C$32:$C$49),0))+(
IF(Tank4!$C$23="Carbon adsorption system",SUMIF(Tank4!$A$32:$A$49, CAS!A154,Tank4!$C$32:$C$49),0))+(
IF(Tank5!$C$23="Carbon adsorption system",SUMIF(Tank5!$A$32:$A$49, CAS!A154,Tank5!$C$32:$C$49),0))+(
IF('Loading-drum,tote'!$C$21="Carbon adsorption system",SUMIF('Loading-drum,tote'!$A$31:$A$48, CAS!A154,'Loading-drum,tote'!$F$31:$F$48),0))+(
IF('Loading-truck'!$C$21="Carbon adsorption system",SUMIF('Loading-truck'!$A$31:$A$48, CAS!A154,'Loading-truck'!$F$31:$F$48),0))+(
IF('Loading-rail'!$C$21="Carbon adsorption system",SUMIF('Loading-rail'!$A$31:$A$48, CAS!A154,'Loading-rail'!$F$31:$F$48),0))</f>
        <v>0</v>
      </c>
      <c r="E154" s="801">
        <f t="shared" si="4"/>
        <v>0</v>
      </c>
    </row>
    <row r="155" spans="1:5" x14ac:dyDescent="0.25">
      <c r="A155" s="539" t="str">
        <f>'Hidden Inputs'!AO125</f>
        <v/>
      </c>
      <c r="B155" s="1592" t="str">
        <f t="shared" si="5"/>
        <v/>
      </c>
      <c r="C155" s="1592"/>
      <c r="D155" s="800">
        <f>(IF(
Tank1!$C$23="Carbon adsorption system",SUMIF(Tank1!$A$32:$A$49,CAS!A155,Tank1!$C$32:$C$49),0))+(
IF(Tank2!$C$23="Carbon adsorption system",SUMIF(Tank2!$A$32:$A$49, CAS!A155,Tank2!$C$32:$C$49),0))+(
IF(Tank3!$C$23="Carbon adsorption system",SUMIF(Tank3!$A$32:$A$49, CAS!A155,Tank3!$C$32:$C$49),0))+(
IF(Tank4!$C$23="Carbon adsorption system",SUMIF(Tank4!$A$32:$A$49, CAS!A155,Tank4!$C$32:$C$49),0))+(
IF(Tank5!$C$23="Carbon adsorption system",SUMIF(Tank5!$A$32:$A$49, CAS!A155,Tank5!$C$32:$C$49),0))+(
IF('Loading-drum,tote'!$C$21="Carbon adsorption system",SUMIF('Loading-drum,tote'!$A$31:$A$48, CAS!A155,'Loading-drum,tote'!$F$31:$F$48),0))+(
IF('Loading-truck'!$C$21="Carbon adsorption system",SUMIF('Loading-truck'!$A$31:$A$48, CAS!A155,'Loading-truck'!$F$31:$F$48),0))+(
IF('Loading-rail'!$C$21="Carbon adsorption system",SUMIF('Loading-rail'!$A$31:$A$48, CAS!A155,'Loading-rail'!$F$31:$F$48),0))</f>
        <v>0</v>
      </c>
      <c r="E155" s="801">
        <f t="shared" si="4"/>
        <v>0</v>
      </c>
    </row>
    <row r="156" spans="1:5" x14ac:dyDescent="0.25">
      <c r="A156" s="539" t="str">
        <f>'Hidden Inputs'!AO126</f>
        <v/>
      </c>
      <c r="B156" s="1592" t="str">
        <f t="shared" si="5"/>
        <v/>
      </c>
      <c r="C156" s="1592"/>
      <c r="D156" s="800">
        <f>(IF(
Tank1!$C$23="Carbon adsorption system",SUMIF(Tank1!$A$32:$A$49,CAS!A156,Tank1!$C$32:$C$49),0))+(
IF(Tank2!$C$23="Carbon adsorption system",SUMIF(Tank2!$A$32:$A$49, CAS!A156,Tank2!$C$32:$C$49),0))+(
IF(Tank3!$C$23="Carbon adsorption system",SUMIF(Tank3!$A$32:$A$49, CAS!A156,Tank3!$C$32:$C$49),0))+(
IF(Tank4!$C$23="Carbon adsorption system",SUMIF(Tank4!$A$32:$A$49, CAS!A156,Tank4!$C$32:$C$49),0))+(
IF(Tank5!$C$23="Carbon adsorption system",SUMIF(Tank5!$A$32:$A$49, CAS!A156,Tank5!$C$32:$C$49),0))+(
IF('Loading-drum,tote'!$C$21="Carbon adsorption system",SUMIF('Loading-drum,tote'!$A$31:$A$48, CAS!A156,'Loading-drum,tote'!$F$31:$F$48),0))+(
IF('Loading-truck'!$C$21="Carbon adsorption system",SUMIF('Loading-truck'!$A$31:$A$48, CAS!A156,'Loading-truck'!$F$31:$F$48),0))+(
IF('Loading-rail'!$C$21="Carbon adsorption system",SUMIF('Loading-rail'!$A$31:$A$48, CAS!A156,'Loading-rail'!$F$31:$F$48),0))</f>
        <v>0</v>
      </c>
      <c r="E156" s="801">
        <f t="shared" si="4"/>
        <v>0</v>
      </c>
    </row>
    <row r="157" spans="1:5" x14ac:dyDescent="0.25">
      <c r="A157" s="539" t="str">
        <f>'Hidden Inputs'!AO127</f>
        <v/>
      </c>
      <c r="B157" s="1592" t="str">
        <f t="shared" si="5"/>
        <v/>
      </c>
      <c r="C157" s="1592"/>
      <c r="D157" s="800">
        <f>(IF(
Tank1!$C$23="Carbon adsorption system",SUMIF(Tank1!$A$32:$A$49,CAS!A157,Tank1!$C$32:$C$49),0))+(
IF(Tank2!$C$23="Carbon adsorption system",SUMIF(Tank2!$A$32:$A$49, CAS!A157,Tank2!$C$32:$C$49),0))+(
IF(Tank3!$C$23="Carbon adsorption system",SUMIF(Tank3!$A$32:$A$49, CAS!A157,Tank3!$C$32:$C$49),0))+(
IF(Tank4!$C$23="Carbon adsorption system",SUMIF(Tank4!$A$32:$A$49, CAS!A157,Tank4!$C$32:$C$49),0))+(
IF(Tank5!$C$23="Carbon adsorption system",SUMIF(Tank5!$A$32:$A$49, CAS!A157,Tank5!$C$32:$C$49),0))+(
IF('Loading-drum,tote'!$C$21="Carbon adsorption system",SUMIF('Loading-drum,tote'!$A$31:$A$48, CAS!A157,'Loading-drum,tote'!$F$31:$F$48),0))+(
IF('Loading-truck'!$C$21="Carbon adsorption system",SUMIF('Loading-truck'!$A$31:$A$48, CAS!A157,'Loading-truck'!$F$31:$F$48),0))+(
IF('Loading-rail'!$C$21="Carbon adsorption system",SUMIF('Loading-rail'!$A$31:$A$48, CAS!A157,'Loading-rail'!$F$31:$F$48),0))</f>
        <v>0</v>
      </c>
      <c r="E157" s="801">
        <f t="shared" si="4"/>
        <v>0</v>
      </c>
    </row>
    <row r="158" spans="1:5" x14ac:dyDescent="0.25">
      <c r="A158" s="539" t="str">
        <f>'Hidden Inputs'!AO128</f>
        <v/>
      </c>
      <c r="B158" s="1592" t="str">
        <f t="shared" si="5"/>
        <v/>
      </c>
      <c r="C158" s="1592"/>
      <c r="D158" s="800">
        <f>(IF(
Tank1!$C$23="Carbon adsorption system",SUMIF(Tank1!$A$32:$A$49,CAS!A158,Tank1!$C$32:$C$49),0))+(
IF(Tank2!$C$23="Carbon adsorption system",SUMIF(Tank2!$A$32:$A$49, CAS!A158,Tank2!$C$32:$C$49),0))+(
IF(Tank3!$C$23="Carbon adsorption system",SUMIF(Tank3!$A$32:$A$49, CAS!A158,Tank3!$C$32:$C$49),0))+(
IF(Tank4!$C$23="Carbon adsorption system",SUMIF(Tank4!$A$32:$A$49, CAS!A158,Tank4!$C$32:$C$49),0))+(
IF(Tank5!$C$23="Carbon adsorption system",SUMIF(Tank5!$A$32:$A$49, CAS!A158,Tank5!$C$32:$C$49),0))+(
IF('Loading-drum,tote'!$C$21="Carbon adsorption system",SUMIF('Loading-drum,tote'!$A$31:$A$48, CAS!A158,'Loading-drum,tote'!$F$31:$F$48),0))+(
IF('Loading-truck'!$C$21="Carbon adsorption system",SUMIF('Loading-truck'!$A$31:$A$48, CAS!A158,'Loading-truck'!$F$31:$F$48),0))+(
IF('Loading-rail'!$C$21="Carbon adsorption system",SUMIF('Loading-rail'!$A$31:$A$48, CAS!A158,'Loading-rail'!$F$31:$F$48),0))</f>
        <v>0</v>
      </c>
      <c r="E158" s="801">
        <f t="shared" si="4"/>
        <v>0</v>
      </c>
    </row>
    <row r="159" spans="1:5" x14ac:dyDescent="0.25">
      <c r="A159" s="539" t="str">
        <f>'Hidden Inputs'!AO129</f>
        <v/>
      </c>
      <c r="B159" s="1592" t="str">
        <f t="shared" si="5"/>
        <v/>
      </c>
      <c r="C159" s="1592"/>
      <c r="D159" s="800">
        <f>(IF(
Tank1!$C$23="Carbon adsorption system",SUMIF(Tank1!$A$32:$A$49,CAS!A159,Tank1!$C$32:$C$49),0))+(
IF(Tank2!$C$23="Carbon adsorption system",SUMIF(Tank2!$A$32:$A$49, CAS!A159,Tank2!$C$32:$C$49),0))+(
IF(Tank3!$C$23="Carbon adsorption system",SUMIF(Tank3!$A$32:$A$49, CAS!A159,Tank3!$C$32:$C$49),0))+(
IF(Tank4!$C$23="Carbon adsorption system",SUMIF(Tank4!$A$32:$A$49, CAS!A159,Tank4!$C$32:$C$49),0))+(
IF(Tank5!$C$23="Carbon adsorption system",SUMIF(Tank5!$A$32:$A$49, CAS!A159,Tank5!$C$32:$C$49),0))+(
IF('Loading-drum,tote'!$C$21="Carbon adsorption system",SUMIF('Loading-drum,tote'!$A$31:$A$48, CAS!A159,'Loading-drum,tote'!$F$31:$F$48),0))+(
IF('Loading-truck'!$C$21="Carbon adsorption system",SUMIF('Loading-truck'!$A$31:$A$48, CAS!A159,'Loading-truck'!$F$31:$F$48),0))+(
IF('Loading-rail'!$C$21="Carbon adsorption system",SUMIF('Loading-rail'!$A$31:$A$48, CAS!A159,'Loading-rail'!$F$31:$F$48),0))</f>
        <v>0</v>
      </c>
      <c r="E159" s="801">
        <f t="shared" si="4"/>
        <v>0</v>
      </c>
    </row>
    <row r="160" spans="1:5" x14ac:dyDescent="0.25">
      <c r="A160" s="539" t="str">
        <f>'Hidden Inputs'!AO130</f>
        <v/>
      </c>
      <c r="B160" s="1592" t="str">
        <f t="shared" ref="B160:B167" si="6">IFERROR(VLOOKUP(A160, SpeciesDataTable,2,FALSE),"")</f>
        <v/>
      </c>
      <c r="C160" s="1592"/>
      <c r="D160" s="800">
        <f>(IF(
Tank1!$C$23="Carbon adsorption system",SUMIF(Tank1!$A$32:$A$49,CAS!A160,Tank1!$C$32:$C$49),0))+(
IF(Tank2!$C$23="Carbon adsorption system",SUMIF(Tank2!$A$32:$A$49, CAS!A160,Tank2!$C$32:$C$49),0))+(
IF(Tank3!$C$23="Carbon adsorption system",SUMIF(Tank3!$A$32:$A$49, CAS!A160,Tank3!$C$32:$C$49),0))+(
IF(Tank4!$C$23="Carbon adsorption system",SUMIF(Tank4!$A$32:$A$49, CAS!A160,Tank4!$C$32:$C$49),0))+(
IF(Tank5!$C$23="Carbon adsorption system",SUMIF(Tank5!$A$32:$A$49, CAS!A160,Tank5!$C$32:$C$49),0))+(
IF('Loading-drum,tote'!$C$21="Carbon adsorption system",SUMIF('Loading-drum,tote'!$A$31:$A$48, CAS!A160,'Loading-drum,tote'!$F$31:$F$48),0))+(
IF('Loading-truck'!$C$21="Carbon adsorption system",SUMIF('Loading-truck'!$A$31:$A$48, CAS!A160,'Loading-truck'!$F$31:$F$48),0))+(
IF('Loading-rail'!$C$21="Carbon adsorption system",SUMIF('Loading-rail'!$A$31:$A$48, CAS!A160,'Loading-rail'!$F$31:$F$48),0))</f>
        <v>0</v>
      </c>
      <c r="E160" s="801">
        <f t="shared" si="4"/>
        <v>0</v>
      </c>
    </row>
    <row r="161" spans="1:5" x14ac:dyDescent="0.25">
      <c r="A161" s="539" t="str">
        <f>'Hidden Inputs'!AO131</f>
        <v/>
      </c>
      <c r="B161" s="1592" t="str">
        <f t="shared" si="6"/>
        <v/>
      </c>
      <c r="C161" s="1592"/>
      <c r="D161" s="800">
        <f>(IF(
Tank1!$C$23="Carbon adsorption system",SUMIF(Tank1!$A$32:$A$49,CAS!A161,Tank1!$C$32:$C$49),0))+(
IF(Tank2!$C$23="Carbon adsorption system",SUMIF(Tank2!$A$32:$A$49, CAS!A161,Tank2!$C$32:$C$49),0))+(
IF(Tank3!$C$23="Carbon adsorption system",SUMIF(Tank3!$A$32:$A$49, CAS!A161,Tank3!$C$32:$C$49),0))+(
IF(Tank4!$C$23="Carbon adsorption system",SUMIF(Tank4!$A$32:$A$49, CAS!A161,Tank4!$C$32:$C$49),0))+(
IF(Tank5!$C$23="Carbon adsorption system",SUMIF(Tank5!$A$32:$A$49, CAS!A161,Tank5!$C$32:$C$49),0))+(
IF('Loading-drum,tote'!$C$21="Carbon adsorption system",SUMIF('Loading-drum,tote'!$A$31:$A$48, CAS!A161,'Loading-drum,tote'!$F$31:$F$48),0))+(
IF('Loading-truck'!$C$21="Carbon adsorption system",SUMIF('Loading-truck'!$A$31:$A$48, CAS!A161,'Loading-truck'!$F$31:$F$48),0))+(
IF('Loading-rail'!$C$21="Carbon adsorption system",SUMIF('Loading-rail'!$A$31:$A$48, CAS!A161,'Loading-rail'!$F$31:$F$48),0))</f>
        <v>0</v>
      </c>
      <c r="E161" s="801">
        <f t="shared" ref="E161:E167" si="7">IF(OR(B161="ammonia",B161="hydrogen sulfide"),D161,D161*(1-$C$22))</f>
        <v>0</v>
      </c>
    </row>
    <row r="162" spans="1:5" x14ac:dyDescent="0.25">
      <c r="A162" s="539" t="str">
        <f>'Hidden Inputs'!AO132</f>
        <v/>
      </c>
      <c r="B162" s="1592" t="str">
        <f t="shared" si="6"/>
        <v/>
      </c>
      <c r="C162" s="1592"/>
      <c r="D162" s="800">
        <f>(IF(
Tank1!$C$23="Carbon adsorption system",SUMIF(Tank1!$A$32:$A$49,CAS!A162,Tank1!$C$32:$C$49),0))+(
IF(Tank2!$C$23="Carbon adsorption system",SUMIF(Tank2!$A$32:$A$49, CAS!A162,Tank2!$C$32:$C$49),0))+(
IF(Tank3!$C$23="Carbon adsorption system",SUMIF(Tank3!$A$32:$A$49, CAS!A162,Tank3!$C$32:$C$49),0))+(
IF(Tank4!$C$23="Carbon adsorption system",SUMIF(Tank4!$A$32:$A$49, CAS!A162,Tank4!$C$32:$C$49),0))+(
IF(Tank5!$C$23="Carbon adsorption system",SUMIF(Tank5!$A$32:$A$49, CAS!A162,Tank5!$C$32:$C$49),0))+(
IF('Loading-drum,tote'!$C$21="Carbon adsorption system",SUMIF('Loading-drum,tote'!$A$31:$A$48, CAS!A162,'Loading-drum,tote'!$F$31:$F$48),0))+(
IF('Loading-truck'!$C$21="Carbon adsorption system",SUMIF('Loading-truck'!$A$31:$A$48, CAS!A162,'Loading-truck'!$F$31:$F$48),0))+(
IF('Loading-rail'!$C$21="Carbon adsorption system",SUMIF('Loading-rail'!$A$31:$A$48, CAS!A162,'Loading-rail'!$F$31:$F$48),0))</f>
        <v>0</v>
      </c>
      <c r="E162" s="801">
        <f t="shared" si="7"/>
        <v>0</v>
      </c>
    </row>
    <row r="163" spans="1:5" x14ac:dyDescent="0.25">
      <c r="A163" s="539" t="str">
        <f>'Hidden Inputs'!AO133</f>
        <v/>
      </c>
      <c r="B163" s="1592" t="str">
        <f t="shared" si="6"/>
        <v/>
      </c>
      <c r="C163" s="1592"/>
      <c r="D163" s="800">
        <f>(IF(
Tank1!$C$23="Carbon adsorption system",SUMIF(Tank1!$A$32:$A$49,CAS!A163,Tank1!$C$32:$C$49),0))+(
IF(Tank2!$C$23="Carbon adsorption system",SUMIF(Tank2!$A$32:$A$49, CAS!A163,Tank2!$C$32:$C$49),0))+(
IF(Tank3!$C$23="Carbon adsorption system",SUMIF(Tank3!$A$32:$A$49, CAS!A163,Tank3!$C$32:$C$49),0))+(
IF(Tank4!$C$23="Carbon adsorption system",SUMIF(Tank4!$A$32:$A$49, CAS!A163,Tank4!$C$32:$C$49),0))+(
IF(Tank5!$C$23="Carbon adsorption system",SUMIF(Tank5!$A$32:$A$49, CAS!A163,Tank5!$C$32:$C$49),0))+(
IF('Loading-drum,tote'!$C$21="Carbon adsorption system",SUMIF('Loading-drum,tote'!$A$31:$A$48, CAS!A163,'Loading-drum,tote'!$F$31:$F$48),0))+(
IF('Loading-truck'!$C$21="Carbon adsorption system",SUMIF('Loading-truck'!$A$31:$A$48, CAS!A163,'Loading-truck'!$F$31:$F$48),0))+(
IF('Loading-rail'!$C$21="Carbon adsorption system",SUMIF('Loading-rail'!$A$31:$A$48, CAS!A163,'Loading-rail'!$F$31:$F$48),0))</f>
        <v>0</v>
      </c>
      <c r="E163" s="801">
        <f t="shared" si="7"/>
        <v>0</v>
      </c>
    </row>
    <row r="164" spans="1:5" x14ac:dyDescent="0.25">
      <c r="A164" s="539" t="str">
        <f>'Hidden Inputs'!AO134</f>
        <v/>
      </c>
      <c r="B164" s="1592" t="str">
        <f t="shared" si="6"/>
        <v/>
      </c>
      <c r="C164" s="1592"/>
      <c r="D164" s="800">
        <f>(IF(
Tank1!$C$23="Carbon adsorption system",SUMIF(Tank1!$A$32:$A$49,CAS!A164,Tank1!$C$32:$C$49),0))+(
IF(Tank2!$C$23="Carbon adsorption system",SUMIF(Tank2!$A$32:$A$49, CAS!A164,Tank2!$C$32:$C$49),0))+(
IF(Tank3!$C$23="Carbon adsorption system",SUMIF(Tank3!$A$32:$A$49, CAS!A164,Tank3!$C$32:$C$49),0))+(
IF(Tank4!$C$23="Carbon adsorption system",SUMIF(Tank4!$A$32:$A$49, CAS!A164,Tank4!$C$32:$C$49),0))+(
IF(Tank5!$C$23="Carbon adsorption system",SUMIF(Tank5!$A$32:$A$49, CAS!A164,Tank5!$C$32:$C$49),0))+(
IF('Loading-drum,tote'!$C$21="Carbon adsorption system",SUMIF('Loading-drum,tote'!$A$31:$A$48, CAS!A164,'Loading-drum,tote'!$F$31:$F$48),0))+(
IF('Loading-truck'!$C$21="Carbon adsorption system",SUMIF('Loading-truck'!$A$31:$A$48, CAS!A164,'Loading-truck'!$F$31:$F$48),0))+(
IF('Loading-rail'!$C$21="Carbon adsorption system",SUMIF('Loading-rail'!$A$31:$A$48, CAS!A164,'Loading-rail'!$F$31:$F$48),0))</f>
        <v>0</v>
      </c>
      <c r="E164" s="801">
        <f t="shared" si="7"/>
        <v>0</v>
      </c>
    </row>
    <row r="165" spans="1:5" x14ac:dyDescent="0.25">
      <c r="A165" s="539" t="str">
        <f>'Hidden Inputs'!AO135</f>
        <v/>
      </c>
      <c r="B165" s="1592" t="str">
        <f t="shared" si="6"/>
        <v/>
      </c>
      <c r="C165" s="1592"/>
      <c r="D165" s="800">
        <f>(IF(
Tank1!$C$23="Carbon adsorption system",SUMIF(Tank1!$A$32:$A$49,CAS!A165,Tank1!$C$32:$C$49),0))+(
IF(Tank2!$C$23="Carbon adsorption system",SUMIF(Tank2!$A$32:$A$49, CAS!A165,Tank2!$C$32:$C$49),0))+(
IF(Tank3!$C$23="Carbon adsorption system",SUMIF(Tank3!$A$32:$A$49, CAS!A165,Tank3!$C$32:$C$49),0))+(
IF(Tank4!$C$23="Carbon adsorption system",SUMIF(Tank4!$A$32:$A$49, CAS!A165,Tank4!$C$32:$C$49),0))+(
IF(Tank5!$C$23="Carbon adsorption system",SUMIF(Tank5!$A$32:$A$49, CAS!A165,Tank5!$C$32:$C$49),0))+(
IF('Loading-drum,tote'!$C$21="Carbon adsorption system",SUMIF('Loading-drum,tote'!$A$31:$A$48, CAS!A165,'Loading-drum,tote'!$F$31:$F$48),0))+(
IF('Loading-truck'!$C$21="Carbon adsorption system",SUMIF('Loading-truck'!$A$31:$A$48, CAS!A165,'Loading-truck'!$F$31:$F$48),0))+(
IF('Loading-rail'!$C$21="Carbon adsorption system",SUMIF('Loading-rail'!$A$31:$A$48, CAS!A165,'Loading-rail'!$F$31:$F$48),0))</f>
        <v>0</v>
      </c>
      <c r="E165" s="801">
        <f t="shared" si="7"/>
        <v>0</v>
      </c>
    </row>
    <row r="166" spans="1:5" x14ac:dyDescent="0.25">
      <c r="A166" s="539" t="str">
        <f>'Hidden Inputs'!AO136</f>
        <v/>
      </c>
      <c r="B166" s="1592" t="str">
        <f t="shared" si="6"/>
        <v/>
      </c>
      <c r="C166" s="1592"/>
      <c r="D166" s="800">
        <f>(IF(
Tank1!$C$23="Carbon adsorption system",SUMIF(Tank1!$A$32:$A$49,CAS!A166,Tank1!$C$32:$C$49),0))+(
IF(Tank2!$C$23="Carbon adsorption system",SUMIF(Tank2!$A$32:$A$49, CAS!A166,Tank2!$C$32:$C$49),0))+(
IF(Tank3!$C$23="Carbon adsorption system",SUMIF(Tank3!$A$32:$A$49, CAS!A166,Tank3!$C$32:$C$49),0))+(
IF(Tank4!$C$23="Carbon adsorption system",SUMIF(Tank4!$A$32:$A$49, CAS!A166,Tank4!$C$32:$C$49),0))+(
IF(Tank5!$C$23="Carbon adsorption system",SUMIF(Tank5!$A$32:$A$49, CAS!A166,Tank5!$C$32:$C$49),0))+(
IF('Loading-drum,tote'!$C$21="Carbon adsorption system",SUMIF('Loading-drum,tote'!$A$31:$A$48, CAS!A166,'Loading-drum,tote'!$F$31:$F$48),0))+(
IF('Loading-truck'!$C$21="Carbon adsorption system",SUMIF('Loading-truck'!$A$31:$A$48, CAS!A166,'Loading-truck'!$F$31:$F$48),0))+(
IF('Loading-rail'!$C$21="Carbon adsorption system",SUMIF('Loading-rail'!$A$31:$A$48, CAS!A166,'Loading-rail'!$F$31:$F$48),0))</f>
        <v>0</v>
      </c>
      <c r="E166" s="801">
        <f t="shared" si="7"/>
        <v>0</v>
      </c>
    </row>
    <row r="167" spans="1:5" ht="15" thickBot="1" x14ac:dyDescent="0.3">
      <c r="A167" s="539" t="str">
        <f>'Hidden Inputs'!AO137</f>
        <v/>
      </c>
      <c r="B167" s="1592" t="str">
        <f t="shared" si="6"/>
        <v/>
      </c>
      <c r="C167" s="1592"/>
      <c r="D167" s="800">
        <f>(IF(
Tank1!$C$23="Carbon adsorption system",SUMIF(Tank1!$A$32:$A$49,CAS!A167,Tank1!$C$32:$C$49),0))+(
IF(Tank2!$C$23="Carbon adsorption system",SUMIF(Tank2!$A$32:$A$49, CAS!A167,Tank2!$C$32:$C$49),0))+(
IF(Tank3!$C$23="Carbon adsorption system",SUMIF(Tank3!$A$32:$A$49, CAS!A167,Tank3!$C$32:$C$49),0))+(
IF(Tank4!$C$23="Carbon adsorption system",SUMIF(Tank4!$A$32:$A$49, CAS!A167,Tank4!$C$32:$C$49),0))+(
IF(Tank5!$C$23="Carbon adsorption system",SUMIF(Tank5!$A$32:$A$49, CAS!A167,Tank5!$C$32:$C$49),0))+(
IF('Loading-drum,tote'!$C$21="Carbon adsorption system",SUMIF('Loading-drum,tote'!$A$31:$A$48, CAS!A167,'Loading-drum,tote'!$F$31:$F$48),0))+(
IF('Loading-truck'!$C$21="Carbon adsorption system",SUMIF('Loading-truck'!$A$31:$A$48, CAS!A167,'Loading-truck'!$F$31:$F$48),0))+(
IF('Loading-rail'!$C$21="Carbon adsorption system",SUMIF('Loading-rail'!$A$31:$A$48, CAS!A167,'Loading-rail'!$F$31:$F$48),0))</f>
        <v>0</v>
      </c>
      <c r="E167" s="801">
        <f t="shared" si="7"/>
        <v>0</v>
      </c>
    </row>
    <row r="168" spans="1:5" x14ac:dyDescent="0.25">
      <c r="A168" s="1464" t="s">
        <v>8643</v>
      </c>
      <c r="B168" s="1464"/>
      <c r="C168" s="1464"/>
      <c r="D168" s="1464"/>
      <c r="E168" s="1464"/>
    </row>
  </sheetData>
  <sheetProtection algorithmName="SHA-512" hashValue="qx9VGpxfY5fqd3Y54+c7nck8Qt55MQPvpQ6KU3VSUg8qXEdHok/hS+k6UrHNQLImW9ddaJmwvRqx0PT+66Z6wg==" saltValue="fSU53Wf+cqMS7xbygToXNg==" spinCount="100000" sheet="1" objects="1" scenarios="1" formatColumns="0" formatRows="0" autoFilter="0"/>
  <mergeCells count="188">
    <mergeCell ref="D20:E20"/>
    <mergeCell ref="D21:E21"/>
    <mergeCell ref="D22:E22"/>
    <mergeCell ref="D23:E23"/>
    <mergeCell ref="C24:E24"/>
    <mergeCell ref="C25:E25"/>
    <mergeCell ref="C26:E26"/>
    <mergeCell ref="C27:E27"/>
    <mergeCell ref="C10:E10"/>
    <mergeCell ref="C11:E11"/>
    <mergeCell ref="A13:E13"/>
    <mergeCell ref="D14:E14"/>
    <mergeCell ref="D15:E15"/>
    <mergeCell ref="D16:E16"/>
    <mergeCell ref="D17:E17"/>
    <mergeCell ref="D18:E18"/>
    <mergeCell ref="D19:E19"/>
    <mergeCell ref="A14:B14"/>
    <mergeCell ref="A15:B15"/>
    <mergeCell ref="A16:B16"/>
    <mergeCell ref="A20:B20"/>
    <mergeCell ref="A17:B17"/>
    <mergeCell ref="A24:B24"/>
    <mergeCell ref="A19:B19"/>
    <mergeCell ref="A168:E168"/>
    <mergeCell ref="B108:C108"/>
    <mergeCell ref="B109:C109"/>
    <mergeCell ref="B110:C110"/>
    <mergeCell ref="B111:C111"/>
    <mergeCell ref="B112:C112"/>
    <mergeCell ref="B113:C113"/>
    <mergeCell ref="B114:C114"/>
    <mergeCell ref="B115:C115"/>
    <mergeCell ref="B116:C116"/>
    <mergeCell ref="B153:C153"/>
    <mergeCell ref="B154:C154"/>
    <mergeCell ref="B155:C155"/>
    <mergeCell ref="B156:C156"/>
    <mergeCell ref="B157:C157"/>
    <mergeCell ref="B158:C158"/>
    <mergeCell ref="B159:C159"/>
    <mergeCell ref="B160:C160"/>
    <mergeCell ref="B140:C140"/>
    <mergeCell ref="B141:C141"/>
    <mergeCell ref="B142:C142"/>
    <mergeCell ref="B143:C143"/>
    <mergeCell ref="B126:C126"/>
    <mergeCell ref="B128:C128"/>
    <mergeCell ref="B129:C129"/>
    <mergeCell ref="B130:C130"/>
    <mergeCell ref="B131:C131"/>
    <mergeCell ref="B132:C132"/>
    <mergeCell ref="B133:C133"/>
    <mergeCell ref="B134:C134"/>
    <mergeCell ref="B117:C117"/>
    <mergeCell ref="B118:C118"/>
    <mergeCell ref="B119:C119"/>
    <mergeCell ref="B120:C120"/>
    <mergeCell ref="B121:C121"/>
    <mergeCell ref="B122:C122"/>
    <mergeCell ref="B123:C123"/>
    <mergeCell ref="B124:C124"/>
    <mergeCell ref="B125:C125"/>
    <mergeCell ref="B163:C163"/>
    <mergeCell ref="B164:C164"/>
    <mergeCell ref="B165:C165"/>
    <mergeCell ref="B166:C166"/>
    <mergeCell ref="B135:C135"/>
    <mergeCell ref="B136:C136"/>
    <mergeCell ref="B137:C137"/>
    <mergeCell ref="B138:C138"/>
    <mergeCell ref="B139:C139"/>
    <mergeCell ref="B97:C97"/>
    <mergeCell ref="B98:C98"/>
    <mergeCell ref="B99:C99"/>
    <mergeCell ref="B100:C100"/>
    <mergeCell ref="B101:C101"/>
    <mergeCell ref="B102:C102"/>
    <mergeCell ref="B103:C103"/>
    <mergeCell ref="B104:C104"/>
    <mergeCell ref="B167:C167"/>
    <mergeCell ref="B161:C161"/>
    <mergeCell ref="B144:C144"/>
    <mergeCell ref="B145:C145"/>
    <mergeCell ref="B146:C146"/>
    <mergeCell ref="B147:C147"/>
    <mergeCell ref="B148:C148"/>
    <mergeCell ref="B149:C149"/>
    <mergeCell ref="B150:C150"/>
    <mergeCell ref="B151:C151"/>
    <mergeCell ref="B152:C152"/>
    <mergeCell ref="B127:C127"/>
    <mergeCell ref="B105:C105"/>
    <mergeCell ref="B106:C106"/>
    <mergeCell ref="B107:C107"/>
    <mergeCell ref="B162:C162"/>
    <mergeCell ref="B82:C82"/>
    <mergeCell ref="B83:C83"/>
    <mergeCell ref="B90:C90"/>
    <mergeCell ref="B91:C91"/>
    <mergeCell ref="B92:C92"/>
    <mergeCell ref="B93:C93"/>
    <mergeCell ref="B94:C94"/>
    <mergeCell ref="B95:C95"/>
    <mergeCell ref="B96:C96"/>
    <mergeCell ref="B88:C88"/>
    <mergeCell ref="B89:C89"/>
    <mergeCell ref="B85:C85"/>
    <mergeCell ref="B86:C86"/>
    <mergeCell ref="B87:C87"/>
    <mergeCell ref="B73:C73"/>
    <mergeCell ref="B74:C74"/>
    <mergeCell ref="B75:C75"/>
    <mergeCell ref="B76:C76"/>
    <mergeCell ref="B77:C77"/>
    <mergeCell ref="B78:C78"/>
    <mergeCell ref="B79:C79"/>
    <mergeCell ref="B80:C80"/>
    <mergeCell ref="B81:C81"/>
    <mergeCell ref="B64:C64"/>
    <mergeCell ref="B65:C65"/>
    <mergeCell ref="B66:C66"/>
    <mergeCell ref="B67:C67"/>
    <mergeCell ref="B68:C68"/>
    <mergeCell ref="B69:C69"/>
    <mergeCell ref="B70:C70"/>
    <mergeCell ref="B71:C71"/>
    <mergeCell ref="B72:C72"/>
    <mergeCell ref="A18:B18"/>
    <mergeCell ref="A2:E2"/>
    <mergeCell ref="A3:E3"/>
    <mergeCell ref="A1:E1"/>
    <mergeCell ref="A4:E4"/>
    <mergeCell ref="A8:B8"/>
    <mergeCell ref="A9:B9"/>
    <mergeCell ref="A10:B10"/>
    <mergeCell ref="A12:E12"/>
    <mergeCell ref="A7:B7"/>
    <mergeCell ref="A11:B11"/>
    <mergeCell ref="A6:B6"/>
    <mergeCell ref="A5:E5"/>
    <mergeCell ref="C6:E6"/>
    <mergeCell ref="C7:E7"/>
    <mergeCell ref="C8:E8"/>
    <mergeCell ref="C9:E9"/>
    <mergeCell ref="B41:C41"/>
    <mergeCell ref="B42:C42"/>
    <mergeCell ref="B43:C43"/>
    <mergeCell ref="B44:C44"/>
    <mergeCell ref="B45:C45"/>
    <mergeCell ref="B46:C46"/>
    <mergeCell ref="A21:B21"/>
    <mergeCell ref="A22:B22"/>
    <mergeCell ref="A25:B25"/>
    <mergeCell ref="B33:C33"/>
    <mergeCell ref="B34:C34"/>
    <mergeCell ref="B35:C35"/>
    <mergeCell ref="B36:C36"/>
    <mergeCell ref="B37:C37"/>
    <mergeCell ref="B38:C38"/>
    <mergeCell ref="A28:E28"/>
    <mergeCell ref="B39:C39"/>
    <mergeCell ref="B40:C40"/>
    <mergeCell ref="A23:B23"/>
    <mergeCell ref="B48:C48"/>
    <mergeCell ref="B49:C49"/>
    <mergeCell ref="B50:C50"/>
    <mergeCell ref="A29:E29"/>
    <mergeCell ref="B84:C84"/>
    <mergeCell ref="A27:B27"/>
    <mergeCell ref="A26:B26"/>
    <mergeCell ref="B51:C51"/>
    <mergeCell ref="B52:C52"/>
    <mergeCell ref="B53:C53"/>
    <mergeCell ref="B54:C54"/>
    <mergeCell ref="B55:C55"/>
    <mergeCell ref="B56:C56"/>
    <mergeCell ref="B57:C57"/>
    <mergeCell ref="B58:C58"/>
    <mergeCell ref="B59:C59"/>
    <mergeCell ref="B60:C60"/>
    <mergeCell ref="B61:C61"/>
    <mergeCell ref="B62:C62"/>
    <mergeCell ref="B63:C63"/>
    <mergeCell ref="B47:C47"/>
    <mergeCell ref="B30:C30"/>
    <mergeCell ref="B31:C31"/>
    <mergeCell ref="B32:C32"/>
  </mergeCells>
  <conditionalFormatting sqref="A9:C11 A12:E12 A13 A14:D22 A23 C23:D23 A24:C27 A28:E167">
    <cfRule type="expression" dxfId="128" priority="1">
      <formula>$C$6="Affected"</formula>
    </cfRule>
  </conditionalFormatting>
  <conditionalFormatting sqref="A26:C27">
    <cfRule type="expression" dxfId="127" priority="3">
      <formula>$C$25="No"</formula>
    </cfRule>
  </conditionalFormatting>
  <dataValidations count="17">
    <dataValidation allowBlank="1" showErrorMessage="1" prompt="enter increase in flow rate (scf/min)" sqref="C21" xr:uid="{ED977FE9-2367-4845-B195-0CD309B84062}"/>
    <dataValidation type="decimal" allowBlank="1" showErrorMessage="1" error="Acceptable entries must be between 20 and 100." prompt="enter breakthrough concentration (ppmv)" sqref="C20" xr:uid="{7D43F333-2BAA-4DC7-849B-99775BB145A0}">
      <formula1>20</formula1>
      <formula2>100</formula2>
    </dataValidation>
    <dataValidation type="list" allowBlank="1" showErrorMessage="1" prompt="select one" sqref="C19" xr:uid="{8B2CF010-D926-4213-A834-14A9ED736723}">
      <formula1>"Regenerative,Non-Regenerative"</formula1>
    </dataValidation>
    <dataValidation type="decimal" operator="greaterThanOrEqual" allowBlank="1" showErrorMessage="1" error="The minimum acceptable entry is 50." prompt="enter distance to property line (ft)" sqref="C15" xr:uid="{B371B684-668E-4707-8429-EE3107C0640F}">
      <formula1>50</formula1>
    </dataValidation>
    <dataValidation type="decimal" operator="greaterThanOrEqual" allowBlank="1" showErrorMessage="1" error="The minimum acceptable entry is 3." prompt="enter release height (ft)" sqref="C16" xr:uid="{CE98E342-1E6F-4A54-9927-35EB07A0FAAA}">
      <formula1>3</formula1>
    </dataValidation>
    <dataValidation type="list" operator="greaterThanOrEqual" allowBlank="1" showInputMessage="1" showErrorMessage="1" prompt="Review Section V of the &quot;Instruction&quot; sheet of this workbook for downwash applicability guidance." sqref="C17" xr:uid="{EB01B2A9-EC13-4777-9614-D066F998164C}">
      <formula1>YN</formula1>
    </dataValidation>
    <dataValidation type="list" allowBlank="1" showErrorMessage="1" prompt="select monitoring frequency" sqref="C23" xr:uid="{D109FB0D-6A00-46BE-8CD6-9AD5B36528C0}">
      <formula1>"daily,weekly"</formula1>
    </dataValidation>
    <dataValidation type="list" allowBlank="1" showErrorMessage="1" sqref="C19" xr:uid="{254ED335-5107-4224-AB29-7D7571C5D3AE}">
      <formula1>YN</formula1>
    </dataValidation>
    <dataValidation type="decimal" allowBlank="1" showErrorMessage="1" error="Acceptable entries must be between 99.0 and 99.8." prompt="enter control efficiency (%)" sqref="C22" xr:uid="{F52ED709-4B72-42B2-B464-8D4170E0B3DC}">
      <formula1>0.99</formula1>
      <formula2>0.998</formula2>
    </dataValidation>
    <dataValidation type="list" allowBlank="1" showErrorMessage="1" prompt="select one" sqref="C6:E6" xr:uid="{E9CED4BE-7BA5-4002-9AC2-107B3DE2FCB5}">
      <formula1>"Modified,Affected"</formula1>
    </dataValidation>
    <dataValidation allowBlank="1" showErrorMessage="1" prompt="enter EPN" sqref="C7:E7" xr:uid="{BE9485F5-E6D9-4459-9740-554E9080ED9F}"/>
    <dataValidation allowBlank="1" showErrorMessage="1" prompt="enter source name" sqref="C8:E8" xr:uid="{C55EEC7D-9384-4B5C-B2F3-11A5FB013139}"/>
    <dataValidation type="list" allowBlank="1" showErrorMessage="1" prompt="select UTM zone" sqref="C9:E9" xr:uid="{DE5E7929-D569-4244-BC6D-F65429494AC7}">
      <formula1>Zones</formula1>
    </dataValidation>
    <dataValidation type="decimal" allowBlank="1" showErrorMessage="1" error="Value must be between 205,000 and 795,000 meters." prompt="enter UTM easting (meters)" sqref="C10:E10" xr:uid="{14F02C89-8113-4A98-BB17-37AE54982E51}">
      <formula1>205000</formula1>
      <formula2>795000</formula2>
    </dataValidation>
    <dataValidation type="decimal" allowBlank="1" showErrorMessage="1" error="Value must be between 2,854,000 and 4,059,000 meters." prompt="enter UTM northing (meters)" sqref="C11:E11" xr:uid="{01D822A2-C3A2-4353-B9D7-7E65C7BC18B4}">
      <formula1>2854000</formula1>
      <formula2>4059000</formula2>
    </dataValidation>
    <dataValidation type="list" allowBlank="1" showErrorMessage="1" prompt="select one" sqref="C27:E27 C25:E25" xr:uid="{9D34820E-7B9D-4FEC-8DC1-990340F01C1A}">
      <formula1>YN</formula1>
    </dataValidation>
    <dataValidation allowBlank="1" showErrorMessage="1" prompt="list units in this project subject to CAM using sheet name identifiers" sqref="C26:E26" xr:uid="{D886F84B-DD88-43C6-B919-372591095497}"/>
  </dataValidations>
  <printOptions horizontalCentered="1"/>
  <pageMargins left="0.7" right="0.7" top="0.75" bottom="0.75" header="0.3" footer="0.3"/>
  <pageSetup scale="60" fitToHeight="0" orientation="portrait" r:id="rId1"/>
  <headerFooter>
    <oddHeader>&amp;C&amp;"Arial,Regular"Tanks and Loading Increases RAP Application</oddHeader>
    <oddFooter>&amp;LVersion 3.0&amp;CSheet: &amp;A&amp;RPage &amp;P</oddFooter>
  </headerFooter>
  <extLst>
    <ext xmlns:x14="http://schemas.microsoft.com/office/spreadsheetml/2009/9/main" uri="{78C0D931-6437-407d-A8EE-F0AAD7539E65}">
      <x14:conditionalFormattings>
        <x14:conditionalFormatting xmlns:xm="http://schemas.microsoft.com/office/excel/2006/main">
          <x14:cfRule type="expression" priority="531" id="{F4F84B2C-6B0F-48E7-9D18-28E01D7F1B7F}">
            <xm:f>'PI-1-TankLoading'!$G$108="No"</xm:f>
            <x14:dxf>
              <font>
                <color theme="0" tint="-0.24994659260841701"/>
              </font>
              <numFmt numFmtId="171" formatCode=";;;"/>
              <fill>
                <patternFill>
                  <bgColor theme="0" tint="-0.499984740745262"/>
                </patternFill>
              </fill>
            </x14:dxf>
          </x14:cfRule>
          <xm:sqref>A1:E22 A23 C23:E23 A24:E1048576</xm:sqref>
        </x14:conditionalFormatting>
        <x14:conditionalFormatting xmlns:xm="http://schemas.microsoft.com/office/excel/2006/main">
          <x14:cfRule type="expression" priority="530" stopIfTrue="1" id="{8E8C40DD-3E94-415C-B4F6-F12D663F467B}">
            <xm:f>'Hidden Inputs'!$BR$5</xm:f>
            <x14:dxf>
              <font>
                <color theme="0" tint="-0.499984740745262"/>
              </font>
              <numFmt numFmtId="171" formatCode=";;;"/>
              <fill>
                <patternFill>
                  <bgColor theme="0" tint="-0.499984740745262"/>
                </patternFill>
              </fill>
              <border>
                <left/>
                <right/>
                <top/>
                <bottom/>
              </border>
            </x14:dxf>
          </x14:cfRule>
          <xm:sqref>A1:XFD1048576</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4F8CF-5C46-4510-94E3-0A41F377FBD3}">
  <sheetPr codeName="Sheet3">
    <tabColor theme="1"/>
    <pageSetUpPr fitToPage="1"/>
  </sheetPr>
  <dimension ref="A1:CM4340"/>
  <sheetViews>
    <sheetView workbookViewId="0"/>
  </sheetViews>
  <sheetFormatPr defaultColWidth="0" defaultRowHeight="0" customHeight="1" zeroHeight="1" x14ac:dyDescent="0.25"/>
  <cols>
    <col min="1" max="1" width="9.140625" style="21" customWidth="1"/>
    <col min="2" max="2" width="21.42578125" style="20" customWidth="1"/>
    <col min="3" max="4" width="13.140625" style="10" customWidth="1"/>
    <col min="5" max="5" width="11.5703125" style="17" customWidth="1"/>
    <col min="6" max="6" width="9.140625" style="10" customWidth="1"/>
    <col min="7" max="7" width="21.7109375" style="18" bestFit="1" customWidth="1"/>
    <col min="8" max="8" width="21.7109375" style="10" customWidth="1"/>
    <col min="9" max="9" width="13.7109375" style="436" customWidth="1"/>
    <col min="10" max="10" width="39.7109375" style="26" customWidth="1"/>
    <col min="11" max="11" width="27.7109375" style="17" bestFit="1" customWidth="1"/>
    <col min="12" max="23" width="15.28515625" style="10" customWidth="1"/>
    <col min="24" max="24" width="19.42578125" style="21" bestFit="1" customWidth="1"/>
    <col min="25" max="25" width="34.5703125" style="21" customWidth="1"/>
    <col min="26" max="26" width="17.140625" style="35" bestFit="1" customWidth="1"/>
    <col min="27" max="27" width="102.85546875" style="36" customWidth="1"/>
    <col min="28" max="28" width="17.85546875" style="10" bestFit="1" customWidth="1"/>
    <col min="29" max="29" width="10.140625" style="10" customWidth="1"/>
    <col min="30" max="30" width="10.42578125" style="10" bestFit="1" customWidth="1"/>
    <col min="31" max="31" width="10.140625" style="10" bestFit="1" customWidth="1"/>
    <col min="32" max="32" width="10.42578125" style="10" customWidth="1"/>
    <col min="33" max="33" width="18.140625" style="10" bestFit="1" customWidth="1"/>
    <col min="34" max="34" width="14" style="10" bestFit="1" customWidth="1"/>
    <col min="35" max="37" width="11.5703125" style="10" customWidth="1"/>
    <col min="38" max="41" width="18.42578125" style="10" customWidth="1"/>
    <col min="42" max="42" width="27" style="10" bestFit="1" customWidth="1"/>
    <col min="43" max="43" width="7.7109375" style="10" bestFit="1" customWidth="1"/>
    <col min="44" max="44" width="7.7109375" style="10" customWidth="1"/>
    <col min="45" max="45" width="12.7109375" style="20" customWidth="1"/>
    <col min="46" max="47" width="12.7109375" style="10" customWidth="1"/>
    <col min="48" max="48" width="13" style="20" bestFit="1" customWidth="1"/>
    <col min="49" max="49" width="13" style="20" customWidth="1"/>
    <col min="50" max="50" width="13" style="17" customWidth="1"/>
    <col min="51" max="51" width="19.42578125" style="20" customWidth="1"/>
    <col min="52" max="52" width="19.42578125" style="17" customWidth="1"/>
    <col min="53" max="53" width="19.42578125" style="20" customWidth="1"/>
    <col min="54" max="55" width="26.28515625" style="10" customWidth="1"/>
    <col min="56" max="56" width="9.140625" style="10" customWidth="1"/>
    <col min="57" max="57" width="12" style="20" customWidth="1"/>
    <col min="58" max="58" width="9.140625" style="10" customWidth="1"/>
    <col min="59" max="59" width="13.85546875" style="10" bestFit="1" customWidth="1"/>
    <col min="60" max="60" width="13.85546875" style="10" customWidth="1"/>
    <col min="61" max="61" width="43.7109375" style="17" customWidth="1"/>
    <col min="62" max="62" width="23.5703125" style="10" customWidth="1"/>
    <col min="63" max="63" width="27.7109375" style="10" bestFit="1" customWidth="1"/>
    <col min="64" max="64" width="28.5703125" style="10" bestFit="1" customWidth="1"/>
    <col min="65" max="65" width="33.85546875" style="10" customWidth="1"/>
    <col min="66" max="66" width="27.42578125" style="10" customWidth="1"/>
    <col min="67" max="67" width="18.85546875" style="10" bestFit="1" customWidth="1"/>
    <col min="68" max="68" width="18.85546875" style="10" customWidth="1"/>
    <col min="69" max="69" width="32" style="10" customWidth="1"/>
    <col min="70" max="70" width="20.7109375" style="10" bestFit="1" customWidth="1"/>
    <col min="71" max="71" width="9.140625" style="10" customWidth="1"/>
    <col min="72" max="72" width="41.28515625" style="10" customWidth="1"/>
    <col min="73" max="73" width="15" style="10" customWidth="1"/>
    <col min="74" max="74" width="13.85546875" style="10" bestFit="1" customWidth="1"/>
    <col min="75" max="75" width="9.7109375" style="10" bestFit="1" customWidth="1"/>
    <col min="76" max="76" width="7.7109375" style="10" bestFit="1" customWidth="1"/>
    <col min="77" max="77" width="9.7109375" style="10" bestFit="1" customWidth="1"/>
    <col min="78" max="78" width="7.7109375" style="10" bestFit="1" customWidth="1"/>
    <col min="79" max="79" width="18.28515625" style="10" bestFit="1" customWidth="1"/>
    <col min="80" max="80" width="13.5703125" style="10" bestFit="1" customWidth="1"/>
    <col min="81" max="81" width="12.28515625" style="10" bestFit="1" customWidth="1"/>
    <col min="82" max="82" width="7.7109375" style="10" bestFit="1" customWidth="1"/>
    <col min="83" max="83" width="9.7109375" style="10" bestFit="1" customWidth="1"/>
    <col min="84" max="84" width="18.42578125" style="10" customWidth="1"/>
    <col min="85" max="85" width="16.85546875" style="10" customWidth="1"/>
    <col min="86" max="87" width="15.140625" style="10" customWidth="1"/>
    <col min="88" max="91" width="9.140625" style="10" customWidth="1"/>
    <col min="92" max="16384" width="9.140625" style="10" hidden="1"/>
  </cols>
  <sheetData>
    <row r="1" spans="1:87" s="72" customFormat="1" ht="74.25" customHeight="1" thickBot="1" x14ac:dyDescent="0.3">
      <c r="A1" s="77"/>
      <c r="B1" s="78"/>
      <c r="E1" s="79"/>
      <c r="G1" s="80"/>
      <c r="I1" s="437"/>
      <c r="J1" s="81"/>
      <c r="K1" s="79"/>
      <c r="L1" s="15" t="s">
        <v>8713</v>
      </c>
      <c r="X1" s="82" t="s">
        <v>8374</v>
      </c>
      <c r="Y1" s="83" t="s">
        <v>8380</v>
      </c>
      <c r="Z1" s="84" t="s">
        <v>8620</v>
      </c>
      <c r="AA1" s="47"/>
      <c r="AB1" s="85"/>
      <c r="AC1" s="15" t="s">
        <v>8984</v>
      </c>
      <c r="AD1" s="15" t="s">
        <v>8985</v>
      </c>
      <c r="AE1" s="15" t="s">
        <v>8986</v>
      </c>
      <c r="AF1" s="15" t="s">
        <v>8983</v>
      </c>
      <c r="AG1" s="15" t="s">
        <v>8745</v>
      </c>
      <c r="AH1" s="11" t="s">
        <v>8588</v>
      </c>
      <c r="AI1" s="11" t="s">
        <v>267</v>
      </c>
      <c r="AJ1" s="11" t="s">
        <v>8370</v>
      </c>
      <c r="AK1" s="11" t="s">
        <v>8385</v>
      </c>
      <c r="AL1" s="12" t="s">
        <v>8744</v>
      </c>
      <c r="AM1" s="74" t="s">
        <v>8980</v>
      </c>
      <c r="AN1" s="15" t="s">
        <v>8981</v>
      </c>
      <c r="AO1" s="86" t="s">
        <v>8982</v>
      </c>
      <c r="AP1" s="15" t="s">
        <v>8672</v>
      </c>
      <c r="AQ1" s="15"/>
      <c r="AR1" s="15"/>
      <c r="AS1" s="74" t="s">
        <v>8677</v>
      </c>
      <c r="AT1" s="15"/>
      <c r="AU1" s="15"/>
      <c r="AV1" s="74" t="s">
        <v>8678</v>
      </c>
      <c r="AW1" s="74" t="s">
        <v>10165</v>
      </c>
      <c r="AX1" s="86" t="s">
        <v>10166</v>
      </c>
      <c r="AY1" s="74" t="s">
        <v>8702</v>
      </c>
      <c r="AZ1" s="86"/>
      <c r="BA1" s="87" t="s">
        <v>8705</v>
      </c>
      <c r="BB1" s="88"/>
      <c r="BC1" s="898" t="s">
        <v>8902</v>
      </c>
      <c r="BD1" s="72" t="s">
        <v>10635</v>
      </c>
      <c r="BE1" s="72" t="s">
        <v>8934</v>
      </c>
      <c r="BF1" s="72" t="s">
        <v>8580</v>
      </c>
      <c r="BG1" s="72" t="s">
        <v>8935</v>
      </c>
      <c r="BH1" s="10" t="s">
        <v>10550</v>
      </c>
      <c r="BI1" s="79" t="s">
        <v>8936</v>
      </c>
      <c r="BJ1" s="98" t="s">
        <v>8966</v>
      </c>
      <c r="BK1" s="90" t="s">
        <v>10153</v>
      </c>
      <c r="BL1" s="90" t="s">
        <v>10156</v>
      </c>
      <c r="BM1" s="653" t="s">
        <v>10157</v>
      </c>
      <c r="BN1" s="91" t="s">
        <v>10108</v>
      </c>
      <c r="BO1" s="10"/>
      <c r="BP1" s="10"/>
      <c r="BQ1" s="15" t="s">
        <v>8997</v>
      </c>
      <c r="BR1" s="72" t="s">
        <v>9001</v>
      </c>
      <c r="BS1" s="72" t="s">
        <v>10046</v>
      </c>
      <c r="BU1" s="1626" t="s">
        <v>10136</v>
      </c>
      <c r="BV1" s="1627"/>
      <c r="BW1" s="1627"/>
      <c r="BX1" s="1627"/>
      <c r="BY1" s="1627"/>
      <c r="BZ1" s="1627"/>
      <c r="CA1" s="1627"/>
      <c r="CB1" s="1627"/>
      <c r="CC1" s="1627"/>
      <c r="CD1" s="1627"/>
      <c r="CE1" s="1627"/>
      <c r="CF1" s="1627"/>
      <c r="CG1" s="1627"/>
      <c r="CH1" s="1627"/>
      <c r="CI1" s="1628"/>
    </row>
    <row r="2" spans="1:87" ht="45" x14ac:dyDescent="0.25">
      <c r="A2" s="44" t="s">
        <v>8627</v>
      </c>
      <c r="B2" s="1" t="s">
        <v>274</v>
      </c>
      <c r="C2" s="11" t="s">
        <v>8</v>
      </c>
      <c r="D2" s="11" t="s">
        <v>9</v>
      </c>
      <c r="E2" s="12" t="s">
        <v>10</v>
      </c>
      <c r="F2" s="13" t="s">
        <v>265</v>
      </c>
      <c r="G2" s="14" t="s">
        <v>273</v>
      </c>
      <c r="H2" s="15" t="s">
        <v>278</v>
      </c>
      <c r="I2" s="438" t="s">
        <v>271</v>
      </c>
      <c r="J2" s="27" t="s">
        <v>270</v>
      </c>
      <c r="K2" s="12" t="s">
        <v>10017</v>
      </c>
      <c r="L2" s="74" t="s">
        <v>8369</v>
      </c>
      <c r="M2" s="13" t="s">
        <v>8709</v>
      </c>
      <c r="N2" s="13" t="s">
        <v>8710</v>
      </c>
      <c r="O2" s="13" t="s">
        <v>8711</v>
      </c>
      <c r="P2" s="13" t="s">
        <v>8712</v>
      </c>
      <c r="Q2" s="13" t="s">
        <v>8647</v>
      </c>
      <c r="R2" s="13" t="s">
        <v>8648</v>
      </c>
      <c r="S2" s="13" t="s">
        <v>8649</v>
      </c>
      <c r="T2" s="13" t="s">
        <v>267</v>
      </c>
      <c r="U2" s="13" t="s">
        <v>272</v>
      </c>
      <c r="V2" s="70" t="s">
        <v>271</v>
      </c>
      <c r="W2" s="70" t="s">
        <v>1</v>
      </c>
      <c r="X2" s="21" t="s">
        <v>8375</v>
      </c>
      <c r="Y2" s="21">
        <v>98.7</v>
      </c>
      <c r="Z2" s="51" t="s">
        <v>8621</v>
      </c>
      <c r="AA2" s="55" t="s">
        <v>8637</v>
      </c>
      <c r="AB2" s="75" t="s">
        <v>8369</v>
      </c>
      <c r="AC2" s="101">
        <f>IF(OR(AI2=0,AI2="",ISNUMBER(MATCH(AI2,$AI$1:AI1,0))),0,MAX($AC$1:AC1)+1)</f>
        <v>0</v>
      </c>
      <c r="AD2" s="101">
        <f>IF(OR(AJ2=0,AJ2="",ISNUMBER(MATCH(AJ2,$AJ$1:AJ1,0))),0,MAX($AD$1:AD1)+1)</f>
        <v>0</v>
      </c>
      <c r="AE2" s="101">
        <f>IF(OR(AK2=0,AK2="",ISNUMBER(MATCH(AK2,$AK$1:AK1,0))),0,MAX($AE$1:AE1)+1)</f>
        <v>0</v>
      </c>
      <c r="AF2" s="101">
        <f>IF(OR(AH2=0,ISNUMBER(MATCH(AH2,$AH$1:AH1,0))),0,MAX($AF$1:AF1)+1)</f>
        <v>0</v>
      </c>
      <c r="AG2" s="101">
        <f>Tank1!$C$23</f>
        <v>0</v>
      </c>
      <c r="AH2" s="101">
        <f>Tank1!A33</f>
        <v>0</v>
      </c>
      <c r="AI2" s="101" t="str">
        <f t="shared" ref="AI2:AI20" si="0">IF($AH2=0,"",IF($AG2=AI$1,$AH2,""))</f>
        <v/>
      </c>
      <c r="AJ2" s="101" t="str">
        <f t="shared" ref="AJ2:AK19" si="1">IF($AH2=0,"",IF($AG2=AJ$1,$AH2,""))</f>
        <v/>
      </c>
      <c r="AK2" s="101" t="str">
        <f t="shared" si="1"/>
        <v/>
      </c>
      <c r="AL2" s="103" t="str">
        <f t="shared" ref="AL2:AL33" si="2">IFERROR(VLOOKUP(ROW(AL1),$AF$2:$AH$137,3,FALSE),"")</f>
        <v/>
      </c>
      <c r="AM2" s="20" t="str">
        <f t="shared" ref="AM2:AM33" si="3">IFERROR(VLOOKUP(ROW(AH1),$AC$2:$AH$137,6,FALSE),"")</f>
        <v/>
      </c>
      <c r="AN2" s="10" t="str">
        <f t="shared" ref="AN2:AN33" si="4">IFERROR(VLOOKUP(ROW(AH1),$AD$2:$AH$137,5,FALSE),"")</f>
        <v/>
      </c>
      <c r="AO2" s="17" t="str">
        <f t="shared" ref="AO2:AO33" si="5">IFERROR(VLOOKUP(ROW(AH1),$AE$2:$AH$137,4,FALSE),"")</f>
        <v/>
      </c>
      <c r="AQ2" s="10" t="s">
        <v>8675</v>
      </c>
      <c r="AR2" s="10" t="s">
        <v>8676</v>
      </c>
      <c r="AT2" s="10" t="s">
        <v>8675</v>
      </c>
      <c r="AU2" s="10" t="s">
        <v>8676</v>
      </c>
      <c r="AV2" s="20" t="str">
        <f>IF(Flare!C21&lt;1000,"low","high")</f>
        <v>low</v>
      </c>
      <c r="AW2" s="20" t="s">
        <v>275</v>
      </c>
      <c r="AX2" s="17" t="str">
        <f>IF(Tank1!$C$16="external floating roof","EFRSeals",IF(Tank1!$C$16="internal floating roof","IFRSeals",""))</f>
        <v/>
      </c>
      <c r="AY2" s="71" t="s">
        <v>8703</v>
      </c>
      <c r="AZ2" s="58">
        <v>100</v>
      </c>
      <c r="BA2" s="60" t="s">
        <v>8688</v>
      </c>
      <c r="BB2" s="53" t="s">
        <v>8691</v>
      </c>
      <c r="BC2" s="33" t="s">
        <v>8694</v>
      </c>
      <c r="BD2" s="10" t="s">
        <v>10636</v>
      </c>
      <c r="BE2" s="10" t="s">
        <v>11</v>
      </c>
      <c r="BF2" s="10" t="s">
        <v>8937</v>
      </c>
      <c r="BH2" s="10" t="str">
        <f>BE2</f>
        <v>Anderson</v>
      </c>
      <c r="BJ2" s="99" t="s">
        <v>8967</v>
      </c>
      <c r="BK2" s="92" t="b">
        <f>IF(FederalApplicability!C54="Other/Not Listed",FederalApplicability!C55="",FederalApplicability!C54="")</f>
        <v>1</v>
      </c>
      <c r="BL2" s="92" t="b">
        <f>BK2</f>
        <v>1</v>
      </c>
      <c r="BM2" s="654" t="b">
        <f>BL2</f>
        <v>1</v>
      </c>
      <c r="BN2" s="93" t="b">
        <f>BM2</f>
        <v>1</v>
      </c>
      <c r="BQ2" t="s">
        <v>11</v>
      </c>
      <c r="BR2" s="10">
        <f>COUNTIF('Hidden Inputs'!BQ2:BQ97,'PI-1-TankLoading'!D69)</f>
        <v>0</v>
      </c>
      <c r="BS2" s="1631" t="s">
        <v>10047</v>
      </c>
      <c r="BT2" s="595" t="s">
        <v>10049</v>
      </c>
      <c r="BU2" s="603" t="s">
        <v>2</v>
      </c>
      <c r="BV2" s="607" t="s">
        <v>10150</v>
      </c>
      <c r="BW2" s="606" t="s">
        <v>8495</v>
      </c>
      <c r="BX2" s="606" t="s">
        <v>8703</v>
      </c>
      <c r="BY2" s="606" t="s">
        <v>8491</v>
      </c>
      <c r="BZ2" s="606" t="s">
        <v>8944</v>
      </c>
      <c r="CA2" s="606" t="s">
        <v>10105</v>
      </c>
      <c r="CB2" s="606" t="s">
        <v>8937</v>
      </c>
      <c r="CC2" s="606" t="s">
        <v>3</v>
      </c>
      <c r="CD2" s="606"/>
      <c r="CE2" s="606" t="s">
        <v>10102</v>
      </c>
      <c r="CF2" s="606"/>
      <c r="CG2" s="606"/>
      <c r="CH2" s="606" t="s">
        <v>10103</v>
      </c>
      <c r="CI2" s="729"/>
    </row>
    <row r="3" spans="1:87" ht="23.25" customHeight="1" thickBot="1" x14ac:dyDescent="0.3">
      <c r="A3" s="21" t="s">
        <v>6</v>
      </c>
      <c r="B3" s="16" t="s">
        <v>11</v>
      </c>
      <c r="C3" s="10">
        <v>100</v>
      </c>
      <c r="D3" s="10">
        <v>249</v>
      </c>
      <c r="E3" s="17">
        <v>249</v>
      </c>
      <c r="F3" s="10">
        <v>13</v>
      </c>
      <c r="G3" s="18" t="s">
        <v>276</v>
      </c>
      <c r="H3" s="19">
        <v>0</v>
      </c>
      <c r="I3" s="436" t="s">
        <v>2669</v>
      </c>
      <c r="J3" s="26" t="s">
        <v>2668</v>
      </c>
      <c r="K3" s="10">
        <v>10</v>
      </c>
      <c r="L3" s="73">
        <f>IF(Tank1!$C$23="No control",(SUMIF(Tank1!$B$32:$B$49,$J3,Tank1!$C$32:$C$49)*Impacts!$F$8),0)</f>
        <v>0</v>
      </c>
      <c r="M3" s="10">
        <f>IF(Tank2!$C$23="No control",(SUMIF(Tank2!$B$32:$B$49,$J3,Tank2!$C$32:$C$49)*Impacts!$F$9),0)</f>
        <v>0</v>
      </c>
      <c r="N3" s="10">
        <f>IF(Tank3!$C$23="No control",(SUMIF(Tank3!$B$32:$B$49,$J3,Tank3!$C$32:$C$49)*Impacts!$F$10),0)</f>
        <v>0</v>
      </c>
      <c r="O3" s="10">
        <f>IF(Tank4!$C$23="No control",(SUMIF(Tank4!$B$32:$B$49,$J3,Tank4!$C$32:$C$49)*Impacts!$F$11),0)</f>
        <v>0</v>
      </c>
      <c r="P3" s="10">
        <f>IF(Tank5!$C$23="No control",(SUMIF(Tank5!$B$32:$B$49,$J3,Tank5!$C$32:$C$49)*Impacts!$F$12),0)</f>
        <v>0</v>
      </c>
      <c r="Q3" s="10">
        <f>IFERROR(IF(('Loading-drum,tote'!$C$21)="No control",SUMIF(('Loading-drum,tote'!$B$31:$B$48),$J3,('Loading-drum,tote'!$D$31:$D$48))*Impacts!$F$13,IF(('Loading-drum,tote'!$C$21)&lt;&gt;"No control",SUMIF(('Loading-drum,tote'!$B$31:$B$48),$J3,('Loading-drum,tote'!$E$31:$E$48))*Impacts!$F$13,0)),0)</f>
        <v>0</v>
      </c>
      <c r="R3" s="10">
        <f>IFERROR(IF(('Loading-truck'!$C$21)="No control",SUMIF(('Loading-truck'!$B$31:$B$48),$J3,('Loading-truck'!$D$31:$D$48))*Impacts!$F$14,IF(('Loading-truck'!$C$21)&lt;&gt;"No control",SUMIF(('Loading-truck'!$B$31:$B$48),$J3,('Loading-truck'!$E$31:$E$48))*Impacts!$F$14,0)),0)</f>
        <v>0</v>
      </c>
      <c r="S3" s="10">
        <f>IFERROR(IF(('Loading-rail'!$C$21)="No control",SUMIF(('Loading-rail'!$B$31:$B$48),$J3,('Loading-rail'!$D$31:$D$48))*Impacts!$F$15,IF(('Loading-rail'!$C$21)&lt;&gt;"No control",SUMIF(('Loading-rail'!$B$31:$B$48),$J3,('Loading-rail'!$E$31:$E$48))*Impacts!$F$15,0)),0)</f>
        <v>0</v>
      </c>
      <c r="T3" s="10">
        <f>IF(Flare!$C$7="",0,(SUMIF(Flare!$B$46:$B$185,$J3,Flare!$E$46:$E$185)*Impacts!$F$16))</f>
        <v>0</v>
      </c>
      <c r="U3" s="10">
        <f>IF(VCU!$C$9="",0,(SUMIF(VCU!$B$51:$B$193,$J3,VCU!$E$51:$E$193)*Impacts!$F$17))</f>
        <v>0</v>
      </c>
      <c r="V3" s="10">
        <f>IF(CAS!$C$7="",0,(SUMIF(CAS!$B$31:$B$167,$J3,CAS!$E$31:$E$167)*Impacts!$F$18))</f>
        <v>0</v>
      </c>
      <c r="W3" s="10">
        <f t="shared" ref="W3:W55" si="6">SUM(L3:V3)</f>
        <v>0</v>
      </c>
      <c r="X3" s="21" t="s">
        <v>8376</v>
      </c>
      <c r="Y3" s="21">
        <v>99.5</v>
      </c>
      <c r="Z3" s="51" t="s">
        <v>8679</v>
      </c>
      <c r="AA3" s="56" t="s">
        <v>8636</v>
      </c>
      <c r="AB3" s="20"/>
      <c r="AC3" s="10">
        <f>IF(OR(AI3=0,AI3="",ISNUMBER(MATCH(AI3,$AI$1:AI2,0))),0,MAX($AC$1:AC2)+1)</f>
        <v>0</v>
      </c>
      <c r="AD3" s="10">
        <f>IF(OR(AJ3=0,AJ3="",ISNUMBER(MATCH(AJ3,$AJ$1:AJ2,0))),0,MAX($AD$1:AD2)+1)</f>
        <v>0</v>
      </c>
      <c r="AE3" s="10">
        <f>IF(OR(AK3=0,AK3="",ISNUMBER(MATCH(AK3,$AK$1:AK2,0))),0,MAX($AE$1:AE2)+1)</f>
        <v>0</v>
      </c>
      <c r="AF3" s="10">
        <f>IF(OR(AH3=0,ISNUMBER(MATCH(AH3,$AH$1:AH2,0))),0,MAX($AF$1:AF2)+1)</f>
        <v>0</v>
      </c>
      <c r="AG3" s="10">
        <f>Tank1!$C$23</f>
        <v>0</v>
      </c>
      <c r="AH3" s="10">
        <f>Tank1!A34</f>
        <v>0</v>
      </c>
      <c r="AI3" s="10" t="str">
        <f t="shared" si="0"/>
        <v/>
      </c>
      <c r="AJ3" s="10" t="str">
        <f t="shared" si="1"/>
        <v/>
      </c>
      <c r="AK3" s="10" t="str">
        <f t="shared" si="1"/>
        <v/>
      </c>
      <c r="AL3" s="17" t="str">
        <f t="shared" si="2"/>
        <v/>
      </c>
      <c r="AM3" s="20" t="str">
        <f t="shared" si="3"/>
        <v/>
      </c>
      <c r="AN3" s="10" t="str">
        <f t="shared" si="4"/>
        <v/>
      </c>
      <c r="AO3" s="17" t="str">
        <f t="shared" si="5"/>
        <v/>
      </c>
      <c r="AP3" s="10" t="s">
        <v>8673</v>
      </c>
      <c r="AQ3" s="10">
        <v>4.8500000000000001E-2</v>
      </c>
      <c r="AR3" s="10">
        <v>6.8000000000000005E-2</v>
      </c>
      <c r="AS3" s="20" t="s">
        <v>8673</v>
      </c>
      <c r="AT3" s="10">
        <v>0.3503</v>
      </c>
      <c r="AU3" s="10">
        <v>0.34649999999999997</v>
      </c>
      <c r="AW3" s="20" t="s">
        <v>8359</v>
      </c>
      <c r="AX3" s="17" t="str">
        <f>IF(Tank2!$C$16="external floating roof","EFRSeals",IF(Tank2!$C$16="internal floating roof","IFRSeals",""))</f>
        <v/>
      </c>
      <c r="AY3" s="71" t="s">
        <v>8495</v>
      </c>
      <c r="AZ3" s="58">
        <v>84</v>
      </c>
      <c r="BA3" s="61" t="s">
        <v>8693</v>
      </c>
      <c r="BB3" s="54" t="s">
        <v>8695</v>
      </c>
      <c r="BC3" s="62" t="s">
        <v>8638</v>
      </c>
      <c r="BD3" s="10" t="s">
        <v>10637</v>
      </c>
      <c r="BE3" s="10" t="s">
        <v>25</v>
      </c>
      <c r="BF3" s="10" t="s">
        <v>8972</v>
      </c>
      <c r="BG3" s="897" t="s">
        <v>10632</v>
      </c>
      <c r="BH3" s="72"/>
      <c r="BI3" s="79" t="s">
        <v>8938</v>
      </c>
      <c r="BJ3" s="100" t="s">
        <v>8968</v>
      </c>
      <c r="BK3" s="94" t="b">
        <f>COUNTIF(FederalApplicability!E60:E68,"Yes")=0</f>
        <v>1</v>
      </c>
      <c r="BL3" s="94" t="b">
        <f>NOT(OR(COUNTIF(FederalApplicability!E73:E81,"Yes")&gt;0,BN26))</f>
        <v>1</v>
      </c>
      <c r="BM3" s="655" t="b">
        <f>COUNTIF(FederalApplicability!E86:E94,"Yes")=0</f>
        <v>1</v>
      </c>
      <c r="BN3" s="95" t="b">
        <f>COUNTIF(FederalApplicability!F99:F107,"Yes")=0</f>
        <v>1</v>
      </c>
      <c r="BQ3" s="10" t="s">
        <v>13</v>
      </c>
      <c r="BS3" s="1632"/>
      <c r="BT3" s="593" t="s">
        <v>10050</v>
      </c>
      <c r="BU3" s="604" t="s">
        <v>9003</v>
      </c>
      <c r="BV3" s="626" t="b">
        <f t="shared" ref="BV3:CH3" si="7">BV4</f>
        <v>0</v>
      </c>
      <c r="BW3" s="601" t="b">
        <f t="shared" si="7"/>
        <v>0</v>
      </c>
      <c r="BX3" s="601" t="b">
        <f t="shared" si="7"/>
        <v>0</v>
      </c>
      <c r="BY3" s="601" t="b">
        <f t="shared" si="7"/>
        <v>0</v>
      </c>
      <c r="BZ3" s="601" t="b">
        <f t="shared" si="7"/>
        <v>0</v>
      </c>
      <c r="CA3" s="601" t="b">
        <f t="shared" si="7"/>
        <v>0</v>
      </c>
      <c r="CB3" s="601" t="b">
        <f t="shared" si="7"/>
        <v>0</v>
      </c>
      <c r="CC3" s="601" t="b">
        <f t="shared" si="7"/>
        <v>0</v>
      </c>
      <c r="CD3" s="601"/>
      <c r="CE3" s="601" t="b">
        <f t="shared" si="7"/>
        <v>0</v>
      </c>
      <c r="CF3" s="601"/>
      <c r="CG3" s="601"/>
      <c r="CH3" s="601" t="b">
        <f t="shared" si="7"/>
        <v>0</v>
      </c>
      <c r="CI3" s="637"/>
    </row>
    <row r="4" spans="1:87" ht="87" customHeight="1" x14ac:dyDescent="0.25">
      <c r="A4" s="21" t="s">
        <v>7</v>
      </c>
      <c r="B4" s="16" t="s">
        <v>12</v>
      </c>
      <c r="C4" s="10">
        <v>100</v>
      </c>
      <c r="D4" s="10">
        <v>249</v>
      </c>
      <c r="E4" s="17">
        <v>249</v>
      </c>
      <c r="F4" s="10">
        <v>14</v>
      </c>
      <c r="G4" s="18" t="s">
        <v>267</v>
      </c>
      <c r="H4" s="19">
        <v>0.98</v>
      </c>
      <c r="I4" s="436" t="s">
        <v>7848</v>
      </c>
      <c r="J4" s="26" t="s">
        <v>7847</v>
      </c>
      <c r="K4" s="10">
        <v>6.4000000000000001E-2</v>
      </c>
      <c r="L4" s="73">
        <f>IF(Tank1!$C$23="No control",(SUMIF(Tank1!$B$32:$B$49,$J4,Tank1!$C$32:$C$49)*Impacts!$F$8),0)</f>
        <v>0</v>
      </c>
      <c r="M4" s="10">
        <f>IF(Tank2!$C$23="No control",(SUMIF(Tank2!$B$32:$B$49,$J4,Tank2!$C$32:$C$49)*Impacts!$F$9),0)</f>
        <v>0</v>
      </c>
      <c r="N4" s="10">
        <f>IF(Tank3!$C$23="No control",(SUMIF(Tank3!$B$32:$B$49,$J4,Tank3!$C$32:$C$49)*Impacts!$F$10),0)</f>
        <v>0</v>
      </c>
      <c r="O4" s="10">
        <f>IF(Tank4!$C$23="No control",(SUMIF(Tank4!$B$32:$B$49,$J4,Tank4!$C$32:$C$49)*Impacts!$F$11),0)</f>
        <v>0</v>
      </c>
      <c r="P4" s="10">
        <f>IF(Tank5!$C$23="No control",(SUMIF(Tank5!$B$32:$B$49,$J4,Tank5!$C$32:$C$49)*Impacts!$F$12),0)</f>
        <v>0</v>
      </c>
      <c r="Q4" s="10">
        <f>IFERROR(IF(('Loading-drum,tote'!$C$21)="No control",SUMIF(('Loading-drum,tote'!$B$31:$B$48),$J4,('Loading-drum,tote'!$D$31:$D$48))*Impacts!$F$13,IF(('Loading-drum,tote'!$C$21)&lt;&gt;"No control",SUMIF(('Loading-drum,tote'!$B$31:$B$48),$J4,('Loading-drum,tote'!$E$31:$E$48))*Impacts!$F$13,0)),0)</f>
        <v>0</v>
      </c>
      <c r="R4" s="10">
        <f>IFERROR(IF(('Loading-truck'!$C$21)="No control",SUMIF(('Loading-truck'!$B$31:$B$48),$J4,('Loading-truck'!$D$31:$D$48))*Impacts!$F$14,IF(('Loading-truck'!$C$21)&lt;&gt;"No control",SUMIF(('Loading-truck'!$B$31:$B$48),$J4,('Loading-truck'!$E$31:$E$48))*Impacts!$F$14,0)),0)</f>
        <v>0</v>
      </c>
      <c r="S4" s="10">
        <f>IFERROR(IF(('Loading-rail'!$C$21)="No control",SUMIF(('Loading-rail'!$B$31:$B$48),$J4,('Loading-rail'!$D$31:$D$48))*Impacts!$F$15,IF(('Loading-rail'!$C$21)&lt;&gt;"No control",SUMIF(('Loading-rail'!$B$31:$B$48),$J4,('Loading-rail'!$E$31:$E$48))*Impacts!$F$15,0)),0)</f>
        <v>0</v>
      </c>
      <c r="T4" s="10">
        <f>IF(Flare!$C$7="",0,(SUMIF(Flare!$B$46:$B$185,$J4,Flare!$E$46:$E$185)*Impacts!$F$16))</f>
        <v>0</v>
      </c>
      <c r="U4" s="10">
        <f>IF(VCU!$C$9="",0,(SUMIF(VCU!$B$51:$B$193,$J4,VCU!$E$51:$E$193)*Impacts!$F$17))</f>
        <v>0</v>
      </c>
      <c r="V4" s="10">
        <f>IF(CAS!$C$7="",0,(SUMIF(CAS!$B$31:$B$167,$J4,CAS!$E$31:$E$167)*Impacts!$F$18))</f>
        <v>0</v>
      </c>
      <c r="W4" s="10">
        <f t="shared" si="6"/>
        <v>0</v>
      </c>
      <c r="X4" s="21" t="s">
        <v>8377</v>
      </c>
      <c r="Y4" s="21">
        <v>100</v>
      </c>
      <c r="Z4" s="51" t="s">
        <v>8622</v>
      </c>
      <c r="AA4" s="55" t="s">
        <v>8637</v>
      </c>
      <c r="AB4" s="20"/>
      <c r="AC4" s="10">
        <f>IF(OR(AI4=0,AI4="",ISNUMBER(MATCH(AI4,$AI$1:AI3,0))),0,MAX($AC$1:AC3)+1)</f>
        <v>0</v>
      </c>
      <c r="AD4" s="10">
        <f>IF(OR(AJ4=0,AJ4="",ISNUMBER(MATCH(AJ4,$AJ$1:AJ3,0))),0,MAX($AD$1:AD3)+1)</f>
        <v>0</v>
      </c>
      <c r="AE4" s="10">
        <f>IF(OR(AK4=0,AK4="",ISNUMBER(MATCH(AK4,$AK$1:AK3,0))),0,MAX($AE$1:AE3)+1)</f>
        <v>0</v>
      </c>
      <c r="AF4" s="10">
        <f>IF(OR(AH4=0,ISNUMBER(MATCH(AH4,$AH$1:AH3,0))),0,MAX($AF$1:AF3)+1)</f>
        <v>0</v>
      </c>
      <c r="AG4" s="10">
        <f>Tank1!$C$23</f>
        <v>0</v>
      </c>
      <c r="AH4" s="10">
        <f>Tank1!A35</f>
        <v>0</v>
      </c>
      <c r="AI4" s="10" t="str">
        <f t="shared" si="0"/>
        <v/>
      </c>
      <c r="AJ4" s="10" t="str">
        <f t="shared" si="1"/>
        <v/>
      </c>
      <c r="AK4" s="10" t="str">
        <f t="shared" si="1"/>
        <v/>
      </c>
      <c r="AL4" s="17" t="str">
        <f t="shared" si="2"/>
        <v/>
      </c>
      <c r="AM4" s="20" t="str">
        <f t="shared" si="3"/>
        <v/>
      </c>
      <c r="AN4" s="10" t="str">
        <f t="shared" si="4"/>
        <v/>
      </c>
      <c r="AO4" s="17" t="str">
        <f t="shared" si="5"/>
        <v/>
      </c>
      <c r="AP4" s="10" t="s">
        <v>8674</v>
      </c>
      <c r="AQ4" s="10">
        <v>0.13800000000000001</v>
      </c>
      <c r="AR4" s="10">
        <v>6.4100000000000004E-2</v>
      </c>
      <c r="AS4" s="20" t="s">
        <v>8674</v>
      </c>
      <c r="AT4" s="10">
        <v>0.27550000000000002</v>
      </c>
      <c r="AU4" s="10">
        <v>0.54959999999999998</v>
      </c>
      <c r="AW4" s="20" t="s">
        <v>8360</v>
      </c>
      <c r="AX4" s="17" t="str">
        <f>IF(Tank3!$C$16="external floating roof","EFRSeals",IF(Tank3!$C$16="internal floating roof","IFRSeals",""))</f>
        <v/>
      </c>
      <c r="BA4" s="63" t="s">
        <v>8692</v>
      </c>
      <c r="BB4" s="54" t="s">
        <v>8638</v>
      </c>
      <c r="BC4" s="64" t="s">
        <v>8696</v>
      </c>
      <c r="BD4" s="10" t="s">
        <v>10637</v>
      </c>
      <c r="BE4" s="10" t="s">
        <v>30</v>
      </c>
      <c r="BF4" s="10" t="s">
        <v>8972</v>
      </c>
      <c r="BG4" s="897" t="s">
        <v>10631</v>
      </c>
      <c r="BH4" s="72"/>
      <c r="BI4" s="79" t="s">
        <v>8939</v>
      </c>
      <c r="BJ4" s="55"/>
      <c r="BK4" s="55"/>
      <c r="BL4" s="55"/>
      <c r="BM4" s="55"/>
      <c r="BN4" s="55"/>
      <c r="BO4" s="55"/>
      <c r="BP4" s="55"/>
      <c r="BQ4" s="10" t="s">
        <v>14</v>
      </c>
      <c r="BR4" s="10" t="s">
        <v>10021</v>
      </c>
      <c r="BS4" s="1632"/>
      <c r="BT4" s="593" t="s">
        <v>10051</v>
      </c>
      <c r="BU4" s="604" t="s">
        <v>10106</v>
      </c>
      <c r="BV4" s="626" t="b">
        <f t="shared" ref="BV4:CH4" si="8">OR(BV5:BV15)</f>
        <v>0</v>
      </c>
      <c r="BW4" s="601" t="b">
        <f t="shared" si="8"/>
        <v>0</v>
      </c>
      <c r="BX4" s="601" t="b">
        <f t="shared" si="8"/>
        <v>0</v>
      </c>
      <c r="BY4" s="601" t="b">
        <f t="shared" si="8"/>
        <v>0</v>
      </c>
      <c r="BZ4" s="601" t="b">
        <f t="shared" si="8"/>
        <v>0</v>
      </c>
      <c r="CA4" s="601" t="b">
        <f t="shared" si="8"/>
        <v>0</v>
      </c>
      <c r="CB4" s="601" t="b">
        <f t="shared" si="8"/>
        <v>0</v>
      </c>
      <c r="CC4" s="601" t="b">
        <f t="shared" si="8"/>
        <v>0</v>
      </c>
      <c r="CD4" s="601"/>
      <c r="CE4" s="601" t="b">
        <f t="shared" si="8"/>
        <v>0</v>
      </c>
      <c r="CF4" s="601"/>
      <c r="CG4" s="601"/>
      <c r="CH4" s="601" t="b">
        <f t="shared" si="8"/>
        <v>0</v>
      </c>
      <c r="CI4" s="637"/>
    </row>
    <row r="5" spans="1:87" ht="87" customHeight="1" thickBot="1" x14ac:dyDescent="0.3">
      <c r="B5" s="16" t="s">
        <v>13</v>
      </c>
      <c r="C5" s="10">
        <v>100</v>
      </c>
      <c r="D5" s="10">
        <v>249</v>
      </c>
      <c r="E5" s="17">
        <v>249</v>
      </c>
      <c r="F5" s="10">
        <v>15</v>
      </c>
      <c r="G5" s="18" t="s">
        <v>8385</v>
      </c>
      <c r="H5" s="23">
        <v>0.998</v>
      </c>
      <c r="I5" s="436" t="s">
        <v>7220</v>
      </c>
      <c r="J5" s="26" t="s">
        <v>7219</v>
      </c>
      <c r="K5" s="10">
        <v>0.30000000000000004</v>
      </c>
      <c r="L5" s="73">
        <f>IF(Tank1!$C$23="No control",(SUMIF(Tank1!$B$32:$B$49,$J5,Tank1!$C$32:$C$49)*Impacts!$F$8),0)</f>
        <v>0</v>
      </c>
      <c r="M5" s="10">
        <f>IF(Tank2!$C$23="No control",(SUMIF(Tank2!$B$32:$B$49,$J5,Tank2!$C$32:$C$49)*Impacts!$F$9),0)</f>
        <v>0</v>
      </c>
      <c r="N5" s="10">
        <f>IF(Tank3!$C$23="No control",(SUMIF(Tank3!$B$32:$B$49,$J5,Tank3!$C$32:$C$49)*Impacts!$F$10),0)</f>
        <v>0</v>
      </c>
      <c r="O5" s="10">
        <f>IF(Tank4!$C$23="No control",(SUMIF(Tank4!$B$32:$B$49,$J5,Tank4!$C$32:$C$49)*Impacts!$F$11),0)</f>
        <v>0</v>
      </c>
      <c r="P5" s="10">
        <f>IF(Tank5!$C$23="No control",(SUMIF(Tank5!$B$32:$B$49,$J5,Tank5!$C$32:$C$49)*Impacts!$F$12),0)</f>
        <v>0</v>
      </c>
      <c r="Q5" s="10">
        <f>IFERROR(IF(('Loading-drum,tote'!$C$21)="No control",SUMIF(('Loading-drum,tote'!$B$31:$B$48),$J5,('Loading-drum,tote'!$D$31:$D$48))*Impacts!$F$13,IF(('Loading-drum,tote'!$C$21)&lt;&gt;"No control",SUMIF(('Loading-drum,tote'!$B$31:$B$48),$J5,('Loading-drum,tote'!$E$31:$E$48))*Impacts!$F$13,0)),0)</f>
        <v>0</v>
      </c>
      <c r="R5" s="10">
        <f>IFERROR(IF(('Loading-truck'!$C$21)="No control",SUMIF(('Loading-truck'!$B$31:$B$48),$J5,('Loading-truck'!$D$31:$D$48))*Impacts!$F$14,IF(('Loading-truck'!$C$21)&lt;&gt;"No control",SUMIF(('Loading-truck'!$B$31:$B$48),$J5,('Loading-truck'!$E$31:$E$48))*Impacts!$F$14,0)),0)</f>
        <v>0</v>
      </c>
      <c r="S5" s="10">
        <f>IFERROR(IF(('Loading-rail'!$C$21)="No control",SUMIF(('Loading-rail'!$B$31:$B$48),$J5,('Loading-rail'!$D$31:$D$48))*Impacts!$F$15,IF(('Loading-rail'!$C$21)&lt;&gt;"No control",SUMIF(('Loading-rail'!$B$31:$B$48),$J5,('Loading-rail'!$E$31:$E$48))*Impacts!$F$15,0)),0)</f>
        <v>0</v>
      </c>
      <c r="T5" s="10">
        <f>IF(Flare!$C$7="",0,(SUMIF(Flare!$B$46:$B$185,$J5,Flare!$E$46:$E$185)*Impacts!$F$16))</f>
        <v>0</v>
      </c>
      <c r="U5" s="10">
        <f>IF(VCU!$C$9="",0,(SUMIF(VCU!$B$51:$B$193,$J5,VCU!$E$51:$E$193)*Impacts!$F$17))</f>
        <v>0</v>
      </c>
      <c r="V5" s="10">
        <f>IF(CAS!$C$7="",0,(SUMIF(CAS!$B$31:$B$167,$J5,CAS!$E$31:$E$167)*Impacts!$F$18))</f>
        <v>0</v>
      </c>
      <c r="W5" s="10">
        <f t="shared" si="6"/>
        <v>0</v>
      </c>
      <c r="X5" s="21" t="s">
        <v>8378</v>
      </c>
      <c r="Z5" s="51" t="s">
        <v>10324</v>
      </c>
      <c r="AA5" s="57" t="s">
        <v>10326</v>
      </c>
      <c r="AB5" s="20"/>
      <c r="AC5" s="10">
        <f>IF(OR(AI5=0,AI5="",ISNUMBER(MATCH(AI5,$AI$1:AI4,0))),0,MAX($AC$1:AC4)+1)</f>
        <v>0</v>
      </c>
      <c r="AD5" s="10">
        <f>IF(OR(AJ5=0,AJ5="",ISNUMBER(MATCH(AJ5,$AJ$1:AJ4,0))),0,MAX($AD$1:AD4)+1)</f>
        <v>0</v>
      </c>
      <c r="AE5" s="10">
        <f>IF(OR(AK5=0,AK5="",ISNUMBER(MATCH(AK5,$AK$1:AK4,0))),0,MAX($AE$1:AE4)+1)</f>
        <v>0</v>
      </c>
      <c r="AF5" s="10">
        <f>IF(OR(AH5=0,ISNUMBER(MATCH(AH5,$AH$1:AH4,0))),0,MAX($AF$1:AF4)+1)</f>
        <v>0</v>
      </c>
      <c r="AG5" s="10">
        <f>Tank1!$C$23</f>
        <v>0</v>
      </c>
      <c r="AH5" s="10">
        <f>Tank1!A36</f>
        <v>0</v>
      </c>
      <c r="AI5" s="10" t="str">
        <f t="shared" si="0"/>
        <v/>
      </c>
      <c r="AJ5" s="10" t="str">
        <f t="shared" si="1"/>
        <v/>
      </c>
      <c r="AK5" s="10" t="str">
        <f t="shared" si="1"/>
        <v/>
      </c>
      <c r="AL5" s="17" t="str">
        <f t="shared" si="2"/>
        <v/>
      </c>
      <c r="AM5" s="20" t="str">
        <f t="shared" si="3"/>
        <v/>
      </c>
      <c r="AN5" s="10" t="str">
        <f t="shared" si="4"/>
        <v/>
      </c>
      <c r="AO5" s="17" t="str">
        <f t="shared" si="5"/>
        <v/>
      </c>
      <c r="AW5" s="20" t="s">
        <v>8361</v>
      </c>
      <c r="AX5" s="17" t="str">
        <f>IF(Tank4!$C$16="external floating roof","EFRSeals",IF(Tank4!$C$16="internal floating roof","IFRSeals",""))</f>
        <v/>
      </c>
      <c r="BA5" s="65" t="s">
        <v>8699</v>
      </c>
      <c r="BB5" s="64" t="s">
        <v>8696</v>
      </c>
      <c r="BC5" s="66" t="s">
        <v>8696</v>
      </c>
      <c r="BD5" s="10" t="s">
        <v>10637</v>
      </c>
      <c r="BE5" s="10" t="s">
        <v>46</v>
      </c>
      <c r="BF5" s="10" t="s">
        <v>8972</v>
      </c>
      <c r="BG5" s="897" t="s">
        <v>10631</v>
      </c>
      <c r="BH5" s="72"/>
      <c r="BI5" s="79" t="s">
        <v>8940</v>
      </c>
      <c r="BJ5" s="55"/>
      <c r="BK5" s="55"/>
      <c r="BL5" s="55"/>
      <c r="BM5" s="55"/>
      <c r="BN5" s="55"/>
      <c r="BO5" s="55"/>
      <c r="BP5" s="55"/>
      <c r="BQ5" s="10" t="s">
        <v>17</v>
      </c>
      <c r="BR5" s="10" t="b">
        <f>OR(COUNTIF('PI-1-TankLoading'!G7:G21,"I disagree")&gt;0,'PI-1-TankLoading'!G99="Yes",'PI-1-TankLoading'!G199="Yes")</f>
        <v>0</v>
      </c>
      <c r="BS5" s="1632"/>
      <c r="BT5" s="593" t="s">
        <v>10052</v>
      </c>
      <c r="BU5" s="625" t="s">
        <v>8369</v>
      </c>
      <c r="BV5" s="626" t="b">
        <f>NOT(OR(ISBLANK(Tank1!$C$7),ISBLANK(Tank1!$C$8),$BJ$28))</f>
        <v>0</v>
      </c>
      <c r="BW5" s="600" t="b">
        <v>0</v>
      </c>
      <c r="BX5" s="600" t="b">
        <v>0</v>
      </c>
      <c r="BY5" s="600" t="b">
        <v>0</v>
      </c>
      <c r="BZ5" s="600" t="b">
        <v>0</v>
      </c>
      <c r="CA5" s="600" t="b">
        <v>0</v>
      </c>
      <c r="CB5" s="600" t="b">
        <v>0</v>
      </c>
      <c r="CC5" s="596" t="b">
        <f>NOT(OR(ISBLANK(Tank1!$C$7),ISBLANK(Tank1!$C$8),$BJ$28))</f>
        <v>0</v>
      </c>
      <c r="CD5" s="596"/>
      <c r="CE5" s="596" t="b">
        <f>NOT(OR(ISBLANK(Tank1!$C$7),ISBLANK(Tank1!$C$8),$BJ$28))</f>
        <v>0</v>
      </c>
      <c r="CF5" s="596"/>
      <c r="CG5" s="596"/>
      <c r="CH5" s="596" t="b">
        <f>NOT(OR(ISBLANK(Tank1!$C$7),ISBLANK(Tank1!$C$8),$BJ$28))</f>
        <v>0</v>
      </c>
      <c r="CI5" s="598"/>
    </row>
    <row r="6" spans="1:87" ht="60" x14ac:dyDescent="0.25">
      <c r="B6" s="16" t="s">
        <v>14</v>
      </c>
      <c r="C6" s="10">
        <v>100</v>
      </c>
      <c r="D6" s="10">
        <v>249</v>
      </c>
      <c r="E6" s="17">
        <v>249</v>
      </c>
      <c r="G6" s="18" t="s">
        <v>268</v>
      </c>
      <c r="H6" s="19">
        <v>0.99</v>
      </c>
      <c r="I6" s="436" t="s">
        <v>7670</v>
      </c>
      <c r="J6" s="26" t="s">
        <v>7669</v>
      </c>
      <c r="K6" s="10">
        <v>0.1</v>
      </c>
      <c r="L6" s="73">
        <f>IF(Tank1!$C$23="No control",(SUMIF(Tank1!$B$32:$B$49,$J6,Tank1!$C$32:$C$49)*Impacts!$F$8),0)</f>
        <v>0</v>
      </c>
      <c r="M6" s="10">
        <f>IF(Tank2!$C$23="No control",(SUMIF(Tank2!$B$32:$B$49,$J6,Tank2!$C$32:$C$49)*Impacts!$F$9),0)</f>
        <v>0</v>
      </c>
      <c r="N6" s="10">
        <f>IF(Tank3!$C$23="No control",(SUMIF(Tank3!$B$32:$B$49,$J6,Tank3!$C$32:$C$49)*Impacts!$F$10),0)</f>
        <v>0</v>
      </c>
      <c r="O6" s="10">
        <f>IF(Tank4!$C$23="No control",(SUMIF(Tank4!$B$32:$B$49,$J6,Tank4!$C$32:$C$49)*Impacts!$F$11),0)</f>
        <v>0</v>
      </c>
      <c r="P6" s="10">
        <f>IF(Tank5!$C$23="No control",(SUMIF(Tank5!$B$32:$B$49,$J6,Tank5!$C$32:$C$49)*Impacts!$F$12),0)</f>
        <v>0</v>
      </c>
      <c r="Q6" s="10">
        <f>IFERROR(IF(('Loading-drum,tote'!$C$21)="No control",SUMIF(('Loading-drum,tote'!$B$31:$B$48),$J6,('Loading-drum,tote'!$D$31:$D$48))*Impacts!$F$13,IF(('Loading-drum,tote'!$C$21)&lt;&gt;"No control",SUMIF(('Loading-drum,tote'!$B$31:$B$48),$J6,('Loading-drum,tote'!$E$31:$E$48))*Impacts!$F$13,0)),0)</f>
        <v>0</v>
      </c>
      <c r="R6" s="10">
        <f>IFERROR(IF(('Loading-truck'!$C$21)="No control",SUMIF(('Loading-truck'!$B$31:$B$48),$J6,('Loading-truck'!$D$31:$D$48))*Impacts!$F$14,IF(('Loading-truck'!$C$21)&lt;&gt;"No control",SUMIF(('Loading-truck'!$B$31:$B$48),$J6,('Loading-truck'!$E$31:$E$48))*Impacts!$F$14,0)),0)</f>
        <v>0</v>
      </c>
      <c r="S6" s="10">
        <f>IFERROR(IF(('Loading-rail'!$C$21)="No control",SUMIF(('Loading-rail'!$B$31:$B$48),$J6,('Loading-rail'!$D$31:$D$48))*Impacts!$F$15,IF(('Loading-rail'!$C$21)&lt;&gt;"No control",SUMIF(('Loading-rail'!$B$31:$B$48),$J6,('Loading-rail'!$E$31:$E$48))*Impacts!$F$15,0)),0)</f>
        <v>0</v>
      </c>
      <c r="T6" s="10">
        <f>IF(Flare!$C$7="",0,(SUMIF(Flare!$B$46:$B$185,$J6,Flare!$E$46:$E$185)*Impacts!$F$16))</f>
        <v>0</v>
      </c>
      <c r="U6" s="10">
        <f>IF(VCU!$C$9="",0,(SUMIF(VCU!$B$51:$B$193,$J6,VCU!$E$51:$E$193)*Impacts!$F$17))</f>
        <v>0</v>
      </c>
      <c r="V6" s="10">
        <f>IF(CAS!$C$7="",0,(SUMIF(CAS!$B$31:$B$167,$J6,CAS!$E$31:$E$167)*Impacts!$F$18))</f>
        <v>0</v>
      </c>
      <c r="W6" s="10">
        <f t="shared" si="6"/>
        <v>0</v>
      </c>
      <c r="Z6" s="51" t="s">
        <v>10325</v>
      </c>
      <c r="AA6" s="840" t="s">
        <v>10327</v>
      </c>
      <c r="AB6" s="20"/>
      <c r="AC6" s="10">
        <f>IF(OR(AI6=0,AI6="",ISNUMBER(MATCH(AI6,$AI$1:AI5,0))),0,MAX($AC$1:AC5)+1)</f>
        <v>0</v>
      </c>
      <c r="AD6" s="10">
        <f>IF(OR(AJ6=0,AJ6="",ISNUMBER(MATCH(AJ6,$AJ$1:AJ5,0))),0,MAX($AD$1:AD5)+1)</f>
        <v>0</v>
      </c>
      <c r="AE6" s="10">
        <f>IF(OR(AK6=0,AK6="",ISNUMBER(MATCH(AK6,$AK$1:AK5,0))),0,MAX($AE$1:AE5)+1)</f>
        <v>0</v>
      </c>
      <c r="AF6" s="10">
        <f>IF(OR(AH6=0,ISNUMBER(MATCH(AH6,$AH$1:AH5,0))),0,MAX($AF$1:AF5)+1)</f>
        <v>0</v>
      </c>
      <c r="AG6" s="10">
        <f>Tank1!$C$23</f>
        <v>0</v>
      </c>
      <c r="AH6" s="10">
        <f>Tank1!A37</f>
        <v>0</v>
      </c>
      <c r="AI6" s="10" t="str">
        <f t="shared" si="0"/>
        <v/>
      </c>
      <c r="AJ6" s="10" t="str">
        <f t="shared" si="1"/>
        <v/>
      </c>
      <c r="AK6" s="10" t="str">
        <f t="shared" si="1"/>
        <v/>
      </c>
      <c r="AL6" s="17" t="str">
        <f t="shared" si="2"/>
        <v/>
      </c>
      <c r="AM6" s="20" t="str">
        <f t="shared" si="3"/>
        <v/>
      </c>
      <c r="AN6" s="10" t="str">
        <f t="shared" si="4"/>
        <v/>
      </c>
      <c r="AO6" s="17" t="str">
        <f t="shared" si="5"/>
        <v/>
      </c>
      <c r="AW6" s="20" t="s">
        <v>8362</v>
      </c>
      <c r="AX6" s="17" t="str">
        <f>IF(Tank5!$C$16="external floating roof","EFRSeals",IF(Tank5!$C$16="internal floating roof","IFRSeals",""))</f>
        <v/>
      </c>
      <c r="BA6" s="60" t="s">
        <v>8689</v>
      </c>
      <c r="BB6" s="53" t="s">
        <v>8691</v>
      </c>
      <c r="BC6" s="33" t="s">
        <v>8694</v>
      </c>
      <c r="BD6" s="10" t="s">
        <v>10637</v>
      </c>
      <c r="BE6" s="10" t="s">
        <v>53</v>
      </c>
      <c r="BF6" s="10" t="s">
        <v>8972</v>
      </c>
      <c r="BG6" s="897" t="s">
        <v>10631</v>
      </c>
      <c r="BI6" s="79" t="s">
        <v>8941</v>
      </c>
      <c r="BJ6" s="104" t="s">
        <v>2</v>
      </c>
      <c r="BK6" s="660" t="s">
        <v>10149</v>
      </c>
      <c r="BL6" s="660" t="s">
        <v>10152</v>
      </c>
      <c r="BM6" s="660" t="s">
        <v>10173</v>
      </c>
      <c r="BN6" s="660" t="s">
        <v>10151</v>
      </c>
      <c r="BO6" s="661" t="s">
        <v>10284</v>
      </c>
      <c r="BP6" s="662" t="s">
        <v>10155</v>
      </c>
      <c r="BQ6" s="10" t="s">
        <v>18</v>
      </c>
      <c r="BS6" s="1632"/>
      <c r="BT6" s="593" t="s">
        <v>10055</v>
      </c>
      <c r="BU6" s="625" t="s">
        <v>8709</v>
      </c>
      <c r="BV6" s="626" t="b">
        <f>NOT(OR(ISBLANK(Tank2!$C$7),ISBLANK(Tank2!$C$8),$BJ$28))</f>
        <v>0</v>
      </c>
      <c r="BW6" s="600" t="b">
        <v>0</v>
      </c>
      <c r="BX6" s="600" t="b">
        <v>0</v>
      </c>
      <c r="BY6" s="600" t="b">
        <v>0</v>
      </c>
      <c r="BZ6" s="600" t="b">
        <v>0</v>
      </c>
      <c r="CA6" s="600" t="b">
        <v>0</v>
      </c>
      <c r="CB6" s="600" t="b">
        <v>0</v>
      </c>
      <c r="CC6" s="596" t="b">
        <f>NOT(OR(ISBLANK(Tank2!$C$7),ISBLANK(Tank2!$C$8),$BJ$28))</f>
        <v>0</v>
      </c>
      <c r="CD6" s="596"/>
      <c r="CE6" s="596" t="b">
        <f>NOT(OR(ISBLANK(Tank2!$C$7),ISBLANK(Tank2!$C$8),$BJ$28))</f>
        <v>0</v>
      </c>
      <c r="CF6" s="596"/>
      <c r="CG6" s="596"/>
      <c r="CH6" s="596" t="b">
        <f>NOT(OR(ISBLANK(Tank2!$C$7),ISBLANK(Tank2!$C$8),$BJ$28))</f>
        <v>0</v>
      </c>
      <c r="CI6" s="598"/>
    </row>
    <row r="7" spans="1:87" ht="23.25" customHeight="1" x14ac:dyDescent="0.25">
      <c r="B7" s="16" t="s">
        <v>15</v>
      </c>
      <c r="C7" s="10">
        <v>100</v>
      </c>
      <c r="D7" s="10">
        <v>249</v>
      </c>
      <c r="E7" s="17">
        <v>249</v>
      </c>
      <c r="I7" s="436" t="s">
        <v>1646</v>
      </c>
      <c r="J7" s="26" t="s">
        <v>1645</v>
      </c>
      <c r="K7" s="10">
        <v>24.5</v>
      </c>
      <c r="L7" s="73">
        <f>IF(Tank1!$C$23="No control",(SUMIF(Tank1!$B$32:$B$49,$J7,Tank1!$C$32:$C$49)*Impacts!$F$8),0)</f>
        <v>0</v>
      </c>
      <c r="M7" s="10">
        <f>IF(Tank2!$C$23="No control",(SUMIF(Tank2!$B$32:$B$49,$J7,Tank2!$C$32:$C$49)*Impacts!$F$9),0)</f>
        <v>0</v>
      </c>
      <c r="N7" s="10">
        <f>IF(Tank3!$C$23="No control",(SUMIF(Tank3!$B$32:$B$49,$J7,Tank3!$C$32:$C$49)*Impacts!$F$10),0)</f>
        <v>0</v>
      </c>
      <c r="O7" s="10">
        <f>IF(Tank4!$C$23="No control",(SUMIF(Tank4!$B$32:$B$49,$J7,Tank4!$C$32:$C$49)*Impacts!$F$11),0)</f>
        <v>0</v>
      </c>
      <c r="P7" s="10">
        <f>IF(Tank5!$C$23="No control",(SUMIF(Tank5!$B$32:$B$49,$J7,Tank5!$C$32:$C$49)*Impacts!$F$12),0)</f>
        <v>0</v>
      </c>
      <c r="Q7" s="10">
        <f>IFERROR(IF(('Loading-drum,tote'!$C$21)="No control",SUMIF(('Loading-drum,tote'!$B$31:$B$48),$J7,('Loading-drum,tote'!$D$31:$D$48))*Impacts!$F$13,IF(('Loading-drum,tote'!$C$21)&lt;&gt;"No control",SUMIF(('Loading-drum,tote'!$B$31:$B$48),$J7,('Loading-drum,tote'!$E$31:$E$48))*Impacts!$F$13,0)),0)</f>
        <v>0</v>
      </c>
      <c r="R7" s="10">
        <f>IFERROR(IF(('Loading-truck'!$C$21)="No control",SUMIF(('Loading-truck'!$B$31:$B$48),$J7,('Loading-truck'!$D$31:$D$48))*Impacts!$F$14,IF(('Loading-truck'!$C$21)&lt;&gt;"No control",SUMIF(('Loading-truck'!$B$31:$B$48),$J7,('Loading-truck'!$E$31:$E$48))*Impacts!$F$14,0)),0)</f>
        <v>0</v>
      </c>
      <c r="S7" s="10">
        <f>IFERROR(IF(('Loading-rail'!$C$21)="No control",SUMIF(('Loading-rail'!$B$31:$B$48),$J7,('Loading-rail'!$D$31:$D$48))*Impacts!$F$15,IF(('Loading-rail'!$C$21)&lt;&gt;"No control",SUMIF(('Loading-rail'!$B$31:$B$48),$J7,('Loading-rail'!$E$31:$E$48))*Impacts!$F$15,0)),0)</f>
        <v>0</v>
      </c>
      <c r="T7" s="10">
        <f>IF(Flare!$C$7="",0,(SUMIF(Flare!$B$46:$B$185,$J7,Flare!$E$46:$E$185)*Impacts!$F$16))</f>
        <v>0</v>
      </c>
      <c r="U7" s="10">
        <f>IF(VCU!$C$9="",0,(SUMIF(VCU!$B$51:$B$193,$J7,VCU!$E$51:$E$193)*Impacts!$F$17))</f>
        <v>0</v>
      </c>
      <c r="V7" s="10">
        <f>IF(CAS!$C$7="",0,(SUMIF(CAS!$B$31:$B$167,$J7,CAS!$E$31:$E$167)*Impacts!$F$18))</f>
        <v>0</v>
      </c>
      <c r="W7" s="10">
        <f t="shared" si="6"/>
        <v>0</v>
      </c>
      <c r="Z7" s="51" t="s">
        <v>8623</v>
      </c>
      <c r="AA7" t="s">
        <v>8682</v>
      </c>
      <c r="AB7" s="20"/>
      <c r="AC7" s="10">
        <f>IF(OR(AI7=0,AI7="",ISNUMBER(MATCH(AI7,$AI$1:AI6,0))),0,MAX($AC$1:AC6)+1)</f>
        <v>0</v>
      </c>
      <c r="AD7" s="10">
        <f>IF(OR(AJ7=0,AJ7="",ISNUMBER(MATCH(AJ7,$AJ$1:AJ6,0))),0,MAX($AD$1:AD6)+1)</f>
        <v>0</v>
      </c>
      <c r="AE7" s="10">
        <f>IF(OR(AK7=0,AK7="",ISNUMBER(MATCH(AK7,$AK$1:AK6,0))),0,MAX($AE$1:AE6)+1)</f>
        <v>0</v>
      </c>
      <c r="AF7" s="10">
        <f>IF(OR(AH7=0,ISNUMBER(MATCH(AH7,$AH$1:AH6,0))),0,MAX($AF$1:AF6)+1)</f>
        <v>0</v>
      </c>
      <c r="AG7" s="10">
        <f>Tank1!$C$23</f>
        <v>0</v>
      </c>
      <c r="AH7" s="10">
        <f>Tank1!A38</f>
        <v>0</v>
      </c>
      <c r="AI7" s="10" t="str">
        <f t="shared" si="0"/>
        <v/>
      </c>
      <c r="AJ7" s="10" t="str">
        <f t="shared" si="1"/>
        <v/>
      </c>
      <c r="AK7" s="10" t="str">
        <f t="shared" si="1"/>
        <v/>
      </c>
      <c r="AL7" s="17" t="str">
        <f t="shared" si="2"/>
        <v/>
      </c>
      <c r="AM7" s="20" t="str">
        <f t="shared" si="3"/>
        <v/>
      </c>
      <c r="AN7" s="10" t="str">
        <f t="shared" si="4"/>
        <v/>
      </c>
      <c r="AO7" s="17" t="str">
        <f t="shared" si="5"/>
        <v/>
      </c>
      <c r="BA7" s="61" t="s">
        <v>8693</v>
      </c>
      <c r="BB7" s="59" t="s">
        <v>8684</v>
      </c>
      <c r="BC7" s="62" t="s">
        <v>8686</v>
      </c>
      <c r="BD7" s="10" t="s">
        <v>10637</v>
      </c>
      <c r="BE7" s="10" t="s">
        <v>67</v>
      </c>
      <c r="BF7" s="10" t="s">
        <v>8972</v>
      </c>
      <c r="BG7" s="897" t="s">
        <v>10631</v>
      </c>
      <c r="BH7" s="72"/>
      <c r="BI7" s="79" t="s">
        <v>8942</v>
      </c>
      <c r="BJ7" s="105" t="s">
        <v>8495</v>
      </c>
      <c r="BK7" s="656">
        <f>Baseline!$B$19</f>
        <v>0</v>
      </c>
      <c r="BL7" s="656">
        <f>IF(ISBLANK(Baseline!$B$6),EmissionSummary!$F$18,Baseline!$B$6)</f>
        <v>0</v>
      </c>
      <c r="BM7" s="656">
        <f>EmissionSummary!$G$18</f>
        <v>0</v>
      </c>
      <c r="BN7" s="656">
        <f>IF(BM7=0,0,BO7+BM7-BK7)</f>
        <v>0</v>
      </c>
      <c r="BO7" s="657">
        <f>EmissionSummary!$F$18</f>
        <v>0</v>
      </c>
      <c r="BP7" s="663">
        <f>BL7+BM7</f>
        <v>0</v>
      </c>
      <c r="BQ7" s="10" t="s">
        <v>21</v>
      </c>
      <c r="BS7" s="1632"/>
      <c r="BT7" s="593" t="s">
        <v>10056</v>
      </c>
      <c r="BU7" s="625" t="s">
        <v>8710</v>
      </c>
      <c r="BV7" s="626" t="b">
        <f>NOT(OR(ISBLANK(Tank3!$C$7),ISBLANK(Tank3!$C$8),$BJ$28))</f>
        <v>0</v>
      </c>
      <c r="BW7" s="600" t="b">
        <v>0</v>
      </c>
      <c r="BX7" s="600" t="b">
        <v>0</v>
      </c>
      <c r="BY7" s="600" t="b">
        <v>0</v>
      </c>
      <c r="BZ7" s="600" t="b">
        <v>0</v>
      </c>
      <c r="CA7" s="600" t="b">
        <v>0</v>
      </c>
      <c r="CB7" s="600" t="b">
        <v>0</v>
      </c>
      <c r="CC7" s="596" t="b">
        <f>NOT(OR(ISBLANK(Tank3!$C$7),ISBLANK(Tank3!$C$8)))</f>
        <v>0</v>
      </c>
      <c r="CD7" s="596"/>
      <c r="CE7" s="596" t="b">
        <f>NOT(OR(ISBLANK(Tank3!$C$7),ISBLANK(Tank3!$C$8)))</f>
        <v>0</v>
      </c>
      <c r="CF7" s="596"/>
      <c r="CG7" s="596"/>
      <c r="CH7" s="596" t="b">
        <f>NOT(OR(ISBLANK(Tank3!$C$7),ISBLANK(Tank3!$C$8)))</f>
        <v>0</v>
      </c>
      <c r="CI7" s="598"/>
    </row>
    <row r="8" spans="1:87" ht="27.75" customHeight="1" x14ac:dyDescent="0.35">
      <c r="B8" s="16" t="s">
        <v>16</v>
      </c>
      <c r="C8" s="10">
        <v>100</v>
      </c>
      <c r="D8" s="10">
        <v>249</v>
      </c>
      <c r="E8" s="17">
        <v>249</v>
      </c>
      <c r="I8" s="436" t="s">
        <v>848</v>
      </c>
      <c r="J8" s="26" t="s">
        <v>847</v>
      </c>
      <c r="K8" s="10">
        <v>45</v>
      </c>
      <c r="L8" s="73">
        <f>IF(Tank1!$C$23="No control",(SUMIF(Tank1!$B$32:$B$49,$J8,Tank1!$C$32:$C$49)*Impacts!$F$8),0)</f>
        <v>0</v>
      </c>
      <c r="M8" s="10">
        <f>IF(Tank2!$C$23="No control",(SUMIF(Tank2!$B$32:$B$49,$J8,Tank2!$C$32:$C$49)*Impacts!$F$9),0)</f>
        <v>0</v>
      </c>
      <c r="N8" s="10">
        <f>IF(Tank3!$C$23="No control",(SUMIF(Tank3!$B$32:$B$49,$J8,Tank3!$C$32:$C$49)*Impacts!$F$10),0)</f>
        <v>0</v>
      </c>
      <c r="O8" s="10">
        <f>IF(Tank4!$C$23="No control",(SUMIF(Tank4!$B$32:$B$49,$J8,Tank4!$C$32:$C$49)*Impacts!$F$11),0)</f>
        <v>0</v>
      </c>
      <c r="P8" s="10">
        <f>IF(Tank5!$C$23="No control",(SUMIF(Tank5!$B$32:$B$49,$J8,Tank5!$C$32:$C$49)*Impacts!$F$12),0)</f>
        <v>0</v>
      </c>
      <c r="Q8" s="10">
        <f>IFERROR(IF(('Loading-drum,tote'!$C$21)="No control",SUMIF(('Loading-drum,tote'!$B$31:$B$48),$J8,('Loading-drum,tote'!$D$31:$D$48))*Impacts!$F$13,IF(('Loading-drum,tote'!$C$21)&lt;&gt;"No control",SUMIF(('Loading-drum,tote'!$B$31:$B$48),$J8,('Loading-drum,tote'!$E$31:$E$48))*Impacts!$F$13,0)),0)</f>
        <v>0</v>
      </c>
      <c r="R8" s="10">
        <f>IFERROR(IF(('Loading-truck'!$C$21)="No control",SUMIF(('Loading-truck'!$B$31:$B$48),$J8,('Loading-truck'!$D$31:$D$48))*Impacts!$F$14,IF(('Loading-truck'!$C$21)&lt;&gt;"No control",SUMIF(('Loading-truck'!$B$31:$B$48),$J8,('Loading-truck'!$E$31:$E$48))*Impacts!$F$14,0)),0)</f>
        <v>0</v>
      </c>
      <c r="S8" s="10">
        <f>IFERROR(IF(('Loading-rail'!$C$21)="No control",SUMIF(('Loading-rail'!$B$31:$B$48),$J8,('Loading-rail'!$D$31:$D$48))*Impacts!$F$15,IF(('Loading-rail'!$C$21)&lt;&gt;"No control",SUMIF(('Loading-rail'!$B$31:$B$48),$J8,('Loading-rail'!$E$31:$E$48))*Impacts!$F$15,0)),0)</f>
        <v>0</v>
      </c>
      <c r="T8" s="10">
        <f>IF(Flare!$C$7="",0,(SUMIF(Flare!$B$46:$B$185,$J8,Flare!$E$46:$E$185)*Impacts!$F$16))</f>
        <v>0</v>
      </c>
      <c r="U8" s="10">
        <f>IF(VCU!$C$9="",0,(SUMIF(VCU!$B$51:$B$193,$J8,VCU!$E$51:$E$193)*Impacts!$F$17))</f>
        <v>0</v>
      </c>
      <c r="V8" s="10">
        <f>IF(CAS!$C$7="",0,(SUMIF(CAS!$B$31:$B$167,$J8,CAS!$E$31:$E$167)*Impacts!$F$18))</f>
        <v>0</v>
      </c>
      <c r="W8" s="10">
        <f t="shared" si="6"/>
        <v>0</v>
      </c>
      <c r="Z8" s="51" t="s">
        <v>8680</v>
      </c>
      <c r="AA8" s="48" t="s">
        <v>8681</v>
      </c>
      <c r="AB8" s="20"/>
      <c r="AC8" s="10">
        <f>IF(OR(AI8=0,AI8="",ISNUMBER(MATCH(AI8,$AI$1:AI7,0))),0,MAX($AC$1:AC7)+1)</f>
        <v>0</v>
      </c>
      <c r="AD8" s="10">
        <f>IF(OR(AJ8=0,AJ8="",ISNUMBER(MATCH(AJ8,$AJ$1:AJ7,0))),0,MAX($AD$1:AD7)+1)</f>
        <v>0</v>
      </c>
      <c r="AE8" s="10">
        <f>IF(OR(AK8=0,AK8="",ISNUMBER(MATCH(AK8,$AK$1:AK7,0))),0,MAX($AE$1:AE7)+1)</f>
        <v>0</v>
      </c>
      <c r="AF8" s="10">
        <f>IF(OR(AH8=0,ISNUMBER(MATCH(AH8,$AH$1:AH7,0))),0,MAX($AF$1:AF7)+1)</f>
        <v>0</v>
      </c>
      <c r="AG8" s="10">
        <f>Tank1!$C$23</f>
        <v>0</v>
      </c>
      <c r="AH8" s="10">
        <f>Tank1!A39</f>
        <v>0</v>
      </c>
      <c r="AI8" s="10" t="str">
        <f t="shared" si="0"/>
        <v/>
      </c>
      <c r="AJ8" s="10" t="str">
        <f t="shared" si="1"/>
        <v/>
      </c>
      <c r="AK8" s="10" t="str">
        <f t="shared" si="1"/>
        <v/>
      </c>
      <c r="AL8" s="17" t="str">
        <f t="shared" si="2"/>
        <v/>
      </c>
      <c r="AM8" s="20" t="str">
        <f t="shared" si="3"/>
        <v/>
      </c>
      <c r="AN8" s="10" t="str">
        <f t="shared" si="4"/>
        <v/>
      </c>
      <c r="AO8" s="17" t="str">
        <f t="shared" si="5"/>
        <v/>
      </c>
      <c r="BA8" s="63" t="s">
        <v>8692</v>
      </c>
      <c r="BB8" s="59" t="s">
        <v>8685</v>
      </c>
      <c r="BC8" s="803" t="s">
        <v>10274</v>
      </c>
      <c r="BD8" s="10" t="s">
        <v>10637</v>
      </c>
      <c r="BE8" s="10" t="s">
        <v>71</v>
      </c>
      <c r="BF8" s="10" t="s">
        <v>8972</v>
      </c>
      <c r="BG8" s="897" t="s">
        <v>10631</v>
      </c>
      <c r="BI8" s="79" t="s">
        <v>8943</v>
      </c>
      <c r="BJ8" s="105" t="s">
        <v>8494</v>
      </c>
      <c r="BK8" s="658">
        <f>Baseline!$C$19</f>
        <v>0</v>
      </c>
      <c r="BL8" s="656">
        <f>IF(ISBLANK(Baseline!$C$6),EmissionSummary!$D$18,Baseline!$C$6)</f>
        <v>0</v>
      </c>
      <c r="BM8" s="656">
        <f>EmissionSummary!$E$18</f>
        <v>0</v>
      </c>
      <c r="BN8" s="656">
        <f t="shared" ref="BN8:BN15" si="9">IF(BM8=0,0,BO8+BM8-BK8)</f>
        <v>0</v>
      </c>
      <c r="BO8" s="657">
        <f>EmissionSummary!$D$18</f>
        <v>0</v>
      </c>
      <c r="BP8" s="663">
        <f t="shared" ref="BP8:BP18" si="10">BL8+BM8</f>
        <v>0</v>
      </c>
      <c r="BQ8" s="10" t="s">
        <v>23</v>
      </c>
      <c r="BS8" s="1632"/>
      <c r="BT8" s="593" t="s">
        <v>10054</v>
      </c>
      <c r="BU8" s="625" t="s">
        <v>8711</v>
      </c>
      <c r="BV8" s="626" t="b">
        <f>NOT(OR(ISBLANK(Tank4!$C$7),ISBLANK(Tank4!$C$8),$BJ$28))</f>
        <v>0</v>
      </c>
      <c r="BW8" s="600" t="b">
        <v>0</v>
      </c>
      <c r="BX8" s="600" t="b">
        <v>0</v>
      </c>
      <c r="BY8" s="600" t="b">
        <v>0</v>
      </c>
      <c r="BZ8" s="600" t="b">
        <v>0</v>
      </c>
      <c r="CA8" s="600" t="b">
        <v>0</v>
      </c>
      <c r="CB8" s="600" t="b">
        <v>0</v>
      </c>
      <c r="CC8" s="596" t="b">
        <f>NOT(OR(ISBLANK(Tank4!$C$7),ISBLANK(Tank4!$C$8)))</f>
        <v>0</v>
      </c>
      <c r="CD8" s="596"/>
      <c r="CE8" s="596" t="b">
        <f>NOT(OR(ISBLANK(Tank4!$C$7),ISBLANK(Tank4!$C$8)))</f>
        <v>0</v>
      </c>
      <c r="CF8" s="596"/>
      <c r="CG8" s="596"/>
      <c r="CH8" s="596" t="b">
        <f>NOT(OR(ISBLANK(Tank4!$C$7),ISBLANK(Tank4!$C$8)))</f>
        <v>0</v>
      </c>
      <c r="CI8" s="598"/>
    </row>
    <row r="9" spans="1:87" ht="21" customHeight="1" thickBot="1" x14ac:dyDescent="0.3">
      <c r="B9" s="16" t="s">
        <v>17</v>
      </c>
      <c r="C9" s="10">
        <v>100</v>
      </c>
      <c r="D9" s="10">
        <v>249</v>
      </c>
      <c r="E9" s="17">
        <v>249</v>
      </c>
      <c r="I9" s="436" t="s">
        <v>7672</v>
      </c>
      <c r="J9" s="26" t="s">
        <v>7671</v>
      </c>
      <c r="K9" s="10">
        <v>0.1</v>
      </c>
      <c r="L9" s="73">
        <f>IF(Tank1!$C$23="No control",(SUMIF(Tank1!$B$32:$B$49,$J9,Tank1!$C$32:$C$49)*Impacts!$F$8),0)</f>
        <v>0</v>
      </c>
      <c r="M9" s="10">
        <f>IF(Tank2!$C$23="No control",(SUMIF(Tank2!$B$32:$B$49,$J9,Tank2!$C$32:$C$49)*Impacts!$F$9),0)</f>
        <v>0</v>
      </c>
      <c r="N9" s="10">
        <f>IF(Tank3!$C$23="No control",(SUMIF(Tank3!$B$32:$B$49,$J9,Tank3!$C$32:$C$49)*Impacts!$F$10),0)</f>
        <v>0</v>
      </c>
      <c r="O9" s="10">
        <f>IF(Tank4!$C$23="No control",(SUMIF(Tank4!$B$32:$B$49,$J9,Tank4!$C$32:$C$49)*Impacts!$F$11),0)</f>
        <v>0</v>
      </c>
      <c r="P9" s="10">
        <f>IF(Tank5!$C$23="No control",(SUMIF(Tank5!$B$32:$B$49,$J9,Tank5!$C$32:$C$49)*Impacts!$F$12),0)</f>
        <v>0</v>
      </c>
      <c r="Q9" s="10">
        <f>IFERROR(IF(('Loading-drum,tote'!$C$21)="No control",SUMIF(('Loading-drum,tote'!$B$31:$B$48),$J9,('Loading-drum,tote'!$D$31:$D$48))*Impacts!$F$13,IF(('Loading-drum,tote'!$C$21)&lt;&gt;"No control",SUMIF(('Loading-drum,tote'!$B$31:$B$48),$J9,('Loading-drum,tote'!$E$31:$E$48))*Impacts!$F$13,0)),0)</f>
        <v>0</v>
      </c>
      <c r="R9" s="10">
        <f>IFERROR(IF(('Loading-truck'!$C$21)="No control",SUMIF(('Loading-truck'!$B$31:$B$48),$J9,('Loading-truck'!$D$31:$D$48))*Impacts!$F$14,IF(('Loading-truck'!$C$21)&lt;&gt;"No control",SUMIF(('Loading-truck'!$B$31:$B$48),$J9,('Loading-truck'!$E$31:$E$48))*Impacts!$F$14,0)),0)</f>
        <v>0</v>
      </c>
      <c r="S9" s="10">
        <f>IFERROR(IF(('Loading-rail'!$C$21)="No control",SUMIF(('Loading-rail'!$B$31:$B$48),$J9,('Loading-rail'!$D$31:$D$48))*Impacts!$F$15,IF(('Loading-rail'!$C$21)&lt;&gt;"No control",SUMIF(('Loading-rail'!$B$31:$B$48),$J9,('Loading-rail'!$E$31:$E$48))*Impacts!$F$15,0)),0)</f>
        <v>0</v>
      </c>
      <c r="T9" s="10">
        <f>IF(Flare!$C$7="",0,(SUMIF(Flare!$B$46:$B$185,$J9,Flare!$E$46:$E$185)*Impacts!$F$16))</f>
        <v>0</v>
      </c>
      <c r="U9" s="10">
        <f>IF(VCU!$C$9="",0,(SUMIF(VCU!$B$51:$B$193,$J9,VCU!$E$51:$E$193)*Impacts!$F$17))</f>
        <v>0</v>
      </c>
      <c r="V9" s="10">
        <f>IF(CAS!$C$7="",0,(SUMIF(CAS!$B$31:$B$167,$J9,CAS!$E$31:$E$167)*Impacts!$F$18))</f>
        <v>0</v>
      </c>
      <c r="W9" s="10">
        <f t="shared" si="6"/>
        <v>0</v>
      </c>
      <c r="Z9" s="51" t="s">
        <v>8639</v>
      </c>
      <c r="AA9" s="52" t="str">
        <f>"Minimum of two carbon canisters in parallel; continuous emissions monitor (CEM) on the carbon" &amp; " bed outlet vent(s), monitor for vacuum during regeneration. Breakthrough concentration of " &amp; CAS!$C$20 &amp; " ppmv."</f>
        <v>Minimum of two carbon canisters in parallel; continuous emissions monitor (CEM) on the carbon bed outlet vent(s), monitor for vacuum during regeneration. Breakthrough concentration of  ppmv.</v>
      </c>
      <c r="AB9" s="20"/>
      <c r="AC9" s="10">
        <f>IF(OR(AI9=0,AI9="",ISNUMBER(MATCH(AI9,$AI$1:AI8,0))),0,MAX($AC$1:AC8)+1)</f>
        <v>0</v>
      </c>
      <c r="AD9" s="10">
        <f>IF(OR(AJ9=0,AJ9="",ISNUMBER(MATCH(AJ9,$AJ$1:AJ8,0))),0,MAX($AD$1:AD8)+1)</f>
        <v>0</v>
      </c>
      <c r="AE9" s="10">
        <f>IF(OR(AK9=0,AK9="",ISNUMBER(MATCH(AK9,$AK$1:AK8,0))),0,MAX($AE$1:AE8)+1)</f>
        <v>0</v>
      </c>
      <c r="AF9" s="10">
        <f>IF(OR(AH9=0,ISNUMBER(MATCH(AH9,$AH$1:AH8,0))),0,MAX($AF$1:AF8)+1)</f>
        <v>0</v>
      </c>
      <c r="AG9" s="10">
        <f>Tank1!$C$23</f>
        <v>0</v>
      </c>
      <c r="AH9" s="10">
        <f>Tank1!A40</f>
        <v>0</v>
      </c>
      <c r="AI9" s="10" t="str">
        <f t="shared" si="0"/>
        <v/>
      </c>
      <c r="AJ9" s="10" t="str">
        <f t="shared" si="1"/>
        <v/>
      </c>
      <c r="AK9" s="10" t="str">
        <f t="shared" si="1"/>
        <v/>
      </c>
      <c r="AL9" s="17" t="str">
        <f t="shared" si="2"/>
        <v/>
      </c>
      <c r="AM9" s="20" t="str">
        <f t="shared" si="3"/>
        <v/>
      </c>
      <c r="AN9" s="10" t="str">
        <f t="shared" si="4"/>
        <v/>
      </c>
      <c r="AO9" s="17" t="str">
        <f t="shared" si="5"/>
        <v/>
      </c>
      <c r="BA9" s="65" t="s">
        <v>8699</v>
      </c>
      <c r="BB9" s="803" t="s">
        <v>10274</v>
      </c>
      <c r="BC9" s="803" t="s">
        <v>10274</v>
      </c>
      <c r="BD9" s="10" t="s">
        <v>10638</v>
      </c>
      <c r="BE9" s="10" t="s">
        <v>81</v>
      </c>
      <c r="BF9" s="10" t="s">
        <v>8944</v>
      </c>
      <c r="BG9" s="10" t="s">
        <v>10633</v>
      </c>
      <c r="BH9" s="10" t="str">
        <f>BE9</f>
        <v>El Paso</v>
      </c>
      <c r="BI9" s="79" t="s">
        <v>8945</v>
      </c>
      <c r="BJ9" s="105" t="s">
        <v>8491</v>
      </c>
      <c r="BK9" s="658">
        <f>Baseline!$D$19</f>
        <v>0</v>
      </c>
      <c r="BL9" s="656">
        <f>IF(ISBLANK(Baseline!$D$6),EmissionSummary!$H$18,Baseline!$D$6)</f>
        <v>0</v>
      </c>
      <c r="BM9" s="656">
        <f>EmissionSummary!$I$18</f>
        <v>0</v>
      </c>
      <c r="BN9" s="656">
        <f t="shared" si="9"/>
        <v>0</v>
      </c>
      <c r="BO9" s="657">
        <f>EmissionSummary!$H$18</f>
        <v>0</v>
      </c>
      <c r="BP9" s="663">
        <f t="shared" si="10"/>
        <v>0</v>
      </c>
      <c r="BQ9" s="10" t="s">
        <v>24</v>
      </c>
      <c r="BS9" s="1632"/>
      <c r="BT9" s="593" t="s">
        <v>10057</v>
      </c>
      <c r="BU9" s="625" t="s">
        <v>8712</v>
      </c>
      <c r="BV9" s="626" t="b">
        <f>NOT(OR(ISBLANK(Tank5!$C$7),ISBLANK(Tank5!$C$8),$BJ$28))</f>
        <v>0</v>
      </c>
      <c r="BW9" s="600" t="b">
        <v>0</v>
      </c>
      <c r="BX9" s="600" t="b">
        <v>0</v>
      </c>
      <c r="BY9" s="600" t="b">
        <v>0</v>
      </c>
      <c r="BZ9" s="600" t="b">
        <v>0</v>
      </c>
      <c r="CA9" s="600" t="b">
        <v>0</v>
      </c>
      <c r="CB9" s="600" t="b">
        <v>0</v>
      </c>
      <c r="CC9" s="596" t="b">
        <f>NOT(OR(ISBLANK(Tank5!$C$7),ISBLANK(Tank5!$C$8)))</f>
        <v>0</v>
      </c>
      <c r="CD9" s="596"/>
      <c r="CE9" s="596" t="b">
        <f>NOT(OR(ISBLANK(Tank5!$C$7),ISBLANK(Tank5!$C$8)))</f>
        <v>0</v>
      </c>
      <c r="CF9" s="596"/>
      <c r="CG9" s="596"/>
      <c r="CH9" s="596" t="b">
        <f>NOT(OR(ISBLANK(Tank5!$C$7),ISBLANK(Tank5!$C$8)))</f>
        <v>0</v>
      </c>
      <c r="CI9" s="598"/>
    </row>
    <row r="10" spans="1:87" ht="21" customHeight="1" thickBot="1" x14ac:dyDescent="0.4">
      <c r="B10" s="16" t="s">
        <v>18</v>
      </c>
      <c r="C10" s="10">
        <v>100</v>
      </c>
      <c r="D10" s="10">
        <v>249</v>
      </c>
      <c r="E10" s="17">
        <v>249</v>
      </c>
      <c r="I10" s="436" t="s">
        <v>6594</v>
      </c>
      <c r="J10" s="26" t="s">
        <v>6593</v>
      </c>
      <c r="K10" s="10">
        <v>0.60000000000000009</v>
      </c>
      <c r="L10" s="73">
        <f>IF(Tank1!$C$23="No control",(SUMIF(Tank1!$B$32:$B$49,$J10,Tank1!$C$32:$C$49)*Impacts!$F$8),0)</f>
        <v>0</v>
      </c>
      <c r="M10" s="10">
        <f>IF(Tank2!$C$23="No control",(SUMIF(Tank2!$B$32:$B$49,$J10,Tank2!$C$32:$C$49)*Impacts!$F$9),0)</f>
        <v>0</v>
      </c>
      <c r="N10" s="10">
        <f>IF(Tank3!$C$23="No control",(SUMIF(Tank3!$B$32:$B$49,$J10,Tank3!$C$32:$C$49)*Impacts!$F$10),0)</f>
        <v>0</v>
      </c>
      <c r="O10" s="10">
        <f>IF(Tank4!$C$23="No control",(SUMIF(Tank4!$B$32:$B$49,$J10,Tank4!$C$32:$C$49)*Impacts!$F$11),0)</f>
        <v>0</v>
      </c>
      <c r="P10" s="10">
        <f>IF(Tank5!$C$23="No control",(SUMIF(Tank5!$B$32:$B$49,$J10,Tank5!$C$32:$C$49)*Impacts!$F$12),0)</f>
        <v>0</v>
      </c>
      <c r="Q10" s="10">
        <f>IFERROR(IF(('Loading-drum,tote'!$C$21)="No control",SUMIF(('Loading-drum,tote'!$B$31:$B$48),$J10,('Loading-drum,tote'!$D$31:$D$48))*Impacts!$F$13,IF(('Loading-drum,tote'!$C$21)&lt;&gt;"No control",SUMIF(('Loading-drum,tote'!$B$31:$B$48),$J10,('Loading-drum,tote'!$E$31:$E$48))*Impacts!$F$13,0)),0)</f>
        <v>0</v>
      </c>
      <c r="R10" s="10">
        <f>IFERROR(IF(('Loading-truck'!$C$21)="No control",SUMIF(('Loading-truck'!$B$31:$B$48),$J10,('Loading-truck'!$D$31:$D$48))*Impacts!$F$14,IF(('Loading-truck'!$C$21)&lt;&gt;"No control",SUMIF(('Loading-truck'!$B$31:$B$48),$J10,('Loading-truck'!$E$31:$E$48))*Impacts!$F$14,0)),0)</f>
        <v>0</v>
      </c>
      <c r="S10" s="10">
        <f>IFERROR(IF(('Loading-rail'!$C$21)="No control",SUMIF(('Loading-rail'!$B$31:$B$48),$J10,('Loading-rail'!$D$31:$D$48))*Impacts!$F$15,IF(('Loading-rail'!$C$21)&lt;&gt;"No control",SUMIF(('Loading-rail'!$B$31:$B$48),$J10,('Loading-rail'!$E$31:$E$48))*Impacts!$F$15,0)),0)</f>
        <v>0</v>
      </c>
      <c r="T10" s="10">
        <f>IF(Flare!$C$7="",0,(SUMIF(Flare!$B$46:$B$185,$J10,Flare!$E$46:$E$185)*Impacts!$F$16))</f>
        <v>0</v>
      </c>
      <c r="U10" s="10">
        <f>IF(VCU!$C$9="",0,(SUMIF(VCU!$B$51:$B$193,$J10,VCU!$E$51:$E$193)*Impacts!$F$17))</f>
        <v>0</v>
      </c>
      <c r="V10" s="10">
        <f>IF(CAS!$C$7="",0,(SUMIF(CAS!$B$31:$B$167,$J10,CAS!$E$31:$E$167)*Impacts!$F$18))</f>
        <v>0</v>
      </c>
      <c r="W10" s="10">
        <f t="shared" si="6"/>
        <v>0</v>
      </c>
      <c r="Z10" s="51" t="s">
        <v>8624</v>
      </c>
      <c r="AA10" s="48" t="str">
        <f>"Minimum of two carbon canisters in series; continuous emissions monitor (CEM)" &amp; " and recorder before the last canister, but periodic monitoring before the last canister may be acceptable for single compound or low use rate systems.  Breakthrough concentration of " &amp; CAS!$C$20 &amp; " ppmv."</f>
        <v>Minimum of two carbon canisters in series; continuous emissions monitor (CEM) and recorder before the last canister, but periodic monitoring before the last canister may be acceptable for single compound or low use rate systems.  Breakthrough concentration of  ppmv.</v>
      </c>
      <c r="AB10" s="20"/>
      <c r="AC10" s="10">
        <f>IF(OR(AI10=0,AI10="",ISNUMBER(MATCH(AI10,$AI$1:AI9,0))),0,MAX($AC$1:AC9)+1)</f>
        <v>0</v>
      </c>
      <c r="AD10" s="10">
        <f>IF(OR(AJ10=0,AJ10="",ISNUMBER(MATCH(AJ10,$AJ$1:AJ9,0))),0,MAX($AD$1:AD9)+1)</f>
        <v>0</v>
      </c>
      <c r="AE10" s="10">
        <f>IF(OR(AK10=0,AK10="",ISNUMBER(MATCH(AK10,$AK$1:AK9,0))),0,MAX($AE$1:AE9)+1)</f>
        <v>0</v>
      </c>
      <c r="AF10" s="10">
        <f>IF(OR(AH10=0,ISNUMBER(MATCH(AH10,$AH$1:AH9,0))),0,MAX($AF$1:AF9)+1)</f>
        <v>0</v>
      </c>
      <c r="AG10" s="10">
        <f>Tank1!$C$23</f>
        <v>0</v>
      </c>
      <c r="AH10" s="10">
        <f>Tank1!A41</f>
        <v>0</v>
      </c>
      <c r="AI10" s="10" t="str">
        <f t="shared" si="0"/>
        <v/>
      </c>
      <c r="AJ10" s="10" t="str">
        <f t="shared" si="1"/>
        <v/>
      </c>
      <c r="AK10" s="10" t="str">
        <f t="shared" si="1"/>
        <v/>
      </c>
      <c r="AL10" s="17" t="str">
        <f t="shared" si="2"/>
        <v/>
      </c>
      <c r="AM10" s="20" t="str">
        <f t="shared" si="3"/>
        <v/>
      </c>
      <c r="AN10" s="10" t="str">
        <f t="shared" si="4"/>
        <v/>
      </c>
      <c r="AO10" s="17" t="str">
        <f t="shared" si="5"/>
        <v/>
      </c>
      <c r="BA10" s="60" t="s">
        <v>8690</v>
      </c>
      <c r="BB10" s="67" t="s">
        <v>8691</v>
      </c>
      <c r="BC10" s="68" t="s">
        <v>8694</v>
      </c>
      <c r="BD10" s="10" t="s">
        <v>10637</v>
      </c>
      <c r="BE10" s="10" t="s">
        <v>80</v>
      </c>
      <c r="BF10" s="10" t="s">
        <v>8972</v>
      </c>
      <c r="BG10" s="897" t="s">
        <v>10631</v>
      </c>
      <c r="BI10" s="79" t="s">
        <v>8946</v>
      </c>
      <c r="BJ10" s="105" t="s">
        <v>8492</v>
      </c>
      <c r="BK10" s="658">
        <f>Baseline!$E$19</f>
        <v>0</v>
      </c>
      <c r="BL10" s="656">
        <f>IF(ISBLANK(Baseline!$E$6),EmissionSummary!$J$18,Baseline!$E$6)</f>
        <v>0</v>
      </c>
      <c r="BM10" s="656">
        <f>EmissionSummary!$K$18</f>
        <v>0</v>
      </c>
      <c r="BN10" s="656">
        <f t="shared" si="9"/>
        <v>0</v>
      </c>
      <c r="BO10" s="657">
        <f>EmissionSummary!$J$18</f>
        <v>0</v>
      </c>
      <c r="BP10" s="663">
        <f t="shared" si="10"/>
        <v>0</v>
      </c>
      <c r="BQ10" s="10" t="s">
        <v>25</v>
      </c>
      <c r="BS10" s="1633"/>
      <c r="BT10" s="594" t="s">
        <v>10053</v>
      </c>
      <c r="BU10" s="625" t="s">
        <v>8647</v>
      </c>
      <c r="BV10" s="626" t="b">
        <f>NOT(OR(ISBLANK('Loading-drum,tote'!$C$7),ISBLANK('Loading-drum,tote'!$C$8),$BJ$28))</f>
        <v>0</v>
      </c>
      <c r="BW10" s="596" t="b">
        <f>NOT(OR(ISBLANK('Loading-drum,tote'!$C$7),ISBLANK('Loading-drum,tote'!$C$8),$BJ$28))</f>
        <v>0</v>
      </c>
      <c r="BX10" s="596" t="b">
        <f>NOT(OR(ISBLANK('Loading-drum,tote'!$C$7),ISBLANK('Loading-drum,tote'!$C$8),$BJ$28))</f>
        <v>0</v>
      </c>
      <c r="BY10" s="596" t="b">
        <f>NOT(OR(ISBLANK('Loading-drum,tote'!$C$7),ISBLANK('Loading-drum,tote'!$C$8),$BJ$28))</f>
        <v>0</v>
      </c>
      <c r="BZ10" s="596" t="b">
        <f>NOT(OR(ISBLANK('Loading-drum,tote'!$C$7),ISBLANK('Loading-drum,tote'!$C$8),$BJ$28))</f>
        <v>0</v>
      </c>
      <c r="CA10" s="596" t="b">
        <f>NOT(OR(ISBLANK('Loading-drum,tote'!$C$7),ISBLANK('Loading-drum,tote'!$C$8),$BJ$28))</f>
        <v>0</v>
      </c>
      <c r="CB10" s="596" t="b">
        <f>NOT(OR(ISBLANK('Loading-drum,tote'!$C$7),ISBLANK('Loading-drum,tote'!$C$8),$BJ$28))</f>
        <v>0</v>
      </c>
      <c r="CC10" s="596" t="b">
        <f>NOT(OR(ISBLANK('Loading-drum,tote'!$C$7),ISBLANK('Loading-drum,tote'!$C$8),$BJ$28))</f>
        <v>0</v>
      </c>
      <c r="CD10" s="596"/>
      <c r="CE10" s="596" t="b">
        <f>NOT(OR(ISBLANK('Loading-drum,tote'!$C$7),ISBLANK('Loading-drum,tote'!$C$8),$BJ$28))</f>
        <v>0</v>
      </c>
      <c r="CF10" s="596"/>
      <c r="CG10" s="596"/>
      <c r="CH10" s="596" t="b">
        <f>NOT(OR(ISBLANK('Loading-drum,tote'!$C$7),ISBLANK('Loading-drum,tote'!$C$8),$BJ$28))</f>
        <v>0</v>
      </c>
      <c r="CI10" s="598"/>
    </row>
    <row r="11" spans="1:87" ht="165.75" customHeight="1" x14ac:dyDescent="0.35">
      <c r="B11" s="16" t="s">
        <v>19</v>
      </c>
      <c r="C11" s="10">
        <v>100</v>
      </c>
      <c r="D11" s="10">
        <v>249</v>
      </c>
      <c r="E11" s="17">
        <v>249</v>
      </c>
      <c r="I11" s="436" t="s">
        <v>7222</v>
      </c>
      <c r="J11" s="26" t="s">
        <v>7221</v>
      </c>
      <c r="K11" s="10">
        <v>0.30000000000000004</v>
      </c>
      <c r="L11" s="73">
        <f>IF(Tank1!$C$23="No control",(SUMIF(Tank1!$B$32:$B$49,$J11,Tank1!$C$32:$C$49)*Impacts!$F$8),0)</f>
        <v>0</v>
      </c>
      <c r="M11" s="10">
        <f>IF(Tank2!$C$23="No control",(SUMIF(Tank2!$B$32:$B$49,$J11,Tank2!$C$32:$C$49)*Impacts!$F$9),0)</f>
        <v>0</v>
      </c>
      <c r="N11" s="10">
        <f>IF(Tank3!$C$23="No control",(SUMIF(Tank3!$B$32:$B$49,$J11,Tank3!$C$32:$C$49)*Impacts!$F$10),0)</f>
        <v>0</v>
      </c>
      <c r="O11" s="10">
        <f>IF(Tank4!$C$23="No control",(SUMIF(Tank4!$B$32:$B$49,$J11,Tank4!$C$32:$C$49)*Impacts!$F$11),0)</f>
        <v>0</v>
      </c>
      <c r="P11" s="10">
        <f>IF(Tank5!$C$23="No control",(SUMIF(Tank5!$B$32:$B$49,$J11,Tank5!$C$32:$C$49)*Impacts!$F$12),0)</f>
        <v>0</v>
      </c>
      <c r="Q11" s="10">
        <f>IFERROR(IF(('Loading-drum,tote'!$C$21)="No control",SUMIF(('Loading-drum,tote'!$B$31:$B$48),$J11,('Loading-drum,tote'!$D$31:$D$48))*Impacts!$F$13,IF(('Loading-drum,tote'!$C$21)&lt;&gt;"No control",SUMIF(('Loading-drum,tote'!$B$31:$B$48),$J11,('Loading-drum,tote'!$E$31:$E$48))*Impacts!$F$13,0)),0)</f>
        <v>0</v>
      </c>
      <c r="R11" s="10">
        <f>IFERROR(IF(('Loading-truck'!$C$21)="No control",SUMIF(('Loading-truck'!$B$31:$B$48),$J11,('Loading-truck'!$D$31:$D$48))*Impacts!$F$14,IF(('Loading-truck'!$C$21)&lt;&gt;"No control",SUMIF(('Loading-truck'!$B$31:$B$48),$J11,('Loading-truck'!$E$31:$E$48))*Impacts!$F$14,0)),0)</f>
        <v>0</v>
      </c>
      <c r="S11" s="10">
        <f>IFERROR(IF(('Loading-rail'!$C$21)="No control",SUMIF(('Loading-rail'!$B$31:$B$48),$J11,('Loading-rail'!$D$31:$D$48))*Impacts!$F$15,IF(('Loading-rail'!$C$21)&lt;&gt;"No control",SUMIF(('Loading-rail'!$B$31:$B$48),$J11,('Loading-rail'!$E$31:$E$48))*Impacts!$F$15,0)),0)</f>
        <v>0</v>
      </c>
      <c r="T11" s="10">
        <f>IF(Flare!$C$7="",0,(SUMIF(Flare!$B$46:$B$185,$J11,Flare!$E$46:$E$185)*Impacts!$F$16))</f>
        <v>0</v>
      </c>
      <c r="U11" s="10">
        <f>IF(VCU!$C$9="",0,(SUMIF(VCU!$B$51:$B$193,$J11,VCU!$E$51:$E$193)*Impacts!$F$17))</f>
        <v>0</v>
      </c>
      <c r="V11" s="10">
        <f>IF(CAS!$C$7="",0,(SUMIF(CAS!$B$31:$B$167,$J11,CAS!$E$31:$E$167)*Impacts!$F$18))</f>
        <v>0</v>
      </c>
      <c r="W11" s="10">
        <f t="shared" si="6"/>
        <v>0</v>
      </c>
      <c r="Z11" s="51" t="s">
        <v>272</v>
      </c>
      <c r="AA11" s="48" t="s">
        <v>8687</v>
      </c>
      <c r="AB11" s="20"/>
      <c r="AC11" s="10">
        <f>IF(OR(AI11=0,AI11="",ISNUMBER(MATCH(AI11,$AI$1:AI10,0))),0,MAX($AC$1:AC10)+1)</f>
        <v>0</v>
      </c>
      <c r="AD11" s="10">
        <f>IF(OR(AJ11=0,AJ11="",ISNUMBER(MATCH(AJ11,$AJ$1:AJ10,0))),0,MAX($AD$1:AD10)+1)</f>
        <v>0</v>
      </c>
      <c r="AE11" s="10">
        <f>IF(OR(AK11=0,AK11="",ISNUMBER(MATCH(AK11,$AK$1:AK10,0))),0,MAX($AE$1:AE10)+1)</f>
        <v>0</v>
      </c>
      <c r="AF11" s="10">
        <f>IF(OR(AH11=0,ISNUMBER(MATCH(AH11,$AH$1:AH10,0))),0,MAX($AF$1:AF10)+1)</f>
        <v>0</v>
      </c>
      <c r="AG11" s="10">
        <f>Tank1!$C$23</f>
        <v>0</v>
      </c>
      <c r="AH11" s="10">
        <f>Tank1!A42</f>
        <v>0</v>
      </c>
      <c r="AI11" s="10" t="str">
        <f t="shared" si="0"/>
        <v/>
      </c>
      <c r="AJ11" s="10" t="str">
        <f t="shared" si="1"/>
        <v/>
      </c>
      <c r="AK11" s="10" t="str">
        <f t="shared" si="1"/>
        <v/>
      </c>
      <c r="AL11" s="17" t="str">
        <f t="shared" si="2"/>
        <v/>
      </c>
      <c r="AM11" s="20" t="str">
        <f t="shared" si="3"/>
        <v/>
      </c>
      <c r="AN11" s="10" t="str">
        <f t="shared" si="4"/>
        <v/>
      </c>
      <c r="AO11" s="17" t="str">
        <f t="shared" si="5"/>
        <v/>
      </c>
      <c r="BA11" s="61" t="s">
        <v>8693</v>
      </c>
      <c r="BB11" s="59" t="s">
        <v>8698</v>
      </c>
      <c r="BC11" s="62" t="s">
        <v>8697</v>
      </c>
      <c r="BD11" s="10" t="s">
        <v>10637</v>
      </c>
      <c r="BE11" s="10" t="s">
        <v>89</v>
      </c>
      <c r="BF11" s="10" t="s">
        <v>8972</v>
      </c>
      <c r="BG11" s="897" t="s">
        <v>10631</v>
      </c>
      <c r="BH11" s="72"/>
      <c r="BI11" s="79" t="s">
        <v>8947</v>
      </c>
      <c r="BJ11" s="105" t="s">
        <v>8493</v>
      </c>
      <c r="BK11" s="658">
        <f>Baseline!$F$19</f>
        <v>0</v>
      </c>
      <c r="BL11" s="656">
        <f>IF(ISBLANK(Baseline!$F$6),EmissionSummary!$L$18,Baseline!$F$6)</f>
        <v>0</v>
      </c>
      <c r="BM11" s="656">
        <f>EmissionSummary!$M$18</f>
        <v>0</v>
      </c>
      <c r="BN11" s="656">
        <f t="shared" si="9"/>
        <v>0</v>
      </c>
      <c r="BO11" s="657">
        <f>EmissionSummary!$L$18</f>
        <v>0</v>
      </c>
      <c r="BP11" s="663">
        <f t="shared" si="10"/>
        <v>0</v>
      </c>
      <c r="BQ11" s="10" t="s">
        <v>28</v>
      </c>
      <c r="BS11" s="1631" t="s">
        <v>10048</v>
      </c>
      <c r="BT11" s="595" t="s">
        <v>10058</v>
      </c>
      <c r="BU11" s="625" t="s">
        <v>8648</v>
      </c>
      <c r="BV11" s="626" t="b">
        <f>NOT(OR(ISBLANK('Loading-truck'!$C$7),ISBLANK('Loading-truck'!$C$8),$BJ$28))</f>
        <v>0</v>
      </c>
      <c r="BW11" s="596" t="b">
        <f>NOT(OR(ISBLANK('Loading-truck'!$C$7),ISBLANK('Loading-truck'!$C$8),$BJ$28))</f>
        <v>0</v>
      </c>
      <c r="BX11" s="596" t="b">
        <f>NOT(OR(ISBLANK('Loading-truck'!$C$7),ISBLANK('Loading-truck'!$C$8),$BJ$28))</f>
        <v>0</v>
      </c>
      <c r="BY11" s="596" t="b">
        <f>NOT(OR(ISBLANK('Loading-truck'!$C$7),ISBLANK('Loading-truck'!$C$8),$BJ$28))</f>
        <v>0</v>
      </c>
      <c r="BZ11" s="596" t="b">
        <f>NOT(OR(ISBLANK('Loading-truck'!$C$7),ISBLANK('Loading-truck'!$C$8),$BJ$28))</f>
        <v>0</v>
      </c>
      <c r="CA11" s="596" t="b">
        <f>NOT(OR(ISBLANK('Loading-truck'!$C$7),ISBLANK('Loading-truck'!$C$8),$BJ$28))</f>
        <v>0</v>
      </c>
      <c r="CB11" s="596" t="b">
        <f>NOT(OR(ISBLANK('Loading-truck'!$C$7),ISBLANK('Loading-truck'!$C$8),$BJ$28))</f>
        <v>0</v>
      </c>
      <c r="CC11" s="596" t="b">
        <f>NOT(OR(ISBLANK('Loading-truck'!$C$7),ISBLANK('Loading-truck'!$C$8),$BJ$28))</f>
        <v>0</v>
      </c>
      <c r="CD11" s="596"/>
      <c r="CE11" s="596" t="b">
        <f>NOT(OR(ISBLANK('Loading-truck'!$C$7),ISBLANK('Loading-truck'!$C$8),$BJ$28))</f>
        <v>0</v>
      </c>
      <c r="CF11" s="596"/>
      <c r="CG11" s="596"/>
      <c r="CH11" s="596" t="b">
        <f>NOT(OR(ISBLANK('Loading-truck'!$C$7),ISBLANK('Loading-truck'!$C$8),$BJ$28))</f>
        <v>0</v>
      </c>
      <c r="CI11" s="598"/>
    </row>
    <row r="12" spans="1:87" ht="21" customHeight="1" x14ac:dyDescent="0.35">
      <c r="B12" s="16" t="s">
        <v>20</v>
      </c>
      <c r="C12" s="10">
        <v>100</v>
      </c>
      <c r="D12" s="10">
        <v>249</v>
      </c>
      <c r="E12" s="17">
        <v>249</v>
      </c>
      <c r="I12" s="436" t="s">
        <v>7856</v>
      </c>
      <c r="J12" s="26" t="s">
        <v>7855</v>
      </c>
      <c r="K12" s="10">
        <v>0.06</v>
      </c>
      <c r="L12" s="73">
        <f>IF(Tank1!$C$23="No control",(SUMIF(Tank1!$B$32:$B$49,$J12,Tank1!$C$32:$C$49)*Impacts!$F$8),0)</f>
        <v>0</v>
      </c>
      <c r="M12" s="10">
        <f>IF(Tank2!$C$23="No control",(SUMIF(Tank2!$B$32:$B$49,$J12,Tank2!$C$32:$C$49)*Impacts!$F$9),0)</f>
        <v>0</v>
      </c>
      <c r="N12" s="10">
        <f>IF(Tank3!$C$23="No control",(SUMIF(Tank3!$B$32:$B$49,$J12,Tank3!$C$32:$C$49)*Impacts!$F$10),0)</f>
        <v>0</v>
      </c>
      <c r="O12" s="10">
        <f>IF(Tank4!$C$23="No control",(SUMIF(Tank4!$B$32:$B$49,$J12,Tank4!$C$32:$C$49)*Impacts!$F$11),0)</f>
        <v>0</v>
      </c>
      <c r="P12" s="10">
        <f>IF(Tank5!$C$23="No control",(SUMIF(Tank5!$B$32:$B$49,$J12,Tank5!$C$32:$C$49)*Impacts!$F$12),0)</f>
        <v>0</v>
      </c>
      <c r="Q12" s="10">
        <f>IFERROR(IF(('Loading-drum,tote'!$C$21)="No control",SUMIF(('Loading-drum,tote'!$B$31:$B$48),$J12,('Loading-drum,tote'!$D$31:$D$48))*Impacts!$F$13,IF(('Loading-drum,tote'!$C$21)&lt;&gt;"No control",SUMIF(('Loading-drum,tote'!$B$31:$B$48),$J12,('Loading-drum,tote'!$E$31:$E$48))*Impacts!$F$13,0)),0)</f>
        <v>0</v>
      </c>
      <c r="R12" s="10">
        <f>IFERROR(IF(('Loading-truck'!$C$21)="No control",SUMIF(('Loading-truck'!$B$31:$B$48),$J12,('Loading-truck'!$D$31:$D$48))*Impacts!$F$14,IF(('Loading-truck'!$C$21)&lt;&gt;"No control",SUMIF(('Loading-truck'!$B$31:$B$48),$J12,('Loading-truck'!$E$31:$E$48))*Impacts!$F$14,0)),0)</f>
        <v>0</v>
      </c>
      <c r="S12" s="10">
        <f>IFERROR(IF(('Loading-rail'!$C$21)="No control",SUMIF(('Loading-rail'!$B$31:$B$48),$J12,('Loading-rail'!$D$31:$D$48))*Impacts!$F$15,IF(('Loading-rail'!$C$21)&lt;&gt;"No control",SUMIF(('Loading-rail'!$B$31:$B$48),$J12,('Loading-rail'!$E$31:$E$48))*Impacts!$F$15,0)),0)</f>
        <v>0</v>
      </c>
      <c r="T12" s="10">
        <f>IF(Flare!$C$7="",0,(SUMIF(Flare!$B$46:$B$185,$J12,Flare!$E$46:$E$185)*Impacts!$F$16))</f>
        <v>0</v>
      </c>
      <c r="U12" s="10">
        <f>IF(VCU!$C$9="",0,(SUMIF(VCU!$B$51:$B$193,$J12,VCU!$E$51:$E$193)*Impacts!$F$17))</f>
        <v>0</v>
      </c>
      <c r="V12" s="10">
        <f>IF(CAS!$C$7="",0,(SUMIF(CAS!$B$31:$B$167,$J12,CAS!$E$31:$E$167)*Impacts!$F$18))</f>
        <v>0</v>
      </c>
      <c r="W12" s="10">
        <f t="shared" si="6"/>
        <v>0</v>
      </c>
      <c r="Z12" s="35" t="s">
        <v>8628</v>
      </c>
      <c r="AA12" s="36" t="str">
        <f>"VOC: Flare meets 40 CFR 60.18 or 60.670-671 and has a conservatively represented destruction efficiency of 98% for this project. No flaring of halogenated compounds is allowed. Flow monitor is required. A composition or BTU analyzer may be required. " &amp; AA13 &amp; AA14 &amp; AA15</f>
        <v>VOC: Flare meets 40 CFR 60.18 or 60.670-671 and has a conservatively represented destruction efficiency of 98% for this project. No flaring of halogenated compounds is allowed. Flow monitor is required. A composition or BTU analyzer may be required.  NOx: Flare meets an emission factor of  lb/MMBtu. CO: Flare meets an emission factor of  lb/MMBtu. SO2: The H2S content of the stream is limited to  grains/100 scf.</v>
      </c>
      <c r="AB12" s="20"/>
      <c r="AC12" s="10">
        <f>IF(OR(AI12=0,AI12="",ISNUMBER(MATCH(AI12,$AI$1:AI11,0))),0,MAX($AC$1:AC11)+1)</f>
        <v>0</v>
      </c>
      <c r="AD12" s="10">
        <f>IF(OR(AJ12=0,AJ12="",ISNUMBER(MATCH(AJ12,$AJ$1:AJ11,0))),0,MAX($AD$1:AD11)+1)</f>
        <v>0</v>
      </c>
      <c r="AE12" s="10">
        <f>IF(OR(AK12=0,AK12="",ISNUMBER(MATCH(AK12,$AK$1:AK11,0))),0,MAX($AE$1:AE11)+1)</f>
        <v>0</v>
      </c>
      <c r="AF12" s="10">
        <f>IF(OR(AH12=0,ISNUMBER(MATCH(AH12,$AH$1:AH11,0))),0,MAX($AF$1:AF11)+1)</f>
        <v>0</v>
      </c>
      <c r="AG12" s="10">
        <f>Tank1!$C$23</f>
        <v>0</v>
      </c>
      <c r="AH12" s="10">
        <f>Tank1!A43</f>
        <v>0</v>
      </c>
      <c r="AI12" s="10" t="str">
        <f t="shared" si="0"/>
        <v/>
      </c>
      <c r="AJ12" s="10" t="str">
        <f t="shared" si="1"/>
        <v/>
      </c>
      <c r="AK12" s="10" t="str">
        <f t="shared" si="1"/>
        <v/>
      </c>
      <c r="AL12" s="17" t="str">
        <f t="shared" si="2"/>
        <v/>
      </c>
      <c r="AM12" s="20" t="str">
        <f t="shared" si="3"/>
        <v/>
      </c>
      <c r="AN12" s="10" t="str">
        <f t="shared" si="4"/>
        <v/>
      </c>
      <c r="AO12" s="17" t="str">
        <f t="shared" si="5"/>
        <v/>
      </c>
      <c r="BA12" s="63" t="s">
        <v>8692</v>
      </c>
      <c r="BB12" s="89" t="s">
        <v>8698</v>
      </c>
      <c r="BC12" s="69" t="s">
        <v>8683</v>
      </c>
      <c r="BD12" s="10" t="s">
        <v>10637</v>
      </c>
      <c r="BE12" s="10" t="s">
        <v>91</v>
      </c>
      <c r="BF12" s="10" t="s">
        <v>8937</v>
      </c>
      <c r="BH12" s="10" t="str">
        <f>BE12</f>
        <v>Freestone</v>
      </c>
      <c r="BI12" s="79" t="s">
        <v>8948</v>
      </c>
      <c r="BJ12" s="105" t="s">
        <v>8496</v>
      </c>
      <c r="BK12" s="658">
        <f>Baseline!$G$19</f>
        <v>0</v>
      </c>
      <c r="BL12" s="656">
        <f>IF(ISBLANK(Baseline!$G$6),EmissionSummary!$P$18,Baseline!$G$6)</f>
        <v>0</v>
      </c>
      <c r="BM12" s="656">
        <f>EmissionSummary!$Q$18</f>
        <v>0</v>
      </c>
      <c r="BN12" s="656">
        <f t="shared" si="9"/>
        <v>0</v>
      </c>
      <c r="BO12" s="657">
        <f>EmissionSummary!$P$18</f>
        <v>0</v>
      </c>
      <c r="BP12" s="663">
        <f t="shared" si="10"/>
        <v>0</v>
      </c>
      <c r="BQ12" s="10" t="s">
        <v>29</v>
      </c>
      <c r="BS12" s="1632"/>
      <c r="BT12" s="593" t="s">
        <v>10050</v>
      </c>
      <c r="BU12" s="638" t="s">
        <v>8649</v>
      </c>
      <c r="BV12" s="626" t="b">
        <f>NOT(OR(ISBLANK('Loading-rail'!$C$7),ISBLANK('Loading-rail'!$C$8),$BJ$28))</f>
        <v>0</v>
      </c>
      <c r="BW12" s="596" t="b">
        <f>NOT(OR(ISBLANK('Loading-rail'!$C$7),ISBLANK('Loading-rail'!$C$8),$BJ$28))</f>
        <v>0</v>
      </c>
      <c r="BX12" s="596" t="b">
        <f>NOT(OR(ISBLANK('Loading-rail'!$C$7),ISBLANK('Loading-rail'!$C$8),$BJ$28))</f>
        <v>0</v>
      </c>
      <c r="BY12" s="596" t="b">
        <f>NOT(OR(ISBLANK('Loading-rail'!$C$7),ISBLANK('Loading-rail'!$C$8),$BJ$28))</f>
        <v>0</v>
      </c>
      <c r="BZ12" s="596" t="b">
        <f>NOT(OR(ISBLANK('Loading-rail'!$C$7),ISBLANK('Loading-rail'!$C$8),$BJ$28))</f>
        <v>0</v>
      </c>
      <c r="CA12" s="596" t="b">
        <f>NOT(OR(ISBLANK('Loading-rail'!$C$7),ISBLANK('Loading-rail'!$C$8),$BJ$28))</f>
        <v>0</v>
      </c>
      <c r="CB12" s="596" t="b">
        <f>NOT(OR(ISBLANK('Loading-rail'!$C$7),ISBLANK('Loading-rail'!$C$8),$BJ$28))</f>
        <v>0</v>
      </c>
      <c r="CC12" s="596" t="b">
        <f>NOT(OR(ISBLANK('Loading-rail'!$C$7),ISBLANK('Loading-rail'!$C$8),$BJ$28))</f>
        <v>0</v>
      </c>
      <c r="CD12" s="596"/>
      <c r="CE12" s="596" t="b">
        <f>NOT(OR(ISBLANK('Loading-rail'!$C$7),ISBLANK('Loading-rail'!$C$8),$BJ$28))</f>
        <v>0</v>
      </c>
      <c r="CF12" s="596"/>
      <c r="CG12" s="596"/>
      <c r="CH12" s="596" t="b">
        <f>NOT(OR(ISBLANK('Loading-rail'!$C$7),ISBLANK('Loading-rail'!$C$8),$BJ$28))</f>
        <v>0</v>
      </c>
      <c r="CI12" s="598"/>
    </row>
    <row r="13" spans="1:87" ht="21" customHeight="1" thickBot="1" x14ac:dyDescent="0.3">
      <c r="B13" s="16" t="s">
        <v>21</v>
      </c>
      <c r="C13" s="10">
        <v>100</v>
      </c>
      <c r="D13" s="10">
        <v>249</v>
      </c>
      <c r="E13" s="17">
        <v>249</v>
      </c>
      <c r="I13" s="436" t="s">
        <v>6490</v>
      </c>
      <c r="J13" s="26" t="s">
        <v>6489</v>
      </c>
      <c r="K13" s="10">
        <v>0.70000000000000007</v>
      </c>
      <c r="L13" s="73">
        <f>IF(Tank1!$C$23="No control",(SUMIF(Tank1!$B$32:$B$49,$J13,Tank1!$C$32:$C$49)*Impacts!$F$8),0)</f>
        <v>0</v>
      </c>
      <c r="M13" s="10">
        <f>IF(Tank2!$C$23="No control",(SUMIF(Tank2!$B$32:$B$49,$J13,Tank2!$C$32:$C$49)*Impacts!$F$9),0)</f>
        <v>0</v>
      </c>
      <c r="N13" s="10">
        <f>IF(Tank3!$C$23="No control",(SUMIF(Tank3!$B$32:$B$49,$J13,Tank3!$C$32:$C$49)*Impacts!$F$10),0)</f>
        <v>0</v>
      </c>
      <c r="O13" s="10">
        <f>IF(Tank4!$C$23="No control",(SUMIF(Tank4!$B$32:$B$49,$J13,Tank4!$C$32:$C$49)*Impacts!$F$11),0)</f>
        <v>0</v>
      </c>
      <c r="P13" s="10">
        <f>IF(Tank5!$C$23="No control",(SUMIF(Tank5!$B$32:$B$49,$J13,Tank5!$C$32:$C$49)*Impacts!$F$12),0)</f>
        <v>0</v>
      </c>
      <c r="Q13" s="10">
        <f>IFERROR(IF(('Loading-drum,tote'!$C$21)="No control",SUMIF(('Loading-drum,tote'!$B$31:$B$48),$J13,('Loading-drum,tote'!$D$31:$D$48))*Impacts!$F$13,IF(('Loading-drum,tote'!$C$21)&lt;&gt;"No control",SUMIF(('Loading-drum,tote'!$B$31:$B$48),$J13,('Loading-drum,tote'!$E$31:$E$48))*Impacts!$F$13,0)),0)</f>
        <v>0</v>
      </c>
      <c r="R13" s="10">
        <f>IFERROR(IF(('Loading-truck'!$C$21)="No control",SUMIF(('Loading-truck'!$B$31:$B$48),$J13,('Loading-truck'!$D$31:$D$48))*Impacts!$F$14,IF(('Loading-truck'!$C$21)&lt;&gt;"No control",SUMIF(('Loading-truck'!$B$31:$B$48),$J13,('Loading-truck'!$E$31:$E$48))*Impacts!$F$14,0)),0)</f>
        <v>0</v>
      </c>
      <c r="S13" s="10">
        <f>IFERROR(IF(('Loading-rail'!$C$21)="No control",SUMIF(('Loading-rail'!$B$31:$B$48),$J13,('Loading-rail'!$D$31:$D$48))*Impacts!$F$15,IF(('Loading-rail'!$C$21)&lt;&gt;"No control",SUMIF(('Loading-rail'!$B$31:$B$48),$J13,('Loading-rail'!$E$31:$E$48))*Impacts!$F$15,0)),0)</f>
        <v>0</v>
      </c>
      <c r="T13" s="10">
        <f>IF(Flare!$C$7="",0,(SUMIF(Flare!$B$46:$B$185,$J13,Flare!$E$46:$E$185)*Impacts!$F$16))</f>
        <v>0</v>
      </c>
      <c r="U13" s="10">
        <f>IF(VCU!$C$9="",0,(SUMIF(VCU!$B$51:$B$193,$J13,VCU!$E$51:$E$193)*Impacts!$F$17))</f>
        <v>0</v>
      </c>
      <c r="V13" s="10">
        <f>IF(CAS!$C$7="",0,(SUMIF(CAS!$B$31:$B$167,$J13,CAS!$E$31:$E$167)*Impacts!$F$18))</f>
        <v>0</v>
      </c>
      <c r="W13" s="10">
        <f t="shared" si="6"/>
        <v>0</v>
      </c>
      <c r="Z13" s="35" t="s">
        <v>8729</v>
      </c>
      <c r="AA13" s="48" t="str">
        <f>" NOx: Flare meets an emission factor of " &amp; Flare!C22 &amp; " lb/MMBtu."</f>
        <v xml:space="preserve"> NOx: Flare meets an emission factor of  lb/MMBtu.</v>
      </c>
      <c r="AB13" s="20"/>
      <c r="AC13" s="10">
        <f>IF(OR(AI13=0,AI13="",ISNUMBER(MATCH(AI13,$AI$1:AI12,0))),0,MAX($AC$1:AC12)+1)</f>
        <v>0</v>
      </c>
      <c r="AD13" s="10">
        <f>IF(OR(AJ13=0,AJ13="",ISNUMBER(MATCH(AJ13,$AJ$1:AJ12,0))),0,MAX($AD$1:AD12)+1)</f>
        <v>0</v>
      </c>
      <c r="AE13" s="10">
        <f>IF(OR(AK13=0,AK13="",ISNUMBER(MATCH(AK13,$AK$1:AK12,0))),0,MAX($AE$1:AE12)+1)</f>
        <v>0</v>
      </c>
      <c r="AF13" s="10">
        <f>IF(OR(AH13=0,ISNUMBER(MATCH(AH13,$AH$1:AH12,0))),0,MAX($AF$1:AF12)+1)</f>
        <v>0</v>
      </c>
      <c r="AG13" s="10">
        <f>Tank1!$C$23</f>
        <v>0</v>
      </c>
      <c r="AH13" s="10">
        <f>Tank1!A44</f>
        <v>0</v>
      </c>
      <c r="AI13" s="10" t="str">
        <f t="shared" si="0"/>
        <v/>
      </c>
      <c r="AJ13" s="10" t="str">
        <f t="shared" si="1"/>
        <v/>
      </c>
      <c r="AK13" s="10" t="str">
        <f t="shared" si="1"/>
        <v/>
      </c>
      <c r="AL13" s="17" t="str">
        <f t="shared" si="2"/>
        <v/>
      </c>
      <c r="AM13" s="20" t="str">
        <f t="shared" si="3"/>
        <v/>
      </c>
      <c r="AN13" s="10" t="str">
        <f t="shared" si="4"/>
        <v/>
      </c>
      <c r="AO13" s="17" t="str">
        <f t="shared" si="5"/>
        <v/>
      </c>
      <c r="BA13" s="65" t="s">
        <v>8699</v>
      </c>
      <c r="BB13" s="64" t="s">
        <v>8696</v>
      </c>
      <c r="BC13" s="66" t="s">
        <v>8696</v>
      </c>
      <c r="BD13" s="10" t="s">
        <v>10637</v>
      </c>
      <c r="BE13" s="10" t="s">
        <v>94</v>
      </c>
      <c r="BF13" s="10" t="s">
        <v>8972</v>
      </c>
      <c r="BG13" s="897" t="s">
        <v>10631</v>
      </c>
      <c r="BH13" s="72"/>
      <c r="BI13" s="79" t="s">
        <v>8949</v>
      </c>
      <c r="BJ13" s="105" t="s">
        <v>3</v>
      </c>
      <c r="BK13" s="656">
        <f>Baseline!$H$19</f>
        <v>0</v>
      </c>
      <c r="BL13" s="656">
        <f>IF(ISBLANK(Baseline!$H$6),EmissionSummary!$N$18,Baseline!$H$6)</f>
        <v>0</v>
      </c>
      <c r="BM13" s="656">
        <f>EmissionSummary!$O$18</f>
        <v>0</v>
      </c>
      <c r="BN13" s="656">
        <f t="shared" si="9"/>
        <v>0</v>
      </c>
      <c r="BO13" s="657">
        <f>EmissionSummary!$N$18</f>
        <v>0</v>
      </c>
      <c r="BP13" s="663">
        <f t="shared" si="10"/>
        <v>0</v>
      </c>
      <c r="BQ13" s="10" t="s">
        <v>31</v>
      </c>
      <c r="BS13" s="1632"/>
      <c r="BT13" s="593" t="s">
        <v>10051</v>
      </c>
      <c r="BU13" s="625" t="s">
        <v>267</v>
      </c>
      <c r="BV13" s="626" t="b">
        <f>NOT(OR(ISBLANK(Flare!$C$7),$BJ$28))</f>
        <v>0</v>
      </c>
      <c r="BW13" s="596" t="b">
        <f>NOT(OR(ISBLANK(Flare!$C$7),$BJ$28))</f>
        <v>0</v>
      </c>
      <c r="BX13" s="596" t="b">
        <f>NOT(OR(ISBLANK(Flare!$C$7),$BJ$28))</f>
        <v>0</v>
      </c>
      <c r="BY13" s="600" t="b">
        <v>0</v>
      </c>
      <c r="BZ13" s="600" t="b">
        <v>0</v>
      </c>
      <c r="CA13" s="600" t="b">
        <v>0</v>
      </c>
      <c r="CB13" s="596" t="b">
        <f>NOT(OR(ISBLANK(Flare!$C$7),$BJ$28))</f>
        <v>0</v>
      </c>
      <c r="CC13" s="596" t="b">
        <f>NOT(OR(ISBLANK(Flare!$C$7),$BJ$28))</f>
        <v>0</v>
      </c>
      <c r="CD13" s="596"/>
      <c r="CE13" s="596" t="b">
        <f>NOT(OR(ISBLANK(Flare!$C$7),$BJ$28))</f>
        <v>0</v>
      </c>
      <c r="CF13" s="596"/>
      <c r="CG13" s="596"/>
      <c r="CH13" s="596" t="b">
        <f>NOT(OR(ISBLANK(Flare!$C$7),$BJ$28))</f>
        <v>0</v>
      </c>
      <c r="CI13" s="598"/>
    </row>
    <row r="14" spans="1:87" ht="21" customHeight="1" x14ac:dyDescent="0.25">
      <c r="B14" s="16" t="s">
        <v>22</v>
      </c>
      <c r="C14" s="10">
        <v>100</v>
      </c>
      <c r="D14" s="10">
        <v>249</v>
      </c>
      <c r="E14" s="17">
        <v>249</v>
      </c>
      <c r="I14" s="436" t="s">
        <v>4141</v>
      </c>
      <c r="J14" s="26" t="s">
        <v>4140</v>
      </c>
      <c r="K14" s="10">
        <v>5</v>
      </c>
      <c r="L14" s="73">
        <f>IF(Tank1!$C$23="No control",(SUMIF(Tank1!$B$32:$B$49,$J14,Tank1!$C$32:$C$49)*Impacts!$F$8),0)</f>
        <v>0</v>
      </c>
      <c r="M14" s="10">
        <f>IF(Tank2!$C$23="No control",(SUMIF(Tank2!$B$32:$B$49,$J14,Tank2!$C$32:$C$49)*Impacts!$F$9),0)</f>
        <v>0</v>
      </c>
      <c r="N14" s="10">
        <f>IF(Tank3!$C$23="No control",(SUMIF(Tank3!$B$32:$B$49,$J14,Tank3!$C$32:$C$49)*Impacts!$F$10),0)</f>
        <v>0</v>
      </c>
      <c r="O14" s="10">
        <f>IF(Tank4!$C$23="No control",(SUMIF(Tank4!$B$32:$B$49,$J14,Tank4!$C$32:$C$49)*Impacts!$F$11),0)</f>
        <v>0</v>
      </c>
      <c r="P14" s="10">
        <f>IF(Tank5!$C$23="No control",(SUMIF(Tank5!$B$32:$B$49,$J14,Tank5!$C$32:$C$49)*Impacts!$F$12),0)</f>
        <v>0</v>
      </c>
      <c r="Q14" s="10">
        <f>IFERROR(IF(('Loading-drum,tote'!$C$21)="No control",SUMIF(('Loading-drum,tote'!$B$31:$B$48),$J14,('Loading-drum,tote'!$D$31:$D$48))*Impacts!$F$13,IF(('Loading-drum,tote'!$C$21)&lt;&gt;"No control",SUMIF(('Loading-drum,tote'!$B$31:$B$48),$J14,('Loading-drum,tote'!$E$31:$E$48))*Impacts!$F$13,0)),0)</f>
        <v>0</v>
      </c>
      <c r="R14" s="10">
        <f>IFERROR(IF(('Loading-truck'!$C$21)="No control",SUMIF(('Loading-truck'!$B$31:$B$48),$J14,('Loading-truck'!$D$31:$D$48))*Impacts!$F$14,IF(('Loading-truck'!$C$21)&lt;&gt;"No control",SUMIF(('Loading-truck'!$B$31:$B$48),$J14,('Loading-truck'!$E$31:$E$48))*Impacts!$F$14,0)),0)</f>
        <v>0</v>
      </c>
      <c r="S14" s="10">
        <f>IFERROR(IF(('Loading-rail'!$C$21)="No control",SUMIF(('Loading-rail'!$B$31:$B$48),$J14,('Loading-rail'!$D$31:$D$48))*Impacts!$F$15,IF(('Loading-rail'!$C$21)&lt;&gt;"No control",SUMIF(('Loading-rail'!$B$31:$B$48),$J14,('Loading-rail'!$E$31:$E$48))*Impacts!$F$15,0)),0)</f>
        <v>0</v>
      </c>
      <c r="T14" s="10">
        <f>IF(Flare!$C$7="",0,(SUMIF(Flare!$B$46:$B$185,$J14,Flare!$E$46:$E$185)*Impacts!$F$16))</f>
        <v>0</v>
      </c>
      <c r="U14" s="10">
        <f>IF(VCU!$C$9="",0,(SUMIF(VCU!$B$51:$B$193,$J14,VCU!$E$51:$E$193)*Impacts!$F$17))</f>
        <v>0</v>
      </c>
      <c r="V14" s="10">
        <f>IF(CAS!$C$7="",0,(SUMIF(CAS!$B$31:$B$167,$J14,CAS!$E$31:$E$167)*Impacts!$F$18))</f>
        <v>0</v>
      </c>
      <c r="W14" s="10">
        <f t="shared" si="6"/>
        <v>0</v>
      </c>
      <c r="Z14" s="35" t="s">
        <v>8730</v>
      </c>
      <c r="AA14" s="48" t="str">
        <f>" CO: Flare meets an emission factor of " &amp; Flare!C23 &amp; " lb/MMBtu."</f>
        <v xml:space="preserve"> CO: Flare meets an emission factor of  lb/MMBtu.</v>
      </c>
      <c r="AB14" s="20"/>
      <c r="AC14" s="10">
        <f>IF(OR(AI14=0,AI14="",ISNUMBER(MATCH(AI14,$AI$1:AI13,0))),0,MAX($AC$1:AC13)+1)</f>
        <v>0</v>
      </c>
      <c r="AD14" s="10">
        <f>IF(OR(AJ14=0,AJ14="",ISNUMBER(MATCH(AJ14,$AJ$1:AJ13,0))),0,MAX($AD$1:AD13)+1)</f>
        <v>0</v>
      </c>
      <c r="AE14" s="10">
        <f>IF(OR(AK14=0,AK14="",ISNUMBER(MATCH(AK14,$AK$1:AK13,0))),0,MAX($AE$1:AE13)+1)</f>
        <v>0</v>
      </c>
      <c r="AF14" s="10">
        <f>IF(OR(AH14=0,ISNUMBER(MATCH(AH14,$AH$1:AH13,0))),0,MAX($AF$1:AF13)+1)</f>
        <v>0</v>
      </c>
      <c r="AG14" s="10">
        <f>Tank1!$C$23</f>
        <v>0</v>
      </c>
      <c r="AH14" s="10">
        <f>Tank1!A45</f>
        <v>0</v>
      </c>
      <c r="AI14" s="10" t="str">
        <f t="shared" si="0"/>
        <v/>
      </c>
      <c r="AJ14" s="10" t="str">
        <f t="shared" si="1"/>
        <v/>
      </c>
      <c r="AK14" s="10" t="str">
        <f t="shared" si="1"/>
        <v/>
      </c>
      <c r="AL14" s="17" t="str">
        <f t="shared" si="2"/>
        <v/>
      </c>
      <c r="AM14" s="20" t="str">
        <f t="shared" si="3"/>
        <v/>
      </c>
      <c r="AN14" s="10" t="str">
        <f t="shared" si="4"/>
        <v/>
      </c>
      <c r="AO14" s="17" t="str">
        <f t="shared" si="5"/>
        <v/>
      </c>
      <c r="BC14" s="899"/>
      <c r="BD14" s="10" t="s">
        <v>10637</v>
      </c>
      <c r="BE14" s="10" t="s">
        <v>111</v>
      </c>
      <c r="BF14" s="10" t="s">
        <v>8972</v>
      </c>
      <c r="BG14" s="897" t="s">
        <v>10631</v>
      </c>
      <c r="BH14" s="72"/>
      <c r="BI14" s="79" t="s">
        <v>8950</v>
      </c>
      <c r="BJ14" s="105"/>
      <c r="BK14" s="658"/>
      <c r="BL14" s="658"/>
      <c r="BM14" s="659"/>
      <c r="BN14" s="656"/>
      <c r="BO14" s="657"/>
      <c r="BP14" s="663"/>
      <c r="BQ14" s="10" t="s">
        <v>36</v>
      </c>
      <c r="BS14" s="1632"/>
      <c r="BT14" s="593" t="s">
        <v>10059</v>
      </c>
      <c r="BU14" s="625" t="s">
        <v>272</v>
      </c>
      <c r="BV14" s="626" t="b">
        <f>NOT(OR(ISBLANK(VCU!$C$9),$BJ$28))</f>
        <v>0</v>
      </c>
      <c r="BW14" s="596" t="b">
        <f>NOT(OR(ISBLANK(VCU!$C$9),$BJ$28))</f>
        <v>0</v>
      </c>
      <c r="BX14" s="596" t="b">
        <f>NOT(OR(ISBLANK(VCU!$C$9),$BJ$28))</f>
        <v>0</v>
      </c>
      <c r="BY14" s="596" t="b">
        <f>NOT(OR(ISBLANK(VCU!$C$9),$BJ$28))</f>
        <v>0</v>
      </c>
      <c r="BZ14" s="596" t="b">
        <f>NOT(OR(ISBLANK(VCU!$C$9),$BJ$28))</f>
        <v>0</v>
      </c>
      <c r="CA14" s="596" t="b">
        <f>NOT(OR(ISBLANK(VCU!$C$9),$BJ$28))</f>
        <v>0</v>
      </c>
      <c r="CB14" s="596" t="b">
        <f>NOT(OR(ISBLANK(VCU!$C$9),$BJ$28))</f>
        <v>0</v>
      </c>
      <c r="CC14" s="596" t="b">
        <f>NOT(OR(ISBLANK(VCU!$C$9),$BJ$28))</f>
        <v>0</v>
      </c>
      <c r="CD14" s="596"/>
      <c r="CE14" s="596" t="b">
        <f>NOT(OR(ISBLANK(VCU!$C$9),$BJ$28))</f>
        <v>0</v>
      </c>
      <c r="CF14" s="596"/>
      <c r="CG14" s="596"/>
      <c r="CH14" s="596" t="b">
        <f>NOT(OR(ISBLANK(VCU!$C$9),$BJ$28))</f>
        <v>0</v>
      </c>
      <c r="CI14" s="598"/>
    </row>
    <row r="15" spans="1:87" ht="21" customHeight="1" x14ac:dyDescent="0.25">
      <c r="B15" s="16" t="s">
        <v>23</v>
      </c>
      <c r="C15" s="10">
        <v>100</v>
      </c>
      <c r="D15" s="10">
        <v>249</v>
      </c>
      <c r="E15" s="17">
        <v>249</v>
      </c>
      <c r="I15" s="436" t="s">
        <v>6596</v>
      </c>
      <c r="J15" s="26" t="s">
        <v>6595</v>
      </c>
      <c r="K15" s="10">
        <v>0.60000000000000009</v>
      </c>
      <c r="L15" s="73">
        <f>IF(Tank1!$C$23="No control",(SUMIF(Tank1!$B$32:$B$49,$J15,Tank1!$C$32:$C$49)*Impacts!$F$8),0)</f>
        <v>0</v>
      </c>
      <c r="M15" s="10">
        <f>IF(Tank2!$C$23="No control",(SUMIF(Tank2!$B$32:$B$49,$J15,Tank2!$C$32:$C$49)*Impacts!$F$9),0)</f>
        <v>0</v>
      </c>
      <c r="N15" s="10">
        <f>IF(Tank3!$C$23="No control",(SUMIF(Tank3!$B$32:$B$49,$J15,Tank3!$C$32:$C$49)*Impacts!$F$10),0)</f>
        <v>0</v>
      </c>
      <c r="O15" s="10">
        <f>IF(Tank4!$C$23="No control",(SUMIF(Tank4!$B$32:$B$49,$J15,Tank4!$C$32:$C$49)*Impacts!$F$11),0)</f>
        <v>0</v>
      </c>
      <c r="P15" s="10">
        <f>IF(Tank5!$C$23="No control",(SUMIF(Tank5!$B$32:$B$49,$J15,Tank5!$C$32:$C$49)*Impacts!$F$12),0)</f>
        <v>0</v>
      </c>
      <c r="Q15" s="10">
        <f>IFERROR(IF(('Loading-drum,tote'!$C$21)="No control",SUMIF(('Loading-drum,tote'!$B$31:$B$48),$J15,('Loading-drum,tote'!$D$31:$D$48))*Impacts!$F$13,IF(('Loading-drum,tote'!$C$21)&lt;&gt;"No control",SUMIF(('Loading-drum,tote'!$B$31:$B$48),$J15,('Loading-drum,tote'!$E$31:$E$48))*Impacts!$F$13,0)),0)</f>
        <v>0</v>
      </c>
      <c r="R15" s="10">
        <f>IFERROR(IF(('Loading-truck'!$C$21)="No control",SUMIF(('Loading-truck'!$B$31:$B$48),$J15,('Loading-truck'!$D$31:$D$48))*Impacts!$F$14,IF(('Loading-truck'!$C$21)&lt;&gt;"No control",SUMIF(('Loading-truck'!$B$31:$B$48),$J15,('Loading-truck'!$E$31:$E$48))*Impacts!$F$14,0)),0)</f>
        <v>0</v>
      </c>
      <c r="S15" s="10">
        <f>IFERROR(IF(('Loading-rail'!$C$21)="No control",SUMIF(('Loading-rail'!$B$31:$B$48),$J15,('Loading-rail'!$D$31:$D$48))*Impacts!$F$15,IF(('Loading-rail'!$C$21)&lt;&gt;"No control",SUMIF(('Loading-rail'!$B$31:$B$48),$J15,('Loading-rail'!$E$31:$E$48))*Impacts!$F$15,0)),0)</f>
        <v>0</v>
      </c>
      <c r="T15" s="10">
        <f>IF(Flare!$C$7="",0,(SUMIF(Flare!$B$46:$B$185,$J15,Flare!$E$46:$E$185)*Impacts!$F$16))</f>
        <v>0</v>
      </c>
      <c r="U15" s="10">
        <f>IF(VCU!$C$9="",0,(SUMIF(VCU!$B$51:$B$193,$J15,VCU!$E$51:$E$193)*Impacts!$F$17))</f>
        <v>0</v>
      </c>
      <c r="V15" s="10">
        <f>IF(CAS!$C$7="",0,(SUMIF(CAS!$B$31:$B$167,$J15,CAS!$E$31:$E$167)*Impacts!$F$18))</f>
        <v>0</v>
      </c>
      <c r="W15" s="10">
        <f t="shared" si="6"/>
        <v>0</v>
      </c>
      <c r="Z15" s="35" t="s">
        <v>8731</v>
      </c>
      <c r="AA15" s="48" t="str">
        <f>" SO2: The H2S content of the stream is limited to " &amp; Flare!C31&amp; " grains/100 scf."</f>
        <v xml:space="preserve"> SO2: The H2S content of the stream is limited to  grains/100 scf.</v>
      </c>
      <c r="AB15" s="20"/>
      <c r="AC15" s="10">
        <f>IF(OR(AI15=0,AI15="",ISNUMBER(MATCH(AI15,$AI$1:AI14,0))),0,MAX($AC$1:AC14)+1)</f>
        <v>0</v>
      </c>
      <c r="AD15" s="10">
        <f>IF(OR(AJ15=0,AJ15="",ISNUMBER(MATCH(AJ15,$AJ$1:AJ14,0))),0,MAX($AD$1:AD14)+1)</f>
        <v>0</v>
      </c>
      <c r="AE15" s="10">
        <f>IF(OR(AK15=0,AK15="",ISNUMBER(MATCH(AK15,$AK$1:AK14,0))),0,MAX($AE$1:AE14)+1)</f>
        <v>0</v>
      </c>
      <c r="AF15" s="10">
        <f>IF(OR(AH15=0,ISNUMBER(MATCH(AH15,$AH$1:AH14,0))),0,MAX($AF$1:AF14)+1)</f>
        <v>0</v>
      </c>
      <c r="AG15" s="10">
        <f>Tank1!$C$23</f>
        <v>0</v>
      </c>
      <c r="AH15" s="10">
        <f>Tank1!A46</f>
        <v>0</v>
      </c>
      <c r="AI15" s="10" t="str">
        <f t="shared" si="0"/>
        <v/>
      </c>
      <c r="AJ15" s="10" t="str">
        <f t="shared" si="1"/>
        <v/>
      </c>
      <c r="AK15" s="10" t="str">
        <f t="shared" si="1"/>
        <v/>
      </c>
      <c r="AL15" s="17" t="str">
        <f t="shared" si="2"/>
        <v/>
      </c>
      <c r="AM15" s="20" t="str">
        <f t="shared" si="3"/>
        <v/>
      </c>
      <c r="AN15" s="10" t="str">
        <f t="shared" si="4"/>
        <v/>
      </c>
      <c r="AO15" s="17" t="str">
        <f t="shared" si="5"/>
        <v/>
      </c>
      <c r="BC15" s="17"/>
      <c r="BD15" s="10" t="s">
        <v>10639</v>
      </c>
      <c r="BE15" s="10" t="s">
        <v>124</v>
      </c>
      <c r="BF15" s="10" t="s">
        <v>8937</v>
      </c>
      <c r="BH15" s="10" t="str">
        <f>BE15</f>
        <v>Howard</v>
      </c>
      <c r="BI15" s="79" t="s">
        <v>8951</v>
      </c>
      <c r="BJ15" s="105" t="s">
        <v>10102</v>
      </c>
      <c r="BK15" s="658">
        <f>Baseline!$I$19</f>
        <v>0</v>
      </c>
      <c r="BL15" s="658">
        <f>Baseline!$I$6</f>
        <v>0</v>
      </c>
      <c r="BM15" s="656">
        <f>EmissionSummary!S18</f>
        <v>0</v>
      </c>
      <c r="BN15" s="656">
        <f t="shared" si="9"/>
        <v>0</v>
      </c>
      <c r="BO15" s="657">
        <f>EmissionSummary!R18</f>
        <v>0</v>
      </c>
      <c r="BP15" s="663">
        <f t="shared" si="10"/>
        <v>0</v>
      </c>
      <c r="BQ15" s="10" t="s">
        <v>38</v>
      </c>
      <c r="BS15" s="1632"/>
      <c r="BT15" s="593" t="s">
        <v>10056</v>
      </c>
      <c r="BU15" s="625" t="s">
        <v>271</v>
      </c>
      <c r="BV15" s="626" t="b">
        <f>NOT(OR(ISBLANK(CAS!$C$7),$BJ$28))</f>
        <v>0</v>
      </c>
      <c r="BW15" s="600" t="b">
        <v>0</v>
      </c>
      <c r="BX15" s="600" t="b">
        <v>0</v>
      </c>
      <c r="BY15" s="600" t="b">
        <v>0</v>
      </c>
      <c r="BZ15" s="600" t="b">
        <v>0</v>
      </c>
      <c r="CA15" s="600" t="b">
        <v>0</v>
      </c>
      <c r="CB15" s="596" t="b">
        <f>NOT(OR(ISBLANK(CAS!$C$7),$BJ$28))</f>
        <v>0</v>
      </c>
      <c r="CC15" s="596" t="b">
        <f>NOT(OR(ISBLANK(CAS!$C$7),$BJ$28))</f>
        <v>0</v>
      </c>
      <c r="CD15" s="596"/>
      <c r="CE15" s="596" t="b">
        <f>NOT(OR(ISBLANK(CAS!$C$7),$BJ$28))</f>
        <v>0</v>
      </c>
      <c r="CF15" s="596"/>
      <c r="CG15" s="596"/>
      <c r="CH15" s="596" t="b">
        <f>NOT(OR(ISBLANK(CAS!$C$7),$BJ$28))</f>
        <v>0</v>
      </c>
      <c r="CI15" s="598"/>
    </row>
    <row r="16" spans="1:87" ht="21" customHeight="1" thickBot="1" x14ac:dyDescent="0.3">
      <c r="B16" s="16" t="s">
        <v>24</v>
      </c>
      <c r="C16" s="10">
        <v>100</v>
      </c>
      <c r="D16" s="10">
        <v>249</v>
      </c>
      <c r="E16" s="17">
        <v>249</v>
      </c>
      <c r="I16" s="436" t="s">
        <v>7674</v>
      </c>
      <c r="J16" s="26" t="s">
        <v>7673</v>
      </c>
      <c r="K16" s="10">
        <v>0.1</v>
      </c>
      <c r="L16" s="73">
        <f>IF(Tank1!$C$23="No control",(SUMIF(Tank1!$B$32:$B$49,$J16,Tank1!$C$32:$C$49)*Impacts!$F$8),0)</f>
        <v>0</v>
      </c>
      <c r="M16" s="10">
        <f>IF(Tank2!$C$23="No control",(SUMIF(Tank2!$B$32:$B$49,$J16,Tank2!$C$32:$C$49)*Impacts!$F$9),0)</f>
        <v>0</v>
      </c>
      <c r="N16" s="10">
        <f>IF(Tank3!$C$23="No control",(SUMIF(Tank3!$B$32:$B$49,$J16,Tank3!$C$32:$C$49)*Impacts!$F$10),0)</f>
        <v>0</v>
      </c>
      <c r="O16" s="10">
        <f>IF(Tank4!$C$23="No control",(SUMIF(Tank4!$B$32:$B$49,$J16,Tank4!$C$32:$C$49)*Impacts!$F$11),0)</f>
        <v>0</v>
      </c>
      <c r="P16" s="10">
        <f>IF(Tank5!$C$23="No control",(SUMIF(Tank5!$B$32:$B$49,$J16,Tank5!$C$32:$C$49)*Impacts!$F$12),0)</f>
        <v>0</v>
      </c>
      <c r="Q16" s="10">
        <f>IFERROR(IF(('Loading-drum,tote'!$C$21)="No control",SUMIF(('Loading-drum,tote'!$B$31:$B$48),$J16,('Loading-drum,tote'!$D$31:$D$48))*Impacts!$F$13,IF(('Loading-drum,tote'!$C$21)&lt;&gt;"No control",SUMIF(('Loading-drum,tote'!$B$31:$B$48),$J16,('Loading-drum,tote'!$E$31:$E$48))*Impacts!$F$13,0)),0)</f>
        <v>0</v>
      </c>
      <c r="R16" s="10">
        <f>IFERROR(IF(('Loading-truck'!$C$21)="No control",SUMIF(('Loading-truck'!$B$31:$B$48),$J16,('Loading-truck'!$D$31:$D$48))*Impacts!$F$14,IF(('Loading-truck'!$C$21)&lt;&gt;"No control",SUMIF(('Loading-truck'!$B$31:$B$48),$J16,('Loading-truck'!$E$31:$E$48))*Impacts!$F$14,0)),0)</f>
        <v>0</v>
      </c>
      <c r="S16" s="10">
        <f>IFERROR(IF(('Loading-rail'!$C$21)="No control",SUMIF(('Loading-rail'!$B$31:$B$48),$J16,('Loading-rail'!$D$31:$D$48))*Impacts!$F$15,IF(('Loading-rail'!$C$21)&lt;&gt;"No control",SUMIF(('Loading-rail'!$B$31:$B$48),$J16,('Loading-rail'!$E$31:$E$48))*Impacts!$F$15,0)),0)</f>
        <v>0</v>
      </c>
      <c r="T16" s="10">
        <f>IF(Flare!$C$7="",0,(SUMIF(Flare!$B$46:$B$185,$J16,Flare!$E$46:$E$185)*Impacts!$F$16))</f>
        <v>0</v>
      </c>
      <c r="U16" s="10">
        <f>IF(VCU!$C$9="",0,(SUMIF(VCU!$B$51:$B$193,$J16,VCU!$E$51:$E$193)*Impacts!$F$17))</f>
        <v>0</v>
      </c>
      <c r="V16" s="10">
        <f>IF(CAS!$C$7="",0,(SUMIF(CAS!$B$31:$B$167,$J16,CAS!$E$31:$E$167)*Impacts!$F$18))</f>
        <v>0</v>
      </c>
      <c r="W16" s="10">
        <f t="shared" si="6"/>
        <v>0</v>
      </c>
      <c r="AB16" s="20"/>
      <c r="AC16" s="10">
        <f>IF(OR(AI16=0,AI16="",ISNUMBER(MATCH(AI16,$AI$1:AI15,0))),0,MAX($AC$1:AC15)+1)</f>
        <v>0</v>
      </c>
      <c r="AD16" s="10">
        <f>IF(OR(AJ16=0,AJ16="",ISNUMBER(MATCH(AJ16,$AJ$1:AJ15,0))),0,MAX($AD$1:AD15)+1)</f>
        <v>0</v>
      </c>
      <c r="AE16" s="10">
        <f>IF(OR(AK16=0,AK16="",ISNUMBER(MATCH(AK16,$AK$1:AK15,0))),0,MAX($AE$1:AE15)+1)</f>
        <v>0</v>
      </c>
      <c r="AF16" s="10">
        <f>IF(OR(AH16=0,ISNUMBER(MATCH(AH16,$AH$1:AH15,0))),0,MAX($AF$1:AF15)+1)</f>
        <v>0</v>
      </c>
      <c r="AG16" s="10">
        <f>Tank1!$C$23</f>
        <v>0</v>
      </c>
      <c r="AH16" s="10">
        <f>Tank1!A47</f>
        <v>0</v>
      </c>
      <c r="AI16" s="10" t="str">
        <f t="shared" si="0"/>
        <v/>
      </c>
      <c r="AJ16" s="10" t="str">
        <f t="shared" si="1"/>
        <v/>
      </c>
      <c r="AK16" s="10" t="str">
        <f t="shared" si="1"/>
        <v/>
      </c>
      <c r="AL16" s="17" t="str">
        <f t="shared" si="2"/>
        <v/>
      </c>
      <c r="AM16" s="20" t="str">
        <f t="shared" si="3"/>
        <v/>
      </c>
      <c r="AN16" s="10" t="str">
        <f t="shared" si="4"/>
        <v/>
      </c>
      <c r="AO16" s="17" t="str">
        <f t="shared" si="5"/>
        <v/>
      </c>
      <c r="BC16" s="17"/>
      <c r="BD16" s="10" t="s">
        <v>10639</v>
      </c>
      <c r="BE16" s="10" t="s">
        <v>127</v>
      </c>
      <c r="BF16" s="10" t="s">
        <v>8937</v>
      </c>
      <c r="BH16" s="10" t="str">
        <f>BE16</f>
        <v>Hutchinson</v>
      </c>
      <c r="BI16" s="79" t="s">
        <v>8952</v>
      </c>
      <c r="BJ16" s="105"/>
      <c r="BK16" s="658"/>
      <c r="BL16" s="658"/>
      <c r="BM16" s="656"/>
      <c r="BN16" s="656"/>
      <c r="BO16" s="657"/>
      <c r="BP16" s="663"/>
      <c r="BQ16" s="10" t="s">
        <v>39</v>
      </c>
      <c r="BS16" s="1632"/>
      <c r="BT16" s="593" t="s">
        <v>10054</v>
      </c>
      <c r="BU16" s="605" t="s">
        <v>1</v>
      </c>
      <c r="BV16" s="628" t="b">
        <f>OR(BV5:BV15)</f>
        <v>0</v>
      </c>
      <c r="BW16" s="597" t="b">
        <f t="shared" ref="BW16:CH16" si="11">OR(BW5:BW15)</f>
        <v>0</v>
      </c>
      <c r="BX16" s="597" t="b">
        <f t="shared" si="11"/>
        <v>0</v>
      </c>
      <c r="BY16" s="597" t="b">
        <f t="shared" si="11"/>
        <v>0</v>
      </c>
      <c r="BZ16" s="597" t="b">
        <f t="shared" si="11"/>
        <v>0</v>
      </c>
      <c r="CA16" s="597" t="b">
        <f t="shared" si="11"/>
        <v>0</v>
      </c>
      <c r="CB16" s="597" t="b">
        <f t="shared" si="11"/>
        <v>0</v>
      </c>
      <c r="CC16" s="597" t="b">
        <f t="shared" si="11"/>
        <v>0</v>
      </c>
      <c r="CD16" s="597"/>
      <c r="CE16" s="597" t="b">
        <f t="shared" si="11"/>
        <v>0</v>
      </c>
      <c r="CF16" s="597"/>
      <c r="CG16" s="597"/>
      <c r="CH16" s="597" t="b">
        <f t="shared" si="11"/>
        <v>0</v>
      </c>
      <c r="CI16" s="599"/>
    </row>
    <row r="17" spans="1:86" ht="21" customHeight="1" thickBot="1" x14ac:dyDescent="0.3">
      <c r="A17" s="10"/>
      <c r="B17" s="16" t="s">
        <v>25</v>
      </c>
      <c r="C17" s="10">
        <v>100</v>
      </c>
      <c r="D17" s="10">
        <v>249</v>
      </c>
      <c r="E17" s="17">
        <v>249</v>
      </c>
      <c r="I17" s="436" t="s">
        <v>5628</v>
      </c>
      <c r="J17" s="26" t="s">
        <v>5627</v>
      </c>
      <c r="K17" s="10">
        <v>1</v>
      </c>
      <c r="L17" s="73">
        <f>IF(Tank1!$C$23="No control",(SUMIF(Tank1!$B$32:$B$49,$J17,Tank1!$C$32:$C$49)*Impacts!$F$8),0)</f>
        <v>0</v>
      </c>
      <c r="M17" s="10">
        <f>IF(Tank2!$C$23="No control",(SUMIF(Tank2!$B$32:$B$49,$J17,Tank2!$C$32:$C$49)*Impacts!$F$9),0)</f>
        <v>0</v>
      </c>
      <c r="N17" s="10">
        <f>IF(Tank3!$C$23="No control",(SUMIF(Tank3!$B$32:$B$49,$J17,Tank3!$C$32:$C$49)*Impacts!$F$10),0)</f>
        <v>0</v>
      </c>
      <c r="O17" s="10">
        <f>IF(Tank4!$C$23="No control",(SUMIF(Tank4!$B$32:$B$49,$J17,Tank4!$C$32:$C$49)*Impacts!$F$11),0)</f>
        <v>0</v>
      </c>
      <c r="P17" s="10">
        <f>IF(Tank5!$C$23="No control",(SUMIF(Tank5!$B$32:$B$49,$J17,Tank5!$C$32:$C$49)*Impacts!$F$12),0)</f>
        <v>0</v>
      </c>
      <c r="Q17" s="10">
        <f>IFERROR(IF(('Loading-drum,tote'!$C$21)="No control",SUMIF(('Loading-drum,tote'!$B$31:$B$48),$J17,('Loading-drum,tote'!$D$31:$D$48))*Impacts!$F$13,IF(('Loading-drum,tote'!$C$21)&lt;&gt;"No control",SUMIF(('Loading-drum,tote'!$B$31:$B$48),$J17,('Loading-drum,tote'!$E$31:$E$48))*Impacts!$F$13,0)),0)</f>
        <v>0</v>
      </c>
      <c r="R17" s="10">
        <f>IFERROR(IF(('Loading-truck'!$C$21)="No control",SUMIF(('Loading-truck'!$B$31:$B$48),$J17,('Loading-truck'!$D$31:$D$48))*Impacts!$F$14,IF(('Loading-truck'!$C$21)&lt;&gt;"No control",SUMIF(('Loading-truck'!$B$31:$B$48),$J17,('Loading-truck'!$E$31:$E$48))*Impacts!$F$14,0)),0)</f>
        <v>0</v>
      </c>
      <c r="S17" s="10">
        <f>IFERROR(IF(('Loading-rail'!$C$21)="No control",SUMIF(('Loading-rail'!$B$31:$B$48),$J17,('Loading-rail'!$D$31:$D$48))*Impacts!$F$15,IF(('Loading-rail'!$C$21)&lt;&gt;"No control",SUMIF(('Loading-rail'!$B$31:$B$48),$J17,('Loading-rail'!$E$31:$E$48))*Impacts!$F$15,0)),0)</f>
        <v>0</v>
      </c>
      <c r="T17" s="10">
        <f>IF(Flare!$C$7="",0,(SUMIF(Flare!$B$46:$B$185,$J17,Flare!$E$46:$E$185)*Impacts!$F$16))</f>
        <v>0</v>
      </c>
      <c r="U17" s="10">
        <f>IF(VCU!$C$9="",0,(SUMIF(VCU!$B$51:$B$193,$J17,VCU!$E$51:$E$193)*Impacts!$F$17))</f>
        <v>0</v>
      </c>
      <c r="V17" s="10">
        <f>IF(CAS!$C$7="",0,(SUMIF(CAS!$B$31:$B$167,$J17,CAS!$E$31:$E$167)*Impacts!$F$18))</f>
        <v>0</v>
      </c>
      <c r="W17" s="10">
        <f t="shared" si="6"/>
        <v>0</v>
      </c>
      <c r="AA17" s="48"/>
      <c r="AB17" s="20"/>
      <c r="AC17" s="10">
        <f>IF(OR(AI17=0,AI17="",ISNUMBER(MATCH(AI17,$AI$1:AI16,0))),0,MAX($AC$1:AC16)+1)</f>
        <v>0</v>
      </c>
      <c r="AD17" s="10">
        <f>IF(OR(AJ17=0,AJ17="",ISNUMBER(MATCH(AJ17,$AJ$1:AJ16,0))),0,MAX($AD$1:AD16)+1)</f>
        <v>0</v>
      </c>
      <c r="AE17" s="10">
        <f>IF(OR(AK17=0,AK17="",ISNUMBER(MATCH(AK17,$AK$1:AK16,0))),0,MAX($AE$1:AE16)+1)</f>
        <v>0</v>
      </c>
      <c r="AF17" s="10">
        <f>IF(OR(AH17=0,ISNUMBER(MATCH(AH17,$AH$1:AH16,0))),0,MAX($AF$1:AF16)+1)</f>
        <v>0</v>
      </c>
      <c r="AG17" s="10">
        <f>Tank1!$C$23</f>
        <v>0</v>
      </c>
      <c r="AH17" s="10">
        <f>Tank1!A48</f>
        <v>0</v>
      </c>
      <c r="AI17" s="10" t="str">
        <f t="shared" si="0"/>
        <v/>
      </c>
      <c r="AJ17" s="10" t="str">
        <f t="shared" si="1"/>
        <v/>
      </c>
      <c r="AK17" s="10" t="str">
        <f t="shared" si="1"/>
        <v/>
      </c>
      <c r="AL17" s="17" t="str">
        <f t="shared" si="2"/>
        <v/>
      </c>
      <c r="AM17" s="20" t="str">
        <f t="shared" si="3"/>
        <v/>
      </c>
      <c r="AN17" s="10" t="str">
        <f t="shared" si="4"/>
        <v/>
      </c>
      <c r="AO17" s="17" t="str">
        <f t="shared" si="5"/>
        <v/>
      </c>
      <c r="BC17" s="17"/>
      <c r="BD17" s="10" t="s">
        <v>10637</v>
      </c>
      <c r="BE17" s="10" t="s">
        <v>136</v>
      </c>
      <c r="BF17" s="10" t="s">
        <v>8972</v>
      </c>
      <c r="BG17" s="897" t="s">
        <v>10631</v>
      </c>
      <c r="BH17" s="72"/>
      <c r="BI17" s="79" t="s">
        <v>8953</v>
      </c>
      <c r="BJ17" s="664"/>
      <c r="BK17" s="658"/>
      <c r="BL17" s="658"/>
      <c r="BM17" s="656"/>
      <c r="BN17" s="656"/>
      <c r="BO17" s="657"/>
      <c r="BP17" s="663"/>
      <c r="BQ17" s="10" t="s">
        <v>42</v>
      </c>
      <c r="BS17" s="1633"/>
      <c r="BT17" s="594" t="s">
        <v>10053</v>
      </c>
      <c r="BU17" s="1626" t="s">
        <v>10107</v>
      </c>
      <c r="BV17" s="1627"/>
      <c r="BW17" s="1627"/>
      <c r="BX17" s="1627"/>
      <c r="BY17" s="1627"/>
      <c r="BZ17" s="1627"/>
      <c r="CA17" s="1627"/>
      <c r="CB17" s="1627"/>
      <c r="CC17" s="1627"/>
      <c r="CD17" s="1627"/>
      <c r="CE17" s="1627"/>
      <c r="CF17" s="1627"/>
      <c r="CG17" s="1627"/>
      <c r="CH17" s="1628"/>
    </row>
    <row r="18" spans="1:86" ht="15" x14ac:dyDescent="0.25">
      <c r="A18" s="10"/>
      <c r="B18" s="16" t="s">
        <v>26</v>
      </c>
      <c r="C18" s="10">
        <v>100</v>
      </c>
      <c r="D18" s="10">
        <v>249</v>
      </c>
      <c r="E18" s="17">
        <v>249</v>
      </c>
      <c r="I18" s="436" t="s">
        <v>6260</v>
      </c>
      <c r="J18" s="26" t="s">
        <v>6259</v>
      </c>
      <c r="K18" s="10">
        <v>0.96</v>
      </c>
      <c r="L18" s="73">
        <f>IF(Tank1!$C$23="No control",(SUMIF(Tank1!$B$32:$B$49,$J18,Tank1!$C$32:$C$49)*Impacts!$F$8),0)</f>
        <v>0</v>
      </c>
      <c r="M18" s="10">
        <f>IF(Tank2!$C$23="No control",(SUMIF(Tank2!$B$32:$B$49,$J18,Tank2!$C$32:$C$49)*Impacts!$F$9),0)</f>
        <v>0</v>
      </c>
      <c r="N18" s="10">
        <f>IF(Tank3!$C$23="No control",(SUMIF(Tank3!$B$32:$B$49,$J18,Tank3!$C$32:$C$49)*Impacts!$F$10),0)</f>
        <v>0</v>
      </c>
      <c r="O18" s="10">
        <f>IF(Tank4!$C$23="No control",(SUMIF(Tank4!$B$32:$B$49,$J18,Tank4!$C$32:$C$49)*Impacts!$F$11),0)</f>
        <v>0</v>
      </c>
      <c r="P18" s="10">
        <f>IF(Tank5!$C$23="No control",(SUMIF(Tank5!$B$32:$B$49,$J18,Tank5!$C$32:$C$49)*Impacts!$F$12),0)</f>
        <v>0</v>
      </c>
      <c r="Q18" s="10">
        <f>IFERROR(IF(('Loading-drum,tote'!$C$21)="No control",SUMIF(('Loading-drum,tote'!$B$31:$B$48),$J18,('Loading-drum,tote'!$D$31:$D$48))*Impacts!$F$13,IF(('Loading-drum,tote'!$C$21)&lt;&gt;"No control",SUMIF(('Loading-drum,tote'!$B$31:$B$48),$J18,('Loading-drum,tote'!$E$31:$E$48))*Impacts!$F$13,0)),0)</f>
        <v>0</v>
      </c>
      <c r="R18" s="10">
        <f>IFERROR(IF(('Loading-truck'!$C$21)="No control",SUMIF(('Loading-truck'!$B$31:$B$48),$J18,('Loading-truck'!$D$31:$D$48))*Impacts!$F$14,IF(('Loading-truck'!$C$21)&lt;&gt;"No control",SUMIF(('Loading-truck'!$B$31:$B$48),$J18,('Loading-truck'!$E$31:$E$48))*Impacts!$F$14,0)),0)</f>
        <v>0</v>
      </c>
      <c r="S18" s="10">
        <f>IFERROR(IF(('Loading-rail'!$C$21)="No control",SUMIF(('Loading-rail'!$B$31:$B$48),$J18,('Loading-rail'!$D$31:$D$48))*Impacts!$F$15,IF(('Loading-rail'!$C$21)&lt;&gt;"No control",SUMIF(('Loading-rail'!$B$31:$B$48),$J18,('Loading-rail'!$E$31:$E$48))*Impacts!$F$15,0)),0)</f>
        <v>0</v>
      </c>
      <c r="T18" s="10">
        <f>IF(Flare!$C$7="",0,(SUMIF(Flare!$B$46:$B$185,$J18,Flare!$E$46:$E$185)*Impacts!$F$16))</f>
        <v>0</v>
      </c>
      <c r="U18" s="10">
        <f>IF(VCU!$C$9="",0,(SUMIF(VCU!$B$51:$B$193,$J18,VCU!$E$51:$E$193)*Impacts!$F$17))</f>
        <v>0</v>
      </c>
      <c r="V18" s="10">
        <f>IF(CAS!$C$7="",0,(SUMIF(CAS!$B$31:$B$167,$J18,CAS!$E$31:$E$167)*Impacts!$F$18))</f>
        <v>0</v>
      </c>
      <c r="W18" s="10">
        <f t="shared" si="6"/>
        <v>0</v>
      </c>
      <c r="AA18" s="48"/>
      <c r="AB18" s="20"/>
      <c r="AC18" s="10">
        <f>IF(OR(AI18=0,AI18="",ISNUMBER(MATCH(AI18,$AI$1:AI17,0))),0,MAX($AC$1:AC17)+1)</f>
        <v>0</v>
      </c>
      <c r="AD18" s="10">
        <f>IF(OR(AJ18=0,AJ18="",ISNUMBER(MATCH(AJ18,$AJ$1:AJ17,0))),0,MAX($AD$1:AD17)+1)</f>
        <v>0</v>
      </c>
      <c r="AE18" s="10">
        <f>IF(OR(AK18=0,AK18="",ISNUMBER(MATCH(AK18,$AK$1:AK17,0))),0,MAX($AE$1:AE17)+1)</f>
        <v>0</v>
      </c>
      <c r="AF18" s="10">
        <f>IF(OR(AH18=0,ISNUMBER(MATCH(AH18,$AH$1:AH17,0))),0,MAX($AF$1:AF17)+1)</f>
        <v>0</v>
      </c>
      <c r="AG18" s="10">
        <f>Tank1!$C$23</f>
        <v>0</v>
      </c>
      <c r="AH18" s="10">
        <f>Tank1!A49</f>
        <v>0</v>
      </c>
      <c r="AI18" s="10" t="str">
        <f t="shared" si="0"/>
        <v/>
      </c>
      <c r="AJ18" s="10" t="str">
        <f>IF($AH18=0,"",IF($AG18=AJ$1,$AH18,""))</f>
        <v/>
      </c>
      <c r="AK18" s="10" t="str">
        <f>IF($AH18=0,"",IF($AG18=AK$1,$AH18,""))</f>
        <v/>
      </c>
      <c r="AL18" s="17" t="str">
        <f t="shared" si="2"/>
        <v/>
      </c>
      <c r="AM18" s="20" t="str">
        <f t="shared" si="3"/>
        <v/>
      </c>
      <c r="AN18" s="10" t="str">
        <f t="shared" si="4"/>
        <v/>
      </c>
      <c r="AO18" s="17" t="str">
        <f t="shared" si="5"/>
        <v/>
      </c>
      <c r="BC18" s="17"/>
      <c r="BD18" s="10" t="s">
        <v>10637</v>
      </c>
      <c r="BE18" s="10" t="s">
        <v>139</v>
      </c>
      <c r="BF18" s="10" t="s">
        <v>8972</v>
      </c>
      <c r="BG18" s="897" t="s">
        <v>10631</v>
      </c>
      <c r="BH18" s="72"/>
      <c r="BI18" s="79" t="s">
        <v>8954</v>
      </c>
      <c r="BJ18" s="105" t="s">
        <v>10103</v>
      </c>
      <c r="BK18" s="658">
        <f>Baseline!$J$19</f>
        <v>0</v>
      </c>
      <c r="BL18" s="658">
        <f>Baseline!$J$6</f>
        <v>0</v>
      </c>
      <c r="BM18" s="656">
        <f>EmissionSummary!U18</f>
        <v>0</v>
      </c>
      <c r="BN18" s="656">
        <f t="shared" ref="BN18" si="12">IF(BM18=0,0,BO18+BM18-BK18)</f>
        <v>0</v>
      </c>
      <c r="BO18" s="657">
        <f>EmissionSummary!T18</f>
        <v>0</v>
      </c>
      <c r="BP18" s="663">
        <f t="shared" si="10"/>
        <v>0</v>
      </c>
      <c r="BQ18" s="10" t="s">
        <v>44</v>
      </c>
      <c r="BU18" s="603" t="s">
        <v>2</v>
      </c>
      <c r="BV18" s="606" t="s">
        <v>8495</v>
      </c>
      <c r="BW18" s="606" t="s">
        <v>8703</v>
      </c>
      <c r="BX18" s="606" t="s">
        <v>8491</v>
      </c>
      <c r="BY18" s="606" t="s">
        <v>8944</v>
      </c>
      <c r="BZ18" s="606" t="s">
        <v>10105</v>
      </c>
      <c r="CA18" s="606" t="s">
        <v>8937</v>
      </c>
      <c r="CB18" s="606" t="s">
        <v>3</v>
      </c>
      <c r="CC18" s="606"/>
      <c r="CD18" s="606" t="s">
        <v>10102</v>
      </c>
      <c r="CE18" s="606"/>
      <c r="CF18" s="606"/>
      <c r="CG18" s="606" t="s">
        <v>10103</v>
      </c>
      <c r="CH18" s="729"/>
    </row>
    <row r="19" spans="1:86" ht="21" customHeight="1" thickBot="1" x14ac:dyDescent="0.3">
      <c r="A19" s="10"/>
      <c r="B19" s="16" t="s">
        <v>27</v>
      </c>
      <c r="C19" s="10">
        <v>100</v>
      </c>
      <c r="D19" s="10">
        <v>249</v>
      </c>
      <c r="E19" s="17">
        <v>249</v>
      </c>
      <c r="I19" s="436" t="s">
        <v>3459</v>
      </c>
      <c r="J19" s="26" t="s">
        <v>3458</v>
      </c>
      <c r="K19" s="10">
        <v>9.7000000000000011</v>
      </c>
      <c r="L19" s="73">
        <f>IF(Tank1!$C$23="No control",(SUMIF(Tank1!$B$32:$B$49,$J19,Tank1!$C$32:$C$49)*Impacts!$F$8),0)</f>
        <v>0</v>
      </c>
      <c r="M19" s="10">
        <f>IF(Tank2!$C$23="No control",(SUMIF(Tank2!$B$32:$B$49,$J19,Tank2!$C$32:$C$49)*Impacts!$F$9),0)</f>
        <v>0</v>
      </c>
      <c r="N19" s="10">
        <f>IF(Tank3!$C$23="No control",(SUMIF(Tank3!$B$32:$B$49,$J19,Tank3!$C$32:$C$49)*Impacts!$F$10),0)</f>
        <v>0</v>
      </c>
      <c r="O19" s="10">
        <f>IF(Tank4!$C$23="No control",(SUMIF(Tank4!$B$32:$B$49,$J19,Tank4!$C$32:$C$49)*Impacts!$F$11),0)</f>
        <v>0</v>
      </c>
      <c r="P19" s="10">
        <f>IF(Tank5!$C$23="No control",(SUMIF(Tank5!$B$32:$B$49,$J19,Tank5!$C$32:$C$49)*Impacts!$F$12),0)</f>
        <v>0</v>
      </c>
      <c r="Q19" s="10">
        <f>IFERROR(IF(('Loading-drum,tote'!$C$21)="No control",SUMIF(('Loading-drum,tote'!$B$31:$B$48),$J19,('Loading-drum,tote'!$D$31:$D$48))*Impacts!$F$13,IF(('Loading-drum,tote'!$C$21)&lt;&gt;"No control",SUMIF(('Loading-drum,tote'!$B$31:$B$48),$J19,('Loading-drum,tote'!$E$31:$E$48))*Impacts!$F$13,0)),0)</f>
        <v>0</v>
      </c>
      <c r="R19" s="10">
        <f>IFERROR(IF(('Loading-truck'!$C$21)="No control",SUMIF(('Loading-truck'!$B$31:$B$48),$J19,('Loading-truck'!$D$31:$D$48))*Impacts!$F$14,IF(('Loading-truck'!$C$21)&lt;&gt;"No control",SUMIF(('Loading-truck'!$B$31:$B$48),$J19,('Loading-truck'!$E$31:$E$48))*Impacts!$F$14,0)),0)</f>
        <v>0</v>
      </c>
      <c r="S19" s="10">
        <f>IFERROR(IF(('Loading-rail'!$C$21)="No control",SUMIF(('Loading-rail'!$B$31:$B$48),$J19,('Loading-rail'!$D$31:$D$48))*Impacts!$F$15,IF(('Loading-rail'!$C$21)&lt;&gt;"No control",SUMIF(('Loading-rail'!$B$31:$B$48),$J19,('Loading-rail'!$E$31:$E$48))*Impacts!$F$15,0)),0)</f>
        <v>0</v>
      </c>
      <c r="T19" s="10">
        <f>IF(Flare!$C$7="",0,(SUMIF(Flare!$B$46:$B$185,$J19,Flare!$E$46:$E$185)*Impacts!$F$16))</f>
        <v>0</v>
      </c>
      <c r="U19" s="10">
        <f>IF(VCU!$C$9="",0,(SUMIF(VCU!$B$51:$B$193,$J19,VCU!$E$51:$E$193)*Impacts!$F$17))</f>
        <v>0</v>
      </c>
      <c r="V19" s="10">
        <f>IF(CAS!$C$7="",0,(SUMIF(CAS!$B$31:$B$167,$J19,CAS!$E$31:$E$167)*Impacts!$F$18))</f>
        <v>0</v>
      </c>
      <c r="W19" s="10">
        <f t="shared" si="6"/>
        <v>0</v>
      </c>
      <c r="AA19" s="48"/>
      <c r="AB19" s="75" t="s">
        <v>8359</v>
      </c>
      <c r="AC19" s="101">
        <f>IF(OR(AI19=0,AI19="",ISNUMBER(MATCH(AI19,$AI$1:AI18,0))),0,MAX($AC$1:AC18)+1)</f>
        <v>0</v>
      </c>
      <c r="AD19" s="101">
        <f>IF(OR(AJ19=0,AJ19="",ISNUMBER(MATCH(AJ19,$AJ$1:AJ18,0))),0,MAX($AD$1:AD18)+1)</f>
        <v>0</v>
      </c>
      <c r="AE19" s="101">
        <f>IF(OR(AK19=0,AK19="",ISNUMBER(MATCH(AK19,$AK$1:AK18,0))),0,MAX($AE$1:AE18)+1)</f>
        <v>0</v>
      </c>
      <c r="AF19" s="101">
        <f>IF(OR(AH19=0,ISNUMBER(MATCH(AH19,$AH$1:AH18,0))),0,MAX($AF$1:AF18)+1)</f>
        <v>0</v>
      </c>
      <c r="AG19" s="101">
        <f>Tank2!$C$23</f>
        <v>0</v>
      </c>
      <c r="AH19" s="101">
        <f>Tank2!A33</f>
        <v>0</v>
      </c>
      <c r="AI19" s="101" t="str">
        <f t="shared" si="0"/>
        <v/>
      </c>
      <c r="AJ19" s="101" t="str">
        <f t="shared" si="1"/>
        <v/>
      </c>
      <c r="AK19" s="101" t="str">
        <f t="shared" si="1"/>
        <v/>
      </c>
      <c r="AL19" s="103" t="str">
        <f t="shared" si="2"/>
        <v/>
      </c>
      <c r="AM19" s="20" t="str">
        <f t="shared" si="3"/>
        <v/>
      </c>
      <c r="AN19" s="10" t="str">
        <f t="shared" si="4"/>
        <v/>
      </c>
      <c r="AO19" s="17" t="str">
        <f t="shared" si="5"/>
        <v/>
      </c>
      <c r="BC19" s="17"/>
      <c r="BD19" s="10" t="s">
        <v>10637</v>
      </c>
      <c r="BE19" s="10" t="s">
        <v>156</v>
      </c>
      <c r="BF19" s="10" t="s">
        <v>8972</v>
      </c>
      <c r="BG19" s="897" t="s">
        <v>10631</v>
      </c>
      <c r="BH19" s="72"/>
      <c r="BI19" s="79" t="s">
        <v>8955</v>
      </c>
      <c r="BJ19" s="589"/>
      <c r="BK19" s="665"/>
      <c r="BL19" s="665"/>
      <c r="BM19" s="666"/>
      <c r="BN19" s="666"/>
      <c r="BO19" s="667"/>
      <c r="BP19" s="668"/>
      <c r="BQ19" s="10" t="s">
        <v>47</v>
      </c>
      <c r="BR19" s="10" t="s">
        <v>10176</v>
      </c>
      <c r="BS19" s="10" t="s">
        <v>10177</v>
      </c>
      <c r="BT19" s="10" t="s">
        <v>9199</v>
      </c>
      <c r="BU19" s="604" t="s">
        <v>9003</v>
      </c>
      <c r="BV19" s="601" t="b">
        <f>IF(BW3,NOT(ISBLANK(Baseline!B6)),TRUE)</f>
        <v>1</v>
      </c>
      <c r="BW19" s="601" t="b">
        <f>IF(BX3,NOT(ISBLANK(Baseline!C6)),TRUE)</f>
        <v>1</v>
      </c>
      <c r="BX19" s="601" t="b">
        <f>IF(BY3,NOT(ISBLANK(Baseline!D6)),TRUE)</f>
        <v>1</v>
      </c>
      <c r="BY19" s="601" t="b">
        <f>IF(BZ3,NOT(ISBLANK(Baseline!E6)),TRUE)</f>
        <v>1</v>
      </c>
      <c r="BZ19" s="601" t="b">
        <f>IF(CA3,NOT(ISBLANK(Baseline!F6)),TRUE)</f>
        <v>1</v>
      </c>
      <c r="CA19" s="601" t="b">
        <f>IF(CB3,NOT(ISBLANK(Baseline!G6)),TRUE)</f>
        <v>1</v>
      </c>
      <c r="CB19" s="601" t="b">
        <f>IF(CC3,NOT(ISBLANK(Baseline!H6)),TRUE)</f>
        <v>1</v>
      </c>
      <c r="CC19" s="601"/>
      <c r="CD19" s="601" t="b">
        <f>IF(CE3,NOT(ISBLANK(Baseline!I6)),TRUE)</f>
        <v>1</v>
      </c>
      <c r="CE19" s="601"/>
      <c r="CF19" s="601"/>
      <c r="CG19" s="601" t="b">
        <f>IF(CH3,NOT(ISBLANK(Baseline!J6)),TRUE)</f>
        <v>1</v>
      </c>
      <c r="CH19" s="637"/>
    </row>
    <row r="20" spans="1:86" ht="21" customHeight="1" x14ac:dyDescent="0.25">
      <c r="A20" s="10"/>
      <c r="B20" s="16" t="s">
        <v>28</v>
      </c>
      <c r="C20" s="10">
        <v>100</v>
      </c>
      <c r="D20" s="10">
        <v>249</v>
      </c>
      <c r="E20" s="17">
        <v>249</v>
      </c>
      <c r="I20" s="436" t="s">
        <v>764</v>
      </c>
      <c r="J20" s="26" t="s">
        <v>763</v>
      </c>
      <c r="K20" s="10">
        <v>57</v>
      </c>
      <c r="L20" s="73">
        <f>IF(Tank1!$C$23="No control",(SUMIF(Tank1!$B$32:$B$49,$J20,Tank1!$C$32:$C$49)*Impacts!$F$8),0)</f>
        <v>0</v>
      </c>
      <c r="M20" s="10">
        <f>IF(Tank2!$C$23="No control",(SUMIF(Tank2!$B$32:$B$49,$J20,Tank2!$C$32:$C$49)*Impacts!$F$9),0)</f>
        <v>0</v>
      </c>
      <c r="N20" s="10">
        <f>IF(Tank3!$C$23="No control",(SUMIF(Tank3!$B$32:$B$49,$J20,Tank3!$C$32:$C$49)*Impacts!$F$10),0)</f>
        <v>0</v>
      </c>
      <c r="O20" s="10">
        <f>IF(Tank4!$C$23="No control",(SUMIF(Tank4!$B$32:$B$49,$J20,Tank4!$C$32:$C$49)*Impacts!$F$11),0)</f>
        <v>0</v>
      </c>
      <c r="P20" s="10">
        <f>IF(Tank5!$C$23="No control",(SUMIF(Tank5!$B$32:$B$49,$J20,Tank5!$C$32:$C$49)*Impacts!$F$12),0)</f>
        <v>0</v>
      </c>
      <c r="Q20" s="10">
        <f>IFERROR(IF(('Loading-drum,tote'!$C$21)="No control",SUMIF(('Loading-drum,tote'!$B$31:$B$48),$J20,('Loading-drum,tote'!$D$31:$D$48))*Impacts!$F$13,IF(('Loading-drum,tote'!$C$21)&lt;&gt;"No control",SUMIF(('Loading-drum,tote'!$B$31:$B$48),$J20,('Loading-drum,tote'!$E$31:$E$48))*Impacts!$F$13,0)),0)</f>
        <v>0</v>
      </c>
      <c r="R20" s="10">
        <f>IFERROR(IF(('Loading-truck'!$C$21)="No control",SUMIF(('Loading-truck'!$B$31:$B$48),$J20,('Loading-truck'!$D$31:$D$48))*Impacts!$F$14,IF(('Loading-truck'!$C$21)&lt;&gt;"No control",SUMIF(('Loading-truck'!$B$31:$B$48),$J20,('Loading-truck'!$E$31:$E$48))*Impacts!$F$14,0)),0)</f>
        <v>0</v>
      </c>
      <c r="S20" s="10">
        <f>IFERROR(IF(('Loading-rail'!$C$21)="No control",SUMIF(('Loading-rail'!$B$31:$B$48),$J20,('Loading-rail'!$D$31:$D$48))*Impacts!$F$15,IF(('Loading-rail'!$C$21)&lt;&gt;"No control",SUMIF(('Loading-rail'!$B$31:$B$48),$J20,('Loading-rail'!$E$31:$E$48))*Impacts!$F$15,0)),0)</f>
        <v>0</v>
      </c>
      <c r="T20" s="10">
        <f>IF(Flare!$C$7="",0,(SUMIF(Flare!$B$46:$B$185,$J20,Flare!$E$46:$E$185)*Impacts!$F$16))</f>
        <v>0</v>
      </c>
      <c r="U20" s="10">
        <f>IF(VCU!$C$9="",0,(SUMIF(VCU!$B$51:$B$193,$J20,VCU!$E$51:$E$193)*Impacts!$F$17))</f>
        <v>0</v>
      </c>
      <c r="V20" s="10">
        <f>IF(CAS!$C$7="",0,(SUMIF(CAS!$B$31:$B$167,$J20,CAS!$E$31:$E$167)*Impacts!$F$18))</f>
        <v>0</v>
      </c>
      <c r="W20" s="10">
        <f t="shared" si="6"/>
        <v>0</v>
      </c>
      <c r="AA20" s="48"/>
      <c r="AB20" s="20"/>
      <c r="AC20" s="10">
        <f>IF(OR(AI20=0,AI20="",ISNUMBER(MATCH(AI20,$AI$1:AI19,0))),0,MAX($AC$1:AC19)+1)</f>
        <v>0</v>
      </c>
      <c r="AD20" s="10">
        <f>IF(OR(AJ20=0,AJ20="",ISNUMBER(MATCH(AJ20,$AJ$1:AJ19,0))),0,MAX($AD$1:AD19)+1)</f>
        <v>0</v>
      </c>
      <c r="AE20" s="10">
        <f>IF(OR(AK20=0,AK20="",ISNUMBER(MATCH(AK20,$AK$1:AK19,0))),0,MAX($AE$1:AE19)+1)</f>
        <v>0</v>
      </c>
      <c r="AF20" s="10">
        <f>IF(OR(AH20=0,ISNUMBER(MATCH(AH20,$AH$1:AH19,0))),0,MAX($AF$1:AF19)+1)</f>
        <v>0</v>
      </c>
      <c r="AG20" s="10">
        <f>Tank2!$C$23</f>
        <v>0</v>
      </c>
      <c r="AH20" s="10">
        <f>Tank2!A34</f>
        <v>0</v>
      </c>
      <c r="AI20" s="10" t="str">
        <f t="shared" si="0"/>
        <v/>
      </c>
      <c r="AJ20" s="10" t="str">
        <f>IF($AH20=0,"",IF($AG20=AJ$1,$AH20,""))</f>
        <v/>
      </c>
      <c r="AK20" s="10" t="str">
        <f>IF($AH20=0,"",IF($AG20=AK$1,$AH20,""))</f>
        <v/>
      </c>
      <c r="AL20" s="17" t="str">
        <f t="shared" si="2"/>
        <v/>
      </c>
      <c r="AM20" s="20" t="str">
        <f t="shared" si="3"/>
        <v/>
      </c>
      <c r="AN20" s="10" t="str">
        <f t="shared" si="4"/>
        <v/>
      </c>
      <c r="AO20" s="17" t="str">
        <f t="shared" si="5"/>
        <v/>
      </c>
      <c r="BC20" s="17"/>
      <c r="BD20" s="10" t="s">
        <v>10637</v>
      </c>
      <c r="BE20" s="10" t="s">
        <v>180</v>
      </c>
      <c r="BF20" s="10" t="s">
        <v>8972</v>
      </c>
      <c r="BG20" s="897" t="s">
        <v>10631</v>
      </c>
      <c r="BH20" s="72"/>
      <c r="BI20" s="79" t="s">
        <v>8956</v>
      </c>
      <c r="BJ20" s="105" t="s">
        <v>10158</v>
      </c>
      <c r="BK20" s="658">
        <f t="shared" ref="BK20:BP20" si="13">BK8</f>
        <v>0</v>
      </c>
      <c r="BL20" s="658">
        <f t="shared" si="13"/>
        <v>0</v>
      </c>
      <c r="BM20" s="656">
        <f t="shared" si="13"/>
        <v>0</v>
      </c>
      <c r="BN20" s="656">
        <f t="shared" ref="BN20:BN23" si="14">IF(BM20=0,0,BO20+BM20-BK20)</f>
        <v>0</v>
      </c>
      <c r="BO20" s="657">
        <f t="shared" si="13"/>
        <v>0</v>
      </c>
      <c r="BP20" s="663">
        <f t="shared" si="13"/>
        <v>0</v>
      </c>
      <c r="BQ20" s="10" t="s">
        <v>55</v>
      </c>
      <c r="BR20" s="10" t="s">
        <v>1</v>
      </c>
      <c r="BS20" s="10">
        <f>IF(Tank1!C20="Yes",1,0)+
IF(Tank2!C20="Yes",1,0)+
IF(Tank3!C20="Yes",1,0)+
IF(Tank4!C20="Yes",1,0)+
IF(Tank5!C20="Yes",1,0)</f>
        <v>0</v>
      </c>
      <c r="BU20" s="604" t="s">
        <v>10106</v>
      </c>
      <c r="BV20" s="601" t="b">
        <f>IF(BW4,NOT(ISBLANK(Baseline!B7)),TRUE)</f>
        <v>1</v>
      </c>
      <c r="BW20" s="601" t="b">
        <f>IF(BX4,NOT(ISBLANK(Baseline!C7)),TRUE)</f>
        <v>1</v>
      </c>
      <c r="BX20" s="601" t="b">
        <f>IF(BY4,NOT(ISBLANK(Baseline!D7)),TRUE)</f>
        <v>1</v>
      </c>
      <c r="BY20" s="601" t="b">
        <f>IF(BZ4,NOT(ISBLANK(Baseline!E7)),TRUE)</f>
        <v>1</v>
      </c>
      <c r="BZ20" s="601" t="b">
        <f>IF(CA4,NOT(ISBLANK(Baseline!F7)),TRUE)</f>
        <v>1</v>
      </c>
      <c r="CA20" s="601" t="b">
        <f>IF(CB4,NOT(ISBLANK(Baseline!G7)),TRUE)</f>
        <v>1</v>
      </c>
      <c r="CB20" s="601" t="b">
        <f>IF(CC4,NOT(ISBLANK(Baseline!H7)),TRUE)</f>
        <v>1</v>
      </c>
      <c r="CC20" s="601"/>
      <c r="CD20" s="601" t="b">
        <f>IF(CE4,NOT(ISBLANK(Baseline!I7)),TRUE)</f>
        <v>1</v>
      </c>
      <c r="CE20" s="601"/>
      <c r="CF20" s="601"/>
      <c r="CG20" s="601" t="b">
        <f>IF(CH4,NOT(ISBLANK(Baseline!J7)),TRUE)</f>
        <v>1</v>
      </c>
      <c r="CH20" s="637"/>
    </row>
    <row r="21" spans="1:86" ht="21" customHeight="1" x14ac:dyDescent="0.25">
      <c r="A21" s="10"/>
      <c r="B21" s="16" t="s">
        <v>29</v>
      </c>
      <c r="C21" s="10">
        <v>100</v>
      </c>
      <c r="D21" s="10">
        <v>249</v>
      </c>
      <c r="E21" s="17">
        <v>249</v>
      </c>
      <c r="I21" s="436" t="s">
        <v>5009</v>
      </c>
      <c r="J21" s="26" t="s">
        <v>5008</v>
      </c>
      <c r="K21" s="10">
        <v>2.4000000000000004</v>
      </c>
      <c r="L21" s="73">
        <f>IF(Tank1!$C$23="No control",(SUMIF(Tank1!$B$32:$B$49,$J21,Tank1!$C$32:$C$49)*Impacts!$F$8),0)</f>
        <v>0</v>
      </c>
      <c r="M21" s="10">
        <f>IF(Tank2!$C$23="No control",(SUMIF(Tank2!$B$32:$B$49,$J21,Tank2!$C$32:$C$49)*Impacts!$F$9),0)</f>
        <v>0</v>
      </c>
      <c r="N21" s="10">
        <f>IF(Tank3!$C$23="No control",(SUMIF(Tank3!$B$32:$B$49,$J21,Tank3!$C$32:$C$49)*Impacts!$F$10),0)</f>
        <v>0</v>
      </c>
      <c r="O21" s="10">
        <f>IF(Tank4!$C$23="No control",(SUMIF(Tank4!$B$32:$B$49,$J21,Tank4!$C$32:$C$49)*Impacts!$F$11),0)</f>
        <v>0</v>
      </c>
      <c r="P21" s="10">
        <f>IF(Tank5!$C$23="No control",(SUMIF(Tank5!$B$32:$B$49,$J21,Tank5!$C$32:$C$49)*Impacts!$F$12),0)</f>
        <v>0</v>
      </c>
      <c r="Q21" s="10">
        <f>IFERROR(IF(('Loading-drum,tote'!$C$21)="No control",SUMIF(('Loading-drum,tote'!$B$31:$B$48),$J21,('Loading-drum,tote'!$D$31:$D$48))*Impacts!$F$13,IF(('Loading-drum,tote'!$C$21)&lt;&gt;"No control",SUMIF(('Loading-drum,tote'!$B$31:$B$48),$J21,('Loading-drum,tote'!$E$31:$E$48))*Impacts!$F$13,0)),0)</f>
        <v>0</v>
      </c>
      <c r="R21" s="10">
        <f>IFERROR(IF(('Loading-truck'!$C$21)="No control",SUMIF(('Loading-truck'!$B$31:$B$48),$J21,('Loading-truck'!$D$31:$D$48))*Impacts!$F$14,IF(('Loading-truck'!$C$21)&lt;&gt;"No control",SUMIF(('Loading-truck'!$B$31:$B$48),$J21,('Loading-truck'!$E$31:$E$48))*Impacts!$F$14,0)),0)</f>
        <v>0</v>
      </c>
      <c r="S21" s="10">
        <f>IFERROR(IF(('Loading-rail'!$C$21)="No control",SUMIF(('Loading-rail'!$B$31:$B$48),$J21,('Loading-rail'!$D$31:$D$48))*Impacts!$F$15,IF(('Loading-rail'!$C$21)&lt;&gt;"No control",SUMIF(('Loading-rail'!$B$31:$B$48),$J21,('Loading-rail'!$E$31:$E$48))*Impacts!$F$15,0)),0)</f>
        <v>0</v>
      </c>
      <c r="T21" s="10">
        <f>IF(Flare!$C$7="",0,(SUMIF(Flare!$B$46:$B$185,$J21,Flare!$E$46:$E$185)*Impacts!$F$16))</f>
        <v>0</v>
      </c>
      <c r="U21" s="10">
        <f>IF(VCU!$C$9="",0,(SUMIF(VCU!$B$51:$B$193,$J21,VCU!$E$51:$E$193)*Impacts!$F$17))</f>
        <v>0</v>
      </c>
      <c r="V21" s="10">
        <f>IF(CAS!$C$7="",0,(SUMIF(CAS!$B$31:$B$167,$J21,CAS!$E$31:$E$167)*Impacts!$F$18))</f>
        <v>0</v>
      </c>
      <c r="W21" s="10">
        <f t="shared" si="6"/>
        <v>0</v>
      </c>
      <c r="AA21" s="48"/>
      <c r="AB21" s="20"/>
      <c r="AC21" s="10">
        <f>IF(OR(AI21=0,AI21="",ISNUMBER(MATCH(AI21,$AI$1:AI20,0))),0,MAX($AC$1:AC20)+1)</f>
        <v>0</v>
      </c>
      <c r="AD21" s="10">
        <f>IF(OR(AJ21=0,AJ21="",ISNUMBER(MATCH(AJ21,$AJ$1:AJ20,0))),0,MAX($AD$1:AD20)+1)</f>
        <v>0</v>
      </c>
      <c r="AE21" s="10">
        <f>IF(OR(AK21=0,AK21="",ISNUMBER(MATCH(AK21,$AK$1:AK20,0))),0,MAX($AE$1:AE20)+1)</f>
        <v>0</v>
      </c>
      <c r="AF21" s="10">
        <f>IF(OR(AH21=0,ISNUMBER(MATCH(AH21,$AH$1:AH20,0))),0,MAX($AF$1:AF20)+1)</f>
        <v>0</v>
      </c>
      <c r="AG21" s="10">
        <f>Tank2!$C$23</f>
        <v>0</v>
      </c>
      <c r="AH21" s="10">
        <f>Tank2!A35</f>
        <v>0</v>
      </c>
      <c r="AI21" s="10" t="str">
        <f t="shared" ref="AI21:AK55" si="15">IF($AH21=0,"",IF($AG21=AI$1,$AH21,""))</f>
        <v/>
      </c>
      <c r="AJ21" s="10" t="str">
        <f t="shared" si="15"/>
        <v/>
      </c>
      <c r="AK21" s="10" t="str">
        <f t="shared" si="15"/>
        <v/>
      </c>
      <c r="AL21" s="17" t="str">
        <f t="shared" si="2"/>
        <v/>
      </c>
      <c r="AM21" s="20" t="str">
        <f t="shared" si="3"/>
        <v/>
      </c>
      <c r="AN21" s="10" t="str">
        <f t="shared" si="4"/>
        <v/>
      </c>
      <c r="AO21" s="17" t="str">
        <f t="shared" si="5"/>
        <v/>
      </c>
      <c r="BC21" s="17"/>
      <c r="BD21" s="10" t="s">
        <v>10639</v>
      </c>
      <c r="BE21" s="10" t="s">
        <v>185</v>
      </c>
      <c r="BF21" s="10" t="s">
        <v>8937</v>
      </c>
      <c r="BH21" s="10" t="str">
        <f>BE21</f>
        <v>Navarro</v>
      </c>
      <c r="BI21" s="79" t="s">
        <v>8957</v>
      </c>
      <c r="BJ21" s="664" t="s">
        <v>8933</v>
      </c>
      <c r="BK21" s="656">
        <f t="shared" ref="BK21:BP21" si="16">BK13</f>
        <v>0</v>
      </c>
      <c r="BL21" s="658">
        <f t="shared" si="16"/>
        <v>0</v>
      </c>
      <c r="BM21" s="656">
        <f t="shared" si="16"/>
        <v>0</v>
      </c>
      <c r="BN21" s="656">
        <f t="shared" si="14"/>
        <v>0</v>
      </c>
      <c r="BO21" s="657">
        <f t="shared" si="16"/>
        <v>0</v>
      </c>
      <c r="BP21" s="663">
        <f t="shared" si="16"/>
        <v>0</v>
      </c>
      <c r="BQ21" s="10" t="s">
        <v>56</v>
      </c>
      <c r="BS21" s="10">
        <f>IF(BT21=0,0,1)</f>
        <v>0</v>
      </c>
      <c r="BT21" s="10">
        <f>IF(Tank1!$C$20="Yes",Tank1!$C$7,0)</f>
        <v>0</v>
      </c>
      <c r="BU21" s="625" t="s">
        <v>8369</v>
      </c>
      <c r="BV21" s="600" t="b">
        <f>IF(BW5,NOT(ISBLANK(Baseline!B8)),TRUE)</f>
        <v>1</v>
      </c>
      <c r="BW21" s="600" t="b">
        <f>IF(BX5,NOT(ISBLANK(Baseline!C8)),TRUE)</f>
        <v>1</v>
      </c>
      <c r="BX21" s="600" t="b">
        <f>IF(BY5,NOT(ISBLANK(Baseline!D8)),TRUE)</f>
        <v>1</v>
      </c>
      <c r="BY21" s="600" t="b">
        <f>IF(BZ5,NOT(ISBLANK(Baseline!E8)),TRUE)</f>
        <v>1</v>
      </c>
      <c r="BZ21" s="600" t="b">
        <f>IF(CA5,NOT(ISBLANK(Baseline!F8)),TRUE)</f>
        <v>1</v>
      </c>
      <c r="CA21" s="600" t="b">
        <f>IF(CB5,NOT(ISBLANK(Baseline!G8)),TRUE)</f>
        <v>1</v>
      </c>
      <c r="CB21" s="596" t="b">
        <f>IF(CC5,NOT(ISBLANK(Baseline!H8)),TRUE)</f>
        <v>1</v>
      </c>
      <c r="CC21" s="596"/>
      <c r="CD21" s="596" t="b">
        <f>IF(CE5,NOT(ISBLANK(Baseline!I8)),TRUE)</f>
        <v>1</v>
      </c>
      <c r="CE21" s="596"/>
      <c r="CF21" s="596"/>
      <c r="CG21" s="596" t="b">
        <f>IF(CH5,NOT(ISBLANK(Baseline!J8)),TRUE)</f>
        <v>1</v>
      </c>
      <c r="CH21" s="598"/>
    </row>
    <row r="22" spans="1:86" ht="21" customHeight="1" x14ac:dyDescent="0.25">
      <c r="A22" s="10"/>
      <c r="B22" s="16" t="s">
        <v>30</v>
      </c>
      <c r="C22" s="10">
        <v>100</v>
      </c>
      <c r="D22" s="10">
        <v>100</v>
      </c>
      <c r="E22" s="17">
        <v>249</v>
      </c>
      <c r="I22" s="436" t="s">
        <v>2195</v>
      </c>
      <c r="J22" s="26" t="s">
        <v>2194</v>
      </c>
      <c r="K22" s="10">
        <v>14</v>
      </c>
      <c r="L22" s="73">
        <f>IF(Tank1!$C$23="No control",(SUMIF(Tank1!$B$32:$B$49,$J22,Tank1!$C$32:$C$49)*Impacts!$F$8),0)</f>
        <v>0</v>
      </c>
      <c r="M22" s="10">
        <f>IF(Tank2!$C$23="No control",(SUMIF(Tank2!$B$32:$B$49,$J22,Tank2!$C$32:$C$49)*Impacts!$F$9),0)</f>
        <v>0</v>
      </c>
      <c r="N22" s="10">
        <f>IF(Tank3!$C$23="No control",(SUMIF(Tank3!$B$32:$B$49,$J22,Tank3!$C$32:$C$49)*Impacts!$F$10),0)</f>
        <v>0</v>
      </c>
      <c r="O22" s="10">
        <f>IF(Tank4!$C$23="No control",(SUMIF(Tank4!$B$32:$B$49,$J22,Tank4!$C$32:$C$49)*Impacts!$F$11),0)</f>
        <v>0</v>
      </c>
      <c r="P22" s="10">
        <f>IF(Tank5!$C$23="No control",(SUMIF(Tank5!$B$32:$B$49,$J22,Tank5!$C$32:$C$49)*Impacts!$F$12),0)</f>
        <v>0</v>
      </c>
      <c r="Q22" s="10">
        <f>IFERROR(IF(('Loading-drum,tote'!$C$21)="No control",SUMIF(('Loading-drum,tote'!$B$31:$B$48),$J22,('Loading-drum,tote'!$D$31:$D$48))*Impacts!$F$13,IF(('Loading-drum,tote'!$C$21)&lt;&gt;"No control",SUMIF(('Loading-drum,tote'!$B$31:$B$48),$J22,('Loading-drum,tote'!$E$31:$E$48))*Impacts!$F$13,0)),0)</f>
        <v>0</v>
      </c>
      <c r="R22" s="10">
        <f>IFERROR(IF(('Loading-truck'!$C$21)="No control",SUMIF(('Loading-truck'!$B$31:$B$48),$J22,('Loading-truck'!$D$31:$D$48))*Impacts!$F$14,IF(('Loading-truck'!$C$21)&lt;&gt;"No control",SUMIF(('Loading-truck'!$B$31:$B$48),$J22,('Loading-truck'!$E$31:$E$48))*Impacts!$F$14,0)),0)</f>
        <v>0</v>
      </c>
      <c r="S22" s="10">
        <f>IFERROR(IF(('Loading-rail'!$C$21)="No control",SUMIF(('Loading-rail'!$B$31:$B$48),$J22,('Loading-rail'!$D$31:$D$48))*Impacts!$F$15,IF(('Loading-rail'!$C$21)&lt;&gt;"No control",SUMIF(('Loading-rail'!$B$31:$B$48),$J22,('Loading-rail'!$E$31:$E$48))*Impacts!$F$15,0)),0)</f>
        <v>0</v>
      </c>
      <c r="T22" s="10">
        <f>IF(Flare!$C$7="",0,(SUMIF(Flare!$B$46:$B$185,$J22,Flare!$E$46:$E$185)*Impacts!$F$16))</f>
        <v>0</v>
      </c>
      <c r="U22" s="10">
        <f>IF(VCU!$C$9="",0,(SUMIF(VCU!$B$51:$B$193,$J22,VCU!$E$51:$E$193)*Impacts!$F$17))</f>
        <v>0</v>
      </c>
      <c r="V22" s="10">
        <f>IF(CAS!$C$7="",0,(SUMIF(CAS!$B$31:$B$167,$J22,CAS!$E$31:$E$167)*Impacts!$F$18))</f>
        <v>0</v>
      </c>
      <c r="W22" s="10">
        <f t="shared" si="6"/>
        <v>0</v>
      </c>
      <c r="AA22" s="48"/>
      <c r="AB22" s="20"/>
      <c r="AC22" s="10">
        <f>IF(OR(AI22=0,AI22="",ISNUMBER(MATCH(AI22,$AI$1:AI21,0))),0,MAX($AC$1:AC21)+1)</f>
        <v>0</v>
      </c>
      <c r="AD22" s="10">
        <f>IF(OR(AJ22=0,AJ22="",ISNUMBER(MATCH(AJ22,$AJ$1:AJ21,0))),0,MAX($AD$1:AD21)+1)</f>
        <v>0</v>
      </c>
      <c r="AE22" s="10">
        <f>IF(OR(AK22=0,AK22="",ISNUMBER(MATCH(AK22,$AK$1:AK21,0))),0,MAX($AE$1:AE21)+1)</f>
        <v>0</v>
      </c>
      <c r="AF22" s="10">
        <f>IF(OR(AH22=0,ISNUMBER(MATCH(AH22,$AH$1:AH21,0))),0,MAX($AF$1:AF21)+1)</f>
        <v>0</v>
      </c>
      <c r="AG22" s="10">
        <f>Tank2!$C$23</f>
        <v>0</v>
      </c>
      <c r="AH22" s="10">
        <f>Tank2!A36</f>
        <v>0</v>
      </c>
      <c r="AI22" s="10" t="str">
        <f t="shared" si="15"/>
        <v/>
      </c>
      <c r="AJ22" s="10" t="str">
        <f t="shared" si="15"/>
        <v/>
      </c>
      <c r="AK22" s="10" t="str">
        <f t="shared" si="15"/>
        <v/>
      </c>
      <c r="AL22" s="17" t="str">
        <f t="shared" si="2"/>
        <v/>
      </c>
      <c r="AM22" s="20" t="str">
        <f t="shared" si="3"/>
        <v/>
      </c>
      <c r="AN22" s="10" t="str">
        <f t="shared" si="4"/>
        <v/>
      </c>
      <c r="AO22" s="17" t="str">
        <f t="shared" si="5"/>
        <v/>
      </c>
      <c r="BC22" s="17"/>
      <c r="BD22" s="10" t="s">
        <v>10636</v>
      </c>
      <c r="BE22" s="10" t="s">
        <v>193</v>
      </c>
      <c r="BF22" s="10" t="s">
        <v>8937</v>
      </c>
      <c r="BH22" s="10" t="str">
        <f>BE22</f>
        <v>Panola</v>
      </c>
      <c r="BI22" s="79" t="s">
        <v>8958</v>
      </c>
      <c r="BJ22" s="105" t="s">
        <v>8944</v>
      </c>
      <c r="BK22" s="658">
        <f t="shared" ref="BK22:BP22" si="17">BK10</f>
        <v>0</v>
      </c>
      <c r="BL22" s="658">
        <f t="shared" si="17"/>
        <v>0</v>
      </c>
      <c r="BM22" s="656">
        <f t="shared" si="17"/>
        <v>0</v>
      </c>
      <c r="BN22" s="656">
        <f t="shared" si="14"/>
        <v>0</v>
      </c>
      <c r="BO22" s="657">
        <f t="shared" si="17"/>
        <v>0</v>
      </c>
      <c r="BP22" s="663">
        <f t="shared" si="17"/>
        <v>0</v>
      </c>
      <c r="BQ22" s="10" t="s">
        <v>59</v>
      </c>
      <c r="BS22" s="10">
        <f>IF(BT22=0,0,MAX($BS$21:BS21)+1)</f>
        <v>0</v>
      </c>
      <c r="BT22" s="10">
        <f>IF(Tank2!$C$20="Yes",Tank2!$C$7,0)</f>
        <v>0</v>
      </c>
      <c r="BU22" s="625" t="s">
        <v>8709</v>
      </c>
      <c r="BV22" s="600" t="b">
        <f>IF(BW6,NOT(ISBLANK(Baseline!B9)),TRUE)</f>
        <v>1</v>
      </c>
      <c r="BW22" s="600" t="b">
        <f>IF(BX6,NOT(ISBLANK(Baseline!C9)),TRUE)</f>
        <v>1</v>
      </c>
      <c r="BX22" s="600" t="b">
        <f>IF(BY6,NOT(ISBLANK(Baseline!D9)),TRUE)</f>
        <v>1</v>
      </c>
      <c r="BY22" s="600" t="b">
        <f>IF(BZ6,NOT(ISBLANK(Baseline!E9)),TRUE)</f>
        <v>1</v>
      </c>
      <c r="BZ22" s="600" t="b">
        <f>IF(CA6,NOT(ISBLANK(Baseline!F9)),TRUE)</f>
        <v>1</v>
      </c>
      <c r="CA22" s="600" t="b">
        <f>IF(CB6,NOT(ISBLANK(Baseline!G9)),TRUE)</f>
        <v>1</v>
      </c>
      <c r="CB22" s="596" t="b">
        <f>IF(CC6,NOT(ISBLANK(Baseline!H9)),TRUE)</f>
        <v>1</v>
      </c>
      <c r="CC22" s="596"/>
      <c r="CD22" s="596" t="b">
        <f>IF(CE6,NOT(ISBLANK(Baseline!I9)),TRUE)</f>
        <v>1</v>
      </c>
      <c r="CE22" s="596"/>
      <c r="CF22" s="596"/>
      <c r="CG22" s="596" t="b">
        <f>IF(CH6,NOT(ISBLANK(Baseline!J9)),TRUE)</f>
        <v>1</v>
      </c>
      <c r="CH22" s="598"/>
    </row>
    <row r="23" spans="1:86" ht="21" customHeight="1" thickBot="1" x14ac:dyDescent="0.3">
      <c r="A23" s="10"/>
      <c r="B23" s="16" t="s">
        <v>31</v>
      </c>
      <c r="C23" s="10">
        <v>100</v>
      </c>
      <c r="D23" s="10">
        <v>249</v>
      </c>
      <c r="E23" s="17">
        <v>249</v>
      </c>
      <c r="I23" s="436" t="s">
        <v>2385</v>
      </c>
      <c r="J23" s="26" t="s">
        <v>2384</v>
      </c>
      <c r="K23" s="10">
        <v>10</v>
      </c>
      <c r="L23" s="73">
        <f>IF(Tank1!$C$23="No control",(SUMIF(Tank1!$B$32:$B$49,$J23,Tank1!$C$32:$C$49)*Impacts!$F$8),0)</f>
        <v>0</v>
      </c>
      <c r="M23" s="10">
        <f>IF(Tank2!$C$23="No control",(SUMIF(Tank2!$B$32:$B$49,$J23,Tank2!$C$32:$C$49)*Impacts!$F$9),0)</f>
        <v>0</v>
      </c>
      <c r="N23" s="10">
        <f>IF(Tank3!$C$23="No control",(SUMIF(Tank3!$B$32:$B$49,$J23,Tank3!$C$32:$C$49)*Impacts!$F$10),0)</f>
        <v>0</v>
      </c>
      <c r="O23" s="10">
        <f>IF(Tank4!$C$23="No control",(SUMIF(Tank4!$B$32:$B$49,$J23,Tank4!$C$32:$C$49)*Impacts!$F$11),0)</f>
        <v>0</v>
      </c>
      <c r="P23" s="10">
        <f>IF(Tank5!$C$23="No control",(SUMIF(Tank5!$B$32:$B$49,$J23,Tank5!$C$32:$C$49)*Impacts!$F$12),0)</f>
        <v>0</v>
      </c>
      <c r="Q23" s="10">
        <f>IFERROR(IF(('Loading-drum,tote'!$C$21)="No control",SUMIF(('Loading-drum,tote'!$B$31:$B$48),$J23,('Loading-drum,tote'!$D$31:$D$48))*Impacts!$F$13,IF(('Loading-drum,tote'!$C$21)&lt;&gt;"No control",SUMIF(('Loading-drum,tote'!$B$31:$B$48),$J23,('Loading-drum,tote'!$E$31:$E$48))*Impacts!$F$13,0)),0)</f>
        <v>0</v>
      </c>
      <c r="R23" s="10">
        <f>IFERROR(IF(('Loading-truck'!$C$21)="No control",SUMIF(('Loading-truck'!$B$31:$B$48),$J23,('Loading-truck'!$D$31:$D$48))*Impacts!$F$14,IF(('Loading-truck'!$C$21)&lt;&gt;"No control",SUMIF(('Loading-truck'!$B$31:$B$48),$J23,('Loading-truck'!$E$31:$E$48))*Impacts!$F$14,0)),0)</f>
        <v>0</v>
      </c>
      <c r="S23" s="10">
        <f>IFERROR(IF(('Loading-rail'!$C$21)="No control",SUMIF(('Loading-rail'!$B$31:$B$48),$J23,('Loading-rail'!$D$31:$D$48))*Impacts!$F$15,IF(('Loading-rail'!$C$21)&lt;&gt;"No control",SUMIF(('Loading-rail'!$B$31:$B$48),$J23,('Loading-rail'!$E$31:$E$48))*Impacts!$F$15,0)),0)</f>
        <v>0</v>
      </c>
      <c r="T23" s="10">
        <f>IF(Flare!$C$7="",0,(SUMIF(Flare!$B$46:$B$185,$J23,Flare!$E$46:$E$185)*Impacts!$F$16))</f>
        <v>0</v>
      </c>
      <c r="U23" s="10">
        <f>IF(VCU!$C$9="",0,(SUMIF(VCU!$B$51:$B$193,$J23,VCU!$E$51:$E$193)*Impacts!$F$17))</f>
        <v>0</v>
      </c>
      <c r="V23" s="10">
        <f>IF(CAS!$C$7="",0,(SUMIF(CAS!$B$31:$B$167,$J23,CAS!$E$31:$E$167)*Impacts!$F$18))</f>
        <v>0</v>
      </c>
      <c r="W23" s="10">
        <f t="shared" si="6"/>
        <v>0</v>
      </c>
      <c r="AA23" s="48"/>
      <c r="AB23" s="20"/>
      <c r="AC23" s="10">
        <f>IF(OR(AI23=0,AI23="",ISNUMBER(MATCH(AI23,$AI$1:AI22,0))),0,MAX($AC$1:AC22)+1)</f>
        <v>0</v>
      </c>
      <c r="AD23" s="10">
        <f>IF(OR(AJ23=0,AJ23="",ISNUMBER(MATCH(AJ23,$AJ$1:AJ22,0))),0,MAX($AD$1:AD22)+1)</f>
        <v>0</v>
      </c>
      <c r="AE23" s="10">
        <f>IF(OR(AK23=0,AK23="",ISNUMBER(MATCH(AK23,$AK$1:AK22,0))),0,MAX($AE$1:AE22)+1)</f>
        <v>0</v>
      </c>
      <c r="AF23" s="10">
        <f>IF(OR(AH23=0,ISNUMBER(MATCH(AH23,$AH$1:AH22,0))),0,MAX($AF$1:AF22)+1)</f>
        <v>0</v>
      </c>
      <c r="AG23" s="10">
        <f>Tank2!$C$23</f>
        <v>0</v>
      </c>
      <c r="AH23" s="10">
        <f>Tank2!A37</f>
        <v>0</v>
      </c>
      <c r="AI23" s="10" t="str">
        <f t="shared" si="15"/>
        <v/>
      </c>
      <c r="AJ23" s="10" t="str">
        <f t="shared" si="15"/>
        <v/>
      </c>
      <c r="AK23" s="10" t="str">
        <f t="shared" si="15"/>
        <v/>
      </c>
      <c r="AL23" s="17" t="str">
        <f t="shared" si="2"/>
        <v/>
      </c>
      <c r="AM23" s="20" t="str">
        <f t="shared" si="3"/>
        <v/>
      </c>
      <c r="AN23" s="10" t="str">
        <f t="shared" si="4"/>
        <v/>
      </c>
      <c r="AO23" s="17" t="str">
        <f t="shared" si="5"/>
        <v/>
      </c>
      <c r="BC23" s="17"/>
      <c r="BD23" s="10" t="s">
        <v>10637</v>
      </c>
      <c r="BE23" s="10" t="s">
        <v>194</v>
      </c>
      <c r="BF23" s="10" t="s">
        <v>8972</v>
      </c>
      <c r="BG23" s="897" t="s">
        <v>10631</v>
      </c>
      <c r="BH23" s="72"/>
      <c r="BI23" s="79" t="s">
        <v>8959</v>
      </c>
      <c r="BJ23" s="589" t="s">
        <v>8937</v>
      </c>
      <c r="BK23" s="665">
        <f t="shared" ref="BK23:BP23" si="18">BK12</f>
        <v>0</v>
      </c>
      <c r="BL23" s="665">
        <f t="shared" si="18"/>
        <v>0</v>
      </c>
      <c r="BM23" s="666">
        <f t="shared" si="18"/>
        <v>0</v>
      </c>
      <c r="BN23" s="666">
        <f t="shared" si="14"/>
        <v>0</v>
      </c>
      <c r="BO23" s="667">
        <f t="shared" si="18"/>
        <v>0</v>
      </c>
      <c r="BP23" s="668">
        <f t="shared" si="18"/>
        <v>0</v>
      </c>
      <c r="BQ23" s="10" t="s">
        <v>60</v>
      </c>
      <c r="BS23" s="10">
        <f>IF(BT23=0,0,MAX($BS$21:BS22)+1)</f>
        <v>0</v>
      </c>
      <c r="BT23" s="10">
        <f>IF(Tank3!$C$20="Yes",Tank3!$C$7,0)</f>
        <v>0</v>
      </c>
      <c r="BU23" s="625" t="s">
        <v>8710</v>
      </c>
      <c r="BV23" s="600" t="b">
        <f>IF(BW7,NOT(ISBLANK(Baseline!B10)),TRUE)</f>
        <v>1</v>
      </c>
      <c r="BW23" s="600" t="b">
        <f>IF(BX7,NOT(ISBLANK(Baseline!C10)),TRUE)</f>
        <v>1</v>
      </c>
      <c r="BX23" s="600" t="b">
        <f>IF(BY7,NOT(ISBLANK(Baseline!D10)),TRUE)</f>
        <v>1</v>
      </c>
      <c r="BY23" s="600" t="b">
        <f>IF(BZ7,NOT(ISBLANK(Baseline!E10)),TRUE)</f>
        <v>1</v>
      </c>
      <c r="BZ23" s="600" t="b">
        <f>IF(CA7,NOT(ISBLANK(Baseline!F10)),TRUE)</f>
        <v>1</v>
      </c>
      <c r="CA23" s="600" t="b">
        <f>IF(CB7,NOT(ISBLANK(Baseline!G10)),TRUE)</f>
        <v>1</v>
      </c>
      <c r="CB23" s="596" t="b">
        <f>IF(CC7,NOT(ISBLANK(Baseline!H10)),TRUE)</f>
        <v>1</v>
      </c>
      <c r="CC23" s="596"/>
      <c r="CD23" s="596" t="b">
        <f>IF(CE7,NOT(ISBLANK(Baseline!I10)),TRUE)</f>
        <v>1</v>
      </c>
      <c r="CE23" s="596"/>
      <c r="CF23" s="596"/>
      <c r="CG23" s="596" t="b">
        <f>IF(CH7,NOT(ISBLANK(Baseline!J10)),TRUE)</f>
        <v>1</v>
      </c>
      <c r="CH23" s="598"/>
    </row>
    <row r="24" spans="1:86" ht="21" customHeight="1" thickBot="1" x14ac:dyDescent="0.3">
      <c r="A24" s="10"/>
      <c r="B24" s="16" t="s">
        <v>32</v>
      </c>
      <c r="C24" s="10">
        <v>100</v>
      </c>
      <c r="D24" s="10">
        <v>249</v>
      </c>
      <c r="E24" s="17">
        <v>249</v>
      </c>
      <c r="I24" s="436" t="s">
        <v>7224</v>
      </c>
      <c r="J24" s="26" t="s">
        <v>7223</v>
      </c>
      <c r="K24" s="10">
        <v>0.30000000000000004</v>
      </c>
      <c r="L24" s="73">
        <f>IF(Tank1!$C$23="No control",(SUMIF(Tank1!$B$32:$B$49,$J24,Tank1!$C$32:$C$49)*Impacts!$F$8),0)</f>
        <v>0</v>
      </c>
      <c r="M24" s="10">
        <f>IF(Tank2!$C$23="No control",(SUMIF(Tank2!$B$32:$B$49,$J24,Tank2!$C$32:$C$49)*Impacts!$F$9),0)</f>
        <v>0</v>
      </c>
      <c r="N24" s="10">
        <f>IF(Tank3!$C$23="No control",(SUMIF(Tank3!$B$32:$B$49,$J24,Tank3!$C$32:$C$49)*Impacts!$F$10),0)</f>
        <v>0</v>
      </c>
      <c r="O24" s="10">
        <f>IF(Tank4!$C$23="No control",(SUMIF(Tank4!$B$32:$B$49,$J24,Tank4!$C$32:$C$49)*Impacts!$F$11),0)</f>
        <v>0</v>
      </c>
      <c r="P24" s="10">
        <f>IF(Tank5!$C$23="No control",(SUMIF(Tank5!$B$32:$B$49,$J24,Tank5!$C$32:$C$49)*Impacts!$F$12),0)</f>
        <v>0</v>
      </c>
      <c r="Q24" s="10">
        <f>IFERROR(IF(('Loading-drum,tote'!$C$21)="No control",SUMIF(('Loading-drum,tote'!$B$31:$B$48),$J24,('Loading-drum,tote'!$D$31:$D$48))*Impacts!$F$13,IF(('Loading-drum,tote'!$C$21)&lt;&gt;"No control",SUMIF(('Loading-drum,tote'!$B$31:$B$48),$J24,('Loading-drum,tote'!$E$31:$E$48))*Impacts!$F$13,0)),0)</f>
        <v>0</v>
      </c>
      <c r="R24" s="10">
        <f>IFERROR(IF(('Loading-truck'!$C$21)="No control",SUMIF(('Loading-truck'!$B$31:$B$48),$J24,('Loading-truck'!$D$31:$D$48))*Impacts!$F$14,IF(('Loading-truck'!$C$21)&lt;&gt;"No control",SUMIF(('Loading-truck'!$B$31:$B$48),$J24,('Loading-truck'!$E$31:$E$48))*Impacts!$F$14,0)),0)</f>
        <v>0</v>
      </c>
      <c r="S24" s="10">
        <f>IFERROR(IF(('Loading-rail'!$C$21)="No control",SUMIF(('Loading-rail'!$B$31:$B$48),$J24,('Loading-rail'!$D$31:$D$48))*Impacts!$F$15,IF(('Loading-rail'!$C$21)&lt;&gt;"No control",SUMIF(('Loading-rail'!$B$31:$B$48),$J24,('Loading-rail'!$E$31:$E$48))*Impacts!$F$15,0)),0)</f>
        <v>0</v>
      </c>
      <c r="T24" s="10">
        <f>IF(Flare!$C$7="",0,(SUMIF(Flare!$B$46:$B$185,$J24,Flare!$E$46:$E$185)*Impacts!$F$16))</f>
        <v>0</v>
      </c>
      <c r="U24" s="10">
        <f>IF(VCU!$C$9="",0,(SUMIF(VCU!$B$51:$B$193,$J24,VCU!$E$51:$E$193)*Impacts!$F$17))</f>
        <v>0</v>
      </c>
      <c r="V24" s="10">
        <f>IF(CAS!$C$7="",0,(SUMIF(CAS!$B$31:$B$167,$J24,CAS!$E$31:$E$167)*Impacts!$F$18))</f>
        <v>0</v>
      </c>
      <c r="W24" s="10">
        <f t="shared" si="6"/>
        <v>0</v>
      </c>
      <c r="AA24" s="48"/>
      <c r="AB24" s="20"/>
      <c r="AC24" s="10">
        <f>IF(OR(AI24=0,AI24="",ISNUMBER(MATCH(AI24,$AI$1:AI23,0))),0,MAX($AC$1:AC23)+1)</f>
        <v>0</v>
      </c>
      <c r="AD24" s="10">
        <f>IF(OR(AJ24=0,AJ24="",ISNUMBER(MATCH(AJ24,$AJ$1:AJ23,0))),0,MAX($AD$1:AD23)+1)</f>
        <v>0</v>
      </c>
      <c r="AE24" s="10">
        <f>IF(OR(AK24=0,AK24="",ISNUMBER(MATCH(AK24,$AK$1:AK23,0))),0,MAX($AE$1:AE23)+1)</f>
        <v>0</v>
      </c>
      <c r="AF24" s="10">
        <f>IF(OR(AH24=0,ISNUMBER(MATCH(AH24,$AH$1:AH23,0))),0,MAX($AF$1:AF23)+1)</f>
        <v>0</v>
      </c>
      <c r="AG24" s="10">
        <f>Tank2!$C$23</f>
        <v>0</v>
      </c>
      <c r="AH24" s="10">
        <f>Tank2!A38</f>
        <v>0</v>
      </c>
      <c r="AI24" s="10" t="str">
        <f t="shared" si="15"/>
        <v/>
      </c>
      <c r="AJ24" s="10" t="str">
        <f t="shared" si="15"/>
        <v/>
      </c>
      <c r="AK24" s="10" t="str">
        <f t="shared" si="15"/>
        <v/>
      </c>
      <c r="AL24" s="17" t="str">
        <f t="shared" si="2"/>
        <v/>
      </c>
      <c r="AM24" s="20" t="str">
        <f t="shared" si="3"/>
        <v/>
      </c>
      <c r="AN24" s="10" t="str">
        <f t="shared" si="4"/>
        <v/>
      </c>
      <c r="AO24" s="17" t="str">
        <f t="shared" si="5"/>
        <v/>
      </c>
      <c r="BC24" s="17"/>
      <c r="BD24" s="10" t="s">
        <v>10637</v>
      </c>
      <c r="BE24" s="10" t="s">
        <v>209</v>
      </c>
      <c r="BF24" s="10" t="s">
        <v>8972</v>
      </c>
      <c r="BG24" s="897" t="s">
        <v>10631</v>
      </c>
      <c r="BH24" s="72"/>
      <c r="BI24" s="79" t="s">
        <v>8960</v>
      </c>
      <c r="BJ24" s="55"/>
      <c r="BK24" s="55"/>
      <c r="BQ24" s="10" t="s">
        <v>9000</v>
      </c>
      <c r="BS24" s="10">
        <f>IF(BT24=0,0,MAX($BS$21:BS23)+1)</f>
        <v>0</v>
      </c>
      <c r="BT24" s="10">
        <f>IF(Tank4!$C$20="Yes",Tank4!$C$7,0)</f>
        <v>0</v>
      </c>
      <c r="BU24" s="625" t="s">
        <v>8711</v>
      </c>
      <c r="BV24" s="600" t="b">
        <f>IF(BW8,NOT(ISBLANK(Baseline!B11)),TRUE)</f>
        <v>1</v>
      </c>
      <c r="BW24" s="600" t="b">
        <f>IF(BX8,NOT(ISBLANK(Baseline!C11)),TRUE)</f>
        <v>1</v>
      </c>
      <c r="BX24" s="600" t="b">
        <f>IF(BY8,NOT(ISBLANK(Baseline!D11)),TRUE)</f>
        <v>1</v>
      </c>
      <c r="BY24" s="600" t="b">
        <f>IF(BZ8,NOT(ISBLANK(Baseline!E11)),TRUE)</f>
        <v>1</v>
      </c>
      <c r="BZ24" s="600" t="b">
        <f>IF(CA8,NOT(ISBLANK(Baseline!F11)),TRUE)</f>
        <v>1</v>
      </c>
      <c r="CA24" s="600" t="b">
        <f>IF(CB8,NOT(ISBLANK(Baseline!G11)),TRUE)</f>
        <v>1</v>
      </c>
      <c r="CB24" s="596" t="b">
        <f>IF(CC8,NOT(ISBLANK(Baseline!H11)),TRUE)</f>
        <v>1</v>
      </c>
      <c r="CC24" s="596"/>
      <c r="CD24" s="596" t="b">
        <f>IF(CE8,NOT(ISBLANK(Baseline!I11)),TRUE)</f>
        <v>1</v>
      </c>
      <c r="CE24" s="596"/>
      <c r="CF24" s="596"/>
      <c r="CG24" s="596" t="b">
        <f>IF(CH8,NOT(ISBLANK(Baseline!J11)),TRUE)</f>
        <v>1</v>
      </c>
      <c r="CH24" s="598"/>
    </row>
    <row r="25" spans="1:86" ht="21" customHeight="1" x14ac:dyDescent="0.25">
      <c r="A25" s="10"/>
      <c r="B25" s="16" t="s">
        <v>33</v>
      </c>
      <c r="C25" s="10">
        <v>100</v>
      </c>
      <c r="D25" s="10">
        <v>249</v>
      </c>
      <c r="E25" s="17">
        <v>249</v>
      </c>
      <c r="I25" s="436" t="s">
        <v>6696</v>
      </c>
      <c r="J25" s="26" t="s">
        <v>6695</v>
      </c>
      <c r="K25" s="10">
        <v>0.5</v>
      </c>
      <c r="L25" s="73">
        <f>IF(Tank1!$C$23="No control",(SUMIF(Tank1!$B$32:$B$49,$J25,Tank1!$C$32:$C$49)*Impacts!$F$8),0)</f>
        <v>0</v>
      </c>
      <c r="M25" s="10">
        <f>IF(Tank2!$C$23="No control",(SUMIF(Tank2!$B$32:$B$49,$J25,Tank2!$C$32:$C$49)*Impacts!$F$9),0)</f>
        <v>0</v>
      </c>
      <c r="N25" s="10">
        <f>IF(Tank3!$C$23="No control",(SUMIF(Tank3!$B$32:$B$49,$J25,Tank3!$C$32:$C$49)*Impacts!$F$10),0)</f>
        <v>0</v>
      </c>
      <c r="O25" s="10">
        <f>IF(Tank4!$C$23="No control",(SUMIF(Tank4!$B$32:$B$49,$J25,Tank4!$C$32:$C$49)*Impacts!$F$11),0)</f>
        <v>0</v>
      </c>
      <c r="P25" s="10">
        <f>IF(Tank5!$C$23="No control",(SUMIF(Tank5!$B$32:$B$49,$J25,Tank5!$C$32:$C$49)*Impacts!$F$12),0)</f>
        <v>0</v>
      </c>
      <c r="Q25" s="10">
        <f>IFERROR(IF(('Loading-drum,tote'!$C$21)="No control",SUMIF(('Loading-drum,tote'!$B$31:$B$48),$J25,('Loading-drum,tote'!$D$31:$D$48))*Impacts!$F$13,IF(('Loading-drum,tote'!$C$21)&lt;&gt;"No control",SUMIF(('Loading-drum,tote'!$B$31:$B$48),$J25,('Loading-drum,tote'!$E$31:$E$48))*Impacts!$F$13,0)),0)</f>
        <v>0</v>
      </c>
      <c r="R25" s="10">
        <f>IFERROR(IF(('Loading-truck'!$C$21)="No control",SUMIF(('Loading-truck'!$B$31:$B$48),$J25,('Loading-truck'!$D$31:$D$48))*Impacts!$F$14,IF(('Loading-truck'!$C$21)&lt;&gt;"No control",SUMIF(('Loading-truck'!$B$31:$B$48),$J25,('Loading-truck'!$E$31:$E$48))*Impacts!$F$14,0)),0)</f>
        <v>0</v>
      </c>
      <c r="S25" s="10">
        <f>IFERROR(IF(('Loading-rail'!$C$21)="No control",SUMIF(('Loading-rail'!$B$31:$B$48),$J25,('Loading-rail'!$D$31:$D$48))*Impacts!$F$15,IF(('Loading-rail'!$C$21)&lt;&gt;"No control",SUMIF(('Loading-rail'!$B$31:$B$48),$J25,('Loading-rail'!$E$31:$E$48))*Impacts!$F$15,0)),0)</f>
        <v>0</v>
      </c>
      <c r="T25" s="10">
        <f>IF(Flare!$C$7="",0,(SUMIF(Flare!$B$46:$B$185,$J25,Flare!$E$46:$E$185)*Impacts!$F$16))</f>
        <v>0</v>
      </c>
      <c r="U25" s="10">
        <f>IF(VCU!$C$9="",0,(SUMIF(VCU!$B$51:$B$193,$J25,VCU!$E$51:$E$193)*Impacts!$F$17))</f>
        <v>0</v>
      </c>
      <c r="V25" s="10">
        <f>IF(CAS!$C$7="",0,(SUMIF(CAS!$B$31:$B$167,$J25,CAS!$E$31:$E$167)*Impacts!$F$18))</f>
        <v>0</v>
      </c>
      <c r="W25" s="10">
        <f t="shared" si="6"/>
        <v>0</v>
      </c>
      <c r="AA25" s="48"/>
      <c r="AB25" s="20"/>
      <c r="AC25" s="10">
        <f>IF(OR(AI25=0,AI25="",ISNUMBER(MATCH(AI25,$AI$1:AI24,0))),0,MAX($AC$1:AC24)+1)</f>
        <v>0</v>
      </c>
      <c r="AD25" s="10">
        <f>IF(OR(AJ25=0,AJ25="",ISNUMBER(MATCH(AJ25,$AJ$1:AJ24,0))),0,MAX($AD$1:AD24)+1)</f>
        <v>0</v>
      </c>
      <c r="AE25" s="10">
        <f>IF(OR(AK25=0,AK25="",ISNUMBER(MATCH(AK25,$AK$1:AK24,0))),0,MAX($AE$1:AE24)+1)</f>
        <v>0</v>
      </c>
      <c r="AF25" s="10">
        <f>IF(OR(AH25=0,ISNUMBER(MATCH(AH25,$AH$1:AH24,0))),0,MAX($AF$1:AF24)+1)</f>
        <v>0</v>
      </c>
      <c r="AG25" s="10">
        <f>Tank2!$C$23</f>
        <v>0</v>
      </c>
      <c r="AH25" s="10">
        <f>Tank2!A39</f>
        <v>0</v>
      </c>
      <c r="AI25" s="10" t="str">
        <f t="shared" si="15"/>
        <v/>
      </c>
      <c r="AJ25" s="10" t="str">
        <f t="shared" si="15"/>
        <v/>
      </c>
      <c r="AK25" s="10" t="str">
        <f t="shared" si="15"/>
        <v/>
      </c>
      <c r="AL25" s="17" t="str">
        <f t="shared" si="2"/>
        <v/>
      </c>
      <c r="AM25" s="20" t="str">
        <f t="shared" si="3"/>
        <v/>
      </c>
      <c r="AN25" s="10" t="str">
        <f t="shared" si="4"/>
        <v/>
      </c>
      <c r="AO25" s="17" t="str">
        <f t="shared" si="5"/>
        <v/>
      </c>
      <c r="BC25" s="17"/>
      <c r="BD25" s="10" t="s">
        <v>10636</v>
      </c>
      <c r="BE25" s="10" t="s">
        <v>211</v>
      </c>
      <c r="BF25" s="10" t="s">
        <v>8937</v>
      </c>
      <c r="BH25" s="10" t="str">
        <f>BE25</f>
        <v>Rusk</v>
      </c>
      <c r="BI25" s="79" t="s">
        <v>8961</v>
      </c>
      <c r="BJ25" s="680" t="s">
        <v>9004</v>
      </c>
      <c r="BK25" s="680" t="s">
        <v>10111</v>
      </c>
      <c r="BL25" s="681" t="s">
        <v>10104</v>
      </c>
      <c r="BM25" s="680" t="s">
        <v>10164</v>
      </c>
      <c r="BN25" s="680" t="s">
        <v>10190</v>
      </c>
      <c r="BQ25" s="10" t="s">
        <v>70</v>
      </c>
      <c r="BS25" s="10">
        <f>IF(BT25=0,0,MAX($BS$21:BS24)+1)</f>
        <v>0</v>
      </c>
      <c r="BT25" s="10">
        <f>IF(Tank5!$C$20="Yes",Tank5!$C$7,0)</f>
        <v>0</v>
      </c>
      <c r="BU25" s="625" t="s">
        <v>8712</v>
      </c>
      <c r="BV25" s="600" t="b">
        <f>IF(BW9,NOT(ISBLANK(Baseline!B12)),TRUE)</f>
        <v>1</v>
      </c>
      <c r="BW25" s="600" t="b">
        <f>IF(BX9,NOT(ISBLANK(Baseline!C12)),TRUE)</f>
        <v>1</v>
      </c>
      <c r="BX25" s="600" t="b">
        <f>IF(BY9,NOT(ISBLANK(Baseline!D12)),TRUE)</f>
        <v>1</v>
      </c>
      <c r="BY25" s="600" t="b">
        <f>IF(BZ9,NOT(ISBLANK(Baseline!E12)),TRUE)</f>
        <v>1</v>
      </c>
      <c r="BZ25" s="600" t="b">
        <f>IF(CA9,NOT(ISBLANK(Baseline!F12)),TRUE)</f>
        <v>1</v>
      </c>
      <c r="CA25" s="600" t="b">
        <f>IF(CB9,NOT(ISBLANK(Baseline!G12)),TRUE)</f>
        <v>1</v>
      </c>
      <c r="CB25" s="596" t="b">
        <f>IF(CC9,NOT(ISBLANK(Baseline!H12)),TRUE)</f>
        <v>1</v>
      </c>
      <c r="CC25" s="596"/>
      <c r="CD25" s="596" t="b">
        <f>IF(CE9,NOT(ISBLANK(Baseline!I12)),TRUE)</f>
        <v>1</v>
      </c>
      <c r="CE25" s="596"/>
      <c r="CF25" s="596"/>
      <c r="CG25" s="596" t="b">
        <f>IF(CH9,NOT(ISBLANK(Baseline!J12)),TRUE)</f>
        <v>1</v>
      </c>
      <c r="CH25" s="598"/>
    </row>
    <row r="26" spans="1:86" ht="21" customHeight="1" thickBot="1" x14ac:dyDescent="0.3">
      <c r="A26" s="10"/>
      <c r="B26" s="16" t="s">
        <v>34</v>
      </c>
      <c r="C26" s="10">
        <v>100</v>
      </c>
      <c r="D26" s="10">
        <v>249</v>
      </c>
      <c r="E26" s="17">
        <v>249</v>
      </c>
      <c r="I26" s="436" t="s">
        <v>6674</v>
      </c>
      <c r="J26" s="26" t="s">
        <v>6673</v>
      </c>
      <c r="K26" s="10">
        <v>0.55000000000000004</v>
      </c>
      <c r="L26" s="73">
        <f>IF(Tank1!$C$23="No control",(SUMIF(Tank1!$B$32:$B$49,$J26,Tank1!$C$32:$C$49)*Impacts!$F$8),0)</f>
        <v>0</v>
      </c>
      <c r="M26" s="10">
        <f>IF(Tank2!$C$23="No control",(SUMIF(Tank2!$B$32:$B$49,$J26,Tank2!$C$32:$C$49)*Impacts!$F$9),0)</f>
        <v>0</v>
      </c>
      <c r="N26" s="10">
        <f>IF(Tank3!$C$23="No control",(SUMIF(Tank3!$B$32:$B$49,$J26,Tank3!$C$32:$C$49)*Impacts!$F$10),0)</f>
        <v>0</v>
      </c>
      <c r="O26" s="10">
        <f>IF(Tank4!$C$23="No control",(SUMIF(Tank4!$B$32:$B$49,$J26,Tank4!$C$32:$C$49)*Impacts!$F$11),0)</f>
        <v>0</v>
      </c>
      <c r="P26" s="10">
        <f>IF(Tank5!$C$23="No control",(SUMIF(Tank5!$B$32:$B$49,$J26,Tank5!$C$32:$C$49)*Impacts!$F$12),0)</f>
        <v>0</v>
      </c>
      <c r="Q26" s="10">
        <f>IFERROR(IF(('Loading-drum,tote'!$C$21)="No control",SUMIF(('Loading-drum,tote'!$B$31:$B$48),$J26,('Loading-drum,tote'!$D$31:$D$48))*Impacts!$F$13,IF(('Loading-drum,tote'!$C$21)&lt;&gt;"No control",SUMIF(('Loading-drum,tote'!$B$31:$B$48),$J26,('Loading-drum,tote'!$E$31:$E$48))*Impacts!$F$13,0)),0)</f>
        <v>0</v>
      </c>
      <c r="R26" s="10">
        <f>IFERROR(IF(('Loading-truck'!$C$21)="No control",SUMIF(('Loading-truck'!$B$31:$B$48),$J26,('Loading-truck'!$D$31:$D$48))*Impacts!$F$14,IF(('Loading-truck'!$C$21)&lt;&gt;"No control",SUMIF(('Loading-truck'!$B$31:$B$48),$J26,('Loading-truck'!$E$31:$E$48))*Impacts!$F$14,0)),0)</f>
        <v>0</v>
      </c>
      <c r="S26" s="10">
        <f>IFERROR(IF(('Loading-rail'!$C$21)="No control",SUMIF(('Loading-rail'!$B$31:$B$48),$J26,('Loading-rail'!$D$31:$D$48))*Impacts!$F$15,IF(('Loading-rail'!$C$21)&lt;&gt;"No control",SUMIF(('Loading-rail'!$B$31:$B$48),$J26,('Loading-rail'!$E$31:$E$48))*Impacts!$F$15,0)),0)</f>
        <v>0</v>
      </c>
      <c r="T26" s="10">
        <f>IF(Flare!$C$7="",0,(SUMIF(Flare!$B$46:$B$185,$J26,Flare!$E$46:$E$185)*Impacts!$F$16))</f>
        <v>0</v>
      </c>
      <c r="U26" s="10">
        <f>IF(VCU!$C$9="",0,(SUMIF(VCU!$B$51:$B$193,$J26,VCU!$E$51:$E$193)*Impacts!$F$17))</f>
        <v>0</v>
      </c>
      <c r="V26" s="10">
        <f>IF(CAS!$C$7="",0,(SUMIF(CAS!$B$31:$B$167,$J26,CAS!$E$31:$E$167)*Impacts!$F$18))</f>
        <v>0</v>
      </c>
      <c r="W26" s="10">
        <f t="shared" si="6"/>
        <v>0</v>
      </c>
      <c r="AA26" s="48"/>
      <c r="AB26" s="20"/>
      <c r="AC26" s="10">
        <f>IF(OR(AI26=0,AI26="",ISNUMBER(MATCH(AI26,$AI$1:AI25,0))),0,MAX($AC$1:AC25)+1)</f>
        <v>0</v>
      </c>
      <c r="AD26" s="10">
        <f>IF(OR(AJ26=0,AJ26="",ISNUMBER(MATCH(AJ26,$AJ$1:AJ25,0))),0,MAX($AD$1:AD25)+1)</f>
        <v>0</v>
      </c>
      <c r="AE26" s="10">
        <f>IF(OR(AK26=0,AK26="",ISNUMBER(MATCH(AK26,$AK$1:AK25,0))),0,MAX($AE$1:AE25)+1)</f>
        <v>0</v>
      </c>
      <c r="AF26" s="10">
        <f>IF(OR(AH26=0,ISNUMBER(MATCH(AH26,$AH$1:AH25,0))),0,MAX($AF$1:AF25)+1)</f>
        <v>0</v>
      </c>
      <c r="AG26" s="10">
        <f>Tank2!$C$23</f>
        <v>0</v>
      </c>
      <c r="AH26" s="10">
        <f>Tank2!A40</f>
        <v>0</v>
      </c>
      <c r="AI26" s="10" t="str">
        <f t="shared" si="15"/>
        <v/>
      </c>
      <c r="AJ26" s="10" t="str">
        <f t="shared" si="15"/>
        <v/>
      </c>
      <c r="AK26" s="10" t="str">
        <f t="shared" si="15"/>
        <v/>
      </c>
      <c r="AL26" s="17" t="str">
        <f t="shared" si="2"/>
        <v/>
      </c>
      <c r="AM26" s="20" t="str">
        <f t="shared" si="3"/>
        <v/>
      </c>
      <c r="AN26" s="10" t="str">
        <f t="shared" si="4"/>
        <v/>
      </c>
      <c r="AO26" s="17" t="str">
        <f t="shared" si="5"/>
        <v/>
      </c>
      <c r="BC26" s="17"/>
      <c r="BD26" s="10" t="s">
        <v>10637</v>
      </c>
      <c r="BE26" s="10" t="s">
        <v>230</v>
      </c>
      <c r="BF26" s="10" t="s">
        <v>8972</v>
      </c>
      <c r="BG26" s="897" t="s">
        <v>10631</v>
      </c>
      <c r="BH26" s="72"/>
      <c r="BI26" s="72" t="s">
        <v>8962</v>
      </c>
      <c r="BJ26" s="682" t="b">
        <f>OR(BM28=FALSE,BK30&lt;&gt;0)</f>
        <v>1</v>
      </c>
      <c r="BK26" s="682" t="b">
        <f>AND(BV20:CH20)</f>
        <v>1</v>
      </c>
      <c r="BL26" s="683" t="b">
        <v>0</v>
      </c>
      <c r="BM26" s="682" t="b">
        <f>IF(FederalApplicability!C54="Other/Not Listed",FederalApplicability!C55&lt;&gt;"",FederalApplicability!C54&lt;&gt;"")</f>
        <v>0</v>
      </c>
      <c r="BN26" s="682" t="b">
        <f>OR(AND(BP32,BO32=FALSE),AND(BP32,BP33,BO32,BO33=FALSE))</f>
        <v>0</v>
      </c>
      <c r="BQ26" s="10" t="s">
        <v>80</v>
      </c>
      <c r="BU26" s="625" t="s">
        <v>8647</v>
      </c>
      <c r="BV26" s="596" t="b">
        <f>IF(BW10,NOT(ISBLANK(Baseline!B13)),TRUE)</f>
        <v>1</v>
      </c>
      <c r="BW26" s="596" t="b">
        <f>IF(BX10,NOT(ISBLANK(Baseline!C13)),TRUE)</f>
        <v>1</v>
      </c>
      <c r="BX26" s="596" t="b">
        <f>IF(BY10,NOT(ISBLANK(Baseline!D13)),TRUE)</f>
        <v>1</v>
      </c>
      <c r="BY26" s="596" t="b">
        <f>IF(BZ10,NOT(ISBLANK(Baseline!E13)),TRUE)</f>
        <v>1</v>
      </c>
      <c r="BZ26" s="596" t="b">
        <f>IF(CA10,NOT(ISBLANK(Baseline!F13)),TRUE)</f>
        <v>1</v>
      </c>
      <c r="CA26" s="596" t="b">
        <f>IF(CB10,NOT(ISBLANK(Baseline!G13)),TRUE)</f>
        <v>1</v>
      </c>
      <c r="CB26" s="596" t="b">
        <f>IF(CC10,NOT(ISBLANK(Baseline!H13)),TRUE)</f>
        <v>1</v>
      </c>
      <c r="CC26" s="596"/>
      <c r="CD26" s="596" t="b">
        <f>IF(CE10,NOT(ISBLANK(Baseline!I13)),TRUE)</f>
        <v>1</v>
      </c>
      <c r="CE26" s="596"/>
      <c r="CF26" s="596"/>
      <c r="CG26" s="596" t="b">
        <f>IF(CH10,NOT(ISBLANK(Baseline!J13)),TRUE)</f>
        <v>1</v>
      </c>
      <c r="CH26" s="598"/>
    </row>
    <row r="27" spans="1:86" ht="21" customHeight="1" x14ac:dyDescent="0.25">
      <c r="A27" s="10"/>
      <c r="B27" s="16" t="s">
        <v>35</v>
      </c>
      <c r="C27" s="10">
        <v>100</v>
      </c>
      <c r="D27" s="10">
        <v>249</v>
      </c>
      <c r="E27" s="17">
        <v>249</v>
      </c>
      <c r="I27" s="436" t="s">
        <v>5503</v>
      </c>
      <c r="J27" s="26" t="s">
        <v>5502</v>
      </c>
      <c r="K27" s="10">
        <v>1.25</v>
      </c>
      <c r="L27" s="73">
        <f>IF(Tank1!$C$23="No control",(SUMIF(Tank1!$B$32:$B$49,$J27,Tank1!$C$32:$C$49)*Impacts!$F$8),0)</f>
        <v>0</v>
      </c>
      <c r="M27" s="10">
        <f>IF(Tank2!$C$23="No control",(SUMIF(Tank2!$B$32:$B$49,$J27,Tank2!$C$32:$C$49)*Impacts!$F$9),0)</f>
        <v>0</v>
      </c>
      <c r="N27" s="10">
        <f>IF(Tank3!$C$23="No control",(SUMIF(Tank3!$B$32:$B$49,$J27,Tank3!$C$32:$C$49)*Impacts!$F$10),0)</f>
        <v>0</v>
      </c>
      <c r="O27" s="10">
        <f>IF(Tank4!$C$23="No control",(SUMIF(Tank4!$B$32:$B$49,$J27,Tank4!$C$32:$C$49)*Impacts!$F$11),0)</f>
        <v>0</v>
      </c>
      <c r="P27" s="10">
        <f>IF(Tank5!$C$23="No control",(SUMIF(Tank5!$B$32:$B$49,$J27,Tank5!$C$32:$C$49)*Impacts!$F$12),0)</f>
        <v>0</v>
      </c>
      <c r="Q27" s="10">
        <f>IFERROR(IF(('Loading-drum,tote'!$C$21)="No control",SUMIF(('Loading-drum,tote'!$B$31:$B$48),$J27,('Loading-drum,tote'!$D$31:$D$48))*Impacts!$F$13,IF(('Loading-drum,tote'!$C$21)&lt;&gt;"No control",SUMIF(('Loading-drum,tote'!$B$31:$B$48),$J27,('Loading-drum,tote'!$E$31:$E$48))*Impacts!$F$13,0)),0)</f>
        <v>0</v>
      </c>
      <c r="R27" s="10">
        <f>IFERROR(IF(('Loading-truck'!$C$21)="No control",SUMIF(('Loading-truck'!$B$31:$B$48),$J27,('Loading-truck'!$D$31:$D$48))*Impacts!$F$14,IF(('Loading-truck'!$C$21)&lt;&gt;"No control",SUMIF(('Loading-truck'!$B$31:$B$48),$J27,('Loading-truck'!$E$31:$E$48))*Impacts!$F$14,0)),0)</f>
        <v>0</v>
      </c>
      <c r="S27" s="10">
        <f>IFERROR(IF(('Loading-rail'!$C$21)="No control",SUMIF(('Loading-rail'!$B$31:$B$48),$J27,('Loading-rail'!$D$31:$D$48))*Impacts!$F$15,IF(('Loading-rail'!$C$21)&lt;&gt;"No control",SUMIF(('Loading-rail'!$B$31:$B$48),$J27,('Loading-rail'!$E$31:$E$48))*Impacts!$F$15,0)),0)</f>
        <v>0</v>
      </c>
      <c r="T27" s="10">
        <f>IF(Flare!$C$7="",0,(SUMIF(Flare!$B$46:$B$185,$J27,Flare!$E$46:$E$185)*Impacts!$F$16))</f>
        <v>0</v>
      </c>
      <c r="U27" s="10">
        <f>IF(VCU!$C$9="",0,(SUMIF(VCU!$B$51:$B$193,$J27,VCU!$E$51:$E$193)*Impacts!$F$17))</f>
        <v>0</v>
      </c>
      <c r="V27" s="10">
        <f>IF(CAS!$C$7="",0,(SUMIF(CAS!$B$31:$B$167,$J27,CAS!$E$31:$E$167)*Impacts!$F$18))</f>
        <v>0</v>
      </c>
      <c r="W27" s="10">
        <f t="shared" si="6"/>
        <v>0</v>
      </c>
      <c r="AA27" s="48"/>
      <c r="AB27" s="20"/>
      <c r="AC27" s="10">
        <f>IF(OR(AI27=0,AI27="",ISNUMBER(MATCH(AI27,$AI$1:AI26,0))),0,MAX($AC$1:AC26)+1)</f>
        <v>0</v>
      </c>
      <c r="AD27" s="10">
        <f>IF(OR(AJ27=0,AJ27="",ISNUMBER(MATCH(AJ27,$AJ$1:AJ26,0))),0,MAX($AD$1:AD26)+1)</f>
        <v>0</v>
      </c>
      <c r="AE27" s="10">
        <f>IF(OR(AK27=0,AK27="",ISNUMBER(MATCH(AK27,$AK$1:AK26,0))),0,MAX($AE$1:AE26)+1)</f>
        <v>0</v>
      </c>
      <c r="AF27" s="10">
        <f>IF(OR(AH27=0,ISNUMBER(MATCH(AH27,$AH$1:AH26,0))),0,MAX($AF$1:AF26)+1)</f>
        <v>0</v>
      </c>
      <c r="AG27" s="10">
        <f>Tank2!$C$23</f>
        <v>0</v>
      </c>
      <c r="AH27" s="10">
        <f>Tank2!A41</f>
        <v>0</v>
      </c>
      <c r="AI27" s="10" t="str">
        <f t="shared" si="15"/>
        <v/>
      </c>
      <c r="AJ27" s="10" t="str">
        <f t="shared" si="15"/>
        <v/>
      </c>
      <c r="AK27" s="10" t="str">
        <f t="shared" si="15"/>
        <v/>
      </c>
      <c r="AL27" s="17" t="str">
        <f t="shared" si="2"/>
        <v/>
      </c>
      <c r="AM27" s="20" t="str">
        <f t="shared" si="3"/>
        <v/>
      </c>
      <c r="AN27" s="10" t="str">
        <f t="shared" si="4"/>
        <v/>
      </c>
      <c r="AO27" s="17" t="str">
        <f t="shared" si="5"/>
        <v/>
      </c>
      <c r="BC27" s="17"/>
      <c r="BD27" s="10" t="s">
        <v>10636</v>
      </c>
      <c r="BE27" s="10" t="s">
        <v>235</v>
      </c>
      <c r="BF27" s="10" t="s">
        <v>8937</v>
      </c>
      <c r="BH27" s="10" t="str">
        <f>BE27</f>
        <v>Titus</v>
      </c>
      <c r="BI27" s="72" t="s">
        <v>8963</v>
      </c>
      <c r="BJ27" s="680" t="s">
        <v>10138</v>
      </c>
      <c r="BK27" s="680" t="s">
        <v>9005</v>
      </c>
      <c r="BL27" s="680" t="s">
        <v>10124</v>
      </c>
      <c r="BM27" s="684" t="s">
        <v>8970</v>
      </c>
      <c r="BQ27" s="10" t="s">
        <v>83</v>
      </c>
      <c r="BR27" s="10" t="s">
        <v>10283</v>
      </c>
      <c r="BS27" s="10" t="s">
        <v>10177</v>
      </c>
      <c r="BT27" s="10" t="s">
        <v>9199</v>
      </c>
      <c r="BU27" s="625" t="s">
        <v>8648</v>
      </c>
      <c r="BV27" s="596" t="b">
        <f>IF(BW11,NOT(ISBLANK(Baseline!B14)),TRUE)</f>
        <v>1</v>
      </c>
      <c r="BW27" s="596" t="b">
        <f>IF(BX11,NOT(ISBLANK(Baseline!C14)),TRUE)</f>
        <v>1</v>
      </c>
      <c r="BX27" s="596" t="b">
        <f>IF(BY11,NOT(ISBLANK(Baseline!D14)),TRUE)</f>
        <v>1</v>
      </c>
      <c r="BY27" s="596" t="b">
        <f>IF(BZ11,NOT(ISBLANK(Baseline!E14)),TRUE)</f>
        <v>1</v>
      </c>
      <c r="BZ27" s="596" t="b">
        <f>IF(CA11,NOT(ISBLANK(Baseline!F14)),TRUE)</f>
        <v>1</v>
      </c>
      <c r="CA27" s="596" t="b">
        <f>IF(CB11,NOT(ISBLANK(Baseline!G14)),TRUE)</f>
        <v>1</v>
      </c>
      <c r="CB27" s="596" t="b">
        <f>IF(CC11,NOT(ISBLANK(Baseline!H14)),TRUE)</f>
        <v>1</v>
      </c>
      <c r="CC27" s="596"/>
      <c r="CD27" s="596" t="b">
        <f>IF(CE11,NOT(ISBLANK(Baseline!I14)),TRUE)</f>
        <v>1</v>
      </c>
      <c r="CE27" s="596"/>
      <c r="CF27" s="596"/>
      <c r="CG27" s="596" t="b">
        <f>IF(CH11,NOT(ISBLANK(Baseline!J14)),TRUE)</f>
        <v>1</v>
      </c>
      <c r="CH27" s="598"/>
    </row>
    <row r="28" spans="1:86" ht="21" customHeight="1" thickBot="1" x14ac:dyDescent="0.3">
      <c r="A28" s="10"/>
      <c r="B28" s="16" t="s">
        <v>36</v>
      </c>
      <c r="C28" s="10">
        <v>100</v>
      </c>
      <c r="D28" s="10">
        <v>249</v>
      </c>
      <c r="E28" s="17">
        <v>249</v>
      </c>
      <c r="I28" s="436" t="s">
        <v>4143</v>
      </c>
      <c r="J28" s="26" t="s">
        <v>4142</v>
      </c>
      <c r="K28" s="10">
        <v>5</v>
      </c>
      <c r="L28" s="73">
        <f>IF(Tank1!$C$23="No control",(SUMIF(Tank1!$B$32:$B$49,$J28,Tank1!$C$32:$C$49)*Impacts!$F$8),0)</f>
        <v>0</v>
      </c>
      <c r="M28" s="10">
        <f>IF(Tank2!$C$23="No control",(SUMIF(Tank2!$B$32:$B$49,$J28,Tank2!$C$32:$C$49)*Impacts!$F$9),0)</f>
        <v>0</v>
      </c>
      <c r="N28" s="10">
        <f>IF(Tank3!$C$23="No control",(SUMIF(Tank3!$B$32:$B$49,$J28,Tank3!$C$32:$C$49)*Impacts!$F$10),0)</f>
        <v>0</v>
      </c>
      <c r="O28" s="10">
        <f>IF(Tank4!$C$23="No control",(SUMIF(Tank4!$B$32:$B$49,$J28,Tank4!$C$32:$C$49)*Impacts!$F$11),0)</f>
        <v>0</v>
      </c>
      <c r="P28" s="10">
        <f>IF(Tank5!$C$23="No control",(SUMIF(Tank5!$B$32:$B$49,$J28,Tank5!$C$32:$C$49)*Impacts!$F$12),0)</f>
        <v>0</v>
      </c>
      <c r="Q28" s="10">
        <f>IFERROR(IF(('Loading-drum,tote'!$C$21)="No control",SUMIF(('Loading-drum,tote'!$B$31:$B$48),$J28,('Loading-drum,tote'!$D$31:$D$48))*Impacts!$F$13,IF(('Loading-drum,tote'!$C$21)&lt;&gt;"No control",SUMIF(('Loading-drum,tote'!$B$31:$B$48),$J28,('Loading-drum,tote'!$E$31:$E$48))*Impacts!$F$13,0)),0)</f>
        <v>0</v>
      </c>
      <c r="R28" s="10">
        <f>IFERROR(IF(('Loading-truck'!$C$21)="No control",SUMIF(('Loading-truck'!$B$31:$B$48),$J28,('Loading-truck'!$D$31:$D$48))*Impacts!$F$14,IF(('Loading-truck'!$C$21)&lt;&gt;"No control",SUMIF(('Loading-truck'!$B$31:$B$48),$J28,('Loading-truck'!$E$31:$E$48))*Impacts!$F$14,0)),0)</f>
        <v>0</v>
      </c>
      <c r="S28" s="10">
        <f>IFERROR(IF(('Loading-rail'!$C$21)="No control",SUMIF(('Loading-rail'!$B$31:$B$48),$J28,('Loading-rail'!$D$31:$D$48))*Impacts!$F$15,IF(('Loading-rail'!$C$21)&lt;&gt;"No control",SUMIF(('Loading-rail'!$B$31:$B$48),$J28,('Loading-rail'!$E$31:$E$48))*Impacts!$F$15,0)),0)</f>
        <v>0</v>
      </c>
      <c r="T28" s="10">
        <f>IF(Flare!$C$7="",0,(SUMIF(Flare!$B$46:$B$185,$J28,Flare!$E$46:$E$185)*Impacts!$F$16))</f>
        <v>0</v>
      </c>
      <c r="U28" s="10">
        <f>IF(VCU!$C$9="",0,(SUMIF(VCU!$B$51:$B$193,$J28,VCU!$E$51:$E$193)*Impacts!$F$17))</f>
        <v>0</v>
      </c>
      <c r="V28" s="10">
        <f>IF(CAS!$C$7="",0,(SUMIF(CAS!$B$31:$B$167,$J28,CAS!$E$31:$E$167)*Impacts!$F$18))</f>
        <v>0</v>
      </c>
      <c r="W28" s="10">
        <f t="shared" si="6"/>
        <v>0</v>
      </c>
      <c r="AA28" s="48"/>
      <c r="AB28" s="20"/>
      <c r="AC28" s="10">
        <f>IF(OR(AI28=0,AI28="",ISNUMBER(MATCH(AI28,$AI$1:AI27,0))),0,MAX($AC$1:AC27)+1)</f>
        <v>0</v>
      </c>
      <c r="AD28" s="10">
        <f>IF(OR(AJ28=0,AJ28="",ISNUMBER(MATCH(AJ28,$AJ$1:AJ27,0))),0,MAX($AD$1:AD27)+1)</f>
        <v>0</v>
      </c>
      <c r="AE28" s="10">
        <f>IF(OR(AK28=0,AK28="",ISNUMBER(MATCH(AK28,$AK$1:AK27,0))),0,MAX($AE$1:AE27)+1)</f>
        <v>0</v>
      </c>
      <c r="AF28" s="10">
        <f>IF(OR(AH28=0,ISNUMBER(MATCH(AH28,$AH$1:AH27,0))),0,MAX($AF$1:AF27)+1)</f>
        <v>0</v>
      </c>
      <c r="AG28" s="10">
        <f>Tank2!$C$23</f>
        <v>0</v>
      </c>
      <c r="AH28" s="10">
        <f>Tank2!A42</f>
        <v>0</v>
      </c>
      <c r="AI28" s="10" t="str">
        <f t="shared" si="15"/>
        <v/>
      </c>
      <c r="AJ28" s="10" t="str">
        <f t="shared" si="15"/>
        <v/>
      </c>
      <c r="AK28" s="10" t="str">
        <f t="shared" si="15"/>
        <v/>
      </c>
      <c r="AL28" s="17" t="str">
        <f t="shared" si="2"/>
        <v/>
      </c>
      <c r="AM28" s="20" t="str">
        <f t="shared" si="3"/>
        <v/>
      </c>
      <c r="AN28" s="10" t="str">
        <f t="shared" si="4"/>
        <v/>
      </c>
      <c r="AO28" s="17" t="str">
        <f t="shared" si="5"/>
        <v/>
      </c>
      <c r="BC28" s="17"/>
      <c r="BD28" s="10" t="s">
        <v>10637</v>
      </c>
      <c r="BE28" s="10" t="s">
        <v>247</v>
      </c>
      <c r="BF28" s="10" t="s">
        <v>8972</v>
      </c>
      <c r="BG28" s="897" t="s">
        <v>10631</v>
      </c>
      <c r="BH28" s="72"/>
      <c r="BI28" s="72" t="s">
        <v>8964</v>
      </c>
      <c r="BJ28" s="682" t="b">
        <v>0</v>
      </c>
      <c r="BK28" s="682" t="b">
        <f>ISNUMBER(MATCH(FederalApplicability!C54,BI4:BI29,0))</f>
        <v>0</v>
      </c>
      <c r="BL28" s="682" t="b">
        <f>OR(Tank1!C6="Affected",Tank2!C6="Affected",Tank3!C6="Affected",Tank4!C6="Affected",Tank5!C6="Affected",'Loading-drum,tote'!C6="Affected",'Loading-truck'!C6="Affected",'Loading-rail'!C6="Affected",Flare!C6="Affected",VCU!C8="Affected",CAS!C6="Affected")</f>
        <v>0</v>
      </c>
      <c r="BM28" s="685" t="b">
        <f>AND(NOT(FederalApplicability!$C$16=""),IF(COUNTIF('Hidden Inputs'!$BH$2:$BH$40,FederalApplicability!$C$16)&gt;0,NOT(ISBLANK(FederalApplicability!$C$17)),TRUE))</f>
        <v>0</v>
      </c>
      <c r="BQ28" s="10" t="s">
        <v>84</v>
      </c>
      <c r="BR28" s="10" t="s">
        <v>1</v>
      </c>
      <c r="BS28" s="10">
        <f>IF(Tank1!C22="Yes",1,0)+
IF(Tank2!C22="Yes",1,0)+
IF(Tank3!C22="Yes",1,0)+
IF(Tank4!C22="Yes",1,0)+
IF(Tank5!C22="Yes",1,0)</f>
        <v>0</v>
      </c>
      <c r="BU28" s="638" t="s">
        <v>8649</v>
      </c>
      <c r="BV28" s="596" t="b">
        <f>IF(BW12,NOT(ISBLANK(Baseline!B15)),TRUE)</f>
        <v>1</v>
      </c>
      <c r="BW28" s="596" t="b">
        <f>IF(BX12,NOT(ISBLANK(Baseline!C15)),TRUE)</f>
        <v>1</v>
      </c>
      <c r="BX28" s="596" t="b">
        <f>IF(BY12,NOT(ISBLANK(Baseline!D15)),TRUE)</f>
        <v>1</v>
      </c>
      <c r="BY28" s="596" t="b">
        <f>IF(BZ12,NOT(ISBLANK(Baseline!E15)),TRUE)</f>
        <v>1</v>
      </c>
      <c r="BZ28" s="596" t="b">
        <f>IF(CA12,NOT(ISBLANK(Baseline!F15)),TRUE)</f>
        <v>1</v>
      </c>
      <c r="CA28" s="596" t="b">
        <f>IF(CB12,NOT(ISBLANK(Baseline!G15)),TRUE)</f>
        <v>1</v>
      </c>
      <c r="CB28" s="596" t="b">
        <f>IF(CC12,NOT(ISBLANK(Baseline!H15)),TRUE)</f>
        <v>1</v>
      </c>
      <c r="CC28" s="596"/>
      <c r="CD28" s="596" t="b">
        <f>IF(CE12,NOT(ISBLANK(Baseline!I15)),TRUE)</f>
        <v>1</v>
      </c>
      <c r="CE28" s="596"/>
      <c r="CF28" s="596"/>
      <c r="CG28" s="596" t="b">
        <f>IF(CH12,NOT(ISBLANK(Baseline!J15)),TRUE)</f>
        <v>1</v>
      </c>
      <c r="CH28" s="598"/>
    </row>
    <row r="29" spans="1:86" ht="21" customHeight="1" thickBot="1" x14ac:dyDescent="0.3">
      <c r="A29" s="10"/>
      <c r="B29" s="16" t="s">
        <v>37</v>
      </c>
      <c r="C29" s="10">
        <v>100</v>
      </c>
      <c r="D29" s="10">
        <v>249</v>
      </c>
      <c r="E29" s="17">
        <v>249</v>
      </c>
      <c r="I29" s="436" t="s">
        <v>7986</v>
      </c>
      <c r="J29" s="26" t="s">
        <v>7985</v>
      </c>
      <c r="K29" s="10">
        <v>0.03</v>
      </c>
      <c r="L29" s="73">
        <f>IF(Tank1!$C$23="No control",(SUMIF(Tank1!$B$32:$B$49,$J29,Tank1!$C$32:$C$49)*Impacts!$F$8),0)</f>
        <v>0</v>
      </c>
      <c r="M29" s="10">
        <f>IF(Tank2!$C$23="No control",(SUMIF(Tank2!$B$32:$B$49,$J29,Tank2!$C$32:$C$49)*Impacts!$F$9),0)</f>
        <v>0</v>
      </c>
      <c r="N29" s="10">
        <f>IF(Tank3!$C$23="No control",(SUMIF(Tank3!$B$32:$B$49,$J29,Tank3!$C$32:$C$49)*Impacts!$F$10),0)</f>
        <v>0</v>
      </c>
      <c r="O29" s="10">
        <f>IF(Tank4!$C$23="No control",(SUMIF(Tank4!$B$32:$B$49,$J29,Tank4!$C$32:$C$49)*Impacts!$F$11),0)</f>
        <v>0</v>
      </c>
      <c r="P29" s="10">
        <f>IF(Tank5!$C$23="No control",(SUMIF(Tank5!$B$32:$B$49,$J29,Tank5!$C$32:$C$49)*Impacts!$F$12),0)</f>
        <v>0</v>
      </c>
      <c r="Q29" s="10">
        <f>IFERROR(IF(('Loading-drum,tote'!$C$21)="No control",SUMIF(('Loading-drum,tote'!$B$31:$B$48),$J29,('Loading-drum,tote'!$D$31:$D$48))*Impacts!$F$13,IF(('Loading-drum,tote'!$C$21)&lt;&gt;"No control",SUMIF(('Loading-drum,tote'!$B$31:$B$48),$J29,('Loading-drum,tote'!$E$31:$E$48))*Impacts!$F$13,0)),0)</f>
        <v>0</v>
      </c>
      <c r="R29" s="10">
        <f>IFERROR(IF(('Loading-truck'!$C$21)="No control",SUMIF(('Loading-truck'!$B$31:$B$48),$J29,('Loading-truck'!$D$31:$D$48))*Impacts!$F$14,IF(('Loading-truck'!$C$21)&lt;&gt;"No control",SUMIF(('Loading-truck'!$B$31:$B$48),$J29,('Loading-truck'!$E$31:$E$48))*Impacts!$F$14,0)),0)</f>
        <v>0</v>
      </c>
      <c r="S29" s="10">
        <f>IFERROR(IF(('Loading-rail'!$C$21)="No control",SUMIF(('Loading-rail'!$B$31:$B$48),$J29,('Loading-rail'!$D$31:$D$48))*Impacts!$F$15,IF(('Loading-rail'!$C$21)&lt;&gt;"No control",SUMIF(('Loading-rail'!$B$31:$B$48),$J29,('Loading-rail'!$E$31:$E$48))*Impacts!$F$15,0)),0)</f>
        <v>0</v>
      </c>
      <c r="T29" s="10">
        <f>IF(Flare!$C$7="",0,(SUMIF(Flare!$B$46:$B$185,$J29,Flare!$E$46:$E$185)*Impacts!$F$16))</f>
        <v>0</v>
      </c>
      <c r="U29" s="10">
        <f>IF(VCU!$C$9="",0,(SUMIF(VCU!$B$51:$B$193,$J29,VCU!$E$51:$E$193)*Impacts!$F$17))</f>
        <v>0</v>
      </c>
      <c r="V29" s="10">
        <f>IF(CAS!$C$7="",0,(SUMIF(CAS!$B$31:$B$167,$J29,CAS!$E$31:$E$167)*Impacts!$F$18))</f>
        <v>0</v>
      </c>
      <c r="W29" s="10">
        <f t="shared" si="6"/>
        <v>0</v>
      </c>
      <c r="AA29" s="48"/>
      <c r="AB29" s="20"/>
      <c r="AC29" s="10">
        <f>IF(OR(AI29=0,AI29="",ISNUMBER(MATCH(AI29,$AI$1:AI28,0))),0,MAX($AC$1:AC28)+1)</f>
        <v>0</v>
      </c>
      <c r="AD29" s="10">
        <f>IF(OR(AJ29=0,AJ29="",ISNUMBER(MATCH(AJ29,$AJ$1:AJ28,0))),0,MAX($AD$1:AD28)+1)</f>
        <v>0</v>
      </c>
      <c r="AE29" s="10">
        <f>IF(OR(AK29=0,AK29="",ISNUMBER(MATCH(AK29,$AK$1:AK28,0))),0,MAX($AE$1:AE28)+1)</f>
        <v>0</v>
      </c>
      <c r="AF29" s="10">
        <f>IF(OR(AH29=0,ISNUMBER(MATCH(AH29,$AH$1:AH28,0))),0,MAX($AF$1:AF28)+1)</f>
        <v>0</v>
      </c>
      <c r="AG29" s="10">
        <f>Tank2!$C$23</f>
        <v>0</v>
      </c>
      <c r="AH29" s="10">
        <f>Tank2!A43</f>
        <v>0</v>
      </c>
      <c r="AI29" s="10" t="str">
        <f t="shared" si="15"/>
        <v/>
      </c>
      <c r="AJ29" s="10" t="str">
        <f t="shared" si="15"/>
        <v/>
      </c>
      <c r="AK29" s="10" t="str">
        <f t="shared" si="15"/>
        <v/>
      </c>
      <c r="AL29" s="17" t="str">
        <f t="shared" si="2"/>
        <v/>
      </c>
      <c r="AM29" s="20" t="str">
        <f t="shared" si="3"/>
        <v/>
      </c>
      <c r="AN29" s="10" t="str">
        <f t="shared" si="4"/>
        <v/>
      </c>
      <c r="AO29" s="17" t="str">
        <f t="shared" si="5"/>
        <v/>
      </c>
      <c r="BC29" s="17"/>
      <c r="BD29" s="10" t="s">
        <v>10637</v>
      </c>
      <c r="BE29" s="10" t="s">
        <v>259</v>
      </c>
      <c r="BF29" s="10" t="s">
        <v>8972</v>
      </c>
      <c r="BG29" s="897" t="s">
        <v>10631</v>
      </c>
      <c r="BH29" s="72"/>
      <c r="BI29" s="72" t="s">
        <v>8965</v>
      </c>
      <c r="BQ29" s="10" t="s">
        <v>85</v>
      </c>
      <c r="BS29" s="10">
        <f>IF(BT29=0,0,1)</f>
        <v>0</v>
      </c>
      <c r="BT29" s="10">
        <f>IF(Tank1!$C$22="Yes",Tank1!$C$7,0)</f>
        <v>0</v>
      </c>
      <c r="BU29" s="625" t="s">
        <v>267</v>
      </c>
      <c r="BV29" s="596" t="b">
        <f>IF(BW13,NOT(ISBLANK(Baseline!B16)),TRUE)</f>
        <v>1</v>
      </c>
      <c r="BW29" s="596" t="b">
        <f>IF(BX13,NOT(ISBLANK(Baseline!C16)),TRUE)</f>
        <v>1</v>
      </c>
      <c r="BX29" s="600" t="b">
        <f>IF(BY13,NOT(ISBLANK(Baseline!D16)),TRUE)</f>
        <v>1</v>
      </c>
      <c r="BY29" s="600" t="b">
        <f>IF(BZ13,NOT(ISBLANK(Baseline!E16)),TRUE)</f>
        <v>1</v>
      </c>
      <c r="BZ29" s="600" t="b">
        <f>IF(CA13,NOT(ISBLANK(Baseline!F16)),TRUE)</f>
        <v>1</v>
      </c>
      <c r="CA29" s="596" t="b">
        <f>IF(CB13,NOT(ISBLANK(Baseline!G16)),TRUE)</f>
        <v>1</v>
      </c>
      <c r="CB29" s="596" t="b">
        <f>IF(CC13,NOT(ISBLANK(Baseline!H16)),TRUE)</f>
        <v>1</v>
      </c>
      <c r="CC29" s="596"/>
      <c r="CD29" s="596" t="b">
        <f>IF(CE13,NOT(ISBLANK(Baseline!I16)),TRUE)</f>
        <v>1</v>
      </c>
      <c r="CE29" s="596"/>
      <c r="CF29" s="596"/>
      <c r="CG29" s="596" t="b">
        <f>IF(CH13,NOT(ISBLANK(Baseline!J16)),TRUE)</f>
        <v>1</v>
      </c>
      <c r="CH29" s="598"/>
    </row>
    <row r="30" spans="1:86" ht="21" customHeight="1" thickBot="1" x14ac:dyDescent="0.3">
      <c r="A30" s="10"/>
      <c r="B30" s="16" t="s">
        <v>38</v>
      </c>
      <c r="C30" s="10">
        <v>100</v>
      </c>
      <c r="D30" s="10">
        <v>249</v>
      </c>
      <c r="E30" s="17">
        <v>249</v>
      </c>
      <c r="I30" s="436" t="s">
        <v>6270</v>
      </c>
      <c r="J30" s="26" t="s">
        <v>6269</v>
      </c>
      <c r="K30" s="10">
        <v>0.9</v>
      </c>
      <c r="L30" s="73">
        <f>IF(Tank1!$C$23="No control",(SUMIF(Tank1!$B$32:$B$49,$J30,Tank1!$C$32:$C$49)*Impacts!$F$8),0)</f>
        <v>0</v>
      </c>
      <c r="M30" s="10">
        <f>IF(Tank2!$C$23="No control",(SUMIF(Tank2!$B$32:$B$49,$J30,Tank2!$C$32:$C$49)*Impacts!$F$9),0)</f>
        <v>0</v>
      </c>
      <c r="N30" s="10">
        <f>IF(Tank3!$C$23="No control",(SUMIF(Tank3!$B$32:$B$49,$J30,Tank3!$C$32:$C$49)*Impacts!$F$10),0)</f>
        <v>0</v>
      </c>
      <c r="O30" s="10">
        <f>IF(Tank4!$C$23="No control",(SUMIF(Tank4!$B$32:$B$49,$J30,Tank4!$C$32:$C$49)*Impacts!$F$11),0)</f>
        <v>0</v>
      </c>
      <c r="P30" s="10">
        <f>IF(Tank5!$C$23="No control",(SUMIF(Tank5!$B$32:$B$49,$J30,Tank5!$C$32:$C$49)*Impacts!$F$12),0)</f>
        <v>0</v>
      </c>
      <c r="Q30" s="10">
        <f>IFERROR(IF(('Loading-drum,tote'!$C$21)="No control",SUMIF(('Loading-drum,tote'!$B$31:$B$48),$J30,('Loading-drum,tote'!$D$31:$D$48))*Impacts!$F$13,IF(('Loading-drum,tote'!$C$21)&lt;&gt;"No control",SUMIF(('Loading-drum,tote'!$B$31:$B$48),$J30,('Loading-drum,tote'!$E$31:$E$48))*Impacts!$F$13,0)),0)</f>
        <v>0</v>
      </c>
      <c r="R30" s="10">
        <f>IFERROR(IF(('Loading-truck'!$C$21)="No control",SUMIF(('Loading-truck'!$B$31:$B$48),$J30,('Loading-truck'!$D$31:$D$48))*Impacts!$F$14,IF(('Loading-truck'!$C$21)&lt;&gt;"No control",SUMIF(('Loading-truck'!$B$31:$B$48),$J30,('Loading-truck'!$E$31:$E$48))*Impacts!$F$14,0)),0)</f>
        <v>0</v>
      </c>
      <c r="S30" s="10">
        <f>IFERROR(IF(('Loading-rail'!$C$21)="No control",SUMIF(('Loading-rail'!$B$31:$B$48),$J30,('Loading-rail'!$D$31:$D$48))*Impacts!$F$15,IF(('Loading-rail'!$C$21)&lt;&gt;"No control",SUMIF(('Loading-rail'!$B$31:$B$48),$J30,('Loading-rail'!$E$31:$E$48))*Impacts!$F$15,0)),0)</f>
        <v>0</v>
      </c>
      <c r="T30" s="10">
        <f>IF(Flare!$C$7="",0,(SUMIF(Flare!$B$46:$B$185,$J30,Flare!$E$46:$E$185)*Impacts!$F$16))</f>
        <v>0</v>
      </c>
      <c r="U30" s="10">
        <f>IF(VCU!$C$9="",0,(SUMIF(VCU!$B$51:$B$193,$J30,VCU!$E$51:$E$193)*Impacts!$F$17))</f>
        <v>0</v>
      </c>
      <c r="V30" s="10">
        <f>IF(CAS!$C$7="",0,(SUMIF(CAS!$B$31:$B$167,$J30,CAS!$E$31:$E$167)*Impacts!$F$18))</f>
        <v>0</v>
      </c>
      <c r="W30" s="10">
        <f t="shared" si="6"/>
        <v>0</v>
      </c>
      <c r="AA30" s="48"/>
      <c r="AB30" s="20"/>
      <c r="AC30" s="10">
        <f>IF(OR(AI30=0,AI30="",ISNUMBER(MATCH(AI30,$AI$1:AI29,0))),0,MAX($AC$1:AC29)+1)</f>
        <v>0</v>
      </c>
      <c r="AD30" s="10">
        <f>IF(OR(AJ30=0,AJ30="",ISNUMBER(MATCH(AJ30,$AJ$1:AJ29,0))),0,MAX($AD$1:AD29)+1)</f>
        <v>0</v>
      </c>
      <c r="AE30" s="10">
        <f>IF(OR(AK30=0,AK30="",ISNUMBER(MATCH(AK30,$AK$1:AK29,0))),0,MAX($AE$1:AE29)+1)</f>
        <v>0</v>
      </c>
      <c r="AF30" s="10">
        <f>IF(OR(AH30=0,ISNUMBER(MATCH(AH30,$AH$1:AH29,0))),0,MAX($AF$1:AF29)+1)</f>
        <v>0</v>
      </c>
      <c r="AG30" s="10">
        <f>Tank2!$C$23</f>
        <v>0</v>
      </c>
      <c r="AH30" s="10">
        <f>Tank2!A44</f>
        <v>0</v>
      </c>
      <c r="AI30" s="10" t="str">
        <f t="shared" si="15"/>
        <v/>
      </c>
      <c r="AJ30" s="10" t="str">
        <f t="shared" si="15"/>
        <v/>
      </c>
      <c r="AK30" s="10" t="str">
        <f t="shared" si="15"/>
        <v/>
      </c>
      <c r="AL30" s="17" t="str">
        <f t="shared" si="2"/>
        <v/>
      </c>
      <c r="AM30" s="20" t="str">
        <f t="shared" si="3"/>
        <v/>
      </c>
      <c r="AN30" s="10" t="str">
        <f t="shared" si="4"/>
        <v/>
      </c>
      <c r="AO30" s="17" t="str">
        <f t="shared" si="5"/>
        <v/>
      </c>
      <c r="BE30" s="10"/>
      <c r="BI30" s="10"/>
      <c r="BJ30" s="675" t="s">
        <v>10159</v>
      </c>
      <c r="BK30" s="676">
        <f>IF(IF(COUNTIF('Hidden Inputs'!$BH$2:$BH$40,FederalApplicability!$C$16)&gt;0,TRUE,FALSE),IF(FederalApplicability!$C$17="Yes",FederalApplicability!$C$16,IF(FederalApplicability!$C$16="El Paso",FederalApplicability!$C$16,0)),IF(ISNUMBER(MATCH(FederalApplicability!$C$16,$BE$2:$BE$29,0)),FederalApplicability!$C$16,0))</f>
        <v>0</v>
      </c>
      <c r="BL30" s="677" t="s">
        <v>10160</v>
      </c>
      <c r="BM30" s="676">
        <f>IFERROR(VLOOKUP($BK$30,$BE$2:$BG$29,3,FALSE),0)</f>
        <v>0</v>
      </c>
      <c r="BN30" s="677" t="s">
        <v>10161</v>
      </c>
      <c r="BO30" s="678">
        <f>IFERROR(VLOOKUP($BK$30,$BE$2:$BG$29,2,FALSE),0)</f>
        <v>0</v>
      </c>
      <c r="BQ30" s="10" t="s">
        <v>90</v>
      </c>
      <c r="BS30" s="10">
        <f>IF(BT30=0,0,MAX($BS$29:BS29)+1)</f>
        <v>0</v>
      </c>
      <c r="BT30" s="10">
        <f>IF(Tank2!$C$22="Yes",Tank2!$C$7,0)</f>
        <v>0</v>
      </c>
      <c r="BU30" s="625" t="s">
        <v>272</v>
      </c>
      <c r="BV30" s="596" t="b">
        <f>IF(BW14,NOT(ISBLANK(Baseline!B17)),TRUE)</f>
        <v>1</v>
      </c>
      <c r="BW30" s="596" t="b">
        <f>IF(BX14,NOT(ISBLANK(Baseline!C17)),TRUE)</f>
        <v>1</v>
      </c>
      <c r="BX30" s="596" t="b">
        <f>IF(BY14,NOT(ISBLANK(Baseline!D17)),TRUE)</f>
        <v>1</v>
      </c>
      <c r="BY30" s="596" t="b">
        <f>IF(BZ14,NOT(ISBLANK(Baseline!E17)),TRUE)</f>
        <v>1</v>
      </c>
      <c r="BZ30" s="596" t="b">
        <f>IF(CA14,NOT(ISBLANK(Baseline!F17)),TRUE)</f>
        <v>1</v>
      </c>
      <c r="CA30" s="596" t="b">
        <f>IF(CB14,NOT(ISBLANK(Baseline!G17)),TRUE)</f>
        <v>1</v>
      </c>
      <c r="CB30" s="596" t="b">
        <f>IF(CC14,NOT(ISBLANK(Baseline!H17)),TRUE)</f>
        <v>1</v>
      </c>
      <c r="CC30" s="596"/>
      <c r="CD30" s="596" t="b">
        <f>IF(CE14,NOT(ISBLANK(Baseline!I17)),TRUE)</f>
        <v>1</v>
      </c>
      <c r="CE30" s="596"/>
      <c r="CF30" s="596"/>
      <c r="CG30" s="596" t="b">
        <f>IF(CH14,NOT(ISBLANK(Baseline!J17)),TRUE)</f>
        <v>1</v>
      </c>
      <c r="CH30" s="598"/>
    </row>
    <row r="31" spans="1:86" ht="21" customHeight="1" x14ac:dyDescent="0.25">
      <c r="A31" s="10"/>
      <c r="B31" s="16" t="s">
        <v>39</v>
      </c>
      <c r="C31" s="10">
        <v>100</v>
      </c>
      <c r="D31" s="10">
        <v>249</v>
      </c>
      <c r="E31" s="17">
        <v>249</v>
      </c>
      <c r="I31" s="436" t="s">
        <v>4457</v>
      </c>
      <c r="J31" s="26" t="s">
        <v>4456</v>
      </c>
      <c r="K31" s="10">
        <v>4.4000000000000004</v>
      </c>
      <c r="L31" s="73">
        <f>IF(Tank1!$C$23="No control",(SUMIF(Tank1!$B$32:$B$49,$J31,Tank1!$C$32:$C$49)*Impacts!$F$8),0)</f>
        <v>0</v>
      </c>
      <c r="M31" s="10">
        <f>IF(Tank2!$C$23="No control",(SUMIF(Tank2!$B$32:$B$49,$J31,Tank2!$C$32:$C$49)*Impacts!$F$9),0)</f>
        <v>0</v>
      </c>
      <c r="N31" s="10">
        <f>IF(Tank3!$C$23="No control",(SUMIF(Tank3!$B$32:$B$49,$J31,Tank3!$C$32:$C$49)*Impacts!$F$10),0)</f>
        <v>0</v>
      </c>
      <c r="O31" s="10">
        <f>IF(Tank4!$C$23="No control",(SUMIF(Tank4!$B$32:$B$49,$J31,Tank4!$C$32:$C$49)*Impacts!$F$11),0)</f>
        <v>0</v>
      </c>
      <c r="P31" s="10">
        <f>IF(Tank5!$C$23="No control",(SUMIF(Tank5!$B$32:$B$49,$J31,Tank5!$C$32:$C$49)*Impacts!$F$12),0)</f>
        <v>0</v>
      </c>
      <c r="Q31" s="10">
        <f>IFERROR(IF(('Loading-drum,tote'!$C$21)="No control",SUMIF(('Loading-drum,tote'!$B$31:$B$48),$J31,('Loading-drum,tote'!$D$31:$D$48))*Impacts!$F$13,IF(('Loading-drum,tote'!$C$21)&lt;&gt;"No control",SUMIF(('Loading-drum,tote'!$B$31:$B$48),$J31,('Loading-drum,tote'!$E$31:$E$48))*Impacts!$F$13,0)),0)</f>
        <v>0</v>
      </c>
      <c r="R31" s="10">
        <f>IFERROR(IF(('Loading-truck'!$C$21)="No control",SUMIF(('Loading-truck'!$B$31:$B$48),$J31,('Loading-truck'!$D$31:$D$48))*Impacts!$F$14,IF(('Loading-truck'!$C$21)&lt;&gt;"No control",SUMIF(('Loading-truck'!$B$31:$B$48),$J31,('Loading-truck'!$E$31:$E$48))*Impacts!$F$14,0)),0)</f>
        <v>0</v>
      </c>
      <c r="S31" s="10">
        <f>IFERROR(IF(('Loading-rail'!$C$21)="No control",SUMIF(('Loading-rail'!$B$31:$B$48),$J31,('Loading-rail'!$D$31:$D$48))*Impacts!$F$15,IF(('Loading-rail'!$C$21)&lt;&gt;"No control",SUMIF(('Loading-rail'!$B$31:$B$48),$J31,('Loading-rail'!$E$31:$E$48))*Impacts!$F$15,0)),0)</f>
        <v>0</v>
      </c>
      <c r="T31" s="10">
        <f>IF(Flare!$C$7="",0,(SUMIF(Flare!$B$46:$B$185,$J31,Flare!$E$46:$E$185)*Impacts!$F$16))</f>
        <v>0</v>
      </c>
      <c r="U31" s="10">
        <f>IF(VCU!$C$9="",0,(SUMIF(VCU!$B$51:$B$193,$J31,VCU!$E$51:$E$193)*Impacts!$F$17))</f>
        <v>0</v>
      </c>
      <c r="V31" s="10">
        <f>IF(CAS!$C$7="",0,(SUMIF(CAS!$B$31:$B$167,$J31,CAS!$E$31:$E$167)*Impacts!$F$18))</f>
        <v>0</v>
      </c>
      <c r="W31" s="10">
        <f t="shared" si="6"/>
        <v>0</v>
      </c>
      <c r="AA31" s="48"/>
      <c r="AB31" s="20"/>
      <c r="AC31" s="10">
        <f>IF(OR(AI31=0,AI31="",ISNUMBER(MATCH(AI31,$AI$1:AI30,0))),0,MAX($AC$1:AC30)+1)</f>
        <v>0</v>
      </c>
      <c r="AD31" s="10">
        <f>IF(OR(AJ31=0,AJ31="",ISNUMBER(MATCH(AJ31,$AJ$1:AJ30,0))),0,MAX($AD$1:AD30)+1)</f>
        <v>0</v>
      </c>
      <c r="AE31" s="10">
        <f>IF(OR(AK31=0,AK31="",ISNUMBER(MATCH(AK31,$AK$1:AK30,0))),0,MAX($AE$1:AE30)+1)</f>
        <v>0</v>
      </c>
      <c r="AF31" s="10">
        <f>IF(OR(AH31=0,ISNUMBER(MATCH(AH31,$AH$1:AH30,0))),0,MAX($AF$1:AF30)+1)</f>
        <v>0</v>
      </c>
      <c r="AG31" s="10">
        <f>Tank2!$C$23</f>
        <v>0</v>
      </c>
      <c r="AH31" s="10">
        <f>Tank2!A45</f>
        <v>0</v>
      </c>
      <c r="AI31" s="10" t="str">
        <f t="shared" si="15"/>
        <v/>
      </c>
      <c r="AJ31" s="10" t="str">
        <f t="shared" si="15"/>
        <v/>
      </c>
      <c r="AK31" s="10" t="str">
        <f t="shared" si="15"/>
        <v/>
      </c>
      <c r="AL31" s="17" t="str">
        <f t="shared" si="2"/>
        <v/>
      </c>
      <c r="AM31" s="20" t="str">
        <f t="shared" si="3"/>
        <v/>
      </c>
      <c r="AN31" s="10" t="str">
        <f t="shared" si="4"/>
        <v/>
      </c>
      <c r="AO31" s="17" t="str">
        <f t="shared" si="5"/>
        <v/>
      </c>
      <c r="BE31" s="10"/>
      <c r="BI31" s="10"/>
      <c r="BJ31" s="679" t="s">
        <v>8966</v>
      </c>
      <c r="BK31" s="669" t="s">
        <v>8703</v>
      </c>
      <c r="BL31" s="669" t="s">
        <v>3</v>
      </c>
      <c r="BM31" s="669" t="s">
        <v>8944</v>
      </c>
      <c r="BN31" s="669" t="s">
        <v>8937</v>
      </c>
      <c r="BO31" s="669" t="s">
        <v>8971</v>
      </c>
      <c r="BP31" s="670" t="s">
        <v>8973</v>
      </c>
      <c r="BQ31" s="10" t="s">
        <v>91</v>
      </c>
      <c r="BS31" s="10">
        <f>IF(BT31=0,0,MAX($BS$29:BS30)+1)</f>
        <v>0</v>
      </c>
      <c r="BT31" s="10">
        <f>IF(Tank3!$C$22="Yes",Tank3!$C$7,0)</f>
        <v>0</v>
      </c>
      <c r="BU31" s="625" t="s">
        <v>271</v>
      </c>
      <c r="BV31" s="600" t="b">
        <f>IF(BW15,NOT(ISBLANK(Baseline!B18)),TRUE)</f>
        <v>1</v>
      </c>
      <c r="BW31" s="600" t="b">
        <f>IF(BX15,NOT(ISBLANK(Baseline!C18)),TRUE)</f>
        <v>1</v>
      </c>
      <c r="BX31" s="600" t="b">
        <f>IF(BY15,NOT(ISBLANK(Baseline!D18)),TRUE)</f>
        <v>1</v>
      </c>
      <c r="BY31" s="600" t="b">
        <f>IF(BZ15,NOT(ISBLANK(Baseline!E18)),TRUE)</f>
        <v>1</v>
      </c>
      <c r="BZ31" s="600" t="b">
        <f>IF(CA15,NOT(ISBLANK(Baseline!F18)),TRUE)</f>
        <v>1</v>
      </c>
      <c r="CA31" s="596" t="b">
        <f>IF(CB15,NOT(ISBLANK(Baseline!G18)),TRUE)</f>
        <v>1</v>
      </c>
      <c r="CB31" s="596" t="b">
        <f>IF(CC15,NOT(ISBLANK(Baseline!H18)),TRUE)</f>
        <v>1</v>
      </c>
      <c r="CC31" s="596"/>
      <c r="CD31" s="596" t="b">
        <f>IF(CE15,NOT(ISBLANK(Baseline!I18)),TRUE)</f>
        <v>1</v>
      </c>
      <c r="CE31" s="596"/>
      <c r="CF31" s="596"/>
      <c r="CG31" s="596" t="b">
        <f>IF(CH15,NOT(ISBLANK(Baseline!J18)),TRUE)</f>
        <v>1</v>
      </c>
      <c r="CH31" s="598"/>
    </row>
    <row r="32" spans="1:86" ht="21" customHeight="1" thickBot="1" x14ac:dyDescent="0.3">
      <c r="A32" s="10"/>
      <c r="B32" s="16" t="s">
        <v>40</v>
      </c>
      <c r="C32" s="10">
        <v>100</v>
      </c>
      <c r="D32" s="10">
        <v>249</v>
      </c>
      <c r="E32" s="17">
        <v>249</v>
      </c>
      <c r="I32" s="436" t="s">
        <v>6272</v>
      </c>
      <c r="J32" s="26" t="s">
        <v>6271</v>
      </c>
      <c r="K32" s="10">
        <v>0.9</v>
      </c>
      <c r="L32" s="73">
        <f>IF(Tank1!$C$23="No control",(SUMIF(Tank1!$B$32:$B$49,$J32,Tank1!$C$32:$C$49)*Impacts!$F$8),0)</f>
        <v>0</v>
      </c>
      <c r="M32" s="10">
        <f>IF(Tank2!$C$23="No control",(SUMIF(Tank2!$B$32:$B$49,$J32,Tank2!$C$32:$C$49)*Impacts!$F$9),0)</f>
        <v>0</v>
      </c>
      <c r="N32" s="10">
        <f>IF(Tank3!$C$23="No control",(SUMIF(Tank3!$B$32:$B$49,$J32,Tank3!$C$32:$C$49)*Impacts!$F$10),0)</f>
        <v>0</v>
      </c>
      <c r="O32" s="10">
        <f>IF(Tank4!$C$23="No control",(SUMIF(Tank4!$B$32:$B$49,$J32,Tank4!$C$32:$C$49)*Impacts!$F$11),0)</f>
        <v>0</v>
      </c>
      <c r="P32" s="10">
        <f>IF(Tank5!$C$23="No control",(SUMIF(Tank5!$B$32:$B$49,$J32,Tank5!$C$32:$C$49)*Impacts!$F$12),0)</f>
        <v>0</v>
      </c>
      <c r="Q32" s="10">
        <f>IFERROR(IF(('Loading-drum,tote'!$C$21)="No control",SUMIF(('Loading-drum,tote'!$B$31:$B$48),$J32,('Loading-drum,tote'!$D$31:$D$48))*Impacts!$F$13,IF(('Loading-drum,tote'!$C$21)&lt;&gt;"No control",SUMIF(('Loading-drum,tote'!$B$31:$B$48),$J32,('Loading-drum,tote'!$E$31:$E$48))*Impacts!$F$13,0)),0)</f>
        <v>0</v>
      </c>
      <c r="R32" s="10">
        <f>IFERROR(IF(('Loading-truck'!$C$21)="No control",SUMIF(('Loading-truck'!$B$31:$B$48),$J32,('Loading-truck'!$D$31:$D$48))*Impacts!$F$14,IF(('Loading-truck'!$C$21)&lt;&gt;"No control",SUMIF(('Loading-truck'!$B$31:$B$48),$J32,('Loading-truck'!$E$31:$E$48))*Impacts!$F$14,0)),0)</f>
        <v>0</v>
      </c>
      <c r="S32" s="10">
        <f>IFERROR(IF(('Loading-rail'!$C$21)="No control",SUMIF(('Loading-rail'!$B$31:$B$48),$J32,('Loading-rail'!$D$31:$D$48))*Impacts!$F$15,IF(('Loading-rail'!$C$21)&lt;&gt;"No control",SUMIF(('Loading-rail'!$B$31:$B$48),$J32,('Loading-rail'!$E$31:$E$48))*Impacts!$F$15,0)),0)</f>
        <v>0</v>
      </c>
      <c r="T32" s="10">
        <f>IF(Flare!$C$7="",0,(SUMIF(Flare!$B$46:$B$185,$J32,Flare!$E$46:$E$185)*Impacts!$F$16))</f>
        <v>0</v>
      </c>
      <c r="U32" s="10">
        <f>IF(VCU!$C$9="",0,(SUMIF(VCU!$B$51:$B$193,$J32,VCU!$E$51:$E$193)*Impacts!$F$17))</f>
        <v>0</v>
      </c>
      <c r="V32" s="10">
        <f>IF(CAS!$C$7="",0,(SUMIF(CAS!$B$31:$B$167,$J32,CAS!$E$31:$E$167)*Impacts!$F$18))</f>
        <v>0</v>
      </c>
      <c r="W32" s="10">
        <f t="shared" si="6"/>
        <v>0</v>
      </c>
      <c r="AA32" s="48"/>
      <c r="AB32" s="20"/>
      <c r="AC32" s="10">
        <f>IF(OR(AI32=0,AI32="",ISNUMBER(MATCH(AI32,$AI$1:AI31,0))),0,MAX($AC$1:AC31)+1)</f>
        <v>0</v>
      </c>
      <c r="AD32" s="10">
        <f>IF(OR(AJ32=0,AJ32="",ISNUMBER(MATCH(AJ32,$AJ$1:AJ31,0))),0,MAX($AD$1:AD31)+1)</f>
        <v>0</v>
      </c>
      <c r="AE32" s="10">
        <f>IF(OR(AK32=0,AK32="",ISNUMBER(MATCH(AK32,$AK$1:AK31,0))),0,MAX($AE$1:AE31)+1)</f>
        <v>0</v>
      </c>
      <c r="AF32" s="10">
        <f>IF(OR(AH32=0,ISNUMBER(MATCH(AH32,$AH$1:AH31,0))),0,MAX($AF$1:AF31)+1)</f>
        <v>0</v>
      </c>
      <c r="AG32" s="10">
        <f>Tank2!$C$23</f>
        <v>0</v>
      </c>
      <c r="AH32" s="10">
        <f>Tank2!A46</f>
        <v>0</v>
      </c>
      <c r="AI32" s="10" t="str">
        <f t="shared" si="15"/>
        <v/>
      </c>
      <c r="AJ32" s="10" t="str">
        <f t="shared" si="15"/>
        <v/>
      </c>
      <c r="AK32" s="10" t="str">
        <f t="shared" si="15"/>
        <v/>
      </c>
      <c r="AL32" s="17" t="str">
        <f t="shared" si="2"/>
        <v/>
      </c>
      <c r="AM32" s="20" t="str">
        <f t="shared" si="3"/>
        <v/>
      </c>
      <c r="AN32" s="10" t="str">
        <f t="shared" si="4"/>
        <v/>
      </c>
      <c r="AO32" s="17" t="str">
        <f t="shared" si="5"/>
        <v/>
      </c>
      <c r="BE32" s="10"/>
      <c r="BI32" s="10"/>
      <c r="BJ32" s="671" t="s">
        <v>8969</v>
      </c>
      <c r="BK32" s="686" t="b">
        <f>FederalApplicability!B22&lt;FederalApplicability!D22</f>
        <v>1</v>
      </c>
      <c r="BL32" s="686" t="b">
        <f>FederalApplicability!B23&lt;FederalApplicability!D23</f>
        <v>1</v>
      </c>
      <c r="BM32" s="686" t="b">
        <f>FederalApplicability!B24&lt;FederalApplicability!D24</f>
        <v>1</v>
      </c>
      <c r="BN32" s="686" t="b">
        <f>FederalApplicability!B25&lt;FederalApplicability!D25</f>
        <v>1</v>
      </c>
      <c r="BO32" s="96" t="b">
        <f>IF($BO$30="Ozone",AND(BK32,BL32),IF($BO$30="SO2",BN32,IF($BO$30="PM10",BM32,AND(BM32,BN32,BL32,BK32))))</f>
        <v>1</v>
      </c>
      <c r="BP32" s="672" t="b">
        <v>1</v>
      </c>
      <c r="BQ32" s="10" t="s">
        <v>98</v>
      </c>
      <c r="BS32" s="10">
        <f>IF(BT32=0,0,MAX($BS$29:BS31)+1)</f>
        <v>0</v>
      </c>
      <c r="BT32" s="10">
        <f>IF(Tank4!$C$22="Yes",Tank4!$C$7,0)</f>
        <v>0</v>
      </c>
      <c r="BU32" s="605" t="s">
        <v>1</v>
      </c>
      <c r="BV32" s="597" t="b">
        <f>IF(BW16,NOT(ISBLANK(Baseline!B19)),TRUE)</f>
        <v>1</v>
      </c>
      <c r="BW32" s="597" t="b">
        <f>IF(BX16,NOT(ISBLANK(Baseline!C19)),TRUE)</f>
        <v>1</v>
      </c>
      <c r="BX32" s="597" t="b">
        <f>IF(BY16,NOT(ISBLANK(Baseline!D19)),TRUE)</f>
        <v>1</v>
      </c>
      <c r="BY32" s="597" t="b">
        <f>IF(BZ16,NOT(ISBLANK(Baseline!E19)),TRUE)</f>
        <v>1</v>
      </c>
      <c r="BZ32" s="597" t="b">
        <f>IF(CA16,NOT(ISBLANK(Baseline!F19)),TRUE)</f>
        <v>1</v>
      </c>
      <c r="CA32" s="597" t="b">
        <f>IF(CB16,NOT(ISBLANK(Baseline!G19)),TRUE)</f>
        <v>1</v>
      </c>
      <c r="CB32" s="597" t="b">
        <f>IF(CC16,NOT(ISBLANK(Baseline!H19)),TRUE)</f>
        <v>1</v>
      </c>
      <c r="CC32" s="597"/>
      <c r="CD32" s="597" t="b">
        <f>IF(CE16,NOT(ISBLANK(Baseline!I19)),TRUE)</f>
        <v>1</v>
      </c>
      <c r="CE32" s="597"/>
      <c r="CF32" s="597"/>
      <c r="CG32" s="597" t="b">
        <f>IF(CH16,NOT(ISBLANK(Baseline!J19)),TRUE)</f>
        <v>1</v>
      </c>
      <c r="CH32" s="599"/>
    </row>
    <row r="33" spans="1:86" ht="21" customHeight="1" thickBot="1" x14ac:dyDescent="0.3">
      <c r="A33" s="10"/>
      <c r="B33" s="16" t="s">
        <v>41</v>
      </c>
      <c r="C33" s="10">
        <v>100</v>
      </c>
      <c r="D33" s="10">
        <v>249</v>
      </c>
      <c r="E33" s="17">
        <v>249</v>
      </c>
      <c r="I33" s="436" t="s">
        <v>5630</v>
      </c>
      <c r="J33" s="26" t="s">
        <v>5629</v>
      </c>
      <c r="K33" s="10">
        <v>1</v>
      </c>
      <c r="L33" s="73">
        <f>IF(Tank1!$C$23="No control",(SUMIF(Tank1!$B$32:$B$49,$J33,Tank1!$C$32:$C$49)*Impacts!$F$8),0)</f>
        <v>0</v>
      </c>
      <c r="M33" s="10">
        <f>IF(Tank2!$C$23="No control",(SUMIF(Tank2!$B$32:$B$49,$J33,Tank2!$C$32:$C$49)*Impacts!$F$9),0)</f>
        <v>0</v>
      </c>
      <c r="N33" s="10">
        <f>IF(Tank3!$C$23="No control",(SUMIF(Tank3!$B$32:$B$49,$J33,Tank3!$C$32:$C$49)*Impacts!$F$10),0)</f>
        <v>0</v>
      </c>
      <c r="O33" s="10">
        <f>IF(Tank4!$C$23="No control",(SUMIF(Tank4!$B$32:$B$49,$J33,Tank4!$C$32:$C$49)*Impacts!$F$11),0)</f>
        <v>0</v>
      </c>
      <c r="P33" s="10">
        <f>IF(Tank5!$C$23="No control",(SUMIF(Tank5!$B$32:$B$49,$J33,Tank5!$C$32:$C$49)*Impacts!$F$12),0)</f>
        <v>0</v>
      </c>
      <c r="Q33" s="10">
        <f>IFERROR(IF(('Loading-drum,tote'!$C$21)="No control",SUMIF(('Loading-drum,tote'!$B$31:$B$48),$J33,('Loading-drum,tote'!$D$31:$D$48))*Impacts!$F$13,IF(('Loading-drum,tote'!$C$21)&lt;&gt;"No control",SUMIF(('Loading-drum,tote'!$B$31:$B$48),$J33,('Loading-drum,tote'!$E$31:$E$48))*Impacts!$F$13,0)),0)</f>
        <v>0</v>
      </c>
      <c r="R33" s="10">
        <f>IFERROR(IF(('Loading-truck'!$C$21)="No control",SUMIF(('Loading-truck'!$B$31:$B$48),$J33,('Loading-truck'!$D$31:$D$48))*Impacts!$F$14,IF(('Loading-truck'!$C$21)&lt;&gt;"No control",SUMIF(('Loading-truck'!$B$31:$B$48),$J33,('Loading-truck'!$E$31:$E$48))*Impacts!$F$14,0)),0)</f>
        <v>0</v>
      </c>
      <c r="S33" s="10">
        <f>IFERROR(IF(('Loading-rail'!$C$21)="No control",SUMIF(('Loading-rail'!$B$31:$B$48),$J33,('Loading-rail'!$D$31:$D$48))*Impacts!$F$15,IF(('Loading-rail'!$C$21)&lt;&gt;"No control",SUMIF(('Loading-rail'!$B$31:$B$48),$J33,('Loading-rail'!$E$31:$E$48))*Impacts!$F$15,0)),0)</f>
        <v>0</v>
      </c>
      <c r="T33" s="10">
        <f>IF(Flare!$C$7="",0,(SUMIF(Flare!$B$46:$B$185,$J33,Flare!$E$46:$E$185)*Impacts!$F$16))</f>
        <v>0</v>
      </c>
      <c r="U33" s="10">
        <f>IF(VCU!$C$9="",0,(SUMIF(VCU!$B$51:$B$193,$J33,VCU!$E$51:$E$193)*Impacts!$F$17))</f>
        <v>0</v>
      </c>
      <c r="V33" s="10">
        <f>IF(CAS!$C$7="",0,(SUMIF(CAS!$B$31:$B$167,$J33,CAS!$E$31:$E$167)*Impacts!$F$18))</f>
        <v>0</v>
      </c>
      <c r="W33" s="10">
        <f t="shared" si="6"/>
        <v>0</v>
      </c>
      <c r="AA33" s="48"/>
      <c r="AB33" s="20"/>
      <c r="AC33" s="10">
        <f>IF(OR(AI33=0,AI33="",ISNUMBER(MATCH(AI33,$AI$1:AI32,0))),0,MAX($AC$1:AC32)+1)</f>
        <v>0</v>
      </c>
      <c r="AD33" s="10">
        <f>IF(OR(AJ33=0,AJ33="",ISNUMBER(MATCH(AJ33,$AJ$1:AJ32,0))),0,MAX($AD$1:AD32)+1)</f>
        <v>0</v>
      </c>
      <c r="AE33" s="10">
        <f>IF(OR(AK33=0,AK33="",ISNUMBER(MATCH(AK33,$AK$1:AK32,0))),0,MAX($AE$1:AE32)+1)</f>
        <v>0</v>
      </c>
      <c r="AF33" s="10">
        <f>IF(OR(AH33=0,ISNUMBER(MATCH(AH33,$AH$1:AH32,0))),0,MAX($AF$1:AF32)+1)</f>
        <v>0</v>
      </c>
      <c r="AG33" s="10">
        <f>Tank2!$C$23</f>
        <v>0</v>
      </c>
      <c r="AH33" s="10">
        <f>Tank2!A47</f>
        <v>0</v>
      </c>
      <c r="AI33" s="10" t="str">
        <f t="shared" si="15"/>
        <v/>
      </c>
      <c r="AJ33" s="10" t="str">
        <f t="shared" si="15"/>
        <v/>
      </c>
      <c r="AK33" s="10" t="str">
        <f t="shared" si="15"/>
        <v/>
      </c>
      <c r="AL33" s="17" t="str">
        <f t="shared" si="2"/>
        <v/>
      </c>
      <c r="AM33" s="20" t="str">
        <f t="shared" si="3"/>
        <v/>
      </c>
      <c r="AN33" s="10" t="str">
        <f t="shared" si="4"/>
        <v/>
      </c>
      <c r="AO33" s="17" t="str">
        <f t="shared" si="5"/>
        <v/>
      </c>
      <c r="BE33" s="10"/>
      <c r="BI33" s="10"/>
      <c r="BJ33" s="671" t="s">
        <v>10109</v>
      </c>
      <c r="BK33" s="686" t="b">
        <f>FederalApplicability!B30&lt;FederalApplicability!D30</f>
        <v>1</v>
      </c>
      <c r="BL33" s="686" t="b">
        <f>FederalApplicability!B31&lt;FederalApplicability!D31</f>
        <v>1</v>
      </c>
      <c r="BM33" s="686" t="b">
        <f>FederalApplicability!B32&lt;FederalApplicability!D32</f>
        <v>1</v>
      </c>
      <c r="BN33" s="686" t="b">
        <f>FederalApplicability!B33&lt;FederalApplicability!D33</f>
        <v>1</v>
      </c>
      <c r="BO33" s="96" t="b">
        <f>IF($BO$30="Ozone",AND(BK33,BL33),IF($BO$30="SO2",BN33,IF($BO$30="PM10",BM33,AND(BN33,BM33,BL33,BK33))))</f>
        <v>1</v>
      </c>
      <c r="BP33" s="672" t="b">
        <v>1</v>
      </c>
      <c r="BQ33" s="10" t="s">
        <v>99</v>
      </c>
      <c r="BS33" s="10">
        <f>IF(BT33=0,0,MAX($BS$29:BS32)+1)</f>
        <v>0</v>
      </c>
      <c r="BT33" s="10">
        <f>IF(Tank5!$C$22="Yes",Tank5!$C$7,0)</f>
        <v>0</v>
      </c>
      <c r="BU33" s="1634" t="s">
        <v>10137</v>
      </c>
      <c r="BV33" s="1635"/>
      <c r="BW33" s="1635"/>
      <c r="BX33" s="1635"/>
      <c r="BY33" s="1635"/>
      <c r="BZ33" s="1635"/>
      <c r="CA33" s="1635"/>
      <c r="CB33" s="1635"/>
      <c r="CC33" s="1635"/>
      <c r="CD33" s="1635"/>
      <c r="CE33" s="1635"/>
      <c r="CF33" s="1635"/>
      <c r="CG33" s="1635"/>
      <c r="CH33" s="1635"/>
    </row>
    <row r="34" spans="1:86" ht="15" x14ac:dyDescent="0.25">
      <c r="A34" s="10"/>
      <c r="B34" s="16" t="s">
        <v>42</v>
      </c>
      <c r="C34" s="10">
        <v>100</v>
      </c>
      <c r="D34" s="10">
        <v>249</v>
      </c>
      <c r="E34" s="17">
        <v>249</v>
      </c>
      <c r="I34" s="436" t="s">
        <v>5011</v>
      </c>
      <c r="J34" s="26" t="s">
        <v>5010</v>
      </c>
      <c r="K34" s="10">
        <v>2.4000000000000004</v>
      </c>
      <c r="L34" s="73">
        <f>IF(Tank1!$C$23="No control",(SUMIF(Tank1!$B$32:$B$49,$J34,Tank1!$C$32:$C$49)*Impacts!$F$8),0)</f>
        <v>0</v>
      </c>
      <c r="M34" s="10">
        <f>IF(Tank2!$C$23="No control",(SUMIF(Tank2!$B$32:$B$49,$J34,Tank2!$C$32:$C$49)*Impacts!$F$9),0)</f>
        <v>0</v>
      </c>
      <c r="N34" s="10">
        <f>IF(Tank3!$C$23="No control",(SUMIF(Tank3!$B$32:$B$49,$J34,Tank3!$C$32:$C$49)*Impacts!$F$10),0)</f>
        <v>0</v>
      </c>
      <c r="O34" s="10">
        <f>IF(Tank4!$C$23="No control",(SUMIF(Tank4!$B$32:$B$49,$J34,Tank4!$C$32:$C$49)*Impacts!$F$11),0)</f>
        <v>0</v>
      </c>
      <c r="P34" s="10">
        <f>IF(Tank5!$C$23="No control",(SUMIF(Tank5!$B$32:$B$49,$J34,Tank5!$C$32:$C$49)*Impacts!$F$12),0)</f>
        <v>0</v>
      </c>
      <c r="Q34" s="10">
        <f>IFERROR(IF(('Loading-drum,tote'!$C$21)="No control",SUMIF(('Loading-drum,tote'!$B$31:$B$48),$J34,('Loading-drum,tote'!$D$31:$D$48))*Impacts!$F$13,IF(('Loading-drum,tote'!$C$21)&lt;&gt;"No control",SUMIF(('Loading-drum,tote'!$B$31:$B$48),$J34,('Loading-drum,tote'!$E$31:$E$48))*Impacts!$F$13,0)),0)</f>
        <v>0</v>
      </c>
      <c r="R34" s="10">
        <f>IFERROR(IF(('Loading-truck'!$C$21)="No control",SUMIF(('Loading-truck'!$B$31:$B$48),$J34,('Loading-truck'!$D$31:$D$48))*Impacts!$F$14,IF(('Loading-truck'!$C$21)&lt;&gt;"No control",SUMIF(('Loading-truck'!$B$31:$B$48),$J34,('Loading-truck'!$E$31:$E$48))*Impacts!$F$14,0)),0)</f>
        <v>0</v>
      </c>
      <c r="S34" s="10">
        <f>IFERROR(IF(('Loading-rail'!$C$21)="No control",SUMIF(('Loading-rail'!$B$31:$B$48),$J34,('Loading-rail'!$D$31:$D$48))*Impacts!$F$15,IF(('Loading-rail'!$C$21)&lt;&gt;"No control",SUMIF(('Loading-rail'!$B$31:$B$48),$J34,('Loading-rail'!$E$31:$E$48))*Impacts!$F$15,0)),0)</f>
        <v>0</v>
      </c>
      <c r="T34" s="10">
        <f>IF(Flare!$C$7="",0,(SUMIF(Flare!$B$46:$B$185,$J34,Flare!$E$46:$E$185)*Impacts!$F$16))</f>
        <v>0</v>
      </c>
      <c r="U34" s="10">
        <f>IF(VCU!$C$9="",0,(SUMIF(VCU!$B$51:$B$193,$J34,VCU!$E$51:$E$193)*Impacts!$F$17))</f>
        <v>0</v>
      </c>
      <c r="V34" s="10">
        <f>IF(CAS!$C$7="",0,(SUMIF(CAS!$B$31:$B$167,$J34,CAS!$E$31:$E$167)*Impacts!$F$18))</f>
        <v>0</v>
      </c>
      <c r="W34" s="10">
        <f t="shared" si="6"/>
        <v>0</v>
      </c>
      <c r="AA34" s="48"/>
      <c r="AB34" s="20"/>
      <c r="AC34" s="10">
        <f>IF(OR(AI34=0,AI34="",ISNUMBER(MATCH(AI34,$AI$1:AI33,0))),0,MAX($AC$1:AC33)+1)</f>
        <v>0</v>
      </c>
      <c r="AD34" s="10">
        <f>IF(OR(AJ34=0,AJ34="",ISNUMBER(MATCH(AJ34,$AJ$1:AJ33,0))),0,MAX($AD$1:AD33)+1)</f>
        <v>0</v>
      </c>
      <c r="AE34" s="10">
        <f>IF(OR(AK34=0,AK34="",ISNUMBER(MATCH(AK34,$AK$1:AK33,0))),0,MAX($AE$1:AE33)+1)</f>
        <v>0</v>
      </c>
      <c r="AF34" s="10">
        <f>IF(OR(AH34=0,ISNUMBER(MATCH(AH34,$AH$1:AH33,0))),0,MAX($AF$1:AF33)+1)</f>
        <v>0</v>
      </c>
      <c r="AG34" s="10">
        <f>Tank2!$C$23</f>
        <v>0</v>
      </c>
      <c r="AH34" s="10">
        <f>Tank2!A48</f>
        <v>0</v>
      </c>
      <c r="AI34" s="10" t="str">
        <f t="shared" si="15"/>
        <v/>
      </c>
      <c r="AJ34" s="10" t="str">
        <f t="shared" si="15"/>
        <v/>
      </c>
      <c r="AK34" s="10" t="str">
        <f t="shared" si="15"/>
        <v/>
      </c>
      <c r="AL34" s="17" t="str">
        <f t="shared" ref="AL34:AL65" si="19">IFERROR(VLOOKUP(ROW(AL33),$AF$2:$AH$137,3,FALSE),"")</f>
        <v/>
      </c>
      <c r="AM34" s="20" t="str">
        <f t="shared" ref="AM34:AM65" si="20">IFERROR(VLOOKUP(ROW(AH33),$AC$2:$AH$137,6,FALSE),"")</f>
        <v/>
      </c>
      <c r="AN34" s="10" t="str">
        <f t="shared" ref="AN34:AN65" si="21">IFERROR(VLOOKUP(ROW(AH33),$AD$2:$AH$137,5,FALSE),"")</f>
        <v/>
      </c>
      <c r="AO34" s="17" t="str">
        <f t="shared" ref="AO34:AO65" si="22">IFERROR(VLOOKUP(ROW(AH33),$AE$2:$AH$137,4,FALSE),"")</f>
        <v/>
      </c>
      <c r="BE34" s="10"/>
      <c r="BI34" s="10"/>
      <c r="BJ34" s="671" t="s">
        <v>10162</v>
      </c>
      <c r="BK34" s="686" t="b">
        <f>FederalApplicability!B38&lt;FederalApplicability!D38</f>
        <v>1</v>
      </c>
      <c r="BL34" s="686" t="b">
        <f>FederalApplicability!B39&lt;FederalApplicability!D39</f>
        <v>1</v>
      </c>
      <c r="BM34" s="686" t="b">
        <f>FederalApplicability!B40&lt;FederalApplicability!D40</f>
        <v>1</v>
      </c>
      <c r="BN34" s="686" t="b">
        <f>FederalApplicability!B41&lt;FederalApplicability!D41</f>
        <v>1</v>
      </c>
      <c r="BO34" s="96" t="b">
        <f>IF($BO$30="Ozone",AND(BK34,BL34),IF($BO$30="SO2",BN34,IF($BO$30="PM10",BM34,AND(BN34,BM34,BL34,BK34))))</f>
        <v>1</v>
      </c>
      <c r="BP34" s="672" t="b">
        <v>1</v>
      </c>
      <c r="BQ34" s="10" t="s">
        <v>101</v>
      </c>
      <c r="BU34" s="603" t="s">
        <v>2</v>
      </c>
      <c r="BV34" s="606" t="s">
        <v>8495</v>
      </c>
      <c r="BW34" s="606" t="s">
        <v>8703</v>
      </c>
      <c r="BX34" s="606" t="s">
        <v>8491</v>
      </c>
      <c r="BY34" s="606" t="s">
        <v>8944</v>
      </c>
      <c r="BZ34" s="606" t="s">
        <v>10105</v>
      </c>
      <c r="CA34" s="606" t="s">
        <v>8937</v>
      </c>
      <c r="CB34" s="606" t="s">
        <v>3</v>
      </c>
      <c r="CC34" s="606"/>
      <c r="CD34" s="606" t="s">
        <v>10102</v>
      </c>
      <c r="CE34" s="606"/>
      <c r="CF34" s="606"/>
      <c r="CG34" s="606" t="s">
        <v>10103</v>
      </c>
      <c r="CH34" s="729"/>
    </row>
    <row r="35" spans="1:86" ht="21" customHeight="1" x14ac:dyDescent="0.25">
      <c r="A35" s="10"/>
      <c r="B35" s="16" t="s">
        <v>43</v>
      </c>
      <c r="C35" s="10">
        <v>100</v>
      </c>
      <c r="D35" s="10">
        <v>249</v>
      </c>
      <c r="E35" s="17">
        <v>249</v>
      </c>
      <c r="I35" s="436" t="s">
        <v>7132</v>
      </c>
      <c r="J35" s="26" t="s">
        <v>7131</v>
      </c>
      <c r="K35" s="10">
        <v>0.39</v>
      </c>
      <c r="L35" s="73">
        <f>IF(Tank1!$C$23="No control",(SUMIF(Tank1!$B$32:$B$49,$J35,Tank1!$C$32:$C$49)*Impacts!$F$8),0)</f>
        <v>0</v>
      </c>
      <c r="M35" s="10">
        <f>IF(Tank2!$C$23="No control",(SUMIF(Tank2!$B$32:$B$49,$J35,Tank2!$C$32:$C$49)*Impacts!$F$9),0)</f>
        <v>0</v>
      </c>
      <c r="N35" s="10">
        <f>IF(Tank3!$C$23="No control",(SUMIF(Tank3!$B$32:$B$49,$J35,Tank3!$C$32:$C$49)*Impacts!$F$10),0)</f>
        <v>0</v>
      </c>
      <c r="O35" s="10">
        <f>IF(Tank4!$C$23="No control",(SUMIF(Tank4!$B$32:$B$49,$J35,Tank4!$C$32:$C$49)*Impacts!$F$11),0)</f>
        <v>0</v>
      </c>
      <c r="P35" s="10">
        <f>IF(Tank5!$C$23="No control",(SUMIF(Tank5!$B$32:$B$49,$J35,Tank5!$C$32:$C$49)*Impacts!$F$12),0)</f>
        <v>0</v>
      </c>
      <c r="Q35" s="10">
        <f>IFERROR(IF(('Loading-drum,tote'!$C$21)="No control",SUMIF(('Loading-drum,tote'!$B$31:$B$48),$J35,('Loading-drum,tote'!$D$31:$D$48))*Impacts!$F$13,IF(('Loading-drum,tote'!$C$21)&lt;&gt;"No control",SUMIF(('Loading-drum,tote'!$B$31:$B$48),$J35,('Loading-drum,tote'!$E$31:$E$48))*Impacts!$F$13,0)),0)</f>
        <v>0</v>
      </c>
      <c r="R35" s="10">
        <f>IFERROR(IF(('Loading-truck'!$C$21)="No control",SUMIF(('Loading-truck'!$B$31:$B$48),$J35,('Loading-truck'!$D$31:$D$48))*Impacts!$F$14,IF(('Loading-truck'!$C$21)&lt;&gt;"No control",SUMIF(('Loading-truck'!$B$31:$B$48),$J35,('Loading-truck'!$E$31:$E$48))*Impacts!$F$14,0)),0)</f>
        <v>0</v>
      </c>
      <c r="S35" s="10">
        <f>IFERROR(IF(('Loading-rail'!$C$21)="No control",SUMIF(('Loading-rail'!$B$31:$B$48),$J35,('Loading-rail'!$D$31:$D$48))*Impacts!$F$15,IF(('Loading-rail'!$C$21)&lt;&gt;"No control",SUMIF(('Loading-rail'!$B$31:$B$48),$J35,('Loading-rail'!$E$31:$E$48))*Impacts!$F$15,0)),0)</f>
        <v>0</v>
      </c>
      <c r="T35" s="10">
        <f>IF(Flare!$C$7="",0,(SUMIF(Flare!$B$46:$B$185,$J35,Flare!$E$46:$E$185)*Impacts!$F$16))</f>
        <v>0</v>
      </c>
      <c r="U35" s="10">
        <f>IF(VCU!$C$9="",0,(SUMIF(VCU!$B$51:$B$193,$J35,VCU!$E$51:$E$193)*Impacts!$F$17))</f>
        <v>0</v>
      </c>
      <c r="V35" s="10">
        <f>IF(CAS!$C$7="",0,(SUMIF(CAS!$B$31:$B$167,$J35,CAS!$E$31:$E$167)*Impacts!$F$18))</f>
        <v>0</v>
      </c>
      <c r="W35" s="10">
        <f t="shared" si="6"/>
        <v>0</v>
      </c>
      <c r="AA35" s="48"/>
      <c r="AB35" s="20"/>
      <c r="AC35" s="10">
        <f>IF(OR(AI35=0,AI35="",ISNUMBER(MATCH(AI35,$AI$1:AI34,0))),0,MAX($AC$1:AC34)+1)</f>
        <v>0</v>
      </c>
      <c r="AD35" s="10">
        <f>IF(OR(AJ35=0,AJ35="",ISNUMBER(MATCH(AJ35,$AJ$1:AJ34,0))),0,MAX($AD$1:AD34)+1)</f>
        <v>0</v>
      </c>
      <c r="AE35" s="10">
        <f>IF(OR(AK35=0,AK35="",ISNUMBER(MATCH(AK35,$AK$1:AK34,0))),0,MAX($AE$1:AE34)+1)</f>
        <v>0</v>
      </c>
      <c r="AF35" s="10">
        <f>IF(OR(AH35=0,ISNUMBER(MATCH(AH35,$AH$1:AH34,0))),0,MAX($AF$1:AF34)+1)</f>
        <v>0</v>
      </c>
      <c r="AG35" s="10">
        <f>Tank2!$C$23</f>
        <v>0</v>
      </c>
      <c r="AH35" s="10">
        <f>Tank2!A49</f>
        <v>0</v>
      </c>
      <c r="AI35" s="10" t="str">
        <f t="shared" si="15"/>
        <v/>
      </c>
      <c r="AJ35" s="10" t="str">
        <f t="shared" si="15"/>
        <v/>
      </c>
      <c r="AK35" s="10" t="str">
        <f t="shared" si="15"/>
        <v/>
      </c>
      <c r="AL35" s="17" t="str">
        <f t="shared" si="19"/>
        <v/>
      </c>
      <c r="AM35" s="20" t="str">
        <f t="shared" si="20"/>
        <v/>
      </c>
      <c r="AN35" s="10" t="str">
        <f t="shared" si="21"/>
        <v/>
      </c>
      <c r="AO35" s="17" t="str">
        <f t="shared" si="22"/>
        <v/>
      </c>
      <c r="BE35" s="10"/>
      <c r="BI35" s="10"/>
      <c r="BJ35" s="671" t="s">
        <v>10110</v>
      </c>
      <c r="BK35" s="686" t="b">
        <f>FederalApplicability!D46&lt;FederalApplicability!E46</f>
        <v>1</v>
      </c>
      <c r="BL35" s="686" t="b">
        <f>FederalApplicability!D47&lt;FederalApplicability!E47</f>
        <v>1</v>
      </c>
      <c r="BM35" s="686" t="b">
        <f>FederalApplicability!D48&lt;FederalApplicability!E48</f>
        <v>1</v>
      </c>
      <c r="BN35" s="686" t="b">
        <f>FederalApplicability!D49&lt;FederalApplicability!E49</f>
        <v>1</v>
      </c>
      <c r="BO35" s="96" t="b">
        <f>IF($BO$30="Ozone",AND(BK35,BL35),IF($BO$30="SO2",BN35,IF($BO$30="PM10",BM35,AND(BN35,BM35,BL35,BK35))))</f>
        <v>1</v>
      </c>
      <c r="BP35" s="672" t="b">
        <v>1</v>
      </c>
      <c r="BQ35" s="10" t="s">
        <v>102</v>
      </c>
      <c r="BU35" s="625" t="s">
        <v>8369</v>
      </c>
      <c r="BV35" s="600"/>
      <c r="BW35" s="600"/>
      <c r="BX35" s="600"/>
      <c r="BY35" s="600"/>
      <c r="BZ35" s="600"/>
      <c r="CA35" s="600"/>
      <c r="CB35" s="596">
        <f>IF(Tank1!$C$6="Affected",Baseline!H8,0)</f>
        <v>0</v>
      </c>
      <c r="CC35" s="596"/>
      <c r="CD35" s="596">
        <f>IF(Tank1!$C$6="Affected",Baseline!I8,0)</f>
        <v>0</v>
      </c>
      <c r="CE35" s="596"/>
      <c r="CF35" s="596"/>
      <c r="CG35" s="596">
        <f>IF(Tank1!$C$6="Affected",Baseline!J8,0)</f>
        <v>0</v>
      </c>
      <c r="CH35" s="598"/>
    </row>
    <row r="36" spans="1:86" ht="21" customHeight="1" thickBot="1" x14ac:dyDescent="0.3">
      <c r="A36" s="10"/>
      <c r="B36" s="16" t="s">
        <v>44</v>
      </c>
      <c r="C36" s="10">
        <v>100</v>
      </c>
      <c r="D36" s="10">
        <v>249</v>
      </c>
      <c r="E36" s="17">
        <v>249</v>
      </c>
      <c r="I36" s="436" t="s">
        <v>6424</v>
      </c>
      <c r="J36" s="26" t="s">
        <v>6423</v>
      </c>
      <c r="K36" s="10">
        <v>0.8</v>
      </c>
      <c r="L36" s="73">
        <f>IF(Tank1!$C$23="No control",(SUMIF(Tank1!$B$32:$B$49,$J36,Tank1!$C$32:$C$49)*Impacts!$F$8),0)</f>
        <v>0</v>
      </c>
      <c r="M36" s="10">
        <f>IF(Tank2!$C$23="No control",(SUMIF(Tank2!$B$32:$B$49,$J36,Tank2!$C$32:$C$49)*Impacts!$F$9),0)</f>
        <v>0</v>
      </c>
      <c r="N36" s="10">
        <f>IF(Tank3!$C$23="No control",(SUMIF(Tank3!$B$32:$B$49,$J36,Tank3!$C$32:$C$49)*Impacts!$F$10),0)</f>
        <v>0</v>
      </c>
      <c r="O36" s="10">
        <f>IF(Tank4!$C$23="No control",(SUMIF(Tank4!$B$32:$B$49,$J36,Tank4!$C$32:$C$49)*Impacts!$F$11),0)</f>
        <v>0</v>
      </c>
      <c r="P36" s="10">
        <f>IF(Tank5!$C$23="No control",(SUMIF(Tank5!$B$32:$B$49,$J36,Tank5!$C$32:$C$49)*Impacts!$F$12),0)</f>
        <v>0</v>
      </c>
      <c r="Q36" s="10">
        <f>IFERROR(IF(('Loading-drum,tote'!$C$21)="No control",SUMIF(('Loading-drum,tote'!$B$31:$B$48),$J36,('Loading-drum,tote'!$D$31:$D$48))*Impacts!$F$13,IF(('Loading-drum,tote'!$C$21)&lt;&gt;"No control",SUMIF(('Loading-drum,tote'!$B$31:$B$48),$J36,('Loading-drum,tote'!$E$31:$E$48))*Impacts!$F$13,0)),0)</f>
        <v>0</v>
      </c>
      <c r="R36" s="10">
        <f>IFERROR(IF(('Loading-truck'!$C$21)="No control",SUMIF(('Loading-truck'!$B$31:$B$48),$J36,('Loading-truck'!$D$31:$D$48))*Impacts!$F$14,IF(('Loading-truck'!$C$21)&lt;&gt;"No control",SUMIF(('Loading-truck'!$B$31:$B$48),$J36,('Loading-truck'!$E$31:$E$48))*Impacts!$F$14,0)),0)</f>
        <v>0</v>
      </c>
      <c r="S36" s="10">
        <f>IFERROR(IF(('Loading-rail'!$C$21)="No control",SUMIF(('Loading-rail'!$B$31:$B$48),$J36,('Loading-rail'!$D$31:$D$48))*Impacts!$F$15,IF(('Loading-rail'!$C$21)&lt;&gt;"No control",SUMIF(('Loading-rail'!$B$31:$B$48),$J36,('Loading-rail'!$E$31:$E$48))*Impacts!$F$15,0)),0)</f>
        <v>0</v>
      </c>
      <c r="T36" s="10">
        <f>IF(Flare!$C$7="",0,(SUMIF(Flare!$B$46:$B$185,$J36,Flare!$E$46:$E$185)*Impacts!$F$16))</f>
        <v>0</v>
      </c>
      <c r="U36" s="10">
        <f>IF(VCU!$C$9="",0,(SUMIF(VCU!$B$51:$B$193,$J36,VCU!$E$51:$E$193)*Impacts!$F$17))</f>
        <v>0</v>
      </c>
      <c r="V36" s="10">
        <f>IF(CAS!$C$7="",0,(SUMIF(CAS!$B$31:$B$167,$J36,CAS!$E$31:$E$167)*Impacts!$F$18))</f>
        <v>0</v>
      </c>
      <c r="W36" s="10">
        <f t="shared" si="6"/>
        <v>0</v>
      </c>
      <c r="AA36" s="48"/>
      <c r="AB36" s="75" t="s">
        <v>8360</v>
      </c>
      <c r="AC36" s="101">
        <f>IF(OR(AI36=0,AI36="",ISNUMBER(MATCH(AI36,$AI$1:AI35,0))),0,MAX($AC$1:AC35)+1)</f>
        <v>0</v>
      </c>
      <c r="AD36" s="101">
        <f>IF(OR(AJ36=0,AJ36="",ISNUMBER(MATCH(AJ36,$AJ$1:AJ35,0))),0,MAX($AD$1:AD35)+1)</f>
        <v>0</v>
      </c>
      <c r="AE36" s="101">
        <f>IF(OR(AK36=0,AK36="",ISNUMBER(MATCH(AK36,$AK$1:AK35,0))),0,MAX($AE$1:AE35)+1)</f>
        <v>0</v>
      </c>
      <c r="AF36" s="101">
        <f>IF(OR(AH36=0,ISNUMBER(MATCH(AH36,$AH$1:AH35,0))),0,MAX($AF$1:AF35)+1)</f>
        <v>0</v>
      </c>
      <c r="AG36" s="101">
        <f>Tank3!$C$23</f>
        <v>0</v>
      </c>
      <c r="AH36" s="101">
        <f>Tank3!A33</f>
        <v>0</v>
      </c>
      <c r="AI36" s="101" t="str">
        <f t="shared" si="15"/>
        <v/>
      </c>
      <c r="AJ36" s="101" t="str">
        <f t="shared" si="15"/>
        <v/>
      </c>
      <c r="AK36" s="101" t="str">
        <f t="shared" si="15"/>
        <v/>
      </c>
      <c r="AL36" s="103" t="str">
        <f t="shared" si="19"/>
        <v/>
      </c>
      <c r="AM36" s="20" t="str">
        <f t="shared" si="20"/>
        <v/>
      </c>
      <c r="AN36" s="10" t="str">
        <f t="shared" si="21"/>
        <v/>
      </c>
      <c r="AO36" s="17" t="str">
        <f t="shared" si="22"/>
        <v/>
      </c>
      <c r="BE36" s="10"/>
      <c r="BI36" s="10"/>
      <c r="BJ36" s="673" t="s">
        <v>8974</v>
      </c>
      <c r="BK36" s="674" t="b">
        <f>OR(AND(BK32,BK33),AND(BK32,BK33=FALSE,BK34),AND(BK32=FALSE,BK35))</f>
        <v>1</v>
      </c>
      <c r="BL36" s="674" t="b">
        <f>OR(AND(BL32,BL33),AND(BL32,BL33=FALSE,BL34),AND(BL32=FALSE,BL35))</f>
        <v>1</v>
      </c>
      <c r="BM36" s="674" t="b">
        <f>OR(AND(BM32,BM33),AND(BM32,BM33=FALSE,BM34),AND(BM32=FALSE,BM35))</f>
        <v>1</v>
      </c>
      <c r="BN36" s="674" t="b">
        <f>OR(AND(BN32,BN33),AND(BN32,BN33=FALSE,BN34),AND(BN32=FALSE,BN35))</f>
        <v>1</v>
      </c>
      <c r="BO36" s="674" t="b">
        <f>AND(BO32,BO33,BO34,BO35)</f>
        <v>1</v>
      </c>
      <c r="BP36" s="97" t="b">
        <f>AND(BP32,BP33,BP34,BP35)</f>
        <v>1</v>
      </c>
      <c r="BQ36" s="10" t="s">
        <v>103</v>
      </c>
      <c r="BU36" s="625" t="s">
        <v>8709</v>
      </c>
      <c r="BV36" s="600"/>
      <c r="BW36" s="600"/>
      <c r="BX36" s="600"/>
      <c r="BY36" s="600"/>
      <c r="BZ36" s="600"/>
      <c r="CA36" s="600"/>
      <c r="CB36" s="596">
        <f>IF(Tank2!$C$6="Affected",Baseline!H9,0)</f>
        <v>0</v>
      </c>
      <c r="CC36" s="596"/>
      <c r="CD36" s="596">
        <f>IF(Tank2!$C$6="Affected",Baseline!I9,0)</f>
        <v>0</v>
      </c>
      <c r="CE36" s="596"/>
      <c r="CF36" s="596"/>
      <c r="CG36" s="596">
        <f>IF(Tank2!$C$6="Affected",Baseline!J9,0)</f>
        <v>0</v>
      </c>
      <c r="CH36" s="598"/>
    </row>
    <row r="37" spans="1:86" ht="21" customHeight="1" thickBot="1" x14ac:dyDescent="0.3">
      <c r="A37" s="10"/>
      <c r="B37" s="16" t="s">
        <v>45</v>
      </c>
      <c r="C37" s="10">
        <v>100</v>
      </c>
      <c r="D37" s="10">
        <v>249</v>
      </c>
      <c r="E37" s="17">
        <v>249</v>
      </c>
      <c r="I37" s="436" t="s">
        <v>7010</v>
      </c>
      <c r="J37" s="26" t="s">
        <v>7009</v>
      </c>
      <c r="K37" s="10">
        <v>0.45</v>
      </c>
      <c r="L37" s="73">
        <f>IF(Tank1!$C$23="No control",(SUMIF(Tank1!$B$32:$B$49,$J37,Tank1!$C$32:$C$49)*Impacts!$F$8),0)</f>
        <v>0</v>
      </c>
      <c r="M37" s="10">
        <f>IF(Tank2!$C$23="No control",(SUMIF(Tank2!$B$32:$B$49,$J37,Tank2!$C$32:$C$49)*Impacts!$F$9),0)</f>
        <v>0</v>
      </c>
      <c r="N37" s="10">
        <f>IF(Tank3!$C$23="No control",(SUMIF(Tank3!$B$32:$B$49,$J37,Tank3!$C$32:$C$49)*Impacts!$F$10),0)</f>
        <v>0</v>
      </c>
      <c r="O37" s="10">
        <f>IF(Tank4!$C$23="No control",(SUMIF(Tank4!$B$32:$B$49,$J37,Tank4!$C$32:$C$49)*Impacts!$F$11),0)</f>
        <v>0</v>
      </c>
      <c r="P37" s="10">
        <f>IF(Tank5!$C$23="No control",(SUMIF(Tank5!$B$32:$B$49,$J37,Tank5!$C$32:$C$49)*Impacts!$F$12),0)</f>
        <v>0</v>
      </c>
      <c r="Q37" s="10">
        <f>IFERROR(IF(('Loading-drum,tote'!$C$21)="No control",SUMIF(('Loading-drum,tote'!$B$31:$B$48),$J37,('Loading-drum,tote'!$D$31:$D$48))*Impacts!$F$13,IF(('Loading-drum,tote'!$C$21)&lt;&gt;"No control",SUMIF(('Loading-drum,tote'!$B$31:$B$48),$J37,('Loading-drum,tote'!$E$31:$E$48))*Impacts!$F$13,0)),0)</f>
        <v>0</v>
      </c>
      <c r="R37" s="10">
        <f>IFERROR(IF(('Loading-truck'!$C$21)="No control",SUMIF(('Loading-truck'!$B$31:$B$48),$J37,('Loading-truck'!$D$31:$D$48))*Impacts!$F$14,IF(('Loading-truck'!$C$21)&lt;&gt;"No control",SUMIF(('Loading-truck'!$B$31:$B$48),$J37,('Loading-truck'!$E$31:$E$48))*Impacts!$F$14,0)),0)</f>
        <v>0</v>
      </c>
      <c r="S37" s="10">
        <f>IFERROR(IF(('Loading-rail'!$C$21)="No control",SUMIF(('Loading-rail'!$B$31:$B$48),$J37,('Loading-rail'!$D$31:$D$48))*Impacts!$F$15,IF(('Loading-rail'!$C$21)&lt;&gt;"No control",SUMIF(('Loading-rail'!$B$31:$B$48),$J37,('Loading-rail'!$E$31:$E$48))*Impacts!$F$15,0)),0)</f>
        <v>0</v>
      </c>
      <c r="T37" s="10">
        <f>IF(Flare!$C$7="",0,(SUMIF(Flare!$B$46:$B$185,$J37,Flare!$E$46:$E$185)*Impacts!$F$16))</f>
        <v>0</v>
      </c>
      <c r="U37" s="10">
        <f>IF(VCU!$C$9="",0,(SUMIF(VCU!$B$51:$B$193,$J37,VCU!$E$51:$E$193)*Impacts!$F$17))</f>
        <v>0</v>
      </c>
      <c r="V37" s="10">
        <f>IF(CAS!$C$7="",0,(SUMIF(CAS!$B$31:$B$167,$J37,CAS!$E$31:$E$167)*Impacts!$F$18))</f>
        <v>0</v>
      </c>
      <c r="W37" s="10">
        <f t="shared" si="6"/>
        <v>0</v>
      </c>
      <c r="AA37" s="48"/>
      <c r="AB37" s="20"/>
      <c r="AC37" s="10">
        <f>IF(OR(AI37=0,AI37="",ISNUMBER(MATCH(AI37,$AI$1:AI36,0))),0,MAX($AC$1:AC36)+1)</f>
        <v>0</v>
      </c>
      <c r="AD37" s="10">
        <f>IF(OR(AJ37=0,AJ37="",ISNUMBER(MATCH(AJ37,$AJ$1:AJ36,0))),0,MAX($AD$1:AD36)+1)</f>
        <v>0</v>
      </c>
      <c r="AE37" s="10">
        <f>IF(OR(AK37=0,AK37="",ISNUMBER(MATCH(AK37,$AK$1:AK36,0))),0,MAX($AE$1:AE36)+1)</f>
        <v>0</v>
      </c>
      <c r="AF37" s="10">
        <f>IF(OR(AH37=0,ISNUMBER(MATCH(AH37,$AH$1:AH36,0))),0,MAX($AF$1:AF36)+1)</f>
        <v>0</v>
      </c>
      <c r="AG37" s="10">
        <f>Tank3!$C$23</f>
        <v>0</v>
      </c>
      <c r="AH37" s="10">
        <f>Tank3!A34</f>
        <v>0</v>
      </c>
      <c r="AI37" s="10" t="str">
        <f t="shared" si="15"/>
        <v/>
      </c>
      <c r="AJ37" s="10" t="str">
        <f t="shared" si="15"/>
        <v/>
      </c>
      <c r="AK37" s="10" t="str">
        <f t="shared" si="15"/>
        <v/>
      </c>
      <c r="AL37" s="17" t="str">
        <f t="shared" si="19"/>
        <v/>
      </c>
      <c r="AM37" s="20" t="str">
        <f t="shared" si="20"/>
        <v/>
      </c>
      <c r="AN37" s="10" t="str">
        <f t="shared" si="21"/>
        <v/>
      </c>
      <c r="AO37" s="17" t="str">
        <f t="shared" si="22"/>
        <v/>
      </c>
      <c r="BE37" s="10"/>
      <c r="BI37" s="10"/>
      <c r="BQ37" s="10" t="s">
        <v>104</v>
      </c>
      <c r="BU37" s="625" t="s">
        <v>8710</v>
      </c>
      <c r="BV37" s="600"/>
      <c r="BW37" s="600"/>
      <c r="BX37" s="600"/>
      <c r="BY37" s="600"/>
      <c r="BZ37" s="600"/>
      <c r="CA37" s="600"/>
      <c r="CB37" s="596">
        <f>IF(Tank3!$C$6="Affected",Baseline!H10,0)</f>
        <v>0</v>
      </c>
      <c r="CC37" s="596"/>
      <c r="CD37" s="596">
        <f>IF(Tank3!$C$6="Affected",Baseline!I10,0)</f>
        <v>0</v>
      </c>
      <c r="CE37" s="596"/>
      <c r="CF37" s="596"/>
      <c r="CG37" s="596">
        <f>IF(Tank3!$C$6="Affected",Baseline!J10,0)</f>
        <v>0</v>
      </c>
      <c r="CH37" s="598"/>
    </row>
    <row r="38" spans="1:86" ht="21" customHeight="1" thickBot="1" x14ac:dyDescent="0.3">
      <c r="A38" s="10"/>
      <c r="B38" s="16" t="s">
        <v>46</v>
      </c>
      <c r="C38" s="10">
        <v>100</v>
      </c>
      <c r="D38" s="10">
        <v>100</v>
      </c>
      <c r="E38" s="17">
        <v>249</v>
      </c>
      <c r="I38" s="436" t="s">
        <v>7012</v>
      </c>
      <c r="J38" s="26" t="s">
        <v>7011</v>
      </c>
      <c r="K38" s="10">
        <v>0.45</v>
      </c>
      <c r="L38" s="73">
        <f>IF(Tank1!$C$23="No control",(SUMIF(Tank1!$B$32:$B$49,$J38,Tank1!$C$32:$C$49)*Impacts!$F$8),0)</f>
        <v>0</v>
      </c>
      <c r="M38" s="10">
        <f>IF(Tank2!$C$23="No control",(SUMIF(Tank2!$B$32:$B$49,$J38,Tank2!$C$32:$C$49)*Impacts!$F$9),0)</f>
        <v>0</v>
      </c>
      <c r="N38" s="10">
        <f>IF(Tank3!$C$23="No control",(SUMIF(Tank3!$B$32:$B$49,$J38,Tank3!$C$32:$C$49)*Impacts!$F$10),0)</f>
        <v>0</v>
      </c>
      <c r="O38" s="10">
        <f>IF(Tank4!$C$23="No control",(SUMIF(Tank4!$B$32:$B$49,$J38,Tank4!$C$32:$C$49)*Impacts!$F$11),0)</f>
        <v>0</v>
      </c>
      <c r="P38" s="10">
        <f>IF(Tank5!$C$23="No control",(SUMIF(Tank5!$B$32:$B$49,$J38,Tank5!$C$32:$C$49)*Impacts!$F$12),0)</f>
        <v>0</v>
      </c>
      <c r="Q38" s="10">
        <f>IFERROR(IF(('Loading-drum,tote'!$C$21)="No control",SUMIF(('Loading-drum,tote'!$B$31:$B$48),$J38,('Loading-drum,tote'!$D$31:$D$48))*Impacts!$F$13,IF(('Loading-drum,tote'!$C$21)&lt;&gt;"No control",SUMIF(('Loading-drum,tote'!$B$31:$B$48),$J38,('Loading-drum,tote'!$E$31:$E$48))*Impacts!$F$13,0)),0)</f>
        <v>0</v>
      </c>
      <c r="R38" s="10">
        <f>IFERROR(IF(('Loading-truck'!$C$21)="No control",SUMIF(('Loading-truck'!$B$31:$B$48),$J38,('Loading-truck'!$D$31:$D$48))*Impacts!$F$14,IF(('Loading-truck'!$C$21)&lt;&gt;"No control",SUMIF(('Loading-truck'!$B$31:$B$48),$J38,('Loading-truck'!$E$31:$E$48))*Impacts!$F$14,0)),0)</f>
        <v>0</v>
      </c>
      <c r="S38" s="10">
        <f>IFERROR(IF(('Loading-rail'!$C$21)="No control",SUMIF(('Loading-rail'!$B$31:$B$48),$J38,('Loading-rail'!$D$31:$D$48))*Impacts!$F$15,IF(('Loading-rail'!$C$21)&lt;&gt;"No control",SUMIF(('Loading-rail'!$B$31:$B$48),$J38,('Loading-rail'!$E$31:$E$48))*Impacts!$F$15,0)),0)</f>
        <v>0</v>
      </c>
      <c r="T38" s="10">
        <f>IF(Flare!$C$7="",0,(SUMIF(Flare!$B$46:$B$185,$J38,Flare!$E$46:$E$185)*Impacts!$F$16))</f>
        <v>0</v>
      </c>
      <c r="U38" s="10">
        <f>IF(VCU!$C$9="",0,(SUMIF(VCU!$B$51:$B$193,$J38,VCU!$E$51:$E$193)*Impacts!$F$17))</f>
        <v>0</v>
      </c>
      <c r="V38" s="10">
        <f>IF(CAS!$C$7="",0,(SUMIF(CAS!$B$31:$B$167,$J38,CAS!$E$31:$E$167)*Impacts!$F$18))</f>
        <v>0</v>
      </c>
      <c r="W38" s="10">
        <f t="shared" si="6"/>
        <v>0</v>
      </c>
      <c r="AA38" s="48"/>
      <c r="AB38" s="20"/>
      <c r="AC38" s="10">
        <f>IF(OR(AI38=0,AI38="",ISNUMBER(MATCH(AI38,$AI$1:AI37,0))),0,MAX($AC$1:AC37)+1)</f>
        <v>0</v>
      </c>
      <c r="AD38" s="10">
        <f>IF(OR(AJ38=0,AJ38="",ISNUMBER(MATCH(AJ38,$AJ$1:AJ37,0))),0,MAX($AD$1:AD37)+1)</f>
        <v>0</v>
      </c>
      <c r="AE38" s="10">
        <f>IF(OR(AK38=0,AK38="",ISNUMBER(MATCH(AK38,$AK$1:AK37,0))),0,MAX($AE$1:AE37)+1)</f>
        <v>0</v>
      </c>
      <c r="AF38" s="10">
        <f>IF(OR(AH38=0,ISNUMBER(MATCH(AH38,$AH$1:AH37,0))),0,MAX($AF$1:AF37)+1)</f>
        <v>0</v>
      </c>
      <c r="AG38" s="10">
        <f>Tank3!$C$23</f>
        <v>0</v>
      </c>
      <c r="AH38" s="10">
        <f>Tank3!A35</f>
        <v>0</v>
      </c>
      <c r="AI38" s="10" t="str">
        <f t="shared" si="15"/>
        <v/>
      </c>
      <c r="AJ38" s="10" t="str">
        <f t="shared" si="15"/>
        <v/>
      </c>
      <c r="AK38" s="10" t="str">
        <f t="shared" si="15"/>
        <v/>
      </c>
      <c r="AL38" s="17" t="str">
        <f t="shared" si="19"/>
        <v/>
      </c>
      <c r="AM38" s="20" t="str">
        <f t="shared" si="20"/>
        <v/>
      </c>
      <c r="AN38" s="10" t="str">
        <f t="shared" si="21"/>
        <v/>
      </c>
      <c r="AO38" s="17" t="str">
        <f t="shared" si="22"/>
        <v/>
      </c>
      <c r="BE38" s="10"/>
      <c r="BI38" s="10"/>
      <c r="BJ38" s="877" t="s">
        <v>10574</v>
      </c>
      <c r="BK38" s="878" t="s">
        <v>10568</v>
      </c>
      <c r="BL38" s="878"/>
      <c r="BM38" s="878"/>
      <c r="BN38" s="878"/>
      <c r="BO38" s="878"/>
      <c r="BP38" s="879"/>
      <c r="BQ38" s="10" t="s">
        <v>112</v>
      </c>
      <c r="BU38" s="625" t="s">
        <v>8711</v>
      </c>
      <c r="BV38" s="600"/>
      <c r="BW38" s="600"/>
      <c r="BX38" s="600"/>
      <c r="BY38" s="600"/>
      <c r="BZ38" s="600"/>
      <c r="CA38" s="600"/>
      <c r="CB38" s="596">
        <f>IF(Tank4!$C$6="Affected",Baseline!H11,0)</f>
        <v>0</v>
      </c>
      <c r="CC38" s="596"/>
      <c r="CD38" s="596">
        <f>IF(Tank4!$C$6="Affected",Baseline!I11,0)</f>
        <v>0</v>
      </c>
      <c r="CE38" s="596"/>
      <c r="CF38" s="596"/>
      <c r="CG38" s="596">
        <f>IF(Tank4!$C$6="Affected",Baseline!J11,0)</f>
        <v>0</v>
      </c>
      <c r="CH38" s="598"/>
    </row>
    <row r="39" spans="1:86" ht="21" customHeight="1" x14ac:dyDescent="0.25">
      <c r="A39" s="10"/>
      <c r="B39" s="16" t="s">
        <v>47</v>
      </c>
      <c r="C39" s="10">
        <v>100</v>
      </c>
      <c r="D39" s="10">
        <v>249</v>
      </c>
      <c r="E39" s="17">
        <v>249</v>
      </c>
      <c r="I39" s="436" t="s">
        <v>7412</v>
      </c>
      <c r="J39" s="26" t="s">
        <v>7411</v>
      </c>
      <c r="K39" s="10">
        <v>0.2</v>
      </c>
      <c r="L39" s="73">
        <f>IF(Tank1!$C$23="No control",(SUMIF(Tank1!$B$32:$B$49,$J39,Tank1!$C$32:$C$49)*Impacts!$F$8),0)</f>
        <v>0</v>
      </c>
      <c r="M39" s="10">
        <f>IF(Tank2!$C$23="No control",(SUMIF(Tank2!$B$32:$B$49,$J39,Tank2!$C$32:$C$49)*Impacts!$F$9),0)</f>
        <v>0</v>
      </c>
      <c r="N39" s="10">
        <f>IF(Tank3!$C$23="No control",(SUMIF(Tank3!$B$32:$B$49,$J39,Tank3!$C$32:$C$49)*Impacts!$F$10),0)</f>
        <v>0</v>
      </c>
      <c r="O39" s="10">
        <f>IF(Tank4!$C$23="No control",(SUMIF(Tank4!$B$32:$B$49,$J39,Tank4!$C$32:$C$49)*Impacts!$F$11),0)</f>
        <v>0</v>
      </c>
      <c r="P39" s="10">
        <f>IF(Tank5!$C$23="No control",(SUMIF(Tank5!$B$32:$B$49,$J39,Tank5!$C$32:$C$49)*Impacts!$F$12),0)</f>
        <v>0</v>
      </c>
      <c r="Q39" s="10">
        <f>IFERROR(IF(('Loading-drum,tote'!$C$21)="No control",SUMIF(('Loading-drum,tote'!$B$31:$B$48),$J39,('Loading-drum,tote'!$D$31:$D$48))*Impacts!$F$13,IF(('Loading-drum,tote'!$C$21)&lt;&gt;"No control",SUMIF(('Loading-drum,tote'!$B$31:$B$48),$J39,('Loading-drum,tote'!$E$31:$E$48))*Impacts!$F$13,0)),0)</f>
        <v>0</v>
      </c>
      <c r="R39" s="10">
        <f>IFERROR(IF(('Loading-truck'!$C$21)="No control",SUMIF(('Loading-truck'!$B$31:$B$48),$J39,('Loading-truck'!$D$31:$D$48))*Impacts!$F$14,IF(('Loading-truck'!$C$21)&lt;&gt;"No control",SUMIF(('Loading-truck'!$B$31:$B$48),$J39,('Loading-truck'!$E$31:$E$48))*Impacts!$F$14,0)),0)</f>
        <v>0</v>
      </c>
      <c r="S39" s="10">
        <f>IFERROR(IF(('Loading-rail'!$C$21)="No control",SUMIF(('Loading-rail'!$B$31:$B$48),$J39,('Loading-rail'!$D$31:$D$48))*Impacts!$F$15,IF(('Loading-rail'!$C$21)&lt;&gt;"No control",SUMIF(('Loading-rail'!$B$31:$B$48),$J39,('Loading-rail'!$E$31:$E$48))*Impacts!$F$15,0)),0)</f>
        <v>0</v>
      </c>
      <c r="T39" s="10">
        <f>IF(Flare!$C$7="",0,(SUMIF(Flare!$B$46:$B$185,$J39,Flare!$E$46:$E$185)*Impacts!$F$16))</f>
        <v>0</v>
      </c>
      <c r="U39" s="10">
        <f>IF(VCU!$C$9="",0,(SUMIF(VCU!$B$51:$B$193,$J39,VCU!$E$51:$E$193)*Impacts!$F$17))</f>
        <v>0</v>
      </c>
      <c r="V39" s="10">
        <f>IF(CAS!$C$7="",0,(SUMIF(CAS!$B$31:$B$167,$J39,CAS!$E$31:$E$167)*Impacts!$F$18))</f>
        <v>0</v>
      </c>
      <c r="W39" s="10">
        <f t="shared" si="6"/>
        <v>0</v>
      </c>
      <c r="AA39" s="48"/>
      <c r="AB39" s="20"/>
      <c r="AC39" s="10">
        <f>IF(OR(AI39=0,AI39="",ISNUMBER(MATCH(AI39,$AI$1:AI38,0))),0,MAX($AC$1:AC38)+1)</f>
        <v>0</v>
      </c>
      <c r="AD39" s="10">
        <f>IF(OR(AJ39=0,AJ39="",ISNUMBER(MATCH(AJ39,$AJ$1:AJ38,0))),0,MAX($AD$1:AD38)+1)</f>
        <v>0</v>
      </c>
      <c r="AE39" s="10">
        <f>IF(OR(AK39=0,AK39="",ISNUMBER(MATCH(AK39,$AK$1:AK38,0))),0,MAX($AE$1:AE38)+1)</f>
        <v>0</v>
      </c>
      <c r="AF39" s="10">
        <f>IF(OR(AH39=0,ISNUMBER(MATCH(AH39,$AH$1:AH38,0))),0,MAX($AF$1:AF38)+1)</f>
        <v>0</v>
      </c>
      <c r="AG39" s="10">
        <f>Tank3!$C$23</f>
        <v>0</v>
      </c>
      <c r="AH39" s="10">
        <f>Tank3!A36</f>
        <v>0</v>
      </c>
      <c r="AI39" s="10" t="str">
        <f t="shared" si="15"/>
        <v/>
      </c>
      <c r="AJ39" s="10" t="str">
        <f t="shared" si="15"/>
        <v/>
      </c>
      <c r="AK39" s="10" t="str">
        <f t="shared" si="15"/>
        <v/>
      </c>
      <c r="AL39" s="17" t="str">
        <f t="shared" si="19"/>
        <v/>
      </c>
      <c r="AM39" s="20" t="str">
        <f t="shared" si="20"/>
        <v/>
      </c>
      <c r="AN39" s="10" t="str">
        <f t="shared" si="21"/>
        <v/>
      </c>
      <c r="AO39" s="17" t="str">
        <f t="shared" si="22"/>
        <v/>
      </c>
      <c r="BE39" s="10"/>
      <c r="BI39" s="10"/>
      <c r="BJ39" s="10" t="s">
        <v>10575</v>
      </c>
      <c r="BK39" s="10" t="s">
        <v>10576</v>
      </c>
      <c r="BQ39" s="10" t="s">
        <v>115</v>
      </c>
      <c r="BU39" s="625" t="s">
        <v>8712</v>
      </c>
      <c r="BV39" s="600"/>
      <c r="BW39" s="600"/>
      <c r="BX39" s="600"/>
      <c r="BY39" s="600"/>
      <c r="BZ39" s="600"/>
      <c r="CA39" s="600"/>
      <c r="CB39" s="596">
        <f>IF(Tank5!$C$6="Affected",Baseline!H12,0)</f>
        <v>0</v>
      </c>
      <c r="CC39" s="596"/>
      <c r="CD39" s="596">
        <f>IF(Tank5!$C$6="Affected",Baseline!I12,0)</f>
        <v>0</v>
      </c>
      <c r="CE39" s="596"/>
      <c r="CF39" s="596"/>
      <c r="CG39" s="596">
        <f>IF(Tank5!$C$6="Affected",Baseline!J12,0)</f>
        <v>0</v>
      </c>
      <c r="CH39" s="598"/>
    </row>
    <row r="40" spans="1:86" ht="21" customHeight="1" x14ac:dyDescent="0.25">
      <c r="A40" s="10"/>
      <c r="B40" s="16" t="s">
        <v>48</v>
      </c>
      <c r="C40" s="10">
        <v>100</v>
      </c>
      <c r="D40" s="10">
        <v>249</v>
      </c>
      <c r="E40" s="17">
        <v>249</v>
      </c>
      <c r="I40" s="436" t="s">
        <v>7952</v>
      </c>
      <c r="J40" s="26" t="s">
        <v>7951</v>
      </c>
      <c r="K40" s="10">
        <v>4.4000000000000004E-2</v>
      </c>
      <c r="L40" s="73">
        <f>IF(Tank1!$C$23="No control",(SUMIF(Tank1!$B$32:$B$49,$J40,Tank1!$C$32:$C$49)*Impacts!$F$8),0)</f>
        <v>0</v>
      </c>
      <c r="M40" s="10">
        <f>IF(Tank2!$C$23="No control",(SUMIF(Tank2!$B$32:$B$49,$J40,Tank2!$C$32:$C$49)*Impacts!$F$9),0)</f>
        <v>0</v>
      </c>
      <c r="N40" s="10">
        <f>IF(Tank3!$C$23="No control",(SUMIF(Tank3!$B$32:$B$49,$J40,Tank3!$C$32:$C$49)*Impacts!$F$10),0)</f>
        <v>0</v>
      </c>
      <c r="O40" s="10">
        <f>IF(Tank4!$C$23="No control",(SUMIF(Tank4!$B$32:$B$49,$J40,Tank4!$C$32:$C$49)*Impacts!$F$11),0)</f>
        <v>0</v>
      </c>
      <c r="P40" s="10">
        <f>IF(Tank5!$C$23="No control",(SUMIF(Tank5!$B$32:$B$49,$J40,Tank5!$C$32:$C$49)*Impacts!$F$12),0)</f>
        <v>0</v>
      </c>
      <c r="Q40" s="10">
        <f>IFERROR(IF(('Loading-drum,tote'!$C$21)="No control",SUMIF(('Loading-drum,tote'!$B$31:$B$48),$J40,('Loading-drum,tote'!$D$31:$D$48))*Impacts!$F$13,IF(('Loading-drum,tote'!$C$21)&lt;&gt;"No control",SUMIF(('Loading-drum,tote'!$B$31:$B$48),$J40,('Loading-drum,tote'!$E$31:$E$48))*Impacts!$F$13,0)),0)</f>
        <v>0</v>
      </c>
      <c r="R40" s="10">
        <f>IFERROR(IF(('Loading-truck'!$C$21)="No control",SUMIF(('Loading-truck'!$B$31:$B$48),$J40,('Loading-truck'!$D$31:$D$48))*Impacts!$F$14,IF(('Loading-truck'!$C$21)&lt;&gt;"No control",SUMIF(('Loading-truck'!$B$31:$B$48),$J40,('Loading-truck'!$E$31:$E$48))*Impacts!$F$14,0)),0)</f>
        <v>0</v>
      </c>
      <c r="S40" s="10">
        <f>IFERROR(IF(('Loading-rail'!$C$21)="No control",SUMIF(('Loading-rail'!$B$31:$B$48),$J40,('Loading-rail'!$D$31:$D$48))*Impacts!$F$15,IF(('Loading-rail'!$C$21)&lt;&gt;"No control",SUMIF(('Loading-rail'!$B$31:$B$48),$J40,('Loading-rail'!$E$31:$E$48))*Impacts!$F$15,0)),0)</f>
        <v>0</v>
      </c>
      <c r="T40" s="10">
        <f>IF(Flare!$C$7="",0,(SUMIF(Flare!$B$46:$B$185,$J40,Flare!$E$46:$E$185)*Impacts!$F$16))</f>
        <v>0</v>
      </c>
      <c r="U40" s="10">
        <f>IF(VCU!$C$9="",0,(SUMIF(VCU!$B$51:$B$193,$J40,VCU!$E$51:$E$193)*Impacts!$F$17))</f>
        <v>0</v>
      </c>
      <c r="V40" s="10">
        <f>IF(CAS!$C$7="",0,(SUMIF(CAS!$B$31:$B$167,$J40,CAS!$E$31:$E$167)*Impacts!$F$18))</f>
        <v>0</v>
      </c>
      <c r="W40" s="10">
        <f t="shared" si="6"/>
        <v>0</v>
      </c>
      <c r="AA40" s="48"/>
      <c r="AB40" s="20"/>
      <c r="AC40" s="10">
        <f>IF(OR(AI40=0,AI40="",ISNUMBER(MATCH(AI40,$AI$1:AI39,0))),0,MAX($AC$1:AC39)+1)</f>
        <v>0</v>
      </c>
      <c r="AD40" s="10">
        <f>IF(OR(AJ40=0,AJ40="",ISNUMBER(MATCH(AJ40,$AJ$1:AJ39,0))),0,MAX($AD$1:AD39)+1)</f>
        <v>0</v>
      </c>
      <c r="AE40" s="10">
        <f>IF(OR(AK40=0,AK40="",ISNUMBER(MATCH(AK40,$AK$1:AK39,0))),0,MAX($AE$1:AE39)+1)</f>
        <v>0</v>
      </c>
      <c r="AF40" s="10">
        <f>IF(OR(AH40=0,ISNUMBER(MATCH(AH40,$AH$1:AH39,0))),0,MAX($AF$1:AF39)+1)</f>
        <v>0</v>
      </c>
      <c r="AG40" s="10">
        <f>Tank3!$C$23</f>
        <v>0</v>
      </c>
      <c r="AH40" s="10">
        <f>Tank3!A37</f>
        <v>0</v>
      </c>
      <c r="AI40" s="10" t="str">
        <f t="shared" si="15"/>
        <v/>
      </c>
      <c r="AJ40" s="10" t="str">
        <f t="shared" si="15"/>
        <v/>
      </c>
      <c r="AK40" s="10" t="str">
        <f t="shared" si="15"/>
        <v/>
      </c>
      <c r="AL40" s="17" t="str">
        <f t="shared" si="19"/>
        <v/>
      </c>
      <c r="AM40" s="20" t="str">
        <f t="shared" si="20"/>
        <v/>
      </c>
      <c r="AN40" s="10" t="str">
        <f t="shared" si="21"/>
        <v/>
      </c>
      <c r="AO40" s="17" t="str">
        <f t="shared" si="22"/>
        <v/>
      </c>
      <c r="BE40" s="10"/>
      <c r="BI40" s="10"/>
      <c r="BJ40" s="10" t="b">
        <f>AND('Hidden Inputs'!$BK$30&lt;&gt;0,'Hidden Inputs'!$BO$32,'Hidden Inputs'!$BO$33=FALSE,'Hidden Inputs'!$BO$34=FALSE)</f>
        <v>0</v>
      </c>
      <c r="BK40" s="10" t="b">
        <f>'Hidden Inputs'!$BK$30&lt;&gt;0</f>
        <v>0</v>
      </c>
      <c r="BQ40" s="10" t="s">
        <v>117</v>
      </c>
      <c r="BU40" s="625" t="s">
        <v>8647</v>
      </c>
      <c r="BV40" s="596">
        <f>IF('Loading-drum,tote'!$C$6="Affected",Baseline!B13,0)</f>
        <v>0</v>
      </c>
      <c r="BW40" s="596">
        <f>IF('Loading-drum,tote'!$C$6="Affected",Baseline!C13,0)</f>
        <v>0</v>
      </c>
      <c r="BX40" s="596">
        <f>IF('Loading-drum,tote'!$C$6="Affected",Baseline!D13,0)</f>
        <v>0</v>
      </c>
      <c r="BY40" s="596">
        <f>IF('Loading-drum,tote'!$C$6="Affected",Baseline!E13,0)</f>
        <v>0</v>
      </c>
      <c r="BZ40" s="596">
        <f>IF('Loading-drum,tote'!$C$6="Affected",Baseline!F13,0)</f>
        <v>0</v>
      </c>
      <c r="CA40" s="596">
        <f>IF('Loading-drum,tote'!$C$6="Affected",Baseline!G13,0)</f>
        <v>0</v>
      </c>
      <c r="CB40" s="596">
        <f>IF('Loading-drum,tote'!$C$6="Affected",Baseline!H13,0)</f>
        <v>0</v>
      </c>
      <c r="CC40" s="596"/>
      <c r="CD40" s="596">
        <f>IF('Loading-drum,tote'!$C$6="Affected",Baseline!I13,0)</f>
        <v>0</v>
      </c>
      <c r="CE40" s="596"/>
      <c r="CF40" s="596"/>
      <c r="CG40" s="596">
        <f>IF('Loading-drum,tote'!$C$6="Affected",Baseline!J13,0)</f>
        <v>0</v>
      </c>
      <c r="CH40" s="598"/>
    </row>
    <row r="41" spans="1:86" ht="21" customHeight="1" x14ac:dyDescent="0.25">
      <c r="A41" s="10"/>
      <c r="B41" s="16" t="s">
        <v>49</v>
      </c>
      <c r="C41" s="10">
        <v>100</v>
      </c>
      <c r="D41" s="10">
        <v>249</v>
      </c>
      <c r="E41" s="17">
        <v>249</v>
      </c>
      <c r="I41" s="436" t="s">
        <v>4899</v>
      </c>
      <c r="J41" s="26" t="s">
        <v>4898</v>
      </c>
      <c r="K41" s="10">
        <v>2.6</v>
      </c>
      <c r="L41" s="73">
        <f>IF(Tank1!$C$23="No control",(SUMIF(Tank1!$B$32:$B$49,$J41,Tank1!$C$32:$C$49)*Impacts!$F$8),0)</f>
        <v>0</v>
      </c>
      <c r="M41" s="10">
        <f>IF(Tank2!$C$23="No control",(SUMIF(Tank2!$B$32:$B$49,$J41,Tank2!$C$32:$C$49)*Impacts!$F$9),0)</f>
        <v>0</v>
      </c>
      <c r="N41" s="10">
        <f>IF(Tank3!$C$23="No control",(SUMIF(Tank3!$B$32:$B$49,$J41,Tank3!$C$32:$C$49)*Impacts!$F$10),0)</f>
        <v>0</v>
      </c>
      <c r="O41" s="10">
        <f>IF(Tank4!$C$23="No control",(SUMIF(Tank4!$B$32:$B$49,$J41,Tank4!$C$32:$C$49)*Impacts!$F$11),0)</f>
        <v>0</v>
      </c>
      <c r="P41" s="10">
        <f>IF(Tank5!$C$23="No control",(SUMIF(Tank5!$B$32:$B$49,$J41,Tank5!$C$32:$C$49)*Impacts!$F$12),0)</f>
        <v>0</v>
      </c>
      <c r="Q41" s="10">
        <f>IFERROR(IF(('Loading-drum,tote'!$C$21)="No control",SUMIF(('Loading-drum,tote'!$B$31:$B$48),$J41,('Loading-drum,tote'!$D$31:$D$48))*Impacts!$F$13,IF(('Loading-drum,tote'!$C$21)&lt;&gt;"No control",SUMIF(('Loading-drum,tote'!$B$31:$B$48),$J41,('Loading-drum,tote'!$E$31:$E$48))*Impacts!$F$13,0)),0)</f>
        <v>0</v>
      </c>
      <c r="R41" s="10">
        <f>IFERROR(IF(('Loading-truck'!$C$21)="No control",SUMIF(('Loading-truck'!$B$31:$B$48),$J41,('Loading-truck'!$D$31:$D$48))*Impacts!$F$14,IF(('Loading-truck'!$C$21)&lt;&gt;"No control",SUMIF(('Loading-truck'!$B$31:$B$48),$J41,('Loading-truck'!$E$31:$E$48))*Impacts!$F$14,0)),0)</f>
        <v>0</v>
      </c>
      <c r="S41" s="10">
        <f>IFERROR(IF(('Loading-rail'!$C$21)="No control",SUMIF(('Loading-rail'!$B$31:$B$48),$J41,('Loading-rail'!$D$31:$D$48))*Impacts!$F$15,IF(('Loading-rail'!$C$21)&lt;&gt;"No control",SUMIF(('Loading-rail'!$B$31:$B$48),$J41,('Loading-rail'!$E$31:$E$48))*Impacts!$F$15,0)),0)</f>
        <v>0</v>
      </c>
      <c r="T41" s="10">
        <f>IF(Flare!$C$7="",0,(SUMIF(Flare!$B$46:$B$185,$J41,Flare!$E$46:$E$185)*Impacts!$F$16))</f>
        <v>0</v>
      </c>
      <c r="U41" s="10">
        <f>IF(VCU!$C$9="",0,(SUMIF(VCU!$B$51:$B$193,$J41,VCU!$E$51:$E$193)*Impacts!$F$17))</f>
        <v>0</v>
      </c>
      <c r="V41" s="10">
        <f>IF(CAS!$C$7="",0,(SUMIF(CAS!$B$31:$B$167,$J41,CAS!$E$31:$E$167)*Impacts!$F$18))</f>
        <v>0</v>
      </c>
      <c r="W41" s="10">
        <f t="shared" si="6"/>
        <v>0</v>
      </c>
      <c r="AA41" s="48"/>
      <c r="AB41" s="20"/>
      <c r="AC41" s="10">
        <f>IF(OR(AI41=0,AI41="",ISNUMBER(MATCH(AI41,$AI$1:AI40,0))),0,MAX($AC$1:AC40)+1)</f>
        <v>0</v>
      </c>
      <c r="AD41" s="10">
        <f>IF(OR(AJ41=0,AJ41="",ISNUMBER(MATCH(AJ41,$AJ$1:AJ40,0))),0,MAX($AD$1:AD40)+1)</f>
        <v>0</v>
      </c>
      <c r="AE41" s="10">
        <f>IF(OR(AK41=0,AK41="",ISNUMBER(MATCH(AK41,$AK$1:AK40,0))),0,MAX($AE$1:AE40)+1)</f>
        <v>0</v>
      </c>
      <c r="AF41" s="10">
        <f>IF(OR(AH41=0,ISNUMBER(MATCH(AH41,$AH$1:AH40,0))),0,MAX($AF$1:AF40)+1)</f>
        <v>0</v>
      </c>
      <c r="AG41" s="10">
        <f>Tank3!$C$23</f>
        <v>0</v>
      </c>
      <c r="AH41" s="10">
        <f>Tank3!A38</f>
        <v>0</v>
      </c>
      <c r="AI41" s="10" t="str">
        <f t="shared" si="15"/>
        <v/>
      </c>
      <c r="AJ41" s="10" t="str">
        <f t="shared" si="15"/>
        <v/>
      </c>
      <c r="AK41" s="10" t="str">
        <f t="shared" si="15"/>
        <v/>
      </c>
      <c r="AL41" s="17" t="str">
        <f t="shared" si="19"/>
        <v/>
      </c>
      <c r="AM41" s="20" t="str">
        <f t="shared" si="20"/>
        <v/>
      </c>
      <c r="AN41" s="10" t="str">
        <f t="shared" si="21"/>
        <v/>
      </c>
      <c r="AO41" s="17" t="str">
        <f t="shared" si="22"/>
        <v/>
      </c>
      <c r="BE41" s="10"/>
      <c r="BI41" s="10"/>
      <c r="BQ41" s="10" t="s">
        <v>119</v>
      </c>
      <c r="BU41" s="625" t="s">
        <v>8648</v>
      </c>
      <c r="BV41" s="596">
        <f>IF('Loading-truck'!$C$6="Affected",Baseline!B14,0)</f>
        <v>0</v>
      </c>
      <c r="BW41" s="596">
        <f>IF('Loading-truck'!$C$6="Affected",Baseline!C14,0)</f>
        <v>0</v>
      </c>
      <c r="BX41" s="596">
        <f>IF('Loading-truck'!$C$6="Affected",Baseline!D14,0)</f>
        <v>0</v>
      </c>
      <c r="BY41" s="596">
        <f>IF('Loading-truck'!$C$6="Affected",Baseline!E14,0)</f>
        <v>0</v>
      </c>
      <c r="BZ41" s="596">
        <f>IF('Loading-truck'!$C$6="Affected",Baseline!F14,0)</f>
        <v>0</v>
      </c>
      <c r="CA41" s="596">
        <f>IF('Loading-truck'!$C$6="Affected",Baseline!G14,0)</f>
        <v>0</v>
      </c>
      <c r="CB41" s="596">
        <f>IF('Loading-truck'!$C$6="Affected",Baseline!H14,0)</f>
        <v>0</v>
      </c>
      <c r="CC41" s="596"/>
      <c r="CD41" s="596">
        <f>IF('Loading-truck'!$C$6="Affected",Baseline!I14,0)</f>
        <v>0</v>
      </c>
      <c r="CE41" s="596"/>
      <c r="CF41" s="596"/>
      <c r="CG41" s="596">
        <f>IF('Loading-truck'!$C$6="Affected",Baseline!J14,0)</f>
        <v>0</v>
      </c>
      <c r="CH41" s="598"/>
    </row>
    <row r="42" spans="1:86" ht="21" customHeight="1" x14ac:dyDescent="0.25">
      <c r="A42" s="10"/>
      <c r="B42" s="16" t="s">
        <v>50</v>
      </c>
      <c r="C42" s="10">
        <v>100</v>
      </c>
      <c r="D42" s="10">
        <v>249</v>
      </c>
      <c r="E42" s="17">
        <v>249</v>
      </c>
      <c r="I42" s="436" t="s">
        <v>4513</v>
      </c>
      <c r="J42" s="26" t="s">
        <v>4512</v>
      </c>
      <c r="K42" s="10">
        <v>4.1000000000000005</v>
      </c>
      <c r="L42" s="73">
        <f>IF(Tank1!$C$23="No control",(SUMIF(Tank1!$B$32:$B$49,$J42,Tank1!$C$32:$C$49)*Impacts!$F$8),0)</f>
        <v>0</v>
      </c>
      <c r="M42" s="10">
        <f>IF(Tank2!$C$23="No control",(SUMIF(Tank2!$B$32:$B$49,$J42,Tank2!$C$32:$C$49)*Impacts!$F$9),0)</f>
        <v>0</v>
      </c>
      <c r="N42" s="10">
        <f>IF(Tank3!$C$23="No control",(SUMIF(Tank3!$B$32:$B$49,$J42,Tank3!$C$32:$C$49)*Impacts!$F$10),0)</f>
        <v>0</v>
      </c>
      <c r="O42" s="10">
        <f>IF(Tank4!$C$23="No control",(SUMIF(Tank4!$B$32:$B$49,$J42,Tank4!$C$32:$C$49)*Impacts!$F$11),0)</f>
        <v>0</v>
      </c>
      <c r="P42" s="10">
        <f>IF(Tank5!$C$23="No control",(SUMIF(Tank5!$B$32:$B$49,$J42,Tank5!$C$32:$C$49)*Impacts!$F$12),0)</f>
        <v>0</v>
      </c>
      <c r="Q42" s="10">
        <f>IFERROR(IF(('Loading-drum,tote'!$C$21)="No control",SUMIF(('Loading-drum,tote'!$B$31:$B$48),$J42,('Loading-drum,tote'!$D$31:$D$48))*Impacts!$F$13,IF(('Loading-drum,tote'!$C$21)&lt;&gt;"No control",SUMIF(('Loading-drum,tote'!$B$31:$B$48),$J42,('Loading-drum,tote'!$E$31:$E$48))*Impacts!$F$13,0)),0)</f>
        <v>0</v>
      </c>
      <c r="R42" s="10">
        <f>IFERROR(IF(('Loading-truck'!$C$21)="No control",SUMIF(('Loading-truck'!$B$31:$B$48),$J42,('Loading-truck'!$D$31:$D$48))*Impacts!$F$14,IF(('Loading-truck'!$C$21)&lt;&gt;"No control",SUMIF(('Loading-truck'!$B$31:$B$48),$J42,('Loading-truck'!$E$31:$E$48))*Impacts!$F$14,0)),0)</f>
        <v>0</v>
      </c>
      <c r="S42" s="10">
        <f>IFERROR(IF(('Loading-rail'!$C$21)="No control",SUMIF(('Loading-rail'!$B$31:$B$48),$J42,('Loading-rail'!$D$31:$D$48))*Impacts!$F$15,IF(('Loading-rail'!$C$21)&lt;&gt;"No control",SUMIF(('Loading-rail'!$B$31:$B$48),$J42,('Loading-rail'!$E$31:$E$48))*Impacts!$F$15,0)),0)</f>
        <v>0</v>
      </c>
      <c r="T42" s="10">
        <f>IF(Flare!$C$7="",0,(SUMIF(Flare!$B$46:$B$185,$J42,Flare!$E$46:$E$185)*Impacts!$F$16))</f>
        <v>0</v>
      </c>
      <c r="U42" s="10">
        <f>IF(VCU!$C$9="",0,(SUMIF(VCU!$B$51:$B$193,$J42,VCU!$E$51:$E$193)*Impacts!$F$17))</f>
        <v>0</v>
      </c>
      <c r="V42" s="10">
        <f>IF(CAS!$C$7="",0,(SUMIF(CAS!$B$31:$B$167,$J42,CAS!$E$31:$E$167)*Impacts!$F$18))</f>
        <v>0</v>
      </c>
      <c r="W42" s="10">
        <f t="shared" si="6"/>
        <v>0</v>
      </c>
      <c r="AA42" s="48"/>
      <c r="AB42" s="20"/>
      <c r="AC42" s="10">
        <f>IF(OR(AI42=0,AI42="",ISNUMBER(MATCH(AI42,$AI$1:AI41,0))),0,MAX($AC$1:AC41)+1)</f>
        <v>0</v>
      </c>
      <c r="AD42" s="10">
        <f>IF(OR(AJ42=0,AJ42="",ISNUMBER(MATCH(AJ42,$AJ$1:AJ41,0))),0,MAX($AD$1:AD41)+1)</f>
        <v>0</v>
      </c>
      <c r="AE42" s="10">
        <f>IF(OR(AK42=0,AK42="",ISNUMBER(MATCH(AK42,$AK$1:AK41,0))),0,MAX($AE$1:AE41)+1)</f>
        <v>0</v>
      </c>
      <c r="AF42" s="10">
        <f>IF(OR(AH42=0,ISNUMBER(MATCH(AH42,$AH$1:AH41,0))),0,MAX($AF$1:AF41)+1)</f>
        <v>0</v>
      </c>
      <c r="AG42" s="10">
        <f>Tank3!$C$23</f>
        <v>0</v>
      </c>
      <c r="AH42" s="10">
        <f>Tank3!A39</f>
        <v>0</v>
      </c>
      <c r="AI42" s="10" t="str">
        <f t="shared" si="15"/>
        <v/>
      </c>
      <c r="AJ42" s="10" t="str">
        <f t="shared" si="15"/>
        <v/>
      </c>
      <c r="AK42" s="10" t="str">
        <f t="shared" si="15"/>
        <v/>
      </c>
      <c r="AL42" s="17" t="str">
        <f t="shared" si="19"/>
        <v/>
      </c>
      <c r="AM42" s="20" t="str">
        <f t="shared" si="20"/>
        <v/>
      </c>
      <c r="AN42" s="10" t="str">
        <f t="shared" si="21"/>
        <v/>
      </c>
      <c r="AO42" s="17" t="str">
        <f t="shared" si="22"/>
        <v/>
      </c>
      <c r="BE42" s="10"/>
      <c r="BI42" s="10"/>
      <c r="BQ42" s="10" t="s">
        <v>121</v>
      </c>
      <c r="BU42" s="638" t="s">
        <v>8649</v>
      </c>
      <c r="BV42" s="596">
        <f>IF('Loading-rail'!$C$6="Affected",Baseline!B15,0)</f>
        <v>0</v>
      </c>
      <c r="BW42" s="596">
        <f>IF('Loading-rail'!$C$6="Affected",Baseline!C15,0)</f>
        <v>0</v>
      </c>
      <c r="BX42" s="596">
        <f>IF('Loading-rail'!$C$6="Affected",Baseline!D15,0)</f>
        <v>0</v>
      </c>
      <c r="BY42" s="596">
        <f>IF('Loading-rail'!$C$6="Affected",Baseline!E15,0)</f>
        <v>0</v>
      </c>
      <c r="BZ42" s="596">
        <f>IF('Loading-rail'!$C$6="Affected",Baseline!F15,0)</f>
        <v>0</v>
      </c>
      <c r="CA42" s="596">
        <f>IF('Loading-rail'!$C$6="Affected",Baseline!G15,0)</f>
        <v>0</v>
      </c>
      <c r="CB42" s="596">
        <f>IF('Loading-rail'!$C$6="Affected",Baseline!H15,0)</f>
        <v>0</v>
      </c>
      <c r="CC42" s="596"/>
      <c r="CD42" s="596">
        <f>IF('Loading-rail'!$C$6="Affected",Baseline!I15,0)</f>
        <v>0</v>
      </c>
      <c r="CE42" s="596"/>
      <c r="CF42" s="596"/>
      <c r="CG42" s="596">
        <f>IF('Loading-rail'!$C$6="Affected",Baseline!J15,0)</f>
        <v>0</v>
      </c>
      <c r="CH42" s="598"/>
    </row>
    <row r="43" spans="1:86" ht="21" customHeight="1" x14ac:dyDescent="0.25">
      <c r="A43" s="10"/>
      <c r="B43" s="16" t="s">
        <v>51</v>
      </c>
      <c r="C43" s="10">
        <v>100</v>
      </c>
      <c r="D43" s="10">
        <v>249</v>
      </c>
      <c r="E43" s="17">
        <v>249</v>
      </c>
      <c r="I43" s="436" t="s">
        <v>6698</v>
      </c>
      <c r="J43" s="26" t="s">
        <v>6697</v>
      </c>
      <c r="K43" s="10">
        <v>0.5</v>
      </c>
      <c r="L43" s="73">
        <f>IF(Tank1!$C$23="No control",(SUMIF(Tank1!$B$32:$B$49,$J43,Tank1!$C$32:$C$49)*Impacts!$F$8),0)</f>
        <v>0</v>
      </c>
      <c r="M43" s="10">
        <f>IF(Tank2!$C$23="No control",(SUMIF(Tank2!$B$32:$B$49,$J43,Tank2!$C$32:$C$49)*Impacts!$F$9),0)</f>
        <v>0</v>
      </c>
      <c r="N43" s="10">
        <f>IF(Tank3!$C$23="No control",(SUMIF(Tank3!$B$32:$B$49,$J43,Tank3!$C$32:$C$49)*Impacts!$F$10),0)</f>
        <v>0</v>
      </c>
      <c r="O43" s="10">
        <f>IF(Tank4!$C$23="No control",(SUMIF(Tank4!$B$32:$B$49,$J43,Tank4!$C$32:$C$49)*Impacts!$F$11),0)</f>
        <v>0</v>
      </c>
      <c r="P43" s="10">
        <f>IF(Tank5!$C$23="No control",(SUMIF(Tank5!$B$32:$B$49,$J43,Tank5!$C$32:$C$49)*Impacts!$F$12),0)</f>
        <v>0</v>
      </c>
      <c r="Q43" s="10">
        <f>IFERROR(IF(('Loading-drum,tote'!$C$21)="No control",SUMIF(('Loading-drum,tote'!$B$31:$B$48),$J43,('Loading-drum,tote'!$D$31:$D$48))*Impacts!$F$13,IF(('Loading-drum,tote'!$C$21)&lt;&gt;"No control",SUMIF(('Loading-drum,tote'!$B$31:$B$48),$J43,('Loading-drum,tote'!$E$31:$E$48))*Impacts!$F$13,0)),0)</f>
        <v>0</v>
      </c>
      <c r="R43" s="10">
        <f>IFERROR(IF(('Loading-truck'!$C$21)="No control",SUMIF(('Loading-truck'!$B$31:$B$48),$J43,('Loading-truck'!$D$31:$D$48))*Impacts!$F$14,IF(('Loading-truck'!$C$21)&lt;&gt;"No control",SUMIF(('Loading-truck'!$B$31:$B$48),$J43,('Loading-truck'!$E$31:$E$48))*Impacts!$F$14,0)),0)</f>
        <v>0</v>
      </c>
      <c r="S43" s="10">
        <f>IFERROR(IF(('Loading-rail'!$C$21)="No control",SUMIF(('Loading-rail'!$B$31:$B$48),$J43,('Loading-rail'!$D$31:$D$48))*Impacts!$F$15,IF(('Loading-rail'!$C$21)&lt;&gt;"No control",SUMIF(('Loading-rail'!$B$31:$B$48),$J43,('Loading-rail'!$E$31:$E$48))*Impacts!$F$15,0)),0)</f>
        <v>0</v>
      </c>
      <c r="T43" s="10">
        <f>IF(Flare!$C$7="",0,(SUMIF(Flare!$B$46:$B$185,$J43,Flare!$E$46:$E$185)*Impacts!$F$16))</f>
        <v>0</v>
      </c>
      <c r="U43" s="10">
        <f>IF(VCU!$C$9="",0,(SUMIF(VCU!$B$51:$B$193,$J43,VCU!$E$51:$E$193)*Impacts!$F$17))</f>
        <v>0</v>
      </c>
      <c r="V43" s="10">
        <f>IF(CAS!$C$7="",0,(SUMIF(CAS!$B$31:$B$167,$J43,CAS!$E$31:$E$167)*Impacts!$F$18))</f>
        <v>0</v>
      </c>
      <c r="W43" s="10">
        <f t="shared" si="6"/>
        <v>0</v>
      </c>
      <c r="AA43" s="48"/>
      <c r="AB43" s="20"/>
      <c r="AC43" s="10">
        <f>IF(OR(AI43=0,AI43="",ISNUMBER(MATCH(AI43,$AI$1:AI42,0))),0,MAX($AC$1:AC42)+1)</f>
        <v>0</v>
      </c>
      <c r="AD43" s="10">
        <f>IF(OR(AJ43=0,AJ43="",ISNUMBER(MATCH(AJ43,$AJ$1:AJ42,0))),0,MAX($AD$1:AD42)+1)</f>
        <v>0</v>
      </c>
      <c r="AE43" s="10">
        <f>IF(OR(AK43=0,AK43="",ISNUMBER(MATCH(AK43,$AK$1:AK42,0))),0,MAX($AE$1:AE42)+1)</f>
        <v>0</v>
      </c>
      <c r="AF43" s="10">
        <f>IF(OR(AH43=0,ISNUMBER(MATCH(AH43,$AH$1:AH42,0))),0,MAX($AF$1:AF42)+1)</f>
        <v>0</v>
      </c>
      <c r="AG43" s="10">
        <f>Tank3!$C$23</f>
        <v>0</v>
      </c>
      <c r="AH43" s="10">
        <f>Tank3!A40</f>
        <v>0</v>
      </c>
      <c r="AI43" s="10" t="str">
        <f t="shared" si="15"/>
        <v/>
      </c>
      <c r="AJ43" s="10" t="str">
        <f t="shared" si="15"/>
        <v/>
      </c>
      <c r="AK43" s="10" t="str">
        <f t="shared" si="15"/>
        <v/>
      </c>
      <c r="AL43" s="17" t="str">
        <f t="shared" si="19"/>
        <v/>
      </c>
      <c r="AM43" s="20" t="str">
        <f t="shared" si="20"/>
        <v/>
      </c>
      <c r="AN43" s="10" t="str">
        <f t="shared" si="21"/>
        <v/>
      </c>
      <c r="AO43" s="17" t="str">
        <f t="shared" si="22"/>
        <v/>
      </c>
      <c r="BE43" s="10"/>
      <c r="BI43" s="10"/>
      <c r="BQ43" s="10" t="s">
        <v>122</v>
      </c>
      <c r="BU43" s="625" t="s">
        <v>267</v>
      </c>
      <c r="BV43" s="596">
        <f>IF(Flare!$C$6="Affected",Baseline!B16,0)</f>
        <v>0</v>
      </c>
      <c r="BW43" s="596">
        <f>IF(Flare!$C$6="Affected",Baseline!C16,0)</f>
        <v>0</v>
      </c>
      <c r="BX43" s="600"/>
      <c r="BY43" s="600"/>
      <c r="BZ43" s="600"/>
      <c r="CA43" s="596">
        <f>IF(Flare!$C$6="Affected",Baseline!G16,0)</f>
        <v>0</v>
      </c>
      <c r="CB43" s="596">
        <f>IF(Flare!$C$6="Affected",Baseline!H16,0)</f>
        <v>0</v>
      </c>
      <c r="CC43" s="596"/>
      <c r="CD43" s="596">
        <f>IF(Flare!$C$6="Affected",Baseline!I16,0)</f>
        <v>0</v>
      </c>
      <c r="CE43" s="596"/>
      <c r="CF43" s="596"/>
      <c r="CG43" s="596">
        <f>IF(Flare!$C$6="Affected",Baseline!J16,0)</f>
        <v>0</v>
      </c>
      <c r="CH43" s="598"/>
    </row>
    <row r="44" spans="1:86" ht="21" customHeight="1" x14ac:dyDescent="0.25">
      <c r="A44" s="10"/>
      <c r="B44" s="16" t="s">
        <v>52</v>
      </c>
      <c r="C44" s="10">
        <v>100</v>
      </c>
      <c r="D44" s="10">
        <v>249</v>
      </c>
      <c r="E44" s="17">
        <v>249</v>
      </c>
      <c r="I44" s="436" t="s">
        <v>2295</v>
      </c>
      <c r="J44" s="26" t="s">
        <v>2294</v>
      </c>
      <c r="K44" s="10">
        <v>12</v>
      </c>
      <c r="L44" s="73">
        <f>IF(Tank1!$C$23="No control",(SUMIF(Tank1!$B$32:$B$49,$J44,Tank1!$C$32:$C$49)*Impacts!$F$8),0)</f>
        <v>0</v>
      </c>
      <c r="M44" s="10">
        <f>IF(Tank2!$C$23="No control",(SUMIF(Tank2!$B$32:$B$49,$J44,Tank2!$C$32:$C$49)*Impacts!$F$9),0)</f>
        <v>0</v>
      </c>
      <c r="N44" s="10">
        <f>IF(Tank3!$C$23="No control",(SUMIF(Tank3!$B$32:$B$49,$J44,Tank3!$C$32:$C$49)*Impacts!$F$10),0)</f>
        <v>0</v>
      </c>
      <c r="O44" s="10">
        <f>IF(Tank4!$C$23="No control",(SUMIF(Tank4!$B$32:$B$49,$J44,Tank4!$C$32:$C$49)*Impacts!$F$11),0)</f>
        <v>0</v>
      </c>
      <c r="P44" s="10">
        <f>IF(Tank5!$C$23="No control",(SUMIF(Tank5!$B$32:$B$49,$J44,Tank5!$C$32:$C$49)*Impacts!$F$12),0)</f>
        <v>0</v>
      </c>
      <c r="Q44" s="10">
        <f>IFERROR(IF(('Loading-drum,tote'!$C$21)="No control",SUMIF(('Loading-drum,tote'!$B$31:$B$48),$J44,('Loading-drum,tote'!$D$31:$D$48))*Impacts!$F$13,IF(('Loading-drum,tote'!$C$21)&lt;&gt;"No control",SUMIF(('Loading-drum,tote'!$B$31:$B$48),$J44,('Loading-drum,tote'!$E$31:$E$48))*Impacts!$F$13,0)),0)</f>
        <v>0</v>
      </c>
      <c r="R44" s="10">
        <f>IFERROR(IF(('Loading-truck'!$C$21)="No control",SUMIF(('Loading-truck'!$B$31:$B$48),$J44,('Loading-truck'!$D$31:$D$48))*Impacts!$F$14,IF(('Loading-truck'!$C$21)&lt;&gt;"No control",SUMIF(('Loading-truck'!$B$31:$B$48),$J44,('Loading-truck'!$E$31:$E$48))*Impacts!$F$14,0)),0)</f>
        <v>0</v>
      </c>
      <c r="S44" s="10">
        <f>IFERROR(IF(('Loading-rail'!$C$21)="No control",SUMIF(('Loading-rail'!$B$31:$B$48),$J44,('Loading-rail'!$D$31:$D$48))*Impacts!$F$15,IF(('Loading-rail'!$C$21)&lt;&gt;"No control",SUMIF(('Loading-rail'!$B$31:$B$48),$J44,('Loading-rail'!$E$31:$E$48))*Impacts!$F$15,0)),0)</f>
        <v>0</v>
      </c>
      <c r="T44" s="10">
        <f>IF(Flare!$C$7="",0,(SUMIF(Flare!$B$46:$B$185,$J44,Flare!$E$46:$E$185)*Impacts!$F$16))</f>
        <v>0</v>
      </c>
      <c r="U44" s="10">
        <f>IF(VCU!$C$9="",0,(SUMIF(VCU!$B$51:$B$193,$J44,VCU!$E$51:$E$193)*Impacts!$F$17))</f>
        <v>0</v>
      </c>
      <c r="V44" s="10">
        <f>IF(CAS!$C$7="",0,(SUMIF(CAS!$B$31:$B$167,$J44,CAS!$E$31:$E$167)*Impacts!$F$18))</f>
        <v>0</v>
      </c>
      <c r="W44" s="10">
        <f t="shared" si="6"/>
        <v>0</v>
      </c>
      <c r="AA44" s="48"/>
      <c r="AB44" s="20"/>
      <c r="AC44" s="10">
        <f>IF(OR(AI44=0,AI44="",ISNUMBER(MATCH(AI44,$AI$1:AI43,0))),0,MAX($AC$1:AC43)+1)</f>
        <v>0</v>
      </c>
      <c r="AD44" s="10">
        <f>IF(OR(AJ44=0,AJ44="",ISNUMBER(MATCH(AJ44,$AJ$1:AJ43,0))),0,MAX($AD$1:AD43)+1)</f>
        <v>0</v>
      </c>
      <c r="AE44" s="10">
        <f>IF(OR(AK44=0,AK44="",ISNUMBER(MATCH(AK44,$AK$1:AK43,0))),0,MAX($AE$1:AE43)+1)</f>
        <v>0</v>
      </c>
      <c r="AF44" s="10">
        <f>IF(OR(AH44=0,ISNUMBER(MATCH(AH44,$AH$1:AH43,0))),0,MAX($AF$1:AF43)+1)</f>
        <v>0</v>
      </c>
      <c r="AG44" s="10">
        <f>Tank3!$C$23</f>
        <v>0</v>
      </c>
      <c r="AH44" s="10">
        <f>Tank3!A41</f>
        <v>0</v>
      </c>
      <c r="AI44" s="10" t="str">
        <f t="shared" si="15"/>
        <v/>
      </c>
      <c r="AJ44" s="10" t="str">
        <f t="shared" si="15"/>
        <v/>
      </c>
      <c r="AK44" s="10" t="str">
        <f t="shared" si="15"/>
        <v/>
      </c>
      <c r="AL44" s="17" t="str">
        <f t="shared" si="19"/>
        <v/>
      </c>
      <c r="AM44" s="20" t="str">
        <f t="shared" si="20"/>
        <v/>
      </c>
      <c r="AN44" s="10" t="str">
        <f t="shared" si="21"/>
        <v/>
      </c>
      <c r="AO44" s="17" t="str">
        <f t="shared" si="22"/>
        <v/>
      </c>
      <c r="BE44" s="10"/>
      <c r="BI44" s="10"/>
      <c r="BQ44" s="10" t="s">
        <v>123</v>
      </c>
      <c r="BU44" s="625" t="s">
        <v>272</v>
      </c>
      <c r="BV44" s="596">
        <f>IF(VCU!$C$8="Affected",Baseline!B17,0)</f>
        <v>0</v>
      </c>
      <c r="BW44" s="596">
        <f>IF(VCU!$C$8="Affected",Baseline!C17,0)</f>
        <v>0</v>
      </c>
      <c r="BX44" s="596">
        <f>IF(VCU!$C$8="Affected",Baseline!D17,0)</f>
        <v>0</v>
      </c>
      <c r="BY44" s="596">
        <f>IF(VCU!$C$8="Affected",Baseline!E17,0)</f>
        <v>0</v>
      </c>
      <c r="BZ44" s="596">
        <f>IF(VCU!$C$8="Affected",Baseline!F17,0)</f>
        <v>0</v>
      </c>
      <c r="CA44" s="596">
        <f>IF(VCU!$C$8="Affected",Baseline!G17,0)</f>
        <v>0</v>
      </c>
      <c r="CB44" s="596">
        <f>IF(VCU!$C$8="Affected",Baseline!H17,0)</f>
        <v>0</v>
      </c>
      <c r="CC44" s="596"/>
      <c r="CD44" s="596">
        <f>IF(VCU!$C$8="Affected",Baseline!I17,0)</f>
        <v>0</v>
      </c>
      <c r="CE44" s="596"/>
      <c r="CF44" s="596"/>
      <c r="CG44" s="596">
        <f>IF(VCU!$C$8="Affected",Baseline!J17,0)</f>
        <v>0</v>
      </c>
      <c r="CH44" s="598"/>
    </row>
    <row r="45" spans="1:86" ht="21" customHeight="1" x14ac:dyDescent="0.25">
      <c r="A45" s="10"/>
      <c r="B45" s="16" t="s">
        <v>53</v>
      </c>
      <c r="C45" s="10">
        <v>100</v>
      </c>
      <c r="D45" s="10">
        <v>100</v>
      </c>
      <c r="E45" s="17">
        <v>249</v>
      </c>
      <c r="I45" s="436" t="s">
        <v>5013</v>
      </c>
      <c r="J45" s="26" t="s">
        <v>5012</v>
      </c>
      <c r="K45" s="10">
        <v>2.4000000000000004</v>
      </c>
      <c r="L45" s="73">
        <f>IF(Tank1!$C$23="No control",(SUMIF(Tank1!$B$32:$B$49,$J45,Tank1!$C$32:$C$49)*Impacts!$F$8),0)</f>
        <v>0</v>
      </c>
      <c r="M45" s="10">
        <f>IF(Tank2!$C$23="No control",(SUMIF(Tank2!$B$32:$B$49,$J45,Tank2!$C$32:$C$49)*Impacts!$F$9),0)</f>
        <v>0</v>
      </c>
      <c r="N45" s="10">
        <f>IF(Tank3!$C$23="No control",(SUMIF(Tank3!$B$32:$B$49,$J45,Tank3!$C$32:$C$49)*Impacts!$F$10),0)</f>
        <v>0</v>
      </c>
      <c r="O45" s="10">
        <f>IF(Tank4!$C$23="No control",(SUMIF(Tank4!$B$32:$B$49,$J45,Tank4!$C$32:$C$49)*Impacts!$F$11),0)</f>
        <v>0</v>
      </c>
      <c r="P45" s="10">
        <f>IF(Tank5!$C$23="No control",(SUMIF(Tank5!$B$32:$B$49,$J45,Tank5!$C$32:$C$49)*Impacts!$F$12),0)</f>
        <v>0</v>
      </c>
      <c r="Q45" s="10">
        <f>IFERROR(IF(('Loading-drum,tote'!$C$21)="No control",SUMIF(('Loading-drum,tote'!$B$31:$B$48),$J45,('Loading-drum,tote'!$D$31:$D$48))*Impacts!$F$13,IF(('Loading-drum,tote'!$C$21)&lt;&gt;"No control",SUMIF(('Loading-drum,tote'!$B$31:$B$48),$J45,('Loading-drum,tote'!$E$31:$E$48))*Impacts!$F$13,0)),0)</f>
        <v>0</v>
      </c>
      <c r="R45" s="10">
        <f>IFERROR(IF(('Loading-truck'!$C$21)="No control",SUMIF(('Loading-truck'!$B$31:$B$48),$J45,('Loading-truck'!$D$31:$D$48))*Impacts!$F$14,IF(('Loading-truck'!$C$21)&lt;&gt;"No control",SUMIF(('Loading-truck'!$B$31:$B$48),$J45,('Loading-truck'!$E$31:$E$48))*Impacts!$F$14,0)),0)</f>
        <v>0</v>
      </c>
      <c r="S45" s="10">
        <f>IFERROR(IF(('Loading-rail'!$C$21)="No control",SUMIF(('Loading-rail'!$B$31:$B$48),$J45,('Loading-rail'!$D$31:$D$48))*Impacts!$F$15,IF(('Loading-rail'!$C$21)&lt;&gt;"No control",SUMIF(('Loading-rail'!$B$31:$B$48),$J45,('Loading-rail'!$E$31:$E$48))*Impacts!$F$15,0)),0)</f>
        <v>0</v>
      </c>
      <c r="T45" s="10">
        <f>IF(Flare!$C$7="",0,(SUMIF(Flare!$B$46:$B$185,$J45,Flare!$E$46:$E$185)*Impacts!$F$16))</f>
        <v>0</v>
      </c>
      <c r="U45" s="10">
        <f>IF(VCU!$C$9="",0,(SUMIF(VCU!$B$51:$B$193,$J45,VCU!$E$51:$E$193)*Impacts!$F$17))</f>
        <v>0</v>
      </c>
      <c r="V45" s="10">
        <f>IF(CAS!$C$7="",0,(SUMIF(CAS!$B$31:$B$167,$J45,CAS!$E$31:$E$167)*Impacts!$F$18))</f>
        <v>0</v>
      </c>
      <c r="W45" s="10">
        <f t="shared" si="6"/>
        <v>0</v>
      </c>
      <c r="AA45" s="48"/>
      <c r="AB45" s="20"/>
      <c r="AC45" s="10">
        <f>IF(OR(AI45=0,AI45="",ISNUMBER(MATCH(AI45,$AI$1:AI44,0))),0,MAX($AC$1:AC44)+1)</f>
        <v>0</v>
      </c>
      <c r="AD45" s="10">
        <f>IF(OR(AJ45=0,AJ45="",ISNUMBER(MATCH(AJ45,$AJ$1:AJ44,0))),0,MAX($AD$1:AD44)+1)</f>
        <v>0</v>
      </c>
      <c r="AE45" s="10">
        <f>IF(OR(AK45=0,AK45="",ISNUMBER(MATCH(AK45,$AK$1:AK44,0))),0,MAX($AE$1:AE44)+1)</f>
        <v>0</v>
      </c>
      <c r="AF45" s="10">
        <f>IF(OR(AH45=0,ISNUMBER(MATCH(AH45,$AH$1:AH44,0))),0,MAX($AF$1:AF44)+1)</f>
        <v>0</v>
      </c>
      <c r="AG45" s="10">
        <f>Tank3!$C$23</f>
        <v>0</v>
      </c>
      <c r="AH45" s="10">
        <f>Tank3!A42</f>
        <v>0</v>
      </c>
      <c r="AI45" s="10" t="str">
        <f t="shared" si="15"/>
        <v/>
      </c>
      <c r="AJ45" s="10" t="str">
        <f t="shared" si="15"/>
        <v/>
      </c>
      <c r="AK45" s="10" t="str">
        <f t="shared" si="15"/>
        <v/>
      </c>
      <c r="AL45" s="17" t="str">
        <f t="shared" si="19"/>
        <v/>
      </c>
      <c r="AM45" s="20" t="str">
        <f t="shared" si="20"/>
        <v/>
      </c>
      <c r="AN45" s="10" t="str">
        <f t="shared" si="21"/>
        <v/>
      </c>
      <c r="AO45" s="17" t="str">
        <f t="shared" si="22"/>
        <v/>
      </c>
      <c r="BE45" s="10"/>
      <c r="BI45" s="10"/>
      <c r="BQ45" s="10" t="s">
        <v>126</v>
      </c>
      <c r="BU45" s="625" t="s">
        <v>271</v>
      </c>
      <c r="BV45" s="600"/>
      <c r="BW45" s="600"/>
      <c r="BX45" s="600"/>
      <c r="BY45" s="600"/>
      <c r="BZ45" s="600"/>
      <c r="CA45" s="596">
        <f>IF(CAS!$C$6="Affected",Baseline!G18,0)</f>
        <v>0</v>
      </c>
      <c r="CB45" s="596">
        <f>IF(CAS!$C$6="Affected",Baseline!H18,0)</f>
        <v>0</v>
      </c>
      <c r="CC45" s="596"/>
      <c r="CD45" s="596">
        <f>IF(CAS!$C$6="Affected",Baseline!I18,0)</f>
        <v>0</v>
      </c>
      <c r="CE45" s="596"/>
      <c r="CF45" s="596"/>
      <c r="CG45" s="596">
        <f>IF(CAS!$C$6="Affected",Baseline!J18,0)</f>
        <v>0</v>
      </c>
      <c r="CH45" s="598"/>
    </row>
    <row r="46" spans="1:86" ht="21" customHeight="1" thickBot="1" x14ac:dyDescent="0.3">
      <c r="A46" s="10"/>
      <c r="B46" s="16" t="s">
        <v>54</v>
      </c>
      <c r="C46" s="10">
        <v>100</v>
      </c>
      <c r="D46" s="10">
        <v>249</v>
      </c>
      <c r="E46" s="17">
        <v>249</v>
      </c>
      <c r="I46" s="436" t="s">
        <v>8096</v>
      </c>
      <c r="J46" s="26" t="s">
        <v>8095</v>
      </c>
      <c r="K46" s="10">
        <v>1.0000000000000002E-2</v>
      </c>
      <c r="L46" s="73">
        <f>IF(Tank1!$C$23="No control",(SUMIF(Tank1!$B$32:$B$49,$J46,Tank1!$C$32:$C$49)*Impacts!$F$8),0)</f>
        <v>0</v>
      </c>
      <c r="M46" s="10">
        <f>IF(Tank2!$C$23="No control",(SUMIF(Tank2!$B$32:$B$49,$J46,Tank2!$C$32:$C$49)*Impacts!$F$9),0)</f>
        <v>0</v>
      </c>
      <c r="N46" s="10">
        <f>IF(Tank3!$C$23="No control",(SUMIF(Tank3!$B$32:$B$49,$J46,Tank3!$C$32:$C$49)*Impacts!$F$10),0)</f>
        <v>0</v>
      </c>
      <c r="O46" s="10">
        <f>IF(Tank4!$C$23="No control",(SUMIF(Tank4!$B$32:$B$49,$J46,Tank4!$C$32:$C$49)*Impacts!$F$11),0)</f>
        <v>0</v>
      </c>
      <c r="P46" s="10">
        <f>IF(Tank5!$C$23="No control",(SUMIF(Tank5!$B$32:$B$49,$J46,Tank5!$C$32:$C$49)*Impacts!$F$12),0)</f>
        <v>0</v>
      </c>
      <c r="Q46" s="10">
        <f>IFERROR(IF(('Loading-drum,tote'!$C$21)="No control",SUMIF(('Loading-drum,tote'!$B$31:$B$48),$J46,('Loading-drum,tote'!$D$31:$D$48))*Impacts!$F$13,IF(('Loading-drum,tote'!$C$21)&lt;&gt;"No control",SUMIF(('Loading-drum,tote'!$B$31:$B$48),$J46,('Loading-drum,tote'!$E$31:$E$48))*Impacts!$F$13,0)),0)</f>
        <v>0</v>
      </c>
      <c r="R46" s="10">
        <f>IFERROR(IF(('Loading-truck'!$C$21)="No control",SUMIF(('Loading-truck'!$B$31:$B$48),$J46,('Loading-truck'!$D$31:$D$48))*Impacts!$F$14,IF(('Loading-truck'!$C$21)&lt;&gt;"No control",SUMIF(('Loading-truck'!$B$31:$B$48),$J46,('Loading-truck'!$E$31:$E$48))*Impacts!$F$14,0)),0)</f>
        <v>0</v>
      </c>
      <c r="S46" s="10">
        <f>IFERROR(IF(('Loading-rail'!$C$21)="No control",SUMIF(('Loading-rail'!$B$31:$B$48),$J46,('Loading-rail'!$D$31:$D$48))*Impacts!$F$15,IF(('Loading-rail'!$C$21)&lt;&gt;"No control",SUMIF(('Loading-rail'!$B$31:$B$48),$J46,('Loading-rail'!$E$31:$E$48))*Impacts!$F$15,0)),0)</f>
        <v>0</v>
      </c>
      <c r="T46" s="10">
        <f>IF(Flare!$C$7="",0,(SUMIF(Flare!$B$46:$B$185,$J46,Flare!$E$46:$E$185)*Impacts!$F$16))</f>
        <v>0</v>
      </c>
      <c r="U46" s="10">
        <f>IF(VCU!$C$9="",0,(SUMIF(VCU!$B$51:$B$193,$J46,VCU!$E$51:$E$193)*Impacts!$F$17))</f>
        <v>0</v>
      </c>
      <c r="V46" s="10">
        <f>IF(CAS!$C$7="",0,(SUMIF(CAS!$B$31:$B$167,$J46,CAS!$E$31:$E$167)*Impacts!$F$18))</f>
        <v>0</v>
      </c>
      <c r="W46" s="10">
        <f t="shared" si="6"/>
        <v>0</v>
      </c>
      <c r="AA46" s="48"/>
      <c r="AB46" s="20"/>
      <c r="AC46" s="10">
        <f>IF(OR(AI46=0,AI46="",ISNUMBER(MATCH(AI46,$AI$1:AI45,0))),0,MAX($AC$1:AC45)+1)</f>
        <v>0</v>
      </c>
      <c r="AD46" s="10">
        <f>IF(OR(AJ46=0,AJ46="",ISNUMBER(MATCH(AJ46,$AJ$1:AJ45,0))),0,MAX($AD$1:AD45)+1)</f>
        <v>0</v>
      </c>
      <c r="AE46" s="10">
        <f>IF(OR(AK46=0,AK46="",ISNUMBER(MATCH(AK46,$AK$1:AK45,0))),0,MAX($AE$1:AE45)+1)</f>
        <v>0</v>
      </c>
      <c r="AF46" s="10">
        <f>IF(OR(AH46=0,ISNUMBER(MATCH(AH46,$AH$1:AH45,0))),0,MAX($AF$1:AF45)+1)</f>
        <v>0</v>
      </c>
      <c r="AG46" s="10">
        <f>Tank3!$C$23</f>
        <v>0</v>
      </c>
      <c r="AH46" s="10">
        <f>Tank3!A43</f>
        <v>0</v>
      </c>
      <c r="AI46" s="10" t="str">
        <f t="shared" si="15"/>
        <v/>
      </c>
      <c r="AJ46" s="10" t="str">
        <f t="shared" si="15"/>
        <v/>
      </c>
      <c r="AK46" s="10" t="str">
        <f t="shared" si="15"/>
        <v/>
      </c>
      <c r="AL46" s="17" t="str">
        <f t="shared" si="19"/>
        <v/>
      </c>
      <c r="AM46" s="20" t="str">
        <f t="shared" si="20"/>
        <v/>
      </c>
      <c r="AN46" s="10" t="str">
        <f t="shared" si="21"/>
        <v/>
      </c>
      <c r="AO46" s="17" t="str">
        <f t="shared" si="22"/>
        <v/>
      </c>
      <c r="BE46" s="10"/>
      <c r="BI46" s="10"/>
      <c r="BQ46" s="10" t="s">
        <v>130</v>
      </c>
      <c r="BU46" s="605" t="s">
        <v>1</v>
      </c>
      <c r="BV46" s="602">
        <f>SUM(BV35:BV45)</f>
        <v>0</v>
      </c>
      <c r="BW46" s="597">
        <f t="shared" ref="BW46:CG46" si="23">SUM(BW35:BW45)</f>
        <v>0</v>
      </c>
      <c r="BX46" s="597">
        <f t="shared" si="23"/>
        <v>0</v>
      </c>
      <c r="BY46" s="597">
        <f t="shared" si="23"/>
        <v>0</v>
      </c>
      <c r="BZ46" s="597">
        <f t="shared" si="23"/>
        <v>0</v>
      </c>
      <c r="CA46" s="597">
        <f t="shared" si="23"/>
        <v>0</v>
      </c>
      <c r="CB46" s="597">
        <f t="shared" si="23"/>
        <v>0</v>
      </c>
      <c r="CC46" s="597"/>
      <c r="CD46" s="597">
        <f t="shared" si="23"/>
        <v>0</v>
      </c>
      <c r="CE46" s="597"/>
      <c r="CF46" s="597"/>
      <c r="CG46" s="597">
        <f t="shared" si="23"/>
        <v>0</v>
      </c>
      <c r="CH46" s="599"/>
    </row>
    <row r="47" spans="1:86" ht="21" customHeight="1" thickBot="1" x14ac:dyDescent="0.3">
      <c r="A47" s="10"/>
      <c r="B47" s="16" t="s">
        <v>55</v>
      </c>
      <c r="C47" s="10">
        <v>100</v>
      </c>
      <c r="D47" s="10">
        <v>249</v>
      </c>
      <c r="E47" s="17">
        <v>249</v>
      </c>
      <c r="I47" s="436" t="s">
        <v>7226</v>
      </c>
      <c r="J47" s="26" t="s">
        <v>7225</v>
      </c>
      <c r="K47" s="10">
        <v>0.30000000000000004</v>
      </c>
      <c r="L47" s="73">
        <f>IF(Tank1!$C$23="No control",(SUMIF(Tank1!$B$32:$B$49,$J47,Tank1!$C$32:$C$49)*Impacts!$F$8),0)</f>
        <v>0</v>
      </c>
      <c r="M47" s="10">
        <f>IF(Tank2!$C$23="No control",(SUMIF(Tank2!$B$32:$B$49,$J47,Tank2!$C$32:$C$49)*Impacts!$F$9),0)</f>
        <v>0</v>
      </c>
      <c r="N47" s="10">
        <f>IF(Tank3!$C$23="No control",(SUMIF(Tank3!$B$32:$B$49,$J47,Tank3!$C$32:$C$49)*Impacts!$F$10),0)</f>
        <v>0</v>
      </c>
      <c r="O47" s="10">
        <f>IF(Tank4!$C$23="No control",(SUMIF(Tank4!$B$32:$B$49,$J47,Tank4!$C$32:$C$49)*Impacts!$F$11),0)</f>
        <v>0</v>
      </c>
      <c r="P47" s="10">
        <f>IF(Tank5!$C$23="No control",(SUMIF(Tank5!$B$32:$B$49,$J47,Tank5!$C$32:$C$49)*Impacts!$F$12),0)</f>
        <v>0</v>
      </c>
      <c r="Q47" s="10">
        <f>IFERROR(IF(('Loading-drum,tote'!$C$21)="No control",SUMIF(('Loading-drum,tote'!$B$31:$B$48),$J47,('Loading-drum,tote'!$D$31:$D$48))*Impacts!$F$13,IF(('Loading-drum,tote'!$C$21)&lt;&gt;"No control",SUMIF(('Loading-drum,tote'!$B$31:$B$48),$J47,('Loading-drum,tote'!$E$31:$E$48))*Impacts!$F$13,0)),0)</f>
        <v>0</v>
      </c>
      <c r="R47" s="10">
        <f>IFERROR(IF(('Loading-truck'!$C$21)="No control",SUMIF(('Loading-truck'!$B$31:$B$48),$J47,('Loading-truck'!$D$31:$D$48))*Impacts!$F$14,IF(('Loading-truck'!$C$21)&lt;&gt;"No control",SUMIF(('Loading-truck'!$B$31:$B$48),$J47,('Loading-truck'!$E$31:$E$48))*Impacts!$F$14,0)),0)</f>
        <v>0</v>
      </c>
      <c r="S47" s="10">
        <f>IFERROR(IF(('Loading-rail'!$C$21)="No control",SUMIF(('Loading-rail'!$B$31:$B$48),$J47,('Loading-rail'!$D$31:$D$48))*Impacts!$F$15,IF(('Loading-rail'!$C$21)&lt;&gt;"No control",SUMIF(('Loading-rail'!$B$31:$B$48),$J47,('Loading-rail'!$E$31:$E$48))*Impacts!$F$15,0)),0)</f>
        <v>0</v>
      </c>
      <c r="T47" s="10">
        <f>IF(Flare!$C$7="",0,(SUMIF(Flare!$B$46:$B$185,$J47,Flare!$E$46:$E$185)*Impacts!$F$16))</f>
        <v>0</v>
      </c>
      <c r="U47" s="10">
        <f>IF(VCU!$C$9="",0,(SUMIF(VCU!$B$51:$B$193,$J47,VCU!$E$51:$E$193)*Impacts!$F$17))</f>
        <v>0</v>
      </c>
      <c r="V47" s="10">
        <f>IF(CAS!$C$7="",0,(SUMIF(CAS!$B$31:$B$167,$J47,CAS!$E$31:$E$167)*Impacts!$F$18))</f>
        <v>0</v>
      </c>
      <c r="W47" s="10">
        <f t="shared" si="6"/>
        <v>0</v>
      </c>
      <c r="AA47" s="48"/>
      <c r="AB47" s="20"/>
      <c r="AC47" s="10">
        <f>IF(OR(AI47=0,AI47="",ISNUMBER(MATCH(AI47,$AI$1:AI46,0))),0,MAX($AC$1:AC46)+1)</f>
        <v>0</v>
      </c>
      <c r="AD47" s="10">
        <f>IF(OR(AJ47=0,AJ47="",ISNUMBER(MATCH(AJ47,$AJ$1:AJ46,0))),0,MAX($AD$1:AD46)+1)</f>
        <v>0</v>
      </c>
      <c r="AE47" s="10">
        <f>IF(OR(AK47=0,AK47="",ISNUMBER(MATCH(AK47,$AK$1:AK46,0))),0,MAX($AE$1:AE46)+1)</f>
        <v>0</v>
      </c>
      <c r="AF47" s="10">
        <f>IF(OR(AH47=0,ISNUMBER(MATCH(AH47,$AH$1:AH46,0))),0,MAX($AF$1:AF46)+1)</f>
        <v>0</v>
      </c>
      <c r="AG47" s="10">
        <f>Tank3!$C$23</f>
        <v>0</v>
      </c>
      <c r="AH47" s="10">
        <f>Tank3!A44</f>
        <v>0</v>
      </c>
      <c r="AI47" s="10" t="str">
        <f t="shared" si="15"/>
        <v/>
      </c>
      <c r="AJ47" s="10" t="str">
        <f t="shared" si="15"/>
        <v/>
      </c>
      <c r="AK47" s="10" t="str">
        <f t="shared" si="15"/>
        <v/>
      </c>
      <c r="AL47" s="17" t="str">
        <f t="shared" si="19"/>
        <v/>
      </c>
      <c r="AM47" s="20" t="str">
        <f t="shared" si="20"/>
        <v/>
      </c>
      <c r="AN47" s="10" t="str">
        <f t="shared" si="21"/>
        <v/>
      </c>
      <c r="AO47" s="17" t="str">
        <f t="shared" si="22"/>
        <v/>
      </c>
      <c r="BE47" s="10"/>
      <c r="BI47" s="10"/>
      <c r="BQ47" s="10" t="s">
        <v>131</v>
      </c>
      <c r="BU47" s="1629" t="s">
        <v>10142</v>
      </c>
      <c r="BV47" s="1630"/>
      <c r="BW47" s="1630"/>
      <c r="BX47" s="1630"/>
      <c r="BY47" s="1630"/>
      <c r="BZ47" s="1630"/>
      <c r="CA47" s="1630"/>
      <c r="CB47" s="1630"/>
      <c r="CC47" s="1630"/>
      <c r="CD47" s="1630"/>
      <c r="CE47" s="1630"/>
      <c r="CF47" s="1630"/>
      <c r="CG47" s="1630"/>
    </row>
    <row r="48" spans="1:86" ht="21" customHeight="1" x14ac:dyDescent="0.25">
      <c r="A48" s="10"/>
      <c r="B48" s="16" t="s">
        <v>56</v>
      </c>
      <c r="C48" s="10">
        <v>100</v>
      </c>
      <c r="D48" s="10">
        <v>249</v>
      </c>
      <c r="E48" s="17">
        <v>249</v>
      </c>
      <c r="I48" s="436" t="s">
        <v>4135</v>
      </c>
      <c r="J48" s="26" t="s">
        <v>4134</v>
      </c>
      <c r="K48" s="10">
        <v>5.2</v>
      </c>
      <c r="L48" s="73">
        <f>IF(Tank1!$C$23="No control",(SUMIF(Tank1!$B$32:$B$49,$J48,Tank1!$C$32:$C$49)*Impacts!$F$8),0)</f>
        <v>0</v>
      </c>
      <c r="M48" s="10">
        <f>IF(Tank2!$C$23="No control",(SUMIF(Tank2!$B$32:$B$49,$J48,Tank2!$C$32:$C$49)*Impacts!$F$9),0)</f>
        <v>0</v>
      </c>
      <c r="N48" s="10">
        <f>IF(Tank3!$C$23="No control",(SUMIF(Tank3!$B$32:$B$49,$J48,Tank3!$C$32:$C$49)*Impacts!$F$10),0)</f>
        <v>0</v>
      </c>
      <c r="O48" s="10">
        <f>IF(Tank4!$C$23="No control",(SUMIF(Tank4!$B$32:$B$49,$J48,Tank4!$C$32:$C$49)*Impacts!$F$11),0)</f>
        <v>0</v>
      </c>
      <c r="P48" s="10">
        <f>IF(Tank5!$C$23="No control",(SUMIF(Tank5!$B$32:$B$49,$J48,Tank5!$C$32:$C$49)*Impacts!$F$12),0)</f>
        <v>0</v>
      </c>
      <c r="Q48" s="10">
        <f>IFERROR(IF(('Loading-drum,tote'!$C$21)="No control",SUMIF(('Loading-drum,tote'!$B$31:$B$48),$J48,('Loading-drum,tote'!$D$31:$D$48))*Impacts!$F$13,IF(('Loading-drum,tote'!$C$21)&lt;&gt;"No control",SUMIF(('Loading-drum,tote'!$B$31:$B$48),$J48,('Loading-drum,tote'!$E$31:$E$48))*Impacts!$F$13,0)),0)</f>
        <v>0</v>
      </c>
      <c r="R48" s="10">
        <f>IFERROR(IF(('Loading-truck'!$C$21)="No control",SUMIF(('Loading-truck'!$B$31:$B$48),$J48,('Loading-truck'!$D$31:$D$48))*Impacts!$F$14,IF(('Loading-truck'!$C$21)&lt;&gt;"No control",SUMIF(('Loading-truck'!$B$31:$B$48),$J48,('Loading-truck'!$E$31:$E$48))*Impacts!$F$14,0)),0)</f>
        <v>0</v>
      </c>
      <c r="S48" s="10">
        <f>IFERROR(IF(('Loading-rail'!$C$21)="No control",SUMIF(('Loading-rail'!$B$31:$B$48),$J48,('Loading-rail'!$D$31:$D$48))*Impacts!$F$15,IF(('Loading-rail'!$C$21)&lt;&gt;"No control",SUMIF(('Loading-rail'!$B$31:$B$48),$J48,('Loading-rail'!$E$31:$E$48))*Impacts!$F$15,0)),0)</f>
        <v>0</v>
      </c>
      <c r="T48" s="10">
        <f>IF(Flare!$C$7="",0,(SUMIF(Flare!$B$46:$B$185,$J48,Flare!$E$46:$E$185)*Impacts!$F$16))</f>
        <v>0</v>
      </c>
      <c r="U48" s="10">
        <f>IF(VCU!$C$9="",0,(SUMIF(VCU!$B$51:$B$193,$J48,VCU!$E$51:$E$193)*Impacts!$F$17))</f>
        <v>0</v>
      </c>
      <c r="V48" s="10">
        <f>IF(CAS!$C$7="",0,(SUMIF(CAS!$B$31:$B$167,$J48,CAS!$E$31:$E$167)*Impacts!$F$18))</f>
        <v>0</v>
      </c>
      <c r="W48" s="10">
        <f t="shared" si="6"/>
        <v>0</v>
      </c>
      <c r="AA48" s="48"/>
      <c r="AB48" s="20"/>
      <c r="AC48" s="10">
        <f>IF(OR(AI48=0,AI48="",ISNUMBER(MATCH(AI48,$AI$1:AI47,0))),0,MAX($AC$1:AC47)+1)</f>
        <v>0</v>
      </c>
      <c r="AD48" s="10">
        <f>IF(OR(AJ48=0,AJ48="",ISNUMBER(MATCH(AJ48,$AJ$1:AJ47,0))),0,MAX($AD$1:AD47)+1)</f>
        <v>0</v>
      </c>
      <c r="AE48" s="10">
        <f>IF(OR(AK48=0,AK48="",ISNUMBER(MATCH(AK48,$AK$1:AK47,0))),0,MAX($AE$1:AE47)+1)</f>
        <v>0</v>
      </c>
      <c r="AF48" s="10">
        <f>IF(OR(AH48=0,ISNUMBER(MATCH(AH48,$AH$1:AH47,0))),0,MAX($AF$1:AF47)+1)</f>
        <v>0</v>
      </c>
      <c r="AG48" s="10">
        <f>Tank3!$C$23</f>
        <v>0</v>
      </c>
      <c r="AH48" s="10">
        <f>Tank3!A45</f>
        <v>0</v>
      </c>
      <c r="AI48" s="10" t="str">
        <f t="shared" si="15"/>
        <v/>
      </c>
      <c r="AJ48" s="10" t="str">
        <f t="shared" si="15"/>
        <v/>
      </c>
      <c r="AK48" s="10" t="str">
        <f t="shared" si="15"/>
        <v/>
      </c>
      <c r="AL48" s="17" t="str">
        <f t="shared" si="19"/>
        <v/>
      </c>
      <c r="AM48" s="20" t="str">
        <f t="shared" si="20"/>
        <v/>
      </c>
      <c r="AN48" s="10" t="str">
        <f t="shared" si="21"/>
        <v/>
      </c>
      <c r="AO48" s="17" t="str">
        <f t="shared" si="22"/>
        <v/>
      </c>
      <c r="BE48" s="10"/>
      <c r="BI48" s="10"/>
      <c r="BQ48" s="10" t="s">
        <v>136</v>
      </c>
      <c r="BU48" s="603" t="s">
        <v>266</v>
      </c>
      <c r="BV48" s="607" t="s">
        <v>8369</v>
      </c>
      <c r="BW48" s="607" t="s">
        <v>8709</v>
      </c>
      <c r="BX48" s="607" t="s">
        <v>8710</v>
      </c>
      <c r="BY48" s="607" t="s">
        <v>8711</v>
      </c>
      <c r="BZ48" s="607" t="s">
        <v>8712</v>
      </c>
      <c r="CA48" s="607" t="s">
        <v>8647</v>
      </c>
      <c r="CB48" s="607" t="s">
        <v>8648</v>
      </c>
      <c r="CC48" s="607" t="s">
        <v>8649</v>
      </c>
      <c r="CD48" s="607" t="s">
        <v>267</v>
      </c>
      <c r="CE48" s="607" t="s">
        <v>272</v>
      </c>
      <c r="CF48" s="607" t="s">
        <v>271</v>
      </c>
      <c r="CG48" s="608" t="s">
        <v>1</v>
      </c>
    </row>
    <row r="49" spans="1:91" ht="21" customHeight="1" x14ac:dyDescent="0.25">
      <c r="A49" s="10"/>
      <c r="B49" s="16" t="s">
        <v>57</v>
      </c>
      <c r="C49" s="10">
        <v>100</v>
      </c>
      <c r="D49" s="10">
        <v>249</v>
      </c>
      <c r="E49" s="17">
        <v>249</v>
      </c>
      <c r="I49" s="436" t="s">
        <v>4353</v>
      </c>
      <c r="J49" s="26" t="s">
        <v>4352</v>
      </c>
      <c r="K49" s="10">
        <v>4.8000000000000007</v>
      </c>
      <c r="L49" s="73">
        <f>IF(Tank1!$C$23="No control",(SUMIF(Tank1!$B$32:$B$49,$J49,Tank1!$C$32:$C$49)*Impacts!$F$8),0)</f>
        <v>0</v>
      </c>
      <c r="M49" s="10">
        <f>IF(Tank2!$C$23="No control",(SUMIF(Tank2!$B$32:$B$49,$J49,Tank2!$C$32:$C$49)*Impacts!$F$9),0)</f>
        <v>0</v>
      </c>
      <c r="N49" s="10">
        <f>IF(Tank3!$C$23="No control",(SUMIF(Tank3!$B$32:$B$49,$J49,Tank3!$C$32:$C$49)*Impacts!$F$10),0)</f>
        <v>0</v>
      </c>
      <c r="O49" s="10">
        <f>IF(Tank4!$C$23="No control",(SUMIF(Tank4!$B$32:$B$49,$J49,Tank4!$C$32:$C$49)*Impacts!$F$11),0)</f>
        <v>0</v>
      </c>
      <c r="P49" s="10">
        <f>IF(Tank5!$C$23="No control",(SUMIF(Tank5!$B$32:$B$49,$J49,Tank5!$C$32:$C$49)*Impacts!$F$12),0)</f>
        <v>0</v>
      </c>
      <c r="Q49" s="10">
        <f>IFERROR(IF(('Loading-drum,tote'!$C$21)="No control",SUMIF(('Loading-drum,tote'!$B$31:$B$48),$J49,('Loading-drum,tote'!$D$31:$D$48))*Impacts!$F$13,IF(('Loading-drum,tote'!$C$21)&lt;&gt;"No control",SUMIF(('Loading-drum,tote'!$B$31:$B$48),$J49,('Loading-drum,tote'!$E$31:$E$48))*Impacts!$F$13,0)),0)</f>
        <v>0</v>
      </c>
      <c r="R49" s="10">
        <f>IFERROR(IF(('Loading-truck'!$C$21)="No control",SUMIF(('Loading-truck'!$B$31:$B$48),$J49,('Loading-truck'!$D$31:$D$48))*Impacts!$F$14,IF(('Loading-truck'!$C$21)&lt;&gt;"No control",SUMIF(('Loading-truck'!$B$31:$B$48),$J49,('Loading-truck'!$E$31:$E$48))*Impacts!$F$14,0)),0)</f>
        <v>0</v>
      </c>
      <c r="S49" s="10">
        <f>IFERROR(IF(('Loading-rail'!$C$21)="No control",SUMIF(('Loading-rail'!$B$31:$B$48),$J49,('Loading-rail'!$D$31:$D$48))*Impacts!$F$15,IF(('Loading-rail'!$C$21)&lt;&gt;"No control",SUMIF(('Loading-rail'!$B$31:$B$48),$J49,('Loading-rail'!$E$31:$E$48))*Impacts!$F$15,0)),0)</f>
        <v>0</v>
      </c>
      <c r="T49" s="10">
        <f>IF(Flare!$C$7="",0,(SUMIF(Flare!$B$46:$B$185,$J49,Flare!$E$46:$E$185)*Impacts!$F$16))</f>
        <v>0</v>
      </c>
      <c r="U49" s="10">
        <f>IF(VCU!$C$9="",0,(SUMIF(VCU!$B$51:$B$193,$J49,VCU!$E$51:$E$193)*Impacts!$F$17))</f>
        <v>0</v>
      </c>
      <c r="V49" s="10">
        <f>IF(CAS!$C$7="",0,(SUMIF(CAS!$B$31:$B$167,$J49,CAS!$E$31:$E$167)*Impacts!$F$18))</f>
        <v>0</v>
      </c>
      <c r="W49" s="10">
        <f t="shared" si="6"/>
        <v>0</v>
      </c>
      <c r="AA49" s="48"/>
      <c r="AB49" s="20"/>
      <c r="AC49" s="10">
        <f>IF(OR(AI49=0,AI49="",ISNUMBER(MATCH(AI49,$AI$1:AI48,0))),0,MAX($AC$1:AC48)+1)</f>
        <v>0</v>
      </c>
      <c r="AD49" s="10">
        <f>IF(OR(AJ49=0,AJ49="",ISNUMBER(MATCH(AJ49,$AJ$1:AJ48,0))),0,MAX($AD$1:AD48)+1)</f>
        <v>0</v>
      </c>
      <c r="AE49" s="10">
        <f>IF(OR(AK49=0,AK49="",ISNUMBER(MATCH(AK49,$AK$1:AK48,0))),0,MAX($AE$1:AE48)+1)</f>
        <v>0</v>
      </c>
      <c r="AF49" s="10">
        <f>IF(OR(AH49=0,ISNUMBER(MATCH(AH49,$AH$1:AH48,0))),0,MAX($AF$1:AF48)+1)</f>
        <v>0</v>
      </c>
      <c r="AG49" s="10">
        <f>Tank3!$C$23</f>
        <v>0</v>
      </c>
      <c r="AH49" s="10">
        <f>Tank3!A46</f>
        <v>0</v>
      </c>
      <c r="AI49" s="10" t="str">
        <f t="shared" si="15"/>
        <v/>
      </c>
      <c r="AJ49" s="10" t="str">
        <f t="shared" si="15"/>
        <v/>
      </c>
      <c r="AK49" s="10" t="str">
        <f t="shared" si="15"/>
        <v/>
      </c>
      <c r="AL49" s="17" t="str">
        <f t="shared" si="19"/>
        <v/>
      </c>
      <c r="AM49" s="20" t="str">
        <f t="shared" si="20"/>
        <v/>
      </c>
      <c r="AN49" s="10" t="str">
        <f t="shared" si="21"/>
        <v/>
      </c>
      <c r="AO49" s="17" t="str">
        <f t="shared" si="22"/>
        <v/>
      </c>
      <c r="BE49" s="10"/>
      <c r="BI49" s="10"/>
      <c r="BQ49" s="10" t="s">
        <v>138</v>
      </c>
      <c r="BU49" s="604" t="s">
        <v>10135</v>
      </c>
      <c r="BV49" s="626" t="b">
        <f>Tank1!$C$6="Affected"</f>
        <v>0</v>
      </c>
      <c r="BW49" s="626" t="b">
        <f>Tank2!$C$6="Affected"</f>
        <v>0</v>
      </c>
      <c r="BX49" s="626" t="b">
        <f>Tank3!$C$6="Affected"</f>
        <v>0</v>
      </c>
      <c r="BY49" s="626" t="b">
        <f>Tank4!$C$6="Affected"</f>
        <v>0</v>
      </c>
      <c r="BZ49" s="626" t="b">
        <f>Tank5!$C$6="Affected"</f>
        <v>0</v>
      </c>
      <c r="CA49" s="626" t="b">
        <f>'Loading-drum,tote'!$C$6="Affected"</f>
        <v>0</v>
      </c>
      <c r="CB49" s="626" t="b">
        <f>'Loading-truck'!$C$6="Affected"</f>
        <v>0</v>
      </c>
      <c r="CC49" s="627" t="b">
        <f>'Loading-rail'!$C$6="Affected"</f>
        <v>0</v>
      </c>
      <c r="CD49" s="626" t="b">
        <f>Flare!$C$6="Affected"</f>
        <v>0</v>
      </c>
      <c r="CE49" s="626" t="b">
        <f>VCU!$C$8="Affected"</f>
        <v>0</v>
      </c>
      <c r="CF49" s="626" t="b">
        <f>CAS!$C$6="Affected"</f>
        <v>0</v>
      </c>
      <c r="CG49" s="639"/>
    </row>
    <row r="50" spans="1:91" ht="21" customHeight="1" x14ac:dyDescent="0.25">
      <c r="A50" s="10"/>
      <c r="B50" s="16" t="s">
        <v>58</v>
      </c>
      <c r="C50" s="10">
        <v>100</v>
      </c>
      <c r="D50" s="10">
        <v>249</v>
      </c>
      <c r="E50" s="17">
        <v>249</v>
      </c>
      <c r="I50" s="436" t="s">
        <v>2671</v>
      </c>
      <c r="J50" s="26" t="s">
        <v>2670</v>
      </c>
      <c r="K50" s="10">
        <v>10</v>
      </c>
      <c r="L50" s="73">
        <f>IF(Tank1!$C$23="No control",(SUMIF(Tank1!$B$32:$B$49,$J50,Tank1!$C$32:$C$49)*Impacts!$F$8),0)</f>
        <v>0</v>
      </c>
      <c r="M50" s="10">
        <f>IF(Tank2!$C$23="No control",(SUMIF(Tank2!$B$32:$B$49,$J50,Tank2!$C$32:$C$49)*Impacts!$F$9),0)</f>
        <v>0</v>
      </c>
      <c r="N50" s="10">
        <f>IF(Tank3!$C$23="No control",(SUMIF(Tank3!$B$32:$B$49,$J50,Tank3!$C$32:$C$49)*Impacts!$F$10),0)</f>
        <v>0</v>
      </c>
      <c r="O50" s="10">
        <f>IF(Tank4!$C$23="No control",(SUMIF(Tank4!$B$32:$B$49,$J50,Tank4!$C$32:$C$49)*Impacts!$F$11),0)</f>
        <v>0</v>
      </c>
      <c r="P50" s="10">
        <f>IF(Tank5!$C$23="No control",(SUMIF(Tank5!$B$32:$B$49,$J50,Tank5!$C$32:$C$49)*Impacts!$F$12),0)</f>
        <v>0</v>
      </c>
      <c r="Q50" s="10">
        <f>IFERROR(IF(('Loading-drum,tote'!$C$21)="No control",SUMIF(('Loading-drum,tote'!$B$31:$B$48),$J50,('Loading-drum,tote'!$D$31:$D$48))*Impacts!$F$13,IF(('Loading-drum,tote'!$C$21)&lt;&gt;"No control",SUMIF(('Loading-drum,tote'!$B$31:$B$48),$J50,('Loading-drum,tote'!$E$31:$E$48))*Impacts!$F$13,0)),0)</f>
        <v>0</v>
      </c>
      <c r="R50" s="10">
        <f>IFERROR(IF(('Loading-truck'!$C$21)="No control",SUMIF(('Loading-truck'!$B$31:$B$48),$J50,('Loading-truck'!$D$31:$D$48))*Impacts!$F$14,IF(('Loading-truck'!$C$21)&lt;&gt;"No control",SUMIF(('Loading-truck'!$B$31:$B$48),$J50,('Loading-truck'!$E$31:$E$48))*Impacts!$F$14,0)),0)</f>
        <v>0</v>
      </c>
      <c r="S50" s="10">
        <f>IFERROR(IF(('Loading-rail'!$C$21)="No control",SUMIF(('Loading-rail'!$B$31:$B$48),$J50,('Loading-rail'!$D$31:$D$48))*Impacts!$F$15,IF(('Loading-rail'!$C$21)&lt;&gt;"No control",SUMIF(('Loading-rail'!$B$31:$B$48),$J50,('Loading-rail'!$E$31:$E$48))*Impacts!$F$15,0)),0)</f>
        <v>0</v>
      </c>
      <c r="T50" s="10">
        <f>IF(Flare!$C$7="",0,(SUMIF(Flare!$B$46:$B$185,$J50,Flare!$E$46:$E$185)*Impacts!$F$16))</f>
        <v>0</v>
      </c>
      <c r="U50" s="10">
        <f>IF(VCU!$C$9="",0,(SUMIF(VCU!$B$51:$B$193,$J50,VCU!$E$51:$E$193)*Impacts!$F$17))</f>
        <v>0</v>
      </c>
      <c r="V50" s="10">
        <f>IF(CAS!$C$7="",0,(SUMIF(CAS!$B$31:$B$167,$J50,CAS!$E$31:$E$167)*Impacts!$F$18))</f>
        <v>0</v>
      </c>
      <c r="W50" s="10">
        <f t="shared" si="6"/>
        <v>0</v>
      </c>
      <c r="AA50" s="48"/>
      <c r="AB50" s="20"/>
      <c r="AC50" s="10">
        <f>IF(OR(AI50=0,AI50="",ISNUMBER(MATCH(AI50,$AI$1:AI49,0))),0,MAX($AC$1:AC49)+1)</f>
        <v>0</v>
      </c>
      <c r="AD50" s="10">
        <f>IF(OR(AJ50=0,AJ50="",ISNUMBER(MATCH(AJ50,$AJ$1:AJ49,0))),0,MAX($AD$1:AD49)+1)</f>
        <v>0</v>
      </c>
      <c r="AE50" s="10">
        <f>IF(OR(AK50=0,AK50="",ISNUMBER(MATCH(AK50,$AK$1:AK49,0))),0,MAX($AE$1:AE49)+1)</f>
        <v>0</v>
      </c>
      <c r="AF50" s="10">
        <f>IF(OR(AH50=0,ISNUMBER(MATCH(AH50,$AH$1:AH49,0))),0,MAX($AF$1:AF49)+1)</f>
        <v>0</v>
      </c>
      <c r="AG50" s="10">
        <f>Tank3!$C$23</f>
        <v>0</v>
      </c>
      <c r="AH50" s="10">
        <f>Tank3!A47</f>
        <v>0</v>
      </c>
      <c r="AI50" s="10" t="str">
        <f t="shared" si="15"/>
        <v/>
      </c>
      <c r="AJ50" s="10" t="str">
        <f t="shared" si="15"/>
        <v/>
      </c>
      <c r="AK50" s="10" t="str">
        <f t="shared" si="15"/>
        <v/>
      </c>
      <c r="AL50" s="17" t="str">
        <f t="shared" si="19"/>
        <v/>
      </c>
      <c r="AM50" s="20" t="str">
        <f t="shared" si="20"/>
        <v/>
      </c>
      <c r="AN50" s="10" t="str">
        <f t="shared" si="21"/>
        <v/>
      </c>
      <c r="AO50" s="17" t="str">
        <f t="shared" si="22"/>
        <v/>
      </c>
      <c r="BE50" s="10"/>
      <c r="BI50" s="10"/>
      <c r="BQ50" s="10" t="s">
        <v>139</v>
      </c>
      <c r="BU50" s="625" t="s">
        <v>8495</v>
      </c>
      <c r="BV50" s="626">
        <f>IF(BV$49,EmissionSummary!$F$7,0)</f>
        <v>0</v>
      </c>
      <c r="BW50" s="626">
        <f>IF(BW$49,EmissionSummary!$F$8,0)</f>
        <v>0</v>
      </c>
      <c r="BX50" s="626">
        <f>IF(BX$49,EmissionSummary!$F$9,0)</f>
        <v>0</v>
      </c>
      <c r="BY50" s="626">
        <f>IF(BY$49,EmissionSummary!$F$10,0)</f>
        <v>0</v>
      </c>
      <c r="BZ50" s="626">
        <f>IF(BZ$49,EmissionSummary!$F$11,0)</f>
        <v>0</v>
      </c>
      <c r="CA50" s="626">
        <f>IF(CA$49,EmissionSummary!$F$12,0)</f>
        <v>0</v>
      </c>
      <c r="CB50" s="626">
        <f>IF(CB$49,EmissionSummary!$F$13,0)</f>
        <v>0</v>
      </c>
      <c r="CC50" s="626">
        <f>IF(CC$49,EmissionSummary!$F$14,0)</f>
        <v>0</v>
      </c>
      <c r="CD50" s="626">
        <f>IF(CD$49,EmissionSummary!$F$15,0)</f>
        <v>0</v>
      </c>
      <c r="CE50" s="626">
        <f>IF(CE$49,EmissionSummary!$F$16,0)</f>
        <v>0</v>
      </c>
      <c r="CF50" s="626">
        <f>IF(CF$49,EmissionSummary!$F$17,0)</f>
        <v>0</v>
      </c>
      <c r="CG50" s="640">
        <f t="shared" ref="CG50:CG58" si="24">SUM(BV50:CF50)</f>
        <v>0</v>
      </c>
    </row>
    <row r="51" spans="1:91" ht="21" customHeight="1" x14ac:dyDescent="0.25">
      <c r="A51" s="10"/>
      <c r="B51" s="16" t="s">
        <v>59</v>
      </c>
      <c r="C51" s="10">
        <v>100</v>
      </c>
      <c r="D51" s="10">
        <v>249</v>
      </c>
      <c r="E51" s="17">
        <v>249</v>
      </c>
      <c r="I51" s="436" t="s">
        <v>3491</v>
      </c>
      <c r="J51" s="26" t="s">
        <v>3490</v>
      </c>
      <c r="K51" s="10">
        <v>9.2000000000000011</v>
      </c>
      <c r="L51" s="73">
        <f>IF(Tank1!$C$23="No control",(SUMIF(Tank1!$B$32:$B$49,$J51,Tank1!$C$32:$C$49)*Impacts!$F$8),0)</f>
        <v>0</v>
      </c>
      <c r="M51" s="10">
        <f>IF(Tank2!$C$23="No control",(SUMIF(Tank2!$B$32:$B$49,$J51,Tank2!$C$32:$C$49)*Impacts!$F$9),0)</f>
        <v>0</v>
      </c>
      <c r="N51" s="10">
        <f>IF(Tank3!$C$23="No control",(SUMIF(Tank3!$B$32:$B$49,$J51,Tank3!$C$32:$C$49)*Impacts!$F$10),0)</f>
        <v>0</v>
      </c>
      <c r="O51" s="10">
        <f>IF(Tank4!$C$23="No control",(SUMIF(Tank4!$B$32:$B$49,$J51,Tank4!$C$32:$C$49)*Impacts!$F$11),0)</f>
        <v>0</v>
      </c>
      <c r="P51" s="10">
        <f>IF(Tank5!$C$23="No control",(SUMIF(Tank5!$B$32:$B$49,$J51,Tank5!$C$32:$C$49)*Impacts!$F$12),0)</f>
        <v>0</v>
      </c>
      <c r="Q51" s="10">
        <f>IFERROR(IF(('Loading-drum,tote'!$C$21)="No control",SUMIF(('Loading-drum,tote'!$B$31:$B$48),$J51,('Loading-drum,tote'!$D$31:$D$48))*Impacts!$F$13,IF(('Loading-drum,tote'!$C$21)&lt;&gt;"No control",SUMIF(('Loading-drum,tote'!$B$31:$B$48),$J51,('Loading-drum,tote'!$E$31:$E$48))*Impacts!$F$13,0)),0)</f>
        <v>0</v>
      </c>
      <c r="R51" s="10">
        <f>IFERROR(IF(('Loading-truck'!$C$21)="No control",SUMIF(('Loading-truck'!$B$31:$B$48),$J51,('Loading-truck'!$D$31:$D$48))*Impacts!$F$14,IF(('Loading-truck'!$C$21)&lt;&gt;"No control",SUMIF(('Loading-truck'!$B$31:$B$48),$J51,('Loading-truck'!$E$31:$E$48))*Impacts!$F$14,0)),0)</f>
        <v>0</v>
      </c>
      <c r="S51" s="10">
        <f>IFERROR(IF(('Loading-rail'!$C$21)="No control",SUMIF(('Loading-rail'!$B$31:$B$48),$J51,('Loading-rail'!$D$31:$D$48))*Impacts!$F$15,IF(('Loading-rail'!$C$21)&lt;&gt;"No control",SUMIF(('Loading-rail'!$B$31:$B$48),$J51,('Loading-rail'!$E$31:$E$48))*Impacts!$F$15,0)),0)</f>
        <v>0</v>
      </c>
      <c r="T51" s="10">
        <f>IF(Flare!$C$7="",0,(SUMIF(Flare!$B$46:$B$185,$J51,Flare!$E$46:$E$185)*Impacts!$F$16))</f>
        <v>0</v>
      </c>
      <c r="U51" s="10">
        <f>IF(VCU!$C$9="",0,(SUMIF(VCU!$B$51:$B$193,$J51,VCU!$E$51:$E$193)*Impacts!$F$17))</f>
        <v>0</v>
      </c>
      <c r="V51" s="10">
        <f>IF(CAS!$C$7="",0,(SUMIF(CAS!$B$31:$B$167,$J51,CAS!$E$31:$E$167)*Impacts!$F$18))</f>
        <v>0</v>
      </c>
      <c r="W51" s="10">
        <f t="shared" si="6"/>
        <v>0</v>
      </c>
      <c r="AA51" s="48"/>
      <c r="AB51" s="20"/>
      <c r="AC51" s="10">
        <f>IF(OR(AI51=0,AI51="",ISNUMBER(MATCH(AI51,$AI$1:AI50,0))),0,MAX($AC$1:AC50)+1)</f>
        <v>0</v>
      </c>
      <c r="AD51" s="10">
        <f>IF(OR(AJ51=0,AJ51="",ISNUMBER(MATCH(AJ51,$AJ$1:AJ50,0))),0,MAX($AD$1:AD50)+1)</f>
        <v>0</v>
      </c>
      <c r="AE51" s="10">
        <f>IF(OR(AK51=0,AK51="",ISNUMBER(MATCH(AK51,$AK$1:AK50,0))),0,MAX($AE$1:AE50)+1)</f>
        <v>0</v>
      </c>
      <c r="AF51" s="10">
        <f>IF(OR(AH51=0,ISNUMBER(MATCH(AH51,$AH$1:AH50,0))),0,MAX($AF$1:AF50)+1)</f>
        <v>0</v>
      </c>
      <c r="AG51" s="10">
        <f>Tank3!$C$23</f>
        <v>0</v>
      </c>
      <c r="AH51" s="10">
        <f>Tank3!A48</f>
        <v>0</v>
      </c>
      <c r="AI51" s="10" t="str">
        <f t="shared" si="15"/>
        <v/>
      </c>
      <c r="AJ51" s="10" t="str">
        <f t="shared" si="15"/>
        <v/>
      </c>
      <c r="AK51" s="10" t="str">
        <f t="shared" si="15"/>
        <v/>
      </c>
      <c r="AL51" s="17" t="str">
        <f t="shared" si="19"/>
        <v/>
      </c>
      <c r="AM51" s="20" t="str">
        <f t="shared" si="20"/>
        <v/>
      </c>
      <c r="AN51" s="10" t="str">
        <f t="shared" si="21"/>
        <v/>
      </c>
      <c r="AO51" s="17" t="str">
        <f t="shared" si="22"/>
        <v/>
      </c>
      <c r="BE51" s="10"/>
      <c r="BI51" s="10"/>
      <c r="BQ51" s="10" t="s">
        <v>149</v>
      </c>
      <c r="BU51" s="625" t="s">
        <v>8703</v>
      </c>
      <c r="BV51" s="626">
        <f>IF(BV$49,EmissionSummary!$D$7,0)</f>
        <v>0</v>
      </c>
      <c r="BW51" s="626">
        <f>IF(BW$49,EmissionSummary!$D$8,0)</f>
        <v>0</v>
      </c>
      <c r="BX51" s="626">
        <f>IF(BX$49,EmissionSummary!$D$9,0)</f>
        <v>0</v>
      </c>
      <c r="BY51" s="626">
        <f>IF(BY$49,EmissionSummary!$D$10,0)</f>
        <v>0</v>
      </c>
      <c r="BZ51" s="626">
        <f>IF(BZ$49,EmissionSummary!$D$11,0)</f>
        <v>0</v>
      </c>
      <c r="CA51" s="626">
        <f>IF(CA$49,EmissionSummary!$D$12,0)</f>
        <v>0</v>
      </c>
      <c r="CB51" s="626">
        <f>IF(CB$49,EmissionSummary!$D$13,0)</f>
        <v>0</v>
      </c>
      <c r="CC51" s="626">
        <f>IF(CC$49,EmissionSummary!$D$14,0)</f>
        <v>0</v>
      </c>
      <c r="CD51" s="626">
        <f>IF(CD$49,EmissionSummary!$D$15,0)</f>
        <v>0</v>
      </c>
      <c r="CE51" s="626">
        <f>IF(CE$49,EmissionSummary!$D$16,0)</f>
        <v>0</v>
      </c>
      <c r="CF51" s="626">
        <f>IF(CF$49,EmissionSummary!$D$17,0)</f>
        <v>0</v>
      </c>
      <c r="CG51" s="640">
        <f t="shared" si="24"/>
        <v>0</v>
      </c>
    </row>
    <row r="52" spans="1:91" ht="21" customHeight="1" x14ac:dyDescent="0.25">
      <c r="A52" s="10"/>
      <c r="B52" s="16" t="s">
        <v>60</v>
      </c>
      <c r="C52" s="10">
        <v>100</v>
      </c>
      <c r="D52" s="10">
        <v>249</v>
      </c>
      <c r="E52" s="17">
        <v>249</v>
      </c>
      <c r="I52" s="436" t="s">
        <v>5632</v>
      </c>
      <c r="J52" s="26" t="s">
        <v>5631</v>
      </c>
      <c r="K52" s="10">
        <v>1</v>
      </c>
      <c r="L52" s="73">
        <f>IF(Tank1!$C$23="No control",(SUMIF(Tank1!$B$32:$B$49,$J52,Tank1!$C$32:$C$49)*Impacts!$F$8),0)</f>
        <v>0</v>
      </c>
      <c r="M52" s="10">
        <f>IF(Tank2!$C$23="No control",(SUMIF(Tank2!$B$32:$B$49,$J52,Tank2!$C$32:$C$49)*Impacts!$F$9),0)</f>
        <v>0</v>
      </c>
      <c r="N52" s="10">
        <f>IF(Tank3!$C$23="No control",(SUMIF(Tank3!$B$32:$B$49,$J52,Tank3!$C$32:$C$49)*Impacts!$F$10),0)</f>
        <v>0</v>
      </c>
      <c r="O52" s="10">
        <f>IF(Tank4!$C$23="No control",(SUMIF(Tank4!$B$32:$B$49,$J52,Tank4!$C$32:$C$49)*Impacts!$F$11),0)</f>
        <v>0</v>
      </c>
      <c r="P52" s="10">
        <f>IF(Tank5!$C$23="No control",(SUMIF(Tank5!$B$32:$B$49,$J52,Tank5!$C$32:$C$49)*Impacts!$F$12),0)</f>
        <v>0</v>
      </c>
      <c r="Q52" s="10">
        <f>IFERROR(IF(('Loading-drum,tote'!$C$21)="No control",SUMIF(('Loading-drum,tote'!$B$31:$B$48),$J52,('Loading-drum,tote'!$D$31:$D$48))*Impacts!$F$13,IF(('Loading-drum,tote'!$C$21)&lt;&gt;"No control",SUMIF(('Loading-drum,tote'!$B$31:$B$48),$J52,('Loading-drum,tote'!$E$31:$E$48))*Impacts!$F$13,0)),0)</f>
        <v>0</v>
      </c>
      <c r="R52" s="10">
        <f>IFERROR(IF(('Loading-truck'!$C$21)="No control",SUMIF(('Loading-truck'!$B$31:$B$48),$J52,('Loading-truck'!$D$31:$D$48))*Impacts!$F$14,IF(('Loading-truck'!$C$21)&lt;&gt;"No control",SUMIF(('Loading-truck'!$B$31:$B$48),$J52,('Loading-truck'!$E$31:$E$48))*Impacts!$F$14,0)),0)</f>
        <v>0</v>
      </c>
      <c r="S52" s="10">
        <f>IFERROR(IF(('Loading-rail'!$C$21)="No control",SUMIF(('Loading-rail'!$B$31:$B$48),$J52,('Loading-rail'!$D$31:$D$48))*Impacts!$F$15,IF(('Loading-rail'!$C$21)&lt;&gt;"No control",SUMIF(('Loading-rail'!$B$31:$B$48),$J52,('Loading-rail'!$E$31:$E$48))*Impacts!$F$15,0)),0)</f>
        <v>0</v>
      </c>
      <c r="T52" s="10">
        <f>IF(Flare!$C$7="",0,(SUMIF(Flare!$B$46:$B$185,$J52,Flare!$E$46:$E$185)*Impacts!$F$16))</f>
        <v>0</v>
      </c>
      <c r="U52" s="10">
        <f>IF(VCU!$C$9="",0,(SUMIF(VCU!$B$51:$B$193,$J52,VCU!$E$51:$E$193)*Impacts!$F$17))</f>
        <v>0</v>
      </c>
      <c r="V52" s="10">
        <f>IF(CAS!$C$7="",0,(SUMIF(CAS!$B$31:$B$167,$J52,CAS!$E$31:$E$167)*Impacts!$F$18))</f>
        <v>0</v>
      </c>
      <c r="W52" s="10">
        <f t="shared" si="6"/>
        <v>0</v>
      </c>
      <c r="AA52" s="48"/>
      <c r="AB52" s="20"/>
      <c r="AC52" s="10">
        <f>IF(OR(AI52=0,AI52="",ISNUMBER(MATCH(AI52,$AI$1:AI51,0))),0,MAX($AC$1:AC51)+1)</f>
        <v>0</v>
      </c>
      <c r="AD52" s="10">
        <f>IF(OR(AJ52=0,AJ52="",ISNUMBER(MATCH(AJ52,$AJ$1:AJ51,0))),0,MAX($AD$1:AD51)+1)</f>
        <v>0</v>
      </c>
      <c r="AE52" s="10">
        <f>IF(OR(AK52=0,AK52="",ISNUMBER(MATCH(AK52,$AK$1:AK51,0))),0,MAX($AE$1:AE51)+1)</f>
        <v>0</v>
      </c>
      <c r="AF52" s="10">
        <f>IF(OR(AH52=0,ISNUMBER(MATCH(AH52,$AH$1:AH51,0))),0,MAX($AF$1:AF51)+1)</f>
        <v>0</v>
      </c>
      <c r="AG52" s="10">
        <f>Tank3!$C$23</f>
        <v>0</v>
      </c>
      <c r="AH52" s="10">
        <f>Tank3!A49</f>
        <v>0</v>
      </c>
      <c r="AI52" s="10" t="str">
        <f t="shared" si="15"/>
        <v/>
      </c>
      <c r="AJ52" s="10" t="str">
        <f t="shared" si="15"/>
        <v/>
      </c>
      <c r="AK52" s="10" t="str">
        <f t="shared" si="15"/>
        <v/>
      </c>
      <c r="AL52" s="17" t="str">
        <f t="shared" si="19"/>
        <v/>
      </c>
      <c r="AM52" s="20" t="str">
        <f t="shared" si="20"/>
        <v/>
      </c>
      <c r="AN52" s="10" t="str">
        <f t="shared" si="21"/>
        <v/>
      </c>
      <c r="AO52" s="17" t="str">
        <f t="shared" si="22"/>
        <v/>
      </c>
      <c r="BE52" s="10"/>
      <c r="BI52" s="10"/>
      <c r="BQ52" s="10" t="s">
        <v>153</v>
      </c>
      <c r="BU52" s="625" t="s">
        <v>8491</v>
      </c>
      <c r="BV52" s="626">
        <f>IF(BV$49,EmissionSummary!$H$7,0)</f>
        <v>0</v>
      </c>
      <c r="BW52" s="626">
        <f>IF(BW$49,EmissionSummary!$H$8,0)</f>
        <v>0</v>
      </c>
      <c r="BX52" s="626">
        <f>IF(BX$49,EmissionSummary!$H$9,0)</f>
        <v>0</v>
      </c>
      <c r="BY52" s="626">
        <f>IF(BY$49,EmissionSummary!$H$10,0)</f>
        <v>0</v>
      </c>
      <c r="BZ52" s="626">
        <f>IF(BZ$49,EmissionSummary!$H$11,0)</f>
        <v>0</v>
      </c>
      <c r="CA52" s="626">
        <f>IF(CA$49,EmissionSummary!$H$12,0)</f>
        <v>0</v>
      </c>
      <c r="CB52" s="626">
        <f>IF(CB$49,EmissionSummary!$H$13,0)</f>
        <v>0</v>
      </c>
      <c r="CC52" s="626">
        <f>IF(CC$49,EmissionSummary!$H$14,0)</f>
        <v>0</v>
      </c>
      <c r="CD52" s="626">
        <f>IF(CD$49,EmissionSummary!$H$15,0)</f>
        <v>0</v>
      </c>
      <c r="CE52" s="626">
        <f>IF(CE$49,EmissionSummary!$H$16,0)</f>
        <v>0</v>
      </c>
      <c r="CF52" s="626">
        <f>IF(CF$49,EmissionSummary!$H$17,0)</f>
        <v>0</v>
      </c>
      <c r="CG52" s="640">
        <f t="shared" si="24"/>
        <v>0</v>
      </c>
    </row>
    <row r="53" spans="1:91" ht="21" customHeight="1" x14ac:dyDescent="0.25">
      <c r="A53" s="10"/>
      <c r="B53" s="16" t="s">
        <v>61</v>
      </c>
      <c r="C53" s="10">
        <v>100</v>
      </c>
      <c r="D53" s="10">
        <v>249</v>
      </c>
      <c r="E53" s="17">
        <v>249</v>
      </c>
      <c r="I53" s="436" t="s">
        <v>5309</v>
      </c>
      <c r="J53" s="26" t="s">
        <v>5308</v>
      </c>
      <c r="K53" s="10">
        <v>1.7000000000000002</v>
      </c>
      <c r="L53" s="73">
        <f>IF(Tank1!$C$23="No control",(SUMIF(Tank1!$B$32:$B$49,$J53,Tank1!$C$32:$C$49)*Impacts!$F$8),0)</f>
        <v>0</v>
      </c>
      <c r="M53" s="10">
        <f>IF(Tank2!$C$23="No control",(SUMIF(Tank2!$B$32:$B$49,$J53,Tank2!$C$32:$C$49)*Impacts!$F$9),0)</f>
        <v>0</v>
      </c>
      <c r="N53" s="10">
        <f>IF(Tank3!$C$23="No control",(SUMIF(Tank3!$B$32:$B$49,$J53,Tank3!$C$32:$C$49)*Impacts!$F$10),0)</f>
        <v>0</v>
      </c>
      <c r="O53" s="10">
        <f>IF(Tank4!$C$23="No control",(SUMIF(Tank4!$B$32:$B$49,$J53,Tank4!$C$32:$C$49)*Impacts!$F$11),0)</f>
        <v>0</v>
      </c>
      <c r="P53" s="10">
        <f>IF(Tank5!$C$23="No control",(SUMIF(Tank5!$B$32:$B$49,$J53,Tank5!$C$32:$C$49)*Impacts!$F$12),0)</f>
        <v>0</v>
      </c>
      <c r="Q53" s="10">
        <f>IFERROR(IF(('Loading-drum,tote'!$C$21)="No control",SUMIF(('Loading-drum,tote'!$B$31:$B$48),$J53,('Loading-drum,tote'!$D$31:$D$48))*Impacts!$F$13,IF(('Loading-drum,tote'!$C$21)&lt;&gt;"No control",SUMIF(('Loading-drum,tote'!$B$31:$B$48),$J53,('Loading-drum,tote'!$E$31:$E$48))*Impacts!$F$13,0)),0)</f>
        <v>0</v>
      </c>
      <c r="R53" s="10">
        <f>IFERROR(IF(('Loading-truck'!$C$21)="No control",SUMIF(('Loading-truck'!$B$31:$B$48),$J53,('Loading-truck'!$D$31:$D$48))*Impacts!$F$14,IF(('Loading-truck'!$C$21)&lt;&gt;"No control",SUMIF(('Loading-truck'!$B$31:$B$48),$J53,('Loading-truck'!$E$31:$E$48))*Impacts!$F$14,0)),0)</f>
        <v>0</v>
      </c>
      <c r="S53" s="10">
        <f>IFERROR(IF(('Loading-rail'!$C$21)="No control",SUMIF(('Loading-rail'!$B$31:$B$48),$J53,('Loading-rail'!$D$31:$D$48))*Impacts!$F$15,IF(('Loading-rail'!$C$21)&lt;&gt;"No control",SUMIF(('Loading-rail'!$B$31:$B$48),$J53,('Loading-rail'!$E$31:$E$48))*Impacts!$F$15,0)),0)</f>
        <v>0</v>
      </c>
      <c r="T53" s="10">
        <f>IF(Flare!$C$7="",0,(SUMIF(Flare!$B$46:$B$185,$J53,Flare!$E$46:$E$185)*Impacts!$F$16))</f>
        <v>0</v>
      </c>
      <c r="U53" s="10">
        <f>IF(VCU!$C$9="",0,(SUMIF(VCU!$B$51:$B$193,$J53,VCU!$E$51:$E$193)*Impacts!$F$17))</f>
        <v>0</v>
      </c>
      <c r="V53" s="10">
        <f>IF(CAS!$C$7="",0,(SUMIF(CAS!$B$31:$B$167,$J53,CAS!$E$31:$E$167)*Impacts!$F$18))</f>
        <v>0</v>
      </c>
      <c r="W53" s="10">
        <f t="shared" si="6"/>
        <v>0</v>
      </c>
      <c r="AA53" s="48"/>
      <c r="AB53" s="75" t="s">
        <v>8361</v>
      </c>
      <c r="AC53" s="101">
        <f>IF(OR(AI53=0,AI53="",ISNUMBER(MATCH(AI53,$AI$1:AI52,0))),0,MAX($AC$1:AC52)+1)</f>
        <v>0</v>
      </c>
      <c r="AD53" s="101">
        <f>IF(OR(AJ53=0,AJ53="",ISNUMBER(MATCH(AJ53,$AJ$1:AJ52,0))),0,MAX($AD$1:AD52)+1)</f>
        <v>0</v>
      </c>
      <c r="AE53" s="101">
        <f>IF(OR(AK53=0,AK53="",ISNUMBER(MATCH(AK53,$AK$1:AK52,0))),0,MAX($AE$1:AE52)+1)</f>
        <v>0</v>
      </c>
      <c r="AF53" s="101">
        <f>IF(OR(AH53=0,ISNUMBER(MATCH(AH53,$AH$1:AH52,0))),0,MAX($AF$1:AF52)+1)</f>
        <v>0</v>
      </c>
      <c r="AG53" s="101">
        <f>Tank4!$C$23</f>
        <v>0</v>
      </c>
      <c r="AH53" s="102">
        <f>Tank4!A33</f>
        <v>0</v>
      </c>
      <c r="AI53" s="101" t="str">
        <f t="shared" si="15"/>
        <v/>
      </c>
      <c r="AJ53" s="101" t="str">
        <f t="shared" si="15"/>
        <v/>
      </c>
      <c r="AK53" s="101" t="str">
        <f t="shared" si="15"/>
        <v/>
      </c>
      <c r="AL53" s="103" t="str">
        <f t="shared" si="19"/>
        <v/>
      </c>
      <c r="AM53" s="20" t="str">
        <f t="shared" si="20"/>
        <v/>
      </c>
      <c r="AN53" s="10" t="str">
        <f t="shared" si="21"/>
        <v/>
      </c>
      <c r="AO53" s="17" t="str">
        <f t="shared" si="22"/>
        <v/>
      </c>
      <c r="BE53" s="10"/>
      <c r="BI53" s="10"/>
      <c r="BQ53" s="10" t="s">
        <v>154</v>
      </c>
      <c r="BU53" s="625" t="s">
        <v>8944</v>
      </c>
      <c r="BV53" s="626">
        <f>IF(BV$49,EmissionSummary!$J$7,0)</f>
        <v>0</v>
      </c>
      <c r="BW53" s="626">
        <f>IF(BW$49,EmissionSummary!$J$8,0)</f>
        <v>0</v>
      </c>
      <c r="BX53" s="626">
        <f>IF(BX$49,EmissionSummary!$J$9,0)</f>
        <v>0</v>
      </c>
      <c r="BY53" s="626">
        <f>IF(BY$49,EmissionSummary!$J$10,0)</f>
        <v>0</v>
      </c>
      <c r="BZ53" s="626">
        <f>IF(BZ$49,EmissionSummary!$J$11,0)</f>
        <v>0</v>
      </c>
      <c r="CA53" s="626">
        <f>IF(CA$49,EmissionSummary!$J$12,0)</f>
        <v>0</v>
      </c>
      <c r="CB53" s="626">
        <f>IF(CB$49,EmissionSummary!$J$13,0)</f>
        <v>0</v>
      </c>
      <c r="CC53" s="626">
        <f>IF(CC$49,EmissionSummary!$J$14,0)</f>
        <v>0</v>
      </c>
      <c r="CD53" s="626">
        <f>IF(CD$49,EmissionSummary!$J$15,0)</f>
        <v>0</v>
      </c>
      <c r="CE53" s="626">
        <f>IF(CE$49,EmissionSummary!$J$16,0)</f>
        <v>0</v>
      </c>
      <c r="CF53" s="626">
        <f>IF(CF$49,EmissionSummary!$J$17,0)</f>
        <v>0</v>
      </c>
      <c r="CG53" s="640">
        <f t="shared" si="24"/>
        <v>0</v>
      </c>
    </row>
    <row r="54" spans="1:91" ht="21" customHeight="1" x14ac:dyDescent="0.25">
      <c r="A54" s="10"/>
      <c r="B54" s="16" t="s">
        <v>62</v>
      </c>
      <c r="C54" s="10">
        <v>100</v>
      </c>
      <c r="D54" s="10">
        <v>249</v>
      </c>
      <c r="E54" s="17">
        <v>249</v>
      </c>
      <c r="I54" s="436" t="s">
        <v>6700</v>
      </c>
      <c r="J54" s="26" t="s">
        <v>6699</v>
      </c>
      <c r="K54" s="10">
        <v>0.5</v>
      </c>
      <c r="L54" s="73">
        <f>IF(Tank1!$C$23="No control",(SUMIF(Tank1!$B$32:$B$49,$J54,Tank1!$C$32:$C$49)*Impacts!$F$8),0)</f>
        <v>0</v>
      </c>
      <c r="M54" s="10">
        <f>IF(Tank2!$C$23="No control",(SUMIF(Tank2!$B$32:$B$49,$J54,Tank2!$C$32:$C$49)*Impacts!$F$9),0)</f>
        <v>0</v>
      </c>
      <c r="N54" s="10">
        <f>IF(Tank3!$C$23="No control",(SUMIF(Tank3!$B$32:$B$49,$J54,Tank3!$C$32:$C$49)*Impacts!$F$10),0)</f>
        <v>0</v>
      </c>
      <c r="O54" s="10">
        <f>IF(Tank4!$C$23="No control",(SUMIF(Tank4!$B$32:$B$49,$J54,Tank4!$C$32:$C$49)*Impacts!$F$11),0)</f>
        <v>0</v>
      </c>
      <c r="P54" s="10">
        <f>IF(Tank5!$C$23="No control",(SUMIF(Tank5!$B$32:$B$49,$J54,Tank5!$C$32:$C$49)*Impacts!$F$12),0)</f>
        <v>0</v>
      </c>
      <c r="Q54" s="10">
        <f>IFERROR(IF(('Loading-drum,tote'!$C$21)="No control",SUMIF(('Loading-drum,tote'!$B$31:$B$48),$J54,('Loading-drum,tote'!$D$31:$D$48))*Impacts!$F$13,IF(('Loading-drum,tote'!$C$21)&lt;&gt;"No control",SUMIF(('Loading-drum,tote'!$B$31:$B$48),$J54,('Loading-drum,tote'!$E$31:$E$48))*Impacts!$F$13,0)),0)</f>
        <v>0</v>
      </c>
      <c r="R54" s="10">
        <f>IFERROR(IF(('Loading-truck'!$C$21)="No control",SUMIF(('Loading-truck'!$B$31:$B$48),$J54,('Loading-truck'!$D$31:$D$48))*Impacts!$F$14,IF(('Loading-truck'!$C$21)&lt;&gt;"No control",SUMIF(('Loading-truck'!$B$31:$B$48),$J54,('Loading-truck'!$E$31:$E$48))*Impacts!$F$14,0)),0)</f>
        <v>0</v>
      </c>
      <c r="S54" s="10">
        <f>IFERROR(IF(('Loading-rail'!$C$21)="No control",SUMIF(('Loading-rail'!$B$31:$B$48),$J54,('Loading-rail'!$D$31:$D$48))*Impacts!$F$15,IF(('Loading-rail'!$C$21)&lt;&gt;"No control",SUMIF(('Loading-rail'!$B$31:$B$48),$J54,('Loading-rail'!$E$31:$E$48))*Impacts!$F$15,0)),0)</f>
        <v>0</v>
      </c>
      <c r="T54" s="10">
        <f>IF(Flare!$C$7="",0,(SUMIF(Flare!$B$46:$B$185,$J54,Flare!$E$46:$E$185)*Impacts!$F$16))</f>
        <v>0</v>
      </c>
      <c r="U54" s="10">
        <f>IF(VCU!$C$9="",0,(SUMIF(VCU!$B$51:$B$193,$J54,VCU!$E$51:$E$193)*Impacts!$F$17))</f>
        <v>0</v>
      </c>
      <c r="V54" s="10">
        <f>IF(CAS!$C$7="",0,(SUMIF(CAS!$B$31:$B$167,$J54,CAS!$E$31:$E$167)*Impacts!$F$18))</f>
        <v>0</v>
      </c>
      <c r="W54" s="10">
        <f t="shared" si="6"/>
        <v>0</v>
      </c>
      <c r="AA54" s="48"/>
      <c r="AB54" s="20"/>
      <c r="AC54" s="10">
        <f>IF(OR(AI54=0,AI54="",ISNUMBER(MATCH(AI54,$AI$1:AI53,0))),0,MAX($AC$1:AC53)+1)</f>
        <v>0</v>
      </c>
      <c r="AD54" s="10">
        <f>IF(OR(AJ54=0,AJ54="",ISNUMBER(MATCH(AJ54,$AJ$1:AJ53,0))),0,MAX($AD$1:AD53)+1)</f>
        <v>0</v>
      </c>
      <c r="AE54" s="10">
        <f>IF(OR(AK54=0,AK54="",ISNUMBER(MATCH(AK54,$AK$1:AK53,0))),0,MAX($AE$1:AE53)+1)</f>
        <v>0</v>
      </c>
      <c r="AF54" s="10">
        <f>IF(OR(AH54=0,ISNUMBER(MATCH(AH54,$AH$1:AH53,0))),0,MAX($AF$1:AF53)+1)</f>
        <v>0</v>
      </c>
      <c r="AG54" s="10">
        <f>Tank4!$C$23</f>
        <v>0</v>
      </c>
      <c r="AH54" s="45">
        <f>Tank4!A34</f>
        <v>0</v>
      </c>
      <c r="AI54" s="10" t="str">
        <f t="shared" si="15"/>
        <v/>
      </c>
      <c r="AJ54" s="10" t="str">
        <f t="shared" si="15"/>
        <v/>
      </c>
      <c r="AK54" s="10" t="str">
        <f t="shared" si="15"/>
        <v/>
      </c>
      <c r="AL54" s="17" t="str">
        <f t="shared" si="19"/>
        <v/>
      </c>
      <c r="AM54" s="20" t="str">
        <f t="shared" si="20"/>
        <v/>
      </c>
      <c r="AN54" s="10" t="str">
        <f t="shared" si="21"/>
        <v/>
      </c>
      <c r="AO54" s="17" t="str">
        <f t="shared" si="22"/>
        <v/>
      </c>
      <c r="BE54" s="10"/>
      <c r="BI54" s="10"/>
      <c r="BQ54" s="10" t="s">
        <v>155</v>
      </c>
      <c r="BU54" s="625" t="s">
        <v>10105</v>
      </c>
      <c r="BV54" s="626">
        <f>IF(BV$49,EmissionSummary!$L$7,0)</f>
        <v>0</v>
      </c>
      <c r="BW54" s="626">
        <f>IF(BW$49,EmissionSummary!$L$8,0)</f>
        <v>0</v>
      </c>
      <c r="BX54" s="626">
        <f>IF(BX$49,EmissionSummary!$L$9,0)</f>
        <v>0</v>
      </c>
      <c r="BY54" s="626">
        <f>IF(BY$49,EmissionSummary!$L$10,0)</f>
        <v>0</v>
      </c>
      <c r="BZ54" s="626">
        <f>IF(BZ$49,EmissionSummary!$L$11,0)</f>
        <v>0</v>
      </c>
      <c r="CA54" s="626">
        <f>IF(CA$49,EmissionSummary!$L$12,0)</f>
        <v>0</v>
      </c>
      <c r="CB54" s="626">
        <f>IF(CB$49,EmissionSummary!$L$13,0)</f>
        <v>0</v>
      </c>
      <c r="CC54" s="626">
        <f>IF(CC$49,EmissionSummary!$L$14,0)</f>
        <v>0</v>
      </c>
      <c r="CD54" s="626">
        <f>IF(CD$49,EmissionSummary!$L$15,0)</f>
        <v>0</v>
      </c>
      <c r="CE54" s="626">
        <f>IF(CE$49,EmissionSummary!$L$16,0)</f>
        <v>0</v>
      </c>
      <c r="CF54" s="626">
        <f>IF(CF$49,EmissionSummary!$L$17,0)</f>
        <v>0</v>
      </c>
      <c r="CG54" s="640">
        <f t="shared" si="24"/>
        <v>0</v>
      </c>
    </row>
    <row r="55" spans="1:91" ht="21" customHeight="1" x14ac:dyDescent="0.25">
      <c r="A55" s="10"/>
      <c r="B55" s="16" t="s">
        <v>63</v>
      </c>
      <c r="C55" s="10">
        <v>100</v>
      </c>
      <c r="D55" s="10">
        <v>249</v>
      </c>
      <c r="E55" s="17">
        <v>249</v>
      </c>
      <c r="I55" s="436" t="s">
        <v>5634</v>
      </c>
      <c r="J55" s="26" t="s">
        <v>5633</v>
      </c>
      <c r="K55" s="10">
        <v>1</v>
      </c>
      <c r="L55" s="73">
        <f>IF(Tank1!$C$23="No control",(SUMIF(Tank1!$B$32:$B$49,$J55,Tank1!$C$32:$C$49)*Impacts!$F$8),0)</f>
        <v>0</v>
      </c>
      <c r="M55" s="10">
        <f>IF(Tank2!$C$23="No control",(SUMIF(Tank2!$B$32:$B$49,$J55,Tank2!$C$32:$C$49)*Impacts!$F$9),0)</f>
        <v>0</v>
      </c>
      <c r="N55" s="10">
        <f>IF(Tank3!$C$23="No control",(SUMIF(Tank3!$B$32:$B$49,$J55,Tank3!$C$32:$C$49)*Impacts!$F$10),0)</f>
        <v>0</v>
      </c>
      <c r="O55" s="10">
        <f>IF(Tank4!$C$23="No control",(SUMIF(Tank4!$B$32:$B$49,$J55,Tank4!$C$32:$C$49)*Impacts!$F$11),0)</f>
        <v>0</v>
      </c>
      <c r="P55" s="10">
        <f>IF(Tank5!$C$23="No control",(SUMIF(Tank5!$B$32:$B$49,$J55,Tank5!$C$32:$C$49)*Impacts!$F$12),0)</f>
        <v>0</v>
      </c>
      <c r="Q55" s="10">
        <f>IFERROR(IF(('Loading-drum,tote'!$C$21)="No control",SUMIF(('Loading-drum,tote'!$B$31:$B$48),$J55,('Loading-drum,tote'!$D$31:$D$48))*Impacts!$F$13,IF(('Loading-drum,tote'!$C$21)&lt;&gt;"No control",SUMIF(('Loading-drum,tote'!$B$31:$B$48),$J55,('Loading-drum,tote'!$E$31:$E$48))*Impacts!$F$13,0)),0)</f>
        <v>0</v>
      </c>
      <c r="R55" s="10">
        <f>IFERROR(IF(('Loading-truck'!$C$21)="No control",SUMIF(('Loading-truck'!$B$31:$B$48),$J55,('Loading-truck'!$D$31:$D$48))*Impacts!$F$14,IF(('Loading-truck'!$C$21)&lt;&gt;"No control",SUMIF(('Loading-truck'!$B$31:$B$48),$J55,('Loading-truck'!$E$31:$E$48))*Impacts!$F$14,0)),0)</f>
        <v>0</v>
      </c>
      <c r="S55" s="10">
        <f>IFERROR(IF(('Loading-rail'!$C$21)="No control",SUMIF(('Loading-rail'!$B$31:$B$48),$J55,('Loading-rail'!$D$31:$D$48))*Impacts!$F$15,IF(('Loading-rail'!$C$21)&lt;&gt;"No control",SUMIF(('Loading-rail'!$B$31:$B$48),$J55,('Loading-rail'!$E$31:$E$48))*Impacts!$F$15,0)),0)</f>
        <v>0</v>
      </c>
      <c r="T55" s="10">
        <f>IF(Flare!$C$7="",0,(SUMIF(Flare!$B$46:$B$185,$J55,Flare!$E$46:$E$185)*Impacts!$F$16))</f>
        <v>0</v>
      </c>
      <c r="U55" s="10">
        <f>IF(VCU!$C$9="",0,(SUMIF(VCU!$B$51:$B$193,$J55,VCU!$E$51:$E$193)*Impacts!$F$17))</f>
        <v>0</v>
      </c>
      <c r="V55" s="10">
        <f>IF(CAS!$C$7="",0,(SUMIF(CAS!$B$31:$B$167,$J55,CAS!$E$31:$E$167)*Impacts!$F$18))</f>
        <v>0</v>
      </c>
      <c r="W55" s="10">
        <f t="shared" si="6"/>
        <v>0</v>
      </c>
      <c r="AA55" s="48"/>
      <c r="AB55" s="20"/>
      <c r="AC55" s="10">
        <f>IF(OR(AI55=0,AI55="",ISNUMBER(MATCH(AI55,$AI$1:AI54,0))),0,MAX($AC$1:AC54)+1)</f>
        <v>0</v>
      </c>
      <c r="AD55" s="10">
        <f>IF(OR(AJ55=0,AJ55="",ISNUMBER(MATCH(AJ55,$AJ$1:AJ54,0))),0,MAX($AD$1:AD54)+1)</f>
        <v>0</v>
      </c>
      <c r="AE55" s="10">
        <f>IF(OR(AK55=0,AK55="",ISNUMBER(MATCH(AK55,$AK$1:AK54,0))),0,MAX($AE$1:AE54)+1)</f>
        <v>0</v>
      </c>
      <c r="AF55" s="10">
        <f>IF(OR(AH55=0,ISNUMBER(MATCH(AH55,$AH$1:AH54,0))),0,MAX($AF$1:AF54)+1)</f>
        <v>0</v>
      </c>
      <c r="AG55" s="10">
        <f>Tank4!$C$23</f>
        <v>0</v>
      </c>
      <c r="AH55" s="45">
        <f>Tank4!A35</f>
        <v>0</v>
      </c>
      <c r="AI55" s="10" t="str">
        <f t="shared" si="15"/>
        <v/>
      </c>
      <c r="AJ55" s="10" t="str">
        <f t="shared" si="15"/>
        <v/>
      </c>
      <c r="AK55" s="10" t="str">
        <f t="shared" si="15"/>
        <v/>
      </c>
      <c r="AL55" s="17" t="str">
        <f t="shared" si="19"/>
        <v/>
      </c>
      <c r="AM55" s="20" t="str">
        <f t="shared" si="20"/>
        <v/>
      </c>
      <c r="AN55" s="10" t="str">
        <f t="shared" si="21"/>
        <v/>
      </c>
      <c r="AO55" s="17" t="str">
        <f t="shared" si="22"/>
        <v/>
      </c>
      <c r="BE55" s="10"/>
      <c r="BI55" s="10"/>
      <c r="BQ55" s="10" t="s">
        <v>157</v>
      </c>
      <c r="BU55" s="625" t="s">
        <v>8937</v>
      </c>
      <c r="BV55" s="626">
        <f>IF(BV$49,EmissionSummary!$P$7,0)</f>
        <v>0</v>
      </c>
      <c r="BW55" s="626">
        <f>IF(BW$49,EmissionSummary!$P$8,0)</f>
        <v>0</v>
      </c>
      <c r="BX55" s="626">
        <f>IF(BX$49,EmissionSummary!$P$9,0)</f>
        <v>0</v>
      </c>
      <c r="BY55" s="626">
        <f>IF(BY$49,EmissionSummary!$P$10,0)</f>
        <v>0</v>
      </c>
      <c r="BZ55" s="626">
        <f>IF(BZ$49,EmissionSummary!$P$11,0)</f>
        <v>0</v>
      </c>
      <c r="CA55" s="626">
        <f>IF(CA$49,EmissionSummary!$P$12,0)</f>
        <v>0</v>
      </c>
      <c r="CB55" s="626">
        <f>IF(CB$49,EmissionSummary!$P$13,0)</f>
        <v>0</v>
      </c>
      <c r="CC55" s="626">
        <f>IF(CC$49,EmissionSummary!$P$14,0)</f>
        <v>0</v>
      </c>
      <c r="CD55" s="626">
        <f>IF(CD$49,EmissionSummary!$P$15,0)</f>
        <v>0</v>
      </c>
      <c r="CE55" s="626">
        <f>IF(CE$49,EmissionSummary!$P$16,0)</f>
        <v>0</v>
      </c>
      <c r="CF55" s="626">
        <f>IF(CF$49,EmissionSummary!$P$17,0)</f>
        <v>0</v>
      </c>
      <c r="CG55" s="640">
        <f t="shared" si="24"/>
        <v>0</v>
      </c>
    </row>
    <row r="56" spans="1:91" ht="21" customHeight="1" x14ac:dyDescent="0.25">
      <c r="A56" s="10"/>
      <c r="B56" s="16" t="s">
        <v>64</v>
      </c>
      <c r="C56" s="10">
        <v>100</v>
      </c>
      <c r="D56" s="10">
        <v>249</v>
      </c>
      <c r="E56" s="17">
        <v>249</v>
      </c>
      <c r="I56" s="436" t="s">
        <v>4799</v>
      </c>
      <c r="J56" s="26" t="s">
        <v>4798</v>
      </c>
      <c r="K56" s="10">
        <v>3</v>
      </c>
      <c r="L56" s="73">
        <f>IF(Tank1!$C$23="No control",(SUMIF(Tank1!$B$32:$B$49,$J56,Tank1!$C$32:$C$49)*Impacts!$F$8),0)</f>
        <v>0</v>
      </c>
      <c r="M56" s="10">
        <f>IF(Tank2!$C$23="No control",(SUMIF(Tank2!$B$32:$B$49,$J56,Tank2!$C$32:$C$49)*Impacts!$F$9),0)</f>
        <v>0</v>
      </c>
      <c r="N56" s="10">
        <f>IF(Tank3!$C$23="No control",(SUMIF(Tank3!$B$32:$B$49,$J56,Tank3!$C$32:$C$49)*Impacts!$F$10),0)</f>
        <v>0</v>
      </c>
      <c r="O56" s="10">
        <f>IF(Tank4!$C$23="No control",(SUMIF(Tank4!$B$32:$B$49,$J56,Tank4!$C$32:$C$49)*Impacts!$F$11),0)</f>
        <v>0</v>
      </c>
      <c r="P56" s="10">
        <f>IF(Tank5!$C$23="No control",(SUMIF(Tank5!$B$32:$B$49,$J56,Tank5!$C$32:$C$49)*Impacts!$F$12),0)</f>
        <v>0</v>
      </c>
      <c r="Q56" s="10">
        <f>IFERROR(IF(('Loading-drum,tote'!$C$21)="No control",SUMIF(('Loading-drum,tote'!$B$31:$B$48),$J56,('Loading-drum,tote'!$D$31:$D$48))*Impacts!$F$13,IF(('Loading-drum,tote'!$C$21)&lt;&gt;"No control",SUMIF(('Loading-drum,tote'!$B$31:$B$48),$J56,('Loading-drum,tote'!$E$31:$E$48))*Impacts!$F$13,0)),0)</f>
        <v>0</v>
      </c>
      <c r="R56" s="10">
        <f>IFERROR(IF(('Loading-truck'!$C$21)="No control",SUMIF(('Loading-truck'!$B$31:$B$48),$J56,('Loading-truck'!$D$31:$D$48))*Impacts!$F$14,IF(('Loading-truck'!$C$21)&lt;&gt;"No control",SUMIF(('Loading-truck'!$B$31:$B$48),$J56,('Loading-truck'!$E$31:$E$48))*Impacts!$F$14,0)),0)</f>
        <v>0</v>
      </c>
      <c r="S56" s="10">
        <f>IFERROR(IF(('Loading-rail'!$C$21)="No control",SUMIF(('Loading-rail'!$B$31:$B$48),$J56,('Loading-rail'!$D$31:$D$48))*Impacts!$F$15,IF(('Loading-rail'!$C$21)&lt;&gt;"No control",SUMIF(('Loading-rail'!$B$31:$B$48),$J56,('Loading-rail'!$E$31:$E$48))*Impacts!$F$15,0)),0)</f>
        <v>0</v>
      </c>
      <c r="T56" s="10">
        <f>IF(Flare!$C$7="",0,(SUMIF(Flare!$B$46:$B$185,$J56,Flare!$E$46:$E$185)*Impacts!$F$16))</f>
        <v>0</v>
      </c>
      <c r="U56" s="10">
        <f>IF(VCU!$C$9="",0,(SUMIF(VCU!$B$51:$B$193,$J56,VCU!$E$51:$E$193)*Impacts!$F$17))</f>
        <v>0</v>
      </c>
      <c r="V56" s="10">
        <f>IF(CAS!$C$7="",0,(SUMIF(CAS!$B$31:$B$167,$J56,CAS!$E$31:$E$167)*Impacts!$F$18))</f>
        <v>0</v>
      </c>
      <c r="W56" s="10">
        <f t="shared" ref="W56:W66" si="25">SUM(L56:V56)</f>
        <v>0</v>
      </c>
      <c r="AA56" s="48"/>
      <c r="AB56" s="20"/>
      <c r="AC56" s="10">
        <f>IF(OR(AI56=0,AI56="",ISNUMBER(MATCH(AI56,$AI$1:AI55,0))),0,MAX($AC$1:AC55)+1)</f>
        <v>0</v>
      </c>
      <c r="AD56" s="10">
        <f>IF(OR(AJ56=0,AJ56="",ISNUMBER(MATCH(AJ56,$AJ$1:AJ55,0))),0,MAX($AD$1:AD55)+1)</f>
        <v>0</v>
      </c>
      <c r="AE56" s="10">
        <f>IF(OR(AK56=0,AK56="",ISNUMBER(MATCH(AK56,$AK$1:AK55,0))),0,MAX($AE$1:AE55)+1)</f>
        <v>0</v>
      </c>
      <c r="AF56" s="10">
        <f>IF(OR(AH56=0,ISNUMBER(MATCH(AH56,$AH$1:AH55,0))),0,MAX($AF$1:AF55)+1)</f>
        <v>0</v>
      </c>
      <c r="AG56" s="10">
        <f>Tank4!$C$23</f>
        <v>0</v>
      </c>
      <c r="AH56" s="45">
        <f>Tank4!A36</f>
        <v>0</v>
      </c>
      <c r="AI56" s="10" t="str">
        <f t="shared" ref="AI56:AK75" si="26">IF($AH56=0,"",IF($AG56=AI$1,$AH56,""))</f>
        <v/>
      </c>
      <c r="AJ56" s="10" t="str">
        <f t="shared" si="26"/>
        <v/>
      </c>
      <c r="AK56" s="10" t="str">
        <f t="shared" si="26"/>
        <v/>
      </c>
      <c r="AL56" s="17" t="str">
        <f t="shared" si="19"/>
        <v/>
      </c>
      <c r="AM56" s="20" t="str">
        <f t="shared" si="20"/>
        <v/>
      </c>
      <c r="AN56" s="10" t="str">
        <f t="shared" si="21"/>
        <v/>
      </c>
      <c r="AO56" s="17" t="str">
        <f t="shared" si="22"/>
        <v/>
      </c>
      <c r="BE56" s="10"/>
      <c r="BI56" s="10"/>
      <c r="BQ56" s="10" t="s">
        <v>159</v>
      </c>
      <c r="BU56" s="776" t="s">
        <v>10102</v>
      </c>
      <c r="BV56" s="626">
        <f>IF(BV$49,EmissionSummary!$R$7,0)</f>
        <v>0</v>
      </c>
      <c r="BW56" s="626">
        <f>IF(BW$49,EmissionSummary!$R$8,0)</f>
        <v>0</v>
      </c>
      <c r="BX56" s="626">
        <f>IF(BX$49,EmissionSummary!$R$9,0)</f>
        <v>0</v>
      </c>
      <c r="BY56" s="626">
        <f>IF(BY$49,EmissionSummary!$R$10,0)</f>
        <v>0</v>
      </c>
      <c r="BZ56" s="626">
        <f>IF(BZ$49,EmissionSummary!$R$11,0)</f>
        <v>0</v>
      </c>
      <c r="CA56" s="626">
        <f>IF(CA$49,EmissionSummary!$R$12,0)</f>
        <v>0</v>
      </c>
      <c r="CB56" s="626">
        <f>IF(CB$49,EmissionSummary!$R$13,0)</f>
        <v>0</v>
      </c>
      <c r="CC56" s="626">
        <f>IF(CC$49,EmissionSummary!$R$14,0)</f>
        <v>0</v>
      </c>
      <c r="CD56" s="626">
        <f>IF(CD$49,EmissionSummary!$R$15,0)</f>
        <v>0</v>
      </c>
      <c r="CE56" s="626">
        <f>IF(CE$49,EmissionSummary!$R$16,0)</f>
        <v>0</v>
      </c>
      <c r="CF56" s="626">
        <f>IF(CF$49,EmissionSummary!$R$17,0)</f>
        <v>0</v>
      </c>
      <c r="CG56" s="640">
        <f t="shared" ref="CG56:CG57" si="27">SUM(BV56:CF56)</f>
        <v>0</v>
      </c>
    </row>
    <row r="57" spans="1:91" ht="21" customHeight="1" x14ac:dyDescent="0.25">
      <c r="A57" s="10"/>
      <c r="B57" s="16" t="s">
        <v>65</v>
      </c>
      <c r="C57" s="10">
        <v>100</v>
      </c>
      <c r="D57" s="10">
        <v>249</v>
      </c>
      <c r="E57" s="17">
        <v>249</v>
      </c>
      <c r="I57" s="436" t="s">
        <v>2387</v>
      </c>
      <c r="J57" s="26" t="s">
        <v>2386</v>
      </c>
      <c r="K57" s="10">
        <v>10</v>
      </c>
      <c r="L57" s="73">
        <f>IF(Tank1!$C$23="No control",(SUMIF(Tank1!$B$32:$B$49,$J57,Tank1!$C$32:$C$49)*Impacts!$F$8),0)</f>
        <v>0</v>
      </c>
      <c r="M57" s="10">
        <f>IF(Tank2!$C$23="No control",(SUMIF(Tank2!$B$32:$B$49,$J57,Tank2!$C$32:$C$49)*Impacts!$F$9),0)</f>
        <v>0</v>
      </c>
      <c r="N57" s="10">
        <f>IF(Tank3!$C$23="No control",(SUMIF(Tank3!$B$32:$B$49,$J57,Tank3!$C$32:$C$49)*Impacts!$F$10),0)</f>
        <v>0</v>
      </c>
      <c r="O57" s="10">
        <f>IF(Tank4!$C$23="No control",(SUMIF(Tank4!$B$32:$B$49,$J57,Tank4!$C$32:$C$49)*Impacts!$F$11),0)</f>
        <v>0</v>
      </c>
      <c r="P57" s="10">
        <f>IF(Tank5!$C$23="No control",(SUMIF(Tank5!$B$32:$B$49,$J57,Tank5!$C$32:$C$49)*Impacts!$F$12),0)</f>
        <v>0</v>
      </c>
      <c r="Q57" s="10">
        <f>IFERROR(IF(('Loading-drum,tote'!$C$21)="No control",SUMIF(('Loading-drum,tote'!$B$31:$B$48),$J57,('Loading-drum,tote'!$D$31:$D$48))*Impacts!$F$13,IF(('Loading-drum,tote'!$C$21)&lt;&gt;"No control",SUMIF(('Loading-drum,tote'!$B$31:$B$48),$J57,('Loading-drum,tote'!$E$31:$E$48))*Impacts!$F$13,0)),0)</f>
        <v>0</v>
      </c>
      <c r="R57" s="10">
        <f>IFERROR(IF(('Loading-truck'!$C$21)="No control",SUMIF(('Loading-truck'!$B$31:$B$48),$J57,('Loading-truck'!$D$31:$D$48))*Impacts!$F$14,IF(('Loading-truck'!$C$21)&lt;&gt;"No control",SUMIF(('Loading-truck'!$B$31:$B$48),$J57,('Loading-truck'!$E$31:$E$48))*Impacts!$F$14,0)),0)</f>
        <v>0</v>
      </c>
      <c r="S57" s="10">
        <f>IFERROR(IF(('Loading-rail'!$C$21)="No control",SUMIF(('Loading-rail'!$B$31:$B$48),$J57,('Loading-rail'!$D$31:$D$48))*Impacts!$F$15,IF(('Loading-rail'!$C$21)&lt;&gt;"No control",SUMIF(('Loading-rail'!$B$31:$B$48),$J57,('Loading-rail'!$E$31:$E$48))*Impacts!$F$15,0)),0)</f>
        <v>0</v>
      </c>
      <c r="T57" s="10">
        <f>IF(Flare!$C$7="",0,(SUMIF(Flare!$B$46:$B$185,$J57,Flare!$E$46:$E$185)*Impacts!$F$16))</f>
        <v>0</v>
      </c>
      <c r="U57" s="10">
        <f>IF(VCU!$C$9="",0,(SUMIF(VCU!$B$51:$B$193,$J57,VCU!$E$51:$E$193)*Impacts!$F$17))</f>
        <v>0</v>
      </c>
      <c r="V57" s="10">
        <f>IF(CAS!$C$7="",0,(SUMIF(CAS!$B$31:$B$167,$J57,CAS!$E$31:$E$167)*Impacts!$F$18))</f>
        <v>0</v>
      </c>
      <c r="W57" s="10">
        <f t="shared" si="25"/>
        <v>0</v>
      </c>
      <c r="AA57" s="48"/>
      <c r="AB57" s="20"/>
      <c r="AC57" s="10">
        <f>IF(OR(AI57=0,AI57="",ISNUMBER(MATCH(AI57,$AI$1:AI56,0))),0,MAX($AC$1:AC56)+1)</f>
        <v>0</v>
      </c>
      <c r="AD57" s="10">
        <f>IF(OR(AJ57=0,AJ57="",ISNUMBER(MATCH(AJ57,$AJ$1:AJ56,0))),0,MAX($AD$1:AD56)+1)</f>
        <v>0</v>
      </c>
      <c r="AE57" s="10">
        <f>IF(OR(AK57=0,AK57="",ISNUMBER(MATCH(AK57,$AK$1:AK56,0))),0,MAX($AE$1:AE56)+1)</f>
        <v>0</v>
      </c>
      <c r="AF57" s="10">
        <f>IF(OR(AH57=0,ISNUMBER(MATCH(AH57,$AH$1:AH56,0))),0,MAX($AF$1:AF56)+1)</f>
        <v>0</v>
      </c>
      <c r="AG57" s="10">
        <f>Tank4!$C$23</f>
        <v>0</v>
      </c>
      <c r="AH57" s="45">
        <f>Tank4!A37</f>
        <v>0</v>
      </c>
      <c r="AI57" s="10" t="str">
        <f t="shared" si="26"/>
        <v/>
      </c>
      <c r="AJ57" s="10" t="str">
        <f t="shared" si="26"/>
        <v/>
      </c>
      <c r="AK57" s="10" t="str">
        <f t="shared" si="26"/>
        <v/>
      </c>
      <c r="AL57" s="17" t="str">
        <f t="shared" si="19"/>
        <v/>
      </c>
      <c r="AM57" s="20" t="str">
        <f t="shared" si="20"/>
        <v/>
      </c>
      <c r="AN57" s="10" t="str">
        <f t="shared" si="21"/>
        <v/>
      </c>
      <c r="AO57" s="17" t="str">
        <f t="shared" si="22"/>
        <v/>
      </c>
      <c r="BE57" s="10"/>
      <c r="BI57" s="10"/>
      <c r="BQ57" s="10" t="s">
        <v>167</v>
      </c>
      <c r="BU57" s="776" t="s">
        <v>10103</v>
      </c>
      <c r="BV57" s="626">
        <f>IF(BV$49,EmissionSummary!$T$7,0)</f>
        <v>0</v>
      </c>
      <c r="BW57" s="626">
        <f>IF(BW$49,EmissionSummary!$T$8,0)</f>
        <v>0</v>
      </c>
      <c r="BX57" s="626">
        <f>IF(BX$49,EmissionSummary!$T$9,0)</f>
        <v>0</v>
      </c>
      <c r="BY57" s="626">
        <f>IF(BY$49,EmissionSummary!$T$10,0)</f>
        <v>0</v>
      </c>
      <c r="BZ57" s="626">
        <f>IF(BZ$49,EmissionSummary!$T$11,0)</f>
        <v>0</v>
      </c>
      <c r="CA57" s="626">
        <f>IF(CA$49,EmissionSummary!$T$12,0)</f>
        <v>0</v>
      </c>
      <c r="CB57" s="626">
        <f>IF(CB$49,EmissionSummary!$T$13,0)</f>
        <v>0</v>
      </c>
      <c r="CC57" s="626">
        <f>IF(CC$49,EmissionSummary!$T$14,0)</f>
        <v>0</v>
      </c>
      <c r="CD57" s="626">
        <f>IF(CD$49,EmissionSummary!$T$15,0)</f>
        <v>0</v>
      </c>
      <c r="CE57" s="626">
        <f>IF(CE$49,EmissionSummary!$T$16,0)</f>
        <v>0</v>
      </c>
      <c r="CF57" s="626">
        <f>IF(CF$49,EmissionSummary!$T$17,0)</f>
        <v>0</v>
      </c>
      <c r="CG57" s="640">
        <f t="shared" si="27"/>
        <v>0</v>
      </c>
    </row>
    <row r="58" spans="1:91" ht="21" customHeight="1" thickBot="1" x14ac:dyDescent="0.3">
      <c r="A58" s="10"/>
      <c r="B58" s="16" t="s">
        <v>66</v>
      </c>
      <c r="C58" s="10">
        <v>100</v>
      </c>
      <c r="D58" s="10">
        <v>249</v>
      </c>
      <c r="E58" s="17">
        <v>249</v>
      </c>
      <c r="I58" s="436" t="s">
        <v>8098</v>
      </c>
      <c r="J58" s="26" t="s">
        <v>8097</v>
      </c>
      <c r="K58" s="10">
        <v>1.0000000000000002E-2</v>
      </c>
      <c r="L58" s="73">
        <f>IF(Tank1!$C$23="No control",(SUMIF(Tank1!$B$32:$B$49,$J58,Tank1!$C$32:$C$49)*Impacts!$F$8),0)</f>
        <v>0</v>
      </c>
      <c r="M58" s="10">
        <f>IF(Tank2!$C$23="No control",(SUMIF(Tank2!$B$32:$B$49,$J58,Tank2!$C$32:$C$49)*Impacts!$F$9),0)</f>
        <v>0</v>
      </c>
      <c r="N58" s="10">
        <f>IF(Tank3!$C$23="No control",(SUMIF(Tank3!$B$32:$B$49,$J58,Tank3!$C$32:$C$49)*Impacts!$F$10),0)</f>
        <v>0</v>
      </c>
      <c r="O58" s="10">
        <f>IF(Tank4!$C$23="No control",(SUMIF(Tank4!$B$32:$B$49,$J58,Tank4!$C$32:$C$49)*Impacts!$F$11),0)</f>
        <v>0</v>
      </c>
      <c r="P58" s="10">
        <f>IF(Tank5!$C$23="No control",(SUMIF(Tank5!$B$32:$B$49,$J58,Tank5!$C$32:$C$49)*Impacts!$F$12),0)</f>
        <v>0</v>
      </c>
      <c r="Q58" s="10">
        <f>IFERROR(IF(('Loading-drum,tote'!$C$21)="No control",SUMIF(('Loading-drum,tote'!$B$31:$B$48),$J58,('Loading-drum,tote'!$D$31:$D$48))*Impacts!$F$13,IF(('Loading-drum,tote'!$C$21)&lt;&gt;"No control",SUMIF(('Loading-drum,tote'!$B$31:$B$48),$J58,('Loading-drum,tote'!$E$31:$E$48))*Impacts!$F$13,0)),0)</f>
        <v>0</v>
      </c>
      <c r="R58" s="10">
        <f>IFERROR(IF(('Loading-truck'!$C$21)="No control",SUMIF(('Loading-truck'!$B$31:$B$48),$J58,('Loading-truck'!$D$31:$D$48))*Impacts!$F$14,IF(('Loading-truck'!$C$21)&lt;&gt;"No control",SUMIF(('Loading-truck'!$B$31:$B$48),$J58,('Loading-truck'!$E$31:$E$48))*Impacts!$F$14,0)),0)</f>
        <v>0</v>
      </c>
      <c r="S58" s="10">
        <f>IFERROR(IF(('Loading-rail'!$C$21)="No control",SUMIF(('Loading-rail'!$B$31:$B$48),$J58,('Loading-rail'!$D$31:$D$48))*Impacts!$F$15,IF(('Loading-rail'!$C$21)&lt;&gt;"No control",SUMIF(('Loading-rail'!$B$31:$B$48),$J58,('Loading-rail'!$E$31:$E$48))*Impacts!$F$15,0)),0)</f>
        <v>0</v>
      </c>
      <c r="T58" s="10">
        <f>IF(Flare!$C$7="",0,(SUMIF(Flare!$B$46:$B$185,$J58,Flare!$E$46:$E$185)*Impacts!$F$16))</f>
        <v>0</v>
      </c>
      <c r="U58" s="10">
        <f>IF(VCU!$C$9="",0,(SUMIF(VCU!$B$51:$B$193,$J58,VCU!$E$51:$E$193)*Impacts!$F$17))</f>
        <v>0</v>
      </c>
      <c r="V58" s="10">
        <f>IF(CAS!$C$7="",0,(SUMIF(CAS!$B$31:$B$167,$J58,CAS!$E$31:$E$167)*Impacts!$F$18))</f>
        <v>0</v>
      </c>
      <c r="W58" s="10">
        <f t="shared" si="25"/>
        <v>0</v>
      </c>
      <c r="AA58" s="48"/>
      <c r="AB58" s="20"/>
      <c r="AC58" s="10">
        <f>IF(OR(AI58=0,AI58="",ISNUMBER(MATCH(AI58,$AI$1:AI57,0))),0,MAX($AC$1:AC57)+1)</f>
        <v>0</v>
      </c>
      <c r="AD58" s="10">
        <f>IF(OR(AJ58=0,AJ58="",ISNUMBER(MATCH(AJ58,$AJ$1:AJ57,0))),0,MAX($AD$1:AD57)+1)</f>
        <v>0</v>
      </c>
      <c r="AE58" s="10">
        <f>IF(OR(AK58=0,AK58="",ISNUMBER(MATCH(AK58,$AK$1:AK57,0))),0,MAX($AE$1:AE57)+1)</f>
        <v>0</v>
      </c>
      <c r="AF58" s="10">
        <f>IF(OR(AH58=0,ISNUMBER(MATCH(AH58,$AH$1:AH57,0))),0,MAX($AF$1:AF57)+1)</f>
        <v>0</v>
      </c>
      <c r="AG58" s="10">
        <f>Tank4!$C$23</f>
        <v>0</v>
      </c>
      <c r="AH58" s="45">
        <f>Tank4!A38</f>
        <v>0</v>
      </c>
      <c r="AI58" s="10" t="str">
        <f t="shared" si="26"/>
        <v/>
      </c>
      <c r="AJ58" s="10" t="str">
        <f t="shared" si="26"/>
        <v/>
      </c>
      <c r="AK58" s="10" t="str">
        <f t="shared" si="26"/>
        <v/>
      </c>
      <c r="AL58" s="17" t="str">
        <f t="shared" si="19"/>
        <v/>
      </c>
      <c r="AM58" s="20" t="str">
        <f t="shared" si="20"/>
        <v/>
      </c>
      <c r="AN58" s="10" t="str">
        <f t="shared" si="21"/>
        <v/>
      </c>
      <c r="AO58" s="17" t="str">
        <f t="shared" si="22"/>
        <v/>
      </c>
      <c r="BE58" s="10"/>
      <c r="BI58" s="10"/>
      <c r="BQ58" s="10" t="s">
        <v>168</v>
      </c>
      <c r="BU58" s="605" t="s">
        <v>3</v>
      </c>
      <c r="BV58" s="628">
        <f>IF(BV$49,EmissionSummary!$N$7,0)</f>
        <v>0</v>
      </c>
      <c r="BW58" s="628">
        <f>IF(BW$49,EmissionSummary!$N$8,0)</f>
        <v>0</v>
      </c>
      <c r="BX58" s="628">
        <f>IF(BX$49,EmissionSummary!$N$9,0)</f>
        <v>0</v>
      </c>
      <c r="BY58" s="628">
        <f>IF(BY$49,EmissionSummary!$N$10,0)</f>
        <v>0</v>
      </c>
      <c r="BZ58" s="628">
        <f>IF(BZ$49,EmissionSummary!$N$11,0)</f>
        <v>0</v>
      </c>
      <c r="CA58" s="628">
        <f>IF(CA$49,EmissionSummary!$N$12,0)</f>
        <v>0</v>
      </c>
      <c r="CB58" s="628">
        <f>IF(CB$49,EmissionSummary!$N$13,0)</f>
        <v>0</v>
      </c>
      <c r="CC58" s="628">
        <f>IF(CC$49,EmissionSummary!$N$14,0)</f>
        <v>0</v>
      </c>
      <c r="CD58" s="628">
        <f>IF(CD$49,EmissionSummary!$N$15,0)</f>
        <v>0</v>
      </c>
      <c r="CE58" s="628">
        <f>IF(CE$49,EmissionSummary!$N$16,0)</f>
        <v>0</v>
      </c>
      <c r="CF58" s="628">
        <f>IF(CF$49,EmissionSummary!$N$17,0)</f>
        <v>0</v>
      </c>
      <c r="CG58" s="641">
        <f t="shared" si="24"/>
        <v>0</v>
      </c>
    </row>
    <row r="59" spans="1:91" ht="21" customHeight="1" thickBot="1" x14ac:dyDescent="0.3">
      <c r="A59" s="10"/>
      <c r="B59" s="16" t="s">
        <v>67</v>
      </c>
      <c r="C59" s="10">
        <v>100</v>
      </c>
      <c r="D59" s="10">
        <v>100</v>
      </c>
      <c r="E59" s="17">
        <v>249</v>
      </c>
      <c r="I59" s="436" t="s">
        <v>5636</v>
      </c>
      <c r="J59" s="26" t="s">
        <v>5635</v>
      </c>
      <c r="K59" s="10">
        <v>1</v>
      </c>
      <c r="L59" s="73">
        <f>IF(Tank1!$C$23="No control",(SUMIF(Tank1!$B$32:$B$49,$J59,Tank1!$C$32:$C$49)*Impacts!$F$8),0)</f>
        <v>0</v>
      </c>
      <c r="M59" s="10">
        <f>IF(Tank2!$C$23="No control",(SUMIF(Tank2!$B$32:$B$49,$J59,Tank2!$C$32:$C$49)*Impacts!$F$9),0)</f>
        <v>0</v>
      </c>
      <c r="N59" s="10">
        <f>IF(Tank3!$C$23="No control",(SUMIF(Tank3!$B$32:$B$49,$J59,Tank3!$C$32:$C$49)*Impacts!$F$10),0)</f>
        <v>0</v>
      </c>
      <c r="O59" s="10">
        <f>IF(Tank4!$C$23="No control",(SUMIF(Tank4!$B$32:$B$49,$J59,Tank4!$C$32:$C$49)*Impacts!$F$11),0)</f>
        <v>0</v>
      </c>
      <c r="P59" s="10">
        <f>IF(Tank5!$C$23="No control",(SUMIF(Tank5!$B$32:$B$49,$J59,Tank5!$C$32:$C$49)*Impacts!$F$12),0)</f>
        <v>0</v>
      </c>
      <c r="Q59" s="10">
        <f>IFERROR(IF(('Loading-drum,tote'!$C$21)="No control",SUMIF(('Loading-drum,tote'!$B$31:$B$48),$J59,('Loading-drum,tote'!$D$31:$D$48))*Impacts!$F$13,IF(('Loading-drum,tote'!$C$21)&lt;&gt;"No control",SUMIF(('Loading-drum,tote'!$B$31:$B$48),$J59,('Loading-drum,tote'!$E$31:$E$48))*Impacts!$F$13,0)),0)</f>
        <v>0</v>
      </c>
      <c r="R59" s="10">
        <f>IFERROR(IF(('Loading-truck'!$C$21)="No control",SUMIF(('Loading-truck'!$B$31:$B$48),$J59,('Loading-truck'!$D$31:$D$48))*Impacts!$F$14,IF(('Loading-truck'!$C$21)&lt;&gt;"No control",SUMIF(('Loading-truck'!$B$31:$B$48),$J59,('Loading-truck'!$E$31:$E$48))*Impacts!$F$14,0)),0)</f>
        <v>0</v>
      </c>
      <c r="S59" s="10">
        <f>IFERROR(IF(('Loading-rail'!$C$21)="No control",SUMIF(('Loading-rail'!$B$31:$B$48),$J59,('Loading-rail'!$D$31:$D$48))*Impacts!$F$15,IF(('Loading-rail'!$C$21)&lt;&gt;"No control",SUMIF(('Loading-rail'!$B$31:$B$48),$J59,('Loading-rail'!$E$31:$E$48))*Impacts!$F$15,0)),0)</f>
        <v>0</v>
      </c>
      <c r="T59" s="10">
        <f>IF(Flare!$C$7="",0,(SUMIF(Flare!$B$46:$B$185,$J59,Flare!$E$46:$E$185)*Impacts!$F$16))</f>
        <v>0</v>
      </c>
      <c r="U59" s="10">
        <f>IF(VCU!$C$9="",0,(SUMIF(VCU!$B$51:$B$193,$J59,VCU!$E$51:$E$193)*Impacts!$F$17))</f>
        <v>0</v>
      </c>
      <c r="V59" s="10">
        <f>IF(CAS!$C$7="",0,(SUMIF(CAS!$B$31:$B$167,$J59,CAS!$E$31:$E$167)*Impacts!$F$18))</f>
        <v>0</v>
      </c>
      <c r="W59" s="10">
        <f t="shared" si="25"/>
        <v>0</v>
      </c>
      <c r="AA59" s="48"/>
      <c r="AB59" s="20"/>
      <c r="AC59" s="10">
        <f>IF(OR(AI59=0,AI59="",ISNUMBER(MATCH(AI59,$AI$1:AI58,0))),0,MAX($AC$1:AC58)+1)</f>
        <v>0</v>
      </c>
      <c r="AD59" s="10">
        <f>IF(OR(AJ59=0,AJ59="",ISNUMBER(MATCH(AJ59,$AJ$1:AJ58,0))),0,MAX($AD$1:AD58)+1)</f>
        <v>0</v>
      </c>
      <c r="AE59" s="10">
        <f>IF(OR(AK59=0,AK59="",ISNUMBER(MATCH(AK59,$AK$1:AK58,0))),0,MAX($AE$1:AE58)+1)</f>
        <v>0</v>
      </c>
      <c r="AF59" s="10">
        <f>IF(OR(AH59=0,ISNUMBER(MATCH(AH59,$AH$1:AH58,0))),0,MAX($AF$1:AF58)+1)</f>
        <v>0</v>
      </c>
      <c r="AG59" s="10">
        <f>Tank4!$C$23</f>
        <v>0</v>
      </c>
      <c r="AH59" s="45">
        <f>Tank4!A39</f>
        <v>0</v>
      </c>
      <c r="AI59" s="10" t="str">
        <f t="shared" si="26"/>
        <v/>
      </c>
      <c r="AJ59" s="10" t="str">
        <f t="shared" si="26"/>
        <v/>
      </c>
      <c r="AK59" s="10" t="str">
        <f t="shared" si="26"/>
        <v/>
      </c>
      <c r="AL59" s="17" t="str">
        <f t="shared" si="19"/>
        <v/>
      </c>
      <c r="AM59" s="20" t="str">
        <f t="shared" si="20"/>
        <v/>
      </c>
      <c r="AN59" s="10" t="str">
        <f t="shared" si="21"/>
        <v/>
      </c>
      <c r="AO59" s="17" t="str">
        <f t="shared" si="22"/>
        <v/>
      </c>
      <c r="BE59" s="10"/>
      <c r="BI59" s="10"/>
      <c r="BQ59" s="10" t="s">
        <v>171</v>
      </c>
      <c r="BU59" s="1625"/>
      <c r="BV59" s="1625"/>
      <c r="BW59" s="1625"/>
      <c r="BX59" s="1625"/>
      <c r="BY59" s="1625"/>
      <c r="BZ59" s="1625"/>
      <c r="CA59" s="1625"/>
      <c r="CB59" s="1625"/>
      <c r="CC59" s="1625"/>
      <c r="CD59" s="1625"/>
      <c r="CE59" s="1625"/>
      <c r="CF59" s="1625"/>
      <c r="CG59" s="1625"/>
      <c r="CH59" s="1625"/>
      <c r="CI59" s="1625"/>
    </row>
    <row r="60" spans="1:91" ht="75" x14ac:dyDescent="0.25">
      <c r="A60" s="10"/>
      <c r="B60" s="16" t="s">
        <v>68</v>
      </c>
      <c r="C60" s="10">
        <v>100</v>
      </c>
      <c r="D60" s="10">
        <v>249</v>
      </c>
      <c r="E60" s="17">
        <v>249</v>
      </c>
      <c r="I60" s="436" t="s">
        <v>4701</v>
      </c>
      <c r="J60" s="26" t="s">
        <v>4700</v>
      </c>
      <c r="K60" s="10">
        <v>3.5</v>
      </c>
      <c r="L60" s="73">
        <f>IF(Tank1!$C$23="No control",(SUMIF(Tank1!$B$32:$B$49,$J60,Tank1!$C$32:$C$49)*Impacts!$F$8),0)</f>
        <v>0</v>
      </c>
      <c r="M60" s="10">
        <f>IF(Tank2!$C$23="No control",(SUMIF(Tank2!$B$32:$B$49,$J60,Tank2!$C$32:$C$49)*Impacts!$F$9),0)</f>
        <v>0</v>
      </c>
      <c r="N60" s="10">
        <f>IF(Tank3!$C$23="No control",(SUMIF(Tank3!$B$32:$B$49,$J60,Tank3!$C$32:$C$49)*Impacts!$F$10),0)</f>
        <v>0</v>
      </c>
      <c r="O60" s="10">
        <f>IF(Tank4!$C$23="No control",(SUMIF(Tank4!$B$32:$B$49,$J60,Tank4!$C$32:$C$49)*Impacts!$F$11),0)</f>
        <v>0</v>
      </c>
      <c r="P60" s="10">
        <f>IF(Tank5!$C$23="No control",(SUMIF(Tank5!$B$32:$B$49,$J60,Tank5!$C$32:$C$49)*Impacts!$F$12),0)</f>
        <v>0</v>
      </c>
      <c r="Q60" s="10">
        <f>IFERROR(IF(('Loading-drum,tote'!$C$21)="No control",SUMIF(('Loading-drum,tote'!$B$31:$B$48),$J60,('Loading-drum,tote'!$D$31:$D$48))*Impacts!$F$13,IF(('Loading-drum,tote'!$C$21)&lt;&gt;"No control",SUMIF(('Loading-drum,tote'!$B$31:$B$48),$J60,('Loading-drum,tote'!$E$31:$E$48))*Impacts!$F$13,0)),0)</f>
        <v>0</v>
      </c>
      <c r="R60" s="10">
        <f>IFERROR(IF(('Loading-truck'!$C$21)="No control",SUMIF(('Loading-truck'!$B$31:$B$48),$J60,('Loading-truck'!$D$31:$D$48))*Impacts!$F$14,IF(('Loading-truck'!$C$21)&lt;&gt;"No control",SUMIF(('Loading-truck'!$B$31:$B$48),$J60,('Loading-truck'!$E$31:$E$48))*Impacts!$F$14,0)),0)</f>
        <v>0</v>
      </c>
      <c r="S60" s="10">
        <f>IFERROR(IF(('Loading-rail'!$C$21)="No control",SUMIF(('Loading-rail'!$B$31:$B$48),$J60,('Loading-rail'!$D$31:$D$48))*Impacts!$F$15,IF(('Loading-rail'!$C$21)&lt;&gt;"No control",SUMIF(('Loading-rail'!$B$31:$B$48),$J60,('Loading-rail'!$E$31:$E$48))*Impacts!$F$15,0)),0)</f>
        <v>0</v>
      </c>
      <c r="T60" s="10">
        <f>IF(Flare!$C$7="",0,(SUMIF(Flare!$B$46:$B$185,$J60,Flare!$E$46:$E$185)*Impacts!$F$16))</f>
        <v>0</v>
      </c>
      <c r="U60" s="10">
        <f>IF(VCU!$C$9="",0,(SUMIF(VCU!$B$51:$B$193,$J60,VCU!$E$51:$E$193)*Impacts!$F$17))</f>
        <v>0</v>
      </c>
      <c r="V60" s="10">
        <f>IF(CAS!$C$7="",0,(SUMIF(CAS!$B$31:$B$167,$J60,CAS!$E$31:$E$167)*Impacts!$F$18))</f>
        <v>0</v>
      </c>
      <c r="W60" s="10">
        <f t="shared" si="25"/>
        <v>0</v>
      </c>
      <c r="AA60" s="48"/>
      <c r="AB60" s="20"/>
      <c r="AC60" s="10">
        <f>IF(OR(AI60=0,AI60="",ISNUMBER(MATCH(AI60,$AI$1:AI59,0))),0,MAX($AC$1:AC59)+1)</f>
        <v>0</v>
      </c>
      <c r="AD60" s="10">
        <f>IF(OR(AJ60=0,AJ60="",ISNUMBER(MATCH(AJ60,$AJ$1:AJ59,0))),0,MAX($AD$1:AD59)+1)</f>
        <v>0</v>
      </c>
      <c r="AE60" s="10">
        <f>IF(OR(AK60=0,AK60="",ISNUMBER(MATCH(AK60,$AK$1:AK59,0))),0,MAX($AE$1:AE59)+1)</f>
        <v>0</v>
      </c>
      <c r="AF60" s="10">
        <f>IF(OR(AH60=0,ISNUMBER(MATCH(AH60,$AH$1:AH59,0))),0,MAX($AF$1:AF59)+1)</f>
        <v>0</v>
      </c>
      <c r="AG60" s="10">
        <f>Tank4!$C$23</f>
        <v>0</v>
      </c>
      <c r="AH60" s="45">
        <f>Tank4!A40</f>
        <v>0</v>
      </c>
      <c r="AI60" s="10" t="str">
        <f t="shared" si="26"/>
        <v/>
      </c>
      <c r="AJ60" s="10" t="str">
        <f t="shared" si="26"/>
        <v/>
      </c>
      <c r="AK60" s="10" t="str">
        <f t="shared" si="26"/>
        <v/>
      </c>
      <c r="AL60" s="17" t="str">
        <f t="shared" si="19"/>
        <v/>
      </c>
      <c r="AM60" s="20" t="str">
        <f t="shared" si="20"/>
        <v/>
      </c>
      <c r="AN60" s="10" t="str">
        <f t="shared" si="21"/>
        <v/>
      </c>
      <c r="AO60" s="17" t="str">
        <f t="shared" si="22"/>
        <v/>
      </c>
      <c r="BE60" s="10"/>
      <c r="BI60" s="10"/>
      <c r="BQ60" s="10" t="s">
        <v>165</v>
      </c>
      <c r="BU60" s="603" t="s">
        <v>8543</v>
      </c>
      <c r="BV60" s="728" t="s">
        <v>10178</v>
      </c>
      <c r="BW60" s="606" t="s">
        <v>10179</v>
      </c>
      <c r="BX60" s="606" t="s">
        <v>8665</v>
      </c>
      <c r="BY60" s="606" t="s">
        <v>10078</v>
      </c>
      <c r="BZ60" s="606" t="s">
        <v>8666</v>
      </c>
      <c r="CA60" s="606" t="s">
        <v>10079</v>
      </c>
      <c r="CB60" s="606" t="s">
        <v>10180</v>
      </c>
      <c r="CC60" s="606" t="s">
        <v>10181</v>
      </c>
      <c r="CD60" s="606" t="s">
        <v>10182</v>
      </c>
      <c r="CE60" s="606" t="s">
        <v>10183</v>
      </c>
      <c r="CF60" s="606" t="s">
        <v>8669</v>
      </c>
      <c r="CG60" s="606" t="s">
        <v>10082</v>
      </c>
      <c r="CH60" s="606" t="s">
        <v>10184</v>
      </c>
      <c r="CI60" s="728" t="s">
        <v>10185</v>
      </c>
      <c r="CJ60" s="728" t="s">
        <v>10239</v>
      </c>
      <c r="CK60" s="728" t="s">
        <v>10240</v>
      </c>
      <c r="CL60" s="728" t="s">
        <v>10241</v>
      </c>
      <c r="CM60" s="729" t="s">
        <v>10242</v>
      </c>
    </row>
    <row r="61" spans="1:91" ht="21" customHeight="1" x14ac:dyDescent="0.25">
      <c r="A61" s="10"/>
      <c r="B61" s="16" t="s">
        <v>69</v>
      </c>
      <c r="C61" s="10">
        <v>100</v>
      </c>
      <c r="D61" s="10">
        <v>249</v>
      </c>
      <c r="E61" s="17">
        <v>249</v>
      </c>
      <c r="I61" s="436" t="s">
        <v>5585</v>
      </c>
      <c r="J61" s="26" t="s">
        <v>5584</v>
      </c>
      <c r="K61" s="10">
        <v>1.1000000000000001</v>
      </c>
      <c r="L61" s="73">
        <f>IF(Tank1!$C$23="No control",(SUMIF(Tank1!$B$32:$B$49,$J61,Tank1!$C$32:$C$49)*Impacts!$F$8),0)</f>
        <v>0</v>
      </c>
      <c r="M61" s="10">
        <f>IF(Tank2!$C$23="No control",(SUMIF(Tank2!$B$32:$B$49,$J61,Tank2!$C$32:$C$49)*Impacts!$F$9),0)</f>
        <v>0</v>
      </c>
      <c r="N61" s="10">
        <f>IF(Tank3!$C$23="No control",(SUMIF(Tank3!$B$32:$B$49,$J61,Tank3!$C$32:$C$49)*Impacts!$F$10),0)</f>
        <v>0</v>
      </c>
      <c r="O61" s="10">
        <f>IF(Tank4!$C$23="No control",(SUMIF(Tank4!$B$32:$B$49,$J61,Tank4!$C$32:$C$49)*Impacts!$F$11),0)</f>
        <v>0</v>
      </c>
      <c r="P61" s="10">
        <f>IF(Tank5!$C$23="No control",(SUMIF(Tank5!$B$32:$B$49,$J61,Tank5!$C$32:$C$49)*Impacts!$F$12),0)</f>
        <v>0</v>
      </c>
      <c r="Q61" s="10">
        <f>IFERROR(IF(('Loading-drum,tote'!$C$21)="No control",SUMIF(('Loading-drum,tote'!$B$31:$B$48),$J61,('Loading-drum,tote'!$D$31:$D$48))*Impacts!$F$13,IF(('Loading-drum,tote'!$C$21)&lt;&gt;"No control",SUMIF(('Loading-drum,tote'!$B$31:$B$48),$J61,('Loading-drum,tote'!$E$31:$E$48))*Impacts!$F$13,0)),0)</f>
        <v>0</v>
      </c>
      <c r="R61" s="10">
        <f>IFERROR(IF(('Loading-truck'!$C$21)="No control",SUMIF(('Loading-truck'!$B$31:$B$48),$J61,('Loading-truck'!$D$31:$D$48))*Impacts!$F$14,IF(('Loading-truck'!$C$21)&lt;&gt;"No control",SUMIF(('Loading-truck'!$B$31:$B$48),$J61,('Loading-truck'!$E$31:$E$48))*Impacts!$F$14,0)),0)</f>
        <v>0</v>
      </c>
      <c r="S61" s="10">
        <f>IFERROR(IF(('Loading-rail'!$C$21)="No control",SUMIF(('Loading-rail'!$B$31:$B$48),$J61,('Loading-rail'!$D$31:$D$48))*Impacts!$F$15,IF(('Loading-rail'!$C$21)&lt;&gt;"No control",SUMIF(('Loading-rail'!$B$31:$B$48),$J61,('Loading-rail'!$E$31:$E$48))*Impacts!$F$15,0)),0)</f>
        <v>0</v>
      </c>
      <c r="T61" s="10">
        <f>IF(Flare!$C$7="",0,(SUMIF(Flare!$B$46:$B$185,$J61,Flare!$E$46:$E$185)*Impacts!$F$16))</f>
        <v>0</v>
      </c>
      <c r="U61" s="10">
        <f>IF(VCU!$C$9="",0,(SUMIF(VCU!$B$51:$B$193,$J61,VCU!$E$51:$E$193)*Impacts!$F$17))</f>
        <v>0</v>
      </c>
      <c r="V61" s="10">
        <f>IF(CAS!$C$7="",0,(SUMIF(CAS!$B$31:$B$167,$J61,CAS!$E$31:$E$167)*Impacts!$F$18))</f>
        <v>0</v>
      </c>
      <c r="W61" s="10">
        <f t="shared" si="25"/>
        <v>0</v>
      </c>
      <c r="AA61" s="48"/>
      <c r="AB61" s="20"/>
      <c r="AC61" s="10">
        <f>IF(OR(AI61=0,AI61="",ISNUMBER(MATCH(AI61,$AI$1:AI60,0))),0,MAX($AC$1:AC60)+1)</f>
        <v>0</v>
      </c>
      <c r="AD61" s="10">
        <f>IF(OR(AJ61=0,AJ61="",ISNUMBER(MATCH(AJ61,$AJ$1:AJ60,0))),0,MAX($AD$1:AD60)+1)</f>
        <v>0</v>
      </c>
      <c r="AE61" s="10">
        <f>IF(OR(AK61=0,AK61="",ISNUMBER(MATCH(AK61,$AK$1:AK60,0))),0,MAX($AE$1:AE60)+1)</f>
        <v>0</v>
      </c>
      <c r="AF61" s="10">
        <f>IF(OR(AH61=0,ISNUMBER(MATCH(AH61,$AH$1:AH60,0))),0,MAX($AF$1:AF60)+1)</f>
        <v>0</v>
      </c>
      <c r="AG61" s="10">
        <f>Tank4!$C$23</f>
        <v>0</v>
      </c>
      <c r="AH61" s="45">
        <f>Tank4!A41</f>
        <v>0</v>
      </c>
      <c r="AI61" s="10" t="str">
        <f t="shared" si="26"/>
        <v/>
      </c>
      <c r="AJ61" s="10" t="str">
        <f t="shared" si="26"/>
        <v/>
      </c>
      <c r="AK61" s="10" t="str">
        <f t="shared" si="26"/>
        <v/>
      </c>
      <c r="AL61" s="17" t="str">
        <f t="shared" si="19"/>
        <v/>
      </c>
      <c r="AM61" s="20" t="str">
        <f t="shared" si="20"/>
        <v/>
      </c>
      <c r="AN61" s="10" t="str">
        <f t="shared" si="21"/>
        <v/>
      </c>
      <c r="AO61" s="17" t="str">
        <f t="shared" si="22"/>
        <v/>
      </c>
      <c r="BE61" s="10"/>
      <c r="BI61" s="10"/>
      <c r="BQ61" s="10" t="s">
        <v>176</v>
      </c>
      <c r="BU61" s="604" t="s">
        <v>8369</v>
      </c>
      <c r="BV61" s="626" t="b">
        <f>AND(NOT(OR(Tank1!$C$6="Modified",AND(Tank1!$C$23="No control",Tank1!$C$6="Affected"))),NOT(OR(ISBLANK(Tank1!$C$7),ISBLANK(Tank1!$C$8),$BJ$28)))</f>
        <v>0</v>
      </c>
      <c r="BW61" s="601" t="b">
        <f>AND(NOT(OR(Tank1!$C$6="Modified",AND(Tank1!$C$23="No control",Tank1!$C$6="Affected"))),NOT(OR(ISBLANK(Tank1!$C$7),ISBLANK(Tank1!$C$8),$BJ$28)))</f>
        <v>0</v>
      </c>
      <c r="BX61" s="601" t="b">
        <f>AND(NOT(OR(Tank1!$C$6="Modified",AND(Tank1!$C$23="No control",Tank1!$C$6="Affected"))),NOT(OR(ISBLANK(Tank1!$C$7),ISBLANK(Tank1!$C$8),$BJ$28)))</f>
        <v>0</v>
      </c>
      <c r="BY61" s="601" t="b">
        <f>AND(NOT(OR(Tank1!$C$6="Modified",AND(Tank1!$C$23="No control",Tank1!$C$6="Affected"))),NOT(OR(ISBLANK(Tank1!$C$7),ISBLANK(Tank1!$C$8),$BJ$28)))</f>
        <v>0</v>
      </c>
      <c r="BZ61" s="601" t="b">
        <f>AND(NOT(OR(Tank1!$C$6="Modified",AND(Tank1!$C$23="No control",Tank1!$C$6="Affected"))),NOT(OR(ISBLANK(Tank1!$C$7),ISBLANK(Tank1!$C$8),$BJ$28)))</f>
        <v>0</v>
      </c>
      <c r="CA61" s="601" t="b">
        <f>AND(NOT(OR(Tank1!$C$6="Modified",AND(Tank1!$C$23="No control",Tank1!$C$6="Affected"))),NOT(OR(ISBLANK(Tank1!$C$7),ISBLANK(Tank1!$C$8),$BJ$28)))</f>
        <v>0</v>
      </c>
      <c r="CB61" s="601" t="b">
        <f>AND(NOT(OR(Tank1!$C$6="Modified",AND(Tank1!$C$23="No control",Tank1!$C$6="Affected"))),NOT(OR(ISBLANK(Tank1!$C$7),ISBLANK(Tank1!$C$8),$BJ$28)))</f>
        <v>0</v>
      </c>
      <c r="CC61" s="601" t="b">
        <f>AND(NOT(OR(Tank1!$C$6="Modified",AND(Tank1!$C$23="No control",Tank1!$C$6="Affected"))),NOT(OR(ISBLANK(Tank1!$C$7),ISBLANK(Tank1!$C$8),$BJ$28)))</f>
        <v>0</v>
      </c>
      <c r="CD61" s="601" t="b">
        <f>AND(NOT(OR(Tank1!$C$6="Modified",AND(Tank1!$C$23="No control",Tank1!$C$6="Affected"))),NOT(OR(ISBLANK(Tank1!$C$7),ISBLANK(Tank1!$C$8),$BJ$28)))</f>
        <v>0</v>
      </c>
      <c r="CE61" s="601" t="b">
        <f>AND(NOT(OR(Tank1!$C$6="Modified",AND(Tank1!$C$23="No control",Tank1!$C$6="Affected"))),NOT(OR(ISBLANK(Tank1!$C$7),ISBLANK(Tank1!$C$8),$BJ$28)))</f>
        <v>0</v>
      </c>
      <c r="CF61" s="601" t="b">
        <f>NOT(OR(ISBLANK(Tank1!$C$7),ISBLANK(Tank1!$C$8),$BJ$28))</f>
        <v>0</v>
      </c>
      <c r="CG61" s="601" t="b">
        <f>NOT(OR(ISBLANK(Tank1!$C$7),ISBLANK(Tank1!$C$8),$BJ$28))</f>
        <v>0</v>
      </c>
      <c r="CH61" s="601" t="b">
        <f>AND(NOT(OR(Tank1!$C$6="Modified",AND(Tank1!$C$23="No control",Tank1!$C$6="Affected"))),NOT(OR(ISBLANK(Tank1!$C$7),ISBLANK(Tank1!$C$8),$BJ$28)))</f>
        <v>0</v>
      </c>
      <c r="CI61" s="601" t="b">
        <f>AND(NOT(OR(Tank1!$C$6="Modified",AND(Tank1!$C$23="No control",Tank1!$C$6="Affected"))),NOT(OR(ISBLANK(Tank1!$C$7),ISBLANK(Tank1!$C$8),$BJ$28)))</f>
        <v>0</v>
      </c>
      <c r="CJ61" s="601" t="b">
        <f>AND(NOT(OR(Tank1!$C$6="Modified",AND(Tank1!$C$23="No control",Tank1!$C$6="Affected"))),NOT(OR(ISBLANK(Tank1!$C$7),ISBLANK(Tank1!$C$8),$BJ$28)))</f>
        <v>0</v>
      </c>
      <c r="CK61" s="601" t="b">
        <f>AND(NOT(OR(Tank1!$C$6="Modified",AND(Tank1!$C$23="No control",Tank1!$C$6="Affected"))),NOT(OR(ISBLANK(Tank1!$C$7),ISBLANK(Tank1!$C$8),$BJ$28)))</f>
        <v>0</v>
      </c>
      <c r="CL61" s="601" t="b">
        <f>AND(NOT(OR(Tank1!$C$6="Modified",AND(Tank1!$C$23="No control",Tank1!$C$6="Affected"))),NOT(OR(ISBLANK(Tank1!$C$7),ISBLANK(Tank1!$C$8),$BJ$28)))</f>
        <v>0</v>
      </c>
      <c r="CM61" s="637" t="b">
        <f>AND(NOT(OR(Tank1!$C$6="Modified",AND(Tank1!$C$23="No control",Tank1!$C$6="Affected"))),NOT(OR(ISBLANK(Tank1!$C$7),ISBLANK(Tank1!$C$8),$BJ$28)))</f>
        <v>0</v>
      </c>
    </row>
    <row r="62" spans="1:91" ht="21" customHeight="1" x14ac:dyDescent="0.25">
      <c r="A62" s="10"/>
      <c r="B62" s="16" t="s">
        <v>70</v>
      </c>
      <c r="C62" s="10">
        <v>100</v>
      </c>
      <c r="D62" s="10">
        <v>249</v>
      </c>
      <c r="E62" s="17">
        <v>249</v>
      </c>
      <c r="I62" s="436" t="s">
        <v>3901</v>
      </c>
      <c r="J62" s="26" t="s">
        <v>3900</v>
      </c>
      <c r="K62" s="10">
        <v>6</v>
      </c>
      <c r="L62" s="73">
        <f>IF(Tank1!$C$23="No control",(SUMIF(Tank1!$B$32:$B$49,$J62,Tank1!$C$32:$C$49)*Impacts!$F$8),0)</f>
        <v>0</v>
      </c>
      <c r="M62" s="10">
        <f>IF(Tank2!$C$23="No control",(SUMIF(Tank2!$B$32:$B$49,$J62,Tank2!$C$32:$C$49)*Impacts!$F$9),0)</f>
        <v>0</v>
      </c>
      <c r="N62" s="10">
        <f>IF(Tank3!$C$23="No control",(SUMIF(Tank3!$B$32:$B$49,$J62,Tank3!$C$32:$C$49)*Impacts!$F$10),0)</f>
        <v>0</v>
      </c>
      <c r="O62" s="10">
        <f>IF(Tank4!$C$23="No control",(SUMIF(Tank4!$B$32:$B$49,$J62,Tank4!$C$32:$C$49)*Impacts!$F$11),0)</f>
        <v>0</v>
      </c>
      <c r="P62" s="10">
        <f>IF(Tank5!$C$23="No control",(SUMIF(Tank5!$B$32:$B$49,$J62,Tank5!$C$32:$C$49)*Impacts!$F$12),0)</f>
        <v>0</v>
      </c>
      <c r="Q62" s="10">
        <f>IFERROR(IF(('Loading-drum,tote'!$C$21)="No control",SUMIF(('Loading-drum,tote'!$B$31:$B$48),$J62,('Loading-drum,tote'!$D$31:$D$48))*Impacts!$F$13,IF(('Loading-drum,tote'!$C$21)&lt;&gt;"No control",SUMIF(('Loading-drum,tote'!$B$31:$B$48),$J62,('Loading-drum,tote'!$E$31:$E$48))*Impacts!$F$13,0)),0)</f>
        <v>0</v>
      </c>
      <c r="R62" s="10">
        <f>IFERROR(IF(('Loading-truck'!$C$21)="No control",SUMIF(('Loading-truck'!$B$31:$B$48),$J62,('Loading-truck'!$D$31:$D$48))*Impacts!$F$14,IF(('Loading-truck'!$C$21)&lt;&gt;"No control",SUMIF(('Loading-truck'!$B$31:$B$48),$J62,('Loading-truck'!$E$31:$E$48))*Impacts!$F$14,0)),0)</f>
        <v>0</v>
      </c>
      <c r="S62" s="10">
        <f>IFERROR(IF(('Loading-rail'!$C$21)="No control",SUMIF(('Loading-rail'!$B$31:$B$48),$J62,('Loading-rail'!$D$31:$D$48))*Impacts!$F$15,IF(('Loading-rail'!$C$21)&lt;&gt;"No control",SUMIF(('Loading-rail'!$B$31:$B$48),$J62,('Loading-rail'!$E$31:$E$48))*Impacts!$F$15,0)),0)</f>
        <v>0</v>
      </c>
      <c r="T62" s="10">
        <f>IF(Flare!$C$7="",0,(SUMIF(Flare!$B$46:$B$185,$J62,Flare!$E$46:$E$185)*Impacts!$F$16))</f>
        <v>0</v>
      </c>
      <c r="U62" s="10">
        <f>IF(VCU!$C$9="",0,(SUMIF(VCU!$B$51:$B$193,$J62,VCU!$E$51:$E$193)*Impacts!$F$17))</f>
        <v>0</v>
      </c>
      <c r="V62" s="10">
        <f>IF(CAS!$C$7="",0,(SUMIF(CAS!$B$31:$B$167,$J62,CAS!$E$31:$E$167)*Impacts!$F$18))</f>
        <v>0</v>
      </c>
      <c r="W62" s="10">
        <f t="shared" si="25"/>
        <v>0</v>
      </c>
      <c r="AA62" s="48"/>
      <c r="AB62" s="20"/>
      <c r="AC62" s="10">
        <f>IF(OR(AI62=0,AI62="",ISNUMBER(MATCH(AI62,$AI$1:AI61,0))),0,MAX($AC$1:AC61)+1)</f>
        <v>0</v>
      </c>
      <c r="AD62" s="10">
        <f>IF(OR(AJ62=0,AJ62="",ISNUMBER(MATCH(AJ62,$AJ$1:AJ61,0))),0,MAX($AD$1:AD61)+1)</f>
        <v>0</v>
      </c>
      <c r="AE62" s="10">
        <f>IF(OR(AK62=0,AK62="",ISNUMBER(MATCH(AK62,$AK$1:AK61,0))),0,MAX($AE$1:AE61)+1)</f>
        <v>0</v>
      </c>
      <c r="AF62" s="10">
        <f>IF(OR(AH62=0,ISNUMBER(MATCH(AH62,$AH$1:AH61,0))),0,MAX($AF$1:AF61)+1)</f>
        <v>0</v>
      </c>
      <c r="AG62" s="10">
        <f>Tank4!$C$23</f>
        <v>0</v>
      </c>
      <c r="AH62" s="45">
        <f>Tank4!A42</f>
        <v>0</v>
      </c>
      <c r="AI62" s="10" t="str">
        <f t="shared" si="26"/>
        <v/>
      </c>
      <c r="AJ62" s="10" t="str">
        <f t="shared" si="26"/>
        <v/>
      </c>
      <c r="AK62" s="10" t="str">
        <f t="shared" si="26"/>
        <v/>
      </c>
      <c r="AL62" s="17" t="str">
        <f t="shared" si="19"/>
        <v/>
      </c>
      <c r="AM62" s="20" t="str">
        <f t="shared" si="20"/>
        <v/>
      </c>
      <c r="AN62" s="10" t="str">
        <f t="shared" si="21"/>
        <v/>
      </c>
      <c r="AO62" s="17" t="str">
        <f t="shared" si="22"/>
        <v/>
      </c>
      <c r="BE62" s="10"/>
      <c r="BI62" s="10"/>
      <c r="BQ62" s="10" t="s">
        <v>182</v>
      </c>
      <c r="BU62" s="604" t="s">
        <v>8709</v>
      </c>
      <c r="BV62" s="626" t="b">
        <f>AND(NOT(OR(Tank2!$C$6="Modified",AND(Tank2!$C$23="No control",Tank2!$C$6="Affected"))),NOT(OR(ISBLANK(Tank2!$C$7),ISBLANK(Tank2!$C$8),$BJ$28)))</f>
        <v>0</v>
      </c>
      <c r="BW62" s="601" t="b">
        <f>AND(NOT(OR(Tank2!$C$6="Modified",AND(Tank2!$C$23="No control",Tank2!$C$6="Affected"))),NOT(OR(ISBLANK(Tank2!$C$7),ISBLANK(Tank2!$C$8),$BJ$28)))</f>
        <v>0</v>
      </c>
      <c r="BX62" s="601" t="b">
        <f>AND(NOT(OR(Tank2!$C$6="Modified",AND(Tank2!$C$23="No control",Tank2!$C$6="Affected"))),NOT(OR(ISBLANK(Tank2!$C$7),ISBLANK(Tank2!$C$8),$BJ$28)))</f>
        <v>0</v>
      </c>
      <c r="BY62" s="601" t="b">
        <f>AND(NOT(OR(Tank2!$C$6="Modified",AND(Tank2!$C$23="No control",Tank2!$C$6="Affected"))),NOT(OR(ISBLANK(Tank2!$C$7),ISBLANK(Tank2!$C$8),$BJ$28)))</f>
        <v>0</v>
      </c>
      <c r="BZ62" s="601" t="b">
        <f>AND(NOT(OR(Tank2!$C$6="Modified",AND(Tank2!$C$23="No control",Tank2!$C$6="Affected"))),NOT(OR(ISBLANK(Tank2!$C$7),ISBLANK(Tank2!$C$8),$BJ$28)))</f>
        <v>0</v>
      </c>
      <c r="CA62" s="601" t="b">
        <f>AND(NOT(OR(Tank2!$C$6="Modified",AND(Tank2!$C$23="No control",Tank2!$C$6="Affected"))),NOT(OR(ISBLANK(Tank2!$C$7),ISBLANK(Tank2!$C$8),$BJ$28)))</f>
        <v>0</v>
      </c>
      <c r="CB62" s="601" t="b">
        <f>AND(NOT(OR(Tank2!$C$6="Modified",AND(Tank2!$C$23="No control",Tank2!$C$6="Affected"))),NOT(OR(ISBLANK(Tank2!$C$7),ISBLANK(Tank2!$C$8),$BJ$28)))</f>
        <v>0</v>
      </c>
      <c r="CC62" s="601" t="b">
        <f>AND(NOT(OR(Tank2!$C$6="Modified",AND(Tank2!$C$23="No control",Tank2!$C$6="Affected"))),NOT(OR(ISBLANK(Tank2!$C$7),ISBLANK(Tank2!$C$8),$BJ$28)))</f>
        <v>0</v>
      </c>
      <c r="CD62" s="601" t="b">
        <f>AND(NOT(OR(Tank2!$C$6="Modified",AND(Tank2!$C$23="No control",Tank2!$C$6="Affected"))),NOT(OR(ISBLANK(Tank2!$C$7),ISBLANK(Tank2!$C$8),$BJ$28)))</f>
        <v>0</v>
      </c>
      <c r="CE62" s="601" t="b">
        <f>AND(NOT(OR(Tank2!$C$6="Modified",AND(Tank2!$C$23="No control",Tank2!$C$6="Affected"))),NOT(OR(ISBLANK(Tank2!$C$7),ISBLANK(Tank2!$C$8),$BJ$28)))</f>
        <v>0</v>
      </c>
      <c r="CF62" s="601" t="b">
        <f>NOT(OR(ISBLANK(Tank2!$C$7),ISBLANK(Tank2!$C$8),$BJ$28))</f>
        <v>0</v>
      </c>
      <c r="CG62" s="601" t="b">
        <f>NOT(OR(ISBLANK(Tank2!$C$7),ISBLANK(Tank2!$C$8),$BJ$28))</f>
        <v>0</v>
      </c>
      <c r="CH62" s="601" t="b">
        <f>AND(NOT(OR(Tank2!$C$6="Modified",AND(Tank2!$C$23="No control",Tank2!$C$6="Affected"))),NOT(OR(ISBLANK(Tank2!$C$7),ISBLANK(Tank2!$C$8),$BJ$28)))</f>
        <v>0</v>
      </c>
      <c r="CI62" s="601" t="b">
        <f>AND(NOT(OR(Tank2!$C$6="Modified",AND(Tank2!$C$23="No control",Tank2!$C$6="Affected"))),NOT(OR(ISBLANK(Tank2!$C$7),ISBLANK(Tank2!$C$8),$BJ$28)))</f>
        <v>0</v>
      </c>
      <c r="CJ62" s="601" t="b">
        <f>AND(NOT(OR(Tank2!$C$6="Modified",AND(Tank2!$C$23="No control",Tank2!$C$6="Affected"))),NOT(OR(ISBLANK(Tank2!$C$7),ISBLANK(Tank2!$C$8),$BJ$28)))</f>
        <v>0</v>
      </c>
      <c r="CK62" s="601" t="b">
        <f>AND(NOT(OR(Tank2!$C$6="Modified",AND(Tank2!$C$23="No control",Tank2!$C$6="Affected"))),NOT(OR(ISBLANK(Tank2!$C$7),ISBLANK(Tank2!$C$8),$BJ$28)))</f>
        <v>0</v>
      </c>
      <c r="CL62" s="601" t="b">
        <f>AND(NOT(OR(Tank2!$C$6="Modified",AND(Tank2!$C$23="No control",Tank2!$C$6="Affected"))),NOT(OR(ISBLANK(Tank2!$C$7),ISBLANK(Tank2!$C$8),$BJ$28)))</f>
        <v>0</v>
      </c>
      <c r="CM62" s="637" t="b">
        <f>AND(NOT(OR(Tank2!$C$6="Modified",AND(Tank2!$C$23="No control",Tank2!$C$6="Affected"))),NOT(OR(ISBLANK(Tank2!$C$7),ISBLANK(Tank2!$C$8),$BJ$28)))</f>
        <v>0</v>
      </c>
    </row>
    <row r="63" spans="1:91" ht="21" customHeight="1" x14ac:dyDescent="0.25">
      <c r="A63" s="10"/>
      <c r="B63" s="16" t="s">
        <v>71</v>
      </c>
      <c r="C63" s="10">
        <v>100</v>
      </c>
      <c r="D63" s="10">
        <v>100</v>
      </c>
      <c r="E63" s="17">
        <v>249</v>
      </c>
      <c r="I63" s="436" t="s">
        <v>3635</v>
      </c>
      <c r="J63" s="26" t="s">
        <v>3634</v>
      </c>
      <c r="K63" s="10">
        <v>7.2</v>
      </c>
      <c r="L63" s="73">
        <f>IF(Tank1!$C$23="No control",(SUMIF(Tank1!$B$32:$B$49,$J63,Tank1!$C$32:$C$49)*Impacts!$F$8),0)</f>
        <v>0</v>
      </c>
      <c r="M63" s="10">
        <f>IF(Tank2!$C$23="No control",(SUMIF(Tank2!$B$32:$B$49,$J63,Tank2!$C$32:$C$49)*Impacts!$F$9),0)</f>
        <v>0</v>
      </c>
      <c r="N63" s="10">
        <f>IF(Tank3!$C$23="No control",(SUMIF(Tank3!$B$32:$B$49,$J63,Tank3!$C$32:$C$49)*Impacts!$F$10),0)</f>
        <v>0</v>
      </c>
      <c r="O63" s="10">
        <f>IF(Tank4!$C$23="No control",(SUMIF(Tank4!$B$32:$B$49,$J63,Tank4!$C$32:$C$49)*Impacts!$F$11),0)</f>
        <v>0</v>
      </c>
      <c r="P63" s="10">
        <f>IF(Tank5!$C$23="No control",(SUMIF(Tank5!$B$32:$B$49,$J63,Tank5!$C$32:$C$49)*Impacts!$F$12),0)</f>
        <v>0</v>
      </c>
      <c r="Q63" s="10">
        <f>IFERROR(IF(('Loading-drum,tote'!$C$21)="No control",SUMIF(('Loading-drum,tote'!$B$31:$B$48),$J63,('Loading-drum,tote'!$D$31:$D$48))*Impacts!$F$13,IF(('Loading-drum,tote'!$C$21)&lt;&gt;"No control",SUMIF(('Loading-drum,tote'!$B$31:$B$48),$J63,('Loading-drum,tote'!$E$31:$E$48))*Impacts!$F$13,0)),0)</f>
        <v>0</v>
      </c>
      <c r="R63" s="10">
        <f>IFERROR(IF(('Loading-truck'!$C$21)="No control",SUMIF(('Loading-truck'!$B$31:$B$48),$J63,('Loading-truck'!$D$31:$D$48))*Impacts!$F$14,IF(('Loading-truck'!$C$21)&lt;&gt;"No control",SUMIF(('Loading-truck'!$B$31:$B$48),$J63,('Loading-truck'!$E$31:$E$48))*Impacts!$F$14,0)),0)</f>
        <v>0</v>
      </c>
      <c r="S63" s="10">
        <f>IFERROR(IF(('Loading-rail'!$C$21)="No control",SUMIF(('Loading-rail'!$B$31:$B$48),$J63,('Loading-rail'!$D$31:$D$48))*Impacts!$F$15,IF(('Loading-rail'!$C$21)&lt;&gt;"No control",SUMIF(('Loading-rail'!$B$31:$B$48),$J63,('Loading-rail'!$E$31:$E$48))*Impacts!$F$15,0)),0)</f>
        <v>0</v>
      </c>
      <c r="T63" s="10">
        <f>IF(Flare!$C$7="",0,(SUMIF(Flare!$B$46:$B$185,$J63,Flare!$E$46:$E$185)*Impacts!$F$16))</f>
        <v>0</v>
      </c>
      <c r="U63" s="10">
        <f>IF(VCU!$C$9="",0,(SUMIF(VCU!$B$51:$B$193,$J63,VCU!$E$51:$E$193)*Impacts!$F$17))</f>
        <v>0</v>
      </c>
      <c r="V63" s="10">
        <f>IF(CAS!$C$7="",0,(SUMIF(CAS!$B$31:$B$167,$J63,CAS!$E$31:$E$167)*Impacts!$F$18))</f>
        <v>0</v>
      </c>
      <c r="W63" s="10">
        <f t="shared" si="25"/>
        <v>0</v>
      </c>
      <c r="AA63" s="48"/>
      <c r="AB63" s="20"/>
      <c r="AC63" s="10">
        <f>IF(OR(AI63=0,AI63="",ISNUMBER(MATCH(AI63,$AI$1:AI62,0))),0,MAX($AC$1:AC62)+1)</f>
        <v>0</v>
      </c>
      <c r="AD63" s="10">
        <f>IF(OR(AJ63=0,AJ63="",ISNUMBER(MATCH(AJ63,$AJ$1:AJ62,0))),0,MAX($AD$1:AD62)+1)</f>
        <v>0</v>
      </c>
      <c r="AE63" s="10">
        <f>IF(OR(AK63=0,AK63="",ISNUMBER(MATCH(AK63,$AK$1:AK62,0))),0,MAX($AE$1:AE62)+1)</f>
        <v>0</v>
      </c>
      <c r="AF63" s="10">
        <f>IF(OR(AH63=0,ISNUMBER(MATCH(AH63,$AH$1:AH62,0))),0,MAX($AF$1:AF62)+1)</f>
        <v>0</v>
      </c>
      <c r="AG63" s="10">
        <f>Tank4!$C$23</f>
        <v>0</v>
      </c>
      <c r="AH63" s="45">
        <f>Tank4!A43</f>
        <v>0</v>
      </c>
      <c r="AI63" s="10" t="str">
        <f t="shared" si="26"/>
        <v/>
      </c>
      <c r="AJ63" s="10" t="str">
        <f t="shared" si="26"/>
        <v/>
      </c>
      <c r="AK63" s="10" t="str">
        <f t="shared" si="26"/>
        <v/>
      </c>
      <c r="AL63" s="17" t="str">
        <f t="shared" si="19"/>
        <v/>
      </c>
      <c r="AM63" s="20" t="str">
        <f t="shared" si="20"/>
        <v/>
      </c>
      <c r="AN63" s="10" t="str">
        <f t="shared" si="21"/>
        <v/>
      </c>
      <c r="AO63" s="17" t="str">
        <f t="shared" si="22"/>
        <v/>
      </c>
      <c r="BE63" s="10"/>
      <c r="BI63" s="10"/>
      <c r="BQ63" s="10" t="s">
        <v>184</v>
      </c>
      <c r="BU63" s="625" t="s">
        <v>8710</v>
      </c>
      <c r="BV63" s="626" t="b">
        <f>AND(NOT(OR(Tank3!$C$6="Modified",AND(Tank3!$C$23="No control",Tank3!$C$6="Affected"))),NOT(OR(ISBLANK(Tank3!$C$7),ISBLANK(Tank3!$C$8),$BJ$28)))</f>
        <v>0</v>
      </c>
      <c r="BW63" s="596" t="b">
        <f>AND(NOT(OR(Tank3!$C$6="Modified",AND(Tank3!$C$23="No control",Tank3!$C$6="Affected"))),NOT(OR(ISBLANK(Tank3!$C$7),ISBLANK(Tank3!$C$8),$BJ$28)))</f>
        <v>0</v>
      </c>
      <c r="BX63" s="596" t="b">
        <f>AND(NOT(OR(Tank3!$C$6="Modified",AND(Tank3!$C$23="No control",Tank3!$C$6="Affected"))),NOT(OR(ISBLANK(Tank3!$C$7),ISBLANK(Tank3!$C$8),$BJ$28)))</f>
        <v>0</v>
      </c>
      <c r="BY63" s="596" t="b">
        <f>AND(NOT(OR(Tank3!$C$6="Modified",AND(Tank3!$C$23="No control",Tank3!$C$6="Affected"))),NOT(OR(ISBLANK(Tank3!$C$7),ISBLANK(Tank3!$C$8),$BJ$28)))</f>
        <v>0</v>
      </c>
      <c r="BZ63" s="596" t="b">
        <f>AND(NOT(OR(Tank3!$C$6="Modified",AND(Tank3!$C$23="No control",Tank3!$C$6="Affected"))),NOT(OR(ISBLANK(Tank3!$C$7),ISBLANK(Tank3!$C$8),$BJ$28)))</f>
        <v>0</v>
      </c>
      <c r="CA63" s="596" t="b">
        <f>AND(NOT(OR(Tank3!$C$6="Modified",AND(Tank3!$C$23="No control",Tank3!$C$6="Affected"))),NOT(OR(ISBLANK(Tank3!$C$7),ISBLANK(Tank3!$C$8),$BJ$28)))</f>
        <v>0</v>
      </c>
      <c r="CB63" s="596" t="b">
        <f>AND(NOT(OR(Tank3!$C$6="Modified",AND(Tank3!$C$23="No control",Tank3!$C$6="Affected"))),NOT(OR(ISBLANK(Tank3!$C$7),ISBLANK(Tank3!$C$8),$BJ$28)))</f>
        <v>0</v>
      </c>
      <c r="CC63" s="596" t="b">
        <f>AND(NOT(OR(Tank3!$C$6="Modified",AND(Tank3!$C$23="No control",Tank3!$C$6="Affected"))),NOT(OR(ISBLANK(Tank3!$C$7),ISBLANK(Tank3!$C$8),$BJ$28)))</f>
        <v>0</v>
      </c>
      <c r="CD63" s="596" t="b">
        <f>AND(NOT(OR(Tank3!$C$6="Modified",AND(Tank3!$C$23="No control",Tank3!$C$6="Affected"))),NOT(OR(ISBLANK(Tank3!$C$7),ISBLANK(Tank3!$C$8),$BJ$28)))</f>
        <v>0</v>
      </c>
      <c r="CE63" s="596" t="b">
        <f>AND(NOT(OR(Tank3!$C$6="Modified",AND(Tank3!$C$23="No control",Tank3!$C$6="Affected"))),NOT(OR(ISBLANK(Tank3!$C$7),ISBLANK(Tank3!$C$8),$BJ$28)))</f>
        <v>0</v>
      </c>
      <c r="CF63" s="596" t="b">
        <f>NOT(OR(ISBLANK(Tank3!$C$7),ISBLANK(Tank3!$C$8),$BJ$28))</f>
        <v>0</v>
      </c>
      <c r="CG63" s="596" t="b">
        <f>NOT(OR(ISBLANK(Tank3!$C$7),ISBLANK(Tank3!$C$8),$BJ$28))</f>
        <v>0</v>
      </c>
      <c r="CH63" s="596" t="b">
        <f>AND(NOT(OR(Tank3!$C$6="Modified",AND(Tank3!$C$23="No control",Tank3!$C$6="Affected"))),NOT(OR(ISBLANK(Tank3!$C$7),ISBLANK(Tank3!$C$8),$BJ$28)))</f>
        <v>0</v>
      </c>
      <c r="CI63" s="596" t="b">
        <f>AND(NOT(OR(Tank3!$C$6="Modified",AND(Tank3!$C$23="No control",Tank3!$C$6="Affected"))),NOT(OR(ISBLANK(Tank3!$C$7),ISBLANK(Tank3!$C$8),$BJ$28)))</f>
        <v>0</v>
      </c>
      <c r="CJ63" s="596" t="b">
        <f>AND(NOT(OR(Tank3!$C$6="Modified",AND(Tank3!$C$23="No control",Tank3!$C$6="Affected"))),NOT(OR(ISBLANK(Tank3!$C$7),ISBLANK(Tank3!$C$8),$BJ$28)))</f>
        <v>0</v>
      </c>
      <c r="CK63" s="596" t="b">
        <f>AND(NOT(OR(Tank3!$C$6="Modified",AND(Tank3!$C$23="No control",Tank3!$C$6="Affected"))),NOT(OR(ISBLANK(Tank3!$C$7),ISBLANK(Tank3!$C$8),$BJ$28)))</f>
        <v>0</v>
      </c>
      <c r="CL63" s="596" t="b">
        <f>AND(NOT(OR(Tank3!$C$6="Modified",AND(Tank3!$C$23="No control",Tank3!$C$6="Affected"))),NOT(OR(ISBLANK(Tank3!$C$7),ISBLANK(Tank3!$C$8),$BJ$28)))</f>
        <v>0</v>
      </c>
      <c r="CM63" s="598" t="b">
        <f>AND(NOT(OR(Tank3!$C$6="Modified",AND(Tank3!$C$23="No control",Tank3!$C$6="Affected"))),NOT(OR(ISBLANK(Tank3!$C$7),ISBLANK(Tank3!$C$8),$BJ$28)))</f>
        <v>0</v>
      </c>
    </row>
    <row r="64" spans="1:91" ht="21" customHeight="1" x14ac:dyDescent="0.25">
      <c r="A64" s="10"/>
      <c r="B64" s="16" t="s">
        <v>72</v>
      </c>
      <c r="C64" s="10">
        <v>100</v>
      </c>
      <c r="D64" s="10">
        <v>249</v>
      </c>
      <c r="E64" s="17">
        <v>249</v>
      </c>
      <c r="I64" s="436" t="s">
        <v>4901</v>
      </c>
      <c r="J64" s="26" t="s">
        <v>4900</v>
      </c>
      <c r="K64" s="10">
        <v>2.6</v>
      </c>
      <c r="L64" s="73">
        <f>IF(Tank1!$C$23="No control",(SUMIF(Tank1!$B$32:$B$49,$J64,Tank1!$C$32:$C$49)*Impacts!$F$8),0)</f>
        <v>0</v>
      </c>
      <c r="M64" s="10">
        <f>IF(Tank2!$C$23="No control",(SUMIF(Tank2!$B$32:$B$49,$J64,Tank2!$C$32:$C$49)*Impacts!$F$9),0)</f>
        <v>0</v>
      </c>
      <c r="N64" s="10">
        <f>IF(Tank3!$C$23="No control",(SUMIF(Tank3!$B$32:$B$49,$J64,Tank3!$C$32:$C$49)*Impacts!$F$10),0)</f>
        <v>0</v>
      </c>
      <c r="O64" s="10">
        <f>IF(Tank4!$C$23="No control",(SUMIF(Tank4!$B$32:$B$49,$J64,Tank4!$C$32:$C$49)*Impacts!$F$11),0)</f>
        <v>0</v>
      </c>
      <c r="P64" s="10">
        <f>IF(Tank5!$C$23="No control",(SUMIF(Tank5!$B$32:$B$49,$J64,Tank5!$C$32:$C$49)*Impacts!$F$12),0)</f>
        <v>0</v>
      </c>
      <c r="Q64" s="10">
        <f>IFERROR(IF(('Loading-drum,tote'!$C$21)="No control",SUMIF(('Loading-drum,tote'!$B$31:$B$48),$J64,('Loading-drum,tote'!$D$31:$D$48))*Impacts!$F$13,IF(('Loading-drum,tote'!$C$21)&lt;&gt;"No control",SUMIF(('Loading-drum,tote'!$B$31:$B$48),$J64,('Loading-drum,tote'!$E$31:$E$48))*Impacts!$F$13,0)),0)</f>
        <v>0</v>
      </c>
      <c r="R64" s="10">
        <f>IFERROR(IF(('Loading-truck'!$C$21)="No control",SUMIF(('Loading-truck'!$B$31:$B$48),$J64,('Loading-truck'!$D$31:$D$48))*Impacts!$F$14,IF(('Loading-truck'!$C$21)&lt;&gt;"No control",SUMIF(('Loading-truck'!$B$31:$B$48),$J64,('Loading-truck'!$E$31:$E$48))*Impacts!$F$14,0)),0)</f>
        <v>0</v>
      </c>
      <c r="S64" s="10">
        <f>IFERROR(IF(('Loading-rail'!$C$21)="No control",SUMIF(('Loading-rail'!$B$31:$B$48),$J64,('Loading-rail'!$D$31:$D$48))*Impacts!$F$15,IF(('Loading-rail'!$C$21)&lt;&gt;"No control",SUMIF(('Loading-rail'!$B$31:$B$48),$J64,('Loading-rail'!$E$31:$E$48))*Impacts!$F$15,0)),0)</f>
        <v>0</v>
      </c>
      <c r="T64" s="10">
        <f>IF(Flare!$C$7="",0,(SUMIF(Flare!$B$46:$B$185,$J64,Flare!$E$46:$E$185)*Impacts!$F$16))</f>
        <v>0</v>
      </c>
      <c r="U64" s="10">
        <f>IF(VCU!$C$9="",0,(SUMIF(VCU!$B$51:$B$193,$J64,VCU!$E$51:$E$193)*Impacts!$F$17))</f>
        <v>0</v>
      </c>
      <c r="V64" s="10">
        <f>IF(CAS!$C$7="",0,(SUMIF(CAS!$B$31:$B$167,$J64,CAS!$E$31:$E$167)*Impacts!$F$18))</f>
        <v>0</v>
      </c>
      <c r="W64" s="10">
        <f t="shared" si="25"/>
        <v>0</v>
      </c>
      <c r="AA64" s="48"/>
      <c r="AB64" s="20"/>
      <c r="AC64" s="10">
        <f>IF(OR(AI64=0,AI64="",ISNUMBER(MATCH(AI64,$AI$1:AI63,0))),0,MAX($AC$1:AC63)+1)</f>
        <v>0</v>
      </c>
      <c r="AD64" s="10">
        <f>IF(OR(AJ64=0,AJ64="",ISNUMBER(MATCH(AJ64,$AJ$1:AJ63,0))),0,MAX($AD$1:AD63)+1)</f>
        <v>0</v>
      </c>
      <c r="AE64" s="10">
        <f>IF(OR(AK64=0,AK64="",ISNUMBER(MATCH(AK64,$AK$1:AK63,0))),0,MAX($AE$1:AE63)+1)</f>
        <v>0</v>
      </c>
      <c r="AF64" s="10">
        <f>IF(OR(AH64=0,ISNUMBER(MATCH(AH64,$AH$1:AH63,0))),0,MAX($AF$1:AF63)+1)</f>
        <v>0</v>
      </c>
      <c r="AG64" s="10">
        <f>Tank4!$C$23</f>
        <v>0</v>
      </c>
      <c r="AH64" s="45">
        <f>Tank4!A44</f>
        <v>0</v>
      </c>
      <c r="AI64" s="10" t="str">
        <f t="shared" si="26"/>
        <v/>
      </c>
      <c r="AJ64" s="10" t="str">
        <f t="shared" si="26"/>
        <v/>
      </c>
      <c r="AK64" s="10" t="str">
        <f t="shared" si="26"/>
        <v/>
      </c>
      <c r="AL64" s="17" t="str">
        <f t="shared" si="19"/>
        <v/>
      </c>
      <c r="AM64" s="20" t="str">
        <f t="shared" si="20"/>
        <v/>
      </c>
      <c r="AN64" s="10" t="str">
        <f t="shared" si="21"/>
        <v/>
      </c>
      <c r="AO64" s="17" t="str">
        <f t="shared" si="22"/>
        <v/>
      </c>
      <c r="BE64" s="10"/>
      <c r="BI64" s="10"/>
      <c r="BQ64" s="10" t="s">
        <v>185</v>
      </c>
      <c r="BU64" s="625" t="s">
        <v>8711</v>
      </c>
      <c r="BV64" s="626" t="b">
        <f>AND(NOT(OR(Tank4!$C$6="Modified",AND(Tank4!$C$23="No control",Tank4!$C$6="Affected"))),NOT(OR(ISBLANK(Tank4!$C$7),ISBLANK(Tank4!$C$8),$BJ$28)))</f>
        <v>0</v>
      </c>
      <c r="BW64" s="596" t="b">
        <f>AND(NOT(OR(Tank4!$C$6="Modified",AND(Tank4!$C$23="No control",Tank4!$C$6="Affected"))),NOT(OR(ISBLANK(Tank4!$C$7),ISBLANK(Tank4!$C$8),$BJ$28)))</f>
        <v>0</v>
      </c>
      <c r="BX64" s="596" t="b">
        <f>AND(NOT(OR(Tank4!$C$6="Modified",AND(Tank4!$C$23="No control",Tank4!$C$6="Affected"))),NOT(OR(ISBLANK(Tank4!$C$7),ISBLANK(Tank4!$C$8),$BJ$28)))</f>
        <v>0</v>
      </c>
      <c r="BY64" s="596" t="b">
        <f>AND(NOT(OR(Tank4!$C$6="Modified",AND(Tank4!$C$23="No control",Tank4!$C$6="Affected"))),NOT(OR(ISBLANK(Tank4!$C$7),ISBLANK(Tank4!$C$8),$BJ$28)))</f>
        <v>0</v>
      </c>
      <c r="BZ64" s="596" t="b">
        <f>AND(NOT(OR(Tank4!$C$6="Modified",AND(Tank4!$C$23="No control",Tank4!$C$6="Affected"))),NOT(OR(ISBLANK(Tank4!$C$7),ISBLANK(Tank4!$C$8),$BJ$28)))</f>
        <v>0</v>
      </c>
      <c r="CA64" s="596" t="b">
        <f>AND(NOT(OR(Tank4!$C$6="Modified",AND(Tank4!$C$23="No control",Tank4!$C$6="Affected"))),NOT(OR(ISBLANK(Tank4!$C$7),ISBLANK(Tank4!$C$8),$BJ$28)))</f>
        <v>0</v>
      </c>
      <c r="CB64" s="596" t="b">
        <f>AND(NOT(OR(Tank4!$C$6="Modified",AND(Tank4!$C$23="No control",Tank4!$C$6="Affected"))),NOT(OR(ISBLANK(Tank4!$C$7),ISBLANK(Tank4!$C$8),$BJ$28)))</f>
        <v>0</v>
      </c>
      <c r="CC64" s="596" t="b">
        <f>AND(NOT(OR(Tank4!$C$6="Modified",AND(Tank4!$C$23="No control",Tank4!$C$6="Affected"))),NOT(OR(ISBLANK(Tank4!$C$7),ISBLANK(Tank4!$C$8),$BJ$28)))</f>
        <v>0</v>
      </c>
      <c r="CD64" s="596" t="b">
        <f>AND(NOT(OR(Tank4!$C$6="Modified",AND(Tank4!$C$23="No control",Tank4!$C$6="Affected"))),NOT(OR(ISBLANK(Tank4!$C$7),ISBLANK(Tank4!$C$8),$BJ$28)))</f>
        <v>0</v>
      </c>
      <c r="CE64" s="596" t="b">
        <f>AND(NOT(OR(Tank4!$C$6="Modified",AND(Tank4!$C$23="No control",Tank4!$C$6="Affected"))),NOT(OR(ISBLANK(Tank4!$C$7),ISBLANK(Tank4!$C$8),$BJ$28)))</f>
        <v>0</v>
      </c>
      <c r="CF64" s="596" t="b">
        <f>NOT(OR(ISBLANK(Tank4!$C$7),ISBLANK(Tank4!$C$8),$BJ$28))</f>
        <v>0</v>
      </c>
      <c r="CG64" s="596" t="b">
        <f>NOT(OR(ISBLANK(Tank4!$C$7),ISBLANK(Tank4!$C$8),$BJ$28))</f>
        <v>0</v>
      </c>
      <c r="CH64" s="596" t="b">
        <f>AND(NOT(OR(Tank4!$C$6="Modified",AND(Tank4!$C$23="No control",Tank4!$C$6="Affected"))),NOT(OR(ISBLANK(Tank4!$C$7),ISBLANK(Tank4!$C$8),$BJ$28)))</f>
        <v>0</v>
      </c>
      <c r="CI64" s="596" t="b">
        <f>AND(NOT(OR(Tank4!$C$6="Modified",AND(Tank4!$C$23="No control",Tank4!$C$6="Affected"))),NOT(OR(ISBLANK(Tank4!$C$7),ISBLANK(Tank4!$C$8),$BJ$28)))</f>
        <v>0</v>
      </c>
      <c r="CJ64" s="596" t="b">
        <f>AND(NOT(OR(Tank4!$C$6="Modified",AND(Tank4!$C$23="No control",Tank4!$C$6="Affected"))),NOT(OR(ISBLANK(Tank4!$C$7),ISBLANK(Tank4!$C$8),$BJ$28)))</f>
        <v>0</v>
      </c>
      <c r="CK64" s="596" t="b">
        <f>AND(NOT(OR(Tank4!$C$6="Modified",AND(Tank4!$C$23="No control",Tank4!$C$6="Affected"))),NOT(OR(ISBLANK(Tank4!$C$7),ISBLANK(Tank4!$C$8),$BJ$28)))</f>
        <v>0</v>
      </c>
      <c r="CL64" s="596" t="b">
        <f>AND(NOT(OR(Tank4!$C$6="Modified",AND(Tank4!$C$23="No control",Tank4!$C$6="Affected"))),NOT(OR(ISBLANK(Tank4!$C$7),ISBLANK(Tank4!$C$8),$BJ$28)))</f>
        <v>0</v>
      </c>
      <c r="CM64" s="598" t="b">
        <f>AND(NOT(OR(Tank4!$C$6="Modified",AND(Tank4!$C$23="No control",Tank4!$C$6="Affected"))),NOT(OR(ISBLANK(Tank4!$C$7),ISBLANK(Tank4!$C$8),$BJ$28)))</f>
        <v>0</v>
      </c>
    </row>
    <row r="65" spans="1:91" ht="21" customHeight="1" x14ac:dyDescent="0.25">
      <c r="A65" s="10"/>
      <c r="B65" s="16" t="s">
        <v>73</v>
      </c>
      <c r="C65" s="10">
        <v>100</v>
      </c>
      <c r="D65" s="10">
        <v>249</v>
      </c>
      <c r="E65" s="17">
        <v>249</v>
      </c>
      <c r="I65" s="436" t="s">
        <v>4661</v>
      </c>
      <c r="J65" s="26" t="s">
        <v>4660</v>
      </c>
      <c r="K65" s="10">
        <v>3.7</v>
      </c>
      <c r="L65" s="73">
        <f>IF(Tank1!$C$23="No control",(SUMIF(Tank1!$B$32:$B$49,$J65,Tank1!$C$32:$C$49)*Impacts!$F$8),0)</f>
        <v>0</v>
      </c>
      <c r="M65" s="10">
        <f>IF(Tank2!$C$23="No control",(SUMIF(Tank2!$B$32:$B$49,$J65,Tank2!$C$32:$C$49)*Impacts!$F$9),0)</f>
        <v>0</v>
      </c>
      <c r="N65" s="10">
        <f>IF(Tank3!$C$23="No control",(SUMIF(Tank3!$B$32:$B$49,$J65,Tank3!$C$32:$C$49)*Impacts!$F$10),0)</f>
        <v>0</v>
      </c>
      <c r="O65" s="10">
        <f>IF(Tank4!$C$23="No control",(SUMIF(Tank4!$B$32:$B$49,$J65,Tank4!$C$32:$C$49)*Impacts!$F$11),0)</f>
        <v>0</v>
      </c>
      <c r="P65" s="10">
        <f>IF(Tank5!$C$23="No control",(SUMIF(Tank5!$B$32:$B$49,$J65,Tank5!$C$32:$C$49)*Impacts!$F$12),0)</f>
        <v>0</v>
      </c>
      <c r="Q65" s="10">
        <f>IFERROR(IF(('Loading-drum,tote'!$C$21)="No control",SUMIF(('Loading-drum,tote'!$B$31:$B$48),$J65,('Loading-drum,tote'!$D$31:$D$48))*Impacts!$F$13,IF(('Loading-drum,tote'!$C$21)&lt;&gt;"No control",SUMIF(('Loading-drum,tote'!$B$31:$B$48),$J65,('Loading-drum,tote'!$E$31:$E$48))*Impacts!$F$13,0)),0)</f>
        <v>0</v>
      </c>
      <c r="R65" s="10">
        <f>IFERROR(IF(('Loading-truck'!$C$21)="No control",SUMIF(('Loading-truck'!$B$31:$B$48),$J65,('Loading-truck'!$D$31:$D$48))*Impacts!$F$14,IF(('Loading-truck'!$C$21)&lt;&gt;"No control",SUMIF(('Loading-truck'!$B$31:$B$48),$J65,('Loading-truck'!$E$31:$E$48))*Impacts!$F$14,0)),0)</f>
        <v>0</v>
      </c>
      <c r="S65" s="10">
        <f>IFERROR(IF(('Loading-rail'!$C$21)="No control",SUMIF(('Loading-rail'!$B$31:$B$48),$J65,('Loading-rail'!$D$31:$D$48))*Impacts!$F$15,IF(('Loading-rail'!$C$21)&lt;&gt;"No control",SUMIF(('Loading-rail'!$B$31:$B$48),$J65,('Loading-rail'!$E$31:$E$48))*Impacts!$F$15,0)),0)</f>
        <v>0</v>
      </c>
      <c r="T65" s="10">
        <f>IF(Flare!$C$7="",0,(SUMIF(Flare!$B$46:$B$185,$J65,Flare!$E$46:$E$185)*Impacts!$F$16))</f>
        <v>0</v>
      </c>
      <c r="U65" s="10">
        <f>IF(VCU!$C$9="",0,(SUMIF(VCU!$B$51:$B$193,$J65,VCU!$E$51:$E$193)*Impacts!$F$17))</f>
        <v>0</v>
      </c>
      <c r="V65" s="10">
        <f>IF(CAS!$C$7="",0,(SUMIF(CAS!$B$31:$B$167,$J65,CAS!$E$31:$E$167)*Impacts!$F$18))</f>
        <v>0</v>
      </c>
      <c r="W65" s="10">
        <f t="shared" si="25"/>
        <v>0</v>
      </c>
      <c r="AA65" s="48"/>
      <c r="AB65" s="20"/>
      <c r="AC65" s="10">
        <f>IF(OR(AI65=0,AI65="",ISNUMBER(MATCH(AI65,$AI$1:AI64,0))),0,MAX($AC$1:AC64)+1)</f>
        <v>0</v>
      </c>
      <c r="AD65" s="10">
        <f>IF(OR(AJ65=0,AJ65="",ISNUMBER(MATCH(AJ65,$AJ$1:AJ64,0))),0,MAX($AD$1:AD64)+1)</f>
        <v>0</v>
      </c>
      <c r="AE65" s="10">
        <f>IF(OR(AK65=0,AK65="",ISNUMBER(MATCH(AK65,$AK$1:AK64,0))),0,MAX($AE$1:AE64)+1)</f>
        <v>0</v>
      </c>
      <c r="AF65" s="10">
        <f>IF(OR(AH65=0,ISNUMBER(MATCH(AH65,$AH$1:AH64,0))),0,MAX($AF$1:AF64)+1)</f>
        <v>0</v>
      </c>
      <c r="AG65" s="10">
        <f>Tank4!$C$23</f>
        <v>0</v>
      </c>
      <c r="AH65" s="45">
        <f>Tank4!A45</f>
        <v>0</v>
      </c>
      <c r="AI65" s="10" t="str">
        <f t="shared" si="26"/>
        <v/>
      </c>
      <c r="AJ65" s="10" t="str">
        <f t="shared" si="26"/>
        <v/>
      </c>
      <c r="AK65" s="10" t="str">
        <f t="shared" si="26"/>
        <v/>
      </c>
      <c r="AL65" s="17" t="str">
        <f t="shared" si="19"/>
        <v/>
      </c>
      <c r="AM65" s="20" t="str">
        <f t="shared" si="20"/>
        <v/>
      </c>
      <c r="AN65" s="10" t="str">
        <f t="shared" si="21"/>
        <v/>
      </c>
      <c r="AO65" s="17" t="str">
        <f t="shared" si="22"/>
        <v/>
      </c>
      <c r="BE65" s="10"/>
      <c r="BI65" s="10"/>
      <c r="BQ65" s="10" t="s">
        <v>186</v>
      </c>
      <c r="BU65" s="625" t="s">
        <v>8712</v>
      </c>
      <c r="BV65" s="626" t="b">
        <f>AND(NOT(OR(Tank5!$C$6="Modified",AND(Tank5!$C$23="No control",Tank5!$C$6="Affected"))),NOT(OR(ISBLANK(Tank5!$C$7),ISBLANK(Tank5!$C$8),$BJ$28)))</f>
        <v>0</v>
      </c>
      <c r="BW65" s="596" t="b">
        <f>AND(NOT(OR(Tank5!$C$6="Modified",AND(Tank5!$C$23="No control",Tank5!$C$6="Affected"))),NOT(OR(ISBLANK(Tank5!$C$7),ISBLANK(Tank5!$C$8),$BJ$28)))</f>
        <v>0</v>
      </c>
      <c r="BX65" s="596" t="b">
        <f>AND(NOT(OR(Tank5!$C$6="Modified",AND(Tank5!$C$23="No control",Tank5!$C$6="Affected"))),NOT(OR(ISBLANK(Tank5!$C$7),ISBLANK(Tank5!$C$8),$BJ$28)))</f>
        <v>0</v>
      </c>
      <c r="BY65" s="596" t="b">
        <f>AND(NOT(OR(Tank5!$C$6="Modified",AND(Tank5!$C$23="No control",Tank5!$C$6="Affected"))),NOT(OR(ISBLANK(Tank5!$C$7),ISBLANK(Tank5!$C$8),$BJ$28)))</f>
        <v>0</v>
      </c>
      <c r="BZ65" s="596" t="b">
        <f>AND(NOT(OR(Tank5!$C$6="Modified",AND(Tank5!$C$23="No control",Tank5!$C$6="Affected"))),NOT(OR(ISBLANK(Tank5!$C$7),ISBLANK(Tank5!$C$8),$BJ$28)))</f>
        <v>0</v>
      </c>
      <c r="CA65" s="596" t="b">
        <f>AND(NOT(OR(Tank5!$C$6="Modified",AND(Tank5!$C$23="No control",Tank5!$C$6="Affected"))),NOT(OR(ISBLANK(Tank5!$C$7),ISBLANK(Tank5!$C$8),$BJ$28)))</f>
        <v>0</v>
      </c>
      <c r="CB65" s="596" t="b">
        <f>AND(NOT(OR(Tank5!$C$6="Modified",AND(Tank5!$C$23="No control",Tank5!$C$6="Affected"))),NOT(OR(ISBLANK(Tank5!$C$7),ISBLANK(Tank5!$C$8),$BJ$28)))</f>
        <v>0</v>
      </c>
      <c r="CC65" s="596" t="b">
        <f>AND(NOT(OR(Tank5!$C$6="Modified",AND(Tank5!$C$23="No control",Tank5!$C$6="Affected"))),NOT(OR(ISBLANK(Tank5!$C$7),ISBLANK(Tank5!$C$8),$BJ$28)))</f>
        <v>0</v>
      </c>
      <c r="CD65" s="596" t="b">
        <f>AND(NOT(OR(Tank5!$C$6="Modified",AND(Tank5!$C$23="No control",Tank5!$C$6="Affected"))),NOT(OR(ISBLANK(Tank5!$C$7),ISBLANK(Tank5!$C$8),$BJ$28)))</f>
        <v>0</v>
      </c>
      <c r="CE65" s="596" t="b">
        <f>AND(NOT(OR(Tank5!$C$6="Modified",AND(Tank5!$C$23="No control",Tank5!$C$6="Affected"))),NOT(OR(ISBLANK(Tank5!$C$7),ISBLANK(Tank5!$C$8),$BJ$28)))</f>
        <v>0</v>
      </c>
      <c r="CF65" s="596" t="b">
        <f>NOT(OR(ISBLANK(Tank5!$C$7),ISBLANK(Tank5!$C$8),$BJ$28))</f>
        <v>0</v>
      </c>
      <c r="CG65" s="596" t="b">
        <f>NOT(OR(ISBLANK(Tank5!$C$7),ISBLANK(Tank5!$C$8),$BJ$28))</f>
        <v>0</v>
      </c>
      <c r="CH65" s="596" t="b">
        <f>AND(NOT(OR(Tank5!$C$6="Modified",AND(Tank5!$C$23="No control",Tank5!$C$6="Affected"))),NOT(OR(ISBLANK(Tank5!$C$7),ISBLANK(Tank5!$C$8),$BJ$28)))</f>
        <v>0</v>
      </c>
      <c r="CI65" s="596" t="b">
        <f>AND(NOT(OR(Tank5!$C$6="Modified",AND(Tank5!$C$23="No control",Tank5!$C$6="Affected"))),NOT(OR(ISBLANK(Tank5!$C$7),ISBLANK(Tank5!$C$8),$BJ$28)))</f>
        <v>0</v>
      </c>
      <c r="CJ65" s="596" t="b">
        <f>AND(NOT(OR(Tank5!$C$6="Modified",AND(Tank5!$C$23="No control",Tank5!$C$6="Affected"))),NOT(OR(ISBLANK(Tank5!$C$7),ISBLANK(Tank5!$C$8),$BJ$28)))</f>
        <v>0</v>
      </c>
      <c r="CK65" s="596" t="b">
        <f>AND(NOT(OR(Tank5!$C$6="Modified",AND(Tank5!$C$23="No control",Tank5!$C$6="Affected"))),NOT(OR(ISBLANK(Tank5!$C$7),ISBLANK(Tank5!$C$8),$BJ$28)))</f>
        <v>0</v>
      </c>
      <c r="CL65" s="596" t="b">
        <f>AND(NOT(OR(Tank5!$C$6="Modified",AND(Tank5!$C$23="No control",Tank5!$C$6="Affected"))),NOT(OR(ISBLANK(Tank5!$C$7),ISBLANK(Tank5!$C$8),$BJ$28)))</f>
        <v>0</v>
      </c>
      <c r="CM65" s="598" t="b">
        <f>AND(NOT(OR(Tank5!$C$6="Modified",AND(Tank5!$C$23="No control",Tank5!$C$6="Affected"))),NOT(OR(ISBLANK(Tank5!$C$7),ISBLANK(Tank5!$C$8),$BJ$28)))</f>
        <v>0</v>
      </c>
    </row>
    <row r="66" spans="1:91" ht="21" customHeight="1" x14ac:dyDescent="0.25">
      <c r="A66" s="10"/>
      <c r="B66" s="16" t="s">
        <v>74</v>
      </c>
      <c r="C66" s="10">
        <v>100</v>
      </c>
      <c r="D66" s="10">
        <v>249</v>
      </c>
      <c r="E66" s="17">
        <v>249</v>
      </c>
      <c r="I66" s="436" t="s">
        <v>5638</v>
      </c>
      <c r="J66" s="26" t="s">
        <v>5637</v>
      </c>
      <c r="K66" s="10">
        <v>1</v>
      </c>
      <c r="L66" s="73">
        <f>IF(Tank1!$C$23="No control",(SUMIF(Tank1!$B$32:$B$49,$J66,Tank1!$C$32:$C$49)*Impacts!$F$8),0)</f>
        <v>0</v>
      </c>
      <c r="M66" s="10">
        <f>IF(Tank2!$C$23="No control",(SUMIF(Tank2!$B$32:$B$49,$J66,Tank2!$C$32:$C$49)*Impacts!$F$9),0)</f>
        <v>0</v>
      </c>
      <c r="N66" s="10">
        <f>IF(Tank3!$C$23="No control",(SUMIF(Tank3!$B$32:$B$49,$J66,Tank3!$C$32:$C$49)*Impacts!$F$10),0)</f>
        <v>0</v>
      </c>
      <c r="O66" s="10">
        <f>IF(Tank4!$C$23="No control",(SUMIF(Tank4!$B$32:$B$49,$J66,Tank4!$C$32:$C$49)*Impacts!$F$11),0)</f>
        <v>0</v>
      </c>
      <c r="P66" s="10">
        <f>IF(Tank5!$C$23="No control",(SUMIF(Tank5!$B$32:$B$49,$J66,Tank5!$C$32:$C$49)*Impacts!$F$12),0)</f>
        <v>0</v>
      </c>
      <c r="Q66" s="10">
        <f>IFERROR(IF(('Loading-drum,tote'!$C$21)="No control",SUMIF(('Loading-drum,tote'!$B$31:$B$48),$J66,('Loading-drum,tote'!$D$31:$D$48))*Impacts!$F$13,IF(('Loading-drum,tote'!$C$21)&lt;&gt;"No control",SUMIF(('Loading-drum,tote'!$B$31:$B$48),$J66,('Loading-drum,tote'!$E$31:$E$48))*Impacts!$F$13,0)),0)</f>
        <v>0</v>
      </c>
      <c r="R66" s="10">
        <f>IFERROR(IF(('Loading-truck'!$C$21)="No control",SUMIF(('Loading-truck'!$B$31:$B$48),$J66,('Loading-truck'!$D$31:$D$48))*Impacts!$F$14,IF(('Loading-truck'!$C$21)&lt;&gt;"No control",SUMIF(('Loading-truck'!$B$31:$B$48),$J66,('Loading-truck'!$E$31:$E$48))*Impacts!$F$14,0)),0)</f>
        <v>0</v>
      </c>
      <c r="S66" s="10">
        <f>IFERROR(IF(('Loading-rail'!$C$21)="No control",SUMIF(('Loading-rail'!$B$31:$B$48),$J66,('Loading-rail'!$D$31:$D$48))*Impacts!$F$15,IF(('Loading-rail'!$C$21)&lt;&gt;"No control",SUMIF(('Loading-rail'!$B$31:$B$48),$J66,('Loading-rail'!$E$31:$E$48))*Impacts!$F$15,0)),0)</f>
        <v>0</v>
      </c>
      <c r="T66" s="10">
        <f>IF(Flare!$C$7="",0,(SUMIF(Flare!$B$46:$B$185,$J66,Flare!$E$46:$E$185)*Impacts!$F$16))</f>
        <v>0</v>
      </c>
      <c r="U66" s="10">
        <f>IF(VCU!$C$9="",0,(SUMIF(VCU!$B$51:$B$193,$J66,VCU!$E$51:$E$193)*Impacts!$F$17))</f>
        <v>0</v>
      </c>
      <c r="V66" s="10">
        <f>IF(CAS!$C$7="",0,(SUMIF(CAS!$B$31:$B$167,$J66,CAS!$E$31:$E$167)*Impacts!$F$18))</f>
        <v>0</v>
      </c>
      <c r="W66" s="10">
        <f t="shared" si="25"/>
        <v>0</v>
      </c>
      <c r="AA66" s="48"/>
      <c r="AB66" s="20"/>
      <c r="AC66" s="10">
        <f>IF(OR(AI66=0,AI66="",ISNUMBER(MATCH(AI66,$AI$1:AI65,0))),0,MAX($AC$1:AC65)+1)</f>
        <v>0</v>
      </c>
      <c r="AD66" s="10">
        <f>IF(OR(AJ66=0,AJ66="",ISNUMBER(MATCH(AJ66,$AJ$1:AJ65,0))),0,MAX($AD$1:AD65)+1)</f>
        <v>0</v>
      </c>
      <c r="AE66" s="10">
        <f>IF(OR(AK66=0,AK66="",ISNUMBER(MATCH(AK66,$AK$1:AK65,0))),0,MAX($AE$1:AE65)+1)</f>
        <v>0</v>
      </c>
      <c r="AF66" s="10">
        <f>IF(OR(AH66=0,ISNUMBER(MATCH(AH66,$AH$1:AH65,0))),0,MAX($AF$1:AF65)+1)</f>
        <v>0</v>
      </c>
      <c r="AG66" s="10">
        <f>Tank4!$C$23</f>
        <v>0</v>
      </c>
      <c r="AH66" s="45">
        <f>Tank4!A46</f>
        <v>0</v>
      </c>
      <c r="AI66" s="10" t="str">
        <f t="shared" si="26"/>
        <v/>
      </c>
      <c r="AJ66" s="10" t="str">
        <f t="shared" si="26"/>
        <v/>
      </c>
      <c r="AK66" s="10" t="str">
        <f t="shared" si="26"/>
        <v/>
      </c>
      <c r="AL66" s="17" t="str">
        <f t="shared" ref="AL66:AL97" si="28">IFERROR(VLOOKUP(ROW(AL65),$AF$2:$AH$137,3,FALSE),"")</f>
        <v/>
      </c>
      <c r="AM66" s="20" t="str">
        <f t="shared" ref="AM66:AM97" si="29">IFERROR(VLOOKUP(ROW(AH65),$AC$2:$AH$137,6,FALSE),"")</f>
        <v/>
      </c>
      <c r="AN66" s="10" t="str">
        <f t="shared" ref="AN66:AN97" si="30">IFERROR(VLOOKUP(ROW(AH65),$AD$2:$AH$137,5,FALSE),"")</f>
        <v/>
      </c>
      <c r="AO66" s="17" t="str">
        <f t="shared" ref="AO66:AO97" si="31">IFERROR(VLOOKUP(ROW(AH65),$AE$2:$AH$137,4,FALSE),"")</f>
        <v/>
      </c>
      <c r="BE66" s="10"/>
      <c r="BI66" s="10"/>
      <c r="BQ66" s="10" t="s">
        <v>188</v>
      </c>
      <c r="BU66" s="625" t="s">
        <v>10186</v>
      </c>
      <c r="BV66" s="626" t="b">
        <f>AND(NOT(OR('Loading-drum,tote'!$C$6="Modified",AND('Loading-drum,tote'!$C$21="No control",'Loading-drum,tote'!$C$6="Affected"))),NOT(AND(ISBLANK('Loading-drum,tote'!$C$7),ISBLANK('Loading-drum,tote'!$C$8),ISBLANK('Loading-drum,tote'!$C$9))))</f>
        <v>0</v>
      </c>
      <c r="BW66" s="596" t="b">
        <f>AND(NOT(OR('Loading-drum,tote'!$C$6="Modified",AND('Loading-drum,tote'!$C$21="No control",'Loading-drum,tote'!$C$6="Affected"))),NOT(AND(ISBLANK('Loading-drum,tote'!$C$7),ISBLANK('Loading-drum,tote'!$C$8),ISBLANK('Loading-drum,tote'!$C$9))))</f>
        <v>0</v>
      </c>
      <c r="BX66" s="596" t="b">
        <f>AND(NOT(OR('Loading-drum,tote'!$C$6="Modified",AND('Loading-drum,tote'!$C$21="No control",'Loading-drum,tote'!$C$6="Affected"))),NOT(AND(ISBLANK('Loading-drum,tote'!$C$7),ISBLANK('Loading-drum,tote'!$C$8),ISBLANK('Loading-drum,tote'!$C$9))))</f>
        <v>0</v>
      </c>
      <c r="BY66" s="596" t="b">
        <f>AND(NOT(OR('Loading-drum,tote'!$C$6="Modified",AND('Loading-drum,tote'!$C$21="No control",'Loading-drum,tote'!$C$6="Affected"))),NOT(AND(ISBLANK('Loading-drum,tote'!$C$7),ISBLANK('Loading-drum,tote'!$C$8),ISBLANK('Loading-drum,tote'!$C$9))))</f>
        <v>0</v>
      </c>
      <c r="BZ66" s="596" t="b">
        <f>AND(NOT(OR('Loading-drum,tote'!$C$6="Modified",AND('Loading-drum,tote'!$C$21="No control",'Loading-drum,tote'!$C$6="Affected"))),NOT(AND(ISBLANK('Loading-drum,tote'!$C$7),ISBLANK('Loading-drum,tote'!$C$8),ISBLANK('Loading-drum,tote'!$C$9))))</f>
        <v>0</v>
      </c>
      <c r="CA66" s="596" t="b">
        <f>AND(NOT(OR('Loading-drum,tote'!$C$6="Modified",AND('Loading-drum,tote'!$C$21="No control",'Loading-drum,tote'!$C$6="Affected"))),NOT(AND(ISBLANK('Loading-drum,tote'!$C$7),ISBLANK('Loading-drum,tote'!$C$8),ISBLANK('Loading-drum,tote'!$C$9))))</f>
        <v>0</v>
      </c>
      <c r="CB66" s="596" t="b">
        <f>AND(NOT(OR('Loading-drum,tote'!$C$6="Modified",AND('Loading-drum,tote'!$C$21="No control",'Loading-drum,tote'!$C$6="Affected"))),NOT(AND(ISBLANK('Loading-drum,tote'!$C$7),ISBLANK('Loading-drum,tote'!$C$8),ISBLANK('Loading-drum,tote'!$C$9))))</f>
        <v>0</v>
      </c>
      <c r="CC66" s="596" t="b">
        <f>AND(NOT(OR('Loading-drum,tote'!$C$6="Modified",AND('Loading-drum,tote'!$C$21="No control",'Loading-drum,tote'!$C$6="Affected"))),NOT(AND(ISBLANK('Loading-drum,tote'!$C$7),ISBLANK('Loading-drum,tote'!$C$8),ISBLANK('Loading-drum,tote'!$C$9))))</f>
        <v>0</v>
      </c>
      <c r="CD66" s="596" t="b">
        <f>AND(NOT(OR('Loading-drum,tote'!$C$6="Modified",AND('Loading-drum,tote'!$C$21="No control",'Loading-drum,tote'!$C$6="Affected"))),NOT(AND(ISBLANK('Loading-drum,tote'!$C$7),ISBLANK('Loading-drum,tote'!$C$8),ISBLANK('Loading-drum,tote'!$C$9))))</f>
        <v>0</v>
      </c>
      <c r="CE66" s="596" t="b">
        <f>AND(NOT(OR('Loading-drum,tote'!$C$6="Modified",AND('Loading-drum,tote'!$C$21="No control",'Loading-drum,tote'!$C$6="Affected"))),NOT(AND(ISBLANK('Loading-drum,tote'!$C$7),ISBLANK('Loading-drum,tote'!$C$8),ISBLANK('Loading-drum,tote'!$C$9))))</f>
        <v>0</v>
      </c>
      <c r="CF66" s="596" t="b">
        <f>NOT(AND(ISBLANK('Loading-drum,tote'!$C$7),ISBLANK('Loading-drum,tote'!$C$8),ISBLANK('Loading-drum,tote'!$C$9)))</f>
        <v>0</v>
      </c>
      <c r="CG66" s="596" t="b">
        <f>NOT(AND(ISBLANK('Loading-drum,tote'!$C$7),ISBLANK('Loading-drum,tote'!$C$8),ISBLANK('Loading-drum,tote'!$C$9)))</f>
        <v>0</v>
      </c>
      <c r="CH66" s="596" t="b">
        <f>AND(NOT(OR('Loading-drum,tote'!$C$6="Modified",AND('Loading-drum,tote'!$C$21="No control",'Loading-drum,tote'!$C$6="Affected"))),NOT(AND(ISBLANK('Loading-drum,tote'!$C$7),ISBLANK('Loading-drum,tote'!$C$8),ISBLANK('Loading-drum,tote'!$C$9))))</f>
        <v>0</v>
      </c>
      <c r="CI66" s="596" t="b">
        <f>AND(NOT(OR('Loading-drum,tote'!$C$6="Modified",AND('Loading-drum,tote'!$C$21="No control",'Loading-drum,tote'!$C$6="Affected"))),NOT(AND(ISBLANK('Loading-drum,tote'!$C$7),ISBLANK('Loading-drum,tote'!$C$8),ISBLANK('Loading-drum,tote'!$C$9))))</f>
        <v>0</v>
      </c>
      <c r="CJ66" s="596" t="b">
        <f>AND(NOT(OR('Loading-drum,tote'!$C$6="Modified",AND('Loading-drum,tote'!$C$21="No control",'Loading-drum,tote'!$C$6="Affected"))),NOT(AND(ISBLANK('Loading-drum,tote'!$C$7),ISBLANK('Loading-drum,tote'!$C$8),ISBLANK('Loading-drum,tote'!$C$9))))</f>
        <v>0</v>
      </c>
      <c r="CK66" s="596" t="b">
        <f>AND(NOT(OR('Loading-drum,tote'!$C$6="Modified",AND('Loading-drum,tote'!$C$21="No control",'Loading-drum,tote'!$C$6="Affected"))),NOT(AND(ISBLANK('Loading-drum,tote'!$C$7),ISBLANK('Loading-drum,tote'!$C$8),ISBLANK('Loading-drum,tote'!$C$9))))</f>
        <v>0</v>
      </c>
      <c r="CL66" s="596" t="b">
        <f>AND(NOT(OR('Loading-drum,tote'!$C$6="Modified",AND('Loading-drum,tote'!$C$21="No control",'Loading-drum,tote'!$C$6="Affected"))),NOT(AND(ISBLANK('Loading-drum,tote'!$C$7),ISBLANK('Loading-drum,tote'!$C$8),ISBLANK('Loading-drum,tote'!$C$9))))</f>
        <v>0</v>
      </c>
      <c r="CM66" s="598" t="b">
        <f>AND(NOT(OR('Loading-drum,tote'!$C$6="Modified",AND('Loading-drum,tote'!$C$21="No control",'Loading-drum,tote'!$C$6="Affected"))),NOT(AND(ISBLANK('Loading-drum,tote'!$C$7),ISBLANK('Loading-drum,tote'!$C$8),ISBLANK('Loading-drum,tote'!$C$9))))</f>
        <v>0</v>
      </c>
    </row>
    <row r="67" spans="1:91" ht="21" customHeight="1" x14ac:dyDescent="0.25">
      <c r="A67" s="10"/>
      <c r="B67" s="16" t="s">
        <v>75</v>
      </c>
      <c r="C67" s="10">
        <v>100</v>
      </c>
      <c r="D67" s="10">
        <v>249</v>
      </c>
      <c r="E67" s="17">
        <v>249</v>
      </c>
      <c r="I67" s="436" t="s">
        <v>7884</v>
      </c>
      <c r="J67" s="26" t="s">
        <v>7883</v>
      </c>
      <c r="K67" s="10">
        <v>0.05</v>
      </c>
      <c r="L67" s="73">
        <f>IF(Tank1!$C$23="No control",(SUMIF(Tank1!$B$32:$B$49,$J67,Tank1!$C$32:$C$49)*Impacts!$F$8),0)</f>
        <v>0</v>
      </c>
      <c r="M67" s="10">
        <f>IF(Tank2!$C$23="No control",(SUMIF(Tank2!$B$32:$B$49,$J67,Tank2!$C$32:$C$49)*Impacts!$F$9),0)</f>
        <v>0</v>
      </c>
      <c r="N67" s="10">
        <f>IF(Tank3!$C$23="No control",(SUMIF(Tank3!$B$32:$B$49,$J67,Tank3!$C$32:$C$49)*Impacts!$F$10),0)</f>
        <v>0</v>
      </c>
      <c r="O67" s="10">
        <f>IF(Tank4!$C$23="No control",(SUMIF(Tank4!$B$32:$B$49,$J67,Tank4!$C$32:$C$49)*Impacts!$F$11),0)</f>
        <v>0</v>
      </c>
      <c r="P67" s="10">
        <f>IF(Tank5!$C$23="No control",(SUMIF(Tank5!$B$32:$B$49,$J67,Tank5!$C$32:$C$49)*Impacts!$F$12),0)</f>
        <v>0</v>
      </c>
      <c r="Q67" s="10">
        <f>IFERROR(IF(('Loading-drum,tote'!$C$21)="No control",SUMIF(('Loading-drum,tote'!$B$31:$B$48),$J67,('Loading-drum,tote'!$D$31:$D$48))*Impacts!$F$13,IF(('Loading-drum,tote'!$C$21)&lt;&gt;"No control",SUMIF(('Loading-drum,tote'!$B$31:$B$48),$J67,('Loading-drum,tote'!$E$31:$E$48))*Impacts!$F$13,0)),0)</f>
        <v>0</v>
      </c>
      <c r="R67" s="10">
        <f>IFERROR(IF(('Loading-truck'!$C$21)="No control",SUMIF(('Loading-truck'!$B$31:$B$48),$J67,('Loading-truck'!$D$31:$D$48))*Impacts!$F$14,IF(('Loading-truck'!$C$21)&lt;&gt;"No control",SUMIF(('Loading-truck'!$B$31:$B$48),$J67,('Loading-truck'!$E$31:$E$48))*Impacts!$F$14,0)),0)</f>
        <v>0</v>
      </c>
      <c r="S67" s="10">
        <f>IFERROR(IF(('Loading-rail'!$C$21)="No control",SUMIF(('Loading-rail'!$B$31:$B$48),$J67,('Loading-rail'!$D$31:$D$48))*Impacts!$F$15,IF(('Loading-rail'!$C$21)&lt;&gt;"No control",SUMIF(('Loading-rail'!$B$31:$B$48),$J67,('Loading-rail'!$E$31:$E$48))*Impacts!$F$15,0)),0)</f>
        <v>0</v>
      </c>
      <c r="T67" s="10">
        <f>IF(Flare!$C$7="",0,(SUMIF(Flare!$B$46:$B$185,$J67,Flare!$E$46:$E$185)*Impacts!$F$16))</f>
        <v>0</v>
      </c>
      <c r="U67" s="10">
        <f>IF(VCU!$C$9="",0,(SUMIF(VCU!$B$51:$B$193,$J67,VCU!$E$51:$E$193)*Impacts!$F$17))</f>
        <v>0</v>
      </c>
      <c r="V67" s="10">
        <f>IF(CAS!$C$7="",0,(SUMIF(CAS!$B$31:$B$167,$J67,CAS!$E$31:$E$167)*Impacts!$F$18))</f>
        <v>0</v>
      </c>
      <c r="W67" s="10">
        <f t="shared" ref="W67:W130" si="32">SUM(L67:V67)</f>
        <v>0</v>
      </c>
      <c r="AA67" s="48"/>
      <c r="AB67" s="20"/>
      <c r="AC67" s="10">
        <f>IF(OR(AI67=0,AI67="",ISNUMBER(MATCH(AI67,$AI$1:AI66,0))),0,MAX($AC$1:AC66)+1)</f>
        <v>0</v>
      </c>
      <c r="AD67" s="10">
        <f>IF(OR(AJ67=0,AJ67="",ISNUMBER(MATCH(AJ67,$AJ$1:AJ66,0))),0,MAX($AD$1:AD66)+1)</f>
        <v>0</v>
      </c>
      <c r="AE67" s="10">
        <f>IF(OR(AK67=0,AK67="",ISNUMBER(MATCH(AK67,$AK$1:AK66,0))),0,MAX($AE$1:AE66)+1)</f>
        <v>0</v>
      </c>
      <c r="AF67" s="10">
        <f>IF(OR(AH67=0,ISNUMBER(MATCH(AH67,$AH$1:AH66,0))),0,MAX($AF$1:AF66)+1)</f>
        <v>0</v>
      </c>
      <c r="AG67" s="10">
        <f>Tank4!$C$23</f>
        <v>0</v>
      </c>
      <c r="AH67" s="45">
        <f>Tank4!A47</f>
        <v>0</v>
      </c>
      <c r="AI67" s="10" t="str">
        <f t="shared" si="26"/>
        <v/>
      </c>
      <c r="AJ67" s="10" t="str">
        <f t="shared" si="26"/>
        <v/>
      </c>
      <c r="AK67" s="10" t="str">
        <f t="shared" si="26"/>
        <v/>
      </c>
      <c r="AL67" s="17" t="str">
        <f t="shared" si="28"/>
        <v/>
      </c>
      <c r="AM67" s="20" t="str">
        <f t="shared" si="29"/>
        <v/>
      </c>
      <c r="AN67" s="10" t="str">
        <f t="shared" si="30"/>
        <v/>
      </c>
      <c r="AO67" s="17" t="str">
        <f t="shared" si="31"/>
        <v/>
      </c>
      <c r="BE67" s="10"/>
      <c r="BI67" s="10"/>
      <c r="BQ67" s="10" t="s">
        <v>193</v>
      </c>
      <c r="BU67" s="625" t="s">
        <v>10187</v>
      </c>
      <c r="BV67" s="626" t="b">
        <f>AND(NOT(OR('Loading-truck'!$C$6="Modified",AND('Loading-truck'!$C$21="No control",'Loading-truck'!$C$6="Affected"))),NOT(AND(ISBLANK('Loading-truck'!$C$7),ISBLANK('Loading-truck'!$C$8),ISBLANK('Loading-truck'!$C$9))))</f>
        <v>0</v>
      </c>
      <c r="BW67" s="596" t="b">
        <f>AND(NOT(OR('Loading-truck'!$C$6="Modified",AND('Loading-truck'!$C$21="No control",'Loading-truck'!$C$6="Affected"))),NOT(AND(ISBLANK('Loading-truck'!$C$7),ISBLANK('Loading-truck'!$C$8),ISBLANK('Loading-truck'!$C$9))))</f>
        <v>0</v>
      </c>
      <c r="BX67" s="596" t="b">
        <f>AND(NOT(OR('Loading-truck'!$C$6="Modified",AND('Loading-truck'!$C$21="No control",'Loading-truck'!$C$6="Affected"))),NOT(AND(ISBLANK('Loading-truck'!$C$7),ISBLANK('Loading-truck'!$C$8),ISBLANK('Loading-truck'!$C$9))))</f>
        <v>0</v>
      </c>
      <c r="BY67" s="596" t="b">
        <f>AND(NOT(OR('Loading-truck'!$C$6="Modified",AND('Loading-truck'!$C$21="No control",'Loading-truck'!$C$6="Affected"))),NOT(AND(ISBLANK('Loading-truck'!$C$7),ISBLANK('Loading-truck'!$C$8),ISBLANK('Loading-truck'!$C$9))))</f>
        <v>0</v>
      </c>
      <c r="BZ67" s="596" t="b">
        <f>AND(NOT(OR('Loading-truck'!$C$6="Modified",AND('Loading-truck'!$C$21="No control",'Loading-truck'!$C$6="Affected"))),NOT(AND(ISBLANK('Loading-truck'!$C$7),ISBLANK('Loading-truck'!$C$8),ISBLANK('Loading-truck'!$C$9))))</f>
        <v>0</v>
      </c>
      <c r="CA67" s="596" t="b">
        <f>AND(NOT(OR('Loading-truck'!$C$6="Modified",AND('Loading-truck'!$C$21="No control",'Loading-truck'!$C$6="Affected"))),NOT(AND(ISBLANK('Loading-truck'!$C$7),ISBLANK('Loading-truck'!$C$8),ISBLANK('Loading-truck'!$C$9))))</f>
        <v>0</v>
      </c>
      <c r="CB67" s="596" t="b">
        <f>AND(NOT(OR('Loading-truck'!$C$6="Modified",AND('Loading-truck'!$C$21="No control",'Loading-truck'!$C$6="Affected"))),NOT(AND(ISBLANK('Loading-truck'!$C$7),ISBLANK('Loading-truck'!$C$8),ISBLANK('Loading-truck'!$C$9))))</f>
        <v>0</v>
      </c>
      <c r="CC67" s="596" t="b">
        <f>AND(NOT(OR('Loading-truck'!$C$6="Modified",AND('Loading-truck'!$C$21="No control",'Loading-truck'!$C$6="Affected"))),NOT(AND(ISBLANK('Loading-truck'!$C$7),ISBLANK('Loading-truck'!$C$8),ISBLANK('Loading-truck'!$C$9))))</f>
        <v>0</v>
      </c>
      <c r="CD67" s="596" t="b">
        <f>AND(NOT(OR('Loading-truck'!$C$6="Modified",AND('Loading-truck'!$C$21="No control",'Loading-truck'!$C$6="Affected"))),NOT(AND(ISBLANK('Loading-truck'!$C$7),ISBLANK('Loading-truck'!$C$8),ISBLANK('Loading-truck'!$C$9))))</f>
        <v>0</v>
      </c>
      <c r="CE67" s="596" t="b">
        <f>AND(NOT(OR('Loading-truck'!$C$6="Modified",AND('Loading-truck'!$C$21="No control",'Loading-truck'!$C$6="Affected"))),NOT(AND(ISBLANK('Loading-truck'!$C$7),ISBLANK('Loading-truck'!$C$8),ISBLANK('Loading-truck'!$C$9))))</f>
        <v>0</v>
      </c>
      <c r="CF67" s="596" t="b">
        <f>NOT(AND(ISBLANK('Loading-truck'!$C$7),ISBLANK('Loading-truck'!$C$8),ISBLANK('Loading-truck'!$C$9)))</f>
        <v>0</v>
      </c>
      <c r="CG67" s="596" t="b">
        <f>NOT(AND(ISBLANK('Loading-truck'!$C$7),ISBLANK('Loading-truck'!$C$8),ISBLANK('Loading-truck'!$C$9)))</f>
        <v>0</v>
      </c>
      <c r="CH67" s="596" t="b">
        <f>AND(NOT(OR('Loading-truck'!$C$6="Modified",AND('Loading-truck'!$C$21="No control",'Loading-truck'!$C$6="Affected"))),NOT(AND(ISBLANK('Loading-truck'!$C$7),ISBLANK('Loading-truck'!$C$8),ISBLANK('Loading-truck'!$C$9))))</f>
        <v>0</v>
      </c>
      <c r="CI67" s="596" t="b">
        <f>AND(NOT(OR('Loading-truck'!$C$6="Modified",AND('Loading-truck'!$C$21="No control",'Loading-truck'!$C$6="Affected"))),NOT(AND(ISBLANK('Loading-truck'!$C$7),ISBLANK('Loading-truck'!$C$8),ISBLANK('Loading-truck'!$C$9))))</f>
        <v>0</v>
      </c>
      <c r="CJ67" s="596" t="b">
        <f>AND(NOT(OR('Loading-truck'!$C$6="Modified",AND('Loading-truck'!$C$21="No control",'Loading-truck'!$C$6="Affected"))),NOT(AND(ISBLANK('Loading-truck'!$C$7),ISBLANK('Loading-truck'!$C$8),ISBLANK('Loading-truck'!$C$9))))</f>
        <v>0</v>
      </c>
      <c r="CK67" s="596" t="b">
        <f>AND(NOT(OR('Loading-truck'!$C$6="Modified",AND('Loading-truck'!$C$21="No control",'Loading-truck'!$C$6="Affected"))),NOT(AND(ISBLANK('Loading-truck'!$C$7),ISBLANK('Loading-truck'!$C$8),ISBLANK('Loading-truck'!$C$9))))</f>
        <v>0</v>
      </c>
      <c r="CL67" s="596" t="b">
        <f>AND(NOT(OR('Loading-truck'!$C$6="Modified",AND('Loading-truck'!$C$21="No control",'Loading-truck'!$C$6="Affected"))),NOT(AND(ISBLANK('Loading-truck'!$C$7),ISBLANK('Loading-truck'!$C$8),ISBLANK('Loading-truck'!$C$9))))</f>
        <v>0</v>
      </c>
      <c r="CM67" s="598" t="b">
        <f>AND(NOT(OR('Loading-truck'!$C$6="Modified",AND('Loading-truck'!$C$21="No control",'Loading-truck'!$C$6="Affected"))),NOT(AND(ISBLANK('Loading-truck'!$C$7),ISBLANK('Loading-truck'!$C$8),ISBLANK('Loading-truck'!$C$9))))</f>
        <v>0</v>
      </c>
    </row>
    <row r="68" spans="1:91" ht="21" customHeight="1" x14ac:dyDescent="0.25">
      <c r="A68" s="10"/>
      <c r="B68" s="16" t="s">
        <v>76</v>
      </c>
      <c r="C68" s="10">
        <v>100</v>
      </c>
      <c r="D68" s="10">
        <v>249</v>
      </c>
      <c r="E68" s="17">
        <v>249</v>
      </c>
      <c r="I68" s="436" t="s">
        <v>7676</v>
      </c>
      <c r="J68" s="26" t="s">
        <v>7675</v>
      </c>
      <c r="K68" s="10">
        <v>0.1</v>
      </c>
      <c r="L68" s="73">
        <f>IF(Tank1!$C$23="No control",(SUMIF(Tank1!$B$32:$B$49,$J68,Tank1!$C$32:$C$49)*Impacts!$F$8),0)</f>
        <v>0</v>
      </c>
      <c r="M68" s="10">
        <f>IF(Tank2!$C$23="No control",(SUMIF(Tank2!$B$32:$B$49,$J68,Tank2!$C$32:$C$49)*Impacts!$F$9),0)</f>
        <v>0</v>
      </c>
      <c r="N68" s="10">
        <f>IF(Tank3!$C$23="No control",(SUMIF(Tank3!$B$32:$B$49,$J68,Tank3!$C$32:$C$49)*Impacts!$F$10),0)</f>
        <v>0</v>
      </c>
      <c r="O68" s="10">
        <f>IF(Tank4!$C$23="No control",(SUMIF(Tank4!$B$32:$B$49,$J68,Tank4!$C$32:$C$49)*Impacts!$F$11),0)</f>
        <v>0</v>
      </c>
      <c r="P68" s="10">
        <f>IF(Tank5!$C$23="No control",(SUMIF(Tank5!$B$32:$B$49,$J68,Tank5!$C$32:$C$49)*Impacts!$F$12),0)</f>
        <v>0</v>
      </c>
      <c r="Q68" s="10">
        <f>IFERROR(IF(('Loading-drum,tote'!$C$21)="No control",SUMIF(('Loading-drum,tote'!$B$31:$B$48),$J68,('Loading-drum,tote'!$D$31:$D$48))*Impacts!$F$13,IF(('Loading-drum,tote'!$C$21)&lt;&gt;"No control",SUMIF(('Loading-drum,tote'!$B$31:$B$48),$J68,('Loading-drum,tote'!$E$31:$E$48))*Impacts!$F$13,0)),0)</f>
        <v>0</v>
      </c>
      <c r="R68" s="10">
        <f>IFERROR(IF(('Loading-truck'!$C$21)="No control",SUMIF(('Loading-truck'!$B$31:$B$48),$J68,('Loading-truck'!$D$31:$D$48))*Impacts!$F$14,IF(('Loading-truck'!$C$21)&lt;&gt;"No control",SUMIF(('Loading-truck'!$B$31:$B$48),$J68,('Loading-truck'!$E$31:$E$48))*Impacts!$F$14,0)),0)</f>
        <v>0</v>
      </c>
      <c r="S68" s="10">
        <f>IFERROR(IF(('Loading-rail'!$C$21)="No control",SUMIF(('Loading-rail'!$B$31:$B$48),$J68,('Loading-rail'!$D$31:$D$48))*Impacts!$F$15,IF(('Loading-rail'!$C$21)&lt;&gt;"No control",SUMIF(('Loading-rail'!$B$31:$B$48),$J68,('Loading-rail'!$E$31:$E$48))*Impacts!$F$15,0)),0)</f>
        <v>0</v>
      </c>
      <c r="T68" s="10">
        <f>IF(Flare!$C$7="",0,(SUMIF(Flare!$B$46:$B$185,$J68,Flare!$E$46:$E$185)*Impacts!$F$16))</f>
        <v>0</v>
      </c>
      <c r="U68" s="10">
        <f>IF(VCU!$C$9="",0,(SUMIF(VCU!$B$51:$B$193,$J68,VCU!$E$51:$E$193)*Impacts!$F$17))</f>
        <v>0</v>
      </c>
      <c r="V68" s="10">
        <f>IF(CAS!$C$7="",0,(SUMIF(CAS!$B$31:$B$167,$J68,CAS!$E$31:$E$167)*Impacts!$F$18))</f>
        <v>0</v>
      </c>
      <c r="W68" s="10">
        <f t="shared" si="32"/>
        <v>0</v>
      </c>
      <c r="AA68" s="48"/>
      <c r="AB68" s="20"/>
      <c r="AC68" s="10">
        <f>IF(OR(AI68=0,AI68="",ISNUMBER(MATCH(AI68,$AI$1:AI67,0))),0,MAX($AC$1:AC67)+1)</f>
        <v>0</v>
      </c>
      <c r="AD68" s="10">
        <f>IF(OR(AJ68=0,AJ68="",ISNUMBER(MATCH(AJ68,$AJ$1:AJ67,0))),0,MAX($AD$1:AD67)+1)</f>
        <v>0</v>
      </c>
      <c r="AE68" s="10">
        <f>IF(OR(AK68=0,AK68="",ISNUMBER(MATCH(AK68,$AK$1:AK67,0))),0,MAX($AE$1:AE67)+1)</f>
        <v>0</v>
      </c>
      <c r="AF68" s="10">
        <f>IF(OR(AH68=0,ISNUMBER(MATCH(AH68,$AH$1:AH67,0))),0,MAX($AF$1:AF67)+1)</f>
        <v>0</v>
      </c>
      <c r="AG68" s="10">
        <f>Tank4!$C$23</f>
        <v>0</v>
      </c>
      <c r="AH68" s="45">
        <f>Tank4!A48</f>
        <v>0</v>
      </c>
      <c r="AI68" s="10" t="str">
        <f t="shared" si="26"/>
        <v/>
      </c>
      <c r="AJ68" s="10" t="str">
        <f t="shared" si="26"/>
        <v/>
      </c>
      <c r="AK68" s="10" t="str">
        <f t="shared" si="26"/>
        <v/>
      </c>
      <c r="AL68" s="17" t="str">
        <f t="shared" si="28"/>
        <v/>
      </c>
      <c r="AM68" s="20" t="str">
        <f t="shared" si="29"/>
        <v/>
      </c>
      <c r="AN68" s="10" t="str">
        <f t="shared" si="30"/>
        <v/>
      </c>
      <c r="AO68" s="17" t="str">
        <f t="shared" si="31"/>
        <v/>
      </c>
      <c r="BE68" s="10"/>
      <c r="BI68" s="10"/>
      <c r="BQ68" s="10" t="s">
        <v>194</v>
      </c>
      <c r="BU68" s="625" t="s">
        <v>10188</v>
      </c>
      <c r="BV68" s="626" t="b">
        <f>AND(NOT(OR('Loading-rail'!$C$6="Modified",AND('Loading-rail'!$C$21="No control",'Loading-rail'!$C$6="Affected"))),NOT(AND(ISBLANK('Loading-rail'!$C$7),ISBLANK('Loading-rail'!$C$8),ISBLANK('Loading-rail'!$C$9))))</f>
        <v>0</v>
      </c>
      <c r="BW68" s="596" t="b">
        <f>AND(NOT(OR('Loading-rail'!$C$6="Modified",AND('Loading-rail'!$C$21="No control",'Loading-rail'!$C$6="Affected"))),NOT(AND(ISBLANK('Loading-rail'!$C$7),ISBLANK('Loading-rail'!$C$8),ISBLANK('Loading-rail'!$C$9))))</f>
        <v>0</v>
      </c>
      <c r="BX68" s="596" t="b">
        <f>AND(NOT(OR('Loading-rail'!$C$6="Modified",AND('Loading-rail'!$C$21="No control",'Loading-rail'!$C$6="Affected"))),NOT(AND(ISBLANK('Loading-rail'!$C$7),ISBLANK('Loading-rail'!$C$8),ISBLANK('Loading-rail'!$C$9))))</f>
        <v>0</v>
      </c>
      <c r="BY68" s="596" t="b">
        <f>AND(NOT(OR('Loading-rail'!$C$6="Modified",AND('Loading-rail'!$C$21="No control",'Loading-rail'!$C$6="Affected"))),NOT(AND(ISBLANK('Loading-rail'!$C$7),ISBLANK('Loading-rail'!$C$8),ISBLANK('Loading-rail'!$C$9))))</f>
        <v>0</v>
      </c>
      <c r="BZ68" s="596" t="b">
        <f>AND(NOT(OR('Loading-rail'!$C$6="Modified",AND('Loading-rail'!$C$21="No control",'Loading-rail'!$C$6="Affected"))),NOT(AND(ISBLANK('Loading-rail'!$C$7),ISBLANK('Loading-rail'!$C$8),ISBLANK('Loading-rail'!$C$9))))</f>
        <v>0</v>
      </c>
      <c r="CA68" s="596" t="b">
        <f>AND(NOT(OR('Loading-rail'!$C$6="Modified",AND('Loading-rail'!$C$21="No control",'Loading-rail'!$C$6="Affected"))),NOT(AND(ISBLANK('Loading-rail'!$C$7),ISBLANK('Loading-rail'!$C$8),ISBLANK('Loading-rail'!$C$9))))</f>
        <v>0</v>
      </c>
      <c r="CB68" s="596" t="b">
        <f>AND(NOT(OR('Loading-rail'!$C$6="Modified",AND('Loading-rail'!$C$21="No control",'Loading-rail'!$C$6="Affected"))),NOT(AND(ISBLANK('Loading-rail'!$C$7),ISBLANK('Loading-rail'!$C$8),ISBLANK('Loading-rail'!$C$9))))</f>
        <v>0</v>
      </c>
      <c r="CC68" s="596" t="b">
        <f>AND(NOT(OR('Loading-rail'!$C$6="Modified",AND('Loading-rail'!$C$21="No control",'Loading-rail'!$C$6="Affected"))),NOT(AND(ISBLANK('Loading-rail'!$C$7),ISBLANK('Loading-rail'!$C$8),ISBLANK('Loading-rail'!$C$9))))</f>
        <v>0</v>
      </c>
      <c r="CD68" s="596" t="b">
        <f>AND(NOT(OR('Loading-rail'!$C$6="Modified",AND('Loading-rail'!$C$21="No control",'Loading-rail'!$C$6="Affected"))),NOT(AND(ISBLANK('Loading-rail'!$C$7),ISBLANK('Loading-rail'!$C$8),ISBLANK('Loading-rail'!$C$9))))</f>
        <v>0</v>
      </c>
      <c r="CE68" s="596" t="b">
        <f>AND(NOT(OR('Loading-rail'!$C$6="Modified",AND('Loading-rail'!$C$21="No control",'Loading-rail'!$C$6="Affected"))),NOT(AND(ISBLANK('Loading-rail'!$C$7),ISBLANK('Loading-rail'!$C$8),ISBLANK('Loading-rail'!$C$9))))</f>
        <v>0</v>
      </c>
      <c r="CF68" s="596" t="b">
        <f>NOT(AND(ISBLANK('Loading-rail'!$C$7),ISBLANK('Loading-rail'!$C$8),ISBLANK('Loading-rail'!$C$9)))</f>
        <v>0</v>
      </c>
      <c r="CG68" s="596" t="b">
        <f>NOT(AND(ISBLANK('Loading-rail'!$C$7),ISBLANK('Loading-rail'!$C$8),ISBLANK('Loading-rail'!$C$9)))</f>
        <v>0</v>
      </c>
      <c r="CH68" s="596" t="b">
        <f>AND(NOT(OR('Loading-rail'!$C$6="Modified",AND('Loading-rail'!$C$21="No control",'Loading-rail'!$C$6="Affected"))),NOT(AND(ISBLANK('Loading-rail'!$C$7),ISBLANK('Loading-rail'!$C$8),ISBLANK('Loading-rail'!$C$9))))</f>
        <v>0</v>
      </c>
      <c r="CI68" s="596" t="b">
        <f>AND(NOT(OR('Loading-rail'!$C$6="Modified",AND('Loading-rail'!$C$21="No control",'Loading-rail'!$C$6="Affected"))),NOT(AND(ISBLANK('Loading-rail'!$C$7),ISBLANK('Loading-rail'!$C$8),ISBLANK('Loading-rail'!$C$9))))</f>
        <v>0</v>
      </c>
      <c r="CJ68" s="596" t="b">
        <f>AND(NOT(OR('Loading-rail'!$C$6="Modified",AND('Loading-rail'!$C$21="No control",'Loading-rail'!$C$6="Affected"))),NOT(AND(ISBLANK('Loading-rail'!$C$7),ISBLANK('Loading-rail'!$C$8),ISBLANK('Loading-rail'!$C$9))))</f>
        <v>0</v>
      </c>
      <c r="CK68" s="596" t="b">
        <f>AND(NOT(OR('Loading-rail'!$C$6="Modified",AND('Loading-rail'!$C$21="No control",'Loading-rail'!$C$6="Affected"))),NOT(AND(ISBLANK('Loading-rail'!$C$7),ISBLANK('Loading-rail'!$C$8),ISBLANK('Loading-rail'!$C$9))))</f>
        <v>0</v>
      </c>
      <c r="CL68" s="596" t="b">
        <f>AND(NOT(OR('Loading-rail'!$C$6="Modified",AND('Loading-rail'!$C$21="No control",'Loading-rail'!$C$6="Affected"))),NOT(AND(ISBLANK('Loading-rail'!$C$7),ISBLANK('Loading-rail'!$C$8),ISBLANK('Loading-rail'!$C$9))))</f>
        <v>0</v>
      </c>
      <c r="CM68" s="598" t="b">
        <f>AND(NOT(OR('Loading-rail'!$C$6="Modified",AND('Loading-rail'!$C$21="No control",'Loading-rail'!$C$6="Affected"))),NOT(AND(ISBLANK('Loading-rail'!$C$7),ISBLANK('Loading-rail'!$C$8),ISBLANK('Loading-rail'!$C$9))))</f>
        <v>0</v>
      </c>
    </row>
    <row r="69" spans="1:91" ht="21" customHeight="1" x14ac:dyDescent="0.25">
      <c r="A69" s="10"/>
      <c r="B69" s="16" t="s">
        <v>77</v>
      </c>
      <c r="C69" s="10">
        <v>100</v>
      </c>
      <c r="D69" s="10">
        <v>249</v>
      </c>
      <c r="E69" s="17">
        <v>249</v>
      </c>
      <c r="I69" s="436" t="s">
        <v>5640</v>
      </c>
      <c r="J69" s="26" t="s">
        <v>5639</v>
      </c>
      <c r="K69" s="10">
        <v>1</v>
      </c>
      <c r="L69" s="73">
        <f>IF(Tank1!$C$23="No control",(SUMIF(Tank1!$B$32:$B$49,$J69,Tank1!$C$32:$C$49)*Impacts!$F$8),0)</f>
        <v>0</v>
      </c>
      <c r="M69" s="10">
        <f>IF(Tank2!$C$23="No control",(SUMIF(Tank2!$B$32:$B$49,$J69,Tank2!$C$32:$C$49)*Impacts!$F$9),0)</f>
        <v>0</v>
      </c>
      <c r="N69" s="10">
        <f>IF(Tank3!$C$23="No control",(SUMIF(Tank3!$B$32:$B$49,$J69,Tank3!$C$32:$C$49)*Impacts!$F$10),0)</f>
        <v>0</v>
      </c>
      <c r="O69" s="10">
        <f>IF(Tank4!$C$23="No control",(SUMIF(Tank4!$B$32:$B$49,$J69,Tank4!$C$32:$C$49)*Impacts!$F$11),0)</f>
        <v>0</v>
      </c>
      <c r="P69" s="10">
        <f>IF(Tank5!$C$23="No control",(SUMIF(Tank5!$B$32:$B$49,$J69,Tank5!$C$32:$C$49)*Impacts!$F$12),0)</f>
        <v>0</v>
      </c>
      <c r="Q69" s="10">
        <f>IFERROR(IF(('Loading-drum,tote'!$C$21)="No control",SUMIF(('Loading-drum,tote'!$B$31:$B$48),$J69,('Loading-drum,tote'!$D$31:$D$48))*Impacts!$F$13,IF(('Loading-drum,tote'!$C$21)&lt;&gt;"No control",SUMIF(('Loading-drum,tote'!$B$31:$B$48),$J69,('Loading-drum,tote'!$E$31:$E$48))*Impacts!$F$13,0)),0)</f>
        <v>0</v>
      </c>
      <c r="R69" s="10">
        <f>IFERROR(IF(('Loading-truck'!$C$21)="No control",SUMIF(('Loading-truck'!$B$31:$B$48),$J69,('Loading-truck'!$D$31:$D$48))*Impacts!$F$14,IF(('Loading-truck'!$C$21)&lt;&gt;"No control",SUMIF(('Loading-truck'!$B$31:$B$48),$J69,('Loading-truck'!$E$31:$E$48))*Impacts!$F$14,0)),0)</f>
        <v>0</v>
      </c>
      <c r="S69" s="10">
        <f>IFERROR(IF(('Loading-rail'!$C$21)="No control",SUMIF(('Loading-rail'!$B$31:$B$48),$J69,('Loading-rail'!$D$31:$D$48))*Impacts!$F$15,IF(('Loading-rail'!$C$21)&lt;&gt;"No control",SUMIF(('Loading-rail'!$B$31:$B$48),$J69,('Loading-rail'!$E$31:$E$48))*Impacts!$F$15,0)),0)</f>
        <v>0</v>
      </c>
      <c r="T69" s="10">
        <f>IF(Flare!$C$7="",0,(SUMIF(Flare!$B$46:$B$185,$J69,Flare!$E$46:$E$185)*Impacts!$F$16))</f>
        <v>0</v>
      </c>
      <c r="U69" s="10">
        <f>IF(VCU!$C$9="",0,(SUMIF(VCU!$B$51:$B$193,$J69,VCU!$E$51:$E$193)*Impacts!$F$17))</f>
        <v>0</v>
      </c>
      <c r="V69" s="10">
        <f>IF(CAS!$C$7="",0,(SUMIF(CAS!$B$31:$B$167,$J69,CAS!$E$31:$E$167)*Impacts!$F$18))</f>
        <v>0</v>
      </c>
      <c r="W69" s="10">
        <f t="shared" si="32"/>
        <v>0</v>
      </c>
      <c r="AA69" s="48"/>
      <c r="AB69" s="20"/>
      <c r="AC69" s="10">
        <f>IF(OR(AI69=0,AI69="",ISNUMBER(MATCH(AI69,$AI$1:AI68,0))),0,MAX($AC$1:AC68)+1)</f>
        <v>0</v>
      </c>
      <c r="AD69" s="10">
        <f>IF(OR(AJ69=0,AJ69="",ISNUMBER(MATCH(AJ69,$AJ$1:AJ68,0))),0,MAX($AD$1:AD68)+1)</f>
        <v>0</v>
      </c>
      <c r="AE69" s="10">
        <f>IF(OR(AK69=0,AK69="",ISNUMBER(MATCH(AK69,$AK$1:AK68,0))),0,MAX($AE$1:AE68)+1)</f>
        <v>0</v>
      </c>
      <c r="AF69" s="10">
        <f>IF(OR(AH69=0,ISNUMBER(MATCH(AH69,$AH$1:AH68,0))),0,MAX($AF$1:AF68)+1)</f>
        <v>0</v>
      </c>
      <c r="AG69" s="10">
        <f>Tank4!$C$23</f>
        <v>0</v>
      </c>
      <c r="AH69" s="45">
        <f>Tank4!A49</f>
        <v>0</v>
      </c>
      <c r="AI69" s="10" t="str">
        <f t="shared" si="26"/>
        <v/>
      </c>
      <c r="AJ69" s="10" t="str">
        <f t="shared" si="26"/>
        <v/>
      </c>
      <c r="AK69" s="10" t="str">
        <f t="shared" si="26"/>
        <v/>
      </c>
      <c r="AL69" s="17" t="str">
        <f t="shared" si="28"/>
        <v/>
      </c>
      <c r="AM69" s="20" t="str">
        <f t="shared" si="29"/>
        <v/>
      </c>
      <c r="AN69" s="10" t="str">
        <f t="shared" si="30"/>
        <v/>
      </c>
      <c r="AO69" s="17" t="str">
        <f t="shared" si="31"/>
        <v/>
      </c>
      <c r="BE69" s="10"/>
      <c r="BI69" s="10"/>
      <c r="BQ69" s="10" t="s">
        <v>197</v>
      </c>
      <c r="BU69" s="625" t="s">
        <v>267</v>
      </c>
      <c r="BV69" s="626" t="b">
        <f>NOT(AND(ISBLANK(Flare!$C$7),ISBLANK(Flare!$C$8)))</f>
        <v>0</v>
      </c>
      <c r="BW69" s="596" t="b">
        <f>NOT(AND(ISBLANK(Flare!$C$7),ISBLANK(Flare!$C$8)))</f>
        <v>0</v>
      </c>
      <c r="BX69" s="596" t="b">
        <f>NOT(AND(ISBLANK(Flare!$C$7),ISBLANK(Flare!$C$8)))</f>
        <v>0</v>
      </c>
      <c r="BY69" s="596" t="b">
        <f>NOT(AND(ISBLANK(Flare!$C$7),ISBLANK(Flare!$C$8)))</f>
        <v>0</v>
      </c>
      <c r="BZ69" s="596" t="b">
        <f>NOT(AND(ISBLANK(Flare!$C$7),ISBLANK(Flare!$C$8)))</f>
        <v>0</v>
      </c>
      <c r="CA69" s="596" t="b">
        <f>NOT(AND(ISBLANK(Flare!$C$7),ISBLANK(Flare!$C$8)))</f>
        <v>0</v>
      </c>
      <c r="CB69" s="596" t="b">
        <f>NOT(AND(ISBLANK(Flare!$C$7),ISBLANK(Flare!$C$8)))</f>
        <v>0</v>
      </c>
      <c r="CC69" s="596" t="b">
        <f>NOT(AND(ISBLANK(Flare!$C$7),ISBLANK(Flare!$C$8)))</f>
        <v>0</v>
      </c>
      <c r="CD69" s="596" t="b">
        <f>NOT(AND(ISBLANK(Flare!$C$7),ISBLANK(Flare!$C$8)))</f>
        <v>0</v>
      </c>
      <c r="CE69" s="596" t="b">
        <f>NOT(AND(ISBLANK(Flare!$C$7),ISBLANK(Flare!$C$8)))</f>
        <v>0</v>
      </c>
      <c r="CF69" s="596" t="b">
        <f>NOT(AND(ISBLANK(Flare!$C$7),ISBLANK(Flare!$C$8)))</f>
        <v>0</v>
      </c>
      <c r="CG69" s="596" t="b">
        <f>NOT(AND(ISBLANK(Flare!$C$7),ISBLANK(Flare!$C$8)))</f>
        <v>0</v>
      </c>
      <c r="CH69" s="596" t="b">
        <f>NOT(AND(ISBLANK(Flare!$C$7),ISBLANK(Flare!$C$8)))</f>
        <v>0</v>
      </c>
      <c r="CI69" s="596" t="b">
        <f>NOT(AND(ISBLANK(Flare!$C$7),ISBLANK(Flare!$C$8)))</f>
        <v>0</v>
      </c>
      <c r="CJ69" s="596" t="b">
        <f>NOT(AND(ISBLANK(Flare!$C$7),ISBLANK(Flare!$C$8)))</f>
        <v>0</v>
      </c>
      <c r="CK69" s="596" t="b">
        <f>NOT(AND(ISBLANK(Flare!$C$7),ISBLANK(Flare!$C$8)))</f>
        <v>0</v>
      </c>
      <c r="CL69" s="596" t="b">
        <f>NOT(AND(ISBLANK(Flare!$C$7),ISBLANK(Flare!$C$8)))</f>
        <v>0</v>
      </c>
      <c r="CM69" s="598" t="b">
        <f>NOT(AND(ISBLANK(Flare!$C$7),ISBLANK(Flare!$C$8)))</f>
        <v>0</v>
      </c>
    </row>
    <row r="70" spans="1:91" ht="21" customHeight="1" x14ac:dyDescent="0.25">
      <c r="A70" s="10"/>
      <c r="B70" s="16" t="s">
        <v>78</v>
      </c>
      <c r="C70" s="10">
        <v>100</v>
      </c>
      <c r="D70" s="10">
        <v>249</v>
      </c>
      <c r="E70" s="17">
        <v>249</v>
      </c>
      <c r="I70" s="436" t="s">
        <v>8100</v>
      </c>
      <c r="J70" s="26" t="s">
        <v>8099</v>
      </c>
      <c r="K70" s="10">
        <v>6.3E-3</v>
      </c>
      <c r="L70" s="73">
        <f>IF(Tank1!$C$23="No control",(SUMIF(Tank1!$B$32:$B$49,$J70,Tank1!$C$32:$C$49)*Impacts!$F$8),0)</f>
        <v>0</v>
      </c>
      <c r="M70" s="10">
        <f>IF(Tank2!$C$23="No control",(SUMIF(Tank2!$B$32:$B$49,$J70,Tank2!$C$32:$C$49)*Impacts!$F$9),0)</f>
        <v>0</v>
      </c>
      <c r="N70" s="10">
        <f>IF(Tank3!$C$23="No control",(SUMIF(Tank3!$B$32:$B$49,$J70,Tank3!$C$32:$C$49)*Impacts!$F$10),0)</f>
        <v>0</v>
      </c>
      <c r="O70" s="10">
        <f>IF(Tank4!$C$23="No control",(SUMIF(Tank4!$B$32:$B$49,$J70,Tank4!$C$32:$C$49)*Impacts!$F$11),0)</f>
        <v>0</v>
      </c>
      <c r="P70" s="10">
        <f>IF(Tank5!$C$23="No control",(SUMIF(Tank5!$B$32:$B$49,$J70,Tank5!$C$32:$C$49)*Impacts!$F$12),0)</f>
        <v>0</v>
      </c>
      <c r="Q70" s="10">
        <f>IFERROR(IF(('Loading-drum,tote'!$C$21)="No control",SUMIF(('Loading-drum,tote'!$B$31:$B$48),$J70,('Loading-drum,tote'!$D$31:$D$48))*Impacts!$F$13,IF(('Loading-drum,tote'!$C$21)&lt;&gt;"No control",SUMIF(('Loading-drum,tote'!$B$31:$B$48),$J70,('Loading-drum,tote'!$E$31:$E$48))*Impacts!$F$13,0)),0)</f>
        <v>0</v>
      </c>
      <c r="R70" s="10">
        <f>IFERROR(IF(('Loading-truck'!$C$21)="No control",SUMIF(('Loading-truck'!$B$31:$B$48),$J70,('Loading-truck'!$D$31:$D$48))*Impacts!$F$14,IF(('Loading-truck'!$C$21)&lt;&gt;"No control",SUMIF(('Loading-truck'!$B$31:$B$48),$J70,('Loading-truck'!$E$31:$E$48))*Impacts!$F$14,0)),0)</f>
        <v>0</v>
      </c>
      <c r="S70" s="10">
        <f>IFERROR(IF(('Loading-rail'!$C$21)="No control",SUMIF(('Loading-rail'!$B$31:$B$48),$J70,('Loading-rail'!$D$31:$D$48))*Impacts!$F$15,IF(('Loading-rail'!$C$21)&lt;&gt;"No control",SUMIF(('Loading-rail'!$B$31:$B$48),$J70,('Loading-rail'!$E$31:$E$48))*Impacts!$F$15,0)),0)</f>
        <v>0</v>
      </c>
      <c r="T70" s="10">
        <f>IF(Flare!$C$7="",0,(SUMIF(Flare!$B$46:$B$185,$J70,Flare!$E$46:$E$185)*Impacts!$F$16))</f>
        <v>0</v>
      </c>
      <c r="U70" s="10">
        <f>IF(VCU!$C$9="",0,(SUMIF(VCU!$B$51:$B$193,$J70,VCU!$E$51:$E$193)*Impacts!$F$17))</f>
        <v>0</v>
      </c>
      <c r="V70" s="10">
        <f>IF(CAS!$C$7="",0,(SUMIF(CAS!$B$31:$B$167,$J70,CAS!$E$31:$E$167)*Impacts!$F$18))</f>
        <v>0</v>
      </c>
      <c r="W70" s="10">
        <f t="shared" si="32"/>
        <v>0</v>
      </c>
      <c r="AA70" s="48"/>
      <c r="AB70" s="75" t="s">
        <v>8362</v>
      </c>
      <c r="AC70" s="101">
        <f>IF(OR(AI70=0,AI70="",ISNUMBER(MATCH(AI70,$AI$1:AI69,0))),0,MAX($AC$1:AC69)+1)</f>
        <v>0</v>
      </c>
      <c r="AD70" s="101">
        <f>IF(OR(AJ70=0,AJ70="",ISNUMBER(MATCH(AJ70,$AJ$1:AJ69,0))),0,MAX($AD$1:AD69)+1)</f>
        <v>0</v>
      </c>
      <c r="AE70" s="101">
        <f>IF(OR(AK70=0,AK70="",ISNUMBER(MATCH(AK70,$AK$1:AK69,0))),0,MAX($AE$1:AE69)+1)</f>
        <v>0</v>
      </c>
      <c r="AF70" s="101">
        <f>IF(OR(AH70=0,ISNUMBER(MATCH(AH70,$AH$1:AH69,0))),0,MAX($AF$1:AF69)+1)</f>
        <v>0</v>
      </c>
      <c r="AG70" s="101">
        <f>Tank5!$C$23</f>
        <v>0</v>
      </c>
      <c r="AH70" s="102">
        <f>Tank5!A33</f>
        <v>0</v>
      </c>
      <c r="AI70" s="101" t="str">
        <f t="shared" si="26"/>
        <v/>
      </c>
      <c r="AJ70" s="101" t="str">
        <f t="shared" si="26"/>
        <v/>
      </c>
      <c r="AK70" s="101" t="str">
        <f t="shared" si="26"/>
        <v/>
      </c>
      <c r="AL70" s="103" t="str">
        <f t="shared" si="28"/>
        <v/>
      </c>
      <c r="AM70" s="20" t="str">
        <f t="shared" si="29"/>
        <v/>
      </c>
      <c r="AN70" s="10" t="str">
        <f t="shared" si="30"/>
        <v/>
      </c>
      <c r="AO70" s="17" t="str">
        <f t="shared" si="31"/>
        <v/>
      </c>
      <c r="BE70" s="10"/>
      <c r="BI70" s="10"/>
      <c r="BQ70" s="10" t="s">
        <v>200</v>
      </c>
      <c r="BU70" s="638" t="s">
        <v>272</v>
      </c>
      <c r="BV70" s="626" t="b">
        <f>NOT(AND(ISBLANK(VCU!$C$9),ISBLANK(VCU!$C$10)))</f>
        <v>0</v>
      </c>
      <c r="BW70" s="596" t="b">
        <f>NOT(AND(ISBLANK(VCU!$C$9),ISBLANK(VCU!$C$10)))</f>
        <v>0</v>
      </c>
      <c r="BX70" s="596" t="b">
        <f>NOT(AND(ISBLANK(VCU!$C$9),ISBLANK(VCU!$C$10)))</f>
        <v>0</v>
      </c>
      <c r="BY70" s="596" t="b">
        <f>NOT(AND(ISBLANK(VCU!$C$9),ISBLANK(VCU!$C$10)))</f>
        <v>0</v>
      </c>
      <c r="BZ70" s="596" t="b">
        <f>NOT(AND(ISBLANK(VCU!$C$9),ISBLANK(VCU!$C$10)))</f>
        <v>0</v>
      </c>
      <c r="CA70" s="596" t="b">
        <f>NOT(AND(ISBLANK(VCU!$C$9),ISBLANK(VCU!$C$10)))</f>
        <v>0</v>
      </c>
      <c r="CB70" s="596" t="b">
        <f>NOT(AND(ISBLANK(VCU!$C$9),ISBLANK(VCU!$C$10)))</f>
        <v>0</v>
      </c>
      <c r="CC70" s="596" t="b">
        <f>NOT(AND(ISBLANK(VCU!$C$9),ISBLANK(VCU!$C$10)))</f>
        <v>0</v>
      </c>
      <c r="CD70" s="596" t="b">
        <f>NOT(AND(ISBLANK(VCU!$C$9),ISBLANK(VCU!$C$10)))</f>
        <v>0</v>
      </c>
      <c r="CE70" s="596" t="b">
        <f>NOT(AND(ISBLANK(VCU!$C$9),ISBLANK(VCU!$C$10)))</f>
        <v>0</v>
      </c>
      <c r="CF70" s="596" t="b">
        <f>NOT(AND(ISBLANK(VCU!$C$9),ISBLANK(VCU!$C$10)))</f>
        <v>0</v>
      </c>
      <c r="CG70" s="596" t="b">
        <f>NOT(AND(ISBLANK(VCU!$C$9),ISBLANK(VCU!$C$10)))</f>
        <v>0</v>
      </c>
      <c r="CH70" s="596" t="b">
        <f>NOT(AND(ISBLANK(VCU!$C$9),ISBLANK(VCU!$C$10)))</f>
        <v>0</v>
      </c>
      <c r="CI70" s="596" t="b">
        <f>NOT(AND(ISBLANK(VCU!$C$9),ISBLANK(VCU!$C$10)))</f>
        <v>0</v>
      </c>
      <c r="CJ70" s="596" t="b">
        <f>NOT(AND(ISBLANK(VCU!$C$9),ISBLANK(VCU!$C$10)))</f>
        <v>0</v>
      </c>
      <c r="CK70" s="596" t="b">
        <f>NOT(AND(ISBLANK(VCU!$C$9),ISBLANK(VCU!$C$10)))</f>
        <v>0</v>
      </c>
      <c r="CL70" s="596" t="b">
        <f>NOT(AND(ISBLANK(VCU!$C$9),ISBLANK(VCU!$C$10)))</f>
        <v>0</v>
      </c>
      <c r="CM70" s="598" t="b">
        <f>NOT(AND(ISBLANK(VCU!$C$9),ISBLANK(VCU!$C$10)))</f>
        <v>0</v>
      </c>
    </row>
    <row r="71" spans="1:91" ht="21" customHeight="1" thickBot="1" x14ac:dyDescent="0.3">
      <c r="A71" s="10"/>
      <c r="B71" s="16" t="s">
        <v>79</v>
      </c>
      <c r="C71" s="10">
        <v>100</v>
      </c>
      <c r="D71" s="10">
        <v>249</v>
      </c>
      <c r="E71" s="17">
        <v>249</v>
      </c>
      <c r="I71" s="436" t="s">
        <v>7804</v>
      </c>
      <c r="J71" s="26" t="s">
        <v>7803</v>
      </c>
      <c r="K71" s="10">
        <v>8.0000000000000016E-2</v>
      </c>
      <c r="L71" s="73">
        <f>IF(Tank1!$C$23="No control",(SUMIF(Tank1!$B$32:$B$49,$J71,Tank1!$C$32:$C$49)*Impacts!$F$8),0)</f>
        <v>0</v>
      </c>
      <c r="M71" s="10">
        <f>IF(Tank2!$C$23="No control",(SUMIF(Tank2!$B$32:$B$49,$J71,Tank2!$C$32:$C$49)*Impacts!$F$9),0)</f>
        <v>0</v>
      </c>
      <c r="N71" s="10">
        <f>IF(Tank3!$C$23="No control",(SUMIF(Tank3!$B$32:$B$49,$J71,Tank3!$C$32:$C$49)*Impacts!$F$10),0)</f>
        <v>0</v>
      </c>
      <c r="O71" s="10">
        <f>IF(Tank4!$C$23="No control",(SUMIF(Tank4!$B$32:$B$49,$J71,Tank4!$C$32:$C$49)*Impacts!$F$11),0)</f>
        <v>0</v>
      </c>
      <c r="P71" s="10">
        <f>IF(Tank5!$C$23="No control",(SUMIF(Tank5!$B$32:$B$49,$J71,Tank5!$C$32:$C$49)*Impacts!$F$12),0)</f>
        <v>0</v>
      </c>
      <c r="Q71" s="10">
        <f>IFERROR(IF(('Loading-drum,tote'!$C$21)="No control",SUMIF(('Loading-drum,tote'!$B$31:$B$48),$J71,('Loading-drum,tote'!$D$31:$D$48))*Impacts!$F$13,IF(('Loading-drum,tote'!$C$21)&lt;&gt;"No control",SUMIF(('Loading-drum,tote'!$B$31:$B$48),$J71,('Loading-drum,tote'!$E$31:$E$48))*Impacts!$F$13,0)),0)</f>
        <v>0</v>
      </c>
      <c r="R71" s="10">
        <f>IFERROR(IF(('Loading-truck'!$C$21)="No control",SUMIF(('Loading-truck'!$B$31:$B$48),$J71,('Loading-truck'!$D$31:$D$48))*Impacts!$F$14,IF(('Loading-truck'!$C$21)&lt;&gt;"No control",SUMIF(('Loading-truck'!$B$31:$B$48),$J71,('Loading-truck'!$E$31:$E$48))*Impacts!$F$14,0)),0)</f>
        <v>0</v>
      </c>
      <c r="S71" s="10">
        <f>IFERROR(IF(('Loading-rail'!$C$21)="No control",SUMIF(('Loading-rail'!$B$31:$B$48),$J71,('Loading-rail'!$D$31:$D$48))*Impacts!$F$15,IF(('Loading-rail'!$C$21)&lt;&gt;"No control",SUMIF(('Loading-rail'!$B$31:$B$48),$J71,('Loading-rail'!$E$31:$E$48))*Impacts!$F$15,0)),0)</f>
        <v>0</v>
      </c>
      <c r="T71" s="10">
        <f>IF(Flare!$C$7="",0,(SUMIF(Flare!$B$46:$B$185,$J71,Flare!$E$46:$E$185)*Impacts!$F$16))</f>
        <v>0</v>
      </c>
      <c r="U71" s="10">
        <f>IF(VCU!$C$9="",0,(SUMIF(VCU!$B$51:$B$193,$J71,VCU!$E$51:$E$193)*Impacts!$F$17))</f>
        <v>0</v>
      </c>
      <c r="V71" s="10">
        <f>IF(CAS!$C$7="",0,(SUMIF(CAS!$B$31:$B$167,$J71,CAS!$E$31:$E$167)*Impacts!$F$18))</f>
        <v>0</v>
      </c>
      <c r="W71" s="10">
        <f t="shared" si="32"/>
        <v>0</v>
      </c>
      <c r="AA71" s="48"/>
      <c r="AB71" s="20"/>
      <c r="AC71" s="10">
        <f>IF(OR(AI71=0,AI71="",ISNUMBER(MATCH(AI71,$AI$1:AI70,0))),0,MAX($AC$1:AC70)+1)</f>
        <v>0</v>
      </c>
      <c r="AD71" s="10">
        <f>IF(OR(AJ71=0,AJ71="",ISNUMBER(MATCH(AJ71,$AJ$1:AJ70,0))),0,MAX($AD$1:AD70)+1)</f>
        <v>0</v>
      </c>
      <c r="AE71" s="10">
        <f>IF(OR(AK71=0,AK71="",ISNUMBER(MATCH(AK71,$AK$1:AK70,0))),0,MAX($AE$1:AE70)+1)</f>
        <v>0</v>
      </c>
      <c r="AF71" s="10">
        <f>IF(OR(AH71=0,ISNUMBER(MATCH(AH71,$AH$1:AH70,0))),0,MAX($AF$1:AF70)+1)</f>
        <v>0</v>
      </c>
      <c r="AG71" s="10">
        <f>Tank5!$C$23</f>
        <v>0</v>
      </c>
      <c r="AH71" s="45">
        <f>Tank5!A34</f>
        <v>0</v>
      </c>
      <c r="AI71" s="10" t="str">
        <f t="shared" si="26"/>
        <v/>
      </c>
      <c r="AJ71" s="10" t="str">
        <f t="shared" si="26"/>
        <v/>
      </c>
      <c r="AK71" s="10" t="str">
        <f t="shared" si="26"/>
        <v/>
      </c>
      <c r="AL71" s="17" t="str">
        <f t="shared" si="28"/>
        <v/>
      </c>
      <c r="AM71" s="20" t="str">
        <f t="shared" si="29"/>
        <v/>
      </c>
      <c r="AN71" s="10" t="str">
        <f t="shared" si="30"/>
        <v/>
      </c>
      <c r="AO71" s="17" t="str">
        <f t="shared" si="31"/>
        <v/>
      </c>
      <c r="BE71" s="10"/>
      <c r="BI71" s="10"/>
      <c r="BQ71" s="10" t="s">
        <v>204</v>
      </c>
      <c r="BU71" s="605" t="s">
        <v>271</v>
      </c>
      <c r="BV71" s="628" t="b">
        <f>NOT(AND(ISBLANK(CAS!$C$7),ISBLANK(CAS!$C$8)))</f>
        <v>0</v>
      </c>
      <c r="BW71" s="597" t="b">
        <f>NOT(AND(ISBLANK(CAS!$C$7),ISBLANK(CAS!$C$8)))</f>
        <v>0</v>
      </c>
      <c r="BX71" s="597" t="b">
        <f>NOT(AND(ISBLANK(CAS!$C$7),ISBLANK(CAS!$C$8)))</f>
        <v>0</v>
      </c>
      <c r="BY71" s="597" t="b">
        <f>NOT(AND(ISBLANK(CAS!$C$7),ISBLANK(CAS!$C$8)))</f>
        <v>0</v>
      </c>
      <c r="BZ71" s="597" t="b">
        <f>NOT(AND(ISBLANK(CAS!$C$7),ISBLANK(CAS!$C$8)))</f>
        <v>0</v>
      </c>
      <c r="CA71" s="597" t="b">
        <f>NOT(AND(ISBLANK(CAS!$C$7),ISBLANK(CAS!$C$8)))</f>
        <v>0</v>
      </c>
      <c r="CB71" s="597" t="b">
        <f>NOT(AND(ISBLANK(CAS!$C$7),ISBLANK(CAS!$C$8)))</f>
        <v>0</v>
      </c>
      <c r="CC71" s="597" t="b">
        <f>NOT(AND(ISBLANK(CAS!$C$7),ISBLANK(CAS!$C$8)))</f>
        <v>0</v>
      </c>
      <c r="CD71" s="597" t="b">
        <f>NOT(AND(ISBLANK(CAS!$C$7),ISBLANK(CAS!$C$8)))</f>
        <v>0</v>
      </c>
      <c r="CE71" s="597" t="b">
        <f>NOT(AND(ISBLANK(CAS!$C$7),ISBLANK(CAS!$C$8)))</f>
        <v>0</v>
      </c>
      <c r="CF71" s="597" t="b">
        <f>NOT(AND(ISBLANK(CAS!$C$7),ISBLANK(CAS!$C$8)))</f>
        <v>0</v>
      </c>
      <c r="CG71" s="597" t="b">
        <f>NOT(AND(ISBLANK(CAS!$C$7),ISBLANK(CAS!$C$8)))</f>
        <v>0</v>
      </c>
      <c r="CH71" s="597" t="b">
        <f>NOT(AND(ISBLANK(CAS!$C$7),ISBLANK(CAS!$C$8)))</f>
        <v>0</v>
      </c>
      <c r="CI71" s="597" t="b">
        <f>NOT(AND(ISBLANK(CAS!$C$7),ISBLANK(CAS!$C$8)))</f>
        <v>0</v>
      </c>
      <c r="CJ71" s="597" t="b">
        <f>NOT(AND(ISBLANK(CAS!$C$7),ISBLANK(CAS!$C$8)))</f>
        <v>0</v>
      </c>
      <c r="CK71" s="597" t="b">
        <f>NOT(AND(ISBLANK(CAS!$C$7),ISBLANK(CAS!$C$8)))</f>
        <v>0</v>
      </c>
      <c r="CL71" s="597" t="b">
        <f>NOT(AND(ISBLANK(CAS!$C$7),ISBLANK(CAS!$C$8)))</f>
        <v>0</v>
      </c>
      <c r="CM71" s="599" t="b">
        <f>NOT(AND(ISBLANK(CAS!$C$7),ISBLANK(CAS!$C$8)))</f>
        <v>0</v>
      </c>
    </row>
    <row r="72" spans="1:91" ht="21" customHeight="1" x14ac:dyDescent="0.25">
      <c r="A72" s="10"/>
      <c r="B72" s="16" t="s">
        <v>80</v>
      </c>
      <c r="C72" s="10">
        <v>100</v>
      </c>
      <c r="D72" s="10">
        <v>100</v>
      </c>
      <c r="E72" s="17">
        <v>249</v>
      </c>
      <c r="I72" s="436" t="s">
        <v>5505</v>
      </c>
      <c r="J72" s="26" t="s">
        <v>5504</v>
      </c>
      <c r="K72" s="10">
        <v>1.25</v>
      </c>
      <c r="L72" s="73">
        <f>IF(Tank1!$C$23="No control",(SUMIF(Tank1!$B$32:$B$49,$J72,Tank1!$C$32:$C$49)*Impacts!$F$8),0)</f>
        <v>0</v>
      </c>
      <c r="M72" s="10">
        <f>IF(Tank2!$C$23="No control",(SUMIF(Tank2!$B$32:$B$49,$J72,Tank2!$C$32:$C$49)*Impacts!$F$9),0)</f>
        <v>0</v>
      </c>
      <c r="N72" s="10">
        <f>IF(Tank3!$C$23="No control",(SUMIF(Tank3!$B$32:$B$49,$J72,Tank3!$C$32:$C$49)*Impacts!$F$10),0)</f>
        <v>0</v>
      </c>
      <c r="O72" s="10">
        <f>IF(Tank4!$C$23="No control",(SUMIF(Tank4!$B$32:$B$49,$J72,Tank4!$C$32:$C$49)*Impacts!$F$11),0)</f>
        <v>0</v>
      </c>
      <c r="P72" s="10">
        <f>IF(Tank5!$C$23="No control",(SUMIF(Tank5!$B$32:$B$49,$J72,Tank5!$C$32:$C$49)*Impacts!$F$12),0)</f>
        <v>0</v>
      </c>
      <c r="Q72" s="10">
        <f>IFERROR(IF(('Loading-drum,tote'!$C$21)="No control",SUMIF(('Loading-drum,tote'!$B$31:$B$48),$J72,('Loading-drum,tote'!$D$31:$D$48))*Impacts!$F$13,IF(('Loading-drum,tote'!$C$21)&lt;&gt;"No control",SUMIF(('Loading-drum,tote'!$B$31:$B$48),$J72,('Loading-drum,tote'!$E$31:$E$48))*Impacts!$F$13,0)),0)</f>
        <v>0</v>
      </c>
      <c r="R72" s="10">
        <f>IFERROR(IF(('Loading-truck'!$C$21)="No control",SUMIF(('Loading-truck'!$B$31:$B$48),$J72,('Loading-truck'!$D$31:$D$48))*Impacts!$F$14,IF(('Loading-truck'!$C$21)&lt;&gt;"No control",SUMIF(('Loading-truck'!$B$31:$B$48),$J72,('Loading-truck'!$E$31:$E$48))*Impacts!$F$14,0)),0)</f>
        <v>0</v>
      </c>
      <c r="S72" s="10">
        <f>IFERROR(IF(('Loading-rail'!$C$21)="No control",SUMIF(('Loading-rail'!$B$31:$B$48),$J72,('Loading-rail'!$D$31:$D$48))*Impacts!$F$15,IF(('Loading-rail'!$C$21)&lt;&gt;"No control",SUMIF(('Loading-rail'!$B$31:$B$48),$J72,('Loading-rail'!$E$31:$E$48))*Impacts!$F$15,0)),0)</f>
        <v>0</v>
      </c>
      <c r="T72" s="10">
        <f>IF(Flare!$C$7="",0,(SUMIF(Flare!$B$46:$B$185,$J72,Flare!$E$46:$E$185)*Impacts!$F$16))</f>
        <v>0</v>
      </c>
      <c r="U72" s="10">
        <f>IF(VCU!$C$9="",0,(SUMIF(VCU!$B$51:$B$193,$J72,VCU!$E$51:$E$193)*Impacts!$F$17))</f>
        <v>0</v>
      </c>
      <c r="V72" s="10">
        <f>IF(CAS!$C$7="",0,(SUMIF(CAS!$B$31:$B$167,$J72,CAS!$E$31:$E$167)*Impacts!$F$18))</f>
        <v>0</v>
      </c>
      <c r="W72" s="10">
        <f t="shared" si="32"/>
        <v>0</v>
      </c>
      <c r="AA72" s="48"/>
      <c r="AB72" s="20"/>
      <c r="AC72" s="10">
        <f>IF(OR(AI72=0,AI72="",ISNUMBER(MATCH(AI72,$AI$1:AI71,0))),0,MAX($AC$1:AC71)+1)</f>
        <v>0</v>
      </c>
      <c r="AD72" s="10">
        <f>IF(OR(AJ72=0,AJ72="",ISNUMBER(MATCH(AJ72,$AJ$1:AJ71,0))),0,MAX($AD$1:AD71)+1)</f>
        <v>0</v>
      </c>
      <c r="AE72" s="10">
        <f>IF(OR(AK72=0,AK72="",ISNUMBER(MATCH(AK72,$AK$1:AK71,0))),0,MAX($AE$1:AE71)+1)</f>
        <v>0</v>
      </c>
      <c r="AF72" s="10">
        <f>IF(OR(AH72=0,ISNUMBER(MATCH(AH72,$AH$1:AH71,0))),0,MAX($AF$1:AF71)+1)</f>
        <v>0</v>
      </c>
      <c r="AG72" s="10">
        <f>Tank5!$C$23</f>
        <v>0</v>
      </c>
      <c r="AH72" s="45">
        <f>Tank5!A35</f>
        <v>0</v>
      </c>
      <c r="AI72" s="10" t="str">
        <f t="shared" si="26"/>
        <v/>
      </c>
      <c r="AJ72" s="10" t="str">
        <f t="shared" si="26"/>
        <v/>
      </c>
      <c r="AK72" s="10" t="str">
        <f t="shared" si="26"/>
        <v/>
      </c>
      <c r="AL72" s="17" t="str">
        <f t="shared" si="28"/>
        <v/>
      </c>
      <c r="AM72" s="20" t="str">
        <f t="shared" si="29"/>
        <v/>
      </c>
      <c r="AN72" s="10" t="str">
        <f t="shared" si="30"/>
        <v/>
      </c>
      <c r="AO72" s="17" t="str">
        <f t="shared" si="31"/>
        <v/>
      </c>
      <c r="BE72" s="10"/>
      <c r="BI72" s="10"/>
      <c r="BQ72" s="10" t="s">
        <v>206</v>
      </c>
    </row>
    <row r="73" spans="1:91" ht="21" customHeight="1" x14ac:dyDescent="0.25">
      <c r="A73" s="10"/>
      <c r="B73" s="16" t="s">
        <v>81</v>
      </c>
      <c r="C73" s="10">
        <v>100</v>
      </c>
      <c r="D73" s="10">
        <v>249</v>
      </c>
      <c r="E73" s="17">
        <v>100</v>
      </c>
      <c r="I73" s="436" t="s">
        <v>6358</v>
      </c>
      <c r="J73" s="26" t="s">
        <v>6357</v>
      </c>
      <c r="K73" s="10">
        <v>0.83000000000000007</v>
      </c>
      <c r="L73" s="73">
        <f>IF(Tank1!$C$23="No control",(SUMIF(Tank1!$B$32:$B$49,$J73,Tank1!$C$32:$C$49)*Impacts!$F$8),0)</f>
        <v>0</v>
      </c>
      <c r="M73" s="10">
        <f>IF(Tank2!$C$23="No control",(SUMIF(Tank2!$B$32:$B$49,$J73,Tank2!$C$32:$C$49)*Impacts!$F$9),0)</f>
        <v>0</v>
      </c>
      <c r="N73" s="10">
        <f>IF(Tank3!$C$23="No control",(SUMIF(Tank3!$B$32:$B$49,$J73,Tank3!$C$32:$C$49)*Impacts!$F$10),0)</f>
        <v>0</v>
      </c>
      <c r="O73" s="10">
        <f>IF(Tank4!$C$23="No control",(SUMIF(Tank4!$B$32:$B$49,$J73,Tank4!$C$32:$C$49)*Impacts!$F$11),0)</f>
        <v>0</v>
      </c>
      <c r="P73" s="10">
        <f>IF(Tank5!$C$23="No control",(SUMIF(Tank5!$B$32:$B$49,$J73,Tank5!$C$32:$C$49)*Impacts!$F$12),0)</f>
        <v>0</v>
      </c>
      <c r="Q73" s="10">
        <f>IFERROR(IF(('Loading-drum,tote'!$C$21)="No control",SUMIF(('Loading-drum,tote'!$B$31:$B$48),$J73,('Loading-drum,tote'!$D$31:$D$48))*Impacts!$F$13,IF(('Loading-drum,tote'!$C$21)&lt;&gt;"No control",SUMIF(('Loading-drum,tote'!$B$31:$B$48),$J73,('Loading-drum,tote'!$E$31:$E$48))*Impacts!$F$13,0)),0)</f>
        <v>0</v>
      </c>
      <c r="R73" s="10">
        <f>IFERROR(IF(('Loading-truck'!$C$21)="No control",SUMIF(('Loading-truck'!$B$31:$B$48),$J73,('Loading-truck'!$D$31:$D$48))*Impacts!$F$14,IF(('Loading-truck'!$C$21)&lt;&gt;"No control",SUMIF(('Loading-truck'!$B$31:$B$48),$J73,('Loading-truck'!$E$31:$E$48))*Impacts!$F$14,0)),0)</f>
        <v>0</v>
      </c>
      <c r="S73" s="10">
        <f>IFERROR(IF(('Loading-rail'!$C$21)="No control",SUMIF(('Loading-rail'!$B$31:$B$48),$J73,('Loading-rail'!$D$31:$D$48))*Impacts!$F$15,IF(('Loading-rail'!$C$21)&lt;&gt;"No control",SUMIF(('Loading-rail'!$B$31:$B$48),$J73,('Loading-rail'!$E$31:$E$48))*Impacts!$F$15,0)),0)</f>
        <v>0</v>
      </c>
      <c r="T73" s="10">
        <f>IF(Flare!$C$7="",0,(SUMIF(Flare!$B$46:$B$185,$J73,Flare!$E$46:$E$185)*Impacts!$F$16))</f>
        <v>0</v>
      </c>
      <c r="U73" s="10">
        <f>IF(VCU!$C$9="",0,(SUMIF(VCU!$B$51:$B$193,$J73,VCU!$E$51:$E$193)*Impacts!$F$17))</f>
        <v>0</v>
      </c>
      <c r="V73" s="10">
        <f>IF(CAS!$C$7="",0,(SUMIF(CAS!$B$31:$B$167,$J73,CAS!$E$31:$E$167)*Impacts!$F$18))</f>
        <v>0</v>
      </c>
      <c r="W73" s="10">
        <f t="shared" si="32"/>
        <v>0</v>
      </c>
      <c r="AA73" s="48"/>
      <c r="AB73" s="20"/>
      <c r="AC73" s="10">
        <f>IF(OR(AI73=0,AI73="",ISNUMBER(MATCH(AI73,$AI$1:AI72,0))),0,MAX($AC$1:AC72)+1)</f>
        <v>0</v>
      </c>
      <c r="AD73" s="10">
        <f>IF(OR(AJ73=0,AJ73="",ISNUMBER(MATCH(AJ73,$AJ$1:AJ72,0))),0,MAX($AD$1:AD72)+1)</f>
        <v>0</v>
      </c>
      <c r="AE73" s="10">
        <f>IF(OR(AK73=0,AK73="",ISNUMBER(MATCH(AK73,$AK$1:AK72,0))),0,MAX($AE$1:AE72)+1)</f>
        <v>0</v>
      </c>
      <c r="AF73" s="10">
        <f>IF(OR(AH73=0,ISNUMBER(MATCH(AH73,$AH$1:AH72,0))),0,MAX($AF$1:AF72)+1)</f>
        <v>0</v>
      </c>
      <c r="AG73" s="10">
        <f>Tank5!$C$23</f>
        <v>0</v>
      </c>
      <c r="AH73" s="45">
        <f>Tank5!A36</f>
        <v>0</v>
      </c>
      <c r="AI73" s="10" t="str">
        <f t="shared" si="26"/>
        <v/>
      </c>
      <c r="AJ73" s="10" t="str">
        <f t="shared" si="26"/>
        <v/>
      </c>
      <c r="AK73" s="10" t="str">
        <f t="shared" si="26"/>
        <v/>
      </c>
      <c r="AL73" s="17" t="str">
        <f t="shared" si="28"/>
        <v/>
      </c>
      <c r="AM73" s="20" t="str">
        <f t="shared" si="29"/>
        <v/>
      </c>
      <c r="AN73" s="10" t="str">
        <f t="shared" si="30"/>
        <v/>
      </c>
      <c r="AO73" s="17" t="str">
        <f t="shared" si="31"/>
        <v/>
      </c>
      <c r="BE73" s="10"/>
      <c r="BI73" s="10"/>
      <c r="BQ73" s="10" t="s">
        <v>208</v>
      </c>
    </row>
    <row r="74" spans="1:91" ht="21" customHeight="1" x14ac:dyDescent="0.25">
      <c r="A74" s="10"/>
      <c r="B74" s="16" t="s">
        <v>82</v>
      </c>
      <c r="C74" s="10">
        <v>100</v>
      </c>
      <c r="D74" s="10">
        <v>249</v>
      </c>
      <c r="E74" s="17">
        <v>249</v>
      </c>
      <c r="I74" s="436" t="s">
        <v>6492</v>
      </c>
      <c r="J74" s="26" t="s">
        <v>6491</v>
      </c>
      <c r="K74" s="10">
        <v>0.70000000000000007</v>
      </c>
      <c r="L74" s="73">
        <f>IF(Tank1!$C$23="No control",(SUMIF(Tank1!$B$32:$B$49,$J74,Tank1!$C$32:$C$49)*Impacts!$F$8),0)</f>
        <v>0</v>
      </c>
      <c r="M74" s="10">
        <f>IF(Tank2!$C$23="No control",(SUMIF(Tank2!$B$32:$B$49,$J74,Tank2!$C$32:$C$49)*Impacts!$F$9),0)</f>
        <v>0</v>
      </c>
      <c r="N74" s="10">
        <f>IF(Tank3!$C$23="No control",(SUMIF(Tank3!$B$32:$B$49,$J74,Tank3!$C$32:$C$49)*Impacts!$F$10),0)</f>
        <v>0</v>
      </c>
      <c r="O74" s="10">
        <f>IF(Tank4!$C$23="No control",(SUMIF(Tank4!$B$32:$B$49,$J74,Tank4!$C$32:$C$49)*Impacts!$F$11),0)</f>
        <v>0</v>
      </c>
      <c r="P74" s="10">
        <f>IF(Tank5!$C$23="No control",(SUMIF(Tank5!$B$32:$B$49,$J74,Tank5!$C$32:$C$49)*Impacts!$F$12),0)</f>
        <v>0</v>
      </c>
      <c r="Q74" s="10">
        <f>IFERROR(IF(('Loading-drum,tote'!$C$21)="No control",SUMIF(('Loading-drum,tote'!$B$31:$B$48),$J74,('Loading-drum,tote'!$D$31:$D$48))*Impacts!$F$13,IF(('Loading-drum,tote'!$C$21)&lt;&gt;"No control",SUMIF(('Loading-drum,tote'!$B$31:$B$48),$J74,('Loading-drum,tote'!$E$31:$E$48))*Impacts!$F$13,0)),0)</f>
        <v>0</v>
      </c>
      <c r="R74" s="10">
        <f>IFERROR(IF(('Loading-truck'!$C$21)="No control",SUMIF(('Loading-truck'!$B$31:$B$48),$J74,('Loading-truck'!$D$31:$D$48))*Impacts!$F$14,IF(('Loading-truck'!$C$21)&lt;&gt;"No control",SUMIF(('Loading-truck'!$B$31:$B$48),$J74,('Loading-truck'!$E$31:$E$48))*Impacts!$F$14,0)),0)</f>
        <v>0</v>
      </c>
      <c r="S74" s="10">
        <f>IFERROR(IF(('Loading-rail'!$C$21)="No control",SUMIF(('Loading-rail'!$B$31:$B$48),$J74,('Loading-rail'!$D$31:$D$48))*Impacts!$F$15,IF(('Loading-rail'!$C$21)&lt;&gt;"No control",SUMIF(('Loading-rail'!$B$31:$B$48),$J74,('Loading-rail'!$E$31:$E$48))*Impacts!$F$15,0)),0)</f>
        <v>0</v>
      </c>
      <c r="T74" s="10">
        <f>IF(Flare!$C$7="",0,(SUMIF(Flare!$B$46:$B$185,$J74,Flare!$E$46:$E$185)*Impacts!$F$16))</f>
        <v>0</v>
      </c>
      <c r="U74" s="10">
        <f>IF(VCU!$C$9="",0,(SUMIF(VCU!$B$51:$B$193,$J74,VCU!$E$51:$E$193)*Impacts!$F$17))</f>
        <v>0</v>
      </c>
      <c r="V74" s="10">
        <f>IF(CAS!$C$7="",0,(SUMIF(CAS!$B$31:$B$167,$J74,CAS!$E$31:$E$167)*Impacts!$F$18))</f>
        <v>0</v>
      </c>
      <c r="W74" s="10">
        <f t="shared" si="32"/>
        <v>0</v>
      </c>
      <c r="AA74" s="48"/>
      <c r="AB74" s="20"/>
      <c r="AC74" s="10">
        <f>IF(OR(AI74=0,AI74="",ISNUMBER(MATCH(AI74,$AI$1:AI73,0))),0,MAX($AC$1:AC73)+1)</f>
        <v>0</v>
      </c>
      <c r="AD74" s="10">
        <f>IF(OR(AJ74=0,AJ74="",ISNUMBER(MATCH(AJ74,$AJ$1:AJ73,0))),0,MAX($AD$1:AD73)+1)</f>
        <v>0</v>
      </c>
      <c r="AE74" s="10">
        <f>IF(OR(AK74=0,AK74="",ISNUMBER(MATCH(AK74,$AK$1:AK73,0))),0,MAX($AE$1:AE73)+1)</f>
        <v>0</v>
      </c>
      <c r="AF74" s="10">
        <f>IF(OR(AH74=0,ISNUMBER(MATCH(AH74,$AH$1:AH73,0))),0,MAX($AF$1:AF73)+1)</f>
        <v>0</v>
      </c>
      <c r="AG74" s="10">
        <f>Tank5!$C$23</f>
        <v>0</v>
      </c>
      <c r="AH74" s="45">
        <f>Tank5!A37</f>
        <v>0</v>
      </c>
      <c r="AI74" s="10" t="str">
        <f t="shared" si="26"/>
        <v/>
      </c>
      <c r="AJ74" s="10" t="str">
        <f t="shared" si="26"/>
        <v/>
      </c>
      <c r="AK74" s="10" t="str">
        <f t="shared" si="26"/>
        <v/>
      </c>
      <c r="AL74" s="17" t="str">
        <f t="shared" si="28"/>
        <v/>
      </c>
      <c r="AM74" s="20" t="str">
        <f t="shared" si="29"/>
        <v/>
      </c>
      <c r="AN74" s="10" t="str">
        <f t="shared" si="30"/>
        <v/>
      </c>
      <c r="AO74" s="17" t="str">
        <f t="shared" si="31"/>
        <v/>
      </c>
      <c r="BE74" s="10"/>
      <c r="BI74" s="10"/>
      <c r="BQ74" s="10" t="s">
        <v>209</v>
      </c>
    </row>
    <row r="75" spans="1:91" ht="21" customHeight="1" x14ac:dyDescent="0.25">
      <c r="A75" s="10"/>
      <c r="B75" s="16" t="s">
        <v>83</v>
      </c>
      <c r="C75" s="10">
        <v>100</v>
      </c>
      <c r="D75" s="10">
        <v>249</v>
      </c>
      <c r="E75" s="17">
        <v>249</v>
      </c>
      <c r="I75" s="436" t="s">
        <v>5642</v>
      </c>
      <c r="J75" s="26" t="s">
        <v>5641</v>
      </c>
      <c r="K75" s="10">
        <v>1</v>
      </c>
      <c r="L75" s="73">
        <f>IF(Tank1!$C$23="No control",(SUMIF(Tank1!$B$32:$B$49,$J75,Tank1!$C$32:$C$49)*Impacts!$F$8),0)</f>
        <v>0</v>
      </c>
      <c r="M75" s="10">
        <f>IF(Tank2!$C$23="No control",(SUMIF(Tank2!$B$32:$B$49,$J75,Tank2!$C$32:$C$49)*Impacts!$F$9),0)</f>
        <v>0</v>
      </c>
      <c r="N75" s="10">
        <f>IF(Tank3!$C$23="No control",(SUMIF(Tank3!$B$32:$B$49,$J75,Tank3!$C$32:$C$49)*Impacts!$F$10),0)</f>
        <v>0</v>
      </c>
      <c r="O75" s="10">
        <f>IF(Tank4!$C$23="No control",(SUMIF(Tank4!$B$32:$B$49,$J75,Tank4!$C$32:$C$49)*Impacts!$F$11),0)</f>
        <v>0</v>
      </c>
      <c r="P75" s="10">
        <f>IF(Tank5!$C$23="No control",(SUMIF(Tank5!$B$32:$B$49,$J75,Tank5!$C$32:$C$49)*Impacts!$F$12),0)</f>
        <v>0</v>
      </c>
      <c r="Q75" s="10">
        <f>IFERROR(IF(('Loading-drum,tote'!$C$21)="No control",SUMIF(('Loading-drum,tote'!$B$31:$B$48),$J75,('Loading-drum,tote'!$D$31:$D$48))*Impacts!$F$13,IF(('Loading-drum,tote'!$C$21)&lt;&gt;"No control",SUMIF(('Loading-drum,tote'!$B$31:$B$48),$J75,('Loading-drum,tote'!$E$31:$E$48))*Impacts!$F$13,0)),0)</f>
        <v>0</v>
      </c>
      <c r="R75" s="10">
        <f>IFERROR(IF(('Loading-truck'!$C$21)="No control",SUMIF(('Loading-truck'!$B$31:$B$48),$J75,('Loading-truck'!$D$31:$D$48))*Impacts!$F$14,IF(('Loading-truck'!$C$21)&lt;&gt;"No control",SUMIF(('Loading-truck'!$B$31:$B$48),$J75,('Loading-truck'!$E$31:$E$48))*Impacts!$F$14,0)),0)</f>
        <v>0</v>
      </c>
      <c r="S75" s="10">
        <f>IFERROR(IF(('Loading-rail'!$C$21)="No control",SUMIF(('Loading-rail'!$B$31:$B$48),$J75,('Loading-rail'!$D$31:$D$48))*Impacts!$F$15,IF(('Loading-rail'!$C$21)&lt;&gt;"No control",SUMIF(('Loading-rail'!$B$31:$B$48),$J75,('Loading-rail'!$E$31:$E$48))*Impacts!$F$15,0)),0)</f>
        <v>0</v>
      </c>
      <c r="T75" s="10">
        <f>IF(Flare!$C$7="",0,(SUMIF(Flare!$B$46:$B$185,$J75,Flare!$E$46:$E$185)*Impacts!$F$16))</f>
        <v>0</v>
      </c>
      <c r="U75" s="10">
        <f>IF(VCU!$C$9="",0,(SUMIF(VCU!$B$51:$B$193,$J75,VCU!$E$51:$E$193)*Impacts!$F$17))</f>
        <v>0</v>
      </c>
      <c r="V75" s="10">
        <f>IF(CAS!$C$7="",0,(SUMIF(CAS!$B$31:$B$167,$J75,CAS!$E$31:$E$167)*Impacts!$F$18))</f>
        <v>0</v>
      </c>
      <c r="W75" s="10">
        <f t="shared" si="32"/>
        <v>0</v>
      </c>
      <c r="AA75" s="48"/>
      <c r="AB75" s="20"/>
      <c r="AC75" s="10">
        <f>IF(OR(AI75=0,AI75="",ISNUMBER(MATCH(AI75,$AI$1:AI74,0))),0,MAX($AC$1:AC74)+1)</f>
        <v>0</v>
      </c>
      <c r="AD75" s="10">
        <f>IF(OR(AJ75=0,AJ75="",ISNUMBER(MATCH(AJ75,$AJ$1:AJ74,0))),0,MAX($AD$1:AD74)+1)</f>
        <v>0</v>
      </c>
      <c r="AE75" s="10">
        <f>IF(OR(AK75=0,AK75="",ISNUMBER(MATCH(AK75,$AK$1:AK74,0))),0,MAX($AE$1:AE74)+1)</f>
        <v>0</v>
      </c>
      <c r="AF75" s="10">
        <f>IF(OR(AH75=0,ISNUMBER(MATCH(AH75,$AH$1:AH74,0))),0,MAX($AF$1:AF74)+1)</f>
        <v>0</v>
      </c>
      <c r="AG75" s="10">
        <f>Tank5!$C$23</f>
        <v>0</v>
      </c>
      <c r="AH75" s="45">
        <f>Tank5!A38</f>
        <v>0</v>
      </c>
      <c r="AI75" s="10" t="str">
        <f t="shared" si="26"/>
        <v/>
      </c>
      <c r="AJ75" s="10" t="str">
        <f t="shared" si="26"/>
        <v/>
      </c>
      <c r="AK75" s="10" t="str">
        <f t="shared" si="26"/>
        <v/>
      </c>
      <c r="AL75" s="17" t="str">
        <f t="shared" si="28"/>
        <v/>
      </c>
      <c r="AM75" s="20" t="str">
        <f t="shared" si="29"/>
        <v/>
      </c>
      <c r="AN75" s="10" t="str">
        <f t="shared" si="30"/>
        <v/>
      </c>
      <c r="AO75" s="17" t="str">
        <f t="shared" si="31"/>
        <v/>
      </c>
      <c r="BE75" s="10"/>
      <c r="BI75" s="10"/>
      <c r="BQ75" s="10" t="s">
        <v>211</v>
      </c>
    </row>
    <row r="76" spans="1:91" ht="21" customHeight="1" x14ac:dyDescent="0.25">
      <c r="A76" s="10"/>
      <c r="B76" s="16" t="s">
        <v>84</v>
      </c>
      <c r="C76" s="10">
        <v>100</v>
      </c>
      <c r="D76" s="10">
        <v>249</v>
      </c>
      <c r="E76" s="17">
        <v>249</v>
      </c>
      <c r="I76" s="436" t="s">
        <v>2673</v>
      </c>
      <c r="J76" s="26" t="s">
        <v>2672</v>
      </c>
      <c r="K76" s="10">
        <v>10</v>
      </c>
      <c r="L76" s="73">
        <f>IF(Tank1!$C$23="No control",(SUMIF(Tank1!$B$32:$B$49,$J76,Tank1!$C$32:$C$49)*Impacts!$F$8),0)</f>
        <v>0</v>
      </c>
      <c r="M76" s="10">
        <f>IF(Tank2!$C$23="No control",(SUMIF(Tank2!$B$32:$B$49,$J76,Tank2!$C$32:$C$49)*Impacts!$F$9),0)</f>
        <v>0</v>
      </c>
      <c r="N76" s="10">
        <f>IF(Tank3!$C$23="No control",(SUMIF(Tank3!$B$32:$B$49,$J76,Tank3!$C$32:$C$49)*Impacts!$F$10),0)</f>
        <v>0</v>
      </c>
      <c r="O76" s="10">
        <f>IF(Tank4!$C$23="No control",(SUMIF(Tank4!$B$32:$B$49,$J76,Tank4!$C$32:$C$49)*Impacts!$F$11),0)</f>
        <v>0</v>
      </c>
      <c r="P76" s="10">
        <f>IF(Tank5!$C$23="No control",(SUMIF(Tank5!$B$32:$B$49,$J76,Tank5!$C$32:$C$49)*Impacts!$F$12),0)</f>
        <v>0</v>
      </c>
      <c r="Q76" s="10">
        <f>IFERROR(IF(('Loading-drum,tote'!$C$21)="No control",SUMIF(('Loading-drum,tote'!$B$31:$B$48),$J76,('Loading-drum,tote'!$D$31:$D$48))*Impacts!$F$13,IF(('Loading-drum,tote'!$C$21)&lt;&gt;"No control",SUMIF(('Loading-drum,tote'!$B$31:$B$48),$J76,('Loading-drum,tote'!$E$31:$E$48))*Impacts!$F$13,0)),0)</f>
        <v>0</v>
      </c>
      <c r="R76" s="10">
        <f>IFERROR(IF(('Loading-truck'!$C$21)="No control",SUMIF(('Loading-truck'!$B$31:$B$48),$J76,('Loading-truck'!$D$31:$D$48))*Impacts!$F$14,IF(('Loading-truck'!$C$21)&lt;&gt;"No control",SUMIF(('Loading-truck'!$B$31:$B$48),$J76,('Loading-truck'!$E$31:$E$48))*Impacts!$F$14,0)),0)</f>
        <v>0</v>
      </c>
      <c r="S76" s="10">
        <f>IFERROR(IF(('Loading-rail'!$C$21)="No control",SUMIF(('Loading-rail'!$B$31:$B$48),$J76,('Loading-rail'!$D$31:$D$48))*Impacts!$F$15,IF(('Loading-rail'!$C$21)&lt;&gt;"No control",SUMIF(('Loading-rail'!$B$31:$B$48),$J76,('Loading-rail'!$E$31:$E$48))*Impacts!$F$15,0)),0)</f>
        <v>0</v>
      </c>
      <c r="T76" s="10">
        <f>IF(Flare!$C$7="",0,(SUMIF(Flare!$B$46:$B$185,$J76,Flare!$E$46:$E$185)*Impacts!$F$16))</f>
        <v>0</v>
      </c>
      <c r="U76" s="10">
        <f>IF(VCU!$C$9="",0,(SUMIF(VCU!$B$51:$B$193,$J76,VCU!$E$51:$E$193)*Impacts!$F$17))</f>
        <v>0</v>
      </c>
      <c r="V76" s="10">
        <f>IF(CAS!$C$7="",0,(SUMIF(CAS!$B$31:$B$167,$J76,CAS!$E$31:$E$167)*Impacts!$F$18))</f>
        <v>0</v>
      </c>
      <c r="W76" s="10">
        <f t="shared" si="32"/>
        <v>0</v>
      </c>
      <c r="AA76" s="48"/>
      <c r="AB76" s="20"/>
      <c r="AC76" s="10">
        <f>IF(OR(AI76=0,AI76="",ISNUMBER(MATCH(AI76,$AI$1:AI75,0))),0,MAX($AC$1:AC75)+1)</f>
        <v>0</v>
      </c>
      <c r="AD76" s="10">
        <f>IF(OR(AJ76=0,AJ76="",ISNUMBER(MATCH(AJ76,$AJ$1:AJ75,0))),0,MAX($AD$1:AD75)+1)</f>
        <v>0</v>
      </c>
      <c r="AE76" s="10">
        <f>IF(OR(AK76=0,AK76="",ISNUMBER(MATCH(AK76,$AK$1:AK75,0))),0,MAX($AE$1:AE75)+1)</f>
        <v>0</v>
      </c>
      <c r="AF76" s="10">
        <f>IF(OR(AH76=0,ISNUMBER(MATCH(AH76,$AH$1:AH75,0))),0,MAX($AF$1:AF75)+1)</f>
        <v>0</v>
      </c>
      <c r="AG76" s="10">
        <f>Tank5!$C$23</f>
        <v>0</v>
      </c>
      <c r="AH76" s="45">
        <f>Tank5!A39</f>
        <v>0</v>
      </c>
      <c r="AI76" s="10" t="str">
        <f t="shared" ref="AI76:AK95" si="33">IF($AH76=0,"",IF($AG76=AI$1,$AH76,""))</f>
        <v/>
      </c>
      <c r="AJ76" s="10" t="str">
        <f t="shared" si="33"/>
        <v/>
      </c>
      <c r="AK76" s="10" t="str">
        <f t="shared" si="33"/>
        <v/>
      </c>
      <c r="AL76" s="17" t="str">
        <f t="shared" si="28"/>
        <v/>
      </c>
      <c r="AM76" s="20" t="str">
        <f t="shared" si="29"/>
        <v/>
      </c>
      <c r="AN76" s="10" t="str">
        <f t="shared" si="30"/>
        <v/>
      </c>
      <c r="AO76" s="17" t="str">
        <f t="shared" si="31"/>
        <v/>
      </c>
      <c r="BE76" s="10"/>
      <c r="BI76" s="10"/>
      <c r="BQ76" s="10" t="s">
        <v>212</v>
      </c>
    </row>
    <row r="77" spans="1:91" ht="21" customHeight="1" x14ac:dyDescent="0.25">
      <c r="A77" s="10"/>
      <c r="B77" s="16" t="s">
        <v>85</v>
      </c>
      <c r="C77" s="10">
        <v>100</v>
      </c>
      <c r="D77" s="10">
        <v>249</v>
      </c>
      <c r="E77" s="17">
        <v>249</v>
      </c>
      <c r="I77" s="436" t="s">
        <v>628</v>
      </c>
      <c r="J77" s="26" t="s">
        <v>627</v>
      </c>
      <c r="K77" s="10">
        <v>57</v>
      </c>
      <c r="L77" s="73">
        <f>IF(Tank1!$C$23="No control",(SUMIF(Tank1!$B$32:$B$49,$J77,Tank1!$C$32:$C$49)*Impacts!$F$8),0)</f>
        <v>0</v>
      </c>
      <c r="M77" s="10">
        <f>IF(Tank2!$C$23="No control",(SUMIF(Tank2!$B$32:$B$49,$J77,Tank2!$C$32:$C$49)*Impacts!$F$9),0)</f>
        <v>0</v>
      </c>
      <c r="N77" s="10">
        <f>IF(Tank3!$C$23="No control",(SUMIF(Tank3!$B$32:$B$49,$J77,Tank3!$C$32:$C$49)*Impacts!$F$10),0)</f>
        <v>0</v>
      </c>
      <c r="O77" s="10">
        <f>IF(Tank4!$C$23="No control",(SUMIF(Tank4!$B$32:$B$49,$J77,Tank4!$C$32:$C$49)*Impacts!$F$11),0)</f>
        <v>0</v>
      </c>
      <c r="P77" s="10">
        <f>IF(Tank5!$C$23="No control",(SUMIF(Tank5!$B$32:$B$49,$J77,Tank5!$C$32:$C$49)*Impacts!$F$12),0)</f>
        <v>0</v>
      </c>
      <c r="Q77" s="10">
        <f>IFERROR(IF(('Loading-drum,tote'!$C$21)="No control",SUMIF(('Loading-drum,tote'!$B$31:$B$48),$J77,('Loading-drum,tote'!$D$31:$D$48))*Impacts!$F$13,IF(('Loading-drum,tote'!$C$21)&lt;&gt;"No control",SUMIF(('Loading-drum,tote'!$B$31:$B$48),$J77,('Loading-drum,tote'!$E$31:$E$48))*Impacts!$F$13,0)),0)</f>
        <v>0</v>
      </c>
      <c r="R77" s="10">
        <f>IFERROR(IF(('Loading-truck'!$C$21)="No control",SUMIF(('Loading-truck'!$B$31:$B$48),$J77,('Loading-truck'!$D$31:$D$48))*Impacts!$F$14,IF(('Loading-truck'!$C$21)&lt;&gt;"No control",SUMIF(('Loading-truck'!$B$31:$B$48),$J77,('Loading-truck'!$E$31:$E$48))*Impacts!$F$14,0)),0)</f>
        <v>0</v>
      </c>
      <c r="S77" s="10">
        <f>IFERROR(IF(('Loading-rail'!$C$21)="No control",SUMIF(('Loading-rail'!$B$31:$B$48),$J77,('Loading-rail'!$D$31:$D$48))*Impacts!$F$15,IF(('Loading-rail'!$C$21)&lt;&gt;"No control",SUMIF(('Loading-rail'!$B$31:$B$48),$J77,('Loading-rail'!$E$31:$E$48))*Impacts!$F$15,0)),0)</f>
        <v>0</v>
      </c>
      <c r="T77" s="10">
        <f>IF(Flare!$C$7="",0,(SUMIF(Flare!$B$46:$B$185,$J77,Flare!$E$46:$E$185)*Impacts!$F$16))</f>
        <v>0</v>
      </c>
      <c r="U77" s="10">
        <f>IF(VCU!$C$9="",0,(SUMIF(VCU!$B$51:$B$193,$J77,VCU!$E$51:$E$193)*Impacts!$F$17))</f>
        <v>0</v>
      </c>
      <c r="V77" s="10">
        <f>IF(CAS!$C$7="",0,(SUMIF(CAS!$B$31:$B$167,$J77,CAS!$E$31:$E$167)*Impacts!$F$18))</f>
        <v>0</v>
      </c>
      <c r="W77" s="10">
        <f t="shared" si="32"/>
        <v>0</v>
      </c>
      <c r="AA77" s="48"/>
      <c r="AB77" s="20"/>
      <c r="AC77" s="10">
        <f>IF(OR(AI77=0,AI77="",ISNUMBER(MATCH(AI77,$AI$1:AI76,0))),0,MAX($AC$1:AC76)+1)</f>
        <v>0</v>
      </c>
      <c r="AD77" s="10">
        <f>IF(OR(AJ77=0,AJ77="",ISNUMBER(MATCH(AJ77,$AJ$1:AJ76,0))),0,MAX($AD$1:AD76)+1)</f>
        <v>0</v>
      </c>
      <c r="AE77" s="10">
        <f>IF(OR(AK77=0,AK77="",ISNUMBER(MATCH(AK77,$AK$1:AK76,0))),0,MAX($AE$1:AE76)+1)</f>
        <v>0</v>
      </c>
      <c r="AF77" s="10">
        <f>IF(OR(AH77=0,ISNUMBER(MATCH(AH77,$AH$1:AH76,0))),0,MAX($AF$1:AF76)+1)</f>
        <v>0</v>
      </c>
      <c r="AG77" s="10">
        <f>Tank5!$C$23</f>
        <v>0</v>
      </c>
      <c r="AH77" s="45">
        <f>Tank5!A40</f>
        <v>0</v>
      </c>
      <c r="AI77" s="10" t="str">
        <f t="shared" si="33"/>
        <v/>
      </c>
      <c r="AJ77" s="10" t="str">
        <f t="shared" si="33"/>
        <v/>
      </c>
      <c r="AK77" s="10" t="str">
        <f t="shared" si="33"/>
        <v/>
      </c>
      <c r="AL77" s="17" t="str">
        <f t="shared" si="28"/>
        <v/>
      </c>
      <c r="AM77" s="20" t="str">
        <f t="shared" si="29"/>
        <v/>
      </c>
      <c r="AN77" s="10" t="str">
        <f t="shared" si="30"/>
        <v/>
      </c>
      <c r="AO77" s="17" t="str">
        <f t="shared" si="31"/>
        <v/>
      </c>
      <c r="BE77" s="10"/>
      <c r="BI77" s="10"/>
      <c r="BQ77" s="10" t="s">
        <v>213</v>
      </c>
    </row>
    <row r="78" spans="1:91" ht="21" customHeight="1" x14ac:dyDescent="0.25">
      <c r="A78" s="10"/>
      <c r="B78" s="16" t="s">
        <v>86</v>
      </c>
      <c r="C78" s="10">
        <v>100</v>
      </c>
      <c r="D78" s="10">
        <v>249</v>
      </c>
      <c r="E78" s="17">
        <v>249</v>
      </c>
      <c r="I78" s="436" t="s">
        <v>6598</v>
      </c>
      <c r="J78" s="26" t="s">
        <v>6597</v>
      </c>
      <c r="K78" s="10">
        <v>0.60000000000000009</v>
      </c>
      <c r="L78" s="73">
        <f>IF(Tank1!$C$23="No control",(SUMIF(Tank1!$B$32:$B$49,$J78,Tank1!$C$32:$C$49)*Impacts!$F$8),0)</f>
        <v>0</v>
      </c>
      <c r="M78" s="10">
        <f>IF(Tank2!$C$23="No control",(SUMIF(Tank2!$B$32:$B$49,$J78,Tank2!$C$32:$C$49)*Impacts!$F$9),0)</f>
        <v>0</v>
      </c>
      <c r="N78" s="10">
        <f>IF(Tank3!$C$23="No control",(SUMIF(Tank3!$B$32:$B$49,$J78,Tank3!$C$32:$C$49)*Impacts!$F$10),0)</f>
        <v>0</v>
      </c>
      <c r="O78" s="10">
        <f>IF(Tank4!$C$23="No control",(SUMIF(Tank4!$B$32:$B$49,$J78,Tank4!$C$32:$C$49)*Impacts!$F$11),0)</f>
        <v>0</v>
      </c>
      <c r="P78" s="10">
        <f>IF(Tank5!$C$23="No control",(SUMIF(Tank5!$B$32:$B$49,$J78,Tank5!$C$32:$C$49)*Impacts!$F$12),0)</f>
        <v>0</v>
      </c>
      <c r="Q78" s="10">
        <f>IFERROR(IF(('Loading-drum,tote'!$C$21)="No control",SUMIF(('Loading-drum,tote'!$B$31:$B$48),$J78,('Loading-drum,tote'!$D$31:$D$48))*Impacts!$F$13,IF(('Loading-drum,tote'!$C$21)&lt;&gt;"No control",SUMIF(('Loading-drum,tote'!$B$31:$B$48),$J78,('Loading-drum,tote'!$E$31:$E$48))*Impacts!$F$13,0)),0)</f>
        <v>0</v>
      </c>
      <c r="R78" s="10">
        <f>IFERROR(IF(('Loading-truck'!$C$21)="No control",SUMIF(('Loading-truck'!$B$31:$B$48),$J78,('Loading-truck'!$D$31:$D$48))*Impacts!$F$14,IF(('Loading-truck'!$C$21)&lt;&gt;"No control",SUMIF(('Loading-truck'!$B$31:$B$48),$J78,('Loading-truck'!$E$31:$E$48))*Impacts!$F$14,0)),0)</f>
        <v>0</v>
      </c>
      <c r="S78" s="10">
        <f>IFERROR(IF(('Loading-rail'!$C$21)="No control",SUMIF(('Loading-rail'!$B$31:$B$48),$J78,('Loading-rail'!$D$31:$D$48))*Impacts!$F$15,IF(('Loading-rail'!$C$21)&lt;&gt;"No control",SUMIF(('Loading-rail'!$B$31:$B$48),$J78,('Loading-rail'!$E$31:$E$48))*Impacts!$F$15,0)),0)</f>
        <v>0</v>
      </c>
      <c r="T78" s="10">
        <f>IF(Flare!$C$7="",0,(SUMIF(Flare!$B$46:$B$185,$J78,Flare!$E$46:$E$185)*Impacts!$F$16))</f>
        <v>0</v>
      </c>
      <c r="U78" s="10">
        <f>IF(VCU!$C$9="",0,(SUMIF(VCU!$B$51:$B$193,$J78,VCU!$E$51:$E$193)*Impacts!$F$17))</f>
        <v>0</v>
      </c>
      <c r="V78" s="10">
        <f>IF(CAS!$C$7="",0,(SUMIF(CAS!$B$31:$B$167,$J78,CAS!$E$31:$E$167)*Impacts!$F$18))</f>
        <v>0</v>
      </c>
      <c r="W78" s="10">
        <f t="shared" si="32"/>
        <v>0</v>
      </c>
      <c r="AA78" s="48"/>
      <c r="AB78" s="20"/>
      <c r="AC78" s="10">
        <f>IF(OR(AI78=0,AI78="",ISNUMBER(MATCH(AI78,$AI$1:AI77,0))),0,MAX($AC$1:AC77)+1)</f>
        <v>0</v>
      </c>
      <c r="AD78" s="10">
        <f>IF(OR(AJ78=0,AJ78="",ISNUMBER(MATCH(AJ78,$AJ$1:AJ77,0))),0,MAX($AD$1:AD77)+1)</f>
        <v>0</v>
      </c>
      <c r="AE78" s="10">
        <f>IF(OR(AK78=0,AK78="",ISNUMBER(MATCH(AK78,$AK$1:AK77,0))),0,MAX($AE$1:AE77)+1)</f>
        <v>0</v>
      </c>
      <c r="AF78" s="10">
        <f>IF(OR(AH78=0,ISNUMBER(MATCH(AH78,$AH$1:AH77,0))),0,MAX($AF$1:AF77)+1)</f>
        <v>0</v>
      </c>
      <c r="AG78" s="10">
        <f>Tank5!$C$23</f>
        <v>0</v>
      </c>
      <c r="AH78" s="45">
        <f>Tank5!A41</f>
        <v>0</v>
      </c>
      <c r="AI78" s="10" t="str">
        <f t="shared" si="33"/>
        <v/>
      </c>
      <c r="AJ78" s="10" t="str">
        <f t="shared" si="33"/>
        <v/>
      </c>
      <c r="AK78" s="10" t="str">
        <f t="shared" si="33"/>
        <v/>
      </c>
      <c r="AL78" s="17" t="str">
        <f t="shared" si="28"/>
        <v/>
      </c>
      <c r="AM78" s="20" t="str">
        <f t="shared" si="29"/>
        <v/>
      </c>
      <c r="AN78" s="10" t="str">
        <f t="shared" si="30"/>
        <v/>
      </c>
      <c r="AO78" s="17" t="str">
        <f t="shared" si="31"/>
        <v/>
      </c>
      <c r="BE78" s="10"/>
      <c r="BI78" s="10"/>
      <c r="BQ78" s="10" t="s">
        <v>214</v>
      </c>
    </row>
    <row r="79" spans="1:91" ht="21" customHeight="1" x14ac:dyDescent="0.25">
      <c r="A79" s="10"/>
      <c r="B79" s="16" t="s">
        <v>87</v>
      </c>
      <c r="C79" s="10">
        <v>100</v>
      </c>
      <c r="D79" s="10">
        <v>249</v>
      </c>
      <c r="E79" s="17">
        <v>249</v>
      </c>
      <c r="I79" s="436" t="s">
        <v>4449</v>
      </c>
      <c r="J79" s="26" t="s">
        <v>4448</v>
      </c>
      <c r="K79" s="10">
        <v>4.5</v>
      </c>
      <c r="L79" s="73">
        <f>IF(Tank1!$C$23="No control",(SUMIF(Tank1!$B$32:$B$49,$J79,Tank1!$C$32:$C$49)*Impacts!$F$8),0)</f>
        <v>0</v>
      </c>
      <c r="M79" s="10">
        <f>IF(Tank2!$C$23="No control",(SUMIF(Tank2!$B$32:$B$49,$J79,Tank2!$C$32:$C$49)*Impacts!$F$9),0)</f>
        <v>0</v>
      </c>
      <c r="N79" s="10">
        <f>IF(Tank3!$C$23="No control",(SUMIF(Tank3!$B$32:$B$49,$J79,Tank3!$C$32:$C$49)*Impacts!$F$10),0)</f>
        <v>0</v>
      </c>
      <c r="O79" s="10">
        <f>IF(Tank4!$C$23="No control",(SUMIF(Tank4!$B$32:$B$49,$J79,Tank4!$C$32:$C$49)*Impacts!$F$11),0)</f>
        <v>0</v>
      </c>
      <c r="P79" s="10">
        <f>IF(Tank5!$C$23="No control",(SUMIF(Tank5!$B$32:$B$49,$J79,Tank5!$C$32:$C$49)*Impacts!$F$12),0)</f>
        <v>0</v>
      </c>
      <c r="Q79" s="10">
        <f>IFERROR(IF(('Loading-drum,tote'!$C$21)="No control",SUMIF(('Loading-drum,tote'!$B$31:$B$48),$J79,('Loading-drum,tote'!$D$31:$D$48))*Impacts!$F$13,IF(('Loading-drum,tote'!$C$21)&lt;&gt;"No control",SUMIF(('Loading-drum,tote'!$B$31:$B$48),$J79,('Loading-drum,tote'!$E$31:$E$48))*Impacts!$F$13,0)),0)</f>
        <v>0</v>
      </c>
      <c r="R79" s="10">
        <f>IFERROR(IF(('Loading-truck'!$C$21)="No control",SUMIF(('Loading-truck'!$B$31:$B$48),$J79,('Loading-truck'!$D$31:$D$48))*Impacts!$F$14,IF(('Loading-truck'!$C$21)&lt;&gt;"No control",SUMIF(('Loading-truck'!$B$31:$B$48),$J79,('Loading-truck'!$E$31:$E$48))*Impacts!$F$14,0)),0)</f>
        <v>0</v>
      </c>
      <c r="S79" s="10">
        <f>IFERROR(IF(('Loading-rail'!$C$21)="No control",SUMIF(('Loading-rail'!$B$31:$B$48),$J79,('Loading-rail'!$D$31:$D$48))*Impacts!$F$15,IF(('Loading-rail'!$C$21)&lt;&gt;"No control",SUMIF(('Loading-rail'!$B$31:$B$48),$J79,('Loading-rail'!$E$31:$E$48))*Impacts!$F$15,0)),0)</f>
        <v>0</v>
      </c>
      <c r="T79" s="10">
        <f>IF(Flare!$C$7="",0,(SUMIF(Flare!$B$46:$B$185,$J79,Flare!$E$46:$E$185)*Impacts!$F$16))</f>
        <v>0</v>
      </c>
      <c r="U79" s="10">
        <f>IF(VCU!$C$9="",0,(SUMIF(VCU!$B$51:$B$193,$J79,VCU!$E$51:$E$193)*Impacts!$F$17))</f>
        <v>0</v>
      </c>
      <c r="V79" s="10">
        <f>IF(CAS!$C$7="",0,(SUMIF(CAS!$B$31:$B$167,$J79,CAS!$E$31:$E$167)*Impacts!$F$18))</f>
        <v>0</v>
      </c>
      <c r="W79" s="10">
        <f t="shared" si="32"/>
        <v>0</v>
      </c>
      <c r="AA79" s="48"/>
      <c r="AB79" s="20"/>
      <c r="AC79" s="10">
        <f>IF(OR(AI79=0,AI79="",ISNUMBER(MATCH(AI79,$AI$1:AI78,0))),0,MAX($AC$1:AC78)+1)</f>
        <v>0</v>
      </c>
      <c r="AD79" s="10">
        <f>IF(OR(AJ79=0,AJ79="",ISNUMBER(MATCH(AJ79,$AJ$1:AJ78,0))),0,MAX($AD$1:AD78)+1)</f>
        <v>0</v>
      </c>
      <c r="AE79" s="10">
        <f>IF(OR(AK79=0,AK79="",ISNUMBER(MATCH(AK79,$AK$1:AK78,0))),0,MAX($AE$1:AE78)+1)</f>
        <v>0</v>
      </c>
      <c r="AF79" s="10">
        <f>IF(OR(AH79=0,ISNUMBER(MATCH(AH79,$AH$1:AH78,0))),0,MAX($AF$1:AF78)+1)</f>
        <v>0</v>
      </c>
      <c r="AG79" s="10">
        <f>Tank5!$C$23</f>
        <v>0</v>
      </c>
      <c r="AH79" s="45">
        <f>Tank5!A42</f>
        <v>0</v>
      </c>
      <c r="AI79" s="10" t="str">
        <f t="shared" si="33"/>
        <v/>
      </c>
      <c r="AJ79" s="10" t="str">
        <f t="shared" si="33"/>
        <v/>
      </c>
      <c r="AK79" s="10" t="str">
        <f t="shared" si="33"/>
        <v/>
      </c>
      <c r="AL79" s="17" t="str">
        <f t="shared" si="28"/>
        <v/>
      </c>
      <c r="AM79" s="20" t="str">
        <f t="shared" si="29"/>
        <v/>
      </c>
      <c r="AN79" s="10" t="str">
        <f t="shared" si="30"/>
        <v/>
      </c>
      <c r="AO79" s="17" t="str">
        <f t="shared" si="31"/>
        <v/>
      </c>
      <c r="BE79" s="10"/>
      <c r="BI79" s="10"/>
      <c r="BQ79" s="10" t="s">
        <v>215</v>
      </c>
    </row>
    <row r="80" spans="1:91" ht="21" customHeight="1" x14ac:dyDescent="0.25">
      <c r="A80" s="10"/>
      <c r="B80" s="16" t="s">
        <v>88</v>
      </c>
      <c r="C80" s="10">
        <v>100</v>
      </c>
      <c r="D80" s="10">
        <v>249</v>
      </c>
      <c r="E80" s="17">
        <v>249</v>
      </c>
      <c r="I80" s="436" t="s">
        <v>6702</v>
      </c>
      <c r="J80" s="26" t="s">
        <v>6701</v>
      </c>
      <c r="K80" s="10">
        <v>0.5</v>
      </c>
      <c r="L80" s="73">
        <f>IF(Tank1!$C$23="No control",(SUMIF(Tank1!$B$32:$B$49,$J80,Tank1!$C$32:$C$49)*Impacts!$F$8),0)</f>
        <v>0</v>
      </c>
      <c r="M80" s="10">
        <f>IF(Tank2!$C$23="No control",(SUMIF(Tank2!$B$32:$B$49,$J80,Tank2!$C$32:$C$49)*Impacts!$F$9),0)</f>
        <v>0</v>
      </c>
      <c r="N80" s="10">
        <f>IF(Tank3!$C$23="No control",(SUMIF(Tank3!$B$32:$B$49,$J80,Tank3!$C$32:$C$49)*Impacts!$F$10),0)</f>
        <v>0</v>
      </c>
      <c r="O80" s="10">
        <f>IF(Tank4!$C$23="No control",(SUMIF(Tank4!$B$32:$B$49,$J80,Tank4!$C$32:$C$49)*Impacts!$F$11),0)</f>
        <v>0</v>
      </c>
      <c r="P80" s="10">
        <f>IF(Tank5!$C$23="No control",(SUMIF(Tank5!$B$32:$B$49,$J80,Tank5!$C$32:$C$49)*Impacts!$F$12),0)</f>
        <v>0</v>
      </c>
      <c r="Q80" s="10">
        <f>IFERROR(IF(('Loading-drum,tote'!$C$21)="No control",SUMIF(('Loading-drum,tote'!$B$31:$B$48),$J80,('Loading-drum,tote'!$D$31:$D$48))*Impacts!$F$13,IF(('Loading-drum,tote'!$C$21)&lt;&gt;"No control",SUMIF(('Loading-drum,tote'!$B$31:$B$48),$J80,('Loading-drum,tote'!$E$31:$E$48))*Impacts!$F$13,0)),0)</f>
        <v>0</v>
      </c>
      <c r="R80" s="10">
        <f>IFERROR(IF(('Loading-truck'!$C$21)="No control",SUMIF(('Loading-truck'!$B$31:$B$48),$J80,('Loading-truck'!$D$31:$D$48))*Impacts!$F$14,IF(('Loading-truck'!$C$21)&lt;&gt;"No control",SUMIF(('Loading-truck'!$B$31:$B$48),$J80,('Loading-truck'!$E$31:$E$48))*Impacts!$F$14,0)),0)</f>
        <v>0</v>
      </c>
      <c r="S80" s="10">
        <f>IFERROR(IF(('Loading-rail'!$C$21)="No control",SUMIF(('Loading-rail'!$B$31:$B$48),$J80,('Loading-rail'!$D$31:$D$48))*Impacts!$F$15,IF(('Loading-rail'!$C$21)&lt;&gt;"No control",SUMIF(('Loading-rail'!$B$31:$B$48),$J80,('Loading-rail'!$E$31:$E$48))*Impacts!$F$15,0)),0)</f>
        <v>0</v>
      </c>
      <c r="T80" s="10">
        <f>IF(Flare!$C$7="",0,(SUMIF(Flare!$B$46:$B$185,$J80,Flare!$E$46:$E$185)*Impacts!$F$16))</f>
        <v>0</v>
      </c>
      <c r="U80" s="10">
        <f>IF(VCU!$C$9="",0,(SUMIF(VCU!$B$51:$B$193,$J80,VCU!$E$51:$E$193)*Impacts!$F$17))</f>
        <v>0</v>
      </c>
      <c r="V80" s="10">
        <f>IF(CAS!$C$7="",0,(SUMIF(CAS!$B$31:$B$167,$J80,CAS!$E$31:$E$167)*Impacts!$F$18))</f>
        <v>0</v>
      </c>
      <c r="W80" s="10">
        <f t="shared" si="32"/>
        <v>0</v>
      </c>
      <c r="AA80" s="48"/>
      <c r="AB80" s="20"/>
      <c r="AC80" s="10">
        <f>IF(OR(AI80=0,AI80="",ISNUMBER(MATCH(AI80,$AI$1:AI79,0))),0,MAX($AC$1:AC79)+1)</f>
        <v>0</v>
      </c>
      <c r="AD80" s="10">
        <f>IF(OR(AJ80=0,AJ80="",ISNUMBER(MATCH(AJ80,$AJ$1:AJ79,0))),0,MAX($AD$1:AD79)+1)</f>
        <v>0</v>
      </c>
      <c r="AE80" s="10">
        <f>IF(OR(AK80=0,AK80="",ISNUMBER(MATCH(AK80,$AK$1:AK79,0))),0,MAX($AE$1:AE79)+1)</f>
        <v>0</v>
      </c>
      <c r="AF80" s="10">
        <f>IF(OR(AH80=0,ISNUMBER(MATCH(AH80,$AH$1:AH79,0))),0,MAX($AF$1:AF79)+1)</f>
        <v>0</v>
      </c>
      <c r="AG80" s="10">
        <f>Tank5!$C$23</f>
        <v>0</v>
      </c>
      <c r="AH80" s="45">
        <f>Tank5!A43</f>
        <v>0</v>
      </c>
      <c r="AI80" s="10" t="str">
        <f t="shared" si="33"/>
        <v/>
      </c>
      <c r="AJ80" s="10" t="str">
        <f t="shared" si="33"/>
        <v/>
      </c>
      <c r="AK80" s="10" t="str">
        <f t="shared" si="33"/>
        <v/>
      </c>
      <c r="AL80" s="17" t="str">
        <f t="shared" si="28"/>
        <v/>
      </c>
      <c r="AM80" s="20" t="str">
        <f t="shared" si="29"/>
        <v/>
      </c>
      <c r="AN80" s="10" t="str">
        <f t="shared" si="30"/>
        <v/>
      </c>
      <c r="AO80" s="17" t="str">
        <f t="shared" si="31"/>
        <v/>
      </c>
      <c r="BE80" s="10"/>
      <c r="BI80" s="10"/>
      <c r="BQ80" s="10" t="s">
        <v>220</v>
      </c>
    </row>
    <row r="81" spans="1:69" ht="21" customHeight="1" x14ac:dyDescent="0.25">
      <c r="A81" s="10"/>
      <c r="B81" s="16" t="s">
        <v>89</v>
      </c>
      <c r="C81" s="10">
        <v>100</v>
      </c>
      <c r="D81" s="10">
        <v>100</v>
      </c>
      <c r="E81" s="17">
        <v>249</v>
      </c>
      <c r="I81" s="436" t="s">
        <v>5059</v>
      </c>
      <c r="J81" s="26" t="s">
        <v>5058</v>
      </c>
      <c r="K81" s="10">
        <v>2.2000000000000002</v>
      </c>
      <c r="L81" s="73">
        <f>IF(Tank1!$C$23="No control",(SUMIF(Tank1!$B$32:$B$49,$J81,Tank1!$C$32:$C$49)*Impacts!$F$8),0)</f>
        <v>0</v>
      </c>
      <c r="M81" s="10">
        <f>IF(Tank2!$C$23="No control",(SUMIF(Tank2!$B$32:$B$49,$J81,Tank2!$C$32:$C$49)*Impacts!$F$9),0)</f>
        <v>0</v>
      </c>
      <c r="N81" s="10">
        <f>IF(Tank3!$C$23="No control",(SUMIF(Tank3!$B$32:$B$49,$J81,Tank3!$C$32:$C$49)*Impacts!$F$10),0)</f>
        <v>0</v>
      </c>
      <c r="O81" s="10">
        <f>IF(Tank4!$C$23="No control",(SUMIF(Tank4!$B$32:$B$49,$J81,Tank4!$C$32:$C$49)*Impacts!$F$11),0)</f>
        <v>0</v>
      </c>
      <c r="P81" s="10">
        <f>IF(Tank5!$C$23="No control",(SUMIF(Tank5!$B$32:$B$49,$J81,Tank5!$C$32:$C$49)*Impacts!$F$12),0)</f>
        <v>0</v>
      </c>
      <c r="Q81" s="10">
        <f>IFERROR(IF(('Loading-drum,tote'!$C$21)="No control",SUMIF(('Loading-drum,tote'!$B$31:$B$48),$J81,('Loading-drum,tote'!$D$31:$D$48))*Impacts!$F$13,IF(('Loading-drum,tote'!$C$21)&lt;&gt;"No control",SUMIF(('Loading-drum,tote'!$B$31:$B$48),$J81,('Loading-drum,tote'!$E$31:$E$48))*Impacts!$F$13,0)),0)</f>
        <v>0</v>
      </c>
      <c r="R81" s="10">
        <f>IFERROR(IF(('Loading-truck'!$C$21)="No control",SUMIF(('Loading-truck'!$B$31:$B$48),$J81,('Loading-truck'!$D$31:$D$48))*Impacts!$F$14,IF(('Loading-truck'!$C$21)&lt;&gt;"No control",SUMIF(('Loading-truck'!$B$31:$B$48),$J81,('Loading-truck'!$E$31:$E$48))*Impacts!$F$14,0)),0)</f>
        <v>0</v>
      </c>
      <c r="S81" s="10">
        <f>IFERROR(IF(('Loading-rail'!$C$21)="No control",SUMIF(('Loading-rail'!$B$31:$B$48),$J81,('Loading-rail'!$D$31:$D$48))*Impacts!$F$15,IF(('Loading-rail'!$C$21)&lt;&gt;"No control",SUMIF(('Loading-rail'!$B$31:$B$48),$J81,('Loading-rail'!$E$31:$E$48))*Impacts!$F$15,0)),0)</f>
        <v>0</v>
      </c>
      <c r="T81" s="10">
        <f>IF(Flare!$C$7="",0,(SUMIF(Flare!$B$46:$B$185,$J81,Flare!$E$46:$E$185)*Impacts!$F$16))</f>
        <v>0</v>
      </c>
      <c r="U81" s="10">
        <f>IF(VCU!$C$9="",0,(SUMIF(VCU!$B$51:$B$193,$J81,VCU!$E$51:$E$193)*Impacts!$F$17))</f>
        <v>0</v>
      </c>
      <c r="V81" s="10">
        <f>IF(CAS!$C$7="",0,(SUMIF(CAS!$B$31:$B$167,$J81,CAS!$E$31:$E$167)*Impacts!$F$18))</f>
        <v>0</v>
      </c>
      <c r="W81" s="10">
        <f t="shared" si="32"/>
        <v>0</v>
      </c>
      <c r="AA81" s="48"/>
      <c r="AB81" s="20"/>
      <c r="AC81" s="10">
        <f>IF(OR(AI81=0,AI81="",ISNUMBER(MATCH(AI81,$AI$1:AI80,0))),0,MAX($AC$1:AC80)+1)</f>
        <v>0</v>
      </c>
      <c r="AD81" s="10">
        <f>IF(OR(AJ81=0,AJ81="",ISNUMBER(MATCH(AJ81,$AJ$1:AJ80,0))),0,MAX($AD$1:AD80)+1)</f>
        <v>0</v>
      </c>
      <c r="AE81" s="10">
        <f>IF(OR(AK81=0,AK81="",ISNUMBER(MATCH(AK81,$AK$1:AK80,0))),0,MAX($AE$1:AE80)+1)</f>
        <v>0</v>
      </c>
      <c r="AF81" s="10">
        <f>IF(OR(AH81=0,ISNUMBER(MATCH(AH81,$AH$1:AH80,0))),0,MAX($AF$1:AF80)+1)</f>
        <v>0</v>
      </c>
      <c r="AG81" s="10">
        <f>Tank5!$C$23</f>
        <v>0</v>
      </c>
      <c r="AH81" s="45">
        <f>Tank5!A44</f>
        <v>0</v>
      </c>
      <c r="AI81" s="10" t="str">
        <f t="shared" si="33"/>
        <v/>
      </c>
      <c r="AJ81" s="10" t="str">
        <f t="shared" si="33"/>
        <v/>
      </c>
      <c r="AK81" s="10" t="str">
        <f t="shared" si="33"/>
        <v/>
      </c>
      <c r="AL81" s="17" t="str">
        <f t="shared" si="28"/>
        <v/>
      </c>
      <c r="AM81" s="20" t="str">
        <f t="shared" si="29"/>
        <v/>
      </c>
      <c r="AN81" s="10" t="str">
        <f t="shared" si="30"/>
        <v/>
      </c>
      <c r="AO81" s="17" t="str">
        <f t="shared" si="31"/>
        <v/>
      </c>
      <c r="BE81" s="10"/>
      <c r="BI81" s="10"/>
      <c r="BQ81" s="10" t="s">
        <v>222</v>
      </c>
    </row>
    <row r="82" spans="1:69" ht="21" customHeight="1" x14ac:dyDescent="0.25">
      <c r="A82" s="10"/>
      <c r="B82" s="16" t="s">
        <v>90</v>
      </c>
      <c r="C82" s="10">
        <v>100</v>
      </c>
      <c r="D82" s="10">
        <v>249</v>
      </c>
      <c r="E82" s="17">
        <v>249</v>
      </c>
      <c r="I82" s="436" t="s">
        <v>3619</v>
      </c>
      <c r="J82" s="26" t="s">
        <v>3618</v>
      </c>
      <c r="K82" s="10">
        <v>7.3000000000000007</v>
      </c>
      <c r="L82" s="73">
        <f>IF(Tank1!$C$23="No control",(SUMIF(Tank1!$B$32:$B$49,$J82,Tank1!$C$32:$C$49)*Impacts!$F$8),0)</f>
        <v>0</v>
      </c>
      <c r="M82" s="10">
        <f>IF(Tank2!$C$23="No control",(SUMIF(Tank2!$B$32:$B$49,$J82,Tank2!$C$32:$C$49)*Impacts!$F$9),0)</f>
        <v>0</v>
      </c>
      <c r="N82" s="10">
        <f>IF(Tank3!$C$23="No control",(SUMIF(Tank3!$B$32:$B$49,$J82,Tank3!$C$32:$C$49)*Impacts!$F$10),0)</f>
        <v>0</v>
      </c>
      <c r="O82" s="10">
        <f>IF(Tank4!$C$23="No control",(SUMIF(Tank4!$B$32:$B$49,$J82,Tank4!$C$32:$C$49)*Impacts!$F$11),0)</f>
        <v>0</v>
      </c>
      <c r="P82" s="10">
        <f>IF(Tank5!$C$23="No control",(SUMIF(Tank5!$B$32:$B$49,$J82,Tank5!$C$32:$C$49)*Impacts!$F$12),0)</f>
        <v>0</v>
      </c>
      <c r="Q82" s="10">
        <f>IFERROR(IF(('Loading-drum,tote'!$C$21)="No control",SUMIF(('Loading-drum,tote'!$B$31:$B$48),$J82,('Loading-drum,tote'!$D$31:$D$48))*Impacts!$F$13,IF(('Loading-drum,tote'!$C$21)&lt;&gt;"No control",SUMIF(('Loading-drum,tote'!$B$31:$B$48),$J82,('Loading-drum,tote'!$E$31:$E$48))*Impacts!$F$13,0)),0)</f>
        <v>0</v>
      </c>
      <c r="R82" s="10">
        <f>IFERROR(IF(('Loading-truck'!$C$21)="No control",SUMIF(('Loading-truck'!$B$31:$B$48),$J82,('Loading-truck'!$D$31:$D$48))*Impacts!$F$14,IF(('Loading-truck'!$C$21)&lt;&gt;"No control",SUMIF(('Loading-truck'!$B$31:$B$48),$J82,('Loading-truck'!$E$31:$E$48))*Impacts!$F$14,0)),0)</f>
        <v>0</v>
      </c>
      <c r="S82" s="10">
        <f>IFERROR(IF(('Loading-rail'!$C$21)="No control",SUMIF(('Loading-rail'!$B$31:$B$48),$J82,('Loading-rail'!$D$31:$D$48))*Impacts!$F$15,IF(('Loading-rail'!$C$21)&lt;&gt;"No control",SUMIF(('Loading-rail'!$B$31:$B$48),$J82,('Loading-rail'!$E$31:$E$48))*Impacts!$F$15,0)),0)</f>
        <v>0</v>
      </c>
      <c r="T82" s="10">
        <f>IF(Flare!$C$7="",0,(SUMIF(Flare!$B$46:$B$185,$J82,Flare!$E$46:$E$185)*Impacts!$F$16))</f>
        <v>0</v>
      </c>
      <c r="U82" s="10">
        <f>IF(VCU!$C$9="",0,(SUMIF(VCU!$B$51:$B$193,$J82,VCU!$E$51:$E$193)*Impacts!$F$17))</f>
        <v>0</v>
      </c>
      <c r="V82" s="10">
        <f>IF(CAS!$C$7="",0,(SUMIF(CAS!$B$31:$B$167,$J82,CAS!$E$31:$E$167)*Impacts!$F$18))</f>
        <v>0</v>
      </c>
      <c r="W82" s="10">
        <f t="shared" si="32"/>
        <v>0</v>
      </c>
      <c r="AA82" s="48"/>
      <c r="AB82" s="20"/>
      <c r="AC82" s="10">
        <f>IF(OR(AI82=0,AI82="",ISNUMBER(MATCH(AI82,$AI$1:AI81,0))),0,MAX($AC$1:AC81)+1)</f>
        <v>0</v>
      </c>
      <c r="AD82" s="10">
        <f>IF(OR(AJ82=0,AJ82="",ISNUMBER(MATCH(AJ82,$AJ$1:AJ81,0))),0,MAX($AD$1:AD81)+1)</f>
        <v>0</v>
      </c>
      <c r="AE82" s="10">
        <f>IF(OR(AK82=0,AK82="",ISNUMBER(MATCH(AK82,$AK$1:AK81,0))),0,MAX($AE$1:AE81)+1)</f>
        <v>0</v>
      </c>
      <c r="AF82" s="10">
        <f>IF(OR(AH82=0,ISNUMBER(MATCH(AH82,$AH$1:AH81,0))),0,MAX($AF$1:AF81)+1)</f>
        <v>0</v>
      </c>
      <c r="AG82" s="10">
        <f>Tank5!$C$23</f>
        <v>0</v>
      </c>
      <c r="AH82" s="45">
        <f>Tank5!A45</f>
        <v>0</v>
      </c>
      <c r="AI82" s="10" t="str">
        <f t="shared" si="33"/>
        <v/>
      </c>
      <c r="AJ82" s="10" t="str">
        <f t="shared" si="33"/>
        <v/>
      </c>
      <c r="AK82" s="10" t="str">
        <f t="shared" si="33"/>
        <v/>
      </c>
      <c r="AL82" s="17" t="str">
        <f t="shared" si="28"/>
        <v/>
      </c>
      <c r="AM82" s="20" t="str">
        <f t="shared" si="29"/>
        <v/>
      </c>
      <c r="AN82" s="10" t="str">
        <f t="shared" si="30"/>
        <v/>
      </c>
      <c r="AO82" s="17" t="str">
        <f t="shared" si="31"/>
        <v/>
      </c>
      <c r="BE82" s="10"/>
      <c r="BI82" s="10"/>
      <c r="BQ82" s="10" t="s">
        <v>223</v>
      </c>
    </row>
    <row r="83" spans="1:69" ht="21" customHeight="1" x14ac:dyDescent="0.25">
      <c r="A83" s="10"/>
      <c r="B83" s="16" t="s">
        <v>91</v>
      </c>
      <c r="C83" s="10">
        <v>100</v>
      </c>
      <c r="D83" s="10">
        <v>249</v>
      </c>
      <c r="E83" s="17">
        <v>249</v>
      </c>
      <c r="I83" s="436" t="s">
        <v>5015</v>
      </c>
      <c r="J83" s="26" t="s">
        <v>5014</v>
      </c>
      <c r="K83" s="10">
        <v>2.4000000000000004</v>
      </c>
      <c r="L83" s="73">
        <f>IF(Tank1!$C$23="No control",(SUMIF(Tank1!$B$32:$B$49,$J83,Tank1!$C$32:$C$49)*Impacts!$F$8),0)</f>
        <v>0</v>
      </c>
      <c r="M83" s="10">
        <f>IF(Tank2!$C$23="No control",(SUMIF(Tank2!$B$32:$B$49,$J83,Tank2!$C$32:$C$49)*Impacts!$F$9),0)</f>
        <v>0</v>
      </c>
      <c r="N83" s="10">
        <f>IF(Tank3!$C$23="No control",(SUMIF(Tank3!$B$32:$B$49,$J83,Tank3!$C$32:$C$49)*Impacts!$F$10),0)</f>
        <v>0</v>
      </c>
      <c r="O83" s="10">
        <f>IF(Tank4!$C$23="No control",(SUMIF(Tank4!$B$32:$B$49,$J83,Tank4!$C$32:$C$49)*Impacts!$F$11),0)</f>
        <v>0</v>
      </c>
      <c r="P83" s="10">
        <f>IF(Tank5!$C$23="No control",(SUMIF(Tank5!$B$32:$B$49,$J83,Tank5!$C$32:$C$49)*Impacts!$F$12),0)</f>
        <v>0</v>
      </c>
      <c r="Q83" s="10">
        <f>IFERROR(IF(('Loading-drum,tote'!$C$21)="No control",SUMIF(('Loading-drum,tote'!$B$31:$B$48),$J83,('Loading-drum,tote'!$D$31:$D$48))*Impacts!$F$13,IF(('Loading-drum,tote'!$C$21)&lt;&gt;"No control",SUMIF(('Loading-drum,tote'!$B$31:$B$48),$J83,('Loading-drum,tote'!$E$31:$E$48))*Impacts!$F$13,0)),0)</f>
        <v>0</v>
      </c>
      <c r="R83" s="10">
        <f>IFERROR(IF(('Loading-truck'!$C$21)="No control",SUMIF(('Loading-truck'!$B$31:$B$48),$J83,('Loading-truck'!$D$31:$D$48))*Impacts!$F$14,IF(('Loading-truck'!$C$21)&lt;&gt;"No control",SUMIF(('Loading-truck'!$B$31:$B$48),$J83,('Loading-truck'!$E$31:$E$48))*Impacts!$F$14,0)),0)</f>
        <v>0</v>
      </c>
      <c r="S83" s="10">
        <f>IFERROR(IF(('Loading-rail'!$C$21)="No control",SUMIF(('Loading-rail'!$B$31:$B$48),$J83,('Loading-rail'!$D$31:$D$48))*Impacts!$F$15,IF(('Loading-rail'!$C$21)&lt;&gt;"No control",SUMIF(('Loading-rail'!$B$31:$B$48),$J83,('Loading-rail'!$E$31:$E$48))*Impacts!$F$15,0)),0)</f>
        <v>0</v>
      </c>
      <c r="T83" s="10">
        <f>IF(Flare!$C$7="",0,(SUMIF(Flare!$B$46:$B$185,$J83,Flare!$E$46:$E$185)*Impacts!$F$16))</f>
        <v>0</v>
      </c>
      <c r="U83" s="10">
        <f>IF(VCU!$C$9="",0,(SUMIF(VCU!$B$51:$B$193,$J83,VCU!$E$51:$E$193)*Impacts!$F$17))</f>
        <v>0</v>
      </c>
      <c r="V83" s="10">
        <f>IF(CAS!$C$7="",0,(SUMIF(CAS!$B$31:$B$167,$J83,CAS!$E$31:$E$167)*Impacts!$F$18))</f>
        <v>0</v>
      </c>
      <c r="W83" s="10">
        <f t="shared" si="32"/>
        <v>0</v>
      </c>
      <c r="AA83" s="48"/>
      <c r="AB83" s="20"/>
      <c r="AC83" s="10">
        <f>IF(OR(AI83=0,AI83="",ISNUMBER(MATCH(AI83,$AI$1:AI82,0))),0,MAX($AC$1:AC82)+1)</f>
        <v>0</v>
      </c>
      <c r="AD83" s="10">
        <f>IF(OR(AJ83=0,AJ83="",ISNUMBER(MATCH(AJ83,$AJ$1:AJ82,0))),0,MAX($AD$1:AD82)+1)</f>
        <v>0</v>
      </c>
      <c r="AE83" s="10">
        <f>IF(OR(AK83=0,AK83="",ISNUMBER(MATCH(AK83,$AK$1:AK82,0))),0,MAX($AE$1:AE82)+1)</f>
        <v>0</v>
      </c>
      <c r="AF83" s="10">
        <f>IF(OR(AH83=0,ISNUMBER(MATCH(AH83,$AH$1:AH82,0))),0,MAX($AF$1:AF82)+1)</f>
        <v>0</v>
      </c>
      <c r="AG83" s="10">
        <f>Tank5!$C$23</f>
        <v>0</v>
      </c>
      <c r="AH83" s="45">
        <f>Tank5!A46</f>
        <v>0</v>
      </c>
      <c r="AI83" s="10" t="str">
        <f t="shared" si="33"/>
        <v/>
      </c>
      <c r="AJ83" s="10" t="str">
        <f t="shared" si="33"/>
        <v/>
      </c>
      <c r="AK83" s="10" t="str">
        <f t="shared" si="33"/>
        <v/>
      </c>
      <c r="AL83" s="17" t="str">
        <f t="shared" si="28"/>
        <v/>
      </c>
      <c r="AM83" s="20" t="str">
        <f t="shared" si="29"/>
        <v/>
      </c>
      <c r="AN83" s="10" t="str">
        <f t="shared" si="30"/>
        <v/>
      </c>
      <c r="AO83" s="17" t="str">
        <f t="shared" si="31"/>
        <v/>
      </c>
      <c r="BE83" s="10"/>
      <c r="BI83" s="10"/>
      <c r="BQ83" s="10" t="s">
        <v>235</v>
      </c>
    </row>
    <row r="84" spans="1:69" ht="21" customHeight="1" x14ac:dyDescent="0.25">
      <c r="A84" s="10"/>
      <c r="B84" s="16" t="s">
        <v>92</v>
      </c>
      <c r="C84" s="10">
        <v>100</v>
      </c>
      <c r="D84" s="10">
        <v>249</v>
      </c>
      <c r="E84" s="17">
        <v>249</v>
      </c>
      <c r="I84" s="436" t="s">
        <v>7414</v>
      </c>
      <c r="J84" s="26" t="s">
        <v>7413</v>
      </c>
      <c r="K84" s="10">
        <v>0.2</v>
      </c>
      <c r="L84" s="73">
        <f>IF(Tank1!$C$23="No control",(SUMIF(Tank1!$B$32:$B$49,$J84,Tank1!$C$32:$C$49)*Impacts!$F$8),0)</f>
        <v>0</v>
      </c>
      <c r="M84" s="10">
        <f>IF(Tank2!$C$23="No control",(SUMIF(Tank2!$B$32:$B$49,$J84,Tank2!$C$32:$C$49)*Impacts!$F$9),0)</f>
        <v>0</v>
      </c>
      <c r="N84" s="10">
        <f>IF(Tank3!$C$23="No control",(SUMIF(Tank3!$B$32:$B$49,$J84,Tank3!$C$32:$C$49)*Impacts!$F$10),0)</f>
        <v>0</v>
      </c>
      <c r="O84" s="10">
        <f>IF(Tank4!$C$23="No control",(SUMIF(Tank4!$B$32:$B$49,$J84,Tank4!$C$32:$C$49)*Impacts!$F$11),0)</f>
        <v>0</v>
      </c>
      <c r="P84" s="10">
        <f>IF(Tank5!$C$23="No control",(SUMIF(Tank5!$B$32:$B$49,$J84,Tank5!$C$32:$C$49)*Impacts!$F$12),0)</f>
        <v>0</v>
      </c>
      <c r="Q84" s="10">
        <f>IFERROR(IF(('Loading-drum,tote'!$C$21)="No control",SUMIF(('Loading-drum,tote'!$B$31:$B$48),$J84,('Loading-drum,tote'!$D$31:$D$48))*Impacts!$F$13,IF(('Loading-drum,tote'!$C$21)&lt;&gt;"No control",SUMIF(('Loading-drum,tote'!$B$31:$B$48),$J84,('Loading-drum,tote'!$E$31:$E$48))*Impacts!$F$13,0)),0)</f>
        <v>0</v>
      </c>
      <c r="R84" s="10">
        <f>IFERROR(IF(('Loading-truck'!$C$21)="No control",SUMIF(('Loading-truck'!$B$31:$B$48),$J84,('Loading-truck'!$D$31:$D$48))*Impacts!$F$14,IF(('Loading-truck'!$C$21)&lt;&gt;"No control",SUMIF(('Loading-truck'!$B$31:$B$48),$J84,('Loading-truck'!$E$31:$E$48))*Impacts!$F$14,0)),0)</f>
        <v>0</v>
      </c>
      <c r="S84" s="10">
        <f>IFERROR(IF(('Loading-rail'!$C$21)="No control",SUMIF(('Loading-rail'!$B$31:$B$48),$J84,('Loading-rail'!$D$31:$D$48))*Impacts!$F$15,IF(('Loading-rail'!$C$21)&lt;&gt;"No control",SUMIF(('Loading-rail'!$B$31:$B$48),$J84,('Loading-rail'!$E$31:$E$48))*Impacts!$F$15,0)),0)</f>
        <v>0</v>
      </c>
      <c r="T84" s="10">
        <f>IF(Flare!$C$7="",0,(SUMIF(Flare!$B$46:$B$185,$J84,Flare!$E$46:$E$185)*Impacts!$F$16))</f>
        <v>0</v>
      </c>
      <c r="U84" s="10">
        <f>IF(VCU!$C$9="",0,(SUMIF(VCU!$B$51:$B$193,$J84,VCU!$E$51:$E$193)*Impacts!$F$17))</f>
        <v>0</v>
      </c>
      <c r="V84" s="10">
        <f>IF(CAS!$C$7="",0,(SUMIF(CAS!$B$31:$B$167,$J84,CAS!$E$31:$E$167)*Impacts!$F$18))</f>
        <v>0</v>
      </c>
      <c r="W84" s="10">
        <f t="shared" si="32"/>
        <v>0</v>
      </c>
      <c r="AA84" s="48"/>
      <c r="AB84" s="20"/>
      <c r="AC84" s="10">
        <f>IF(OR(AI84=0,AI84="",ISNUMBER(MATCH(AI84,$AI$1:AI83,0))),0,MAX($AC$1:AC83)+1)</f>
        <v>0</v>
      </c>
      <c r="AD84" s="10">
        <f>IF(OR(AJ84=0,AJ84="",ISNUMBER(MATCH(AJ84,$AJ$1:AJ83,0))),0,MAX($AD$1:AD83)+1)</f>
        <v>0</v>
      </c>
      <c r="AE84" s="10">
        <f>IF(OR(AK84=0,AK84="",ISNUMBER(MATCH(AK84,$AK$1:AK83,0))),0,MAX($AE$1:AE83)+1)</f>
        <v>0</v>
      </c>
      <c r="AF84" s="10">
        <f>IF(OR(AH84=0,ISNUMBER(MATCH(AH84,$AH$1:AH83,0))),0,MAX($AF$1:AF83)+1)</f>
        <v>0</v>
      </c>
      <c r="AG84" s="10">
        <f>Tank5!$C$23</f>
        <v>0</v>
      </c>
      <c r="AH84" s="45">
        <f>Tank5!A47</f>
        <v>0</v>
      </c>
      <c r="AI84" s="10" t="str">
        <f t="shared" si="33"/>
        <v/>
      </c>
      <c r="AJ84" s="10" t="str">
        <f t="shared" si="33"/>
        <v/>
      </c>
      <c r="AK84" s="10" t="str">
        <f t="shared" si="33"/>
        <v/>
      </c>
      <c r="AL84" s="17" t="str">
        <f t="shared" si="28"/>
        <v/>
      </c>
      <c r="AM84" s="20" t="str">
        <f t="shared" si="29"/>
        <v/>
      </c>
      <c r="AN84" s="10" t="str">
        <f t="shared" si="30"/>
        <v/>
      </c>
      <c r="AO84" s="17" t="str">
        <f t="shared" si="31"/>
        <v/>
      </c>
      <c r="BE84" s="10"/>
      <c r="BI84" s="10"/>
      <c r="BQ84" s="10" t="s">
        <v>237</v>
      </c>
    </row>
    <row r="85" spans="1:69" ht="21" customHeight="1" x14ac:dyDescent="0.25">
      <c r="A85" s="10"/>
      <c r="B85" s="16" t="s">
        <v>93</v>
      </c>
      <c r="C85" s="10">
        <v>100</v>
      </c>
      <c r="D85" s="10">
        <v>249</v>
      </c>
      <c r="E85" s="17">
        <v>249</v>
      </c>
      <c r="I85" s="436" t="s">
        <v>1648</v>
      </c>
      <c r="J85" s="26" t="s">
        <v>1647</v>
      </c>
      <c r="K85" s="10">
        <v>24.5</v>
      </c>
      <c r="L85" s="73">
        <f>IF(Tank1!$C$23="No control",(SUMIF(Tank1!$B$32:$B$49,$J85,Tank1!$C$32:$C$49)*Impacts!$F$8),0)</f>
        <v>0</v>
      </c>
      <c r="M85" s="10">
        <f>IF(Tank2!$C$23="No control",(SUMIF(Tank2!$B$32:$B$49,$J85,Tank2!$C$32:$C$49)*Impacts!$F$9),0)</f>
        <v>0</v>
      </c>
      <c r="N85" s="10">
        <f>IF(Tank3!$C$23="No control",(SUMIF(Tank3!$B$32:$B$49,$J85,Tank3!$C$32:$C$49)*Impacts!$F$10),0)</f>
        <v>0</v>
      </c>
      <c r="O85" s="10">
        <f>IF(Tank4!$C$23="No control",(SUMIF(Tank4!$B$32:$B$49,$J85,Tank4!$C$32:$C$49)*Impacts!$F$11),0)</f>
        <v>0</v>
      </c>
      <c r="P85" s="10">
        <f>IF(Tank5!$C$23="No control",(SUMIF(Tank5!$B$32:$B$49,$J85,Tank5!$C$32:$C$49)*Impacts!$F$12),0)</f>
        <v>0</v>
      </c>
      <c r="Q85" s="10">
        <f>IFERROR(IF(('Loading-drum,tote'!$C$21)="No control",SUMIF(('Loading-drum,tote'!$B$31:$B$48),$J85,('Loading-drum,tote'!$D$31:$D$48))*Impacts!$F$13,IF(('Loading-drum,tote'!$C$21)&lt;&gt;"No control",SUMIF(('Loading-drum,tote'!$B$31:$B$48),$J85,('Loading-drum,tote'!$E$31:$E$48))*Impacts!$F$13,0)),0)</f>
        <v>0</v>
      </c>
      <c r="R85" s="10">
        <f>IFERROR(IF(('Loading-truck'!$C$21)="No control",SUMIF(('Loading-truck'!$B$31:$B$48),$J85,('Loading-truck'!$D$31:$D$48))*Impacts!$F$14,IF(('Loading-truck'!$C$21)&lt;&gt;"No control",SUMIF(('Loading-truck'!$B$31:$B$48),$J85,('Loading-truck'!$E$31:$E$48))*Impacts!$F$14,0)),0)</f>
        <v>0</v>
      </c>
      <c r="S85" s="10">
        <f>IFERROR(IF(('Loading-rail'!$C$21)="No control",SUMIF(('Loading-rail'!$B$31:$B$48),$J85,('Loading-rail'!$D$31:$D$48))*Impacts!$F$15,IF(('Loading-rail'!$C$21)&lt;&gt;"No control",SUMIF(('Loading-rail'!$B$31:$B$48),$J85,('Loading-rail'!$E$31:$E$48))*Impacts!$F$15,0)),0)</f>
        <v>0</v>
      </c>
      <c r="T85" s="10">
        <f>IF(Flare!$C$7="",0,(SUMIF(Flare!$B$46:$B$185,$J85,Flare!$E$46:$E$185)*Impacts!$F$16))</f>
        <v>0</v>
      </c>
      <c r="U85" s="10">
        <f>IF(VCU!$C$9="",0,(SUMIF(VCU!$B$51:$B$193,$J85,VCU!$E$51:$E$193)*Impacts!$F$17))</f>
        <v>0</v>
      </c>
      <c r="V85" s="10">
        <f>IF(CAS!$C$7="",0,(SUMIF(CAS!$B$31:$B$167,$J85,CAS!$E$31:$E$167)*Impacts!$F$18))</f>
        <v>0</v>
      </c>
      <c r="W85" s="10">
        <f t="shared" si="32"/>
        <v>0</v>
      </c>
      <c r="AA85" s="48"/>
      <c r="AB85" s="20"/>
      <c r="AC85" s="10">
        <f>IF(OR(AI85=0,AI85="",ISNUMBER(MATCH(AI85,$AI$1:AI84,0))),0,MAX($AC$1:AC84)+1)</f>
        <v>0</v>
      </c>
      <c r="AD85" s="10">
        <f>IF(OR(AJ85=0,AJ85="",ISNUMBER(MATCH(AJ85,$AJ$1:AJ84,0))),0,MAX($AD$1:AD84)+1)</f>
        <v>0</v>
      </c>
      <c r="AE85" s="10">
        <f>IF(OR(AK85=0,AK85="",ISNUMBER(MATCH(AK85,$AK$1:AK84,0))),0,MAX($AE$1:AE84)+1)</f>
        <v>0</v>
      </c>
      <c r="AF85" s="10">
        <f>IF(OR(AH85=0,ISNUMBER(MATCH(AH85,$AH$1:AH84,0))),0,MAX($AF$1:AF84)+1)</f>
        <v>0</v>
      </c>
      <c r="AG85" s="10">
        <f>Tank5!$C$23</f>
        <v>0</v>
      </c>
      <c r="AH85" s="45">
        <f>Tank5!A48</f>
        <v>0</v>
      </c>
      <c r="AI85" s="10" t="str">
        <f t="shared" si="33"/>
        <v/>
      </c>
      <c r="AJ85" s="10" t="str">
        <f t="shared" si="33"/>
        <v/>
      </c>
      <c r="AK85" s="10" t="str">
        <f t="shared" si="33"/>
        <v/>
      </c>
      <c r="AL85" s="17" t="str">
        <f t="shared" si="28"/>
        <v/>
      </c>
      <c r="AM85" s="20" t="str">
        <f t="shared" si="29"/>
        <v/>
      </c>
      <c r="AN85" s="10" t="str">
        <f t="shared" si="30"/>
        <v/>
      </c>
      <c r="AO85" s="17" t="str">
        <f t="shared" si="31"/>
        <v/>
      </c>
      <c r="BE85" s="10"/>
      <c r="BI85" s="10"/>
      <c r="BQ85" s="10" t="s">
        <v>238</v>
      </c>
    </row>
    <row r="86" spans="1:69" ht="21" customHeight="1" x14ac:dyDescent="0.25">
      <c r="A86" s="10"/>
      <c r="B86" s="16" t="s">
        <v>94</v>
      </c>
      <c r="C86" s="10">
        <v>100</v>
      </c>
      <c r="D86" s="10">
        <v>100</v>
      </c>
      <c r="E86" s="17">
        <v>249</v>
      </c>
      <c r="I86" s="436" t="s">
        <v>8102</v>
      </c>
      <c r="J86" s="26" t="s">
        <v>8101</v>
      </c>
      <c r="K86" s="10">
        <v>1.0000000000000002E-2</v>
      </c>
      <c r="L86" s="73">
        <f>IF(Tank1!$C$23="No control",(SUMIF(Tank1!$B$32:$B$49,$J86,Tank1!$C$32:$C$49)*Impacts!$F$8),0)</f>
        <v>0</v>
      </c>
      <c r="M86" s="10">
        <f>IF(Tank2!$C$23="No control",(SUMIF(Tank2!$B$32:$B$49,$J86,Tank2!$C$32:$C$49)*Impacts!$F$9),0)</f>
        <v>0</v>
      </c>
      <c r="N86" s="10">
        <f>IF(Tank3!$C$23="No control",(SUMIF(Tank3!$B$32:$B$49,$J86,Tank3!$C$32:$C$49)*Impacts!$F$10),0)</f>
        <v>0</v>
      </c>
      <c r="O86" s="10">
        <f>IF(Tank4!$C$23="No control",(SUMIF(Tank4!$B$32:$B$49,$J86,Tank4!$C$32:$C$49)*Impacts!$F$11),0)</f>
        <v>0</v>
      </c>
      <c r="P86" s="10">
        <f>IF(Tank5!$C$23="No control",(SUMIF(Tank5!$B$32:$B$49,$J86,Tank5!$C$32:$C$49)*Impacts!$F$12),0)</f>
        <v>0</v>
      </c>
      <c r="Q86" s="10">
        <f>IFERROR(IF(('Loading-drum,tote'!$C$21)="No control",SUMIF(('Loading-drum,tote'!$B$31:$B$48),$J86,('Loading-drum,tote'!$D$31:$D$48))*Impacts!$F$13,IF(('Loading-drum,tote'!$C$21)&lt;&gt;"No control",SUMIF(('Loading-drum,tote'!$B$31:$B$48),$J86,('Loading-drum,tote'!$E$31:$E$48))*Impacts!$F$13,0)),0)</f>
        <v>0</v>
      </c>
      <c r="R86" s="10">
        <f>IFERROR(IF(('Loading-truck'!$C$21)="No control",SUMIF(('Loading-truck'!$B$31:$B$48),$J86,('Loading-truck'!$D$31:$D$48))*Impacts!$F$14,IF(('Loading-truck'!$C$21)&lt;&gt;"No control",SUMIF(('Loading-truck'!$B$31:$B$48),$J86,('Loading-truck'!$E$31:$E$48))*Impacts!$F$14,0)),0)</f>
        <v>0</v>
      </c>
      <c r="S86" s="10">
        <f>IFERROR(IF(('Loading-rail'!$C$21)="No control",SUMIF(('Loading-rail'!$B$31:$B$48),$J86,('Loading-rail'!$D$31:$D$48))*Impacts!$F$15,IF(('Loading-rail'!$C$21)&lt;&gt;"No control",SUMIF(('Loading-rail'!$B$31:$B$48),$J86,('Loading-rail'!$E$31:$E$48))*Impacts!$F$15,0)),0)</f>
        <v>0</v>
      </c>
      <c r="T86" s="10">
        <f>IF(Flare!$C$7="",0,(SUMIF(Flare!$B$46:$B$185,$J86,Flare!$E$46:$E$185)*Impacts!$F$16))</f>
        <v>0</v>
      </c>
      <c r="U86" s="10">
        <f>IF(VCU!$C$9="",0,(SUMIF(VCU!$B$51:$B$193,$J86,VCU!$E$51:$E$193)*Impacts!$F$17))</f>
        <v>0</v>
      </c>
      <c r="V86" s="10">
        <f>IF(CAS!$C$7="",0,(SUMIF(CAS!$B$31:$B$167,$J86,CAS!$E$31:$E$167)*Impacts!$F$18))</f>
        <v>0</v>
      </c>
      <c r="W86" s="10">
        <f t="shared" si="32"/>
        <v>0</v>
      </c>
      <c r="AA86" s="48"/>
      <c r="AB86" s="20"/>
      <c r="AC86" s="10">
        <f>IF(OR(AI86=0,AI86="",ISNUMBER(MATCH(AI86,$AI$1:AI85,0))),0,MAX($AC$1:AC85)+1)</f>
        <v>0</v>
      </c>
      <c r="AD86" s="10">
        <f>IF(OR(AJ86=0,AJ86="",ISNUMBER(MATCH(AJ86,$AJ$1:AJ85,0))),0,MAX($AD$1:AD85)+1)</f>
        <v>0</v>
      </c>
      <c r="AE86" s="10">
        <f>IF(OR(AK86=0,AK86="",ISNUMBER(MATCH(AK86,$AK$1:AK85,0))),0,MAX($AE$1:AE85)+1)</f>
        <v>0</v>
      </c>
      <c r="AF86" s="10">
        <f>IF(OR(AH86=0,ISNUMBER(MATCH(AH86,$AH$1:AH85,0))),0,MAX($AF$1:AF85)+1)</f>
        <v>0</v>
      </c>
      <c r="AG86" s="10">
        <f>Tank5!$C$23</f>
        <v>0</v>
      </c>
      <c r="AH86" s="45">
        <f>Tank5!A49</f>
        <v>0</v>
      </c>
      <c r="AI86" s="10" t="str">
        <f t="shared" si="33"/>
        <v/>
      </c>
      <c r="AJ86" s="10" t="str">
        <f t="shared" si="33"/>
        <v/>
      </c>
      <c r="AK86" s="10" t="str">
        <f t="shared" si="33"/>
        <v/>
      </c>
      <c r="AL86" s="17" t="str">
        <f t="shared" si="28"/>
        <v/>
      </c>
      <c r="AM86" s="20" t="str">
        <f t="shared" si="29"/>
        <v/>
      </c>
      <c r="AN86" s="10" t="str">
        <f t="shared" si="30"/>
        <v/>
      </c>
      <c r="AO86" s="17" t="str">
        <f t="shared" si="31"/>
        <v/>
      </c>
      <c r="BE86" s="10"/>
      <c r="BI86" s="10"/>
      <c r="BQ86" s="10" t="s">
        <v>239</v>
      </c>
    </row>
    <row r="87" spans="1:69" ht="21" customHeight="1" x14ac:dyDescent="0.25">
      <c r="A87" s="10"/>
      <c r="B87" s="16" t="s">
        <v>95</v>
      </c>
      <c r="C87" s="10">
        <v>100</v>
      </c>
      <c r="D87" s="10">
        <v>249</v>
      </c>
      <c r="E87" s="17">
        <v>249</v>
      </c>
      <c r="I87" s="436" t="s">
        <v>4355</v>
      </c>
      <c r="J87" s="26" t="s">
        <v>4354</v>
      </c>
      <c r="K87" s="10">
        <v>4.8000000000000007</v>
      </c>
      <c r="L87" s="73">
        <f>IF(Tank1!$C$23="No control",(SUMIF(Tank1!$B$32:$B$49,$J87,Tank1!$C$32:$C$49)*Impacts!$F$8),0)</f>
        <v>0</v>
      </c>
      <c r="M87" s="10">
        <f>IF(Tank2!$C$23="No control",(SUMIF(Tank2!$B$32:$B$49,$J87,Tank2!$C$32:$C$49)*Impacts!$F$9),0)</f>
        <v>0</v>
      </c>
      <c r="N87" s="10">
        <f>IF(Tank3!$C$23="No control",(SUMIF(Tank3!$B$32:$B$49,$J87,Tank3!$C$32:$C$49)*Impacts!$F$10),0)</f>
        <v>0</v>
      </c>
      <c r="O87" s="10">
        <f>IF(Tank4!$C$23="No control",(SUMIF(Tank4!$B$32:$B$49,$J87,Tank4!$C$32:$C$49)*Impacts!$F$11),0)</f>
        <v>0</v>
      </c>
      <c r="P87" s="10">
        <f>IF(Tank5!$C$23="No control",(SUMIF(Tank5!$B$32:$B$49,$J87,Tank5!$C$32:$C$49)*Impacts!$F$12),0)</f>
        <v>0</v>
      </c>
      <c r="Q87" s="10">
        <f>IFERROR(IF(('Loading-drum,tote'!$C$21)="No control",SUMIF(('Loading-drum,tote'!$B$31:$B$48),$J87,('Loading-drum,tote'!$D$31:$D$48))*Impacts!$F$13,IF(('Loading-drum,tote'!$C$21)&lt;&gt;"No control",SUMIF(('Loading-drum,tote'!$B$31:$B$48),$J87,('Loading-drum,tote'!$E$31:$E$48))*Impacts!$F$13,0)),0)</f>
        <v>0</v>
      </c>
      <c r="R87" s="10">
        <f>IFERROR(IF(('Loading-truck'!$C$21)="No control",SUMIF(('Loading-truck'!$B$31:$B$48),$J87,('Loading-truck'!$D$31:$D$48))*Impacts!$F$14,IF(('Loading-truck'!$C$21)&lt;&gt;"No control",SUMIF(('Loading-truck'!$B$31:$B$48),$J87,('Loading-truck'!$E$31:$E$48))*Impacts!$F$14,0)),0)</f>
        <v>0</v>
      </c>
      <c r="S87" s="10">
        <f>IFERROR(IF(('Loading-rail'!$C$21)="No control",SUMIF(('Loading-rail'!$B$31:$B$48),$J87,('Loading-rail'!$D$31:$D$48))*Impacts!$F$15,IF(('Loading-rail'!$C$21)&lt;&gt;"No control",SUMIF(('Loading-rail'!$B$31:$B$48),$J87,('Loading-rail'!$E$31:$E$48))*Impacts!$F$15,0)),0)</f>
        <v>0</v>
      </c>
      <c r="T87" s="10">
        <f>IF(Flare!$C$7="",0,(SUMIF(Flare!$B$46:$B$185,$J87,Flare!$E$46:$E$185)*Impacts!$F$16))</f>
        <v>0</v>
      </c>
      <c r="U87" s="10">
        <f>IF(VCU!$C$9="",0,(SUMIF(VCU!$B$51:$B$193,$J87,VCU!$E$51:$E$193)*Impacts!$F$17))</f>
        <v>0</v>
      </c>
      <c r="V87" s="10">
        <f>IF(CAS!$C$7="",0,(SUMIF(CAS!$B$31:$B$167,$J87,CAS!$E$31:$E$167)*Impacts!$F$18))</f>
        <v>0</v>
      </c>
      <c r="W87" s="10">
        <f t="shared" si="32"/>
        <v>0</v>
      </c>
      <c r="AA87" s="48"/>
      <c r="AB87" s="75" t="s">
        <v>8647</v>
      </c>
      <c r="AC87" s="101">
        <f>IF(OR(AI87=0,AI87="",ISNUMBER(MATCH(AI87,$AI$1:AI86,0))),0,MAX($AC$1:AC86)+1)</f>
        <v>0</v>
      </c>
      <c r="AD87" s="101">
        <f>IF(OR(AJ87=0,AJ87="",ISNUMBER(MATCH(AJ87,$AJ$1:AJ86,0))),0,MAX($AD$1:AD86)+1)</f>
        <v>0</v>
      </c>
      <c r="AE87" s="101">
        <f>IF(OR(AK87=0,AK87="",ISNUMBER(MATCH(AK87,$AK$1:AK86,0))),0,MAX($AE$1:AE86)+1)</f>
        <v>0</v>
      </c>
      <c r="AF87" s="101">
        <f>IF(OR(AH87=0,ISNUMBER(MATCH(AH87,$AH$1:AH86,0))),0,MAX($AF$1:AF86)+1)</f>
        <v>0</v>
      </c>
      <c r="AG87" s="102">
        <f>'Loading-drum,tote'!$C$21</f>
        <v>0</v>
      </c>
      <c r="AH87" s="102">
        <f>'Loading-drum,tote'!A32</f>
        <v>0</v>
      </c>
      <c r="AI87" s="101" t="str">
        <f t="shared" si="33"/>
        <v/>
      </c>
      <c r="AJ87" s="101" t="str">
        <f t="shared" si="33"/>
        <v/>
      </c>
      <c r="AK87" s="101" t="str">
        <f t="shared" si="33"/>
        <v/>
      </c>
      <c r="AL87" s="103" t="str">
        <f t="shared" si="28"/>
        <v/>
      </c>
      <c r="AM87" s="20" t="str">
        <f t="shared" si="29"/>
        <v/>
      </c>
      <c r="AN87" s="10" t="str">
        <f t="shared" si="30"/>
        <v/>
      </c>
      <c r="AO87" s="17" t="str">
        <f t="shared" si="31"/>
        <v/>
      </c>
      <c r="BE87" s="10"/>
      <c r="BI87" s="10"/>
      <c r="BQ87" s="10" t="s">
        <v>240</v>
      </c>
    </row>
    <row r="88" spans="1:69" ht="21" customHeight="1" x14ac:dyDescent="0.25">
      <c r="A88" s="10"/>
      <c r="B88" s="16" t="s">
        <v>96</v>
      </c>
      <c r="C88" s="10">
        <v>100</v>
      </c>
      <c r="D88" s="10">
        <v>249</v>
      </c>
      <c r="E88" s="17">
        <v>249</v>
      </c>
      <c r="I88" s="436" t="s">
        <v>5644</v>
      </c>
      <c r="J88" s="26" t="s">
        <v>5643</v>
      </c>
      <c r="K88" s="10">
        <v>1</v>
      </c>
      <c r="L88" s="73">
        <f>IF(Tank1!$C$23="No control",(SUMIF(Tank1!$B$32:$B$49,$J88,Tank1!$C$32:$C$49)*Impacts!$F$8),0)</f>
        <v>0</v>
      </c>
      <c r="M88" s="10">
        <f>IF(Tank2!$C$23="No control",(SUMIF(Tank2!$B$32:$B$49,$J88,Tank2!$C$32:$C$49)*Impacts!$F$9),0)</f>
        <v>0</v>
      </c>
      <c r="N88" s="10">
        <f>IF(Tank3!$C$23="No control",(SUMIF(Tank3!$B$32:$B$49,$J88,Tank3!$C$32:$C$49)*Impacts!$F$10),0)</f>
        <v>0</v>
      </c>
      <c r="O88" s="10">
        <f>IF(Tank4!$C$23="No control",(SUMIF(Tank4!$B$32:$B$49,$J88,Tank4!$C$32:$C$49)*Impacts!$F$11),0)</f>
        <v>0</v>
      </c>
      <c r="P88" s="10">
        <f>IF(Tank5!$C$23="No control",(SUMIF(Tank5!$B$32:$B$49,$J88,Tank5!$C$32:$C$49)*Impacts!$F$12),0)</f>
        <v>0</v>
      </c>
      <c r="Q88" s="10">
        <f>IFERROR(IF(('Loading-drum,tote'!$C$21)="No control",SUMIF(('Loading-drum,tote'!$B$31:$B$48),$J88,('Loading-drum,tote'!$D$31:$D$48))*Impacts!$F$13,IF(('Loading-drum,tote'!$C$21)&lt;&gt;"No control",SUMIF(('Loading-drum,tote'!$B$31:$B$48),$J88,('Loading-drum,tote'!$E$31:$E$48))*Impacts!$F$13,0)),0)</f>
        <v>0</v>
      </c>
      <c r="R88" s="10">
        <f>IFERROR(IF(('Loading-truck'!$C$21)="No control",SUMIF(('Loading-truck'!$B$31:$B$48),$J88,('Loading-truck'!$D$31:$D$48))*Impacts!$F$14,IF(('Loading-truck'!$C$21)&lt;&gt;"No control",SUMIF(('Loading-truck'!$B$31:$B$48),$J88,('Loading-truck'!$E$31:$E$48))*Impacts!$F$14,0)),0)</f>
        <v>0</v>
      </c>
      <c r="S88" s="10">
        <f>IFERROR(IF(('Loading-rail'!$C$21)="No control",SUMIF(('Loading-rail'!$B$31:$B$48),$J88,('Loading-rail'!$D$31:$D$48))*Impacts!$F$15,IF(('Loading-rail'!$C$21)&lt;&gt;"No control",SUMIF(('Loading-rail'!$B$31:$B$48),$J88,('Loading-rail'!$E$31:$E$48))*Impacts!$F$15,0)),0)</f>
        <v>0</v>
      </c>
      <c r="T88" s="10">
        <f>IF(Flare!$C$7="",0,(SUMIF(Flare!$B$46:$B$185,$J88,Flare!$E$46:$E$185)*Impacts!$F$16))</f>
        <v>0</v>
      </c>
      <c r="U88" s="10">
        <f>IF(VCU!$C$9="",0,(SUMIF(VCU!$B$51:$B$193,$J88,VCU!$E$51:$E$193)*Impacts!$F$17))</f>
        <v>0</v>
      </c>
      <c r="V88" s="10">
        <f>IF(CAS!$C$7="",0,(SUMIF(CAS!$B$31:$B$167,$J88,CAS!$E$31:$E$167)*Impacts!$F$18))</f>
        <v>0</v>
      </c>
      <c r="W88" s="10">
        <f t="shared" si="32"/>
        <v>0</v>
      </c>
      <c r="AA88" s="48"/>
      <c r="AB88" s="20"/>
      <c r="AC88" s="10">
        <f>IF(OR(AI88=0,AI88="",ISNUMBER(MATCH(AI88,$AI$1:AI87,0))),0,MAX($AC$1:AC87)+1)</f>
        <v>0</v>
      </c>
      <c r="AD88" s="10">
        <f>IF(OR(AJ88=0,AJ88="",ISNUMBER(MATCH(AJ88,$AJ$1:AJ87,0))),0,MAX($AD$1:AD87)+1)</f>
        <v>0</v>
      </c>
      <c r="AE88" s="10">
        <f>IF(OR(AK88=0,AK88="",ISNUMBER(MATCH(AK88,$AK$1:AK87,0))),0,MAX($AE$1:AE87)+1)</f>
        <v>0</v>
      </c>
      <c r="AF88" s="10">
        <f>IF(OR(AH88=0,ISNUMBER(MATCH(AH88,$AH$1:AH87,0))),0,MAX($AF$1:AF87)+1)</f>
        <v>0</v>
      </c>
      <c r="AG88" s="45">
        <f>'Loading-drum,tote'!$C$21</f>
        <v>0</v>
      </c>
      <c r="AH88" s="45">
        <f>'Loading-drum,tote'!A33</f>
        <v>0</v>
      </c>
      <c r="AI88" s="10" t="str">
        <f t="shared" si="33"/>
        <v/>
      </c>
      <c r="AJ88" s="10" t="str">
        <f t="shared" si="33"/>
        <v/>
      </c>
      <c r="AK88" s="10" t="str">
        <f t="shared" si="33"/>
        <v/>
      </c>
      <c r="AL88" s="17" t="str">
        <f t="shared" si="28"/>
        <v/>
      </c>
      <c r="AM88" s="20" t="str">
        <f t="shared" si="29"/>
        <v/>
      </c>
      <c r="AN88" s="10" t="str">
        <f t="shared" si="30"/>
        <v/>
      </c>
      <c r="AO88" s="17" t="str">
        <f t="shared" si="31"/>
        <v/>
      </c>
      <c r="BE88" s="10"/>
      <c r="BI88" s="10"/>
      <c r="BQ88" s="10" t="s">
        <v>8998</v>
      </c>
    </row>
    <row r="89" spans="1:69" ht="21" customHeight="1" x14ac:dyDescent="0.25">
      <c r="A89" s="10"/>
      <c r="B89" s="16" t="s">
        <v>97</v>
      </c>
      <c r="C89" s="10">
        <v>100</v>
      </c>
      <c r="D89" s="10">
        <v>249</v>
      </c>
      <c r="E89" s="17">
        <v>249</v>
      </c>
      <c r="I89" s="436" t="s">
        <v>5646</v>
      </c>
      <c r="J89" s="26" t="s">
        <v>5645</v>
      </c>
      <c r="K89" s="10">
        <v>1</v>
      </c>
      <c r="L89" s="73">
        <f>IF(Tank1!$C$23="No control",(SUMIF(Tank1!$B$32:$B$49,$J89,Tank1!$C$32:$C$49)*Impacts!$F$8),0)</f>
        <v>0</v>
      </c>
      <c r="M89" s="10">
        <f>IF(Tank2!$C$23="No control",(SUMIF(Tank2!$B$32:$B$49,$J89,Tank2!$C$32:$C$49)*Impacts!$F$9),0)</f>
        <v>0</v>
      </c>
      <c r="N89" s="10">
        <f>IF(Tank3!$C$23="No control",(SUMIF(Tank3!$B$32:$B$49,$J89,Tank3!$C$32:$C$49)*Impacts!$F$10),0)</f>
        <v>0</v>
      </c>
      <c r="O89" s="10">
        <f>IF(Tank4!$C$23="No control",(SUMIF(Tank4!$B$32:$B$49,$J89,Tank4!$C$32:$C$49)*Impacts!$F$11),0)</f>
        <v>0</v>
      </c>
      <c r="P89" s="10">
        <f>IF(Tank5!$C$23="No control",(SUMIF(Tank5!$B$32:$B$49,$J89,Tank5!$C$32:$C$49)*Impacts!$F$12),0)</f>
        <v>0</v>
      </c>
      <c r="Q89" s="10">
        <f>IFERROR(IF(('Loading-drum,tote'!$C$21)="No control",SUMIF(('Loading-drum,tote'!$B$31:$B$48),$J89,('Loading-drum,tote'!$D$31:$D$48))*Impacts!$F$13,IF(('Loading-drum,tote'!$C$21)&lt;&gt;"No control",SUMIF(('Loading-drum,tote'!$B$31:$B$48),$J89,('Loading-drum,tote'!$E$31:$E$48))*Impacts!$F$13,0)),0)</f>
        <v>0</v>
      </c>
      <c r="R89" s="10">
        <f>IFERROR(IF(('Loading-truck'!$C$21)="No control",SUMIF(('Loading-truck'!$B$31:$B$48),$J89,('Loading-truck'!$D$31:$D$48))*Impacts!$F$14,IF(('Loading-truck'!$C$21)&lt;&gt;"No control",SUMIF(('Loading-truck'!$B$31:$B$48),$J89,('Loading-truck'!$E$31:$E$48))*Impacts!$F$14,0)),0)</f>
        <v>0</v>
      </c>
      <c r="S89" s="10">
        <f>IFERROR(IF(('Loading-rail'!$C$21)="No control",SUMIF(('Loading-rail'!$B$31:$B$48),$J89,('Loading-rail'!$D$31:$D$48))*Impacts!$F$15,IF(('Loading-rail'!$C$21)&lt;&gt;"No control",SUMIF(('Loading-rail'!$B$31:$B$48),$J89,('Loading-rail'!$E$31:$E$48))*Impacts!$F$15,0)),0)</f>
        <v>0</v>
      </c>
      <c r="T89" s="10">
        <f>IF(Flare!$C$7="",0,(SUMIF(Flare!$B$46:$B$185,$J89,Flare!$E$46:$E$185)*Impacts!$F$16))</f>
        <v>0</v>
      </c>
      <c r="U89" s="10">
        <f>IF(VCU!$C$9="",0,(SUMIF(VCU!$B$51:$B$193,$J89,VCU!$E$51:$E$193)*Impacts!$F$17))</f>
        <v>0</v>
      </c>
      <c r="V89" s="10">
        <f>IF(CAS!$C$7="",0,(SUMIF(CAS!$B$31:$B$167,$J89,CAS!$E$31:$E$167)*Impacts!$F$18))</f>
        <v>0</v>
      </c>
      <c r="W89" s="10">
        <f t="shared" si="32"/>
        <v>0</v>
      </c>
      <c r="AA89" s="48"/>
      <c r="AB89" s="20"/>
      <c r="AC89" s="10">
        <f>IF(OR(AI89=0,AI89="",ISNUMBER(MATCH(AI89,$AI$1:AI88,0))),0,MAX($AC$1:AC88)+1)</f>
        <v>0</v>
      </c>
      <c r="AD89" s="10">
        <f>IF(OR(AJ89=0,AJ89="",ISNUMBER(MATCH(AJ89,$AJ$1:AJ88,0))),0,MAX($AD$1:AD88)+1)</f>
        <v>0</v>
      </c>
      <c r="AE89" s="10">
        <f>IF(OR(AK89=0,AK89="",ISNUMBER(MATCH(AK89,$AK$1:AK88,0))),0,MAX($AE$1:AE88)+1)</f>
        <v>0</v>
      </c>
      <c r="AF89" s="10">
        <f>IF(OR(AH89=0,ISNUMBER(MATCH(AH89,$AH$1:AH88,0))),0,MAX($AF$1:AF88)+1)</f>
        <v>0</v>
      </c>
      <c r="AG89" s="45">
        <f>'Loading-drum,tote'!$C$21</f>
        <v>0</v>
      </c>
      <c r="AH89" s="45">
        <f>'Loading-drum,tote'!A34</f>
        <v>0</v>
      </c>
      <c r="AI89" s="10" t="str">
        <f t="shared" si="33"/>
        <v/>
      </c>
      <c r="AJ89" s="10" t="str">
        <f t="shared" si="33"/>
        <v/>
      </c>
      <c r="AK89" s="10" t="str">
        <f t="shared" si="33"/>
        <v/>
      </c>
      <c r="AL89" s="17" t="str">
        <f t="shared" si="28"/>
        <v/>
      </c>
      <c r="AM89" s="20" t="str">
        <f t="shared" si="29"/>
        <v/>
      </c>
      <c r="AN89" s="10" t="str">
        <f t="shared" si="30"/>
        <v/>
      </c>
      <c r="AO89" s="17" t="str">
        <f t="shared" si="31"/>
        <v/>
      </c>
      <c r="BE89" s="10"/>
      <c r="BI89" s="10"/>
      <c r="BQ89" s="10" t="s">
        <v>8999</v>
      </c>
    </row>
    <row r="90" spans="1:69" ht="21" customHeight="1" x14ac:dyDescent="0.25">
      <c r="A90" s="10"/>
      <c r="B90" s="16" t="s">
        <v>98</v>
      </c>
      <c r="C90" s="10">
        <v>100</v>
      </c>
      <c r="D90" s="10">
        <v>249</v>
      </c>
      <c r="E90" s="17">
        <v>249</v>
      </c>
      <c r="I90" s="436" t="s">
        <v>8250</v>
      </c>
      <c r="J90" s="26" t="s">
        <v>8249</v>
      </c>
      <c r="K90" s="10">
        <v>5.000000000000001E-3</v>
      </c>
      <c r="L90" s="73">
        <f>IF(Tank1!$C$23="No control",(SUMIF(Tank1!$B$32:$B$49,$J90,Tank1!$C$32:$C$49)*Impacts!$F$8),0)</f>
        <v>0</v>
      </c>
      <c r="M90" s="10">
        <f>IF(Tank2!$C$23="No control",(SUMIF(Tank2!$B$32:$B$49,$J90,Tank2!$C$32:$C$49)*Impacts!$F$9),0)</f>
        <v>0</v>
      </c>
      <c r="N90" s="10">
        <f>IF(Tank3!$C$23="No control",(SUMIF(Tank3!$B$32:$B$49,$J90,Tank3!$C$32:$C$49)*Impacts!$F$10),0)</f>
        <v>0</v>
      </c>
      <c r="O90" s="10">
        <f>IF(Tank4!$C$23="No control",(SUMIF(Tank4!$B$32:$B$49,$J90,Tank4!$C$32:$C$49)*Impacts!$F$11),0)</f>
        <v>0</v>
      </c>
      <c r="P90" s="10">
        <f>IF(Tank5!$C$23="No control",(SUMIF(Tank5!$B$32:$B$49,$J90,Tank5!$C$32:$C$49)*Impacts!$F$12),0)</f>
        <v>0</v>
      </c>
      <c r="Q90" s="10">
        <f>IFERROR(IF(('Loading-drum,tote'!$C$21)="No control",SUMIF(('Loading-drum,tote'!$B$31:$B$48),$J90,('Loading-drum,tote'!$D$31:$D$48))*Impacts!$F$13,IF(('Loading-drum,tote'!$C$21)&lt;&gt;"No control",SUMIF(('Loading-drum,tote'!$B$31:$B$48),$J90,('Loading-drum,tote'!$E$31:$E$48))*Impacts!$F$13,0)),0)</f>
        <v>0</v>
      </c>
      <c r="R90" s="10">
        <f>IFERROR(IF(('Loading-truck'!$C$21)="No control",SUMIF(('Loading-truck'!$B$31:$B$48),$J90,('Loading-truck'!$D$31:$D$48))*Impacts!$F$14,IF(('Loading-truck'!$C$21)&lt;&gt;"No control",SUMIF(('Loading-truck'!$B$31:$B$48),$J90,('Loading-truck'!$E$31:$E$48))*Impacts!$F$14,0)),0)</f>
        <v>0</v>
      </c>
      <c r="S90" s="10">
        <f>IFERROR(IF(('Loading-rail'!$C$21)="No control",SUMIF(('Loading-rail'!$B$31:$B$48),$J90,('Loading-rail'!$D$31:$D$48))*Impacts!$F$15,IF(('Loading-rail'!$C$21)&lt;&gt;"No control",SUMIF(('Loading-rail'!$B$31:$B$48),$J90,('Loading-rail'!$E$31:$E$48))*Impacts!$F$15,0)),0)</f>
        <v>0</v>
      </c>
      <c r="T90" s="10">
        <f>IF(Flare!$C$7="",0,(SUMIF(Flare!$B$46:$B$185,$J90,Flare!$E$46:$E$185)*Impacts!$F$16))</f>
        <v>0</v>
      </c>
      <c r="U90" s="10">
        <f>IF(VCU!$C$9="",0,(SUMIF(VCU!$B$51:$B$193,$J90,VCU!$E$51:$E$193)*Impacts!$F$17))</f>
        <v>0</v>
      </c>
      <c r="V90" s="10">
        <f>IF(CAS!$C$7="",0,(SUMIF(CAS!$B$31:$B$167,$J90,CAS!$E$31:$E$167)*Impacts!$F$18))</f>
        <v>0</v>
      </c>
      <c r="W90" s="10">
        <f t="shared" si="32"/>
        <v>0</v>
      </c>
      <c r="AA90" s="48"/>
      <c r="AB90" s="20"/>
      <c r="AC90" s="10">
        <f>IF(OR(AI90=0,AI90="",ISNUMBER(MATCH(AI90,$AI$1:AI89,0))),0,MAX($AC$1:AC89)+1)</f>
        <v>0</v>
      </c>
      <c r="AD90" s="10">
        <f>IF(OR(AJ90=0,AJ90="",ISNUMBER(MATCH(AJ90,$AJ$1:AJ89,0))),0,MAX($AD$1:AD89)+1)</f>
        <v>0</v>
      </c>
      <c r="AE90" s="10">
        <f>IF(OR(AK90=0,AK90="",ISNUMBER(MATCH(AK90,$AK$1:AK89,0))),0,MAX($AE$1:AE89)+1)</f>
        <v>0</v>
      </c>
      <c r="AF90" s="10">
        <f>IF(OR(AH90=0,ISNUMBER(MATCH(AH90,$AH$1:AH89,0))),0,MAX($AF$1:AF89)+1)</f>
        <v>0</v>
      </c>
      <c r="AG90" s="45">
        <f>'Loading-drum,tote'!$C$21</f>
        <v>0</v>
      </c>
      <c r="AH90" s="45">
        <f>'Loading-drum,tote'!A35</f>
        <v>0</v>
      </c>
      <c r="AI90" s="10" t="str">
        <f t="shared" si="33"/>
        <v/>
      </c>
      <c r="AJ90" s="10" t="str">
        <f t="shared" si="33"/>
        <v/>
      </c>
      <c r="AK90" s="10" t="str">
        <f t="shared" si="33"/>
        <v/>
      </c>
      <c r="AL90" s="17" t="str">
        <f t="shared" si="28"/>
        <v/>
      </c>
      <c r="AM90" s="20" t="str">
        <f t="shared" si="29"/>
        <v/>
      </c>
      <c r="AN90" s="10" t="str">
        <f t="shared" si="30"/>
        <v/>
      </c>
      <c r="AO90" s="17" t="str">
        <f t="shared" si="31"/>
        <v/>
      </c>
      <c r="BE90" s="10"/>
      <c r="BI90" s="10"/>
      <c r="BQ90" s="10" t="s">
        <v>245</v>
      </c>
    </row>
    <row r="91" spans="1:69" ht="21" customHeight="1" x14ac:dyDescent="0.25">
      <c r="A91" s="10"/>
      <c r="B91" s="16" t="s">
        <v>99</v>
      </c>
      <c r="C91" s="10">
        <v>100</v>
      </c>
      <c r="D91" s="10">
        <v>249</v>
      </c>
      <c r="E91" s="17">
        <v>249</v>
      </c>
      <c r="I91" s="436" t="s">
        <v>6704</v>
      </c>
      <c r="J91" s="26" t="s">
        <v>6703</v>
      </c>
      <c r="K91" s="10">
        <v>0.5</v>
      </c>
      <c r="L91" s="73">
        <f>IF(Tank1!$C$23="No control",(SUMIF(Tank1!$B$32:$B$49,$J91,Tank1!$C$32:$C$49)*Impacts!$F$8),0)</f>
        <v>0</v>
      </c>
      <c r="M91" s="10">
        <f>IF(Tank2!$C$23="No control",(SUMIF(Tank2!$B$32:$B$49,$J91,Tank2!$C$32:$C$49)*Impacts!$F$9),0)</f>
        <v>0</v>
      </c>
      <c r="N91" s="10">
        <f>IF(Tank3!$C$23="No control",(SUMIF(Tank3!$B$32:$B$49,$J91,Tank3!$C$32:$C$49)*Impacts!$F$10),0)</f>
        <v>0</v>
      </c>
      <c r="O91" s="10">
        <f>IF(Tank4!$C$23="No control",(SUMIF(Tank4!$B$32:$B$49,$J91,Tank4!$C$32:$C$49)*Impacts!$F$11),0)</f>
        <v>0</v>
      </c>
      <c r="P91" s="10">
        <f>IF(Tank5!$C$23="No control",(SUMIF(Tank5!$B$32:$B$49,$J91,Tank5!$C$32:$C$49)*Impacts!$F$12),0)</f>
        <v>0</v>
      </c>
      <c r="Q91" s="10">
        <f>IFERROR(IF(('Loading-drum,tote'!$C$21)="No control",SUMIF(('Loading-drum,tote'!$B$31:$B$48),$J91,('Loading-drum,tote'!$D$31:$D$48))*Impacts!$F$13,IF(('Loading-drum,tote'!$C$21)&lt;&gt;"No control",SUMIF(('Loading-drum,tote'!$B$31:$B$48),$J91,('Loading-drum,tote'!$E$31:$E$48))*Impacts!$F$13,0)),0)</f>
        <v>0</v>
      </c>
      <c r="R91" s="10">
        <f>IFERROR(IF(('Loading-truck'!$C$21)="No control",SUMIF(('Loading-truck'!$B$31:$B$48),$J91,('Loading-truck'!$D$31:$D$48))*Impacts!$F$14,IF(('Loading-truck'!$C$21)&lt;&gt;"No control",SUMIF(('Loading-truck'!$B$31:$B$48),$J91,('Loading-truck'!$E$31:$E$48))*Impacts!$F$14,0)),0)</f>
        <v>0</v>
      </c>
      <c r="S91" s="10">
        <f>IFERROR(IF(('Loading-rail'!$C$21)="No control",SUMIF(('Loading-rail'!$B$31:$B$48),$J91,('Loading-rail'!$D$31:$D$48))*Impacts!$F$15,IF(('Loading-rail'!$C$21)&lt;&gt;"No control",SUMIF(('Loading-rail'!$B$31:$B$48),$J91,('Loading-rail'!$E$31:$E$48))*Impacts!$F$15,0)),0)</f>
        <v>0</v>
      </c>
      <c r="T91" s="10">
        <f>IF(Flare!$C$7="",0,(SUMIF(Flare!$B$46:$B$185,$J91,Flare!$E$46:$E$185)*Impacts!$F$16))</f>
        <v>0</v>
      </c>
      <c r="U91" s="10">
        <f>IF(VCU!$C$9="",0,(SUMIF(VCU!$B$51:$B$193,$J91,VCU!$E$51:$E$193)*Impacts!$F$17))</f>
        <v>0</v>
      </c>
      <c r="V91" s="10">
        <f>IF(CAS!$C$7="",0,(SUMIF(CAS!$B$31:$B$167,$J91,CAS!$E$31:$E$167)*Impacts!$F$18))</f>
        <v>0</v>
      </c>
      <c r="W91" s="10">
        <f t="shared" si="32"/>
        <v>0</v>
      </c>
      <c r="AA91" s="48"/>
      <c r="AB91" s="20"/>
      <c r="AC91" s="10">
        <f>IF(OR(AI91=0,AI91="",ISNUMBER(MATCH(AI91,$AI$1:AI90,0))),0,MAX($AC$1:AC90)+1)</f>
        <v>0</v>
      </c>
      <c r="AD91" s="10">
        <f>IF(OR(AJ91=0,AJ91="",ISNUMBER(MATCH(AJ91,$AJ$1:AJ90,0))),0,MAX($AD$1:AD90)+1)</f>
        <v>0</v>
      </c>
      <c r="AE91" s="10">
        <f>IF(OR(AK91=0,AK91="",ISNUMBER(MATCH(AK91,$AK$1:AK90,0))),0,MAX($AE$1:AE90)+1)</f>
        <v>0</v>
      </c>
      <c r="AF91" s="10">
        <f>IF(OR(AH91=0,ISNUMBER(MATCH(AH91,$AH$1:AH90,0))),0,MAX($AF$1:AF90)+1)</f>
        <v>0</v>
      </c>
      <c r="AG91" s="45">
        <f>'Loading-drum,tote'!$C$21</f>
        <v>0</v>
      </c>
      <c r="AH91" s="45">
        <f>'Loading-drum,tote'!A36</f>
        <v>0</v>
      </c>
      <c r="AI91" s="10" t="str">
        <f t="shared" si="33"/>
        <v/>
      </c>
      <c r="AJ91" s="10" t="str">
        <f t="shared" si="33"/>
        <v/>
      </c>
      <c r="AK91" s="10" t="str">
        <f t="shared" si="33"/>
        <v/>
      </c>
      <c r="AL91" s="17" t="str">
        <f t="shared" si="28"/>
        <v/>
      </c>
      <c r="AM91" s="20" t="str">
        <f t="shared" si="29"/>
        <v/>
      </c>
      <c r="AN91" s="10" t="str">
        <f t="shared" si="30"/>
        <v/>
      </c>
      <c r="AO91" s="17" t="str">
        <f t="shared" si="31"/>
        <v/>
      </c>
      <c r="BE91" s="10"/>
      <c r="BI91" s="10"/>
      <c r="BQ91" s="10" t="s">
        <v>246</v>
      </c>
    </row>
    <row r="92" spans="1:69" ht="21" customHeight="1" x14ac:dyDescent="0.25">
      <c r="A92" s="10"/>
      <c r="B92" s="16" t="s">
        <v>100</v>
      </c>
      <c r="C92" s="10">
        <v>100</v>
      </c>
      <c r="D92" s="10">
        <v>249</v>
      </c>
      <c r="E92" s="17">
        <v>249</v>
      </c>
      <c r="I92" s="436" t="s">
        <v>6706</v>
      </c>
      <c r="J92" s="26" t="s">
        <v>6705</v>
      </c>
      <c r="K92" s="10">
        <v>0.5</v>
      </c>
      <c r="L92" s="73">
        <f>IF(Tank1!$C$23="No control",(SUMIF(Tank1!$B$32:$B$49,$J92,Tank1!$C$32:$C$49)*Impacts!$F$8),0)</f>
        <v>0</v>
      </c>
      <c r="M92" s="10">
        <f>IF(Tank2!$C$23="No control",(SUMIF(Tank2!$B$32:$B$49,$J92,Tank2!$C$32:$C$49)*Impacts!$F$9),0)</f>
        <v>0</v>
      </c>
      <c r="N92" s="10">
        <f>IF(Tank3!$C$23="No control",(SUMIF(Tank3!$B$32:$B$49,$J92,Tank3!$C$32:$C$49)*Impacts!$F$10),0)</f>
        <v>0</v>
      </c>
      <c r="O92" s="10">
        <f>IF(Tank4!$C$23="No control",(SUMIF(Tank4!$B$32:$B$49,$J92,Tank4!$C$32:$C$49)*Impacts!$F$11),0)</f>
        <v>0</v>
      </c>
      <c r="P92" s="10">
        <f>IF(Tank5!$C$23="No control",(SUMIF(Tank5!$B$32:$B$49,$J92,Tank5!$C$32:$C$49)*Impacts!$F$12),0)</f>
        <v>0</v>
      </c>
      <c r="Q92" s="10">
        <f>IFERROR(IF(('Loading-drum,tote'!$C$21)="No control",SUMIF(('Loading-drum,tote'!$B$31:$B$48),$J92,('Loading-drum,tote'!$D$31:$D$48))*Impacts!$F$13,IF(('Loading-drum,tote'!$C$21)&lt;&gt;"No control",SUMIF(('Loading-drum,tote'!$B$31:$B$48),$J92,('Loading-drum,tote'!$E$31:$E$48))*Impacts!$F$13,0)),0)</f>
        <v>0</v>
      </c>
      <c r="R92" s="10">
        <f>IFERROR(IF(('Loading-truck'!$C$21)="No control",SUMIF(('Loading-truck'!$B$31:$B$48),$J92,('Loading-truck'!$D$31:$D$48))*Impacts!$F$14,IF(('Loading-truck'!$C$21)&lt;&gt;"No control",SUMIF(('Loading-truck'!$B$31:$B$48),$J92,('Loading-truck'!$E$31:$E$48))*Impacts!$F$14,0)),0)</f>
        <v>0</v>
      </c>
      <c r="S92" s="10">
        <f>IFERROR(IF(('Loading-rail'!$C$21)="No control",SUMIF(('Loading-rail'!$B$31:$B$48),$J92,('Loading-rail'!$D$31:$D$48))*Impacts!$F$15,IF(('Loading-rail'!$C$21)&lt;&gt;"No control",SUMIF(('Loading-rail'!$B$31:$B$48),$J92,('Loading-rail'!$E$31:$E$48))*Impacts!$F$15,0)),0)</f>
        <v>0</v>
      </c>
      <c r="T92" s="10">
        <f>IF(Flare!$C$7="",0,(SUMIF(Flare!$B$46:$B$185,$J92,Flare!$E$46:$E$185)*Impacts!$F$16))</f>
        <v>0</v>
      </c>
      <c r="U92" s="10">
        <f>IF(VCU!$C$9="",0,(SUMIF(VCU!$B$51:$B$193,$J92,VCU!$E$51:$E$193)*Impacts!$F$17))</f>
        <v>0</v>
      </c>
      <c r="V92" s="10">
        <f>IF(CAS!$C$7="",0,(SUMIF(CAS!$B$31:$B$167,$J92,CAS!$E$31:$E$167)*Impacts!$F$18))</f>
        <v>0</v>
      </c>
      <c r="W92" s="10">
        <f t="shared" si="32"/>
        <v>0</v>
      </c>
      <c r="AA92" s="48"/>
      <c r="AB92" s="20"/>
      <c r="AC92" s="10">
        <f>IF(OR(AI92=0,AI92="",ISNUMBER(MATCH(AI92,$AI$1:AI91,0))),0,MAX($AC$1:AC91)+1)</f>
        <v>0</v>
      </c>
      <c r="AD92" s="10">
        <f>IF(OR(AJ92=0,AJ92="",ISNUMBER(MATCH(AJ92,$AJ$1:AJ91,0))),0,MAX($AD$1:AD91)+1)</f>
        <v>0</v>
      </c>
      <c r="AE92" s="10">
        <f>IF(OR(AK92=0,AK92="",ISNUMBER(MATCH(AK92,$AK$1:AK91,0))),0,MAX($AE$1:AE91)+1)</f>
        <v>0</v>
      </c>
      <c r="AF92" s="10">
        <f>IF(OR(AH92=0,ISNUMBER(MATCH(AH92,$AH$1:AH91,0))),0,MAX($AF$1:AF91)+1)</f>
        <v>0</v>
      </c>
      <c r="AG92" s="45">
        <f>'Loading-drum,tote'!$C$21</f>
        <v>0</v>
      </c>
      <c r="AH92" s="45">
        <f>'Loading-drum,tote'!A37</f>
        <v>0</v>
      </c>
      <c r="AI92" s="10" t="str">
        <f t="shared" si="33"/>
        <v/>
      </c>
      <c r="AJ92" s="10" t="str">
        <f t="shared" si="33"/>
        <v/>
      </c>
      <c r="AK92" s="10" t="str">
        <f t="shared" si="33"/>
        <v/>
      </c>
      <c r="AL92" s="17" t="str">
        <f t="shared" si="28"/>
        <v/>
      </c>
      <c r="AM92" s="20" t="str">
        <f t="shared" si="29"/>
        <v/>
      </c>
      <c r="AN92" s="10" t="str">
        <f t="shared" si="30"/>
        <v/>
      </c>
      <c r="AO92" s="17" t="str">
        <f t="shared" si="31"/>
        <v/>
      </c>
      <c r="BE92" s="10"/>
      <c r="BI92" s="10"/>
      <c r="BQ92" s="10" t="s">
        <v>249</v>
      </c>
    </row>
    <row r="93" spans="1:69" ht="21" customHeight="1" x14ac:dyDescent="0.25">
      <c r="A93" s="10"/>
      <c r="B93" s="16" t="s">
        <v>101</v>
      </c>
      <c r="C93" s="10">
        <v>100</v>
      </c>
      <c r="D93" s="10">
        <v>249</v>
      </c>
      <c r="E93" s="17">
        <v>249</v>
      </c>
      <c r="I93" s="436" t="s">
        <v>3721</v>
      </c>
      <c r="J93" s="26" t="s">
        <v>3720</v>
      </c>
      <c r="K93" s="10">
        <v>6.4</v>
      </c>
      <c r="L93" s="73">
        <f>IF(Tank1!$C$23="No control",(SUMIF(Tank1!$B$32:$B$49,$J93,Tank1!$C$32:$C$49)*Impacts!$F$8),0)</f>
        <v>0</v>
      </c>
      <c r="M93" s="10">
        <f>IF(Tank2!$C$23="No control",(SUMIF(Tank2!$B$32:$B$49,$J93,Tank2!$C$32:$C$49)*Impacts!$F$9),0)</f>
        <v>0</v>
      </c>
      <c r="N93" s="10">
        <f>IF(Tank3!$C$23="No control",(SUMIF(Tank3!$B$32:$B$49,$J93,Tank3!$C$32:$C$49)*Impacts!$F$10),0)</f>
        <v>0</v>
      </c>
      <c r="O93" s="10">
        <f>IF(Tank4!$C$23="No control",(SUMIF(Tank4!$B$32:$B$49,$J93,Tank4!$C$32:$C$49)*Impacts!$F$11),0)</f>
        <v>0</v>
      </c>
      <c r="P93" s="10">
        <f>IF(Tank5!$C$23="No control",(SUMIF(Tank5!$B$32:$B$49,$J93,Tank5!$C$32:$C$49)*Impacts!$F$12),0)</f>
        <v>0</v>
      </c>
      <c r="Q93" s="10">
        <f>IFERROR(IF(('Loading-drum,tote'!$C$21)="No control",SUMIF(('Loading-drum,tote'!$B$31:$B$48),$J93,('Loading-drum,tote'!$D$31:$D$48))*Impacts!$F$13,IF(('Loading-drum,tote'!$C$21)&lt;&gt;"No control",SUMIF(('Loading-drum,tote'!$B$31:$B$48),$J93,('Loading-drum,tote'!$E$31:$E$48))*Impacts!$F$13,0)),0)</f>
        <v>0</v>
      </c>
      <c r="R93" s="10">
        <f>IFERROR(IF(('Loading-truck'!$C$21)="No control",SUMIF(('Loading-truck'!$B$31:$B$48),$J93,('Loading-truck'!$D$31:$D$48))*Impacts!$F$14,IF(('Loading-truck'!$C$21)&lt;&gt;"No control",SUMIF(('Loading-truck'!$B$31:$B$48),$J93,('Loading-truck'!$E$31:$E$48))*Impacts!$F$14,0)),0)</f>
        <v>0</v>
      </c>
      <c r="S93" s="10">
        <f>IFERROR(IF(('Loading-rail'!$C$21)="No control",SUMIF(('Loading-rail'!$B$31:$B$48),$J93,('Loading-rail'!$D$31:$D$48))*Impacts!$F$15,IF(('Loading-rail'!$C$21)&lt;&gt;"No control",SUMIF(('Loading-rail'!$B$31:$B$48),$J93,('Loading-rail'!$E$31:$E$48))*Impacts!$F$15,0)),0)</f>
        <v>0</v>
      </c>
      <c r="T93" s="10">
        <f>IF(Flare!$C$7="",0,(SUMIF(Flare!$B$46:$B$185,$J93,Flare!$E$46:$E$185)*Impacts!$F$16))</f>
        <v>0</v>
      </c>
      <c r="U93" s="10">
        <f>IF(VCU!$C$9="",0,(SUMIF(VCU!$B$51:$B$193,$J93,VCU!$E$51:$E$193)*Impacts!$F$17))</f>
        <v>0</v>
      </c>
      <c r="V93" s="10">
        <f>IF(CAS!$C$7="",0,(SUMIF(CAS!$B$31:$B$167,$J93,CAS!$E$31:$E$167)*Impacts!$F$18))</f>
        <v>0</v>
      </c>
      <c r="W93" s="10">
        <f t="shared" si="32"/>
        <v>0</v>
      </c>
      <c r="AA93" s="48"/>
      <c r="AB93" s="20"/>
      <c r="AC93" s="10">
        <f>IF(OR(AI93=0,AI93="",ISNUMBER(MATCH(AI93,$AI$1:AI92,0))),0,MAX($AC$1:AC92)+1)</f>
        <v>0</v>
      </c>
      <c r="AD93" s="10">
        <f>IF(OR(AJ93=0,AJ93="",ISNUMBER(MATCH(AJ93,$AJ$1:AJ92,0))),0,MAX($AD$1:AD92)+1)</f>
        <v>0</v>
      </c>
      <c r="AE93" s="10">
        <f>IF(OR(AK93=0,AK93="",ISNUMBER(MATCH(AK93,$AK$1:AK92,0))),0,MAX($AE$1:AE92)+1)</f>
        <v>0</v>
      </c>
      <c r="AF93" s="10">
        <f>IF(OR(AH93=0,ISNUMBER(MATCH(AH93,$AH$1:AH92,0))),0,MAX($AF$1:AF92)+1)</f>
        <v>0</v>
      </c>
      <c r="AG93" s="45">
        <f>'Loading-drum,tote'!$C$21</f>
        <v>0</v>
      </c>
      <c r="AH93" s="45">
        <f>'Loading-drum,tote'!A38</f>
        <v>0</v>
      </c>
      <c r="AI93" s="10" t="str">
        <f t="shared" si="33"/>
        <v/>
      </c>
      <c r="AJ93" s="10" t="str">
        <f t="shared" si="33"/>
        <v/>
      </c>
      <c r="AK93" s="10" t="str">
        <f t="shared" si="33"/>
        <v/>
      </c>
      <c r="AL93" s="17" t="str">
        <f t="shared" si="28"/>
        <v/>
      </c>
      <c r="AM93" s="20" t="str">
        <f t="shared" si="29"/>
        <v/>
      </c>
      <c r="AN93" s="10" t="str">
        <f t="shared" si="30"/>
        <v/>
      </c>
      <c r="AO93" s="17" t="str">
        <f t="shared" si="31"/>
        <v/>
      </c>
      <c r="BE93" s="10"/>
      <c r="BI93" s="10"/>
      <c r="BQ93" s="10" t="s">
        <v>251</v>
      </c>
    </row>
    <row r="94" spans="1:69" ht="21" customHeight="1" x14ac:dyDescent="0.25">
      <c r="A94" s="10"/>
      <c r="B94" s="16" t="s">
        <v>102</v>
      </c>
      <c r="C94" s="10">
        <v>100</v>
      </c>
      <c r="D94" s="10">
        <v>249</v>
      </c>
      <c r="E94" s="17">
        <v>249</v>
      </c>
      <c r="I94" s="436" t="s">
        <v>8032</v>
      </c>
      <c r="J94" s="26" t="s">
        <v>8031</v>
      </c>
      <c r="K94" s="10">
        <v>2.0000000000000004E-2</v>
      </c>
      <c r="L94" s="73">
        <f>IF(Tank1!$C$23="No control",(SUMIF(Tank1!$B$32:$B$49,$J94,Tank1!$C$32:$C$49)*Impacts!$F$8),0)</f>
        <v>0</v>
      </c>
      <c r="M94" s="10">
        <f>IF(Tank2!$C$23="No control",(SUMIF(Tank2!$B$32:$B$49,$J94,Tank2!$C$32:$C$49)*Impacts!$F$9),0)</f>
        <v>0</v>
      </c>
      <c r="N94" s="10">
        <f>IF(Tank3!$C$23="No control",(SUMIF(Tank3!$B$32:$B$49,$J94,Tank3!$C$32:$C$49)*Impacts!$F$10),0)</f>
        <v>0</v>
      </c>
      <c r="O94" s="10">
        <f>IF(Tank4!$C$23="No control",(SUMIF(Tank4!$B$32:$B$49,$J94,Tank4!$C$32:$C$49)*Impacts!$F$11),0)</f>
        <v>0</v>
      </c>
      <c r="P94" s="10">
        <f>IF(Tank5!$C$23="No control",(SUMIF(Tank5!$B$32:$B$49,$J94,Tank5!$C$32:$C$49)*Impacts!$F$12),0)</f>
        <v>0</v>
      </c>
      <c r="Q94" s="10">
        <f>IFERROR(IF(('Loading-drum,tote'!$C$21)="No control",SUMIF(('Loading-drum,tote'!$B$31:$B$48),$J94,('Loading-drum,tote'!$D$31:$D$48))*Impacts!$F$13,IF(('Loading-drum,tote'!$C$21)&lt;&gt;"No control",SUMIF(('Loading-drum,tote'!$B$31:$B$48),$J94,('Loading-drum,tote'!$E$31:$E$48))*Impacts!$F$13,0)),0)</f>
        <v>0</v>
      </c>
      <c r="R94" s="10">
        <f>IFERROR(IF(('Loading-truck'!$C$21)="No control",SUMIF(('Loading-truck'!$B$31:$B$48),$J94,('Loading-truck'!$D$31:$D$48))*Impacts!$F$14,IF(('Loading-truck'!$C$21)&lt;&gt;"No control",SUMIF(('Loading-truck'!$B$31:$B$48),$J94,('Loading-truck'!$E$31:$E$48))*Impacts!$F$14,0)),0)</f>
        <v>0</v>
      </c>
      <c r="S94" s="10">
        <f>IFERROR(IF(('Loading-rail'!$C$21)="No control",SUMIF(('Loading-rail'!$B$31:$B$48),$J94,('Loading-rail'!$D$31:$D$48))*Impacts!$F$15,IF(('Loading-rail'!$C$21)&lt;&gt;"No control",SUMIF(('Loading-rail'!$B$31:$B$48),$J94,('Loading-rail'!$E$31:$E$48))*Impacts!$F$15,0)),0)</f>
        <v>0</v>
      </c>
      <c r="T94" s="10">
        <f>IF(Flare!$C$7="",0,(SUMIF(Flare!$B$46:$B$185,$J94,Flare!$E$46:$E$185)*Impacts!$F$16))</f>
        <v>0</v>
      </c>
      <c r="U94" s="10">
        <f>IF(VCU!$C$9="",0,(SUMIF(VCU!$B$51:$B$193,$J94,VCU!$E$51:$E$193)*Impacts!$F$17))</f>
        <v>0</v>
      </c>
      <c r="V94" s="10">
        <f>IF(CAS!$C$7="",0,(SUMIF(CAS!$B$31:$B$167,$J94,CAS!$E$31:$E$167)*Impacts!$F$18))</f>
        <v>0</v>
      </c>
      <c r="W94" s="10">
        <f t="shared" si="32"/>
        <v>0</v>
      </c>
      <c r="AA94" s="48"/>
      <c r="AB94" s="20"/>
      <c r="AC94" s="10">
        <f>IF(OR(AI94=0,AI94="",ISNUMBER(MATCH(AI94,$AI$1:AI93,0))),0,MAX($AC$1:AC93)+1)</f>
        <v>0</v>
      </c>
      <c r="AD94" s="10">
        <f>IF(OR(AJ94=0,AJ94="",ISNUMBER(MATCH(AJ94,$AJ$1:AJ93,0))),0,MAX($AD$1:AD93)+1)</f>
        <v>0</v>
      </c>
      <c r="AE94" s="10">
        <f>IF(OR(AK94=0,AK94="",ISNUMBER(MATCH(AK94,$AK$1:AK93,0))),0,MAX($AE$1:AE93)+1)</f>
        <v>0</v>
      </c>
      <c r="AF94" s="10">
        <f>IF(OR(AH94=0,ISNUMBER(MATCH(AH94,$AH$1:AH93,0))),0,MAX($AF$1:AF93)+1)</f>
        <v>0</v>
      </c>
      <c r="AG94" s="45">
        <f>'Loading-drum,tote'!$C$21</f>
        <v>0</v>
      </c>
      <c r="AH94" s="45">
        <f>'Loading-drum,tote'!A39</f>
        <v>0</v>
      </c>
      <c r="AI94" s="10" t="str">
        <f t="shared" si="33"/>
        <v/>
      </c>
      <c r="AJ94" s="10" t="str">
        <f t="shared" si="33"/>
        <v/>
      </c>
      <c r="AK94" s="10" t="str">
        <f t="shared" si="33"/>
        <v/>
      </c>
      <c r="AL94" s="17" t="str">
        <f t="shared" si="28"/>
        <v/>
      </c>
      <c r="AM94" s="20" t="str">
        <f t="shared" si="29"/>
        <v/>
      </c>
      <c r="AN94" s="10" t="str">
        <f t="shared" si="30"/>
        <v/>
      </c>
      <c r="AO94" s="17" t="str">
        <f t="shared" si="31"/>
        <v/>
      </c>
      <c r="BE94" s="10"/>
      <c r="BI94" s="10"/>
      <c r="BQ94" s="10" t="s">
        <v>256</v>
      </c>
    </row>
    <row r="95" spans="1:69" ht="21" customHeight="1" x14ac:dyDescent="0.25">
      <c r="A95" s="10"/>
      <c r="B95" s="16" t="s">
        <v>103</v>
      </c>
      <c r="C95" s="10">
        <v>100</v>
      </c>
      <c r="D95" s="10">
        <v>249</v>
      </c>
      <c r="E95" s="17">
        <v>249</v>
      </c>
      <c r="I95" s="436" t="s">
        <v>487</v>
      </c>
      <c r="J95" s="26" t="s">
        <v>486</v>
      </c>
      <c r="K95" s="10">
        <v>100</v>
      </c>
      <c r="L95" s="73">
        <f>IF(Tank1!$C$23="No control",(SUMIF(Tank1!$B$32:$B$49,$J95,Tank1!$C$32:$C$49)*Impacts!$F$8),0)</f>
        <v>0</v>
      </c>
      <c r="M95" s="10">
        <f>IF(Tank2!$C$23="No control",(SUMIF(Tank2!$B$32:$B$49,$J95,Tank2!$C$32:$C$49)*Impacts!$F$9),0)</f>
        <v>0</v>
      </c>
      <c r="N95" s="10">
        <f>IF(Tank3!$C$23="No control",(SUMIF(Tank3!$B$32:$B$49,$J95,Tank3!$C$32:$C$49)*Impacts!$F$10),0)</f>
        <v>0</v>
      </c>
      <c r="O95" s="10">
        <f>IF(Tank4!$C$23="No control",(SUMIF(Tank4!$B$32:$B$49,$J95,Tank4!$C$32:$C$49)*Impacts!$F$11),0)</f>
        <v>0</v>
      </c>
      <c r="P95" s="10">
        <f>IF(Tank5!$C$23="No control",(SUMIF(Tank5!$B$32:$B$49,$J95,Tank5!$C$32:$C$49)*Impacts!$F$12),0)</f>
        <v>0</v>
      </c>
      <c r="Q95" s="10">
        <f>IFERROR(IF(('Loading-drum,tote'!$C$21)="No control",SUMIF(('Loading-drum,tote'!$B$31:$B$48),$J95,('Loading-drum,tote'!$D$31:$D$48))*Impacts!$F$13,IF(('Loading-drum,tote'!$C$21)&lt;&gt;"No control",SUMIF(('Loading-drum,tote'!$B$31:$B$48),$J95,('Loading-drum,tote'!$E$31:$E$48))*Impacts!$F$13,0)),0)</f>
        <v>0</v>
      </c>
      <c r="R95" s="10">
        <f>IFERROR(IF(('Loading-truck'!$C$21)="No control",SUMIF(('Loading-truck'!$B$31:$B$48),$J95,('Loading-truck'!$D$31:$D$48))*Impacts!$F$14,IF(('Loading-truck'!$C$21)&lt;&gt;"No control",SUMIF(('Loading-truck'!$B$31:$B$48),$J95,('Loading-truck'!$E$31:$E$48))*Impacts!$F$14,0)),0)</f>
        <v>0</v>
      </c>
      <c r="S95" s="10">
        <f>IFERROR(IF(('Loading-rail'!$C$21)="No control",SUMIF(('Loading-rail'!$B$31:$B$48),$J95,('Loading-rail'!$D$31:$D$48))*Impacts!$F$15,IF(('Loading-rail'!$C$21)&lt;&gt;"No control",SUMIF(('Loading-rail'!$B$31:$B$48),$J95,('Loading-rail'!$E$31:$E$48))*Impacts!$F$15,0)),0)</f>
        <v>0</v>
      </c>
      <c r="T95" s="10">
        <f>IF(Flare!$C$7="",0,(SUMIF(Flare!$B$46:$B$185,$J95,Flare!$E$46:$E$185)*Impacts!$F$16))</f>
        <v>0</v>
      </c>
      <c r="U95" s="10">
        <f>IF(VCU!$C$9="",0,(SUMIF(VCU!$B$51:$B$193,$J95,VCU!$E$51:$E$193)*Impacts!$F$17))</f>
        <v>0</v>
      </c>
      <c r="V95" s="10">
        <f>IF(CAS!$C$7="",0,(SUMIF(CAS!$B$31:$B$167,$J95,CAS!$E$31:$E$167)*Impacts!$F$18))</f>
        <v>0</v>
      </c>
      <c r="W95" s="10">
        <f t="shared" si="32"/>
        <v>0</v>
      </c>
      <c r="AA95" s="48"/>
      <c r="AB95" s="20"/>
      <c r="AC95" s="10">
        <f>IF(OR(AI95=0,AI95="",ISNUMBER(MATCH(AI95,$AI$1:AI94,0))),0,MAX($AC$1:AC94)+1)</f>
        <v>0</v>
      </c>
      <c r="AD95" s="10">
        <f>IF(OR(AJ95=0,AJ95="",ISNUMBER(MATCH(AJ95,$AJ$1:AJ94,0))),0,MAX($AD$1:AD94)+1)</f>
        <v>0</v>
      </c>
      <c r="AE95" s="10">
        <f>IF(OR(AK95=0,AK95="",ISNUMBER(MATCH(AK95,$AK$1:AK94,0))),0,MAX($AE$1:AE94)+1)</f>
        <v>0</v>
      </c>
      <c r="AF95" s="10">
        <f>IF(OR(AH95=0,ISNUMBER(MATCH(AH95,$AH$1:AH94,0))),0,MAX($AF$1:AF94)+1)</f>
        <v>0</v>
      </c>
      <c r="AG95" s="45">
        <f>'Loading-drum,tote'!$C$21</f>
        <v>0</v>
      </c>
      <c r="AH95" s="45">
        <f>'Loading-drum,tote'!A40</f>
        <v>0</v>
      </c>
      <c r="AI95" s="10" t="str">
        <f t="shared" si="33"/>
        <v/>
      </c>
      <c r="AJ95" s="10" t="str">
        <f t="shared" si="33"/>
        <v/>
      </c>
      <c r="AK95" s="10" t="str">
        <f t="shared" si="33"/>
        <v/>
      </c>
      <c r="AL95" s="17" t="str">
        <f t="shared" si="28"/>
        <v/>
      </c>
      <c r="AM95" s="20" t="str">
        <f t="shared" si="29"/>
        <v/>
      </c>
      <c r="AN95" s="10" t="str">
        <f t="shared" si="30"/>
        <v/>
      </c>
      <c r="AO95" s="17" t="str">
        <f t="shared" si="31"/>
        <v/>
      </c>
      <c r="BE95" s="10"/>
      <c r="BI95" s="10"/>
      <c r="BQ95" s="10" t="s">
        <v>257</v>
      </c>
    </row>
    <row r="96" spans="1:69" ht="21" customHeight="1" x14ac:dyDescent="0.25">
      <c r="A96" s="10"/>
      <c r="B96" s="16" t="s">
        <v>104</v>
      </c>
      <c r="C96" s="10">
        <v>100</v>
      </c>
      <c r="D96" s="10">
        <v>249</v>
      </c>
      <c r="E96" s="17">
        <v>249</v>
      </c>
      <c r="I96" s="436" t="s">
        <v>6676</v>
      </c>
      <c r="J96" s="26" t="s">
        <v>6675</v>
      </c>
      <c r="K96" s="10">
        <v>0.54</v>
      </c>
      <c r="L96" s="73">
        <f>IF(Tank1!$C$23="No control",(SUMIF(Tank1!$B$32:$B$49,$J96,Tank1!$C$32:$C$49)*Impacts!$F$8),0)</f>
        <v>0</v>
      </c>
      <c r="M96" s="10">
        <f>IF(Tank2!$C$23="No control",(SUMIF(Tank2!$B$32:$B$49,$J96,Tank2!$C$32:$C$49)*Impacts!$F$9),0)</f>
        <v>0</v>
      </c>
      <c r="N96" s="10">
        <f>IF(Tank3!$C$23="No control",(SUMIF(Tank3!$B$32:$B$49,$J96,Tank3!$C$32:$C$49)*Impacts!$F$10),0)</f>
        <v>0</v>
      </c>
      <c r="O96" s="10">
        <f>IF(Tank4!$C$23="No control",(SUMIF(Tank4!$B$32:$B$49,$J96,Tank4!$C$32:$C$49)*Impacts!$F$11),0)</f>
        <v>0</v>
      </c>
      <c r="P96" s="10">
        <f>IF(Tank5!$C$23="No control",(SUMIF(Tank5!$B$32:$B$49,$J96,Tank5!$C$32:$C$49)*Impacts!$F$12),0)</f>
        <v>0</v>
      </c>
      <c r="Q96" s="10">
        <f>IFERROR(IF(('Loading-drum,tote'!$C$21)="No control",SUMIF(('Loading-drum,tote'!$B$31:$B$48),$J96,('Loading-drum,tote'!$D$31:$D$48))*Impacts!$F$13,IF(('Loading-drum,tote'!$C$21)&lt;&gt;"No control",SUMIF(('Loading-drum,tote'!$B$31:$B$48),$J96,('Loading-drum,tote'!$E$31:$E$48))*Impacts!$F$13,0)),0)</f>
        <v>0</v>
      </c>
      <c r="R96" s="10">
        <f>IFERROR(IF(('Loading-truck'!$C$21)="No control",SUMIF(('Loading-truck'!$B$31:$B$48),$J96,('Loading-truck'!$D$31:$D$48))*Impacts!$F$14,IF(('Loading-truck'!$C$21)&lt;&gt;"No control",SUMIF(('Loading-truck'!$B$31:$B$48),$J96,('Loading-truck'!$E$31:$E$48))*Impacts!$F$14,0)),0)</f>
        <v>0</v>
      </c>
      <c r="S96" s="10">
        <f>IFERROR(IF(('Loading-rail'!$C$21)="No control",SUMIF(('Loading-rail'!$B$31:$B$48),$J96,('Loading-rail'!$D$31:$D$48))*Impacts!$F$15,IF(('Loading-rail'!$C$21)&lt;&gt;"No control",SUMIF(('Loading-rail'!$B$31:$B$48),$J96,('Loading-rail'!$E$31:$E$48))*Impacts!$F$15,0)),0)</f>
        <v>0</v>
      </c>
      <c r="T96" s="10">
        <f>IF(Flare!$C$7="",0,(SUMIF(Flare!$B$46:$B$185,$J96,Flare!$E$46:$E$185)*Impacts!$F$16))</f>
        <v>0</v>
      </c>
      <c r="U96" s="10">
        <f>IF(VCU!$C$9="",0,(SUMIF(VCU!$B$51:$B$193,$J96,VCU!$E$51:$E$193)*Impacts!$F$17))</f>
        <v>0</v>
      </c>
      <c r="V96" s="10">
        <f>IF(CAS!$C$7="",0,(SUMIF(CAS!$B$31:$B$167,$J96,CAS!$E$31:$E$167)*Impacts!$F$18))</f>
        <v>0</v>
      </c>
      <c r="W96" s="10">
        <f t="shared" si="32"/>
        <v>0</v>
      </c>
      <c r="AA96" s="48"/>
      <c r="AB96" s="20"/>
      <c r="AC96" s="10">
        <f>IF(OR(AI96=0,AI96="",ISNUMBER(MATCH(AI96,$AI$1:AI95,0))),0,MAX($AC$1:AC95)+1)</f>
        <v>0</v>
      </c>
      <c r="AD96" s="10">
        <f>IF(OR(AJ96=0,AJ96="",ISNUMBER(MATCH(AJ96,$AJ$1:AJ95,0))),0,MAX($AD$1:AD95)+1)</f>
        <v>0</v>
      </c>
      <c r="AE96" s="10">
        <f>IF(OR(AK96=0,AK96="",ISNUMBER(MATCH(AK96,$AK$1:AK95,0))),0,MAX($AE$1:AE95)+1)</f>
        <v>0</v>
      </c>
      <c r="AF96" s="10">
        <f>IF(OR(AH96=0,ISNUMBER(MATCH(AH96,$AH$1:AH95,0))),0,MAX($AF$1:AF95)+1)</f>
        <v>0</v>
      </c>
      <c r="AG96" s="45">
        <f>'Loading-drum,tote'!$C$21</f>
        <v>0</v>
      </c>
      <c r="AH96" s="45">
        <f>'Loading-drum,tote'!A41</f>
        <v>0</v>
      </c>
      <c r="AI96" s="10" t="str">
        <f t="shared" ref="AI96:AK115" si="34">IF($AH96=0,"",IF($AG96=AI$1,$AH96,""))</f>
        <v/>
      </c>
      <c r="AJ96" s="10" t="str">
        <f t="shared" si="34"/>
        <v/>
      </c>
      <c r="AK96" s="10" t="str">
        <f t="shared" si="34"/>
        <v/>
      </c>
      <c r="AL96" s="17" t="str">
        <f t="shared" si="28"/>
        <v/>
      </c>
      <c r="AM96" s="20" t="str">
        <f t="shared" si="29"/>
        <v/>
      </c>
      <c r="AN96" s="10" t="str">
        <f t="shared" si="30"/>
        <v/>
      </c>
      <c r="AO96" s="17" t="str">
        <f t="shared" si="31"/>
        <v/>
      </c>
      <c r="BE96" s="10"/>
      <c r="BI96" s="10"/>
      <c r="BQ96" s="10" t="s">
        <v>259</v>
      </c>
    </row>
    <row r="97" spans="1:69" ht="21" customHeight="1" x14ac:dyDescent="0.25">
      <c r="A97" s="10"/>
      <c r="B97" s="16" t="s">
        <v>105</v>
      </c>
      <c r="C97" s="10">
        <v>100</v>
      </c>
      <c r="D97" s="10">
        <v>249</v>
      </c>
      <c r="E97" s="17">
        <v>249</v>
      </c>
      <c r="I97" s="436" t="s">
        <v>6600</v>
      </c>
      <c r="J97" s="26" t="s">
        <v>6599</v>
      </c>
      <c r="K97" s="10">
        <v>0.60000000000000009</v>
      </c>
      <c r="L97" s="73">
        <f>IF(Tank1!$C$23="No control",(SUMIF(Tank1!$B$32:$B$49,$J97,Tank1!$C$32:$C$49)*Impacts!$F$8),0)</f>
        <v>0</v>
      </c>
      <c r="M97" s="10">
        <f>IF(Tank2!$C$23="No control",(SUMIF(Tank2!$B$32:$B$49,$J97,Tank2!$C$32:$C$49)*Impacts!$F$9),0)</f>
        <v>0</v>
      </c>
      <c r="N97" s="10">
        <f>IF(Tank3!$C$23="No control",(SUMIF(Tank3!$B$32:$B$49,$J97,Tank3!$C$32:$C$49)*Impacts!$F$10),0)</f>
        <v>0</v>
      </c>
      <c r="O97" s="10">
        <f>IF(Tank4!$C$23="No control",(SUMIF(Tank4!$B$32:$B$49,$J97,Tank4!$C$32:$C$49)*Impacts!$F$11),0)</f>
        <v>0</v>
      </c>
      <c r="P97" s="10">
        <f>IF(Tank5!$C$23="No control",(SUMIF(Tank5!$B$32:$B$49,$J97,Tank5!$C$32:$C$49)*Impacts!$F$12),0)</f>
        <v>0</v>
      </c>
      <c r="Q97" s="10">
        <f>IFERROR(IF(('Loading-drum,tote'!$C$21)="No control",SUMIF(('Loading-drum,tote'!$B$31:$B$48),$J97,('Loading-drum,tote'!$D$31:$D$48))*Impacts!$F$13,IF(('Loading-drum,tote'!$C$21)&lt;&gt;"No control",SUMIF(('Loading-drum,tote'!$B$31:$B$48),$J97,('Loading-drum,tote'!$E$31:$E$48))*Impacts!$F$13,0)),0)</f>
        <v>0</v>
      </c>
      <c r="R97" s="10">
        <f>IFERROR(IF(('Loading-truck'!$C$21)="No control",SUMIF(('Loading-truck'!$B$31:$B$48),$J97,('Loading-truck'!$D$31:$D$48))*Impacts!$F$14,IF(('Loading-truck'!$C$21)&lt;&gt;"No control",SUMIF(('Loading-truck'!$B$31:$B$48),$J97,('Loading-truck'!$E$31:$E$48))*Impacts!$F$14,0)),0)</f>
        <v>0</v>
      </c>
      <c r="S97" s="10">
        <f>IFERROR(IF(('Loading-rail'!$C$21)="No control",SUMIF(('Loading-rail'!$B$31:$B$48),$J97,('Loading-rail'!$D$31:$D$48))*Impacts!$F$15,IF(('Loading-rail'!$C$21)&lt;&gt;"No control",SUMIF(('Loading-rail'!$B$31:$B$48),$J97,('Loading-rail'!$E$31:$E$48))*Impacts!$F$15,0)),0)</f>
        <v>0</v>
      </c>
      <c r="T97" s="10">
        <f>IF(Flare!$C$7="",0,(SUMIF(Flare!$B$46:$B$185,$J97,Flare!$E$46:$E$185)*Impacts!$F$16))</f>
        <v>0</v>
      </c>
      <c r="U97" s="10">
        <f>IF(VCU!$C$9="",0,(SUMIF(VCU!$B$51:$B$193,$J97,VCU!$E$51:$E$193)*Impacts!$F$17))</f>
        <v>0</v>
      </c>
      <c r="V97" s="10">
        <f>IF(CAS!$C$7="",0,(SUMIF(CAS!$B$31:$B$167,$J97,CAS!$E$31:$E$167)*Impacts!$F$18))</f>
        <v>0</v>
      </c>
      <c r="W97" s="10">
        <f t="shared" si="32"/>
        <v>0</v>
      </c>
      <c r="AA97" s="48"/>
      <c r="AB97" s="20"/>
      <c r="AC97" s="10">
        <f>IF(OR(AI97=0,AI97="",ISNUMBER(MATCH(AI97,$AI$1:AI96,0))),0,MAX($AC$1:AC96)+1)</f>
        <v>0</v>
      </c>
      <c r="AD97" s="10">
        <f>IF(OR(AJ97=0,AJ97="",ISNUMBER(MATCH(AJ97,$AJ$1:AJ96,0))),0,MAX($AD$1:AD96)+1)</f>
        <v>0</v>
      </c>
      <c r="AE97" s="10">
        <f>IF(OR(AK97=0,AK97="",ISNUMBER(MATCH(AK97,$AK$1:AK96,0))),0,MAX($AE$1:AE96)+1)</f>
        <v>0</v>
      </c>
      <c r="AF97" s="10">
        <f>IF(OR(AH97=0,ISNUMBER(MATCH(AH97,$AH$1:AH96,0))),0,MAX($AF$1:AF96)+1)</f>
        <v>0</v>
      </c>
      <c r="AG97" s="45">
        <f>'Loading-drum,tote'!$C$21</f>
        <v>0</v>
      </c>
      <c r="AH97" s="45">
        <f>'Loading-drum,tote'!A42</f>
        <v>0</v>
      </c>
      <c r="AI97" s="10" t="str">
        <f t="shared" si="34"/>
        <v/>
      </c>
      <c r="AJ97" s="10" t="str">
        <f t="shared" si="34"/>
        <v/>
      </c>
      <c r="AK97" s="10" t="str">
        <f t="shared" si="34"/>
        <v/>
      </c>
      <c r="AL97" s="17" t="str">
        <f t="shared" si="28"/>
        <v/>
      </c>
      <c r="AM97" s="20" t="str">
        <f t="shared" si="29"/>
        <v/>
      </c>
      <c r="AN97" s="10" t="str">
        <f t="shared" si="30"/>
        <v/>
      </c>
      <c r="AO97" s="17" t="str">
        <f t="shared" si="31"/>
        <v/>
      </c>
      <c r="BE97" s="10"/>
      <c r="BI97" s="10"/>
      <c r="BQ97" s="10" t="s">
        <v>260</v>
      </c>
    </row>
    <row r="98" spans="1:69" ht="21" customHeight="1" x14ac:dyDescent="0.25">
      <c r="A98" s="10"/>
      <c r="B98" s="16" t="s">
        <v>106</v>
      </c>
      <c r="C98" s="10">
        <v>100</v>
      </c>
      <c r="D98" s="10">
        <v>249</v>
      </c>
      <c r="E98" s="17">
        <v>249</v>
      </c>
      <c r="I98" s="436" t="s">
        <v>5061</v>
      </c>
      <c r="J98" s="26" t="s">
        <v>5060</v>
      </c>
      <c r="K98" s="10">
        <v>2.2000000000000002</v>
      </c>
      <c r="L98" s="73">
        <f>IF(Tank1!$C$23="No control",(SUMIF(Tank1!$B$32:$B$49,$J98,Tank1!$C$32:$C$49)*Impacts!$F$8),0)</f>
        <v>0</v>
      </c>
      <c r="M98" s="10">
        <f>IF(Tank2!$C$23="No control",(SUMIF(Tank2!$B$32:$B$49,$J98,Tank2!$C$32:$C$49)*Impacts!$F$9),0)</f>
        <v>0</v>
      </c>
      <c r="N98" s="10">
        <f>IF(Tank3!$C$23="No control",(SUMIF(Tank3!$B$32:$B$49,$J98,Tank3!$C$32:$C$49)*Impacts!$F$10),0)</f>
        <v>0</v>
      </c>
      <c r="O98" s="10">
        <f>IF(Tank4!$C$23="No control",(SUMIF(Tank4!$B$32:$B$49,$J98,Tank4!$C$32:$C$49)*Impacts!$F$11),0)</f>
        <v>0</v>
      </c>
      <c r="P98" s="10">
        <f>IF(Tank5!$C$23="No control",(SUMIF(Tank5!$B$32:$B$49,$J98,Tank5!$C$32:$C$49)*Impacts!$F$12),0)</f>
        <v>0</v>
      </c>
      <c r="Q98" s="10">
        <f>IFERROR(IF(('Loading-drum,tote'!$C$21)="No control",SUMIF(('Loading-drum,tote'!$B$31:$B$48),$J98,('Loading-drum,tote'!$D$31:$D$48))*Impacts!$F$13,IF(('Loading-drum,tote'!$C$21)&lt;&gt;"No control",SUMIF(('Loading-drum,tote'!$B$31:$B$48),$J98,('Loading-drum,tote'!$E$31:$E$48))*Impacts!$F$13,0)),0)</f>
        <v>0</v>
      </c>
      <c r="R98" s="10">
        <f>IFERROR(IF(('Loading-truck'!$C$21)="No control",SUMIF(('Loading-truck'!$B$31:$B$48),$J98,('Loading-truck'!$D$31:$D$48))*Impacts!$F$14,IF(('Loading-truck'!$C$21)&lt;&gt;"No control",SUMIF(('Loading-truck'!$B$31:$B$48),$J98,('Loading-truck'!$E$31:$E$48))*Impacts!$F$14,0)),0)</f>
        <v>0</v>
      </c>
      <c r="S98" s="10">
        <f>IFERROR(IF(('Loading-rail'!$C$21)="No control",SUMIF(('Loading-rail'!$B$31:$B$48),$J98,('Loading-rail'!$D$31:$D$48))*Impacts!$F$15,IF(('Loading-rail'!$C$21)&lt;&gt;"No control",SUMIF(('Loading-rail'!$B$31:$B$48),$J98,('Loading-rail'!$E$31:$E$48))*Impacts!$F$15,0)),0)</f>
        <v>0</v>
      </c>
      <c r="T98" s="10">
        <f>IF(Flare!$C$7="",0,(SUMIF(Flare!$B$46:$B$185,$J98,Flare!$E$46:$E$185)*Impacts!$F$16))</f>
        <v>0</v>
      </c>
      <c r="U98" s="10">
        <f>IF(VCU!$C$9="",0,(SUMIF(VCU!$B$51:$B$193,$J98,VCU!$E$51:$E$193)*Impacts!$F$17))</f>
        <v>0</v>
      </c>
      <c r="V98" s="10">
        <f>IF(CAS!$C$7="",0,(SUMIF(CAS!$B$31:$B$167,$J98,CAS!$E$31:$E$167)*Impacts!$F$18))</f>
        <v>0</v>
      </c>
      <c r="W98" s="10">
        <f t="shared" si="32"/>
        <v>0</v>
      </c>
      <c r="AA98" s="48"/>
      <c r="AB98" s="20"/>
      <c r="AC98" s="10">
        <f>IF(OR(AI98=0,AI98="",ISNUMBER(MATCH(AI98,$AI$1:AI97,0))),0,MAX($AC$1:AC97)+1)</f>
        <v>0</v>
      </c>
      <c r="AD98" s="10">
        <f>IF(OR(AJ98=0,AJ98="",ISNUMBER(MATCH(AJ98,$AJ$1:AJ97,0))),0,MAX($AD$1:AD97)+1)</f>
        <v>0</v>
      </c>
      <c r="AE98" s="10">
        <f>IF(OR(AK98=0,AK98="",ISNUMBER(MATCH(AK98,$AK$1:AK97,0))),0,MAX($AE$1:AE97)+1)</f>
        <v>0</v>
      </c>
      <c r="AF98" s="10">
        <f>IF(OR(AH98=0,ISNUMBER(MATCH(AH98,$AH$1:AH97,0))),0,MAX($AF$1:AF97)+1)</f>
        <v>0</v>
      </c>
      <c r="AG98" s="45">
        <f>'Loading-drum,tote'!$C$21</f>
        <v>0</v>
      </c>
      <c r="AH98" s="45">
        <f>'Loading-drum,tote'!A43</f>
        <v>0</v>
      </c>
      <c r="AI98" s="10" t="str">
        <f t="shared" si="34"/>
        <v/>
      </c>
      <c r="AJ98" s="10" t="str">
        <f t="shared" si="34"/>
        <v/>
      </c>
      <c r="AK98" s="10" t="str">
        <f t="shared" si="34"/>
        <v/>
      </c>
      <c r="AL98" s="17" t="str">
        <f t="shared" ref="AL98:AL129" si="35">IFERROR(VLOOKUP(ROW(AL97),$AF$2:$AH$137,3,FALSE),"")</f>
        <v/>
      </c>
      <c r="AM98" s="20" t="str">
        <f t="shared" ref="AM98:AM129" si="36">IFERROR(VLOOKUP(ROW(AH97),$AC$2:$AH$137,6,FALSE),"")</f>
        <v/>
      </c>
      <c r="AN98" s="10" t="str">
        <f t="shared" ref="AN98:AN129" si="37">IFERROR(VLOOKUP(ROW(AH97),$AD$2:$AH$137,5,FALSE),"")</f>
        <v/>
      </c>
      <c r="AO98" s="17" t="str">
        <f t="shared" ref="AO98:AO129" si="38">IFERROR(VLOOKUP(ROW(AH97),$AE$2:$AH$137,4,FALSE),"")</f>
        <v/>
      </c>
      <c r="BE98" s="10"/>
      <c r="BI98" s="10"/>
    </row>
    <row r="99" spans="1:69" ht="21" customHeight="1" x14ac:dyDescent="0.25">
      <c r="A99" s="10"/>
      <c r="B99" s="16" t="s">
        <v>107</v>
      </c>
      <c r="C99" s="10">
        <v>100</v>
      </c>
      <c r="D99" s="10">
        <v>249</v>
      </c>
      <c r="E99" s="17">
        <v>249</v>
      </c>
      <c r="I99" s="436" t="s">
        <v>2675</v>
      </c>
      <c r="J99" s="26" t="s">
        <v>2674</v>
      </c>
      <c r="K99" s="10">
        <v>10</v>
      </c>
      <c r="L99" s="73">
        <f>IF(Tank1!$C$23="No control",(SUMIF(Tank1!$B$32:$B$49,$J99,Tank1!$C$32:$C$49)*Impacts!$F$8),0)</f>
        <v>0</v>
      </c>
      <c r="M99" s="10">
        <f>IF(Tank2!$C$23="No control",(SUMIF(Tank2!$B$32:$B$49,$J99,Tank2!$C$32:$C$49)*Impacts!$F$9),0)</f>
        <v>0</v>
      </c>
      <c r="N99" s="10">
        <f>IF(Tank3!$C$23="No control",(SUMIF(Tank3!$B$32:$B$49,$J99,Tank3!$C$32:$C$49)*Impacts!$F$10),0)</f>
        <v>0</v>
      </c>
      <c r="O99" s="10">
        <f>IF(Tank4!$C$23="No control",(SUMIF(Tank4!$B$32:$B$49,$J99,Tank4!$C$32:$C$49)*Impacts!$F$11),0)</f>
        <v>0</v>
      </c>
      <c r="P99" s="10">
        <f>IF(Tank5!$C$23="No control",(SUMIF(Tank5!$B$32:$B$49,$J99,Tank5!$C$32:$C$49)*Impacts!$F$12),0)</f>
        <v>0</v>
      </c>
      <c r="Q99" s="10">
        <f>IFERROR(IF(('Loading-drum,tote'!$C$21)="No control",SUMIF(('Loading-drum,tote'!$B$31:$B$48),$J99,('Loading-drum,tote'!$D$31:$D$48))*Impacts!$F$13,IF(('Loading-drum,tote'!$C$21)&lt;&gt;"No control",SUMIF(('Loading-drum,tote'!$B$31:$B$48),$J99,('Loading-drum,tote'!$E$31:$E$48))*Impacts!$F$13,0)),0)</f>
        <v>0</v>
      </c>
      <c r="R99" s="10">
        <f>IFERROR(IF(('Loading-truck'!$C$21)="No control",SUMIF(('Loading-truck'!$B$31:$B$48),$J99,('Loading-truck'!$D$31:$D$48))*Impacts!$F$14,IF(('Loading-truck'!$C$21)&lt;&gt;"No control",SUMIF(('Loading-truck'!$B$31:$B$48),$J99,('Loading-truck'!$E$31:$E$48))*Impacts!$F$14,0)),0)</f>
        <v>0</v>
      </c>
      <c r="S99" s="10">
        <f>IFERROR(IF(('Loading-rail'!$C$21)="No control",SUMIF(('Loading-rail'!$B$31:$B$48),$J99,('Loading-rail'!$D$31:$D$48))*Impacts!$F$15,IF(('Loading-rail'!$C$21)&lt;&gt;"No control",SUMIF(('Loading-rail'!$B$31:$B$48),$J99,('Loading-rail'!$E$31:$E$48))*Impacts!$F$15,0)),0)</f>
        <v>0</v>
      </c>
      <c r="T99" s="10">
        <f>IF(Flare!$C$7="",0,(SUMIF(Flare!$B$46:$B$185,$J99,Flare!$E$46:$E$185)*Impacts!$F$16))</f>
        <v>0</v>
      </c>
      <c r="U99" s="10">
        <f>IF(VCU!$C$9="",0,(SUMIF(VCU!$B$51:$B$193,$J99,VCU!$E$51:$E$193)*Impacts!$F$17))</f>
        <v>0</v>
      </c>
      <c r="V99" s="10">
        <f>IF(CAS!$C$7="",0,(SUMIF(CAS!$B$31:$B$167,$J99,CAS!$E$31:$E$167)*Impacts!$F$18))</f>
        <v>0</v>
      </c>
      <c r="W99" s="10">
        <f t="shared" si="32"/>
        <v>0</v>
      </c>
      <c r="AA99" s="48"/>
      <c r="AB99" s="20"/>
      <c r="AC99" s="10">
        <f>IF(OR(AI99=0,AI99="",ISNUMBER(MATCH(AI99,$AI$1:AI98,0))),0,MAX($AC$1:AC98)+1)</f>
        <v>0</v>
      </c>
      <c r="AD99" s="10">
        <f>IF(OR(AJ99=0,AJ99="",ISNUMBER(MATCH(AJ99,$AJ$1:AJ98,0))),0,MAX($AD$1:AD98)+1)</f>
        <v>0</v>
      </c>
      <c r="AE99" s="10">
        <f>IF(OR(AK99=0,AK99="",ISNUMBER(MATCH(AK99,$AK$1:AK98,0))),0,MAX($AE$1:AE98)+1)</f>
        <v>0</v>
      </c>
      <c r="AF99" s="10">
        <f>IF(OR(AH99=0,ISNUMBER(MATCH(AH99,$AH$1:AH98,0))),0,MAX($AF$1:AF98)+1)</f>
        <v>0</v>
      </c>
      <c r="AG99" s="45">
        <f>'Loading-drum,tote'!$C$21</f>
        <v>0</v>
      </c>
      <c r="AH99" s="45">
        <f>'Loading-drum,tote'!A44</f>
        <v>0</v>
      </c>
      <c r="AI99" s="10" t="str">
        <f t="shared" si="34"/>
        <v/>
      </c>
      <c r="AJ99" s="10" t="str">
        <f t="shared" si="34"/>
        <v/>
      </c>
      <c r="AK99" s="10" t="str">
        <f t="shared" si="34"/>
        <v/>
      </c>
      <c r="AL99" s="17" t="str">
        <f t="shared" si="35"/>
        <v/>
      </c>
      <c r="AM99" s="20" t="str">
        <f t="shared" si="36"/>
        <v/>
      </c>
      <c r="AN99" s="10" t="str">
        <f t="shared" si="37"/>
        <v/>
      </c>
      <c r="AO99" s="17" t="str">
        <f t="shared" si="38"/>
        <v/>
      </c>
      <c r="BE99" s="10"/>
      <c r="BI99" s="10"/>
    </row>
    <row r="100" spans="1:69" ht="21" customHeight="1" x14ac:dyDescent="0.25">
      <c r="A100" s="10"/>
      <c r="B100" s="16" t="s">
        <v>108</v>
      </c>
      <c r="C100" s="10">
        <v>100</v>
      </c>
      <c r="D100" s="10">
        <v>249</v>
      </c>
      <c r="E100" s="17">
        <v>249</v>
      </c>
      <c r="I100" s="436" t="s">
        <v>4145</v>
      </c>
      <c r="J100" s="26" t="s">
        <v>4144</v>
      </c>
      <c r="K100" s="10">
        <v>5</v>
      </c>
      <c r="L100" s="73">
        <f>IF(Tank1!$C$23="No control",(SUMIF(Tank1!$B$32:$B$49,$J100,Tank1!$C$32:$C$49)*Impacts!$F$8),0)</f>
        <v>0</v>
      </c>
      <c r="M100" s="10">
        <f>IF(Tank2!$C$23="No control",(SUMIF(Tank2!$B$32:$B$49,$J100,Tank2!$C$32:$C$49)*Impacts!$F$9),0)</f>
        <v>0</v>
      </c>
      <c r="N100" s="10">
        <f>IF(Tank3!$C$23="No control",(SUMIF(Tank3!$B$32:$B$49,$J100,Tank3!$C$32:$C$49)*Impacts!$F$10),0)</f>
        <v>0</v>
      </c>
      <c r="O100" s="10">
        <f>IF(Tank4!$C$23="No control",(SUMIF(Tank4!$B$32:$B$49,$J100,Tank4!$C$32:$C$49)*Impacts!$F$11),0)</f>
        <v>0</v>
      </c>
      <c r="P100" s="10">
        <f>IF(Tank5!$C$23="No control",(SUMIF(Tank5!$B$32:$B$49,$J100,Tank5!$C$32:$C$49)*Impacts!$F$12),0)</f>
        <v>0</v>
      </c>
      <c r="Q100" s="10">
        <f>IFERROR(IF(('Loading-drum,tote'!$C$21)="No control",SUMIF(('Loading-drum,tote'!$B$31:$B$48),$J100,('Loading-drum,tote'!$D$31:$D$48))*Impacts!$F$13,IF(('Loading-drum,tote'!$C$21)&lt;&gt;"No control",SUMIF(('Loading-drum,tote'!$B$31:$B$48),$J100,('Loading-drum,tote'!$E$31:$E$48))*Impacts!$F$13,0)),0)</f>
        <v>0</v>
      </c>
      <c r="R100" s="10">
        <f>IFERROR(IF(('Loading-truck'!$C$21)="No control",SUMIF(('Loading-truck'!$B$31:$B$48),$J100,('Loading-truck'!$D$31:$D$48))*Impacts!$F$14,IF(('Loading-truck'!$C$21)&lt;&gt;"No control",SUMIF(('Loading-truck'!$B$31:$B$48),$J100,('Loading-truck'!$E$31:$E$48))*Impacts!$F$14,0)),0)</f>
        <v>0</v>
      </c>
      <c r="S100" s="10">
        <f>IFERROR(IF(('Loading-rail'!$C$21)="No control",SUMIF(('Loading-rail'!$B$31:$B$48),$J100,('Loading-rail'!$D$31:$D$48))*Impacts!$F$15,IF(('Loading-rail'!$C$21)&lt;&gt;"No control",SUMIF(('Loading-rail'!$B$31:$B$48),$J100,('Loading-rail'!$E$31:$E$48))*Impacts!$F$15,0)),0)</f>
        <v>0</v>
      </c>
      <c r="T100" s="10">
        <f>IF(Flare!$C$7="",0,(SUMIF(Flare!$B$46:$B$185,$J100,Flare!$E$46:$E$185)*Impacts!$F$16))</f>
        <v>0</v>
      </c>
      <c r="U100" s="10">
        <f>IF(VCU!$C$9="",0,(SUMIF(VCU!$B$51:$B$193,$J100,VCU!$E$51:$E$193)*Impacts!$F$17))</f>
        <v>0</v>
      </c>
      <c r="V100" s="10">
        <f>IF(CAS!$C$7="",0,(SUMIF(CAS!$B$31:$B$167,$J100,CAS!$E$31:$E$167)*Impacts!$F$18))</f>
        <v>0</v>
      </c>
      <c r="W100" s="10">
        <f t="shared" si="32"/>
        <v>0</v>
      </c>
      <c r="AA100" s="48"/>
      <c r="AB100" s="20"/>
      <c r="AC100" s="10">
        <f>IF(OR(AI100=0,AI100="",ISNUMBER(MATCH(AI100,$AI$1:AI99,0))),0,MAX($AC$1:AC99)+1)</f>
        <v>0</v>
      </c>
      <c r="AD100" s="10">
        <f>IF(OR(AJ100=0,AJ100="",ISNUMBER(MATCH(AJ100,$AJ$1:AJ99,0))),0,MAX($AD$1:AD99)+1)</f>
        <v>0</v>
      </c>
      <c r="AE100" s="10">
        <f>IF(OR(AK100=0,AK100="",ISNUMBER(MATCH(AK100,$AK$1:AK99,0))),0,MAX($AE$1:AE99)+1)</f>
        <v>0</v>
      </c>
      <c r="AF100" s="10">
        <f>IF(OR(AH100=0,ISNUMBER(MATCH(AH100,$AH$1:AH99,0))),0,MAX($AF$1:AF99)+1)</f>
        <v>0</v>
      </c>
      <c r="AG100" s="45">
        <f>'Loading-drum,tote'!$C$21</f>
        <v>0</v>
      </c>
      <c r="AH100" s="45">
        <f>'Loading-drum,tote'!A45</f>
        <v>0</v>
      </c>
      <c r="AI100" s="10" t="str">
        <f t="shared" si="34"/>
        <v/>
      </c>
      <c r="AJ100" s="10" t="str">
        <f t="shared" si="34"/>
        <v/>
      </c>
      <c r="AK100" s="10" t="str">
        <f t="shared" si="34"/>
        <v/>
      </c>
      <c r="AL100" s="17" t="str">
        <f t="shared" si="35"/>
        <v/>
      </c>
      <c r="AM100" s="20" t="str">
        <f t="shared" si="36"/>
        <v/>
      </c>
      <c r="AN100" s="10" t="str">
        <f t="shared" si="37"/>
        <v/>
      </c>
      <c r="AO100" s="17" t="str">
        <f t="shared" si="38"/>
        <v/>
      </c>
      <c r="BE100" s="10"/>
      <c r="BI100" s="10"/>
    </row>
    <row r="101" spans="1:69" ht="21" customHeight="1" x14ac:dyDescent="0.25">
      <c r="A101" s="10"/>
      <c r="B101" s="16" t="s">
        <v>109</v>
      </c>
      <c r="C101" s="10">
        <v>100</v>
      </c>
      <c r="D101" s="10">
        <v>249</v>
      </c>
      <c r="E101" s="17">
        <v>249</v>
      </c>
      <c r="I101" s="436" t="s">
        <v>5385</v>
      </c>
      <c r="J101" s="26" t="s">
        <v>5384</v>
      </c>
      <c r="K101" s="10">
        <v>1.4000000000000001</v>
      </c>
      <c r="L101" s="73">
        <f>IF(Tank1!$C$23="No control",(SUMIF(Tank1!$B$32:$B$49,$J101,Tank1!$C$32:$C$49)*Impacts!$F$8),0)</f>
        <v>0</v>
      </c>
      <c r="M101" s="10">
        <f>IF(Tank2!$C$23="No control",(SUMIF(Tank2!$B$32:$B$49,$J101,Tank2!$C$32:$C$49)*Impacts!$F$9),0)</f>
        <v>0</v>
      </c>
      <c r="N101" s="10">
        <f>IF(Tank3!$C$23="No control",(SUMIF(Tank3!$B$32:$B$49,$J101,Tank3!$C$32:$C$49)*Impacts!$F$10),0)</f>
        <v>0</v>
      </c>
      <c r="O101" s="10">
        <f>IF(Tank4!$C$23="No control",(SUMIF(Tank4!$B$32:$B$49,$J101,Tank4!$C$32:$C$49)*Impacts!$F$11),0)</f>
        <v>0</v>
      </c>
      <c r="P101" s="10">
        <f>IF(Tank5!$C$23="No control",(SUMIF(Tank5!$B$32:$B$49,$J101,Tank5!$C$32:$C$49)*Impacts!$F$12),0)</f>
        <v>0</v>
      </c>
      <c r="Q101" s="10">
        <f>IFERROR(IF(('Loading-drum,tote'!$C$21)="No control",SUMIF(('Loading-drum,tote'!$B$31:$B$48),$J101,('Loading-drum,tote'!$D$31:$D$48))*Impacts!$F$13,IF(('Loading-drum,tote'!$C$21)&lt;&gt;"No control",SUMIF(('Loading-drum,tote'!$B$31:$B$48),$J101,('Loading-drum,tote'!$E$31:$E$48))*Impacts!$F$13,0)),0)</f>
        <v>0</v>
      </c>
      <c r="R101" s="10">
        <f>IFERROR(IF(('Loading-truck'!$C$21)="No control",SUMIF(('Loading-truck'!$B$31:$B$48),$J101,('Loading-truck'!$D$31:$D$48))*Impacts!$F$14,IF(('Loading-truck'!$C$21)&lt;&gt;"No control",SUMIF(('Loading-truck'!$B$31:$B$48),$J101,('Loading-truck'!$E$31:$E$48))*Impacts!$F$14,0)),0)</f>
        <v>0</v>
      </c>
      <c r="S101" s="10">
        <f>IFERROR(IF(('Loading-rail'!$C$21)="No control",SUMIF(('Loading-rail'!$B$31:$B$48),$J101,('Loading-rail'!$D$31:$D$48))*Impacts!$F$15,IF(('Loading-rail'!$C$21)&lt;&gt;"No control",SUMIF(('Loading-rail'!$B$31:$B$48),$J101,('Loading-rail'!$E$31:$E$48))*Impacts!$F$15,0)),0)</f>
        <v>0</v>
      </c>
      <c r="T101" s="10">
        <f>IF(Flare!$C$7="",0,(SUMIF(Flare!$B$46:$B$185,$J101,Flare!$E$46:$E$185)*Impacts!$F$16))</f>
        <v>0</v>
      </c>
      <c r="U101" s="10">
        <f>IF(VCU!$C$9="",0,(SUMIF(VCU!$B$51:$B$193,$J101,VCU!$E$51:$E$193)*Impacts!$F$17))</f>
        <v>0</v>
      </c>
      <c r="V101" s="10">
        <f>IF(CAS!$C$7="",0,(SUMIF(CAS!$B$31:$B$167,$J101,CAS!$E$31:$E$167)*Impacts!$F$18))</f>
        <v>0</v>
      </c>
      <c r="W101" s="10">
        <f t="shared" si="32"/>
        <v>0</v>
      </c>
      <c r="AA101" s="48"/>
      <c r="AB101" s="20"/>
      <c r="AC101" s="10">
        <f>IF(OR(AI101=0,AI101="",ISNUMBER(MATCH(AI101,$AI$1:AI100,0))),0,MAX($AC$1:AC100)+1)</f>
        <v>0</v>
      </c>
      <c r="AD101" s="10">
        <f>IF(OR(AJ101=0,AJ101="",ISNUMBER(MATCH(AJ101,$AJ$1:AJ100,0))),0,MAX($AD$1:AD100)+1)</f>
        <v>0</v>
      </c>
      <c r="AE101" s="10">
        <f>IF(OR(AK101=0,AK101="",ISNUMBER(MATCH(AK101,$AK$1:AK100,0))),0,MAX($AE$1:AE100)+1)</f>
        <v>0</v>
      </c>
      <c r="AF101" s="10">
        <f>IF(OR(AH101=0,ISNUMBER(MATCH(AH101,$AH$1:AH100,0))),0,MAX($AF$1:AF100)+1)</f>
        <v>0</v>
      </c>
      <c r="AG101" s="45">
        <f>'Loading-drum,tote'!$C$21</f>
        <v>0</v>
      </c>
      <c r="AH101" s="45">
        <f>'Loading-drum,tote'!A46</f>
        <v>0</v>
      </c>
      <c r="AI101" s="10" t="str">
        <f t="shared" si="34"/>
        <v/>
      </c>
      <c r="AJ101" s="10" t="str">
        <f t="shared" si="34"/>
        <v/>
      </c>
      <c r="AK101" s="10" t="str">
        <f t="shared" si="34"/>
        <v/>
      </c>
      <c r="AL101" s="17" t="str">
        <f t="shared" si="35"/>
        <v/>
      </c>
      <c r="AM101" s="20" t="str">
        <f t="shared" si="36"/>
        <v/>
      </c>
      <c r="AN101" s="10" t="str">
        <f t="shared" si="37"/>
        <v/>
      </c>
      <c r="AO101" s="17" t="str">
        <f t="shared" si="38"/>
        <v/>
      </c>
      <c r="BE101" s="10"/>
      <c r="BI101" s="10"/>
    </row>
    <row r="102" spans="1:69" ht="21" customHeight="1" x14ac:dyDescent="0.25">
      <c r="A102" s="10"/>
      <c r="B102" s="16" t="s">
        <v>110</v>
      </c>
      <c r="C102" s="10">
        <v>100</v>
      </c>
      <c r="D102" s="10">
        <v>249</v>
      </c>
      <c r="E102" s="17">
        <v>249</v>
      </c>
      <c r="I102" s="436" t="s">
        <v>6708</v>
      </c>
      <c r="J102" s="26" t="s">
        <v>6707</v>
      </c>
      <c r="K102" s="10">
        <v>0.5</v>
      </c>
      <c r="L102" s="73">
        <f>IF(Tank1!$C$23="No control",(SUMIF(Tank1!$B$32:$B$49,$J102,Tank1!$C$32:$C$49)*Impacts!$F$8),0)</f>
        <v>0</v>
      </c>
      <c r="M102" s="10">
        <f>IF(Tank2!$C$23="No control",(SUMIF(Tank2!$B$32:$B$49,$J102,Tank2!$C$32:$C$49)*Impacts!$F$9),0)</f>
        <v>0</v>
      </c>
      <c r="N102" s="10">
        <f>IF(Tank3!$C$23="No control",(SUMIF(Tank3!$B$32:$B$49,$J102,Tank3!$C$32:$C$49)*Impacts!$F$10),0)</f>
        <v>0</v>
      </c>
      <c r="O102" s="10">
        <f>IF(Tank4!$C$23="No control",(SUMIF(Tank4!$B$32:$B$49,$J102,Tank4!$C$32:$C$49)*Impacts!$F$11),0)</f>
        <v>0</v>
      </c>
      <c r="P102" s="10">
        <f>IF(Tank5!$C$23="No control",(SUMIF(Tank5!$B$32:$B$49,$J102,Tank5!$C$32:$C$49)*Impacts!$F$12),0)</f>
        <v>0</v>
      </c>
      <c r="Q102" s="10">
        <f>IFERROR(IF(('Loading-drum,tote'!$C$21)="No control",SUMIF(('Loading-drum,tote'!$B$31:$B$48),$J102,('Loading-drum,tote'!$D$31:$D$48))*Impacts!$F$13,IF(('Loading-drum,tote'!$C$21)&lt;&gt;"No control",SUMIF(('Loading-drum,tote'!$B$31:$B$48),$J102,('Loading-drum,tote'!$E$31:$E$48))*Impacts!$F$13,0)),0)</f>
        <v>0</v>
      </c>
      <c r="R102" s="10">
        <f>IFERROR(IF(('Loading-truck'!$C$21)="No control",SUMIF(('Loading-truck'!$B$31:$B$48),$J102,('Loading-truck'!$D$31:$D$48))*Impacts!$F$14,IF(('Loading-truck'!$C$21)&lt;&gt;"No control",SUMIF(('Loading-truck'!$B$31:$B$48),$J102,('Loading-truck'!$E$31:$E$48))*Impacts!$F$14,0)),0)</f>
        <v>0</v>
      </c>
      <c r="S102" s="10">
        <f>IFERROR(IF(('Loading-rail'!$C$21)="No control",SUMIF(('Loading-rail'!$B$31:$B$48),$J102,('Loading-rail'!$D$31:$D$48))*Impacts!$F$15,IF(('Loading-rail'!$C$21)&lt;&gt;"No control",SUMIF(('Loading-rail'!$B$31:$B$48),$J102,('Loading-rail'!$E$31:$E$48))*Impacts!$F$15,0)),0)</f>
        <v>0</v>
      </c>
      <c r="T102" s="10">
        <f>IF(Flare!$C$7="",0,(SUMIF(Flare!$B$46:$B$185,$J102,Flare!$E$46:$E$185)*Impacts!$F$16))</f>
        <v>0</v>
      </c>
      <c r="U102" s="10">
        <f>IF(VCU!$C$9="",0,(SUMIF(VCU!$B$51:$B$193,$J102,VCU!$E$51:$E$193)*Impacts!$F$17))</f>
        <v>0</v>
      </c>
      <c r="V102" s="10">
        <f>IF(CAS!$C$7="",0,(SUMIF(CAS!$B$31:$B$167,$J102,CAS!$E$31:$E$167)*Impacts!$F$18))</f>
        <v>0</v>
      </c>
      <c r="W102" s="10">
        <f t="shared" si="32"/>
        <v>0</v>
      </c>
      <c r="AA102" s="48"/>
      <c r="AB102" s="20"/>
      <c r="AC102" s="10">
        <f>IF(OR(AI102=0,AI102="",ISNUMBER(MATCH(AI102,$AI$1:AI101,0))),0,MAX($AC$1:AC101)+1)</f>
        <v>0</v>
      </c>
      <c r="AD102" s="10">
        <f>IF(OR(AJ102=0,AJ102="",ISNUMBER(MATCH(AJ102,$AJ$1:AJ101,0))),0,MAX($AD$1:AD101)+1)</f>
        <v>0</v>
      </c>
      <c r="AE102" s="10">
        <f>IF(OR(AK102=0,AK102="",ISNUMBER(MATCH(AK102,$AK$1:AK101,0))),0,MAX($AE$1:AE101)+1)</f>
        <v>0</v>
      </c>
      <c r="AF102" s="10">
        <f>IF(OR(AH102=0,ISNUMBER(MATCH(AH102,$AH$1:AH101,0))),0,MAX($AF$1:AF101)+1)</f>
        <v>0</v>
      </c>
      <c r="AG102" s="45">
        <f>'Loading-drum,tote'!$C$21</f>
        <v>0</v>
      </c>
      <c r="AH102" s="45">
        <f>'Loading-drum,tote'!A47</f>
        <v>0</v>
      </c>
      <c r="AI102" s="10" t="str">
        <f t="shared" si="34"/>
        <v/>
      </c>
      <c r="AJ102" s="10" t="str">
        <f t="shared" si="34"/>
        <v/>
      </c>
      <c r="AK102" s="10" t="str">
        <f t="shared" si="34"/>
        <v/>
      </c>
      <c r="AL102" s="17" t="str">
        <f t="shared" si="35"/>
        <v/>
      </c>
      <c r="AM102" s="20" t="str">
        <f t="shared" si="36"/>
        <v/>
      </c>
      <c r="AN102" s="10" t="str">
        <f t="shared" si="37"/>
        <v/>
      </c>
      <c r="AO102" s="17" t="str">
        <f t="shared" si="38"/>
        <v/>
      </c>
      <c r="BE102" s="10"/>
      <c r="BI102" s="10"/>
    </row>
    <row r="103" spans="1:69" ht="21" customHeight="1" x14ac:dyDescent="0.25">
      <c r="A103" s="10"/>
      <c r="B103" s="16" t="s">
        <v>111</v>
      </c>
      <c r="C103" s="10">
        <v>100</v>
      </c>
      <c r="D103" s="10">
        <v>100</v>
      </c>
      <c r="E103" s="17">
        <v>249</v>
      </c>
      <c r="I103" s="436" t="s">
        <v>6678</v>
      </c>
      <c r="J103" s="26" t="s">
        <v>6677</v>
      </c>
      <c r="K103" s="10">
        <v>0.54</v>
      </c>
      <c r="L103" s="73">
        <f>IF(Tank1!$C$23="No control",(SUMIF(Tank1!$B$32:$B$49,$J103,Tank1!$C$32:$C$49)*Impacts!$F$8),0)</f>
        <v>0</v>
      </c>
      <c r="M103" s="10">
        <f>IF(Tank2!$C$23="No control",(SUMIF(Tank2!$B$32:$B$49,$J103,Tank2!$C$32:$C$49)*Impacts!$F$9),0)</f>
        <v>0</v>
      </c>
      <c r="N103" s="10">
        <f>IF(Tank3!$C$23="No control",(SUMIF(Tank3!$B$32:$B$49,$J103,Tank3!$C$32:$C$49)*Impacts!$F$10),0)</f>
        <v>0</v>
      </c>
      <c r="O103" s="10">
        <f>IF(Tank4!$C$23="No control",(SUMIF(Tank4!$B$32:$B$49,$J103,Tank4!$C$32:$C$49)*Impacts!$F$11),0)</f>
        <v>0</v>
      </c>
      <c r="P103" s="10">
        <f>IF(Tank5!$C$23="No control",(SUMIF(Tank5!$B$32:$B$49,$J103,Tank5!$C$32:$C$49)*Impacts!$F$12),0)</f>
        <v>0</v>
      </c>
      <c r="Q103" s="10">
        <f>IFERROR(IF(('Loading-drum,tote'!$C$21)="No control",SUMIF(('Loading-drum,tote'!$B$31:$B$48),$J103,('Loading-drum,tote'!$D$31:$D$48))*Impacts!$F$13,IF(('Loading-drum,tote'!$C$21)&lt;&gt;"No control",SUMIF(('Loading-drum,tote'!$B$31:$B$48),$J103,('Loading-drum,tote'!$E$31:$E$48))*Impacts!$F$13,0)),0)</f>
        <v>0</v>
      </c>
      <c r="R103" s="10">
        <f>IFERROR(IF(('Loading-truck'!$C$21)="No control",SUMIF(('Loading-truck'!$B$31:$B$48),$J103,('Loading-truck'!$D$31:$D$48))*Impacts!$F$14,IF(('Loading-truck'!$C$21)&lt;&gt;"No control",SUMIF(('Loading-truck'!$B$31:$B$48),$J103,('Loading-truck'!$E$31:$E$48))*Impacts!$F$14,0)),0)</f>
        <v>0</v>
      </c>
      <c r="S103" s="10">
        <f>IFERROR(IF(('Loading-rail'!$C$21)="No control",SUMIF(('Loading-rail'!$B$31:$B$48),$J103,('Loading-rail'!$D$31:$D$48))*Impacts!$F$15,IF(('Loading-rail'!$C$21)&lt;&gt;"No control",SUMIF(('Loading-rail'!$B$31:$B$48),$J103,('Loading-rail'!$E$31:$E$48))*Impacts!$F$15,0)),0)</f>
        <v>0</v>
      </c>
      <c r="T103" s="10">
        <f>IF(Flare!$C$7="",0,(SUMIF(Flare!$B$46:$B$185,$J103,Flare!$E$46:$E$185)*Impacts!$F$16))</f>
        <v>0</v>
      </c>
      <c r="U103" s="10">
        <f>IF(VCU!$C$9="",0,(SUMIF(VCU!$B$51:$B$193,$J103,VCU!$E$51:$E$193)*Impacts!$F$17))</f>
        <v>0</v>
      </c>
      <c r="V103" s="10">
        <f>IF(CAS!$C$7="",0,(SUMIF(CAS!$B$31:$B$167,$J103,CAS!$E$31:$E$167)*Impacts!$F$18))</f>
        <v>0</v>
      </c>
      <c r="W103" s="10">
        <f t="shared" si="32"/>
        <v>0</v>
      </c>
      <c r="AA103" s="48"/>
      <c r="AB103" s="20"/>
      <c r="AC103" s="10">
        <f>IF(OR(AI103=0,AI103="",ISNUMBER(MATCH(AI103,$AI$1:AI102,0))),0,MAX($AC$1:AC102)+1)</f>
        <v>0</v>
      </c>
      <c r="AD103" s="10">
        <f>IF(OR(AJ103=0,AJ103="",ISNUMBER(MATCH(AJ103,$AJ$1:AJ102,0))),0,MAX($AD$1:AD102)+1)</f>
        <v>0</v>
      </c>
      <c r="AE103" s="10">
        <f>IF(OR(AK103=0,AK103="",ISNUMBER(MATCH(AK103,$AK$1:AK102,0))),0,MAX($AE$1:AE102)+1)</f>
        <v>0</v>
      </c>
      <c r="AF103" s="10">
        <f>IF(OR(AH103=0,ISNUMBER(MATCH(AH103,$AH$1:AH102,0))),0,MAX($AF$1:AF102)+1)</f>
        <v>0</v>
      </c>
      <c r="AG103" s="45">
        <f>'Loading-drum,tote'!$C$21</f>
        <v>0</v>
      </c>
      <c r="AH103" s="45">
        <f>'Loading-drum,tote'!A48</f>
        <v>0</v>
      </c>
      <c r="AI103" s="10" t="str">
        <f t="shared" si="34"/>
        <v/>
      </c>
      <c r="AJ103" s="10" t="str">
        <f t="shared" si="34"/>
        <v/>
      </c>
      <c r="AK103" s="10" t="str">
        <f t="shared" si="34"/>
        <v/>
      </c>
      <c r="AL103" s="17" t="str">
        <f t="shared" si="35"/>
        <v/>
      </c>
      <c r="AM103" s="20" t="str">
        <f t="shared" si="36"/>
        <v/>
      </c>
      <c r="AN103" s="10" t="str">
        <f t="shared" si="37"/>
        <v/>
      </c>
      <c r="AO103" s="17" t="str">
        <f t="shared" si="38"/>
        <v/>
      </c>
      <c r="BE103" s="10"/>
      <c r="BI103" s="10"/>
    </row>
    <row r="104" spans="1:69" ht="21" customHeight="1" x14ac:dyDescent="0.25">
      <c r="A104" s="10"/>
      <c r="B104" s="16" t="s">
        <v>112</v>
      </c>
      <c r="C104" s="10">
        <v>100</v>
      </c>
      <c r="D104" s="10">
        <v>249</v>
      </c>
      <c r="E104" s="17">
        <v>249</v>
      </c>
      <c r="I104" s="436" t="s">
        <v>5648</v>
      </c>
      <c r="J104" s="26" t="s">
        <v>5647</v>
      </c>
      <c r="K104" s="10">
        <v>1</v>
      </c>
      <c r="L104" s="73">
        <f>IF(Tank1!$C$23="No control",(SUMIF(Tank1!$B$32:$B$49,$J104,Tank1!$C$32:$C$49)*Impacts!$F$8),0)</f>
        <v>0</v>
      </c>
      <c r="M104" s="10">
        <f>IF(Tank2!$C$23="No control",(SUMIF(Tank2!$B$32:$B$49,$J104,Tank2!$C$32:$C$49)*Impacts!$F$9),0)</f>
        <v>0</v>
      </c>
      <c r="N104" s="10">
        <f>IF(Tank3!$C$23="No control",(SUMIF(Tank3!$B$32:$B$49,$J104,Tank3!$C$32:$C$49)*Impacts!$F$10),0)</f>
        <v>0</v>
      </c>
      <c r="O104" s="10">
        <f>IF(Tank4!$C$23="No control",(SUMIF(Tank4!$B$32:$B$49,$J104,Tank4!$C$32:$C$49)*Impacts!$F$11),0)</f>
        <v>0</v>
      </c>
      <c r="P104" s="10">
        <f>IF(Tank5!$C$23="No control",(SUMIF(Tank5!$B$32:$B$49,$J104,Tank5!$C$32:$C$49)*Impacts!$F$12),0)</f>
        <v>0</v>
      </c>
      <c r="Q104" s="10">
        <f>IFERROR(IF(('Loading-drum,tote'!$C$21)="No control",SUMIF(('Loading-drum,tote'!$B$31:$B$48),$J104,('Loading-drum,tote'!$D$31:$D$48))*Impacts!$F$13,IF(('Loading-drum,tote'!$C$21)&lt;&gt;"No control",SUMIF(('Loading-drum,tote'!$B$31:$B$48),$J104,('Loading-drum,tote'!$E$31:$E$48))*Impacts!$F$13,0)),0)</f>
        <v>0</v>
      </c>
      <c r="R104" s="10">
        <f>IFERROR(IF(('Loading-truck'!$C$21)="No control",SUMIF(('Loading-truck'!$B$31:$B$48),$J104,('Loading-truck'!$D$31:$D$48))*Impacts!$F$14,IF(('Loading-truck'!$C$21)&lt;&gt;"No control",SUMIF(('Loading-truck'!$B$31:$B$48),$J104,('Loading-truck'!$E$31:$E$48))*Impacts!$F$14,0)),0)</f>
        <v>0</v>
      </c>
      <c r="S104" s="10">
        <f>IFERROR(IF(('Loading-rail'!$C$21)="No control",SUMIF(('Loading-rail'!$B$31:$B$48),$J104,('Loading-rail'!$D$31:$D$48))*Impacts!$F$15,IF(('Loading-rail'!$C$21)&lt;&gt;"No control",SUMIF(('Loading-rail'!$B$31:$B$48),$J104,('Loading-rail'!$E$31:$E$48))*Impacts!$F$15,0)),0)</f>
        <v>0</v>
      </c>
      <c r="T104" s="10">
        <f>IF(Flare!$C$7="",0,(SUMIF(Flare!$B$46:$B$185,$J104,Flare!$E$46:$E$185)*Impacts!$F$16))</f>
        <v>0</v>
      </c>
      <c r="U104" s="10">
        <f>IF(VCU!$C$9="",0,(SUMIF(VCU!$B$51:$B$193,$J104,VCU!$E$51:$E$193)*Impacts!$F$17))</f>
        <v>0</v>
      </c>
      <c r="V104" s="10">
        <f>IF(CAS!$C$7="",0,(SUMIF(CAS!$B$31:$B$167,$J104,CAS!$E$31:$E$167)*Impacts!$F$18))</f>
        <v>0</v>
      </c>
      <c r="W104" s="10">
        <f t="shared" si="32"/>
        <v>0</v>
      </c>
      <c r="AA104" s="48"/>
      <c r="AB104" s="75" t="s">
        <v>8648</v>
      </c>
      <c r="AC104" s="101">
        <f>IF(OR(AI104=0,AI104="",ISNUMBER(MATCH(AI104,$AI$1:AI103,0))),0,MAX($AC$1:AC103)+1)</f>
        <v>0</v>
      </c>
      <c r="AD104" s="101">
        <f>IF(OR(AJ104=0,AJ104="",ISNUMBER(MATCH(AJ104,$AJ$1:AJ103,0))),0,MAX($AD$1:AD103)+1)</f>
        <v>0</v>
      </c>
      <c r="AE104" s="101">
        <f>IF(OR(AK104=0,AK104="",ISNUMBER(MATCH(AK104,$AK$1:AK103,0))),0,MAX($AE$1:AE103)+1)</f>
        <v>0</v>
      </c>
      <c r="AF104" s="101">
        <f>IF(OR(AH104=0,ISNUMBER(MATCH(AH104,$AH$1:AH103,0))),0,MAX($AF$1:AF103)+1)</f>
        <v>0</v>
      </c>
      <c r="AG104" s="102">
        <f>'Loading-truck'!$C$21</f>
        <v>0</v>
      </c>
      <c r="AH104" s="102">
        <f>'Loading-truck'!A32</f>
        <v>0</v>
      </c>
      <c r="AI104" s="101" t="str">
        <f t="shared" si="34"/>
        <v/>
      </c>
      <c r="AJ104" s="101" t="str">
        <f t="shared" si="34"/>
        <v/>
      </c>
      <c r="AK104" s="101" t="str">
        <f t="shared" si="34"/>
        <v/>
      </c>
      <c r="AL104" s="103" t="str">
        <f t="shared" si="35"/>
        <v/>
      </c>
      <c r="AM104" s="20" t="str">
        <f t="shared" si="36"/>
        <v/>
      </c>
      <c r="AN104" s="10" t="str">
        <f t="shared" si="37"/>
        <v/>
      </c>
      <c r="AO104" s="17" t="str">
        <f t="shared" si="38"/>
        <v/>
      </c>
      <c r="BE104" s="10"/>
      <c r="BI104" s="10"/>
    </row>
    <row r="105" spans="1:69" ht="21" customHeight="1" x14ac:dyDescent="0.25">
      <c r="A105" s="10"/>
      <c r="B105" s="16" t="s">
        <v>113</v>
      </c>
      <c r="C105" s="10">
        <v>100</v>
      </c>
      <c r="D105" s="10">
        <v>249</v>
      </c>
      <c r="E105" s="17">
        <v>249</v>
      </c>
      <c r="I105" s="436" t="s">
        <v>5650</v>
      </c>
      <c r="J105" s="26" t="s">
        <v>5649</v>
      </c>
      <c r="K105" s="10">
        <v>1</v>
      </c>
      <c r="L105" s="73">
        <f>IF(Tank1!$C$23="No control",(SUMIF(Tank1!$B$32:$B$49,$J105,Tank1!$C$32:$C$49)*Impacts!$F$8),0)</f>
        <v>0</v>
      </c>
      <c r="M105" s="10">
        <f>IF(Tank2!$C$23="No control",(SUMIF(Tank2!$B$32:$B$49,$J105,Tank2!$C$32:$C$49)*Impacts!$F$9),0)</f>
        <v>0</v>
      </c>
      <c r="N105" s="10">
        <f>IF(Tank3!$C$23="No control",(SUMIF(Tank3!$B$32:$B$49,$J105,Tank3!$C$32:$C$49)*Impacts!$F$10),0)</f>
        <v>0</v>
      </c>
      <c r="O105" s="10">
        <f>IF(Tank4!$C$23="No control",(SUMIF(Tank4!$B$32:$B$49,$J105,Tank4!$C$32:$C$49)*Impacts!$F$11),0)</f>
        <v>0</v>
      </c>
      <c r="P105" s="10">
        <f>IF(Tank5!$C$23="No control",(SUMIF(Tank5!$B$32:$B$49,$J105,Tank5!$C$32:$C$49)*Impacts!$F$12),0)</f>
        <v>0</v>
      </c>
      <c r="Q105" s="10">
        <f>IFERROR(IF(('Loading-drum,tote'!$C$21)="No control",SUMIF(('Loading-drum,tote'!$B$31:$B$48),$J105,('Loading-drum,tote'!$D$31:$D$48))*Impacts!$F$13,IF(('Loading-drum,tote'!$C$21)&lt;&gt;"No control",SUMIF(('Loading-drum,tote'!$B$31:$B$48),$J105,('Loading-drum,tote'!$E$31:$E$48))*Impacts!$F$13,0)),0)</f>
        <v>0</v>
      </c>
      <c r="R105" s="10">
        <f>IFERROR(IF(('Loading-truck'!$C$21)="No control",SUMIF(('Loading-truck'!$B$31:$B$48),$J105,('Loading-truck'!$D$31:$D$48))*Impacts!$F$14,IF(('Loading-truck'!$C$21)&lt;&gt;"No control",SUMIF(('Loading-truck'!$B$31:$B$48),$J105,('Loading-truck'!$E$31:$E$48))*Impacts!$F$14,0)),0)</f>
        <v>0</v>
      </c>
      <c r="S105" s="10">
        <f>IFERROR(IF(('Loading-rail'!$C$21)="No control",SUMIF(('Loading-rail'!$B$31:$B$48),$J105,('Loading-rail'!$D$31:$D$48))*Impacts!$F$15,IF(('Loading-rail'!$C$21)&lt;&gt;"No control",SUMIF(('Loading-rail'!$B$31:$B$48),$J105,('Loading-rail'!$E$31:$E$48))*Impacts!$F$15,0)),0)</f>
        <v>0</v>
      </c>
      <c r="T105" s="10">
        <f>IF(Flare!$C$7="",0,(SUMIF(Flare!$B$46:$B$185,$J105,Flare!$E$46:$E$185)*Impacts!$F$16))</f>
        <v>0</v>
      </c>
      <c r="U105" s="10">
        <f>IF(VCU!$C$9="",0,(SUMIF(VCU!$B$51:$B$193,$J105,VCU!$E$51:$E$193)*Impacts!$F$17))</f>
        <v>0</v>
      </c>
      <c r="V105" s="10">
        <f>IF(CAS!$C$7="",0,(SUMIF(CAS!$B$31:$B$167,$J105,CAS!$E$31:$E$167)*Impacts!$F$18))</f>
        <v>0</v>
      </c>
      <c r="W105" s="10">
        <f t="shared" si="32"/>
        <v>0</v>
      </c>
      <c r="AA105" s="48"/>
      <c r="AB105" s="20"/>
      <c r="AC105" s="10">
        <f>IF(OR(AI105=0,AI105="",ISNUMBER(MATCH(AI105,$AI$1:AI104,0))),0,MAX($AC$1:AC104)+1)</f>
        <v>0</v>
      </c>
      <c r="AD105" s="10">
        <f>IF(OR(AJ105=0,AJ105="",ISNUMBER(MATCH(AJ105,$AJ$1:AJ104,0))),0,MAX($AD$1:AD104)+1)</f>
        <v>0</v>
      </c>
      <c r="AE105" s="10">
        <f>IF(OR(AK105=0,AK105="",ISNUMBER(MATCH(AK105,$AK$1:AK104,0))),0,MAX($AE$1:AE104)+1)</f>
        <v>0</v>
      </c>
      <c r="AF105" s="10">
        <f>IF(OR(AH105=0,ISNUMBER(MATCH(AH105,$AH$1:AH104,0))),0,MAX($AF$1:AF104)+1)</f>
        <v>0</v>
      </c>
      <c r="AG105" s="45">
        <f>'Loading-truck'!$C$21</f>
        <v>0</v>
      </c>
      <c r="AH105" s="45">
        <f>'Loading-truck'!A33</f>
        <v>0</v>
      </c>
      <c r="AI105" s="10" t="str">
        <f t="shared" si="34"/>
        <v/>
      </c>
      <c r="AJ105" s="10" t="str">
        <f t="shared" si="34"/>
        <v/>
      </c>
      <c r="AK105" s="10" t="str">
        <f t="shared" si="34"/>
        <v/>
      </c>
      <c r="AL105" s="17" t="str">
        <f t="shared" si="35"/>
        <v/>
      </c>
      <c r="AM105" s="20" t="str">
        <f t="shared" si="36"/>
        <v/>
      </c>
      <c r="AN105" s="10" t="str">
        <f t="shared" si="37"/>
        <v/>
      </c>
      <c r="AO105" s="17" t="str">
        <f t="shared" si="38"/>
        <v/>
      </c>
      <c r="BE105" s="10"/>
      <c r="BI105" s="10"/>
    </row>
    <row r="106" spans="1:69" ht="21" customHeight="1" x14ac:dyDescent="0.25">
      <c r="A106" s="10"/>
      <c r="B106" s="16" t="s">
        <v>114</v>
      </c>
      <c r="C106" s="10">
        <v>100</v>
      </c>
      <c r="D106" s="10">
        <v>249</v>
      </c>
      <c r="E106" s="17">
        <v>249</v>
      </c>
      <c r="I106" s="436" t="s">
        <v>7886</v>
      </c>
      <c r="J106" s="26" t="s">
        <v>7885</v>
      </c>
      <c r="K106" s="10">
        <v>0.05</v>
      </c>
      <c r="L106" s="73">
        <f>IF(Tank1!$C$23="No control",(SUMIF(Tank1!$B$32:$B$49,$J106,Tank1!$C$32:$C$49)*Impacts!$F$8),0)</f>
        <v>0</v>
      </c>
      <c r="M106" s="10">
        <f>IF(Tank2!$C$23="No control",(SUMIF(Tank2!$B$32:$B$49,$J106,Tank2!$C$32:$C$49)*Impacts!$F$9),0)</f>
        <v>0</v>
      </c>
      <c r="N106" s="10">
        <f>IF(Tank3!$C$23="No control",(SUMIF(Tank3!$B$32:$B$49,$J106,Tank3!$C$32:$C$49)*Impacts!$F$10),0)</f>
        <v>0</v>
      </c>
      <c r="O106" s="10">
        <f>IF(Tank4!$C$23="No control",(SUMIF(Tank4!$B$32:$B$49,$J106,Tank4!$C$32:$C$49)*Impacts!$F$11),0)</f>
        <v>0</v>
      </c>
      <c r="P106" s="10">
        <f>IF(Tank5!$C$23="No control",(SUMIF(Tank5!$B$32:$B$49,$J106,Tank5!$C$32:$C$49)*Impacts!$F$12),0)</f>
        <v>0</v>
      </c>
      <c r="Q106" s="10">
        <f>IFERROR(IF(('Loading-drum,tote'!$C$21)="No control",SUMIF(('Loading-drum,tote'!$B$31:$B$48),$J106,('Loading-drum,tote'!$D$31:$D$48))*Impacts!$F$13,IF(('Loading-drum,tote'!$C$21)&lt;&gt;"No control",SUMIF(('Loading-drum,tote'!$B$31:$B$48),$J106,('Loading-drum,tote'!$E$31:$E$48))*Impacts!$F$13,0)),0)</f>
        <v>0</v>
      </c>
      <c r="R106" s="10">
        <f>IFERROR(IF(('Loading-truck'!$C$21)="No control",SUMIF(('Loading-truck'!$B$31:$B$48),$J106,('Loading-truck'!$D$31:$D$48))*Impacts!$F$14,IF(('Loading-truck'!$C$21)&lt;&gt;"No control",SUMIF(('Loading-truck'!$B$31:$B$48),$J106,('Loading-truck'!$E$31:$E$48))*Impacts!$F$14,0)),0)</f>
        <v>0</v>
      </c>
      <c r="S106" s="10">
        <f>IFERROR(IF(('Loading-rail'!$C$21)="No control",SUMIF(('Loading-rail'!$B$31:$B$48),$J106,('Loading-rail'!$D$31:$D$48))*Impacts!$F$15,IF(('Loading-rail'!$C$21)&lt;&gt;"No control",SUMIF(('Loading-rail'!$B$31:$B$48),$J106,('Loading-rail'!$E$31:$E$48))*Impacts!$F$15,0)),0)</f>
        <v>0</v>
      </c>
      <c r="T106" s="10">
        <f>IF(Flare!$C$7="",0,(SUMIF(Flare!$B$46:$B$185,$J106,Flare!$E$46:$E$185)*Impacts!$F$16))</f>
        <v>0</v>
      </c>
      <c r="U106" s="10">
        <f>IF(VCU!$C$9="",0,(SUMIF(VCU!$B$51:$B$193,$J106,VCU!$E$51:$E$193)*Impacts!$F$17))</f>
        <v>0</v>
      </c>
      <c r="V106" s="10">
        <f>IF(CAS!$C$7="",0,(SUMIF(CAS!$B$31:$B$167,$J106,CAS!$E$31:$E$167)*Impacts!$F$18))</f>
        <v>0</v>
      </c>
      <c r="W106" s="10">
        <f t="shared" si="32"/>
        <v>0</v>
      </c>
      <c r="AA106" s="48"/>
      <c r="AB106" s="20"/>
      <c r="AC106" s="10">
        <f>IF(OR(AI106=0,AI106="",ISNUMBER(MATCH(AI106,$AI$1:AI105,0))),0,MAX($AC$1:AC105)+1)</f>
        <v>0</v>
      </c>
      <c r="AD106" s="10">
        <f>IF(OR(AJ106=0,AJ106="",ISNUMBER(MATCH(AJ106,$AJ$1:AJ105,0))),0,MAX($AD$1:AD105)+1)</f>
        <v>0</v>
      </c>
      <c r="AE106" s="10">
        <f>IF(OR(AK106=0,AK106="",ISNUMBER(MATCH(AK106,$AK$1:AK105,0))),0,MAX($AE$1:AE105)+1)</f>
        <v>0</v>
      </c>
      <c r="AF106" s="10">
        <f>IF(OR(AH106=0,ISNUMBER(MATCH(AH106,$AH$1:AH105,0))),0,MAX($AF$1:AF105)+1)</f>
        <v>0</v>
      </c>
      <c r="AG106" s="45">
        <f>'Loading-truck'!$C$21</f>
        <v>0</v>
      </c>
      <c r="AH106" s="45">
        <f>'Loading-truck'!A34</f>
        <v>0</v>
      </c>
      <c r="AI106" s="10" t="str">
        <f t="shared" si="34"/>
        <v/>
      </c>
      <c r="AJ106" s="10" t="str">
        <f t="shared" si="34"/>
        <v/>
      </c>
      <c r="AK106" s="10" t="str">
        <f t="shared" si="34"/>
        <v/>
      </c>
      <c r="AL106" s="17" t="str">
        <f t="shared" si="35"/>
        <v/>
      </c>
      <c r="AM106" s="20" t="str">
        <f t="shared" si="36"/>
        <v/>
      </c>
      <c r="AN106" s="10" t="str">
        <f t="shared" si="37"/>
        <v/>
      </c>
      <c r="AO106" s="17" t="str">
        <f t="shared" si="38"/>
        <v/>
      </c>
      <c r="BE106" s="10"/>
      <c r="BI106" s="10"/>
    </row>
    <row r="107" spans="1:69" ht="21" customHeight="1" x14ac:dyDescent="0.25">
      <c r="A107" s="10"/>
      <c r="B107" s="16" t="s">
        <v>115</v>
      </c>
      <c r="C107" s="10">
        <v>100</v>
      </c>
      <c r="D107" s="10">
        <v>249</v>
      </c>
      <c r="E107" s="17">
        <v>249</v>
      </c>
      <c r="I107" s="436" t="s">
        <v>630</v>
      </c>
      <c r="J107" s="26" t="s">
        <v>629</v>
      </c>
      <c r="K107" s="10">
        <v>57</v>
      </c>
      <c r="L107" s="73">
        <f>IF(Tank1!$C$23="No control",(SUMIF(Tank1!$B$32:$B$49,$J107,Tank1!$C$32:$C$49)*Impacts!$F$8),0)</f>
        <v>0</v>
      </c>
      <c r="M107" s="10">
        <f>IF(Tank2!$C$23="No control",(SUMIF(Tank2!$B$32:$B$49,$J107,Tank2!$C$32:$C$49)*Impacts!$F$9),0)</f>
        <v>0</v>
      </c>
      <c r="N107" s="10">
        <f>IF(Tank3!$C$23="No control",(SUMIF(Tank3!$B$32:$B$49,$J107,Tank3!$C$32:$C$49)*Impacts!$F$10),0)</f>
        <v>0</v>
      </c>
      <c r="O107" s="10">
        <f>IF(Tank4!$C$23="No control",(SUMIF(Tank4!$B$32:$B$49,$J107,Tank4!$C$32:$C$49)*Impacts!$F$11),0)</f>
        <v>0</v>
      </c>
      <c r="P107" s="10">
        <f>IF(Tank5!$C$23="No control",(SUMIF(Tank5!$B$32:$B$49,$J107,Tank5!$C$32:$C$49)*Impacts!$F$12),0)</f>
        <v>0</v>
      </c>
      <c r="Q107" s="10">
        <f>IFERROR(IF(('Loading-drum,tote'!$C$21)="No control",SUMIF(('Loading-drum,tote'!$B$31:$B$48),$J107,('Loading-drum,tote'!$D$31:$D$48))*Impacts!$F$13,IF(('Loading-drum,tote'!$C$21)&lt;&gt;"No control",SUMIF(('Loading-drum,tote'!$B$31:$B$48),$J107,('Loading-drum,tote'!$E$31:$E$48))*Impacts!$F$13,0)),0)</f>
        <v>0</v>
      </c>
      <c r="R107" s="10">
        <f>IFERROR(IF(('Loading-truck'!$C$21)="No control",SUMIF(('Loading-truck'!$B$31:$B$48),$J107,('Loading-truck'!$D$31:$D$48))*Impacts!$F$14,IF(('Loading-truck'!$C$21)&lt;&gt;"No control",SUMIF(('Loading-truck'!$B$31:$B$48),$J107,('Loading-truck'!$E$31:$E$48))*Impacts!$F$14,0)),0)</f>
        <v>0</v>
      </c>
      <c r="S107" s="10">
        <f>IFERROR(IF(('Loading-rail'!$C$21)="No control",SUMIF(('Loading-rail'!$B$31:$B$48),$J107,('Loading-rail'!$D$31:$D$48))*Impacts!$F$15,IF(('Loading-rail'!$C$21)&lt;&gt;"No control",SUMIF(('Loading-rail'!$B$31:$B$48),$J107,('Loading-rail'!$E$31:$E$48))*Impacts!$F$15,0)),0)</f>
        <v>0</v>
      </c>
      <c r="T107" s="10">
        <f>IF(Flare!$C$7="",0,(SUMIF(Flare!$B$46:$B$185,$J107,Flare!$E$46:$E$185)*Impacts!$F$16))</f>
        <v>0</v>
      </c>
      <c r="U107" s="10">
        <f>IF(VCU!$C$9="",0,(SUMIF(VCU!$B$51:$B$193,$J107,VCU!$E$51:$E$193)*Impacts!$F$17))</f>
        <v>0</v>
      </c>
      <c r="V107" s="10">
        <f>IF(CAS!$C$7="",0,(SUMIF(CAS!$B$31:$B$167,$J107,CAS!$E$31:$E$167)*Impacts!$F$18))</f>
        <v>0</v>
      </c>
      <c r="W107" s="10">
        <f t="shared" si="32"/>
        <v>0</v>
      </c>
      <c r="AA107" s="48"/>
      <c r="AB107" s="20"/>
      <c r="AC107" s="10">
        <f>IF(OR(AI107=0,AI107="",ISNUMBER(MATCH(AI107,$AI$1:AI106,0))),0,MAX($AC$1:AC106)+1)</f>
        <v>0</v>
      </c>
      <c r="AD107" s="10">
        <f>IF(OR(AJ107=0,AJ107="",ISNUMBER(MATCH(AJ107,$AJ$1:AJ106,0))),0,MAX($AD$1:AD106)+1)</f>
        <v>0</v>
      </c>
      <c r="AE107" s="10">
        <f>IF(OR(AK107=0,AK107="",ISNUMBER(MATCH(AK107,$AK$1:AK106,0))),0,MAX($AE$1:AE106)+1)</f>
        <v>0</v>
      </c>
      <c r="AF107" s="10">
        <f>IF(OR(AH107=0,ISNUMBER(MATCH(AH107,$AH$1:AH106,0))),0,MAX($AF$1:AF106)+1)</f>
        <v>0</v>
      </c>
      <c r="AG107" s="45">
        <f>'Loading-truck'!$C$21</f>
        <v>0</v>
      </c>
      <c r="AH107" s="45">
        <f>'Loading-truck'!A35</f>
        <v>0</v>
      </c>
      <c r="AI107" s="10" t="str">
        <f t="shared" si="34"/>
        <v/>
      </c>
      <c r="AJ107" s="10" t="str">
        <f t="shared" si="34"/>
        <v/>
      </c>
      <c r="AK107" s="10" t="str">
        <f t="shared" si="34"/>
        <v/>
      </c>
      <c r="AL107" s="17" t="str">
        <f t="shared" si="35"/>
        <v/>
      </c>
      <c r="AM107" s="20" t="str">
        <f t="shared" si="36"/>
        <v/>
      </c>
      <c r="AN107" s="10" t="str">
        <f t="shared" si="37"/>
        <v/>
      </c>
      <c r="AO107" s="17" t="str">
        <f t="shared" si="38"/>
        <v/>
      </c>
      <c r="BE107" s="10"/>
      <c r="BI107" s="10"/>
    </row>
    <row r="108" spans="1:69" ht="21" customHeight="1" x14ac:dyDescent="0.25">
      <c r="A108" s="10"/>
      <c r="B108" s="16" t="s">
        <v>116</v>
      </c>
      <c r="C108" s="10">
        <v>100</v>
      </c>
      <c r="D108" s="10">
        <v>249</v>
      </c>
      <c r="E108" s="17">
        <v>249</v>
      </c>
      <c r="I108" s="436" t="s">
        <v>7678</v>
      </c>
      <c r="J108" s="26" t="s">
        <v>7677</v>
      </c>
      <c r="K108" s="10">
        <v>0.1</v>
      </c>
      <c r="L108" s="73">
        <f>IF(Tank1!$C$23="No control",(SUMIF(Tank1!$B$32:$B$49,$J108,Tank1!$C$32:$C$49)*Impacts!$F$8),0)</f>
        <v>0</v>
      </c>
      <c r="M108" s="10">
        <f>IF(Tank2!$C$23="No control",(SUMIF(Tank2!$B$32:$B$49,$J108,Tank2!$C$32:$C$49)*Impacts!$F$9),0)</f>
        <v>0</v>
      </c>
      <c r="N108" s="10">
        <f>IF(Tank3!$C$23="No control",(SUMIF(Tank3!$B$32:$B$49,$J108,Tank3!$C$32:$C$49)*Impacts!$F$10),0)</f>
        <v>0</v>
      </c>
      <c r="O108" s="10">
        <f>IF(Tank4!$C$23="No control",(SUMIF(Tank4!$B$32:$B$49,$J108,Tank4!$C$32:$C$49)*Impacts!$F$11),0)</f>
        <v>0</v>
      </c>
      <c r="P108" s="10">
        <f>IF(Tank5!$C$23="No control",(SUMIF(Tank5!$B$32:$B$49,$J108,Tank5!$C$32:$C$49)*Impacts!$F$12),0)</f>
        <v>0</v>
      </c>
      <c r="Q108" s="10">
        <f>IFERROR(IF(('Loading-drum,tote'!$C$21)="No control",SUMIF(('Loading-drum,tote'!$B$31:$B$48),$J108,('Loading-drum,tote'!$D$31:$D$48))*Impacts!$F$13,IF(('Loading-drum,tote'!$C$21)&lt;&gt;"No control",SUMIF(('Loading-drum,tote'!$B$31:$B$48),$J108,('Loading-drum,tote'!$E$31:$E$48))*Impacts!$F$13,0)),0)</f>
        <v>0</v>
      </c>
      <c r="R108" s="10">
        <f>IFERROR(IF(('Loading-truck'!$C$21)="No control",SUMIF(('Loading-truck'!$B$31:$B$48),$J108,('Loading-truck'!$D$31:$D$48))*Impacts!$F$14,IF(('Loading-truck'!$C$21)&lt;&gt;"No control",SUMIF(('Loading-truck'!$B$31:$B$48),$J108,('Loading-truck'!$E$31:$E$48))*Impacts!$F$14,0)),0)</f>
        <v>0</v>
      </c>
      <c r="S108" s="10">
        <f>IFERROR(IF(('Loading-rail'!$C$21)="No control",SUMIF(('Loading-rail'!$B$31:$B$48),$J108,('Loading-rail'!$D$31:$D$48))*Impacts!$F$15,IF(('Loading-rail'!$C$21)&lt;&gt;"No control",SUMIF(('Loading-rail'!$B$31:$B$48),$J108,('Loading-rail'!$E$31:$E$48))*Impacts!$F$15,0)),0)</f>
        <v>0</v>
      </c>
      <c r="T108" s="10">
        <f>IF(Flare!$C$7="",0,(SUMIF(Flare!$B$46:$B$185,$J108,Flare!$E$46:$E$185)*Impacts!$F$16))</f>
        <v>0</v>
      </c>
      <c r="U108" s="10">
        <f>IF(VCU!$C$9="",0,(SUMIF(VCU!$B$51:$B$193,$J108,VCU!$E$51:$E$193)*Impacts!$F$17))</f>
        <v>0</v>
      </c>
      <c r="V108" s="10">
        <f>IF(CAS!$C$7="",0,(SUMIF(CAS!$B$31:$B$167,$J108,CAS!$E$31:$E$167)*Impacts!$F$18))</f>
        <v>0</v>
      </c>
      <c r="W108" s="10">
        <f t="shared" si="32"/>
        <v>0</v>
      </c>
      <c r="AA108" s="48"/>
      <c r="AB108" s="20"/>
      <c r="AC108" s="10">
        <f>IF(OR(AI108=0,AI108="",ISNUMBER(MATCH(AI108,$AI$1:AI107,0))),0,MAX($AC$1:AC107)+1)</f>
        <v>0</v>
      </c>
      <c r="AD108" s="10">
        <f>IF(OR(AJ108=0,AJ108="",ISNUMBER(MATCH(AJ108,$AJ$1:AJ107,0))),0,MAX($AD$1:AD107)+1)</f>
        <v>0</v>
      </c>
      <c r="AE108" s="10">
        <f>IF(OR(AK108=0,AK108="",ISNUMBER(MATCH(AK108,$AK$1:AK107,0))),0,MAX($AE$1:AE107)+1)</f>
        <v>0</v>
      </c>
      <c r="AF108" s="10">
        <f>IF(OR(AH108=0,ISNUMBER(MATCH(AH108,$AH$1:AH107,0))),0,MAX($AF$1:AF107)+1)</f>
        <v>0</v>
      </c>
      <c r="AG108" s="45">
        <f>'Loading-truck'!$C$21</f>
        <v>0</v>
      </c>
      <c r="AH108" s="45">
        <f>'Loading-truck'!A36</f>
        <v>0</v>
      </c>
      <c r="AI108" s="10" t="str">
        <f t="shared" si="34"/>
        <v/>
      </c>
      <c r="AJ108" s="10" t="str">
        <f t="shared" si="34"/>
        <v/>
      </c>
      <c r="AK108" s="10" t="str">
        <f t="shared" si="34"/>
        <v/>
      </c>
      <c r="AL108" s="17" t="str">
        <f t="shared" si="35"/>
        <v/>
      </c>
      <c r="AM108" s="20" t="str">
        <f t="shared" si="36"/>
        <v/>
      </c>
      <c r="AN108" s="10" t="str">
        <f t="shared" si="37"/>
        <v/>
      </c>
      <c r="AO108" s="17" t="str">
        <f t="shared" si="38"/>
        <v/>
      </c>
      <c r="BE108" s="10"/>
      <c r="BI108" s="10"/>
    </row>
    <row r="109" spans="1:69" ht="21" customHeight="1" x14ac:dyDescent="0.25">
      <c r="A109" s="10"/>
      <c r="B109" s="16" t="s">
        <v>117</v>
      </c>
      <c r="C109" s="10">
        <v>100</v>
      </c>
      <c r="D109" s="10">
        <v>249</v>
      </c>
      <c r="E109" s="17">
        <v>249</v>
      </c>
      <c r="I109" s="436" t="s">
        <v>2061</v>
      </c>
      <c r="J109" s="26" t="s">
        <v>2060</v>
      </c>
      <c r="K109" s="10">
        <v>15</v>
      </c>
      <c r="L109" s="73">
        <f>IF(Tank1!$C$23="No control",(SUMIF(Tank1!$B$32:$B$49,$J109,Tank1!$C$32:$C$49)*Impacts!$F$8),0)</f>
        <v>0</v>
      </c>
      <c r="M109" s="10">
        <f>IF(Tank2!$C$23="No control",(SUMIF(Tank2!$B$32:$B$49,$J109,Tank2!$C$32:$C$49)*Impacts!$F$9),0)</f>
        <v>0</v>
      </c>
      <c r="N109" s="10">
        <f>IF(Tank3!$C$23="No control",(SUMIF(Tank3!$B$32:$B$49,$J109,Tank3!$C$32:$C$49)*Impacts!$F$10),0)</f>
        <v>0</v>
      </c>
      <c r="O109" s="10">
        <f>IF(Tank4!$C$23="No control",(SUMIF(Tank4!$B$32:$B$49,$J109,Tank4!$C$32:$C$49)*Impacts!$F$11),0)</f>
        <v>0</v>
      </c>
      <c r="P109" s="10">
        <f>IF(Tank5!$C$23="No control",(SUMIF(Tank5!$B$32:$B$49,$J109,Tank5!$C$32:$C$49)*Impacts!$F$12),0)</f>
        <v>0</v>
      </c>
      <c r="Q109" s="10">
        <f>IFERROR(IF(('Loading-drum,tote'!$C$21)="No control",SUMIF(('Loading-drum,tote'!$B$31:$B$48),$J109,('Loading-drum,tote'!$D$31:$D$48))*Impacts!$F$13,IF(('Loading-drum,tote'!$C$21)&lt;&gt;"No control",SUMIF(('Loading-drum,tote'!$B$31:$B$48),$J109,('Loading-drum,tote'!$E$31:$E$48))*Impacts!$F$13,0)),0)</f>
        <v>0</v>
      </c>
      <c r="R109" s="10">
        <f>IFERROR(IF(('Loading-truck'!$C$21)="No control",SUMIF(('Loading-truck'!$B$31:$B$48),$J109,('Loading-truck'!$D$31:$D$48))*Impacts!$F$14,IF(('Loading-truck'!$C$21)&lt;&gt;"No control",SUMIF(('Loading-truck'!$B$31:$B$48),$J109,('Loading-truck'!$E$31:$E$48))*Impacts!$F$14,0)),0)</f>
        <v>0</v>
      </c>
      <c r="S109" s="10">
        <f>IFERROR(IF(('Loading-rail'!$C$21)="No control",SUMIF(('Loading-rail'!$B$31:$B$48),$J109,('Loading-rail'!$D$31:$D$48))*Impacts!$F$15,IF(('Loading-rail'!$C$21)&lt;&gt;"No control",SUMIF(('Loading-rail'!$B$31:$B$48),$J109,('Loading-rail'!$E$31:$E$48))*Impacts!$F$15,0)),0)</f>
        <v>0</v>
      </c>
      <c r="T109" s="10">
        <f>IF(Flare!$C$7="",0,(SUMIF(Flare!$B$46:$B$185,$J109,Flare!$E$46:$E$185)*Impacts!$F$16))</f>
        <v>0</v>
      </c>
      <c r="U109" s="10">
        <f>IF(VCU!$C$9="",0,(SUMIF(VCU!$B$51:$B$193,$J109,VCU!$E$51:$E$193)*Impacts!$F$17))</f>
        <v>0</v>
      </c>
      <c r="V109" s="10">
        <f>IF(CAS!$C$7="",0,(SUMIF(CAS!$B$31:$B$167,$J109,CAS!$E$31:$E$167)*Impacts!$F$18))</f>
        <v>0</v>
      </c>
      <c r="W109" s="10">
        <f t="shared" si="32"/>
        <v>0</v>
      </c>
      <c r="AA109" s="48"/>
      <c r="AB109" s="20"/>
      <c r="AC109" s="10">
        <f>IF(OR(AI109=0,AI109="",ISNUMBER(MATCH(AI109,$AI$1:AI108,0))),0,MAX($AC$1:AC108)+1)</f>
        <v>0</v>
      </c>
      <c r="AD109" s="10">
        <f>IF(OR(AJ109=0,AJ109="",ISNUMBER(MATCH(AJ109,$AJ$1:AJ108,0))),0,MAX($AD$1:AD108)+1)</f>
        <v>0</v>
      </c>
      <c r="AE109" s="10">
        <f>IF(OR(AK109=0,AK109="",ISNUMBER(MATCH(AK109,$AK$1:AK108,0))),0,MAX($AE$1:AE108)+1)</f>
        <v>0</v>
      </c>
      <c r="AF109" s="10">
        <f>IF(OR(AH109=0,ISNUMBER(MATCH(AH109,$AH$1:AH108,0))),0,MAX($AF$1:AF108)+1)</f>
        <v>0</v>
      </c>
      <c r="AG109" s="45">
        <f>'Loading-truck'!$C$21</f>
        <v>0</v>
      </c>
      <c r="AH109" s="45">
        <f>'Loading-truck'!A37</f>
        <v>0</v>
      </c>
      <c r="AI109" s="10" t="str">
        <f t="shared" si="34"/>
        <v/>
      </c>
      <c r="AJ109" s="10" t="str">
        <f t="shared" si="34"/>
        <v/>
      </c>
      <c r="AK109" s="10" t="str">
        <f t="shared" si="34"/>
        <v/>
      </c>
      <c r="AL109" s="17" t="str">
        <f t="shared" si="35"/>
        <v/>
      </c>
      <c r="AM109" s="20" t="str">
        <f t="shared" si="36"/>
        <v/>
      </c>
      <c r="AN109" s="10" t="str">
        <f t="shared" si="37"/>
        <v/>
      </c>
      <c r="AO109" s="17" t="str">
        <f t="shared" si="38"/>
        <v/>
      </c>
      <c r="BE109" s="10"/>
      <c r="BI109" s="10"/>
    </row>
    <row r="110" spans="1:69" ht="21" customHeight="1" x14ac:dyDescent="0.25">
      <c r="A110" s="10"/>
      <c r="B110" s="16" t="s">
        <v>118</v>
      </c>
      <c r="C110" s="10">
        <v>100</v>
      </c>
      <c r="D110" s="10">
        <v>249</v>
      </c>
      <c r="E110" s="17">
        <v>249</v>
      </c>
      <c r="I110" s="436" t="s">
        <v>2197</v>
      </c>
      <c r="J110" s="26" t="s">
        <v>2196</v>
      </c>
      <c r="K110" s="10">
        <v>14</v>
      </c>
      <c r="L110" s="73">
        <f>IF(Tank1!$C$23="No control",(SUMIF(Tank1!$B$32:$B$49,$J110,Tank1!$C$32:$C$49)*Impacts!$F$8),0)</f>
        <v>0</v>
      </c>
      <c r="M110" s="10">
        <f>IF(Tank2!$C$23="No control",(SUMIF(Tank2!$B$32:$B$49,$J110,Tank2!$C$32:$C$49)*Impacts!$F$9),0)</f>
        <v>0</v>
      </c>
      <c r="N110" s="10">
        <f>IF(Tank3!$C$23="No control",(SUMIF(Tank3!$B$32:$B$49,$J110,Tank3!$C$32:$C$49)*Impacts!$F$10),0)</f>
        <v>0</v>
      </c>
      <c r="O110" s="10">
        <f>IF(Tank4!$C$23="No control",(SUMIF(Tank4!$B$32:$B$49,$J110,Tank4!$C$32:$C$49)*Impacts!$F$11),0)</f>
        <v>0</v>
      </c>
      <c r="P110" s="10">
        <f>IF(Tank5!$C$23="No control",(SUMIF(Tank5!$B$32:$B$49,$J110,Tank5!$C$32:$C$49)*Impacts!$F$12),0)</f>
        <v>0</v>
      </c>
      <c r="Q110" s="10">
        <f>IFERROR(IF(('Loading-drum,tote'!$C$21)="No control",SUMIF(('Loading-drum,tote'!$B$31:$B$48),$J110,('Loading-drum,tote'!$D$31:$D$48))*Impacts!$F$13,IF(('Loading-drum,tote'!$C$21)&lt;&gt;"No control",SUMIF(('Loading-drum,tote'!$B$31:$B$48),$J110,('Loading-drum,tote'!$E$31:$E$48))*Impacts!$F$13,0)),0)</f>
        <v>0</v>
      </c>
      <c r="R110" s="10">
        <f>IFERROR(IF(('Loading-truck'!$C$21)="No control",SUMIF(('Loading-truck'!$B$31:$B$48),$J110,('Loading-truck'!$D$31:$D$48))*Impacts!$F$14,IF(('Loading-truck'!$C$21)&lt;&gt;"No control",SUMIF(('Loading-truck'!$B$31:$B$48),$J110,('Loading-truck'!$E$31:$E$48))*Impacts!$F$14,0)),0)</f>
        <v>0</v>
      </c>
      <c r="S110" s="10">
        <f>IFERROR(IF(('Loading-rail'!$C$21)="No control",SUMIF(('Loading-rail'!$B$31:$B$48),$J110,('Loading-rail'!$D$31:$D$48))*Impacts!$F$15,IF(('Loading-rail'!$C$21)&lt;&gt;"No control",SUMIF(('Loading-rail'!$B$31:$B$48),$J110,('Loading-rail'!$E$31:$E$48))*Impacts!$F$15,0)),0)</f>
        <v>0</v>
      </c>
      <c r="T110" s="10">
        <f>IF(Flare!$C$7="",0,(SUMIF(Flare!$B$46:$B$185,$J110,Flare!$E$46:$E$185)*Impacts!$F$16))</f>
        <v>0</v>
      </c>
      <c r="U110" s="10">
        <f>IF(VCU!$C$9="",0,(SUMIF(VCU!$B$51:$B$193,$J110,VCU!$E$51:$E$193)*Impacts!$F$17))</f>
        <v>0</v>
      </c>
      <c r="V110" s="10">
        <f>IF(CAS!$C$7="",0,(SUMIF(CAS!$B$31:$B$167,$J110,CAS!$E$31:$E$167)*Impacts!$F$18))</f>
        <v>0</v>
      </c>
      <c r="W110" s="10">
        <f t="shared" si="32"/>
        <v>0</v>
      </c>
      <c r="AA110" s="48"/>
      <c r="AB110" s="20"/>
      <c r="AC110" s="10">
        <f>IF(OR(AI110=0,AI110="",ISNUMBER(MATCH(AI110,$AI$1:AI109,0))),0,MAX($AC$1:AC109)+1)</f>
        <v>0</v>
      </c>
      <c r="AD110" s="10">
        <f>IF(OR(AJ110=0,AJ110="",ISNUMBER(MATCH(AJ110,$AJ$1:AJ109,0))),0,MAX($AD$1:AD109)+1)</f>
        <v>0</v>
      </c>
      <c r="AE110" s="10">
        <f>IF(OR(AK110=0,AK110="",ISNUMBER(MATCH(AK110,$AK$1:AK109,0))),0,MAX($AE$1:AE109)+1)</f>
        <v>0</v>
      </c>
      <c r="AF110" s="10">
        <f>IF(OR(AH110=0,ISNUMBER(MATCH(AH110,$AH$1:AH109,0))),0,MAX($AF$1:AF109)+1)</f>
        <v>0</v>
      </c>
      <c r="AG110" s="45">
        <f>'Loading-truck'!$C$21</f>
        <v>0</v>
      </c>
      <c r="AH110" s="45">
        <f>'Loading-truck'!A38</f>
        <v>0</v>
      </c>
      <c r="AI110" s="10" t="str">
        <f t="shared" si="34"/>
        <v/>
      </c>
      <c r="AJ110" s="10" t="str">
        <f t="shared" si="34"/>
        <v/>
      </c>
      <c r="AK110" s="10" t="str">
        <f t="shared" si="34"/>
        <v/>
      </c>
      <c r="AL110" s="17" t="str">
        <f t="shared" si="35"/>
        <v/>
      </c>
      <c r="AM110" s="20" t="str">
        <f t="shared" si="36"/>
        <v/>
      </c>
      <c r="AN110" s="10" t="str">
        <f t="shared" si="37"/>
        <v/>
      </c>
      <c r="AO110" s="17" t="str">
        <f t="shared" si="38"/>
        <v/>
      </c>
      <c r="BE110" s="10"/>
      <c r="BI110" s="10"/>
    </row>
    <row r="111" spans="1:69" ht="21" customHeight="1" x14ac:dyDescent="0.25">
      <c r="A111" s="10"/>
      <c r="B111" s="16" t="s">
        <v>119</v>
      </c>
      <c r="C111" s="10">
        <v>100</v>
      </c>
      <c r="D111" s="10">
        <v>249</v>
      </c>
      <c r="E111" s="17">
        <v>249</v>
      </c>
      <c r="I111" s="436" t="s">
        <v>4647</v>
      </c>
      <c r="J111" s="26" t="s">
        <v>4646</v>
      </c>
      <c r="K111" s="10">
        <v>3.8000000000000003</v>
      </c>
      <c r="L111" s="73">
        <f>IF(Tank1!$C$23="No control",(SUMIF(Tank1!$B$32:$B$49,$J111,Tank1!$C$32:$C$49)*Impacts!$F$8),0)</f>
        <v>0</v>
      </c>
      <c r="M111" s="10">
        <f>IF(Tank2!$C$23="No control",(SUMIF(Tank2!$B$32:$B$49,$J111,Tank2!$C$32:$C$49)*Impacts!$F$9),0)</f>
        <v>0</v>
      </c>
      <c r="N111" s="10">
        <f>IF(Tank3!$C$23="No control",(SUMIF(Tank3!$B$32:$B$49,$J111,Tank3!$C$32:$C$49)*Impacts!$F$10),0)</f>
        <v>0</v>
      </c>
      <c r="O111" s="10">
        <f>IF(Tank4!$C$23="No control",(SUMIF(Tank4!$B$32:$B$49,$J111,Tank4!$C$32:$C$49)*Impacts!$F$11),0)</f>
        <v>0</v>
      </c>
      <c r="P111" s="10">
        <f>IF(Tank5!$C$23="No control",(SUMIF(Tank5!$B$32:$B$49,$J111,Tank5!$C$32:$C$49)*Impacts!$F$12),0)</f>
        <v>0</v>
      </c>
      <c r="Q111" s="10">
        <f>IFERROR(IF(('Loading-drum,tote'!$C$21)="No control",SUMIF(('Loading-drum,tote'!$B$31:$B$48),$J111,('Loading-drum,tote'!$D$31:$D$48))*Impacts!$F$13,IF(('Loading-drum,tote'!$C$21)&lt;&gt;"No control",SUMIF(('Loading-drum,tote'!$B$31:$B$48),$J111,('Loading-drum,tote'!$E$31:$E$48))*Impacts!$F$13,0)),0)</f>
        <v>0</v>
      </c>
      <c r="R111" s="10">
        <f>IFERROR(IF(('Loading-truck'!$C$21)="No control",SUMIF(('Loading-truck'!$B$31:$B$48),$J111,('Loading-truck'!$D$31:$D$48))*Impacts!$F$14,IF(('Loading-truck'!$C$21)&lt;&gt;"No control",SUMIF(('Loading-truck'!$B$31:$B$48),$J111,('Loading-truck'!$E$31:$E$48))*Impacts!$F$14,0)),0)</f>
        <v>0</v>
      </c>
      <c r="S111" s="10">
        <f>IFERROR(IF(('Loading-rail'!$C$21)="No control",SUMIF(('Loading-rail'!$B$31:$B$48),$J111,('Loading-rail'!$D$31:$D$48))*Impacts!$F$15,IF(('Loading-rail'!$C$21)&lt;&gt;"No control",SUMIF(('Loading-rail'!$B$31:$B$48),$J111,('Loading-rail'!$E$31:$E$48))*Impacts!$F$15,0)),0)</f>
        <v>0</v>
      </c>
      <c r="T111" s="10">
        <f>IF(Flare!$C$7="",0,(SUMIF(Flare!$B$46:$B$185,$J111,Flare!$E$46:$E$185)*Impacts!$F$16))</f>
        <v>0</v>
      </c>
      <c r="U111" s="10">
        <f>IF(VCU!$C$9="",0,(SUMIF(VCU!$B$51:$B$193,$J111,VCU!$E$51:$E$193)*Impacts!$F$17))</f>
        <v>0</v>
      </c>
      <c r="V111" s="10">
        <f>IF(CAS!$C$7="",0,(SUMIF(CAS!$B$31:$B$167,$J111,CAS!$E$31:$E$167)*Impacts!$F$18))</f>
        <v>0</v>
      </c>
      <c r="W111" s="10">
        <f t="shared" si="32"/>
        <v>0</v>
      </c>
      <c r="AA111" s="48"/>
      <c r="AB111" s="20"/>
      <c r="AC111" s="10">
        <f>IF(OR(AI111=0,AI111="",ISNUMBER(MATCH(AI111,$AI$1:AI110,0))),0,MAX($AC$1:AC110)+1)</f>
        <v>0</v>
      </c>
      <c r="AD111" s="10">
        <f>IF(OR(AJ111=0,AJ111="",ISNUMBER(MATCH(AJ111,$AJ$1:AJ110,0))),0,MAX($AD$1:AD110)+1)</f>
        <v>0</v>
      </c>
      <c r="AE111" s="10">
        <f>IF(OR(AK111=0,AK111="",ISNUMBER(MATCH(AK111,$AK$1:AK110,0))),0,MAX($AE$1:AE110)+1)</f>
        <v>0</v>
      </c>
      <c r="AF111" s="10">
        <f>IF(OR(AH111=0,ISNUMBER(MATCH(AH111,$AH$1:AH110,0))),0,MAX($AF$1:AF110)+1)</f>
        <v>0</v>
      </c>
      <c r="AG111" s="45">
        <f>'Loading-truck'!$C$21</f>
        <v>0</v>
      </c>
      <c r="AH111" s="45">
        <f>'Loading-truck'!A39</f>
        <v>0</v>
      </c>
      <c r="AI111" s="10" t="str">
        <f t="shared" si="34"/>
        <v/>
      </c>
      <c r="AJ111" s="10" t="str">
        <f t="shared" si="34"/>
        <v/>
      </c>
      <c r="AK111" s="10" t="str">
        <f t="shared" si="34"/>
        <v/>
      </c>
      <c r="AL111" s="17" t="str">
        <f t="shared" si="35"/>
        <v/>
      </c>
      <c r="AM111" s="20" t="str">
        <f t="shared" si="36"/>
        <v/>
      </c>
      <c r="AN111" s="10" t="str">
        <f t="shared" si="37"/>
        <v/>
      </c>
      <c r="AO111" s="17" t="str">
        <f t="shared" si="38"/>
        <v/>
      </c>
      <c r="BE111" s="10"/>
      <c r="BI111" s="10"/>
    </row>
    <row r="112" spans="1:69" ht="21" customHeight="1" x14ac:dyDescent="0.25">
      <c r="A112" s="10"/>
      <c r="B112" s="16" t="s">
        <v>120</v>
      </c>
      <c r="C112" s="10">
        <v>100</v>
      </c>
      <c r="D112" s="10">
        <v>249</v>
      </c>
      <c r="E112" s="17">
        <v>249</v>
      </c>
      <c r="I112" s="436" t="s">
        <v>2063</v>
      </c>
      <c r="J112" s="26" t="s">
        <v>2062</v>
      </c>
      <c r="K112" s="10">
        <v>15</v>
      </c>
      <c r="L112" s="73">
        <f>IF(Tank1!$C$23="No control",(SUMIF(Tank1!$B$32:$B$49,$J112,Tank1!$C$32:$C$49)*Impacts!$F$8),0)</f>
        <v>0</v>
      </c>
      <c r="M112" s="10">
        <f>IF(Tank2!$C$23="No control",(SUMIF(Tank2!$B$32:$B$49,$J112,Tank2!$C$32:$C$49)*Impacts!$F$9),0)</f>
        <v>0</v>
      </c>
      <c r="N112" s="10">
        <f>IF(Tank3!$C$23="No control",(SUMIF(Tank3!$B$32:$B$49,$J112,Tank3!$C$32:$C$49)*Impacts!$F$10),0)</f>
        <v>0</v>
      </c>
      <c r="O112" s="10">
        <f>IF(Tank4!$C$23="No control",(SUMIF(Tank4!$B$32:$B$49,$J112,Tank4!$C$32:$C$49)*Impacts!$F$11),0)</f>
        <v>0</v>
      </c>
      <c r="P112" s="10">
        <f>IF(Tank5!$C$23="No control",(SUMIF(Tank5!$B$32:$B$49,$J112,Tank5!$C$32:$C$49)*Impacts!$F$12),0)</f>
        <v>0</v>
      </c>
      <c r="Q112" s="10">
        <f>IFERROR(IF(('Loading-drum,tote'!$C$21)="No control",SUMIF(('Loading-drum,tote'!$B$31:$B$48),$J112,('Loading-drum,tote'!$D$31:$D$48))*Impacts!$F$13,IF(('Loading-drum,tote'!$C$21)&lt;&gt;"No control",SUMIF(('Loading-drum,tote'!$B$31:$B$48),$J112,('Loading-drum,tote'!$E$31:$E$48))*Impacts!$F$13,0)),0)</f>
        <v>0</v>
      </c>
      <c r="R112" s="10">
        <f>IFERROR(IF(('Loading-truck'!$C$21)="No control",SUMIF(('Loading-truck'!$B$31:$B$48),$J112,('Loading-truck'!$D$31:$D$48))*Impacts!$F$14,IF(('Loading-truck'!$C$21)&lt;&gt;"No control",SUMIF(('Loading-truck'!$B$31:$B$48),$J112,('Loading-truck'!$E$31:$E$48))*Impacts!$F$14,0)),0)</f>
        <v>0</v>
      </c>
      <c r="S112" s="10">
        <f>IFERROR(IF(('Loading-rail'!$C$21)="No control",SUMIF(('Loading-rail'!$B$31:$B$48),$J112,('Loading-rail'!$D$31:$D$48))*Impacts!$F$15,IF(('Loading-rail'!$C$21)&lt;&gt;"No control",SUMIF(('Loading-rail'!$B$31:$B$48),$J112,('Loading-rail'!$E$31:$E$48))*Impacts!$F$15,0)),0)</f>
        <v>0</v>
      </c>
      <c r="T112" s="10">
        <f>IF(Flare!$C$7="",0,(SUMIF(Flare!$B$46:$B$185,$J112,Flare!$E$46:$E$185)*Impacts!$F$16))</f>
        <v>0</v>
      </c>
      <c r="U112" s="10">
        <f>IF(VCU!$C$9="",0,(SUMIF(VCU!$B$51:$B$193,$J112,VCU!$E$51:$E$193)*Impacts!$F$17))</f>
        <v>0</v>
      </c>
      <c r="V112" s="10">
        <f>IF(CAS!$C$7="",0,(SUMIF(CAS!$B$31:$B$167,$J112,CAS!$E$31:$E$167)*Impacts!$F$18))</f>
        <v>0</v>
      </c>
      <c r="W112" s="10">
        <f t="shared" si="32"/>
        <v>0</v>
      </c>
      <c r="AA112" s="48"/>
      <c r="AB112" s="20"/>
      <c r="AC112" s="10">
        <f>IF(OR(AI112=0,AI112="",ISNUMBER(MATCH(AI112,$AI$1:AI111,0))),0,MAX($AC$1:AC111)+1)</f>
        <v>0</v>
      </c>
      <c r="AD112" s="10">
        <f>IF(OR(AJ112=0,AJ112="",ISNUMBER(MATCH(AJ112,$AJ$1:AJ111,0))),0,MAX($AD$1:AD111)+1)</f>
        <v>0</v>
      </c>
      <c r="AE112" s="10">
        <f>IF(OR(AK112=0,AK112="",ISNUMBER(MATCH(AK112,$AK$1:AK111,0))),0,MAX($AE$1:AE111)+1)</f>
        <v>0</v>
      </c>
      <c r="AF112" s="10">
        <f>IF(OR(AH112=0,ISNUMBER(MATCH(AH112,$AH$1:AH111,0))),0,MAX($AF$1:AF111)+1)</f>
        <v>0</v>
      </c>
      <c r="AG112" s="45">
        <f>'Loading-truck'!$C$21</f>
        <v>0</v>
      </c>
      <c r="AH112" s="45">
        <f>'Loading-truck'!A40</f>
        <v>0</v>
      </c>
      <c r="AI112" s="10" t="str">
        <f t="shared" si="34"/>
        <v/>
      </c>
      <c r="AJ112" s="10" t="str">
        <f t="shared" si="34"/>
        <v/>
      </c>
      <c r="AK112" s="10" t="str">
        <f t="shared" si="34"/>
        <v/>
      </c>
      <c r="AL112" s="17" t="str">
        <f t="shared" si="35"/>
        <v/>
      </c>
      <c r="AM112" s="20" t="str">
        <f t="shared" si="36"/>
        <v/>
      </c>
      <c r="AN112" s="10" t="str">
        <f t="shared" si="37"/>
        <v/>
      </c>
      <c r="AO112" s="17" t="str">
        <f t="shared" si="38"/>
        <v/>
      </c>
      <c r="BE112" s="10"/>
      <c r="BI112" s="10"/>
    </row>
    <row r="113" spans="1:61" ht="21" customHeight="1" x14ac:dyDescent="0.25">
      <c r="A113" s="10"/>
      <c r="B113" s="16" t="s">
        <v>121</v>
      </c>
      <c r="C113" s="10">
        <v>100</v>
      </c>
      <c r="D113" s="10">
        <v>249</v>
      </c>
      <c r="E113" s="17">
        <v>249</v>
      </c>
      <c r="I113" s="436" t="s">
        <v>928</v>
      </c>
      <c r="J113" s="26" t="s">
        <v>927</v>
      </c>
      <c r="K113" s="10">
        <v>43</v>
      </c>
      <c r="L113" s="73">
        <f>IF(Tank1!$C$23="No control",(SUMIF(Tank1!$B$32:$B$49,$J113,Tank1!$C$32:$C$49)*Impacts!$F$8),0)</f>
        <v>0</v>
      </c>
      <c r="M113" s="10">
        <f>IF(Tank2!$C$23="No control",(SUMIF(Tank2!$B$32:$B$49,$J113,Tank2!$C$32:$C$49)*Impacts!$F$9),0)</f>
        <v>0</v>
      </c>
      <c r="N113" s="10">
        <f>IF(Tank3!$C$23="No control",(SUMIF(Tank3!$B$32:$B$49,$J113,Tank3!$C$32:$C$49)*Impacts!$F$10),0)</f>
        <v>0</v>
      </c>
      <c r="O113" s="10">
        <f>IF(Tank4!$C$23="No control",(SUMIF(Tank4!$B$32:$B$49,$J113,Tank4!$C$32:$C$49)*Impacts!$F$11),0)</f>
        <v>0</v>
      </c>
      <c r="P113" s="10">
        <f>IF(Tank5!$C$23="No control",(SUMIF(Tank5!$B$32:$B$49,$J113,Tank5!$C$32:$C$49)*Impacts!$F$12),0)</f>
        <v>0</v>
      </c>
      <c r="Q113" s="10">
        <f>IFERROR(IF(('Loading-drum,tote'!$C$21)="No control",SUMIF(('Loading-drum,tote'!$B$31:$B$48),$J113,('Loading-drum,tote'!$D$31:$D$48))*Impacts!$F$13,IF(('Loading-drum,tote'!$C$21)&lt;&gt;"No control",SUMIF(('Loading-drum,tote'!$B$31:$B$48),$J113,('Loading-drum,tote'!$E$31:$E$48))*Impacts!$F$13,0)),0)</f>
        <v>0</v>
      </c>
      <c r="R113" s="10">
        <f>IFERROR(IF(('Loading-truck'!$C$21)="No control",SUMIF(('Loading-truck'!$B$31:$B$48),$J113,('Loading-truck'!$D$31:$D$48))*Impacts!$F$14,IF(('Loading-truck'!$C$21)&lt;&gt;"No control",SUMIF(('Loading-truck'!$B$31:$B$48),$J113,('Loading-truck'!$E$31:$E$48))*Impacts!$F$14,0)),0)</f>
        <v>0</v>
      </c>
      <c r="S113" s="10">
        <f>IFERROR(IF(('Loading-rail'!$C$21)="No control",SUMIF(('Loading-rail'!$B$31:$B$48),$J113,('Loading-rail'!$D$31:$D$48))*Impacts!$F$15,IF(('Loading-rail'!$C$21)&lt;&gt;"No control",SUMIF(('Loading-rail'!$B$31:$B$48),$J113,('Loading-rail'!$E$31:$E$48))*Impacts!$F$15,0)),0)</f>
        <v>0</v>
      </c>
      <c r="T113" s="10">
        <f>IF(Flare!$C$7="",0,(SUMIF(Flare!$B$46:$B$185,$J113,Flare!$E$46:$E$185)*Impacts!$F$16))</f>
        <v>0</v>
      </c>
      <c r="U113" s="10">
        <f>IF(VCU!$C$9="",0,(SUMIF(VCU!$B$51:$B$193,$J113,VCU!$E$51:$E$193)*Impacts!$F$17))</f>
        <v>0</v>
      </c>
      <c r="V113" s="10">
        <f>IF(CAS!$C$7="",0,(SUMIF(CAS!$B$31:$B$167,$J113,CAS!$E$31:$E$167)*Impacts!$F$18))</f>
        <v>0</v>
      </c>
      <c r="W113" s="10" t="e">
        <f>#NULL!</f>
        <v>#NULL!</v>
      </c>
      <c r="AA113" s="48"/>
      <c r="AB113" s="20"/>
      <c r="AC113" s="10">
        <f>IF(OR(AI113=0,AI113="",ISNUMBER(MATCH(AI113,$AI$1:AI112,0))),0,MAX($AC$1:AC112)+1)</f>
        <v>0</v>
      </c>
      <c r="AD113" s="10">
        <f>IF(OR(AJ113=0,AJ113="",ISNUMBER(MATCH(AJ113,$AJ$1:AJ112,0))),0,MAX($AD$1:AD112)+1)</f>
        <v>0</v>
      </c>
      <c r="AE113" s="10">
        <f>IF(OR(AK113=0,AK113="",ISNUMBER(MATCH(AK113,$AK$1:AK112,0))),0,MAX($AE$1:AE112)+1)</f>
        <v>0</v>
      </c>
      <c r="AF113" s="10">
        <f>IF(OR(AH113=0,ISNUMBER(MATCH(AH113,$AH$1:AH112,0))),0,MAX($AF$1:AF112)+1)</f>
        <v>0</v>
      </c>
      <c r="AG113" s="45">
        <f>'Loading-truck'!$C$21</f>
        <v>0</v>
      </c>
      <c r="AH113" s="45">
        <f>'Loading-truck'!A41</f>
        <v>0</v>
      </c>
      <c r="AI113" s="10" t="str">
        <f t="shared" si="34"/>
        <v/>
      </c>
      <c r="AJ113" s="10" t="str">
        <f t="shared" si="34"/>
        <v/>
      </c>
      <c r="AK113" s="10" t="str">
        <f t="shared" si="34"/>
        <v/>
      </c>
      <c r="AL113" s="17" t="str">
        <f t="shared" si="35"/>
        <v/>
      </c>
      <c r="AM113" s="20" t="str">
        <f t="shared" si="36"/>
        <v/>
      </c>
      <c r="AN113" s="10" t="str">
        <f t="shared" si="37"/>
        <v/>
      </c>
      <c r="AO113" s="17" t="str">
        <f t="shared" si="38"/>
        <v/>
      </c>
      <c r="BE113" s="10"/>
      <c r="BI113" s="10"/>
    </row>
    <row r="114" spans="1:61" ht="21" customHeight="1" x14ac:dyDescent="0.25">
      <c r="A114" s="10"/>
      <c r="B114" s="16" t="s">
        <v>122</v>
      </c>
      <c r="C114" s="10">
        <v>100</v>
      </c>
      <c r="D114" s="10">
        <v>249</v>
      </c>
      <c r="E114" s="17">
        <v>249</v>
      </c>
      <c r="I114" s="436" t="s">
        <v>5652</v>
      </c>
      <c r="J114" s="26" t="s">
        <v>5651</v>
      </c>
      <c r="K114" s="10">
        <v>1</v>
      </c>
      <c r="L114" s="73">
        <f>IF(Tank1!$C$23="No control",(SUMIF(Tank1!$B$32:$B$49,$J114,Tank1!$C$32:$C$49)*Impacts!$F$8),0)</f>
        <v>0</v>
      </c>
      <c r="M114" s="10">
        <f>IF(Tank2!$C$23="No control",(SUMIF(Tank2!$B$32:$B$49,$J114,Tank2!$C$32:$C$49)*Impacts!$F$9),0)</f>
        <v>0</v>
      </c>
      <c r="N114" s="10">
        <f>IF(Tank3!$C$23="No control",(SUMIF(Tank3!$B$32:$B$49,$J114,Tank3!$C$32:$C$49)*Impacts!$F$10),0)</f>
        <v>0</v>
      </c>
      <c r="O114" s="10">
        <f>IF(Tank4!$C$23="No control",(SUMIF(Tank4!$B$32:$B$49,$J114,Tank4!$C$32:$C$49)*Impacts!$F$11),0)</f>
        <v>0</v>
      </c>
      <c r="P114" s="10">
        <f>IF(Tank5!$C$23="No control",(SUMIF(Tank5!$B$32:$B$49,$J114,Tank5!$C$32:$C$49)*Impacts!$F$12),0)</f>
        <v>0</v>
      </c>
      <c r="Q114" s="10">
        <f>IFERROR(IF(('Loading-drum,tote'!$C$21)="No control",SUMIF(('Loading-drum,tote'!$B$31:$B$48),$J114,('Loading-drum,tote'!$D$31:$D$48))*Impacts!$F$13,IF(('Loading-drum,tote'!$C$21)&lt;&gt;"No control",SUMIF(('Loading-drum,tote'!$B$31:$B$48),$J114,('Loading-drum,tote'!$E$31:$E$48))*Impacts!$F$13,0)),0)</f>
        <v>0</v>
      </c>
      <c r="R114" s="10">
        <f>IFERROR(IF(('Loading-truck'!$C$21)="No control",SUMIF(('Loading-truck'!$B$31:$B$48),$J114,('Loading-truck'!$D$31:$D$48))*Impacts!$F$14,IF(('Loading-truck'!$C$21)&lt;&gt;"No control",SUMIF(('Loading-truck'!$B$31:$B$48),$J114,('Loading-truck'!$E$31:$E$48))*Impacts!$F$14,0)),0)</f>
        <v>0</v>
      </c>
      <c r="S114" s="10">
        <f>IFERROR(IF(('Loading-rail'!$C$21)="No control",SUMIF(('Loading-rail'!$B$31:$B$48),$J114,('Loading-rail'!$D$31:$D$48))*Impacts!$F$15,IF(('Loading-rail'!$C$21)&lt;&gt;"No control",SUMIF(('Loading-rail'!$B$31:$B$48),$J114,('Loading-rail'!$E$31:$E$48))*Impacts!$F$15,0)),0)</f>
        <v>0</v>
      </c>
      <c r="T114" s="10">
        <f>IF(Flare!$C$7="",0,(SUMIF(Flare!$B$46:$B$185,$J114,Flare!$E$46:$E$185)*Impacts!$F$16))</f>
        <v>0</v>
      </c>
      <c r="U114" s="10">
        <f>IF(VCU!$C$9="",0,(SUMIF(VCU!$B$51:$B$193,$J114,VCU!$E$51:$E$193)*Impacts!$F$17))</f>
        <v>0</v>
      </c>
      <c r="V114" s="10">
        <f>IF(CAS!$C$7="",0,(SUMIF(CAS!$B$31:$B$167,$J114,CAS!$E$31:$E$167)*Impacts!$F$18))</f>
        <v>0</v>
      </c>
      <c r="W114" s="10">
        <f t="shared" si="32"/>
        <v>0</v>
      </c>
      <c r="AA114" s="48"/>
      <c r="AB114" s="20"/>
      <c r="AC114" s="10">
        <f>IF(OR(AI114=0,AI114="",ISNUMBER(MATCH(AI114,$AI$1:AI113,0))),0,MAX($AC$1:AC113)+1)</f>
        <v>0</v>
      </c>
      <c r="AD114" s="10">
        <f>IF(OR(AJ114=0,AJ114="",ISNUMBER(MATCH(AJ114,$AJ$1:AJ113,0))),0,MAX($AD$1:AD113)+1)</f>
        <v>0</v>
      </c>
      <c r="AE114" s="10">
        <f>IF(OR(AK114=0,AK114="",ISNUMBER(MATCH(AK114,$AK$1:AK113,0))),0,MAX($AE$1:AE113)+1)</f>
        <v>0</v>
      </c>
      <c r="AF114" s="10">
        <f>IF(OR(AH114=0,ISNUMBER(MATCH(AH114,$AH$1:AH113,0))),0,MAX($AF$1:AF113)+1)</f>
        <v>0</v>
      </c>
      <c r="AG114" s="45">
        <f>'Loading-truck'!$C$21</f>
        <v>0</v>
      </c>
      <c r="AH114" s="45">
        <f>'Loading-truck'!A42</f>
        <v>0</v>
      </c>
      <c r="AI114" s="10" t="str">
        <f t="shared" si="34"/>
        <v/>
      </c>
      <c r="AJ114" s="10" t="str">
        <f t="shared" si="34"/>
        <v/>
      </c>
      <c r="AK114" s="10" t="str">
        <f t="shared" si="34"/>
        <v/>
      </c>
      <c r="AL114" s="17" t="str">
        <f t="shared" si="35"/>
        <v/>
      </c>
      <c r="AM114" s="20" t="str">
        <f t="shared" si="36"/>
        <v/>
      </c>
      <c r="AN114" s="10" t="str">
        <f t="shared" si="37"/>
        <v/>
      </c>
      <c r="AO114" s="17" t="str">
        <f t="shared" si="38"/>
        <v/>
      </c>
      <c r="BE114" s="10"/>
      <c r="BI114" s="10"/>
    </row>
    <row r="115" spans="1:61" ht="21" customHeight="1" x14ac:dyDescent="0.25">
      <c r="A115" s="10"/>
      <c r="B115" s="16" t="s">
        <v>123</v>
      </c>
      <c r="C115" s="10">
        <v>100</v>
      </c>
      <c r="D115" s="10">
        <v>249</v>
      </c>
      <c r="E115" s="17">
        <v>249</v>
      </c>
      <c r="I115" s="436" t="s">
        <v>2677</v>
      </c>
      <c r="J115" s="26" t="s">
        <v>2676</v>
      </c>
      <c r="K115" s="10">
        <v>10</v>
      </c>
      <c r="L115" s="73">
        <f>IF(Tank1!$C$23="No control",(SUMIF(Tank1!$B$32:$B$49,$J115,Tank1!$C$32:$C$49)*Impacts!$F$8),0)</f>
        <v>0</v>
      </c>
      <c r="M115" s="10">
        <f>IF(Tank2!$C$23="No control",(SUMIF(Tank2!$B$32:$B$49,$J115,Tank2!$C$32:$C$49)*Impacts!$F$9),0)</f>
        <v>0</v>
      </c>
      <c r="N115" s="10">
        <f>IF(Tank3!$C$23="No control",(SUMIF(Tank3!$B$32:$B$49,$J115,Tank3!$C$32:$C$49)*Impacts!$F$10),0)</f>
        <v>0</v>
      </c>
      <c r="O115" s="10">
        <f>IF(Tank4!$C$23="No control",(SUMIF(Tank4!$B$32:$B$49,$J115,Tank4!$C$32:$C$49)*Impacts!$F$11),0)</f>
        <v>0</v>
      </c>
      <c r="P115" s="10">
        <f>IF(Tank5!$C$23="No control",(SUMIF(Tank5!$B$32:$B$49,$J115,Tank5!$C$32:$C$49)*Impacts!$F$12),0)</f>
        <v>0</v>
      </c>
      <c r="Q115" s="10">
        <f>IFERROR(IF(('Loading-drum,tote'!$C$21)="No control",SUMIF(('Loading-drum,tote'!$B$31:$B$48),$J115,('Loading-drum,tote'!$D$31:$D$48))*Impacts!$F$13,IF(('Loading-drum,tote'!$C$21)&lt;&gt;"No control",SUMIF(('Loading-drum,tote'!$B$31:$B$48),$J115,('Loading-drum,tote'!$E$31:$E$48))*Impacts!$F$13,0)),0)</f>
        <v>0</v>
      </c>
      <c r="R115" s="10">
        <f>IFERROR(IF(('Loading-truck'!$C$21)="No control",SUMIF(('Loading-truck'!$B$31:$B$48),$J115,('Loading-truck'!$D$31:$D$48))*Impacts!$F$14,IF(('Loading-truck'!$C$21)&lt;&gt;"No control",SUMIF(('Loading-truck'!$B$31:$B$48),$J115,('Loading-truck'!$E$31:$E$48))*Impacts!$F$14,0)),0)</f>
        <v>0</v>
      </c>
      <c r="S115" s="10">
        <f>IFERROR(IF(('Loading-rail'!$C$21)="No control",SUMIF(('Loading-rail'!$B$31:$B$48),$J115,('Loading-rail'!$D$31:$D$48))*Impacts!$F$15,IF(('Loading-rail'!$C$21)&lt;&gt;"No control",SUMIF(('Loading-rail'!$B$31:$B$48),$J115,('Loading-rail'!$E$31:$E$48))*Impacts!$F$15,0)),0)</f>
        <v>0</v>
      </c>
      <c r="T115" s="10">
        <f>IF(Flare!$C$7="",0,(SUMIF(Flare!$B$46:$B$185,$J115,Flare!$E$46:$E$185)*Impacts!$F$16))</f>
        <v>0</v>
      </c>
      <c r="U115" s="10">
        <f>IF(VCU!$C$9="",0,(SUMIF(VCU!$B$51:$B$193,$J115,VCU!$E$51:$E$193)*Impacts!$F$17))</f>
        <v>0</v>
      </c>
      <c r="V115" s="10">
        <f>IF(CAS!$C$7="",0,(SUMIF(CAS!$B$31:$B$167,$J115,CAS!$E$31:$E$167)*Impacts!$F$18))</f>
        <v>0</v>
      </c>
      <c r="W115" s="10">
        <f t="shared" si="32"/>
        <v>0</v>
      </c>
      <c r="AA115" s="48"/>
      <c r="AB115" s="20"/>
      <c r="AC115" s="10">
        <f>IF(OR(AI115=0,AI115="",ISNUMBER(MATCH(AI115,$AI$1:AI114,0))),0,MAX($AC$1:AC114)+1)</f>
        <v>0</v>
      </c>
      <c r="AD115" s="10">
        <f>IF(OR(AJ115=0,AJ115="",ISNUMBER(MATCH(AJ115,$AJ$1:AJ114,0))),0,MAX($AD$1:AD114)+1)</f>
        <v>0</v>
      </c>
      <c r="AE115" s="10">
        <f>IF(OR(AK115=0,AK115="",ISNUMBER(MATCH(AK115,$AK$1:AK114,0))),0,MAX($AE$1:AE114)+1)</f>
        <v>0</v>
      </c>
      <c r="AF115" s="10">
        <f>IF(OR(AH115=0,ISNUMBER(MATCH(AH115,$AH$1:AH114,0))),0,MAX($AF$1:AF114)+1)</f>
        <v>0</v>
      </c>
      <c r="AG115" s="45">
        <f>'Loading-truck'!$C$21</f>
        <v>0</v>
      </c>
      <c r="AH115" s="45">
        <f>'Loading-truck'!A43</f>
        <v>0</v>
      </c>
      <c r="AI115" s="10" t="str">
        <f t="shared" si="34"/>
        <v/>
      </c>
      <c r="AJ115" s="10" t="str">
        <f t="shared" si="34"/>
        <v/>
      </c>
      <c r="AK115" s="10" t="str">
        <f t="shared" si="34"/>
        <v/>
      </c>
      <c r="AL115" s="17" t="str">
        <f t="shared" si="35"/>
        <v/>
      </c>
      <c r="AM115" s="20" t="str">
        <f t="shared" si="36"/>
        <v/>
      </c>
      <c r="AN115" s="10" t="str">
        <f t="shared" si="37"/>
        <v/>
      </c>
      <c r="AO115" s="17" t="str">
        <f t="shared" si="38"/>
        <v/>
      </c>
      <c r="BE115" s="10"/>
      <c r="BI115" s="10"/>
    </row>
    <row r="116" spans="1:61" ht="21" customHeight="1" x14ac:dyDescent="0.25">
      <c r="A116" s="10"/>
      <c r="B116" s="16" t="s">
        <v>124</v>
      </c>
      <c r="C116" s="10">
        <v>100</v>
      </c>
      <c r="D116" s="10">
        <v>249</v>
      </c>
      <c r="E116" s="17">
        <v>249</v>
      </c>
      <c r="I116" s="436" t="s">
        <v>2389</v>
      </c>
      <c r="J116" s="26" t="s">
        <v>2388</v>
      </c>
      <c r="K116" s="10">
        <v>10</v>
      </c>
      <c r="L116" s="73">
        <f>IF(Tank1!$C$23="No control",(SUMIF(Tank1!$B$32:$B$49,$J116,Tank1!$C$32:$C$49)*Impacts!$F$8),0)</f>
        <v>0</v>
      </c>
      <c r="M116" s="10">
        <f>IF(Tank2!$C$23="No control",(SUMIF(Tank2!$B$32:$B$49,$J116,Tank2!$C$32:$C$49)*Impacts!$F$9),0)</f>
        <v>0</v>
      </c>
      <c r="N116" s="10">
        <f>IF(Tank3!$C$23="No control",(SUMIF(Tank3!$B$32:$B$49,$J116,Tank3!$C$32:$C$49)*Impacts!$F$10),0)</f>
        <v>0</v>
      </c>
      <c r="O116" s="10">
        <f>IF(Tank4!$C$23="No control",(SUMIF(Tank4!$B$32:$B$49,$J116,Tank4!$C$32:$C$49)*Impacts!$F$11),0)</f>
        <v>0</v>
      </c>
      <c r="P116" s="10">
        <f>IF(Tank5!$C$23="No control",(SUMIF(Tank5!$B$32:$B$49,$J116,Tank5!$C$32:$C$49)*Impacts!$F$12),0)</f>
        <v>0</v>
      </c>
      <c r="Q116" s="10">
        <f>IFERROR(IF(('Loading-drum,tote'!$C$21)="No control",SUMIF(('Loading-drum,tote'!$B$31:$B$48),$J116,('Loading-drum,tote'!$D$31:$D$48))*Impacts!$F$13,IF(('Loading-drum,tote'!$C$21)&lt;&gt;"No control",SUMIF(('Loading-drum,tote'!$B$31:$B$48),$J116,('Loading-drum,tote'!$E$31:$E$48))*Impacts!$F$13,0)),0)</f>
        <v>0</v>
      </c>
      <c r="R116" s="10">
        <f>IFERROR(IF(('Loading-truck'!$C$21)="No control",SUMIF(('Loading-truck'!$B$31:$B$48),$J116,('Loading-truck'!$D$31:$D$48))*Impacts!$F$14,IF(('Loading-truck'!$C$21)&lt;&gt;"No control",SUMIF(('Loading-truck'!$B$31:$B$48),$J116,('Loading-truck'!$E$31:$E$48))*Impacts!$F$14,0)),0)</f>
        <v>0</v>
      </c>
      <c r="S116" s="10">
        <f>IFERROR(IF(('Loading-rail'!$C$21)="No control",SUMIF(('Loading-rail'!$B$31:$B$48),$J116,('Loading-rail'!$D$31:$D$48))*Impacts!$F$15,IF(('Loading-rail'!$C$21)&lt;&gt;"No control",SUMIF(('Loading-rail'!$B$31:$B$48),$J116,('Loading-rail'!$E$31:$E$48))*Impacts!$F$15,0)),0)</f>
        <v>0</v>
      </c>
      <c r="T116" s="10">
        <f>IF(Flare!$C$7="",0,(SUMIF(Flare!$B$46:$B$185,$J116,Flare!$E$46:$E$185)*Impacts!$F$16))</f>
        <v>0</v>
      </c>
      <c r="U116" s="10">
        <f>IF(VCU!$C$9="",0,(SUMIF(VCU!$B$51:$B$193,$J116,VCU!$E$51:$E$193)*Impacts!$F$17))</f>
        <v>0</v>
      </c>
      <c r="V116" s="10">
        <f>IF(CAS!$C$7="",0,(SUMIF(CAS!$B$31:$B$167,$J116,CAS!$E$31:$E$167)*Impacts!$F$18))</f>
        <v>0</v>
      </c>
      <c r="W116" s="10">
        <f t="shared" si="32"/>
        <v>0</v>
      </c>
      <c r="AA116" s="48"/>
      <c r="AB116" s="20"/>
      <c r="AC116" s="10">
        <f>IF(OR(AI116=0,AI116="",ISNUMBER(MATCH(AI116,$AI$1:AI115,0))),0,MAX($AC$1:AC115)+1)</f>
        <v>0</v>
      </c>
      <c r="AD116" s="10">
        <f>IF(OR(AJ116=0,AJ116="",ISNUMBER(MATCH(AJ116,$AJ$1:AJ115,0))),0,MAX($AD$1:AD115)+1)</f>
        <v>0</v>
      </c>
      <c r="AE116" s="10">
        <f>IF(OR(AK116=0,AK116="",ISNUMBER(MATCH(AK116,$AK$1:AK115,0))),0,MAX($AE$1:AE115)+1)</f>
        <v>0</v>
      </c>
      <c r="AF116" s="10">
        <f>IF(OR(AH116=0,ISNUMBER(MATCH(AH116,$AH$1:AH115,0))),0,MAX($AF$1:AF115)+1)</f>
        <v>0</v>
      </c>
      <c r="AG116" s="45">
        <f>'Loading-truck'!$C$21</f>
        <v>0</v>
      </c>
      <c r="AH116" s="45">
        <f>'Loading-truck'!A44</f>
        <v>0</v>
      </c>
      <c r="AI116" s="10" t="str">
        <f t="shared" ref="AI116:AK137" si="39">IF($AH116=0,"",IF($AG116=AI$1,$AH116,""))</f>
        <v/>
      </c>
      <c r="AJ116" s="10" t="str">
        <f t="shared" si="39"/>
        <v/>
      </c>
      <c r="AK116" s="10" t="str">
        <f t="shared" si="39"/>
        <v/>
      </c>
      <c r="AL116" s="17" t="str">
        <f t="shared" si="35"/>
        <v/>
      </c>
      <c r="AM116" s="20" t="str">
        <f t="shared" si="36"/>
        <v/>
      </c>
      <c r="AN116" s="10" t="str">
        <f t="shared" si="37"/>
        <v/>
      </c>
      <c r="AO116" s="17" t="str">
        <f t="shared" si="38"/>
        <v/>
      </c>
      <c r="BE116" s="10"/>
      <c r="BI116" s="10"/>
    </row>
    <row r="117" spans="1:61" ht="21" customHeight="1" x14ac:dyDescent="0.25">
      <c r="A117" s="10"/>
      <c r="B117" s="16" t="s">
        <v>125</v>
      </c>
      <c r="C117" s="10">
        <v>100</v>
      </c>
      <c r="D117" s="10">
        <v>249</v>
      </c>
      <c r="E117" s="17">
        <v>249</v>
      </c>
      <c r="I117" s="436" t="s">
        <v>4835</v>
      </c>
      <c r="J117" s="26" t="s">
        <v>4834</v>
      </c>
      <c r="K117" s="10">
        <v>2.9000000000000004</v>
      </c>
      <c r="L117" s="73">
        <f>IF(Tank1!$C$23="No control",(SUMIF(Tank1!$B$32:$B$49,$J117,Tank1!$C$32:$C$49)*Impacts!$F$8),0)</f>
        <v>0</v>
      </c>
      <c r="M117" s="10">
        <f>IF(Tank2!$C$23="No control",(SUMIF(Tank2!$B$32:$B$49,$J117,Tank2!$C$32:$C$49)*Impacts!$F$9),0)</f>
        <v>0</v>
      </c>
      <c r="N117" s="10">
        <f>IF(Tank3!$C$23="No control",(SUMIF(Tank3!$B$32:$B$49,$J117,Tank3!$C$32:$C$49)*Impacts!$F$10),0)</f>
        <v>0</v>
      </c>
      <c r="O117" s="10">
        <f>IF(Tank4!$C$23="No control",(SUMIF(Tank4!$B$32:$B$49,$J117,Tank4!$C$32:$C$49)*Impacts!$F$11),0)</f>
        <v>0</v>
      </c>
      <c r="P117" s="10">
        <f>IF(Tank5!$C$23="No control",(SUMIF(Tank5!$B$32:$B$49,$J117,Tank5!$C$32:$C$49)*Impacts!$F$12),0)</f>
        <v>0</v>
      </c>
      <c r="Q117" s="10">
        <f>IFERROR(IF(('Loading-drum,tote'!$C$21)="No control",SUMIF(('Loading-drum,tote'!$B$31:$B$48),$J117,('Loading-drum,tote'!$D$31:$D$48))*Impacts!$F$13,IF(('Loading-drum,tote'!$C$21)&lt;&gt;"No control",SUMIF(('Loading-drum,tote'!$B$31:$B$48),$J117,('Loading-drum,tote'!$E$31:$E$48))*Impacts!$F$13,0)),0)</f>
        <v>0</v>
      </c>
      <c r="R117" s="10">
        <f>IFERROR(IF(('Loading-truck'!$C$21)="No control",SUMIF(('Loading-truck'!$B$31:$B$48),$J117,('Loading-truck'!$D$31:$D$48))*Impacts!$F$14,IF(('Loading-truck'!$C$21)&lt;&gt;"No control",SUMIF(('Loading-truck'!$B$31:$B$48),$J117,('Loading-truck'!$E$31:$E$48))*Impacts!$F$14,0)),0)</f>
        <v>0</v>
      </c>
      <c r="S117" s="10">
        <f>IFERROR(IF(('Loading-rail'!$C$21)="No control",SUMIF(('Loading-rail'!$B$31:$B$48),$J117,('Loading-rail'!$D$31:$D$48))*Impacts!$F$15,IF(('Loading-rail'!$C$21)&lt;&gt;"No control",SUMIF(('Loading-rail'!$B$31:$B$48),$J117,('Loading-rail'!$E$31:$E$48))*Impacts!$F$15,0)),0)</f>
        <v>0</v>
      </c>
      <c r="T117" s="10">
        <f>IF(Flare!$C$7="",0,(SUMIF(Flare!$B$46:$B$185,$J117,Flare!$E$46:$E$185)*Impacts!$F$16))</f>
        <v>0</v>
      </c>
      <c r="U117" s="10">
        <f>IF(VCU!$C$9="",0,(SUMIF(VCU!$B$51:$B$193,$J117,VCU!$E$51:$E$193)*Impacts!$F$17))</f>
        <v>0</v>
      </c>
      <c r="V117" s="10">
        <f>IF(CAS!$C$7="",0,(SUMIF(CAS!$B$31:$B$167,$J117,CAS!$E$31:$E$167)*Impacts!$F$18))</f>
        <v>0</v>
      </c>
      <c r="W117" s="10">
        <f t="shared" si="32"/>
        <v>0</v>
      </c>
      <c r="AA117" s="48"/>
      <c r="AB117" s="20"/>
      <c r="AC117" s="10">
        <f>IF(OR(AI117=0,AI117="",ISNUMBER(MATCH(AI117,$AI$1:AI116,0))),0,MAX($AC$1:AC116)+1)</f>
        <v>0</v>
      </c>
      <c r="AD117" s="10">
        <f>IF(OR(AJ117=0,AJ117="",ISNUMBER(MATCH(AJ117,$AJ$1:AJ116,0))),0,MAX($AD$1:AD116)+1)</f>
        <v>0</v>
      </c>
      <c r="AE117" s="10">
        <f>IF(OR(AK117=0,AK117="",ISNUMBER(MATCH(AK117,$AK$1:AK116,0))),0,MAX($AE$1:AE116)+1)</f>
        <v>0</v>
      </c>
      <c r="AF117" s="10">
        <f>IF(OR(AH117=0,ISNUMBER(MATCH(AH117,$AH$1:AH116,0))),0,MAX($AF$1:AF116)+1)</f>
        <v>0</v>
      </c>
      <c r="AG117" s="45">
        <f>'Loading-truck'!$C$21</f>
        <v>0</v>
      </c>
      <c r="AH117" s="45">
        <f>'Loading-truck'!A45</f>
        <v>0</v>
      </c>
      <c r="AI117" s="10" t="str">
        <f t="shared" si="39"/>
        <v/>
      </c>
      <c r="AJ117" s="10" t="str">
        <f t="shared" si="39"/>
        <v/>
      </c>
      <c r="AK117" s="10" t="str">
        <f t="shared" si="39"/>
        <v/>
      </c>
      <c r="AL117" s="17" t="str">
        <f t="shared" si="35"/>
        <v/>
      </c>
      <c r="AM117" s="20" t="str">
        <f t="shared" si="36"/>
        <v/>
      </c>
      <c r="AN117" s="10" t="str">
        <f t="shared" si="37"/>
        <v/>
      </c>
      <c r="AO117" s="17" t="str">
        <f t="shared" si="38"/>
        <v/>
      </c>
      <c r="BE117" s="10"/>
      <c r="BI117" s="10"/>
    </row>
    <row r="118" spans="1:61" ht="21" customHeight="1" x14ac:dyDescent="0.25">
      <c r="A118" s="10"/>
      <c r="B118" s="16" t="s">
        <v>126</v>
      </c>
      <c r="C118" s="10">
        <v>100</v>
      </c>
      <c r="D118" s="10">
        <v>249</v>
      </c>
      <c r="E118" s="17">
        <v>249</v>
      </c>
      <c r="I118" s="436" t="s">
        <v>2391</v>
      </c>
      <c r="J118" s="26" t="s">
        <v>2390</v>
      </c>
      <c r="K118" s="10">
        <v>10</v>
      </c>
      <c r="L118" s="73">
        <f>IF(Tank1!$C$23="No control",(SUMIF(Tank1!$B$32:$B$49,$J118,Tank1!$C$32:$C$49)*Impacts!$F$8),0)</f>
        <v>0</v>
      </c>
      <c r="M118" s="10">
        <f>IF(Tank2!$C$23="No control",(SUMIF(Tank2!$B$32:$B$49,$J118,Tank2!$C$32:$C$49)*Impacts!$F$9),0)</f>
        <v>0</v>
      </c>
      <c r="N118" s="10">
        <f>IF(Tank3!$C$23="No control",(SUMIF(Tank3!$B$32:$B$49,$J118,Tank3!$C$32:$C$49)*Impacts!$F$10),0)</f>
        <v>0</v>
      </c>
      <c r="O118" s="10">
        <f>IF(Tank4!$C$23="No control",(SUMIF(Tank4!$B$32:$B$49,$J118,Tank4!$C$32:$C$49)*Impacts!$F$11),0)</f>
        <v>0</v>
      </c>
      <c r="P118" s="10">
        <f>IF(Tank5!$C$23="No control",(SUMIF(Tank5!$B$32:$B$49,$J118,Tank5!$C$32:$C$49)*Impacts!$F$12),0)</f>
        <v>0</v>
      </c>
      <c r="Q118" s="10">
        <f>IFERROR(IF(('Loading-drum,tote'!$C$21)="No control",SUMIF(('Loading-drum,tote'!$B$31:$B$48),$J118,('Loading-drum,tote'!$D$31:$D$48))*Impacts!$F$13,IF(('Loading-drum,tote'!$C$21)&lt;&gt;"No control",SUMIF(('Loading-drum,tote'!$B$31:$B$48),$J118,('Loading-drum,tote'!$E$31:$E$48))*Impacts!$F$13,0)),0)</f>
        <v>0</v>
      </c>
      <c r="R118" s="10">
        <f>IFERROR(IF(('Loading-truck'!$C$21)="No control",SUMIF(('Loading-truck'!$B$31:$B$48),$J118,('Loading-truck'!$D$31:$D$48))*Impacts!$F$14,IF(('Loading-truck'!$C$21)&lt;&gt;"No control",SUMIF(('Loading-truck'!$B$31:$B$48),$J118,('Loading-truck'!$E$31:$E$48))*Impacts!$F$14,0)),0)</f>
        <v>0</v>
      </c>
      <c r="S118" s="10">
        <f>IFERROR(IF(('Loading-rail'!$C$21)="No control",SUMIF(('Loading-rail'!$B$31:$B$48),$J118,('Loading-rail'!$D$31:$D$48))*Impacts!$F$15,IF(('Loading-rail'!$C$21)&lt;&gt;"No control",SUMIF(('Loading-rail'!$B$31:$B$48),$J118,('Loading-rail'!$E$31:$E$48))*Impacts!$F$15,0)),0)</f>
        <v>0</v>
      </c>
      <c r="T118" s="10">
        <f>IF(Flare!$C$7="",0,(SUMIF(Flare!$B$46:$B$185,$J118,Flare!$E$46:$E$185)*Impacts!$F$16))</f>
        <v>0</v>
      </c>
      <c r="U118" s="10">
        <f>IF(VCU!$C$9="",0,(SUMIF(VCU!$B$51:$B$193,$J118,VCU!$E$51:$E$193)*Impacts!$F$17))</f>
        <v>0</v>
      </c>
      <c r="V118" s="10">
        <f>IF(CAS!$C$7="",0,(SUMIF(CAS!$B$31:$B$167,$J118,CAS!$E$31:$E$167)*Impacts!$F$18))</f>
        <v>0</v>
      </c>
      <c r="W118" s="10">
        <f t="shared" si="32"/>
        <v>0</v>
      </c>
      <c r="AA118" s="48"/>
      <c r="AB118" s="20"/>
      <c r="AC118" s="10">
        <f>IF(OR(AI118=0,AI118="",ISNUMBER(MATCH(AI118,$AI$1:AI117,0))),0,MAX($AC$1:AC117)+1)</f>
        <v>0</v>
      </c>
      <c r="AD118" s="10">
        <f>IF(OR(AJ118=0,AJ118="",ISNUMBER(MATCH(AJ118,$AJ$1:AJ117,0))),0,MAX($AD$1:AD117)+1)</f>
        <v>0</v>
      </c>
      <c r="AE118" s="10">
        <f>IF(OR(AK118=0,AK118="",ISNUMBER(MATCH(AK118,$AK$1:AK117,0))),0,MAX($AE$1:AE117)+1)</f>
        <v>0</v>
      </c>
      <c r="AF118" s="10">
        <f>IF(OR(AH118=0,ISNUMBER(MATCH(AH118,$AH$1:AH117,0))),0,MAX($AF$1:AF117)+1)</f>
        <v>0</v>
      </c>
      <c r="AG118" s="45">
        <f>'Loading-truck'!$C$21</f>
        <v>0</v>
      </c>
      <c r="AH118" s="45">
        <f>'Loading-truck'!A46</f>
        <v>0</v>
      </c>
      <c r="AI118" s="10" t="str">
        <f t="shared" si="39"/>
        <v/>
      </c>
      <c r="AJ118" s="10" t="str">
        <f t="shared" si="39"/>
        <v/>
      </c>
      <c r="AK118" s="10" t="str">
        <f t="shared" si="39"/>
        <v/>
      </c>
      <c r="AL118" s="17" t="str">
        <f t="shared" si="35"/>
        <v/>
      </c>
      <c r="AM118" s="20" t="str">
        <f t="shared" si="36"/>
        <v/>
      </c>
      <c r="AN118" s="10" t="str">
        <f t="shared" si="37"/>
        <v/>
      </c>
      <c r="AO118" s="17" t="str">
        <f t="shared" si="38"/>
        <v/>
      </c>
      <c r="BE118" s="10"/>
      <c r="BI118" s="10"/>
    </row>
    <row r="119" spans="1:61" ht="21" customHeight="1" x14ac:dyDescent="0.25">
      <c r="A119" s="10"/>
      <c r="B119" s="16" t="s">
        <v>127</v>
      </c>
      <c r="C119" s="10">
        <v>100</v>
      </c>
      <c r="D119" s="10">
        <v>249</v>
      </c>
      <c r="E119" s="17">
        <v>249</v>
      </c>
      <c r="I119" s="436" t="s">
        <v>2393</v>
      </c>
      <c r="J119" s="26" t="s">
        <v>2392</v>
      </c>
      <c r="K119" s="10">
        <v>10</v>
      </c>
      <c r="L119" s="73">
        <f>IF(Tank1!$C$23="No control",(SUMIF(Tank1!$B$32:$B$49,$J119,Tank1!$C$32:$C$49)*Impacts!$F$8),0)</f>
        <v>0</v>
      </c>
      <c r="M119" s="10">
        <f>IF(Tank2!$C$23="No control",(SUMIF(Tank2!$B$32:$B$49,$J119,Tank2!$C$32:$C$49)*Impacts!$F$9),0)</f>
        <v>0</v>
      </c>
      <c r="N119" s="10">
        <f>IF(Tank3!$C$23="No control",(SUMIF(Tank3!$B$32:$B$49,$J119,Tank3!$C$32:$C$49)*Impacts!$F$10),0)</f>
        <v>0</v>
      </c>
      <c r="O119" s="10">
        <f>IF(Tank4!$C$23="No control",(SUMIF(Tank4!$B$32:$B$49,$J119,Tank4!$C$32:$C$49)*Impacts!$F$11),0)</f>
        <v>0</v>
      </c>
      <c r="P119" s="10">
        <f>IF(Tank5!$C$23="No control",(SUMIF(Tank5!$B$32:$B$49,$J119,Tank5!$C$32:$C$49)*Impacts!$F$12),0)</f>
        <v>0</v>
      </c>
      <c r="Q119" s="10">
        <f>IFERROR(IF(('Loading-drum,tote'!$C$21)="No control",SUMIF(('Loading-drum,tote'!$B$31:$B$48),$J119,('Loading-drum,tote'!$D$31:$D$48))*Impacts!$F$13,IF(('Loading-drum,tote'!$C$21)&lt;&gt;"No control",SUMIF(('Loading-drum,tote'!$B$31:$B$48),$J119,('Loading-drum,tote'!$E$31:$E$48))*Impacts!$F$13,0)),0)</f>
        <v>0</v>
      </c>
      <c r="R119" s="10">
        <f>IFERROR(IF(('Loading-truck'!$C$21)="No control",SUMIF(('Loading-truck'!$B$31:$B$48),$J119,('Loading-truck'!$D$31:$D$48))*Impacts!$F$14,IF(('Loading-truck'!$C$21)&lt;&gt;"No control",SUMIF(('Loading-truck'!$B$31:$B$48),$J119,('Loading-truck'!$E$31:$E$48))*Impacts!$F$14,0)),0)</f>
        <v>0</v>
      </c>
      <c r="S119" s="10">
        <f>IFERROR(IF(('Loading-rail'!$C$21)="No control",SUMIF(('Loading-rail'!$B$31:$B$48),$J119,('Loading-rail'!$D$31:$D$48))*Impacts!$F$15,IF(('Loading-rail'!$C$21)&lt;&gt;"No control",SUMIF(('Loading-rail'!$B$31:$B$48),$J119,('Loading-rail'!$E$31:$E$48))*Impacts!$F$15,0)),0)</f>
        <v>0</v>
      </c>
      <c r="T119" s="10">
        <f>IF(Flare!$C$7="",0,(SUMIF(Flare!$B$46:$B$185,$J119,Flare!$E$46:$E$185)*Impacts!$F$16))</f>
        <v>0</v>
      </c>
      <c r="U119" s="10">
        <f>IF(VCU!$C$9="",0,(SUMIF(VCU!$B$51:$B$193,$J119,VCU!$E$51:$E$193)*Impacts!$F$17))</f>
        <v>0</v>
      </c>
      <c r="V119" s="10">
        <f>IF(CAS!$C$7="",0,(SUMIF(CAS!$B$31:$B$167,$J119,CAS!$E$31:$E$167)*Impacts!$F$18))</f>
        <v>0</v>
      </c>
      <c r="W119" s="10">
        <f t="shared" si="32"/>
        <v>0</v>
      </c>
      <c r="AA119" s="48"/>
      <c r="AB119" s="20"/>
      <c r="AC119" s="10">
        <f>IF(OR(AI119=0,AI119="",ISNUMBER(MATCH(AI119,$AI$1:AI118,0))),0,MAX($AC$1:AC118)+1)</f>
        <v>0</v>
      </c>
      <c r="AD119" s="10">
        <f>IF(OR(AJ119=0,AJ119="",ISNUMBER(MATCH(AJ119,$AJ$1:AJ118,0))),0,MAX($AD$1:AD118)+1)</f>
        <v>0</v>
      </c>
      <c r="AE119" s="10">
        <f>IF(OR(AK119=0,AK119="",ISNUMBER(MATCH(AK119,$AK$1:AK118,0))),0,MAX($AE$1:AE118)+1)</f>
        <v>0</v>
      </c>
      <c r="AF119" s="10">
        <f>IF(OR(AH119=0,ISNUMBER(MATCH(AH119,$AH$1:AH118,0))),0,MAX($AF$1:AF118)+1)</f>
        <v>0</v>
      </c>
      <c r="AG119" s="45">
        <f>'Loading-truck'!$C$21</f>
        <v>0</v>
      </c>
      <c r="AH119" s="45">
        <f>'Loading-truck'!A47</f>
        <v>0</v>
      </c>
      <c r="AI119" s="10" t="str">
        <f t="shared" si="39"/>
        <v/>
      </c>
      <c r="AJ119" s="10" t="str">
        <f t="shared" si="39"/>
        <v/>
      </c>
      <c r="AK119" s="10" t="str">
        <f t="shared" si="39"/>
        <v/>
      </c>
      <c r="AL119" s="17" t="str">
        <f t="shared" si="35"/>
        <v/>
      </c>
      <c r="AM119" s="20" t="str">
        <f t="shared" si="36"/>
        <v/>
      </c>
      <c r="AN119" s="10" t="str">
        <f t="shared" si="37"/>
        <v/>
      </c>
      <c r="AO119" s="17" t="str">
        <f t="shared" si="38"/>
        <v/>
      </c>
      <c r="BE119" s="10"/>
      <c r="BI119" s="10"/>
    </row>
    <row r="120" spans="1:61" ht="21" customHeight="1" x14ac:dyDescent="0.25">
      <c r="A120" s="10"/>
      <c r="B120" s="16" t="s">
        <v>128</v>
      </c>
      <c r="C120" s="10">
        <v>100</v>
      </c>
      <c r="D120" s="10">
        <v>249</v>
      </c>
      <c r="E120" s="17">
        <v>249</v>
      </c>
      <c r="I120" s="436" t="s">
        <v>5507</v>
      </c>
      <c r="J120" s="26" t="s">
        <v>5506</v>
      </c>
      <c r="K120" s="10">
        <v>1.25</v>
      </c>
      <c r="L120" s="73">
        <f>IF(Tank1!$C$23="No control",(SUMIF(Tank1!$B$32:$B$49,$J120,Tank1!$C$32:$C$49)*Impacts!$F$8),0)</f>
        <v>0</v>
      </c>
      <c r="M120" s="10">
        <f>IF(Tank2!$C$23="No control",(SUMIF(Tank2!$B$32:$B$49,$J120,Tank2!$C$32:$C$49)*Impacts!$F$9),0)</f>
        <v>0</v>
      </c>
      <c r="N120" s="10">
        <f>IF(Tank3!$C$23="No control",(SUMIF(Tank3!$B$32:$B$49,$J120,Tank3!$C$32:$C$49)*Impacts!$F$10),0)</f>
        <v>0</v>
      </c>
      <c r="O120" s="10">
        <f>IF(Tank4!$C$23="No control",(SUMIF(Tank4!$B$32:$B$49,$J120,Tank4!$C$32:$C$49)*Impacts!$F$11),0)</f>
        <v>0</v>
      </c>
      <c r="P120" s="10">
        <f>IF(Tank5!$C$23="No control",(SUMIF(Tank5!$B$32:$B$49,$J120,Tank5!$C$32:$C$49)*Impacts!$F$12),0)</f>
        <v>0</v>
      </c>
      <c r="Q120" s="10">
        <f>IFERROR(IF(('Loading-drum,tote'!$C$21)="No control",SUMIF(('Loading-drum,tote'!$B$31:$B$48),$J120,('Loading-drum,tote'!$D$31:$D$48))*Impacts!$F$13,IF(('Loading-drum,tote'!$C$21)&lt;&gt;"No control",SUMIF(('Loading-drum,tote'!$B$31:$B$48),$J120,('Loading-drum,tote'!$E$31:$E$48))*Impacts!$F$13,0)),0)</f>
        <v>0</v>
      </c>
      <c r="R120" s="10">
        <f>IFERROR(IF(('Loading-truck'!$C$21)="No control",SUMIF(('Loading-truck'!$B$31:$B$48),$J120,('Loading-truck'!$D$31:$D$48))*Impacts!$F$14,IF(('Loading-truck'!$C$21)&lt;&gt;"No control",SUMIF(('Loading-truck'!$B$31:$B$48),$J120,('Loading-truck'!$E$31:$E$48))*Impacts!$F$14,0)),0)</f>
        <v>0</v>
      </c>
      <c r="S120" s="10">
        <f>IFERROR(IF(('Loading-rail'!$C$21)="No control",SUMIF(('Loading-rail'!$B$31:$B$48),$J120,('Loading-rail'!$D$31:$D$48))*Impacts!$F$15,IF(('Loading-rail'!$C$21)&lt;&gt;"No control",SUMIF(('Loading-rail'!$B$31:$B$48),$J120,('Loading-rail'!$E$31:$E$48))*Impacts!$F$15,0)),0)</f>
        <v>0</v>
      </c>
      <c r="T120" s="10">
        <f>IF(Flare!$C$7="",0,(SUMIF(Flare!$B$46:$B$185,$J120,Flare!$E$46:$E$185)*Impacts!$F$16))</f>
        <v>0</v>
      </c>
      <c r="U120" s="10">
        <f>IF(VCU!$C$9="",0,(SUMIF(VCU!$B$51:$B$193,$J120,VCU!$E$51:$E$193)*Impacts!$F$17))</f>
        <v>0</v>
      </c>
      <c r="V120" s="10">
        <f>IF(CAS!$C$7="",0,(SUMIF(CAS!$B$31:$B$167,$J120,CAS!$E$31:$E$167)*Impacts!$F$18))</f>
        <v>0</v>
      </c>
      <c r="W120" s="10">
        <f t="shared" si="32"/>
        <v>0</v>
      </c>
      <c r="AA120" s="48"/>
      <c r="AB120" s="20"/>
      <c r="AC120" s="10">
        <f>IF(OR(AI120=0,AI120="",ISNUMBER(MATCH(AI120,$AI$1:AI119,0))),0,MAX($AC$1:AC119)+1)</f>
        <v>0</v>
      </c>
      <c r="AD120" s="10">
        <f>IF(OR(AJ120=0,AJ120="",ISNUMBER(MATCH(AJ120,$AJ$1:AJ119,0))),0,MAX($AD$1:AD119)+1)</f>
        <v>0</v>
      </c>
      <c r="AE120" s="10">
        <f>IF(OR(AK120=0,AK120="",ISNUMBER(MATCH(AK120,$AK$1:AK119,0))),0,MAX($AE$1:AE119)+1)</f>
        <v>0</v>
      </c>
      <c r="AF120" s="10">
        <f>IF(OR(AH120=0,ISNUMBER(MATCH(AH120,$AH$1:AH119,0))),0,MAX($AF$1:AF119)+1)</f>
        <v>0</v>
      </c>
      <c r="AG120" s="45">
        <f>'Loading-truck'!$C$21</f>
        <v>0</v>
      </c>
      <c r="AH120" s="45">
        <f>'Loading-truck'!A48</f>
        <v>0</v>
      </c>
      <c r="AI120" s="10" t="str">
        <f t="shared" si="39"/>
        <v/>
      </c>
      <c r="AJ120" s="10" t="str">
        <f t="shared" si="39"/>
        <v/>
      </c>
      <c r="AK120" s="10" t="str">
        <f t="shared" si="39"/>
        <v/>
      </c>
      <c r="AL120" s="17" t="str">
        <f t="shared" si="35"/>
        <v/>
      </c>
      <c r="AM120" s="20" t="str">
        <f t="shared" si="36"/>
        <v/>
      </c>
      <c r="AN120" s="10" t="str">
        <f t="shared" si="37"/>
        <v/>
      </c>
      <c r="AO120" s="17" t="str">
        <f t="shared" si="38"/>
        <v/>
      </c>
      <c r="BE120" s="10"/>
      <c r="BI120" s="10"/>
    </row>
    <row r="121" spans="1:61" ht="21" customHeight="1" x14ac:dyDescent="0.25">
      <c r="A121" s="10"/>
      <c r="B121" s="16" t="s">
        <v>129</v>
      </c>
      <c r="C121" s="10">
        <v>100</v>
      </c>
      <c r="D121" s="10">
        <v>249</v>
      </c>
      <c r="E121" s="17">
        <v>249</v>
      </c>
      <c r="I121" s="436" t="s">
        <v>2395</v>
      </c>
      <c r="J121" s="26" t="s">
        <v>2394</v>
      </c>
      <c r="K121" s="10">
        <v>10</v>
      </c>
      <c r="L121" s="73">
        <f>IF(Tank1!$C$23="No control",(SUMIF(Tank1!$B$32:$B$49,$J121,Tank1!$C$32:$C$49)*Impacts!$F$8),0)</f>
        <v>0</v>
      </c>
      <c r="M121" s="10">
        <f>IF(Tank2!$C$23="No control",(SUMIF(Tank2!$B$32:$B$49,$J121,Tank2!$C$32:$C$49)*Impacts!$F$9),0)</f>
        <v>0</v>
      </c>
      <c r="N121" s="10">
        <f>IF(Tank3!$C$23="No control",(SUMIF(Tank3!$B$32:$B$49,$J121,Tank3!$C$32:$C$49)*Impacts!$F$10),0)</f>
        <v>0</v>
      </c>
      <c r="O121" s="10">
        <f>IF(Tank4!$C$23="No control",(SUMIF(Tank4!$B$32:$B$49,$J121,Tank4!$C$32:$C$49)*Impacts!$F$11),0)</f>
        <v>0</v>
      </c>
      <c r="P121" s="10">
        <f>IF(Tank5!$C$23="No control",(SUMIF(Tank5!$B$32:$B$49,$J121,Tank5!$C$32:$C$49)*Impacts!$F$12),0)</f>
        <v>0</v>
      </c>
      <c r="Q121" s="10">
        <f>IFERROR(IF(('Loading-drum,tote'!$C$21)="No control",SUMIF(('Loading-drum,tote'!$B$31:$B$48),$J121,('Loading-drum,tote'!$D$31:$D$48))*Impacts!$F$13,IF(('Loading-drum,tote'!$C$21)&lt;&gt;"No control",SUMIF(('Loading-drum,tote'!$B$31:$B$48),$J121,('Loading-drum,tote'!$E$31:$E$48))*Impacts!$F$13,0)),0)</f>
        <v>0</v>
      </c>
      <c r="R121" s="10">
        <f>IFERROR(IF(('Loading-truck'!$C$21)="No control",SUMIF(('Loading-truck'!$B$31:$B$48),$J121,('Loading-truck'!$D$31:$D$48))*Impacts!$F$14,IF(('Loading-truck'!$C$21)&lt;&gt;"No control",SUMIF(('Loading-truck'!$B$31:$B$48),$J121,('Loading-truck'!$E$31:$E$48))*Impacts!$F$14,0)),0)</f>
        <v>0</v>
      </c>
      <c r="S121" s="10">
        <f>IFERROR(IF(('Loading-rail'!$C$21)="No control",SUMIF(('Loading-rail'!$B$31:$B$48),$J121,('Loading-rail'!$D$31:$D$48))*Impacts!$F$15,IF(('Loading-rail'!$C$21)&lt;&gt;"No control",SUMIF(('Loading-rail'!$B$31:$B$48),$J121,('Loading-rail'!$E$31:$E$48))*Impacts!$F$15,0)),0)</f>
        <v>0</v>
      </c>
      <c r="T121" s="10">
        <f>IF(Flare!$C$7="",0,(SUMIF(Flare!$B$46:$B$185,$J121,Flare!$E$46:$E$185)*Impacts!$F$16))</f>
        <v>0</v>
      </c>
      <c r="U121" s="10">
        <f>IF(VCU!$C$9="",0,(SUMIF(VCU!$B$51:$B$193,$J121,VCU!$E$51:$E$193)*Impacts!$F$17))</f>
        <v>0</v>
      </c>
      <c r="V121" s="10">
        <f>IF(CAS!$C$7="",0,(SUMIF(CAS!$B$31:$B$167,$J121,CAS!$E$31:$E$167)*Impacts!$F$18))</f>
        <v>0</v>
      </c>
      <c r="W121" s="10">
        <f t="shared" si="32"/>
        <v>0</v>
      </c>
      <c r="AA121" s="48"/>
      <c r="AB121" s="75" t="s">
        <v>8649</v>
      </c>
      <c r="AC121" s="101">
        <f>IF(OR(AI121=0,AI121="",ISNUMBER(MATCH(AI121,$AI$1:AI120,0))),0,MAX($AC$1:AC120)+1)</f>
        <v>0</v>
      </c>
      <c r="AD121" s="101">
        <f>IF(OR(AJ121=0,AJ121="",ISNUMBER(MATCH(AJ121,$AJ$1:AJ120,0))),0,MAX($AD$1:AD120)+1)</f>
        <v>0</v>
      </c>
      <c r="AE121" s="101">
        <f>IF(OR(AK121=0,AK121="",ISNUMBER(MATCH(AK121,$AK$1:AK120,0))),0,MAX($AE$1:AE120)+1)</f>
        <v>0</v>
      </c>
      <c r="AF121" s="101">
        <f>IF(OR(AH121=0,ISNUMBER(MATCH(AH121,$AH$1:AH120,0))),0,MAX($AF$1:AF120)+1)</f>
        <v>0</v>
      </c>
      <c r="AG121" s="102">
        <f>'Loading-rail'!$C$21</f>
        <v>0</v>
      </c>
      <c r="AH121" s="102">
        <f>'Loading-rail'!A32</f>
        <v>0</v>
      </c>
      <c r="AI121" s="101" t="str">
        <f t="shared" si="39"/>
        <v/>
      </c>
      <c r="AJ121" s="101" t="str">
        <f t="shared" si="39"/>
        <v/>
      </c>
      <c r="AK121" s="101" t="str">
        <f t="shared" si="39"/>
        <v/>
      </c>
      <c r="AL121" s="103" t="str">
        <f t="shared" si="35"/>
        <v/>
      </c>
      <c r="AM121" s="20" t="str">
        <f t="shared" si="36"/>
        <v/>
      </c>
      <c r="AN121" s="10" t="str">
        <f t="shared" si="37"/>
        <v/>
      </c>
      <c r="AO121" s="17" t="str">
        <f t="shared" si="38"/>
        <v/>
      </c>
      <c r="BE121" s="10"/>
      <c r="BI121" s="10"/>
    </row>
    <row r="122" spans="1:61" ht="21" customHeight="1" x14ac:dyDescent="0.25">
      <c r="A122" s="10"/>
      <c r="B122" s="16" t="s">
        <v>130</v>
      </c>
      <c r="C122" s="10">
        <v>100</v>
      </c>
      <c r="D122" s="10">
        <v>249</v>
      </c>
      <c r="E122" s="17">
        <v>249</v>
      </c>
      <c r="I122" s="436" t="s">
        <v>6274</v>
      </c>
      <c r="J122" s="26" t="s">
        <v>6273</v>
      </c>
      <c r="K122" s="10">
        <v>0.9</v>
      </c>
      <c r="L122" s="73">
        <f>IF(Tank1!$C$23="No control",(SUMIF(Tank1!$B$32:$B$49,$J122,Tank1!$C$32:$C$49)*Impacts!$F$8),0)</f>
        <v>0</v>
      </c>
      <c r="M122" s="10">
        <f>IF(Tank2!$C$23="No control",(SUMIF(Tank2!$B$32:$B$49,$J122,Tank2!$C$32:$C$49)*Impacts!$F$9),0)</f>
        <v>0</v>
      </c>
      <c r="N122" s="10">
        <f>IF(Tank3!$C$23="No control",(SUMIF(Tank3!$B$32:$B$49,$J122,Tank3!$C$32:$C$49)*Impacts!$F$10),0)</f>
        <v>0</v>
      </c>
      <c r="O122" s="10">
        <f>IF(Tank4!$C$23="No control",(SUMIF(Tank4!$B$32:$B$49,$J122,Tank4!$C$32:$C$49)*Impacts!$F$11),0)</f>
        <v>0</v>
      </c>
      <c r="P122" s="10">
        <f>IF(Tank5!$C$23="No control",(SUMIF(Tank5!$B$32:$B$49,$J122,Tank5!$C$32:$C$49)*Impacts!$F$12),0)</f>
        <v>0</v>
      </c>
      <c r="Q122" s="10">
        <f>IFERROR(IF(('Loading-drum,tote'!$C$21)="No control",SUMIF(('Loading-drum,tote'!$B$31:$B$48),$J122,('Loading-drum,tote'!$D$31:$D$48))*Impacts!$F$13,IF(('Loading-drum,tote'!$C$21)&lt;&gt;"No control",SUMIF(('Loading-drum,tote'!$B$31:$B$48),$J122,('Loading-drum,tote'!$E$31:$E$48))*Impacts!$F$13,0)),0)</f>
        <v>0</v>
      </c>
      <c r="R122" s="10">
        <f>IFERROR(IF(('Loading-truck'!$C$21)="No control",SUMIF(('Loading-truck'!$B$31:$B$48),$J122,('Loading-truck'!$D$31:$D$48))*Impacts!$F$14,IF(('Loading-truck'!$C$21)&lt;&gt;"No control",SUMIF(('Loading-truck'!$B$31:$B$48),$J122,('Loading-truck'!$E$31:$E$48))*Impacts!$F$14,0)),0)</f>
        <v>0</v>
      </c>
      <c r="S122" s="10">
        <f>IFERROR(IF(('Loading-rail'!$C$21)="No control",SUMIF(('Loading-rail'!$B$31:$B$48),$J122,('Loading-rail'!$D$31:$D$48))*Impacts!$F$15,IF(('Loading-rail'!$C$21)&lt;&gt;"No control",SUMIF(('Loading-rail'!$B$31:$B$48),$J122,('Loading-rail'!$E$31:$E$48))*Impacts!$F$15,0)),0)</f>
        <v>0</v>
      </c>
      <c r="T122" s="10">
        <f>IF(Flare!$C$7="",0,(SUMIF(Flare!$B$46:$B$185,$J122,Flare!$E$46:$E$185)*Impacts!$F$16))</f>
        <v>0</v>
      </c>
      <c r="U122" s="10">
        <f>IF(VCU!$C$9="",0,(SUMIF(VCU!$B$51:$B$193,$J122,VCU!$E$51:$E$193)*Impacts!$F$17))</f>
        <v>0</v>
      </c>
      <c r="V122" s="10">
        <f>IF(CAS!$C$7="",0,(SUMIF(CAS!$B$31:$B$167,$J122,CAS!$E$31:$E$167)*Impacts!$F$18))</f>
        <v>0</v>
      </c>
      <c r="W122" s="10">
        <f t="shared" si="32"/>
        <v>0</v>
      </c>
      <c r="AA122" s="48"/>
      <c r="AB122" s="20"/>
      <c r="AC122" s="10">
        <f>IF(OR(AI122=0,AI122="",ISNUMBER(MATCH(AI122,$AI$1:AI121,0))),0,MAX($AC$1:AC121)+1)</f>
        <v>0</v>
      </c>
      <c r="AD122" s="10">
        <f>IF(OR(AJ122=0,AJ122="",ISNUMBER(MATCH(AJ122,$AJ$1:AJ121,0))),0,MAX($AD$1:AD121)+1)</f>
        <v>0</v>
      </c>
      <c r="AE122" s="10">
        <f>IF(OR(AK122=0,AK122="",ISNUMBER(MATCH(AK122,$AK$1:AK121,0))),0,MAX($AE$1:AE121)+1)</f>
        <v>0</v>
      </c>
      <c r="AF122" s="10">
        <f>IF(OR(AH122=0,ISNUMBER(MATCH(AH122,$AH$1:AH121,0))),0,MAX($AF$1:AF121)+1)</f>
        <v>0</v>
      </c>
      <c r="AG122" s="45">
        <f>'Loading-rail'!$C$21</f>
        <v>0</v>
      </c>
      <c r="AH122" s="45">
        <f>'Loading-rail'!A33</f>
        <v>0</v>
      </c>
      <c r="AI122" s="10" t="str">
        <f t="shared" si="39"/>
        <v/>
      </c>
      <c r="AJ122" s="10" t="str">
        <f t="shared" si="39"/>
        <v/>
      </c>
      <c r="AK122" s="10" t="str">
        <f t="shared" si="39"/>
        <v/>
      </c>
      <c r="AL122" s="17" t="str">
        <f t="shared" si="35"/>
        <v/>
      </c>
      <c r="AM122" s="20" t="str">
        <f t="shared" si="36"/>
        <v/>
      </c>
      <c r="AN122" s="10" t="str">
        <f t="shared" si="37"/>
        <v/>
      </c>
      <c r="AO122" s="17" t="str">
        <f t="shared" si="38"/>
        <v/>
      </c>
      <c r="BE122" s="10"/>
      <c r="BI122" s="10"/>
    </row>
    <row r="123" spans="1:61" ht="21" customHeight="1" x14ac:dyDescent="0.25">
      <c r="A123" s="10"/>
      <c r="B123" s="16" t="s">
        <v>131</v>
      </c>
      <c r="C123" s="10">
        <v>100</v>
      </c>
      <c r="D123" s="10">
        <v>249</v>
      </c>
      <c r="E123" s="17">
        <v>249</v>
      </c>
      <c r="I123" s="436" t="s">
        <v>4241</v>
      </c>
      <c r="J123" s="26" t="s">
        <v>4240</v>
      </c>
      <c r="K123" s="10">
        <v>5</v>
      </c>
      <c r="L123" s="73">
        <f>IF(Tank1!$C$23="No control",(SUMIF(Tank1!$B$32:$B$49,$J123,Tank1!$C$32:$C$49)*Impacts!$F$8),0)</f>
        <v>0</v>
      </c>
      <c r="M123" s="10">
        <f>IF(Tank2!$C$23="No control",(SUMIF(Tank2!$B$32:$B$49,$J123,Tank2!$C$32:$C$49)*Impacts!$F$9),0)</f>
        <v>0</v>
      </c>
      <c r="N123" s="10">
        <f>IF(Tank3!$C$23="No control",(SUMIF(Tank3!$B$32:$B$49,$J123,Tank3!$C$32:$C$49)*Impacts!$F$10),0)</f>
        <v>0</v>
      </c>
      <c r="O123" s="10">
        <f>IF(Tank4!$C$23="No control",(SUMIF(Tank4!$B$32:$B$49,$J123,Tank4!$C$32:$C$49)*Impacts!$F$11),0)</f>
        <v>0</v>
      </c>
      <c r="P123" s="10">
        <f>IF(Tank5!$C$23="No control",(SUMIF(Tank5!$B$32:$B$49,$J123,Tank5!$C$32:$C$49)*Impacts!$F$12),0)</f>
        <v>0</v>
      </c>
      <c r="Q123" s="10">
        <f>IFERROR(IF(('Loading-drum,tote'!$C$21)="No control",SUMIF(('Loading-drum,tote'!$B$31:$B$48),$J123,('Loading-drum,tote'!$D$31:$D$48))*Impacts!$F$13,IF(('Loading-drum,tote'!$C$21)&lt;&gt;"No control",SUMIF(('Loading-drum,tote'!$B$31:$B$48),$J123,('Loading-drum,tote'!$E$31:$E$48))*Impacts!$F$13,0)),0)</f>
        <v>0</v>
      </c>
      <c r="R123" s="10">
        <f>IFERROR(IF(('Loading-truck'!$C$21)="No control",SUMIF(('Loading-truck'!$B$31:$B$48),$J123,('Loading-truck'!$D$31:$D$48))*Impacts!$F$14,IF(('Loading-truck'!$C$21)&lt;&gt;"No control",SUMIF(('Loading-truck'!$B$31:$B$48),$J123,('Loading-truck'!$E$31:$E$48))*Impacts!$F$14,0)),0)</f>
        <v>0</v>
      </c>
      <c r="S123" s="10">
        <f>IFERROR(IF(('Loading-rail'!$C$21)="No control",SUMIF(('Loading-rail'!$B$31:$B$48),$J123,('Loading-rail'!$D$31:$D$48))*Impacts!$F$15,IF(('Loading-rail'!$C$21)&lt;&gt;"No control",SUMIF(('Loading-rail'!$B$31:$B$48),$J123,('Loading-rail'!$E$31:$E$48))*Impacts!$F$15,0)),0)</f>
        <v>0</v>
      </c>
      <c r="T123" s="10">
        <f>IF(Flare!$C$7="",0,(SUMIF(Flare!$B$46:$B$185,$J123,Flare!$E$46:$E$185)*Impacts!$F$16))</f>
        <v>0</v>
      </c>
      <c r="U123" s="10">
        <f>IF(VCU!$C$9="",0,(SUMIF(VCU!$B$51:$B$193,$J123,VCU!$E$51:$E$193)*Impacts!$F$17))</f>
        <v>0</v>
      </c>
      <c r="V123" s="10">
        <f>IF(CAS!$C$7="",0,(SUMIF(CAS!$B$31:$B$167,$J123,CAS!$E$31:$E$167)*Impacts!$F$18))</f>
        <v>0</v>
      </c>
      <c r="W123" s="10">
        <f t="shared" si="32"/>
        <v>0</v>
      </c>
      <c r="AA123" s="48"/>
      <c r="AB123" s="20"/>
      <c r="AC123" s="10">
        <f>IF(OR(AI123=0,AI123="",ISNUMBER(MATCH(AI123,$AI$1:AI122,0))),0,MAX($AC$1:AC122)+1)</f>
        <v>0</v>
      </c>
      <c r="AD123" s="10">
        <f>IF(OR(AJ123=0,AJ123="",ISNUMBER(MATCH(AJ123,$AJ$1:AJ122,0))),0,MAX($AD$1:AD122)+1)</f>
        <v>0</v>
      </c>
      <c r="AE123" s="10">
        <f>IF(OR(AK123=0,AK123="",ISNUMBER(MATCH(AK123,$AK$1:AK122,0))),0,MAX($AE$1:AE122)+1)</f>
        <v>0</v>
      </c>
      <c r="AF123" s="10">
        <f>IF(OR(AH123=0,ISNUMBER(MATCH(AH123,$AH$1:AH122,0))),0,MAX($AF$1:AF122)+1)</f>
        <v>0</v>
      </c>
      <c r="AG123" s="45">
        <f>'Loading-rail'!$C$21</f>
        <v>0</v>
      </c>
      <c r="AH123" s="45">
        <f>'Loading-rail'!A34</f>
        <v>0</v>
      </c>
      <c r="AI123" s="10" t="str">
        <f t="shared" si="39"/>
        <v/>
      </c>
      <c r="AJ123" s="10" t="str">
        <f t="shared" si="39"/>
        <v/>
      </c>
      <c r="AK123" s="10" t="str">
        <f t="shared" si="39"/>
        <v/>
      </c>
      <c r="AL123" s="17" t="str">
        <f t="shared" si="35"/>
        <v/>
      </c>
      <c r="AM123" s="20" t="str">
        <f t="shared" si="36"/>
        <v/>
      </c>
      <c r="AN123" s="10" t="str">
        <f t="shared" si="37"/>
        <v/>
      </c>
      <c r="AO123" s="17" t="str">
        <f t="shared" si="38"/>
        <v/>
      </c>
      <c r="BE123" s="10"/>
      <c r="BI123" s="10"/>
    </row>
    <row r="124" spans="1:61" ht="21" customHeight="1" x14ac:dyDescent="0.25">
      <c r="A124" s="10"/>
      <c r="B124" s="16" t="s">
        <v>132</v>
      </c>
      <c r="C124" s="10">
        <v>100</v>
      </c>
      <c r="D124" s="10">
        <v>249</v>
      </c>
      <c r="E124" s="17">
        <v>249</v>
      </c>
      <c r="I124" s="436" t="s">
        <v>6710</v>
      </c>
      <c r="J124" s="26" t="s">
        <v>6709</v>
      </c>
      <c r="K124" s="10">
        <v>0.5</v>
      </c>
      <c r="L124" s="73">
        <f>IF(Tank1!$C$23="No control",(SUMIF(Tank1!$B$32:$B$49,$J124,Tank1!$C$32:$C$49)*Impacts!$F$8),0)</f>
        <v>0</v>
      </c>
      <c r="M124" s="10">
        <f>IF(Tank2!$C$23="No control",(SUMIF(Tank2!$B$32:$B$49,$J124,Tank2!$C$32:$C$49)*Impacts!$F$9),0)</f>
        <v>0</v>
      </c>
      <c r="N124" s="10">
        <f>IF(Tank3!$C$23="No control",(SUMIF(Tank3!$B$32:$B$49,$J124,Tank3!$C$32:$C$49)*Impacts!$F$10),0)</f>
        <v>0</v>
      </c>
      <c r="O124" s="10">
        <f>IF(Tank4!$C$23="No control",(SUMIF(Tank4!$B$32:$B$49,$J124,Tank4!$C$32:$C$49)*Impacts!$F$11),0)</f>
        <v>0</v>
      </c>
      <c r="P124" s="10">
        <f>IF(Tank5!$C$23="No control",(SUMIF(Tank5!$B$32:$B$49,$J124,Tank5!$C$32:$C$49)*Impacts!$F$12),0)</f>
        <v>0</v>
      </c>
      <c r="Q124" s="10">
        <f>IFERROR(IF(('Loading-drum,tote'!$C$21)="No control",SUMIF(('Loading-drum,tote'!$B$31:$B$48),$J124,('Loading-drum,tote'!$D$31:$D$48))*Impacts!$F$13,IF(('Loading-drum,tote'!$C$21)&lt;&gt;"No control",SUMIF(('Loading-drum,tote'!$B$31:$B$48),$J124,('Loading-drum,tote'!$E$31:$E$48))*Impacts!$F$13,0)),0)</f>
        <v>0</v>
      </c>
      <c r="R124" s="10">
        <f>IFERROR(IF(('Loading-truck'!$C$21)="No control",SUMIF(('Loading-truck'!$B$31:$B$48),$J124,('Loading-truck'!$D$31:$D$48))*Impacts!$F$14,IF(('Loading-truck'!$C$21)&lt;&gt;"No control",SUMIF(('Loading-truck'!$B$31:$B$48),$J124,('Loading-truck'!$E$31:$E$48))*Impacts!$F$14,0)),0)</f>
        <v>0</v>
      </c>
      <c r="S124" s="10">
        <f>IFERROR(IF(('Loading-rail'!$C$21)="No control",SUMIF(('Loading-rail'!$B$31:$B$48),$J124,('Loading-rail'!$D$31:$D$48))*Impacts!$F$15,IF(('Loading-rail'!$C$21)&lt;&gt;"No control",SUMIF(('Loading-rail'!$B$31:$B$48),$J124,('Loading-rail'!$E$31:$E$48))*Impacts!$F$15,0)),0)</f>
        <v>0</v>
      </c>
      <c r="T124" s="10">
        <f>IF(Flare!$C$7="",0,(SUMIF(Flare!$B$46:$B$185,$J124,Flare!$E$46:$E$185)*Impacts!$F$16))</f>
        <v>0</v>
      </c>
      <c r="U124" s="10">
        <f>IF(VCU!$C$9="",0,(SUMIF(VCU!$B$51:$B$193,$J124,VCU!$E$51:$E$193)*Impacts!$F$17))</f>
        <v>0</v>
      </c>
      <c r="V124" s="10">
        <f>IF(CAS!$C$7="",0,(SUMIF(CAS!$B$31:$B$167,$J124,CAS!$E$31:$E$167)*Impacts!$F$18))</f>
        <v>0</v>
      </c>
      <c r="W124" s="10">
        <f t="shared" si="32"/>
        <v>0</v>
      </c>
      <c r="AA124" s="48"/>
      <c r="AB124" s="20"/>
      <c r="AC124" s="10">
        <f>IF(OR(AI124=0,AI124="",ISNUMBER(MATCH(AI124,$AI$1:AI123,0))),0,MAX($AC$1:AC123)+1)</f>
        <v>0</v>
      </c>
      <c r="AD124" s="10">
        <f>IF(OR(AJ124=0,AJ124="",ISNUMBER(MATCH(AJ124,$AJ$1:AJ123,0))),0,MAX($AD$1:AD123)+1)</f>
        <v>0</v>
      </c>
      <c r="AE124" s="10">
        <f>IF(OR(AK124=0,AK124="",ISNUMBER(MATCH(AK124,$AK$1:AK123,0))),0,MAX($AE$1:AE123)+1)</f>
        <v>0</v>
      </c>
      <c r="AF124" s="10">
        <f>IF(OR(AH124=0,ISNUMBER(MATCH(AH124,$AH$1:AH123,0))),0,MAX($AF$1:AF123)+1)</f>
        <v>0</v>
      </c>
      <c r="AG124" s="45">
        <f>'Loading-rail'!$C$21</f>
        <v>0</v>
      </c>
      <c r="AH124" s="45">
        <f>'Loading-rail'!A35</f>
        <v>0</v>
      </c>
      <c r="AI124" s="10" t="str">
        <f t="shared" si="39"/>
        <v/>
      </c>
      <c r="AJ124" s="10" t="str">
        <f t="shared" si="39"/>
        <v/>
      </c>
      <c r="AK124" s="10" t="str">
        <f t="shared" si="39"/>
        <v/>
      </c>
      <c r="AL124" s="17" t="str">
        <f t="shared" si="35"/>
        <v/>
      </c>
      <c r="AM124" s="20" t="str">
        <f t="shared" si="36"/>
        <v/>
      </c>
      <c r="AN124" s="10" t="str">
        <f t="shared" si="37"/>
        <v/>
      </c>
      <c r="AO124" s="17" t="str">
        <f t="shared" si="38"/>
        <v/>
      </c>
      <c r="BE124" s="10"/>
      <c r="BI124" s="10"/>
    </row>
    <row r="125" spans="1:61" ht="21" customHeight="1" x14ac:dyDescent="0.25">
      <c r="A125" s="10"/>
      <c r="B125" s="16" t="s">
        <v>133</v>
      </c>
      <c r="C125" s="10">
        <v>100</v>
      </c>
      <c r="D125" s="10">
        <v>249</v>
      </c>
      <c r="E125" s="17">
        <v>249</v>
      </c>
      <c r="I125" s="436" t="s">
        <v>1602</v>
      </c>
      <c r="J125" s="26" t="s">
        <v>1601</v>
      </c>
      <c r="K125" s="10">
        <v>25</v>
      </c>
      <c r="L125" s="73">
        <f>IF(Tank1!$C$23="No control",(SUMIF(Tank1!$B$32:$B$49,$J125,Tank1!$C$32:$C$49)*Impacts!$F$8),0)</f>
        <v>0</v>
      </c>
      <c r="M125" s="10">
        <f>IF(Tank2!$C$23="No control",(SUMIF(Tank2!$B$32:$B$49,$J125,Tank2!$C$32:$C$49)*Impacts!$F$9),0)</f>
        <v>0</v>
      </c>
      <c r="N125" s="10">
        <f>IF(Tank3!$C$23="No control",(SUMIF(Tank3!$B$32:$B$49,$J125,Tank3!$C$32:$C$49)*Impacts!$F$10),0)</f>
        <v>0</v>
      </c>
      <c r="O125" s="10">
        <f>IF(Tank4!$C$23="No control",(SUMIF(Tank4!$B$32:$B$49,$J125,Tank4!$C$32:$C$49)*Impacts!$F$11),0)</f>
        <v>0</v>
      </c>
      <c r="P125" s="10">
        <f>IF(Tank5!$C$23="No control",(SUMIF(Tank5!$B$32:$B$49,$J125,Tank5!$C$32:$C$49)*Impacts!$F$12),0)</f>
        <v>0</v>
      </c>
      <c r="Q125" s="10">
        <f>IFERROR(IF(('Loading-drum,tote'!$C$21)="No control",SUMIF(('Loading-drum,tote'!$B$31:$B$48),$J125,('Loading-drum,tote'!$D$31:$D$48))*Impacts!$F$13,IF(('Loading-drum,tote'!$C$21)&lt;&gt;"No control",SUMIF(('Loading-drum,tote'!$B$31:$B$48),$J125,('Loading-drum,tote'!$E$31:$E$48))*Impacts!$F$13,0)),0)</f>
        <v>0</v>
      </c>
      <c r="R125" s="10">
        <f>IFERROR(IF(('Loading-truck'!$C$21)="No control",SUMIF(('Loading-truck'!$B$31:$B$48),$J125,('Loading-truck'!$D$31:$D$48))*Impacts!$F$14,IF(('Loading-truck'!$C$21)&lt;&gt;"No control",SUMIF(('Loading-truck'!$B$31:$B$48),$J125,('Loading-truck'!$E$31:$E$48))*Impacts!$F$14,0)),0)</f>
        <v>0</v>
      </c>
      <c r="S125" s="10">
        <f>IFERROR(IF(('Loading-rail'!$C$21)="No control",SUMIF(('Loading-rail'!$B$31:$B$48),$J125,('Loading-rail'!$D$31:$D$48))*Impacts!$F$15,IF(('Loading-rail'!$C$21)&lt;&gt;"No control",SUMIF(('Loading-rail'!$B$31:$B$48),$J125,('Loading-rail'!$E$31:$E$48))*Impacts!$F$15,0)),0)</f>
        <v>0</v>
      </c>
      <c r="T125" s="10">
        <f>IF(Flare!$C$7="",0,(SUMIF(Flare!$B$46:$B$185,$J125,Flare!$E$46:$E$185)*Impacts!$F$16))</f>
        <v>0</v>
      </c>
      <c r="U125" s="10">
        <f>IF(VCU!$C$9="",0,(SUMIF(VCU!$B$51:$B$193,$J125,VCU!$E$51:$E$193)*Impacts!$F$17))</f>
        <v>0</v>
      </c>
      <c r="V125" s="10">
        <f>IF(CAS!$C$7="",0,(SUMIF(CAS!$B$31:$B$167,$J125,CAS!$E$31:$E$167)*Impacts!$F$18))</f>
        <v>0</v>
      </c>
      <c r="W125" s="10">
        <f t="shared" si="32"/>
        <v>0</v>
      </c>
      <c r="AA125" s="48"/>
      <c r="AB125" s="20"/>
      <c r="AC125" s="10">
        <f>IF(OR(AI125=0,AI125="",ISNUMBER(MATCH(AI125,$AI$1:AI124,0))),0,MAX($AC$1:AC124)+1)</f>
        <v>0</v>
      </c>
      <c r="AD125" s="10">
        <f>IF(OR(AJ125=0,AJ125="",ISNUMBER(MATCH(AJ125,$AJ$1:AJ124,0))),0,MAX($AD$1:AD124)+1)</f>
        <v>0</v>
      </c>
      <c r="AE125" s="10">
        <f>IF(OR(AK125=0,AK125="",ISNUMBER(MATCH(AK125,$AK$1:AK124,0))),0,MAX($AE$1:AE124)+1)</f>
        <v>0</v>
      </c>
      <c r="AF125" s="10">
        <f>IF(OR(AH125=0,ISNUMBER(MATCH(AH125,$AH$1:AH124,0))),0,MAX($AF$1:AF124)+1)</f>
        <v>0</v>
      </c>
      <c r="AG125" s="45">
        <f>'Loading-rail'!$C$21</f>
        <v>0</v>
      </c>
      <c r="AH125" s="45">
        <f>'Loading-rail'!A36</f>
        <v>0</v>
      </c>
      <c r="AI125" s="10" t="str">
        <f t="shared" si="39"/>
        <v/>
      </c>
      <c r="AJ125" s="10" t="str">
        <f t="shared" si="39"/>
        <v/>
      </c>
      <c r="AK125" s="10" t="str">
        <f t="shared" si="39"/>
        <v/>
      </c>
      <c r="AL125" s="17" t="str">
        <f t="shared" si="35"/>
        <v/>
      </c>
      <c r="AM125" s="20" t="str">
        <f t="shared" si="36"/>
        <v/>
      </c>
      <c r="AN125" s="10" t="str">
        <f t="shared" si="37"/>
        <v/>
      </c>
      <c r="AO125" s="17" t="str">
        <f t="shared" si="38"/>
        <v/>
      </c>
      <c r="BE125" s="10"/>
      <c r="BI125" s="10"/>
    </row>
    <row r="126" spans="1:61" ht="21" customHeight="1" x14ac:dyDescent="0.25">
      <c r="A126" s="10"/>
      <c r="B126" s="16" t="s">
        <v>134</v>
      </c>
      <c r="C126" s="10">
        <v>100</v>
      </c>
      <c r="D126" s="10">
        <v>249</v>
      </c>
      <c r="E126" s="17">
        <v>249</v>
      </c>
      <c r="I126" s="436" t="s">
        <v>7416</v>
      </c>
      <c r="J126" s="26" t="s">
        <v>7415</v>
      </c>
      <c r="K126" s="10">
        <v>0.2</v>
      </c>
      <c r="L126" s="73">
        <f>IF(Tank1!$C$23="No control",(SUMIF(Tank1!$B$32:$B$49,$J126,Tank1!$C$32:$C$49)*Impacts!$F$8),0)</f>
        <v>0</v>
      </c>
      <c r="M126" s="10">
        <f>IF(Tank2!$C$23="No control",(SUMIF(Tank2!$B$32:$B$49,$J126,Tank2!$C$32:$C$49)*Impacts!$F$9),0)</f>
        <v>0</v>
      </c>
      <c r="N126" s="10">
        <f>IF(Tank3!$C$23="No control",(SUMIF(Tank3!$B$32:$B$49,$J126,Tank3!$C$32:$C$49)*Impacts!$F$10),0)</f>
        <v>0</v>
      </c>
      <c r="O126" s="10">
        <f>IF(Tank4!$C$23="No control",(SUMIF(Tank4!$B$32:$B$49,$J126,Tank4!$C$32:$C$49)*Impacts!$F$11),0)</f>
        <v>0</v>
      </c>
      <c r="P126" s="10">
        <f>IF(Tank5!$C$23="No control",(SUMIF(Tank5!$B$32:$B$49,$J126,Tank5!$C$32:$C$49)*Impacts!$F$12),0)</f>
        <v>0</v>
      </c>
      <c r="Q126" s="10">
        <f>IFERROR(IF(('Loading-drum,tote'!$C$21)="No control",SUMIF(('Loading-drum,tote'!$B$31:$B$48),$J126,('Loading-drum,tote'!$D$31:$D$48))*Impacts!$F$13,IF(('Loading-drum,tote'!$C$21)&lt;&gt;"No control",SUMIF(('Loading-drum,tote'!$B$31:$B$48),$J126,('Loading-drum,tote'!$E$31:$E$48))*Impacts!$F$13,0)),0)</f>
        <v>0</v>
      </c>
      <c r="R126" s="10">
        <f>IFERROR(IF(('Loading-truck'!$C$21)="No control",SUMIF(('Loading-truck'!$B$31:$B$48),$J126,('Loading-truck'!$D$31:$D$48))*Impacts!$F$14,IF(('Loading-truck'!$C$21)&lt;&gt;"No control",SUMIF(('Loading-truck'!$B$31:$B$48),$J126,('Loading-truck'!$E$31:$E$48))*Impacts!$F$14,0)),0)</f>
        <v>0</v>
      </c>
      <c r="S126" s="10">
        <f>IFERROR(IF(('Loading-rail'!$C$21)="No control",SUMIF(('Loading-rail'!$B$31:$B$48),$J126,('Loading-rail'!$D$31:$D$48))*Impacts!$F$15,IF(('Loading-rail'!$C$21)&lt;&gt;"No control",SUMIF(('Loading-rail'!$B$31:$B$48),$J126,('Loading-rail'!$E$31:$E$48))*Impacts!$F$15,0)),0)</f>
        <v>0</v>
      </c>
      <c r="T126" s="10">
        <f>IF(Flare!$C$7="",0,(SUMIF(Flare!$B$46:$B$185,$J126,Flare!$E$46:$E$185)*Impacts!$F$16))</f>
        <v>0</v>
      </c>
      <c r="U126" s="10">
        <f>IF(VCU!$C$9="",0,(SUMIF(VCU!$B$51:$B$193,$J126,VCU!$E$51:$E$193)*Impacts!$F$17))</f>
        <v>0</v>
      </c>
      <c r="V126" s="10">
        <f>IF(CAS!$C$7="",0,(SUMIF(CAS!$B$31:$B$167,$J126,CAS!$E$31:$E$167)*Impacts!$F$18))</f>
        <v>0</v>
      </c>
      <c r="W126" s="10">
        <f t="shared" si="32"/>
        <v>0</v>
      </c>
      <c r="AA126" s="48"/>
      <c r="AB126" s="20"/>
      <c r="AC126" s="10">
        <f>IF(OR(AI126=0,AI126="",ISNUMBER(MATCH(AI126,$AI$1:AI125,0))),0,MAX($AC$1:AC125)+1)</f>
        <v>0</v>
      </c>
      <c r="AD126" s="10">
        <f>IF(OR(AJ126=0,AJ126="",ISNUMBER(MATCH(AJ126,$AJ$1:AJ125,0))),0,MAX($AD$1:AD125)+1)</f>
        <v>0</v>
      </c>
      <c r="AE126" s="10">
        <f>IF(OR(AK126=0,AK126="",ISNUMBER(MATCH(AK126,$AK$1:AK125,0))),0,MAX($AE$1:AE125)+1)</f>
        <v>0</v>
      </c>
      <c r="AF126" s="10">
        <f>IF(OR(AH126=0,ISNUMBER(MATCH(AH126,$AH$1:AH125,0))),0,MAX($AF$1:AF125)+1)</f>
        <v>0</v>
      </c>
      <c r="AG126" s="45">
        <f>'Loading-rail'!$C$21</f>
        <v>0</v>
      </c>
      <c r="AH126" s="45">
        <f>'Loading-rail'!A37</f>
        <v>0</v>
      </c>
      <c r="AI126" s="10" t="str">
        <f t="shared" si="39"/>
        <v/>
      </c>
      <c r="AJ126" s="10" t="str">
        <f t="shared" si="39"/>
        <v/>
      </c>
      <c r="AK126" s="10" t="str">
        <f t="shared" si="39"/>
        <v/>
      </c>
      <c r="AL126" s="17" t="str">
        <f t="shared" si="35"/>
        <v/>
      </c>
      <c r="AM126" s="20" t="str">
        <f t="shared" si="36"/>
        <v/>
      </c>
      <c r="AN126" s="10" t="str">
        <f t="shared" si="37"/>
        <v/>
      </c>
      <c r="AO126" s="17" t="str">
        <f t="shared" si="38"/>
        <v/>
      </c>
      <c r="BE126" s="10"/>
      <c r="BI126" s="10"/>
    </row>
    <row r="127" spans="1:61" ht="21" customHeight="1" x14ac:dyDescent="0.25">
      <c r="A127" s="10"/>
      <c r="B127" s="16" t="s">
        <v>135</v>
      </c>
      <c r="C127" s="10">
        <v>100</v>
      </c>
      <c r="D127" s="10">
        <v>249</v>
      </c>
      <c r="E127" s="17">
        <v>249</v>
      </c>
      <c r="I127" s="436" t="s">
        <v>8104</v>
      </c>
      <c r="J127" s="26" t="s">
        <v>8103</v>
      </c>
      <c r="K127" s="10">
        <v>1.0000000000000002E-2</v>
      </c>
      <c r="L127" s="73">
        <f>IF(Tank1!$C$23="No control",(SUMIF(Tank1!$B$32:$B$49,$J127,Tank1!$C$32:$C$49)*Impacts!$F$8),0)</f>
        <v>0</v>
      </c>
      <c r="M127" s="10">
        <f>IF(Tank2!$C$23="No control",(SUMIF(Tank2!$B$32:$B$49,$J127,Tank2!$C$32:$C$49)*Impacts!$F$9),0)</f>
        <v>0</v>
      </c>
      <c r="N127" s="10">
        <f>IF(Tank3!$C$23="No control",(SUMIF(Tank3!$B$32:$B$49,$J127,Tank3!$C$32:$C$49)*Impacts!$F$10),0)</f>
        <v>0</v>
      </c>
      <c r="O127" s="10">
        <f>IF(Tank4!$C$23="No control",(SUMIF(Tank4!$B$32:$B$49,$J127,Tank4!$C$32:$C$49)*Impacts!$F$11),0)</f>
        <v>0</v>
      </c>
      <c r="P127" s="10">
        <f>IF(Tank5!$C$23="No control",(SUMIF(Tank5!$B$32:$B$49,$J127,Tank5!$C$32:$C$49)*Impacts!$F$12),0)</f>
        <v>0</v>
      </c>
      <c r="Q127" s="10">
        <f>IFERROR(IF(('Loading-drum,tote'!$C$21)="No control",SUMIF(('Loading-drum,tote'!$B$31:$B$48),$J127,('Loading-drum,tote'!$D$31:$D$48))*Impacts!$F$13,IF(('Loading-drum,tote'!$C$21)&lt;&gt;"No control",SUMIF(('Loading-drum,tote'!$B$31:$B$48),$J127,('Loading-drum,tote'!$E$31:$E$48))*Impacts!$F$13,0)),0)</f>
        <v>0</v>
      </c>
      <c r="R127" s="10">
        <f>IFERROR(IF(('Loading-truck'!$C$21)="No control",SUMIF(('Loading-truck'!$B$31:$B$48),$J127,('Loading-truck'!$D$31:$D$48))*Impacts!$F$14,IF(('Loading-truck'!$C$21)&lt;&gt;"No control",SUMIF(('Loading-truck'!$B$31:$B$48),$J127,('Loading-truck'!$E$31:$E$48))*Impacts!$F$14,0)),0)</f>
        <v>0</v>
      </c>
      <c r="S127" s="10">
        <f>IFERROR(IF(('Loading-rail'!$C$21)="No control",SUMIF(('Loading-rail'!$B$31:$B$48),$J127,('Loading-rail'!$D$31:$D$48))*Impacts!$F$15,IF(('Loading-rail'!$C$21)&lt;&gt;"No control",SUMIF(('Loading-rail'!$B$31:$B$48),$J127,('Loading-rail'!$E$31:$E$48))*Impacts!$F$15,0)),0)</f>
        <v>0</v>
      </c>
      <c r="T127" s="10">
        <f>IF(Flare!$C$7="",0,(SUMIF(Flare!$B$46:$B$185,$J127,Flare!$E$46:$E$185)*Impacts!$F$16))</f>
        <v>0</v>
      </c>
      <c r="U127" s="10">
        <f>IF(VCU!$C$9="",0,(SUMIF(VCU!$B$51:$B$193,$J127,VCU!$E$51:$E$193)*Impacts!$F$17))</f>
        <v>0</v>
      </c>
      <c r="V127" s="10">
        <f>IF(CAS!$C$7="",0,(SUMIF(CAS!$B$31:$B$167,$J127,CAS!$E$31:$E$167)*Impacts!$F$18))</f>
        <v>0</v>
      </c>
      <c r="W127" s="10">
        <f t="shared" si="32"/>
        <v>0</v>
      </c>
      <c r="AB127" s="20"/>
      <c r="AC127" s="10">
        <f>IF(OR(AI127=0,AI127="",ISNUMBER(MATCH(AI127,$AI$1:AI126,0))),0,MAX($AC$1:AC126)+1)</f>
        <v>0</v>
      </c>
      <c r="AD127" s="10">
        <f>IF(OR(AJ127=0,AJ127="",ISNUMBER(MATCH(AJ127,$AJ$1:AJ126,0))),0,MAX($AD$1:AD126)+1)</f>
        <v>0</v>
      </c>
      <c r="AE127" s="10">
        <f>IF(OR(AK127=0,AK127="",ISNUMBER(MATCH(AK127,$AK$1:AK126,0))),0,MAX($AE$1:AE126)+1)</f>
        <v>0</v>
      </c>
      <c r="AF127" s="10">
        <f>IF(OR(AH127=0,ISNUMBER(MATCH(AH127,$AH$1:AH126,0))),0,MAX($AF$1:AF126)+1)</f>
        <v>0</v>
      </c>
      <c r="AG127" s="45">
        <f>'Loading-rail'!$C$21</f>
        <v>0</v>
      </c>
      <c r="AH127" s="45">
        <f>'Loading-rail'!A38</f>
        <v>0</v>
      </c>
      <c r="AI127" s="10" t="str">
        <f t="shared" si="39"/>
        <v/>
      </c>
      <c r="AJ127" s="10" t="str">
        <f t="shared" si="39"/>
        <v/>
      </c>
      <c r="AK127" s="10" t="str">
        <f t="shared" si="39"/>
        <v/>
      </c>
      <c r="AL127" s="17" t="str">
        <f t="shared" si="35"/>
        <v/>
      </c>
      <c r="AM127" s="20" t="str">
        <f t="shared" si="36"/>
        <v/>
      </c>
      <c r="AN127" s="10" t="str">
        <f t="shared" si="37"/>
        <v/>
      </c>
      <c r="AO127" s="17" t="str">
        <f t="shared" si="38"/>
        <v/>
      </c>
      <c r="BE127" s="10"/>
      <c r="BI127" s="10"/>
    </row>
    <row r="128" spans="1:61" ht="21" customHeight="1" x14ac:dyDescent="0.25">
      <c r="A128" s="10"/>
      <c r="B128" s="16" t="s">
        <v>136</v>
      </c>
      <c r="C128" s="10">
        <v>100</v>
      </c>
      <c r="D128" s="10">
        <v>100</v>
      </c>
      <c r="E128" s="17">
        <v>249</v>
      </c>
      <c r="I128" s="436" t="s">
        <v>8106</v>
      </c>
      <c r="J128" s="26" t="s">
        <v>8105</v>
      </c>
      <c r="K128" s="10">
        <v>1.0000000000000002E-2</v>
      </c>
      <c r="L128" s="73">
        <f>IF(Tank1!$C$23="No control",(SUMIF(Tank1!$B$32:$B$49,$J128,Tank1!$C$32:$C$49)*Impacts!$F$8),0)</f>
        <v>0</v>
      </c>
      <c r="M128" s="10">
        <f>IF(Tank2!$C$23="No control",(SUMIF(Tank2!$B$32:$B$49,$J128,Tank2!$C$32:$C$49)*Impacts!$F$9),0)</f>
        <v>0</v>
      </c>
      <c r="N128" s="10">
        <f>IF(Tank3!$C$23="No control",(SUMIF(Tank3!$B$32:$B$49,$J128,Tank3!$C$32:$C$49)*Impacts!$F$10),0)</f>
        <v>0</v>
      </c>
      <c r="O128" s="10">
        <f>IF(Tank4!$C$23="No control",(SUMIF(Tank4!$B$32:$B$49,$J128,Tank4!$C$32:$C$49)*Impacts!$F$11),0)</f>
        <v>0</v>
      </c>
      <c r="P128" s="10">
        <f>IF(Tank5!$C$23="No control",(SUMIF(Tank5!$B$32:$B$49,$J128,Tank5!$C$32:$C$49)*Impacts!$F$12),0)</f>
        <v>0</v>
      </c>
      <c r="Q128" s="10">
        <f>IFERROR(IF(('Loading-drum,tote'!$C$21)="No control",SUMIF(('Loading-drum,tote'!$B$31:$B$48),$J128,('Loading-drum,tote'!$D$31:$D$48))*Impacts!$F$13,IF(('Loading-drum,tote'!$C$21)&lt;&gt;"No control",SUMIF(('Loading-drum,tote'!$B$31:$B$48),$J128,('Loading-drum,tote'!$E$31:$E$48))*Impacts!$F$13,0)),0)</f>
        <v>0</v>
      </c>
      <c r="R128" s="10">
        <f>IFERROR(IF(('Loading-truck'!$C$21)="No control",SUMIF(('Loading-truck'!$B$31:$B$48),$J128,('Loading-truck'!$D$31:$D$48))*Impacts!$F$14,IF(('Loading-truck'!$C$21)&lt;&gt;"No control",SUMIF(('Loading-truck'!$B$31:$B$48),$J128,('Loading-truck'!$E$31:$E$48))*Impacts!$F$14,0)),0)</f>
        <v>0</v>
      </c>
      <c r="S128" s="10">
        <f>IFERROR(IF(('Loading-rail'!$C$21)="No control",SUMIF(('Loading-rail'!$B$31:$B$48),$J128,('Loading-rail'!$D$31:$D$48))*Impacts!$F$15,IF(('Loading-rail'!$C$21)&lt;&gt;"No control",SUMIF(('Loading-rail'!$B$31:$B$48),$J128,('Loading-rail'!$E$31:$E$48))*Impacts!$F$15,0)),0)</f>
        <v>0</v>
      </c>
      <c r="T128" s="10">
        <f>IF(Flare!$C$7="",0,(SUMIF(Flare!$B$46:$B$185,$J128,Flare!$E$46:$E$185)*Impacts!$F$16))</f>
        <v>0</v>
      </c>
      <c r="U128" s="10">
        <f>IF(VCU!$C$9="",0,(SUMIF(VCU!$B$51:$B$193,$J128,VCU!$E$51:$E$193)*Impacts!$F$17))</f>
        <v>0</v>
      </c>
      <c r="V128" s="10">
        <f>IF(CAS!$C$7="",0,(SUMIF(CAS!$B$31:$B$167,$J128,CAS!$E$31:$E$167)*Impacts!$F$18))</f>
        <v>0</v>
      </c>
      <c r="W128" s="10">
        <f t="shared" si="32"/>
        <v>0</v>
      </c>
      <c r="AB128" s="20"/>
      <c r="AC128" s="10">
        <f>IF(OR(AI128=0,AI128="",ISNUMBER(MATCH(AI128,$AI$1:AI127,0))),0,MAX($AC$1:AC127)+1)</f>
        <v>0</v>
      </c>
      <c r="AD128" s="10">
        <f>IF(OR(AJ128=0,AJ128="",ISNUMBER(MATCH(AJ128,$AJ$1:AJ127,0))),0,MAX($AD$1:AD127)+1)</f>
        <v>0</v>
      </c>
      <c r="AE128" s="10">
        <f>IF(OR(AK128=0,AK128="",ISNUMBER(MATCH(AK128,$AK$1:AK127,0))),0,MAX($AE$1:AE127)+1)</f>
        <v>0</v>
      </c>
      <c r="AF128" s="10">
        <f>IF(OR(AH128=0,ISNUMBER(MATCH(AH128,$AH$1:AH127,0))),0,MAX($AF$1:AF127)+1)</f>
        <v>0</v>
      </c>
      <c r="AG128" s="45">
        <f>'Loading-rail'!$C$21</f>
        <v>0</v>
      </c>
      <c r="AH128" s="45">
        <f>'Loading-rail'!A39</f>
        <v>0</v>
      </c>
      <c r="AI128" s="10" t="str">
        <f t="shared" si="39"/>
        <v/>
      </c>
      <c r="AJ128" s="10" t="str">
        <f t="shared" si="39"/>
        <v/>
      </c>
      <c r="AK128" s="10" t="str">
        <f t="shared" si="39"/>
        <v/>
      </c>
      <c r="AL128" s="17" t="str">
        <f t="shared" si="35"/>
        <v/>
      </c>
      <c r="AM128" s="20" t="str">
        <f t="shared" si="36"/>
        <v/>
      </c>
      <c r="AN128" s="10" t="str">
        <f t="shared" si="37"/>
        <v/>
      </c>
      <c r="AO128" s="17" t="str">
        <f t="shared" si="38"/>
        <v/>
      </c>
      <c r="BE128" s="10"/>
      <c r="BI128" s="10"/>
    </row>
    <row r="129" spans="1:61" ht="21" customHeight="1" x14ac:dyDescent="0.25">
      <c r="A129" s="10"/>
      <c r="B129" s="16" t="s">
        <v>137</v>
      </c>
      <c r="C129" s="10">
        <v>100</v>
      </c>
      <c r="D129" s="10">
        <v>249</v>
      </c>
      <c r="E129" s="17">
        <v>249</v>
      </c>
      <c r="I129" s="436" t="s">
        <v>5477</v>
      </c>
      <c r="J129" s="26" t="s">
        <v>5476</v>
      </c>
      <c r="K129" s="10">
        <v>1.3</v>
      </c>
      <c r="L129" s="73">
        <f>IF(Tank1!$C$23="No control",(SUMIF(Tank1!$B$32:$B$49,$J129,Tank1!$C$32:$C$49)*Impacts!$F$8),0)</f>
        <v>0</v>
      </c>
      <c r="M129" s="10">
        <f>IF(Tank2!$C$23="No control",(SUMIF(Tank2!$B$32:$B$49,$J129,Tank2!$C$32:$C$49)*Impacts!$F$9),0)</f>
        <v>0</v>
      </c>
      <c r="N129" s="10">
        <f>IF(Tank3!$C$23="No control",(SUMIF(Tank3!$B$32:$B$49,$J129,Tank3!$C$32:$C$49)*Impacts!$F$10),0)</f>
        <v>0</v>
      </c>
      <c r="O129" s="10">
        <f>IF(Tank4!$C$23="No control",(SUMIF(Tank4!$B$32:$B$49,$J129,Tank4!$C$32:$C$49)*Impacts!$F$11),0)</f>
        <v>0</v>
      </c>
      <c r="P129" s="10">
        <f>IF(Tank5!$C$23="No control",(SUMIF(Tank5!$B$32:$B$49,$J129,Tank5!$C$32:$C$49)*Impacts!$F$12),0)</f>
        <v>0</v>
      </c>
      <c r="Q129" s="10">
        <f>IFERROR(IF(('Loading-drum,tote'!$C$21)="No control",SUMIF(('Loading-drum,tote'!$B$31:$B$48),$J129,('Loading-drum,tote'!$D$31:$D$48))*Impacts!$F$13,IF(('Loading-drum,tote'!$C$21)&lt;&gt;"No control",SUMIF(('Loading-drum,tote'!$B$31:$B$48),$J129,('Loading-drum,tote'!$E$31:$E$48))*Impacts!$F$13,0)),0)</f>
        <v>0</v>
      </c>
      <c r="R129" s="10">
        <f>IFERROR(IF(('Loading-truck'!$C$21)="No control",SUMIF(('Loading-truck'!$B$31:$B$48),$J129,('Loading-truck'!$D$31:$D$48))*Impacts!$F$14,IF(('Loading-truck'!$C$21)&lt;&gt;"No control",SUMIF(('Loading-truck'!$B$31:$B$48),$J129,('Loading-truck'!$E$31:$E$48))*Impacts!$F$14,0)),0)</f>
        <v>0</v>
      </c>
      <c r="S129" s="10">
        <f>IFERROR(IF(('Loading-rail'!$C$21)="No control",SUMIF(('Loading-rail'!$B$31:$B$48),$J129,('Loading-rail'!$D$31:$D$48))*Impacts!$F$15,IF(('Loading-rail'!$C$21)&lt;&gt;"No control",SUMIF(('Loading-rail'!$B$31:$B$48),$J129,('Loading-rail'!$E$31:$E$48))*Impacts!$F$15,0)),0)</f>
        <v>0</v>
      </c>
      <c r="T129" s="10">
        <f>IF(Flare!$C$7="",0,(SUMIF(Flare!$B$46:$B$185,$J129,Flare!$E$46:$E$185)*Impacts!$F$16))</f>
        <v>0</v>
      </c>
      <c r="U129" s="10">
        <f>IF(VCU!$C$9="",0,(SUMIF(VCU!$B$51:$B$193,$J129,VCU!$E$51:$E$193)*Impacts!$F$17))</f>
        <v>0</v>
      </c>
      <c r="V129" s="10">
        <f>IF(CAS!$C$7="",0,(SUMIF(CAS!$B$31:$B$167,$J129,CAS!$E$31:$E$167)*Impacts!$F$18))</f>
        <v>0</v>
      </c>
      <c r="W129" s="10">
        <f t="shared" si="32"/>
        <v>0</v>
      </c>
      <c r="AB129" s="20"/>
      <c r="AC129" s="10">
        <f>IF(OR(AI129=0,AI129="",ISNUMBER(MATCH(AI129,$AI$1:AI128,0))),0,MAX($AC$1:AC128)+1)</f>
        <v>0</v>
      </c>
      <c r="AD129" s="10">
        <f>IF(OR(AJ129=0,AJ129="",ISNUMBER(MATCH(AJ129,$AJ$1:AJ128,0))),0,MAX($AD$1:AD128)+1)</f>
        <v>0</v>
      </c>
      <c r="AE129" s="10">
        <f>IF(OR(AK129=0,AK129="",ISNUMBER(MATCH(AK129,$AK$1:AK128,0))),0,MAX($AE$1:AE128)+1)</f>
        <v>0</v>
      </c>
      <c r="AF129" s="10">
        <f>IF(OR(AH129=0,ISNUMBER(MATCH(AH129,$AH$1:AH128,0))),0,MAX($AF$1:AF128)+1)</f>
        <v>0</v>
      </c>
      <c r="AG129" s="45">
        <f>'Loading-rail'!$C$21</f>
        <v>0</v>
      </c>
      <c r="AH129" s="45">
        <f>'Loading-rail'!A40</f>
        <v>0</v>
      </c>
      <c r="AI129" s="10" t="str">
        <f t="shared" si="39"/>
        <v/>
      </c>
      <c r="AJ129" s="10" t="str">
        <f t="shared" si="39"/>
        <v/>
      </c>
      <c r="AK129" s="10" t="str">
        <f t="shared" si="39"/>
        <v/>
      </c>
      <c r="AL129" s="17" t="str">
        <f t="shared" si="35"/>
        <v/>
      </c>
      <c r="AM129" s="20" t="str">
        <f t="shared" si="36"/>
        <v/>
      </c>
      <c r="AN129" s="10" t="str">
        <f t="shared" si="37"/>
        <v/>
      </c>
      <c r="AO129" s="17" t="str">
        <f t="shared" si="38"/>
        <v/>
      </c>
      <c r="BE129" s="10"/>
      <c r="BI129" s="10"/>
    </row>
    <row r="130" spans="1:61" ht="21" customHeight="1" x14ac:dyDescent="0.25">
      <c r="A130" s="10"/>
      <c r="B130" s="16" t="s">
        <v>138</v>
      </c>
      <c r="C130" s="10">
        <v>100</v>
      </c>
      <c r="D130" s="10">
        <v>249</v>
      </c>
      <c r="E130" s="17">
        <v>249</v>
      </c>
      <c r="I130" s="436" t="s">
        <v>974</v>
      </c>
      <c r="J130" s="26" t="s">
        <v>973</v>
      </c>
      <c r="K130" s="10">
        <v>35</v>
      </c>
      <c r="L130" s="73">
        <f>IF(Tank1!$C$23="No control",(SUMIF(Tank1!$B$32:$B$49,$J130,Tank1!$C$32:$C$49)*Impacts!$F$8),0)</f>
        <v>0</v>
      </c>
      <c r="M130" s="10">
        <f>IF(Tank2!$C$23="No control",(SUMIF(Tank2!$B$32:$B$49,$J130,Tank2!$C$32:$C$49)*Impacts!$F$9),0)</f>
        <v>0</v>
      </c>
      <c r="N130" s="10">
        <f>IF(Tank3!$C$23="No control",(SUMIF(Tank3!$B$32:$B$49,$J130,Tank3!$C$32:$C$49)*Impacts!$F$10),0)</f>
        <v>0</v>
      </c>
      <c r="O130" s="10">
        <f>IF(Tank4!$C$23="No control",(SUMIF(Tank4!$B$32:$B$49,$J130,Tank4!$C$32:$C$49)*Impacts!$F$11),0)</f>
        <v>0</v>
      </c>
      <c r="P130" s="10">
        <f>IF(Tank5!$C$23="No control",(SUMIF(Tank5!$B$32:$B$49,$J130,Tank5!$C$32:$C$49)*Impacts!$F$12),0)</f>
        <v>0</v>
      </c>
      <c r="Q130" s="10">
        <f>IFERROR(IF(('Loading-drum,tote'!$C$21)="No control",SUMIF(('Loading-drum,tote'!$B$31:$B$48),$J130,('Loading-drum,tote'!$D$31:$D$48))*Impacts!$F$13,IF(('Loading-drum,tote'!$C$21)&lt;&gt;"No control",SUMIF(('Loading-drum,tote'!$B$31:$B$48),$J130,('Loading-drum,tote'!$E$31:$E$48))*Impacts!$F$13,0)),0)</f>
        <v>0</v>
      </c>
      <c r="R130" s="10">
        <f>IFERROR(IF(('Loading-truck'!$C$21)="No control",SUMIF(('Loading-truck'!$B$31:$B$48),$J130,('Loading-truck'!$D$31:$D$48))*Impacts!$F$14,IF(('Loading-truck'!$C$21)&lt;&gt;"No control",SUMIF(('Loading-truck'!$B$31:$B$48),$J130,('Loading-truck'!$E$31:$E$48))*Impacts!$F$14,0)),0)</f>
        <v>0</v>
      </c>
      <c r="S130" s="10">
        <f>IFERROR(IF(('Loading-rail'!$C$21)="No control",SUMIF(('Loading-rail'!$B$31:$B$48),$J130,('Loading-rail'!$D$31:$D$48))*Impacts!$F$15,IF(('Loading-rail'!$C$21)&lt;&gt;"No control",SUMIF(('Loading-rail'!$B$31:$B$48),$J130,('Loading-rail'!$E$31:$E$48))*Impacts!$F$15,0)),0)</f>
        <v>0</v>
      </c>
      <c r="T130" s="10">
        <f>IF(Flare!$C$7="",0,(SUMIF(Flare!$B$46:$B$185,$J130,Flare!$E$46:$E$185)*Impacts!$F$16))</f>
        <v>0</v>
      </c>
      <c r="U130" s="10">
        <f>IF(VCU!$C$9="",0,(SUMIF(VCU!$B$51:$B$193,$J130,VCU!$E$51:$E$193)*Impacts!$F$17))</f>
        <v>0</v>
      </c>
      <c r="V130" s="10">
        <f>IF(CAS!$C$7="",0,(SUMIF(CAS!$B$31:$B$167,$J130,CAS!$E$31:$E$167)*Impacts!$F$18))</f>
        <v>0</v>
      </c>
      <c r="W130" s="10">
        <f t="shared" si="32"/>
        <v>0</v>
      </c>
      <c r="AB130" s="20"/>
      <c r="AC130" s="10">
        <f>IF(OR(AI130=0,AI130="",ISNUMBER(MATCH(AI130,$AI$1:AI129,0))),0,MAX($AC$1:AC129)+1)</f>
        <v>0</v>
      </c>
      <c r="AD130" s="10">
        <f>IF(OR(AJ130=0,AJ130="",ISNUMBER(MATCH(AJ130,$AJ$1:AJ129,0))),0,MAX($AD$1:AD129)+1)</f>
        <v>0</v>
      </c>
      <c r="AE130" s="10">
        <f>IF(OR(AK130=0,AK130="",ISNUMBER(MATCH(AK130,$AK$1:AK129,0))),0,MAX($AE$1:AE129)+1)</f>
        <v>0</v>
      </c>
      <c r="AF130" s="10">
        <f>IF(OR(AH130=0,ISNUMBER(MATCH(AH130,$AH$1:AH129,0))),0,MAX($AF$1:AF129)+1)</f>
        <v>0</v>
      </c>
      <c r="AG130" s="45">
        <f>'Loading-rail'!$C$21</f>
        <v>0</v>
      </c>
      <c r="AH130" s="45">
        <f>'Loading-rail'!A41</f>
        <v>0</v>
      </c>
      <c r="AI130" s="10" t="str">
        <f t="shared" si="39"/>
        <v/>
      </c>
      <c r="AJ130" s="10" t="str">
        <f t="shared" si="39"/>
        <v/>
      </c>
      <c r="AK130" s="10" t="str">
        <f t="shared" si="39"/>
        <v/>
      </c>
      <c r="AL130" s="17" t="str">
        <f t="shared" ref="AL130:AL137" si="40">IFERROR(VLOOKUP(ROW(AL129),$AF$2:$AH$137,3,FALSE),"")</f>
        <v/>
      </c>
      <c r="AM130" s="20" t="str">
        <f t="shared" ref="AM130:AM137" si="41">IFERROR(VLOOKUP(ROW(AH129),$AC$2:$AH$137,6,FALSE),"")</f>
        <v/>
      </c>
      <c r="AN130" s="10" t="str">
        <f t="shared" ref="AN130:AN137" si="42">IFERROR(VLOOKUP(ROW(AH129),$AD$2:$AH$137,5,FALSE),"")</f>
        <v/>
      </c>
      <c r="AO130" s="17" t="str">
        <f t="shared" ref="AO130:AO137" si="43">IFERROR(VLOOKUP(ROW(AH129),$AE$2:$AH$137,4,FALSE),"")</f>
        <v/>
      </c>
      <c r="BE130" s="10"/>
      <c r="BI130" s="10"/>
    </row>
    <row r="131" spans="1:61" ht="21" customHeight="1" x14ac:dyDescent="0.25">
      <c r="A131" s="10"/>
      <c r="B131" s="16" t="s">
        <v>139</v>
      </c>
      <c r="C131" s="10">
        <v>100</v>
      </c>
      <c r="D131" s="10">
        <v>100</v>
      </c>
      <c r="E131" s="17">
        <v>249</v>
      </c>
      <c r="I131" s="436" t="s">
        <v>3737</v>
      </c>
      <c r="J131" s="26" t="s">
        <v>3736</v>
      </c>
      <c r="K131" s="10">
        <v>6.1000000000000005</v>
      </c>
      <c r="L131" s="73">
        <f>IF(Tank1!$C$23="No control",(SUMIF(Tank1!$B$32:$B$49,$J131,Tank1!$C$32:$C$49)*Impacts!$F$8),0)</f>
        <v>0</v>
      </c>
      <c r="M131" s="10">
        <f>IF(Tank2!$C$23="No control",(SUMIF(Tank2!$B$32:$B$49,$J131,Tank2!$C$32:$C$49)*Impacts!$F$9),0)</f>
        <v>0</v>
      </c>
      <c r="N131" s="10">
        <f>IF(Tank3!$C$23="No control",(SUMIF(Tank3!$B$32:$B$49,$J131,Tank3!$C$32:$C$49)*Impacts!$F$10),0)</f>
        <v>0</v>
      </c>
      <c r="O131" s="10">
        <f>IF(Tank4!$C$23="No control",(SUMIF(Tank4!$B$32:$B$49,$J131,Tank4!$C$32:$C$49)*Impacts!$F$11),0)</f>
        <v>0</v>
      </c>
      <c r="P131" s="10">
        <f>IF(Tank5!$C$23="No control",(SUMIF(Tank5!$B$32:$B$49,$J131,Tank5!$C$32:$C$49)*Impacts!$F$12),0)</f>
        <v>0</v>
      </c>
      <c r="Q131" s="10">
        <f>IFERROR(IF(('Loading-drum,tote'!$C$21)="No control",SUMIF(('Loading-drum,tote'!$B$31:$B$48),$J131,('Loading-drum,tote'!$D$31:$D$48))*Impacts!$F$13,IF(('Loading-drum,tote'!$C$21)&lt;&gt;"No control",SUMIF(('Loading-drum,tote'!$B$31:$B$48),$J131,('Loading-drum,tote'!$E$31:$E$48))*Impacts!$F$13,0)),0)</f>
        <v>0</v>
      </c>
      <c r="R131" s="10">
        <f>IFERROR(IF(('Loading-truck'!$C$21)="No control",SUMIF(('Loading-truck'!$B$31:$B$48),$J131,('Loading-truck'!$D$31:$D$48))*Impacts!$F$14,IF(('Loading-truck'!$C$21)&lt;&gt;"No control",SUMIF(('Loading-truck'!$B$31:$B$48),$J131,('Loading-truck'!$E$31:$E$48))*Impacts!$F$14,0)),0)</f>
        <v>0</v>
      </c>
      <c r="S131" s="10">
        <f>IFERROR(IF(('Loading-rail'!$C$21)="No control",SUMIF(('Loading-rail'!$B$31:$B$48),$J131,('Loading-rail'!$D$31:$D$48))*Impacts!$F$15,IF(('Loading-rail'!$C$21)&lt;&gt;"No control",SUMIF(('Loading-rail'!$B$31:$B$48),$J131,('Loading-rail'!$E$31:$E$48))*Impacts!$F$15,0)),0)</f>
        <v>0</v>
      </c>
      <c r="T131" s="10">
        <f>IF(Flare!$C$7="",0,(SUMIF(Flare!$B$46:$B$185,$J131,Flare!$E$46:$E$185)*Impacts!$F$16))</f>
        <v>0</v>
      </c>
      <c r="U131" s="10">
        <f>IF(VCU!$C$9="",0,(SUMIF(VCU!$B$51:$B$193,$J131,VCU!$E$51:$E$193)*Impacts!$F$17))</f>
        <v>0</v>
      </c>
      <c r="V131" s="10">
        <f>IF(CAS!$C$7="",0,(SUMIF(CAS!$B$31:$B$167,$J131,CAS!$E$31:$E$167)*Impacts!$F$18))</f>
        <v>0</v>
      </c>
      <c r="W131" s="10">
        <f t="shared" ref="W131:W194" si="44">SUM(L131:V131)</f>
        <v>0</v>
      </c>
      <c r="AB131" s="20"/>
      <c r="AC131" s="10">
        <f>IF(OR(AI131=0,AI131="",ISNUMBER(MATCH(AI131,$AI$1:AI130,0))),0,MAX($AC$1:AC130)+1)</f>
        <v>0</v>
      </c>
      <c r="AD131" s="10">
        <f>IF(OR(AJ131=0,AJ131="",ISNUMBER(MATCH(AJ131,$AJ$1:AJ130,0))),0,MAX($AD$1:AD130)+1)</f>
        <v>0</v>
      </c>
      <c r="AE131" s="10">
        <f>IF(OR(AK131=0,AK131="",ISNUMBER(MATCH(AK131,$AK$1:AK130,0))),0,MAX($AE$1:AE130)+1)</f>
        <v>0</v>
      </c>
      <c r="AF131" s="10">
        <f>IF(OR(AH131=0,ISNUMBER(MATCH(AH131,$AH$1:AH130,0))),0,MAX($AF$1:AF130)+1)</f>
        <v>0</v>
      </c>
      <c r="AG131" s="45">
        <f>'Loading-rail'!$C$21</f>
        <v>0</v>
      </c>
      <c r="AH131" s="45">
        <f>'Loading-rail'!A42</f>
        <v>0</v>
      </c>
      <c r="AI131" s="10" t="str">
        <f t="shared" si="39"/>
        <v/>
      </c>
      <c r="AJ131" s="10" t="str">
        <f t="shared" si="39"/>
        <v/>
      </c>
      <c r="AK131" s="10" t="str">
        <f t="shared" si="39"/>
        <v/>
      </c>
      <c r="AL131" s="17" t="str">
        <f t="shared" si="40"/>
        <v/>
      </c>
      <c r="AM131" s="20" t="str">
        <f t="shared" si="41"/>
        <v/>
      </c>
      <c r="AN131" s="10" t="str">
        <f t="shared" si="42"/>
        <v/>
      </c>
      <c r="AO131" s="17" t="str">
        <f t="shared" si="43"/>
        <v/>
      </c>
      <c r="BE131" s="10"/>
      <c r="BI131" s="10"/>
    </row>
    <row r="132" spans="1:61" ht="21" customHeight="1" x14ac:dyDescent="0.25">
      <c r="A132" s="10"/>
      <c r="B132" s="16" t="s">
        <v>140</v>
      </c>
      <c r="C132" s="10">
        <v>100</v>
      </c>
      <c r="D132" s="10">
        <v>249</v>
      </c>
      <c r="E132" s="17">
        <v>249</v>
      </c>
      <c r="I132" s="436" t="s">
        <v>4243</v>
      </c>
      <c r="J132" s="26" t="s">
        <v>4242</v>
      </c>
      <c r="K132" s="10">
        <v>5</v>
      </c>
      <c r="L132" s="73">
        <f>IF(Tank1!$C$23="No control",(SUMIF(Tank1!$B$32:$B$49,$J132,Tank1!$C$32:$C$49)*Impacts!$F$8),0)</f>
        <v>0</v>
      </c>
      <c r="M132" s="10">
        <f>IF(Tank2!$C$23="No control",(SUMIF(Tank2!$B$32:$B$49,$J132,Tank2!$C$32:$C$49)*Impacts!$F$9),0)</f>
        <v>0</v>
      </c>
      <c r="N132" s="10">
        <f>IF(Tank3!$C$23="No control",(SUMIF(Tank3!$B$32:$B$49,$J132,Tank3!$C$32:$C$49)*Impacts!$F$10),0)</f>
        <v>0</v>
      </c>
      <c r="O132" s="10">
        <f>IF(Tank4!$C$23="No control",(SUMIF(Tank4!$B$32:$B$49,$J132,Tank4!$C$32:$C$49)*Impacts!$F$11),0)</f>
        <v>0</v>
      </c>
      <c r="P132" s="10">
        <f>IF(Tank5!$C$23="No control",(SUMIF(Tank5!$B$32:$B$49,$J132,Tank5!$C$32:$C$49)*Impacts!$F$12),0)</f>
        <v>0</v>
      </c>
      <c r="Q132" s="10">
        <f>IFERROR(IF(('Loading-drum,tote'!$C$21)="No control",SUMIF(('Loading-drum,tote'!$B$31:$B$48),$J132,('Loading-drum,tote'!$D$31:$D$48))*Impacts!$F$13,IF(('Loading-drum,tote'!$C$21)&lt;&gt;"No control",SUMIF(('Loading-drum,tote'!$B$31:$B$48),$J132,('Loading-drum,tote'!$E$31:$E$48))*Impacts!$F$13,0)),0)</f>
        <v>0</v>
      </c>
      <c r="R132" s="10">
        <f>IFERROR(IF(('Loading-truck'!$C$21)="No control",SUMIF(('Loading-truck'!$B$31:$B$48),$J132,('Loading-truck'!$D$31:$D$48))*Impacts!$F$14,IF(('Loading-truck'!$C$21)&lt;&gt;"No control",SUMIF(('Loading-truck'!$B$31:$B$48),$J132,('Loading-truck'!$E$31:$E$48))*Impacts!$F$14,0)),0)</f>
        <v>0</v>
      </c>
      <c r="S132" s="10">
        <f>IFERROR(IF(('Loading-rail'!$C$21)="No control",SUMIF(('Loading-rail'!$B$31:$B$48),$J132,('Loading-rail'!$D$31:$D$48))*Impacts!$F$15,IF(('Loading-rail'!$C$21)&lt;&gt;"No control",SUMIF(('Loading-rail'!$B$31:$B$48),$J132,('Loading-rail'!$E$31:$E$48))*Impacts!$F$15,0)),0)</f>
        <v>0</v>
      </c>
      <c r="T132" s="10">
        <f>IF(Flare!$C$7="",0,(SUMIF(Flare!$B$46:$B$185,$J132,Flare!$E$46:$E$185)*Impacts!$F$16))</f>
        <v>0</v>
      </c>
      <c r="U132" s="10">
        <f>IF(VCU!$C$9="",0,(SUMIF(VCU!$B$51:$B$193,$J132,VCU!$E$51:$E$193)*Impacts!$F$17))</f>
        <v>0</v>
      </c>
      <c r="V132" s="10">
        <f>IF(CAS!$C$7="",0,(SUMIF(CAS!$B$31:$B$167,$J132,CAS!$E$31:$E$167)*Impacts!$F$18))</f>
        <v>0</v>
      </c>
      <c r="W132" s="10">
        <f t="shared" si="44"/>
        <v>0</v>
      </c>
      <c r="AB132" s="20"/>
      <c r="AC132" s="10">
        <f>IF(OR(AI132=0,AI132="",ISNUMBER(MATCH(AI132,$AI$1:AI131,0))),0,MAX($AC$1:AC131)+1)</f>
        <v>0</v>
      </c>
      <c r="AD132" s="10">
        <f>IF(OR(AJ132=0,AJ132="",ISNUMBER(MATCH(AJ132,$AJ$1:AJ131,0))),0,MAX($AD$1:AD131)+1)</f>
        <v>0</v>
      </c>
      <c r="AE132" s="10">
        <f>IF(OR(AK132=0,AK132="",ISNUMBER(MATCH(AK132,$AK$1:AK131,0))),0,MAX($AE$1:AE131)+1)</f>
        <v>0</v>
      </c>
      <c r="AF132" s="10">
        <f>IF(OR(AH132=0,ISNUMBER(MATCH(AH132,$AH$1:AH131,0))),0,MAX($AF$1:AF131)+1)</f>
        <v>0</v>
      </c>
      <c r="AG132" s="45">
        <f>'Loading-rail'!$C$21</f>
        <v>0</v>
      </c>
      <c r="AH132" s="45">
        <f>'Loading-rail'!A43</f>
        <v>0</v>
      </c>
      <c r="AI132" s="10" t="str">
        <f t="shared" si="39"/>
        <v/>
      </c>
      <c r="AJ132" s="10" t="str">
        <f t="shared" si="39"/>
        <v/>
      </c>
      <c r="AK132" s="10" t="str">
        <f t="shared" si="39"/>
        <v/>
      </c>
      <c r="AL132" s="17" t="str">
        <f t="shared" si="40"/>
        <v/>
      </c>
      <c r="AM132" s="20" t="str">
        <f t="shared" si="41"/>
        <v/>
      </c>
      <c r="AN132" s="10" t="str">
        <f t="shared" si="42"/>
        <v/>
      </c>
      <c r="AO132" s="17" t="str">
        <f t="shared" si="43"/>
        <v/>
      </c>
      <c r="BE132" s="10"/>
      <c r="BI132" s="10"/>
    </row>
    <row r="133" spans="1:61" ht="21" customHeight="1" x14ac:dyDescent="0.25">
      <c r="A133" s="10"/>
      <c r="B133" s="16" t="s">
        <v>141</v>
      </c>
      <c r="C133" s="10">
        <v>100</v>
      </c>
      <c r="D133" s="10">
        <v>249</v>
      </c>
      <c r="E133" s="17">
        <v>249</v>
      </c>
      <c r="I133" s="436" t="s">
        <v>5587</v>
      </c>
      <c r="J133" s="26" t="s">
        <v>5586</v>
      </c>
      <c r="K133" s="10">
        <v>1.1000000000000001</v>
      </c>
      <c r="L133" s="73">
        <f>IF(Tank1!$C$23="No control",(SUMIF(Tank1!$B$32:$B$49,$J133,Tank1!$C$32:$C$49)*Impacts!$F$8),0)</f>
        <v>0</v>
      </c>
      <c r="M133" s="10">
        <f>IF(Tank2!$C$23="No control",(SUMIF(Tank2!$B$32:$B$49,$J133,Tank2!$C$32:$C$49)*Impacts!$F$9),0)</f>
        <v>0</v>
      </c>
      <c r="N133" s="10">
        <f>IF(Tank3!$C$23="No control",(SUMIF(Tank3!$B$32:$B$49,$J133,Tank3!$C$32:$C$49)*Impacts!$F$10),0)</f>
        <v>0</v>
      </c>
      <c r="O133" s="10">
        <f>IF(Tank4!$C$23="No control",(SUMIF(Tank4!$B$32:$B$49,$J133,Tank4!$C$32:$C$49)*Impacts!$F$11),0)</f>
        <v>0</v>
      </c>
      <c r="P133" s="10">
        <f>IF(Tank5!$C$23="No control",(SUMIF(Tank5!$B$32:$B$49,$J133,Tank5!$C$32:$C$49)*Impacts!$F$12),0)</f>
        <v>0</v>
      </c>
      <c r="Q133" s="10">
        <f>IFERROR(IF(('Loading-drum,tote'!$C$21)="No control",SUMIF(('Loading-drum,tote'!$B$31:$B$48),$J133,('Loading-drum,tote'!$D$31:$D$48))*Impacts!$F$13,IF(('Loading-drum,tote'!$C$21)&lt;&gt;"No control",SUMIF(('Loading-drum,tote'!$B$31:$B$48),$J133,('Loading-drum,tote'!$E$31:$E$48))*Impacts!$F$13,0)),0)</f>
        <v>0</v>
      </c>
      <c r="R133" s="10">
        <f>IFERROR(IF(('Loading-truck'!$C$21)="No control",SUMIF(('Loading-truck'!$B$31:$B$48),$J133,('Loading-truck'!$D$31:$D$48))*Impacts!$F$14,IF(('Loading-truck'!$C$21)&lt;&gt;"No control",SUMIF(('Loading-truck'!$B$31:$B$48),$J133,('Loading-truck'!$E$31:$E$48))*Impacts!$F$14,0)),0)</f>
        <v>0</v>
      </c>
      <c r="S133" s="10">
        <f>IFERROR(IF(('Loading-rail'!$C$21)="No control",SUMIF(('Loading-rail'!$B$31:$B$48),$J133,('Loading-rail'!$D$31:$D$48))*Impacts!$F$15,IF(('Loading-rail'!$C$21)&lt;&gt;"No control",SUMIF(('Loading-rail'!$B$31:$B$48),$J133,('Loading-rail'!$E$31:$E$48))*Impacts!$F$15,0)),0)</f>
        <v>0</v>
      </c>
      <c r="T133" s="10">
        <f>IF(Flare!$C$7="",0,(SUMIF(Flare!$B$46:$B$185,$J133,Flare!$E$46:$E$185)*Impacts!$F$16))</f>
        <v>0</v>
      </c>
      <c r="U133" s="10">
        <f>IF(VCU!$C$9="",0,(SUMIF(VCU!$B$51:$B$193,$J133,VCU!$E$51:$E$193)*Impacts!$F$17))</f>
        <v>0</v>
      </c>
      <c r="V133" s="10">
        <f>IF(CAS!$C$7="",0,(SUMIF(CAS!$B$31:$B$167,$J133,CAS!$E$31:$E$167)*Impacts!$F$18))</f>
        <v>0</v>
      </c>
      <c r="W133" s="10">
        <f t="shared" si="44"/>
        <v>0</v>
      </c>
      <c r="AB133" s="20"/>
      <c r="AC133" s="10">
        <f>IF(OR(AI133=0,AI133="",ISNUMBER(MATCH(AI133,$AI$1:AI132,0))),0,MAX($AC$1:AC132)+1)</f>
        <v>0</v>
      </c>
      <c r="AD133" s="10">
        <f>IF(OR(AJ133=0,AJ133="",ISNUMBER(MATCH(AJ133,$AJ$1:AJ132,0))),0,MAX($AD$1:AD132)+1)</f>
        <v>0</v>
      </c>
      <c r="AE133" s="10">
        <f>IF(OR(AK133=0,AK133="",ISNUMBER(MATCH(AK133,$AK$1:AK132,0))),0,MAX($AE$1:AE132)+1)</f>
        <v>0</v>
      </c>
      <c r="AF133" s="10">
        <f>IF(OR(AH133=0,ISNUMBER(MATCH(AH133,$AH$1:AH132,0))),0,MAX($AF$1:AF132)+1)</f>
        <v>0</v>
      </c>
      <c r="AG133" s="45">
        <f>'Loading-rail'!$C$21</f>
        <v>0</v>
      </c>
      <c r="AH133" s="45">
        <f>'Loading-rail'!A44</f>
        <v>0</v>
      </c>
      <c r="AI133" s="10" t="str">
        <f t="shared" si="39"/>
        <v/>
      </c>
      <c r="AJ133" s="10" t="str">
        <f t="shared" si="39"/>
        <v/>
      </c>
      <c r="AK133" s="10" t="str">
        <f t="shared" si="39"/>
        <v/>
      </c>
      <c r="AL133" s="17" t="str">
        <f t="shared" si="40"/>
        <v/>
      </c>
      <c r="AM133" s="20" t="str">
        <f t="shared" si="41"/>
        <v/>
      </c>
      <c r="AN133" s="10" t="str">
        <f t="shared" si="42"/>
        <v/>
      </c>
      <c r="AO133" s="17" t="str">
        <f t="shared" si="43"/>
        <v/>
      </c>
      <c r="BE133" s="10"/>
      <c r="BI133" s="10"/>
    </row>
    <row r="134" spans="1:61" ht="21" customHeight="1" x14ac:dyDescent="0.25">
      <c r="A134" s="10"/>
      <c r="B134" s="16" t="s">
        <v>142</v>
      </c>
      <c r="C134" s="10">
        <v>100</v>
      </c>
      <c r="D134" s="10">
        <v>249</v>
      </c>
      <c r="E134" s="17">
        <v>249</v>
      </c>
      <c r="I134" s="436" t="s">
        <v>4451</v>
      </c>
      <c r="J134" s="26" t="s">
        <v>4450</v>
      </c>
      <c r="K134" s="10">
        <v>4.5</v>
      </c>
      <c r="L134" s="73">
        <f>IF(Tank1!$C$23="No control",(SUMIF(Tank1!$B$32:$B$49,$J134,Tank1!$C$32:$C$49)*Impacts!$F$8),0)</f>
        <v>0</v>
      </c>
      <c r="M134" s="10">
        <f>IF(Tank2!$C$23="No control",(SUMIF(Tank2!$B$32:$B$49,$J134,Tank2!$C$32:$C$49)*Impacts!$F$9),0)</f>
        <v>0</v>
      </c>
      <c r="N134" s="10">
        <f>IF(Tank3!$C$23="No control",(SUMIF(Tank3!$B$32:$B$49,$J134,Tank3!$C$32:$C$49)*Impacts!$F$10),0)</f>
        <v>0</v>
      </c>
      <c r="O134" s="10">
        <f>IF(Tank4!$C$23="No control",(SUMIF(Tank4!$B$32:$B$49,$J134,Tank4!$C$32:$C$49)*Impacts!$F$11),0)</f>
        <v>0</v>
      </c>
      <c r="P134" s="10">
        <f>IF(Tank5!$C$23="No control",(SUMIF(Tank5!$B$32:$B$49,$J134,Tank5!$C$32:$C$49)*Impacts!$F$12),0)</f>
        <v>0</v>
      </c>
      <c r="Q134" s="10">
        <f>IFERROR(IF(('Loading-drum,tote'!$C$21)="No control",SUMIF(('Loading-drum,tote'!$B$31:$B$48),$J134,('Loading-drum,tote'!$D$31:$D$48))*Impacts!$F$13,IF(('Loading-drum,tote'!$C$21)&lt;&gt;"No control",SUMIF(('Loading-drum,tote'!$B$31:$B$48),$J134,('Loading-drum,tote'!$E$31:$E$48))*Impacts!$F$13,0)),0)</f>
        <v>0</v>
      </c>
      <c r="R134" s="10">
        <f>IFERROR(IF(('Loading-truck'!$C$21)="No control",SUMIF(('Loading-truck'!$B$31:$B$48),$J134,('Loading-truck'!$D$31:$D$48))*Impacts!$F$14,IF(('Loading-truck'!$C$21)&lt;&gt;"No control",SUMIF(('Loading-truck'!$B$31:$B$48),$J134,('Loading-truck'!$E$31:$E$48))*Impacts!$F$14,0)),0)</f>
        <v>0</v>
      </c>
      <c r="S134" s="10">
        <f>IFERROR(IF(('Loading-rail'!$C$21)="No control",SUMIF(('Loading-rail'!$B$31:$B$48),$J134,('Loading-rail'!$D$31:$D$48))*Impacts!$F$15,IF(('Loading-rail'!$C$21)&lt;&gt;"No control",SUMIF(('Loading-rail'!$B$31:$B$48),$J134,('Loading-rail'!$E$31:$E$48))*Impacts!$F$15,0)),0)</f>
        <v>0</v>
      </c>
      <c r="T134" s="10">
        <f>IF(Flare!$C$7="",0,(SUMIF(Flare!$B$46:$B$185,$J134,Flare!$E$46:$E$185)*Impacts!$F$16))</f>
        <v>0</v>
      </c>
      <c r="U134" s="10">
        <f>IF(VCU!$C$9="",0,(SUMIF(VCU!$B$51:$B$193,$J134,VCU!$E$51:$E$193)*Impacts!$F$17))</f>
        <v>0</v>
      </c>
      <c r="V134" s="10">
        <f>IF(CAS!$C$7="",0,(SUMIF(CAS!$B$31:$B$167,$J134,CAS!$E$31:$E$167)*Impacts!$F$18))</f>
        <v>0</v>
      </c>
      <c r="W134" s="10">
        <f t="shared" si="44"/>
        <v>0</v>
      </c>
      <c r="AB134" s="20"/>
      <c r="AC134" s="10">
        <f>IF(OR(AI134=0,AI134="",ISNUMBER(MATCH(AI134,$AI$1:AI133,0))),0,MAX($AC$1:AC133)+1)</f>
        <v>0</v>
      </c>
      <c r="AD134" s="10">
        <f>IF(OR(AJ134=0,AJ134="",ISNUMBER(MATCH(AJ134,$AJ$1:AJ133,0))),0,MAX($AD$1:AD133)+1)</f>
        <v>0</v>
      </c>
      <c r="AE134" s="10">
        <f>IF(OR(AK134=0,AK134="",ISNUMBER(MATCH(AK134,$AK$1:AK133,0))),0,MAX($AE$1:AE133)+1)</f>
        <v>0</v>
      </c>
      <c r="AF134" s="10">
        <f>IF(OR(AH134=0,ISNUMBER(MATCH(AH134,$AH$1:AH133,0))),0,MAX($AF$1:AF133)+1)</f>
        <v>0</v>
      </c>
      <c r="AG134" s="45">
        <f>'Loading-rail'!$C$21</f>
        <v>0</v>
      </c>
      <c r="AH134" s="45">
        <f>'Loading-rail'!A45</f>
        <v>0</v>
      </c>
      <c r="AI134" s="10" t="str">
        <f t="shared" si="39"/>
        <v/>
      </c>
      <c r="AJ134" s="10" t="str">
        <f t="shared" si="39"/>
        <v/>
      </c>
      <c r="AK134" s="10" t="str">
        <f t="shared" si="39"/>
        <v/>
      </c>
      <c r="AL134" s="17" t="str">
        <f t="shared" si="40"/>
        <v/>
      </c>
      <c r="AM134" s="20" t="str">
        <f t="shared" si="41"/>
        <v/>
      </c>
      <c r="AN134" s="10" t="str">
        <f t="shared" si="42"/>
        <v/>
      </c>
      <c r="AO134" s="17" t="str">
        <f t="shared" si="43"/>
        <v/>
      </c>
      <c r="BE134" s="10"/>
      <c r="BI134" s="10"/>
    </row>
    <row r="135" spans="1:61" ht="21" customHeight="1" x14ac:dyDescent="0.25">
      <c r="A135" s="10"/>
      <c r="B135" s="16" t="s">
        <v>143</v>
      </c>
      <c r="C135" s="10">
        <v>100</v>
      </c>
      <c r="D135" s="10">
        <v>249</v>
      </c>
      <c r="E135" s="17">
        <v>249</v>
      </c>
      <c r="I135" s="436" t="s">
        <v>4147</v>
      </c>
      <c r="J135" s="26" t="s">
        <v>4146</v>
      </c>
      <c r="K135" s="10">
        <v>5</v>
      </c>
      <c r="L135" s="73">
        <f>IF(Tank1!$C$23="No control",(SUMIF(Tank1!$B$32:$B$49,$J135,Tank1!$C$32:$C$49)*Impacts!$F$8),0)</f>
        <v>0</v>
      </c>
      <c r="M135" s="10">
        <f>IF(Tank2!$C$23="No control",(SUMIF(Tank2!$B$32:$B$49,$J135,Tank2!$C$32:$C$49)*Impacts!$F$9),0)</f>
        <v>0</v>
      </c>
      <c r="N135" s="10">
        <f>IF(Tank3!$C$23="No control",(SUMIF(Tank3!$B$32:$B$49,$J135,Tank3!$C$32:$C$49)*Impacts!$F$10),0)</f>
        <v>0</v>
      </c>
      <c r="O135" s="10">
        <f>IF(Tank4!$C$23="No control",(SUMIF(Tank4!$B$32:$B$49,$J135,Tank4!$C$32:$C$49)*Impacts!$F$11),0)</f>
        <v>0</v>
      </c>
      <c r="P135" s="10">
        <f>IF(Tank5!$C$23="No control",(SUMIF(Tank5!$B$32:$B$49,$J135,Tank5!$C$32:$C$49)*Impacts!$F$12),0)</f>
        <v>0</v>
      </c>
      <c r="Q135" s="10">
        <f>IFERROR(IF(('Loading-drum,tote'!$C$21)="No control",SUMIF(('Loading-drum,tote'!$B$31:$B$48),$J135,('Loading-drum,tote'!$D$31:$D$48))*Impacts!$F$13,IF(('Loading-drum,tote'!$C$21)&lt;&gt;"No control",SUMIF(('Loading-drum,tote'!$B$31:$B$48),$J135,('Loading-drum,tote'!$E$31:$E$48))*Impacts!$F$13,0)),0)</f>
        <v>0</v>
      </c>
      <c r="R135" s="10">
        <f>IFERROR(IF(('Loading-truck'!$C$21)="No control",SUMIF(('Loading-truck'!$B$31:$B$48),$J135,('Loading-truck'!$D$31:$D$48))*Impacts!$F$14,IF(('Loading-truck'!$C$21)&lt;&gt;"No control",SUMIF(('Loading-truck'!$B$31:$B$48),$J135,('Loading-truck'!$E$31:$E$48))*Impacts!$F$14,0)),0)</f>
        <v>0</v>
      </c>
      <c r="S135" s="10">
        <f>IFERROR(IF(('Loading-rail'!$C$21)="No control",SUMIF(('Loading-rail'!$B$31:$B$48),$J135,('Loading-rail'!$D$31:$D$48))*Impacts!$F$15,IF(('Loading-rail'!$C$21)&lt;&gt;"No control",SUMIF(('Loading-rail'!$B$31:$B$48),$J135,('Loading-rail'!$E$31:$E$48))*Impacts!$F$15,0)),0)</f>
        <v>0</v>
      </c>
      <c r="T135" s="10">
        <f>IF(Flare!$C$7="",0,(SUMIF(Flare!$B$46:$B$185,$J135,Flare!$E$46:$E$185)*Impacts!$F$16))</f>
        <v>0</v>
      </c>
      <c r="U135" s="10">
        <f>IF(VCU!$C$9="",0,(SUMIF(VCU!$B$51:$B$193,$J135,VCU!$E$51:$E$193)*Impacts!$F$17))</f>
        <v>0</v>
      </c>
      <c r="V135" s="10">
        <f>IF(CAS!$C$7="",0,(SUMIF(CAS!$B$31:$B$167,$J135,CAS!$E$31:$E$167)*Impacts!$F$18))</f>
        <v>0</v>
      </c>
      <c r="W135" s="10">
        <f t="shared" si="44"/>
        <v>0</v>
      </c>
      <c r="AB135" s="20"/>
      <c r="AC135" s="10">
        <f>IF(OR(AI135=0,AI135="",ISNUMBER(MATCH(AI135,$AI$1:AI134,0))),0,MAX($AC$1:AC134)+1)</f>
        <v>0</v>
      </c>
      <c r="AD135" s="10">
        <f>IF(OR(AJ135=0,AJ135="",ISNUMBER(MATCH(AJ135,$AJ$1:AJ134,0))),0,MAX($AD$1:AD134)+1)</f>
        <v>0</v>
      </c>
      <c r="AE135" s="10">
        <f>IF(OR(AK135=0,AK135="",ISNUMBER(MATCH(AK135,$AK$1:AK134,0))),0,MAX($AE$1:AE134)+1)</f>
        <v>0</v>
      </c>
      <c r="AF135" s="10">
        <f>IF(OR(AH135=0,ISNUMBER(MATCH(AH135,$AH$1:AH134,0))),0,MAX($AF$1:AF134)+1)</f>
        <v>0</v>
      </c>
      <c r="AG135" s="45">
        <f>'Loading-rail'!$C$21</f>
        <v>0</v>
      </c>
      <c r="AH135" s="45">
        <f>'Loading-rail'!A46</f>
        <v>0</v>
      </c>
      <c r="AI135" s="10" t="str">
        <f t="shared" si="39"/>
        <v/>
      </c>
      <c r="AJ135" s="10" t="str">
        <f t="shared" si="39"/>
        <v/>
      </c>
      <c r="AK135" s="10" t="str">
        <f t="shared" si="39"/>
        <v/>
      </c>
      <c r="AL135" s="17" t="str">
        <f t="shared" si="40"/>
        <v/>
      </c>
      <c r="AM135" s="20" t="str">
        <f t="shared" si="41"/>
        <v/>
      </c>
      <c r="AN135" s="10" t="str">
        <f t="shared" si="42"/>
        <v/>
      </c>
      <c r="AO135" s="17" t="str">
        <f t="shared" si="43"/>
        <v/>
      </c>
      <c r="BE135" s="10"/>
      <c r="BI135" s="10"/>
    </row>
    <row r="136" spans="1:61" ht="21" customHeight="1" x14ac:dyDescent="0.25">
      <c r="A136" s="10"/>
      <c r="B136" s="16" t="s">
        <v>144</v>
      </c>
      <c r="C136" s="10">
        <v>100</v>
      </c>
      <c r="D136" s="10">
        <v>249</v>
      </c>
      <c r="E136" s="17">
        <v>249</v>
      </c>
      <c r="I136" s="436" t="s">
        <v>1424</v>
      </c>
      <c r="J136" s="26" t="s">
        <v>1423</v>
      </c>
      <c r="K136" s="10">
        <v>30</v>
      </c>
      <c r="L136" s="73">
        <f>IF(Tank1!$C$23="No control",(SUMIF(Tank1!$B$32:$B$49,$J136,Tank1!$C$32:$C$49)*Impacts!$F$8),0)</f>
        <v>0</v>
      </c>
      <c r="M136" s="10">
        <f>IF(Tank2!$C$23="No control",(SUMIF(Tank2!$B$32:$B$49,$J136,Tank2!$C$32:$C$49)*Impacts!$F$9),0)</f>
        <v>0</v>
      </c>
      <c r="N136" s="10">
        <f>IF(Tank3!$C$23="No control",(SUMIF(Tank3!$B$32:$B$49,$J136,Tank3!$C$32:$C$49)*Impacts!$F$10),0)</f>
        <v>0</v>
      </c>
      <c r="O136" s="10">
        <f>IF(Tank4!$C$23="No control",(SUMIF(Tank4!$B$32:$B$49,$J136,Tank4!$C$32:$C$49)*Impacts!$F$11),0)</f>
        <v>0</v>
      </c>
      <c r="P136" s="10">
        <f>IF(Tank5!$C$23="No control",(SUMIF(Tank5!$B$32:$B$49,$J136,Tank5!$C$32:$C$49)*Impacts!$F$12),0)</f>
        <v>0</v>
      </c>
      <c r="Q136" s="10">
        <f>IFERROR(IF(('Loading-drum,tote'!$C$21)="No control",SUMIF(('Loading-drum,tote'!$B$31:$B$48),$J136,('Loading-drum,tote'!$D$31:$D$48))*Impacts!$F$13,IF(('Loading-drum,tote'!$C$21)&lt;&gt;"No control",SUMIF(('Loading-drum,tote'!$B$31:$B$48),$J136,('Loading-drum,tote'!$E$31:$E$48))*Impacts!$F$13,0)),0)</f>
        <v>0</v>
      </c>
      <c r="R136" s="10">
        <f>IFERROR(IF(('Loading-truck'!$C$21)="No control",SUMIF(('Loading-truck'!$B$31:$B$48),$J136,('Loading-truck'!$D$31:$D$48))*Impacts!$F$14,IF(('Loading-truck'!$C$21)&lt;&gt;"No control",SUMIF(('Loading-truck'!$B$31:$B$48),$J136,('Loading-truck'!$E$31:$E$48))*Impacts!$F$14,0)),0)</f>
        <v>0</v>
      </c>
      <c r="S136" s="10">
        <f>IFERROR(IF(('Loading-rail'!$C$21)="No control",SUMIF(('Loading-rail'!$B$31:$B$48),$J136,('Loading-rail'!$D$31:$D$48))*Impacts!$F$15,IF(('Loading-rail'!$C$21)&lt;&gt;"No control",SUMIF(('Loading-rail'!$B$31:$B$48),$J136,('Loading-rail'!$E$31:$E$48))*Impacts!$F$15,0)),0)</f>
        <v>0</v>
      </c>
      <c r="T136" s="10">
        <f>IF(Flare!$C$7="",0,(SUMIF(Flare!$B$46:$B$185,$J136,Flare!$E$46:$E$185)*Impacts!$F$16))</f>
        <v>0</v>
      </c>
      <c r="U136" s="10">
        <f>IF(VCU!$C$9="",0,(SUMIF(VCU!$B$51:$B$193,$J136,VCU!$E$51:$E$193)*Impacts!$F$17))</f>
        <v>0</v>
      </c>
      <c r="V136" s="10">
        <f>IF(CAS!$C$7="",0,(SUMIF(CAS!$B$31:$B$167,$J136,CAS!$E$31:$E$167)*Impacts!$F$18))</f>
        <v>0</v>
      </c>
      <c r="W136" s="10">
        <f t="shared" si="44"/>
        <v>0</v>
      </c>
      <c r="AB136" s="20"/>
      <c r="AC136" s="10">
        <f>IF(OR(AI136=0,AI136="",ISNUMBER(MATCH(AI136,$AI$1:AI135,0))),0,MAX($AC$1:AC135)+1)</f>
        <v>0</v>
      </c>
      <c r="AD136" s="10">
        <f>IF(OR(AJ136=0,AJ136="",ISNUMBER(MATCH(AJ136,$AJ$1:AJ135,0))),0,MAX($AD$1:AD135)+1)</f>
        <v>0</v>
      </c>
      <c r="AE136" s="10">
        <f>IF(OR(AK136=0,AK136="",ISNUMBER(MATCH(AK136,$AK$1:AK135,0))),0,MAX($AE$1:AE135)+1)</f>
        <v>0</v>
      </c>
      <c r="AF136" s="10">
        <f>IF(OR(AH136=0,ISNUMBER(MATCH(AH136,$AH$1:AH135,0))),0,MAX($AF$1:AF135)+1)</f>
        <v>0</v>
      </c>
      <c r="AG136" s="45">
        <f>'Loading-rail'!$C$21</f>
        <v>0</v>
      </c>
      <c r="AH136" s="45">
        <f>'Loading-rail'!A47</f>
        <v>0</v>
      </c>
      <c r="AI136" s="10" t="str">
        <f t="shared" si="39"/>
        <v/>
      </c>
      <c r="AJ136" s="10" t="str">
        <f t="shared" si="39"/>
        <v/>
      </c>
      <c r="AK136" s="10" t="str">
        <f t="shared" si="39"/>
        <v/>
      </c>
      <c r="AL136" s="17" t="str">
        <f t="shared" si="40"/>
        <v/>
      </c>
      <c r="AM136" s="20" t="str">
        <f t="shared" si="41"/>
        <v/>
      </c>
      <c r="AN136" s="10" t="str">
        <f t="shared" si="42"/>
        <v/>
      </c>
      <c r="AO136" s="17" t="str">
        <f t="shared" si="43"/>
        <v/>
      </c>
      <c r="BE136" s="10"/>
      <c r="BI136" s="10"/>
    </row>
    <row r="137" spans="1:61" ht="21" customHeight="1" thickBot="1" x14ac:dyDescent="0.3">
      <c r="A137" s="10"/>
      <c r="B137" s="16" t="s">
        <v>145</v>
      </c>
      <c r="C137" s="10">
        <v>100</v>
      </c>
      <c r="D137" s="10">
        <v>249</v>
      </c>
      <c r="E137" s="17">
        <v>249</v>
      </c>
      <c r="I137" s="436" t="s">
        <v>5589</v>
      </c>
      <c r="J137" s="26" t="s">
        <v>5588</v>
      </c>
      <c r="K137" s="10">
        <v>1.1000000000000001</v>
      </c>
      <c r="L137" s="73">
        <f>IF(Tank1!$C$23="No control",(SUMIF(Tank1!$B$32:$B$49,$J137,Tank1!$C$32:$C$49)*Impacts!$F$8),0)</f>
        <v>0</v>
      </c>
      <c r="M137" s="10">
        <f>IF(Tank2!$C$23="No control",(SUMIF(Tank2!$B$32:$B$49,$J137,Tank2!$C$32:$C$49)*Impacts!$F$9),0)</f>
        <v>0</v>
      </c>
      <c r="N137" s="10">
        <f>IF(Tank3!$C$23="No control",(SUMIF(Tank3!$B$32:$B$49,$J137,Tank3!$C$32:$C$49)*Impacts!$F$10),0)</f>
        <v>0</v>
      </c>
      <c r="O137" s="10">
        <f>IF(Tank4!$C$23="No control",(SUMIF(Tank4!$B$32:$B$49,$J137,Tank4!$C$32:$C$49)*Impacts!$F$11),0)</f>
        <v>0</v>
      </c>
      <c r="P137" s="10">
        <f>IF(Tank5!$C$23="No control",(SUMIF(Tank5!$B$32:$B$49,$J137,Tank5!$C$32:$C$49)*Impacts!$F$12),0)</f>
        <v>0</v>
      </c>
      <c r="Q137" s="10">
        <f>IFERROR(IF(('Loading-drum,tote'!$C$21)="No control",SUMIF(('Loading-drum,tote'!$B$31:$B$48),$J137,('Loading-drum,tote'!$D$31:$D$48))*Impacts!$F$13,IF(('Loading-drum,tote'!$C$21)&lt;&gt;"No control",SUMIF(('Loading-drum,tote'!$B$31:$B$48),$J137,('Loading-drum,tote'!$E$31:$E$48))*Impacts!$F$13,0)),0)</f>
        <v>0</v>
      </c>
      <c r="R137" s="10">
        <f>IFERROR(IF(('Loading-truck'!$C$21)="No control",SUMIF(('Loading-truck'!$B$31:$B$48),$J137,('Loading-truck'!$D$31:$D$48))*Impacts!$F$14,IF(('Loading-truck'!$C$21)&lt;&gt;"No control",SUMIF(('Loading-truck'!$B$31:$B$48),$J137,('Loading-truck'!$E$31:$E$48))*Impacts!$F$14,0)),0)</f>
        <v>0</v>
      </c>
      <c r="S137" s="10">
        <f>IFERROR(IF(('Loading-rail'!$C$21)="No control",SUMIF(('Loading-rail'!$B$31:$B$48),$J137,('Loading-rail'!$D$31:$D$48))*Impacts!$F$15,IF(('Loading-rail'!$C$21)&lt;&gt;"No control",SUMIF(('Loading-rail'!$B$31:$B$48),$J137,('Loading-rail'!$E$31:$E$48))*Impacts!$F$15,0)),0)</f>
        <v>0</v>
      </c>
      <c r="T137" s="10">
        <f>IF(Flare!$C$7="",0,(SUMIF(Flare!$B$46:$B$185,$J137,Flare!$E$46:$E$185)*Impacts!$F$16))</f>
        <v>0</v>
      </c>
      <c r="U137" s="10">
        <f>IF(VCU!$C$9="",0,(SUMIF(VCU!$B$51:$B$193,$J137,VCU!$E$51:$E$193)*Impacts!$F$17))</f>
        <v>0</v>
      </c>
      <c r="V137" s="10">
        <f>IF(CAS!$C$7="",0,(SUMIF(CAS!$B$31:$B$167,$J137,CAS!$E$31:$E$167)*Impacts!$F$18))</f>
        <v>0</v>
      </c>
      <c r="W137" s="10">
        <f t="shared" si="44"/>
        <v>0</v>
      </c>
      <c r="AB137" s="46"/>
      <c r="AC137" s="10">
        <f>IF(OR(AI137=0,AI137="",ISNUMBER(MATCH(AI137,$AI$1:AI136,0))),0,MAX($AC$1:AC136)+1)</f>
        <v>0</v>
      </c>
      <c r="AD137" s="10">
        <f>IF(OR(AJ137=0,AJ137="",ISNUMBER(MATCH(AJ137,$AJ$1:AJ136,0))),0,MAX($AD$1:AD136)+1)</f>
        <v>0</v>
      </c>
      <c r="AE137" s="10">
        <f>IF(OR(AK137=0,AK137="",ISNUMBER(MATCH(AK137,$AK$1:AK136,0))),0,MAX($AE$1:AE136)+1)</f>
        <v>0</v>
      </c>
      <c r="AF137" s="10">
        <f>IF(OR(AH137=0,ISNUMBER(MATCH(AH137,$AH$1:AH136,0))),0,MAX($AF$1:AF136)+1)</f>
        <v>0</v>
      </c>
      <c r="AG137" s="45">
        <f>'Loading-rail'!$C$21</f>
        <v>0</v>
      </c>
      <c r="AH137" s="76">
        <f>'Loading-rail'!A48</f>
        <v>0</v>
      </c>
      <c r="AI137" s="10" t="str">
        <f t="shared" si="39"/>
        <v/>
      </c>
      <c r="AJ137" s="10" t="str">
        <f t="shared" si="39"/>
        <v/>
      </c>
      <c r="AK137" s="10" t="str">
        <f t="shared" si="39"/>
        <v/>
      </c>
      <c r="AL137" s="17" t="str">
        <f t="shared" si="40"/>
        <v/>
      </c>
      <c r="AM137" s="20" t="str">
        <f t="shared" si="41"/>
        <v/>
      </c>
      <c r="AN137" s="10" t="str">
        <f t="shared" si="42"/>
        <v/>
      </c>
      <c r="AO137" s="17" t="str">
        <f t="shared" si="43"/>
        <v/>
      </c>
      <c r="BE137" s="10"/>
      <c r="BI137" s="10"/>
    </row>
    <row r="138" spans="1:61" ht="21" customHeight="1" x14ac:dyDescent="0.25">
      <c r="A138" s="10"/>
      <c r="B138" s="16" t="s">
        <v>146</v>
      </c>
      <c r="C138" s="10">
        <v>100</v>
      </c>
      <c r="D138" s="10">
        <v>249</v>
      </c>
      <c r="E138" s="17">
        <v>249</v>
      </c>
      <c r="I138" s="436" t="s">
        <v>7382</v>
      </c>
      <c r="J138" s="26" t="s">
        <v>7381</v>
      </c>
      <c r="K138" s="10">
        <v>0.24</v>
      </c>
      <c r="L138" s="73">
        <f>IF(Tank1!$C$23="No control",(SUMIF(Tank1!$B$32:$B$49,$J138,Tank1!$C$32:$C$49)*Impacts!$F$8),0)</f>
        <v>0</v>
      </c>
      <c r="M138" s="10">
        <f>IF(Tank2!$C$23="No control",(SUMIF(Tank2!$B$32:$B$49,$J138,Tank2!$C$32:$C$49)*Impacts!$F$9),0)</f>
        <v>0</v>
      </c>
      <c r="N138" s="10">
        <f>IF(Tank3!$C$23="No control",(SUMIF(Tank3!$B$32:$B$49,$J138,Tank3!$C$32:$C$49)*Impacts!$F$10),0)</f>
        <v>0</v>
      </c>
      <c r="O138" s="10">
        <f>IF(Tank4!$C$23="No control",(SUMIF(Tank4!$B$32:$B$49,$J138,Tank4!$C$32:$C$49)*Impacts!$F$11),0)</f>
        <v>0</v>
      </c>
      <c r="P138" s="10">
        <f>IF(Tank5!$C$23="No control",(SUMIF(Tank5!$B$32:$B$49,$J138,Tank5!$C$32:$C$49)*Impacts!$F$12),0)</f>
        <v>0</v>
      </c>
      <c r="Q138" s="10">
        <f>IFERROR(IF(('Loading-drum,tote'!$C$21)="No control",SUMIF(('Loading-drum,tote'!$B$31:$B$48),$J138,('Loading-drum,tote'!$D$31:$D$48))*Impacts!$F$13,IF(('Loading-drum,tote'!$C$21)&lt;&gt;"No control",SUMIF(('Loading-drum,tote'!$B$31:$B$48),$J138,('Loading-drum,tote'!$E$31:$E$48))*Impacts!$F$13,0)),0)</f>
        <v>0</v>
      </c>
      <c r="R138" s="10">
        <f>IFERROR(IF(('Loading-truck'!$C$21)="No control",SUMIF(('Loading-truck'!$B$31:$B$48),$J138,('Loading-truck'!$D$31:$D$48))*Impacts!$F$14,IF(('Loading-truck'!$C$21)&lt;&gt;"No control",SUMIF(('Loading-truck'!$B$31:$B$48),$J138,('Loading-truck'!$E$31:$E$48))*Impacts!$F$14,0)),0)</f>
        <v>0</v>
      </c>
      <c r="S138" s="10">
        <f>IFERROR(IF(('Loading-rail'!$C$21)="No control",SUMIF(('Loading-rail'!$B$31:$B$48),$J138,('Loading-rail'!$D$31:$D$48))*Impacts!$F$15,IF(('Loading-rail'!$C$21)&lt;&gt;"No control",SUMIF(('Loading-rail'!$B$31:$B$48),$J138,('Loading-rail'!$E$31:$E$48))*Impacts!$F$15,0)),0)</f>
        <v>0</v>
      </c>
      <c r="T138" s="10">
        <f>IF(Flare!$C$7="",0,(SUMIF(Flare!$B$46:$B$185,$J138,Flare!$E$46:$E$185)*Impacts!$F$16))</f>
        <v>0</v>
      </c>
      <c r="U138" s="10">
        <f>IF(VCU!$C$9="",0,(SUMIF(VCU!$B$51:$B$193,$J138,VCU!$E$51:$E$193)*Impacts!$F$17))</f>
        <v>0</v>
      </c>
      <c r="V138" s="10">
        <f>IF(CAS!$C$7="",0,(SUMIF(CAS!$B$31:$B$167,$J138,CAS!$E$31:$E$167)*Impacts!$F$18))</f>
        <v>0</v>
      </c>
      <c r="W138" s="10">
        <f t="shared" si="44"/>
        <v>0</v>
      </c>
      <c r="AG138" s="45"/>
      <c r="AH138" s="45"/>
      <c r="AI138" s="45"/>
      <c r="AJ138" s="45"/>
      <c r="AK138" s="10" t="str">
        <f t="array" ref="AK138">IFERROR(INDEX(SelectedSpecies,SMALL(IF(SelectedSpecies=AK$1,ROW(SelectedSpecies)),ROW(139:139)),2),"")</f>
        <v/>
      </c>
      <c r="BE138" s="10"/>
      <c r="BI138" s="10"/>
    </row>
    <row r="139" spans="1:61" ht="21" customHeight="1" x14ac:dyDescent="0.25">
      <c r="A139" s="10"/>
      <c r="B139" s="16" t="s">
        <v>147</v>
      </c>
      <c r="C139" s="10">
        <v>100</v>
      </c>
      <c r="D139" s="10">
        <v>249</v>
      </c>
      <c r="E139" s="17">
        <v>249</v>
      </c>
      <c r="I139" s="436" t="s">
        <v>5123</v>
      </c>
      <c r="J139" s="26" t="s">
        <v>5122</v>
      </c>
      <c r="K139" s="10">
        <v>2</v>
      </c>
      <c r="L139" s="73">
        <f>IF(Tank1!$C$23="No control",(SUMIF(Tank1!$B$32:$B$49,$J139,Tank1!$C$32:$C$49)*Impacts!$F$8),0)</f>
        <v>0</v>
      </c>
      <c r="M139" s="10">
        <f>IF(Tank2!$C$23="No control",(SUMIF(Tank2!$B$32:$B$49,$J139,Tank2!$C$32:$C$49)*Impacts!$F$9),0)</f>
        <v>0</v>
      </c>
      <c r="N139" s="10">
        <f>IF(Tank3!$C$23="No control",(SUMIF(Tank3!$B$32:$B$49,$J139,Tank3!$C$32:$C$49)*Impacts!$F$10),0)</f>
        <v>0</v>
      </c>
      <c r="O139" s="10">
        <f>IF(Tank4!$C$23="No control",(SUMIF(Tank4!$B$32:$B$49,$J139,Tank4!$C$32:$C$49)*Impacts!$F$11),0)</f>
        <v>0</v>
      </c>
      <c r="P139" s="10">
        <f>IF(Tank5!$C$23="No control",(SUMIF(Tank5!$B$32:$B$49,$J139,Tank5!$C$32:$C$49)*Impacts!$F$12),0)</f>
        <v>0</v>
      </c>
      <c r="Q139" s="10">
        <f>IFERROR(IF(('Loading-drum,tote'!$C$21)="No control",SUMIF(('Loading-drum,tote'!$B$31:$B$48),$J139,('Loading-drum,tote'!$D$31:$D$48))*Impacts!$F$13,IF(('Loading-drum,tote'!$C$21)&lt;&gt;"No control",SUMIF(('Loading-drum,tote'!$B$31:$B$48),$J139,('Loading-drum,tote'!$E$31:$E$48))*Impacts!$F$13,0)),0)</f>
        <v>0</v>
      </c>
      <c r="R139" s="10">
        <f>IFERROR(IF(('Loading-truck'!$C$21)="No control",SUMIF(('Loading-truck'!$B$31:$B$48),$J139,('Loading-truck'!$D$31:$D$48))*Impacts!$F$14,IF(('Loading-truck'!$C$21)&lt;&gt;"No control",SUMIF(('Loading-truck'!$B$31:$B$48),$J139,('Loading-truck'!$E$31:$E$48))*Impacts!$F$14,0)),0)</f>
        <v>0</v>
      </c>
      <c r="S139" s="10">
        <f>IFERROR(IF(('Loading-rail'!$C$21)="No control",SUMIF(('Loading-rail'!$B$31:$B$48),$J139,('Loading-rail'!$D$31:$D$48))*Impacts!$F$15,IF(('Loading-rail'!$C$21)&lt;&gt;"No control",SUMIF(('Loading-rail'!$B$31:$B$48),$J139,('Loading-rail'!$E$31:$E$48))*Impacts!$F$15,0)),0)</f>
        <v>0</v>
      </c>
      <c r="T139" s="10">
        <f>IF(Flare!$C$7="",0,(SUMIF(Flare!$B$46:$B$185,$J139,Flare!$E$46:$E$185)*Impacts!$F$16))</f>
        <v>0</v>
      </c>
      <c r="U139" s="10">
        <f>IF(VCU!$C$9="",0,(SUMIF(VCU!$B$51:$B$193,$J139,VCU!$E$51:$E$193)*Impacts!$F$17))</f>
        <v>0</v>
      </c>
      <c r="V139" s="10">
        <f>IF(CAS!$C$7="",0,(SUMIF(CAS!$B$31:$B$167,$J139,CAS!$E$31:$E$167)*Impacts!$F$18))</f>
        <v>0</v>
      </c>
      <c r="W139" s="10">
        <f t="shared" si="44"/>
        <v>0</v>
      </c>
      <c r="AG139" s="45"/>
      <c r="AH139" s="45"/>
      <c r="AI139" s="45"/>
      <c r="AJ139" s="45"/>
      <c r="AK139" s="10" t="str">
        <f t="array" ref="AK139">IFERROR(INDEX(SelectedSpecies,SMALL(IF(SelectedSpecies=AK$1,ROW(SelectedSpecies)),ROW(140:140)),2),"")</f>
        <v/>
      </c>
      <c r="BE139" s="10"/>
      <c r="BI139" s="10"/>
    </row>
    <row r="140" spans="1:61" ht="21" customHeight="1" x14ac:dyDescent="0.25">
      <c r="A140" s="10"/>
      <c r="B140" s="16" t="s">
        <v>148</v>
      </c>
      <c r="C140" s="10">
        <v>100</v>
      </c>
      <c r="D140" s="10">
        <v>249</v>
      </c>
      <c r="E140" s="17">
        <v>249</v>
      </c>
      <c r="I140" s="436" t="s">
        <v>3903</v>
      </c>
      <c r="J140" s="26" t="s">
        <v>3902</v>
      </c>
      <c r="K140" s="10">
        <v>6</v>
      </c>
      <c r="L140" s="73">
        <f>IF(Tank1!$C$23="No control",(SUMIF(Tank1!$B$32:$B$49,$J140,Tank1!$C$32:$C$49)*Impacts!$F$8),0)</f>
        <v>0</v>
      </c>
      <c r="M140" s="10">
        <f>IF(Tank2!$C$23="No control",(SUMIF(Tank2!$B$32:$B$49,$J140,Tank2!$C$32:$C$49)*Impacts!$F$9),0)</f>
        <v>0</v>
      </c>
      <c r="N140" s="10">
        <f>IF(Tank3!$C$23="No control",(SUMIF(Tank3!$B$32:$B$49,$J140,Tank3!$C$32:$C$49)*Impacts!$F$10),0)</f>
        <v>0</v>
      </c>
      <c r="O140" s="10">
        <f>IF(Tank4!$C$23="No control",(SUMIF(Tank4!$B$32:$B$49,$J140,Tank4!$C$32:$C$49)*Impacts!$F$11),0)</f>
        <v>0</v>
      </c>
      <c r="P140" s="10">
        <f>IF(Tank5!$C$23="No control",(SUMIF(Tank5!$B$32:$B$49,$J140,Tank5!$C$32:$C$49)*Impacts!$F$12),0)</f>
        <v>0</v>
      </c>
      <c r="Q140" s="10">
        <f>IFERROR(IF(('Loading-drum,tote'!$C$21)="No control",SUMIF(('Loading-drum,tote'!$B$31:$B$48),$J140,('Loading-drum,tote'!$D$31:$D$48))*Impacts!$F$13,IF(('Loading-drum,tote'!$C$21)&lt;&gt;"No control",SUMIF(('Loading-drum,tote'!$B$31:$B$48),$J140,('Loading-drum,tote'!$E$31:$E$48))*Impacts!$F$13,0)),0)</f>
        <v>0</v>
      </c>
      <c r="R140" s="10">
        <f>IFERROR(IF(('Loading-truck'!$C$21)="No control",SUMIF(('Loading-truck'!$B$31:$B$48),$J140,('Loading-truck'!$D$31:$D$48))*Impacts!$F$14,IF(('Loading-truck'!$C$21)&lt;&gt;"No control",SUMIF(('Loading-truck'!$B$31:$B$48),$J140,('Loading-truck'!$E$31:$E$48))*Impacts!$F$14,0)),0)</f>
        <v>0</v>
      </c>
      <c r="S140" s="10">
        <f>IFERROR(IF(('Loading-rail'!$C$21)="No control",SUMIF(('Loading-rail'!$B$31:$B$48),$J140,('Loading-rail'!$D$31:$D$48))*Impacts!$F$15,IF(('Loading-rail'!$C$21)&lt;&gt;"No control",SUMIF(('Loading-rail'!$B$31:$B$48),$J140,('Loading-rail'!$E$31:$E$48))*Impacts!$F$15,0)),0)</f>
        <v>0</v>
      </c>
      <c r="T140" s="10">
        <f>IF(Flare!$C$7="",0,(SUMIF(Flare!$B$46:$B$185,$J140,Flare!$E$46:$E$185)*Impacts!$F$16))</f>
        <v>0</v>
      </c>
      <c r="U140" s="10">
        <f>IF(VCU!$C$9="",0,(SUMIF(VCU!$B$51:$B$193,$J140,VCU!$E$51:$E$193)*Impacts!$F$17))</f>
        <v>0</v>
      </c>
      <c r="V140" s="10">
        <f>IF(CAS!$C$7="",0,(SUMIF(CAS!$B$31:$B$167,$J140,CAS!$E$31:$E$167)*Impacts!$F$18))</f>
        <v>0</v>
      </c>
      <c r="W140" s="10">
        <f t="shared" si="44"/>
        <v>0</v>
      </c>
      <c r="AG140" s="45"/>
      <c r="AH140" s="45"/>
      <c r="AI140" s="45"/>
      <c r="AJ140" s="45"/>
      <c r="AK140" s="10" t="str">
        <f t="array" ref="AK140">IFERROR(INDEX(SelectedSpecies,SMALL(IF(SelectedSpecies=AK$1,ROW(SelectedSpecies)),ROW(141:141)),2),"")</f>
        <v/>
      </c>
      <c r="BE140" s="10"/>
      <c r="BI140" s="10"/>
    </row>
    <row r="141" spans="1:61" ht="21" customHeight="1" x14ac:dyDescent="0.25">
      <c r="A141" s="10"/>
      <c r="B141" s="16" t="s">
        <v>149</v>
      </c>
      <c r="C141" s="10">
        <v>100</v>
      </c>
      <c r="D141" s="10">
        <v>249</v>
      </c>
      <c r="E141" s="17">
        <v>249</v>
      </c>
      <c r="I141" s="436" t="s">
        <v>7680</v>
      </c>
      <c r="J141" s="26" t="s">
        <v>7679</v>
      </c>
      <c r="K141" s="10">
        <v>0.1</v>
      </c>
      <c r="L141" s="73">
        <f>IF(Tank1!$C$23="No control",(SUMIF(Tank1!$B$32:$B$49,$J141,Tank1!$C$32:$C$49)*Impacts!$F$8),0)</f>
        <v>0</v>
      </c>
      <c r="M141" s="10">
        <f>IF(Tank2!$C$23="No control",(SUMIF(Tank2!$B$32:$B$49,$J141,Tank2!$C$32:$C$49)*Impacts!$F$9),0)</f>
        <v>0</v>
      </c>
      <c r="N141" s="10">
        <f>IF(Tank3!$C$23="No control",(SUMIF(Tank3!$B$32:$B$49,$J141,Tank3!$C$32:$C$49)*Impacts!$F$10),0)</f>
        <v>0</v>
      </c>
      <c r="O141" s="10">
        <f>IF(Tank4!$C$23="No control",(SUMIF(Tank4!$B$32:$B$49,$J141,Tank4!$C$32:$C$49)*Impacts!$F$11),0)</f>
        <v>0</v>
      </c>
      <c r="P141" s="10">
        <f>IF(Tank5!$C$23="No control",(SUMIF(Tank5!$B$32:$B$49,$J141,Tank5!$C$32:$C$49)*Impacts!$F$12),0)</f>
        <v>0</v>
      </c>
      <c r="Q141" s="10">
        <f>IFERROR(IF(('Loading-drum,tote'!$C$21)="No control",SUMIF(('Loading-drum,tote'!$B$31:$B$48),$J141,('Loading-drum,tote'!$D$31:$D$48))*Impacts!$F$13,IF(('Loading-drum,tote'!$C$21)&lt;&gt;"No control",SUMIF(('Loading-drum,tote'!$B$31:$B$48),$J141,('Loading-drum,tote'!$E$31:$E$48))*Impacts!$F$13,0)),0)</f>
        <v>0</v>
      </c>
      <c r="R141" s="10">
        <f>IFERROR(IF(('Loading-truck'!$C$21)="No control",SUMIF(('Loading-truck'!$B$31:$B$48),$J141,('Loading-truck'!$D$31:$D$48))*Impacts!$F$14,IF(('Loading-truck'!$C$21)&lt;&gt;"No control",SUMIF(('Loading-truck'!$B$31:$B$48),$J141,('Loading-truck'!$E$31:$E$48))*Impacts!$F$14,0)),0)</f>
        <v>0</v>
      </c>
      <c r="S141" s="10">
        <f>IFERROR(IF(('Loading-rail'!$C$21)="No control",SUMIF(('Loading-rail'!$B$31:$B$48),$J141,('Loading-rail'!$D$31:$D$48))*Impacts!$F$15,IF(('Loading-rail'!$C$21)&lt;&gt;"No control",SUMIF(('Loading-rail'!$B$31:$B$48),$J141,('Loading-rail'!$E$31:$E$48))*Impacts!$F$15,0)),0)</f>
        <v>0</v>
      </c>
      <c r="T141" s="10">
        <f>IF(Flare!$C$7="",0,(SUMIF(Flare!$B$46:$B$185,$J141,Flare!$E$46:$E$185)*Impacts!$F$16))</f>
        <v>0</v>
      </c>
      <c r="U141" s="10">
        <f>IF(VCU!$C$9="",0,(SUMIF(VCU!$B$51:$B$193,$J141,VCU!$E$51:$E$193)*Impacts!$F$17))</f>
        <v>0</v>
      </c>
      <c r="V141" s="10">
        <f>IF(CAS!$C$7="",0,(SUMIF(CAS!$B$31:$B$167,$J141,CAS!$E$31:$E$167)*Impacts!$F$18))</f>
        <v>0</v>
      </c>
      <c r="W141" s="10">
        <f t="shared" si="44"/>
        <v>0</v>
      </c>
      <c r="AG141" s="45"/>
      <c r="AH141" s="45"/>
      <c r="AI141" s="45"/>
      <c r="AJ141" s="45"/>
      <c r="AK141" s="10" t="str">
        <f t="array" ref="AK141">IFERROR(INDEX(SelectedSpecies,SMALL(IF(SelectedSpecies=AK$1,ROW(SelectedSpecies)),ROW(142:142)),2),"")</f>
        <v/>
      </c>
      <c r="BE141" s="10"/>
      <c r="BI141" s="10"/>
    </row>
    <row r="142" spans="1:61" ht="21" customHeight="1" x14ac:dyDescent="0.25">
      <c r="A142" s="10"/>
      <c r="B142" s="16" t="s">
        <v>150</v>
      </c>
      <c r="C142" s="10">
        <v>100</v>
      </c>
      <c r="D142" s="10">
        <v>249</v>
      </c>
      <c r="E142" s="17">
        <v>249</v>
      </c>
      <c r="I142" s="436" t="s">
        <v>3637</v>
      </c>
      <c r="J142" s="26" t="s">
        <v>3636</v>
      </c>
      <c r="K142" s="10">
        <v>7.2</v>
      </c>
      <c r="L142" s="73">
        <f>IF(Tank1!$C$23="No control",(SUMIF(Tank1!$B$32:$B$49,$J142,Tank1!$C$32:$C$49)*Impacts!$F$8),0)</f>
        <v>0</v>
      </c>
      <c r="M142" s="10">
        <f>IF(Tank2!$C$23="No control",(SUMIF(Tank2!$B$32:$B$49,$J142,Tank2!$C$32:$C$49)*Impacts!$F$9),0)</f>
        <v>0</v>
      </c>
      <c r="N142" s="10">
        <f>IF(Tank3!$C$23="No control",(SUMIF(Tank3!$B$32:$B$49,$J142,Tank3!$C$32:$C$49)*Impacts!$F$10),0)</f>
        <v>0</v>
      </c>
      <c r="O142" s="10">
        <f>IF(Tank4!$C$23="No control",(SUMIF(Tank4!$B$32:$B$49,$J142,Tank4!$C$32:$C$49)*Impacts!$F$11),0)</f>
        <v>0</v>
      </c>
      <c r="P142" s="10">
        <f>IF(Tank5!$C$23="No control",(SUMIF(Tank5!$B$32:$B$49,$J142,Tank5!$C$32:$C$49)*Impacts!$F$12),0)</f>
        <v>0</v>
      </c>
      <c r="Q142" s="10">
        <f>IFERROR(IF(('Loading-drum,tote'!$C$21)="No control",SUMIF(('Loading-drum,tote'!$B$31:$B$48),$J142,('Loading-drum,tote'!$D$31:$D$48))*Impacts!$F$13,IF(('Loading-drum,tote'!$C$21)&lt;&gt;"No control",SUMIF(('Loading-drum,tote'!$B$31:$B$48),$J142,('Loading-drum,tote'!$E$31:$E$48))*Impacts!$F$13,0)),0)</f>
        <v>0</v>
      </c>
      <c r="R142" s="10">
        <f>IFERROR(IF(('Loading-truck'!$C$21)="No control",SUMIF(('Loading-truck'!$B$31:$B$48),$J142,('Loading-truck'!$D$31:$D$48))*Impacts!$F$14,IF(('Loading-truck'!$C$21)&lt;&gt;"No control",SUMIF(('Loading-truck'!$B$31:$B$48),$J142,('Loading-truck'!$E$31:$E$48))*Impacts!$F$14,0)),0)</f>
        <v>0</v>
      </c>
      <c r="S142" s="10">
        <f>IFERROR(IF(('Loading-rail'!$C$21)="No control",SUMIF(('Loading-rail'!$B$31:$B$48),$J142,('Loading-rail'!$D$31:$D$48))*Impacts!$F$15,IF(('Loading-rail'!$C$21)&lt;&gt;"No control",SUMIF(('Loading-rail'!$B$31:$B$48),$J142,('Loading-rail'!$E$31:$E$48))*Impacts!$F$15,0)),0)</f>
        <v>0</v>
      </c>
      <c r="T142" s="10">
        <f>IF(Flare!$C$7="",0,(SUMIF(Flare!$B$46:$B$185,$J142,Flare!$E$46:$E$185)*Impacts!$F$16))</f>
        <v>0</v>
      </c>
      <c r="U142" s="10">
        <f>IF(VCU!$C$9="",0,(SUMIF(VCU!$B$51:$B$193,$J142,VCU!$E$51:$E$193)*Impacts!$F$17))</f>
        <v>0</v>
      </c>
      <c r="V142" s="10">
        <f>IF(CAS!$C$7="",0,(SUMIF(CAS!$B$31:$B$167,$J142,CAS!$E$31:$E$167)*Impacts!$F$18))</f>
        <v>0</v>
      </c>
      <c r="W142" s="10">
        <f t="shared" si="44"/>
        <v>0</v>
      </c>
      <c r="AG142" s="45"/>
      <c r="AH142" s="45"/>
      <c r="AI142" s="45"/>
      <c r="AJ142" s="45"/>
      <c r="AK142" s="10" t="str">
        <f t="array" ref="AK142">IFERROR(INDEX(SelectedSpecies,SMALL(IF(SelectedSpecies=AK$1,ROW(SelectedSpecies)),ROW(143:143)),2),"")</f>
        <v/>
      </c>
      <c r="BE142" s="10"/>
      <c r="BI142" s="10"/>
    </row>
    <row r="143" spans="1:61" ht="21" customHeight="1" x14ac:dyDescent="0.25">
      <c r="A143" s="10"/>
      <c r="B143" s="16" t="s">
        <v>151</v>
      </c>
      <c r="C143" s="10">
        <v>100</v>
      </c>
      <c r="D143" s="10">
        <v>249</v>
      </c>
      <c r="E143" s="17">
        <v>249</v>
      </c>
      <c r="I143" s="436" t="s">
        <v>1518</v>
      </c>
      <c r="J143" s="26" t="s">
        <v>1517</v>
      </c>
      <c r="K143" s="10">
        <v>27.400000000000002</v>
      </c>
      <c r="L143" s="73">
        <f>IF(Tank1!$C$23="No control",(SUMIF(Tank1!$B$32:$B$49,$J143,Tank1!$C$32:$C$49)*Impacts!$F$8),0)</f>
        <v>0</v>
      </c>
      <c r="M143" s="10">
        <f>IF(Tank2!$C$23="No control",(SUMIF(Tank2!$B$32:$B$49,$J143,Tank2!$C$32:$C$49)*Impacts!$F$9),0)</f>
        <v>0</v>
      </c>
      <c r="N143" s="10">
        <f>IF(Tank3!$C$23="No control",(SUMIF(Tank3!$B$32:$B$49,$J143,Tank3!$C$32:$C$49)*Impacts!$F$10),0)</f>
        <v>0</v>
      </c>
      <c r="O143" s="10">
        <f>IF(Tank4!$C$23="No control",(SUMIF(Tank4!$B$32:$B$49,$J143,Tank4!$C$32:$C$49)*Impacts!$F$11),0)</f>
        <v>0</v>
      </c>
      <c r="P143" s="10">
        <f>IF(Tank5!$C$23="No control",(SUMIF(Tank5!$B$32:$B$49,$J143,Tank5!$C$32:$C$49)*Impacts!$F$12),0)</f>
        <v>0</v>
      </c>
      <c r="Q143" s="10">
        <f>IFERROR(IF(('Loading-drum,tote'!$C$21)="No control",SUMIF(('Loading-drum,tote'!$B$31:$B$48),$J143,('Loading-drum,tote'!$D$31:$D$48))*Impacts!$F$13,IF(('Loading-drum,tote'!$C$21)&lt;&gt;"No control",SUMIF(('Loading-drum,tote'!$B$31:$B$48),$J143,('Loading-drum,tote'!$E$31:$E$48))*Impacts!$F$13,0)),0)</f>
        <v>0</v>
      </c>
      <c r="R143" s="10">
        <f>IFERROR(IF(('Loading-truck'!$C$21)="No control",SUMIF(('Loading-truck'!$B$31:$B$48),$J143,('Loading-truck'!$D$31:$D$48))*Impacts!$F$14,IF(('Loading-truck'!$C$21)&lt;&gt;"No control",SUMIF(('Loading-truck'!$B$31:$B$48),$J143,('Loading-truck'!$E$31:$E$48))*Impacts!$F$14,0)),0)</f>
        <v>0</v>
      </c>
      <c r="S143" s="10">
        <f>IFERROR(IF(('Loading-rail'!$C$21)="No control",SUMIF(('Loading-rail'!$B$31:$B$48),$J143,('Loading-rail'!$D$31:$D$48))*Impacts!$F$15,IF(('Loading-rail'!$C$21)&lt;&gt;"No control",SUMIF(('Loading-rail'!$B$31:$B$48),$J143,('Loading-rail'!$E$31:$E$48))*Impacts!$F$15,0)),0)</f>
        <v>0</v>
      </c>
      <c r="T143" s="10">
        <f>IF(Flare!$C$7="",0,(SUMIF(Flare!$B$46:$B$185,$J143,Flare!$E$46:$E$185)*Impacts!$F$16))</f>
        <v>0</v>
      </c>
      <c r="U143" s="10">
        <f>IF(VCU!$C$9="",0,(SUMIF(VCU!$B$51:$B$193,$J143,VCU!$E$51:$E$193)*Impacts!$F$17))</f>
        <v>0</v>
      </c>
      <c r="V143" s="10">
        <f>IF(CAS!$C$7="",0,(SUMIF(CAS!$B$31:$B$167,$J143,CAS!$E$31:$E$167)*Impacts!$F$18))</f>
        <v>0</v>
      </c>
      <c r="W143" s="10">
        <f t="shared" si="44"/>
        <v>0</v>
      </c>
      <c r="AG143" s="45"/>
      <c r="AH143" s="45"/>
      <c r="AI143" s="45"/>
      <c r="AJ143" s="45"/>
      <c r="AK143" s="10" t="str">
        <f t="array" ref="AK143">IFERROR(INDEX(SelectedSpecies,SMALL(IF(SelectedSpecies=AK$1,ROW(SelectedSpecies)),ROW(144:144)),2),"")</f>
        <v/>
      </c>
      <c r="BE143" s="10"/>
      <c r="BI143" s="10"/>
    </row>
    <row r="144" spans="1:61" ht="21" customHeight="1" x14ac:dyDescent="0.25">
      <c r="A144" s="10"/>
      <c r="B144" s="16" t="s">
        <v>152</v>
      </c>
      <c r="C144" s="10">
        <v>100</v>
      </c>
      <c r="D144" s="10">
        <v>249</v>
      </c>
      <c r="E144" s="17">
        <v>249</v>
      </c>
      <c r="I144" s="436" t="s">
        <v>5654</v>
      </c>
      <c r="J144" s="26" t="s">
        <v>5653</v>
      </c>
      <c r="K144" s="10">
        <v>1</v>
      </c>
      <c r="L144" s="73">
        <f>IF(Tank1!$C$23="No control",(SUMIF(Tank1!$B$32:$B$49,$J144,Tank1!$C$32:$C$49)*Impacts!$F$8),0)</f>
        <v>0</v>
      </c>
      <c r="M144" s="10">
        <f>IF(Tank2!$C$23="No control",(SUMIF(Tank2!$B$32:$B$49,$J144,Tank2!$C$32:$C$49)*Impacts!$F$9),0)</f>
        <v>0</v>
      </c>
      <c r="N144" s="10">
        <f>IF(Tank3!$C$23="No control",(SUMIF(Tank3!$B$32:$B$49,$J144,Tank3!$C$32:$C$49)*Impacts!$F$10),0)</f>
        <v>0</v>
      </c>
      <c r="O144" s="10">
        <f>IF(Tank4!$C$23="No control",(SUMIF(Tank4!$B$32:$B$49,$J144,Tank4!$C$32:$C$49)*Impacts!$F$11),0)</f>
        <v>0</v>
      </c>
      <c r="P144" s="10">
        <f>IF(Tank5!$C$23="No control",(SUMIF(Tank5!$B$32:$B$49,$J144,Tank5!$C$32:$C$49)*Impacts!$F$12),0)</f>
        <v>0</v>
      </c>
      <c r="Q144" s="10">
        <f>IFERROR(IF(('Loading-drum,tote'!$C$21)="No control",SUMIF(('Loading-drum,tote'!$B$31:$B$48),$J144,('Loading-drum,tote'!$D$31:$D$48))*Impacts!$F$13,IF(('Loading-drum,tote'!$C$21)&lt;&gt;"No control",SUMIF(('Loading-drum,tote'!$B$31:$B$48),$J144,('Loading-drum,tote'!$E$31:$E$48))*Impacts!$F$13,0)),0)</f>
        <v>0</v>
      </c>
      <c r="R144" s="10">
        <f>IFERROR(IF(('Loading-truck'!$C$21)="No control",SUMIF(('Loading-truck'!$B$31:$B$48),$J144,('Loading-truck'!$D$31:$D$48))*Impacts!$F$14,IF(('Loading-truck'!$C$21)&lt;&gt;"No control",SUMIF(('Loading-truck'!$B$31:$B$48),$J144,('Loading-truck'!$E$31:$E$48))*Impacts!$F$14,0)),0)</f>
        <v>0</v>
      </c>
      <c r="S144" s="10">
        <f>IFERROR(IF(('Loading-rail'!$C$21)="No control",SUMIF(('Loading-rail'!$B$31:$B$48),$J144,('Loading-rail'!$D$31:$D$48))*Impacts!$F$15,IF(('Loading-rail'!$C$21)&lt;&gt;"No control",SUMIF(('Loading-rail'!$B$31:$B$48),$J144,('Loading-rail'!$E$31:$E$48))*Impacts!$F$15,0)),0)</f>
        <v>0</v>
      </c>
      <c r="T144" s="10">
        <f>IF(Flare!$C$7="",0,(SUMIF(Flare!$B$46:$B$185,$J144,Flare!$E$46:$E$185)*Impacts!$F$16))</f>
        <v>0</v>
      </c>
      <c r="U144" s="10">
        <f>IF(VCU!$C$9="",0,(SUMIF(VCU!$B$51:$B$193,$J144,VCU!$E$51:$E$193)*Impacts!$F$17))</f>
        <v>0</v>
      </c>
      <c r="V144" s="10">
        <f>IF(CAS!$C$7="",0,(SUMIF(CAS!$B$31:$B$167,$J144,CAS!$E$31:$E$167)*Impacts!$F$18))</f>
        <v>0</v>
      </c>
      <c r="W144" s="10">
        <f t="shared" si="44"/>
        <v>0</v>
      </c>
      <c r="AG144" s="45"/>
      <c r="AH144" s="45"/>
      <c r="AI144" s="45"/>
      <c r="AJ144" s="45"/>
      <c r="AK144" s="10" t="str">
        <f t="array" ref="AK144">IFERROR(INDEX(SelectedSpecies,SMALL(IF(SelectedSpecies=AK$1,ROW(SelectedSpecies)),ROW(145:145)),2),"")</f>
        <v/>
      </c>
      <c r="BE144" s="10"/>
      <c r="BI144" s="10"/>
    </row>
    <row r="145" spans="1:61" ht="21" customHeight="1" x14ac:dyDescent="0.25">
      <c r="A145" s="10"/>
      <c r="B145" s="16" t="s">
        <v>153</v>
      </c>
      <c r="C145" s="10">
        <v>100</v>
      </c>
      <c r="D145" s="10">
        <v>249</v>
      </c>
      <c r="E145" s="17">
        <v>249</v>
      </c>
      <c r="I145" s="436" t="s">
        <v>5656</v>
      </c>
      <c r="J145" s="26" t="s">
        <v>5655</v>
      </c>
      <c r="K145" s="10">
        <v>1</v>
      </c>
      <c r="L145" s="73">
        <f>IF(Tank1!$C$23="No control",(SUMIF(Tank1!$B$32:$B$49,$J145,Tank1!$C$32:$C$49)*Impacts!$F$8),0)</f>
        <v>0</v>
      </c>
      <c r="M145" s="10">
        <f>IF(Tank2!$C$23="No control",(SUMIF(Tank2!$B$32:$B$49,$J145,Tank2!$C$32:$C$49)*Impacts!$F$9),0)</f>
        <v>0</v>
      </c>
      <c r="N145" s="10">
        <f>IF(Tank3!$C$23="No control",(SUMIF(Tank3!$B$32:$B$49,$J145,Tank3!$C$32:$C$49)*Impacts!$F$10),0)</f>
        <v>0</v>
      </c>
      <c r="O145" s="10">
        <f>IF(Tank4!$C$23="No control",(SUMIF(Tank4!$B$32:$B$49,$J145,Tank4!$C$32:$C$49)*Impacts!$F$11),0)</f>
        <v>0</v>
      </c>
      <c r="P145" s="10">
        <f>IF(Tank5!$C$23="No control",(SUMIF(Tank5!$B$32:$B$49,$J145,Tank5!$C$32:$C$49)*Impacts!$F$12),0)</f>
        <v>0</v>
      </c>
      <c r="Q145" s="10">
        <f>IFERROR(IF(('Loading-drum,tote'!$C$21)="No control",SUMIF(('Loading-drum,tote'!$B$31:$B$48),$J145,('Loading-drum,tote'!$D$31:$D$48))*Impacts!$F$13,IF(('Loading-drum,tote'!$C$21)&lt;&gt;"No control",SUMIF(('Loading-drum,tote'!$B$31:$B$48),$J145,('Loading-drum,tote'!$E$31:$E$48))*Impacts!$F$13,0)),0)</f>
        <v>0</v>
      </c>
      <c r="R145" s="10">
        <f>IFERROR(IF(('Loading-truck'!$C$21)="No control",SUMIF(('Loading-truck'!$B$31:$B$48),$J145,('Loading-truck'!$D$31:$D$48))*Impacts!$F$14,IF(('Loading-truck'!$C$21)&lt;&gt;"No control",SUMIF(('Loading-truck'!$B$31:$B$48),$J145,('Loading-truck'!$E$31:$E$48))*Impacts!$F$14,0)),0)</f>
        <v>0</v>
      </c>
      <c r="S145" s="10">
        <f>IFERROR(IF(('Loading-rail'!$C$21)="No control",SUMIF(('Loading-rail'!$B$31:$B$48),$J145,('Loading-rail'!$D$31:$D$48))*Impacts!$F$15,IF(('Loading-rail'!$C$21)&lt;&gt;"No control",SUMIF(('Loading-rail'!$B$31:$B$48),$J145,('Loading-rail'!$E$31:$E$48))*Impacts!$F$15,0)),0)</f>
        <v>0</v>
      </c>
      <c r="T145" s="10">
        <f>IF(Flare!$C$7="",0,(SUMIF(Flare!$B$46:$B$185,$J145,Flare!$E$46:$E$185)*Impacts!$F$16))</f>
        <v>0</v>
      </c>
      <c r="U145" s="10">
        <f>IF(VCU!$C$9="",0,(SUMIF(VCU!$B$51:$B$193,$J145,VCU!$E$51:$E$193)*Impacts!$F$17))</f>
        <v>0</v>
      </c>
      <c r="V145" s="10">
        <f>IF(CAS!$C$7="",0,(SUMIF(CAS!$B$31:$B$167,$J145,CAS!$E$31:$E$167)*Impacts!$F$18))</f>
        <v>0</v>
      </c>
      <c r="W145" s="10">
        <f t="shared" si="44"/>
        <v>0</v>
      </c>
      <c r="AG145" s="45"/>
      <c r="AH145" s="45"/>
      <c r="AI145" s="45"/>
      <c r="AJ145" s="45"/>
      <c r="AK145" s="10" t="str">
        <f t="array" ref="AK145">IFERROR(INDEX(SelectedSpecies,SMALL(IF(SelectedSpecies=AK$1,ROW(SelectedSpecies)),ROW(146:146)),2),"")</f>
        <v/>
      </c>
      <c r="BE145" s="10"/>
      <c r="BI145" s="10"/>
    </row>
    <row r="146" spans="1:61" ht="21" customHeight="1" x14ac:dyDescent="0.25">
      <c r="A146" s="10"/>
      <c r="B146" s="16" t="s">
        <v>154</v>
      </c>
      <c r="C146" s="10">
        <v>100</v>
      </c>
      <c r="D146" s="10">
        <v>249</v>
      </c>
      <c r="E146" s="17">
        <v>249</v>
      </c>
      <c r="I146" s="436" t="s">
        <v>4149</v>
      </c>
      <c r="J146" s="26" t="s">
        <v>4148</v>
      </c>
      <c r="K146" s="10">
        <v>5</v>
      </c>
      <c r="L146" s="73">
        <f>IF(Tank1!$C$23="No control",(SUMIF(Tank1!$B$32:$B$49,$J146,Tank1!$C$32:$C$49)*Impacts!$F$8),0)</f>
        <v>0</v>
      </c>
      <c r="M146" s="10">
        <f>IF(Tank2!$C$23="No control",(SUMIF(Tank2!$B$32:$B$49,$J146,Tank2!$C$32:$C$49)*Impacts!$F$9),0)</f>
        <v>0</v>
      </c>
      <c r="N146" s="10">
        <f>IF(Tank3!$C$23="No control",(SUMIF(Tank3!$B$32:$B$49,$J146,Tank3!$C$32:$C$49)*Impacts!$F$10),0)</f>
        <v>0</v>
      </c>
      <c r="O146" s="10">
        <f>IF(Tank4!$C$23="No control",(SUMIF(Tank4!$B$32:$B$49,$J146,Tank4!$C$32:$C$49)*Impacts!$F$11),0)</f>
        <v>0</v>
      </c>
      <c r="P146" s="10">
        <f>IF(Tank5!$C$23="No control",(SUMIF(Tank5!$B$32:$B$49,$J146,Tank5!$C$32:$C$49)*Impacts!$F$12),0)</f>
        <v>0</v>
      </c>
      <c r="Q146" s="10">
        <f>IFERROR(IF(('Loading-drum,tote'!$C$21)="No control",SUMIF(('Loading-drum,tote'!$B$31:$B$48),$J146,('Loading-drum,tote'!$D$31:$D$48))*Impacts!$F$13,IF(('Loading-drum,tote'!$C$21)&lt;&gt;"No control",SUMIF(('Loading-drum,tote'!$B$31:$B$48),$J146,('Loading-drum,tote'!$E$31:$E$48))*Impacts!$F$13,0)),0)</f>
        <v>0</v>
      </c>
      <c r="R146" s="10">
        <f>IFERROR(IF(('Loading-truck'!$C$21)="No control",SUMIF(('Loading-truck'!$B$31:$B$48),$J146,('Loading-truck'!$D$31:$D$48))*Impacts!$F$14,IF(('Loading-truck'!$C$21)&lt;&gt;"No control",SUMIF(('Loading-truck'!$B$31:$B$48),$J146,('Loading-truck'!$E$31:$E$48))*Impacts!$F$14,0)),0)</f>
        <v>0</v>
      </c>
      <c r="S146" s="10">
        <f>IFERROR(IF(('Loading-rail'!$C$21)="No control",SUMIF(('Loading-rail'!$B$31:$B$48),$J146,('Loading-rail'!$D$31:$D$48))*Impacts!$F$15,IF(('Loading-rail'!$C$21)&lt;&gt;"No control",SUMIF(('Loading-rail'!$B$31:$B$48),$J146,('Loading-rail'!$E$31:$E$48))*Impacts!$F$15,0)),0)</f>
        <v>0</v>
      </c>
      <c r="T146" s="10">
        <f>IF(Flare!$C$7="",0,(SUMIF(Flare!$B$46:$B$185,$J146,Flare!$E$46:$E$185)*Impacts!$F$16))</f>
        <v>0</v>
      </c>
      <c r="U146" s="10">
        <f>IF(VCU!$C$9="",0,(SUMIF(VCU!$B$51:$B$193,$J146,VCU!$E$51:$E$193)*Impacts!$F$17))</f>
        <v>0</v>
      </c>
      <c r="V146" s="10">
        <f>IF(CAS!$C$7="",0,(SUMIF(CAS!$B$31:$B$167,$J146,CAS!$E$31:$E$167)*Impacts!$F$18))</f>
        <v>0</v>
      </c>
      <c r="W146" s="10">
        <f t="shared" si="44"/>
        <v>0</v>
      </c>
      <c r="AG146" s="45"/>
      <c r="AH146" s="45"/>
      <c r="AI146" s="45"/>
      <c r="AJ146" s="45"/>
      <c r="AK146" s="10" t="str">
        <f t="array" ref="AK146">IFERROR(INDEX(SelectedSpecies,SMALL(IF(SelectedSpecies=AK$1,ROW(SelectedSpecies)),ROW(147:147)),2),"")</f>
        <v/>
      </c>
      <c r="BE146" s="10"/>
      <c r="BI146" s="10"/>
    </row>
    <row r="147" spans="1:61" ht="21" customHeight="1" x14ac:dyDescent="0.25">
      <c r="A147" s="10"/>
      <c r="B147" s="16" t="s">
        <v>155</v>
      </c>
      <c r="C147" s="10">
        <v>100</v>
      </c>
      <c r="D147" s="10">
        <v>249</v>
      </c>
      <c r="E147" s="17">
        <v>249</v>
      </c>
      <c r="I147" s="436" t="s">
        <v>3639</v>
      </c>
      <c r="J147" s="26" t="s">
        <v>3638</v>
      </c>
      <c r="K147" s="10">
        <v>7.2</v>
      </c>
      <c r="L147" s="73">
        <f>IF(Tank1!$C$23="No control",(SUMIF(Tank1!$B$32:$B$49,$J147,Tank1!$C$32:$C$49)*Impacts!$F$8),0)</f>
        <v>0</v>
      </c>
      <c r="M147" s="10">
        <f>IF(Tank2!$C$23="No control",(SUMIF(Tank2!$B$32:$B$49,$J147,Tank2!$C$32:$C$49)*Impacts!$F$9),0)</f>
        <v>0</v>
      </c>
      <c r="N147" s="10">
        <f>IF(Tank3!$C$23="No control",(SUMIF(Tank3!$B$32:$B$49,$J147,Tank3!$C$32:$C$49)*Impacts!$F$10),0)</f>
        <v>0</v>
      </c>
      <c r="O147" s="10">
        <f>IF(Tank4!$C$23="No control",(SUMIF(Tank4!$B$32:$B$49,$J147,Tank4!$C$32:$C$49)*Impacts!$F$11),0)</f>
        <v>0</v>
      </c>
      <c r="P147" s="10">
        <f>IF(Tank5!$C$23="No control",(SUMIF(Tank5!$B$32:$B$49,$J147,Tank5!$C$32:$C$49)*Impacts!$F$12),0)</f>
        <v>0</v>
      </c>
      <c r="Q147" s="10">
        <f>IFERROR(IF(('Loading-drum,tote'!$C$21)="No control",SUMIF(('Loading-drum,tote'!$B$31:$B$48),$J147,('Loading-drum,tote'!$D$31:$D$48))*Impacts!$F$13,IF(('Loading-drum,tote'!$C$21)&lt;&gt;"No control",SUMIF(('Loading-drum,tote'!$B$31:$B$48),$J147,('Loading-drum,tote'!$E$31:$E$48))*Impacts!$F$13,0)),0)</f>
        <v>0</v>
      </c>
      <c r="R147" s="10">
        <f>IFERROR(IF(('Loading-truck'!$C$21)="No control",SUMIF(('Loading-truck'!$B$31:$B$48),$J147,('Loading-truck'!$D$31:$D$48))*Impacts!$F$14,IF(('Loading-truck'!$C$21)&lt;&gt;"No control",SUMIF(('Loading-truck'!$B$31:$B$48),$J147,('Loading-truck'!$E$31:$E$48))*Impacts!$F$14,0)),0)</f>
        <v>0</v>
      </c>
      <c r="S147" s="10">
        <f>IFERROR(IF(('Loading-rail'!$C$21)="No control",SUMIF(('Loading-rail'!$B$31:$B$48),$J147,('Loading-rail'!$D$31:$D$48))*Impacts!$F$15,IF(('Loading-rail'!$C$21)&lt;&gt;"No control",SUMIF(('Loading-rail'!$B$31:$B$48),$J147,('Loading-rail'!$E$31:$E$48))*Impacts!$F$15,0)),0)</f>
        <v>0</v>
      </c>
      <c r="T147" s="10">
        <f>IF(Flare!$C$7="",0,(SUMIF(Flare!$B$46:$B$185,$J147,Flare!$E$46:$E$185)*Impacts!$F$16))</f>
        <v>0</v>
      </c>
      <c r="U147" s="10">
        <f>IF(VCU!$C$9="",0,(SUMIF(VCU!$B$51:$B$193,$J147,VCU!$E$51:$E$193)*Impacts!$F$17))</f>
        <v>0</v>
      </c>
      <c r="V147" s="10">
        <f>IF(CAS!$C$7="",0,(SUMIF(CAS!$B$31:$B$167,$J147,CAS!$E$31:$E$167)*Impacts!$F$18))</f>
        <v>0</v>
      </c>
      <c r="W147" s="10">
        <f t="shared" si="44"/>
        <v>0</v>
      </c>
      <c r="AG147" s="45"/>
      <c r="AH147" s="45"/>
      <c r="AI147" s="45"/>
      <c r="AJ147" s="45"/>
      <c r="AK147" s="10" t="str">
        <f t="array" ref="AK147">IFERROR(INDEX(SelectedSpecies,SMALL(IF(SelectedSpecies=AK$1,ROW(SelectedSpecies)),ROW(148:148)),2),"")</f>
        <v/>
      </c>
      <c r="BE147" s="10"/>
      <c r="BI147" s="10"/>
    </row>
    <row r="148" spans="1:61" ht="21" customHeight="1" x14ac:dyDescent="0.25">
      <c r="A148" s="10"/>
      <c r="B148" s="16" t="s">
        <v>156</v>
      </c>
      <c r="C148" s="10">
        <v>100</v>
      </c>
      <c r="D148" s="10">
        <v>100</v>
      </c>
      <c r="E148" s="17">
        <v>249</v>
      </c>
      <c r="I148" s="436" t="s">
        <v>2397</v>
      </c>
      <c r="J148" s="26" t="s">
        <v>2396</v>
      </c>
      <c r="K148" s="10">
        <v>10</v>
      </c>
      <c r="L148" s="73">
        <f>IF(Tank1!$C$23="No control",(SUMIF(Tank1!$B$32:$B$49,$J148,Tank1!$C$32:$C$49)*Impacts!$F$8),0)</f>
        <v>0</v>
      </c>
      <c r="M148" s="10">
        <f>IF(Tank2!$C$23="No control",(SUMIF(Tank2!$B$32:$B$49,$J148,Tank2!$C$32:$C$49)*Impacts!$F$9),0)</f>
        <v>0</v>
      </c>
      <c r="N148" s="10">
        <f>IF(Tank3!$C$23="No control",(SUMIF(Tank3!$B$32:$B$49,$J148,Tank3!$C$32:$C$49)*Impacts!$F$10),0)</f>
        <v>0</v>
      </c>
      <c r="O148" s="10">
        <f>IF(Tank4!$C$23="No control",(SUMIF(Tank4!$B$32:$B$49,$J148,Tank4!$C$32:$C$49)*Impacts!$F$11),0)</f>
        <v>0</v>
      </c>
      <c r="P148" s="10">
        <f>IF(Tank5!$C$23="No control",(SUMIF(Tank5!$B$32:$B$49,$J148,Tank5!$C$32:$C$49)*Impacts!$F$12),0)</f>
        <v>0</v>
      </c>
      <c r="Q148" s="10">
        <f>IFERROR(IF(('Loading-drum,tote'!$C$21)="No control",SUMIF(('Loading-drum,tote'!$B$31:$B$48),$J148,('Loading-drum,tote'!$D$31:$D$48))*Impacts!$F$13,IF(('Loading-drum,tote'!$C$21)&lt;&gt;"No control",SUMIF(('Loading-drum,tote'!$B$31:$B$48),$J148,('Loading-drum,tote'!$E$31:$E$48))*Impacts!$F$13,0)),0)</f>
        <v>0</v>
      </c>
      <c r="R148" s="10">
        <f>IFERROR(IF(('Loading-truck'!$C$21)="No control",SUMIF(('Loading-truck'!$B$31:$B$48),$J148,('Loading-truck'!$D$31:$D$48))*Impacts!$F$14,IF(('Loading-truck'!$C$21)&lt;&gt;"No control",SUMIF(('Loading-truck'!$B$31:$B$48),$J148,('Loading-truck'!$E$31:$E$48))*Impacts!$F$14,0)),0)</f>
        <v>0</v>
      </c>
      <c r="S148" s="10">
        <f>IFERROR(IF(('Loading-rail'!$C$21)="No control",SUMIF(('Loading-rail'!$B$31:$B$48),$J148,('Loading-rail'!$D$31:$D$48))*Impacts!$F$15,IF(('Loading-rail'!$C$21)&lt;&gt;"No control",SUMIF(('Loading-rail'!$B$31:$B$48),$J148,('Loading-rail'!$E$31:$E$48))*Impacts!$F$15,0)),0)</f>
        <v>0</v>
      </c>
      <c r="T148" s="10">
        <f>IF(Flare!$C$7="",0,(SUMIF(Flare!$B$46:$B$185,$J148,Flare!$E$46:$E$185)*Impacts!$F$16))</f>
        <v>0</v>
      </c>
      <c r="U148" s="10">
        <f>IF(VCU!$C$9="",0,(SUMIF(VCU!$B$51:$B$193,$J148,VCU!$E$51:$E$193)*Impacts!$F$17))</f>
        <v>0</v>
      </c>
      <c r="V148" s="10">
        <f>IF(CAS!$C$7="",0,(SUMIF(CAS!$B$31:$B$167,$J148,CAS!$E$31:$E$167)*Impacts!$F$18))</f>
        <v>0</v>
      </c>
      <c r="W148" s="10">
        <f t="shared" si="44"/>
        <v>0</v>
      </c>
      <c r="AG148" s="45"/>
      <c r="AH148" s="45"/>
      <c r="AI148" s="45"/>
      <c r="AJ148" s="45"/>
      <c r="AK148" s="10" t="str">
        <f t="array" ref="AK148">IFERROR(INDEX(SelectedSpecies,SMALL(IF(SelectedSpecies=AK$1,ROW(SelectedSpecies)),ROW(149:149)),2),"")</f>
        <v/>
      </c>
      <c r="BE148" s="10"/>
      <c r="BI148" s="10"/>
    </row>
    <row r="149" spans="1:61" ht="21" customHeight="1" x14ac:dyDescent="0.25">
      <c r="A149" s="10"/>
      <c r="B149" s="16" t="s">
        <v>157</v>
      </c>
      <c r="C149" s="10">
        <v>100</v>
      </c>
      <c r="D149" s="10">
        <v>249</v>
      </c>
      <c r="E149" s="17">
        <v>249</v>
      </c>
      <c r="I149" s="436" t="s">
        <v>1787</v>
      </c>
      <c r="J149" s="26" t="s">
        <v>1786</v>
      </c>
      <c r="K149" s="10">
        <v>22</v>
      </c>
      <c r="L149" s="73">
        <f>IF(Tank1!$C$23="No control",(SUMIF(Tank1!$B$32:$B$49,$J149,Tank1!$C$32:$C$49)*Impacts!$F$8),0)</f>
        <v>0</v>
      </c>
      <c r="M149" s="10">
        <f>IF(Tank2!$C$23="No control",(SUMIF(Tank2!$B$32:$B$49,$J149,Tank2!$C$32:$C$49)*Impacts!$F$9),0)</f>
        <v>0</v>
      </c>
      <c r="N149" s="10">
        <f>IF(Tank3!$C$23="No control",(SUMIF(Tank3!$B$32:$B$49,$J149,Tank3!$C$32:$C$49)*Impacts!$F$10),0)</f>
        <v>0</v>
      </c>
      <c r="O149" s="10">
        <f>IF(Tank4!$C$23="No control",(SUMIF(Tank4!$B$32:$B$49,$J149,Tank4!$C$32:$C$49)*Impacts!$F$11),0)</f>
        <v>0</v>
      </c>
      <c r="P149" s="10">
        <f>IF(Tank5!$C$23="No control",(SUMIF(Tank5!$B$32:$B$49,$J149,Tank5!$C$32:$C$49)*Impacts!$F$12),0)</f>
        <v>0</v>
      </c>
      <c r="Q149" s="10">
        <f>IFERROR(IF(('Loading-drum,tote'!$C$21)="No control",SUMIF(('Loading-drum,tote'!$B$31:$B$48),$J149,('Loading-drum,tote'!$D$31:$D$48))*Impacts!$F$13,IF(('Loading-drum,tote'!$C$21)&lt;&gt;"No control",SUMIF(('Loading-drum,tote'!$B$31:$B$48),$J149,('Loading-drum,tote'!$E$31:$E$48))*Impacts!$F$13,0)),0)</f>
        <v>0</v>
      </c>
      <c r="R149" s="10">
        <f>IFERROR(IF(('Loading-truck'!$C$21)="No control",SUMIF(('Loading-truck'!$B$31:$B$48),$J149,('Loading-truck'!$D$31:$D$48))*Impacts!$F$14,IF(('Loading-truck'!$C$21)&lt;&gt;"No control",SUMIF(('Loading-truck'!$B$31:$B$48),$J149,('Loading-truck'!$E$31:$E$48))*Impacts!$F$14,0)),0)</f>
        <v>0</v>
      </c>
      <c r="S149" s="10">
        <f>IFERROR(IF(('Loading-rail'!$C$21)="No control",SUMIF(('Loading-rail'!$B$31:$B$48),$J149,('Loading-rail'!$D$31:$D$48))*Impacts!$F$15,IF(('Loading-rail'!$C$21)&lt;&gt;"No control",SUMIF(('Loading-rail'!$B$31:$B$48),$J149,('Loading-rail'!$E$31:$E$48))*Impacts!$F$15,0)),0)</f>
        <v>0</v>
      </c>
      <c r="T149" s="10">
        <f>IF(Flare!$C$7="",0,(SUMIF(Flare!$B$46:$B$185,$J149,Flare!$E$46:$E$185)*Impacts!$F$16))</f>
        <v>0</v>
      </c>
      <c r="U149" s="10">
        <f>IF(VCU!$C$9="",0,(SUMIF(VCU!$B$51:$B$193,$J149,VCU!$E$51:$E$193)*Impacts!$F$17))</f>
        <v>0</v>
      </c>
      <c r="V149" s="10">
        <f>IF(CAS!$C$7="",0,(SUMIF(CAS!$B$31:$B$167,$J149,CAS!$E$31:$E$167)*Impacts!$F$18))</f>
        <v>0</v>
      </c>
      <c r="W149" s="10">
        <f t="shared" si="44"/>
        <v>0</v>
      </c>
      <c r="AG149" s="45"/>
      <c r="AH149" s="45"/>
      <c r="AI149" s="45"/>
      <c r="AJ149" s="45"/>
      <c r="AK149" s="10" t="str">
        <f t="array" ref="AK149">IFERROR(INDEX(SelectedSpecies,SMALL(IF(SelectedSpecies=AK$1,ROW(SelectedSpecies)),ROW(150:150)),2),"")</f>
        <v/>
      </c>
      <c r="BE149" s="10"/>
      <c r="BI149" s="10"/>
    </row>
    <row r="150" spans="1:61" ht="21" customHeight="1" x14ac:dyDescent="0.25">
      <c r="A150" s="10"/>
      <c r="B150" s="16" t="s">
        <v>158</v>
      </c>
      <c r="C150" s="10">
        <v>100</v>
      </c>
      <c r="D150" s="10">
        <v>249</v>
      </c>
      <c r="E150" s="17">
        <v>249</v>
      </c>
      <c r="I150" s="436" t="s">
        <v>4801</v>
      </c>
      <c r="J150" s="26" t="s">
        <v>4800</v>
      </c>
      <c r="K150" s="10">
        <v>3</v>
      </c>
      <c r="L150" s="73">
        <f>IF(Tank1!$C$23="No control",(SUMIF(Tank1!$B$32:$B$49,$J150,Tank1!$C$32:$C$49)*Impacts!$F$8),0)</f>
        <v>0</v>
      </c>
      <c r="M150" s="10">
        <f>IF(Tank2!$C$23="No control",(SUMIF(Tank2!$B$32:$B$49,$J150,Tank2!$C$32:$C$49)*Impacts!$F$9),0)</f>
        <v>0</v>
      </c>
      <c r="N150" s="10">
        <f>IF(Tank3!$C$23="No control",(SUMIF(Tank3!$B$32:$B$49,$J150,Tank3!$C$32:$C$49)*Impacts!$F$10),0)</f>
        <v>0</v>
      </c>
      <c r="O150" s="10">
        <f>IF(Tank4!$C$23="No control",(SUMIF(Tank4!$B$32:$B$49,$J150,Tank4!$C$32:$C$49)*Impacts!$F$11),0)</f>
        <v>0</v>
      </c>
      <c r="P150" s="10">
        <f>IF(Tank5!$C$23="No control",(SUMIF(Tank5!$B$32:$B$49,$J150,Tank5!$C$32:$C$49)*Impacts!$F$12),0)</f>
        <v>0</v>
      </c>
      <c r="Q150" s="10">
        <f>IFERROR(IF(('Loading-drum,tote'!$C$21)="No control",SUMIF(('Loading-drum,tote'!$B$31:$B$48),$J150,('Loading-drum,tote'!$D$31:$D$48))*Impacts!$F$13,IF(('Loading-drum,tote'!$C$21)&lt;&gt;"No control",SUMIF(('Loading-drum,tote'!$B$31:$B$48),$J150,('Loading-drum,tote'!$E$31:$E$48))*Impacts!$F$13,0)),0)</f>
        <v>0</v>
      </c>
      <c r="R150" s="10">
        <f>IFERROR(IF(('Loading-truck'!$C$21)="No control",SUMIF(('Loading-truck'!$B$31:$B$48),$J150,('Loading-truck'!$D$31:$D$48))*Impacts!$F$14,IF(('Loading-truck'!$C$21)&lt;&gt;"No control",SUMIF(('Loading-truck'!$B$31:$B$48),$J150,('Loading-truck'!$E$31:$E$48))*Impacts!$F$14,0)),0)</f>
        <v>0</v>
      </c>
      <c r="S150" s="10">
        <f>IFERROR(IF(('Loading-rail'!$C$21)="No control",SUMIF(('Loading-rail'!$B$31:$B$48),$J150,('Loading-rail'!$D$31:$D$48))*Impacts!$F$15,IF(('Loading-rail'!$C$21)&lt;&gt;"No control",SUMIF(('Loading-rail'!$B$31:$B$48),$J150,('Loading-rail'!$E$31:$E$48))*Impacts!$F$15,0)),0)</f>
        <v>0</v>
      </c>
      <c r="T150" s="10">
        <f>IF(Flare!$C$7="",0,(SUMIF(Flare!$B$46:$B$185,$J150,Flare!$E$46:$E$185)*Impacts!$F$16))</f>
        <v>0</v>
      </c>
      <c r="U150" s="10">
        <f>IF(VCU!$C$9="",0,(SUMIF(VCU!$B$51:$B$193,$J150,VCU!$E$51:$E$193)*Impacts!$F$17))</f>
        <v>0</v>
      </c>
      <c r="V150" s="10">
        <f>IF(CAS!$C$7="",0,(SUMIF(CAS!$B$31:$B$167,$J150,CAS!$E$31:$E$167)*Impacts!$F$18))</f>
        <v>0</v>
      </c>
      <c r="W150" s="10">
        <f t="shared" si="44"/>
        <v>0</v>
      </c>
      <c r="AG150" s="45"/>
      <c r="AH150" s="45"/>
      <c r="AI150" s="45"/>
      <c r="AJ150" s="45"/>
      <c r="AK150" s="10" t="str">
        <f t="array" ref="AK150">IFERROR(INDEX(SelectedSpecies,SMALL(IF(SelectedSpecies=AK$1,ROW(SelectedSpecies)),ROW(151:151)),2),"")</f>
        <v/>
      </c>
      <c r="BE150" s="10"/>
      <c r="BI150" s="10"/>
    </row>
    <row r="151" spans="1:61" ht="21" customHeight="1" x14ac:dyDescent="0.25">
      <c r="A151" s="10"/>
      <c r="B151" s="16" t="s">
        <v>159</v>
      </c>
      <c r="C151" s="10">
        <v>100</v>
      </c>
      <c r="D151" s="10">
        <v>249</v>
      </c>
      <c r="E151" s="17">
        <v>249</v>
      </c>
      <c r="I151" s="436" t="s">
        <v>2233</v>
      </c>
      <c r="J151" s="26" t="s">
        <v>2232</v>
      </c>
      <c r="K151" s="10">
        <v>12.5</v>
      </c>
      <c r="L151" s="73">
        <f>IF(Tank1!$C$23="No control",(SUMIF(Tank1!$B$32:$B$49,$J151,Tank1!$C$32:$C$49)*Impacts!$F$8),0)</f>
        <v>0</v>
      </c>
      <c r="M151" s="10">
        <f>IF(Tank2!$C$23="No control",(SUMIF(Tank2!$B$32:$B$49,$J151,Tank2!$C$32:$C$49)*Impacts!$F$9),0)</f>
        <v>0</v>
      </c>
      <c r="N151" s="10">
        <f>IF(Tank3!$C$23="No control",(SUMIF(Tank3!$B$32:$B$49,$J151,Tank3!$C$32:$C$49)*Impacts!$F$10),0)</f>
        <v>0</v>
      </c>
      <c r="O151" s="10">
        <f>IF(Tank4!$C$23="No control",(SUMIF(Tank4!$B$32:$B$49,$J151,Tank4!$C$32:$C$49)*Impacts!$F$11),0)</f>
        <v>0</v>
      </c>
      <c r="P151" s="10">
        <f>IF(Tank5!$C$23="No control",(SUMIF(Tank5!$B$32:$B$49,$J151,Tank5!$C$32:$C$49)*Impacts!$F$12),0)</f>
        <v>0</v>
      </c>
      <c r="Q151" s="10">
        <f>IFERROR(IF(('Loading-drum,tote'!$C$21)="No control",SUMIF(('Loading-drum,tote'!$B$31:$B$48),$J151,('Loading-drum,tote'!$D$31:$D$48))*Impacts!$F$13,IF(('Loading-drum,tote'!$C$21)&lt;&gt;"No control",SUMIF(('Loading-drum,tote'!$B$31:$B$48),$J151,('Loading-drum,tote'!$E$31:$E$48))*Impacts!$F$13,0)),0)</f>
        <v>0</v>
      </c>
      <c r="R151" s="10">
        <f>IFERROR(IF(('Loading-truck'!$C$21)="No control",SUMIF(('Loading-truck'!$B$31:$B$48),$J151,('Loading-truck'!$D$31:$D$48))*Impacts!$F$14,IF(('Loading-truck'!$C$21)&lt;&gt;"No control",SUMIF(('Loading-truck'!$B$31:$B$48),$J151,('Loading-truck'!$E$31:$E$48))*Impacts!$F$14,0)),0)</f>
        <v>0</v>
      </c>
      <c r="S151" s="10">
        <f>IFERROR(IF(('Loading-rail'!$C$21)="No control",SUMIF(('Loading-rail'!$B$31:$B$48),$J151,('Loading-rail'!$D$31:$D$48))*Impacts!$F$15,IF(('Loading-rail'!$C$21)&lt;&gt;"No control",SUMIF(('Loading-rail'!$B$31:$B$48),$J151,('Loading-rail'!$E$31:$E$48))*Impacts!$F$15,0)),0)</f>
        <v>0</v>
      </c>
      <c r="T151" s="10">
        <f>IF(Flare!$C$7="",0,(SUMIF(Flare!$B$46:$B$185,$J151,Flare!$E$46:$E$185)*Impacts!$F$16))</f>
        <v>0</v>
      </c>
      <c r="U151" s="10">
        <f>IF(VCU!$C$9="",0,(SUMIF(VCU!$B$51:$B$193,$J151,VCU!$E$51:$E$193)*Impacts!$F$17))</f>
        <v>0</v>
      </c>
      <c r="V151" s="10">
        <f>IF(CAS!$C$7="",0,(SUMIF(CAS!$B$31:$B$167,$J151,CAS!$E$31:$E$167)*Impacts!$F$18))</f>
        <v>0</v>
      </c>
      <c r="W151" s="10">
        <f t="shared" si="44"/>
        <v>0</v>
      </c>
      <c r="AG151" s="45"/>
      <c r="AH151" s="45"/>
      <c r="AI151" s="45"/>
      <c r="AJ151" s="45"/>
      <c r="AK151" s="10" t="str">
        <f t="array" ref="AK151">IFERROR(INDEX(SelectedSpecies,SMALL(IF(SelectedSpecies=AK$1,ROW(SelectedSpecies)),ROW(152:152)),2),"")</f>
        <v/>
      </c>
      <c r="BE151" s="10"/>
      <c r="BI151" s="10"/>
    </row>
    <row r="152" spans="1:61" ht="21" customHeight="1" x14ac:dyDescent="0.25">
      <c r="A152" s="10"/>
      <c r="B152" s="16" t="s">
        <v>160</v>
      </c>
      <c r="C152" s="10">
        <v>100</v>
      </c>
      <c r="D152" s="10">
        <v>249</v>
      </c>
      <c r="E152" s="17">
        <v>249</v>
      </c>
      <c r="I152" s="436" t="s">
        <v>6602</v>
      </c>
      <c r="J152" s="26" t="s">
        <v>6601</v>
      </c>
      <c r="K152" s="10">
        <v>0.60000000000000009</v>
      </c>
      <c r="L152" s="73">
        <f>IF(Tank1!$C$23="No control",(SUMIF(Tank1!$B$32:$B$49,$J152,Tank1!$C$32:$C$49)*Impacts!$F$8),0)</f>
        <v>0</v>
      </c>
      <c r="M152" s="10">
        <f>IF(Tank2!$C$23="No control",(SUMIF(Tank2!$B$32:$B$49,$J152,Tank2!$C$32:$C$49)*Impacts!$F$9),0)</f>
        <v>0</v>
      </c>
      <c r="N152" s="10">
        <f>IF(Tank3!$C$23="No control",(SUMIF(Tank3!$B$32:$B$49,$J152,Tank3!$C$32:$C$49)*Impacts!$F$10),0)</f>
        <v>0</v>
      </c>
      <c r="O152" s="10">
        <f>IF(Tank4!$C$23="No control",(SUMIF(Tank4!$B$32:$B$49,$J152,Tank4!$C$32:$C$49)*Impacts!$F$11),0)</f>
        <v>0</v>
      </c>
      <c r="P152" s="10">
        <f>IF(Tank5!$C$23="No control",(SUMIF(Tank5!$B$32:$B$49,$J152,Tank5!$C$32:$C$49)*Impacts!$F$12),0)</f>
        <v>0</v>
      </c>
      <c r="Q152" s="10">
        <f>IFERROR(IF(('Loading-drum,tote'!$C$21)="No control",SUMIF(('Loading-drum,tote'!$B$31:$B$48),$J152,('Loading-drum,tote'!$D$31:$D$48))*Impacts!$F$13,IF(('Loading-drum,tote'!$C$21)&lt;&gt;"No control",SUMIF(('Loading-drum,tote'!$B$31:$B$48),$J152,('Loading-drum,tote'!$E$31:$E$48))*Impacts!$F$13,0)),0)</f>
        <v>0</v>
      </c>
      <c r="R152" s="10">
        <f>IFERROR(IF(('Loading-truck'!$C$21)="No control",SUMIF(('Loading-truck'!$B$31:$B$48),$J152,('Loading-truck'!$D$31:$D$48))*Impacts!$F$14,IF(('Loading-truck'!$C$21)&lt;&gt;"No control",SUMIF(('Loading-truck'!$B$31:$B$48),$J152,('Loading-truck'!$E$31:$E$48))*Impacts!$F$14,0)),0)</f>
        <v>0</v>
      </c>
      <c r="S152" s="10">
        <f>IFERROR(IF(('Loading-rail'!$C$21)="No control",SUMIF(('Loading-rail'!$B$31:$B$48),$J152,('Loading-rail'!$D$31:$D$48))*Impacts!$F$15,IF(('Loading-rail'!$C$21)&lt;&gt;"No control",SUMIF(('Loading-rail'!$B$31:$B$48),$J152,('Loading-rail'!$E$31:$E$48))*Impacts!$F$15,0)),0)</f>
        <v>0</v>
      </c>
      <c r="T152" s="10">
        <f>IF(Flare!$C$7="",0,(SUMIF(Flare!$B$46:$B$185,$J152,Flare!$E$46:$E$185)*Impacts!$F$16))</f>
        <v>0</v>
      </c>
      <c r="U152" s="10">
        <f>IF(VCU!$C$9="",0,(SUMIF(VCU!$B$51:$B$193,$J152,VCU!$E$51:$E$193)*Impacts!$F$17))</f>
        <v>0</v>
      </c>
      <c r="V152" s="10">
        <f>IF(CAS!$C$7="",0,(SUMIF(CAS!$B$31:$B$167,$J152,CAS!$E$31:$E$167)*Impacts!$F$18))</f>
        <v>0</v>
      </c>
      <c r="W152" s="10">
        <f t="shared" si="44"/>
        <v>0</v>
      </c>
      <c r="AG152" s="45"/>
      <c r="AH152" s="45"/>
      <c r="AI152" s="45"/>
      <c r="AJ152" s="45"/>
      <c r="AK152" s="10" t="str">
        <f t="array" ref="AK152">IFERROR(INDEX(SelectedSpecies,SMALL(IF(SelectedSpecies=AK$1,ROW(SelectedSpecies)),ROW(153:153)),2),"")</f>
        <v/>
      </c>
      <c r="BE152" s="10"/>
      <c r="BI152" s="10"/>
    </row>
    <row r="153" spans="1:61" ht="21" customHeight="1" x14ac:dyDescent="0.25">
      <c r="A153" s="10"/>
      <c r="B153" s="16" t="s">
        <v>161</v>
      </c>
      <c r="C153" s="10">
        <v>100</v>
      </c>
      <c r="D153" s="10">
        <v>249</v>
      </c>
      <c r="E153" s="17">
        <v>249</v>
      </c>
      <c r="I153" s="436" t="s">
        <v>4101</v>
      </c>
      <c r="J153" s="26" t="s">
        <v>4100</v>
      </c>
      <c r="K153" s="10">
        <v>5.4</v>
      </c>
      <c r="L153" s="73">
        <f>IF(Tank1!$C$23="No control",(SUMIF(Tank1!$B$32:$B$49,$J153,Tank1!$C$32:$C$49)*Impacts!$F$8),0)</f>
        <v>0</v>
      </c>
      <c r="M153" s="10">
        <f>IF(Tank2!$C$23="No control",(SUMIF(Tank2!$B$32:$B$49,$J153,Tank2!$C$32:$C$49)*Impacts!$F$9),0)</f>
        <v>0</v>
      </c>
      <c r="N153" s="10">
        <f>IF(Tank3!$C$23="No control",(SUMIF(Tank3!$B$32:$B$49,$J153,Tank3!$C$32:$C$49)*Impacts!$F$10),0)</f>
        <v>0</v>
      </c>
      <c r="O153" s="10">
        <f>IF(Tank4!$C$23="No control",(SUMIF(Tank4!$B$32:$B$49,$J153,Tank4!$C$32:$C$49)*Impacts!$F$11),0)</f>
        <v>0</v>
      </c>
      <c r="P153" s="10">
        <f>IF(Tank5!$C$23="No control",(SUMIF(Tank5!$B$32:$B$49,$J153,Tank5!$C$32:$C$49)*Impacts!$F$12),0)</f>
        <v>0</v>
      </c>
      <c r="Q153" s="10">
        <f>IFERROR(IF(('Loading-drum,tote'!$C$21)="No control",SUMIF(('Loading-drum,tote'!$B$31:$B$48),$J153,('Loading-drum,tote'!$D$31:$D$48))*Impacts!$F$13,IF(('Loading-drum,tote'!$C$21)&lt;&gt;"No control",SUMIF(('Loading-drum,tote'!$B$31:$B$48),$J153,('Loading-drum,tote'!$E$31:$E$48))*Impacts!$F$13,0)),0)</f>
        <v>0</v>
      </c>
      <c r="R153" s="10">
        <f>IFERROR(IF(('Loading-truck'!$C$21)="No control",SUMIF(('Loading-truck'!$B$31:$B$48),$J153,('Loading-truck'!$D$31:$D$48))*Impacts!$F$14,IF(('Loading-truck'!$C$21)&lt;&gt;"No control",SUMIF(('Loading-truck'!$B$31:$B$48),$J153,('Loading-truck'!$E$31:$E$48))*Impacts!$F$14,0)),0)</f>
        <v>0</v>
      </c>
      <c r="S153" s="10">
        <f>IFERROR(IF(('Loading-rail'!$C$21)="No control",SUMIF(('Loading-rail'!$B$31:$B$48),$J153,('Loading-rail'!$D$31:$D$48))*Impacts!$F$15,IF(('Loading-rail'!$C$21)&lt;&gt;"No control",SUMIF(('Loading-rail'!$B$31:$B$48),$J153,('Loading-rail'!$E$31:$E$48))*Impacts!$F$15,0)),0)</f>
        <v>0</v>
      </c>
      <c r="T153" s="10">
        <f>IF(Flare!$C$7="",0,(SUMIF(Flare!$B$46:$B$185,$J153,Flare!$E$46:$E$185)*Impacts!$F$16))</f>
        <v>0</v>
      </c>
      <c r="U153" s="10">
        <f>IF(VCU!$C$9="",0,(SUMIF(VCU!$B$51:$B$193,$J153,VCU!$E$51:$E$193)*Impacts!$F$17))</f>
        <v>0</v>
      </c>
      <c r="V153" s="10">
        <f>IF(CAS!$C$7="",0,(SUMIF(CAS!$B$31:$B$167,$J153,CAS!$E$31:$E$167)*Impacts!$F$18))</f>
        <v>0</v>
      </c>
      <c r="W153" s="10">
        <f t="shared" si="44"/>
        <v>0</v>
      </c>
      <c r="AG153" s="45"/>
      <c r="AH153" s="45"/>
      <c r="AI153" s="45"/>
      <c r="AJ153" s="45"/>
      <c r="AK153" s="10" t="str">
        <f t="array" ref="AK153">IFERROR(INDEX(SelectedSpecies,SMALL(IF(SelectedSpecies=AK$1,ROW(SelectedSpecies)),ROW(154:154)),2),"")</f>
        <v/>
      </c>
      <c r="BE153" s="10"/>
      <c r="BI153" s="10"/>
    </row>
    <row r="154" spans="1:61" ht="21" customHeight="1" x14ac:dyDescent="0.25">
      <c r="A154" s="10"/>
      <c r="B154" s="16" t="s">
        <v>162</v>
      </c>
      <c r="C154" s="10">
        <v>100</v>
      </c>
      <c r="D154" s="10">
        <v>249</v>
      </c>
      <c r="E154" s="17">
        <v>249</v>
      </c>
      <c r="I154" s="436" t="s">
        <v>5479</v>
      </c>
      <c r="J154" s="26" t="s">
        <v>5478</v>
      </c>
      <c r="K154" s="10">
        <v>1.3</v>
      </c>
      <c r="L154" s="73">
        <f>IF(Tank1!$C$23="No control",(SUMIF(Tank1!$B$32:$B$49,$J154,Tank1!$C$32:$C$49)*Impacts!$F$8),0)</f>
        <v>0</v>
      </c>
      <c r="M154" s="10">
        <f>IF(Tank2!$C$23="No control",(SUMIF(Tank2!$B$32:$B$49,$J154,Tank2!$C$32:$C$49)*Impacts!$F$9),0)</f>
        <v>0</v>
      </c>
      <c r="N154" s="10">
        <f>IF(Tank3!$C$23="No control",(SUMIF(Tank3!$B$32:$B$49,$J154,Tank3!$C$32:$C$49)*Impacts!$F$10),0)</f>
        <v>0</v>
      </c>
      <c r="O154" s="10">
        <f>IF(Tank4!$C$23="No control",(SUMIF(Tank4!$B$32:$B$49,$J154,Tank4!$C$32:$C$49)*Impacts!$F$11),0)</f>
        <v>0</v>
      </c>
      <c r="P154" s="10">
        <f>IF(Tank5!$C$23="No control",(SUMIF(Tank5!$B$32:$B$49,$J154,Tank5!$C$32:$C$49)*Impacts!$F$12),0)</f>
        <v>0</v>
      </c>
      <c r="Q154" s="10">
        <f>IFERROR(IF(('Loading-drum,tote'!$C$21)="No control",SUMIF(('Loading-drum,tote'!$B$31:$B$48),$J154,('Loading-drum,tote'!$D$31:$D$48))*Impacts!$F$13,IF(('Loading-drum,tote'!$C$21)&lt;&gt;"No control",SUMIF(('Loading-drum,tote'!$B$31:$B$48),$J154,('Loading-drum,tote'!$E$31:$E$48))*Impacts!$F$13,0)),0)</f>
        <v>0</v>
      </c>
      <c r="R154" s="10">
        <f>IFERROR(IF(('Loading-truck'!$C$21)="No control",SUMIF(('Loading-truck'!$B$31:$B$48),$J154,('Loading-truck'!$D$31:$D$48))*Impacts!$F$14,IF(('Loading-truck'!$C$21)&lt;&gt;"No control",SUMIF(('Loading-truck'!$B$31:$B$48),$J154,('Loading-truck'!$E$31:$E$48))*Impacts!$F$14,0)),0)</f>
        <v>0</v>
      </c>
      <c r="S154" s="10">
        <f>IFERROR(IF(('Loading-rail'!$C$21)="No control",SUMIF(('Loading-rail'!$B$31:$B$48),$J154,('Loading-rail'!$D$31:$D$48))*Impacts!$F$15,IF(('Loading-rail'!$C$21)&lt;&gt;"No control",SUMIF(('Loading-rail'!$B$31:$B$48),$J154,('Loading-rail'!$E$31:$E$48))*Impacts!$F$15,0)),0)</f>
        <v>0</v>
      </c>
      <c r="T154" s="10">
        <f>IF(Flare!$C$7="",0,(SUMIF(Flare!$B$46:$B$185,$J154,Flare!$E$46:$E$185)*Impacts!$F$16))</f>
        <v>0</v>
      </c>
      <c r="U154" s="10">
        <f>IF(VCU!$C$9="",0,(SUMIF(VCU!$B$51:$B$193,$J154,VCU!$E$51:$E$193)*Impacts!$F$17))</f>
        <v>0</v>
      </c>
      <c r="V154" s="10">
        <f>IF(CAS!$C$7="",0,(SUMIF(CAS!$B$31:$B$167,$J154,CAS!$E$31:$E$167)*Impacts!$F$18))</f>
        <v>0</v>
      </c>
      <c r="W154" s="10">
        <f t="shared" si="44"/>
        <v>0</v>
      </c>
      <c r="AG154" s="45"/>
      <c r="AH154" s="45"/>
      <c r="AI154" s="45"/>
      <c r="AJ154" s="45"/>
      <c r="AK154" s="10" t="str">
        <f t="array" ref="AK154">IFERROR(INDEX(SelectedSpecies,SMALL(IF(SelectedSpecies=AK$1,ROW(SelectedSpecies)),ROW(155:155)),2),"")</f>
        <v/>
      </c>
      <c r="BE154" s="10"/>
      <c r="BI154" s="10"/>
    </row>
    <row r="155" spans="1:61" ht="21" customHeight="1" x14ac:dyDescent="0.25">
      <c r="A155" s="10"/>
      <c r="B155" s="16" t="s">
        <v>163</v>
      </c>
      <c r="C155" s="10">
        <v>100</v>
      </c>
      <c r="D155" s="10">
        <v>249</v>
      </c>
      <c r="E155" s="17">
        <v>249</v>
      </c>
      <c r="I155" s="436" t="s">
        <v>5541</v>
      </c>
      <c r="J155" s="26" t="s">
        <v>5540</v>
      </c>
      <c r="K155" s="10">
        <v>1.2000000000000002</v>
      </c>
      <c r="L155" s="73">
        <f>IF(Tank1!$C$23="No control",(SUMIF(Tank1!$B$32:$B$49,$J155,Tank1!$C$32:$C$49)*Impacts!$F$8),0)</f>
        <v>0</v>
      </c>
      <c r="M155" s="10">
        <f>IF(Tank2!$C$23="No control",(SUMIF(Tank2!$B$32:$B$49,$J155,Tank2!$C$32:$C$49)*Impacts!$F$9),0)</f>
        <v>0</v>
      </c>
      <c r="N155" s="10">
        <f>IF(Tank3!$C$23="No control",(SUMIF(Tank3!$B$32:$B$49,$J155,Tank3!$C$32:$C$49)*Impacts!$F$10),0)</f>
        <v>0</v>
      </c>
      <c r="O155" s="10">
        <f>IF(Tank4!$C$23="No control",(SUMIF(Tank4!$B$32:$B$49,$J155,Tank4!$C$32:$C$49)*Impacts!$F$11),0)</f>
        <v>0</v>
      </c>
      <c r="P155" s="10">
        <f>IF(Tank5!$C$23="No control",(SUMIF(Tank5!$B$32:$B$49,$J155,Tank5!$C$32:$C$49)*Impacts!$F$12),0)</f>
        <v>0</v>
      </c>
      <c r="Q155" s="10">
        <f>IFERROR(IF(('Loading-drum,tote'!$C$21)="No control",SUMIF(('Loading-drum,tote'!$B$31:$B$48),$J155,('Loading-drum,tote'!$D$31:$D$48))*Impacts!$F$13,IF(('Loading-drum,tote'!$C$21)&lt;&gt;"No control",SUMIF(('Loading-drum,tote'!$B$31:$B$48),$J155,('Loading-drum,tote'!$E$31:$E$48))*Impacts!$F$13,0)),0)</f>
        <v>0</v>
      </c>
      <c r="R155" s="10">
        <f>IFERROR(IF(('Loading-truck'!$C$21)="No control",SUMIF(('Loading-truck'!$B$31:$B$48),$J155,('Loading-truck'!$D$31:$D$48))*Impacts!$F$14,IF(('Loading-truck'!$C$21)&lt;&gt;"No control",SUMIF(('Loading-truck'!$B$31:$B$48),$J155,('Loading-truck'!$E$31:$E$48))*Impacts!$F$14,0)),0)</f>
        <v>0</v>
      </c>
      <c r="S155" s="10">
        <f>IFERROR(IF(('Loading-rail'!$C$21)="No control",SUMIF(('Loading-rail'!$B$31:$B$48),$J155,('Loading-rail'!$D$31:$D$48))*Impacts!$F$15,IF(('Loading-rail'!$C$21)&lt;&gt;"No control",SUMIF(('Loading-rail'!$B$31:$B$48),$J155,('Loading-rail'!$E$31:$E$48))*Impacts!$F$15,0)),0)</f>
        <v>0</v>
      </c>
      <c r="T155" s="10">
        <f>IF(Flare!$C$7="",0,(SUMIF(Flare!$B$46:$B$185,$J155,Flare!$E$46:$E$185)*Impacts!$F$16))</f>
        <v>0</v>
      </c>
      <c r="U155" s="10">
        <f>IF(VCU!$C$9="",0,(SUMIF(VCU!$B$51:$B$193,$J155,VCU!$E$51:$E$193)*Impacts!$F$17))</f>
        <v>0</v>
      </c>
      <c r="V155" s="10">
        <f>IF(CAS!$C$7="",0,(SUMIF(CAS!$B$31:$B$167,$J155,CAS!$E$31:$E$167)*Impacts!$F$18))</f>
        <v>0</v>
      </c>
      <c r="W155" s="10">
        <f t="shared" si="44"/>
        <v>0</v>
      </c>
      <c r="AG155" s="45"/>
      <c r="AH155" s="45"/>
      <c r="AI155" s="45"/>
      <c r="AJ155" s="45"/>
      <c r="AK155" s="10" t="str">
        <f t="array" ref="AK155">IFERROR(INDEX(SelectedSpecies,SMALL(IF(SelectedSpecies=AK$1,ROW(SelectedSpecies)),ROW(156:156)),2),"")</f>
        <v/>
      </c>
      <c r="BE155" s="10"/>
      <c r="BI155" s="10"/>
    </row>
    <row r="156" spans="1:61" ht="21" customHeight="1" x14ac:dyDescent="0.25">
      <c r="A156" s="10"/>
      <c r="B156" s="16" t="s">
        <v>164</v>
      </c>
      <c r="C156" s="10">
        <v>100</v>
      </c>
      <c r="D156" s="10">
        <v>249</v>
      </c>
      <c r="E156" s="17">
        <v>249</v>
      </c>
      <c r="I156" s="436" t="s">
        <v>5543</v>
      </c>
      <c r="J156" s="26" t="s">
        <v>5542</v>
      </c>
      <c r="K156" s="10">
        <v>1.2000000000000002</v>
      </c>
      <c r="L156" s="73">
        <f>IF(Tank1!$C$23="No control",(SUMIF(Tank1!$B$32:$B$49,$J156,Tank1!$C$32:$C$49)*Impacts!$F$8),0)</f>
        <v>0</v>
      </c>
      <c r="M156" s="10">
        <f>IF(Tank2!$C$23="No control",(SUMIF(Tank2!$B$32:$B$49,$J156,Tank2!$C$32:$C$49)*Impacts!$F$9),0)</f>
        <v>0</v>
      </c>
      <c r="N156" s="10">
        <f>IF(Tank3!$C$23="No control",(SUMIF(Tank3!$B$32:$B$49,$J156,Tank3!$C$32:$C$49)*Impacts!$F$10),0)</f>
        <v>0</v>
      </c>
      <c r="O156" s="10">
        <f>IF(Tank4!$C$23="No control",(SUMIF(Tank4!$B$32:$B$49,$J156,Tank4!$C$32:$C$49)*Impacts!$F$11),0)</f>
        <v>0</v>
      </c>
      <c r="P156" s="10">
        <f>IF(Tank5!$C$23="No control",(SUMIF(Tank5!$B$32:$B$49,$J156,Tank5!$C$32:$C$49)*Impacts!$F$12),0)</f>
        <v>0</v>
      </c>
      <c r="Q156" s="10">
        <f>IFERROR(IF(('Loading-drum,tote'!$C$21)="No control",SUMIF(('Loading-drum,tote'!$B$31:$B$48),$J156,('Loading-drum,tote'!$D$31:$D$48))*Impacts!$F$13,IF(('Loading-drum,tote'!$C$21)&lt;&gt;"No control",SUMIF(('Loading-drum,tote'!$B$31:$B$48),$J156,('Loading-drum,tote'!$E$31:$E$48))*Impacts!$F$13,0)),0)</f>
        <v>0</v>
      </c>
      <c r="R156" s="10">
        <f>IFERROR(IF(('Loading-truck'!$C$21)="No control",SUMIF(('Loading-truck'!$B$31:$B$48),$J156,('Loading-truck'!$D$31:$D$48))*Impacts!$F$14,IF(('Loading-truck'!$C$21)&lt;&gt;"No control",SUMIF(('Loading-truck'!$B$31:$B$48),$J156,('Loading-truck'!$E$31:$E$48))*Impacts!$F$14,0)),0)</f>
        <v>0</v>
      </c>
      <c r="S156" s="10">
        <f>IFERROR(IF(('Loading-rail'!$C$21)="No control",SUMIF(('Loading-rail'!$B$31:$B$48),$J156,('Loading-rail'!$D$31:$D$48))*Impacts!$F$15,IF(('Loading-rail'!$C$21)&lt;&gt;"No control",SUMIF(('Loading-rail'!$B$31:$B$48),$J156,('Loading-rail'!$E$31:$E$48))*Impacts!$F$15,0)),0)</f>
        <v>0</v>
      </c>
      <c r="T156" s="10">
        <f>IF(Flare!$C$7="",0,(SUMIF(Flare!$B$46:$B$185,$J156,Flare!$E$46:$E$185)*Impacts!$F$16))</f>
        <v>0</v>
      </c>
      <c r="U156" s="10">
        <f>IF(VCU!$C$9="",0,(SUMIF(VCU!$B$51:$B$193,$J156,VCU!$E$51:$E$193)*Impacts!$F$17))</f>
        <v>0</v>
      </c>
      <c r="V156" s="10">
        <f>IF(CAS!$C$7="",0,(SUMIF(CAS!$B$31:$B$167,$J156,CAS!$E$31:$E$167)*Impacts!$F$18))</f>
        <v>0</v>
      </c>
      <c r="W156" s="10">
        <f t="shared" si="44"/>
        <v>0</v>
      </c>
      <c r="AG156" s="45"/>
      <c r="AH156" s="45"/>
      <c r="AI156" s="45"/>
      <c r="AJ156" s="45"/>
      <c r="AK156" s="10" t="str">
        <f t="array" ref="AK156">IFERROR(INDEX(SelectedSpecies,SMALL(IF(SelectedSpecies=AK$1,ROW(SelectedSpecies)),ROW(157:157)),2),"")</f>
        <v/>
      </c>
      <c r="BE156" s="10"/>
      <c r="BI156" s="10"/>
    </row>
    <row r="157" spans="1:61" ht="21" customHeight="1" x14ac:dyDescent="0.25">
      <c r="A157" s="10"/>
      <c r="B157" s="16" t="s">
        <v>165</v>
      </c>
      <c r="C157" s="10">
        <v>100</v>
      </c>
      <c r="D157" s="10">
        <v>249</v>
      </c>
      <c r="E157" s="17">
        <v>249</v>
      </c>
      <c r="I157" s="436" t="s">
        <v>2399</v>
      </c>
      <c r="J157" s="26" t="s">
        <v>2398</v>
      </c>
      <c r="K157" s="10">
        <v>10</v>
      </c>
      <c r="L157" s="73">
        <f>IF(Tank1!$C$23="No control",(SUMIF(Tank1!$B$32:$B$49,$J157,Tank1!$C$32:$C$49)*Impacts!$F$8),0)</f>
        <v>0</v>
      </c>
      <c r="M157" s="10">
        <f>IF(Tank2!$C$23="No control",(SUMIF(Tank2!$B$32:$B$49,$J157,Tank2!$C$32:$C$49)*Impacts!$F$9),0)</f>
        <v>0</v>
      </c>
      <c r="N157" s="10">
        <f>IF(Tank3!$C$23="No control",(SUMIF(Tank3!$B$32:$B$49,$J157,Tank3!$C$32:$C$49)*Impacts!$F$10),0)</f>
        <v>0</v>
      </c>
      <c r="O157" s="10">
        <f>IF(Tank4!$C$23="No control",(SUMIF(Tank4!$B$32:$B$49,$J157,Tank4!$C$32:$C$49)*Impacts!$F$11),0)</f>
        <v>0</v>
      </c>
      <c r="P157" s="10">
        <f>IF(Tank5!$C$23="No control",(SUMIF(Tank5!$B$32:$B$49,$J157,Tank5!$C$32:$C$49)*Impacts!$F$12),0)</f>
        <v>0</v>
      </c>
      <c r="Q157" s="10">
        <f>IFERROR(IF(('Loading-drum,tote'!$C$21)="No control",SUMIF(('Loading-drum,tote'!$B$31:$B$48),$J157,('Loading-drum,tote'!$D$31:$D$48))*Impacts!$F$13,IF(('Loading-drum,tote'!$C$21)&lt;&gt;"No control",SUMIF(('Loading-drum,tote'!$B$31:$B$48),$J157,('Loading-drum,tote'!$E$31:$E$48))*Impacts!$F$13,0)),0)</f>
        <v>0</v>
      </c>
      <c r="R157" s="10">
        <f>IFERROR(IF(('Loading-truck'!$C$21)="No control",SUMIF(('Loading-truck'!$B$31:$B$48),$J157,('Loading-truck'!$D$31:$D$48))*Impacts!$F$14,IF(('Loading-truck'!$C$21)&lt;&gt;"No control",SUMIF(('Loading-truck'!$B$31:$B$48),$J157,('Loading-truck'!$E$31:$E$48))*Impacts!$F$14,0)),0)</f>
        <v>0</v>
      </c>
      <c r="S157" s="10">
        <f>IFERROR(IF(('Loading-rail'!$C$21)="No control",SUMIF(('Loading-rail'!$B$31:$B$48),$J157,('Loading-rail'!$D$31:$D$48))*Impacts!$F$15,IF(('Loading-rail'!$C$21)&lt;&gt;"No control",SUMIF(('Loading-rail'!$B$31:$B$48),$J157,('Loading-rail'!$E$31:$E$48))*Impacts!$F$15,0)),0)</f>
        <v>0</v>
      </c>
      <c r="T157" s="10">
        <f>IF(Flare!$C$7="",0,(SUMIF(Flare!$B$46:$B$185,$J157,Flare!$E$46:$E$185)*Impacts!$F$16))</f>
        <v>0</v>
      </c>
      <c r="U157" s="10">
        <f>IF(VCU!$C$9="",0,(SUMIF(VCU!$B$51:$B$193,$J157,VCU!$E$51:$E$193)*Impacts!$F$17))</f>
        <v>0</v>
      </c>
      <c r="V157" s="10">
        <f>IF(CAS!$C$7="",0,(SUMIF(CAS!$B$31:$B$167,$J157,CAS!$E$31:$E$167)*Impacts!$F$18))</f>
        <v>0</v>
      </c>
      <c r="W157" s="10">
        <f t="shared" si="44"/>
        <v>0</v>
      </c>
      <c r="AG157" s="45"/>
      <c r="AH157" s="45"/>
      <c r="AI157" s="45"/>
      <c r="AJ157" s="45"/>
      <c r="AK157" s="10" t="str">
        <f t="array" ref="AK157">IFERROR(INDEX(SelectedSpecies,SMALL(IF(SelectedSpecies=AK$1,ROW(SelectedSpecies)),ROW(158:158)),2),"")</f>
        <v/>
      </c>
      <c r="BE157" s="10"/>
      <c r="BI157" s="10"/>
    </row>
    <row r="158" spans="1:61" ht="21" customHeight="1" x14ac:dyDescent="0.25">
      <c r="A158" s="10"/>
      <c r="B158" s="16" t="s">
        <v>166</v>
      </c>
      <c r="C158" s="10">
        <v>100</v>
      </c>
      <c r="D158" s="10">
        <v>249</v>
      </c>
      <c r="E158" s="17">
        <v>249</v>
      </c>
      <c r="I158" s="436" t="s">
        <v>5251</v>
      </c>
      <c r="J158" s="26" t="s">
        <v>5250</v>
      </c>
      <c r="K158" s="10">
        <v>1.8</v>
      </c>
      <c r="L158" s="73">
        <f>IF(Tank1!$C$23="No control",(SUMIF(Tank1!$B$32:$B$49,$J158,Tank1!$C$32:$C$49)*Impacts!$F$8),0)</f>
        <v>0</v>
      </c>
      <c r="M158" s="10">
        <f>IF(Tank2!$C$23="No control",(SUMIF(Tank2!$B$32:$B$49,$J158,Tank2!$C$32:$C$49)*Impacts!$F$9),0)</f>
        <v>0</v>
      </c>
      <c r="N158" s="10">
        <f>IF(Tank3!$C$23="No control",(SUMIF(Tank3!$B$32:$B$49,$J158,Tank3!$C$32:$C$49)*Impacts!$F$10),0)</f>
        <v>0</v>
      </c>
      <c r="O158" s="10">
        <f>IF(Tank4!$C$23="No control",(SUMIF(Tank4!$B$32:$B$49,$J158,Tank4!$C$32:$C$49)*Impacts!$F$11),0)</f>
        <v>0</v>
      </c>
      <c r="P158" s="10">
        <f>IF(Tank5!$C$23="No control",(SUMIF(Tank5!$B$32:$B$49,$J158,Tank5!$C$32:$C$49)*Impacts!$F$12),0)</f>
        <v>0</v>
      </c>
      <c r="Q158" s="10">
        <f>IFERROR(IF(('Loading-drum,tote'!$C$21)="No control",SUMIF(('Loading-drum,tote'!$B$31:$B$48),$J158,('Loading-drum,tote'!$D$31:$D$48))*Impacts!$F$13,IF(('Loading-drum,tote'!$C$21)&lt;&gt;"No control",SUMIF(('Loading-drum,tote'!$B$31:$B$48),$J158,('Loading-drum,tote'!$E$31:$E$48))*Impacts!$F$13,0)),0)</f>
        <v>0</v>
      </c>
      <c r="R158" s="10">
        <f>IFERROR(IF(('Loading-truck'!$C$21)="No control",SUMIF(('Loading-truck'!$B$31:$B$48),$J158,('Loading-truck'!$D$31:$D$48))*Impacts!$F$14,IF(('Loading-truck'!$C$21)&lt;&gt;"No control",SUMIF(('Loading-truck'!$B$31:$B$48),$J158,('Loading-truck'!$E$31:$E$48))*Impacts!$F$14,0)),0)</f>
        <v>0</v>
      </c>
      <c r="S158" s="10">
        <f>IFERROR(IF(('Loading-rail'!$C$21)="No control",SUMIF(('Loading-rail'!$B$31:$B$48),$J158,('Loading-rail'!$D$31:$D$48))*Impacts!$F$15,IF(('Loading-rail'!$C$21)&lt;&gt;"No control",SUMIF(('Loading-rail'!$B$31:$B$48),$J158,('Loading-rail'!$E$31:$E$48))*Impacts!$F$15,0)),0)</f>
        <v>0</v>
      </c>
      <c r="T158" s="10">
        <f>IF(Flare!$C$7="",0,(SUMIF(Flare!$B$46:$B$185,$J158,Flare!$E$46:$E$185)*Impacts!$F$16))</f>
        <v>0</v>
      </c>
      <c r="U158" s="10">
        <f>IF(VCU!$C$9="",0,(SUMIF(VCU!$B$51:$B$193,$J158,VCU!$E$51:$E$193)*Impacts!$F$17))</f>
        <v>0</v>
      </c>
      <c r="V158" s="10">
        <f>IF(CAS!$C$7="",0,(SUMIF(CAS!$B$31:$B$167,$J158,CAS!$E$31:$E$167)*Impacts!$F$18))</f>
        <v>0</v>
      </c>
      <c r="W158" s="10">
        <f t="shared" si="44"/>
        <v>0</v>
      </c>
      <c r="AG158" s="45"/>
      <c r="AH158" s="45"/>
      <c r="AI158" s="45"/>
      <c r="AJ158" s="45"/>
      <c r="AK158" s="10" t="str">
        <f t="array" ref="AK158">IFERROR(INDEX(SelectedSpecies,SMALL(IF(SelectedSpecies=AK$1,ROW(SelectedSpecies)),ROW(159:159)),2),"")</f>
        <v/>
      </c>
      <c r="BE158" s="10"/>
      <c r="BI158" s="10"/>
    </row>
    <row r="159" spans="1:61" ht="21" customHeight="1" x14ac:dyDescent="0.25">
      <c r="A159" s="10"/>
      <c r="B159" s="16" t="s">
        <v>167</v>
      </c>
      <c r="C159" s="10">
        <v>100</v>
      </c>
      <c r="D159" s="10">
        <v>249</v>
      </c>
      <c r="E159" s="17">
        <v>249</v>
      </c>
      <c r="I159" s="436" t="s">
        <v>5658</v>
      </c>
      <c r="J159" s="26" t="s">
        <v>5657</v>
      </c>
      <c r="K159" s="10">
        <v>1</v>
      </c>
      <c r="L159" s="73">
        <f>IF(Tank1!$C$23="No control",(SUMIF(Tank1!$B$32:$B$49,$J159,Tank1!$C$32:$C$49)*Impacts!$F$8),0)</f>
        <v>0</v>
      </c>
      <c r="M159" s="10">
        <f>IF(Tank2!$C$23="No control",(SUMIF(Tank2!$B$32:$B$49,$J159,Tank2!$C$32:$C$49)*Impacts!$F$9),0)</f>
        <v>0</v>
      </c>
      <c r="N159" s="10">
        <f>IF(Tank3!$C$23="No control",(SUMIF(Tank3!$B$32:$B$49,$J159,Tank3!$C$32:$C$49)*Impacts!$F$10),0)</f>
        <v>0</v>
      </c>
      <c r="O159" s="10">
        <f>IF(Tank4!$C$23="No control",(SUMIF(Tank4!$B$32:$B$49,$J159,Tank4!$C$32:$C$49)*Impacts!$F$11),0)</f>
        <v>0</v>
      </c>
      <c r="P159" s="10">
        <f>IF(Tank5!$C$23="No control",(SUMIF(Tank5!$B$32:$B$49,$J159,Tank5!$C$32:$C$49)*Impacts!$F$12),0)</f>
        <v>0</v>
      </c>
      <c r="Q159" s="10">
        <f>IFERROR(IF(('Loading-drum,tote'!$C$21)="No control",SUMIF(('Loading-drum,tote'!$B$31:$B$48),$J159,('Loading-drum,tote'!$D$31:$D$48))*Impacts!$F$13,IF(('Loading-drum,tote'!$C$21)&lt;&gt;"No control",SUMIF(('Loading-drum,tote'!$B$31:$B$48),$J159,('Loading-drum,tote'!$E$31:$E$48))*Impacts!$F$13,0)),0)</f>
        <v>0</v>
      </c>
      <c r="R159" s="10">
        <f>IFERROR(IF(('Loading-truck'!$C$21)="No control",SUMIF(('Loading-truck'!$B$31:$B$48),$J159,('Loading-truck'!$D$31:$D$48))*Impacts!$F$14,IF(('Loading-truck'!$C$21)&lt;&gt;"No control",SUMIF(('Loading-truck'!$B$31:$B$48),$J159,('Loading-truck'!$E$31:$E$48))*Impacts!$F$14,0)),0)</f>
        <v>0</v>
      </c>
      <c r="S159" s="10">
        <f>IFERROR(IF(('Loading-rail'!$C$21)="No control",SUMIF(('Loading-rail'!$B$31:$B$48),$J159,('Loading-rail'!$D$31:$D$48))*Impacts!$F$15,IF(('Loading-rail'!$C$21)&lt;&gt;"No control",SUMIF(('Loading-rail'!$B$31:$B$48),$J159,('Loading-rail'!$E$31:$E$48))*Impacts!$F$15,0)),0)</f>
        <v>0</v>
      </c>
      <c r="T159" s="10">
        <f>IF(Flare!$C$7="",0,(SUMIF(Flare!$B$46:$B$185,$J159,Flare!$E$46:$E$185)*Impacts!$F$16))</f>
        <v>0</v>
      </c>
      <c r="U159" s="10">
        <f>IF(VCU!$C$9="",0,(SUMIF(VCU!$B$51:$B$193,$J159,VCU!$E$51:$E$193)*Impacts!$F$17))</f>
        <v>0</v>
      </c>
      <c r="V159" s="10">
        <f>IF(CAS!$C$7="",0,(SUMIF(CAS!$B$31:$B$167,$J159,CAS!$E$31:$E$167)*Impacts!$F$18))</f>
        <v>0</v>
      </c>
      <c r="W159" s="10">
        <f t="shared" si="44"/>
        <v>0</v>
      </c>
      <c r="AK159" s="10" t="str">
        <f t="array" ref="AK159">IFERROR(INDEX(SelectedSpecies,SMALL(IF(SelectedSpecies=AK$1,ROW(SelectedSpecies)),ROW(160:160)),2),"")</f>
        <v/>
      </c>
      <c r="BE159" s="10"/>
      <c r="BI159" s="10"/>
    </row>
    <row r="160" spans="1:61" ht="21" customHeight="1" x14ac:dyDescent="0.25">
      <c r="A160" s="10"/>
      <c r="B160" s="16" t="s">
        <v>168</v>
      </c>
      <c r="C160" s="10">
        <v>100</v>
      </c>
      <c r="D160" s="10">
        <v>249</v>
      </c>
      <c r="E160" s="17">
        <v>249</v>
      </c>
      <c r="I160" s="436" t="s">
        <v>4151</v>
      </c>
      <c r="J160" s="26" t="s">
        <v>4150</v>
      </c>
      <c r="K160" s="10">
        <v>5</v>
      </c>
      <c r="L160" s="73">
        <f>IF(Tank1!$C$23="No control",(SUMIF(Tank1!$B$32:$B$49,$J160,Tank1!$C$32:$C$49)*Impacts!$F$8),0)</f>
        <v>0</v>
      </c>
      <c r="M160" s="10">
        <f>IF(Tank2!$C$23="No control",(SUMIF(Tank2!$B$32:$B$49,$J160,Tank2!$C$32:$C$49)*Impacts!$F$9),0)</f>
        <v>0</v>
      </c>
      <c r="N160" s="10">
        <f>IF(Tank3!$C$23="No control",(SUMIF(Tank3!$B$32:$B$49,$J160,Tank3!$C$32:$C$49)*Impacts!$F$10),0)</f>
        <v>0</v>
      </c>
      <c r="O160" s="10">
        <f>IF(Tank4!$C$23="No control",(SUMIF(Tank4!$B$32:$B$49,$J160,Tank4!$C$32:$C$49)*Impacts!$F$11),0)</f>
        <v>0</v>
      </c>
      <c r="P160" s="10">
        <f>IF(Tank5!$C$23="No control",(SUMIF(Tank5!$B$32:$B$49,$J160,Tank5!$C$32:$C$49)*Impacts!$F$12),0)</f>
        <v>0</v>
      </c>
      <c r="Q160" s="10">
        <f>IFERROR(IF(('Loading-drum,tote'!$C$21)="No control",SUMIF(('Loading-drum,tote'!$B$31:$B$48),$J160,('Loading-drum,tote'!$D$31:$D$48))*Impacts!$F$13,IF(('Loading-drum,tote'!$C$21)&lt;&gt;"No control",SUMIF(('Loading-drum,tote'!$B$31:$B$48),$J160,('Loading-drum,tote'!$E$31:$E$48))*Impacts!$F$13,0)),0)</f>
        <v>0</v>
      </c>
      <c r="R160" s="10">
        <f>IFERROR(IF(('Loading-truck'!$C$21)="No control",SUMIF(('Loading-truck'!$B$31:$B$48),$J160,('Loading-truck'!$D$31:$D$48))*Impacts!$F$14,IF(('Loading-truck'!$C$21)&lt;&gt;"No control",SUMIF(('Loading-truck'!$B$31:$B$48),$J160,('Loading-truck'!$E$31:$E$48))*Impacts!$F$14,0)),0)</f>
        <v>0</v>
      </c>
      <c r="S160" s="10">
        <f>IFERROR(IF(('Loading-rail'!$C$21)="No control",SUMIF(('Loading-rail'!$B$31:$B$48),$J160,('Loading-rail'!$D$31:$D$48))*Impacts!$F$15,IF(('Loading-rail'!$C$21)&lt;&gt;"No control",SUMIF(('Loading-rail'!$B$31:$B$48),$J160,('Loading-rail'!$E$31:$E$48))*Impacts!$F$15,0)),0)</f>
        <v>0</v>
      </c>
      <c r="T160" s="10">
        <f>IF(Flare!$C$7="",0,(SUMIF(Flare!$B$46:$B$185,$J160,Flare!$E$46:$E$185)*Impacts!$F$16))</f>
        <v>0</v>
      </c>
      <c r="U160" s="10">
        <f>IF(VCU!$C$9="",0,(SUMIF(VCU!$B$51:$B$193,$J160,VCU!$E$51:$E$193)*Impacts!$F$17))</f>
        <v>0</v>
      </c>
      <c r="V160" s="10">
        <f>IF(CAS!$C$7="",0,(SUMIF(CAS!$B$31:$B$167,$J160,CAS!$E$31:$E$167)*Impacts!$F$18))</f>
        <v>0</v>
      </c>
      <c r="W160" s="10">
        <f t="shared" si="44"/>
        <v>0</v>
      </c>
      <c r="AK160" s="10" t="str">
        <f t="array" ref="AK160">IFERROR(INDEX(SelectedSpecies,SMALL(IF(SelectedSpecies=AK$1,ROW(SelectedSpecies)),ROW(161:161)),2),"")</f>
        <v/>
      </c>
      <c r="BE160" s="10"/>
      <c r="BI160" s="10"/>
    </row>
    <row r="161" spans="1:61" ht="21" customHeight="1" x14ac:dyDescent="0.25">
      <c r="A161" s="10"/>
      <c r="B161" s="16" t="s">
        <v>169</v>
      </c>
      <c r="C161" s="10">
        <v>100</v>
      </c>
      <c r="D161" s="10">
        <v>249</v>
      </c>
      <c r="E161" s="17">
        <v>249</v>
      </c>
      <c r="I161" s="436" t="s">
        <v>1921</v>
      </c>
      <c r="J161" s="26" t="s">
        <v>1920</v>
      </c>
      <c r="K161" s="10">
        <v>18</v>
      </c>
      <c r="L161" s="73">
        <f>IF(Tank1!$C$23="No control",(SUMIF(Tank1!$B$32:$B$49,$J161,Tank1!$C$32:$C$49)*Impacts!$F$8),0)</f>
        <v>0</v>
      </c>
      <c r="M161" s="10">
        <f>IF(Tank2!$C$23="No control",(SUMIF(Tank2!$B$32:$B$49,$J161,Tank2!$C$32:$C$49)*Impacts!$F$9),0)</f>
        <v>0</v>
      </c>
      <c r="N161" s="10">
        <f>IF(Tank3!$C$23="No control",(SUMIF(Tank3!$B$32:$B$49,$J161,Tank3!$C$32:$C$49)*Impacts!$F$10),0)</f>
        <v>0</v>
      </c>
      <c r="O161" s="10">
        <f>IF(Tank4!$C$23="No control",(SUMIF(Tank4!$B$32:$B$49,$J161,Tank4!$C$32:$C$49)*Impacts!$F$11),0)</f>
        <v>0</v>
      </c>
      <c r="P161" s="10">
        <f>IF(Tank5!$C$23="No control",(SUMIF(Tank5!$B$32:$B$49,$J161,Tank5!$C$32:$C$49)*Impacts!$F$12),0)</f>
        <v>0</v>
      </c>
      <c r="Q161" s="10">
        <f>IFERROR(IF(('Loading-drum,tote'!$C$21)="No control",SUMIF(('Loading-drum,tote'!$B$31:$B$48),$J161,('Loading-drum,tote'!$D$31:$D$48))*Impacts!$F$13,IF(('Loading-drum,tote'!$C$21)&lt;&gt;"No control",SUMIF(('Loading-drum,tote'!$B$31:$B$48),$J161,('Loading-drum,tote'!$E$31:$E$48))*Impacts!$F$13,0)),0)</f>
        <v>0</v>
      </c>
      <c r="R161" s="10">
        <f>IFERROR(IF(('Loading-truck'!$C$21)="No control",SUMIF(('Loading-truck'!$B$31:$B$48),$J161,('Loading-truck'!$D$31:$D$48))*Impacts!$F$14,IF(('Loading-truck'!$C$21)&lt;&gt;"No control",SUMIF(('Loading-truck'!$B$31:$B$48),$J161,('Loading-truck'!$E$31:$E$48))*Impacts!$F$14,0)),0)</f>
        <v>0</v>
      </c>
      <c r="S161" s="10">
        <f>IFERROR(IF(('Loading-rail'!$C$21)="No control",SUMIF(('Loading-rail'!$B$31:$B$48),$J161,('Loading-rail'!$D$31:$D$48))*Impacts!$F$15,IF(('Loading-rail'!$C$21)&lt;&gt;"No control",SUMIF(('Loading-rail'!$B$31:$B$48),$J161,('Loading-rail'!$E$31:$E$48))*Impacts!$F$15,0)),0)</f>
        <v>0</v>
      </c>
      <c r="T161" s="10">
        <f>IF(Flare!$C$7="",0,(SUMIF(Flare!$B$46:$B$185,$J161,Flare!$E$46:$E$185)*Impacts!$F$16))</f>
        <v>0</v>
      </c>
      <c r="U161" s="10">
        <f>IF(VCU!$C$9="",0,(SUMIF(VCU!$B$51:$B$193,$J161,VCU!$E$51:$E$193)*Impacts!$F$17))</f>
        <v>0</v>
      </c>
      <c r="V161" s="10">
        <f>IF(CAS!$C$7="",0,(SUMIF(CAS!$B$31:$B$167,$J161,CAS!$E$31:$E$167)*Impacts!$F$18))</f>
        <v>0</v>
      </c>
      <c r="W161" s="10">
        <f t="shared" si="44"/>
        <v>0</v>
      </c>
      <c r="AK161" s="10" t="str">
        <f t="array" ref="AK161">IFERROR(INDEX(SelectedSpecies,SMALL(IF(SelectedSpecies=AK$1,ROW(SelectedSpecies)),ROW(162:162)),2),"")</f>
        <v/>
      </c>
      <c r="BE161" s="10"/>
      <c r="BI161" s="10"/>
    </row>
    <row r="162" spans="1:61" ht="21" customHeight="1" x14ac:dyDescent="0.25">
      <c r="A162" s="10"/>
      <c r="B162" s="16" t="s">
        <v>170</v>
      </c>
      <c r="C162" s="10">
        <v>100</v>
      </c>
      <c r="D162" s="10">
        <v>249</v>
      </c>
      <c r="E162" s="17">
        <v>249</v>
      </c>
      <c r="I162" s="436" t="s">
        <v>6276</v>
      </c>
      <c r="J162" s="26" t="s">
        <v>6275</v>
      </c>
      <c r="K162" s="10">
        <v>0.9</v>
      </c>
      <c r="L162" s="73">
        <f>IF(Tank1!$C$23="No control",(SUMIF(Tank1!$B$32:$B$49,$J162,Tank1!$C$32:$C$49)*Impacts!$F$8),0)</f>
        <v>0</v>
      </c>
      <c r="M162" s="10">
        <f>IF(Tank2!$C$23="No control",(SUMIF(Tank2!$B$32:$B$49,$J162,Tank2!$C$32:$C$49)*Impacts!$F$9),0)</f>
        <v>0</v>
      </c>
      <c r="N162" s="10">
        <f>IF(Tank3!$C$23="No control",(SUMIF(Tank3!$B$32:$B$49,$J162,Tank3!$C$32:$C$49)*Impacts!$F$10),0)</f>
        <v>0</v>
      </c>
      <c r="O162" s="10">
        <f>IF(Tank4!$C$23="No control",(SUMIF(Tank4!$B$32:$B$49,$J162,Tank4!$C$32:$C$49)*Impacts!$F$11),0)</f>
        <v>0</v>
      </c>
      <c r="P162" s="10">
        <f>IF(Tank5!$C$23="No control",(SUMIF(Tank5!$B$32:$B$49,$J162,Tank5!$C$32:$C$49)*Impacts!$F$12),0)</f>
        <v>0</v>
      </c>
      <c r="Q162" s="10">
        <f>IFERROR(IF(('Loading-drum,tote'!$C$21)="No control",SUMIF(('Loading-drum,tote'!$B$31:$B$48),$J162,('Loading-drum,tote'!$D$31:$D$48))*Impacts!$F$13,IF(('Loading-drum,tote'!$C$21)&lt;&gt;"No control",SUMIF(('Loading-drum,tote'!$B$31:$B$48),$J162,('Loading-drum,tote'!$E$31:$E$48))*Impacts!$F$13,0)),0)</f>
        <v>0</v>
      </c>
      <c r="R162" s="10">
        <f>IFERROR(IF(('Loading-truck'!$C$21)="No control",SUMIF(('Loading-truck'!$B$31:$B$48),$J162,('Loading-truck'!$D$31:$D$48))*Impacts!$F$14,IF(('Loading-truck'!$C$21)&lt;&gt;"No control",SUMIF(('Loading-truck'!$B$31:$B$48),$J162,('Loading-truck'!$E$31:$E$48))*Impacts!$F$14,0)),0)</f>
        <v>0</v>
      </c>
      <c r="S162" s="10">
        <f>IFERROR(IF(('Loading-rail'!$C$21)="No control",SUMIF(('Loading-rail'!$B$31:$B$48),$J162,('Loading-rail'!$D$31:$D$48))*Impacts!$F$15,IF(('Loading-rail'!$C$21)&lt;&gt;"No control",SUMIF(('Loading-rail'!$B$31:$B$48),$J162,('Loading-rail'!$E$31:$E$48))*Impacts!$F$15,0)),0)</f>
        <v>0</v>
      </c>
      <c r="T162" s="10">
        <f>IF(Flare!$C$7="",0,(SUMIF(Flare!$B$46:$B$185,$J162,Flare!$E$46:$E$185)*Impacts!$F$16))</f>
        <v>0</v>
      </c>
      <c r="U162" s="10">
        <f>IF(VCU!$C$9="",0,(SUMIF(VCU!$B$51:$B$193,$J162,VCU!$E$51:$E$193)*Impacts!$F$17))</f>
        <v>0</v>
      </c>
      <c r="V162" s="10">
        <f>IF(CAS!$C$7="",0,(SUMIF(CAS!$B$31:$B$167,$J162,CAS!$E$31:$E$167)*Impacts!$F$18))</f>
        <v>0</v>
      </c>
      <c r="W162" s="10">
        <f t="shared" si="44"/>
        <v>0</v>
      </c>
      <c r="AK162" s="10" t="str">
        <f t="array" ref="AK162">IFERROR(INDEX(SelectedSpecies,SMALL(IF(SelectedSpecies=AK$1,ROW(SelectedSpecies)),ROW(163:163)),2),"")</f>
        <v/>
      </c>
      <c r="BE162" s="10"/>
      <c r="BI162" s="10"/>
    </row>
    <row r="163" spans="1:61" ht="21" customHeight="1" x14ac:dyDescent="0.25">
      <c r="A163" s="10"/>
      <c r="B163" s="16" t="s">
        <v>171</v>
      </c>
      <c r="C163" s="10">
        <v>100</v>
      </c>
      <c r="D163" s="10">
        <v>249</v>
      </c>
      <c r="E163" s="17">
        <v>249</v>
      </c>
      <c r="I163" s="436" t="s">
        <v>6278</v>
      </c>
      <c r="J163" s="26" t="s">
        <v>6277</v>
      </c>
      <c r="K163" s="10">
        <v>0.9</v>
      </c>
      <c r="L163" s="73">
        <f>IF(Tank1!$C$23="No control",(SUMIF(Tank1!$B$32:$B$49,$J163,Tank1!$C$32:$C$49)*Impacts!$F$8),0)</f>
        <v>0</v>
      </c>
      <c r="M163" s="10">
        <f>IF(Tank2!$C$23="No control",(SUMIF(Tank2!$B$32:$B$49,$J163,Tank2!$C$32:$C$49)*Impacts!$F$9),0)</f>
        <v>0</v>
      </c>
      <c r="N163" s="10">
        <f>IF(Tank3!$C$23="No control",(SUMIF(Tank3!$B$32:$B$49,$J163,Tank3!$C$32:$C$49)*Impacts!$F$10),0)</f>
        <v>0</v>
      </c>
      <c r="O163" s="10">
        <f>IF(Tank4!$C$23="No control",(SUMIF(Tank4!$B$32:$B$49,$J163,Tank4!$C$32:$C$49)*Impacts!$F$11),0)</f>
        <v>0</v>
      </c>
      <c r="P163" s="10">
        <f>IF(Tank5!$C$23="No control",(SUMIF(Tank5!$B$32:$B$49,$J163,Tank5!$C$32:$C$49)*Impacts!$F$12),0)</f>
        <v>0</v>
      </c>
      <c r="Q163" s="10">
        <f>IFERROR(IF(('Loading-drum,tote'!$C$21)="No control",SUMIF(('Loading-drum,tote'!$B$31:$B$48),$J163,('Loading-drum,tote'!$D$31:$D$48))*Impacts!$F$13,IF(('Loading-drum,tote'!$C$21)&lt;&gt;"No control",SUMIF(('Loading-drum,tote'!$B$31:$B$48),$J163,('Loading-drum,tote'!$E$31:$E$48))*Impacts!$F$13,0)),0)</f>
        <v>0</v>
      </c>
      <c r="R163" s="10">
        <f>IFERROR(IF(('Loading-truck'!$C$21)="No control",SUMIF(('Loading-truck'!$B$31:$B$48),$J163,('Loading-truck'!$D$31:$D$48))*Impacts!$F$14,IF(('Loading-truck'!$C$21)&lt;&gt;"No control",SUMIF(('Loading-truck'!$B$31:$B$48),$J163,('Loading-truck'!$E$31:$E$48))*Impacts!$F$14,0)),0)</f>
        <v>0</v>
      </c>
      <c r="S163" s="10">
        <f>IFERROR(IF(('Loading-rail'!$C$21)="No control",SUMIF(('Loading-rail'!$B$31:$B$48),$J163,('Loading-rail'!$D$31:$D$48))*Impacts!$F$15,IF(('Loading-rail'!$C$21)&lt;&gt;"No control",SUMIF(('Loading-rail'!$B$31:$B$48),$J163,('Loading-rail'!$E$31:$E$48))*Impacts!$F$15,0)),0)</f>
        <v>0</v>
      </c>
      <c r="T163" s="10">
        <f>IF(Flare!$C$7="",0,(SUMIF(Flare!$B$46:$B$185,$J163,Flare!$E$46:$E$185)*Impacts!$F$16))</f>
        <v>0</v>
      </c>
      <c r="U163" s="10">
        <f>IF(VCU!$C$9="",0,(SUMIF(VCU!$B$51:$B$193,$J163,VCU!$E$51:$E$193)*Impacts!$F$17))</f>
        <v>0</v>
      </c>
      <c r="V163" s="10">
        <f>IF(CAS!$C$7="",0,(SUMIF(CAS!$B$31:$B$167,$J163,CAS!$E$31:$E$167)*Impacts!$F$18))</f>
        <v>0</v>
      </c>
      <c r="W163" s="10">
        <f t="shared" si="44"/>
        <v>0</v>
      </c>
      <c r="AK163" s="10" t="str">
        <f t="array" ref="AK163">IFERROR(INDEX(SelectedSpecies,SMALL(IF(SelectedSpecies=AK$1,ROW(SelectedSpecies)),ROW(164:164)),2),"")</f>
        <v/>
      </c>
      <c r="BE163" s="10"/>
      <c r="BI163" s="10"/>
    </row>
    <row r="164" spans="1:61" ht="21" customHeight="1" x14ac:dyDescent="0.25">
      <c r="A164" s="10"/>
      <c r="B164" s="16" t="s">
        <v>172</v>
      </c>
      <c r="C164" s="10">
        <v>100</v>
      </c>
      <c r="D164" s="10">
        <v>249</v>
      </c>
      <c r="E164" s="17">
        <v>249</v>
      </c>
      <c r="I164" s="436" t="s">
        <v>7228</v>
      </c>
      <c r="J164" s="26" t="s">
        <v>7227</v>
      </c>
      <c r="K164" s="10">
        <v>0.30000000000000004</v>
      </c>
      <c r="L164" s="73">
        <f>IF(Tank1!$C$23="No control",(SUMIF(Tank1!$B$32:$B$49,$J164,Tank1!$C$32:$C$49)*Impacts!$F$8),0)</f>
        <v>0</v>
      </c>
      <c r="M164" s="10">
        <f>IF(Tank2!$C$23="No control",(SUMIF(Tank2!$B$32:$B$49,$J164,Tank2!$C$32:$C$49)*Impacts!$F$9),0)</f>
        <v>0</v>
      </c>
      <c r="N164" s="10">
        <f>IF(Tank3!$C$23="No control",(SUMIF(Tank3!$B$32:$B$49,$J164,Tank3!$C$32:$C$49)*Impacts!$F$10),0)</f>
        <v>0</v>
      </c>
      <c r="O164" s="10">
        <f>IF(Tank4!$C$23="No control",(SUMIF(Tank4!$B$32:$B$49,$J164,Tank4!$C$32:$C$49)*Impacts!$F$11),0)</f>
        <v>0</v>
      </c>
      <c r="P164" s="10">
        <f>IF(Tank5!$C$23="No control",(SUMIF(Tank5!$B$32:$B$49,$J164,Tank5!$C$32:$C$49)*Impacts!$F$12),0)</f>
        <v>0</v>
      </c>
      <c r="Q164" s="10">
        <f>IFERROR(IF(('Loading-drum,tote'!$C$21)="No control",SUMIF(('Loading-drum,tote'!$B$31:$B$48),$J164,('Loading-drum,tote'!$D$31:$D$48))*Impacts!$F$13,IF(('Loading-drum,tote'!$C$21)&lt;&gt;"No control",SUMIF(('Loading-drum,tote'!$B$31:$B$48),$J164,('Loading-drum,tote'!$E$31:$E$48))*Impacts!$F$13,0)),0)</f>
        <v>0</v>
      </c>
      <c r="R164" s="10">
        <f>IFERROR(IF(('Loading-truck'!$C$21)="No control",SUMIF(('Loading-truck'!$B$31:$B$48),$J164,('Loading-truck'!$D$31:$D$48))*Impacts!$F$14,IF(('Loading-truck'!$C$21)&lt;&gt;"No control",SUMIF(('Loading-truck'!$B$31:$B$48),$J164,('Loading-truck'!$E$31:$E$48))*Impacts!$F$14,0)),0)</f>
        <v>0</v>
      </c>
      <c r="S164" s="10">
        <f>IFERROR(IF(('Loading-rail'!$C$21)="No control",SUMIF(('Loading-rail'!$B$31:$B$48),$J164,('Loading-rail'!$D$31:$D$48))*Impacts!$F$15,IF(('Loading-rail'!$C$21)&lt;&gt;"No control",SUMIF(('Loading-rail'!$B$31:$B$48),$J164,('Loading-rail'!$E$31:$E$48))*Impacts!$F$15,0)),0)</f>
        <v>0</v>
      </c>
      <c r="T164" s="10">
        <f>IF(Flare!$C$7="",0,(SUMIF(Flare!$B$46:$B$185,$J164,Flare!$E$46:$E$185)*Impacts!$F$16))</f>
        <v>0</v>
      </c>
      <c r="U164" s="10">
        <f>IF(VCU!$C$9="",0,(SUMIF(VCU!$B$51:$B$193,$J164,VCU!$E$51:$E$193)*Impacts!$F$17))</f>
        <v>0</v>
      </c>
      <c r="V164" s="10">
        <f>IF(CAS!$C$7="",0,(SUMIF(CAS!$B$31:$B$167,$J164,CAS!$E$31:$E$167)*Impacts!$F$18))</f>
        <v>0</v>
      </c>
      <c r="W164" s="10">
        <f t="shared" si="44"/>
        <v>0</v>
      </c>
      <c r="AK164" s="10" t="str">
        <f t="array" ref="AK164">IFERROR(INDEX(SelectedSpecies,SMALL(IF(SelectedSpecies=AK$1,ROW(SelectedSpecies)),ROW(165:165)),2),"")</f>
        <v/>
      </c>
      <c r="BE164" s="10"/>
      <c r="BI164" s="10"/>
    </row>
    <row r="165" spans="1:61" ht="21" customHeight="1" x14ac:dyDescent="0.25">
      <c r="A165" s="10"/>
      <c r="B165" s="16" t="s">
        <v>173</v>
      </c>
      <c r="C165" s="10">
        <v>100</v>
      </c>
      <c r="D165" s="10">
        <v>249</v>
      </c>
      <c r="E165" s="17">
        <v>249</v>
      </c>
      <c r="I165" s="436" t="s">
        <v>4085</v>
      </c>
      <c r="J165" s="26" t="s">
        <v>4084</v>
      </c>
      <c r="K165" s="10">
        <v>5.5</v>
      </c>
      <c r="L165" s="73">
        <f>IF(Tank1!$C$23="No control",(SUMIF(Tank1!$B$32:$B$49,$J165,Tank1!$C$32:$C$49)*Impacts!$F$8),0)</f>
        <v>0</v>
      </c>
      <c r="M165" s="10">
        <f>IF(Tank2!$C$23="No control",(SUMIF(Tank2!$B$32:$B$49,$J165,Tank2!$C$32:$C$49)*Impacts!$F$9),0)</f>
        <v>0</v>
      </c>
      <c r="N165" s="10">
        <f>IF(Tank3!$C$23="No control",(SUMIF(Tank3!$B$32:$B$49,$J165,Tank3!$C$32:$C$49)*Impacts!$F$10),0)</f>
        <v>0</v>
      </c>
      <c r="O165" s="10">
        <f>IF(Tank4!$C$23="No control",(SUMIF(Tank4!$B$32:$B$49,$J165,Tank4!$C$32:$C$49)*Impacts!$F$11),0)</f>
        <v>0</v>
      </c>
      <c r="P165" s="10">
        <f>IF(Tank5!$C$23="No control",(SUMIF(Tank5!$B$32:$B$49,$J165,Tank5!$C$32:$C$49)*Impacts!$F$12),0)</f>
        <v>0</v>
      </c>
      <c r="Q165" s="10">
        <f>IFERROR(IF(('Loading-drum,tote'!$C$21)="No control",SUMIF(('Loading-drum,tote'!$B$31:$B$48),$J165,('Loading-drum,tote'!$D$31:$D$48))*Impacts!$F$13,IF(('Loading-drum,tote'!$C$21)&lt;&gt;"No control",SUMIF(('Loading-drum,tote'!$B$31:$B$48),$J165,('Loading-drum,tote'!$E$31:$E$48))*Impacts!$F$13,0)),0)</f>
        <v>0</v>
      </c>
      <c r="R165" s="10">
        <f>IFERROR(IF(('Loading-truck'!$C$21)="No control",SUMIF(('Loading-truck'!$B$31:$B$48),$J165,('Loading-truck'!$D$31:$D$48))*Impacts!$F$14,IF(('Loading-truck'!$C$21)&lt;&gt;"No control",SUMIF(('Loading-truck'!$B$31:$B$48),$J165,('Loading-truck'!$E$31:$E$48))*Impacts!$F$14,0)),0)</f>
        <v>0</v>
      </c>
      <c r="S165" s="10">
        <f>IFERROR(IF(('Loading-rail'!$C$21)="No control",SUMIF(('Loading-rail'!$B$31:$B$48),$J165,('Loading-rail'!$D$31:$D$48))*Impacts!$F$15,IF(('Loading-rail'!$C$21)&lt;&gt;"No control",SUMIF(('Loading-rail'!$B$31:$B$48),$J165,('Loading-rail'!$E$31:$E$48))*Impacts!$F$15,0)),0)</f>
        <v>0</v>
      </c>
      <c r="T165" s="10">
        <f>IF(Flare!$C$7="",0,(SUMIF(Flare!$B$46:$B$185,$J165,Flare!$E$46:$E$185)*Impacts!$F$16))</f>
        <v>0</v>
      </c>
      <c r="U165" s="10">
        <f>IF(VCU!$C$9="",0,(SUMIF(VCU!$B$51:$B$193,$J165,VCU!$E$51:$E$193)*Impacts!$F$17))</f>
        <v>0</v>
      </c>
      <c r="V165" s="10">
        <f>IF(CAS!$C$7="",0,(SUMIF(CAS!$B$31:$B$167,$J165,CAS!$E$31:$E$167)*Impacts!$F$18))</f>
        <v>0</v>
      </c>
      <c r="W165" s="10">
        <f t="shared" si="44"/>
        <v>0</v>
      </c>
      <c r="AK165" s="10" t="str">
        <f t="array" ref="AK165">IFERROR(INDEX(SelectedSpecies,SMALL(IF(SelectedSpecies=AK$1,ROW(SelectedSpecies)),ROW(166:166)),2),"")</f>
        <v/>
      </c>
      <c r="BE165" s="10"/>
      <c r="BI165" s="10"/>
    </row>
    <row r="166" spans="1:61" ht="21" customHeight="1" x14ac:dyDescent="0.25">
      <c r="A166" s="10"/>
      <c r="B166" s="16" t="s">
        <v>174</v>
      </c>
      <c r="C166" s="10">
        <v>100</v>
      </c>
      <c r="D166" s="10">
        <v>249</v>
      </c>
      <c r="E166" s="17">
        <v>249</v>
      </c>
      <c r="I166" s="436" t="s">
        <v>7888</v>
      </c>
      <c r="J166" s="26" t="s">
        <v>7887</v>
      </c>
      <c r="K166" s="10">
        <v>0.05</v>
      </c>
      <c r="L166" s="73">
        <f>IF(Tank1!$C$23="No control",(SUMIF(Tank1!$B$32:$B$49,$J166,Tank1!$C$32:$C$49)*Impacts!$F$8),0)</f>
        <v>0</v>
      </c>
      <c r="M166" s="10">
        <f>IF(Tank2!$C$23="No control",(SUMIF(Tank2!$B$32:$B$49,$J166,Tank2!$C$32:$C$49)*Impacts!$F$9),0)</f>
        <v>0</v>
      </c>
      <c r="N166" s="10">
        <f>IF(Tank3!$C$23="No control",(SUMIF(Tank3!$B$32:$B$49,$J166,Tank3!$C$32:$C$49)*Impacts!$F$10),0)</f>
        <v>0</v>
      </c>
      <c r="O166" s="10">
        <f>IF(Tank4!$C$23="No control",(SUMIF(Tank4!$B$32:$B$49,$J166,Tank4!$C$32:$C$49)*Impacts!$F$11),0)</f>
        <v>0</v>
      </c>
      <c r="P166" s="10">
        <f>IF(Tank5!$C$23="No control",(SUMIF(Tank5!$B$32:$B$49,$J166,Tank5!$C$32:$C$49)*Impacts!$F$12),0)</f>
        <v>0</v>
      </c>
      <c r="Q166" s="10">
        <f>IFERROR(IF(('Loading-drum,tote'!$C$21)="No control",SUMIF(('Loading-drum,tote'!$B$31:$B$48),$J166,('Loading-drum,tote'!$D$31:$D$48))*Impacts!$F$13,IF(('Loading-drum,tote'!$C$21)&lt;&gt;"No control",SUMIF(('Loading-drum,tote'!$B$31:$B$48),$J166,('Loading-drum,tote'!$E$31:$E$48))*Impacts!$F$13,0)),0)</f>
        <v>0</v>
      </c>
      <c r="R166" s="10">
        <f>IFERROR(IF(('Loading-truck'!$C$21)="No control",SUMIF(('Loading-truck'!$B$31:$B$48),$J166,('Loading-truck'!$D$31:$D$48))*Impacts!$F$14,IF(('Loading-truck'!$C$21)&lt;&gt;"No control",SUMIF(('Loading-truck'!$B$31:$B$48),$J166,('Loading-truck'!$E$31:$E$48))*Impacts!$F$14,0)),0)</f>
        <v>0</v>
      </c>
      <c r="S166" s="10">
        <f>IFERROR(IF(('Loading-rail'!$C$21)="No control",SUMIF(('Loading-rail'!$B$31:$B$48),$J166,('Loading-rail'!$D$31:$D$48))*Impacts!$F$15,IF(('Loading-rail'!$C$21)&lt;&gt;"No control",SUMIF(('Loading-rail'!$B$31:$B$48),$J166,('Loading-rail'!$E$31:$E$48))*Impacts!$F$15,0)),0)</f>
        <v>0</v>
      </c>
      <c r="T166" s="10">
        <f>IF(Flare!$C$7="",0,(SUMIF(Flare!$B$46:$B$185,$J166,Flare!$E$46:$E$185)*Impacts!$F$16))</f>
        <v>0</v>
      </c>
      <c r="U166" s="10">
        <f>IF(VCU!$C$9="",0,(SUMIF(VCU!$B$51:$B$193,$J166,VCU!$E$51:$E$193)*Impacts!$F$17))</f>
        <v>0</v>
      </c>
      <c r="V166" s="10">
        <f>IF(CAS!$C$7="",0,(SUMIF(CAS!$B$31:$B$167,$J166,CAS!$E$31:$E$167)*Impacts!$F$18))</f>
        <v>0</v>
      </c>
      <c r="W166" s="10">
        <f t="shared" si="44"/>
        <v>0</v>
      </c>
      <c r="AK166" s="10" t="str">
        <f t="array" ref="AK166">IFERROR(INDEX(SelectedSpecies,SMALL(IF(SelectedSpecies=AK$1,ROW(SelectedSpecies)),ROW(167:167)),2),"")</f>
        <v/>
      </c>
      <c r="BE166" s="10"/>
      <c r="BI166" s="10"/>
    </row>
    <row r="167" spans="1:61" ht="21" customHeight="1" x14ac:dyDescent="0.25">
      <c r="A167" s="10"/>
      <c r="B167" s="16" t="s">
        <v>175</v>
      </c>
      <c r="C167" s="10">
        <v>100</v>
      </c>
      <c r="D167" s="10">
        <v>249</v>
      </c>
      <c r="E167" s="17">
        <v>249</v>
      </c>
      <c r="I167" s="436" t="s">
        <v>1604</v>
      </c>
      <c r="J167" s="26" t="s">
        <v>1603</v>
      </c>
      <c r="K167" s="10">
        <v>25</v>
      </c>
      <c r="L167" s="73">
        <f>IF(Tank1!$C$23="No control",(SUMIF(Tank1!$B$32:$B$49,$J167,Tank1!$C$32:$C$49)*Impacts!$F$8),0)</f>
        <v>0</v>
      </c>
      <c r="M167" s="10">
        <f>IF(Tank2!$C$23="No control",(SUMIF(Tank2!$B$32:$B$49,$J167,Tank2!$C$32:$C$49)*Impacts!$F$9),0)</f>
        <v>0</v>
      </c>
      <c r="N167" s="10">
        <f>IF(Tank3!$C$23="No control",(SUMIF(Tank3!$B$32:$B$49,$J167,Tank3!$C$32:$C$49)*Impacts!$F$10),0)</f>
        <v>0</v>
      </c>
      <c r="O167" s="10">
        <f>IF(Tank4!$C$23="No control",(SUMIF(Tank4!$B$32:$B$49,$J167,Tank4!$C$32:$C$49)*Impacts!$F$11),0)</f>
        <v>0</v>
      </c>
      <c r="P167" s="10">
        <f>IF(Tank5!$C$23="No control",(SUMIF(Tank5!$B$32:$B$49,$J167,Tank5!$C$32:$C$49)*Impacts!$F$12),0)</f>
        <v>0</v>
      </c>
      <c r="Q167" s="10">
        <f>IFERROR(IF(('Loading-drum,tote'!$C$21)="No control",SUMIF(('Loading-drum,tote'!$B$31:$B$48),$J167,('Loading-drum,tote'!$D$31:$D$48))*Impacts!$F$13,IF(('Loading-drum,tote'!$C$21)&lt;&gt;"No control",SUMIF(('Loading-drum,tote'!$B$31:$B$48),$J167,('Loading-drum,tote'!$E$31:$E$48))*Impacts!$F$13,0)),0)</f>
        <v>0</v>
      </c>
      <c r="R167" s="10">
        <f>IFERROR(IF(('Loading-truck'!$C$21)="No control",SUMIF(('Loading-truck'!$B$31:$B$48),$J167,('Loading-truck'!$D$31:$D$48))*Impacts!$F$14,IF(('Loading-truck'!$C$21)&lt;&gt;"No control",SUMIF(('Loading-truck'!$B$31:$B$48),$J167,('Loading-truck'!$E$31:$E$48))*Impacts!$F$14,0)),0)</f>
        <v>0</v>
      </c>
      <c r="S167" s="10">
        <f>IFERROR(IF(('Loading-rail'!$C$21)="No control",SUMIF(('Loading-rail'!$B$31:$B$48),$J167,('Loading-rail'!$D$31:$D$48))*Impacts!$F$15,IF(('Loading-rail'!$C$21)&lt;&gt;"No control",SUMIF(('Loading-rail'!$B$31:$B$48),$J167,('Loading-rail'!$E$31:$E$48))*Impacts!$F$15,0)),0)</f>
        <v>0</v>
      </c>
      <c r="T167" s="10">
        <f>IF(Flare!$C$7="",0,(SUMIF(Flare!$B$46:$B$185,$J167,Flare!$E$46:$E$185)*Impacts!$F$16))</f>
        <v>0</v>
      </c>
      <c r="U167" s="10">
        <f>IF(VCU!$C$9="",0,(SUMIF(VCU!$B$51:$B$193,$J167,VCU!$E$51:$E$193)*Impacts!$F$17))</f>
        <v>0</v>
      </c>
      <c r="V167" s="10">
        <f>IF(CAS!$C$7="",0,(SUMIF(CAS!$B$31:$B$167,$J167,CAS!$E$31:$E$167)*Impacts!$F$18))</f>
        <v>0</v>
      </c>
      <c r="W167" s="10">
        <f t="shared" si="44"/>
        <v>0</v>
      </c>
      <c r="AK167" s="10" t="str">
        <f t="array" ref="AK167">IFERROR(INDEX(SelectedSpecies,SMALL(IF(SelectedSpecies=AK$1,ROW(SelectedSpecies)),ROW(168:168)),2),"")</f>
        <v/>
      </c>
      <c r="BE167" s="10"/>
      <c r="BI167" s="10"/>
    </row>
    <row r="168" spans="1:61" ht="21" customHeight="1" x14ac:dyDescent="0.25">
      <c r="A168" s="10"/>
      <c r="B168" s="16" t="s">
        <v>176</v>
      </c>
      <c r="C168" s="10">
        <v>100</v>
      </c>
      <c r="D168" s="10">
        <v>249</v>
      </c>
      <c r="E168" s="17">
        <v>249</v>
      </c>
      <c r="I168" s="436" t="s">
        <v>5660</v>
      </c>
      <c r="J168" s="26" t="s">
        <v>5659</v>
      </c>
      <c r="K168" s="10">
        <v>1</v>
      </c>
      <c r="L168" s="73">
        <f>IF(Tank1!$C$23="No control",(SUMIF(Tank1!$B$32:$B$49,$J168,Tank1!$C$32:$C$49)*Impacts!$F$8),0)</f>
        <v>0</v>
      </c>
      <c r="M168" s="10">
        <f>IF(Tank2!$C$23="No control",(SUMIF(Tank2!$B$32:$B$49,$J168,Tank2!$C$32:$C$49)*Impacts!$F$9),0)</f>
        <v>0</v>
      </c>
      <c r="N168" s="10">
        <f>IF(Tank3!$C$23="No control",(SUMIF(Tank3!$B$32:$B$49,$J168,Tank3!$C$32:$C$49)*Impacts!$F$10),0)</f>
        <v>0</v>
      </c>
      <c r="O168" s="10">
        <f>IF(Tank4!$C$23="No control",(SUMIF(Tank4!$B$32:$B$49,$J168,Tank4!$C$32:$C$49)*Impacts!$F$11),0)</f>
        <v>0</v>
      </c>
      <c r="P168" s="10">
        <f>IF(Tank5!$C$23="No control",(SUMIF(Tank5!$B$32:$B$49,$J168,Tank5!$C$32:$C$49)*Impacts!$F$12),0)</f>
        <v>0</v>
      </c>
      <c r="Q168" s="10">
        <f>IFERROR(IF(('Loading-drum,tote'!$C$21)="No control",SUMIF(('Loading-drum,tote'!$B$31:$B$48),$J168,('Loading-drum,tote'!$D$31:$D$48))*Impacts!$F$13,IF(('Loading-drum,tote'!$C$21)&lt;&gt;"No control",SUMIF(('Loading-drum,tote'!$B$31:$B$48),$J168,('Loading-drum,tote'!$E$31:$E$48))*Impacts!$F$13,0)),0)</f>
        <v>0</v>
      </c>
      <c r="R168" s="10">
        <f>IFERROR(IF(('Loading-truck'!$C$21)="No control",SUMIF(('Loading-truck'!$B$31:$B$48),$J168,('Loading-truck'!$D$31:$D$48))*Impacts!$F$14,IF(('Loading-truck'!$C$21)&lt;&gt;"No control",SUMIF(('Loading-truck'!$B$31:$B$48),$J168,('Loading-truck'!$E$31:$E$48))*Impacts!$F$14,0)),0)</f>
        <v>0</v>
      </c>
      <c r="S168" s="10">
        <f>IFERROR(IF(('Loading-rail'!$C$21)="No control",SUMIF(('Loading-rail'!$B$31:$B$48),$J168,('Loading-rail'!$D$31:$D$48))*Impacts!$F$15,IF(('Loading-rail'!$C$21)&lt;&gt;"No control",SUMIF(('Loading-rail'!$B$31:$B$48),$J168,('Loading-rail'!$E$31:$E$48))*Impacts!$F$15,0)),0)</f>
        <v>0</v>
      </c>
      <c r="T168" s="10">
        <f>IF(Flare!$C$7="",0,(SUMIF(Flare!$B$46:$B$185,$J168,Flare!$E$46:$E$185)*Impacts!$F$16))</f>
        <v>0</v>
      </c>
      <c r="U168" s="10">
        <f>IF(VCU!$C$9="",0,(SUMIF(VCU!$B$51:$B$193,$J168,VCU!$E$51:$E$193)*Impacts!$F$17))</f>
        <v>0</v>
      </c>
      <c r="V168" s="10">
        <f>IF(CAS!$C$7="",0,(SUMIF(CAS!$B$31:$B$167,$J168,CAS!$E$31:$E$167)*Impacts!$F$18))</f>
        <v>0</v>
      </c>
      <c r="W168" s="10">
        <f t="shared" si="44"/>
        <v>0</v>
      </c>
      <c r="AK168" s="10" t="str">
        <f t="array" ref="AK168">IFERROR(INDEX(SelectedSpecies,SMALL(IF(SelectedSpecies=AK$1,ROW(SelectedSpecies)),ROW(169:169)),2),"")</f>
        <v/>
      </c>
      <c r="BE168" s="10"/>
      <c r="BI168" s="10"/>
    </row>
    <row r="169" spans="1:61" ht="21" customHeight="1" x14ac:dyDescent="0.25">
      <c r="A169" s="10"/>
      <c r="B169" s="16" t="s">
        <v>177</v>
      </c>
      <c r="C169" s="10">
        <v>100</v>
      </c>
      <c r="D169" s="10">
        <v>249</v>
      </c>
      <c r="E169" s="17">
        <v>249</v>
      </c>
      <c r="I169" s="436" t="s">
        <v>4933</v>
      </c>
      <c r="J169" s="26" t="s">
        <v>4932</v>
      </c>
      <c r="K169" s="10">
        <v>2.5</v>
      </c>
      <c r="L169" s="73">
        <f>IF(Tank1!$C$23="No control",(SUMIF(Tank1!$B$32:$B$49,$J169,Tank1!$C$32:$C$49)*Impacts!$F$8),0)</f>
        <v>0</v>
      </c>
      <c r="M169" s="10">
        <f>IF(Tank2!$C$23="No control",(SUMIF(Tank2!$B$32:$B$49,$J169,Tank2!$C$32:$C$49)*Impacts!$F$9),0)</f>
        <v>0</v>
      </c>
      <c r="N169" s="10">
        <f>IF(Tank3!$C$23="No control",(SUMIF(Tank3!$B$32:$B$49,$J169,Tank3!$C$32:$C$49)*Impacts!$F$10),0)</f>
        <v>0</v>
      </c>
      <c r="O169" s="10">
        <f>IF(Tank4!$C$23="No control",(SUMIF(Tank4!$B$32:$B$49,$J169,Tank4!$C$32:$C$49)*Impacts!$F$11),0)</f>
        <v>0</v>
      </c>
      <c r="P169" s="10">
        <f>IF(Tank5!$C$23="No control",(SUMIF(Tank5!$B$32:$B$49,$J169,Tank5!$C$32:$C$49)*Impacts!$F$12),0)</f>
        <v>0</v>
      </c>
      <c r="Q169" s="10">
        <f>IFERROR(IF(('Loading-drum,tote'!$C$21)="No control",SUMIF(('Loading-drum,tote'!$B$31:$B$48),$J169,('Loading-drum,tote'!$D$31:$D$48))*Impacts!$F$13,IF(('Loading-drum,tote'!$C$21)&lt;&gt;"No control",SUMIF(('Loading-drum,tote'!$B$31:$B$48),$J169,('Loading-drum,tote'!$E$31:$E$48))*Impacts!$F$13,0)),0)</f>
        <v>0</v>
      </c>
      <c r="R169" s="10">
        <f>IFERROR(IF(('Loading-truck'!$C$21)="No control",SUMIF(('Loading-truck'!$B$31:$B$48),$J169,('Loading-truck'!$D$31:$D$48))*Impacts!$F$14,IF(('Loading-truck'!$C$21)&lt;&gt;"No control",SUMIF(('Loading-truck'!$B$31:$B$48),$J169,('Loading-truck'!$E$31:$E$48))*Impacts!$F$14,0)),0)</f>
        <v>0</v>
      </c>
      <c r="S169" s="10">
        <f>IFERROR(IF(('Loading-rail'!$C$21)="No control",SUMIF(('Loading-rail'!$B$31:$B$48),$J169,('Loading-rail'!$D$31:$D$48))*Impacts!$F$15,IF(('Loading-rail'!$C$21)&lt;&gt;"No control",SUMIF(('Loading-rail'!$B$31:$B$48),$J169,('Loading-rail'!$E$31:$E$48))*Impacts!$F$15,0)),0)</f>
        <v>0</v>
      </c>
      <c r="T169" s="10">
        <f>IF(Flare!$C$7="",0,(SUMIF(Flare!$B$46:$B$185,$J169,Flare!$E$46:$E$185)*Impacts!$F$16))</f>
        <v>0</v>
      </c>
      <c r="U169" s="10">
        <f>IF(VCU!$C$9="",0,(SUMIF(VCU!$B$51:$B$193,$J169,VCU!$E$51:$E$193)*Impacts!$F$17))</f>
        <v>0</v>
      </c>
      <c r="V169" s="10">
        <f>IF(CAS!$C$7="",0,(SUMIF(CAS!$B$31:$B$167,$J169,CAS!$E$31:$E$167)*Impacts!$F$18))</f>
        <v>0</v>
      </c>
      <c r="W169" s="10">
        <f t="shared" si="44"/>
        <v>0</v>
      </c>
      <c r="AK169" s="10" t="str">
        <f t="array" ref="AK169">IFERROR(INDEX(SelectedSpecies,SMALL(IF(SelectedSpecies=AK$1,ROW(SelectedSpecies)),ROW(170:170)),2),"")</f>
        <v/>
      </c>
      <c r="BE169" s="10"/>
      <c r="BI169" s="10"/>
    </row>
    <row r="170" spans="1:61" ht="21" customHeight="1" x14ac:dyDescent="0.25">
      <c r="A170" s="10"/>
      <c r="B170" s="16" t="s">
        <v>178</v>
      </c>
      <c r="C170" s="10">
        <v>100</v>
      </c>
      <c r="D170" s="10">
        <v>249</v>
      </c>
      <c r="E170" s="17">
        <v>249</v>
      </c>
      <c r="I170" s="436" t="s">
        <v>5125</v>
      </c>
      <c r="J170" s="26" t="s">
        <v>5124</v>
      </c>
      <c r="K170" s="10">
        <v>2</v>
      </c>
      <c r="L170" s="73">
        <f>IF(Tank1!$C$23="No control",(SUMIF(Tank1!$B$32:$B$49,$J170,Tank1!$C$32:$C$49)*Impacts!$F$8),0)</f>
        <v>0</v>
      </c>
      <c r="M170" s="10">
        <f>IF(Tank2!$C$23="No control",(SUMIF(Tank2!$B$32:$B$49,$J170,Tank2!$C$32:$C$49)*Impacts!$F$9),0)</f>
        <v>0</v>
      </c>
      <c r="N170" s="10">
        <f>IF(Tank3!$C$23="No control",(SUMIF(Tank3!$B$32:$B$49,$J170,Tank3!$C$32:$C$49)*Impacts!$F$10),0)</f>
        <v>0</v>
      </c>
      <c r="O170" s="10">
        <f>IF(Tank4!$C$23="No control",(SUMIF(Tank4!$B$32:$B$49,$J170,Tank4!$C$32:$C$49)*Impacts!$F$11),0)</f>
        <v>0</v>
      </c>
      <c r="P170" s="10">
        <f>IF(Tank5!$C$23="No control",(SUMIF(Tank5!$B$32:$B$49,$J170,Tank5!$C$32:$C$49)*Impacts!$F$12),0)</f>
        <v>0</v>
      </c>
      <c r="Q170" s="10">
        <f>IFERROR(IF(('Loading-drum,tote'!$C$21)="No control",SUMIF(('Loading-drum,tote'!$B$31:$B$48),$J170,('Loading-drum,tote'!$D$31:$D$48))*Impacts!$F$13,IF(('Loading-drum,tote'!$C$21)&lt;&gt;"No control",SUMIF(('Loading-drum,tote'!$B$31:$B$48),$J170,('Loading-drum,tote'!$E$31:$E$48))*Impacts!$F$13,0)),0)</f>
        <v>0</v>
      </c>
      <c r="R170" s="10">
        <f>IFERROR(IF(('Loading-truck'!$C$21)="No control",SUMIF(('Loading-truck'!$B$31:$B$48),$J170,('Loading-truck'!$D$31:$D$48))*Impacts!$F$14,IF(('Loading-truck'!$C$21)&lt;&gt;"No control",SUMIF(('Loading-truck'!$B$31:$B$48),$J170,('Loading-truck'!$E$31:$E$48))*Impacts!$F$14,0)),0)</f>
        <v>0</v>
      </c>
      <c r="S170" s="10">
        <f>IFERROR(IF(('Loading-rail'!$C$21)="No control",SUMIF(('Loading-rail'!$B$31:$B$48),$J170,('Loading-rail'!$D$31:$D$48))*Impacts!$F$15,IF(('Loading-rail'!$C$21)&lt;&gt;"No control",SUMIF(('Loading-rail'!$B$31:$B$48),$J170,('Loading-rail'!$E$31:$E$48))*Impacts!$F$15,0)),0)</f>
        <v>0</v>
      </c>
      <c r="T170" s="10">
        <f>IF(Flare!$C$7="",0,(SUMIF(Flare!$B$46:$B$185,$J170,Flare!$E$46:$E$185)*Impacts!$F$16))</f>
        <v>0</v>
      </c>
      <c r="U170" s="10">
        <f>IF(VCU!$C$9="",0,(SUMIF(VCU!$B$51:$B$193,$J170,VCU!$E$51:$E$193)*Impacts!$F$17))</f>
        <v>0</v>
      </c>
      <c r="V170" s="10">
        <f>IF(CAS!$C$7="",0,(SUMIF(CAS!$B$31:$B$167,$J170,CAS!$E$31:$E$167)*Impacts!$F$18))</f>
        <v>0</v>
      </c>
      <c r="W170" s="10">
        <f t="shared" si="44"/>
        <v>0</v>
      </c>
      <c r="AK170" s="10" t="str">
        <f t="array" ref="AK170">IFERROR(INDEX(SelectedSpecies,SMALL(IF(SelectedSpecies=AK$1,ROW(SelectedSpecies)),ROW(171:171)),2),"")</f>
        <v/>
      </c>
      <c r="BE170" s="10"/>
      <c r="BI170" s="10"/>
    </row>
    <row r="171" spans="1:61" ht="21" customHeight="1" x14ac:dyDescent="0.25">
      <c r="A171" s="10"/>
      <c r="B171" s="16" t="s">
        <v>179</v>
      </c>
      <c r="C171" s="10">
        <v>100</v>
      </c>
      <c r="D171" s="10">
        <v>249</v>
      </c>
      <c r="E171" s="17">
        <v>249</v>
      </c>
      <c r="I171" s="436" t="s">
        <v>4703</v>
      </c>
      <c r="J171" s="26" t="s">
        <v>4702</v>
      </c>
      <c r="K171" s="10">
        <v>3.5</v>
      </c>
      <c r="L171" s="73">
        <f>IF(Tank1!$C$23="No control",(SUMIF(Tank1!$B$32:$B$49,$J171,Tank1!$C$32:$C$49)*Impacts!$F$8),0)</f>
        <v>0</v>
      </c>
      <c r="M171" s="10">
        <f>IF(Tank2!$C$23="No control",(SUMIF(Tank2!$B$32:$B$49,$J171,Tank2!$C$32:$C$49)*Impacts!$F$9),0)</f>
        <v>0</v>
      </c>
      <c r="N171" s="10">
        <f>IF(Tank3!$C$23="No control",(SUMIF(Tank3!$B$32:$B$49,$J171,Tank3!$C$32:$C$49)*Impacts!$F$10),0)</f>
        <v>0</v>
      </c>
      <c r="O171" s="10">
        <f>IF(Tank4!$C$23="No control",(SUMIF(Tank4!$B$32:$B$49,$J171,Tank4!$C$32:$C$49)*Impacts!$F$11),0)</f>
        <v>0</v>
      </c>
      <c r="P171" s="10">
        <f>IF(Tank5!$C$23="No control",(SUMIF(Tank5!$B$32:$B$49,$J171,Tank5!$C$32:$C$49)*Impacts!$F$12),0)</f>
        <v>0</v>
      </c>
      <c r="Q171" s="10">
        <f>IFERROR(IF(('Loading-drum,tote'!$C$21)="No control",SUMIF(('Loading-drum,tote'!$B$31:$B$48),$J171,('Loading-drum,tote'!$D$31:$D$48))*Impacts!$F$13,IF(('Loading-drum,tote'!$C$21)&lt;&gt;"No control",SUMIF(('Loading-drum,tote'!$B$31:$B$48),$J171,('Loading-drum,tote'!$E$31:$E$48))*Impacts!$F$13,0)),0)</f>
        <v>0</v>
      </c>
      <c r="R171" s="10">
        <f>IFERROR(IF(('Loading-truck'!$C$21)="No control",SUMIF(('Loading-truck'!$B$31:$B$48),$J171,('Loading-truck'!$D$31:$D$48))*Impacts!$F$14,IF(('Loading-truck'!$C$21)&lt;&gt;"No control",SUMIF(('Loading-truck'!$B$31:$B$48),$J171,('Loading-truck'!$E$31:$E$48))*Impacts!$F$14,0)),0)</f>
        <v>0</v>
      </c>
      <c r="S171" s="10">
        <f>IFERROR(IF(('Loading-rail'!$C$21)="No control",SUMIF(('Loading-rail'!$B$31:$B$48),$J171,('Loading-rail'!$D$31:$D$48))*Impacts!$F$15,IF(('Loading-rail'!$C$21)&lt;&gt;"No control",SUMIF(('Loading-rail'!$B$31:$B$48),$J171,('Loading-rail'!$E$31:$E$48))*Impacts!$F$15,0)),0)</f>
        <v>0</v>
      </c>
      <c r="T171" s="10">
        <f>IF(Flare!$C$7="",0,(SUMIF(Flare!$B$46:$B$185,$J171,Flare!$E$46:$E$185)*Impacts!$F$16))</f>
        <v>0</v>
      </c>
      <c r="U171" s="10">
        <f>IF(VCU!$C$9="",0,(SUMIF(VCU!$B$51:$B$193,$J171,VCU!$E$51:$E$193)*Impacts!$F$17))</f>
        <v>0</v>
      </c>
      <c r="V171" s="10">
        <f>IF(CAS!$C$7="",0,(SUMIF(CAS!$B$31:$B$167,$J171,CAS!$E$31:$E$167)*Impacts!$F$18))</f>
        <v>0</v>
      </c>
      <c r="W171" s="10">
        <f t="shared" si="44"/>
        <v>0</v>
      </c>
      <c r="AK171" s="10" t="str">
        <f t="array" ref="AK171">IFERROR(INDEX(SelectedSpecies,SMALL(IF(SelectedSpecies=AK$1,ROW(SelectedSpecies)),ROW(172:172)),2),"")</f>
        <v/>
      </c>
      <c r="BE171" s="10"/>
      <c r="BI171" s="10"/>
    </row>
    <row r="172" spans="1:61" ht="21" customHeight="1" x14ac:dyDescent="0.25">
      <c r="A172" s="10"/>
      <c r="B172" s="16" t="s">
        <v>180</v>
      </c>
      <c r="C172" s="10">
        <v>100</v>
      </c>
      <c r="D172" s="10">
        <v>100</v>
      </c>
      <c r="E172" s="17">
        <v>249</v>
      </c>
      <c r="I172" s="436" t="s">
        <v>3641</v>
      </c>
      <c r="J172" s="26" t="s">
        <v>3640</v>
      </c>
      <c r="K172" s="10">
        <v>7.2</v>
      </c>
      <c r="L172" s="73">
        <f>IF(Tank1!$C$23="No control",(SUMIF(Tank1!$B$32:$B$49,$J172,Tank1!$C$32:$C$49)*Impacts!$F$8),0)</f>
        <v>0</v>
      </c>
      <c r="M172" s="10">
        <f>IF(Tank2!$C$23="No control",(SUMIF(Tank2!$B$32:$B$49,$J172,Tank2!$C$32:$C$49)*Impacts!$F$9),0)</f>
        <v>0</v>
      </c>
      <c r="N172" s="10">
        <f>IF(Tank3!$C$23="No control",(SUMIF(Tank3!$B$32:$B$49,$J172,Tank3!$C$32:$C$49)*Impacts!$F$10),0)</f>
        <v>0</v>
      </c>
      <c r="O172" s="10">
        <f>IF(Tank4!$C$23="No control",(SUMIF(Tank4!$B$32:$B$49,$J172,Tank4!$C$32:$C$49)*Impacts!$F$11),0)</f>
        <v>0</v>
      </c>
      <c r="P172" s="10">
        <f>IF(Tank5!$C$23="No control",(SUMIF(Tank5!$B$32:$B$49,$J172,Tank5!$C$32:$C$49)*Impacts!$F$12),0)</f>
        <v>0</v>
      </c>
      <c r="Q172" s="10">
        <f>IFERROR(IF(('Loading-drum,tote'!$C$21)="No control",SUMIF(('Loading-drum,tote'!$B$31:$B$48),$J172,('Loading-drum,tote'!$D$31:$D$48))*Impacts!$F$13,IF(('Loading-drum,tote'!$C$21)&lt;&gt;"No control",SUMIF(('Loading-drum,tote'!$B$31:$B$48),$J172,('Loading-drum,tote'!$E$31:$E$48))*Impacts!$F$13,0)),0)</f>
        <v>0</v>
      </c>
      <c r="R172" s="10">
        <f>IFERROR(IF(('Loading-truck'!$C$21)="No control",SUMIF(('Loading-truck'!$B$31:$B$48),$J172,('Loading-truck'!$D$31:$D$48))*Impacts!$F$14,IF(('Loading-truck'!$C$21)&lt;&gt;"No control",SUMIF(('Loading-truck'!$B$31:$B$48),$J172,('Loading-truck'!$E$31:$E$48))*Impacts!$F$14,0)),0)</f>
        <v>0</v>
      </c>
      <c r="S172" s="10">
        <f>IFERROR(IF(('Loading-rail'!$C$21)="No control",SUMIF(('Loading-rail'!$B$31:$B$48),$J172,('Loading-rail'!$D$31:$D$48))*Impacts!$F$15,IF(('Loading-rail'!$C$21)&lt;&gt;"No control",SUMIF(('Loading-rail'!$B$31:$B$48),$J172,('Loading-rail'!$E$31:$E$48))*Impacts!$F$15,0)),0)</f>
        <v>0</v>
      </c>
      <c r="T172" s="10">
        <f>IF(Flare!$C$7="",0,(SUMIF(Flare!$B$46:$B$185,$J172,Flare!$E$46:$E$185)*Impacts!$F$16))</f>
        <v>0</v>
      </c>
      <c r="U172" s="10">
        <f>IF(VCU!$C$9="",0,(SUMIF(VCU!$B$51:$B$193,$J172,VCU!$E$51:$E$193)*Impacts!$F$17))</f>
        <v>0</v>
      </c>
      <c r="V172" s="10">
        <f>IF(CAS!$C$7="",0,(SUMIF(CAS!$B$31:$B$167,$J172,CAS!$E$31:$E$167)*Impacts!$F$18))</f>
        <v>0</v>
      </c>
      <c r="W172" s="10">
        <f t="shared" si="44"/>
        <v>0</v>
      </c>
      <c r="AK172" s="10" t="str">
        <f t="array" ref="AK172">IFERROR(INDEX(SelectedSpecies,SMALL(IF(SelectedSpecies=AK$1,ROW(SelectedSpecies)),ROW(173:173)),2),"")</f>
        <v/>
      </c>
      <c r="BE172" s="10"/>
      <c r="BI172" s="10"/>
    </row>
    <row r="173" spans="1:61" ht="21" customHeight="1" x14ac:dyDescent="0.25">
      <c r="A173" s="10"/>
      <c r="B173" s="16" t="s">
        <v>181</v>
      </c>
      <c r="C173" s="10">
        <v>100</v>
      </c>
      <c r="D173" s="10">
        <v>249</v>
      </c>
      <c r="E173" s="17">
        <v>249</v>
      </c>
      <c r="I173" s="436" t="s">
        <v>2065</v>
      </c>
      <c r="J173" s="26" t="s">
        <v>2064</v>
      </c>
      <c r="K173" s="10">
        <v>15</v>
      </c>
      <c r="L173" s="73">
        <f>IF(Tank1!$C$23="No control",(SUMIF(Tank1!$B$32:$B$49,$J173,Tank1!$C$32:$C$49)*Impacts!$F$8),0)</f>
        <v>0</v>
      </c>
      <c r="M173" s="10">
        <f>IF(Tank2!$C$23="No control",(SUMIF(Tank2!$B$32:$B$49,$J173,Tank2!$C$32:$C$49)*Impacts!$F$9),0)</f>
        <v>0</v>
      </c>
      <c r="N173" s="10">
        <f>IF(Tank3!$C$23="No control",(SUMIF(Tank3!$B$32:$B$49,$J173,Tank3!$C$32:$C$49)*Impacts!$F$10),0)</f>
        <v>0</v>
      </c>
      <c r="O173" s="10">
        <f>IF(Tank4!$C$23="No control",(SUMIF(Tank4!$B$32:$B$49,$J173,Tank4!$C$32:$C$49)*Impacts!$F$11),0)</f>
        <v>0</v>
      </c>
      <c r="P173" s="10">
        <f>IF(Tank5!$C$23="No control",(SUMIF(Tank5!$B$32:$B$49,$J173,Tank5!$C$32:$C$49)*Impacts!$F$12),0)</f>
        <v>0</v>
      </c>
      <c r="Q173" s="10">
        <f>IFERROR(IF(('Loading-drum,tote'!$C$21)="No control",SUMIF(('Loading-drum,tote'!$B$31:$B$48),$J173,('Loading-drum,tote'!$D$31:$D$48))*Impacts!$F$13,IF(('Loading-drum,tote'!$C$21)&lt;&gt;"No control",SUMIF(('Loading-drum,tote'!$B$31:$B$48),$J173,('Loading-drum,tote'!$E$31:$E$48))*Impacts!$F$13,0)),0)</f>
        <v>0</v>
      </c>
      <c r="R173" s="10">
        <f>IFERROR(IF(('Loading-truck'!$C$21)="No control",SUMIF(('Loading-truck'!$B$31:$B$48),$J173,('Loading-truck'!$D$31:$D$48))*Impacts!$F$14,IF(('Loading-truck'!$C$21)&lt;&gt;"No control",SUMIF(('Loading-truck'!$B$31:$B$48),$J173,('Loading-truck'!$E$31:$E$48))*Impacts!$F$14,0)),0)</f>
        <v>0</v>
      </c>
      <c r="S173" s="10">
        <f>IFERROR(IF(('Loading-rail'!$C$21)="No control",SUMIF(('Loading-rail'!$B$31:$B$48),$J173,('Loading-rail'!$D$31:$D$48))*Impacts!$F$15,IF(('Loading-rail'!$C$21)&lt;&gt;"No control",SUMIF(('Loading-rail'!$B$31:$B$48),$J173,('Loading-rail'!$E$31:$E$48))*Impacts!$F$15,0)),0)</f>
        <v>0</v>
      </c>
      <c r="T173" s="10">
        <f>IF(Flare!$C$7="",0,(SUMIF(Flare!$B$46:$B$185,$J173,Flare!$E$46:$E$185)*Impacts!$F$16))</f>
        <v>0</v>
      </c>
      <c r="U173" s="10">
        <f>IF(VCU!$C$9="",0,(SUMIF(VCU!$B$51:$B$193,$J173,VCU!$E$51:$E$193)*Impacts!$F$17))</f>
        <v>0</v>
      </c>
      <c r="V173" s="10">
        <f>IF(CAS!$C$7="",0,(SUMIF(CAS!$B$31:$B$167,$J173,CAS!$E$31:$E$167)*Impacts!$F$18))</f>
        <v>0</v>
      </c>
      <c r="W173" s="10">
        <f t="shared" si="44"/>
        <v>0</v>
      </c>
      <c r="AK173" s="10" t="str">
        <f t="array" ref="AK173">IFERROR(INDEX(SelectedSpecies,SMALL(IF(SelectedSpecies=AK$1,ROW(SelectedSpecies)),ROW(174:174)),2),"")</f>
        <v/>
      </c>
      <c r="BE173" s="10"/>
      <c r="BI173" s="10"/>
    </row>
    <row r="174" spans="1:61" ht="21" customHeight="1" x14ac:dyDescent="0.25">
      <c r="A174" s="10"/>
      <c r="B174" s="16" t="s">
        <v>182</v>
      </c>
      <c r="C174" s="10">
        <v>100</v>
      </c>
      <c r="D174" s="10">
        <v>249</v>
      </c>
      <c r="E174" s="17">
        <v>249</v>
      </c>
      <c r="I174" s="436" t="s">
        <v>2401</v>
      </c>
      <c r="J174" s="26" t="s">
        <v>2400</v>
      </c>
      <c r="K174" s="10">
        <v>10</v>
      </c>
      <c r="L174" s="73">
        <f>IF(Tank1!$C$23="No control",(SUMIF(Tank1!$B$32:$B$49,$J174,Tank1!$C$32:$C$49)*Impacts!$F$8),0)</f>
        <v>0</v>
      </c>
      <c r="M174" s="10">
        <f>IF(Tank2!$C$23="No control",(SUMIF(Tank2!$B$32:$B$49,$J174,Tank2!$C$32:$C$49)*Impacts!$F$9),0)</f>
        <v>0</v>
      </c>
      <c r="N174" s="10">
        <f>IF(Tank3!$C$23="No control",(SUMIF(Tank3!$B$32:$B$49,$J174,Tank3!$C$32:$C$49)*Impacts!$F$10),0)</f>
        <v>0</v>
      </c>
      <c r="O174" s="10">
        <f>IF(Tank4!$C$23="No control",(SUMIF(Tank4!$B$32:$B$49,$J174,Tank4!$C$32:$C$49)*Impacts!$F$11),0)</f>
        <v>0</v>
      </c>
      <c r="P174" s="10">
        <f>IF(Tank5!$C$23="No control",(SUMIF(Tank5!$B$32:$B$49,$J174,Tank5!$C$32:$C$49)*Impacts!$F$12),0)</f>
        <v>0</v>
      </c>
      <c r="Q174" s="10">
        <f>IFERROR(IF(('Loading-drum,tote'!$C$21)="No control",SUMIF(('Loading-drum,tote'!$B$31:$B$48),$J174,('Loading-drum,tote'!$D$31:$D$48))*Impacts!$F$13,IF(('Loading-drum,tote'!$C$21)&lt;&gt;"No control",SUMIF(('Loading-drum,tote'!$B$31:$B$48),$J174,('Loading-drum,tote'!$E$31:$E$48))*Impacts!$F$13,0)),0)</f>
        <v>0</v>
      </c>
      <c r="R174" s="10">
        <f>IFERROR(IF(('Loading-truck'!$C$21)="No control",SUMIF(('Loading-truck'!$B$31:$B$48),$J174,('Loading-truck'!$D$31:$D$48))*Impacts!$F$14,IF(('Loading-truck'!$C$21)&lt;&gt;"No control",SUMIF(('Loading-truck'!$B$31:$B$48),$J174,('Loading-truck'!$E$31:$E$48))*Impacts!$F$14,0)),0)</f>
        <v>0</v>
      </c>
      <c r="S174" s="10">
        <f>IFERROR(IF(('Loading-rail'!$C$21)="No control",SUMIF(('Loading-rail'!$B$31:$B$48),$J174,('Loading-rail'!$D$31:$D$48))*Impacts!$F$15,IF(('Loading-rail'!$C$21)&lt;&gt;"No control",SUMIF(('Loading-rail'!$B$31:$B$48),$J174,('Loading-rail'!$E$31:$E$48))*Impacts!$F$15,0)),0)</f>
        <v>0</v>
      </c>
      <c r="T174" s="10">
        <f>IF(Flare!$C$7="",0,(SUMIF(Flare!$B$46:$B$185,$J174,Flare!$E$46:$E$185)*Impacts!$F$16))</f>
        <v>0</v>
      </c>
      <c r="U174" s="10">
        <f>IF(VCU!$C$9="",0,(SUMIF(VCU!$B$51:$B$193,$J174,VCU!$E$51:$E$193)*Impacts!$F$17))</f>
        <v>0</v>
      </c>
      <c r="V174" s="10">
        <f>IF(CAS!$C$7="",0,(SUMIF(CAS!$B$31:$B$167,$J174,CAS!$E$31:$E$167)*Impacts!$F$18))</f>
        <v>0</v>
      </c>
      <c r="W174" s="10">
        <f t="shared" si="44"/>
        <v>0</v>
      </c>
      <c r="AK174" s="10" t="str">
        <f t="array" ref="AK174">IFERROR(INDEX(SelectedSpecies,SMALL(IF(SelectedSpecies=AK$1,ROW(SelectedSpecies)),ROW(175:175)),2),"")</f>
        <v/>
      </c>
      <c r="BE174" s="10"/>
      <c r="BI174" s="10"/>
    </row>
    <row r="175" spans="1:61" ht="21" customHeight="1" x14ac:dyDescent="0.25">
      <c r="A175" s="10"/>
      <c r="B175" s="16" t="s">
        <v>183</v>
      </c>
      <c r="C175" s="10">
        <v>100</v>
      </c>
      <c r="D175" s="10">
        <v>249</v>
      </c>
      <c r="E175" s="17">
        <v>249</v>
      </c>
      <c r="I175" s="436" t="s">
        <v>5509</v>
      </c>
      <c r="J175" s="26" t="s">
        <v>5508</v>
      </c>
      <c r="K175" s="10">
        <v>1.25</v>
      </c>
      <c r="L175" s="73">
        <f>IF(Tank1!$C$23="No control",(SUMIF(Tank1!$B$32:$B$49,$J175,Tank1!$C$32:$C$49)*Impacts!$F$8),0)</f>
        <v>0</v>
      </c>
      <c r="M175" s="10">
        <f>IF(Tank2!$C$23="No control",(SUMIF(Tank2!$B$32:$B$49,$J175,Tank2!$C$32:$C$49)*Impacts!$F$9),0)</f>
        <v>0</v>
      </c>
      <c r="N175" s="10">
        <f>IF(Tank3!$C$23="No control",(SUMIF(Tank3!$B$32:$B$49,$J175,Tank3!$C$32:$C$49)*Impacts!$F$10),0)</f>
        <v>0</v>
      </c>
      <c r="O175" s="10">
        <f>IF(Tank4!$C$23="No control",(SUMIF(Tank4!$B$32:$B$49,$J175,Tank4!$C$32:$C$49)*Impacts!$F$11),0)</f>
        <v>0</v>
      </c>
      <c r="P175" s="10">
        <f>IF(Tank5!$C$23="No control",(SUMIF(Tank5!$B$32:$B$49,$J175,Tank5!$C$32:$C$49)*Impacts!$F$12),0)</f>
        <v>0</v>
      </c>
      <c r="Q175" s="10">
        <f>IFERROR(IF(('Loading-drum,tote'!$C$21)="No control",SUMIF(('Loading-drum,tote'!$B$31:$B$48),$J175,('Loading-drum,tote'!$D$31:$D$48))*Impacts!$F$13,IF(('Loading-drum,tote'!$C$21)&lt;&gt;"No control",SUMIF(('Loading-drum,tote'!$B$31:$B$48),$J175,('Loading-drum,tote'!$E$31:$E$48))*Impacts!$F$13,0)),0)</f>
        <v>0</v>
      </c>
      <c r="R175" s="10">
        <f>IFERROR(IF(('Loading-truck'!$C$21)="No control",SUMIF(('Loading-truck'!$B$31:$B$48),$J175,('Loading-truck'!$D$31:$D$48))*Impacts!$F$14,IF(('Loading-truck'!$C$21)&lt;&gt;"No control",SUMIF(('Loading-truck'!$B$31:$B$48),$J175,('Loading-truck'!$E$31:$E$48))*Impacts!$F$14,0)),0)</f>
        <v>0</v>
      </c>
      <c r="S175" s="10">
        <f>IFERROR(IF(('Loading-rail'!$C$21)="No control",SUMIF(('Loading-rail'!$B$31:$B$48),$J175,('Loading-rail'!$D$31:$D$48))*Impacts!$F$15,IF(('Loading-rail'!$C$21)&lt;&gt;"No control",SUMIF(('Loading-rail'!$B$31:$B$48),$J175,('Loading-rail'!$E$31:$E$48))*Impacts!$F$15,0)),0)</f>
        <v>0</v>
      </c>
      <c r="T175" s="10">
        <f>IF(Flare!$C$7="",0,(SUMIF(Flare!$B$46:$B$185,$J175,Flare!$E$46:$E$185)*Impacts!$F$16))</f>
        <v>0</v>
      </c>
      <c r="U175" s="10">
        <f>IF(VCU!$C$9="",0,(SUMIF(VCU!$B$51:$B$193,$J175,VCU!$E$51:$E$193)*Impacts!$F$17))</f>
        <v>0</v>
      </c>
      <c r="V175" s="10">
        <f>IF(CAS!$C$7="",0,(SUMIF(CAS!$B$31:$B$167,$J175,CAS!$E$31:$E$167)*Impacts!$F$18))</f>
        <v>0</v>
      </c>
      <c r="W175" s="10">
        <f t="shared" si="44"/>
        <v>0</v>
      </c>
      <c r="AK175" s="10" t="str">
        <f t="array" ref="AK175">IFERROR(INDEX(SelectedSpecies,SMALL(IF(SelectedSpecies=AK$1,ROW(SelectedSpecies)),ROW(176:176)),2),"")</f>
        <v/>
      </c>
      <c r="BE175" s="10"/>
      <c r="BI175" s="10"/>
    </row>
    <row r="176" spans="1:61" ht="21" customHeight="1" x14ac:dyDescent="0.25">
      <c r="A176" s="10"/>
      <c r="B176" s="16" t="s">
        <v>184</v>
      </c>
      <c r="C176" s="10">
        <v>100</v>
      </c>
      <c r="D176" s="10">
        <v>249</v>
      </c>
      <c r="E176" s="17">
        <v>249</v>
      </c>
      <c r="I176" s="436" t="s">
        <v>6494</v>
      </c>
      <c r="J176" s="26" t="s">
        <v>6493</v>
      </c>
      <c r="K176" s="10">
        <v>0.70000000000000007</v>
      </c>
      <c r="L176" s="73">
        <f>IF(Tank1!$C$23="No control",(SUMIF(Tank1!$B$32:$B$49,$J176,Tank1!$C$32:$C$49)*Impacts!$F$8),0)</f>
        <v>0</v>
      </c>
      <c r="M176" s="10">
        <f>IF(Tank2!$C$23="No control",(SUMIF(Tank2!$B$32:$B$49,$J176,Tank2!$C$32:$C$49)*Impacts!$F$9),0)</f>
        <v>0</v>
      </c>
      <c r="N176" s="10">
        <f>IF(Tank3!$C$23="No control",(SUMIF(Tank3!$B$32:$B$49,$J176,Tank3!$C$32:$C$49)*Impacts!$F$10),0)</f>
        <v>0</v>
      </c>
      <c r="O176" s="10">
        <f>IF(Tank4!$C$23="No control",(SUMIF(Tank4!$B$32:$B$49,$J176,Tank4!$C$32:$C$49)*Impacts!$F$11),0)</f>
        <v>0</v>
      </c>
      <c r="P176" s="10">
        <f>IF(Tank5!$C$23="No control",(SUMIF(Tank5!$B$32:$B$49,$J176,Tank5!$C$32:$C$49)*Impacts!$F$12),0)</f>
        <v>0</v>
      </c>
      <c r="Q176" s="10">
        <f>IFERROR(IF(('Loading-drum,tote'!$C$21)="No control",SUMIF(('Loading-drum,tote'!$B$31:$B$48),$J176,('Loading-drum,tote'!$D$31:$D$48))*Impacts!$F$13,IF(('Loading-drum,tote'!$C$21)&lt;&gt;"No control",SUMIF(('Loading-drum,tote'!$B$31:$B$48),$J176,('Loading-drum,tote'!$E$31:$E$48))*Impacts!$F$13,0)),0)</f>
        <v>0</v>
      </c>
      <c r="R176" s="10">
        <f>IFERROR(IF(('Loading-truck'!$C$21)="No control",SUMIF(('Loading-truck'!$B$31:$B$48),$J176,('Loading-truck'!$D$31:$D$48))*Impacts!$F$14,IF(('Loading-truck'!$C$21)&lt;&gt;"No control",SUMIF(('Loading-truck'!$B$31:$B$48),$J176,('Loading-truck'!$E$31:$E$48))*Impacts!$F$14,0)),0)</f>
        <v>0</v>
      </c>
      <c r="S176" s="10">
        <f>IFERROR(IF(('Loading-rail'!$C$21)="No control",SUMIF(('Loading-rail'!$B$31:$B$48),$J176,('Loading-rail'!$D$31:$D$48))*Impacts!$F$15,IF(('Loading-rail'!$C$21)&lt;&gt;"No control",SUMIF(('Loading-rail'!$B$31:$B$48),$J176,('Loading-rail'!$E$31:$E$48))*Impacts!$F$15,0)),0)</f>
        <v>0</v>
      </c>
      <c r="T176" s="10">
        <f>IF(Flare!$C$7="",0,(SUMIF(Flare!$B$46:$B$185,$J176,Flare!$E$46:$E$185)*Impacts!$F$16))</f>
        <v>0</v>
      </c>
      <c r="U176" s="10">
        <f>IF(VCU!$C$9="",0,(SUMIF(VCU!$B$51:$B$193,$J176,VCU!$E$51:$E$193)*Impacts!$F$17))</f>
        <v>0</v>
      </c>
      <c r="V176" s="10">
        <f>IF(CAS!$C$7="",0,(SUMIF(CAS!$B$31:$B$167,$J176,CAS!$E$31:$E$167)*Impacts!$F$18))</f>
        <v>0</v>
      </c>
      <c r="W176" s="10">
        <f t="shared" si="44"/>
        <v>0</v>
      </c>
      <c r="AK176" s="10" t="str">
        <f t="array" ref="AK176">IFERROR(INDEX(SelectedSpecies,SMALL(IF(SelectedSpecies=AK$1,ROW(SelectedSpecies)),ROW(177:177)),2),"")</f>
        <v/>
      </c>
      <c r="BE176" s="10"/>
      <c r="BI176" s="10"/>
    </row>
    <row r="177" spans="1:61" ht="21" customHeight="1" x14ac:dyDescent="0.25">
      <c r="A177" s="10"/>
      <c r="B177" s="16" t="s">
        <v>185</v>
      </c>
      <c r="C177" s="10">
        <v>100</v>
      </c>
      <c r="D177" s="10">
        <v>249</v>
      </c>
      <c r="E177" s="17">
        <v>249</v>
      </c>
      <c r="I177" s="436" t="s">
        <v>5481</v>
      </c>
      <c r="J177" s="26" t="s">
        <v>5480</v>
      </c>
      <c r="K177" s="10">
        <v>1.3</v>
      </c>
      <c r="L177" s="73">
        <f>IF(Tank1!$C$23="No control",(SUMIF(Tank1!$B$32:$B$49,$J177,Tank1!$C$32:$C$49)*Impacts!$F$8),0)</f>
        <v>0</v>
      </c>
      <c r="M177" s="10">
        <f>IF(Tank2!$C$23="No control",(SUMIF(Tank2!$B$32:$B$49,$J177,Tank2!$C$32:$C$49)*Impacts!$F$9),0)</f>
        <v>0</v>
      </c>
      <c r="N177" s="10">
        <f>IF(Tank3!$C$23="No control",(SUMIF(Tank3!$B$32:$B$49,$J177,Tank3!$C$32:$C$49)*Impacts!$F$10),0)</f>
        <v>0</v>
      </c>
      <c r="O177" s="10">
        <f>IF(Tank4!$C$23="No control",(SUMIF(Tank4!$B$32:$B$49,$J177,Tank4!$C$32:$C$49)*Impacts!$F$11),0)</f>
        <v>0</v>
      </c>
      <c r="P177" s="10">
        <f>IF(Tank5!$C$23="No control",(SUMIF(Tank5!$B$32:$B$49,$J177,Tank5!$C$32:$C$49)*Impacts!$F$12),0)</f>
        <v>0</v>
      </c>
      <c r="Q177" s="10">
        <f>IFERROR(IF(('Loading-drum,tote'!$C$21)="No control",SUMIF(('Loading-drum,tote'!$B$31:$B$48),$J177,('Loading-drum,tote'!$D$31:$D$48))*Impacts!$F$13,IF(('Loading-drum,tote'!$C$21)&lt;&gt;"No control",SUMIF(('Loading-drum,tote'!$B$31:$B$48),$J177,('Loading-drum,tote'!$E$31:$E$48))*Impacts!$F$13,0)),0)</f>
        <v>0</v>
      </c>
      <c r="R177" s="10">
        <f>IFERROR(IF(('Loading-truck'!$C$21)="No control",SUMIF(('Loading-truck'!$B$31:$B$48),$J177,('Loading-truck'!$D$31:$D$48))*Impacts!$F$14,IF(('Loading-truck'!$C$21)&lt;&gt;"No control",SUMIF(('Loading-truck'!$B$31:$B$48),$J177,('Loading-truck'!$E$31:$E$48))*Impacts!$F$14,0)),0)</f>
        <v>0</v>
      </c>
      <c r="S177" s="10">
        <f>IFERROR(IF(('Loading-rail'!$C$21)="No control",SUMIF(('Loading-rail'!$B$31:$B$48),$J177,('Loading-rail'!$D$31:$D$48))*Impacts!$F$15,IF(('Loading-rail'!$C$21)&lt;&gt;"No control",SUMIF(('Loading-rail'!$B$31:$B$48),$J177,('Loading-rail'!$E$31:$E$48))*Impacts!$F$15,0)),0)</f>
        <v>0</v>
      </c>
      <c r="T177" s="10">
        <f>IF(Flare!$C$7="",0,(SUMIF(Flare!$B$46:$B$185,$J177,Flare!$E$46:$E$185)*Impacts!$F$16))</f>
        <v>0</v>
      </c>
      <c r="U177" s="10">
        <f>IF(VCU!$C$9="",0,(SUMIF(VCU!$B$51:$B$193,$J177,VCU!$E$51:$E$193)*Impacts!$F$17))</f>
        <v>0</v>
      </c>
      <c r="V177" s="10">
        <f>IF(CAS!$C$7="",0,(SUMIF(CAS!$B$31:$B$167,$J177,CAS!$E$31:$E$167)*Impacts!$F$18))</f>
        <v>0</v>
      </c>
      <c r="W177" s="10">
        <f t="shared" si="44"/>
        <v>0</v>
      </c>
      <c r="AK177" s="10" t="str">
        <f t="array" ref="AK177">IFERROR(INDEX(SelectedSpecies,SMALL(IF(SelectedSpecies=AK$1,ROW(SelectedSpecies)),ROW(178:178)),2),"")</f>
        <v/>
      </c>
      <c r="BE177" s="10"/>
      <c r="BI177" s="10"/>
    </row>
    <row r="178" spans="1:61" ht="21" customHeight="1" x14ac:dyDescent="0.25">
      <c r="A178" s="10"/>
      <c r="B178" s="16" t="s">
        <v>186</v>
      </c>
      <c r="C178" s="10">
        <v>100</v>
      </c>
      <c r="D178" s="10">
        <v>249</v>
      </c>
      <c r="E178" s="17">
        <v>249</v>
      </c>
      <c r="I178" s="436" t="s">
        <v>4153</v>
      </c>
      <c r="J178" s="26" t="s">
        <v>4152</v>
      </c>
      <c r="K178" s="10">
        <v>5</v>
      </c>
      <c r="L178" s="73">
        <f>IF(Tank1!$C$23="No control",(SUMIF(Tank1!$B$32:$B$49,$J178,Tank1!$C$32:$C$49)*Impacts!$F$8),0)</f>
        <v>0</v>
      </c>
      <c r="M178" s="10">
        <f>IF(Tank2!$C$23="No control",(SUMIF(Tank2!$B$32:$B$49,$J178,Tank2!$C$32:$C$49)*Impacts!$F$9),0)</f>
        <v>0</v>
      </c>
      <c r="N178" s="10">
        <f>IF(Tank3!$C$23="No control",(SUMIF(Tank3!$B$32:$B$49,$J178,Tank3!$C$32:$C$49)*Impacts!$F$10),0)</f>
        <v>0</v>
      </c>
      <c r="O178" s="10">
        <f>IF(Tank4!$C$23="No control",(SUMIF(Tank4!$B$32:$B$49,$J178,Tank4!$C$32:$C$49)*Impacts!$F$11),0)</f>
        <v>0</v>
      </c>
      <c r="P178" s="10">
        <f>IF(Tank5!$C$23="No control",(SUMIF(Tank5!$B$32:$B$49,$J178,Tank5!$C$32:$C$49)*Impacts!$F$12),0)</f>
        <v>0</v>
      </c>
      <c r="Q178" s="10">
        <f>IFERROR(IF(('Loading-drum,tote'!$C$21)="No control",SUMIF(('Loading-drum,tote'!$B$31:$B$48),$J178,('Loading-drum,tote'!$D$31:$D$48))*Impacts!$F$13,IF(('Loading-drum,tote'!$C$21)&lt;&gt;"No control",SUMIF(('Loading-drum,tote'!$B$31:$B$48),$J178,('Loading-drum,tote'!$E$31:$E$48))*Impacts!$F$13,0)),0)</f>
        <v>0</v>
      </c>
      <c r="R178" s="10">
        <f>IFERROR(IF(('Loading-truck'!$C$21)="No control",SUMIF(('Loading-truck'!$B$31:$B$48),$J178,('Loading-truck'!$D$31:$D$48))*Impacts!$F$14,IF(('Loading-truck'!$C$21)&lt;&gt;"No control",SUMIF(('Loading-truck'!$B$31:$B$48),$J178,('Loading-truck'!$E$31:$E$48))*Impacts!$F$14,0)),0)</f>
        <v>0</v>
      </c>
      <c r="S178" s="10">
        <f>IFERROR(IF(('Loading-rail'!$C$21)="No control",SUMIF(('Loading-rail'!$B$31:$B$48),$J178,('Loading-rail'!$D$31:$D$48))*Impacts!$F$15,IF(('Loading-rail'!$C$21)&lt;&gt;"No control",SUMIF(('Loading-rail'!$B$31:$B$48),$J178,('Loading-rail'!$E$31:$E$48))*Impacts!$F$15,0)),0)</f>
        <v>0</v>
      </c>
      <c r="T178" s="10">
        <f>IF(Flare!$C$7="",0,(SUMIF(Flare!$B$46:$B$185,$J178,Flare!$E$46:$E$185)*Impacts!$F$16))</f>
        <v>0</v>
      </c>
      <c r="U178" s="10">
        <f>IF(VCU!$C$9="",0,(SUMIF(VCU!$B$51:$B$193,$J178,VCU!$E$51:$E$193)*Impacts!$F$17))</f>
        <v>0</v>
      </c>
      <c r="V178" s="10">
        <f>IF(CAS!$C$7="",0,(SUMIF(CAS!$B$31:$B$167,$J178,CAS!$E$31:$E$167)*Impacts!$F$18))</f>
        <v>0</v>
      </c>
      <c r="W178" s="10">
        <f t="shared" si="44"/>
        <v>0</v>
      </c>
      <c r="AK178" s="10" t="str">
        <f t="array" ref="AK178">IFERROR(INDEX(SelectedSpecies,SMALL(IF(SelectedSpecies=AK$1,ROW(SelectedSpecies)),ROW(179:179)),2),"")</f>
        <v/>
      </c>
      <c r="BE178" s="10"/>
      <c r="BI178" s="10"/>
    </row>
    <row r="179" spans="1:61" ht="21" customHeight="1" x14ac:dyDescent="0.25">
      <c r="A179" s="10"/>
      <c r="B179" s="16" t="s">
        <v>187</v>
      </c>
      <c r="C179" s="10">
        <v>100</v>
      </c>
      <c r="D179" s="10">
        <v>249</v>
      </c>
      <c r="E179" s="17">
        <v>249</v>
      </c>
      <c r="I179" s="436" t="s">
        <v>6482</v>
      </c>
      <c r="J179" s="26" t="s">
        <v>6481</v>
      </c>
      <c r="K179" s="10">
        <v>0.75</v>
      </c>
      <c r="L179" s="73">
        <f>IF(Tank1!$C$23="No control",(SUMIF(Tank1!$B$32:$B$49,$J179,Tank1!$C$32:$C$49)*Impacts!$F$8),0)</f>
        <v>0</v>
      </c>
      <c r="M179" s="10">
        <f>IF(Tank2!$C$23="No control",(SUMIF(Tank2!$B$32:$B$49,$J179,Tank2!$C$32:$C$49)*Impacts!$F$9),0)</f>
        <v>0</v>
      </c>
      <c r="N179" s="10">
        <f>IF(Tank3!$C$23="No control",(SUMIF(Tank3!$B$32:$B$49,$J179,Tank3!$C$32:$C$49)*Impacts!$F$10),0)</f>
        <v>0</v>
      </c>
      <c r="O179" s="10">
        <f>IF(Tank4!$C$23="No control",(SUMIF(Tank4!$B$32:$B$49,$J179,Tank4!$C$32:$C$49)*Impacts!$F$11),0)</f>
        <v>0</v>
      </c>
      <c r="P179" s="10">
        <f>IF(Tank5!$C$23="No control",(SUMIF(Tank5!$B$32:$B$49,$J179,Tank5!$C$32:$C$49)*Impacts!$F$12),0)</f>
        <v>0</v>
      </c>
      <c r="Q179" s="10">
        <f>IFERROR(IF(('Loading-drum,tote'!$C$21)="No control",SUMIF(('Loading-drum,tote'!$B$31:$B$48),$J179,('Loading-drum,tote'!$D$31:$D$48))*Impacts!$F$13,IF(('Loading-drum,tote'!$C$21)&lt;&gt;"No control",SUMIF(('Loading-drum,tote'!$B$31:$B$48),$J179,('Loading-drum,tote'!$E$31:$E$48))*Impacts!$F$13,0)),0)</f>
        <v>0</v>
      </c>
      <c r="R179" s="10">
        <f>IFERROR(IF(('Loading-truck'!$C$21)="No control",SUMIF(('Loading-truck'!$B$31:$B$48),$J179,('Loading-truck'!$D$31:$D$48))*Impacts!$F$14,IF(('Loading-truck'!$C$21)&lt;&gt;"No control",SUMIF(('Loading-truck'!$B$31:$B$48),$J179,('Loading-truck'!$E$31:$E$48))*Impacts!$F$14,0)),0)</f>
        <v>0</v>
      </c>
      <c r="S179" s="10">
        <f>IFERROR(IF(('Loading-rail'!$C$21)="No control",SUMIF(('Loading-rail'!$B$31:$B$48),$J179,('Loading-rail'!$D$31:$D$48))*Impacts!$F$15,IF(('Loading-rail'!$C$21)&lt;&gt;"No control",SUMIF(('Loading-rail'!$B$31:$B$48),$J179,('Loading-rail'!$E$31:$E$48))*Impacts!$F$15,0)),0)</f>
        <v>0</v>
      </c>
      <c r="T179" s="10">
        <f>IF(Flare!$C$7="",0,(SUMIF(Flare!$B$46:$B$185,$J179,Flare!$E$46:$E$185)*Impacts!$F$16))</f>
        <v>0</v>
      </c>
      <c r="U179" s="10">
        <f>IF(VCU!$C$9="",0,(SUMIF(VCU!$B$51:$B$193,$J179,VCU!$E$51:$E$193)*Impacts!$F$17))</f>
        <v>0</v>
      </c>
      <c r="V179" s="10">
        <f>IF(CAS!$C$7="",0,(SUMIF(CAS!$B$31:$B$167,$J179,CAS!$E$31:$E$167)*Impacts!$F$18))</f>
        <v>0</v>
      </c>
      <c r="W179" s="10">
        <f t="shared" si="44"/>
        <v>0</v>
      </c>
      <c r="AK179" s="10" t="str">
        <f t="array" ref="AK179">IFERROR(INDEX(SelectedSpecies,SMALL(IF(SelectedSpecies=AK$1,ROW(SelectedSpecies)),ROW(180:180)),2),"")</f>
        <v/>
      </c>
      <c r="BE179" s="10"/>
      <c r="BI179" s="10"/>
    </row>
    <row r="180" spans="1:61" ht="21" customHeight="1" x14ac:dyDescent="0.25">
      <c r="A180" s="10"/>
      <c r="B180" s="16" t="s">
        <v>188</v>
      </c>
      <c r="C180" s="10">
        <v>100</v>
      </c>
      <c r="D180" s="10">
        <v>249</v>
      </c>
      <c r="E180" s="17">
        <v>249</v>
      </c>
      <c r="I180" s="436" t="s">
        <v>6604</v>
      </c>
      <c r="J180" s="26" t="s">
        <v>6603</v>
      </c>
      <c r="K180" s="10">
        <v>0.60000000000000009</v>
      </c>
      <c r="L180" s="73">
        <f>IF(Tank1!$C$23="No control",(SUMIF(Tank1!$B$32:$B$49,$J180,Tank1!$C$32:$C$49)*Impacts!$F$8),0)</f>
        <v>0</v>
      </c>
      <c r="M180" s="10">
        <f>IF(Tank2!$C$23="No control",(SUMIF(Tank2!$B$32:$B$49,$J180,Tank2!$C$32:$C$49)*Impacts!$F$9),0)</f>
        <v>0</v>
      </c>
      <c r="N180" s="10">
        <f>IF(Tank3!$C$23="No control",(SUMIF(Tank3!$B$32:$B$49,$J180,Tank3!$C$32:$C$49)*Impacts!$F$10),0)</f>
        <v>0</v>
      </c>
      <c r="O180" s="10">
        <f>IF(Tank4!$C$23="No control",(SUMIF(Tank4!$B$32:$B$49,$J180,Tank4!$C$32:$C$49)*Impacts!$F$11),0)</f>
        <v>0</v>
      </c>
      <c r="P180" s="10">
        <f>IF(Tank5!$C$23="No control",(SUMIF(Tank5!$B$32:$B$49,$J180,Tank5!$C$32:$C$49)*Impacts!$F$12),0)</f>
        <v>0</v>
      </c>
      <c r="Q180" s="10">
        <f>IFERROR(IF(('Loading-drum,tote'!$C$21)="No control",SUMIF(('Loading-drum,tote'!$B$31:$B$48),$J180,('Loading-drum,tote'!$D$31:$D$48))*Impacts!$F$13,IF(('Loading-drum,tote'!$C$21)&lt;&gt;"No control",SUMIF(('Loading-drum,tote'!$B$31:$B$48),$J180,('Loading-drum,tote'!$E$31:$E$48))*Impacts!$F$13,0)),0)</f>
        <v>0</v>
      </c>
      <c r="R180" s="10">
        <f>IFERROR(IF(('Loading-truck'!$C$21)="No control",SUMIF(('Loading-truck'!$B$31:$B$48),$J180,('Loading-truck'!$D$31:$D$48))*Impacts!$F$14,IF(('Loading-truck'!$C$21)&lt;&gt;"No control",SUMIF(('Loading-truck'!$B$31:$B$48),$J180,('Loading-truck'!$E$31:$E$48))*Impacts!$F$14,0)),0)</f>
        <v>0</v>
      </c>
      <c r="S180" s="10">
        <f>IFERROR(IF(('Loading-rail'!$C$21)="No control",SUMIF(('Loading-rail'!$B$31:$B$48),$J180,('Loading-rail'!$D$31:$D$48))*Impacts!$F$15,IF(('Loading-rail'!$C$21)&lt;&gt;"No control",SUMIF(('Loading-rail'!$B$31:$B$48),$J180,('Loading-rail'!$E$31:$E$48))*Impacts!$F$15,0)),0)</f>
        <v>0</v>
      </c>
      <c r="T180" s="10">
        <f>IF(Flare!$C$7="",0,(SUMIF(Flare!$B$46:$B$185,$J180,Flare!$E$46:$E$185)*Impacts!$F$16))</f>
        <v>0</v>
      </c>
      <c r="U180" s="10">
        <f>IF(VCU!$C$9="",0,(SUMIF(VCU!$B$51:$B$193,$J180,VCU!$E$51:$E$193)*Impacts!$F$17))</f>
        <v>0</v>
      </c>
      <c r="V180" s="10">
        <f>IF(CAS!$C$7="",0,(SUMIF(CAS!$B$31:$B$167,$J180,CAS!$E$31:$E$167)*Impacts!$F$18))</f>
        <v>0</v>
      </c>
      <c r="W180" s="10">
        <f t="shared" si="44"/>
        <v>0</v>
      </c>
      <c r="AK180" s="10" t="str">
        <f t="array" ref="AK180">IFERROR(INDEX(SelectedSpecies,SMALL(IF(SelectedSpecies=AK$1,ROW(SelectedSpecies)),ROW(181:181)),2),"")</f>
        <v/>
      </c>
      <c r="BE180" s="10"/>
      <c r="BI180" s="10"/>
    </row>
    <row r="181" spans="1:61" ht="21" customHeight="1" x14ac:dyDescent="0.25">
      <c r="A181" s="10"/>
      <c r="B181" s="16" t="s">
        <v>189</v>
      </c>
      <c r="C181" s="10">
        <v>100</v>
      </c>
      <c r="D181" s="10">
        <v>249</v>
      </c>
      <c r="E181" s="17">
        <v>249</v>
      </c>
      <c r="I181" s="436" t="s">
        <v>1426</v>
      </c>
      <c r="J181" s="26" t="s">
        <v>1425</v>
      </c>
      <c r="K181" s="10">
        <v>30</v>
      </c>
      <c r="L181" s="73">
        <f>IF(Tank1!$C$23="No control",(SUMIF(Tank1!$B$32:$B$49,$J181,Tank1!$C$32:$C$49)*Impacts!$F$8),0)</f>
        <v>0</v>
      </c>
      <c r="M181" s="10">
        <f>IF(Tank2!$C$23="No control",(SUMIF(Tank2!$B$32:$B$49,$J181,Tank2!$C$32:$C$49)*Impacts!$F$9),0)</f>
        <v>0</v>
      </c>
      <c r="N181" s="10">
        <f>IF(Tank3!$C$23="No control",(SUMIF(Tank3!$B$32:$B$49,$J181,Tank3!$C$32:$C$49)*Impacts!$F$10),0)</f>
        <v>0</v>
      </c>
      <c r="O181" s="10">
        <f>IF(Tank4!$C$23="No control",(SUMIF(Tank4!$B$32:$B$49,$J181,Tank4!$C$32:$C$49)*Impacts!$F$11),0)</f>
        <v>0</v>
      </c>
      <c r="P181" s="10">
        <f>IF(Tank5!$C$23="No control",(SUMIF(Tank5!$B$32:$B$49,$J181,Tank5!$C$32:$C$49)*Impacts!$F$12),0)</f>
        <v>0</v>
      </c>
      <c r="Q181" s="10">
        <f>IFERROR(IF(('Loading-drum,tote'!$C$21)="No control",SUMIF(('Loading-drum,tote'!$B$31:$B$48),$J181,('Loading-drum,tote'!$D$31:$D$48))*Impacts!$F$13,IF(('Loading-drum,tote'!$C$21)&lt;&gt;"No control",SUMIF(('Loading-drum,tote'!$B$31:$B$48),$J181,('Loading-drum,tote'!$E$31:$E$48))*Impacts!$F$13,0)),0)</f>
        <v>0</v>
      </c>
      <c r="R181" s="10">
        <f>IFERROR(IF(('Loading-truck'!$C$21)="No control",SUMIF(('Loading-truck'!$B$31:$B$48),$J181,('Loading-truck'!$D$31:$D$48))*Impacts!$F$14,IF(('Loading-truck'!$C$21)&lt;&gt;"No control",SUMIF(('Loading-truck'!$B$31:$B$48),$J181,('Loading-truck'!$E$31:$E$48))*Impacts!$F$14,0)),0)</f>
        <v>0</v>
      </c>
      <c r="S181" s="10">
        <f>IFERROR(IF(('Loading-rail'!$C$21)="No control",SUMIF(('Loading-rail'!$B$31:$B$48),$J181,('Loading-rail'!$D$31:$D$48))*Impacts!$F$15,IF(('Loading-rail'!$C$21)&lt;&gt;"No control",SUMIF(('Loading-rail'!$B$31:$B$48),$J181,('Loading-rail'!$E$31:$E$48))*Impacts!$F$15,0)),0)</f>
        <v>0</v>
      </c>
      <c r="T181" s="10">
        <f>IF(Flare!$C$7="",0,(SUMIF(Flare!$B$46:$B$185,$J181,Flare!$E$46:$E$185)*Impacts!$F$16))</f>
        <v>0</v>
      </c>
      <c r="U181" s="10">
        <f>IF(VCU!$C$9="",0,(SUMIF(VCU!$B$51:$B$193,$J181,VCU!$E$51:$E$193)*Impacts!$F$17))</f>
        <v>0</v>
      </c>
      <c r="V181" s="10">
        <f>IF(CAS!$C$7="",0,(SUMIF(CAS!$B$31:$B$167,$J181,CAS!$E$31:$E$167)*Impacts!$F$18))</f>
        <v>0</v>
      </c>
      <c r="W181" s="10">
        <f t="shared" si="44"/>
        <v>0</v>
      </c>
      <c r="AK181" s="10" t="str">
        <f t="array" ref="AK181">IFERROR(INDEX(SelectedSpecies,SMALL(IF(SelectedSpecies=AK$1,ROW(SelectedSpecies)),ROW(182:182)),2),"")</f>
        <v/>
      </c>
      <c r="BE181" s="10"/>
      <c r="BI181" s="10"/>
    </row>
    <row r="182" spans="1:61" ht="21" customHeight="1" x14ac:dyDescent="0.25">
      <c r="A182" s="10"/>
      <c r="B182" s="16" t="s">
        <v>190</v>
      </c>
      <c r="C182" s="10">
        <v>100</v>
      </c>
      <c r="D182" s="10">
        <v>249</v>
      </c>
      <c r="E182" s="17">
        <v>249</v>
      </c>
      <c r="I182" s="436" t="s">
        <v>6606</v>
      </c>
      <c r="J182" s="26" t="s">
        <v>6605</v>
      </c>
      <c r="K182" s="10">
        <v>0.60000000000000009</v>
      </c>
      <c r="L182" s="73">
        <f>IF(Tank1!$C$23="No control",(SUMIF(Tank1!$B$32:$B$49,$J182,Tank1!$C$32:$C$49)*Impacts!$F$8),0)</f>
        <v>0</v>
      </c>
      <c r="M182" s="10">
        <f>IF(Tank2!$C$23="No control",(SUMIF(Tank2!$B$32:$B$49,$J182,Tank2!$C$32:$C$49)*Impacts!$F$9),0)</f>
        <v>0</v>
      </c>
      <c r="N182" s="10">
        <f>IF(Tank3!$C$23="No control",(SUMIF(Tank3!$B$32:$B$49,$J182,Tank3!$C$32:$C$49)*Impacts!$F$10),0)</f>
        <v>0</v>
      </c>
      <c r="O182" s="10">
        <f>IF(Tank4!$C$23="No control",(SUMIF(Tank4!$B$32:$B$49,$J182,Tank4!$C$32:$C$49)*Impacts!$F$11),0)</f>
        <v>0</v>
      </c>
      <c r="P182" s="10">
        <f>IF(Tank5!$C$23="No control",(SUMIF(Tank5!$B$32:$B$49,$J182,Tank5!$C$32:$C$49)*Impacts!$F$12),0)</f>
        <v>0</v>
      </c>
      <c r="Q182" s="10">
        <f>IFERROR(IF(('Loading-drum,tote'!$C$21)="No control",SUMIF(('Loading-drum,tote'!$B$31:$B$48),$J182,('Loading-drum,tote'!$D$31:$D$48))*Impacts!$F$13,IF(('Loading-drum,tote'!$C$21)&lt;&gt;"No control",SUMIF(('Loading-drum,tote'!$B$31:$B$48),$J182,('Loading-drum,tote'!$E$31:$E$48))*Impacts!$F$13,0)),0)</f>
        <v>0</v>
      </c>
      <c r="R182" s="10">
        <f>IFERROR(IF(('Loading-truck'!$C$21)="No control",SUMIF(('Loading-truck'!$B$31:$B$48),$J182,('Loading-truck'!$D$31:$D$48))*Impacts!$F$14,IF(('Loading-truck'!$C$21)&lt;&gt;"No control",SUMIF(('Loading-truck'!$B$31:$B$48),$J182,('Loading-truck'!$E$31:$E$48))*Impacts!$F$14,0)),0)</f>
        <v>0</v>
      </c>
      <c r="S182" s="10">
        <f>IFERROR(IF(('Loading-rail'!$C$21)="No control",SUMIF(('Loading-rail'!$B$31:$B$48),$J182,('Loading-rail'!$D$31:$D$48))*Impacts!$F$15,IF(('Loading-rail'!$C$21)&lt;&gt;"No control",SUMIF(('Loading-rail'!$B$31:$B$48),$J182,('Loading-rail'!$E$31:$E$48))*Impacts!$F$15,0)),0)</f>
        <v>0</v>
      </c>
      <c r="T182" s="10">
        <f>IF(Flare!$C$7="",0,(SUMIF(Flare!$B$46:$B$185,$J182,Flare!$E$46:$E$185)*Impacts!$F$16))</f>
        <v>0</v>
      </c>
      <c r="U182" s="10">
        <f>IF(VCU!$C$9="",0,(SUMIF(VCU!$B$51:$B$193,$J182,VCU!$E$51:$E$193)*Impacts!$F$17))</f>
        <v>0</v>
      </c>
      <c r="V182" s="10">
        <f>IF(CAS!$C$7="",0,(SUMIF(CAS!$B$31:$B$167,$J182,CAS!$E$31:$E$167)*Impacts!$F$18))</f>
        <v>0</v>
      </c>
      <c r="W182" s="10">
        <f t="shared" si="44"/>
        <v>0</v>
      </c>
      <c r="AK182" s="10" t="str">
        <f t="array" ref="AK182">IFERROR(INDEX(SelectedSpecies,SMALL(IF(SelectedSpecies=AK$1,ROW(SelectedSpecies)),ROW(183:183)),2),"")</f>
        <v/>
      </c>
      <c r="BE182" s="10"/>
      <c r="BI182" s="10"/>
    </row>
    <row r="183" spans="1:61" ht="21" customHeight="1" x14ac:dyDescent="0.25">
      <c r="A183" s="10"/>
      <c r="B183" s="16" t="s">
        <v>191</v>
      </c>
      <c r="C183" s="10">
        <v>100</v>
      </c>
      <c r="D183" s="10">
        <v>249</v>
      </c>
      <c r="E183" s="17">
        <v>249</v>
      </c>
      <c r="I183" s="436" t="s">
        <v>568</v>
      </c>
      <c r="J183" s="26" t="s">
        <v>567</v>
      </c>
      <c r="K183" s="10">
        <v>95</v>
      </c>
      <c r="L183" s="73">
        <f>IF(Tank1!$C$23="No control",(SUMIF(Tank1!$B$32:$B$49,$J183,Tank1!$C$32:$C$49)*Impacts!$F$8),0)</f>
        <v>0</v>
      </c>
      <c r="M183" s="10">
        <f>IF(Tank2!$C$23="No control",(SUMIF(Tank2!$B$32:$B$49,$J183,Tank2!$C$32:$C$49)*Impacts!$F$9),0)</f>
        <v>0</v>
      </c>
      <c r="N183" s="10">
        <f>IF(Tank3!$C$23="No control",(SUMIF(Tank3!$B$32:$B$49,$J183,Tank3!$C$32:$C$49)*Impacts!$F$10),0)</f>
        <v>0</v>
      </c>
      <c r="O183" s="10">
        <f>IF(Tank4!$C$23="No control",(SUMIF(Tank4!$B$32:$B$49,$J183,Tank4!$C$32:$C$49)*Impacts!$F$11),0)</f>
        <v>0</v>
      </c>
      <c r="P183" s="10">
        <f>IF(Tank5!$C$23="No control",(SUMIF(Tank5!$B$32:$B$49,$J183,Tank5!$C$32:$C$49)*Impacts!$F$12),0)</f>
        <v>0</v>
      </c>
      <c r="Q183" s="10">
        <f>IFERROR(IF(('Loading-drum,tote'!$C$21)="No control",SUMIF(('Loading-drum,tote'!$B$31:$B$48),$J183,('Loading-drum,tote'!$D$31:$D$48))*Impacts!$F$13,IF(('Loading-drum,tote'!$C$21)&lt;&gt;"No control",SUMIF(('Loading-drum,tote'!$B$31:$B$48),$J183,('Loading-drum,tote'!$E$31:$E$48))*Impacts!$F$13,0)),0)</f>
        <v>0</v>
      </c>
      <c r="R183" s="10">
        <f>IFERROR(IF(('Loading-truck'!$C$21)="No control",SUMIF(('Loading-truck'!$B$31:$B$48),$J183,('Loading-truck'!$D$31:$D$48))*Impacts!$F$14,IF(('Loading-truck'!$C$21)&lt;&gt;"No control",SUMIF(('Loading-truck'!$B$31:$B$48),$J183,('Loading-truck'!$E$31:$E$48))*Impacts!$F$14,0)),0)</f>
        <v>0</v>
      </c>
      <c r="S183" s="10">
        <f>IFERROR(IF(('Loading-rail'!$C$21)="No control",SUMIF(('Loading-rail'!$B$31:$B$48),$J183,('Loading-rail'!$D$31:$D$48))*Impacts!$F$15,IF(('Loading-rail'!$C$21)&lt;&gt;"No control",SUMIF(('Loading-rail'!$B$31:$B$48),$J183,('Loading-rail'!$E$31:$E$48))*Impacts!$F$15,0)),0)</f>
        <v>0</v>
      </c>
      <c r="T183" s="10">
        <f>IF(Flare!$C$7="",0,(SUMIF(Flare!$B$46:$B$185,$J183,Flare!$E$46:$E$185)*Impacts!$F$16))</f>
        <v>0</v>
      </c>
      <c r="U183" s="10">
        <f>IF(VCU!$C$9="",0,(SUMIF(VCU!$B$51:$B$193,$J183,VCU!$E$51:$E$193)*Impacts!$F$17))</f>
        <v>0</v>
      </c>
      <c r="V183" s="10">
        <f>IF(CAS!$C$7="",0,(SUMIF(CAS!$B$31:$B$167,$J183,CAS!$E$31:$E$167)*Impacts!$F$18))</f>
        <v>0</v>
      </c>
      <c r="W183" s="10">
        <f t="shared" si="44"/>
        <v>0</v>
      </c>
      <c r="AK183" s="10" t="str">
        <f t="array" ref="AK183">IFERROR(INDEX(SelectedSpecies,SMALL(IF(SelectedSpecies=AK$1,ROW(SelectedSpecies)),ROW(184:184)),2),"")</f>
        <v/>
      </c>
      <c r="BE183" s="10"/>
      <c r="BI183" s="10"/>
    </row>
    <row r="184" spans="1:61" ht="21" customHeight="1" x14ac:dyDescent="0.25">
      <c r="A184" s="10"/>
      <c r="B184" s="16" t="s">
        <v>192</v>
      </c>
      <c r="C184" s="10">
        <v>100</v>
      </c>
      <c r="D184" s="10">
        <v>249</v>
      </c>
      <c r="E184" s="17">
        <v>249</v>
      </c>
      <c r="I184" s="436" t="s">
        <v>5662</v>
      </c>
      <c r="J184" s="26" t="s">
        <v>5661</v>
      </c>
      <c r="K184" s="10">
        <v>1</v>
      </c>
      <c r="L184" s="73">
        <f>IF(Tank1!$C$23="No control",(SUMIF(Tank1!$B$32:$B$49,$J184,Tank1!$C$32:$C$49)*Impacts!$F$8),0)</f>
        <v>0</v>
      </c>
      <c r="M184" s="10">
        <f>IF(Tank2!$C$23="No control",(SUMIF(Tank2!$B$32:$B$49,$J184,Tank2!$C$32:$C$49)*Impacts!$F$9),0)</f>
        <v>0</v>
      </c>
      <c r="N184" s="10">
        <f>IF(Tank3!$C$23="No control",(SUMIF(Tank3!$B$32:$B$49,$J184,Tank3!$C$32:$C$49)*Impacts!$F$10),0)</f>
        <v>0</v>
      </c>
      <c r="O184" s="10">
        <f>IF(Tank4!$C$23="No control",(SUMIF(Tank4!$B$32:$B$49,$J184,Tank4!$C$32:$C$49)*Impacts!$F$11),0)</f>
        <v>0</v>
      </c>
      <c r="P184" s="10">
        <f>IF(Tank5!$C$23="No control",(SUMIF(Tank5!$B$32:$B$49,$J184,Tank5!$C$32:$C$49)*Impacts!$F$12),0)</f>
        <v>0</v>
      </c>
      <c r="Q184" s="10">
        <f>IFERROR(IF(('Loading-drum,tote'!$C$21)="No control",SUMIF(('Loading-drum,tote'!$B$31:$B$48),$J184,('Loading-drum,tote'!$D$31:$D$48))*Impacts!$F$13,IF(('Loading-drum,tote'!$C$21)&lt;&gt;"No control",SUMIF(('Loading-drum,tote'!$B$31:$B$48),$J184,('Loading-drum,tote'!$E$31:$E$48))*Impacts!$F$13,0)),0)</f>
        <v>0</v>
      </c>
      <c r="R184" s="10">
        <f>IFERROR(IF(('Loading-truck'!$C$21)="No control",SUMIF(('Loading-truck'!$B$31:$B$48),$J184,('Loading-truck'!$D$31:$D$48))*Impacts!$F$14,IF(('Loading-truck'!$C$21)&lt;&gt;"No control",SUMIF(('Loading-truck'!$B$31:$B$48),$J184,('Loading-truck'!$E$31:$E$48))*Impacts!$F$14,0)),0)</f>
        <v>0</v>
      </c>
      <c r="S184" s="10">
        <f>IFERROR(IF(('Loading-rail'!$C$21)="No control",SUMIF(('Loading-rail'!$B$31:$B$48),$J184,('Loading-rail'!$D$31:$D$48))*Impacts!$F$15,IF(('Loading-rail'!$C$21)&lt;&gt;"No control",SUMIF(('Loading-rail'!$B$31:$B$48),$J184,('Loading-rail'!$E$31:$E$48))*Impacts!$F$15,0)),0)</f>
        <v>0</v>
      </c>
      <c r="T184" s="10">
        <f>IF(Flare!$C$7="",0,(SUMIF(Flare!$B$46:$B$185,$J184,Flare!$E$46:$E$185)*Impacts!$F$16))</f>
        <v>0</v>
      </c>
      <c r="U184" s="10">
        <f>IF(VCU!$C$9="",0,(SUMIF(VCU!$B$51:$B$193,$J184,VCU!$E$51:$E$193)*Impacts!$F$17))</f>
        <v>0</v>
      </c>
      <c r="V184" s="10">
        <f>IF(CAS!$C$7="",0,(SUMIF(CAS!$B$31:$B$167,$J184,CAS!$E$31:$E$167)*Impacts!$F$18))</f>
        <v>0</v>
      </c>
      <c r="W184" s="10">
        <f t="shared" si="44"/>
        <v>0</v>
      </c>
      <c r="AK184" s="10" t="str">
        <f t="array" ref="AK184">IFERROR(INDEX(SelectedSpecies,SMALL(IF(SelectedSpecies=AK$1,ROW(SelectedSpecies)),ROW(185:185)),2),"")</f>
        <v/>
      </c>
      <c r="BE184" s="10"/>
      <c r="BI184" s="10"/>
    </row>
    <row r="185" spans="1:61" ht="21" customHeight="1" x14ac:dyDescent="0.25">
      <c r="A185" s="10"/>
      <c r="B185" s="16" t="s">
        <v>193</v>
      </c>
      <c r="C185" s="10">
        <v>100</v>
      </c>
      <c r="D185" s="10">
        <v>249</v>
      </c>
      <c r="E185" s="17">
        <v>249</v>
      </c>
      <c r="I185" s="436" t="s">
        <v>960</v>
      </c>
      <c r="J185" s="26" t="s">
        <v>959</v>
      </c>
      <c r="K185" s="10">
        <v>38</v>
      </c>
      <c r="L185" s="73">
        <f>IF(Tank1!$C$23="No control",(SUMIF(Tank1!$B$32:$B$49,$J185,Tank1!$C$32:$C$49)*Impacts!$F$8),0)</f>
        <v>0</v>
      </c>
      <c r="M185" s="10">
        <f>IF(Tank2!$C$23="No control",(SUMIF(Tank2!$B$32:$B$49,$J185,Tank2!$C$32:$C$49)*Impacts!$F$9),0)</f>
        <v>0</v>
      </c>
      <c r="N185" s="10">
        <f>IF(Tank3!$C$23="No control",(SUMIF(Tank3!$B$32:$B$49,$J185,Tank3!$C$32:$C$49)*Impacts!$F$10),0)</f>
        <v>0</v>
      </c>
      <c r="O185" s="10">
        <f>IF(Tank4!$C$23="No control",(SUMIF(Tank4!$B$32:$B$49,$J185,Tank4!$C$32:$C$49)*Impacts!$F$11),0)</f>
        <v>0</v>
      </c>
      <c r="P185" s="10">
        <f>IF(Tank5!$C$23="No control",(SUMIF(Tank5!$B$32:$B$49,$J185,Tank5!$C$32:$C$49)*Impacts!$F$12),0)</f>
        <v>0</v>
      </c>
      <c r="Q185" s="10">
        <f>IFERROR(IF(('Loading-drum,tote'!$C$21)="No control",SUMIF(('Loading-drum,tote'!$B$31:$B$48),$J185,('Loading-drum,tote'!$D$31:$D$48))*Impacts!$F$13,IF(('Loading-drum,tote'!$C$21)&lt;&gt;"No control",SUMIF(('Loading-drum,tote'!$B$31:$B$48),$J185,('Loading-drum,tote'!$E$31:$E$48))*Impacts!$F$13,0)),0)</f>
        <v>0</v>
      </c>
      <c r="R185" s="10">
        <f>IFERROR(IF(('Loading-truck'!$C$21)="No control",SUMIF(('Loading-truck'!$B$31:$B$48),$J185,('Loading-truck'!$D$31:$D$48))*Impacts!$F$14,IF(('Loading-truck'!$C$21)&lt;&gt;"No control",SUMIF(('Loading-truck'!$B$31:$B$48),$J185,('Loading-truck'!$E$31:$E$48))*Impacts!$F$14,0)),0)</f>
        <v>0</v>
      </c>
      <c r="S185" s="10">
        <f>IFERROR(IF(('Loading-rail'!$C$21)="No control",SUMIF(('Loading-rail'!$B$31:$B$48),$J185,('Loading-rail'!$D$31:$D$48))*Impacts!$F$15,IF(('Loading-rail'!$C$21)&lt;&gt;"No control",SUMIF(('Loading-rail'!$B$31:$B$48),$J185,('Loading-rail'!$E$31:$E$48))*Impacts!$F$15,0)),0)</f>
        <v>0</v>
      </c>
      <c r="T185" s="10">
        <f>IF(Flare!$C$7="",0,(SUMIF(Flare!$B$46:$B$185,$J185,Flare!$E$46:$E$185)*Impacts!$F$16))</f>
        <v>0</v>
      </c>
      <c r="U185" s="10">
        <f>IF(VCU!$C$9="",0,(SUMIF(VCU!$B$51:$B$193,$J185,VCU!$E$51:$E$193)*Impacts!$F$17))</f>
        <v>0</v>
      </c>
      <c r="V185" s="10">
        <f>IF(CAS!$C$7="",0,(SUMIF(CAS!$B$31:$B$167,$J185,CAS!$E$31:$E$167)*Impacts!$F$18))</f>
        <v>0</v>
      </c>
      <c r="W185" s="10">
        <f t="shared" si="44"/>
        <v>0</v>
      </c>
      <c r="AK185" s="10" t="str">
        <f t="array" ref="AK185">IFERROR(INDEX(SelectedSpecies,SMALL(IF(SelectedSpecies=AK$1,ROW(SelectedSpecies)),ROW(186:186)),2),"")</f>
        <v/>
      </c>
      <c r="BE185" s="10"/>
      <c r="BI185" s="10"/>
    </row>
    <row r="186" spans="1:61" ht="21" customHeight="1" x14ac:dyDescent="0.25">
      <c r="A186" s="10"/>
      <c r="B186" s="16" t="s">
        <v>194</v>
      </c>
      <c r="C186" s="10">
        <v>100</v>
      </c>
      <c r="D186" s="10">
        <v>100</v>
      </c>
      <c r="E186" s="17">
        <v>249</v>
      </c>
      <c r="I186" s="436" t="s">
        <v>6496</v>
      </c>
      <c r="J186" s="26" t="s">
        <v>6495</v>
      </c>
      <c r="K186" s="10">
        <v>0.70000000000000007</v>
      </c>
      <c r="L186" s="73">
        <f>IF(Tank1!$C$23="No control",(SUMIF(Tank1!$B$32:$B$49,$J186,Tank1!$C$32:$C$49)*Impacts!$F$8),0)</f>
        <v>0</v>
      </c>
      <c r="M186" s="10">
        <f>IF(Tank2!$C$23="No control",(SUMIF(Tank2!$B$32:$B$49,$J186,Tank2!$C$32:$C$49)*Impacts!$F$9),0)</f>
        <v>0</v>
      </c>
      <c r="N186" s="10">
        <f>IF(Tank3!$C$23="No control",(SUMIF(Tank3!$B$32:$B$49,$J186,Tank3!$C$32:$C$49)*Impacts!$F$10),0)</f>
        <v>0</v>
      </c>
      <c r="O186" s="10">
        <f>IF(Tank4!$C$23="No control",(SUMIF(Tank4!$B$32:$B$49,$J186,Tank4!$C$32:$C$49)*Impacts!$F$11),0)</f>
        <v>0</v>
      </c>
      <c r="P186" s="10">
        <f>IF(Tank5!$C$23="No control",(SUMIF(Tank5!$B$32:$B$49,$J186,Tank5!$C$32:$C$49)*Impacts!$F$12),0)</f>
        <v>0</v>
      </c>
      <c r="Q186" s="10">
        <f>IFERROR(IF(('Loading-drum,tote'!$C$21)="No control",SUMIF(('Loading-drum,tote'!$B$31:$B$48),$J186,('Loading-drum,tote'!$D$31:$D$48))*Impacts!$F$13,IF(('Loading-drum,tote'!$C$21)&lt;&gt;"No control",SUMIF(('Loading-drum,tote'!$B$31:$B$48),$J186,('Loading-drum,tote'!$E$31:$E$48))*Impacts!$F$13,0)),0)</f>
        <v>0</v>
      </c>
      <c r="R186" s="10">
        <f>IFERROR(IF(('Loading-truck'!$C$21)="No control",SUMIF(('Loading-truck'!$B$31:$B$48),$J186,('Loading-truck'!$D$31:$D$48))*Impacts!$F$14,IF(('Loading-truck'!$C$21)&lt;&gt;"No control",SUMIF(('Loading-truck'!$B$31:$B$48),$J186,('Loading-truck'!$E$31:$E$48))*Impacts!$F$14,0)),0)</f>
        <v>0</v>
      </c>
      <c r="S186" s="10">
        <f>IFERROR(IF(('Loading-rail'!$C$21)="No control",SUMIF(('Loading-rail'!$B$31:$B$48),$J186,('Loading-rail'!$D$31:$D$48))*Impacts!$F$15,IF(('Loading-rail'!$C$21)&lt;&gt;"No control",SUMIF(('Loading-rail'!$B$31:$B$48),$J186,('Loading-rail'!$E$31:$E$48))*Impacts!$F$15,0)),0)</f>
        <v>0</v>
      </c>
      <c r="T186" s="10">
        <f>IF(Flare!$C$7="",0,(SUMIF(Flare!$B$46:$B$185,$J186,Flare!$E$46:$E$185)*Impacts!$F$16))</f>
        <v>0</v>
      </c>
      <c r="U186" s="10">
        <f>IF(VCU!$C$9="",0,(SUMIF(VCU!$B$51:$B$193,$J186,VCU!$E$51:$E$193)*Impacts!$F$17))</f>
        <v>0</v>
      </c>
      <c r="V186" s="10">
        <f>IF(CAS!$C$7="",0,(SUMIF(CAS!$B$31:$B$167,$J186,CAS!$E$31:$E$167)*Impacts!$F$18))</f>
        <v>0</v>
      </c>
      <c r="W186" s="10">
        <f t="shared" si="44"/>
        <v>0</v>
      </c>
      <c r="AK186" s="10" t="str">
        <f t="array" ref="AK186">IFERROR(INDEX(SelectedSpecies,SMALL(IF(SelectedSpecies=AK$1,ROW(SelectedSpecies)),ROW(187:187)),2),"")</f>
        <v/>
      </c>
      <c r="BE186" s="10"/>
      <c r="BI186" s="10"/>
    </row>
    <row r="187" spans="1:61" ht="21" customHeight="1" x14ac:dyDescent="0.25">
      <c r="A187" s="10"/>
      <c r="B187" s="16" t="s">
        <v>195</v>
      </c>
      <c r="C187" s="10">
        <v>100</v>
      </c>
      <c r="D187" s="10">
        <v>249</v>
      </c>
      <c r="E187" s="17">
        <v>249</v>
      </c>
      <c r="I187" s="436" t="s">
        <v>2039</v>
      </c>
      <c r="J187" s="26" t="s">
        <v>2038</v>
      </c>
      <c r="K187" s="10">
        <v>16.7</v>
      </c>
      <c r="L187" s="73">
        <f>IF(Tank1!$C$23="No control",(SUMIF(Tank1!$B$32:$B$49,$J187,Tank1!$C$32:$C$49)*Impacts!$F$8),0)</f>
        <v>0</v>
      </c>
      <c r="M187" s="10">
        <f>IF(Tank2!$C$23="No control",(SUMIF(Tank2!$B$32:$B$49,$J187,Tank2!$C$32:$C$49)*Impacts!$F$9),0)</f>
        <v>0</v>
      </c>
      <c r="N187" s="10">
        <f>IF(Tank3!$C$23="No control",(SUMIF(Tank3!$B$32:$B$49,$J187,Tank3!$C$32:$C$49)*Impacts!$F$10),0)</f>
        <v>0</v>
      </c>
      <c r="O187" s="10">
        <f>IF(Tank4!$C$23="No control",(SUMIF(Tank4!$B$32:$B$49,$J187,Tank4!$C$32:$C$49)*Impacts!$F$11),0)</f>
        <v>0</v>
      </c>
      <c r="P187" s="10">
        <f>IF(Tank5!$C$23="No control",(SUMIF(Tank5!$B$32:$B$49,$J187,Tank5!$C$32:$C$49)*Impacts!$F$12),0)</f>
        <v>0</v>
      </c>
      <c r="Q187" s="10">
        <f>IFERROR(IF(('Loading-drum,tote'!$C$21)="No control",SUMIF(('Loading-drum,tote'!$B$31:$B$48),$J187,('Loading-drum,tote'!$D$31:$D$48))*Impacts!$F$13,IF(('Loading-drum,tote'!$C$21)&lt;&gt;"No control",SUMIF(('Loading-drum,tote'!$B$31:$B$48),$J187,('Loading-drum,tote'!$E$31:$E$48))*Impacts!$F$13,0)),0)</f>
        <v>0</v>
      </c>
      <c r="R187" s="10">
        <f>IFERROR(IF(('Loading-truck'!$C$21)="No control",SUMIF(('Loading-truck'!$B$31:$B$48),$J187,('Loading-truck'!$D$31:$D$48))*Impacts!$F$14,IF(('Loading-truck'!$C$21)&lt;&gt;"No control",SUMIF(('Loading-truck'!$B$31:$B$48),$J187,('Loading-truck'!$E$31:$E$48))*Impacts!$F$14,0)),0)</f>
        <v>0</v>
      </c>
      <c r="S187" s="10">
        <f>IFERROR(IF(('Loading-rail'!$C$21)="No control",SUMIF(('Loading-rail'!$B$31:$B$48),$J187,('Loading-rail'!$D$31:$D$48))*Impacts!$F$15,IF(('Loading-rail'!$C$21)&lt;&gt;"No control",SUMIF(('Loading-rail'!$B$31:$B$48),$J187,('Loading-rail'!$E$31:$E$48))*Impacts!$F$15,0)),0)</f>
        <v>0</v>
      </c>
      <c r="T187" s="10">
        <f>IF(Flare!$C$7="",0,(SUMIF(Flare!$B$46:$B$185,$J187,Flare!$E$46:$E$185)*Impacts!$F$16))</f>
        <v>0</v>
      </c>
      <c r="U187" s="10">
        <f>IF(VCU!$C$9="",0,(SUMIF(VCU!$B$51:$B$193,$J187,VCU!$E$51:$E$193)*Impacts!$F$17))</f>
        <v>0</v>
      </c>
      <c r="V187" s="10">
        <f>IF(CAS!$C$7="",0,(SUMIF(CAS!$B$31:$B$167,$J187,CAS!$E$31:$E$167)*Impacts!$F$18))</f>
        <v>0</v>
      </c>
      <c r="W187" s="10">
        <f t="shared" si="44"/>
        <v>0</v>
      </c>
      <c r="AK187" s="10" t="str">
        <f t="array" ref="AK187">IFERROR(INDEX(SelectedSpecies,SMALL(IF(SelectedSpecies=AK$1,ROW(SelectedSpecies)),ROW(188:188)),2),"")</f>
        <v/>
      </c>
      <c r="BE187" s="10"/>
      <c r="BI187" s="10"/>
    </row>
    <row r="188" spans="1:61" ht="21" customHeight="1" x14ac:dyDescent="0.25">
      <c r="A188" s="10"/>
      <c r="B188" s="16" t="s">
        <v>196</v>
      </c>
      <c r="C188" s="10">
        <v>100</v>
      </c>
      <c r="D188" s="10">
        <v>249</v>
      </c>
      <c r="E188" s="17">
        <v>249</v>
      </c>
      <c r="I188" s="436" t="s">
        <v>4245</v>
      </c>
      <c r="J188" s="26" t="s">
        <v>4244</v>
      </c>
      <c r="K188" s="10">
        <v>5</v>
      </c>
      <c r="L188" s="73">
        <f>IF(Tank1!$C$23="No control",(SUMIF(Tank1!$B$32:$B$49,$J188,Tank1!$C$32:$C$49)*Impacts!$F$8),0)</f>
        <v>0</v>
      </c>
      <c r="M188" s="10">
        <f>IF(Tank2!$C$23="No control",(SUMIF(Tank2!$B$32:$B$49,$J188,Tank2!$C$32:$C$49)*Impacts!$F$9),0)</f>
        <v>0</v>
      </c>
      <c r="N188" s="10">
        <f>IF(Tank3!$C$23="No control",(SUMIF(Tank3!$B$32:$B$49,$J188,Tank3!$C$32:$C$49)*Impacts!$F$10),0)</f>
        <v>0</v>
      </c>
      <c r="O188" s="10">
        <f>IF(Tank4!$C$23="No control",(SUMIF(Tank4!$B$32:$B$49,$J188,Tank4!$C$32:$C$49)*Impacts!$F$11),0)</f>
        <v>0</v>
      </c>
      <c r="P188" s="10">
        <f>IF(Tank5!$C$23="No control",(SUMIF(Tank5!$B$32:$B$49,$J188,Tank5!$C$32:$C$49)*Impacts!$F$12),0)</f>
        <v>0</v>
      </c>
      <c r="Q188" s="10">
        <f>IFERROR(IF(('Loading-drum,tote'!$C$21)="No control",SUMIF(('Loading-drum,tote'!$B$31:$B$48),$J188,('Loading-drum,tote'!$D$31:$D$48))*Impacts!$F$13,IF(('Loading-drum,tote'!$C$21)&lt;&gt;"No control",SUMIF(('Loading-drum,tote'!$B$31:$B$48),$J188,('Loading-drum,tote'!$E$31:$E$48))*Impacts!$F$13,0)),0)</f>
        <v>0</v>
      </c>
      <c r="R188" s="10">
        <f>IFERROR(IF(('Loading-truck'!$C$21)="No control",SUMIF(('Loading-truck'!$B$31:$B$48),$J188,('Loading-truck'!$D$31:$D$48))*Impacts!$F$14,IF(('Loading-truck'!$C$21)&lt;&gt;"No control",SUMIF(('Loading-truck'!$B$31:$B$48),$J188,('Loading-truck'!$E$31:$E$48))*Impacts!$F$14,0)),0)</f>
        <v>0</v>
      </c>
      <c r="S188" s="10">
        <f>IFERROR(IF(('Loading-rail'!$C$21)="No control",SUMIF(('Loading-rail'!$B$31:$B$48),$J188,('Loading-rail'!$D$31:$D$48))*Impacts!$F$15,IF(('Loading-rail'!$C$21)&lt;&gt;"No control",SUMIF(('Loading-rail'!$B$31:$B$48),$J188,('Loading-rail'!$E$31:$E$48))*Impacts!$F$15,0)),0)</f>
        <v>0</v>
      </c>
      <c r="T188" s="10">
        <f>IF(Flare!$C$7="",0,(SUMIF(Flare!$B$46:$B$185,$J188,Flare!$E$46:$E$185)*Impacts!$F$16))</f>
        <v>0</v>
      </c>
      <c r="U188" s="10">
        <f>IF(VCU!$C$9="",0,(SUMIF(VCU!$B$51:$B$193,$J188,VCU!$E$51:$E$193)*Impacts!$F$17))</f>
        <v>0</v>
      </c>
      <c r="V188" s="10">
        <f>IF(CAS!$C$7="",0,(SUMIF(CAS!$B$31:$B$167,$J188,CAS!$E$31:$E$167)*Impacts!$F$18))</f>
        <v>0</v>
      </c>
      <c r="W188" s="10">
        <f t="shared" si="44"/>
        <v>0</v>
      </c>
      <c r="AK188" s="10" t="str">
        <f t="array" ref="AK188">IFERROR(INDEX(SelectedSpecies,SMALL(IF(SelectedSpecies=AK$1,ROW(SelectedSpecies)),ROW(189:189)),2),"")</f>
        <v/>
      </c>
      <c r="BE188" s="10"/>
      <c r="BI188" s="10"/>
    </row>
    <row r="189" spans="1:61" ht="21" customHeight="1" x14ac:dyDescent="0.25">
      <c r="A189" s="10"/>
      <c r="B189" s="16" t="s">
        <v>197</v>
      </c>
      <c r="C189" s="10">
        <v>100</v>
      </c>
      <c r="D189" s="10">
        <v>249</v>
      </c>
      <c r="E189" s="17">
        <v>249</v>
      </c>
      <c r="I189" s="436" t="s">
        <v>6262</v>
      </c>
      <c r="J189" s="26" t="s">
        <v>6261</v>
      </c>
      <c r="K189" s="10">
        <v>0.96</v>
      </c>
      <c r="L189" s="73">
        <f>IF(Tank1!$C$23="No control",(SUMIF(Tank1!$B$32:$B$49,$J189,Tank1!$C$32:$C$49)*Impacts!$F$8),0)</f>
        <v>0</v>
      </c>
      <c r="M189" s="10">
        <f>IF(Tank2!$C$23="No control",(SUMIF(Tank2!$B$32:$B$49,$J189,Tank2!$C$32:$C$49)*Impacts!$F$9),0)</f>
        <v>0</v>
      </c>
      <c r="N189" s="10">
        <f>IF(Tank3!$C$23="No control",(SUMIF(Tank3!$B$32:$B$49,$J189,Tank3!$C$32:$C$49)*Impacts!$F$10),0)</f>
        <v>0</v>
      </c>
      <c r="O189" s="10">
        <f>IF(Tank4!$C$23="No control",(SUMIF(Tank4!$B$32:$B$49,$J189,Tank4!$C$32:$C$49)*Impacts!$F$11),0)</f>
        <v>0</v>
      </c>
      <c r="P189" s="10">
        <f>IF(Tank5!$C$23="No control",(SUMIF(Tank5!$B$32:$B$49,$J189,Tank5!$C$32:$C$49)*Impacts!$F$12),0)</f>
        <v>0</v>
      </c>
      <c r="Q189" s="10">
        <f>IFERROR(IF(('Loading-drum,tote'!$C$21)="No control",SUMIF(('Loading-drum,tote'!$B$31:$B$48),$J189,('Loading-drum,tote'!$D$31:$D$48))*Impacts!$F$13,IF(('Loading-drum,tote'!$C$21)&lt;&gt;"No control",SUMIF(('Loading-drum,tote'!$B$31:$B$48),$J189,('Loading-drum,tote'!$E$31:$E$48))*Impacts!$F$13,0)),0)</f>
        <v>0</v>
      </c>
      <c r="R189" s="10">
        <f>IFERROR(IF(('Loading-truck'!$C$21)="No control",SUMIF(('Loading-truck'!$B$31:$B$48),$J189,('Loading-truck'!$D$31:$D$48))*Impacts!$F$14,IF(('Loading-truck'!$C$21)&lt;&gt;"No control",SUMIF(('Loading-truck'!$B$31:$B$48),$J189,('Loading-truck'!$E$31:$E$48))*Impacts!$F$14,0)),0)</f>
        <v>0</v>
      </c>
      <c r="S189" s="10">
        <f>IFERROR(IF(('Loading-rail'!$C$21)="No control",SUMIF(('Loading-rail'!$B$31:$B$48),$J189,('Loading-rail'!$D$31:$D$48))*Impacts!$F$15,IF(('Loading-rail'!$C$21)&lt;&gt;"No control",SUMIF(('Loading-rail'!$B$31:$B$48),$J189,('Loading-rail'!$E$31:$E$48))*Impacts!$F$15,0)),0)</f>
        <v>0</v>
      </c>
      <c r="T189" s="10">
        <f>IF(Flare!$C$7="",0,(SUMIF(Flare!$B$46:$B$185,$J189,Flare!$E$46:$E$185)*Impacts!$F$16))</f>
        <v>0</v>
      </c>
      <c r="U189" s="10">
        <f>IF(VCU!$C$9="",0,(SUMIF(VCU!$B$51:$B$193,$J189,VCU!$E$51:$E$193)*Impacts!$F$17))</f>
        <v>0</v>
      </c>
      <c r="V189" s="10">
        <f>IF(CAS!$C$7="",0,(SUMIF(CAS!$B$31:$B$167,$J189,CAS!$E$31:$E$167)*Impacts!$F$18))</f>
        <v>0</v>
      </c>
      <c r="W189" s="10">
        <f t="shared" si="44"/>
        <v>0</v>
      </c>
      <c r="AK189" s="10" t="str">
        <f t="array" ref="AK189">IFERROR(INDEX(SelectedSpecies,SMALL(IF(SelectedSpecies=AK$1,ROW(SelectedSpecies)),ROW(190:190)),2),"")</f>
        <v/>
      </c>
      <c r="BE189" s="10"/>
      <c r="BI189" s="10"/>
    </row>
    <row r="190" spans="1:61" ht="21" customHeight="1" x14ac:dyDescent="0.25">
      <c r="A190" s="10"/>
      <c r="B190" s="16" t="s">
        <v>198</v>
      </c>
      <c r="C190" s="10">
        <v>100</v>
      </c>
      <c r="D190" s="10">
        <v>249</v>
      </c>
      <c r="E190" s="17">
        <v>249</v>
      </c>
      <c r="I190" s="436" t="s">
        <v>7682</v>
      </c>
      <c r="J190" s="26" t="s">
        <v>7681</v>
      </c>
      <c r="K190" s="10">
        <v>0.1</v>
      </c>
      <c r="L190" s="73">
        <f>IF(Tank1!$C$23="No control",(SUMIF(Tank1!$B$32:$B$49,$J190,Tank1!$C$32:$C$49)*Impacts!$F$8),0)</f>
        <v>0</v>
      </c>
      <c r="M190" s="10">
        <f>IF(Tank2!$C$23="No control",(SUMIF(Tank2!$B$32:$B$49,$J190,Tank2!$C$32:$C$49)*Impacts!$F$9),0)</f>
        <v>0</v>
      </c>
      <c r="N190" s="10">
        <f>IF(Tank3!$C$23="No control",(SUMIF(Tank3!$B$32:$B$49,$J190,Tank3!$C$32:$C$49)*Impacts!$F$10),0)</f>
        <v>0</v>
      </c>
      <c r="O190" s="10">
        <f>IF(Tank4!$C$23="No control",(SUMIF(Tank4!$B$32:$B$49,$J190,Tank4!$C$32:$C$49)*Impacts!$F$11),0)</f>
        <v>0</v>
      </c>
      <c r="P190" s="10">
        <f>IF(Tank5!$C$23="No control",(SUMIF(Tank5!$B$32:$B$49,$J190,Tank5!$C$32:$C$49)*Impacts!$F$12),0)</f>
        <v>0</v>
      </c>
      <c r="Q190" s="10">
        <f>IFERROR(IF(('Loading-drum,tote'!$C$21)="No control",SUMIF(('Loading-drum,tote'!$B$31:$B$48),$J190,('Loading-drum,tote'!$D$31:$D$48))*Impacts!$F$13,IF(('Loading-drum,tote'!$C$21)&lt;&gt;"No control",SUMIF(('Loading-drum,tote'!$B$31:$B$48),$J190,('Loading-drum,tote'!$E$31:$E$48))*Impacts!$F$13,0)),0)</f>
        <v>0</v>
      </c>
      <c r="R190" s="10">
        <f>IFERROR(IF(('Loading-truck'!$C$21)="No control",SUMIF(('Loading-truck'!$B$31:$B$48),$J190,('Loading-truck'!$D$31:$D$48))*Impacts!$F$14,IF(('Loading-truck'!$C$21)&lt;&gt;"No control",SUMIF(('Loading-truck'!$B$31:$B$48),$J190,('Loading-truck'!$E$31:$E$48))*Impacts!$F$14,0)),0)</f>
        <v>0</v>
      </c>
      <c r="S190" s="10">
        <f>IFERROR(IF(('Loading-rail'!$C$21)="No control",SUMIF(('Loading-rail'!$B$31:$B$48),$J190,('Loading-rail'!$D$31:$D$48))*Impacts!$F$15,IF(('Loading-rail'!$C$21)&lt;&gt;"No control",SUMIF(('Loading-rail'!$B$31:$B$48),$J190,('Loading-rail'!$E$31:$E$48))*Impacts!$F$15,0)),0)</f>
        <v>0</v>
      </c>
      <c r="T190" s="10">
        <f>IF(Flare!$C$7="",0,(SUMIF(Flare!$B$46:$B$185,$J190,Flare!$E$46:$E$185)*Impacts!$F$16))</f>
        <v>0</v>
      </c>
      <c r="U190" s="10">
        <f>IF(VCU!$C$9="",0,(SUMIF(VCU!$B$51:$B$193,$J190,VCU!$E$51:$E$193)*Impacts!$F$17))</f>
        <v>0</v>
      </c>
      <c r="V190" s="10">
        <f>IF(CAS!$C$7="",0,(SUMIF(CAS!$B$31:$B$167,$J190,CAS!$E$31:$E$167)*Impacts!$F$18))</f>
        <v>0</v>
      </c>
      <c r="W190" s="10">
        <f t="shared" si="44"/>
        <v>0</v>
      </c>
      <c r="AK190" s="10" t="str">
        <f t="array" ref="AK190">IFERROR(INDEX(SelectedSpecies,SMALL(IF(SelectedSpecies=AK$1,ROW(SelectedSpecies)),ROW(191:191)),2),"")</f>
        <v/>
      </c>
      <c r="BE190" s="10"/>
      <c r="BI190" s="10"/>
    </row>
    <row r="191" spans="1:61" ht="21" customHeight="1" x14ac:dyDescent="0.25">
      <c r="A191" s="10"/>
      <c r="B191" s="16" t="s">
        <v>199</v>
      </c>
      <c r="C191" s="10">
        <v>100</v>
      </c>
      <c r="D191" s="10">
        <v>249</v>
      </c>
      <c r="E191" s="17">
        <v>249</v>
      </c>
      <c r="I191" s="436" t="s">
        <v>4705</v>
      </c>
      <c r="J191" s="26" t="s">
        <v>4704</v>
      </c>
      <c r="K191" s="10">
        <v>3.5</v>
      </c>
      <c r="L191" s="73">
        <f>IF(Tank1!$C$23="No control",(SUMIF(Tank1!$B$32:$B$49,$J191,Tank1!$C$32:$C$49)*Impacts!$F$8),0)</f>
        <v>0</v>
      </c>
      <c r="M191" s="10">
        <f>IF(Tank2!$C$23="No control",(SUMIF(Tank2!$B$32:$B$49,$J191,Tank2!$C$32:$C$49)*Impacts!$F$9),0)</f>
        <v>0</v>
      </c>
      <c r="N191" s="10">
        <f>IF(Tank3!$C$23="No control",(SUMIF(Tank3!$B$32:$B$49,$J191,Tank3!$C$32:$C$49)*Impacts!$F$10),0)</f>
        <v>0</v>
      </c>
      <c r="O191" s="10">
        <f>IF(Tank4!$C$23="No control",(SUMIF(Tank4!$B$32:$B$49,$J191,Tank4!$C$32:$C$49)*Impacts!$F$11),0)</f>
        <v>0</v>
      </c>
      <c r="P191" s="10">
        <f>IF(Tank5!$C$23="No control",(SUMIF(Tank5!$B$32:$B$49,$J191,Tank5!$C$32:$C$49)*Impacts!$F$12),0)</f>
        <v>0</v>
      </c>
      <c r="Q191" s="10">
        <f>IFERROR(IF(('Loading-drum,tote'!$C$21)="No control",SUMIF(('Loading-drum,tote'!$B$31:$B$48),$J191,('Loading-drum,tote'!$D$31:$D$48))*Impacts!$F$13,IF(('Loading-drum,tote'!$C$21)&lt;&gt;"No control",SUMIF(('Loading-drum,tote'!$B$31:$B$48),$J191,('Loading-drum,tote'!$E$31:$E$48))*Impacts!$F$13,0)),0)</f>
        <v>0</v>
      </c>
      <c r="R191" s="10">
        <f>IFERROR(IF(('Loading-truck'!$C$21)="No control",SUMIF(('Loading-truck'!$B$31:$B$48),$J191,('Loading-truck'!$D$31:$D$48))*Impacts!$F$14,IF(('Loading-truck'!$C$21)&lt;&gt;"No control",SUMIF(('Loading-truck'!$B$31:$B$48),$J191,('Loading-truck'!$E$31:$E$48))*Impacts!$F$14,0)),0)</f>
        <v>0</v>
      </c>
      <c r="S191" s="10">
        <f>IFERROR(IF(('Loading-rail'!$C$21)="No control",SUMIF(('Loading-rail'!$B$31:$B$48),$J191,('Loading-rail'!$D$31:$D$48))*Impacts!$F$15,IF(('Loading-rail'!$C$21)&lt;&gt;"No control",SUMIF(('Loading-rail'!$B$31:$B$48),$J191,('Loading-rail'!$E$31:$E$48))*Impacts!$F$15,0)),0)</f>
        <v>0</v>
      </c>
      <c r="T191" s="10">
        <f>IF(Flare!$C$7="",0,(SUMIF(Flare!$B$46:$B$185,$J191,Flare!$E$46:$E$185)*Impacts!$F$16))</f>
        <v>0</v>
      </c>
      <c r="U191" s="10">
        <f>IF(VCU!$C$9="",0,(SUMIF(VCU!$B$51:$B$193,$J191,VCU!$E$51:$E$193)*Impacts!$F$17))</f>
        <v>0</v>
      </c>
      <c r="V191" s="10">
        <f>IF(CAS!$C$7="",0,(SUMIF(CAS!$B$31:$B$167,$J191,CAS!$E$31:$E$167)*Impacts!$F$18))</f>
        <v>0</v>
      </c>
      <c r="W191" s="10">
        <f t="shared" si="44"/>
        <v>0</v>
      </c>
      <c r="AK191" s="10" t="str">
        <f t="array" ref="AK191">IFERROR(INDEX(SelectedSpecies,SMALL(IF(SelectedSpecies=AK$1,ROW(SelectedSpecies)),ROW(192:192)),2),"")</f>
        <v/>
      </c>
      <c r="BE191" s="10"/>
      <c r="BI191" s="10"/>
    </row>
    <row r="192" spans="1:61" ht="21" customHeight="1" x14ac:dyDescent="0.25">
      <c r="A192" s="10"/>
      <c r="B192" s="16" t="s">
        <v>200</v>
      </c>
      <c r="C192" s="10">
        <v>100</v>
      </c>
      <c r="D192" s="10">
        <v>249</v>
      </c>
      <c r="E192" s="17">
        <v>249</v>
      </c>
      <c r="I192" s="436" t="s">
        <v>5664</v>
      </c>
      <c r="J192" s="26" t="s">
        <v>5663</v>
      </c>
      <c r="K192" s="10">
        <v>1</v>
      </c>
      <c r="L192" s="73">
        <f>IF(Tank1!$C$23="No control",(SUMIF(Tank1!$B$32:$B$49,$J192,Tank1!$C$32:$C$49)*Impacts!$F$8),0)</f>
        <v>0</v>
      </c>
      <c r="M192" s="10">
        <f>IF(Tank2!$C$23="No control",(SUMIF(Tank2!$B$32:$B$49,$J192,Tank2!$C$32:$C$49)*Impacts!$F$9),0)</f>
        <v>0</v>
      </c>
      <c r="N192" s="10">
        <f>IF(Tank3!$C$23="No control",(SUMIF(Tank3!$B$32:$B$49,$J192,Tank3!$C$32:$C$49)*Impacts!$F$10),0)</f>
        <v>0</v>
      </c>
      <c r="O192" s="10">
        <f>IF(Tank4!$C$23="No control",(SUMIF(Tank4!$B$32:$B$49,$J192,Tank4!$C$32:$C$49)*Impacts!$F$11),0)</f>
        <v>0</v>
      </c>
      <c r="P192" s="10">
        <f>IF(Tank5!$C$23="No control",(SUMIF(Tank5!$B$32:$B$49,$J192,Tank5!$C$32:$C$49)*Impacts!$F$12),0)</f>
        <v>0</v>
      </c>
      <c r="Q192" s="10">
        <f>IFERROR(IF(('Loading-drum,tote'!$C$21)="No control",SUMIF(('Loading-drum,tote'!$B$31:$B$48),$J192,('Loading-drum,tote'!$D$31:$D$48))*Impacts!$F$13,IF(('Loading-drum,tote'!$C$21)&lt;&gt;"No control",SUMIF(('Loading-drum,tote'!$B$31:$B$48),$J192,('Loading-drum,tote'!$E$31:$E$48))*Impacts!$F$13,0)),0)</f>
        <v>0</v>
      </c>
      <c r="R192" s="10">
        <f>IFERROR(IF(('Loading-truck'!$C$21)="No control",SUMIF(('Loading-truck'!$B$31:$B$48),$J192,('Loading-truck'!$D$31:$D$48))*Impacts!$F$14,IF(('Loading-truck'!$C$21)&lt;&gt;"No control",SUMIF(('Loading-truck'!$B$31:$B$48),$J192,('Loading-truck'!$E$31:$E$48))*Impacts!$F$14,0)),0)</f>
        <v>0</v>
      </c>
      <c r="S192" s="10">
        <f>IFERROR(IF(('Loading-rail'!$C$21)="No control",SUMIF(('Loading-rail'!$B$31:$B$48),$J192,('Loading-rail'!$D$31:$D$48))*Impacts!$F$15,IF(('Loading-rail'!$C$21)&lt;&gt;"No control",SUMIF(('Loading-rail'!$B$31:$B$48),$J192,('Loading-rail'!$E$31:$E$48))*Impacts!$F$15,0)),0)</f>
        <v>0</v>
      </c>
      <c r="T192" s="10">
        <f>IF(Flare!$C$7="",0,(SUMIF(Flare!$B$46:$B$185,$J192,Flare!$E$46:$E$185)*Impacts!$F$16))</f>
        <v>0</v>
      </c>
      <c r="U192" s="10">
        <f>IF(VCU!$C$9="",0,(SUMIF(VCU!$B$51:$B$193,$J192,VCU!$E$51:$E$193)*Impacts!$F$17))</f>
        <v>0</v>
      </c>
      <c r="V192" s="10">
        <f>IF(CAS!$C$7="",0,(SUMIF(CAS!$B$31:$B$167,$J192,CAS!$E$31:$E$167)*Impacts!$F$18))</f>
        <v>0</v>
      </c>
      <c r="W192" s="10">
        <f t="shared" si="44"/>
        <v>0</v>
      </c>
      <c r="AK192" s="10" t="str">
        <f t="array" ref="AK192">IFERROR(INDEX(SelectedSpecies,SMALL(IF(SelectedSpecies=AK$1,ROW(SelectedSpecies)),ROW(193:193)),2),"")</f>
        <v/>
      </c>
      <c r="BE192" s="10"/>
      <c r="BI192" s="10"/>
    </row>
    <row r="193" spans="1:61" ht="21" customHeight="1" x14ac:dyDescent="0.25">
      <c r="A193" s="10"/>
      <c r="B193" s="16" t="s">
        <v>201</v>
      </c>
      <c r="C193" s="10">
        <v>100</v>
      </c>
      <c r="D193" s="10">
        <v>249</v>
      </c>
      <c r="E193" s="17">
        <v>249</v>
      </c>
      <c r="I193" s="436" t="s">
        <v>6498</v>
      </c>
      <c r="J193" s="26" t="s">
        <v>6497</v>
      </c>
      <c r="K193" s="10">
        <v>0.70000000000000007</v>
      </c>
      <c r="L193" s="73">
        <f>IF(Tank1!$C$23="No control",(SUMIF(Tank1!$B$32:$B$49,$J193,Tank1!$C$32:$C$49)*Impacts!$F$8),0)</f>
        <v>0</v>
      </c>
      <c r="M193" s="10">
        <f>IF(Tank2!$C$23="No control",(SUMIF(Tank2!$B$32:$B$49,$J193,Tank2!$C$32:$C$49)*Impacts!$F$9),0)</f>
        <v>0</v>
      </c>
      <c r="N193" s="10">
        <f>IF(Tank3!$C$23="No control",(SUMIF(Tank3!$B$32:$B$49,$J193,Tank3!$C$32:$C$49)*Impacts!$F$10),0)</f>
        <v>0</v>
      </c>
      <c r="O193" s="10">
        <f>IF(Tank4!$C$23="No control",(SUMIF(Tank4!$B$32:$B$49,$J193,Tank4!$C$32:$C$49)*Impacts!$F$11),0)</f>
        <v>0</v>
      </c>
      <c r="P193" s="10">
        <f>IF(Tank5!$C$23="No control",(SUMIF(Tank5!$B$32:$B$49,$J193,Tank5!$C$32:$C$49)*Impacts!$F$12),0)</f>
        <v>0</v>
      </c>
      <c r="Q193" s="10">
        <f>IFERROR(IF(('Loading-drum,tote'!$C$21)="No control",SUMIF(('Loading-drum,tote'!$B$31:$B$48),$J193,('Loading-drum,tote'!$D$31:$D$48))*Impacts!$F$13,IF(('Loading-drum,tote'!$C$21)&lt;&gt;"No control",SUMIF(('Loading-drum,tote'!$B$31:$B$48),$J193,('Loading-drum,tote'!$E$31:$E$48))*Impacts!$F$13,0)),0)</f>
        <v>0</v>
      </c>
      <c r="R193" s="10">
        <f>IFERROR(IF(('Loading-truck'!$C$21)="No control",SUMIF(('Loading-truck'!$B$31:$B$48),$J193,('Loading-truck'!$D$31:$D$48))*Impacts!$F$14,IF(('Loading-truck'!$C$21)&lt;&gt;"No control",SUMIF(('Loading-truck'!$B$31:$B$48),$J193,('Loading-truck'!$E$31:$E$48))*Impacts!$F$14,0)),0)</f>
        <v>0</v>
      </c>
      <c r="S193" s="10">
        <f>IFERROR(IF(('Loading-rail'!$C$21)="No control",SUMIF(('Loading-rail'!$B$31:$B$48),$J193,('Loading-rail'!$D$31:$D$48))*Impacts!$F$15,IF(('Loading-rail'!$C$21)&lt;&gt;"No control",SUMIF(('Loading-rail'!$B$31:$B$48),$J193,('Loading-rail'!$E$31:$E$48))*Impacts!$F$15,0)),0)</f>
        <v>0</v>
      </c>
      <c r="T193" s="10">
        <f>IF(Flare!$C$7="",0,(SUMIF(Flare!$B$46:$B$185,$J193,Flare!$E$46:$E$185)*Impacts!$F$16))</f>
        <v>0</v>
      </c>
      <c r="U193" s="10">
        <f>IF(VCU!$C$9="",0,(SUMIF(VCU!$B$51:$B$193,$J193,VCU!$E$51:$E$193)*Impacts!$F$17))</f>
        <v>0</v>
      </c>
      <c r="V193" s="10">
        <f>IF(CAS!$C$7="",0,(SUMIF(CAS!$B$31:$B$167,$J193,CAS!$E$31:$E$167)*Impacts!$F$18))</f>
        <v>0</v>
      </c>
      <c r="W193" s="10">
        <f t="shared" si="44"/>
        <v>0</v>
      </c>
      <c r="AK193" s="10" t="str">
        <f t="array" ref="AK193">IFERROR(INDEX(SelectedSpecies,SMALL(IF(SelectedSpecies=AK$1,ROW(SelectedSpecies)),ROW(194:194)),2),"")</f>
        <v/>
      </c>
      <c r="BE193" s="10"/>
      <c r="BI193" s="10"/>
    </row>
    <row r="194" spans="1:61" ht="21" customHeight="1" x14ac:dyDescent="0.25">
      <c r="A194" s="10"/>
      <c r="B194" s="16" t="s">
        <v>202</v>
      </c>
      <c r="C194" s="10">
        <v>100</v>
      </c>
      <c r="D194" s="10">
        <v>249</v>
      </c>
      <c r="E194" s="17">
        <v>249</v>
      </c>
      <c r="I194" s="436" t="s">
        <v>1428</v>
      </c>
      <c r="J194" s="26" t="s">
        <v>1427</v>
      </c>
      <c r="K194" s="10">
        <v>30</v>
      </c>
      <c r="L194" s="73">
        <f>IF(Tank1!$C$23="No control",(SUMIF(Tank1!$B$32:$B$49,$J194,Tank1!$C$32:$C$49)*Impacts!$F$8),0)</f>
        <v>0</v>
      </c>
      <c r="M194" s="10">
        <f>IF(Tank2!$C$23="No control",(SUMIF(Tank2!$B$32:$B$49,$J194,Tank2!$C$32:$C$49)*Impacts!$F$9),0)</f>
        <v>0</v>
      </c>
      <c r="N194" s="10">
        <f>IF(Tank3!$C$23="No control",(SUMIF(Tank3!$B$32:$B$49,$J194,Tank3!$C$32:$C$49)*Impacts!$F$10),0)</f>
        <v>0</v>
      </c>
      <c r="O194" s="10">
        <f>IF(Tank4!$C$23="No control",(SUMIF(Tank4!$B$32:$B$49,$J194,Tank4!$C$32:$C$49)*Impacts!$F$11),0)</f>
        <v>0</v>
      </c>
      <c r="P194" s="10">
        <f>IF(Tank5!$C$23="No control",(SUMIF(Tank5!$B$32:$B$49,$J194,Tank5!$C$32:$C$49)*Impacts!$F$12),0)</f>
        <v>0</v>
      </c>
      <c r="Q194" s="10">
        <f>IFERROR(IF(('Loading-drum,tote'!$C$21)="No control",SUMIF(('Loading-drum,tote'!$B$31:$B$48),$J194,('Loading-drum,tote'!$D$31:$D$48))*Impacts!$F$13,IF(('Loading-drum,tote'!$C$21)&lt;&gt;"No control",SUMIF(('Loading-drum,tote'!$B$31:$B$48),$J194,('Loading-drum,tote'!$E$31:$E$48))*Impacts!$F$13,0)),0)</f>
        <v>0</v>
      </c>
      <c r="R194" s="10">
        <f>IFERROR(IF(('Loading-truck'!$C$21)="No control",SUMIF(('Loading-truck'!$B$31:$B$48),$J194,('Loading-truck'!$D$31:$D$48))*Impacts!$F$14,IF(('Loading-truck'!$C$21)&lt;&gt;"No control",SUMIF(('Loading-truck'!$B$31:$B$48),$J194,('Loading-truck'!$E$31:$E$48))*Impacts!$F$14,0)),0)</f>
        <v>0</v>
      </c>
      <c r="S194" s="10">
        <f>IFERROR(IF(('Loading-rail'!$C$21)="No control",SUMIF(('Loading-rail'!$B$31:$B$48),$J194,('Loading-rail'!$D$31:$D$48))*Impacts!$F$15,IF(('Loading-rail'!$C$21)&lt;&gt;"No control",SUMIF(('Loading-rail'!$B$31:$B$48),$J194,('Loading-rail'!$E$31:$E$48))*Impacts!$F$15,0)),0)</f>
        <v>0</v>
      </c>
      <c r="T194" s="10">
        <f>IF(Flare!$C$7="",0,(SUMIF(Flare!$B$46:$B$185,$J194,Flare!$E$46:$E$185)*Impacts!$F$16))</f>
        <v>0</v>
      </c>
      <c r="U194" s="10">
        <f>IF(VCU!$C$9="",0,(SUMIF(VCU!$B$51:$B$193,$J194,VCU!$E$51:$E$193)*Impacts!$F$17))</f>
        <v>0</v>
      </c>
      <c r="V194" s="10">
        <f>IF(CAS!$C$7="",0,(SUMIF(CAS!$B$31:$B$167,$J194,CAS!$E$31:$E$167)*Impacts!$F$18))</f>
        <v>0</v>
      </c>
      <c r="W194" s="10">
        <f t="shared" si="44"/>
        <v>0</v>
      </c>
      <c r="AK194" s="10" t="str">
        <f t="array" ref="AK194">IFERROR(INDEX(SelectedSpecies,SMALL(IF(SelectedSpecies=AK$1,ROW(SelectedSpecies)),ROW(195:195)),2),"")</f>
        <v/>
      </c>
      <c r="BE194" s="10"/>
      <c r="BI194" s="10"/>
    </row>
    <row r="195" spans="1:61" ht="21" customHeight="1" x14ac:dyDescent="0.25">
      <c r="A195" s="10"/>
      <c r="B195" s="16" t="s">
        <v>203</v>
      </c>
      <c r="C195" s="10">
        <v>100</v>
      </c>
      <c r="D195" s="10">
        <v>249</v>
      </c>
      <c r="E195" s="17">
        <v>249</v>
      </c>
      <c r="I195" s="436" t="s">
        <v>7154</v>
      </c>
      <c r="J195" s="26" t="s">
        <v>7153</v>
      </c>
      <c r="K195" s="10">
        <v>0.33</v>
      </c>
      <c r="L195" s="73">
        <f>IF(Tank1!$C$23="No control",(SUMIF(Tank1!$B$32:$B$49,$J195,Tank1!$C$32:$C$49)*Impacts!$F$8),0)</f>
        <v>0</v>
      </c>
      <c r="M195" s="10">
        <f>IF(Tank2!$C$23="No control",(SUMIF(Tank2!$B$32:$B$49,$J195,Tank2!$C$32:$C$49)*Impacts!$F$9),0)</f>
        <v>0</v>
      </c>
      <c r="N195" s="10">
        <f>IF(Tank3!$C$23="No control",(SUMIF(Tank3!$B$32:$B$49,$J195,Tank3!$C$32:$C$49)*Impacts!$F$10),0)</f>
        <v>0</v>
      </c>
      <c r="O195" s="10">
        <f>IF(Tank4!$C$23="No control",(SUMIF(Tank4!$B$32:$B$49,$J195,Tank4!$C$32:$C$49)*Impacts!$F$11),0)</f>
        <v>0</v>
      </c>
      <c r="P195" s="10">
        <f>IF(Tank5!$C$23="No control",(SUMIF(Tank5!$B$32:$B$49,$J195,Tank5!$C$32:$C$49)*Impacts!$F$12),0)</f>
        <v>0</v>
      </c>
      <c r="Q195" s="10">
        <f>IFERROR(IF(('Loading-drum,tote'!$C$21)="No control",SUMIF(('Loading-drum,tote'!$B$31:$B$48),$J195,('Loading-drum,tote'!$D$31:$D$48))*Impacts!$F$13,IF(('Loading-drum,tote'!$C$21)&lt;&gt;"No control",SUMIF(('Loading-drum,tote'!$B$31:$B$48),$J195,('Loading-drum,tote'!$E$31:$E$48))*Impacts!$F$13,0)),0)</f>
        <v>0</v>
      </c>
      <c r="R195" s="10">
        <f>IFERROR(IF(('Loading-truck'!$C$21)="No control",SUMIF(('Loading-truck'!$B$31:$B$48),$J195,('Loading-truck'!$D$31:$D$48))*Impacts!$F$14,IF(('Loading-truck'!$C$21)&lt;&gt;"No control",SUMIF(('Loading-truck'!$B$31:$B$48),$J195,('Loading-truck'!$E$31:$E$48))*Impacts!$F$14,0)),0)</f>
        <v>0</v>
      </c>
      <c r="S195" s="10">
        <f>IFERROR(IF(('Loading-rail'!$C$21)="No control",SUMIF(('Loading-rail'!$B$31:$B$48),$J195,('Loading-rail'!$D$31:$D$48))*Impacts!$F$15,IF(('Loading-rail'!$C$21)&lt;&gt;"No control",SUMIF(('Loading-rail'!$B$31:$B$48),$J195,('Loading-rail'!$E$31:$E$48))*Impacts!$F$15,0)),0)</f>
        <v>0</v>
      </c>
      <c r="T195" s="10">
        <f>IF(Flare!$C$7="",0,(SUMIF(Flare!$B$46:$B$185,$J195,Flare!$E$46:$E$185)*Impacts!$F$16))</f>
        <v>0</v>
      </c>
      <c r="U195" s="10">
        <f>IF(VCU!$C$9="",0,(SUMIF(VCU!$B$51:$B$193,$J195,VCU!$E$51:$E$193)*Impacts!$F$17))</f>
        <v>0</v>
      </c>
      <c r="V195" s="10">
        <f>IF(CAS!$C$7="",0,(SUMIF(CAS!$B$31:$B$167,$J195,CAS!$E$31:$E$167)*Impacts!$F$18))</f>
        <v>0</v>
      </c>
      <c r="W195" s="10">
        <f t="shared" ref="W195:W258" si="45">SUM(L195:V195)</f>
        <v>0</v>
      </c>
      <c r="AK195" s="10" t="str">
        <f t="array" ref="AK195">IFERROR(INDEX(SelectedSpecies,SMALL(IF(SelectedSpecies=AK$1,ROW(SelectedSpecies)),ROW(196:196)),2),"")</f>
        <v/>
      </c>
      <c r="BE195" s="10"/>
      <c r="BI195" s="10"/>
    </row>
    <row r="196" spans="1:61" ht="21" customHeight="1" x14ac:dyDescent="0.25">
      <c r="A196" s="10"/>
      <c r="B196" s="16" t="s">
        <v>204</v>
      </c>
      <c r="C196" s="10">
        <v>100</v>
      </c>
      <c r="D196" s="10">
        <v>249</v>
      </c>
      <c r="E196" s="17">
        <v>249</v>
      </c>
      <c r="I196" s="436" t="s">
        <v>5666</v>
      </c>
      <c r="J196" s="26" t="s">
        <v>5665</v>
      </c>
      <c r="K196" s="10">
        <v>1</v>
      </c>
      <c r="L196" s="73">
        <f>IF(Tank1!$C$23="No control",(SUMIF(Tank1!$B$32:$B$49,$J196,Tank1!$C$32:$C$49)*Impacts!$F$8),0)</f>
        <v>0</v>
      </c>
      <c r="M196" s="10">
        <f>IF(Tank2!$C$23="No control",(SUMIF(Tank2!$B$32:$B$49,$J196,Tank2!$C$32:$C$49)*Impacts!$F$9),0)</f>
        <v>0</v>
      </c>
      <c r="N196" s="10">
        <f>IF(Tank3!$C$23="No control",(SUMIF(Tank3!$B$32:$B$49,$J196,Tank3!$C$32:$C$49)*Impacts!$F$10),0)</f>
        <v>0</v>
      </c>
      <c r="O196" s="10">
        <f>IF(Tank4!$C$23="No control",(SUMIF(Tank4!$B$32:$B$49,$J196,Tank4!$C$32:$C$49)*Impacts!$F$11),0)</f>
        <v>0</v>
      </c>
      <c r="P196" s="10">
        <f>IF(Tank5!$C$23="No control",(SUMIF(Tank5!$B$32:$B$49,$J196,Tank5!$C$32:$C$49)*Impacts!$F$12),0)</f>
        <v>0</v>
      </c>
      <c r="Q196" s="10">
        <f>IFERROR(IF(('Loading-drum,tote'!$C$21)="No control",SUMIF(('Loading-drum,tote'!$B$31:$B$48),$J196,('Loading-drum,tote'!$D$31:$D$48))*Impacts!$F$13,IF(('Loading-drum,tote'!$C$21)&lt;&gt;"No control",SUMIF(('Loading-drum,tote'!$B$31:$B$48),$J196,('Loading-drum,tote'!$E$31:$E$48))*Impacts!$F$13,0)),0)</f>
        <v>0</v>
      </c>
      <c r="R196" s="10">
        <f>IFERROR(IF(('Loading-truck'!$C$21)="No control",SUMIF(('Loading-truck'!$B$31:$B$48),$J196,('Loading-truck'!$D$31:$D$48))*Impacts!$F$14,IF(('Loading-truck'!$C$21)&lt;&gt;"No control",SUMIF(('Loading-truck'!$B$31:$B$48),$J196,('Loading-truck'!$E$31:$E$48))*Impacts!$F$14,0)),0)</f>
        <v>0</v>
      </c>
      <c r="S196" s="10">
        <f>IFERROR(IF(('Loading-rail'!$C$21)="No control",SUMIF(('Loading-rail'!$B$31:$B$48),$J196,('Loading-rail'!$D$31:$D$48))*Impacts!$F$15,IF(('Loading-rail'!$C$21)&lt;&gt;"No control",SUMIF(('Loading-rail'!$B$31:$B$48),$J196,('Loading-rail'!$E$31:$E$48))*Impacts!$F$15,0)),0)</f>
        <v>0</v>
      </c>
      <c r="T196" s="10">
        <f>IF(Flare!$C$7="",0,(SUMIF(Flare!$B$46:$B$185,$J196,Flare!$E$46:$E$185)*Impacts!$F$16))</f>
        <v>0</v>
      </c>
      <c r="U196" s="10">
        <f>IF(VCU!$C$9="",0,(SUMIF(VCU!$B$51:$B$193,$J196,VCU!$E$51:$E$193)*Impacts!$F$17))</f>
        <v>0</v>
      </c>
      <c r="V196" s="10">
        <f>IF(CAS!$C$7="",0,(SUMIF(CAS!$B$31:$B$167,$J196,CAS!$E$31:$E$167)*Impacts!$F$18))</f>
        <v>0</v>
      </c>
      <c r="W196" s="10">
        <f t="shared" si="45"/>
        <v>0</v>
      </c>
      <c r="AK196" s="10" t="str">
        <f t="array" ref="AK196">IFERROR(INDEX(SelectedSpecies,SMALL(IF(SelectedSpecies=AK$1,ROW(SelectedSpecies)),ROW(197:197)),2),"")</f>
        <v/>
      </c>
      <c r="BE196" s="10"/>
      <c r="BI196" s="10"/>
    </row>
    <row r="197" spans="1:61" ht="21" customHeight="1" x14ac:dyDescent="0.25">
      <c r="A197" s="10"/>
      <c r="B197" s="16" t="s">
        <v>205</v>
      </c>
      <c r="C197" s="10">
        <v>100</v>
      </c>
      <c r="D197" s="10">
        <v>249</v>
      </c>
      <c r="E197" s="17">
        <v>249</v>
      </c>
      <c r="I197" s="436" t="s">
        <v>2403</v>
      </c>
      <c r="J197" s="26" t="s">
        <v>2402</v>
      </c>
      <c r="K197" s="10">
        <v>10</v>
      </c>
      <c r="L197" s="73">
        <f>IF(Tank1!$C$23="No control",(SUMIF(Tank1!$B$32:$B$49,$J197,Tank1!$C$32:$C$49)*Impacts!$F$8),0)</f>
        <v>0</v>
      </c>
      <c r="M197" s="10">
        <f>IF(Tank2!$C$23="No control",(SUMIF(Tank2!$B$32:$B$49,$J197,Tank2!$C$32:$C$49)*Impacts!$F$9),0)</f>
        <v>0</v>
      </c>
      <c r="N197" s="10">
        <f>IF(Tank3!$C$23="No control",(SUMIF(Tank3!$B$32:$B$49,$J197,Tank3!$C$32:$C$49)*Impacts!$F$10),0)</f>
        <v>0</v>
      </c>
      <c r="O197" s="10">
        <f>IF(Tank4!$C$23="No control",(SUMIF(Tank4!$B$32:$B$49,$J197,Tank4!$C$32:$C$49)*Impacts!$F$11),0)</f>
        <v>0</v>
      </c>
      <c r="P197" s="10">
        <f>IF(Tank5!$C$23="No control",(SUMIF(Tank5!$B$32:$B$49,$J197,Tank5!$C$32:$C$49)*Impacts!$F$12),0)</f>
        <v>0</v>
      </c>
      <c r="Q197" s="10">
        <f>IFERROR(IF(('Loading-drum,tote'!$C$21)="No control",SUMIF(('Loading-drum,tote'!$B$31:$B$48),$J197,('Loading-drum,tote'!$D$31:$D$48))*Impacts!$F$13,IF(('Loading-drum,tote'!$C$21)&lt;&gt;"No control",SUMIF(('Loading-drum,tote'!$B$31:$B$48),$J197,('Loading-drum,tote'!$E$31:$E$48))*Impacts!$F$13,0)),0)</f>
        <v>0</v>
      </c>
      <c r="R197" s="10">
        <f>IFERROR(IF(('Loading-truck'!$C$21)="No control",SUMIF(('Loading-truck'!$B$31:$B$48),$J197,('Loading-truck'!$D$31:$D$48))*Impacts!$F$14,IF(('Loading-truck'!$C$21)&lt;&gt;"No control",SUMIF(('Loading-truck'!$B$31:$B$48),$J197,('Loading-truck'!$E$31:$E$48))*Impacts!$F$14,0)),0)</f>
        <v>0</v>
      </c>
      <c r="S197" s="10">
        <f>IFERROR(IF(('Loading-rail'!$C$21)="No control",SUMIF(('Loading-rail'!$B$31:$B$48),$J197,('Loading-rail'!$D$31:$D$48))*Impacts!$F$15,IF(('Loading-rail'!$C$21)&lt;&gt;"No control",SUMIF(('Loading-rail'!$B$31:$B$48),$J197,('Loading-rail'!$E$31:$E$48))*Impacts!$F$15,0)),0)</f>
        <v>0</v>
      </c>
      <c r="T197" s="10">
        <f>IF(Flare!$C$7="",0,(SUMIF(Flare!$B$46:$B$185,$J197,Flare!$E$46:$E$185)*Impacts!$F$16))</f>
        <v>0</v>
      </c>
      <c r="U197" s="10">
        <f>IF(VCU!$C$9="",0,(SUMIF(VCU!$B$51:$B$193,$J197,VCU!$E$51:$E$193)*Impacts!$F$17))</f>
        <v>0</v>
      </c>
      <c r="V197" s="10">
        <f>IF(CAS!$C$7="",0,(SUMIF(CAS!$B$31:$B$167,$J197,CAS!$E$31:$E$167)*Impacts!$F$18))</f>
        <v>0</v>
      </c>
      <c r="W197" s="10">
        <f t="shared" si="45"/>
        <v>0</v>
      </c>
      <c r="AK197" s="10" t="str">
        <f t="array" ref="AK197">IFERROR(INDEX(SelectedSpecies,SMALL(IF(SelectedSpecies=AK$1,ROW(SelectedSpecies)),ROW(198:198)),2),"")</f>
        <v/>
      </c>
      <c r="BE197" s="10"/>
      <c r="BI197" s="10"/>
    </row>
    <row r="198" spans="1:61" ht="21" customHeight="1" x14ac:dyDescent="0.25">
      <c r="A198" s="10"/>
      <c r="B198" s="16" t="s">
        <v>206</v>
      </c>
      <c r="C198" s="10">
        <v>100</v>
      </c>
      <c r="D198" s="10">
        <v>249</v>
      </c>
      <c r="E198" s="17">
        <v>249</v>
      </c>
      <c r="I198" s="436" t="s">
        <v>6680</v>
      </c>
      <c r="J198" s="26" t="s">
        <v>6679</v>
      </c>
      <c r="K198" s="10">
        <v>0.54</v>
      </c>
      <c r="L198" s="73">
        <f>IF(Tank1!$C$23="No control",(SUMIF(Tank1!$B$32:$B$49,$J198,Tank1!$C$32:$C$49)*Impacts!$F$8),0)</f>
        <v>0</v>
      </c>
      <c r="M198" s="10">
        <f>IF(Tank2!$C$23="No control",(SUMIF(Tank2!$B$32:$B$49,$J198,Tank2!$C$32:$C$49)*Impacts!$F$9),0)</f>
        <v>0</v>
      </c>
      <c r="N198" s="10">
        <f>IF(Tank3!$C$23="No control",(SUMIF(Tank3!$B$32:$B$49,$J198,Tank3!$C$32:$C$49)*Impacts!$F$10),0)</f>
        <v>0</v>
      </c>
      <c r="O198" s="10">
        <f>IF(Tank4!$C$23="No control",(SUMIF(Tank4!$B$32:$B$49,$J198,Tank4!$C$32:$C$49)*Impacts!$F$11),0)</f>
        <v>0</v>
      </c>
      <c r="P198" s="10">
        <f>IF(Tank5!$C$23="No control",(SUMIF(Tank5!$B$32:$B$49,$J198,Tank5!$C$32:$C$49)*Impacts!$F$12),0)</f>
        <v>0</v>
      </c>
      <c r="Q198" s="10">
        <f>IFERROR(IF(('Loading-drum,tote'!$C$21)="No control",SUMIF(('Loading-drum,tote'!$B$31:$B$48),$J198,('Loading-drum,tote'!$D$31:$D$48))*Impacts!$F$13,IF(('Loading-drum,tote'!$C$21)&lt;&gt;"No control",SUMIF(('Loading-drum,tote'!$B$31:$B$48),$J198,('Loading-drum,tote'!$E$31:$E$48))*Impacts!$F$13,0)),0)</f>
        <v>0</v>
      </c>
      <c r="R198" s="10">
        <f>IFERROR(IF(('Loading-truck'!$C$21)="No control",SUMIF(('Loading-truck'!$B$31:$B$48),$J198,('Loading-truck'!$D$31:$D$48))*Impacts!$F$14,IF(('Loading-truck'!$C$21)&lt;&gt;"No control",SUMIF(('Loading-truck'!$B$31:$B$48),$J198,('Loading-truck'!$E$31:$E$48))*Impacts!$F$14,0)),0)</f>
        <v>0</v>
      </c>
      <c r="S198" s="10">
        <f>IFERROR(IF(('Loading-rail'!$C$21)="No control",SUMIF(('Loading-rail'!$B$31:$B$48),$J198,('Loading-rail'!$D$31:$D$48))*Impacts!$F$15,IF(('Loading-rail'!$C$21)&lt;&gt;"No control",SUMIF(('Loading-rail'!$B$31:$B$48),$J198,('Loading-rail'!$E$31:$E$48))*Impacts!$F$15,0)),0)</f>
        <v>0</v>
      </c>
      <c r="T198" s="10">
        <f>IF(Flare!$C$7="",0,(SUMIF(Flare!$B$46:$B$185,$J198,Flare!$E$46:$E$185)*Impacts!$F$16))</f>
        <v>0</v>
      </c>
      <c r="U198" s="10">
        <f>IF(VCU!$C$9="",0,(SUMIF(VCU!$B$51:$B$193,$J198,VCU!$E$51:$E$193)*Impacts!$F$17))</f>
        <v>0</v>
      </c>
      <c r="V198" s="10">
        <f>IF(CAS!$C$7="",0,(SUMIF(CAS!$B$31:$B$167,$J198,CAS!$E$31:$E$167)*Impacts!$F$18))</f>
        <v>0</v>
      </c>
      <c r="W198" s="10">
        <f t="shared" si="45"/>
        <v>0</v>
      </c>
      <c r="AK198" s="10" t="str">
        <f t="array" ref="AK198">IFERROR(INDEX(SelectedSpecies,SMALL(IF(SelectedSpecies=AK$1,ROW(SelectedSpecies)),ROW(199:199)),2),"")</f>
        <v/>
      </c>
      <c r="BE198" s="10"/>
      <c r="BI198" s="10"/>
    </row>
    <row r="199" spans="1:61" ht="21" customHeight="1" x14ac:dyDescent="0.25">
      <c r="A199" s="10"/>
      <c r="B199" s="16" t="s">
        <v>207</v>
      </c>
      <c r="C199" s="10">
        <v>100</v>
      </c>
      <c r="D199" s="10">
        <v>249</v>
      </c>
      <c r="E199" s="17">
        <v>249</v>
      </c>
      <c r="I199" s="436" t="s">
        <v>4401</v>
      </c>
      <c r="J199" s="26" t="s">
        <v>4400</v>
      </c>
      <c r="K199" s="10">
        <v>4.6000000000000005</v>
      </c>
      <c r="L199" s="73">
        <f>IF(Tank1!$C$23="No control",(SUMIF(Tank1!$B$32:$B$49,$J199,Tank1!$C$32:$C$49)*Impacts!$F$8),0)</f>
        <v>0</v>
      </c>
      <c r="M199" s="10">
        <f>IF(Tank2!$C$23="No control",(SUMIF(Tank2!$B$32:$B$49,$J199,Tank2!$C$32:$C$49)*Impacts!$F$9),0)</f>
        <v>0</v>
      </c>
      <c r="N199" s="10">
        <f>IF(Tank3!$C$23="No control",(SUMIF(Tank3!$B$32:$B$49,$J199,Tank3!$C$32:$C$49)*Impacts!$F$10),0)</f>
        <v>0</v>
      </c>
      <c r="O199" s="10">
        <f>IF(Tank4!$C$23="No control",(SUMIF(Tank4!$B$32:$B$49,$J199,Tank4!$C$32:$C$49)*Impacts!$F$11),0)</f>
        <v>0</v>
      </c>
      <c r="P199" s="10">
        <f>IF(Tank5!$C$23="No control",(SUMIF(Tank5!$B$32:$B$49,$J199,Tank5!$C$32:$C$49)*Impacts!$F$12),0)</f>
        <v>0</v>
      </c>
      <c r="Q199" s="10">
        <f>IFERROR(IF(('Loading-drum,tote'!$C$21)="No control",SUMIF(('Loading-drum,tote'!$B$31:$B$48),$J199,('Loading-drum,tote'!$D$31:$D$48))*Impacts!$F$13,IF(('Loading-drum,tote'!$C$21)&lt;&gt;"No control",SUMIF(('Loading-drum,tote'!$B$31:$B$48),$J199,('Loading-drum,tote'!$E$31:$E$48))*Impacts!$F$13,0)),0)</f>
        <v>0</v>
      </c>
      <c r="R199" s="10">
        <f>IFERROR(IF(('Loading-truck'!$C$21)="No control",SUMIF(('Loading-truck'!$B$31:$B$48),$J199,('Loading-truck'!$D$31:$D$48))*Impacts!$F$14,IF(('Loading-truck'!$C$21)&lt;&gt;"No control",SUMIF(('Loading-truck'!$B$31:$B$48),$J199,('Loading-truck'!$E$31:$E$48))*Impacts!$F$14,0)),0)</f>
        <v>0</v>
      </c>
      <c r="S199" s="10">
        <f>IFERROR(IF(('Loading-rail'!$C$21)="No control",SUMIF(('Loading-rail'!$B$31:$B$48),$J199,('Loading-rail'!$D$31:$D$48))*Impacts!$F$15,IF(('Loading-rail'!$C$21)&lt;&gt;"No control",SUMIF(('Loading-rail'!$B$31:$B$48),$J199,('Loading-rail'!$E$31:$E$48))*Impacts!$F$15,0)),0)</f>
        <v>0</v>
      </c>
      <c r="T199" s="10">
        <f>IF(Flare!$C$7="",0,(SUMIF(Flare!$B$46:$B$185,$J199,Flare!$E$46:$E$185)*Impacts!$F$16))</f>
        <v>0</v>
      </c>
      <c r="U199" s="10">
        <f>IF(VCU!$C$9="",0,(SUMIF(VCU!$B$51:$B$193,$J199,VCU!$E$51:$E$193)*Impacts!$F$17))</f>
        <v>0</v>
      </c>
      <c r="V199" s="10">
        <f>IF(CAS!$C$7="",0,(SUMIF(CAS!$B$31:$B$167,$J199,CAS!$E$31:$E$167)*Impacts!$F$18))</f>
        <v>0</v>
      </c>
      <c r="W199" s="10">
        <f t="shared" si="45"/>
        <v>0</v>
      </c>
      <c r="AK199" s="10" t="str">
        <f t="array" ref="AK199">IFERROR(INDEX(SelectedSpecies,SMALL(IF(SelectedSpecies=AK$1,ROW(SelectedSpecies)),ROW(200:200)),2),"")</f>
        <v/>
      </c>
      <c r="BE199" s="10"/>
      <c r="BI199" s="10"/>
    </row>
    <row r="200" spans="1:61" ht="21" customHeight="1" x14ac:dyDescent="0.25">
      <c r="A200" s="10"/>
      <c r="B200" s="16" t="s">
        <v>208</v>
      </c>
      <c r="C200" s="10">
        <v>100</v>
      </c>
      <c r="D200" s="10">
        <v>249</v>
      </c>
      <c r="E200" s="17">
        <v>249</v>
      </c>
      <c r="I200" s="436" t="s">
        <v>6500</v>
      </c>
      <c r="J200" s="26" t="s">
        <v>6499</v>
      </c>
      <c r="K200" s="10">
        <v>0.70000000000000007</v>
      </c>
      <c r="L200" s="73">
        <f>IF(Tank1!$C$23="No control",(SUMIF(Tank1!$B$32:$B$49,$J200,Tank1!$C$32:$C$49)*Impacts!$F$8),0)</f>
        <v>0</v>
      </c>
      <c r="M200" s="10">
        <f>IF(Tank2!$C$23="No control",(SUMIF(Tank2!$B$32:$B$49,$J200,Tank2!$C$32:$C$49)*Impacts!$F$9),0)</f>
        <v>0</v>
      </c>
      <c r="N200" s="10">
        <f>IF(Tank3!$C$23="No control",(SUMIF(Tank3!$B$32:$B$49,$J200,Tank3!$C$32:$C$49)*Impacts!$F$10),0)</f>
        <v>0</v>
      </c>
      <c r="O200" s="10">
        <f>IF(Tank4!$C$23="No control",(SUMIF(Tank4!$B$32:$B$49,$J200,Tank4!$C$32:$C$49)*Impacts!$F$11),0)</f>
        <v>0</v>
      </c>
      <c r="P200" s="10">
        <f>IF(Tank5!$C$23="No control",(SUMIF(Tank5!$B$32:$B$49,$J200,Tank5!$C$32:$C$49)*Impacts!$F$12),0)</f>
        <v>0</v>
      </c>
      <c r="Q200" s="10">
        <f>IFERROR(IF(('Loading-drum,tote'!$C$21)="No control",SUMIF(('Loading-drum,tote'!$B$31:$B$48),$J200,('Loading-drum,tote'!$D$31:$D$48))*Impacts!$F$13,IF(('Loading-drum,tote'!$C$21)&lt;&gt;"No control",SUMIF(('Loading-drum,tote'!$B$31:$B$48),$J200,('Loading-drum,tote'!$E$31:$E$48))*Impacts!$F$13,0)),0)</f>
        <v>0</v>
      </c>
      <c r="R200" s="10">
        <f>IFERROR(IF(('Loading-truck'!$C$21)="No control",SUMIF(('Loading-truck'!$B$31:$B$48),$J200,('Loading-truck'!$D$31:$D$48))*Impacts!$F$14,IF(('Loading-truck'!$C$21)&lt;&gt;"No control",SUMIF(('Loading-truck'!$B$31:$B$48),$J200,('Loading-truck'!$E$31:$E$48))*Impacts!$F$14,0)),0)</f>
        <v>0</v>
      </c>
      <c r="S200" s="10">
        <f>IFERROR(IF(('Loading-rail'!$C$21)="No control",SUMIF(('Loading-rail'!$B$31:$B$48),$J200,('Loading-rail'!$D$31:$D$48))*Impacts!$F$15,IF(('Loading-rail'!$C$21)&lt;&gt;"No control",SUMIF(('Loading-rail'!$B$31:$B$48),$J200,('Loading-rail'!$E$31:$E$48))*Impacts!$F$15,0)),0)</f>
        <v>0</v>
      </c>
      <c r="T200" s="10">
        <f>IF(Flare!$C$7="",0,(SUMIF(Flare!$B$46:$B$185,$J200,Flare!$E$46:$E$185)*Impacts!$F$16))</f>
        <v>0</v>
      </c>
      <c r="U200" s="10">
        <f>IF(VCU!$C$9="",0,(SUMIF(VCU!$B$51:$B$193,$J200,VCU!$E$51:$E$193)*Impacts!$F$17))</f>
        <v>0</v>
      </c>
      <c r="V200" s="10">
        <f>IF(CAS!$C$7="",0,(SUMIF(CAS!$B$31:$B$167,$J200,CAS!$E$31:$E$167)*Impacts!$F$18))</f>
        <v>0</v>
      </c>
      <c r="W200" s="10">
        <f t="shared" si="45"/>
        <v>0</v>
      </c>
      <c r="AK200" s="10" t="str">
        <f t="array" ref="AK200">IFERROR(INDEX(SelectedSpecies,SMALL(IF(SelectedSpecies=AK$1,ROW(SelectedSpecies)),ROW(201:201)),2),"")</f>
        <v/>
      </c>
      <c r="BE200" s="10"/>
      <c r="BI200" s="10"/>
    </row>
    <row r="201" spans="1:61" ht="21" customHeight="1" x14ac:dyDescent="0.25">
      <c r="A201" s="10"/>
      <c r="B201" s="16" t="s">
        <v>209</v>
      </c>
      <c r="C201" s="10">
        <v>100</v>
      </c>
      <c r="D201" s="10">
        <v>100</v>
      </c>
      <c r="E201" s="17">
        <v>249</v>
      </c>
      <c r="I201" s="436" t="s">
        <v>7046</v>
      </c>
      <c r="J201" s="26" t="s">
        <v>7045</v>
      </c>
      <c r="K201" s="10">
        <v>0.42000000000000004</v>
      </c>
      <c r="L201" s="73">
        <f>IF(Tank1!$C$23="No control",(SUMIF(Tank1!$B$32:$B$49,$J201,Tank1!$C$32:$C$49)*Impacts!$F$8),0)</f>
        <v>0</v>
      </c>
      <c r="M201" s="10">
        <f>IF(Tank2!$C$23="No control",(SUMIF(Tank2!$B$32:$B$49,$J201,Tank2!$C$32:$C$49)*Impacts!$F$9),0)</f>
        <v>0</v>
      </c>
      <c r="N201" s="10">
        <f>IF(Tank3!$C$23="No control",(SUMIF(Tank3!$B$32:$B$49,$J201,Tank3!$C$32:$C$49)*Impacts!$F$10),0)</f>
        <v>0</v>
      </c>
      <c r="O201" s="10">
        <f>IF(Tank4!$C$23="No control",(SUMIF(Tank4!$B$32:$B$49,$J201,Tank4!$C$32:$C$49)*Impacts!$F$11),0)</f>
        <v>0</v>
      </c>
      <c r="P201" s="10">
        <f>IF(Tank5!$C$23="No control",(SUMIF(Tank5!$B$32:$B$49,$J201,Tank5!$C$32:$C$49)*Impacts!$F$12),0)</f>
        <v>0</v>
      </c>
      <c r="Q201" s="10">
        <f>IFERROR(IF(('Loading-drum,tote'!$C$21)="No control",SUMIF(('Loading-drum,tote'!$B$31:$B$48),$J201,('Loading-drum,tote'!$D$31:$D$48))*Impacts!$F$13,IF(('Loading-drum,tote'!$C$21)&lt;&gt;"No control",SUMIF(('Loading-drum,tote'!$B$31:$B$48),$J201,('Loading-drum,tote'!$E$31:$E$48))*Impacts!$F$13,0)),0)</f>
        <v>0</v>
      </c>
      <c r="R201" s="10">
        <f>IFERROR(IF(('Loading-truck'!$C$21)="No control",SUMIF(('Loading-truck'!$B$31:$B$48),$J201,('Loading-truck'!$D$31:$D$48))*Impacts!$F$14,IF(('Loading-truck'!$C$21)&lt;&gt;"No control",SUMIF(('Loading-truck'!$B$31:$B$48),$J201,('Loading-truck'!$E$31:$E$48))*Impacts!$F$14,0)),0)</f>
        <v>0</v>
      </c>
      <c r="S201" s="10">
        <f>IFERROR(IF(('Loading-rail'!$C$21)="No control",SUMIF(('Loading-rail'!$B$31:$B$48),$J201,('Loading-rail'!$D$31:$D$48))*Impacts!$F$15,IF(('Loading-rail'!$C$21)&lt;&gt;"No control",SUMIF(('Loading-rail'!$B$31:$B$48),$J201,('Loading-rail'!$E$31:$E$48))*Impacts!$F$15,0)),0)</f>
        <v>0</v>
      </c>
      <c r="T201" s="10">
        <f>IF(Flare!$C$7="",0,(SUMIF(Flare!$B$46:$B$185,$J201,Flare!$E$46:$E$185)*Impacts!$F$16))</f>
        <v>0</v>
      </c>
      <c r="U201" s="10">
        <f>IF(VCU!$C$9="",0,(SUMIF(VCU!$B$51:$B$193,$J201,VCU!$E$51:$E$193)*Impacts!$F$17))</f>
        <v>0</v>
      </c>
      <c r="V201" s="10">
        <f>IF(CAS!$C$7="",0,(SUMIF(CAS!$B$31:$B$167,$J201,CAS!$E$31:$E$167)*Impacts!$F$18))</f>
        <v>0</v>
      </c>
      <c r="W201" s="10">
        <f t="shared" si="45"/>
        <v>0</v>
      </c>
      <c r="AK201" s="10" t="str">
        <f t="array" ref="AK201">IFERROR(INDEX(SelectedSpecies,SMALL(IF(SelectedSpecies=AK$1,ROW(SelectedSpecies)),ROW(202:202)),2),"")</f>
        <v/>
      </c>
      <c r="BE201" s="10"/>
      <c r="BI201" s="10"/>
    </row>
    <row r="202" spans="1:61" ht="21" customHeight="1" x14ac:dyDescent="0.25">
      <c r="A202" s="10"/>
      <c r="B202" s="16" t="s">
        <v>210</v>
      </c>
      <c r="C202" s="10">
        <v>100</v>
      </c>
      <c r="D202" s="10">
        <v>249</v>
      </c>
      <c r="E202" s="17">
        <v>249</v>
      </c>
      <c r="I202" s="436" t="s">
        <v>8108</v>
      </c>
      <c r="J202" s="26" t="s">
        <v>8107</v>
      </c>
      <c r="K202" s="10">
        <v>1.0000000000000002E-2</v>
      </c>
      <c r="L202" s="73">
        <f>IF(Tank1!$C$23="No control",(SUMIF(Tank1!$B$32:$B$49,$J202,Tank1!$C$32:$C$49)*Impacts!$F$8),0)</f>
        <v>0</v>
      </c>
      <c r="M202" s="10">
        <f>IF(Tank2!$C$23="No control",(SUMIF(Tank2!$B$32:$B$49,$J202,Tank2!$C$32:$C$49)*Impacts!$F$9),0)</f>
        <v>0</v>
      </c>
      <c r="N202" s="10">
        <f>IF(Tank3!$C$23="No control",(SUMIF(Tank3!$B$32:$B$49,$J202,Tank3!$C$32:$C$49)*Impacts!$F$10),0)</f>
        <v>0</v>
      </c>
      <c r="O202" s="10">
        <f>IF(Tank4!$C$23="No control",(SUMIF(Tank4!$B$32:$B$49,$J202,Tank4!$C$32:$C$49)*Impacts!$F$11),0)</f>
        <v>0</v>
      </c>
      <c r="P202" s="10">
        <f>IF(Tank5!$C$23="No control",(SUMIF(Tank5!$B$32:$B$49,$J202,Tank5!$C$32:$C$49)*Impacts!$F$12),0)</f>
        <v>0</v>
      </c>
      <c r="Q202" s="10">
        <f>IFERROR(IF(('Loading-drum,tote'!$C$21)="No control",SUMIF(('Loading-drum,tote'!$B$31:$B$48),$J202,('Loading-drum,tote'!$D$31:$D$48))*Impacts!$F$13,IF(('Loading-drum,tote'!$C$21)&lt;&gt;"No control",SUMIF(('Loading-drum,tote'!$B$31:$B$48),$J202,('Loading-drum,tote'!$E$31:$E$48))*Impacts!$F$13,0)),0)</f>
        <v>0</v>
      </c>
      <c r="R202" s="10">
        <f>IFERROR(IF(('Loading-truck'!$C$21)="No control",SUMIF(('Loading-truck'!$B$31:$B$48),$J202,('Loading-truck'!$D$31:$D$48))*Impacts!$F$14,IF(('Loading-truck'!$C$21)&lt;&gt;"No control",SUMIF(('Loading-truck'!$B$31:$B$48),$J202,('Loading-truck'!$E$31:$E$48))*Impacts!$F$14,0)),0)</f>
        <v>0</v>
      </c>
      <c r="S202" s="10">
        <f>IFERROR(IF(('Loading-rail'!$C$21)="No control",SUMIF(('Loading-rail'!$B$31:$B$48),$J202,('Loading-rail'!$D$31:$D$48))*Impacts!$F$15,IF(('Loading-rail'!$C$21)&lt;&gt;"No control",SUMIF(('Loading-rail'!$B$31:$B$48),$J202,('Loading-rail'!$E$31:$E$48))*Impacts!$F$15,0)),0)</f>
        <v>0</v>
      </c>
      <c r="T202" s="10">
        <f>IF(Flare!$C$7="",0,(SUMIF(Flare!$B$46:$B$185,$J202,Flare!$E$46:$E$185)*Impacts!$F$16))</f>
        <v>0</v>
      </c>
      <c r="U202" s="10">
        <f>IF(VCU!$C$9="",0,(SUMIF(VCU!$B$51:$B$193,$J202,VCU!$E$51:$E$193)*Impacts!$F$17))</f>
        <v>0</v>
      </c>
      <c r="V202" s="10">
        <f>IF(CAS!$C$7="",0,(SUMIF(CAS!$B$31:$B$167,$J202,CAS!$E$31:$E$167)*Impacts!$F$18))</f>
        <v>0</v>
      </c>
      <c r="W202" s="10">
        <f t="shared" si="45"/>
        <v>0</v>
      </c>
      <c r="AK202" s="10" t="str">
        <f t="array" ref="AK202">IFERROR(INDEX(SelectedSpecies,SMALL(IF(SelectedSpecies=AK$1,ROW(SelectedSpecies)),ROW(203:203)),2),"")</f>
        <v/>
      </c>
      <c r="BE202" s="10"/>
      <c r="BI202" s="10"/>
    </row>
    <row r="203" spans="1:61" ht="21" customHeight="1" x14ac:dyDescent="0.25">
      <c r="A203" s="10"/>
      <c r="B203" s="16" t="s">
        <v>211</v>
      </c>
      <c r="C203" s="10">
        <v>100</v>
      </c>
      <c r="D203" s="10">
        <v>249</v>
      </c>
      <c r="E203" s="17">
        <v>249</v>
      </c>
      <c r="I203" s="436" t="s">
        <v>930</v>
      </c>
      <c r="J203" s="26" t="s">
        <v>929</v>
      </c>
      <c r="K203" s="10">
        <v>43</v>
      </c>
      <c r="L203" s="73">
        <f>IF(Tank1!$C$23="No control",(SUMIF(Tank1!$B$32:$B$49,$J203,Tank1!$C$32:$C$49)*Impacts!$F$8),0)</f>
        <v>0</v>
      </c>
      <c r="M203" s="10">
        <f>IF(Tank2!$C$23="No control",(SUMIF(Tank2!$B$32:$B$49,$J203,Tank2!$C$32:$C$49)*Impacts!$F$9),0)</f>
        <v>0</v>
      </c>
      <c r="N203" s="10">
        <f>IF(Tank3!$C$23="No control",(SUMIF(Tank3!$B$32:$B$49,$J203,Tank3!$C$32:$C$49)*Impacts!$F$10),0)</f>
        <v>0</v>
      </c>
      <c r="O203" s="10">
        <f>IF(Tank4!$C$23="No control",(SUMIF(Tank4!$B$32:$B$49,$J203,Tank4!$C$32:$C$49)*Impacts!$F$11),0)</f>
        <v>0</v>
      </c>
      <c r="P203" s="10">
        <f>IF(Tank5!$C$23="No control",(SUMIF(Tank5!$B$32:$B$49,$J203,Tank5!$C$32:$C$49)*Impacts!$F$12),0)</f>
        <v>0</v>
      </c>
      <c r="Q203" s="10">
        <f>IFERROR(IF(('Loading-drum,tote'!$C$21)="No control",SUMIF(('Loading-drum,tote'!$B$31:$B$48),$J203,('Loading-drum,tote'!$D$31:$D$48))*Impacts!$F$13,IF(('Loading-drum,tote'!$C$21)&lt;&gt;"No control",SUMIF(('Loading-drum,tote'!$B$31:$B$48),$J203,('Loading-drum,tote'!$E$31:$E$48))*Impacts!$F$13,0)),0)</f>
        <v>0</v>
      </c>
      <c r="R203" s="10">
        <f>IFERROR(IF(('Loading-truck'!$C$21)="No control",SUMIF(('Loading-truck'!$B$31:$B$48),$J203,('Loading-truck'!$D$31:$D$48))*Impacts!$F$14,IF(('Loading-truck'!$C$21)&lt;&gt;"No control",SUMIF(('Loading-truck'!$B$31:$B$48),$J203,('Loading-truck'!$E$31:$E$48))*Impacts!$F$14,0)),0)</f>
        <v>0</v>
      </c>
      <c r="S203" s="10">
        <f>IFERROR(IF(('Loading-rail'!$C$21)="No control",SUMIF(('Loading-rail'!$B$31:$B$48),$J203,('Loading-rail'!$D$31:$D$48))*Impacts!$F$15,IF(('Loading-rail'!$C$21)&lt;&gt;"No control",SUMIF(('Loading-rail'!$B$31:$B$48),$J203,('Loading-rail'!$E$31:$E$48))*Impacts!$F$15,0)),0)</f>
        <v>0</v>
      </c>
      <c r="T203" s="10">
        <f>IF(Flare!$C$7="",0,(SUMIF(Flare!$B$46:$B$185,$J203,Flare!$E$46:$E$185)*Impacts!$F$16))</f>
        <v>0</v>
      </c>
      <c r="U203" s="10">
        <f>IF(VCU!$C$9="",0,(SUMIF(VCU!$B$51:$B$193,$J203,VCU!$E$51:$E$193)*Impacts!$F$17))</f>
        <v>0</v>
      </c>
      <c r="V203" s="10">
        <f>IF(CAS!$C$7="",0,(SUMIF(CAS!$B$31:$B$167,$J203,CAS!$E$31:$E$167)*Impacts!$F$18))</f>
        <v>0</v>
      </c>
      <c r="W203" s="10">
        <f t="shared" si="45"/>
        <v>0</v>
      </c>
      <c r="AK203" s="10" t="str">
        <f t="array" ref="AK203">IFERROR(INDEX(SelectedSpecies,SMALL(IF(SelectedSpecies=AK$1,ROW(SelectedSpecies)),ROW(204:204)),2),"")</f>
        <v/>
      </c>
      <c r="BE203" s="10"/>
      <c r="BI203" s="10"/>
    </row>
    <row r="204" spans="1:61" ht="21" customHeight="1" x14ac:dyDescent="0.25">
      <c r="A204" s="10"/>
      <c r="B204" s="16" t="s">
        <v>212</v>
      </c>
      <c r="C204" s="10">
        <v>100</v>
      </c>
      <c r="D204" s="10">
        <v>249</v>
      </c>
      <c r="E204" s="17">
        <v>249</v>
      </c>
      <c r="I204" s="436" t="s">
        <v>4431</v>
      </c>
      <c r="J204" s="26" t="s">
        <v>4430</v>
      </c>
      <c r="K204" s="10">
        <v>4.5</v>
      </c>
      <c r="L204" s="73">
        <f>IF(Tank1!$C$23="No control",(SUMIF(Tank1!$B$32:$B$49,$J204,Tank1!$C$32:$C$49)*Impacts!$F$8),0)</f>
        <v>0</v>
      </c>
      <c r="M204" s="10">
        <f>IF(Tank2!$C$23="No control",(SUMIF(Tank2!$B$32:$B$49,$J204,Tank2!$C$32:$C$49)*Impacts!$F$9),0)</f>
        <v>0</v>
      </c>
      <c r="N204" s="10">
        <f>IF(Tank3!$C$23="No control",(SUMIF(Tank3!$B$32:$B$49,$J204,Tank3!$C$32:$C$49)*Impacts!$F$10),0)</f>
        <v>0</v>
      </c>
      <c r="O204" s="10">
        <f>IF(Tank4!$C$23="No control",(SUMIF(Tank4!$B$32:$B$49,$J204,Tank4!$C$32:$C$49)*Impacts!$F$11),0)</f>
        <v>0</v>
      </c>
      <c r="P204" s="10">
        <f>IF(Tank5!$C$23="No control",(SUMIF(Tank5!$B$32:$B$49,$J204,Tank5!$C$32:$C$49)*Impacts!$F$12),0)</f>
        <v>0</v>
      </c>
      <c r="Q204" s="10">
        <f>IFERROR(IF(('Loading-drum,tote'!$C$21)="No control",SUMIF(('Loading-drum,tote'!$B$31:$B$48),$J204,('Loading-drum,tote'!$D$31:$D$48))*Impacts!$F$13,IF(('Loading-drum,tote'!$C$21)&lt;&gt;"No control",SUMIF(('Loading-drum,tote'!$B$31:$B$48),$J204,('Loading-drum,tote'!$E$31:$E$48))*Impacts!$F$13,0)),0)</f>
        <v>0</v>
      </c>
      <c r="R204" s="10">
        <f>IFERROR(IF(('Loading-truck'!$C$21)="No control",SUMIF(('Loading-truck'!$B$31:$B$48),$J204,('Loading-truck'!$D$31:$D$48))*Impacts!$F$14,IF(('Loading-truck'!$C$21)&lt;&gt;"No control",SUMIF(('Loading-truck'!$B$31:$B$48),$J204,('Loading-truck'!$E$31:$E$48))*Impacts!$F$14,0)),0)</f>
        <v>0</v>
      </c>
      <c r="S204" s="10">
        <f>IFERROR(IF(('Loading-rail'!$C$21)="No control",SUMIF(('Loading-rail'!$B$31:$B$48),$J204,('Loading-rail'!$D$31:$D$48))*Impacts!$F$15,IF(('Loading-rail'!$C$21)&lt;&gt;"No control",SUMIF(('Loading-rail'!$B$31:$B$48),$J204,('Loading-rail'!$E$31:$E$48))*Impacts!$F$15,0)),0)</f>
        <v>0</v>
      </c>
      <c r="T204" s="10">
        <f>IF(Flare!$C$7="",0,(SUMIF(Flare!$B$46:$B$185,$J204,Flare!$E$46:$E$185)*Impacts!$F$16))</f>
        <v>0</v>
      </c>
      <c r="U204" s="10">
        <f>IF(VCU!$C$9="",0,(SUMIF(VCU!$B$51:$B$193,$J204,VCU!$E$51:$E$193)*Impacts!$F$17))</f>
        <v>0</v>
      </c>
      <c r="V204" s="10">
        <f>IF(CAS!$C$7="",0,(SUMIF(CAS!$B$31:$B$167,$J204,CAS!$E$31:$E$167)*Impacts!$F$18))</f>
        <v>0</v>
      </c>
      <c r="W204" s="10">
        <f t="shared" si="45"/>
        <v>0</v>
      </c>
      <c r="AK204" s="10" t="str">
        <f t="array" ref="AK204">IFERROR(INDEX(SelectedSpecies,SMALL(IF(SelectedSpecies=AK$1,ROW(SelectedSpecies)),ROW(205:205)),2),"")</f>
        <v/>
      </c>
      <c r="BE204" s="10"/>
      <c r="BI204" s="10"/>
    </row>
    <row r="205" spans="1:61" ht="21" customHeight="1" x14ac:dyDescent="0.25">
      <c r="A205" s="10"/>
      <c r="B205" s="16" t="s">
        <v>213</v>
      </c>
      <c r="C205" s="10">
        <v>100</v>
      </c>
      <c r="D205" s="10">
        <v>249</v>
      </c>
      <c r="E205" s="17">
        <v>249</v>
      </c>
      <c r="I205" s="436" t="s">
        <v>4247</v>
      </c>
      <c r="J205" s="26" t="s">
        <v>4246</v>
      </c>
      <c r="K205" s="10">
        <v>5</v>
      </c>
      <c r="L205" s="73">
        <f>IF(Tank1!$C$23="No control",(SUMIF(Tank1!$B$32:$B$49,$J205,Tank1!$C$32:$C$49)*Impacts!$F$8),0)</f>
        <v>0</v>
      </c>
      <c r="M205" s="10">
        <f>IF(Tank2!$C$23="No control",(SUMIF(Tank2!$B$32:$B$49,$J205,Tank2!$C$32:$C$49)*Impacts!$F$9),0)</f>
        <v>0</v>
      </c>
      <c r="N205" s="10">
        <f>IF(Tank3!$C$23="No control",(SUMIF(Tank3!$B$32:$B$49,$J205,Tank3!$C$32:$C$49)*Impacts!$F$10),0)</f>
        <v>0</v>
      </c>
      <c r="O205" s="10">
        <f>IF(Tank4!$C$23="No control",(SUMIF(Tank4!$B$32:$B$49,$J205,Tank4!$C$32:$C$49)*Impacts!$F$11),0)</f>
        <v>0</v>
      </c>
      <c r="P205" s="10">
        <f>IF(Tank5!$C$23="No control",(SUMIF(Tank5!$B$32:$B$49,$J205,Tank5!$C$32:$C$49)*Impacts!$F$12),0)</f>
        <v>0</v>
      </c>
      <c r="Q205" s="10">
        <f>IFERROR(IF(('Loading-drum,tote'!$C$21)="No control",SUMIF(('Loading-drum,tote'!$B$31:$B$48),$J205,('Loading-drum,tote'!$D$31:$D$48))*Impacts!$F$13,IF(('Loading-drum,tote'!$C$21)&lt;&gt;"No control",SUMIF(('Loading-drum,tote'!$B$31:$B$48),$J205,('Loading-drum,tote'!$E$31:$E$48))*Impacts!$F$13,0)),0)</f>
        <v>0</v>
      </c>
      <c r="R205" s="10">
        <f>IFERROR(IF(('Loading-truck'!$C$21)="No control",SUMIF(('Loading-truck'!$B$31:$B$48),$J205,('Loading-truck'!$D$31:$D$48))*Impacts!$F$14,IF(('Loading-truck'!$C$21)&lt;&gt;"No control",SUMIF(('Loading-truck'!$B$31:$B$48),$J205,('Loading-truck'!$E$31:$E$48))*Impacts!$F$14,0)),0)</f>
        <v>0</v>
      </c>
      <c r="S205" s="10">
        <f>IFERROR(IF(('Loading-rail'!$C$21)="No control",SUMIF(('Loading-rail'!$B$31:$B$48),$J205,('Loading-rail'!$D$31:$D$48))*Impacts!$F$15,IF(('Loading-rail'!$C$21)&lt;&gt;"No control",SUMIF(('Loading-rail'!$B$31:$B$48),$J205,('Loading-rail'!$E$31:$E$48))*Impacts!$F$15,0)),0)</f>
        <v>0</v>
      </c>
      <c r="T205" s="10">
        <f>IF(Flare!$C$7="",0,(SUMIF(Flare!$B$46:$B$185,$J205,Flare!$E$46:$E$185)*Impacts!$F$16))</f>
        <v>0</v>
      </c>
      <c r="U205" s="10">
        <f>IF(VCU!$C$9="",0,(SUMIF(VCU!$B$51:$B$193,$J205,VCU!$E$51:$E$193)*Impacts!$F$17))</f>
        <v>0</v>
      </c>
      <c r="V205" s="10">
        <f>IF(CAS!$C$7="",0,(SUMIF(CAS!$B$31:$B$167,$J205,CAS!$E$31:$E$167)*Impacts!$F$18))</f>
        <v>0</v>
      </c>
      <c r="W205" s="10">
        <f t="shared" si="45"/>
        <v>0</v>
      </c>
      <c r="AK205" s="10" t="str">
        <f t="array" ref="AK205">IFERROR(INDEX(SelectedSpecies,SMALL(IF(SelectedSpecies=AK$1,ROW(SelectedSpecies)),ROW(206:206)),2),"")</f>
        <v/>
      </c>
      <c r="BE205" s="10"/>
      <c r="BI205" s="10"/>
    </row>
    <row r="206" spans="1:61" ht="21" customHeight="1" x14ac:dyDescent="0.25">
      <c r="A206" s="10"/>
      <c r="B206" s="16" t="s">
        <v>214</v>
      </c>
      <c r="C206" s="10">
        <v>100</v>
      </c>
      <c r="D206" s="10">
        <v>249</v>
      </c>
      <c r="E206" s="17">
        <v>249</v>
      </c>
      <c r="I206" s="436" t="s">
        <v>6608</v>
      </c>
      <c r="J206" s="26" t="s">
        <v>6607</v>
      </c>
      <c r="K206" s="10">
        <v>0.60000000000000009</v>
      </c>
      <c r="L206" s="73">
        <f>IF(Tank1!$C$23="No control",(SUMIF(Tank1!$B$32:$B$49,$J206,Tank1!$C$32:$C$49)*Impacts!$F$8),0)</f>
        <v>0</v>
      </c>
      <c r="M206" s="10">
        <f>IF(Tank2!$C$23="No control",(SUMIF(Tank2!$B$32:$B$49,$J206,Tank2!$C$32:$C$49)*Impacts!$F$9),0)</f>
        <v>0</v>
      </c>
      <c r="N206" s="10">
        <f>IF(Tank3!$C$23="No control",(SUMIF(Tank3!$B$32:$B$49,$J206,Tank3!$C$32:$C$49)*Impacts!$F$10),0)</f>
        <v>0</v>
      </c>
      <c r="O206" s="10">
        <f>IF(Tank4!$C$23="No control",(SUMIF(Tank4!$B$32:$B$49,$J206,Tank4!$C$32:$C$49)*Impacts!$F$11),0)</f>
        <v>0</v>
      </c>
      <c r="P206" s="10">
        <f>IF(Tank5!$C$23="No control",(SUMIF(Tank5!$B$32:$B$49,$J206,Tank5!$C$32:$C$49)*Impacts!$F$12),0)</f>
        <v>0</v>
      </c>
      <c r="Q206" s="10">
        <f>IFERROR(IF(('Loading-drum,tote'!$C$21)="No control",SUMIF(('Loading-drum,tote'!$B$31:$B$48),$J206,('Loading-drum,tote'!$D$31:$D$48))*Impacts!$F$13,IF(('Loading-drum,tote'!$C$21)&lt;&gt;"No control",SUMIF(('Loading-drum,tote'!$B$31:$B$48),$J206,('Loading-drum,tote'!$E$31:$E$48))*Impacts!$F$13,0)),0)</f>
        <v>0</v>
      </c>
      <c r="R206" s="10">
        <f>IFERROR(IF(('Loading-truck'!$C$21)="No control",SUMIF(('Loading-truck'!$B$31:$B$48),$J206,('Loading-truck'!$D$31:$D$48))*Impacts!$F$14,IF(('Loading-truck'!$C$21)&lt;&gt;"No control",SUMIF(('Loading-truck'!$B$31:$B$48),$J206,('Loading-truck'!$E$31:$E$48))*Impacts!$F$14,0)),0)</f>
        <v>0</v>
      </c>
      <c r="S206" s="10">
        <f>IFERROR(IF(('Loading-rail'!$C$21)="No control",SUMIF(('Loading-rail'!$B$31:$B$48),$J206,('Loading-rail'!$D$31:$D$48))*Impacts!$F$15,IF(('Loading-rail'!$C$21)&lt;&gt;"No control",SUMIF(('Loading-rail'!$B$31:$B$48),$J206,('Loading-rail'!$E$31:$E$48))*Impacts!$F$15,0)),0)</f>
        <v>0</v>
      </c>
      <c r="T206" s="10">
        <f>IF(Flare!$C$7="",0,(SUMIF(Flare!$B$46:$B$185,$J206,Flare!$E$46:$E$185)*Impacts!$F$16))</f>
        <v>0</v>
      </c>
      <c r="U206" s="10">
        <f>IF(VCU!$C$9="",0,(SUMIF(VCU!$B$51:$B$193,$J206,VCU!$E$51:$E$193)*Impacts!$F$17))</f>
        <v>0</v>
      </c>
      <c r="V206" s="10">
        <f>IF(CAS!$C$7="",0,(SUMIF(CAS!$B$31:$B$167,$J206,CAS!$E$31:$E$167)*Impacts!$F$18))</f>
        <v>0</v>
      </c>
      <c r="W206" s="10">
        <f t="shared" si="45"/>
        <v>0</v>
      </c>
      <c r="AK206" s="10" t="str">
        <f t="array" ref="AK206">IFERROR(INDEX(SelectedSpecies,SMALL(IF(SelectedSpecies=AK$1,ROW(SelectedSpecies)),ROW(207:207)),2),"")</f>
        <v/>
      </c>
      <c r="BE206" s="10"/>
      <c r="BI206" s="10"/>
    </row>
    <row r="207" spans="1:61" ht="21" customHeight="1" x14ac:dyDescent="0.25">
      <c r="A207" s="10"/>
      <c r="B207" s="16" t="s">
        <v>215</v>
      </c>
      <c r="C207" s="10">
        <v>100</v>
      </c>
      <c r="D207" s="10">
        <v>249</v>
      </c>
      <c r="E207" s="17">
        <v>249</v>
      </c>
      <c r="I207" s="436" t="s">
        <v>1520</v>
      </c>
      <c r="J207" s="26" t="s">
        <v>1519</v>
      </c>
      <c r="K207" s="10">
        <v>27</v>
      </c>
      <c r="L207" s="73">
        <f>IF(Tank1!$C$23="No control",(SUMIF(Tank1!$B$32:$B$49,$J207,Tank1!$C$32:$C$49)*Impacts!$F$8),0)</f>
        <v>0</v>
      </c>
      <c r="M207" s="10">
        <f>IF(Tank2!$C$23="No control",(SUMIF(Tank2!$B$32:$B$49,$J207,Tank2!$C$32:$C$49)*Impacts!$F$9),0)</f>
        <v>0</v>
      </c>
      <c r="N207" s="10">
        <f>IF(Tank3!$C$23="No control",(SUMIF(Tank3!$B$32:$B$49,$J207,Tank3!$C$32:$C$49)*Impacts!$F$10),0)</f>
        <v>0</v>
      </c>
      <c r="O207" s="10">
        <f>IF(Tank4!$C$23="No control",(SUMIF(Tank4!$B$32:$B$49,$J207,Tank4!$C$32:$C$49)*Impacts!$F$11),0)</f>
        <v>0</v>
      </c>
      <c r="P207" s="10">
        <f>IF(Tank5!$C$23="No control",(SUMIF(Tank5!$B$32:$B$49,$J207,Tank5!$C$32:$C$49)*Impacts!$F$12),0)</f>
        <v>0</v>
      </c>
      <c r="Q207" s="10">
        <f>IFERROR(IF(('Loading-drum,tote'!$C$21)="No control",SUMIF(('Loading-drum,tote'!$B$31:$B$48),$J207,('Loading-drum,tote'!$D$31:$D$48))*Impacts!$F$13,IF(('Loading-drum,tote'!$C$21)&lt;&gt;"No control",SUMIF(('Loading-drum,tote'!$B$31:$B$48),$J207,('Loading-drum,tote'!$E$31:$E$48))*Impacts!$F$13,0)),0)</f>
        <v>0</v>
      </c>
      <c r="R207" s="10">
        <f>IFERROR(IF(('Loading-truck'!$C$21)="No control",SUMIF(('Loading-truck'!$B$31:$B$48),$J207,('Loading-truck'!$D$31:$D$48))*Impacts!$F$14,IF(('Loading-truck'!$C$21)&lt;&gt;"No control",SUMIF(('Loading-truck'!$B$31:$B$48),$J207,('Loading-truck'!$E$31:$E$48))*Impacts!$F$14,0)),0)</f>
        <v>0</v>
      </c>
      <c r="S207" s="10">
        <f>IFERROR(IF(('Loading-rail'!$C$21)="No control",SUMIF(('Loading-rail'!$B$31:$B$48),$J207,('Loading-rail'!$D$31:$D$48))*Impacts!$F$15,IF(('Loading-rail'!$C$21)&lt;&gt;"No control",SUMIF(('Loading-rail'!$B$31:$B$48),$J207,('Loading-rail'!$E$31:$E$48))*Impacts!$F$15,0)),0)</f>
        <v>0</v>
      </c>
      <c r="T207" s="10">
        <f>IF(Flare!$C$7="",0,(SUMIF(Flare!$B$46:$B$185,$J207,Flare!$E$46:$E$185)*Impacts!$F$16))</f>
        <v>0</v>
      </c>
      <c r="U207" s="10">
        <f>IF(VCU!$C$9="",0,(SUMIF(VCU!$B$51:$B$193,$J207,VCU!$E$51:$E$193)*Impacts!$F$17))</f>
        <v>0</v>
      </c>
      <c r="V207" s="10">
        <f>IF(CAS!$C$7="",0,(SUMIF(CAS!$B$31:$B$167,$J207,CAS!$E$31:$E$167)*Impacts!$F$18))</f>
        <v>0</v>
      </c>
      <c r="W207" s="10">
        <f t="shared" si="45"/>
        <v>0</v>
      </c>
      <c r="AK207" s="10" t="str">
        <f t="array" ref="AK207">IFERROR(INDEX(SelectedSpecies,SMALL(IF(SelectedSpecies=AK$1,ROW(SelectedSpecies)),ROW(208:208)),2),"")</f>
        <v/>
      </c>
      <c r="BE207" s="10"/>
      <c r="BI207" s="10"/>
    </row>
    <row r="208" spans="1:61" ht="21" customHeight="1" x14ac:dyDescent="0.25">
      <c r="A208" s="10"/>
      <c r="B208" s="16" t="s">
        <v>216</v>
      </c>
      <c r="C208" s="10">
        <v>100</v>
      </c>
      <c r="D208" s="10">
        <v>249</v>
      </c>
      <c r="E208" s="17">
        <v>249</v>
      </c>
      <c r="I208" s="436" t="s">
        <v>976</v>
      </c>
      <c r="J208" s="26" t="s">
        <v>975</v>
      </c>
      <c r="K208" s="10">
        <v>35</v>
      </c>
      <c r="L208" s="73">
        <f>IF(Tank1!$C$23="No control",(SUMIF(Tank1!$B$32:$B$49,$J208,Tank1!$C$32:$C$49)*Impacts!$F$8),0)</f>
        <v>0</v>
      </c>
      <c r="M208" s="10">
        <f>IF(Tank2!$C$23="No control",(SUMIF(Tank2!$B$32:$B$49,$J208,Tank2!$C$32:$C$49)*Impacts!$F$9),0)</f>
        <v>0</v>
      </c>
      <c r="N208" s="10">
        <f>IF(Tank3!$C$23="No control",(SUMIF(Tank3!$B$32:$B$49,$J208,Tank3!$C$32:$C$49)*Impacts!$F$10),0)</f>
        <v>0</v>
      </c>
      <c r="O208" s="10">
        <f>IF(Tank4!$C$23="No control",(SUMIF(Tank4!$B$32:$B$49,$J208,Tank4!$C$32:$C$49)*Impacts!$F$11),0)</f>
        <v>0</v>
      </c>
      <c r="P208" s="10">
        <f>IF(Tank5!$C$23="No control",(SUMIF(Tank5!$B$32:$B$49,$J208,Tank5!$C$32:$C$49)*Impacts!$F$12),0)</f>
        <v>0</v>
      </c>
      <c r="Q208" s="10">
        <f>IFERROR(IF(('Loading-drum,tote'!$C$21)="No control",SUMIF(('Loading-drum,tote'!$B$31:$B$48),$J208,('Loading-drum,tote'!$D$31:$D$48))*Impacts!$F$13,IF(('Loading-drum,tote'!$C$21)&lt;&gt;"No control",SUMIF(('Loading-drum,tote'!$B$31:$B$48),$J208,('Loading-drum,tote'!$E$31:$E$48))*Impacts!$F$13,0)),0)</f>
        <v>0</v>
      </c>
      <c r="R208" s="10">
        <f>IFERROR(IF(('Loading-truck'!$C$21)="No control",SUMIF(('Loading-truck'!$B$31:$B$48),$J208,('Loading-truck'!$D$31:$D$48))*Impacts!$F$14,IF(('Loading-truck'!$C$21)&lt;&gt;"No control",SUMIF(('Loading-truck'!$B$31:$B$48),$J208,('Loading-truck'!$E$31:$E$48))*Impacts!$F$14,0)),0)</f>
        <v>0</v>
      </c>
      <c r="S208" s="10">
        <f>IFERROR(IF(('Loading-rail'!$C$21)="No control",SUMIF(('Loading-rail'!$B$31:$B$48),$J208,('Loading-rail'!$D$31:$D$48))*Impacts!$F$15,IF(('Loading-rail'!$C$21)&lt;&gt;"No control",SUMIF(('Loading-rail'!$B$31:$B$48),$J208,('Loading-rail'!$E$31:$E$48))*Impacts!$F$15,0)),0)</f>
        <v>0</v>
      </c>
      <c r="T208" s="10">
        <f>IF(Flare!$C$7="",0,(SUMIF(Flare!$B$46:$B$185,$J208,Flare!$E$46:$E$185)*Impacts!$F$16))</f>
        <v>0</v>
      </c>
      <c r="U208" s="10">
        <f>IF(VCU!$C$9="",0,(SUMIF(VCU!$B$51:$B$193,$J208,VCU!$E$51:$E$193)*Impacts!$F$17))</f>
        <v>0</v>
      </c>
      <c r="V208" s="10">
        <f>IF(CAS!$C$7="",0,(SUMIF(CAS!$B$31:$B$167,$J208,CAS!$E$31:$E$167)*Impacts!$F$18))</f>
        <v>0</v>
      </c>
      <c r="W208" s="10">
        <f t="shared" si="45"/>
        <v>0</v>
      </c>
      <c r="AK208" s="10" t="str">
        <f t="array" ref="AK208">IFERROR(INDEX(SelectedSpecies,SMALL(IF(SelectedSpecies=AK$1,ROW(SelectedSpecies)),ROW(209:209)),2),"")</f>
        <v/>
      </c>
      <c r="BE208" s="10"/>
      <c r="BI208" s="10"/>
    </row>
    <row r="209" spans="1:61" ht="21" customHeight="1" x14ac:dyDescent="0.25">
      <c r="A209" s="10"/>
      <c r="B209" s="16" t="s">
        <v>217</v>
      </c>
      <c r="C209" s="10">
        <v>100</v>
      </c>
      <c r="D209" s="10">
        <v>249</v>
      </c>
      <c r="E209" s="17">
        <v>249</v>
      </c>
      <c r="I209" s="436" t="s">
        <v>1819</v>
      </c>
      <c r="J209" s="26" t="s">
        <v>1818</v>
      </c>
      <c r="K209" s="10">
        <v>20</v>
      </c>
      <c r="L209" s="73">
        <f>IF(Tank1!$C$23="No control",(SUMIF(Tank1!$B$32:$B$49,$J209,Tank1!$C$32:$C$49)*Impacts!$F$8),0)</f>
        <v>0</v>
      </c>
      <c r="M209" s="10">
        <f>IF(Tank2!$C$23="No control",(SUMIF(Tank2!$B$32:$B$49,$J209,Tank2!$C$32:$C$49)*Impacts!$F$9),0)</f>
        <v>0</v>
      </c>
      <c r="N209" s="10">
        <f>IF(Tank3!$C$23="No control",(SUMIF(Tank3!$B$32:$B$49,$J209,Tank3!$C$32:$C$49)*Impacts!$F$10),0)</f>
        <v>0</v>
      </c>
      <c r="O209" s="10">
        <f>IF(Tank4!$C$23="No control",(SUMIF(Tank4!$B$32:$B$49,$J209,Tank4!$C$32:$C$49)*Impacts!$F$11),0)</f>
        <v>0</v>
      </c>
      <c r="P209" s="10">
        <f>IF(Tank5!$C$23="No control",(SUMIF(Tank5!$B$32:$B$49,$J209,Tank5!$C$32:$C$49)*Impacts!$F$12),0)</f>
        <v>0</v>
      </c>
      <c r="Q209" s="10">
        <f>IFERROR(IF(('Loading-drum,tote'!$C$21)="No control",SUMIF(('Loading-drum,tote'!$B$31:$B$48),$J209,('Loading-drum,tote'!$D$31:$D$48))*Impacts!$F$13,IF(('Loading-drum,tote'!$C$21)&lt;&gt;"No control",SUMIF(('Loading-drum,tote'!$B$31:$B$48),$J209,('Loading-drum,tote'!$E$31:$E$48))*Impacts!$F$13,0)),0)</f>
        <v>0</v>
      </c>
      <c r="R209" s="10">
        <f>IFERROR(IF(('Loading-truck'!$C$21)="No control",SUMIF(('Loading-truck'!$B$31:$B$48),$J209,('Loading-truck'!$D$31:$D$48))*Impacts!$F$14,IF(('Loading-truck'!$C$21)&lt;&gt;"No control",SUMIF(('Loading-truck'!$B$31:$B$48),$J209,('Loading-truck'!$E$31:$E$48))*Impacts!$F$14,0)),0)</f>
        <v>0</v>
      </c>
      <c r="S209" s="10">
        <f>IFERROR(IF(('Loading-rail'!$C$21)="No control",SUMIF(('Loading-rail'!$B$31:$B$48),$J209,('Loading-rail'!$D$31:$D$48))*Impacts!$F$15,IF(('Loading-rail'!$C$21)&lt;&gt;"No control",SUMIF(('Loading-rail'!$B$31:$B$48),$J209,('Loading-rail'!$E$31:$E$48))*Impacts!$F$15,0)),0)</f>
        <v>0</v>
      </c>
      <c r="T209" s="10">
        <f>IF(Flare!$C$7="",0,(SUMIF(Flare!$B$46:$B$185,$J209,Flare!$E$46:$E$185)*Impacts!$F$16))</f>
        <v>0</v>
      </c>
      <c r="U209" s="10">
        <f>IF(VCU!$C$9="",0,(SUMIF(VCU!$B$51:$B$193,$J209,VCU!$E$51:$E$193)*Impacts!$F$17))</f>
        <v>0</v>
      </c>
      <c r="V209" s="10">
        <f>IF(CAS!$C$7="",0,(SUMIF(CAS!$B$31:$B$167,$J209,CAS!$E$31:$E$167)*Impacts!$F$18))</f>
        <v>0</v>
      </c>
      <c r="W209" s="10">
        <f t="shared" si="45"/>
        <v>0</v>
      </c>
      <c r="AK209" s="10" t="str">
        <f t="array" ref="AK209">IFERROR(INDEX(SelectedSpecies,SMALL(IF(SelectedSpecies=AK$1,ROW(SelectedSpecies)),ROW(210:210)),2),"")</f>
        <v/>
      </c>
      <c r="BE209" s="10"/>
      <c r="BI209" s="10"/>
    </row>
    <row r="210" spans="1:61" ht="21" customHeight="1" x14ac:dyDescent="0.25">
      <c r="A210" s="10"/>
      <c r="B210" s="16" t="s">
        <v>218</v>
      </c>
      <c r="C210" s="10">
        <v>100</v>
      </c>
      <c r="D210" s="10">
        <v>249</v>
      </c>
      <c r="E210" s="17">
        <v>249</v>
      </c>
      <c r="I210" s="436" t="s">
        <v>4747</v>
      </c>
      <c r="J210" s="26" t="s">
        <v>4746</v>
      </c>
      <c r="K210" s="10">
        <v>3.4000000000000004</v>
      </c>
      <c r="L210" s="73">
        <f>IF(Tank1!$C$23="No control",(SUMIF(Tank1!$B$32:$B$49,$J210,Tank1!$C$32:$C$49)*Impacts!$F$8),0)</f>
        <v>0</v>
      </c>
      <c r="M210" s="10">
        <f>IF(Tank2!$C$23="No control",(SUMIF(Tank2!$B$32:$B$49,$J210,Tank2!$C$32:$C$49)*Impacts!$F$9),0)</f>
        <v>0</v>
      </c>
      <c r="N210" s="10">
        <f>IF(Tank3!$C$23="No control",(SUMIF(Tank3!$B$32:$B$49,$J210,Tank3!$C$32:$C$49)*Impacts!$F$10),0)</f>
        <v>0</v>
      </c>
      <c r="O210" s="10">
        <f>IF(Tank4!$C$23="No control",(SUMIF(Tank4!$B$32:$B$49,$J210,Tank4!$C$32:$C$49)*Impacts!$F$11),0)</f>
        <v>0</v>
      </c>
      <c r="P210" s="10">
        <f>IF(Tank5!$C$23="No control",(SUMIF(Tank5!$B$32:$B$49,$J210,Tank5!$C$32:$C$49)*Impacts!$F$12),0)</f>
        <v>0</v>
      </c>
      <c r="Q210" s="10">
        <f>IFERROR(IF(('Loading-drum,tote'!$C$21)="No control",SUMIF(('Loading-drum,tote'!$B$31:$B$48),$J210,('Loading-drum,tote'!$D$31:$D$48))*Impacts!$F$13,IF(('Loading-drum,tote'!$C$21)&lt;&gt;"No control",SUMIF(('Loading-drum,tote'!$B$31:$B$48),$J210,('Loading-drum,tote'!$E$31:$E$48))*Impacts!$F$13,0)),0)</f>
        <v>0</v>
      </c>
      <c r="R210" s="10">
        <f>IFERROR(IF(('Loading-truck'!$C$21)="No control",SUMIF(('Loading-truck'!$B$31:$B$48),$J210,('Loading-truck'!$D$31:$D$48))*Impacts!$F$14,IF(('Loading-truck'!$C$21)&lt;&gt;"No control",SUMIF(('Loading-truck'!$B$31:$B$48),$J210,('Loading-truck'!$E$31:$E$48))*Impacts!$F$14,0)),0)</f>
        <v>0</v>
      </c>
      <c r="S210" s="10">
        <f>IFERROR(IF(('Loading-rail'!$C$21)="No control",SUMIF(('Loading-rail'!$B$31:$B$48),$J210,('Loading-rail'!$D$31:$D$48))*Impacts!$F$15,IF(('Loading-rail'!$C$21)&lt;&gt;"No control",SUMIF(('Loading-rail'!$B$31:$B$48),$J210,('Loading-rail'!$E$31:$E$48))*Impacts!$F$15,0)),0)</f>
        <v>0</v>
      </c>
      <c r="T210" s="10">
        <f>IF(Flare!$C$7="",0,(SUMIF(Flare!$B$46:$B$185,$J210,Flare!$E$46:$E$185)*Impacts!$F$16))</f>
        <v>0</v>
      </c>
      <c r="U210" s="10">
        <f>IF(VCU!$C$9="",0,(SUMIF(VCU!$B$51:$B$193,$J210,VCU!$E$51:$E$193)*Impacts!$F$17))</f>
        <v>0</v>
      </c>
      <c r="V210" s="10">
        <f>IF(CAS!$C$7="",0,(SUMIF(CAS!$B$31:$B$167,$J210,CAS!$E$31:$E$167)*Impacts!$F$18))</f>
        <v>0</v>
      </c>
      <c r="W210" s="10">
        <f t="shared" si="45"/>
        <v>0</v>
      </c>
      <c r="AK210" s="10" t="str">
        <f t="array" ref="AK210">IFERROR(INDEX(SelectedSpecies,SMALL(IF(SelectedSpecies=AK$1,ROW(SelectedSpecies)),ROW(211:211)),2),"")</f>
        <v/>
      </c>
      <c r="BE210" s="10"/>
      <c r="BI210" s="10"/>
    </row>
    <row r="211" spans="1:61" ht="21" customHeight="1" x14ac:dyDescent="0.25">
      <c r="A211" s="10"/>
      <c r="B211" s="16" t="s">
        <v>219</v>
      </c>
      <c r="C211" s="10">
        <v>100</v>
      </c>
      <c r="D211" s="10">
        <v>249</v>
      </c>
      <c r="E211" s="17">
        <v>249</v>
      </c>
      <c r="I211" s="436" t="s">
        <v>5668</v>
      </c>
      <c r="J211" s="26" t="s">
        <v>5667</v>
      </c>
      <c r="K211" s="10">
        <v>1</v>
      </c>
      <c r="L211" s="73">
        <f>IF(Tank1!$C$23="No control",(SUMIF(Tank1!$B$32:$B$49,$J211,Tank1!$C$32:$C$49)*Impacts!$F$8),0)</f>
        <v>0</v>
      </c>
      <c r="M211" s="10">
        <f>IF(Tank2!$C$23="No control",(SUMIF(Tank2!$B$32:$B$49,$J211,Tank2!$C$32:$C$49)*Impacts!$F$9),0)</f>
        <v>0</v>
      </c>
      <c r="N211" s="10">
        <f>IF(Tank3!$C$23="No control",(SUMIF(Tank3!$B$32:$B$49,$J211,Tank3!$C$32:$C$49)*Impacts!$F$10),0)</f>
        <v>0</v>
      </c>
      <c r="O211" s="10">
        <f>IF(Tank4!$C$23="No control",(SUMIF(Tank4!$B$32:$B$49,$J211,Tank4!$C$32:$C$49)*Impacts!$F$11),0)</f>
        <v>0</v>
      </c>
      <c r="P211" s="10">
        <f>IF(Tank5!$C$23="No control",(SUMIF(Tank5!$B$32:$B$49,$J211,Tank5!$C$32:$C$49)*Impacts!$F$12),0)</f>
        <v>0</v>
      </c>
      <c r="Q211" s="10">
        <f>IFERROR(IF(('Loading-drum,tote'!$C$21)="No control",SUMIF(('Loading-drum,tote'!$B$31:$B$48),$J211,('Loading-drum,tote'!$D$31:$D$48))*Impacts!$F$13,IF(('Loading-drum,tote'!$C$21)&lt;&gt;"No control",SUMIF(('Loading-drum,tote'!$B$31:$B$48),$J211,('Loading-drum,tote'!$E$31:$E$48))*Impacts!$F$13,0)),0)</f>
        <v>0</v>
      </c>
      <c r="R211" s="10">
        <f>IFERROR(IF(('Loading-truck'!$C$21)="No control",SUMIF(('Loading-truck'!$B$31:$B$48),$J211,('Loading-truck'!$D$31:$D$48))*Impacts!$F$14,IF(('Loading-truck'!$C$21)&lt;&gt;"No control",SUMIF(('Loading-truck'!$B$31:$B$48),$J211,('Loading-truck'!$E$31:$E$48))*Impacts!$F$14,0)),0)</f>
        <v>0</v>
      </c>
      <c r="S211" s="10">
        <f>IFERROR(IF(('Loading-rail'!$C$21)="No control",SUMIF(('Loading-rail'!$B$31:$B$48),$J211,('Loading-rail'!$D$31:$D$48))*Impacts!$F$15,IF(('Loading-rail'!$C$21)&lt;&gt;"No control",SUMIF(('Loading-rail'!$B$31:$B$48),$J211,('Loading-rail'!$E$31:$E$48))*Impacts!$F$15,0)),0)</f>
        <v>0</v>
      </c>
      <c r="T211" s="10">
        <f>IF(Flare!$C$7="",0,(SUMIF(Flare!$B$46:$B$185,$J211,Flare!$E$46:$E$185)*Impacts!$F$16))</f>
        <v>0</v>
      </c>
      <c r="U211" s="10">
        <f>IF(VCU!$C$9="",0,(SUMIF(VCU!$B$51:$B$193,$J211,VCU!$E$51:$E$193)*Impacts!$F$17))</f>
        <v>0</v>
      </c>
      <c r="V211" s="10">
        <f>IF(CAS!$C$7="",0,(SUMIF(CAS!$B$31:$B$167,$J211,CAS!$E$31:$E$167)*Impacts!$F$18))</f>
        <v>0</v>
      </c>
      <c r="W211" s="10">
        <f t="shared" si="45"/>
        <v>0</v>
      </c>
      <c r="AK211" s="10" t="str">
        <f t="array" ref="AK211">IFERROR(INDEX(SelectedSpecies,SMALL(IF(SelectedSpecies=AK$1,ROW(SelectedSpecies)),ROW(212:212)),2),"")</f>
        <v/>
      </c>
      <c r="BE211" s="10"/>
      <c r="BI211" s="10"/>
    </row>
    <row r="212" spans="1:61" ht="21" customHeight="1" x14ac:dyDescent="0.25">
      <c r="A212" s="10"/>
      <c r="B212" s="16" t="s">
        <v>220</v>
      </c>
      <c r="C212" s="10">
        <v>100</v>
      </c>
      <c r="D212" s="10">
        <v>249</v>
      </c>
      <c r="E212" s="17">
        <v>249</v>
      </c>
      <c r="I212" s="436" t="s">
        <v>4155</v>
      </c>
      <c r="J212" s="26" t="s">
        <v>4154</v>
      </c>
      <c r="K212" s="10">
        <v>5</v>
      </c>
      <c r="L212" s="73">
        <f>IF(Tank1!$C$23="No control",(SUMIF(Tank1!$B$32:$B$49,$J212,Tank1!$C$32:$C$49)*Impacts!$F$8),0)</f>
        <v>0</v>
      </c>
      <c r="M212" s="10">
        <f>IF(Tank2!$C$23="No control",(SUMIF(Tank2!$B$32:$B$49,$J212,Tank2!$C$32:$C$49)*Impacts!$F$9),0)</f>
        <v>0</v>
      </c>
      <c r="N212" s="10">
        <f>IF(Tank3!$C$23="No control",(SUMIF(Tank3!$B$32:$B$49,$J212,Tank3!$C$32:$C$49)*Impacts!$F$10),0)</f>
        <v>0</v>
      </c>
      <c r="O212" s="10">
        <f>IF(Tank4!$C$23="No control",(SUMIF(Tank4!$B$32:$B$49,$J212,Tank4!$C$32:$C$49)*Impacts!$F$11),0)</f>
        <v>0</v>
      </c>
      <c r="P212" s="10">
        <f>IF(Tank5!$C$23="No control",(SUMIF(Tank5!$B$32:$B$49,$J212,Tank5!$C$32:$C$49)*Impacts!$F$12),0)</f>
        <v>0</v>
      </c>
      <c r="Q212" s="10">
        <f>IFERROR(IF(('Loading-drum,tote'!$C$21)="No control",SUMIF(('Loading-drum,tote'!$B$31:$B$48),$J212,('Loading-drum,tote'!$D$31:$D$48))*Impacts!$F$13,IF(('Loading-drum,tote'!$C$21)&lt;&gt;"No control",SUMIF(('Loading-drum,tote'!$B$31:$B$48),$J212,('Loading-drum,tote'!$E$31:$E$48))*Impacts!$F$13,0)),0)</f>
        <v>0</v>
      </c>
      <c r="R212" s="10">
        <f>IFERROR(IF(('Loading-truck'!$C$21)="No control",SUMIF(('Loading-truck'!$B$31:$B$48),$J212,('Loading-truck'!$D$31:$D$48))*Impacts!$F$14,IF(('Loading-truck'!$C$21)&lt;&gt;"No control",SUMIF(('Loading-truck'!$B$31:$B$48),$J212,('Loading-truck'!$E$31:$E$48))*Impacts!$F$14,0)),0)</f>
        <v>0</v>
      </c>
      <c r="S212" s="10">
        <f>IFERROR(IF(('Loading-rail'!$C$21)="No control",SUMIF(('Loading-rail'!$B$31:$B$48),$J212,('Loading-rail'!$D$31:$D$48))*Impacts!$F$15,IF(('Loading-rail'!$C$21)&lt;&gt;"No control",SUMIF(('Loading-rail'!$B$31:$B$48),$J212,('Loading-rail'!$E$31:$E$48))*Impacts!$F$15,0)),0)</f>
        <v>0</v>
      </c>
      <c r="T212" s="10">
        <f>IF(Flare!$C$7="",0,(SUMIF(Flare!$B$46:$B$185,$J212,Flare!$E$46:$E$185)*Impacts!$F$16))</f>
        <v>0</v>
      </c>
      <c r="U212" s="10">
        <f>IF(VCU!$C$9="",0,(SUMIF(VCU!$B$51:$B$193,$J212,VCU!$E$51:$E$193)*Impacts!$F$17))</f>
        <v>0</v>
      </c>
      <c r="V212" s="10">
        <f>IF(CAS!$C$7="",0,(SUMIF(CAS!$B$31:$B$167,$J212,CAS!$E$31:$E$167)*Impacts!$F$18))</f>
        <v>0</v>
      </c>
      <c r="W212" s="10">
        <f t="shared" si="45"/>
        <v>0</v>
      </c>
      <c r="AK212" s="10" t="str">
        <f t="array" ref="AK212">IFERROR(INDEX(SelectedSpecies,SMALL(IF(SelectedSpecies=AK$1,ROW(SelectedSpecies)),ROW(213:213)),2),"")</f>
        <v/>
      </c>
      <c r="BE212" s="10"/>
      <c r="BI212" s="10"/>
    </row>
    <row r="213" spans="1:61" ht="21" customHeight="1" x14ac:dyDescent="0.25">
      <c r="A213" s="10"/>
      <c r="B213" s="16" t="s">
        <v>221</v>
      </c>
      <c r="C213" s="10">
        <v>100</v>
      </c>
      <c r="D213" s="10">
        <v>249</v>
      </c>
      <c r="E213" s="17">
        <v>249</v>
      </c>
      <c r="I213" s="436" t="s">
        <v>4935</v>
      </c>
      <c r="J213" s="26" t="s">
        <v>4934</v>
      </c>
      <c r="K213" s="10">
        <v>2.5</v>
      </c>
      <c r="L213" s="73">
        <f>IF(Tank1!$C$23="No control",(SUMIF(Tank1!$B$32:$B$49,$J213,Tank1!$C$32:$C$49)*Impacts!$F$8),0)</f>
        <v>0</v>
      </c>
      <c r="M213" s="10">
        <f>IF(Tank2!$C$23="No control",(SUMIF(Tank2!$B$32:$B$49,$J213,Tank2!$C$32:$C$49)*Impacts!$F$9),0)</f>
        <v>0</v>
      </c>
      <c r="N213" s="10">
        <f>IF(Tank3!$C$23="No control",(SUMIF(Tank3!$B$32:$B$49,$J213,Tank3!$C$32:$C$49)*Impacts!$F$10),0)</f>
        <v>0</v>
      </c>
      <c r="O213" s="10">
        <f>IF(Tank4!$C$23="No control",(SUMIF(Tank4!$B$32:$B$49,$J213,Tank4!$C$32:$C$49)*Impacts!$F$11),0)</f>
        <v>0</v>
      </c>
      <c r="P213" s="10">
        <f>IF(Tank5!$C$23="No control",(SUMIF(Tank5!$B$32:$B$49,$J213,Tank5!$C$32:$C$49)*Impacts!$F$12),0)</f>
        <v>0</v>
      </c>
      <c r="Q213" s="10">
        <f>IFERROR(IF(('Loading-drum,tote'!$C$21)="No control",SUMIF(('Loading-drum,tote'!$B$31:$B$48),$J213,('Loading-drum,tote'!$D$31:$D$48))*Impacts!$F$13,IF(('Loading-drum,tote'!$C$21)&lt;&gt;"No control",SUMIF(('Loading-drum,tote'!$B$31:$B$48),$J213,('Loading-drum,tote'!$E$31:$E$48))*Impacts!$F$13,0)),0)</f>
        <v>0</v>
      </c>
      <c r="R213" s="10">
        <f>IFERROR(IF(('Loading-truck'!$C$21)="No control",SUMIF(('Loading-truck'!$B$31:$B$48),$J213,('Loading-truck'!$D$31:$D$48))*Impacts!$F$14,IF(('Loading-truck'!$C$21)&lt;&gt;"No control",SUMIF(('Loading-truck'!$B$31:$B$48),$J213,('Loading-truck'!$E$31:$E$48))*Impacts!$F$14,0)),0)</f>
        <v>0</v>
      </c>
      <c r="S213" s="10">
        <f>IFERROR(IF(('Loading-rail'!$C$21)="No control",SUMIF(('Loading-rail'!$B$31:$B$48),$J213,('Loading-rail'!$D$31:$D$48))*Impacts!$F$15,IF(('Loading-rail'!$C$21)&lt;&gt;"No control",SUMIF(('Loading-rail'!$B$31:$B$48),$J213,('Loading-rail'!$E$31:$E$48))*Impacts!$F$15,0)),0)</f>
        <v>0</v>
      </c>
      <c r="T213" s="10">
        <f>IF(Flare!$C$7="",0,(SUMIF(Flare!$B$46:$B$185,$J213,Flare!$E$46:$E$185)*Impacts!$F$16))</f>
        <v>0</v>
      </c>
      <c r="U213" s="10">
        <f>IF(VCU!$C$9="",0,(SUMIF(VCU!$B$51:$B$193,$J213,VCU!$E$51:$E$193)*Impacts!$F$17))</f>
        <v>0</v>
      </c>
      <c r="V213" s="10">
        <f>IF(CAS!$C$7="",0,(SUMIF(CAS!$B$31:$B$167,$J213,CAS!$E$31:$E$167)*Impacts!$F$18))</f>
        <v>0</v>
      </c>
      <c r="W213" s="10">
        <f t="shared" si="45"/>
        <v>0</v>
      </c>
      <c r="AK213" s="10" t="str">
        <f t="array" ref="AK213">IFERROR(INDEX(SelectedSpecies,SMALL(IF(SelectedSpecies=AK$1,ROW(SelectedSpecies)),ROW(214:214)),2),"")</f>
        <v/>
      </c>
      <c r="BE213" s="10"/>
      <c r="BI213" s="10"/>
    </row>
    <row r="214" spans="1:61" ht="21" customHeight="1" x14ac:dyDescent="0.25">
      <c r="A214" s="10"/>
      <c r="B214" s="16" t="s">
        <v>222</v>
      </c>
      <c r="C214" s="10">
        <v>100</v>
      </c>
      <c r="D214" s="10">
        <v>249</v>
      </c>
      <c r="E214" s="17">
        <v>249</v>
      </c>
      <c r="I214" s="436" t="s">
        <v>3473</v>
      </c>
      <c r="J214" s="26" t="s">
        <v>3472</v>
      </c>
      <c r="K214" s="10">
        <v>9.6000000000000014</v>
      </c>
      <c r="L214" s="73">
        <f>IF(Tank1!$C$23="No control",(SUMIF(Tank1!$B$32:$B$49,$J214,Tank1!$C$32:$C$49)*Impacts!$F$8),0)</f>
        <v>0</v>
      </c>
      <c r="M214" s="10">
        <f>IF(Tank2!$C$23="No control",(SUMIF(Tank2!$B$32:$B$49,$J214,Tank2!$C$32:$C$49)*Impacts!$F$9),0)</f>
        <v>0</v>
      </c>
      <c r="N214" s="10">
        <f>IF(Tank3!$C$23="No control",(SUMIF(Tank3!$B$32:$B$49,$J214,Tank3!$C$32:$C$49)*Impacts!$F$10),0)</f>
        <v>0</v>
      </c>
      <c r="O214" s="10">
        <f>IF(Tank4!$C$23="No control",(SUMIF(Tank4!$B$32:$B$49,$J214,Tank4!$C$32:$C$49)*Impacts!$F$11),0)</f>
        <v>0</v>
      </c>
      <c r="P214" s="10">
        <f>IF(Tank5!$C$23="No control",(SUMIF(Tank5!$B$32:$B$49,$J214,Tank5!$C$32:$C$49)*Impacts!$F$12),0)</f>
        <v>0</v>
      </c>
      <c r="Q214" s="10">
        <f>IFERROR(IF(('Loading-drum,tote'!$C$21)="No control",SUMIF(('Loading-drum,tote'!$B$31:$B$48),$J214,('Loading-drum,tote'!$D$31:$D$48))*Impacts!$F$13,IF(('Loading-drum,tote'!$C$21)&lt;&gt;"No control",SUMIF(('Loading-drum,tote'!$B$31:$B$48),$J214,('Loading-drum,tote'!$E$31:$E$48))*Impacts!$F$13,0)),0)</f>
        <v>0</v>
      </c>
      <c r="R214" s="10">
        <f>IFERROR(IF(('Loading-truck'!$C$21)="No control",SUMIF(('Loading-truck'!$B$31:$B$48),$J214,('Loading-truck'!$D$31:$D$48))*Impacts!$F$14,IF(('Loading-truck'!$C$21)&lt;&gt;"No control",SUMIF(('Loading-truck'!$B$31:$B$48),$J214,('Loading-truck'!$E$31:$E$48))*Impacts!$F$14,0)),0)</f>
        <v>0</v>
      </c>
      <c r="S214" s="10">
        <f>IFERROR(IF(('Loading-rail'!$C$21)="No control",SUMIF(('Loading-rail'!$B$31:$B$48),$J214,('Loading-rail'!$D$31:$D$48))*Impacts!$F$15,IF(('Loading-rail'!$C$21)&lt;&gt;"No control",SUMIF(('Loading-rail'!$B$31:$B$48),$J214,('Loading-rail'!$E$31:$E$48))*Impacts!$F$15,0)),0)</f>
        <v>0</v>
      </c>
      <c r="T214" s="10">
        <f>IF(Flare!$C$7="",0,(SUMIF(Flare!$B$46:$B$185,$J214,Flare!$E$46:$E$185)*Impacts!$F$16))</f>
        <v>0</v>
      </c>
      <c r="U214" s="10">
        <f>IF(VCU!$C$9="",0,(SUMIF(VCU!$B$51:$B$193,$J214,VCU!$E$51:$E$193)*Impacts!$F$17))</f>
        <v>0</v>
      </c>
      <c r="V214" s="10">
        <f>IF(CAS!$C$7="",0,(SUMIF(CAS!$B$31:$B$167,$J214,CAS!$E$31:$E$167)*Impacts!$F$18))</f>
        <v>0</v>
      </c>
      <c r="W214" s="10">
        <f t="shared" si="45"/>
        <v>0</v>
      </c>
      <c r="AK214" s="10" t="str">
        <f t="array" ref="AK214">IFERROR(INDEX(SelectedSpecies,SMALL(IF(SelectedSpecies=AK$1,ROW(SelectedSpecies)),ROW(215:215)),2),"")</f>
        <v/>
      </c>
      <c r="BE214" s="10"/>
      <c r="BI214" s="10"/>
    </row>
    <row r="215" spans="1:61" ht="21" customHeight="1" x14ac:dyDescent="0.25">
      <c r="A215" s="10"/>
      <c r="B215" s="16" t="s">
        <v>223</v>
      </c>
      <c r="C215" s="10">
        <v>100</v>
      </c>
      <c r="D215" s="10">
        <v>249</v>
      </c>
      <c r="E215" s="17">
        <v>249</v>
      </c>
      <c r="I215" s="436" t="s">
        <v>4391</v>
      </c>
      <c r="J215" s="26" t="s">
        <v>4390</v>
      </c>
      <c r="K215" s="10">
        <v>4.7</v>
      </c>
      <c r="L215" s="73">
        <f>IF(Tank1!$C$23="No control",(SUMIF(Tank1!$B$32:$B$49,$J215,Tank1!$C$32:$C$49)*Impacts!$F$8),0)</f>
        <v>0</v>
      </c>
      <c r="M215" s="10">
        <f>IF(Tank2!$C$23="No control",(SUMIF(Tank2!$B$32:$B$49,$J215,Tank2!$C$32:$C$49)*Impacts!$F$9),0)</f>
        <v>0</v>
      </c>
      <c r="N215" s="10">
        <f>IF(Tank3!$C$23="No control",(SUMIF(Tank3!$B$32:$B$49,$J215,Tank3!$C$32:$C$49)*Impacts!$F$10),0)</f>
        <v>0</v>
      </c>
      <c r="O215" s="10">
        <f>IF(Tank4!$C$23="No control",(SUMIF(Tank4!$B$32:$B$49,$J215,Tank4!$C$32:$C$49)*Impacts!$F$11),0)</f>
        <v>0</v>
      </c>
      <c r="P215" s="10">
        <f>IF(Tank5!$C$23="No control",(SUMIF(Tank5!$B$32:$B$49,$J215,Tank5!$C$32:$C$49)*Impacts!$F$12),0)</f>
        <v>0</v>
      </c>
      <c r="Q215" s="10">
        <f>IFERROR(IF(('Loading-drum,tote'!$C$21)="No control",SUMIF(('Loading-drum,tote'!$B$31:$B$48),$J215,('Loading-drum,tote'!$D$31:$D$48))*Impacts!$F$13,IF(('Loading-drum,tote'!$C$21)&lt;&gt;"No control",SUMIF(('Loading-drum,tote'!$B$31:$B$48),$J215,('Loading-drum,tote'!$E$31:$E$48))*Impacts!$F$13,0)),0)</f>
        <v>0</v>
      </c>
      <c r="R215" s="10">
        <f>IFERROR(IF(('Loading-truck'!$C$21)="No control",SUMIF(('Loading-truck'!$B$31:$B$48),$J215,('Loading-truck'!$D$31:$D$48))*Impacts!$F$14,IF(('Loading-truck'!$C$21)&lt;&gt;"No control",SUMIF(('Loading-truck'!$B$31:$B$48),$J215,('Loading-truck'!$E$31:$E$48))*Impacts!$F$14,0)),0)</f>
        <v>0</v>
      </c>
      <c r="S215" s="10">
        <f>IFERROR(IF(('Loading-rail'!$C$21)="No control",SUMIF(('Loading-rail'!$B$31:$B$48),$J215,('Loading-rail'!$D$31:$D$48))*Impacts!$F$15,IF(('Loading-rail'!$C$21)&lt;&gt;"No control",SUMIF(('Loading-rail'!$B$31:$B$48),$J215,('Loading-rail'!$E$31:$E$48))*Impacts!$F$15,0)),0)</f>
        <v>0</v>
      </c>
      <c r="T215" s="10">
        <f>IF(Flare!$C$7="",0,(SUMIF(Flare!$B$46:$B$185,$J215,Flare!$E$46:$E$185)*Impacts!$F$16))</f>
        <v>0</v>
      </c>
      <c r="U215" s="10">
        <f>IF(VCU!$C$9="",0,(SUMIF(VCU!$B$51:$B$193,$J215,VCU!$E$51:$E$193)*Impacts!$F$17))</f>
        <v>0</v>
      </c>
      <c r="V215" s="10">
        <f>IF(CAS!$C$7="",0,(SUMIF(CAS!$B$31:$B$167,$J215,CAS!$E$31:$E$167)*Impacts!$F$18))</f>
        <v>0</v>
      </c>
      <c r="W215" s="10">
        <f t="shared" si="45"/>
        <v>0</v>
      </c>
      <c r="AK215" s="10" t="str">
        <f t="array" ref="AK215">IFERROR(INDEX(SelectedSpecies,SMALL(IF(SelectedSpecies=AK$1,ROW(SelectedSpecies)),ROW(216:216)),2),"")</f>
        <v/>
      </c>
      <c r="BE215" s="10"/>
      <c r="BI215" s="10"/>
    </row>
    <row r="216" spans="1:61" ht="21" customHeight="1" x14ac:dyDescent="0.25">
      <c r="A216" s="10"/>
      <c r="B216" s="16" t="s">
        <v>224</v>
      </c>
      <c r="C216" s="10">
        <v>100</v>
      </c>
      <c r="D216" s="10">
        <v>249</v>
      </c>
      <c r="E216" s="17">
        <v>249</v>
      </c>
      <c r="I216" s="436" t="s">
        <v>846</v>
      </c>
      <c r="J216" s="26" t="s">
        <v>845</v>
      </c>
      <c r="K216" s="10">
        <v>47.5</v>
      </c>
      <c r="L216" s="73">
        <f>IF(Tank1!$C$23="No control",(SUMIF(Tank1!$B$32:$B$49,$J216,Tank1!$C$32:$C$49)*Impacts!$F$8),0)</f>
        <v>0</v>
      </c>
      <c r="M216" s="10">
        <f>IF(Tank2!$C$23="No control",(SUMIF(Tank2!$B$32:$B$49,$J216,Tank2!$C$32:$C$49)*Impacts!$F$9),0)</f>
        <v>0</v>
      </c>
      <c r="N216" s="10">
        <f>IF(Tank3!$C$23="No control",(SUMIF(Tank3!$B$32:$B$49,$J216,Tank3!$C$32:$C$49)*Impacts!$F$10),0)</f>
        <v>0</v>
      </c>
      <c r="O216" s="10">
        <f>IF(Tank4!$C$23="No control",(SUMIF(Tank4!$B$32:$B$49,$J216,Tank4!$C$32:$C$49)*Impacts!$F$11),0)</f>
        <v>0</v>
      </c>
      <c r="P216" s="10">
        <f>IF(Tank5!$C$23="No control",(SUMIF(Tank5!$B$32:$B$49,$J216,Tank5!$C$32:$C$49)*Impacts!$F$12),0)</f>
        <v>0</v>
      </c>
      <c r="Q216" s="10">
        <f>IFERROR(IF(('Loading-drum,tote'!$C$21)="No control",SUMIF(('Loading-drum,tote'!$B$31:$B$48),$J216,('Loading-drum,tote'!$D$31:$D$48))*Impacts!$F$13,IF(('Loading-drum,tote'!$C$21)&lt;&gt;"No control",SUMIF(('Loading-drum,tote'!$B$31:$B$48),$J216,('Loading-drum,tote'!$E$31:$E$48))*Impacts!$F$13,0)),0)</f>
        <v>0</v>
      </c>
      <c r="R216" s="10">
        <f>IFERROR(IF(('Loading-truck'!$C$21)="No control",SUMIF(('Loading-truck'!$B$31:$B$48),$J216,('Loading-truck'!$D$31:$D$48))*Impacts!$F$14,IF(('Loading-truck'!$C$21)&lt;&gt;"No control",SUMIF(('Loading-truck'!$B$31:$B$48),$J216,('Loading-truck'!$E$31:$E$48))*Impacts!$F$14,0)),0)</f>
        <v>0</v>
      </c>
      <c r="S216" s="10">
        <f>IFERROR(IF(('Loading-rail'!$C$21)="No control",SUMIF(('Loading-rail'!$B$31:$B$48),$J216,('Loading-rail'!$D$31:$D$48))*Impacts!$F$15,IF(('Loading-rail'!$C$21)&lt;&gt;"No control",SUMIF(('Loading-rail'!$B$31:$B$48),$J216,('Loading-rail'!$E$31:$E$48))*Impacts!$F$15,0)),0)</f>
        <v>0</v>
      </c>
      <c r="T216" s="10">
        <f>IF(Flare!$C$7="",0,(SUMIF(Flare!$B$46:$B$185,$J216,Flare!$E$46:$E$185)*Impacts!$F$16))</f>
        <v>0</v>
      </c>
      <c r="U216" s="10">
        <f>IF(VCU!$C$9="",0,(SUMIF(VCU!$B$51:$B$193,$J216,VCU!$E$51:$E$193)*Impacts!$F$17))</f>
        <v>0</v>
      </c>
      <c r="V216" s="10">
        <f>IF(CAS!$C$7="",0,(SUMIF(CAS!$B$31:$B$167,$J216,CAS!$E$31:$E$167)*Impacts!$F$18))</f>
        <v>0</v>
      </c>
      <c r="W216" s="10">
        <f t="shared" si="45"/>
        <v>0</v>
      </c>
      <c r="AK216" s="10" t="str">
        <f t="array" ref="AK216">IFERROR(INDEX(SelectedSpecies,SMALL(IF(SelectedSpecies=AK$1,ROW(SelectedSpecies)),ROW(217:217)),2),"")</f>
        <v/>
      </c>
      <c r="BE216" s="10"/>
      <c r="BI216" s="10"/>
    </row>
    <row r="217" spans="1:61" ht="21" customHeight="1" x14ac:dyDescent="0.25">
      <c r="A217" s="10"/>
      <c r="B217" s="16" t="s">
        <v>225</v>
      </c>
      <c r="C217" s="10">
        <v>100</v>
      </c>
      <c r="D217" s="10">
        <v>249</v>
      </c>
      <c r="E217" s="17">
        <v>249</v>
      </c>
      <c r="I217" s="436" t="s">
        <v>1923</v>
      </c>
      <c r="J217" s="26" t="s">
        <v>1922</v>
      </c>
      <c r="K217" s="10">
        <v>18</v>
      </c>
      <c r="L217" s="73">
        <f>IF(Tank1!$C$23="No control",(SUMIF(Tank1!$B$32:$B$49,$J217,Tank1!$C$32:$C$49)*Impacts!$F$8),0)</f>
        <v>0</v>
      </c>
      <c r="M217" s="10">
        <f>IF(Tank2!$C$23="No control",(SUMIF(Tank2!$B$32:$B$49,$J217,Tank2!$C$32:$C$49)*Impacts!$F$9),0)</f>
        <v>0</v>
      </c>
      <c r="N217" s="10">
        <f>IF(Tank3!$C$23="No control",(SUMIF(Tank3!$B$32:$B$49,$J217,Tank3!$C$32:$C$49)*Impacts!$F$10),0)</f>
        <v>0</v>
      </c>
      <c r="O217" s="10">
        <f>IF(Tank4!$C$23="No control",(SUMIF(Tank4!$B$32:$B$49,$J217,Tank4!$C$32:$C$49)*Impacts!$F$11),0)</f>
        <v>0</v>
      </c>
      <c r="P217" s="10">
        <f>IF(Tank5!$C$23="No control",(SUMIF(Tank5!$B$32:$B$49,$J217,Tank5!$C$32:$C$49)*Impacts!$F$12),0)</f>
        <v>0</v>
      </c>
      <c r="Q217" s="10">
        <f>IFERROR(IF(('Loading-drum,tote'!$C$21)="No control",SUMIF(('Loading-drum,tote'!$B$31:$B$48),$J217,('Loading-drum,tote'!$D$31:$D$48))*Impacts!$F$13,IF(('Loading-drum,tote'!$C$21)&lt;&gt;"No control",SUMIF(('Loading-drum,tote'!$B$31:$B$48),$J217,('Loading-drum,tote'!$E$31:$E$48))*Impacts!$F$13,0)),0)</f>
        <v>0</v>
      </c>
      <c r="R217" s="10">
        <f>IFERROR(IF(('Loading-truck'!$C$21)="No control",SUMIF(('Loading-truck'!$B$31:$B$48),$J217,('Loading-truck'!$D$31:$D$48))*Impacts!$F$14,IF(('Loading-truck'!$C$21)&lt;&gt;"No control",SUMIF(('Loading-truck'!$B$31:$B$48),$J217,('Loading-truck'!$E$31:$E$48))*Impacts!$F$14,0)),0)</f>
        <v>0</v>
      </c>
      <c r="S217" s="10">
        <f>IFERROR(IF(('Loading-rail'!$C$21)="No control",SUMIF(('Loading-rail'!$B$31:$B$48),$J217,('Loading-rail'!$D$31:$D$48))*Impacts!$F$15,IF(('Loading-rail'!$C$21)&lt;&gt;"No control",SUMIF(('Loading-rail'!$B$31:$B$48),$J217,('Loading-rail'!$E$31:$E$48))*Impacts!$F$15,0)),0)</f>
        <v>0</v>
      </c>
      <c r="T217" s="10">
        <f>IF(Flare!$C$7="",0,(SUMIF(Flare!$B$46:$B$185,$J217,Flare!$E$46:$E$185)*Impacts!$F$16))</f>
        <v>0</v>
      </c>
      <c r="U217" s="10">
        <f>IF(VCU!$C$9="",0,(SUMIF(VCU!$B$51:$B$193,$J217,VCU!$E$51:$E$193)*Impacts!$F$17))</f>
        <v>0</v>
      </c>
      <c r="V217" s="10">
        <f>IF(CAS!$C$7="",0,(SUMIF(CAS!$B$31:$B$167,$J217,CAS!$E$31:$E$167)*Impacts!$F$18))</f>
        <v>0</v>
      </c>
      <c r="W217" s="10">
        <f t="shared" si="45"/>
        <v>0</v>
      </c>
      <c r="AK217" s="10" t="str">
        <f t="array" ref="AK217">IFERROR(INDEX(SelectedSpecies,SMALL(IF(SelectedSpecies=AK$1,ROW(SelectedSpecies)),ROW(218:218)),2),"")</f>
        <v/>
      </c>
      <c r="BE217" s="10"/>
      <c r="BI217" s="10"/>
    </row>
    <row r="218" spans="1:61" ht="21" customHeight="1" x14ac:dyDescent="0.25">
      <c r="A218" s="10"/>
      <c r="B218" s="16" t="s">
        <v>226</v>
      </c>
      <c r="C218" s="10">
        <v>100</v>
      </c>
      <c r="D218" s="10">
        <v>249</v>
      </c>
      <c r="E218" s="17">
        <v>249</v>
      </c>
      <c r="I218" s="436" t="s">
        <v>5670</v>
      </c>
      <c r="J218" s="26" t="s">
        <v>5669</v>
      </c>
      <c r="K218" s="10">
        <v>1</v>
      </c>
      <c r="L218" s="73">
        <f>IF(Tank1!$C$23="No control",(SUMIF(Tank1!$B$32:$B$49,$J218,Tank1!$C$32:$C$49)*Impacts!$F$8),0)</f>
        <v>0</v>
      </c>
      <c r="M218" s="10">
        <f>IF(Tank2!$C$23="No control",(SUMIF(Tank2!$B$32:$B$49,$J218,Tank2!$C$32:$C$49)*Impacts!$F$9),0)</f>
        <v>0</v>
      </c>
      <c r="N218" s="10">
        <f>IF(Tank3!$C$23="No control",(SUMIF(Tank3!$B$32:$B$49,$J218,Tank3!$C$32:$C$49)*Impacts!$F$10),0)</f>
        <v>0</v>
      </c>
      <c r="O218" s="10">
        <f>IF(Tank4!$C$23="No control",(SUMIF(Tank4!$B$32:$B$49,$J218,Tank4!$C$32:$C$49)*Impacts!$F$11),0)</f>
        <v>0</v>
      </c>
      <c r="P218" s="10">
        <f>IF(Tank5!$C$23="No control",(SUMIF(Tank5!$B$32:$B$49,$J218,Tank5!$C$32:$C$49)*Impacts!$F$12),0)</f>
        <v>0</v>
      </c>
      <c r="Q218" s="10">
        <f>IFERROR(IF(('Loading-drum,tote'!$C$21)="No control",SUMIF(('Loading-drum,tote'!$B$31:$B$48),$J218,('Loading-drum,tote'!$D$31:$D$48))*Impacts!$F$13,IF(('Loading-drum,tote'!$C$21)&lt;&gt;"No control",SUMIF(('Loading-drum,tote'!$B$31:$B$48),$J218,('Loading-drum,tote'!$E$31:$E$48))*Impacts!$F$13,0)),0)</f>
        <v>0</v>
      </c>
      <c r="R218" s="10">
        <f>IFERROR(IF(('Loading-truck'!$C$21)="No control",SUMIF(('Loading-truck'!$B$31:$B$48),$J218,('Loading-truck'!$D$31:$D$48))*Impacts!$F$14,IF(('Loading-truck'!$C$21)&lt;&gt;"No control",SUMIF(('Loading-truck'!$B$31:$B$48),$J218,('Loading-truck'!$E$31:$E$48))*Impacts!$F$14,0)),0)</f>
        <v>0</v>
      </c>
      <c r="S218" s="10">
        <f>IFERROR(IF(('Loading-rail'!$C$21)="No control",SUMIF(('Loading-rail'!$B$31:$B$48),$J218,('Loading-rail'!$D$31:$D$48))*Impacts!$F$15,IF(('Loading-rail'!$C$21)&lt;&gt;"No control",SUMIF(('Loading-rail'!$B$31:$B$48),$J218,('Loading-rail'!$E$31:$E$48))*Impacts!$F$15,0)),0)</f>
        <v>0</v>
      </c>
      <c r="T218" s="10">
        <f>IF(Flare!$C$7="",0,(SUMIF(Flare!$B$46:$B$185,$J218,Flare!$E$46:$E$185)*Impacts!$F$16))</f>
        <v>0</v>
      </c>
      <c r="U218" s="10">
        <f>IF(VCU!$C$9="",0,(SUMIF(VCU!$B$51:$B$193,$J218,VCU!$E$51:$E$193)*Impacts!$F$17))</f>
        <v>0</v>
      </c>
      <c r="V218" s="10">
        <f>IF(CAS!$C$7="",0,(SUMIF(CAS!$B$31:$B$167,$J218,CAS!$E$31:$E$167)*Impacts!$F$18))</f>
        <v>0</v>
      </c>
      <c r="W218" s="10">
        <f t="shared" si="45"/>
        <v>0</v>
      </c>
      <c r="AK218" s="10" t="str">
        <f t="array" ref="AK218">IFERROR(INDEX(SelectedSpecies,SMALL(IF(SelectedSpecies=AK$1,ROW(SelectedSpecies)),ROW(219:219)),2),"")</f>
        <v/>
      </c>
      <c r="BE218" s="10"/>
      <c r="BI218" s="10"/>
    </row>
    <row r="219" spans="1:61" ht="21" customHeight="1" x14ac:dyDescent="0.25">
      <c r="A219" s="10"/>
      <c r="B219" s="16" t="s">
        <v>227</v>
      </c>
      <c r="C219" s="10">
        <v>100</v>
      </c>
      <c r="D219" s="10">
        <v>249</v>
      </c>
      <c r="E219" s="17">
        <v>249</v>
      </c>
      <c r="I219" s="436" t="s">
        <v>2049</v>
      </c>
      <c r="J219" s="26" t="s">
        <v>2048</v>
      </c>
      <c r="K219" s="10">
        <v>16</v>
      </c>
      <c r="L219" s="73">
        <f>IF(Tank1!$C$23="No control",(SUMIF(Tank1!$B$32:$B$49,$J219,Tank1!$C$32:$C$49)*Impacts!$F$8),0)</f>
        <v>0</v>
      </c>
      <c r="M219" s="10">
        <f>IF(Tank2!$C$23="No control",(SUMIF(Tank2!$B$32:$B$49,$J219,Tank2!$C$32:$C$49)*Impacts!$F$9),0)</f>
        <v>0</v>
      </c>
      <c r="N219" s="10">
        <f>IF(Tank3!$C$23="No control",(SUMIF(Tank3!$B$32:$B$49,$J219,Tank3!$C$32:$C$49)*Impacts!$F$10),0)</f>
        <v>0</v>
      </c>
      <c r="O219" s="10">
        <f>IF(Tank4!$C$23="No control",(SUMIF(Tank4!$B$32:$B$49,$J219,Tank4!$C$32:$C$49)*Impacts!$F$11),0)</f>
        <v>0</v>
      </c>
      <c r="P219" s="10">
        <f>IF(Tank5!$C$23="No control",(SUMIF(Tank5!$B$32:$B$49,$J219,Tank5!$C$32:$C$49)*Impacts!$F$12),0)</f>
        <v>0</v>
      </c>
      <c r="Q219" s="10">
        <f>IFERROR(IF(('Loading-drum,tote'!$C$21)="No control",SUMIF(('Loading-drum,tote'!$B$31:$B$48),$J219,('Loading-drum,tote'!$D$31:$D$48))*Impacts!$F$13,IF(('Loading-drum,tote'!$C$21)&lt;&gt;"No control",SUMIF(('Loading-drum,tote'!$B$31:$B$48),$J219,('Loading-drum,tote'!$E$31:$E$48))*Impacts!$F$13,0)),0)</f>
        <v>0</v>
      </c>
      <c r="R219" s="10">
        <f>IFERROR(IF(('Loading-truck'!$C$21)="No control",SUMIF(('Loading-truck'!$B$31:$B$48),$J219,('Loading-truck'!$D$31:$D$48))*Impacts!$F$14,IF(('Loading-truck'!$C$21)&lt;&gt;"No control",SUMIF(('Loading-truck'!$B$31:$B$48),$J219,('Loading-truck'!$E$31:$E$48))*Impacts!$F$14,0)),0)</f>
        <v>0</v>
      </c>
      <c r="S219" s="10">
        <f>IFERROR(IF(('Loading-rail'!$C$21)="No control",SUMIF(('Loading-rail'!$B$31:$B$48),$J219,('Loading-rail'!$D$31:$D$48))*Impacts!$F$15,IF(('Loading-rail'!$C$21)&lt;&gt;"No control",SUMIF(('Loading-rail'!$B$31:$B$48),$J219,('Loading-rail'!$E$31:$E$48))*Impacts!$F$15,0)),0)</f>
        <v>0</v>
      </c>
      <c r="T219" s="10">
        <f>IF(Flare!$C$7="",0,(SUMIF(Flare!$B$46:$B$185,$J219,Flare!$E$46:$E$185)*Impacts!$F$16))</f>
        <v>0</v>
      </c>
      <c r="U219" s="10">
        <f>IF(VCU!$C$9="",0,(SUMIF(VCU!$B$51:$B$193,$J219,VCU!$E$51:$E$193)*Impacts!$F$17))</f>
        <v>0</v>
      </c>
      <c r="V219" s="10">
        <f>IF(CAS!$C$7="",0,(SUMIF(CAS!$B$31:$B$167,$J219,CAS!$E$31:$E$167)*Impacts!$F$18))</f>
        <v>0</v>
      </c>
      <c r="W219" s="10">
        <f t="shared" si="45"/>
        <v>0</v>
      </c>
      <c r="AK219" s="10" t="str">
        <f t="array" ref="AK219">IFERROR(INDEX(SelectedSpecies,SMALL(IF(SelectedSpecies=AK$1,ROW(SelectedSpecies)),ROW(220:220)),2),"")</f>
        <v/>
      </c>
      <c r="BE219" s="10"/>
      <c r="BI219" s="10"/>
    </row>
    <row r="220" spans="1:61" ht="21" customHeight="1" x14ac:dyDescent="0.25">
      <c r="A220" s="10"/>
      <c r="B220" s="16" t="s">
        <v>228</v>
      </c>
      <c r="C220" s="10">
        <v>100</v>
      </c>
      <c r="D220" s="10">
        <v>249</v>
      </c>
      <c r="E220" s="17">
        <v>249</v>
      </c>
      <c r="I220" s="436" t="s">
        <v>6988</v>
      </c>
      <c r="J220" s="26" t="s">
        <v>6987</v>
      </c>
      <c r="K220" s="10">
        <v>0.45999999999999996</v>
      </c>
      <c r="L220" s="73">
        <f>IF(Tank1!$C$23="No control",(SUMIF(Tank1!$B$32:$B$49,$J220,Tank1!$C$32:$C$49)*Impacts!$F$8),0)</f>
        <v>0</v>
      </c>
      <c r="M220" s="10">
        <f>IF(Tank2!$C$23="No control",(SUMIF(Tank2!$B$32:$B$49,$J220,Tank2!$C$32:$C$49)*Impacts!$F$9),0)</f>
        <v>0</v>
      </c>
      <c r="N220" s="10">
        <f>IF(Tank3!$C$23="No control",(SUMIF(Tank3!$B$32:$B$49,$J220,Tank3!$C$32:$C$49)*Impacts!$F$10),0)</f>
        <v>0</v>
      </c>
      <c r="O220" s="10">
        <f>IF(Tank4!$C$23="No control",(SUMIF(Tank4!$B$32:$B$49,$J220,Tank4!$C$32:$C$49)*Impacts!$F$11),0)</f>
        <v>0</v>
      </c>
      <c r="P220" s="10">
        <f>IF(Tank5!$C$23="No control",(SUMIF(Tank5!$B$32:$B$49,$J220,Tank5!$C$32:$C$49)*Impacts!$F$12),0)</f>
        <v>0</v>
      </c>
      <c r="Q220" s="10">
        <f>IFERROR(IF(('Loading-drum,tote'!$C$21)="No control",SUMIF(('Loading-drum,tote'!$B$31:$B$48),$J220,('Loading-drum,tote'!$D$31:$D$48))*Impacts!$F$13,IF(('Loading-drum,tote'!$C$21)&lt;&gt;"No control",SUMIF(('Loading-drum,tote'!$B$31:$B$48),$J220,('Loading-drum,tote'!$E$31:$E$48))*Impacts!$F$13,0)),0)</f>
        <v>0</v>
      </c>
      <c r="R220" s="10">
        <f>IFERROR(IF(('Loading-truck'!$C$21)="No control",SUMIF(('Loading-truck'!$B$31:$B$48),$J220,('Loading-truck'!$D$31:$D$48))*Impacts!$F$14,IF(('Loading-truck'!$C$21)&lt;&gt;"No control",SUMIF(('Loading-truck'!$B$31:$B$48),$J220,('Loading-truck'!$E$31:$E$48))*Impacts!$F$14,0)),0)</f>
        <v>0</v>
      </c>
      <c r="S220" s="10">
        <f>IFERROR(IF(('Loading-rail'!$C$21)="No control",SUMIF(('Loading-rail'!$B$31:$B$48),$J220,('Loading-rail'!$D$31:$D$48))*Impacts!$F$15,IF(('Loading-rail'!$C$21)&lt;&gt;"No control",SUMIF(('Loading-rail'!$B$31:$B$48),$J220,('Loading-rail'!$E$31:$E$48))*Impacts!$F$15,0)),0)</f>
        <v>0</v>
      </c>
      <c r="T220" s="10">
        <f>IF(Flare!$C$7="",0,(SUMIF(Flare!$B$46:$B$185,$J220,Flare!$E$46:$E$185)*Impacts!$F$16))</f>
        <v>0</v>
      </c>
      <c r="U220" s="10">
        <f>IF(VCU!$C$9="",0,(SUMIF(VCU!$B$51:$B$193,$J220,VCU!$E$51:$E$193)*Impacts!$F$17))</f>
        <v>0</v>
      </c>
      <c r="V220" s="10">
        <f>IF(CAS!$C$7="",0,(SUMIF(CAS!$B$31:$B$167,$J220,CAS!$E$31:$E$167)*Impacts!$F$18))</f>
        <v>0</v>
      </c>
      <c r="W220" s="10">
        <f t="shared" si="45"/>
        <v>0</v>
      </c>
      <c r="AK220" s="10" t="str">
        <f t="array" ref="AK220">IFERROR(INDEX(SelectedSpecies,SMALL(IF(SelectedSpecies=AK$1,ROW(SelectedSpecies)),ROW(221:221)),2),"")</f>
        <v/>
      </c>
      <c r="BE220" s="10"/>
      <c r="BI220" s="10"/>
    </row>
    <row r="221" spans="1:61" ht="21" customHeight="1" x14ac:dyDescent="0.25">
      <c r="A221" s="10"/>
      <c r="B221" s="16" t="s">
        <v>229</v>
      </c>
      <c r="C221" s="10">
        <v>100</v>
      </c>
      <c r="D221" s="10">
        <v>249</v>
      </c>
      <c r="E221" s="17">
        <v>249</v>
      </c>
      <c r="I221" s="436" t="s">
        <v>4803</v>
      </c>
      <c r="J221" s="26" t="s">
        <v>4802</v>
      </c>
      <c r="K221" s="10">
        <v>3</v>
      </c>
      <c r="L221" s="73">
        <f>IF(Tank1!$C$23="No control",(SUMIF(Tank1!$B$32:$B$49,$J221,Tank1!$C$32:$C$49)*Impacts!$F$8),0)</f>
        <v>0</v>
      </c>
      <c r="M221" s="10">
        <f>IF(Tank2!$C$23="No control",(SUMIF(Tank2!$B$32:$B$49,$J221,Tank2!$C$32:$C$49)*Impacts!$F$9),0)</f>
        <v>0</v>
      </c>
      <c r="N221" s="10">
        <f>IF(Tank3!$C$23="No control",(SUMIF(Tank3!$B$32:$B$49,$J221,Tank3!$C$32:$C$49)*Impacts!$F$10),0)</f>
        <v>0</v>
      </c>
      <c r="O221" s="10">
        <f>IF(Tank4!$C$23="No control",(SUMIF(Tank4!$B$32:$B$49,$J221,Tank4!$C$32:$C$49)*Impacts!$F$11),0)</f>
        <v>0</v>
      </c>
      <c r="P221" s="10">
        <f>IF(Tank5!$C$23="No control",(SUMIF(Tank5!$B$32:$B$49,$J221,Tank5!$C$32:$C$49)*Impacts!$F$12),0)</f>
        <v>0</v>
      </c>
      <c r="Q221" s="10">
        <f>IFERROR(IF(('Loading-drum,tote'!$C$21)="No control",SUMIF(('Loading-drum,tote'!$B$31:$B$48),$J221,('Loading-drum,tote'!$D$31:$D$48))*Impacts!$F$13,IF(('Loading-drum,tote'!$C$21)&lt;&gt;"No control",SUMIF(('Loading-drum,tote'!$B$31:$B$48),$J221,('Loading-drum,tote'!$E$31:$E$48))*Impacts!$F$13,0)),0)</f>
        <v>0</v>
      </c>
      <c r="R221" s="10">
        <f>IFERROR(IF(('Loading-truck'!$C$21)="No control",SUMIF(('Loading-truck'!$B$31:$B$48),$J221,('Loading-truck'!$D$31:$D$48))*Impacts!$F$14,IF(('Loading-truck'!$C$21)&lt;&gt;"No control",SUMIF(('Loading-truck'!$B$31:$B$48),$J221,('Loading-truck'!$E$31:$E$48))*Impacts!$F$14,0)),0)</f>
        <v>0</v>
      </c>
      <c r="S221" s="10">
        <f>IFERROR(IF(('Loading-rail'!$C$21)="No control",SUMIF(('Loading-rail'!$B$31:$B$48),$J221,('Loading-rail'!$D$31:$D$48))*Impacts!$F$15,IF(('Loading-rail'!$C$21)&lt;&gt;"No control",SUMIF(('Loading-rail'!$B$31:$B$48),$J221,('Loading-rail'!$E$31:$E$48))*Impacts!$F$15,0)),0)</f>
        <v>0</v>
      </c>
      <c r="T221" s="10">
        <f>IF(Flare!$C$7="",0,(SUMIF(Flare!$B$46:$B$185,$J221,Flare!$E$46:$E$185)*Impacts!$F$16))</f>
        <v>0</v>
      </c>
      <c r="U221" s="10">
        <f>IF(VCU!$C$9="",0,(SUMIF(VCU!$B$51:$B$193,$J221,VCU!$E$51:$E$193)*Impacts!$F$17))</f>
        <v>0</v>
      </c>
      <c r="V221" s="10">
        <f>IF(CAS!$C$7="",0,(SUMIF(CAS!$B$31:$B$167,$J221,CAS!$E$31:$E$167)*Impacts!$F$18))</f>
        <v>0</v>
      </c>
      <c r="W221" s="10">
        <f t="shared" si="45"/>
        <v>0</v>
      </c>
      <c r="AK221" s="10" t="str">
        <f t="array" ref="AK221">IFERROR(INDEX(SelectedSpecies,SMALL(IF(SelectedSpecies=AK$1,ROW(SelectedSpecies)),ROW(222:222)),2),"")</f>
        <v/>
      </c>
      <c r="BE221" s="10"/>
      <c r="BI221" s="10"/>
    </row>
    <row r="222" spans="1:61" ht="21" customHeight="1" x14ac:dyDescent="0.25">
      <c r="A222" s="10"/>
      <c r="B222" s="16" t="s">
        <v>230</v>
      </c>
      <c r="C222" s="10">
        <v>100</v>
      </c>
      <c r="D222" s="10">
        <v>100</v>
      </c>
      <c r="E222" s="17">
        <v>249</v>
      </c>
      <c r="I222" s="436" t="s">
        <v>6280</v>
      </c>
      <c r="J222" s="26" t="s">
        <v>6279</v>
      </c>
      <c r="K222" s="10">
        <v>0.9</v>
      </c>
      <c r="L222" s="73">
        <f>IF(Tank1!$C$23="No control",(SUMIF(Tank1!$B$32:$B$49,$J222,Tank1!$C$32:$C$49)*Impacts!$F$8),0)</f>
        <v>0</v>
      </c>
      <c r="M222" s="10">
        <f>IF(Tank2!$C$23="No control",(SUMIF(Tank2!$B$32:$B$49,$J222,Tank2!$C$32:$C$49)*Impacts!$F$9),0)</f>
        <v>0</v>
      </c>
      <c r="N222" s="10">
        <f>IF(Tank3!$C$23="No control",(SUMIF(Tank3!$B$32:$B$49,$J222,Tank3!$C$32:$C$49)*Impacts!$F$10),0)</f>
        <v>0</v>
      </c>
      <c r="O222" s="10">
        <f>IF(Tank4!$C$23="No control",(SUMIF(Tank4!$B$32:$B$49,$J222,Tank4!$C$32:$C$49)*Impacts!$F$11),0)</f>
        <v>0</v>
      </c>
      <c r="P222" s="10">
        <f>IF(Tank5!$C$23="No control",(SUMIF(Tank5!$B$32:$B$49,$J222,Tank5!$C$32:$C$49)*Impacts!$F$12),0)</f>
        <v>0</v>
      </c>
      <c r="Q222" s="10">
        <f>IFERROR(IF(('Loading-drum,tote'!$C$21)="No control",SUMIF(('Loading-drum,tote'!$B$31:$B$48),$J222,('Loading-drum,tote'!$D$31:$D$48))*Impacts!$F$13,IF(('Loading-drum,tote'!$C$21)&lt;&gt;"No control",SUMIF(('Loading-drum,tote'!$B$31:$B$48),$J222,('Loading-drum,tote'!$E$31:$E$48))*Impacts!$F$13,0)),0)</f>
        <v>0</v>
      </c>
      <c r="R222" s="10">
        <f>IFERROR(IF(('Loading-truck'!$C$21)="No control",SUMIF(('Loading-truck'!$B$31:$B$48),$J222,('Loading-truck'!$D$31:$D$48))*Impacts!$F$14,IF(('Loading-truck'!$C$21)&lt;&gt;"No control",SUMIF(('Loading-truck'!$B$31:$B$48),$J222,('Loading-truck'!$E$31:$E$48))*Impacts!$F$14,0)),0)</f>
        <v>0</v>
      </c>
      <c r="S222" s="10">
        <f>IFERROR(IF(('Loading-rail'!$C$21)="No control",SUMIF(('Loading-rail'!$B$31:$B$48),$J222,('Loading-rail'!$D$31:$D$48))*Impacts!$F$15,IF(('Loading-rail'!$C$21)&lt;&gt;"No control",SUMIF(('Loading-rail'!$B$31:$B$48),$J222,('Loading-rail'!$E$31:$E$48))*Impacts!$F$15,0)),0)</f>
        <v>0</v>
      </c>
      <c r="T222" s="10">
        <f>IF(Flare!$C$7="",0,(SUMIF(Flare!$B$46:$B$185,$J222,Flare!$E$46:$E$185)*Impacts!$F$16))</f>
        <v>0</v>
      </c>
      <c r="U222" s="10">
        <f>IF(VCU!$C$9="",0,(SUMIF(VCU!$B$51:$B$193,$J222,VCU!$E$51:$E$193)*Impacts!$F$17))</f>
        <v>0</v>
      </c>
      <c r="V222" s="10">
        <f>IF(CAS!$C$7="",0,(SUMIF(CAS!$B$31:$B$167,$J222,CAS!$E$31:$E$167)*Impacts!$F$18))</f>
        <v>0</v>
      </c>
      <c r="W222" s="10">
        <f t="shared" si="45"/>
        <v>0</v>
      </c>
      <c r="AK222" s="10" t="str">
        <f t="array" ref="AK222">IFERROR(INDEX(SelectedSpecies,SMALL(IF(SelectedSpecies=AK$1,ROW(SelectedSpecies)),ROW(223:223)),2),"")</f>
        <v/>
      </c>
      <c r="BE222" s="10"/>
      <c r="BI222" s="10"/>
    </row>
    <row r="223" spans="1:61" ht="21" customHeight="1" x14ac:dyDescent="0.25">
      <c r="A223" s="10"/>
      <c r="B223" s="16" t="s">
        <v>231</v>
      </c>
      <c r="C223" s="10">
        <v>100</v>
      </c>
      <c r="D223" s="10">
        <v>249</v>
      </c>
      <c r="E223" s="17">
        <v>249</v>
      </c>
      <c r="I223" s="436" t="s">
        <v>8110</v>
      </c>
      <c r="J223" s="26" t="s">
        <v>8109</v>
      </c>
      <c r="K223" s="10">
        <v>1.0000000000000002E-2</v>
      </c>
      <c r="L223" s="73">
        <f>IF(Tank1!$C$23="No control",(SUMIF(Tank1!$B$32:$B$49,$J223,Tank1!$C$32:$C$49)*Impacts!$F$8),0)</f>
        <v>0</v>
      </c>
      <c r="M223" s="10">
        <f>IF(Tank2!$C$23="No control",(SUMIF(Tank2!$B$32:$B$49,$J223,Tank2!$C$32:$C$49)*Impacts!$F$9),0)</f>
        <v>0</v>
      </c>
      <c r="N223" s="10">
        <f>IF(Tank3!$C$23="No control",(SUMIF(Tank3!$B$32:$B$49,$J223,Tank3!$C$32:$C$49)*Impacts!$F$10),0)</f>
        <v>0</v>
      </c>
      <c r="O223" s="10">
        <f>IF(Tank4!$C$23="No control",(SUMIF(Tank4!$B$32:$B$49,$J223,Tank4!$C$32:$C$49)*Impacts!$F$11),0)</f>
        <v>0</v>
      </c>
      <c r="P223" s="10">
        <f>IF(Tank5!$C$23="No control",(SUMIF(Tank5!$B$32:$B$49,$J223,Tank5!$C$32:$C$49)*Impacts!$F$12),0)</f>
        <v>0</v>
      </c>
      <c r="Q223" s="10">
        <f>IFERROR(IF(('Loading-drum,tote'!$C$21)="No control",SUMIF(('Loading-drum,tote'!$B$31:$B$48),$J223,('Loading-drum,tote'!$D$31:$D$48))*Impacts!$F$13,IF(('Loading-drum,tote'!$C$21)&lt;&gt;"No control",SUMIF(('Loading-drum,tote'!$B$31:$B$48),$J223,('Loading-drum,tote'!$E$31:$E$48))*Impacts!$F$13,0)),0)</f>
        <v>0</v>
      </c>
      <c r="R223" s="10">
        <f>IFERROR(IF(('Loading-truck'!$C$21)="No control",SUMIF(('Loading-truck'!$B$31:$B$48),$J223,('Loading-truck'!$D$31:$D$48))*Impacts!$F$14,IF(('Loading-truck'!$C$21)&lt;&gt;"No control",SUMIF(('Loading-truck'!$B$31:$B$48),$J223,('Loading-truck'!$E$31:$E$48))*Impacts!$F$14,0)),0)</f>
        <v>0</v>
      </c>
      <c r="S223" s="10">
        <f>IFERROR(IF(('Loading-rail'!$C$21)="No control",SUMIF(('Loading-rail'!$B$31:$B$48),$J223,('Loading-rail'!$D$31:$D$48))*Impacts!$F$15,IF(('Loading-rail'!$C$21)&lt;&gt;"No control",SUMIF(('Loading-rail'!$B$31:$B$48),$J223,('Loading-rail'!$E$31:$E$48))*Impacts!$F$15,0)),0)</f>
        <v>0</v>
      </c>
      <c r="T223" s="10">
        <f>IF(Flare!$C$7="",0,(SUMIF(Flare!$B$46:$B$185,$J223,Flare!$E$46:$E$185)*Impacts!$F$16))</f>
        <v>0</v>
      </c>
      <c r="U223" s="10">
        <f>IF(VCU!$C$9="",0,(SUMIF(VCU!$B$51:$B$193,$J223,VCU!$E$51:$E$193)*Impacts!$F$17))</f>
        <v>0</v>
      </c>
      <c r="V223" s="10">
        <f>IF(CAS!$C$7="",0,(SUMIF(CAS!$B$31:$B$167,$J223,CAS!$E$31:$E$167)*Impacts!$F$18))</f>
        <v>0</v>
      </c>
      <c r="W223" s="10">
        <f t="shared" si="45"/>
        <v>0</v>
      </c>
      <c r="AK223" s="10" t="str">
        <f t="array" ref="AK223">IFERROR(INDEX(SelectedSpecies,SMALL(IF(SelectedSpecies=AK$1,ROW(SelectedSpecies)),ROW(224:224)),2),"")</f>
        <v/>
      </c>
      <c r="BE223" s="10"/>
      <c r="BI223" s="10"/>
    </row>
    <row r="224" spans="1:61" ht="21" customHeight="1" x14ac:dyDescent="0.25">
      <c r="A224" s="10"/>
      <c r="B224" s="16" t="s">
        <v>232</v>
      </c>
      <c r="C224" s="10">
        <v>100</v>
      </c>
      <c r="D224" s="10">
        <v>249</v>
      </c>
      <c r="E224" s="17">
        <v>249</v>
      </c>
      <c r="I224" s="436" t="s">
        <v>3739</v>
      </c>
      <c r="J224" s="26" t="s">
        <v>3738</v>
      </c>
      <c r="K224" s="10">
        <v>6.1000000000000005</v>
      </c>
      <c r="L224" s="73">
        <f>IF(Tank1!$C$23="No control",(SUMIF(Tank1!$B$32:$B$49,$J224,Tank1!$C$32:$C$49)*Impacts!$F$8),0)</f>
        <v>0</v>
      </c>
      <c r="M224" s="10">
        <f>IF(Tank2!$C$23="No control",(SUMIF(Tank2!$B$32:$B$49,$J224,Tank2!$C$32:$C$49)*Impacts!$F$9),0)</f>
        <v>0</v>
      </c>
      <c r="N224" s="10">
        <f>IF(Tank3!$C$23="No control",(SUMIF(Tank3!$B$32:$B$49,$J224,Tank3!$C$32:$C$49)*Impacts!$F$10),0)</f>
        <v>0</v>
      </c>
      <c r="O224" s="10">
        <f>IF(Tank4!$C$23="No control",(SUMIF(Tank4!$B$32:$B$49,$J224,Tank4!$C$32:$C$49)*Impacts!$F$11),0)</f>
        <v>0</v>
      </c>
      <c r="P224" s="10">
        <f>IF(Tank5!$C$23="No control",(SUMIF(Tank5!$B$32:$B$49,$J224,Tank5!$C$32:$C$49)*Impacts!$F$12),0)</f>
        <v>0</v>
      </c>
      <c r="Q224" s="10">
        <f>IFERROR(IF(('Loading-drum,tote'!$C$21)="No control",SUMIF(('Loading-drum,tote'!$B$31:$B$48),$J224,('Loading-drum,tote'!$D$31:$D$48))*Impacts!$F$13,IF(('Loading-drum,tote'!$C$21)&lt;&gt;"No control",SUMIF(('Loading-drum,tote'!$B$31:$B$48),$J224,('Loading-drum,tote'!$E$31:$E$48))*Impacts!$F$13,0)),0)</f>
        <v>0</v>
      </c>
      <c r="R224" s="10">
        <f>IFERROR(IF(('Loading-truck'!$C$21)="No control",SUMIF(('Loading-truck'!$B$31:$B$48),$J224,('Loading-truck'!$D$31:$D$48))*Impacts!$F$14,IF(('Loading-truck'!$C$21)&lt;&gt;"No control",SUMIF(('Loading-truck'!$B$31:$B$48),$J224,('Loading-truck'!$E$31:$E$48))*Impacts!$F$14,0)),0)</f>
        <v>0</v>
      </c>
      <c r="S224" s="10">
        <f>IFERROR(IF(('Loading-rail'!$C$21)="No control",SUMIF(('Loading-rail'!$B$31:$B$48),$J224,('Loading-rail'!$D$31:$D$48))*Impacts!$F$15,IF(('Loading-rail'!$C$21)&lt;&gt;"No control",SUMIF(('Loading-rail'!$B$31:$B$48),$J224,('Loading-rail'!$E$31:$E$48))*Impacts!$F$15,0)),0)</f>
        <v>0</v>
      </c>
      <c r="T224" s="10">
        <f>IF(Flare!$C$7="",0,(SUMIF(Flare!$B$46:$B$185,$J224,Flare!$E$46:$E$185)*Impacts!$F$16))</f>
        <v>0</v>
      </c>
      <c r="U224" s="10">
        <f>IF(VCU!$C$9="",0,(SUMIF(VCU!$B$51:$B$193,$J224,VCU!$E$51:$E$193)*Impacts!$F$17))</f>
        <v>0</v>
      </c>
      <c r="V224" s="10">
        <f>IF(CAS!$C$7="",0,(SUMIF(CAS!$B$31:$B$167,$J224,CAS!$E$31:$E$167)*Impacts!$F$18))</f>
        <v>0</v>
      </c>
      <c r="W224" s="10">
        <f t="shared" si="45"/>
        <v>0</v>
      </c>
      <c r="AK224" s="10" t="str">
        <f t="array" ref="AK224">IFERROR(INDEX(SelectedSpecies,SMALL(IF(SelectedSpecies=AK$1,ROW(SelectedSpecies)),ROW(225:225)),2),"")</f>
        <v/>
      </c>
      <c r="BE224" s="10"/>
      <c r="BI224" s="10"/>
    </row>
    <row r="225" spans="1:61" ht="21" customHeight="1" x14ac:dyDescent="0.25">
      <c r="A225" s="10"/>
      <c r="B225" s="16" t="s">
        <v>233</v>
      </c>
      <c r="C225" s="10">
        <v>100</v>
      </c>
      <c r="D225" s="10">
        <v>249</v>
      </c>
      <c r="E225" s="17">
        <v>249</v>
      </c>
      <c r="I225" s="436" t="s">
        <v>4087</v>
      </c>
      <c r="J225" s="26" t="s">
        <v>4086</v>
      </c>
      <c r="K225" s="10">
        <v>5.5</v>
      </c>
      <c r="L225" s="73">
        <f>IF(Tank1!$C$23="No control",(SUMIF(Tank1!$B$32:$B$49,$J225,Tank1!$C$32:$C$49)*Impacts!$F$8),0)</f>
        <v>0</v>
      </c>
      <c r="M225" s="10">
        <f>IF(Tank2!$C$23="No control",(SUMIF(Tank2!$B$32:$B$49,$J225,Tank2!$C$32:$C$49)*Impacts!$F$9),0)</f>
        <v>0</v>
      </c>
      <c r="N225" s="10">
        <f>IF(Tank3!$C$23="No control",(SUMIF(Tank3!$B$32:$B$49,$J225,Tank3!$C$32:$C$49)*Impacts!$F$10),0)</f>
        <v>0</v>
      </c>
      <c r="O225" s="10">
        <f>IF(Tank4!$C$23="No control",(SUMIF(Tank4!$B$32:$B$49,$J225,Tank4!$C$32:$C$49)*Impacts!$F$11),0)</f>
        <v>0</v>
      </c>
      <c r="P225" s="10">
        <f>IF(Tank5!$C$23="No control",(SUMIF(Tank5!$B$32:$B$49,$J225,Tank5!$C$32:$C$49)*Impacts!$F$12),0)</f>
        <v>0</v>
      </c>
      <c r="Q225" s="10">
        <f>IFERROR(IF(('Loading-drum,tote'!$C$21)="No control",SUMIF(('Loading-drum,tote'!$B$31:$B$48),$J225,('Loading-drum,tote'!$D$31:$D$48))*Impacts!$F$13,IF(('Loading-drum,tote'!$C$21)&lt;&gt;"No control",SUMIF(('Loading-drum,tote'!$B$31:$B$48),$J225,('Loading-drum,tote'!$E$31:$E$48))*Impacts!$F$13,0)),0)</f>
        <v>0</v>
      </c>
      <c r="R225" s="10">
        <f>IFERROR(IF(('Loading-truck'!$C$21)="No control",SUMIF(('Loading-truck'!$B$31:$B$48),$J225,('Loading-truck'!$D$31:$D$48))*Impacts!$F$14,IF(('Loading-truck'!$C$21)&lt;&gt;"No control",SUMIF(('Loading-truck'!$B$31:$B$48),$J225,('Loading-truck'!$E$31:$E$48))*Impacts!$F$14,0)),0)</f>
        <v>0</v>
      </c>
      <c r="S225" s="10">
        <f>IFERROR(IF(('Loading-rail'!$C$21)="No control",SUMIF(('Loading-rail'!$B$31:$B$48),$J225,('Loading-rail'!$D$31:$D$48))*Impacts!$F$15,IF(('Loading-rail'!$C$21)&lt;&gt;"No control",SUMIF(('Loading-rail'!$B$31:$B$48),$J225,('Loading-rail'!$E$31:$E$48))*Impacts!$F$15,0)),0)</f>
        <v>0</v>
      </c>
      <c r="T225" s="10">
        <f>IF(Flare!$C$7="",0,(SUMIF(Flare!$B$46:$B$185,$J225,Flare!$E$46:$E$185)*Impacts!$F$16))</f>
        <v>0</v>
      </c>
      <c r="U225" s="10">
        <f>IF(VCU!$C$9="",0,(SUMIF(VCU!$B$51:$B$193,$J225,VCU!$E$51:$E$193)*Impacts!$F$17))</f>
        <v>0</v>
      </c>
      <c r="V225" s="10">
        <f>IF(CAS!$C$7="",0,(SUMIF(CAS!$B$31:$B$167,$J225,CAS!$E$31:$E$167)*Impacts!$F$18))</f>
        <v>0</v>
      </c>
      <c r="W225" s="10">
        <f t="shared" si="45"/>
        <v>0</v>
      </c>
      <c r="AK225" s="10" t="str">
        <f t="array" ref="AK225">IFERROR(INDEX(SelectedSpecies,SMALL(IF(SelectedSpecies=AK$1,ROW(SelectedSpecies)),ROW(226:226)),2),"")</f>
        <v/>
      </c>
      <c r="BE225" s="10"/>
      <c r="BI225" s="10"/>
    </row>
    <row r="226" spans="1:61" ht="21" customHeight="1" x14ac:dyDescent="0.25">
      <c r="A226" s="10"/>
      <c r="B226" s="16" t="s">
        <v>234</v>
      </c>
      <c r="C226" s="10">
        <v>100</v>
      </c>
      <c r="D226" s="10">
        <v>249</v>
      </c>
      <c r="E226" s="17">
        <v>249</v>
      </c>
      <c r="I226" s="436" t="s">
        <v>5672</v>
      </c>
      <c r="J226" s="26" t="s">
        <v>5671</v>
      </c>
      <c r="K226" s="10">
        <v>1</v>
      </c>
      <c r="L226" s="73">
        <f>IF(Tank1!$C$23="No control",(SUMIF(Tank1!$B$32:$B$49,$J226,Tank1!$C$32:$C$49)*Impacts!$F$8),0)</f>
        <v>0</v>
      </c>
      <c r="M226" s="10">
        <f>IF(Tank2!$C$23="No control",(SUMIF(Tank2!$B$32:$B$49,$J226,Tank2!$C$32:$C$49)*Impacts!$F$9),0)</f>
        <v>0</v>
      </c>
      <c r="N226" s="10">
        <f>IF(Tank3!$C$23="No control",(SUMIF(Tank3!$B$32:$B$49,$J226,Tank3!$C$32:$C$49)*Impacts!$F$10),0)</f>
        <v>0</v>
      </c>
      <c r="O226" s="10">
        <f>IF(Tank4!$C$23="No control",(SUMIF(Tank4!$B$32:$B$49,$J226,Tank4!$C$32:$C$49)*Impacts!$F$11),0)</f>
        <v>0</v>
      </c>
      <c r="P226" s="10">
        <f>IF(Tank5!$C$23="No control",(SUMIF(Tank5!$B$32:$B$49,$J226,Tank5!$C$32:$C$49)*Impacts!$F$12),0)</f>
        <v>0</v>
      </c>
      <c r="Q226" s="10">
        <f>IFERROR(IF(('Loading-drum,tote'!$C$21)="No control",SUMIF(('Loading-drum,tote'!$B$31:$B$48),$J226,('Loading-drum,tote'!$D$31:$D$48))*Impacts!$F$13,IF(('Loading-drum,tote'!$C$21)&lt;&gt;"No control",SUMIF(('Loading-drum,tote'!$B$31:$B$48),$J226,('Loading-drum,tote'!$E$31:$E$48))*Impacts!$F$13,0)),0)</f>
        <v>0</v>
      </c>
      <c r="R226" s="10">
        <f>IFERROR(IF(('Loading-truck'!$C$21)="No control",SUMIF(('Loading-truck'!$B$31:$B$48),$J226,('Loading-truck'!$D$31:$D$48))*Impacts!$F$14,IF(('Loading-truck'!$C$21)&lt;&gt;"No control",SUMIF(('Loading-truck'!$B$31:$B$48),$J226,('Loading-truck'!$E$31:$E$48))*Impacts!$F$14,0)),0)</f>
        <v>0</v>
      </c>
      <c r="S226" s="10">
        <f>IFERROR(IF(('Loading-rail'!$C$21)="No control",SUMIF(('Loading-rail'!$B$31:$B$48),$J226,('Loading-rail'!$D$31:$D$48))*Impacts!$F$15,IF(('Loading-rail'!$C$21)&lt;&gt;"No control",SUMIF(('Loading-rail'!$B$31:$B$48),$J226,('Loading-rail'!$E$31:$E$48))*Impacts!$F$15,0)),0)</f>
        <v>0</v>
      </c>
      <c r="T226" s="10">
        <f>IF(Flare!$C$7="",0,(SUMIF(Flare!$B$46:$B$185,$J226,Flare!$E$46:$E$185)*Impacts!$F$16))</f>
        <v>0</v>
      </c>
      <c r="U226" s="10">
        <f>IF(VCU!$C$9="",0,(SUMIF(VCU!$B$51:$B$193,$J226,VCU!$E$51:$E$193)*Impacts!$F$17))</f>
        <v>0</v>
      </c>
      <c r="V226" s="10">
        <f>IF(CAS!$C$7="",0,(SUMIF(CAS!$B$31:$B$167,$J226,CAS!$E$31:$E$167)*Impacts!$F$18))</f>
        <v>0</v>
      </c>
      <c r="W226" s="10">
        <f t="shared" si="45"/>
        <v>0</v>
      </c>
      <c r="AK226" s="10" t="str">
        <f t="array" ref="AK226">IFERROR(INDEX(SelectedSpecies,SMALL(IF(SelectedSpecies=AK$1,ROW(SelectedSpecies)),ROW(227:227)),2),"")</f>
        <v/>
      </c>
      <c r="BE226" s="10"/>
      <c r="BI226" s="10"/>
    </row>
    <row r="227" spans="1:61" ht="21" customHeight="1" x14ac:dyDescent="0.25">
      <c r="A227" s="10"/>
      <c r="B227" s="16" t="s">
        <v>235</v>
      </c>
      <c r="C227" s="10">
        <v>100</v>
      </c>
      <c r="D227" s="10">
        <v>249</v>
      </c>
      <c r="E227" s="17">
        <v>249</v>
      </c>
      <c r="I227" s="436" t="s">
        <v>920</v>
      </c>
      <c r="J227" s="26" t="s">
        <v>919</v>
      </c>
      <c r="K227" s="10">
        <v>44</v>
      </c>
      <c r="L227" s="73">
        <f>IF(Tank1!$C$23="No control",(SUMIF(Tank1!$B$32:$B$49,$J227,Tank1!$C$32:$C$49)*Impacts!$F$8),0)</f>
        <v>0</v>
      </c>
      <c r="M227" s="10">
        <f>IF(Tank2!$C$23="No control",(SUMIF(Tank2!$B$32:$B$49,$J227,Tank2!$C$32:$C$49)*Impacts!$F$9),0)</f>
        <v>0</v>
      </c>
      <c r="N227" s="10">
        <f>IF(Tank3!$C$23="No control",(SUMIF(Tank3!$B$32:$B$49,$J227,Tank3!$C$32:$C$49)*Impacts!$F$10),0)</f>
        <v>0</v>
      </c>
      <c r="O227" s="10">
        <f>IF(Tank4!$C$23="No control",(SUMIF(Tank4!$B$32:$B$49,$J227,Tank4!$C$32:$C$49)*Impacts!$F$11),0)</f>
        <v>0</v>
      </c>
      <c r="P227" s="10">
        <f>IF(Tank5!$C$23="No control",(SUMIF(Tank5!$B$32:$B$49,$J227,Tank5!$C$32:$C$49)*Impacts!$F$12),0)</f>
        <v>0</v>
      </c>
      <c r="Q227" s="10">
        <f>IFERROR(IF(('Loading-drum,tote'!$C$21)="No control",SUMIF(('Loading-drum,tote'!$B$31:$B$48),$J227,('Loading-drum,tote'!$D$31:$D$48))*Impacts!$F$13,IF(('Loading-drum,tote'!$C$21)&lt;&gt;"No control",SUMIF(('Loading-drum,tote'!$B$31:$B$48),$J227,('Loading-drum,tote'!$E$31:$E$48))*Impacts!$F$13,0)),0)</f>
        <v>0</v>
      </c>
      <c r="R227" s="10">
        <f>IFERROR(IF(('Loading-truck'!$C$21)="No control",SUMIF(('Loading-truck'!$B$31:$B$48),$J227,('Loading-truck'!$D$31:$D$48))*Impacts!$F$14,IF(('Loading-truck'!$C$21)&lt;&gt;"No control",SUMIF(('Loading-truck'!$B$31:$B$48),$J227,('Loading-truck'!$E$31:$E$48))*Impacts!$F$14,0)),0)</f>
        <v>0</v>
      </c>
      <c r="S227" s="10">
        <f>IFERROR(IF(('Loading-rail'!$C$21)="No control",SUMIF(('Loading-rail'!$B$31:$B$48),$J227,('Loading-rail'!$D$31:$D$48))*Impacts!$F$15,IF(('Loading-rail'!$C$21)&lt;&gt;"No control",SUMIF(('Loading-rail'!$B$31:$B$48),$J227,('Loading-rail'!$E$31:$E$48))*Impacts!$F$15,0)),0)</f>
        <v>0</v>
      </c>
      <c r="T227" s="10">
        <f>IF(Flare!$C$7="",0,(SUMIF(Flare!$B$46:$B$185,$J227,Flare!$E$46:$E$185)*Impacts!$F$16))</f>
        <v>0</v>
      </c>
      <c r="U227" s="10">
        <f>IF(VCU!$C$9="",0,(SUMIF(VCU!$B$51:$B$193,$J227,VCU!$E$51:$E$193)*Impacts!$F$17))</f>
        <v>0</v>
      </c>
      <c r="V227" s="10">
        <f>IF(CAS!$C$7="",0,(SUMIF(CAS!$B$31:$B$167,$J227,CAS!$E$31:$E$167)*Impacts!$F$18))</f>
        <v>0</v>
      </c>
      <c r="W227" s="10">
        <f t="shared" si="45"/>
        <v>0</v>
      </c>
      <c r="AK227" s="10" t="str">
        <f t="array" ref="AK227">IFERROR(INDEX(SelectedSpecies,SMALL(IF(SelectedSpecies=AK$1,ROW(SelectedSpecies)),ROW(228:228)),2),"")</f>
        <v/>
      </c>
      <c r="BE227" s="10"/>
      <c r="BI227" s="10"/>
    </row>
    <row r="228" spans="1:61" ht="21" customHeight="1" x14ac:dyDescent="0.25">
      <c r="A228" s="10"/>
      <c r="B228" s="16" t="s">
        <v>236</v>
      </c>
      <c r="C228" s="10">
        <v>100</v>
      </c>
      <c r="D228" s="10">
        <v>249</v>
      </c>
      <c r="E228" s="17">
        <v>249</v>
      </c>
      <c r="I228" s="436" t="s">
        <v>766</v>
      </c>
      <c r="J228" s="26" t="s">
        <v>765</v>
      </c>
      <c r="K228" s="10">
        <v>54</v>
      </c>
      <c r="L228" s="73">
        <f>IF(Tank1!$C$23="No control",(SUMIF(Tank1!$B$32:$B$49,$J228,Tank1!$C$32:$C$49)*Impacts!$F$8),0)</f>
        <v>0</v>
      </c>
      <c r="M228" s="10">
        <f>IF(Tank2!$C$23="No control",(SUMIF(Tank2!$B$32:$B$49,$J228,Tank2!$C$32:$C$49)*Impacts!$F$9),0)</f>
        <v>0</v>
      </c>
      <c r="N228" s="10">
        <f>IF(Tank3!$C$23="No control",(SUMIF(Tank3!$B$32:$B$49,$J228,Tank3!$C$32:$C$49)*Impacts!$F$10),0)</f>
        <v>0</v>
      </c>
      <c r="O228" s="10">
        <f>IF(Tank4!$C$23="No control",(SUMIF(Tank4!$B$32:$B$49,$J228,Tank4!$C$32:$C$49)*Impacts!$F$11),0)</f>
        <v>0</v>
      </c>
      <c r="P228" s="10">
        <f>IF(Tank5!$C$23="No control",(SUMIF(Tank5!$B$32:$B$49,$J228,Tank5!$C$32:$C$49)*Impacts!$F$12),0)</f>
        <v>0</v>
      </c>
      <c r="Q228" s="10">
        <f>IFERROR(IF(('Loading-drum,tote'!$C$21)="No control",SUMIF(('Loading-drum,tote'!$B$31:$B$48),$J228,('Loading-drum,tote'!$D$31:$D$48))*Impacts!$F$13,IF(('Loading-drum,tote'!$C$21)&lt;&gt;"No control",SUMIF(('Loading-drum,tote'!$B$31:$B$48),$J228,('Loading-drum,tote'!$E$31:$E$48))*Impacts!$F$13,0)),0)</f>
        <v>0</v>
      </c>
      <c r="R228" s="10">
        <f>IFERROR(IF(('Loading-truck'!$C$21)="No control",SUMIF(('Loading-truck'!$B$31:$B$48),$J228,('Loading-truck'!$D$31:$D$48))*Impacts!$F$14,IF(('Loading-truck'!$C$21)&lt;&gt;"No control",SUMIF(('Loading-truck'!$B$31:$B$48),$J228,('Loading-truck'!$E$31:$E$48))*Impacts!$F$14,0)),0)</f>
        <v>0</v>
      </c>
      <c r="S228" s="10">
        <f>IFERROR(IF(('Loading-rail'!$C$21)="No control",SUMIF(('Loading-rail'!$B$31:$B$48),$J228,('Loading-rail'!$D$31:$D$48))*Impacts!$F$15,IF(('Loading-rail'!$C$21)&lt;&gt;"No control",SUMIF(('Loading-rail'!$B$31:$B$48),$J228,('Loading-rail'!$E$31:$E$48))*Impacts!$F$15,0)),0)</f>
        <v>0</v>
      </c>
      <c r="T228" s="10">
        <f>IF(Flare!$C$7="",0,(SUMIF(Flare!$B$46:$B$185,$J228,Flare!$E$46:$E$185)*Impacts!$F$16))</f>
        <v>0</v>
      </c>
      <c r="U228" s="10">
        <f>IF(VCU!$C$9="",0,(SUMIF(VCU!$B$51:$B$193,$J228,VCU!$E$51:$E$193)*Impacts!$F$17))</f>
        <v>0</v>
      </c>
      <c r="V228" s="10">
        <f>IF(CAS!$C$7="",0,(SUMIF(CAS!$B$31:$B$167,$J228,CAS!$E$31:$E$167)*Impacts!$F$18))</f>
        <v>0</v>
      </c>
      <c r="W228" s="10">
        <f t="shared" si="45"/>
        <v>0</v>
      </c>
      <c r="AK228" s="10" t="str">
        <f t="array" ref="AK228">IFERROR(INDEX(SelectedSpecies,SMALL(IF(SelectedSpecies=AK$1,ROW(SelectedSpecies)),ROW(229:229)),2),"")</f>
        <v/>
      </c>
      <c r="BE228" s="10"/>
      <c r="BI228" s="10"/>
    </row>
    <row r="229" spans="1:61" ht="21" customHeight="1" x14ac:dyDescent="0.25">
      <c r="A229" s="10"/>
      <c r="B229" s="16" t="s">
        <v>237</v>
      </c>
      <c r="C229" s="10">
        <v>100</v>
      </c>
      <c r="D229" s="10">
        <v>249</v>
      </c>
      <c r="E229" s="17">
        <v>249</v>
      </c>
      <c r="I229" s="436" t="s">
        <v>850</v>
      </c>
      <c r="J229" s="26" t="s">
        <v>849</v>
      </c>
      <c r="K229" s="10">
        <v>45</v>
      </c>
      <c r="L229" s="73">
        <f>IF(Tank1!$C$23="No control",(SUMIF(Tank1!$B$32:$B$49,$J229,Tank1!$C$32:$C$49)*Impacts!$F$8),0)</f>
        <v>0</v>
      </c>
      <c r="M229" s="10">
        <f>IF(Tank2!$C$23="No control",(SUMIF(Tank2!$B$32:$B$49,$J229,Tank2!$C$32:$C$49)*Impacts!$F$9),0)</f>
        <v>0</v>
      </c>
      <c r="N229" s="10">
        <f>IF(Tank3!$C$23="No control",(SUMIF(Tank3!$B$32:$B$49,$J229,Tank3!$C$32:$C$49)*Impacts!$F$10),0)</f>
        <v>0</v>
      </c>
      <c r="O229" s="10">
        <f>IF(Tank4!$C$23="No control",(SUMIF(Tank4!$B$32:$B$49,$J229,Tank4!$C$32:$C$49)*Impacts!$F$11),0)</f>
        <v>0</v>
      </c>
      <c r="P229" s="10">
        <f>IF(Tank5!$C$23="No control",(SUMIF(Tank5!$B$32:$B$49,$J229,Tank5!$C$32:$C$49)*Impacts!$F$12),0)</f>
        <v>0</v>
      </c>
      <c r="Q229" s="10">
        <f>IFERROR(IF(('Loading-drum,tote'!$C$21)="No control",SUMIF(('Loading-drum,tote'!$B$31:$B$48),$J229,('Loading-drum,tote'!$D$31:$D$48))*Impacts!$F$13,IF(('Loading-drum,tote'!$C$21)&lt;&gt;"No control",SUMIF(('Loading-drum,tote'!$B$31:$B$48),$J229,('Loading-drum,tote'!$E$31:$E$48))*Impacts!$F$13,0)),0)</f>
        <v>0</v>
      </c>
      <c r="R229" s="10">
        <f>IFERROR(IF(('Loading-truck'!$C$21)="No control",SUMIF(('Loading-truck'!$B$31:$B$48),$J229,('Loading-truck'!$D$31:$D$48))*Impacts!$F$14,IF(('Loading-truck'!$C$21)&lt;&gt;"No control",SUMIF(('Loading-truck'!$B$31:$B$48),$J229,('Loading-truck'!$E$31:$E$48))*Impacts!$F$14,0)),0)</f>
        <v>0</v>
      </c>
      <c r="S229" s="10">
        <f>IFERROR(IF(('Loading-rail'!$C$21)="No control",SUMIF(('Loading-rail'!$B$31:$B$48),$J229,('Loading-rail'!$D$31:$D$48))*Impacts!$F$15,IF(('Loading-rail'!$C$21)&lt;&gt;"No control",SUMIF(('Loading-rail'!$B$31:$B$48),$J229,('Loading-rail'!$E$31:$E$48))*Impacts!$F$15,0)),0)</f>
        <v>0</v>
      </c>
      <c r="T229" s="10">
        <f>IF(Flare!$C$7="",0,(SUMIF(Flare!$B$46:$B$185,$J229,Flare!$E$46:$E$185)*Impacts!$F$16))</f>
        <v>0</v>
      </c>
      <c r="U229" s="10">
        <f>IF(VCU!$C$9="",0,(SUMIF(VCU!$B$51:$B$193,$J229,VCU!$E$51:$E$193)*Impacts!$F$17))</f>
        <v>0</v>
      </c>
      <c r="V229" s="10">
        <f>IF(CAS!$C$7="",0,(SUMIF(CAS!$B$31:$B$167,$J229,CAS!$E$31:$E$167)*Impacts!$F$18))</f>
        <v>0</v>
      </c>
      <c r="W229" s="10">
        <f t="shared" si="45"/>
        <v>0</v>
      </c>
      <c r="AK229" s="10" t="str">
        <f t="array" ref="AK229">IFERROR(INDEX(SelectedSpecies,SMALL(IF(SelectedSpecies=AK$1,ROW(SelectedSpecies)),ROW(230:230)),2),"")</f>
        <v/>
      </c>
      <c r="BE229" s="10"/>
      <c r="BI229" s="10"/>
    </row>
    <row r="230" spans="1:61" ht="21" customHeight="1" x14ac:dyDescent="0.25">
      <c r="A230" s="10"/>
      <c r="B230" s="16" t="s">
        <v>238</v>
      </c>
      <c r="C230" s="10">
        <v>100</v>
      </c>
      <c r="D230" s="10">
        <v>249</v>
      </c>
      <c r="E230" s="17">
        <v>249</v>
      </c>
      <c r="I230" s="436" t="s">
        <v>2679</v>
      </c>
      <c r="J230" s="26" t="s">
        <v>2678</v>
      </c>
      <c r="K230" s="10">
        <v>10</v>
      </c>
      <c r="L230" s="73">
        <f>IF(Tank1!$C$23="No control",(SUMIF(Tank1!$B$32:$B$49,$J230,Tank1!$C$32:$C$49)*Impacts!$F$8),0)</f>
        <v>0</v>
      </c>
      <c r="M230" s="10">
        <f>IF(Tank2!$C$23="No control",(SUMIF(Tank2!$B$32:$B$49,$J230,Tank2!$C$32:$C$49)*Impacts!$F$9),0)</f>
        <v>0</v>
      </c>
      <c r="N230" s="10">
        <f>IF(Tank3!$C$23="No control",(SUMIF(Tank3!$B$32:$B$49,$J230,Tank3!$C$32:$C$49)*Impacts!$F$10),0)</f>
        <v>0</v>
      </c>
      <c r="O230" s="10">
        <f>IF(Tank4!$C$23="No control",(SUMIF(Tank4!$B$32:$B$49,$J230,Tank4!$C$32:$C$49)*Impacts!$F$11),0)</f>
        <v>0</v>
      </c>
      <c r="P230" s="10">
        <f>IF(Tank5!$C$23="No control",(SUMIF(Tank5!$B$32:$B$49,$J230,Tank5!$C$32:$C$49)*Impacts!$F$12),0)</f>
        <v>0</v>
      </c>
      <c r="Q230" s="10">
        <f>IFERROR(IF(('Loading-drum,tote'!$C$21)="No control",SUMIF(('Loading-drum,tote'!$B$31:$B$48),$J230,('Loading-drum,tote'!$D$31:$D$48))*Impacts!$F$13,IF(('Loading-drum,tote'!$C$21)&lt;&gt;"No control",SUMIF(('Loading-drum,tote'!$B$31:$B$48),$J230,('Loading-drum,tote'!$E$31:$E$48))*Impacts!$F$13,0)),0)</f>
        <v>0</v>
      </c>
      <c r="R230" s="10">
        <f>IFERROR(IF(('Loading-truck'!$C$21)="No control",SUMIF(('Loading-truck'!$B$31:$B$48),$J230,('Loading-truck'!$D$31:$D$48))*Impacts!$F$14,IF(('Loading-truck'!$C$21)&lt;&gt;"No control",SUMIF(('Loading-truck'!$B$31:$B$48),$J230,('Loading-truck'!$E$31:$E$48))*Impacts!$F$14,0)),0)</f>
        <v>0</v>
      </c>
      <c r="S230" s="10">
        <f>IFERROR(IF(('Loading-rail'!$C$21)="No control",SUMIF(('Loading-rail'!$B$31:$B$48),$J230,('Loading-rail'!$D$31:$D$48))*Impacts!$F$15,IF(('Loading-rail'!$C$21)&lt;&gt;"No control",SUMIF(('Loading-rail'!$B$31:$B$48),$J230,('Loading-rail'!$E$31:$E$48))*Impacts!$F$15,0)),0)</f>
        <v>0</v>
      </c>
      <c r="T230" s="10">
        <f>IF(Flare!$C$7="",0,(SUMIF(Flare!$B$46:$B$185,$J230,Flare!$E$46:$E$185)*Impacts!$F$16))</f>
        <v>0</v>
      </c>
      <c r="U230" s="10">
        <f>IF(VCU!$C$9="",0,(SUMIF(VCU!$B$51:$B$193,$J230,VCU!$E$51:$E$193)*Impacts!$F$17))</f>
        <v>0</v>
      </c>
      <c r="V230" s="10">
        <f>IF(CAS!$C$7="",0,(SUMIF(CAS!$B$31:$B$167,$J230,CAS!$E$31:$E$167)*Impacts!$F$18))</f>
        <v>0</v>
      </c>
      <c r="W230" s="10">
        <f t="shared" si="45"/>
        <v>0</v>
      </c>
      <c r="AK230" s="10" t="str">
        <f t="array" ref="AK230">IFERROR(INDEX(SelectedSpecies,SMALL(IF(SelectedSpecies=AK$1,ROW(SelectedSpecies)),ROW(231:231)),2),"")</f>
        <v/>
      </c>
      <c r="BE230" s="10"/>
      <c r="BI230" s="10"/>
    </row>
    <row r="231" spans="1:61" ht="21" customHeight="1" x14ac:dyDescent="0.25">
      <c r="A231" s="10"/>
      <c r="B231" s="16" t="s">
        <v>239</v>
      </c>
      <c r="C231" s="10">
        <v>100</v>
      </c>
      <c r="D231" s="10">
        <v>249</v>
      </c>
      <c r="E231" s="17">
        <v>249</v>
      </c>
      <c r="I231" s="436" t="s">
        <v>7684</v>
      </c>
      <c r="J231" s="26" t="s">
        <v>7683</v>
      </c>
      <c r="K231" s="10">
        <v>0.1</v>
      </c>
      <c r="L231" s="73">
        <f>IF(Tank1!$C$23="No control",(SUMIF(Tank1!$B$32:$B$49,$J231,Tank1!$C$32:$C$49)*Impacts!$F$8),0)</f>
        <v>0</v>
      </c>
      <c r="M231" s="10">
        <f>IF(Tank2!$C$23="No control",(SUMIF(Tank2!$B$32:$B$49,$J231,Tank2!$C$32:$C$49)*Impacts!$F$9),0)</f>
        <v>0</v>
      </c>
      <c r="N231" s="10">
        <f>IF(Tank3!$C$23="No control",(SUMIF(Tank3!$B$32:$B$49,$J231,Tank3!$C$32:$C$49)*Impacts!$F$10),0)</f>
        <v>0</v>
      </c>
      <c r="O231" s="10">
        <f>IF(Tank4!$C$23="No control",(SUMIF(Tank4!$B$32:$B$49,$J231,Tank4!$C$32:$C$49)*Impacts!$F$11),0)</f>
        <v>0</v>
      </c>
      <c r="P231" s="10">
        <f>IF(Tank5!$C$23="No control",(SUMIF(Tank5!$B$32:$B$49,$J231,Tank5!$C$32:$C$49)*Impacts!$F$12),0)</f>
        <v>0</v>
      </c>
      <c r="Q231" s="10">
        <f>IFERROR(IF(('Loading-drum,tote'!$C$21)="No control",SUMIF(('Loading-drum,tote'!$B$31:$B$48),$J231,('Loading-drum,tote'!$D$31:$D$48))*Impacts!$F$13,IF(('Loading-drum,tote'!$C$21)&lt;&gt;"No control",SUMIF(('Loading-drum,tote'!$B$31:$B$48),$J231,('Loading-drum,tote'!$E$31:$E$48))*Impacts!$F$13,0)),0)</f>
        <v>0</v>
      </c>
      <c r="R231" s="10">
        <f>IFERROR(IF(('Loading-truck'!$C$21)="No control",SUMIF(('Loading-truck'!$B$31:$B$48),$J231,('Loading-truck'!$D$31:$D$48))*Impacts!$F$14,IF(('Loading-truck'!$C$21)&lt;&gt;"No control",SUMIF(('Loading-truck'!$B$31:$B$48),$J231,('Loading-truck'!$E$31:$E$48))*Impacts!$F$14,0)),0)</f>
        <v>0</v>
      </c>
      <c r="S231" s="10">
        <f>IFERROR(IF(('Loading-rail'!$C$21)="No control",SUMIF(('Loading-rail'!$B$31:$B$48),$J231,('Loading-rail'!$D$31:$D$48))*Impacts!$F$15,IF(('Loading-rail'!$C$21)&lt;&gt;"No control",SUMIF(('Loading-rail'!$B$31:$B$48),$J231,('Loading-rail'!$E$31:$E$48))*Impacts!$F$15,0)),0)</f>
        <v>0</v>
      </c>
      <c r="T231" s="10">
        <f>IF(Flare!$C$7="",0,(SUMIF(Flare!$B$46:$B$185,$J231,Flare!$E$46:$E$185)*Impacts!$F$16))</f>
        <v>0</v>
      </c>
      <c r="U231" s="10">
        <f>IF(VCU!$C$9="",0,(SUMIF(VCU!$B$51:$B$193,$J231,VCU!$E$51:$E$193)*Impacts!$F$17))</f>
        <v>0</v>
      </c>
      <c r="V231" s="10">
        <f>IF(CAS!$C$7="",0,(SUMIF(CAS!$B$31:$B$167,$J231,CAS!$E$31:$E$167)*Impacts!$F$18))</f>
        <v>0</v>
      </c>
      <c r="W231" s="10">
        <f t="shared" si="45"/>
        <v>0</v>
      </c>
      <c r="AK231" s="10" t="str">
        <f t="array" ref="AK231">IFERROR(INDEX(SelectedSpecies,SMALL(IF(SelectedSpecies=AK$1,ROW(SelectedSpecies)),ROW(232:232)),2),"")</f>
        <v/>
      </c>
      <c r="BE231" s="10"/>
      <c r="BI231" s="10"/>
    </row>
    <row r="232" spans="1:61" ht="21" customHeight="1" x14ac:dyDescent="0.25">
      <c r="A232" s="10"/>
      <c r="B232" s="16" t="s">
        <v>240</v>
      </c>
      <c r="C232" s="10">
        <v>100</v>
      </c>
      <c r="D232" s="10">
        <v>249</v>
      </c>
      <c r="E232" s="17">
        <v>249</v>
      </c>
      <c r="I232" s="436" t="s">
        <v>5674</v>
      </c>
      <c r="J232" s="26" t="s">
        <v>5673</v>
      </c>
      <c r="K232" s="10">
        <v>1</v>
      </c>
      <c r="L232" s="73">
        <f>IF(Tank1!$C$23="No control",(SUMIF(Tank1!$B$32:$B$49,$J232,Tank1!$C$32:$C$49)*Impacts!$F$8),0)</f>
        <v>0</v>
      </c>
      <c r="M232" s="10">
        <f>IF(Tank2!$C$23="No control",(SUMIF(Tank2!$B$32:$B$49,$J232,Tank2!$C$32:$C$49)*Impacts!$F$9),0)</f>
        <v>0</v>
      </c>
      <c r="N232" s="10">
        <f>IF(Tank3!$C$23="No control",(SUMIF(Tank3!$B$32:$B$49,$J232,Tank3!$C$32:$C$49)*Impacts!$F$10),0)</f>
        <v>0</v>
      </c>
      <c r="O232" s="10">
        <f>IF(Tank4!$C$23="No control",(SUMIF(Tank4!$B$32:$B$49,$J232,Tank4!$C$32:$C$49)*Impacts!$F$11),0)</f>
        <v>0</v>
      </c>
      <c r="P232" s="10">
        <f>IF(Tank5!$C$23="No control",(SUMIF(Tank5!$B$32:$B$49,$J232,Tank5!$C$32:$C$49)*Impacts!$F$12),0)</f>
        <v>0</v>
      </c>
      <c r="Q232" s="10">
        <f>IFERROR(IF(('Loading-drum,tote'!$C$21)="No control",SUMIF(('Loading-drum,tote'!$B$31:$B$48),$J232,('Loading-drum,tote'!$D$31:$D$48))*Impacts!$F$13,IF(('Loading-drum,tote'!$C$21)&lt;&gt;"No control",SUMIF(('Loading-drum,tote'!$B$31:$B$48),$J232,('Loading-drum,tote'!$E$31:$E$48))*Impacts!$F$13,0)),0)</f>
        <v>0</v>
      </c>
      <c r="R232" s="10">
        <f>IFERROR(IF(('Loading-truck'!$C$21)="No control",SUMIF(('Loading-truck'!$B$31:$B$48),$J232,('Loading-truck'!$D$31:$D$48))*Impacts!$F$14,IF(('Loading-truck'!$C$21)&lt;&gt;"No control",SUMIF(('Loading-truck'!$B$31:$B$48),$J232,('Loading-truck'!$E$31:$E$48))*Impacts!$F$14,0)),0)</f>
        <v>0</v>
      </c>
      <c r="S232" s="10">
        <f>IFERROR(IF(('Loading-rail'!$C$21)="No control",SUMIF(('Loading-rail'!$B$31:$B$48),$J232,('Loading-rail'!$D$31:$D$48))*Impacts!$F$15,IF(('Loading-rail'!$C$21)&lt;&gt;"No control",SUMIF(('Loading-rail'!$B$31:$B$48),$J232,('Loading-rail'!$E$31:$E$48))*Impacts!$F$15,0)),0)</f>
        <v>0</v>
      </c>
      <c r="T232" s="10">
        <f>IF(Flare!$C$7="",0,(SUMIF(Flare!$B$46:$B$185,$J232,Flare!$E$46:$E$185)*Impacts!$F$16))</f>
        <v>0</v>
      </c>
      <c r="U232" s="10">
        <f>IF(VCU!$C$9="",0,(SUMIF(VCU!$B$51:$B$193,$J232,VCU!$E$51:$E$193)*Impacts!$F$17))</f>
        <v>0</v>
      </c>
      <c r="V232" s="10">
        <f>IF(CAS!$C$7="",0,(SUMIF(CAS!$B$31:$B$167,$J232,CAS!$E$31:$E$167)*Impacts!$F$18))</f>
        <v>0</v>
      </c>
      <c r="W232" s="10">
        <f t="shared" si="45"/>
        <v>0</v>
      </c>
      <c r="AK232" s="10" t="str">
        <f t="array" ref="AK232">IFERROR(INDEX(SelectedSpecies,SMALL(IF(SelectedSpecies=AK$1,ROW(SelectedSpecies)),ROW(233:233)),2),"")</f>
        <v/>
      </c>
      <c r="BE232" s="10"/>
      <c r="BI232" s="10"/>
    </row>
    <row r="233" spans="1:61" ht="21" customHeight="1" x14ac:dyDescent="0.25">
      <c r="A233" s="10"/>
      <c r="B233" s="16" t="s">
        <v>241</v>
      </c>
      <c r="C233" s="10">
        <v>100</v>
      </c>
      <c r="D233" s="10">
        <v>249</v>
      </c>
      <c r="E233" s="17">
        <v>249</v>
      </c>
      <c r="I233" s="436" t="s">
        <v>852</v>
      </c>
      <c r="J233" s="26" t="s">
        <v>851</v>
      </c>
      <c r="K233" s="10">
        <v>45</v>
      </c>
      <c r="L233" s="73">
        <f>IF(Tank1!$C$23="No control",(SUMIF(Tank1!$B$32:$B$49,$J233,Tank1!$C$32:$C$49)*Impacts!$F$8),0)</f>
        <v>0</v>
      </c>
      <c r="M233" s="10">
        <f>IF(Tank2!$C$23="No control",(SUMIF(Tank2!$B$32:$B$49,$J233,Tank2!$C$32:$C$49)*Impacts!$F$9),0)</f>
        <v>0</v>
      </c>
      <c r="N233" s="10">
        <f>IF(Tank3!$C$23="No control",(SUMIF(Tank3!$B$32:$B$49,$J233,Tank3!$C$32:$C$49)*Impacts!$F$10),0)</f>
        <v>0</v>
      </c>
      <c r="O233" s="10">
        <f>IF(Tank4!$C$23="No control",(SUMIF(Tank4!$B$32:$B$49,$J233,Tank4!$C$32:$C$49)*Impacts!$F$11),0)</f>
        <v>0</v>
      </c>
      <c r="P233" s="10">
        <f>IF(Tank5!$C$23="No control",(SUMIF(Tank5!$B$32:$B$49,$J233,Tank5!$C$32:$C$49)*Impacts!$F$12),0)</f>
        <v>0</v>
      </c>
      <c r="Q233" s="10">
        <f>IFERROR(IF(('Loading-drum,tote'!$C$21)="No control",SUMIF(('Loading-drum,tote'!$B$31:$B$48),$J233,('Loading-drum,tote'!$D$31:$D$48))*Impacts!$F$13,IF(('Loading-drum,tote'!$C$21)&lt;&gt;"No control",SUMIF(('Loading-drum,tote'!$B$31:$B$48),$J233,('Loading-drum,tote'!$E$31:$E$48))*Impacts!$F$13,0)),0)</f>
        <v>0</v>
      </c>
      <c r="R233" s="10">
        <f>IFERROR(IF(('Loading-truck'!$C$21)="No control",SUMIF(('Loading-truck'!$B$31:$B$48),$J233,('Loading-truck'!$D$31:$D$48))*Impacts!$F$14,IF(('Loading-truck'!$C$21)&lt;&gt;"No control",SUMIF(('Loading-truck'!$B$31:$B$48),$J233,('Loading-truck'!$E$31:$E$48))*Impacts!$F$14,0)),0)</f>
        <v>0</v>
      </c>
      <c r="S233" s="10">
        <f>IFERROR(IF(('Loading-rail'!$C$21)="No control",SUMIF(('Loading-rail'!$B$31:$B$48),$J233,('Loading-rail'!$D$31:$D$48))*Impacts!$F$15,IF(('Loading-rail'!$C$21)&lt;&gt;"No control",SUMIF(('Loading-rail'!$B$31:$B$48),$J233,('Loading-rail'!$E$31:$E$48))*Impacts!$F$15,0)),0)</f>
        <v>0</v>
      </c>
      <c r="T233" s="10">
        <f>IF(Flare!$C$7="",0,(SUMIF(Flare!$B$46:$B$185,$J233,Flare!$E$46:$E$185)*Impacts!$F$16))</f>
        <v>0</v>
      </c>
      <c r="U233" s="10">
        <f>IF(VCU!$C$9="",0,(SUMIF(VCU!$B$51:$B$193,$J233,VCU!$E$51:$E$193)*Impacts!$F$17))</f>
        <v>0</v>
      </c>
      <c r="V233" s="10">
        <f>IF(CAS!$C$7="",0,(SUMIF(CAS!$B$31:$B$167,$J233,CAS!$E$31:$E$167)*Impacts!$F$18))</f>
        <v>0</v>
      </c>
      <c r="W233" s="10">
        <f t="shared" si="45"/>
        <v>0</v>
      </c>
      <c r="AK233" s="10" t="str">
        <f t="array" ref="AK233">IFERROR(INDEX(SelectedSpecies,SMALL(IF(SelectedSpecies=AK$1,ROW(SelectedSpecies)),ROW(234:234)),2),"")</f>
        <v/>
      </c>
      <c r="BE233" s="10"/>
      <c r="BI233" s="10"/>
    </row>
    <row r="234" spans="1:61" ht="21" customHeight="1" x14ac:dyDescent="0.25">
      <c r="A234" s="10"/>
      <c r="B234" s="16" t="s">
        <v>242</v>
      </c>
      <c r="C234" s="10">
        <v>100</v>
      </c>
      <c r="D234" s="10">
        <v>249</v>
      </c>
      <c r="E234" s="17">
        <v>249</v>
      </c>
      <c r="I234" s="436" t="s">
        <v>7858</v>
      </c>
      <c r="J234" s="26" t="s">
        <v>7857</v>
      </c>
      <c r="K234" s="10">
        <v>0.06</v>
      </c>
      <c r="L234" s="73">
        <f>IF(Tank1!$C$23="No control",(SUMIF(Tank1!$B$32:$B$49,$J234,Tank1!$C$32:$C$49)*Impacts!$F$8),0)</f>
        <v>0</v>
      </c>
      <c r="M234" s="10">
        <f>IF(Tank2!$C$23="No control",(SUMIF(Tank2!$B$32:$B$49,$J234,Tank2!$C$32:$C$49)*Impacts!$F$9),0)</f>
        <v>0</v>
      </c>
      <c r="N234" s="10">
        <f>IF(Tank3!$C$23="No control",(SUMIF(Tank3!$B$32:$B$49,$J234,Tank3!$C$32:$C$49)*Impacts!$F$10),0)</f>
        <v>0</v>
      </c>
      <c r="O234" s="10">
        <f>IF(Tank4!$C$23="No control",(SUMIF(Tank4!$B$32:$B$49,$J234,Tank4!$C$32:$C$49)*Impacts!$F$11),0)</f>
        <v>0</v>
      </c>
      <c r="P234" s="10">
        <f>IF(Tank5!$C$23="No control",(SUMIF(Tank5!$B$32:$B$49,$J234,Tank5!$C$32:$C$49)*Impacts!$F$12),0)</f>
        <v>0</v>
      </c>
      <c r="Q234" s="10">
        <f>IFERROR(IF(('Loading-drum,tote'!$C$21)="No control",SUMIF(('Loading-drum,tote'!$B$31:$B$48),$J234,('Loading-drum,tote'!$D$31:$D$48))*Impacts!$F$13,IF(('Loading-drum,tote'!$C$21)&lt;&gt;"No control",SUMIF(('Loading-drum,tote'!$B$31:$B$48),$J234,('Loading-drum,tote'!$E$31:$E$48))*Impacts!$F$13,0)),0)</f>
        <v>0</v>
      </c>
      <c r="R234" s="10">
        <f>IFERROR(IF(('Loading-truck'!$C$21)="No control",SUMIF(('Loading-truck'!$B$31:$B$48),$J234,('Loading-truck'!$D$31:$D$48))*Impacts!$F$14,IF(('Loading-truck'!$C$21)&lt;&gt;"No control",SUMIF(('Loading-truck'!$B$31:$B$48),$J234,('Loading-truck'!$E$31:$E$48))*Impacts!$F$14,0)),0)</f>
        <v>0</v>
      </c>
      <c r="S234" s="10">
        <f>IFERROR(IF(('Loading-rail'!$C$21)="No control",SUMIF(('Loading-rail'!$B$31:$B$48),$J234,('Loading-rail'!$D$31:$D$48))*Impacts!$F$15,IF(('Loading-rail'!$C$21)&lt;&gt;"No control",SUMIF(('Loading-rail'!$B$31:$B$48),$J234,('Loading-rail'!$E$31:$E$48))*Impacts!$F$15,0)),0)</f>
        <v>0</v>
      </c>
      <c r="T234" s="10">
        <f>IF(Flare!$C$7="",0,(SUMIF(Flare!$B$46:$B$185,$J234,Flare!$E$46:$E$185)*Impacts!$F$16))</f>
        <v>0</v>
      </c>
      <c r="U234" s="10">
        <f>IF(VCU!$C$9="",0,(SUMIF(VCU!$B$51:$B$193,$J234,VCU!$E$51:$E$193)*Impacts!$F$17))</f>
        <v>0</v>
      </c>
      <c r="V234" s="10">
        <f>IF(CAS!$C$7="",0,(SUMIF(CAS!$B$31:$B$167,$J234,CAS!$E$31:$E$167)*Impacts!$F$18))</f>
        <v>0</v>
      </c>
      <c r="W234" s="10">
        <f t="shared" si="45"/>
        <v>0</v>
      </c>
      <c r="AK234" s="10" t="str">
        <f t="array" ref="AK234">IFERROR(INDEX(SelectedSpecies,SMALL(IF(SelectedSpecies=AK$1,ROW(SelectedSpecies)),ROW(235:235)),2),"")</f>
        <v/>
      </c>
      <c r="BE234" s="10"/>
      <c r="BI234" s="10"/>
    </row>
    <row r="235" spans="1:61" ht="21" customHeight="1" x14ac:dyDescent="0.25">
      <c r="A235" s="10"/>
      <c r="B235" s="16" t="s">
        <v>243</v>
      </c>
      <c r="C235" s="10">
        <v>100</v>
      </c>
      <c r="D235" s="10">
        <v>249</v>
      </c>
      <c r="E235" s="17">
        <v>249</v>
      </c>
      <c r="I235" s="436" t="s">
        <v>6610</v>
      </c>
      <c r="J235" s="26" t="s">
        <v>6609</v>
      </c>
      <c r="K235" s="10">
        <v>0.60000000000000009</v>
      </c>
      <c r="L235" s="73">
        <f>IF(Tank1!$C$23="No control",(SUMIF(Tank1!$B$32:$B$49,$J235,Tank1!$C$32:$C$49)*Impacts!$F$8),0)</f>
        <v>0</v>
      </c>
      <c r="M235" s="10">
        <f>IF(Tank2!$C$23="No control",(SUMIF(Tank2!$B$32:$B$49,$J235,Tank2!$C$32:$C$49)*Impacts!$F$9),0)</f>
        <v>0</v>
      </c>
      <c r="N235" s="10">
        <f>IF(Tank3!$C$23="No control",(SUMIF(Tank3!$B$32:$B$49,$J235,Tank3!$C$32:$C$49)*Impacts!$F$10),0)</f>
        <v>0</v>
      </c>
      <c r="O235" s="10">
        <f>IF(Tank4!$C$23="No control",(SUMIF(Tank4!$B$32:$B$49,$J235,Tank4!$C$32:$C$49)*Impacts!$F$11),0)</f>
        <v>0</v>
      </c>
      <c r="P235" s="10">
        <f>IF(Tank5!$C$23="No control",(SUMIF(Tank5!$B$32:$B$49,$J235,Tank5!$C$32:$C$49)*Impacts!$F$12),0)</f>
        <v>0</v>
      </c>
      <c r="Q235" s="10">
        <f>IFERROR(IF(('Loading-drum,tote'!$C$21)="No control",SUMIF(('Loading-drum,tote'!$B$31:$B$48),$J235,('Loading-drum,tote'!$D$31:$D$48))*Impacts!$F$13,IF(('Loading-drum,tote'!$C$21)&lt;&gt;"No control",SUMIF(('Loading-drum,tote'!$B$31:$B$48),$J235,('Loading-drum,tote'!$E$31:$E$48))*Impacts!$F$13,0)),0)</f>
        <v>0</v>
      </c>
      <c r="R235" s="10">
        <f>IFERROR(IF(('Loading-truck'!$C$21)="No control",SUMIF(('Loading-truck'!$B$31:$B$48),$J235,('Loading-truck'!$D$31:$D$48))*Impacts!$F$14,IF(('Loading-truck'!$C$21)&lt;&gt;"No control",SUMIF(('Loading-truck'!$B$31:$B$48),$J235,('Loading-truck'!$E$31:$E$48))*Impacts!$F$14,0)),0)</f>
        <v>0</v>
      </c>
      <c r="S235" s="10">
        <f>IFERROR(IF(('Loading-rail'!$C$21)="No control",SUMIF(('Loading-rail'!$B$31:$B$48),$J235,('Loading-rail'!$D$31:$D$48))*Impacts!$F$15,IF(('Loading-rail'!$C$21)&lt;&gt;"No control",SUMIF(('Loading-rail'!$B$31:$B$48),$J235,('Loading-rail'!$E$31:$E$48))*Impacts!$F$15,0)),0)</f>
        <v>0</v>
      </c>
      <c r="T235" s="10">
        <f>IF(Flare!$C$7="",0,(SUMIF(Flare!$B$46:$B$185,$J235,Flare!$E$46:$E$185)*Impacts!$F$16))</f>
        <v>0</v>
      </c>
      <c r="U235" s="10">
        <f>IF(VCU!$C$9="",0,(SUMIF(VCU!$B$51:$B$193,$J235,VCU!$E$51:$E$193)*Impacts!$F$17))</f>
        <v>0</v>
      </c>
      <c r="V235" s="10">
        <f>IF(CAS!$C$7="",0,(SUMIF(CAS!$B$31:$B$167,$J235,CAS!$E$31:$E$167)*Impacts!$F$18))</f>
        <v>0</v>
      </c>
      <c r="W235" s="10">
        <f t="shared" si="45"/>
        <v>0</v>
      </c>
      <c r="AK235" s="10" t="str">
        <f t="array" ref="AK235">IFERROR(INDEX(SelectedSpecies,SMALL(IF(SelectedSpecies=AK$1,ROW(SelectedSpecies)),ROW(236:236)),2),"")</f>
        <v/>
      </c>
      <c r="BE235" s="10"/>
      <c r="BI235" s="10"/>
    </row>
    <row r="236" spans="1:61" ht="21" customHeight="1" x14ac:dyDescent="0.25">
      <c r="A236" s="10"/>
      <c r="B236" s="16" t="s">
        <v>244</v>
      </c>
      <c r="C236" s="10">
        <v>100</v>
      </c>
      <c r="D236" s="10">
        <v>249</v>
      </c>
      <c r="E236" s="17">
        <v>249</v>
      </c>
      <c r="I236" s="436" t="s">
        <v>854</v>
      </c>
      <c r="J236" s="26" t="s">
        <v>853</v>
      </c>
      <c r="K236" s="10">
        <v>45</v>
      </c>
      <c r="L236" s="73">
        <f>IF(Tank1!$C$23="No control",(SUMIF(Tank1!$B$32:$B$49,$J236,Tank1!$C$32:$C$49)*Impacts!$F$8),0)</f>
        <v>0</v>
      </c>
      <c r="M236" s="10">
        <f>IF(Tank2!$C$23="No control",(SUMIF(Tank2!$B$32:$B$49,$J236,Tank2!$C$32:$C$49)*Impacts!$F$9),0)</f>
        <v>0</v>
      </c>
      <c r="N236" s="10">
        <f>IF(Tank3!$C$23="No control",(SUMIF(Tank3!$B$32:$B$49,$J236,Tank3!$C$32:$C$49)*Impacts!$F$10),0)</f>
        <v>0</v>
      </c>
      <c r="O236" s="10">
        <f>IF(Tank4!$C$23="No control",(SUMIF(Tank4!$B$32:$B$49,$J236,Tank4!$C$32:$C$49)*Impacts!$F$11),0)</f>
        <v>0</v>
      </c>
      <c r="P236" s="10">
        <f>IF(Tank5!$C$23="No control",(SUMIF(Tank5!$B$32:$B$49,$J236,Tank5!$C$32:$C$49)*Impacts!$F$12),0)</f>
        <v>0</v>
      </c>
      <c r="Q236" s="10">
        <f>IFERROR(IF(('Loading-drum,tote'!$C$21)="No control",SUMIF(('Loading-drum,tote'!$B$31:$B$48),$J236,('Loading-drum,tote'!$D$31:$D$48))*Impacts!$F$13,IF(('Loading-drum,tote'!$C$21)&lt;&gt;"No control",SUMIF(('Loading-drum,tote'!$B$31:$B$48),$J236,('Loading-drum,tote'!$E$31:$E$48))*Impacts!$F$13,0)),0)</f>
        <v>0</v>
      </c>
      <c r="R236" s="10">
        <f>IFERROR(IF(('Loading-truck'!$C$21)="No control",SUMIF(('Loading-truck'!$B$31:$B$48),$J236,('Loading-truck'!$D$31:$D$48))*Impacts!$F$14,IF(('Loading-truck'!$C$21)&lt;&gt;"No control",SUMIF(('Loading-truck'!$B$31:$B$48),$J236,('Loading-truck'!$E$31:$E$48))*Impacts!$F$14,0)),0)</f>
        <v>0</v>
      </c>
      <c r="S236" s="10">
        <f>IFERROR(IF(('Loading-rail'!$C$21)="No control",SUMIF(('Loading-rail'!$B$31:$B$48),$J236,('Loading-rail'!$D$31:$D$48))*Impacts!$F$15,IF(('Loading-rail'!$C$21)&lt;&gt;"No control",SUMIF(('Loading-rail'!$B$31:$B$48),$J236,('Loading-rail'!$E$31:$E$48))*Impacts!$F$15,0)),0)</f>
        <v>0</v>
      </c>
      <c r="T236" s="10">
        <f>IF(Flare!$C$7="",0,(SUMIF(Flare!$B$46:$B$185,$J236,Flare!$E$46:$E$185)*Impacts!$F$16))</f>
        <v>0</v>
      </c>
      <c r="U236" s="10">
        <f>IF(VCU!$C$9="",0,(SUMIF(VCU!$B$51:$B$193,$J236,VCU!$E$51:$E$193)*Impacts!$F$17))</f>
        <v>0</v>
      </c>
      <c r="V236" s="10">
        <f>IF(CAS!$C$7="",0,(SUMIF(CAS!$B$31:$B$167,$J236,CAS!$E$31:$E$167)*Impacts!$F$18))</f>
        <v>0</v>
      </c>
      <c r="W236" s="10">
        <f t="shared" si="45"/>
        <v>0</v>
      </c>
      <c r="AK236" s="10" t="str">
        <f t="array" ref="AK236">IFERROR(INDEX(SelectedSpecies,SMALL(IF(SelectedSpecies=AK$1,ROW(SelectedSpecies)),ROW(237:237)),2),"")</f>
        <v/>
      </c>
      <c r="BE236" s="10"/>
      <c r="BI236" s="10"/>
    </row>
    <row r="237" spans="1:61" ht="21" customHeight="1" x14ac:dyDescent="0.25">
      <c r="A237" s="10"/>
      <c r="B237" s="16" t="s">
        <v>245</v>
      </c>
      <c r="C237" s="10">
        <v>100</v>
      </c>
      <c r="D237" s="10">
        <v>249</v>
      </c>
      <c r="E237" s="17">
        <v>249</v>
      </c>
      <c r="I237" s="436" t="s">
        <v>7418</v>
      </c>
      <c r="J237" s="26" t="s">
        <v>7417</v>
      </c>
      <c r="K237" s="10">
        <v>0.2</v>
      </c>
      <c r="L237" s="73">
        <f>IF(Tank1!$C$23="No control",(SUMIF(Tank1!$B$32:$B$49,$J237,Tank1!$C$32:$C$49)*Impacts!$F$8),0)</f>
        <v>0</v>
      </c>
      <c r="M237" s="10">
        <f>IF(Tank2!$C$23="No control",(SUMIF(Tank2!$B$32:$B$49,$J237,Tank2!$C$32:$C$49)*Impacts!$F$9),0)</f>
        <v>0</v>
      </c>
      <c r="N237" s="10">
        <f>IF(Tank3!$C$23="No control",(SUMIF(Tank3!$B$32:$B$49,$J237,Tank3!$C$32:$C$49)*Impacts!$F$10),0)</f>
        <v>0</v>
      </c>
      <c r="O237" s="10">
        <f>IF(Tank4!$C$23="No control",(SUMIF(Tank4!$B$32:$B$49,$J237,Tank4!$C$32:$C$49)*Impacts!$F$11),0)</f>
        <v>0</v>
      </c>
      <c r="P237" s="10">
        <f>IF(Tank5!$C$23="No control",(SUMIF(Tank5!$B$32:$B$49,$J237,Tank5!$C$32:$C$49)*Impacts!$F$12),0)</f>
        <v>0</v>
      </c>
      <c r="Q237" s="10">
        <f>IFERROR(IF(('Loading-drum,tote'!$C$21)="No control",SUMIF(('Loading-drum,tote'!$B$31:$B$48),$J237,('Loading-drum,tote'!$D$31:$D$48))*Impacts!$F$13,IF(('Loading-drum,tote'!$C$21)&lt;&gt;"No control",SUMIF(('Loading-drum,tote'!$B$31:$B$48),$J237,('Loading-drum,tote'!$E$31:$E$48))*Impacts!$F$13,0)),0)</f>
        <v>0</v>
      </c>
      <c r="R237" s="10">
        <f>IFERROR(IF(('Loading-truck'!$C$21)="No control",SUMIF(('Loading-truck'!$B$31:$B$48),$J237,('Loading-truck'!$D$31:$D$48))*Impacts!$F$14,IF(('Loading-truck'!$C$21)&lt;&gt;"No control",SUMIF(('Loading-truck'!$B$31:$B$48),$J237,('Loading-truck'!$E$31:$E$48))*Impacts!$F$14,0)),0)</f>
        <v>0</v>
      </c>
      <c r="S237" s="10">
        <f>IFERROR(IF(('Loading-rail'!$C$21)="No control",SUMIF(('Loading-rail'!$B$31:$B$48),$J237,('Loading-rail'!$D$31:$D$48))*Impacts!$F$15,IF(('Loading-rail'!$C$21)&lt;&gt;"No control",SUMIF(('Loading-rail'!$B$31:$B$48),$J237,('Loading-rail'!$E$31:$E$48))*Impacts!$F$15,0)),0)</f>
        <v>0</v>
      </c>
      <c r="T237" s="10">
        <f>IF(Flare!$C$7="",0,(SUMIF(Flare!$B$46:$B$185,$J237,Flare!$E$46:$E$185)*Impacts!$F$16))</f>
        <v>0</v>
      </c>
      <c r="U237" s="10">
        <f>IF(VCU!$C$9="",0,(SUMIF(VCU!$B$51:$B$193,$J237,VCU!$E$51:$E$193)*Impacts!$F$17))</f>
        <v>0</v>
      </c>
      <c r="V237" s="10">
        <f>IF(CAS!$C$7="",0,(SUMIF(CAS!$B$31:$B$167,$J237,CAS!$E$31:$E$167)*Impacts!$F$18))</f>
        <v>0</v>
      </c>
      <c r="W237" s="10">
        <f t="shared" si="45"/>
        <v>0</v>
      </c>
      <c r="AK237" s="10" t="str">
        <f t="array" ref="AK237">IFERROR(INDEX(SelectedSpecies,SMALL(IF(SelectedSpecies=AK$1,ROW(SelectedSpecies)),ROW(238:238)),2),"")</f>
        <v/>
      </c>
      <c r="BE237" s="10"/>
      <c r="BI237" s="10"/>
    </row>
    <row r="238" spans="1:61" ht="21" customHeight="1" x14ac:dyDescent="0.25">
      <c r="A238" s="10"/>
      <c r="B238" s="16" t="s">
        <v>246</v>
      </c>
      <c r="C238" s="10">
        <v>100</v>
      </c>
      <c r="D238" s="10">
        <v>249</v>
      </c>
      <c r="E238" s="17">
        <v>249</v>
      </c>
      <c r="I238" s="436" t="s">
        <v>7230</v>
      </c>
      <c r="J238" s="26" t="s">
        <v>7229</v>
      </c>
      <c r="K238" s="10">
        <v>0.30000000000000004</v>
      </c>
      <c r="L238" s="73">
        <f>IF(Tank1!$C$23="No control",(SUMIF(Tank1!$B$32:$B$49,$J238,Tank1!$C$32:$C$49)*Impacts!$F$8),0)</f>
        <v>0</v>
      </c>
      <c r="M238" s="10">
        <f>IF(Tank2!$C$23="No control",(SUMIF(Tank2!$B$32:$B$49,$J238,Tank2!$C$32:$C$49)*Impacts!$F$9),0)</f>
        <v>0</v>
      </c>
      <c r="N238" s="10">
        <f>IF(Tank3!$C$23="No control",(SUMIF(Tank3!$B$32:$B$49,$J238,Tank3!$C$32:$C$49)*Impacts!$F$10),0)</f>
        <v>0</v>
      </c>
      <c r="O238" s="10">
        <f>IF(Tank4!$C$23="No control",(SUMIF(Tank4!$B$32:$B$49,$J238,Tank4!$C$32:$C$49)*Impacts!$F$11),0)</f>
        <v>0</v>
      </c>
      <c r="P238" s="10">
        <f>IF(Tank5!$C$23="No control",(SUMIF(Tank5!$B$32:$B$49,$J238,Tank5!$C$32:$C$49)*Impacts!$F$12),0)</f>
        <v>0</v>
      </c>
      <c r="Q238" s="10">
        <f>IFERROR(IF(('Loading-drum,tote'!$C$21)="No control",SUMIF(('Loading-drum,tote'!$B$31:$B$48),$J238,('Loading-drum,tote'!$D$31:$D$48))*Impacts!$F$13,IF(('Loading-drum,tote'!$C$21)&lt;&gt;"No control",SUMIF(('Loading-drum,tote'!$B$31:$B$48),$J238,('Loading-drum,tote'!$E$31:$E$48))*Impacts!$F$13,0)),0)</f>
        <v>0</v>
      </c>
      <c r="R238" s="10">
        <f>IFERROR(IF(('Loading-truck'!$C$21)="No control",SUMIF(('Loading-truck'!$B$31:$B$48),$J238,('Loading-truck'!$D$31:$D$48))*Impacts!$F$14,IF(('Loading-truck'!$C$21)&lt;&gt;"No control",SUMIF(('Loading-truck'!$B$31:$B$48),$J238,('Loading-truck'!$E$31:$E$48))*Impacts!$F$14,0)),0)</f>
        <v>0</v>
      </c>
      <c r="S238" s="10">
        <f>IFERROR(IF(('Loading-rail'!$C$21)="No control",SUMIF(('Loading-rail'!$B$31:$B$48),$J238,('Loading-rail'!$D$31:$D$48))*Impacts!$F$15,IF(('Loading-rail'!$C$21)&lt;&gt;"No control",SUMIF(('Loading-rail'!$B$31:$B$48),$J238,('Loading-rail'!$E$31:$E$48))*Impacts!$F$15,0)),0)</f>
        <v>0</v>
      </c>
      <c r="T238" s="10">
        <f>IF(Flare!$C$7="",0,(SUMIF(Flare!$B$46:$B$185,$J238,Flare!$E$46:$E$185)*Impacts!$F$16))</f>
        <v>0</v>
      </c>
      <c r="U238" s="10">
        <f>IF(VCU!$C$9="",0,(SUMIF(VCU!$B$51:$B$193,$J238,VCU!$E$51:$E$193)*Impacts!$F$17))</f>
        <v>0</v>
      </c>
      <c r="V238" s="10">
        <f>IF(CAS!$C$7="",0,(SUMIF(CAS!$B$31:$B$167,$J238,CAS!$E$31:$E$167)*Impacts!$F$18))</f>
        <v>0</v>
      </c>
      <c r="W238" s="10">
        <f t="shared" si="45"/>
        <v>0</v>
      </c>
      <c r="AK238" s="10" t="str">
        <f t="array" ref="AK238">IFERROR(INDEX(SelectedSpecies,SMALL(IF(SelectedSpecies=AK$1,ROW(SelectedSpecies)),ROW(239:239)),2),"")</f>
        <v/>
      </c>
      <c r="BE238" s="10"/>
      <c r="BI238" s="10"/>
    </row>
    <row r="239" spans="1:61" ht="21" customHeight="1" x14ac:dyDescent="0.25">
      <c r="A239" s="10"/>
      <c r="B239" s="16" t="s">
        <v>247</v>
      </c>
      <c r="C239" s="10">
        <v>100</v>
      </c>
      <c r="D239" s="10">
        <v>100</v>
      </c>
      <c r="E239" s="17">
        <v>249</v>
      </c>
      <c r="I239" s="436" t="s">
        <v>6282</v>
      </c>
      <c r="J239" s="26" t="s">
        <v>6281</v>
      </c>
      <c r="K239" s="10">
        <v>0.9</v>
      </c>
      <c r="L239" s="73">
        <f>IF(Tank1!$C$23="No control",(SUMIF(Tank1!$B$32:$B$49,$J239,Tank1!$C$32:$C$49)*Impacts!$F$8),0)</f>
        <v>0</v>
      </c>
      <c r="M239" s="10">
        <f>IF(Tank2!$C$23="No control",(SUMIF(Tank2!$B$32:$B$49,$J239,Tank2!$C$32:$C$49)*Impacts!$F$9),0)</f>
        <v>0</v>
      </c>
      <c r="N239" s="10">
        <f>IF(Tank3!$C$23="No control",(SUMIF(Tank3!$B$32:$B$49,$J239,Tank3!$C$32:$C$49)*Impacts!$F$10),0)</f>
        <v>0</v>
      </c>
      <c r="O239" s="10">
        <f>IF(Tank4!$C$23="No control",(SUMIF(Tank4!$B$32:$B$49,$J239,Tank4!$C$32:$C$49)*Impacts!$F$11),0)</f>
        <v>0</v>
      </c>
      <c r="P239" s="10">
        <f>IF(Tank5!$C$23="No control",(SUMIF(Tank5!$B$32:$B$49,$J239,Tank5!$C$32:$C$49)*Impacts!$F$12),0)</f>
        <v>0</v>
      </c>
      <c r="Q239" s="10">
        <f>IFERROR(IF(('Loading-drum,tote'!$C$21)="No control",SUMIF(('Loading-drum,tote'!$B$31:$B$48),$J239,('Loading-drum,tote'!$D$31:$D$48))*Impacts!$F$13,IF(('Loading-drum,tote'!$C$21)&lt;&gt;"No control",SUMIF(('Loading-drum,tote'!$B$31:$B$48),$J239,('Loading-drum,tote'!$E$31:$E$48))*Impacts!$F$13,0)),0)</f>
        <v>0</v>
      </c>
      <c r="R239" s="10">
        <f>IFERROR(IF(('Loading-truck'!$C$21)="No control",SUMIF(('Loading-truck'!$B$31:$B$48),$J239,('Loading-truck'!$D$31:$D$48))*Impacts!$F$14,IF(('Loading-truck'!$C$21)&lt;&gt;"No control",SUMIF(('Loading-truck'!$B$31:$B$48),$J239,('Loading-truck'!$E$31:$E$48))*Impacts!$F$14,0)),0)</f>
        <v>0</v>
      </c>
      <c r="S239" s="10">
        <f>IFERROR(IF(('Loading-rail'!$C$21)="No control",SUMIF(('Loading-rail'!$B$31:$B$48),$J239,('Loading-rail'!$D$31:$D$48))*Impacts!$F$15,IF(('Loading-rail'!$C$21)&lt;&gt;"No control",SUMIF(('Loading-rail'!$B$31:$B$48),$J239,('Loading-rail'!$E$31:$E$48))*Impacts!$F$15,0)),0)</f>
        <v>0</v>
      </c>
      <c r="T239" s="10">
        <f>IF(Flare!$C$7="",0,(SUMIF(Flare!$B$46:$B$185,$J239,Flare!$E$46:$E$185)*Impacts!$F$16))</f>
        <v>0</v>
      </c>
      <c r="U239" s="10">
        <f>IF(VCU!$C$9="",0,(SUMIF(VCU!$B$51:$B$193,$J239,VCU!$E$51:$E$193)*Impacts!$F$17))</f>
        <v>0</v>
      </c>
      <c r="V239" s="10">
        <f>IF(CAS!$C$7="",0,(SUMIF(CAS!$B$31:$B$167,$J239,CAS!$E$31:$E$167)*Impacts!$F$18))</f>
        <v>0</v>
      </c>
      <c r="W239" s="10">
        <f t="shared" si="45"/>
        <v>0</v>
      </c>
      <c r="AK239" s="10" t="str">
        <f t="array" ref="AK239">IFERROR(INDEX(SelectedSpecies,SMALL(IF(SelectedSpecies=AK$1,ROW(SelectedSpecies)),ROW(240:240)),2),"")</f>
        <v/>
      </c>
      <c r="BE239" s="10"/>
      <c r="BI239" s="10"/>
    </row>
    <row r="240" spans="1:61" ht="21" customHeight="1" x14ac:dyDescent="0.25">
      <c r="A240" s="10"/>
      <c r="B240" s="16" t="s">
        <v>248</v>
      </c>
      <c r="C240" s="10">
        <v>100</v>
      </c>
      <c r="D240" s="10">
        <v>249</v>
      </c>
      <c r="E240" s="17">
        <v>249</v>
      </c>
      <c r="I240" s="436" t="s">
        <v>6284</v>
      </c>
      <c r="J240" s="26" t="s">
        <v>6283</v>
      </c>
      <c r="K240" s="10">
        <v>0.9</v>
      </c>
      <c r="L240" s="73">
        <f>IF(Tank1!$C$23="No control",(SUMIF(Tank1!$B$32:$B$49,$J240,Tank1!$C$32:$C$49)*Impacts!$F$8),0)</f>
        <v>0</v>
      </c>
      <c r="M240" s="10">
        <f>IF(Tank2!$C$23="No control",(SUMIF(Tank2!$B$32:$B$49,$J240,Tank2!$C$32:$C$49)*Impacts!$F$9),0)</f>
        <v>0</v>
      </c>
      <c r="N240" s="10">
        <f>IF(Tank3!$C$23="No control",(SUMIF(Tank3!$B$32:$B$49,$J240,Tank3!$C$32:$C$49)*Impacts!$F$10),0)</f>
        <v>0</v>
      </c>
      <c r="O240" s="10">
        <f>IF(Tank4!$C$23="No control",(SUMIF(Tank4!$B$32:$B$49,$J240,Tank4!$C$32:$C$49)*Impacts!$F$11),0)</f>
        <v>0</v>
      </c>
      <c r="P240" s="10">
        <f>IF(Tank5!$C$23="No control",(SUMIF(Tank5!$B$32:$B$49,$J240,Tank5!$C$32:$C$49)*Impacts!$F$12),0)</f>
        <v>0</v>
      </c>
      <c r="Q240" s="10">
        <f>IFERROR(IF(('Loading-drum,tote'!$C$21)="No control",SUMIF(('Loading-drum,tote'!$B$31:$B$48),$J240,('Loading-drum,tote'!$D$31:$D$48))*Impacts!$F$13,IF(('Loading-drum,tote'!$C$21)&lt;&gt;"No control",SUMIF(('Loading-drum,tote'!$B$31:$B$48),$J240,('Loading-drum,tote'!$E$31:$E$48))*Impacts!$F$13,0)),0)</f>
        <v>0</v>
      </c>
      <c r="R240" s="10">
        <f>IFERROR(IF(('Loading-truck'!$C$21)="No control",SUMIF(('Loading-truck'!$B$31:$B$48),$J240,('Loading-truck'!$D$31:$D$48))*Impacts!$F$14,IF(('Loading-truck'!$C$21)&lt;&gt;"No control",SUMIF(('Loading-truck'!$B$31:$B$48),$J240,('Loading-truck'!$E$31:$E$48))*Impacts!$F$14,0)),0)</f>
        <v>0</v>
      </c>
      <c r="S240" s="10">
        <f>IFERROR(IF(('Loading-rail'!$C$21)="No control",SUMIF(('Loading-rail'!$B$31:$B$48),$J240,('Loading-rail'!$D$31:$D$48))*Impacts!$F$15,IF(('Loading-rail'!$C$21)&lt;&gt;"No control",SUMIF(('Loading-rail'!$B$31:$B$48),$J240,('Loading-rail'!$E$31:$E$48))*Impacts!$F$15,0)),0)</f>
        <v>0</v>
      </c>
      <c r="T240" s="10">
        <f>IF(Flare!$C$7="",0,(SUMIF(Flare!$B$46:$B$185,$J240,Flare!$E$46:$E$185)*Impacts!$F$16))</f>
        <v>0</v>
      </c>
      <c r="U240" s="10">
        <f>IF(VCU!$C$9="",0,(SUMIF(VCU!$B$51:$B$193,$J240,VCU!$E$51:$E$193)*Impacts!$F$17))</f>
        <v>0</v>
      </c>
      <c r="V240" s="10">
        <f>IF(CAS!$C$7="",0,(SUMIF(CAS!$B$31:$B$167,$J240,CAS!$E$31:$E$167)*Impacts!$F$18))</f>
        <v>0</v>
      </c>
      <c r="W240" s="10">
        <f t="shared" si="45"/>
        <v>0</v>
      </c>
      <c r="AK240" s="10" t="str">
        <f t="array" ref="AK240">IFERROR(INDEX(SelectedSpecies,SMALL(IF(SelectedSpecies=AK$1,ROW(SelectedSpecies)),ROW(241:241)),2),"")</f>
        <v/>
      </c>
      <c r="BE240" s="10"/>
      <c r="BI240" s="10"/>
    </row>
    <row r="241" spans="1:61" ht="21" customHeight="1" x14ac:dyDescent="0.25">
      <c r="A241" s="10"/>
      <c r="B241" s="16" t="s">
        <v>249</v>
      </c>
      <c r="C241" s="10">
        <v>100</v>
      </c>
      <c r="D241" s="10">
        <v>249</v>
      </c>
      <c r="E241" s="17">
        <v>249</v>
      </c>
      <c r="I241" s="436" t="s">
        <v>6286</v>
      </c>
      <c r="J241" s="26" t="s">
        <v>6285</v>
      </c>
      <c r="K241" s="10">
        <v>0.9</v>
      </c>
      <c r="L241" s="73">
        <f>IF(Tank1!$C$23="No control",(SUMIF(Tank1!$B$32:$B$49,$J241,Tank1!$C$32:$C$49)*Impacts!$F$8),0)</f>
        <v>0</v>
      </c>
      <c r="M241" s="10">
        <f>IF(Tank2!$C$23="No control",(SUMIF(Tank2!$B$32:$B$49,$J241,Tank2!$C$32:$C$49)*Impacts!$F$9),0)</f>
        <v>0</v>
      </c>
      <c r="N241" s="10">
        <f>IF(Tank3!$C$23="No control",(SUMIF(Tank3!$B$32:$B$49,$J241,Tank3!$C$32:$C$49)*Impacts!$F$10),0)</f>
        <v>0</v>
      </c>
      <c r="O241" s="10">
        <f>IF(Tank4!$C$23="No control",(SUMIF(Tank4!$B$32:$B$49,$J241,Tank4!$C$32:$C$49)*Impacts!$F$11),0)</f>
        <v>0</v>
      </c>
      <c r="P241" s="10">
        <f>IF(Tank5!$C$23="No control",(SUMIF(Tank5!$B$32:$B$49,$J241,Tank5!$C$32:$C$49)*Impacts!$F$12),0)</f>
        <v>0</v>
      </c>
      <c r="Q241" s="10">
        <f>IFERROR(IF(('Loading-drum,tote'!$C$21)="No control",SUMIF(('Loading-drum,tote'!$B$31:$B$48),$J241,('Loading-drum,tote'!$D$31:$D$48))*Impacts!$F$13,IF(('Loading-drum,tote'!$C$21)&lt;&gt;"No control",SUMIF(('Loading-drum,tote'!$B$31:$B$48),$J241,('Loading-drum,tote'!$E$31:$E$48))*Impacts!$F$13,0)),0)</f>
        <v>0</v>
      </c>
      <c r="R241" s="10">
        <f>IFERROR(IF(('Loading-truck'!$C$21)="No control",SUMIF(('Loading-truck'!$B$31:$B$48),$J241,('Loading-truck'!$D$31:$D$48))*Impacts!$F$14,IF(('Loading-truck'!$C$21)&lt;&gt;"No control",SUMIF(('Loading-truck'!$B$31:$B$48),$J241,('Loading-truck'!$E$31:$E$48))*Impacts!$F$14,0)),0)</f>
        <v>0</v>
      </c>
      <c r="S241" s="10">
        <f>IFERROR(IF(('Loading-rail'!$C$21)="No control",SUMIF(('Loading-rail'!$B$31:$B$48),$J241,('Loading-rail'!$D$31:$D$48))*Impacts!$F$15,IF(('Loading-rail'!$C$21)&lt;&gt;"No control",SUMIF(('Loading-rail'!$B$31:$B$48),$J241,('Loading-rail'!$E$31:$E$48))*Impacts!$F$15,0)),0)</f>
        <v>0</v>
      </c>
      <c r="T241" s="10">
        <f>IF(Flare!$C$7="",0,(SUMIF(Flare!$B$46:$B$185,$J241,Flare!$E$46:$E$185)*Impacts!$F$16))</f>
        <v>0</v>
      </c>
      <c r="U241" s="10">
        <f>IF(VCU!$C$9="",0,(SUMIF(VCU!$B$51:$B$193,$J241,VCU!$E$51:$E$193)*Impacts!$F$17))</f>
        <v>0</v>
      </c>
      <c r="V241" s="10">
        <f>IF(CAS!$C$7="",0,(SUMIF(CAS!$B$31:$B$167,$J241,CAS!$E$31:$E$167)*Impacts!$F$18))</f>
        <v>0</v>
      </c>
      <c r="W241" s="10">
        <f t="shared" si="45"/>
        <v>0</v>
      </c>
      <c r="AK241" s="10" t="str">
        <f t="array" ref="AK241">IFERROR(INDEX(SelectedSpecies,SMALL(IF(SelectedSpecies=AK$1,ROW(SelectedSpecies)),ROW(242:242)),2),"")</f>
        <v/>
      </c>
      <c r="BE241" s="10"/>
      <c r="BI241" s="10"/>
    </row>
    <row r="242" spans="1:61" ht="21" customHeight="1" x14ac:dyDescent="0.25">
      <c r="A242" s="10"/>
      <c r="B242" s="16" t="s">
        <v>250</v>
      </c>
      <c r="C242" s="10">
        <v>100</v>
      </c>
      <c r="D242" s="10">
        <v>249</v>
      </c>
      <c r="E242" s="17">
        <v>249</v>
      </c>
      <c r="I242" s="436" t="s">
        <v>6288</v>
      </c>
      <c r="J242" s="26" t="s">
        <v>6287</v>
      </c>
      <c r="K242" s="10">
        <v>0.9</v>
      </c>
      <c r="L242" s="73">
        <f>IF(Tank1!$C$23="No control",(SUMIF(Tank1!$B$32:$B$49,$J242,Tank1!$C$32:$C$49)*Impacts!$F$8),0)</f>
        <v>0</v>
      </c>
      <c r="M242" s="10">
        <f>IF(Tank2!$C$23="No control",(SUMIF(Tank2!$B$32:$B$49,$J242,Tank2!$C$32:$C$49)*Impacts!$F$9),0)</f>
        <v>0</v>
      </c>
      <c r="N242" s="10">
        <f>IF(Tank3!$C$23="No control",(SUMIF(Tank3!$B$32:$B$49,$J242,Tank3!$C$32:$C$49)*Impacts!$F$10),0)</f>
        <v>0</v>
      </c>
      <c r="O242" s="10">
        <f>IF(Tank4!$C$23="No control",(SUMIF(Tank4!$B$32:$B$49,$J242,Tank4!$C$32:$C$49)*Impacts!$F$11),0)</f>
        <v>0</v>
      </c>
      <c r="P242" s="10">
        <f>IF(Tank5!$C$23="No control",(SUMIF(Tank5!$B$32:$B$49,$J242,Tank5!$C$32:$C$49)*Impacts!$F$12),0)</f>
        <v>0</v>
      </c>
      <c r="Q242" s="10">
        <f>IFERROR(IF(('Loading-drum,tote'!$C$21)="No control",SUMIF(('Loading-drum,tote'!$B$31:$B$48),$J242,('Loading-drum,tote'!$D$31:$D$48))*Impacts!$F$13,IF(('Loading-drum,tote'!$C$21)&lt;&gt;"No control",SUMIF(('Loading-drum,tote'!$B$31:$B$48),$J242,('Loading-drum,tote'!$E$31:$E$48))*Impacts!$F$13,0)),0)</f>
        <v>0</v>
      </c>
      <c r="R242" s="10">
        <f>IFERROR(IF(('Loading-truck'!$C$21)="No control",SUMIF(('Loading-truck'!$B$31:$B$48),$J242,('Loading-truck'!$D$31:$D$48))*Impacts!$F$14,IF(('Loading-truck'!$C$21)&lt;&gt;"No control",SUMIF(('Loading-truck'!$B$31:$B$48),$J242,('Loading-truck'!$E$31:$E$48))*Impacts!$F$14,0)),0)</f>
        <v>0</v>
      </c>
      <c r="S242" s="10">
        <f>IFERROR(IF(('Loading-rail'!$C$21)="No control",SUMIF(('Loading-rail'!$B$31:$B$48),$J242,('Loading-rail'!$D$31:$D$48))*Impacts!$F$15,IF(('Loading-rail'!$C$21)&lt;&gt;"No control",SUMIF(('Loading-rail'!$B$31:$B$48),$J242,('Loading-rail'!$E$31:$E$48))*Impacts!$F$15,0)),0)</f>
        <v>0</v>
      </c>
      <c r="T242" s="10">
        <f>IF(Flare!$C$7="",0,(SUMIF(Flare!$B$46:$B$185,$J242,Flare!$E$46:$E$185)*Impacts!$F$16))</f>
        <v>0</v>
      </c>
      <c r="U242" s="10">
        <f>IF(VCU!$C$9="",0,(SUMIF(VCU!$B$51:$B$193,$J242,VCU!$E$51:$E$193)*Impacts!$F$17))</f>
        <v>0</v>
      </c>
      <c r="V242" s="10">
        <f>IF(CAS!$C$7="",0,(SUMIF(CAS!$B$31:$B$167,$J242,CAS!$E$31:$E$167)*Impacts!$F$18))</f>
        <v>0</v>
      </c>
      <c r="W242" s="10">
        <f t="shared" si="45"/>
        <v>0</v>
      </c>
      <c r="AK242" s="10" t="str">
        <f t="array" ref="AK242">IFERROR(INDEX(SelectedSpecies,SMALL(IF(SelectedSpecies=AK$1,ROW(SelectedSpecies)),ROW(243:243)),2),"")</f>
        <v/>
      </c>
      <c r="BE242" s="10"/>
      <c r="BI242" s="10"/>
    </row>
    <row r="243" spans="1:61" ht="21" customHeight="1" x14ac:dyDescent="0.25">
      <c r="A243" s="10"/>
      <c r="B243" s="16" t="s">
        <v>251</v>
      </c>
      <c r="C243" s="10">
        <v>100</v>
      </c>
      <c r="D243" s="10">
        <v>249</v>
      </c>
      <c r="E243" s="17">
        <v>249</v>
      </c>
      <c r="I243" s="436" t="s">
        <v>6712</v>
      </c>
      <c r="J243" s="26" t="s">
        <v>6711</v>
      </c>
      <c r="K243" s="10">
        <v>0.5</v>
      </c>
      <c r="L243" s="73">
        <f>IF(Tank1!$C$23="No control",(SUMIF(Tank1!$B$32:$B$49,$J243,Tank1!$C$32:$C$49)*Impacts!$F$8),0)</f>
        <v>0</v>
      </c>
      <c r="M243" s="10">
        <f>IF(Tank2!$C$23="No control",(SUMIF(Tank2!$B$32:$B$49,$J243,Tank2!$C$32:$C$49)*Impacts!$F$9),0)</f>
        <v>0</v>
      </c>
      <c r="N243" s="10">
        <f>IF(Tank3!$C$23="No control",(SUMIF(Tank3!$B$32:$B$49,$J243,Tank3!$C$32:$C$49)*Impacts!$F$10),0)</f>
        <v>0</v>
      </c>
      <c r="O243" s="10">
        <f>IF(Tank4!$C$23="No control",(SUMIF(Tank4!$B$32:$B$49,$J243,Tank4!$C$32:$C$49)*Impacts!$F$11),0)</f>
        <v>0</v>
      </c>
      <c r="P243" s="10">
        <f>IF(Tank5!$C$23="No control",(SUMIF(Tank5!$B$32:$B$49,$J243,Tank5!$C$32:$C$49)*Impacts!$F$12),0)</f>
        <v>0</v>
      </c>
      <c r="Q243" s="10">
        <f>IFERROR(IF(('Loading-drum,tote'!$C$21)="No control",SUMIF(('Loading-drum,tote'!$B$31:$B$48),$J243,('Loading-drum,tote'!$D$31:$D$48))*Impacts!$F$13,IF(('Loading-drum,tote'!$C$21)&lt;&gt;"No control",SUMIF(('Loading-drum,tote'!$B$31:$B$48),$J243,('Loading-drum,tote'!$E$31:$E$48))*Impacts!$F$13,0)),0)</f>
        <v>0</v>
      </c>
      <c r="R243" s="10">
        <f>IFERROR(IF(('Loading-truck'!$C$21)="No control",SUMIF(('Loading-truck'!$B$31:$B$48),$J243,('Loading-truck'!$D$31:$D$48))*Impacts!$F$14,IF(('Loading-truck'!$C$21)&lt;&gt;"No control",SUMIF(('Loading-truck'!$B$31:$B$48),$J243,('Loading-truck'!$E$31:$E$48))*Impacts!$F$14,0)),0)</f>
        <v>0</v>
      </c>
      <c r="S243" s="10">
        <f>IFERROR(IF(('Loading-rail'!$C$21)="No control",SUMIF(('Loading-rail'!$B$31:$B$48),$J243,('Loading-rail'!$D$31:$D$48))*Impacts!$F$15,IF(('Loading-rail'!$C$21)&lt;&gt;"No control",SUMIF(('Loading-rail'!$B$31:$B$48),$J243,('Loading-rail'!$E$31:$E$48))*Impacts!$F$15,0)),0)</f>
        <v>0</v>
      </c>
      <c r="T243" s="10">
        <f>IF(Flare!$C$7="",0,(SUMIF(Flare!$B$46:$B$185,$J243,Flare!$E$46:$E$185)*Impacts!$F$16))</f>
        <v>0</v>
      </c>
      <c r="U243" s="10">
        <f>IF(VCU!$C$9="",0,(SUMIF(VCU!$B$51:$B$193,$J243,VCU!$E$51:$E$193)*Impacts!$F$17))</f>
        <v>0</v>
      </c>
      <c r="V243" s="10">
        <f>IF(CAS!$C$7="",0,(SUMIF(CAS!$B$31:$B$167,$J243,CAS!$E$31:$E$167)*Impacts!$F$18))</f>
        <v>0</v>
      </c>
      <c r="W243" s="10">
        <f t="shared" si="45"/>
        <v>0</v>
      </c>
      <c r="AK243" s="10" t="str">
        <f t="array" ref="AK243">IFERROR(INDEX(SelectedSpecies,SMALL(IF(SelectedSpecies=AK$1,ROW(SelectedSpecies)),ROW(244:244)),2),"")</f>
        <v/>
      </c>
      <c r="BE243" s="10"/>
      <c r="BI243" s="10"/>
    </row>
    <row r="244" spans="1:61" ht="21" customHeight="1" x14ac:dyDescent="0.25">
      <c r="A244" s="10"/>
      <c r="B244" s="16" t="s">
        <v>252</v>
      </c>
      <c r="C244" s="10">
        <v>100</v>
      </c>
      <c r="D244" s="10">
        <v>249</v>
      </c>
      <c r="E244" s="17">
        <v>249</v>
      </c>
      <c r="I244" s="436" t="s">
        <v>8030</v>
      </c>
      <c r="J244" s="26" t="s">
        <v>8029</v>
      </c>
      <c r="K244" s="10">
        <v>2.2000000000000002E-2</v>
      </c>
      <c r="L244" s="73">
        <f>IF(Tank1!$C$23="No control",(SUMIF(Tank1!$B$32:$B$49,$J244,Tank1!$C$32:$C$49)*Impacts!$F$8),0)</f>
        <v>0</v>
      </c>
      <c r="M244" s="10">
        <f>IF(Tank2!$C$23="No control",(SUMIF(Tank2!$B$32:$B$49,$J244,Tank2!$C$32:$C$49)*Impacts!$F$9),0)</f>
        <v>0</v>
      </c>
      <c r="N244" s="10">
        <f>IF(Tank3!$C$23="No control",(SUMIF(Tank3!$B$32:$B$49,$J244,Tank3!$C$32:$C$49)*Impacts!$F$10),0)</f>
        <v>0</v>
      </c>
      <c r="O244" s="10">
        <f>IF(Tank4!$C$23="No control",(SUMIF(Tank4!$B$32:$B$49,$J244,Tank4!$C$32:$C$49)*Impacts!$F$11),0)</f>
        <v>0</v>
      </c>
      <c r="P244" s="10">
        <f>IF(Tank5!$C$23="No control",(SUMIF(Tank5!$B$32:$B$49,$J244,Tank5!$C$32:$C$49)*Impacts!$F$12),0)</f>
        <v>0</v>
      </c>
      <c r="Q244" s="10">
        <f>IFERROR(IF(('Loading-drum,tote'!$C$21)="No control",SUMIF(('Loading-drum,tote'!$B$31:$B$48),$J244,('Loading-drum,tote'!$D$31:$D$48))*Impacts!$F$13,IF(('Loading-drum,tote'!$C$21)&lt;&gt;"No control",SUMIF(('Loading-drum,tote'!$B$31:$B$48),$J244,('Loading-drum,tote'!$E$31:$E$48))*Impacts!$F$13,0)),0)</f>
        <v>0</v>
      </c>
      <c r="R244" s="10">
        <f>IFERROR(IF(('Loading-truck'!$C$21)="No control",SUMIF(('Loading-truck'!$B$31:$B$48),$J244,('Loading-truck'!$D$31:$D$48))*Impacts!$F$14,IF(('Loading-truck'!$C$21)&lt;&gt;"No control",SUMIF(('Loading-truck'!$B$31:$B$48),$J244,('Loading-truck'!$E$31:$E$48))*Impacts!$F$14,0)),0)</f>
        <v>0</v>
      </c>
      <c r="S244" s="10">
        <f>IFERROR(IF(('Loading-rail'!$C$21)="No control",SUMIF(('Loading-rail'!$B$31:$B$48),$J244,('Loading-rail'!$D$31:$D$48))*Impacts!$F$15,IF(('Loading-rail'!$C$21)&lt;&gt;"No control",SUMIF(('Loading-rail'!$B$31:$B$48),$J244,('Loading-rail'!$E$31:$E$48))*Impacts!$F$15,0)),0)</f>
        <v>0</v>
      </c>
      <c r="T244" s="10">
        <f>IF(Flare!$C$7="",0,(SUMIF(Flare!$B$46:$B$185,$J244,Flare!$E$46:$E$185)*Impacts!$F$16))</f>
        <v>0</v>
      </c>
      <c r="U244" s="10">
        <f>IF(VCU!$C$9="",0,(SUMIF(VCU!$B$51:$B$193,$J244,VCU!$E$51:$E$193)*Impacts!$F$17))</f>
        <v>0</v>
      </c>
      <c r="V244" s="10">
        <f>IF(CAS!$C$7="",0,(SUMIF(CAS!$B$31:$B$167,$J244,CAS!$E$31:$E$167)*Impacts!$F$18))</f>
        <v>0</v>
      </c>
      <c r="W244" s="10">
        <f t="shared" si="45"/>
        <v>0</v>
      </c>
      <c r="AK244" s="10" t="str">
        <f t="array" ref="AK244">IFERROR(INDEX(SelectedSpecies,SMALL(IF(SelectedSpecies=AK$1,ROW(SelectedSpecies)),ROW(245:245)),2),"")</f>
        <v/>
      </c>
      <c r="BE244" s="10"/>
      <c r="BI244" s="10"/>
    </row>
    <row r="245" spans="1:61" ht="21" customHeight="1" x14ac:dyDescent="0.25">
      <c r="A245" s="10"/>
      <c r="B245" s="16" t="s">
        <v>253</v>
      </c>
      <c r="C245" s="10">
        <v>100</v>
      </c>
      <c r="D245" s="10">
        <v>249</v>
      </c>
      <c r="E245" s="17">
        <v>249</v>
      </c>
      <c r="I245" s="436" t="s">
        <v>2347</v>
      </c>
      <c r="J245" s="26" t="s">
        <v>2346</v>
      </c>
      <c r="K245" s="10">
        <v>11</v>
      </c>
      <c r="L245" s="73">
        <f>IF(Tank1!$C$23="No control",(SUMIF(Tank1!$B$32:$B$49,$J245,Tank1!$C$32:$C$49)*Impacts!$F$8),0)</f>
        <v>0</v>
      </c>
      <c r="M245" s="10">
        <f>IF(Tank2!$C$23="No control",(SUMIF(Tank2!$B$32:$B$49,$J245,Tank2!$C$32:$C$49)*Impacts!$F$9),0)</f>
        <v>0</v>
      </c>
      <c r="N245" s="10">
        <f>IF(Tank3!$C$23="No control",(SUMIF(Tank3!$B$32:$B$49,$J245,Tank3!$C$32:$C$49)*Impacts!$F$10),0)</f>
        <v>0</v>
      </c>
      <c r="O245" s="10">
        <f>IF(Tank4!$C$23="No control",(SUMIF(Tank4!$B$32:$B$49,$J245,Tank4!$C$32:$C$49)*Impacts!$F$11),0)</f>
        <v>0</v>
      </c>
      <c r="P245" s="10">
        <f>IF(Tank5!$C$23="No control",(SUMIF(Tank5!$B$32:$B$49,$J245,Tank5!$C$32:$C$49)*Impacts!$F$12),0)</f>
        <v>0</v>
      </c>
      <c r="Q245" s="10">
        <f>IFERROR(IF(('Loading-drum,tote'!$C$21)="No control",SUMIF(('Loading-drum,tote'!$B$31:$B$48),$J245,('Loading-drum,tote'!$D$31:$D$48))*Impacts!$F$13,IF(('Loading-drum,tote'!$C$21)&lt;&gt;"No control",SUMIF(('Loading-drum,tote'!$B$31:$B$48),$J245,('Loading-drum,tote'!$E$31:$E$48))*Impacts!$F$13,0)),0)</f>
        <v>0</v>
      </c>
      <c r="R245" s="10">
        <f>IFERROR(IF(('Loading-truck'!$C$21)="No control",SUMIF(('Loading-truck'!$B$31:$B$48),$J245,('Loading-truck'!$D$31:$D$48))*Impacts!$F$14,IF(('Loading-truck'!$C$21)&lt;&gt;"No control",SUMIF(('Loading-truck'!$B$31:$B$48),$J245,('Loading-truck'!$E$31:$E$48))*Impacts!$F$14,0)),0)</f>
        <v>0</v>
      </c>
      <c r="S245" s="10">
        <f>IFERROR(IF(('Loading-rail'!$C$21)="No control",SUMIF(('Loading-rail'!$B$31:$B$48),$J245,('Loading-rail'!$D$31:$D$48))*Impacts!$F$15,IF(('Loading-rail'!$C$21)&lt;&gt;"No control",SUMIF(('Loading-rail'!$B$31:$B$48),$J245,('Loading-rail'!$E$31:$E$48))*Impacts!$F$15,0)),0)</f>
        <v>0</v>
      </c>
      <c r="T245" s="10">
        <f>IF(Flare!$C$7="",0,(SUMIF(Flare!$B$46:$B$185,$J245,Flare!$E$46:$E$185)*Impacts!$F$16))</f>
        <v>0</v>
      </c>
      <c r="U245" s="10">
        <f>IF(VCU!$C$9="",0,(SUMIF(VCU!$B$51:$B$193,$J245,VCU!$E$51:$E$193)*Impacts!$F$17))</f>
        <v>0</v>
      </c>
      <c r="V245" s="10">
        <f>IF(CAS!$C$7="",0,(SUMIF(CAS!$B$31:$B$167,$J245,CAS!$E$31:$E$167)*Impacts!$F$18))</f>
        <v>0</v>
      </c>
      <c r="W245" s="10">
        <f t="shared" si="45"/>
        <v>0</v>
      </c>
      <c r="AK245" s="10" t="str">
        <f t="array" ref="AK245">IFERROR(INDEX(SelectedSpecies,SMALL(IF(SelectedSpecies=AK$1,ROW(SelectedSpecies)),ROW(246:246)),2),"")</f>
        <v/>
      </c>
      <c r="BE245" s="10"/>
      <c r="BI245" s="10"/>
    </row>
    <row r="246" spans="1:61" ht="21" customHeight="1" x14ac:dyDescent="0.25">
      <c r="A246" s="10"/>
      <c r="B246" s="16" t="s">
        <v>254</v>
      </c>
      <c r="C246" s="10">
        <v>100</v>
      </c>
      <c r="D246" s="10">
        <v>249</v>
      </c>
      <c r="E246" s="17">
        <v>249</v>
      </c>
      <c r="I246" s="436" t="s">
        <v>856</v>
      </c>
      <c r="J246" s="26" t="s">
        <v>855</v>
      </c>
      <c r="K246" s="10">
        <v>45</v>
      </c>
      <c r="L246" s="73">
        <f>IF(Tank1!$C$23="No control",(SUMIF(Tank1!$B$32:$B$49,$J246,Tank1!$C$32:$C$49)*Impacts!$F$8),0)</f>
        <v>0</v>
      </c>
      <c r="M246" s="10">
        <f>IF(Tank2!$C$23="No control",(SUMIF(Tank2!$B$32:$B$49,$J246,Tank2!$C$32:$C$49)*Impacts!$F$9),0)</f>
        <v>0</v>
      </c>
      <c r="N246" s="10">
        <f>IF(Tank3!$C$23="No control",(SUMIF(Tank3!$B$32:$B$49,$J246,Tank3!$C$32:$C$49)*Impacts!$F$10),0)</f>
        <v>0</v>
      </c>
      <c r="O246" s="10">
        <f>IF(Tank4!$C$23="No control",(SUMIF(Tank4!$B$32:$B$49,$J246,Tank4!$C$32:$C$49)*Impacts!$F$11),0)</f>
        <v>0</v>
      </c>
      <c r="P246" s="10">
        <f>IF(Tank5!$C$23="No control",(SUMIF(Tank5!$B$32:$B$49,$J246,Tank5!$C$32:$C$49)*Impacts!$F$12),0)</f>
        <v>0</v>
      </c>
      <c r="Q246" s="10">
        <f>IFERROR(IF(('Loading-drum,tote'!$C$21)="No control",SUMIF(('Loading-drum,tote'!$B$31:$B$48),$J246,('Loading-drum,tote'!$D$31:$D$48))*Impacts!$F$13,IF(('Loading-drum,tote'!$C$21)&lt;&gt;"No control",SUMIF(('Loading-drum,tote'!$B$31:$B$48),$J246,('Loading-drum,tote'!$E$31:$E$48))*Impacts!$F$13,0)),0)</f>
        <v>0</v>
      </c>
      <c r="R246" s="10">
        <f>IFERROR(IF(('Loading-truck'!$C$21)="No control",SUMIF(('Loading-truck'!$B$31:$B$48),$J246,('Loading-truck'!$D$31:$D$48))*Impacts!$F$14,IF(('Loading-truck'!$C$21)&lt;&gt;"No control",SUMIF(('Loading-truck'!$B$31:$B$48),$J246,('Loading-truck'!$E$31:$E$48))*Impacts!$F$14,0)),0)</f>
        <v>0</v>
      </c>
      <c r="S246" s="10">
        <f>IFERROR(IF(('Loading-rail'!$C$21)="No control",SUMIF(('Loading-rail'!$B$31:$B$48),$J246,('Loading-rail'!$D$31:$D$48))*Impacts!$F$15,IF(('Loading-rail'!$C$21)&lt;&gt;"No control",SUMIF(('Loading-rail'!$B$31:$B$48),$J246,('Loading-rail'!$E$31:$E$48))*Impacts!$F$15,0)),0)</f>
        <v>0</v>
      </c>
      <c r="T246" s="10">
        <f>IF(Flare!$C$7="",0,(SUMIF(Flare!$B$46:$B$185,$J246,Flare!$E$46:$E$185)*Impacts!$F$16))</f>
        <v>0</v>
      </c>
      <c r="U246" s="10">
        <f>IF(VCU!$C$9="",0,(SUMIF(VCU!$B$51:$B$193,$J246,VCU!$E$51:$E$193)*Impacts!$F$17))</f>
        <v>0</v>
      </c>
      <c r="V246" s="10">
        <f>IF(CAS!$C$7="",0,(SUMIF(CAS!$B$31:$B$167,$J246,CAS!$E$31:$E$167)*Impacts!$F$18))</f>
        <v>0</v>
      </c>
      <c r="W246" s="10">
        <f t="shared" si="45"/>
        <v>0</v>
      </c>
      <c r="AK246" s="10" t="str">
        <f t="array" ref="AK246">IFERROR(INDEX(SelectedSpecies,SMALL(IF(SelectedSpecies=AK$1,ROW(SelectedSpecies)),ROW(247:247)),2),"")</f>
        <v/>
      </c>
      <c r="BE246" s="10"/>
      <c r="BI246" s="10"/>
    </row>
    <row r="247" spans="1:61" ht="21" customHeight="1" x14ac:dyDescent="0.25">
      <c r="A247" s="10"/>
      <c r="B247" s="16" t="s">
        <v>255</v>
      </c>
      <c r="C247" s="10">
        <v>100</v>
      </c>
      <c r="D247" s="10">
        <v>249</v>
      </c>
      <c r="E247" s="17">
        <v>249</v>
      </c>
      <c r="I247" s="436" t="s">
        <v>7890</v>
      </c>
      <c r="J247" s="26" t="s">
        <v>7889</v>
      </c>
      <c r="K247" s="10">
        <v>0.05</v>
      </c>
      <c r="L247" s="73">
        <f>IF(Tank1!$C$23="No control",(SUMIF(Tank1!$B$32:$B$49,$J247,Tank1!$C$32:$C$49)*Impacts!$F$8),0)</f>
        <v>0</v>
      </c>
      <c r="M247" s="10">
        <f>IF(Tank2!$C$23="No control",(SUMIF(Tank2!$B$32:$B$49,$J247,Tank2!$C$32:$C$49)*Impacts!$F$9),0)</f>
        <v>0</v>
      </c>
      <c r="N247" s="10">
        <f>IF(Tank3!$C$23="No control",(SUMIF(Tank3!$B$32:$B$49,$J247,Tank3!$C$32:$C$49)*Impacts!$F$10),0)</f>
        <v>0</v>
      </c>
      <c r="O247" s="10">
        <f>IF(Tank4!$C$23="No control",(SUMIF(Tank4!$B$32:$B$49,$J247,Tank4!$C$32:$C$49)*Impacts!$F$11),0)</f>
        <v>0</v>
      </c>
      <c r="P247" s="10">
        <f>IF(Tank5!$C$23="No control",(SUMIF(Tank5!$B$32:$B$49,$J247,Tank5!$C$32:$C$49)*Impacts!$F$12),0)</f>
        <v>0</v>
      </c>
      <c r="Q247" s="10">
        <f>IFERROR(IF(('Loading-drum,tote'!$C$21)="No control",SUMIF(('Loading-drum,tote'!$B$31:$B$48),$J247,('Loading-drum,tote'!$D$31:$D$48))*Impacts!$F$13,IF(('Loading-drum,tote'!$C$21)&lt;&gt;"No control",SUMIF(('Loading-drum,tote'!$B$31:$B$48),$J247,('Loading-drum,tote'!$E$31:$E$48))*Impacts!$F$13,0)),0)</f>
        <v>0</v>
      </c>
      <c r="R247" s="10">
        <f>IFERROR(IF(('Loading-truck'!$C$21)="No control",SUMIF(('Loading-truck'!$B$31:$B$48),$J247,('Loading-truck'!$D$31:$D$48))*Impacts!$F$14,IF(('Loading-truck'!$C$21)&lt;&gt;"No control",SUMIF(('Loading-truck'!$B$31:$B$48),$J247,('Loading-truck'!$E$31:$E$48))*Impacts!$F$14,0)),0)</f>
        <v>0</v>
      </c>
      <c r="S247" s="10">
        <f>IFERROR(IF(('Loading-rail'!$C$21)="No control",SUMIF(('Loading-rail'!$B$31:$B$48),$J247,('Loading-rail'!$D$31:$D$48))*Impacts!$F$15,IF(('Loading-rail'!$C$21)&lt;&gt;"No control",SUMIF(('Loading-rail'!$B$31:$B$48),$J247,('Loading-rail'!$E$31:$E$48))*Impacts!$F$15,0)),0)</f>
        <v>0</v>
      </c>
      <c r="T247" s="10">
        <f>IF(Flare!$C$7="",0,(SUMIF(Flare!$B$46:$B$185,$J247,Flare!$E$46:$E$185)*Impacts!$F$16))</f>
        <v>0</v>
      </c>
      <c r="U247" s="10">
        <f>IF(VCU!$C$9="",0,(SUMIF(VCU!$B$51:$B$193,$J247,VCU!$E$51:$E$193)*Impacts!$F$17))</f>
        <v>0</v>
      </c>
      <c r="V247" s="10">
        <f>IF(CAS!$C$7="",0,(SUMIF(CAS!$B$31:$B$167,$J247,CAS!$E$31:$E$167)*Impacts!$F$18))</f>
        <v>0</v>
      </c>
      <c r="W247" s="10">
        <f t="shared" si="45"/>
        <v>0</v>
      </c>
      <c r="AK247" s="10" t="str">
        <f t="array" ref="AK247">IFERROR(INDEX(SelectedSpecies,SMALL(IF(SelectedSpecies=AK$1,ROW(SelectedSpecies)),ROW(248:248)),2),"")</f>
        <v/>
      </c>
      <c r="BE247" s="10"/>
      <c r="BI247" s="10"/>
    </row>
    <row r="248" spans="1:61" ht="21" customHeight="1" x14ac:dyDescent="0.25">
      <c r="A248" s="10"/>
      <c r="B248" s="16" t="s">
        <v>256</v>
      </c>
      <c r="C248" s="10">
        <v>100</v>
      </c>
      <c r="D248" s="10">
        <v>249</v>
      </c>
      <c r="E248" s="17">
        <v>249</v>
      </c>
      <c r="I248" s="436" t="s">
        <v>295</v>
      </c>
      <c r="J248" s="26" t="s">
        <v>294</v>
      </c>
      <c r="K248" s="10">
        <v>710</v>
      </c>
      <c r="L248" s="73">
        <f>IF(Tank1!$C$23="No control",(SUMIF(Tank1!$B$32:$B$49,$J248,Tank1!$C$32:$C$49)*Impacts!$F$8),0)</f>
        <v>0</v>
      </c>
      <c r="M248" s="10">
        <f>IF(Tank2!$C$23="No control",(SUMIF(Tank2!$B$32:$B$49,$J248,Tank2!$C$32:$C$49)*Impacts!$F$9),0)</f>
        <v>0</v>
      </c>
      <c r="N248" s="10">
        <f>IF(Tank3!$C$23="No control",(SUMIF(Tank3!$B$32:$B$49,$J248,Tank3!$C$32:$C$49)*Impacts!$F$10),0)</f>
        <v>0</v>
      </c>
      <c r="O248" s="10">
        <f>IF(Tank4!$C$23="No control",(SUMIF(Tank4!$B$32:$B$49,$J248,Tank4!$C$32:$C$49)*Impacts!$F$11),0)</f>
        <v>0</v>
      </c>
      <c r="P248" s="10">
        <f>IF(Tank5!$C$23="No control",(SUMIF(Tank5!$B$32:$B$49,$J248,Tank5!$C$32:$C$49)*Impacts!$F$12),0)</f>
        <v>0</v>
      </c>
      <c r="Q248" s="10">
        <f>IFERROR(IF(('Loading-drum,tote'!$C$21)="No control",SUMIF(('Loading-drum,tote'!$B$31:$B$48),$J248,('Loading-drum,tote'!$D$31:$D$48))*Impacts!$F$13,IF(('Loading-drum,tote'!$C$21)&lt;&gt;"No control",SUMIF(('Loading-drum,tote'!$B$31:$B$48),$J248,('Loading-drum,tote'!$E$31:$E$48))*Impacts!$F$13,0)),0)</f>
        <v>0</v>
      </c>
      <c r="R248" s="10">
        <f>IFERROR(IF(('Loading-truck'!$C$21)="No control",SUMIF(('Loading-truck'!$B$31:$B$48),$J248,('Loading-truck'!$D$31:$D$48))*Impacts!$F$14,IF(('Loading-truck'!$C$21)&lt;&gt;"No control",SUMIF(('Loading-truck'!$B$31:$B$48),$J248,('Loading-truck'!$E$31:$E$48))*Impacts!$F$14,0)),0)</f>
        <v>0</v>
      </c>
      <c r="S248" s="10">
        <f>IFERROR(IF(('Loading-rail'!$C$21)="No control",SUMIF(('Loading-rail'!$B$31:$B$48),$J248,('Loading-rail'!$D$31:$D$48))*Impacts!$F$15,IF(('Loading-rail'!$C$21)&lt;&gt;"No control",SUMIF(('Loading-rail'!$B$31:$B$48),$J248,('Loading-rail'!$E$31:$E$48))*Impacts!$F$15,0)),0)</f>
        <v>0</v>
      </c>
      <c r="T248" s="10">
        <f>IF(Flare!$C$7="",0,(SUMIF(Flare!$B$46:$B$185,$J248,Flare!$E$46:$E$185)*Impacts!$F$16))</f>
        <v>0</v>
      </c>
      <c r="U248" s="10">
        <f>IF(VCU!$C$9="",0,(SUMIF(VCU!$B$51:$B$193,$J248,VCU!$E$51:$E$193)*Impacts!$F$17))</f>
        <v>0</v>
      </c>
      <c r="V248" s="10">
        <f>IF(CAS!$C$7="",0,(SUMIF(CAS!$B$31:$B$167,$J248,CAS!$E$31:$E$167)*Impacts!$F$18))</f>
        <v>0</v>
      </c>
      <c r="W248" s="10">
        <f t="shared" si="45"/>
        <v>0</v>
      </c>
      <c r="AK248" s="10" t="str">
        <f t="array" ref="AK248">IFERROR(INDEX(SelectedSpecies,SMALL(IF(SelectedSpecies=AK$1,ROW(SelectedSpecies)),ROW(249:249)),2),"")</f>
        <v/>
      </c>
      <c r="BE248" s="10"/>
      <c r="BI248" s="10"/>
    </row>
    <row r="249" spans="1:61" ht="21" customHeight="1" x14ac:dyDescent="0.25">
      <c r="A249" s="10"/>
      <c r="B249" s="16" t="s">
        <v>257</v>
      </c>
      <c r="C249" s="10">
        <v>100</v>
      </c>
      <c r="D249" s="10">
        <v>249</v>
      </c>
      <c r="E249" s="17">
        <v>249</v>
      </c>
      <c r="I249" s="436" t="s">
        <v>467</v>
      </c>
      <c r="J249" s="26" t="s">
        <v>466</v>
      </c>
      <c r="K249" s="10">
        <v>160</v>
      </c>
      <c r="L249" s="73">
        <f>IF(Tank1!$C$23="No control",(SUMIF(Tank1!$B$32:$B$49,$J249,Tank1!$C$32:$C$49)*Impacts!$F$8),0)</f>
        <v>0</v>
      </c>
      <c r="M249" s="10">
        <f>IF(Tank2!$C$23="No control",(SUMIF(Tank2!$B$32:$B$49,$J249,Tank2!$C$32:$C$49)*Impacts!$F$9),0)</f>
        <v>0</v>
      </c>
      <c r="N249" s="10">
        <f>IF(Tank3!$C$23="No control",(SUMIF(Tank3!$B$32:$B$49,$J249,Tank3!$C$32:$C$49)*Impacts!$F$10),0)</f>
        <v>0</v>
      </c>
      <c r="O249" s="10">
        <f>IF(Tank4!$C$23="No control",(SUMIF(Tank4!$B$32:$B$49,$J249,Tank4!$C$32:$C$49)*Impacts!$F$11),0)</f>
        <v>0</v>
      </c>
      <c r="P249" s="10">
        <f>IF(Tank5!$C$23="No control",(SUMIF(Tank5!$B$32:$B$49,$J249,Tank5!$C$32:$C$49)*Impacts!$F$12),0)</f>
        <v>0</v>
      </c>
      <c r="Q249" s="10">
        <f>IFERROR(IF(('Loading-drum,tote'!$C$21)="No control",SUMIF(('Loading-drum,tote'!$B$31:$B$48),$J249,('Loading-drum,tote'!$D$31:$D$48))*Impacts!$F$13,IF(('Loading-drum,tote'!$C$21)&lt;&gt;"No control",SUMIF(('Loading-drum,tote'!$B$31:$B$48),$J249,('Loading-drum,tote'!$E$31:$E$48))*Impacts!$F$13,0)),0)</f>
        <v>0</v>
      </c>
      <c r="R249" s="10">
        <f>IFERROR(IF(('Loading-truck'!$C$21)="No control",SUMIF(('Loading-truck'!$B$31:$B$48),$J249,('Loading-truck'!$D$31:$D$48))*Impacts!$F$14,IF(('Loading-truck'!$C$21)&lt;&gt;"No control",SUMIF(('Loading-truck'!$B$31:$B$48),$J249,('Loading-truck'!$E$31:$E$48))*Impacts!$F$14,0)),0)</f>
        <v>0</v>
      </c>
      <c r="S249" s="10">
        <f>IFERROR(IF(('Loading-rail'!$C$21)="No control",SUMIF(('Loading-rail'!$B$31:$B$48),$J249,('Loading-rail'!$D$31:$D$48))*Impacts!$F$15,IF(('Loading-rail'!$C$21)&lt;&gt;"No control",SUMIF(('Loading-rail'!$B$31:$B$48),$J249,('Loading-rail'!$E$31:$E$48))*Impacts!$F$15,0)),0)</f>
        <v>0</v>
      </c>
      <c r="T249" s="10">
        <f>IF(Flare!$C$7="",0,(SUMIF(Flare!$B$46:$B$185,$J249,Flare!$E$46:$E$185)*Impacts!$F$16))</f>
        <v>0</v>
      </c>
      <c r="U249" s="10">
        <f>IF(VCU!$C$9="",0,(SUMIF(VCU!$B$51:$B$193,$J249,VCU!$E$51:$E$193)*Impacts!$F$17))</f>
        <v>0</v>
      </c>
      <c r="V249" s="10">
        <f>IF(CAS!$C$7="",0,(SUMIF(CAS!$B$31:$B$167,$J249,CAS!$E$31:$E$167)*Impacts!$F$18))</f>
        <v>0</v>
      </c>
      <c r="W249" s="10">
        <f t="shared" si="45"/>
        <v>0</v>
      </c>
      <c r="AK249" s="10" t="str">
        <f t="array" ref="AK249">IFERROR(INDEX(SelectedSpecies,SMALL(IF(SelectedSpecies=AK$1,ROW(SelectedSpecies)),ROW(250:250)),2),"")</f>
        <v/>
      </c>
      <c r="BE249" s="10"/>
      <c r="BI249" s="10"/>
    </row>
    <row r="250" spans="1:61" ht="21" customHeight="1" x14ac:dyDescent="0.25">
      <c r="A250" s="10"/>
      <c r="B250" s="16" t="s">
        <v>258</v>
      </c>
      <c r="C250" s="10">
        <v>100</v>
      </c>
      <c r="D250" s="10">
        <v>249</v>
      </c>
      <c r="E250" s="17">
        <v>249</v>
      </c>
      <c r="I250" s="436" t="s">
        <v>6244</v>
      </c>
      <c r="J250" s="26" t="s">
        <v>6243</v>
      </c>
      <c r="K250" s="10">
        <v>0.9900000000000001</v>
      </c>
      <c r="L250" s="73">
        <f>IF(Tank1!$C$23="No control",(SUMIF(Tank1!$B$32:$B$49,$J250,Tank1!$C$32:$C$49)*Impacts!$F$8),0)</f>
        <v>0</v>
      </c>
      <c r="M250" s="10">
        <f>IF(Tank2!$C$23="No control",(SUMIF(Tank2!$B$32:$B$49,$J250,Tank2!$C$32:$C$49)*Impacts!$F$9),0)</f>
        <v>0</v>
      </c>
      <c r="N250" s="10">
        <f>IF(Tank3!$C$23="No control",(SUMIF(Tank3!$B$32:$B$49,$J250,Tank3!$C$32:$C$49)*Impacts!$F$10),0)</f>
        <v>0</v>
      </c>
      <c r="O250" s="10">
        <f>IF(Tank4!$C$23="No control",(SUMIF(Tank4!$B$32:$B$49,$J250,Tank4!$C$32:$C$49)*Impacts!$F$11),0)</f>
        <v>0</v>
      </c>
      <c r="P250" s="10">
        <f>IF(Tank5!$C$23="No control",(SUMIF(Tank5!$B$32:$B$49,$J250,Tank5!$C$32:$C$49)*Impacts!$F$12),0)</f>
        <v>0</v>
      </c>
      <c r="Q250" s="10">
        <f>IFERROR(IF(('Loading-drum,tote'!$C$21)="No control",SUMIF(('Loading-drum,tote'!$B$31:$B$48),$J250,('Loading-drum,tote'!$D$31:$D$48))*Impacts!$F$13,IF(('Loading-drum,tote'!$C$21)&lt;&gt;"No control",SUMIF(('Loading-drum,tote'!$B$31:$B$48),$J250,('Loading-drum,tote'!$E$31:$E$48))*Impacts!$F$13,0)),0)</f>
        <v>0</v>
      </c>
      <c r="R250" s="10">
        <f>IFERROR(IF(('Loading-truck'!$C$21)="No control",SUMIF(('Loading-truck'!$B$31:$B$48),$J250,('Loading-truck'!$D$31:$D$48))*Impacts!$F$14,IF(('Loading-truck'!$C$21)&lt;&gt;"No control",SUMIF(('Loading-truck'!$B$31:$B$48),$J250,('Loading-truck'!$E$31:$E$48))*Impacts!$F$14,0)),0)</f>
        <v>0</v>
      </c>
      <c r="S250" s="10">
        <f>IFERROR(IF(('Loading-rail'!$C$21)="No control",SUMIF(('Loading-rail'!$B$31:$B$48),$J250,('Loading-rail'!$D$31:$D$48))*Impacts!$F$15,IF(('Loading-rail'!$C$21)&lt;&gt;"No control",SUMIF(('Loading-rail'!$B$31:$B$48),$J250,('Loading-rail'!$E$31:$E$48))*Impacts!$F$15,0)),0)</f>
        <v>0</v>
      </c>
      <c r="T250" s="10">
        <f>IF(Flare!$C$7="",0,(SUMIF(Flare!$B$46:$B$185,$J250,Flare!$E$46:$E$185)*Impacts!$F$16))</f>
        <v>0</v>
      </c>
      <c r="U250" s="10">
        <f>IF(VCU!$C$9="",0,(SUMIF(VCU!$B$51:$B$193,$J250,VCU!$E$51:$E$193)*Impacts!$F$17))</f>
        <v>0</v>
      </c>
      <c r="V250" s="10">
        <f>IF(CAS!$C$7="",0,(SUMIF(CAS!$B$31:$B$167,$J250,CAS!$E$31:$E$167)*Impacts!$F$18))</f>
        <v>0</v>
      </c>
      <c r="W250" s="10">
        <f t="shared" si="45"/>
        <v>0</v>
      </c>
      <c r="AK250" s="10" t="str">
        <f t="array" ref="AK250">IFERROR(INDEX(SelectedSpecies,SMALL(IF(SelectedSpecies=AK$1,ROW(SelectedSpecies)),ROW(251:251)),2),"")</f>
        <v/>
      </c>
      <c r="BE250" s="10"/>
      <c r="BI250" s="10"/>
    </row>
    <row r="251" spans="1:61" ht="21" customHeight="1" x14ac:dyDescent="0.25">
      <c r="A251" s="10"/>
      <c r="B251" s="16" t="s">
        <v>259</v>
      </c>
      <c r="C251" s="10">
        <v>100</v>
      </c>
      <c r="D251" s="10">
        <v>100</v>
      </c>
      <c r="E251" s="17">
        <v>249</v>
      </c>
      <c r="I251" s="436" t="s">
        <v>5676</v>
      </c>
      <c r="J251" s="26" t="s">
        <v>5675</v>
      </c>
      <c r="K251" s="10">
        <v>1</v>
      </c>
      <c r="L251" s="73">
        <f>IF(Tank1!$C$23="No control",(SUMIF(Tank1!$B$32:$B$49,$J251,Tank1!$C$32:$C$49)*Impacts!$F$8),0)</f>
        <v>0</v>
      </c>
      <c r="M251" s="10">
        <f>IF(Tank2!$C$23="No control",(SUMIF(Tank2!$B$32:$B$49,$J251,Tank2!$C$32:$C$49)*Impacts!$F$9),0)</f>
        <v>0</v>
      </c>
      <c r="N251" s="10">
        <f>IF(Tank3!$C$23="No control",(SUMIF(Tank3!$B$32:$B$49,$J251,Tank3!$C$32:$C$49)*Impacts!$F$10),0)</f>
        <v>0</v>
      </c>
      <c r="O251" s="10">
        <f>IF(Tank4!$C$23="No control",(SUMIF(Tank4!$B$32:$B$49,$J251,Tank4!$C$32:$C$49)*Impacts!$F$11),0)</f>
        <v>0</v>
      </c>
      <c r="P251" s="10">
        <f>IF(Tank5!$C$23="No control",(SUMIF(Tank5!$B$32:$B$49,$J251,Tank5!$C$32:$C$49)*Impacts!$F$12),0)</f>
        <v>0</v>
      </c>
      <c r="Q251" s="10">
        <f>IFERROR(IF(('Loading-drum,tote'!$C$21)="No control",SUMIF(('Loading-drum,tote'!$B$31:$B$48),$J251,('Loading-drum,tote'!$D$31:$D$48))*Impacts!$F$13,IF(('Loading-drum,tote'!$C$21)&lt;&gt;"No control",SUMIF(('Loading-drum,tote'!$B$31:$B$48),$J251,('Loading-drum,tote'!$E$31:$E$48))*Impacts!$F$13,0)),0)</f>
        <v>0</v>
      </c>
      <c r="R251" s="10">
        <f>IFERROR(IF(('Loading-truck'!$C$21)="No control",SUMIF(('Loading-truck'!$B$31:$B$48),$J251,('Loading-truck'!$D$31:$D$48))*Impacts!$F$14,IF(('Loading-truck'!$C$21)&lt;&gt;"No control",SUMIF(('Loading-truck'!$B$31:$B$48),$J251,('Loading-truck'!$E$31:$E$48))*Impacts!$F$14,0)),0)</f>
        <v>0</v>
      </c>
      <c r="S251" s="10">
        <f>IFERROR(IF(('Loading-rail'!$C$21)="No control",SUMIF(('Loading-rail'!$B$31:$B$48),$J251,('Loading-rail'!$D$31:$D$48))*Impacts!$F$15,IF(('Loading-rail'!$C$21)&lt;&gt;"No control",SUMIF(('Loading-rail'!$B$31:$B$48),$J251,('Loading-rail'!$E$31:$E$48))*Impacts!$F$15,0)),0)</f>
        <v>0</v>
      </c>
      <c r="T251" s="10">
        <f>IF(Flare!$C$7="",0,(SUMIF(Flare!$B$46:$B$185,$J251,Flare!$E$46:$E$185)*Impacts!$F$16))</f>
        <v>0</v>
      </c>
      <c r="U251" s="10">
        <f>IF(VCU!$C$9="",0,(SUMIF(VCU!$B$51:$B$193,$J251,VCU!$E$51:$E$193)*Impacts!$F$17))</f>
        <v>0</v>
      </c>
      <c r="V251" s="10">
        <f>IF(CAS!$C$7="",0,(SUMIF(CAS!$B$31:$B$167,$J251,CAS!$E$31:$E$167)*Impacts!$F$18))</f>
        <v>0</v>
      </c>
      <c r="W251" s="10">
        <f t="shared" si="45"/>
        <v>0</v>
      </c>
      <c r="AK251" s="10" t="str">
        <f t="array" ref="AK251">IFERROR(INDEX(SelectedSpecies,SMALL(IF(SelectedSpecies=AK$1,ROW(SelectedSpecies)),ROW(252:252)),2),"")</f>
        <v/>
      </c>
      <c r="BE251" s="10"/>
      <c r="BI251" s="10"/>
    </row>
    <row r="252" spans="1:61" ht="21" customHeight="1" x14ac:dyDescent="0.25">
      <c r="A252" s="10"/>
      <c r="B252" s="16" t="s">
        <v>260</v>
      </c>
      <c r="C252" s="10">
        <v>100</v>
      </c>
      <c r="D252" s="10">
        <v>249</v>
      </c>
      <c r="E252" s="17">
        <v>249</v>
      </c>
      <c r="I252" s="436" t="s">
        <v>439</v>
      </c>
      <c r="J252" s="26" t="s">
        <v>438</v>
      </c>
      <c r="K252" s="10">
        <v>164</v>
      </c>
      <c r="L252" s="73">
        <f>IF(Tank1!$C$23="No control",(SUMIF(Tank1!$B$32:$B$49,$J252,Tank1!$C$32:$C$49)*Impacts!$F$8),0)</f>
        <v>0</v>
      </c>
      <c r="M252" s="10">
        <f>IF(Tank2!$C$23="No control",(SUMIF(Tank2!$B$32:$B$49,$J252,Tank2!$C$32:$C$49)*Impacts!$F$9),0)</f>
        <v>0</v>
      </c>
      <c r="N252" s="10">
        <f>IF(Tank3!$C$23="No control",(SUMIF(Tank3!$B$32:$B$49,$J252,Tank3!$C$32:$C$49)*Impacts!$F$10),0)</f>
        <v>0</v>
      </c>
      <c r="O252" s="10">
        <f>IF(Tank4!$C$23="No control",(SUMIF(Tank4!$B$32:$B$49,$J252,Tank4!$C$32:$C$49)*Impacts!$F$11),0)</f>
        <v>0</v>
      </c>
      <c r="P252" s="10">
        <f>IF(Tank5!$C$23="No control",(SUMIF(Tank5!$B$32:$B$49,$J252,Tank5!$C$32:$C$49)*Impacts!$F$12),0)</f>
        <v>0</v>
      </c>
      <c r="Q252" s="10">
        <f>IFERROR(IF(('Loading-drum,tote'!$C$21)="No control",SUMIF(('Loading-drum,tote'!$B$31:$B$48),$J252,('Loading-drum,tote'!$D$31:$D$48))*Impacts!$F$13,IF(('Loading-drum,tote'!$C$21)&lt;&gt;"No control",SUMIF(('Loading-drum,tote'!$B$31:$B$48),$J252,('Loading-drum,tote'!$E$31:$E$48))*Impacts!$F$13,0)),0)</f>
        <v>0</v>
      </c>
      <c r="R252" s="10">
        <f>IFERROR(IF(('Loading-truck'!$C$21)="No control",SUMIF(('Loading-truck'!$B$31:$B$48),$J252,('Loading-truck'!$D$31:$D$48))*Impacts!$F$14,IF(('Loading-truck'!$C$21)&lt;&gt;"No control",SUMIF(('Loading-truck'!$B$31:$B$48),$J252,('Loading-truck'!$E$31:$E$48))*Impacts!$F$14,0)),0)</f>
        <v>0</v>
      </c>
      <c r="S252" s="10">
        <f>IFERROR(IF(('Loading-rail'!$C$21)="No control",SUMIF(('Loading-rail'!$B$31:$B$48),$J252,('Loading-rail'!$D$31:$D$48))*Impacts!$F$15,IF(('Loading-rail'!$C$21)&lt;&gt;"No control",SUMIF(('Loading-rail'!$B$31:$B$48),$J252,('Loading-rail'!$E$31:$E$48))*Impacts!$F$15,0)),0)</f>
        <v>0</v>
      </c>
      <c r="T252" s="10">
        <f>IF(Flare!$C$7="",0,(SUMIF(Flare!$B$46:$B$185,$J252,Flare!$E$46:$E$185)*Impacts!$F$16))</f>
        <v>0</v>
      </c>
      <c r="U252" s="10">
        <f>IF(VCU!$C$9="",0,(SUMIF(VCU!$B$51:$B$193,$J252,VCU!$E$51:$E$193)*Impacts!$F$17))</f>
        <v>0</v>
      </c>
      <c r="V252" s="10">
        <f>IF(CAS!$C$7="",0,(SUMIF(CAS!$B$31:$B$167,$J252,CAS!$E$31:$E$167)*Impacts!$F$18))</f>
        <v>0</v>
      </c>
      <c r="W252" s="10">
        <f t="shared" si="45"/>
        <v>0</v>
      </c>
      <c r="AK252" s="10" t="str">
        <f t="array" ref="AK252">IFERROR(INDEX(SelectedSpecies,SMALL(IF(SelectedSpecies=AK$1,ROW(SelectedSpecies)),ROW(253:253)),2),"")</f>
        <v/>
      </c>
      <c r="BE252" s="10"/>
      <c r="BI252" s="10"/>
    </row>
    <row r="253" spans="1:61" ht="21" customHeight="1" x14ac:dyDescent="0.25">
      <c r="A253" s="10"/>
      <c r="B253" s="16" t="s">
        <v>261</v>
      </c>
      <c r="C253" s="10">
        <v>100</v>
      </c>
      <c r="D253" s="10">
        <v>249</v>
      </c>
      <c r="E253" s="17">
        <v>249</v>
      </c>
      <c r="I253" s="436" t="s">
        <v>818</v>
      </c>
      <c r="J253" s="26" t="s">
        <v>817</v>
      </c>
      <c r="K253" s="10">
        <v>48</v>
      </c>
      <c r="L253" s="73">
        <f>IF(Tank1!$C$23="No control",(SUMIF(Tank1!$B$32:$B$49,$J253,Tank1!$C$32:$C$49)*Impacts!$F$8),0)</f>
        <v>0</v>
      </c>
      <c r="M253" s="10">
        <f>IF(Tank2!$C$23="No control",(SUMIF(Tank2!$B$32:$B$49,$J253,Tank2!$C$32:$C$49)*Impacts!$F$9),0)</f>
        <v>0</v>
      </c>
      <c r="N253" s="10">
        <f>IF(Tank3!$C$23="No control",(SUMIF(Tank3!$B$32:$B$49,$J253,Tank3!$C$32:$C$49)*Impacts!$F$10),0)</f>
        <v>0</v>
      </c>
      <c r="O253" s="10">
        <f>IF(Tank4!$C$23="No control",(SUMIF(Tank4!$B$32:$B$49,$J253,Tank4!$C$32:$C$49)*Impacts!$F$11),0)</f>
        <v>0</v>
      </c>
      <c r="P253" s="10">
        <f>IF(Tank5!$C$23="No control",(SUMIF(Tank5!$B$32:$B$49,$J253,Tank5!$C$32:$C$49)*Impacts!$F$12),0)</f>
        <v>0</v>
      </c>
      <c r="Q253" s="10">
        <f>IFERROR(IF(('Loading-drum,tote'!$C$21)="No control",SUMIF(('Loading-drum,tote'!$B$31:$B$48),$J253,('Loading-drum,tote'!$D$31:$D$48))*Impacts!$F$13,IF(('Loading-drum,tote'!$C$21)&lt;&gt;"No control",SUMIF(('Loading-drum,tote'!$B$31:$B$48),$J253,('Loading-drum,tote'!$E$31:$E$48))*Impacts!$F$13,0)),0)</f>
        <v>0</v>
      </c>
      <c r="R253" s="10">
        <f>IFERROR(IF(('Loading-truck'!$C$21)="No control",SUMIF(('Loading-truck'!$B$31:$B$48),$J253,('Loading-truck'!$D$31:$D$48))*Impacts!$F$14,IF(('Loading-truck'!$C$21)&lt;&gt;"No control",SUMIF(('Loading-truck'!$B$31:$B$48),$J253,('Loading-truck'!$E$31:$E$48))*Impacts!$F$14,0)),0)</f>
        <v>0</v>
      </c>
      <c r="S253" s="10">
        <f>IFERROR(IF(('Loading-rail'!$C$21)="No control",SUMIF(('Loading-rail'!$B$31:$B$48),$J253,('Loading-rail'!$D$31:$D$48))*Impacts!$F$15,IF(('Loading-rail'!$C$21)&lt;&gt;"No control",SUMIF(('Loading-rail'!$B$31:$B$48),$J253,('Loading-rail'!$E$31:$E$48))*Impacts!$F$15,0)),0)</f>
        <v>0</v>
      </c>
      <c r="T253" s="10">
        <f>IF(Flare!$C$7="",0,(SUMIF(Flare!$B$46:$B$185,$J253,Flare!$E$46:$E$185)*Impacts!$F$16))</f>
        <v>0</v>
      </c>
      <c r="U253" s="10">
        <f>IF(VCU!$C$9="",0,(SUMIF(VCU!$B$51:$B$193,$J253,VCU!$E$51:$E$193)*Impacts!$F$17))</f>
        <v>0</v>
      </c>
      <c r="V253" s="10">
        <f>IF(CAS!$C$7="",0,(SUMIF(CAS!$B$31:$B$167,$J253,CAS!$E$31:$E$167)*Impacts!$F$18))</f>
        <v>0</v>
      </c>
      <c r="W253" s="10">
        <f t="shared" si="45"/>
        <v>0</v>
      </c>
      <c r="AK253" s="10" t="str">
        <f t="array" ref="AK253">IFERROR(INDEX(SelectedSpecies,SMALL(IF(SelectedSpecies=AK$1,ROW(SelectedSpecies)),ROW(254:254)),2),"")</f>
        <v/>
      </c>
      <c r="BE253" s="10"/>
      <c r="BI253" s="10"/>
    </row>
    <row r="254" spans="1:61" ht="21" customHeight="1" x14ac:dyDescent="0.25">
      <c r="A254" s="10"/>
      <c r="B254" s="16" t="s">
        <v>262</v>
      </c>
      <c r="C254" s="10">
        <v>100</v>
      </c>
      <c r="D254" s="10">
        <v>249</v>
      </c>
      <c r="E254" s="17">
        <v>249</v>
      </c>
      <c r="I254" s="436" t="s">
        <v>7802</v>
      </c>
      <c r="J254" s="26" t="s">
        <v>7801</v>
      </c>
      <c r="K254" s="10">
        <v>8.2000000000000003E-2</v>
      </c>
      <c r="L254" s="73">
        <f>IF(Tank1!$C$23="No control",(SUMIF(Tank1!$B$32:$B$49,$J254,Tank1!$C$32:$C$49)*Impacts!$F$8),0)</f>
        <v>0</v>
      </c>
      <c r="M254" s="10">
        <f>IF(Tank2!$C$23="No control",(SUMIF(Tank2!$B$32:$B$49,$J254,Tank2!$C$32:$C$49)*Impacts!$F$9),0)</f>
        <v>0</v>
      </c>
      <c r="N254" s="10">
        <f>IF(Tank3!$C$23="No control",(SUMIF(Tank3!$B$32:$B$49,$J254,Tank3!$C$32:$C$49)*Impacts!$F$10),0)</f>
        <v>0</v>
      </c>
      <c r="O254" s="10">
        <f>IF(Tank4!$C$23="No control",(SUMIF(Tank4!$B$32:$B$49,$J254,Tank4!$C$32:$C$49)*Impacts!$F$11),0)</f>
        <v>0</v>
      </c>
      <c r="P254" s="10">
        <f>IF(Tank5!$C$23="No control",(SUMIF(Tank5!$B$32:$B$49,$J254,Tank5!$C$32:$C$49)*Impacts!$F$12),0)</f>
        <v>0</v>
      </c>
      <c r="Q254" s="10">
        <f>IFERROR(IF(('Loading-drum,tote'!$C$21)="No control",SUMIF(('Loading-drum,tote'!$B$31:$B$48),$J254,('Loading-drum,tote'!$D$31:$D$48))*Impacts!$F$13,IF(('Loading-drum,tote'!$C$21)&lt;&gt;"No control",SUMIF(('Loading-drum,tote'!$B$31:$B$48),$J254,('Loading-drum,tote'!$E$31:$E$48))*Impacts!$F$13,0)),0)</f>
        <v>0</v>
      </c>
      <c r="R254" s="10">
        <f>IFERROR(IF(('Loading-truck'!$C$21)="No control",SUMIF(('Loading-truck'!$B$31:$B$48),$J254,('Loading-truck'!$D$31:$D$48))*Impacts!$F$14,IF(('Loading-truck'!$C$21)&lt;&gt;"No control",SUMIF(('Loading-truck'!$B$31:$B$48),$J254,('Loading-truck'!$E$31:$E$48))*Impacts!$F$14,0)),0)</f>
        <v>0</v>
      </c>
      <c r="S254" s="10">
        <f>IFERROR(IF(('Loading-rail'!$C$21)="No control",SUMIF(('Loading-rail'!$B$31:$B$48),$J254,('Loading-rail'!$D$31:$D$48))*Impacts!$F$15,IF(('Loading-rail'!$C$21)&lt;&gt;"No control",SUMIF(('Loading-rail'!$B$31:$B$48),$J254,('Loading-rail'!$E$31:$E$48))*Impacts!$F$15,0)),0)</f>
        <v>0</v>
      </c>
      <c r="T254" s="10">
        <f>IF(Flare!$C$7="",0,(SUMIF(Flare!$B$46:$B$185,$J254,Flare!$E$46:$E$185)*Impacts!$F$16))</f>
        <v>0</v>
      </c>
      <c r="U254" s="10">
        <f>IF(VCU!$C$9="",0,(SUMIF(VCU!$B$51:$B$193,$J254,VCU!$E$51:$E$193)*Impacts!$F$17))</f>
        <v>0</v>
      </c>
      <c r="V254" s="10">
        <f>IF(CAS!$C$7="",0,(SUMIF(CAS!$B$31:$B$167,$J254,CAS!$E$31:$E$167)*Impacts!$F$18))</f>
        <v>0</v>
      </c>
      <c r="W254" s="10">
        <f t="shared" si="45"/>
        <v>0</v>
      </c>
      <c r="AK254" s="10" t="str">
        <f t="array" ref="AK254">IFERROR(INDEX(SelectedSpecies,SMALL(IF(SelectedSpecies=AK$1,ROW(SelectedSpecies)),ROW(255:255)),2),"")</f>
        <v/>
      </c>
      <c r="BE254" s="10"/>
      <c r="BI254" s="10"/>
    </row>
    <row r="255" spans="1:61" ht="21" customHeight="1" x14ac:dyDescent="0.25">
      <c r="A255" s="10"/>
      <c r="B255" s="16" t="s">
        <v>263</v>
      </c>
      <c r="C255" s="10">
        <v>100</v>
      </c>
      <c r="D255" s="10">
        <v>249</v>
      </c>
      <c r="E255" s="17">
        <v>249</v>
      </c>
      <c r="I255" s="436" t="s">
        <v>7604</v>
      </c>
      <c r="J255" s="26" t="s">
        <v>7603</v>
      </c>
      <c r="K255" s="10">
        <v>0.16000000000000003</v>
      </c>
      <c r="L255" s="73">
        <f>IF(Tank1!$C$23="No control",(SUMIF(Tank1!$B$32:$B$49,$J255,Tank1!$C$32:$C$49)*Impacts!$F$8),0)</f>
        <v>0</v>
      </c>
      <c r="M255" s="10">
        <f>IF(Tank2!$C$23="No control",(SUMIF(Tank2!$B$32:$B$49,$J255,Tank2!$C$32:$C$49)*Impacts!$F$9),0)</f>
        <v>0</v>
      </c>
      <c r="N255" s="10">
        <f>IF(Tank3!$C$23="No control",(SUMIF(Tank3!$B$32:$B$49,$J255,Tank3!$C$32:$C$49)*Impacts!$F$10),0)</f>
        <v>0</v>
      </c>
      <c r="O255" s="10">
        <f>IF(Tank4!$C$23="No control",(SUMIF(Tank4!$B$32:$B$49,$J255,Tank4!$C$32:$C$49)*Impacts!$F$11),0)</f>
        <v>0</v>
      </c>
      <c r="P255" s="10">
        <f>IF(Tank5!$C$23="No control",(SUMIF(Tank5!$B$32:$B$49,$J255,Tank5!$C$32:$C$49)*Impacts!$F$12),0)</f>
        <v>0</v>
      </c>
      <c r="Q255" s="10">
        <f>IFERROR(IF(('Loading-drum,tote'!$C$21)="No control",SUMIF(('Loading-drum,tote'!$B$31:$B$48),$J255,('Loading-drum,tote'!$D$31:$D$48))*Impacts!$F$13,IF(('Loading-drum,tote'!$C$21)&lt;&gt;"No control",SUMIF(('Loading-drum,tote'!$B$31:$B$48),$J255,('Loading-drum,tote'!$E$31:$E$48))*Impacts!$F$13,0)),0)</f>
        <v>0</v>
      </c>
      <c r="R255" s="10">
        <f>IFERROR(IF(('Loading-truck'!$C$21)="No control",SUMIF(('Loading-truck'!$B$31:$B$48),$J255,('Loading-truck'!$D$31:$D$48))*Impacts!$F$14,IF(('Loading-truck'!$C$21)&lt;&gt;"No control",SUMIF(('Loading-truck'!$B$31:$B$48),$J255,('Loading-truck'!$E$31:$E$48))*Impacts!$F$14,0)),0)</f>
        <v>0</v>
      </c>
      <c r="S255" s="10">
        <f>IFERROR(IF(('Loading-rail'!$C$21)="No control",SUMIF(('Loading-rail'!$B$31:$B$48),$J255,('Loading-rail'!$D$31:$D$48))*Impacts!$F$15,IF(('Loading-rail'!$C$21)&lt;&gt;"No control",SUMIF(('Loading-rail'!$B$31:$B$48),$J255,('Loading-rail'!$E$31:$E$48))*Impacts!$F$15,0)),0)</f>
        <v>0</v>
      </c>
      <c r="T255" s="10">
        <f>IF(Flare!$C$7="",0,(SUMIF(Flare!$B$46:$B$185,$J255,Flare!$E$46:$E$185)*Impacts!$F$16))</f>
        <v>0</v>
      </c>
      <c r="U255" s="10">
        <f>IF(VCU!$C$9="",0,(SUMIF(VCU!$B$51:$B$193,$J255,VCU!$E$51:$E$193)*Impacts!$F$17))</f>
        <v>0</v>
      </c>
      <c r="V255" s="10">
        <f>IF(CAS!$C$7="",0,(SUMIF(CAS!$B$31:$B$167,$J255,CAS!$E$31:$E$167)*Impacts!$F$18))</f>
        <v>0</v>
      </c>
      <c r="W255" s="10">
        <f t="shared" si="45"/>
        <v>0</v>
      </c>
      <c r="AK255" s="10" t="str">
        <f t="array" ref="AK255">IFERROR(INDEX(SelectedSpecies,SMALL(IF(SelectedSpecies=AK$1,ROW(SelectedSpecies)),ROW(256:256)),2),"")</f>
        <v/>
      </c>
      <c r="BE255" s="10"/>
      <c r="BI255" s="10"/>
    </row>
    <row r="256" spans="1:61" ht="21" customHeight="1" x14ac:dyDescent="0.25">
      <c r="A256" s="10"/>
      <c r="B256" s="16" t="s">
        <v>264</v>
      </c>
      <c r="C256" s="10">
        <v>100</v>
      </c>
      <c r="D256" s="10">
        <v>249</v>
      </c>
      <c r="E256" s="17">
        <v>249</v>
      </c>
      <c r="I256" s="436" t="s">
        <v>7686</v>
      </c>
      <c r="J256" s="26" t="s">
        <v>7685</v>
      </c>
      <c r="K256" s="10">
        <v>0.1</v>
      </c>
      <c r="L256" s="73">
        <f>IF(Tank1!$C$23="No control",(SUMIF(Tank1!$B$32:$B$49,$J256,Tank1!$C$32:$C$49)*Impacts!$F$8),0)</f>
        <v>0</v>
      </c>
      <c r="M256" s="10">
        <f>IF(Tank2!$C$23="No control",(SUMIF(Tank2!$B$32:$B$49,$J256,Tank2!$C$32:$C$49)*Impacts!$F$9),0)</f>
        <v>0</v>
      </c>
      <c r="N256" s="10">
        <f>IF(Tank3!$C$23="No control",(SUMIF(Tank3!$B$32:$B$49,$J256,Tank3!$C$32:$C$49)*Impacts!$F$10),0)</f>
        <v>0</v>
      </c>
      <c r="O256" s="10">
        <f>IF(Tank4!$C$23="No control",(SUMIF(Tank4!$B$32:$B$49,$J256,Tank4!$C$32:$C$49)*Impacts!$F$11),0)</f>
        <v>0</v>
      </c>
      <c r="P256" s="10">
        <f>IF(Tank5!$C$23="No control",(SUMIF(Tank5!$B$32:$B$49,$J256,Tank5!$C$32:$C$49)*Impacts!$F$12),0)</f>
        <v>0</v>
      </c>
      <c r="Q256" s="10">
        <f>IFERROR(IF(('Loading-drum,tote'!$C$21)="No control",SUMIF(('Loading-drum,tote'!$B$31:$B$48),$J256,('Loading-drum,tote'!$D$31:$D$48))*Impacts!$F$13,IF(('Loading-drum,tote'!$C$21)&lt;&gt;"No control",SUMIF(('Loading-drum,tote'!$B$31:$B$48),$J256,('Loading-drum,tote'!$E$31:$E$48))*Impacts!$F$13,0)),0)</f>
        <v>0</v>
      </c>
      <c r="R256" s="10">
        <f>IFERROR(IF(('Loading-truck'!$C$21)="No control",SUMIF(('Loading-truck'!$B$31:$B$48),$J256,('Loading-truck'!$D$31:$D$48))*Impacts!$F$14,IF(('Loading-truck'!$C$21)&lt;&gt;"No control",SUMIF(('Loading-truck'!$B$31:$B$48),$J256,('Loading-truck'!$E$31:$E$48))*Impacts!$F$14,0)),0)</f>
        <v>0</v>
      </c>
      <c r="S256" s="10">
        <f>IFERROR(IF(('Loading-rail'!$C$21)="No control",SUMIF(('Loading-rail'!$B$31:$B$48),$J256,('Loading-rail'!$D$31:$D$48))*Impacts!$F$15,IF(('Loading-rail'!$C$21)&lt;&gt;"No control",SUMIF(('Loading-rail'!$B$31:$B$48),$J256,('Loading-rail'!$E$31:$E$48))*Impacts!$F$15,0)),0)</f>
        <v>0</v>
      </c>
      <c r="T256" s="10">
        <f>IF(Flare!$C$7="",0,(SUMIF(Flare!$B$46:$B$185,$J256,Flare!$E$46:$E$185)*Impacts!$F$16))</f>
        <v>0</v>
      </c>
      <c r="U256" s="10">
        <f>IF(VCU!$C$9="",0,(SUMIF(VCU!$B$51:$B$193,$J256,VCU!$E$51:$E$193)*Impacts!$F$17))</f>
        <v>0</v>
      </c>
      <c r="V256" s="10">
        <f>IF(CAS!$C$7="",0,(SUMIF(CAS!$B$31:$B$167,$J256,CAS!$E$31:$E$167)*Impacts!$F$18))</f>
        <v>0</v>
      </c>
      <c r="W256" s="10">
        <f t="shared" si="45"/>
        <v>0</v>
      </c>
      <c r="AK256" s="10" t="str">
        <f t="array" ref="AK256">IFERROR(INDEX(SelectedSpecies,SMALL(IF(SelectedSpecies=AK$1,ROW(SelectedSpecies)),ROW(257:257)),2),"")</f>
        <v/>
      </c>
      <c r="BE256" s="10"/>
      <c r="BI256" s="10"/>
    </row>
    <row r="257" spans="1:61" ht="21" customHeight="1" x14ac:dyDescent="0.25">
      <c r="A257" s="10"/>
      <c r="B257" s="10"/>
      <c r="E257" s="10"/>
      <c r="G257" s="10"/>
      <c r="I257" s="436" t="s">
        <v>7232</v>
      </c>
      <c r="J257" s="26" t="s">
        <v>7231</v>
      </c>
      <c r="K257" s="10">
        <v>0.30000000000000004</v>
      </c>
      <c r="L257" s="73">
        <f>IF(Tank1!$C$23="No control",(SUMIF(Tank1!$B$32:$B$49,$J257,Tank1!$C$32:$C$49)*Impacts!$F$8),0)</f>
        <v>0</v>
      </c>
      <c r="M257" s="10">
        <f>IF(Tank2!$C$23="No control",(SUMIF(Tank2!$B$32:$B$49,$J257,Tank2!$C$32:$C$49)*Impacts!$F$9),0)</f>
        <v>0</v>
      </c>
      <c r="N257" s="10">
        <f>IF(Tank3!$C$23="No control",(SUMIF(Tank3!$B$32:$B$49,$J257,Tank3!$C$32:$C$49)*Impacts!$F$10),0)</f>
        <v>0</v>
      </c>
      <c r="O257" s="10">
        <f>IF(Tank4!$C$23="No control",(SUMIF(Tank4!$B$32:$B$49,$J257,Tank4!$C$32:$C$49)*Impacts!$F$11),0)</f>
        <v>0</v>
      </c>
      <c r="P257" s="10">
        <f>IF(Tank5!$C$23="No control",(SUMIF(Tank5!$B$32:$B$49,$J257,Tank5!$C$32:$C$49)*Impacts!$F$12),0)</f>
        <v>0</v>
      </c>
      <c r="Q257" s="10">
        <f>IFERROR(IF(('Loading-drum,tote'!$C$21)="No control",SUMIF(('Loading-drum,tote'!$B$31:$B$48),$J257,('Loading-drum,tote'!$D$31:$D$48))*Impacts!$F$13,IF(('Loading-drum,tote'!$C$21)&lt;&gt;"No control",SUMIF(('Loading-drum,tote'!$B$31:$B$48),$J257,('Loading-drum,tote'!$E$31:$E$48))*Impacts!$F$13,0)),0)</f>
        <v>0</v>
      </c>
      <c r="R257" s="10">
        <f>IFERROR(IF(('Loading-truck'!$C$21)="No control",SUMIF(('Loading-truck'!$B$31:$B$48),$J257,('Loading-truck'!$D$31:$D$48))*Impacts!$F$14,IF(('Loading-truck'!$C$21)&lt;&gt;"No control",SUMIF(('Loading-truck'!$B$31:$B$48),$J257,('Loading-truck'!$E$31:$E$48))*Impacts!$F$14,0)),0)</f>
        <v>0</v>
      </c>
      <c r="S257" s="10">
        <f>IFERROR(IF(('Loading-rail'!$C$21)="No control",SUMIF(('Loading-rail'!$B$31:$B$48),$J257,('Loading-rail'!$D$31:$D$48))*Impacts!$F$15,IF(('Loading-rail'!$C$21)&lt;&gt;"No control",SUMIF(('Loading-rail'!$B$31:$B$48),$J257,('Loading-rail'!$E$31:$E$48))*Impacts!$F$15,0)),0)</f>
        <v>0</v>
      </c>
      <c r="T257" s="10">
        <f>IF(Flare!$C$7="",0,(SUMIF(Flare!$B$46:$B$185,$J257,Flare!$E$46:$E$185)*Impacts!$F$16))</f>
        <v>0</v>
      </c>
      <c r="U257" s="10">
        <f>IF(VCU!$C$9="",0,(SUMIF(VCU!$B$51:$B$193,$J257,VCU!$E$51:$E$193)*Impacts!$F$17))</f>
        <v>0</v>
      </c>
      <c r="V257" s="10">
        <f>IF(CAS!$C$7="",0,(SUMIF(CAS!$B$31:$B$167,$J257,CAS!$E$31:$E$167)*Impacts!$F$18))</f>
        <v>0</v>
      </c>
      <c r="W257" s="10">
        <f t="shared" si="45"/>
        <v>0</v>
      </c>
      <c r="AK257" s="10" t="str">
        <f t="array" ref="AK257">IFERROR(INDEX(SelectedSpecies,SMALL(IF(SelectedSpecies=AK$1,ROW(SelectedSpecies)),ROW(258:258)),2),"")</f>
        <v/>
      </c>
      <c r="BE257" s="10"/>
      <c r="BI257" s="10"/>
    </row>
    <row r="258" spans="1:61" ht="21" customHeight="1" x14ac:dyDescent="0.25">
      <c r="A258" s="10"/>
      <c r="B258" s="10"/>
      <c r="E258" s="10"/>
      <c r="G258" s="10"/>
      <c r="I258" s="436" t="s">
        <v>7318</v>
      </c>
      <c r="J258" s="26" t="s">
        <v>7317</v>
      </c>
      <c r="K258" s="10">
        <v>0.28999999999999998</v>
      </c>
      <c r="L258" s="73">
        <f>IF(Tank1!$C$23="No control",(SUMIF(Tank1!$B$32:$B$49,$J258,Tank1!$C$32:$C$49)*Impacts!$F$8),0)</f>
        <v>0</v>
      </c>
      <c r="M258" s="10">
        <f>IF(Tank2!$C$23="No control",(SUMIF(Tank2!$B$32:$B$49,$J258,Tank2!$C$32:$C$49)*Impacts!$F$9),0)</f>
        <v>0</v>
      </c>
      <c r="N258" s="10">
        <f>IF(Tank3!$C$23="No control",(SUMIF(Tank3!$B$32:$B$49,$J258,Tank3!$C$32:$C$49)*Impacts!$F$10),0)</f>
        <v>0</v>
      </c>
      <c r="O258" s="10">
        <f>IF(Tank4!$C$23="No control",(SUMIF(Tank4!$B$32:$B$49,$J258,Tank4!$C$32:$C$49)*Impacts!$F$11),0)</f>
        <v>0</v>
      </c>
      <c r="P258" s="10">
        <f>IF(Tank5!$C$23="No control",(SUMIF(Tank5!$B$32:$B$49,$J258,Tank5!$C$32:$C$49)*Impacts!$F$12),0)</f>
        <v>0</v>
      </c>
      <c r="Q258" s="10">
        <f>IFERROR(IF(('Loading-drum,tote'!$C$21)="No control",SUMIF(('Loading-drum,tote'!$B$31:$B$48),$J258,('Loading-drum,tote'!$D$31:$D$48))*Impacts!$F$13,IF(('Loading-drum,tote'!$C$21)&lt;&gt;"No control",SUMIF(('Loading-drum,tote'!$B$31:$B$48),$J258,('Loading-drum,tote'!$E$31:$E$48))*Impacts!$F$13,0)),0)</f>
        <v>0</v>
      </c>
      <c r="R258" s="10">
        <f>IFERROR(IF(('Loading-truck'!$C$21)="No control",SUMIF(('Loading-truck'!$B$31:$B$48),$J258,('Loading-truck'!$D$31:$D$48))*Impacts!$F$14,IF(('Loading-truck'!$C$21)&lt;&gt;"No control",SUMIF(('Loading-truck'!$B$31:$B$48),$J258,('Loading-truck'!$E$31:$E$48))*Impacts!$F$14,0)),0)</f>
        <v>0</v>
      </c>
      <c r="S258" s="10">
        <f>IFERROR(IF(('Loading-rail'!$C$21)="No control",SUMIF(('Loading-rail'!$B$31:$B$48),$J258,('Loading-rail'!$D$31:$D$48))*Impacts!$F$15,IF(('Loading-rail'!$C$21)&lt;&gt;"No control",SUMIF(('Loading-rail'!$B$31:$B$48),$J258,('Loading-rail'!$E$31:$E$48))*Impacts!$F$15,0)),0)</f>
        <v>0</v>
      </c>
      <c r="T258" s="10">
        <f>IF(Flare!$C$7="",0,(SUMIF(Flare!$B$46:$B$185,$J258,Flare!$E$46:$E$185)*Impacts!$F$16))</f>
        <v>0</v>
      </c>
      <c r="U258" s="10">
        <f>IF(VCU!$C$9="",0,(SUMIF(VCU!$B$51:$B$193,$J258,VCU!$E$51:$E$193)*Impacts!$F$17))</f>
        <v>0</v>
      </c>
      <c r="V258" s="10">
        <f>IF(CAS!$C$7="",0,(SUMIF(CAS!$B$31:$B$167,$J258,CAS!$E$31:$E$167)*Impacts!$F$18))</f>
        <v>0</v>
      </c>
      <c r="W258" s="10">
        <f t="shared" si="45"/>
        <v>0</v>
      </c>
      <c r="AK258" s="10" t="str">
        <f t="array" ref="AK258">IFERROR(INDEX(SelectedSpecies,SMALL(IF(SelectedSpecies=AK$1,ROW(SelectedSpecies)),ROW(259:259)),2),"")</f>
        <v/>
      </c>
      <c r="BE258" s="10"/>
      <c r="BI258" s="10"/>
    </row>
    <row r="259" spans="1:61" ht="21" customHeight="1" x14ac:dyDescent="0.25">
      <c r="A259" s="10"/>
      <c r="B259" s="10"/>
      <c r="E259" s="10"/>
      <c r="G259" s="10"/>
      <c r="I259" s="436" t="s">
        <v>7156</v>
      </c>
      <c r="J259" s="26" t="s">
        <v>7155</v>
      </c>
      <c r="K259" s="10">
        <v>0.33</v>
      </c>
      <c r="L259" s="73">
        <f>IF(Tank1!$C$23="No control",(SUMIF(Tank1!$B$32:$B$49,$J259,Tank1!$C$32:$C$49)*Impacts!$F$8),0)</f>
        <v>0</v>
      </c>
      <c r="M259" s="10">
        <f>IF(Tank2!$C$23="No control",(SUMIF(Tank2!$B$32:$B$49,$J259,Tank2!$C$32:$C$49)*Impacts!$F$9),0)</f>
        <v>0</v>
      </c>
      <c r="N259" s="10">
        <f>IF(Tank3!$C$23="No control",(SUMIF(Tank3!$B$32:$B$49,$J259,Tank3!$C$32:$C$49)*Impacts!$F$10),0)</f>
        <v>0</v>
      </c>
      <c r="O259" s="10">
        <f>IF(Tank4!$C$23="No control",(SUMIF(Tank4!$B$32:$B$49,$J259,Tank4!$C$32:$C$49)*Impacts!$F$11),0)</f>
        <v>0</v>
      </c>
      <c r="P259" s="10">
        <f>IF(Tank5!$C$23="No control",(SUMIF(Tank5!$B$32:$B$49,$J259,Tank5!$C$32:$C$49)*Impacts!$F$12),0)</f>
        <v>0</v>
      </c>
      <c r="Q259" s="10">
        <f>IFERROR(IF(('Loading-drum,tote'!$C$21)="No control",SUMIF(('Loading-drum,tote'!$B$31:$B$48),$J259,('Loading-drum,tote'!$D$31:$D$48))*Impacts!$F$13,IF(('Loading-drum,tote'!$C$21)&lt;&gt;"No control",SUMIF(('Loading-drum,tote'!$B$31:$B$48),$J259,('Loading-drum,tote'!$E$31:$E$48))*Impacts!$F$13,0)),0)</f>
        <v>0</v>
      </c>
      <c r="R259" s="10">
        <f>IFERROR(IF(('Loading-truck'!$C$21)="No control",SUMIF(('Loading-truck'!$B$31:$B$48),$J259,('Loading-truck'!$D$31:$D$48))*Impacts!$F$14,IF(('Loading-truck'!$C$21)&lt;&gt;"No control",SUMIF(('Loading-truck'!$B$31:$B$48),$J259,('Loading-truck'!$E$31:$E$48))*Impacts!$F$14,0)),0)</f>
        <v>0</v>
      </c>
      <c r="S259" s="10">
        <f>IFERROR(IF(('Loading-rail'!$C$21)="No control",SUMIF(('Loading-rail'!$B$31:$B$48),$J259,('Loading-rail'!$D$31:$D$48))*Impacts!$F$15,IF(('Loading-rail'!$C$21)&lt;&gt;"No control",SUMIF(('Loading-rail'!$B$31:$B$48),$J259,('Loading-rail'!$E$31:$E$48))*Impacts!$F$15,0)),0)</f>
        <v>0</v>
      </c>
      <c r="T259" s="10">
        <f>IF(Flare!$C$7="",0,(SUMIF(Flare!$B$46:$B$185,$J259,Flare!$E$46:$E$185)*Impacts!$F$16))</f>
        <v>0</v>
      </c>
      <c r="U259" s="10">
        <f>IF(VCU!$C$9="",0,(SUMIF(VCU!$B$51:$B$193,$J259,VCU!$E$51:$E$193)*Impacts!$F$17))</f>
        <v>0</v>
      </c>
      <c r="V259" s="10">
        <f>IF(CAS!$C$7="",0,(SUMIF(CAS!$B$31:$B$167,$J259,CAS!$E$31:$E$167)*Impacts!$F$18))</f>
        <v>0</v>
      </c>
      <c r="W259" s="10">
        <f t="shared" ref="W259:W322" si="46">SUM(L259:V259)</f>
        <v>0</v>
      </c>
      <c r="AK259" s="10" t="str">
        <f t="array" ref="AK259">IFERROR(INDEX(SelectedSpecies,SMALL(IF(SelectedSpecies=AK$1,ROW(SelectedSpecies)),ROW(260:260)),2),"")</f>
        <v/>
      </c>
      <c r="BE259" s="10"/>
      <c r="BI259" s="10"/>
    </row>
    <row r="260" spans="1:61" ht="21" customHeight="1" x14ac:dyDescent="0.25">
      <c r="A260" s="10"/>
      <c r="B260" s="10"/>
      <c r="E260" s="10"/>
      <c r="G260" s="10"/>
      <c r="I260" s="436" t="s">
        <v>3767</v>
      </c>
      <c r="J260" s="26" t="s">
        <v>3766</v>
      </c>
      <c r="K260" s="10">
        <v>6</v>
      </c>
      <c r="L260" s="73">
        <f>IF(Tank1!$C$23="No control",(SUMIF(Tank1!$B$32:$B$49,$J260,Tank1!$C$32:$C$49)*Impacts!$F$8),0)</f>
        <v>0</v>
      </c>
      <c r="M260" s="10">
        <f>IF(Tank2!$C$23="No control",(SUMIF(Tank2!$B$32:$B$49,$J260,Tank2!$C$32:$C$49)*Impacts!$F$9),0)</f>
        <v>0</v>
      </c>
      <c r="N260" s="10">
        <f>IF(Tank3!$C$23="No control",(SUMIF(Tank3!$B$32:$B$49,$J260,Tank3!$C$32:$C$49)*Impacts!$F$10),0)</f>
        <v>0</v>
      </c>
      <c r="O260" s="10">
        <f>IF(Tank4!$C$23="No control",(SUMIF(Tank4!$B$32:$B$49,$J260,Tank4!$C$32:$C$49)*Impacts!$F$11),0)</f>
        <v>0</v>
      </c>
      <c r="P260" s="10">
        <f>IF(Tank5!$C$23="No control",(SUMIF(Tank5!$B$32:$B$49,$J260,Tank5!$C$32:$C$49)*Impacts!$F$12),0)</f>
        <v>0</v>
      </c>
      <c r="Q260" s="10">
        <f>IFERROR(IF(('Loading-drum,tote'!$C$21)="No control",SUMIF(('Loading-drum,tote'!$B$31:$B$48),$J260,('Loading-drum,tote'!$D$31:$D$48))*Impacts!$F$13,IF(('Loading-drum,tote'!$C$21)&lt;&gt;"No control",SUMIF(('Loading-drum,tote'!$B$31:$B$48),$J260,('Loading-drum,tote'!$E$31:$E$48))*Impacts!$F$13,0)),0)</f>
        <v>0</v>
      </c>
      <c r="R260" s="10">
        <f>IFERROR(IF(('Loading-truck'!$C$21)="No control",SUMIF(('Loading-truck'!$B$31:$B$48),$J260,('Loading-truck'!$D$31:$D$48))*Impacts!$F$14,IF(('Loading-truck'!$C$21)&lt;&gt;"No control",SUMIF(('Loading-truck'!$B$31:$B$48),$J260,('Loading-truck'!$E$31:$E$48))*Impacts!$F$14,0)),0)</f>
        <v>0</v>
      </c>
      <c r="S260" s="10">
        <f>IFERROR(IF(('Loading-rail'!$C$21)="No control",SUMIF(('Loading-rail'!$B$31:$B$48),$J260,('Loading-rail'!$D$31:$D$48))*Impacts!$F$15,IF(('Loading-rail'!$C$21)&lt;&gt;"No control",SUMIF(('Loading-rail'!$B$31:$B$48),$J260,('Loading-rail'!$E$31:$E$48))*Impacts!$F$15,0)),0)</f>
        <v>0</v>
      </c>
      <c r="T260" s="10">
        <f>IF(Flare!$C$7="",0,(SUMIF(Flare!$B$46:$B$185,$J260,Flare!$E$46:$E$185)*Impacts!$F$16))</f>
        <v>0</v>
      </c>
      <c r="U260" s="10">
        <f>IF(VCU!$C$9="",0,(SUMIF(VCU!$B$51:$B$193,$J260,VCU!$E$51:$E$193)*Impacts!$F$17))</f>
        <v>0</v>
      </c>
      <c r="V260" s="10">
        <f>IF(CAS!$C$7="",0,(SUMIF(CAS!$B$31:$B$167,$J260,CAS!$E$31:$E$167)*Impacts!$F$18))</f>
        <v>0</v>
      </c>
      <c r="W260" s="10">
        <f t="shared" si="46"/>
        <v>0</v>
      </c>
      <c r="AK260" s="10" t="str">
        <f t="array" ref="AK260">IFERROR(INDEX(SelectedSpecies,SMALL(IF(SelectedSpecies=AK$1,ROW(SelectedSpecies)),ROW(261:261)),2),"")</f>
        <v/>
      </c>
      <c r="BE260" s="10"/>
      <c r="BI260" s="10"/>
    </row>
    <row r="261" spans="1:61" ht="21" customHeight="1" x14ac:dyDescent="0.25">
      <c r="A261" s="10"/>
      <c r="B261" s="10"/>
      <c r="E261" s="10"/>
      <c r="G261" s="10"/>
      <c r="I261" s="436" t="s">
        <v>858</v>
      </c>
      <c r="J261" s="26" t="s">
        <v>857</v>
      </c>
      <c r="K261" s="10">
        <v>45</v>
      </c>
      <c r="L261" s="73">
        <f>IF(Tank1!$C$23="No control",(SUMIF(Tank1!$B$32:$B$49,$J261,Tank1!$C$32:$C$49)*Impacts!$F$8),0)</f>
        <v>0</v>
      </c>
      <c r="M261" s="10">
        <f>IF(Tank2!$C$23="No control",(SUMIF(Tank2!$B$32:$B$49,$J261,Tank2!$C$32:$C$49)*Impacts!$F$9),0)</f>
        <v>0</v>
      </c>
      <c r="N261" s="10">
        <f>IF(Tank3!$C$23="No control",(SUMIF(Tank3!$B$32:$B$49,$J261,Tank3!$C$32:$C$49)*Impacts!$F$10),0)</f>
        <v>0</v>
      </c>
      <c r="O261" s="10">
        <f>IF(Tank4!$C$23="No control",(SUMIF(Tank4!$B$32:$B$49,$J261,Tank4!$C$32:$C$49)*Impacts!$F$11),0)</f>
        <v>0</v>
      </c>
      <c r="P261" s="10">
        <f>IF(Tank5!$C$23="No control",(SUMIF(Tank5!$B$32:$B$49,$J261,Tank5!$C$32:$C$49)*Impacts!$F$12),0)</f>
        <v>0</v>
      </c>
      <c r="Q261" s="10">
        <f>IFERROR(IF(('Loading-drum,tote'!$C$21)="No control",SUMIF(('Loading-drum,tote'!$B$31:$B$48),$J261,('Loading-drum,tote'!$D$31:$D$48))*Impacts!$F$13,IF(('Loading-drum,tote'!$C$21)&lt;&gt;"No control",SUMIF(('Loading-drum,tote'!$B$31:$B$48),$J261,('Loading-drum,tote'!$E$31:$E$48))*Impacts!$F$13,0)),0)</f>
        <v>0</v>
      </c>
      <c r="R261" s="10">
        <f>IFERROR(IF(('Loading-truck'!$C$21)="No control",SUMIF(('Loading-truck'!$B$31:$B$48),$J261,('Loading-truck'!$D$31:$D$48))*Impacts!$F$14,IF(('Loading-truck'!$C$21)&lt;&gt;"No control",SUMIF(('Loading-truck'!$B$31:$B$48),$J261,('Loading-truck'!$E$31:$E$48))*Impacts!$F$14,0)),0)</f>
        <v>0</v>
      </c>
      <c r="S261" s="10">
        <f>IFERROR(IF(('Loading-rail'!$C$21)="No control",SUMIF(('Loading-rail'!$B$31:$B$48),$J261,('Loading-rail'!$D$31:$D$48))*Impacts!$F$15,IF(('Loading-rail'!$C$21)&lt;&gt;"No control",SUMIF(('Loading-rail'!$B$31:$B$48),$J261,('Loading-rail'!$E$31:$E$48))*Impacts!$F$15,0)),0)</f>
        <v>0</v>
      </c>
      <c r="T261" s="10">
        <f>IF(Flare!$C$7="",0,(SUMIF(Flare!$B$46:$B$185,$J261,Flare!$E$46:$E$185)*Impacts!$F$16))</f>
        <v>0</v>
      </c>
      <c r="U261" s="10">
        <f>IF(VCU!$C$9="",0,(SUMIF(VCU!$B$51:$B$193,$J261,VCU!$E$51:$E$193)*Impacts!$F$17))</f>
        <v>0</v>
      </c>
      <c r="V261" s="10">
        <f>IF(CAS!$C$7="",0,(SUMIF(CAS!$B$31:$B$167,$J261,CAS!$E$31:$E$167)*Impacts!$F$18))</f>
        <v>0</v>
      </c>
      <c r="W261" s="10">
        <f t="shared" si="46"/>
        <v>0</v>
      </c>
      <c r="AK261" s="10" t="str">
        <f t="array" ref="AK261">IFERROR(INDEX(SelectedSpecies,SMALL(IF(SelectedSpecies=AK$1,ROW(SelectedSpecies)),ROW(262:262)),2),"")</f>
        <v/>
      </c>
      <c r="BE261" s="10"/>
      <c r="BI261" s="10"/>
    </row>
    <row r="262" spans="1:61" ht="21" customHeight="1" x14ac:dyDescent="0.25">
      <c r="A262" s="10"/>
      <c r="B262" s="10"/>
      <c r="E262" s="10"/>
      <c r="G262" s="10"/>
      <c r="I262" s="436" t="s">
        <v>5545</v>
      </c>
      <c r="J262" s="26" t="s">
        <v>5544</v>
      </c>
      <c r="K262" s="10">
        <v>1.2000000000000002</v>
      </c>
      <c r="L262" s="73">
        <f>IF(Tank1!$C$23="No control",(SUMIF(Tank1!$B$32:$B$49,$J262,Tank1!$C$32:$C$49)*Impacts!$F$8),0)</f>
        <v>0</v>
      </c>
      <c r="M262" s="10">
        <f>IF(Tank2!$C$23="No control",(SUMIF(Tank2!$B$32:$B$49,$J262,Tank2!$C$32:$C$49)*Impacts!$F$9),0)</f>
        <v>0</v>
      </c>
      <c r="N262" s="10">
        <f>IF(Tank3!$C$23="No control",(SUMIF(Tank3!$B$32:$B$49,$J262,Tank3!$C$32:$C$49)*Impacts!$F$10),0)</f>
        <v>0</v>
      </c>
      <c r="O262" s="10">
        <f>IF(Tank4!$C$23="No control",(SUMIF(Tank4!$B$32:$B$49,$J262,Tank4!$C$32:$C$49)*Impacts!$F$11),0)</f>
        <v>0</v>
      </c>
      <c r="P262" s="10">
        <f>IF(Tank5!$C$23="No control",(SUMIF(Tank5!$B$32:$B$49,$J262,Tank5!$C$32:$C$49)*Impacts!$F$12),0)</f>
        <v>0</v>
      </c>
      <c r="Q262" s="10">
        <f>IFERROR(IF(('Loading-drum,tote'!$C$21)="No control",SUMIF(('Loading-drum,tote'!$B$31:$B$48),$J262,('Loading-drum,tote'!$D$31:$D$48))*Impacts!$F$13,IF(('Loading-drum,tote'!$C$21)&lt;&gt;"No control",SUMIF(('Loading-drum,tote'!$B$31:$B$48),$J262,('Loading-drum,tote'!$E$31:$E$48))*Impacts!$F$13,0)),0)</f>
        <v>0</v>
      </c>
      <c r="R262" s="10">
        <f>IFERROR(IF(('Loading-truck'!$C$21)="No control",SUMIF(('Loading-truck'!$B$31:$B$48),$J262,('Loading-truck'!$D$31:$D$48))*Impacts!$F$14,IF(('Loading-truck'!$C$21)&lt;&gt;"No control",SUMIF(('Loading-truck'!$B$31:$B$48),$J262,('Loading-truck'!$E$31:$E$48))*Impacts!$F$14,0)),0)</f>
        <v>0</v>
      </c>
      <c r="S262" s="10">
        <f>IFERROR(IF(('Loading-rail'!$C$21)="No control",SUMIF(('Loading-rail'!$B$31:$B$48),$J262,('Loading-rail'!$D$31:$D$48))*Impacts!$F$15,IF(('Loading-rail'!$C$21)&lt;&gt;"No control",SUMIF(('Loading-rail'!$B$31:$B$48),$J262,('Loading-rail'!$E$31:$E$48))*Impacts!$F$15,0)),0)</f>
        <v>0</v>
      </c>
      <c r="T262" s="10">
        <f>IF(Flare!$C$7="",0,(SUMIF(Flare!$B$46:$B$185,$J262,Flare!$E$46:$E$185)*Impacts!$F$16))</f>
        <v>0</v>
      </c>
      <c r="U262" s="10">
        <f>IF(VCU!$C$9="",0,(SUMIF(VCU!$B$51:$B$193,$J262,VCU!$E$51:$E$193)*Impacts!$F$17))</f>
        <v>0</v>
      </c>
      <c r="V262" s="10">
        <f>IF(CAS!$C$7="",0,(SUMIF(CAS!$B$31:$B$167,$J262,CAS!$E$31:$E$167)*Impacts!$F$18))</f>
        <v>0</v>
      </c>
      <c r="W262" s="10">
        <f t="shared" si="46"/>
        <v>0</v>
      </c>
      <c r="AK262" s="10" t="str">
        <f t="array" ref="AK262">IFERROR(INDEX(SelectedSpecies,SMALL(IF(SelectedSpecies=AK$1,ROW(SelectedSpecies)),ROW(263:263)),2),"")</f>
        <v/>
      </c>
      <c r="BE262" s="10"/>
      <c r="BI262" s="10"/>
    </row>
    <row r="263" spans="1:61" ht="21" customHeight="1" x14ac:dyDescent="0.25">
      <c r="A263" s="10"/>
      <c r="B263" s="10"/>
      <c r="E263" s="10"/>
      <c r="G263" s="10"/>
      <c r="I263" s="436" t="s">
        <v>7658</v>
      </c>
      <c r="J263" s="26" t="s">
        <v>7657</v>
      </c>
      <c r="K263" s="10">
        <v>0.12</v>
      </c>
      <c r="L263" s="73">
        <f>IF(Tank1!$C$23="No control",(SUMIF(Tank1!$B$32:$B$49,$J263,Tank1!$C$32:$C$49)*Impacts!$F$8),0)</f>
        <v>0</v>
      </c>
      <c r="M263" s="10">
        <f>IF(Tank2!$C$23="No control",(SUMIF(Tank2!$B$32:$B$49,$J263,Tank2!$C$32:$C$49)*Impacts!$F$9),0)</f>
        <v>0</v>
      </c>
      <c r="N263" s="10">
        <f>IF(Tank3!$C$23="No control",(SUMIF(Tank3!$B$32:$B$49,$J263,Tank3!$C$32:$C$49)*Impacts!$F$10),0)</f>
        <v>0</v>
      </c>
      <c r="O263" s="10">
        <f>IF(Tank4!$C$23="No control",(SUMIF(Tank4!$B$32:$B$49,$J263,Tank4!$C$32:$C$49)*Impacts!$F$11),0)</f>
        <v>0</v>
      </c>
      <c r="P263" s="10">
        <f>IF(Tank5!$C$23="No control",(SUMIF(Tank5!$B$32:$B$49,$J263,Tank5!$C$32:$C$49)*Impacts!$F$12),0)</f>
        <v>0</v>
      </c>
      <c r="Q263" s="10">
        <f>IFERROR(IF(('Loading-drum,tote'!$C$21)="No control",SUMIF(('Loading-drum,tote'!$B$31:$B$48),$J263,('Loading-drum,tote'!$D$31:$D$48))*Impacts!$F$13,IF(('Loading-drum,tote'!$C$21)&lt;&gt;"No control",SUMIF(('Loading-drum,tote'!$B$31:$B$48),$J263,('Loading-drum,tote'!$E$31:$E$48))*Impacts!$F$13,0)),0)</f>
        <v>0</v>
      </c>
      <c r="R263" s="10">
        <f>IFERROR(IF(('Loading-truck'!$C$21)="No control",SUMIF(('Loading-truck'!$B$31:$B$48),$J263,('Loading-truck'!$D$31:$D$48))*Impacts!$F$14,IF(('Loading-truck'!$C$21)&lt;&gt;"No control",SUMIF(('Loading-truck'!$B$31:$B$48),$J263,('Loading-truck'!$E$31:$E$48))*Impacts!$F$14,0)),0)</f>
        <v>0</v>
      </c>
      <c r="S263" s="10">
        <f>IFERROR(IF(('Loading-rail'!$C$21)="No control",SUMIF(('Loading-rail'!$B$31:$B$48),$J263,('Loading-rail'!$D$31:$D$48))*Impacts!$F$15,IF(('Loading-rail'!$C$21)&lt;&gt;"No control",SUMIF(('Loading-rail'!$B$31:$B$48),$J263,('Loading-rail'!$E$31:$E$48))*Impacts!$F$15,0)),0)</f>
        <v>0</v>
      </c>
      <c r="T263" s="10">
        <f>IF(Flare!$C$7="",0,(SUMIF(Flare!$B$46:$B$185,$J263,Flare!$E$46:$E$185)*Impacts!$F$16))</f>
        <v>0</v>
      </c>
      <c r="U263" s="10">
        <f>IF(VCU!$C$9="",0,(SUMIF(VCU!$B$51:$B$193,$J263,VCU!$E$51:$E$193)*Impacts!$F$17))</f>
        <v>0</v>
      </c>
      <c r="V263" s="10">
        <f>IF(CAS!$C$7="",0,(SUMIF(CAS!$B$31:$B$167,$J263,CAS!$E$31:$E$167)*Impacts!$F$18))</f>
        <v>0</v>
      </c>
      <c r="W263" s="10">
        <f t="shared" si="46"/>
        <v>0</v>
      </c>
      <c r="AK263" s="10" t="str">
        <f t="array" ref="AK263">IFERROR(INDEX(SelectedSpecies,SMALL(IF(SelectedSpecies=AK$1,ROW(SelectedSpecies)),ROW(264:264)),2),"")</f>
        <v/>
      </c>
      <c r="BE263" s="10"/>
      <c r="BI263" s="10"/>
    </row>
    <row r="264" spans="1:61" ht="21" customHeight="1" x14ac:dyDescent="0.25">
      <c r="A264" s="10"/>
      <c r="B264" s="10"/>
      <c r="E264" s="10"/>
      <c r="G264" s="10"/>
      <c r="I264" s="436" t="s">
        <v>5387</v>
      </c>
      <c r="J264" s="26" t="s">
        <v>5386</v>
      </c>
      <c r="K264" s="10">
        <v>1.4000000000000001</v>
      </c>
      <c r="L264" s="73">
        <f>IF(Tank1!$C$23="No control",(SUMIF(Tank1!$B$32:$B$49,$J264,Tank1!$C$32:$C$49)*Impacts!$F$8),0)</f>
        <v>0</v>
      </c>
      <c r="M264" s="10">
        <f>IF(Tank2!$C$23="No control",(SUMIF(Tank2!$B$32:$B$49,$J264,Tank2!$C$32:$C$49)*Impacts!$F$9),0)</f>
        <v>0</v>
      </c>
      <c r="N264" s="10">
        <f>IF(Tank3!$C$23="No control",(SUMIF(Tank3!$B$32:$B$49,$J264,Tank3!$C$32:$C$49)*Impacts!$F$10),0)</f>
        <v>0</v>
      </c>
      <c r="O264" s="10">
        <f>IF(Tank4!$C$23="No control",(SUMIF(Tank4!$B$32:$B$49,$J264,Tank4!$C$32:$C$49)*Impacts!$F$11),0)</f>
        <v>0</v>
      </c>
      <c r="P264" s="10">
        <f>IF(Tank5!$C$23="No control",(SUMIF(Tank5!$B$32:$B$49,$J264,Tank5!$C$32:$C$49)*Impacts!$F$12),0)</f>
        <v>0</v>
      </c>
      <c r="Q264" s="10">
        <f>IFERROR(IF(('Loading-drum,tote'!$C$21)="No control",SUMIF(('Loading-drum,tote'!$B$31:$B$48),$J264,('Loading-drum,tote'!$D$31:$D$48))*Impacts!$F$13,IF(('Loading-drum,tote'!$C$21)&lt;&gt;"No control",SUMIF(('Loading-drum,tote'!$B$31:$B$48),$J264,('Loading-drum,tote'!$E$31:$E$48))*Impacts!$F$13,0)),0)</f>
        <v>0</v>
      </c>
      <c r="R264" s="10">
        <f>IFERROR(IF(('Loading-truck'!$C$21)="No control",SUMIF(('Loading-truck'!$B$31:$B$48),$J264,('Loading-truck'!$D$31:$D$48))*Impacts!$F$14,IF(('Loading-truck'!$C$21)&lt;&gt;"No control",SUMIF(('Loading-truck'!$B$31:$B$48),$J264,('Loading-truck'!$E$31:$E$48))*Impacts!$F$14,0)),0)</f>
        <v>0</v>
      </c>
      <c r="S264" s="10">
        <f>IFERROR(IF(('Loading-rail'!$C$21)="No control",SUMIF(('Loading-rail'!$B$31:$B$48),$J264,('Loading-rail'!$D$31:$D$48))*Impacts!$F$15,IF(('Loading-rail'!$C$21)&lt;&gt;"No control",SUMIF(('Loading-rail'!$B$31:$B$48),$J264,('Loading-rail'!$E$31:$E$48))*Impacts!$F$15,0)),0)</f>
        <v>0</v>
      </c>
      <c r="T264" s="10">
        <f>IF(Flare!$C$7="",0,(SUMIF(Flare!$B$46:$B$185,$J264,Flare!$E$46:$E$185)*Impacts!$F$16))</f>
        <v>0</v>
      </c>
      <c r="U264" s="10">
        <f>IF(VCU!$C$9="",0,(SUMIF(VCU!$B$51:$B$193,$J264,VCU!$E$51:$E$193)*Impacts!$F$17))</f>
        <v>0</v>
      </c>
      <c r="V264" s="10">
        <f>IF(CAS!$C$7="",0,(SUMIF(CAS!$B$31:$B$167,$J264,CAS!$E$31:$E$167)*Impacts!$F$18))</f>
        <v>0</v>
      </c>
      <c r="W264" s="10">
        <f t="shared" si="46"/>
        <v>0</v>
      </c>
      <c r="AK264" s="10" t="str">
        <f t="array" ref="AK264">IFERROR(INDEX(SelectedSpecies,SMALL(IF(SelectedSpecies=AK$1,ROW(SelectedSpecies)),ROW(265:265)),2),"")</f>
        <v/>
      </c>
      <c r="BE264" s="10"/>
      <c r="BI264" s="10"/>
    </row>
    <row r="265" spans="1:61" ht="21" customHeight="1" x14ac:dyDescent="0.25">
      <c r="A265" s="10"/>
      <c r="B265" s="10"/>
      <c r="E265" s="10"/>
      <c r="G265" s="10"/>
      <c r="I265" s="436" t="s">
        <v>4249</v>
      </c>
      <c r="J265" s="26" t="s">
        <v>4248</v>
      </c>
      <c r="K265" s="10">
        <v>5</v>
      </c>
      <c r="L265" s="73">
        <f>IF(Tank1!$C$23="No control",(SUMIF(Tank1!$B$32:$B$49,$J265,Tank1!$C$32:$C$49)*Impacts!$F$8),0)</f>
        <v>0</v>
      </c>
      <c r="M265" s="10">
        <f>IF(Tank2!$C$23="No control",(SUMIF(Tank2!$B$32:$B$49,$J265,Tank2!$C$32:$C$49)*Impacts!$F$9),0)</f>
        <v>0</v>
      </c>
      <c r="N265" s="10">
        <f>IF(Tank3!$C$23="No control",(SUMIF(Tank3!$B$32:$B$49,$J265,Tank3!$C$32:$C$49)*Impacts!$F$10),0)</f>
        <v>0</v>
      </c>
      <c r="O265" s="10">
        <f>IF(Tank4!$C$23="No control",(SUMIF(Tank4!$B$32:$B$49,$J265,Tank4!$C$32:$C$49)*Impacts!$F$11),0)</f>
        <v>0</v>
      </c>
      <c r="P265" s="10">
        <f>IF(Tank5!$C$23="No control",(SUMIF(Tank5!$B$32:$B$49,$J265,Tank5!$C$32:$C$49)*Impacts!$F$12),0)</f>
        <v>0</v>
      </c>
      <c r="Q265" s="10">
        <f>IFERROR(IF(('Loading-drum,tote'!$C$21)="No control",SUMIF(('Loading-drum,tote'!$B$31:$B$48),$J265,('Loading-drum,tote'!$D$31:$D$48))*Impacts!$F$13,IF(('Loading-drum,tote'!$C$21)&lt;&gt;"No control",SUMIF(('Loading-drum,tote'!$B$31:$B$48),$J265,('Loading-drum,tote'!$E$31:$E$48))*Impacts!$F$13,0)),0)</f>
        <v>0</v>
      </c>
      <c r="R265" s="10">
        <f>IFERROR(IF(('Loading-truck'!$C$21)="No control",SUMIF(('Loading-truck'!$B$31:$B$48),$J265,('Loading-truck'!$D$31:$D$48))*Impacts!$F$14,IF(('Loading-truck'!$C$21)&lt;&gt;"No control",SUMIF(('Loading-truck'!$B$31:$B$48),$J265,('Loading-truck'!$E$31:$E$48))*Impacts!$F$14,0)),0)</f>
        <v>0</v>
      </c>
      <c r="S265" s="10">
        <f>IFERROR(IF(('Loading-rail'!$C$21)="No control",SUMIF(('Loading-rail'!$B$31:$B$48),$J265,('Loading-rail'!$D$31:$D$48))*Impacts!$F$15,IF(('Loading-rail'!$C$21)&lt;&gt;"No control",SUMIF(('Loading-rail'!$B$31:$B$48),$J265,('Loading-rail'!$E$31:$E$48))*Impacts!$F$15,0)),0)</f>
        <v>0</v>
      </c>
      <c r="T265" s="10">
        <f>IF(Flare!$C$7="",0,(SUMIF(Flare!$B$46:$B$185,$J265,Flare!$E$46:$E$185)*Impacts!$F$16))</f>
        <v>0</v>
      </c>
      <c r="U265" s="10">
        <f>IF(VCU!$C$9="",0,(SUMIF(VCU!$B$51:$B$193,$J265,VCU!$E$51:$E$193)*Impacts!$F$17))</f>
        <v>0</v>
      </c>
      <c r="V265" s="10">
        <f>IF(CAS!$C$7="",0,(SUMIF(CAS!$B$31:$B$167,$J265,CAS!$E$31:$E$167)*Impacts!$F$18))</f>
        <v>0</v>
      </c>
      <c r="W265" s="10">
        <f t="shared" si="46"/>
        <v>0</v>
      </c>
      <c r="AK265" s="10" t="str">
        <f t="array" ref="AK265">IFERROR(INDEX(SelectedSpecies,SMALL(IF(SelectedSpecies=AK$1,ROW(SelectedSpecies)),ROW(266:266)),2),"")</f>
        <v/>
      </c>
      <c r="BE265" s="10"/>
      <c r="BI265" s="10"/>
    </row>
    <row r="266" spans="1:61" ht="21" customHeight="1" x14ac:dyDescent="0.25">
      <c r="A266" s="10"/>
      <c r="B266" s="10"/>
      <c r="E266" s="10"/>
      <c r="G266" s="10"/>
      <c r="I266" s="436" t="s">
        <v>860</v>
      </c>
      <c r="J266" s="26" t="s">
        <v>859</v>
      </c>
      <c r="K266" s="10">
        <v>45</v>
      </c>
      <c r="L266" s="73">
        <f>IF(Tank1!$C$23="No control",(SUMIF(Tank1!$B$32:$B$49,$J266,Tank1!$C$32:$C$49)*Impacts!$F$8),0)</f>
        <v>0</v>
      </c>
      <c r="M266" s="10">
        <f>IF(Tank2!$C$23="No control",(SUMIF(Tank2!$B$32:$B$49,$J266,Tank2!$C$32:$C$49)*Impacts!$F$9),0)</f>
        <v>0</v>
      </c>
      <c r="N266" s="10">
        <f>IF(Tank3!$C$23="No control",(SUMIF(Tank3!$B$32:$B$49,$J266,Tank3!$C$32:$C$49)*Impacts!$F$10),0)</f>
        <v>0</v>
      </c>
      <c r="O266" s="10">
        <f>IF(Tank4!$C$23="No control",(SUMIF(Tank4!$B$32:$B$49,$J266,Tank4!$C$32:$C$49)*Impacts!$F$11),0)</f>
        <v>0</v>
      </c>
      <c r="P266" s="10">
        <f>IF(Tank5!$C$23="No control",(SUMIF(Tank5!$B$32:$B$49,$J266,Tank5!$C$32:$C$49)*Impacts!$F$12),0)</f>
        <v>0</v>
      </c>
      <c r="Q266" s="10">
        <f>IFERROR(IF(('Loading-drum,tote'!$C$21)="No control",SUMIF(('Loading-drum,tote'!$B$31:$B$48),$J266,('Loading-drum,tote'!$D$31:$D$48))*Impacts!$F$13,IF(('Loading-drum,tote'!$C$21)&lt;&gt;"No control",SUMIF(('Loading-drum,tote'!$B$31:$B$48),$J266,('Loading-drum,tote'!$E$31:$E$48))*Impacts!$F$13,0)),0)</f>
        <v>0</v>
      </c>
      <c r="R266" s="10">
        <f>IFERROR(IF(('Loading-truck'!$C$21)="No control",SUMIF(('Loading-truck'!$B$31:$B$48),$J266,('Loading-truck'!$D$31:$D$48))*Impacts!$F$14,IF(('Loading-truck'!$C$21)&lt;&gt;"No control",SUMIF(('Loading-truck'!$B$31:$B$48),$J266,('Loading-truck'!$E$31:$E$48))*Impacts!$F$14,0)),0)</f>
        <v>0</v>
      </c>
      <c r="S266" s="10">
        <f>IFERROR(IF(('Loading-rail'!$C$21)="No control",SUMIF(('Loading-rail'!$B$31:$B$48),$J266,('Loading-rail'!$D$31:$D$48))*Impacts!$F$15,IF(('Loading-rail'!$C$21)&lt;&gt;"No control",SUMIF(('Loading-rail'!$B$31:$B$48),$J266,('Loading-rail'!$E$31:$E$48))*Impacts!$F$15,0)),0)</f>
        <v>0</v>
      </c>
      <c r="T266" s="10">
        <f>IF(Flare!$C$7="",0,(SUMIF(Flare!$B$46:$B$185,$J266,Flare!$E$46:$E$185)*Impacts!$F$16))</f>
        <v>0</v>
      </c>
      <c r="U266" s="10">
        <f>IF(VCU!$C$9="",0,(SUMIF(VCU!$B$51:$B$193,$J266,VCU!$E$51:$E$193)*Impacts!$F$17))</f>
        <v>0</v>
      </c>
      <c r="V266" s="10">
        <f>IF(CAS!$C$7="",0,(SUMIF(CAS!$B$31:$B$167,$J266,CAS!$E$31:$E$167)*Impacts!$F$18))</f>
        <v>0</v>
      </c>
      <c r="W266" s="10">
        <f t="shared" si="46"/>
        <v>0</v>
      </c>
      <c r="AK266" s="10" t="str">
        <f t="array" ref="AK266">IFERROR(INDEX(SelectedSpecies,SMALL(IF(SelectedSpecies=AK$1,ROW(SelectedSpecies)),ROW(267:267)),2),"")</f>
        <v/>
      </c>
      <c r="BE266" s="10"/>
      <c r="BI266" s="10"/>
    </row>
    <row r="267" spans="1:61" ht="21" customHeight="1" x14ac:dyDescent="0.25">
      <c r="A267" s="10"/>
      <c r="B267" s="10"/>
      <c r="E267" s="10"/>
      <c r="G267" s="10"/>
      <c r="I267" s="436" t="s">
        <v>7406</v>
      </c>
      <c r="J267" s="26" t="s">
        <v>7405</v>
      </c>
      <c r="K267" s="10">
        <v>0.21000000000000002</v>
      </c>
      <c r="L267" s="73">
        <f>IF(Tank1!$C$23="No control",(SUMIF(Tank1!$B$32:$B$49,$J267,Tank1!$C$32:$C$49)*Impacts!$F$8),0)</f>
        <v>0</v>
      </c>
      <c r="M267" s="10">
        <f>IF(Tank2!$C$23="No control",(SUMIF(Tank2!$B$32:$B$49,$J267,Tank2!$C$32:$C$49)*Impacts!$F$9),0)</f>
        <v>0</v>
      </c>
      <c r="N267" s="10">
        <f>IF(Tank3!$C$23="No control",(SUMIF(Tank3!$B$32:$B$49,$J267,Tank3!$C$32:$C$49)*Impacts!$F$10),0)</f>
        <v>0</v>
      </c>
      <c r="O267" s="10">
        <f>IF(Tank4!$C$23="No control",(SUMIF(Tank4!$B$32:$B$49,$J267,Tank4!$C$32:$C$49)*Impacts!$F$11),0)</f>
        <v>0</v>
      </c>
      <c r="P267" s="10">
        <f>IF(Tank5!$C$23="No control",(SUMIF(Tank5!$B$32:$B$49,$J267,Tank5!$C$32:$C$49)*Impacts!$F$12),0)</f>
        <v>0</v>
      </c>
      <c r="Q267" s="10">
        <f>IFERROR(IF(('Loading-drum,tote'!$C$21)="No control",SUMIF(('Loading-drum,tote'!$B$31:$B$48),$J267,('Loading-drum,tote'!$D$31:$D$48))*Impacts!$F$13,IF(('Loading-drum,tote'!$C$21)&lt;&gt;"No control",SUMIF(('Loading-drum,tote'!$B$31:$B$48),$J267,('Loading-drum,tote'!$E$31:$E$48))*Impacts!$F$13,0)),0)</f>
        <v>0</v>
      </c>
      <c r="R267" s="10">
        <f>IFERROR(IF(('Loading-truck'!$C$21)="No control",SUMIF(('Loading-truck'!$B$31:$B$48),$J267,('Loading-truck'!$D$31:$D$48))*Impacts!$F$14,IF(('Loading-truck'!$C$21)&lt;&gt;"No control",SUMIF(('Loading-truck'!$B$31:$B$48),$J267,('Loading-truck'!$E$31:$E$48))*Impacts!$F$14,0)),0)</f>
        <v>0</v>
      </c>
      <c r="S267" s="10">
        <f>IFERROR(IF(('Loading-rail'!$C$21)="No control",SUMIF(('Loading-rail'!$B$31:$B$48),$J267,('Loading-rail'!$D$31:$D$48))*Impacts!$F$15,IF(('Loading-rail'!$C$21)&lt;&gt;"No control",SUMIF(('Loading-rail'!$B$31:$B$48),$J267,('Loading-rail'!$E$31:$E$48))*Impacts!$F$15,0)),0)</f>
        <v>0</v>
      </c>
      <c r="T267" s="10">
        <f>IF(Flare!$C$7="",0,(SUMIF(Flare!$B$46:$B$185,$J267,Flare!$E$46:$E$185)*Impacts!$F$16))</f>
        <v>0</v>
      </c>
      <c r="U267" s="10">
        <f>IF(VCU!$C$9="",0,(SUMIF(VCU!$B$51:$B$193,$J267,VCU!$E$51:$E$193)*Impacts!$F$17))</f>
        <v>0</v>
      </c>
      <c r="V267" s="10">
        <f>IF(CAS!$C$7="",0,(SUMIF(CAS!$B$31:$B$167,$J267,CAS!$E$31:$E$167)*Impacts!$F$18))</f>
        <v>0</v>
      </c>
      <c r="W267" s="10">
        <f t="shared" si="46"/>
        <v>0</v>
      </c>
      <c r="AK267" s="10" t="str">
        <f t="array" ref="AK267">IFERROR(INDEX(SelectedSpecies,SMALL(IF(SelectedSpecies=AK$1,ROW(SelectedSpecies)),ROW(268:268)),2),"")</f>
        <v/>
      </c>
      <c r="BE267" s="10"/>
      <c r="BI267" s="10"/>
    </row>
    <row r="268" spans="1:61" ht="21" customHeight="1" x14ac:dyDescent="0.25">
      <c r="A268" s="10"/>
      <c r="B268" s="10"/>
      <c r="E268" s="10"/>
      <c r="G268" s="10"/>
      <c r="I268" s="436" t="s">
        <v>4937</v>
      </c>
      <c r="J268" s="26" t="s">
        <v>4936</v>
      </c>
      <c r="K268" s="10">
        <v>2.5</v>
      </c>
      <c r="L268" s="73">
        <f>IF(Tank1!$C$23="No control",(SUMIF(Tank1!$B$32:$B$49,$J268,Tank1!$C$32:$C$49)*Impacts!$F$8),0)</f>
        <v>0</v>
      </c>
      <c r="M268" s="10">
        <f>IF(Tank2!$C$23="No control",(SUMIF(Tank2!$B$32:$B$49,$J268,Tank2!$C$32:$C$49)*Impacts!$F$9),0)</f>
        <v>0</v>
      </c>
      <c r="N268" s="10">
        <f>IF(Tank3!$C$23="No control",(SUMIF(Tank3!$B$32:$B$49,$J268,Tank3!$C$32:$C$49)*Impacts!$F$10),0)</f>
        <v>0</v>
      </c>
      <c r="O268" s="10">
        <f>IF(Tank4!$C$23="No control",(SUMIF(Tank4!$B$32:$B$49,$J268,Tank4!$C$32:$C$49)*Impacts!$F$11),0)</f>
        <v>0</v>
      </c>
      <c r="P268" s="10">
        <f>IF(Tank5!$C$23="No control",(SUMIF(Tank5!$B$32:$B$49,$J268,Tank5!$C$32:$C$49)*Impacts!$F$12),0)</f>
        <v>0</v>
      </c>
      <c r="Q268" s="10">
        <f>IFERROR(IF(('Loading-drum,tote'!$C$21)="No control",SUMIF(('Loading-drum,tote'!$B$31:$B$48),$J268,('Loading-drum,tote'!$D$31:$D$48))*Impacts!$F$13,IF(('Loading-drum,tote'!$C$21)&lt;&gt;"No control",SUMIF(('Loading-drum,tote'!$B$31:$B$48),$J268,('Loading-drum,tote'!$E$31:$E$48))*Impacts!$F$13,0)),0)</f>
        <v>0</v>
      </c>
      <c r="R268" s="10">
        <f>IFERROR(IF(('Loading-truck'!$C$21)="No control",SUMIF(('Loading-truck'!$B$31:$B$48),$J268,('Loading-truck'!$D$31:$D$48))*Impacts!$F$14,IF(('Loading-truck'!$C$21)&lt;&gt;"No control",SUMIF(('Loading-truck'!$B$31:$B$48),$J268,('Loading-truck'!$E$31:$E$48))*Impacts!$F$14,0)),0)</f>
        <v>0</v>
      </c>
      <c r="S268" s="10">
        <f>IFERROR(IF(('Loading-rail'!$C$21)="No control",SUMIF(('Loading-rail'!$B$31:$B$48),$J268,('Loading-rail'!$D$31:$D$48))*Impacts!$F$15,IF(('Loading-rail'!$C$21)&lt;&gt;"No control",SUMIF(('Loading-rail'!$B$31:$B$48),$J268,('Loading-rail'!$E$31:$E$48))*Impacts!$F$15,0)),0)</f>
        <v>0</v>
      </c>
      <c r="T268" s="10">
        <f>IF(Flare!$C$7="",0,(SUMIF(Flare!$B$46:$B$185,$J268,Flare!$E$46:$E$185)*Impacts!$F$16))</f>
        <v>0</v>
      </c>
      <c r="U268" s="10">
        <f>IF(VCU!$C$9="",0,(SUMIF(VCU!$B$51:$B$193,$J268,VCU!$E$51:$E$193)*Impacts!$F$17))</f>
        <v>0</v>
      </c>
      <c r="V268" s="10">
        <f>IF(CAS!$C$7="",0,(SUMIF(CAS!$B$31:$B$167,$J268,CAS!$E$31:$E$167)*Impacts!$F$18))</f>
        <v>0</v>
      </c>
      <c r="W268" s="10">
        <f t="shared" si="46"/>
        <v>0</v>
      </c>
      <c r="AK268" s="10" t="str">
        <f t="array" ref="AK268">IFERROR(INDEX(SelectedSpecies,SMALL(IF(SelectedSpecies=AK$1,ROW(SelectedSpecies)),ROW(269:269)),2),"")</f>
        <v/>
      </c>
      <c r="BE268" s="10"/>
      <c r="BI268" s="10"/>
    </row>
    <row r="269" spans="1:61" ht="21" customHeight="1" x14ac:dyDescent="0.25">
      <c r="A269" s="10"/>
      <c r="B269" s="10"/>
      <c r="E269" s="10"/>
      <c r="G269" s="10"/>
      <c r="I269" s="436" t="s">
        <v>6714</v>
      </c>
      <c r="J269" s="26" t="s">
        <v>6713</v>
      </c>
      <c r="K269" s="10">
        <v>0.5</v>
      </c>
      <c r="L269" s="73">
        <f>IF(Tank1!$C$23="No control",(SUMIF(Tank1!$B$32:$B$49,$J269,Tank1!$C$32:$C$49)*Impacts!$F$8),0)</f>
        <v>0</v>
      </c>
      <c r="M269" s="10">
        <f>IF(Tank2!$C$23="No control",(SUMIF(Tank2!$B$32:$B$49,$J269,Tank2!$C$32:$C$49)*Impacts!$F$9),0)</f>
        <v>0</v>
      </c>
      <c r="N269" s="10">
        <f>IF(Tank3!$C$23="No control",(SUMIF(Tank3!$B$32:$B$49,$J269,Tank3!$C$32:$C$49)*Impacts!$F$10),0)</f>
        <v>0</v>
      </c>
      <c r="O269" s="10">
        <f>IF(Tank4!$C$23="No control",(SUMIF(Tank4!$B$32:$B$49,$J269,Tank4!$C$32:$C$49)*Impacts!$F$11),0)</f>
        <v>0</v>
      </c>
      <c r="P269" s="10">
        <f>IF(Tank5!$C$23="No control",(SUMIF(Tank5!$B$32:$B$49,$J269,Tank5!$C$32:$C$49)*Impacts!$F$12),0)</f>
        <v>0</v>
      </c>
      <c r="Q269" s="10">
        <f>IFERROR(IF(('Loading-drum,tote'!$C$21)="No control",SUMIF(('Loading-drum,tote'!$B$31:$B$48),$J269,('Loading-drum,tote'!$D$31:$D$48))*Impacts!$F$13,IF(('Loading-drum,tote'!$C$21)&lt;&gt;"No control",SUMIF(('Loading-drum,tote'!$B$31:$B$48),$J269,('Loading-drum,tote'!$E$31:$E$48))*Impacts!$F$13,0)),0)</f>
        <v>0</v>
      </c>
      <c r="R269" s="10">
        <f>IFERROR(IF(('Loading-truck'!$C$21)="No control",SUMIF(('Loading-truck'!$B$31:$B$48),$J269,('Loading-truck'!$D$31:$D$48))*Impacts!$F$14,IF(('Loading-truck'!$C$21)&lt;&gt;"No control",SUMIF(('Loading-truck'!$B$31:$B$48),$J269,('Loading-truck'!$E$31:$E$48))*Impacts!$F$14,0)),0)</f>
        <v>0</v>
      </c>
      <c r="S269" s="10">
        <f>IFERROR(IF(('Loading-rail'!$C$21)="No control",SUMIF(('Loading-rail'!$B$31:$B$48),$J269,('Loading-rail'!$D$31:$D$48))*Impacts!$F$15,IF(('Loading-rail'!$C$21)&lt;&gt;"No control",SUMIF(('Loading-rail'!$B$31:$B$48),$J269,('Loading-rail'!$E$31:$E$48))*Impacts!$F$15,0)),0)</f>
        <v>0</v>
      </c>
      <c r="T269" s="10">
        <f>IF(Flare!$C$7="",0,(SUMIF(Flare!$B$46:$B$185,$J269,Flare!$E$46:$E$185)*Impacts!$F$16))</f>
        <v>0</v>
      </c>
      <c r="U269" s="10">
        <f>IF(VCU!$C$9="",0,(SUMIF(VCU!$B$51:$B$193,$J269,VCU!$E$51:$E$193)*Impacts!$F$17))</f>
        <v>0</v>
      </c>
      <c r="V269" s="10">
        <f>IF(CAS!$C$7="",0,(SUMIF(CAS!$B$31:$B$167,$J269,CAS!$E$31:$E$167)*Impacts!$F$18))</f>
        <v>0</v>
      </c>
      <c r="W269" s="10">
        <f t="shared" si="46"/>
        <v>0</v>
      </c>
      <c r="AK269" s="10" t="str">
        <f t="array" ref="AK269">IFERROR(INDEX(SelectedSpecies,SMALL(IF(SelectedSpecies=AK$1,ROW(SelectedSpecies)),ROW(270:270)),2),"")</f>
        <v/>
      </c>
      <c r="BE269" s="10"/>
      <c r="BI269" s="10"/>
    </row>
    <row r="270" spans="1:61" ht="21" customHeight="1" x14ac:dyDescent="0.25">
      <c r="A270" s="10"/>
      <c r="B270" s="10"/>
      <c r="E270" s="10"/>
      <c r="G270" s="10"/>
      <c r="I270" s="436" t="s">
        <v>1258</v>
      </c>
      <c r="J270" s="26" t="s">
        <v>1257</v>
      </c>
      <c r="K270" s="10">
        <v>33</v>
      </c>
      <c r="L270" s="73">
        <f>IF(Tank1!$C$23="No control",(SUMIF(Tank1!$B$32:$B$49,$J270,Tank1!$C$32:$C$49)*Impacts!$F$8),0)</f>
        <v>0</v>
      </c>
      <c r="M270" s="10">
        <f>IF(Tank2!$C$23="No control",(SUMIF(Tank2!$B$32:$B$49,$J270,Tank2!$C$32:$C$49)*Impacts!$F$9),0)</f>
        <v>0</v>
      </c>
      <c r="N270" s="10">
        <f>IF(Tank3!$C$23="No control",(SUMIF(Tank3!$B$32:$B$49,$J270,Tank3!$C$32:$C$49)*Impacts!$F$10),0)</f>
        <v>0</v>
      </c>
      <c r="O270" s="10">
        <f>IF(Tank4!$C$23="No control",(SUMIF(Tank4!$B$32:$B$49,$J270,Tank4!$C$32:$C$49)*Impacts!$F$11),0)</f>
        <v>0</v>
      </c>
      <c r="P270" s="10">
        <f>IF(Tank5!$C$23="No control",(SUMIF(Tank5!$B$32:$B$49,$J270,Tank5!$C$32:$C$49)*Impacts!$F$12),0)</f>
        <v>0</v>
      </c>
      <c r="Q270" s="10">
        <f>IFERROR(IF(('Loading-drum,tote'!$C$21)="No control",SUMIF(('Loading-drum,tote'!$B$31:$B$48),$J270,('Loading-drum,tote'!$D$31:$D$48))*Impacts!$F$13,IF(('Loading-drum,tote'!$C$21)&lt;&gt;"No control",SUMIF(('Loading-drum,tote'!$B$31:$B$48),$J270,('Loading-drum,tote'!$E$31:$E$48))*Impacts!$F$13,0)),0)</f>
        <v>0</v>
      </c>
      <c r="R270" s="10">
        <f>IFERROR(IF(('Loading-truck'!$C$21)="No control",SUMIF(('Loading-truck'!$B$31:$B$48),$J270,('Loading-truck'!$D$31:$D$48))*Impacts!$F$14,IF(('Loading-truck'!$C$21)&lt;&gt;"No control",SUMIF(('Loading-truck'!$B$31:$B$48),$J270,('Loading-truck'!$E$31:$E$48))*Impacts!$F$14,0)),0)</f>
        <v>0</v>
      </c>
      <c r="S270" s="10">
        <f>IFERROR(IF(('Loading-rail'!$C$21)="No control",SUMIF(('Loading-rail'!$B$31:$B$48),$J270,('Loading-rail'!$D$31:$D$48))*Impacts!$F$15,IF(('Loading-rail'!$C$21)&lt;&gt;"No control",SUMIF(('Loading-rail'!$B$31:$B$48),$J270,('Loading-rail'!$E$31:$E$48))*Impacts!$F$15,0)),0)</f>
        <v>0</v>
      </c>
      <c r="T270" s="10">
        <f>IF(Flare!$C$7="",0,(SUMIF(Flare!$B$46:$B$185,$J270,Flare!$E$46:$E$185)*Impacts!$F$16))</f>
        <v>0</v>
      </c>
      <c r="U270" s="10">
        <f>IF(VCU!$C$9="",0,(SUMIF(VCU!$B$51:$B$193,$J270,VCU!$E$51:$E$193)*Impacts!$F$17))</f>
        <v>0</v>
      </c>
      <c r="V270" s="10">
        <f>IF(CAS!$C$7="",0,(SUMIF(CAS!$B$31:$B$167,$J270,CAS!$E$31:$E$167)*Impacts!$F$18))</f>
        <v>0</v>
      </c>
      <c r="W270" s="10">
        <f t="shared" si="46"/>
        <v>0</v>
      </c>
      <c r="AK270" s="10" t="str">
        <f t="array" ref="AK270">IFERROR(INDEX(SelectedSpecies,SMALL(IF(SelectedSpecies=AK$1,ROW(SelectedSpecies)),ROW(271:271)),2),"")</f>
        <v/>
      </c>
      <c r="BE270" s="10"/>
      <c r="BI270" s="10"/>
    </row>
    <row r="271" spans="1:61" ht="21" customHeight="1" x14ac:dyDescent="0.25">
      <c r="A271" s="10"/>
      <c r="B271" s="10"/>
      <c r="E271" s="10"/>
      <c r="G271" s="10"/>
      <c r="I271" s="436" t="s">
        <v>5307</v>
      </c>
      <c r="J271" s="26" t="s">
        <v>5306</v>
      </c>
      <c r="K271" s="10">
        <v>1.75</v>
      </c>
      <c r="L271" s="73">
        <f>IF(Tank1!$C$23="No control",(SUMIF(Tank1!$B$32:$B$49,$J271,Tank1!$C$32:$C$49)*Impacts!$F$8),0)</f>
        <v>0</v>
      </c>
      <c r="M271" s="10">
        <f>IF(Tank2!$C$23="No control",(SUMIF(Tank2!$B$32:$B$49,$J271,Tank2!$C$32:$C$49)*Impacts!$F$9),0)</f>
        <v>0</v>
      </c>
      <c r="N271" s="10">
        <f>IF(Tank3!$C$23="No control",(SUMIF(Tank3!$B$32:$B$49,$J271,Tank3!$C$32:$C$49)*Impacts!$F$10),0)</f>
        <v>0</v>
      </c>
      <c r="O271" s="10">
        <f>IF(Tank4!$C$23="No control",(SUMIF(Tank4!$B$32:$B$49,$J271,Tank4!$C$32:$C$49)*Impacts!$F$11),0)</f>
        <v>0</v>
      </c>
      <c r="P271" s="10">
        <f>IF(Tank5!$C$23="No control",(SUMIF(Tank5!$B$32:$B$49,$J271,Tank5!$C$32:$C$49)*Impacts!$F$12),0)</f>
        <v>0</v>
      </c>
      <c r="Q271" s="10">
        <f>IFERROR(IF(('Loading-drum,tote'!$C$21)="No control",SUMIF(('Loading-drum,tote'!$B$31:$B$48),$J271,('Loading-drum,tote'!$D$31:$D$48))*Impacts!$F$13,IF(('Loading-drum,tote'!$C$21)&lt;&gt;"No control",SUMIF(('Loading-drum,tote'!$B$31:$B$48),$J271,('Loading-drum,tote'!$E$31:$E$48))*Impacts!$F$13,0)),0)</f>
        <v>0</v>
      </c>
      <c r="R271" s="10">
        <f>IFERROR(IF(('Loading-truck'!$C$21)="No control",SUMIF(('Loading-truck'!$B$31:$B$48),$J271,('Loading-truck'!$D$31:$D$48))*Impacts!$F$14,IF(('Loading-truck'!$C$21)&lt;&gt;"No control",SUMIF(('Loading-truck'!$B$31:$B$48),$J271,('Loading-truck'!$E$31:$E$48))*Impacts!$F$14,0)),0)</f>
        <v>0</v>
      </c>
      <c r="S271" s="10">
        <f>IFERROR(IF(('Loading-rail'!$C$21)="No control",SUMIF(('Loading-rail'!$B$31:$B$48),$J271,('Loading-rail'!$D$31:$D$48))*Impacts!$F$15,IF(('Loading-rail'!$C$21)&lt;&gt;"No control",SUMIF(('Loading-rail'!$B$31:$B$48),$J271,('Loading-rail'!$E$31:$E$48))*Impacts!$F$15,0)),0)</f>
        <v>0</v>
      </c>
      <c r="T271" s="10">
        <f>IF(Flare!$C$7="",0,(SUMIF(Flare!$B$46:$B$185,$J271,Flare!$E$46:$E$185)*Impacts!$F$16))</f>
        <v>0</v>
      </c>
      <c r="U271" s="10">
        <f>IF(VCU!$C$9="",0,(SUMIF(VCU!$B$51:$B$193,$J271,VCU!$E$51:$E$193)*Impacts!$F$17))</f>
        <v>0</v>
      </c>
      <c r="V271" s="10">
        <f>IF(CAS!$C$7="",0,(SUMIF(CAS!$B$31:$B$167,$J271,CAS!$E$31:$E$167)*Impacts!$F$18))</f>
        <v>0</v>
      </c>
      <c r="W271" s="10">
        <f t="shared" si="46"/>
        <v>0</v>
      </c>
      <c r="AK271" s="10" t="str">
        <f t="array" ref="AK271">IFERROR(INDEX(SelectedSpecies,SMALL(IF(SelectedSpecies=AK$1,ROW(SelectedSpecies)),ROW(272:272)),2),"")</f>
        <v/>
      </c>
      <c r="BE271" s="10"/>
      <c r="BI271" s="10"/>
    </row>
    <row r="272" spans="1:61" ht="21" customHeight="1" x14ac:dyDescent="0.25">
      <c r="A272" s="10"/>
      <c r="B272" s="10"/>
      <c r="E272" s="10"/>
      <c r="G272" s="10"/>
      <c r="I272" s="436" t="s">
        <v>6716</v>
      </c>
      <c r="J272" s="26" t="s">
        <v>6715</v>
      </c>
      <c r="K272" s="10">
        <v>0.5</v>
      </c>
      <c r="L272" s="73">
        <f>IF(Tank1!$C$23="No control",(SUMIF(Tank1!$B$32:$B$49,$J272,Tank1!$C$32:$C$49)*Impacts!$F$8),0)</f>
        <v>0</v>
      </c>
      <c r="M272" s="10">
        <f>IF(Tank2!$C$23="No control",(SUMIF(Tank2!$B$32:$B$49,$J272,Tank2!$C$32:$C$49)*Impacts!$F$9),0)</f>
        <v>0</v>
      </c>
      <c r="N272" s="10">
        <f>IF(Tank3!$C$23="No control",(SUMIF(Tank3!$B$32:$B$49,$J272,Tank3!$C$32:$C$49)*Impacts!$F$10),0)</f>
        <v>0</v>
      </c>
      <c r="O272" s="10">
        <f>IF(Tank4!$C$23="No control",(SUMIF(Tank4!$B$32:$B$49,$J272,Tank4!$C$32:$C$49)*Impacts!$F$11),0)</f>
        <v>0</v>
      </c>
      <c r="P272" s="10">
        <f>IF(Tank5!$C$23="No control",(SUMIF(Tank5!$B$32:$B$49,$J272,Tank5!$C$32:$C$49)*Impacts!$F$12),0)</f>
        <v>0</v>
      </c>
      <c r="Q272" s="10">
        <f>IFERROR(IF(('Loading-drum,tote'!$C$21)="No control",SUMIF(('Loading-drum,tote'!$B$31:$B$48),$J272,('Loading-drum,tote'!$D$31:$D$48))*Impacts!$F$13,IF(('Loading-drum,tote'!$C$21)&lt;&gt;"No control",SUMIF(('Loading-drum,tote'!$B$31:$B$48),$J272,('Loading-drum,tote'!$E$31:$E$48))*Impacts!$F$13,0)),0)</f>
        <v>0</v>
      </c>
      <c r="R272" s="10">
        <f>IFERROR(IF(('Loading-truck'!$C$21)="No control",SUMIF(('Loading-truck'!$B$31:$B$48),$J272,('Loading-truck'!$D$31:$D$48))*Impacts!$F$14,IF(('Loading-truck'!$C$21)&lt;&gt;"No control",SUMIF(('Loading-truck'!$B$31:$B$48),$J272,('Loading-truck'!$E$31:$E$48))*Impacts!$F$14,0)),0)</f>
        <v>0</v>
      </c>
      <c r="S272" s="10">
        <f>IFERROR(IF(('Loading-rail'!$C$21)="No control",SUMIF(('Loading-rail'!$B$31:$B$48),$J272,('Loading-rail'!$D$31:$D$48))*Impacts!$F$15,IF(('Loading-rail'!$C$21)&lt;&gt;"No control",SUMIF(('Loading-rail'!$B$31:$B$48),$J272,('Loading-rail'!$E$31:$E$48))*Impacts!$F$15,0)),0)</f>
        <v>0</v>
      </c>
      <c r="T272" s="10">
        <f>IF(Flare!$C$7="",0,(SUMIF(Flare!$B$46:$B$185,$J272,Flare!$E$46:$E$185)*Impacts!$F$16))</f>
        <v>0</v>
      </c>
      <c r="U272" s="10">
        <f>IF(VCU!$C$9="",0,(SUMIF(VCU!$B$51:$B$193,$J272,VCU!$E$51:$E$193)*Impacts!$F$17))</f>
        <v>0</v>
      </c>
      <c r="V272" s="10">
        <f>IF(CAS!$C$7="",0,(SUMIF(CAS!$B$31:$B$167,$J272,CAS!$E$31:$E$167)*Impacts!$F$18))</f>
        <v>0</v>
      </c>
      <c r="W272" s="10">
        <f t="shared" si="46"/>
        <v>0</v>
      </c>
      <c r="AK272" s="10" t="str">
        <f t="array" ref="AK272">IFERROR(INDEX(SelectedSpecies,SMALL(IF(SelectedSpecies=AK$1,ROW(SelectedSpecies)),ROW(273:273)),2),"")</f>
        <v/>
      </c>
      <c r="BE272" s="10"/>
      <c r="BI272" s="10"/>
    </row>
    <row r="273" spans="1:61" ht="21" customHeight="1" x14ac:dyDescent="0.25">
      <c r="A273" s="10"/>
      <c r="B273" s="10"/>
      <c r="E273" s="10"/>
      <c r="G273" s="10"/>
      <c r="I273" s="436" t="s">
        <v>7420</v>
      </c>
      <c r="J273" s="26" t="s">
        <v>7419</v>
      </c>
      <c r="K273" s="10">
        <v>0.2</v>
      </c>
      <c r="L273" s="73">
        <f>IF(Tank1!$C$23="No control",(SUMIF(Tank1!$B$32:$B$49,$J273,Tank1!$C$32:$C$49)*Impacts!$F$8),0)</f>
        <v>0</v>
      </c>
      <c r="M273" s="10">
        <f>IF(Tank2!$C$23="No control",(SUMIF(Tank2!$B$32:$B$49,$J273,Tank2!$C$32:$C$49)*Impacts!$F$9),0)</f>
        <v>0</v>
      </c>
      <c r="N273" s="10">
        <f>IF(Tank3!$C$23="No control",(SUMIF(Tank3!$B$32:$B$49,$J273,Tank3!$C$32:$C$49)*Impacts!$F$10),0)</f>
        <v>0</v>
      </c>
      <c r="O273" s="10">
        <f>IF(Tank4!$C$23="No control",(SUMIF(Tank4!$B$32:$B$49,$J273,Tank4!$C$32:$C$49)*Impacts!$F$11),0)</f>
        <v>0</v>
      </c>
      <c r="P273" s="10">
        <f>IF(Tank5!$C$23="No control",(SUMIF(Tank5!$B$32:$B$49,$J273,Tank5!$C$32:$C$49)*Impacts!$F$12),0)</f>
        <v>0</v>
      </c>
      <c r="Q273" s="10">
        <f>IFERROR(IF(('Loading-drum,tote'!$C$21)="No control",SUMIF(('Loading-drum,tote'!$B$31:$B$48),$J273,('Loading-drum,tote'!$D$31:$D$48))*Impacts!$F$13,IF(('Loading-drum,tote'!$C$21)&lt;&gt;"No control",SUMIF(('Loading-drum,tote'!$B$31:$B$48),$J273,('Loading-drum,tote'!$E$31:$E$48))*Impacts!$F$13,0)),0)</f>
        <v>0</v>
      </c>
      <c r="R273" s="10">
        <f>IFERROR(IF(('Loading-truck'!$C$21)="No control",SUMIF(('Loading-truck'!$B$31:$B$48),$J273,('Loading-truck'!$D$31:$D$48))*Impacts!$F$14,IF(('Loading-truck'!$C$21)&lt;&gt;"No control",SUMIF(('Loading-truck'!$B$31:$B$48),$J273,('Loading-truck'!$E$31:$E$48))*Impacts!$F$14,0)),0)</f>
        <v>0</v>
      </c>
      <c r="S273" s="10">
        <f>IFERROR(IF(('Loading-rail'!$C$21)="No control",SUMIF(('Loading-rail'!$B$31:$B$48),$J273,('Loading-rail'!$D$31:$D$48))*Impacts!$F$15,IF(('Loading-rail'!$C$21)&lt;&gt;"No control",SUMIF(('Loading-rail'!$B$31:$B$48),$J273,('Loading-rail'!$E$31:$E$48))*Impacts!$F$15,0)),0)</f>
        <v>0</v>
      </c>
      <c r="T273" s="10">
        <f>IF(Flare!$C$7="",0,(SUMIF(Flare!$B$46:$B$185,$J273,Flare!$E$46:$E$185)*Impacts!$F$16))</f>
        <v>0</v>
      </c>
      <c r="U273" s="10">
        <f>IF(VCU!$C$9="",0,(SUMIF(VCU!$B$51:$B$193,$J273,VCU!$E$51:$E$193)*Impacts!$F$17))</f>
        <v>0</v>
      </c>
      <c r="V273" s="10">
        <f>IF(CAS!$C$7="",0,(SUMIF(CAS!$B$31:$B$167,$J273,CAS!$E$31:$E$167)*Impacts!$F$18))</f>
        <v>0</v>
      </c>
      <c r="W273" s="10">
        <f t="shared" si="46"/>
        <v>0</v>
      </c>
      <c r="AK273" s="10" t="str">
        <f t="array" ref="AK273">IFERROR(INDEX(SelectedSpecies,SMALL(IF(SelectedSpecies=AK$1,ROW(SelectedSpecies)),ROW(274:274)),2),"")</f>
        <v/>
      </c>
      <c r="BE273" s="10"/>
      <c r="BI273" s="10"/>
    </row>
    <row r="274" spans="1:61" ht="21" customHeight="1" x14ac:dyDescent="0.25">
      <c r="A274" s="10"/>
      <c r="B274" s="10"/>
      <c r="E274" s="10"/>
      <c r="G274" s="10"/>
      <c r="I274" s="436" t="s">
        <v>7234</v>
      </c>
      <c r="J274" s="26" t="s">
        <v>7233</v>
      </c>
      <c r="K274" s="10">
        <v>0.30000000000000004</v>
      </c>
      <c r="L274" s="73">
        <f>IF(Tank1!$C$23="No control",(SUMIF(Tank1!$B$32:$B$49,$J274,Tank1!$C$32:$C$49)*Impacts!$F$8),0)</f>
        <v>0</v>
      </c>
      <c r="M274" s="10">
        <f>IF(Tank2!$C$23="No control",(SUMIF(Tank2!$B$32:$B$49,$J274,Tank2!$C$32:$C$49)*Impacts!$F$9),0)</f>
        <v>0</v>
      </c>
      <c r="N274" s="10">
        <f>IF(Tank3!$C$23="No control",(SUMIF(Tank3!$B$32:$B$49,$J274,Tank3!$C$32:$C$49)*Impacts!$F$10),0)</f>
        <v>0</v>
      </c>
      <c r="O274" s="10">
        <f>IF(Tank4!$C$23="No control",(SUMIF(Tank4!$B$32:$B$49,$J274,Tank4!$C$32:$C$49)*Impacts!$F$11),0)</f>
        <v>0</v>
      </c>
      <c r="P274" s="10">
        <f>IF(Tank5!$C$23="No control",(SUMIF(Tank5!$B$32:$B$49,$J274,Tank5!$C$32:$C$49)*Impacts!$F$12),0)</f>
        <v>0</v>
      </c>
      <c r="Q274" s="10">
        <f>IFERROR(IF(('Loading-drum,tote'!$C$21)="No control",SUMIF(('Loading-drum,tote'!$B$31:$B$48),$J274,('Loading-drum,tote'!$D$31:$D$48))*Impacts!$F$13,IF(('Loading-drum,tote'!$C$21)&lt;&gt;"No control",SUMIF(('Loading-drum,tote'!$B$31:$B$48),$J274,('Loading-drum,tote'!$E$31:$E$48))*Impacts!$F$13,0)),0)</f>
        <v>0</v>
      </c>
      <c r="R274" s="10">
        <f>IFERROR(IF(('Loading-truck'!$C$21)="No control",SUMIF(('Loading-truck'!$B$31:$B$48),$J274,('Loading-truck'!$D$31:$D$48))*Impacts!$F$14,IF(('Loading-truck'!$C$21)&lt;&gt;"No control",SUMIF(('Loading-truck'!$B$31:$B$48),$J274,('Loading-truck'!$E$31:$E$48))*Impacts!$F$14,0)),0)</f>
        <v>0</v>
      </c>
      <c r="S274" s="10">
        <f>IFERROR(IF(('Loading-rail'!$C$21)="No control",SUMIF(('Loading-rail'!$B$31:$B$48),$J274,('Loading-rail'!$D$31:$D$48))*Impacts!$F$15,IF(('Loading-rail'!$C$21)&lt;&gt;"No control",SUMIF(('Loading-rail'!$B$31:$B$48),$J274,('Loading-rail'!$E$31:$E$48))*Impacts!$F$15,0)),0)</f>
        <v>0</v>
      </c>
      <c r="T274" s="10">
        <f>IF(Flare!$C$7="",0,(SUMIF(Flare!$B$46:$B$185,$J274,Flare!$E$46:$E$185)*Impacts!$F$16))</f>
        <v>0</v>
      </c>
      <c r="U274" s="10">
        <f>IF(VCU!$C$9="",0,(SUMIF(VCU!$B$51:$B$193,$J274,VCU!$E$51:$E$193)*Impacts!$F$17))</f>
        <v>0</v>
      </c>
      <c r="V274" s="10">
        <f>IF(CAS!$C$7="",0,(SUMIF(CAS!$B$31:$B$167,$J274,CAS!$E$31:$E$167)*Impacts!$F$18))</f>
        <v>0</v>
      </c>
      <c r="W274" s="10">
        <f t="shared" si="46"/>
        <v>0</v>
      </c>
      <c r="AK274" s="10" t="str">
        <f t="array" ref="AK274">IFERROR(INDEX(SelectedSpecies,SMALL(IF(SelectedSpecies=AK$1,ROW(SelectedSpecies)),ROW(275:275)),2),"")</f>
        <v/>
      </c>
      <c r="BE274" s="10"/>
      <c r="BI274" s="10"/>
    </row>
    <row r="275" spans="1:61" ht="21" customHeight="1" x14ac:dyDescent="0.25">
      <c r="A275" s="10"/>
      <c r="B275" s="10"/>
      <c r="E275" s="10"/>
      <c r="G275" s="10"/>
      <c r="I275" s="436" t="s">
        <v>862</v>
      </c>
      <c r="J275" s="26" t="s">
        <v>861</v>
      </c>
      <c r="K275" s="10">
        <v>45</v>
      </c>
      <c r="L275" s="73">
        <f>IF(Tank1!$C$23="No control",(SUMIF(Tank1!$B$32:$B$49,$J275,Tank1!$C$32:$C$49)*Impacts!$F$8),0)</f>
        <v>0</v>
      </c>
      <c r="M275" s="10">
        <f>IF(Tank2!$C$23="No control",(SUMIF(Tank2!$B$32:$B$49,$J275,Tank2!$C$32:$C$49)*Impacts!$F$9),0)</f>
        <v>0</v>
      </c>
      <c r="N275" s="10">
        <f>IF(Tank3!$C$23="No control",(SUMIF(Tank3!$B$32:$B$49,$J275,Tank3!$C$32:$C$49)*Impacts!$F$10),0)</f>
        <v>0</v>
      </c>
      <c r="O275" s="10">
        <f>IF(Tank4!$C$23="No control",(SUMIF(Tank4!$B$32:$B$49,$J275,Tank4!$C$32:$C$49)*Impacts!$F$11),0)</f>
        <v>0</v>
      </c>
      <c r="P275" s="10">
        <f>IF(Tank5!$C$23="No control",(SUMIF(Tank5!$B$32:$B$49,$J275,Tank5!$C$32:$C$49)*Impacts!$F$12),0)</f>
        <v>0</v>
      </c>
      <c r="Q275" s="10">
        <f>IFERROR(IF(('Loading-drum,tote'!$C$21)="No control",SUMIF(('Loading-drum,tote'!$B$31:$B$48),$J275,('Loading-drum,tote'!$D$31:$D$48))*Impacts!$F$13,IF(('Loading-drum,tote'!$C$21)&lt;&gt;"No control",SUMIF(('Loading-drum,tote'!$B$31:$B$48),$J275,('Loading-drum,tote'!$E$31:$E$48))*Impacts!$F$13,0)),0)</f>
        <v>0</v>
      </c>
      <c r="R275" s="10">
        <f>IFERROR(IF(('Loading-truck'!$C$21)="No control",SUMIF(('Loading-truck'!$B$31:$B$48),$J275,('Loading-truck'!$D$31:$D$48))*Impacts!$F$14,IF(('Loading-truck'!$C$21)&lt;&gt;"No control",SUMIF(('Loading-truck'!$B$31:$B$48),$J275,('Loading-truck'!$E$31:$E$48))*Impacts!$F$14,0)),0)</f>
        <v>0</v>
      </c>
      <c r="S275" s="10">
        <f>IFERROR(IF(('Loading-rail'!$C$21)="No control",SUMIF(('Loading-rail'!$B$31:$B$48),$J275,('Loading-rail'!$D$31:$D$48))*Impacts!$F$15,IF(('Loading-rail'!$C$21)&lt;&gt;"No control",SUMIF(('Loading-rail'!$B$31:$B$48),$J275,('Loading-rail'!$E$31:$E$48))*Impacts!$F$15,0)),0)</f>
        <v>0</v>
      </c>
      <c r="T275" s="10">
        <f>IF(Flare!$C$7="",0,(SUMIF(Flare!$B$46:$B$185,$J275,Flare!$E$46:$E$185)*Impacts!$F$16))</f>
        <v>0</v>
      </c>
      <c r="U275" s="10">
        <f>IF(VCU!$C$9="",0,(SUMIF(VCU!$B$51:$B$193,$J275,VCU!$E$51:$E$193)*Impacts!$F$17))</f>
        <v>0</v>
      </c>
      <c r="V275" s="10">
        <f>IF(CAS!$C$7="",0,(SUMIF(CAS!$B$31:$B$167,$J275,CAS!$E$31:$E$167)*Impacts!$F$18))</f>
        <v>0</v>
      </c>
      <c r="W275" s="10">
        <f t="shared" si="46"/>
        <v>0</v>
      </c>
      <c r="AK275" s="10" t="str">
        <f t="array" ref="AK275">IFERROR(INDEX(SelectedSpecies,SMALL(IF(SelectedSpecies=AK$1,ROW(SelectedSpecies)),ROW(276:276)),2),"")</f>
        <v/>
      </c>
      <c r="BE275" s="10"/>
      <c r="BI275" s="10"/>
    </row>
    <row r="276" spans="1:61" ht="21" customHeight="1" x14ac:dyDescent="0.25">
      <c r="A276" s="10"/>
      <c r="B276" s="10"/>
      <c r="E276" s="10"/>
      <c r="G276" s="10"/>
      <c r="I276" s="436" t="s">
        <v>7014</v>
      </c>
      <c r="J276" s="26" t="s">
        <v>7013</v>
      </c>
      <c r="K276" s="10">
        <v>0.45</v>
      </c>
      <c r="L276" s="73">
        <f>IF(Tank1!$C$23="No control",(SUMIF(Tank1!$B$32:$B$49,$J276,Tank1!$C$32:$C$49)*Impacts!$F$8),0)</f>
        <v>0</v>
      </c>
      <c r="M276" s="10">
        <f>IF(Tank2!$C$23="No control",(SUMIF(Tank2!$B$32:$B$49,$J276,Tank2!$C$32:$C$49)*Impacts!$F$9),0)</f>
        <v>0</v>
      </c>
      <c r="N276" s="10">
        <f>IF(Tank3!$C$23="No control",(SUMIF(Tank3!$B$32:$B$49,$J276,Tank3!$C$32:$C$49)*Impacts!$F$10),0)</f>
        <v>0</v>
      </c>
      <c r="O276" s="10">
        <f>IF(Tank4!$C$23="No control",(SUMIF(Tank4!$B$32:$B$49,$J276,Tank4!$C$32:$C$49)*Impacts!$F$11),0)</f>
        <v>0</v>
      </c>
      <c r="P276" s="10">
        <f>IF(Tank5!$C$23="No control",(SUMIF(Tank5!$B$32:$B$49,$J276,Tank5!$C$32:$C$49)*Impacts!$F$12),0)</f>
        <v>0</v>
      </c>
      <c r="Q276" s="10">
        <f>IFERROR(IF(('Loading-drum,tote'!$C$21)="No control",SUMIF(('Loading-drum,tote'!$B$31:$B$48),$J276,('Loading-drum,tote'!$D$31:$D$48))*Impacts!$F$13,IF(('Loading-drum,tote'!$C$21)&lt;&gt;"No control",SUMIF(('Loading-drum,tote'!$B$31:$B$48),$J276,('Loading-drum,tote'!$E$31:$E$48))*Impacts!$F$13,0)),0)</f>
        <v>0</v>
      </c>
      <c r="R276" s="10">
        <f>IFERROR(IF(('Loading-truck'!$C$21)="No control",SUMIF(('Loading-truck'!$B$31:$B$48),$J276,('Loading-truck'!$D$31:$D$48))*Impacts!$F$14,IF(('Loading-truck'!$C$21)&lt;&gt;"No control",SUMIF(('Loading-truck'!$B$31:$B$48),$J276,('Loading-truck'!$E$31:$E$48))*Impacts!$F$14,0)),0)</f>
        <v>0</v>
      </c>
      <c r="S276" s="10">
        <f>IFERROR(IF(('Loading-rail'!$C$21)="No control",SUMIF(('Loading-rail'!$B$31:$B$48),$J276,('Loading-rail'!$D$31:$D$48))*Impacts!$F$15,IF(('Loading-rail'!$C$21)&lt;&gt;"No control",SUMIF(('Loading-rail'!$B$31:$B$48),$J276,('Loading-rail'!$E$31:$E$48))*Impacts!$F$15,0)),0)</f>
        <v>0</v>
      </c>
      <c r="T276" s="10">
        <f>IF(Flare!$C$7="",0,(SUMIF(Flare!$B$46:$B$185,$J276,Flare!$E$46:$E$185)*Impacts!$F$16))</f>
        <v>0</v>
      </c>
      <c r="U276" s="10">
        <f>IF(VCU!$C$9="",0,(SUMIF(VCU!$B$51:$B$193,$J276,VCU!$E$51:$E$193)*Impacts!$F$17))</f>
        <v>0</v>
      </c>
      <c r="V276" s="10">
        <f>IF(CAS!$C$7="",0,(SUMIF(CAS!$B$31:$B$167,$J276,CAS!$E$31:$E$167)*Impacts!$F$18))</f>
        <v>0</v>
      </c>
      <c r="W276" s="10">
        <f t="shared" si="46"/>
        <v>0</v>
      </c>
      <c r="AK276" s="10" t="str">
        <f t="array" ref="AK276">IFERROR(INDEX(SelectedSpecies,SMALL(IF(SelectedSpecies=AK$1,ROW(SelectedSpecies)),ROW(277:277)),2),"")</f>
        <v/>
      </c>
      <c r="BE276" s="10"/>
      <c r="BI276" s="10"/>
    </row>
    <row r="277" spans="1:61" ht="21" customHeight="1" x14ac:dyDescent="0.25">
      <c r="A277" s="10"/>
      <c r="B277" s="10"/>
      <c r="E277" s="10"/>
      <c r="G277" s="10"/>
      <c r="I277" s="436" t="s">
        <v>1260</v>
      </c>
      <c r="J277" s="26" t="s">
        <v>1259</v>
      </c>
      <c r="K277" s="10">
        <v>33</v>
      </c>
      <c r="L277" s="73">
        <f>IF(Tank1!$C$23="No control",(SUMIF(Tank1!$B$32:$B$49,$J277,Tank1!$C$32:$C$49)*Impacts!$F$8),0)</f>
        <v>0</v>
      </c>
      <c r="M277" s="10">
        <f>IF(Tank2!$C$23="No control",(SUMIF(Tank2!$B$32:$B$49,$J277,Tank2!$C$32:$C$49)*Impacts!$F$9),0)</f>
        <v>0</v>
      </c>
      <c r="N277" s="10">
        <f>IF(Tank3!$C$23="No control",(SUMIF(Tank3!$B$32:$B$49,$J277,Tank3!$C$32:$C$49)*Impacts!$F$10),0)</f>
        <v>0</v>
      </c>
      <c r="O277" s="10">
        <f>IF(Tank4!$C$23="No control",(SUMIF(Tank4!$B$32:$B$49,$J277,Tank4!$C$32:$C$49)*Impacts!$F$11),0)</f>
        <v>0</v>
      </c>
      <c r="P277" s="10">
        <f>IF(Tank5!$C$23="No control",(SUMIF(Tank5!$B$32:$B$49,$J277,Tank5!$C$32:$C$49)*Impacts!$F$12),0)</f>
        <v>0</v>
      </c>
      <c r="Q277" s="10">
        <f>IFERROR(IF(('Loading-drum,tote'!$C$21)="No control",SUMIF(('Loading-drum,tote'!$B$31:$B$48),$J277,('Loading-drum,tote'!$D$31:$D$48))*Impacts!$F$13,IF(('Loading-drum,tote'!$C$21)&lt;&gt;"No control",SUMIF(('Loading-drum,tote'!$B$31:$B$48),$J277,('Loading-drum,tote'!$E$31:$E$48))*Impacts!$F$13,0)),0)</f>
        <v>0</v>
      </c>
      <c r="R277" s="10">
        <f>IFERROR(IF(('Loading-truck'!$C$21)="No control",SUMIF(('Loading-truck'!$B$31:$B$48),$J277,('Loading-truck'!$D$31:$D$48))*Impacts!$F$14,IF(('Loading-truck'!$C$21)&lt;&gt;"No control",SUMIF(('Loading-truck'!$B$31:$B$48),$J277,('Loading-truck'!$E$31:$E$48))*Impacts!$F$14,0)),0)</f>
        <v>0</v>
      </c>
      <c r="S277" s="10">
        <f>IFERROR(IF(('Loading-rail'!$C$21)="No control",SUMIF(('Loading-rail'!$B$31:$B$48),$J277,('Loading-rail'!$D$31:$D$48))*Impacts!$F$15,IF(('Loading-rail'!$C$21)&lt;&gt;"No control",SUMIF(('Loading-rail'!$B$31:$B$48),$J277,('Loading-rail'!$E$31:$E$48))*Impacts!$F$15,0)),0)</f>
        <v>0</v>
      </c>
      <c r="T277" s="10">
        <f>IF(Flare!$C$7="",0,(SUMIF(Flare!$B$46:$B$185,$J277,Flare!$E$46:$E$185)*Impacts!$F$16))</f>
        <v>0</v>
      </c>
      <c r="U277" s="10">
        <f>IF(VCU!$C$9="",0,(SUMIF(VCU!$B$51:$B$193,$J277,VCU!$E$51:$E$193)*Impacts!$F$17))</f>
        <v>0</v>
      </c>
      <c r="V277" s="10">
        <f>IF(CAS!$C$7="",0,(SUMIF(CAS!$B$31:$B$167,$J277,CAS!$E$31:$E$167)*Impacts!$F$18))</f>
        <v>0</v>
      </c>
      <c r="W277" s="10">
        <f t="shared" si="46"/>
        <v>0</v>
      </c>
      <c r="AK277" s="10" t="str">
        <f t="array" ref="AK277">IFERROR(INDEX(SelectedSpecies,SMALL(IF(SelectedSpecies=AK$1,ROW(SelectedSpecies)),ROW(278:278)),2),"")</f>
        <v/>
      </c>
      <c r="BE277" s="10"/>
      <c r="BI277" s="10"/>
    </row>
    <row r="278" spans="1:61" ht="21" customHeight="1" x14ac:dyDescent="0.25">
      <c r="A278" s="10"/>
      <c r="B278" s="10"/>
      <c r="E278" s="10"/>
      <c r="G278" s="10"/>
      <c r="I278" s="436" t="s">
        <v>8112</v>
      </c>
      <c r="J278" s="26" t="s">
        <v>8111</v>
      </c>
      <c r="K278" s="10">
        <v>1.0000000000000002E-2</v>
      </c>
      <c r="L278" s="73">
        <f>IF(Tank1!$C$23="No control",(SUMIF(Tank1!$B$32:$B$49,$J278,Tank1!$C$32:$C$49)*Impacts!$F$8),0)</f>
        <v>0</v>
      </c>
      <c r="M278" s="10">
        <f>IF(Tank2!$C$23="No control",(SUMIF(Tank2!$B$32:$B$49,$J278,Tank2!$C$32:$C$49)*Impacts!$F$9),0)</f>
        <v>0</v>
      </c>
      <c r="N278" s="10">
        <f>IF(Tank3!$C$23="No control",(SUMIF(Tank3!$B$32:$B$49,$J278,Tank3!$C$32:$C$49)*Impacts!$F$10),0)</f>
        <v>0</v>
      </c>
      <c r="O278" s="10">
        <f>IF(Tank4!$C$23="No control",(SUMIF(Tank4!$B$32:$B$49,$J278,Tank4!$C$32:$C$49)*Impacts!$F$11),0)</f>
        <v>0</v>
      </c>
      <c r="P278" s="10">
        <f>IF(Tank5!$C$23="No control",(SUMIF(Tank5!$B$32:$B$49,$J278,Tank5!$C$32:$C$49)*Impacts!$F$12),0)</f>
        <v>0</v>
      </c>
      <c r="Q278" s="10">
        <f>IFERROR(IF(('Loading-drum,tote'!$C$21)="No control",SUMIF(('Loading-drum,tote'!$B$31:$B$48),$J278,('Loading-drum,tote'!$D$31:$D$48))*Impacts!$F$13,IF(('Loading-drum,tote'!$C$21)&lt;&gt;"No control",SUMIF(('Loading-drum,tote'!$B$31:$B$48),$J278,('Loading-drum,tote'!$E$31:$E$48))*Impacts!$F$13,0)),0)</f>
        <v>0</v>
      </c>
      <c r="R278" s="10">
        <f>IFERROR(IF(('Loading-truck'!$C$21)="No control",SUMIF(('Loading-truck'!$B$31:$B$48),$J278,('Loading-truck'!$D$31:$D$48))*Impacts!$F$14,IF(('Loading-truck'!$C$21)&lt;&gt;"No control",SUMIF(('Loading-truck'!$B$31:$B$48),$J278,('Loading-truck'!$E$31:$E$48))*Impacts!$F$14,0)),0)</f>
        <v>0</v>
      </c>
      <c r="S278" s="10">
        <f>IFERROR(IF(('Loading-rail'!$C$21)="No control",SUMIF(('Loading-rail'!$B$31:$B$48),$J278,('Loading-rail'!$D$31:$D$48))*Impacts!$F$15,IF(('Loading-rail'!$C$21)&lt;&gt;"No control",SUMIF(('Loading-rail'!$B$31:$B$48),$J278,('Loading-rail'!$E$31:$E$48))*Impacts!$F$15,0)),0)</f>
        <v>0</v>
      </c>
      <c r="T278" s="10">
        <f>IF(Flare!$C$7="",0,(SUMIF(Flare!$B$46:$B$185,$J278,Flare!$E$46:$E$185)*Impacts!$F$16))</f>
        <v>0</v>
      </c>
      <c r="U278" s="10">
        <f>IF(VCU!$C$9="",0,(SUMIF(VCU!$B$51:$B$193,$J278,VCU!$E$51:$E$193)*Impacts!$F$17))</f>
        <v>0</v>
      </c>
      <c r="V278" s="10">
        <f>IF(CAS!$C$7="",0,(SUMIF(CAS!$B$31:$B$167,$J278,CAS!$E$31:$E$167)*Impacts!$F$18))</f>
        <v>0</v>
      </c>
      <c r="W278" s="10">
        <f t="shared" si="46"/>
        <v>0</v>
      </c>
      <c r="AK278" s="10" t="str">
        <f t="array" ref="AK278">IFERROR(INDEX(SelectedSpecies,SMALL(IF(SelectedSpecies=AK$1,ROW(SelectedSpecies)),ROW(279:279)),2),"")</f>
        <v/>
      </c>
      <c r="BE278" s="10"/>
      <c r="BI278" s="10"/>
    </row>
    <row r="279" spans="1:61" ht="21" customHeight="1" x14ac:dyDescent="0.25">
      <c r="A279" s="10"/>
      <c r="B279" s="10"/>
      <c r="E279" s="10"/>
      <c r="G279" s="10"/>
      <c r="I279" s="436" t="s">
        <v>820</v>
      </c>
      <c r="J279" s="26" t="s">
        <v>819</v>
      </c>
      <c r="K279" s="10">
        <v>48</v>
      </c>
      <c r="L279" s="73">
        <f>IF(Tank1!$C$23="No control",(SUMIF(Tank1!$B$32:$B$49,$J279,Tank1!$C$32:$C$49)*Impacts!$F$8),0)</f>
        <v>0</v>
      </c>
      <c r="M279" s="10">
        <f>IF(Tank2!$C$23="No control",(SUMIF(Tank2!$B$32:$B$49,$J279,Tank2!$C$32:$C$49)*Impacts!$F$9),0)</f>
        <v>0</v>
      </c>
      <c r="N279" s="10">
        <f>IF(Tank3!$C$23="No control",(SUMIF(Tank3!$B$32:$B$49,$J279,Tank3!$C$32:$C$49)*Impacts!$F$10),0)</f>
        <v>0</v>
      </c>
      <c r="O279" s="10">
        <f>IF(Tank4!$C$23="No control",(SUMIF(Tank4!$B$32:$B$49,$J279,Tank4!$C$32:$C$49)*Impacts!$F$11),0)</f>
        <v>0</v>
      </c>
      <c r="P279" s="10">
        <f>IF(Tank5!$C$23="No control",(SUMIF(Tank5!$B$32:$B$49,$J279,Tank5!$C$32:$C$49)*Impacts!$F$12),0)</f>
        <v>0</v>
      </c>
      <c r="Q279" s="10">
        <f>IFERROR(IF(('Loading-drum,tote'!$C$21)="No control",SUMIF(('Loading-drum,tote'!$B$31:$B$48),$J279,('Loading-drum,tote'!$D$31:$D$48))*Impacts!$F$13,IF(('Loading-drum,tote'!$C$21)&lt;&gt;"No control",SUMIF(('Loading-drum,tote'!$B$31:$B$48),$J279,('Loading-drum,tote'!$E$31:$E$48))*Impacts!$F$13,0)),0)</f>
        <v>0</v>
      </c>
      <c r="R279" s="10">
        <f>IFERROR(IF(('Loading-truck'!$C$21)="No control",SUMIF(('Loading-truck'!$B$31:$B$48),$J279,('Loading-truck'!$D$31:$D$48))*Impacts!$F$14,IF(('Loading-truck'!$C$21)&lt;&gt;"No control",SUMIF(('Loading-truck'!$B$31:$B$48),$J279,('Loading-truck'!$E$31:$E$48))*Impacts!$F$14,0)),0)</f>
        <v>0</v>
      </c>
      <c r="S279" s="10">
        <f>IFERROR(IF(('Loading-rail'!$C$21)="No control",SUMIF(('Loading-rail'!$B$31:$B$48),$J279,('Loading-rail'!$D$31:$D$48))*Impacts!$F$15,IF(('Loading-rail'!$C$21)&lt;&gt;"No control",SUMIF(('Loading-rail'!$B$31:$B$48),$J279,('Loading-rail'!$E$31:$E$48))*Impacts!$F$15,0)),0)</f>
        <v>0</v>
      </c>
      <c r="T279" s="10">
        <f>IF(Flare!$C$7="",0,(SUMIF(Flare!$B$46:$B$185,$J279,Flare!$E$46:$E$185)*Impacts!$F$16))</f>
        <v>0</v>
      </c>
      <c r="U279" s="10">
        <f>IF(VCU!$C$9="",0,(SUMIF(VCU!$B$51:$B$193,$J279,VCU!$E$51:$E$193)*Impacts!$F$17))</f>
        <v>0</v>
      </c>
      <c r="V279" s="10">
        <f>IF(CAS!$C$7="",0,(SUMIF(CAS!$B$31:$B$167,$J279,CAS!$E$31:$E$167)*Impacts!$F$18))</f>
        <v>0</v>
      </c>
      <c r="W279" s="10">
        <f t="shared" si="46"/>
        <v>0</v>
      </c>
      <c r="AK279" s="10" t="str">
        <f t="array" ref="AK279">IFERROR(INDEX(SelectedSpecies,SMALL(IF(SelectedSpecies=AK$1,ROW(SelectedSpecies)),ROW(280:280)),2),"")</f>
        <v/>
      </c>
      <c r="BE279" s="10"/>
      <c r="BI279" s="10"/>
    </row>
    <row r="280" spans="1:61" ht="21" customHeight="1" x14ac:dyDescent="0.25">
      <c r="A280" s="10"/>
      <c r="B280" s="10"/>
      <c r="E280" s="10"/>
      <c r="G280" s="10"/>
      <c r="I280" s="436" t="s">
        <v>5678</v>
      </c>
      <c r="J280" s="26" t="s">
        <v>5677</v>
      </c>
      <c r="K280" s="10">
        <v>1</v>
      </c>
      <c r="L280" s="73">
        <f>IF(Tank1!$C$23="No control",(SUMIF(Tank1!$B$32:$B$49,$J280,Tank1!$C$32:$C$49)*Impacts!$F$8),0)</f>
        <v>0</v>
      </c>
      <c r="M280" s="10">
        <f>IF(Tank2!$C$23="No control",(SUMIF(Tank2!$B$32:$B$49,$J280,Tank2!$C$32:$C$49)*Impacts!$F$9),0)</f>
        <v>0</v>
      </c>
      <c r="N280" s="10">
        <f>IF(Tank3!$C$23="No control",(SUMIF(Tank3!$B$32:$B$49,$J280,Tank3!$C$32:$C$49)*Impacts!$F$10),0)</f>
        <v>0</v>
      </c>
      <c r="O280" s="10">
        <f>IF(Tank4!$C$23="No control",(SUMIF(Tank4!$B$32:$B$49,$J280,Tank4!$C$32:$C$49)*Impacts!$F$11),0)</f>
        <v>0</v>
      </c>
      <c r="P280" s="10">
        <f>IF(Tank5!$C$23="No control",(SUMIF(Tank5!$B$32:$B$49,$J280,Tank5!$C$32:$C$49)*Impacts!$F$12),0)</f>
        <v>0</v>
      </c>
      <c r="Q280" s="10">
        <f>IFERROR(IF(('Loading-drum,tote'!$C$21)="No control",SUMIF(('Loading-drum,tote'!$B$31:$B$48),$J280,('Loading-drum,tote'!$D$31:$D$48))*Impacts!$F$13,IF(('Loading-drum,tote'!$C$21)&lt;&gt;"No control",SUMIF(('Loading-drum,tote'!$B$31:$B$48),$J280,('Loading-drum,tote'!$E$31:$E$48))*Impacts!$F$13,0)),0)</f>
        <v>0</v>
      </c>
      <c r="R280" s="10">
        <f>IFERROR(IF(('Loading-truck'!$C$21)="No control",SUMIF(('Loading-truck'!$B$31:$B$48),$J280,('Loading-truck'!$D$31:$D$48))*Impacts!$F$14,IF(('Loading-truck'!$C$21)&lt;&gt;"No control",SUMIF(('Loading-truck'!$B$31:$B$48),$J280,('Loading-truck'!$E$31:$E$48))*Impacts!$F$14,0)),0)</f>
        <v>0</v>
      </c>
      <c r="S280" s="10">
        <f>IFERROR(IF(('Loading-rail'!$C$21)="No control",SUMIF(('Loading-rail'!$B$31:$B$48),$J280,('Loading-rail'!$D$31:$D$48))*Impacts!$F$15,IF(('Loading-rail'!$C$21)&lt;&gt;"No control",SUMIF(('Loading-rail'!$B$31:$B$48),$J280,('Loading-rail'!$E$31:$E$48))*Impacts!$F$15,0)),0)</f>
        <v>0</v>
      </c>
      <c r="T280" s="10">
        <f>IF(Flare!$C$7="",0,(SUMIF(Flare!$B$46:$B$185,$J280,Flare!$E$46:$E$185)*Impacts!$F$16))</f>
        <v>0</v>
      </c>
      <c r="U280" s="10">
        <f>IF(VCU!$C$9="",0,(SUMIF(VCU!$B$51:$B$193,$J280,VCU!$E$51:$E$193)*Impacts!$F$17))</f>
        <v>0</v>
      </c>
      <c r="V280" s="10">
        <f>IF(CAS!$C$7="",0,(SUMIF(CAS!$B$31:$B$167,$J280,CAS!$E$31:$E$167)*Impacts!$F$18))</f>
        <v>0</v>
      </c>
      <c r="W280" s="10">
        <f t="shared" si="46"/>
        <v>0</v>
      </c>
      <c r="AK280" s="10" t="str">
        <f t="array" ref="AK280">IFERROR(INDEX(SelectedSpecies,SMALL(IF(SelectedSpecies=AK$1,ROW(SelectedSpecies)),ROW(281:281)),2),"")</f>
        <v/>
      </c>
      <c r="BE280" s="10"/>
      <c r="BI280" s="10"/>
    </row>
    <row r="281" spans="1:61" ht="21" customHeight="1" x14ac:dyDescent="0.25">
      <c r="A281" s="10"/>
      <c r="B281" s="10"/>
      <c r="E281" s="10"/>
      <c r="G281" s="10"/>
      <c r="I281" s="436" t="s">
        <v>3615</v>
      </c>
      <c r="J281" s="26" t="s">
        <v>3614</v>
      </c>
      <c r="K281" s="10">
        <v>7.4</v>
      </c>
      <c r="L281" s="73">
        <f>IF(Tank1!$C$23="No control",(SUMIF(Tank1!$B$32:$B$49,$J281,Tank1!$C$32:$C$49)*Impacts!$F$8),0)</f>
        <v>0</v>
      </c>
      <c r="M281" s="10">
        <f>IF(Tank2!$C$23="No control",(SUMIF(Tank2!$B$32:$B$49,$J281,Tank2!$C$32:$C$49)*Impacts!$F$9),0)</f>
        <v>0</v>
      </c>
      <c r="N281" s="10">
        <f>IF(Tank3!$C$23="No control",(SUMIF(Tank3!$B$32:$B$49,$J281,Tank3!$C$32:$C$49)*Impacts!$F$10),0)</f>
        <v>0</v>
      </c>
      <c r="O281" s="10">
        <f>IF(Tank4!$C$23="No control",(SUMIF(Tank4!$B$32:$B$49,$J281,Tank4!$C$32:$C$49)*Impacts!$F$11),0)</f>
        <v>0</v>
      </c>
      <c r="P281" s="10">
        <f>IF(Tank5!$C$23="No control",(SUMIF(Tank5!$B$32:$B$49,$J281,Tank5!$C$32:$C$49)*Impacts!$F$12),0)</f>
        <v>0</v>
      </c>
      <c r="Q281" s="10">
        <f>IFERROR(IF(('Loading-drum,tote'!$C$21)="No control",SUMIF(('Loading-drum,tote'!$B$31:$B$48),$J281,('Loading-drum,tote'!$D$31:$D$48))*Impacts!$F$13,IF(('Loading-drum,tote'!$C$21)&lt;&gt;"No control",SUMIF(('Loading-drum,tote'!$B$31:$B$48),$J281,('Loading-drum,tote'!$E$31:$E$48))*Impacts!$F$13,0)),0)</f>
        <v>0</v>
      </c>
      <c r="R281" s="10">
        <f>IFERROR(IF(('Loading-truck'!$C$21)="No control",SUMIF(('Loading-truck'!$B$31:$B$48),$J281,('Loading-truck'!$D$31:$D$48))*Impacts!$F$14,IF(('Loading-truck'!$C$21)&lt;&gt;"No control",SUMIF(('Loading-truck'!$B$31:$B$48),$J281,('Loading-truck'!$E$31:$E$48))*Impacts!$F$14,0)),0)</f>
        <v>0</v>
      </c>
      <c r="S281" s="10">
        <f>IFERROR(IF(('Loading-rail'!$C$21)="No control",SUMIF(('Loading-rail'!$B$31:$B$48),$J281,('Loading-rail'!$D$31:$D$48))*Impacts!$F$15,IF(('Loading-rail'!$C$21)&lt;&gt;"No control",SUMIF(('Loading-rail'!$B$31:$B$48),$J281,('Loading-rail'!$E$31:$E$48))*Impacts!$F$15,0)),0)</f>
        <v>0</v>
      </c>
      <c r="T281" s="10">
        <f>IF(Flare!$C$7="",0,(SUMIF(Flare!$B$46:$B$185,$J281,Flare!$E$46:$E$185)*Impacts!$F$16))</f>
        <v>0</v>
      </c>
      <c r="U281" s="10">
        <f>IF(VCU!$C$9="",0,(SUMIF(VCU!$B$51:$B$193,$J281,VCU!$E$51:$E$193)*Impacts!$F$17))</f>
        <v>0</v>
      </c>
      <c r="V281" s="10">
        <f>IF(CAS!$C$7="",0,(SUMIF(CAS!$B$31:$B$167,$J281,CAS!$E$31:$E$167)*Impacts!$F$18))</f>
        <v>0</v>
      </c>
      <c r="W281" s="10">
        <f t="shared" si="46"/>
        <v>0</v>
      </c>
      <c r="AK281" s="10" t="str">
        <f t="array" ref="AK281">IFERROR(INDEX(SelectedSpecies,SMALL(IF(SelectedSpecies=AK$1,ROW(SelectedSpecies)),ROW(282:282)),2),"")</f>
        <v/>
      </c>
      <c r="BE281" s="10"/>
      <c r="BI281" s="10"/>
    </row>
    <row r="282" spans="1:61" ht="21" customHeight="1" x14ac:dyDescent="0.25">
      <c r="A282" s="10"/>
      <c r="B282" s="10"/>
      <c r="E282" s="10"/>
      <c r="G282" s="10"/>
      <c r="I282" s="436" t="s">
        <v>8252</v>
      </c>
      <c r="J282" s="26" t="s">
        <v>8251</v>
      </c>
      <c r="K282" s="10">
        <v>5.000000000000001E-3</v>
      </c>
      <c r="L282" s="73">
        <f>IF(Tank1!$C$23="No control",(SUMIF(Tank1!$B$32:$B$49,$J282,Tank1!$C$32:$C$49)*Impacts!$F$8),0)</f>
        <v>0</v>
      </c>
      <c r="M282" s="10">
        <f>IF(Tank2!$C$23="No control",(SUMIF(Tank2!$B$32:$B$49,$J282,Tank2!$C$32:$C$49)*Impacts!$F$9),0)</f>
        <v>0</v>
      </c>
      <c r="N282" s="10">
        <f>IF(Tank3!$C$23="No control",(SUMIF(Tank3!$B$32:$B$49,$J282,Tank3!$C$32:$C$49)*Impacts!$F$10),0)</f>
        <v>0</v>
      </c>
      <c r="O282" s="10">
        <f>IF(Tank4!$C$23="No control",(SUMIF(Tank4!$B$32:$B$49,$J282,Tank4!$C$32:$C$49)*Impacts!$F$11),0)</f>
        <v>0</v>
      </c>
      <c r="P282" s="10">
        <f>IF(Tank5!$C$23="No control",(SUMIF(Tank5!$B$32:$B$49,$J282,Tank5!$C$32:$C$49)*Impacts!$F$12),0)</f>
        <v>0</v>
      </c>
      <c r="Q282" s="10">
        <f>IFERROR(IF(('Loading-drum,tote'!$C$21)="No control",SUMIF(('Loading-drum,tote'!$B$31:$B$48),$J282,('Loading-drum,tote'!$D$31:$D$48))*Impacts!$F$13,IF(('Loading-drum,tote'!$C$21)&lt;&gt;"No control",SUMIF(('Loading-drum,tote'!$B$31:$B$48),$J282,('Loading-drum,tote'!$E$31:$E$48))*Impacts!$F$13,0)),0)</f>
        <v>0</v>
      </c>
      <c r="R282" s="10">
        <f>IFERROR(IF(('Loading-truck'!$C$21)="No control",SUMIF(('Loading-truck'!$B$31:$B$48),$J282,('Loading-truck'!$D$31:$D$48))*Impacts!$F$14,IF(('Loading-truck'!$C$21)&lt;&gt;"No control",SUMIF(('Loading-truck'!$B$31:$B$48),$J282,('Loading-truck'!$E$31:$E$48))*Impacts!$F$14,0)),0)</f>
        <v>0</v>
      </c>
      <c r="S282" s="10">
        <f>IFERROR(IF(('Loading-rail'!$C$21)="No control",SUMIF(('Loading-rail'!$B$31:$B$48),$J282,('Loading-rail'!$D$31:$D$48))*Impacts!$F$15,IF(('Loading-rail'!$C$21)&lt;&gt;"No control",SUMIF(('Loading-rail'!$B$31:$B$48),$J282,('Loading-rail'!$E$31:$E$48))*Impacts!$F$15,0)),0)</f>
        <v>0</v>
      </c>
      <c r="T282" s="10">
        <f>IF(Flare!$C$7="",0,(SUMIF(Flare!$B$46:$B$185,$J282,Flare!$E$46:$E$185)*Impacts!$F$16))</f>
        <v>0</v>
      </c>
      <c r="U282" s="10">
        <f>IF(VCU!$C$9="",0,(SUMIF(VCU!$B$51:$B$193,$J282,VCU!$E$51:$E$193)*Impacts!$F$17))</f>
        <v>0</v>
      </c>
      <c r="V282" s="10">
        <f>IF(CAS!$C$7="",0,(SUMIF(CAS!$B$31:$B$167,$J282,CAS!$E$31:$E$167)*Impacts!$F$18))</f>
        <v>0</v>
      </c>
      <c r="W282" s="10">
        <f t="shared" si="46"/>
        <v>0</v>
      </c>
      <c r="AK282" s="10" t="str">
        <f t="array" ref="AK282">IFERROR(INDEX(SelectedSpecies,SMALL(IF(SelectedSpecies=AK$1,ROW(SelectedSpecies)),ROW(283:283)),2),"")</f>
        <v/>
      </c>
      <c r="BE282" s="10"/>
      <c r="BI282" s="10"/>
    </row>
    <row r="283" spans="1:61" ht="21" customHeight="1" x14ac:dyDescent="0.25">
      <c r="A283" s="10"/>
      <c r="B283" s="10"/>
      <c r="E283" s="10"/>
      <c r="G283" s="10"/>
      <c r="I283" s="436" t="s">
        <v>2067</v>
      </c>
      <c r="J283" s="26" t="s">
        <v>2066</v>
      </c>
      <c r="K283" s="10">
        <v>15</v>
      </c>
      <c r="L283" s="73">
        <f>IF(Tank1!$C$23="No control",(SUMIF(Tank1!$B$32:$B$49,$J283,Tank1!$C$32:$C$49)*Impacts!$F$8),0)</f>
        <v>0</v>
      </c>
      <c r="M283" s="10">
        <f>IF(Tank2!$C$23="No control",(SUMIF(Tank2!$B$32:$B$49,$J283,Tank2!$C$32:$C$49)*Impacts!$F$9),0)</f>
        <v>0</v>
      </c>
      <c r="N283" s="10">
        <f>IF(Tank3!$C$23="No control",(SUMIF(Tank3!$B$32:$B$49,$J283,Tank3!$C$32:$C$49)*Impacts!$F$10),0)</f>
        <v>0</v>
      </c>
      <c r="O283" s="10">
        <f>IF(Tank4!$C$23="No control",(SUMIF(Tank4!$B$32:$B$49,$J283,Tank4!$C$32:$C$49)*Impacts!$F$11),0)</f>
        <v>0</v>
      </c>
      <c r="P283" s="10">
        <f>IF(Tank5!$C$23="No control",(SUMIF(Tank5!$B$32:$B$49,$J283,Tank5!$C$32:$C$49)*Impacts!$F$12),0)</f>
        <v>0</v>
      </c>
      <c r="Q283" s="10">
        <f>IFERROR(IF(('Loading-drum,tote'!$C$21)="No control",SUMIF(('Loading-drum,tote'!$B$31:$B$48),$J283,('Loading-drum,tote'!$D$31:$D$48))*Impacts!$F$13,IF(('Loading-drum,tote'!$C$21)&lt;&gt;"No control",SUMIF(('Loading-drum,tote'!$B$31:$B$48),$J283,('Loading-drum,tote'!$E$31:$E$48))*Impacts!$F$13,0)),0)</f>
        <v>0</v>
      </c>
      <c r="R283" s="10">
        <f>IFERROR(IF(('Loading-truck'!$C$21)="No control",SUMIF(('Loading-truck'!$B$31:$B$48),$J283,('Loading-truck'!$D$31:$D$48))*Impacts!$F$14,IF(('Loading-truck'!$C$21)&lt;&gt;"No control",SUMIF(('Loading-truck'!$B$31:$B$48),$J283,('Loading-truck'!$E$31:$E$48))*Impacts!$F$14,0)),0)</f>
        <v>0</v>
      </c>
      <c r="S283" s="10">
        <f>IFERROR(IF(('Loading-rail'!$C$21)="No control",SUMIF(('Loading-rail'!$B$31:$B$48),$J283,('Loading-rail'!$D$31:$D$48))*Impacts!$F$15,IF(('Loading-rail'!$C$21)&lt;&gt;"No control",SUMIF(('Loading-rail'!$B$31:$B$48),$J283,('Loading-rail'!$E$31:$E$48))*Impacts!$F$15,0)),0)</f>
        <v>0</v>
      </c>
      <c r="T283" s="10">
        <f>IF(Flare!$C$7="",0,(SUMIF(Flare!$B$46:$B$185,$J283,Flare!$E$46:$E$185)*Impacts!$F$16))</f>
        <v>0</v>
      </c>
      <c r="U283" s="10">
        <f>IF(VCU!$C$9="",0,(SUMIF(VCU!$B$51:$B$193,$J283,VCU!$E$51:$E$193)*Impacts!$F$17))</f>
        <v>0</v>
      </c>
      <c r="V283" s="10">
        <f>IF(CAS!$C$7="",0,(SUMIF(CAS!$B$31:$B$167,$J283,CAS!$E$31:$E$167)*Impacts!$F$18))</f>
        <v>0</v>
      </c>
      <c r="W283" s="10">
        <f t="shared" si="46"/>
        <v>0</v>
      </c>
      <c r="AK283" s="10" t="str">
        <f t="array" ref="AK283">IFERROR(INDEX(SelectedSpecies,SMALL(IF(SelectedSpecies=AK$1,ROW(SelectedSpecies)),ROW(284:284)),2),"")</f>
        <v/>
      </c>
      <c r="BE283" s="10"/>
      <c r="BI283" s="10"/>
    </row>
    <row r="284" spans="1:61" ht="21" customHeight="1" x14ac:dyDescent="0.25">
      <c r="A284" s="10"/>
      <c r="B284" s="10"/>
      <c r="E284" s="10"/>
      <c r="G284" s="10"/>
      <c r="I284" s="436" t="s">
        <v>2297</v>
      </c>
      <c r="J284" s="26" t="s">
        <v>2296</v>
      </c>
      <c r="K284" s="10">
        <v>12</v>
      </c>
      <c r="L284" s="73">
        <f>IF(Tank1!$C$23="No control",(SUMIF(Tank1!$B$32:$B$49,$J284,Tank1!$C$32:$C$49)*Impacts!$F$8),0)</f>
        <v>0</v>
      </c>
      <c r="M284" s="10">
        <f>IF(Tank2!$C$23="No control",(SUMIF(Tank2!$B$32:$B$49,$J284,Tank2!$C$32:$C$49)*Impacts!$F$9),0)</f>
        <v>0</v>
      </c>
      <c r="N284" s="10">
        <f>IF(Tank3!$C$23="No control",(SUMIF(Tank3!$B$32:$B$49,$J284,Tank3!$C$32:$C$49)*Impacts!$F$10),0)</f>
        <v>0</v>
      </c>
      <c r="O284" s="10">
        <f>IF(Tank4!$C$23="No control",(SUMIF(Tank4!$B$32:$B$49,$J284,Tank4!$C$32:$C$49)*Impacts!$F$11),0)</f>
        <v>0</v>
      </c>
      <c r="P284" s="10">
        <f>IF(Tank5!$C$23="No control",(SUMIF(Tank5!$B$32:$B$49,$J284,Tank5!$C$32:$C$49)*Impacts!$F$12),0)</f>
        <v>0</v>
      </c>
      <c r="Q284" s="10">
        <f>IFERROR(IF(('Loading-drum,tote'!$C$21)="No control",SUMIF(('Loading-drum,tote'!$B$31:$B$48),$J284,('Loading-drum,tote'!$D$31:$D$48))*Impacts!$F$13,IF(('Loading-drum,tote'!$C$21)&lt;&gt;"No control",SUMIF(('Loading-drum,tote'!$B$31:$B$48),$J284,('Loading-drum,tote'!$E$31:$E$48))*Impacts!$F$13,0)),0)</f>
        <v>0</v>
      </c>
      <c r="R284" s="10">
        <f>IFERROR(IF(('Loading-truck'!$C$21)="No control",SUMIF(('Loading-truck'!$B$31:$B$48),$J284,('Loading-truck'!$D$31:$D$48))*Impacts!$F$14,IF(('Loading-truck'!$C$21)&lt;&gt;"No control",SUMIF(('Loading-truck'!$B$31:$B$48),$J284,('Loading-truck'!$E$31:$E$48))*Impacts!$F$14,0)),0)</f>
        <v>0</v>
      </c>
      <c r="S284" s="10">
        <f>IFERROR(IF(('Loading-rail'!$C$21)="No control",SUMIF(('Loading-rail'!$B$31:$B$48),$J284,('Loading-rail'!$D$31:$D$48))*Impacts!$F$15,IF(('Loading-rail'!$C$21)&lt;&gt;"No control",SUMIF(('Loading-rail'!$B$31:$B$48),$J284,('Loading-rail'!$E$31:$E$48))*Impacts!$F$15,0)),0)</f>
        <v>0</v>
      </c>
      <c r="T284" s="10">
        <f>IF(Flare!$C$7="",0,(SUMIF(Flare!$B$46:$B$185,$J284,Flare!$E$46:$E$185)*Impacts!$F$16))</f>
        <v>0</v>
      </c>
      <c r="U284" s="10">
        <f>IF(VCU!$C$9="",0,(SUMIF(VCU!$B$51:$B$193,$J284,VCU!$E$51:$E$193)*Impacts!$F$17))</f>
        <v>0</v>
      </c>
      <c r="V284" s="10">
        <f>IF(CAS!$C$7="",0,(SUMIF(CAS!$B$31:$B$167,$J284,CAS!$E$31:$E$167)*Impacts!$F$18))</f>
        <v>0</v>
      </c>
      <c r="W284" s="10">
        <f t="shared" si="46"/>
        <v>0</v>
      </c>
      <c r="AK284" s="10" t="str">
        <f t="array" ref="AK284">IFERROR(INDEX(SelectedSpecies,SMALL(IF(SelectedSpecies=AK$1,ROW(SelectedSpecies)),ROW(285:285)),2),"")</f>
        <v/>
      </c>
      <c r="BE284" s="10"/>
      <c r="BI284" s="10"/>
    </row>
    <row r="285" spans="1:61" ht="21" customHeight="1" x14ac:dyDescent="0.25">
      <c r="A285" s="10"/>
      <c r="B285" s="10"/>
      <c r="E285" s="10"/>
      <c r="G285" s="10"/>
      <c r="I285" s="436" t="s">
        <v>8346</v>
      </c>
      <c r="J285" s="26" t="s">
        <v>8345</v>
      </c>
      <c r="K285" s="10">
        <v>2E-3</v>
      </c>
      <c r="L285" s="73">
        <f>IF(Tank1!$C$23="No control",(SUMIF(Tank1!$B$32:$B$49,$J285,Tank1!$C$32:$C$49)*Impacts!$F$8),0)</f>
        <v>0</v>
      </c>
      <c r="M285" s="10">
        <f>IF(Tank2!$C$23="No control",(SUMIF(Tank2!$B$32:$B$49,$J285,Tank2!$C$32:$C$49)*Impacts!$F$9),0)</f>
        <v>0</v>
      </c>
      <c r="N285" s="10">
        <f>IF(Tank3!$C$23="No control",(SUMIF(Tank3!$B$32:$B$49,$J285,Tank3!$C$32:$C$49)*Impacts!$F$10),0)</f>
        <v>0</v>
      </c>
      <c r="O285" s="10">
        <f>IF(Tank4!$C$23="No control",(SUMIF(Tank4!$B$32:$B$49,$J285,Tank4!$C$32:$C$49)*Impacts!$F$11),0)</f>
        <v>0</v>
      </c>
      <c r="P285" s="10">
        <f>IF(Tank5!$C$23="No control",(SUMIF(Tank5!$B$32:$B$49,$J285,Tank5!$C$32:$C$49)*Impacts!$F$12),0)</f>
        <v>0</v>
      </c>
      <c r="Q285" s="10">
        <f>IFERROR(IF(('Loading-drum,tote'!$C$21)="No control",SUMIF(('Loading-drum,tote'!$B$31:$B$48),$J285,('Loading-drum,tote'!$D$31:$D$48))*Impacts!$F$13,IF(('Loading-drum,tote'!$C$21)&lt;&gt;"No control",SUMIF(('Loading-drum,tote'!$B$31:$B$48),$J285,('Loading-drum,tote'!$E$31:$E$48))*Impacts!$F$13,0)),0)</f>
        <v>0</v>
      </c>
      <c r="R285" s="10">
        <f>IFERROR(IF(('Loading-truck'!$C$21)="No control",SUMIF(('Loading-truck'!$B$31:$B$48),$J285,('Loading-truck'!$D$31:$D$48))*Impacts!$F$14,IF(('Loading-truck'!$C$21)&lt;&gt;"No control",SUMIF(('Loading-truck'!$B$31:$B$48),$J285,('Loading-truck'!$E$31:$E$48))*Impacts!$F$14,0)),0)</f>
        <v>0</v>
      </c>
      <c r="S285" s="10">
        <f>IFERROR(IF(('Loading-rail'!$C$21)="No control",SUMIF(('Loading-rail'!$B$31:$B$48),$J285,('Loading-rail'!$D$31:$D$48))*Impacts!$F$15,IF(('Loading-rail'!$C$21)&lt;&gt;"No control",SUMIF(('Loading-rail'!$B$31:$B$48),$J285,('Loading-rail'!$E$31:$E$48))*Impacts!$F$15,0)),0)</f>
        <v>0</v>
      </c>
      <c r="T285" s="10">
        <f>IF(Flare!$C$7="",0,(SUMIF(Flare!$B$46:$B$185,$J285,Flare!$E$46:$E$185)*Impacts!$F$16))</f>
        <v>0</v>
      </c>
      <c r="U285" s="10">
        <f>IF(VCU!$C$9="",0,(SUMIF(VCU!$B$51:$B$193,$J285,VCU!$E$51:$E$193)*Impacts!$F$17))</f>
        <v>0</v>
      </c>
      <c r="V285" s="10">
        <f>IF(CAS!$C$7="",0,(SUMIF(CAS!$B$31:$B$167,$J285,CAS!$E$31:$E$167)*Impacts!$F$18))</f>
        <v>0</v>
      </c>
      <c r="W285" s="10">
        <f t="shared" si="46"/>
        <v>0</v>
      </c>
      <c r="AK285" s="10" t="str">
        <f t="array" ref="AK285">IFERROR(INDEX(SelectedSpecies,SMALL(IF(SelectedSpecies=AK$1,ROW(SelectedSpecies)),ROW(286:286)),2),"")</f>
        <v/>
      </c>
      <c r="BE285" s="10"/>
      <c r="BI285" s="10"/>
    </row>
    <row r="286" spans="1:61" ht="21" customHeight="1" x14ac:dyDescent="0.25">
      <c r="A286" s="10"/>
      <c r="B286" s="10"/>
      <c r="E286" s="10"/>
      <c r="G286" s="10"/>
      <c r="I286" s="436" t="s">
        <v>3769</v>
      </c>
      <c r="J286" s="26" t="s">
        <v>3768</v>
      </c>
      <c r="K286" s="10">
        <v>6</v>
      </c>
      <c r="L286" s="73">
        <f>IF(Tank1!$C$23="No control",(SUMIF(Tank1!$B$32:$B$49,$J286,Tank1!$C$32:$C$49)*Impacts!$F$8),0)</f>
        <v>0</v>
      </c>
      <c r="M286" s="10">
        <f>IF(Tank2!$C$23="No control",(SUMIF(Tank2!$B$32:$B$49,$J286,Tank2!$C$32:$C$49)*Impacts!$F$9),0)</f>
        <v>0</v>
      </c>
      <c r="N286" s="10">
        <f>IF(Tank3!$C$23="No control",(SUMIF(Tank3!$B$32:$B$49,$J286,Tank3!$C$32:$C$49)*Impacts!$F$10),0)</f>
        <v>0</v>
      </c>
      <c r="O286" s="10">
        <f>IF(Tank4!$C$23="No control",(SUMIF(Tank4!$B$32:$B$49,$J286,Tank4!$C$32:$C$49)*Impacts!$F$11),0)</f>
        <v>0</v>
      </c>
      <c r="P286" s="10">
        <f>IF(Tank5!$C$23="No control",(SUMIF(Tank5!$B$32:$B$49,$J286,Tank5!$C$32:$C$49)*Impacts!$F$12),0)</f>
        <v>0</v>
      </c>
      <c r="Q286" s="10">
        <f>IFERROR(IF(('Loading-drum,tote'!$C$21)="No control",SUMIF(('Loading-drum,tote'!$B$31:$B$48),$J286,('Loading-drum,tote'!$D$31:$D$48))*Impacts!$F$13,IF(('Loading-drum,tote'!$C$21)&lt;&gt;"No control",SUMIF(('Loading-drum,tote'!$B$31:$B$48),$J286,('Loading-drum,tote'!$E$31:$E$48))*Impacts!$F$13,0)),0)</f>
        <v>0</v>
      </c>
      <c r="R286" s="10">
        <f>IFERROR(IF(('Loading-truck'!$C$21)="No control",SUMIF(('Loading-truck'!$B$31:$B$48),$J286,('Loading-truck'!$D$31:$D$48))*Impacts!$F$14,IF(('Loading-truck'!$C$21)&lt;&gt;"No control",SUMIF(('Loading-truck'!$B$31:$B$48),$J286,('Loading-truck'!$E$31:$E$48))*Impacts!$F$14,0)),0)</f>
        <v>0</v>
      </c>
      <c r="S286" s="10">
        <f>IFERROR(IF(('Loading-rail'!$C$21)="No control",SUMIF(('Loading-rail'!$B$31:$B$48),$J286,('Loading-rail'!$D$31:$D$48))*Impacts!$F$15,IF(('Loading-rail'!$C$21)&lt;&gt;"No control",SUMIF(('Loading-rail'!$B$31:$B$48),$J286,('Loading-rail'!$E$31:$E$48))*Impacts!$F$15,0)),0)</f>
        <v>0</v>
      </c>
      <c r="T286" s="10">
        <f>IF(Flare!$C$7="",0,(SUMIF(Flare!$B$46:$B$185,$J286,Flare!$E$46:$E$185)*Impacts!$F$16))</f>
        <v>0</v>
      </c>
      <c r="U286" s="10">
        <f>IF(VCU!$C$9="",0,(SUMIF(VCU!$B$51:$B$193,$J286,VCU!$E$51:$E$193)*Impacts!$F$17))</f>
        <v>0</v>
      </c>
      <c r="V286" s="10">
        <f>IF(CAS!$C$7="",0,(SUMIF(CAS!$B$31:$B$167,$J286,CAS!$E$31:$E$167)*Impacts!$F$18))</f>
        <v>0</v>
      </c>
      <c r="W286" s="10">
        <f t="shared" si="46"/>
        <v>0</v>
      </c>
      <c r="AK286" s="10" t="str">
        <f t="array" ref="AK286">IFERROR(INDEX(SelectedSpecies,SMALL(IF(SelectedSpecies=AK$1,ROW(SelectedSpecies)),ROW(287:287)),2),"")</f>
        <v/>
      </c>
      <c r="BE286" s="10"/>
      <c r="BI286" s="10"/>
    </row>
    <row r="287" spans="1:61" ht="21" customHeight="1" x14ac:dyDescent="0.25">
      <c r="A287" s="10"/>
      <c r="B287" s="10"/>
      <c r="E287" s="10"/>
      <c r="G287" s="10"/>
      <c r="I287" s="436" t="s">
        <v>632</v>
      </c>
      <c r="J287" s="26" t="s">
        <v>631</v>
      </c>
      <c r="K287" s="10">
        <v>57</v>
      </c>
      <c r="L287" s="73">
        <f>IF(Tank1!$C$23="No control",(SUMIF(Tank1!$B$32:$B$49,$J287,Tank1!$C$32:$C$49)*Impacts!$F$8),0)</f>
        <v>0</v>
      </c>
      <c r="M287" s="10">
        <f>IF(Tank2!$C$23="No control",(SUMIF(Tank2!$B$32:$B$49,$J287,Tank2!$C$32:$C$49)*Impacts!$F$9),0)</f>
        <v>0</v>
      </c>
      <c r="N287" s="10">
        <f>IF(Tank3!$C$23="No control",(SUMIF(Tank3!$B$32:$B$49,$J287,Tank3!$C$32:$C$49)*Impacts!$F$10),0)</f>
        <v>0</v>
      </c>
      <c r="O287" s="10">
        <f>IF(Tank4!$C$23="No control",(SUMIF(Tank4!$B$32:$B$49,$J287,Tank4!$C$32:$C$49)*Impacts!$F$11),0)</f>
        <v>0</v>
      </c>
      <c r="P287" s="10">
        <f>IF(Tank5!$C$23="No control",(SUMIF(Tank5!$B$32:$B$49,$J287,Tank5!$C$32:$C$49)*Impacts!$F$12),0)</f>
        <v>0</v>
      </c>
      <c r="Q287" s="10">
        <f>IFERROR(IF(('Loading-drum,tote'!$C$21)="No control",SUMIF(('Loading-drum,tote'!$B$31:$B$48),$J287,('Loading-drum,tote'!$D$31:$D$48))*Impacts!$F$13,IF(('Loading-drum,tote'!$C$21)&lt;&gt;"No control",SUMIF(('Loading-drum,tote'!$B$31:$B$48),$J287,('Loading-drum,tote'!$E$31:$E$48))*Impacts!$F$13,0)),0)</f>
        <v>0</v>
      </c>
      <c r="R287" s="10">
        <f>IFERROR(IF(('Loading-truck'!$C$21)="No control",SUMIF(('Loading-truck'!$B$31:$B$48),$J287,('Loading-truck'!$D$31:$D$48))*Impacts!$F$14,IF(('Loading-truck'!$C$21)&lt;&gt;"No control",SUMIF(('Loading-truck'!$B$31:$B$48),$J287,('Loading-truck'!$E$31:$E$48))*Impacts!$F$14,0)),0)</f>
        <v>0</v>
      </c>
      <c r="S287" s="10">
        <f>IFERROR(IF(('Loading-rail'!$C$21)="No control",SUMIF(('Loading-rail'!$B$31:$B$48),$J287,('Loading-rail'!$D$31:$D$48))*Impacts!$F$15,IF(('Loading-rail'!$C$21)&lt;&gt;"No control",SUMIF(('Loading-rail'!$B$31:$B$48),$J287,('Loading-rail'!$E$31:$E$48))*Impacts!$F$15,0)),0)</f>
        <v>0</v>
      </c>
      <c r="T287" s="10">
        <f>IF(Flare!$C$7="",0,(SUMIF(Flare!$B$46:$B$185,$J287,Flare!$E$46:$E$185)*Impacts!$F$16))</f>
        <v>0</v>
      </c>
      <c r="U287" s="10">
        <f>IF(VCU!$C$9="",0,(SUMIF(VCU!$B$51:$B$193,$J287,VCU!$E$51:$E$193)*Impacts!$F$17))</f>
        <v>0</v>
      </c>
      <c r="V287" s="10">
        <f>IF(CAS!$C$7="",0,(SUMIF(CAS!$B$31:$B$167,$J287,CAS!$E$31:$E$167)*Impacts!$F$18))</f>
        <v>0</v>
      </c>
      <c r="W287" s="10">
        <f t="shared" si="46"/>
        <v>0</v>
      </c>
      <c r="AK287" s="10" t="str">
        <f t="array" ref="AK287">IFERROR(INDEX(SelectedSpecies,SMALL(IF(SelectedSpecies=AK$1,ROW(SelectedSpecies)),ROW(288:288)),2),"")</f>
        <v/>
      </c>
      <c r="BE287" s="10"/>
      <c r="BI287" s="10"/>
    </row>
    <row r="288" spans="1:61" ht="21" customHeight="1" x14ac:dyDescent="0.25">
      <c r="A288" s="10"/>
      <c r="B288" s="10"/>
      <c r="E288" s="10"/>
      <c r="G288" s="10"/>
      <c r="I288" s="436" t="s">
        <v>634</v>
      </c>
      <c r="J288" s="26" t="s">
        <v>633</v>
      </c>
      <c r="K288" s="10">
        <v>57</v>
      </c>
      <c r="L288" s="73">
        <f>IF(Tank1!$C$23="No control",(SUMIF(Tank1!$B$32:$B$49,$J288,Tank1!$C$32:$C$49)*Impacts!$F$8),0)</f>
        <v>0</v>
      </c>
      <c r="M288" s="10">
        <f>IF(Tank2!$C$23="No control",(SUMIF(Tank2!$B$32:$B$49,$J288,Tank2!$C$32:$C$49)*Impacts!$F$9),0)</f>
        <v>0</v>
      </c>
      <c r="N288" s="10">
        <f>IF(Tank3!$C$23="No control",(SUMIF(Tank3!$B$32:$B$49,$J288,Tank3!$C$32:$C$49)*Impacts!$F$10),0)</f>
        <v>0</v>
      </c>
      <c r="O288" s="10">
        <f>IF(Tank4!$C$23="No control",(SUMIF(Tank4!$B$32:$B$49,$J288,Tank4!$C$32:$C$49)*Impacts!$F$11),0)</f>
        <v>0</v>
      </c>
      <c r="P288" s="10">
        <f>IF(Tank5!$C$23="No control",(SUMIF(Tank5!$B$32:$B$49,$J288,Tank5!$C$32:$C$49)*Impacts!$F$12),0)</f>
        <v>0</v>
      </c>
      <c r="Q288" s="10">
        <f>IFERROR(IF(('Loading-drum,tote'!$C$21)="No control",SUMIF(('Loading-drum,tote'!$B$31:$B$48),$J288,('Loading-drum,tote'!$D$31:$D$48))*Impacts!$F$13,IF(('Loading-drum,tote'!$C$21)&lt;&gt;"No control",SUMIF(('Loading-drum,tote'!$B$31:$B$48),$J288,('Loading-drum,tote'!$E$31:$E$48))*Impacts!$F$13,0)),0)</f>
        <v>0</v>
      </c>
      <c r="R288" s="10">
        <f>IFERROR(IF(('Loading-truck'!$C$21)="No control",SUMIF(('Loading-truck'!$B$31:$B$48),$J288,('Loading-truck'!$D$31:$D$48))*Impacts!$F$14,IF(('Loading-truck'!$C$21)&lt;&gt;"No control",SUMIF(('Loading-truck'!$B$31:$B$48),$J288,('Loading-truck'!$E$31:$E$48))*Impacts!$F$14,0)),0)</f>
        <v>0</v>
      </c>
      <c r="S288" s="10">
        <f>IFERROR(IF(('Loading-rail'!$C$21)="No control",SUMIF(('Loading-rail'!$B$31:$B$48),$J288,('Loading-rail'!$D$31:$D$48))*Impacts!$F$15,IF(('Loading-rail'!$C$21)&lt;&gt;"No control",SUMIF(('Loading-rail'!$B$31:$B$48),$J288,('Loading-rail'!$E$31:$E$48))*Impacts!$F$15,0)),0)</f>
        <v>0</v>
      </c>
      <c r="T288" s="10">
        <f>IF(Flare!$C$7="",0,(SUMIF(Flare!$B$46:$B$185,$J288,Flare!$E$46:$E$185)*Impacts!$F$16))</f>
        <v>0</v>
      </c>
      <c r="U288" s="10">
        <f>IF(VCU!$C$9="",0,(SUMIF(VCU!$B$51:$B$193,$J288,VCU!$E$51:$E$193)*Impacts!$F$17))</f>
        <v>0</v>
      </c>
      <c r="V288" s="10">
        <f>IF(CAS!$C$7="",0,(SUMIF(CAS!$B$31:$B$167,$J288,CAS!$E$31:$E$167)*Impacts!$F$18))</f>
        <v>0</v>
      </c>
      <c r="W288" s="10">
        <f t="shared" si="46"/>
        <v>0</v>
      </c>
      <c r="AK288" s="10" t="str">
        <f t="array" ref="AK288">IFERROR(INDEX(SelectedSpecies,SMALL(IF(SelectedSpecies=AK$1,ROW(SelectedSpecies)),ROW(289:289)),2),"")</f>
        <v/>
      </c>
      <c r="BE288" s="10"/>
      <c r="BI288" s="10"/>
    </row>
    <row r="289" spans="1:61" ht="21" customHeight="1" x14ac:dyDescent="0.25">
      <c r="A289" s="10"/>
      <c r="B289" s="10"/>
      <c r="E289" s="10"/>
      <c r="G289" s="10"/>
      <c r="I289" s="436" t="s">
        <v>2299</v>
      </c>
      <c r="J289" s="26" t="s">
        <v>2298</v>
      </c>
      <c r="K289" s="10">
        <v>12</v>
      </c>
      <c r="L289" s="73">
        <f>IF(Tank1!$C$23="No control",(SUMIF(Tank1!$B$32:$B$49,$J289,Tank1!$C$32:$C$49)*Impacts!$F$8),0)</f>
        <v>0</v>
      </c>
      <c r="M289" s="10">
        <f>IF(Tank2!$C$23="No control",(SUMIF(Tank2!$B$32:$B$49,$J289,Tank2!$C$32:$C$49)*Impacts!$F$9),0)</f>
        <v>0</v>
      </c>
      <c r="N289" s="10">
        <f>IF(Tank3!$C$23="No control",(SUMIF(Tank3!$B$32:$B$49,$J289,Tank3!$C$32:$C$49)*Impacts!$F$10),0)</f>
        <v>0</v>
      </c>
      <c r="O289" s="10">
        <f>IF(Tank4!$C$23="No control",(SUMIF(Tank4!$B$32:$B$49,$J289,Tank4!$C$32:$C$49)*Impacts!$F$11),0)</f>
        <v>0</v>
      </c>
      <c r="P289" s="10">
        <f>IF(Tank5!$C$23="No control",(SUMIF(Tank5!$B$32:$B$49,$J289,Tank5!$C$32:$C$49)*Impacts!$F$12),0)</f>
        <v>0</v>
      </c>
      <c r="Q289" s="10">
        <f>IFERROR(IF(('Loading-drum,tote'!$C$21)="No control",SUMIF(('Loading-drum,tote'!$B$31:$B$48),$J289,('Loading-drum,tote'!$D$31:$D$48))*Impacts!$F$13,IF(('Loading-drum,tote'!$C$21)&lt;&gt;"No control",SUMIF(('Loading-drum,tote'!$B$31:$B$48),$J289,('Loading-drum,tote'!$E$31:$E$48))*Impacts!$F$13,0)),0)</f>
        <v>0</v>
      </c>
      <c r="R289" s="10">
        <f>IFERROR(IF(('Loading-truck'!$C$21)="No control",SUMIF(('Loading-truck'!$B$31:$B$48),$J289,('Loading-truck'!$D$31:$D$48))*Impacts!$F$14,IF(('Loading-truck'!$C$21)&lt;&gt;"No control",SUMIF(('Loading-truck'!$B$31:$B$48),$J289,('Loading-truck'!$E$31:$E$48))*Impacts!$F$14,0)),0)</f>
        <v>0</v>
      </c>
      <c r="S289" s="10">
        <f>IFERROR(IF(('Loading-rail'!$C$21)="No control",SUMIF(('Loading-rail'!$B$31:$B$48),$J289,('Loading-rail'!$D$31:$D$48))*Impacts!$F$15,IF(('Loading-rail'!$C$21)&lt;&gt;"No control",SUMIF(('Loading-rail'!$B$31:$B$48),$J289,('Loading-rail'!$E$31:$E$48))*Impacts!$F$15,0)),0)</f>
        <v>0</v>
      </c>
      <c r="T289" s="10">
        <f>IF(Flare!$C$7="",0,(SUMIF(Flare!$B$46:$B$185,$J289,Flare!$E$46:$E$185)*Impacts!$F$16))</f>
        <v>0</v>
      </c>
      <c r="U289" s="10">
        <f>IF(VCU!$C$9="",0,(SUMIF(VCU!$B$51:$B$193,$J289,VCU!$E$51:$E$193)*Impacts!$F$17))</f>
        <v>0</v>
      </c>
      <c r="V289" s="10">
        <f>IF(CAS!$C$7="",0,(SUMIF(CAS!$B$31:$B$167,$J289,CAS!$E$31:$E$167)*Impacts!$F$18))</f>
        <v>0</v>
      </c>
      <c r="W289" s="10">
        <f t="shared" si="46"/>
        <v>0</v>
      </c>
      <c r="AK289" s="10" t="str">
        <f t="array" ref="AK289">IFERROR(INDEX(SelectedSpecies,SMALL(IF(SelectedSpecies=AK$1,ROW(SelectedSpecies)),ROW(290:290)),2),"")</f>
        <v/>
      </c>
      <c r="BE289" s="10"/>
      <c r="BI289" s="10"/>
    </row>
    <row r="290" spans="1:61" ht="21" customHeight="1" x14ac:dyDescent="0.25">
      <c r="A290" s="10"/>
      <c r="B290" s="10"/>
      <c r="E290" s="10"/>
      <c r="G290" s="10"/>
      <c r="I290" s="436" t="s">
        <v>1650</v>
      </c>
      <c r="J290" s="26" t="s">
        <v>1649</v>
      </c>
      <c r="K290" s="10">
        <v>24.5</v>
      </c>
      <c r="L290" s="73">
        <f>IF(Tank1!$C$23="No control",(SUMIF(Tank1!$B$32:$B$49,$J290,Tank1!$C$32:$C$49)*Impacts!$F$8),0)</f>
        <v>0</v>
      </c>
      <c r="M290" s="10">
        <f>IF(Tank2!$C$23="No control",(SUMIF(Tank2!$B$32:$B$49,$J290,Tank2!$C$32:$C$49)*Impacts!$F$9),0)</f>
        <v>0</v>
      </c>
      <c r="N290" s="10">
        <f>IF(Tank3!$C$23="No control",(SUMIF(Tank3!$B$32:$B$49,$J290,Tank3!$C$32:$C$49)*Impacts!$F$10),0)</f>
        <v>0</v>
      </c>
      <c r="O290" s="10">
        <f>IF(Tank4!$C$23="No control",(SUMIF(Tank4!$B$32:$B$49,$J290,Tank4!$C$32:$C$49)*Impacts!$F$11),0)</f>
        <v>0</v>
      </c>
      <c r="P290" s="10">
        <f>IF(Tank5!$C$23="No control",(SUMIF(Tank5!$B$32:$B$49,$J290,Tank5!$C$32:$C$49)*Impacts!$F$12),0)</f>
        <v>0</v>
      </c>
      <c r="Q290" s="10">
        <f>IFERROR(IF(('Loading-drum,tote'!$C$21)="No control",SUMIF(('Loading-drum,tote'!$B$31:$B$48),$J290,('Loading-drum,tote'!$D$31:$D$48))*Impacts!$F$13,IF(('Loading-drum,tote'!$C$21)&lt;&gt;"No control",SUMIF(('Loading-drum,tote'!$B$31:$B$48),$J290,('Loading-drum,tote'!$E$31:$E$48))*Impacts!$F$13,0)),0)</f>
        <v>0</v>
      </c>
      <c r="R290" s="10">
        <f>IFERROR(IF(('Loading-truck'!$C$21)="No control",SUMIF(('Loading-truck'!$B$31:$B$48),$J290,('Loading-truck'!$D$31:$D$48))*Impacts!$F$14,IF(('Loading-truck'!$C$21)&lt;&gt;"No control",SUMIF(('Loading-truck'!$B$31:$B$48),$J290,('Loading-truck'!$E$31:$E$48))*Impacts!$F$14,0)),0)</f>
        <v>0</v>
      </c>
      <c r="S290" s="10">
        <f>IFERROR(IF(('Loading-rail'!$C$21)="No control",SUMIF(('Loading-rail'!$B$31:$B$48),$J290,('Loading-rail'!$D$31:$D$48))*Impacts!$F$15,IF(('Loading-rail'!$C$21)&lt;&gt;"No control",SUMIF(('Loading-rail'!$B$31:$B$48),$J290,('Loading-rail'!$E$31:$E$48))*Impacts!$F$15,0)),0)</f>
        <v>0</v>
      </c>
      <c r="T290" s="10">
        <f>IF(Flare!$C$7="",0,(SUMIF(Flare!$B$46:$B$185,$J290,Flare!$E$46:$E$185)*Impacts!$F$16))</f>
        <v>0</v>
      </c>
      <c r="U290" s="10">
        <f>IF(VCU!$C$9="",0,(SUMIF(VCU!$B$51:$B$193,$J290,VCU!$E$51:$E$193)*Impacts!$F$17))</f>
        <v>0</v>
      </c>
      <c r="V290" s="10">
        <f>IF(CAS!$C$7="",0,(SUMIF(CAS!$B$31:$B$167,$J290,CAS!$E$31:$E$167)*Impacts!$F$18))</f>
        <v>0</v>
      </c>
      <c r="W290" s="10">
        <f t="shared" si="46"/>
        <v>0</v>
      </c>
      <c r="AK290" s="10" t="str">
        <f t="array" ref="AK290">IFERROR(INDEX(SelectedSpecies,SMALL(IF(SelectedSpecies=AK$1,ROW(SelectedSpecies)),ROW(291:291)),2),"")</f>
        <v/>
      </c>
      <c r="BE290" s="10"/>
      <c r="BI290" s="10"/>
    </row>
    <row r="291" spans="1:61" ht="21" customHeight="1" x14ac:dyDescent="0.25">
      <c r="A291" s="10"/>
      <c r="B291" s="10"/>
      <c r="E291" s="10"/>
      <c r="G291" s="10"/>
      <c r="I291" s="436" t="s">
        <v>1652</v>
      </c>
      <c r="J291" s="26" t="s">
        <v>1651</v>
      </c>
      <c r="K291" s="10">
        <v>24.5</v>
      </c>
      <c r="L291" s="73">
        <f>IF(Tank1!$C$23="No control",(SUMIF(Tank1!$B$32:$B$49,$J291,Tank1!$C$32:$C$49)*Impacts!$F$8),0)</f>
        <v>0</v>
      </c>
      <c r="M291" s="10">
        <f>IF(Tank2!$C$23="No control",(SUMIF(Tank2!$B$32:$B$49,$J291,Tank2!$C$32:$C$49)*Impacts!$F$9),0)</f>
        <v>0</v>
      </c>
      <c r="N291" s="10">
        <f>IF(Tank3!$C$23="No control",(SUMIF(Tank3!$B$32:$B$49,$J291,Tank3!$C$32:$C$49)*Impacts!$F$10),0)</f>
        <v>0</v>
      </c>
      <c r="O291" s="10">
        <f>IF(Tank4!$C$23="No control",(SUMIF(Tank4!$B$32:$B$49,$J291,Tank4!$C$32:$C$49)*Impacts!$F$11),0)</f>
        <v>0</v>
      </c>
      <c r="P291" s="10">
        <f>IF(Tank5!$C$23="No control",(SUMIF(Tank5!$B$32:$B$49,$J291,Tank5!$C$32:$C$49)*Impacts!$F$12),0)</f>
        <v>0</v>
      </c>
      <c r="Q291" s="10">
        <f>IFERROR(IF(('Loading-drum,tote'!$C$21)="No control",SUMIF(('Loading-drum,tote'!$B$31:$B$48),$J291,('Loading-drum,tote'!$D$31:$D$48))*Impacts!$F$13,IF(('Loading-drum,tote'!$C$21)&lt;&gt;"No control",SUMIF(('Loading-drum,tote'!$B$31:$B$48),$J291,('Loading-drum,tote'!$E$31:$E$48))*Impacts!$F$13,0)),0)</f>
        <v>0</v>
      </c>
      <c r="R291" s="10">
        <f>IFERROR(IF(('Loading-truck'!$C$21)="No control",SUMIF(('Loading-truck'!$B$31:$B$48),$J291,('Loading-truck'!$D$31:$D$48))*Impacts!$F$14,IF(('Loading-truck'!$C$21)&lt;&gt;"No control",SUMIF(('Loading-truck'!$B$31:$B$48),$J291,('Loading-truck'!$E$31:$E$48))*Impacts!$F$14,0)),0)</f>
        <v>0</v>
      </c>
      <c r="S291" s="10">
        <f>IFERROR(IF(('Loading-rail'!$C$21)="No control",SUMIF(('Loading-rail'!$B$31:$B$48),$J291,('Loading-rail'!$D$31:$D$48))*Impacts!$F$15,IF(('Loading-rail'!$C$21)&lt;&gt;"No control",SUMIF(('Loading-rail'!$B$31:$B$48),$J291,('Loading-rail'!$E$31:$E$48))*Impacts!$F$15,0)),0)</f>
        <v>0</v>
      </c>
      <c r="T291" s="10">
        <f>IF(Flare!$C$7="",0,(SUMIF(Flare!$B$46:$B$185,$J291,Flare!$E$46:$E$185)*Impacts!$F$16))</f>
        <v>0</v>
      </c>
      <c r="U291" s="10">
        <f>IF(VCU!$C$9="",0,(SUMIF(VCU!$B$51:$B$193,$J291,VCU!$E$51:$E$193)*Impacts!$F$17))</f>
        <v>0</v>
      </c>
      <c r="V291" s="10">
        <f>IF(CAS!$C$7="",0,(SUMIF(CAS!$B$31:$B$167,$J291,CAS!$E$31:$E$167)*Impacts!$F$18))</f>
        <v>0</v>
      </c>
      <c r="W291" s="10">
        <f t="shared" si="46"/>
        <v>0</v>
      </c>
      <c r="AK291" s="10" t="str">
        <f t="array" ref="AK291">IFERROR(INDEX(SelectedSpecies,SMALL(IF(SelectedSpecies=AK$1,ROW(SelectedSpecies)),ROW(292:292)),2),"")</f>
        <v/>
      </c>
      <c r="BE291" s="10"/>
      <c r="BI291" s="10"/>
    </row>
    <row r="292" spans="1:61" ht="21" customHeight="1" x14ac:dyDescent="0.25">
      <c r="A292" s="10"/>
      <c r="B292" s="10"/>
      <c r="E292" s="10"/>
      <c r="G292" s="10"/>
      <c r="I292" s="436" t="s">
        <v>1654</v>
      </c>
      <c r="J292" s="26" t="s">
        <v>1653</v>
      </c>
      <c r="K292" s="10">
        <v>24.5</v>
      </c>
      <c r="L292" s="73">
        <f>IF(Tank1!$C$23="No control",(SUMIF(Tank1!$B$32:$B$49,$J292,Tank1!$C$32:$C$49)*Impacts!$F$8),0)</f>
        <v>0</v>
      </c>
      <c r="M292" s="10">
        <f>IF(Tank2!$C$23="No control",(SUMIF(Tank2!$B$32:$B$49,$J292,Tank2!$C$32:$C$49)*Impacts!$F$9),0)</f>
        <v>0</v>
      </c>
      <c r="N292" s="10">
        <f>IF(Tank3!$C$23="No control",(SUMIF(Tank3!$B$32:$B$49,$J292,Tank3!$C$32:$C$49)*Impacts!$F$10),0)</f>
        <v>0</v>
      </c>
      <c r="O292" s="10">
        <f>IF(Tank4!$C$23="No control",(SUMIF(Tank4!$B$32:$B$49,$J292,Tank4!$C$32:$C$49)*Impacts!$F$11),0)</f>
        <v>0</v>
      </c>
      <c r="P292" s="10">
        <f>IF(Tank5!$C$23="No control",(SUMIF(Tank5!$B$32:$B$49,$J292,Tank5!$C$32:$C$49)*Impacts!$F$12),0)</f>
        <v>0</v>
      </c>
      <c r="Q292" s="10">
        <f>IFERROR(IF(('Loading-drum,tote'!$C$21)="No control",SUMIF(('Loading-drum,tote'!$B$31:$B$48),$J292,('Loading-drum,tote'!$D$31:$D$48))*Impacts!$F$13,IF(('Loading-drum,tote'!$C$21)&lt;&gt;"No control",SUMIF(('Loading-drum,tote'!$B$31:$B$48),$J292,('Loading-drum,tote'!$E$31:$E$48))*Impacts!$F$13,0)),0)</f>
        <v>0</v>
      </c>
      <c r="R292" s="10">
        <f>IFERROR(IF(('Loading-truck'!$C$21)="No control",SUMIF(('Loading-truck'!$B$31:$B$48),$J292,('Loading-truck'!$D$31:$D$48))*Impacts!$F$14,IF(('Loading-truck'!$C$21)&lt;&gt;"No control",SUMIF(('Loading-truck'!$B$31:$B$48),$J292,('Loading-truck'!$E$31:$E$48))*Impacts!$F$14,0)),0)</f>
        <v>0</v>
      </c>
      <c r="S292" s="10">
        <f>IFERROR(IF(('Loading-rail'!$C$21)="No control",SUMIF(('Loading-rail'!$B$31:$B$48),$J292,('Loading-rail'!$D$31:$D$48))*Impacts!$F$15,IF(('Loading-rail'!$C$21)&lt;&gt;"No control",SUMIF(('Loading-rail'!$B$31:$B$48),$J292,('Loading-rail'!$E$31:$E$48))*Impacts!$F$15,0)),0)</f>
        <v>0</v>
      </c>
      <c r="T292" s="10">
        <f>IF(Flare!$C$7="",0,(SUMIF(Flare!$B$46:$B$185,$J292,Flare!$E$46:$E$185)*Impacts!$F$16))</f>
        <v>0</v>
      </c>
      <c r="U292" s="10">
        <f>IF(VCU!$C$9="",0,(SUMIF(VCU!$B$51:$B$193,$J292,VCU!$E$51:$E$193)*Impacts!$F$17))</f>
        <v>0</v>
      </c>
      <c r="V292" s="10">
        <f>IF(CAS!$C$7="",0,(SUMIF(CAS!$B$31:$B$167,$J292,CAS!$E$31:$E$167)*Impacts!$F$18))</f>
        <v>0</v>
      </c>
      <c r="W292" s="10">
        <f t="shared" si="46"/>
        <v>0</v>
      </c>
      <c r="AK292" s="10" t="str">
        <f t="array" ref="AK292">IFERROR(INDEX(SelectedSpecies,SMALL(IF(SelectedSpecies=AK$1,ROW(SelectedSpecies)),ROW(293:293)),2),"")</f>
        <v/>
      </c>
      <c r="BE292" s="10"/>
      <c r="BI292" s="10"/>
    </row>
    <row r="293" spans="1:61" ht="21" customHeight="1" x14ac:dyDescent="0.25">
      <c r="A293" s="10"/>
      <c r="B293" s="10"/>
      <c r="E293" s="10"/>
      <c r="G293" s="10"/>
      <c r="I293" s="436" t="s">
        <v>2681</v>
      </c>
      <c r="J293" s="26" t="s">
        <v>2680</v>
      </c>
      <c r="K293" s="10">
        <v>10</v>
      </c>
      <c r="L293" s="73">
        <f>IF(Tank1!$C$23="No control",(SUMIF(Tank1!$B$32:$B$49,$J293,Tank1!$C$32:$C$49)*Impacts!$F$8),0)</f>
        <v>0</v>
      </c>
      <c r="M293" s="10">
        <f>IF(Tank2!$C$23="No control",(SUMIF(Tank2!$B$32:$B$49,$J293,Tank2!$C$32:$C$49)*Impacts!$F$9),0)</f>
        <v>0</v>
      </c>
      <c r="N293" s="10">
        <f>IF(Tank3!$C$23="No control",(SUMIF(Tank3!$B$32:$B$49,$J293,Tank3!$C$32:$C$49)*Impacts!$F$10),0)</f>
        <v>0</v>
      </c>
      <c r="O293" s="10">
        <f>IF(Tank4!$C$23="No control",(SUMIF(Tank4!$B$32:$B$49,$J293,Tank4!$C$32:$C$49)*Impacts!$F$11),0)</f>
        <v>0</v>
      </c>
      <c r="P293" s="10">
        <f>IF(Tank5!$C$23="No control",(SUMIF(Tank5!$B$32:$B$49,$J293,Tank5!$C$32:$C$49)*Impacts!$F$12),0)</f>
        <v>0</v>
      </c>
      <c r="Q293" s="10">
        <f>IFERROR(IF(('Loading-drum,tote'!$C$21)="No control",SUMIF(('Loading-drum,tote'!$B$31:$B$48),$J293,('Loading-drum,tote'!$D$31:$D$48))*Impacts!$F$13,IF(('Loading-drum,tote'!$C$21)&lt;&gt;"No control",SUMIF(('Loading-drum,tote'!$B$31:$B$48),$J293,('Loading-drum,tote'!$E$31:$E$48))*Impacts!$F$13,0)),0)</f>
        <v>0</v>
      </c>
      <c r="R293" s="10">
        <f>IFERROR(IF(('Loading-truck'!$C$21)="No control",SUMIF(('Loading-truck'!$B$31:$B$48),$J293,('Loading-truck'!$D$31:$D$48))*Impacts!$F$14,IF(('Loading-truck'!$C$21)&lt;&gt;"No control",SUMIF(('Loading-truck'!$B$31:$B$48),$J293,('Loading-truck'!$E$31:$E$48))*Impacts!$F$14,0)),0)</f>
        <v>0</v>
      </c>
      <c r="S293" s="10">
        <f>IFERROR(IF(('Loading-rail'!$C$21)="No control",SUMIF(('Loading-rail'!$B$31:$B$48),$J293,('Loading-rail'!$D$31:$D$48))*Impacts!$F$15,IF(('Loading-rail'!$C$21)&lt;&gt;"No control",SUMIF(('Loading-rail'!$B$31:$B$48),$J293,('Loading-rail'!$E$31:$E$48))*Impacts!$F$15,0)),0)</f>
        <v>0</v>
      </c>
      <c r="T293" s="10">
        <f>IF(Flare!$C$7="",0,(SUMIF(Flare!$B$46:$B$185,$J293,Flare!$E$46:$E$185)*Impacts!$F$16))</f>
        <v>0</v>
      </c>
      <c r="U293" s="10">
        <f>IF(VCU!$C$9="",0,(SUMIF(VCU!$B$51:$B$193,$J293,VCU!$E$51:$E$193)*Impacts!$F$17))</f>
        <v>0</v>
      </c>
      <c r="V293" s="10">
        <f>IF(CAS!$C$7="",0,(SUMIF(CAS!$B$31:$B$167,$J293,CAS!$E$31:$E$167)*Impacts!$F$18))</f>
        <v>0</v>
      </c>
      <c r="W293" s="10">
        <f t="shared" si="46"/>
        <v>0</v>
      </c>
      <c r="AK293" s="10" t="str">
        <f t="array" ref="AK293">IFERROR(INDEX(SelectedSpecies,SMALL(IF(SelectedSpecies=AK$1,ROW(SelectedSpecies)),ROW(294:294)),2),"")</f>
        <v/>
      </c>
      <c r="BE293" s="10"/>
      <c r="BI293" s="10"/>
    </row>
    <row r="294" spans="1:61" ht="21" customHeight="1" x14ac:dyDescent="0.25">
      <c r="A294" s="10"/>
      <c r="B294" s="10"/>
      <c r="E294" s="10"/>
      <c r="G294" s="10"/>
      <c r="I294" s="436" t="s">
        <v>8254</v>
      </c>
      <c r="J294" s="26" t="s">
        <v>8253</v>
      </c>
      <c r="K294" s="10">
        <v>5.000000000000001E-3</v>
      </c>
      <c r="L294" s="73">
        <f>IF(Tank1!$C$23="No control",(SUMIF(Tank1!$B$32:$B$49,$J294,Tank1!$C$32:$C$49)*Impacts!$F$8),0)</f>
        <v>0</v>
      </c>
      <c r="M294" s="10">
        <f>IF(Tank2!$C$23="No control",(SUMIF(Tank2!$B$32:$B$49,$J294,Tank2!$C$32:$C$49)*Impacts!$F$9),0)</f>
        <v>0</v>
      </c>
      <c r="N294" s="10">
        <f>IF(Tank3!$C$23="No control",(SUMIF(Tank3!$B$32:$B$49,$J294,Tank3!$C$32:$C$49)*Impacts!$F$10),0)</f>
        <v>0</v>
      </c>
      <c r="O294" s="10">
        <f>IF(Tank4!$C$23="No control",(SUMIF(Tank4!$B$32:$B$49,$J294,Tank4!$C$32:$C$49)*Impacts!$F$11),0)</f>
        <v>0</v>
      </c>
      <c r="P294" s="10">
        <f>IF(Tank5!$C$23="No control",(SUMIF(Tank5!$B$32:$B$49,$J294,Tank5!$C$32:$C$49)*Impacts!$F$12),0)</f>
        <v>0</v>
      </c>
      <c r="Q294" s="10">
        <f>IFERROR(IF(('Loading-drum,tote'!$C$21)="No control",SUMIF(('Loading-drum,tote'!$B$31:$B$48),$J294,('Loading-drum,tote'!$D$31:$D$48))*Impacts!$F$13,IF(('Loading-drum,tote'!$C$21)&lt;&gt;"No control",SUMIF(('Loading-drum,tote'!$B$31:$B$48),$J294,('Loading-drum,tote'!$E$31:$E$48))*Impacts!$F$13,0)),0)</f>
        <v>0</v>
      </c>
      <c r="R294" s="10">
        <f>IFERROR(IF(('Loading-truck'!$C$21)="No control",SUMIF(('Loading-truck'!$B$31:$B$48),$J294,('Loading-truck'!$D$31:$D$48))*Impacts!$F$14,IF(('Loading-truck'!$C$21)&lt;&gt;"No control",SUMIF(('Loading-truck'!$B$31:$B$48),$J294,('Loading-truck'!$E$31:$E$48))*Impacts!$F$14,0)),0)</f>
        <v>0</v>
      </c>
      <c r="S294" s="10">
        <f>IFERROR(IF(('Loading-rail'!$C$21)="No control",SUMIF(('Loading-rail'!$B$31:$B$48),$J294,('Loading-rail'!$D$31:$D$48))*Impacts!$F$15,IF(('Loading-rail'!$C$21)&lt;&gt;"No control",SUMIF(('Loading-rail'!$B$31:$B$48),$J294,('Loading-rail'!$E$31:$E$48))*Impacts!$F$15,0)),0)</f>
        <v>0</v>
      </c>
      <c r="T294" s="10">
        <f>IF(Flare!$C$7="",0,(SUMIF(Flare!$B$46:$B$185,$J294,Flare!$E$46:$E$185)*Impacts!$F$16))</f>
        <v>0</v>
      </c>
      <c r="U294" s="10">
        <f>IF(VCU!$C$9="",0,(SUMIF(VCU!$B$51:$B$193,$J294,VCU!$E$51:$E$193)*Impacts!$F$17))</f>
        <v>0</v>
      </c>
      <c r="V294" s="10">
        <f>IF(CAS!$C$7="",0,(SUMIF(CAS!$B$31:$B$167,$J294,CAS!$E$31:$E$167)*Impacts!$F$18))</f>
        <v>0</v>
      </c>
      <c r="W294" s="10">
        <f t="shared" si="46"/>
        <v>0</v>
      </c>
      <c r="AK294" s="10" t="str">
        <f t="array" ref="AK294">IFERROR(INDEX(SelectedSpecies,SMALL(IF(SelectedSpecies=AK$1,ROW(SelectedSpecies)),ROW(295:295)),2),"")</f>
        <v/>
      </c>
      <c r="BE294" s="10"/>
      <c r="BI294" s="10"/>
    </row>
    <row r="295" spans="1:61" ht="21" customHeight="1" x14ac:dyDescent="0.25">
      <c r="A295" s="10"/>
      <c r="B295" s="10"/>
      <c r="E295" s="10"/>
      <c r="G295" s="10"/>
      <c r="I295" s="436" t="s">
        <v>2683</v>
      </c>
      <c r="J295" s="26" t="s">
        <v>2682</v>
      </c>
      <c r="K295" s="10">
        <v>10</v>
      </c>
      <c r="L295" s="73">
        <f>IF(Tank1!$C$23="No control",(SUMIF(Tank1!$B$32:$B$49,$J295,Tank1!$C$32:$C$49)*Impacts!$F$8),0)</f>
        <v>0</v>
      </c>
      <c r="M295" s="10">
        <f>IF(Tank2!$C$23="No control",(SUMIF(Tank2!$B$32:$B$49,$J295,Tank2!$C$32:$C$49)*Impacts!$F$9),0)</f>
        <v>0</v>
      </c>
      <c r="N295" s="10">
        <f>IF(Tank3!$C$23="No control",(SUMIF(Tank3!$B$32:$B$49,$J295,Tank3!$C$32:$C$49)*Impacts!$F$10),0)</f>
        <v>0</v>
      </c>
      <c r="O295" s="10">
        <f>IF(Tank4!$C$23="No control",(SUMIF(Tank4!$B$32:$B$49,$J295,Tank4!$C$32:$C$49)*Impacts!$F$11),0)</f>
        <v>0</v>
      </c>
      <c r="P295" s="10">
        <f>IF(Tank5!$C$23="No control",(SUMIF(Tank5!$B$32:$B$49,$J295,Tank5!$C$32:$C$49)*Impacts!$F$12),0)</f>
        <v>0</v>
      </c>
      <c r="Q295" s="10">
        <f>IFERROR(IF(('Loading-drum,tote'!$C$21)="No control",SUMIF(('Loading-drum,tote'!$B$31:$B$48),$J295,('Loading-drum,tote'!$D$31:$D$48))*Impacts!$F$13,IF(('Loading-drum,tote'!$C$21)&lt;&gt;"No control",SUMIF(('Loading-drum,tote'!$B$31:$B$48),$J295,('Loading-drum,tote'!$E$31:$E$48))*Impacts!$F$13,0)),0)</f>
        <v>0</v>
      </c>
      <c r="R295" s="10">
        <f>IFERROR(IF(('Loading-truck'!$C$21)="No control",SUMIF(('Loading-truck'!$B$31:$B$48),$J295,('Loading-truck'!$D$31:$D$48))*Impacts!$F$14,IF(('Loading-truck'!$C$21)&lt;&gt;"No control",SUMIF(('Loading-truck'!$B$31:$B$48),$J295,('Loading-truck'!$E$31:$E$48))*Impacts!$F$14,0)),0)</f>
        <v>0</v>
      </c>
      <c r="S295" s="10">
        <f>IFERROR(IF(('Loading-rail'!$C$21)="No control",SUMIF(('Loading-rail'!$B$31:$B$48),$J295,('Loading-rail'!$D$31:$D$48))*Impacts!$F$15,IF(('Loading-rail'!$C$21)&lt;&gt;"No control",SUMIF(('Loading-rail'!$B$31:$B$48),$J295,('Loading-rail'!$E$31:$E$48))*Impacts!$F$15,0)),0)</f>
        <v>0</v>
      </c>
      <c r="T295" s="10">
        <f>IF(Flare!$C$7="",0,(SUMIF(Flare!$B$46:$B$185,$J295,Flare!$E$46:$E$185)*Impacts!$F$16))</f>
        <v>0</v>
      </c>
      <c r="U295" s="10">
        <f>IF(VCU!$C$9="",0,(SUMIF(VCU!$B$51:$B$193,$J295,VCU!$E$51:$E$193)*Impacts!$F$17))</f>
        <v>0</v>
      </c>
      <c r="V295" s="10">
        <f>IF(CAS!$C$7="",0,(SUMIF(CAS!$B$31:$B$167,$J295,CAS!$E$31:$E$167)*Impacts!$F$18))</f>
        <v>0</v>
      </c>
      <c r="W295" s="10">
        <f t="shared" si="46"/>
        <v>0</v>
      </c>
      <c r="AK295" s="10" t="str">
        <f t="array" ref="AK295">IFERROR(INDEX(SelectedSpecies,SMALL(IF(SelectedSpecies=AK$1,ROW(SelectedSpecies)),ROW(296:296)),2),"")</f>
        <v/>
      </c>
      <c r="BE295" s="10"/>
      <c r="BI295" s="10"/>
    </row>
    <row r="296" spans="1:61" ht="21" customHeight="1" x14ac:dyDescent="0.25">
      <c r="A296" s="10"/>
      <c r="B296" s="10"/>
      <c r="E296" s="10"/>
      <c r="G296" s="10"/>
      <c r="I296" s="436" t="s">
        <v>5680</v>
      </c>
      <c r="J296" s="26" t="s">
        <v>5679</v>
      </c>
      <c r="K296" s="10">
        <v>1</v>
      </c>
      <c r="L296" s="73">
        <f>IF(Tank1!$C$23="No control",(SUMIF(Tank1!$B$32:$B$49,$J296,Tank1!$C$32:$C$49)*Impacts!$F$8),0)</f>
        <v>0</v>
      </c>
      <c r="M296" s="10">
        <f>IF(Tank2!$C$23="No control",(SUMIF(Tank2!$B$32:$B$49,$J296,Tank2!$C$32:$C$49)*Impacts!$F$9),0)</f>
        <v>0</v>
      </c>
      <c r="N296" s="10">
        <f>IF(Tank3!$C$23="No control",(SUMIF(Tank3!$B$32:$B$49,$J296,Tank3!$C$32:$C$49)*Impacts!$F$10),0)</f>
        <v>0</v>
      </c>
      <c r="O296" s="10">
        <f>IF(Tank4!$C$23="No control",(SUMIF(Tank4!$B$32:$B$49,$J296,Tank4!$C$32:$C$49)*Impacts!$F$11),0)</f>
        <v>0</v>
      </c>
      <c r="P296" s="10">
        <f>IF(Tank5!$C$23="No control",(SUMIF(Tank5!$B$32:$B$49,$J296,Tank5!$C$32:$C$49)*Impacts!$F$12),0)</f>
        <v>0</v>
      </c>
      <c r="Q296" s="10">
        <f>IFERROR(IF(('Loading-drum,tote'!$C$21)="No control",SUMIF(('Loading-drum,tote'!$B$31:$B$48),$J296,('Loading-drum,tote'!$D$31:$D$48))*Impacts!$F$13,IF(('Loading-drum,tote'!$C$21)&lt;&gt;"No control",SUMIF(('Loading-drum,tote'!$B$31:$B$48),$J296,('Loading-drum,tote'!$E$31:$E$48))*Impacts!$F$13,0)),0)</f>
        <v>0</v>
      </c>
      <c r="R296" s="10">
        <f>IFERROR(IF(('Loading-truck'!$C$21)="No control",SUMIF(('Loading-truck'!$B$31:$B$48),$J296,('Loading-truck'!$D$31:$D$48))*Impacts!$F$14,IF(('Loading-truck'!$C$21)&lt;&gt;"No control",SUMIF(('Loading-truck'!$B$31:$B$48),$J296,('Loading-truck'!$E$31:$E$48))*Impacts!$F$14,0)),0)</f>
        <v>0</v>
      </c>
      <c r="S296" s="10">
        <f>IFERROR(IF(('Loading-rail'!$C$21)="No control",SUMIF(('Loading-rail'!$B$31:$B$48),$J296,('Loading-rail'!$D$31:$D$48))*Impacts!$F$15,IF(('Loading-rail'!$C$21)&lt;&gt;"No control",SUMIF(('Loading-rail'!$B$31:$B$48),$J296,('Loading-rail'!$E$31:$E$48))*Impacts!$F$15,0)),0)</f>
        <v>0</v>
      </c>
      <c r="T296" s="10">
        <f>IF(Flare!$C$7="",0,(SUMIF(Flare!$B$46:$B$185,$J296,Flare!$E$46:$E$185)*Impacts!$F$16))</f>
        <v>0</v>
      </c>
      <c r="U296" s="10">
        <f>IF(VCU!$C$9="",0,(SUMIF(VCU!$B$51:$B$193,$J296,VCU!$E$51:$E$193)*Impacts!$F$17))</f>
        <v>0</v>
      </c>
      <c r="V296" s="10">
        <f>IF(CAS!$C$7="",0,(SUMIF(CAS!$B$31:$B$167,$J296,CAS!$E$31:$E$167)*Impacts!$F$18))</f>
        <v>0</v>
      </c>
      <c r="W296" s="10">
        <f t="shared" si="46"/>
        <v>0</v>
      </c>
      <c r="AK296" s="10" t="str">
        <f t="array" ref="AK296">IFERROR(INDEX(SelectedSpecies,SMALL(IF(SelectedSpecies=AK$1,ROW(SelectedSpecies)),ROW(297:297)),2),"")</f>
        <v/>
      </c>
      <c r="BE296" s="10"/>
      <c r="BI296" s="10"/>
    </row>
    <row r="297" spans="1:61" ht="21" customHeight="1" x14ac:dyDescent="0.25">
      <c r="A297" s="10"/>
      <c r="B297" s="10"/>
      <c r="E297" s="10"/>
      <c r="G297" s="10"/>
      <c r="I297" s="436" t="s">
        <v>5389</v>
      </c>
      <c r="J297" s="26" t="s">
        <v>5388</v>
      </c>
      <c r="K297" s="10">
        <v>1.4000000000000001</v>
      </c>
      <c r="L297" s="73">
        <f>IF(Tank1!$C$23="No control",(SUMIF(Tank1!$B$32:$B$49,$J297,Tank1!$C$32:$C$49)*Impacts!$F$8),0)</f>
        <v>0</v>
      </c>
      <c r="M297" s="10">
        <f>IF(Tank2!$C$23="No control",(SUMIF(Tank2!$B$32:$B$49,$J297,Tank2!$C$32:$C$49)*Impacts!$F$9),0)</f>
        <v>0</v>
      </c>
      <c r="N297" s="10">
        <f>IF(Tank3!$C$23="No control",(SUMIF(Tank3!$B$32:$B$49,$J297,Tank3!$C$32:$C$49)*Impacts!$F$10),0)</f>
        <v>0</v>
      </c>
      <c r="O297" s="10">
        <f>IF(Tank4!$C$23="No control",(SUMIF(Tank4!$B$32:$B$49,$J297,Tank4!$C$32:$C$49)*Impacts!$F$11),0)</f>
        <v>0</v>
      </c>
      <c r="P297" s="10">
        <f>IF(Tank5!$C$23="No control",(SUMIF(Tank5!$B$32:$B$49,$J297,Tank5!$C$32:$C$49)*Impacts!$F$12),0)</f>
        <v>0</v>
      </c>
      <c r="Q297" s="10">
        <f>IFERROR(IF(('Loading-drum,tote'!$C$21)="No control",SUMIF(('Loading-drum,tote'!$B$31:$B$48),$J297,('Loading-drum,tote'!$D$31:$D$48))*Impacts!$F$13,IF(('Loading-drum,tote'!$C$21)&lt;&gt;"No control",SUMIF(('Loading-drum,tote'!$B$31:$B$48),$J297,('Loading-drum,tote'!$E$31:$E$48))*Impacts!$F$13,0)),0)</f>
        <v>0</v>
      </c>
      <c r="R297" s="10">
        <f>IFERROR(IF(('Loading-truck'!$C$21)="No control",SUMIF(('Loading-truck'!$B$31:$B$48),$J297,('Loading-truck'!$D$31:$D$48))*Impacts!$F$14,IF(('Loading-truck'!$C$21)&lt;&gt;"No control",SUMIF(('Loading-truck'!$B$31:$B$48),$J297,('Loading-truck'!$E$31:$E$48))*Impacts!$F$14,0)),0)</f>
        <v>0</v>
      </c>
      <c r="S297" s="10">
        <f>IFERROR(IF(('Loading-rail'!$C$21)="No control",SUMIF(('Loading-rail'!$B$31:$B$48),$J297,('Loading-rail'!$D$31:$D$48))*Impacts!$F$15,IF(('Loading-rail'!$C$21)&lt;&gt;"No control",SUMIF(('Loading-rail'!$B$31:$B$48),$J297,('Loading-rail'!$E$31:$E$48))*Impacts!$F$15,0)),0)</f>
        <v>0</v>
      </c>
      <c r="T297" s="10">
        <f>IF(Flare!$C$7="",0,(SUMIF(Flare!$B$46:$B$185,$J297,Flare!$E$46:$E$185)*Impacts!$F$16))</f>
        <v>0</v>
      </c>
      <c r="U297" s="10">
        <f>IF(VCU!$C$9="",0,(SUMIF(VCU!$B$51:$B$193,$J297,VCU!$E$51:$E$193)*Impacts!$F$17))</f>
        <v>0</v>
      </c>
      <c r="V297" s="10">
        <f>IF(CAS!$C$7="",0,(SUMIF(CAS!$B$31:$B$167,$J297,CAS!$E$31:$E$167)*Impacts!$F$18))</f>
        <v>0</v>
      </c>
      <c r="W297" s="10">
        <f t="shared" si="46"/>
        <v>0</v>
      </c>
      <c r="AK297" s="10" t="str">
        <f t="array" ref="AK297">IFERROR(INDEX(SelectedSpecies,SMALL(IF(SelectedSpecies=AK$1,ROW(SelectedSpecies)),ROW(298:298)),2),"")</f>
        <v/>
      </c>
      <c r="BE297" s="10"/>
      <c r="BI297" s="10"/>
    </row>
    <row r="298" spans="1:61" ht="21" customHeight="1" x14ac:dyDescent="0.25">
      <c r="A298" s="10"/>
      <c r="B298" s="10"/>
      <c r="E298" s="10"/>
      <c r="G298" s="10"/>
      <c r="I298" s="436" t="s">
        <v>7988</v>
      </c>
      <c r="J298" s="26" t="s">
        <v>7987</v>
      </c>
      <c r="K298" s="10">
        <v>0.03</v>
      </c>
      <c r="L298" s="73">
        <f>IF(Tank1!$C$23="No control",(SUMIF(Tank1!$B$32:$B$49,$J298,Tank1!$C$32:$C$49)*Impacts!$F$8),0)</f>
        <v>0</v>
      </c>
      <c r="M298" s="10">
        <f>IF(Tank2!$C$23="No control",(SUMIF(Tank2!$B$32:$B$49,$J298,Tank2!$C$32:$C$49)*Impacts!$F$9),0)</f>
        <v>0</v>
      </c>
      <c r="N298" s="10">
        <f>IF(Tank3!$C$23="No control",(SUMIF(Tank3!$B$32:$B$49,$J298,Tank3!$C$32:$C$49)*Impacts!$F$10),0)</f>
        <v>0</v>
      </c>
      <c r="O298" s="10">
        <f>IF(Tank4!$C$23="No control",(SUMIF(Tank4!$B$32:$B$49,$J298,Tank4!$C$32:$C$49)*Impacts!$F$11),0)</f>
        <v>0</v>
      </c>
      <c r="P298" s="10">
        <f>IF(Tank5!$C$23="No control",(SUMIF(Tank5!$B$32:$B$49,$J298,Tank5!$C$32:$C$49)*Impacts!$F$12),0)</f>
        <v>0</v>
      </c>
      <c r="Q298" s="10">
        <f>IFERROR(IF(('Loading-drum,tote'!$C$21)="No control",SUMIF(('Loading-drum,tote'!$B$31:$B$48),$J298,('Loading-drum,tote'!$D$31:$D$48))*Impacts!$F$13,IF(('Loading-drum,tote'!$C$21)&lt;&gt;"No control",SUMIF(('Loading-drum,tote'!$B$31:$B$48),$J298,('Loading-drum,tote'!$E$31:$E$48))*Impacts!$F$13,0)),0)</f>
        <v>0</v>
      </c>
      <c r="R298" s="10">
        <f>IFERROR(IF(('Loading-truck'!$C$21)="No control",SUMIF(('Loading-truck'!$B$31:$B$48),$J298,('Loading-truck'!$D$31:$D$48))*Impacts!$F$14,IF(('Loading-truck'!$C$21)&lt;&gt;"No control",SUMIF(('Loading-truck'!$B$31:$B$48),$J298,('Loading-truck'!$E$31:$E$48))*Impacts!$F$14,0)),0)</f>
        <v>0</v>
      </c>
      <c r="S298" s="10">
        <f>IFERROR(IF(('Loading-rail'!$C$21)="No control",SUMIF(('Loading-rail'!$B$31:$B$48),$J298,('Loading-rail'!$D$31:$D$48))*Impacts!$F$15,IF(('Loading-rail'!$C$21)&lt;&gt;"No control",SUMIF(('Loading-rail'!$B$31:$B$48),$J298,('Loading-rail'!$E$31:$E$48))*Impacts!$F$15,0)),0)</f>
        <v>0</v>
      </c>
      <c r="T298" s="10">
        <f>IF(Flare!$C$7="",0,(SUMIF(Flare!$B$46:$B$185,$J298,Flare!$E$46:$E$185)*Impacts!$F$16))</f>
        <v>0</v>
      </c>
      <c r="U298" s="10">
        <f>IF(VCU!$C$9="",0,(SUMIF(VCU!$B$51:$B$193,$J298,VCU!$E$51:$E$193)*Impacts!$F$17))</f>
        <v>0</v>
      </c>
      <c r="V298" s="10">
        <f>IF(CAS!$C$7="",0,(SUMIF(CAS!$B$31:$B$167,$J298,CAS!$E$31:$E$167)*Impacts!$F$18))</f>
        <v>0</v>
      </c>
      <c r="W298" s="10">
        <f t="shared" si="46"/>
        <v>0</v>
      </c>
      <c r="AK298" s="10" t="str">
        <f t="array" ref="AK298">IFERROR(INDEX(SelectedSpecies,SMALL(IF(SelectedSpecies=AK$1,ROW(SelectedSpecies)),ROW(299:299)),2),"")</f>
        <v/>
      </c>
      <c r="BE298" s="10"/>
      <c r="BI298" s="10"/>
    </row>
    <row r="299" spans="1:61" ht="21" customHeight="1" x14ac:dyDescent="0.25">
      <c r="A299" s="10"/>
      <c r="B299" s="10"/>
      <c r="E299" s="10"/>
      <c r="G299" s="10"/>
      <c r="I299" s="436" t="s">
        <v>6718</v>
      </c>
      <c r="J299" s="26" t="s">
        <v>6717</v>
      </c>
      <c r="K299" s="10">
        <v>0.5</v>
      </c>
      <c r="L299" s="73">
        <f>IF(Tank1!$C$23="No control",(SUMIF(Tank1!$B$32:$B$49,$J299,Tank1!$C$32:$C$49)*Impacts!$F$8),0)</f>
        <v>0</v>
      </c>
      <c r="M299" s="10">
        <f>IF(Tank2!$C$23="No control",(SUMIF(Tank2!$B$32:$B$49,$J299,Tank2!$C$32:$C$49)*Impacts!$F$9),0)</f>
        <v>0</v>
      </c>
      <c r="N299" s="10">
        <f>IF(Tank3!$C$23="No control",(SUMIF(Tank3!$B$32:$B$49,$J299,Tank3!$C$32:$C$49)*Impacts!$F$10),0)</f>
        <v>0</v>
      </c>
      <c r="O299" s="10">
        <f>IF(Tank4!$C$23="No control",(SUMIF(Tank4!$B$32:$B$49,$J299,Tank4!$C$32:$C$49)*Impacts!$F$11),0)</f>
        <v>0</v>
      </c>
      <c r="P299" s="10">
        <f>IF(Tank5!$C$23="No control",(SUMIF(Tank5!$B$32:$B$49,$J299,Tank5!$C$32:$C$49)*Impacts!$F$12),0)</f>
        <v>0</v>
      </c>
      <c r="Q299" s="10">
        <f>IFERROR(IF(('Loading-drum,tote'!$C$21)="No control",SUMIF(('Loading-drum,tote'!$B$31:$B$48),$J299,('Loading-drum,tote'!$D$31:$D$48))*Impacts!$F$13,IF(('Loading-drum,tote'!$C$21)&lt;&gt;"No control",SUMIF(('Loading-drum,tote'!$B$31:$B$48),$J299,('Loading-drum,tote'!$E$31:$E$48))*Impacts!$F$13,0)),0)</f>
        <v>0</v>
      </c>
      <c r="R299" s="10">
        <f>IFERROR(IF(('Loading-truck'!$C$21)="No control",SUMIF(('Loading-truck'!$B$31:$B$48),$J299,('Loading-truck'!$D$31:$D$48))*Impacts!$F$14,IF(('Loading-truck'!$C$21)&lt;&gt;"No control",SUMIF(('Loading-truck'!$B$31:$B$48),$J299,('Loading-truck'!$E$31:$E$48))*Impacts!$F$14,0)),0)</f>
        <v>0</v>
      </c>
      <c r="S299" s="10">
        <f>IFERROR(IF(('Loading-rail'!$C$21)="No control",SUMIF(('Loading-rail'!$B$31:$B$48),$J299,('Loading-rail'!$D$31:$D$48))*Impacts!$F$15,IF(('Loading-rail'!$C$21)&lt;&gt;"No control",SUMIF(('Loading-rail'!$B$31:$B$48),$J299,('Loading-rail'!$E$31:$E$48))*Impacts!$F$15,0)),0)</f>
        <v>0</v>
      </c>
      <c r="T299" s="10">
        <f>IF(Flare!$C$7="",0,(SUMIF(Flare!$B$46:$B$185,$J299,Flare!$E$46:$E$185)*Impacts!$F$16))</f>
        <v>0</v>
      </c>
      <c r="U299" s="10">
        <f>IF(VCU!$C$9="",0,(SUMIF(VCU!$B$51:$B$193,$J299,VCU!$E$51:$E$193)*Impacts!$F$17))</f>
        <v>0</v>
      </c>
      <c r="V299" s="10">
        <f>IF(CAS!$C$7="",0,(SUMIF(CAS!$B$31:$B$167,$J299,CAS!$E$31:$E$167)*Impacts!$F$18))</f>
        <v>0</v>
      </c>
      <c r="W299" s="10">
        <f t="shared" si="46"/>
        <v>0</v>
      </c>
      <c r="AK299" s="10" t="str">
        <f t="array" ref="AK299">IFERROR(INDEX(SelectedSpecies,SMALL(IF(SelectedSpecies=AK$1,ROW(SelectedSpecies)),ROW(300:300)),2),"")</f>
        <v/>
      </c>
      <c r="BE299" s="10"/>
      <c r="BI299" s="10"/>
    </row>
    <row r="300" spans="1:61" ht="21" customHeight="1" x14ac:dyDescent="0.25">
      <c r="A300" s="10"/>
      <c r="B300" s="10"/>
      <c r="E300" s="10"/>
      <c r="G300" s="10"/>
      <c r="I300" s="436" t="s">
        <v>5682</v>
      </c>
      <c r="J300" s="26" t="s">
        <v>5681</v>
      </c>
      <c r="K300" s="10">
        <v>1</v>
      </c>
      <c r="L300" s="73">
        <f>IF(Tank1!$C$23="No control",(SUMIF(Tank1!$B$32:$B$49,$J300,Tank1!$C$32:$C$49)*Impacts!$F$8),0)</f>
        <v>0</v>
      </c>
      <c r="M300" s="10">
        <f>IF(Tank2!$C$23="No control",(SUMIF(Tank2!$B$32:$B$49,$J300,Tank2!$C$32:$C$49)*Impacts!$F$9),0)</f>
        <v>0</v>
      </c>
      <c r="N300" s="10">
        <f>IF(Tank3!$C$23="No control",(SUMIF(Tank3!$B$32:$B$49,$J300,Tank3!$C$32:$C$49)*Impacts!$F$10),0)</f>
        <v>0</v>
      </c>
      <c r="O300" s="10">
        <f>IF(Tank4!$C$23="No control",(SUMIF(Tank4!$B$32:$B$49,$J300,Tank4!$C$32:$C$49)*Impacts!$F$11),0)</f>
        <v>0</v>
      </c>
      <c r="P300" s="10">
        <f>IF(Tank5!$C$23="No control",(SUMIF(Tank5!$B$32:$B$49,$J300,Tank5!$C$32:$C$49)*Impacts!$F$12),0)</f>
        <v>0</v>
      </c>
      <c r="Q300" s="10">
        <f>IFERROR(IF(('Loading-drum,tote'!$C$21)="No control",SUMIF(('Loading-drum,tote'!$B$31:$B$48),$J300,('Loading-drum,tote'!$D$31:$D$48))*Impacts!$F$13,IF(('Loading-drum,tote'!$C$21)&lt;&gt;"No control",SUMIF(('Loading-drum,tote'!$B$31:$B$48),$J300,('Loading-drum,tote'!$E$31:$E$48))*Impacts!$F$13,0)),0)</f>
        <v>0</v>
      </c>
      <c r="R300" s="10">
        <f>IFERROR(IF(('Loading-truck'!$C$21)="No control",SUMIF(('Loading-truck'!$B$31:$B$48),$J300,('Loading-truck'!$D$31:$D$48))*Impacts!$F$14,IF(('Loading-truck'!$C$21)&lt;&gt;"No control",SUMIF(('Loading-truck'!$B$31:$B$48),$J300,('Loading-truck'!$E$31:$E$48))*Impacts!$F$14,0)),0)</f>
        <v>0</v>
      </c>
      <c r="S300" s="10">
        <f>IFERROR(IF(('Loading-rail'!$C$21)="No control",SUMIF(('Loading-rail'!$B$31:$B$48),$J300,('Loading-rail'!$D$31:$D$48))*Impacts!$F$15,IF(('Loading-rail'!$C$21)&lt;&gt;"No control",SUMIF(('Loading-rail'!$B$31:$B$48),$J300,('Loading-rail'!$E$31:$E$48))*Impacts!$F$15,0)),0)</f>
        <v>0</v>
      </c>
      <c r="T300" s="10">
        <f>IF(Flare!$C$7="",0,(SUMIF(Flare!$B$46:$B$185,$J300,Flare!$E$46:$E$185)*Impacts!$F$16))</f>
        <v>0</v>
      </c>
      <c r="U300" s="10">
        <f>IF(VCU!$C$9="",0,(SUMIF(VCU!$B$51:$B$193,$J300,VCU!$E$51:$E$193)*Impacts!$F$17))</f>
        <v>0</v>
      </c>
      <c r="V300" s="10">
        <f>IF(CAS!$C$7="",0,(SUMIF(CAS!$B$31:$B$167,$J300,CAS!$E$31:$E$167)*Impacts!$F$18))</f>
        <v>0</v>
      </c>
      <c r="W300" s="10">
        <f t="shared" si="46"/>
        <v>0</v>
      </c>
      <c r="AK300" s="10" t="str">
        <f t="array" ref="AK300">IFERROR(INDEX(SelectedSpecies,SMALL(IF(SelectedSpecies=AK$1,ROW(SelectedSpecies)),ROW(301:301)),2),"")</f>
        <v/>
      </c>
      <c r="BE300" s="10"/>
      <c r="BI300" s="10"/>
    </row>
    <row r="301" spans="1:61" ht="21" customHeight="1" x14ac:dyDescent="0.25">
      <c r="A301" s="10"/>
      <c r="B301" s="10"/>
      <c r="E301" s="10"/>
      <c r="G301" s="10"/>
      <c r="I301" s="436" t="s">
        <v>2235</v>
      </c>
      <c r="J301" s="26" t="s">
        <v>2234</v>
      </c>
      <c r="K301" s="10">
        <v>12.5</v>
      </c>
      <c r="L301" s="73">
        <f>IF(Tank1!$C$23="No control",(SUMIF(Tank1!$B$32:$B$49,$J301,Tank1!$C$32:$C$49)*Impacts!$F$8),0)</f>
        <v>0</v>
      </c>
      <c r="M301" s="10">
        <f>IF(Tank2!$C$23="No control",(SUMIF(Tank2!$B$32:$B$49,$J301,Tank2!$C$32:$C$49)*Impacts!$F$9),0)</f>
        <v>0</v>
      </c>
      <c r="N301" s="10">
        <f>IF(Tank3!$C$23="No control",(SUMIF(Tank3!$B$32:$B$49,$J301,Tank3!$C$32:$C$49)*Impacts!$F$10),0)</f>
        <v>0</v>
      </c>
      <c r="O301" s="10">
        <f>IF(Tank4!$C$23="No control",(SUMIF(Tank4!$B$32:$B$49,$J301,Tank4!$C$32:$C$49)*Impacts!$F$11),0)</f>
        <v>0</v>
      </c>
      <c r="P301" s="10">
        <f>IF(Tank5!$C$23="No control",(SUMIF(Tank5!$B$32:$B$49,$J301,Tank5!$C$32:$C$49)*Impacts!$F$12),0)</f>
        <v>0</v>
      </c>
      <c r="Q301" s="10">
        <f>IFERROR(IF(('Loading-drum,tote'!$C$21)="No control",SUMIF(('Loading-drum,tote'!$B$31:$B$48),$J301,('Loading-drum,tote'!$D$31:$D$48))*Impacts!$F$13,IF(('Loading-drum,tote'!$C$21)&lt;&gt;"No control",SUMIF(('Loading-drum,tote'!$B$31:$B$48),$J301,('Loading-drum,tote'!$E$31:$E$48))*Impacts!$F$13,0)),0)</f>
        <v>0</v>
      </c>
      <c r="R301" s="10">
        <f>IFERROR(IF(('Loading-truck'!$C$21)="No control",SUMIF(('Loading-truck'!$B$31:$B$48),$J301,('Loading-truck'!$D$31:$D$48))*Impacts!$F$14,IF(('Loading-truck'!$C$21)&lt;&gt;"No control",SUMIF(('Loading-truck'!$B$31:$B$48),$J301,('Loading-truck'!$E$31:$E$48))*Impacts!$F$14,0)),0)</f>
        <v>0</v>
      </c>
      <c r="S301" s="10">
        <f>IFERROR(IF(('Loading-rail'!$C$21)="No control",SUMIF(('Loading-rail'!$B$31:$B$48),$J301,('Loading-rail'!$D$31:$D$48))*Impacts!$F$15,IF(('Loading-rail'!$C$21)&lt;&gt;"No control",SUMIF(('Loading-rail'!$B$31:$B$48),$J301,('Loading-rail'!$E$31:$E$48))*Impacts!$F$15,0)),0)</f>
        <v>0</v>
      </c>
      <c r="T301" s="10">
        <f>IF(Flare!$C$7="",0,(SUMIF(Flare!$B$46:$B$185,$J301,Flare!$E$46:$E$185)*Impacts!$F$16))</f>
        <v>0</v>
      </c>
      <c r="U301" s="10">
        <f>IF(VCU!$C$9="",0,(SUMIF(VCU!$B$51:$B$193,$J301,VCU!$E$51:$E$193)*Impacts!$F$17))</f>
        <v>0</v>
      </c>
      <c r="V301" s="10">
        <f>IF(CAS!$C$7="",0,(SUMIF(CAS!$B$31:$B$167,$J301,CAS!$E$31:$E$167)*Impacts!$F$18))</f>
        <v>0</v>
      </c>
      <c r="W301" s="10">
        <f t="shared" si="46"/>
        <v>0</v>
      </c>
      <c r="AK301" s="10" t="str">
        <f t="array" ref="AK301">IFERROR(INDEX(SelectedSpecies,SMALL(IF(SelectedSpecies=AK$1,ROW(SelectedSpecies)),ROW(302:302)),2),"")</f>
        <v/>
      </c>
      <c r="BE301" s="10"/>
      <c r="BI301" s="10"/>
    </row>
    <row r="302" spans="1:61" ht="21" customHeight="1" x14ac:dyDescent="0.25">
      <c r="A302" s="10"/>
      <c r="B302" s="10"/>
      <c r="E302" s="10"/>
      <c r="G302" s="10"/>
      <c r="I302" s="436" t="s">
        <v>5684</v>
      </c>
      <c r="J302" s="26" t="s">
        <v>5683</v>
      </c>
      <c r="K302" s="10">
        <v>1</v>
      </c>
      <c r="L302" s="73">
        <f>IF(Tank1!$C$23="No control",(SUMIF(Tank1!$B$32:$B$49,$J302,Tank1!$C$32:$C$49)*Impacts!$F$8),0)</f>
        <v>0</v>
      </c>
      <c r="M302" s="10">
        <f>IF(Tank2!$C$23="No control",(SUMIF(Tank2!$B$32:$B$49,$J302,Tank2!$C$32:$C$49)*Impacts!$F$9),0)</f>
        <v>0</v>
      </c>
      <c r="N302" s="10">
        <f>IF(Tank3!$C$23="No control",(SUMIF(Tank3!$B$32:$B$49,$J302,Tank3!$C$32:$C$49)*Impacts!$F$10),0)</f>
        <v>0</v>
      </c>
      <c r="O302" s="10">
        <f>IF(Tank4!$C$23="No control",(SUMIF(Tank4!$B$32:$B$49,$J302,Tank4!$C$32:$C$49)*Impacts!$F$11),0)</f>
        <v>0</v>
      </c>
      <c r="P302" s="10">
        <f>IF(Tank5!$C$23="No control",(SUMIF(Tank5!$B$32:$B$49,$J302,Tank5!$C$32:$C$49)*Impacts!$F$12),0)</f>
        <v>0</v>
      </c>
      <c r="Q302" s="10">
        <f>IFERROR(IF(('Loading-drum,tote'!$C$21)="No control",SUMIF(('Loading-drum,tote'!$B$31:$B$48),$J302,('Loading-drum,tote'!$D$31:$D$48))*Impacts!$F$13,IF(('Loading-drum,tote'!$C$21)&lt;&gt;"No control",SUMIF(('Loading-drum,tote'!$B$31:$B$48),$J302,('Loading-drum,tote'!$E$31:$E$48))*Impacts!$F$13,0)),0)</f>
        <v>0</v>
      </c>
      <c r="R302" s="10">
        <f>IFERROR(IF(('Loading-truck'!$C$21)="No control",SUMIF(('Loading-truck'!$B$31:$B$48),$J302,('Loading-truck'!$D$31:$D$48))*Impacts!$F$14,IF(('Loading-truck'!$C$21)&lt;&gt;"No control",SUMIF(('Loading-truck'!$B$31:$B$48),$J302,('Loading-truck'!$E$31:$E$48))*Impacts!$F$14,0)),0)</f>
        <v>0</v>
      </c>
      <c r="S302" s="10">
        <f>IFERROR(IF(('Loading-rail'!$C$21)="No control",SUMIF(('Loading-rail'!$B$31:$B$48),$J302,('Loading-rail'!$D$31:$D$48))*Impacts!$F$15,IF(('Loading-rail'!$C$21)&lt;&gt;"No control",SUMIF(('Loading-rail'!$B$31:$B$48),$J302,('Loading-rail'!$E$31:$E$48))*Impacts!$F$15,0)),0)</f>
        <v>0</v>
      </c>
      <c r="T302" s="10">
        <f>IF(Flare!$C$7="",0,(SUMIF(Flare!$B$46:$B$185,$J302,Flare!$E$46:$E$185)*Impacts!$F$16))</f>
        <v>0</v>
      </c>
      <c r="U302" s="10">
        <f>IF(VCU!$C$9="",0,(SUMIF(VCU!$B$51:$B$193,$J302,VCU!$E$51:$E$193)*Impacts!$F$17))</f>
        <v>0</v>
      </c>
      <c r="V302" s="10">
        <f>IF(CAS!$C$7="",0,(SUMIF(CAS!$B$31:$B$167,$J302,CAS!$E$31:$E$167)*Impacts!$F$18))</f>
        <v>0</v>
      </c>
      <c r="W302" s="10">
        <f t="shared" si="46"/>
        <v>0</v>
      </c>
      <c r="AK302" s="10" t="str">
        <f t="array" ref="AK302">IFERROR(INDEX(SelectedSpecies,SMALL(IF(SelectedSpecies=AK$1,ROW(SelectedSpecies)),ROW(303:303)),2),"")</f>
        <v/>
      </c>
      <c r="BE302" s="10"/>
      <c r="BI302" s="10"/>
    </row>
    <row r="303" spans="1:61" ht="21" customHeight="1" x14ac:dyDescent="0.25">
      <c r="A303" s="10"/>
      <c r="B303" s="10"/>
      <c r="E303" s="10"/>
      <c r="G303" s="10"/>
      <c r="I303" s="436" t="s">
        <v>5105</v>
      </c>
      <c r="J303" s="26" t="s">
        <v>5104</v>
      </c>
      <c r="K303" s="10">
        <v>2.1</v>
      </c>
      <c r="L303" s="73">
        <f>IF(Tank1!$C$23="No control",(SUMIF(Tank1!$B$32:$B$49,$J303,Tank1!$C$32:$C$49)*Impacts!$F$8),0)</f>
        <v>0</v>
      </c>
      <c r="M303" s="10">
        <f>IF(Tank2!$C$23="No control",(SUMIF(Tank2!$B$32:$B$49,$J303,Tank2!$C$32:$C$49)*Impacts!$F$9),0)</f>
        <v>0</v>
      </c>
      <c r="N303" s="10">
        <f>IF(Tank3!$C$23="No control",(SUMIF(Tank3!$B$32:$B$49,$J303,Tank3!$C$32:$C$49)*Impacts!$F$10),0)</f>
        <v>0</v>
      </c>
      <c r="O303" s="10">
        <f>IF(Tank4!$C$23="No control",(SUMIF(Tank4!$B$32:$B$49,$J303,Tank4!$C$32:$C$49)*Impacts!$F$11),0)</f>
        <v>0</v>
      </c>
      <c r="P303" s="10">
        <f>IF(Tank5!$C$23="No control",(SUMIF(Tank5!$B$32:$B$49,$J303,Tank5!$C$32:$C$49)*Impacts!$F$12),0)</f>
        <v>0</v>
      </c>
      <c r="Q303" s="10">
        <f>IFERROR(IF(('Loading-drum,tote'!$C$21)="No control",SUMIF(('Loading-drum,tote'!$B$31:$B$48),$J303,('Loading-drum,tote'!$D$31:$D$48))*Impacts!$F$13,IF(('Loading-drum,tote'!$C$21)&lt;&gt;"No control",SUMIF(('Loading-drum,tote'!$B$31:$B$48),$J303,('Loading-drum,tote'!$E$31:$E$48))*Impacts!$F$13,0)),0)</f>
        <v>0</v>
      </c>
      <c r="R303" s="10">
        <f>IFERROR(IF(('Loading-truck'!$C$21)="No control",SUMIF(('Loading-truck'!$B$31:$B$48),$J303,('Loading-truck'!$D$31:$D$48))*Impacts!$F$14,IF(('Loading-truck'!$C$21)&lt;&gt;"No control",SUMIF(('Loading-truck'!$B$31:$B$48),$J303,('Loading-truck'!$E$31:$E$48))*Impacts!$F$14,0)),0)</f>
        <v>0</v>
      </c>
      <c r="S303" s="10">
        <f>IFERROR(IF(('Loading-rail'!$C$21)="No control",SUMIF(('Loading-rail'!$B$31:$B$48),$J303,('Loading-rail'!$D$31:$D$48))*Impacts!$F$15,IF(('Loading-rail'!$C$21)&lt;&gt;"No control",SUMIF(('Loading-rail'!$B$31:$B$48),$J303,('Loading-rail'!$E$31:$E$48))*Impacts!$F$15,0)),0)</f>
        <v>0</v>
      </c>
      <c r="T303" s="10">
        <f>IF(Flare!$C$7="",0,(SUMIF(Flare!$B$46:$B$185,$J303,Flare!$E$46:$E$185)*Impacts!$F$16))</f>
        <v>0</v>
      </c>
      <c r="U303" s="10">
        <f>IF(VCU!$C$9="",0,(SUMIF(VCU!$B$51:$B$193,$J303,VCU!$E$51:$E$193)*Impacts!$F$17))</f>
        <v>0</v>
      </c>
      <c r="V303" s="10">
        <f>IF(CAS!$C$7="",0,(SUMIF(CAS!$B$31:$B$167,$J303,CAS!$E$31:$E$167)*Impacts!$F$18))</f>
        <v>0</v>
      </c>
      <c r="W303" s="10">
        <f t="shared" si="46"/>
        <v>0</v>
      </c>
      <c r="AK303" s="10" t="str">
        <f t="array" ref="AK303">IFERROR(INDEX(SelectedSpecies,SMALL(IF(SelectedSpecies=AK$1,ROW(SelectedSpecies)),ROW(304:304)),2),"")</f>
        <v/>
      </c>
      <c r="BE303" s="10"/>
      <c r="BI303" s="10"/>
    </row>
    <row r="304" spans="1:61" ht="21" customHeight="1" x14ac:dyDescent="0.25">
      <c r="A304" s="10"/>
      <c r="B304" s="10"/>
      <c r="E304" s="10"/>
      <c r="G304" s="10"/>
      <c r="I304" s="436" t="s">
        <v>5063</v>
      </c>
      <c r="J304" s="26" t="s">
        <v>5062</v>
      </c>
      <c r="K304" s="10">
        <v>2.2000000000000002</v>
      </c>
      <c r="L304" s="73">
        <f>IF(Tank1!$C$23="No control",(SUMIF(Tank1!$B$32:$B$49,$J304,Tank1!$C$32:$C$49)*Impacts!$F$8),0)</f>
        <v>0</v>
      </c>
      <c r="M304" s="10">
        <f>IF(Tank2!$C$23="No control",(SUMIF(Tank2!$B$32:$B$49,$J304,Tank2!$C$32:$C$49)*Impacts!$F$9),0)</f>
        <v>0</v>
      </c>
      <c r="N304" s="10">
        <f>IF(Tank3!$C$23="No control",(SUMIF(Tank3!$B$32:$B$49,$J304,Tank3!$C$32:$C$49)*Impacts!$F$10),0)</f>
        <v>0</v>
      </c>
      <c r="O304" s="10">
        <f>IF(Tank4!$C$23="No control",(SUMIF(Tank4!$B$32:$B$49,$J304,Tank4!$C$32:$C$49)*Impacts!$F$11),0)</f>
        <v>0</v>
      </c>
      <c r="P304" s="10">
        <f>IF(Tank5!$C$23="No control",(SUMIF(Tank5!$B$32:$B$49,$J304,Tank5!$C$32:$C$49)*Impacts!$F$12),0)</f>
        <v>0</v>
      </c>
      <c r="Q304" s="10">
        <f>IFERROR(IF(('Loading-drum,tote'!$C$21)="No control",SUMIF(('Loading-drum,tote'!$B$31:$B$48),$J304,('Loading-drum,tote'!$D$31:$D$48))*Impacts!$F$13,IF(('Loading-drum,tote'!$C$21)&lt;&gt;"No control",SUMIF(('Loading-drum,tote'!$B$31:$B$48),$J304,('Loading-drum,tote'!$E$31:$E$48))*Impacts!$F$13,0)),0)</f>
        <v>0</v>
      </c>
      <c r="R304" s="10">
        <f>IFERROR(IF(('Loading-truck'!$C$21)="No control",SUMIF(('Loading-truck'!$B$31:$B$48),$J304,('Loading-truck'!$D$31:$D$48))*Impacts!$F$14,IF(('Loading-truck'!$C$21)&lt;&gt;"No control",SUMIF(('Loading-truck'!$B$31:$B$48),$J304,('Loading-truck'!$E$31:$E$48))*Impacts!$F$14,0)),0)</f>
        <v>0</v>
      </c>
      <c r="S304" s="10">
        <f>IFERROR(IF(('Loading-rail'!$C$21)="No control",SUMIF(('Loading-rail'!$B$31:$B$48),$J304,('Loading-rail'!$D$31:$D$48))*Impacts!$F$15,IF(('Loading-rail'!$C$21)&lt;&gt;"No control",SUMIF(('Loading-rail'!$B$31:$B$48),$J304,('Loading-rail'!$E$31:$E$48))*Impacts!$F$15,0)),0)</f>
        <v>0</v>
      </c>
      <c r="T304" s="10">
        <f>IF(Flare!$C$7="",0,(SUMIF(Flare!$B$46:$B$185,$J304,Flare!$E$46:$E$185)*Impacts!$F$16))</f>
        <v>0</v>
      </c>
      <c r="U304" s="10">
        <f>IF(VCU!$C$9="",0,(SUMIF(VCU!$B$51:$B$193,$J304,VCU!$E$51:$E$193)*Impacts!$F$17))</f>
        <v>0</v>
      </c>
      <c r="V304" s="10">
        <f>IF(CAS!$C$7="",0,(SUMIF(CAS!$B$31:$B$167,$J304,CAS!$E$31:$E$167)*Impacts!$F$18))</f>
        <v>0</v>
      </c>
      <c r="W304" s="10">
        <f t="shared" si="46"/>
        <v>0</v>
      </c>
      <c r="AK304" s="10" t="str">
        <f t="array" ref="AK304">IFERROR(INDEX(SelectedSpecies,SMALL(IF(SelectedSpecies=AK$1,ROW(SelectedSpecies)),ROW(305:305)),2),"")</f>
        <v/>
      </c>
      <c r="BE304" s="10"/>
      <c r="BI304" s="10"/>
    </row>
    <row r="305" spans="1:61" ht="21" customHeight="1" x14ac:dyDescent="0.25">
      <c r="A305" s="10"/>
      <c r="B305" s="10"/>
      <c r="E305" s="10"/>
      <c r="G305" s="10"/>
      <c r="I305" s="436" t="s">
        <v>1821</v>
      </c>
      <c r="J305" s="26" t="s">
        <v>1820</v>
      </c>
      <c r="K305" s="10">
        <v>20</v>
      </c>
      <c r="L305" s="73">
        <f>IF(Tank1!$C$23="No control",(SUMIF(Tank1!$B$32:$B$49,$J305,Tank1!$C$32:$C$49)*Impacts!$F$8),0)</f>
        <v>0</v>
      </c>
      <c r="M305" s="10">
        <f>IF(Tank2!$C$23="No control",(SUMIF(Tank2!$B$32:$B$49,$J305,Tank2!$C$32:$C$49)*Impacts!$F$9),0)</f>
        <v>0</v>
      </c>
      <c r="N305" s="10">
        <f>IF(Tank3!$C$23="No control",(SUMIF(Tank3!$B$32:$B$49,$J305,Tank3!$C$32:$C$49)*Impacts!$F$10),0)</f>
        <v>0</v>
      </c>
      <c r="O305" s="10">
        <f>IF(Tank4!$C$23="No control",(SUMIF(Tank4!$B$32:$B$49,$J305,Tank4!$C$32:$C$49)*Impacts!$F$11),0)</f>
        <v>0</v>
      </c>
      <c r="P305" s="10">
        <f>IF(Tank5!$C$23="No control",(SUMIF(Tank5!$B$32:$B$49,$J305,Tank5!$C$32:$C$49)*Impacts!$F$12),0)</f>
        <v>0</v>
      </c>
      <c r="Q305" s="10">
        <f>IFERROR(IF(('Loading-drum,tote'!$C$21)="No control",SUMIF(('Loading-drum,tote'!$B$31:$B$48),$J305,('Loading-drum,tote'!$D$31:$D$48))*Impacts!$F$13,IF(('Loading-drum,tote'!$C$21)&lt;&gt;"No control",SUMIF(('Loading-drum,tote'!$B$31:$B$48),$J305,('Loading-drum,tote'!$E$31:$E$48))*Impacts!$F$13,0)),0)</f>
        <v>0</v>
      </c>
      <c r="R305" s="10">
        <f>IFERROR(IF(('Loading-truck'!$C$21)="No control",SUMIF(('Loading-truck'!$B$31:$B$48),$J305,('Loading-truck'!$D$31:$D$48))*Impacts!$F$14,IF(('Loading-truck'!$C$21)&lt;&gt;"No control",SUMIF(('Loading-truck'!$B$31:$B$48),$J305,('Loading-truck'!$E$31:$E$48))*Impacts!$F$14,0)),0)</f>
        <v>0</v>
      </c>
      <c r="S305" s="10">
        <f>IFERROR(IF(('Loading-rail'!$C$21)="No control",SUMIF(('Loading-rail'!$B$31:$B$48),$J305,('Loading-rail'!$D$31:$D$48))*Impacts!$F$15,IF(('Loading-rail'!$C$21)&lt;&gt;"No control",SUMIF(('Loading-rail'!$B$31:$B$48),$J305,('Loading-rail'!$E$31:$E$48))*Impacts!$F$15,0)),0)</f>
        <v>0</v>
      </c>
      <c r="T305" s="10">
        <f>IF(Flare!$C$7="",0,(SUMIF(Flare!$B$46:$B$185,$J305,Flare!$E$46:$E$185)*Impacts!$F$16))</f>
        <v>0</v>
      </c>
      <c r="U305" s="10">
        <f>IF(VCU!$C$9="",0,(SUMIF(VCU!$B$51:$B$193,$J305,VCU!$E$51:$E$193)*Impacts!$F$17))</f>
        <v>0</v>
      </c>
      <c r="V305" s="10">
        <f>IF(CAS!$C$7="",0,(SUMIF(CAS!$B$31:$B$167,$J305,CAS!$E$31:$E$167)*Impacts!$F$18))</f>
        <v>0</v>
      </c>
      <c r="W305" s="10">
        <f t="shared" si="46"/>
        <v>0</v>
      </c>
      <c r="AK305" s="10" t="str">
        <f t="array" ref="AK305">IFERROR(INDEX(SelectedSpecies,SMALL(IF(SelectedSpecies=AK$1,ROW(SelectedSpecies)),ROW(306:306)),2),"")</f>
        <v/>
      </c>
      <c r="BE305" s="10"/>
      <c r="BI305" s="10"/>
    </row>
    <row r="306" spans="1:61" ht="21" customHeight="1" x14ac:dyDescent="0.25">
      <c r="A306" s="10"/>
      <c r="B306" s="10"/>
      <c r="E306" s="10"/>
      <c r="G306" s="10"/>
      <c r="I306" s="436" t="s">
        <v>1656</v>
      </c>
      <c r="J306" s="26" t="s">
        <v>1655</v>
      </c>
      <c r="K306" s="10">
        <v>24.5</v>
      </c>
      <c r="L306" s="73">
        <f>IF(Tank1!$C$23="No control",(SUMIF(Tank1!$B$32:$B$49,$J306,Tank1!$C$32:$C$49)*Impacts!$F$8),0)</f>
        <v>0</v>
      </c>
      <c r="M306" s="10">
        <f>IF(Tank2!$C$23="No control",(SUMIF(Tank2!$B$32:$B$49,$J306,Tank2!$C$32:$C$49)*Impacts!$F$9),0)</f>
        <v>0</v>
      </c>
      <c r="N306" s="10">
        <f>IF(Tank3!$C$23="No control",(SUMIF(Tank3!$B$32:$B$49,$J306,Tank3!$C$32:$C$49)*Impacts!$F$10),0)</f>
        <v>0</v>
      </c>
      <c r="O306" s="10">
        <f>IF(Tank4!$C$23="No control",(SUMIF(Tank4!$B$32:$B$49,$J306,Tank4!$C$32:$C$49)*Impacts!$F$11),0)</f>
        <v>0</v>
      </c>
      <c r="P306" s="10">
        <f>IF(Tank5!$C$23="No control",(SUMIF(Tank5!$B$32:$B$49,$J306,Tank5!$C$32:$C$49)*Impacts!$F$12),0)</f>
        <v>0</v>
      </c>
      <c r="Q306" s="10">
        <f>IFERROR(IF(('Loading-drum,tote'!$C$21)="No control",SUMIF(('Loading-drum,tote'!$B$31:$B$48),$J306,('Loading-drum,tote'!$D$31:$D$48))*Impacts!$F$13,IF(('Loading-drum,tote'!$C$21)&lt;&gt;"No control",SUMIF(('Loading-drum,tote'!$B$31:$B$48),$J306,('Loading-drum,tote'!$E$31:$E$48))*Impacts!$F$13,0)),0)</f>
        <v>0</v>
      </c>
      <c r="R306" s="10">
        <f>IFERROR(IF(('Loading-truck'!$C$21)="No control",SUMIF(('Loading-truck'!$B$31:$B$48),$J306,('Loading-truck'!$D$31:$D$48))*Impacts!$F$14,IF(('Loading-truck'!$C$21)&lt;&gt;"No control",SUMIF(('Loading-truck'!$B$31:$B$48),$J306,('Loading-truck'!$E$31:$E$48))*Impacts!$F$14,0)),0)</f>
        <v>0</v>
      </c>
      <c r="S306" s="10">
        <f>IFERROR(IF(('Loading-rail'!$C$21)="No control",SUMIF(('Loading-rail'!$B$31:$B$48),$J306,('Loading-rail'!$D$31:$D$48))*Impacts!$F$15,IF(('Loading-rail'!$C$21)&lt;&gt;"No control",SUMIF(('Loading-rail'!$B$31:$B$48),$J306,('Loading-rail'!$E$31:$E$48))*Impacts!$F$15,0)),0)</f>
        <v>0</v>
      </c>
      <c r="T306" s="10">
        <f>IF(Flare!$C$7="",0,(SUMIF(Flare!$B$46:$B$185,$J306,Flare!$E$46:$E$185)*Impacts!$F$16))</f>
        <v>0</v>
      </c>
      <c r="U306" s="10">
        <f>IF(VCU!$C$9="",0,(SUMIF(VCU!$B$51:$B$193,$J306,VCU!$E$51:$E$193)*Impacts!$F$17))</f>
        <v>0</v>
      </c>
      <c r="V306" s="10">
        <f>IF(CAS!$C$7="",0,(SUMIF(CAS!$B$31:$B$167,$J306,CAS!$E$31:$E$167)*Impacts!$F$18))</f>
        <v>0</v>
      </c>
      <c r="W306" s="10">
        <f t="shared" si="46"/>
        <v>0</v>
      </c>
      <c r="AK306" s="10" t="str">
        <f t="array" ref="AK306">IFERROR(INDEX(SelectedSpecies,SMALL(IF(SelectedSpecies=AK$1,ROW(SelectedSpecies)),ROW(307:307)),2),"")</f>
        <v/>
      </c>
      <c r="BE306" s="10"/>
      <c r="BI306" s="10"/>
    </row>
    <row r="307" spans="1:61" ht="21" customHeight="1" x14ac:dyDescent="0.25">
      <c r="A307" s="10"/>
      <c r="B307" s="10"/>
      <c r="E307" s="10"/>
      <c r="G307" s="10"/>
      <c r="I307" s="436" t="s">
        <v>2685</v>
      </c>
      <c r="J307" s="26" t="s">
        <v>2684</v>
      </c>
      <c r="K307" s="10">
        <v>10</v>
      </c>
      <c r="L307" s="73">
        <f>IF(Tank1!$C$23="No control",(SUMIF(Tank1!$B$32:$B$49,$J307,Tank1!$C$32:$C$49)*Impacts!$F$8),0)</f>
        <v>0</v>
      </c>
      <c r="M307" s="10">
        <f>IF(Tank2!$C$23="No control",(SUMIF(Tank2!$B$32:$B$49,$J307,Tank2!$C$32:$C$49)*Impacts!$F$9),0)</f>
        <v>0</v>
      </c>
      <c r="N307" s="10">
        <f>IF(Tank3!$C$23="No control",(SUMIF(Tank3!$B$32:$B$49,$J307,Tank3!$C$32:$C$49)*Impacts!$F$10),0)</f>
        <v>0</v>
      </c>
      <c r="O307" s="10">
        <f>IF(Tank4!$C$23="No control",(SUMIF(Tank4!$B$32:$B$49,$J307,Tank4!$C$32:$C$49)*Impacts!$F$11),0)</f>
        <v>0</v>
      </c>
      <c r="P307" s="10">
        <f>IF(Tank5!$C$23="No control",(SUMIF(Tank5!$B$32:$B$49,$J307,Tank5!$C$32:$C$49)*Impacts!$F$12),0)</f>
        <v>0</v>
      </c>
      <c r="Q307" s="10">
        <f>IFERROR(IF(('Loading-drum,tote'!$C$21)="No control",SUMIF(('Loading-drum,tote'!$B$31:$B$48),$J307,('Loading-drum,tote'!$D$31:$D$48))*Impacts!$F$13,IF(('Loading-drum,tote'!$C$21)&lt;&gt;"No control",SUMIF(('Loading-drum,tote'!$B$31:$B$48),$J307,('Loading-drum,tote'!$E$31:$E$48))*Impacts!$F$13,0)),0)</f>
        <v>0</v>
      </c>
      <c r="R307" s="10">
        <f>IFERROR(IF(('Loading-truck'!$C$21)="No control",SUMIF(('Loading-truck'!$B$31:$B$48),$J307,('Loading-truck'!$D$31:$D$48))*Impacts!$F$14,IF(('Loading-truck'!$C$21)&lt;&gt;"No control",SUMIF(('Loading-truck'!$B$31:$B$48),$J307,('Loading-truck'!$E$31:$E$48))*Impacts!$F$14,0)),0)</f>
        <v>0</v>
      </c>
      <c r="S307" s="10">
        <f>IFERROR(IF(('Loading-rail'!$C$21)="No control",SUMIF(('Loading-rail'!$B$31:$B$48),$J307,('Loading-rail'!$D$31:$D$48))*Impacts!$F$15,IF(('Loading-rail'!$C$21)&lt;&gt;"No control",SUMIF(('Loading-rail'!$B$31:$B$48),$J307,('Loading-rail'!$E$31:$E$48))*Impacts!$F$15,0)),0)</f>
        <v>0</v>
      </c>
      <c r="T307" s="10">
        <f>IF(Flare!$C$7="",0,(SUMIF(Flare!$B$46:$B$185,$J307,Flare!$E$46:$E$185)*Impacts!$F$16))</f>
        <v>0</v>
      </c>
      <c r="U307" s="10">
        <f>IF(VCU!$C$9="",0,(SUMIF(VCU!$B$51:$B$193,$J307,VCU!$E$51:$E$193)*Impacts!$F$17))</f>
        <v>0</v>
      </c>
      <c r="V307" s="10">
        <f>IF(CAS!$C$7="",0,(SUMIF(CAS!$B$31:$B$167,$J307,CAS!$E$31:$E$167)*Impacts!$F$18))</f>
        <v>0</v>
      </c>
      <c r="W307" s="10">
        <f t="shared" si="46"/>
        <v>0</v>
      </c>
      <c r="AK307" s="10" t="str">
        <f t="array" ref="AK307">IFERROR(INDEX(SelectedSpecies,SMALL(IF(SelectedSpecies=AK$1,ROW(SelectedSpecies)),ROW(308:308)),2),"")</f>
        <v/>
      </c>
      <c r="BE307" s="10"/>
      <c r="BI307" s="10"/>
    </row>
    <row r="308" spans="1:61" ht="21" customHeight="1" x14ac:dyDescent="0.25">
      <c r="A308" s="10"/>
      <c r="B308" s="10"/>
      <c r="E308" s="10"/>
      <c r="G308" s="10"/>
      <c r="I308" s="436" t="s">
        <v>804</v>
      </c>
      <c r="J308" s="26" t="s">
        <v>803</v>
      </c>
      <c r="K308" s="10">
        <v>53</v>
      </c>
      <c r="L308" s="73">
        <f>IF(Tank1!$C$23="No control",(SUMIF(Tank1!$B$32:$B$49,$J308,Tank1!$C$32:$C$49)*Impacts!$F$8),0)</f>
        <v>0</v>
      </c>
      <c r="M308" s="10">
        <f>IF(Tank2!$C$23="No control",(SUMIF(Tank2!$B$32:$B$49,$J308,Tank2!$C$32:$C$49)*Impacts!$F$9),0)</f>
        <v>0</v>
      </c>
      <c r="N308" s="10">
        <f>IF(Tank3!$C$23="No control",(SUMIF(Tank3!$B$32:$B$49,$J308,Tank3!$C$32:$C$49)*Impacts!$F$10),0)</f>
        <v>0</v>
      </c>
      <c r="O308" s="10">
        <f>IF(Tank4!$C$23="No control",(SUMIF(Tank4!$B$32:$B$49,$J308,Tank4!$C$32:$C$49)*Impacts!$F$11),0)</f>
        <v>0</v>
      </c>
      <c r="P308" s="10">
        <f>IF(Tank5!$C$23="No control",(SUMIF(Tank5!$B$32:$B$49,$J308,Tank5!$C$32:$C$49)*Impacts!$F$12),0)</f>
        <v>0</v>
      </c>
      <c r="Q308" s="10">
        <f>IFERROR(IF(('Loading-drum,tote'!$C$21)="No control",SUMIF(('Loading-drum,tote'!$B$31:$B$48),$J308,('Loading-drum,tote'!$D$31:$D$48))*Impacts!$F$13,IF(('Loading-drum,tote'!$C$21)&lt;&gt;"No control",SUMIF(('Loading-drum,tote'!$B$31:$B$48),$J308,('Loading-drum,tote'!$E$31:$E$48))*Impacts!$F$13,0)),0)</f>
        <v>0</v>
      </c>
      <c r="R308" s="10">
        <f>IFERROR(IF(('Loading-truck'!$C$21)="No control",SUMIF(('Loading-truck'!$B$31:$B$48),$J308,('Loading-truck'!$D$31:$D$48))*Impacts!$F$14,IF(('Loading-truck'!$C$21)&lt;&gt;"No control",SUMIF(('Loading-truck'!$B$31:$B$48),$J308,('Loading-truck'!$E$31:$E$48))*Impacts!$F$14,0)),0)</f>
        <v>0</v>
      </c>
      <c r="S308" s="10">
        <f>IFERROR(IF(('Loading-rail'!$C$21)="No control",SUMIF(('Loading-rail'!$B$31:$B$48),$J308,('Loading-rail'!$D$31:$D$48))*Impacts!$F$15,IF(('Loading-rail'!$C$21)&lt;&gt;"No control",SUMIF(('Loading-rail'!$B$31:$B$48),$J308,('Loading-rail'!$E$31:$E$48))*Impacts!$F$15,0)),0)</f>
        <v>0</v>
      </c>
      <c r="T308" s="10">
        <f>IF(Flare!$C$7="",0,(SUMIF(Flare!$B$46:$B$185,$J308,Flare!$E$46:$E$185)*Impacts!$F$16))</f>
        <v>0</v>
      </c>
      <c r="U308" s="10">
        <f>IF(VCU!$C$9="",0,(SUMIF(VCU!$B$51:$B$193,$J308,VCU!$E$51:$E$193)*Impacts!$F$17))</f>
        <v>0</v>
      </c>
      <c r="V308" s="10">
        <f>IF(CAS!$C$7="",0,(SUMIF(CAS!$B$31:$B$167,$J308,CAS!$E$31:$E$167)*Impacts!$F$18))</f>
        <v>0</v>
      </c>
      <c r="W308" s="10">
        <f t="shared" si="46"/>
        <v>0</v>
      </c>
      <c r="AK308" s="10" t="str">
        <f t="array" ref="AK308">IFERROR(INDEX(SelectedSpecies,SMALL(IF(SelectedSpecies=AK$1,ROW(SelectedSpecies)),ROW(309:309)),2),"")</f>
        <v/>
      </c>
      <c r="BE308" s="10"/>
      <c r="BI308" s="10"/>
    </row>
    <row r="309" spans="1:61" ht="21" customHeight="1" x14ac:dyDescent="0.25">
      <c r="A309" s="10"/>
      <c r="B309" s="10"/>
      <c r="E309" s="10"/>
      <c r="G309" s="10"/>
      <c r="I309" s="436" t="s">
        <v>922</v>
      </c>
      <c r="J309" s="26" t="s">
        <v>921</v>
      </c>
      <c r="K309" s="10">
        <v>44</v>
      </c>
      <c r="L309" s="73">
        <f>IF(Tank1!$C$23="No control",(SUMIF(Tank1!$B$32:$B$49,$J309,Tank1!$C$32:$C$49)*Impacts!$F$8),0)</f>
        <v>0</v>
      </c>
      <c r="M309" s="10">
        <f>IF(Tank2!$C$23="No control",(SUMIF(Tank2!$B$32:$B$49,$J309,Tank2!$C$32:$C$49)*Impacts!$F$9),0)</f>
        <v>0</v>
      </c>
      <c r="N309" s="10">
        <f>IF(Tank3!$C$23="No control",(SUMIF(Tank3!$B$32:$B$49,$J309,Tank3!$C$32:$C$49)*Impacts!$F$10),0)</f>
        <v>0</v>
      </c>
      <c r="O309" s="10">
        <f>IF(Tank4!$C$23="No control",(SUMIF(Tank4!$B$32:$B$49,$J309,Tank4!$C$32:$C$49)*Impacts!$F$11),0)</f>
        <v>0</v>
      </c>
      <c r="P309" s="10">
        <f>IF(Tank5!$C$23="No control",(SUMIF(Tank5!$B$32:$B$49,$J309,Tank5!$C$32:$C$49)*Impacts!$F$12),0)</f>
        <v>0</v>
      </c>
      <c r="Q309" s="10">
        <f>IFERROR(IF(('Loading-drum,tote'!$C$21)="No control",SUMIF(('Loading-drum,tote'!$B$31:$B$48),$J309,('Loading-drum,tote'!$D$31:$D$48))*Impacts!$F$13,IF(('Loading-drum,tote'!$C$21)&lt;&gt;"No control",SUMIF(('Loading-drum,tote'!$B$31:$B$48),$J309,('Loading-drum,tote'!$E$31:$E$48))*Impacts!$F$13,0)),0)</f>
        <v>0</v>
      </c>
      <c r="R309" s="10">
        <f>IFERROR(IF(('Loading-truck'!$C$21)="No control",SUMIF(('Loading-truck'!$B$31:$B$48),$J309,('Loading-truck'!$D$31:$D$48))*Impacts!$F$14,IF(('Loading-truck'!$C$21)&lt;&gt;"No control",SUMIF(('Loading-truck'!$B$31:$B$48),$J309,('Loading-truck'!$E$31:$E$48))*Impacts!$F$14,0)),0)</f>
        <v>0</v>
      </c>
      <c r="S309" s="10">
        <f>IFERROR(IF(('Loading-rail'!$C$21)="No control",SUMIF(('Loading-rail'!$B$31:$B$48),$J309,('Loading-rail'!$D$31:$D$48))*Impacts!$F$15,IF(('Loading-rail'!$C$21)&lt;&gt;"No control",SUMIF(('Loading-rail'!$B$31:$B$48),$J309,('Loading-rail'!$E$31:$E$48))*Impacts!$F$15,0)),0)</f>
        <v>0</v>
      </c>
      <c r="T309" s="10">
        <f>IF(Flare!$C$7="",0,(SUMIF(Flare!$B$46:$B$185,$J309,Flare!$E$46:$E$185)*Impacts!$F$16))</f>
        <v>0</v>
      </c>
      <c r="U309" s="10">
        <f>IF(VCU!$C$9="",0,(SUMIF(VCU!$B$51:$B$193,$J309,VCU!$E$51:$E$193)*Impacts!$F$17))</f>
        <v>0</v>
      </c>
      <c r="V309" s="10">
        <f>IF(CAS!$C$7="",0,(SUMIF(CAS!$B$31:$B$167,$J309,CAS!$E$31:$E$167)*Impacts!$F$18))</f>
        <v>0</v>
      </c>
      <c r="W309" s="10">
        <f t="shared" si="46"/>
        <v>0</v>
      </c>
      <c r="AK309" s="10" t="str">
        <f t="array" ref="AK309">IFERROR(INDEX(SelectedSpecies,SMALL(IF(SelectedSpecies=AK$1,ROW(SelectedSpecies)),ROW(310:310)),2),"")</f>
        <v/>
      </c>
      <c r="BE309" s="10"/>
      <c r="BI309" s="10"/>
    </row>
    <row r="310" spans="1:61" ht="21" customHeight="1" x14ac:dyDescent="0.25">
      <c r="A310" s="10"/>
      <c r="B310" s="10"/>
      <c r="E310" s="10"/>
      <c r="G310" s="10"/>
      <c r="I310" s="436" t="s">
        <v>1925</v>
      </c>
      <c r="J310" s="26" t="s">
        <v>1924</v>
      </c>
      <c r="K310" s="10">
        <v>18</v>
      </c>
      <c r="L310" s="73">
        <f>IF(Tank1!$C$23="No control",(SUMIF(Tank1!$B$32:$B$49,$J310,Tank1!$C$32:$C$49)*Impacts!$F$8),0)</f>
        <v>0</v>
      </c>
      <c r="M310" s="10">
        <f>IF(Tank2!$C$23="No control",(SUMIF(Tank2!$B$32:$B$49,$J310,Tank2!$C$32:$C$49)*Impacts!$F$9),0)</f>
        <v>0</v>
      </c>
      <c r="N310" s="10">
        <f>IF(Tank3!$C$23="No control",(SUMIF(Tank3!$B$32:$B$49,$J310,Tank3!$C$32:$C$49)*Impacts!$F$10),0)</f>
        <v>0</v>
      </c>
      <c r="O310" s="10">
        <f>IF(Tank4!$C$23="No control",(SUMIF(Tank4!$B$32:$B$49,$J310,Tank4!$C$32:$C$49)*Impacts!$F$11),0)</f>
        <v>0</v>
      </c>
      <c r="P310" s="10">
        <f>IF(Tank5!$C$23="No control",(SUMIF(Tank5!$B$32:$B$49,$J310,Tank5!$C$32:$C$49)*Impacts!$F$12),0)</f>
        <v>0</v>
      </c>
      <c r="Q310" s="10">
        <f>IFERROR(IF(('Loading-drum,tote'!$C$21)="No control",SUMIF(('Loading-drum,tote'!$B$31:$B$48),$J310,('Loading-drum,tote'!$D$31:$D$48))*Impacts!$F$13,IF(('Loading-drum,tote'!$C$21)&lt;&gt;"No control",SUMIF(('Loading-drum,tote'!$B$31:$B$48),$J310,('Loading-drum,tote'!$E$31:$E$48))*Impacts!$F$13,0)),0)</f>
        <v>0</v>
      </c>
      <c r="R310" s="10">
        <f>IFERROR(IF(('Loading-truck'!$C$21)="No control",SUMIF(('Loading-truck'!$B$31:$B$48),$J310,('Loading-truck'!$D$31:$D$48))*Impacts!$F$14,IF(('Loading-truck'!$C$21)&lt;&gt;"No control",SUMIF(('Loading-truck'!$B$31:$B$48),$J310,('Loading-truck'!$E$31:$E$48))*Impacts!$F$14,0)),0)</f>
        <v>0</v>
      </c>
      <c r="S310" s="10">
        <f>IFERROR(IF(('Loading-rail'!$C$21)="No control",SUMIF(('Loading-rail'!$B$31:$B$48),$J310,('Loading-rail'!$D$31:$D$48))*Impacts!$F$15,IF(('Loading-rail'!$C$21)&lt;&gt;"No control",SUMIF(('Loading-rail'!$B$31:$B$48),$J310,('Loading-rail'!$E$31:$E$48))*Impacts!$F$15,0)),0)</f>
        <v>0</v>
      </c>
      <c r="T310" s="10">
        <f>IF(Flare!$C$7="",0,(SUMIF(Flare!$B$46:$B$185,$J310,Flare!$E$46:$E$185)*Impacts!$F$16))</f>
        <v>0</v>
      </c>
      <c r="U310" s="10">
        <f>IF(VCU!$C$9="",0,(SUMIF(VCU!$B$51:$B$193,$J310,VCU!$E$51:$E$193)*Impacts!$F$17))</f>
        <v>0</v>
      </c>
      <c r="V310" s="10">
        <f>IF(CAS!$C$7="",0,(SUMIF(CAS!$B$31:$B$167,$J310,CAS!$E$31:$E$167)*Impacts!$F$18))</f>
        <v>0</v>
      </c>
      <c r="W310" s="10">
        <f t="shared" si="46"/>
        <v>0</v>
      </c>
      <c r="AK310" s="10" t="str">
        <f t="array" ref="AK310">IFERROR(INDEX(SelectedSpecies,SMALL(IF(SelectedSpecies=AK$1,ROW(SelectedSpecies)),ROW(311:311)),2),"")</f>
        <v/>
      </c>
      <c r="BE310" s="10"/>
      <c r="BI310" s="10"/>
    </row>
    <row r="311" spans="1:61" ht="21" customHeight="1" x14ac:dyDescent="0.25">
      <c r="A311" s="10"/>
      <c r="B311" s="10"/>
      <c r="E311" s="10"/>
      <c r="G311" s="10"/>
      <c r="I311" s="436" t="s">
        <v>3507</v>
      </c>
      <c r="J311" s="26" t="s">
        <v>3506</v>
      </c>
      <c r="K311" s="10">
        <v>9</v>
      </c>
      <c r="L311" s="73">
        <f>IF(Tank1!$C$23="No control",(SUMIF(Tank1!$B$32:$B$49,$J311,Tank1!$C$32:$C$49)*Impacts!$F$8),0)</f>
        <v>0</v>
      </c>
      <c r="M311" s="10">
        <f>IF(Tank2!$C$23="No control",(SUMIF(Tank2!$B$32:$B$49,$J311,Tank2!$C$32:$C$49)*Impacts!$F$9),0)</f>
        <v>0</v>
      </c>
      <c r="N311" s="10">
        <f>IF(Tank3!$C$23="No control",(SUMIF(Tank3!$B$32:$B$49,$J311,Tank3!$C$32:$C$49)*Impacts!$F$10),0)</f>
        <v>0</v>
      </c>
      <c r="O311" s="10">
        <f>IF(Tank4!$C$23="No control",(SUMIF(Tank4!$B$32:$B$49,$J311,Tank4!$C$32:$C$49)*Impacts!$F$11),0)</f>
        <v>0</v>
      </c>
      <c r="P311" s="10">
        <f>IF(Tank5!$C$23="No control",(SUMIF(Tank5!$B$32:$B$49,$J311,Tank5!$C$32:$C$49)*Impacts!$F$12),0)</f>
        <v>0</v>
      </c>
      <c r="Q311" s="10">
        <f>IFERROR(IF(('Loading-drum,tote'!$C$21)="No control",SUMIF(('Loading-drum,tote'!$B$31:$B$48),$J311,('Loading-drum,tote'!$D$31:$D$48))*Impacts!$F$13,IF(('Loading-drum,tote'!$C$21)&lt;&gt;"No control",SUMIF(('Loading-drum,tote'!$B$31:$B$48),$J311,('Loading-drum,tote'!$E$31:$E$48))*Impacts!$F$13,0)),0)</f>
        <v>0</v>
      </c>
      <c r="R311" s="10">
        <f>IFERROR(IF(('Loading-truck'!$C$21)="No control",SUMIF(('Loading-truck'!$B$31:$B$48),$J311,('Loading-truck'!$D$31:$D$48))*Impacts!$F$14,IF(('Loading-truck'!$C$21)&lt;&gt;"No control",SUMIF(('Loading-truck'!$B$31:$B$48),$J311,('Loading-truck'!$E$31:$E$48))*Impacts!$F$14,0)),0)</f>
        <v>0</v>
      </c>
      <c r="S311" s="10">
        <f>IFERROR(IF(('Loading-rail'!$C$21)="No control",SUMIF(('Loading-rail'!$B$31:$B$48),$J311,('Loading-rail'!$D$31:$D$48))*Impacts!$F$15,IF(('Loading-rail'!$C$21)&lt;&gt;"No control",SUMIF(('Loading-rail'!$B$31:$B$48),$J311,('Loading-rail'!$E$31:$E$48))*Impacts!$F$15,0)),0)</f>
        <v>0</v>
      </c>
      <c r="T311" s="10">
        <f>IF(Flare!$C$7="",0,(SUMIF(Flare!$B$46:$B$185,$J311,Flare!$E$46:$E$185)*Impacts!$F$16))</f>
        <v>0</v>
      </c>
      <c r="U311" s="10">
        <f>IF(VCU!$C$9="",0,(SUMIF(VCU!$B$51:$B$193,$J311,VCU!$E$51:$E$193)*Impacts!$F$17))</f>
        <v>0</v>
      </c>
      <c r="V311" s="10">
        <f>IF(CAS!$C$7="",0,(SUMIF(CAS!$B$31:$B$167,$J311,CAS!$E$31:$E$167)*Impacts!$F$18))</f>
        <v>0</v>
      </c>
      <c r="W311" s="10">
        <f t="shared" si="46"/>
        <v>0</v>
      </c>
      <c r="AK311" s="10" t="str">
        <f t="array" ref="AK311">IFERROR(INDEX(SelectedSpecies,SMALL(IF(SelectedSpecies=AK$1,ROW(SelectedSpecies)),ROW(312:312)),2),"")</f>
        <v/>
      </c>
      <c r="BE311" s="10"/>
      <c r="BI311" s="10"/>
    </row>
    <row r="312" spans="1:61" ht="21" customHeight="1" x14ac:dyDescent="0.25">
      <c r="A312" s="10"/>
      <c r="B312" s="10"/>
      <c r="E312" s="10"/>
      <c r="G312" s="10"/>
      <c r="I312" s="436" t="s">
        <v>5253</v>
      </c>
      <c r="J312" s="26" t="s">
        <v>5252</v>
      </c>
      <c r="K312" s="10">
        <v>1.8</v>
      </c>
      <c r="L312" s="73">
        <f>IF(Tank1!$C$23="No control",(SUMIF(Tank1!$B$32:$B$49,$J312,Tank1!$C$32:$C$49)*Impacts!$F$8),0)</f>
        <v>0</v>
      </c>
      <c r="M312" s="10">
        <f>IF(Tank2!$C$23="No control",(SUMIF(Tank2!$B$32:$B$49,$J312,Tank2!$C$32:$C$49)*Impacts!$F$9),0)</f>
        <v>0</v>
      </c>
      <c r="N312" s="10">
        <f>IF(Tank3!$C$23="No control",(SUMIF(Tank3!$B$32:$B$49,$J312,Tank3!$C$32:$C$49)*Impacts!$F$10),0)</f>
        <v>0</v>
      </c>
      <c r="O312" s="10">
        <f>IF(Tank4!$C$23="No control",(SUMIF(Tank4!$B$32:$B$49,$J312,Tank4!$C$32:$C$49)*Impacts!$F$11),0)</f>
        <v>0</v>
      </c>
      <c r="P312" s="10">
        <f>IF(Tank5!$C$23="No control",(SUMIF(Tank5!$B$32:$B$49,$J312,Tank5!$C$32:$C$49)*Impacts!$F$12),0)</f>
        <v>0</v>
      </c>
      <c r="Q312" s="10">
        <f>IFERROR(IF(('Loading-drum,tote'!$C$21)="No control",SUMIF(('Loading-drum,tote'!$B$31:$B$48),$J312,('Loading-drum,tote'!$D$31:$D$48))*Impacts!$F$13,IF(('Loading-drum,tote'!$C$21)&lt;&gt;"No control",SUMIF(('Loading-drum,tote'!$B$31:$B$48),$J312,('Loading-drum,tote'!$E$31:$E$48))*Impacts!$F$13,0)),0)</f>
        <v>0</v>
      </c>
      <c r="R312" s="10">
        <f>IFERROR(IF(('Loading-truck'!$C$21)="No control",SUMIF(('Loading-truck'!$B$31:$B$48),$J312,('Loading-truck'!$D$31:$D$48))*Impacts!$F$14,IF(('Loading-truck'!$C$21)&lt;&gt;"No control",SUMIF(('Loading-truck'!$B$31:$B$48),$J312,('Loading-truck'!$E$31:$E$48))*Impacts!$F$14,0)),0)</f>
        <v>0</v>
      </c>
      <c r="S312" s="10">
        <f>IFERROR(IF(('Loading-rail'!$C$21)="No control",SUMIF(('Loading-rail'!$B$31:$B$48),$J312,('Loading-rail'!$D$31:$D$48))*Impacts!$F$15,IF(('Loading-rail'!$C$21)&lt;&gt;"No control",SUMIF(('Loading-rail'!$B$31:$B$48),$J312,('Loading-rail'!$E$31:$E$48))*Impacts!$F$15,0)),0)</f>
        <v>0</v>
      </c>
      <c r="T312" s="10">
        <f>IF(Flare!$C$7="",0,(SUMIF(Flare!$B$46:$B$185,$J312,Flare!$E$46:$E$185)*Impacts!$F$16))</f>
        <v>0</v>
      </c>
      <c r="U312" s="10">
        <f>IF(VCU!$C$9="",0,(SUMIF(VCU!$B$51:$B$193,$J312,VCU!$E$51:$E$193)*Impacts!$F$17))</f>
        <v>0</v>
      </c>
      <c r="V312" s="10">
        <f>IF(CAS!$C$7="",0,(SUMIF(CAS!$B$31:$B$167,$J312,CAS!$E$31:$E$167)*Impacts!$F$18))</f>
        <v>0</v>
      </c>
      <c r="W312" s="10">
        <f t="shared" si="46"/>
        <v>0</v>
      </c>
      <c r="AK312" s="10" t="str">
        <f t="array" ref="AK312">IFERROR(INDEX(SelectedSpecies,SMALL(IF(SelectedSpecies=AK$1,ROW(SelectedSpecies)),ROW(313:313)),2),"")</f>
        <v/>
      </c>
      <c r="BE312" s="10"/>
      <c r="BI312" s="10"/>
    </row>
    <row r="313" spans="1:61" ht="21" customHeight="1" x14ac:dyDescent="0.25">
      <c r="A313" s="10"/>
      <c r="B313" s="10"/>
      <c r="E313" s="10"/>
      <c r="G313" s="10"/>
      <c r="I313" s="436" t="s">
        <v>7058</v>
      </c>
      <c r="J313" s="26" t="s">
        <v>7057</v>
      </c>
      <c r="K313" s="10">
        <v>0.4</v>
      </c>
      <c r="L313" s="73">
        <f>IF(Tank1!$C$23="No control",(SUMIF(Tank1!$B$32:$B$49,$J313,Tank1!$C$32:$C$49)*Impacts!$F$8),0)</f>
        <v>0</v>
      </c>
      <c r="M313" s="10">
        <f>IF(Tank2!$C$23="No control",(SUMIF(Tank2!$B$32:$B$49,$J313,Tank2!$C$32:$C$49)*Impacts!$F$9),0)</f>
        <v>0</v>
      </c>
      <c r="N313" s="10">
        <f>IF(Tank3!$C$23="No control",(SUMIF(Tank3!$B$32:$B$49,$J313,Tank3!$C$32:$C$49)*Impacts!$F$10),0)</f>
        <v>0</v>
      </c>
      <c r="O313" s="10">
        <f>IF(Tank4!$C$23="No control",(SUMIF(Tank4!$B$32:$B$49,$J313,Tank4!$C$32:$C$49)*Impacts!$F$11),0)</f>
        <v>0</v>
      </c>
      <c r="P313" s="10">
        <f>IF(Tank5!$C$23="No control",(SUMIF(Tank5!$B$32:$B$49,$J313,Tank5!$C$32:$C$49)*Impacts!$F$12),0)</f>
        <v>0</v>
      </c>
      <c r="Q313" s="10">
        <f>IFERROR(IF(('Loading-drum,tote'!$C$21)="No control",SUMIF(('Loading-drum,tote'!$B$31:$B$48),$J313,('Loading-drum,tote'!$D$31:$D$48))*Impacts!$F$13,IF(('Loading-drum,tote'!$C$21)&lt;&gt;"No control",SUMIF(('Loading-drum,tote'!$B$31:$B$48),$J313,('Loading-drum,tote'!$E$31:$E$48))*Impacts!$F$13,0)),0)</f>
        <v>0</v>
      </c>
      <c r="R313" s="10">
        <f>IFERROR(IF(('Loading-truck'!$C$21)="No control",SUMIF(('Loading-truck'!$B$31:$B$48),$J313,('Loading-truck'!$D$31:$D$48))*Impacts!$F$14,IF(('Loading-truck'!$C$21)&lt;&gt;"No control",SUMIF(('Loading-truck'!$B$31:$B$48),$J313,('Loading-truck'!$E$31:$E$48))*Impacts!$F$14,0)),0)</f>
        <v>0</v>
      </c>
      <c r="S313" s="10">
        <f>IFERROR(IF(('Loading-rail'!$C$21)="No control",SUMIF(('Loading-rail'!$B$31:$B$48),$J313,('Loading-rail'!$D$31:$D$48))*Impacts!$F$15,IF(('Loading-rail'!$C$21)&lt;&gt;"No control",SUMIF(('Loading-rail'!$B$31:$B$48),$J313,('Loading-rail'!$E$31:$E$48))*Impacts!$F$15,0)),0)</f>
        <v>0</v>
      </c>
      <c r="T313" s="10">
        <f>IF(Flare!$C$7="",0,(SUMIF(Flare!$B$46:$B$185,$J313,Flare!$E$46:$E$185)*Impacts!$F$16))</f>
        <v>0</v>
      </c>
      <c r="U313" s="10">
        <f>IF(VCU!$C$9="",0,(SUMIF(VCU!$B$51:$B$193,$J313,VCU!$E$51:$E$193)*Impacts!$F$17))</f>
        <v>0</v>
      </c>
      <c r="V313" s="10">
        <f>IF(CAS!$C$7="",0,(SUMIF(CAS!$B$31:$B$167,$J313,CAS!$E$31:$E$167)*Impacts!$F$18))</f>
        <v>0</v>
      </c>
      <c r="W313" s="10">
        <f t="shared" si="46"/>
        <v>0</v>
      </c>
      <c r="AK313" s="10" t="str">
        <f t="array" ref="AK313">IFERROR(INDEX(SelectedSpecies,SMALL(IF(SelectedSpecies=AK$1,ROW(SelectedSpecies)),ROW(314:314)),2),"")</f>
        <v/>
      </c>
      <c r="BE313" s="10"/>
      <c r="BI313" s="10"/>
    </row>
    <row r="314" spans="1:61" ht="21" customHeight="1" x14ac:dyDescent="0.25">
      <c r="A314" s="10"/>
      <c r="B314" s="10"/>
      <c r="E314" s="10"/>
      <c r="G314" s="10"/>
      <c r="I314" s="436" t="s">
        <v>968</v>
      </c>
      <c r="J314" s="26" t="s">
        <v>967</v>
      </c>
      <c r="K314" s="10">
        <v>37</v>
      </c>
      <c r="L314" s="73">
        <f>IF(Tank1!$C$23="No control",(SUMIF(Tank1!$B$32:$B$49,$J314,Tank1!$C$32:$C$49)*Impacts!$F$8),0)</f>
        <v>0</v>
      </c>
      <c r="M314" s="10">
        <f>IF(Tank2!$C$23="No control",(SUMIF(Tank2!$B$32:$B$49,$J314,Tank2!$C$32:$C$49)*Impacts!$F$9),0)</f>
        <v>0</v>
      </c>
      <c r="N314" s="10">
        <f>IF(Tank3!$C$23="No control",(SUMIF(Tank3!$B$32:$B$49,$J314,Tank3!$C$32:$C$49)*Impacts!$F$10),0)</f>
        <v>0</v>
      </c>
      <c r="O314" s="10">
        <f>IF(Tank4!$C$23="No control",(SUMIF(Tank4!$B$32:$B$49,$J314,Tank4!$C$32:$C$49)*Impacts!$F$11),0)</f>
        <v>0</v>
      </c>
      <c r="P314" s="10">
        <f>IF(Tank5!$C$23="No control",(SUMIF(Tank5!$B$32:$B$49,$J314,Tank5!$C$32:$C$49)*Impacts!$F$12),0)</f>
        <v>0</v>
      </c>
      <c r="Q314" s="10">
        <f>IFERROR(IF(('Loading-drum,tote'!$C$21)="No control",SUMIF(('Loading-drum,tote'!$B$31:$B$48),$J314,('Loading-drum,tote'!$D$31:$D$48))*Impacts!$F$13,IF(('Loading-drum,tote'!$C$21)&lt;&gt;"No control",SUMIF(('Loading-drum,tote'!$B$31:$B$48),$J314,('Loading-drum,tote'!$E$31:$E$48))*Impacts!$F$13,0)),0)</f>
        <v>0</v>
      </c>
      <c r="R314" s="10">
        <f>IFERROR(IF(('Loading-truck'!$C$21)="No control",SUMIF(('Loading-truck'!$B$31:$B$48),$J314,('Loading-truck'!$D$31:$D$48))*Impacts!$F$14,IF(('Loading-truck'!$C$21)&lt;&gt;"No control",SUMIF(('Loading-truck'!$B$31:$B$48),$J314,('Loading-truck'!$E$31:$E$48))*Impacts!$F$14,0)),0)</f>
        <v>0</v>
      </c>
      <c r="S314" s="10">
        <f>IFERROR(IF(('Loading-rail'!$C$21)="No control",SUMIF(('Loading-rail'!$B$31:$B$48),$J314,('Loading-rail'!$D$31:$D$48))*Impacts!$F$15,IF(('Loading-rail'!$C$21)&lt;&gt;"No control",SUMIF(('Loading-rail'!$B$31:$B$48),$J314,('Loading-rail'!$E$31:$E$48))*Impacts!$F$15,0)),0)</f>
        <v>0</v>
      </c>
      <c r="T314" s="10">
        <f>IF(Flare!$C$7="",0,(SUMIF(Flare!$B$46:$B$185,$J314,Flare!$E$46:$E$185)*Impacts!$F$16))</f>
        <v>0</v>
      </c>
      <c r="U314" s="10">
        <f>IF(VCU!$C$9="",0,(SUMIF(VCU!$B$51:$B$193,$J314,VCU!$E$51:$E$193)*Impacts!$F$17))</f>
        <v>0</v>
      </c>
      <c r="V314" s="10">
        <f>IF(CAS!$C$7="",0,(SUMIF(CAS!$B$31:$B$167,$J314,CAS!$E$31:$E$167)*Impacts!$F$18))</f>
        <v>0</v>
      </c>
      <c r="W314" s="10">
        <f t="shared" si="46"/>
        <v>0</v>
      </c>
      <c r="AK314" s="10" t="str">
        <f t="array" ref="AK314">IFERROR(INDEX(SelectedSpecies,SMALL(IF(SelectedSpecies=AK$1,ROW(SelectedSpecies)),ROW(315:315)),2),"")</f>
        <v/>
      </c>
      <c r="BE314" s="10"/>
      <c r="BI314" s="10"/>
    </row>
    <row r="315" spans="1:61" ht="21" customHeight="1" x14ac:dyDescent="0.25">
      <c r="A315" s="10"/>
      <c r="B315" s="10"/>
      <c r="E315" s="10"/>
      <c r="G315" s="10"/>
      <c r="I315" s="436" t="s">
        <v>4157</v>
      </c>
      <c r="J315" s="26" t="s">
        <v>4156</v>
      </c>
      <c r="K315" s="10">
        <v>5</v>
      </c>
      <c r="L315" s="73">
        <f>IF(Tank1!$C$23="No control",(SUMIF(Tank1!$B$32:$B$49,$J315,Tank1!$C$32:$C$49)*Impacts!$F$8),0)</f>
        <v>0</v>
      </c>
      <c r="M315" s="10">
        <f>IF(Tank2!$C$23="No control",(SUMIF(Tank2!$B$32:$B$49,$J315,Tank2!$C$32:$C$49)*Impacts!$F$9),0)</f>
        <v>0</v>
      </c>
      <c r="N315" s="10">
        <f>IF(Tank3!$C$23="No control",(SUMIF(Tank3!$B$32:$B$49,$J315,Tank3!$C$32:$C$49)*Impacts!$F$10),0)</f>
        <v>0</v>
      </c>
      <c r="O315" s="10">
        <f>IF(Tank4!$C$23="No control",(SUMIF(Tank4!$B$32:$B$49,$J315,Tank4!$C$32:$C$49)*Impacts!$F$11),0)</f>
        <v>0</v>
      </c>
      <c r="P315" s="10">
        <f>IF(Tank5!$C$23="No control",(SUMIF(Tank5!$B$32:$B$49,$J315,Tank5!$C$32:$C$49)*Impacts!$F$12),0)</f>
        <v>0</v>
      </c>
      <c r="Q315" s="10">
        <f>IFERROR(IF(('Loading-drum,tote'!$C$21)="No control",SUMIF(('Loading-drum,tote'!$B$31:$B$48),$J315,('Loading-drum,tote'!$D$31:$D$48))*Impacts!$F$13,IF(('Loading-drum,tote'!$C$21)&lt;&gt;"No control",SUMIF(('Loading-drum,tote'!$B$31:$B$48),$J315,('Loading-drum,tote'!$E$31:$E$48))*Impacts!$F$13,0)),0)</f>
        <v>0</v>
      </c>
      <c r="R315" s="10">
        <f>IFERROR(IF(('Loading-truck'!$C$21)="No control",SUMIF(('Loading-truck'!$B$31:$B$48),$J315,('Loading-truck'!$D$31:$D$48))*Impacts!$F$14,IF(('Loading-truck'!$C$21)&lt;&gt;"No control",SUMIF(('Loading-truck'!$B$31:$B$48),$J315,('Loading-truck'!$E$31:$E$48))*Impacts!$F$14,0)),0)</f>
        <v>0</v>
      </c>
      <c r="S315" s="10">
        <f>IFERROR(IF(('Loading-rail'!$C$21)="No control",SUMIF(('Loading-rail'!$B$31:$B$48),$J315,('Loading-rail'!$D$31:$D$48))*Impacts!$F$15,IF(('Loading-rail'!$C$21)&lt;&gt;"No control",SUMIF(('Loading-rail'!$B$31:$B$48),$J315,('Loading-rail'!$E$31:$E$48))*Impacts!$F$15,0)),0)</f>
        <v>0</v>
      </c>
      <c r="T315" s="10">
        <f>IF(Flare!$C$7="",0,(SUMIF(Flare!$B$46:$B$185,$J315,Flare!$E$46:$E$185)*Impacts!$F$16))</f>
        <v>0</v>
      </c>
      <c r="U315" s="10">
        <f>IF(VCU!$C$9="",0,(SUMIF(VCU!$B$51:$B$193,$J315,VCU!$E$51:$E$193)*Impacts!$F$17))</f>
        <v>0</v>
      </c>
      <c r="V315" s="10">
        <f>IF(CAS!$C$7="",0,(SUMIF(CAS!$B$31:$B$167,$J315,CAS!$E$31:$E$167)*Impacts!$F$18))</f>
        <v>0</v>
      </c>
      <c r="W315" s="10">
        <f t="shared" si="46"/>
        <v>0</v>
      </c>
      <c r="AK315" s="10" t="str">
        <f t="array" ref="AK315">IFERROR(INDEX(SelectedSpecies,SMALL(IF(SelectedSpecies=AK$1,ROW(SelectedSpecies)),ROW(316:316)),2),"")</f>
        <v/>
      </c>
      <c r="BE315" s="10"/>
      <c r="BI315" s="10"/>
    </row>
    <row r="316" spans="1:61" ht="21" customHeight="1" x14ac:dyDescent="0.25">
      <c r="A316" s="10"/>
      <c r="B316" s="10"/>
      <c r="E316" s="10"/>
      <c r="G316" s="10"/>
      <c r="I316" s="436" t="s">
        <v>3509</v>
      </c>
      <c r="J316" s="26" t="s">
        <v>3508</v>
      </c>
      <c r="K316" s="10">
        <v>9</v>
      </c>
      <c r="L316" s="73">
        <f>IF(Tank1!$C$23="No control",(SUMIF(Tank1!$B$32:$B$49,$J316,Tank1!$C$32:$C$49)*Impacts!$F$8),0)</f>
        <v>0</v>
      </c>
      <c r="M316" s="10">
        <f>IF(Tank2!$C$23="No control",(SUMIF(Tank2!$B$32:$B$49,$J316,Tank2!$C$32:$C$49)*Impacts!$F$9),0)</f>
        <v>0</v>
      </c>
      <c r="N316" s="10">
        <f>IF(Tank3!$C$23="No control",(SUMIF(Tank3!$B$32:$B$49,$J316,Tank3!$C$32:$C$49)*Impacts!$F$10),0)</f>
        <v>0</v>
      </c>
      <c r="O316" s="10">
        <f>IF(Tank4!$C$23="No control",(SUMIF(Tank4!$B$32:$B$49,$J316,Tank4!$C$32:$C$49)*Impacts!$F$11),0)</f>
        <v>0</v>
      </c>
      <c r="P316" s="10">
        <f>IF(Tank5!$C$23="No control",(SUMIF(Tank5!$B$32:$B$49,$J316,Tank5!$C$32:$C$49)*Impacts!$F$12),0)</f>
        <v>0</v>
      </c>
      <c r="Q316" s="10">
        <f>IFERROR(IF(('Loading-drum,tote'!$C$21)="No control",SUMIF(('Loading-drum,tote'!$B$31:$B$48),$J316,('Loading-drum,tote'!$D$31:$D$48))*Impacts!$F$13,IF(('Loading-drum,tote'!$C$21)&lt;&gt;"No control",SUMIF(('Loading-drum,tote'!$B$31:$B$48),$J316,('Loading-drum,tote'!$E$31:$E$48))*Impacts!$F$13,0)),0)</f>
        <v>0</v>
      </c>
      <c r="R316" s="10">
        <f>IFERROR(IF(('Loading-truck'!$C$21)="No control",SUMIF(('Loading-truck'!$B$31:$B$48),$J316,('Loading-truck'!$D$31:$D$48))*Impacts!$F$14,IF(('Loading-truck'!$C$21)&lt;&gt;"No control",SUMIF(('Loading-truck'!$B$31:$B$48),$J316,('Loading-truck'!$E$31:$E$48))*Impacts!$F$14,0)),0)</f>
        <v>0</v>
      </c>
      <c r="S316" s="10">
        <f>IFERROR(IF(('Loading-rail'!$C$21)="No control",SUMIF(('Loading-rail'!$B$31:$B$48),$J316,('Loading-rail'!$D$31:$D$48))*Impacts!$F$15,IF(('Loading-rail'!$C$21)&lt;&gt;"No control",SUMIF(('Loading-rail'!$B$31:$B$48),$J316,('Loading-rail'!$E$31:$E$48))*Impacts!$F$15,0)),0)</f>
        <v>0</v>
      </c>
      <c r="T316" s="10">
        <f>IF(Flare!$C$7="",0,(SUMIF(Flare!$B$46:$B$185,$J316,Flare!$E$46:$E$185)*Impacts!$F$16))</f>
        <v>0</v>
      </c>
      <c r="U316" s="10">
        <f>IF(VCU!$C$9="",0,(SUMIF(VCU!$B$51:$B$193,$J316,VCU!$E$51:$E$193)*Impacts!$F$17))</f>
        <v>0</v>
      </c>
      <c r="V316" s="10">
        <f>IF(CAS!$C$7="",0,(SUMIF(CAS!$B$31:$B$167,$J316,CAS!$E$31:$E$167)*Impacts!$F$18))</f>
        <v>0</v>
      </c>
      <c r="W316" s="10">
        <f t="shared" si="46"/>
        <v>0</v>
      </c>
      <c r="AK316" s="10" t="str">
        <f t="array" ref="AK316">IFERROR(INDEX(SelectedSpecies,SMALL(IF(SelectedSpecies=AK$1,ROW(SelectedSpecies)),ROW(317:317)),2),"")</f>
        <v/>
      </c>
      <c r="BE316" s="10"/>
      <c r="BI316" s="10"/>
    </row>
    <row r="317" spans="1:61" ht="21" customHeight="1" x14ac:dyDescent="0.25">
      <c r="A317" s="10"/>
      <c r="B317" s="10"/>
      <c r="E317" s="10"/>
      <c r="G317" s="10"/>
      <c r="I317" s="436" t="s">
        <v>1430</v>
      </c>
      <c r="J317" s="26" t="s">
        <v>1429</v>
      </c>
      <c r="K317" s="10">
        <v>30</v>
      </c>
      <c r="L317" s="73">
        <f>IF(Tank1!$C$23="No control",(SUMIF(Tank1!$B$32:$B$49,$J317,Tank1!$C$32:$C$49)*Impacts!$F$8),0)</f>
        <v>0</v>
      </c>
      <c r="M317" s="10">
        <f>IF(Tank2!$C$23="No control",(SUMIF(Tank2!$B$32:$B$49,$J317,Tank2!$C$32:$C$49)*Impacts!$F$9),0)</f>
        <v>0</v>
      </c>
      <c r="N317" s="10">
        <f>IF(Tank3!$C$23="No control",(SUMIF(Tank3!$B$32:$B$49,$J317,Tank3!$C$32:$C$49)*Impacts!$F$10),0)</f>
        <v>0</v>
      </c>
      <c r="O317" s="10">
        <f>IF(Tank4!$C$23="No control",(SUMIF(Tank4!$B$32:$B$49,$J317,Tank4!$C$32:$C$49)*Impacts!$F$11),0)</f>
        <v>0</v>
      </c>
      <c r="P317" s="10">
        <f>IF(Tank5!$C$23="No control",(SUMIF(Tank5!$B$32:$B$49,$J317,Tank5!$C$32:$C$49)*Impacts!$F$12),0)</f>
        <v>0</v>
      </c>
      <c r="Q317" s="10">
        <f>IFERROR(IF(('Loading-drum,tote'!$C$21)="No control",SUMIF(('Loading-drum,tote'!$B$31:$B$48),$J317,('Loading-drum,tote'!$D$31:$D$48))*Impacts!$F$13,IF(('Loading-drum,tote'!$C$21)&lt;&gt;"No control",SUMIF(('Loading-drum,tote'!$B$31:$B$48),$J317,('Loading-drum,tote'!$E$31:$E$48))*Impacts!$F$13,0)),0)</f>
        <v>0</v>
      </c>
      <c r="R317" s="10">
        <f>IFERROR(IF(('Loading-truck'!$C$21)="No control",SUMIF(('Loading-truck'!$B$31:$B$48),$J317,('Loading-truck'!$D$31:$D$48))*Impacts!$F$14,IF(('Loading-truck'!$C$21)&lt;&gt;"No control",SUMIF(('Loading-truck'!$B$31:$B$48),$J317,('Loading-truck'!$E$31:$E$48))*Impacts!$F$14,0)),0)</f>
        <v>0</v>
      </c>
      <c r="S317" s="10">
        <f>IFERROR(IF(('Loading-rail'!$C$21)="No control",SUMIF(('Loading-rail'!$B$31:$B$48),$J317,('Loading-rail'!$D$31:$D$48))*Impacts!$F$15,IF(('Loading-rail'!$C$21)&lt;&gt;"No control",SUMIF(('Loading-rail'!$B$31:$B$48),$J317,('Loading-rail'!$E$31:$E$48))*Impacts!$F$15,0)),0)</f>
        <v>0</v>
      </c>
      <c r="T317" s="10">
        <f>IF(Flare!$C$7="",0,(SUMIF(Flare!$B$46:$B$185,$J317,Flare!$E$46:$E$185)*Impacts!$F$16))</f>
        <v>0</v>
      </c>
      <c r="U317" s="10">
        <f>IF(VCU!$C$9="",0,(SUMIF(VCU!$B$51:$B$193,$J317,VCU!$E$51:$E$193)*Impacts!$F$17))</f>
        <v>0</v>
      </c>
      <c r="V317" s="10">
        <f>IF(CAS!$C$7="",0,(SUMIF(CAS!$B$31:$B$167,$J317,CAS!$E$31:$E$167)*Impacts!$F$18))</f>
        <v>0</v>
      </c>
      <c r="W317" s="10">
        <f t="shared" si="46"/>
        <v>0</v>
      </c>
      <c r="AK317" s="10" t="str">
        <f t="array" ref="AK317">IFERROR(INDEX(SelectedSpecies,SMALL(IF(SelectedSpecies=AK$1,ROW(SelectedSpecies)),ROW(318:318)),2),"")</f>
        <v/>
      </c>
      <c r="BE317" s="10"/>
      <c r="BI317" s="10"/>
    </row>
    <row r="318" spans="1:61" ht="21" customHeight="1" x14ac:dyDescent="0.25">
      <c r="A318" s="10"/>
      <c r="B318" s="10"/>
      <c r="E318" s="10"/>
      <c r="G318" s="10"/>
      <c r="I318" s="436" t="s">
        <v>387</v>
      </c>
      <c r="J318" s="26" t="s">
        <v>386</v>
      </c>
      <c r="K318" s="10">
        <v>270</v>
      </c>
      <c r="L318" s="73">
        <f>IF(Tank1!$C$23="No control",(SUMIF(Tank1!$B$32:$B$49,$J318,Tank1!$C$32:$C$49)*Impacts!$F$8),0)</f>
        <v>0</v>
      </c>
      <c r="M318" s="10">
        <f>IF(Tank2!$C$23="No control",(SUMIF(Tank2!$B$32:$B$49,$J318,Tank2!$C$32:$C$49)*Impacts!$F$9),0)</f>
        <v>0</v>
      </c>
      <c r="N318" s="10">
        <f>IF(Tank3!$C$23="No control",(SUMIF(Tank3!$B$32:$B$49,$J318,Tank3!$C$32:$C$49)*Impacts!$F$10),0)</f>
        <v>0</v>
      </c>
      <c r="O318" s="10">
        <f>IF(Tank4!$C$23="No control",(SUMIF(Tank4!$B$32:$B$49,$J318,Tank4!$C$32:$C$49)*Impacts!$F$11),0)</f>
        <v>0</v>
      </c>
      <c r="P318" s="10">
        <f>IF(Tank5!$C$23="No control",(SUMIF(Tank5!$B$32:$B$49,$J318,Tank5!$C$32:$C$49)*Impacts!$F$12),0)</f>
        <v>0</v>
      </c>
      <c r="Q318" s="10">
        <f>IFERROR(IF(('Loading-drum,tote'!$C$21)="No control",SUMIF(('Loading-drum,tote'!$B$31:$B$48),$J318,('Loading-drum,tote'!$D$31:$D$48))*Impacts!$F$13,IF(('Loading-drum,tote'!$C$21)&lt;&gt;"No control",SUMIF(('Loading-drum,tote'!$B$31:$B$48),$J318,('Loading-drum,tote'!$E$31:$E$48))*Impacts!$F$13,0)),0)</f>
        <v>0</v>
      </c>
      <c r="R318" s="10">
        <f>IFERROR(IF(('Loading-truck'!$C$21)="No control",SUMIF(('Loading-truck'!$B$31:$B$48),$J318,('Loading-truck'!$D$31:$D$48))*Impacts!$F$14,IF(('Loading-truck'!$C$21)&lt;&gt;"No control",SUMIF(('Loading-truck'!$B$31:$B$48),$J318,('Loading-truck'!$E$31:$E$48))*Impacts!$F$14,0)),0)</f>
        <v>0</v>
      </c>
      <c r="S318" s="10">
        <f>IFERROR(IF(('Loading-rail'!$C$21)="No control",SUMIF(('Loading-rail'!$B$31:$B$48),$J318,('Loading-rail'!$D$31:$D$48))*Impacts!$F$15,IF(('Loading-rail'!$C$21)&lt;&gt;"No control",SUMIF(('Loading-rail'!$B$31:$B$48),$J318,('Loading-rail'!$E$31:$E$48))*Impacts!$F$15,0)),0)</f>
        <v>0</v>
      </c>
      <c r="T318" s="10">
        <f>IF(Flare!$C$7="",0,(SUMIF(Flare!$B$46:$B$185,$J318,Flare!$E$46:$E$185)*Impacts!$F$16))</f>
        <v>0</v>
      </c>
      <c r="U318" s="10">
        <f>IF(VCU!$C$9="",0,(SUMIF(VCU!$B$51:$B$193,$J318,VCU!$E$51:$E$193)*Impacts!$F$17))</f>
        <v>0</v>
      </c>
      <c r="V318" s="10">
        <f>IF(CAS!$C$7="",0,(SUMIF(CAS!$B$31:$B$167,$J318,CAS!$E$31:$E$167)*Impacts!$F$18))</f>
        <v>0</v>
      </c>
      <c r="W318" s="10">
        <f t="shared" si="46"/>
        <v>0</v>
      </c>
      <c r="AK318" s="10" t="str">
        <f t="array" ref="AK318">IFERROR(INDEX(SelectedSpecies,SMALL(IF(SelectedSpecies=AK$1,ROW(SelectedSpecies)),ROW(319:319)),2),"")</f>
        <v/>
      </c>
      <c r="BE318" s="10"/>
      <c r="BI318" s="10"/>
    </row>
    <row r="319" spans="1:61" ht="21" customHeight="1" x14ac:dyDescent="0.25">
      <c r="A319" s="10"/>
      <c r="B319" s="10"/>
      <c r="E319" s="10"/>
      <c r="G319" s="10"/>
      <c r="I319" s="436" t="s">
        <v>6612</v>
      </c>
      <c r="J319" s="26" t="s">
        <v>6611</v>
      </c>
      <c r="K319" s="10">
        <v>0.60000000000000009</v>
      </c>
      <c r="L319" s="73">
        <f>IF(Tank1!$C$23="No control",(SUMIF(Tank1!$B$32:$B$49,$J319,Tank1!$C$32:$C$49)*Impacts!$F$8),0)</f>
        <v>0</v>
      </c>
      <c r="M319" s="10">
        <f>IF(Tank2!$C$23="No control",(SUMIF(Tank2!$B$32:$B$49,$J319,Tank2!$C$32:$C$49)*Impacts!$F$9),0)</f>
        <v>0</v>
      </c>
      <c r="N319" s="10">
        <f>IF(Tank3!$C$23="No control",(SUMIF(Tank3!$B$32:$B$49,$J319,Tank3!$C$32:$C$49)*Impacts!$F$10),0)</f>
        <v>0</v>
      </c>
      <c r="O319" s="10">
        <f>IF(Tank4!$C$23="No control",(SUMIF(Tank4!$B$32:$B$49,$J319,Tank4!$C$32:$C$49)*Impacts!$F$11),0)</f>
        <v>0</v>
      </c>
      <c r="P319" s="10">
        <f>IF(Tank5!$C$23="No control",(SUMIF(Tank5!$B$32:$B$49,$J319,Tank5!$C$32:$C$49)*Impacts!$F$12),0)</f>
        <v>0</v>
      </c>
      <c r="Q319" s="10">
        <f>IFERROR(IF(('Loading-drum,tote'!$C$21)="No control",SUMIF(('Loading-drum,tote'!$B$31:$B$48),$J319,('Loading-drum,tote'!$D$31:$D$48))*Impacts!$F$13,IF(('Loading-drum,tote'!$C$21)&lt;&gt;"No control",SUMIF(('Loading-drum,tote'!$B$31:$B$48),$J319,('Loading-drum,tote'!$E$31:$E$48))*Impacts!$F$13,0)),0)</f>
        <v>0</v>
      </c>
      <c r="R319" s="10">
        <f>IFERROR(IF(('Loading-truck'!$C$21)="No control",SUMIF(('Loading-truck'!$B$31:$B$48),$J319,('Loading-truck'!$D$31:$D$48))*Impacts!$F$14,IF(('Loading-truck'!$C$21)&lt;&gt;"No control",SUMIF(('Loading-truck'!$B$31:$B$48),$J319,('Loading-truck'!$E$31:$E$48))*Impacts!$F$14,0)),0)</f>
        <v>0</v>
      </c>
      <c r="S319" s="10">
        <f>IFERROR(IF(('Loading-rail'!$C$21)="No control",SUMIF(('Loading-rail'!$B$31:$B$48),$J319,('Loading-rail'!$D$31:$D$48))*Impacts!$F$15,IF(('Loading-rail'!$C$21)&lt;&gt;"No control",SUMIF(('Loading-rail'!$B$31:$B$48),$J319,('Loading-rail'!$E$31:$E$48))*Impacts!$F$15,0)),0)</f>
        <v>0</v>
      </c>
      <c r="T319" s="10">
        <f>IF(Flare!$C$7="",0,(SUMIF(Flare!$B$46:$B$185,$J319,Flare!$E$46:$E$185)*Impacts!$F$16))</f>
        <v>0</v>
      </c>
      <c r="U319" s="10">
        <f>IF(VCU!$C$9="",0,(SUMIF(VCU!$B$51:$B$193,$J319,VCU!$E$51:$E$193)*Impacts!$F$17))</f>
        <v>0</v>
      </c>
      <c r="V319" s="10">
        <f>IF(CAS!$C$7="",0,(SUMIF(CAS!$B$31:$B$167,$J319,CAS!$E$31:$E$167)*Impacts!$F$18))</f>
        <v>0</v>
      </c>
      <c r="W319" s="10">
        <f t="shared" si="46"/>
        <v>0</v>
      </c>
      <c r="AK319" s="10" t="str">
        <f t="array" ref="AK319">IFERROR(INDEX(SelectedSpecies,SMALL(IF(SelectedSpecies=AK$1,ROW(SelectedSpecies)),ROW(320:320)),2),"")</f>
        <v/>
      </c>
      <c r="BE319" s="10"/>
      <c r="BI319" s="10"/>
    </row>
    <row r="320" spans="1:61" ht="21" customHeight="1" x14ac:dyDescent="0.25">
      <c r="A320" s="10"/>
      <c r="B320" s="10"/>
      <c r="E320" s="10"/>
      <c r="G320" s="10"/>
      <c r="I320" s="436" t="s">
        <v>3569</v>
      </c>
      <c r="J320" s="26" t="s">
        <v>3568</v>
      </c>
      <c r="K320" s="10">
        <v>8.2000000000000011</v>
      </c>
      <c r="L320" s="73">
        <f>IF(Tank1!$C$23="No control",(SUMIF(Tank1!$B$32:$B$49,$J320,Tank1!$C$32:$C$49)*Impacts!$F$8),0)</f>
        <v>0</v>
      </c>
      <c r="M320" s="10">
        <f>IF(Tank2!$C$23="No control",(SUMIF(Tank2!$B$32:$B$49,$J320,Tank2!$C$32:$C$49)*Impacts!$F$9),0)</f>
        <v>0</v>
      </c>
      <c r="N320" s="10">
        <f>IF(Tank3!$C$23="No control",(SUMIF(Tank3!$B$32:$B$49,$J320,Tank3!$C$32:$C$49)*Impacts!$F$10),0)</f>
        <v>0</v>
      </c>
      <c r="O320" s="10">
        <f>IF(Tank4!$C$23="No control",(SUMIF(Tank4!$B$32:$B$49,$J320,Tank4!$C$32:$C$49)*Impacts!$F$11),0)</f>
        <v>0</v>
      </c>
      <c r="P320" s="10">
        <f>IF(Tank5!$C$23="No control",(SUMIF(Tank5!$B$32:$B$49,$J320,Tank5!$C$32:$C$49)*Impacts!$F$12),0)</f>
        <v>0</v>
      </c>
      <c r="Q320" s="10">
        <f>IFERROR(IF(('Loading-drum,tote'!$C$21)="No control",SUMIF(('Loading-drum,tote'!$B$31:$B$48),$J320,('Loading-drum,tote'!$D$31:$D$48))*Impacts!$F$13,IF(('Loading-drum,tote'!$C$21)&lt;&gt;"No control",SUMIF(('Loading-drum,tote'!$B$31:$B$48),$J320,('Loading-drum,tote'!$E$31:$E$48))*Impacts!$F$13,0)),0)</f>
        <v>0</v>
      </c>
      <c r="R320" s="10">
        <f>IFERROR(IF(('Loading-truck'!$C$21)="No control",SUMIF(('Loading-truck'!$B$31:$B$48),$J320,('Loading-truck'!$D$31:$D$48))*Impacts!$F$14,IF(('Loading-truck'!$C$21)&lt;&gt;"No control",SUMIF(('Loading-truck'!$B$31:$B$48),$J320,('Loading-truck'!$E$31:$E$48))*Impacts!$F$14,0)),0)</f>
        <v>0</v>
      </c>
      <c r="S320" s="10">
        <f>IFERROR(IF(('Loading-rail'!$C$21)="No control",SUMIF(('Loading-rail'!$B$31:$B$48),$J320,('Loading-rail'!$D$31:$D$48))*Impacts!$F$15,IF(('Loading-rail'!$C$21)&lt;&gt;"No control",SUMIF(('Loading-rail'!$B$31:$B$48),$J320,('Loading-rail'!$E$31:$E$48))*Impacts!$F$15,0)),0)</f>
        <v>0</v>
      </c>
      <c r="T320" s="10">
        <f>IF(Flare!$C$7="",0,(SUMIF(Flare!$B$46:$B$185,$J320,Flare!$E$46:$E$185)*Impacts!$F$16))</f>
        <v>0</v>
      </c>
      <c r="U320" s="10">
        <f>IF(VCU!$C$9="",0,(SUMIF(VCU!$B$51:$B$193,$J320,VCU!$E$51:$E$193)*Impacts!$F$17))</f>
        <v>0</v>
      </c>
      <c r="V320" s="10">
        <f>IF(CAS!$C$7="",0,(SUMIF(CAS!$B$31:$B$167,$J320,CAS!$E$31:$E$167)*Impacts!$F$18))</f>
        <v>0</v>
      </c>
      <c r="W320" s="10">
        <f t="shared" si="46"/>
        <v>0</v>
      </c>
      <c r="AK320" s="10" t="str">
        <f t="array" ref="AK320">IFERROR(INDEX(SelectedSpecies,SMALL(IF(SelectedSpecies=AK$1,ROW(SelectedSpecies)),ROW(321:321)),2),"")</f>
        <v/>
      </c>
      <c r="BE320" s="10"/>
      <c r="BI320" s="10"/>
    </row>
    <row r="321" spans="1:61" ht="21" customHeight="1" x14ac:dyDescent="0.25">
      <c r="A321" s="10"/>
      <c r="B321" s="10"/>
      <c r="E321" s="10"/>
      <c r="G321" s="10"/>
      <c r="I321" s="436" t="s">
        <v>2405</v>
      </c>
      <c r="J321" s="26" t="s">
        <v>2404</v>
      </c>
      <c r="K321" s="10">
        <v>10</v>
      </c>
      <c r="L321" s="73">
        <f>IF(Tank1!$C$23="No control",(SUMIF(Tank1!$B$32:$B$49,$J321,Tank1!$C$32:$C$49)*Impacts!$F$8),0)</f>
        <v>0</v>
      </c>
      <c r="M321" s="10">
        <f>IF(Tank2!$C$23="No control",(SUMIF(Tank2!$B$32:$B$49,$J321,Tank2!$C$32:$C$49)*Impacts!$F$9),0)</f>
        <v>0</v>
      </c>
      <c r="N321" s="10">
        <f>IF(Tank3!$C$23="No control",(SUMIF(Tank3!$B$32:$B$49,$J321,Tank3!$C$32:$C$49)*Impacts!$F$10),0)</f>
        <v>0</v>
      </c>
      <c r="O321" s="10">
        <f>IF(Tank4!$C$23="No control",(SUMIF(Tank4!$B$32:$B$49,$J321,Tank4!$C$32:$C$49)*Impacts!$F$11),0)</f>
        <v>0</v>
      </c>
      <c r="P321" s="10">
        <f>IF(Tank5!$C$23="No control",(SUMIF(Tank5!$B$32:$B$49,$J321,Tank5!$C$32:$C$49)*Impacts!$F$12),0)</f>
        <v>0</v>
      </c>
      <c r="Q321" s="10">
        <f>IFERROR(IF(('Loading-drum,tote'!$C$21)="No control",SUMIF(('Loading-drum,tote'!$B$31:$B$48),$J321,('Loading-drum,tote'!$D$31:$D$48))*Impacts!$F$13,IF(('Loading-drum,tote'!$C$21)&lt;&gt;"No control",SUMIF(('Loading-drum,tote'!$B$31:$B$48),$J321,('Loading-drum,tote'!$E$31:$E$48))*Impacts!$F$13,0)),0)</f>
        <v>0</v>
      </c>
      <c r="R321" s="10">
        <f>IFERROR(IF(('Loading-truck'!$C$21)="No control",SUMIF(('Loading-truck'!$B$31:$B$48),$J321,('Loading-truck'!$D$31:$D$48))*Impacts!$F$14,IF(('Loading-truck'!$C$21)&lt;&gt;"No control",SUMIF(('Loading-truck'!$B$31:$B$48),$J321,('Loading-truck'!$E$31:$E$48))*Impacts!$F$14,0)),0)</f>
        <v>0</v>
      </c>
      <c r="S321" s="10">
        <f>IFERROR(IF(('Loading-rail'!$C$21)="No control",SUMIF(('Loading-rail'!$B$31:$B$48),$J321,('Loading-rail'!$D$31:$D$48))*Impacts!$F$15,IF(('Loading-rail'!$C$21)&lt;&gt;"No control",SUMIF(('Loading-rail'!$B$31:$B$48),$J321,('Loading-rail'!$E$31:$E$48))*Impacts!$F$15,0)),0)</f>
        <v>0</v>
      </c>
      <c r="T321" s="10">
        <f>IF(Flare!$C$7="",0,(SUMIF(Flare!$B$46:$B$185,$J321,Flare!$E$46:$E$185)*Impacts!$F$16))</f>
        <v>0</v>
      </c>
      <c r="U321" s="10">
        <f>IF(VCU!$C$9="",0,(SUMIF(VCU!$B$51:$B$193,$J321,VCU!$E$51:$E$193)*Impacts!$F$17))</f>
        <v>0</v>
      </c>
      <c r="V321" s="10">
        <f>IF(CAS!$C$7="",0,(SUMIF(CAS!$B$31:$B$167,$J321,CAS!$E$31:$E$167)*Impacts!$F$18))</f>
        <v>0</v>
      </c>
      <c r="W321" s="10">
        <f t="shared" si="46"/>
        <v>0</v>
      </c>
      <c r="AK321" s="10" t="str">
        <f t="array" ref="AK321">IFERROR(INDEX(SelectedSpecies,SMALL(IF(SelectedSpecies=AK$1,ROW(SelectedSpecies)),ROW(322:322)),2),"")</f>
        <v/>
      </c>
      <c r="BE321" s="10"/>
      <c r="BI321" s="10"/>
    </row>
    <row r="322" spans="1:61" ht="21" customHeight="1" x14ac:dyDescent="0.25">
      <c r="A322" s="10"/>
      <c r="B322" s="10"/>
      <c r="E322" s="10"/>
      <c r="G322" s="10"/>
      <c r="I322" s="436" t="s">
        <v>3605</v>
      </c>
      <c r="J322" s="26" t="s">
        <v>3604</v>
      </c>
      <c r="K322" s="10">
        <v>7.5</v>
      </c>
      <c r="L322" s="73">
        <f>IF(Tank1!$C$23="No control",(SUMIF(Tank1!$B$32:$B$49,$J322,Tank1!$C$32:$C$49)*Impacts!$F$8),0)</f>
        <v>0</v>
      </c>
      <c r="M322" s="10">
        <f>IF(Tank2!$C$23="No control",(SUMIF(Tank2!$B$32:$B$49,$J322,Tank2!$C$32:$C$49)*Impacts!$F$9),0)</f>
        <v>0</v>
      </c>
      <c r="N322" s="10">
        <f>IF(Tank3!$C$23="No control",(SUMIF(Tank3!$B$32:$B$49,$J322,Tank3!$C$32:$C$49)*Impacts!$F$10),0)</f>
        <v>0</v>
      </c>
      <c r="O322" s="10">
        <f>IF(Tank4!$C$23="No control",(SUMIF(Tank4!$B$32:$B$49,$J322,Tank4!$C$32:$C$49)*Impacts!$F$11),0)</f>
        <v>0</v>
      </c>
      <c r="P322" s="10">
        <f>IF(Tank5!$C$23="No control",(SUMIF(Tank5!$B$32:$B$49,$J322,Tank5!$C$32:$C$49)*Impacts!$F$12),0)</f>
        <v>0</v>
      </c>
      <c r="Q322" s="10">
        <f>IFERROR(IF(('Loading-drum,tote'!$C$21)="No control",SUMIF(('Loading-drum,tote'!$B$31:$B$48),$J322,('Loading-drum,tote'!$D$31:$D$48))*Impacts!$F$13,IF(('Loading-drum,tote'!$C$21)&lt;&gt;"No control",SUMIF(('Loading-drum,tote'!$B$31:$B$48),$J322,('Loading-drum,tote'!$E$31:$E$48))*Impacts!$F$13,0)),0)</f>
        <v>0</v>
      </c>
      <c r="R322" s="10">
        <f>IFERROR(IF(('Loading-truck'!$C$21)="No control",SUMIF(('Loading-truck'!$B$31:$B$48),$J322,('Loading-truck'!$D$31:$D$48))*Impacts!$F$14,IF(('Loading-truck'!$C$21)&lt;&gt;"No control",SUMIF(('Loading-truck'!$B$31:$B$48),$J322,('Loading-truck'!$E$31:$E$48))*Impacts!$F$14,0)),0)</f>
        <v>0</v>
      </c>
      <c r="S322" s="10">
        <f>IFERROR(IF(('Loading-rail'!$C$21)="No control",SUMIF(('Loading-rail'!$B$31:$B$48),$J322,('Loading-rail'!$D$31:$D$48))*Impacts!$F$15,IF(('Loading-rail'!$C$21)&lt;&gt;"No control",SUMIF(('Loading-rail'!$B$31:$B$48),$J322,('Loading-rail'!$E$31:$E$48))*Impacts!$F$15,0)),0)</f>
        <v>0</v>
      </c>
      <c r="T322" s="10">
        <f>IF(Flare!$C$7="",0,(SUMIF(Flare!$B$46:$B$185,$J322,Flare!$E$46:$E$185)*Impacts!$F$16))</f>
        <v>0</v>
      </c>
      <c r="U322" s="10">
        <f>IF(VCU!$C$9="",0,(SUMIF(VCU!$B$51:$B$193,$J322,VCU!$E$51:$E$193)*Impacts!$F$17))</f>
        <v>0</v>
      </c>
      <c r="V322" s="10">
        <f>IF(CAS!$C$7="",0,(SUMIF(CAS!$B$31:$B$167,$J322,CAS!$E$31:$E$167)*Impacts!$F$18))</f>
        <v>0</v>
      </c>
      <c r="W322" s="10">
        <f t="shared" si="46"/>
        <v>0</v>
      </c>
      <c r="AK322" s="10" t="str">
        <f t="array" ref="AK322">IFERROR(INDEX(SelectedSpecies,SMALL(IF(SelectedSpecies=AK$1,ROW(SelectedSpecies)),ROW(323:323)),2),"")</f>
        <v/>
      </c>
      <c r="BE322" s="10"/>
      <c r="BI322" s="10"/>
    </row>
    <row r="323" spans="1:61" ht="21" customHeight="1" x14ac:dyDescent="0.25">
      <c r="A323" s="10"/>
      <c r="B323" s="10"/>
      <c r="E323" s="10"/>
      <c r="G323" s="10"/>
      <c r="I323" s="436" t="s">
        <v>6682</v>
      </c>
      <c r="J323" s="26" t="s">
        <v>6681</v>
      </c>
      <c r="K323" s="10">
        <v>0.54</v>
      </c>
      <c r="L323" s="73">
        <f>IF(Tank1!$C$23="No control",(SUMIF(Tank1!$B$32:$B$49,$J323,Tank1!$C$32:$C$49)*Impacts!$F$8),0)</f>
        <v>0</v>
      </c>
      <c r="M323" s="10">
        <f>IF(Tank2!$C$23="No control",(SUMIF(Tank2!$B$32:$B$49,$J323,Tank2!$C$32:$C$49)*Impacts!$F$9),0)</f>
        <v>0</v>
      </c>
      <c r="N323" s="10">
        <f>IF(Tank3!$C$23="No control",(SUMIF(Tank3!$B$32:$B$49,$J323,Tank3!$C$32:$C$49)*Impacts!$F$10),0)</f>
        <v>0</v>
      </c>
      <c r="O323" s="10">
        <f>IF(Tank4!$C$23="No control",(SUMIF(Tank4!$B$32:$B$49,$J323,Tank4!$C$32:$C$49)*Impacts!$F$11),0)</f>
        <v>0</v>
      </c>
      <c r="P323" s="10">
        <f>IF(Tank5!$C$23="No control",(SUMIF(Tank5!$B$32:$B$49,$J323,Tank5!$C$32:$C$49)*Impacts!$F$12),0)</f>
        <v>0</v>
      </c>
      <c r="Q323" s="10">
        <f>IFERROR(IF(('Loading-drum,tote'!$C$21)="No control",SUMIF(('Loading-drum,tote'!$B$31:$B$48),$J323,('Loading-drum,tote'!$D$31:$D$48))*Impacts!$F$13,IF(('Loading-drum,tote'!$C$21)&lt;&gt;"No control",SUMIF(('Loading-drum,tote'!$B$31:$B$48),$J323,('Loading-drum,tote'!$E$31:$E$48))*Impacts!$F$13,0)),0)</f>
        <v>0</v>
      </c>
      <c r="R323" s="10">
        <f>IFERROR(IF(('Loading-truck'!$C$21)="No control",SUMIF(('Loading-truck'!$B$31:$B$48),$J323,('Loading-truck'!$D$31:$D$48))*Impacts!$F$14,IF(('Loading-truck'!$C$21)&lt;&gt;"No control",SUMIF(('Loading-truck'!$B$31:$B$48),$J323,('Loading-truck'!$E$31:$E$48))*Impacts!$F$14,0)),0)</f>
        <v>0</v>
      </c>
      <c r="S323" s="10">
        <f>IFERROR(IF(('Loading-rail'!$C$21)="No control",SUMIF(('Loading-rail'!$B$31:$B$48),$J323,('Loading-rail'!$D$31:$D$48))*Impacts!$F$15,IF(('Loading-rail'!$C$21)&lt;&gt;"No control",SUMIF(('Loading-rail'!$B$31:$B$48),$J323,('Loading-rail'!$E$31:$E$48))*Impacts!$F$15,0)),0)</f>
        <v>0</v>
      </c>
      <c r="T323" s="10">
        <f>IF(Flare!$C$7="",0,(SUMIF(Flare!$B$46:$B$185,$J323,Flare!$E$46:$E$185)*Impacts!$F$16))</f>
        <v>0</v>
      </c>
      <c r="U323" s="10">
        <f>IF(VCU!$C$9="",0,(SUMIF(VCU!$B$51:$B$193,$J323,VCU!$E$51:$E$193)*Impacts!$F$17))</f>
        <v>0</v>
      </c>
      <c r="V323" s="10">
        <f>IF(CAS!$C$7="",0,(SUMIF(CAS!$B$31:$B$167,$J323,CAS!$E$31:$E$167)*Impacts!$F$18))</f>
        <v>0</v>
      </c>
      <c r="W323" s="10">
        <f t="shared" ref="W323:W386" si="47">SUM(L323:V323)</f>
        <v>0</v>
      </c>
      <c r="AK323" s="10" t="str">
        <f t="array" ref="AK323">IFERROR(INDEX(SelectedSpecies,SMALL(IF(SelectedSpecies=AK$1,ROW(SelectedSpecies)),ROW(324:324)),2),"")</f>
        <v/>
      </c>
      <c r="BE323" s="10"/>
      <c r="BI323" s="10"/>
    </row>
    <row r="324" spans="1:61" ht="21" customHeight="1" x14ac:dyDescent="0.25">
      <c r="A324" s="10"/>
      <c r="B324" s="10"/>
      <c r="E324" s="10"/>
      <c r="G324" s="10"/>
      <c r="I324" s="436" t="s">
        <v>580</v>
      </c>
      <c r="J324" s="26" t="s">
        <v>579</v>
      </c>
      <c r="K324" s="10">
        <v>85</v>
      </c>
      <c r="L324" s="73">
        <f>IF(Tank1!$C$23="No control",(SUMIF(Tank1!$B$32:$B$49,$J324,Tank1!$C$32:$C$49)*Impacts!$F$8),0)</f>
        <v>0</v>
      </c>
      <c r="M324" s="10">
        <f>IF(Tank2!$C$23="No control",(SUMIF(Tank2!$B$32:$B$49,$J324,Tank2!$C$32:$C$49)*Impacts!$F$9),0)</f>
        <v>0</v>
      </c>
      <c r="N324" s="10">
        <f>IF(Tank3!$C$23="No control",(SUMIF(Tank3!$B$32:$B$49,$J324,Tank3!$C$32:$C$49)*Impacts!$F$10),0)</f>
        <v>0</v>
      </c>
      <c r="O324" s="10">
        <f>IF(Tank4!$C$23="No control",(SUMIF(Tank4!$B$32:$B$49,$J324,Tank4!$C$32:$C$49)*Impacts!$F$11),0)</f>
        <v>0</v>
      </c>
      <c r="P324" s="10">
        <f>IF(Tank5!$C$23="No control",(SUMIF(Tank5!$B$32:$B$49,$J324,Tank5!$C$32:$C$49)*Impacts!$F$12),0)</f>
        <v>0</v>
      </c>
      <c r="Q324" s="10">
        <f>IFERROR(IF(('Loading-drum,tote'!$C$21)="No control",SUMIF(('Loading-drum,tote'!$B$31:$B$48),$J324,('Loading-drum,tote'!$D$31:$D$48))*Impacts!$F$13,IF(('Loading-drum,tote'!$C$21)&lt;&gt;"No control",SUMIF(('Loading-drum,tote'!$B$31:$B$48),$J324,('Loading-drum,tote'!$E$31:$E$48))*Impacts!$F$13,0)),0)</f>
        <v>0</v>
      </c>
      <c r="R324" s="10">
        <f>IFERROR(IF(('Loading-truck'!$C$21)="No control",SUMIF(('Loading-truck'!$B$31:$B$48),$J324,('Loading-truck'!$D$31:$D$48))*Impacts!$F$14,IF(('Loading-truck'!$C$21)&lt;&gt;"No control",SUMIF(('Loading-truck'!$B$31:$B$48),$J324,('Loading-truck'!$E$31:$E$48))*Impacts!$F$14,0)),0)</f>
        <v>0</v>
      </c>
      <c r="S324" s="10">
        <f>IFERROR(IF(('Loading-rail'!$C$21)="No control",SUMIF(('Loading-rail'!$B$31:$B$48),$J324,('Loading-rail'!$D$31:$D$48))*Impacts!$F$15,IF(('Loading-rail'!$C$21)&lt;&gt;"No control",SUMIF(('Loading-rail'!$B$31:$B$48),$J324,('Loading-rail'!$E$31:$E$48))*Impacts!$F$15,0)),0)</f>
        <v>0</v>
      </c>
      <c r="T324" s="10">
        <f>IF(Flare!$C$7="",0,(SUMIF(Flare!$B$46:$B$185,$J324,Flare!$E$46:$E$185)*Impacts!$F$16))</f>
        <v>0</v>
      </c>
      <c r="U324" s="10">
        <f>IF(VCU!$C$9="",0,(SUMIF(VCU!$B$51:$B$193,$J324,VCU!$E$51:$E$193)*Impacts!$F$17))</f>
        <v>0</v>
      </c>
      <c r="V324" s="10">
        <f>IF(CAS!$C$7="",0,(SUMIF(CAS!$B$31:$B$167,$J324,CAS!$E$31:$E$167)*Impacts!$F$18))</f>
        <v>0</v>
      </c>
      <c r="W324" s="10">
        <f t="shared" si="47"/>
        <v>0</v>
      </c>
      <c r="AK324" s="10" t="str">
        <f t="array" ref="AK324">IFERROR(INDEX(SelectedSpecies,SMALL(IF(SelectedSpecies=AK$1,ROW(SelectedSpecies)),ROW(325:325)),2),"")</f>
        <v/>
      </c>
      <c r="BE324" s="10"/>
      <c r="BI324" s="10"/>
    </row>
    <row r="325" spans="1:61" ht="21" customHeight="1" x14ac:dyDescent="0.25">
      <c r="A325" s="10"/>
      <c r="B325" s="10"/>
      <c r="E325" s="10"/>
      <c r="G325" s="10"/>
      <c r="I325" s="436" t="s">
        <v>950</v>
      </c>
      <c r="J325" s="26" t="s">
        <v>949</v>
      </c>
      <c r="K325" s="10">
        <v>42</v>
      </c>
      <c r="L325" s="73">
        <f>IF(Tank1!$C$23="No control",(SUMIF(Tank1!$B$32:$B$49,$J325,Tank1!$C$32:$C$49)*Impacts!$F$8),0)</f>
        <v>0</v>
      </c>
      <c r="M325" s="10">
        <f>IF(Tank2!$C$23="No control",(SUMIF(Tank2!$B$32:$B$49,$J325,Tank2!$C$32:$C$49)*Impacts!$F$9),0)</f>
        <v>0</v>
      </c>
      <c r="N325" s="10">
        <f>IF(Tank3!$C$23="No control",(SUMIF(Tank3!$B$32:$B$49,$J325,Tank3!$C$32:$C$49)*Impacts!$F$10),0)</f>
        <v>0</v>
      </c>
      <c r="O325" s="10">
        <f>IF(Tank4!$C$23="No control",(SUMIF(Tank4!$B$32:$B$49,$J325,Tank4!$C$32:$C$49)*Impacts!$F$11),0)</f>
        <v>0</v>
      </c>
      <c r="P325" s="10">
        <f>IF(Tank5!$C$23="No control",(SUMIF(Tank5!$B$32:$B$49,$J325,Tank5!$C$32:$C$49)*Impacts!$F$12),0)</f>
        <v>0</v>
      </c>
      <c r="Q325" s="10">
        <f>IFERROR(IF(('Loading-drum,tote'!$C$21)="No control",SUMIF(('Loading-drum,tote'!$B$31:$B$48),$J325,('Loading-drum,tote'!$D$31:$D$48))*Impacts!$F$13,IF(('Loading-drum,tote'!$C$21)&lt;&gt;"No control",SUMIF(('Loading-drum,tote'!$B$31:$B$48),$J325,('Loading-drum,tote'!$E$31:$E$48))*Impacts!$F$13,0)),0)</f>
        <v>0</v>
      </c>
      <c r="R325" s="10">
        <f>IFERROR(IF(('Loading-truck'!$C$21)="No control",SUMIF(('Loading-truck'!$B$31:$B$48),$J325,('Loading-truck'!$D$31:$D$48))*Impacts!$F$14,IF(('Loading-truck'!$C$21)&lt;&gt;"No control",SUMIF(('Loading-truck'!$B$31:$B$48),$J325,('Loading-truck'!$E$31:$E$48))*Impacts!$F$14,0)),0)</f>
        <v>0</v>
      </c>
      <c r="S325" s="10">
        <f>IFERROR(IF(('Loading-rail'!$C$21)="No control",SUMIF(('Loading-rail'!$B$31:$B$48),$J325,('Loading-rail'!$D$31:$D$48))*Impacts!$F$15,IF(('Loading-rail'!$C$21)&lt;&gt;"No control",SUMIF(('Loading-rail'!$B$31:$B$48),$J325,('Loading-rail'!$E$31:$E$48))*Impacts!$F$15,0)),0)</f>
        <v>0</v>
      </c>
      <c r="T325" s="10">
        <f>IF(Flare!$C$7="",0,(SUMIF(Flare!$B$46:$B$185,$J325,Flare!$E$46:$E$185)*Impacts!$F$16))</f>
        <v>0</v>
      </c>
      <c r="U325" s="10">
        <f>IF(VCU!$C$9="",0,(SUMIF(VCU!$B$51:$B$193,$J325,VCU!$E$51:$E$193)*Impacts!$F$17))</f>
        <v>0</v>
      </c>
      <c r="V325" s="10">
        <f>IF(CAS!$C$7="",0,(SUMIF(CAS!$B$31:$B$167,$J325,CAS!$E$31:$E$167)*Impacts!$F$18))</f>
        <v>0</v>
      </c>
      <c r="W325" s="10">
        <f t="shared" si="47"/>
        <v>0</v>
      </c>
      <c r="AK325" s="10" t="str">
        <f t="array" ref="AK325">IFERROR(INDEX(SelectedSpecies,SMALL(IF(SelectedSpecies=AK$1,ROW(SelectedSpecies)),ROW(326:326)),2),"")</f>
        <v/>
      </c>
      <c r="BE325" s="10"/>
      <c r="BI325" s="10"/>
    </row>
    <row r="326" spans="1:61" ht="21" customHeight="1" x14ac:dyDescent="0.25">
      <c r="A326" s="10"/>
      <c r="B326" s="10"/>
      <c r="E326" s="10"/>
      <c r="G326" s="10"/>
      <c r="I326" s="436" t="s">
        <v>4403</v>
      </c>
      <c r="J326" s="26" t="s">
        <v>4402</v>
      </c>
      <c r="K326" s="10">
        <v>4.6000000000000005</v>
      </c>
      <c r="L326" s="73">
        <f>IF(Tank1!$C$23="No control",(SUMIF(Tank1!$B$32:$B$49,$J326,Tank1!$C$32:$C$49)*Impacts!$F$8),0)</f>
        <v>0</v>
      </c>
      <c r="M326" s="10">
        <f>IF(Tank2!$C$23="No control",(SUMIF(Tank2!$B$32:$B$49,$J326,Tank2!$C$32:$C$49)*Impacts!$F$9),0)</f>
        <v>0</v>
      </c>
      <c r="N326" s="10">
        <f>IF(Tank3!$C$23="No control",(SUMIF(Tank3!$B$32:$B$49,$J326,Tank3!$C$32:$C$49)*Impacts!$F$10),0)</f>
        <v>0</v>
      </c>
      <c r="O326" s="10">
        <f>IF(Tank4!$C$23="No control",(SUMIF(Tank4!$B$32:$B$49,$J326,Tank4!$C$32:$C$49)*Impacts!$F$11),0)</f>
        <v>0</v>
      </c>
      <c r="P326" s="10">
        <f>IF(Tank5!$C$23="No control",(SUMIF(Tank5!$B$32:$B$49,$J326,Tank5!$C$32:$C$49)*Impacts!$F$12),0)</f>
        <v>0</v>
      </c>
      <c r="Q326" s="10">
        <f>IFERROR(IF(('Loading-drum,tote'!$C$21)="No control",SUMIF(('Loading-drum,tote'!$B$31:$B$48),$J326,('Loading-drum,tote'!$D$31:$D$48))*Impacts!$F$13,IF(('Loading-drum,tote'!$C$21)&lt;&gt;"No control",SUMIF(('Loading-drum,tote'!$B$31:$B$48),$J326,('Loading-drum,tote'!$E$31:$E$48))*Impacts!$F$13,0)),0)</f>
        <v>0</v>
      </c>
      <c r="R326" s="10">
        <f>IFERROR(IF(('Loading-truck'!$C$21)="No control",SUMIF(('Loading-truck'!$B$31:$B$48),$J326,('Loading-truck'!$D$31:$D$48))*Impacts!$F$14,IF(('Loading-truck'!$C$21)&lt;&gt;"No control",SUMIF(('Loading-truck'!$B$31:$B$48),$J326,('Loading-truck'!$E$31:$E$48))*Impacts!$F$14,0)),0)</f>
        <v>0</v>
      </c>
      <c r="S326" s="10">
        <f>IFERROR(IF(('Loading-rail'!$C$21)="No control",SUMIF(('Loading-rail'!$B$31:$B$48),$J326,('Loading-rail'!$D$31:$D$48))*Impacts!$F$15,IF(('Loading-rail'!$C$21)&lt;&gt;"No control",SUMIF(('Loading-rail'!$B$31:$B$48),$J326,('Loading-rail'!$E$31:$E$48))*Impacts!$F$15,0)),0)</f>
        <v>0</v>
      </c>
      <c r="T326" s="10">
        <f>IF(Flare!$C$7="",0,(SUMIF(Flare!$B$46:$B$185,$J326,Flare!$E$46:$E$185)*Impacts!$F$16))</f>
        <v>0</v>
      </c>
      <c r="U326" s="10">
        <f>IF(VCU!$C$9="",0,(SUMIF(VCU!$B$51:$B$193,$J326,VCU!$E$51:$E$193)*Impacts!$F$17))</f>
        <v>0</v>
      </c>
      <c r="V326" s="10">
        <f>IF(CAS!$C$7="",0,(SUMIF(CAS!$B$31:$B$167,$J326,CAS!$E$31:$E$167)*Impacts!$F$18))</f>
        <v>0</v>
      </c>
      <c r="W326" s="10">
        <f t="shared" si="47"/>
        <v>0</v>
      </c>
      <c r="AK326" s="10" t="str">
        <f t="array" ref="AK326">IFERROR(INDEX(SelectedSpecies,SMALL(IF(SelectedSpecies=AK$1,ROW(SelectedSpecies)),ROW(327:327)),2),"")</f>
        <v/>
      </c>
      <c r="BE326" s="10"/>
      <c r="BI326" s="10"/>
    </row>
    <row r="327" spans="1:61" ht="21" customHeight="1" x14ac:dyDescent="0.25">
      <c r="A327" s="10"/>
      <c r="B327" s="10"/>
      <c r="E327" s="10"/>
      <c r="G327" s="10"/>
      <c r="I327" s="436" t="s">
        <v>6720</v>
      </c>
      <c r="J327" s="26" t="s">
        <v>6719</v>
      </c>
      <c r="K327" s="10">
        <v>0.5</v>
      </c>
      <c r="L327" s="73">
        <f>IF(Tank1!$C$23="No control",(SUMIF(Tank1!$B$32:$B$49,$J327,Tank1!$C$32:$C$49)*Impacts!$F$8),0)</f>
        <v>0</v>
      </c>
      <c r="M327" s="10">
        <f>IF(Tank2!$C$23="No control",(SUMIF(Tank2!$B$32:$B$49,$J327,Tank2!$C$32:$C$49)*Impacts!$F$9),0)</f>
        <v>0</v>
      </c>
      <c r="N327" s="10">
        <f>IF(Tank3!$C$23="No control",(SUMIF(Tank3!$B$32:$B$49,$J327,Tank3!$C$32:$C$49)*Impacts!$F$10),0)</f>
        <v>0</v>
      </c>
      <c r="O327" s="10">
        <f>IF(Tank4!$C$23="No control",(SUMIF(Tank4!$B$32:$B$49,$J327,Tank4!$C$32:$C$49)*Impacts!$F$11),0)</f>
        <v>0</v>
      </c>
      <c r="P327" s="10">
        <f>IF(Tank5!$C$23="No control",(SUMIF(Tank5!$B$32:$B$49,$J327,Tank5!$C$32:$C$49)*Impacts!$F$12),0)</f>
        <v>0</v>
      </c>
      <c r="Q327" s="10">
        <f>IFERROR(IF(('Loading-drum,tote'!$C$21)="No control",SUMIF(('Loading-drum,tote'!$B$31:$B$48),$J327,('Loading-drum,tote'!$D$31:$D$48))*Impacts!$F$13,IF(('Loading-drum,tote'!$C$21)&lt;&gt;"No control",SUMIF(('Loading-drum,tote'!$B$31:$B$48),$J327,('Loading-drum,tote'!$E$31:$E$48))*Impacts!$F$13,0)),0)</f>
        <v>0</v>
      </c>
      <c r="R327" s="10">
        <f>IFERROR(IF(('Loading-truck'!$C$21)="No control",SUMIF(('Loading-truck'!$B$31:$B$48),$J327,('Loading-truck'!$D$31:$D$48))*Impacts!$F$14,IF(('Loading-truck'!$C$21)&lt;&gt;"No control",SUMIF(('Loading-truck'!$B$31:$B$48),$J327,('Loading-truck'!$E$31:$E$48))*Impacts!$F$14,0)),0)</f>
        <v>0</v>
      </c>
      <c r="S327" s="10">
        <f>IFERROR(IF(('Loading-rail'!$C$21)="No control",SUMIF(('Loading-rail'!$B$31:$B$48),$J327,('Loading-rail'!$D$31:$D$48))*Impacts!$F$15,IF(('Loading-rail'!$C$21)&lt;&gt;"No control",SUMIF(('Loading-rail'!$B$31:$B$48),$J327,('Loading-rail'!$E$31:$E$48))*Impacts!$F$15,0)),0)</f>
        <v>0</v>
      </c>
      <c r="T327" s="10">
        <f>IF(Flare!$C$7="",0,(SUMIF(Flare!$B$46:$B$185,$J327,Flare!$E$46:$E$185)*Impacts!$F$16))</f>
        <v>0</v>
      </c>
      <c r="U327" s="10">
        <f>IF(VCU!$C$9="",0,(SUMIF(VCU!$B$51:$B$193,$J327,VCU!$E$51:$E$193)*Impacts!$F$17))</f>
        <v>0</v>
      </c>
      <c r="V327" s="10">
        <f>IF(CAS!$C$7="",0,(SUMIF(CAS!$B$31:$B$167,$J327,CAS!$E$31:$E$167)*Impacts!$F$18))</f>
        <v>0</v>
      </c>
      <c r="W327" s="10">
        <f t="shared" si="47"/>
        <v>0</v>
      </c>
      <c r="AK327" s="10" t="str">
        <f t="array" ref="AK327">IFERROR(INDEX(SelectedSpecies,SMALL(IF(SelectedSpecies=AK$1,ROW(SelectedSpecies)),ROW(328:328)),2),"")</f>
        <v/>
      </c>
      <c r="BE327" s="10"/>
      <c r="BI327" s="10"/>
    </row>
    <row r="328" spans="1:61" ht="21" customHeight="1" x14ac:dyDescent="0.25">
      <c r="A328" s="10"/>
      <c r="B328" s="10"/>
      <c r="E328" s="10"/>
      <c r="G328" s="10"/>
      <c r="I328" s="436" t="s">
        <v>5547</v>
      </c>
      <c r="J328" s="26" t="s">
        <v>5546</v>
      </c>
      <c r="K328" s="10">
        <v>1.2000000000000002</v>
      </c>
      <c r="L328" s="73">
        <f>IF(Tank1!$C$23="No control",(SUMIF(Tank1!$B$32:$B$49,$J328,Tank1!$C$32:$C$49)*Impacts!$F$8),0)</f>
        <v>0</v>
      </c>
      <c r="M328" s="10">
        <f>IF(Tank2!$C$23="No control",(SUMIF(Tank2!$B$32:$B$49,$J328,Tank2!$C$32:$C$49)*Impacts!$F$9),0)</f>
        <v>0</v>
      </c>
      <c r="N328" s="10">
        <f>IF(Tank3!$C$23="No control",(SUMIF(Tank3!$B$32:$B$49,$J328,Tank3!$C$32:$C$49)*Impacts!$F$10),0)</f>
        <v>0</v>
      </c>
      <c r="O328" s="10">
        <f>IF(Tank4!$C$23="No control",(SUMIF(Tank4!$B$32:$B$49,$J328,Tank4!$C$32:$C$49)*Impacts!$F$11),0)</f>
        <v>0</v>
      </c>
      <c r="P328" s="10">
        <f>IF(Tank5!$C$23="No control",(SUMIF(Tank5!$B$32:$B$49,$J328,Tank5!$C$32:$C$49)*Impacts!$F$12),0)</f>
        <v>0</v>
      </c>
      <c r="Q328" s="10">
        <f>IFERROR(IF(('Loading-drum,tote'!$C$21)="No control",SUMIF(('Loading-drum,tote'!$B$31:$B$48),$J328,('Loading-drum,tote'!$D$31:$D$48))*Impacts!$F$13,IF(('Loading-drum,tote'!$C$21)&lt;&gt;"No control",SUMIF(('Loading-drum,tote'!$B$31:$B$48),$J328,('Loading-drum,tote'!$E$31:$E$48))*Impacts!$F$13,0)),0)</f>
        <v>0</v>
      </c>
      <c r="R328" s="10">
        <f>IFERROR(IF(('Loading-truck'!$C$21)="No control",SUMIF(('Loading-truck'!$B$31:$B$48),$J328,('Loading-truck'!$D$31:$D$48))*Impacts!$F$14,IF(('Loading-truck'!$C$21)&lt;&gt;"No control",SUMIF(('Loading-truck'!$B$31:$B$48),$J328,('Loading-truck'!$E$31:$E$48))*Impacts!$F$14,0)),0)</f>
        <v>0</v>
      </c>
      <c r="S328" s="10">
        <f>IFERROR(IF(('Loading-rail'!$C$21)="No control",SUMIF(('Loading-rail'!$B$31:$B$48),$J328,('Loading-rail'!$D$31:$D$48))*Impacts!$F$15,IF(('Loading-rail'!$C$21)&lt;&gt;"No control",SUMIF(('Loading-rail'!$B$31:$B$48),$J328,('Loading-rail'!$E$31:$E$48))*Impacts!$F$15,0)),0)</f>
        <v>0</v>
      </c>
      <c r="T328" s="10">
        <f>IF(Flare!$C$7="",0,(SUMIF(Flare!$B$46:$B$185,$J328,Flare!$E$46:$E$185)*Impacts!$F$16))</f>
        <v>0</v>
      </c>
      <c r="U328" s="10">
        <f>IF(VCU!$C$9="",0,(SUMIF(VCU!$B$51:$B$193,$J328,VCU!$E$51:$E$193)*Impacts!$F$17))</f>
        <v>0</v>
      </c>
      <c r="V328" s="10">
        <f>IF(CAS!$C$7="",0,(SUMIF(CAS!$B$31:$B$167,$J328,CAS!$E$31:$E$167)*Impacts!$F$18))</f>
        <v>0</v>
      </c>
      <c r="W328" s="10">
        <f t="shared" si="47"/>
        <v>0</v>
      </c>
      <c r="AK328" s="10" t="str">
        <f t="array" ref="AK328">IFERROR(INDEX(SelectedSpecies,SMALL(IF(SelectedSpecies=AK$1,ROW(SelectedSpecies)),ROW(329:329)),2),"")</f>
        <v/>
      </c>
      <c r="BE328" s="10"/>
      <c r="BI328" s="10"/>
    </row>
    <row r="329" spans="1:61" ht="21" customHeight="1" x14ac:dyDescent="0.25">
      <c r="A329" s="10"/>
      <c r="B329" s="10"/>
      <c r="E329" s="10"/>
      <c r="G329" s="10"/>
      <c r="I329" s="436" t="s">
        <v>3643</v>
      </c>
      <c r="J329" s="26" t="s">
        <v>3642</v>
      </c>
      <c r="K329" s="10">
        <v>7.2</v>
      </c>
      <c r="L329" s="73">
        <f>IF(Tank1!$C$23="No control",(SUMIF(Tank1!$B$32:$B$49,$J329,Tank1!$C$32:$C$49)*Impacts!$F$8),0)</f>
        <v>0</v>
      </c>
      <c r="M329" s="10">
        <f>IF(Tank2!$C$23="No control",(SUMIF(Tank2!$B$32:$B$49,$J329,Tank2!$C$32:$C$49)*Impacts!$F$9),0)</f>
        <v>0</v>
      </c>
      <c r="N329" s="10">
        <f>IF(Tank3!$C$23="No control",(SUMIF(Tank3!$B$32:$B$49,$J329,Tank3!$C$32:$C$49)*Impacts!$F$10),0)</f>
        <v>0</v>
      </c>
      <c r="O329" s="10">
        <f>IF(Tank4!$C$23="No control",(SUMIF(Tank4!$B$32:$B$49,$J329,Tank4!$C$32:$C$49)*Impacts!$F$11),0)</f>
        <v>0</v>
      </c>
      <c r="P329" s="10">
        <f>IF(Tank5!$C$23="No control",(SUMIF(Tank5!$B$32:$B$49,$J329,Tank5!$C$32:$C$49)*Impacts!$F$12),0)</f>
        <v>0</v>
      </c>
      <c r="Q329" s="10">
        <f>IFERROR(IF(('Loading-drum,tote'!$C$21)="No control",SUMIF(('Loading-drum,tote'!$B$31:$B$48),$J329,('Loading-drum,tote'!$D$31:$D$48))*Impacts!$F$13,IF(('Loading-drum,tote'!$C$21)&lt;&gt;"No control",SUMIF(('Loading-drum,tote'!$B$31:$B$48),$J329,('Loading-drum,tote'!$E$31:$E$48))*Impacts!$F$13,0)),0)</f>
        <v>0</v>
      </c>
      <c r="R329" s="10">
        <f>IFERROR(IF(('Loading-truck'!$C$21)="No control",SUMIF(('Loading-truck'!$B$31:$B$48),$J329,('Loading-truck'!$D$31:$D$48))*Impacts!$F$14,IF(('Loading-truck'!$C$21)&lt;&gt;"No control",SUMIF(('Loading-truck'!$B$31:$B$48),$J329,('Loading-truck'!$E$31:$E$48))*Impacts!$F$14,0)),0)</f>
        <v>0</v>
      </c>
      <c r="S329" s="10">
        <f>IFERROR(IF(('Loading-rail'!$C$21)="No control",SUMIF(('Loading-rail'!$B$31:$B$48),$J329,('Loading-rail'!$D$31:$D$48))*Impacts!$F$15,IF(('Loading-rail'!$C$21)&lt;&gt;"No control",SUMIF(('Loading-rail'!$B$31:$B$48),$J329,('Loading-rail'!$E$31:$E$48))*Impacts!$F$15,0)),0)</f>
        <v>0</v>
      </c>
      <c r="T329" s="10">
        <f>IF(Flare!$C$7="",0,(SUMIF(Flare!$B$46:$B$185,$J329,Flare!$E$46:$E$185)*Impacts!$F$16))</f>
        <v>0</v>
      </c>
      <c r="U329" s="10">
        <f>IF(VCU!$C$9="",0,(SUMIF(VCU!$B$51:$B$193,$J329,VCU!$E$51:$E$193)*Impacts!$F$17))</f>
        <v>0</v>
      </c>
      <c r="V329" s="10">
        <f>IF(CAS!$C$7="",0,(SUMIF(CAS!$B$31:$B$167,$J329,CAS!$E$31:$E$167)*Impacts!$F$18))</f>
        <v>0</v>
      </c>
      <c r="W329" s="10">
        <f t="shared" si="47"/>
        <v>0</v>
      </c>
      <c r="AK329" s="10" t="str">
        <f t="array" ref="AK329">IFERROR(INDEX(SelectedSpecies,SMALL(IF(SelectedSpecies=AK$1,ROW(SelectedSpecies)),ROW(330:330)),2),"")</f>
        <v/>
      </c>
      <c r="BE329" s="10"/>
      <c r="BI329" s="10"/>
    </row>
    <row r="330" spans="1:61" ht="21" customHeight="1" x14ac:dyDescent="0.25">
      <c r="A330" s="10"/>
      <c r="B330" s="10"/>
      <c r="E330" s="10"/>
      <c r="G330" s="10"/>
      <c r="I330" s="436" t="s">
        <v>7342</v>
      </c>
      <c r="J330" s="26" t="s">
        <v>7341</v>
      </c>
      <c r="K330" s="10">
        <v>0.25</v>
      </c>
      <c r="L330" s="73">
        <f>IF(Tank1!$C$23="No control",(SUMIF(Tank1!$B$32:$B$49,$J330,Tank1!$C$32:$C$49)*Impacts!$F$8),0)</f>
        <v>0</v>
      </c>
      <c r="M330" s="10">
        <f>IF(Tank2!$C$23="No control",(SUMIF(Tank2!$B$32:$B$49,$J330,Tank2!$C$32:$C$49)*Impacts!$F$9),0)</f>
        <v>0</v>
      </c>
      <c r="N330" s="10">
        <f>IF(Tank3!$C$23="No control",(SUMIF(Tank3!$B$32:$B$49,$J330,Tank3!$C$32:$C$49)*Impacts!$F$10),0)</f>
        <v>0</v>
      </c>
      <c r="O330" s="10">
        <f>IF(Tank4!$C$23="No control",(SUMIF(Tank4!$B$32:$B$49,$J330,Tank4!$C$32:$C$49)*Impacts!$F$11),0)</f>
        <v>0</v>
      </c>
      <c r="P330" s="10">
        <f>IF(Tank5!$C$23="No control",(SUMIF(Tank5!$B$32:$B$49,$J330,Tank5!$C$32:$C$49)*Impacts!$F$12),0)</f>
        <v>0</v>
      </c>
      <c r="Q330" s="10">
        <f>IFERROR(IF(('Loading-drum,tote'!$C$21)="No control",SUMIF(('Loading-drum,tote'!$B$31:$B$48),$J330,('Loading-drum,tote'!$D$31:$D$48))*Impacts!$F$13,IF(('Loading-drum,tote'!$C$21)&lt;&gt;"No control",SUMIF(('Loading-drum,tote'!$B$31:$B$48),$J330,('Loading-drum,tote'!$E$31:$E$48))*Impacts!$F$13,0)),0)</f>
        <v>0</v>
      </c>
      <c r="R330" s="10">
        <f>IFERROR(IF(('Loading-truck'!$C$21)="No control",SUMIF(('Loading-truck'!$B$31:$B$48),$J330,('Loading-truck'!$D$31:$D$48))*Impacts!$F$14,IF(('Loading-truck'!$C$21)&lt;&gt;"No control",SUMIF(('Loading-truck'!$B$31:$B$48),$J330,('Loading-truck'!$E$31:$E$48))*Impacts!$F$14,0)),0)</f>
        <v>0</v>
      </c>
      <c r="S330" s="10">
        <f>IFERROR(IF(('Loading-rail'!$C$21)="No control",SUMIF(('Loading-rail'!$B$31:$B$48),$J330,('Loading-rail'!$D$31:$D$48))*Impacts!$F$15,IF(('Loading-rail'!$C$21)&lt;&gt;"No control",SUMIF(('Loading-rail'!$B$31:$B$48),$J330,('Loading-rail'!$E$31:$E$48))*Impacts!$F$15,0)),0)</f>
        <v>0</v>
      </c>
      <c r="T330" s="10">
        <f>IF(Flare!$C$7="",0,(SUMIF(Flare!$B$46:$B$185,$J330,Flare!$E$46:$E$185)*Impacts!$F$16))</f>
        <v>0</v>
      </c>
      <c r="U330" s="10">
        <f>IF(VCU!$C$9="",0,(SUMIF(VCU!$B$51:$B$193,$J330,VCU!$E$51:$E$193)*Impacts!$F$17))</f>
        <v>0</v>
      </c>
      <c r="V330" s="10">
        <f>IF(CAS!$C$7="",0,(SUMIF(CAS!$B$31:$B$167,$J330,CAS!$E$31:$E$167)*Impacts!$F$18))</f>
        <v>0</v>
      </c>
      <c r="W330" s="10">
        <f t="shared" si="47"/>
        <v>0</v>
      </c>
      <c r="AK330" s="10" t="str">
        <f t="array" ref="AK330">IFERROR(INDEX(SelectedSpecies,SMALL(IF(SelectedSpecies=AK$1,ROW(SelectedSpecies)),ROW(331:331)),2),"")</f>
        <v/>
      </c>
      <c r="BE330" s="10"/>
      <c r="BI330" s="10"/>
    </row>
    <row r="331" spans="1:61" ht="21" customHeight="1" x14ac:dyDescent="0.25">
      <c r="A331" s="10"/>
      <c r="B331" s="10"/>
      <c r="E331" s="10"/>
      <c r="G331" s="10"/>
      <c r="I331" s="436" t="s">
        <v>7688</v>
      </c>
      <c r="J331" s="26" t="s">
        <v>7687</v>
      </c>
      <c r="K331" s="10">
        <v>0.1</v>
      </c>
      <c r="L331" s="73">
        <f>IF(Tank1!$C$23="No control",(SUMIF(Tank1!$B$32:$B$49,$J331,Tank1!$C$32:$C$49)*Impacts!$F$8),0)</f>
        <v>0</v>
      </c>
      <c r="M331" s="10">
        <f>IF(Tank2!$C$23="No control",(SUMIF(Tank2!$B$32:$B$49,$J331,Tank2!$C$32:$C$49)*Impacts!$F$9),0)</f>
        <v>0</v>
      </c>
      <c r="N331" s="10">
        <f>IF(Tank3!$C$23="No control",(SUMIF(Tank3!$B$32:$B$49,$J331,Tank3!$C$32:$C$49)*Impacts!$F$10),0)</f>
        <v>0</v>
      </c>
      <c r="O331" s="10">
        <f>IF(Tank4!$C$23="No control",(SUMIF(Tank4!$B$32:$B$49,$J331,Tank4!$C$32:$C$49)*Impacts!$F$11),0)</f>
        <v>0</v>
      </c>
      <c r="P331" s="10">
        <f>IF(Tank5!$C$23="No control",(SUMIF(Tank5!$B$32:$B$49,$J331,Tank5!$C$32:$C$49)*Impacts!$F$12),0)</f>
        <v>0</v>
      </c>
      <c r="Q331" s="10">
        <f>IFERROR(IF(('Loading-drum,tote'!$C$21)="No control",SUMIF(('Loading-drum,tote'!$B$31:$B$48),$J331,('Loading-drum,tote'!$D$31:$D$48))*Impacts!$F$13,IF(('Loading-drum,tote'!$C$21)&lt;&gt;"No control",SUMIF(('Loading-drum,tote'!$B$31:$B$48),$J331,('Loading-drum,tote'!$E$31:$E$48))*Impacts!$F$13,0)),0)</f>
        <v>0</v>
      </c>
      <c r="R331" s="10">
        <f>IFERROR(IF(('Loading-truck'!$C$21)="No control",SUMIF(('Loading-truck'!$B$31:$B$48),$J331,('Loading-truck'!$D$31:$D$48))*Impacts!$F$14,IF(('Loading-truck'!$C$21)&lt;&gt;"No control",SUMIF(('Loading-truck'!$B$31:$B$48),$J331,('Loading-truck'!$E$31:$E$48))*Impacts!$F$14,0)),0)</f>
        <v>0</v>
      </c>
      <c r="S331" s="10">
        <f>IFERROR(IF(('Loading-rail'!$C$21)="No control",SUMIF(('Loading-rail'!$B$31:$B$48),$J331,('Loading-rail'!$D$31:$D$48))*Impacts!$F$15,IF(('Loading-rail'!$C$21)&lt;&gt;"No control",SUMIF(('Loading-rail'!$B$31:$B$48),$J331,('Loading-rail'!$E$31:$E$48))*Impacts!$F$15,0)),0)</f>
        <v>0</v>
      </c>
      <c r="T331" s="10">
        <f>IF(Flare!$C$7="",0,(SUMIF(Flare!$B$46:$B$185,$J331,Flare!$E$46:$E$185)*Impacts!$F$16))</f>
        <v>0</v>
      </c>
      <c r="U331" s="10">
        <f>IF(VCU!$C$9="",0,(SUMIF(VCU!$B$51:$B$193,$J331,VCU!$E$51:$E$193)*Impacts!$F$17))</f>
        <v>0</v>
      </c>
      <c r="V331" s="10">
        <f>IF(CAS!$C$7="",0,(SUMIF(CAS!$B$31:$B$167,$J331,CAS!$E$31:$E$167)*Impacts!$F$18))</f>
        <v>0</v>
      </c>
      <c r="W331" s="10">
        <f t="shared" si="47"/>
        <v>0</v>
      </c>
      <c r="AK331" s="10" t="str">
        <f t="array" ref="AK331">IFERROR(INDEX(SelectedSpecies,SMALL(IF(SelectedSpecies=AK$1,ROW(SelectedSpecies)),ROW(332:332)),2),"")</f>
        <v/>
      </c>
      <c r="BE331" s="10"/>
      <c r="BI331" s="10"/>
    </row>
    <row r="332" spans="1:61" ht="21" customHeight="1" x14ac:dyDescent="0.25">
      <c r="A332" s="10"/>
      <c r="B332" s="10"/>
      <c r="E332" s="10"/>
      <c r="G332" s="10"/>
      <c r="I332" s="436" t="s">
        <v>4251</v>
      </c>
      <c r="J332" s="26" t="s">
        <v>4250</v>
      </c>
      <c r="K332" s="10">
        <v>5</v>
      </c>
      <c r="L332" s="73">
        <f>IF(Tank1!$C$23="No control",(SUMIF(Tank1!$B$32:$B$49,$J332,Tank1!$C$32:$C$49)*Impacts!$F$8),0)</f>
        <v>0</v>
      </c>
      <c r="M332" s="10">
        <f>IF(Tank2!$C$23="No control",(SUMIF(Tank2!$B$32:$B$49,$J332,Tank2!$C$32:$C$49)*Impacts!$F$9),0)</f>
        <v>0</v>
      </c>
      <c r="N332" s="10">
        <f>IF(Tank3!$C$23="No control",(SUMIF(Tank3!$B$32:$B$49,$J332,Tank3!$C$32:$C$49)*Impacts!$F$10),0)</f>
        <v>0</v>
      </c>
      <c r="O332" s="10">
        <f>IF(Tank4!$C$23="No control",(SUMIF(Tank4!$B$32:$B$49,$J332,Tank4!$C$32:$C$49)*Impacts!$F$11),0)</f>
        <v>0</v>
      </c>
      <c r="P332" s="10">
        <f>IF(Tank5!$C$23="No control",(SUMIF(Tank5!$B$32:$B$49,$J332,Tank5!$C$32:$C$49)*Impacts!$F$12),0)</f>
        <v>0</v>
      </c>
      <c r="Q332" s="10">
        <f>IFERROR(IF(('Loading-drum,tote'!$C$21)="No control",SUMIF(('Loading-drum,tote'!$B$31:$B$48),$J332,('Loading-drum,tote'!$D$31:$D$48))*Impacts!$F$13,IF(('Loading-drum,tote'!$C$21)&lt;&gt;"No control",SUMIF(('Loading-drum,tote'!$B$31:$B$48),$J332,('Loading-drum,tote'!$E$31:$E$48))*Impacts!$F$13,0)),0)</f>
        <v>0</v>
      </c>
      <c r="R332" s="10">
        <f>IFERROR(IF(('Loading-truck'!$C$21)="No control",SUMIF(('Loading-truck'!$B$31:$B$48),$J332,('Loading-truck'!$D$31:$D$48))*Impacts!$F$14,IF(('Loading-truck'!$C$21)&lt;&gt;"No control",SUMIF(('Loading-truck'!$B$31:$B$48),$J332,('Loading-truck'!$E$31:$E$48))*Impacts!$F$14,0)),0)</f>
        <v>0</v>
      </c>
      <c r="S332" s="10">
        <f>IFERROR(IF(('Loading-rail'!$C$21)="No control",SUMIF(('Loading-rail'!$B$31:$B$48),$J332,('Loading-rail'!$D$31:$D$48))*Impacts!$F$15,IF(('Loading-rail'!$C$21)&lt;&gt;"No control",SUMIF(('Loading-rail'!$B$31:$B$48),$J332,('Loading-rail'!$E$31:$E$48))*Impacts!$F$15,0)),0)</f>
        <v>0</v>
      </c>
      <c r="T332" s="10">
        <f>IF(Flare!$C$7="",0,(SUMIF(Flare!$B$46:$B$185,$J332,Flare!$E$46:$E$185)*Impacts!$F$16))</f>
        <v>0</v>
      </c>
      <c r="U332" s="10">
        <f>IF(VCU!$C$9="",0,(SUMIF(VCU!$B$51:$B$193,$J332,VCU!$E$51:$E$193)*Impacts!$F$17))</f>
        <v>0</v>
      </c>
      <c r="V332" s="10">
        <f>IF(CAS!$C$7="",0,(SUMIF(CAS!$B$31:$B$167,$J332,CAS!$E$31:$E$167)*Impacts!$F$18))</f>
        <v>0</v>
      </c>
      <c r="W332" s="10">
        <f t="shared" si="47"/>
        <v>0</v>
      </c>
      <c r="AK332" s="10" t="str">
        <f t="array" ref="AK332">IFERROR(INDEX(SelectedSpecies,SMALL(IF(SelectedSpecies=AK$1,ROW(SelectedSpecies)),ROW(333:333)),2),"")</f>
        <v/>
      </c>
      <c r="BE332" s="10"/>
      <c r="BI332" s="10"/>
    </row>
    <row r="333" spans="1:61" ht="21" customHeight="1" x14ac:dyDescent="0.25">
      <c r="A333" s="10"/>
      <c r="B333" s="10"/>
      <c r="E333" s="10"/>
      <c r="G333" s="10"/>
      <c r="I333" s="436" t="s">
        <v>1927</v>
      </c>
      <c r="J333" s="26" t="s">
        <v>1926</v>
      </c>
      <c r="K333" s="10">
        <v>18</v>
      </c>
      <c r="L333" s="73">
        <f>IF(Tank1!$C$23="No control",(SUMIF(Tank1!$B$32:$B$49,$J333,Tank1!$C$32:$C$49)*Impacts!$F$8),0)</f>
        <v>0</v>
      </c>
      <c r="M333" s="10">
        <f>IF(Tank2!$C$23="No control",(SUMIF(Tank2!$B$32:$B$49,$J333,Tank2!$C$32:$C$49)*Impacts!$F$9),0)</f>
        <v>0</v>
      </c>
      <c r="N333" s="10">
        <f>IF(Tank3!$C$23="No control",(SUMIF(Tank3!$B$32:$B$49,$J333,Tank3!$C$32:$C$49)*Impacts!$F$10),0)</f>
        <v>0</v>
      </c>
      <c r="O333" s="10">
        <f>IF(Tank4!$C$23="No control",(SUMIF(Tank4!$B$32:$B$49,$J333,Tank4!$C$32:$C$49)*Impacts!$F$11),0)</f>
        <v>0</v>
      </c>
      <c r="P333" s="10">
        <f>IF(Tank5!$C$23="No control",(SUMIF(Tank5!$B$32:$B$49,$J333,Tank5!$C$32:$C$49)*Impacts!$F$12),0)</f>
        <v>0</v>
      </c>
      <c r="Q333" s="10">
        <f>IFERROR(IF(('Loading-drum,tote'!$C$21)="No control",SUMIF(('Loading-drum,tote'!$B$31:$B$48),$J333,('Loading-drum,tote'!$D$31:$D$48))*Impacts!$F$13,IF(('Loading-drum,tote'!$C$21)&lt;&gt;"No control",SUMIF(('Loading-drum,tote'!$B$31:$B$48),$J333,('Loading-drum,tote'!$E$31:$E$48))*Impacts!$F$13,0)),0)</f>
        <v>0</v>
      </c>
      <c r="R333" s="10">
        <f>IFERROR(IF(('Loading-truck'!$C$21)="No control",SUMIF(('Loading-truck'!$B$31:$B$48),$J333,('Loading-truck'!$D$31:$D$48))*Impacts!$F$14,IF(('Loading-truck'!$C$21)&lt;&gt;"No control",SUMIF(('Loading-truck'!$B$31:$B$48),$J333,('Loading-truck'!$E$31:$E$48))*Impacts!$F$14,0)),0)</f>
        <v>0</v>
      </c>
      <c r="S333" s="10">
        <f>IFERROR(IF(('Loading-rail'!$C$21)="No control",SUMIF(('Loading-rail'!$B$31:$B$48),$J333,('Loading-rail'!$D$31:$D$48))*Impacts!$F$15,IF(('Loading-rail'!$C$21)&lt;&gt;"No control",SUMIF(('Loading-rail'!$B$31:$B$48),$J333,('Loading-rail'!$E$31:$E$48))*Impacts!$F$15,0)),0)</f>
        <v>0</v>
      </c>
      <c r="T333" s="10">
        <f>IF(Flare!$C$7="",0,(SUMIF(Flare!$B$46:$B$185,$J333,Flare!$E$46:$E$185)*Impacts!$F$16))</f>
        <v>0</v>
      </c>
      <c r="U333" s="10">
        <f>IF(VCU!$C$9="",0,(SUMIF(VCU!$B$51:$B$193,$J333,VCU!$E$51:$E$193)*Impacts!$F$17))</f>
        <v>0</v>
      </c>
      <c r="V333" s="10">
        <f>IF(CAS!$C$7="",0,(SUMIF(CAS!$B$31:$B$167,$J333,CAS!$E$31:$E$167)*Impacts!$F$18))</f>
        <v>0</v>
      </c>
      <c r="W333" s="10">
        <f t="shared" si="47"/>
        <v>0</v>
      </c>
      <c r="AK333" s="10" t="str">
        <f t="array" ref="AK333">IFERROR(INDEX(SelectedSpecies,SMALL(IF(SelectedSpecies=AK$1,ROW(SelectedSpecies)),ROW(334:334)),2),"")</f>
        <v/>
      </c>
      <c r="BE333" s="10"/>
      <c r="BI333" s="10"/>
    </row>
    <row r="334" spans="1:61" ht="21" customHeight="1" x14ac:dyDescent="0.25">
      <c r="A334" s="10"/>
      <c r="B334" s="10"/>
      <c r="E334" s="10"/>
      <c r="G334" s="10"/>
      <c r="I334" s="436" t="s">
        <v>5686</v>
      </c>
      <c r="J334" s="26" t="s">
        <v>5685</v>
      </c>
      <c r="K334" s="10">
        <v>1</v>
      </c>
      <c r="L334" s="73">
        <f>IF(Tank1!$C$23="No control",(SUMIF(Tank1!$B$32:$B$49,$J334,Tank1!$C$32:$C$49)*Impacts!$F$8),0)</f>
        <v>0</v>
      </c>
      <c r="M334" s="10">
        <f>IF(Tank2!$C$23="No control",(SUMIF(Tank2!$B$32:$B$49,$J334,Tank2!$C$32:$C$49)*Impacts!$F$9),0)</f>
        <v>0</v>
      </c>
      <c r="N334" s="10">
        <f>IF(Tank3!$C$23="No control",(SUMIF(Tank3!$B$32:$B$49,$J334,Tank3!$C$32:$C$49)*Impacts!$F$10),0)</f>
        <v>0</v>
      </c>
      <c r="O334" s="10">
        <f>IF(Tank4!$C$23="No control",(SUMIF(Tank4!$B$32:$B$49,$J334,Tank4!$C$32:$C$49)*Impacts!$F$11),0)</f>
        <v>0</v>
      </c>
      <c r="P334" s="10">
        <f>IF(Tank5!$C$23="No control",(SUMIF(Tank5!$B$32:$B$49,$J334,Tank5!$C$32:$C$49)*Impacts!$F$12),0)</f>
        <v>0</v>
      </c>
      <c r="Q334" s="10">
        <f>IFERROR(IF(('Loading-drum,tote'!$C$21)="No control",SUMIF(('Loading-drum,tote'!$B$31:$B$48),$J334,('Loading-drum,tote'!$D$31:$D$48))*Impacts!$F$13,IF(('Loading-drum,tote'!$C$21)&lt;&gt;"No control",SUMIF(('Loading-drum,tote'!$B$31:$B$48),$J334,('Loading-drum,tote'!$E$31:$E$48))*Impacts!$F$13,0)),0)</f>
        <v>0</v>
      </c>
      <c r="R334" s="10">
        <f>IFERROR(IF(('Loading-truck'!$C$21)="No control",SUMIF(('Loading-truck'!$B$31:$B$48),$J334,('Loading-truck'!$D$31:$D$48))*Impacts!$F$14,IF(('Loading-truck'!$C$21)&lt;&gt;"No control",SUMIF(('Loading-truck'!$B$31:$B$48),$J334,('Loading-truck'!$E$31:$E$48))*Impacts!$F$14,0)),0)</f>
        <v>0</v>
      </c>
      <c r="S334" s="10">
        <f>IFERROR(IF(('Loading-rail'!$C$21)="No control",SUMIF(('Loading-rail'!$B$31:$B$48),$J334,('Loading-rail'!$D$31:$D$48))*Impacts!$F$15,IF(('Loading-rail'!$C$21)&lt;&gt;"No control",SUMIF(('Loading-rail'!$B$31:$B$48),$J334,('Loading-rail'!$E$31:$E$48))*Impacts!$F$15,0)),0)</f>
        <v>0</v>
      </c>
      <c r="T334" s="10">
        <f>IF(Flare!$C$7="",0,(SUMIF(Flare!$B$46:$B$185,$J334,Flare!$E$46:$E$185)*Impacts!$F$16))</f>
        <v>0</v>
      </c>
      <c r="U334" s="10">
        <f>IF(VCU!$C$9="",0,(SUMIF(VCU!$B$51:$B$193,$J334,VCU!$E$51:$E$193)*Impacts!$F$17))</f>
        <v>0</v>
      </c>
      <c r="V334" s="10">
        <f>IF(CAS!$C$7="",0,(SUMIF(CAS!$B$31:$B$167,$J334,CAS!$E$31:$E$167)*Impacts!$F$18))</f>
        <v>0</v>
      </c>
      <c r="W334" s="10">
        <f t="shared" si="47"/>
        <v>0</v>
      </c>
      <c r="AK334" s="10" t="str">
        <f t="array" ref="AK334">IFERROR(INDEX(SelectedSpecies,SMALL(IF(SelectedSpecies=AK$1,ROW(SelectedSpecies)),ROW(335:335)),2),"")</f>
        <v/>
      </c>
      <c r="BE334" s="10"/>
      <c r="BI334" s="10"/>
    </row>
    <row r="335" spans="1:61" ht="21" customHeight="1" x14ac:dyDescent="0.25">
      <c r="A335" s="10"/>
      <c r="B335" s="10"/>
      <c r="E335" s="10"/>
      <c r="G335" s="10"/>
      <c r="I335" s="436" t="s">
        <v>1494</v>
      </c>
      <c r="J335" s="26" t="s">
        <v>1493</v>
      </c>
      <c r="K335" s="10">
        <v>27.5</v>
      </c>
      <c r="L335" s="73">
        <f>IF(Tank1!$C$23="No control",(SUMIF(Tank1!$B$32:$B$49,$J335,Tank1!$C$32:$C$49)*Impacts!$F$8),0)</f>
        <v>0</v>
      </c>
      <c r="M335" s="10">
        <f>IF(Tank2!$C$23="No control",(SUMIF(Tank2!$B$32:$B$49,$J335,Tank2!$C$32:$C$49)*Impacts!$F$9),0)</f>
        <v>0</v>
      </c>
      <c r="N335" s="10">
        <f>IF(Tank3!$C$23="No control",(SUMIF(Tank3!$B$32:$B$49,$J335,Tank3!$C$32:$C$49)*Impacts!$F$10),0)</f>
        <v>0</v>
      </c>
      <c r="O335" s="10">
        <f>IF(Tank4!$C$23="No control",(SUMIF(Tank4!$B$32:$B$49,$J335,Tank4!$C$32:$C$49)*Impacts!$F$11),0)</f>
        <v>0</v>
      </c>
      <c r="P335" s="10">
        <f>IF(Tank5!$C$23="No control",(SUMIF(Tank5!$B$32:$B$49,$J335,Tank5!$C$32:$C$49)*Impacts!$F$12),0)</f>
        <v>0</v>
      </c>
      <c r="Q335" s="10">
        <f>IFERROR(IF(('Loading-drum,tote'!$C$21)="No control",SUMIF(('Loading-drum,tote'!$B$31:$B$48),$J335,('Loading-drum,tote'!$D$31:$D$48))*Impacts!$F$13,IF(('Loading-drum,tote'!$C$21)&lt;&gt;"No control",SUMIF(('Loading-drum,tote'!$B$31:$B$48),$J335,('Loading-drum,tote'!$E$31:$E$48))*Impacts!$F$13,0)),0)</f>
        <v>0</v>
      </c>
      <c r="R335" s="10">
        <f>IFERROR(IF(('Loading-truck'!$C$21)="No control",SUMIF(('Loading-truck'!$B$31:$B$48),$J335,('Loading-truck'!$D$31:$D$48))*Impacts!$F$14,IF(('Loading-truck'!$C$21)&lt;&gt;"No control",SUMIF(('Loading-truck'!$B$31:$B$48),$J335,('Loading-truck'!$E$31:$E$48))*Impacts!$F$14,0)),0)</f>
        <v>0</v>
      </c>
      <c r="S335" s="10">
        <f>IFERROR(IF(('Loading-rail'!$C$21)="No control",SUMIF(('Loading-rail'!$B$31:$B$48),$J335,('Loading-rail'!$D$31:$D$48))*Impacts!$F$15,IF(('Loading-rail'!$C$21)&lt;&gt;"No control",SUMIF(('Loading-rail'!$B$31:$B$48),$J335,('Loading-rail'!$E$31:$E$48))*Impacts!$F$15,0)),0)</f>
        <v>0</v>
      </c>
      <c r="T335" s="10">
        <f>IF(Flare!$C$7="",0,(SUMIF(Flare!$B$46:$B$185,$J335,Flare!$E$46:$E$185)*Impacts!$F$16))</f>
        <v>0</v>
      </c>
      <c r="U335" s="10">
        <f>IF(VCU!$C$9="",0,(SUMIF(VCU!$B$51:$B$193,$J335,VCU!$E$51:$E$193)*Impacts!$F$17))</f>
        <v>0</v>
      </c>
      <c r="V335" s="10">
        <f>IF(CAS!$C$7="",0,(SUMIF(CAS!$B$31:$B$167,$J335,CAS!$E$31:$E$167)*Impacts!$F$18))</f>
        <v>0</v>
      </c>
      <c r="W335" s="10">
        <f t="shared" si="47"/>
        <v>0</v>
      </c>
      <c r="AK335" s="10" t="str">
        <f t="array" ref="AK335">IFERROR(INDEX(SelectedSpecies,SMALL(IF(SelectedSpecies=AK$1,ROW(SelectedSpecies)),ROW(336:336)),2),"")</f>
        <v/>
      </c>
      <c r="BE335" s="10"/>
      <c r="BI335" s="10"/>
    </row>
    <row r="336" spans="1:61" ht="21" customHeight="1" x14ac:dyDescent="0.25">
      <c r="A336" s="10"/>
      <c r="B336" s="10"/>
      <c r="E336" s="10"/>
      <c r="G336" s="10"/>
      <c r="I336" s="436" t="s">
        <v>1496</v>
      </c>
      <c r="J336" s="26" t="s">
        <v>1495</v>
      </c>
      <c r="K336" s="10">
        <v>27.5</v>
      </c>
      <c r="L336" s="73">
        <f>IF(Tank1!$C$23="No control",(SUMIF(Tank1!$B$32:$B$49,$J336,Tank1!$C$32:$C$49)*Impacts!$F$8),0)</f>
        <v>0</v>
      </c>
      <c r="M336" s="10">
        <f>IF(Tank2!$C$23="No control",(SUMIF(Tank2!$B$32:$B$49,$J336,Tank2!$C$32:$C$49)*Impacts!$F$9),0)</f>
        <v>0</v>
      </c>
      <c r="N336" s="10">
        <f>IF(Tank3!$C$23="No control",(SUMIF(Tank3!$B$32:$B$49,$J336,Tank3!$C$32:$C$49)*Impacts!$F$10),0)</f>
        <v>0</v>
      </c>
      <c r="O336" s="10">
        <f>IF(Tank4!$C$23="No control",(SUMIF(Tank4!$B$32:$B$49,$J336,Tank4!$C$32:$C$49)*Impacts!$F$11),0)</f>
        <v>0</v>
      </c>
      <c r="P336" s="10">
        <f>IF(Tank5!$C$23="No control",(SUMIF(Tank5!$B$32:$B$49,$J336,Tank5!$C$32:$C$49)*Impacts!$F$12),0)</f>
        <v>0</v>
      </c>
      <c r="Q336" s="10">
        <f>IFERROR(IF(('Loading-drum,tote'!$C$21)="No control",SUMIF(('Loading-drum,tote'!$B$31:$B$48),$J336,('Loading-drum,tote'!$D$31:$D$48))*Impacts!$F$13,IF(('Loading-drum,tote'!$C$21)&lt;&gt;"No control",SUMIF(('Loading-drum,tote'!$B$31:$B$48),$J336,('Loading-drum,tote'!$E$31:$E$48))*Impacts!$F$13,0)),0)</f>
        <v>0</v>
      </c>
      <c r="R336" s="10">
        <f>IFERROR(IF(('Loading-truck'!$C$21)="No control",SUMIF(('Loading-truck'!$B$31:$B$48),$J336,('Loading-truck'!$D$31:$D$48))*Impacts!$F$14,IF(('Loading-truck'!$C$21)&lt;&gt;"No control",SUMIF(('Loading-truck'!$B$31:$B$48),$J336,('Loading-truck'!$E$31:$E$48))*Impacts!$F$14,0)),0)</f>
        <v>0</v>
      </c>
      <c r="S336" s="10">
        <f>IFERROR(IF(('Loading-rail'!$C$21)="No control",SUMIF(('Loading-rail'!$B$31:$B$48),$J336,('Loading-rail'!$D$31:$D$48))*Impacts!$F$15,IF(('Loading-rail'!$C$21)&lt;&gt;"No control",SUMIF(('Loading-rail'!$B$31:$B$48),$J336,('Loading-rail'!$E$31:$E$48))*Impacts!$F$15,0)),0)</f>
        <v>0</v>
      </c>
      <c r="T336" s="10">
        <f>IF(Flare!$C$7="",0,(SUMIF(Flare!$B$46:$B$185,$J336,Flare!$E$46:$E$185)*Impacts!$F$16))</f>
        <v>0</v>
      </c>
      <c r="U336" s="10">
        <f>IF(VCU!$C$9="",0,(SUMIF(VCU!$B$51:$B$193,$J336,VCU!$E$51:$E$193)*Impacts!$F$17))</f>
        <v>0</v>
      </c>
      <c r="V336" s="10">
        <f>IF(CAS!$C$7="",0,(SUMIF(CAS!$B$31:$B$167,$J336,CAS!$E$31:$E$167)*Impacts!$F$18))</f>
        <v>0</v>
      </c>
      <c r="W336" s="10">
        <f t="shared" si="47"/>
        <v>0</v>
      </c>
      <c r="AK336" s="10" t="str">
        <f t="array" ref="AK336">IFERROR(INDEX(SelectedSpecies,SMALL(IF(SelectedSpecies=AK$1,ROW(SelectedSpecies)),ROW(337:337)),2),"")</f>
        <v/>
      </c>
      <c r="BE336" s="10"/>
      <c r="BI336" s="10"/>
    </row>
    <row r="337" spans="1:61" ht="21" customHeight="1" x14ac:dyDescent="0.25">
      <c r="A337" s="10"/>
      <c r="B337" s="10"/>
      <c r="E337" s="10"/>
      <c r="G337" s="10"/>
      <c r="I337" s="436" t="s">
        <v>1498</v>
      </c>
      <c r="J337" s="26" t="s">
        <v>1497</v>
      </c>
      <c r="K337" s="10">
        <v>27.5</v>
      </c>
      <c r="L337" s="73">
        <f>IF(Tank1!$C$23="No control",(SUMIF(Tank1!$B$32:$B$49,$J337,Tank1!$C$32:$C$49)*Impacts!$F$8),0)</f>
        <v>0</v>
      </c>
      <c r="M337" s="10">
        <f>IF(Tank2!$C$23="No control",(SUMIF(Tank2!$B$32:$B$49,$J337,Tank2!$C$32:$C$49)*Impacts!$F$9),0)</f>
        <v>0</v>
      </c>
      <c r="N337" s="10">
        <f>IF(Tank3!$C$23="No control",(SUMIF(Tank3!$B$32:$B$49,$J337,Tank3!$C$32:$C$49)*Impacts!$F$10),0)</f>
        <v>0</v>
      </c>
      <c r="O337" s="10">
        <f>IF(Tank4!$C$23="No control",(SUMIF(Tank4!$B$32:$B$49,$J337,Tank4!$C$32:$C$49)*Impacts!$F$11),0)</f>
        <v>0</v>
      </c>
      <c r="P337" s="10">
        <f>IF(Tank5!$C$23="No control",(SUMIF(Tank5!$B$32:$B$49,$J337,Tank5!$C$32:$C$49)*Impacts!$F$12),0)</f>
        <v>0</v>
      </c>
      <c r="Q337" s="10">
        <f>IFERROR(IF(('Loading-drum,tote'!$C$21)="No control",SUMIF(('Loading-drum,tote'!$B$31:$B$48),$J337,('Loading-drum,tote'!$D$31:$D$48))*Impacts!$F$13,IF(('Loading-drum,tote'!$C$21)&lt;&gt;"No control",SUMIF(('Loading-drum,tote'!$B$31:$B$48),$J337,('Loading-drum,tote'!$E$31:$E$48))*Impacts!$F$13,0)),0)</f>
        <v>0</v>
      </c>
      <c r="R337" s="10">
        <f>IFERROR(IF(('Loading-truck'!$C$21)="No control",SUMIF(('Loading-truck'!$B$31:$B$48),$J337,('Loading-truck'!$D$31:$D$48))*Impacts!$F$14,IF(('Loading-truck'!$C$21)&lt;&gt;"No control",SUMIF(('Loading-truck'!$B$31:$B$48),$J337,('Loading-truck'!$E$31:$E$48))*Impacts!$F$14,0)),0)</f>
        <v>0</v>
      </c>
      <c r="S337" s="10">
        <f>IFERROR(IF(('Loading-rail'!$C$21)="No control",SUMIF(('Loading-rail'!$B$31:$B$48),$J337,('Loading-rail'!$D$31:$D$48))*Impacts!$F$15,IF(('Loading-rail'!$C$21)&lt;&gt;"No control",SUMIF(('Loading-rail'!$B$31:$B$48),$J337,('Loading-rail'!$E$31:$E$48))*Impacts!$F$15,0)),0)</f>
        <v>0</v>
      </c>
      <c r="T337" s="10">
        <f>IF(Flare!$C$7="",0,(SUMIF(Flare!$B$46:$B$185,$J337,Flare!$E$46:$E$185)*Impacts!$F$16))</f>
        <v>0</v>
      </c>
      <c r="U337" s="10">
        <f>IF(VCU!$C$9="",0,(SUMIF(VCU!$B$51:$B$193,$J337,VCU!$E$51:$E$193)*Impacts!$F$17))</f>
        <v>0</v>
      </c>
      <c r="V337" s="10">
        <f>IF(CAS!$C$7="",0,(SUMIF(CAS!$B$31:$B$167,$J337,CAS!$E$31:$E$167)*Impacts!$F$18))</f>
        <v>0</v>
      </c>
      <c r="W337" s="10">
        <f t="shared" si="47"/>
        <v>0</v>
      </c>
      <c r="AK337" s="10" t="str">
        <f t="array" ref="AK337">IFERROR(INDEX(SelectedSpecies,SMALL(IF(SelectedSpecies=AK$1,ROW(SelectedSpecies)),ROW(338:338)),2),"")</f>
        <v/>
      </c>
      <c r="BE337" s="10"/>
      <c r="BI337" s="10"/>
    </row>
    <row r="338" spans="1:61" ht="21" customHeight="1" x14ac:dyDescent="0.25">
      <c r="A338" s="10"/>
      <c r="B338" s="10"/>
      <c r="E338" s="10"/>
      <c r="G338" s="10"/>
      <c r="I338" s="436" t="s">
        <v>1500</v>
      </c>
      <c r="J338" s="26" t="s">
        <v>1499</v>
      </c>
      <c r="K338" s="10">
        <v>27.5</v>
      </c>
      <c r="L338" s="73">
        <f>IF(Tank1!$C$23="No control",(SUMIF(Tank1!$B$32:$B$49,$J338,Tank1!$C$32:$C$49)*Impacts!$F$8),0)</f>
        <v>0</v>
      </c>
      <c r="M338" s="10">
        <f>IF(Tank2!$C$23="No control",(SUMIF(Tank2!$B$32:$B$49,$J338,Tank2!$C$32:$C$49)*Impacts!$F$9),0)</f>
        <v>0</v>
      </c>
      <c r="N338" s="10">
        <f>IF(Tank3!$C$23="No control",(SUMIF(Tank3!$B$32:$B$49,$J338,Tank3!$C$32:$C$49)*Impacts!$F$10),0)</f>
        <v>0</v>
      </c>
      <c r="O338" s="10">
        <f>IF(Tank4!$C$23="No control",(SUMIF(Tank4!$B$32:$B$49,$J338,Tank4!$C$32:$C$49)*Impacts!$F$11),0)</f>
        <v>0</v>
      </c>
      <c r="P338" s="10">
        <f>IF(Tank5!$C$23="No control",(SUMIF(Tank5!$B$32:$B$49,$J338,Tank5!$C$32:$C$49)*Impacts!$F$12),0)</f>
        <v>0</v>
      </c>
      <c r="Q338" s="10">
        <f>IFERROR(IF(('Loading-drum,tote'!$C$21)="No control",SUMIF(('Loading-drum,tote'!$B$31:$B$48),$J338,('Loading-drum,tote'!$D$31:$D$48))*Impacts!$F$13,IF(('Loading-drum,tote'!$C$21)&lt;&gt;"No control",SUMIF(('Loading-drum,tote'!$B$31:$B$48),$J338,('Loading-drum,tote'!$E$31:$E$48))*Impacts!$F$13,0)),0)</f>
        <v>0</v>
      </c>
      <c r="R338" s="10">
        <f>IFERROR(IF(('Loading-truck'!$C$21)="No control",SUMIF(('Loading-truck'!$B$31:$B$48),$J338,('Loading-truck'!$D$31:$D$48))*Impacts!$F$14,IF(('Loading-truck'!$C$21)&lt;&gt;"No control",SUMIF(('Loading-truck'!$B$31:$B$48),$J338,('Loading-truck'!$E$31:$E$48))*Impacts!$F$14,0)),0)</f>
        <v>0</v>
      </c>
      <c r="S338" s="10">
        <f>IFERROR(IF(('Loading-rail'!$C$21)="No control",SUMIF(('Loading-rail'!$B$31:$B$48),$J338,('Loading-rail'!$D$31:$D$48))*Impacts!$F$15,IF(('Loading-rail'!$C$21)&lt;&gt;"No control",SUMIF(('Loading-rail'!$B$31:$B$48),$J338,('Loading-rail'!$E$31:$E$48))*Impacts!$F$15,0)),0)</f>
        <v>0</v>
      </c>
      <c r="T338" s="10">
        <f>IF(Flare!$C$7="",0,(SUMIF(Flare!$B$46:$B$185,$J338,Flare!$E$46:$E$185)*Impacts!$F$16))</f>
        <v>0</v>
      </c>
      <c r="U338" s="10">
        <f>IF(VCU!$C$9="",0,(SUMIF(VCU!$B$51:$B$193,$J338,VCU!$E$51:$E$193)*Impacts!$F$17))</f>
        <v>0</v>
      </c>
      <c r="V338" s="10">
        <f>IF(CAS!$C$7="",0,(SUMIF(CAS!$B$31:$B$167,$J338,CAS!$E$31:$E$167)*Impacts!$F$18))</f>
        <v>0</v>
      </c>
      <c r="W338" s="10">
        <f t="shared" si="47"/>
        <v>0</v>
      </c>
      <c r="AK338" s="10" t="str">
        <f t="array" ref="AK338">IFERROR(INDEX(SelectedSpecies,SMALL(IF(SelectedSpecies=AK$1,ROW(SelectedSpecies)),ROW(339:339)),2),"")</f>
        <v/>
      </c>
      <c r="BE338" s="10"/>
      <c r="BI338" s="10"/>
    </row>
    <row r="339" spans="1:61" ht="21" customHeight="1" x14ac:dyDescent="0.25">
      <c r="A339" s="10"/>
      <c r="B339" s="10"/>
      <c r="E339" s="10"/>
      <c r="G339" s="10"/>
      <c r="I339" s="436" t="s">
        <v>6990</v>
      </c>
      <c r="J339" s="26" t="s">
        <v>6989</v>
      </c>
      <c r="K339" s="10">
        <v>0.45999999999999996</v>
      </c>
      <c r="L339" s="73">
        <f>IF(Tank1!$C$23="No control",(SUMIF(Tank1!$B$32:$B$49,$J339,Tank1!$C$32:$C$49)*Impacts!$F$8),0)</f>
        <v>0</v>
      </c>
      <c r="M339" s="10">
        <f>IF(Tank2!$C$23="No control",(SUMIF(Tank2!$B$32:$B$49,$J339,Tank2!$C$32:$C$49)*Impacts!$F$9),0)</f>
        <v>0</v>
      </c>
      <c r="N339" s="10">
        <f>IF(Tank3!$C$23="No control",(SUMIF(Tank3!$B$32:$B$49,$J339,Tank3!$C$32:$C$49)*Impacts!$F$10),0)</f>
        <v>0</v>
      </c>
      <c r="O339" s="10">
        <f>IF(Tank4!$C$23="No control",(SUMIF(Tank4!$B$32:$B$49,$J339,Tank4!$C$32:$C$49)*Impacts!$F$11),0)</f>
        <v>0</v>
      </c>
      <c r="P339" s="10">
        <f>IF(Tank5!$C$23="No control",(SUMIF(Tank5!$B$32:$B$49,$J339,Tank5!$C$32:$C$49)*Impacts!$F$12),0)</f>
        <v>0</v>
      </c>
      <c r="Q339" s="10">
        <f>IFERROR(IF(('Loading-drum,tote'!$C$21)="No control",SUMIF(('Loading-drum,tote'!$B$31:$B$48),$J339,('Loading-drum,tote'!$D$31:$D$48))*Impacts!$F$13,IF(('Loading-drum,tote'!$C$21)&lt;&gt;"No control",SUMIF(('Loading-drum,tote'!$B$31:$B$48),$J339,('Loading-drum,tote'!$E$31:$E$48))*Impacts!$F$13,0)),0)</f>
        <v>0</v>
      </c>
      <c r="R339" s="10">
        <f>IFERROR(IF(('Loading-truck'!$C$21)="No control",SUMIF(('Loading-truck'!$B$31:$B$48),$J339,('Loading-truck'!$D$31:$D$48))*Impacts!$F$14,IF(('Loading-truck'!$C$21)&lt;&gt;"No control",SUMIF(('Loading-truck'!$B$31:$B$48),$J339,('Loading-truck'!$E$31:$E$48))*Impacts!$F$14,0)),0)</f>
        <v>0</v>
      </c>
      <c r="S339" s="10">
        <f>IFERROR(IF(('Loading-rail'!$C$21)="No control",SUMIF(('Loading-rail'!$B$31:$B$48),$J339,('Loading-rail'!$D$31:$D$48))*Impacts!$F$15,IF(('Loading-rail'!$C$21)&lt;&gt;"No control",SUMIF(('Loading-rail'!$B$31:$B$48),$J339,('Loading-rail'!$E$31:$E$48))*Impacts!$F$15,0)),0)</f>
        <v>0</v>
      </c>
      <c r="T339" s="10">
        <f>IF(Flare!$C$7="",0,(SUMIF(Flare!$B$46:$B$185,$J339,Flare!$E$46:$E$185)*Impacts!$F$16))</f>
        <v>0</v>
      </c>
      <c r="U339" s="10">
        <f>IF(VCU!$C$9="",0,(SUMIF(VCU!$B$51:$B$193,$J339,VCU!$E$51:$E$193)*Impacts!$F$17))</f>
        <v>0</v>
      </c>
      <c r="V339" s="10">
        <f>IF(CAS!$C$7="",0,(SUMIF(CAS!$B$31:$B$167,$J339,CAS!$E$31:$E$167)*Impacts!$F$18))</f>
        <v>0</v>
      </c>
      <c r="W339" s="10">
        <f t="shared" si="47"/>
        <v>0</v>
      </c>
      <c r="AK339" s="10" t="str">
        <f t="array" ref="AK339">IFERROR(INDEX(SelectedSpecies,SMALL(IF(SelectedSpecies=AK$1,ROW(SelectedSpecies)),ROW(340:340)),2),"")</f>
        <v/>
      </c>
      <c r="BE339" s="10"/>
      <c r="BI339" s="10"/>
    </row>
    <row r="340" spans="1:61" ht="21" customHeight="1" x14ac:dyDescent="0.25">
      <c r="A340" s="10"/>
      <c r="B340" s="10"/>
      <c r="E340" s="10"/>
      <c r="G340" s="10"/>
      <c r="I340" s="436" t="s">
        <v>4805</v>
      </c>
      <c r="J340" s="26" t="s">
        <v>4804</v>
      </c>
      <c r="K340" s="10">
        <v>3</v>
      </c>
      <c r="L340" s="73">
        <f>IF(Tank1!$C$23="No control",(SUMIF(Tank1!$B$32:$B$49,$J340,Tank1!$C$32:$C$49)*Impacts!$F$8),0)</f>
        <v>0</v>
      </c>
      <c r="M340" s="10">
        <f>IF(Tank2!$C$23="No control",(SUMIF(Tank2!$B$32:$B$49,$J340,Tank2!$C$32:$C$49)*Impacts!$F$9),0)</f>
        <v>0</v>
      </c>
      <c r="N340" s="10">
        <f>IF(Tank3!$C$23="No control",(SUMIF(Tank3!$B$32:$B$49,$J340,Tank3!$C$32:$C$49)*Impacts!$F$10),0)</f>
        <v>0</v>
      </c>
      <c r="O340" s="10">
        <f>IF(Tank4!$C$23="No control",(SUMIF(Tank4!$B$32:$B$49,$J340,Tank4!$C$32:$C$49)*Impacts!$F$11),0)</f>
        <v>0</v>
      </c>
      <c r="P340" s="10">
        <f>IF(Tank5!$C$23="No control",(SUMIF(Tank5!$B$32:$B$49,$J340,Tank5!$C$32:$C$49)*Impacts!$F$12),0)</f>
        <v>0</v>
      </c>
      <c r="Q340" s="10">
        <f>IFERROR(IF(('Loading-drum,tote'!$C$21)="No control",SUMIF(('Loading-drum,tote'!$B$31:$B$48),$J340,('Loading-drum,tote'!$D$31:$D$48))*Impacts!$F$13,IF(('Loading-drum,tote'!$C$21)&lt;&gt;"No control",SUMIF(('Loading-drum,tote'!$B$31:$B$48),$J340,('Loading-drum,tote'!$E$31:$E$48))*Impacts!$F$13,0)),0)</f>
        <v>0</v>
      </c>
      <c r="R340" s="10">
        <f>IFERROR(IF(('Loading-truck'!$C$21)="No control",SUMIF(('Loading-truck'!$B$31:$B$48),$J340,('Loading-truck'!$D$31:$D$48))*Impacts!$F$14,IF(('Loading-truck'!$C$21)&lt;&gt;"No control",SUMIF(('Loading-truck'!$B$31:$B$48),$J340,('Loading-truck'!$E$31:$E$48))*Impacts!$F$14,0)),0)</f>
        <v>0</v>
      </c>
      <c r="S340" s="10">
        <f>IFERROR(IF(('Loading-rail'!$C$21)="No control",SUMIF(('Loading-rail'!$B$31:$B$48),$J340,('Loading-rail'!$D$31:$D$48))*Impacts!$F$15,IF(('Loading-rail'!$C$21)&lt;&gt;"No control",SUMIF(('Loading-rail'!$B$31:$B$48),$J340,('Loading-rail'!$E$31:$E$48))*Impacts!$F$15,0)),0)</f>
        <v>0</v>
      </c>
      <c r="T340" s="10">
        <f>IF(Flare!$C$7="",0,(SUMIF(Flare!$B$46:$B$185,$J340,Flare!$E$46:$E$185)*Impacts!$F$16))</f>
        <v>0</v>
      </c>
      <c r="U340" s="10">
        <f>IF(VCU!$C$9="",0,(SUMIF(VCU!$B$51:$B$193,$J340,VCU!$E$51:$E$193)*Impacts!$F$17))</f>
        <v>0</v>
      </c>
      <c r="V340" s="10">
        <f>IF(CAS!$C$7="",0,(SUMIF(CAS!$B$31:$B$167,$J340,CAS!$E$31:$E$167)*Impacts!$F$18))</f>
        <v>0</v>
      </c>
      <c r="W340" s="10">
        <f t="shared" si="47"/>
        <v>0</v>
      </c>
      <c r="AK340" s="10" t="str">
        <f t="array" ref="AK340">IFERROR(INDEX(SelectedSpecies,SMALL(IF(SelectedSpecies=AK$1,ROW(SelectedSpecies)),ROW(341:341)),2),"")</f>
        <v/>
      </c>
      <c r="BE340" s="10"/>
      <c r="BI340" s="10"/>
    </row>
    <row r="341" spans="1:61" ht="21" customHeight="1" x14ac:dyDescent="0.25">
      <c r="A341" s="10"/>
      <c r="B341" s="10"/>
      <c r="E341" s="10"/>
      <c r="G341" s="10"/>
      <c r="I341" s="436" t="s">
        <v>6290</v>
      </c>
      <c r="J341" s="26" t="s">
        <v>6289</v>
      </c>
      <c r="K341" s="10">
        <v>0.9</v>
      </c>
      <c r="L341" s="73">
        <f>IF(Tank1!$C$23="No control",(SUMIF(Tank1!$B$32:$B$49,$J341,Tank1!$C$32:$C$49)*Impacts!$F$8),0)</f>
        <v>0</v>
      </c>
      <c r="M341" s="10">
        <f>IF(Tank2!$C$23="No control",(SUMIF(Tank2!$B$32:$B$49,$J341,Tank2!$C$32:$C$49)*Impacts!$F$9),0)</f>
        <v>0</v>
      </c>
      <c r="N341" s="10">
        <f>IF(Tank3!$C$23="No control",(SUMIF(Tank3!$B$32:$B$49,$J341,Tank3!$C$32:$C$49)*Impacts!$F$10),0)</f>
        <v>0</v>
      </c>
      <c r="O341" s="10">
        <f>IF(Tank4!$C$23="No control",(SUMIF(Tank4!$B$32:$B$49,$J341,Tank4!$C$32:$C$49)*Impacts!$F$11),0)</f>
        <v>0</v>
      </c>
      <c r="P341" s="10">
        <f>IF(Tank5!$C$23="No control",(SUMIF(Tank5!$B$32:$B$49,$J341,Tank5!$C$32:$C$49)*Impacts!$F$12),0)</f>
        <v>0</v>
      </c>
      <c r="Q341" s="10">
        <f>IFERROR(IF(('Loading-drum,tote'!$C$21)="No control",SUMIF(('Loading-drum,tote'!$B$31:$B$48),$J341,('Loading-drum,tote'!$D$31:$D$48))*Impacts!$F$13,IF(('Loading-drum,tote'!$C$21)&lt;&gt;"No control",SUMIF(('Loading-drum,tote'!$B$31:$B$48),$J341,('Loading-drum,tote'!$E$31:$E$48))*Impacts!$F$13,0)),0)</f>
        <v>0</v>
      </c>
      <c r="R341" s="10">
        <f>IFERROR(IF(('Loading-truck'!$C$21)="No control",SUMIF(('Loading-truck'!$B$31:$B$48),$J341,('Loading-truck'!$D$31:$D$48))*Impacts!$F$14,IF(('Loading-truck'!$C$21)&lt;&gt;"No control",SUMIF(('Loading-truck'!$B$31:$B$48),$J341,('Loading-truck'!$E$31:$E$48))*Impacts!$F$14,0)),0)</f>
        <v>0</v>
      </c>
      <c r="S341" s="10">
        <f>IFERROR(IF(('Loading-rail'!$C$21)="No control",SUMIF(('Loading-rail'!$B$31:$B$48),$J341,('Loading-rail'!$D$31:$D$48))*Impacts!$F$15,IF(('Loading-rail'!$C$21)&lt;&gt;"No control",SUMIF(('Loading-rail'!$B$31:$B$48),$J341,('Loading-rail'!$E$31:$E$48))*Impacts!$F$15,0)),0)</f>
        <v>0</v>
      </c>
      <c r="T341" s="10">
        <f>IF(Flare!$C$7="",0,(SUMIF(Flare!$B$46:$B$185,$J341,Flare!$E$46:$E$185)*Impacts!$F$16))</f>
        <v>0</v>
      </c>
      <c r="U341" s="10">
        <f>IF(VCU!$C$9="",0,(SUMIF(VCU!$B$51:$B$193,$J341,VCU!$E$51:$E$193)*Impacts!$F$17))</f>
        <v>0</v>
      </c>
      <c r="V341" s="10">
        <f>IF(CAS!$C$7="",0,(SUMIF(CAS!$B$31:$B$167,$J341,CAS!$E$31:$E$167)*Impacts!$F$18))</f>
        <v>0</v>
      </c>
      <c r="W341" s="10">
        <f t="shared" si="47"/>
        <v>0</v>
      </c>
      <c r="AK341" s="10" t="str">
        <f t="array" ref="AK341">IFERROR(INDEX(SelectedSpecies,SMALL(IF(SelectedSpecies=AK$1,ROW(SelectedSpecies)),ROW(342:342)),2),"")</f>
        <v/>
      </c>
      <c r="BE341" s="10"/>
      <c r="BI341" s="10"/>
    </row>
    <row r="342" spans="1:61" ht="21" customHeight="1" x14ac:dyDescent="0.25">
      <c r="A342" s="10"/>
      <c r="B342" s="10"/>
      <c r="E342" s="10"/>
      <c r="G342" s="10"/>
      <c r="I342" s="436" t="s">
        <v>8114</v>
      </c>
      <c r="J342" s="26" t="s">
        <v>8113</v>
      </c>
      <c r="K342" s="10">
        <v>1.0000000000000002E-2</v>
      </c>
      <c r="L342" s="73">
        <f>IF(Tank1!$C$23="No control",(SUMIF(Tank1!$B$32:$B$49,$J342,Tank1!$C$32:$C$49)*Impacts!$F$8),0)</f>
        <v>0</v>
      </c>
      <c r="M342" s="10">
        <f>IF(Tank2!$C$23="No control",(SUMIF(Tank2!$B$32:$B$49,$J342,Tank2!$C$32:$C$49)*Impacts!$F$9),0)</f>
        <v>0</v>
      </c>
      <c r="N342" s="10">
        <f>IF(Tank3!$C$23="No control",(SUMIF(Tank3!$B$32:$B$49,$J342,Tank3!$C$32:$C$49)*Impacts!$F$10),0)</f>
        <v>0</v>
      </c>
      <c r="O342" s="10">
        <f>IF(Tank4!$C$23="No control",(SUMIF(Tank4!$B$32:$B$49,$J342,Tank4!$C$32:$C$49)*Impacts!$F$11),0)</f>
        <v>0</v>
      </c>
      <c r="P342" s="10">
        <f>IF(Tank5!$C$23="No control",(SUMIF(Tank5!$B$32:$B$49,$J342,Tank5!$C$32:$C$49)*Impacts!$F$12),0)</f>
        <v>0</v>
      </c>
      <c r="Q342" s="10">
        <f>IFERROR(IF(('Loading-drum,tote'!$C$21)="No control",SUMIF(('Loading-drum,tote'!$B$31:$B$48),$J342,('Loading-drum,tote'!$D$31:$D$48))*Impacts!$F$13,IF(('Loading-drum,tote'!$C$21)&lt;&gt;"No control",SUMIF(('Loading-drum,tote'!$B$31:$B$48),$J342,('Loading-drum,tote'!$E$31:$E$48))*Impacts!$F$13,0)),0)</f>
        <v>0</v>
      </c>
      <c r="R342" s="10">
        <f>IFERROR(IF(('Loading-truck'!$C$21)="No control",SUMIF(('Loading-truck'!$B$31:$B$48),$J342,('Loading-truck'!$D$31:$D$48))*Impacts!$F$14,IF(('Loading-truck'!$C$21)&lt;&gt;"No control",SUMIF(('Loading-truck'!$B$31:$B$48),$J342,('Loading-truck'!$E$31:$E$48))*Impacts!$F$14,0)),0)</f>
        <v>0</v>
      </c>
      <c r="S342" s="10">
        <f>IFERROR(IF(('Loading-rail'!$C$21)="No control",SUMIF(('Loading-rail'!$B$31:$B$48),$J342,('Loading-rail'!$D$31:$D$48))*Impacts!$F$15,IF(('Loading-rail'!$C$21)&lt;&gt;"No control",SUMIF(('Loading-rail'!$B$31:$B$48),$J342,('Loading-rail'!$E$31:$E$48))*Impacts!$F$15,0)),0)</f>
        <v>0</v>
      </c>
      <c r="T342" s="10">
        <f>IF(Flare!$C$7="",0,(SUMIF(Flare!$B$46:$B$185,$J342,Flare!$E$46:$E$185)*Impacts!$F$16))</f>
        <v>0</v>
      </c>
      <c r="U342" s="10">
        <f>IF(VCU!$C$9="",0,(SUMIF(VCU!$B$51:$B$193,$J342,VCU!$E$51:$E$193)*Impacts!$F$17))</f>
        <v>0</v>
      </c>
      <c r="V342" s="10">
        <f>IF(CAS!$C$7="",0,(SUMIF(CAS!$B$31:$B$167,$J342,CAS!$E$31:$E$167)*Impacts!$F$18))</f>
        <v>0</v>
      </c>
      <c r="W342" s="10">
        <f t="shared" si="47"/>
        <v>0</v>
      </c>
      <c r="AK342" s="10" t="str">
        <f t="array" ref="AK342">IFERROR(INDEX(SelectedSpecies,SMALL(IF(SelectedSpecies=AK$1,ROW(SelectedSpecies)),ROW(343:343)),2),"")</f>
        <v/>
      </c>
      <c r="BE342" s="10"/>
      <c r="BI342" s="10"/>
    </row>
    <row r="343" spans="1:61" ht="21" customHeight="1" x14ac:dyDescent="0.25">
      <c r="A343" s="10"/>
      <c r="B343" s="10"/>
      <c r="E343" s="10"/>
      <c r="G343" s="10"/>
      <c r="I343" s="436" t="s">
        <v>4433</v>
      </c>
      <c r="J343" s="26" t="s">
        <v>4432</v>
      </c>
      <c r="K343" s="10">
        <v>4.5</v>
      </c>
      <c r="L343" s="73">
        <f>IF(Tank1!$C$23="No control",(SUMIF(Tank1!$B$32:$B$49,$J343,Tank1!$C$32:$C$49)*Impacts!$F$8),0)</f>
        <v>0</v>
      </c>
      <c r="M343" s="10">
        <f>IF(Tank2!$C$23="No control",(SUMIF(Tank2!$B$32:$B$49,$J343,Tank2!$C$32:$C$49)*Impacts!$F$9),0)</f>
        <v>0</v>
      </c>
      <c r="N343" s="10">
        <f>IF(Tank3!$C$23="No control",(SUMIF(Tank3!$B$32:$B$49,$J343,Tank3!$C$32:$C$49)*Impacts!$F$10),0)</f>
        <v>0</v>
      </c>
      <c r="O343" s="10">
        <f>IF(Tank4!$C$23="No control",(SUMIF(Tank4!$B$32:$B$49,$J343,Tank4!$C$32:$C$49)*Impacts!$F$11),0)</f>
        <v>0</v>
      </c>
      <c r="P343" s="10">
        <f>IF(Tank5!$C$23="No control",(SUMIF(Tank5!$B$32:$B$49,$J343,Tank5!$C$32:$C$49)*Impacts!$F$12),0)</f>
        <v>0</v>
      </c>
      <c r="Q343" s="10">
        <f>IFERROR(IF(('Loading-drum,tote'!$C$21)="No control",SUMIF(('Loading-drum,tote'!$B$31:$B$48),$J343,('Loading-drum,tote'!$D$31:$D$48))*Impacts!$F$13,IF(('Loading-drum,tote'!$C$21)&lt;&gt;"No control",SUMIF(('Loading-drum,tote'!$B$31:$B$48),$J343,('Loading-drum,tote'!$E$31:$E$48))*Impacts!$F$13,0)),0)</f>
        <v>0</v>
      </c>
      <c r="R343" s="10">
        <f>IFERROR(IF(('Loading-truck'!$C$21)="No control",SUMIF(('Loading-truck'!$B$31:$B$48),$J343,('Loading-truck'!$D$31:$D$48))*Impacts!$F$14,IF(('Loading-truck'!$C$21)&lt;&gt;"No control",SUMIF(('Loading-truck'!$B$31:$B$48),$J343,('Loading-truck'!$E$31:$E$48))*Impacts!$F$14,0)),0)</f>
        <v>0</v>
      </c>
      <c r="S343" s="10">
        <f>IFERROR(IF(('Loading-rail'!$C$21)="No control",SUMIF(('Loading-rail'!$B$31:$B$48),$J343,('Loading-rail'!$D$31:$D$48))*Impacts!$F$15,IF(('Loading-rail'!$C$21)&lt;&gt;"No control",SUMIF(('Loading-rail'!$B$31:$B$48),$J343,('Loading-rail'!$E$31:$E$48))*Impacts!$F$15,0)),0)</f>
        <v>0</v>
      </c>
      <c r="T343" s="10">
        <f>IF(Flare!$C$7="",0,(SUMIF(Flare!$B$46:$B$185,$J343,Flare!$E$46:$E$185)*Impacts!$F$16))</f>
        <v>0</v>
      </c>
      <c r="U343" s="10">
        <f>IF(VCU!$C$9="",0,(SUMIF(VCU!$B$51:$B$193,$J343,VCU!$E$51:$E$193)*Impacts!$F$17))</f>
        <v>0</v>
      </c>
      <c r="V343" s="10">
        <f>IF(CAS!$C$7="",0,(SUMIF(CAS!$B$31:$B$167,$J343,CAS!$E$31:$E$167)*Impacts!$F$18))</f>
        <v>0</v>
      </c>
      <c r="W343" s="10">
        <f t="shared" si="47"/>
        <v>0</v>
      </c>
      <c r="AK343" s="10" t="str">
        <f t="array" ref="AK343">IFERROR(INDEX(SelectedSpecies,SMALL(IF(SelectedSpecies=AK$1,ROW(SelectedSpecies)),ROW(344:344)),2),"")</f>
        <v/>
      </c>
      <c r="BE343" s="10"/>
      <c r="BI343" s="10"/>
    </row>
    <row r="344" spans="1:61" ht="21" customHeight="1" x14ac:dyDescent="0.25">
      <c r="A344" s="10"/>
      <c r="B344" s="10"/>
      <c r="E344" s="10"/>
      <c r="G344" s="10"/>
      <c r="I344" s="436" t="s">
        <v>7236</v>
      </c>
      <c r="J344" s="26" t="s">
        <v>7235</v>
      </c>
      <c r="K344" s="10">
        <v>0.30000000000000004</v>
      </c>
      <c r="L344" s="73">
        <f>IF(Tank1!$C$23="No control",(SUMIF(Tank1!$B$32:$B$49,$J344,Tank1!$C$32:$C$49)*Impacts!$F$8),0)</f>
        <v>0</v>
      </c>
      <c r="M344" s="10">
        <f>IF(Tank2!$C$23="No control",(SUMIF(Tank2!$B$32:$B$49,$J344,Tank2!$C$32:$C$49)*Impacts!$F$9),0)</f>
        <v>0</v>
      </c>
      <c r="N344" s="10">
        <f>IF(Tank3!$C$23="No control",(SUMIF(Tank3!$B$32:$B$49,$J344,Tank3!$C$32:$C$49)*Impacts!$F$10),0)</f>
        <v>0</v>
      </c>
      <c r="O344" s="10">
        <f>IF(Tank4!$C$23="No control",(SUMIF(Tank4!$B$32:$B$49,$J344,Tank4!$C$32:$C$49)*Impacts!$F$11),0)</f>
        <v>0</v>
      </c>
      <c r="P344" s="10">
        <f>IF(Tank5!$C$23="No control",(SUMIF(Tank5!$B$32:$B$49,$J344,Tank5!$C$32:$C$49)*Impacts!$F$12),0)</f>
        <v>0</v>
      </c>
      <c r="Q344" s="10">
        <f>IFERROR(IF(('Loading-drum,tote'!$C$21)="No control",SUMIF(('Loading-drum,tote'!$B$31:$B$48),$J344,('Loading-drum,tote'!$D$31:$D$48))*Impacts!$F$13,IF(('Loading-drum,tote'!$C$21)&lt;&gt;"No control",SUMIF(('Loading-drum,tote'!$B$31:$B$48),$J344,('Loading-drum,tote'!$E$31:$E$48))*Impacts!$F$13,0)),0)</f>
        <v>0</v>
      </c>
      <c r="R344" s="10">
        <f>IFERROR(IF(('Loading-truck'!$C$21)="No control",SUMIF(('Loading-truck'!$B$31:$B$48),$J344,('Loading-truck'!$D$31:$D$48))*Impacts!$F$14,IF(('Loading-truck'!$C$21)&lt;&gt;"No control",SUMIF(('Loading-truck'!$B$31:$B$48),$J344,('Loading-truck'!$E$31:$E$48))*Impacts!$F$14,0)),0)</f>
        <v>0</v>
      </c>
      <c r="S344" s="10">
        <f>IFERROR(IF(('Loading-rail'!$C$21)="No control",SUMIF(('Loading-rail'!$B$31:$B$48),$J344,('Loading-rail'!$D$31:$D$48))*Impacts!$F$15,IF(('Loading-rail'!$C$21)&lt;&gt;"No control",SUMIF(('Loading-rail'!$B$31:$B$48),$J344,('Loading-rail'!$E$31:$E$48))*Impacts!$F$15,0)),0)</f>
        <v>0</v>
      </c>
      <c r="T344" s="10">
        <f>IF(Flare!$C$7="",0,(SUMIF(Flare!$B$46:$B$185,$J344,Flare!$E$46:$E$185)*Impacts!$F$16))</f>
        <v>0</v>
      </c>
      <c r="U344" s="10">
        <f>IF(VCU!$C$9="",0,(SUMIF(VCU!$B$51:$B$193,$J344,VCU!$E$51:$E$193)*Impacts!$F$17))</f>
        <v>0</v>
      </c>
      <c r="V344" s="10">
        <f>IF(CAS!$C$7="",0,(SUMIF(CAS!$B$31:$B$167,$J344,CAS!$E$31:$E$167)*Impacts!$F$18))</f>
        <v>0</v>
      </c>
      <c r="W344" s="10">
        <f t="shared" si="47"/>
        <v>0</v>
      </c>
      <c r="AK344" s="10" t="str">
        <f t="array" ref="AK344">IFERROR(INDEX(SelectedSpecies,SMALL(IF(SelectedSpecies=AK$1,ROW(SelectedSpecies)),ROW(345:345)),2),"")</f>
        <v/>
      </c>
      <c r="BE344" s="10"/>
      <c r="BI344" s="10"/>
    </row>
    <row r="345" spans="1:61" ht="21" customHeight="1" x14ac:dyDescent="0.25">
      <c r="A345" s="10"/>
      <c r="B345" s="10"/>
      <c r="E345" s="10"/>
      <c r="G345" s="10"/>
      <c r="I345" s="436" t="s">
        <v>5688</v>
      </c>
      <c r="J345" s="26" t="s">
        <v>5687</v>
      </c>
      <c r="K345" s="10">
        <v>1</v>
      </c>
      <c r="L345" s="73">
        <f>IF(Tank1!$C$23="No control",(SUMIF(Tank1!$B$32:$B$49,$J345,Tank1!$C$32:$C$49)*Impacts!$F$8),0)</f>
        <v>0</v>
      </c>
      <c r="M345" s="10">
        <f>IF(Tank2!$C$23="No control",(SUMIF(Tank2!$B$32:$B$49,$J345,Tank2!$C$32:$C$49)*Impacts!$F$9),0)</f>
        <v>0</v>
      </c>
      <c r="N345" s="10">
        <f>IF(Tank3!$C$23="No control",(SUMIF(Tank3!$B$32:$B$49,$J345,Tank3!$C$32:$C$49)*Impacts!$F$10),0)</f>
        <v>0</v>
      </c>
      <c r="O345" s="10">
        <f>IF(Tank4!$C$23="No control",(SUMIF(Tank4!$B$32:$B$49,$J345,Tank4!$C$32:$C$49)*Impacts!$F$11),0)</f>
        <v>0</v>
      </c>
      <c r="P345" s="10">
        <f>IF(Tank5!$C$23="No control",(SUMIF(Tank5!$B$32:$B$49,$J345,Tank5!$C$32:$C$49)*Impacts!$F$12),0)</f>
        <v>0</v>
      </c>
      <c r="Q345" s="10">
        <f>IFERROR(IF(('Loading-drum,tote'!$C$21)="No control",SUMIF(('Loading-drum,tote'!$B$31:$B$48),$J345,('Loading-drum,tote'!$D$31:$D$48))*Impacts!$F$13,IF(('Loading-drum,tote'!$C$21)&lt;&gt;"No control",SUMIF(('Loading-drum,tote'!$B$31:$B$48),$J345,('Loading-drum,tote'!$E$31:$E$48))*Impacts!$F$13,0)),0)</f>
        <v>0</v>
      </c>
      <c r="R345" s="10">
        <f>IFERROR(IF(('Loading-truck'!$C$21)="No control",SUMIF(('Loading-truck'!$B$31:$B$48),$J345,('Loading-truck'!$D$31:$D$48))*Impacts!$F$14,IF(('Loading-truck'!$C$21)&lt;&gt;"No control",SUMIF(('Loading-truck'!$B$31:$B$48),$J345,('Loading-truck'!$E$31:$E$48))*Impacts!$F$14,0)),0)</f>
        <v>0</v>
      </c>
      <c r="S345" s="10">
        <f>IFERROR(IF(('Loading-rail'!$C$21)="No control",SUMIF(('Loading-rail'!$B$31:$B$48),$J345,('Loading-rail'!$D$31:$D$48))*Impacts!$F$15,IF(('Loading-rail'!$C$21)&lt;&gt;"No control",SUMIF(('Loading-rail'!$B$31:$B$48),$J345,('Loading-rail'!$E$31:$E$48))*Impacts!$F$15,0)),0)</f>
        <v>0</v>
      </c>
      <c r="T345" s="10">
        <f>IF(Flare!$C$7="",0,(SUMIF(Flare!$B$46:$B$185,$J345,Flare!$E$46:$E$185)*Impacts!$F$16))</f>
        <v>0</v>
      </c>
      <c r="U345" s="10">
        <f>IF(VCU!$C$9="",0,(SUMIF(VCU!$B$51:$B$193,$J345,VCU!$E$51:$E$193)*Impacts!$F$17))</f>
        <v>0</v>
      </c>
      <c r="V345" s="10">
        <f>IF(CAS!$C$7="",0,(SUMIF(CAS!$B$31:$B$167,$J345,CAS!$E$31:$E$167)*Impacts!$F$18))</f>
        <v>0</v>
      </c>
      <c r="W345" s="10">
        <f t="shared" si="47"/>
        <v>0</v>
      </c>
      <c r="AK345" s="10" t="str">
        <f t="array" ref="AK345">IFERROR(INDEX(SelectedSpecies,SMALL(IF(SelectedSpecies=AK$1,ROW(SelectedSpecies)),ROW(346:346)),2),"")</f>
        <v/>
      </c>
      <c r="BE345" s="10"/>
      <c r="BI345" s="10"/>
    </row>
    <row r="346" spans="1:61" ht="21" customHeight="1" x14ac:dyDescent="0.25">
      <c r="A346" s="10"/>
      <c r="B346" s="10"/>
      <c r="E346" s="10"/>
      <c r="G346" s="10"/>
      <c r="I346" s="436" t="s">
        <v>5107</v>
      </c>
      <c r="J346" s="26" t="s">
        <v>5106</v>
      </c>
      <c r="K346" s="10">
        <v>2.1</v>
      </c>
      <c r="L346" s="73">
        <f>IF(Tank1!$C$23="No control",(SUMIF(Tank1!$B$32:$B$49,$J346,Tank1!$C$32:$C$49)*Impacts!$F$8),0)</f>
        <v>0</v>
      </c>
      <c r="M346" s="10">
        <f>IF(Tank2!$C$23="No control",(SUMIF(Tank2!$B$32:$B$49,$J346,Tank2!$C$32:$C$49)*Impacts!$F$9),0)</f>
        <v>0</v>
      </c>
      <c r="N346" s="10">
        <f>IF(Tank3!$C$23="No control",(SUMIF(Tank3!$B$32:$B$49,$J346,Tank3!$C$32:$C$49)*Impacts!$F$10),0)</f>
        <v>0</v>
      </c>
      <c r="O346" s="10">
        <f>IF(Tank4!$C$23="No control",(SUMIF(Tank4!$B$32:$B$49,$J346,Tank4!$C$32:$C$49)*Impacts!$F$11),0)</f>
        <v>0</v>
      </c>
      <c r="P346" s="10">
        <f>IF(Tank5!$C$23="No control",(SUMIF(Tank5!$B$32:$B$49,$J346,Tank5!$C$32:$C$49)*Impacts!$F$12),0)</f>
        <v>0</v>
      </c>
      <c r="Q346" s="10">
        <f>IFERROR(IF(('Loading-drum,tote'!$C$21)="No control",SUMIF(('Loading-drum,tote'!$B$31:$B$48),$J346,('Loading-drum,tote'!$D$31:$D$48))*Impacts!$F$13,IF(('Loading-drum,tote'!$C$21)&lt;&gt;"No control",SUMIF(('Loading-drum,tote'!$B$31:$B$48),$J346,('Loading-drum,tote'!$E$31:$E$48))*Impacts!$F$13,0)),0)</f>
        <v>0</v>
      </c>
      <c r="R346" s="10">
        <f>IFERROR(IF(('Loading-truck'!$C$21)="No control",SUMIF(('Loading-truck'!$B$31:$B$48),$J346,('Loading-truck'!$D$31:$D$48))*Impacts!$F$14,IF(('Loading-truck'!$C$21)&lt;&gt;"No control",SUMIF(('Loading-truck'!$B$31:$B$48),$J346,('Loading-truck'!$E$31:$E$48))*Impacts!$F$14,0)),0)</f>
        <v>0</v>
      </c>
      <c r="S346" s="10">
        <f>IFERROR(IF(('Loading-rail'!$C$21)="No control",SUMIF(('Loading-rail'!$B$31:$B$48),$J346,('Loading-rail'!$D$31:$D$48))*Impacts!$F$15,IF(('Loading-rail'!$C$21)&lt;&gt;"No control",SUMIF(('Loading-rail'!$B$31:$B$48),$J346,('Loading-rail'!$E$31:$E$48))*Impacts!$F$15,0)),0)</f>
        <v>0</v>
      </c>
      <c r="T346" s="10">
        <f>IF(Flare!$C$7="",0,(SUMIF(Flare!$B$46:$B$185,$J346,Flare!$E$46:$E$185)*Impacts!$F$16))</f>
        <v>0</v>
      </c>
      <c r="U346" s="10">
        <f>IF(VCU!$C$9="",0,(SUMIF(VCU!$B$51:$B$193,$J346,VCU!$E$51:$E$193)*Impacts!$F$17))</f>
        <v>0</v>
      </c>
      <c r="V346" s="10">
        <f>IF(CAS!$C$7="",0,(SUMIF(CAS!$B$31:$B$167,$J346,CAS!$E$31:$E$167)*Impacts!$F$18))</f>
        <v>0</v>
      </c>
      <c r="W346" s="10">
        <f t="shared" si="47"/>
        <v>0</v>
      </c>
      <c r="AK346" s="10" t="str">
        <f t="array" ref="AK346">IFERROR(INDEX(SelectedSpecies,SMALL(IF(SelectedSpecies=AK$1,ROW(SelectedSpecies)),ROW(347:347)),2),"")</f>
        <v/>
      </c>
      <c r="BE346" s="10"/>
      <c r="BI346" s="10"/>
    </row>
    <row r="347" spans="1:61" ht="21" customHeight="1" x14ac:dyDescent="0.25">
      <c r="A347" s="10"/>
      <c r="B347" s="10"/>
      <c r="E347" s="10"/>
      <c r="G347" s="10"/>
      <c r="I347" s="436" t="s">
        <v>3541</v>
      </c>
      <c r="J347" s="26" t="s">
        <v>3540</v>
      </c>
      <c r="K347" s="10">
        <v>8.4</v>
      </c>
      <c r="L347" s="73">
        <f>IF(Tank1!$C$23="No control",(SUMIF(Tank1!$B$32:$B$49,$J347,Tank1!$C$32:$C$49)*Impacts!$F$8),0)</f>
        <v>0</v>
      </c>
      <c r="M347" s="10">
        <f>IF(Tank2!$C$23="No control",(SUMIF(Tank2!$B$32:$B$49,$J347,Tank2!$C$32:$C$49)*Impacts!$F$9),0)</f>
        <v>0</v>
      </c>
      <c r="N347" s="10">
        <f>IF(Tank3!$C$23="No control",(SUMIF(Tank3!$B$32:$B$49,$J347,Tank3!$C$32:$C$49)*Impacts!$F$10),0)</f>
        <v>0</v>
      </c>
      <c r="O347" s="10">
        <f>IF(Tank4!$C$23="No control",(SUMIF(Tank4!$B$32:$B$49,$J347,Tank4!$C$32:$C$49)*Impacts!$F$11),0)</f>
        <v>0</v>
      </c>
      <c r="P347" s="10">
        <f>IF(Tank5!$C$23="No control",(SUMIF(Tank5!$B$32:$B$49,$J347,Tank5!$C$32:$C$49)*Impacts!$F$12),0)</f>
        <v>0</v>
      </c>
      <c r="Q347" s="10">
        <f>IFERROR(IF(('Loading-drum,tote'!$C$21)="No control",SUMIF(('Loading-drum,tote'!$B$31:$B$48),$J347,('Loading-drum,tote'!$D$31:$D$48))*Impacts!$F$13,IF(('Loading-drum,tote'!$C$21)&lt;&gt;"No control",SUMIF(('Loading-drum,tote'!$B$31:$B$48),$J347,('Loading-drum,tote'!$E$31:$E$48))*Impacts!$F$13,0)),0)</f>
        <v>0</v>
      </c>
      <c r="R347" s="10">
        <f>IFERROR(IF(('Loading-truck'!$C$21)="No control",SUMIF(('Loading-truck'!$B$31:$B$48),$J347,('Loading-truck'!$D$31:$D$48))*Impacts!$F$14,IF(('Loading-truck'!$C$21)&lt;&gt;"No control",SUMIF(('Loading-truck'!$B$31:$B$48),$J347,('Loading-truck'!$E$31:$E$48))*Impacts!$F$14,0)),0)</f>
        <v>0</v>
      </c>
      <c r="S347" s="10">
        <f>IFERROR(IF(('Loading-rail'!$C$21)="No control",SUMIF(('Loading-rail'!$B$31:$B$48),$J347,('Loading-rail'!$D$31:$D$48))*Impacts!$F$15,IF(('Loading-rail'!$C$21)&lt;&gt;"No control",SUMIF(('Loading-rail'!$B$31:$B$48),$J347,('Loading-rail'!$E$31:$E$48))*Impacts!$F$15,0)),0)</f>
        <v>0</v>
      </c>
      <c r="T347" s="10">
        <f>IF(Flare!$C$7="",0,(SUMIF(Flare!$B$46:$B$185,$J347,Flare!$E$46:$E$185)*Impacts!$F$16))</f>
        <v>0</v>
      </c>
      <c r="U347" s="10">
        <f>IF(VCU!$C$9="",0,(SUMIF(VCU!$B$51:$B$193,$J347,VCU!$E$51:$E$193)*Impacts!$F$17))</f>
        <v>0</v>
      </c>
      <c r="V347" s="10">
        <f>IF(CAS!$C$7="",0,(SUMIF(CAS!$B$31:$B$167,$J347,CAS!$E$31:$E$167)*Impacts!$F$18))</f>
        <v>0</v>
      </c>
      <c r="W347" s="10">
        <f t="shared" si="47"/>
        <v>0</v>
      </c>
      <c r="AK347" s="10" t="str">
        <f t="array" ref="AK347">IFERROR(INDEX(SelectedSpecies,SMALL(IF(SelectedSpecies=AK$1,ROW(SelectedSpecies)),ROW(348:348)),2),"")</f>
        <v/>
      </c>
      <c r="BE347" s="10"/>
      <c r="BI347" s="10"/>
    </row>
    <row r="348" spans="1:61" ht="21" customHeight="1" x14ac:dyDescent="0.25">
      <c r="A348" s="10"/>
      <c r="B348" s="10"/>
      <c r="E348" s="10"/>
      <c r="G348" s="10"/>
      <c r="I348" s="436" t="s">
        <v>1522</v>
      </c>
      <c r="J348" s="26" t="s">
        <v>1521</v>
      </c>
      <c r="K348" s="10">
        <v>27</v>
      </c>
      <c r="L348" s="73">
        <f>IF(Tank1!$C$23="No control",(SUMIF(Tank1!$B$32:$B$49,$J348,Tank1!$C$32:$C$49)*Impacts!$F$8),0)</f>
        <v>0</v>
      </c>
      <c r="M348" s="10">
        <f>IF(Tank2!$C$23="No control",(SUMIF(Tank2!$B$32:$B$49,$J348,Tank2!$C$32:$C$49)*Impacts!$F$9),0)</f>
        <v>0</v>
      </c>
      <c r="N348" s="10">
        <f>IF(Tank3!$C$23="No control",(SUMIF(Tank3!$B$32:$B$49,$J348,Tank3!$C$32:$C$49)*Impacts!$F$10),0)</f>
        <v>0</v>
      </c>
      <c r="O348" s="10">
        <f>IF(Tank4!$C$23="No control",(SUMIF(Tank4!$B$32:$B$49,$J348,Tank4!$C$32:$C$49)*Impacts!$F$11),0)</f>
        <v>0</v>
      </c>
      <c r="P348" s="10">
        <f>IF(Tank5!$C$23="No control",(SUMIF(Tank5!$B$32:$B$49,$J348,Tank5!$C$32:$C$49)*Impacts!$F$12),0)</f>
        <v>0</v>
      </c>
      <c r="Q348" s="10">
        <f>IFERROR(IF(('Loading-drum,tote'!$C$21)="No control",SUMIF(('Loading-drum,tote'!$B$31:$B$48),$J348,('Loading-drum,tote'!$D$31:$D$48))*Impacts!$F$13,IF(('Loading-drum,tote'!$C$21)&lt;&gt;"No control",SUMIF(('Loading-drum,tote'!$B$31:$B$48),$J348,('Loading-drum,tote'!$E$31:$E$48))*Impacts!$F$13,0)),0)</f>
        <v>0</v>
      </c>
      <c r="R348" s="10">
        <f>IFERROR(IF(('Loading-truck'!$C$21)="No control",SUMIF(('Loading-truck'!$B$31:$B$48),$J348,('Loading-truck'!$D$31:$D$48))*Impacts!$F$14,IF(('Loading-truck'!$C$21)&lt;&gt;"No control",SUMIF(('Loading-truck'!$B$31:$B$48),$J348,('Loading-truck'!$E$31:$E$48))*Impacts!$F$14,0)),0)</f>
        <v>0</v>
      </c>
      <c r="S348" s="10">
        <f>IFERROR(IF(('Loading-rail'!$C$21)="No control",SUMIF(('Loading-rail'!$B$31:$B$48),$J348,('Loading-rail'!$D$31:$D$48))*Impacts!$F$15,IF(('Loading-rail'!$C$21)&lt;&gt;"No control",SUMIF(('Loading-rail'!$B$31:$B$48),$J348,('Loading-rail'!$E$31:$E$48))*Impacts!$F$15,0)),0)</f>
        <v>0</v>
      </c>
      <c r="T348" s="10">
        <f>IF(Flare!$C$7="",0,(SUMIF(Flare!$B$46:$B$185,$J348,Flare!$E$46:$E$185)*Impacts!$F$16))</f>
        <v>0</v>
      </c>
      <c r="U348" s="10">
        <f>IF(VCU!$C$9="",0,(SUMIF(VCU!$B$51:$B$193,$J348,VCU!$E$51:$E$193)*Impacts!$F$17))</f>
        <v>0</v>
      </c>
      <c r="V348" s="10">
        <f>IF(CAS!$C$7="",0,(SUMIF(CAS!$B$31:$B$167,$J348,CAS!$E$31:$E$167)*Impacts!$F$18))</f>
        <v>0</v>
      </c>
      <c r="W348" s="10">
        <f t="shared" si="47"/>
        <v>0</v>
      </c>
      <c r="AK348" s="10" t="str">
        <f t="array" ref="AK348">IFERROR(INDEX(SelectedSpecies,SMALL(IF(SelectedSpecies=AK$1,ROW(SelectedSpecies)),ROW(349:349)),2),"")</f>
        <v/>
      </c>
      <c r="BE348" s="10"/>
      <c r="BI348" s="10"/>
    </row>
    <row r="349" spans="1:61" ht="21" customHeight="1" x14ac:dyDescent="0.25">
      <c r="A349" s="10"/>
      <c r="B349" s="10"/>
      <c r="E349" s="10"/>
      <c r="G349" s="10"/>
      <c r="I349" s="436" t="s">
        <v>4103</v>
      </c>
      <c r="J349" s="26" t="s">
        <v>4102</v>
      </c>
      <c r="K349" s="10">
        <v>5.4</v>
      </c>
      <c r="L349" s="73">
        <f>IF(Tank1!$C$23="No control",(SUMIF(Tank1!$B$32:$B$49,$J349,Tank1!$C$32:$C$49)*Impacts!$F$8),0)</f>
        <v>0</v>
      </c>
      <c r="M349" s="10">
        <f>IF(Tank2!$C$23="No control",(SUMIF(Tank2!$B$32:$B$49,$J349,Tank2!$C$32:$C$49)*Impacts!$F$9),0)</f>
        <v>0</v>
      </c>
      <c r="N349" s="10">
        <f>IF(Tank3!$C$23="No control",(SUMIF(Tank3!$B$32:$B$49,$J349,Tank3!$C$32:$C$49)*Impacts!$F$10),0)</f>
        <v>0</v>
      </c>
      <c r="O349" s="10">
        <f>IF(Tank4!$C$23="No control",(SUMIF(Tank4!$B$32:$B$49,$J349,Tank4!$C$32:$C$49)*Impacts!$F$11),0)</f>
        <v>0</v>
      </c>
      <c r="P349" s="10">
        <f>IF(Tank5!$C$23="No control",(SUMIF(Tank5!$B$32:$B$49,$J349,Tank5!$C$32:$C$49)*Impacts!$F$12),0)</f>
        <v>0</v>
      </c>
      <c r="Q349" s="10">
        <f>IFERROR(IF(('Loading-drum,tote'!$C$21)="No control",SUMIF(('Loading-drum,tote'!$B$31:$B$48),$J349,('Loading-drum,tote'!$D$31:$D$48))*Impacts!$F$13,IF(('Loading-drum,tote'!$C$21)&lt;&gt;"No control",SUMIF(('Loading-drum,tote'!$B$31:$B$48),$J349,('Loading-drum,tote'!$E$31:$E$48))*Impacts!$F$13,0)),0)</f>
        <v>0</v>
      </c>
      <c r="R349" s="10">
        <f>IFERROR(IF(('Loading-truck'!$C$21)="No control",SUMIF(('Loading-truck'!$B$31:$B$48),$J349,('Loading-truck'!$D$31:$D$48))*Impacts!$F$14,IF(('Loading-truck'!$C$21)&lt;&gt;"No control",SUMIF(('Loading-truck'!$B$31:$B$48),$J349,('Loading-truck'!$E$31:$E$48))*Impacts!$F$14,0)),0)</f>
        <v>0</v>
      </c>
      <c r="S349" s="10">
        <f>IFERROR(IF(('Loading-rail'!$C$21)="No control",SUMIF(('Loading-rail'!$B$31:$B$48),$J349,('Loading-rail'!$D$31:$D$48))*Impacts!$F$15,IF(('Loading-rail'!$C$21)&lt;&gt;"No control",SUMIF(('Loading-rail'!$B$31:$B$48),$J349,('Loading-rail'!$E$31:$E$48))*Impacts!$F$15,0)),0)</f>
        <v>0</v>
      </c>
      <c r="T349" s="10">
        <f>IF(Flare!$C$7="",0,(SUMIF(Flare!$B$46:$B$185,$J349,Flare!$E$46:$E$185)*Impacts!$F$16))</f>
        <v>0</v>
      </c>
      <c r="U349" s="10">
        <f>IF(VCU!$C$9="",0,(SUMIF(VCU!$B$51:$B$193,$J349,VCU!$E$51:$E$193)*Impacts!$F$17))</f>
        <v>0</v>
      </c>
      <c r="V349" s="10">
        <f>IF(CAS!$C$7="",0,(SUMIF(CAS!$B$31:$B$167,$J349,CAS!$E$31:$E$167)*Impacts!$F$18))</f>
        <v>0</v>
      </c>
      <c r="W349" s="10">
        <f t="shared" si="47"/>
        <v>0</v>
      </c>
      <c r="AK349" s="10" t="str">
        <f t="array" ref="AK349">IFERROR(INDEX(SelectedSpecies,SMALL(IF(SelectedSpecies=AK$1,ROW(SelectedSpecies)),ROW(350:350)),2),"")</f>
        <v/>
      </c>
      <c r="BE349" s="10"/>
      <c r="BI349" s="10"/>
    </row>
    <row r="350" spans="1:61" ht="21" customHeight="1" x14ac:dyDescent="0.25">
      <c r="A350" s="10"/>
      <c r="B350" s="10"/>
      <c r="E350" s="10"/>
      <c r="G350" s="10"/>
      <c r="I350" s="436" t="s">
        <v>7158</v>
      </c>
      <c r="J350" s="26" t="s">
        <v>7157</v>
      </c>
      <c r="K350" s="10">
        <v>0.33</v>
      </c>
      <c r="L350" s="73">
        <f>IF(Tank1!$C$23="No control",(SUMIF(Tank1!$B$32:$B$49,$J350,Tank1!$C$32:$C$49)*Impacts!$F$8),0)</f>
        <v>0</v>
      </c>
      <c r="M350" s="10">
        <f>IF(Tank2!$C$23="No control",(SUMIF(Tank2!$B$32:$B$49,$J350,Tank2!$C$32:$C$49)*Impacts!$F$9),0)</f>
        <v>0</v>
      </c>
      <c r="N350" s="10">
        <f>IF(Tank3!$C$23="No control",(SUMIF(Tank3!$B$32:$B$49,$J350,Tank3!$C$32:$C$49)*Impacts!$F$10),0)</f>
        <v>0</v>
      </c>
      <c r="O350" s="10">
        <f>IF(Tank4!$C$23="No control",(SUMIF(Tank4!$B$32:$B$49,$J350,Tank4!$C$32:$C$49)*Impacts!$F$11),0)</f>
        <v>0</v>
      </c>
      <c r="P350" s="10">
        <f>IF(Tank5!$C$23="No control",(SUMIF(Tank5!$B$32:$B$49,$J350,Tank5!$C$32:$C$49)*Impacts!$F$12),0)</f>
        <v>0</v>
      </c>
      <c r="Q350" s="10">
        <f>IFERROR(IF(('Loading-drum,tote'!$C$21)="No control",SUMIF(('Loading-drum,tote'!$B$31:$B$48),$J350,('Loading-drum,tote'!$D$31:$D$48))*Impacts!$F$13,IF(('Loading-drum,tote'!$C$21)&lt;&gt;"No control",SUMIF(('Loading-drum,tote'!$B$31:$B$48),$J350,('Loading-drum,tote'!$E$31:$E$48))*Impacts!$F$13,0)),0)</f>
        <v>0</v>
      </c>
      <c r="R350" s="10">
        <f>IFERROR(IF(('Loading-truck'!$C$21)="No control",SUMIF(('Loading-truck'!$B$31:$B$48),$J350,('Loading-truck'!$D$31:$D$48))*Impacts!$F$14,IF(('Loading-truck'!$C$21)&lt;&gt;"No control",SUMIF(('Loading-truck'!$B$31:$B$48),$J350,('Loading-truck'!$E$31:$E$48))*Impacts!$F$14,0)),0)</f>
        <v>0</v>
      </c>
      <c r="S350" s="10">
        <f>IFERROR(IF(('Loading-rail'!$C$21)="No control",SUMIF(('Loading-rail'!$B$31:$B$48),$J350,('Loading-rail'!$D$31:$D$48))*Impacts!$F$15,IF(('Loading-rail'!$C$21)&lt;&gt;"No control",SUMIF(('Loading-rail'!$B$31:$B$48),$J350,('Loading-rail'!$E$31:$E$48))*Impacts!$F$15,0)),0)</f>
        <v>0</v>
      </c>
      <c r="T350" s="10">
        <f>IF(Flare!$C$7="",0,(SUMIF(Flare!$B$46:$B$185,$J350,Flare!$E$46:$E$185)*Impacts!$F$16))</f>
        <v>0</v>
      </c>
      <c r="U350" s="10">
        <f>IF(VCU!$C$9="",0,(SUMIF(VCU!$B$51:$B$193,$J350,VCU!$E$51:$E$193)*Impacts!$F$17))</f>
        <v>0</v>
      </c>
      <c r="V350" s="10">
        <f>IF(CAS!$C$7="",0,(SUMIF(CAS!$B$31:$B$167,$J350,CAS!$E$31:$E$167)*Impacts!$F$18))</f>
        <v>0</v>
      </c>
      <c r="W350" s="10">
        <f t="shared" si="47"/>
        <v>0</v>
      </c>
      <c r="AK350" s="10" t="str">
        <f t="array" ref="AK350">IFERROR(INDEX(SelectedSpecies,SMALL(IF(SelectedSpecies=AK$1,ROW(SelectedSpecies)),ROW(351:351)),2),"")</f>
        <v/>
      </c>
      <c r="BE350" s="10"/>
      <c r="BI350" s="10"/>
    </row>
    <row r="351" spans="1:61" ht="21" customHeight="1" x14ac:dyDescent="0.25">
      <c r="A351" s="10"/>
      <c r="B351" s="10"/>
      <c r="E351" s="10"/>
      <c r="G351" s="10"/>
      <c r="I351" s="436" t="s">
        <v>4625</v>
      </c>
      <c r="J351" s="26" t="s">
        <v>4624</v>
      </c>
      <c r="K351" s="10">
        <v>4</v>
      </c>
      <c r="L351" s="73">
        <f>IF(Tank1!$C$23="No control",(SUMIF(Tank1!$B$32:$B$49,$J351,Tank1!$C$32:$C$49)*Impacts!$F$8),0)</f>
        <v>0</v>
      </c>
      <c r="M351" s="10">
        <f>IF(Tank2!$C$23="No control",(SUMIF(Tank2!$B$32:$B$49,$J351,Tank2!$C$32:$C$49)*Impacts!$F$9),0)</f>
        <v>0</v>
      </c>
      <c r="N351" s="10">
        <f>IF(Tank3!$C$23="No control",(SUMIF(Tank3!$B$32:$B$49,$J351,Tank3!$C$32:$C$49)*Impacts!$F$10),0)</f>
        <v>0</v>
      </c>
      <c r="O351" s="10">
        <f>IF(Tank4!$C$23="No control",(SUMIF(Tank4!$B$32:$B$49,$J351,Tank4!$C$32:$C$49)*Impacts!$F$11),0)</f>
        <v>0</v>
      </c>
      <c r="P351" s="10">
        <f>IF(Tank5!$C$23="No control",(SUMIF(Tank5!$B$32:$B$49,$J351,Tank5!$C$32:$C$49)*Impacts!$F$12),0)</f>
        <v>0</v>
      </c>
      <c r="Q351" s="10">
        <f>IFERROR(IF(('Loading-drum,tote'!$C$21)="No control",SUMIF(('Loading-drum,tote'!$B$31:$B$48),$J351,('Loading-drum,tote'!$D$31:$D$48))*Impacts!$F$13,IF(('Loading-drum,tote'!$C$21)&lt;&gt;"No control",SUMIF(('Loading-drum,tote'!$B$31:$B$48),$J351,('Loading-drum,tote'!$E$31:$E$48))*Impacts!$F$13,0)),0)</f>
        <v>0</v>
      </c>
      <c r="R351" s="10">
        <f>IFERROR(IF(('Loading-truck'!$C$21)="No control",SUMIF(('Loading-truck'!$B$31:$B$48),$J351,('Loading-truck'!$D$31:$D$48))*Impacts!$F$14,IF(('Loading-truck'!$C$21)&lt;&gt;"No control",SUMIF(('Loading-truck'!$B$31:$B$48),$J351,('Loading-truck'!$E$31:$E$48))*Impacts!$F$14,0)),0)</f>
        <v>0</v>
      </c>
      <c r="S351" s="10">
        <f>IFERROR(IF(('Loading-rail'!$C$21)="No control",SUMIF(('Loading-rail'!$B$31:$B$48),$J351,('Loading-rail'!$D$31:$D$48))*Impacts!$F$15,IF(('Loading-rail'!$C$21)&lt;&gt;"No control",SUMIF(('Loading-rail'!$B$31:$B$48),$J351,('Loading-rail'!$E$31:$E$48))*Impacts!$F$15,0)),0)</f>
        <v>0</v>
      </c>
      <c r="T351" s="10">
        <f>IF(Flare!$C$7="",0,(SUMIF(Flare!$B$46:$B$185,$J351,Flare!$E$46:$E$185)*Impacts!$F$16))</f>
        <v>0</v>
      </c>
      <c r="U351" s="10">
        <f>IF(VCU!$C$9="",0,(SUMIF(VCU!$B$51:$B$193,$J351,VCU!$E$51:$E$193)*Impacts!$F$17))</f>
        <v>0</v>
      </c>
      <c r="V351" s="10">
        <f>IF(CAS!$C$7="",0,(SUMIF(CAS!$B$31:$B$167,$J351,CAS!$E$31:$E$167)*Impacts!$F$18))</f>
        <v>0</v>
      </c>
      <c r="W351" s="10">
        <f t="shared" si="47"/>
        <v>0</v>
      </c>
      <c r="AK351" s="10" t="str">
        <f t="array" ref="AK351">IFERROR(INDEX(SelectedSpecies,SMALL(IF(SelectedSpecies=AK$1,ROW(SelectedSpecies)),ROW(352:352)),2),"")</f>
        <v/>
      </c>
      <c r="BE351" s="10"/>
      <c r="BI351" s="10"/>
    </row>
    <row r="352" spans="1:61" ht="21" customHeight="1" x14ac:dyDescent="0.25">
      <c r="A352" s="10"/>
      <c r="B352" s="10"/>
      <c r="E352" s="10"/>
      <c r="G352" s="10"/>
      <c r="I352" s="436" t="s">
        <v>4707</v>
      </c>
      <c r="J352" s="26" t="s">
        <v>4706</v>
      </c>
      <c r="K352" s="10">
        <v>3.5</v>
      </c>
      <c r="L352" s="73">
        <f>IF(Tank1!$C$23="No control",(SUMIF(Tank1!$B$32:$B$49,$J352,Tank1!$C$32:$C$49)*Impacts!$F$8),0)</f>
        <v>0</v>
      </c>
      <c r="M352" s="10">
        <f>IF(Tank2!$C$23="No control",(SUMIF(Tank2!$B$32:$B$49,$J352,Tank2!$C$32:$C$49)*Impacts!$F$9),0)</f>
        <v>0</v>
      </c>
      <c r="N352" s="10">
        <f>IF(Tank3!$C$23="No control",(SUMIF(Tank3!$B$32:$B$49,$J352,Tank3!$C$32:$C$49)*Impacts!$F$10),0)</f>
        <v>0</v>
      </c>
      <c r="O352" s="10">
        <f>IF(Tank4!$C$23="No control",(SUMIF(Tank4!$B$32:$B$49,$J352,Tank4!$C$32:$C$49)*Impacts!$F$11),0)</f>
        <v>0</v>
      </c>
      <c r="P352" s="10">
        <f>IF(Tank5!$C$23="No control",(SUMIF(Tank5!$B$32:$B$49,$J352,Tank5!$C$32:$C$49)*Impacts!$F$12),0)</f>
        <v>0</v>
      </c>
      <c r="Q352" s="10">
        <f>IFERROR(IF(('Loading-drum,tote'!$C$21)="No control",SUMIF(('Loading-drum,tote'!$B$31:$B$48),$J352,('Loading-drum,tote'!$D$31:$D$48))*Impacts!$F$13,IF(('Loading-drum,tote'!$C$21)&lt;&gt;"No control",SUMIF(('Loading-drum,tote'!$B$31:$B$48),$J352,('Loading-drum,tote'!$E$31:$E$48))*Impacts!$F$13,0)),0)</f>
        <v>0</v>
      </c>
      <c r="R352" s="10">
        <f>IFERROR(IF(('Loading-truck'!$C$21)="No control",SUMIF(('Loading-truck'!$B$31:$B$48),$J352,('Loading-truck'!$D$31:$D$48))*Impacts!$F$14,IF(('Loading-truck'!$C$21)&lt;&gt;"No control",SUMIF(('Loading-truck'!$B$31:$B$48),$J352,('Loading-truck'!$E$31:$E$48))*Impacts!$F$14,0)),0)</f>
        <v>0</v>
      </c>
      <c r="S352" s="10">
        <f>IFERROR(IF(('Loading-rail'!$C$21)="No control",SUMIF(('Loading-rail'!$B$31:$B$48),$J352,('Loading-rail'!$D$31:$D$48))*Impacts!$F$15,IF(('Loading-rail'!$C$21)&lt;&gt;"No control",SUMIF(('Loading-rail'!$B$31:$B$48),$J352,('Loading-rail'!$E$31:$E$48))*Impacts!$F$15,0)),0)</f>
        <v>0</v>
      </c>
      <c r="T352" s="10">
        <f>IF(Flare!$C$7="",0,(SUMIF(Flare!$B$46:$B$185,$J352,Flare!$E$46:$E$185)*Impacts!$F$16))</f>
        <v>0</v>
      </c>
      <c r="U352" s="10">
        <f>IF(VCU!$C$9="",0,(SUMIF(VCU!$B$51:$B$193,$J352,VCU!$E$51:$E$193)*Impacts!$F$17))</f>
        <v>0</v>
      </c>
      <c r="V352" s="10">
        <f>IF(CAS!$C$7="",0,(SUMIF(CAS!$B$31:$B$167,$J352,CAS!$E$31:$E$167)*Impacts!$F$18))</f>
        <v>0</v>
      </c>
      <c r="W352" s="10">
        <f t="shared" si="47"/>
        <v>0</v>
      </c>
      <c r="AK352" s="10" t="str">
        <f t="array" ref="AK352">IFERROR(INDEX(SelectedSpecies,SMALL(IF(SelectedSpecies=AK$1,ROW(SelectedSpecies)),ROW(353:353)),2),"")</f>
        <v/>
      </c>
      <c r="BE352" s="10"/>
      <c r="BI352" s="10"/>
    </row>
    <row r="353" spans="1:61" ht="21" customHeight="1" x14ac:dyDescent="0.25">
      <c r="A353" s="10"/>
      <c r="B353" s="10"/>
      <c r="E353" s="10"/>
      <c r="G353" s="10"/>
      <c r="I353" s="436" t="s">
        <v>7238</v>
      </c>
      <c r="J353" s="26" t="s">
        <v>7237</v>
      </c>
      <c r="K353" s="10">
        <v>0.30000000000000004</v>
      </c>
      <c r="L353" s="73">
        <f>IF(Tank1!$C$23="No control",(SUMIF(Tank1!$B$32:$B$49,$J353,Tank1!$C$32:$C$49)*Impacts!$F$8),0)</f>
        <v>0</v>
      </c>
      <c r="M353" s="10">
        <f>IF(Tank2!$C$23="No control",(SUMIF(Tank2!$B$32:$B$49,$J353,Tank2!$C$32:$C$49)*Impacts!$F$9),0)</f>
        <v>0</v>
      </c>
      <c r="N353" s="10">
        <f>IF(Tank3!$C$23="No control",(SUMIF(Tank3!$B$32:$B$49,$J353,Tank3!$C$32:$C$49)*Impacts!$F$10),0)</f>
        <v>0</v>
      </c>
      <c r="O353" s="10">
        <f>IF(Tank4!$C$23="No control",(SUMIF(Tank4!$B$32:$B$49,$J353,Tank4!$C$32:$C$49)*Impacts!$F$11),0)</f>
        <v>0</v>
      </c>
      <c r="P353" s="10">
        <f>IF(Tank5!$C$23="No control",(SUMIF(Tank5!$B$32:$B$49,$J353,Tank5!$C$32:$C$49)*Impacts!$F$12),0)</f>
        <v>0</v>
      </c>
      <c r="Q353" s="10">
        <f>IFERROR(IF(('Loading-drum,tote'!$C$21)="No control",SUMIF(('Loading-drum,tote'!$B$31:$B$48),$J353,('Loading-drum,tote'!$D$31:$D$48))*Impacts!$F$13,IF(('Loading-drum,tote'!$C$21)&lt;&gt;"No control",SUMIF(('Loading-drum,tote'!$B$31:$B$48),$J353,('Loading-drum,tote'!$E$31:$E$48))*Impacts!$F$13,0)),0)</f>
        <v>0</v>
      </c>
      <c r="R353" s="10">
        <f>IFERROR(IF(('Loading-truck'!$C$21)="No control",SUMIF(('Loading-truck'!$B$31:$B$48),$J353,('Loading-truck'!$D$31:$D$48))*Impacts!$F$14,IF(('Loading-truck'!$C$21)&lt;&gt;"No control",SUMIF(('Loading-truck'!$B$31:$B$48),$J353,('Loading-truck'!$E$31:$E$48))*Impacts!$F$14,0)),0)</f>
        <v>0</v>
      </c>
      <c r="S353" s="10">
        <f>IFERROR(IF(('Loading-rail'!$C$21)="No control",SUMIF(('Loading-rail'!$B$31:$B$48),$J353,('Loading-rail'!$D$31:$D$48))*Impacts!$F$15,IF(('Loading-rail'!$C$21)&lt;&gt;"No control",SUMIF(('Loading-rail'!$B$31:$B$48),$J353,('Loading-rail'!$E$31:$E$48))*Impacts!$F$15,0)),0)</f>
        <v>0</v>
      </c>
      <c r="T353" s="10">
        <f>IF(Flare!$C$7="",0,(SUMIF(Flare!$B$46:$B$185,$J353,Flare!$E$46:$E$185)*Impacts!$F$16))</f>
        <v>0</v>
      </c>
      <c r="U353" s="10">
        <f>IF(VCU!$C$9="",0,(SUMIF(VCU!$B$51:$B$193,$J353,VCU!$E$51:$E$193)*Impacts!$F$17))</f>
        <v>0</v>
      </c>
      <c r="V353" s="10">
        <f>IF(CAS!$C$7="",0,(SUMIF(CAS!$B$31:$B$167,$J353,CAS!$E$31:$E$167)*Impacts!$F$18))</f>
        <v>0</v>
      </c>
      <c r="W353" s="10">
        <f t="shared" si="47"/>
        <v>0</v>
      </c>
      <c r="AK353" s="10" t="str">
        <f t="array" ref="AK353">IFERROR(INDEX(SelectedSpecies,SMALL(IF(SelectedSpecies=AK$1,ROW(SelectedSpecies)),ROW(354:354)),2),"")</f>
        <v/>
      </c>
      <c r="BE353" s="10"/>
      <c r="BI353" s="10"/>
    </row>
    <row r="354" spans="1:61" ht="21" customHeight="1" x14ac:dyDescent="0.25">
      <c r="A354" s="10"/>
      <c r="B354" s="10"/>
      <c r="E354" s="10"/>
      <c r="G354" s="10"/>
      <c r="I354" s="436" t="s">
        <v>2407</v>
      </c>
      <c r="J354" s="26" t="s">
        <v>2406</v>
      </c>
      <c r="K354" s="10">
        <v>10</v>
      </c>
      <c r="L354" s="73">
        <f>IF(Tank1!$C$23="No control",(SUMIF(Tank1!$B$32:$B$49,$J354,Tank1!$C$32:$C$49)*Impacts!$F$8),0)</f>
        <v>0</v>
      </c>
      <c r="M354" s="10">
        <f>IF(Tank2!$C$23="No control",(SUMIF(Tank2!$B$32:$B$49,$J354,Tank2!$C$32:$C$49)*Impacts!$F$9),0)</f>
        <v>0</v>
      </c>
      <c r="N354" s="10">
        <f>IF(Tank3!$C$23="No control",(SUMIF(Tank3!$B$32:$B$49,$J354,Tank3!$C$32:$C$49)*Impacts!$F$10),0)</f>
        <v>0</v>
      </c>
      <c r="O354" s="10">
        <f>IF(Tank4!$C$23="No control",(SUMIF(Tank4!$B$32:$B$49,$J354,Tank4!$C$32:$C$49)*Impacts!$F$11),0)</f>
        <v>0</v>
      </c>
      <c r="P354" s="10">
        <f>IF(Tank5!$C$23="No control",(SUMIF(Tank5!$B$32:$B$49,$J354,Tank5!$C$32:$C$49)*Impacts!$F$12),0)</f>
        <v>0</v>
      </c>
      <c r="Q354" s="10">
        <f>IFERROR(IF(('Loading-drum,tote'!$C$21)="No control",SUMIF(('Loading-drum,tote'!$B$31:$B$48),$J354,('Loading-drum,tote'!$D$31:$D$48))*Impacts!$F$13,IF(('Loading-drum,tote'!$C$21)&lt;&gt;"No control",SUMIF(('Loading-drum,tote'!$B$31:$B$48),$J354,('Loading-drum,tote'!$E$31:$E$48))*Impacts!$F$13,0)),0)</f>
        <v>0</v>
      </c>
      <c r="R354" s="10">
        <f>IFERROR(IF(('Loading-truck'!$C$21)="No control",SUMIF(('Loading-truck'!$B$31:$B$48),$J354,('Loading-truck'!$D$31:$D$48))*Impacts!$F$14,IF(('Loading-truck'!$C$21)&lt;&gt;"No control",SUMIF(('Loading-truck'!$B$31:$B$48),$J354,('Loading-truck'!$E$31:$E$48))*Impacts!$F$14,0)),0)</f>
        <v>0</v>
      </c>
      <c r="S354" s="10">
        <f>IFERROR(IF(('Loading-rail'!$C$21)="No control",SUMIF(('Loading-rail'!$B$31:$B$48),$J354,('Loading-rail'!$D$31:$D$48))*Impacts!$F$15,IF(('Loading-rail'!$C$21)&lt;&gt;"No control",SUMIF(('Loading-rail'!$B$31:$B$48),$J354,('Loading-rail'!$E$31:$E$48))*Impacts!$F$15,0)),0)</f>
        <v>0</v>
      </c>
      <c r="T354" s="10">
        <f>IF(Flare!$C$7="",0,(SUMIF(Flare!$B$46:$B$185,$J354,Flare!$E$46:$E$185)*Impacts!$F$16))</f>
        <v>0</v>
      </c>
      <c r="U354" s="10">
        <f>IF(VCU!$C$9="",0,(SUMIF(VCU!$B$51:$B$193,$J354,VCU!$E$51:$E$193)*Impacts!$F$17))</f>
        <v>0</v>
      </c>
      <c r="V354" s="10">
        <f>IF(CAS!$C$7="",0,(SUMIF(CAS!$B$31:$B$167,$J354,CAS!$E$31:$E$167)*Impacts!$F$18))</f>
        <v>0</v>
      </c>
      <c r="W354" s="10">
        <f t="shared" si="47"/>
        <v>0</v>
      </c>
      <c r="AK354" s="10" t="str">
        <f t="array" ref="AK354">IFERROR(INDEX(SelectedSpecies,SMALL(IF(SelectedSpecies=AK$1,ROW(SelectedSpecies)),ROW(355:355)),2),"")</f>
        <v/>
      </c>
      <c r="BE354" s="10"/>
      <c r="BI354" s="10"/>
    </row>
    <row r="355" spans="1:61" ht="21" customHeight="1" x14ac:dyDescent="0.25">
      <c r="A355" s="10"/>
      <c r="B355" s="10"/>
      <c r="E355" s="10"/>
      <c r="G355" s="10"/>
      <c r="I355" s="436" t="s">
        <v>2189</v>
      </c>
      <c r="J355" s="26" t="s">
        <v>2188</v>
      </c>
      <c r="K355" s="10">
        <v>14.5</v>
      </c>
      <c r="L355" s="73">
        <f>IF(Tank1!$C$23="No control",(SUMIF(Tank1!$B$32:$B$49,$J355,Tank1!$C$32:$C$49)*Impacts!$F$8),0)</f>
        <v>0</v>
      </c>
      <c r="M355" s="10">
        <f>IF(Tank2!$C$23="No control",(SUMIF(Tank2!$B$32:$B$49,$J355,Tank2!$C$32:$C$49)*Impacts!$F$9),0)</f>
        <v>0</v>
      </c>
      <c r="N355" s="10">
        <f>IF(Tank3!$C$23="No control",(SUMIF(Tank3!$B$32:$B$49,$J355,Tank3!$C$32:$C$49)*Impacts!$F$10),0)</f>
        <v>0</v>
      </c>
      <c r="O355" s="10">
        <f>IF(Tank4!$C$23="No control",(SUMIF(Tank4!$B$32:$B$49,$J355,Tank4!$C$32:$C$49)*Impacts!$F$11),0)</f>
        <v>0</v>
      </c>
      <c r="P355" s="10">
        <f>IF(Tank5!$C$23="No control",(SUMIF(Tank5!$B$32:$B$49,$J355,Tank5!$C$32:$C$49)*Impacts!$F$12),0)</f>
        <v>0</v>
      </c>
      <c r="Q355" s="10">
        <f>IFERROR(IF(('Loading-drum,tote'!$C$21)="No control",SUMIF(('Loading-drum,tote'!$B$31:$B$48),$J355,('Loading-drum,tote'!$D$31:$D$48))*Impacts!$F$13,IF(('Loading-drum,tote'!$C$21)&lt;&gt;"No control",SUMIF(('Loading-drum,tote'!$B$31:$B$48),$J355,('Loading-drum,tote'!$E$31:$E$48))*Impacts!$F$13,0)),0)</f>
        <v>0</v>
      </c>
      <c r="R355" s="10">
        <f>IFERROR(IF(('Loading-truck'!$C$21)="No control",SUMIF(('Loading-truck'!$B$31:$B$48),$J355,('Loading-truck'!$D$31:$D$48))*Impacts!$F$14,IF(('Loading-truck'!$C$21)&lt;&gt;"No control",SUMIF(('Loading-truck'!$B$31:$B$48),$J355,('Loading-truck'!$E$31:$E$48))*Impacts!$F$14,0)),0)</f>
        <v>0</v>
      </c>
      <c r="S355" s="10">
        <f>IFERROR(IF(('Loading-rail'!$C$21)="No control",SUMIF(('Loading-rail'!$B$31:$B$48),$J355,('Loading-rail'!$D$31:$D$48))*Impacts!$F$15,IF(('Loading-rail'!$C$21)&lt;&gt;"No control",SUMIF(('Loading-rail'!$B$31:$B$48),$J355,('Loading-rail'!$E$31:$E$48))*Impacts!$F$15,0)),0)</f>
        <v>0</v>
      </c>
      <c r="T355" s="10">
        <f>IF(Flare!$C$7="",0,(SUMIF(Flare!$B$46:$B$185,$J355,Flare!$E$46:$E$185)*Impacts!$F$16))</f>
        <v>0</v>
      </c>
      <c r="U355" s="10">
        <f>IF(VCU!$C$9="",0,(SUMIF(VCU!$B$51:$B$193,$J355,VCU!$E$51:$E$193)*Impacts!$F$17))</f>
        <v>0</v>
      </c>
      <c r="V355" s="10">
        <f>IF(CAS!$C$7="",0,(SUMIF(CAS!$B$31:$B$167,$J355,CAS!$E$31:$E$167)*Impacts!$F$18))</f>
        <v>0</v>
      </c>
      <c r="W355" s="10">
        <f t="shared" si="47"/>
        <v>0</v>
      </c>
      <c r="AK355" s="10" t="str">
        <f t="array" ref="AK355">IFERROR(INDEX(SelectedSpecies,SMALL(IF(SelectedSpecies=AK$1,ROW(SelectedSpecies)),ROW(356:356)),2),"")</f>
        <v/>
      </c>
      <c r="BE355" s="10"/>
      <c r="BI355" s="10"/>
    </row>
    <row r="356" spans="1:61" ht="21" customHeight="1" x14ac:dyDescent="0.25">
      <c r="A356" s="10"/>
      <c r="B356" s="10"/>
      <c r="E356" s="10"/>
      <c r="G356" s="10"/>
      <c r="I356" s="436" t="s">
        <v>1432</v>
      </c>
      <c r="J356" s="26" t="s">
        <v>1431</v>
      </c>
      <c r="K356" s="10">
        <v>30</v>
      </c>
      <c r="L356" s="73">
        <f>IF(Tank1!$C$23="No control",(SUMIF(Tank1!$B$32:$B$49,$J356,Tank1!$C$32:$C$49)*Impacts!$F$8),0)</f>
        <v>0</v>
      </c>
      <c r="M356" s="10">
        <f>IF(Tank2!$C$23="No control",(SUMIF(Tank2!$B$32:$B$49,$J356,Tank2!$C$32:$C$49)*Impacts!$F$9),0)</f>
        <v>0</v>
      </c>
      <c r="N356" s="10">
        <f>IF(Tank3!$C$23="No control",(SUMIF(Tank3!$B$32:$B$49,$J356,Tank3!$C$32:$C$49)*Impacts!$F$10),0)</f>
        <v>0</v>
      </c>
      <c r="O356" s="10">
        <f>IF(Tank4!$C$23="No control",(SUMIF(Tank4!$B$32:$B$49,$J356,Tank4!$C$32:$C$49)*Impacts!$F$11),0)</f>
        <v>0</v>
      </c>
      <c r="P356" s="10">
        <f>IF(Tank5!$C$23="No control",(SUMIF(Tank5!$B$32:$B$49,$J356,Tank5!$C$32:$C$49)*Impacts!$F$12),0)</f>
        <v>0</v>
      </c>
      <c r="Q356" s="10">
        <f>IFERROR(IF(('Loading-drum,tote'!$C$21)="No control",SUMIF(('Loading-drum,tote'!$B$31:$B$48),$J356,('Loading-drum,tote'!$D$31:$D$48))*Impacts!$F$13,IF(('Loading-drum,tote'!$C$21)&lt;&gt;"No control",SUMIF(('Loading-drum,tote'!$B$31:$B$48),$J356,('Loading-drum,tote'!$E$31:$E$48))*Impacts!$F$13,0)),0)</f>
        <v>0</v>
      </c>
      <c r="R356" s="10">
        <f>IFERROR(IF(('Loading-truck'!$C$21)="No control",SUMIF(('Loading-truck'!$B$31:$B$48),$J356,('Loading-truck'!$D$31:$D$48))*Impacts!$F$14,IF(('Loading-truck'!$C$21)&lt;&gt;"No control",SUMIF(('Loading-truck'!$B$31:$B$48),$J356,('Loading-truck'!$E$31:$E$48))*Impacts!$F$14,0)),0)</f>
        <v>0</v>
      </c>
      <c r="S356" s="10">
        <f>IFERROR(IF(('Loading-rail'!$C$21)="No control",SUMIF(('Loading-rail'!$B$31:$B$48),$J356,('Loading-rail'!$D$31:$D$48))*Impacts!$F$15,IF(('Loading-rail'!$C$21)&lt;&gt;"No control",SUMIF(('Loading-rail'!$B$31:$B$48),$J356,('Loading-rail'!$E$31:$E$48))*Impacts!$F$15,0)),0)</f>
        <v>0</v>
      </c>
      <c r="T356" s="10">
        <f>IF(Flare!$C$7="",0,(SUMIF(Flare!$B$46:$B$185,$J356,Flare!$E$46:$E$185)*Impacts!$F$16))</f>
        <v>0</v>
      </c>
      <c r="U356" s="10">
        <f>IF(VCU!$C$9="",0,(SUMIF(VCU!$B$51:$B$193,$J356,VCU!$E$51:$E$193)*Impacts!$F$17))</f>
        <v>0</v>
      </c>
      <c r="V356" s="10">
        <f>IF(CAS!$C$7="",0,(SUMIF(CAS!$B$31:$B$167,$J356,CAS!$E$31:$E$167)*Impacts!$F$18))</f>
        <v>0</v>
      </c>
      <c r="W356" s="10">
        <f t="shared" si="47"/>
        <v>0</v>
      </c>
      <c r="AK356" s="10" t="str">
        <f t="array" ref="AK356">IFERROR(INDEX(SelectedSpecies,SMALL(IF(SelectedSpecies=AK$1,ROW(SelectedSpecies)),ROW(357:357)),2),"")</f>
        <v/>
      </c>
      <c r="BE356" s="10"/>
      <c r="BI356" s="10"/>
    </row>
    <row r="357" spans="1:61" ht="21" customHeight="1" x14ac:dyDescent="0.25">
      <c r="A357" s="10"/>
      <c r="B357" s="10"/>
      <c r="E357" s="10"/>
      <c r="G357" s="10"/>
      <c r="I357" s="436" t="s">
        <v>5065</v>
      </c>
      <c r="J357" s="26" t="s">
        <v>5064</v>
      </c>
      <c r="K357" s="10">
        <v>2.2000000000000002</v>
      </c>
      <c r="L357" s="73">
        <f>IF(Tank1!$C$23="No control",(SUMIF(Tank1!$B$32:$B$49,$J357,Tank1!$C$32:$C$49)*Impacts!$F$8),0)</f>
        <v>0</v>
      </c>
      <c r="M357" s="10">
        <f>IF(Tank2!$C$23="No control",(SUMIF(Tank2!$B$32:$B$49,$J357,Tank2!$C$32:$C$49)*Impacts!$F$9),0)</f>
        <v>0</v>
      </c>
      <c r="N357" s="10">
        <f>IF(Tank3!$C$23="No control",(SUMIF(Tank3!$B$32:$B$49,$J357,Tank3!$C$32:$C$49)*Impacts!$F$10),0)</f>
        <v>0</v>
      </c>
      <c r="O357" s="10">
        <f>IF(Tank4!$C$23="No control",(SUMIF(Tank4!$B$32:$B$49,$J357,Tank4!$C$32:$C$49)*Impacts!$F$11),0)</f>
        <v>0</v>
      </c>
      <c r="P357" s="10">
        <f>IF(Tank5!$C$23="No control",(SUMIF(Tank5!$B$32:$B$49,$J357,Tank5!$C$32:$C$49)*Impacts!$F$12),0)</f>
        <v>0</v>
      </c>
      <c r="Q357" s="10">
        <f>IFERROR(IF(('Loading-drum,tote'!$C$21)="No control",SUMIF(('Loading-drum,tote'!$B$31:$B$48),$J357,('Loading-drum,tote'!$D$31:$D$48))*Impacts!$F$13,IF(('Loading-drum,tote'!$C$21)&lt;&gt;"No control",SUMIF(('Loading-drum,tote'!$B$31:$B$48),$J357,('Loading-drum,tote'!$E$31:$E$48))*Impacts!$F$13,0)),0)</f>
        <v>0</v>
      </c>
      <c r="R357" s="10">
        <f>IFERROR(IF(('Loading-truck'!$C$21)="No control",SUMIF(('Loading-truck'!$B$31:$B$48),$J357,('Loading-truck'!$D$31:$D$48))*Impacts!$F$14,IF(('Loading-truck'!$C$21)&lt;&gt;"No control",SUMIF(('Loading-truck'!$B$31:$B$48),$J357,('Loading-truck'!$E$31:$E$48))*Impacts!$F$14,0)),0)</f>
        <v>0</v>
      </c>
      <c r="S357" s="10">
        <f>IFERROR(IF(('Loading-rail'!$C$21)="No control",SUMIF(('Loading-rail'!$B$31:$B$48),$J357,('Loading-rail'!$D$31:$D$48))*Impacts!$F$15,IF(('Loading-rail'!$C$21)&lt;&gt;"No control",SUMIF(('Loading-rail'!$B$31:$B$48),$J357,('Loading-rail'!$E$31:$E$48))*Impacts!$F$15,0)),0)</f>
        <v>0</v>
      </c>
      <c r="T357" s="10">
        <f>IF(Flare!$C$7="",0,(SUMIF(Flare!$B$46:$B$185,$J357,Flare!$E$46:$E$185)*Impacts!$F$16))</f>
        <v>0</v>
      </c>
      <c r="U357" s="10">
        <f>IF(VCU!$C$9="",0,(SUMIF(VCU!$B$51:$B$193,$J357,VCU!$E$51:$E$193)*Impacts!$F$17))</f>
        <v>0</v>
      </c>
      <c r="V357" s="10">
        <f>IF(CAS!$C$7="",0,(SUMIF(CAS!$B$31:$B$167,$J357,CAS!$E$31:$E$167)*Impacts!$F$18))</f>
        <v>0</v>
      </c>
      <c r="W357" s="10">
        <f t="shared" si="47"/>
        <v>0</v>
      </c>
      <c r="AK357" s="10" t="str">
        <f t="array" ref="AK357">IFERROR(INDEX(SelectedSpecies,SMALL(IF(SelectedSpecies=AK$1,ROW(SelectedSpecies)),ROW(358:358)),2),"")</f>
        <v/>
      </c>
      <c r="BE357" s="10"/>
      <c r="BI357" s="10"/>
    </row>
    <row r="358" spans="1:61" ht="21" customHeight="1" x14ac:dyDescent="0.25">
      <c r="A358" s="10"/>
      <c r="B358" s="10"/>
      <c r="E358" s="10"/>
      <c r="G358" s="10"/>
      <c r="I358" s="436" t="s">
        <v>7240</v>
      </c>
      <c r="J358" s="26" t="s">
        <v>7239</v>
      </c>
      <c r="K358" s="10">
        <v>0.30000000000000004</v>
      </c>
      <c r="L358" s="73">
        <f>IF(Tank1!$C$23="No control",(SUMIF(Tank1!$B$32:$B$49,$J358,Tank1!$C$32:$C$49)*Impacts!$F$8),0)</f>
        <v>0</v>
      </c>
      <c r="M358" s="10">
        <f>IF(Tank2!$C$23="No control",(SUMIF(Tank2!$B$32:$B$49,$J358,Tank2!$C$32:$C$49)*Impacts!$F$9),0)</f>
        <v>0</v>
      </c>
      <c r="N358" s="10">
        <f>IF(Tank3!$C$23="No control",(SUMIF(Tank3!$B$32:$B$49,$J358,Tank3!$C$32:$C$49)*Impacts!$F$10),0)</f>
        <v>0</v>
      </c>
      <c r="O358" s="10">
        <f>IF(Tank4!$C$23="No control",(SUMIF(Tank4!$B$32:$B$49,$J358,Tank4!$C$32:$C$49)*Impacts!$F$11),0)</f>
        <v>0</v>
      </c>
      <c r="P358" s="10">
        <f>IF(Tank5!$C$23="No control",(SUMIF(Tank5!$B$32:$B$49,$J358,Tank5!$C$32:$C$49)*Impacts!$F$12),0)</f>
        <v>0</v>
      </c>
      <c r="Q358" s="10">
        <f>IFERROR(IF(('Loading-drum,tote'!$C$21)="No control",SUMIF(('Loading-drum,tote'!$B$31:$B$48),$J358,('Loading-drum,tote'!$D$31:$D$48))*Impacts!$F$13,IF(('Loading-drum,tote'!$C$21)&lt;&gt;"No control",SUMIF(('Loading-drum,tote'!$B$31:$B$48),$J358,('Loading-drum,tote'!$E$31:$E$48))*Impacts!$F$13,0)),0)</f>
        <v>0</v>
      </c>
      <c r="R358" s="10">
        <f>IFERROR(IF(('Loading-truck'!$C$21)="No control",SUMIF(('Loading-truck'!$B$31:$B$48),$J358,('Loading-truck'!$D$31:$D$48))*Impacts!$F$14,IF(('Loading-truck'!$C$21)&lt;&gt;"No control",SUMIF(('Loading-truck'!$B$31:$B$48),$J358,('Loading-truck'!$E$31:$E$48))*Impacts!$F$14,0)),0)</f>
        <v>0</v>
      </c>
      <c r="S358" s="10">
        <f>IFERROR(IF(('Loading-rail'!$C$21)="No control",SUMIF(('Loading-rail'!$B$31:$B$48),$J358,('Loading-rail'!$D$31:$D$48))*Impacts!$F$15,IF(('Loading-rail'!$C$21)&lt;&gt;"No control",SUMIF(('Loading-rail'!$B$31:$B$48),$J358,('Loading-rail'!$E$31:$E$48))*Impacts!$F$15,0)),0)</f>
        <v>0</v>
      </c>
      <c r="T358" s="10">
        <f>IF(Flare!$C$7="",0,(SUMIF(Flare!$B$46:$B$185,$J358,Flare!$E$46:$E$185)*Impacts!$F$16))</f>
        <v>0</v>
      </c>
      <c r="U358" s="10">
        <f>IF(VCU!$C$9="",0,(SUMIF(VCU!$B$51:$B$193,$J358,VCU!$E$51:$E$193)*Impacts!$F$17))</f>
        <v>0</v>
      </c>
      <c r="V358" s="10">
        <f>IF(CAS!$C$7="",0,(SUMIF(CAS!$B$31:$B$167,$J358,CAS!$E$31:$E$167)*Impacts!$F$18))</f>
        <v>0</v>
      </c>
      <c r="W358" s="10">
        <f t="shared" si="47"/>
        <v>0</v>
      </c>
      <c r="AK358" s="10" t="str">
        <f t="array" ref="AK358">IFERROR(INDEX(SelectedSpecies,SMALL(IF(SelectedSpecies=AK$1,ROW(SelectedSpecies)),ROW(359:359)),2),"")</f>
        <v/>
      </c>
      <c r="BE358" s="10"/>
      <c r="BI358" s="10"/>
    </row>
    <row r="359" spans="1:61" ht="21" customHeight="1" x14ac:dyDescent="0.25">
      <c r="A359" s="10"/>
      <c r="B359" s="10"/>
      <c r="E359" s="10"/>
      <c r="G359" s="10"/>
      <c r="I359" s="436" t="s">
        <v>465</v>
      </c>
      <c r="J359" s="26" t="s">
        <v>464</v>
      </c>
      <c r="K359" s="10">
        <v>161</v>
      </c>
      <c r="L359" s="73">
        <f>IF(Tank1!$C$23="No control",(SUMIF(Tank1!$B$32:$B$49,$J359,Tank1!$C$32:$C$49)*Impacts!$F$8),0)</f>
        <v>0</v>
      </c>
      <c r="M359" s="10">
        <f>IF(Tank2!$C$23="No control",(SUMIF(Tank2!$B$32:$B$49,$J359,Tank2!$C$32:$C$49)*Impacts!$F$9),0)</f>
        <v>0</v>
      </c>
      <c r="N359" s="10">
        <f>IF(Tank3!$C$23="No control",(SUMIF(Tank3!$B$32:$B$49,$J359,Tank3!$C$32:$C$49)*Impacts!$F$10),0)</f>
        <v>0</v>
      </c>
      <c r="O359" s="10">
        <f>IF(Tank4!$C$23="No control",(SUMIF(Tank4!$B$32:$B$49,$J359,Tank4!$C$32:$C$49)*Impacts!$F$11),0)</f>
        <v>0</v>
      </c>
      <c r="P359" s="10">
        <f>IF(Tank5!$C$23="No control",(SUMIF(Tank5!$B$32:$B$49,$J359,Tank5!$C$32:$C$49)*Impacts!$F$12),0)</f>
        <v>0</v>
      </c>
      <c r="Q359" s="10">
        <f>IFERROR(IF(('Loading-drum,tote'!$C$21)="No control",SUMIF(('Loading-drum,tote'!$B$31:$B$48),$J359,('Loading-drum,tote'!$D$31:$D$48))*Impacts!$F$13,IF(('Loading-drum,tote'!$C$21)&lt;&gt;"No control",SUMIF(('Loading-drum,tote'!$B$31:$B$48),$J359,('Loading-drum,tote'!$E$31:$E$48))*Impacts!$F$13,0)),0)</f>
        <v>0</v>
      </c>
      <c r="R359" s="10">
        <f>IFERROR(IF(('Loading-truck'!$C$21)="No control",SUMIF(('Loading-truck'!$B$31:$B$48),$J359,('Loading-truck'!$D$31:$D$48))*Impacts!$F$14,IF(('Loading-truck'!$C$21)&lt;&gt;"No control",SUMIF(('Loading-truck'!$B$31:$B$48),$J359,('Loading-truck'!$E$31:$E$48))*Impacts!$F$14,0)),0)</f>
        <v>0</v>
      </c>
      <c r="S359" s="10">
        <f>IFERROR(IF(('Loading-rail'!$C$21)="No control",SUMIF(('Loading-rail'!$B$31:$B$48),$J359,('Loading-rail'!$D$31:$D$48))*Impacts!$F$15,IF(('Loading-rail'!$C$21)&lt;&gt;"No control",SUMIF(('Loading-rail'!$B$31:$B$48),$J359,('Loading-rail'!$E$31:$E$48))*Impacts!$F$15,0)),0)</f>
        <v>0</v>
      </c>
      <c r="T359" s="10">
        <f>IF(Flare!$C$7="",0,(SUMIF(Flare!$B$46:$B$185,$J359,Flare!$E$46:$E$185)*Impacts!$F$16))</f>
        <v>0</v>
      </c>
      <c r="U359" s="10">
        <f>IF(VCU!$C$9="",0,(SUMIF(VCU!$B$51:$B$193,$J359,VCU!$E$51:$E$193)*Impacts!$F$17))</f>
        <v>0</v>
      </c>
      <c r="V359" s="10">
        <f>IF(CAS!$C$7="",0,(SUMIF(CAS!$B$31:$B$167,$J359,CAS!$E$31:$E$167)*Impacts!$F$18))</f>
        <v>0</v>
      </c>
      <c r="W359" s="10">
        <f t="shared" si="47"/>
        <v>0</v>
      </c>
      <c r="AK359" s="10" t="str">
        <f t="array" ref="AK359">IFERROR(INDEX(SelectedSpecies,SMALL(IF(SelectedSpecies=AK$1,ROW(SelectedSpecies)),ROW(360:360)),2),"")</f>
        <v/>
      </c>
      <c r="BE359" s="10"/>
      <c r="BI359" s="10"/>
    </row>
    <row r="360" spans="1:61" ht="21" customHeight="1" x14ac:dyDescent="0.25">
      <c r="A360" s="10"/>
      <c r="B360" s="10"/>
      <c r="E360" s="10"/>
      <c r="G360" s="10"/>
      <c r="I360" s="436" t="s">
        <v>479</v>
      </c>
      <c r="J360" s="26" t="s">
        <v>478</v>
      </c>
      <c r="K360" s="10">
        <v>120</v>
      </c>
      <c r="L360" s="73">
        <f>IF(Tank1!$C$23="No control",(SUMIF(Tank1!$B$32:$B$49,$J360,Tank1!$C$32:$C$49)*Impacts!$F$8),0)</f>
        <v>0</v>
      </c>
      <c r="M360" s="10">
        <f>IF(Tank2!$C$23="No control",(SUMIF(Tank2!$B$32:$B$49,$J360,Tank2!$C$32:$C$49)*Impacts!$F$9),0)</f>
        <v>0</v>
      </c>
      <c r="N360" s="10">
        <f>IF(Tank3!$C$23="No control",(SUMIF(Tank3!$B$32:$B$49,$J360,Tank3!$C$32:$C$49)*Impacts!$F$10),0)</f>
        <v>0</v>
      </c>
      <c r="O360" s="10">
        <f>IF(Tank4!$C$23="No control",(SUMIF(Tank4!$B$32:$B$49,$J360,Tank4!$C$32:$C$49)*Impacts!$F$11),0)</f>
        <v>0</v>
      </c>
      <c r="P360" s="10">
        <f>IF(Tank5!$C$23="No control",(SUMIF(Tank5!$B$32:$B$49,$J360,Tank5!$C$32:$C$49)*Impacts!$F$12),0)</f>
        <v>0</v>
      </c>
      <c r="Q360" s="10">
        <f>IFERROR(IF(('Loading-drum,tote'!$C$21)="No control",SUMIF(('Loading-drum,tote'!$B$31:$B$48),$J360,('Loading-drum,tote'!$D$31:$D$48))*Impacts!$F$13,IF(('Loading-drum,tote'!$C$21)&lt;&gt;"No control",SUMIF(('Loading-drum,tote'!$B$31:$B$48),$J360,('Loading-drum,tote'!$E$31:$E$48))*Impacts!$F$13,0)),0)</f>
        <v>0</v>
      </c>
      <c r="R360" s="10">
        <f>IFERROR(IF(('Loading-truck'!$C$21)="No control",SUMIF(('Loading-truck'!$B$31:$B$48),$J360,('Loading-truck'!$D$31:$D$48))*Impacts!$F$14,IF(('Loading-truck'!$C$21)&lt;&gt;"No control",SUMIF(('Loading-truck'!$B$31:$B$48),$J360,('Loading-truck'!$E$31:$E$48))*Impacts!$F$14,0)),0)</f>
        <v>0</v>
      </c>
      <c r="S360" s="10">
        <f>IFERROR(IF(('Loading-rail'!$C$21)="No control",SUMIF(('Loading-rail'!$B$31:$B$48),$J360,('Loading-rail'!$D$31:$D$48))*Impacts!$F$15,IF(('Loading-rail'!$C$21)&lt;&gt;"No control",SUMIF(('Loading-rail'!$B$31:$B$48),$J360,('Loading-rail'!$E$31:$E$48))*Impacts!$F$15,0)),0)</f>
        <v>0</v>
      </c>
      <c r="T360" s="10">
        <f>IF(Flare!$C$7="",0,(SUMIF(Flare!$B$46:$B$185,$J360,Flare!$E$46:$E$185)*Impacts!$F$16))</f>
        <v>0</v>
      </c>
      <c r="U360" s="10">
        <f>IF(VCU!$C$9="",0,(SUMIF(VCU!$B$51:$B$193,$J360,VCU!$E$51:$E$193)*Impacts!$F$17))</f>
        <v>0</v>
      </c>
      <c r="V360" s="10">
        <f>IF(CAS!$C$7="",0,(SUMIF(CAS!$B$31:$B$167,$J360,CAS!$E$31:$E$167)*Impacts!$F$18))</f>
        <v>0</v>
      </c>
      <c r="W360" s="10">
        <f t="shared" si="47"/>
        <v>0</v>
      </c>
      <c r="AK360" s="10" t="str">
        <f t="array" ref="AK360">IFERROR(INDEX(SelectedSpecies,SMALL(IF(SelectedSpecies=AK$1,ROW(SelectedSpecies)),ROW(361:361)),2),"")</f>
        <v/>
      </c>
      <c r="BE360" s="10"/>
      <c r="BI360" s="10"/>
    </row>
    <row r="361" spans="1:61" ht="21" customHeight="1" x14ac:dyDescent="0.25">
      <c r="A361" s="10"/>
      <c r="B361" s="10"/>
      <c r="E361" s="10"/>
      <c r="G361" s="10"/>
      <c r="I361" s="436" t="s">
        <v>6476</v>
      </c>
      <c r="J361" s="26" t="s">
        <v>6475</v>
      </c>
      <c r="K361" s="10">
        <v>0.76</v>
      </c>
      <c r="L361" s="73">
        <f>IF(Tank1!$C$23="No control",(SUMIF(Tank1!$B$32:$B$49,$J361,Tank1!$C$32:$C$49)*Impacts!$F$8),0)</f>
        <v>0</v>
      </c>
      <c r="M361" s="10">
        <f>IF(Tank2!$C$23="No control",(SUMIF(Tank2!$B$32:$B$49,$J361,Tank2!$C$32:$C$49)*Impacts!$F$9),0)</f>
        <v>0</v>
      </c>
      <c r="N361" s="10">
        <f>IF(Tank3!$C$23="No control",(SUMIF(Tank3!$B$32:$B$49,$J361,Tank3!$C$32:$C$49)*Impacts!$F$10),0)</f>
        <v>0</v>
      </c>
      <c r="O361" s="10">
        <f>IF(Tank4!$C$23="No control",(SUMIF(Tank4!$B$32:$B$49,$J361,Tank4!$C$32:$C$49)*Impacts!$F$11),0)</f>
        <v>0</v>
      </c>
      <c r="P361" s="10">
        <f>IF(Tank5!$C$23="No control",(SUMIF(Tank5!$B$32:$B$49,$J361,Tank5!$C$32:$C$49)*Impacts!$F$12),0)</f>
        <v>0</v>
      </c>
      <c r="Q361" s="10">
        <f>IFERROR(IF(('Loading-drum,tote'!$C$21)="No control",SUMIF(('Loading-drum,tote'!$B$31:$B$48),$J361,('Loading-drum,tote'!$D$31:$D$48))*Impacts!$F$13,IF(('Loading-drum,tote'!$C$21)&lt;&gt;"No control",SUMIF(('Loading-drum,tote'!$B$31:$B$48),$J361,('Loading-drum,tote'!$E$31:$E$48))*Impacts!$F$13,0)),0)</f>
        <v>0</v>
      </c>
      <c r="R361" s="10">
        <f>IFERROR(IF(('Loading-truck'!$C$21)="No control",SUMIF(('Loading-truck'!$B$31:$B$48),$J361,('Loading-truck'!$D$31:$D$48))*Impacts!$F$14,IF(('Loading-truck'!$C$21)&lt;&gt;"No control",SUMIF(('Loading-truck'!$B$31:$B$48),$J361,('Loading-truck'!$E$31:$E$48))*Impacts!$F$14,0)),0)</f>
        <v>0</v>
      </c>
      <c r="S361" s="10">
        <f>IFERROR(IF(('Loading-rail'!$C$21)="No control",SUMIF(('Loading-rail'!$B$31:$B$48),$J361,('Loading-rail'!$D$31:$D$48))*Impacts!$F$15,IF(('Loading-rail'!$C$21)&lt;&gt;"No control",SUMIF(('Loading-rail'!$B$31:$B$48),$J361,('Loading-rail'!$E$31:$E$48))*Impacts!$F$15,0)),0)</f>
        <v>0</v>
      </c>
      <c r="T361" s="10">
        <f>IF(Flare!$C$7="",0,(SUMIF(Flare!$B$46:$B$185,$J361,Flare!$E$46:$E$185)*Impacts!$F$16))</f>
        <v>0</v>
      </c>
      <c r="U361" s="10">
        <f>IF(VCU!$C$9="",0,(SUMIF(VCU!$B$51:$B$193,$J361,VCU!$E$51:$E$193)*Impacts!$F$17))</f>
        <v>0</v>
      </c>
      <c r="V361" s="10">
        <f>IF(CAS!$C$7="",0,(SUMIF(CAS!$B$31:$B$167,$J361,CAS!$E$31:$E$167)*Impacts!$F$18))</f>
        <v>0</v>
      </c>
      <c r="W361" s="10">
        <f t="shared" si="47"/>
        <v>0</v>
      </c>
      <c r="AK361" s="10" t="str">
        <f t="array" ref="AK361">IFERROR(INDEX(SelectedSpecies,SMALL(IF(SelectedSpecies=AK$1,ROW(SelectedSpecies)),ROW(362:362)),2),"")</f>
        <v/>
      </c>
      <c r="BE361" s="10"/>
      <c r="BI361" s="10"/>
    </row>
    <row r="362" spans="1:61" ht="21" customHeight="1" x14ac:dyDescent="0.25">
      <c r="A362" s="10"/>
      <c r="B362" s="10"/>
      <c r="E362" s="10"/>
      <c r="G362" s="10"/>
      <c r="I362" s="436" t="s">
        <v>4405</v>
      </c>
      <c r="J362" s="26" t="s">
        <v>4404</v>
      </c>
      <c r="K362" s="10">
        <v>4.6000000000000005</v>
      </c>
      <c r="L362" s="73">
        <f>IF(Tank1!$C$23="No control",(SUMIF(Tank1!$B$32:$B$49,$J362,Tank1!$C$32:$C$49)*Impacts!$F$8),0)</f>
        <v>0</v>
      </c>
      <c r="M362" s="10">
        <f>IF(Tank2!$C$23="No control",(SUMIF(Tank2!$B$32:$B$49,$J362,Tank2!$C$32:$C$49)*Impacts!$F$9),0)</f>
        <v>0</v>
      </c>
      <c r="N362" s="10">
        <f>IF(Tank3!$C$23="No control",(SUMIF(Tank3!$B$32:$B$49,$J362,Tank3!$C$32:$C$49)*Impacts!$F$10),0)</f>
        <v>0</v>
      </c>
      <c r="O362" s="10">
        <f>IF(Tank4!$C$23="No control",(SUMIF(Tank4!$B$32:$B$49,$J362,Tank4!$C$32:$C$49)*Impacts!$F$11),0)</f>
        <v>0</v>
      </c>
      <c r="P362" s="10">
        <f>IF(Tank5!$C$23="No control",(SUMIF(Tank5!$B$32:$B$49,$J362,Tank5!$C$32:$C$49)*Impacts!$F$12),0)</f>
        <v>0</v>
      </c>
      <c r="Q362" s="10">
        <f>IFERROR(IF(('Loading-drum,tote'!$C$21)="No control",SUMIF(('Loading-drum,tote'!$B$31:$B$48),$J362,('Loading-drum,tote'!$D$31:$D$48))*Impacts!$F$13,IF(('Loading-drum,tote'!$C$21)&lt;&gt;"No control",SUMIF(('Loading-drum,tote'!$B$31:$B$48),$J362,('Loading-drum,tote'!$E$31:$E$48))*Impacts!$F$13,0)),0)</f>
        <v>0</v>
      </c>
      <c r="R362" s="10">
        <f>IFERROR(IF(('Loading-truck'!$C$21)="No control",SUMIF(('Loading-truck'!$B$31:$B$48),$J362,('Loading-truck'!$D$31:$D$48))*Impacts!$F$14,IF(('Loading-truck'!$C$21)&lt;&gt;"No control",SUMIF(('Loading-truck'!$B$31:$B$48),$J362,('Loading-truck'!$E$31:$E$48))*Impacts!$F$14,0)),0)</f>
        <v>0</v>
      </c>
      <c r="S362" s="10">
        <f>IFERROR(IF(('Loading-rail'!$C$21)="No control",SUMIF(('Loading-rail'!$B$31:$B$48),$J362,('Loading-rail'!$D$31:$D$48))*Impacts!$F$15,IF(('Loading-rail'!$C$21)&lt;&gt;"No control",SUMIF(('Loading-rail'!$B$31:$B$48),$J362,('Loading-rail'!$E$31:$E$48))*Impacts!$F$15,0)),0)</f>
        <v>0</v>
      </c>
      <c r="T362" s="10">
        <f>IF(Flare!$C$7="",0,(SUMIF(Flare!$B$46:$B$185,$J362,Flare!$E$46:$E$185)*Impacts!$F$16))</f>
        <v>0</v>
      </c>
      <c r="U362" s="10">
        <f>IF(VCU!$C$9="",0,(SUMIF(VCU!$B$51:$B$193,$J362,VCU!$E$51:$E$193)*Impacts!$F$17))</f>
        <v>0</v>
      </c>
      <c r="V362" s="10">
        <f>IF(CAS!$C$7="",0,(SUMIF(CAS!$B$31:$B$167,$J362,CAS!$E$31:$E$167)*Impacts!$F$18))</f>
        <v>0</v>
      </c>
      <c r="W362" s="10">
        <f t="shared" si="47"/>
        <v>0</v>
      </c>
      <c r="AK362" s="10" t="str">
        <f t="array" ref="AK362">IFERROR(INDEX(SelectedSpecies,SMALL(IF(SelectedSpecies=AK$1,ROW(SelectedSpecies)),ROW(363:363)),2),"")</f>
        <v/>
      </c>
      <c r="BE362" s="10"/>
      <c r="BI362" s="10"/>
    </row>
    <row r="363" spans="1:61" ht="21" customHeight="1" x14ac:dyDescent="0.25">
      <c r="A363" s="10"/>
      <c r="B363" s="10"/>
      <c r="E363" s="10"/>
      <c r="G363" s="10"/>
      <c r="I363" s="436" t="s">
        <v>6426</v>
      </c>
      <c r="J363" s="26" t="s">
        <v>6425</v>
      </c>
      <c r="K363" s="10">
        <v>0.8</v>
      </c>
      <c r="L363" s="73">
        <f>IF(Tank1!$C$23="No control",(SUMIF(Tank1!$B$32:$B$49,$J363,Tank1!$C$32:$C$49)*Impacts!$F$8),0)</f>
        <v>0</v>
      </c>
      <c r="M363" s="10">
        <f>IF(Tank2!$C$23="No control",(SUMIF(Tank2!$B$32:$B$49,$J363,Tank2!$C$32:$C$49)*Impacts!$F$9),0)</f>
        <v>0</v>
      </c>
      <c r="N363" s="10">
        <f>IF(Tank3!$C$23="No control",(SUMIF(Tank3!$B$32:$B$49,$J363,Tank3!$C$32:$C$49)*Impacts!$F$10),0)</f>
        <v>0</v>
      </c>
      <c r="O363" s="10">
        <f>IF(Tank4!$C$23="No control",(SUMIF(Tank4!$B$32:$B$49,$J363,Tank4!$C$32:$C$49)*Impacts!$F$11),0)</f>
        <v>0</v>
      </c>
      <c r="P363" s="10">
        <f>IF(Tank5!$C$23="No control",(SUMIF(Tank5!$B$32:$B$49,$J363,Tank5!$C$32:$C$49)*Impacts!$F$12),0)</f>
        <v>0</v>
      </c>
      <c r="Q363" s="10">
        <f>IFERROR(IF(('Loading-drum,tote'!$C$21)="No control",SUMIF(('Loading-drum,tote'!$B$31:$B$48),$J363,('Loading-drum,tote'!$D$31:$D$48))*Impacts!$F$13,IF(('Loading-drum,tote'!$C$21)&lt;&gt;"No control",SUMIF(('Loading-drum,tote'!$B$31:$B$48),$J363,('Loading-drum,tote'!$E$31:$E$48))*Impacts!$F$13,0)),0)</f>
        <v>0</v>
      </c>
      <c r="R363" s="10">
        <f>IFERROR(IF(('Loading-truck'!$C$21)="No control",SUMIF(('Loading-truck'!$B$31:$B$48),$J363,('Loading-truck'!$D$31:$D$48))*Impacts!$F$14,IF(('Loading-truck'!$C$21)&lt;&gt;"No control",SUMIF(('Loading-truck'!$B$31:$B$48),$J363,('Loading-truck'!$E$31:$E$48))*Impacts!$F$14,0)),0)</f>
        <v>0</v>
      </c>
      <c r="S363" s="10">
        <f>IFERROR(IF(('Loading-rail'!$C$21)="No control",SUMIF(('Loading-rail'!$B$31:$B$48),$J363,('Loading-rail'!$D$31:$D$48))*Impacts!$F$15,IF(('Loading-rail'!$C$21)&lt;&gt;"No control",SUMIF(('Loading-rail'!$B$31:$B$48),$J363,('Loading-rail'!$E$31:$E$48))*Impacts!$F$15,0)),0)</f>
        <v>0</v>
      </c>
      <c r="T363" s="10">
        <f>IF(Flare!$C$7="",0,(SUMIF(Flare!$B$46:$B$185,$J363,Flare!$E$46:$E$185)*Impacts!$F$16))</f>
        <v>0</v>
      </c>
      <c r="U363" s="10">
        <f>IF(VCU!$C$9="",0,(SUMIF(VCU!$B$51:$B$193,$J363,VCU!$E$51:$E$193)*Impacts!$F$17))</f>
        <v>0</v>
      </c>
      <c r="V363" s="10">
        <f>IF(CAS!$C$7="",0,(SUMIF(CAS!$B$31:$B$167,$J363,CAS!$E$31:$E$167)*Impacts!$F$18))</f>
        <v>0</v>
      </c>
      <c r="W363" s="10">
        <f t="shared" si="47"/>
        <v>0</v>
      </c>
      <c r="AK363" s="10" t="str">
        <f t="array" ref="AK363">IFERROR(INDEX(SelectedSpecies,SMALL(IF(SelectedSpecies=AK$1,ROW(SelectedSpecies)),ROW(364:364)),2),"")</f>
        <v/>
      </c>
      <c r="BE363" s="10"/>
      <c r="BI363" s="10"/>
    </row>
    <row r="364" spans="1:61" ht="21" customHeight="1" x14ac:dyDescent="0.25">
      <c r="A364" s="10"/>
      <c r="B364" s="10"/>
      <c r="E364" s="10"/>
      <c r="G364" s="10"/>
      <c r="I364" s="436" t="s">
        <v>8348</v>
      </c>
      <c r="J364" s="26" t="s">
        <v>8347</v>
      </c>
      <c r="K364" s="10">
        <v>2E-3</v>
      </c>
      <c r="L364" s="73">
        <f>IF(Tank1!$C$23="No control",(SUMIF(Tank1!$B$32:$B$49,$J364,Tank1!$C$32:$C$49)*Impacts!$F$8),0)</f>
        <v>0</v>
      </c>
      <c r="M364" s="10">
        <f>IF(Tank2!$C$23="No control",(SUMIF(Tank2!$B$32:$B$49,$J364,Tank2!$C$32:$C$49)*Impacts!$F$9),0)</f>
        <v>0</v>
      </c>
      <c r="N364" s="10">
        <f>IF(Tank3!$C$23="No control",(SUMIF(Tank3!$B$32:$B$49,$J364,Tank3!$C$32:$C$49)*Impacts!$F$10),0)</f>
        <v>0</v>
      </c>
      <c r="O364" s="10">
        <f>IF(Tank4!$C$23="No control",(SUMIF(Tank4!$B$32:$B$49,$J364,Tank4!$C$32:$C$49)*Impacts!$F$11),0)</f>
        <v>0</v>
      </c>
      <c r="P364" s="10">
        <f>IF(Tank5!$C$23="No control",(SUMIF(Tank5!$B$32:$B$49,$J364,Tank5!$C$32:$C$49)*Impacts!$F$12),0)</f>
        <v>0</v>
      </c>
      <c r="Q364" s="10">
        <f>IFERROR(IF(('Loading-drum,tote'!$C$21)="No control",SUMIF(('Loading-drum,tote'!$B$31:$B$48),$J364,('Loading-drum,tote'!$D$31:$D$48))*Impacts!$F$13,IF(('Loading-drum,tote'!$C$21)&lt;&gt;"No control",SUMIF(('Loading-drum,tote'!$B$31:$B$48),$J364,('Loading-drum,tote'!$E$31:$E$48))*Impacts!$F$13,0)),0)</f>
        <v>0</v>
      </c>
      <c r="R364" s="10">
        <f>IFERROR(IF(('Loading-truck'!$C$21)="No control",SUMIF(('Loading-truck'!$B$31:$B$48),$J364,('Loading-truck'!$D$31:$D$48))*Impacts!$F$14,IF(('Loading-truck'!$C$21)&lt;&gt;"No control",SUMIF(('Loading-truck'!$B$31:$B$48),$J364,('Loading-truck'!$E$31:$E$48))*Impacts!$F$14,0)),0)</f>
        <v>0</v>
      </c>
      <c r="S364" s="10">
        <f>IFERROR(IF(('Loading-rail'!$C$21)="No control",SUMIF(('Loading-rail'!$B$31:$B$48),$J364,('Loading-rail'!$D$31:$D$48))*Impacts!$F$15,IF(('Loading-rail'!$C$21)&lt;&gt;"No control",SUMIF(('Loading-rail'!$B$31:$B$48),$J364,('Loading-rail'!$E$31:$E$48))*Impacts!$F$15,0)),0)</f>
        <v>0</v>
      </c>
      <c r="T364" s="10">
        <f>IF(Flare!$C$7="",0,(SUMIF(Flare!$B$46:$B$185,$J364,Flare!$E$46:$E$185)*Impacts!$F$16))</f>
        <v>0</v>
      </c>
      <c r="U364" s="10">
        <f>IF(VCU!$C$9="",0,(SUMIF(VCU!$B$51:$B$193,$J364,VCU!$E$51:$E$193)*Impacts!$F$17))</f>
        <v>0</v>
      </c>
      <c r="V364" s="10">
        <f>IF(CAS!$C$7="",0,(SUMIF(CAS!$B$31:$B$167,$J364,CAS!$E$31:$E$167)*Impacts!$F$18))</f>
        <v>0</v>
      </c>
      <c r="W364" s="10">
        <f t="shared" si="47"/>
        <v>0</v>
      </c>
      <c r="AK364" s="10" t="str">
        <f t="array" ref="AK364">IFERROR(INDEX(SelectedSpecies,SMALL(IF(SelectedSpecies=AK$1,ROW(SelectedSpecies)),ROW(365:365)),2),"")</f>
        <v/>
      </c>
      <c r="BE364" s="10"/>
      <c r="BI364" s="10"/>
    </row>
    <row r="365" spans="1:61" ht="21" customHeight="1" x14ac:dyDescent="0.25">
      <c r="A365" s="10"/>
      <c r="B365" s="10"/>
      <c r="E365" s="10"/>
      <c r="G365" s="10"/>
      <c r="I365" s="436" t="s">
        <v>3573</v>
      </c>
      <c r="J365" s="26" t="s">
        <v>3572</v>
      </c>
      <c r="K365" s="10">
        <v>8</v>
      </c>
      <c r="L365" s="73">
        <f>IF(Tank1!$C$23="No control",(SUMIF(Tank1!$B$32:$B$49,$J365,Tank1!$C$32:$C$49)*Impacts!$F$8),0)</f>
        <v>0</v>
      </c>
      <c r="M365" s="10">
        <f>IF(Tank2!$C$23="No control",(SUMIF(Tank2!$B$32:$B$49,$J365,Tank2!$C$32:$C$49)*Impacts!$F$9),0)</f>
        <v>0</v>
      </c>
      <c r="N365" s="10">
        <f>IF(Tank3!$C$23="No control",(SUMIF(Tank3!$B$32:$B$49,$J365,Tank3!$C$32:$C$49)*Impacts!$F$10),0)</f>
        <v>0</v>
      </c>
      <c r="O365" s="10">
        <f>IF(Tank4!$C$23="No control",(SUMIF(Tank4!$B$32:$B$49,$J365,Tank4!$C$32:$C$49)*Impacts!$F$11),0)</f>
        <v>0</v>
      </c>
      <c r="P365" s="10">
        <f>IF(Tank5!$C$23="No control",(SUMIF(Tank5!$B$32:$B$49,$J365,Tank5!$C$32:$C$49)*Impacts!$F$12),0)</f>
        <v>0</v>
      </c>
      <c r="Q365" s="10">
        <f>IFERROR(IF(('Loading-drum,tote'!$C$21)="No control",SUMIF(('Loading-drum,tote'!$B$31:$B$48),$J365,('Loading-drum,tote'!$D$31:$D$48))*Impacts!$F$13,IF(('Loading-drum,tote'!$C$21)&lt;&gt;"No control",SUMIF(('Loading-drum,tote'!$B$31:$B$48),$J365,('Loading-drum,tote'!$E$31:$E$48))*Impacts!$F$13,0)),0)</f>
        <v>0</v>
      </c>
      <c r="R365" s="10">
        <f>IFERROR(IF(('Loading-truck'!$C$21)="No control",SUMIF(('Loading-truck'!$B$31:$B$48),$J365,('Loading-truck'!$D$31:$D$48))*Impacts!$F$14,IF(('Loading-truck'!$C$21)&lt;&gt;"No control",SUMIF(('Loading-truck'!$B$31:$B$48),$J365,('Loading-truck'!$E$31:$E$48))*Impacts!$F$14,0)),0)</f>
        <v>0</v>
      </c>
      <c r="S365" s="10">
        <f>IFERROR(IF(('Loading-rail'!$C$21)="No control",SUMIF(('Loading-rail'!$B$31:$B$48),$J365,('Loading-rail'!$D$31:$D$48))*Impacts!$F$15,IF(('Loading-rail'!$C$21)&lt;&gt;"No control",SUMIF(('Loading-rail'!$B$31:$B$48),$J365,('Loading-rail'!$E$31:$E$48))*Impacts!$F$15,0)),0)</f>
        <v>0</v>
      </c>
      <c r="T365" s="10">
        <f>IF(Flare!$C$7="",0,(SUMIF(Flare!$B$46:$B$185,$J365,Flare!$E$46:$E$185)*Impacts!$F$16))</f>
        <v>0</v>
      </c>
      <c r="U365" s="10">
        <f>IF(VCU!$C$9="",0,(SUMIF(VCU!$B$51:$B$193,$J365,VCU!$E$51:$E$193)*Impacts!$F$17))</f>
        <v>0</v>
      </c>
      <c r="V365" s="10">
        <f>IF(CAS!$C$7="",0,(SUMIF(CAS!$B$31:$B$167,$J365,CAS!$E$31:$E$167)*Impacts!$F$18))</f>
        <v>0</v>
      </c>
      <c r="W365" s="10">
        <f t="shared" si="47"/>
        <v>0</v>
      </c>
      <c r="AK365" s="10" t="str">
        <f t="array" ref="AK365">IFERROR(INDEX(SelectedSpecies,SMALL(IF(SelectedSpecies=AK$1,ROW(SelectedSpecies)),ROW(366:366)),2),"")</f>
        <v/>
      </c>
      <c r="BE365" s="10"/>
      <c r="BI365" s="10"/>
    </row>
    <row r="366" spans="1:61" ht="21" customHeight="1" x14ac:dyDescent="0.25">
      <c r="A366" s="10"/>
      <c r="B366" s="10"/>
      <c r="E366" s="10"/>
      <c r="G366" s="10"/>
      <c r="I366" s="436" t="s">
        <v>7160</v>
      </c>
      <c r="J366" s="26" t="s">
        <v>7159</v>
      </c>
      <c r="K366" s="10">
        <v>0.33</v>
      </c>
      <c r="L366" s="73">
        <f>IF(Tank1!$C$23="No control",(SUMIF(Tank1!$B$32:$B$49,$J366,Tank1!$C$32:$C$49)*Impacts!$F$8),0)</f>
        <v>0</v>
      </c>
      <c r="M366" s="10">
        <f>IF(Tank2!$C$23="No control",(SUMIF(Tank2!$B$32:$B$49,$J366,Tank2!$C$32:$C$49)*Impacts!$F$9),0)</f>
        <v>0</v>
      </c>
      <c r="N366" s="10">
        <f>IF(Tank3!$C$23="No control",(SUMIF(Tank3!$B$32:$B$49,$J366,Tank3!$C$32:$C$49)*Impacts!$F$10),0)</f>
        <v>0</v>
      </c>
      <c r="O366" s="10">
        <f>IF(Tank4!$C$23="No control",(SUMIF(Tank4!$B$32:$B$49,$J366,Tank4!$C$32:$C$49)*Impacts!$F$11),0)</f>
        <v>0</v>
      </c>
      <c r="P366" s="10">
        <f>IF(Tank5!$C$23="No control",(SUMIF(Tank5!$B$32:$B$49,$J366,Tank5!$C$32:$C$49)*Impacts!$F$12),0)</f>
        <v>0</v>
      </c>
      <c r="Q366" s="10">
        <f>IFERROR(IF(('Loading-drum,tote'!$C$21)="No control",SUMIF(('Loading-drum,tote'!$B$31:$B$48),$J366,('Loading-drum,tote'!$D$31:$D$48))*Impacts!$F$13,IF(('Loading-drum,tote'!$C$21)&lt;&gt;"No control",SUMIF(('Loading-drum,tote'!$B$31:$B$48),$J366,('Loading-drum,tote'!$E$31:$E$48))*Impacts!$F$13,0)),0)</f>
        <v>0</v>
      </c>
      <c r="R366" s="10">
        <f>IFERROR(IF(('Loading-truck'!$C$21)="No control",SUMIF(('Loading-truck'!$B$31:$B$48),$J366,('Loading-truck'!$D$31:$D$48))*Impacts!$F$14,IF(('Loading-truck'!$C$21)&lt;&gt;"No control",SUMIF(('Loading-truck'!$B$31:$B$48),$J366,('Loading-truck'!$E$31:$E$48))*Impacts!$F$14,0)),0)</f>
        <v>0</v>
      </c>
      <c r="S366" s="10">
        <f>IFERROR(IF(('Loading-rail'!$C$21)="No control",SUMIF(('Loading-rail'!$B$31:$B$48),$J366,('Loading-rail'!$D$31:$D$48))*Impacts!$F$15,IF(('Loading-rail'!$C$21)&lt;&gt;"No control",SUMIF(('Loading-rail'!$B$31:$B$48),$J366,('Loading-rail'!$E$31:$E$48))*Impacts!$F$15,0)),0)</f>
        <v>0</v>
      </c>
      <c r="T366" s="10">
        <f>IF(Flare!$C$7="",0,(SUMIF(Flare!$B$46:$B$185,$J366,Flare!$E$46:$E$185)*Impacts!$F$16))</f>
        <v>0</v>
      </c>
      <c r="U366" s="10">
        <f>IF(VCU!$C$9="",0,(SUMIF(VCU!$B$51:$B$193,$J366,VCU!$E$51:$E$193)*Impacts!$F$17))</f>
        <v>0</v>
      </c>
      <c r="V366" s="10">
        <f>IF(CAS!$C$7="",0,(SUMIF(CAS!$B$31:$B$167,$J366,CAS!$E$31:$E$167)*Impacts!$F$18))</f>
        <v>0</v>
      </c>
      <c r="W366" s="10">
        <f t="shared" si="47"/>
        <v>0</v>
      </c>
      <c r="AK366" s="10" t="str">
        <f t="array" ref="AK366">IFERROR(INDEX(SelectedSpecies,SMALL(IF(SelectedSpecies=AK$1,ROW(SelectedSpecies)),ROW(367:367)),2),"")</f>
        <v/>
      </c>
      <c r="BE366" s="10"/>
      <c r="BI366" s="10"/>
    </row>
    <row r="367" spans="1:61" ht="21" customHeight="1" x14ac:dyDescent="0.25">
      <c r="A367" s="10"/>
      <c r="B367" s="10"/>
      <c r="E367" s="10"/>
      <c r="G367" s="10"/>
      <c r="I367" s="436" t="s">
        <v>7892</v>
      </c>
      <c r="J367" s="26" t="s">
        <v>7891</v>
      </c>
      <c r="K367" s="10">
        <v>0.05</v>
      </c>
      <c r="L367" s="73">
        <f>IF(Tank1!$C$23="No control",(SUMIF(Tank1!$B$32:$B$49,$J367,Tank1!$C$32:$C$49)*Impacts!$F$8),0)</f>
        <v>0</v>
      </c>
      <c r="M367" s="10">
        <f>IF(Tank2!$C$23="No control",(SUMIF(Tank2!$B$32:$B$49,$J367,Tank2!$C$32:$C$49)*Impacts!$F$9),0)</f>
        <v>0</v>
      </c>
      <c r="N367" s="10">
        <f>IF(Tank3!$C$23="No control",(SUMIF(Tank3!$B$32:$B$49,$J367,Tank3!$C$32:$C$49)*Impacts!$F$10),0)</f>
        <v>0</v>
      </c>
      <c r="O367" s="10">
        <f>IF(Tank4!$C$23="No control",(SUMIF(Tank4!$B$32:$B$49,$J367,Tank4!$C$32:$C$49)*Impacts!$F$11),0)</f>
        <v>0</v>
      </c>
      <c r="P367" s="10">
        <f>IF(Tank5!$C$23="No control",(SUMIF(Tank5!$B$32:$B$49,$J367,Tank5!$C$32:$C$49)*Impacts!$F$12),0)</f>
        <v>0</v>
      </c>
      <c r="Q367" s="10">
        <f>IFERROR(IF(('Loading-drum,tote'!$C$21)="No control",SUMIF(('Loading-drum,tote'!$B$31:$B$48),$J367,('Loading-drum,tote'!$D$31:$D$48))*Impacts!$F$13,IF(('Loading-drum,tote'!$C$21)&lt;&gt;"No control",SUMIF(('Loading-drum,tote'!$B$31:$B$48),$J367,('Loading-drum,tote'!$E$31:$E$48))*Impacts!$F$13,0)),0)</f>
        <v>0</v>
      </c>
      <c r="R367" s="10">
        <f>IFERROR(IF(('Loading-truck'!$C$21)="No control",SUMIF(('Loading-truck'!$B$31:$B$48),$J367,('Loading-truck'!$D$31:$D$48))*Impacts!$F$14,IF(('Loading-truck'!$C$21)&lt;&gt;"No control",SUMIF(('Loading-truck'!$B$31:$B$48),$J367,('Loading-truck'!$E$31:$E$48))*Impacts!$F$14,0)),0)</f>
        <v>0</v>
      </c>
      <c r="S367" s="10">
        <f>IFERROR(IF(('Loading-rail'!$C$21)="No control",SUMIF(('Loading-rail'!$B$31:$B$48),$J367,('Loading-rail'!$D$31:$D$48))*Impacts!$F$15,IF(('Loading-rail'!$C$21)&lt;&gt;"No control",SUMIF(('Loading-rail'!$B$31:$B$48),$J367,('Loading-rail'!$E$31:$E$48))*Impacts!$F$15,0)),0)</f>
        <v>0</v>
      </c>
      <c r="T367" s="10">
        <f>IF(Flare!$C$7="",0,(SUMIF(Flare!$B$46:$B$185,$J367,Flare!$E$46:$E$185)*Impacts!$F$16))</f>
        <v>0</v>
      </c>
      <c r="U367" s="10">
        <f>IF(VCU!$C$9="",0,(SUMIF(VCU!$B$51:$B$193,$J367,VCU!$E$51:$E$193)*Impacts!$F$17))</f>
        <v>0</v>
      </c>
      <c r="V367" s="10">
        <f>IF(CAS!$C$7="",0,(SUMIF(CAS!$B$31:$B$167,$J367,CAS!$E$31:$E$167)*Impacts!$F$18))</f>
        <v>0</v>
      </c>
      <c r="W367" s="10">
        <f t="shared" si="47"/>
        <v>0</v>
      </c>
      <c r="AK367" s="10" t="str">
        <f t="array" ref="AK367">IFERROR(INDEX(SelectedSpecies,SMALL(IF(SelectedSpecies=AK$1,ROW(SelectedSpecies)),ROW(368:368)),2),"")</f>
        <v/>
      </c>
      <c r="BE367" s="10"/>
      <c r="BI367" s="10"/>
    </row>
    <row r="368" spans="1:61" ht="21" customHeight="1" x14ac:dyDescent="0.25">
      <c r="A368" s="10"/>
      <c r="B368" s="10"/>
      <c r="E368" s="10"/>
      <c r="G368" s="10"/>
      <c r="I368" s="436" t="s">
        <v>6478</v>
      </c>
      <c r="J368" s="26" t="s">
        <v>6477</v>
      </c>
      <c r="K368" s="10">
        <v>0.76</v>
      </c>
      <c r="L368" s="73">
        <f>IF(Tank1!$C$23="No control",(SUMIF(Tank1!$B$32:$B$49,$J368,Tank1!$C$32:$C$49)*Impacts!$F$8),0)</f>
        <v>0</v>
      </c>
      <c r="M368" s="10">
        <f>IF(Tank2!$C$23="No control",(SUMIF(Tank2!$B$32:$B$49,$J368,Tank2!$C$32:$C$49)*Impacts!$F$9),0)</f>
        <v>0</v>
      </c>
      <c r="N368" s="10">
        <f>IF(Tank3!$C$23="No control",(SUMIF(Tank3!$B$32:$B$49,$J368,Tank3!$C$32:$C$49)*Impacts!$F$10),0)</f>
        <v>0</v>
      </c>
      <c r="O368" s="10">
        <f>IF(Tank4!$C$23="No control",(SUMIF(Tank4!$B$32:$B$49,$J368,Tank4!$C$32:$C$49)*Impacts!$F$11),0)</f>
        <v>0</v>
      </c>
      <c r="P368" s="10">
        <f>IF(Tank5!$C$23="No control",(SUMIF(Tank5!$B$32:$B$49,$J368,Tank5!$C$32:$C$49)*Impacts!$F$12),0)</f>
        <v>0</v>
      </c>
      <c r="Q368" s="10">
        <f>IFERROR(IF(('Loading-drum,tote'!$C$21)="No control",SUMIF(('Loading-drum,tote'!$B$31:$B$48),$J368,('Loading-drum,tote'!$D$31:$D$48))*Impacts!$F$13,IF(('Loading-drum,tote'!$C$21)&lt;&gt;"No control",SUMIF(('Loading-drum,tote'!$B$31:$B$48),$J368,('Loading-drum,tote'!$E$31:$E$48))*Impacts!$F$13,0)),0)</f>
        <v>0</v>
      </c>
      <c r="R368" s="10">
        <f>IFERROR(IF(('Loading-truck'!$C$21)="No control",SUMIF(('Loading-truck'!$B$31:$B$48),$J368,('Loading-truck'!$D$31:$D$48))*Impacts!$F$14,IF(('Loading-truck'!$C$21)&lt;&gt;"No control",SUMIF(('Loading-truck'!$B$31:$B$48),$J368,('Loading-truck'!$E$31:$E$48))*Impacts!$F$14,0)),0)</f>
        <v>0</v>
      </c>
      <c r="S368" s="10">
        <f>IFERROR(IF(('Loading-rail'!$C$21)="No control",SUMIF(('Loading-rail'!$B$31:$B$48),$J368,('Loading-rail'!$D$31:$D$48))*Impacts!$F$15,IF(('Loading-rail'!$C$21)&lt;&gt;"No control",SUMIF(('Loading-rail'!$B$31:$B$48),$J368,('Loading-rail'!$E$31:$E$48))*Impacts!$F$15,0)),0)</f>
        <v>0</v>
      </c>
      <c r="T368" s="10">
        <f>IF(Flare!$C$7="",0,(SUMIF(Flare!$B$46:$B$185,$J368,Flare!$E$46:$E$185)*Impacts!$F$16))</f>
        <v>0</v>
      </c>
      <c r="U368" s="10">
        <f>IF(VCU!$C$9="",0,(SUMIF(VCU!$B$51:$B$193,$J368,VCU!$E$51:$E$193)*Impacts!$F$17))</f>
        <v>0</v>
      </c>
      <c r="V368" s="10">
        <f>IF(CAS!$C$7="",0,(SUMIF(CAS!$B$31:$B$167,$J368,CAS!$E$31:$E$167)*Impacts!$F$18))</f>
        <v>0</v>
      </c>
      <c r="W368" s="10">
        <f t="shared" si="47"/>
        <v>0</v>
      </c>
      <c r="AK368" s="10" t="str">
        <f t="array" ref="AK368">IFERROR(INDEX(SelectedSpecies,SMALL(IF(SelectedSpecies=AK$1,ROW(SelectedSpecies)),ROW(369:369)),2),"")</f>
        <v/>
      </c>
      <c r="BE368" s="10"/>
      <c r="BI368" s="10"/>
    </row>
    <row r="369" spans="1:61" ht="21" customHeight="1" x14ac:dyDescent="0.25">
      <c r="A369" s="10"/>
      <c r="B369" s="10"/>
      <c r="E369" s="10"/>
      <c r="G369" s="10"/>
      <c r="I369" s="436" t="s">
        <v>4709</v>
      </c>
      <c r="J369" s="26" t="s">
        <v>4708</v>
      </c>
      <c r="K369" s="10">
        <v>3.5</v>
      </c>
      <c r="L369" s="73">
        <f>IF(Tank1!$C$23="No control",(SUMIF(Tank1!$B$32:$B$49,$J369,Tank1!$C$32:$C$49)*Impacts!$F$8),0)</f>
        <v>0</v>
      </c>
      <c r="M369" s="10">
        <f>IF(Tank2!$C$23="No control",(SUMIF(Tank2!$B$32:$B$49,$J369,Tank2!$C$32:$C$49)*Impacts!$F$9),0)</f>
        <v>0</v>
      </c>
      <c r="N369" s="10">
        <f>IF(Tank3!$C$23="No control",(SUMIF(Tank3!$B$32:$B$49,$J369,Tank3!$C$32:$C$49)*Impacts!$F$10),0)</f>
        <v>0</v>
      </c>
      <c r="O369" s="10">
        <f>IF(Tank4!$C$23="No control",(SUMIF(Tank4!$B$32:$B$49,$J369,Tank4!$C$32:$C$49)*Impacts!$F$11),0)</f>
        <v>0</v>
      </c>
      <c r="P369" s="10">
        <f>IF(Tank5!$C$23="No control",(SUMIF(Tank5!$B$32:$B$49,$J369,Tank5!$C$32:$C$49)*Impacts!$F$12),0)</f>
        <v>0</v>
      </c>
      <c r="Q369" s="10">
        <f>IFERROR(IF(('Loading-drum,tote'!$C$21)="No control",SUMIF(('Loading-drum,tote'!$B$31:$B$48),$J369,('Loading-drum,tote'!$D$31:$D$48))*Impacts!$F$13,IF(('Loading-drum,tote'!$C$21)&lt;&gt;"No control",SUMIF(('Loading-drum,tote'!$B$31:$B$48),$J369,('Loading-drum,tote'!$E$31:$E$48))*Impacts!$F$13,0)),0)</f>
        <v>0</v>
      </c>
      <c r="R369" s="10">
        <f>IFERROR(IF(('Loading-truck'!$C$21)="No control",SUMIF(('Loading-truck'!$B$31:$B$48),$J369,('Loading-truck'!$D$31:$D$48))*Impacts!$F$14,IF(('Loading-truck'!$C$21)&lt;&gt;"No control",SUMIF(('Loading-truck'!$B$31:$B$48),$J369,('Loading-truck'!$E$31:$E$48))*Impacts!$F$14,0)),0)</f>
        <v>0</v>
      </c>
      <c r="S369" s="10">
        <f>IFERROR(IF(('Loading-rail'!$C$21)="No control",SUMIF(('Loading-rail'!$B$31:$B$48),$J369,('Loading-rail'!$D$31:$D$48))*Impacts!$F$15,IF(('Loading-rail'!$C$21)&lt;&gt;"No control",SUMIF(('Loading-rail'!$B$31:$B$48),$J369,('Loading-rail'!$E$31:$E$48))*Impacts!$F$15,0)),0)</f>
        <v>0</v>
      </c>
      <c r="T369" s="10">
        <f>IF(Flare!$C$7="",0,(SUMIF(Flare!$B$46:$B$185,$J369,Flare!$E$46:$E$185)*Impacts!$F$16))</f>
        <v>0</v>
      </c>
      <c r="U369" s="10">
        <f>IF(VCU!$C$9="",0,(SUMIF(VCU!$B$51:$B$193,$J369,VCU!$E$51:$E$193)*Impacts!$F$17))</f>
        <v>0</v>
      </c>
      <c r="V369" s="10">
        <f>IF(CAS!$C$7="",0,(SUMIF(CAS!$B$31:$B$167,$J369,CAS!$E$31:$E$167)*Impacts!$F$18))</f>
        <v>0</v>
      </c>
      <c r="W369" s="10">
        <f t="shared" si="47"/>
        <v>0</v>
      </c>
      <c r="AK369" s="10" t="str">
        <f t="array" ref="AK369">IFERROR(INDEX(SelectedSpecies,SMALL(IF(SelectedSpecies=AK$1,ROW(SelectedSpecies)),ROW(370:370)),2),"")</f>
        <v/>
      </c>
      <c r="BE369" s="10"/>
      <c r="BI369" s="10"/>
    </row>
    <row r="370" spans="1:61" ht="21" customHeight="1" x14ac:dyDescent="0.25">
      <c r="A370" s="10"/>
      <c r="B370" s="10"/>
      <c r="E370" s="10"/>
      <c r="G370" s="10"/>
      <c r="I370" s="436" t="s">
        <v>6480</v>
      </c>
      <c r="J370" s="26" t="s">
        <v>6479</v>
      </c>
      <c r="K370" s="10">
        <v>0.76</v>
      </c>
      <c r="L370" s="73">
        <f>IF(Tank1!$C$23="No control",(SUMIF(Tank1!$B$32:$B$49,$J370,Tank1!$C$32:$C$49)*Impacts!$F$8),0)</f>
        <v>0</v>
      </c>
      <c r="M370" s="10">
        <f>IF(Tank2!$C$23="No control",(SUMIF(Tank2!$B$32:$B$49,$J370,Tank2!$C$32:$C$49)*Impacts!$F$9),0)</f>
        <v>0</v>
      </c>
      <c r="N370" s="10">
        <f>IF(Tank3!$C$23="No control",(SUMIF(Tank3!$B$32:$B$49,$J370,Tank3!$C$32:$C$49)*Impacts!$F$10),0)</f>
        <v>0</v>
      </c>
      <c r="O370" s="10">
        <f>IF(Tank4!$C$23="No control",(SUMIF(Tank4!$B$32:$B$49,$J370,Tank4!$C$32:$C$49)*Impacts!$F$11),0)</f>
        <v>0</v>
      </c>
      <c r="P370" s="10">
        <f>IF(Tank5!$C$23="No control",(SUMIF(Tank5!$B$32:$B$49,$J370,Tank5!$C$32:$C$49)*Impacts!$F$12),0)</f>
        <v>0</v>
      </c>
      <c r="Q370" s="10">
        <f>IFERROR(IF(('Loading-drum,tote'!$C$21)="No control",SUMIF(('Loading-drum,tote'!$B$31:$B$48),$J370,('Loading-drum,tote'!$D$31:$D$48))*Impacts!$F$13,IF(('Loading-drum,tote'!$C$21)&lt;&gt;"No control",SUMIF(('Loading-drum,tote'!$B$31:$B$48),$J370,('Loading-drum,tote'!$E$31:$E$48))*Impacts!$F$13,0)),0)</f>
        <v>0</v>
      </c>
      <c r="R370" s="10">
        <f>IFERROR(IF(('Loading-truck'!$C$21)="No control",SUMIF(('Loading-truck'!$B$31:$B$48),$J370,('Loading-truck'!$D$31:$D$48))*Impacts!$F$14,IF(('Loading-truck'!$C$21)&lt;&gt;"No control",SUMIF(('Loading-truck'!$B$31:$B$48),$J370,('Loading-truck'!$E$31:$E$48))*Impacts!$F$14,0)),0)</f>
        <v>0</v>
      </c>
      <c r="S370" s="10">
        <f>IFERROR(IF(('Loading-rail'!$C$21)="No control",SUMIF(('Loading-rail'!$B$31:$B$48),$J370,('Loading-rail'!$D$31:$D$48))*Impacts!$F$15,IF(('Loading-rail'!$C$21)&lt;&gt;"No control",SUMIF(('Loading-rail'!$B$31:$B$48),$J370,('Loading-rail'!$E$31:$E$48))*Impacts!$F$15,0)),0)</f>
        <v>0</v>
      </c>
      <c r="T370" s="10">
        <f>IF(Flare!$C$7="",0,(SUMIF(Flare!$B$46:$B$185,$J370,Flare!$E$46:$E$185)*Impacts!$F$16))</f>
        <v>0</v>
      </c>
      <c r="U370" s="10">
        <f>IF(VCU!$C$9="",0,(SUMIF(VCU!$B$51:$B$193,$J370,VCU!$E$51:$E$193)*Impacts!$F$17))</f>
        <v>0</v>
      </c>
      <c r="V370" s="10">
        <f>IF(CAS!$C$7="",0,(SUMIF(CAS!$B$31:$B$167,$J370,CAS!$E$31:$E$167)*Impacts!$F$18))</f>
        <v>0</v>
      </c>
      <c r="W370" s="10">
        <f t="shared" si="47"/>
        <v>0</v>
      </c>
      <c r="AK370" s="10" t="str">
        <f t="array" ref="AK370">IFERROR(INDEX(SelectedSpecies,SMALL(IF(SelectedSpecies=AK$1,ROW(SelectedSpecies)),ROW(371:371)),2),"")</f>
        <v/>
      </c>
      <c r="BE370" s="10"/>
      <c r="BI370" s="10"/>
    </row>
    <row r="371" spans="1:61" ht="21" customHeight="1" x14ac:dyDescent="0.25">
      <c r="A371" s="10"/>
      <c r="B371" s="10"/>
      <c r="E371" s="10"/>
      <c r="G371" s="10"/>
      <c r="I371" s="436" t="s">
        <v>6722</v>
      </c>
      <c r="J371" s="26" t="s">
        <v>6721</v>
      </c>
      <c r="K371" s="10">
        <v>0.5</v>
      </c>
      <c r="L371" s="73">
        <f>IF(Tank1!$C$23="No control",(SUMIF(Tank1!$B$32:$B$49,$J371,Tank1!$C$32:$C$49)*Impacts!$F$8),0)</f>
        <v>0</v>
      </c>
      <c r="M371" s="10">
        <f>IF(Tank2!$C$23="No control",(SUMIF(Tank2!$B$32:$B$49,$J371,Tank2!$C$32:$C$49)*Impacts!$F$9),0)</f>
        <v>0</v>
      </c>
      <c r="N371" s="10">
        <f>IF(Tank3!$C$23="No control",(SUMIF(Tank3!$B$32:$B$49,$J371,Tank3!$C$32:$C$49)*Impacts!$F$10),0)</f>
        <v>0</v>
      </c>
      <c r="O371" s="10">
        <f>IF(Tank4!$C$23="No control",(SUMIF(Tank4!$B$32:$B$49,$J371,Tank4!$C$32:$C$49)*Impacts!$F$11),0)</f>
        <v>0</v>
      </c>
      <c r="P371" s="10">
        <f>IF(Tank5!$C$23="No control",(SUMIF(Tank5!$B$32:$B$49,$J371,Tank5!$C$32:$C$49)*Impacts!$F$12),0)</f>
        <v>0</v>
      </c>
      <c r="Q371" s="10">
        <f>IFERROR(IF(('Loading-drum,tote'!$C$21)="No control",SUMIF(('Loading-drum,tote'!$B$31:$B$48),$J371,('Loading-drum,tote'!$D$31:$D$48))*Impacts!$F$13,IF(('Loading-drum,tote'!$C$21)&lt;&gt;"No control",SUMIF(('Loading-drum,tote'!$B$31:$B$48),$J371,('Loading-drum,tote'!$E$31:$E$48))*Impacts!$F$13,0)),0)</f>
        <v>0</v>
      </c>
      <c r="R371" s="10">
        <f>IFERROR(IF(('Loading-truck'!$C$21)="No control",SUMIF(('Loading-truck'!$B$31:$B$48),$J371,('Loading-truck'!$D$31:$D$48))*Impacts!$F$14,IF(('Loading-truck'!$C$21)&lt;&gt;"No control",SUMIF(('Loading-truck'!$B$31:$B$48),$J371,('Loading-truck'!$E$31:$E$48))*Impacts!$F$14,0)),0)</f>
        <v>0</v>
      </c>
      <c r="S371" s="10">
        <f>IFERROR(IF(('Loading-rail'!$C$21)="No control",SUMIF(('Loading-rail'!$B$31:$B$48),$J371,('Loading-rail'!$D$31:$D$48))*Impacts!$F$15,IF(('Loading-rail'!$C$21)&lt;&gt;"No control",SUMIF(('Loading-rail'!$B$31:$B$48),$J371,('Loading-rail'!$E$31:$E$48))*Impacts!$F$15,0)),0)</f>
        <v>0</v>
      </c>
      <c r="T371" s="10">
        <f>IF(Flare!$C$7="",0,(SUMIF(Flare!$B$46:$B$185,$J371,Flare!$E$46:$E$185)*Impacts!$F$16))</f>
        <v>0</v>
      </c>
      <c r="U371" s="10">
        <f>IF(VCU!$C$9="",0,(SUMIF(VCU!$B$51:$B$193,$J371,VCU!$E$51:$E$193)*Impacts!$F$17))</f>
        <v>0</v>
      </c>
      <c r="V371" s="10">
        <f>IF(CAS!$C$7="",0,(SUMIF(CAS!$B$31:$B$167,$J371,CAS!$E$31:$E$167)*Impacts!$F$18))</f>
        <v>0</v>
      </c>
      <c r="W371" s="10">
        <f t="shared" si="47"/>
        <v>0</v>
      </c>
      <c r="AK371" s="10" t="str">
        <f t="array" ref="AK371">IFERROR(INDEX(SelectedSpecies,SMALL(IF(SelectedSpecies=AK$1,ROW(SelectedSpecies)),ROW(372:372)),2),"")</f>
        <v/>
      </c>
      <c r="BE371" s="10"/>
      <c r="BI371" s="10"/>
    </row>
    <row r="372" spans="1:61" ht="21" customHeight="1" x14ac:dyDescent="0.25">
      <c r="A372" s="10"/>
      <c r="B372" s="10"/>
      <c r="E372" s="10"/>
      <c r="G372" s="10"/>
      <c r="I372" s="436" t="s">
        <v>5690</v>
      </c>
      <c r="J372" s="26" t="s">
        <v>5689</v>
      </c>
      <c r="K372" s="10">
        <v>1</v>
      </c>
      <c r="L372" s="73">
        <f>IF(Tank1!$C$23="No control",(SUMIF(Tank1!$B$32:$B$49,$J372,Tank1!$C$32:$C$49)*Impacts!$F$8),0)</f>
        <v>0</v>
      </c>
      <c r="M372" s="10">
        <f>IF(Tank2!$C$23="No control",(SUMIF(Tank2!$B$32:$B$49,$J372,Tank2!$C$32:$C$49)*Impacts!$F$9),0)</f>
        <v>0</v>
      </c>
      <c r="N372" s="10">
        <f>IF(Tank3!$C$23="No control",(SUMIF(Tank3!$B$32:$B$49,$J372,Tank3!$C$32:$C$49)*Impacts!$F$10),0)</f>
        <v>0</v>
      </c>
      <c r="O372" s="10">
        <f>IF(Tank4!$C$23="No control",(SUMIF(Tank4!$B$32:$B$49,$J372,Tank4!$C$32:$C$49)*Impacts!$F$11),0)</f>
        <v>0</v>
      </c>
      <c r="P372" s="10">
        <f>IF(Tank5!$C$23="No control",(SUMIF(Tank5!$B$32:$B$49,$J372,Tank5!$C$32:$C$49)*Impacts!$F$12),0)</f>
        <v>0</v>
      </c>
      <c r="Q372" s="10">
        <f>IFERROR(IF(('Loading-drum,tote'!$C$21)="No control",SUMIF(('Loading-drum,tote'!$B$31:$B$48),$J372,('Loading-drum,tote'!$D$31:$D$48))*Impacts!$F$13,IF(('Loading-drum,tote'!$C$21)&lt;&gt;"No control",SUMIF(('Loading-drum,tote'!$B$31:$B$48),$J372,('Loading-drum,tote'!$E$31:$E$48))*Impacts!$F$13,0)),0)</f>
        <v>0</v>
      </c>
      <c r="R372" s="10">
        <f>IFERROR(IF(('Loading-truck'!$C$21)="No control",SUMIF(('Loading-truck'!$B$31:$B$48),$J372,('Loading-truck'!$D$31:$D$48))*Impacts!$F$14,IF(('Loading-truck'!$C$21)&lt;&gt;"No control",SUMIF(('Loading-truck'!$B$31:$B$48),$J372,('Loading-truck'!$E$31:$E$48))*Impacts!$F$14,0)),0)</f>
        <v>0</v>
      </c>
      <c r="S372" s="10">
        <f>IFERROR(IF(('Loading-rail'!$C$21)="No control",SUMIF(('Loading-rail'!$B$31:$B$48),$J372,('Loading-rail'!$D$31:$D$48))*Impacts!$F$15,IF(('Loading-rail'!$C$21)&lt;&gt;"No control",SUMIF(('Loading-rail'!$B$31:$B$48),$J372,('Loading-rail'!$E$31:$E$48))*Impacts!$F$15,0)),0)</f>
        <v>0</v>
      </c>
      <c r="T372" s="10">
        <f>IF(Flare!$C$7="",0,(SUMIF(Flare!$B$46:$B$185,$J372,Flare!$E$46:$E$185)*Impacts!$F$16))</f>
        <v>0</v>
      </c>
      <c r="U372" s="10">
        <f>IF(VCU!$C$9="",0,(SUMIF(VCU!$B$51:$B$193,$J372,VCU!$E$51:$E$193)*Impacts!$F$17))</f>
        <v>0</v>
      </c>
      <c r="V372" s="10">
        <f>IF(CAS!$C$7="",0,(SUMIF(CAS!$B$31:$B$167,$J372,CAS!$E$31:$E$167)*Impacts!$F$18))</f>
        <v>0</v>
      </c>
      <c r="W372" s="10">
        <f t="shared" si="47"/>
        <v>0</v>
      </c>
      <c r="AK372" s="10" t="str">
        <f t="array" ref="AK372">IFERROR(INDEX(SelectedSpecies,SMALL(IF(SelectedSpecies=AK$1,ROW(SelectedSpecies)),ROW(373:373)),2),"")</f>
        <v/>
      </c>
      <c r="BE372" s="10"/>
      <c r="BI372" s="10"/>
    </row>
    <row r="373" spans="1:61" ht="21" customHeight="1" x14ac:dyDescent="0.25">
      <c r="A373" s="10"/>
      <c r="B373" s="10"/>
      <c r="E373" s="10"/>
      <c r="G373" s="10"/>
      <c r="I373" s="436" t="s">
        <v>2409</v>
      </c>
      <c r="J373" s="26" t="s">
        <v>2408</v>
      </c>
      <c r="K373" s="10">
        <v>10</v>
      </c>
      <c r="L373" s="73">
        <f>IF(Tank1!$C$23="No control",(SUMIF(Tank1!$B$32:$B$49,$J373,Tank1!$C$32:$C$49)*Impacts!$F$8),0)</f>
        <v>0</v>
      </c>
      <c r="M373" s="10">
        <f>IF(Tank2!$C$23="No control",(SUMIF(Tank2!$B$32:$B$49,$J373,Tank2!$C$32:$C$49)*Impacts!$F$9),0)</f>
        <v>0</v>
      </c>
      <c r="N373" s="10">
        <f>IF(Tank3!$C$23="No control",(SUMIF(Tank3!$B$32:$B$49,$J373,Tank3!$C$32:$C$49)*Impacts!$F$10),0)</f>
        <v>0</v>
      </c>
      <c r="O373" s="10">
        <f>IF(Tank4!$C$23="No control",(SUMIF(Tank4!$B$32:$B$49,$J373,Tank4!$C$32:$C$49)*Impacts!$F$11),0)</f>
        <v>0</v>
      </c>
      <c r="P373" s="10">
        <f>IF(Tank5!$C$23="No control",(SUMIF(Tank5!$B$32:$B$49,$J373,Tank5!$C$32:$C$49)*Impacts!$F$12),0)</f>
        <v>0</v>
      </c>
      <c r="Q373" s="10">
        <f>IFERROR(IF(('Loading-drum,tote'!$C$21)="No control",SUMIF(('Loading-drum,tote'!$B$31:$B$48),$J373,('Loading-drum,tote'!$D$31:$D$48))*Impacts!$F$13,IF(('Loading-drum,tote'!$C$21)&lt;&gt;"No control",SUMIF(('Loading-drum,tote'!$B$31:$B$48),$J373,('Loading-drum,tote'!$E$31:$E$48))*Impacts!$F$13,0)),0)</f>
        <v>0</v>
      </c>
      <c r="R373" s="10">
        <f>IFERROR(IF(('Loading-truck'!$C$21)="No control",SUMIF(('Loading-truck'!$B$31:$B$48),$J373,('Loading-truck'!$D$31:$D$48))*Impacts!$F$14,IF(('Loading-truck'!$C$21)&lt;&gt;"No control",SUMIF(('Loading-truck'!$B$31:$B$48),$J373,('Loading-truck'!$E$31:$E$48))*Impacts!$F$14,0)),0)</f>
        <v>0</v>
      </c>
      <c r="S373" s="10">
        <f>IFERROR(IF(('Loading-rail'!$C$21)="No control",SUMIF(('Loading-rail'!$B$31:$B$48),$J373,('Loading-rail'!$D$31:$D$48))*Impacts!$F$15,IF(('Loading-rail'!$C$21)&lt;&gt;"No control",SUMIF(('Loading-rail'!$B$31:$B$48),$J373,('Loading-rail'!$E$31:$E$48))*Impacts!$F$15,0)),0)</f>
        <v>0</v>
      </c>
      <c r="T373" s="10">
        <f>IF(Flare!$C$7="",0,(SUMIF(Flare!$B$46:$B$185,$J373,Flare!$E$46:$E$185)*Impacts!$F$16))</f>
        <v>0</v>
      </c>
      <c r="U373" s="10">
        <f>IF(VCU!$C$9="",0,(SUMIF(VCU!$B$51:$B$193,$J373,VCU!$E$51:$E$193)*Impacts!$F$17))</f>
        <v>0</v>
      </c>
      <c r="V373" s="10">
        <f>IF(CAS!$C$7="",0,(SUMIF(CAS!$B$31:$B$167,$J373,CAS!$E$31:$E$167)*Impacts!$F$18))</f>
        <v>0</v>
      </c>
      <c r="W373" s="10">
        <f t="shared" si="47"/>
        <v>0</v>
      </c>
      <c r="AK373" s="10" t="str">
        <f t="array" ref="AK373">IFERROR(INDEX(SelectedSpecies,SMALL(IF(SelectedSpecies=AK$1,ROW(SelectedSpecies)),ROW(374:374)),2),"")</f>
        <v/>
      </c>
      <c r="BE373" s="10"/>
      <c r="BI373" s="10"/>
    </row>
    <row r="374" spans="1:61" ht="21" customHeight="1" x14ac:dyDescent="0.25">
      <c r="A374" s="10"/>
      <c r="B374" s="10"/>
      <c r="E374" s="10"/>
      <c r="G374" s="10"/>
      <c r="I374" s="436" t="s">
        <v>3543</v>
      </c>
      <c r="J374" s="26" t="s">
        <v>3542</v>
      </c>
      <c r="K374" s="10">
        <v>8.4</v>
      </c>
      <c r="L374" s="73">
        <f>IF(Tank1!$C$23="No control",(SUMIF(Tank1!$B$32:$B$49,$J374,Tank1!$C$32:$C$49)*Impacts!$F$8),0)</f>
        <v>0</v>
      </c>
      <c r="M374" s="10">
        <f>IF(Tank2!$C$23="No control",(SUMIF(Tank2!$B$32:$B$49,$J374,Tank2!$C$32:$C$49)*Impacts!$F$9),0)</f>
        <v>0</v>
      </c>
      <c r="N374" s="10">
        <f>IF(Tank3!$C$23="No control",(SUMIF(Tank3!$B$32:$B$49,$J374,Tank3!$C$32:$C$49)*Impacts!$F$10),0)</f>
        <v>0</v>
      </c>
      <c r="O374" s="10">
        <f>IF(Tank4!$C$23="No control",(SUMIF(Tank4!$B$32:$B$49,$J374,Tank4!$C$32:$C$49)*Impacts!$F$11),0)</f>
        <v>0</v>
      </c>
      <c r="P374" s="10">
        <f>IF(Tank5!$C$23="No control",(SUMIF(Tank5!$B$32:$B$49,$J374,Tank5!$C$32:$C$49)*Impacts!$F$12),0)</f>
        <v>0</v>
      </c>
      <c r="Q374" s="10">
        <f>IFERROR(IF(('Loading-drum,tote'!$C$21)="No control",SUMIF(('Loading-drum,tote'!$B$31:$B$48),$J374,('Loading-drum,tote'!$D$31:$D$48))*Impacts!$F$13,IF(('Loading-drum,tote'!$C$21)&lt;&gt;"No control",SUMIF(('Loading-drum,tote'!$B$31:$B$48),$J374,('Loading-drum,tote'!$E$31:$E$48))*Impacts!$F$13,0)),0)</f>
        <v>0</v>
      </c>
      <c r="R374" s="10">
        <f>IFERROR(IF(('Loading-truck'!$C$21)="No control",SUMIF(('Loading-truck'!$B$31:$B$48),$J374,('Loading-truck'!$D$31:$D$48))*Impacts!$F$14,IF(('Loading-truck'!$C$21)&lt;&gt;"No control",SUMIF(('Loading-truck'!$B$31:$B$48),$J374,('Loading-truck'!$E$31:$E$48))*Impacts!$F$14,0)),0)</f>
        <v>0</v>
      </c>
      <c r="S374" s="10">
        <f>IFERROR(IF(('Loading-rail'!$C$21)="No control",SUMIF(('Loading-rail'!$B$31:$B$48),$J374,('Loading-rail'!$D$31:$D$48))*Impacts!$F$15,IF(('Loading-rail'!$C$21)&lt;&gt;"No control",SUMIF(('Loading-rail'!$B$31:$B$48),$J374,('Loading-rail'!$E$31:$E$48))*Impacts!$F$15,0)),0)</f>
        <v>0</v>
      </c>
      <c r="T374" s="10">
        <f>IF(Flare!$C$7="",0,(SUMIF(Flare!$B$46:$B$185,$J374,Flare!$E$46:$E$185)*Impacts!$F$16))</f>
        <v>0</v>
      </c>
      <c r="U374" s="10">
        <f>IF(VCU!$C$9="",0,(SUMIF(VCU!$B$51:$B$193,$J374,VCU!$E$51:$E$193)*Impacts!$F$17))</f>
        <v>0</v>
      </c>
      <c r="V374" s="10">
        <f>IF(CAS!$C$7="",0,(SUMIF(CAS!$B$31:$B$167,$J374,CAS!$E$31:$E$167)*Impacts!$F$18))</f>
        <v>0</v>
      </c>
      <c r="W374" s="10">
        <f t="shared" si="47"/>
        <v>0</v>
      </c>
      <c r="AK374" s="10" t="str">
        <f t="array" ref="AK374">IFERROR(INDEX(SelectedSpecies,SMALL(IF(SelectedSpecies=AK$1,ROW(SelectedSpecies)),ROW(375:375)),2),"")</f>
        <v/>
      </c>
      <c r="BE374" s="10"/>
      <c r="BI374" s="10"/>
    </row>
    <row r="375" spans="1:61" ht="21" customHeight="1" x14ac:dyDescent="0.25">
      <c r="A375" s="10"/>
      <c r="B375" s="10"/>
      <c r="E375" s="10"/>
      <c r="G375" s="10"/>
      <c r="I375" s="436" t="s">
        <v>1434</v>
      </c>
      <c r="J375" s="26" t="s">
        <v>1433</v>
      </c>
      <c r="K375" s="10">
        <v>30</v>
      </c>
      <c r="L375" s="73">
        <f>IF(Tank1!$C$23="No control",(SUMIF(Tank1!$B$32:$B$49,$J375,Tank1!$C$32:$C$49)*Impacts!$F$8),0)</f>
        <v>0</v>
      </c>
      <c r="M375" s="10">
        <f>IF(Tank2!$C$23="No control",(SUMIF(Tank2!$B$32:$B$49,$J375,Tank2!$C$32:$C$49)*Impacts!$F$9),0)</f>
        <v>0</v>
      </c>
      <c r="N375" s="10">
        <f>IF(Tank3!$C$23="No control",(SUMIF(Tank3!$B$32:$B$49,$J375,Tank3!$C$32:$C$49)*Impacts!$F$10),0)</f>
        <v>0</v>
      </c>
      <c r="O375" s="10">
        <f>IF(Tank4!$C$23="No control",(SUMIF(Tank4!$B$32:$B$49,$J375,Tank4!$C$32:$C$49)*Impacts!$F$11),0)</f>
        <v>0</v>
      </c>
      <c r="P375" s="10">
        <f>IF(Tank5!$C$23="No control",(SUMIF(Tank5!$B$32:$B$49,$J375,Tank5!$C$32:$C$49)*Impacts!$F$12),0)</f>
        <v>0</v>
      </c>
      <c r="Q375" s="10">
        <f>IFERROR(IF(('Loading-drum,tote'!$C$21)="No control",SUMIF(('Loading-drum,tote'!$B$31:$B$48),$J375,('Loading-drum,tote'!$D$31:$D$48))*Impacts!$F$13,IF(('Loading-drum,tote'!$C$21)&lt;&gt;"No control",SUMIF(('Loading-drum,tote'!$B$31:$B$48),$J375,('Loading-drum,tote'!$E$31:$E$48))*Impacts!$F$13,0)),0)</f>
        <v>0</v>
      </c>
      <c r="R375" s="10">
        <f>IFERROR(IF(('Loading-truck'!$C$21)="No control",SUMIF(('Loading-truck'!$B$31:$B$48),$J375,('Loading-truck'!$D$31:$D$48))*Impacts!$F$14,IF(('Loading-truck'!$C$21)&lt;&gt;"No control",SUMIF(('Loading-truck'!$B$31:$B$48),$J375,('Loading-truck'!$E$31:$E$48))*Impacts!$F$14,0)),0)</f>
        <v>0</v>
      </c>
      <c r="S375" s="10">
        <f>IFERROR(IF(('Loading-rail'!$C$21)="No control",SUMIF(('Loading-rail'!$B$31:$B$48),$J375,('Loading-rail'!$D$31:$D$48))*Impacts!$F$15,IF(('Loading-rail'!$C$21)&lt;&gt;"No control",SUMIF(('Loading-rail'!$B$31:$B$48),$J375,('Loading-rail'!$E$31:$E$48))*Impacts!$F$15,0)),0)</f>
        <v>0</v>
      </c>
      <c r="T375" s="10">
        <f>IF(Flare!$C$7="",0,(SUMIF(Flare!$B$46:$B$185,$J375,Flare!$E$46:$E$185)*Impacts!$F$16))</f>
        <v>0</v>
      </c>
      <c r="U375" s="10">
        <f>IF(VCU!$C$9="",0,(SUMIF(VCU!$B$51:$B$193,$J375,VCU!$E$51:$E$193)*Impacts!$F$17))</f>
        <v>0</v>
      </c>
      <c r="V375" s="10">
        <f>IF(CAS!$C$7="",0,(SUMIF(CAS!$B$31:$B$167,$J375,CAS!$E$31:$E$167)*Impacts!$F$18))</f>
        <v>0</v>
      </c>
      <c r="W375" s="10">
        <f t="shared" si="47"/>
        <v>0</v>
      </c>
      <c r="AK375" s="10" t="str">
        <f t="array" ref="AK375">IFERROR(INDEX(SelectedSpecies,SMALL(IF(SelectedSpecies=AK$1,ROW(SelectedSpecies)),ROW(376:376)),2),"")</f>
        <v/>
      </c>
      <c r="BE375" s="10"/>
      <c r="BI375" s="10"/>
    </row>
    <row r="376" spans="1:61" ht="21" customHeight="1" x14ac:dyDescent="0.25">
      <c r="A376" s="10"/>
      <c r="B376" s="10"/>
      <c r="E376" s="10"/>
      <c r="G376" s="10"/>
      <c r="I376" s="436" t="s">
        <v>932</v>
      </c>
      <c r="J376" s="26" t="s">
        <v>931</v>
      </c>
      <c r="K376" s="10">
        <v>43</v>
      </c>
      <c r="L376" s="73">
        <f>IF(Tank1!$C$23="No control",(SUMIF(Tank1!$B$32:$B$49,$J376,Tank1!$C$32:$C$49)*Impacts!$F$8),0)</f>
        <v>0</v>
      </c>
      <c r="M376" s="10">
        <f>IF(Tank2!$C$23="No control",(SUMIF(Tank2!$B$32:$B$49,$J376,Tank2!$C$32:$C$49)*Impacts!$F$9),0)</f>
        <v>0</v>
      </c>
      <c r="N376" s="10">
        <f>IF(Tank3!$C$23="No control",(SUMIF(Tank3!$B$32:$B$49,$J376,Tank3!$C$32:$C$49)*Impacts!$F$10),0)</f>
        <v>0</v>
      </c>
      <c r="O376" s="10">
        <f>IF(Tank4!$C$23="No control",(SUMIF(Tank4!$B$32:$B$49,$J376,Tank4!$C$32:$C$49)*Impacts!$F$11),0)</f>
        <v>0</v>
      </c>
      <c r="P376" s="10">
        <f>IF(Tank5!$C$23="No control",(SUMIF(Tank5!$B$32:$B$49,$J376,Tank5!$C$32:$C$49)*Impacts!$F$12),0)</f>
        <v>0</v>
      </c>
      <c r="Q376" s="10">
        <f>IFERROR(IF(('Loading-drum,tote'!$C$21)="No control",SUMIF(('Loading-drum,tote'!$B$31:$B$48),$J376,('Loading-drum,tote'!$D$31:$D$48))*Impacts!$F$13,IF(('Loading-drum,tote'!$C$21)&lt;&gt;"No control",SUMIF(('Loading-drum,tote'!$B$31:$B$48),$J376,('Loading-drum,tote'!$E$31:$E$48))*Impacts!$F$13,0)),0)</f>
        <v>0</v>
      </c>
      <c r="R376" s="10">
        <f>IFERROR(IF(('Loading-truck'!$C$21)="No control",SUMIF(('Loading-truck'!$B$31:$B$48),$J376,('Loading-truck'!$D$31:$D$48))*Impacts!$F$14,IF(('Loading-truck'!$C$21)&lt;&gt;"No control",SUMIF(('Loading-truck'!$B$31:$B$48),$J376,('Loading-truck'!$E$31:$E$48))*Impacts!$F$14,0)),0)</f>
        <v>0</v>
      </c>
      <c r="S376" s="10">
        <f>IFERROR(IF(('Loading-rail'!$C$21)="No control",SUMIF(('Loading-rail'!$B$31:$B$48),$J376,('Loading-rail'!$D$31:$D$48))*Impacts!$F$15,IF(('Loading-rail'!$C$21)&lt;&gt;"No control",SUMIF(('Loading-rail'!$B$31:$B$48),$J376,('Loading-rail'!$E$31:$E$48))*Impacts!$F$15,0)),0)</f>
        <v>0</v>
      </c>
      <c r="T376" s="10">
        <f>IF(Flare!$C$7="",0,(SUMIF(Flare!$B$46:$B$185,$J376,Flare!$E$46:$E$185)*Impacts!$F$16))</f>
        <v>0</v>
      </c>
      <c r="U376" s="10">
        <f>IF(VCU!$C$9="",0,(SUMIF(VCU!$B$51:$B$193,$J376,VCU!$E$51:$E$193)*Impacts!$F$17))</f>
        <v>0</v>
      </c>
      <c r="V376" s="10">
        <f>IF(CAS!$C$7="",0,(SUMIF(CAS!$B$31:$B$167,$J376,CAS!$E$31:$E$167)*Impacts!$F$18))</f>
        <v>0</v>
      </c>
      <c r="W376" s="10">
        <f t="shared" si="47"/>
        <v>0</v>
      </c>
      <c r="AK376" s="10" t="str">
        <f t="array" ref="AK376">IFERROR(INDEX(SelectedSpecies,SMALL(IF(SelectedSpecies=AK$1,ROW(SelectedSpecies)),ROW(377:377)),2),"")</f>
        <v/>
      </c>
      <c r="BE376" s="10"/>
      <c r="BI376" s="10"/>
    </row>
    <row r="377" spans="1:61" ht="21" customHeight="1" x14ac:dyDescent="0.25">
      <c r="A377" s="10"/>
      <c r="B377" s="10"/>
      <c r="E377" s="10"/>
      <c r="G377" s="10"/>
      <c r="I377" s="436" t="s">
        <v>4483</v>
      </c>
      <c r="J377" s="26" t="s">
        <v>4482</v>
      </c>
      <c r="K377" s="10">
        <v>9</v>
      </c>
      <c r="L377" s="73">
        <f>IF(Tank1!$C$23="No control",(SUMIF(Tank1!$B$32:$B$49,$J377,Tank1!$C$32:$C$49)*Impacts!$F$8),0)</f>
        <v>0</v>
      </c>
      <c r="M377" s="10">
        <f>IF(Tank2!$C$23="No control",(SUMIF(Tank2!$B$32:$B$49,$J377,Tank2!$C$32:$C$49)*Impacts!$F$9),0)</f>
        <v>0</v>
      </c>
      <c r="N377" s="10">
        <f>IF(Tank3!$C$23="No control",(SUMIF(Tank3!$B$32:$B$49,$J377,Tank3!$C$32:$C$49)*Impacts!$F$10),0)</f>
        <v>0</v>
      </c>
      <c r="O377" s="10">
        <f>IF(Tank4!$C$23="No control",(SUMIF(Tank4!$B$32:$B$49,$J377,Tank4!$C$32:$C$49)*Impacts!$F$11),0)</f>
        <v>0</v>
      </c>
      <c r="P377" s="10">
        <f>IF(Tank5!$C$23="No control",(SUMIF(Tank5!$B$32:$B$49,$J377,Tank5!$C$32:$C$49)*Impacts!$F$12),0)</f>
        <v>0</v>
      </c>
      <c r="Q377" s="10">
        <f>IFERROR(IF(('Loading-drum,tote'!$C$21)="No control",SUMIF(('Loading-drum,tote'!$B$31:$B$48),$J377,('Loading-drum,tote'!$D$31:$D$48))*Impacts!$F$13,IF(('Loading-drum,tote'!$C$21)&lt;&gt;"No control",SUMIF(('Loading-drum,tote'!$B$31:$B$48),$J377,('Loading-drum,tote'!$E$31:$E$48))*Impacts!$F$13,0)),0)</f>
        <v>0</v>
      </c>
      <c r="R377" s="10">
        <f>IFERROR(IF(('Loading-truck'!$C$21)="No control",SUMIF(('Loading-truck'!$B$31:$B$48),$J377,('Loading-truck'!$D$31:$D$48))*Impacts!$F$14,IF(('Loading-truck'!$C$21)&lt;&gt;"No control",SUMIF(('Loading-truck'!$B$31:$B$48),$J377,('Loading-truck'!$E$31:$E$48))*Impacts!$F$14,0)),0)</f>
        <v>0</v>
      </c>
      <c r="S377" s="10">
        <f>IFERROR(IF(('Loading-rail'!$C$21)="No control",SUMIF(('Loading-rail'!$B$31:$B$48),$J377,('Loading-rail'!$D$31:$D$48))*Impacts!$F$15,IF(('Loading-rail'!$C$21)&lt;&gt;"No control",SUMIF(('Loading-rail'!$B$31:$B$48),$J377,('Loading-rail'!$E$31:$E$48))*Impacts!$F$15,0)),0)</f>
        <v>0</v>
      </c>
      <c r="T377" s="10">
        <f>IF(Flare!$C$7="",0,(SUMIF(Flare!$B$46:$B$185,$J377,Flare!$E$46:$E$185)*Impacts!$F$16))</f>
        <v>0</v>
      </c>
      <c r="U377" s="10">
        <f>IF(VCU!$C$9="",0,(SUMIF(VCU!$B$51:$B$193,$J377,VCU!$E$51:$E$193)*Impacts!$F$17))</f>
        <v>0</v>
      </c>
      <c r="V377" s="10">
        <f>IF(CAS!$C$7="",0,(SUMIF(CAS!$B$31:$B$167,$J377,CAS!$E$31:$E$167)*Impacts!$F$18))</f>
        <v>0</v>
      </c>
      <c r="W377" s="10">
        <f t="shared" si="47"/>
        <v>0</v>
      </c>
      <c r="AK377" s="10" t="str">
        <f t="array" ref="AK377">IFERROR(INDEX(SelectedSpecies,SMALL(IF(SelectedSpecies=AK$1,ROW(SelectedSpecies)),ROW(378:378)),2),"")</f>
        <v/>
      </c>
      <c r="BE377" s="10"/>
      <c r="BI377" s="10"/>
    </row>
    <row r="378" spans="1:61" ht="21" customHeight="1" x14ac:dyDescent="0.25">
      <c r="A378" s="10"/>
      <c r="B378" s="10"/>
      <c r="E378" s="10"/>
      <c r="G378" s="10"/>
      <c r="I378" s="436" t="s">
        <v>822</v>
      </c>
      <c r="J378" s="26" t="s">
        <v>821</v>
      </c>
      <c r="K378" s="10">
        <v>48</v>
      </c>
      <c r="L378" s="73">
        <f>IF(Tank1!$C$23="No control",(SUMIF(Tank1!$B$32:$B$49,$J378,Tank1!$C$32:$C$49)*Impacts!$F$8),0)</f>
        <v>0</v>
      </c>
      <c r="M378" s="10">
        <f>IF(Tank2!$C$23="No control",(SUMIF(Tank2!$B$32:$B$49,$J378,Tank2!$C$32:$C$49)*Impacts!$F$9),0)</f>
        <v>0</v>
      </c>
      <c r="N378" s="10">
        <f>IF(Tank3!$C$23="No control",(SUMIF(Tank3!$B$32:$B$49,$J378,Tank3!$C$32:$C$49)*Impacts!$F$10),0)</f>
        <v>0</v>
      </c>
      <c r="O378" s="10">
        <f>IF(Tank4!$C$23="No control",(SUMIF(Tank4!$B$32:$B$49,$J378,Tank4!$C$32:$C$49)*Impacts!$F$11),0)</f>
        <v>0</v>
      </c>
      <c r="P378" s="10">
        <f>IF(Tank5!$C$23="No control",(SUMIF(Tank5!$B$32:$B$49,$J378,Tank5!$C$32:$C$49)*Impacts!$F$12),0)</f>
        <v>0</v>
      </c>
      <c r="Q378" s="10">
        <f>IFERROR(IF(('Loading-drum,tote'!$C$21)="No control",SUMIF(('Loading-drum,tote'!$B$31:$B$48),$J378,('Loading-drum,tote'!$D$31:$D$48))*Impacts!$F$13,IF(('Loading-drum,tote'!$C$21)&lt;&gt;"No control",SUMIF(('Loading-drum,tote'!$B$31:$B$48),$J378,('Loading-drum,tote'!$E$31:$E$48))*Impacts!$F$13,0)),0)</f>
        <v>0</v>
      </c>
      <c r="R378" s="10">
        <f>IFERROR(IF(('Loading-truck'!$C$21)="No control",SUMIF(('Loading-truck'!$B$31:$B$48),$J378,('Loading-truck'!$D$31:$D$48))*Impacts!$F$14,IF(('Loading-truck'!$C$21)&lt;&gt;"No control",SUMIF(('Loading-truck'!$B$31:$B$48),$J378,('Loading-truck'!$E$31:$E$48))*Impacts!$F$14,0)),0)</f>
        <v>0</v>
      </c>
      <c r="S378" s="10">
        <f>IFERROR(IF(('Loading-rail'!$C$21)="No control",SUMIF(('Loading-rail'!$B$31:$B$48),$J378,('Loading-rail'!$D$31:$D$48))*Impacts!$F$15,IF(('Loading-rail'!$C$21)&lt;&gt;"No control",SUMIF(('Loading-rail'!$B$31:$B$48),$J378,('Loading-rail'!$E$31:$E$48))*Impacts!$F$15,0)),0)</f>
        <v>0</v>
      </c>
      <c r="T378" s="10">
        <f>IF(Flare!$C$7="",0,(SUMIF(Flare!$B$46:$B$185,$J378,Flare!$E$46:$E$185)*Impacts!$F$16))</f>
        <v>0</v>
      </c>
      <c r="U378" s="10">
        <f>IF(VCU!$C$9="",0,(SUMIF(VCU!$B$51:$B$193,$J378,VCU!$E$51:$E$193)*Impacts!$F$17))</f>
        <v>0</v>
      </c>
      <c r="V378" s="10">
        <f>IF(CAS!$C$7="",0,(SUMIF(CAS!$B$31:$B$167,$J378,CAS!$E$31:$E$167)*Impacts!$F$18))</f>
        <v>0</v>
      </c>
      <c r="W378" s="10">
        <f t="shared" si="47"/>
        <v>0</v>
      </c>
      <c r="AK378" s="10" t="str">
        <f t="array" ref="AK378">IFERROR(INDEX(SelectedSpecies,SMALL(IF(SelectedSpecies=AK$1,ROW(SelectedSpecies)),ROW(379:379)),2),"")</f>
        <v/>
      </c>
      <c r="BE378" s="10"/>
      <c r="BI378" s="10"/>
    </row>
    <row r="379" spans="1:61" ht="21" customHeight="1" x14ac:dyDescent="0.25">
      <c r="A379" s="10"/>
      <c r="B379" s="10"/>
      <c r="E379" s="10"/>
      <c r="G379" s="10"/>
      <c r="I379" s="436" t="s">
        <v>6684</v>
      </c>
      <c r="J379" s="26" t="s">
        <v>6683</v>
      </c>
      <c r="K379" s="10">
        <v>0.54</v>
      </c>
      <c r="L379" s="73">
        <f>IF(Tank1!$C$23="No control",(SUMIF(Tank1!$B$32:$B$49,$J379,Tank1!$C$32:$C$49)*Impacts!$F$8),0)</f>
        <v>0</v>
      </c>
      <c r="M379" s="10">
        <f>IF(Tank2!$C$23="No control",(SUMIF(Tank2!$B$32:$B$49,$J379,Tank2!$C$32:$C$49)*Impacts!$F$9),0)</f>
        <v>0</v>
      </c>
      <c r="N379" s="10">
        <f>IF(Tank3!$C$23="No control",(SUMIF(Tank3!$B$32:$B$49,$J379,Tank3!$C$32:$C$49)*Impacts!$F$10),0)</f>
        <v>0</v>
      </c>
      <c r="O379" s="10">
        <f>IF(Tank4!$C$23="No control",(SUMIF(Tank4!$B$32:$B$49,$J379,Tank4!$C$32:$C$49)*Impacts!$F$11),0)</f>
        <v>0</v>
      </c>
      <c r="P379" s="10">
        <f>IF(Tank5!$C$23="No control",(SUMIF(Tank5!$B$32:$B$49,$J379,Tank5!$C$32:$C$49)*Impacts!$F$12),0)</f>
        <v>0</v>
      </c>
      <c r="Q379" s="10">
        <f>IFERROR(IF(('Loading-drum,tote'!$C$21)="No control",SUMIF(('Loading-drum,tote'!$B$31:$B$48),$J379,('Loading-drum,tote'!$D$31:$D$48))*Impacts!$F$13,IF(('Loading-drum,tote'!$C$21)&lt;&gt;"No control",SUMIF(('Loading-drum,tote'!$B$31:$B$48),$J379,('Loading-drum,tote'!$E$31:$E$48))*Impacts!$F$13,0)),0)</f>
        <v>0</v>
      </c>
      <c r="R379" s="10">
        <f>IFERROR(IF(('Loading-truck'!$C$21)="No control",SUMIF(('Loading-truck'!$B$31:$B$48),$J379,('Loading-truck'!$D$31:$D$48))*Impacts!$F$14,IF(('Loading-truck'!$C$21)&lt;&gt;"No control",SUMIF(('Loading-truck'!$B$31:$B$48),$J379,('Loading-truck'!$E$31:$E$48))*Impacts!$F$14,0)),0)</f>
        <v>0</v>
      </c>
      <c r="S379" s="10">
        <f>IFERROR(IF(('Loading-rail'!$C$21)="No control",SUMIF(('Loading-rail'!$B$31:$B$48),$J379,('Loading-rail'!$D$31:$D$48))*Impacts!$F$15,IF(('Loading-rail'!$C$21)&lt;&gt;"No control",SUMIF(('Loading-rail'!$B$31:$B$48),$J379,('Loading-rail'!$E$31:$E$48))*Impacts!$F$15,0)),0)</f>
        <v>0</v>
      </c>
      <c r="T379" s="10">
        <f>IF(Flare!$C$7="",0,(SUMIF(Flare!$B$46:$B$185,$J379,Flare!$E$46:$E$185)*Impacts!$F$16))</f>
        <v>0</v>
      </c>
      <c r="U379" s="10">
        <f>IF(VCU!$C$9="",0,(SUMIF(VCU!$B$51:$B$193,$J379,VCU!$E$51:$E$193)*Impacts!$F$17))</f>
        <v>0</v>
      </c>
      <c r="V379" s="10">
        <f>IF(CAS!$C$7="",0,(SUMIF(CAS!$B$31:$B$167,$J379,CAS!$E$31:$E$167)*Impacts!$F$18))</f>
        <v>0</v>
      </c>
      <c r="W379" s="10">
        <f t="shared" si="47"/>
        <v>0</v>
      </c>
      <c r="AK379" s="10" t="str">
        <f t="array" ref="AK379">IFERROR(INDEX(SelectedSpecies,SMALL(IF(SelectedSpecies=AK$1,ROW(SelectedSpecies)),ROW(380:380)),2),"")</f>
        <v/>
      </c>
      <c r="BE379" s="10"/>
      <c r="BI379" s="10"/>
    </row>
    <row r="380" spans="1:61" ht="21" customHeight="1" x14ac:dyDescent="0.25">
      <c r="A380" s="10"/>
      <c r="B380" s="10"/>
      <c r="E380" s="10"/>
      <c r="G380" s="10"/>
      <c r="I380" s="436" t="s">
        <v>5067</v>
      </c>
      <c r="J380" s="26" t="s">
        <v>5066</v>
      </c>
      <c r="K380" s="10">
        <v>2.2000000000000002</v>
      </c>
      <c r="L380" s="73">
        <f>IF(Tank1!$C$23="No control",(SUMIF(Tank1!$B$32:$B$49,$J380,Tank1!$C$32:$C$49)*Impacts!$F$8),0)</f>
        <v>0</v>
      </c>
      <c r="M380" s="10">
        <f>IF(Tank2!$C$23="No control",(SUMIF(Tank2!$B$32:$B$49,$J380,Tank2!$C$32:$C$49)*Impacts!$F$9),0)</f>
        <v>0</v>
      </c>
      <c r="N380" s="10">
        <f>IF(Tank3!$C$23="No control",(SUMIF(Tank3!$B$32:$B$49,$J380,Tank3!$C$32:$C$49)*Impacts!$F$10),0)</f>
        <v>0</v>
      </c>
      <c r="O380" s="10">
        <f>IF(Tank4!$C$23="No control",(SUMIF(Tank4!$B$32:$B$49,$J380,Tank4!$C$32:$C$49)*Impacts!$F$11),0)</f>
        <v>0</v>
      </c>
      <c r="P380" s="10">
        <f>IF(Tank5!$C$23="No control",(SUMIF(Tank5!$B$32:$B$49,$J380,Tank5!$C$32:$C$49)*Impacts!$F$12),0)</f>
        <v>0</v>
      </c>
      <c r="Q380" s="10">
        <f>IFERROR(IF(('Loading-drum,tote'!$C$21)="No control",SUMIF(('Loading-drum,tote'!$B$31:$B$48),$J380,('Loading-drum,tote'!$D$31:$D$48))*Impacts!$F$13,IF(('Loading-drum,tote'!$C$21)&lt;&gt;"No control",SUMIF(('Loading-drum,tote'!$B$31:$B$48),$J380,('Loading-drum,tote'!$E$31:$E$48))*Impacts!$F$13,0)),0)</f>
        <v>0</v>
      </c>
      <c r="R380" s="10">
        <f>IFERROR(IF(('Loading-truck'!$C$21)="No control",SUMIF(('Loading-truck'!$B$31:$B$48),$J380,('Loading-truck'!$D$31:$D$48))*Impacts!$F$14,IF(('Loading-truck'!$C$21)&lt;&gt;"No control",SUMIF(('Loading-truck'!$B$31:$B$48),$J380,('Loading-truck'!$E$31:$E$48))*Impacts!$F$14,0)),0)</f>
        <v>0</v>
      </c>
      <c r="S380" s="10">
        <f>IFERROR(IF(('Loading-rail'!$C$21)="No control",SUMIF(('Loading-rail'!$B$31:$B$48),$J380,('Loading-rail'!$D$31:$D$48))*Impacts!$F$15,IF(('Loading-rail'!$C$21)&lt;&gt;"No control",SUMIF(('Loading-rail'!$B$31:$B$48),$J380,('Loading-rail'!$E$31:$E$48))*Impacts!$F$15,0)),0)</f>
        <v>0</v>
      </c>
      <c r="T380" s="10">
        <f>IF(Flare!$C$7="",0,(SUMIF(Flare!$B$46:$B$185,$J380,Flare!$E$46:$E$185)*Impacts!$F$16))</f>
        <v>0</v>
      </c>
      <c r="U380" s="10">
        <f>IF(VCU!$C$9="",0,(SUMIF(VCU!$B$51:$B$193,$J380,VCU!$E$51:$E$193)*Impacts!$F$17))</f>
        <v>0</v>
      </c>
      <c r="V380" s="10">
        <f>IF(CAS!$C$7="",0,(SUMIF(CAS!$B$31:$B$167,$J380,CAS!$E$31:$E$167)*Impacts!$F$18))</f>
        <v>0</v>
      </c>
      <c r="W380" s="10">
        <f t="shared" si="47"/>
        <v>0</v>
      </c>
      <c r="AK380" s="10" t="str">
        <f t="array" ref="AK380">IFERROR(INDEX(SelectedSpecies,SMALL(IF(SelectedSpecies=AK$1,ROW(SelectedSpecies)),ROW(381:381)),2),"")</f>
        <v/>
      </c>
      <c r="BE380" s="10"/>
      <c r="BI380" s="10"/>
    </row>
    <row r="381" spans="1:61" ht="21" customHeight="1" x14ac:dyDescent="0.25">
      <c r="A381" s="10"/>
      <c r="B381" s="10"/>
      <c r="E381" s="10"/>
      <c r="G381" s="10"/>
      <c r="I381" s="436" t="s">
        <v>584</v>
      </c>
      <c r="J381" s="26" t="s">
        <v>583</v>
      </c>
      <c r="K381" s="10">
        <v>83.5</v>
      </c>
      <c r="L381" s="73">
        <f>IF(Tank1!$C$23="No control",(SUMIF(Tank1!$B$32:$B$49,$J381,Tank1!$C$32:$C$49)*Impacts!$F$8),0)</f>
        <v>0</v>
      </c>
      <c r="M381" s="10">
        <f>IF(Tank2!$C$23="No control",(SUMIF(Tank2!$B$32:$B$49,$J381,Tank2!$C$32:$C$49)*Impacts!$F$9),0)</f>
        <v>0</v>
      </c>
      <c r="N381" s="10">
        <f>IF(Tank3!$C$23="No control",(SUMIF(Tank3!$B$32:$B$49,$J381,Tank3!$C$32:$C$49)*Impacts!$F$10),0)</f>
        <v>0</v>
      </c>
      <c r="O381" s="10">
        <f>IF(Tank4!$C$23="No control",(SUMIF(Tank4!$B$32:$B$49,$J381,Tank4!$C$32:$C$49)*Impacts!$F$11),0)</f>
        <v>0</v>
      </c>
      <c r="P381" s="10">
        <f>IF(Tank5!$C$23="No control",(SUMIF(Tank5!$B$32:$B$49,$J381,Tank5!$C$32:$C$49)*Impacts!$F$12),0)</f>
        <v>0</v>
      </c>
      <c r="Q381" s="10">
        <f>IFERROR(IF(('Loading-drum,tote'!$C$21)="No control",SUMIF(('Loading-drum,tote'!$B$31:$B$48),$J381,('Loading-drum,tote'!$D$31:$D$48))*Impacts!$F$13,IF(('Loading-drum,tote'!$C$21)&lt;&gt;"No control",SUMIF(('Loading-drum,tote'!$B$31:$B$48),$J381,('Loading-drum,tote'!$E$31:$E$48))*Impacts!$F$13,0)),0)</f>
        <v>0</v>
      </c>
      <c r="R381" s="10">
        <f>IFERROR(IF(('Loading-truck'!$C$21)="No control",SUMIF(('Loading-truck'!$B$31:$B$48),$J381,('Loading-truck'!$D$31:$D$48))*Impacts!$F$14,IF(('Loading-truck'!$C$21)&lt;&gt;"No control",SUMIF(('Loading-truck'!$B$31:$B$48),$J381,('Loading-truck'!$E$31:$E$48))*Impacts!$F$14,0)),0)</f>
        <v>0</v>
      </c>
      <c r="S381" s="10">
        <f>IFERROR(IF(('Loading-rail'!$C$21)="No control",SUMIF(('Loading-rail'!$B$31:$B$48),$J381,('Loading-rail'!$D$31:$D$48))*Impacts!$F$15,IF(('Loading-rail'!$C$21)&lt;&gt;"No control",SUMIF(('Loading-rail'!$B$31:$B$48),$J381,('Loading-rail'!$E$31:$E$48))*Impacts!$F$15,0)),0)</f>
        <v>0</v>
      </c>
      <c r="T381" s="10">
        <f>IF(Flare!$C$7="",0,(SUMIF(Flare!$B$46:$B$185,$J381,Flare!$E$46:$E$185)*Impacts!$F$16))</f>
        <v>0</v>
      </c>
      <c r="U381" s="10">
        <f>IF(VCU!$C$9="",0,(SUMIF(VCU!$B$51:$B$193,$J381,VCU!$E$51:$E$193)*Impacts!$F$17))</f>
        <v>0</v>
      </c>
      <c r="V381" s="10">
        <f>IF(CAS!$C$7="",0,(SUMIF(CAS!$B$31:$B$167,$J381,CAS!$E$31:$E$167)*Impacts!$F$18))</f>
        <v>0</v>
      </c>
      <c r="W381" s="10">
        <f t="shared" si="47"/>
        <v>0</v>
      </c>
      <c r="AK381" s="10" t="str">
        <f t="array" ref="AK381">IFERROR(INDEX(SelectedSpecies,SMALL(IF(SelectedSpecies=AK$1,ROW(SelectedSpecies)),ROW(382:382)),2),"")</f>
        <v/>
      </c>
      <c r="BE381" s="10"/>
      <c r="BI381" s="10"/>
    </row>
    <row r="382" spans="1:61" ht="21" customHeight="1" x14ac:dyDescent="0.25">
      <c r="A382" s="10"/>
      <c r="B382" s="10"/>
      <c r="E382" s="10"/>
      <c r="G382" s="10"/>
      <c r="I382" s="436" t="s">
        <v>7570</v>
      </c>
      <c r="J382" s="26" t="s">
        <v>7569</v>
      </c>
      <c r="K382" s="10">
        <v>0.18000000000000002</v>
      </c>
      <c r="L382" s="73">
        <f>IF(Tank1!$C$23="No control",(SUMIF(Tank1!$B$32:$B$49,$J382,Tank1!$C$32:$C$49)*Impacts!$F$8),0)</f>
        <v>0</v>
      </c>
      <c r="M382" s="10">
        <f>IF(Tank2!$C$23="No control",(SUMIF(Tank2!$B$32:$B$49,$J382,Tank2!$C$32:$C$49)*Impacts!$F$9),0)</f>
        <v>0</v>
      </c>
      <c r="N382" s="10">
        <f>IF(Tank3!$C$23="No control",(SUMIF(Tank3!$B$32:$B$49,$J382,Tank3!$C$32:$C$49)*Impacts!$F$10),0)</f>
        <v>0</v>
      </c>
      <c r="O382" s="10">
        <f>IF(Tank4!$C$23="No control",(SUMIF(Tank4!$B$32:$B$49,$J382,Tank4!$C$32:$C$49)*Impacts!$F$11),0)</f>
        <v>0</v>
      </c>
      <c r="P382" s="10">
        <f>IF(Tank5!$C$23="No control",(SUMIF(Tank5!$B$32:$B$49,$J382,Tank5!$C$32:$C$49)*Impacts!$F$12),0)</f>
        <v>0</v>
      </c>
      <c r="Q382" s="10">
        <f>IFERROR(IF(('Loading-drum,tote'!$C$21)="No control",SUMIF(('Loading-drum,tote'!$B$31:$B$48),$J382,('Loading-drum,tote'!$D$31:$D$48))*Impacts!$F$13,IF(('Loading-drum,tote'!$C$21)&lt;&gt;"No control",SUMIF(('Loading-drum,tote'!$B$31:$B$48),$J382,('Loading-drum,tote'!$E$31:$E$48))*Impacts!$F$13,0)),0)</f>
        <v>0</v>
      </c>
      <c r="R382" s="10">
        <f>IFERROR(IF(('Loading-truck'!$C$21)="No control",SUMIF(('Loading-truck'!$B$31:$B$48),$J382,('Loading-truck'!$D$31:$D$48))*Impacts!$F$14,IF(('Loading-truck'!$C$21)&lt;&gt;"No control",SUMIF(('Loading-truck'!$B$31:$B$48),$J382,('Loading-truck'!$E$31:$E$48))*Impacts!$F$14,0)),0)</f>
        <v>0</v>
      </c>
      <c r="S382" s="10">
        <f>IFERROR(IF(('Loading-rail'!$C$21)="No control",SUMIF(('Loading-rail'!$B$31:$B$48),$J382,('Loading-rail'!$D$31:$D$48))*Impacts!$F$15,IF(('Loading-rail'!$C$21)&lt;&gt;"No control",SUMIF(('Loading-rail'!$B$31:$B$48),$J382,('Loading-rail'!$E$31:$E$48))*Impacts!$F$15,0)),0)</f>
        <v>0</v>
      </c>
      <c r="T382" s="10">
        <f>IF(Flare!$C$7="",0,(SUMIF(Flare!$B$46:$B$185,$J382,Flare!$E$46:$E$185)*Impacts!$F$16))</f>
        <v>0</v>
      </c>
      <c r="U382" s="10">
        <f>IF(VCU!$C$9="",0,(SUMIF(VCU!$B$51:$B$193,$J382,VCU!$E$51:$E$193)*Impacts!$F$17))</f>
        <v>0</v>
      </c>
      <c r="V382" s="10">
        <f>IF(CAS!$C$7="",0,(SUMIF(CAS!$B$31:$B$167,$J382,CAS!$E$31:$E$167)*Impacts!$F$18))</f>
        <v>0</v>
      </c>
      <c r="W382" s="10">
        <f t="shared" si="47"/>
        <v>0</v>
      </c>
      <c r="AK382" s="10" t="str">
        <f t="array" ref="AK382">IFERROR(INDEX(SelectedSpecies,SMALL(IF(SelectedSpecies=AK$1,ROW(SelectedSpecies)),ROW(383:383)),2),"")</f>
        <v/>
      </c>
      <c r="BE382" s="10"/>
      <c r="BI382" s="10"/>
    </row>
    <row r="383" spans="1:61" ht="21" customHeight="1" x14ac:dyDescent="0.25">
      <c r="A383" s="10"/>
      <c r="B383" s="10"/>
      <c r="E383" s="10"/>
      <c r="G383" s="10"/>
      <c r="I383" s="436" t="s">
        <v>1823</v>
      </c>
      <c r="J383" s="26" t="s">
        <v>1822</v>
      </c>
      <c r="K383" s="10">
        <v>20</v>
      </c>
      <c r="L383" s="73">
        <f>IF(Tank1!$C$23="No control",(SUMIF(Tank1!$B$32:$B$49,$J383,Tank1!$C$32:$C$49)*Impacts!$F$8),0)</f>
        <v>0</v>
      </c>
      <c r="M383" s="10">
        <f>IF(Tank2!$C$23="No control",(SUMIF(Tank2!$B$32:$B$49,$J383,Tank2!$C$32:$C$49)*Impacts!$F$9),0)</f>
        <v>0</v>
      </c>
      <c r="N383" s="10">
        <f>IF(Tank3!$C$23="No control",(SUMIF(Tank3!$B$32:$B$49,$J383,Tank3!$C$32:$C$49)*Impacts!$F$10),0)</f>
        <v>0</v>
      </c>
      <c r="O383" s="10">
        <f>IF(Tank4!$C$23="No control",(SUMIF(Tank4!$B$32:$B$49,$J383,Tank4!$C$32:$C$49)*Impacts!$F$11),0)</f>
        <v>0</v>
      </c>
      <c r="P383" s="10">
        <f>IF(Tank5!$C$23="No control",(SUMIF(Tank5!$B$32:$B$49,$J383,Tank5!$C$32:$C$49)*Impacts!$F$12),0)</f>
        <v>0</v>
      </c>
      <c r="Q383" s="10">
        <f>IFERROR(IF(('Loading-drum,tote'!$C$21)="No control",SUMIF(('Loading-drum,tote'!$B$31:$B$48),$J383,('Loading-drum,tote'!$D$31:$D$48))*Impacts!$F$13,IF(('Loading-drum,tote'!$C$21)&lt;&gt;"No control",SUMIF(('Loading-drum,tote'!$B$31:$B$48),$J383,('Loading-drum,tote'!$E$31:$E$48))*Impacts!$F$13,0)),0)</f>
        <v>0</v>
      </c>
      <c r="R383" s="10">
        <f>IFERROR(IF(('Loading-truck'!$C$21)="No control",SUMIF(('Loading-truck'!$B$31:$B$48),$J383,('Loading-truck'!$D$31:$D$48))*Impacts!$F$14,IF(('Loading-truck'!$C$21)&lt;&gt;"No control",SUMIF(('Loading-truck'!$B$31:$B$48),$J383,('Loading-truck'!$E$31:$E$48))*Impacts!$F$14,0)),0)</f>
        <v>0</v>
      </c>
      <c r="S383" s="10">
        <f>IFERROR(IF(('Loading-rail'!$C$21)="No control",SUMIF(('Loading-rail'!$B$31:$B$48),$J383,('Loading-rail'!$D$31:$D$48))*Impacts!$F$15,IF(('Loading-rail'!$C$21)&lt;&gt;"No control",SUMIF(('Loading-rail'!$B$31:$B$48),$J383,('Loading-rail'!$E$31:$E$48))*Impacts!$F$15,0)),0)</f>
        <v>0</v>
      </c>
      <c r="T383" s="10">
        <f>IF(Flare!$C$7="",0,(SUMIF(Flare!$B$46:$B$185,$J383,Flare!$E$46:$E$185)*Impacts!$F$16))</f>
        <v>0</v>
      </c>
      <c r="U383" s="10">
        <f>IF(VCU!$C$9="",0,(SUMIF(VCU!$B$51:$B$193,$J383,VCU!$E$51:$E$193)*Impacts!$F$17))</f>
        <v>0</v>
      </c>
      <c r="V383" s="10">
        <f>IF(CAS!$C$7="",0,(SUMIF(CAS!$B$31:$B$167,$J383,CAS!$E$31:$E$167)*Impacts!$F$18))</f>
        <v>0</v>
      </c>
      <c r="W383" s="10">
        <f t="shared" si="47"/>
        <v>0</v>
      </c>
      <c r="AK383" s="10" t="str">
        <f t="array" ref="AK383">IFERROR(INDEX(SelectedSpecies,SMALL(IF(SelectedSpecies=AK$1,ROW(SelectedSpecies)),ROW(384:384)),2),"")</f>
        <v/>
      </c>
      <c r="BE383" s="10"/>
      <c r="BI383" s="10"/>
    </row>
    <row r="384" spans="1:61" ht="21" customHeight="1" x14ac:dyDescent="0.25">
      <c r="A384" s="10"/>
      <c r="B384" s="10"/>
      <c r="E384" s="10"/>
      <c r="G384" s="10"/>
      <c r="I384" s="436" t="s">
        <v>297</v>
      </c>
      <c r="J384" s="26" t="s">
        <v>296</v>
      </c>
      <c r="K384" s="10">
        <v>710</v>
      </c>
      <c r="L384" s="73">
        <f>IF(Tank1!$C$23="No control",(SUMIF(Tank1!$B$32:$B$49,$J384,Tank1!$C$32:$C$49)*Impacts!$F$8),0)</f>
        <v>0</v>
      </c>
      <c r="M384" s="10">
        <f>IF(Tank2!$C$23="No control",(SUMIF(Tank2!$B$32:$B$49,$J384,Tank2!$C$32:$C$49)*Impacts!$F$9),0)</f>
        <v>0</v>
      </c>
      <c r="N384" s="10">
        <f>IF(Tank3!$C$23="No control",(SUMIF(Tank3!$B$32:$B$49,$J384,Tank3!$C$32:$C$49)*Impacts!$F$10),0)</f>
        <v>0</v>
      </c>
      <c r="O384" s="10">
        <f>IF(Tank4!$C$23="No control",(SUMIF(Tank4!$B$32:$B$49,$J384,Tank4!$C$32:$C$49)*Impacts!$F$11),0)</f>
        <v>0</v>
      </c>
      <c r="P384" s="10">
        <f>IF(Tank5!$C$23="No control",(SUMIF(Tank5!$B$32:$B$49,$J384,Tank5!$C$32:$C$49)*Impacts!$F$12),0)</f>
        <v>0</v>
      </c>
      <c r="Q384" s="10">
        <f>IFERROR(IF(('Loading-drum,tote'!$C$21)="No control",SUMIF(('Loading-drum,tote'!$B$31:$B$48),$J384,('Loading-drum,tote'!$D$31:$D$48))*Impacts!$F$13,IF(('Loading-drum,tote'!$C$21)&lt;&gt;"No control",SUMIF(('Loading-drum,tote'!$B$31:$B$48),$J384,('Loading-drum,tote'!$E$31:$E$48))*Impacts!$F$13,0)),0)</f>
        <v>0</v>
      </c>
      <c r="R384" s="10">
        <f>IFERROR(IF(('Loading-truck'!$C$21)="No control",SUMIF(('Loading-truck'!$B$31:$B$48),$J384,('Loading-truck'!$D$31:$D$48))*Impacts!$F$14,IF(('Loading-truck'!$C$21)&lt;&gt;"No control",SUMIF(('Loading-truck'!$B$31:$B$48),$J384,('Loading-truck'!$E$31:$E$48))*Impacts!$F$14,0)),0)</f>
        <v>0</v>
      </c>
      <c r="S384" s="10">
        <f>IFERROR(IF(('Loading-rail'!$C$21)="No control",SUMIF(('Loading-rail'!$B$31:$B$48),$J384,('Loading-rail'!$D$31:$D$48))*Impacts!$F$15,IF(('Loading-rail'!$C$21)&lt;&gt;"No control",SUMIF(('Loading-rail'!$B$31:$B$48),$J384,('Loading-rail'!$E$31:$E$48))*Impacts!$F$15,0)),0)</f>
        <v>0</v>
      </c>
      <c r="T384" s="10">
        <f>IF(Flare!$C$7="",0,(SUMIF(Flare!$B$46:$B$185,$J384,Flare!$E$46:$E$185)*Impacts!$F$16))</f>
        <v>0</v>
      </c>
      <c r="U384" s="10">
        <f>IF(VCU!$C$9="",0,(SUMIF(VCU!$B$51:$B$193,$J384,VCU!$E$51:$E$193)*Impacts!$F$17))</f>
        <v>0</v>
      </c>
      <c r="V384" s="10">
        <f>IF(CAS!$C$7="",0,(SUMIF(CAS!$B$31:$B$167,$J384,CAS!$E$31:$E$167)*Impacts!$F$18))</f>
        <v>0</v>
      </c>
      <c r="W384" s="10">
        <f t="shared" si="47"/>
        <v>0</v>
      </c>
      <c r="AK384" s="10" t="str">
        <f t="array" ref="AK384">IFERROR(INDEX(SelectedSpecies,SMALL(IF(SelectedSpecies=AK$1,ROW(SelectedSpecies)),ROW(385:385)),2),"")</f>
        <v/>
      </c>
      <c r="BE384" s="10"/>
      <c r="BI384" s="10"/>
    </row>
    <row r="385" spans="1:61" ht="21" customHeight="1" x14ac:dyDescent="0.25">
      <c r="A385" s="10"/>
      <c r="B385" s="10"/>
      <c r="E385" s="10"/>
      <c r="G385" s="10"/>
      <c r="I385" s="436" t="s">
        <v>824</v>
      </c>
      <c r="J385" s="26" t="s">
        <v>823</v>
      </c>
      <c r="K385" s="10">
        <v>48</v>
      </c>
      <c r="L385" s="73">
        <f>IF(Tank1!$C$23="No control",(SUMIF(Tank1!$B$32:$B$49,$J385,Tank1!$C$32:$C$49)*Impacts!$F$8),0)</f>
        <v>0</v>
      </c>
      <c r="M385" s="10">
        <f>IF(Tank2!$C$23="No control",(SUMIF(Tank2!$B$32:$B$49,$J385,Tank2!$C$32:$C$49)*Impacts!$F$9),0)</f>
        <v>0</v>
      </c>
      <c r="N385" s="10">
        <f>IF(Tank3!$C$23="No control",(SUMIF(Tank3!$B$32:$B$49,$J385,Tank3!$C$32:$C$49)*Impacts!$F$10),0)</f>
        <v>0</v>
      </c>
      <c r="O385" s="10">
        <f>IF(Tank4!$C$23="No control",(SUMIF(Tank4!$B$32:$B$49,$J385,Tank4!$C$32:$C$49)*Impacts!$F$11),0)</f>
        <v>0</v>
      </c>
      <c r="P385" s="10">
        <f>IF(Tank5!$C$23="No control",(SUMIF(Tank5!$B$32:$B$49,$J385,Tank5!$C$32:$C$49)*Impacts!$F$12),0)</f>
        <v>0</v>
      </c>
      <c r="Q385" s="10">
        <f>IFERROR(IF(('Loading-drum,tote'!$C$21)="No control",SUMIF(('Loading-drum,tote'!$B$31:$B$48),$J385,('Loading-drum,tote'!$D$31:$D$48))*Impacts!$F$13,IF(('Loading-drum,tote'!$C$21)&lt;&gt;"No control",SUMIF(('Loading-drum,tote'!$B$31:$B$48),$J385,('Loading-drum,tote'!$E$31:$E$48))*Impacts!$F$13,0)),0)</f>
        <v>0</v>
      </c>
      <c r="R385" s="10">
        <f>IFERROR(IF(('Loading-truck'!$C$21)="No control",SUMIF(('Loading-truck'!$B$31:$B$48),$J385,('Loading-truck'!$D$31:$D$48))*Impacts!$F$14,IF(('Loading-truck'!$C$21)&lt;&gt;"No control",SUMIF(('Loading-truck'!$B$31:$B$48),$J385,('Loading-truck'!$E$31:$E$48))*Impacts!$F$14,0)),0)</f>
        <v>0</v>
      </c>
      <c r="S385" s="10">
        <f>IFERROR(IF(('Loading-rail'!$C$21)="No control",SUMIF(('Loading-rail'!$B$31:$B$48),$J385,('Loading-rail'!$D$31:$D$48))*Impacts!$F$15,IF(('Loading-rail'!$C$21)&lt;&gt;"No control",SUMIF(('Loading-rail'!$B$31:$B$48),$J385,('Loading-rail'!$E$31:$E$48))*Impacts!$F$15,0)),0)</f>
        <v>0</v>
      </c>
      <c r="T385" s="10">
        <f>IF(Flare!$C$7="",0,(SUMIF(Flare!$B$46:$B$185,$J385,Flare!$E$46:$E$185)*Impacts!$F$16))</f>
        <v>0</v>
      </c>
      <c r="U385" s="10">
        <f>IF(VCU!$C$9="",0,(SUMIF(VCU!$B$51:$B$193,$J385,VCU!$E$51:$E$193)*Impacts!$F$17))</f>
        <v>0</v>
      </c>
      <c r="V385" s="10">
        <f>IF(CAS!$C$7="",0,(SUMIF(CAS!$B$31:$B$167,$J385,CAS!$E$31:$E$167)*Impacts!$F$18))</f>
        <v>0</v>
      </c>
      <c r="W385" s="10">
        <f t="shared" si="47"/>
        <v>0</v>
      </c>
      <c r="AK385" s="10" t="str">
        <f t="array" ref="AK385">IFERROR(INDEX(SelectedSpecies,SMALL(IF(SelectedSpecies=AK$1,ROW(SelectedSpecies)),ROW(386:386)),2),"")</f>
        <v/>
      </c>
      <c r="BE385" s="10"/>
      <c r="BI385" s="10"/>
    </row>
    <row r="386" spans="1:61" ht="21" customHeight="1" x14ac:dyDescent="0.25">
      <c r="A386" s="10"/>
      <c r="B386" s="10"/>
      <c r="E386" s="10"/>
      <c r="G386" s="10"/>
      <c r="I386" s="436" t="s">
        <v>826</v>
      </c>
      <c r="J386" s="26" t="s">
        <v>825</v>
      </c>
      <c r="K386" s="10">
        <v>48</v>
      </c>
      <c r="L386" s="73">
        <f>IF(Tank1!$C$23="No control",(SUMIF(Tank1!$B$32:$B$49,$J386,Tank1!$C$32:$C$49)*Impacts!$F$8),0)</f>
        <v>0</v>
      </c>
      <c r="M386" s="10">
        <f>IF(Tank2!$C$23="No control",(SUMIF(Tank2!$B$32:$B$49,$J386,Tank2!$C$32:$C$49)*Impacts!$F$9),0)</f>
        <v>0</v>
      </c>
      <c r="N386" s="10">
        <f>IF(Tank3!$C$23="No control",(SUMIF(Tank3!$B$32:$B$49,$J386,Tank3!$C$32:$C$49)*Impacts!$F$10),0)</f>
        <v>0</v>
      </c>
      <c r="O386" s="10">
        <f>IF(Tank4!$C$23="No control",(SUMIF(Tank4!$B$32:$B$49,$J386,Tank4!$C$32:$C$49)*Impacts!$F$11),0)</f>
        <v>0</v>
      </c>
      <c r="P386" s="10">
        <f>IF(Tank5!$C$23="No control",(SUMIF(Tank5!$B$32:$B$49,$J386,Tank5!$C$32:$C$49)*Impacts!$F$12),0)</f>
        <v>0</v>
      </c>
      <c r="Q386" s="10">
        <f>IFERROR(IF(('Loading-drum,tote'!$C$21)="No control",SUMIF(('Loading-drum,tote'!$B$31:$B$48),$J386,('Loading-drum,tote'!$D$31:$D$48))*Impacts!$F$13,IF(('Loading-drum,tote'!$C$21)&lt;&gt;"No control",SUMIF(('Loading-drum,tote'!$B$31:$B$48),$J386,('Loading-drum,tote'!$E$31:$E$48))*Impacts!$F$13,0)),0)</f>
        <v>0</v>
      </c>
      <c r="R386" s="10">
        <f>IFERROR(IF(('Loading-truck'!$C$21)="No control",SUMIF(('Loading-truck'!$B$31:$B$48),$J386,('Loading-truck'!$D$31:$D$48))*Impacts!$F$14,IF(('Loading-truck'!$C$21)&lt;&gt;"No control",SUMIF(('Loading-truck'!$B$31:$B$48),$J386,('Loading-truck'!$E$31:$E$48))*Impacts!$F$14,0)),0)</f>
        <v>0</v>
      </c>
      <c r="S386" s="10">
        <f>IFERROR(IF(('Loading-rail'!$C$21)="No control",SUMIF(('Loading-rail'!$B$31:$B$48),$J386,('Loading-rail'!$D$31:$D$48))*Impacts!$F$15,IF(('Loading-rail'!$C$21)&lt;&gt;"No control",SUMIF(('Loading-rail'!$B$31:$B$48),$J386,('Loading-rail'!$E$31:$E$48))*Impacts!$F$15,0)),0)</f>
        <v>0</v>
      </c>
      <c r="T386" s="10">
        <f>IF(Flare!$C$7="",0,(SUMIF(Flare!$B$46:$B$185,$J386,Flare!$E$46:$E$185)*Impacts!$F$16))</f>
        <v>0</v>
      </c>
      <c r="U386" s="10">
        <f>IF(VCU!$C$9="",0,(SUMIF(VCU!$B$51:$B$193,$J386,VCU!$E$51:$E$193)*Impacts!$F$17))</f>
        <v>0</v>
      </c>
      <c r="V386" s="10">
        <f>IF(CAS!$C$7="",0,(SUMIF(CAS!$B$31:$B$167,$J386,CAS!$E$31:$E$167)*Impacts!$F$18))</f>
        <v>0</v>
      </c>
      <c r="W386" s="10">
        <f t="shared" si="47"/>
        <v>0</v>
      </c>
      <c r="AK386" s="10" t="str">
        <f t="array" ref="AK386">IFERROR(INDEX(SelectedSpecies,SMALL(IF(SelectedSpecies=AK$1,ROW(SelectedSpecies)),ROW(387:387)),2),"")</f>
        <v/>
      </c>
      <c r="BE386" s="10"/>
      <c r="BI386" s="10"/>
    </row>
    <row r="387" spans="1:61" ht="21" customHeight="1" x14ac:dyDescent="0.25">
      <c r="A387" s="10"/>
      <c r="B387" s="10"/>
      <c r="E387" s="10"/>
      <c r="G387" s="10"/>
      <c r="I387" s="436" t="s">
        <v>1524</v>
      </c>
      <c r="J387" s="26" t="s">
        <v>1523</v>
      </c>
      <c r="K387" s="10">
        <v>27</v>
      </c>
      <c r="L387" s="73">
        <f>IF(Tank1!$C$23="No control",(SUMIF(Tank1!$B$32:$B$49,$J387,Tank1!$C$32:$C$49)*Impacts!$F$8),0)</f>
        <v>0</v>
      </c>
      <c r="M387" s="10">
        <f>IF(Tank2!$C$23="No control",(SUMIF(Tank2!$B$32:$B$49,$J387,Tank2!$C$32:$C$49)*Impacts!$F$9),0)</f>
        <v>0</v>
      </c>
      <c r="N387" s="10">
        <f>IF(Tank3!$C$23="No control",(SUMIF(Tank3!$B$32:$B$49,$J387,Tank3!$C$32:$C$49)*Impacts!$F$10),0)</f>
        <v>0</v>
      </c>
      <c r="O387" s="10">
        <f>IF(Tank4!$C$23="No control",(SUMIF(Tank4!$B$32:$B$49,$J387,Tank4!$C$32:$C$49)*Impacts!$F$11),0)</f>
        <v>0</v>
      </c>
      <c r="P387" s="10">
        <f>IF(Tank5!$C$23="No control",(SUMIF(Tank5!$B$32:$B$49,$J387,Tank5!$C$32:$C$49)*Impacts!$F$12),0)</f>
        <v>0</v>
      </c>
      <c r="Q387" s="10">
        <f>IFERROR(IF(('Loading-drum,tote'!$C$21)="No control",SUMIF(('Loading-drum,tote'!$B$31:$B$48),$J387,('Loading-drum,tote'!$D$31:$D$48))*Impacts!$F$13,IF(('Loading-drum,tote'!$C$21)&lt;&gt;"No control",SUMIF(('Loading-drum,tote'!$B$31:$B$48),$J387,('Loading-drum,tote'!$E$31:$E$48))*Impacts!$F$13,0)),0)</f>
        <v>0</v>
      </c>
      <c r="R387" s="10">
        <f>IFERROR(IF(('Loading-truck'!$C$21)="No control",SUMIF(('Loading-truck'!$B$31:$B$48),$J387,('Loading-truck'!$D$31:$D$48))*Impacts!$F$14,IF(('Loading-truck'!$C$21)&lt;&gt;"No control",SUMIF(('Loading-truck'!$B$31:$B$48),$J387,('Loading-truck'!$E$31:$E$48))*Impacts!$F$14,0)),0)</f>
        <v>0</v>
      </c>
      <c r="S387" s="10">
        <f>IFERROR(IF(('Loading-rail'!$C$21)="No control",SUMIF(('Loading-rail'!$B$31:$B$48),$J387,('Loading-rail'!$D$31:$D$48))*Impacts!$F$15,IF(('Loading-rail'!$C$21)&lt;&gt;"No control",SUMIF(('Loading-rail'!$B$31:$B$48),$J387,('Loading-rail'!$E$31:$E$48))*Impacts!$F$15,0)),0)</f>
        <v>0</v>
      </c>
      <c r="T387" s="10">
        <f>IF(Flare!$C$7="",0,(SUMIF(Flare!$B$46:$B$185,$J387,Flare!$E$46:$E$185)*Impacts!$F$16))</f>
        <v>0</v>
      </c>
      <c r="U387" s="10">
        <f>IF(VCU!$C$9="",0,(SUMIF(VCU!$B$51:$B$193,$J387,VCU!$E$51:$E$193)*Impacts!$F$17))</f>
        <v>0</v>
      </c>
      <c r="V387" s="10">
        <f>IF(CAS!$C$7="",0,(SUMIF(CAS!$B$31:$B$167,$J387,CAS!$E$31:$E$167)*Impacts!$F$18))</f>
        <v>0</v>
      </c>
      <c r="W387" s="10">
        <f t="shared" ref="W387:W450" si="48">SUM(L387:V387)</f>
        <v>0</v>
      </c>
      <c r="AK387" s="10" t="str">
        <f t="array" ref="AK387">IFERROR(INDEX(SelectedSpecies,SMALL(IF(SelectedSpecies=AK$1,ROW(SelectedSpecies)),ROW(388:388)),2),"")</f>
        <v/>
      </c>
      <c r="BE387" s="10"/>
      <c r="BI387" s="10"/>
    </row>
    <row r="388" spans="1:61" ht="21" customHeight="1" x14ac:dyDescent="0.25">
      <c r="A388" s="10"/>
      <c r="B388" s="10"/>
      <c r="E388" s="10"/>
      <c r="G388" s="10"/>
      <c r="I388" s="436" t="s">
        <v>4105</v>
      </c>
      <c r="J388" s="26" t="s">
        <v>4104</v>
      </c>
      <c r="K388" s="10">
        <v>5.4</v>
      </c>
      <c r="L388" s="73">
        <f>IF(Tank1!$C$23="No control",(SUMIF(Tank1!$B$32:$B$49,$J388,Tank1!$C$32:$C$49)*Impacts!$F$8),0)</f>
        <v>0</v>
      </c>
      <c r="M388" s="10">
        <f>IF(Tank2!$C$23="No control",(SUMIF(Tank2!$B$32:$B$49,$J388,Tank2!$C$32:$C$49)*Impacts!$F$9),0)</f>
        <v>0</v>
      </c>
      <c r="N388" s="10">
        <f>IF(Tank3!$C$23="No control",(SUMIF(Tank3!$B$32:$B$49,$J388,Tank3!$C$32:$C$49)*Impacts!$F$10),0)</f>
        <v>0</v>
      </c>
      <c r="O388" s="10">
        <f>IF(Tank4!$C$23="No control",(SUMIF(Tank4!$B$32:$B$49,$J388,Tank4!$C$32:$C$49)*Impacts!$F$11),0)</f>
        <v>0</v>
      </c>
      <c r="P388" s="10">
        <f>IF(Tank5!$C$23="No control",(SUMIF(Tank5!$B$32:$B$49,$J388,Tank5!$C$32:$C$49)*Impacts!$F$12),0)</f>
        <v>0</v>
      </c>
      <c r="Q388" s="10">
        <f>IFERROR(IF(('Loading-drum,tote'!$C$21)="No control",SUMIF(('Loading-drum,tote'!$B$31:$B$48),$J388,('Loading-drum,tote'!$D$31:$D$48))*Impacts!$F$13,IF(('Loading-drum,tote'!$C$21)&lt;&gt;"No control",SUMIF(('Loading-drum,tote'!$B$31:$B$48),$J388,('Loading-drum,tote'!$E$31:$E$48))*Impacts!$F$13,0)),0)</f>
        <v>0</v>
      </c>
      <c r="R388" s="10">
        <f>IFERROR(IF(('Loading-truck'!$C$21)="No control",SUMIF(('Loading-truck'!$B$31:$B$48),$J388,('Loading-truck'!$D$31:$D$48))*Impacts!$F$14,IF(('Loading-truck'!$C$21)&lt;&gt;"No control",SUMIF(('Loading-truck'!$B$31:$B$48),$J388,('Loading-truck'!$E$31:$E$48))*Impacts!$F$14,0)),0)</f>
        <v>0</v>
      </c>
      <c r="S388" s="10">
        <f>IFERROR(IF(('Loading-rail'!$C$21)="No control",SUMIF(('Loading-rail'!$B$31:$B$48),$J388,('Loading-rail'!$D$31:$D$48))*Impacts!$F$15,IF(('Loading-rail'!$C$21)&lt;&gt;"No control",SUMIF(('Loading-rail'!$B$31:$B$48),$J388,('Loading-rail'!$E$31:$E$48))*Impacts!$F$15,0)),0)</f>
        <v>0</v>
      </c>
      <c r="T388" s="10">
        <f>IF(Flare!$C$7="",0,(SUMIF(Flare!$B$46:$B$185,$J388,Flare!$E$46:$E$185)*Impacts!$F$16))</f>
        <v>0</v>
      </c>
      <c r="U388" s="10">
        <f>IF(VCU!$C$9="",0,(SUMIF(VCU!$B$51:$B$193,$J388,VCU!$E$51:$E$193)*Impacts!$F$17))</f>
        <v>0</v>
      </c>
      <c r="V388" s="10">
        <f>IF(CAS!$C$7="",0,(SUMIF(CAS!$B$31:$B$167,$J388,CAS!$E$31:$E$167)*Impacts!$F$18))</f>
        <v>0</v>
      </c>
      <c r="W388" s="10">
        <f t="shared" si="48"/>
        <v>0</v>
      </c>
      <c r="AK388" s="10" t="str">
        <f t="array" ref="AK388">IFERROR(INDEX(SelectedSpecies,SMALL(IF(SelectedSpecies=AK$1,ROW(SelectedSpecies)),ROW(389:389)),2),"")</f>
        <v/>
      </c>
      <c r="BE388" s="10"/>
      <c r="BI388" s="10"/>
    </row>
    <row r="389" spans="1:61" ht="21" customHeight="1" x14ac:dyDescent="0.25">
      <c r="A389" s="10"/>
      <c r="B389" s="10"/>
      <c r="E389" s="10"/>
      <c r="G389" s="10"/>
      <c r="I389" s="436" t="s">
        <v>6614</v>
      </c>
      <c r="J389" s="26" t="s">
        <v>6613</v>
      </c>
      <c r="K389" s="10">
        <v>0.60000000000000009</v>
      </c>
      <c r="L389" s="73">
        <f>IF(Tank1!$C$23="No control",(SUMIF(Tank1!$B$32:$B$49,$J389,Tank1!$C$32:$C$49)*Impacts!$F$8),0)</f>
        <v>0</v>
      </c>
      <c r="M389" s="10">
        <f>IF(Tank2!$C$23="No control",(SUMIF(Tank2!$B$32:$B$49,$J389,Tank2!$C$32:$C$49)*Impacts!$F$9),0)</f>
        <v>0</v>
      </c>
      <c r="N389" s="10">
        <f>IF(Tank3!$C$23="No control",(SUMIF(Tank3!$B$32:$B$49,$J389,Tank3!$C$32:$C$49)*Impacts!$F$10),0)</f>
        <v>0</v>
      </c>
      <c r="O389" s="10">
        <f>IF(Tank4!$C$23="No control",(SUMIF(Tank4!$B$32:$B$49,$J389,Tank4!$C$32:$C$49)*Impacts!$F$11),0)</f>
        <v>0</v>
      </c>
      <c r="P389" s="10">
        <f>IF(Tank5!$C$23="No control",(SUMIF(Tank5!$B$32:$B$49,$J389,Tank5!$C$32:$C$49)*Impacts!$F$12),0)</f>
        <v>0</v>
      </c>
      <c r="Q389" s="10">
        <f>IFERROR(IF(('Loading-drum,tote'!$C$21)="No control",SUMIF(('Loading-drum,tote'!$B$31:$B$48),$J389,('Loading-drum,tote'!$D$31:$D$48))*Impacts!$F$13,IF(('Loading-drum,tote'!$C$21)&lt;&gt;"No control",SUMIF(('Loading-drum,tote'!$B$31:$B$48),$J389,('Loading-drum,tote'!$E$31:$E$48))*Impacts!$F$13,0)),0)</f>
        <v>0</v>
      </c>
      <c r="R389" s="10">
        <f>IFERROR(IF(('Loading-truck'!$C$21)="No control",SUMIF(('Loading-truck'!$B$31:$B$48),$J389,('Loading-truck'!$D$31:$D$48))*Impacts!$F$14,IF(('Loading-truck'!$C$21)&lt;&gt;"No control",SUMIF(('Loading-truck'!$B$31:$B$48),$J389,('Loading-truck'!$E$31:$E$48))*Impacts!$F$14,0)),0)</f>
        <v>0</v>
      </c>
      <c r="S389" s="10">
        <f>IFERROR(IF(('Loading-rail'!$C$21)="No control",SUMIF(('Loading-rail'!$B$31:$B$48),$J389,('Loading-rail'!$D$31:$D$48))*Impacts!$F$15,IF(('Loading-rail'!$C$21)&lt;&gt;"No control",SUMIF(('Loading-rail'!$B$31:$B$48),$J389,('Loading-rail'!$E$31:$E$48))*Impacts!$F$15,0)),0)</f>
        <v>0</v>
      </c>
      <c r="T389" s="10">
        <f>IF(Flare!$C$7="",0,(SUMIF(Flare!$B$46:$B$185,$J389,Flare!$E$46:$E$185)*Impacts!$F$16))</f>
        <v>0</v>
      </c>
      <c r="U389" s="10">
        <f>IF(VCU!$C$9="",0,(SUMIF(VCU!$B$51:$B$193,$J389,VCU!$E$51:$E$193)*Impacts!$F$17))</f>
        <v>0</v>
      </c>
      <c r="V389" s="10">
        <f>IF(CAS!$C$7="",0,(SUMIF(CAS!$B$31:$B$167,$J389,CAS!$E$31:$E$167)*Impacts!$F$18))</f>
        <v>0</v>
      </c>
      <c r="W389" s="10">
        <f t="shared" si="48"/>
        <v>0</v>
      </c>
      <c r="AK389" s="10" t="str">
        <f t="array" ref="AK389">IFERROR(INDEX(SelectedSpecies,SMALL(IF(SelectedSpecies=AK$1,ROW(SelectedSpecies)),ROW(390:390)),2),"")</f>
        <v/>
      </c>
      <c r="BE389" s="10"/>
      <c r="BI389" s="10"/>
    </row>
    <row r="390" spans="1:61" ht="21" customHeight="1" x14ac:dyDescent="0.25">
      <c r="A390" s="10"/>
      <c r="B390" s="10"/>
      <c r="E390" s="10"/>
      <c r="G390" s="10"/>
      <c r="I390" s="436" t="s">
        <v>5069</v>
      </c>
      <c r="J390" s="26" t="s">
        <v>5068</v>
      </c>
      <c r="K390" s="10">
        <v>2.2000000000000002</v>
      </c>
      <c r="L390" s="73">
        <f>IF(Tank1!$C$23="No control",(SUMIF(Tank1!$B$32:$B$49,$J390,Tank1!$C$32:$C$49)*Impacts!$F$8),0)</f>
        <v>0</v>
      </c>
      <c r="M390" s="10">
        <f>IF(Tank2!$C$23="No control",(SUMIF(Tank2!$B$32:$B$49,$J390,Tank2!$C$32:$C$49)*Impacts!$F$9),0)</f>
        <v>0</v>
      </c>
      <c r="N390" s="10">
        <f>IF(Tank3!$C$23="No control",(SUMIF(Tank3!$B$32:$B$49,$J390,Tank3!$C$32:$C$49)*Impacts!$F$10),0)</f>
        <v>0</v>
      </c>
      <c r="O390" s="10">
        <f>IF(Tank4!$C$23="No control",(SUMIF(Tank4!$B$32:$B$49,$J390,Tank4!$C$32:$C$49)*Impacts!$F$11),0)</f>
        <v>0</v>
      </c>
      <c r="P390" s="10">
        <f>IF(Tank5!$C$23="No control",(SUMIF(Tank5!$B$32:$B$49,$J390,Tank5!$C$32:$C$49)*Impacts!$F$12),0)</f>
        <v>0</v>
      </c>
      <c r="Q390" s="10">
        <f>IFERROR(IF(('Loading-drum,tote'!$C$21)="No control",SUMIF(('Loading-drum,tote'!$B$31:$B$48),$J390,('Loading-drum,tote'!$D$31:$D$48))*Impacts!$F$13,IF(('Loading-drum,tote'!$C$21)&lt;&gt;"No control",SUMIF(('Loading-drum,tote'!$B$31:$B$48),$J390,('Loading-drum,tote'!$E$31:$E$48))*Impacts!$F$13,0)),0)</f>
        <v>0</v>
      </c>
      <c r="R390" s="10">
        <f>IFERROR(IF(('Loading-truck'!$C$21)="No control",SUMIF(('Loading-truck'!$B$31:$B$48),$J390,('Loading-truck'!$D$31:$D$48))*Impacts!$F$14,IF(('Loading-truck'!$C$21)&lt;&gt;"No control",SUMIF(('Loading-truck'!$B$31:$B$48),$J390,('Loading-truck'!$E$31:$E$48))*Impacts!$F$14,0)),0)</f>
        <v>0</v>
      </c>
      <c r="S390" s="10">
        <f>IFERROR(IF(('Loading-rail'!$C$21)="No control",SUMIF(('Loading-rail'!$B$31:$B$48),$J390,('Loading-rail'!$D$31:$D$48))*Impacts!$F$15,IF(('Loading-rail'!$C$21)&lt;&gt;"No control",SUMIF(('Loading-rail'!$B$31:$B$48),$J390,('Loading-rail'!$E$31:$E$48))*Impacts!$F$15,0)),0)</f>
        <v>0</v>
      </c>
      <c r="T390" s="10">
        <f>IF(Flare!$C$7="",0,(SUMIF(Flare!$B$46:$B$185,$J390,Flare!$E$46:$E$185)*Impacts!$F$16))</f>
        <v>0</v>
      </c>
      <c r="U390" s="10">
        <f>IF(VCU!$C$9="",0,(SUMIF(VCU!$B$51:$B$193,$J390,VCU!$E$51:$E$193)*Impacts!$F$17))</f>
        <v>0</v>
      </c>
      <c r="V390" s="10">
        <f>IF(CAS!$C$7="",0,(SUMIF(CAS!$B$31:$B$167,$J390,CAS!$E$31:$E$167)*Impacts!$F$18))</f>
        <v>0</v>
      </c>
      <c r="W390" s="10">
        <f t="shared" si="48"/>
        <v>0</v>
      </c>
      <c r="AK390" s="10" t="str">
        <f t="array" ref="AK390">IFERROR(INDEX(SelectedSpecies,SMALL(IF(SelectedSpecies=AK$1,ROW(SelectedSpecies)),ROW(391:391)),2),"")</f>
        <v/>
      </c>
      <c r="BE390" s="10"/>
      <c r="BI390" s="10"/>
    </row>
    <row r="391" spans="1:61" ht="21" customHeight="1" x14ac:dyDescent="0.25">
      <c r="A391" s="10"/>
      <c r="B391" s="10"/>
      <c r="E391" s="10"/>
      <c r="G391" s="10"/>
      <c r="I391" s="436" t="s">
        <v>4749</v>
      </c>
      <c r="J391" s="26" t="s">
        <v>4748</v>
      </c>
      <c r="K391" s="10">
        <v>3.4000000000000004</v>
      </c>
      <c r="L391" s="73">
        <f>IF(Tank1!$C$23="No control",(SUMIF(Tank1!$B$32:$B$49,$J391,Tank1!$C$32:$C$49)*Impacts!$F$8),0)</f>
        <v>0</v>
      </c>
      <c r="M391" s="10">
        <f>IF(Tank2!$C$23="No control",(SUMIF(Tank2!$B$32:$B$49,$J391,Tank2!$C$32:$C$49)*Impacts!$F$9),0)</f>
        <v>0</v>
      </c>
      <c r="N391" s="10">
        <f>IF(Tank3!$C$23="No control",(SUMIF(Tank3!$B$32:$B$49,$J391,Tank3!$C$32:$C$49)*Impacts!$F$10),0)</f>
        <v>0</v>
      </c>
      <c r="O391" s="10">
        <f>IF(Tank4!$C$23="No control",(SUMIF(Tank4!$B$32:$B$49,$J391,Tank4!$C$32:$C$49)*Impacts!$F$11),0)</f>
        <v>0</v>
      </c>
      <c r="P391" s="10">
        <f>IF(Tank5!$C$23="No control",(SUMIF(Tank5!$B$32:$B$49,$J391,Tank5!$C$32:$C$49)*Impacts!$F$12),0)</f>
        <v>0</v>
      </c>
      <c r="Q391" s="10">
        <f>IFERROR(IF(('Loading-drum,tote'!$C$21)="No control",SUMIF(('Loading-drum,tote'!$B$31:$B$48),$J391,('Loading-drum,tote'!$D$31:$D$48))*Impacts!$F$13,IF(('Loading-drum,tote'!$C$21)&lt;&gt;"No control",SUMIF(('Loading-drum,tote'!$B$31:$B$48),$J391,('Loading-drum,tote'!$E$31:$E$48))*Impacts!$F$13,0)),0)</f>
        <v>0</v>
      </c>
      <c r="R391" s="10">
        <f>IFERROR(IF(('Loading-truck'!$C$21)="No control",SUMIF(('Loading-truck'!$B$31:$B$48),$J391,('Loading-truck'!$D$31:$D$48))*Impacts!$F$14,IF(('Loading-truck'!$C$21)&lt;&gt;"No control",SUMIF(('Loading-truck'!$B$31:$B$48),$J391,('Loading-truck'!$E$31:$E$48))*Impacts!$F$14,0)),0)</f>
        <v>0</v>
      </c>
      <c r="S391" s="10">
        <f>IFERROR(IF(('Loading-rail'!$C$21)="No control",SUMIF(('Loading-rail'!$B$31:$B$48),$J391,('Loading-rail'!$D$31:$D$48))*Impacts!$F$15,IF(('Loading-rail'!$C$21)&lt;&gt;"No control",SUMIF(('Loading-rail'!$B$31:$B$48),$J391,('Loading-rail'!$E$31:$E$48))*Impacts!$F$15,0)),0)</f>
        <v>0</v>
      </c>
      <c r="T391" s="10">
        <f>IF(Flare!$C$7="",0,(SUMIF(Flare!$B$46:$B$185,$J391,Flare!$E$46:$E$185)*Impacts!$F$16))</f>
        <v>0</v>
      </c>
      <c r="U391" s="10">
        <f>IF(VCU!$C$9="",0,(SUMIF(VCU!$B$51:$B$193,$J391,VCU!$E$51:$E$193)*Impacts!$F$17))</f>
        <v>0</v>
      </c>
      <c r="V391" s="10">
        <f>IF(CAS!$C$7="",0,(SUMIF(CAS!$B$31:$B$167,$J391,CAS!$E$31:$E$167)*Impacts!$F$18))</f>
        <v>0</v>
      </c>
      <c r="W391" s="10">
        <f t="shared" si="48"/>
        <v>0</v>
      </c>
      <c r="AK391" s="10" t="str">
        <f t="array" ref="AK391">IFERROR(INDEX(SelectedSpecies,SMALL(IF(SelectedSpecies=AK$1,ROW(SelectedSpecies)),ROW(392:392)),2),"")</f>
        <v/>
      </c>
      <c r="BE391" s="10"/>
      <c r="BI391" s="10"/>
    </row>
    <row r="392" spans="1:61" ht="21" customHeight="1" x14ac:dyDescent="0.25">
      <c r="A392" s="10"/>
      <c r="B392" s="10"/>
      <c r="E392" s="10"/>
      <c r="G392" s="10"/>
      <c r="I392" s="436" t="s">
        <v>6686</v>
      </c>
      <c r="J392" s="26" t="s">
        <v>6685</v>
      </c>
      <c r="K392" s="10">
        <v>0.54</v>
      </c>
      <c r="L392" s="73">
        <f>IF(Tank1!$C$23="No control",(SUMIF(Tank1!$B$32:$B$49,$J392,Tank1!$C$32:$C$49)*Impacts!$F$8),0)</f>
        <v>0</v>
      </c>
      <c r="M392" s="10">
        <f>IF(Tank2!$C$23="No control",(SUMIF(Tank2!$B$32:$B$49,$J392,Tank2!$C$32:$C$49)*Impacts!$F$9),0)</f>
        <v>0</v>
      </c>
      <c r="N392" s="10">
        <f>IF(Tank3!$C$23="No control",(SUMIF(Tank3!$B$32:$B$49,$J392,Tank3!$C$32:$C$49)*Impacts!$F$10),0)</f>
        <v>0</v>
      </c>
      <c r="O392" s="10">
        <f>IF(Tank4!$C$23="No control",(SUMIF(Tank4!$B$32:$B$49,$J392,Tank4!$C$32:$C$49)*Impacts!$F$11),0)</f>
        <v>0</v>
      </c>
      <c r="P392" s="10">
        <f>IF(Tank5!$C$23="No control",(SUMIF(Tank5!$B$32:$B$49,$J392,Tank5!$C$32:$C$49)*Impacts!$F$12),0)</f>
        <v>0</v>
      </c>
      <c r="Q392" s="10">
        <f>IFERROR(IF(('Loading-drum,tote'!$C$21)="No control",SUMIF(('Loading-drum,tote'!$B$31:$B$48),$J392,('Loading-drum,tote'!$D$31:$D$48))*Impacts!$F$13,IF(('Loading-drum,tote'!$C$21)&lt;&gt;"No control",SUMIF(('Loading-drum,tote'!$B$31:$B$48),$J392,('Loading-drum,tote'!$E$31:$E$48))*Impacts!$F$13,0)),0)</f>
        <v>0</v>
      </c>
      <c r="R392" s="10">
        <f>IFERROR(IF(('Loading-truck'!$C$21)="No control",SUMIF(('Loading-truck'!$B$31:$B$48),$J392,('Loading-truck'!$D$31:$D$48))*Impacts!$F$14,IF(('Loading-truck'!$C$21)&lt;&gt;"No control",SUMIF(('Loading-truck'!$B$31:$B$48),$J392,('Loading-truck'!$E$31:$E$48))*Impacts!$F$14,0)),0)</f>
        <v>0</v>
      </c>
      <c r="S392" s="10">
        <f>IFERROR(IF(('Loading-rail'!$C$21)="No control",SUMIF(('Loading-rail'!$B$31:$B$48),$J392,('Loading-rail'!$D$31:$D$48))*Impacts!$F$15,IF(('Loading-rail'!$C$21)&lt;&gt;"No control",SUMIF(('Loading-rail'!$B$31:$B$48),$J392,('Loading-rail'!$E$31:$E$48))*Impacts!$F$15,0)),0)</f>
        <v>0</v>
      </c>
      <c r="T392" s="10">
        <f>IF(Flare!$C$7="",0,(SUMIF(Flare!$B$46:$B$185,$J392,Flare!$E$46:$E$185)*Impacts!$F$16))</f>
        <v>0</v>
      </c>
      <c r="U392" s="10">
        <f>IF(VCU!$C$9="",0,(SUMIF(VCU!$B$51:$B$193,$J392,VCU!$E$51:$E$193)*Impacts!$F$17))</f>
        <v>0</v>
      </c>
      <c r="V392" s="10">
        <f>IF(CAS!$C$7="",0,(SUMIF(CAS!$B$31:$B$167,$J392,CAS!$E$31:$E$167)*Impacts!$F$18))</f>
        <v>0</v>
      </c>
      <c r="W392" s="10">
        <f t="shared" si="48"/>
        <v>0</v>
      </c>
      <c r="AK392" s="10" t="str">
        <f t="array" ref="AK392">IFERROR(INDEX(SelectedSpecies,SMALL(IF(SelectedSpecies=AK$1,ROW(SelectedSpecies)),ROW(393:393)),2),"")</f>
        <v/>
      </c>
      <c r="BE392" s="10"/>
      <c r="BI392" s="10"/>
    </row>
    <row r="393" spans="1:61" ht="21" customHeight="1" x14ac:dyDescent="0.25">
      <c r="A393" s="10"/>
      <c r="B393" s="10"/>
      <c r="E393" s="10"/>
      <c r="G393" s="10"/>
      <c r="I393" s="436" t="s">
        <v>6428</v>
      </c>
      <c r="J393" s="26" t="s">
        <v>6427</v>
      </c>
      <c r="K393" s="10">
        <v>0.8</v>
      </c>
      <c r="L393" s="73">
        <f>IF(Tank1!$C$23="No control",(SUMIF(Tank1!$B$32:$B$49,$J393,Tank1!$C$32:$C$49)*Impacts!$F$8),0)</f>
        <v>0</v>
      </c>
      <c r="M393" s="10">
        <f>IF(Tank2!$C$23="No control",(SUMIF(Tank2!$B$32:$B$49,$J393,Tank2!$C$32:$C$49)*Impacts!$F$9),0)</f>
        <v>0</v>
      </c>
      <c r="N393" s="10">
        <f>IF(Tank3!$C$23="No control",(SUMIF(Tank3!$B$32:$B$49,$J393,Tank3!$C$32:$C$49)*Impacts!$F$10),0)</f>
        <v>0</v>
      </c>
      <c r="O393" s="10">
        <f>IF(Tank4!$C$23="No control",(SUMIF(Tank4!$B$32:$B$49,$J393,Tank4!$C$32:$C$49)*Impacts!$F$11),0)</f>
        <v>0</v>
      </c>
      <c r="P393" s="10">
        <f>IF(Tank5!$C$23="No control",(SUMIF(Tank5!$B$32:$B$49,$J393,Tank5!$C$32:$C$49)*Impacts!$F$12),0)</f>
        <v>0</v>
      </c>
      <c r="Q393" s="10">
        <f>IFERROR(IF(('Loading-drum,tote'!$C$21)="No control",SUMIF(('Loading-drum,tote'!$B$31:$B$48),$J393,('Loading-drum,tote'!$D$31:$D$48))*Impacts!$F$13,IF(('Loading-drum,tote'!$C$21)&lt;&gt;"No control",SUMIF(('Loading-drum,tote'!$B$31:$B$48),$J393,('Loading-drum,tote'!$E$31:$E$48))*Impacts!$F$13,0)),0)</f>
        <v>0</v>
      </c>
      <c r="R393" s="10">
        <f>IFERROR(IF(('Loading-truck'!$C$21)="No control",SUMIF(('Loading-truck'!$B$31:$B$48),$J393,('Loading-truck'!$D$31:$D$48))*Impacts!$F$14,IF(('Loading-truck'!$C$21)&lt;&gt;"No control",SUMIF(('Loading-truck'!$B$31:$B$48),$J393,('Loading-truck'!$E$31:$E$48))*Impacts!$F$14,0)),0)</f>
        <v>0</v>
      </c>
      <c r="S393" s="10">
        <f>IFERROR(IF(('Loading-rail'!$C$21)="No control",SUMIF(('Loading-rail'!$B$31:$B$48),$J393,('Loading-rail'!$D$31:$D$48))*Impacts!$F$15,IF(('Loading-rail'!$C$21)&lt;&gt;"No control",SUMIF(('Loading-rail'!$B$31:$B$48),$J393,('Loading-rail'!$E$31:$E$48))*Impacts!$F$15,0)),0)</f>
        <v>0</v>
      </c>
      <c r="T393" s="10">
        <f>IF(Flare!$C$7="",0,(SUMIF(Flare!$B$46:$B$185,$J393,Flare!$E$46:$E$185)*Impacts!$F$16))</f>
        <v>0</v>
      </c>
      <c r="U393" s="10">
        <f>IF(VCU!$C$9="",0,(SUMIF(VCU!$B$51:$B$193,$J393,VCU!$E$51:$E$193)*Impacts!$F$17))</f>
        <v>0</v>
      </c>
      <c r="V393" s="10">
        <f>IF(CAS!$C$7="",0,(SUMIF(CAS!$B$31:$B$167,$J393,CAS!$E$31:$E$167)*Impacts!$F$18))</f>
        <v>0</v>
      </c>
      <c r="W393" s="10">
        <f t="shared" si="48"/>
        <v>0</v>
      </c>
      <c r="AK393" s="10" t="str">
        <f t="array" ref="AK393">IFERROR(INDEX(SelectedSpecies,SMALL(IF(SelectedSpecies=AK$1,ROW(SelectedSpecies)),ROW(394:394)),2),"")</f>
        <v/>
      </c>
      <c r="BE393" s="10"/>
      <c r="BI393" s="10"/>
    </row>
    <row r="394" spans="1:61" ht="21" customHeight="1" x14ac:dyDescent="0.25">
      <c r="A394" s="10"/>
      <c r="B394" s="10"/>
      <c r="E394" s="10"/>
      <c r="G394" s="10"/>
      <c r="I394" s="436" t="s">
        <v>6724</v>
      </c>
      <c r="J394" s="26" t="s">
        <v>6723</v>
      </c>
      <c r="K394" s="10">
        <v>0.5</v>
      </c>
      <c r="L394" s="73">
        <f>IF(Tank1!$C$23="No control",(SUMIF(Tank1!$B$32:$B$49,$J394,Tank1!$C$32:$C$49)*Impacts!$F$8),0)</f>
        <v>0</v>
      </c>
      <c r="M394" s="10">
        <f>IF(Tank2!$C$23="No control",(SUMIF(Tank2!$B$32:$B$49,$J394,Tank2!$C$32:$C$49)*Impacts!$F$9),0)</f>
        <v>0</v>
      </c>
      <c r="N394" s="10">
        <f>IF(Tank3!$C$23="No control",(SUMIF(Tank3!$B$32:$B$49,$J394,Tank3!$C$32:$C$49)*Impacts!$F$10),0)</f>
        <v>0</v>
      </c>
      <c r="O394" s="10">
        <f>IF(Tank4!$C$23="No control",(SUMIF(Tank4!$B$32:$B$49,$J394,Tank4!$C$32:$C$49)*Impacts!$F$11),0)</f>
        <v>0</v>
      </c>
      <c r="P394" s="10">
        <f>IF(Tank5!$C$23="No control",(SUMIF(Tank5!$B$32:$B$49,$J394,Tank5!$C$32:$C$49)*Impacts!$F$12),0)</f>
        <v>0</v>
      </c>
      <c r="Q394" s="10">
        <f>IFERROR(IF(('Loading-drum,tote'!$C$21)="No control",SUMIF(('Loading-drum,tote'!$B$31:$B$48),$J394,('Loading-drum,tote'!$D$31:$D$48))*Impacts!$F$13,IF(('Loading-drum,tote'!$C$21)&lt;&gt;"No control",SUMIF(('Loading-drum,tote'!$B$31:$B$48),$J394,('Loading-drum,tote'!$E$31:$E$48))*Impacts!$F$13,0)),0)</f>
        <v>0</v>
      </c>
      <c r="R394" s="10">
        <f>IFERROR(IF(('Loading-truck'!$C$21)="No control",SUMIF(('Loading-truck'!$B$31:$B$48),$J394,('Loading-truck'!$D$31:$D$48))*Impacts!$F$14,IF(('Loading-truck'!$C$21)&lt;&gt;"No control",SUMIF(('Loading-truck'!$B$31:$B$48),$J394,('Loading-truck'!$E$31:$E$48))*Impacts!$F$14,0)),0)</f>
        <v>0</v>
      </c>
      <c r="S394" s="10">
        <f>IFERROR(IF(('Loading-rail'!$C$21)="No control",SUMIF(('Loading-rail'!$B$31:$B$48),$J394,('Loading-rail'!$D$31:$D$48))*Impacts!$F$15,IF(('Loading-rail'!$C$21)&lt;&gt;"No control",SUMIF(('Loading-rail'!$B$31:$B$48),$J394,('Loading-rail'!$E$31:$E$48))*Impacts!$F$15,0)),0)</f>
        <v>0</v>
      </c>
      <c r="T394" s="10">
        <f>IF(Flare!$C$7="",0,(SUMIF(Flare!$B$46:$B$185,$J394,Flare!$E$46:$E$185)*Impacts!$F$16))</f>
        <v>0</v>
      </c>
      <c r="U394" s="10">
        <f>IF(VCU!$C$9="",0,(SUMIF(VCU!$B$51:$B$193,$J394,VCU!$E$51:$E$193)*Impacts!$F$17))</f>
        <v>0</v>
      </c>
      <c r="V394" s="10">
        <f>IF(CAS!$C$7="",0,(SUMIF(CAS!$B$31:$B$167,$J394,CAS!$E$31:$E$167)*Impacts!$F$18))</f>
        <v>0</v>
      </c>
      <c r="W394" s="10">
        <f t="shared" si="48"/>
        <v>0</v>
      </c>
      <c r="AK394" s="10" t="str">
        <f t="array" ref="AK394">IFERROR(INDEX(SelectedSpecies,SMALL(IF(SelectedSpecies=AK$1,ROW(SelectedSpecies)),ROW(395:395)),2),"")</f>
        <v/>
      </c>
      <c r="BE394" s="10"/>
      <c r="BI394" s="10"/>
    </row>
    <row r="395" spans="1:61" ht="21" customHeight="1" x14ac:dyDescent="0.25">
      <c r="A395" s="10"/>
      <c r="B395" s="10"/>
      <c r="E395" s="10"/>
      <c r="G395" s="10"/>
      <c r="I395" s="436" t="s">
        <v>7572</v>
      </c>
      <c r="J395" s="26" t="s">
        <v>7571</v>
      </c>
      <c r="K395" s="10">
        <v>0.18000000000000002</v>
      </c>
      <c r="L395" s="73">
        <f>IF(Tank1!$C$23="No control",(SUMIF(Tank1!$B$32:$B$49,$J395,Tank1!$C$32:$C$49)*Impacts!$F$8),0)</f>
        <v>0</v>
      </c>
      <c r="M395" s="10">
        <f>IF(Tank2!$C$23="No control",(SUMIF(Tank2!$B$32:$B$49,$J395,Tank2!$C$32:$C$49)*Impacts!$F$9),0)</f>
        <v>0</v>
      </c>
      <c r="N395" s="10">
        <f>IF(Tank3!$C$23="No control",(SUMIF(Tank3!$B$32:$B$49,$J395,Tank3!$C$32:$C$49)*Impacts!$F$10),0)</f>
        <v>0</v>
      </c>
      <c r="O395" s="10">
        <f>IF(Tank4!$C$23="No control",(SUMIF(Tank4!$B$32:$B$49,$J395,Tank4!$C$32:$C$49)*Impacts!$F$11),0)</f>
        <v>0</v>
      </c>
      <c r="P395" s="10">
        <f>IF(Tank5!$C$23="No control",(SUMIF(Tank5!$B$32:$B$49,$J395,Tank5!$C$32:$C$49)*Impacts!$F$12),0)</f>
        <v>0</v>
      </c>
      <c r="Q395" s="10">
        <f>IFERROR(IF(('Loading-drum,tote'!$C$21)="No control",SUMIF(('Loading-drum,tote'!$B$31:$B$48),$J395,('Loading-drum,tote'!$D$31:$D$48))*Impacts!$F$13,IF(('Loading-drum,tote'!$C$21)&lt;&gt;"No control",SUMIF(('Loading-drum,tote'!$B$31:$B$48),$J395,('Loading-drum,tote'!$E$31:$E$48))*Impacts!$F$13,0)),0)</f>
        <v>0</v>
      </c>
      <c r="R395" s="10">
        <f>IFERROR(IF(('Loading-truck'!$C$21)="No control",SUMIF(('Loading-truck'!$B$31:$B$48),$J395,('Loading-truck'!$D$31:$D$48))*Impacts!$F$14,IF(('Loading-truck'!$C$21)&lt;&gt;"No control",SUMIF(('Loading-truck'!$B$31:$B$48),$J395,('Loading-truck'!$E$31:$E$48))*Impacts!$F$14,0)),0)</f>
        <v>0</v>
      </c>
      <c r="S395" s="10">
        <f>IFERROR(IF(('Loading-rail'!$C$21)="No control",SUMIF(('Loading-rail'!$B$31:$B$48),$J395,('Loading-rail'!$D$31:$D$48))*Impacts!$F$15,IF(('Loading-rail'!$C$21)&lt;&gt;"No control",SUMIF(('Loading-rail'!$B$31:$B$48),$J395,('Loading-rail'!$E$31:$E$48))*Impacts!$F$15,0)),0)</f>
        <v>0</v>
      </c>
      <c r="T395" s="10">
        <f>IF(Flare!$C$7="",0,(SUMIF(Flare!$B$46:$B$185,$J395,Flare!$E$46:$E$185)*Impacts!$F$16))</f>
        <v>0</v>
      </c>
      <c r="U395" s="10">
        <f>IF(VCU!$C$9="",0,(SUMIF(VCU!$B$51:$B$193,$J395,VCU!$E$51:$E$193)*Impacts!$F$17))</f>
        <v>0</v>
      </c>
      <c r="V395" s="10">
        <f>IF(CAS!$C$7="",0,(SUMIF(CAS!$B$31:$B$167,$J395,CAS!$E$31:$E$167)*Impacts!$F$18))</f>
        <v>0</v>
      </c>
      <c r="W395" s="10">
        <f t="shared" si="48"/>
        <v>0</v>
      </c>
      <c r="AK395" s="10" t="str">
        <f t="array" ref="AK395">IFERROR(INDEX(SelectedSpecies,SMALL(IF(SelectedSpecies=AK$1,ROW(SelectedSpecies)),ROW(396:396)),2),"")</f>
        <v/>
      </c>
      <c r="BE395" s="10"/>
      <c r="BI395" s="10"/>
    </row>
    <row r="396" spans="1:61" ht="21" customHeight="1" x14ac:dyDescent="0.25">
      <c r="A396" s="10"/>
      <c r="B396" s="10"/>
      <c r="E396" s="10"/>
      <c r="G396" s="10"/>
      <c r="I396" s="436" t="s">
        <v>5391</v>
      </c>
      <c r="J396" s="26" t="s">
        <v>5390</v>
      </c>
      <c r="K396" s="10">
        <v>1.4000000000000001</v>
      </c>
      <c r="L396" s="73">
        <f>IF(Tank1!$C$23="No control",(SUMIF(Tank1!$B$32:$B$49,$J396,Tank1!$C$32:$C$49)*Impacts!$F$8),0)</f>
        <v>0</v>
      </c>
      <c r="M396" s="10">
        <f>IF(Tank2!$C$23="No control",(SUMIF(Tank2!$B$32:$B$49,$J396,Tank2!$C$32:$C$49)*Impacts!$F$9),0)</f>
        <v>0</v>
      </c>
      <c r="N396" s="10">
        <f>IF(Tank3!$C$23="No control",(SUMIF(Tank3!$B$32:$B$49,$J396,Tank3!$C$32:$C$49)*Impacts!$F$10),0)</f>
        <v>0</v>
      </c>
      <c r="O396" s="10">
        <f>IF(Tank4!$C$23="No control",(SUMIF(Tank4!$B$32:$B$49,$J396,Tank4!$C$32:$C$49)*Impacts!$F$11),0)</f>
        <v>0</v>
      </c>
      <c r="P396" s="10">
        <f>IF(Tank5!$C$23="No control",(SUMIF(Tank5!$B$32:$B$49,$J396,Tank5!$C$32:$C$49)*Impacts!$F$12),0)</f>
        <v>0</v>
      </c>
      <c r="Q396" s="10">
        <f>IFERROR(IF(('Loading-drum,tote'!$C$21)="No control",SUMIF(('Loading-drum,tote'!$B$31:$B$48),$J396,('Loading-drum,tote'!$D$31:$D$48))*Impacts!$F$13,IF(('Loading-drum,tote'!$C$21)&lt;&gt;"No control",SUMIF(('Loading-drum,tote'!$B$31:$B$48),$J396,('Loading-drum,tote'!$E$31:$E$48))*Impacts!$F$13,0)),0)</f>
        <v>0</v>
      </c>
      <c r="R396" s="10">
        <f>IFERROR(IF(('Loading-truck'!$C$21)="No control",SUMIF(('Loading-truck'!$B$31:$B$48),$J396,('Loading-truck'!$D$31:$D$48))*Impacts!$F$14,IF(('Loading-truck'!$C$21)&lt;&gt;"No control",SUMIF(('Loading-truck'!$B$31:$B$48),$J396,('Loading-truck'!$E$31:$E$48))*Impacts!$F$14,0)),0)</f>
        <v>0</v>
      </c>
      <c r="S396" s="10">
        <f>IFERROR(IF(('Loading-rail'!$C$21)="No control",SUMIF(('Loading-rail'!$B$31:$B$48),$J396,('Loading-rail'!$D$31:$D$48))*Impacts!$F$15,IF(('Loading-rail'!$C$21)&lt;&gt;"No control",SUMIF(('Loading-rail'!$B$31:$B$48),$J396,('Loading-rail'!$E$31:$E$48))*Impacts!$F$15,0)),0)</f>
        <v>0</v>
      </c>
      <c r="T396" s="10">
        <f>IF(Flare!$C$7="",0,(SUMIF(Flare!$B$46:$B$185,$J396,Flare!$E$46:$E$185)*Impacts!$F$16))</f>
        <v>0</v>
      </c>
      <c r="U396" s="10">
        <f>IF(VCU!$C$9="",0,(SUMIF(VCU!$B$51:$B$193,$J396,VCU!$E$51:$E$193)*Impacts!$F$17))</f>
        <v>0</v>
      </c>
      <c r="V396" s="10">
        <f>IF(CAS!$C$7="",0,(SUMIF(CAS!$B$31:$B$167,$J396,CAS!$E$31:$E$167)*Impacts!$F$18))</f>
        <v>0</v>
      </c>
      <c r="W396" s="10">
        <f t="shared" si="48"/>
        <v>0</v>
      </c>
      <c r="AK396" s="10" t="str">
        <f t="array" ref="AK396">IFERROR(INDEX(SelectedSpecies,SMALL(IF(SelectedSpecies=AK$1,ROW(SelectedSpecies)),ROW(397:397)),2),"")</f>
        <v/>
      </c>
      <c r="BE396" s="10"/>
      <c r="BI396" s="10"/>
    </row>
    <row r="397" spans="1:61" ht="21" customHeight="1" x14ac:dyDescent="0.25">
      <c r="A397" s="10"/>
      <c r="B397" s="10"/>
      <c r="E397" s="10"/>
      <c r="G397" s="10"/>
      <c r="I397" s="436" t="s">
        <v>5337</v>
      </c>
      <c r="J397" s="26" t="s">
        <v>5336</v>
      </c>
      <c r="K397" s="10">
        <v>1.6</v>
      </c>
      <c r="L397" s="73">
        <f>IF(Tank1!$C$23="No control",(SUMIF(Tank1!$B$32:$B$49,$J397,Tank1!$C$32:$C$49)*Impacts!$F$8),0)</f>
        <v>0</v>
      </c>
      <c r="M397" s="10">
        <f>IF(Tank2!$C$23="No control",(SUMIF(Tank2!$B$32:$B$49,$J397,Tank2!$C$32:$C$49)*Impacts!$F$9),0)</f>
        <v>0</v>
      </c>
      <c r="N397" s="10">
        <f>IF(Tank3!$C$23="No control",(SUMIF(Tank3!$B$32:$B$49,$J397,Tank3!$C$32:$C$49)*Impacts!$F$10),0)</f>
        <v>0</v>
      </c>
      <c r="O397" s="10">
        <f>IF(Tank4!$C$23="No control",(SUMIF(Tank4!$B$32:$B$49,$J397,Tank4!$C$32:$C$49)*Impacts!$F$11),0)</f>
        <v>0</v>
      </c>
      <c r="P397" s="10">
        <f>IF(Tank5!$C$23="No control",(SUMIF(Tank5!$B$32:$B$49,$J397,Tank5!$C$32:$C$49)*Impacts!$F$12),0)</f>
        <v>0</v>
      </c>
      <c r="Q397" s="10">
        <f>IFERROR(IF(('Loading-drum,tote'!$C$21)="No control",SUMIF(('Loading-drum,tote'!$B$31:$B$48),$J397,('Loading-drum,tote'!$D$31:$D$48))*Impacts!$F$13,IF(('Loading-drum,tote'!$C$21)&lt;&gt;"No control",SUMIF(('Loading-drum,tote'!$B$31:$B$48),$J397,('Loading-drum,tote'!$E$31:$E$48))*Impacts!$F$13,0)),0)</f>
        <v>0</v>
      </c>
      <c r="R397" s="10">
        <f>IFERROR(IF(('Loading-truck'!$C$21)="No control",SUMIF(('Loading-truck'!$B$31:$B$48),$J397,('Loading-truck'!$D$31:$D$48))*Impacts!$F$14,IF(('Loading-truck'!$C$21)&lt;&gt;"No control",SUMIF(('Loading-truck'!$B$31:$B$48),$J397,('Loading-truck'!$E$31:$E$48))*Impacts!$F$14,0)),0)</f>
        <v>0</v>
      </c>
      <c r="S397" s="10">
        <f>IFERROR(IF(('Loading-rail'!$C$21)="No control",SUMIF(('Loading-rail'!$B$31:$B$48),$J397,('Loading-rail'!$D$31:$D$48))*Impacts!$F$15,IF(('Loading-rail'!$C$21)&lt;&gt;"No control",SUMIF(('Loading-rail'!$B$31:$B$48),$J397,('Loading-rail'!$E$31:$E$48))*Impacts!$F$15,0)),0)</f>
        <v>0</v>
      </c>
      <c r="T397" s="10">
        <f>IF(Flare!$C$7="",0,(SUMIF(Flare!$B$46:$B$185,$J397,Flare!$E$46:$E$185)*Impacts!$F$16))</f>
        <v>0</v>
      </c>
      <c r="U397" s="10">
        <f>IF(VCU!$C$9="",0,(SUMIF(VCU!$B$51:$B$193,$J397,VCU!$E$51:$E$193)*Impacts!$F$17))</f>
        <v>0</v>
      </c>
      <c r="V397" s="10">
        <f>IF(CAS!$C$7="",0,(SUMIF(CAS!$B$31:$B$167,$J397,CAS!$E$31:$E$167)*Impacts!$F$18))</f>
        <v>0</v>
      </c>
      <c r="W397" s="10">
        <f t="shared" si="48"/>
        <v>0</v>
      </c>
      <c r="AK397" s="10" t="str">
        <f t="array" ref="AK397">IFERROR(INDEX(SelectedSpecies,SMALL(IF(SelectedSpecies=AK$1,ROW(SelectedSpecies)),ROW(398:398)),2),"")</f>
        <v/>
      </c>
      <c r="BE397" s="10"/>
      <c r="BI397" s="10"/>
    </row>
    <row r="398" spans="1:61" ht="21" customHeight="1" x14ac:dyDescent="0.25">
      <c r="A398" s="10"/>
      <c r="B398" s="10"/>
      <c r="E398" s="10"/>
      <c r="G398" s="10"/>
      <c r="I398" s="436" t="s">
        <v>379</v>
      </c>
      <c r="J398" s="26" t="s">
        <v>378</v>
      </c>
      <c r="K398" s="10">
        <v>310</v>
      </c>
      <c r="L398" s="73">
        <f>IF(Tank1!$C$23="No control",(SUMIF(Tank1!$B$32:$B$49,$J398,Tank1!$C$32:$C$49)*Impacts!$F$8),0)</f>
        <v>0</v>
      </c>
      <c r="M398" s="10">
        <f>IF(Tank2!$C$23="No control",(SUMIF(Tank2!$B$32:$B$49,$J398,Tank2!$C$32:$C$49)*Impacts!$F$9),0)</f>
        <v>0</v>
      </c>
      <c r="N398" s="10">
        <f>IF(Tank3!$C$23="No control",(SUMIF(Tank3!$B$32:$B$49,$J398,Tank3!$C$32:$C$49)*Impacts!$F$10),0)</f>
        <v>0</v>
      </c>
      <c r="O398" s="10">
        <f>IF(Tank4!$C$23="No control",(SUMIF(Tank4!$B$32:$B$49,$J398,Tank4!$C$32:$C$49)*Impacts!$F$11),0)</f>
        <v>0</v>
      </c>
      <c r="P398" s="10">
        <f>IF(Tank5!$C$23="No control",(SUMIF(Tank5!$B$32:$B$49,$J398,Tank5!$C$32:$C$49)*Impacts!$F$12),0)</f>
        <v>0</v>
      </c>
      <c r="Q398" s="10">
        <f>IFERROR(IF(('Loading-drum,tote'!$C$21)="No control",SUMIF(('Loading-drum,tote'!$B$31:$B$48),$J398,('Loading-drum,tote'!$D$31:$D$48))*Impacts!$F$13,IF(('Loading-drum,tote'!$C$21)&lt;&gt;"No control",SUMIF(('Loading-drum,tote'!$B$31:$B$48),$J398,('Loading-drum,tote'!$E$31:$E$48))*Impacts!$F$13,0)),0)</f>
        <v>0</v>
      </c>
      <c r="R398" s="10">
        <f>IFERROR(IF(('Loading-truck'!$C$21)="No control",SUMIF(('Loading-truck'!$B$31:$B$48),$J398,('Loading-truck'!$D$31:$D$48))*Impacts!$F$14,IF(('Loading-truck'!$C$21)&lt;&gt;"No control",SUMIF(('Loading-truck'!$B$31:$B$48),$J398,('Loading-truck'!$E$31:$E$48))*Impacts!$F$14,0)),0)</f>
        <v>0</v>
      </c>
      <c r="S398" s="10">
        <f>IFERROR(IF(('Loading-rail'!$C$21)="No control",SUMIF(('Loading-rail'!$B$31:$B$48),$J398,('Loading-rail'!$D$31:$D$48))*Impacts!$F$15,IF(('Loading-rail'!$C$21)&lt;&gt;"No control",SUMIF(('Loading-rail'!$B$31:$B$48),$J398,('Loading-rail'!$E$31:$E$48))*Impacts!$F$15,0)),0)</f>
        <v>0</v>
      </c>
      <c r="T398" s="10">
        <f>IF(Flare!$C$7="",0,(SUMIF(Flare!$B$46:$B$185,$J398,Flare!$E$46:$E$185)*Impacts!$F$16))</f>
        <v>0</v>
      </c>
      <c r="U398" s="10">
        <f>IF(VCU!$C$9="",0,(SUMIF(VCU!$B$51:$B$193,$J398,VCU!$E$51:$E$193)*Impacts!$F$17))</f>
        <v>0</v>
      </c>
      <c r="V398" s="10">
        <f>IF(CAS!$C$7="",0,(SUMIF(CAS!$B$31:$B$167,$J398,CAS!$E$31:$E$167)*Impacts!$F$18))</f>
        <v>0</v>
      </c>
      <c r="W398" s="10">
        <f t="shared" si="48"/>
        <v>0</v>
      </c>
      <c r="AK398" s="10" t="str">
        <f t="array" ref="AK398">IFERROR(INDEX(SelectedSpecies,SMALL(IF(SelectedSpecies=AK$1,ROW(SelectedSpecies)),ROW(399:399)),2),"")</f>
        <v/>
      </c>
      <c r="BE398" s="10"/>
      <c r="BI398" s="10"/>
    </row>
    <row r="399" spans="1:61" ht="21" customHeight="1" x14ac:dyDescent="0.25">
      <c r="A399" s="10"/>
      <c r="B399" s="10"/>
      <c r="E399" s="10"/>
      <c r="G399" s="10"/>
      <c r="I399" s="436" t="s">
        <v>6246</v>
      </c>
      <c r="J399" s="26" t="s">
        <v>6245</v>
      </c>
      <c r="K399" s="10">
        <v>0.9900000000000001</v>
      </c>
      <c r="L399" s="73">
        <f>IF(Tank1!$C$23="No control",(SUMIF(Tank1!$B$32:$B$49,$J399,Tank1!$C$32:$C$49)*Impacts!$F$8),0)</f>
        <v>0</v>
      </c>
      <c r="M399" s="10">
        <f>IF(Tank2!$C$23="No control",(SUMIF(Tank2!$B$32:$B$49,$J399,Tank2!$C$32:$C$49)*Impacts!$F$9),0)</f>
        <v>0</v>
      </c>
      <c r="N399" s="10">
        <f>IF(Tank3!$C$23="No control",(SUMIF(Tank3!$B$32:$B$49,$J399,Tank3!$C$32:$C$49)*Impacts!$F$10),0)</f>
        <v>0</v>
      </c>
      <c r="O399" s="10">
        <f>IF(Tank4!$C$23="No control",(SUMIF(Tank4!$B$32:$B$49,$J399,Tank4!$C$32:$C$49)*Impacts!$F$11),0)</f>
        <v>0</v>
      </c>
      <c r="P399" s="10">
        <f>IF(Tank5!$C$23="No control",(SUMIF(Tank5!$B$32:$B$49,$J399,Tank5!$C$32:$C$49)*Impacts!$F$12),0)</f>
        <v>0</v>
      </c>
      <c r="Q399" s="10">
        <f>IFERROR(IF(('Loading-drum,tote'!$C$21)="No control",SUMIF(('Loading-drum,tote'!$B$31:$B$48),$J399,('Loading-drum,tote'!$D$31:$D$48))*Impacts!$F$13,IF(('Loading-drum,tote'!$C$21)&lt;&gt;"No control",SUMIF(('Loading-drum,tote'!$B$31:$B$48),$J399,('Loading-drum,tote'!$E$31:$E$48))*Impacts!$F$13,0)),0)</f>
        <v>0</v>
      </c>
      <c r="R399" s="10">
        <f>IFERROR(IF(('Loading-truck'!$C$21)="No control",SUMIF(('Loading-truck'!$B$31:$B$48),$J399,('Loading-truck'!$D$31:$D$48))*Impacts!$F$14,IF(('Loading-truck'!$C$21)&lt;&gt;"No control",SUMIF(('Loading-truck'!$B$31:$B$48),$J399,('Loading-truck'!$E$31:$E$48))*Impacts!$F$14,0)),0)</f>
        <v>0</v>
      </c>
      <c r="S399" s="10">
        <f>IFERROR(IF(('Loading-rail'!$C$21)="No control",SUMIF(('Loading-rail'!$B$31:$B$48),$J399,('Loading-rail'!$D$31:$D$48))*Impacts!$F$15,IF(('Loading-rail'!$C$21)&lt;&gt;"No control",SUMIF(('Loading-rail'!$B$31:$B$48),$J399,('Loading-rail'!$E$31:$E$48))*Impacts!$F$15,0)),0)</f>
        <v>0</v>
      </c>
      <c r="T399" s="10">
        <f>IF(Flare!$C$7="",0,(SUMIF(Flare!$B$46:$B$185,$J399,Flare!$E$46:$E$185)*Impacts!$F$16))</f>
        <v>0</v>
      </c>
      <c r="U399" s="10">
        <f>IF(VCU!$C$9="",0,(SUMIF(VCU!$B$51:$B$193,$J399,VCU!$E$51:$E$193)*Impacts!$F$17))</f>
        <v>0</v>
      </c>
      <c r="V399" s="10">
        <f>IF(CAS!$C$7="",0,(SUMIF(CAS!$B$31:$B$167,$J399,CAS!$E$31:$E$167)*Impacts!$F$18))</f>
        <v>0</v>
      </c>
      <c r="W399" s="10">
        <f t="shared" si="48"/>
        <v>0</v>
      </c>
      <c r="AK399" s="10" t="str">
        <f t="array" ref="AK399">IFERROR(INDEX(SelectedSpecies,SMALL(IF(SelectedSpecies=AK$1,ROW(SelectedSpecies)),ROW(400:400)),2),"")</f>
        <v/>
      </c>
      <c r="BE399" s="10"/>
      <c r="BI399" s="10"/>
    </row>
    <row r="400" spans="1:61" ht="21" customHeight="1" x14ac:dyDescent="0.25">
      <c r="A400" s="10"/>
      <c r="B400" s="10"/>
      <c r="E400" s="10"/>
      <c r="G400" s="10"/>
      <c r="I400" s="436" t="s">
        <v>1905</v>
      </c>
      <c r="J400" s="26" t="s">
        <v>1904</v>
      </c>
      <c r="K400" s="10">
        <v>19</v>
      </c>
      <c r="L400" s="73">
        <f>IF(Tank1!$C$23="No control",(SUMIF(Tank1!$B$32:$B$49,$J400,Tank1!$C$32:$C$49)*Impacts!$F$8),0)</f>
        <v>0</v>
      </c>
      <c r="M400" s="10">
        <f>IF(Tank2!$C$23="No control",(SUMIF(Tank2!$B$32:$B$49,$J400,Tank2!$C$32:$C$49)*Impacts!$F$9),0)</f>
        <v>0</v>
      </c>
      <c r="N400" s="10">
        <f>IF(Tank3!$C$23="No control",(SUMIF(Tank3!$B$32:$B$49,$J400,Tank3!$C$32:$C$49)*Impacts!$F$10),0)</f>
        <v>0</v>
      </c>
      <c r="O400" s="10">
        <f>IF(Tank4!$C$23="No control",(SUMIF(Tank4!$B$32:$B$49,$J400,Tank4!$C$32:$C$49)*Impacts!$F$11),0)</f>
        <v>0</v>
      </c>
      <c r="P400" s="10">
        <f>IF(Tank5!$C$23="No control",(SUMIF(Tank5!$B$32:$B$49,$J400,Tank5!$C$32:$C$49)*Impacts!$F$12),0)</f>
        <v>0</v>
      </c>
      <c r="Q400" s="10">
        <f>IFERROR(IF(('Loading-drum,tote'!$C$21)="No control",SUMIF(('Loading-drum,tote'!$B$31:$B$48),$J400,('Loading-drum,tote'!$D$31:$D$48))*Impacts!$F$13,IF(('Loading-drum,tote'!$C$21)&lt;&gt;"No control",SUMIF(('Loading-drum,tote'!$B$31:$B$48),$J400,('Loading-drum,tote'!$E$31:$E$48))*Impacts!$F$13,0)),0)</f>
        <v>0</v>
      </c>
      <c r="R400" s="10">
        <f>IFERROR(IF(('Loading-truck'!$C$21)="No control",SUMIF(('Loading-truck'!$B$31:$B$48),$J400,('Loading-truck'!$D$31:$D$48))*Impacts!$F$14,IF(('Loading-truck'!$C$21)&lt;&gt;"No control",SUMIF(('Loading-truck'!$B$31:$B$48),$J400,('Loading-truck'!$E$31:$E$48))*Impacts!$F$14,0)),0)</f>
        <v>0</v>
      </c>
      <c r="S400" s="10">
        <f>IFERROR(IF(('Loading-rail'!$C$21)="No control",SUMIF(('Loading-rail'!$B$31:$B$48),$J400,('Loading-rail'!$D$31:$D$48))*Impacts!$F$15,IF(('Loading-rail'!$C$21)&lt;&gt;"No control",SUMIF(('Loading-rail'!$B$31:$B$48),$J400,('Loading-rail'!$E$31:$E$48))*Impacts!$F$15,0)),0)</f>
        <v>0</v>
      </c>
      <c r="T400" s="10">
        <f>IF(Flare!$C$7="",0,(SUMIF(Flare!$B$46:$B$185,$J400,Flare!$E$46:$E$185)*Impacts!$F$16))</f>
        <v>0</v>
      </c>
      <c r="U400" s="10">
        <f>IF(VCU!$C$9="",0,(SUMIF(VCU!$B$51:$B$193,$J400,VCU!$E$51:$E$193)*Impacts!$F$17))</f>
        <v>0</v>
      </c>
      <c r="V400" s="10">
        <f>IF(CAS!$C$7="",0,(SUMIF(CAS!$B$31:$B$167,$J400,CAS!$E$31:$E$167)*Impacts!$F$18))</f>
        <v>0</v>
      </c>
      <c r="W400" s="10">
        <f t="shared" si="48"/>
        <v>0</v>
      </c>
      <c r="AK400" s="10" t="str">
        <f t="array" ref="AK400">IFERROR(INDEX(SelectedSpecies,SMALL(IF(SelectedSpecies=AK$1,ROW(SelectedSpecies)),ROW(401:401)),2),"")</f>
        <v/>
      </c>
      <c r="BE400" s="10"/>
      <c r="BI400" s="10"/>
    </row>
    <row r="401" spans="1:61" ht="21" customHeight="1" x14ac:dyDescent="0.25">
      <c r="A401" s="10"/>
      <c r="B401" s="10"/>
      <c r="E401" s="10"/>
      <c r="G401" s="10"/>
      <c r="I401" s="436" t="s">
        <v>415</v>
      </c>
      <c r="J401" s="26" t="s">
        <v>414</v>
      </c>
      <c r="K401" s="10">
        <v>210</v>
      </c>
      <c r="L401" s="73">
        <f>IF(Tank1!$C$23="No control",(SUMIF(Tank1!$B$32:$B$49,$J401,Tank1!$C$32:$C$49)*Impacts!$F$8),0)</f>
        <v>0</v>
      </c>
      <c r="M401" s="10">
        <f>IF(Tank2!$C$23="No control",(SUMIF(Tank2!$B$32:$B$49,$J401,Tank2!$C$32:$C$49)*Impacts!$F$9),0)</f>
        <v>0</v>
      </c>
      <c r="N401" s="10">
        <f>IF(Tank3!$C$23="No control",(SUMIF(Tank3!$B$32:$B$49,$J401,Tank3!$C$32:$C$49)*Impacts!$F$10),0)</f>
        <v>0</v>
      </c>
      <c r="O401" s="10">
        <f>IF(Tank4!$C$23="No control",(SUMIF(Tank4!$B$32:$B$49,$J401,Tank4!$C$32:$C$49)*Impacts!$F$11),0)</f>
        <v>0</v>
      </c>
      <c r="P401" s="10">
        <f>IF(Tank5!$C$23="No control",(SUMIF(Tank5!$B$32:$B$49,$J401,Tank5!$C$32:$C$49)*Impacts!$F$12),0)</f>
        <v>0</v>
      </c>
      <c r="Q401" s="10">
        <f>IFERROR(IF(('Loading-drum,tote'!$C$21)="No control",SUMIF(('Loading-drum,tote'!$B$31:$B$48),$J401,('Loading-drum,tote'!$D$31:$D$48))*Impacts!$F$13,IF(('Loading-drum,tote'!$C$21)&lt;&gt;"No control",SUMIF(('Loading-drum,tote'!$B$31:$B$48),$J401,('Loading-drum,tote'!$E$31:$E$48))*Impacts!$F$13,0)),0)</f>
        <v>0</v>
      </c>
      <c r="R401" s="10">
        <f>IFERROR(IF(('Loading-truck'!$C$21)="No control",SUMIF(('Loading-truck'!$B$31:$B$48),$J401,('Loading-truck'!$D$31:$D$48))*Impacts!$F$14,IF(('Loading-truck'!$C$21)&lt;&gt;"No control",SUMIF(('Loading-truck'!$B$31:$B$48),$J401,('Loading-truck'!$E$31:$E$48))*Impacts!$F$14,0)),0)</f>
        <v>0</v>
      </c>
      <c r="S401" s="10">
        <f>IFERROR(IF(('Loading-rail'!$C$21)="No control",SUMIF(('Loading-rail'!$B$31:$B$48),$J401,('Loading-rail'!$D$31:$D$48))*Impacts!$F$15,IF(('Loading-rail'!$C$21)&lt;&gt;"No control",SUMIF(('Loading-rail'!$B$31:$B$48),$J401,('Loading-rail'!$E$31:$E$48))*Impacts!$F$15,0)),0)</f>
        <v>0</v>
      </c>
      <c r="T401" s="10">
        <f>IF(Flare!$C$7="",0,(SUMIF(Flare!$B$46:$B$185,$J401,Flare!$E$46:$E$185)*Impacts!$F$16))</f>
        <v>0</v>
      </c>
      <c r="U401" s="10">
        <f>IF(VCU!$C$9="",0,(SUMIF(VCU!$B$51:$B$193,$J401,VCU!$E$51:$E$193)*Impacts!$F$17))</f>
        <v>0</v>
      </c>
      <c r="V401" s="10">
        <f>IF(CAS!$C$7="",0,(SUMIF(CAS!$B$31:$B$167,$J401,CAS!$E$31:$E$167)*Impacts!$F$18))</f>
        <v>0</v>
      </c>
      <c r="W401" s="10">
        <f t="shared" si="48"/>
        <v>0</v>
      </c>
      <c r="AK401" s="10" t="str">
        <f t="array" ref="AK401">IFERROR(INDEX(SelectedSpecies,SMALL(IF(SelectedSpecies=AK$1,ROW(SelectedSpecies)),ROW(402:402)),2),"")</f>
        <v/>
      </c>
      <c r="BE401" s="10"/>
      <c r="BI401" s="10"/>
    </row>
    <row r="402" spans="1:61" ht="21" customHeight="1" x14ac:dyDescent="0.25">
      <c r="A402" s="10"/>
      <c r="B402" s="10"/>
      <c r="E402" s="10"/>
      <c r="G402" s="10"/>
      <c r="I402" s="436" t="s">
        <v>1436</v>
      </c>
      <c r="J402" s="26" t="s">
        <v>1435</v>
      </c>
      <c r="K402" s="10">
        <v>30</v>
      </c>
      <c r="L402" s="73">
        <f>IF(Tank1!$C$23="No control",(SUMIF(Tank1!$B$32:$B$49,$J402,Tank1!$C$32:$C$49)*Impacts!$F$8),0)</f>
        <v>0</v>
      </c>
      <c r="M402" s="10">
        <f>IF(Tank2!$C$23="No control",(SUMIF(Tank2!$B$32:$B$49,$J402,Tank2!$C$32:$C$49)*Impacts!$F$9),0)</f>
        <v>0</v>
      </c>
      <c r="N402" s="10">
        <f>IF(Tank3!$C$23="No control",(SUMIF(Tank3!$B$32:$B$49,$J402,Tank3!$C$32:$C$49)*Impacts!$F$10),0)</f>
        <v>0</v>
      </c>
      <c r="O402" s="10">
        <f>IF(Tank4!$C$23="No control",(SUMIF(Tank4!$B$32:$B$49,$J402,Tank4!$C$32:$C$49)*Impacts!$F$11),0)</f>
        <v>0</v>
      </c>
      <c r="P402" s="10">
        <f>IF(Tank5!$C$23="No control",(SUMIF(Tank5!$B$32:$B$49,$J402,Tank5!$C$32:$C$49)*Impacts!$F$12),0)</f>
        <v>0</v>
      </c>
      <c r="Q402" s="10">
        <f>IFERROR(IF(('Loading-drum,tote'!$C$21)="No control",SUMIF(('Loading-drum,tote'!$B$31:$B$48),$J402,('Loading-drum,tote'!$D$31:$D$48))*Impacts!$F$13,IF(('Loading-drum,tote'!$C$21)&lt;&gt;"No control",SUMIF(('Loading-drum,tote'!$B$31:$B$48),$J402,('Loading-drum,tote'!$E$31:$E$48))*Impacts!$F$13,0)),0)</f>
        <v>0</v>
      </c>
      <c r="R402" s="10">
        <f>IFERROR(IF(('Loading-truck'!$C$21)="No control",SUMIF(('Loading-truck'!$B$31:$B$48),$J402,('Loading-truck'!$D$31:$D$48))*Impacts!$F$14,IF(('Loading-truck'!$C$21)&lt;&gt;"No control",SUMIF(('Loading-truck'!$B$31:$B$48),$J402,('Loading-truck'!$E$31:$E$48))*Impacts!$F$14,0)),0)</f>
        <v>0</v>
      </c>
      <c r="S402" s="10">
        <f>IFERROR(IF(('Loading-rail'!$C$21)="No control",SUMIF(('Loading-rail'!$B$31:$B$48),$J402,('Loading-rail'!$D$31:$D$48))*Impacts!$F$15,IF(('Loading-rail'!$C$21)&lt;&gt;"No control",SUMIF(('Loading-rail'!$B$31:$B$48),$J402,('Loading-rail'!$E$31:$E$48))*Impacts!$F$15,0)),0)</f>
        <v>0</v>
      </c>
      <c r="T402" s="10">
        <f>IF(Flare!$C$7="",0,(SUMIF(Flare!$B$46:$B$185,$J402,Flare!$E$46:$E$185)*Impacts!$F$16))</f>
        <v>0</v>
      </c>
      <c r="U402" s="10">
        <f>IF(VCU!$C$9="",0,(SUMIF(VCU!$B$51:$B$193,$J402,VCU!$E$51:$E$193)*Impacts!$F$17))</f>
        <v>0</v>
      </c>
      <c r="V402" s="10">
        <f>IF(CAS!$C$7="",0,(SUMIF(CAS!$B$31:$B$167,$J402,CAS!$E$31:$E$167)*Impacts!$F$18))</f>
        <v>0</v>
      </c>
      <c r="W402" s="10">
        <f t="shared" si="48"/>
        <v>0</v>
      </c>
      <c r="AK402" s="10" t="str">
        <f t="array" ref="AK402">IFERROR(INDEX(SelectedSpecies,SMALL(IF(SelectedSpecies=AK$1,ROW(SelectedSpecies)),ROW(403:403)),2),"")</f>
        <v/>
      </c>
      <c r="BE402" s="10"/>
      <c r="BI402" s="10"/>
    </row>
    <row r="403" spans="1:61" ht="21" customHeight="1" x14ac:dyDescent="0.25">
      <c r="A403" s="10"/>
      <c r="B403" s="10"/>
      <c r="E403" s="10"/>
      <c r="G403" s="10"/>
      <c r="I403" s="436" t="s">
        <v>7060</v>
      </c>
      <c r="J403" s="26" t="s">
        <v>7059</v>
      </c>
      <c r="K403" s="10">
        <v>0.4</v>
      </c>
      <c r="L403" s="73">
        <f>IF(Tank1!$C$23="No control",(SUMIF(Tank1!$B$32:$B$49,$J403,Tank1!$C$32:$C$49)*Impacts!$F$8),0)</f>
        <v>0</v>
      </c>
      <c r="M403" s="10">
        <f>IF(Tank2!$C$23="No control",(SUMIF(Tank2!$B$32:$B$49,$J403,Tank2!$C$32:$C$49)*Impacts!$F$9),0)</f>
        <v>0</v>
      </c>
      <c r="N403" s="10">
        <f>IF(Tank3!$C$23="No control",(SUMIF(Tank3!$B$32:$B$49,$J403,Tank3!$C$32:$C$49)*Impacts!$F$10),0)</f>
        <v>0</v>
      </c>
      <c r="O403" s="10">
        <f>IF(Tank4!$C$23="No control",(SUMIF(Tank4!$B$32:$B$49,$J403,Tank4!$C$32:$C$49)*Impacts!$F$11),0)</f>
        <v>0</v>
      </c>
      <c r="P403" s="10">
        <f>IF(Tank5!$C$23="No control",(SUMIF(Tank5!$B$32:$B$49,$J403,Tank5!$C$32:$C$49)*Impacts!$F$12),0)</f>
        <v>0</v>
      </c>
      <c r="Q403" s="10">
        <f>IFERROR(IF(('Loading-drum,tote'!$C$21)="No control",SUMIF(('Loading-drum,tote'!$B$31:$B$48),$J403,('Loading-drum,tote'!$D$31:$D$48))*Impacts!$F$13,IF(('Loading-drum,tote'!$C$21)&lt;&gt;"No control",SUMIF(('Loading-drum,tote'!$B$31:$B$48),$J403,('Loading-drum,tote'!$E$31:$E$48))*Impacts!$F$13,0)),0)</f>
        <v>0</v>
      </c>
      <c r="R403" s="10">
        <f>IFERROR(IF(('Loading-truck'!$C$21)="No control",SUMIF(('Loading-truck'!$B$31:$B$48),$J403,('Loading-truck'!$D$31:$D$48))*Impacts!$F$14,IF(('Loading-truck'!$C$21)&lt;&gt;"No control",SUMIF(('Loading-truck'!$B$31:$B$48),$J403,('Loading-truck'!$E$31:$E$48))*Impacts!$F$14,0)),0)</f>
        <v>0</v>
      </c>
      <c r="S403" s="10">
        <f>IFERROR(IF(('Loading-rail'!$C$21)="No control",SUMIF(('Loading-rail'!$B$31:$B$48),$J403,('Loading-rail'!$D$31:$D$48))*Impacts!$F$15,IF(('Loading-rail'!$C$21)&lt;&gt;"No control",SUMIF(('Loading-rail'!$B$31:$B$48),$J403,('Loading-rail'!$E$31:$E$48))*Impacts!$F$15,0)),0)</f>
        <v>0</v>
      </c>
      <c r="T403" s="10">
        <f>IF(Flare!$C$7="",0,(SUMIF(Flare!$B$46:$B$185,$J403,Flare!$E$46:$E$185)*Impacts!$F$16))</f>
        <v>0</v>
      </c>
      <c r="U403" s="10">
        <f>IF(VCU!$C$9="",0,(SUMIF(VCU!$B$51:$B$193,$J403,VCU!$E$51:$E$193)*Impacts!$F$17))</f>
        <v>0</v>
      </c>
      <c r="V403" s="10">
        <f>IF(CAS!$C$7="",0,(SUMIF(CAS!$B$31:$B$167,$J403,CAS!$E$31:$E$167)*Impacts!$F$18))</f>
        <v>0</v>
      </c>
      <c r="W403" s="10">
        <f t="shared" si="48"/>
        <v>0</v>
      </c>
      <c r="AK403" s="10" t="str">
        <f t="array" ref="AK403">IFERROR(INDEX(SelectedSpecies,SMALL(IF(SelectedSpecies=AK$1,ROW(SelectedSpecies)),ROW(404:404)),2),"")</f>
        <v/>
      </c>
      <c r="BE403" s="10"/>
      <c r="BI403" s="10"/>
    </row>
    <row r="404" spans="1:61" ht="21" customHeight="1" x14ac:dyDescent="0.25">
      <c r="A404" s="10"/>
      <c r="B404" s="10"/>
      <c r="E404" s="10"/>
      <c r="G404" s="10"/>
      <c r="I404" s="436" t="s">
        <v>7422</v>
      </c>
      <c r="J404" s="26" t="s">
        <v>7421</v>
      </c>
      <c r="K404" s="10">
        <v>0.2</v>
      </c>
      <c r="L404" s="73">
        <f>IF(Tank1!$C$23="No control",(SUMIF(Tank1!$B$32:$B$49,$J404,Tank1!$C$32:$C$49)*Impacts!$F$8),0)</f>
        <v>0</v>
      </c>
      <c r="M404" s="10">
        <f>IF(Tank2!$C$23="No control",(SUMIF(Tank2!$B$32:$B$49,$J404,Tank2!$C$32:$C$49)*Impacts!$F$9),0)</f>
        <v>0</v>
      </c>
      <c r="N404" s="10">
        <f>IF(Tank3!$C$23="No control",(SUMIF(Tank3!$B$32:$B$49,$J404,Tank3!$C$32:$C$49)*Impacts!$F$10),0)</f>
        <v>0</v>
      </c>
      <c r="O404" s="10">
        <f>IF(Tank4!$C$23="No control",(SUMIF(Tank4!$B$32:$B$49,$J404,Tank4!$C$32:$C$49)*Impacts!$F$11),0)</f>
        <v>0</v>
      </c>
      <c r="P404" s="10">
        <f>IF(Tank5!$C$23="No control",(SUMIF(Tank5!$B$32:$B$49,$J404,Tank5!$C$32:$C$49)*Impacts!$F$12),0)</f>
        <v>0</v>
      </c>
      <c r="Q404" s="10">
        <f>IFERROR(IF(('Loading-drum,tote'!$C$21)="No control",SUMIF(('Loading-drum,tote'!$B$31:$B$48),$J404,('Loading-drum,tote'!$D$31:$D$48))*Impacts!$F$13,IF(('Loading-drum,tote'!$C$21)&lt;&gt;"No control",SUMIF(('Loading-drum,tote'!$B$31:$B$48),$J404,('Loading-drum,tote'!$E$31:$E$48))*Impacts!$F$13,0)),0)</f>
        <v>0</v>
      </c>
      <c r="R404" s="10">
        <f>IFERROR(IF(('Loading-truck'!$C$21)="No control",SUMIF(('Loading-truck'!$B$31:$B$48),$J404,('Loading-truck'!$D$31:$D$48))*Impacts!$F$14,IF(('Loading-truck'!$C$21)&lt;&gt;"No control",SUMIF(('Loading-truck'!$B$31:$B$48),$J404,('Loading-truck'!$E$31:$E$48))*Impacts!$F$14,0)),0)</f>
        <v>0</v>
      </c>
      <c r="S404" s="10">
        <f>IFERROR(IF(('Loading-rail'!$C$21)="No control",SUMIF(('Loading-rail'!$B$31:$B$48),$J404,('Loading-rail'!$D$31:$D$48))*Impacts!$F$15,IF(('Loading-rail'!$C$21)&lt;&gt;"No control",SUMIF(('Loading-rail'!$B$31:$B$48),$J404,('Loading-rail'!$E$31:$E$48))*Impacts!$F$15,0)),0)</f>
        <v>0</v>
      </c>
      <c r="T404" s="10">
        <f>IF(Flare!$C$7="",0,(SUMIF(Flare!$B$46:$B$185,$J404,Flare!$E$46:$E$185)*Impacts!$F$16))</f>
        <v>0</v>
      </c>
      <c r="U404" s="10">
        <f>IF(VCU!$C$9="",0,(SUMIF(VCU!$B$51:$B$193,$J404,VCU!$E$51:$E$193)*Impacts!$F$17))</f>
        <v>0</v>
      </c>
      <c r="V404" s="10">
        <f>IF(CAS!$C$7="",0,(SUMIF(CAS!$B$31:$B$167,$J404,CAS!$E$31:$E$167)*Impacts!$F$18))</f>
        <v>0</v>
      </c>
      <c r="W404" s="10">
        <f t="shared" si="48"/>
        <v>0</v>
      </c>
      <c r="AK404" s="10" t="str">
        <f t="array" ref="AK404">IFERROR(INDEX(SelectedSpecies,SMALL(IF(SelectedSpecies=AK$1,ROW(SelectedSpecies)),ROW(405:405)),2),"")</f>
        <v/>
      </c>
      <c r="BE404" s="10"/>
      <c r="BI404" s="10"/>
    </row>
    <row r="405" spans="1:61" ht="21" customHeight="1" x14ac:dyDescent="0.25">
      <c r="A405" s="10"/>
      <c r="B405" s="10"/>
      <c r="E405" s="10"/>
      <c r="G405" s="10"/>
      <c r="I405" s="436" t="s">
        <v>2069</v>
      </c>
      <c r="J405" s="26" t="s">
        <v>2068</v>
      </c>
      <c r="K405" s="10">
        <v>15</v>
      </c>
      <c r="L405" s="73">
        <f>IF(Tank1!$C$23="No control",(SUMIF(Tank1!$B$32:$B$49,$J405,Tank1!$C$32:$C$49)*Impacts!$F$8),0)</f>
        <v>0</v>
      </c>
      <c r="M405" s="10">
        <f>IF(Tank2!$C$23="No control",(SUMIF(Tank2!$B$32:$B$49,$J405,Tank2!$C$32:$C$49)*Impacts!$F$9),0)</f>
        <v>0</v>
      </c>
      <c r="N405" s="10">
        <f>IF(Tank3!$C$23="No control",(SUMIF(Tank3!$B$32:$B$49,$J405,Tank3!$C$32:$C$49)*Impacts!$F$10),0)</f>
        <v>0</v>
      </c>
      <c r="O405" s="10">
        <f>IF(Tank4!$C$23="No control",(SUMIF(Tank4!$B$32:$B$49,$J405,Tank4!$C$32:$C$49)*Impacts!$F$11),0)</f>
        <v>0</v>
      </c>
      <c r="P405" s="10">
        <f>IF(Tank5!$C$23="No control",(SUMIF(Tank5!$B$32:$B$49,$J405,Tank5!$C$32:$C$49)*Impacts!$F$12),0)</f>
        <v>0</v>
      </c>
      <c r="Q405" s="10">
        <f>IFERROR(IF(('Loading-drum,tote'!$C$21)="No control",SUMIF(('Loading-drum,tote'!$B$31:$B$48),$J405,('Loading-drum,tote'!$D$31:$D$48))*Impacts!$F$13,IF(('Loading-drum,tote'!$C$21)&lt;&gt;"No control",SUMIF(('Loading-drum,tote'!$B$31:$B$48),$J405,('Loading-drum,tote'!$E$31:$E$48))*Impacts!$F$13,0)),0)</f>
        <v>0</v>
      </c>
      <c r="R405" s="10">
        <f>IFERROR(IF(('Loading-truck'!$C$21)="No control",SUMIF(('Loading-truck'!$B$31:$B$48),$J405,('Loading-truck'!$D$31:$D$48))*Impacts!$F$14,IF(('Loading-truck'!$C$21)&lt;&gt;"No control",SUMIF(('Loading-truck'!$B$31:$B$48),$J405,('Loading-truck'!$E$31:$E$48))*Impacts!$F$14,0)),0)</f>
        <v>0</v>
      </c>
      <c r="S405" s="10">
        <f>IFERROR(IF(('Loading-rail'!$C$21)="No control",SUMIF(('Loading-rail'!$B$31:$B$48),$J405,('Loading-rail'!$D$31:$D$48))*Impacts!$F$15,IF(('Loading-rail'!$C$21)&lt;&gt;"No control",SUMIF(('Loading-rail'!$B$31:$B$48),$J405,('Loading-rail'!$E$31:$E$48))*Impacts!$F$15,0)),0)</f>
        <v>0</v>
      </c>
      <c r="T405" s="10">
        <f>IF(Flare!$C$7="",0,(SUMIF(Flare!$B$46:$B$185,$J405,Flare!$E$46:$E$185)*Impacts!$F$16))</f>
        <v>0</v>
      </c>
      <c r="U405" s="10">
        <f>IF(VCU!$C$9="",0,(SUMIF(VCU!$B$51:$B$193,$J405,VCU!$E$51:$E$193)*Impacts!$F$17))</f>
        <v>0</v>
      </c>
      <c r="V405" s="10">
        <f>IF(CAS!$C$7="",0,(SUMIF(CAS!$B$31:$B$167,$J405,CAS!$E$31:$E$167)*Impacts!$F$18))</f>
        <v>0</v>
      </c>
      <c r="W405" s="10">
        <f t="shared" si="48"/>
        <v>0</v>
      </c>
      <c r="AK405" s="10" t="str">
        <f t="array" ref="AK405">IFERROR(INDEX(SelectedSpecies,SMALL(IF(SelectedSpecies=AK$1,ROW(SelectedSpecies)),ROW(406:406)),2),"")</f>
        <v/>
      </c>
      <c r="BE405" s="10"/>
      <c r="BI405" s="10"/>
    </row>
    <row r="406" spans="1:61" ht="21" customHeight="1" x14ac:dyDescent="0.25">
      <c r="A406" s="10"/>
      <c r="B406" s="10"/>
      <c r="E406" s="10"/>
      <c r="G406" s="10"/>
      <c r="I406" s="436" t="s">
        <v>4851</v>
      </c>
      <c r="J406" s="26" t="s">
        <v>4850</v>
      </c>
      <c r="K406" s="10">
        <v>2.8000000000000003</v>
      </c>
      <c r="L406" s="73">
        <f>IF(Tank1!$C$23="No control",(SUMIF(Tank1!$B$32:$B$49,$J406,Tank1!$C$32:$C$49)*Impacts!$F$8),0)</f>
        <v>0</v>
      </c>
      <c r="M406" s="10">
        <f>IF(Tank2!$C$23="No control",(SUMIF(Tank2!$B$32:$B$49,$J406,Tank2!$C$32:$C$49)*Impacts!$F$9),0)</f>
        <v>0</v>
      </c>
      <c r="N406" s="10">
        <f>IF(Tank3!$C$23="No control",(SUMIF(Tank3!$B$32:$B$49,$J406,Tank3!$C$32:$C$49)*Impacts!$F$10),0)</f>
        <v>0</v>
      </c>
      <c r="O406" s="10">
        <f>IF(Tank4!$C$23="No control",(SUMIF(Tank4!$B$32:$B$49,$J406,Tank4!$C$32:$C$49)*Impacts!$F$11),0)</f>
        <v>0</v>
      </c>
      <c r="P406" s="10">
        <f>IF(Tank5!$C$23="No control",(SUMIF(Tank5!$B$32:$B$49,$J406,Tank5!$C$32:$C$49)*Impacts!$F$12),0)</f>
        <v>0</v>
      </c>
      <c r="Q406" s="10">
        <f>IFERROR(IF(('Loading-drum,tote'!$C$21)="No control",SUMIF(('Loading-drum,tote'!$B$31:$B$48),$J406,('Loading-drum,tote'!$D$31:$D$48))*Impacts!$F$13,IF(('Loading-drum,tote'!$C$21)&lt;&gt;"No control",SUMIF(('Loading-drum,tote'!$B$31:$B$48),$J406,('Loading-drum,tote'!$E$31:$E$48))*Impacts!$F$13,0)),0)</f>
        <v>0</v>
      </c>
      <c r="R406" s="10">
        <f>IFERROR(IF(('Loading-truck'!$C$21)="No control",SUMIF(('Loading-truck'!$B$31:$B$48),$J406,('Loading-truck'!$D$31:$D$48))*Impacts!$F$14,IF(('Loading-truck'!$C$21)&lt;&gt;"No control",SUMIF(('Loading-truck'!$B$31:$B$48),$J406,('Loading-truck'!$E$31:$E$48))*Impacts!$F$14,0)),0)</f>
        <v>0</v>
      </c>
      <c r="S406" s="10">
        <f>IFERROR(IF(('Loading-rail'!$C$21)="No control",SUMIF(('Loading-rail'!$B$31:$B$48),$J406,('Loading-rail'!$D$31:$D$48))*Impacts!$F$15,IF(('Loading-rail'!$C$21)&lt;&gt;"No control",SUMIF(('Loading-rail'!$B$31:$B$48),$J406,('Loading-rail'!$E$31:$E$48))*Impacts!$F$15,0)),0)</f>
        <v>0</v>
      </c>
      <c r="T406" s="10">
        <f>IF(Flare!$C$7="",0,(SUMIF(Flare!$B$46:$B$185,$J406,Flare!$E$46:$E$185)*Impacts!$F$16))</f>
        <v>0</v>
      </c>
      <c r="U406" s="10">
        <f>IF(VCU!$C$9="",0,(SUMIF(VCU!$B$51:$B$193,$J406,VCU!$E$51:$E$193)*Impacts!$F$17))</f>
        <v>0</v>
      </c>
      <c r="V406" s="10">
        <f>IF(CAS!$C$7="",0,(SUMIF(CAS!$B$31:$B$167,$J406,CAS!$E$31:$E$167)*Impacts!$F$18))</f>
        <v>0</v>
      </c>
      <c r="W406" s="10">
        <f t="shared" si="48"/>
        <v>0</v>
      </c>
      <c r="AK406" s="10" t="str">
        <f t="array" ref="AK406">IFERROR(INDEX(SelectedSpecies,SMALL(IF(SelectedSpecies=AK$1,ROW(SelectedSpecies)),ROW(407:407)),2),"")</f>
        <v/>
      </c>
      <c r="BE406" s="10"/>
      <c r="BI406" s="10"/>
    </row>
    <row r="407" spans="1:61" ht="21" customHeight="1" x14ac:dyDescent="0.25">
      <c r="A407" s="10"/>
      <c r="B407" s="10"/>
      <c r="E407" s="10"/>
      <c r="G407" s="10"/>
      <c r="I407" s="436" t="s">
        <v>1929</v>
      </c>
      <c r="J407" s="26" t="s">
        <v>1928</v>
      </c>
      <c r="K407" s="10">
        <v>18</v>
      </c>
      <c r="L407" s="73">
        <f>IF(Tank1!$C$23="No control",(SUMIF(Tank1!$B$32:$B$49,$J407,Tank1!$C$32:$C$49)*Impacts!$F$8),0)</f>
        <v>0</v>
      </c>
      <c r="M407" s="10">
        <f>IF(Tank2!$C$23="No control",(SUMIF(Tank2!$B$32:$B$49,$J407,Tank2!$C$32:$C$49)*Impacts!$F$9),0)</f>
        <v>0</v>
      </c>
      <c r="N407" s="10">
        <f>IF(Tank3!$C$23="No control",(SUMIF(Tank3!$B$32:$B$49,$J407,Tank3!$C$32:$C$49)*Impacts!$F$10),0)</f>
        <v>0</v>
      </c>
      <c r="O407" s="10">
        <f>IF(Tank4!$C$23="No control",(SUMIF(Tank4!$B$32:$B$49,$J407,Tank4!$C$32:$C$49)*Impacts!$F$11),0)</f>
        <v>0</v>
      </c>
      <c r="P407" s="10">
        <f>IF(Tank5!$C$23="No control",(SUMIF(Tank5!$B$32:$B$49,$J407,Tank5!$C$32:$C$49)*Impacts!$F$12),0)</f>
        <v>0</v>
      </c>
      <c r="Q407" s="10">
        <f>IFERROR(IF(('Loading-drum,tote'!$C$21)="No control",SUMIF(('Loading-drum,tote'!$B$31:$B$48),$J407,('Loading-drum,tote'!$D$31:$D$48))*Impacts!$F$13,IF(('Loading-drum,tote'!$C$21)&lt;&gt;"No control",SUMIF(('Loading-drum,tote'!$B$31:$B$48),$J407,('Loading-drum,tote'!$E$31:$E$48))*Impacts!$F$13,0)),0)</f>
        <v>0</v>
      </c>
      <c r="R407" s="10">
        <f>IFERROR(IF(('Loading-truck'!$C$21)="No control",SUMIF(('Loading-truck'!$B$31:$B$48),$J407,('Loading-truck'!$D$31:$D$48))*Impacts!$F$14,IF(('Loading-truck'!$C$21)&lt;&gt;"No control",SUMIF(('Loading-truck'!$B$31:$B$48),$J407,('Loading-truck'!$E$31:$E$48))*Impacts!$F$14,0)),0)</f>
        <v>0</v>
      </c>
      <c r="S407" s="10">
        <f>IFERROR(IF(('Loading-rail'!$C$21)="No control",SUMIF(('Loading-rail'!$B$31:$B$48),$J407,('Loading-rail'!$D$31:$D$48))*Impacts!$F$15,IF(('Loading-rail'!$C$21)&lt;&gt;"No control",SUMIF(('Loading-rail'!$B$31:$B$48),$J407,('Loading-rail'!$E$31:$E$48))*Impacts!$F$15,0)),0)</f>
        <v>0</v>
      </c>
      <c r="T407" s="10">
        <f>IF(Flare!$C$7="",0,(SUMIF(Flare!$B$46:$B$185,$J407,Flare!$E$46:$E$185)*Impacts!$F$16))</f>
        <v>0</v>
      </c>
      <c r="U407" s="10">
        <f>IF(VCU!$C$9="",0,(SUMIF(VCU!$B$51:$B$193,$J407,VCU!$E$51:$E$193)*Impacts!$F$17))</f>
        <v>0</v>
      </c>
      <c r="V407" s="10">
        <f>IF(CAS!$C$7="",0,(SUMIF(CAS!$B$31:$B$167,$J407,CAS!$E$31:$E$167)*Impacts!$F$18))</f>
        <v>0</v>
      </c>
      <c r="W407" s="10">
        <f t="shared" si="48"/>
        <v>0</v>
      </c>
      <c r="AK407" s="10" t="str">
        <f t="array" ref="AK407">IFERROR(INDEX(SelectedSpecies,SMALL(IF(SelectedSpecies=AK$1,ROW(SelectedSpecies)),ROW(408:408)),2),"")</f>
        <v/>
      </c>
      <c r="BE407" s="10"/>
      <c r="BI407" s="10"/>
    </row>
    <row r="408" spans="1:61" ht="21" customHeight="1" x14ac:dyDescent="0.25">
      <c r="A408" s="10"/>
      <c r="B408" s="10"/>
      <c r="E408" s="10"/>
      <c r="G408" s="10"/>
      <c r="I408" s="436" t="s">
        <v>4073</v>
      </c>
      <c r="J408" s="26" t="s">
        <v>4072</v>
      </c>
      <c r="K408" s="10">
        <v>5.7</v>
      </c>
      <c r="L408" s="73">
        <f>IF(Tank1!$C$23="No control",(SUMIF(Tank1!$B$32:$B$49,$J408,Tank1!$C$32:$C$49)*Impacts!$F$8),0)</f>
        <v>0</v>
      </c>
      <c r="M408" s="10">
        <f>IF(Tank2!$C$23="No control",(SUMIF(Tank2!$B$32:$B$49,$J408,Tank2!$C$32:$C$49)*Impacts!$F$9),0)</f>
        <v>0</v>
      </c>
      <c r="N408" s="10">
        <f>IF(Tank3!$C$23="No control",(SUMIF(Tank3!$B$32:$B$49,$J408,Tank3!$C$32:$C$49)*Impacts!$F$10),0)</f>
        <v>0</v>
      </c>
      <c r="O408" s="10">
        <f>IF(Tank4!$C$23="No control",(SUMIF(Tank4!$B$32:$B$49,$J408,Tank4!$C$32:$C$49)*Impacts!$F$11),0)</f>
        <v>0</v>
      </c>
      <c r="P408" s="10">
        <f>IF(Tank5!$C$23="No control",(SUMIF(Tank5!$B$32:$B$49,$J408,Tank5!$C$32:$C$49)*Impacts!$F$12),0)</f>
        <v>0</v>
      </c>
      <c r="Q408" s="10">
        <f>IFERROR(IF(('Loading-drum,tote'!$C$21)="No control",SUMIF(('Loading-drum,tote'!$B$31:$B$48),$J408,('Loading-drum,tote'!$D$31:$D$48))*Impacts!$F$13,IF(('Loading-drum,tote'!$C$21)&lt;&gt;"No control",SUMIF(('Loading-drum,tote'!$B$31:$B$48),$J408,('Loading-drum,tote'!$E$31:$E$48))*Impacts!$F$13,0)),0)</f>
        <v>0</v>
      </c>
      <c r="R408" s="10">
        <f>IFERROR(IF(('Loading-truck'!$C$21)="No control",SUMIF(('Loading-truck'!$B$31:$B$48),$J408,('Loading-truck'!$D$31:$D$48))*Impacts!$F$14,IF(('Loading-truck'!$C$21)&lt;&gt;"No control",SUMIF(('Loading-truck'!$B$31:$B$48),$J408,('Loading-truck'!$E$31:$E$48))*Impacts!$F$14,0)),0)</f>
        <v>0</v>
      </c>
      <c r="S408" s="10">
        <f>IFERROR(IF(('Loading-rail'!$C$21)="No control",SUMIF(('Loading-rail'!$B$31:$B$48),$J408,('Loading-rail'!$D$31:$D$48))*Impacts!$F$15,IF(('Loading-rail'!$C$21)&lt;&gt;"No control",SUMIF(('Loading-rail'!$B$31:$B$48),$J408,('Loading-rail'!$E$31:$E$48))*Impacts!$F$15,0)),0)</f>
        <v>0</v>
      </c>
      <c r="T408" s="10">
        <f>IF(Flare!$C$7="",0,(SUMIF(Flare!$B$46:$B$185,$J408,Flare!$E$46:$E$185)*Impacts!$F$16))</f>
        <v>0</v>
      </c>
      <c r="U408" s="10">
        <f>IF(VCU!$C$9="",0,(SUMIF(VCU!$B$51:$B$193,$J408,VCU!$E$51:$E$193)*Impacts!$F$17))</f>
        <v>0</v>
      </c>
      <c r="V408" s="10">
        <f>IF(CAS!$C$7="",0,(SUMIF(CAS!$B$31:$B$167,$J408,CAS!$E$31:$E$167)*Impacts!$F$18))</f>
        <v>0</v>
      </c>
      <c r="W408" s="10">
        <f t="shared" si="48"/>
        <v>0</v>
      </c>
      <c r="AK408" s="10" t="str">
        <f t="array" ref="AK408">IFERROR(INDEX(SelectedSpecies,SMALL(IF(SelectedSpecies=AK$1,ROW(SelectedSpecies)),ROW(409:409)),2),"")</f>
        <v/>
      </c>
      <c r="BE408" s="10"/>
      <c r="BI408" s="10"/>
    </row>
    <row r="409" spans="1:61" ht="21" customHeight="1" x14ac:dyDescent="0.25">
      <c r="A409" s="10"/>
      <c r="B409" s="10"/>
      <c r="E409" s="10"/>
      <c r="G409" s="10"/>
      <c r="I409" s="436" t="s">
        <v>4159</v>
      </c>
      <c r="J409" s="26" t="s">
        <v>4158</v>
      </c>
      <c r="K409" s="10">
        <v>5</v>
      </c>
      <c r="L409" s="73">
        <f>IF(Tank1!$C$23="No control",(SUMIF(Tank1!$B$32:$B$49,$J409,Tank1!$C$32:$C$49)*Impacts!$F$8),0)</f>
        <v>0</v>
      </c>
      <c r="M409" s="10">
        <f>IF(Tank2!$C$23="No control",(SUMIF(Tank2!$B$32:$B$49,$J409,Tank2!$C$32:$C$49)*Impacts!$F$9),0)</f>
        <v>0</v>
      </c>
      <c r="N409" s="10">
        <f>IF(Tank3!$C$23="No control",(SUMIF(Tank3!$B$32:$B$49,$J409,Tank3!$C$32:$C$49)*Impacts!$F$10),0)</f>
        <v>0</v>
      </c>
      <c r="O409" s="10">
        <f>IF(Tank4!$C$23="No control",(SUMIF(Tank4!$B$32:$B$49,$J409,Tank4!$C$32:$C$49)*Impacts!$F$11),0)</f>
        <v>0</v>
      </c>
      <c r="P409" s="10">
        <f>IF(Tank5!$C$23="No control",(SUMIF(Tank5!$B$32:$B$49,$J409,Tank5!$C$32:$C$49)*Impacts!$F$12),0)</f>
        <v>0</v>
      </c>
      <c r="Q409" s="10">
        <f>IFERROR(IF(('Loading-drum,tote'!$C$21)="No control",SUMIF(('Loading-drum,tote'!$B$31:$B$48),$J409,('Loading-drum,tote'!$D$31:$D$48))*Impacts!$F$13,IF(('Loading-drum,tote'!$C$21)&lt;&gt;"No control",SUMIF(('Loading-drum,tote'!$B$31:$B$48),$J409,('Loading-drum,tote'!$E$31:$E$48))*Impacts!$F$13,0)),0)</f>
        <v>0</v>
      </c>
      <c r="R409" s="10">
        <f>IFERROR(IF(('Loading-truck'!$C$21)="No control",SUMIF(('Loading-truck'!$B$31:$B$48),$J409,('Loading-truck'!$D$31:$D$48))*Impacts!$F$14,IF(('Loading-truck'!$C$21)&lt;&gt;"No control",SUMIF(('Loading-truck'!$B$31:$B$48),$J409,('Loading-truck'!$E$31:$E$48))*Impacts!$F$14,0)),0)</f>
        <v>0</v>
      </c>
      <c r="S409" s="10">
        <f>IFERROR(IF(('Loading-rail'!$C$21)="No control",SUMIF(('Loading-rail'!$B$31:$B$48),$J409,('Loading-rail'!$D$31:$D$48))*Impacts!$F$15,IF(('Loading-rail'!$C$21)&lt;&gt;"No control",SUMIF(('Loading-rail'!$B$31:$B$48),$J409,('Loading-rail'!$E$31:$E$48))*Impacts!$F$15,0)),0)</f>
        <v>0</v>
      </c>
      <c r="T409" s="10">
        <f>IF(Flare!$C$7="",0,(SUMIF(Flare!$B$46:$B$185,$J409,Flare!$E$46:$E$185)*Impacts!$F$16))</f>
        <v>0</v>
      </c>
      <c r="U409" s="10">
        <f>IF(VCU!$C$9="",0,(SUMIF(VCU!$B$51:$B$193,$J409,VCU!$E$51:$E$193)*Impacts!$F$17))</f>
        <v>0</v>
      </c>
      <c r="V409" s="10">
        <f>IF(CAS!$C$7="",0,(SUMIF(CAS!$B$31:$B$167,$J409,CAS!$E$31:$E$167)*Impacts!$F$18))</f>
        <v>0</v>
      </c>
      <c r="W409" s="10">
        <f t="shared" si="48"/>
        <v>0</v>
      </c>
      <c r="AK409" s="10" t="str">
        <f t="array" ref="AK409">IFERROR(INDEX(SelectedSpecies,SMALL(IF(SelectedSpecies=AK$1,ROW(SelectedSpecies)),ROW(410:410)),2),"")</f>
        <v/>
      </c>
      <c r="BE409" s="10"/>
      <c r="BI409" s="10"/>
    </row>
    <row r="410" spans="1:61" ht="21" customHeight="1" x14ac:dyDescent="0.25">
      <c r="A410" s="10"/>
      <c r="B410" s="10"/>
      <c r="E410" s="10"/>
      <c r="G410" s="10"/>
      <c r="I410" s="436" t="s">
        <v>5692</v>
      </c>
      <c r="J410" s="26" t="s">
        <v>5691</v>
      </c>
      <c r="K410" s="10">
        <v>1</v>
      </c>
      <c r="L410" s="73">
        <f>IF(Tank1!$C$23="No control",(SUMIF(Tank1!$B$32:$B$49,$J410,Tank1!$C$32:$C$49)*Impacts!$F$8),0)</f>
        <v>0</v>
      </c>
      <c r="M410" s="10">
        <f>IF(Tank2!$C$23="No control",(SUMIF(Tank2!$B$32:$B$49,$J410,Tank2!$C$32:$C$49)*Impacts!$F$9),0)</f>
        <v>0</v>
      </c>
      <c r="N410" s="10">
        <f>IF(Tank3!$C$23="No control",(SUMIF(Tank3!$B$32:$B$49,$J410,Tank3!$C$32:$C$49)*Impacts!$F$10),0)</f>
        <v>0</v>
      </c>
      <c r="O410" s="10">
        <f>IF(Tank4!$C$23="No control",(SUMIF(Tank4!$B$32:$B$49,$J410,Tank4!$C$32:$C$49)*Impacts!$F$11),0)</f>
        <v>0</v>
      </c>
      <c r="P410" s="10">
        <f>IF(Tank5!$C$23="No control",(SUMIF(Tank5!$B$32:$B$49,$J410,Tank5!$C$32:$C$49)*Impacts!$F$12),0)</f>
        <v>0</v>
      </c>
      <c r="Q410" s="10">
        <f>IFERROR(IF(('Loading-drum,tote'!$C$21)="No control",SUMIF(('Loading-drum,tote'!$B$31:$B$48),$J410,('Loading-drum,tote'!$D$31:$D$48))*Impacts!$F$13,IF(('Loading-drum,tote'!$C$21)&lt;&gt;"No control",SUMIF(('Loading-drum,tote'!$B$31:$B$48),$J410,('Loading-drum,tote'!$E$31:$E$48))*Impacts!$F$13,0)),0)</f>
        <v>0</v>
      </c>
      <c r="R410" s="10">
        <f>IFERROR(IF(('Loading-truck'!$C$21)="No control",SUMIF(('Loading-truck'!$B$31:$B$48),$J410,('Loading-truck'!$D$31:$D$48))*Impacts!$F$14,IF(('Loading-truck'!$C$21)&lt;&gt;"No control",SUMIF(('Loading-truck'!$B$31:$B$48),$J410,('Loading-truck'!$E$31:$E$48))*Impacts!$F$14,0)),0)</f>
        <v>0</v>
      </c>
      <c r="S410" s="10">
        <f>IFERROR(IF(('Loading-rail'!$C$21)="No control",SUMIF(('Loading-rail'!$B$31:$B$48),$J410,('Loading-rail'!$D$31:$D$48))*Impacts!$F$15,IF(('Loading-rail'!$C$21)&lt;&gt;"No control",SUMIF(('Loading-rail'!$B$31:$B$48),$J410,('Loading-rail'!$E$31:$E$48))*Impacts!$F$15,0)),0)</f>
        <v>0</v>
      </c>
      <c r="T410" s="10">
        <f>IF(Flare!$C$7="",0,(SUMIF(Flare!$B$46:$B$185,$J410,Flare!$E$46:$E$185)*Impacts!$F$16))</f>
        <v>0</v>
      </c>
      <c r="U410" s="10">
        <f>IF(VCU!$C$9="",0,(SUMIF(VCU!$B$51:$B$193,$J410,VCU!$E$51:$E$193)*Impacts!$F$17))</f>
        <v>0</v>
      </c>
      <c r="V410" s="10">
        <f>IF(CAS!$C$7="",0,(SUMIF(CAS!$B$31:$B$167,$J410,CAS!$E$31:$E$167)*Impacts!$F$18))</f>
        <v>0</v>
      </c>
      <c r="W410" s="10">
        <f t="shared" si="48"/>
        <v>0</v>
      </c>
      <c r="AK410" s="10" t="str">
        <f t="array" ref="AK410">IFERROR(INDEX(SelectedSpecies,SMALL(IF(SelectedSpecies=AK$1,ROW(SelectedSpecies)),ROW(411:411)),2),"")</f>
        <v/>
      </c>
      <c r="BE410" s="10"/>
      <c r="BI410" s="10"/>
    </row>
    <row r="411" spans="1:61" ht="21" customHeight="1" x14ac:dyDescent="0.25">
      <c r="A411" s="10"/>
      <c r="B411" s="10"/>
      <c r="E411" s="10"/>
      <c r="G411" s="10"/>
      <c r="I411" s="436" t="s">
        <v>7690</v>
      </c>
      <c r="J411" s="26" t="s">
        <v>7689</v>
      </c>
      <c r="K411" s="10">
        <v>0.1</v>
      </c>
      <c r="L411" s="73">
        <f>IF(Tank1!$C$23="No control",(SUMIF(Tank1!$B$32:$B$49,$J411,Tank1!$C$32:$C$49)*Impacts!$F$8),0)</f>
        <v>0</v>
      </c>
      <c r="M411" s="10">
        <f>IF(Tank2!$C$23="No control",(SUMIF(Tank2!$B$32:$B$49,$J411,Tank2!$C$32:$C$49)*Impacts!$F$9),0)</f>
        <v>0</v>
      </c>
      <c r="N411" s="10">
        <f>IF(Tank3!$C$23="No control",(SUMIF(Tank3!$B$32:$B$49,$J411,Tank3!$C$32:$C$49)*Impacts!$F$10),0)</f>
        <v>0</v>
      </c>
      <c r="O411" s="10">
        <f>IF(Tank4!$C$23="No control",(SUMIF(Tank4!$B$32:$B$49,$J411,Tank4!$C$32:$C$49)*Impacts!$F$11),0)</f>
        <v>0</v>
      </c>
      <c r="P411" s="10">
        <f>IF(Tank5!$C$23="No control",(SUMIF(Tank5!$B$32:$B$49,$J411,Tank5!$C$32:$C$49)*Impacts!$F$12),0)</f>
        <v>0</v>
      </c>
      <c r="Q411" s="10">
        <f>IFERROR(IF(('Loading-drum,tote'!$C$21)="No control",SUMIF(('Loading-drum,tote'!$B$31:$B$48),$J411,('Loading-drum,tote'!$D$31:$D$48))*Impacts!$F$13,IF(('Loading-drum,tote'!$C$21)&lt;&gt;"No control",SUMIF(('Loading-drum,tote'!$B$31:$B$48),$J411,('Loading-drum,tote'!$E$31:$E$48))*Impacts!$F$13,0)),0)</f>
        <v>0</v>
      </c>
      <c r="R411" s="10">
        <f>IFERROR(IF(('Loading-truck'!$C$21)="No control",SUMIF(('Loading-truck'!$B$31:$B$48),$J411,('Loading-truck'!$D$31:$D$48))*Impacts!$F$14,IF(('Loading-truck'!$C$21)&lt;&gt;"No control",SUMIF(('Loading-truck'!$B$31:$B$48),$J411,('Loading-truck'!$E$31:$E$48))*Impacts!$F$14,0)),0)</f>
        <v>0</v>
      </c>
      <c r="S411" s="10">
        <f>IFERROR(IF(('Loading-rail'!$C$21)="No control",SUMIF(('Loading-rail'!$B$31:$B$48),$J411,('Loading-rail'!$D$31:$D$48))*Impacts!$F$15,IF(('Loading-rail'!$C$21)&lt;&gt;"No control",SUMIF(('Loading-rail'!$B$31:$B$48),$J411,('Loading-rail'!$E$31:$E$48))*Impacts!$F$15,0)),0)</f>
        <v>0</v>
      </c>
      <c r="T411" s="10">
        <f>IF(Flare!$C$7="",0,(SUMIF(Flare!$B$46:$B$185,$J411,Flare!$E$46:$E$185)*Impacts!$F$16))</f>
        <v>0</v>
      </c>
      <c r="U411" s="10">
        <f>IF(VCU!$C$9="",0,(SUMIF(VCU!$B$51:$B$193,$J411,VCU!$E$51:$E$193)*Impacts!$F$17))</f>
        <v>0</v>
      </c>
      <c r="V411" s="10">
        <f>IF(CAS!$C$7="",0,(SUMIF(CAS!$B$31:$B$167,$J411,CAS!$E$31:$E$167)*Impacts!$F$18))</f>
        <v>0</v>
      </c>
      <c r="W411" s="10">
        <f t="shared" si="48"/>
        <v>0</v>
      </c>
      <c r="AK411" s="10" t="str">
        <f t="array" ref="AK411">IFERROR(INDEX(SelectedSpecies,SMALL(IF(SelectedSpecies=AK$1,ROW(SelectedSpecies)),ROW(412:412)),2),"")</f>
        <v/>
      </c>
      <c r="BE411" s="10"/>
      <c r="BI411" s="10"/>
    </row>
    <row r="412" spans="1:61" ht="21" customHeight="1" x14ac:dyDescent="0.25">
      <c r="A412" s="10"/>
      <c r="B412" s="10"/>
      <c r="E412" s="10"/>
      <c r="G412" s="10"/>
      <c r="I412" s="436" t="s">
        <v>4393</v>
      </c>
      <c r="J412" s="26" t="s">
        <v>4392</v>
      </c>
      <c r="K412" s="10">
        <v>4.7</v>
      </c>
      <c r="L412" s="73">
        <f>IF(Tank1!$C$23="No control",(SUMIF(Tank1!$B$32:$B$49,$J412,Tank1!$C$32:$C$49)*Impacts!$F$8),0)</f>
        <v>0</v>
      </c>
      <c r="M412" s="10">
        <f>IF(Tank2!$C$23="No control",(SUMIF(Tank2!$B$32:$B$49,$J412,Tank2!$C$32:$C$49)*Impacts!$F$9),0)</f>
        <v>0</v>
      </c>
      <c r="N412" s="10">
        <f>IF(Tank3!$C$23="No control",(SUMIF(Tank3!$B$32:$B$49,$J412,Tank3!$C$32:$C$49)*Impacts!$F$10),0)</f>
        <v>0</v>
      </c>
      <c r="O412" s="10">
        <f>IF(Tank4!$C$23="No control",(SUMIF(Tank4!$B$32:$B$49,$J412,Tank4!$C$32:$C$49)*Impacts!$F$11),0)</f>
        <v>0</v>
      </c>
      <c r="P412" s="10">
        <f>IF(Tank5!$C$23="No control",(SUMIF(Tank5!$B$32:$B$49,$J412,Tank5!$C$32:$C$49)*Impacts!$F$12),0)</f>
        <v>0</v>
      </c>
      <c r="Q412" s="10">
        <f>IFERROR(IF(('Loading-drum,tote'!$C$21)="No control",SUMIF(('Loading-drum,tote'!$B$31:$B$48),$J412,('Loading-drum,tote'!$D$31:$D$48))*Impacts!$F$13,IF(('Loading-drum,tote'!$C$21)&lt;&gt;"No control",SUMIF(('Loading-drum,tote'!$B$31:$B$48),$J412,('Loading-drum,tote'!$E$31:$E$48))*Impacts!$F$13,0)),0)</f>
        <v>0</v>
      </c>
      <c r="R412" s="10">
        <f>IFERROR(IF(('Loading-truck'!$C$21)="No control",SUMIF(('Loading-truck'!$B$31:$B$48),$J412,('Loading-truck'!$D$31:$D$48))*Impacts!$F$14,IF(('Loading-truck'!$C$21)&lt;&gt;"No control",SUMIF(('Loading-truck'!$B$31:$B$48),$J412,('Loading-truck'!$E$31:$E$48))*Impacts!$F$14,0)),0)</f>
        <v>0</v>
      </c>
      <c r="S412" s="10">
        <f>IFERROR(IF(('Loading-rail'!$C$21)="No control",SUMIF(('Loading-rail'!$B$31:$B$48),$J412,('Loading-rail'!$D$31:$D$48))*Impacts!$F$15,IF(('Loading-rail'!$C$21)&lt;&gt;"No control",SUMIF(('Loading-rail'!$B$31:$B$48),$J412,('Loading-rail'!$E$31:$E$48))*Impacts!$F$15,0)),0)</f>
        <v>0</v>
      </c>
      <c r="T412" s="10">
        <f>IF(Flare!$C$7="",0,(SUMIF(Flare!$B$46:$B$185,$J412,Flare!$E$46:$E$185)*Impacts!$F$16))</f>
        <v>0</v>
      </c>
      <c r="U412" s="10">
        <f>IF(VCU!$C$9="",0,(SUMIF(VCU!$B$51:$B$193,$J412,VCU!$E$51:$E$193)*Impacts!$F$17))</f>
        <v>0</v>
      </c>
      <c r="V412" s="10">
        <f>IF(CAS!$C$7="",0,(SUMIF(CAS!$B$31:$B$167,$J412,CAS!$E$31:$E$167)*Impacts!$F$18))</f>
        <v>0</v>
      </c>
      <c r="W412" s="10">
        <f t="shared" si="48"/>
        <v>0</v>
      </c>
      <c r="AK412" s="10" t="str">
        <f t="array" ref="AK412">IFERROR(INDEX(SelectedSpecies,SMALL(IF(SelectedSpecies=AK$1,ROW(SelectedSpecies)),ROW(413:413)),2),"")</f>
        <v/>
      </c>
      <c r="BE412" s="10"/>
      <c r="BI412" s="10"/>
    </row>
    <row r="413" spans="1:61" ht="21" customHeight="1" x14ac:dyDescent="0.25">
      <c r="A413" s="10"/>
      <c r="B413" s="10"/>
      <c r="E413" s="10"/>
      <c r="G413" s="10"/>
      <c r="I413" s="436" t="s">
        <v>3559</v>
      </c>
      <c r="J413" s="26" t="s">
        <v>3558</v>
      </c>
      <c r="K413" s="10">
        <v>8.3000000000000007</v>
      </c>
      <c r="L413" s="73">
        <f>IF(Tank1!$C$23="No control",(SUMIF(Tank1!$B$32:$B$49,$J413,Tank1!$C$32:$C$49)*Impacts!$F$8),0)</f>
        <v>0</v>
      </c>
      <c r="M413" s="10">
        <f>IF(Tank2!$C$23="No control",(SUMIF(Tank2!$B$32:$B$49,$J413,Tank2!$C$32:$C$49)*Impacts!$F$9),0)</f>
        <v>0</v>
      </c>
      <c r="N413" s="10">
        <f>IF(Tank3!$C$23="No control",(SUMIF(Tank3!$B$32:$B$49,$J413,Tank3!$C$32:$C$49)*Impacts!$F$10),0)</f>
        <v>0</v>
      </c>
      <c r="O413" s="10">
        <f>IF(Tank4!$C$23="No control",(SUMIF(Tank4!$B$32:$B$49,$J413,Tank4!$C$32:$C$49)*Impacts!$F$11),0)</f>
        <v>0</v>
      </c>
      <c r="P413" s="10">
        <f>IF(Tank5!$C$23="No control",(SUMIF(Tank5!$B$32:$B$49,$J413,Tank5!$C$32:$C$49)*Impacts!$F$12),0)</f>
        <v>0</v>
      </c>
      <c r="Q413" s="10">
        <f>IFERROR(IF(('Loading-drum,tote'!$C$21)="No control",SUMIF(('Loading-drum,tote'!$B$31:$B$48),$J413,('Loading-drum,tote'!$D$31:$D$48))*Impacts!$F$13,IF(('Loading-drum,tote'!$C$21)&lt;&gt;"No control",SUMIF(('Loading-drum,tote'!$B$31:$B$48),$J413,('Loading-drum,tote'!$E$31:$E$48))*Impacts!$F$13,0)),0)</f>
        <v>0</v>
      </c>
      <c r="R413" s="10">
        <f>IFERROR(IF(('Loading-truck'!$C$21)="No control",SUMIF(('Loading-truck'!$B$31:$B$48),$J413,('Loading-truck'!$D$31:$D$48))*Impacts!$F$14,IF(('Loading-truck'!$C$21)&lt;&gt;"No control",SUMIF(('Loading-truck'!$B$31:$B$48),$J413,('Loading-truck'!$E$31:$E$48))*Impacts!$F$14,0)),0)</f>
        <v>0</v>
      </c>
      <c r="S413" s="10">
        <f>IFERROR(IF(('Loading-rail'!$C$21)="No control",SUMIF(('Loading-rail'!$B$31:$B$48),$J413,('Loading-rail'!$D$31:$D$48))*Impacts!$F$15,IF(('Loading-rail'!$C$21)&lt;&gt;"No control",SUMIF(('Loading-rail'!$B$31:$B$48),$J413,('Loading-rail'!$E$31:$E$48))*Impacts!$F$15,0)),0)</f>
        <v>0</v>
      </c>
      <c r="T413" s="10">
        <f>IF(Flare!$C$7="",0,(SUMIF(Flare!$B$46:$B$185,$J413,Flare!$E$46:$E$185)*Impacts!$F$16))</f>
        <v>0</v>
      </c>
      <c r="U413" s="10">
        <f>IF(VCU!$C$9="",0,(SUMIF(VCU!$B$51:$B$193,$J413,VCU!$E$51:$E$193)*Impacts!$F$17))</f>
        <v>0</v>
      </c>
      <c r="V413" s="10">
        <f>IF(CAS!$C$7="",0,(SUMIF(CAS!$B$31:$B$167,$J413,CAS!$E$31:$E$167)*Impacts!$F$18))</f>
        <v>0</v>
      </c>
      <c r="W413" s="10">
        <f t="shared" si="48"/>
        <v>0</v>
      </c>
      <c r="AK413" s="10" t="str">
        <f t="array" ref="AK413">IFERROR(INDEX(SelectedSpecies,SMALL(IF(SelectedSpecies=AK$1,ROW(SelectedSpecies)),ROW(414:414)),2),"")</f>
        <v/>
      </c>
      <c r="BE413" s="10"/>
      <c r="BI413" s="10"/>
    </row>
    <row r="414" spans="1:61" ht="21" customHeight="1" x14ac:dyDescent="0.25">
      <c r="A414" s="10"/>
      <c r="B414" s="10"/>
      <c r="E414" s="10"/>
      <c r="G414" s="10"/>
      <c r="I414" s="436" t="s">
        <v>7344</v>
      </c>
      <c r="J414" s="26" t="s">
        <v>7343</v>
      </c>
      <c r="K414" s="10">
        <v>0.25</v>
      </c>
      <c r="L414" s="73">
        <f>IF(Tank1!$C$23="No control",(SUMIF(Tank1!$B$32:$B$49,$J414,Tank1!$C$32:$C$49)*Impacts!$F$8),0)</f>
        <v>0</v>
      </c>
      <c r="M414" s="10">
        <f>IF(Tank2!$C$23="No control",(SUMIF(Tank2!$B$32:$B$49,$J414,Tank2!$C$32:$C$49)*Impacts!$F$9),0)</f>
        <v>0</v>
      </c>
      <c r="N414" s="10">
        <f>IF(Tank3!$C$23="No control",(SUMIF(Tank3!$B$32:$B$49,$J414,Tank3!$C$32:$C$49)*Impacts!$F$10),0)</f>
        <v>0</v>
      </c>
      <c r="O414" s="10">
        <f>IF(Tank4!$C$23="No control",(SUMIF(Tank4!$B$32:$B$49,$J414,Tank4!$C$32:$C$49)*Impacts!$F$11),0)</f>
        <v>0</v>
      </c>
      <c r="P414" s="10">
        <f>IF(Tank5!$C$23="No control",(SUMIF(Tank5!$B$32:$B$49,$J414,Tank5!$C$32:$C$49)*Impacts!$F$12),0)</f>
        <v>0</v>
      </c>
      <c r="Q414" s="10">
        <f>IFERROR(IF(('Loading-drum,tote'!$C$21)="No control",SUMIF(('Loading-drum,tote'!$B$31:$B$48),$J414,('Loading-drum,tote'!$D$31:$D$48))*Impacts!$F$13,IF(('Loading-drum,tote'!$C$21)&lt;&gt;"No control",SUMIF(('Loading-drum,tote'!$B$31:$B$48),$J414,('Loading-drum,tote'!$E$31:$E$48))*Impacts!$F$13,0)),0)</f>
        <v>0</v>
      </c>
      <c r="R414" s="10">
        <f>IFERROR(IF(('Loading-truck'!$C$21)="No control",SUMIF(('Loading-truck'!$B$31:$B$48),$J414,('Loading-truck'!$D$31:$D$48))*Impacts!$F$14,IF(('Loading-truck'!$C$21)&lt;&gt;"No control",SUMIF(('Loading-truck'!$B$31:$B$48),$J414,('Loading-truck'!$E$31:$E$48))*Impacts!$F$14,0)),0)</f>
        <v>0</v>
      </c>
      <c r="S414" s="10">
        <f>IFERROR(IF(('Loading-rail'!$C$21)="No control",SUMIF(('Loading-rail'!$B$31:$B$48),$J414,('Loading-rail'!$D$31:$D$48))*Impacts!$F$15,IF(('Loading-rail'!$C$21)&lt;&gt;"No control",SUMIF(('Loading-rail'!$B$31:$B$48),$J414,('Loading-rail'!$E$31:$E$48))*Impacts!$F$15,0)),0)</f>
        <v>0</v>
      </c>
      <c r="T414" s="10">
        <f>IF(Flare!$C$7="",0,(SUMIF(Flare!$B$46:$B$185,$J414,Flare!$E$46:$E$185)*Impacts!$F$16))</f>
        <v>0</v>
      </c>
      <c r="U414" s="10">
        <f>IF(VCU!$C$9="",0,(SUMIF(VCU!$B$51:$B$193,$J414,VCU!$E$51:$E$193)*Impacts!$F$17))</f>
        <v>0</v>
      </c>
      <c r="V414" s="10">
        <f>IF(CAS!$C$7="",0,(SUMIF(CAS!$B$31:$B$167,$J414,CAS!$E$31:$E$167)*Impacts!$F$18))</f>
        <v>0</v>
      </c>
      <c r="W414" s="10">
        <f t="shared" si="48"/>
        <v>0</v>
      </c>
      <c r="AK414" s="10" t="str">
        <f t="array" ref="AK414">IFERROR(INDEX(SelectedSpecies,SMALL(IF(SelectedSpecies=AK$1,ROW(SelectedSpecies)),ROW(415:415)),2),"")</f>
        <v/>
      </c>
      <c r="BE414" s="10"/>
      <c r="BI414" s="10"/>
    </row>
    <row r="415" spans="1:61" ht="21" customHeight="1" x14ac:dyDescent="0.25">
      <c r="A415" s="10"/>
      <c r="B415" s="10"/>
      <c r="E415" s="10"/>
      <c r="G415" s="10"/>
      <c r="I415" s="436" t="s">
        <v>6616</v>
      </c>
      <c r="J415" s="26" t="s">
        <v>6615</v>
      </c>
      <c r="K415" s="10">
        <v>0.60000000000000009</v>
      </c>
      <c r="L415" s="73">
        <f>IF(Tank1!$C$23="No control",(SUMIF(Tank1!$B$32:$B$49,$J415,Tank1!$C$32:$C$49)*Impacts!$F$8),0)</f>
        <v>0</v>
      </c>
      <c r="M415" s="10">
        <f>IF(Tank2!$C$23="No control",(SUMIF(Tank2!$B$32:$B$49,$J415,Tank2!$C$32:$C$49)*Impacts!$F$9),0)</f>
        <v>0</v>
      </c>
      <c r="N415" s="10">
        <f>IF(Tank3!$C$23="No control",(SUMIF(Tank3!$B$32:$B$49,$J415,Tank3!$C$32:$C$49)*Impacts!$F$10),0)</f>
        <v>0</v>
      </c>
      <c r="O415" s="10">
        <f>IF(Tank4!$C$23="No control",(SUMIF(Tank4!$B$32:$B$49,$J415,Tank4!$C$32:$C$49)*Impacts!$F$11),0)</f>
        <v>0</v>
      </c>
      <c r="P415" s="10">
        <f>IF(Tank5!$C$23="No control",(SUMIF(Tank5!$B$32:$B$49,$J415,Tank5!$C$32:$C$49)*Impacts!$F$12),0)</f>
        <v>0</v>
      </c>
      <c r="Q415" s="10">
        <f>IFERROR(IF(('Loading-drum,tote'!$C$21)="No control",SUMIF(('Loading-drum,tote'!$B$31:$B$48),$J415,('Loading-drum,tote'!$D$31:$D$48))*Impacts!$F$13,IF(('Loading-drum,tote'!$C$21)&lt;&gt;"No control",SUMIF(('Loading-drum,tote'!$B$31:$B$48),$J415,('Loading-drum,tote'!$E$31:$E$48))*Impacts!$F$13,0)),0)</f>
        <v>0</v>
      </c>
      <c r="R415" s="10">
        <f>IFERROR(IF(('Loading-truck'!$C$21)="No control",SUMIF(('Loading-truck'!$B$31:$B$48),$J415,('Loading-truck'!$D$31:$D$48))*Impacts!$F$14,IF(('Loading-truck'!$C$21)&lt;&gt;"No control",SUMIF(('Loading-truck'!$B$31:$B$48),$J415,('Loading-truck'!$E$31:$E$48))*Impacts!$F$14,0)),0)</f>
        <v>0</v>
      </c>
      <c r="S415" s="10">
        <f>IFERROR(IF(('Loading-rail'!$C$21)="No control",SUMIF(('Loading-rail'!$B$31:$B$48),$J415,('Loading-rail'!$D$31:$D$48))*Impacts!$F$15,IF(('Loading-rail'!$C$21)&lt;&gt;"No control",SUMIF(('Loading-rail'!$B$31:$B$48),$J415,('Loading-rail'!$E$31:$E$48))*Impacts!$F$15,0)),0)</f>
        <v>0</v>
      </c>
      <c r="T415" s="10">
        <f>IF(Flare!$C$7="",0,(SUMIF(Flare!$B$46:$B$185,$J415,Flare!$E$46:$E$185)*Impacts!$F$16))</f>
        <v>0</v>
      </c>
      <c r="U415" s="10">
        <f>IF(VCU!$C$9="",0,(SUMIF(VCU!$B$51:$B$193,$J415,VCU!$E$51:$E$193)*Impacts!$F$17))</f>
        <v>0</v>
      </c>
      <c r="V415" s="10">
        <f>IF(CAS!$C$7="",0,(SUMIF(CAS!$B$31:$B$167,$J415,CAS!$E$31:$E$167)*Impacts!$F$18))</f>
        <v>0</v>
      </c>
      <c r="W415" s="10">
        <f t="shared" si="48"/>
        <v>0</v>
      </c>
      <c r="AK415" s="10" t="str">
        <f t="array" ref="AK415">IFERROR(INDEX(SelectedSpecies,SMALL(IF(SelectedSpecies=AK$1,ROW(SelectedSpecies)),ROW(416:416)),2),"")</f>
        <v/>
      </c>
      <c r="BE415" s="10"/>
      <c r="BI415" s="10"/>
    </row>
    <row r="416" spans="1:61" ht="21" customHeight="1" x14ac:dyDescent="0.25">
      <c r="A416" s="10"/>
      <c r="B416" s="10"/>
      <c r="E416" s="10"/>
      <c r="G416" s="10"/>
      <c r="I416" s="436" t="s">
        <v>6618</v>
      </c>
      <c r="J416" s="26" t="s">
        <v>6617</v>
      </c>
      <c r="K416" s="10">
        <v>0.60000000000000009</v>
      </c>
      <c r="L416" s="73">
        <f>IF(Tank1!$C$23="No control",(SUMIF(Tank1!$B$32:$B$49,$J416,Tank1!$C$32:$C$49)*Impacts!$F$8),0)</f>
        <v>0</v>
      </c>
      <c r="M416" s="10">
        <f>IF(Tank2!$C$23="No control",(SUMIF(Tank2!$B$32:$B$49,$J416,Tank2!$C$32:$C$49)*Impacts!$F$9),0)</f>
        <v>0</v>
      </c>
      <c r="N416" s="10">
        <f>IF(Tank3!$C$23="No control",(SUMIF(Tank3!$B$32:$B$49,$J416,Tank3!$C$32:$C$49)*Impacts!$F$10),0)</f>
        <v>0</v>
      </c>
      <c r="O416" s="10">
        <f>IF(Tank4!$C$23="No control",(SUMIF(Tank4!$B$32:$B$49,$J416,Tank4!$C$32:$C$49)*Impacts!$F$11),0)</f>
        <v>0</v>
      </c>
      <c r="P416" s="10">
        <f>IF(Tank5!$C$23="No control",(SUMIF(Tank5!$B$32:$B$49,$J416,Tank5!$C$32:$C$49)*Impacts!$F$12),0)</f>
        <v>0</v>
      </c>
      <c r="Q416" s="10">
        <f>IFERROR(IF(('Loading-drum,tote'!$C$21)="No control",SUMIF(('Loading-drum,tote'!$B$31:$B$48),$J416,('Loading-drum,tote'!$D$31:$D$48))*Impacts!$F$13,IF(('Loading-drum,tote'!$C$21)&lt;&gt;"No control",SUMIF(('Loading-drum,tote'!$B$31:$B$48),$J416,('Loading-drum,tote'!$E$31:$E$48))*Impacts!$F$13,0)),0)</f>
        <v>0</v>
      </c>
      <c r="R416" s="10">
        <f>IFERROR(IF(('Loading-truck'!$C$21)="No control",SUMIF(('Loading-truck'!$B$31:$B$48),$J416,('Loading-truck'!$D$31:$D$48))*Impacts!$F$14,IF(('Loading-truck'!$C$21)&lt;&gt;"No control",SUMIF(('Loading-truck'!$B$31:$B$48),$J416,('Loading-truck'!$E$31:$E$48))*Impacts!$F$14,0)),0)</f>
        <v>0</v>
      </c>
      <c r="S416" s="10">
        <f>IFERROR(IF(('Loading-rail'!$C$21)="No control",SUMIF(('Loading-rail'!$B$31:$B$48),$J416,('Loading-rail'!$D$31:$D$48))*Impacts!$F$15,IF(('Loading-rail'!$C$21)&lt;&gt;"No control",SUMIF(('Loading-rail'!$B$31:$B$48),$J416,('Loading-rail'!$E$31:$E$48))*Impacts!$F$15,0)),0)</f>
        <v>0</v>
      </c>
      <c r="T416" s="10">
        <f>IF(Flare!$C$7="",0,(SUMIF(Flare!$B$46:$B$185,$J416,Flare!$E$46:$E$185)*Impacts!$F$16))</f>
        <v>0</v>
      </c>
      <c r="U416" s="10">
        <f>IF(VCU!$C$9="",0,(SUMIF(VCU!$B$51:$B$193,$J416,VCU!$E$51:$E$193)*Impacts!$F$17))</f>
        <v>0</v>
      </c>
      <c r="V416" s="10">
        <f>IF(CAS!$C$7="",0,(SUMIF(CAS!$B$31:$B$167,$J416,CAS!$E$31:$E$167)*Impacts!$F$18))</f>
        <v>0</v>
      </c>
      <c r="W416" s="10">
        <f t="shared" si="48"/>
        <v>0</v>
      </c>
      <c r="AK416" s="10" t="str">
        <f t="array" ref="AK416">IFERROR(INDEX(SelectedSpecies,SMALL(IF(SelectedSpecies=AK$1,ROW(SelectedSpecies)),ROW(417:417)),2),"")</f>
        <v/>
      </c>
      <c r="BE416" s="10"/>
      <c r="BI416" s="10"/>
    </row>
    <row r="417" spans="1:61" ht="21" customHeight="1" x14ac:dyDescent="0.25">
      <c r="A417" s="10"/>
      <c r="B417" s="10"/>
      <c r="E417" s="10"/>
      <c r="G417" s="10"/>
      <c r="I417" s="436" t="s">
        <v>4939</v>
      </c>
      <c r="J417" s="26" t="s">
        <v>4938</v>
      </c>
      <c r="K417" s="10">
        <v>2.5</v>
      </c>
      <c r="L417" s="73">
        <f>IF(Tank1!$C$23="No control",(SUMIF(Tank1!$B$32:$B$49,$J417,Tank1!$C$32:$C$49)*Impacts!$F$8),0)</f>
        <v>0</v>
      </c>
      <c r="M417" s="10">
        <f>IF(Tank2!$C$23="No control",(SUMIF(Tank2!$B$32:$B$49,$J417,Tank2!$C$32:$C$49)*Impacts!$F$9),0)</f>
        <v>0</v>
      </c>
      <c r="N417" s="10">
        <f>IF(Tank3!$C$23="No control",(SUMIF(Tank3!$B$32:$B$49,$J417,Tank3!$C$32:$C$49)*Impacts!$F$10),0)</f>
        <v>0</v>
      </c>
      <c r="O417" s="10">
        <f>IF(Tank4!$C$23="No control",(SUMIF(Tank4!$B$32:$B$49,$J417,Tank4!$C$32:$C$49)*Impacts!$F$11),0)</f>
        <v>0</v>
      </c>
      <c r="P417" s="10">
        <f>IF(Tank5!$C$23="No control",(SUMIF(Tank5!$B$32:$B$49,$J417,Tank5!$C$32:$C$49)*Impacts!$F$12),0)</f>
        <v>0</v>
      </c>
      <c r="Q417" s="10">
        <f>IFERROR(IF(('Loading-drum,tote'!$C$21)="No control",SUMIF(('Loading-drum,tote'!$B$31:$B$48),$J417,('Loading-drum,tote'!$D$31:$D$48))*Impacts!$F$13,IF(('Loading-drum,tote'!$C$21)&lt;&gt;"No control",SUMIF(('Loading-drum,tote'!$B$31:$B$48),$J417,('Loading-drum,tote'!$E$31:$E$48))*Impacts!$F$13,0)),0)</f>
        <v>0</v>
      </c>
      <c r="R417" s="10">
        <f>IFERROR(IF(('Loading-truck'!$C$21)="No control",SUMIF(('Loading-truck'!$B$31:$B$48),$J417,('Loading-truck'!$D$31:$D$48))*Impacts!$F$14,IF(('Loading-truck'!$C$21)&lt;&gt;"No control",SUMIF(('Loading-truck'!$B$31:$B$48),$J417,('Loading-truck'!$E$31:$E$48))*Impacts!$F$14,0)),0)</f>
        <v>0</v>
      </c>
      <c r="S417" s="10">
        <f>IFERROR(IF(('Loading-rail'!$C$21)="No control",SUMIF(('Loading-rail'!$B$31:$B$48),$J417,('Loading-rail'!$D$31:$D$48))*Impacts!$F$15,IF(('Loading-rail'!$C$21)&lt;&gt;"No control",SUMIF(('Loading-rail'!$B$31:$B$48),$J417,('Loading-rail'!$E$31:$E$48))*Impacts!$F$15,0)),0)</f>
        <v>0</v>
      </c>
      <c r="T417" s="10">
        <f>IF(Flare!$C$7="",0,(SUMIF(Flare!$B$46:$B$185,$J417,Flare!$E$46:$E$185)*Impacts!$F$16))</f>
        <v>0</v>
      </c>
      <c r="U417" s="10">
        <f>IF(VCU!$C$9="",0,(SUMIF(VCU!$B$51:$B$193,$J417,VCU!$E$51:$E$193)*Impacts!$F$17))</f>
        <v>0</v>
      </c>
      <c r="V417" s="10">
        <f>IF(CAS!$C$7="",0,(SUMIF(CAS!$B$31:$B$167,$J417,CAS!$E$31:$E$167)*Impacts!$F$18))</f>
        <v>0</v>
      </c>
      <c r="W417" s="10">
        <f t="shared" si="48"/>
        <v>0</v>
      </c>
      <c r="AK417" s="10" t="str">
        <f t="array" ref="AK417">IFERROR(INDEX(SelectedSpecies,SMALL(IF(SelectedSpecies=AK$1,ROW(SelectedSpecies)),ROW(418:418)),2),"")</f>
        <v/>
      </c>
      <c r="BE417" s="10"/>
      <c r="BI417" s="10"/>
    </row>
    <row r="418" spans="1:61" ht="21" customHeight="1" x14ac:dyDescent="0.25">
      <c r="A418" s="10"/>
      <c r="B418" s="10"/>
      <c r="E418" s="10"/>
      <c r="G418" s="10"/>
      <c r="I418" s="436" t="s">
        <v>1526</v>
      </c>
      <c r="J418" s="26" t="s">
        <v>1525</v>
      </c>
      <c r="K418" s="10">
        <v>27</v>
      </c>
      <c r="L418" s="73">
        <f>IF(Tank1!$C$23="No control",(SUMIF(Tank1!$B$32:$B$49,$J418,Tank1!$C$32:$C$49)*Impacts!$F$8),0)</f>
        <v>0</v>
      </c>
      <c r="M418" s="10">
        <f>IF(Tank2!$C$23="No control",(SUMIF(Tank2!$B$32:$B$49,$J418,Tank2!$C$32:$C$49)*Impacts!$F$9),0)</f>
        <v>0</v>
      </c>
      <c r="N418" s="10">
        <f>IF(Tank3!$C$23="No control",(SUMIF(Tank3!$B$32:$B$49,$J418,Tank3!$C$32:$C$49)*Impacts!$F$10),0)</f>
        <v>0</v>
      </c>
      <c r="O418" s="10">
        <f>IF(Tank4!$C$23="No control",(SUMIF(Tank4!$B$32:$B$49,$J418,Tank4!$C$32:$C$49)*Impacts!$F$11),0)</f>
        <v>0</v>
      </c>
      <c r="P418" s="10">
        <f>IF(Tank5!$C$23="No control",(SUMIF(Tank5!$B$32:$B$49,$J418,Tank5!$C$32:$C$49)*Impacts!$F$12),0)</f>
        <v>0</v>
      </c>
      <c r="Q418" s="10">
        <f>IFERROR(IF(('Loading-drum,tote'!$C$21)="No control",SUMIF(('Loading-drum,tote'!$B$31:$B$48),$J418,('Loading-drum,tote'!$D$31:$D$48))*Impacts!$F$13,IF(('Loading-drum,tote'!$C$21)&lt;&gt;"No control",SUMIF(('Loading-drum,tote'!$B$31:$B$48),$J418,('Loading-drum,tote'!$E$31:$E$48))*Impacts!$F$13,0)),0)</f>
        <v>0</v>
      </c>
      <c r="R418" s="10">
        <f>IFERROR(IF(('Loading-truck'!$C$21)="No control",SUMIF(('Loading-truck'!$B$31:$B$48),$J418,('Loading-truck'!$D$31:$D$48))*Impacts!$F$14,IF(('Loading-truck'!$C$21)&lt;&gt;"No control",SUMIF(('Loading-truck'!$B$31:$B$48),$J418,('Loading-truck'!$E$31:$E$48))*Impacts!$F$14,0)),0)</f>
        <v>0</v>
      </c>
      <c r="S418" s="10">
        <f>IFERROR(IF(('Loading-rail'!$C$21)="No control",SUMIF(('Loading-rail'!$B$31:$B$48),$J418,('Loading-rail'!$D$31:$D$48))*Impacts!$F$15,IF(('Loading-rail'!$C$21)&lt;&gt;"No control",SUMIF(('Loading-rail'!$B$31:$B$48),$J418,('Loading-rail'!$E$31:$E$48))*Impacts!$F$15,0)),0)</f>
        <v>0</v>
      </c>
      <c r="T418" s="10">
        <f>IF(Flare!$C$7="",0,(SUMIF(Flare!$B$46:$B$185,$J418,Flare!$E$46:$E$185)*Impacts!$F$16))</f>
        <v>0</v>
      </c>
      <c r="U418" s="10">
        <f>IF(VCU!$C$9="",0,(SUMIF(VCU!$B$51:$B$193,$J418,VCU!$E$51:$E$193)*Impacts!$F$17))</f>
        <v>0</v>
      </c>
      <c r="V418" s="10">
        <f>IF(CAS!$C$7="",0,(SUMIF(CAS!$B$31:$B$167,$J418,CAS!$E$31:$E$167)*Impacts!$F$18))</f>
        <v>0</v>
      </c>
      <c r="W418" s="10">
        <f t="shared" si="48"/>
        <v>0</v>
      </c>
      <c r="AK418" s="10" t="str">
        <f t="array" ref="AK418">IFERROR(INDEX(SelectedSpecies,SMALL(IF(SelectedSpecies=AK$1,ROW(SelectedSpecies)),ROW(419:419)),2),"")</f>
        <v/>
      </c>
      <c r="BE418" s="10"/>
      <c r="BI418" s="10"/>
    </row>
    <row r="419" spans="1:61" ht="21" customHeight="1" x14ac:dyDescent="0.25">
      <c r="A419" s="10"/>
      <c r="B419" s="10"/>
      <c r="E419" s="10"/>
      <c r="G419" s="10"/>
      <c r="I419" s="436" t="s">
        <v>2687</v>
      </c>
      <c r="J419" s="26" t="s">
        <v>2686</v>
      </c>
      <c r="K419" s="10">
        <v>10</v>
      </c>
      <c r="L419" s="73">
        <f>IF(Tank1!$C$23="No control",(SUMIF(Tank1!$B$32:$B$49,$J419,Tank1!$C$32:$C$49)*Impacts!$F$8),0)</f>
        <v>0</v>
      </c>
      <c r="M419" s="10">
        <f>IF(Tank2!$C$23="No control",(SUMIF(Tank2!$B$32:$B$49,$J419,Tank2!$C$32:$C$49)*Impacts!$F$9),0)</f>
        <v>0</v>
      </c>
      <c r="N419" s="10">
        <f>IF(Tank3!$C$23="No control",(SUMIF(Tank3!$B$32:$B$49,$J419,Tank3!$C$32:$C$49)*Impacts!$F$10),0)</f>
        <v>0</v>
      </c>
      <c r="O419" s="10">
        <f>IF(Tank4!$C$23="No control",(SUMIF(Tank4!$B$32:$B$49,$J419,Tank4!$C$32:$C$49)*Impacts!$F$11),0)</f>
        <v>0</v>
      </c>
      <c r="P419" s="10">
        <f>IF(Tank5!$C$23="No control",(SUMIF(Tank5!$B$32:$B$49,$J419,Tank5!$C$32:$C$49)*Impacts!$F$12),0)</f>
        <v>0</v>
      </c>
      <c r="Q419" s="10">
        <f>IFERROR(IF(('Loading-drum,tote'!$C$21)="No control",SUMIF(('Loading-drum,tote'!$B$31:$B$48),$J419,('Loading-drum,tote'!$D$31:$D$48))*Impacts!$F$13,IF(('Loading-drum,tote'!$C$21)&lt;&gt;"No control",SUMIF(('Loading-drum,tote'!$B$31:$B$48),$J419,('Loading-drum,tote'!$E$31:$E$48))*Impacts!$F$13,0)),0)</f>
        <v>0</v>
      </c>
      <c r="R419" s="10">
        <f>IFERROR(IF(('Loading-truck'!$C$21)="No control",SUMIF(('Loading-truck'!$B$31:$B$48),$J419,('Loading-truck'!$D$31:$D$48))*Impacts!$F$14,IF(('Loading-truck'!$C$21)&lt;&gt;"No control",SUMIF(('Loading-truck'!$B$31:$B$48),$J419,('Loading-truck'!$E$31:$E$48))*Impacts!$F$14,0)),0)</f>
        <v>0</v>
      </c>
      <c r="S419" s="10">
        <f>IFERROR(IF(('Loading-rail'!$C$21)="No control",SUMIF(('Loading-rail'!$B$31:$B$48),$J419,('Loading-rail'!$D$31:$D$48))*Impacts!$F$15,IF(('Loading-rail'!$C$21)&lt;&gt;"No control",SUMIF(('Loading-rail'!$B$31:$B$48),$J419,('Loading-rail'!$E$31:$E$48))*Impacts!$F$15,0)),0)</f>
        <v>0</v>
      </c>
      <c r="T419" s="10">
        <f>IF(Flare!$C$7="",0,(SUMIF(Flare!$B$46:$B$185,$J419,Flare!$E$46:$E$185)*Impacts!$F$16))</f>
        <v>0</v>
      </c>
      <c r="U419" s="10">
        <f>IF(VCU!$C$9="",0,(SUMIF(VCU!$B$51:$B$193,$J419,VCU!$E$51:$E$193)*Impacts!$F$17))</f>
        <v>0</v>
      </c>
      <c r="V419" s="10">
        <f>IF(CAS!$C$7="",0,(SUMIF(CAS!$B$31:$B$167,$J419,CAS!$E$31:$E$167)*Impacts!$F$18))</f>
        <v>0</v>
      </c>
      <c r="W419" s="10">
        <f t="shared" si="48"/>
        <v>0</v>
      </c>
      <c r="AK419" s="10" t="str">
        <f t="array" ref="AK419">IFERROR(INDEX(SelectedSpecies,SMALL(IF(SelectedSpecies=AK$1,ROW(SelectedSpecies)),ROW(420:420)),2),"")</f>
        <v/>
      </c>
      <c r="BE419" s="10"/>
      <c r="BI419" s="10"/>
    </row>
    <row r="420" spans="1:61" ht="21" customHeight="1" x14ac:dyDescent="0.25">
      <c r="A420" s="10"/>
      <c r="B420" s="10"/>
      <c r="E420" s="10"/>
      <c r="G420" s="10"/>
      <c r="I420" s="436" t="s">
        <v>6726</v>
      </c>
      <c r="J420" s="26" t="s">
        <v>6725</v>
      </c>
      <c r="K420" s="10">
        <v>0.5</v>
      </c>
      <c r="L420" s="73">
        <f>IF(Tank1!$C$23="No control",(SUMIF(Tank1!$B$32:$B$49,$J420,Tank1!$C$32:$C$49)*Impacts!$F$8),0)</f>
        <v>0</v>
      </c>
      <c r="M420" s="10">
        <f>IF(Tank2!$C$23="No control",(SUMIF(Tank2!$B$32:$B$49,$J420,Tank2!$C$32:$C$49)*Impacts!$F$9),0)</f>
        <v>0</v>
      </c>
      <c r="N420" s="10">
        <f>IF(Tank3!$C$23="No control",(SUMIF(Tank3!$B$32:$B$49,$J420,Tank3!$C$32:$C$49)*Impacts!$F$10),0)</f>
        <v>0</v>
      </c>
      <c r="O420" s="10">
        <f>IF(Tank4!$C$23="No control",(SUMIF(Tank4!$B$32:$B$49,$J420,Tank4!$C$32:$C$49)*Impacts!$F$11),0)</f>
        <v>0</v>
      </c>
      <c r="P420" s="10">
        <f>IF(Tank5!$C$23="No control",(SUMIF(Tank5!$B$32:$B$49,$J420,Tank5!$C$32:$C$49)*Impacts!$F$12),0)</f>
        <v>0</v>
      </c>
      <c r="Q420" s="10">
        <f>IFERROR(IF(('Loading-drum,tote'!$C$21)="No control",SUMIF(('Loading-drum,tote'!$B$31:$B$48),$J420,('Loading-drum,tote'!$D$31:$D$48))*Impacts!$F$13,IF(('Loading-drum,tote'!$C$21)&lt;&gt;"No control",SUMIF(('Loading-drum,tote'!$B$31:$B$48),$J420,('Loading-drum,tote'!$E$31:$E$48))*Impacts!$F$13,0)),0)</f>
        <v>0</v>
      </c>
      <c r="R420" s="10">
        <f>IFERROR(IF(('Loading-truck'!$C$21)="No control",SUMIF(('Loading-truck'!$B$31:$B$48),$J420,('Loading-truck'!$D$31:$D$48))*Impacts!$F$14,IF(('Loading-truck'!$C$21)&lt;&gt;"No control",SUMIF(('Loading-truck'!$B$31:$B$48),$J420,('Loading-truck'!$E$31:$E$48))*Impacts!$F$14,0)),0)</f>
        <v>0</v>
      </c>
      <c r="S420" s="10">
        <f>IFERROR(IF(('Loading-rail'!$C$21)="No control",SUMIF(('Loading-rail'!$B$31:$B$48),$J420,('Loading-rail'!$D$31:$D$48))*Impacts!$F$15,IF(('Loading-rail'!$C$21)&lt;&gt;"No control",SUMIF(('Loading-rail'!$B$31:$B$48),$J420,('Loading-rail'!$E$31:$E$48))*Impacts!$F$15,0)),0)</f>
        <v>0</v>
      </c>
      <c r="T420" s="10">
        <f>IF(Flare!$C$7="",0,(SUMIF(Flare!$B$46:$B$185,$J420,Flare!$E$46:$E$185)*Impacts!$F$16))</f>
        <v>0</v>
      </c>
      <c r="U420" s="10">
        <f>IF(VCU!$C$9="",0,(SUMIF(VCU!$B$51:$B$193,$J420,VCU!$E$51:$E$193)*Impacts!$F$17))</f>
        <v>0</v>
      </c>
      <c r="V420" s="10">
        <f>IF(CAS!$C$7="",0,(SUMIF(CAS!$B$31:$B$167,$J420,CAS!$E$31:$E$167)*Impacts!$F$18))</f>
        <v>0</v>
      </c>
      <c r="W420" s="10">
        <f t="shared" si="48"/>
        <v>0</v>
      </c>
      <c r="AK420" s="10" t="str">
        <f t="array" ref="AK420">IFERROR(INDEX(SelectedSpecies,SMALL(IF(SelectedSpecies=AK$1,ROW(SelectedSpecies)),ROW(421:421)),2),"")</f>
        <v/>
      </c>
      <c r="BE420" s="10"/>
      <c r="BI420" s="10"/>
    </row>
    <row r="421" spans="1:61" ht="21" customHeight="1" x14ac:dyDescent="0.25">
      <c r="A421" s="10"/>
      <c r="B421" s="10"/>
      <c r="E421" s="10"/>
      <c r="G421" s="10"/>
      <c r="I421" s="436" t="s">
        <v>2689</v>
      </c>
      <c r="J421" s="26" t="s">
        <v>2688</v>
      </c>
      <c r="K421" s="10">
        <v>10</v>
      </c>
      <c r="L421" s="73">
        <f>IF(Tank1!$C$23="No control",(SUMIF(Tank1!$B$32:$B$49,$J421,Tank1!$C$32:$C$49)*Impacts!$F$8),0)</f>
        <v>0</v>
      </c>
      <c r="M421" s="10">
        <f>IF(Tank2!$C$23="No control",(SUMIF(Tank2!$B$32:$B$49,$J421,Tank2!$C$32:$C$49)*Impacts!$F$9),0)</f>
        <v>0</v>
      </c>
      <c r="N421" s="10">
        <f>IF(Tank3!$C$23="No control",(SUMIF(Tank3!$B$32:$B$49,$J421,Tank3!$C$32:$C$49)*Impacts!$F$10),0)</f>
        <v>0</v>
      </c>
      <c r="O421" s="10">
        <f>IF(Tank4!$C$23="No control",(SUMIF(Tank4!$B$32:$B$49,$J421,Tank4!$C$32:$C$49)*Impacts!$F$11),0)</f>
        <v>0</v>
      </c>
      <c r="P421" s="10">
        <f>IF(Tank5!$C$23="No control",(SUMIF(Tank5!$B$32:$B$49,$J421,Tank5!$C$32:$C$49)*Impacts!$F$12),0)</f>
        <v>0</v>
      </c>
      <c r="Q421" s="10">
        <f>IFERROR(IF(('Loading-drum,tote'!$C$21)="No control",SUMIF(('Loading-drum,tote'!$B$31:$B$48),$J421,('Loading-drum,tote'!$D$31:$D$48))*Impacts!$F$13,IF(('Loading-drum,tote'!$C$21)&lt;&gt;"No control",SUMIF(('Loading-drum,tote'!$B$31:$B$48),$J421,('Loading-drum,tote'!$E$31:$E$48))*Impacts!$F$13,0)),0)</f>
        <v>0</v>
      </c>
      <c r="R421" s="10">
        <f>IFERROR(IF(('Loading-truck'!$C$21)="No control",SUMIF(('Loading-truck'!$B$31:$B$48),$J421,('Loading-truck'!$D$31:$D$48))*Impacts!$F$14,IF(('Loading-truck'!$C$21)&lt;&gt;"No control",SUMIF(('Loading-truck'!$B$31:$B$48),$J421,('Loading-truck'!$E$31:$E$48))*Impacts!$F$14,0)),0)</f>
        <v>0</v>
      </c>
      <c r="S421" s="10">
        <f>IFERROR(IF(('Loading-rail'!$C$21)="No control",SUMIF(('Loading-rail'!$B$31:$B$48),$J421,('Loading-rail'!$D$31:$D$48))*Impacts!$F$15,IF(('Loading-rail'!$C$21)&lt;&gt;"No control",SUMIF(('Loading-rail'!$B$31:$B$48),$J421,('Loading-rail'!$E$31:$E$48))*Impacts!$F$15,0)),0)</f>
        <v>0</v>
      </c>
      <c r="T421" s="10">
        <f>IF(Flare!$C$7="",0,(SUMIF(Flare!$B$46:$B$185,$J421,Flare!$E$46:$E$185)*Impacts!$F$16))</f>
        <v>0</v>
      </c>
      <c r="U421" s="10">
        <f>IF(VCU!$C$9="",0,(SUMIF(VCU!$B$51:$B$193,$J421,VCU!$E$51:$E$193)*Impacts!$F$17))</f>
        <v>0</v>
      </c>
      <c r="V421" s="10">
        <f>IF(CAS!$C$7="",0,(SUMIF(CAS!$B$31:$B$167,$J421,CAS!$E$31:$E$167)*Impacts!$F$18))</f>
        <v>0</v>
      </c>
      <c r="W421" s="10">
        <f t="shared" si="48"/>
        <v>0</v>
      </c>
      <c r="AK421" s="10" t="str">
        <f t="array" ref="AK421">IFERROR(INDEX(SelectedSpecies,SMALL(IF(SelectedSpecies=AK$1,ROW(SelectedSpecies)),ROW(422:422)),2),"")</f>
        <v/>
      </c>
      <c r="BE421" s="10"/>
      <c r="BI421" s="10"/>
    </row>
    <row r="422" spans="1:61" ht="21" customHeight="1" x14ac:dyDescent="0.25">
      <c r="A422" s="10"/>
      <c r="B422" s="10"/>
      <c r="E422" s="10"/>
      <c r="G422" s="10"/>
      <c r="I422" s="436" t="s">
        <v>2691</v>
      </c>
      <c r="J422" s="26" t="s">
        <v>2690</v>
      </c>
      <c r="K422" s="10">
        <v>10</v>
      </c>
      <c r="L422" s="73">
        <f>IF(Tank1!$C$23="No control",(SUMIF(Tank1!$B$32:$B$49,$J422,Tank1!$C$32:$C$49)*Impacts!$F$8),0)</f>
        <v>0</v>
      </c>
      <c r="M422" s="10">
        <f>IF(Tank2!$C$23="No control",(SUMIF(Tank2!$B$32:$B$49,$J422,Tank2!$C$32:$C$49)*Impacts!$F$9),0)</f>
        <v>0</v>
      </c>
      <c r="N422" s="10">
        <f>IF(Tank3!$C$23="No control",(SUMIF(Tank3!$B$32:$B$49,$J422,Tank3!$C$32:$C$49)*Impacts!$F$10),0)</f>
        <v>0</v>
      </c>
      <c r="O422" s="10">
        <f>IF(Tank4!$C$23="No control",(SUMIF(Tank4!$B$32:$B$49,$J422,Tank4!$C$32:$C$49)*Impacts!$F$11),0)</f>
        <v>0</v>
      </c>
      <c r="P422" s="10">
        <f>IF(Tank5!$C$23="No control",(SUMIF(Tank5!$B$32:$B$49,$J422,Tank5!$C$32:$C$49)*Impacts!$F$12),0)</f>
        <v>0</v>
      </c>
      <c r="Q422" s="10">
        <f>IFERROR(IF(('Loading-drum,tote'!$C$21)="No control",SUMIF(('Loading-drum,tote'!$B$31:$B$48),$J422,('Loading-drum,tote'!$D$31:$D$48))*Impacts!$F$13,IF(('Loading-drum,tote'!$C$21)&lt;&gt;"No control",SUMIF(('Loading-drum,tote'!$B$31:$B$48),$J422,('Loading-drum,tote'!$E$31:$E$48))*Impacts!$F$13,0)),0)</f>
        <v>0</v>
      </c>
      <c r="R422" s="10">
        <f>IFERROR(IF(('Loading-truck'!$C$21)="No control",SUMIF(('Loading-truck'!$B$31:$B$48),$J422,('Loading-truck'!$D$31:$D$48))*Impacts!$F$14,IF(('Loading-truck'!$C$21)&lt;&gt;"No control",SUMIF(('Loading-truck'!$B$31:$B$48),$J422,('Loading-truck'!$E$31:$E$48))*Impacts!$F$14,0)),0)</f>
        <v>0</v>
      </c>
      <c r="S422" s="10">
        <f>IFERROR(IF(('Loading-rail'!$C$21)="No control",SUMIF(('Loading-rail'!$B$31:$B$48),$J422,('Loading-rail'!$D$31:$D$48))*Impacts!$F$15,IF(('Loading-rail'!$C$21)&lt;&gt;"No control",SUMIF(('Loading-rail'!$B$31:$B$48),$J422,('Loading-rail'!$E$31:$E$48))*Impacts!$F$15,0)),0)</f>
        <v>0</v>
      </c>
      <c r="T422" s="10">
        <f>IF(Flare!$C$7="",0,(SUMIF(Flare!$B$46:$B$185,$J422,Flare!$E$46:$E$185)*Impacts!$F$16))</f>
        <v>0</v>
      </c>
      <c r="U422" s="10">
        <f>IF(VCU!$C$9="",0,(SUMIF(VCU!$B$51:$B$193,$J422,VCU!$E$51:$E$193)*Impacts!$F$17))</f>
        <v>0</v>
      </c>
      <c r="V422" s="10">
        <f>IF(CAS!$C$7="",0,(SUMIF(CAS!$B$31:$B$167,$J422,CAS!$E$31:$E$167)*Impacts!$F$18))</f>
        <v>0</v>
      </c>
      <c r="W422" s="10">
        <f t="shared" si="48"/>
        <v>0</v>
      </c>
      <c r="AK422" s="10" t="str">
        <f t="array" ref="AK422">IFERROR(INDEX(SelectedSpecies,SMALL(IF(SelectedSpecies=AK$1,ROW(SelectedSpecies)),ROW(423:423)),2),"")</f>
        <v/>
      </c>
      <c r="BE422" s="10"/>
      <c r="BI422" s="10"/>
    </row>
    <row r="423" spans="1:61" ht="21" customHeight="1" x14ac:dyDescent="0.25">
      <c r="A423" s="10"/>
      <c r="B423" s="10"/>
      <c r="E423" s="10"/>
      <c r="G423" s="10"/>
      <c r="I423" s="436" t="s">
        <v>1931</v>
      </c>
      <c r="J423" s="26" t="s">
        <v>1930</v>
      </c>
      <c r="K423" s="10">
        <v>18</v>
      </c>
      <c r="L423" s="73">
        <f>IF(Tank1!$C$23="No control",(SUMIF(Tank1!$B$32:$B$49,$J423,Tank1!$C$32:$C$49)*Impacts!$F$8),0)</f>
        <v>0</v>
      </c>
      <c r="M423" s="10">
        <f>IF(Tank2!$C$23="No control",(SUMIF(Tank2!$B$32:$B$49,$J423,Tank2!$C$32:$C$49)*Impacts!$F$9),0)</f>
        <v>0</v>
      </c>
      <c r="N423" s="10">
        <f>IF(Tank3!$C$23="No control",(SUMIF(Tank3!$B$32:$B$49,$J423,Tank3!$C$32:$C$49)*Impacts!$F$10),0)</f>
        <v>0</v>
      </c>
      <c r="O423" s="10">
        <f>IF(Tank4!$C$23="No control",(SUMIF(Tank4!$B$32:$B$49,$J423,Tank4!$C$32:$C$49)*Impacts!$F$11),0)</f>
        <v>0</v>
      </c>
      <c r="P423" s="10">
        <f>IF(Tank5!$C$23="No control",(SUMIF(Tank5!$B$32:$B$49,$J423,Tank5!$C$32:$C$49)*Impacts!$F$12),0)</f>
        <v>0</v>
      </c>
      <c r="Q423" s="10">
        <f>IFERROR(IF(('Loading-drum,tote'!$C$21)="No control",SUMIF(('Loading-drum,tote'!$B$31:$B$48),$J423,('Loading-drum,tote'!$D$31:$D$48))*Impacts!$F$13,IF(('Loading-drum,tote'!$C$21)&lt;&gt;"No control",SUMIF(('Loading-drum,tote'!$B$31:$B$48),$J423,('Loading-drum,tote'!$E$31:$E$48))*Impacts!$F$13,0)),0)</f>
        <v>0</v>
      </c>
      <c r="R423" s="10">
        <f>IFERROR(IF(('Loading-truck'!$C$21)="No control",SUMIF(('Loading-truck'!$B$31:$B$48),$J423,('Loading-truck'!$D$31:$D$48))*Impacts!$F$14,IF(('Loading-truck'!$C$21)&lt;&gt;"No control",SUMIF(('Loading-truck'!$B$31:$B$48),$J423,('Loading-truck'!$E$31:$E$48))*Impacts!$F$14,0)),0)</f>
        <v>0</v>
      </c>
      <c r="S423" s="10">
        <f>IFERROR(IF(('Loading-rail'!$C$21)="No control",SUMIF(('Loading-rail'!$B$31:$B$48),$J423,('Loading-rail'!$D$31:$D$48))*Impacts!$F$15,IF(('Loading-rail'!$C$21)&lt;&gt;"No control",SUMIF(('Loading-rail'!$B$31:$B$48),$J423,('Loading-rail'!$E$31:$E$48))*Impacts!$F$15,0)),0)</f>
        <v>0</v>
      </c>
      <c r="T423" s="10">
        <f>IF(Flare!$C$7="",0,(SUMIF(Flare!$B$46:$B$185,$J423,Flare!$E$46:$E$185)*Impacts!$F$16))</f>
        <v>0</v>
      </c>
      <c r="U423" s="10">
        <f>IF(VCU!$C$9="",0,(SUMIF(VCU!$B$51:$B$193,$J423,VCU!$E$51:$E$193)*Impacts!$F$17))</f>
        <v>0</v>
      </c>
      <c r="V423" s="10">
        <f>IF(CAS!$C$7="",0,(SUMIF(CAS!$B$31:$B$167,$J423,CAS!$E$31:$E$167)*Impacts!$F$18))</f>
        <v>0</v>
      </c>
      <c r="W423" s="10">
        <f t="shared" si="48"/>
        <v>0</v>
      </c>
      <c r="AK423" s="10" t="str">
        <f t="array" ref="AK423">IFERROR(INDEX(SelectedSpecies,SMALL(IF(SelectedSpecies=AK$1,ROW(SelectedSpecies)),ROW(424:424)),2),"")</f>
        <v/>
      </c>
      <c r="BE423" s="10"/>
      <c r="BI423" s="10"/>
    </row>
    <row r="424" spans="1:61" ht="21" customHeight="1" x14ac:dyDescent="0.25">
      <c r="A424" s="10"/>
      <c r="B424" s="10"/>
      <c r="E424" s="10"/>
      <c r="G424" s="10"/>
      <c r="I424" s="436" t="s">
        <v>4061</v>
      </c>
      <c r="J424" s="26" t="s">
        <v>4060</v>
      </c>
      <c r="K424" s="10">
        <v>5.8000000000000007</v>
      </c>
      <c r="L424" s="73">
        <f>IF(Tank1!$C$23="No control",(SUMIF(Tank1!$B$32:$B$49,$J424,Tank1!$C$32:$C$49)*Impacts!$F$8),0)</f>
        <v>0</v>
      </c>
      <c r="M424" s="10">
        <f>IF(Tank2!$C$23="No control",(SUMIF(Tank2!$B$32:$B$49,$J424,Tank2!$C$32:$C$49)*Impacts!$F$9),0)</f>
        <v>0</v>
      </c>
      <c r="N424" s="10">
        <f>IF(Tank3!$C$23="No control",(SUMIF(Tank3!$B$32:$B$49,$J424,Tank3!$C$32:$C$49)*Impacts!$F$10),0)</f>
        <v>0</v>
      </c>
      <c r="O424" s="10">
        <f>IF(Tank4!$C$23="No control",(SUMIF(Tank4!$B$32:$B$49,$J424,Tank4!$C$32:$C$49)*Impacts!$F$11),0)</f>
        <v>0</v>
      </c>
      <c r="P424" s="10">
        <f>IF(Tank5!$C$23="No control",(SUMIF(Tank5!$B$32:$B$49,$J424,Tank5!$C$32:$C$49)*Impacts!$F$12),0)</f>
        <v>0</v>
      </c>
      <c r="Q424" s="10">
        <f>IFERROR(IF(('Loading-drum,tote'!$C$21)="No control",SUMIF(('Loading-drum,tote'!$B$31:$B$48),$J424,('Loading-drum,tote'!$D$31:$D$48))*Impacts!$F$13,IF(('Loading-drum,tote'!$C$21)&lt;&gt;"No control",SUMIF(('Loading-drum,tote'!$B$31:$B$48),$J424,('Loading-drum,tote'!$E$31:$E$48))*Impacts!$F$13,0)),0)</f>
        <v>0</v>
      </c>
      <c r="R424" s="10">
        <f>IFERROR(IF(('Loading-truck'!$C$21)="No control",SUMIF(('Loading-truck'!$B$31:$B$48),$J424,('Loading-truck'!$D$31:$D$48))*Impacts!$F$14,IF(('Loading-truck'!$C$21)&lt;&gt;"No control",SUMIF(('Loading-truck'!$B$31:$B$48),$J424,('Loading-truck'!$E$31:$E$48))*Impacts!$F$14,0)),0)</f>
        <v>0</v>
      </c>
      <c r="S424" s="10">
        <f>IFERROR(IF(('Loading-rail'!$C$21)="No control",SUMIF(('Loading-rail'!$B$31:$B$48),$J424,('Loading-rail'!$D$31:$D$48))*Impacts!$F$15,IF(('Loading-rail'!$C$21)&lt;&gt;"No control",SUMIF(('Loading-rail'!$B$31:$B$48),$J424,('Loading-rail'!$E$31:$E$48))*Impacts!$F$15,0)),0)</f>
        <v>0</v>
      </c>
      <c r="T424" s="10">
        <f>IF(Flare!$C$7="",0,(SUMIF(Flare!$B$46:$B$185,$J424,Flare!$E$46:$E$185)*Impacts!$F$16))</f>
        <v>0</v>
      </c>
      <c r="U424" s="10">
        <f>IF(VCU!$C$9="",0,(SUMIF(VCU!$B$51:$B$193,$J424,VCU!$E$51:$E$193)*Impacts!$F$17))</f>
        <v>0</v>
      </c>
      <c r="V424" s="10">
        <f>IF(CAS!$C$7="",0,(SUMIF(CAS!$B$31:$B$167,$J424,CAS!$E$31:$E$167)*Impacts!$F$18))</f>
        <v>0</v>
      </c>
      <c r="W424" s="10">
        <f t="shared" si="48"/>
        <v>0</v>
      </c>
      <c r="AK424" s="10" t="str">
        <f t="array" ref="AK424">IFERROR(INDEX(SelectedSpecies,SMALL(IF(SelectedSpecies=AK$1,ROW(SelectedSpecies)),ROW(425:425)),2),"")</f>
        <v/>
      </c>
      <c r="BE424" s="10"/>
      <c r="BI424" s="10"/>
    </row>
    <row r="425" spans="1:61" ht="21" customHeight="1" x14ac:dyDescent="0.25">
      <c r="A425" s="10"/>
      <c r="B425" s="10"/>
      <c r="E425" s="10"/>
      <c r="G425" s="10"/>
      <c r="I425" s="436" t="s">
        <v>582</v>
      </c>
      <c r="J425" s="26" t="s">
        <v>581</v>
      </c>
      <c r="K425" s="10">
        <v>84</v>
      </c>
      <c r="L425" s="73">
        <f>IF(Tank1!$C$23="No control",(SUMIF(Tank1!$B$32:$B$49,$J425,Tank1!$C$32:$C$49)*Impacts!$F$8),0)</f>
        <v>0</v>
      </c>
      <c r="M425" s="10">
        <f>IF(Tank2!$C$23="No control",(SUMIF(Tank2!$B$32:$B$49,$J425,Tank2!$C$32:$C$49)*Impacts!$F$9),0)</f>
        <v>0</v>
      </c>
      <c r="N425" s="10">
        <f>IF(Tank3!$C$23="No control",(SUMIF(Tank3!$B$32:$B$49,$J425,Tank3!$C$32:$C$49)*Impacts!$F$10),0)</f>
        <v>0</v>
      </c>
      <c r="O425" s="10">
        <f>IF(Tank4!$C$23="No control",(SUMIF(Tank4!$B$32:$B$49,$J425,Tank4!$C$32:$C$49)*Impacts!$F$11),0)</f>
        <v>0</v>
      </c>
      <c r="P425" s="10">
        <f>IF(Tank5!$C$23="No control",(SUMIF(Tank5!$B$32:$B$49,$J425,Tank5!$C$32:$C$49)*Impacts!$F$12),0)</f>
        <v>0</v>
      </c>
      <c r="Q425" s="10">
        <f>IFERROR(IF(('Loading-drum,tote'!$C$21)="No control",SUMIF(('Loading-drum,tote'!$B$31:$B$48),$J425,('Loading-drum,tote'!$D$31:$D$48))*Impacts!$F$13,IF(('Loading-drum,tote'!$C$21)&lt;&gt;"No control",SUMIF(('Loading-drum,tote'!$B$31:$B$48),$J425,('Loading-drum,tote'!$E$31:$E$48))*Impacts!$F$13,0)),0)</f>
        <v>0</v>
      </c>
      <c r="R425" s="10">
        <f>IFERROR(IF(('Loading-truck'!$C$21)="No control",SUMIF(('Loading-truck'!$B$31:$B$48),$J425,('Loading-truck'!$D$31:$D$48))*Impacts!$F$14,IF(('Loading-truck'!$C$21)&lt;&gt;"No control",SUMIF(('Loading-truck'!$B$31:$B$48),$J425,('Loading-truck'!$E$31:$E$48))*Impacts!$F$14,0)),0)</f>
        <v>0</v>
      </c>
      <c r="S425" s="10">
        <f>IFERROR(IF(('Loading-rail'!$C$21)="No control",SUMIF(('Loading-rail'!$B$31:$B$48),$J425,('Loading-rail'!$D$31:$D$48))*Impacts!$F$15,IF(('Loading-rail'!$C$21)&lt;&gt;"No control",SUMIF(('Loading-rail'!$B$31:$B$48),$J425,('Loading-rail'!$E$31:$E$48))*Impacts!$F$15,0)),0)</f>
        <v>0</v>
      </c>
      <c r="T425" s="10">
        <f>IF(Flare!$C$7="",0,(SUMIF(Flare!$B$46:$B$185,$J425,Flare!$E$46:$E$185)*Impacts!$F$16))</f>
        <v>0</v>
      </c>
      <c r="U425" s="10">
        <f>IF(VCU!$C$9="",0,(SUMIF(VCU!$B$51:$B$193,$J425,VCU!$E$51:$E$193)*Impacts!$F$17))</f>
        <v>0</v>
      </c>
      <c r="V425" s="10">
        <f>IF(CAS!$C$7="",0,(SUMIF(CAS!$B$31:$B$167,$J425,CAS!$E$31:$E$167)*Impacts!$F$18))</f>
        <v>0</v>
      </c>
      <c r="W425" s="10">
        <f t="shared" si="48"/>
        <v>0</v>
      </c>
      <c r="AK425" s="10" t="str">
        <f t="array" ref="AK425">IFERROR(INDEX(SelectedSpecies,SMALL(IF(SelectedSpecies=AK$1,ROW(SelectedSpecies)),ROW(426:426)),2),"")</f>
        <v/>
      </c>
      <c r="BE425" s="10"/>
      <c r="BI425" s="10"/>
    </row>
    <row r="426" spans="1:61" ht="21" customHeight="1" x14ac:dyDescent="0.25">
      <c r="A426" s="10"/>
      <c r="B426" s="10"/>
      <c r="E426" s="10"/>
      <c r="G426" s="10"/>
      <c r="I426" s="436" t="s">
        <v>5694</v>
      </c>
      <c r="J426" s="26" t="s">
        <v>5693</v>
      </c>
      <c r="K426" s="10">
        <v>10</v>
      </c>
      <c r="L426" s="73">
        <f>IF(Tank1!$C$23="No control",(SUMIF(Tank1!$B$32:$B$49,$J426,Tank1!$C$32:$C$49)*Impacts!$F$8),0)</f>
        <v>0</v>
      </c>
      <c r="M426" s="10">
        <f>IF(Tank2!$C$23="No control",(SUMIF(Tank2!$B$32:$B$49,$J426,Tank2!$C$32:$C$49)*Impacts!$F$9),0)</f>
        <v>0</v>
      </c>
      <c r="N426" s="10">
        <f>IF(Tank3!$C$23="No control",(SUMIF(Tank3!$B$32:$B$49,$J426,Tank3!$C$32:$C$49)*Impacts!$F$10),0)</f>
        <v>0</v>
      </c>
      <c r="O426" s="10">
        <f>IF(Tank4!$C$23="No control",(SUMIF(Tank4!$B$32:$B$49,$J426,Tank4!$C$32:$C$49)*Impacts!$F$11),0)</f>
        <v>0</v>
      </c>
      <c r="P426" s="10">
        <f>IF(Tank5!$C$23="No control",(SUMIF(Tank5!$B$32:$B$49,$J426,Tank5!$C$32:$C$49)*Impacts!$F$12),0)</f>
        <v>0</v>
      </c>
      <c r="Q426" s="10">
        <f>IFERROR(IF(('Loading-drum,tote'!$C$21)="No control",SUMIF(('Loading-drum,tote'!$B$31:$B$48),$J426,('Loading-drum,tote'!$D$31:$D$48))*Impacts!$F$13,IF(('Loading-drum,tote'!$C$21)&lt;&gt;"No control",SUMIF(('Loading-drum,tote'!$B$31:$B$48),$J426,('Loading-drum,tote'!$E$31:$E$48))*Impacts!$F$13,0)),0)</f>
        <v>0</v>
      </c>
      <c r="R426" s="10">
        <f>IFERROR(IF(('Loading-truck'!$C$21)="No control",SUMIF(('Loading-truck'!$B$31:$B$48),$J426,('Loading-truck'!$D$31:$D$48))*Impacts!$F$14,IF(('Loading-truck'!$C$21)&lt;&gt;"No control",SUMIF(('Loading-truck'!$B$31:$B$48),$J426,('Loading-truck'!$E$31:$E$48))*Impacts!$F$14,0)),0)</f>
        <v>0</v>
      </c>
      <c r="S426" s="10">
        <f>IFERROR(IF(('Loading-rail'!$C$21)="No control",SUMIF(('Loading-rail'!$B$31:$B$48),$J426,('Loading-rail'!$D$31:$D$48))*Impacts!$F$15,IF(('Loading-rail'!$C$21)&lt;&gt;"No control",SUMIF(('Loading-rail'!$B$31:$B$48),$J426,('Loading-rail'!$E$31:$E$48))*Impacts!$F$15,0)),0)</f>
        <v>0</v>
      </c>
      <c r="T426" s="10">
        <f>IF(Flare!$C$7="",0,(SUMIF(Flare!$B$46:$B$185,$J426,Flare!$E$46:$E$185)*Impacts!$F$16))</f>
        <v>0</v>
      </c>
      <c r="U426" s="10">
        <f>IF(VCU!$C$9="",0,(SUMIF(VCU!$B$51:$B$193,$J426,VCU!$E$51:$E$193)*Impacts!$F$17))</f>
        <v>0</v>
      </c>
      <c r="V426" s="10">
        <f>IF(CAS!$C$7="",0,(SUMIF(CAS!$B$31:$B$167,$J426,CAS!$E$31:$E$167)*Impacts!$F$18))</f>
        <v>0</v>
      </c>
      <c r="W426" s="10">
        <f t="shared" si="48"/>
        <v>0</v>
      </c>
      <c r="AK426" s="10" t="str">
        <f t="array" ref="AK426">IFERROR(INDEX(SelectedSpecies,SMALL(IF(SelectedSpecies=AK$1,ROW(SelectedSpecies)),ROW(427:427)),2),"")</f>
        <v/>
      </c>
      <c r="BE426" s="10"/>
      <c r="BI426" s="10"/>
    </row>
    <row r="427" spans="1:61" ht="21" customHeight="1" x14ac:dyDescent="0.25">
      <c r="A427" s="10"/>
      <c r="B427" s="10"/>
      <c r="E427" s="10"/>
      <c r="G427" s="10"/>
      <c r="I427" s="436" t="s">
        <v>5696</v>
      </c>
      <c r="J427" s="26" t="s">
        <v>5695</v>
      </c>
      <c r="K427" s="10">
        <v>1</v>
      </c>
      <c r="L427" s="73">
        <f>IF(Tank1!$C$23="No control",(SUMIF(Tank1!$B$32:$B$49,$J427,Tank1!$C$32:$C$49)*Impacts!$F$8),0)</f>
        <v>0</v>
      </c>
      <c r="M427" s="10">
        <f>IF(Tank2!$C$23="No control",(SUMIF(Tank2!$B$32:$B$49,$J427,Tank2!$C$32:$C$49)*Impacts!$F$9),0)</f>
        <v>0</v>
      </c>
      <c r="N427" s="10">
        <f>IF(Tank3!$C$23="No control",(SUMIF(Tank3!$B$32:$B$49,$J427,Tank3!$C$32:$C$49)*Impacts!$F$10),0)</f>
        <v>0</v>
      </c>
      <c r="O427" s="10">
        <f>IF(Tank4!$C$23="No control",(SUMIF(Tank4!$B$32:$B$49,$J427,Tank4!$C$32:$C$49)*Impacts!$F$11),0)</f>
        <v>0</v>
      </c>
      <c r="P427" s="10">
        <f>IF(Tank5!$C$23="No control",(SUMIF(Tank5!$B$32:$B$49,$J427,Tank5!$C$32:$C$49)*Impacts!$F$12),0)</f>
        <v>0</v>
      </c>
      <c r="Q427" s="10">
        <f>IFERROR(IF(('Loading-drum,tote'!$C$21)="No control",SUMIF(('Loading-drum,tote'!$B$31:$B$48),$J427,('Loading-drum,tote'!$D$31:$D$48))*Impacts!$F$13,IF(('Loading-drum,tote'!$C$21)&lt;&gt;"No control",SUMIF(('Loading-drum,tote'!$B$31:$B$48),$J427,('Loading-drum,tote'!$E$31:$E$48))*Impacts!$F$13,0)),0)</f>
        <v>0</v>
      </c>
      <c r="R427" s="10">
        <f>IFERROR(IF(('Loading-truck'!$C$21)="No control",SUMIF(('Loading-truck'!$B$31:$B$48),$J427,('Loading-truck'!$D$31:$D$48))*Impacts!$F$14,IF(('Loading-truck'!$C$21)&lt;&gt;"No control",SUMIF(('Loading-truck'!$B$31:$B$48),$J427,('Loading-truck'!$E$31:$E$48))*Impacts!$F$14,0)),0)</f>
        <v>0</v>
      </c>
      <c r="S427" s="10">
        <f>IFERROR(IF(('Loading-rail'!$C$21)="No control",SUMIF(('Loading-rail'!$B$31:$B$48),$J427,('Loading-rail'!$D$31:$D$48))*Impacts!$F$15,IF(('Loading-rail'!$C$21)&lt;&gt;"No control",SUMIF(('Loading-rail'!$B$31:$B$48),$J427,('Loading-rail'!$E$31:$E$48))*Impacts!$F$15,0)),0)</f>
        <v>0</v>
      </c>
      <c r="T427" s="10">
        <f>IF(Flare!$C$7="",0,(SUMIF(Flare!$B$46:$B$185,$J427,Flare!$E$46:$E$185)*Impacts!$F$16))</f>
        <v>0</v>
      </c>
      <c r="U427" s="10">
        <f>IF(VCU!$C$9="",0,(SUMIF(VCU!$B$51:$B$193,$J427,VCU!$E$51:$E$193)*Impacts!$F$17))</f>
        <v>0</v>
      </c>
      <c r="V427" s="10">
        <f>IF(CAS!$C$7="",0,(SUMIF(CAS!$B$31:$B$167,$J427,CAS!$E$31:$E$167)*Impacts!$F$18))</f>
        <v>0</v>
      </c>
      <c r="W427" s="10">
        <f t="shared" si="48"/>
        <v>0</v>
      </c>
      <c r="AK427" s="10" t="str">
        <f t="array" ref="AK427">IFERROR(INDEX(SelectedSpecies,SMALL(IF(SelectedSpecies=AK$1,ROW(SelectedSpecies)),ROW(428:428)),2),"")</f>
        <v/>
      </c>
      <c r="BE427" s="10"/>
      <c r="BI427" s="10"/>
    </row>
    <row r="428" spans="1:61" ht="21" customHeight="1" x14ac:dyDescent="0.25">
      <c r="A428" s="10"/>
      <c r="B428" s="10"/>
      <c r="E428" s="10"/>
      <c r="G428" s="10"/>
      <c r="I428" s="436" t="s">
        <v>1586</v>
      </c>
      <c r="J428" s="26" t="s">
        <v>1585</v>
      </c>
      <c r="K428" s="10">
        <v>26</v>
      </c>
      <c r="L428" s="73">
        <f>IF(Tank1!$C$23="No control",(SUMIF(Tank1!$B$32:$B$49,$J428,Tank1!$C$32:$C$49)*Impacts!$F$8),0)</f>
        <v>0</v>
      </c>
      <c r="M428" s="10">
        <f>IF(Tank2!$C$23="No control",(SUMIF(Tank2!$B$32:$B$49,$J428,Tank2!$C$32:$C$49)*Impacts!$F$9),0)</f>
        <v>0</v>
      </c>
      <c r="N428" s="10">
        <f>IF(Tank3!$C$23="No control",(SUMIF(Tank3!$B$32:$B$49,$J428,Tank3!$C$32:$C$49)*Impacts!$F$10),0)</f>
        <v>0</v>
      </c>
      <c r="O428" s="10">
        <f>IF(Tank4!$C$23="No control",(SUMIF(Tank4!$B$32:$B$49,$J428,Tank4!$C$32:$C$49)*Impacts!$F$11),0)</f>
        <v>0</v>
      </c>
      <c r="P428" s="10">
        <f>IF(Tank5!$C$23="No control",(SUMIF(Tank5!$B$32:$B$49,$J428,Tank5!$C$32:$C$49)*Impacts!$F$12),0)</f>
        <v>0</v>
      </c>
      <c r="Q428" s="10">
        <f>IFERROR(IF(('Loading-drum,tote'!$C$21)="No control",SUMIF(('Loading-drum,tote'!$B$31:$B$48),$J428,('Loading-drum,tote'!$D$31:$D$48))*Impacts!$F$13,IF(('Loading-drum,tote'!$C$21)&lt;&gt;"No control",SUMIF(('Loading-drum,tote'!$B$31:$B$48),$J428,('Loading-drum,tote'!$E$31:$E$48))*Impacts!$F$13,0)),0)</f>
        <v>0</v>
      </c>
      <c r="R428" s="10">
        <f>IFERROR(IF(('Loading-truck'!$C$21)="No control",SUMIF(('Loading-truck'!$B$31:$B$48),$J428,('Loading-truck'!$D$31:$D$48))*Impacts!$F$14,IF(('Loading-truck'!$C$21)&lt;&gt;"No control",SUMIF(('Loading-truck'!$B$31:$B$48),$J428,('Loading-truck'!$E$31:$E$48))*Impacts!$F$14,0)),0)</f>
        <v>0</v>
      </c>
      <c r="S428" s="10">
        <f>IFERROR(IF(('Loading-rail'!$C$21)="No control",SUMIF(('Loading-rail'!$B$31:$B$48),$J428,('Loading-rail'!$D$31:$D$48))*Impacts!$F$15,IF(('Loading-rail'!$C$21)&lt;&gt;"No control",SUMIF(('Loading-rail'!$B$31:$B$48),$J428,('Loading-rail'!$E$31:$E$48))*Impacts!$F$15,0)),0)</f>
        <v>0</v>
      </c>
      <c r="T428" s="10">
        <f>IF(Flare!$C$7="",0,(SUMIF(Flare!$B$46:$B$185,$J428,Flare!$E$46:$E$185)*Impacts!$F$16))</f>
        <v>0</v>
      </c>
      <c r="U428" s="10">
        <f>IF(VCU!$C$9="",0,(SUMIF(VCU!$B$51:$B$193,$J428,VCU!$E$51:$E$193)*Impacts!$F$17))</f>
        <v>0</v>
      </c>
      <c r="V428" s="10">
        <f>IF(CAS!$C$7="",0,(SUMIF(CAS!$B$31:$B$167,$J428,CAS!$E$31:$E$167)*Impacts!$F$18))</f>
        <v>0</v>
      </c>
      <c r="W428" s="10">
        <f t="shared" si="48"/>
        <v>0</v>
      </c>
      <c r="AK428" s="10" t="str">
        <f t="array" ref="AK428">IFERROR(INDEX(SelectedSpecies,SMALL(IF(SelectedSpecies=AK$1,ROW(SelectedSpecies)),ROW(429:429)),2),"")</f>
        <v/>
      </c>
      <c r="BE428" s="10"/>
      <c r="BI428" s="10"/>
    </row>
    <row r="429" spans="1:61" ht="21" customHeight="1" x14ac:dyDescent="0.25">
      <c r="A429" s="10"/>
      <c r="B429" s="10"/>
      <c r="E429" s="10"/>
      <c r="G429" s="10"/>
      <c r="I429" s="436" t="s">
        <v>4941</v>
      </c>
      <c r="J429" s="26" t="s">
        <v>4940</v>
      </c>
      <c r="K429" s="10">
        <v>2.5</v>
      </c>
      <c r="L429" s="73">
        <f>IF(Tank1!$C$23="No control",(SUMIF(Tank1!$B$32:$B$49,$J429,Tank1!$C$32:$C$49)*Impacts!$F$8),0)</f>
        <v>0</v>
      </c>
      <c r="M429" s="10">
        <f>IF(Tank2!$C$23="No control",(SUMIF(Tank2!$B$32:$B$49,$J429,Tank2!$C$32:$C$49)*Impacts!$F$9),0)</f>
        <v>0</v>
      </c>
      <c r="N429" s="10">
        <f>IF(Tank3!$C$23="No control",(SUMIF(Tank3!$B$32:$B$49,$J429,Tank3!$C$32:$C$49)*Impacts!$F$10),0)</f>
        <v>0</v>
      </c>
      <c r="O429" s="10">
        <f>IF(Tank4!$C$23="No control",(SUMIF(Tank4!$B$32:$B$49,$J429,Tank4!$C$32:$C$49)*Impacts!$F$11),0)</f>
        <v>0</v>
      </c>
      <c r="P429" s="10">
        <f>IF(Tank5!$C$23="No control",(SUMIF(Tank5!$B$32:$B$49,$J429,Tank5!$C$32:$C$49)*Impacts!$F$12),0)</f>
        <v>0</v>
      </c>
      <c r="Q429" s="10">
        <f>IFERROR(IF(('Loading-drum,tote'!$C$21)="No control",SUMIF(('Loading-drum,tote'!$B$31:$B$48),$J429,('Loading-drum,tote'!$D$31:$D$48))*Impacts!$F$13,IF(('Loading-drum,tote'!$C$21)&lt;&gt;"No control",SUMIF(('Loading-drum,tote'!$B$31:$B$48),$J429,('Loading-drum,tote'!$E$31:$E$48))*Impacts!$F$13,0)),0)</f>
        <v>0</v>
      </c>
      <c r="R429" s="10">
        <f>IFERROR(IF(('Loading-truck'!$C$21)="No control",SUMIF(('Loading-truck'!$B$31:$B$48),$J429,('Loading-truck'!$D$31:$D$48))*Impacts!$F$14,IF(('Loading-truck'!$C$21)&lt;&gt;"No control",SUMIF(('Loading-truck'!$B$31:$B$48),$J429,('Loading-truck'!$E$31:$E$48))*Impacts!$F$14,0)),0)</f>
        <v>0</v>
      </c>
      <c r="S429" s="10">
        <f>IFERROR(IF(('Loading-rail'!$C$21)="No control",SUMIF(('Loading-rail'!$B$31:$B$48),$J429,('Loading-rail'!$D$31:$D$48))*Impacts!$F$15,IF(('Loading-rail'!$C$21)&lt;&gt;"No control",SUMIF(('Loading-rail'!$B$31:$B$48),$J429,('Loading-rail'!$E$31:$E$48))*Impacts!$F$15,0)),0)</f>
        <v>0</v>
      </c>
      <c r="T429" s="10">
        <f>IF(Flare!$C$7="",0,(SUMIF(Flare!$B$46:$B$185,$J429,Flare!$E$46:$E$185)*Impacts!$F$16))</f>
        <v>0</v>
      </c>
      <c r="U429" s="10">
        <f>IF(VCU!$C$9="",0,(SUMIF(VCU!$B$51:$B$193,$J429,VCU!$E$51:$E$193)*Impacts!$F$17))</f>
        <v>0</v>
      </c>
      <c r="V429" s="10">
        <f>IF(CAS!$C$7="",0,(SUMIF(CAS!$B$31:$B$167,$J429,CAS!$E$31:$E$167)*Impacts!$F$18))</f>
        <v>0</v>
      </c>
      <c r="W429" s="10">
        <f t="shared" si="48"/>
        <v>0</v>
      </c>
      <c r="AK429" s="10" t="str">
        <f t="array" ref="AK429">IFERROR(INDEX(SelectedSpecies,SMALL(IF(SelectedSpecies=AK$1,ROW(SelectedSpecies)),ROW(430:430)),2),"")</f>
        <v/>
      </c>
      <c r="BE429" s="10"/>
      <c r="BI429" s="10"/>
    </row>
    <row r="430" spans="1:61" ht="21" customHeight="1" x14ac:dyDescent="0.25">
      <c r="A430" s="10"/>
      <c r="B430" s="10"/>
      <c r="E430" s="10"/>
      <c r="G430" s="10"/>
      <c r="I430" s="436" t="s">
        <v>4943</v>
      </c>
      <c r="J430" s="26" t="s">
        <v>4942</v>
      </c>
      <c r="K430" s="10">
        <v>2.5</v>
      </c>
      <c r="L430" s="73">
        <f>IF(Tank1!$C$23="No control",(SUMIF(Tank1!$B$32:$B$49,$J430,Tank1!$C$32:$C$49)*Impacts!$F$8),0)</f>
        <v>0</v>
      </c>
      <c r="M430" s="10">
        <f>IF(Tank2!$C$23="No control",(SUMIF(Tank2!$B$32:$B$49,$J430,Tank2!$C$32:$C$49)*Impacts!$F$9),0)</f>
        <v>0</v>
      </c>
      <c r="N430" s="10">
        <f>IF(Tank3!$C$23="No control",(SUMIF(Tank3!$B$32:$B$49,$J430,Tank3!$C$32:$C$49)*Impacts!$F$10),0)</f>
        <v>0</v>
      </c>
      <c r="O430" s="10">
        <f>IF(Tank4!$C$23="No control",(SUMIF(Tank4!$B$32:$B$49,$J430,Tank4!$C$32:$C$49)*Impacts!$F$11),0)</f>
        <v>0</v>
      </c>
      <c r="P430" s="10">
        <f>IF(Tank5!$C$23="No control",(SUMIF(Tank5!$B$32:$B$49,$J430,Tank5!$C$32:$C$49)*Impacts!$F$12),0)</f>
        <v>0</v>
      </c>
      <c r="Q430" s="10">
        <f>IFERROR(IF(('Loading-drum,tote'!$C$21)="No control",SUMIF(('Loading-drum,tote'!$B$31:$B$48),$J430,('Loading-drum,tote'!$D$31:$D$48))*Impacts!$F$13,IF(('Loading-drum,tote'!$C$21)&lt;&gt;"No control",SUMIF(('Loading-drum,tote'!$B$31:$B$48),$J430,('Loading-drum,tote'!$E$31:$E$48))*Impacts!$F$13,0)),0)</f>
        <v>0</v>
      </c>
      <c r="R430" s="10">
        <f>IFERROR(IF(('Loading-truck'!$C$21)="No control",SUMIF(('Loading-truck'!$B$31:$B$48),$J430,('Loading-truck'!$D$31:$D$48))*Impacts!$F$14,IF(('Loading-truck'!$C$21)&lt;&gt;"No control",SUMIF(('Loading-truck'!$B$31:$B$48),$J430,('Loading-truck'!$E$31:$E$48))*Impacts!$F$14,0)),0)</f>
        <v>0</v>
      </c>
      <c r="S430" s="10">
        <f>IFERROR(IF(('Loading-rail'!$C$21)="No control",SUMIF(('Loading-rail'!$B$31:$B$48),$J430,('Loading-rail'!$D$31:$D$48))*Impacts!$F$15,IF(('Loading-rail'!$C$21)&lt;&gt;"No control",SUMIF(('Loading-rail'!$B$31:$B$48),$J430,('Loading-rail'!$E$31:$E$48))*Impacts!$F$15,0)),0)</f>
        <v>0</v>
      </c>
      <c r="T430" s="10">
        <f>IF(Flare!$C$7="",0,(SUMIF(Flare!$B$46:$B$185,$J430,Flare!$E$46:$E$185)*Impacts!$F$16))</f>
        <v>0</v>
      </c>
      <c r="U430" s="10">
        <f>IF(VCU!$C$9="",0,(SUMIF(VCU!$B$51:$B$193,$J430,VCU!$E$51:$E$193)*Impacts!$F$17))</f>
        <v>0</v>
      </c>
      <c r="V430" s="10">
        <f>IF(CAS!$C$7="",0,(SUMIF(CAS!$B$31:$B$167,$J430,CAS!$E$31:$E$167)*Impacts!$F$18))</f>
        <v>0</v>
      </c>
      <c r="W430" s="10">
        <f t="shared" si="48"/>
        <v>0</v>
      </c>
      <c r="AK430" s="10" t="str">
        <f t="array" ref="AK430">IFERROR(INDEX(SelectedSpecies,SMALL(IF(SelectedSpecies=AK$1,ROW(SelectedSpecies)),ROW(431:431)),2),"")</f>
        <v/>
      </c>
      <c r="BE430" s="10"/>
      <c r="BI430" s="10"/>
    </row>
    <row r="431" spans="1:61" ht="21" customHeight="1" x14ac:dyDescent="0.25">
      <c r="A431" s="10"/>
      <c r="B431" s="10"/>
      <c r="E431" s="10"/>
      <c r="G431" s="10"/>
      <c r="I431" s="436" t="s">
        <v>1825</v>
      </c>
      <c r="J431" s="26" t="s">
        <v>1824</v>
      </c>
      <c r="K431" s="10">
        <v>20</v>
      </c>
      <c r="L431" s="73">
        <f>IF(Tank1!$C$23="No control",(SUMIF(Tank1!$B$32:$B$49,$J431,Tank1!$C$32:$C$49)*Impacts!$F$8),0)</f>
        <v>0</v>
      </c>
      <c r="M431" s="10">
        <f>IF(Tank2!$C$23="No control",(SUMIF(Tank2!$B$32:$B$49,$J431,Tank2!$C$32:$C$49)*Impacts!$F$9),0)</f>
        <v>0</v>
      </c>
      <c r="N431" s="10">
        <f>IF(Tank3!$C$23="No control",(SUMIF(Tank3!$B$32:$B$49,$J431,Tank3!$C$32:$C$49)*Impacts!$F$10),0)</f>
        <v>0</v>
      </c>
      <c r="O431" s="10">
        <f>IF(Tank4!$C$23="No control",(SUMIF(Tank4!$B$32:$B$49,$J431,Tank4!$C$32:$C$49)*Impacts!$F$11),0)</f>
        <v>0</v>
      </c>
      <c r="P431" s="10">
        <f>IF(Tank5!$C$23="No control",(SUMIF(Tank5!$B$32:$B$49,$J431,Tank5!$C$32:$C$49)*Impacts!$F$12),0)</f>
        <v>0</v>
      </c>
      <c r="Q431" s="10">
        <f>IFERROR(IF(('Loading-drum,tote'!$C$21)="No control",SUMIF(('Loading-drum,tote'!$B$31:$B$48),$J431,('Loading-drum,tote'!$D$31:$D$48))*Impacts!$F$13,IF(('Loading-drum,tote'!$C$21)&lt;&gt;"No control",SUMIF(('Loading-drum,tote'!$B$31:$B$48),$J431,('Loading-drum,tote'!$E$31:$E$48))*Impacts!$F$13,0)),0)</f>
        <v>0</v>
      </c>
      <c r="R431" s="10">
        <f>IFERROR(IF(('Loading-truck'!$C$21)="No control",SUMIF(('Loading-truck'!$B$31:$B$48),$J431,('Loading-truck'!$D$31:$D$48))*Impacts!$F$14,IF(('Loading-truck'!$C$21)&lt;&gt;"No control",SUMIF(('Loading-truck'!$B$31:$B$48),$J431,('Loading-truck'!$E$31:$E$48))*Impacts!$F$14,0)),0)</f>
        <v>0</v>
      </c>
      <c r="S431" s="10">
        <f>IFERROR(IF(('Loading-rail'!$C$21)="No control",SUMIF(('Loading-rail'!$B$31:$B$48),$J431,('Loading-rail'!$D$31:$D$48))*Impacts!$F$15,IF(('Loading-rail'!$C$21)&lt;&gt;"No control",SUMIF(('Loading-rail'!$B$31:$B$48),$J431,('Loading-rail'!$E$31:$E$48))*Impacts!$F$15,0)),0)</f>
        <v>0</v>
      </c>
      <c r="T431" s="10">
        <f>IF(Flare!$C$7="",0,(SUMIF(Flare!$B$46:$B$185,$J431,Flare!$E$46:$E$185)*Impacts!$F$16))</f>
        <v>0</v>
      </c>
      <c r="U431" s="10">
        <f>IF(VCU!$C$9="",0,(SUMIF(VCU!$B$51:$B$193,$J431,VCU!$E$51:$E$193)*Impacts!$F$17))</f>
        <v>0</v>
      </c>
      <c r="V431" s="10">
        <f>IF(CAS!$C$7="",0,(SUMIF(CAS!$B$31:$B$167,$J431,CAS!$E$31:$E$167)*Impacts!$F$18))</f>
        <v>0</v>
      </c>
      <c r="W431" s="10">
        <f t="shared" si="48"/>
        <v>0</v>
      </c>
      <c r="AK431" s="10" t="str">
        <f t="array" ref="AK431">IFERROR(INDEX(SelectedSpecies,SMALL(IF(SelectedSpecies=AK$1,ROW(SelectedSpecies)),ROW(432:432)),2),"")</f>
        <v/>
      </c>
      <c r="BE431" s="10"/>
      <c r="BI431" s="10"/>
    </row>
    <row r="432" spans="1:61" ht="21" customHeight="1" x14ac:dyDescent="0.25">
      <c r="A432" s="10"/>
      <c r="B432" s="10"/>
      <c r="E432" s="10"/>
      <c r="G432" s="10"/>
      <c r="I432" s="436" t="s">
        <v>4407</v>
      </c>
      <c r="J432" s="26" t="s">
        <v>4406</v>
      </c>
      <c r="K432" s="10">
        <v>4.6000000000000005</v>
      </c>
      <c r="L432" s="73">
        <f>IF(Tank1!$C$23="No control",(SUMIF(Tank1!$B$32:$B$49,$J432,Tank1!$C$32:$C$49)*Impacts!$F$8),0)</f>
        <v>0</v>
      </c>
      <c r="M432" s="10">
        <f>IF(Tank2!$C$23="No control",(SUMIF(Tank2!$B$32:$B$49,$J432,Tank2!$C$32:$C$49)*Impacts!$F$9),0)</f>
        <v>0</v>
      </c>
      <c r="N432" s="10">
        <f>IF(Tank3!$C$23="No control",(SUMIF(Tank3!$B$32:$B$49,$J432,Tank3!$C$32:$C$49)*Impacts!$F$10),0)</f>
        <v>0</v>
      </c>
      <c r="O432" s="10">
        <f>IF(Tank4!$C$23="No control",(SUMIF(Tank4!$B$32:$B$49,$J432,Tank4!$C$32:$C$49)*Impacts!$F$11),0)</f>
        <v>0</v>
      </c>
      <c r="P432" s="10">
        <f>IF(Tank5!$C$23="No control",(SUMIF(Tank5!$B$32:$B$49,$J432,Tank5!$C$32:$C$49)*Impacts!$F$12),0)</f>
        <v>0</v>
      </c>
      <c r="Q432" s="10">
        <f>IFERROR(IF(('Loading-drum,tote'!$C$21)="No control",SUMIF(('Loading-drum,tote'!$B$31:$B$48),$J432,('Loading-drum,tote'!$D$31:$D$48))*Impacts!$F$13,IF(('Loading-drum,tote'!$C$21)&lt;&gt;"No control",SUMIF(('Loading-drum,tote'!$B$31:$B$48),$J432,('Loading-drum,tote'!$E$31:$E$48))*Impacts!$F$13,0)),0)</f>
        <v>0</v>
      </c>
      <c r="R432" s="10">
        <f>IFERROR(IF(('Loading-truck'!$C$21)="No control",SUMIF(('Loading-truck'!$B$31:$B$48),$J432,('Loading-truck'!$D$31:$D$48))*Impacts!$F$14,IF(('Loading-truck'!$C$21)&lt;&gt;"No control",SUMIF(('Loading-truck'!$B$31:$B$48),$J432,('Loading-truck'!$E$31:$E$48))*Impacts!$F$14,0)),0)</f>
        <v>0</v>
      </c>
      <c r="S432" s="10">
        <f>IFERROR(IF(('Loading-rail'!$C$21)="No control",SUMIF(('Loading-rail'!$B$31:$B$48),$J432,('Loading-rail'!$D$31:$D$48))*Impacts!$F$15,IF(('Loading-rail'!$C$21)&lt;&gt;"No control",SUMIF(('Loading-rail'!$B$31:$B$48),$J432,('Loading-rail'!$E$31:$E$48))*Impacts!$F$15,0)),0)</f>
        <v>0</v>
      </c>
      <c r="T432" s="10">
        <f>IF(Flare!$C$7="",0,(SUMIF(Flare!$B$46:$B$185,$J432,Flare!$E$46:$E$185)*Impacts!$F$16))</f>
        <v>0</v>
      </c>
      <c r="U432" s="10">
        <f>IF(VCU!$C$9="",0,(SUMIF(VCU!$B$51:$B$193,$J432,VCU!$E$51:$E$193)*Impacts!$F$17))</f>
        <v>0</v>
      </c>
      <c r="V432" s="10">
        <f>IF(CAS!$C$7="",0,(SUMIF(CAS!$B$31:$B$167,$J432,CAS!$E$31:$E$167)*Impacts!$F$18))</f>
        <v>0</v>
      </c>
      <c r="W432" s="10">
        <f t="shared" si="48"/>
        <v>0</v>
      </c>
      <c r="AK432" s="10" t="str">
        <f t="array" ref="AK432">IFERROR(INDEX(SelectedSpecies,SMALL(IF(SelectedSpecies=AK$1,ROW(SelectedSpecies)),ROW(433:433)),2),"")</f>
        <v/>
      </c>
      <c r="BE432" s="10"/>
      <c r="BI432" s="10"/>
    </row>
    <row r="433" spans="1:61" ht="21" customHeight="1" x14ac:dyDescent="0.25">
      <c r="A433" s="10"/>
      <c r="B433" s="10"/>
      <c r="E433" s="10"/>
      <c r="G433" s="10"/>
      <c r="I433" s="436" t="s">
        <v>5365</v>
      </c>
      <c r="J433" s="26" t="s">
        <v>5364</v>
      </c>
      <c r="K433" s="10">
        <v>1.5</v>
      </c>
      <c r="L433" s="73">
        <f>IF(Tank1!$C$23="No control",(SUMIF(Tank1!$B$32:$B$49,$J433,Tank1!$C$32:$C$49)*Impacts!$F$8),0)</f>
        <v>0</v>
      </c>
      <c r="M433" s="10">
        <f>IF(Tank2!$C$23="No control",(SUMIF(Tank2!$B$32:$B$49,$J433,Tank2!$C$32:$C$49)*Impacts!$F$9),0)</f>
        <v>0</v>
      </c>
      <c r="N433" s="10">
        <f>IF(Tank3!$C$23="No control",(SUMIF(Tank3!$B$32:$B$49,$J433,Tank3!$C$32:$C$49)*Impacts!$F$10),0)</f>
        <v>0</v>
      </c>
      <c r="O433" s="10">
        <f>IF(Tank4!$C$23="No control",(SUMIF(Tank4!$B$32:$B$49,$J433,Tank4!$C$32:$C$49)*Impacts!$F$11),0)</f>
        <v>0</v>
      </c>
      <c r="P433" s="10">
        <f>IF(Tank5!$C$23="No control",(SUMIF(Tank5!$B$32:$B$49,$J433,Tank5!$C$32:$C$49)*Impacts!$F$12),0)</f>
        <v>0</v>
      </c>
      <c r="Q433" s="10">
        <f>IFERROR(IF(('Loading-drum,tote'!$C$21)="No control",SUMIF(('Loading-drum,tote'!$B$31:$B$48),$J433,('Loading-drum,tote'!$D$31:$D$48))*Impacts!$F$13,IF(('Loading-drum,tote'!$C$21)&lt;&gt;"No control",SUMIF(('Loading-drum,tote'!$B$31:$B$48),$J433,('Loading-drum,tote'!$E$31:$E$48))*Impacts!$F$13,0)),0)</f>
        <v>0</v>
      </c>
      <c r="R433" s="10">
        <f>IFERROR(IF(('Loading-truck'!$C$21)="No control",SUMIF(('Loading-truck'!$B$31:$B$48),$J433,('Loading-truck'!$D$31:$D$48))*Impacts!$F$14,IF(('Loading-truck'!$C$21)&lt;&gt;"No control",SUMIF(('Loading-truck'!$B$31:$B$48),$J433,('Loading-truck'!$E$31:$E$48))*Impacts!$F$14,0)),0)</f>
        <v>0</v>
      </c>
      <c r="S433" s="10">
        <f>IFERROR(IF(('Loading-rail'!$C$21)="No control",SUMIF(('Loading-rail'!$B$31:$B$48),$J433,('Loading-rail'!$D$31:$D$48))*Impacts!$F$15,IF(('Loading-rail'!$C$21)&lt;&gt;"No control",SUMIF(('Loading-rail'!$B$31:$B$48),$J433,('Loading-rail'!$E$31:$E$48))*Impacts!$F$15,0)),0)</f>
        <v>0</v>
      </c>
      <c r="T433" s="10">
        <f>IF(Flare!$C$7="",0,(SUMIF(Flare!$B$46:$B$185,$J433,Flare!$E$46:$E$185)*Impacts!$F$16))</f>
        <v>0</v>
      </c>
      <c r="U433" s="10">
        <f>IF(VCU!$C$9="",0,(SUMIF(VCU!$B$51:$B$193,$J433,VCU!$E$51:$E$193)*Impacts!$F$17))</f>
        <v>0</v>
      </c>
      <c r="V433" s="10">
        <f>IF(CAS!$C$7="",0,(SUMIF(CAS!$B$31:$B$167,$J433,CAS!$E$31:$E$167)*Impacts!$F$18))</f>
        <v>0</v>
      </c>
      <c r="W433" s="10">
        <f t="shared" si="48"/>
        <v>0</v>
      </c>
      <c r="AK433" s="10" t="str">
        <f t="array" ref="AK433">IFERROR(INDEX(SelectedSpecies,SMALL(IF(SelectedSpecies=AK$1,ROW(SelectedSpecies)),ROW(434:434)),2),"")</f>
        <v/>
      </c>
      <c r="BE433" s="10"/>
      <c r="BI433" s="10"/>
    </row>
    <row r="434" spans="1:61" ht="21" customHeight="1" x14ac:dyDescent="0.25">
      <c r="A434" s="10"/>
      <c r="B434" s="10"/>
      <c r="E434" s="10"/>
      <c r="G434" s="10"/>
      <c r="I434" s="436" t="s">
        <v>2177</v>
      </c>
      <c r="J434" s="26" t="s">
        <v>2176</v>
      </c>
      <c r="K434" s="10">
        <v>15</v>
      </c>
      <c r="L434" s="73">
        <f>IF(Tank1!$C$23="No control",(SUMIF(Tank1!$B$32:$B$49,$J434,Tank1!$C$32:$C$49)*Impacts!$F$8),0)</f>
        <v>0</v>
      </c>
      <c r="M434" s="10">
        <f>IF(Tank2!$C$23="No control",(SUMIF(Tank2!$B$32:$B$49,$J434,Tank2!$C$32:$C$49)*Impacts!$F$9),0)</f>
        <v>0</v>
      </c>
      <c r="N434" s="10">
        <f>IF(Tank3!$C$23="No control",(SUMIF(Tank3!$B$32:$B$49,$J434,Tank3!$C$32:$C$49)*Impacts!$F$10),0)</f>
        <v>0</v>
      </c>
      <c r="O434" s="10">
        <f>IF(Tank4!$C$23="No control",(SUMIF(Tank4!$B$32:$B$49,$J434,Tank4!$C$32:$C$49)*Impacts!$F$11),0)</f>
        <v>0</v>
      </c>
      <c r="P434" s="10">
        <f>IF(Tank5!$C$23="No control",(SUMIF(Tank5!$B$32:$B$49,$J434,Tank5!$C$32:$C$49)*Impacts!$F$12),0)</f>
        <v>0</v>
      </c>
      <c r="Q434" s="10">
        <f>IFERROR(IF(('Loading-drum,tote'!$C$21)="No control",SUMIF(('Loading-drum,tote'!$B$31:$B$48),$J434,('Loading-drum,tote'!$D$31:$D$48))*Impacts!$F$13,IF(('Loading-drum,tote'!$C$21)&lt;&gt;"No control",SUMIF(('Loading-drum,tote'!$B$31:$B$48),$J434,('Loading-drum,tote'!$E$31:$E$48))*Impacts!$F$13,0)),0)</f>
        <v>0</v>
      </c>
      <c r="R434" s="10">
        <f>IFERROR(IF(('Loading-truck'!$C$21)="No control",SUMIF(('Loading-truck'!$B$31:$B$48),$J434,('Loading-truck'!$D$31:$D$48))*Impacts!$F$14,IF(('Loading-truck'!$C$21)&lt;&gt;"No control",SUMIF(('Loading-truck'!$B$31:$B$48),$J434,('Loading-truck'!$E$31:$E$48))*Impacts!$F$14,0)),0)</f>
        <v>0</v>
      </c>
      <c r="S434" s="10">
        <f>IFERROR(IF(('Loading-rail'!$C$21)="No control",SUMIF(('Loading-rail'!$B$31:$B$48),$J434,('Loading-rail'!$D$31:$D$48))*Impacts!$F$15,IF(('Loading-rail'!$C$21)&lt;&gt;"No control",SUMIF(('Loading-rail'!$B$31:$B$48),$J434,('Loading-rail'!$E$31:$E$48))*Impacts!$F$15,0)),0)</f>
        <v>0</v>
      </c>
      <c r="T434" s="10">
        <f>IF(Flare!$C$7="",0,(SUMIF(Flare!$B$46:$B$185,$J434,Flare!$E$46:$E$185)*Impacts!$F$16))</f>
        <v>0</v>
      </c>
      <c r="U434" s="10">
        <f>IF(VCU!$C$9="",0,(SUMIF(VCU!$B$51:$B$193,$J434,VCU!$E$51:$E$193)*Impacts!$F$17))</f>
        <v>0</v>
      </c>
      <c r="V434" s="10">
        <f>IF(CAS!$C$7="",0,(SUMIF(CAS!$B$31:$B$167,$J434,CAS!$E$31:$E$167)*Impacts!$F$18))</f>
        <v>0</v>
      </c>
      <c r="W434" s="10">
        <f t="shared" si="48"/>
        <v>0</v>
      </c>
      <c r="AK434" s="10" t="str">
        <f t="array" ref="AK434">IFERROR(INDEX(SelectedSpecies,SMALL(IF(SelectedSpecies=AK$1,ROW(SelectedSpecies)),ROW(435:435)),2),"")</f>
        <v/>
      </c>
      <c r="BE434" s="10"/>
      <c r="BI434" s="10"/>
    </row>
    <row r="435" spans="1:61" ht="21" customHeight="1" x14ac:dyDescent="0.25">
      <c r="A435" s="10"/>
      <c r="B435" s="10"/>
      <c r="E435" s="10"/>
      <c r="G435" s="10"/>
      <c r="I435" s="436" t="s">
        <v>5071</v>
      </c>
      <c r="J435" s="26" t="s">
        <v>5070</v>
      </c>
      <c r="K435" s="10">
        <v>2.2000000000000002</v>
      </c>
      <c r="L435" s="73">
        <f>IF(Tank1!$C$23="No control",(SUMIF(Tank1!$B$32:$B$49,$J435,Tank1!$C$32:$C$49)*Impacts!$F$8),0)</f>
        <v>0</v>
      </c>
      <c r="M435" s="10">
        <f>IF(Tank2!$C$23="No control",(SUMIF(Tank2!$B$32:$B$49,$J435,Tank2!$C$32:$C$49)*Impacts!$F$9),0)</f>
        <v>0</v>
      </c>
      <c r="N435" s="10">
        <f>IF(Tank3!$C$23="No control",(SUMIF(Tank3!$B$32:$B$49,$J435,Tank3!$C$32:$C$49)*Impacts!$F$10),0)</f>
        <v>0</v>
      </c>
      <c r="O435" s="10">
        <f>IF(Tank4!$C$23="No control",(SUMIF(Tank4!$B$32:$B$49,$J435,Tank4!$C$32:$C$49)*Impacts!$F$11),0)</f>
        <v>0</v>
      </c>
      <c r="P435" s="10">
        <f>IF(Tank5!$C$23="No control",(SUMIF(Tank5!$B$32:$B$49,$J435,Tank5!$C$32:$C$49)*Impacts!$F$12),0)</f>
        <v>0</v>
      </c>
      <c r="Q435" s="10">
        <f>IFERROR(IF(('Loading-drum,tote'!$C$21)="No control",SUMIF(('Loading-drum,tote'!$B$31:$B$48),$J435,('Loading-drum,tote'!$D$31:$D$48))*Impacts!$F$13,IF(('Loading-drum,tote'!$C$21)&lt;&gt;"No control",SUMIF(('Loading-drum,tote'!$B$31:$B$48),$J435,('Loading-drum,tote'!$E$31:$E$48))*Impacts!$F$13,0)),0)</f>
        <v>0</v>
      </c>
      <c r="R435" s="10">
        <f>IFERROR(IF(('Loading-truck'!$C$21)="No control",SUMIF(('Loading-truck'!$B$31:$B$48),$J435,('Loading-truck'!$D$31:$D$48))*Impacts!$F$14,IF(('Loading-truck'!$C$21)&lt;&gt;"No control",SUMIF(('Loading-truck'!$B$31:$B$48),$J435,('Loading-truck'!$E$31:$E$48))*Impacts!$F$14,0)),0)</f>
        <v>0</v>
      </c>
      <c r="S435" s="10">
        <f>IFERROR(IF(('Loading-rail'!$C$21)="No control",SUMIF(('Loading-rail'!$B$31:$B$48),$J435,('Loading-rail'!$D$31:$D$48))*Impacts!$F$15,IF(('Loading-rail'!$C$21)&lt;&gt;"No control",SUMIF(('Loading-rail'!$B$31:$B$48),$J435,('Loading-rail'!$E$31:$E$48))*Impacts!$F$15,0)),0)</f>
        <v>0</v>
      </c>
      <c r="T435" s="10">
        <f>IF(Flare!$C$7="",0,(SUMIF(Flare!$B$46:$B$185,$J435,Flare!$E$46:$E$185)*Impacts!$F$16))</f>
        <v>0</v>
      </c>
      <c r="U435" s="10">
        <f>IF(VCU!$C$9="",0,(SUMIF(VCU!$B$51:$B$193,$J435,VCU!$E$51:$E$193)*Impacts!$F$17))</f>
        <v>0</v>
      </c>
      <c r="V435" s="10">
        <f>IF(CAS!$C$7="",0,(SUMIF(CAS!$B$31:$B$167,$J435,CAS!$E$31:$E$167)*Impacts!$F$18))</f>
        <v>0</v>
      </c>
      <c r="W435" s="10">
        <f t="shared" si="48"/>
        <v>0</v>
      </c>
      <c r="AK435" s="10" t="str">
        <f t="array" ref="AK435">IFERROR(INDEX(SelectedSpecies,SMALL(IF(SelectedSpecies=AK$1,ROW(SelectedSpecies)),ROW(436:436)),2),"")</f>
        <v/>
      </c>
      <c r="BE435" s="10"/>
      <c r="BI435" s="10"/>
    </row>
    <row r="436" spans="1:61" ht="21" customHeight="1" x14ac:dyDescent="0.25">
      <c r="A436" s="10"/>
      <c r="B436" s="10"/>
      <c r="E436" s="10"/>
      <c r="G436" s="10"/>
      <c r="I436" s="436" t="s">
        <v>5255</v>
      </c>
      <c r="J436" s="26" t="s">
        <v>5254</v>
      </c>
      <c r="K436" s="10">
        <v>1.8</v>
      </c>
      <c r="L436" s="73">
        <f>IF(Tank1!$C$23="No control",(SUMIF(Tank1!$B$32:$B$49,$J436,Tank1!$C$32:$C$49)*Impacts!$F$8),0)</f>
        <v>0</v>
      </c>
      <c r="M436" s="10">
        <f>IF(Tank2!$C$23="No control",(SUMIF(Tank2!$B$32:$B$49,$J436,Tank2!$C$32:$C$49)*Impacts!$F$9),0)</f>
        <v>0</v>
      </c>
      <c r="N436" s="10">
        <f>IF(Tank3!$C$23="No control",(SUMIF(Tank3!$B$32:$B$49,$J436,Tank3!$C$32:$C$49)*Impacts!$F$10),0)</f>
        <v>0</v>
      </c>
      <c r="O436" s="10">
        <f>IF(Tank4!$C$23="No control",(SUMIF(Tank4!$B$32:$B$49,$J436,Tank4!$C$32:$C$49)*Impacts!$F$11),0)</f>
        <v>0</v>
      </c>
      <c r="P436" s="10">
        <f>IF(Tank5!$C$23="No control",(SUMIF(Tank5!$B$32:$B$49,$J436,Tank5!$C$32:$C$49)*Impacts!$F$12),0)</f>
        <v>0</v>
      </c>
      <c r="Q436" s="10">
        <f>IFERROR(IF(('Loading-drum,tote'!$C$21)="No control",SUMIF(('Loading-drum,tote'!$B$31:$B$48),$J436,('Loading-drum,tote'!$D$31:$D$48))*Impacts!$F$13,IF(('Loading-drum,tote'!$C$21)&lt;&gt;"No control",SUMIF(('Loading-drum,tote'!$B$31:$B$48),$J436,('Loading-drum,tote'!$E$31:$E$48))*Impacts!$F$13,0)),0)</f>
        <v>0</v>
      </c>
      <c r="R436" s="10">
        <f>IFERROR(IF(('Loading-truck'!$C$21)="No control",SUMIF(('Loading-truck'!$B$31:$B$48),$J436,('Loading-truck'!$D$31:$D$48))*Impacts!$F$14,IF(('Loading-truck'!$C$21)&lt;&gt;"No control",SUMIF(('Loading-truck'!$B$31:$B$48),$J436,('Loading-truck'!$E$31:$E$48))*Impacts!$F$14,0)),0)</f>
        <v>0</v>
      </c>
      <c r="S436" s="10">
        <f>IFERROR(IF(('Loading-rail'!$C$21)="No control",SUMIF(('Loading-rail'!$B$31:$B$48),$J436,('Loading-rail'!$D$31:$D$48))*Impacts!$F$15,IF(('Loading-rail'!$C$21)&lt;&gt;"No control",SUMIF(('Loading-rail'!$B$31:$B$48),$J436,('Loading-rail'!$E$31:$E$48))*Impacts!$F$15,0)),0)</f>
        <v>0</v>
      </c>
      <c r="T436" s="10">
        <f>IF(Flare!$C$7="",0,(SUMIF(Flare!$B$46:$B$185,$J436,Flare!$E$46:$E$185)*Impacts!$F$16))</f>
        <v>0</v>
      </c>
      <c r="U436" s="10">
        <f>IF(VCU!$C$9="",0,(SUMIF(VCU!$B$51:$B$193,$J436,VCU!$E$51:$E$193)*Impacts!$F$17))</f>
        <v>0</v>
      </c>
      <c r="V436" s="10">
        <f>IF(CAS!$C$7="",0,(SUMIF(CAS!$B$31:$B$167,$J436,CAS!$E$31:$E$167)*Impacts!$F$18))</f>
        <v>0</v>
      </c>
      <c r="W436" s="10">
        <f t="shared" si="48"/>
        <v>0</v>
      </c>
      <c r="AK436" s="10" t="str">
        <f t="array" ref="AK436">IFERROR(INDEX(SelectedSpecies,SMALL(IF(SelectedSpecies=AK$1,ROW(SelectedSpecies)),ROW(437:437)),2),"")</f>
        <v/>
      </c>
      <c r="BE436" s="10"/>
      <c r="BI436" s="10"/>
    </row>
    <row r="437" spans="1:61" ht="21" customHeight="1" x14ac:dyDescent="0.25">
      <c r="A437" s="10"/>
      <c r="B437" s="10"/>
      <c r="E437" s="10"/>
      <c r="G437" s="10"/>
      <c r="I437" s="436" t="s">
        <v>5127</v>
      </c>
      <c r="J437" s="26" t="s">
        <v>5126</v>
      </c>
      <c r="K437" s="10">
        <v>2</v>
      </c>
      <c r="L437" s="73">
        <f>IF(Tank1!$C$23="No control",(SUMIF(Tank1!$B$32:$B$49,$J437,Tank1!$C$32:$C$49)*Impacts!$F$8),0)</f>
        <v>0</v>
      </c>
      <c r="M437" s="10">
        <f>IF(Tank2!$C$23="No control",(SUMIF(Tank2!$B$32:$B$49,$J437,Tank2!$C$32:$C$49)*Impacts!$F$9),0)</f>
        <v>0</v>
      </c>
      <c r="N437" s="10">
        <f>IF(Tank3!$C$23="No control",(SUMIF(Tank3!$B$32:$B$49,$J437,Tank3!$C$32:$C$49)*Impacts!$F$10),0)</f>
        <v>0</v>
      </c>
      <c r="O437" s="10">
        <f>IF(Tank4!$C$23="No control",(SUMIF(Tank4!$B$32:$B$49,$J437,Tank4!$C$32:$C$49)*Impacts!$F$11),0)</f>
        <v>0</v>
      </c>
      <c r="P437" s="10">
        <f>IF(Tank5!$C$23="No control",(SUMIF(Tank5!$B$32:$B$49,$J437,Tank5!$C$32:$C$49)*Impacts!$F$12),0)</f>
        <v>0</v>
      </c>
      <c r="Q437" s="10">
        <f>IFERROR(IF(('Loading-drum,tote'!$C$21)="No control",SUMIF(('Loading-drum,tote'!$B$31:$B$48),$J437,('Loading-drum,tote'!$D$31:$D$48))*Impacts!$F$13,IF(('Loading-drum,tote'!$C$21)&lt;&gt;"No control",SUMIF(('Loading-drum,tote'!$B$31:$B$48),$J437,('Loading-drum,tote'!$E$31:$E$48))*Impacts!$F$13,0)),0)</f>
        <v>0</v>
      </c>
      <c r="R437" s="10">
        <f>IFERROR(IF(('Loading-truck'!$C$21)="No control",SUMIF(('Loading-truck'!$B$31:$B$48),$J437,('Loading-truck'!$D$31:$D$48))*Impacts!$F$14,IF(('Loading-truck'!$C$21)&lt;&gt;"No control",SUMIF(('Loading-truck'!$B$31:$B$48),$J437,('Loading-truck'!$E$31:$E$48))*Impacts!$F$14,0)),0)</f>
        <v>0</v>
      </c>
      <c r="S437" s="10">
        <f>IFERROR(IF(('Loading-rail'!$C$21)="No control",SUMIF(('Loading-rail'!$B$31:$B$48),$J437,('Loading-rail'!$D$31:$D$48))*Impacts!$F$15,IF(('Loading-rail'!$C$21)&lt;&gt;"No control",SUMIF(('Loading-rail'!$B$31:$B$48),$J437,('Loading-rail'!$E$31:$E$48))*Impacts!$F$15,0)),0)</f>
        <v>0</v>
      </c>
      <c r="T437" s="10">
        <f>IF(Flare!$C$7="",0,(SUMIF(Flare!$B$46:$B$185,$J437,Flare!$E$46:$E$185)*Impacts!$F$16))</f>
        <v>0</v>
      </c>
      <c r="U437" s="10">
        <f>IF(VCU!$C$9="",0,(SUMIF(VCU!$B$51:$B$193,$J437,VCU!$E$51:$E$193)*Impacts!$F$17))</f>
        <v>0</v>
      </c>
      <c r="V437" s="10">
        <f>IF(CAS!$C$7="",0,(SUMIF(CAS!$B$31:$B$167,$J437,CAS!$E$31:$E$167)*Impacts!$F$18))</f>
        <v>0</v>
      </c>
      <c r="W437" s="10">
        <f t="shared" si="48"/>
        <v>0</v>
      </c>
      <c r="AK437" s="10" t="str">
        <f t="array" ref="AK437">IFERROR(INDEX(SelectedSpecies,SMALL(IF(SelectedSpecies=AK$1,ROW(SelectedSpecies)),ROW(438:438)),2),"")</f>
        <v/>
      </c>
      <c r="BE437" s="10"/>
      <c r="BI437" s="10"/>
    </row>
    <row r="438" spans="1:61" ht="21" customHeight="1" x14ac:dyDescent="0.25">
      <c r="A438" s="10"/>
      <c r="B438" s="10"/>
      <c r="E438" s="10"/>
      <c r="G438" s="10"/>
      <c r="I438" s="436" t="s">
        <v>1933</v>
      </c>
      <c r="J438" s="26" t="s">
        <v>1932</v>
      </c>
      <c r="K438" s="10">
        <v>18</v>
      </c>
      <c r="L438" s="73">
        <f>IF(Tank1!$C$23="No control",(SUMIF(Tank1!$B$32:$B$49,$J438,Tank1!$C$32:$C$49)*Impacts!$F$8),0)</f>
        <v>0</v>
      </c>
      <c r="M438" s="10">
        <f>IF(Tank2!$C$23="No control",(SUMIF(Tank2!$B$32:$B$49,$J438,Tank2!$C$32:$C$49)*Impacts!$F$9),0)</f>
        <v>0</v>
      </c>
      <c r="N438" s="10">
        <f>IF(Tank3!$C$23="No control",(SUMIF(Tank3!$B$32:$B$49,$J438,Tank3!$C$32:$C$49)*Impacts!$F$10),0)</f>
        <v>0</v>
      </c>
      <c r="O438" s="10">
        <f>IF(Tank4!$C$23="No control",(SUMIF(Tank4!$B$32:$B$49,$J438,Tank4!$C$32:$C$49)*Impacts!$F$11),0)</f>
        <v>0</v>
      </c>
      <c r="P438" s="10">
        <f>IF(Tank5!$C$23="No control",(SUMIF(Tank5!$B$32:$B$49,$J438,Tank5!$C$32:$C$49)*Impacts!$F$12),0)</f>
        <v>0</v>
      </c>
      <c r="Q438" s="10">
        <f>IFERROR(IF(('Loading-drum,tote'!$C$21)="No control",SUMIF(('Loading-drum,tote'!$B$31:$B$48),$J438,('Loading-drum,tote'!$D$31:$D$48))*Impacts!$F$13,IF(('Loading-drum,tote'!$C$21)&lt;&gt;"No control",SUMIF(('Loading-drum,tote'!$B$31:$B$48),$J438,('Loading-drum,tote'!$E$31:$E$48))*Impacts!$F$13,0)),0)</f>
        <v>0</v>
      </c>
      <c r="R438" s="10">
        <f>IFERROR(IF(('Loading-truck'!$C$21)="No control",SUMIF(('Loading-truck'!$B$31:$B$48),$J438,('Loading-truck'!$D$31:$D$48))*Impacts!$F$14,IF(('Loading-truck'!$C$21)&lt;&gt;"No control",SUMIF(('Loading-truck'!$B$31:$B$48),$J438,('Loading-truck'!$E$31:$E$48))*Impacts!$F$14,0)),0)</f>
        <v>0</v>
      </c>
      <c r="S438" s="10">
        <f>IFERROR(IF(('Loading-rail'!$C$21)="No control",SUMIF(('Loading-rail'!$B$31:$B$48),$J438,('Loading-rail'!$D$31:$D$48))*Impacts!$F$15,IF(('Loading-rail'!$C$21)&lt;&gt;"No control",SUMIF(('Loading-rail'!$B$31:$B$48),$J438,('Loading-rail'!$E$31:$E$48))*Impacts!$F$15,0)),0)</f>
        <v>0</v>
      </c>
      <c r="T438" s="10">
        <f>IF(Flare!$C$7="",0,(SUMIF(Flare!$B$46:$B$185,$J438,Flare!$E$46:$E$185)*Impacts!$F$16))</f>
        <v>0</v>
      </c>
      <c r="U438" s="10">
        <f>IF(VCU!$C$9="",0,(SUMIF(VCU!$B$51:$B$193,$J438,VCU!$E$51:$E$193)*Impacts!$F$17))</f>
        <v>0</v>
      </c>
      <c r="V438" s="10">
        <f>IF(CAS!$C$7="",0,(SUMIF(CAS!$B$31:$B$167,$J438,CAS!$E$31:$E$167)*Impacts!$F$18))</f>
        <v>0</v>
      </c>
      <c r="W438" s="10">
        <f t="shared" si="48"/>
        <v>0</v>
      </c>
      <c r="AK438" s="10" t="str">
        <f t="array" ref="AK438">IFERROR(INDEX(SelectedSpecies,SMALL(IF(SelectedSpecies=AK$1,ROW(SelectedSpecies)),ROW(439:439)),2),"")</f>
        <v/>
      </c>
      <c r="BE438" s="10"/>
      <c r="BI438" s="10"/>
    </row>
    <row r="439" spans="1:61" ht="21" customHeight="1" x14ac:dyDescent="0.25">
      <c r="A439" s="10"/>
      <c r="B439" s="10"/>
      <c r="E439" s="10"/>
      <c r="G439" s="10"/>
      <c r="I439" s="436" t="s">
        <v>4161</v>
      </c>
      <c r="J439" s="26" t="s">
        <v>4160</v>
      </c>
      <c r="K439" s="10">
        <v>5</v>
      </c>
      <c r="L439" s="73">
        <f>IF(Tank1!$C$23="No control",(SUMIF(Tank1!$B$32:$B$49,$J439,Tank1!$C$32:$C$49)*Impacts!$F$8),0)</f>
        <v>0</v>
      </c>
      <c r="M439" s="10">
        <f>IF(Tank2!$C$23="No control",(SUMIF(Tank2!$B$32:$B$49,$J439,Tank2!$C$32:$C$49)*Impacts!$F$9),0)</f>
        <v>0</v>
      </c>
      <c r="N439" s="10">
        <f>IF(Tank3!$C$23="No control",(SUMIF(Tank3!$B$32:$B$49,$J439,Tank3!$C$32:$C$49)*Impacts!$F$10),0)</f>
        <v>0</v>
      </c>
      <c r="O439" s="10">
        <f>IF(Tank4!$C$23="No control",(SUMIF(Tank4!$B$32:$B$49,$J439,Tank4!$C$32:$C$49)*Impacts!$F$11),0)</f>
        <v>0</v>
      </c>
      <c r="P439" s="10">
        <f>IF(Tank5!$C$23="No control",(SUMIF(Tank5!$B$32:$B$49,$J439,Tank5!$C$32:$C$49)*Impacts!$F$12),0)</f>
        <v>0</v>
      </c>
      <c r="Q439" s="10">
        <f>IFERROR(IF(('Loading-drum,tote'!$C$21)="No control",SUMIF(('Loading-drum,tote'!$B$31:$B$48),$J439,('Loading-drum,tote'!$D$31:$D$48))*Impacts!$F$13,IF(('Loading-drum,tote'!$C$21)&lt;&gt;"No control",SUMIF(('Loading-drum,tote'!$B$31:$B$48),$J439,('Loading-drum,tote'!$E$31:$E$48))*Impacts!$F$13,0)),0)</f>
        <v>0</v>
      </c>
      <c r="R439" s="10">
        <f>IFERROR(IF(('Loading-truck'!$C$21)="No control",SUMIF(('Loading-truck'!$B$31:$B$48),$J439,('Loading-truck'!$D$31:$D$48))*Impacts!$F$14,IF(('Loading-truck'!$C$21)&lt;&gt;"No control",SUMIF(('Loading-truck'!$B$31:$B$48),$J439,('Loading-truck'!$E$31:$E$48))*Impacts!$F$14,0)),0)</f>
        <v>0</v>
      </c>
      <c r="S439" s="10">
        <f>IFERROR(IF(('Loading-rail'!$C$21)="No control",SUMIF(('Loading-rail'!$B$31:$B$48),$J439,('Loading-rail'!$D$31:$D$48))*Impacts!$F$15,IF(('Loading-rail'!$C$21)&lt;&gt;"No control",SUMIF(('Loading-rail'!$B$31:$B$48),$J439,('Loading-rail'!$E$31:$E$48))*Impacts!$F$15,0)),0)</f>
        <v>0</v>
      </c>
      <c r="T439" s="10">
        <f>IF(Flare!$C$7="",0,(SUMIF(Flare!$B$46:$B$185,$J439,Flare!$E$46:$E$185)*Impacts!$F$16))</f>
        <v>0</v>
      </c>
      <c r="U439" s="10">
        <f>IF(VCU!$C$9="",0,(SUMIF(VCU!$B$51:$B$193,$J439,VCU!$E$51:$E$193)*Impacts!$F$17))</f>
        <v>0</v>
      </c>
      <c r="V439" s="10">
        <f>IF(CAS!$C$7="",0,(SUMIF(CAS!$B$31:$B$167,$J439,CAS!$E$31:$E$167)*Impacts!$F$18))</f>
        <v>0</v>
      </c>
      <c r="W439" s="10">
        <f t="shared" si="48"/>
        <v>0</v>
      </c>
      <c r="AK439" s="10" t="str">
        <f t="array" ref="AK439">IFERROR(INDEX(SelectedSpecies,SMALL(IF(SelectedSpecies=AK$1,ROW(SelectedSpecies)),ROW(440:440)),2),"")</f>
        <v/>
      </c>
      <c r="BE439" s="10"/>
      <c r="BI439" s="10"/>
    </row>
    <row r="440" spans="1:61" ht="21" customHeight="1" x14ac:dyDescent="0.25">
      <c r="A440" s="10"/>
      <c r="B440" s="10"/>
      <c r="E440" s="10"/>
      <c r="G440" s="10"/>
      <c r="I440" s="436" t="s">
        <v>4525</v>
      </c>
      <c r="J440" s="26" t="s">
        <v>4524</v>
      </c>
      <c r="K440" s="10">
        <v>4</v>
      </c>
      <c r="L440" s="73">
        <f>IF(Tank1!$C$23="No control",(SUMIF(Tank1!$B$32:$B$49,$J440,Tank1!$C$32:$C$49)*Impacts!$F$8),0)</f>
        <v>0</v>
      </c>
      <c r="M440" s="10">
        <f>IF(Tank2!$C$23="No control",(SUMIF(Tank2!$B$32:$B$49,$J440,Tank2!$C$32:$C$49)*Impacts!$F$9),0)</f>
        <v>0</v>
      </c>
      <c r="N440" s="10">
        <f>IF(Tank3!$C$23="No control",(SUMIF(Tank3!$B$32:$B$49,$J440,Tank3!$C$32:$C$49)*Impacts!$F$10),0)</f>
        <v>0</v>
      </c>
      <c r="O440" s="10">
        <f>IF(Tank4!$C$23="No control",(SUMIF(Tank4!$B$32:$B$49,$J440,Tank4!$C$32:$C$49)*Impacts!$F$11),0)</f>
        <v>0</v>
      </c>
      <c r="P440" s="10">
        <f>IF(Tank5!$C$23="No control",(SUMIF(Tank5!$B$32:$B$49,$J440,Tank5!$C$32:$C$49)*Impacts!$F$12),0)</f>
        <v>0</v>
      </c>
      <c r="Q440" s="10">
        <f>IFERROR(IF(('Loading-drum,tote'!$C$21)="No control",SUMIF(('Loading-drum,tote'!$B$31:$B$48),$J440,('Loading-drum,tote'!$D$31:$D$48))*Impacts!$F$13,IF(('Loading-drum,tote'!$C$21)&lt;&gt;"No control",SUMIF(('Loading-drum,tote'!$B$31:$B$48),$J440,('Loading-drum,tote'!$E$31:$E$48))*Impacts!$F$13,0)),0)</f>
        <v>0</v>
      </c>
      <c r="R440" s="10">
        <f>IFERROR(IF(('Loading-truck'!$C$21)="No control",SUMIF(('Loading-truck'!$B$31:$B$48),$J440,('Loading-truck'!$D$31:$D$48))*Impacts!$F$14,IF(('Loading-truck'!$C$21)&lt;&gt;"No control",SUMIF(('Loading-truck'!$B$31:$B$48),$J440,('Loading-truck'!$E$31:$E$48))*Impacts!$F$14,0)),0)</f>
        <v>0</v>
      </c>
      <c r="S440" s="10">
        <f>IFERROR(IF(('Loading-rail'!$C$21)="No control",SUMIF(('Loading-rail'!$B$31:$B$48),$J440,('Loading-rail'!$D$31:$D$48))*Impacts!$F$15,IF(('Loading-rail'!$C$21)&lt;&gt;"No control",SUMIF(('Loading-rail'!$B$31:$B$48),$J440,('Loading-rail'!$E$31:$E$48))*Impacts!$F$15,0)),0)</f>
        <v>0</v>
      </c>
      <c r="T440" s="10">
        <f>IF(Flare!$C$7="",0,(SUMIF(Flare!$B$46:$B$185,$J440,Flare!$E$46:$E$185)*Impacts!$F$16))</f>
        <v>0</v>
      </c>
      <c r="U440" s="10">
        <f>IF(VCU!$C$9="",0,(SUMIF(VCU!$B$51:$B$193,$J440,VCU!$E$51:$E$193)*Impacts!$F$17))</f>
        <v>0</v>
      </c>
      <c r="V440" s="10">
        <f>IF(CAS!$C$7="",0,(SUMIF(CAS!$B$31:$B$167,$J440,CAS!$E$31:$E$167)*Impacts!$F$18))</f>
        <v>0</v>
      </c>
      <c r="W440" s="10">
        <f t="shared" si="48"/>
        <v>0</v>
      </c>
      <c r="AK440" s="10" t="str">
        <f t="array" ref="AK440">IFERROR(INDEX(SelectedSpecies,SMALL(IF(SelectedSpecies=AK$1,ROW(SelectedSpecies)),ROW(441:441)),2),"")</f>
        <v/>
      </c>
      <c r="BE440" s="10"/>
      <c r="BI440" s="10"/>
    </row>
    <row r="441" spans="1:61" ht="21" customHeight="1" x14ac:dyDescent="0.25">
      <c r="A441" s="10"/>
      <c r="B441" s="10"/>
      <c r="E441" s="10"/>
      <c r="G441" s="10"/>
      <c r="I441" s="436" t="s">
        <v>8034</v>
      </c>
      <c r="J441" s="26" t="s">
        <v>8033</v>
      </c>
      <c r="K441" s="10">
        <v>2.0000000000000004E-2</v>
      </c>
      <c r="L441" s="73">
        <f>IF(Tank1!$C$23="No control",(SUMIF(Tank1!$B$32:$B$49,$J441,Tank1!$C$32:$C$49)*Impacts!$F$8),0)</f>
        <v>0</v>
      </c>
      <c r="M441" s="10">
        <f>IF(Tank2!$C$23="No control",(SUMIF(Tank2!$B$32:$B$49,$J441,Tank2!$C$32:$C$49)*Impacts!$F$9),0)</f>
        <v>0</v>
      </c>
      <c r="N441" s="10">
        <f>IF(Tank3!$C$23="No control",(SUMIF(Tank3!$B$32:$B$49,$J441,Tank3!$C$32:$C$49)*Impacts!$F$10),0)</f>
        <v>0</v>
      </c>
      <c r="O441" s="10">
        <f>IF(Tank4!$C$23="No control",(SUMIF(Tank4!$B$32:$B$49,$J441,Tank4!$C$32:$C$49)*Impacts!$F$11),0)</f>
        <v>0</v>
      </c>
      <c r="P441" s="10">
        <f>IF(Tank5!$C$23="No control",(SUMIF(Tank5!$B$32:$B$49,$J441,Tank5!$C$32:$C$49)*Impacts!$F$12),0)</f>
        <v>0</v>
      </c>
      <c r="Q441" s="10">
        <f>IFERROR(IF(('Loading-drum,tote'!$C$21)="No control",SUMIF(('Loading-drum,tote'!$B$31:$B$48),$J441,('Loading-drum,tote'!$D$31:$D$48))*Impacts!$F$13,IF(('Loading-drum,tote'!$C$21)&lt;&gt;"No control",SUMIF(('Loading-drum,tote'!$B$31:$B$48),$J441,('Loading-drum,tote'!$E$31:$E$48))*Impacts!$F$13,0)),0)</f>
        <v>0</v>
      </c>
      <c r="R441" s="10">
        <f>IFERROR(IF(('Loading-truck'!$C$21)="No control",SUMIF(('Loading-truck'!$B$31:$B$48),$J441,('Loading-truck'!$D$31:$D$48))*Impacts!$F$14,IF(('Loading-truck'!$C$21)&lt;&gt;"No control",SUMIF(('Loading-truck'!$B$31:$B$48),$J441,('Loading-truck'!$E$31:$E$48))*Impacts!$F$14,0)),0)</f>
        <v>0</v>
      </c>
      <c r="S441" s="10">
        <f>IFERROR(IF(('Loading-rail'!$C$21)="No control",SUMIF(('Loading-rail'!$B$31:$B$48),$J441,('Loading-rail'!$D$31:$D$48))*Impacts!$F$15,IF(('Loading-rail'!$C$21)&lt;&gt;"No control",SUMIF(('Loading-rail'!$B$31:$B$48),$J441,('Loading-rail'!$E$31:$E$48))*Impacts!$F$15,0)),0)</f>
        <v>0</v>
      </c>
      <c r="T441" s="10">
        <f>IF(Flare!$C$7="",0,(SUMIF(Flare!$B$46:$B$185,$J441,Flare!$E$46:$E$185)*Impacts!$F$16))</f>
        <v>0</v>
      </c>
      <c r="U441" s="10">
        <f>IF(VCU!$C$9="",0,(SUMIF(VCU!$B$51:$B$193,$J441,VCU!$E$51:$E$193)*Impacts!$F$17))</f>
        <v>0</v>
      </c>
      <c r="V441" s="10">
        <f>IF(CAS!$C$7="",0,(SUMIF(CAS!$B$31:$B$167,$J441,CAS!$E$31:$E$167)*Impacts!$F$18))</f>
        <v>0</v>
      </c>
      <c r="W441" s="10">
        <f t="shared" si="48"/>
        <v>0</v>
      </c>
      <c r="AK441" s="10" t="str">
        <f t="array" ref="AK441">IFERROR(INDEX(SelectedSpecies,SMALL(IF(SelectedSpecies=AK$1,ROW(SelectedSpecies)),ROW(442:442)),2),"")</f>
        <v/>
      </c>
      <c r="BE441" s="10"/>
      <c r="BI441" s="10"/>
    </row>
    <row r="442" spans="1:61" ht="21" customHeight="1" x14ac:dyDescent="0.25">
      <c r="A442" s="10"/>
      <c r="B442" s="10"/>
      <c r="E442" s="10"/>
      <c r="G442" s="10"/>
      <c r="I442" s="436" t="s">
        <v>7424</v>
      </c>
      <c r="J442" s="26" t="s">
        <v>7423</v>
      </c>
      <c r="K442" s="10">
        <v>0.2</v>
      </c>
      <c r="L442" s="73">
        <f>IF(Tank1!$C$23="No control",(SUMIF(Tank1!$B$32:$B$49,$J442,Tank1!$C$32:$C$49)*Impacts!$F$8),0)</f>
        <v>0</v>
      </c>
      <c r="M442" s="10">
        <f>IF(Tank2!$C$23="No control",(SUMIF(Tank2!$B$32:$B$49,$J442,Tank2!$C$32:$C$49)*Impacts!$F$9),0)</f>
        <v>0</v>
      </c>
      <c r="N442" s="10">
        <f>IF(Tank3!$C$23="No control",(SUMIF(Tank3!$B$32:$B$49,$J442,Tank3!$C$32:$C$49)*Impacts!$F$10),0)</f>
        <v>0</v>
      </c>
      <c r="O442" s="10">
        <f>IF(Tank4!$C$23="No control",(SUMIF(Tank4!$B$32:$B$49,$J442,Tank4!$C$32:$C$49)*Impacts!$F$11),0)</f>
        <v>0</v>
      </c>
      <c r="P442" s="10">
        <f>IF(Tank5!$C$23="No control",(SUMIF(Tank5!$B$32:$B$49,$J442,Tank5!$C$32:$C$49)*Impacts!$F$12),0)</f>
        <v>0</v>
      </c>
      <c r="Q442" s="10">
        <f>IFERROR(IF(('Loading-drum,tote'!$C$21)="No control",SUMIF(('Loading-drum,tote'!$B$31:$B$48),$J442,('Loading-drum,tote'!$D$31:$D$48))*Impacts!$F$13,IF(('Loading-drum,tote'!$C$21)&lt;&gt;"No control",SUMIF(('Loading-drum,tote'!$B$31:$B$48),$J442,('Loading-drum,tote'!$E$31:$E$48))*Impacts!$F$13,0)),0)</f>
        <v>0</v>
      </c>
      <c r="R442" s="10">
        <f>IFERROR(IF(('Loading-truck'!$C$21)="No control",SUMIF(('Loading-truck'!$B$31:$B$48),$J442,('Loading-truck'!$D$31:$D$48))*Impacts!$F$14,IF(('Loading-truck'!$C$21)&lt;&gt;"No control",SUMIF(('Loading-truck'!$B$31:$B$48),$J442,('Loading-truck'!$E$31:$E$48))*Impacts!$F$14,0)),0)</f>
        <v>0</v>
      </c>
      <c r="S442" s="10">
        <f>IFERROR(IF(('Loading-rail'!$C$21)="No control",SUMIF(('Loading-rail'!$B$31:$B$48),$J442,('Loading-rail'!$D$31:$D$48))*Impacts!$F$15,IF(('Loading-rail'!$C$21)&lt;&gt;"No control",SUMIF(('Loading-rail'!$B$31:$B$48),$J442,('Loading-rail'!$E$31:$E$48))*Impacts!$F$15,0)),0)</f>
        <v>0</v>
      </c>
      <c r="T442" s="10">
        <f>IF(Flare!$C$7="",0,(SUMIF(Flare!$B$46:$B$185,$J442,Flare!$E$46:$E$185)*Impacts!$F$16))</f>
        <v>0</v>
      </c>
      <c r="U442" s="10">
        <f>IF(VCU!$C$9="",0,(SUMIF(VCU!$B$51:$B$193,$J442,VCU!$E$51:$E$193)*Impacts!$F$17))</f>
        <v>0</v>
      </c>
      <c r="V442" s="10">
        <f>IF(CAS!$C$7="",0,(SUMIF(CAS!$B$31:$B$167,$J442,CAS!$E$31:$E$167)*Impacts!$F$18))</f>
        <v>0</v>
      </c>
      <c r="W442" s="10">
        <f t="shared" si="48"/>
        <v>0</v>
      </c>
      <c r="AK442" s="10" t="str">
        <f t="array" ref="AK442">IFERROR(INDEX(SelectedSpecies,SMALL(IF(SelectedSpecies=AK$1,ROW(SelectedSpecies)),ROW(443:443)),2),"")</f>
        <v/>
      </c>
      <c r="BE442" s="10"/>
      <c r="BI442" s="10"/>
    </row>
    <row r="443" spans="1:61" ht="21" customHeight="1" x14ac:dyDescent="0.25">
      <c r="A443" s="10"/>
      <c r="B443" s="10"/>
      <c r="E443" s="10"/>
      <c r="G443" s="10"/>
      <c r="I443" s="436" t="s">
        <v>1827</v>
      </c>
      <c r="J443" s="26" t="s">
        <v>1826</v>
      </c>
      <c r="K443" s="10">
        <v>20</v>
      </c>
      <c r="L443" s="73">
        <f>IF(Tank1!$C$23="No control",(SUMIF(Tank1!$B$32:$B$49,$J443,Tank1!$C$32:$C$49)*Impacts!$F$8),0)</f>
        <v>0</v>
      </c>
      <c r="M443" s="10">
        <f>IF(Tank2!$C$23="No control",(SUMIF(Tank2!$B$32:$B$49,$J443,Tank2!$C$32:$C$49)*Impacts!$F$9),0)</f>
        <v>0</v>
      </c>
      <c r="N443" s="10">
        <f>IF(Tank3!$C$23="No control",(SUMIF(Tank3!$B$32:$B$49,$J443,Tank3!$C$32:$C$49)*Impacts!$F$10),0)</f>
        <v>0</v>
      </c>
      <c r="O443" s="10">
        <f>IF(Tank4!$C$23="No control",(SUMIF(Tank4!$B$32:$B$49,$J443,Tank4!$C$32:$C$49)*Impacts!$F$11),0)</f>
        <v>0</v>
      </c>
      <c r="P443" s="10">
        <f>IF(Tank5!$C$23="No control",(SUMIF(Tank5!$B$32:$B$49,$J443,Tank5!$C$32:$C$49)*Impacts!$F$12),0)</f>
        <v>0</v>
      </c>
      <c r="Q443" s="10">
        <f>IFERROR(IF(('Loading-drum,tote'!$C$21)="No control",SUMIF(('Loading-drum,tote'!$B$31:$B$48),$J443,('Loading-drum,tote'!$D$31:$D$48))*Impacts!$F$13,IF(('Loading-drum,tote'!$C$21)&lt;&gt;"No control",SUMIF(('Loading-drum,tote'!$B$31:$B$48),$J443,('Loading-drum,tote'!$E$31:$E$48))*Impacts!$F$13,0)),0)</f>
        <v>0</v>
      </c>
      <c r="R443" s="10">
        <f>IFERROR(IF(('Loading-truck'!$C$21)="No control",SUMIF(('Loading-truck'!$B$31:$B$48),$J443,('Loading-truck'!$D$31:$D$48))*Impacts!$F$14,IF(('Loading-truck'!$C$21)&lt;&gt;"No control",SUMIF(('Loading-truck'!$B$31:$B$48),$J443,('Loading-truck'!$E$31:$E$48))*Impacts!$F$14,0)),0)</f>
        <v>0</v>
      </c>
      <c r="S443" s="10">
        <f>IFERROR(IF(('Loading-rail'!$C$21)="No control",SUMIF(('Loading-rail'!$B$31:$B$48),$J443,('Loading-rail'!$D$31:$D$48))*Impacts!$F$15,IF(('Loading-rail'!$C$21)&lt;&gt;"No control",SUMIF(('Loading-rail'!$B$31:$B$48),$J443,('Loading-rail'!$E$31:$E$48))*Impacts!$F$15,0)),0)</f>
        <v>0</v>
      </c>
      <c r="T443" s="10">
        <f>IF(Flare!$C$7="",0,(SUMIF(Flare!$B$46:$B$185,$J443,Flare!$E$46:$E$185)*Impacts!$F$16))</f>
        <v>0</v>
      </c>
      <c r="U443" s="10">
        <f>IF(VCU!$C$9="",0,(SUMIF(VCU!$B$51:$B$193,$J443,VCU!$E$51:$E$193)*Impacts!$F$17))</f>
        <v>0</v>
      </c>
      <c r="V443" s="10">
        <f>IF(CAS!$C$7="",0,(SUMIF(CAS!$B$31:$B$167,$J443,CAS!$E$31:$E$167)*Impacts!$F$18))</f>
        <v>0</v>
      </c>
      <c r="W443" s="10">
        <f t="shared" si="48"/>
        <v>0</v>
      </c>
      <c r="AK443" s="10" t="str">
        <f t="array" ref="AK443">IFERROR(INDEX(SelectedSpecies,SMALL(IF(SelectedSpecies=AK$1,ROW(SelectedSpecies)),ROW(444:444)),2),"")</f>
        <v/>
      </c>
      <c r="BE443" s="10"/>
      <c r="BI443" s="10"/>
    </row>
    <row r="444" spans="1:61" ht="21" customHeight="1" x14ac:dyDescent="0.25">
      <c r="A444" s="10"/>
      <c r="B444" s="10"/>
      <c r="E444" s="10"/>
      <c r="G444" s="10"/>
      <c r="I444" s="436" t="s">
        <v>3617</v>
      </c>
      <c r="J444" s="26" t="s">
        <v>3616</v>
      </c>
      <c r="K444" s="10">
        <v>7.4</v>
      </c>
      <c r="L444" s="73">
        <f>IF(Tank1!$C$23="No control",(SUMIF(Tank1!$B$32:$B$49,$J444,Tank1!$C$32:$C$49)*Impacts!$F$8),0)</f>
        <v>0</v>
      </c>
      <c r="M444" s="10">
        <f>IF(Tank2!$C$23="No control",(SUMIF(Tank2!$B$32:$B$49,$J444,Tank2!$C$32:$C$49)*Impacts!$F$9),0)</f>
        <v>0</v>
      </c>
      <c r="N444" s="10">
        <f>IF(Tank3!$C$23="No control",(SUMIF(Tank3!$B$32:$B$49,$J444,Tank3!$C$32:$C$49)*Impacts!$F$10),0)</f>
        <v>0</v>
      </c>
      <c r="O444" s="10">
        <f>IF(Tank4!$C$23="No control",(SUMIF(Tank4!$B$32:$B$49,$J444,Tank4!$C$32:$C$49)*Impacts!$F$11),0)</f>
        <v>0</v>
      </c>
      <c r="P444" s="10">
        <f>IF(Tank5!$C$23="No control",(SUMIF(Tank5!$B$32:$B$49,$J444,Tank5!$C$32:$C$49)*Impacts!$F$12),0)</f>
        <v>0</v>
      </c>
      <c r="Q444" s="10">
        <f>IFERROR(IF(('Loading-drum,tote'!$C$21)="No control",SUMIF(('Loading-drum,tote'!$B$31:$B$48),$J444,('Loading-drum,tote'!$D$31:$D$48))*Impacts!$F$13,IF(('Loading-drum,tote'!$C$21)&lt;&gt;"No control",SUMIF(('Loading-drum,tote'!$B$31:$B$48),$J444,('Loading-drum,tote'!$E$31:$E$48))*Impacts!$F$13,0)),0)</f>
        <v>0</v>
      </c>
      <c r="R444" s="10">
        <f>IFERROR(IF(('Loading-truck'!$C$21)="No control",SUMIF(('Loading-truck'!$B$31:$B$48),$J444,('Loading-truck'!$D$31:$D$48))*Impacts!$F$14,IF(('Loading-truck'!$C$21)&lt;&gt;"No control",SUMIF(('Loading-truck'!$B$31:$B$48),$J444,('Loading-truck'!$E$31:$E$48))*Impacts!$F$14,0)),0)</f>
        <v>0</v>
      </c>
      <c r="S444" s="10">
        <f>IFERROR(IF(('Loading-rail'!$C$21)="No control",SUMIF(('Loading-rail'!$B$31:$B$48),$J444,('Loading-rail'!$D$31:$D$48))*Impacts!$F$15,IF(('Loading-rail'!$C$21)&lt;&gt;"No control",SUMIF(('Loading-rail'!$B$31:$B$48),$J444,('Loading-rail'!$E$31:$E$48))*Impacts!$F$15,0)),0)</f>
        <v>0</v>
      </c>
      <c r="T444" s="10">
        <f>IF(Flare!$C$7="",0,(SUMIF(Flare!$B$46:$B$185,$J444,Flare!$E$46:$E$185)*Impacts!$F$16))</f>
        <v>0</v>
      </c>
      <c r="U444" s="10">
        <f>IF(VCU!$C$9="",0,(SUMIF(VCU!$B$51:$B$193,$J444,VCU!$E$51:$E$193)*Impacts!$F$17))</f>
        <v>0</v>
      </c>
      <c r="V444" s="10">
        <f>IF(CAS!$C$7="",0,(SUMIF(CAS!$B$31:$B$167,$J444,CAS!$E$31:$E$167)*Impacts!$F$18))</f>
        <v>0</v>
      </c>
      <c r="W444" s="10">
        <f t="shared" si="48"/>
        <v>0</v>
      </c>
      <c r="AK444" s="10" t="str">
        <f t="array" ref="AK444">IFERROR(INDEX(SelectedSpecies,SMALL(IF(SelectedSpecies=AK$1,ROW(SelectedSpecies)),ROW(445:445)),2),"")</f>
        <v/>
      </c>
      <c r="BE444" s="10"/>
      <c r="BI444" s="10"/>
    </row>
    <row r="445" spans="1:61" ht="21" customHeight="1" x14ac:dyDescent="0.25">
      <c r="A445" s="10"/>
      <c r="B445" s="10"/>
      <c r="E445" s="10"/>
      <c r="G445" s="10"/>
      <c r="I445" s="436" t="s">
        <v>2411</v>
      </c>
      <c r="J445" s="26" t="s">
        <v>2410</v>
      </c>
      <c r="K445" s="10">
        <v>10</v>
      </c>
      <c r="L445" s="73">
        <f>IF(Tank1!$C$23="No control",(SUMIF(Tank1!$B$32:$B$49,$J445,Tank1!$C$32:$C$49)*Impacts!$F$8),0)</f>
        <v>0</v>
      </c>
      <c r="M445" s="10">
        <f>IF(Tank2!$C$23="No control",(SUMIF(Tank2!$B$32:$B$49,$J445,Tank2!$C$32:$C$49)*Impacts!$F$9),0)</f>
        <v>0</v>
      </c>
      <c r="N445" s="10">
        <f>IF(Tank3!$C$23="No control",(SUMIF(Tank3!$B$32:$B$49,$J445,Tank3!$C$32:$C$49)*Impacts!$F$10),0)</f>
        <v>0</v>
      </c>
      <c r="O445" s="10">
        <f>IF(Tank4!$C$23="No control",(SUMIF(Tank4!$B$32:$B$49,$J445,Tank4!$C$32:$C$49)*Impacts!$F$11),0)</f>
        <v>0</v>
      </c>
      <c r="P445" s="10">
        <f>IF(Tank5!$C$23="No control",(SUMIF(Tank5!$B$32:$B$49,$J445,Tank5!$C$32:$C$49)*Impacts!$F$12),0)</f>
        <v>0</v>
      </c>
      <c r="Q445" s="10">
        <f>IFERROR(IF(('Loading-drum,tote'!$C$21)="No control",SUMIF(('Loading-drum,tote'!$B$31:$B$48),$J445,('Loading-drum,tote'!$D$31:$D$48))*Impacts!$F$13,IF(('Loading-drum,tote'!$C$21)&lt;&gt;"No control",SUMIF(('Loading-drum,tote'!$B$31:$B$48),$J445,('Loading-drum,tote'!$E$31:$E$48))*Impacts!$F$13,0)),0)</f>
        <v>0</v>
      </c>
      <c r="R445" s="10">
        <f>IFERROR(IF(('Loading-truck'!$C$21)="No control",SUMIF(('Loading-truck'!$B$31:$B$48),$J445,('Loading-truck'!$D$31:$D$48))*Impacts!$F$14,IF(('Loading-truck'!$C$21)&lt;&gt;"No control",SUMIF(('Loading-truck'!$B$31:$B$48),$J445,('Loading-truck'!$E$31:$E$48))*Impacts!$F$14,0)),0)</f>
        <v>0</v>
      </c>
      <c r="S445" s="10">
        <f>IFERROR(IF(('Loading-rail'!$C$21)="No control",SUMIF(('Loading-rail'!$B$31:$B$48),$J445,('Loading-rail'!$D$31:$D$48))*Impacts!$F$15,IF(('Loading-rail'!$C$21)&lt;&gt;"No control",SUMIF(('Loading-rail'!$B$31:$B$48),$J445,('Loading-rail'!$E$31:$E$48))*Impacts!$F$15,0)),0)</f>
        <v>0</v>
      </c>
      <c r="T445" s="10">
        <f>IF(Flare!$C$7="",0,(SUMIF(Flare!$B$46:$B$185,$J445,Flare!$E$46:$E$185)*Impacts!$F$16))</f>
        <v>0</v>
      </c>
      <c r="U445" s="10">
        <f>IF(VCU!$C$9="",0,(SUMIF(VCU!$B$51:$B$193,$J445,VCU!$E$51:$E$193)*Impacts!$F$17))</f>
        <v>0</v>
      </c>
      <c r="V445" s="10">
        <f>IF(CAS!$C$7="",0,(SUMIF(CAS!$B$31:$B$167,$J445,CAS!$E$31:$E$167)*Impacts!$F$18))</f>
        <v>0</v>
      </c>
      <c r="W445" s="10">
        <f t="shared" si="48"/>
        <v>0</v>
      </c>
      <c r="AK445" s="10" t="str">
        <f t="array" ref="AK445">IFERROR(INDEX(SelectedSpecies,SMALL(IF(SelectedSpecies=AK$1,ROW(SelectedSpecies)),ROW(446:446)),2),"")</f>
        <v/>
      </c>
      <c r="BE445" s="10"/>
      <c r="BI445" s="10"/>
    </row>
    <row r="446" spans="1:61" ht="21" customHeight="1" x14ac:dyDescent="0.25">
      <c r="A446" s="10"/>
      <c r="B446" s="10"/>
      <c r="E446" s="10"/>
      <c r="G446" s="10"/>
      <c r="I446" s="436" t="s">
        <v>8316</v>
      </c>
      <c r="J446" s="26" t="s">
        <v>8315</v>
      </c>
      <c r="K446" s="10">
        <v>5.0000000000000001E-4</v>
      </c>
      <c r="L446" s="73">
        <f>IF(Tank1!$C$23="No control",(SUMIF(Tank1!$B$32:$B$49,$J446,Tank1!$C$32:$C$49)*Impacts!$F$8),0)</f>
        <v>0</v>
      </c>
      <c r="M446" s="10">
        <f>IF(Tank2!$C$23="No control",(SUMIF(Tank2!$B$32:$B$49,$J446,Tank2!$C$32:$C$49)*Impacts!$F$9),0)</f>
        <v>0</v>
      </c>
      <c r="N446" s="10">
        <f>IF(Tank3!$C$23="No control",(SUMIF(Tank3!$B$32:$B$49,$J446,Tank3!$C$32:$C$49)*Impacts!$F$10),0)</f>
        <v>0</v>
      </c>
      <c r="O446" s="10">
        <f>IF(Tank4!$C$23="No control",(SUMIF(Tank4!$B$32:$B$49,$J446,Tank4!$C$32:$C$49)*Impacts!$F$11),0)</f>
        <v>0</v>
      </c>
      <c r="P446" s="10">
        <f>IF(Tank5!$C$23="No control",(SUMIF(Tank5!$B$32:$B$49,$J446,Tank5!$C$32:$C$49)*Impacts!$F$12),0)</f>
        <v>0</v>
      </c>
      <c r="Q446" s="10">
        <f>IFERROR(IF(('Loading-drum,tote'!$C$21)="No control",SUMIF(('Loading-drum,tote'!$B$31:$B$48),$J446,('Loading-drum,tote'!$D$31:$D$48))*Impacts!$F$13,IF(('Loading-drum,tote'!$C$21)&lt;&gt;"No control",SUMIF(('Loading-drum,tote'!$B$31:$B$48),$J446,('Loading-drum,tote'!$E$31:$E$48))*Impacts!$F$13,0)),0)</f>
        <v>0</v>
      </c>
      <c r="R446" s="10">
        <f>IFERROR(IF(('Loading-truck'!$C$21)="No control",SUMIF(('Loading-truck'!$B$31:$B$48),$J446,('Loading-truck'!$D$31:$D$48))*Impacts!$F$14,IF(('Loading-truck'!$C$21)&lt;&gt;"No control",SUMIF(('Loading-truck'!$B$31:$B$48),$J446,('Loading-truck'!$E$31:$E$48))*Impacts!$F$14,0)),0)</f>
        <v>0</v>
      </c>
      <c r="S446" s="10">
        <f>IFERROR(IF(('Loading-rail'!$C$21)="No control",SUMIF(('Loading-rail'!$B$31:$B$48),$J446,('Loading-rail'!$D$31:$D$48))*Impacts!$F$15,IF(('Loading-rail'!$C$21)&lt;&gt;"No control",SUMIF(('Loading-rail'!$B$31:$B$48),$J446,('Loading-rail'!$E$31:$E$48))*Impacts!$F$15,0)),0)</f>
        <v>0</v>
      </c>
      <c r="T446" s="10">
        <f>IF(Flare!$C$7="",0,(SUMIF(Flare!$B$46:$B$185,$J446,Flare!$E$46:$E$185)*Impacts!$F$16))</f>
        <v>0</v>
      </c>
      <c r="U446" s="10">
        <f>IF(VCU!$C$9="",0,(SUMIF(VCU!$B$51:$B$193,$J446,VCU!$E$51:$E$193)*Impacts!$F$17))</f>
        <v>0</v>
      </c>
      <c r="V446" s="10">
        <f>IF(CAS!$C$7="",0,(SUMIF(CAS!$B$31:$B$167,$J446,CAS!$E$31:$E$167)*Impacts!$F$18))</f>
        <v>0</v>
      </c>
      <c r="W446" s="10">
        <f t="shared" si="48"/>
        <v>0</v>
      </c>
      <c r="AK446" s="10" t="str">
        <f t="array" ref="AK446">IFERROR(INDEX(SelectedSpecies,SMALL(IF(SelectedSpecies=AK$1,ROW(SelectedSpecies)),ROW(447:447)),2),"")</f>
        <v/>
      </c>
      <c r="BE446" s="10"/>
      <c r="BI446" s="10"/>
    </row>
    <row r="447" spans="1:61" ht="21" customHeight="1" x14ac:dyDescent="0.25">
      <c r="A447" s="10"/>
      <c r="B447" s="10"/>
      <c r="E447" s="10"/>
      <c r="G447" s="10"/>
      <c r="I447" s="436" t="s">
        <v>5073</v>
      </c>
      <c r="J447" s="26" t="s">
        <v>5072</v>
      </c>
      <c r="K447" s="10">
        <v>2.2000000000000002</v>
      </c>
      <c r="L447" s="73">
        <f>IF(Tank1!$C$23="No control",(SUMIF(Tank1!$B$32:$B$49,$J447,Tank1!$C$32:$C$49)*Impacts!$F$8),0)</f>
        <v>0</v>
      </c>
      <c r="M447" s="10">
        <f>IF(Tank2!$C$23="No control",(SUMIF(Tank2!$B$32:$B$49,$J447,Tank2!$C$32:$C$49)*Impacts!$F$9),0)</f>
        <v>0</v>
      </c>
      <c r="N447" s="10">
        <f>IF(Tank3!$C$23="No control",(SUMIF(Tank3!$B$32:$B$49,$J447,Tank3!$C$32:$C$49)*Impacts!$F$10),0)</f>
        <v>0</v>
      </c>
      <c r="O447" s="10">
        <f>IF(Tank4!$C$23="No control",(SUMIF(Tank4!$B$32:$B$49,$J447,Tank4!$C$32:$C$49)*Impacts!$F$11),0)</f>
        <v>0</v>
      </c>
      <c r="P447" s="10">
        <f>IF(Tank5!$C$23="No control",(SUMIF(Tank5!$B$32:$B$49,$J447,Tank5!$C$32:$C$49)*Impacts!$F$12),0)</f>
        <v>0</v>
      </c>
      <c r="Q447" s="10">
        <f>IFERROR(IF(('Loading-drum,tote'!$C$21)="No control",SUMIF(('Loading-drum,tote'!$B$31:$B$48),$J447,('Loading-drum,tote'!$D$31:$D$48))*Impacts!$F$13,IF(('Loading-drum,tote'!$C$21)&lt;&gt;"No control",SUMIF(('Loading-drum,tote'!$B$31:$B$48),$J447,('Loading-drum,tote'!$E$31:$E$48))*Impacts!$F$13,0)),0)</f>
        <v>0</v>
      </c>
      <c r="R447" s="10">
        <f>IFERROR(IF(('Loading-truck'!$C$21)="No control",SUMIF(('Loading-truck'!$B$31:$B$48),$J447,('Loading-truck'!$D$31:$D$48))*Impacts!$F$14,IF(('Loading-truck'!$C$21)&lt;&gt;"No control",SUMIF(('Loading-truck'!$B$31:$B$48),$J447,('Loading-truck'!$E$31:$E$48))*Impacts!$F$14,0)),0)</f>
        <v>0</v>
      </c>
      <c r="S447" s="10">
        <f>IFERROR(IF(('Loading-rail'!$C$21)="No control",SUMIF(('Loading-rail'!$B$31:$B$48),$J447,('Loading-rail'!$D$31:$D$48))*Impacts!$F$15,IF(('Loading-rail'!$C$21)&lt;&gt;"No control",SUMIF(('Loading-rail'!$B$31:$B$48),$J447,('Loading-rail'!$E$31:$E$48))*Impacts!$F$15,0)),0)</f>
        <v>0</v>
      </c>
      <c r="T447" s="10">
        <f>IF(Flare!$C$7="",0,(SUMIF(Flare!$B$46:$B$185,$J447,Flare!$E$46:$E$185)*Impacts!$F$16))</f>
        <v>0</v>
      </c>
      <c r="U447" s="10">
        <f>IF(VCU!$C$9="",0,(SUMIF(VCU!$B$51:$B$193,$J447,VCU!$E$51:$E$193)*Impacts!$F$17))</f>
        <v>0</v>
      </c>
      <c r="V447" s="10">
        <f>IF(CAS!$C$7="",0,(SUMIF(CAS!$B$31:$B$167,$J447,CAS!$E$31:$E$167)*Impacts!$F$18))</f>
        <v>0</v>
      </c>
      <c r="W447" s="10">
        <f t="shared" si="48"/>
        <v>0</v>
      </c>
      <c r="AK447" s="10" t="str">
        <f t="array" ref="AK447">IFERROR(INDEX(SelectedSpecies,SMALL(IF(SelectedSpecies=AK$1,ROW(SelectedSpecies)),ROW(448:448)),2),"")</f>
        <v/>
      </c>
      <c r="BE447" s="10"/>
      <c r="BI447" s="10"/>
    </row>
    <row r="448" spans="1:61" ht="21" customHeight="1" x14ac:dyDescent="0.25">
      <c r="A448" s="10"/>
      <c r="B448" s="10"/>
      <c r="E448" s="10"/>
      <c r="G448" s="10"/>
      <c r="I448" s="436" t="s">
        <v>6502</v>
      </c>
      <c r="J448" s="26" t="s">
        <v>6501</v>
      </c>
      <c r="K448" s="10">
        <v>0.70000000000000007</v>
      </c>
      <c r="L448" s="73">
        <f>IF(Tank1!$C$23="No control",(SUMIF(Tank1!$B$32:$B$49,$J448,Tank1!$C$32:$C$49)*Impacts!$F$8),0)</f>
        <v>0</v>
      </c>
      <c r="M448" s="10">
        <f>IF(Tank2!$C$23="No control",(SUMIF(Tank2!$B$32:$B$49,$J448,Tank2!$C$32:$C$49)*Impacts!$F$9),0)</f>
        <v>0</v>
      </c>
      <c r="N448" s="10">
        <f>IF(Tank3!$C$23="No control",(SUMIF(Tank3!$B$32:$B$49,$J448,Tank3!$C$32:$C$49)*Impacts!$F$10),0)</f>
        <v>0</v>
      </c>
      <c r="O448" s="10">
        <f>IF(Tank4!$C$23="No control",(SUMIF(Tank4!$B$32:$B$49,$J448,Tank4!$C$32:$C$49)*Impacts!$F$11),0)</f>
        <v>0</v>
      </c>
      <c r="P448" s="10">
        <f>IF(Tank5!$C$23="No control",(SUMIF(Tank5!$B$32:$B$49,$J448,Tank5!$C$32:$C$49)*Impacts!$F$12),0)</f>
        <v>0</v>
      </c>
      <c r="Q448" s="10">
        <f>IFERROR(IF(('Loading-drum,tote'!$C$21)="No control",SUMIF(('Loading-drum,tote'!$B$31:$B$48),$J448,('Loading-drum,tote'!$D$31:$D$48))*Impacts!$F$13,IF(('Loading-drum,tote'!$C$21)&lt;&gt;"No control",SUMIF(('Loading-drum,tote'!$B$31:$B$48),$J448,('Loading-drum,tote'!$E$31:$E$48))*Impacts!$F$13,0)),0)</f>
        <v>0</v>
      </c>
      <c r="R448" s="10">
        <f>IFERROR(IF(('Loading-truck'!$C$21)="No control",SUMIF(('Loading-truck'!$B$31:$B$48),$J448,('Loading-truck'!$D$31:$D$48))*Impacts!$F$14,IF(('Loading-truck'!$C$21)&lt;&gt;"No control",SUMIF(('Loading-truck'!$B$31:$B$48),$J448,('Loading-truck'!$E$31:$E$48))*Impacts!$F$14,0)),0)</f>
        <v>0</v>
      </c>
      <c r="S448" s="10">
        <f>IFERROR(IF(('Loading-rail'!$C$21)="No control",SUMIF(('Loading-rail'!$B$31:$B$48),$J448,('Loading-rail'!$D$31:$D$48))*Impacts!$F$15,IF(('Loading-rail'!$C$21)&lt;&gt;"No control",SUMIF(('Loading-rail'!$B$31:$B$48),$J448,('Loading-rail'!$E$31:$E$48))*Impacts!$F$15,0)),0)</f>
        <v>0</v>
      </c>
      <c r="T448" s="10">
        <f>IF(Flare!$C$7="",0,(SUMIF(Flare!$B$46:$B$185,$J448,Flare!$E$46:$E$185)*Impacts!$F$16))</f>
        <v>0</v>
      </c>
      <c r="U448" s="10">
        <f>IF(VCU!$C$9="",0,(SUMIF(VCU!$B$51:$B$193,$J448,VCU!$E$51:$E$193)*Impacts!$F$17))</f>
        <v>0</v>
      </c>
      <c r="V448" s="10">
        <f>IF(CAS!$C$7="",0,(SUMIF(CAS!$B$31:$B$167,$J448,CAS!$E$31:$E$167)*Impacts!$F$18))</f>
        <v>0</v>
      </c>
      <c r="W448" s="10">
        <f t="shared" si="48"/>
        <v>0</v>
      </c>
      <c r="AK448" s="10" t="str">
        <f t="array" ref="AK448">IFERROR(INDEX(SelectedSpecies,SMALL(IF(SelectedSpecies=AK$1,ROW(SelectedSpecies)),ROW(449:449)),2),"")</f>
        <v/>
      </c>
      <c r="BE448" s="10"/>
      <c r="BI448" s="10"/>
    </row>
    <row r="449" spans="1:61" ht="21" customHeight="1" x14ac:dyDescent="0.25">
      <c r="A449" s="10"/>
      <c r="B449" s="10"/>
      <c r="E449" s="10"/>
      <c r="G449" s="10"/>
      <c r="I449" s="436" t="s">
        <v>1438</v>
      </c>
      <c r="J449" s="26" t="s">
        <v>1437</v>
      </c>
      <c r="K449" s="10">
        <v>30</v>
      </c>
      <c r="L449" s="73">
        <f>IF(Tank1!$C$23="No control",(SUMIF(Tank1!$B$32:$B$49,$J449,Tank1!$C$32:$C$49)*Impacts!$F$8),0)</f>
        <v>0</v>
      </c>
      <c r="M449" s="10">
        <f>IF(Tank2!$C$23="No control",(SUMIF(Tank2!$B$32:$B$49,$J449,Tank2!$C$32:$C$49)*Impacts!$F$9),0)</f>
        <v>0</v>
      </c>
      <c r="N449" s="10">
        <f>IF(Tank3!$C$23="No control",(SUMIF(Tank3!$B$32:$B$49,$J449,Tank3!$C$32:$C$49)*Impacts!$F$10),0)</f>
        <v>0</v>
      </c>
      <c r="O449" s="10">
        <f>IF(Tank4!$C$23="No control",(SUMIF(Tank4!$B$32:$B$49,$J449,Tank4!$C$32:$C$49)*Impacts!$F$11),0)</f>
        <v>0</v>
      </c>
      <c r="P449" s="10">
        <f>IF(Tank5!$C$23="No control",(SUMIF(Tank5!$B$32:$B$49,$J449,Tank5!$C$32:$C$49)*Impacts!$F$12),0)</f>
        <v>0</v>
      </c>
      <c r="Q449" s="10">
        <f>IFERROR(IF(('Loading-drum,tote'!$C$21)="No control",SUMIF(('Loading-drum,tote'!$B$31:$B$48),$J449,('Loading-drum,tote'!$D$31:$D$48))*Impacts!$F$13,IF(('Loading-drum,tote'!$C$21)&lt;&gt;"No control",SUMIF(('Loading-drum,tote'!$B$31:$B$48),$J449,('Loading-drum,tote'!$E$31:$E$48))*Impacts!$F$13,0)),0)</f>
        <v>0</v>
      </c>
      <c r="R449" s="10">
        <f>IFERROR(IF(('Loading-truck'!$C$21)="No control",SUMIF(('Loading-truck'!$B$31:$B$48),$J449,('Loading-truck'!$D$31:$D$48))*Impacts!$F$14,IF(('Loading-truck'!$C$21)&lt;&gt;"No control",SUMIF(('Loading-truck'!$B$31:$B$48),$J449,('Loading-truck'!$E$31:$E$48))*Impacts!$F$14,0)),0)</f>
        <v>0</v>
      </c>
      <c r="S449" s="10">
        <f>IFERROR(IF(('Loading-rail'!$C$21)="No control",SUMIF(('Loading-rail'!$B$31:$B$48),$J449,('Loading-rail'!$D$31:$D$48))*Impacts!$F$15,IF(('Loading-rail'!$C$21)&lt;&gt;"No control",SUMIF(('Loading-rail'!$B$31:$B$48),$J449,('Loading-rail'!$E$31:$E$48))*Impacts!$F$15,0)),0)</f>
        <v>0</v>
      </c>
      <c r="T449" s="10">
        <f>IF(Flare!$C$7="",0,(SUMIF(Flare!$B$46:$B$185,$J449,Flare!$E$46:$E$185)*Impacts!$F$16))</f>
        <v>0</v>
      </c>
      <c r="U449" s="10">
        <f>IF(VCU!$C$9="",0,(SUMIF(VCU!$B$51:$B$193,$J449,VCU!$E$51:$E$193)*Impacts!$F$17))</f>
        <v>0</v>
      </c>
      <c r="V449" s="10">
        <f>IF(CAS!$C$7="",0,(SUMIF(CAS!$B$31:$B$167,$J449,CAS!$E$31:$E$167)*Impacts!$F$18))</f>
        <v>0</v>
      </c>
      <c r="W449" s="10">
        <f t="shared" si="48"/>
        <v>0</v>
      </c>
      <c r="AK449" s="10" t="str">
        <f t="array" ref="AK449">IFERROR(INDEX(SelectedSpecies,SMALL(IF(SelectedSpecies=AK$1,ROW(SelectedSpecies)),ROW(450:450)),2),"")</f>
        <v/>
      </c>
      <c r="BE449" s="10"/>
      <c r="BI449" s="10"/>
    </row>
    <row r="450" spans="1:61" ht="21" customHeight="1" x14ac:dyDescent="0.25">
      <c r="A450" s="10"/>
      <c r="B450" s="10"/>
      <c r="E450" s="10"/>
      <c r="G450" s="10"/>
      <c r="I450" s="436" t="s">
        <v>5257</v>
      </c>
      <c r="J450" s="26" t="s">
        <v>5256</v>
      </c>
      <c r="K450" s="10">
        <v>1.8</v>
      </c>
      <c r="L450" s="73">
        <f>IF(Tank1!$C$23="No control",(SUMIF(Tank1!$B$32:$B$49,$J450,Tank1!$C$32:$C$49)*Impacts!$F$8),0)</f>
        <v>0</v>
      </c>
      <c r="M450" s="10">
        <f>IF(Tank2!$C$23="No control",(SUMIF(Tank2!$B$32:$B$49,$J450,Tank2!$C$32:$C$49)*Impacts!$F$9),0)</f>
        <v>0</v>
      </c>
      <c r="N450" s="10">
        <f>IF(Tank3!$C$23="No control",(SUMIF(Tank3!$B$32:$B$49,$J450,Tank3!$C$32:$C$49)*Impacts!$F$10),0)</f>
        <v>0</v>
      </c>
      <c r="O450" s="10">
        <f>IF(Tank4!$C$23="No control",(SUMIF(Tank4!$B$32:$B$49,$J450,Tank4!$C$32:$C$49)*Impacts!$F$11),0)</f>
        <v>0</v>
      </c>
      <c r="P450" s="10">
        <f>IF(Tank5!$C$23="No control",(SUMIF(Tank5!$B$32:$B$49,$J450,Tank5!$C$32:$C$49)*Impacts!$F$12),0)</f>
        <v>0</v>
      </c>
      <c r="Q450" s="10">
        <f>IFERROR(IF(('Loading-drum,tote'!$C$21)="No control",SUMIF(('Loading-drum,tote'!$B$31:$B$48),$J450,('Loading-drum,tote'!$D$31:$D$48))*Impacts!$F$13,IF(('Loading-drum,tote'!$C$21)&lt;&gt;"No control",SUMIF(('Loading-drum,tote'!$B$31:$B$48),$J450,('Loading-drum,tote'!$E$31:$E$48))*Impacts!$F$13,0)),0)</f>
        <v>0</v>
      </c>
      <c r="R450" s="10">
        <f>IFERROR(IF(('Loading-truck'!$C$21)="No control",SUMIF(('Loading-truck'!$B$31:$B$48),$J450,('Loading-truck'!$D$31:$D$48))*Impacts!$F$14,IF(('Loading-truck'!$C$21)&lt;&gt;"No control",SUMIF(('Loading-truck'!$B$31:$B$48),$J450,('Loading-truck'!$E$31:$E$48))*Impacts!$F$14,0)),0)</f>
        <v>0</v>
      </c>
      <c r="S450" s="10">
        <f>IFERROR(IF(('Loading-rail'!$C$21)="No control",SUMIF(('Loading-rail'!$B$31:$B$48),$J450,('Loading-rail'!$D$31:$D$48))*Impacts!$F$15,IF(('Loading-rail'!$C$21)&lt;&gt;"No control",SUMIF(('Loading-rail'!$B$31:$B$48),$J450,('Loading-rail'!$E$31:$E$48))*Impacts!$F$15,0)),0)</f>
        <v>0</v>
      </c>
      <c r="T450" s="10">
        <f>IF(Flare!$C$7="",0,(SUMIF(Flare!$B$46:$B$185,$J450,Flare!$E$46:$E$185)*Impacts!$F$16))</f>
        <v>0</v>
      </c>
      <c r="U450" s="10">
        <f>IF(VCU!$C$9="",0,(SUMIF(VCU!$B$51:$B$193,$J450,VCU!$E$51:$E$193)*Impacts!$F$17))</f>
        <v>0</v>
      </c>
      <c r="V450" s="10">
        <f>IF(CAS!$C$7="",0,(SUMIF(CAS!$B$31:$B$167,$J450,CAS!$E$31:$E$167)*Impacts!$F$18))</f>
        <v>0</v>
      </c>
      <c r="W450" s="10">
        <f t="shared" si="48"/>
        <v>0</v>
      </c>
      <c r="AK450" s="10" t="str">
        <f t="array" ref="AK450">IFERROR(INDEX(SelectedSpecies,SMALL(IF(SelectedSpecies=AK$1,ROW(SelectedSpecies)),ROW(451:451)),2),"")</f>
        <v/>
      </c>
      <c r="BE450" s="10"/>
      <c r="BI450" s="10"/>
    </row>
    <row r="451" spans="1:61" ht="21" customHeight="1" x14ac:dyDescent="0.25">
      <c r="A451" s="10"/>
      <c r="B451" s="10"/>
      <c r="E451" s="10"/>
      <c r="G451" s="10"/>
      <c r="I451" s="436" t="s">
        <v>5393</v>
      </c>
      <c r="J451" s="26" t="s">
        <v>5392</v>
      </c>
      <c r="K451" s="10">
        <v>1.4000000000000001</v>
      </c>
      <c r="L451" s="73">
        <f>IF(Tank1!$C$23="No control",(SUMIF(Tank1!$B$32:$B$49,$J451,Tank1!$C$32:$C$49)*Impacts!$F$8),0)</f>
        <v>0</v>
      </c>
      <c r="M451" s="10">
        <f>IF(Tank2!$C$23="No control",(SUMIF(Tank2!$B$32:$B$49,$J451,Tank2!$C$32:$C$49)*Impacts!$F$9),0)</f>
        <v>0</v>
      </c>
      <c r="N451" s="10">
        <f>IF(Tank3!$C$23="No control",(SUMIF(Tank3!$B$32:$B$49,$J451,Tank3!$C$32:$C$49)*Impacts!$F$10),0)</f>
        <v>0</v>
      </c>
      <c r="O451" s="10">
        <f>IF(Tank4!$C$23="No control",(SUMIF(Tank4!$B$32:$B$49,$J451,Tank4!$C$32:$C$49)*Impacts!$F$11),0)</f>
        <v>0</v>
      </c>
      <c r="P451" s="10">
        <f>IF(Tank5!$C$23="No control",(SUMIF(Tank5!$B$32:$B$49,$J451,Tank5!$C$32:$C$49)*Impacts!$F$12),0)</f>
        <v>0</v>
      </c>
      <c r="Q451" s="10">
        <f>IFERROR(IF(('Loading-drum,tote'!$C$21)="No control",SUMIF(('Loading-drum,tote'!$B$31:$B$48),$J451,('Loading-drum,tote'!$D$31:$D$48))*Impacts!$F$13,IF(('Loading-drum,tote'!$C$21)&lt;&gt;"No control",SUMIF(('Loading-drum,tote'!$B$31:$B$48),$J451,('Loading-drum,tote'!$E$31:$E$48))*Impacts!$F$13,0)),0)</f>
        <v>0</v>
      </c>
      <c r="R451" s="10">
        <f>IFERROR(IF(('Loading-truck'!$C$21)="No control",SUMIF(('Loading-truck'!$B$31:$B$48),$J451,('Loading-truck'!$D$31:$D$48))*Impacts!$F$14,IF(('Loading-truck'!$C$21)&lt;&gt;"No control",SUMIF(('Loading-truck'!$B$31:$B$48),$J451,('Loading-truck'!$E$31:$E$48))*Impacts!$F$14,0)),0)</f>
        <v>0</v>
      </c>
      <c r="S451" s="10">
        <f>IFERROR(IF(('Loading-rail'!$C$21)="No control",SUMIF(('Loading-rail'!$B$31:$B$48),$J451,('Loading-rail'!$D$31:$D$48))*Impacts!$F$15,IF(('Loading-rail'!$C$21)&lt;&gt;"No control",SUMIF(('Loading-rail'!$B$31:$B$48),$J451,('Loading-rail'!$E$31:$E$48))*Impacts!$F$15,0)),0)</f>
        <v>0</v>
      </c>
      <c r="T451" s="10">
        <f>IF(Flare!$C$7="",0,(SUMIF(Flare!$B$46:$B$185,$J451,Flare!$E$46:$E$185)*Impacts!$F$16))</f>
        <v>0</v>
      </c>
      <c r="U451" s="10">
        <f>IF(VCU!$C$9="",0,(SUMIF(VCU!$B$51:$B$193,$J451,VCU!$E$51:$E$193)*Impacts!$F$17))</f>
        <v>0</v>
      </c>
      <c r="V451" s="10">
        <f>IF(CAS!$C$7="",0,(SUMIF(CAS!$B$31:$B$167,$J451,CAS!$E$31:$E$167)*Impacts!$F$18))</f>
        <v>0</v>
      </c>
      <c r="W451" s="10">
        <f t="shared" ref="W451:W514" si="49">SUM(L451:V451)</f>
        <v>0</v>
      </c>
      <c r="AK451" s="10" t="str">
        <f t="array" ref="AK451">IFERROR(INDEX(SelectedSpecies,SMALL(IF(SelectedSpecies=AK$1,ROW(SelectedSpecies)),ROW(452:452)),2),"")</f>
        <v/>
      </c>
      <c r="BE451" s="10"/>
      <c r="BI451" s="10"/>
    </row>
    <row r="452" spans="1:61" ht="21" customHeight="1" x14ac:dyDescent="0.25">
      <c r="A452" s="10"/>
      <c r="B452" s="10"/>
      <c r="E452" s="10"/>
      <c r="G452" s="10"/>
      <c r="I452" s="436" t="s">
        <v>1214</v>
      </c>
      <c r="J452" s="26" t="s">
        <v>1213</v>
      </c>
      <c r="K452" s="10">
        <v>34</v>
      </c>
      <c r="L452" s="73">
        <f>IF(Tank1!$C$23="No control",(SUMIF(Tank1!$B$32:$B$49,$J452,Tank1!$C$32:$C$49)*Impacts!$F$8),0)</f>
        <v>0</v>
      </c>
      <c r="M452" s="10">
        <f>IF(Tank2!$C$23="No control",(SUMIF(Tank2!$B$32:$B$49,$J452,Tank2!$C$32:$C$49)*Impacts!$F$9),0)</f>
        <v>0</v>
      </c>
      <c r="N452" s="10">
        <f>IF(Tank3!$C$23="No control",(SUMIF(Tank3!$B$32:$B$49,$J452,Tank3!$C$32:$C$49)*Impacts!$F$10),0)</f>
        <v>0</v>
      </c>
      <c r="O452" s="10">
        <f>IF(Tank4!$C$23="No control",(SUMIF(Tank4!$B$32:$B$49,$J452,Tank4!$C$32:$C$49)*Impacts!$F$11),0)</f>
        <v>0</v>
      </c>
      <c r="P452" s="10">
        <f>IF(Tank5!$C$23="No control",(SUMIF(Tank5!$B$32:$B$49,$J452,Tank5!$C$32:$C$49)*Impacts!$F$12),0)</f>
        <v>0</v>
      </c>
      <c r="Q452" s="10">
        <f>IFERROR(IF(('Loading-drum,tote'!$C$21)="No control",SUMIF(('Loading-drum,tote'!$B$31:$B$48),$J452,('Loading-drum,tote'!$D$31:$D$48))*Impacts!$F$13,IF(('Loading-drum,tote'!$C$21)&lt;&gt;"No control",SUMIF(('Loading-drum,tote'!$B$31:$B$48),$J452,('Loading-drum,tote'!$E$31:$E$48))*Impacts!$F$13,0)),0)</f>
        <v>0</v>
      </c>
      <c r="R452" s="10">
        <f>IFERROR(IF(('Loading-truck'!$C$21)="No control",SUMIF(('Loading-truck'!$B$31:$B$48),$J452,('Loading-truck'!$D$31:$D$48))*Impacts!$F$14,IF(('Loading-truck'!$C$21)&lt;&gt;"No control",SUMIF(('Loading-truck'!$B$31:$B$48),$J452,('Loading-truck'!$E$31:$E$48))*Impacts!$F$14,0)),0)</f>
        <v>0</v>
      </c>
      <c r="S452" s="10">
        <f>IFERROR(IF(('Loading-rail'!$C$21)="No control",SUMIF(('Loading-rail'!$B$31:$B$48),$J452,('Loading-rail'!$D$31:$D$48))*Impacts!$F$15,IF(('Loading-rail'!$C$21)&lt;&gt;"No control",SUMIF(('Loading-rail'!$B$31:$B$48),$J452,('Loading-rail'!$E$31:$E$48))*Impacts!$F$15,0)),0)</f>
        <v>0</v>
      </c>
      <c r="T452" s="10">
        <f>IF(Flare!$C$7="",0,(SUMIF(Flare!$B$46:$B$185,$J452,Flare!$E$46:$E$185)*Impacts!$F$16))</f>
        <v>0</v>
      </c>
      <c r="U452" s="10">
        <f>IF(VCU!$C$9="",0,(SUMIF(VCU!$B$51:$B$193,$J452,VCU!$E$51:$E$193)*Impacts!$F$17))</f>
        <v>0</v>
      </c>
      <c r="V452" s="10">
        <f>IF(CAS!$C$7="",0,(SUMIF(CAS!$B$31:$B$167,$J452,CAS!$E$31:$E$167)*Impacts!$F$18))</f>
        <v>0</v>
      </c>
      <c r="W452" s="10">
        <f t="shared" si="49"/>
        <v>0</v>
      </c>
      <c r="AK452" s="10" t="str">
        <f t="array" ref="AK452">IFERROR(INDEX(SelectedSpecies,SMALL(IF(SelectedSpecies=AK$1,ROW(SelectedSpecies)),ROW(453:453)),2),"")</f>
        <v/>
      </c>
      <c r="BE452" s="10"/>
      <c r="BI452" s="10"/>
    </row>
    <row r="453" spans="1:61" ht="21" customHeight="1" x14ac:dyDescent="0.25">
      <c r="A453" s="10"/>
      <c r="B453" s="10"/>
      <c r="E453" s="10"/>
      <c r="G453" s="10"/>
      <c r="I453" s="436" t="s">
        <v>489</v>
      </c>
      <c r="J453" s="26" t="s">
        <v>488</v>
      </c>
      <c r="K453" s="10">
        <v>100</v>
      </c>
      <c r="L453" s="73">
        <f>IF(Tank1!$C$23="No control",(SUMIF(Tank1!$B$32:$B$49,$J453,Tank1!$C$32:$C$49)*Impacts!$F$8),0)</f>
        <v>0</v>
      </c>
      <c r="M453" s="10">
        <f>IF(Tank2!$C$23="No control",(SUMIF(Tank2!$B$32:$B$49,$J453,Tank2!$C$32:$C$49)*Impacts!$F$9),0)</f>
        <v>0</v>
      </c>
      <c r="N453" s="10">
        <f>IF(Tank3!$C$23="No control",(SUMIF(Tank3!$B$32:$B$49,$J453,Tank3!$C$32:$C$49)*Impacts!$F$10),0)</f>
        <v>0</v>
      </c>
      <c r="O453" s="10">
        <f>IF(Tank4!$C$23="No control",(SUMIF(Tank4!$B$32:$B$49,$J453,Tank4!$C$32:$C$49)*Impacts!$F$11),0)</f>
        <v>0</v>
      </c>
      <c r="P453" s="10">
        <f>IF(Tank5!$C$23="No control",(SUMIF(Tank5!$B$32:$B$49,$J453,Tank5!$C$32:$C$49)*Impacts!$F$12),0)</f>
        <v>0</v>
      </c>
      <c r="Q453" s="10">
        <f>IFERROR(IF(('Loading-drum,tote'!$C$21)="No control",SUMIF(('Loading-drum,tote'!$B$31:$B$48),$J453,('Loading-drum,tote'!$D$31:$D$48))*Impacts!$F$13,IF(('Loading-drum,tote'!$C$21)&lt;&gt;"No control",SUMIF(('Loading-drum,tote'!$B$31:$B$48),$J453,('Loading-drum,tote'!$E$31:$E$48))*Impacts!$F$13,0)),0)</f>
        <v>0</v>
      </c>
      <c r="R453" s="10">
        <f>IFERROR(IF(('Loading-truck'!$C$21)="No control",SUMIF(('Loading-truck'!$B$31:$B$48),$J453,('Loading-truck'!$D$31:$D$48))*Impacts!$F$14,IF(('Loading-truck'!$C$21)&lt;&gt;"No control",SUMIF(('Loading-truck'!$B$31:$B$48),$J453,('Loading-truck'!$E$31:$E$48))*Impacts!$F$14,0)),0)</f>
        <v>0</v>
      </c>
      <c r="S453" s="10">
        <f>IFERROR(IF(('Loading-rail'!$C$21)="No control",SUMIF(('Loading-rail'!$B$31:$B$48),$J453,('Loading-rail'!$D$31:$D$48))*Impacts!$F$15,IF(('Loading-rail'!$C$21)&lt;&gt;"No control",SUMIF(('Loading-rail'!$B$31:$B$48),$J453,('Loading-rail'!$E$31:$E$48))*Impacts!$F$15,0)),0)</f>
        <v>0</v>
      </c>
      <c r="T453" s="10">
        <f>IF(Flare!$C$7="",0,(SUMIF(Flare!$B$46:$B$185,$J453,Flare!$E$46:$E$185)*Impacts!$F$16))</f>
        <v>0</v>
      </c>
      <c r="U453" s="10">
        <f>IF(VCU!$C$9="",0,(SUMIF(VCU!$B$51:$B$193,$J453,VCU!$E$51:$E$193)*Impacts!$F$17))</f>
        <v>0</v>
      </c>
      <c r="V453" s="10">
        <f>IF(CAS!$C$7="",0,(SUMIF(CAS!$B$31:$B$167,$J453,CAS!$E$31:$E$167)*Impacts!$F$18))</f>
        <v>0</v>
      </c>
      <c r="W453" s="10">
        <f t="shared" si="49"/>
        <v>0</v>
      </c>
      <c r="AK453" s="10" t="str">
        <f t="array" ref="AK453">IFERROR(INDEX(SelectedSpecies,SMALL(IF(SelectedSpecies=AK$1,ROW(SelectedSpecies)),ROW(454:454)),2),"")</f>
        <v/>
      </c>
      <c r="BE453" s="10"/>
      <c r="BI453" s="10"/>
    </row>
    <row r="454" spans="1:61" ht="21" customHeight="1" x14ac:dyDescent="0.25">
      <c r="A454" s="10"/>
      <c r="B454" s="10"/>
      <c r="E454" s="10"/>
      <c r="G454" s="10"/>
      <c r="I454" s="436" t="s">
        <v>8116</v>
      </c>
      <c r="J454" s="26" t="s">
        <v>8115</v>
      </c>
      <c r="K454" s="10">
        <v>1.0000000000000002E-2</v>
      </c>
      <c r="L454" s="73">
        <f>IF(Tank1!$C$23="No control",(SUMIF(Tank1!$B$32:$B$49,$J454,Tank1!$C$32:$C$49)*Impacts!$F$8),0)</f>
        <v>0</v>
      </c>
      <c r="M454" s="10">
        <f>IF(Tank2!$C$23="No control",(SUMIF(Tank2!$B$32:$B$49,$J454,Tank2!$C$32:$C$49)*Impacts!$F$9),0)</f>
        <v>0</v>
      </c>
      <c r="N454" s="10">
        <f>IF(Tank3!$C$23="No control",(SUMIF(Tank3!$B$32:$B$49,$J454,Tank3!$C$32:$C$49)*Impacts!$F$10),0)</f>
        <v>0</v>
      </c>
      <c r="O454" s="10">
        <f>IF(Tank4!$C$23="No control",(SUMIF(Tank4!$B$32:$B$49,$J454,Tank4!$C$32:$C$49)*Impacts!$F$11),0)</f>
        <v>0</v>
      </c>
      <c r="P454" s="10">
        <f>IF(Tank5!$C$23="No control",(SUMIF(Tank5!$B$32:$B$49,$J454,Tank5!$C$32:$C$49)*Impacts!$F$12),0)</f>
        <v>0</v>
      </c>
      <c r="Q454" s="10">
        <f>IFERROR(IF(('Loading-drum,tote'!$C$21)="No control",SUMIF(('Loading-drum,tote'!$B$31:$B$48),$J454,('Loading-drum,tote'!$D$31:$D$48))*Impacts!$F$13,IF(('Loading-drum,tote'!$C$21)&lt;&gt;"No control",SUMIF(('Loading-drum,tote'!$B$31:$B$48),$J454,('Loading-drum,tote'!$E$31:$E$48))*Impacts!$F$13,0)),0)</f>
        <v>0</v>
      </c>
      <c r="R454" s="10">
        <f>IFERROR(IF(('Loading-truck'!$C$21)="No control",SUMIF(('Loading-truck'!$B$31:$B$48),$J454,('Loading-truck'!$D$31:$D$48))*Impacts!$F$14,IF(('Loading-truck'!$C$21)&lt;&gt;"No control",SUMIF(('Loading-truck'!$B$31:$B$48),$J454,('Loading-truck'!$E$31:$E$48))*Impacts!$F$14,0)),0)</f>
        <v>0</v>
      </c>
      <c r="S454" s="10">
        <f>IFERROR(IF(('Loading-rail'!$C$21)="No control",SUMIF(('Loading-rail'!$B$31:$B$48),$J454,('Loading-rail'!$D$31:$D$48))*Impacts!$F$15,IF(('Loading-rail'!$C$21)&lt;&gt;"No control",SUMIF(('Loading-rail'!$B$31:$B$48),$J454,('Loading-rail'!$E$31:$E$48))*Impacts!$F$15,0)),0)</f>
        <v>0</v>
      </c>
      <c r="T454" s="10">
        <f>IF(Flare!$C$7="",0,(SUMIF(Flare!$B$46:$B$185,$J454,Flare!$E$46:$E$185)*Impacts!$F$16))</f>
        <v>0</v>
      </c>
      <c r="U454" s="10">
        <f>IF(VCU!$C$9="",0,(SUMIF(VCU!$B$51:$B$193,$J454,VCU!$E$51:$E$193)*Impacts!$F$17))</f>
        <v>0</v>
      </c>
      <c r="V454" s="10">
        <f>IF(CAS!$C$7="",0,(SUMIF(CAS!$B$31:$B$167,$J454,CAS!$E$31:$E$167)*Impacts!$F$18))</f>
        <v>0</v>
      </c>
      <c r="W454" s="10">
        <f t="shared" si="49"/>
        <v>0</v>
      </c>
      <c r="AK454" s="10" t="str">
        <f t="array" ref="AK454">IFERROR(INDEX(SelectedSpecies,SMALL(IF(SelectedSpecies=AK$1,ROW(SelectedSpecies)),ROW(455:455)),2),"")</f>
        <v/>
      </c>
      <c r="BE454" s="10"/>
      <c r="BI454" s="10"/>
    </row>
    <row r="455" spans="1:61" ht="21" customHeight="1" x14ac:dyDescent="0.25">
      <c r="A455" s="10"/>
      <c r="B455" s="10"/>
      <c r="E455" s="10"/>
      <c r="G455" s="10"/>
      <c r="I455" s="436" t="s">
        <v>7242</v>
      </c>
      <c r="J455" s="26" t="s">
        <v>7241</v>
      </c>
      <c r="K455" s="10">
        <v>0.30000000000000004</v>
      </c>
      <c r="L455" s="73">
        <f>IF(Tank1!$C$23="No control",(SUMIF(Tank1!$B$32:$B$49,$J455,Tank1!$C$32:$C$49)*Impacts!$F$8),0)</f>
        <v>0</v>
      </c>
      <c r="M455" s="10">
        <f>IF(Tank2!$C$23="No control",(SUMIF(Tank2!$B$32:$B$49,$J455,Tank2!$C$32:$C$49)*Impacts!$F$9),0)</f>
        <v>0</v>
      </c>
      <c r="N455" s="10">
        <f>IF(Tank3!$C$23="No control",(SUMIF(Tank3!$B$32:$B$49,$J455,Tank3!$C$32:$C$49)*Impacts!$F$10),0)</f>
        <v>0</v>
      </c>
      <c r="O455" s="10">
        <f>IF(Tank4!$C$23="No control",(SUMIF(Tank4!$B$32:$B$49,$J455,Tank4!$C$32:$C$49)*Impacts!$F$11),0)</f>
        <v>0</v>
      </c>
      <c r="P455" s="10">
        <f>IF(Tank5!$C$23="No control",(SUMIF(Tank5!$B$32:$B$49,$J455,Tank5!$C$32:$C$49)*Impacts!$F$12),0)</f>
        <v>0</v>
      </c>
      <c r="Q455" s="10">
        <f>IFERROR(IF(('Loading-drum,tote'!$C$21)="No control",SUMIF(('Loading-drum,tote'!$B$31:$B$48),$J455,('Loading-drum,tote'!$D$31:$D$48))*Impacts!$F$13,IF(('Loading-drum,tote'!$C$21)&lt;&gt;"No control",SUMIF(('Loading-drum,tote'!$B$31:$B$48),$J455,('Loading-drum,tote'!$E$31:$E$48))*Impacts!$F$13,0)),0)</f>
        <v>0</v>
      </c>
      <c r="R455" s="10">
        <f>IFERROR(IF(('Loading-truck'!$C$21)="No control",SUMIF(('Loading-truck'!$B$31:$B$48),$J455,('Loading-truck'!$D$31:$D$48))*Impacts!$F$14,IF(('Loading-truck'!$C$21)&lt;&gt;"No control",SUMIF(('Loading-truck'!$B$31:$B$48),$J455,('Loading-truck'!$E$31:$E$48))*Impacts!$F$14,0)),0)</f>
        <v>0</v>
      </c>
      <c r="S455" s="10">
        <f>IFERROR(IF(('Loading-rail'!$C$21)="No control",SUMIF(('Loading-rail'!$B$31:$B$48),$J455,('Loading-rail'!$D$31:$D$48))*Impacts!$F$15,IF(('Loading-rail'!$C$21)&lt;&gt;"No control",SUMIF(('Loading-rail'!$B$31:$B$48),$J455,('Loading-rail'!$E$31:$E$48))*Impacts!$F$15,0)),0)</f>
        <v>0</v>
      </c>
      <c r="T455" s="10">
        <f>IF(Flare!$C$7="",0,(SUMIF(Flare!$B$46:$B$185,$J455,Flare!$E$46:$E$185)*Impacts!$F$16))</f>
        <v>0</v>
      </c>
      <c r="U455" s="10">
        <f>IF(VCU!$C$9="",0,(SUMIF(VCU!$B$51:$B$193,$J455,VCU!$E$51:$E$193)*Impacts!$F$17))</f>
        <v>0</v>
      </c>
      <c r="V455" s="10">
        <f>IF(CAS!$C$7="",0,(SUMIF(CAS!$B$31:$B$167,$J455,CAS!$E$31:$E$167)*Impacts!$F$18))</f>
        <v>0</v>
      </c>
      <c r="W455" s="10">
        <f t="shared" si="49"/>
        <v>0</v>
      </c>
      <c r="AK455" s="10" t="str">
        <f t="array" ref="AK455">IFERROR(INDEX(SelectedSpecies,SMALL(IF(SelectedSpecies=AK$1,ROW(SelectedSpecies)),ROW(456:456)),2),"")</f>
        <v/>
      </c>
      <c r="BE455" s="10"/>
      <c r="BI455" s="10"/>
    </row>
    <row r="456" spans="1:61" ht="21" customHeight="1" x14ac:dyDescent="0.25">
      <c r="A456" s="10"/>
      <c r="B456" s="10"/>
      <c r="E456" s="10"/>
      <c r="G456" s="10"/>
      <c r="I456" s="436" t="s">
        <v>3511</v>
      </c>
      <c r="J456" s="26" t="s">
        <v>3510</v>
      </c>
      <c r="K456" s="10">
        <v>9</v>
      </c>
      <c r="L456" s="73">
        <f>IF(Tank1!$C$23="No control",(SUMIF(Tank1!$B$32:$B$49,$J456,Tank1!$C$32:$C$49)*Impacts!$F$8),0)</f>
        <v>0</v>
      </c>
      <c r="M456" s="10">
        <f>IF(Tank2!$C$23="No control",(SUMIF(Tank2!$B$32:$B$49,$J456,Tank2!$C$32:$C$49)*Impacts!$F$9),0)</f>
        <v>0</v>
      </c>
      <c r="N456" s="10">
        <f>IF(Tank3!$C$23="No control",(SUMIF(Tank3!$B$32:$B$49,$J456,Tank3!$C$32:$C$49)*Impacts!$F$10),0)</f>
        <v>0</v>
      </c>
      <c r="O456" s="10">
        <f>IF(Tank4!$C$23="No control",(SUMIF(Tank4!$B$32:$B$49,$J456,Tank4!$C$32:$C$49)*Impacts!$F$11),0)</f>
        <v>0</v>
      </c>
      <c r="P456" s="10">
        <f>IF(Tank5!$C$23="No control",(SUMIF(Tank5!$B$32:$B$49,$J456,Tank5!$C$32:$C$49)*Impacts!$F$12),0)</f>
        <v>0</v>
      </c>
      <c r="Q456" s="10">
        <f>IFERROR(IF(('Loading-drum,tote'!$C$21)="No control",SUMIF(('Loading-drum,tote'!$B$31:$B$48),$J456,('Loading-drum,tote'!$D$31:$D$48))*Impacts!$F$13,IF(('Loading-drum,tote'!$C$21)&lt;&gt;"No control",SUMIF(('Loading-drum,tote'!$B$31:$B$48),$J456,('Loading-drum,tote'!$E$31:$E$48))*Impacts!$F$13,0)),0)</f>
        <v>0</v>
      </c>
      <c r="R456" s="10">
        <f>IFERROR(IF(('Loading-truck'!$C$21)="No control",SUMIF(('Loading-truck'!$B$31:$B$48),$J456,('Loading-truck'!$D$31:$D$48))*Impacts!$F$14,IF(('Loading-truck'!$C$21)&lt;&gt;"No control",SUMIF(('Loading-truck'!$B$31:$B$48),$J456,('Loading-truck'!$E$31:$E$48))*Impacts!$F$14,0)),0)</f>
        <v>0</v>
      </c>
      <c r="S456" s="10">
        <f>IFERROR(IF(('Loading-rail'!$C$21)="No control",SUMIF(('Loading-rail'!$B$31:$B$48),$J456,('Loading-rail'!$D$31:$D$48))*Impacts!$F$15,IF(('Loading-rail'!$C$21)&lt;&gt;"No control",SUMIF(('Loading-rail'!$B$31:$B$48),$J456,('Loading-rail'!$E$31:$E$48))*Impacts!$F$15,0)),0)</f>
        <v>0</v>
      </c>
      <c r="T456" s="10">
        <f>IF(Flare!$C$7="",0,(SUMIF(Flare!$B$46:$B$185,$J456,Flare!$E$46:$E$185)*Impacts!$F$16))</f>
        <v>0</v>
      </c>
      <c r="U456" s="10">
        <f>IF(VCU!$C$9="",0,(SUMIF(VCU!$B$51:$B$193,$J456,VCU!$E$51:$E$193)*Impacts!$F$17))</f>
        <v>0</v>
      </c>
      <c r="V456" s="10">
        <f>IF(CAS!$C$7="",0,(SUMIF(CAS!$B$31:$B$167,$J456,CAS!$E$31:$E$167)*Impacts!$F$18))</f>
        <v>0</v>
      </c>
      <c r="W456" s="10">
        <f t="shared" si="49"/>
        <v>0</v>
      </c>
      <c r="AK456" s="10" t="str">
        <f t="array" ref="AK456">IFERROR(INDEX(SelectedSpecies,SMALL(IF(SelectedSpecies=AK$1,ROW(SelectedSpecies)),ROW(457:457)),2),"")</f>
        <v/>
      </c>
      <c r="BE456" s="10"/>
      <c r="BI456" s="10"/>
    </row>
    <row r="457" spans="1:61" ht="21" customHeight="1" x14ac:dyDescent="0.25">
      <c r="A457" s="10"/>
      <c r="B457" s="10"/>
      <c r="E457" s="10"/>
      <c r="G457" s="10"/>
      <c r="I457" s="436" t="s">
        <v>3695</v>
      </c>
      <c r="J457" s="26" t="s">
        <v>3694</v>
      </c>
      <c r="K457" s="10">
        <v>7</v>
      </c>
      <c r="L457" s="73">
        <f>IF(Tank1!$C$23="No control",(SUMIF(Tank1!$B$32:$B$49,$J457,Tank1!$C$32:$C$49)*Impacts!$F$8),0)</f>
        <v>0</v>
      </c>
      <c r="M457" s="10">
        <f>IF(Tank2!$C$23="No control",(SUMIF(Tank2!$B$32:$B$49,$J457,Tank2!$C$32:$C$49)*Impacts!$F$9),0)</f>
        <v>0</v>
      </c>
      <c r="N457" s="10">
        <f>IF(Tank3!$C$23="No control",(SUMIF(Tank3!$B$32:$B$49,$J457,Tank3!$C$32:$C$49)*Impacts!$F$10),0)</f>
        <v>0</v>
      </c>
      <c r="O457" s="10">
        <f>IF(Tank4!$C$23="No control",(SUMIF(Tank4!$B$32:$B$49,$J457,Tank4!$C$32:$C$49)*Impacts!$F$11),0)</f>
        <v>0</v>
      </c>
      <c r="P457" s="10">
        <f>IF(Tank5!$C$23="No control",(SUMIF(Tank5!$B$32:$B$49,$J457,Tank5!$C$32:$C$49)*Impacts!$F$12),0)</f>
        <v>0</v>
      </c>
      <c r="Q457" s="10">
        <f>IFERROR(IF(('Loading-drum,tote'!$C$21)="No control",SUMIF(('Loading-drum,tote'!$B$31:$B$48),$J457,('Loading-drum,tote'!$D$31:$D$48))*Impacts!$F$13,IF(('Loading-drum,tote'!$C$21)&lt;&gt;"No control",SUMIF(('Loading-drum,tote'!$B$31:$B$48),$J457,('Loading-drum,tote'!$E$31:$E$48))*Impacts!$F$13,0)),0)</f>
        <v>0</v>
      </c>
      <c r="R457" s="10">
        <f>IFERROR(IF(('Loading-truck'!$C$21)="No control",SUMIF(('Loading-truck'!$B$31:$B$48),$J457,('Loading-truck'!$D$31:$D$48))*Impacts!$F$14,IF(('Loading-truck'!$C$21)&lt;&gt;"No control",SUMIF(('Loading-truck'!$B$31:$B$48),$J457,('Loading-truck'!$E$31:$E$48))*Impacts!$F$14,0)),0)</f>
        <v>0</v>
      </c>
      <c r="S457" s="10">
        <f>IFERROR(IF(('Loading-rail'!$C$21)="No control",SUMIF(('Loading-rail'!$B$31:$B$48),$J457,('Loading-rail'!$D$31:$D$48))*Impacts!$F$15,IF(('Loading-rail'!$C$21)&lt;&gt;"No control",SUMIF(('Loading-rail'!$B$31:$B$48),$J457,('Loading-rail'!$E$31:$E$48))*Impacts!$F$15,0)),0)</f>
        <v>0</v>
      </c>
      <c r="T457" s="10">
        <f>IF(Flare!$C$7="",0,(SUMIF(Flare!$B$46:$B$185,$J457,Flare!$E$46:$E$185)*Impacts!$F$16))</f>
        <v>0</v>
      </c>
      <c r="U457" s="10">
        <f>IF(VCU!$C$9="",0,(SUMIF(VCU!$B$51:$B$193,$J457,VCU!$E$51:$E$193)*Impacts!$F$17))</f>
        <v>0</v>
      </c>
      <c r="V457" s="10">
        <f>IF(CAS!$C$7="",0,(SUMIF(CAS!$B$31:$B$167,$J457,CAS!$E$31:$E$167)*Impacts!$F$18))</f>
        <v>0</v>
      </c>
      <c r="W457" s="10">
        <f t="shared" si="49"/>
        <v>0</v>
      </c>
      <c r="AK457" s="10" t="str">
        <f t="array" ref="AK457">IFERROR(INDEX(SelectedSpecies,SMALL(IF(SelectedSpecies=AK$1,ROW(SelectedSpecies)),ROW(458:458)),2),"")</f>
        <v/>
      </c>
      <c r="BE457" s="10"/>
      <c r="BI457" s="10"/>
    </row>
    <row r="458" spans="1:61" ht="21" customHeight="1" x14ac:dyDescent="0.25">
      <c r="A458" s="10"/>
      <c r="B458" s="10"/>
      <c r="E458" s="10"/>
      <c r="G458" s="10"/>
      <c r="I458" s="436" t="s">
        <v>7062</v>
      </c>
      <c r="J458" s="26" t="s">
        <v>7061</v>
      </c>
      <c r="K458" s="10">
        <v>0.4</v>
      </c>
      <c r="L458" s="73">
        <f>IF(Tank1!$C$23="No control",(SUMIF(Tank1!$B$32:$B$49,$J458,Tank1!$C$32:$C$49)*Impacts!$F$8),0)</f>
        <v>0</v>
      </c>
      <c r="M458" s="10">
        <f>IF(Tank2!$C$23="No control",(SUMIF(Tank2!$B$32:$B$49,$J458,Tank2!$C$32:$C$49)*Impacts!$F$9),0)</f>
        <v>0</v>
      </c>
      <c r="N458" s="10">
        <f>IF(Tank3!$C$23="No control",(SUMIF(Tank3!$B$32:$B$49,$J458,Tank3!$C$32:$C$49)*Impacts!$F$10),0)</f>
        <v>0</v>
      </c>
      <c r="O458" s="10">
        <f>IF(Tank4!$C$23="No control",(SUMIF(Tank4!$B$32:$B$49,$J458,Tank4!$C$32:$C$49)*Impacts!$F$11),0)</f>
        <v>0</v>
      </c>
      <c r="P458" s="10">
        <f>IF(Tank5!$C$23="No control",(SUMIF(Tank5!$B$32:$B$49,$J458,Tank5!$C$32:$C$49)*Impacts!$F$12),0)</f>
        <v>0</v>
      </c>
      <c r="Q458" s="10">
        <f>IFERROR(IF(('Loading-drum,tote'!$C$21)="No control",SUMIF(('Loading-drum,tote'!$B$31:$B$48),$J458,('Loading-drum,tote'!$D$31:$D$48))*Impacts!$F$13,IF(('Loading-drum,tote'!$C$21)&lt;&gt;"No control",SUMIF(('Loading-drum,tote'!$B$31:$B$48),$J458,('Loading-drum,tote'!$E$31:$E$48))*Impacts!$F$13,0)),0)</f>
        <v>0</v>
      </c>
      <c r="R458" s="10">
        <f>IFERROR(IF(('Loading-truck'!$C$21)="No control",SUMIF(('Loading-truck'!$B$31:$B$48),$J458,('Loading-truck'!$D$31:$D$48))*Impacts!$F$14,IF(('Loading-truck'!$C$21)&lt;&gt;"No control",SUMIF(('Loading-truck'!$B$31:$B$48),$J458,('Loading-truck'!$E$31:$E$48))*Impacts!$F$14,0)),0)</f>
        <v>0</v>
      </c>
      <c r="S458" s="10">
        <f>IFERROR(IF(('Loading-rail'!$C$21)="No control",SUMIF(('Loading-rail'!$B$31:$B$48),$J458,('Loading-rail'!$D$31:$D$48))*Impacts!$F$15,IF(('Loading-rail'!$C$21)&lt;&gt;"No control",SUMIF(('Loading-rail'!$B$31:$B$48),$J458,('Loading-rail'!$E$31:$E$48))*Impacts!$F$15,0)),0)</f>
        <v>0</v>
      </c>
      <c r="T458" s="10">
        <f>IF(Flare!$C$7="",0,(SUMIF(Flare!$B$46:$B$185,$J458,Flare!$E$46:$E$185)*Impacts!$F$16))</f>
        <v>0</v>
      </c>
      <c r="U458" s="10">
        <f>IF(VCU!$C$9="",0,(SUMIF(VCU!$B$51:$B$193,$J458,VCU!$E$51:$E$193)*Impacts!$F$17))</f>
        <v>0</v>
      </c>
      <c r="V458" s="10">
        <f>IF(CAS!$C$7="",0,(SUMIF(CAS!$B$31:$B$167,$J458,CAS!$E$31:$E$167)*Impacts!$F$18))</f>
        <v>0</v>
      </c>
      <c r="W458" s="10">
        <f t="shared" si="49"/>
        <v>0</v>
      </c>
      <c r="AK458" s="10" t="str">
        <f t="array" ref="AK458">IFERROR(INDEX(SelectedSpecies,SMALL(IF(SelectedSpecies=AK$1,ROW(SelectedSpecies)),ROW(459:459)),2),"")</f>
        <v/>
      </c>
      <c r="BE458" s="10"/>
      <c r="BI458" s="10"/>
    </row>
    <row r="459" spans="1:61" ht="21" customHeight="1" x14ac:dyDescent="0.25">
      <c r="A459" s="10"/>
      <c r="B459" s="10"/>
      <c r="E459" s="10"/>
      <c r="G459" s="10"/>
      <c r="I459" s="436" t="s">
        <v>4527</v>
      </c>
      <c r="J459" s="26" t="s">
        <v>4526</v>
      </c>
      <c r="K459" s="10">
        <v>4</v>
      </c>
      <c r="L459" s="73">
        <f>IF(Tank1!$C$23="No control",(SUMIF(Tank1!$B$32:$B$49,$J459,Tank1!$C$32:$C$49)*Impacts!$F$8),0)</f>
        <v>0</v>
      </c>
      <c r="M459" s="10">
        <f>IF(Tank2!$C$23="No control",(SUMIF(Tank2!$B$32:$B$49,$J459,Tank2!$C$32:$C$49)*Impacts!$F$9),0)</f>
        <v>0</v>
      </c>
      <c r="N459" s="10">
        <f>IF(Tank3!$C$23="No control",(SUMIF(Tank3!$B$32:$B$49,$J459,Tank3!$C$32:$C$49)*Impacts!$F$10),0)</f>
        <v>0</v>
      </c>
      <c r="O459" s="10">
        <f>IF(Tank4!$C$23="No control",(SUMIF(Tank4!$B$32:$B$49,$J459,Tank4!$C$32:$C$49)*Impacts!$F$11),0)</f>
        <v>0</v>
      </c>
      <c r="P459" s="10">
        <f>IF(Tank5!$C$23="No control",(SUMIF(Tank5!$B$32:$B$49,$J459,Tank5!$C$32:$C$49)*Impacts!$F$12),0)</f>
        <v>0</v>
      </c>
      <c r="Q459" s="10">
        <f>IFERROR(IF(('Loading-drum,tote'!$C$21)="No control",SUMIF(('Loading-drum,tote'!$B$31:$B$48),$J459,('Loading-drum,tote'!$D$31:$D$48))*Impacts!$F$13,IF(('Loading-drum,tote'!$C$21)&lt;&gt;"No control",SUMIF(('Loading-drum,tote'!$B$31:$B$48),$J459,('Loading-drum,tote'!$E$31:$E$48))*Impacts!$F$13,0)),0)</f>
        <v>0</v>
      </c>
      <c r="R459" s="10">
        <f>IFERROR(IF(('Loading-truck'!$C$21)="No control",SUMIF(('Loading-truck'!$B$31:$B$48),$J459,('Loading-truck'!$D$31:$D$48))*Impacts!$F$14,IF(('Loading-truck'!$C$21)&lt;&gt;"No control",SUMIF(('Loading-truck'!$B$31:$B$48),$J459,('Loading-truck'!$E$31:$E$48))*Impacts!$F$14,0)),0)</f>
        <v>0</v>
      </c>
      <c r="S459" s="10">
        <f>IFERROR(IF(('Loading-rail'!$C$21)="No control",SUMIF(('Loading-rail'!$B$31:$B$48),$J459,('Loading-rail'!$D$31:$D$48))*Impacts!$F$15,IF(('Loading-rail'!$C$21)&lt;&gt;"No control",SUMIF(('Loading-rail'!$B$31:$B$48),$J459,('Loading-rail'!$E$31:$E$48))*Impacts!$F$15,0)),0)</f>
        <v>0</v>
      </c>
      <c r="T459" s="10">
        <f>IF(Flare!$C$7="",0,(SUMIF(Flare!$B$46:$B$185,$J459,Flare!$E$46:$E$185)*Impacts!$F$16))</f>
        <v>0</v>
      </c>
      <c r="U459" s="10">
        <f>IF(VCU!$C$9="",0,(SUMIF(VCU!$B$51:$B$193,$J459,VCU!$E$51:$E$193)*Impacts!$F$17))</f>
        <v>0</v>
      </c>
      <c r="V459" s="10">
        <f>IF(CAS!$C$7="",0,(SUMIF(CAS!$B$31:$B$167,$J459,CAS!$E$31:$E$167)*Impacts!$F$18))</f>
        <v>0</v>
      </c>
      <c r="W459" s="10">
        <f t="shared" si="49"/>
        <v>0</v>
      </c>
      <c r="AK459" s="10" t="str">
        <f t="array" ref="AK459">IFERROR(INDEX(SelectedSpecies,SMALL(IF(SelectedSpecies=AK$1,ROW(SelectedSpecies)),ROW(460:460)),2),"")</f>
        <v/>
      </c>
      <c r="BE459" s="10"/>
      <c r="BI459" s="10"/>
    </row>
    <row r="460" spans="1:61" ht="21" customHeight="1" x14ac:dyDescent="0.25">
      <c r="A460" s="10"/>
      <c r="B460" s="10"/>
      <c r="E460" s="10"/>
      <c r="G460" s="10"/>
      <c r="I460" s="436" t="s">
        <v>5219</v>
      </c>
      <c r="J460" s="26" t="s">
        <v>5218</v>
      </c>
      <c r="K460" s="10">
        <v>1.9000000000000001</v>
      </c>
      <c r="L460" s="73">
        <f>IF(Tank1!$C$23="No control",(SUMIF(Tank1!$B$32:$B$49,$J460,Tank1!$C$32:$C$49)*Impacts!$F$8),0)</f>
        <v>0</v>
      </c>
      <c r="M460" s="10">
        <f>IF(Tank2!$C$23="No control",(SUMIF(Tank2!$B$32:$B$49,$J460,Tank2!$C$32:$C$49)*Impacts!$F$9),0)</f>
        <v>0</v>
      </c>
      <c r="N460" s="10">
        <f>IF(Tank3!$C$23="No control",(SUMIF(Tank3!$B$32:$B$49,$J460,Tank3!$C$32:$C$49)*Impacts!$F$10),0)</f>
        <v>0</v>
      </c>
      <c r="O460" s="10">
        <f>IF(Tank4!$C$23="No control",(SUMIF(Tank4!$B$32:$B$49,$J460,Tank4!$C$32:$C$49)*Impacts!$F$11),0)</f>
        <v>0</v>
      </c>
      <c r="P460" s="10">
        <f>IF(Tank5!$C$23="No control",(SUMIF(Tank5!$B$32:$B$49,$J460,Tank5!$C$32:$C$49)*Impacts!$F$12),0)</f>
        <v>0</v>
      </c>
      <c r="Q460" s="10">
        <f>IFERROR(IF(('Loading-drum,tote'!$C$21)="No control",SUMIF(('Loading-drum,tote'!$B$31:$B$48),$J460,('Loading-drum,tote'!$D$31:$D$48))*Impacts!$F$13,IF(('Loading-drum,tote'!$C$21)&lt;&gt;"No control",SUMIF(('Loading-drum,tote'!$B$31:$B$48),$J460,('Loading-drum,tote'!$E$31:$E$48))*Impacts!$F$13,0)),0)</f>
        <v>0</v>
      </c>
      <c r="R460" s="10">
        <f>IFERROR(IF(('Loading-truck'!$C$21)="No control",SUMIF(('Loading-truck'!$B$31:$B$48),$J460,('Loading-truck'!$D$31:$D$48))*Impacts!$F$14,IF(('Loading-truck'!$C$21)&lt;&gt;"No control",SUMIF(('Loading-truck'!$B$31:$B$48),$J460,('Loading-truck'!$E$31:$E$48))*Impacts!$F$14,0)),0)</f>
        <v>0</v>
      </c>
      <c r="S460" s="10">
        <f>IFERROR(IF(('Loading-rail'!$C$21)="No control",SUMIF(('Loading-rail'!$B$31:$B$48),$J460,('Loading-rail'!$D$31:$D$48))*Impacts!$F$15,IF(('Loading-rail'!$C$21)&lt;&gt;"No control",SUMIF(('Loading-rail'!$B$31:$B$48),$J460,('Loading-rail'!$E$31:$E$48))*Impacts!$F$15,0)),0)</f>
        <v>0</v>
      </c>
      <c r="T460" s="10">
        <f>IF(Flare!$C$7="",0,(SUMIF(Flare!$B$46:$B$185,$J460,Flare!$E$46:$E$185)*Impacts!$F$16))</f>
        <v>0</v>
      </c>
      <c r="U460" s="10">
        <f>IF(VCU!$C$9="",0,(SUMIF(VCU!$B$51:$B$193,$J460,VCU!$E$51:$E$193)*Impacts!$F$17))</f>
        <v>0</v>
      </c>
      <c r="V460" s="10">
        <f>IF(CAS!$C$7="",0,(SUMIF(CAS!$B$31:$B$167,$J460,CAS!$E$31:$E$167)*Impacts!$F$18))</f>
        <v>0</v>
      </c>
      <c r="W460" s="10">
        <f t="shared" si="49"/>
        <v>0</v>
      </c>
      <c r="AK460" s="10" t="str">
        <f t="array" ref="AK460">IFERROR(INDEX(SelectedSpecies,SMALL(IF(SelectedSpecies=AK$1,ROW(SelectedSpecies)),ROW(461:461)),2),"")</f>
        <v/>
      </c>
      <c r="BE460" s="10"/>
      <c r="BI460" s="10"/>
    </row>
    <row r="461" spans="1:61" ht="21" customHeight="1" x14ac:dyDescent="0.25">
      <c r="A461" s="10"/>
      <c r="B461" s="10"/>
      <c r="E461" s="10"/>
      <c r="G461" s="10"/>
      <c r="I461" s="436" t="s">
        <v>5698</v>
      </c>
      <c r="J461" s="26" t="s">
        <v>5697</v>
      </c>
      <c r="K461" s="10">
        <v>1</v>
      </c>
      <c r="L461" s="73">
        <f>IF(Tank1!$C$23="No control",(SUMIF(Tank1!$B$32:$B$49,$J461,Tank1!$C$32:$C$49)*Impacts!$F$8),0)</f>
        <v>0</v>
      </c>
      <c r="M461" s="10">
        <f>IF(Tank2!$C$23="No control",(SUMIF(Tank2!$B$32:$B$49,$J461,Tank2!$C$32:$C$49)*Impacts!$F$9),0)</f>
        <v>0</v>
      </c>
      <c r="N461" s="10">
        <f>IF(Tank3!$C$23="No control",(SUMIF(Tank3!$B$32:$B$49,$J461,Tank3!$C$32:$C$49)*Impacts!$F$10),0)</f>
        <v>0</v>
      </c>
      <c r="O461" s="10">
        <f>IF(Tank4!$C$23="No control",(SUMIF(Tank4!$B$32:$B$49,$J461,Tank4!$C$32:$C$49)*Impacts!$F$11),0)</f>
        <v>0</v>
      </c>
      <c r="P461" s="10">
        <f>IF(Tank5!$C$23="No control",(SUMIF(Tank5!$B$32:$B$49,$J461,Tank5!$C$32:$C$49)*Impacts!$F$12),0)</f>
        <v>0</v>
      </c>
      <c r="Q461" s="10">
        <f>IFERROR(IF(('Loading-drum,tote'!$C$21)="No control",SUMIF(('Loading-drum,tote'!$B$31:$B$48),$J461,('Loading-drum,tote'!$D$31:$D$48))*Impacts!$F$13,IF(('Loading-drum,tote'!$C$21)&lt;&gt;"No control",SUMIF(('Loading-drum,tote'!$B$31:$B$48),$J461,('Loading-drum,tote'!$E$31:$E$48))*Impacts!$F$13,0)),0)</f>
        <v>0</v>
      </c>
      <c r="R461" s="10">
        <f>IFERROR(IF(('Loading-truck'!$C$21)="No control",SUMIF(('Loading-truck'!$B$31:$B$48),$J461,('Loading-truck'!$D$31:$D$48))*Impacts!$F$14,IF(('Loading-truck'!$C$21)&lt;&gt;"No control",SUMIF(('Loading-truck'!$B$31:$B$48),$J461,('Loading-truck'!$E$31:$E$48))*Impacts!$F$14,0)),0)</f>
        <v>0</v>
      </c>
      <c r="S461" s="10">
        <f>IFERROR(IF(('Loading-rail'!$C$21)="No control",SUMIF(('Loading-rail'!$B$31:$B$48),$J461,('Loading-rail'!$D$31:$D$48))*Impacts!$F$15,IF(('Loading-rail'!$C$21)&lt;&gt;"No control",SUMIF(('Loading-rail'!$B$31:$B$48),$J461,('Loading-rail'!$E$31:$E$48))*Impacts!$F$15,0)),0)</f>
        <v>0</v>
      </c>
      <c r="T461" s="10">
        <f>IF(Flare!$C$7="",0,(SUMIF(Flare!$B$46:$B$185,$J461,Flare!$E$46:$E$185)*Impacts!$F$16))</f>
        <v>0</v>
      </c>
      <c r="U461" s="10">
        <f>IF(VCU!$C$9="",0,(SUMIF(VCU!$B$51:$B$193,$J461,VCU!$E$51:$E$193)*Impacts!$F$17))</f>
        <v>0</v>
      </c>
      <c r="V461" s="10">
        <f>IF(CAS!$C$7="",0,(SUMIF(CAS!$B$31:$B$167,$J461,CAS!$E$31:$E$167)*Impacts!$F$18))</f>
        <v>0</v>
      </c>
      <c r="W461" s="10">
        <f t="shared" si="49"/>
        <v>0</v>
      </c>
      <c r="AK461" s="10" t="str">
        <f t="array" ref="AK461">IFERROR(INDEX(SelectedSpecies,SMALL(IF(SelectedSpecies=AK$1,ROW(SelectedSpecies)),ROW(462:462)),2),"")</f>
        <v/>
      </c>
      <c r="BE461" s="10"/>
      <c r="BI461" s="10"/>
    </row>
    <row r="462" spans="1:61" ht="21" customHeight="1" x14ac:dyDescent="0.25">
      <c r="A462" s="10"/>
      <c r="B462" s="10"/>
      <c r="E462" s="10"/>
      <c r="G462" s="10"/>
      <c r="I462" s="436" t="s">
        <v>5700</v>
      </c>
      <c r="J462" s="26" t="s">
        <v>5699</v>
      </c>
      <c r="K462" s="10">
        <v>1</v>
      </c>
      <c r="L462" s="73">
        <f>IF(Tank1!$C$23="No control",(SUMIF(Tank1!$B$32:$B$49,$J462,Tank1!$C$32:$C$49)*Impacts!$F$8),0)</f>
        <v>0</v>
      </c>
      <c r="M462" s="10">
        <f>IF(Tank2!$C$23="No control",(SUMIF(Tank2!$B$32:$B$49,$J462,Tank2!$C$32:$C$49)*Impacts!$F$9),0)</f>
        <v>0</v>
      </c>
      <c r="N462" s="10">
        <f>IF(Tank3!$C$23="No control",(SUMIF(Tank3!$B$32:$B$49,$J462,Tank3!$C$32:$C$49)*Impacts!$F$10),0)</f>
        <v>0</v>
      </c>
      <c r="O462" s="10">
        <f>IF(Tank4!$C$23="No control",(SUMIF(Tank4!$B$32:$B$49,$J462,Tank4!$C$32:$C$49)*Impacts!$F$11),0)</f>
        <v>0</v>
      </c>
      <c r="P462" s="10">
        <f>IF(Tank5!$C$23="No control",(SUMIF(Tank5!$B$32:$B$49,$J462,Tank5!$C$32:$C$49)*Impacts!$F$12),0)</f>
        <v>0</v>
      </c>
      <c r="Q462" s="10">
        <f>IFERROR(IF(('Loading-drum,tote'!$C$21)="No control",SUMIF(('Loading-drum,tote'!$B$31:$B$48),$J462,('Loading-drum,tote'!$D$31:$D$48))*Impacts!$F$13,IF(('Loading-drum,tote'!$C$21)&lt;&gt;"No control",SUMIF(('Loading-drum,tote'!$B$31:$B$48),$J462,('Loading-drum,tote'!$E$31:$E$48))*Impacts!$F$13,0)),0)</f>
        <v>0</v>
      </c>
      <c r="R462" s="10">
        <f>IFERROR(IF(('Loading-truck'!$C$21)="No control",SUMIF(('Loading-truck'!$B$31:$B$48),$J462,('Loading-truck'!$D$31:$D$48))*Impacts!$F$14,IF(('Loading-truck'!$C$21)&lt;&gt;"No control",SUMIF(('Loading-truck'!$B$31:$B$48),$J462,('Loading-truck'!$E$31:$E$48))*Impacts!$F$14,0)),0)</f>
        <v>0</v>
      </c>
      <c r="S462" s="10">
        <f>IFERROR(IF(('Loading-rail'!$C$21)="No control",SUMIF(('Loading-rail'!$B$31:$B$48),$J462,('Loading-rail'!$D$31:$D$48))*Impacts!$F$15,IF(('Loading-rail'!$C$21)&lt;&gt;"No control",SUMIF(('Loading-rail'!$B$31:$B$48),$J462,('Loading-rail'!$E$31:$E$48))*Impacts!$F$15,0)),0)</f>
        <v>0</v>
      </c>
      <c r="T462" s="10">
        <f>IF(Flare!$C$7="",0,(SUMIF(Flare!$B$46:$B$185,$J462,Flare!$E$46:$E$185)*Impacts!$F$16))</f>
        <v>0</v>
      </c>
      <c r="U462" s="10">
        <f>IF(VCU!$C$9="",0,(SUMIF(VCU!$B$51:$B$193,$J462,VCU!$E$51:$E$193)*Impacts!$F$17))</f>
        <v>0</v>
      </c>
      <c r="V462" s="10">
        <f>IF(CAS!$C$7="",0,(SUMIF(CAS!$B$31:$B$167,$J462,CAS!$E$31:$E$167)*Impacts!$F$18))</f>
        <v>0</v>
      </c>
      <c r="W462" s="10">
        <f t="shared" si="49"/>
        <v>0</v>
      </c>
      <c r="AK462" s="10" t="str">
        <f t="array" ref="AK462">IFERROR(INDEX(SelectedSpecies,SMALL(IF(SelectedSpecies=AK$1,ROW(SelectedSpecies)),ROW(463:463)),2),"")</f>
        <v/>
      </c>
      <c r="BE462" s="10"/>
      <c r="BI462" s="10"/>
    </row>
    <row r="463" spans="1:61" ht="21" customHeight="1" x14ac:dyDescent="0.25">
      <c r="A463" s="10"/>
      <c r="B463" s="10"/>
      <c r="E463" s="10"/>
      <c r="G463" s="10"/>
      <c r="I463" s="436" t="s">
        <v>5549</v>
      </c>
      <c r="J463" s="26" t="s">
        <v>5548</v>
      </c>
      <c r="K463" s="10">
        <v>1.2000000000000002</v>
      </c>
      <c r="L463" s="73">
        <f>IF(Tank1!$C$23="No control",(SUMIF(Tank1!$B$32:$B$49,$J463,Tank1!$C$32:$C$49)*Impacts!$F$8),0)</f>
        <v>0</v>
      </c>
      <c r="M463" s="10">
        <f>IF(Tank2!$C$23="No control",(SUMIF(Tank2!$B$32:$B$49,$J463,Tank2!$C$32:$C$49)*Impacts!$F$9),0)</f>
        <v>0</v>
      </c>
      <c r="N463" s="10">
        <f>IF(Tank3!$C$23="No control",(SUMIF(Tank3!$B$32:$B$49,$J463,Tank3!$C$32:$C$49)*Impacts!$F$10),0)</f>
        <v>0</v>
      </c>
      <c r="O463" s="10">
        <f>IF(Tank4!$C$23="No control",(SUMIF(Tank4!$B$32:$B$49,$J463,Tank4!$C$32:$C$49)*Impacts!$F$11),0)</f>
        <v>0</v>
      </c>
      <c r="P463" s="10">
        <f>IF(Tank5!$C$23="No control",(SUMIF(Tank5!$B$32:$B$49,$J463,Tank5!$C$32:$C$49)*Impacts!$F$12),0)</f>
        <v>0</v>
      </c>
      <c r="Q463" s="10">
        <f>IFERROR(IF(('Loading-drum,tote'!$C$21)="No control",SUMIF(('Loading-drum,tote'!$B$31:$B$48),$J463,('Loading-drum,tote'!$D$31:$D$48))*Impacts!$F$13,IF(('Loading-drum,tote'!$C$21)&lt;&gt;"No control",SUMIF(('Loading-drum,tote'!$B$31:$B$48),$J463,('Loading-drum,tote'!$E$31:$E$48))*Impacts!$F$13,0)),0)</f>
        <v>0</v>
      </c>
      <c r="R463" s="10">
        <f>IFERROR(IF(('Loading-truck'!$C$21)="No control",SUMIF(('Loading-truck'!$B$31:$B$48),$J463,('Loading-truck'!$D$31:$D$48))*Impacts!$F$14,IF(('Loading-truck'!$C$21)&lt;&gt;"No control",SUMIF(('Loading-truck'!$B$31:$B$48),$J463,('Loading-truck'!$E$31:$E$48))*Impacts!$F$14,0)),0)</f>
        <v>0</v>
      </c>
      <c r="S463" s="10">
        <f>IFERROR(IF(('Loading-rail'!$C$21)="No control",SUMIF(('Loading-rail'!$B$31:$B$48),$J463,('Loading-rail'!$D$31:$D$48))*Impacts!$F$15,IF(('Loading-rail'!$C$21)&lt;&gt;"No control",SUMIF(('Loading-rail'!$B$31:$B$48),$J463,('Loading-rail'!$E$31:$E$48))*Impacts!$F$15,0)),0)</f>
        <v>0</v>
      </c>
      <c r="T463" s="10">
        <f>IF(Flare!$C$7="",0,(SUMIF(Flare!$B$46:$B$185,$J463,Flare!$E$46:$E$185)*Impacts!$F$16))</f>
        <v>0</v>
      </c>
      <c r="U463" s="10">
        <f>IF(VCU!$C$9="",0,(SUMIF(VCU!$B$51:$B$193,$J463,VCU!$E$51:$E$193)*Impacts!$F$17))</f>
        <v>0</v>
      </c>
      <c r="V463" s="10">
        <f>IF(CAS!$C$7="",0,(SUMIF(CAS!$B$31:$B$167,$J463,CAS!$E$31:$E$167)*Impacts!$F$18))</f>
        <v>0</v>
      </c>
      <c r="W463" s="10">
        <f t="shared" si="49"/>
        <v>0</v>
      </c>
      <c r="AK463" s="10" t="str">
        <f t="array" ref="AK463">IFERROR(INDEX(SelectedSpecies,SMALL(IF(SelectedSpecies=AK$1,ROW(SelectedSpecies)),ROW(464:464)),2),"")</f>
        <v/>
      </c>
      <c r="BE463" s="10"/>
      <c r="BI463" s="10"/>
    </row>
    <row r="464" spans="1:61" ht="21" customHeight="1" x14ac:dyDescent="0.25">
      <c r="A464" s="10"/>
      <c r="B464" s="10"/>
      <c r="E464" s="10"/>
      <c r="G464" s="10"/>
      <c r="I464" s="436" t="s">
        <v>4409</v>
      </c>
      <c r="J464" s="26" t="s">
        <v>4408</v>
      </c>
      <c r="K464" s="10">
        <v>4.6000000000000005</v>
      </c>
      <c r="L464" s="73">
        <f>IF(Tank1!$C$23="No control",(SUMIF(Tank1!$B$32:$B$49,$J464,Tank1!$C$32:$C$49)*Impacts!$F$8),0)</f>
        <v>0</v>
      </c>
      <c r="M464" s="10">
        <f>IF(Tank2!$C$23="No control",(SUMIF(Tank2!$B$32:$B$49,$J464,Tank2!$C$32:$C$49)*Impacts!$F$9),0)</f>
        <v>0</v>
      </c>
      <c r="N464" s="10">
        <f>IF(Tank3!$C$23="No control",(SUMIF(Tank3!$B$32:$B$49,$J464,Tank3!$C$32:$C$49)*Impacts!$F$10),0)</f>
        <v>0</v>
      </c>
      <c r="O464" s="10">
        <f>IF(Tank4!$C$23="No control",(SUMIF(Tank4!$B$32:$B$49,$J464,Tank4!$C$32:$C$49)*Impacts!$F$11),0)</f>
        <v>0</v>
      </c>
      <c r="P464" s="10">
        <f>IF(Tank5!$C$23="No control",(SUMIF(Tank5!$B$32:$B$49,$J464,Tank5!$C$32:$C$49)*Impacts!$F$12),0)</f>
        <v>0</v>
      </c>
      <c r="Q464" s="10">
        <f>IFERROR(IF(('Loading-drum,tote'!$C$21)="No control",SUMIF(('Loading-drum,tote'!$B$31:$B$48),$J464,('Loading-drum,tote'!$D$31:$D$48))*Impacts!$F$13,IF(('Loading-drum,tote'!$C$21)&lt;&gt;"No control",SUMIF(('Loading-drum,tote'!$B$31:$B$48),$J464,('Loading-drum,tote'!$E$31:$E$48))*Impacts!$F$13,0)),0)</f>
        <v>0</v>
      </c>
      <c r="R464" s="10">
        <f>IFERROR(IF(('Loading-truck'!$C$21)="No control",SUMIF(('Loading-truck'!$B$31:$B$48),$J464,('Loading-truck'!$D$31:$D$48))*Impacts!$F$14,IF(('Loading-truck'!$C$21)&lt;&gt;"No control",SUMIF(('Loading-truck'!$B$31:$B$48),$J464,('Loading-truck'!$E$31:$E$48))*Impacts!$F$14,0)),0)</f>
        <v>0</v>
      </c>
      <c r="S464" s="10">
        <f>IFERROR(IF(('Loading-rail'!$C$21)="No control",SUMIF(('Loading-rail'!$B$31:$B$48),$J464,('Loading-rail'!$D$31:$D$48))*Impacts!$F$15,IF(('Loading-rail'!$C$21)&lt;&gt;"No control",SUMIF(('Loading-rail'!$B$31:$B$48),$J464,('Loading-rail'!$E$31:$E$48))*Impacts!$F$15,0)),0)</f>
        <v>0</v>
      </c>
      <c r="T464" s="10">
        <f>IF(Flare!$C$7="",0,(SUMIF(Flare!$B$46:$B$185,$J464,Flare!$E$46:$E$185)*Impacts!$F$16))</f>
        <v>0</v>
      </c>
      <c r="U464" s="10">
        <f>IF(VCU!$C$9="",0,(SUMIF(VCU!$B$51:$B$193,$J464,VCU!$E$51:$E$193)*Impacts!$F$17))</f>
        <v>0</v>
      </c>
      <c r="V464" s="10">
        <f>IF(CAS!$C$7="",0,(SUMIF(CAS!$B$31:$B$167,$J464,CAS!$E$31:$E$167)*Impacts!$F$18))</f>
        <v>0</v>
      </c>
      <c r="W464" s="10">
        <f t="shared" si="49"/>
        <v>0</v>
      </c>
      <c r="AK464" s="10" t="str">
        <f t="array" ref="AK464">IFERROR(INDEX(SelectedSpecies,SMALL(IF(SelectedSpecies=AK$1,ROW(SelectedSpecies)),ROW(465:465)),2),"")</f>
        <v/>
      </c>
      <c r="BE464" s="10"/>
      <c r="BI464" s="10"/>
    </row>
    <row r="465" spans="1:61" ht="21" customHeight="1" x14ac:dyDescent="0.25">
      <c r="A465" s="10"/>
      <c r="B465" s="10"/>
      <c r="E465" s="10"/>
      <c r="G465" s="10"/>
      <c r="I465" s="436" t="s">
        <v>8306</v>
      </c>
      <c r="J465" s="26" t="s">
        <v>8305</v>
      </c>
      <c r="K465" s="10">
        <v>1E-3</v>
      </c>
      <c r="L465" s="73">
        <f>IF(Tank1!$C$23="No control",(SUMIF(Tank1!$B$32:$B$49,$J465,Tank1!$C$32:$C$49)*Impacts!$F$8),0)</f>
        <v>0</v>
      </c>
      <c r="M465" s="10">
        <f>IF(Tank2!$C$23="No control",(SUMIF(Tank2!$B$32:$B$49,$J465,Tank2!$C$32:$C$49)*Impacts!$F$9),0)</f>
        <v>0</v>
      </c>
      <c r="N465" s="10">
        <f>IF(Tank3!$C$23="No control",(SUMIF(Tank3!$B$32:$B$49,$J465,Tank3!$C$32:$C$49)*Impacts!$F$10),0)</f>
        <v>0</v>
      </c>
      <c r="O465" s="10">
        <f>IF(Tank4!$C$23="No control",(SUMIF(Tank4!$B$32:$B$49,$J465,Tank4!$C$32:$C$49)*Impacts!$F$11),0)</f>
        <v>0</v>
      </c>
      <c r="P465" s="10">
        <f>IF(Tank5!$C$23="No control",(SUMIF(Tank5!$B$32:$B$49,$J465,Tank5!$C$32:$C$49)*Impacts!$F$12),0)</f>
        <v>0</v>
      </c>
      <c r="Q465" s="10">
        <f>IFERROR(IF(('Loading-drum,tote'!$C$21)="No control",SUMIF(('Loading-drum,tote'!$B$31:$B$48),$J465,('Loading-drum,tote'!$D$31:$D$48))*Impacts!$F$13,IF(('Loading-drum,tote'!$C$21)&lt;&gt;"No control",SUMIF(('Loading-drum,tote'!$B$31:$B$48),$J465,('Loading-drum,tote'!$E$31:$E$48))*Impacts!$F$13,0)),0)</f>
        <v>0</v>
      </c>
      <c r="R465" s="10">
        <f>IFERROR(IF(('Loading-truck'!$C$21)="No control",SUMIF(('Loading-truck'!$B$31:$B$48),$J465,('Loading-truck'!$D$31:$D$48))*Impacts!$F$14,IF(('Loading-truck'!$C$21)&lt;&gt;"No control",SUMIF(('Loading-truck'!$B$31:$B$48),$J465,('Loading-truck'!$E$31:$E$48))*Impacts!$F$14,0)),0)</f>
        <v>0</v>
      </c>
      <c r="S465" s="10">
        <f>IFERROR(IF(('Loading-rail'!$C$21)="No control",SUMIF(('Loading-rail'!$B$31:$B$48),$J465,('Loading-rail'!$D$31:$D$48))*Impacts!$F$15,IF(('Loading-rail'!$C$21)&lt;&gt;"No control",SUMIF(('Loading-rail'!$B$31:$B$48),$J465,('Loading-rail'!$E$31:$E$48))*Impacts!$F$15,0)),0)</f>
        <v>0</v>
      </c>
      <c r="T465" s="10">
        <f>IF(Flare!$C$7="",0,(SUMIF(Flare!$B$46:$B$185,$J465,Flare!$E$46:$E$185)*Impacts!$F$16))</f>
        <v>0</v>
      </c>
      <c r="U465" s="10">
        <f>IF(VCU!$C$9="",0,(SUMIF(VCU!$B$51:$B$193,$J465,VCU!$E$51:$E$193)*Impacts!$F$17))</f>
        <v>0</v>
      </c>
      <c r="V465" s="10">
        <f>IF(CAS!$C$7="",0,(SUMIF(CAS!$B$31:$B$167,$J465,CAS!$E$31:$E$167)*Impacts!$F$18))</f>
        <v>0</v>
      </c>
      <c r="W465" s="10">
        <f t="shared" si="49"/>
        <v>0</v>
      </c>
      <c r="AK465" s="10" t="str">
        <f t="array" ref="AK465">IFERROR(INDEX(SelectedSpecies,SMALL(IF(SelectedSpecies=AK$1,ROW(SelectedSpecies)),ROW(466:466)),2),"")</f>
        <v/>
      </c>
      <c r="BE465" s="10"/>
      <c r="BI465" s="10"/>
    </row>
    <row r="466" spans="1:61" ht="21" customHeight="1" x14ac:dyDescent="0.25">
      <c r="A466" s="10"/>
      <c r="B466" s="10"/>
      <c r="E466" s="10"/>
      <c r="G466" s="10"/>
      <c r="I466" s="436" t="s">
        <v>2301</v>
      </c>
      <c r="J466" s="26" t="s">
        <v>2300</v>
      </c>
      <c r="K466" s="10">
        <v>12</v>
      </c>
      <c r="L466" s="73">
        <f>IF(Tank1!$C$23="No control",(SUMIF(Tank1!$B$32:$B$49,$J466,Tank1!$C$32:$C$49)*Impacts!$F$8),0)</f>
        <v>0</v>
      </c>
      <c r="M466" s="10">
        <f>IF(Tank2!$C$23="No control",(SUMIF(Tank2!$B$32:$B$49,$J466,Tank2!$C$32:$C$49)*Impacts!$F$9),0)</f>
        <v>0</v>
      </c>
      <c r="N466" s="10">
        <f>IF(Tank3!$C$23="No control",(SUMIF(Tank3!$B$32:$B$49,$J466,Tank3!$C$32:$C$49)*Impacts!$F$10),0)</f>
        <v>0</v>
      </c>
      <c r="O466" s="10">
        <f>IF(Tank4!$C$23="No control",(SUMIF(Tank4!$B$32:$B$49,$J466,Tank4!$C$32:$C$49)*Impacts!$F$11),0)</f>
        <v>0</v>
      </c>
      <c r="P466" s="10">
        <f>IF(Tank5!$C$23="No control",(SUMIF(Tank5!$B$32:$B$49,$J466,Tank5!$C$32:$C$49)*Impacts!$F$12),0)</f>
        <v>0</v>
      </c>
      <c r="Q466" s="10">
        <f>IFERROR(IF(('Loading-drum,tote'!$C$21)="No control",SUMIF(('Loading-drum,tote'!$B$31:$B$48),$J466,('Loading-drum,tote'!$D$31:$D$48))*Impacts!$F$13,IF(('Loading-drum,tote'!$C$21)&lt;&gt;"No control",SUMIF(('Loading-drum,tote'!$B$31:$B$48),$J466,('Loading-drum,tote'!$E$31:$E$48))*Impacts!$F$13,0)),0)</f>
        <v>0</v>
      </c>
      <c r="R466" s="10">
        <f>IFERROR(IF(('Loading-truck'!$C$21)="No control",SUMIF(('Loading-truck'!$B$31:$B$48),$J466,('Loading-truck'!$D$31:$D$48))*Impacts!$F$14,IF(('Loading-truck'!$C$21)&lt;&gt;"No control",SUMIF(('Loading-truck'!$B$31:$B$48),$J466,('Loading-truck'!$E$31:$E$48))*Impacts!$F$14,0)),0)</f>
        <v>0</v>
      </c>
      <c r="S466" s="10">
        <f>IFERROR(IF(('Loading-rail'!$C$21)="No control",SUMIF(('Loading-rail'!$B$31:$B$48),$J466,('Loading-rail'!$D$31:$D$48))*Impacts!$F$15,IF(('Loading-rail'!$C$21)&lt;&gt;"No control",SUMIF(('Loading-rail'!$B$31:$B$48),$J466,('Loading-rail'!$E$31:$E$48))*Impacts!$F$15,0)),0)</f>
        <v>0</v>
      </c>
      <c r="T466" s="10">
        <f>IF(Flare!$C$7="",0,(SUMIF(Flare!$B$46:$B$185,$J466,Flare!$E$46:$E$185)*Impacts!$F$16))</f>
        <v>0</v>
      </c>
      <c r="U466" s="10">
        <f>IF(VCU!$C$9="",0,(SUMIF(VCU!$B$51:$B$193,$J466,VCU!$E$51:$E$193)*Impacts!$F$17))</f>
        <v>0</v>
      </c>
      <c r="V466" s="10">
        <f>IF(CAS!$C$7="",0,(SUMIF(CAS!$B$31:$B$167,$J466,CAS!$E$31:$E$167)*Impacts!$F$18))</f>
        <v>0</v>
      </c>
      <c r="W466" s="10">
        <f t="shared" si="49"/>
        <v>0</v>
      </c>
      <c r="AK466" s="10" t="str">
        <f t="array" ref="AK466">IFERROR(INDEX(SelectedSpecies,SMALL(IF(SelectedSpecies=AK$1,ROW(SelectedSpecies)),ROW(467:467)),2),"")</f>
        <v/>
      </c>
      <c r="BE466" s="10"/>
      <c r="BI466" s="10"/>
    </row>
    <row r="467" spans="1:61" ht="21" customHeight="1" x14ac:dyDescent="0.25">
      <c r="A467" s="10"/>
      <c r="B467" s="10"/>
      <c r="E467" s="10"/>
      <c r="G467" s="10"/>
      <c r="I467" s="436" t="s">
        <v>3537</v>
      </c>
      <c r="J467" s="26" t="s">
        <v>3536</v>
      </c>
      <c r="K467" s="10">
        <v>8.5</v>
      </c>
      <c r="L467" s="73">
        <f>IF(Tank1!$C$23="No control",(SUMIF(Tank1!$B$32:$B$49,$J467,Tank1!$C$32:$C$49)*Impacts!$F$8),0)</f>
        <v>0</v>
      </c>
      <c r="M467" s="10">
        <f>IF(Tank2!$C$23="No control",(SUMIF(Tank2!$B$32:$B$49,$J467,Tank2!$C$32:$C$49)*Impacts!$F$9),0)</f>
        <v>0</v>
      </c>
      <c r="N467" s="10">
        <f>IF(Tank3!$C$23="No control",(SUMIF(Tank3!$B$32:$B$49,$J467,Tank3!$C$32:$C$49)*Impacts!$F$10),0)</f>
        <v>0</v>
      </c>
      <c r="O467" s="10">
        <f>IF(Tank4!$C$23="No control",(SUMIF(Tank4!$B$32:$B$49,$J467,Tank4!$C$32:$C$49)*Impacts!$F$11),0)</f>
        <v>0</v>
      </c>
      <c r="P467" s="10">
        <f>IF(Tank5!$C$23="No control",(SUMIF(Tank5!$B$32:$B$49,$J467,Tank5!$C$32:$C$49)*Impacts!$F$12),0)</f>
        <v>0</v>
      </c>
      <c r="Q467" s="10">
        <f>IFERROR(IF(('Loading-drum,tote'!$C$21)="No control",SUMIF(('Loading-drum,tote'!$B$31:$B$48),$J467,('Loading-drum,tote'!$D$31:$D$48))*Impacts!$F$13,IF(('Loading-drum,tote'!$C$21)&lt;&gt;"No control",SUMIF(('Loading-drum,tote'!$B$31:$B$48),$J467,('Loading-drum,tote'!$E$31:$E$48))*Impacts!$F$13,0)),0)</f>
        <v>0</v>
      </c>
      <c r="R467" s="10">
        <f>IFERROR(IF(('Loading-truck'!$C$21)="No control",SUMIF(('Loading-truck'!$B$31:$B$48),$J467,('Loading-truck'!$D$31:$D$48))*Impacts!$F$14,IF(('Loading-truck'!$C$21)&lt;&gt;"No control",SUMIF(('Loading-truck'!$B$31:$B$48),$J467,('Loading-truck'!$E$31:$E$48))*Impacts!$F$14,0)),0)</f>
        <v>0</v>
      </c>
      <c r="S467" s="10">
        <f>IFERROR(IF(('Loading-rail'!$C$21)="No control",SUMIF(('Loading-rail'!$B$31:$B$48),$J467,('Loading-rail'!$D$31:$D$48))*Impacts!$F$15,IF(('Loading-rail'!$C$21)&lt;&gt;"No control",SUMIF(('Loading-rail'!$B$31:$B$48),$J467,('Loading-rail'!$E$31:$E$48))*Impacts!$F$15,0)),0)</f>
        <v>0</v>
      </c>
      <c r="T467" s="10">
        <f>IF(Flare!$C$7="",0,(SUMIF(Flare!$B$46:$B$185,$J467,Flare!$E$46:$E$185)*Impacts!$F$16))</f>
        <v>0</v>
      </c>
      <c r="U467" s="10">
        <f>IF(VCU!$C$9="",0,(SUMIF(VCU!$B$51:$B$193,$J467,VCU!$E$51:$E$193)*Impacts!$F$17))</f>
        <v>0</v>
      </c>
      <c r="V467" s="10">
        <f>IF(CAS!$C$7="",0,(SUMIF(CAS!$B$31:$B$167,$J467,CAS!$E$31:$E$167)*Impacts!$F$18))</f>
        <v>0</v>
      </c>
      <c r="W467" s="10">
        <f t="shared" si="49"/>
        <v>0</v>
      </c>
      <c r="AK467" s="10" t="str">
        <f t="array" ref="AK467">IFERROR(INDEX(SelectedSpecies,SMALL(IF(SelectedSpecies=AK$1,ROW(SelectedSpecies)),ROW(468:468)),2),"")</f>
        <v/>
      </c>
      <c r="BE467" s="10"/>
      <c r="BI467" s="10"/>
    </row>
    <row r="468" spans="1:61" ht="21" customHeight="1" x14ac:dyDescent="0.25">
      <c r="A468" s="10"/>
      <c r="B468" s="10"/>
      <c r="E468" s="10"/>
      <c r="G468" s="10"/>
      <c r="I468" s="436" t="s">
        <v>6728</v>
      </c>
      <c r="J468" s="26" t="s">
        <v>6727</v>
      </c>
      <c r="K468" s="10">
        <v>0.5</v>
      </c>
      <c r="L468" s="73">
        <f>IF(Tank1!$C$23="No control",(SUMIF(Tank1!$B$32:$B$49,$J468,Tank1!$C$32:$C$49)*Impacts!$F$8),0)</f>
        <v>0</v>
      </c>
      <c r="M468" s="10">
        <f>IF(Tank2!$C$23="No control",(SUMIF(Tank2!$B$32:$B$49,$J468,Tank2!$C$32:$C$49)*Impacts!$F$9),0)</f>
        <v>0</v>
      </c>
      <c r="N468" s="10">
        <f>IF(Tank3!$C$23="No control",(SUMIF(Tank3!$B$32:$B$49,$J468,Tank3!$C$32:$C$49)*Impacts!$F$10),0)</f>
        <v>0</v>
      </c>
      <c r="O468" s="10">
        <f>IF(Tank4!$C$23="No control",(SUMIF(Tank4!$B$32:$B$49,$J468,Tank4!$C$32:$C$49)*Impacts!$F$11),0)</f>
        <v>0</v>
      </c>
      <c r="P468" s="10">
        <f>IF(Tank5!$C$23="No control",(SUMIF(Tank5!$B$32:$B$49,$J468,Tank5!$C$32:$C$49)*Impacts!$F$12),0)</f>
        <v>0</v>
      </c>
      <c r="Q468" s="10">
        <f>IFERROR(IF(('Loading-drum,tote'!$C$21)="No control",SUMIF(('Loading-drum,tote'!$B$31:$B$48),$J468,('Loading-drum,tote'!$D$31:$D$48))*Impacts!$F$13,IF(('Loading-drum,tote'!$C$21)&lt;&gt;"No control",SUMIF(('Loading-drum,tote'!$B$31:$B$48),$J468,('Loading-drum,tote'!$E$31:$E$48))*Impacts!$F$13,0)),0)</f>
        <v>0</v>
      </c>
      <c r="R468" s="10">
        <f>IFERROR(IF(('Loading-truck'!$C$21)="No control",SUMIF(('Loading-truck'!$B$31:$B$48),$J468,('Loading-truck'!$D$31:$D$48))*Impacts!$F$14,IF(('Loading-truck'!$C$21)&lt;&gt;"No control",SUMIF(('Loading-truck'!$B$31:$B$48),$J468,('Loading-truck'!$E$31:$E$48))*Impacts!$F$14,0)),0)</f>
        <v>0</v>
      </c>
      <c r="S468" s="10">
        <f>IFERROR(IF(('Loading-rail'!$C$21)="No control",SUMIF(('Loading-rail'!$B$31:$B$48),$J468,('Loading-rail'!$D$31:$D$48))*Impacts!$F$15,IF(('Loading-rail'!$C$21)&lt;&gt;"No control",SUMIF(('Loading-rail'!$B$31:$B$48),$J468,('Loading-rail'!$E$31:$E$48))*Impacts!$F$15,0)),0)</f>
        <v>0</v>
      </c>
      <c r="T468" s="10">
        <f>IF(Flare!$C$7="",0,(SUMIF(Flare!$B$46:$B$185,$J468,Flare!$E$46:$E$185)*Impacts!$F$16))</f>
        <v>0</v>
      </c>
      <c r="U468" s="10">
        <f>IF(VCU!$C$9="",0,(SUMIF(VCU!$B$51:$B$193,$J468,VCU!$E$51:$E$193)*Impacts!$F$17))</f>
        <v>0</v>
      </c>
      <c r="V468" s="10">
        <f>IF(CAS!$C$7="",0,(SUMIF(CAS!$B$31:$B$167,$J468,CAS!$E$31:$E$167)*Impacts!$F$18))</f>
        <v>0</v>
      </c>
      <c r="W468" s="10">
        <f t="shared" si="49"/>
        <v>0</v>
      </c>
      <c r="AK468" s="10" t="str">
        <f t="array" ref="AK468">IFERROR(INDEX(SelectedSpecies,SMALL(IF(SelectedSpecies=AK$1,ROW(SelectedSpecies)),ROW(469:469)),2),"")</f>
        <v/>
      </c>
      <c r="BE468" s="10"/>
      <c r="BI468" s="10"/>
    </row>
    <row r="469" spans="1:61" ht="21" customHeight="1" x14ac:dyDescent="0.25">
      <c r="A469" s="10"/>
      <c r="B469" s="10"/>
      <c r="E469" s="10"/>
      <c r="G469" s="10"/>
      <c r="I469" s="436" t="s">
        <v>5702</v>
      </c>
      <c r="J469" s="26" t="s">
        <v>5701</v>
      </c>
      <c r="K469" s="10">
        <v>1</v>
      </c>
      <c r="L469" s="73">
        <f>IF(Tank1!$C$23="No control",(SUMIF(Tank1!$B$32:$B$49,$J469,Tank1!$C$32:$C$49)*Impacts!$F$8),0)</f>
        <v>0</v>
      </c>
      <c r="M469" s="10">
        <f>IF(Tank2!$C$23="No control",(SUMIF(Tank2!$B$32:$B$49,$J469,Tank2!$C$32:$C$49)*Impacts!$F$9),0)</f>
        <v>0</v>
      </c>
      <c r="N469" s="10">
        <f>IF(Tank3!$C$23="No control",(SUMIF(Tank3!$B$32:$B$49,$J469,Tank3!$C$32:$C$49)*Impacts!$F$10),0)</f>
        <v>0</v>
      </c>
      <c r="O469" s="10">
        <f>IF(Tank4!$C$23="No control",(SUMIF(Tank4!$B$32:$B$49,$J469,Tank4!$C$32:$C$49)*Impacts!$F$11),0)</f>
        <v>0</v>
      </c>
      <c r="P469" s="10">
        <f>IF(Tank5!$C$23="No control",(SUMIF(Tank5!$B$32:$B$49,$J469,Tank5!$C$32:$C$49)*Impacts!$F$12),0)</f>
        <v>0</v>
      </c>
      <c r="Q469" s="10">
        <f>IFERROR(IF(('Loading-drum,tote'!$C$21)="No control",SUMIF(('Loading-drum,tote'!$B$31:$B$48),$J469,('Loading-drum,tote'!$D$31:$D$48))*Impacts!$F$13,IF(('Loading-drum,tote'!$C$21)&lt;&gt;"No control",SUMIF(('Loading-drum,tote'!$B$31:$B$48),$J469,('Loading-drum,tote'!$E$31:$E$48))*Impacts!$F$13,0)),0)</f>
        <v>0</v>
      </c>
      <c r="R469" s="10">
        <f>IFERROR(IF(('Loading-truck'!$C$21)="No control",SUMIF(('Loading-truck'!$B$31:$B$48),$J469,('Loading-truck'!$D$31:$D$48))*Impacts!$F$14,IF(('Loading-truck'!$C$21)&lt;&gt;"No control",SUMIF(('Loading-truck'!$B$31:$B$48),$J469,('Loading-truck'!$E$31:$E$48))*Impacts!$F$14,0)),0)</f>
        <v>0</v>
      </c>
      <c r="S469" s="10">
        <f>IFERROR(IF(('Loading-rail'!$C$21)="No control",SUMIF(('Loading-rail'!$B$31:$B$48),$J469,('Loading-rail'!$D$31:$D$48))*Impacts!$F$15,IF(('Loading-rail'!$C$21)&lt;&gt;"No control",SUMIF(('Loading-rail'!$B$31:$B$48),$J469,('Loading-rail'!$E$31:$E$48))*Impacts!$F$15,0)),0)</f>
        <v>0</v>
      </c>
      <c r="T469" s="10">
        <f>IF(Flare!$C$7="",0,(SUMIF(Flare!$B$46:$B$185,$J469,Flare!$E$46:$E$185)*Impacts!$F$16))</f>
        <v>0</v>
      </c>
      <c r="U469" s="10">
        <f>IF(VCU!$C$9="",0,(SUMIF(VCU!$B$51:$B$193,$J469,VCU!$E$51:$E$193)*Impacts!$F$17))</f>
        <v>0</v>
      </c>
      <c r="V469" s="10">
        <f>IF(CAS!$C$7="",0,(SUMIF(CAS!$B$31:$B$167,$J469,CAS!$E$31:$E$167)*Impacts!$F$18))</f>
        <v>0</v>
      </c>
      <c r="W469" s="10">
        <f t="shared" si="49"/>
        <v>0</v>
      </c>
      <c r="AK469" s="10" t="str">
        <f t="array" ref="AK469">IFERROR(INDEX(SelectedSpecies,SMALL(IF(SelectedSpecies=AK$1,ROW(SelectedSpecies)),ROW(470:470)),2),"")</f>
        <v/>
      </c>
      <c r="BE469" s="10"/>
      <c r="BI469" s="10"/>
    </row>
    <row r="470" spans="1:61" ht="21" customHeight="1" x14ac:dyDescent="0.25">
      <c r="A470" s="10"/>
      <c r="B470" s="10"/>
      <c r="E470" s="10"/>
      <c r="G470" s="10"/>
      <c r="I470" s="436" t="s">
        <v>2413</v>
      </c>
      <c r="J470" s="26" t="s">
        <v>2412</v>
      </c>
      <c r="K470" s="10">
        <v>10</v>
      </c>
      <c r="L470" s="73">
        <f>IF(Tank1!$C$23="No control",(SUMIF(Tank1!$B$32:$B$49,$J470,Tank1!$C$32:$C$49)*Impacts!$F$8),0)</f>
        <v>0</v>
      </c>
      <c r="M470" s="10">
        <f>IF(Tank2!$C$23="No control",(SUMIF(Tank2!$B$32:$B$49,$J470,Tank2!$C$32:$C$49)*Impacts!$F$9),0)</f>
        <v>0</v>
      </c>
      <c r="N470" s="10">
        <f>IF(Tank3!$C$23="No control",(SUMIF(Tank3!$B$32:$B$49,$J470,Tank3!$C$32:$C$49)*Impacts!$F$10),0)</f>
        <v>0</v>
      </c>
      <c r="O470" s="10">
        <f>IF(Tank4!$C$23="No control",(SUMIF(Tank4!$B$32:$B$49,$J470,Tank4!$C$32:$C$49)*Impacts!$F$11),0)</f>
        <v>0</v>
      </c>
      <c r="P470" s="10">
        <f>IF(Tank5!$C$23="No control",(SUMIF(Tank5!$B$32:$B$49,$J470,Tank5!$C$32:$C$49)*Impacts!$F$12),0)</f>
        <v>0</v>
      </c>
      <c r="Q470" s="10">
        <f>IFERROR(IF(('Loading-drum,tote'!$C$21)="No control",SUMIF(('Loading-drum,tote'!$B$31:$B$48),$J470,('Loading-drum,tote'!$D$31:$D$48))*Impacts!$F$13,IF(('Loading-drum,tote'!$C$21)&lt;&gt;"No control",SUMIF(('Loading-drum,tote'!$B$31:$B$48),$J470,('Loading-drum,tote'!$E$31:$E$48))*Impacts!$F$13,0)),0)</f>
        <v>0</v>
      </c>
      <c r="R470" s="10">
        <f>IFERROR(IF(('Loading-truck'!$C$21)="No control",SUMIF(('Loading-truck'!$B$31:$B$48),$J470,('Loading-truck'!$D$31:$D$48))*Impacts!$F$14,IF(('Loading-truck'!$C$21)&lt;&gt;"No control",SUMIF(('Loading-truck'!$B$31:$B$48),$J470,('Loading-truck'!$E$31:$E$48))*Impacts!$F$14,0)),0)</f>
        <v>0</v>
      </c>
      <c r="S470" s="10">
        <f>IFERROR(IF(('Loading-rail'!$C$21)="No control",SUMIF(('Loading-rail'!$B$31:$B$48),$J470,('Loading-rail'!$D$31:$D$48))*Impacts!$F$15,IF(('Loading-rail'!$C$21)&lt;&gt;"No control",SUMIF(('Loading-rail'!$B$31:$B$48),$J470,('Loading-rail'!$E$31:$E$48))*Impacts!$F$15,0)),0)</f>
        <v>0</v>
      </c>
      <c r="T470" s="10">
        <f>IF(Flare!$C$7="",0,(SUMIF(Flare!$B$46:$B$185,$J470,Flare!$E$46:$E$185)*Impacts!$F$16))</f>
        <v>0</v>
      </c>
      <c r="U470" s="10">
        <f>IF(VCU!$C$9="",0,(SUMIF(VCU!$B$51:$B$193,$J470,VCU!$E$51:$E$193)*Impacts!$F$17))</f>
        <v>0</v>
      </c>
      <c r="V470" s="10">
        <f>IF(CAS!$C$7="",0,(SUMIF(CAS!$B$31:$B$167,$J470,CAS!$E$31:$E$167)*Impacts!$F$18))</f>
        <v>0</v>
      </c>
      <c r="W470" s="10">
        <f t="shared" si="49"/>
        <v>0</v>
      </c>
      <c r="AK470" s="10" t="str">
        <f t="array" ref="AK470">IFERROR(INDEX(SelectedSpecies,SMALL(IF(SelectedSpecies=AK$1,ROW(SelectedSpecies)),ROW(471:471)),2),"")</f>
        <v/>
      </c>
      <c r="BE470" s="10"/>
      <c r="BI470" s="10"/>
    </row>
    <row r="471" spans="1:61" ht="21" customHeight="1" x14ac:dyDescent="0.25">
      <c r="A471" s="10"/>
      <c r="B471" s="10"/>
      <c r="E471" s="10"/>
      <c r="G471" s="10"/>
      <c r="I471" s="436" t="s">
        <v>2693</v>
      </c>
      <c r="J471" s="26" t="s">
        <v>2692</v>
      </c>
      <c r="K471" s="10">
        <v>10</v>
      </c>
      <c r="L471" s="73">
        <f>IF(Tank1!$C$23="No control",(SUMIF(Tank1!$B$32:$B$49,$J471,Tank1!$C$32:$C$49)*Impacts!$F$8),0)</f>
        <v>0</v>
      </c>
      <c r="M471" s="10">
        <f>IF(Tank2!$C$23="No control",(SUMIF(Tank2!$B$32:$B$49,$J471,Tank2!$C$32:$C$49)*Impacts!$F$9),0)</f>
        <v>0</v>
      </c>
      <c r="N471" s="10">
        <f>IF(Tank3!$C$23="No control",(SUMIF(Tank3!$B$32:$B$49,$J471,Tank3!$C$32:$C$49)*Impacts!$F$10),0)</f>
        <v>0</v>
      </c>
      <c r="O471" s="10">
        <f>IF(Tank4!$C$23="No control",(SUMIF(Tank4!$B$32:$B$49,$J471,Tank4!$C$32:$C$49)*Impacts!$F$11),0)</f>
        <v>0</v>
      </c>
      <c r="P471" s="10">
        <f>IF(Tank5!$C$23="No control",(SUMIF(Tank5!$B$32:$B$49,$J471,Tank5!$C$32:$C$49)*Impacts!$F$12),0)</f>
        <v>0</v>
      </c>
      <c r="Q471" s="10">
        <f>IFERROR(IF(('Loading-drum,tote'!$C$21)="No control",SUMIF(('Loading-drum,tote'!$B$31:$B$48),$J471,('Loading-drum,tote'!$D$31:$D$48))*Impacts!$F$13,IF(('Loading-drum,tote'!$C$21)&lt;&gt;"No control",SUMIF(('Loading-drum,tote'!$B$31:$B$48),$J471,('Loading-drum,tote'!$E$31:$E$48))*Impacts!$F$13,0)),0)</f>
        <v>0</v>
      </c>
      <c r="R471" s="10">
        <f>IFERROR(IF(('Loading-truck'!$C$21)="No control",SUMIF(('Loading-truck'!$B$31:$B$48),$J471,('Loading-truck'!$D$31:$D$48))*Impacts!$F$14,IF(('Loading-truck'!$C$21)&lt;&gt;"No control",SUMIF(('Loading-truck'!$B$31:$B$48),$J471,('Loading-truck'!$E$31:$E$48))*Impacts!$F$14,0)),0)</f>
        <v>0</v>
      </c>
      <c r="S471" s="10">
        <f>IFERROR(IF(('Loading-rail'!$C$21)="No control",SUMIF(('Loading-rail'!$B$31:$B$48),$J471,('Loading-rail'!$D$31:$D$48))*Impacts!$F$15,IF(('Loading-rail'!$C$21)&lt;&gt;"No control",SUMIF(('Loading-rail'!$B$31:$B$48),$J471,('Loading-rail'!$E$31:$E$48))*Impacts!$F$15,0)),0)</f>
        <v>0</v>
      </c>
      <c r="T471" s="10">
        <f>IF(Flare!$C$7="",0,(SUMIF(Flare!$B$46:$B$185,$J471,Flare!$E$46:$E$185)*Impacts!$F$16))</f>
        <v>0</v>
      </c>
      <c r="U471" s="10">
        <f>IF(VCU!$C$9="",0,(SUMIF(VCU!$B$51:$B$193,$J471,VCU!$E$51:$E$193)*Impacts!$F$17))</f>
        <v>0</v>
      </c>
      <c r="V471" s="10">
        <f>IF(CAS!$C$7="",0,(SUMIF(CAS!$B$31:$B$167,$J471,CAS!$E$31:$E$167)*Impacts!$F$18))</f>
        <v>0</v>
      </c>
      <c r="W471" s="10">
        <f t="shared" si="49"/>
        <v>0</v>
      </c>
      <c r="AK471" s="10" t="str">
        <f t="array" ref="AK471">IFERROR(INDEX(SelectedSpecies,SMALL(IF(SelectedSpecies=AK$1,ROW(SelectedSpecies)),ROW(472:472)),2),"")</f>
        <v/>
      </c>
      <c r="BE471" s="10"/>
      <c r="BI471" s="10"/>
    </row>
    <row r="472" spans="1:61" ht="21" customHeight="1" x14ac:dyDescent="0.25">
      <c r="A472" s="10"/>
      <c r="B472" s="10"/>
      <c r="E472" s="10"/>
      <c r="G472" s="10"/>
      <c r="I472" s="436" t="s">
        <v>806</v>
      </c>
      <c r="J472" s="26" t="s">
        <v>805</v>
      </c>
      <c r="K472" s="10">
        <v>51</v>
      </c>
      <c r="L472" s="73">
        <f>IF(Tank1!$C$23="No control",(SUMIF(Tank1!$B$32:$B$49,$J472,Tank1!$C$32:$C$49)*Impacts!$F$8),0)</f>
        <v>0</v>
      </c>
      <c r="M472" s="10">
        <f>IF(Tank2!$C$23="No control",(SUMIF(Tank2!$B$32:$B$49,$J472,Tank2!$C$32:$C$49)*Impacts!$F$9),0)</f>
        <v>0</v>
      </c>
      <c r="N472" s="10">
        <f>IF(Tank3!$C$23="No control",(SUMIF(Tank3!$B$32:$B$49,$J472,Tank3!$C$32:$C$49)*Impacts!$F$10),0)</f>
        <v>0</v>
      </c>
      <c r="O472" s="10">
        <f>IF(Tank4!$C$23="No control",(SUMIF(Tank4!$B$32:$B$49,$J472,Tank4!$C$32:$C$49)*Impacts!$F$11),0)</f>
        <v>0</v>
      </c>
      <c r="P472" s="10">
        <f>IF(Tank5!$C$23="No control",(SUMIF(Tank5!$B$32:$B$49,$J472,Tank5!$C$32:$C$49)*Impacts!$F$12),0)</f>
        <v>0</v>
      </c>
      <c r="Q472" s="10">
        <f>IFERROR(IF(('Loading-drum,tote'!$C$21)="No control",SUMIF(('Loading-drum,tote'!$B$31:$B$48),$J472,('Loading-drum,tote'!$D$31:$D$48))*Impacts!$F$13,IF(('Loading-drum,tote'!$C$21)&lt;&gt;"No control",SUMIF(('Loading-drum,tote'!$B$31:$B$48),$J472,('Loading-drum,tote'!$E$31:$E$48))*Impacts!$F$13,0)),0)</f>
        <v>0</v>
      </c>
      <c r="R472" s="10">
        <f>IFERROR(IF(('Loading-truck'!$C$21)="No control",SUMIF(('Loading-truck'!$B$31:$B$48),$J472,('Loading-truck'!$D$31:$D$48))*Impacts!$F$14,IF(('Loading-truck'!$C$21)&lt;&gt;"No control",SUMIF(('Loading-truck'!$B$31:$B$48),$J472,('Loading-truck'!$E$31:$E$48))*Impacts!$F$14,0)),0)</f>
        <v>0</v>
      </c>
      <c r="S472" s="10">
        <f>IFERROR(IF(('Loading-rail'!$C$21)="No control",SUMIF(('Loading-rail'!$B$31:$B$48),$J472,('Loading-rail'!$D$31:$D$48))*Impacts!$F$15,IF(('Loading-rail'!$C$21)&lt;&gt;"No control",SUMIF(('Loading-rail'!$B$31:$B$48),$J472,('Loading-rail'!$E$31:$E$48))*Impacts!$F$15,0)),0)</f>
        <v>0</v>
      </c>
      <c r="T472" s="10">
        <f>IF(Flare!$C$7="",0,(SUMIF(Flare!$B$46:$B$185,$J472,Flare!$E$46:$E$185)*Impacts!$F$16))</f>
        <v>0</v>
      </c>
      <c r="U472" s="10">
        <f>IF(VCU!$C$9="",0,(SUMIF(VCU!$B$51:$B$193,$J472,VCU!$E$51:$E$193)*Impacts!$F$17))</f>
        <v>0</v>
      </c>
      <c r="V472" s="10">
        <f>IF(CAS!$C$7="",0,(SUMIF(CAS!$B$31:$B$167,$J472,CAS!$E$31:$E$167)*Impacts!$F$18))</f>
        <v>0</v>
      </c>
      <c r="W472" s="10">
        <f t="shared" si="49"/>
        <v>0</v>
      </c>
      <c r="AK472" s="10" t="str">
        <f t="array" ref="AK472">IFERROR(INDEX(SelectedSpecies,SMALL(IF(SelectedSpecies=AK$1,ROW(SelectedSpecies)),ROW(473:473)),2),"")</f>
        <v/>
      </c>
      <c r="BE472" s="10"/>
      <c r="BI472" s="10"/>
    </row>
    <row r="473" spans="1:61" ht="21" customHeight="1" x14ac:dyDescent="0.25">
      <c r="A473" s="10"/>
      <c r="B473" s="10"/>
      <c r="E473" s="10"/>
      <c r="G473" s="10"/>
      <c r="I473" s="436" t="s">
        <v>4121</v>
      </c>
      <c r="J473" s="26" t="s">
        <v>4120</v>
      </c>
      <c r="K473" s="10">
        <v>5.3000000000000007</v>
      </c>
      <c r="L473" s="73">
        <f>IF(Tank1!$C$23="No control",(SUMIF(Tank1!$B$32:$B$49,$J473,Tank1!$C$32:$C$49)*Impacts!$F$8),0)</f>
        <v>0</v>
      </c>
      <c r="M473" s="10">
        <f>IF(Tank2!$C$23="No control",(SUMIF(Tank2!$B$32:$B$49,$J473,Tank2!$C$32:$C$49)*Impacts!$F$9),0)</f>
        <v>0</v>
      </c>
      <c r="N473" s="10">
        <f>IF(Tank3!$C$23="No control",(SUMIF(Tank3!$B$32:$B$49,$J473,Tank3!$C$32:$C$49)*Impacts!$F$10),0)</f>
        <v>0</v>
      </c>
      <c r="O473" s="10">
        <f>IF(Tank4!$C$23="No control",(SUMIF(Tank4!$B$32:$B$49,$J473,Tank4!$C$32:$C$49)*Impacts!$F$11),0)</f>
        <v>0</v>
      </c>
      <c r="P473" s="10">
        <f>IF(Tank5!$C$23="No control",(SUMIF(Tank5!$B$32:$B$49,$J473,Tank5!$C$32:$C$49)*Impacts!$F$12),0)</f>
        <v>0</v>
      </c>
      <c r="Q473" s="10">
        <f>IFERROR(IF(('Loading-drum,tote'!$C$21)="No control",SUMIF(('Loading-drum,tote'!$B$31:$B$48),$J473,('Loading-drum,tote'!$D$31:$D$48))*Impacts!$F$13,IF(('Loading-drum,tote'!$C$21)&lt;&gt;"No control",SUMIF(('Loading-drum,tote'!$B$31:$B$48),$J473,('Loading-drum,tote'!$E$31:$E$48))*Impacts!$F$13,0)),0)</f>
        <v>0</v>
      </c>
      <c r="R473" s="10">
        <f>IFERROR(IF(('Loading-truck'!$C$21)="No control",SUMIF(('Loading-truck'!$B$31:$B$48),$J473,('Loading-truck'!$D$31:$D$48))*Impacts!$F$14,IF(('Loading-truck'!$C$21)&lt;&gt;"No control",SUMIF(('Loading-truck'!$B$31:$B$48),$J473,('Loading-truck'!$E$31:$E$48))*Impacts!$F$14,0)),0)</f>
        <v>0</v>
      </c>
      <c r="S473" s="10">
        <f>IFERROR(IF(('Loading-rail'!$C$21)="No control",SUMIF(('Loading-rail'!$B$31:$B$48),$J473,('Loading-rail'!$D$31:$D$48))*Impacts!$F$15,IF(('Loading-rail'!$C$21)&lt;&gt;"No control",SUMIF(('Loading-rail'!$B$31:$B$48),$J473,('Loading-rail'!$E$31:$E$48))*Impacts!$F$15,0)),0)</f>
        <v>0</v>
      </c>
      <c r="T473" s="10">
        <f>IF(Flare!$C$7="",0,(SUMIF(Flare!$B$46:$B$185,$J473,Flare!$E$46:$E$185)*Impacts!$F$16))</f>
        <v>0</v>
      </c>
      <c r="U473" s="10">
        <f>IF(VCU!$C$9="",0,(SUMIF(VCU!$B$51:$B$193,$J473,VCU!$E$51:$E$193)*Impacts!$F$17))</f>
        <v>0</v>
      </c>
      <c r="V473" s="10">
        <f>IF(CAS!$C$7="",0,(SUMIF(CAS!$B$31:$B$167,$J473,CAS!$E$31:$E$167)*Impacts!$F$18))</f>
        <v>0</v>
      </c>
      <c r="W473" s="10">
        <f t="shared" si="49"/>
        <v>0</v>
      </c>
      <c r="AK473" s="10" t="str">
        <f t="array" ref="AK473">IFERROR(INDEX(SelectedSpecies,SMALL(IF(SelectedSpecies=AK$1,ROW(SelectedSpecies)),ROW(474:474)),2),"")</f>
        <v/>
      </c>
      <c r="BE473" s="10"/>
      <c r="BI473" s="10"/>
    </row>
    <row r="474" spans="1:61" ht="21" customHeight="1" x14ac:dyDescent="0.25">
      <c r="A474" s="10"/>
      <c r="B474" s="10"/>
      <c r="E474" s="10"/>
      <c r="G474" s="10"/>
      <c r="I474" s="436" t="s">
        <v>4875</v>
      </c>
      <c r="J474" s="26" t="s">
        <v>4874</v>
      </c>
      <c r="K474" s="10">
        <v>2.7</v>
      </c>
      <c r="L474" s="73">
        <f>IF(Tank1!$C$23="No control",(SUMIF(Tank1!$B$32:$B$49,$J474,Tank1!$C$32:$C$49)*Impacts!$F$8),0)</f>
        <v>0</v>
      </c>
      <c r="M474" s="10">
        <f>IF(Tank2!$C$23="No control",(SUMIF(Tank2!$B$32:$B$49,$J474,Tank2!$C$32:$C$49)*Impacts!$F$9),0)</f>
        <v>0</v>
      </c>
      <c r="N474" s="10">
        <f>IF(Tank3!$C$23="No control",(SUMIF(Tank3!$B$32:$B$49,$J474,Tank3!$C$32:$C$49)*Impacts!$F$10),0)</f>
        <v>0</v>
      </c>
      <c r="O474" s="10">
        <f>IF(Tank4!$C$23="No control",(SUMIF(Tank4!$B$32:$B$49,$J474,Tank4!$C$32:$C$49)*Impacts!$F$11),0)</f>
        <v>0</v>
      </c>
      <c r="P474" s="10">
        <f>IF(Tank5!$C$23="No control",(SUMIF(Tank5!$B$32:$B$49,$J474,Tank5!$C$32:$C$49)*Impacts!$F$12),0)</f>
        <v>0</v>
      </c>
      <c r="Q474" s="10">
        <f>IFERROR(IF(('Loading-drum,tote'!$C$21)="No control",SUMIF(('Loading-drum,tote'!$B$31:$B$48),$J474,('Loading-drum,tote'!$D$31:$D$48))*Impacts!$F$13,IF(('Loading-drum,tote'!$C$21)&lt;&gt;"No control",SUMIF(('Loading-drum,tote'!$B$31:$B$48),$J474,('Loading-drum,tote'!$E$31:$E$48))*Impacts!$F$13,0)),0)</f>
        <v>0</v>
      </c>
      <c r="R474" s="10">
        <f>IFERROR(IF(('Loading-truck'!$C$21)="No control",SUMIF(('Loading-truck'!$B$31:$B$48),$J474,('Loading-truck'!$D$31:$D$48))*Impacts!$F$14,IF(('Loading-truck'!$C$21)&lt;&gt;"No control",SUMIF(('Loading-truck'!$B$31:$B$48),$J474,('Loading-truck'!$E$31:$E$48))*Impacts!$F$14,0)),0)</f>
        <v>0</v>
      </c>
      <c r="S474" s="10">
        <f>IFERROR(IF(('Loading-rail'!$C$21)="No control",SUMIF(('Loading-rail'!$B$31:$B$48),$J474,('Loading-rail'!$D$31:$D$48))*Impacts!$F$15,IF(('Loading-rail'!$C$21)&lt;&gt;"No control",SUMIF(('Loading-rail'!$B$31:$B$48),$J474,('Loading-rail'!$E$31:$E$48))*Impacts!$F$15,0)),0)</f>
        <v>0</v>
      </c>
      <c r="T474" s="10">
        <f>IF(Flare!$C$7="",0,(SUMIF(Flare!$B$46:$B$185,$J474,Flare!$E$46:$E$185)*Impacts!$F$16))</f>
        <v>0</v>
      </c>
      <c r="U474" s="10">
        <f>IF(VCU!$C$9="",0,(SUMIF(VCU!$B$51:$B$193,$J474,VCU!$E$51:$E$193)*Impacts!$F$17))</f>
        <v>0</v>
      </c>
      <c r="V474" s="10">
        <f>IF(CAS!$C$7="",0,(SUMIF(CAS!$B$31:$B$167,$J474,CAS!$E$31:$E$167)*Impacts!$F$18))</f>
        <v>0</v>
      </c>
      <c r="W474" s="10">
        <f t="shared" si="49"/>
        <v>0</v>
      </c>
      <c r="AK474" s="10" t="str">
        <f t="array" ref="AK474">IFERROR(INDEX(SelectedSpecies,SMALL(IF(SelectedSpecies=AK$1,ROW(SelectedSpecies)),ROW(475:475)),2),"")</f>
        <v/>
      </c>
      <c r="BE474" s="10"/>
      <c r="BI474" s="10"/>
    </row>
    <row r="475" spans="1:61" ht="21" customHeight="1" x14ac:dyDescent="0.25">
      <c r="A475" s="10"/>
      <c r="B475" s="10"/>
      <c r="E475" s="10"/>
      <c r="G475" s="10"/>
      <c r="I475" s="436" t="s">
        <v>4671</v>
      </c>
      <c r="J475" s="26" t="s">
        <v>4670</v>
      </c>
      <c r="K475" s="10">
        <v>3.6</v>
      </c>
      <c r="L475" s="73">
        <f>IF(Tank1!$C$23="No control",(SUMIF(Tank1!$B$32:$B$49,$J475,Tank1!$C$32:$C$49)*Impacts!$F$8),0)</f>
        <v>0</v>
      </c>
      <c r="M475" s="10">
        <f>IF(Tank2!$C$23="No control",(SUMIF(Tank2!$B$32:$B$49,$J475,Tank2!$C$32:$C$49)*Impacts!$F$9),0)</f>
        <v>0</v>
      </c>
      <c r="N475" s="10">
        <f>IF(Tank3!$C$23="No control",(SUMIF(Tank3!$B$32:$B$49,$J475,Tank3!$C$32:$C$49)*Impacts!$F$10),0)</f>
        <v>0</v>
      </c>
      <c r="O475" s="10">
        <f>IF(Tank4!$C$23="No control",(SUMIF(Tank4!$B$32:$B$49,$J475,Tank4!$C$32:$C$49)*Impacts!$F$11),0)</f>
        <v>0</v>
      </c>
      <c r="P475" s="10">
        <f>IF(Tank5!$C$23="No control",(SUMIF(Tank5!$B$32:$B$49,$J475,Tank5!$C$32:$C$49)*Impacts!$F$12),0)</f>
        <v>0</v>
      </c>
      <c r="Q475" s="10">
        <f>IFERROR(IF(('Loading-drum,tote'!$C$21)="No control",SUMIF(('Loading-drum,tote'!$B$31:$B$48),$J475,('Loading-drum,tote'!$D$31:$D$48))*Impacts!$F$13,IF(('Loading-drum,tote'!$C$21)&lt;&gt;"No control",SUMIF(('Loading-drum,tote'!$B$31:$B$48),$J475,('Loading-drum,tote'!$E$31:$E$48))*Impacts!$F$13,0)),0)</f>
        <v>0</v>
      </c>
      <c r="R475" s="10">
        <f>IFERROR(IF(('Loading-truck'!$C$21)="No control",SUMIF(('Loading-truck'!$B$31:$B$48),$J475,('Loading-truck'!$D$31:$D$48))*Impacts!$F$14,IF(('Loading-truck'!$C$21)&lt;&gt;"No control",SUMIF(('Loading-truck'!$B$31:$B$48),$J475,('Loading-truck'!$E$31:$E$48))*Impacts!$F$14,0)),0)</f>
        <v>0</v>
      </c>
      <c r="S475" s="10">
        <f>IFERROR(IF(('Loading-rail'!$C$21)="No control",SUMIF(('Loading-rail'!$B$31:$B$48),$J475,('Loading-rail'!$D$31:$D$48))*Impacts!$F$15,IF(('Loading-rail'!$C$21)&lt;&gt;"No control",SUMIF(('Loading-rail'!$B$31:$B$48),$J475,('Loading-rail'!$E$31:$E$48))*Impacts!$F$15,0)),0)</f>
        <v>0</v>
      </c>
      <c r="T475" s="10">
        <f>IF(Flare!$C$7="",0,(SUMIF(Flare!$B$46:$B$185,$J475,Flare!$E$46:$E$185)*Impacts!$F$16))</f>
        <v>0</v>
      </c>
      <c r="U475" s="10">
        <f>IF(VCU!$C$9="",0,(SUMIF(VCU!$B$51:$B$193,$J475,VCU!$E$51:$E$193)*Impacts!$F$17))</f>
        <v>0</v>
      </c>
      <c r="V475" s="10">
        <f>IF(CAS!$C$7="",0,(SUMIF(CAS!$B$31:$B$167,$J475,CAS!$E$31:$E$167)*Impacts!$F$18))</f>
        <v>0</v>
      </c>
      <c r="W475" s="10">
        <f t="shared" si="49"/>
        <v>0</v>
      </c>
      <c r="AK475" s="10" t="str">
        <f t="array" ref="AK475">IFERROR(INDEX(SelectedSpecies,SMALL(IF(SelectedSpecies=AK$1,ROW(SelectedSpecies)),ROW(476:476)),2),"")</f>
        <v/>
      </c>
      <c r="BE475" s="10"/>
      <c r="BI475" s="10"/>
    </row>
    <row r="476" spans="1:61" ht="21" customHeight="1" x14ac:dyDescent="0.25">
      <c r="A476" s="10"/>
      <c r="B476" s="10"/>
      <c r="E476" s="10"/>
      <c r="G476" s="10"/>
      <c r="I476" s="436" t="s">
        <v>2695</v>
      </c>
      <c r="J476" s="26" t="s">
        <v>2694</v>
      </c>
      <c r="K476" s="10">
        <v>10</v>
      </c>
      <c r="L476" s="73">
        <f>IF(Tank1!$C$23="No control",(SUMIF(Tank1!$B$32:$B$49,$J476,Tank1!$C$32:$C$49)*Impacts!$F$8),0)</f>
        <v>0</v>
      </c>
      <c r="M476" s="10">
        <f>IF(Tank2!$C$23="No control",(SUMIF(Tank2!$B$32:$B$49,$J476,Tank2!$C$32:$C$49)*Impacts!$F$9),0)</f>
        <v>0</v>
      </c>
      <c r="N476" s="10">
        <f>IF(Tank3!$C$23="No control",(SUMIF(Tank3!$B$32:$B$49,$J476,Tank3!$C$32:$C$49)*Impacts!$F$10),0)</f>
        <v>0</v>
      </c>
      <c r="O476" s="10">
        <f>IF(Tank4!$C$23="No control",(SUMIF(Tank4!$B$32:$B$49,$J476,Tank4!$C$32:$C$49)*Impacts!$F$11),0)</f>
        <v>0</v>
      </c>
      <c r="P476" s="10">
        <f>IF(Tank5!$C$23="No control",(SUMIF(Tank5!$B$32:$B$49,$J476,Tank5!$C$32:$C$49)*Impacts!$F$12),0)</f>
        <v>0</v>
      </c>
      <c r="Q476" s="10">
        <f>IFERROR(IF(('Loading-drum,tote'!$C$21)="No control",SUMIF(('Loading-drum,tote'!$B$31:$B$48),$J476,('Loading-drum,tote'!$D$31:$D$48))*Impacts!$F$13,IF(('Loading-drum,tote'!$C$21)&lt;&gt;"No control",SUMIF(('Loading-drum,tote'!$B$31:$B$48),$J476,('Loading-drum,tote'!$E$31:$E$48))*Impacts!$F$13,0)),0)</f>
        <v>0</v>
      </c>
      <c r="R476" s="10">
        <f>IFERROR(IF(('Loading-truck'!$C$21)="No control",SUMIF(('Loading-truck'!$B$31:$B$48),$J476,('Loading-truck'!$D$31:$D$48))*Impacts!$F$14,IF(('Loading-truck'!$C$21)&lt;&gt;"No control",SUMIF(('Loading-truck'!$B$31:$B$48),$J476,('Loading-truck'!$E$31:$E$48))*Impacts!$F$14,0)),0)</f>
        <v>0</v>
      </c>
      <c r="S476" s="10">
        <f>IFERROR(IF(('Loading-rail'!$C$21)="No control",SUMIF(('Loading-rail'!$B$31:$B$48),$J476,('Loading-rail'!$D$31:$D$48))*Impacts!$F$15,IF(('Loading-rail'!$C$21)&lt;&gt;"No control",SUMIF(('Loading-rail'!$B$31:$B$48),$J476,('Loading-rail'!$E$31:$E$48))*Impacts!$F$15,0)),0)</f>
        <v>0</v>
      </c>
      <c r="T476" s="10">
        <f>IF(Flare!$C$7="",0,(SUMIF(Flare!$B$46:$B$185,$J476,Flare!$E$46:$E$185)*Impacts!$F$16))</f>
        <v>0</v>
      </c>
      <c r="U476" s="10">
        <f>IF(VCU!$C$9="",0,(SUMIF(VCU!$B$51:$B$193,$J476,VCU!$E$51:$E$193)*Impacts!$F$17))</f>
        <v>0</v>
      </c>
      <c r="V476" s="10">
        <f>IF(CAS!$C$7="",0,(SUMIF(CAS!$B$31:$B$167,$J476,CAS!$E$31:$E$167)*Impacts!$F$18))</f>
        <v>0</v>
      </c>
      <c r="W476" s="10">
        <f t="shared" si="49"/>
        <v>0</v>
      </c>
      <c r="AK476" s="10" t="str">
        <f t="array" ref="AK476">IFERROR(INDEX(SelectedSpecies,SMALL(IF(SelectedSpecies=AK$1,ROW(SelectedSpecies)),ROW(477:477)),2),"")</f>
        <v/>
      </c>
      <c r="BE476" s="10"/>
      <c r="BI476" s="10"/>
    </row>
    <row r="477" spans="1:61" ht="21" customHeight="1" x14ac:dyDescent="0.25">
      <c r="A477" s="10"/>
      <c r="B477" s="10"/>
      <c r="E477" s="10"/>
      <c r="G477" s="10"/>
      <c r="I477" s="436" t="s">
        <v>5075</v>
      </c>
      <c r="J477" s="26" t="s">
        <v>5074</v>
      </c>
      <c r="K477" s="10">
        <v>2.2000000000000002</v>
      </c>
      <c r="L477" s="73">
        <f>IF(Tank1!$C$23="No control",(SUMIF(Tank1!$B$32:$B$49,$J477,Tank1!$C$32:$C$49)*Impacts!$F$8),0)</f>
        <v>0</v>
      </c>
      <c r="M477" s="10">
        <f>IF(Tank2!$C$23="No control",(SUMIF(Tank2!$B$32:$B$49,$J477,Tank2!$C$32:$C$49)*Impacts!$F$9),0)</f>
        <v>0</v>
      </c>
      <c r="N477" s="10">
        <f>IF(Tank3!$C$23="No control",(SUMIF(Tank3!$B$32:$B$49,$J477,Tank3!$C$32:$C$49)*Impacts!$F$10),0)</f>
        <v>0</v>
      </c>
      <c r="O477" s="10">
        <f>IF(Tank4!$C$23="No control",(SUMIF(Tank4!$B$32:$B$49,$J477,Tank4!$C$32:$C$49)*Impacts!$F$11),0)</f>
        <v>0</v>
      </c>
      <c r="P477" s="10">
        <f>IF(Tank5!$C$23="No control",(SUMIF(Tank5!$B$32:$B$49,$J477,Tank5!$C$32:$C$49)*Impacts!$F$12),0)</f>
        <v>0</v>
      </c>
      <c r="Q477" s="10">
        <f>IFERROR(IF(('Loading-drum,tote'!$C$21)="No control",SUMIF(('Loading-drum,tote'!$B$31:$B$48),$J477,('Loading-drum,tote'!$D$31:$D$48))*Impacts!$F$13,IF(('Loading-drum,tote'!$C$21)&lt;&gt;"No control",SUMIF(('Loading-drum,tote'!$B$31:$B$48),$J477,('Loading-drum,tote'!$E$31:$E$48))*Impacts!$F$13,0)),0)</f>
        <v>0</v>
      </c>
      <c r="R477" s="10">
        <f>IFERROR(IF(('Loading-truck'!$C$21)="No control",SUMIF(('Loading-truck'!$B$31:$B$48),$J477,('Loading-truck'!$D$31:$D$48))*Impacts!$F$14,IF(('Loading-truck'!$C$21)&lt;&gt;"No control",SUMIF(('Loading-truck'!$B$31:$B$48),$J477,('Loading-truck'!$E$31:$E$48))*Impacts!$F$14,0)),0)</f>
        <v>0</v>
      </c>
      <c r="S477" s="10">
        <f>IFERROR(IF(('Loading-rail'!$C$21)="No control",SUMIF(('Loading-rail'!$B$31:$B$48),$J477,('Loading-rail'!$D$31:$D$48))*Impacts!$F$15,IF(('Loading-rail'!$C$21)&lt;&gt;"No control",SUMIF(('Loading-rail'!$B$31:$B$48),$J477,('Loading-rail'!$E$31:$E$48))*Impacts!$F$15,0)),0)</f>
        <v>0</v>
      </c>
      <c r="T477" s="10">
        <f>IF(Flare!$C$7="",0,(SUMIF(Flare!$B$46:$B$185,$J477,Flare!$E$46:$E$185)*Impacts!$F$16))</f>
        <v>0</v>
      </c>
      <c r="U477" s="10">
        <f>IF(VCU!$C$9="",0,(SUMIF(VCU!$B$51:$B$193,$J477,VCU!$E$51:$E$193)*Impacts!$F$17))</f>
        <v>0</v>
      </c>
      <c r="V477" s="10">
        <f>IF(CAS!$C$7="",0,(SUMIF(CAS!$B$31:$B$167,$J477,CAS!$E$31:$E$167)*Impacts!$F$18))</f>
        <v>0</v>
      </c>
      <c r="W477" s="10">
        <f t="shared" si="49"/>
        <v>0</v>
      </c>
      <c r="AK477" s="10" t="str">
        <f t="array" ref="AK477">IFERROR(INDEX(SelectedSpecies,SMALL(IF(SelectedSpecies=AK$1,ROW(SelectedSpecies)),ROW(478:478)),2),"")</f>
        <v/>
      </c>
      <c r="BE477" s="10"/>
      <c r="BI477" s="10"/>
    </row>
    <row r="478" spans="1:61" ht="21" customHeight="1" x14ac:dyDescent="0.25">
      <c r="A478" s="10"/>
      <c r="B478" s="10"/>
      <c r="E478" s="10"/>
      <c r="G478" s="10"/>
      <c r="I478" s="436" t="s">
        <v>5395</v>
      </c>
      <c r="J478" s="26" t="s">
        <v>5394</v>
      </c>
      <c r="K478" s="10">
        <v>1.4000000000000001</v>
      </c>
      <c r="L478" s="73">
        <f>IF(Tank1!$C$23="No control",(SUMIF(Tank1!$B$32:$B$49,$J478,Tank1!$C$32:$C$49)*Impacts!$F$8),0)</f>
        <v>0</v>
      </c>
      <c r="M478" s="10">
        <f>IF(Tank2!$C$23="No control",(SUMIF(Tank2!$B$32:$B$49,$J478,Tank2!$C$32:$C$49)*Impacts!$F$9),0)</f>
        <v>0</v>
      </c>
      <c r="N478" s="10">
        <f>IF(Tank3!$C$23="No control",(SUMIF(Tank3!$B$32:$B$49,$J478,Tank3!$C$32:$C$49)*Impacts!$F$10),0)</f>
        <v>0</v>
      </c>
      <c r="O478" s="10">
        <f>IF(Tank4!$C$23="No control",(SUMIF(Tank4!$B$32:$B$49,$J478,Tank4!$C$32:$C$49)*Impacts!$F$11),0)</f>
        <v>0</v>
      </c>
      <c r="P478" s="10">
        <f>IF(Tank5!$C$23="No control",(SUMIF(Tank5!$B$32:$B$49,$J478,Tank5!$C$32:$C$49)*Impacts!$F$12),0)</f>
        <v>0</v>
      </c>
      <c r="Q478" s="10">
        <f>IFERROR(IF(('Loading-drum,tote'!$C$21)="No control",SUMIF(('Loading-drum,tote'!$B$31:$B$48),$J478,('Loading-drum,tote'!$D$31:$D$48))*Impacts!$F$13,IF(('Loading-drum,tote'!$C$21)&lt;&gt;"No control",SUMIF(('Loading-drum,tote'!$B$31:$B$48),$J478,('Loading-drum,tote'!$E$31:$E$48))*Impacts!$F$13,0)),0)</f>
        <v>0</v>
      </c>
      <c r="R478" s="10">
        <f>IFERROR(IF(('Loading-truck'!$C$21)="No control",SUMIF(('Loading-truck'!$B$31:$B$48),$J478,('Loading-truck'!$D$31:$D$48))*Impacts!$F$14,IF(('Loading-truck'!$C$21)&lt;&gt;"No control",SUMIF(('Loading-truck'!$B$31:$B$48),$J478,('Loading-truck'!$E$31:$E$48))*Impacts!$F$14,0)),0)</f>
        <v>0</v>
      </c>
      <c r="S478" s="10">
        <f>IFERROR(IF(('Loading-rail'!$C$21)="No control",SUMIF(('Loading-rail'!$B$31:$B$48),$J478,('Loading-rail'!$D$31:$D$48))*Impacts!$F$15,IF(('Loading-rail'!$C$21)&lt;&gt;"No control",SUMIF(('Loading-rail'!$B$31:$B$48),$J478,('Loading-rail'!$E$31:$E$48))*Impacts!$F$15,0)),0)</f>
        <v>0</v>
      </c>
      <c r="T478" s="10">
        <f>IF(Flare!$C$7="",0,(SUMIF(Flare!$B$46:$B$185,$J478,Flare!$E$46:$E$185)*Impacts!$F$16))</f>
        <v>0</v>
      </c>
      <c r="U478" s="10">
        <f>IF(VCU!$C$9="",0,(SUMIF(VCU!$B$51:$B$193,$J478,VCU!$E$51:$E$193)*Impacts!$F$17))</f>
        <v>0</v>
      </c>
      <c r="V478" s="10">
        <f>IF(CAS!$C$7="",0,(SUMIF(CAS!$B$31:$B$167,$J478,CAS!$E$31:$E$167)*Impacts!$F$18))</f>
        <v>0</v>
      </c>
      <c r="W478" s="10">
        <f t="shared" si="49"/>
        <v>0</v>
      </c>
      <c r="AK478" s="10" t="str">
        <f t="array" ref="AK478">IFERROR(INDEX(SelectedSpecies,SMALL(IF(SelectedSpecies=AK$1,ROW(SelectedSpecies)),ROW(479:479)),2),"")</f>
        <v/>
      </c>
      <c r="BE478" s="10"/>
      <c r="BI478" s="10"/>
    </row>
    <row r="479" spans="1:61" ht="21" customHeight="1" x14ac:dyDescent="0.25">
      <c r="A479" s="10"/>
      <c r="B479" s="10"/>
      <c r="E479" s="10"/>
      <c r="G479" s="10"/>
      <c r="I479" s="436" t="s">
        <v>5704</v>
      </c>
      <c r="J479" s="26" t="s">
        <v>5703</v>
      </c>
      <c r="K479" s="10">
        <v>1</v>
      </c>
      <c r="L479" s="73">
        <f>IF(Tank1!$C$23="No control",(SUMIF(Tank1!$B$32:$B$49,$J479,Tank1!$C$32:$C$49)*Impacts!$F$8),0)</f>
        <v>0</v>
      </c>
      <c r="M479" s="10">
        <f>IF(Tank2!$C$23="No control",(SUMIF(Tank2!$B$32:$B$49,$J479,Tank2!$C$32:$C$49)*Impacts!$F$9),0)</f>
        <v>0</v>
      </c>
      <c r="N479" s="10">
        <f>IF(Tank3!$C$23="No control",(SUMIF(Tank3!$B$32:$B$49,$J479,Tank3!$C$32:$C$49)*Impacts!$F$10),0)</f>
        <v>0</v>
      </c>
      <c r="O479" s="10">
        <f>IF(Tank4!$C$23="No control",(SUMIF(Tank4!$B$32:$B$49,$J479,Tank4!$C$32:$C$49)*Impacts!$F$11),0)</f>
        <v>0</v>
      </c>
      <c r="P479" s="10">
        <f>IF(Tank5!$C$23="No control",(SUMIF(Tank5!$B$32:$B$49,$J479,Tank5!$C$32:$C$49)*Impacts!$F$12),0)</f>
        <v>0</v>
      </c>
      <c r="Q479" s="10">
        <f>IFERROR(IF(('Loading-drum,tote'!$C$21)="No control",SUMIF(('Loading-drum,tote'!$B$31:$B$48),$J479,('Loading-drum,tote'!$D$31:$D$48))*Impacts!$F$13,IF(('Loading-drum,tote'!$C$21)&lt;&gt;"No control",SUMIF(('Loading-drum,tote'!$B$31:$B$48),$J479,('Loading-drum,tote'!$E$31:$E$48))*Impacts!$F$13,0)),0)</f>
        <v>0</v>
      </c>
      <c r="R479" s="10">
        <f>IFERROR(IF(('Loading-truck'!$C$21)="No control",SUMIF(('Loading-truck'!$B$31:$B$48),$J479,('Loading-truck'!$D$31:$D$48))*Impacts!$F$14,IF(('Loading-truck'!$C$21)&lt;&gt;"No control",SUMIF(('Loading-truck'!$B$31:$B$48),$J479,('Loading-truck'!$E$31:$E$48))*Impacts!$F$14,0)),0)</f>
        <v>0</v>
      </c>
      <c r="S479" s="10">
        <f>IFERROR(IF(('Loading-rail'!$C$21)="No control",SUMIF(('Loading-rail'!$B$31:$B$48),$J479,('Loading-rail'!$D$31:$D$48))*Impacts!$F$15,IF(('Loading-rail'!$C$21)&lt;&gt;"No control",SUMIF(('Loading-rail'!$B$31:$B$48),$J479,('Loading-rail'!$E$31:$E$48))*Impacts!$F$15,0)),0)</f>
        <v>0</v>
      </c>
      <c r="T479" s="10">
        <f>IF(Flare!$C$7="",0,(SUMIF(Flare!$B$46:$B$185,$J479,Flare!$E$46:$E$185)*Impacts!$F$16))</f>
        <v>0</v>
      </c>
      <c r="U479" s="10">
        <f>IF(VCU!$C$9="",0,(SUMIF(VCU!$B$51:$B$193,$J479,VCU!$E$51:$E$193)*Impacts!$F$17))</f>
        <v>0</v>
      </c>
      <c r="V479" s="10">
        <f>IF(CAS!$C$7="",0,(SUMIF(CAS!$B$31:$B$167,$J479,CAS!$E$31:$E$167)*Impacts!$F$18))</f>
        <v>0</v>
      </c>
      <c r="W479" s="10">
        <f t="shared" si="49"/>
        <v>0</v>
      </c>
      <c r="AK479" s="10" t="str">
        <f t="array" ref="AK479">IFERROR(INDEX(SelectedSpecies,SMALL(IF(SelectedSpecies=AK$1,ROW(SelectedSpecies)),ROW(480:480)),2),"")</f>
        <v/>
      </c>
      <c r="BE479" s="10"/>
      <c r="BI479" s="10"/>
    </row>
    <row r="480" spans="1:61" ht="21" customHeight="1" x14ac:dyDescent="0.25">
      <c r="A480" s="10"/>
      <c r="B480" s="10"/>
      <c r="E480" s="10"/>
      <c r="G480" s="10"/>
      <c r="I480" s="436" t="s">
        <v>1993</v>
      </c>
      <c r="J480" s="26" t="s">
        <v>1992</v>
      </c>
      <c r="K480" s="10">
        <v>17</v>
      </c>
      <c r="L480" s="73">
        <f>IF(Tank1!$C$23="No control",(SUMIF(Tank1!$B$32:$B$49,$J480,Tank1!$C$32:$C$49)*Impacts!$F$8),0)</f>
        <v>0</v>
      </c>
      <c r="M480" s="10">
        <f>IF(Tank2!$C$23="No control",(SUMIF(Tank2!$B$32:$B$49,$J480,Tank2!$C$32:$C$49)*Impacts!$F$9),0)</f>
        <v>0</v>
      </c>
      <c r="N480" s="10">
        <f>IF(Tank3!$C$23="No control",(SUMIF(Tank3!$B$32:$B$49,$J480,Tank3!$C$32:$C$49)*Impacts!$F$10),0)</f>
        <v>0</v>
      </c>
      <c r="O480" s="10">
        <f>IF(Tank4!$C$23="No control",(SUMIF(Tank4!$B$32:$B$49,$J480,Tank4!$C$32:$C$49)*Impacts!$F$11),0)</f>
        <v>0</v>
      </c>
      <c r="P480" s="10">
        <f>IF(Tank5!$C$23="No control",(SUMIF(Tank5!$B$32:$B$49,$J480,Tank5!$C$32:$C$49)*Impacts!$F$12),0)</f>
        <v>0</v>
      </c>
      <c r="Q480" s="10">
        <f>IFERROR(IF(('Loading-drum,tote'!$C$21)="No control",SUMIF(('Loading-drum,tote'!$B$31:$B$48),$J480,('Loading-drum,tote'!$D$31:$D$48))*Impacts!$F$13,IF(('Loading-drum,tote'!$C$21)&lt;&gt;"No control",SUMIF(('Loading-drum,tote'!$B$31:$B$48),$J480,('Loading-drum,tote'!$E$31:$E$48))*Impacts!$F$13,0)),0)</f>
        <v>0</v>
      </c>
      <c r="R480" s="10">
        <f>IFERROR(IF(('Loading-truck'!$C$21)="No control",SUMIF(('Loading-truck'!$B$31:$B$48),$J480,('Loading-truck'!$D$31:$D$48))*Impacts!$F$14,IF(('Loading-truck'!$C$21)&lt;&gt;"No control",SUMIF(('Loading-truck'!$B$31:$B$48),$J480,('Loading-truck'!$E$31:$E$48))*Impacts!$F$14,0)),0)</f>
        <v>0</v>
      </c>
      <c r="S480" s="10">
        <f>IFERROR(IF(('Loading-rail'!$C$21)="No control",SUMIF(('Loading-rail'!$B$31:$B$48),$J480,('Loading-rail'!$D$31:$D$48))*Impacts!$F$15,IF(('Loading-rail'!$C$21)&lt;&gt;"No control",SUMIF(('Loading-rail'!$B$31:$B$48),$J480,('Loading-rail'!$E$31:$E$48))*Impacts!$F$15,0)),0)</f>
        <v>0</v>
      </c>
      <c r="T480" s="10">
        <f>IF(Flare!$C$7="",0,(SUMIF(Flare!$B$46:$B$185,$J480,Flare!$E$46:$E$185)*Impacts!$F$16))</f>
        <v>0</v>
      </c>
      <c r="U480" s="10">
        <f>IF(VCU!$C$9="",0,(SUMIF(VCU!$B$51:$B$193,$J480,VCU!$E$51:$E$193)*Impacts!$F$17))</f>
        <v>0</v>
      </c>
      <c r="V480" s="10">
        <f>IF(CAS!$C$7="",0,(SUMIF(CAS!$B$31:$B$167,$J480,CAS!$E$31:$E$167)*Impacts!$F$18))</f>
        <v>0</v>
      </c>
      <c r="W480" s="10">
        <f t="shared" si="49"/>
        <v>0</v>
      </c>
      <c r="AK480" s="10" t="str">
        <f t="array" ref="AK480">IFERROR(INDEX(SelectedSpecies,SMALL(IF(SelectedSpecies=AK$1,ROW(SelectedSpecies)),ROW(481:481)),2),"")</f>
        <v/>
      </c>
      <c r="BE480" s="10"/>
      <c r="BI480" s="10"/>
    </row>
    <row r="481" spans="1:61" ht="21" customHeight="1" x14ac:dyDescent="0.25">
      <c r="A481" s="10"/>
      <c r="B481" s="10"/>
      <c r="E481" s="10"/>
      <c r="G481" s="10"/>
      <c r="I481" s="436" t="s">
        <v>2415</v>
      </c>
      <c r="J481" s="26" t="s">
        <v>2414</v>
      </c>
      <c r="K481" s="10">
        <v>10</v>
      </c>
      <c r="L481" s="73">
        <f>IF(Tank1!$C$23="No control",(SUMIF(Tank1!$B$32:$B$49,$J481,Tank1!$C$32:$C$49)*Impacts!$F$8),0)</f>
        <v>0</v>
      </c>
      <c r="M481" s="10">
        <f>IF(Tank2!$C$23="No control",(SUMIF(Tank2!$B$32:$B$49,$J481,Tank2!$C$32:$C$49)*Impacts!$F$9),0)</f>
        <v>0</v>
      </c>
      <c r="N481" s="10">
        <f>IF(Tank3!$C$23="No control",(SUMIF(Tank3!$B$32:$B$49,$J481,Tank3!$C$32:$C$49)*Impacts!$F$10),0)</f>
        <v>0</v>
      </c>
      <c r="O481" s="10">
        <f>IF(Tank4!$C$23="No control",(SUMIF(Tank4!$B$32:$B$49,$J481,Tank4!$C$32:$C$49)*Impacts!$F$11),0)</f>
        <v>0</v>
      </c>
      <c r="P481" s="10">
        <f>IF(Tank5!$C$23="No control",(SUMIF(Tank5!$B$32:$B$49,$J481,Tank5!$C$32:$C$49)*Impacts!$F$12),0)</f>
        <v>0</v>
      </c>
      <c r="Q481" s="10">
        <f>IFERROR(IF(('Loading-drum,tote'!$C$21)="No control",SUMIF(('Loading-drum,tote'!$B$31:$B$48),$J481,('Loading-drum,tote'!$D$31:$D$48))*Impacts!$F$13,IF(('Loading-drum,tote'!$C$21)&lt;&gt;"No control",SUMIF(('Loading-drum,tote'!$B$31:$B$48),$J481,('Loading-drum,tote'!$E$31:$E$48))*Impacts!$F$13,0)),0)</f>
        <v>0</v>
      </c>
      <c r="R481" s="10">
        <f>IFERROR(IF(('Loading-truck'!$C$21)="No control",SUMIF(('Loading-truck'!$B$31:$B$48),$J481,('Loading-truck'!$D$31:$D$48))*Impacts!$F$14,IF(('Loading-truck'!$C$21)&lt;&gt;"No control",SUMIF(('Loading-truck'!$B$31:$B$48),$J481,('Loading-truck'!$E$31:$E$48))*Impacts!$F$14,0)),0)</f>
        <v>0</v>
      </c>
      <c r="S481" s="10">
        <f>IFERROR(IF(('Loading-rail'!$C$21)="No control",SUMIF(('Loading-rail'!$B$31:$B$48),$J481,('Loading-rail'!$D$31:$D$48))*Impacts!$F$15,IF(('Loading-rail'!$C$21)&lt;&gt;"No control",SUMIF(('Loading-rail'!$B$31:$B$48),$J481,('Loading-rail'!$E$31:$E$48))*Impacts!$F$15,0)),0)</f>
        <v>0</v>
      </c>
      <c r="T481" s="10">
        <f>IF(Flare!$C$7="",0,(SUMIF(Flare!$B$46:$B$185,$J481,Flare!$E$46:$E$185)*Impacts!$F$16))</f>
        <v>0</v>
      </c>
      <c r="U481" s="10">
        <f>IF(VCU!$C$9="",0,(SUMIF(VCU!$B$51:$B$193,$J481,VCU!$E$51:$E$193)*Impacts!$F$17))</f>
        <v>0</v>
      </c>
      <c r="V481" s="10">
        <f>IF(CAS!$C$7="",0,(SUMIF(CAS!$B$31:$B$167,$J481,CAS!$E$31:$E$167)*Impacts!$F$18))</f>
        <v>0</v>
      </c>
      <c r="W481" s="10">
        <f t="shared" si="49"/>
        <v>0</v>
      </c>
      <c r="AK481" s="10" t="str">
        <f t="array" ref="AK481">IFERROR(INDEX(SelectedSpecies,SMALL(IF(SelectedSpecies=AK$1,ROW(SelectedSpecies)),ROW(482:482)),2),"")</f>
        <v/>
      </c>
      <c r="BE481" s="10"/>
      <c r="BI481" s="10"/>
    </row>
    <row r="482" spans="1:61" ht="21" customHeight="1" x14ac:dyDescent="0.25">
      <c r="A482" s="10"/>
      <c r="B482" s="10"/>
      <c r="E482" s="10"/>
      <c r="G482" s="10"/>
      <c r="I482" s="436" t="s">
        <v>8036</v>
      </c>
      <c r="J482" s="26" t="s">
        <v>8035</v>
      </c>
      <c r="K482" s="10">
        <v>2.0000000000000004E-2</v>
      </c>
      <c r="L482" s="73">
        <f>IF(Tank1!$C$23="No control",(SUMIF(Tank1!$B$32:$B$49,$J482,Tank1!$C$32:$C$49)*Impacts!$F$8),0)</f>
        <v>0</v>
      </c>
      <c r="M482" s="10">
        <f>IF(Tank2!$C$23="No control",(SUMIF(Tank2!$B$32:$B$49,$J482,Tank2!$C$32:$C$49)*Impacts!$F$9),0)</f>
        <v>0</v>
      </c>
      <c r="N482" s="10">
        <f>IF(Tank3!$C$23="No control",(SUMIF(Tank3!$B$32:$B$49,$J482,Tank3!$C$32:$C$49)*Impacts!$F$10),0)</f>
        <v>0</v>
      </c>
      <c r="O482" s="10">
        <f>IF(Tank4!$C$23="No control",(SUMIF(Tank4!$B$32:$B$49,$J482,Tank4!$C$32:$C$49)*Impacts!$F$11),0)</f>
        <v>0</v>
      </c>
      <c r="P482" s="10">
        <f>IF(Tank5!$C$23="No control",(SUMIF(Tank5!$B$32:$B$49,$J482,Tank5!$C$32:$C$49)*Impacts!$F$12),0)</f>
        <v>0</v>
      </c>
      <c r="Q482" s="10">
        <f>IFERROR(IF(('Loading-drum,tote'!$C$21)="No control",SUMIF(('Loading-drum,tote'!$B$31:$B$48),$J482,('Loading-drum,tote'!$D$31:$D$48))*Impacts!$F$13,IF(('Loading-drum,tote'!$C$21)&lt;&gt;"No control",SUMIF(('Loading-drum,tote'!$B$31:$B$48),$J482,('Loading-drum,tote'!$E$31:$E$48))*Impacts!$F$13,0)),0)</f>
        <v>0</v>
      </c>
      <c r="R482" s="10">
        <f>IFERROR(IF(('Loading-truck'!$C$21)="No control",SUMIF(('Loading-truck'!$B$31:$B$48),$J482,('Loading-truck'!$D$31:$D$48))*Impacts!$F$14,IF(('Loading-truck'!$C$21)&lt;&gt;"No control",SUMIF(('Loading-truck'!$B$31:$B$48),$J482,('Loading-truck'!$E$31:$E$48))*Impacts!$F$14,0)),0)</f>
        <v>0</v>
      </c>
      <c r="S482" s="10">
        <f>IFERROR(IF(('Loading-rail'!$C$21)="No control",SUMIF(('Loading-rail'!$B$31:$B$48),$J482,('Loading-rail'!$D$31:$D$48))*Impacts!$F$15,IF(('Loading-rail'!$C$21)&lt;&gt;"No control",SUMIF(('Loading-rail'!$B$31:$B$48),$J482,('Loading-rail'!$E$31:$E$48))*Impacts!$F$15,0)),0)</f>
        <v>0</v>
      </c>
      <c r="T482" s="10">
        <f>IF(Flare!$C$7="",0,(SUMIF(Flare!$B$46:$B$185,$J482,Flare!$E$46:$E$185)*Impacts!$F$16))</f>
        <v>0</v>
      </c>
      <c r="U482" s="10">
        <f>IF(VCU!$C$9="",0,(SUMIF(VCU!$B$51:$B$193,$J482,VCU!$E$51:$E$193)*Impacts!$F$17))</f>
        <v>0</v>
      </c>
      <c r="V482" s="10">
        <f>IF(CAS!$C$7="",0,(SUMIF(CAS!$B$31:$B$167,$J482,CAS!$E$31:$E$167)*Impacts!$F$18))</f>
        <v>0</v>
      </c>
      <c r="W482" s="10">
        <f t="shared" si="49"/>
        <v>0</v>
      </c>
      <c r="AK482" s="10" t="str">
        <f t="array" ref="AK482">IFERROR(INDEX(SelectedSpecies,SMALL(IF(SelectedSpecies=AK$1,ROW(SelectedSpecies)),ROW(483:483)),2),"")</f>
        <v/>
      </c>
      <c r="BE482" s="10"/>
      <c r="BI482" s="10"/>
    </row>
    <row r="483" spans="1:61" ht="21" customHeight="1" x14ac:dyDescent="0.25">
      <c r="A483" s="10"/>
      <c r="B483" s="10"/>
      <c r="E483" s="10"/>
      <c r="G483" s="10"/>
      <c r="I483" s="436" t="s">
        <v>7244</v>
      </c>
      <c r="J483" s="26" t="s">
        <v>7243</v>
      </c>
      <c r="K483" s="10">
        <v>0.30000000000000004</v>
      </c>
      <c r="L483" s="73">
        <f>IF(Tank1!$C$23="No control",(SUMIF(Tank1!$B$32:$B$49,$J483,Tank1!$C$32:$C$49)*Impacts!$F$8),0)</f>
        <v>0</v>
      </c>
      <c r="M483" s="10">
        <f>IF(Tank2!$C$23="No control",(SUMIF(Tank2!$B$32:$B$49,$J483,Tank2!$C$32:$C$49)*Impacts!$F$9),0)</f>
        <v>0</v>
      </c>
      <c r="N483" s="10">
        <f>IF(Tank3!$C$23="No control",(SUMIF(Tank3!$B$32:$B$49,$J483,Tank3!$C$32:$C$49)*Impacts!$F$10),0)</f>
        <v>0</v>
      </c>
      <c r="O483" s="10">
        <f>IF(Tank4!$C$23="No control",(SUMIF(Tank4!$B$32:$B$49,$J483,Tank4!$C$32:$C$49)*Impacts!$F$11),0)</f>
        <v>0</v>
      </c>
      <c r="P483" s="10">
        <f>IF(Tank5!$C$23="No control",(SUMIF(Tank5!$B$32:$B$49,$J483,Tank5!$C$32:$C$49)*Impacts!$F$12),0)</f>
        <v>0</v>
      </c>
      <c r="Q483" s="10">
        <f>IFERROR(IF(('Loading-drum,tote'!$C$21)="No control",SUMIF(('Loading-drum,tote'!$B$31:$B$48),$J483,('Loading-drum,tote'!$D$31:$D$48))*Impacts!$F$13,IF(('Loading-drum,tote'!$C$21)&lt;&gt;"No control",SUMIF(('Loading-drum,tote'!$B$31:$B$48),$J483,('Loading-drum,tote'!$E$31:$E$48))*Impacts!$F$13,0)),0)</f>
        <v>0</v>
      </c>
      <c r="R483" s="10">
        <f>IFERROR(IF(('Loading-truck'!$C$21)="No control",SUMIF(('Loading-truck'!$B$31:$B$48),$J483,('Loading-truck'!$D$31:$D$48))*Impacts!$F$14,IF(('Loading-truck'!$C$21)&lt;&gt;"No control",SUMIF(('Loading-truck'!$B$31:$B$48),$J483,('Loading-truck'!$E$31:$E$48))*Impacts!$F$14,0)),0)</f>
        <v>0</v>
      </c>
      <c r="S483" s="10">
        <f>IFERROR(IF(('Loading-rail'!$C$21)="No control",SUMIF(('Loading-rail'!$B$31:$B$48),$J483,('Loading-rail'!$D$31:$D$48))*Impacts!$F$15,IF(('Loading-rail'!$C$21)&lt;&gt;"No control",SUMIF(('Loading-rail'!$B$31:$B$48),$J483,('Loading-rail'!$E$31:$E$48))*Impacts!$F$15,0)),0)</f>
        <v>0</v>
      </c>
      <c r="T483" s="10">
        <f>IF(Flare!$C$7="",0,(SUMIF(Flare!$B$46:$B$185,$J483,Flare!$E$46:$E$185)*Impacts!$F$16))</f>
        <v>0</v>
      </c>
      <c r="U483" s="10">
        <f>IF(VCU!$C$9="",0,(SUMIF(VCU!$B$51:$B$193,$J483,VCU!$E$51:$E$193)*Impacts!$F$17))</f>
        <v>0</v>
      </c>
      <c r="V483" s="10">
        <f>IF(CAS!$C$7="",0,(SUMIF(CAS!$B$31:$B$167,$J483,CAS!$E$31:$E$167)*Impacts!$F$18))</f>
        <v>0</v>
      </c>
      <c r="W483" s="10">
        <f t="shared" si="49"/>
        <v>0</v>
      </c>
      <c r="AK483" s="10" t="str">
        <f t="array" ref="AK483">IFERROR(INDEX(SelectedSpecies,SMALL(IF(SelectedSpecies=AK$1,ROW(SelectedSpecies)),ROW(484:484)),2),"")</f>
        <v/>
      </c>
      <c r="BE483" s="10"/>
      <c r="BI483" s="10"/>
    </row>
    <row r="484" spans="1:61" ht="21" customHeight="1" x14ac:dyDescent="0.25">
      <c r="A484" s="10"/>
      <c r="B484" s="10"/>
      <c r="E484" s="10"/>
      <c r="G484" s="10"/>
      <c r="I484" s="436" t="s">
        <v>1907</v>
      </c>
      <c r="J484" s="26" t="s">
        <v>1906</v>
      </c>
      <c r="K484" s="10">
        <v>19</v>
      </c>
      <c r="L484" s="73">
        <f>IF(Tank1!$C$23="No control",(SUMIF(Tank1!$B$32:$B$49,$J484,Tank1!$C$32:$C$49)*Impacts!$F$8),0)</f>
        <v>0</v>
      </c>
      <c r="M484" s="10">
        <f>IF(Tank2!$C$23="No control",(SUMIF(Tank2!$B$32:$B$49,$J484,Tank2!$C$32:$C$49)*Impacts!$F$9),0)</f>
        <v>0</v>
      </c>
      <c r="N484" s="10">
        <f>IF(Tank3!$C$23="No control",(SUMIF(Tank3!$B$32:$B$49,$J484,Tank3!$C$32:$C$49)*Impacts!$F$10),0)</f>
        <v>0</v>
      </c>
      <c r="O484" s="10">
        <f>IF(Tank4!$C$23="No control",(SUMIF(Tank4!$B$32:$B$49,$J484,Tank4!$C$32:$C$49)*Impacts!$F$11),0)</f>
        <v>0</v>
      </c>
      <c r="P484" s="10">
        <f>IF(Tank5!$C$23="No control",(SUMIF(Tank5!$B$32:$B$49,$J484,Tank5!$C$32:$C$49)*Impacts!$F$12),0)</f>
        <v>0</v>
      </c>
      <c r="Q484" s="10">
        <f>IFERROR(IF(('Loading-drum,tote'!$C$21)="No control",SUMIF(('Loading-drum,tote'!$B$31:$B$48),$J484,('Loading-drum,tote'!$D$31:$D$48))*Impacts!$F$13,IF(('Loading-drum,tote'!$C$21)&lt;&gt;"No control",SUMIF(('Loading-drum,tote'!$B$31:$B$48),$J484,('Loading-drum,tote'!$E$31:$E$48))*Impacts!$F$13,0)),0)</f>
        <v>0</v>
      </c>
      <c r="R484" s="10">
        <f>IFERROR(IF(('Loading-truck'!$C$21)="No control",SUMIF(('Loading-truck'!$B$31:$B$48),$J484,('Loading-truck'!$D$31:$D$48))*Impacts!$F$14,IF(('Loading-truck'!$C$21)&lt;&gt;"No control",SUMIF(('Loading-truck'!$B$31:$B$48),$J484,('Loading-truck'!$E$31:$E$48))*Impacts!$F$14,0)),0)</f>
        <v>0</v>
      </c>
      <c r="S484" s="10">
        <f>IFERROR(IF(('Loading-rail'!$C$21)="No control",SUMIF(('Loading-rail'!$B$31:$B$48),$J484,('Loading-rail'!$D$31:$D$48))*Impacts!$F$15,IF(('Loading-rail'!$C$21)&lt;&gt;"No control",SUMIF(('Loading-rail'!$B$31:$B$48),$J484,('Loading-rail'!$E$31:$E$48))*Impacts!$F$15,0)),0)</f>
        <v>0</v>
      </c>
      <c r="T484" s="10">
        <f>IF(Flare!$C$7="",0,(SUMIF(Flare!$B$46:$B$185,$J484,Flare!$E$46:$E$185)*Impacts!$F$16))</f>
        <v>0</v>
      </c>
      <c r="U484" s="10">
        <f>IF(VCU!$C$9="",0,(SUMIF(VCU!$B$51:$B$193,$J484,VCU!$E$51:$E$193)*Impacts!$F$17))</f>
        <v>0</v>
      </c>
      <c r="V484" s="10">
        <f>IF(CAS!$C$7="",0,(SUMIF(CAS!$B$31:$B$167,$J484,CAS!$E$31:$E$167)*Impacts!$F$18))</f>
        <v>0</v>
      </c>
      <c r="W484" s="10">
        <f t="shared" si="49"/>
        <v>0</v>
      </c>
      <c r="AK484" s="10" t="str">
        <f t="array" ref="AK484">IFERROR(INDEX(SelectedSpecies,SMALL(IF(SelectedSpecies=AK$1,ROW(SelectedSpecies)),ROW(485:485)),2),"")</f>
        <v/>
      </c>
      <c r="BE484" s="10"/>
      <c r="BI484" s="10"/>
    </row>
    <row r="485" spans="1:61" ht="21" customHeight="1" x14ac:dyDescent="0.25">
      <c r="A485" s="10"/>
      <c r="B485" s="10"/>
      <c r="E485" s="10"/>
      <c r="G485" s="10"/>
      <c r="I485" s="436" t="s">
        <v>2071</v>
      </c>
      <c r="J485" s="26" t="s">
        <v>2070</v>
      </c>
      <c r="K485" s="10">
        <v>15</v>
      </c>
      <c r="L485" s="73">
        <f>IF(Tank1!$C$23="No control",(SUMIF(Tank1!$B$32:$B$49,$J485,Tank1!$C$32:$C$49)*Impacts!$F$8),0)</f>
        <v>0</v>
      </c>
      <c r="M485" s="10">
        <f>IF(Tank2!$C$23="No control",(SUMIF(Tank2!$B$32:$B$49,$J485,Tank2!$C$32:$C$49)*Impacts!$F$9),0)</f>
        <v>0</v>
      </c>
      <c r="N485" s="10">
        <f>IF(Tank3!$C$23="No control",(SUMIF(Tank3!$B$32:$B$49,$J485,Tank3!$C$32:$C$49)*Impacts!$F$10),0)</f>
        <v>0</v>
      </c>
      <c r="O485" s="10">
        <f>IF(Tank4!$C$23="No control",(SUMIF(Tank4!$B$32:$B$49,$J485,Tank4!$C$32:$C$49)*Impacts!$F$11),0)</f>
        <v>0</v>
      </c>
      <c r="P485" s="10">
        <f>IF(Tank5!$C$23="No control",(SUMIF(Tank5!$B$32:$B$49,$J485,Tank5!$C$32:$C$49)*Impacts!$F$12),0)</f>
        <v>0</v>
      </c>
      <c r="Q485" s="10">
        <f>IFERROR(IF(('Loading-drum,tote'!$C$21)="No control",SUMIF(('Loading-drum,tote'!$B$31:$B$48),$J485,('Loading-drum,tote'!$D$31:$D$48))*Impacts!$F$13,IF(('Loading-drum,tote'!$C$21)&lt;&gt;"No control",SUMIF(('Loading-drum,tote'!$B$31:$B$48),$J485,('Loading-drum,tote'!$E$31:$E$48))*Impacts!$F$13,0)),0)</f>
        <v>0</v>
      </c>
      <c r="R485" s="10">
        <f>IFERROR(IF(('Loading-truck'!$C$21)="No control",SUMIF(('Loading-truck'!$B$31:$B$48),$J485,('Loading-truck'!$D$31:$D$48))*Impacts!$F$14,IF(('Loading-truck'!$C$21)&lt;&gt;"No control",SUMIF(('Loading-truck'!$B$31:$B$48),$J485,('Loading-truck'!$E$31:$E$48))*Impacts!$F$14,0)),0)</f>
        <v>0</v>
      </c>
      <c r="S485" s="10">
        <f>IFERROR(IF(('Loading-rail'!$C$21)="No control",SUMIF(('Loading-rail'!$B$31:$B$48),$J485,('Loading-rail'!$D$31:$D$48))*Impacts!$F$15,IF(('Loading-rail'!$C$21)&lt;&gt;"No control",SUMIF(('Loading-rail'!$B$31:$B$48),$J485,('Loading-rail'!$E$31:$E$48))*Impacts!$F$15,0)),0)</f>
        <v>0</v>
      </c>
      <c r="T485" s="10">
        <f>IF(Flare!$C$7="",0,(SUMIF(Flare!$B$46:$B$185,$J485,Flare!$E$46:$E$185)*Impacts!$F$16))</f>
        <v>0</v>
      </c>
      <c r="U485" s="10">
        <f>IF(VCU!$C$9="",0,(SUMIF(VCU!$B$51:$B$193,$J485,VCU!$E$51:$E$193)*Impacts!$F$17))</f>
        <v>0</v>
      </c>
      <c r="V485" s="10">
        <f>IF(CAS!$C$7="",0,(SUMIF(CAS!$B$31:$B$167,$J485,CAS!$E$31:$E$167)*Impacts!$F$18))</f>
        <v>0</v>
      </c>
      <c r="W485" s="10">
        <f t="shared" si="49"/>
        <v>0</v>
      </c>
      <c r="AK485" s="10" t="str">
        <f t="array" ref="AK485">IFERROR(INDEX(SelectedSpecies,SMALL(IF(SelectedSpecies=AK$1,ROW(SelectedSpecies)),ROW(486:486)),2),"")</f>
        <v/>
      </c>
      <c r="BE485" s="10"/>
      <c r="BI485" s="10"/>
    </row>
    <row r="486" spans="1:61" ht="21" customHeight="1" x14ac:dyDescent="0.25">
      <c r="A486" s="10"/>
      <c r="B486" s="10"/>
      <c r="E486" s="10"/>
      <c r="G486" s="10"/>
      <c r="I486" s="436" t="s">
        <v>6730</v>
      </c>
      <c r="J486" s="26" t="s">
        <v>6729</v>
      </c>
      <c r="K486" s="10">
        <v>0.5</v>
      </c>
      <c r="L486" s="73">
        <f>IF(Tank1!$C$23="No control",(SUMIF(Tank1!$B$32:$B$49,$J486,Tank1!$C$32:$C$49)*Impacts!$F$8),0)</f>
        <v>0</v>
      </c>
      <c r="M486" s="10">
        <f>IF(Tank2!$C$23="No control",(SUMIF(Tank2!$B$32:$B$49,$J486,Tank2!$C$32:$C$49)*Impacts!$F$9),0)</f>
        <v>0</v>
      </c>
      <c r="N486" s="10">
        <f>IF(Tank3!$C$23="No control",(SUMIF(Tank3!$B$32:$B$49,$J486,Tank3!$C$32:$C$49)*Impacts!$F$10),0)</f>
        <v>0</v>
      </c>
      <c r="O486" s="10">
        <f>IF(Tank4!$C$23="No control",(SUMIF(Tank4!$B$32:$B$49,$J486,Tank4!$C$32:$C$49)*Impacts!$F$11),0)</f>
        <v>0</v>
      </c>
      <c r="P486" s="10">
        <f>IF(Tank5!$C$23="No control",(SUMIF(Tank5!$B$32:$B$49,$J486,Tank5!$C$32:$C$49)*Impacts!$F$12),0)</f>
        <v>0</v>
      </c>
      <c r="Q486" s="10">
        <f>IFERROR(IF(('Loading-drum,tote'!$C$21)="No control",SUMIF(('Loading-drum,tote'!$B$31:$B$48),$J486,('Loading-drum,tote'!$D$31:$D$48))*Impacts!$F$13,IF(('Loading-drum,tote'!$C$21)&lt;&gt;"No control",SUMIF(('Loading-drum,tote'!$B$31:$B$48),$J486,('Loading-drum,tote'!$E$31:$E$48))*Impacts!$F$13,0)),0)</f>
        <v>0</v>
      </c>
      <c r="R486" s="10">
        <f>IFERROR(IF(('Loading-truck'!$C$21)="No control",SUMIF(('Loading-truck'!$B$31:$B$48),$J486,('Loading-truck'!$D$31:$D$48))*Impacts!$F$14,IF(('Loading-truck'!$C$21)&lt;&gt;"No control",SUMIF(('Loading-truck'!$B$31:$B$48),$J486,('Loading-truck'!$E$31:$E$48))*Impacts!$F$14,0)),0)</f>
        <v>0</v>
      </c>
      <c r="S486" s="10">
        <f>IFERROR(IF(('Loading-rail'!$C$21)="No control",SUMIF(('Loading-rail'!$B$31:$B$48),$J486,('Loading-rail'!$D$31:$D$48))*Impacts!$F$15,IF(('Loading-rail'!$C$21)&lt;&gt;"No control",SUMIF(('Loading-rail'!$B$31:$B$48),$J486,('Loading-rail'!$E$31:$E$48))*Impacts!$F$15,0)),0)</f>
        <v>0</v>
      </c>
      <c r="T486" s="10">
        <f>IF(Flare!$C$7="",0,(SUMIF(Flare!$B$46:$B$185,$J486,Flare!$E$46:$E$185)*Impacts!$F$16))</f>
        <v>0</v>
      </c>
      <c r="U486" s="10">
        <f>IF(VCU!$C$9="",0,(SUMIF(VCU!$B$51:$B$193,$J486,VCU!$E$51:$E$193)*Impacts!$F$17))</f>
        <v>0</v>
      </c>
      <c r="V486" s="10">
        <f>IF(CAS!$C$7="",0,(SUMIF(CAS!$B$31:$B$167,$J486,CAS!$E$31:$E$167)*Impacts!$F$18))</f>
        <v>0</v>
      </c>
      <c r="W486" s="10">
        <f t="shared" si="49"/>
        <v>0</v>
      </c>
      <c r="AK486" s="10" t="str">
        <f t="array" ref="AK486">IFERROR(INDEX(SelectedSpecies,SMALL(IF(SelectedSpecies=AK$1,ROW(SelectedSpecies)),ROW(487:487)),2),"")</f>
        <v/>
      </c>
      <c r="BE486" s="10"/>
      <c r="BI486" s="10"/>
    </row>
    <row r="487" spans="1:61" ht="21" customHeight="1" x14ac:dyDescent="0.25">
      <c r="A487" s="10"/>
      <c r="B487" s="10"/>
      <c r="E487" s="10"/>
      <c r="G487" s="10"/>
      <c r="I487" s="436" t="s">
        <v>8118</v>
      </c>
      <c r="J487" s="26" t="s">
        <v>8117</v>
      </c>
      <c r="K487" s="10">
        <v>1.0000000000000002E-2</v>
      </c>
      <c r="L487" s="73">
        <f>IF(Tank1!$C$23="No control",(SUMIF(Tank1!$B$32:$B$49,$J487,Tank1!$C$32:$C$49)*Impacts!$F$8),0)</f>
        <v>0</v>
      </c>
      <c r="M487" s="10">
        <f>IF(Tank2!$C$23="No control",(SUMIF(Tank2!$B$32:$B$49,$J487,Tank2!$C$32:$C$49)*Impacts!$F$9),0)</f>
        <v>0</v>
      </c>
      <c r="N487" s="10">
        <f>IF(Tank3!$C$23="No control",(SUMIF(Tank3!$B$32:$B$49,$J487,Tank3!$C$32:$C$49)*Impacts!$F$10),0)</f>
        <v>0</v>
      </c>
      <c r="O487" s="10">
        <f>IF(Tank4!$C$23="No control",(SUMIF(Tank4!$B$32:$B$49,$J487,Tank4!$C$32:$C$49)*Impacts!$F$11),0)</f>
        <v>0</v>
      </c>
      <c r="P487" s="10">
        <f>IF(Tank5!$C$23="No control",(SUMIF(Tank5!$B$32:$B$49,$J487,Tank5!$C$32:$C$49)*Impacts!$F$12),0)</f>
        <v>0</v>
      </c>
      <c r="Q487" s="10">
        <f>IFERROR(IF(('Loading-drum,tote'!$C$21)="No control",SUMIF(('Loading-drum,tote'!$B$31:$B$48),$J487,('Loading-drum,tote'!$D$31:$D$48))*Impacts!$F$13,IF(('Loading-drum,tote'!$C$21)&lt;&gt;"No control",SUMIF(('Loading-drum,tote'!$B$31:$B$48),$J487,('Loading-drum,tote'!$E$31:$E$48))*Impacts!$F$13,0)),0)</f>
        <v>0</v>
      </c>
      <c r="R487" s="10">
        <f>IFERROR(IF(('Loading-truck'!$C$21)="No control",SUMIF(('Loading-truck'!$B$31:$B$48),$J487,('Loading-truck'!$D$31:$D$48))*Impacts!$F$14,IF(('Loading-truck'!$C$21)&lt;&gt;"No control",SUMIF(('Loading-truck'!$B$31:$B$48),$J487,('Loading-truck'!$E$31:$E$48))*Impacts!$F$14,0)),0)</f>
        <v>0</v>
      </c>
      <c r="S487" s="10">
        <f>IFERROR(IF(('Loading-rail'!$C$21)="No control",SUMIF(('Loading-rail'!$B$31:$B$48),$J487,('Loading-rail'!$D$31:$D$48))*Impacts!$F$15,IF(('Loading-rail'!$C$21)&lt;&gt;"No control",SUMIF(('Loading-rail'!$B$31:$B$48),$J487,('Loading-rail'!$E$31:$E$48))*Impacts!$F$15,0)),0)</f>
        <v>0</v>
      </c>
      <c r="T487" s="10">
        <f>IF(Flare!$C$7="",0,(SUMIF(Flare!$B$46:$B$185,$J487,Flare!$E$46:$E$185)*Impacts!$F$16))</f>
        <v>0</v>
      </c>
      <c r="U487" s="10">
        <f>IF(VCU!$C$9="",0,(SUMIF(VCU!$B$51:$B$193,$J487,VCU!$E$51:$E$193)*Impacts!$F$17))</f>
        <v>0</v>
      </c>
      <c r="V487" s="10">
        <f>IF(CAS!$C$7="",0,(SUMIF(CAS!$B$31:$B$167,$J487,CAS!$E$31:$E$167)*Impacts!$F$18))</f>
        <v>0</v>
      </c>
      <c r="W487" s="10">
        <f t="shared" si="49"/>
        <v>0</v>
      </c>
      <c r="AK487" s="10" t="str">
        <f t="array" ref="AK487">IFERROR(INDEX(SelectedSpecies,SMALL(IF(SelectedSpecies=AK$1,ROW(SelectedSpecies)),ROW(488:488)),2),"")</f>
        <v/>
      </c>
      <c r="BE487" s="10"/>
      <c r="BI487" s="10"/>
    </row>
    <row r="488" spans="1:61" ht="21" customHeight="1" x14ac:dyDescent="0.25">
      <c r="A488" s="10"/>
      <c r="B488" s="10"/>
      <c r="E488" s="10"/>
      <c r="G488" s="10"/>
      <c r="I488" s="436" t="s">
        <v>6732</v>
      </c>
      <c r="J488" s="26" t="s">
        <v>6731</v>
      </c>
      <c r="K488" s="10">
        <v>0.5</v>
      </c>
      <c r="L488" s="73">
        <f>IF(Tank1!$C$23="No control",(SUMIF(Tank1!$B$32:$B$49,$J488,Tank1!$C$32:$C$49)*Impacts!$F$8),0)</f>
        <v>0</v>
      </c>
      <c r="M488" s="10">
        <f>IF(Tank2!$C$23="No control",(SUMIF(Tank2!$B$32:$B$49,$J488,Tank2!$C$32:$C$49)*Impacts!$F$9),0)</f>
        <v>0</v>
      </c>
      <c r="N488" s="10">
        <f>IF(Tank3!$C$23="No control",(SUMIF(Tank3!$B$32:$B$49,$J488,Tank3!$C$32:$C$49)*Impacts!$F$10),0)</f>
        <v>0</v>
      </c>
      <c r="O488" s="10">
        <f>IF(Tank4!$C$23="No control",(SUMIF(Tank4!$B$32:$B$49,$J488,Tank4!$C$32:$C$49)*Impacts!$F$11),0)</f>
        <v>0</v>
      </c>
      <c r="P488" s="10">
        <f>IF(Tank5!$C$23="No control",(SUMIF(Tank5!$B$32:$B$49,$J488,Tank5!$C$32:$C$49)*Impacts!$F$12),0)</f>
        <v>0</v>
      </c>
      <c r="Q488" s="10">
        <f>IFERROR(IF(('Loading-drum,tote'!$C$21)="No control",SUMIF(('Loading-drum,tote'!$B$31:$B$48),$J488,('Loading-drum,tote'!$D$31:$D$48))*Impacts!$F$13,IF(('Loading-drum,tote'!$C$21)&lt;&gt;"No control",SUMIF(('Loading-drum,tote'!$B$31:$B$48),$J488,('Loading-drum,tote'!$E$31:$E$48))*Impacts!$F$13,0)),0)</f>
        <v>0</v>
      </c>
      <c r="R488" s="10">
        <f>IFERROR(IF(('Loading-truck'!$C$21)="No control",SUMIF(('Loading-truck'!$B$31:$B$48),$J488,('Loading-truck'!$D$31:$D$48))*Impacts!$F$14,IF(('Loading-truck'!$C$21)&lt;&gt;"No control",SUMIF(('Loading-truck'!$B$31:$B$48),$J488,('Loading-truck'!$E$31:$E$48))*Impacts!$F$14,0)),0)</f>
        <v>0</v>
      </c>
      <c r="S488" s="10">
        <f>IFERROR(IF(('Loading-rail'!$C$21)="No control",SUMIF(('Loading-rail'!$B$31:$B$48),$J488,('Loading-rail'!$D$31:$D$48))*Impacts!$F$15,IF(('Loading-rail'!$C$21)&lt;&gt;"No control",SUMIF(('Loading-rail'!$B$31:$B$48),$J488,('Loading-rail'!$E$31:$E$48))*Impacts!$F$15,0)),0)</f>
        <v>0</v>
      </c>
      <c r="T488" s="10">
        <f>IF(Flare!$C$7="",0,(SUMIF(Flare!$B$46:$B$185,$J488,Flare!$E$46:$E$185)*Impacts!$F$16))</f>
        <v>0</v>
      </c>
      <c r="U488" s="10">
        <f>IF(VCU!$C$9="",0,(SUMIF(VCU!$B$51:$B$193,$J488,VCU!$E$51:$E$193)*Impacts!$F$17))</f>
        <v>0</v>
      </c>
      <c r="V488" s="10">
        <f>IF(CAS!$C$7="",0,(SUMIF(CAS!$B$31:$B$167,$J488,CAS!$E$31:$E$167)*Impacts!$F$18))</f>
        <v>0</v>
      </c>
      <c r="W488" s="10">
        <f t="shared" si="49"/>
        <v>0</v>
      </c>
      <c r="AK488" s="10" t="str">
        <f t="array" ref="AK488">IFERROR(INDEX(SelectedSpecies,SMALL(IF(SelectedSpecies=AK$1,ROW(SelectedSpecies)),ROW(489:489)),2),"")</f>
        <v/>
      </c>
      <c r="BE488" s="10"/>
      <c r="BI488" s="10"/>
    </row>
    <row r="489" spans="1:61" ht="21" customHeight="1" x14ac:dyDescent="0.25">
      <c r="A489" s="10"/>
      <c r="B489" s="10"/>
      <c r="E489" s="10"/>
      <c r="G489" s="10"/>
      <c r="I489" s="436" t="s">
        <v>6734</v>
      </c>
      <c r="J489" s="26" t="s">
        <v>6733</v>
      </c>
      <c r="K489" s="10">
        <v>0.5</v>
      </c>
      <c r="L489" s="73">
        <f>IF(Tank1!$C$23="No control",(SUMIF(Tank1!$B$32:$B$49,$J489,Tank1!$C$32:$C$49)*Impacts!$F$8),0)</f>
        <v>0</v>
      </c>
      <c r="M489" s="10">
        <f>IF(Tank2!$C$23="No control",(SUMIF(Tank2!$B$32:$B$49,$J489,Tank2!$C$32:$C$49)*Impacts!$F$9),0)</f>
        <v>0</v>
      </c>
      <c r="N489" s="10">
        <f>IF(Tank3!$C$23="No control",(SUMIF(Tank3!$B$32:$B$49,$J489,Tank3!$C$32:$C$49)*Impacts!$F$10),0)</f>
        <v>0</v>
      </c>
      <c r="O489" s="10">
        <f>IF(Tank4!$C$23="No control",(SUMIF(Tank4!$B$32:$B$49,$J489,Tank4!$C$32:$C$49)*Impacts!$F$11),0)</f>
        <v>0</v>
      </c>
      <c r="P489" s="10">
        <f>IF(Tank5!$C$23="No control",(SUMIF(Tank5!$B$32:$B$49,$J489,Tank5!$C$32:$C$49)*Impacts!$F$12),0)</f>
        <v>0</v>
      </c>
      <c r="Q489" s="10">
        <f>IFERROR(IF(('Loading-drum,tote'!$C$21)="No control",SUMIF(('Loading-drum,tote'!$B$31:$B$48),$J489,('Loading-drum,tote'!$D$31:$D$48))*Impacts!$F$13,IF(('Loading-drum,tote'!$C$21)&lt;&gt;"No control",SUMIF(('Loading-drum,tote'!$B$31:$B$48),$J489,('Loading-drum,tote'!$E$31:$E$48))*Impacts!$F$13,0)),0)</f>
        <v>0</v>
      </c>
      <c r="R489" s="10">
        <f>IFERROR(IF(('Loading-truck'!$C$21)="No control",SUMIF(('Loading-truck'!$B$31:$B$48),$J489,('Loading-truck'!$D$31:$D$48))*Impacts!$F$14,IF(('Loading-truck'!$C$21)&lt;&gt;"No control",SUMIF(('Loading-truck'!$B$31:$B$48),$J489,('Loading-truck'!$E$31:$E$48))*Impacts!$F$14,0)),0)</f>
        <v>0</v>
      </c>
      <c r="S489" s="10">
        <f>IFERROR(IF(('Loading-rail'!$C$21)="No control",SUMIF(('Loading-rail'!$B$31:$B$48),$J489,('Loading-rail'!$D$31:$D$48))*Impacts!$F$15,IF(('Loading-rail'!$C$21)&lt;&gt;"No control",SUMIF(('Loading-rail'!$B$31:$B$48),$J489,('Loading-rail'!$E$31:$E$48))*Impacts!$F$15,0)),0)</f>
        <v>0</v>
      </c>
      <c r="T489" s="10">
        <f>IF(Flare!$C$7="",0,(SUMIF(Flare!$B$46:$B$185,$J489,Flare!$E$46:$E$185)*Impacts!$F$16))</f>
        <v>0</v>
      </c>
      <c r="U489" s="10">
        <f>IF(VCU!$C$9="",0,(SUMIF(VCU!$B$51:$B$193,$J489,VCU!$E$51:$E$193)*Impacts!$F$17))</f>
        <v>0</v>
      </c>
      <c r="V489" s="10">
        <f>IF(CAS!$C$7="",0,(SUMIF(CAS!$B$31:$B$167,$J489,CAS!$E$31:$E$167)*Impacts!$F$18))</f>
        <v>0</v>
      </c>
      <c r="W489" s="10">
        <f t="shared" si="49"/>
        <v>0</v>
      </c>
      <c r="AK489" s="10" t="str">
        <f t="array" ref="AK489">IFERROR(INDEX(SelectedSpecies,SMALL(IF(SelectedSpecies=AK$1,ROW(SelectedSpecies)),ROW(490:490)),2),"")</f>
        <v/>
      </c>
      <c r="BE489" s="10"/>
      <c r="BI489" s="10"/>
    </row>
    <row r="490" spans="1:61" ht="21" customHeight="1" x14ac:dyDescent="0.25">
      <c r="A490" s="10"/>
      <c r="B490" s="10"/>
      <c r="E490" s="10"/>
      <c r="G490" s="10"/>
      <c r="I490" s="436" t="s">
        <v>6736</v>
      </c>
      <c r="J490" s="26" t="s">
        <v>6735</v>
      </c>
      <c r="K490" s="10">
        <v>0.5</v>
      </c>
      <c r="L490" s="73">
        <f>IF(Tank1!$C$23="No control",(SUMIF(Tank1!$B$32:$B$49,$J490,Tank1!$C$32:$C$49)*Impacts!$F$8),0)</f>
        <v>0</v>
      </c>
      <c r="M490" s="10">
        <f>IF(Tank2!$C$23="No control",(SUMIF(Tank2!$B$32:$B$49,$J490,Tank2!$C$32:$C$49)*Impacts!$F$9),0)</f>
        <v>0</v>
      </c>
      <c r="N490" s="10">
        <f>IF(Tank3!$C$23="No control",(SUMIF(Tank3!$B$32:$B$49,$J490,Tank3!$C$32:$C$49)*Impacts!$F$10),0)</f>
        <v>0</v>
      </c>
      <c r="O490" s="10">
        <f>IF(Tank4!$C$23="No control",(SUMIF(Tank4!$B$32:$B$49,$J490,Tank4!$C$32:$C$49)*Impacts!$F$11),0)</f>
        <v>0</v>
      </c>
      <c r="P490" s="10">
        <f>IF(Tank5!$C$23="No control",(SUMIF(Tank5!$B$32:$B$49,$J490,Tank5!$C$32:$C$49)*Impacts!$F$12),0)</f>
        <v>0</v>
      </c>
      <c r="Q490" s="10">
        <f>IFERROR(IF(('Loading-drum,tote'!$C$21)="No control",SUMIF(('Loading-drum,tote'!$B$31:$B$48),$J490,('Loading-drum,tote'!$D$31:$D$48))*Impacts!$F$13,IF(('Loading-drum,tote'!$C$21)&lt;&gt;"No control",SUMIF(('Loading-drum,tote'!$B$31:$B$48),$J490,('Loading-drum,tote'!$E$31:$E$48))*Impacts!$F$13,0)),0)</f>
        <v>0</v>
      </c>
      <c r="R490" s="10">
        <f>IFERROR(IF(('Loading-truck'!$C$21)="No control",SUMIF(('Loading-truck'!$B$31:$B$48),$J490,('Loading-truck'!$D$31:$D$48))*Impacts!$F$14,IF(('Loading-truck'!$C$21)&lt;&gt;"No control",SUMIF(('Loading-truck'!$B$31:$B$48),$J490,('Loading-truck'!$E$31:$E$48))*Impacts!$F$14,0)),0)</f>
        <v>0</v>
      </c>
      <c r="S490" s="10">
        <f>IFERROR(IF(('Loading-rail'!$C$21)="No control",SUMIF(('Loading-rail'!$B$31:$B$48),$J490,('Loading-rail'!$D$31:$D$48))*Impacts!$F$15,IF(('Loading-rail'!$C$21)&lt;&gt;"No control",SUMIF(('Loading-rail'!$B$31:$B$48),$J490,('Loading-rail'!$E$31:$E$48))*Impacts!$F$15,0)),0)</f>
        <v>0</v>
      </c>
      <c r="T490" s="10">
        <f>IF(Flare!$C$7="",0,(SUMIF(Flare!$B$46:$B$185,$J490,Flare!$E$46:$E$185)*Impacts!$F$16))</f>
        <v>0</v>
      </c>
      <c r="U490" s="10">
        <f>IF(VCU!$C$9="",0,(SUMIF(VCU!$B$51:$B$193,$J490,VCU!$E$51:$E$193)*Impacts!$F$17))</f>
        <v>0</v>
      </c>
      <c r="V490" s="10">
        <f>IF(CAS!$C$7="",0,(SUMIF(CAS!$B$31:$B$167,$J490,CAS!$E$31:$E$167)*Impacts!$F$18))</f>
        <v>0</v>
      </c>
      <c r="W490" s="10">
        <f t="shared" si="49"/>
        <v>0</v>
      </c>
      <c r="AK490" s="10" t="str">
        <f t="array" ref="AK490">IFERROR(INDEX(SelectedSpecies,SMALL(IF(SelectedSpecies=AK$1,ROW(SelectedSpecies)),ROW(491:491)),2),"")</f>
        <v/>
      </c>
      <c r="BE490" s="10"/>
      <c r="BI490" s="10"/>
    </row>
    <row r="491" spans="1:61" ht="21" customHeight="1" x14ac:dyDescent="0.25">
      <c r="A491" s="10"/>
      <c r="B491" s="10"/>
      <c r="E491" s="10"/>
      <c r="G491" s="10"/>
      <c r="I491" s="436" t="s">
        <v>7048</v>
      </c>
      <c r="J491" s="26" t="s">
        <v>7047</v>
      </c>
      <c r="K491" s="10">
        <v>0.42000000000000004</v>
      </c>
      <c r="L491" s="73">
        <f>IF(Tank1!$C$23="No control",(SUMIF(Tank1!$B$32:$B$49,$J491,Tank1!$C$32:$C$49)*Impacts!$F$8),0)</f>
        <v>0</v>
      </c>
      <c r="M491" s="10">
        <f>IF(Tank2!$C$23="No control",(SUMIF(Tank2!$B$32:$B$49,$J491,Tank2!$C$32:$C$49)*Impacts!$F$9),0)</f>
        <v>0</v>
      </c>
      <c r="N491" s="10">
        <f>IF(Tank3!$C$23="No control",(SUMIF(Tank3!$B$32:$B$49,$J491,Tank3!$C$32:$C$49)*Impacts!$F$10),0)</f>
        <v>0</v>
      </c>
      <c r="O491" s="10">
        <f>IF(Tank4!$C$23="No control",(SUMIF(Tank4!$B$32:$B$49,$J491,Tank4!$C$32:$C$49)*Impacts!$F$11),0)</f>
        <v>0</v>
      </c>
      <c r="P491" s="10">
        <f>IF(Tank5!$C$23="No control",(SUMIF(Tank5!$B$32:$B$49,$J491,Tank5!$C$32:$C$49)*Impacts!$F$12),0)</f>
        <v>0</v>
      </c>
      <c r="Q491" s="10">
        <f>IFERROR(IF(('Loading-drum,tote'!$C$21)="No control",SUMIF(('Loading-drum,tote'!$B$31:$B$48),$J491,('Loading-drum,tote'!$D$31:$D$48))*Impacts!$F$13,IF(('Loading-drum,tote'!$C$21)&lt;&gt;"No control",SUMIF(('Loading-drum,tote'!$B$31:$B$48),$J491,('Loading-drum,tote'!$E$31:$E$48))*Impacts!$F$13,0)),0)</f>
        <v>0</v>
      </c>
      <c r="R491" s="10">
        <f>IFERROR(IF(('Loading-truck'!$C$21)="No control",SUMIF(('Loading-truck'!$B$31:$B$48),$J491,('Loading-truck'!$D$31:$D$48))*Impacts!$F$14,IF(('Loading-truck'!$C$21)&lt;&gt;"No control",SUMIF(('Loading-truck'!$B$31:$B$48),$J491,('Loading-truck'!$E$31:$E$48))*Impacts!$F$14,0)),0)</f>
        <v>0</v>
      </c>
      <c r="S491" s="10">
        <f>IFERROR(IF(('Loading-rail'!$C$21)="No control",SUMIF(('Loading-rail'!$B$31:$B$48),$J491,('Loading-rail'!$D$31:$D$48))*Impacts!$F$15,IF(('Loading-rail'!$C$21)&lt;&gt;"No control",SUMIF(('Loading-rail'!$B$31:$B$48),$J491,('Loading-rail'!$E$31:$E$48))*Impacts!$F$15,0)),0)</f>
        <v>0</v>
      </c>
      <c r="T491" s="10">
        <f>IF(Flare!$C$7="",0,(SUMIF(Flare!$B$46:$B$185,$J491,Flare!$E$46:$E$185)*Impacts!$F$16))</f>
        <v>0</v>
      </c>
      <c r="U491" s="10">
        <f>IF(VCU!$C$9="",0,(SUMIF(VCU!$B$51:$B$193,$J491,VCU!$E$51:$E$193)*Impacts!$F$17))</f>
        <v>0</v>
      </c>
      <c r="V491" s="10">
        <f>IF(CAS!$C$7="",0,(SUMIF(CAS!$B$31:$B$167,$J491,CAS!$E$31:$E$167)*Impacts!$F$18))</f>
        <v>0</v>
      </c>
      <c r="W491" s="10">
        <f t="shared" si="49"/>
        <v>0</v>
      </c>
      <c r="AK491" s="10" t="str">
        <f t="array" ref="AK491">IFERROR(INDEX(SelectedSpecies,SMALL(IF(SelectedSpecies=AK$1,ROW(SelectedSpecies)),ROW(492:492)),2),"")</f>
        <v/>
      </c>
      <c r="BE491" s="10"/>
      <c r="BI491" s="10"/>
    </row>
    <row r="492" spans="1:61" ht="21" customHeight="1" x14ac:dyDescent="0.25">
      <c r="A492" s="10"/>
      <c r="B492" s="10"/>
      <c r="E492" s="10"/>
      <c r="G492" s="10"/>
      <c r="I492" s="436" t="s">
        <v>3723</v>
      </c>
      <c r="J492" s="26" t="s">
        <v>3722</v>
      </c>
      <c r="K492" s="10">
        <v>6.4</v>
      </c>
      <c r="L492" s="73">
        <f>IF(Tank1!$C$23="No control",(SUMIF(Tank1!$B$32:$B$49,$J492,Tank1!$C$32:$C$49)*Impacts!$F$8),0)</f>
        <v>0</v>
      </c>
      <c r="M492" s="10">
        <f>IF(Tank2!$C$23="No control",(SUMIF(Tank2!$B$32:$B$49,$J492,Tank2!$C$32:$C$49)*Impacts!$F$9),0)</f>
        <v>0</v>
      </c>
      <c r="N492" s="10">
        <f>IF(Tank3!$C$23="No control",(SUMIF(Tank3!$B$32:$B$49,$J492,Tank3!$C$32:$C$49)*Impacts!$F$10),0)</f>
        <v>0</v>
      </c>
      <c r="O492" s="10">
        <f>IF(Tank4!$C$23="No control",(SUMIF(Tank4!$B$32:$B$49,$J492,Tank4!$C$32:$C$49)*Impacts!$F$11),0)</f>
        <v>0</v>
      </c>
      <c r="P492" s="10">
        <f>IF(Tank5!$C$23="No control",(SUMIF(Tank5!$B$32:$B$49,$J492,Tank5!$C$32:$C$49)*Impacts!$F$12),0)</f>
        <v>0</v>
      </c>
      <c r="Q492" s="10">
        <f>IFERROR(IF(('Loading-drum,tote'!$C$21)="No control",SUMIF(('Loading-drum,tote'!$B$31:$B$48),$J492,('Loading-drum,tote'!$D$31:$D$48))*Impacts!$F$13,IF(('Loading-drum,tote'!$C$21)&lt;&gt;"No control",SUMIF(('Loading-drum,tote'!$B$31:$B$48),$J492,('Loading-drum,tote'!$E$31:$E$48))*Impacts!$F$13,0)),0)</f>
        <v>0</v>
      </c>
      <c r="R492" s="10">
        <f>IFERROR(IF(('Loading-truck'!$C$21)="No control",SUMIF(('Loading-truck'!$B$31:$B$48),$J492,('Loading-truck'!$D$31:$D$48))*Impacts!$F$14,IF(('Loading-truck'!$C$21)&lt;&gt;"No control",SUMIF(('Loading-truck'!$B$31:$B$48),$J492,('Loading-truck'!$E$31:$E$48))*Impacts!$F$14,0)),0)</f>
        <v>0</v>
      </c>
      <c r="S492" s="10">
        <f>IFERROR(IF(('Loading-rail'!$C$21)="No control",SUMIF(('Loading-rail'!$B$31:$B$48),$J492,('Loading-rail'!$D$31:$D$48))*Impacts!$F$15,IF(('Loading-rail'!$C$21)&lt;&gt;"No control",SUMIF(('Loading-rail'!$B$31:$B$48),$J492,('Loading-rail'!$E$31:$E$48))*Impacts!$F$15,0)),0)</f>
        <v>0</v>
      </c>
      <c r="T492" s="10">
        <f>IF(Flare!$C$7="",0,(SUMIF(Flare!$B$46:$B$185,$J492,Flare!$E$46:$E$185)*Impacts!$F$16))</f>
        <v>0</v>
      </c>
      <c r="U492" s="10">
        <f>IF(VCU!$C$9="",0,(SUMIF(VCU!$B$51:$B$193,$J492,VCU!$E$51:$E$193)*Impacts!$F$17))</f>
        <v>0</v>
      </c>
      <c r="V492" s="10">
        <f>IF(CAS!$C$7="",0,(SUMIF(CAS!$B$31:$B$167,$J492,CAS!$E$31:$E$167)*Impacts!$F$18))</f>
        <v>0</v>
      </c>
      <c r="W492" s="10">
        <f t="shared" si="49"/>
        <v>0</v>
      </c>
      <c r="AK492" s="10" t="str">
        <f t="array" ref="AK492">IFERROR(INDEX(SelectedSpecies,SMALL(IF(SelectedSpecies=AK$1,ROW(SelectedSpecies)),ROW(493:493)),2),"")</f>
        <v/>
      </c>
      <c r="BE492" s="10"/>
      <c r="BI492" s="10"/>
    </row>
    <row r="493" spans="1:61" ht="21" customHeight="1" x14ac:dyDescent="0.25">
      <c r="A493" s="10"/>
      <c r="B493" s="10"/>
      <c r="E493" s="10"/>
      <c r="G493" s="10"/>
      <c r="I493" s="436" t="s">
        <v>1606</v>
      </c>
      <c r="J493" s="26" t="s">
        <v>1605</v>
      </c>
      <c r="K493" s="10">
        <v>25</v>
      </c>
      <c r="L493" s="73">
        <f>IF(Tank1!$C$23="No control",(SUMIF(Tank1!$B$32:$B$49,$J493,Tank1!$C$32:$C$49)*Impacts!$F$8),0)</f>
        <v>0</v>
      </c>
      <c r="M493" s="10">
        <f>IF(Tank2!$C$23="No control",(SUMIF(Tank2!$B$32:$B$49,$J493,Tank2!$C$32:$C$49)*Impacts!$F$9),0)</f>
        <v>0</v>
      </c>
      <c r="N493" s="10">
        <f>IF(Tank3!$C$23="No control",(SUMIF(Tank3!$B$32:$B$49,$J493,Tank3!$C$32:$C$49)*Impacts!$F$10),0)</f>
        <v>0</v>
      </c>
      <c r="O493" s="10">
        <f>IF(Tank4!$C$23="No control",(SUMIF(Tank4!$B$32:$B$49,$J493,Tank4!$C$32:$C$49)*Impacts!$F$11),0)</f>
        <v>0</v>
      </c>
      <c r="P493" s="10">
        <f>IF(Tank5!$C$23="No control",(SUMIF(Tank5!$B$32:$B$49,$J493,Tank5!$C$32:$C$49)*Impacts!$F$12),0)</f>
        <v>0</v>
      </c>
      <c r="Q493" s="10">
        <f>IFERROR(IF(('Loading-drum,tote'!$C$21)="No control",SUMIF(('Loading-drum,tote'!$B$31:$B$48),$J493,('Loading-drum,tote'!$D$31:$D$48))*Impacts!$F$13,IF(('Loading-drum,tote'!$C$21)&lt;&gt;"No control",SUMIF(('Loading-drum,tote'!$B$31:$B$48),$J493,('Loading-drum,tote'!$E$31:$E$48))*Impacts!$F$13,0)),0)</f>
        <v>0</v>
      </c>
      <c r="R493" s="10">
        <f>IFERROR(IF(('Loading-truck'!$C$21)="No control",SUMIF(('Loading-truck'!$B$31:$B$48),$J493,('Loading-truck'!$D$31:$D$48))*Impacts!$F$14,IF(('Loading-truck'!$C$21)&lt;&gt;"No control",SUMIF(('Loading-truck'!$B$31:$B$48),$J493,('Loading-truck'!$E$31:$E$48))*Impacts!$F$14,0)),0)</f>
        <v>0</v>
      </c>
      <c r="S493" s="10">
        <f>IFERROR(IF(('Loading-rail'!$C$21)="No control",SUMIF(('Loading-rail'!$B$31:$B$48),$J493,('Loading-rail'!$D$31:$D$48))*Impacts!$F$15,IF(('Loading-rail'!$C$21)&lt;&gt;"No control",SUMIF(('Loading-rail'!$B$31:$B$48),$J493,('Loading-rail'!$E$31:$E$48))*Impacts!$F$15,0)),0)</f>
        <v>0</v>
      </c>
      <c r="T493" s="10">
        <f>IF(Flare!$C$7="",0,(SUMIF(Flare!$B$46:$B$185,$J493,Flare!$E$46:$E$185)*Impacts!$F$16))</f>
        <v>0</v>
      </c>
      <c r="U493" s="10">
        <f>IF(VCU!$C$9="",0,(SUMIF(VCU!$B$51:$B$193,$J493,VCU!$E$51:$E$193)*Impacts!$F$17))</f>
        <v>0</v>
      </c>
      <c r="V493" s="10">
        <f>IF(CAS!$C$7="",0,(SUMIF(CAS!$B$31:$B$167,$J493,CAS!$E$31:$E$167)*Impacts!$F$18))</f>
        <v>0</v>
      </c>
      <c r="W493" s="10">
        <f t="shared" si="49"/>
        <v>0</v>
      </c>
      <c r="AK493" s="10" t="str">
        <f t="array" ref="AK493">IFERROR(INDEX(SelectedSpecies,SMALL(IF(SelectedSpecies=AK$1,ROW(SelectedSpecies)),ROW(494:494)),2),"")</f>
        <v/>
      </c>
      <c r="BE493" s="10"/>
      <c r="BI493" s="10"/>
    </row>
    <row r="494" spans="1:61" ht="21" customHeight="1" x14ac:dyDescent="0.25">
      <c r="A494" s="10"/>
      <c r="B494" s="10"/>
      <c r="E494" s="10"/>
      <c r="G494" s="10"/>
      <c r="I494" s="436" t="s">
        <v>4837</v>
      </c>
      <c r="J494" s="26" t="s">
        <v>4836</v>
      </c>
      <c r="K494" s="10">
        <v>2.9000000000000004</v>
      </c>
      <c r="L494" s="73">
        <f>IF(Tank1!$C$23="No control",(SUMIF(Tank1!$B$32:$B$49,$J494,Tank1!$C$32:$C$49)*Impacts!$F$8),0)</f>
        <v>0</v>
      </c>
      <c r="M494" s="10">
        <f>IF(Tank2!$C$23="No control",(SUMIF(Tank2!$B$32:$B$49,$J494,Tank2!$C$32:$C$49)*Impacts!$F$9),0)</f>
        <v>0</v>
      </c>
      <c r="N494" s="10">
        <f>IF(Tank3!$C$23="No control",(SUMIF(Tank3!$B$32:$B$49,$J494,Tank3!$C$32:$C$49)*Impacts!$F$10),0)</f>
        <v>0</v>
      </c>
      <c r="O494" s="10">
        <f>IF(Tank4!$C$23="No control",(SUMIF(Tank4!$B$32:$B$49,$J494,Tank4!$C$32:$C$49)*Impacts!$F$11),0)</f>
        <v>0</v>
      </c>
      <c r="P494" s="10">
        <f>IF(Tank5!$C$23="No control",(SUMIF(Tank5!$B$32:$B$49,$J494,Tank5!$C$32:$C$49)*Impacts!$F$12),0)</f>
        <v>0</v>
      </c>
      <c r="Q494" s="10">
        <f>IFERROR(IF(('Loading-drum,tote'!$C$21)="No control",SUMIF(('Loading-drum,tote'!$B$31:$B$48),$J494,('Loading-drum,tote'!$D$31:$D$48))*Impacts!$F$13,IF(('Loading-drum,tote'!$C$21)&lt;&gt;"No control",SUMIF(('Loading-drum,tote'!$B$31:$B$48),$J494,('Loading-drum,tote'!$E$31:$E$48))*Impacts!$F$13,0)),0)</f>
        <v>0</v>
      </c>
      <c r="R494" s="10">
        <f>IFERROR(IF(('Loading-truck'!$C$21)="No control",SUMIF(('Loading-truck'!$B$31:$B$48),$J494,('Loading-truck'!$D$31:$D$48))*Impacts!$F$14,IF(('Loading-truck'!$C$21)&lt;&gt;"No control",SUMIF(('Loading-truck'!$B$31:$B$48),$J494,('Loading-truck'!$E$31:$E$48))*Impacts!$F$14,0)),0)</f>
        <v>0</v>
      </c>
      <c r="S494" s="10">
        <f>IFERROR(IF(('Loading-rail'!$C$21)="No control",SUMIF(('Loading-rail'!$B$31:$B$48),$J494,('Loading-rail'!$D$31:$D$48))*Impacts!$F$15,IF(('Loading-rail'!$C$21)&lt;&gt;"No control",SUMIF(('Loading-rail'!$B$31:$B$48),$J494,('Loading-rail'!$E$31:$E$48))*Impacts!$F$15,0)),0)</f>
        <v>0</v>
      </c>
      <c r="T494" s="10">
        <f>IF(Flare!$C$7="",0,(SUMIF(Flare!$B$46:$B$185,$J494,Flare!$E$46:$E$185)*Impacts!$F$16))</f>
        <v>0</v>
      </c>
      <c r="U494" s="10">
        <f>IF(VCU!$C$9="",0,(SUMIF(VCU!$B$51:$B$193,$J494,VCU!$E$51:$E$193)*Impacts!$F$17))</f>
        <v>0</v>
      </c>
      <c r="V494" s="10">
        <f>IF(CAS!$C$7="",0,(SUMIF(CAS!$B$31:$B$167,$J494,CAS!$E$31:$E$167)*Impacts!$F$18))</f>
        <v>0</v>
      </c>
      <c r="W494" s="10">
        <f t="shared" si="49"/>
        <v>0</v>
      </c>
      <c r="AK494" s="10" t="str">
        <f t="array" ref="AK494">IFERROR(INDEX(SelectedSpecies,SMALL(IF(SelectedSpecies=AK$1,ROW(SelectedSpecies)),ROW(495:495)),2),"")</f>
        <v/>
      </c>
      <c r="BE494" s="10"/>
      <c r="BI494" s="10"/>
    </row>
    <row r="495" spans="1:61" ht="21" customHeight="1" x14ac:dyDescent="0.25">
      <c r="A495" s="10"/>
      <c r="B495" s="10"/>
      <c r="E495" s="10"/>
      <c r="G495" s="10"/>
      <c r="I495" s="436" t="s">
        <v>4627</v>
      </c>
      <c r="J495" s="26" t="s">
        <v>4626</v>
      </c>
      <c r="K495" s="10">
        <v>4</v>
      </c>
      <c r="L495" s="73">
        <f>IF(Tank1!$C$23="No control",(SUMIF(Tank1!$B$32:$B$49,$J495,Tank1!$C$32:$C$49)*Impacts!$F$8),0)</f>
        <v>0</v>
      </c>
      <c r="M495" s="10">
        <f>IF(Tank2!$C$23="No control",(SUMIF(Tank2!$B$32:$B$49,$J495,Tank2!$C$32:$C$49)*Impacts!$F$9),0)</f>
        <v>0</v>
      </c>
      <c r="N495" s="10">
        <f>IF(Tank3!$C$23="No control",(SUMIF(Tank3!$B$32:$B$49,$J495,Tank3!$C$32:$C$49)*Impacts!$F$10),0)</f>
        <v>0</v>
      </c>
      <c r="O495" s="10">
        <f>IF(Tank4!$C$23="No control",(SUMIF(Tank4!$B$32:$B$49,$J495,Tank4!$C$32:$C$49)*Impacts!$F$11),0)</f>
        <v>0</v>
      </c>
      <c r="P495" s="10">
        <f>IF(Tank5!$C$23="No control",(SUMIF(Tank5!$B$32:$B$49,$J495,Tank5!$C$32:$C$49)*Impacts!$F$12),0)</f>
        <v>0</v>
      </c>
      <c r="Q495" s="10">
        <f>IFERROR(IF(('Loading-drum,tote'!$C$21)="No control",SUMIF(('Loading-drum,tote'!$B$31:$B$48),$J495,('Loading-drum,tote'!$D$31:$D$48))*Impacts!$F$13,IF(('Loading-drum,tote'!$C$21)&lt;&gt;"No control",SUMIF(('Loading-drum,tote'!$B$31:$B$48),$J495,('Loading-drum,tote'!$E$31:$E$48))*Impacts!$F$13,0)),0)</f>
        <v>0</v>
      </c>
      <c r="R495" s="10">
        <f>IFERROR(IF(('Loading-truck'!$C$21)="No control",SUMIF(('Loading-truck'!$B$31:$B$48),$J495,('Loading-truck'!$D$31:$D$48))*Impacts!$F$14,IF(('Loading-truck'!$C$21)&lt;&gt;"No control",SUMIF(('Loading-truck'!$B$31:$B$48),$J495,('Loading-truck'!$E$31:$E$48))*Impacts!$F$14,0)),0)</f>
        <v>0</v>
      </c>
      <c r="S495" s="10">
        <f>IFERROR(IF(('Loading-rail'!$C$21)="No control",SUMIF(('Loading-rail'!$B$31:$B$48),$J495,('Loading-rail'!$D$31:$D$48))*Impacts!$F$15,IF(('Loading-rail'!$C$21)&lt;&gt;"No control",SUMIF(('Loading-rail'!$B$31:$B$48),$J495,('Loading-rail'!$E$31:$E$48))*Impacts!$F$15,0)),0)</f>
        <v>0</v>
      </c>
      <c r="T495" s="10">
        <f>IF(Flare!$C$7="",0,(SUMIF(Flare!$B$46:$B$185,$J495,Flare!$E$46:$E$185)*Impacts!$F$16))</f>
        <v>0</v>
      </c>
      <c r="U495" s="10">
        <f>IF(VCU!$C$9="",0,(SUMIF(VCU!$B$51:$B$193,$J495,VCU!$E$51:$E$193)*Impacts!$F$17))</f>
        <v>0</v>
      </c>
      <c r="V495" s="10">
        <f>IF(CAS!$C$7="",0,(SUMIF(CAS!$B$31:$B$167,$J495,CAS!$E$31:$E$167)*Impacts!$F$18))</f>
        <v>0</v>
      </c>
      <c r="W495" s="10">
        <f t="shared" si="49"/>
        <v>0</v>
      </c>
      <c r="AK495" s="10" t="str">
        <f t="array" ref="AK495">IFERROR(INDEX(SelectedSpecies,SMALL(IF(SelectedSpecies=AK$1,ROW(SelectedSpecies)),ROW(496:496)),2),"")</f>
        <v/>
      </c>
      <c r="BE495" s="10"/>
      <c r="BI495" s="10"/>
    </row>
    <row r="496" spans="1:61" ht="21" customHeight="1" x14ac:dyDescent="0.25">
      <c r="A496" s="10"/>
      <c r="B496" s="10"/>
      <c r="E496" s="10"/>
      <c r="G496" s="10"/>
      <c r="I496" s="436" t="s">
        <v>6738</v>
      </c>
      <c r="J496" s="26" t="s">
        <v>6737</v>
      </c>
      <c r="K496" s="10">
        <v>0.5</v>
      </c>
      <c r="L496" s="73">
        <f>IF(Tank1!$C$23="No control",(SUMIF(Tank1!$B$32:$B$49,$J496,Tank1!$C$32:$C$49)*Impacts!$F$8),0)</f>
        <v>0</v>
      </c>
      <c r="M496" s="10">
        <f>IF(Tank2!$C$23="No control",(SUMIF(Tank2!$B$32:$B$49,$J496,Tank2!$C$32:$C$49)*Impacts!$F$9),0)</f>
        <v>0</v>
      </c>
      <c r="N496" s="10">
        <f>IF(Tank3!$C$23="No control",(SUMIF(Tank3!$B$32:$B$49,$J496,Tank3!$C$32:$C$49)*Impacts!$F$10),0)</f>
        <v>0</v>
      </c>
      <c r="O496" s="10">
        <f>IF(Tank4!$C$23="No control",(SUMIF(Tank4!$B$32:$B$49,$J496,Tank4!$C$32:$C$49)*Impacts!$F$11),0)</f>
        <v>0</v>
      </c>
      <c r="P496" s="10">
        <f>IF(Tank5!$C$23="No control",(SUMIF(Tank5!$B$32:$B$49,$J496,Tank5!$C$32:$C$49)*Impacts!$F$12),0)</f>
        <v>0</v>
      </c>
      <c r="Q496" s="10">
        <f>IFERROR(IF(('Loading-drum,tote'!$C$21)="No control",SUMIF(('Loading-drum,tote'!$B$31:$B$48),$J496,('Loading-drum,tote'!$D$31:$D$48))*Impacts!$F$13,IF(('Loading-drum,tote'!$C$21)&lt;&gt;"No control",SUMIF(('Loading-drum,tote'!$B$31:$B$48),$J496,('Loading-drum,tote'!$E$31:$E$48))*Impacts!$F$13,0)),0)</f>
        <v>0</v>
      </c>
      <c r="R496" s="10">
        <f>IFERROR(IF(('Loading-truck'!$C$21)="No control",SUMIF(('Loading-truck'!$B$31:$B$48),$J496,('Loading-truck'!$D$31:$D$48))*Impacts!$F$14,IF(('Loading-truck'!$C$21)&lt;&gt;"No control",SUMIF(('Loading-truck'!$B$31:$B$48),$J496,('Loading-truck'!$E$31:$E$48))*Impacts!$F$14,0)),0)</f>
        <v>0</v>
      </c>
      <c r="S496" s="10">
        <f>IFERROR(IF(('Loading-rail'!$C$21)="No control",SUMIF(('Loading-rail'!$B$31:$B$48),$J496,('Loading-rail'!$D$31:$D$48))*Impacts!$F$15,IF(('Loading-rail'!$C$21)&lt;&gt;"No control",SUMIF(('Loading-rail'!$B$31:$B$48),$J496,('Loading-rail'!$E$31:$E$48))*Impacts!$F$15,0)),0)</f>
        <v>0</v>
      </c>
      <c r="T496" s="10">
        <f>IF(Flare!$C$7="",0,(SUMIF(Flare!$B$46:$B$185,$J496,Flare!$E$46:$E$185)*Impacts!$F$16))</f>
        <v>0</v>
      </c>
      <c r="U496" s="10">
        <f>IF(VCU!$C$9="",0,(SUMIF(VCU!$B$51:$B$193,$J496,VCU!$E$51:$E$193)*Impacts!$F$17))</f>
        <v>0</v>
      </c>
      <c r="V496" s="10">
        <f>IF(CAS!$C$7="",0,(SUMIF(CAS!$B$31:$B$167,$J496,CAS!$E$31:$E$167)*Impacts!$F$18))</f>
        <v>0</v>
      </c>
      <c r="W496" s="10">
        <f t="shared" si="49"/>
        <v>0</v>
      </c>
      <c r="AK496" s="10" t="str">
        <f t="array" ref="AK496">IFERROR(INDEX(SelectedSpecies,SMALL(IF(SelectedSpecies=AK$1,ROW(SelectedSpecies)),ROW(497:497)),2),"")</f>
        <v/>
      </c>
      <c r="BE496" s="10"/>
      <c r="BI496" s="10"/>
    </row>
    <row r="497" spans="1:61" ht="21" customHeight="1" x14ac:dyDescent="0.25">
      <c r="A497" s="10"/>
      <c r="B497" s="10"/>
      <c r="E497" s="10"/>
      <c r="G497" s="10"/>
      <c r="I497" s="436" t="s">
        <v>5397</v>
      </c>
      <c r="J497" s="26" t="s">
        <v>5396</v>
      </c>
      <c r="K497" s="10">
        <v>1.4000000000000001</v>
      </c>
      <c r="L497" s="73">
        <f>IF(Tank1!$C$23="No control",(SUMIF(Tank1!$B$32:$B$49,$J497,Tank1!$C$32:$C$49)*Impacts!$F$8),0)</f>
        <v>0</v>
      </c>
      <c r="M497" s="10">
        <f>IF(Tank2!$C$23="No control",(SUMIF(Tank2!$B$32:$B$49,$J497,Tank2!$C$32:$C$49)*Impacts!$F$9),0)</f>
        <v>0</v>
      </c>
      <c r="N497" s="10">
        <f>IF(Tank3!$C$23="No control",(SUMIF(Tank3!$B$32:$B$49,$J497,Tank3!$C$32:$C$49)*Impacts!$F$10),0)</f>
        <v>0</v>
      </c>
      <c r="O497" s="10">
        <f>IF(Tank4!$C$23="No control",(SUMIF(Tank4!$B$32:$B$49,$J497,Tank4!$C$32:$C$49)*Impacts!$F$11),0)</f>
        <v>0</v>
      </c>
      <c r="P497" s="10">
        <f>IF(Tank5!$C$23="No control",(SUMIF(Tank5!$B$32:$B$49,$J497,Tank5!$C$32:$C$49)*Impacts!$F$12),0)</f>
        <v>0</v>
      </c>
      <c r="Q497" s="10">
        <f>IFERROR(IF(('Loading-drum,tote'!$C$21)="No control",SUMIF(('Loading-drum,tote'!$B$31:$B$48),$J497,('Loading-drum,tote'!$D$31:$D$48))*Impacts!$F$13,IF(('Loading-drum,tote'!$C$21)&lt;&gt;"No control",SUMIF(('Loading-drum,tote'!$B$31:$B$48),$J497,('Loading-drum,tote'!$E$31:$E$48))*Impacts!$F$13,0)),0)</f>
        <v>0</v>
      </c>
      <c r="R497" s="10">
        <f>IFERROR(IF(('Loading-truck'!$C$21)="No control",SUMIF(('Loading-truck'!$B$31:$B$48),$J497,('Loading-truck'!$D$31:$D$48))*Impacts!$F$14,IF(('Loading-truck'!$C$21)&lt;&gt;"No control",SUMIF(('Loading-truck'!$B$31:$B$48),$J497,('Loading-truck'!$E$31:$E$48))*Impacts!$F$14,0)),0)</f>
        <v>0</v>
      </c>
      <c r="S497" s="10">
        <f>IFERROR(IF(('Loading-rail'!$C$21)="No control",SUMIF(('Loading-rail'!$B$31:$B$48),$J497,('Loading-rail'!$D$31:$D$48))*Impacts!$F$15,IF(('Loading-rail'!$C$21)&lt;&gt;"No control",SUMIF(('Loading-rail'!$B$31:$B$48),$J497,('Loading-rail'!$E$31:$E$48))*Impacts!$F$15,0)),0)</f>
        <v>0</v>
      </c>
      <c r="T497" s="10">
        <f>IF(Flare!$C$7="",0,(SUMIF(Flare!$B$46:$B$185,$J497,Flare!$E$46:$E$185)*Impacts!$F$16))</f>
        <v>0</v>
      </c>
      <c r="U497" s="10">
        <f>IF(VCU!$C$9="",0,(SUMIF(VCU!$B$51:$B$193,$J497,VCU!$E$51:$E$193)*Impacts!$F$17))</f>
        <v>0</v>
      </c>
      <c r="V497" s="10">
        <f>IF(CAS!$C$7="",0,(SUMIF(CAS!$B$31:$B$167,$J497,CAS!$E$31:$E$167)*Impacts!$F$18))</f>
        <v>0</v>
      </c>
      <c r="W497" s="10">
        <f t="shared" si="49"/>
        <v>0</v>
      </c>
      <c r="AK497" s="10" t="str">
        <f t="array" ref="AK497">IFERROR(INDEX(SelectedSpecies,SMALL(IF(SelectedSpecies=AK$1,ROW(SelectedSpecies)),ROW(498:498)),2),"")</f>
        <v/>
      </c>
      <c r="BE497" s="10"/>
      <c r="BI497" s="10"/>
    </row>
    <row r="498" spans="1:61" ht="21" customHeight="1" x14ac:dyDescent="0.25">
      <c r="A498" s="10"/>
      <c r="B498" s="10"/>
      <c r="E498" s="10"/>
      <c r="G498" s="10"/>
      <c r="I498" s="436" t="s">
        <v>7606</v>
      </c>
      <c r="J498" s="26" t="s">
        <v>7605</v>
      </c>
      <c r="K498" s="10">
        <v>0.16000000000000003</v>
      </c>
      <c r="L498" s="73">
        <f>IF(Tank1!$C$23="No control",(SUMIF(Tank1!$B$32:$B$49,$J498,Tank1!$C$32:$C$49)*Impacts!$F$8),0)</f>
        <v>0</v>
      </c>
      <c r="M498" s="10">
        <f>IF(Tank2!$C$23="No control",(SUMIF(Tank2!$B$32:$B$49,$J498,Tank2!$C$32:$C$49)*Impacts!$F$9),0)</f>
        <v>0</v>
      </c>
      <c r="N498" s="10">
        <f>IF(Tank3!$C$23="No control",(SUMIF(Tank3!$B$32:$B$49,$J498,Tank3!$C$32:$C$49)*Impacts!$F$10),0)</f>
        <v>0</v>
      </c>
      <c r="O498" s="10">
        <f>IF(Tank4!$C$23="No control",(SUMIF(Tank4!$B$32:$B$49,$J498,Tank4!$C$32:$C$49)*Impacts!$F$11),0)</f>
        <v>0</v>
      </c>
      <c r="P498" s="10">
        <f>IF(Tank5!$C$23="No control",(SUMIF(Tank5!$B$32:$B$49,$J498,Tank5!$C$32:$C$49)*Impacts!$F$12),0)</f>
        <v>0</v>
      </c>
      <c r="Q498" s="10">
        <f>IFERROR(IF(('Loading-drum,tote'!$C$21)="No control",SUMIF(('Loading-drum,tote'!$B$31:$B$48),$J498,('Loading-drum,tote'!$D$31:$D$48))*Impacts!$F$13,IF(('Loading-drum,tote'!$C$21)&lt;&gt;"No control",SUMIF(('Loading-drum,tote'!$B$31:$B$48),$J498,('Loading-drum,tote'!$E$31:$E$48))*Impacts!$F$13,0)),0)</f>
        <v>0</v>
      </c>
      <c r="R498" s="10">
        <f>IFERROR(IF(('Loading-truck'!$C$21)="No control",SUMIF(('Loading-truck'!$B$31:$B$48),$J498,('Loading-truck'!$D$31:$D$48))*Impacts!$F$14,IF(('Loading-truck'!$C$21)&lt;&gt;"No control",SUMIF(('Loading-truck'!$B$31:$B$48),$J498,('Loading-truck'!$E$31:$E$48))*Impacts!$F$14,0)),0)</f>
        <v>0</v>
      </c>
      <c r="S498" s="10">
        <f>IFERROR(IF(('Loading-rail'!$C$21)="No control",SUMIF(('Loading-rail'!$B$31:$B$48),$J498,('Loading-rail'!$D$31:$D$48))*Impacts!$F$15,IF(('Loading-rail'!$C$21)&lt;&gt;"No control",SUMIF(('Loading-rail'!$B$31:$B$48),$J498,('Loading-rail'!$E$31:$E$48))*Impacts!$F$15,0)),0)</f>
        <v>0</v>
      </c>
      <c r="T498" s="10">
        <f>IF(Flare!$C$7="",0,(SUMIF(Flare!$B$46:$B$185,$J498,Flare!$E$46:$E$185)*Impacts!$F$16))</f>
        <v>0</v>
      </c>
      <c r="U498" s="10">
        <f>IF(VCU!$C$9="",0,(SUMIF(VCU!$B$51:$B$193,$J498,VCU!$E$51:$E$193)*Impacts!$F$17))</f>
        <v>0</v>
      </c>
      <c r="V498" s="10">
        <f>IF(CAS!$C$7="",0,(SUMIF(CAS!$B$31:$B$167,$J498,CAS!$E$31:$E$167)*Impacts!$F$18))</f>
        <v>0</v>
      </c>
      <c r="W498" s="10">
        <f t="shared" si="49"/>
        <v>0</v>
      </c>
      <c r="AK498" s="10" t="str">
        <f t="array" ref="AK498">IFERROR(INDEX(SelectedSpecies,SMALL(IF(SelectedSpecies=AK$1,ROW(SelectedSpecies)),ROW(499:499)),2),"")</f>
        <v/>
      </c>
      <c r="BE498" s="10"/>
      <c r="BI498" s="10"/>
    </row>
    <row r="499" spans="1:61" ht="21" customHeight="1" x14ac:dyDescent="0.25">
      <c r="A499" s="10"/>
      <c r="B499" s="10"/>
      <c r="E499" s="10"/>
      <c r="G499" s="10"/>
      <c r="I499" s="436" t="s">
        <v>5706</v>
      </c>
      <c r="J499" s="26" t="s">
        <v>5705</v>
      </c>
      <c r="K499" s="10">
        <v>1</v>
      </c>
      <c r="L499" s="73">
        <f>IF(Tank1!$C$23="No control",(SUMIF(Tank1!$B$32:$B$49,$J499,Tank1!$C$32:$C$49)*Impacts!$F$8),0)</f>
        <v>0</v>
      </c>
      <c r="M499" s="10">
        <f>IF(Tank2!$C$23="No control",(SUMIF(Tank2!$B$32:$B$49,$J499,Tank2!$C$32:$C$49)*Impacts!$F$9),0)</f>
        <v>0</v>
      </c>
      <c r="N499" s="10">
        <f>IF(Tank3!$C$23="No control",(SUMIF(Tank3!$B$32:$B$49,$J499,Tank3!$C$32:$C$49)*Impacts!$F$10),0)</f>
        <v>0</v>
      </c>
      <c r="O499" s="10">
        <f>IF(Tank4!$C$23="No control",(SUMIF(Tank4!$B$32:$B$49,$J499,Tank4!$C$32:$C$49)*Impacts!$F$11),0)</f>
        <v>0</v>
      </c>
      <c r="P499" s="10">
        <f>IF(Tank5!$C$23="No control",(SUMIF(Tank5!$B$32:$B$49,$J499,Tank5!$C$32:$C$49)*Impacts!$F$12),0)</f>
        <v>0</v>
      </c>
      <c r="Q499" s="10">
        <f>IFERROR(IF(('Loading-drum,tote'!$C$21)="No control",SUMIF(('Loading-drum,tote'!$B$31:$B$48),$J499,('Loading-drum,tote'!$D$31:$D$48))*Impacts!$F$13,IF(('Loading-drum,tote'!$C$21)&lt;&gt;"No control",SUMIF(('Loading-drum,tote'!$B$31:$B$48),$J499,('Loading-drum,tote'!$E$31:$E$48))*Impacts!$F$13,0)),0)</f>
        <v>0</v>
      </c>
      <c r="R499" s="10">
        <f>IFERROR(IF(('Loading-truck'!$C$21)="No control",SUMIF(('Loading-truck'!$B$31:$B$48),$J499,('Loading-truck'!$D$31:$D$48))*Impacts!$F$14,IF(('Loading-truck'!$C$21)&lt;&gt;"No control",SUMIF(('Loading-truck'!$B$31:$B$48),$J499,('Loading-truck'!$E$31:$E$48))*Impacts!$F$14,0)),0)</f>
        <v>0</v>
      </c>
      <c r="S499" s="10">
        <f>IFERROR(IF(('Loading-rail'!$C$21)="No control",SUMIF(('Loading-rail'!$B$31:$B$48),$J499,('Loading-rail'!$D$31:$D$48))*Impacts!$F$15,IF(('Loading-rail'!$C$21)&lt;&gt;"No control",SUMIF(('Loading-rail'!$B$31:$B$48),$J499,('Loading-rail'!$E$31:$E$48))*Impacts!$F$15,0)),0)</f>
        <v>0</v>
      </c>
      <c r="T499" s="10">
        <f>IF(Flare!$C$7="",0,(SUMIF(Flare!$B$46:$B$185,$J499,Flare!$E$46:$E$185)*Impacts!$F$16))</f>
        <v>0</v>
      </c>
      <c r="U499" s="10">
        <f>IF(VCU!$C$9="",0,(SUMIF(VCU!$B$51:$B$193,$J499,VCU!$E$51:$E$193)*Impacts!$F$17))</f>
        <v>0</v>
      </c>
      <c r="V499" s="10">
        <f>IF(CAS!$C$7="",0,(SUMIF(CAS!$B$31:$B$167,$J499,CAS!$E$31:$E$167)*Impacts!$F$18))</f>
        <v>0</v>
      </c>
      <c r="W499" s="10">
        <f t="shared" si="49"/>
        <v>0</v>
      </c>
      <c r="AK499" s="10" t="str">
        <f t="array" ref="AK499">IFERROR(INDEX(SelectedSpecies,SMALL(IF(SelectedSpecies=AK$1,ROW(SelectedSpecies)),ROW(500:500)),2),"")</f>
        <v/>
      </c>
      <c r="BE499" s="10"/>
      <c r="BI499" s="10"/>
    </row>
    <row r="500" spans="1:61" ht="21" customHeight="1" x14ac:dyDescent="0.25">
      <c r="A500" s="10"/>
      <c r="B500" s="10"/>
      <c r="E500" s="10"/>
      <c r="G500" s="10"/>
      <c r="I500" s="436" t="s">
        <v>1935</v>
      </c>
      <c r="J500" s="26" t="s">
        <v>1934</v>
      </c>
      <c r="K500" s="10">
        <v>18</v>
      </c>
      <c r="L500" s="73">
        <f>IF(Tank1!$C$23="No control",(SUMIF(Tank1!$B$32:$B$49,$J500,Tank1!$C$32:$C$49)*Impacts!$F$8),0)</f>
        <v>0</v>
      </c>
      <c r="M500" s="10">
        <f>IF(Tank2!$C$23="No control",(SUMIF(Tank2!$B$32:$B$49,$J500,Tank2!$C$32:$C$49)*Impacts!$F$9),0)</f>
        <v>0</v>
      </c>
      <c r="N500" s="10">
        <f>IF(Tank3!$C$23="No control",(SUMIF(Tank3!$B$32:$B$49,$J500,Tank3!$C$32:$C$49)*Impacts!$F$10),0)</f>
        <v>0</v>
      </c>
      <c r="O500" s="10">
        <f>IF(Tank4!$C$23="No control",(SUMIF(Tank4!$B$32:$B$49,$J500,Tank4!$C$32:$C$49)*Impacts!$F$11),0)</f>
        <v>0</v>
      </c>
      <c r="P500" s="10">
        <f>IF(Tank5!$C$23="No control",(SUMIF(Tank5!$B$32:$B$49,$J500,Tank5!$C$32:$C$49)*Impacts!$F$12),0)</f>
        <v>0</v>
      </c>
      <c r="Q500" s="10">
        <f>IFERROR(IF(('Loading-drum,tote'!$C$21)="No control",SUMIF(('Loading-drum,tote'!$B$31:$B$48),$J500,('Loading-drum,tote'!$D$31:$D$48))*Impacts!$F$13,IF(('Loading-drum,tote'!$C$21)&lt;&gt;"No control",SUMIF(('Loading-drum,tote'!$B$31:$B$48),$J500,('Loading-drum,tote'!$E$31:$E$48))*Impacts!$F$13,0)),0)</f>
        <v>0</v>
      </c>
      <c r="R500" s="10">
        <f>IFERROR(IF(('Loading-truck'!$C$21)="No control",SUMIF(('Loading-truck'!$B$31:$B$48),$J500,('Loading-truck'!$D$31:$D$48))*Impacts!$F$14,IF(('Loading-truck'!$C$21)&lt;&gt;"No control",SUMIF(('Loading-truck'!$B$31:$B$48),$J500,('Loading-truck'!$E$31:$E$48))*Impacts!$F$14,0)),0)</f>
        <v>0</v>
      </c>
      <c r="S500" s="10">
        <f>IFERROR(IF(('Loading-rail'!$C$21)="No control",SUMIF(('Loading-rail'!$B$31:$B$48),$J500,('Loading-rail'!$D$31:$D$48))*Impacts!$F$15,IF(('Loading-rail'!$C$21)&lt;&gt;"No control",SUMIF(('Loading-rail'!$B$31:$B$48),$J500,('Loading-rail'!$E$31:$E$48))*Impacts!$F$15,0)),0)</f>
        <v>0</v>
      </c>
      <c r="T500" s="10">
        <f>IF(Flare!$C$7="",0,(SUMIF(Flare!$B$46:$B$185,$J500,Flare!$E$46:$E$185)*Impacts!$F$16))</f>
        <v>0</v>
      </c>
      <c r="U500" s="10">
        <f>IF(VCU!$C$9="",0,(SUMIF(VCU!$B$51:$B$193,$J500,VCU!$E$51:$E$193)*Impacts!$F$17))</f>
        <v>0</v>
      </c>
      <c r="V500" s="10">
        <f>IF(CAS!$C$7="",0,(SUMIF(CAS!$B$31:$B$167,$J500,CAS!$E$31:$E$167)*Impacts!$F$18))</f>
        <v>0</v>
      </c>
      <c r="W500" s="10">
        <f t="shared" si="49"/>
        <v>0</v>
      </c>
      <c r="AK500" s="10" t="str">
        <f t="array" ref="AK500">IFERROR(INDEX(SelectedSpecies,SMALL(IF(SelectedSpecies=AK$1,ROW(SelectedSpecies)),ROW(501:501)),2),"")</f>
        <v/>
      </c>
      <c r="BE500" s="10"/>
      <c r="BI500" s="10"/>
    </row>
    <row r="501" spans="1:61" ht="21" customHeight="1" x14ac:dyDescent="0.25">
      <c r="A501" s="10"/>
      <c r="B501" s="10"/>
      <c r="E501" s="10"/>
      <c r="G501" s="10"/>
      <c r="I501" s="436" t="s">
        <v>5708</v>
      </c>
      <c r="J501" s="26" t="s">
        <v>5707</v>
      </c>
      <c r="K501" s="10">
        <v>1</v>
      </c>
      <c r="L501" s="73">
        <f>IF(Tank1!$C$23="No control",(SUMIF(Tank1!$B$32:$B$49,$J501,Tank1!$C$32:$C$49)*Impacts!$F$8),0)</f>
        <v>0</v>
      </c>
      <c r="M501" s="10">
        <f>IF(Tank2!$C$23="No control",(SUMIF(Tank2!$B$32:$B$49,$J501,Tank2!$C$32:$C$49)*Impacts!$F$9),0)</f>
        <v>0</v>
      </c>
      <c r="N501" s="10">
        <f>IF(Tank3!$C$23="No control",(SUMIF(Tank3!$B$32:$B$49,$J501,Tank3!$C$32:$C$49)*Impacts!$F$10),0)</f>
        <v>0</v>
      </c>
      <c r="O501" s="10">
        <f>IF(Tank4!$C$23="No control",(SUMIF(Tank4!$B$32:$B$49,$J501,Tank4!$C$32:$C$49)*Impacts!$F$11),0)</f>
        <v>0</v>
      </c>
      <c r="P501" s="10">
        <f>IF(Tank5!$C$23="No control",(SUMIF(Tank5!$B$32:$B$49,$J501,Tank5!$C$32:$C$49)*Impacts!$F$12),0)</f>
        <v>0</v>
      </c>
      <c r="Q501" s="10">
        <f>IFERROR(IF(('Loading-drum,tote'!$C$21)="No control",SUMIF(('Loading-drum,tote'!$B$31:$B$48),$J501,('Loading-drum,tote'!$D$31:$D$48))*Impacts!$F$13,IF(('Loading-drum,tote'!$C$21)&lt;&gt;"No control",SUMIF(('Loading-drum,tote'!$B$31:$B$48),$J501,('Loading-drum,tote'!$E$31:$E$48))*Impacts!$F$13,0)),0)</f>
        <v>0</v>
      </c>
      <c r="R501" s="10">
        <f>IFERROR(IF(('Loading-truck'!$C$21)="No control",SUMIF(('Loading-truck'!$B$31:$B$48),$J501,('Loading-truck'!$D$31:$D$48))*Impacts!$F$14,IF(('Loading-truck'!$C$21)&lt;&gt;"No control",SUMIF(('Loading-truck'!$B$31:$B$48),$J501,('Loading-truck'!$E$31:$E$48))*Impacts!$F$14,0)),0)</f>
        <v>0</v>
      </c>
      <c r="S501" s="10">
        <f>IFERROR(IF(('Loading-rail'!$C$21)="No control",SUMIF(('Loading-rail'!$B$31:$B$48),$J501,('Loading-rail'!$D$31:$D$48))*Impacts!$F$15,IF(('Loading-rail'!$C$21)&lt;&gt;"No control",SUMIF(('Loading-rail'!$B$31:$B$48),$J501,('Loading-rail'!$E$31:$E$48))*Impacts!$F$15,0)),0)</f>
        <v>0</v>
      </c>
      <c r="T501" s="10">
        <f>IF(Flare!$C$7="",0,(SUMIF(Flare!$B$46:$B$185,$J501,Flare!$E$46:$E$185)*Impacts!$F$16))</f>
        <v>0</v>
      </c>
      <c r="U501" s="10">
        <f>IF(VCU!$C$9="",0,(SUMIF(VCU!$B$51:$B$193,$J501,VCU!$E$51:$E$193)*Impacts!$F$17))</f>
        <v>0</v>
      </c>
      <c r="V501" s="10">
        <f>IF(CAS!$C$7="",0,(SUMIF(CAS!$B$31:$B$167,$J501,CAS!$E$31:$E$167)*Impacts!$F$18))</f>
        <v>0</v>
      </c>
      <c r="W501" s="10">
        <f t="shared" si="49"/>
        <v>0</v>
      </c>
      <c r="AK501" s="10" t="str">
        <f t="array" ref="AK501">IFERROR(INDEX(SelectedSpecies,SMALL(IF(SelectedSpecies=AK$1,ROW(SelectedSpecies)),ROW(502:502)),2),"")</f>
        <v/>
      </c>
      <c r="BE501" s="10"/>
      <c r="BI501" s="10"/>
    </row>
    <row r="502" spans="1:61" ht="21" customHeight="1" x14ac:dyDescent="0.25">
      <c r="A502" s="10"/>
      <c r="B502" s="10"/>
      <c r="E502" s="10"/>
      <c r="G502" s="10"/>
      <c r="I502" s="436" t="s">
        <v>1630</v>
      </c>
      <c r="J502" s="26" t="s">
        <v>1629</v>
      </c>
      <c r="K502" s="10">
        <v>25</v>
      </c>
      <c r="L502" s="73">
        <f>IF(Tank1!$C$23="No control",(SUMIF(Tank1!$B$32:$B$49,$J502,Tank1!$C$32:$C$49)*Impacts!$F$8),0)</f>
        <v>0</v>
      </c>
      <c r="M502" s="10">
        <f>IF(Tank2!$C$23="No control",(SUMIF(Tank2!$B$32:$B$49,$J502,Tank2!$C$32:$C$49)*Impacts!$F$9),0)</f>
        <v>0</v>
      </c>
      <c r="N502" s="10">
        <f>IF(Tank3!$C$23="No control",(SUMIF(Tank3!$B$32:$B$49,$J502,Tank3!$C$32:$C$49)*Impacts!$F$10),0)</f>
        <v>0</v>
      </c>
      <c r="O502" s="10">
        <f>IF(Tank4!$C$23="No control",(SUMIF(Tank4!$B$32:$B$49,$J502,Tank4!$C$32:$C$49)*Impacts!$F$11),0)</f>
        <v>0</v>
      </c>
      <c r="P502" s="10">
        <f>IF(Tank5!$C$23="No control",(SUMIF(Tank5!$B$32:$B$49,$J502,Tank5!$C$32:$C$49)*Impacts!$F$12),0)</f>
        <v>0</v>
      </c>
      <c r="Q502" s="10">
        <f>IFERROR(IF(('Loading-drum,tote'!$C$21)="No control",SUMIF(('Loading-drum,tote'!$B$31:$B$48),$J502,('Loading-drum,tote'!$D$31:$D$48))*Impacts!$F$13,IF(('Loading-drum,tote'!$C$21)&lt;&gt;"No control",SUMIF(('Loading-drum,tote'!$B$31:$B$48),$J502,('Loading-drum,tote'!$E$31:$E$48))*Impacts!$F$13,0)),0)</f>
        <v>0</v>
      </c>
      <c r="R502" s="10">
        <f>IFERROR(IF(('Loading-truck'!$C$21)="No control",SUMIF(('Loading-truck'!$B$31:$B$48),$J502,('Loading-truck'!$D$31:$D$48))*Impacts!$F$14,IF(('Loading-truck'!$C$21)&lt;&gt;"No control",SUMIF(('Loading-truck'!$B$31:$B$48),$J502,('Loading-truck'!$E$31:$E$48))*Impacts!$F$14,0)),0)</f>
        <v>0</v>
      </c>
      <c r="S502" s="10">
        <f>IFERROR(IF(('Loading-rail'!$C$21)="No control",SUMIF(('Loading-rail'!$B$31:$B$48),$J502,('Loading-rail'!$D$31:$D$48))*Impacts!$F$15,IF(('Loading-rail'!$C$21)&lt;&gt;"No control",SUMIF(('Loading-rail'!$B$31:$B$48),$J502,('Loading-rail'!$E$31:$E$48))*Impacts!$F$15,0)),0)</f>
        <v>0</v>
      </c>
      <c r="T502" s="10">
        <f>IF(Flare!$C$7="",0,(SUMIF(Flare!$B$46:$B$185,$J502,Flare!$E$46:$E$185)*Impacts!$F$16))</f>
        <v>0</v>
      </c>
      <c r="U502" s="10">
        <f>IF(VCU!$C$9="",0,(SUMIF(VCU!$B$51:$B$193,$J502,VCU!$E$51:$E$193)*Impacts!$F$17))</f>
        <v>0</v>
      </c>
      <c r="V502" s="10">
        <f>IF(CAS!$C$7="",0,(SUMIF(CAS!$B$31:$B$167,$J502,CAS!$E$31:$E$167)*Impacts!$F$18))</f>
        <v>0</v>
      </c>
      <c r="W502" s="10">
        <f t="shared" si="49"/>
        <v>0</v>
      </c>
      <c r="AK502" s="10" t="str">
        <f t="array" ref="AK502">IFERROR(INDEX(SelectedSpecies,SMALL(IF(SelectedSpecies=AK$1,ROW(SelectedSpecies)),ROW(503:503)),2),"")</f>
        <v/>
      </c>
      <c r="BE502" s="10"/>
      <c r="BI502" s="10"/>
    </row>
    <row r="503" spans="1:61" ht="21" customHeight="1" x14ac:dyDescent="0.25">
      <c r="A503" s="10"/>
      <c r="B503" s="10"/>
      <c r="E503" s="10"/>
      <c r="G503" s="10"/>
      <c r="I503" s="436" t="s">
        <v>3529</v>
      </c>
      <c r="J503" s="26" t="s">
        <v>3528</v>
      </c>
      <c r="K503" s="10">
        <v>8.5</v>
      </c>
      <c r="L503" s="73">
        <f>IF(Tank1!$C$23="No control",(SUMIF(Tank1!$B$32:$B$49,$J503,Tank1!$C$32:$C$49)*Impacts!$F$8),0)</f>
        <v>0</v>
      </c>
      <c r="M503" s="10">
        <f>IF(Tank2!$C$23="No control",(SUMIF(Tank2!$B$32:$B$49,$J503,Tank2!$C$32:$C$49)*Impacts!$F$9),0)</f>
        <v>0</v>
      </c>
      <c r="N503" s="10">
        <f>IF(Tank3!$C$23="No control",(SUMIF(Tank3!$B$32:$B$49,$J503,Tank3!$C$32:$C$49)*Impacts!$F$10),0)</f>
        <v>0</v>
      </c>
      <c r="O503" s="10">
        <f>IF(Tank4!$C$23="No control",(SUMIF(Tank4!$B$32:$B$49,$J503,Tank4!$C$32:$C$49)*Impacts!$F$11),0)</f>
        <v>0</v>
      </c>
      <c r="P503" s="10">
        <f>IF(Tank5!$C$23="No control",(SUMIF(Tank5!$B$32:$B$49,$J503,Tank5!$C$32:$C$49)*Impacts!$F$12),0)</f>
        <v>0</v>
      </c>
      <c r="Q503" s="10">
        <f>IFERROR(IF(('Loading-drum,tote'!$C$21)="No control",SUMIF(('Loading-drum,tote'!$B$31:$B$48),$J503,('Loading-drum,tote'!$D$31:$D$48))*Impacts!$F$13,IF(('Loading-drum,tote'!$C$21)&lt;&gt;"No control",SUMIF(('Loading-drum,tote'!$B$31:$B$48),$J503,('Loading-drum,tote'!$E$31:$E$48))*Impacts!$F$13,0)),0)</f>
        <v>0</v>
      </c>
      <c r="R503" s="10">
        <f>IFERROR(IF(('Loading-truck'!$C$21)="No control",SUMIF(('Loading-truck'!$B$31:$B$48),$J503,('Loading-truck'!$D$31:$D$48))*Impacts!$F$14,IF(('Loading-truck'!$C$21)&lt;&gt;"No control",SUMIF(('Loading-truck'!$B$31:$B$48),$J503,('Loading-truck'!$E$31:$E$48))*Impacts!$F$14,0)),0)</f>
        <v>0</v>
      </c>
      <c r="S503" s="10">
        <f>IFERROR(IF(('Loading-rail'!$C$21)="No control",SUMIF(('Loading-rail'!$B$31:$B$48),$J503,('Loading-rail'!$D$31:$D$48))*Impacts!$F$15,IF(('Loading-rail'!$C$21)&lt;&gt;"No control",SUMIF(('Loading-rail'!$B$31:$B$48),$J503,('Loading-rail'!$E$31:$E$48))*Impacts!$F$15,0)),0)</f>
        <v>0</v>
      </c>
      <c r="T503" s="10">
        <f>IF(Flare!$C$7="",0,(SUMIF(Flare!$B$46:$B$185,$J503,Flare!$E$46:$E$185)*Impacts!$F$16))</f>
        <v>0</v>
      </c>
      <c r="U503" s="10">
        <f>IF(VCU!$C$9="",0,(SUMIF(VCU!$B$51:$B$193,$J503,VCU!$E$51:$E$193)*Impacts!$F$17))</f>
        <v>0</v>
      </c>
      <c r="V503" s="10">
        <f>IF(CAS!$C$7="",0,(SUMIF(CAS!$B$31:$B$167,$J503,CAS!$E$31:$E$167)*Impacts!$F$18))</f>
        <v>0</v>
      </c>
      <c r="W503" s="10">
        <f t="shared" si="49"/>
        <v>0</v>
      </c>
      <c r="AK503" s="10" t="str">
        <f t="array" ref="AK503">IFERROR(INDEX(SelectedSpecies,SMALL(IF(SelectedSpecies=AK$1,ROW(SelectedSpecies)),ROW(504:504)),2),"")</f>
        <v/>
      </c>
      <c r="BE503" s="10"/>
      <c r="BI503" s="10"/>
    </row>
    <row r="504" spans="1:61" ht="21" customHeight="1" x14ac:dyDescent="0.25">
      <c r="A504" s="10"/>
      <c r="B504" s="10"/>
      <c r="E504" s="10"/>
      <c r="G504" s="10"/>
      <c r="I504" s="436" t="s">
        <v>5129</v>
      </c>
      <c r="J504" s="26" t="s">
        <v>5128</v>
      </c>
      <c r="K504" s="10">
        <v>2</v>
      </c>
      <c r="L504" s="73">
        <f>IF(Tank1!$C$23="No control",(SUMIF(Tank1!$B$32:$B$49,$J504,Tank1!$C$32:$C$49)*Impacts!$F$8),0)</f>
        <v>0</v>
      </c>
      <c r="M504" s="10">
        <f>IF(Tank2!$C$23="No control",(SUMIF(Tank2!$B$32:$B$49,$J504,Tank2!$C$32:$C$49)*Impacts!$F$9),0)</f>
        <v>0</v>
      </c>
      <c r="N504" s="10">
        <f>IF(Tank3!$C$23="No control",(SUMIF(Tank3!$B$32:$B$49,$J504,Tank3!$C$32:$C$49)*Impacts!$F$10),0)</f>
        <v>0</v>
      </c>
      <c r="O504" s="10">
        <f>IF(Tank4!$C$23="No control",(SUMIF(Tank4!$B$32:$B$49,$J504,Tank4!$C$32:$C$49)*Impacts!$F$11),0)</f>
        <v>0</v>
      </c>
      <c r="P504" s="10">
        <f>IF(Tank5!$C$23="No control",(SUMIF(Tank5!$B$32:$B$49,$J504,Tank5!$C$32:$C$49)*Impacts!$F$12),0)</f>
        <v>0</v>
      </c>
      <c r="Q504" s="10">
        <f>IFERROR(IF(('Loading-drum,tote'!$C$21)="No control",SUMIF(('Loading-drum,tote'!$B$31:$B$48),$J504,('Loading-drum,tote'!$D$31:$D$48))*Impacts!$F$13,IF(('Loading-drum,tote'!$C$21)&lt;&gt;"No control",SUMIF(('Loading-drum,tote'!$B$31:$B$48),$J504,('Loading-drum,tote'!$E$31:$E$48))*Impacts!$F$13,0)),0)</f>
        <v>0</v>
      </c>
      <c r="R504" s="10">
        <f>IFERROR(IF(('Loading-truck'!$C$21)="No control",SUMIF(('Loading-truck'!$B$31:$B$48),$J504,('Loading-truck'!$D$31:$D$48))*Impacts!$F$14,IF(('Loading-truck'!$C$21)&lt;&gt;"No control",SUMIF(('Loading-truck'!$B$31:$B$48),$J504,('Loading-truck'!$E$31:$E$48))*Impacts!$F$14,0)),0)</f>
        <v>0</v>
      </c>
      <c r="S504" s="10">
        <f>IFERROR(IF(('Loading-rail'!$C$21)="No control",SUMIF(('Loading-rail'!$B$31:$B$48),$J504,('Loading-rail'!$D$31:$D$48))*Impacts!$F$15,IF(('Loading-rail'!$C$21)&lt;&gt;"No control",SUMIF(('Loading-rail'!$B$31:$B$48),$J504,('Loading-rail'!$E$31:$E$48))*Impacts!$F$15,0)),0)</f>
        <v>0</v>
      </c>
      <c r="T504" s="10">
        <f>IF(Flare!$C$7="",0,(SUMIF(Flare!$B$46:$B$185,$J504,Flare!$E$46:$E$185)*Impacts!$F$16))</f>
        <v>0</v>
      </c>
      <c r="U504" s="10">
        <f>IF(VCU!$C$9="",0,(SUMIF(VCU!$B$51:$B$193,$J504,VCU!$E$51:$E$193)*Impacts!$F$17))</f>
        <v>0</v>
      </c>
      <c r="V504" s="10">
        <f>IF(CAS!$C$7="",0,(SUMIF(CAS!$B$31:$B$167,$J504,CAS!$E$31:$E$167)*Impacts!$F$18))</f>
        <v>0</v>
      </c>
      <c r="W504" s="10">
        <f t="shared" si="49"/>
        <v>0</v>
      </c>
      <c r="AK504" s="10" t="str">
        <f t="array" ref="AK504">IFERROR(INDEX(SelectedSpecies,SMALL(IF(SelectedSpecies=AK$1,ROW(SelectedSpecies)),ROW(505:505)),2),"")</f>
        <v/>
      </c>
      <c r="BE504" s="10"/>
      <c r="BI504" s="10"/>
    </row>
    <row r="505" spans="1:61" ht="21" customHeight="1" x14ac:dyDescent="0.25">
      <c r="A505" s="10"/>
      <c r="B505" s="10"/>
      <c r="E505" s="10"/>
      <c r="G505" s="10"/>
      <c r="I505" s="436" t="s">
        <v>5551</v>
      </c>
      <c r="J505" s="26" t="s">
        <v>5550</v>
      </c>
      <c r="K505" s="10">
        <v>1.2000000000000002</v>
      </c>
      <c r="L505" s="73">
        <f>IF(Tank1!$C$23="No control",(SUMIF(Tank1!$B$32:$B$49,$J505,Tank1!$C$32:$C$49)*Impacts!$F$8),0)</f>
        <v>0</v>
      </c>
      <c r="M505" s="10">
        <f>IF(Tank2!$C$23="No control",(SUMIF(Tank2!$B$32:$B$49,$J505,Tank2!$C$32:$C$49)*Impacts!$F$9),0)</f>
        <v>0</v>
      </c>
      <c r="N505" s="10">
        <f>IF(Tank3!$C$23="No control",(SUMIF(Tank3!$B$32:$B$49,$J505,Tank3!$C$32:$C$49)*Impacts!$F$10),0)</f>
        <v>0</v>
      </c>
      <c r="O505" s="10">
        <f>IF(Tank4!$C$23="No control",(SUMIF(Tank4!$B$32:$B$49,$J505,Tank4!$C$32:$C$49)*Impacts!$F$11),0)</f>
        <v>0</v>
      </c>
      <c r="P505" s="10">
        <f>IF(Tank5!$C$23="No control",(SUMIF(Tank5!$B$32:$B$49,$J505,Tank5!$C$32:$C$49)*Impacts!$F$12),0)</f>
        <v>0</v>
      </c>
      <c r="Q505" s="10">
        <f>IFERROR(IF(('Loading-drum,tote'!$C$21)="No control",SUMIF(('Loading-drum,tote'!$B$31:$B$48),$J505,('Loading-drum,tote'!$D$31:$D$48))*Impacts!$F$13,IF(('Loading-drum,tote'!$C$21)&lt;&gt;"No control",SUMIF(('Loading-drum,tote'!$B$31:$B$48),$J505,('Loading-drum,tote'!$E$31:$E$48))*Impacts!$F$13,0)),0)</f>
        <v>0</v>
      </c>
      <c r="R505" s="10">
        <f>IFERROR(IF(('Loading-truck'!$C$21)="No control",SUMIF(('Loading-truck'!$B$31:$B$48),$J505,('Loading-truck'!$D$31:$D$48))*Impacts!$F$14,IF(('Loading-truck'!$C$21)&lt;&gt;"No control",SUMIF(('Loading-truck'!$B$31:$B$48),$J505,('Loading-truck'!$E$31:$E$48))*Impacts!$F$14,0)),0)</f>
        <v>0</v>
      </c>
      <c r="S505" s="10">
        <f>IFERROR(IF(('Loading-rail'!$C$21)="No control",SUMIF(('Loading-rail'!$B$31:$B$48),$J505,('Loading-rail'!$D$31:$D$48))*Impacts!$F$15,IF(('Loading-rail'!$C$21)&lt;&gt;"No control",SUMIF(('Loading-rail'!$B$31:$B$48),$J505,('Loading-rail'!$E$31:$E$48))*Impacts!$F$15,0)),0)</f>
        <v>0</v>
      </c>
      <c r="T505" s="10">
        <f>IF(Flare!$C$7="",0,(SUMIF(Flare!$B$46:$B$185,$J505,Flare!$E$46:$E$185)*Impacts!$F$16))</f>
        <v>0</v>
      </c>
      <c r="U505" s="10">
        <f>IF(VCU!$C$9="",0,(SUMIF(VCU!$B$51:$B$193,$J505,VCU!$E$51:$E$193)*Impacts!$F$17))</f>
        <v>0</v>
      </c>
      <c r="V505" s="10">
        <f>IF(CAS!$C$7="",0,(SUMIF(CAS!$B$31:$B$167,$J505,CAS!$E$31:$E$167)*Impacts!$F$18))</f>
        <v>0</v>
      </c>
      <c r="W505" s="10">
        <f t="shared" si="49"/>
        <v>0</v>
      </c>
      <c r="AK505" s="10" t="str">
        <f t="array" ref="AK505">IFERROR(INDEX(SelectedSpecies,SMALL(IF(SelectedSpecies=AK$1,ROW(SelectedSpecies)),ROW(506:506)),2),"")</f>
        <v/>
      </c>
      <c r="BE505" s="10"/>
      <c r="BI505" s="10"/>
    </row>
    <row r="506" spans="1:61" ht="21" customHeight="1" x14ac:dyDescent="0.25">
      <c r="A506" s="10"/>
      <c r="B506" s="10"/>
      <c r="E506" s="10"/>
      <c r="G506" s="10"/>
      <c r="I506" s="436" t="s">
        <v>6458</v>
      </c>
      <c r="J506" s="26" t="s">
        <v>6457</v>
      </c>
      <c r="K506" s="10">
        <v>0.79</v>
      </c>
      <c r="L506" s="73">
        <f>IF(Tank1!$C$23="No control",(SUMIF(Tank1!$B$32:$B$49,$J506,Tank1!$C$32:$C$49)*Impacts!$F$8),0)</f>
        <v>0</v>
      </c>
      <c r="M506" s="10">
        <f>IF(Tank2!$C$23="No control",(SUMIF(Tank2!$B$32:$B$49,$J506,Tank2!$C$32:$C$49)*Impacts!$F$9),0)</f>
        <v>0</v>
      </c>
      <c r="N506" s="10">
        <f>IF(Tank3!$C$23="No control",(SUMIF(Tank3!$B$32:$B$49,$J506,Tank3!$C$32:$C$49)*Impacts!$F$10),0)</f>
        <v>0</v>
      </c>
      <c r="O506" s="10">
        <f>IF(Tank4!$C$23="No control",(SUMIF(Tank4!$B$32:$B$49,$J506,Tank4!$C$32:$C$49)*Impacts!$F$11),0)</f>
        <v>0</v>
      </c>
      <c r="P506" s="10">
        <f>IF(Tank5!$C$23="No control",(SUMIF(Tank5!$B$32:$B$49,$J506,Tank5!$C$32:$C$49)*Impacts!$F$12),0)</f>
        <v>0</v>
      </c>
      <c r="Q506" s="10">
        <f>IFERROR(IF(('Loading-drum,tote'!$C$21)="No control",SUMIF(('Loading-drum,tote'!$B$31:$B$48),$J506,('Loading-drum,tote'!$D$31:$D$48))*Impacts!$F$13,IF(('Loading-drum,tote'!$C$21)&lt;&gt;"No control",SUMIF(('Loading-drum,tote'!$B$31:$B$48),$J506,('Loading-drum,tote'!$E$31:$E$48))*Impacts!$F$13,0)),0)</f>
        <v>0</v>
      </c>
      <c r="R506" s="10">
        <f>IFERROR(IF(('Loading-truck'!$C$21)="No control",SUMIF(('Loading-truck'!$B$31:$B$48),$J506,('Loading-truck'!$D$31:$D$48))*Impacts!$F$14,IF(('Loading-truck'!$C$21)&lt;&gt;"No control",SUMIF(('Loading-truck'!$B$31:$B$48),$J506,('Loading-truck'!$E$31:$E$48))*Impacts!$F$14,0)),0)</f>
        <v>0</v>
      </c>
      <c r="S506" s="10">
        <f>IFERROR(IF(('Loading-rail'!$C$21)="No control",SUMIF(('Loading-rail'!$B$31:$B$48),$J506,('Loading-rail'!$D$31:$D$48))*Impacts!$F$15,IF(('Loading-rail'!$C$21)&lt;&gt;"No control",SUMIF(('Loading-rail'!$B$31:$B$48),$J506,('Loading-rail'!$E$31:$E$48))*Impacts!$F$15,0)),0)</f>
        <v>0</v>
      </c>
      <c r="T506" s="10">
        <f>IF(Flare!$C$7="",0,(SUMIF(Flare!$B$46:$B$185,$J506,Flare!$E$46:$E$185)*Impacts!$F$16))</f>
        <v>0</v>
      </c>
      <c r="U506" s="10">
        <f>IF(VCU!$C$9="",0,(SUMIF(VCU!$B$51:$B$193,$J506,VCU!$E$51:$E$193)*Impacts!$F$17))</f>
        <v>0</v>
      </c>
      <c r="V506" s="10">
        <f>IF(CAS!$C$7="",0,(SUMIF(CAS!$B$31:$B$167,$J506,CAS!$E$31:$E$167)*Impacts!$F$18))</f>
        <v>0</v>
      </c>
      <c r="W506" s="10">
        <f t="shared" si="49"/>
        <v>0</v>
      </c>
      <c r="AK506" s="10" t="str">
        <f t="array" ref="AK506">IFERROR(INDEX(SelectedSpecies,SMALL(IF(SelectedSpecies=AK$1,ROW(SelectedSpecies)),ROW(507:507)),2),"")</f>
        <v/>
      </c>
      <c r="BE506" s="10"/>
      <c r="BI506" s="10"/>
    </row>
    <row r="507" spans="1:61" ht="21" customHeight="1" x14ac:dyDescent="0.25">
      <c r="A507" s="10"/>
      <c r="B507" s="10"/>
      <c r="E507" s="10"/>
      <c r="G507" s="10"/>
      <c r="I507" s="436" t="s">
        <v>8120</v>
      </c>
      <c r="J507" s="26" t="s">
        <v>8119</v>
      </c>
      <c r="K507" s="10">
        <v>1.0000000000000002E-2</v>
      </c>
      <c r="L507" s="73">
        <f>IF(Tank1!$C$23="No control",(SUMIF(Tank1!$B$32:$B$49,$J507,Tank1!$C$32:$C$49)*Impacts!$F$8),0)</f>
        <v>0</v>
      </c>
      <c r="M507" s="10">
        <f>IF(Tank2!$C$23="No control",(SUMIF(Tank2!$B$32:$B$49,$J507,Tank2!$C$32:$C$49)*Impacts!$F$9),0)</f>
        <v>0</v>
      </c>
      <c r="N507" s="10">
        <f>IF(Tank3!$C$23="No control",(SUMIF(Tank3!$B$32:$B$49,$J507,Tank3!$C$32:$C$49)*Impacts!$F$10),0)</f>
        <v>0</v>
      </c>
      <c r="O507" s="10">
        <f>IF(Tank4!$C$23="No control",(SUMIF(Tank4!$B$32:$B$49,$J507,Tank4!$C$32:$C$49)*Impacts!$F$11),0)</f>
        <v>0</v>
      </c>
      <c r="P507" s="10">
        <f>IF(Tank5!$C$23="No control",(SUMIF(Tank5!$B$32:$B$49,$J507,Tank5!$C$32:$C$49)*Impacts!$F$12),0)</f>
        <v>0</v>
      </c>
      <c r="Q507" s="10">
        <f>IFERROR(IF(('Loading-drum,tote'!$C$21)="No control",SUMIF(('Loading-drum,tote'!$B$31:$B$48),$J507,('Loading-drum,tote'!$D$31:$D$48))*Impacts!$F$13,IF(('Loading-drum,tote'!$C$21)&lt;&gt;"No control",SUMIF(('Loading-drum,tote'!$B$31:$B$48),$J507,('Loading-drum,tote'!$E$31:$E$48))*Impacts!$F$13,0)),0)</f>
        <v>0</v>
      </c>
      <c r="R507" s="10">
        <f>IFERROR(IF(('Loading-truck'!$C$21)="No control",SUMIF(('Loading-truck'!$B$31:$B$48),$J507,('Loading-truck'!$D$31:$D$48))*Impacts!$F$14,IF(('Loading-truck'!$C$21)&lt;&gt;"No control",SUMIF(('Loading-truck'!$B$31:$B$48),$J507,('Loading-truck'!$E$31:$E$48))*Impacts!$F$14,0)),0)</f>
        <v>0</v>
      </c>
      <c r="S507" s="10">
        <f>IFERROR(IF(('Loading-rail'!$C$21)="No control",SUMIF(('Loading-rail'!$B$31:$B$48),$J507,('Loading-rail'!$D$31:$D$48))*Impacts!$F$15,IF(('Loading-rail'!$C$21)&lt;&gt;"No control",SUMIF(('Loading-rail'!$B$31:$B$48),$J507,('Loading-rail'!$E$31:$E$48))*Impacts!$F$15,0)),0)</f>
        <v>0</v>
      </c>
      <c r="T507" s="10">
        <f>IF(Flare!$C$7="",0,(SUMIF(Flare!$B$46:$B$185,$J507,Flare!$E$46:$E$185)*Impacts!$F$16))</f>
        <v>0</v>
      </c>
      <c r="U507" s="10">
        <f>IF(VCU!$C$9="",0,(SUMIF(VCU!$B$51:$B$193,$J507,VCU!$E$51:$E$193)*Impacts!$F$17))</f>
        <v>0</v>
      </c>
      <c r="V507" s="10">
        <f>IF(CAS!$C$7="",0,(SUMIF(CAS!$B$31:$B$167,$J507,CAS!$E$31:$E$167)*Impacts!$F$18))</f>
        <v>0</v>
      </c>
      <c r="W507" s="10">
        <f t="shared" si="49"/>
        <v>0</v>
      </c>
      <c r="AK507" s="10" t="str">
        <f t="array" ref="AK507">IFERROR(INDEX(SelectedSpecies,SMALL(IF(SelectedSpecies=AK$1,ROW(SelectedSpecies)),ROW(508:508)),2),"")</f>
        <v/>
      </c>
      <c r="BE507" s="10"/>
      <c r="BI507" s="10"/>
    </row>
    <row r="508" spans="1:61" ht="21" customHeight="1" x14ac:dyDescent="0.25">
      <c r="A508" s="10"/>
      <c r="B508" s="10"/>
      <c r="E508" s="10"/>
      <c r="G508" s="10"/>
      <c r="I508" s="436" t="s">
        <v>768</v>
      </c>
      <c r="J508" s="26" t="s">
        <v>767</v>
      </c>
      <c r="K508" s="10">
        <v>54</v>
      </c>
      <c r="L508" s="73">
        <f>IF(Tank1!$C$23="No control",(SUMIF(Tank1!$B$32:$B$49,$J508,Tank1!$C$32:$C$49)*Impacts!$F$8),0)</f>
        <v>0</v>
      </c>
      <c r="M508" s="10">
        <f>IF(Tank2!$C$23="No control",(SUMIF(Tank2!$B$32:$B$49,$J508,Tank2!$C$32:$C$49)*Impacts!$F$9),0)</f>
        <v>0</v>
      </c>
      <c r="N508" s="10">
        <f>IF(Tank3!$C$23="No control",(SUMIF(Tank3!$B$32:$B$49,$J508,Tank3!$C$32:$C$49)*Impacts!$F$10),0)</f>
        <v>0</v>
      </c>
      <c r="O508" s="10">
        <f>IF(Tank4!$C$23="No control",(SUMIF(Tank4!$B$32:$B$49,$J508,Tank4!$C$32:$C$49)*Impacts!$F$11),0)</f>
        <v>0</v>
      </c>
      <c r="P508" s="10">
        <f>IF(Tank5!$C$23="No control",(SUMIF(Tank5!$B$32:$B$49,$J508,Tank5!$C$32:$C$49)*Impacts!$F$12),0)</f>
        <v>0</v>
      </c>
      <c r="Q508" s="10">
        <f>IFERROR(IF(('Loading-drum,tote'!$C$21)="No control",SUMIF(('Loading-drum,tote'!$B$31:$B$48),$J508,('Loading-drum,tote'!$D$31:$D$48))*Impacts!$F$13,IF(('Loading-drum,tote'!$C$21)&lt;&gt;"No control",SUMIF(('Loading-drum,tote'!$B$31:$B$48),$J508,('Loading-drum,tote'!$E$31:$E$48))*Impacts!$F$13,0)),0)</f>
        <v>0</v>
      </c>
      <c r="R508" s="10">
        <f>IFERROR(IF(('Loading-truck'!$C$21)="No control",SUMIF(('Loading-truck'!$B$31:$B$48),$J508,('Loading-truck'!$D$31:$D$48))*Impacts!$F$14,IF(('Loading-truck'!$C$21)&lt;&gt;"No control",SUMIF(('Loading-truck'!$B$31:$B$48),$J508,('Loading-truck'!$E$31:$E$48))*Impacts!$F$14,0)),0)</f>
        <v>0</v>
      </c>
      <c r="S508" s="10">
        <f>IFERROR(IF(('Loading-rail'!$C$21)="No control",SUMIF(('Loading-rail'!$B$31:$B$48),$J508,('Loading-rail'!$D$31:$D$48))*Impacts!$F$15,IF(('Loading-rail'!$C$21)&lt;&gt;"No control",SUMIF(('Loading-rail'!$B$31:$B$48),$J508,('Loading-rail'!$E$31:$E$48))*Impacts!$F$15,0)),0)</f>
        <v>0</v>
      </c>
      <c r="T508" s="10">
        <f>IF(Flare!$C$7="",0,(SUMIF(Flare!$B$46:$B$185,$J508,Flare!$E$46:$E$185)*Impacts!$F$16))</f>
        <v>0</v>
      </c>
      <c r="U508" s="10">
        <f>IF(VCU!$C$9="",0,(SUMIF(VCU!$B$51:$B$193,$J508,VCU!$E$51:$E$193)*Impacts!$F$17))</f>
        <v>0</v>
      </c>
      <c r="V508" s="10">
        <f>IF(CAS!$C$7="",0,(SUMIF(CAS!$B$31:$B$167,$J508,CAS!$E$31:$E$167)*Impacts!$F$18))</f>
        <v>0</v>
      </c>
      <c r="W508" s="10">
        <f t="shared" si="49"/>
        <v>0</v>
      </c>
      <c r="AK508" s="10" t="str">
        <f t="array" ref="AK508">IFERROR(INDEX(SelectedSpecies,SMALL(IF(SelectedSpecies=AK$1,ROW(SelectedSpecies)),ROW(509:509)),2),"")</f>
        <v/>
      </c>
      <c r="BE508" s="10"/>
      <c r="BI508" s="10"/>
    </row>
    <row r="509" spans="1:61" ht="21" customHeight="1" x14ac:dyDescent="0.25">
      <c r="A509" s="10"/>
      <c r="B509" s="10"/>
      <c r="E509" s="10"/>
      <c r="G509" s="10"/>
      <c r="I509" s="436" t="s">
        <v>1216</v>
      </c>
      <c r="J509" s="26" t="s">
        <v>1215</v>
      </c>
      <c r="K509" s="10">
        <v>34</v>
      </c>
      <c r="L509" s="73">
        <f>IF(Tank1!$C$23="No control",(SUMIF(Tank1!$B$32:$B$49,$J509,Tank1!$C$32:$C$49)*Impacts!$F$8),0)</f>
        <v>0</v>
      </c>
      <c r="M509" s="10">
        <f>IF(Tank2!$C$23="No control",(SUMIF(Tank2!$B$32:$B$49,$J509,Tank2!$C$32:$C$49)*Impacts!$F$9),0)</f>
        <v>0</v>
      </c>
      <c r="N509" s="10">
        <f>IF(Tank3!$C$23="No control",(SUMIF(Tank3!$B$32:$B$49,$J509,Tank3!$C$32:$C$49)*Impacts!$F$10),0)</f>
        <v>0</v>
      </c>
      <c r="O509" s="10">
        <f>IF(Tank4!$C$23="No control",(SUMIF(Tank4!$B$32:$B$49,$J509,Tank4!$C$32:$C$49)*Impacts!$F$11),0)</f>
        <v>0</v>
      </c>
      <c r="P509" s="10">
        <f>IF(Tank5!$C$23="No control",(SUMIF(Tank5!$B$32:$B$49,$J509,Tank5!$C$32:$C$49)*Impacts!$F$12),0)</f>
        <v>0</v>
      </c>
      <c r="Q509" s="10">
        <f>IFERROR(IF(('Loading-drum,tote'!$C$21)="No control",SUMIF(('Loading-drum,tote'!$B$31:$B$48),$J509,('Loading-drum,tote'!$D$31:$D$48))*Impacts!$F$13,IF(('Loading-drum,tote'!$C$21)&lt;&gt;"No control",SUMIF(('Loading-drum,tote'!$B$31:$B$48),$J509,('Loading-drum,tote'!$E$31:$E$48))*Impacts!$F$13,0)),0)</f>
        <v>0</v>
      </c>
      <c r="R509" s="10">
        <f>IFERROR(IF(('Loading-truck'!$C$21)="No control",SUMIF(('Loading-truck'!$B$31:$B$48),$J509,('Loading-truck'!$D$31:$D$48))*Impacts!$F$14,IF(('Loading-truck'!$C$21)&lt;&gt;"No control",SUMIF(('Loading-truck'!$B$31:$B$48),$J509,('Loading-truck'!$E$31:$E$48))*Impacts!$F$14,0)),0)</f>
        <v>0</v>
      </c>
      <c r="S509" s="10">
        <f>IFERROR(IF(('Loading-rail'!$C$21)="No control",SUMIF(('Loading-rail'!$B$31:$B$48),$J509,('Loading-rail'!$D$31:$D$48))*Impacts!$F$15,IF(('Loading-rail'!$C$21)&lt;&gt;"No control",SUMIF(('Loading-rail'!$B$31:$B$48),$J509,('Loading-rail'!$E$31:$E$48))*Impacts!$F$15,0)),0)</f>
        <v>0</v>
      </c>
      <c r="T509" s="10">
        <f>IF(Flare!$C$7="",0,(SUMIF(Flare!$B$46:$B$185,$J509,Flare!$E$46:$E$185)*Impacts!$F$16))</f>
        <v>0</v>
      </c>
      <c r="U509" s="10">
        <f>IF(VCU!$C$9="",0,(SUMIF(VCU!$B$51:$B$193,$J509,VCU!$E$51:$E$193)*Impacts!$F$17))</f>
        <v>0</v>
      </c>
      <c r="V509" s="10">
        <f>IF(CAS!$C$7="",0,(SUMIF(CAS!$B$31:$B$167,$J509,CAS!$E$31:$E$167)*Impacts!$F$18))</f>
        <v>0</v>
      </c>
      <c r="W509" s="10">
        <f t="shared" si="49"/>
        <v>0</v>
      </c>
      <c r="AK509" s="10" t="str">
        <f t="array" ref="AK509">IFERROR(INDEX(SelectedSpecies,SMALL(IF(SelectedSpecies=AK$1,ROW(SelectedSpecies)),ROW(510:510)),2),"")</f>
        <v/>
      </c>
      <c r="BE509" s="10"/>
      <c r="BI509" s="10"/>
    </row>
    <row r="510" spans="1:61" ht="21" customHeight="1" x14ac:dyDescent="0.25">
      <c r="A510" s="10"/>
      <c r="B510" s="10"/>
      <c r="E510" s="10"/>
      <c r="G510" s="10"/>
      <c r="I510" s="436" t="s">
        <v>6740</v>
      </c>
      <c r="J510" s="26" t="s">
        <v>6739</v>
      </c>
      <c r="K510" s="10">
        <v>0.5</v>
      </c>
      <c r="L510" s="73">
        <f>IF(Tank1!$C$23="No control",(SUMIF(Tank1!$B$32:$B$49,$J510,Tank1!$C$32:$C$49)*Impacts!$F$8),0)</f>
        <v>0</v>
      </c>
      <c r="M510" s="10">
        <f>IF(Tank2!$C$23="No control",(SUMIF(Tank2!$B$32:$B$49,$J510,Tank2!$C$32:$C$49)*Impacts!$F$9),0)</f>
        <v>0</v>
      </c>
      <c r="N510" s="10">
        <f>IF(Tank3!$C$23="No control",(SUMIF(Tank3!$B$32:$B$49,$J510,Tank3!$C$32:$C$49)*Impacts!$F$10),0)</f>
        <v>0</v>
      </c>
      <c r="O510" s="10">
        <f>IF(Tank4!$C$23="No control",(SUMIF(Tank4!$B$32:$B$49,$J510,Tank4!$C$32:$C$49)*Impacts!$F$11),0)</f>
        <v>0</v>
      </c>
      <c r="P510" s="10">
        <f>IF(Tank5!$C$23="No control",(SUMIF(Tank5!$B$32:$B$49,$J510,Tank5!$C$32:$C$49)*Impacts!$F$12),0)</f>
        <v>0</v>
      </c>
      <c r="Q510" s="10">
        <f>IFERROR(IF(('Loading-drum,tote'!$C$21)="No control",SUMIF(('Loading-drum,tote'!$B$31:$B$48),$J510,('Loading-drum,tote'!$D$31:$D$48))*Impacts!$F$13,IF(('Loading-drum,tote'!$C$21)&lt;&gt;"No control",SUMIF(('Loading-drum,tote'!$B$31:$B$48),$J510,('Loading-drum,tote'!$E$31:$E$48))*Impacts!$F$13,0)),0)</f>
        <v>0</v>
      </c>
      <c r="R510" s="10">
        <f>IFERROR(IF(('Loading-truck'!$C$21)="No control",SUMIF(('Loading-truck'!$B$31:$B$48),$J510,('Loading-truck'!$D$31:$D$48))*Impacts!$F$14,IF(('Loading-truck'!$C$21)&lt;&gt;"No control",SUMIF(('Loading-truck'!$B$31:$B$48),$J510,('Loading-truck'!$E$31:$E$48))*Impacts!$F$14,0)),0)</f>
        <v>0</v>
      </c>
      <c r="S510" s="10">
        <f>IFERROR(IF(('Loading-rail'!$C$21)="No control",SUMIF(('Loading-rail'!$B$31:$B$48),$J510,('Loading-rail'!$D$31:$D$48))*Impacts!$F$15,IF(('Loading-rail'!$C$21)&lt;&gt;"No control",SUMIF(('Loading-rail'!$B$31:$B$48),$J510,('Loading-rail'!$E$31:$E$48))*Impacts!$F$15,0)),0)</f>
        <v>0</v>
      </c>
      <c r="T510" s="10">
        <f>IF(Flare!$C$7="",0,(SUMIF(Flare!$B$46:$B$185,$J510,Flare!$E$46:$E$185)*Impacts!$F$16))</f>
        <v>0</v>
      </c>
      <c r="U510" s="10">
        <f>IF(VCU!$C$9="",0,(SUMIF(VCU!$B$51:$B$193,$J510,VCU!$E$51:$E$193)*Impacts!$F$17))</f>
        <v>0</v>
      </c>
      <c r="V510" s="10">
        <f>IF(CAS!$C$7="",0,(SUMIF(CAS!$B$31:$B$167,$J510,CAS!$E$31:$E$167)*Impacts!$F$18))</f>
        <v>0</v>
      </c>
      <c r="W510" s="10">
        <f t="shared" si="49"/>
        <v>0</v>
      </c>
      <c r="AK510" s="10" t="str">
        <f t="array" ref="AK510">IFERROR(INDEX(SelectedSpecies,SMALL(IF(SelectedSpecies=AK$1,ROW(SelectedSpecies)),ROW(511:511)),2),"")</f>
        <v/>
      </c>
      <c r="BE510" s="10"/>
      <c r="BI510" s="10"/>
    </row>
    <row r="511" spans="1:61" ht="21" customHeight="1" x14ac:dyDescent="0.25">
      <c r="A511" s="10"/>
      <c r="B511" s="10"/>
      <c r="E511" s="10"/>
      <c r="G511" s="10"/>
      <c r="I511" s="436" t="s">
        <v>6292</v>
      </c>
      <c r="J511" s="26" t="s">
        <v>6291</v>
      </c>
      <c r="K511" s="10">
        <v>0.9</v>
      </c>
      <c r="L511" s="73">
        <f>IF(Tank1!$C$23="No control",(SUMIF(Tank1!$B$32:$B$49,$J511,Tank1!$C$32:$C$49)*Impacts!$F$8),0)</f>
        <v>0</v>
      </c>
      <c r="M511" s="10">
        <f>IF(Tank2!$C$23="No control",(SUMIF(Tank2!$B$32:$B$49,$J511,Tank2!$C$32:$C$49)*Impacts!$F$9),0)</f>
        <v>0</v>
      </c>
      <c r="N511" s="10">
        <f>IF(Tank3!$C$23="No control",(SUMIF(Tank3!$B$32:$B$49,$J511,Tank3!$C$32:$C$49)*Impacts!$F$10),0)</f>
        <v>0</v>
      </c>
      <c r="O511" s="10">
        <f>IF(Tank4!$C$23="No control",(SUMIF(Tank4!$B$32:$B$49,$J511,Tank4!$C$32:$C$49)*Impacts!$F$11),0)</f>
        <v>0</v>
      </c>
      <c r="P511" s="10">
        <f>IF(Tank5!$C$23="No control",(SUMIF(Tank5!$B$32:$B$49,$J511,Tank5!$C$32:$C$49)*Impacts!$F$12),0)</f>
        <v>0</v>
      </c>
      <c r="Q511" s="10">
        <f>IFERROR(IF(('Loading-drum,tote'!$C$21)="No control",SUMIF(('Loading-drum,tote'!$B$31:$B$48),$J511,('Loading-drum,tote'!$D$31:$D$48))*Impacts!$F$13,IF(('Loading-drum,tote'!$C$21)&lt;&gt;"No control",SUMIF(('Loading-drum,tote'!$B$31:$B$48),$J511,('Loading-drum,tote'!$E$31:$E$48))*Impacts!$F$13,0)),0)</f>
        <v>0</v>
      </c>
      <c r="R511" s="10">
        <f>IFERROR(IF(('Loading-truck'!$C$21)="No control",SUMIF(('Loading-truck'!$B$31:$B$48),$J511,('Loading-truck'!$D$31:$D$48))*Impacts!$F$14,IF(('Loading-truck'!$C$21)&lt;&gt;"No control",SUMIF(('Loading-truck'!$B$31:$B$48),$J511,('Loading-truck'!$E$31:$E$48))*Impacts!$F$14,0)),0)</f>
        <v>0</v>
      </c>
      <c r="S511" s="10">
        <f>IFERROR(IF(('Loading-rail'!$C$21)="No control",SUMIF(('Loading-rail'!$B$31:$B$48),$J511,('Loading-rail'!$D$31:$D$48))*Impacts!$F$15,IF(('Loading-rail'!$C$21)&lt;&gt;"No control",SUMIF(('Loading-rail'!$B$31:$B$48),$J511,('Loading-rail'!$E$31:$E$48))*Impacts!$F$15,0)),0)</f>
        <v>0</v>
      </c>
      <c r="T511" s="10">
        <f>IF(Flare!$C$7="",0,(SUMIF(Flare!$B$46:$B$185,$J511,Flare!$E$46:$E$185)*Impacts!$F$16))</f>
        <v>0</v>
      </c>
      <c r="U511" s="10">
        <f>IF(VCU!$C$9="",0,(SUMIF(VCU!$B$51:$B$193,$J511,VCU!$E$51:$E$193)*Impacts!$F$17))</f>
        <v>0</v>
      </c>
      <c r="V511" s="10">
        <f>IF(CAS!$C$7="",0,(SUMIF(CAS!$B$31:$B$167,$J511,CAS!$E$31:$E$167)*Impacts!$F$18))</f>
        <v>0</v>
      </c>
      <c r="W511" s="10">
        <f t="shared" si="49"/>
        <v>0</v>
      </c>
      <c r="AK511" s="10" t="str">
        <f t="array" ref="AK511">IFERROR(INDEX(SelectedSpecies,SMALL(IF(SelectedSpecies=AK$1,ROW(SelectedSpecies)),ROW(512:512)),2),"")</f>
        <v/>
      </c>
      <c r="BE511" s="10"/>
      <c r="BI511" s="10"/>
    </row>
    <row r="512" spans="1:61" ht="21" customHeight="1" x14ac:dyDescent="0.25">
      <c r="A512" s="10"/>
      <c r="B512" s="10"/>
      <c r="E512" s="10"/>
      <c r="G512" s="10"/>
      <c r="I512" s="436" t="s">
        <v>1528</v>
      </c>
      <c r="J512" s="26" t="s">
        <v>1527</v>
      </c>
      <c r="K512" s="10">
        <v>27</v>
      </c>
      <c r="L512" s="73">
        <f>IF(Tank1!$C$23="No control",(SUMIF(Tank1!$B$32:$B$49,$J512,Tank1!$C$32:$C$49)*Impacts!$F$8),0)</f>
        <v>0</v>
      </c>
      <c r="M512" s="10">
        <f>IF(Tank2!$C$23="No control",(SUMIF(Tank2!$B$32:$B$49,$J512,Tank2!$C$32:$C$49)*Impacts!$F$9),0)</f>
        <v>0</v>
      </c>
      <c r="N512" s="10">
        <f>IF(Tank3!$C$23="No control",(SUMIF(Tank3!$B$32:$B$49,$J512,Tank3!$C$32:$C$49)*Impacts!$F$10),0)</f>
        <v>0</v>
      </c>
      <c r="O512" s="10">
        <f>IF(Tank4!$C$23="No control",(SUMIF(Tank4!$B$32:$B$49,$J512,Tank4!$C$32:$C$49)*Impacts!$F$11),0)</f>
        <v>0</v>
      </c>
      <c r="P512" s="10">
        <f>IF(Tank5!$C$23="No control",(SUMIF(Tank5!$B$32:$B$49,$J512,Tank5!$C$32:$C$49)*Impacts!$F$12),0)</f>
        <v>0</v>
      </c>
      <c r="Q512" s="10">
        <f>IFERROR(IF(('Loading-drum,tote'!$C$21)="No control",SUMIF(('Loading-drum,tote'!$B$31:$B$48),$J512,('Loading-drum,tote'!$D$31:$D$48))*Impacts!$F$13,IF(('Loading-drum,tote'!$C$21)&lt;&gt;"No control",SUMIF(('Loading-drum,tote'!$B$31:$B$48),$J512,('Loading-drum,tote'!$E$31:$E$48))*Impacts!$F$13,0)),0)</f>
        <v>0</v>
      </c>
      <c r="R512" s="10">
        <f>IFERROR(IF(('Loading-truck'!$C$21)="No control",SUMIF(('Loading-truck'!$B$31:$B$48),$J512,('Loading-truck'!$D$31:$D$48))*Impacts!$F$14,IF(('Loading-truck'!$C$21)&lt;&gt;"No control",SUMIF(('Loading-truck'!$B$31:$B$48),$J512,('Loading-truck'!$E$31:$E$48))*Impacts!$F$14,0)),0)</f>
        <v>0</v>
      </c>
      <c r="S512" s="10">
        <f>IFERROR(IF(('Loading-rail'!$C$21)="No control",SUMIF(('Loading-rail'!$B$31:$B$48),$J512,('Loading-rail'!$D$31:$D$48))*Impacts!$F$15,IF(('Loading-rail'!$C$21)&lt;&gt;"No control",SUMIF(('Loading-rail'!$B$31:$B$48),$J512,('Loading-rail'!$E$31:$E$48))*Impacts!$F$15,0)),0)</f>
        <v>0</v>
      </c>
      <c r="T512" s="10">
        <f>IF(Flare!$C$7="",0,(SUMIF(Flare!$B$46:$B$185,$J512,Flare!$E$46:$E$185)*Impacts!$F$16))</f>
        <v>0</v>
      </c>
      <c r="U512" s="10">
        <f>IF(VCU!$C$9="",0,(SUMIF(VCU!$B$51:$B$193,$J512,VCU!$E$51:$E$193)*Impacts!$F$17))</f>
        <v>0</v>
      </c>
      <c r="V512" s="10">
        <f>IF(CAS!$C$7="",0,(SUMIF(CAS!$B$31:$B$167,$J512,CAS!$E$31:$E$167)*Impacts!$F$18))</f>
        <v>0</v>
      </c>
      <c r="W512" s="10">
        <f t="shared" si="49"/>
        <v>0</v>
      </c>
      <c r="AK512" s="10" t="str">
        <f t="array" ref="AK512">IFERROR(INDEX(SelectedSpecies,SMALL(IF(SelectedSpecies=AK$1,ROW(SelectedSpecies)),ROW(513:513)),2),"")</f>
        <v/>
      </c>
      <c r="BE512" s="10"/>
      <c r="BI512" s="10"/>
    </row>
    <row r="513" spans="1:61" ht="21" customHeight="1" x14ac:dyDescent="0.25">
      <c r="A513" s="10"/>
      <c r="B513" s="10"/>
      <c r="E513" s="10"/>
      <c r="G513" s="10"/>
      <c r="I513" s="436" t="s">
        <v>4529</v>
      </c>
      <c r="J513" s="26" t="s">
        <v>4528</v>
      </c>
      <c r="K513" s="10">
        <v>4</v>
      </c>
      <c r="L513" s="73">
        <f>IF(Tank1!$C$23="No control",(SUMIF(Tank1!$B$32:$B$49,$J513,Tank1!$C$32:$C$49)*Impacts!$F$8),0)</f>
        <v>0</v>
      </c>
      <c r="M513" s="10">
        <f>IF(Tank2!$C$23="No control",(SUMIF(Tank2!$B$32:$B$49,$J513,Tank2!$C$32:$C$49)*Impacts!$F$9),0)</f>
        <v>0</v>
      </c>
      <c r="N513" s="10">
        <f>IF(Tank3!$C$23="No control",(SUMIF(Tank3!$B$32:$B$49,$J513,Tank3!$C$32:$C$49)*Impacts!$F$10),0)</f>
        <v>0</v>
      </c>
      <c r="O513" s="10">
        <f>IF(Tank4!$C$23="No control",(SUMIF(Tank4!$B$32:$B$49,$J513,Tank4!$C$32:$C$49)*Impacts!$F$11),0)</f>
        <v>0</v>
      </c>
      <c r="P513" s="10">
        <f>IF(Tank5!$C$23="No control",(SUMIF(Tank5!$B$32:$B$49,$J513,Tank5!$C$32:$C$49)*Impacts!$F$12),0)</f>
        <v>0</v>
      </c>
      <c r="Q513" s="10">
        <f>IFERROR(IF(('Loading-drum,tote'!$C$21)="No control",SUMIF(('Loading-drum,tote'!$B$31:$B$48),$J513,('Loading-drum,tote'!$D$31:$D$48))*Impacts!$F$13,IF(('Loading-drum,tote'!$C$21)&lt;&gt;"No control",SUMIF(('Loading-drum,tote'!$B$31:$B$48),$J513,('Loading-drum,tote'!$E$31:$E$48))*Impacts!$F$13,0)),0)</f>
        <v>0</v>
      </c>
      <c r="R513" s="10">
        <f>IFERROR(IF(('Loading-truck'!$C$21)="No control",SUMIF(('Loading-truck'!$B$31:$B$48),$J513,('Loading-truck'!$D$31:$D$48))*Impacts!$F$14,IF(('Loading-truck'!$C$21)&lt;&gt;"No control",SUMIF(('Loading-truck'!$B$31:$B$48),$J513,('Loading-truck'!$E$31:$E$48))*Impacts!$F$14,0)),0)</f>
        <v>0</v>
      </c>
      <c r="S513" s="10">
        <f>IFERROR(IF(('Loading-rail'!$C$21)="No control",SUMIF(('Loading-rail'!$B$31:$B$48),$J513,('Loading-rail'!$D$31:$D$48))*Impacts!$F$15,IF(('Loading-rail'!$C$21)&lt;&gt;"No control",SUMIF(('Loading-rail'!$B$31:$B$48),$J513,('Loading-rail'!$E$31:$E$48))*Impacts!$F$15,0)),0)</f>
        <v>0</v>
      </c>
      <c r="T513" s="10">
        <f>IF(Flare!$C$7="",0,(SUMIF(Flare!$B$46:$B$185,$J513,Flare!$E$46:$E$185)*Impacts!$F$16))</f>
        <v>0</v>
      </c>
      <c r="U513" s="10">
        <f>IF(VCU!$C$9="",0,(SUMIF(VCU!$B$51:$B$193,$J513,VCU!$E$51:$E$193)*Impacts!$F$17))</f>
        <v>0</v>
      </c>
      <c r="V513" s="10">
        <f>IF(CAS!$C$7="",0,(SUMIF(CAS!$B$31:$B$167,$J513,CAS!$E$31:$E$167)*Impacts!$F$18))</f>
        <v>0</v>
      </c>
      <c r="W513" s="10">
        <f t="shared" si="49"/>
        <v>0</v>
      </c>
      <c r="AK513" s="10" t="str">
        <f t="array" ref="AK513">IFERROR(INDEX(SelectedSpecies,SMALL(IF(SelectedSpecies=AK$1,ROW(SelectedSpecies)),ROW(514:514)),2),"")</f>
        <v/>
      </c>
      <c r="BE513" s="10"/>
      <c r="BI513" s="10"/>
    </row>
    <row r="514" spans="1:61" ht="21" customHeight="1" x14ac:dyDescent="0.25">
      <c r="A514" s="10"/>
      <c r="B514" s="10"/>
      <c r="E514" s="10"/>
      <c r="G514" s="10"/>
      <c r="I514" s="436" t="s">
        <v>6504</v>
      </c>
      <c r="J514" s="26" t="s">
        <v>6503</v>
      </c>
      <c r="K514" s="10">
        <v>0.70000000000000007</v>
      </c>
      <c r="L514" s="73">
        <f>IF(Tank1!$C$23="No control",(SUMIF(Tank1!$B$32:$B$49,$J514,Tank1!$C$32:$C$49)*Impacts!$F$8),0)</f>
        <v>0</v>
      </c>
      <c r="M514" s="10">
        <f>IF(Tank2!$C$23="No control",(SUMIF(Tank2!$B$32:$B$49,$J514,Tank2!$C$32:$C$49)*Impacts!$F$9),0)</f>
        <v>0</v>
      </c>
      <c r="N514" s="10">
        <f>IF(Tank3!$C$23="No control",(SUMIF(Tank3!$B$32:$B$49,$J514,Tank3!$C$32:$C$49)*Impacts!$F$10),0)</f>
        <v>0</v>
      </c>
      <c r="O514" s="10">
        <f>IF(Tank4!$C$23="No control",(SUMIF(Tank4!$B$32:$B$49,$J514,Tank4!$C$32:$C$49)*Impacts!$F$11),0)</f>
        <v>0</v>
      </c>
      <c r="P514" s="10">
        <f>IF(Tank5!$C$23="No control",(SUMIF(Tank5!$B$32:$B$49,$J514,Tank5!$C$32:$C$49)*Impacts!$F$12),0)</f>
        <v>0</v>
      </c>
      <c r="Q514" s="10">
        <f>IFERROR(IF(('Loading-drum,tote'!$C$21)="No control",SUMIF(('Loading-drum,tote'!$B$31:$B$48),$J514,('Loading-drum,tote'!$D$31:$D$48))*Impacts!$F$13,IF(('Loading-drum,tote'!$C$21)&lt;&gt;"No control",SUMIF(('Loading-drum,tote'!$B$31:$B$48),$J514,('Loading-drum,tote'!$E$31:$E$48))*Impacts!$F$13,0)),0)</f>
        <v>0</v>
      </c>
      <c r="R514" s="10">
        <f>IFERROR(IF(('Loading-truck'!$C$21)="No control",SUMIF(('Loading-truck'!$B$31:$B$48),$J514,('Loading-truck'!$D$31:$D$48))*Impacts!$F$14,IF(('Loading-truck'!$C$21)&lt;&gt;"No control",SUMIF(('Loading-truck'!$B$31:$B$48),$J514,('Loading-truck'!$E$31:$E$48))*Impacts!$F$14,0)),0)</f>
        <v>0</v>
      </c>
      <c r="S514" s="10">
        <f>IFERROR(IF(('Loading-rail'!$C$21)="No control",SUMIF(('Loading-rail'!$B$31:$B$48),$J514,('Loading-rail'!$D$31:$D$48))*Impacts!$F$15,IF(('Loading-rail'!$C$21)&lt;&gt;"No control",SUMIF(('Loading-rail'!$B$31:$B$48),$J514,('Loading-rail'!$E$31:$E$48))*Impacts!$F$15,0)),0)</f>
        <v>0</v>
      </c>
      <c r="T514" s="10">
        <f>IF(Flare!$C$7="",0,(SUMIF(Flare!$B$46:$B$185,$J514,Flare!$E$46:$E$185)*Impacts!$F$16))</f>
        <v>0</v>
      </c>
      <c r="U514" s="10">
        <f>IF(VCU!$C$9="",0,(SUMIF(VCU!$B$51:$B$193,$J514,VCU!$E$51:$E$193)*Impacts!$F$17))</f>
        <v>0</v>
      </c>
      <c r="V514" s="10">
        <f>IF(CAS!$C$7="",0,(SUMIF(CAS!$B$31:$B$167,$J514,CAS!$E$31:$E$167)*Impacts!$F$18))</f>
        <v>0</v>
      </c>
      <c r="W514" s="10">
        <f t="shared" si="49"/>
        <v>0</v>
      </c>
      <c r="AK514" s="10" t="str">
        <f t="array" ref="AK514">IFERROR(INDEX(SelectedSpecies,SMALL(IF(SelectedSpecies=AK$1,ROW(SelectedSpecies)),ROW(515:515)),2),"")</f>
        <v/>
      </c>
      <c r="BE514" s="10"/>
      <c r="BI514" s="10"/>
    </row>
    <row r="515" spans="1:61" ht="21" customHeight="1" x14ac:dyDescent="0.25">
      <c r="A515" s="10"/>
      <c r="B515" s="10"/>
      <c r="E515" s="10"/>
      <c r="G515" s="10"/>
      <c r="I515" s="436" t="s">
        <v>349</v>
      </c>
      <c r="J515" s="26" t="s">
        <v>348</v>
      </c>
      <c r="K515" s="10">
        <v>370</v>
      </c>
      <c r="L515" s="73">
        <f>IF(Tank1!$C$23="No control",(SUMIF(Tank1!$B$32:$B$49,$J515,Tank1!$C$32:$C$49)*Impacts!$F$8),0)</f>
        <v>0</v>
      </c>
      <c r="M515" s="10">
        <f>IF(Tank2!$C$23="No control",(SUMIF(Tank2!$B$32:$B$49,$J515,Tank2!$C$32:$C$49)*Impacts!$F$9),0)</f>
        <v>0</v>
      </c>
      <c r="N515" s="10">
        <f>IF(Tank3!$C$23="No control",(SUMIF(Tank3!$B$32:$B$49,$J515,Tank3!$C$32:$C$49)*Impacts!$F$10),0)</f>
        <v>0</v>
      </c>
      <c r="O515" s="10">
        <f>IF(Tank4!$C$23="No control",(SUMIF(Tank4!$B$32:$B$49,$J515,Tank4!$C$32:$C$49)*Impacts!$F$11),0)</f>
        <v>0</v>
      </c>
      <c r="P515" s="10">
        <f>IF(Tank5!$C$23="No control",(SUMIF(Tank5!$B$32:$B$49,$J515,Tank5!$C$32:$C$49)*Impacts!$F$12),0)</f>
        <v>0</v>
      </c>
      <c r="Q515" s="10">
        <f>IFERROR(IF(('Loading-drum,tote'!$C$21)="No control",SUMIF(('Loading-drum,tote'!$B$31:$B$48),$J515,('Loading-drum,tote'!$D$31:$D$48))*Impacts!$F$13,IF(('Loading-drum,tote'!$C$21)&lt;&gt;"No control",SUMIF(('Loading-drum,tote'!$B$31:$B$48),$J515,('Loading-drum,tote'!$E$31:$E$48))*Impacts!$F$13,0)),0)</f>
        <v>0</v>
      </c>
      <c r="R515" s="10">
        <f>IFERROR(IF(('Loading-truck'!$C$21)="No control",SUMIF(('Loading-truck'!$B$31:$B$48),$J515,('Loading-truck'!$D$31:$D$48))*Impacts!$F$14,IF(('Loading-truck'!$C$21)&lt;&gt;"No control",SUMIF(('Loading-truck'!$B$31:$B$48),$J515,('Loading-truck'!$E$31:$E$48))*Impacts!$F$14,0)),0)</f>
        <v>0</v>
      </c>
      <c r="S515" s="10">
        <f>IFERROR(IF(('Loading-rail'!$C$21)="No control",SUMIF(('Loading-rail'!$B$31:$B$48),$J515,('Loading-rail'!$D$31:$D$48))*Impacts!$F$15,IF(('Loading-rail'!$C$21)&lt;&gt;"No control",SUMIF(('Loading-rail'!$B$31:$B$48),$J515,('Loading-rail'!$E$31:$E$48))*Impacts!$F$15,0)),0)</f>
        <v>0</v>
      </c>
      <c r="T515" s="10">
        <f>IF(Flare!$C$7="",0,(SUMIF(Flare!$B$46:$B$185,$J515,Flare!$E$46:$E$185)*Impacts!$F$16))</f>
        <v>0</v>
      </c>
      <c r="U515" s="10">
        <f>IF(VCU!$C$9="",0,(SUMIF(VCU!$B$51:$B$193,$J515,VCU!$E$51:$E$193)*Impacts!$F$17))</f>
        <v>0</v>
      </c>
      <c r="V515" s="10">
        <f>IF(CAS!$C$7="",0,(SUMIF(CAS!$B$31:$B$167,$J515,CAS!$E$31:$E$167)*Impacts!$F$18))</f>
        <v>0</v>
      </c>
      <c r="W515" s="10">
        <f t="shared" ref="W515:W578" si="50">SUM(L515:V515)</f>
        <v>0</v>
      </c>
      <c r="AK515" s="10" t="str">
        <f t="array" ref="AK515">IFERROR(INDEX(SelectedSpecies,SMALL(IF(SelectedSpecies=AK$1,ROW(SelectedSpecies)),ROW(516:516)),2),"")</f>
        <v/>
      </c>
      <c r="BE515" s="10"/>
      <c r="BI515" s="10"/>
    </row>
    <row r="516" spans="1:61" ht="21" customHeight="1" x14ac:dyDescent="0.25">
      <c r="A516" s="10"/>
      <c r="B516" s="10"/>
      <c r="E516" s="10"/>
      <c r="G516" s="10"/>
      <c r="I516" s="436" t="s">
        <v>4877</v>
      </c>
      <c r="J516" s="26" t="s">
        <v>4876</v>
      </c>
      <c r="K516" s="10">
        <v>2.7</v>
      </c>
      <c r="L516" s="73">
        <f>IF(Tank1!$C$23="No control",(SUMIF(Tank1!$B$32:$B$49,$J516,Tank1!$C$32:$C$49)*Impacts!$F$8),0)</f>
        <v>0</v>
      </c>
      <c r="M516" s="10">
        <f>IF(Tank2!$C$23="No control",(SUMIF(Tank2!$B$32:$B$49,$J516,Tank2!$C$32:$C$49)*Impacts!$F$9),0)</f>
        <v>0</v>
      </c>
      <c r="N516" s="10">
        <f>IF(Tank3!$C$23="No control",(SUMIF(Tank3!$B$32:$B$49,$J516,Tank3!$C$32:$C$49)*Impacts!$F$10),0)</f>
        <v>0</v>
      </c>
      <c r="O516" s="10">
        <f>IF(Tank4!$C$23="No control",(SUMIF(Tank4!$B$32:$B$49,$J516,Tank4!$C$32:$C$49)*Impacts!$F$11),0)</f>
        <v>0</v>
      </c>
      <c r="P516" s="10">
        <f>IF(Tank5!$C$23="No control",(SUMIF(Tank5!$B$32:$B$49,$J516,Tank5!$C$32:$C$49)*Impacts!$F$12),0)</f>
        <v>0</v>
      </c>
      <c r="Q516" s="10">
        <f>IFERROR(IF(('Loading-drum,tote'!$C$21)="No control",SUMIF(('Loading-drum,tote'!$B$31:$B$48),$J516,('Loading-drum,tote'!$D$31:$D$48))*Impacts!$F$13,IF(('Loading-drum,tote'!$C$21)&lt;&gt;"No control",SUMIF(('Loading-drum,tote'!$B$31:$B$48),$J516,('Loading-drum,tote'!$E$31:$E$48))*Impacts!$F$13,0)),0)</f>
        <v>0</v>
      </c>
      <c r="R516" s="10">
        <f>IFERROR(IF(('Loading-truck'!$C$21)="No control",SUMIF(('Loading-truck'!$B$31:$B$48),$J516,('Loading-truck'!$D$31:$D$48))*Impacts!$F$14,IF(('Loading-truck'!$C$21)&lt;&gt;"No control",SUMIF(('Loading-truck'!$B$31:$B$48),$J516,('Loading-truck'!$E$31:$E$48))*Impacts!$F$14,0)),0)</f>
        <v>0</v>
      </c>
      <c r="S516" s="10">
        <f>IFERROR(IF(('Loading-rail'!$C$21)="No control",SUMIF(('Loading-rail'!$B$31:$B$48),$J516,('Loading-rail'!$D$31:$D$48))*Impacts!$F$15,IF(('Loading-rail'!$C$21)&lt;&gt;"No control",SUMIF(('Loading-rail'!$B$31:$B$48),$J516,('Loading-rail'!$E$31:$E$48))*Impacts!$F$15,0)),0)</f>
        <v>0</v>
      </c>
      <c r="T516" s="10">
        <f>IF(Flare!$C$7="",0,(SUMIF(Flare!$B$46:$B$185,$J516,Flare!$E$46:$E$185)*Impacts!$F$16))</f>
        <v>0</v>
      </c>
      <c r="U516" s="10">
        <f>IF(VCU!$C$9="",0,(SUMIF(VCU!$B$51:$B$193,$J516,VCU!$E$51:$E$193)*Impacts!$F$17))</f>
        <v>0</v>
      </c>
      <c r="V516" s="10">
        <f>IF(CAS!$C$7="",0,(SUMIF(CAS!$B$31:$B$167,$J516,CAS!$E$31:$E$167)*Impacts!$F$18))</f>
        <v>0</v>
      </c>
      <c r="W516" s="10">
        <f t="shared" si="50"/>
        <v>0</v>
      </c>
      <c r="AK516" s="10" t="str">
        <f t="array" ref="AK516">IFERROR(INDEX(SelectedSpecies,SMALL(IF(SelectedSpecies=AK$1,ROW(SelectedSpecies)),ROW(517:517)),2),"")</f>
        <v/>
      </c>
      <c r="BE516" s="10"/>
      <c r="BI516" s="10"/>
    </row>
    <row r="517" spans="1:61" ht="21" customHeight="1" x14ac:dyDescent="0.25">
      <c r="A517" s="10"/>
      <c r="B517" s="10"/>
      <c r="E517" s="10"/>
      <c r="G517" s="10"/>
      <c r="I517" s="436" t="s">
        <v>4327</v>
      </c>
      <c r="J517" s="26" t="s">
        <v>4326</v>
      </c>
      <c r="K517" s="10">
        <v>10</v>
      </c>
      <c r="L517" s="73">
        <f>IF(Tank1!$C$23="No control",(SUMIF(Tank1!$B$32:$B$49,$J517,Tank1!$C$32:$C$49)*Impacts!$F$8),0)</f>
        <v>0</v>
      </c>
      <c r="M517" s="10">
        <f>IF(Tank2!$C$23="No control",(SUMIF(Tank2!$B$32:$B$49,$J517,Tank2!$C$32:$C$49)*Impacts!$F$9),0)</f>
        <v>0</v>
      </c>
      <c r="N517" s="10">
        <f>IF(Tank3!$C$23="No control",(SUMIF(Tank3!$B$32:$B$49,$J517,Tank3!$C$32:$C$49)*Impacts!$F$10),0)</f>
        <v>0</v>
      </c>
      <c r="O517" s="10">
        <f>IF(Tank4!$C$23="No control",(SUMIF(Tank4!$B$32:$B$49,$J517,Tank4!$C$32:$C$49)*Impacts!$F$11),0)</f>
        <v>0</v>
      </c>
      <c r="P517" s="10">
        <f>IF(Tank5!$C$23="No control",(SUMIF(Tank5!$B$32:$B$49,$J517,Tank5!$C$32:$C$49)*Impacts!$F$12),0)</f>
        <v>0</v>
      </c>
      <c r="Q517" s="10">
        <f>IFERROR(IF(('Loading-drum,tote'!$C$21)="No control",SUMIF(('Loading-drum,tote'!$B$31:$B$48),$J517,('Loading-drum,tote'!$D$31:$D$48))*Impacts!$F$13,IF(('Loading-drum,tote'!$C$21)&lt;&gt;"No control",SUMIF(('Loading-drum,tote'!$B$31:$B$48),$J517,('Loading-drum,tote'!$E$31:$E$48))*Impacts!$F$13,0)),0)</f>
        <v>0</v>
      </c>
      <c r="R517" s="10">
        <f>IFERROR(IF(('Loading-truck'!$C$21)="No control",SUMIF(('Loading-truck'!$B$31:$B$48),$J517,('Loading-truck'!$D$31:$D$48))*Impacts!$F$14,IF(('Loading-truck'!$C$21)&lt;&gt;"No control",SUMIF(('Loading-truck'!$B$31:$B$48),$J517,('Loading-truck'!$E$31:$E$48))*Impacts!$F$14,0)),0)</f>
        <v>0</v>
      </c>
      <c r="S517" s="10">
        <f>IFERROR(IF(('Loading-rail'!$C$21)="No control",SUMIF(('Loading-rail'!$B$31:$B$48),$J517,('Loading-rail'!$D$31:$D$48))*Impacts!$F$15,IF(('Loading-rail'!$C$21)&lt;&gt;"No control",SUMIF(('Loading-rail'!$B$31:$B$48),$J517,('Loading-rail'!$E$31:$E$48))*Impacts!$F$15,0)),0)</f>
        <v>0</v>
      </c>
      <c r="T517" s="10">
        <f>IF(Flare!$C$7="",0,(SUMIF(Flare!$B$46:$B$185,$J517,Flare!$E$46:$E$185)*Impacts!$F$16))</f>
        <v>0</v>
      </c>
      <c r="U517" s="10">
        <f>IF(VCU!$C$9="",0,(SUMIF(VCU!$B$51:$B$193,$J517,VCU!$E$51:$E$193)*Impacts!$F$17))</f>
        <v>0</v>
      </c>
      <c r="V517" s="10">
        <f>IF(CAS!$C$7="",0,(SUMIF(CAS!$B$31:$B$167,$J517,CAS!$E$31:$E$167)*Impacts!$F$18))</f>
        <v>0</v>
      </c>
      <c r="W517" s="10">
        <f t="shared" si="50"/>
        <v>0</v>
      </c>
      <c r="AK517" s="10" t="str">
        <f t="array" ref="AK517">IFERROR(INDEX(SelectedSpecies,SMALL(IF(SelectedSpecies=AK$1,ROW(SelectedSpecies)),ROW(518:518)),2),"")</f>
        <v/>
      </c>
      <c r="BE517" s="10"/>
      <c r="BI517" s="10"/>
    </row>
    <row r="518" spans="1:61" ht="21" customHeight="1" x14ac:dyDescent="0.25">
      <c r="A518" s="10"/>
      <c r="B518" s="10"/>
      <c r="E518" s="10"/>
      <c r="G518" s="10"/>
      <c r="I518" s="436" t="s">
        <v>2417</v>
      </c>
      <c r="J518" s="26" t="s">
        <v>2416</v>
      </c>
      <c r="K518" s="10">
        <v>10</v>
      </c>
      <c r="L518" s="73">
        <f>IF(Tank1!$C$23="No control",(SUMIF(Tank1!$B$32:$B$49,$J518,Tank1!$C$32:$C$49)*Impacts!$F$8),0)</f>
        <v>0</v>
      </c>
      <c r="M518" s="10">
        <f>IF(Tank2!$C$23="No control",(SUMIF(Tank2!$B$32:$B$49,$J518,Tank2!$C$32:$C$49)*Impacts!$F$9),0)</f>
        <v>0</v>
      </c>
      <c r="N518" s="10">
        <f>IF(Tank3!$C$23="No control",(SUMIF(Tank3!$B$32:$B$49,$J518,Tank3!$C$32:$C$49)*Impacts!$F$10),0)</f>
        <v>0</v>
      </c>
      <c r="O518" s="10">
        <f>IF(Tank4!$C$23="No control",(SUMIF(Tank4!$B$32:$B$49,$J518,Tank4!$C$32:$C$49)*Impacts!$F$11),0)</f>
        <v>0</v>
      </c>
      <c r="P518" s="10">
        <f>IF(Tank5!$C$23="No control",(SUMIF(Tank5!$B$32:$B$49,$J518,Tank5!$C$32:$C$49)*Impacts!$F$12),0)</f>
        <v>0</v>
      </c>
      <c r="Q518" s="10">
        <f>IFERROR(IF(('Loading-drum,tote'!$C$21)="No control",SUMIF(('Loading-drum,tote'!$B$31:$B$48),$J518,('Loading-drum,tote'!$D$31:$D$48))*Impacts!$F$13,IF(('Loading-drum,tote'!$C$21)&lt;&gt;"No control",SUMIF(('Loading-drum,tote'!$B$31:$B$48),$J518,('Loading-drum,tote'!$E$31:$E$48))*Impacts!$F$13,0)),0)</f>
        <v>0</v>
      </c>
      <c r="R518" s="10">
        <f>IFERROR(IF(('Loading-truck'!$C$21)="No control",SUMIF(('Loading-truck'!$B$31:$B$48),$J518,('Loading-truck'!$D$31:$D$48))*Impacts!$F$14,IF(('Loading-truck'!$C$21)&lt;&gt;"No control",SUMIF(('Loading-truck'!$B$31:$B$48),$J518,('Loading-truck'!$E$31:$E$48))*Impacts!$F$14,0)),0)</f>
        <v>0</v>
      </c>
      <c r="S518" s="10">
        <f>IFERROR(IF(('Loading-rail'!$C$21)="No control",SUMIF(('Loading-rail'!$B$31:$B$48),$J518,('Loading-rail'!$D$31:$D$48))*Impacts!$F$15,IF(('Loading-rail'!$C$21)&lt;&gt;"No control",SUMIF(('Loading-rail'!$B$31:$B$48),$J518,('Loading-rail'!$E$31:$E$48))*Impacts!$F$15,0)),0)</f>
        <v>0</v>
      </c>
      <c r="T518" s="10">
        <f>IF(Flare!$C$7="",0,(SUMIF(Flare!$B$46:$B$185,$J518,Flare!$E$46:$E$185)*Impacts!$F$16))</f>
        <v>0</v>
      </c>
      <c r="U518" s="10">
        <f>IF(VCU!$C$9="",0,(SUMIF(VCU!$B$51:$B$193,$J518,VCU!$E$51:$E$193)*Impacts!$F$17))</f>
        <v>0</v>
      </c>
      <c r="V518" s="10">
        <f>IF(CAS!$C$7="",0,(SUMIF(CAS!$B$31:$B$167,$J518,CAS!$E$31:$E$167)*Impacts!$F$18))</f>
        <v>0</v>
      </c>
      <c r="W518" s="10">
        <f t="shared" si="50"/>
        <v>0</v>
      </c>
      <c r="AK518" s="10" t="str">
        <f t="array" ref="AK518">IFERROR(INDEX(SelectedSpecies,SMALL(IF(SelectedSpecies=AK$1,ROW(SelectedSpecies)),ROW(519:519)),2),"")</f>
        <v/>
      </c>
      <c r="BE518" s="10"/>
      <c r="BI518" s="10"/>
    </row>
    <row r="519" spans="1:61" ht="21" customHeight="1" x14ac:dyDescent="0.25">
      <c r="A519" s="10"/>
      <c r="B519" s="10"/>
      <c r="E519" s="10"/>
      <c r="G519" s="10"/>
      <c r="I519" s="436" t="s">
        <v>4751</v>
      </c>
      <c r="J519" s="26" t="s">
        <v>4750</v>
      </c>
      <c r="K519" s="10">
        <v>3.4000000000000004</v>
      </c>
      <c r="L519" s="73">
        <f>IF(Tank1!$C$23="No control",(SUMIF(Tank1!$B$32:$B$49,$J519,Tank1!$C$32:$C$49)*Impacts!$F$8),0)</f>
        <v>0</v>
      </c>
      <c r="M519" s="10">
        <f>IF(Tank2!$C$23="No control",(SUMIF(Tank2!$B$32:$B$49,$J519,Tank2!$C$32:$C$49)*Impacts!$F$9),0)</f>
        <v>0</v>
      </c>
      <c r="N519" s="10">
        <f>IF(Tank3!$C$23="No control",(SUMIF(Tank3!$B$32:$B$49,$J519,Tank3!$C$32:$C$49)*Impacts!$F$10),0)</f>
        <v>0</v>
      </c>
      <c r="O519" s="10">
        <f>IF(Tank4!$C$23="No control",(SUMIF(Tank4!$B$32:$B$49,$J519,Tank4!$C$32:$C$49)*Impacts!$F$11),0)</f>
        <v>0</v>
      </c>
      <c r="P519" s="10">
        <f>IF(Tank5!$C$23="No control",(SUMIF(Tank5!$B$32:$B$49,$J519,Tank5!$C$32:$C$49)*Impacts!$F$12),0)</f>
        <v>0</v>
      </c>
      <c r="Q519" s="10">
        <f>IFERROR(IF(('Loading-drum,tote'!$C$21)="No control",SUMIF(('Loading-drum,tote'!$B$31:$B$48),$J519,('Loading-drum,tote'!$D$31:$D$48))*Impacts!$F$13,IF(('Loading-drum,tote'!$C$21)&lt;&gt;"No control",SUMIF(('Loading-drum,tote'!$B$31:$B$48),$J519,('Loading-drum,tote'!$E$31:$E$48))*Impacts!$F$13,0)),0)</f>
        <v>0</v>
      </c>
      <c r="R519" s="10">
        <f>IFERROR(IF(('Loading-truck'!$C$21)="No control",SUMIF(('Loading-truck'!$B$31:$B$48),$J519,('Loading-truck'!$D$31:$D$48))*Impacts!$F$14,IF(('Loading-truck'!$C$21)&lt;&gt;"No control",SUMIF(('Loading-truck'!$B$31:$B$48),$J519,('Loading-truck'!$E$31:$E$48))*Impacts!$F$14,0)),0)</f>
        <v>0</v>
      </c>
      <c r="S519" s="10">
        <f>IFERROR(IF(('Loading-rail'!$C$21)="No control",SUMIF(('Loading-rail'!$B$31:$B$48),$J519,('Loading-rail'!$D$31:$D$48))*Impacts!$F$15,IF(('Loading-rail'!$C$21)&lt;&gt;"No control",SUMIF(('Loading-rail'!$B$31:$B$48),$J519,('Loading-rail'!$E$31:$E$48))*Impacts!$F$15,0)),0)</f>
        <v>0</v>
      </c>
      <c r="T519" s="10">
        <f>IF(Flare!$C$7="",0,(SUMIF(Flare!$B$46:$B$185,$J519,Flare!$E$46:$E$185)*Impacts!$F$16))</f>
        <v>0</v>
      </c>
      <c r="U519" s="10">
        <f>IF(VCU!$C$9="",0,(SUMIF(VCU!$B$51:$B$193,$J519,VCU!$E$51:$E$193)*Impacts!$F$17))</f>
        <v>0</v>
      </c>
      <c r="V519" s="10">
        <f>IF(CAS!$C$7="",0,(SUMIF(CAS!$B$31:$B$167,$J519,CAS!$E$31:$E$167)*Impacts!$F$18))</f>
        <v>0</v>
      </c>
      <c r="W519" s="10">
        <f t="shared" si="50"/>
        <v>0</v>
      </c>
      <c r="AK519" s="10" t="str">
        <f t="array" ref="AK519">IFERROR(INDEX(SelectedSpecies,SMALL(IF(SelectedSpecies=AK$1,ROW(SelectedSpecies)),ROW(520:520)),2),"")</f>
        <v/>
      </c>
      <c r="BE519" s="10"/>
      <c r="BI519" s="10"/>
    </row>
    <row r="520" spans="1:61" ht="21" customHeight="1" x14ac:dyDescent="0.25">
      <c r="A520" s="10"/>
      <c r="B520" s="10"/>
      <c r="E520" s="10"/>
      <c r="G520" s="10"/>
      <c r="I520" s="436" t="s">
        <v>2697</v>
      </c>
      <c r="J520" s="26" t="s">
        <v>2696</v>
      </c>
      <c r="K520" s="10">
        <v>10</v>
      </c>
      <c r="L520" s="73">
        <f>IF(Tank1!$C$23="No control",(SUMIF(Tank1!$B$32:$B$49,$J520,Tank1!$C$32:$C$49)*Impacts!$F$8),0)</f>
        <v>0</v>
      </c>
      <c r="M520" s="10">
        <f>IF(Tank2!$C$23="No control",(SUMIF(Tank2!$B$32:$B$49,$J520,Tank2!$C$32:$C$49)*Impacts!$F$9),0)</f>
        <v>0</v>
      </c>
      <c r="N520" s="10">
        <f>IF(Tank3!$C$23="No control",(SUMIF(Tank3!$B$32:$B$49,$J520,Tank3!$C$32:$C$49)*Impacts!$F$10),0)</f>
        <v>0</v>
      </c>
      <c r="O520" s="10">
        <f>IF(Tank4!$C$23="No control",(SUMIF(Tank4!$B$32:$B$49,$J520,Tank4!$C$32:$C$49)*Impacts!$F$11),0)</f>
        <v>0</v>
      </c>
      <c r="P520" s="10">
        <f>IF(Tank5!$C$23="No control",(SUMIF(Tank5!$B$32:$B$49,$J520,Tank5!$C$32:$C$49)*Impacts!$F$12),0)</f>
        <v>0</v>
      </c>
      <c r="Q520" s="10">
        <f>IFERROR(IF(('Loading-drum,tote'!$C$21)="No control",SUMIF(('Loading-drum,tote'!$B$31:$B$48),$J520,('Loading-drum,tote'!$D$31:$D$48))*Impacts!$F$13,IF(('Loading-drum,tote'!$C$21)&lt;&gt;"No control",SUMIF(('Loading-drum,tote'!$B$31:$B$48),$J520,('Loading-drum,tote'!$E$31:$E$48))*Impacts!$F$13,0)),0)</f>
        <v>0</v>
      </c>
      <c r="R520" s="10">
        <f>IFERROR(IF(('Loading-truck'!$C$21)="No control",SUMIF(('Loading-truck'!$B$31:$B$48),$J520,('Loading-truck'!$D$31:$D$48))*Impacts!$F$14,IF(('Loading-truck'!$C$21)&lt;&gt;"No control",SUMIF(('Loading-truck'!$B$31:$B$48),$J520,('Loading-truck'!$E$31:$E$48))*Impacts!$F$14,0)),0)</f>
        <v>0</v>
      </c>
      <c r="S520" s="10">
        <f>IFERROR(IF(('Loading-rail'!$C$21)="No control",SUMIF(('Loading-rail'!$B$31:$B$48),$J520,('Loading-rail'!$D$31:$D$48))*Impacts!$F$15,IF(('Loading-rail'!$C$21)&lt;&gt;"No control",SUMIF(('Loading-rail'!$B$31:$B$48),$J520,('Loading-rail'!$E$31:$E$48))*Impacts!$F$15,0)),0)</f>
        <v>0</v>
      </c>
      <c r="T520" s="10">
        <f>IF(Flare!$C$7="",0,(SUMIF(Flare!$B$46:$B$185,$J520,Flare!$E$46:$E$185)*Impacts!$F$16))</f>
        <v>0</v>
      </c>
      <c r="U520" s="10">
        <f>IF(VCU!$C$9="",0,(SUMIF(VCU!$B$51:$B$193,$J520,VCU!$E$51:$E$193)*Impacts!$F$17))</f>
        <v>0</v>
      </c>
      <c r="V520" s="10">
        <f>IF(CAS!$C$7="",0,(SUMIF(CAS!$B$31:$B$167,$J520,CAS!$E$31:$E$167)*Impacts!$F$18))</f>
        <v>0</v>
      </c>
      <c r="W520" s="10">
        <f t="shared" si="50"/>
        <v>0</v>
      </c>
      <c r="AK520" s="10" t="str">
        <f t="array" ref="AK520">IFERROR(INDEX(SelectedSpecies,SMALL(IF(SelectedSpecies=AK$1,ROW(SelectedSpecies)),ROW(521:521)),2),"")</f>
        <v/>
      </c>
      <c r="BE520" s="10"/>
      <c r="BI520" s="10"/>
    </row>
    <row r="521" spans="1:61" ht="21" customHeight="1" x14ac:dyDescent="0.25">
      <c r="A521" s="10"/>
      <c r="B521" s="10"/>
      <c r="E521" s="10"/>
      <c r="G521" s="10"/>
      <c r="I521" s="436" t="s">
        <v>864</v>
      </c>
      <c r="J521" s="26" t="s">
        <v>863</v>
      </c>
      <c r="K521" s="10">
        <v>45</v>
      </c>
      <c r="L521" s="73">
        <f>IF(Tank1!$C$23="No control",(SUMIF(Tank1!$B$32:$B$49,$J521,Tank1!$C$32:$C$49)*Impacts!$F$8),0)</f>
        <v>0</v>
      </c>
      <c r="M521" s="10">
        <f>IF(Tank2!$C$23="No control",(SUMIF(Tank2!$B$32:$B$49,$J521,Tank2!$C$32:$C$49)*Impacts!$F$9),0)</f>
        <v>0</v>
      </c>
      <c r="N521" s="10">
        <f>IF(Tank3!$C$23="No control",(SUMIF(Tank3!$B$32:$B$49,$J521,Tank3!$C$32:$C$49)*Impacts!$F$10),0)</f>
        <v>0</v>
      </c>
      <c r="O521" s="10">
        <f>IF(Tank4!$C$23="No control",(SUMIF(Tank4!$B$32:$B$49,$J521,Tank4!$C$32:$C$49)*Impacts!$F$11),0)</f>
        <v>0</v>
      </c>
      <c r="P521" s="10">
        <f>IF(Tank5!$C$23="No control",(SUMIF(Tank5!$B$32:$B$49,$J521,Tank5!$C$32:$C$49)*Impacts!$F$12),0)</f>
        <v>0</v>
      </c>
      <c r="Q521" s="10">
        <f>IFERROR(IF(('Loading-drum,tote'!$C$21)="No control",SUMIF(('Loading-drum,tote'!$B$31:$B$48),$J521,('Loading-drum,tote'!$D$31:$D$48))*Impacts!$F$13,IF(('Loading-drum,tote'!$C$21)&lt;&gt;"No control",SUMIF(('Loading-drum,tote'!$B$31:$B$48),$J521,('Loading-drum,tote'!$E$31:$E$48))*Impacts!$F$13,0)),0)</f>
        <v>0</v>
      </c>
      <c r="R521" s="10">
        <f>IFERROR(IF(('Loading-truck'!$C$21)="No control",SUMIF(('Loading-truck'!$B$31:$B$48),$J521,('Loading-truck'!$D$31:$D$48))*Impacts!$F$14,IF(('Loading-truck'!$C$21)&lt;&gt;"No control",SUMIF(('Loading-truck'!$B$31:$B$48),$J521,('Loading-truck'!$E$31:$E$48))*Impacts!$F$14,0)),0)</f>
        <v>0</v>
      </c>
      <c r="S521" s="10">
        <f>IFERROR(IF(('Loading-rail'!$C$21)="No control",SUMIF(('Loading-rail'!$B$31:$B$48),$J521,('Loading-rail'!$D$31:$D$48))*Impacts!$F$15,IF(('Loading-rail'!$C$21)&lt;&gt;"No control",SUMIF(('Loading-rail'!$B$31:$B$48),$J521,('Loading-rail'!$E$31:$E$48))*Impacts!$F$15,0)),0)</f>
        <v>0</v>
      </c>
      <c r="T521" s="10">
        <f>IF(Flare!$C$7="",0,(SUMIF(Flare!$B$46:$B$185,$J521,Flare!$E$46:$E$185)*Impacts!$F$16))</f>
        <v>0</v>
      </c>
      <c r="U521" s="10">
        <f>IF(VCU!$C$9="",0,(SUMIF(VCU!$B$51:$B$193,$J521,VCU!$E$51:$E$193)*Impacts!$F$17))</f>
        <v>0</v>
      </c>
      <c r="V521" s="10">
        <f>IF(CAS!$C$7="",0,(SUMIF(CAS!$B$31:$B$167,$J521,CAS!$E$31:$E$167)*Impacts!$F$18))</f>
        <v>0</v>
      </c>
      <c r="W521" s="10">
        <f t="shared" si="50"/>
        <v>0</v>
      </c>
      <c r="AK521" s="10" t="str">
        <f t="array" ref="AK521">IFERROR(INDEX(SelectedSpecies,SMALL(IF(SelectedSpecies=AK$1,ROW(SelectedSpecies)),ROW(522:522)),2),"")</f>
        <v/>
      </c>
      <c r="BE521" s="10"/>
      <c r="BI521" s="10"/>
    </row>
    <row r="522" spans="1:61" ht="21" customHeight="1" x14ac:dyDescent="0.25">
      <c r="A522" s="10"/>
      <c r="B522" s="10"/>
      <c r="E522" s="10"/>
      <c r="G522" s="10"/>
      <c r="I522" s="436" t="s">
        <v>5553</v>
      </c>
      <c r="J522" s="26" t="s">
        <v>5552</v>
      </c>
      <c r="K522" s="10">
        <v>1.2000000000000002</v>
      </c>
      <c r="L522" s="73">
        <f>IF(Tank1!$C$23="No control",(SUMIF(Tank1!$B$32:$B$49,$J522,Tank1!$C$32:$C$49)*Impacts!$F$8),0)</f>
        <v>0</v>
      </c>
      <c r="M522" s="10">
        <f>IF(Tank2!$C$23="No control",(SUMIF(Tank2!$B$32:$B$49,$J522,Tank2!$C$32:$C$49)*Impacts!$F$9),0)</f>
        <v>0</v>
      </c>
      <c r="N522" s="10">
        <f>IF(Tank3!$C$23="No control",(SUMIF(Tank3!$B$32:$B$49,$J522,Tank3!$C$32:$C$49)*Impacts!$F$10),0)</f>
        <v>0</v>
      </c>
      <c r="O522" s="10">
        <f>IF(Tank4!$C$23="No control",(SUMIF(Tank4!$B$32:$B$49,$J522,Tank4!$C$32:$C$49)*Impacts!$F$11),0)</f>
        <v>0</v>
      </c>
      <c r="P522" s="10">
        <f>IF(Tank5!$C$23="No control",(SUMIF(Tank5!$B$32:$B$49,$J522,Tank5!$C$32:$C$49)*Impacts!$F$12),0)</f>
        <v>0</v>
      </c>
      <c r="Q522" s="10">
        <f>IFERROR(IF(('Loading-drum,tote'!$C$21)="No control",SUMIF(('Loading-drum,tote'!$B$31:$B$48),$J522,('Loading-drum,tote'!$D$31:$D$48))*Impacts!$F$13,IF(('Loading-drum,tote'!$C$21)&lt;&gt;"No control",SUMIF(('Loading-drum,tote'!$B$31:$B$48),$J522,('Loading-drum,tote'!$E$31:$E$48))*Impacts!$F$13,0)),0)</f>
        <v>0</v>
      </c>
      <c r="R522" s="10">
        <f>IFERROR(IF(('Loading-truck'!$C$21)="No control",SUMIF(('Loading-truck'!$B$31:$B$48),$J522,('Loading-truck'!$D$31:$D$48))*Impacts!$F$14,IF(('Loading-truck'!$C$21)&lt;&gt;"No control",SUMIF(('Loading-truck'!$B$31:$B$48),$J522,('Loading-truck'!$E$31:$E$48))*Impacts!$F$14,0)),0)</f>
        <v>0</v>
      </c>
      <c r="S522" s="10">
        <f>IFERROR(IF(('Loading-rail'!$C$21)="No control",SUMIF(('Loading-rail'!$B$31:$B$48),$J522,('Loading-rail'!$D$31:$D$48))*Impacts!$F$15,IF(('Loading-rail'!$C$21)&lt;&gt;"No control",SUMIF(('Loading-rail'!$B$31:$B$48),$J522,('Loading-rail'!$E$31:$E$48))*Impacts!$F$15,0)),0)</f>
        <v>0</v>
      </c>
      <c r="T522" s="10">
        <f>IF(Flare!$C$7="",0,(SUMIF(Flare!$B$46:$B$185,$J522,Flare!$E$46:$E$185)*Impacts!$F$16))</f>
        <v>0</v>
      </c>
      <c r="U522" s="10">
        <f>IF(VCU!$C$9="",0,(SUMIF(VCU!$B$51:$B$193,$J522,VCU!$E$51:$E$193)*Impacts!$F$17))</f>
        <v>0</v>
      </c>
      <c r="V522" s="10">
        <f>IF(CAS!$C$7="",0,(SUMIF(CAS!$B$31:$B$167,$J522,CAS!$E$31:$E$167)*Impacts!$F$18))</f>
        <v>0</v>
      </c>
      <c r="W522" s="10">
        <f t="shared" si="50"/>
        <v>0</v>
      </c>
      <c r="AK522" s="10" t="str">
        <f t="array" ref="AK522">IFERROR(INDEX(SelectedSpecies,SMALL(IF(SelectedSpecies=AK$1,ROW(SelectedSpecies)),ROW(523:523)),2),"")</f>
        <v/>
      </c>
      <c r="BE522" s="10"/>
      <c r="BI522" s="10"/>
    </row>
    <row r="523" spans="1:61" ht="21" customHeight="1" x14ac:dyDescent="0.25">
      <c r="A523" s="10"/>
      <c r="B523" s="10"/>
      <c r="E523" s="10"/>
      <c r="G523" s="10"/>
      <c r="I523" s="436" t="s">
        <v>6620</v>
      </c>
      <c r="J523" s="26" t="s">
        <v>6619</v>
      </c>
      <c r="K523" s="10">
        <v>0.60000000000000009</v>
      </c>
      <c r="L523" s="73">
        <f>IF(Tank1!$C$23="No control",(SUMIF(Tank1!$B$32:$B$49,$J523,Tank1!$C$32:$C$49)*Impacts!$F$8),0)</f>
        <v>0</v>
      </c>
      <c r="M523" s="10">
        <f>IF(Tank2!$C$23="No control",(SUMIF(Tank2!$B$32:$B$49,$J523,Tank2!$C$32:$C$49)*Impacts!$F$9),0)</f>
        <v>0</v>
      </c>
      <c r="N523" s="10">
        <f>IF(Tank3!$C$23="No control",(SUMIF(Tank3!$B$32:$B$49,$J523,Tank3!$C$32:$C$49)*Impacts!$F$10),0)</f>
        <v>0</v>
      </c>
      <c r="O523" s="10">
        <f>IF(Tank4!$C$23="No control",(SUMIF(Tank4!$B$32:$B$49,$J523,Tank4!$C$32:$C$49)*Impacts!$F$11),0)</f>
        <v>0</v>
      </c>
      <c r="P523" s="10">
        <f>IF(Tank5!$C$23="No control",(SUMIF(Tank5!$B$32:$B$49,$J523,Tank5!$C$32:$C$49)*Impacts!$F$12),0)</f>
        <v>0</v>
      </c>
      <c r="Q523" s="10">
        <f>IFERROR(IF(('Loading-drum,tote'!$C$21)="No control",SUMIF(('Loading-drum,tote'!$B$31:$B$48),$J523,('Loading-drum,tote'!$D$31:$D$48))*Impacts!$F$13,IF(('Loading-drum,tote'!$C$21)&lt;&gt;"No control",SUMIF(('Loading-drum,tote'!$B$31:$B$48),$J523,('Loading-drum,tote'!$E$31:$E$48))*Impacts!$F$13,0)),0)</f>
        <v>0</v>
      </c>
      <c r="R523" s="10">
        <f>IFERROR(IF(('Loading-truck'!$C$21)="No control",SUMIF(('Loading-truck'!$B$31:$B$48),$J523,('Loading-truck'!$D$31:$D$48))*Impacts!$F$14,IF(('Loading-truck'!$C$21)&lt;&gt;"No control",SUMIF(('Loading-truck'!$B$31:$B$48),$J523,('Loading-truck'!$E$31:$E$48))*Impacts!$F$14,0)),0)</f>
        <v>0</v>
      </c>
      <c r="S523" s="10">
        <f>IFERROR(IF(('Loading-rail'!$C$21)="No control",SUMIF(('Loading-rail'!$B$31:$B$48),$J523,('Loading-rail'!$D$31:$D$48))*Impacts!$F$15,IF(('Loading-rail'!$C$21)&lt;&gt;"No control",SUMIF(('Loading-rail'!$B$31:$B$48),$J523,('Loading-rail'!$E$31:$E$48))*Impacts!$F$15,0)),0)</f>
        <v>0</v>
      </c>
      <c r="T523" s="10">
        <f>IF(Flare!$C$7="",0,(SUMIF(Flare!$B$46:$B$185,$J523,Flare!$E$46:$E$185)*Impacts!$F$16))</f>
        <v>0</v>
      </c>
      <c r="U523" s="10">
        <f>IF(VCU!$C$9="",0,(SUMIF(VCU!$B$51:$B$193,$J523,VCU!$E$51:$E$193)*Impacts!$F$17))</f>
        <v>0</v>
      </c>
      <c r="V523" s="10">
        <f>IF(CAS!$C$7="",0,(SUMIF(CAS!$B$31:$B$167,$J523,CAS!$E$31:$E$167)*Impacts!$F$18))</f>
        <v>0</v>
      </c>
      <c r="W523" s="10">
        <f t="shared" si="50"/>
        <v>0</v>
      </c>
      <c r="AK523" s="10" t="str">
        <f t="array" ref="AK523">IFERROR(INDEX(SelectedSpecies,SMALL(IF(SelectedSpecies=AK$1,ROW(SelectedSpecies)),ROW(524:524)),2),"")</f>
        <v/>
      </c>
      <c r="BE523" s="10"/>
      <c r="BI523" s="10"/>
    </row>
    <row r="524" spans="1:61" ht="21" customHeight="1" x14ac:dyDescent="0.25">
      <c r="A524" s="10"/>
      <c r="B524" s="10"/>
      <c r="E524" s="10"/>
      <c r="G524" s="10"/>
      <c r="I524" s="436" t="s">
        <v>1530</v>
      </c>
      <c r="J524" s="26" t="s">
        <v>1529</v>
      </c>
      <c r="K524" s="10">
        <v>27</v>
      </c>
      <c r="L524" s="73">
        <f>IF(Tank1!$C$23="No control",(SUMIF(Tank1!$B$32:$B$49,$J524,Tank1!$C$32:$C$49)*Impacts!$F$8),0)</f>
        <v>0</v>
      </c>
      <c r="M524" s="10">
        <f>IF(Tank2!$C$23="No control",(SUMIF(Tank2!$B$32:$B$49,$J524,Tank2!$C$32:$C$49)*Impacts!$F$9),0)</f>
        <v>0</v>
      </c>
      <c r="N524" s="10">
        <f>IF(Tank3!$C$23="No control",(SUMIF(Tank3!$B$32:$B$49,$J524,Tank3!$C$32:$C$49)*Impacts!$F$10),0)</f>
        <v>0</v>
      </c>
      <c r="O524" s="10">
        <f>IF(Tank4!$C$23="No control",(SUMIF(Tank4!$B$32:$B$49,$J524,Tank4!$C$32:$C$49)*Impacts!$F$11),0)</f>
        <v>0</v>
      </c>
      <c r="P524" s="10">
        <f>IF(Tank5!$C$23="No control",(SUMIF(Tank5!$B$32:$B$49,$J524,Tank5!$C$32:$C$49)*Impacts!$F$12),0)</f>
        <v>0</v>
      </c>
      <c r="Q524" s="10">
        <f>IFERROR(IF(('Loading-drum,tote'!$C$21)="No control",SUMIF(('Loading-drum,tote'!$B$31:$B$48),$J524,('Loading-drum,tote'!$D$31:$D$48))*Impacts!$F$13,IF(('Loading-drum,tote'!$C$21)&lt;&gt;"No control",SUMIF(('Loading-drum,tote'!$B$31:$B$48),$J524,('Loading-drum,tote'!$E$31:$E$48))*Impacts!$F$13,0)),0)</f>
        <v>0</v>
      </c>
      <c r="R524" s="10">
        <f>IFERROR(IF(('Loading-truck'!$C$21)="No control",SUMIF(('Loading-truck'!$B$31:$B$48),$J524,('Loading-truck'!$D$31:$D$48))*Impacts!$F$14,IF(('Loading-truck'!$C$21)&lt;&gt;"No control",SUMIF(('Loading-truck'!$B$31:$B$48),$J524,('Loading-truck'!$E$31:$E$48))*Impacts!$F$14,0)),0)</f>
        <v>0</v>
      </c>
      <c r="S524" s="10">
        <f>IFERROR(IF(('Loading-rail'!$C$21)="No control",SUMIF(('Loading-rail'!$B$31:$B$48),$J524,('Loading-rail'!$D$31:$D$48))*Impacts!$F$15,IF(('Loading-rail'!$C$21)&lt;&gt;"No control",SUMIF(('Loading-rail'!$B$31:$B$48),$J524,('Loading-rail'!$E$31:$E$48))*Impacts!$F$15,0)),0)</f>
        <v>0</v>
      </c>
      <c r="T524" s="10">
        <f>IF(Flare!$C$7="",0,(SUMIF(Flare!$B$46:$B$185,$J524,Flare!$E$46:$E$185)*Impacts!$F$16))</f>
        <v>0</v>
      </c>
      <c r="U524" s="10">
        <f>IF(VCU!$C$9="",0,(SUMIF(VCU!$B$51:$B$193,$J524,VCU!$E$51:$E$193)*Impacts!$F$17))</f>
        <v>0</v>
      </c>
      <c r="V524" s="10">
        <f>IF(CAS!$C$7="",0,(SUMIF(CAS!$B$31:$B$167,$J524,CAS!$E$31:$E$167)*Impacts!$F$18))</f>
        <v>0</v>
      </c>
      <c r="W524" s="10">
        <f t="shared" si="50"/>
        <v>0</v>
      </c>
      <c r="AK524" s="10" t="str">
        <f t="array" ref="AK524">IFERROR(INDEX(SelectedSpecies,SMALL(IF(SelectedSpecies=AK$1,ROW(SelectedSpecies)),ROW(525:525)),2),"")</f>
        <v/>
      </c>
      <c r="BE524" s="10"/>
      <c r="BI524" s="10"/>
    </row>
    <row r="525" spans="1:61" ht="21" customHeight="1" x14ac:dyDescent="0.25">
      <c r="A525" s="10"/>
      <c r="B525" s="10"/>
      <c r="E525" s="10"/>
      <c r="G525" s="10"/>
      <c r="I525" s="436" t="s">
        <v>7246</v>
      </c>
      <c r="J525" s="26" t="s">
        <v>7245</v>
      </c>
      <c r="K525" s="10">
        <v>0.30000000000000004</v>
      </c>
      <c r="L525" s="73">
        <f>IF(Tank1!$C$23="No control",(SUMIF(Tank1!$B$32:$B$49,$J525,Tank1!$C$32:$C$49)*Impacts!$F$8),0)</f>
        <v>0</v>
      </c>
      <c r="M525" s="10">
        <f>IF(Tank2!$C$23="No control",(SUMIF(Tank2!$B$32:$B$49,$J525,Tank2!$C$32:$C$49)*Impacts!$F$9),0)</f>
        <v>0</v>
      </c>
      <c r="N525" s="10">
        <f>IF(Tank3!$C$23="No control",(SUMIF(Tank3!$B$32:$B$49,$J525,Tank3!$C$32:$C$49)*Impacts!$F$10),0)</f>
        <v>0</v>
      </c>
      <c r="O525" s="10">
        <f>IF(Tank4!$C$23="No control",(SUMIF(Tank4!$B$32:$B$49,$J525,Tank4!$C$32:$C$49)*Impacts!$F$11),0)</f>
        <v>0</v>
      </c>
      <c r="P525" s="10">
        <f>IF(Tank5!$C$23="No control",(SUMIF(Tank5!$B$32:$B$49,$J525,Tank5!$C$32:$C$49)*Impacts!$F$12),0)</f>
        <v>0</v>
      </c>
      <c r="Q525" s="10">
        <f>IFERROR(IF(('Loading-drum,tote'!$C$21)="No control",SUMIF(('Loading-drum,tote'!$B$31:$B$48),$J525,('Loading-drum,tote'!$D$31:$D$48))*Impacts!$F$13,IF(('Loading-drum,tote'!$C$21)&lt;&gt;"No control",SUMIF(('Loading-drum,tote'!$B$31:$B$48),$J525,('Loading-drum,tote'!$E$31:$E$48))*Impacts!$F$13,0)),0)</f>
        <v>0</v>
      </c>
      <c r="R525" s="10">
        <f>IFERROR(IF(('Loading-truck'!$C$21)="No control",SUMIF(('Loading-truck'!$B$31:$B$48),$J525,('Loading-truck'!$D$31:$D$48))*Impacts!$F$14,IF(('Loading-truck'!$C$21)&lt;&gt;"No control",SUMIF(('Loading-truck'!$B$31:$B$48),$J525,('Loading-truck'!$E$31:$E$48))*Impacts!$F$14,0)),0)</f>
        <v>0</v>
      </c>
      <c r="S525" s="10">
        <f>IFERROR(IF(('Loading-rail'!$C$21)="No control",SUMIF(('Loading-rail'!$B$31:$B$48),$J525,('Loading-rail'!$D$31:$D$48))*Impacts!$F$15,IF(('Loading-rail'!$C$21)&lt;&gt;"No control",SUMIF(('Loading-rail'!$B$31:$B$48),$J525,('Loading-rail'!$E$31:$E$48))*Impacts!$F$15,0)),0)</f>
        <v>0</v>
      </c>
      <c r="T525" s="10">
        <f>IF(Flare!$C$7="",0,(SUMIF(Flare!$B$46:$B$185,$J525,Flare!$E$46:$E$185)*Impacts!$F$16))</f>
        <v>0</v>
      </c>
      <c r="U525" s="10">
        <f>IF(VCU!$C$9="",0,(SUMIF(VCU!$B$51:$B$193,$J525,VCU!$E$51:$E$193)*Impacts!$F$17))</f>
        <v>0</v>
      </c>
      <c r="V525" s="10">
        <f>IF(CAS!$C$7="",0,(SUMIF(CAS!$B$31:$B$167,$J525,CAS!$E$31:$E$167)*Impacts!$F$18))</f>
        <v>0</v>
      </c>
      <c r="W525" s="10">
        <f t="shared" si="50"/>
        <v>0</v>
      </c>
      <c r="AK525" s="10" t="str">
        <f t="array" ref="AK525">IFERROR(INDEX(SelectedSpecies,SMALL(IF(SelectedSpecies=AK$1,ROW(SelectedSpecies)),ROW(526:526)),2),"")</f>
        <v/>
      </c>
      <c r="BE525" s="10"/>
      <c r="BI525" s="10"/>
    </row>
    <row r="526" spans="1:61" ht="21" customHeight="1" x14ac:dyDescent="0.25">
      <c r="A526" s="10"/>
      <c r="B526" s="10"/>
      <c r="E526" s="10"/>
      <c r="G526" s="10"/>
      <c r="I526" s="436" t="s">
        <v>4839</v>
      </c>
      <c r="J526" s="26" t="s">
        <v>4838</v>
      </c>
      <c r="K526" s="10">
        <v>2.9000000000000004</v>
      </c>
      <c r="L526" s="73">
        <f>IF(Tank1!$C$23="No control",(SUMIF(Tank1!$B$32:$B$49,$J526,Tank1!$C$32:$C$49)*Impacts!$F$8),0)</f>
        <v>0</v>
      </c>
      <c r="M526" s="10">
        <f>IF(Tank2!$C$23="No control",(SUMIF(Tank2!$B$32:$B$49,$J526,Tank2!$C$32:$C$49)*Impacts!$F$9),0)</f>
        <v>0</v>
      </c>
      <c r="N526" s="10">
        <f>IF(Tank3!$C$23="No control",(SUMIF(Tank3!$B$32:$B$49,$J526,Tank3!$C$32:$C$49)*Impacts!$F$10),0)</f>
        <v>0</v>
      </c>
      <c r="O526" s="10">
        <f>IF(Tank4!$C$23="No control",(SUMIF(Tank4!$B$32:$B$49,$J526,Tank4!$C$32:$C$49)*Impacts!$F$11),0)</f>
        <v>0</v>
      </c>
      <c r="P526" s="10">
        <f>IF(Tank5!$C$23="No control",(SUMIF(Tank5!$B$32:$B$49,$J526,Tank5!$C$32:$C$49)*Impacts!$F$12),0)</f>
        <v>0</v>
      </c>
      <c r="Q526" s="10">
        <f>IFERROR(IF(('Loading-drum,tote'!$C$21)="No control",SUMIF(('Loading-drum,tote'!$B$31:$B$48),$J526,('Loading-drum,tote'!$D$31:$D$48))*Impacts!$F$13,IF(('Loading-drum,tote'!$C$21)&lt;&gt;"No control",SUMIF(('Loading-drum,tote'!$B$31:$B$48),$J526,('Loading-drum,tote'!$E$31:$E$48))*Impacts!$F$13,0)),0)</f>
        <v>0</v>
      </c>
      <c r="R526" s="10">
        <f>IFERROR(IF(('Loading-truck'!$C$21)="No control",SUMIF(('Loading-truck'!$B$31:$B$48),$J526,('Loading-truck'!$D$31:$D$48))*Impacts!$F$14,IF(('Loading-truck'!$C$21)&lt;&gt;"No control",SUMIF(('Loading-truck'!$B$31:$B$48),$J526,('Loading-truck'!$E$31:$E$48))*Impacts!$F$14,0)),0)</f>
        <v>0</v>
      </c>
      <c r="S526" s="10">
        <f>IFERROR(IF(('Loading-rail'!$C$21)="No control",SUMIF(('Loading-rail'!$B$31:$B$48),$J526,('Loading-rail'!$D$31:$D$48))*Impacts!$F$15,IF(('Loading-rail'!$C$21)&lt;&gt;"No control",SUMIF(('Loading-rail'!$B$31:$B$48),$J526,('Loading-rail'!$E$31:$E$48))*Impacts!$F$15,0)),0)</f>
        <v>0</v>
      </c>
      <c r="T526" s="10">
        <f>IF(Flare!$C$7="",0,(SUMIF(Flare!$B$46:$B$185,$J526,Flare!$E$46:$E$185)*Impacts!$F$16))</f>
        <v>0</v>
      </c>
      <c r="U526" s="10">
        <f>IF(VCU!$C$9="",0,(SUMIF(VCU!$B$51:$B$193,$J526,VCU!$E$51:$E$193)*Impacts!$F$17))</f>
        <v>0</v>
      </c>
      <c r="V526" s="10">
        <f>IF(CAS!$C$7="",0,(SUMIF(CAS!$B$31:$B$167,$J526,CAS!$E$31:$E$167)*Impacts!$F$18))</f>
        <v>0</v>
      </c>
      <c r="W526" s="10">
        <f t="shared" si="50"/>
        <v>0</v>
      </c>
      <c r="AK526" s="10" t="str">
        <f t="array" ref="AK526">IFERROR(INDEX(SelectedSpecies,SMALL(IF(SelectedSpecies=AK$1,ROW(SelectedSpecies)),ROW(527:527)),2),"")</f>
        <v/>
      </c>
      <c r="BE526" s="10"/>
      <c r="BI526" s="10"/>
    </row>
    <row r="527" spans="1:61" ht="21" customHeight="1" x14ac:dyDescent="0.25">
      <c r="A527" s="10"/>
      <c r="B527" s="10"/>
      <c r="E527" s="10"/>
      <c r="G527" s="10"/>
      <c r="I527" s="436" t="s">
        <v>4163</v>
      </c>
      <c r="J527" s="26" t="s">
        <v>4162</v>
      </c>
      <c r="K527" s="10">
        <v>5</v>
      </c>
      <c r="L527" s="73">
        <f>IF(Tank1!$C$23="No control",(SUMIF(Tank1!$B$32:$B$49,$J527,Tank1!$C$32:$C$49)*Impacts!$F$8),0)</f>
        <v>0</v>
      </c>
      <c r="M527" s="10">
        <f>IF(Tank2!$C$23="No control",(SUMIF(Tank2!$B$32:$B$49,$J527,Tank2!$C$32:$C$49)*Impacts!$F$9),0)</f>
        <v>0</v>
      </c>
      <c r="N527" s="10">
        <f>IF(Tank3!$C$23="No control",(SUMIF(Tank3!$B$32:$B$49,$J527,Tank3!$C$32:$C$49)*Impacts!$F$10),0)</f>
        <v>0</v>
      </c>
      <c r="O527" s="10">
        <f>IF(Tank4!$C$23="No control",(SUMIF(Tank4!$B$32:$B$49,$J527,Tank4!$C$32:$C$49)*Impacts!$F$11),0)</f>
        <v>0</v>
      </c>
      <c r="P527" s="10">
        <f>IF(Tank5!$C$23="No control",(SUMIF(Tank5!$B$32:$B$49,$J527,Tank5!$C$32:$C$49)*Impacts!$F$12),0)</f>
        <v>0</v>
      </c>
      <c r="Q527" s="10">
        <f>IFERROR(IF(('Loading-drum,tote'!$C$21)="No control",SUMIF(('Loading-drum,tote'!$B$31:$B$48),$J527,('Loading-drum,tote'!$D$31:$D$48))*Impacts!$F$13,IF(('Loading-drum,tote'!$C$21)&lt;&gt;"No control",SUMIF(('Loading-drum,tote'!$B$31:$B$48),$J527,('Loading-drum,tote'!$E$31:$E$48))*Impacts!$F$13,0)),0)</f>
        <v>0</v>
      </c>
      <c r="R527" s="10">
        <f>IFERROR(IF(('Loading-truck'!$C$21)="No control",SUMIF(('Loading-truck'!$B$31:$B$48),$J527,('Loading-truck'!$D$31:$D$48))*Impacts!$F$14,IF(('Loading-truck'!$C$21)&lt;&gt;"No control",SUMIF(('Loading-truck'!$B$31:$B$48),$J527,('Loading-truck'!$E$31:$E$48))*Impacts!$F$14,0)),0)</f>
        <v>0</v>
      </c>
      <c r="S527" s="10">
        <f>IFERROR(IF(('Loading-rail'!$C$21)="No control",SUMIF(('Loading-rail'!$B$31:$B$48),$J527,('Loading-rail'!$D$31:$D$48))*Impacts!$F$15,IF(('Loading-rail'!$C$21)&lt;&gt;"No control",SUMIF(('Loading-rail'!$B$31:$B$48),$J527,('Loading-rail'!$E$31:$E$48))*Impacts!$F$15,0)),0)</f>
        <v>0</v>
      </c>
      <c r="T527" s="10">
        <f>IF(Flare!$C$7="",0,(SUMIF(Flare!$B$46:$B$185,$J527,Flare!$E$46:$E$185)*Impacts!$F$16))</f>
        <v>0</v>
      </c>
      <c r="U527" s="10">
        <f>IF(VCU!$C$9="",0,(SUMIF(VCU!$B$51:$B$193,$J527,VCU!$E$51:$E$193)*Impacts!$F$17))</f>
        <v>0</v>
      </c>
      <c r="V527" s="10">
        <f>IF(CAS!$C$7="",0,(SUMIF(CAS!$B$31:$B$167,$J527,CAS!$E$31:$E$167)*Impacts!$F$18))</f>
        <v>0</v>
      </c>
      <c r="W527" s="10">
        <f t="shared" si="50"/>
        <v>0</v>
      </c>
      <c r="AK527" s="10" t="str">
        <f t="array" ref="AK527">IFERROR(INDEX(SelectedSpecies,SMALL(IF(SelectedSpecies=AK$1,ROW(SelectedSpecies)),ROW(528:528)),2),"")</f>
        <v/>
      </c>
      <c r="BE527" s="10"/>
      <c r="BI527" s="10"/>
    </row>
    <row r="528" spans="1:61" ht="21" customHeight="1" x14ac:dyDescent="0.25">
      <c r="A528" s="10"/>
      <c r="B528" s="10"/>
      <c r="E528" s="10"/>
      <c r="G528" s="10"/>
      <c r="I528" s="436" t="s">
        <v>5591</v>
      </c>
      <c r="J528" s="26" t="s">
        <v>5590</v>
      </c>
      <c r="K528" s="10">
        <v>1.1000000000000001</v>
      </c>
      <c r="L528" s="73">
        <f>IF(Tank1!$C$23="No control",(SUMIF(Tank1!$B$32:$B$49,$J528,Tank1!$C$32:$C$49)*Impacts!$F$8),0)</f>
        <v>0</v>
      </c>
      <c r="M528" s="10">
        <f>IF(Tank2!$C$23="No control",(SUMIF(Tank2!$B$32:$B$49,$J528,Tank2!$C$32:$C$49)*Impacts!$F$9),0)</f>
        <v>0</v>
      </c>
      <c r="N528" s="10">
        <f>IF(Tank3!$C$23="No control",(SUMIF(Tank3!$B$32:$B$49,$J528,Tank3!$C$32:$C$49)*Impacts!$F$10),0)</f>
        <v>0</v>
      </c>
      <c r="O528" s="10">
        <f>IF(Tank4!$C$23="No control",(SUMIF(Tank4!$B$32:$B$49,$J528,Tank4!$C$32:$C$49)*Impacts!$F$11),0)</f>
        <v>0</v>
      </c>
      <c r="P528" s="10">
        <f>IF(Tank5!$C$23="No control",(SUMIF(Tank5!$B$32:$B$49,$J528,Tank5!$C$32:$C$49)*Impacts!$F$12),0)</f>
        <v>0</v>
      </c>
      <c r="Q528" s="10">
        <f>IFERROR(IF(('Loading-drum,tote'!$C$21)="No control",SUMIF(('Loading-drum,tote'!$B$31:$B$48),$J528,('Loading-drum,tote'!$D$31:$D$48))*Impacts!$F$13,IF(('Loading-drum,tote'!$C$21)&lt;&gt;"No control",SUMIF(('Loading-drum,tote'!$B$31:$B$48),$J528,('Loading-drum,tote'!$E$31:$E$48))*Impacts!$F$13,0)),0)</f>
        <v>0</v>
      </c>
      <c r="R528" s="10">
        <f>IFERROR(IF(('Loading-truck'!$C$21)="No control",SUMIF(('Loading-truck'!$B$31:$B$48),$J528,('Loading-truck'!$D$31:$D$48))*Impacts!$F$14,IF(('Loading-truck'!$C$21)&lt;&gt;"No control",SUMIF(('Loading-truck'!$B$31:$B$48),$J528,('Loading-truck'!$E$31:$E$48))*Impacts!$F$14,0)),0)</f>
        <v>0</v>
      </c>
      <c r="S528" s="10">
        <f>IFERROR(IF(('Loading-rail'!$C$21)="No control",SUMIF(('Loading-rail'!$B$31:$B$48),$J528,('Loading-rail'!$D$31:$D$48))*Impacts!$F$15,IF(('Loading-rail'!$C$21)&lt;&gt;"No control",SUMIF(('Loading-rail'!$B$31:$B$48),$J528,('Loading-rail'!$E$31:$E$48))*Impacts!$F$15,0)),0)</f>
        <v>0</v>
      </c>
      <c r="T528" s="10">
        <f>IF(Flare!$C$7="",0,(SUMIF(Flare!$B$46:$B$185,$J528,Flare!$E$46:$E$185)*Impacts!$F$16))</f>
        <v>0</v>
      </c>
      <c r="U528" s="10">
        <f>IF(VCU!$C$9="",0,(SUMIF(VCU!$B$51:$B$193,$J528,VCU!$E$51:$E$193)*Impacts!$F$17))</f>
        <v>0</v>
      </c>
      <c r="V528" s="10">
        <f>IF(CAS!$C$7="",0,(SUMIF(CAS!$B$31:$B$167,$J528,CAS!$E$31:$E$167)*Impacts!$F$18))</f>
        <v>0</v>
      </c>
      <c r="W528" s="10">
        <f t="shared" si="50"/>
        <v>0</v>
      </c>
      <c r="AK528" s="10" t="str">
        <f t="array" ref="AK528">IFERROR(INDEX(SelectedSpecies,SMALL(IF(SelectedSpecies=AK$1,ROW(SelectedSpecies)),ROW(529:529)),2),"")</f>
        <v/>
      </c>
      <c r="BE528" s="10"/>
      <c r="BI528" s="10"/>
    </row>
    <row r="529" spans="1:61" ht="21" customHeight="1" x14ac:dyDescent="0.25">
      <c r="A529" s="10"/>
      <c r="B529" s="10"/>
      <c r="E529" s="10"/>
      <c r="G529" s="10"/>
      <c r="I529" s="436" t="s">
        <v>6688</v>
      </c>
      <c r="J529" s="26" t="s">
        <v>6687</v>
      </c>
      <c r="K529" s="10">
        <v>0.54</v>
      </c>
      <c r="L529" s="73">
        <f>IF(Tank1!$C$23="No control",(SUMIF(Tank1!$B$32:$B$49,$J529,Tank1!$C$32:$C$49)*Impacts!$F$8),0)</f>
        <v>0</v>
      </c>
      <c r="M529" s="10">
        <f>IF(Tank2!$C$23="No control",(SUMIF(Tank2!$B$32:$B$49,$J529,Tank2!$C$32:$C$49)*Impacts!$F$9),0)</f>
        <v>0</v>
      </c>
      <c r="N529" s="10">
        <f>IF(Tank3!$C$23="No control",(SUMIF(Tank3!$B$32:$B$49,$J529,Tank3!$C$32:$C$49)*Impacts!$F$10),0)</f>
        <v>0</v>
      </c>
      <c r="O529" s="10">
        <f>IF(Tank4!$C$23="No control",(SUMIF(Tank4!$B$32:$B$49,$J529,Tank4!$C$32:$C$49)*Impacts!$F$11),0)</f>
        <v>0</v>
      </c>
      <c r="P529" s="10">
        <f>IF(Tank5!$C$23="No control",(SUMIF(Tank5!$B$32:$B$49,$J529,Tank5!$C$32:$C$49)*Impacts!$F$12),0)</f>
        <v>0</v>
      </c>
      <c r="Q529" s="10">
        <f>IFERROR(IF(('Loading-drum,tote'!$C$21)="No control",SUMIF(('Loading-drum,tote'!$B$31:$B$48),$J529,('Loading-drum,tote'!$D$31:$D$48))*Impacts!$F$13,IF(('Loading-drum,tote'!$C$21)&lt;&gt;"No control",SUMIF(('Loading-drum,tote'!$B$31:$B$48),$J529,('Loading-drum,tote'!$E$31:$E$48))*Impacts!$F$13,0)),0)</f>
        <v>0</v>
      </c>
      <c r="R529" s="10">
        <f>IFERROR(IF(('Loading-truck'!$C$21)="No control",SUMIF(('Loading-truck'!$B$31:$B$48),$J529,('Loading-truck'!$D$31:$D$48))*Impacts!$F$14,IF(('Loading-truck'!$C$21)&lt;&gt;"No control",SUMIF(('Loading-truck'!$B$31:$B$48),$J529,('Loading-truck'!$E$31:$E$48))*Impacts!$F$14,0)),0)</f>
        <v>0</v>
      </c>
      <c r="S529" s="10">
        <f>IFERROR(IF(('Loading-rail'!$C$21)="No control",SUMIF(('Loading-rail'!$B$31:$B$48),$J529,('Loading-rail'!$D$31:$D$48))*Impacts!$F$15,IF(('Loading-rail'!$C$21)&lt;&gt;"No control",SUMIF(('Loading-rail'!$B$31:$B$48),$J529,('Loading-rail'!$E$31:$E$48))*Impacts!$F$15,0)),0)</f>
        <v>0</v>
      </c>
      <c r="T529" s="10">
        <f>IF(Flare!$C$7="",0,(SUMIF(Flare!$B$46:$B$185,$J529,Flare!$E$46:$E$185)*Impacts!$F$16))</f>
        <v>0</v>
      </c>
      <c r="U529" s="10">
        <f>IF(VCU!$C$9="",0,(SUMIF(VCU!$B$51:$B$193,$J529,VCU!$E$51:$E$193)*Impacts!$F$17))</f>
        <v>0</v>
      </c>
      <c r="V529" s="10">
        <f>IF(CAS!$C$7="",0,(SUMIF(CAS!$B$31:$B$167,$J529,CAS!$E$31:$E$167)*Impacts!$F$18))</f>
        <v>0</v>
      </c>
      <c r="W529" s="10">
        <f t="shared" si="50"/>
        <v>0</v>
      </c>
      <c r="AK529" s="10" t="str">
        <f t="array" ref="AK529">IFERROR(INDEX(SelectedSpecies,SMALL(IF(SelectedSpecies=AK$1,ROW(SelectedSpecies)),ROW(530:530)),2),"")</f>
        <v/>
      </c>
      <c r="BE529" s="10"/>
      <c r="BI529" s="10"/>
    </row>
    <row r="530" spans="1:61" ht="21" customHeight="1" x14ac:dyDescent="0.25">
      <c r="A530" s="10"/>
      <c r="B530" s="10"/>
      <c r="E530" s="10"/>
      <c r="G530" s="10"/>
      <c r="I530" s="436" t="s">
        <v>5710</v>
      </c>
      <c r="J530" s="26" t="s">
        <v>5709</v>
      </c>
      <c r="K530" s="10">
        <v>1</v>
      </c>
      <c r="L530" s="73">
        <f>IF(Tank1!$C$23="No control",(SUMIF(Tank1!$B$32:$B$49,$J530,Tank1!$C$32:$C$49)*Impacts!$F$8),0)</f>
        <v>0</v>
      </c>
      <c r="M530" s="10">
        <f>IF(Tank2!$C$23="No control",(SUMIF(Tank2!$B$32:$B$49,$J530,Tank2!$C$32:$C$49)*Impacts!$F$9),0)</f>
        <v>0</v>
      </c>
      <c r="N530" s="10">
        <f>IF(Tank3!$C$23="No control",(SUMIF(Tank3!$B$32:$B$49,$J530,Tank3!$C$32:$C$49)*Impacts!$F$10),0)</f>
        <v>0</v>
      </c>
      <c r="O530" s="10">
        <f>IF(Tank4!$C$23="No control",(SUMIF(Tank4!$B$32:$B$49,$J530,Tank4!$C$32:$C$49)*Impacts!$F$11),0)</f>
        <v>0</v>
      </c>
      <c r="P530" s="10">
        <f>IF(Tank5!$C$23="No control",(SUMIF(Tank5!$B$32:$B$49,$J530,Tank5!$C$32:$C$49)*Impacts!$F$12),0)</f>
        <v>0</v>
      </c>
      <c r="Q530" s="10">
        <f>IFERROR(IF(('Loading-drum,tote'!$C$21)="No control",SUMIF(('Loading-drum,tote'!$B$31:$B$48),$J530,('Loading-drum,tote'!$D$31:$D$48))*Impacts!$F$13,IF(('Loading-drum,tote'!$C$21)&lt;&gt;"No control",SUMIF(('Loading-drum,tote'!$B$31:$B$48),$J530,('Loading-drum,tote'!$E$31:$E$48))*Impacts!$F$13,0)),0)</f>
        <v>0</v>
      </c>
      <c r="R530" s="10">
        <f>IFERROR(IF(('Loading-truck'!$C$21)="No control",SUMIF(('Loading-truck'!$B$31:$B$48),$J530,('Loading-truck'!$D$31:$D$48))*Impacts!$F$14,IF(('Loading-truck'!$C$21)&lt;&gt;"No control",SUMIF(('Loading-truck'!$B$31:$B$48),$J530,('Loading-truck'!$E$31:$E$48))*Impacts!$F$14,0)),0)</f>
        <v>0</v>
      </c>
      <c r="S530" s="10">
        <f>IFERROR(IF(('Loading-rail'!$C$21)="No control",SUMIF(('Loading-rail'!$B$31:$B$48),$J530,('Loading-rail'!$D$31:$D$48))*Impacts!$F$15,IF(('Loading-rail'!$C$21)&lt;&gt;"No control",SUMIF(('Loading-rail'!$B$31:$B$48),$J530,('Loading-rail'!$E$31:$E$48))*Impacts!$F$15,0)),0)</f>
        <v>0</v>
      </c>
      <c r="T530" s="10">
        <f>IF(Flare!$C$7="",0,(SUMIF(Flare!$B$46:$B$185,$J530,Flare!$E$46:$E$185)*Impacts!$F$16))</f>
        <v>0</v>
      </c>
      <c r="U530" s="10">
        <f>IF(VCU!$C$9="",0,(SUMIF(VCU!$B$51:$B$193,$J530,VCU!$E$51:$E$193)*Impacts!$F$17))</f>
        <v>0</v>
      </c>
      <c r="V530" s="10">
        <f>IF(CAS!$C$7="",0,(SUMIF(CAS!$B$31:$B$167,$J530,CAS!$E$31:$E$167)*Impacts!$F$18))</f>
        <v>0</v>
      </c>
      <c r="W530" s="10">
        <f t="shared" si="50"/>
        <v>0</v>
      </c>
      <c r="AK530" s="10" t="str">
        <f t="array" ref="AK530">IFERROR(INDEX(SelectedSpecies,SMALL(IF(SelectedSpecies=AK$1,ROW(SelectedSpecies)),ROW(531:531)),2),"")</f>
        <v/>
      </c>
      <c r="BE530" s="10"/>
      <c r="BI530" s="10"/>
    </row>
    <row r="531" spans="1:61" ht="21" customHeight="1" x14ac:dyDescent="0.25">
      <c r="A531" s="10"/>
      <c r="B531" s="10"/>
      <c r="E531" s="10"/>
      <c r="G531" s="10"/>
      <c r="I531" s="436" t="s">
        <v>5221</v>
      </c>
      <c r="J531" s="26" t="s">
        <v>5220</v>
      </c>
      <c r="K531" s="10">
        <v>1.9000000000000001</v>
      </c>
      <c r="L531" s="73">
        <f>IF(Tank1!$C$23="No control",(SUMIF(Tank1!$B$32:$B$49,$J531,Tank1!$C$32:$C$49)*Impacts!$F$8),0)</f>
        <v>0</v>
      </c>
      <c r="M531" s="10">
        <f>IF(Tank2!$C$23="No control",(SUMIF(Tank2!$B$32:$B$49,$J531,Tank2!$C$32:$C$49)*Impacts!$F$9),0)</f>
        <v>0</v>
      </c>
      <c r="N531" s="10">
        <f>IF(Tank3!$C$23="No control",(SUMIF(Tank3!$B$32:$B$49,$J531,Tank3!$C$32:$C$49)*Impacts!$F$10),0)</f>
        <v>0</v>
      </c>
      <c r="O531" s="10">
        <f>IF(Tank4!$C$23="No control",(SUMIF(Tank4!$B$32:$B$49,$J531,Tank4!$C$32:$C$49)*Impacts!$F$11),0)</f>
        <v>0</v>
      </c>
      <c r="P531" s="10">
        <f>IF(Tank5!$C$23="No control",(SUMIF(Tank5!$B$32:$B$49,$J531,Tank5!$C$32:$C$49)*Impacts!$F$12),0)</f>
        <v>0</v>
      </c>
      <c r="Q531" s="10">
        <f>IFERROR(IF(('Loading-drum,tote'!$C$21)="No control",SUMIF(('Loading-drum,tote'!$B$31:$B$48),$J531,('Loading-drum,tote'!$D$31:$D$48))*Impacts!$F$13,IF(('Loading-drum,tote'!$C$21)&lt;&gt;"No control",SUMIF(('Loading-drum,tote'!$B$31:$B$48),$J531,('Loading-drum,tote'!$E$31:$E$48))*Impacts!$F$13,0)),0)</f>
        <v>0</v>
      </c>
      <c r="R531" s="10">
        <f>IFERROR(IF(('Loading-truck'!$C$21)="No control",SUMIF(('Loading-truck'!$B$31:$B$48),$J531,('Loading-truck'!$D$31:$D$48))*Impacts!$F$14,IF(('Loading-truck'!$C$21)&lt;&gt;"No control",SUMIF(('Loading-truck'!$B$31:$B$48),$J531,('Loading-truck'!$E$31:$E$48))*Impacts!$F$14,0)),0)</f>
        <v>0</v>
      </c>
      <c r="S531" s="10">
        <f>IFERROR(IF(('Loading-rail'!$C$21)="No control",SUMIF(('Loading-rail'!$B$31:$B$48),$J531,('Loading-rail'!$D$31:$D$48))*Impacts!$F$15,IF(('Loading-rail'!$C$21)&lt;&gt;"No control",SUMIF(('Loading-rail'!$B$31:$B$48),$J531,('Loading-rail'!$E$31:$E$48))*Impacts!$F$15,0)),0)</f>
        <v>0</v>
      </c>
      <c r="T531" s="10">
        <f>IF(Flare!$C$7="",0,(SUMIF(Flare!$B$46:$B$185,$J531,Flare!$E$46:$E$185)*Impacts!$F$16))</f>
        <v>0</v>
      </c>
      <c r="U531" s="10">
        <f>IF(VCU!$C$9="",0,(SUMIF(VCU!$B$51:$B$193,$J531,VCU!$E$51:$E$193)*Impacts!$F$17))</f>
        <v>0</v>
      </c>
      <c r="V531" s="10">
        <f>IF(CAS!$C$7="",0,(SUMIF(CAS!$B$31:$B$167,$J531,CAS!$E$31:$E$167)*Impacts!$F$18))</f>
        <v>0</v>
      </c>
      <c r="W531" s="10">
        <f t="shared" si="50"/>
        <v>0</v>
      </c>
      <c r="AK531" s="10" t="str">
        <f t="array" ref="AK531">IFERROR(INDEX(SelectedSpecies,SMALL(IF(SelectedSpecies=AK$1,ROW(SelectedSpecies)),ROW(532:532)),2),"")</f>
        <v/>
      </c>
      <c r="BE531" s="10"/>
      <c r="BI531" s="10"/>
    </row>
    <row r="532" spans="1:61" ht="21" customHeight="1" x14ac:dyDescent="0.25">
      <c r="A532" s="10"/>
      <c r="B532" s="10"/>
      <c r="E532" s="10"/>
      <c r="G532" s="10"/>
      <c r="I532" s="436" t="s">
        <v>4853</v>
      </c>
      <c r="J532" s="26" t="s">
        <v>4852</v>
      </c>
      <c r="K532" s="10">
        <v>2.8000000000000003</v>
      </c>
      <c r="L532" s="73">
        <f>IF(Tank1!$C$23="No control",(SUMIF(Tank1!$B$32:$B$49,$J532,Tank1!$C$32:$C$49)*Impacts!$F$8),0)</f>
        <v>0</v>
      </c>
      <c r="M532" s="10">
        <f>IF(Tank2!$C$23="No control",(SUMIF(Tank2!$B$32:$B$49,$J532,Tank2!$C$32:$C$49)*Impacts!$F$9),0)</f>
        <v>0</v>
      </c>
      <c r="N532" s="10">
        <f>IF(Tank3!$C$23="No control",(SUMIF(Tank3!$B$32:$B$49,$J532,Tank3!$C$32:$C$49)*Impacts!$F$10),0)</f>
        <v>0</v>
      </c>
      <c r="O532" s="10">
        <f>IF(Tank4!$C$23="No control",(SUMIF(Tank4!$B$32:$B$49,$J532,Tank4!$C$32:$C$49)*Impacts!$F$11),0)</f>
        <v>0</v>
      </c>
      <c r="P532" s="10">
        <f>IF(Tank5!$C$23="No control",(SUMIF(Tank5!$B$32:$B$49,$J532,Tank5!$C$32:$C$49)*Impacts!$F$12),0)</f>
        <v>0</v>
      </c>
      <c r="Q532" s="10">
        <f>IFERROR(IF(('Loading-drum,tote'!$C$21)="No control",SUMIF(('Loading-drum,tote'!$B$31:$B$48),$J532,('Loading-drum,tote'!$D$31:$D$48))*Impacts!$F$13,IF(('Loading-drum,tote'!$C$21)&lt;&gt;"No control",SUMIF(('Loading-drum,tote'!$B$31:$B$48),$J532,('Loading-drum,tote'!$E$31:$E$48))*Impacts!$F$13,0)),0)</f>
        <v>0</v>
      </c>
      <c r="R532" s="10">
        <f>IFERROR(IF(('Loading-truck'!$C$21)="No control",SUMIF(('Loading-truck'!$B$31:$B$48),$J532,('Loading-truck'!$D$31:$D$48))*Impacts!$F$14,IF(('Loading-truck'!$C$21)&lt;&gt;"No control",SUMIF(('Loading-truck'!$B$31:$B$48),$J532,('Loading-truck'!$E$31:$E$48))*Impacts!$F$14,0)),0)</f>
        <v>0</v>
      </c>
      <c r="S532" s="10">
        <f>IFERROR(IF(('Loading-rail'!$C$21)="No control",SUMIF(('Loading-rail'!$B$31:$B$48),$J532,('Loading-rail'!$D$31:$D$48))*Impacts!$F$15,IF(('Loading-rail'!$C$21)&lt;&gt;"No control",SUMIF(('Loading-rail'!$B$31:$B$48),$J532,('Loading-rail'!$E$31:$E$48))*Impacts!$F$15,0)),0)</f>
        <v>0</v>
      </c>
      <c r="T532" s="10">
        <f>IF(Flare!$C$7="",0,(SUMIF(Flare!$B$46:$B$185,$J532,Flare!$E$46:$E$185)*Impacts!$F$16))</f>
        <v>0</v>
      </c>
      <c r="U532" s="10">
        <f>IF(VCU!$C$9="",0,(SUMIF(VCU!$B$51:$B$193,$J532,VCU!$E$51:$E$193)*Impacts!$F$17))</f>
        <v>0</v>
      </c>
      <c r="V532" s="10">
        <f>IF(CAS!$C$7="",0,(SUMIF(CAS!$B$31:$B$167,$J532,CAS!$E$31:$E$167)*Impacts!$F$18))</f>
        <v>0</v>
      </c>
      <c r="W532" s="10">
        <f t="shared" si="50"/>
        <v>0</v>
      </c>
      <c r="AK532" s="10" t="str">
        <f t="array" ref="AK532">IFERROR(INDEX(SelectedSpecies,SMALL(IF(SelectedSpecies=AK$1,ROW(SelectedSpecies)),ROW(533:533)),2),"")</f>
        <v/>
      </c>
      <c r="BE532" s="10"/>
      <c r="BI532" s="10"/>
    </row>
    <row r="533" spans="1:61" ht="21" customHeight="1" x14ac:dyDescent="0.25">
      <c r="A533" s="10"/>
      <c r="B533" s="10"/>
      <c r="E533" s="10"/>
      <c r="G533" s="10"/>
      <c r="I533" s="436" t="s">
        <v>978</v>
      </c>
      <c r="J533" s="26" t="s">
        <v>977</v>
      </c>
      <c r="K533" s="10">
        <v>35</v>
      </c>
      <c r="L533" s="73">
        <f>IF(Tank1!$C$23="No control",(SUMIF(Tank1!$B$32:$B$49,$J533,Tank1!$C$32:$C$49)*Impacts!$F$8),0)</f>
        <v>0</v>
      </c>
      <c r="M533" s="10">
        <f>IF(Tank2!$C$23="No control",(SUMIF(Tank2!$B$32:$B$49,$J533,Tank2!$C$32:$C$49)*Impacts!$F$9),0)</f>
        <v>0</v>
      </c>
      <c r="N533" s="10">
        <f>IF(Tank3!$C$23="No control",(SUMIF(Tank3!$B$32:$B$49,$J533,Tank3!$C$32:$C$49)*Impacts!$F$10),0)</f>
        <v>0</v>
      </c>
      <c r="O533" s="10">
        <f>IF(Tank4!$C$23="No control",(SUMIF(Tank4!$B$32:$B$49,$J533,Tank4!$C$32:$C$49)*Impacts!$F$11),0)</f>
        <v>0</v>
      </c>
      <c r="P533" s="10">
        <f>IF(Tank5!$C$23="No control",(SUMIF(Tank5!$B$32:$B$49,$J533,Tank5!$C$32:$C$49)*Impacts!$F$12),0)</f>
        <v>0</v>
      </c>
      <c r="Q533" s="10">
        <f>IFERROR(IF(('Loading-drum,tote'!$C$21)="No control",SUMIF(('Loading-drum,tote'!$B$31:$B$48),$J533,('Loading-drum,tote'!$D$31:$D$48))*Impacts!$F$13,IF(('Loading-drum,tote'!$C$21)&lt;&gt;"No control",SUMIF(('Loading-drum,tote'!$B$31:$B$48),$J533,('Loading-drum,tote'!$E$31:$E$48))*Impacts!$F$13,0)),0)</f>
        <v>0</v>
      </c>
      <c r="R533" s="10">
        <f>IFERROR(IF(('Loading-truck'!$C$21)="No control",SUMIF(('Loading-truck'!$B$31:$B$48),$J533,('Loading-truck'!$D$31:$D$48))*Impacts!$F$14,IF(('Loading-truck'!$C$21)&lt;&gt;"No control",SUMIF(('Loading-truck'!$B$31:$B$48),$J533,('Loading-truck'!$E$31:$E$48))*Impacts!$F$14,0)),0)</f>
        <v>0</v>
      </c>
      <c r="S533" s="10">
        <f>IFERROR(IF(('Loading-rail'!$C$21)="No control",SUMIF(('Loading-rail'!$B$31:$B$48),$J533,('Loading-rail'!$D$31:$D$48))*Impacts!$F$15,IF(('Loading-rail'!$C$21)&lt;&gt;"No control",SUMIF(('Loading-rail'!$B$31:$B$48),$J533,('Loading-rail'!$E$31:$E$48))*Impacts!$F$15,0)),0)</f>
        <v>0</v>
      </c>
      <c r="T533" s="10">
        <f>IF(Flare!$C$7="",0,(SUMIF(Flare!$B$46:$B$185,$J533,Flare!$E$46:$E$185)*Impacts!$F$16))</f>
        <v>0</v>
      </c>
      <c r="U533" s="10">
        <f>IF(VCU!$C$9="",0,(SUMIF(VCU!$B$51:$B$193,$J533,VCU!$E$51:$E$193)*Impacts!$F$17))</f>
        <v>0</v>
      </c>
      <c r="V533" s="10">
        <f>IF(CAS!$C$7="",0,(SUMIF(CAS!$B$31:$B$167,$J533,CAS!$E$31:$E$167)*Impacts!$F$18))</f>
        <v>0</v>
      </c>
      <c r="W533" s="10">
        <f t="shared" si="50"/>
        <v>0</v>
      </c>
      <c r="AK533" s="10" t="str">
        <f t="array" ref="AK533">IFERROR(INDEX(SelectedSpecies,SMALL(IF(SelectedSpecies=AK$1,ROW(SelectedSpecies)),ROW(534:534)),2),"")</f>
        <v/>
      </c>
      <c r="BE533" s="10"/>
      <c r="BI533" s="10"/>
    </row>
    <row r="534" spans="1:61" ht="21" customHeight="1" x14ac:dyDescent="0.25">
      <c r="A534" s="10"/>
      <c r="B534" s="10"/>
      <c r="E534" s="10"/>
      <c r="G534" s="10"/>
      <c r="I534" s="436" t="s">
        <v>636</v>
      </c>
      <c r="J534" s="26" t="s">
        <v>635</v>
      </c>
      <c r="K534" s="10">
        <v>57</v>
      </c>
      <c r="L534" s="73">
        <f>IF(Tank1!$C$23="No control",(SUMIF(Tank1!$B$32:$B$49,$J534,Tank1!$C$32:$C$49)*Impacts!$F$8),0)</f>
        <v>0</v>
      </c>
      <c r="M534" s="10">
        <f>IF(Tank2!$C$23="No control",(SUMIF(Tank2!$B$32:$B$49,$J534,Tank2!$C$32:$C$49)*Impacts!$F$9),0)</f>
        <v>0</v>
      </c>
      <c r="N534" s="10">
        <f>IF(Tank3!$C$23="No control",(SUMIF(Tank3!$B$32:$B$49,$J534,Tank3!$C$32:$C$49)*Impacts!$F$10),0)</f>
        <v>0</v>
      </c>
      <c r="O534" s="10">
        <f>IF(Tank4!$C$23="No control",(SUMIF(Tank4!$B$32:$B$49,$J534,Tank4!$C$32:$C$49)*Impacts!$F$11),0)</f>
        <v>0</v>
      </c>
      <c r="P534" s="10">
        <f>IF(Tank5!$C$23="No control",(SUMIF(Tank5!$B$32:$B$49,$J534,Tank5!$C$32:$C$49)*Impacts!$F$12),0)</f>
        <v>0</v>
      </c>
      <c r="Q534" s="10">
        <f>IFERROR(IF(('Loading-drum,tote'!$C$21)="No control",SUMIF(('Loading-drum,tote'!$B$31:$B$48),$J534,('Loading-drum,tote'!$D$31:$D$48))*Impacts!$F$13,IF(('Loading-drum,tote'!$C$21)&lt;&gt;"No control",SUMIF(('Loading-drum,tote'!$B$31:$B$48),$J534,('Loading-drum,tote'!$E$31:$E$48))*Impacts!$F$13,0)),0)</f>
        <v>0</v>
      </c>
      <c r="R534" s="10">
        <f>IFERROR(IF(('Loading-truck'!$C$21)="No control",SUMIF(('Loading-truck'!$B$31:$B$48),$J534,('Loading-truck'!$D$31:$D$48))*Impacts!$F$14,IF(('Loading-truck'!$C$21)&lt;&gt;"No control",SUMIF(('Loading-truck'!$B$31:$B$48),$J534,('Loading-truck'!$E$31:$E$48))*Impacts!$F$14,0)),0)</f>
        <v>0</v>
      </c>
      <c r="S534" s="10">
        <f>IFERROR(IF(('Loading-rail'!$C$21)="No control",SUMIF(('Loading-rail'!$B$31:$B$48),$J534,('Loading-rail'!$D$31:$D$48))*Impacts!$F$15,IF(('Loading-rail'!$C$21)&lt;&gt;"No control",SUMIF(('Loading-rail'!$B$31:$B$48),$J534,('Loading-rail'!$E$31:$E$48))*Impacts!$F$15,0)),0)</f>
        <v>0</v>
      </c>
      <c r="T534" s="10">
        <f>IF(Flare!$C$7="",0,(SUMIF(Flare!$B$46:$B$185,$J534,Flare!$E$46:$E$185)*Impacts!$F$16))</f>
        <v>0</v>
      </c>
      <c r="U534" s="10">
        <f>IF(VCU!$C$9="",0,(SUMIF(VCU!$B$51:$B$193,$J534,VCU!$E$51:$E$193)*Impacts!$F$17))</f>
        <v>0</v>
      </c>
      <c r="V534" s="10">
        <f>IF(CAS!$C$7="",0,(SUMIF(CAS!$B$31:$B$167,$J534,CAS!$E$31:$E$167)*Impacts!$F$18))</f>
        <v>0</v>
      </c>
      <c r="W534" s="10">
        <f t="shared" si="50"/>
        <v>0</v>
      </c>
      <c r="AK534" s="10" t="str">
        <f t="array" ref="AK534">IFERROR(INDEX(SelectedSpecies,SMALL(IF(SelectedSpecies=AK$1,ROW(SelectedSpecies)),ROW(535:535)),2),"")</f>
        <v/>
      </c>
      <c r="BE534" s="10"/>
      <c r="BI534" s="10"/>
    </row>
    <row r="535" spans="1:61" ht="21" customHeight="1" x14ac:dyDescent="0.25">
      <c r="A535" s="10"/>
      <c r="B535" s="10"/>
      <c r="E535" s="10"/>
      <c r="G535" s="10"/>
      <c r="I535" s="436" t="s">
        <v>5712</v>
      </c>
      <c r="J535" s="26" t="s">
        <v>5711</v>
      </c>
      <c r="K535" s="10">
        <v>1</v>
      </c>
      <c r="L535" s="73">
        <f>IF(Tank1!$C$23="No control",(SUMIF(Tank1!$B$32:$B$49,$J535,Tank1!$C$32:$C$49)*Impacts!$F$8),0)</f>
        <v>0</v>
      </c>
      <c r="M535" s="10">
        <f>IF(Tank2!$C$23="No control",(SUMIF(Tank2!$B$32:$B$49,$J535,Tank2!$C$32:$C$49)*Impacts!$F$9),0)</f>
        <v>0</v>
      </c>
      <c r="N535" s="10">
        <f>IF(Tank3!$C$23="No control",(SUMIF(Tank3!$B$32:$B$49,$J535,Tank3!$C$32:$C$49)*Impacts!$F$10),0)</f>
        <v>0</v>
      </c>
      <c r="O535" s="10">
        <f>IF(Tank4!$C$23="No control",(SUMIF(Tank4!$B$32:$B$49,$J535,Tank4!$C$32:$C$49)*Impacts!$F$11),0)</f>
        <v>0</v>
      </c>
      <c r="P535" s="10">
        <f>IF(Tank5!$C$23="No control",(SUMIF(Tank5!$B$32:$B$49,$J535,Tank5!$C$32:$C$49)*Impacts!$F$12),0)</f>
        <v>0</v>
      </c>
      <c r="Q535" s="10">
        <f>IFERROR(IF(('Loading-drum,tote'!$C$21)="No control",SUMIF(('Loading-drum,tote'!$B$31:$B$48),$J535,('Loading-drum,tote'!$D$31:$D$48))*Impacts!$F$13,IF(('Loading-drum,tote'!$C$21)&lt;&gt;"No control",SUMIF(('Loading-drum,tote'!$B$31:$B$48),$J535,('Loading-drum,tote'!$E$31:$E$48))*Impacts!$F$13,0)),0)</f>
        <v>0</v>
      </c>
      <c r="R535" s="10">
        <f>IFERROR(IF(('Loading-truck'!$C$21)="No control",SUMIF(('Loading-truck'!$B$31:$B$48),$J535,('Loading-truck'!$D$31:$D$48))*Impacts!$F$14,IF(('Loading-truck'!$C$21)&lt;&gt;"No control",SUMIF(('Loading-truck'!$B$31:$B$48),$J535,('Loading-truck'!$E$31:$E$48))*Impacts!$F$14,0)),0)</f>
        <v>0</v>
      </c>
      <c r="S535" s="10">
        <f>IFERROR(IF(('Loading-rail'!$C$21)="No control",SUMIF(('Loading-rail'!$B$31:$B$48),$J535,('Loading-rail'!$D$31:$D$48))*Impacts!$F$15,IF(('Loading-rail'!$C$21)&lt;&gt;"No control",SUMIF(('Loading-rail'!$B$31:$B$48),$J535,('Loading-rail'!$E$31:$E$48))*Impacts!$F$15,0)),0)</f>
        <v>0</v>
      </c>
      <c r="T535" s="10">
        <f>IF(Flare!$C$7="",0,(SUMIF(Flare!$B$46:$B$185,$J535,Flare!$E$46:$E$185)*Impacts!$F$16))</f>
        <v>0</v>
      </c>
      <c r="U535" s="10">
        <f>IF(VCU!$C$9="",0,(SUMIF(VCU!$B$51:$B$193,$J535,VCU!$E$51:$E$193)*Impacts!$F$17))</f>
        <v>0</v>
      </c>
      <c r="V535" s="10">
        <f>IF(CAS!$C$7="",0,(SUMIF(CAS!$B$31:$B$167,$J535,CAS!$E$31:$E$167)*Impacts!$F$18))</f>
        <v>0</v>
      </c>
      <c r="W535" s="10">
        <f t="shared" si="50"/>
        <v>0</v>
      </c>
      <c r="AK535" s="10" t="str">
        <f t="array" ref="AK535">IFERROR(INDEX(SelectedSpecies,SMALL(IF(SelectedSpecies=AK$1,ROW(SelectedSpecies)),ROW(536:536)),2),"")</f>
        <v/>
      </c>
      <c r="BE535" s="10"/>
      <c r="BI535" s="10"/>
    </row>
    <row r="536" spans="1:61" ht="21" customHeight="1" x14ac:dyDescent="0.25">
      <c r="A536" s="10"/>
      <c r="B536" s="10"/>
      <c r="E536" s="10"/>
      <c r="G536" s="10"/>
      <c r="I536" s="436" t="s">
        <v>3725</v>
      </c>
      <c r="J536" s="26" t="s">
        <v>3724</v>
      </c>
      <c r="K536" s="10">
        <v>6.4</v>
      </c>
      <c r="L536" s="73">
        <f>IF(Tank1!$C$23="No control",(SUMIF(Tank1!$B$32:$B$49,$J536,Tank1!$C$32:$C$49)*Impacts!$F$8),0)</f>
        <v>0</v>
      </c>
      <c r="M536" s="10">
        <f>IF(Tank2!$C$23="No control",(SUMIF(Tank2!$B$32:$B$49,$J536,Tank2!$C$32:$C$49)*Impacts!$F$9),0)</f>
        <v>0</v>
      </c>
      <c r="N536" s="10">
        <f>IF(Tank3!$C$23="No control",(SUMIF(Tank3!$B$32:$B$49,$J536,Tank3!$C$32:$C$49)*Impacts!$F$10),0)</f>
        <v>0</v>
      </c>
      <c r="O536" s="10">
        <f>IF(Tank4!$C$23="No control",(SUMIF(Tank4!$B$32:$B$49,$J536,Tank4!$C$32:$C$49)*Impacts!$F$11),0)</f>
        <v>0</v>
      </c>
      <c r="P536" s="10">
        <f>IF(Tank5!$C$23="No control",(SUMIF(Tank5!$B$32:$B$49,$J536,Tank5!$C$32:$C$49)*Impacts!$F$12),0)</f>
        <v>0</v>
      </c>
      <c r="Q536" s="10">
        <f>IFERROR(IF(('Loading-drum,tote'!$C$21)="No control",SUMIF(('Loading-drum,tote'!$B$31:$B$48),$J536,('Loading-drum,tote'!$D$31:$D$48))*Impacts!$F$13,IF(('Loading-drum,tote'!$C$21)&lt;&gt;"No control",SUMIF(('Loading-drum,tote'!$B$31:$B$48),$J536,('Loading-drum,tote'!$E$31:$E$48))*Impacts!$F$13,0)),0)</f>
        <v>0</v>
      </c>
      <c r="R536" s="10">
        <f>IFERROR(IF(('Loading-truck'!$C$21)="No control",SUMIF(('Loading-truck'!$B$31:$B$48),$J536,('Loading-truck'!$D$31:$D$48))*Impacts!$F$14,IF(('Loading-truck'!$C$21)&lt;&gt;"No control",SUMIF(('Loading-truck'!$B$31:$B$48),$J536,('Loading-truck'!$E$31:$E$48))*Impacts!$F$14,0)),0)</f>
        <v>0</v>
      </c>
      <c r="S536" s="10">
        <f>IFERROR(IF(('Loading-rail'!$C$21)="No control",SUMIF(('Loading-rail'!$B$31:$B$48),$J536,('Loading-rail'!$D$31:$D$48))*Impacts!$F$15,IF(('Loading-rail'!$C$21)&lt;&gt;"No control",SUMIF(('Loading-rail'!$B$31:$B$48),$J536,('Loading-rail'!$E$31:$E$48))*Impacts!$F$15,0)),0)</f>
        <v>0</v>
      </c>
      <c r="T536" s="10">
        <f>IF(Flare!$C$7="",0,(SUMIF(Flare!$B$46:$B$185,$J536,Flare!$E$46:$E$185)*Impacts!$F$16))</f>
        <v>0</v>
      </c>
      <c r="U536" s="10">
        <f>IF(VCU!$C$9="",0,(SUMIF(VCU!$B$51:$B$193,$J536,VCU!$E$51:$E$193)*Impacts!$F$17))</f>
        <v>0</v>
      </c>
      <c r="V536" s="10">
        <f>IF(CAS!$C$7="",0,(SUMIF(CAS!$B$31:$B$167,$J536,CAS!$E$31:$E$167)*Impacts!$F$18))</f>
        <v>0</v>
      </c>
      <c r="W536" s="10">
        <f t="shared" si="50"/>
        <v>0</v>
      </c>
      <c r="AK536" s="10" t="str">
        <f t="array" ref="AK536">IFERROR(INDEX(SelectedSpecies,SMALL(IF(SelectedSpecies=AK$1,ROW(SelectedSpecies)),ROW(537:537)),2),"")</f>
        <v/>
      </c>
      <c r="BE536" s="10"/>
      <c r="BI536" s="10"/>
    </row>
    <row r="537" spans="1:61" ht="21" customHeight="1" x14ac:dyDescent="0.25">
      <c r="A537" s="10"/>
      <c r="B537" s="10"/>
      <c r="E537" s="10"/>
      <c r="G537" s="10"/>
      <c r="I537" s="436" t="s">
        <v>1440</v>
      </c>
      <c r="J537" s="26" t="s">
        <v>1439</v>
      </c>
      <c r="K537" s="10">
        <v>30</v>
      </c>
      <c r="L537" s="73">
        <f>IF(Tank1!$C$23="No control",(SUMIF(Tank1!$B$32:$B$49,$J537,Tank1!$C$32:$C$49)*Impacts!$F$8),0)</f>
        <v>0</v>
      </c>
      <c r="M537" s="10">
        <f>IF(Tank2!$C$23="No control",(SUMIF(Tank2!$B$32:$B$49,$J537,Tank2!$C$32:$C$49)*Impacts!$F$9),0)</f>
        <v>0</v>
      </c>
      <c r="N537" s="10">
        <f>IF(Tank3!$C$23="No control",(SUMIF(Tank3!$B$32:$B$49,$J537,Tank3!$C$32:$C$49)*Impacts!$F$10),0)</f>
        <v>0</v>
      </c>
      <c r="O537" s="10">
        <f>IF(Tank4!$C$23="No control",(SUMIF(Tank4!$B$32:$B$49,$J537,Tank4!$C$32:$C$49)*Impacts!$F$11),0)</f>
        <v>0</v>
      </c>
      <c r="P537" s="10">
        <f>IF(Tank5!$C$23="No control",(SUMIF(Tank5!$B$32:$B$49,$J537,Tank5!$C$32:$C$49)*Impacts!$F$12),0)</f>
        <v>0</v>
      </c>
      <c r="Q537" s="10">
        <f>IFERROR(IF(('Loading-drum,tote'!$C$21)="No control",SUMIF(('Loading-drum,tote'!$B$31:$B$48),$J537,('Loading-drum,tote'!$D$31:$D$48))*Impacts!$F$13,IF(('Loading-drum,tote'!$C$21)&lt;&gt;"No control",SUMIF(('Loading-drum,tote'!$B$31:$B$48),$J537,('Loading-drum,tote'!$E$31:$E$48))*Impacts!$F$13,0)),0)</f>
        <v>0</v>
      </c>
      <c r="R537" s="10">
        <f>IFERROR(IF(('Loading-truck'!$C$21)="No control",SUMIF(('Loading-truck'!$B$31:$B$48),$J537,('Loading-truck'!$D$31:$D$48))*Impacts!$F$14,IF(('Loading-truck'!$C$21)&lt;&gt;"No control",SUMIF(('Loading-truck'!$B$31:$B$48),$J537,('Loading-truck'!$E$31:$E$48))*Impacts!$F$14,0)),0)</f>
        <v>0</v>
      </c>
      <c r="S537" s="10">
        <f>IFERROR(IF(('Loading-rail'!$C$21)="No control",SUMIF(('Loading-rail'!$B$31:$B$48),$J537,('Loading-rail'!$D$31:$D$48))*Impacts!$F$15,IF(('Loading-rail'!$C$21)&lt;&gt;"No control",SUMIF(('Loading-rail'!$B$31:$B$48),$J537,('Loading-rail'!$E$31:$E$48))*Impacts!$F$15,0)),0)</f>
        <v>0</v>
      </c>
      <c r="T537" s="10">
        <f>IF(Flare!$C$7="",0,(SUMIF(Flare!$B$46:$B$185,$J537,Flare!$E$46:$E$185)*Impacts!$F$16))</f>
        <v>0</v>
      </c>
      <c r="U537" s="10">
        <f>IF(VCU!$C$9="",0,(SUMIF(VCU!$B$51:$B$193,$J537,VCU!$E$51:$E$193)*Impacts!$F$17))</f>
        <v>0</v>
      </c>
      <c r="V537" s="10">
        <f>IF(CAS!$C$7="",0,(SUMIF(CAS!$B$31:$B$167,$J537,CAS!$E$31:$E$167)*Impacts!$F$18))</f>
        <v>0</v>
      </c>
      <c r="W537" s="10">
        <f t="shared" si="50"/>
        <v>0</v>
      </c>
      <c r="AK537" s="10" t="str">
        <f t="array" ref="AK537">IFERROR(INDEX(SelectedSpecies,SMALL(IF(SelectedSpecies=AK$1,ROW(SelectedSpecies)),ROW(538:538)),2),"")</f>
        <v/>
      </c>
      <c r="BE537" s="10"/>
      <c r="BI537" s="10"/>
    </row>
    <row r="538" spans="1:61" ht="21" customHeight="1" x14ac:dyDescent="0.25">
      <c r="A538" s="10"/>
      <c r="B538" s="10"/>
      <c r="E538" s="10"/>
      <c r="G538" s="10"/>
      <c r="I538" s="436" t="s">
        <v>598</v>
      </c>
      <c r="J538" s="26" t="s">
        <v>597</v>
      </c>
      <c r="K538" s="10">
        <v>37</v>
      </c>
      <c r="L538" s="73">
        <f>IF(Tank1!$C$23="No control",(SUMIF(Tank1!$B$32:$B$49,$J538,Tank1!$C$32:$C$49)*Impacts!$F$8),0)</f>
        <v>0</v>
      </c>
      <c r="M538" s="10">
        <f>IF(Tank2!$C$23="No control",(SUMIF(Tank2!$B$32:$B$49,$J538,Tank2!$C$32:$C$49)*Impacts!$F$9),0)</f>
        <v>0</v>
      </c>
      <c r="N538" s="10">
        <f>IF(Tank3!$C$23="No control",(SUMIF(Tank3!$B$32:$B$49,$J538,Tank3!$C$32:$C$49)*Impacts!$F$10),0)</f>
        <v>0</v>
      </c>
      <c r="O538" s="10">
        <f>IF(Tank4!$C$23="No control",(SUMIF(Tank4!$B$32:$B$49,$J538,Tank4!$C$32:$C$49)*Impacts!$F$11),0)</f>
        <v>0</v>
      </c>
      <c r="P538" s="10">
        <f>IF(Tank5!$C$23="No control",(SUMIF(Tank5!$B$32:$B$49,$J538,Tank5!$C$32:$C$49)*Impacts!$F$12),0)</f>
        <v>0</v>
      </c>
      <c r="Q538" s="10">
        <f>IFERROR(IF(('Loading-drum,tote'!$C$21)="No control",SUMIF(('Loading-drum,tote'!$B$31:$B$48),$J538,('Loading-drum,tote'!$D$31:$D$48))*Impacts!$F$13,IF(('Loading-drum,tote'!$C$21)&lt;&gt;"No control",SUMIF(('Loading-drum,tote'!$B$31:$B$48),$J538,('Loading-drum,tote'!$E$31:$E$48))*Impacts!$F$13,0)),0)</f>
        <v>0</v>
      </c>
      <c r="R538" s="10">
        <f>IFERROR(IF(('Loading-truck'!$C$21)="No control",SUMIF(('Loading-truck'!$B$31:$B$48),$J538,('Loading-truck'!$D$31:$D$48))*Impacts!$F$14,IF(('Loading-truck'!$C$21)&lt;&gt;"No control",SUMIF(('Loading-truck'!$B$31:$B$48),$J538,('Loading-truck'!$E$31:$E$48))*Impacts!$F$14,0)),0)</f>
        <v>0</v>
      </c>
      <c r="S538" s="10">
        <f>IFERROR(IF(('Loading-rail'!$C$21)="No control",SUMIF(('Loading-rail'!$B$31:$B$48),$J538,('Loading-rail'!$D$31:$D$48))*Impacts!$F$15,IF(('Loading-rail'!$C$21)&lt;&gt;"No control",SUMIF(('Loading-rail'!$B$31:$B$48),$J538,('Loading-rail'!$E$31:$E$48))*Impacts!$F$15,0)),0)</f>
        <v>0</v>
      </c>
      <c r="T538" s="10">
        <f>IF(Flare!$C$7="",0,(SUMIF(Flare!$B$46:$B$185,$J538,Flare!$E$46:$E$185)*Impacts!$F$16))</f>
        <v>0</v>
      </c>
      <c r="U538" s="10">
        <f>IF(VCU!$C$9="",0,(SUMIF(VCU!$B$51:$B$193,$J538,VCU!$E$51:$E$193)*Impacts!$F$17))</f>
        <v>0</v>
      </c>
      <c r="V538" s="10">
        <f>IF(CAS!$C$7="",0,(SUMIF(CAS!$B$31:$B$167,$J538,CAS!$E$31:$E$167)*Impacts!$F$18))</f>
        <v>0</v>
      </c>
      <c r="W538" s="10">
        <f t="shared" si="50"/>
        <v>0</v>
      </c>
      <c r="AK538" s="10" t="str">
        <f t="array" ref="AK538">IFERROR(INDEX(SelectedSpecies,SMALL(IF(SelectedSpecies=AK$1,ROW(SelectedSpecies)),ROW(539:539)),2),"")</f>
        <v/>
      </c>
      <c r="BE538" s="10"/>
      <c r="BI538" s="10"/>
    </row>
    <row r="539" spans="1:61" ht="21" customHeight="1" x14ac:dyDescent="0.25">
      <c r="A539" s="10"/>
      <c r="B539" s="10"/>
      <c r="E539" s="10"/>
      <c r="G539" s="10"/>
      <c r="I539" s="436" t="s">
        <v>4781</v>
      </c>
      <c r="J539" s="26" t="s">
        <v>4780</v>
      </c>
      <c r="K539" s="10">
        <v>3.3000000000000003</v>
      </c>
      <c r="L539" s="73">
        <f>IF(Tank1!$C$23="No control",(SUMIF(Tank1!$B$32:$B$49,$J539,Tank1!$C$32:$C$49)*Impacts!$F$8),0)</f>
        <v>0</v>
      </c>
      <c r="M539" s="10">
        <f>IF(Tank2!$C$23="No control",(SUMIF(Tank2!$B$32:$B$49,$J539,Tank2!$C$32:$C$49)*Impacts!$F$9),0)</f>
        <v>0</v>
      </c>
      <c r="N539" s="10">
        <f>IF(Tank3!$C$23="No control",(SUMIF(Tank3!$B$32:$B$49,$J539,Tank3!$C$32:$C$49)*Impacts!$F$10),0)</f>
        <v>0</v>
      </c>
      <c r="O539" s="10">
        <f>IF(Tank4!$C$23="No control",(SUMIF(Tank4!$B$32:$B$49,$J539,Tank4!$C$32:$C$49)*Impacts!$F$11),0)</f>
        <v>0</v>
      </c>
      <c r="P539" s="10">
        <f>IF(Tank5!$C$23="No control",(SUMIF(Tank5!$B$32:$B$49,$J539,Tank5!$C$32:$C$49)*Impacts!$F$12),0)</f>
        <v>0</v>
      </c>
      <c r="Q539" s="10">
        <f>IFERROR(IF(('Loading-drum,tote'!$C$21)="No control",SUMIF(('Loading-drum,tote'!$B$31:$B$48),$J539,('Loading-drum,tote'!$D$31:$D$48))*Impacts!$F$13,IF(('Loading-drum,tote'!$C$21)&lt;&gt;"No control",SUMIF(('Loading-drum,tote'!$B$31:$B$48),$J539,('Loading-drum,tote'!$E$31:$E$48))*Impacts!$F$13,0)),0)</f>
        <v>0</v>
      </c>
      <c r="R539" s="10">
        <f>IFERROR(IF(('Loading-truck'!$C$21)="No control",SUMIF(('Loading-truck'!$B$31:$B$48),$J539,('Loading-truck'!$D$31:$D$48))*Impacts!$F$14,IF(('Loading-truck'!$C$21)&lt;&gt;"No control",SUMIF(('Loading-truck'!$B$31:$B$48),$J539,('Loading-truck'!$E$31:$E$48))*Impacts!$F$14,0)),0)</f>
        <v>0</v>
      </c>
      <c r="S539" s="10">
        <f>IFERROR(IF(('Loading-rail'!$C$21)="No control",SUMIF(('Loading-rail'!$B$31:$B$48),$J539,('Loading-rail'!$D$31:$D$48))*Impacts!$F$15,IF(('Loading-rail'!$C$21)&lt;&gt;"No control",SUMIF(('Loading-rail'!$B$31:$B$48),$J539,('Loading-rail'!$E$31:$E$48))*Impacts!$F$15,0)),0)</f>
        <v>0</v>
      </c>
      <c r="T539" s="10">
        <f>IF(Flare!$C$7="",0,(SUMIF(Flare!$B$46:$B$185,$J539,Flare!$E$46:$E$185)*Impacts!$F$16))</f>
        <v>0</v>
      </c>
      <c r="U539" s="10">
        <f>IF(VCU!$C$9="",0,(SUMIF(VCU!$B$51:$B$193,$J539,VCU!$E$51:$E$193)*Impacts!$F$17))</f>
        <v>0</v>
      </c>
      <c r="V539" s="10">
        <f>IF(CAS!$C$7="",0,(SUMIF(CAS!$B$31:$B$167,$J539,CAS!$E$31:$E$167)*Impacts!$F$18))</f>
        <v>0</v>
      </c>
      <c r="W539" s="10">
        <f t="shared" si="50"/>
        <v>0</v>
      </c>
      <c r="AK539" s="10" t="str">
        <f t="array" ref="AK539">IFERROR(INDEX(SelectedSpecies,SMALL(IF(SelectedSpecies=AK$1,ROW(SelectedSpecies)),ROW(540:540)),2),"")</f>
        <v/>
      </c>
      <c r="BE539" s="10"/>
      <c r="BI539" s="10"/>
    </row>
    <row r="540" spans="1:61" ht="21" customHeight="1" x14ac:dyDescent="0.25">
      <c r="A540" s="10"/>
      <c r="B540" s="10"/>
      <c r="E540" s="10"/>
      <c r="G540" s="10"/>
      <c r="I540" s="436" t="s">
        <v>6506</v>
      </c>
      <c r="J540" s="26" t="s">
        <v>6505</v>
      </c>
      <c r="K540" s="10">
        <v>0.70000000000000007</v>
      </c>
      <c r="L540" s="73">
        <f>IF(Tank1!$C$23="No control",(SUMIF(Tank1!$B$32:$B$49,$J540,Tank1!$C$32:$C$49)*Impacts!$F$8),0)</f>
        <v>0</v>
      </c>
      <c r="M540" s="10">
        <f>IF(Tank2!$C$23="No control",(SUMIF(Tank2!$B$32:$B$49,$J540,Tank2!$C$32:$C$49)*Impacts!$F$9),0)</f>
        <v>0</v>
      </c>
      <c r="N540" s="10">
        <f>IF(Tank3!$C$23="No control",(SUMIF(Tank3!$B$32:$B$49,$J540,Tank3!$C$32:$C$49)*Impacts!$F$10),0)</f>
        <v>0</v>
      </c>
      <c r="O540" s="10">
        <f>IF(Tank4!$C$23="No control",(SUMIF(Tank4!$B$32:$B$49,$J540,Tank4!$C$32:$C$49)*Impacts!$F$11),0)</f>
        <v>0</v>
      </c>
      <c r="P540" s="10">
        <f>IF(Tank5!$C$23="No control",(SUMIF(Tank5!$B$32:$B$49,$J540,Tank5!$C$32:$C$49)*Impacts!$F$12),0)</f>
        <v>0</v>
      </c>
      <c r="Q540" s="10">
        <f>IFERROR(IF(('Loading-drum,tote'!$C$21)="No control",SUMIF(('Loading-drum,tote'!$B$31:$B$48),$J540,('Loading-drum,tote'!$D$31:$D$48))*Impacts!$F$13,IF(('Loading-drum,tote'!$C$21)&lt;&gt;"No control",SUMIF(('Loading-drum,tote'!$B$31:$B$48),$J540,('Loading-drum,tote'!$E$31:$E$48))*Impacts!$F$13,0)),0)</f>
        <v>0</v>
      </c>
      <c r="R540" s="10">
        <f>IFERROR(IF(('Loading-truck'!$C$21)="No control",SUMIF(('Loading-truck'!$B$31:$B$48),$J540,('Loading-truck'!$D$31:$D$48))*Impacts!$F$14,IF(('Loading-truck'!$C$21)&lt;&gt;"No control",SUMIF(('Loading-truck'!$B$31:$B$48),$J540,('Loading-truck'!$E$31:$E$48))*Impacts!$F$14,0)),0)</f>
        <v>0</v>
      </c>
      <c r="S540" s="10">
        <f>IFERROR(IF(('Loading-rail'!$C$21)="No control",SUMIF(('Loading-rail'!$B$31:$B$48),$J540,('Loading-rail'!$D$31:$D$48))*Impacts!$F$15,IF(('Loading-rail'!$C$21)&lt;&gt;"No control",SUMIF(('Loading-rail'!$B$31:$B$48),$J540,('Loading-rail'!$E$31:$E$48))*Impacts!$F$15,0)),0)</f>
        <v>0</v>
      </c>
      <c r="T540" s="10">
        <f>IF(Flare!$C$7="",0,(SUMIF(Flare!$B$46:$B$185,$J540,Flare!$E$46:$E$185)*Impacts!$F$16))</f>
        <v>0</v>
      </c>
      <c r="U540" s="10">
        <f>IF(VCU!$C$9="",0,(SUMIF(VCU!$B$51:$B$193,$J540,VCU!$E$51:$E$193)*Impacts!$F$17))</f>
        <v>0</v>
      </c>
      <c r="V540" s="10">
        <f>IF(CAS!$C$7="",0,(SUMIF(CAS!$B$31:$B$167,$J540,CAS!$E$31:$E$167)*Impacts!$F$18))</f>
        <v>0</v>
      </c>
      <c r="W540" s="10">
        <f t="shared" si="50"/>
        <v>0</v>
      </c>
      <c r="AK540" s="10" t="str">
        <f t="array" ref="AK540">IFERROR(INDEX(SelectedSpecies,SMALL(IF(SelectedSpecies=AK$1,ROW(SelectedSpecies)),ROW(541:541)),2),"")</f>
        <v/>
      </c>
      <c r="BE540" s="10"/>
      <c r="BI540" s="10"/>
    </row>
    <row r="541" spans="1:61" ht="21" customHeight="1" x14ac:dyDescent="0.25">
      <c r="A541" s="10"/>
      <c r="B541" s="10"/>
      <c r="E541" s="10"/>
      <c r="G541" s="10"/>
      <c r="I541" s="436" t="s">
        <v>7860</v>
      </c>
      <c r="J541" s="26" t="s">
        <v>7859</v>
      </c>
      <c r="K541" s="10">
        <v>0.06</v>
      </c>
      <c r="L541" s="73">
        <f>IF(Tank1!$C$23="No control",(SUMIF(Tank1!$B$32:$B$49,$J541,Tank1!$C$32:$C$49)*Impacts!$F$8),0)</f>
        <v>0</v>
      </c>
      <c r="M541" s="10">
        <f>IF(Tank2!$C$23="No control",(SUMIF(Tank2!$B$32:$B$49,$J541,Tank2!$C$32:$C$49)*Impacts!$F$9),0)</f>
        <v>0</v>
      </c>
      <c r="N541" s="10">
        <f>IF(Tank3!$C$23="No control",(SUMIF(Tank3!$B$32:$B$49,$J541,Tank3!$C$32:$C$49)*Impacts!$F$10),0)</f>
        <v>0</v>
      </c>
      <c r="O541" s="10">
        <f>IF(Tank4!$C$23="No control",(SUMIF(Tank4!$B$32:$B$49,$J541,Tank4!$C$32:$C$49)*Impacts!$F$11),0)</f>
        <v>0</v>
      </c>
      <c r="P541" s="10">
        <f>IF(Tank5!$C$23="No control",(SUMIF(Tank5!$B$32:$B$49,$J541,Tank5!$C$32:$C$49)*Impacts!$F$12),0)</f>
        <v>0</v>
      </c>
      <c r="Q541" s="10">
        <f>IFERROR(IF(('Loading-drum,tote'!$C$21)="No control",SUMIF(('Loading-drum,tote'!$B$31:$B$48),$J541,('Loading-drum,tote'!$D$31:$D$48))*Impacts!$F$13,IF(('Loading-drum,tote'!$C$21)&lt;&gt;"No control",SUMIF(('Loading-drum,tote'!$B$31:$B$48),$J541,('Loading-drum,tote'!$E$31:$E$48))*Impacts!$F$13,0)),0)</f>
        <v>0</v>
      </c>
      <c r="R541" s="10">
        <f>IFERROR(IF(('Loading-truck'!$C$21)="No control",SUMIF(('Loading-truck'!$B$31:$B$48),$J541,('Loading-truck'!$D$31:$D$48))*Impacts!$F$14,IF(('Loading-truck'!$C$21)&lt;&gt;"No control",SUMIF(('Loading-truck'!$B$31:$B$48),$J541,('Loading-truck'!$E$31:$E$48))*Impacts!$F$14,0)),0)</f>
        <v>0</v>
      </c>
      <c r="S541" s="10">
        <f>IFERROR(IF(('Loading-rail'!$C$21)="No control",SUMIF(('Loading-rail'!$B$31:$B$48),$J541,('Loading-rail'!$D$31:$D$48))*Impacts!$F$15,IF(('Loading-rail'!$C$21)&lt;&gt;"No control",SUMIF(('Loading-rail'!$B$31:$B$48),$J541,('Loading-rail'!$E$31:$E$48))*Impacts!$F$15,0)),0)</f>
        <v>0</v>
      </c>
      <c r="T541" s="10">
        <f>IF(Flare!$C$7="",0,(SUMIF(Flare!$B$46:$B$185,$J541,Flare!$E$46:$E$185)*Impacts!$F$16))</f>
        <v>0</v>
      </c>
      <c r="U541" s="10">
        <f>IF(VCU!$C$9="",0,(SUMIF(VCU!$B$51:$B$193,$J541,VCU!$E$51:$E$193)*Impacts!$F$17))</f>
        <v>0</v>
      </c>
      <c r="V541" s="10">
        <f>IF(CAS!$C$7="",0,(SUMIF(CAS!$B$31:$B$167,$J541,CAS!$E$31:$E$167)*Impacts!$F$18))</f>
        <v>0</v>
      </c>
      <c r="W541" s="10">
        <f t="shared" si="50"/>
        <v>0</v>
      </c>
      <c r="AK541" s="10" t="str">
        <f t="array" ref="AK541">IFERROR(INDEX(SelectedSpecies,SMALL(IF(SelectedSpecies=AK$1,ROW(SelectedSpecies)),ROW(542:542)),2),"")</f>
        <v/>
      </c>
      <c r="BE541" s="10"/>
      <c r="BI541" s="10"/>
    </row>
    <row r="542" spans="1:61" ht="21" customHeight="1" x14ac:dyDescent="0.25">
      <c r="A542" s="10"/>
      <c r="B542" s="10"/>
      <c r="E542" s="10"/>
      <c r="G542" s="10"/>
      <c r="I542" s="436" t="s">
        <v>2327</v>
      </c>
      <c r="J542" s="26" t="s">
        <v>2326</v>
      </c>
      <c r="K542" s="10">
        <v>11.3</v>
      </c>
      <c r="L542" s="73">
        <f>IF(Tank1!$C$23="No control",(SUMIF(Tank1!$B$32:$B$49,$J542,Tank1!$C$32:$C$49)*Impacts!$F$8),0)</f>
        <v>0</v>
      </c>
      <c r="M542" s="10">
        <f>IF(Tank2!$C$23="No control",(SUMIF(Tank2!$B$32:$B$49,$J542,Tank2!$C$32:$C$49)*Impacts!$F$9),0)</f>
        <v>0</v>
      </c>
      <c r="N542" s="10">
        <f>IF(Tank3!$C$23="No control",(SUMIF(Tank3!$B$32:$B$49,$J542,Tank3!$C$32:$C$49)*Impacts!$F$10),0)</f>
        <v>0</v>
      </c>
      <c r="O542" s="10">
        <f>IF(Tank4!$C$23="No control",(SUMIF(Tank4!$B$32:$B$49,$J542,Tank4!$C$32:$C$49)*Impacts!$F$11),0)</f>
        <v>0</v>
      </c>
      <c r="P542" s="10">
        <f>IF(Tank5!$C$23="No control",(SUMIF(Tank5!$B$32:$B$49,$J542,Tank5!$C$32:$C$49)*Impacts!$F$12),0)</f>
        <v>0</v>
      </c>
      <c r="Q542" s="10">
        <f>IFERROR(IF(('Loading-drum,tote'!$C$21)="No control",SUMIF(('Loading-drum,tote'!$B$31:$B$48),$J542,('Loading-drum,tote'!$D$31:$D$48))*Impacts!$F$13,IF(('Loading-drum,tote'!$C$21)&lt;&gt;"No control",SUMIF(('Loading-drum,tote'!$B$31:$B$48),$J542,('Loading-drum,tote'!$E$31:$E$48))*Impacts!$F$13,0)),0)</f>
        <v>0</v>
      </c>
      <c r="R542" s="10">
        <f>IFERROR(IF(('Loading-truck'!$C$21)="No control",SUMIF(('Loading-truck'!$B$31:$B$48),$J542,('Loading-truck'!$D$31:$D$48))*Impacts!$F$14,IF(('Loading-truck'!$C$21)&lt;&gt;"No control",SUMIF(('Loading-truck'!$B$31:$B$48),$J542,('Loading-truck'!$E$31:$E$48))*Impacts!$F$14,0)),0)</f>
        <v>0</v>
      </c>
      <c r="S542" s="10">
        <f>IFERROR(IF(('Loading-rail'!$C$21)="No control",SUMIF(('Loading-rail'!$B$31:$B$48),$J542,('Loading-rail'!$D$31:$D$48))*Impacts!$F$15,IF(('Loading-rail'!$C$21)&lt;&gt;"No control",SUMIF(('Loading-rail'!$B$31:$B$48),$J542,('Loading-rail'!$E$31:$E$48))*Impacts!$F$15,0)),0)</f>
        <v>0</v>
      </c>
      <c r="T542" s="10">
        <f>IF(Flare!$C$7="",0,(SUMIF(Flare!$B$46:$B$185,$J542,Flare!$E$46:$E$185)*Impacts!$F$16))</f>
        <v>0</v>
      </c>
      <c r="U542" s="10">
        <f>IF(VCU!$C$9="",0,(SUMIF(VCU!$B$51:$B$193,$J542,VCU!$E$51:$E$193)*Impacts!$F$17))</f>
        <v>0</v>
      </c>
      <c r="V542" s="10">
        <f>IF(CAS!$C$7="",0,(SUMIF(CAS!$B$31:$B$167,$J542,CAS!$E$31:$E$167)*Impacts!$F$18))</f>
        <v>0</v>
      </c>
      <c r="W542" s="10">
        <f t="shared" si="50"/>
        <v>0</v>
      </c>
      <c r="AK542" s="10" t="str">
        <f t="array" ref="AK542">IFERROR(INDEX(SelectedSpecies,SMALL(IF(SelectedSpecies=AK$1,ROW(SelectedSpecies)),ROW(543:543)),2),"")</f>
        <v/>
      </c>
      <c r="BE542" s="10"/>
      <c r="BI542" s="10"/>
    </row>
    <row r="543" spans="1:61" ht="21" customHeight="1" x14ac:dyDescent="0.25">
      <c r="A543" s="10"/>
      <c r="B543" s="10"/>
      <c r="E543" s="10"/>
      <c r="G543" s="10"/>
      <c r="I543" s="436" t="s">
        <v>1502</v>
      </c>
      <c r="J543" s="26" t="s">
        <v>1501</v>
      </c>
      <c r="K543" s="10">
        <v>27.5</v>
      </c>
      <c r="L543" s="73">
        <f>IF(Tank1!$C$23="No control",(SUMIF(Tank1!$B$32:$B$49,$J543,Tank1!$C$32:$C$49)*Impacts!$F$8),0)</f>
        <v>0</v>
      </c>
      <c r="M543" s="10">
        <f>IF(Tank2!$C$23="No control",(SUMIF(Tank2!$B$32:$B$49,$J543,Tank2!$C$32:$C$49)*Impacts!$F$9),0)</f>
        <v>0</v>
      </c>
      <c r="N543" s="10">
        <f>IF(Tank3!$C$23="No control",(SUMIF(Tank3!$B$32:$B$49,$J543,Tank3!$C$32:$C$49)*Impacts!$F$10),0)</f>
        <v>0</v>
      </c>
      <c r="O543" s="10">
        <f>IF(Tank4!$C$23="No control",(SUMIF(Tank4!$B$32:$B$49,$J543,Tank4!$C$32:$C$49)*Impacts!$F$11),0)</f>
        <v>0</v>
      </c>
      <c r="P543" s="10">
        <f>IF(Tank5!$C$23="No control",(SUMIF(Tank5!$B$32:$B$49,$J543,Tank5!$C$32:$C$49)*Impacts!$F$12),0)</f>
        <v>0</v>
      </c>
      <c r="Q543" s="10">
        <f>IFERROR(IF(('Loading-drum,tote'!$C$21)="No control",SUMIF(('Loading-drum,tote'!$B$31:$B$48),$J543,('Loading-drum,tote'!$D$31:$D$48))*Impacts!$F$13,IF(('Loading-drum,tote'!$C$21)&lt;&gt;"No control",SUMIF(('Loading-drum,tote'!$B$31:$B$48),$J543,('Loading-drum,tote'!$E$31:$E$48))*Impacts!$F$13,0)),0)</f>
        <v>0</v>
      </c>
      <c r="R543" s="10">
        <f>IFERROR(IF(('Loading-truck'!$C$21)="No control",SUMIF(('Loading-truck'!$B$31:$B$48),$J543,('Loading-truck'!$D$31:$D$48))*Impacts!$F$14,IF(('Loading-truck'!$C$21)&lt;&gt;"No control",SUMIF(('Loading-truck'!$B$31:$B$48),$J543,('Loading-truck'!$E$31:$E$48))*Impacts!$F$14,0)),0)</f>
        <v>0</v>
      </c>
      <c r="S543" s="10">
        <f>IFERROR(IF(('Loading-rail'!$C$21)="No control",SUMIF(('Loading-rail'!$B$31:$B$48),$J543,('Loading-rail'!$D$31:$D$48))*Impacts!$F$15,IF(('Loading-rail'!$C$21)&lt;&gt;"No control",SUMIF(('Loading-rail'!$B$31:$B$48),$J543,('Loading-rail'!$E$31:$E$48))*Impacts!$F$15,0)),0)</f>
        <v>0</v>
      </c>
      <c r="T543" s="10">
        <f>IF(Flare!$C$7="",0,(SUMIF(Flare!$B$46:$B$185,$J543,Flare!$E$46:$E$185)*Impacts!$F$16))</f>
        <v>0</v>
      </c>
      <c r="U543" s="10">
        <f>IF(VCU!$C$9="",0,(SUMIF(VCU!$B$51:$B$193,$J543,VCU!$E$51:$E$193)*Impacts!$F$17))</f>
        <v>0</v>
      </c>
      <c r="V543" s="10">
        <f>IF(CAS!$C$7="",0,(SUMIF(CAS!$B$31:$B$167,$J543,CAS!$E$31:$E$167)*Impacts!$F$18))</f>
        <v>0</v>
      </c>
      <c r="W543" s="10">
        <f t="shared" si="50"/>
        <v>0</v>
      </c>
      <c r="AK543" s="10" t="str">
        <f t="array" ref="AK543">IFERROR(INDEX(SelectedSpecies,SMALL(IF(SelectedSpecies=AK$1,ROW(SelectedSpecies)),ROW(544:544)),2),"")</f>
        <v/>
      </c>
      <c r="BE543" s="10"/>
      <c r="BI543" s="10"/>
    </row>
    <row r="544" spans="1:61" ht="21" customHeight="1" x14ac:dyDescent="0.25">
      <c r="A544" s="10"/>
      <c r="B544" s="10"/>
      <c r="E544" s="10"/>
      <c r="G544" s="10"/>
      <c r="I544" s="436" t="s">
        <v>5714</v>
      </c>
      <c r="J544" s="26" t="s">
        <v>5713</v>
      </c>
      <c r="K544" s="10">
        <v>1</v>
      </c>
      <c r="L544" s="73">
        <f>IF(Tank1!$C$23="No control",(SUMIF(Tank1!$B$32:$B$49,$J544,Tank1!$C$32:$C$49)*Impacts!$F$8),0)</f>
        <v>0</v>
      </c>
      <c r="M544" s="10">
        <f>IF(Tank2!$C$23="No control",(SUMIF(Tank2!$B$32:$B$49,$J544,Tank2!$C$32:$C$49)*Impacts!$F$9),0)</f>
        <v>0</v>
      </c>
      <c r="N544" s="10">
        <f>IF(Tank3!$C$23="No control",(SUMIF(Tank3!$B$32:$B$49,$J544,Tank3!$C$32:$C$49)*Impacts!$F$10),0)</f>
        <v>0</v>
      </c>
      <c r="O544" s="10">
        <f>IF(Tank4!$C$23="No control",(SUMIF(Tank4!$B$32:$B$49,$J544,Tank4!$C$32:$C$49)*Impacts!$F$11),0)</f>
        <v>0</v>
      </c>
      <c r="P544" s="10">
        <f>IF(Tank5!$C$23="No control",(SUMIF(Tank5!$B$32:$B$49,$J544,Tank5!$C$32:$C$49)*Impacts!$F$12),0)</f>
        <v>0</v>
      </c>
      <c r="Q544" s="10">
        <f>IFERROR(IF(('Loading-drum,tote'!$C$21)="No control",SUMIF(('Loading-drum,tote'!$B$31:$B$48),$J544,('Loading-drum,tote'!$D$31:$D$48))*Impacts!$F$13,IF(('Loading-drum,tote'!$C$21)&lt;&gt;"No control",SUMIF(('Loading-drum,tote'!$B$31:$B$48),$J544,('Loading-drum,tote'!$E$31:$E$48))*Impacts!$F$13,0)),0)</f>
        <v>0</v>
      </c>
      <c r="R544" s="10">
        <f>IFERROR(IF(('Loading-truck'!$C$21)="No control",SUMIF(('Loading-truck'!$B$31:$B$48),$J544,('Loading-truck'!$D$31:$D$48))*Impacts!$F$14,IF(('Loading-truck'!$C$21)&lt;&gt;"No control",SUMIF(('Loading-truck'!$B$31:$B$48),$J544,('Loading-truck'!$E$31:$E$48))*Impacts!$F$14,0)),0)</f>
        <v>0</v>
      </c>
      <c r="S544" s="10">
        <f>IFERROR(IF(('Loading-rail'!$C$21)="No control",SUMIF(('Loading-rail'!$B$31:$B$48),$J544,('Loading-rail'!$D$31:$D$48))*Impacts!$F$15,IF(('Loading-rail'!$C$21)&lt;&gt;"No control",SUMIF(('Loading-rail'!$B$31:$B$48),$J544,('Loading-rail'!$E$31:$E$48))*Impacts!$F$15,0)),0)</f>
        <v>0</v>
      </c>
      <c r="T544" s="10">
        <f>IF(Flare!$C$7="",0,(SUMIF(Flare!$B$46:$B$185,$J544,Flare!$E$46:$E$185)*Impacts!$F$16))</f>
        <v>0</v>
      </c>
      <c r="U544" s="10">
        <f>IF(VCU!$C$9="",0,(SUMIF(VCU!$B$51:$B$193,$J544,VCU!$E$51:$E$193)*Impacts!$F$17))</f>
        <v>0</v>
      </c>
      <c r="V544" s="10">
        <f>IF(CAS!$C$7="",0,(SUMIF(CAS!$B$31:$B$167,$J544,CAS!$E$31:$E$167)*Impacts!$F$18))</f>
        <v>0</v>
      </c>
      <c r="W544" s="10">
        <f t="shared" si="50"/>
        <v>0</v>
      </c>
      <c r="AK544" s="10" t="str">
        <f t="array" ref="AK544">IFERROR(INDEX(SelectedSpecies,SMALL(IF(SelectedSpecies=AK$1,ROW(SelectedSpecies)),ROW(545:545)),2),"")</f>
        <v/>
      </c>
      <c r="BE544" s="10"/>
      <c r="BI544" s="10"/>
    </row>
    <row r="545" spans="1:61" ht="21" customHeight="1" x14ac:dyDescent="0.25">
      <c r="A545" s="10"/>
      <c r="B545" s="10"/>
      <c r="E545" s="10"/>
      <c r="G545" s="10"/>
      <c r="I545" s="436" t="s">
        <v>5716</v>
      </c>
      <c r="J545" s="26" t="s">
        <v>5715</v>
      </c>
      <c r="K545" s="10">
        <v>1</v>
      </c>
      <c r="L545" s="73">
        <f>IF(Tank1!$C$23="No control",(SUMIF(Tank1!$B$32:$B$49,$J545,Tank1!$C$32:$C$49)*Impacts!$F$8),0)</f>
        <v>0</v>
      </c>
      <c r="M545" s="10">
        <f>IF(Tank2!$C$23="No control",(SUMIF(Tank2!$B$32:$B$49,$J545,Tank2!$C$32:$C$49)*Impacts!$F$9),0)</f>
        <v>0</v>
      </c>
      <c r="N545" s="10">
        <f>IF(Tank3!$C$23="No control",(SUMIF(Tank3!$B$32:$B$49,$J545,Tank3!$C$32:$C$49)*Impacts!$F$10),0)</f>
        <v>0</v>
      </c>
      <c r="O545" s="10">
        <f>IF(Tank4!$C$23="No control",(SUMIF(Tank4!$B$32:$B$49,$J545,Tank4!$C$32:$C$49)*Impacts!$F$11),0)</f>
        <v>0</v>
      </c>
      <c r="P545" s="10">
        <f>IF(Tank5!$C$23="No control",(SUMIF(Tank5!$B$32:$B$49,$J545,Tank5!$C$32:$C$49)*Impacts!$F$12),0)</f>
        <v>0</v>
      </c>
      <c r="Q545" s="10">
        <f>IFERROR(IF(('Loading-drum,tote'!$C$21)="No control",SUMIF(('Loading-drum,tote'!$B$31:$B$48),$J545,('Loading-drum,tote'!$D$31:$D$48))*Impacts!$F$13,IF(('Loading-drum,tote'!$C$21)&lt;&gt;"No control",SUMIF(('Loading-drum,tote'!$B$31:$B$48),$J545,('Loading-drum,tote'!$E$31:$E$48))*Impacts!$F$13,0)),0)</f>
        <v>0</v>
      </c>
      <c r="R545" s="10">
        <f>IFERROR(IF(('Loading-truck'!$C$21)="No control",SUMIF(('Loading-truck'!$B$31:$B$48),$J545,('Loading-truck'!$D$31:$D$48))*Impacts!$F$14,IF(('Loading-truck'!$C$21)&lt;&gt;"No control",SUMIF(('Loading-truck'!$B$31:$B$48),$J545,('Loading-truck'!$E$31:$E$48))*Impacts!$F$14,0)),0)</f>
        <v>0</v>
      </c>
      <c r="S545" s="10">
        <f>IFERROR(IF(('Loading-rail'!$C$21)="No control",SUMIF(('Loading-rail'!$B$31:$B$48),$J545,('Loading-rail'!$D$31:$D$48))*Impacts!$F$15,IF(('Loading-rail'!$C$21)&lt;&gt;"No control",SUMIF(('Loading-rail'!$B$31:$B$48),$J545,('Loading-rail'!$E$31:$E$48))*Impacts!$F$15,0)),0)</f>
        <v>0</v>
      </c>
      <c r="T545" s="10">
        <f>IF(Flare!$C$7="",0,(SUMIF(Flare!$B$46:$B$185,$J545,Flare!$E$46:$E$185)*Impacts!$F$16))</f>
        <v>0</v>
      </c>
      <c r="U545" s="10">
        <f>IF(VCU!$C$9="",0,(SUMIF(VCU!$B$51:$B$193,$J545,VCU!$E$51:$E$193)*Impacts!$F$17))</f>
        <v>0</v>
      </c>
      <c r="V545" s="10">
        <f>IF(CAS!$C$7="",0,(SUMIF(CAS!$B$31:$B$167,$J545,CAS!$E$31:$E$167)*Impacts!$F$18))</f>
        <v>0</v>
      </c>
      <c r="W545" s="10">
        <f t="shared" si="50"/>
        <v>0</v>
      </c>
      <c r="AK545" s="10" t="str">
        <f t="array" ref="AK545">IFERROR(INDEX(SelectedSpecies,SMALL(IF(SelectedSpecies=AK$1,ROW(SelectedSpecies)),ROW(546:546)),2),"")</f>
        <v/>
      </c>
      <c r="BE545" s="10"/>
      <c r="BI545" s="10"/>
    </row>
    <row r="546" spans="1:61" ht="21" customHeight="1" x14ac:dyDescent="0.25">
      <c r="A546" s="10"/>
      <c r="B546" s="10"/>
      <c r="E546" s="10"/>
      <c r="G546" s="10"/>
      <c r="I546" s="436" t="s">
        <v>1442</v>
      </c>
      <c r="J546" s="26" t="s">
        <v>1441</v>
      </c>
      <c r="K546" s="10">
        <v>30</v>
      </c>
      <c r="L546" s="73">
        <f>IF(Tank1!$C$23="No control",(SUMIF(Tank1!$B$32:$B$49,$J546,Tank1!$C$32:$C$49)*Impacts!$F$8),0)</f>
        <v>0</v>
      </c>
      <c r="M546" s="10">
        <f>IF(Tank2!$C$23="No control",(SUMIF(Tank2!$B$32:$B$49,$J546,Tank2!$C$32:$C$49)*Impacts!$F$9),0)</f>
        <v>0</v>
      </c>
      <c r="N546" s="10">
        <f>IF(Tank3!$C$23="No control",(SUMIF(Tank3!$B$32:$B$49,$J546,Tank3!$C$32:$C$49)*Impacts!$F$10),0)</f>
        <v>0</v>
      </c>
      <c r="O546" s="10">
        <f>IF(Tank4!$C$23="No control",(SUMIF(Tank4!$B$32:$B$49,$J546,Tank4!$C$32:$C$49)*Impacts!$F$11),0)</f>
        <v>0</v>
      </c>
      <c r="P546" s="10">
        <f>IF(Tank5!$C$23="No control",(SUMIF(Tank5!$B$32:$B$49,$J546,Tank5!$C$32:$C$49)*Impacts!$F$12),0)</f>
        <v>0</v>
      </c>
      <c r="Q546" s="10">
        <f>IFERROR(IF(('Loading-drum,tote'!$C$21)="No control",SUMIF(('Loading-drum,tote'!$B$31:$B$48),$J546,('Loading-drum,tote'!$D$31:$D$48))*Impacts!$F$13,IF(('Loading-drum,tote'!$C$21)&lt;&gt;"No control",SUMIF(('Loading-drum,tote'!$B$31:$B$48),$J546,('Loading-drum,tote'!$E$31:$E$48))*Impacts!$F$13,0)),0)</f>
        <v>0</v>
      </c>
      <c r="R546" s="10">
        <f>IFERROR(IF(('Loading-truck'!$C$21)="No control",SUMIF(('Loading-truck'!$B$31:$B$48),$J546,('Loading-truck'!$D$31:$D$48))*Impacts!$F$14,IF(('Loading-truck'!$C$21)&lt;&gt;"No control",SUMIF(('Loading-truck'!$B$31:$B$48),$J546,('Loading-truck'!$E$31:$E$48))*Impacts!$F$14,0)),0)</f>
        <v>0</v>
      </c>
      <c r="S546" s="10">
        <f>IFERROR(IF(('Loading-rail'!$C$21)="No control",SUMIF(('Loading-rail'!$B$31:$B$48),$J546,('Loading-rail'!$D$31:$D$48))*Impacts!$F$15,IF(('Loading-rail'!$C$21)&lt;&gt;"No control",SUMIF(('Loading-rail'!$B$31:$B$48),$J546,('Loading-rail'!$E$31:$E$48))*Impacts!$F$15,0)),0)</f>
        <v>0</v>
      </c>
      <c r="T546" s="10">
        <f>IF(Flare!$C$7="",0,(SUMIF(Flare!$B$46:$B$185,$J546,Flare!$E$46:$E$185)*Impacts!$F$16))</f>
        <v>0</v>
      </c>
      <c r="U546" s="10">
        <f>IF(VCU!$C$9="",0,(SUMIF(VCU!$B$51:$B$193,$J546,VCU!$E$51:$E$193)*Impacts!$F$17))</f>
        <v>0</v>
      </c>
      <c r="V546" s="10">
        <f>IF(CAS!$C$7="",0,(SUMIF(CAS!$B$31:$B$167,$J546,CAS!$E$31:$E$167)*Impacts!$F$18))</f>
        <v>0</v>
      </c>
      <c r="W546" s="10">
        <f t="shared" si="50"/>
        <v>0</v>
      </c>
      <c r="AK546" s="10" t="str">
        <f t="array" ref="AK546">IFERROR(INDEX(SelectedSpecies,SMALL(IF(SelectedSpecies=AK$1,ROW(SelectedSpecies)),ROW(547:547)),2),"")</f>
        <v/>
      </c>
      <c r="BE546" s="10"/>
      <c r="BI546" s="10"/>
    </row>
    <row r="547" spans="1:61" ht="21" customHeight="1" x14ac:dyDescent="0.25">
      <c r="A547" s="10"/>
      <c r="B547" s="10"/>
      <c r="E547" s="10"/>
      <c r="G547" s="10"/>
      <c r="I547" s="436" t="s">
        <v>6622</v>
      </c>
      <c r="J547" s="26" t="s">
        <v>6621</v>
      </c>
      <c r="K547" s="10">
        <v>0.60000000000000009</v>
      </c>
      <c r="L547" s="73">
        <f>IF(Tank1!$C$23="No control",(SUMIF(Tank1!$B$32:$B$49,$J547,Tank1!$C$32:$C$49)*Impacts!$F$8),0)</f>
        <v>0</v>
      </c>
      <c r="M547" s="10">
        <f>IF(Tank2!$C$23="No control",(SUMIF(Tank2!$B$32:$B$49,$J547,Tank2!$C$32:$C$49)*Impacts!$F$9),0)</f>
        <v>0</v>
      </c>
      <c r="N547" s="10">
        <f>IF(Tank3!$C$23="No control",(SUMIF(Tank3!$B$32:$B$49,$J547,Tank3!$C$32:$C$49)*Impacts!$F$10),0)</f>
        <v>0</v>
      </c>
      <c r="O547" s="10">
        <f>IF(Tank4!$C$23="No control",(SUMIF(Tank4!$B$32:$B$49,$J547,Tank4!$C$32:$C$49)*Impacts!$F$11),0)</f>
        <v>0</v>
      </c>
      <c r="P547" s="10">
        <f>IF(Tank5!$C$23="No control",(SUMIF(Tank5!$B$32:$B$49,$J547,Tank5!$C$32:$C$49)*Impacts!$F$12),0)</f>
        <v>0</v>
      </c>
      <c r="Q547" s="10">
        <f>IFERROR(IF(('Loading-drum,tote'!$C$21)="No control",SUMIF(('Loading-drum,tote'!$B$31:$B$48),$J547,('Loading-drum,tote'!$D$31:$D$48))*Impacts!$F$13,IF(('Loading-drum,tote'!$C$21)&lt;&gt;"No control",SUMIF(('Loading-drum,tote'!$B$31:$B$48),$J547,('Loading-drum,tote'!$E$31:$E$48))*Impacts!$F$13,0)),0)</f>
        <v>0</v>
      </c>
      <c r="R547" s="10">
        <f>IFERROR(IF(('Loading-truck'!$C$21)="No control",SUMIF(('Loading-truck'!$B$31:$B$48),$J547,('Loading-truck'!$D$31:$D$48))*Impacts!$F$14,IF(('Loading-truck'!$C$21)&lt;&gt;"No control",SUMIF(('Loading-truck'!$B$31:$B$48),$J547,('Loading-truck'!$E$31:$E$48))*Impacts!$F$14,0)),0)</f>
        <v>0</v>
      </c>
      <c r="S547" s="10">
        <f>IFERROR(IF(('Loading-rail'!$C$21)="No control",SUMIF(('Loading-rail'!$B$31:$B$48),$J547,('Loading-rail'!$D$31:$D$48))*Impacts!$F$15,IF(('Loading-rail'!$C$21)&lt;&gt;"No control",SUMIF(('Loading-rail'!$B$31:$B$48),$J547,('Loading-rail'!$E$31:$E$48))*Impacts!$F$15,0)),0)</f>
        <v>0</v>
      </c>
      <c r="T547" s="10">
        <f>IF(Flare!$C$7="",0,(SUMIF(Flare!$B$46:$B$185,$J547,Flare!$E$46:$E$185)*Impacts!$F$16))</f>
        <v>0</v>
      </c>
      <c r="U547" s="10">
        <f>IF(VCU!$C$9="",0,(SUMIF(VCU!$B$51:$B$193,$J547,VCU!$E$51:$E$193)*Impacts!$F$17))</f>
        <v>0</v>
      </c>
      <c r="V547" s="10">
        <f>IF(CAS!$C$7="",0,(SUMIF(CAS!$B$31:$B$167,$J547,CAS!$E$31:$E$167)*Impacts!$F$18))</f>
        <v>0</v>
      </c>
      <c r="W547" s="10">
        <f t="shared" si="50"/>
        <v>0</v>
      </c>
      <c r="AK547" s="10" t="str">
        <f t="array" ref="AK547">IFERROR(INDEX(SelectedSpecies,SMALL(IF(SelectedSpecies=AK$1,ROW(SelectedSpecies)),ROW(548:548)),2),"")</f>
        <v/>
      </c>
      <c r="BE547" s="10"/>
      <c r="BI547" s="10"/>
    </row>
    <row r="548" spans="1:61" ht="21" customHeight="1" x14ac:dyDescent="0.25">
      <c r="A548" s="10"/>
      <c r="B548" s="10"/>
      <c r="E548" s="10"/>
      <c r="G548" s="10"/>
      <c r="I548" s="436" t="s">
        <v>351</v>
      </c>
      <c r="J548" s="26" t="s">
        <v>350</v>
      </c>
      <c r="K548" s="10">
        <v>370</v>
      </c>
      <c r="L548" s="73">
        <f>IF(Tank1!$C$23="No control",(SUMIF(Tank1!$B$32:$B$49,$J548,Tank1!$C$32:$C$49)*Impacts!$F$8),0)</f>
        <v>0</v>
      </c>
      <c r="M548" s="10">
        <f>IF(Tank2!$C$23="No control",(SUMIF(Tank2!$B$32:$B$49,$J548,Tank2!$C$32:$C$49)*Impacts!$F$9),0)</f>
        <v>0</v>
      </c>
      <c r="N548" s="10">
        <f>IF(Tank3!$C$23="No control",(SUMIF(Tank3!$B$32:$B$49,$J548,Tank3!$C$32:$C$49)*Impacts!$F$10),0)</f>
        <v>0</v>
      </c>
      <c r="O548" s="10">
        <f>IF(Tank4!$C$23="No control",(SUMIF(Tank4!$B$32:$B$49,$J548,Tank4!$C$32:$C$49)*Impacts!$F$11),0)</f>
        <v>0</v>
      </c>
      <c r="P548" s="10">
        <f>IF(Tank5!$C$23="No control",(SUMIF(Tank5!$B$32:$B$49,$J548,Tank5!$C$32:$C$49)*Impacts!$F$12),0)</f>
        <v>0</v>
      </c>
      <c r="Q548" s="10">
        <f>IFERROR(IF(('Loading-drum,tote'!$C$21)="No control",SUMIF(('Loading-drum,tote'!$B$31:$B$48),$J548,('Loading-drum,tote'!$D$31:$D$48))*Impacts!$F$13,IF(('Loading-drum,tote'!$C$21)&lt;&gt;"No control",SUMIF(('Loading-drum,tote'!$B$31:$B$48),$J548,('Loading-drum,tote'!$E$31:$E$48))*Impacts!$F$13,0)),0)</f>
        <v>0</v>
      </c>
      <c r="R548" s="10">
        <f>IFERROR(IF(('Loading-truck'!$C$21)="No control",SUMIF(('Loading-truck'!$B$31:$B$48),$J548,('Loading-truck'!$D$31:$D$48))*Impacts!$F$14,IF(('Loading-truck'!$C$21)&lt;&gt;"No control",SUMIF(('Loading-truck'!$B$31:$B$48),$J548,('Loading-truck'!$E$31:$E$48))*Impacts!$F$14,0)),0)</f>
        <v>0</v>
      </c>
      <c r="S548" s="10">
        <f>IFERROR(IF(('Loading-rail'!$C$21)="No control",SUMIF(('Loading-rail'!$B$31:$B$48),$J548,('Loading-rail'!$D$31:$D$48))*Impacts!$F$15,IF(('Loading-rail'!$C$21)&lt;&gt;"No control",SUMIF(('Loading-rail'!$B$31:$B$48),$J548,('Loading-rail'!$E$31:$E$48))*Impacts!$F$15,0)),0)</f>
        <v>0</v>
      </c>
      <c r="T548" s="10">
        <f>IF(Flare!$C$7="",0,(SUMIF(Flare!$B$46:$B$185,$J548,Flare!$E$46:$E$185)*Impacts!$F$16))</f>
        <v>0</v>
      </c>
      <c r="U548" s="10">
        <f>IF(VCU!$C$9="",0,(SUMIF(VCU!$B$51:$B$193,$J548,VCU!$E$51:$E$193)*Impacts!$F$17))</f>
        <v>0</v>
      </c>
      <c r="V548" s="10">
        <f>IF(CAS!$C$7="",0,(SUMIF(CAS!$B$31:$B$167,$J548,CAS!$E$31:$E$167)*Impacts!$F$18))</f>
        <v>0</v>
      </c>
      <c r="W548" s="10">
        <f t="shared" si="50"/>
        <v>0</v>
      </c>
      <c r="AK548" s="10" t="str">
        <f t="array" ref="AK548">IFERROR(INDEX(SelectedSpecies,SMALL(IF(SelectedSpecies=AK$1,ROW(SelectedSpecies)),ROW(549:549)),2),"")</f>
        <v/>
      </c>
      <c r="BE548" s="10"/>
      <c r="BI548" s="10"/>
    </row>
    <row r="549" spans="1:61" ht="21" customHeight="1" x14ac:dyDescent="0.25">
      <c r="A549" s="10"/>
      <c r="B549" s="10"/>
      <c r="E549" s="10"/>
      <c r="G549" s="10"/>
      <c r="I549" s="436" t="s">
        <v>4841</v>
      </c>
      <c r="J549" s="26" t="s">
        <v>4840</v>
      </c>
      <c r="K549" s="10">
        <v>2.9000000000000004</v>
      </c>
      <c r="L549" s="73">
        <f>IF(Tank1!$C$23="No control",(SUMIF(Tank1!$B$32:$B$49,$J549,Tank1!$C$32:$C$49)*Impacts!$F$8),0)</f>
        <v>0</v>
      </c>
      <c r="M549" s="10">
        <f>IF(Tank2!$C$23="No control",(SUMIF(Tank2!$B$32:$B$49,$J549,Tank2!$C$32:$C$49)*Impacts!$F$9),0)</f>
        <v>0</v>
      </c>
      <c r="N549" s="10">
        <f>IF(Tank3!$C$23="No control",(SUMIF(Tank3!$B$32:$B$49,$J549,Tank3!$C$32:$C$49)*Impacts!$F$10),0)</f>
        <v>0</v>
      </c>
      <c r="O549" s="10">
        <f>IF(Tank4!$C$23="No control",(SUMIF(Tank4!$B$32:$B$49,$J549,Tank4!$C$32:$C$49)*Impacts!$F$11),0)</f>
        <v>0</v>
      </c>
      <c r="P549" s="10">
        <f>IF(Tank5!$C$23="No control",(SUMIF(Tank5!$B$32:$B$49,$J549,Tank5!$C$32:$C$49)*Impacts!$F$12),0)</f>
        <v>0</v>
      </c>
      <c r="Q549" s="10">
        <f>IFERROR(IF(('Loading-drum,tote'!$C$21)="No control",SUMIF(('Loading-drum,tote'!$B$31:$B$48),$J549,('Loading-drum,tote'!$D$31:$D$48))*Impacts!$F$13,IF(('Loading-drum,tote'!$C$21)&lt;&gt;"No control",SUMIF(('Loading-drum,tote'!$B$31:$B$48),$J549,('Loading-drum,tote'!$E$31:$E$48))*Impacts!$F$13,0)),0)</f>
        <v>0</v>
      </c>
      <c r="R549" s="10">
        <f>IFERROR(IF(('Loading-truck'!$C$21)="No control",SUMIF(('Loading-truck'!$B$31:$B$48),$J549,('Loading-truck'!$D$31:$D$48))*Impacts!$F$14,IF(('Loading-truck'!$C$21)&lt;&gt;"No control",SUMIF(('Loading-truck'!$B$31:$B$48),$J549,('Loading-truck'!$E$31:$E$48))*Impacts!$F$14,0)),0)</f>
        <v>0</v>
      </c>
      <c r="S549" s="10">
        <f>IFERROR(IF(('Loading-rail'!$C$21)="No control",SUMIF(('Loading-rail'!$B$31:$B$48),$J549,('Loading-rail'!$D$31:$D$48))*Impacts!$F$15,IF(('Loading-rail'!$C$21)&lt;&gt;"No control",SUMIF(('Loading-rail'!$B$31:$B$48),$J549,('Loading-rail'!$E$31:$E$48))*Impacts!$F$15,0)),0)</f>
        <v>0</v>
      </c>
      <c r="T549" s="10">
        <f>IF(Flare!$C$7="",0,(SUMIF(Flare!$B$46:$B$185,$J549,Flare!$E$46:$E$185)*Impacts!$F$16))</f>
        <v>0</v>
      </c>
      <c r="U549" s="10">
        <f>IF(VCU!$C$9="",0,(SUMIF(VCU!$B$51:$B$193,$J549,VCU!$E$51:$E$193)*Impacts!$F$17))</f>
        <v>0</v>
      </c>
      <c r="V549" s="10">
        <f>IF(CAS!$C$7="",0,(SUMIF(CAS!$B$31:$B$167,$J549,CAS!$E$31:$E$167)*Impacts!$F$18))</f>
        <v>0</v>
      </c>
      <c r="W549" s="10">
        <f t="shared" si="50"/>
        <v>0</v>
      </c>
      <c r="AK549" s="10" t="str">
        <f t="array" ref="AK549">IFERROR(INDEX(SelectedSpecies,SMALL(IF(SelectedSpecies=AK$1,ROW(SelectedSpecies)),ROW(550:550)),2),"")</f>
        <v/>
      </c>
      <c r="BE549" s="10"/>
      <c r="BI549" s="10"/>
    </row>
    <row r="550" spans="1:61" ht="21" customHeight="1" x14ac:dyDescent="0.25">
      <c r="A550" s="10"/>
      <c r="B550" s="10"/>
      <c r="E550" s="10"/>
      <c r="G550" s="10"/>
      <c r="I550" s="436" t="s">
        <v>564</v>
      </c>
      <c r="J550" s="26" t="s">
        <v>563</v>
      </c>
      <c r="K550" s="10">
        <v>100</v>
      </c>
      <c r="L550" s="73">
        <f>IF(Tank1!$C$23="No control",(SUMIF(Tank1!$B$32:$B$49,$J550,Tank1!$C$32:$C$49)*Impacts!$F$8),0)</f>
        <v>0</v>
      </c>
      <c r="M550" s="10">
        <f>IF(Tank2!$C$23="No control",(SUMIF(Tank2!$B$32:$B$49,$J550,Tank2!$C$32:$C$49)*Impacts!$F$9),0)</f>
        <v>0</v>
      </c>
      <c r="N550" s="10">
        <f>IF(Tank3!$C$23="No control",(SUMIF(Tank3!$B$32:$B$49,$J550,Tank3!$C$32:$C$49)*Impacts!$F$10),0)</f>
        <v>0</v>
      </c>
      <c r="O550" s="10">
        <f>IF(Tank4!$C$23="No control",(SUMIF(Tank4!$B$32:$B$49,$J550,Tank4!$C$32:$C$49)*Impacts!$F$11),0)</f>
        <v>0</v>
      </c>
      <c r="P550" s="10">
        <f>IF(Tank5!$C$23="No control",(SUMIF(Tank5!$B$32:$B$49,$J550,Tank5!$C$32:$C$49)*Impacts!$F$12),0)</f>
        <v>0</v>
      </c>
      <c r="Q550" s="10">
        <f>IFERROR(IF(('Loading-drum,tote'!$C$21)="No control",SUMIF(('Loading-drum,tote'!$B$31:$B$48),$J550,('Loading-drum,tote'!$D$31:$D$48))*Impacts!$F$13,IF(('Loading-drum,tote'!$C$21)&lt;&gt;"No control",SUMIF(('Loading-drum,tote'!$B$31:$B$48),$J550,('Loading-drum,tote'!$E$31:$E$48))*Impacts!$F$13,0)),0)</f>
        <v>0</v>
      </c>
      <c r="R550" s="10">
        <f>IFERROR(IF(('Loading-truck'!$C$21)="No control",SUMIF(('Loading-truck'!$B$31:$B$48),$J550,('Loading-truck'!$D$31:$D$48))*Impacts!$F$14,IF(('Loading-truck'!$C$21)&lt;&gt;"No control",SUMIF(('Loading-truck'!$B$31:$B$48),$J550,('Loading-truck'!$E$31:$E$48))*Impacts!$F$14,0)),0)</f>
        <v>0</v>
      </c>
      <c r="S550" s="10">
        <f>IFERROR(IF(('Loading-rail'!$C$21)="No control",SUMIF(('Loading-rail'!$B$31:$B$48),$J550,('Loading-rail'!$D$31:$D$48))*Impacts!$F$15,IF(('Loading-rail'!$C$21)&lt;&gt;"No control",SUMIF(('Loading-rail'!$B$31:$B$48),$J550,('Loading-rail'!$E$31:$E$48))*Impacts!$F$15,0)),0)</f>
        <v>0</v>
      </c>
      <c r="T550" s="10">
        <f>IF(Flare!$C$7="",0,(SUMIF(Flare!$B$46:$B$185,$J550,Flare!$E$46:$E$185)*Impacts!$F$16))</f>
        <v>0</v>
      </c>
      <c r="U550" s="10">
        <f>IF(VCU!$C$9="",0,(SUMIF(VCU!$B$51:$B$193,$J550,VCU!$E$51:$E$193)*Impacts!$F$17))</f>
        <v>0</v>
      </c>
      <c r="V550" s="10">
        <f>IF(CAS!$C$7="",0,(SUMIF(CAS!$B$31:$B$167,$J550,CAS!$E$31:$E$167)*Impacts!$F$18))</f>
        <v>0</v>
      </c>
      <c r="W550" s="10">
        <f t="shared" si="50"/>
        <v>0</v>
      </c>
      <c r="AK550" s="10" t="str">
        <f t="array" ref="AK550">IFERROR(INDEX(SelectedSpecies,SMALL(IF(SelectedSpecies=AK$1,ROW(SelectedSpecies)),ROW(551:551)),2),"")</f>
        <v/>
      </c>
      <c r="BE550" s="10"/>
      <c r="BI550" s="10"/>
    </row>
    <row r="551" spans="1:61" ht="21" customHeight="1" x14ac:dyDescent="0.25">
      <c r="A551" s="10"/>
      <c r="B551" s="10"/>
      <c r="E551" s="10"/>
      <c r="G551" s="10"/>
      <c r="I551" s="436" t="s">
        <v>2073</v>
      </c>
      <c r="J551" s="26" t="s">
        <v>2072</v>
      </c>
      <c r="K551" s="10">
        <v>15</v>
      </c>
      <c r="L551" s="73">
        <f>IF(Tank1!$C$23="No control",(SUMIF(Tank1!$B$32:$B$49,$J551,Tank1!$C$32:$C$49)*Impacts!$F$8),0)</f>
        <v>0</v>
      </c>
      <c r="M551" s="10">
        <f>IF(Tank2!$C$23="No control",(SUMIF(Tank2!$B$32:$B$49,$J551,Tank2!$C$32:$C$49)*Impacts!$F$9),0)</f>
        <v>0</v>
      </c>
      <c r="N551" s="10">
        <f>IF(Tank3!$C$23="No control",(SUMIF(Tank3!$B$32:$B$49,$J551,Tank3!$C$32:$C$49)*Impacts!$F$10),0)</f>
        <v>0</v>
      </c>
      <c r="O551" s="10">
        <f>IF(Tank4!$C$23="No control",(SUMIF(Tank4!$B$32:$B$49,$J551,Tank4!$C$32:$C$49)*Impacts!$F$11),0)</f>
        <v>0</v>
      </c>
      <c r="P551" s="10">
        <f>IF(Tank5!$C$23="No control",(SUMIF(Tank5!$B$32:$B$49,$J551,Tank5!$C$32:$C$49)*Impacts!$F$12),0)</f>
        <v>0</v>
      </c>
      <c r="Q551" s="10">
        <f>IFERROR(IF(('Loading-drum,tote'!$C$21)="No control",SUMIF(('Loading-drum,tote'!$B$31:$B$48),$J551,('Loading-drum,tote'!$D$31:$D$48))*Impacts!$F$13,IF(('Loading-drum,tote'!$C$21)&lt;&gt;"No control",SUMIF(('Loading-drum,tote'!$B$31:$B$48),$J551,('Loading-drum,tote'!$E$31:$E$48))*Impacts!$F$13,0)),0)</f>
        <v>0</v>
      </c>
      <c r="R551" s="10">
        <f>IFERROR(IF(('Loading-truck'!$C$21)="No control",SUMIF(('Loading-truck'!$B$31:$B$48),$J551,('Loading-truck'!$D$31:$D$48))*Impacts!$F$14,IF(('Loading-truck'!$C$21)&lt;&gt;"No control",SUMIF(('Loading-truck'!$B$31:$B$48),$J551,('Loading-truck'!$E$31:$E$48))*Impacts!$F$14,0)),0)</f>
        <v>0</v>
      </c>
      <c r="S551" s="10">
        <f>IFERROR(IF(('Loading-rail'!$C$21)="No control",SUMIF(('Loading-rail'!$B$31:$B$48),$J551,('Loading-rail'!$D$31:$D$48))*Impacts!$F$15,IF(('Loading-rail'!$C$21)&lt;&gt;"No control",SUMIF(('Loading-rail'!$B$31:$B$48),$J551,('Loading-rail'!$E$31:$E$48))*Impacts!$F$15,0)),0)</f>
        <v>0</v>
      </c>
      <c r="T551" s="10">
        <f>IF(Flare!$C$7="",0,(SUMIF(Flare!$B$46:$B$185,$J551,Flare!$E$46:$E$185)*Impacts!$F$16))</f>
        <v>0</v>
      </c>
      <c r="U551" s="10">
        <f>IF(VCU!$C$9="",0,(SUMIF(VCU!$B$51:$B$193,$J551,VCU!$E$51:$E$193)*Impacts!$F$17))</f>
        <v>0</v>
      </c>
      <c r="V551" s="10">
        <f>IF(CAS!$C$7="",0,(SUMIF(CAS!$B$31:$B$167,$J551,CAS!$E$31:$E$167)*Impacts!$F$18))</f>
        <v>0</v>
      </c>
      <c r="W551" s="10">
        <f t="shared" si="50"/>
        <v>0</v>
      </c>
      <c r="AK551" s="10" t="str">
        <f t="array" ref="AK551">IFERROR(INDEX(SelectedSpecies,SMALL(IF(SelectedSpecies=AK$1,ROW(SelectedSpecies)),ROW(552:552)),2),"")</f>
        <v/>
      </c>
      <c r="BE551" s="10"/>
      <c r="BI551" s="10"/>
    </row>
    <row r="552" spans="1:61" ht="21" customHeight="1" x14ac:dyDescent="0.25">
      <c r="A552" s="10"/>
      <c r="B552" s="10"/>
      <c r="E552" s="10"/>
      <c r="G552" s="10"/>
      <c r="I552" s="436" t="s">
        <v>1937</v>
      </c>
      <c r="J552" s="26" t="s">
        <v>1936</v>
      </c>
      <c r="K552" s="10">
        <v>18</v>
      </c>
      <c r="L552" s="73">
        <f>IF(Tank1!$C$23="No control",(SUMIF(Tank1!$B$32:$B$49,$J552,Tank1!$C$32:$C$49)*Impacts!$F$8),0)</f>
        <v>0</v>
      </c>
      <c r="M552" s="10">
        <f>IF(Tank2!$C$23="No control",(SUMIF(Tank2!$B$32:$B$49,$J552,Tank2!$C$32:$C$49)*Impacts!$F$9),0)</f>
        <v>0</v>
      </c>
      <c r="N552" s="10">
        <f>IF(Tank3!$C$23="No control",(SUMIF(Tank3!$B$32:$B$49,$J552,Tank3!$C$32:$C$49)*Impacts!$F$10),0)</f>
        <v>0</v>
      </c>
      <c r="O552" s="10">
        <f>IF(Tank4!$C$23="No control",(SUMIF(Tank4!$B$32:$B$49,$J552,Tank4!$C$32:$C$49)*Impacts!$F$11),0)</f>
        <v>0</v>
      </c>
      <c r="P552" s="10">
        <f>IF(Tank5!$C$23="No control",(SUMIF(Tank5!$B$32:$B$49,$J552,Tank5!$C$32:$C$49)*Impacts!$F$12),0)</f>
        <v>0</v>
      </c>
      <c r="Q552" s="10">
        <f>IFERROR(IF(('Loading-drum,tote'!$C$21)="No control",SUMIF(('Loading-drum,tote'!$B$31:$B$48),$J552,('Loading-drum,tote'!$D$31:$D$48))*Impacts!$F$13,IF(('Loading-drum,tote'!$C$21)&lt;&gt;"No control",SUMIF(('Loading-drum,tote'!$B$31:$B$48),$J552,('Loading-drum,tote'!$E$31:$E$48))*Impacts!$F$13,0)),0)</f>
        <v>0</v>
      </c>
      <c r="R552" s="10">
        <f>IFERROR(IF(('Loading-truck'!$C$21)="No control",SUMIF(('Loading-truck'!$B$31:$B$48),$J552,('Loading-truck'!$D$31:$D$48))*Impacts!$F$14,IF(('Loading-truck'!$C$21)&lt;&gt;"No control",SUMIF(('Loading-truck'!$B$31:$B$48),$J552,('Loading-truck'!$E$31:$E$48))*Impacts!$F$14,0)),0)</f>
        <v>0</v>
      </c>
      <c r="S552" s="10">
        <f>IFERROR(IF(('Loading-rail'!$C$21)="No control",SUMIF(('Loading-rail'!$B$31:$B$48),$J552,('Loading-rail'!$D$31:$D$48))*Impacts!$F$15,IF(('Loading-rail'!$C$21)&lt;&gt;"No control",SUMIF(('Loading-rail'!$B$31:$B$48),$J552,('Loading-rail'!$E$31:$E$48))*Impacts!$F$15,0)),0)</f>
        <v>0</v>
      </c>
      <c r="T552" s="10">
        <f>IF(Flare!$C$7="",0,(SUMIF(Flare!$B$46:$B$185,$J552,Flare!$E$46:$E$185)*Impacts!$F$16))</f>
        <v>0</v>
      </c>
      <c r="U552" s="10">
        <f>IF(VCU!$C$9="",0,(SUMIF(VCU!$B$51:$B$193,$J552,VCU!$E$51:$E$193)*Impacts!$F$17))</f>
        <v>0</v>
      </c>
      <c r="V552" s="10">
        <f>IF(CAS!$C$7="",0,(SUMIF(CAS!$B$31:$B$167,$J552,CAS!$E$31:$E$167)*Impacts!$F$18))</f>
        <v>0</v>
      </c>
      <c r="W552" s="10">
        <f t="shared" si="50"/>
        <v>0</v>
      </c>
      <c r="AK552" s="10" t="str">
        <f t="array" ref="AK552">IFERROR(INDEX(SelectedSpecies,SMALL(IF(SelectedSpecies=AK$1,ROW(SelectedSpecies)),ROW(553:553)),2),"")</f>
        <v/>
      </c>
      <c r="BE552" s="10"/>
      <c r="BI552" s="10"/>
    </row>
    <row r="553" spans="1:61" ht="21" customHeight="1" x14ac:dyDescent="0.25">
      <c r="A553" s="10"/>
      <c r="B553" s="10"/>
      <c r="E553" s="10"/>
      <c r="G553" s="10"/>
      <c r="I553" s="436" t="s">
        <v>1444</v>
      </c>
      <c r="J553" s="26" t="s">
        <v>1443</v>
      </c>
      <c r="K553" s="10">
        <v>30</v>
      </c>
      <c r="L553" s="73">
        <f>IF(Tank1!$C$23="No control",(SUMIF(Tank1!$B$32:$B$49,$J553,Tank1!$C$32:$C$49)*Impacts!$F$8),0)</f>
        <v>0</v>
      </c>
      <c r="M553" s="10">
        <f>IF(Tank2!$C$23="No control",(SUMIF(Tank2!$B$32:$B$49,$J553,Tank2!$C$32:$C$49)*Impacts!$F$9),0)</f>
        <v>0</v>
      </c>
      <c r="N553" s="10">
        <f>IF(Tank3!$C$23="No control",(SUMIF(Tank3!$B$32:$B$49,$J553,Tank3!$C$32:$C$49)*Impacts!$F$10),0)</f>
        <v>0</v>
      </c>
      <c r="O553" s="10">
        <f>IF(Tank4!$C$23="No control",(SUMIF(Tank4!$B$32:$B$49,$J553,Tank4!$C$32:$C$49)*Impacts!$F$11),0)</f>
        <v>0</v>
      </c>
      <c r="P553" s="10">
        <f>IF(Tank5!$C$23="No control",(SUMIF(Tank5!$B$32:$B$49,$J553,Tank5!$C$32:$C$49)*Impacts!$F$12),0)</f>
        <v>0</v>
      </c>
      <c r="Q553" s="10">
        <f>IFERROR(IF(('Loading-drum,tote'!$C$21)="No control",SUMIF(('Loading-drum,tote'!$B$31:$B$48),$J553,('Loading-drum,tote'!$D$31:$D$48))*Impacts!$F$13,IF(('Loading-drum,tote'!$C$21)&lt;&gt;"No control",SUMIF(('Loading-drum,tote'!$B$31:$B$48),$J553,('Loading-drum,tote'!$E$31:$E$48))*Impacts!$F$13,0)),0)</f>
        <v>0</v>
      </c>
      <c r="R553" s="10">
        <f>IFERROR(IF(('Loading-truck'!$C$21)="No control",SUMIF(('Loading-truck'!$B$31:$B$48),$J553,('Loading-truck'!$D$31:$D$48))*Impacts!$F$14,IF(('Loading-truck'!$C$21)&lt;&gt;"No control",SUMIF(('Loading-truck'!$B$31:$B$48),$J553,('Loading-truck'!$E$31:$E$48))*Impacts!$F$14,0)),0)</f>
        <v>0</v>
      </c>
      <c r="S553" s="10">
        <f>IFERROR(IF(('Loading-rail'!$C$21)="No control",SUMIF(('Loading-rail'!$B$31:$B$48),$J553,('Loading-rail'!$D$31:$D$48))*Impacts!$F$15,IF(('Loading-rail'!$C$21)&lt;&gt;"No control",SUMIF(('Loading-rail'!$B$31:$B$48),$J553,('Loading-rail'!$E$31:$E$48))*Impacts!$F$15,0)),0)</f>
        <v>0</v>
      </c>
      <c r="T553" s="10">
        <f>IF(Flare!$C$7="",0,(SUMIF(Flare!$B$46:$B$185,$J553,Flare!$E$46:$E$185)*Impacts!$F$16))</f>
        <v>0</v>
      </c>
      <c r="U553" s="10">
        <f>IF(VCU!$C$9="",0,(SUMIF(VCU!$B$51:$B$193,$J553,VCU!$E$51:$E$193)*Impacts!$F$17))</f>
        <v>0</v>
      </c>
      <c r="V553" s="10">
        <f>IF(CAS!$C$7="",0,(SUMIF(CAS!$B$31:$B$167,$J553,CAS!$E$31:$E$167)*Impacts!$F$18))</f>
        <v>0</v>
      </c>
      <c r="W553" s="10">
        <f t="shared" si="50"/>
        <v>0</v>
      </c>
      <c r="AK553" s="10" t="str">
        <f t="array" ref="AK553">IFERROR(INDEX(SelectedSpecies,SMALL(IF(SelectedSpecies=AK$1,ROW(SelectedSpecies)),ROW(554:554)),2),"")</f>
        <v/>
      </c>
      <c r="BE553" s="10"/>
      <c r="BI553" s="10"/>
    </row>
    <row r="554" spans="1:61" ht="21" customHeight="1" x14ac:dyDescent="0.25">
      <c r="A554" s="10"/>
      <c r="B554" s="10"/>
      <c r="E554" s="10"/>
      <c r="G554" s="10"/>
      <c r="I554" s="436" t="s">
        <v>3705</v>
      </c>
      <c r="J554" s="26" t="s">
        <v>3704</v>
      </c>
      <c r="K554" s="10">
        <v>6.7</v>
      </c>
      <c r="L554" s="73">
        <f>IF(Tank1!$C$23="No control",(SUMIF(Tank1!$B$32:$B$49,$J554,Tank1!$C$32:$C$49)*Impacts!$F$8),0)</f>
        <v>0</v>
      </c>
      <c r="M554" s="10">
        <f>IF(Tank2!$C$23="No control",(SUMIF(Tank2!$B$32:$B$49,$J554,Tank2!$C$32:$C$49)*Impacts!$F$9),0)</f>
        <v>0</v>
      </c>
      <c r="N554" s="10">
        <f>IF(Tank3!$C$23="No control",(SUMIF(Tank3!$B$32:$B$49,$J554,Tank3!$C$32:$C$49)*Impacts!$F$10),0)</f>
        <v>0</v>
      </c>
      <c r="O554" s="10">
        <f>IF(Tank4!$C$23="No control",(SUMIF(Tank4!$B$32:$B$49,$J554,Tank4!$C$32:$C$49)*Impacts!$F$11),0)</f>
        <v>0</v>
      </c>
      <c r="P554" s="10">
        <f>IF(Tank5!$C$23="No control",(SUMIF(Tank5!$B$32:$B$49,$J554,Tank5!$C$32:$C$49)*Impacts!$F$12),0)</f>
        <v>0</v>
      </c>
      <c r="Q554" s="10">
        <f>IFERROR(IF(('Loading-drum,tote'!$C$21)="No control",SUMIF(('Loading-drum,tote'!$B$31:$B$48),$J554,('Loading-drum,tote'!$D$31:$D$48))*Impacts!$F$13,IF(('Loading-drum,tote'!$C$21)&lt;&gt;"No control",SUMIF(('Loading-drum,tote'!$B$31:$B$48),$J554,('Loading-drum,tote'!$E$31:$E$48))*Impacts!$F$13,0)),0)</f>
        <v>0</v>
      </c>
      <c r="R554" s="10">
        <f>IFERROR(IF(('Loading-truck'!$C$21)="No control",SUMIF(('Loading-truck'!$B$31:$B$48),$J554,('Loading-truck'!$D$31:$D$48))*Impacts!$F$14,IF(('Loading-truck'!$C$21)&lt;&gt;"No control",SUMIF(('Loading-truck'!$B$31:$B$48),$J554,('Loading-truck'!$E$31:$E$48))*Impacts!$F$14,0)),0)</f>
        <v>0</v>
      </c>
      <c r="S554" s="10">
        <f>IFERROR(IF(('Loading-rail'!$C$21)="No control",SUMIF(('Loading-rail'!$B$31:$B$48),$J554,('Loading-rail'!$D$31:$D$48))*Impacts!$F$15,IF(('Loading-rail'!$C$21)&lt;&gt;"No control",SUMIF(('Loading-rail'!$B$31:$B$48),$J554,('Loading-rail'!$E$31:$E$48))*Impacts!$F$15,0)),0)</f>
        <v>0</v>
      </c>
      <c r="T554" s="10">
        <f>IF(Flare!$C$7="",0,(SUMIF(Flare!$B$46:$B$185,$J554,Flare!$E$46:$E$185)*Impacts!$F$16))</f>
        <v>0</v>
      </c>
      <c r="U554" s="10">
        <f>IF(VCU!$C$9="",0,(SUMIF(VCU!$B$51:$B$193,$J554,VCU!$E$51:$E$193)*Impacts!$F$17))</f>
        <v>0</v>
      </c>
      <c r="V554" s="10">
        <f>IF(CAS!$C$7="",0,(SUMIF(CAS!$B$31:$B$167,$J554,CAS!$E$31:$E$167)*Impacts!$F$18))</f>
        <v>0</v>
      </c>
      <c r="W554" s="10">
        <f t="shared" si="50"/>
        <v>0</v>
      </c>
      <c r="AK554" s="10" t="str">
        <f t="array" ref="AK554">IFERROR(INDEX(SelectedSpecies,SMALL(IF(SelectedSpecies=AK$1,ROW(SelectedSpecies)),ROW(555:555)),2),"")</f>
        <v/>
      </c>
      <c r="BE554" s="10"/>
      <c r="BI554" s="10"/>
    </row>
    <row r="555" spans="1:61" ht="21" customHeight="1" x14ac:dyDescent="0.25">
      <c r="A555" s="10"/>
      <c r="B555" s="10"/>
      <c r="E555" s="10"/>
      <c r="G555" s="10"/>
      <c r="I555" s="436" t="s">
        <v>353</v>
      </c>
      <c r="J555" s="26" t="s">
        <v>352</v>
      </c>
      <c r="K555" s="10">
        <v>370</v>
      </c>
      <c r="L555" s="73">
        <f>IF(Tank1!$C$23="No control",(SUMIF(Tank1!$B$32:$B$49,$J555,Tank1!$C$32:$C$49)*Impacts!$F$8),0)</f>
        <v>0</v>
      </c>
      <c r="M555" s="10">
        <f>IF(Tank2!$C$23="No control",(SUMIF(Tank2!$B$32:$B$49,$J555,Tank2!$C$32:$C$49)*Impacts!$F$9),0)</f>
        <v>0</v>
      </c>
      <c r="N555" s="10">
        <f>IF(Tank3!$C$23="No control",(SUMIF(Tank3!$B$32:$B$49,$J555,Tank3!$C$32:$C$49)*Impacts!$F$10),0)</f>
        <v>0</v>
      </c>
      <c r="O555" s="10">
        <f>IF(Tank4!$C$23="No control",(SUMIF(Tank4!$B$32:$B$49,$J555,Tank4!$C$32:$C$49)*Impacts!$F$11),0)</f>
        <v>0</v>
      </c>
      <c r="P555" s="10">
        <f>IF(Tank5!$C$23="No control",(SUMIF(Tank5!$B$32:$B$49,$J555,Tank5!$C$32:$C$49)*Impacts!$F$12),0)</f>
        <v>0</v>
      </c>
      <c r="Q555" s="10">
        <f>IFERROR(IF(('Loading-drum,tote'!$C$21)="No control",SUMIF(('Loading-drum,tote'!$B$31:$B$48),$J555,('Loading-drum,tote'!$D$31:$D$48))*Impacts!$F$13,IF(('Loading-drum,tote'!$C$21)&lt;&gt;"No control",SUMIF(('Loading-drum,tote'!$B$31:$B$48),$J555,('Loading-drum,tote'!$E$31:$E$48))*Impacts!$F$13,0)),0)</f>
        <v>0</v>
      </c>
      <c r="R555" s="10">
        <f>IFERROR(IF(('Loading-truck'!$C$21)="No control",SUMIF(('Loading-truck'!$B$31:$B$48),$J555,('Loading-truck'!$D$31:$D$48))*Impacts!$F$14,IF(('Loading-truck'!$C$21)&lt;&gt;"No control",SUMIF(('Loading-truck'!$B$31:$B$48),$J555,('Loading-truck'!$E$31:$E$48))*Impacts!$F$14,0)),0)</f>
        <v>0</v>
      </c>
      <c r="S555" s="10">
        <f>IFERROR(IF(('Loading-rail'!$C$21)="No control",SUMIF(('Loading-rail'!$B$31:$B$48),$J555,('Loading-rail'!$D$31:$D$48))*Impacts!$F$15,IF(('Loading-rail'!$C$21)&lt;&gt;"No control",SUMIF(('Loading-rail'!$B$31:$B$48),$J555,('Loading-rail'!$E$31:$E$48))*Impacts!$F$15,0)),0)</f>
        <v>0</v>
      </c>
      <c r="T555" s="10">
        <f>IF(Flare!$C$7="",0,(SUMIF(Flare!$B$46:$B$185,$J555,Flare!$E$46:$E$185)*Impacts!$F$16))</f>
        <v>0</v>
      </c>
      <c r="U555" s="10">
        <f>IF(VCU!$C$9="",0,(SUMIF(VCU!$B$51:$B$193,$J555,VCU!$E$51:$E$193)*Impacts!$F$17))</f>
        <v>0</v>
      </c>
      <c r="V555" s="10">
        <f>IF(CAS!$C$7="",0,(SUMIF(CAS!$B$31:$B$167,$J555,CAS!$E$31:$E$167)*Impacts!$F$18))</f>
        <v>0</v>
      </c>
      <c r="W555" s="10">
        <f t="shared" si="50"/>
        <v>0</v>
      </c>
      <c r="AK555" s="10" t="str">
        <f t="array" ref="AK555">IFERROR(INDEX(SelectedSpecies,SMALL(IF(SelectedSpecies=AK$1,ROW(SelectedSpecies)),ROW(556:556)),2),"")</f>
        <v/>
      </c>
      <c r="BE555" s="10"/>
      <c r="BI555" s="10"/>
    </row>
    <row r="556" spans="1:61" ht="21" customHeight="1" x14ac:dyDescent="0.25">
      <c r="A556" s="10"/>
      <c r="B556" s="10"/>
      <c r="E556" s="10"/>
      <c r="G556" s="10"/>
      <c r="I556" s="436" t="s">
        <v>3607</v>
      </c>
      <c r="J556" s="26" t="s">
        <v>3606</v>
      </c>
      <c r="K556" s="10">
        <v>9</v>
      </c>
      <c r="L556" s="73">
        <f>IF(Tank1!$C$23="No control",(SUMIF(Tank1!$B$32:$B$49,$J556,Tank1!$C$32:$C$49)*Impacts!$F$8),0)</f>
        <v>0</v>
      </c>
      <c r="M556" s="10">
        <f>IF(Tank2!$C$23="No control",(SUMIF(Tank2!$B$32:$B$49,$J556,Tank2!$C$32:$C$49)*Impacts!$F$9),0)</f>
        <v>0</v>
      </c>
      <c r="N556" s="10">
        <f>IF(Tank3!$C$23="No control",(SUMIF(Tank3!$B$32:$B$49,$J556,Tank3!$C$32:$C$49)*Impacts!$F$10),0)</f>
        <v>0</v>
      </c>
      <c r="O556" s="10">
        <f>IF(Tank4!$C$23="No control",(SUMIF(Tank4!$B$32:$B$49,$J556,Tank4!$C$32:$C$49)*Impacts!$F$11),0)</f>
        <v>0</v>
      </c>
      <c r="P556" s="10">
        <f>IF(Tank5!$C$23="No control",(SUMIF(Tank5!$B$32:$B$49,$J556,Tank5!$C$32:$C$49)*Impacts!$F$12),0)</f>
        <v>0</v>
      </c>
      <c r="Q556" s="10">
        <f>IFERROR(IF(('Loading-drum,tote'!$C$21)="No control",SUMIF(('Loading-drum,tote'!$B$31:$B$48),$J556,('Loading-drum,tote'!$D$31:$D$48))*Impacts!$F$13,IF(('Loading-drum,tote'!$C$21)&lt;&gt;"No control",SUMIF(('Loading-drum,tote'!$B$31:$B$48),$J556,('Loading-drum,tote'!$E$31:$E$48))*Impacts!$F$13,0)),0)</f>
        <v>0</v>
      </c>
      <c r="R556" s="10">
        <f>IFERROR(IF(('Loading-truck'!$C$21)="No control",SUMIF(('Loading-truck'!$B$31:$B$48),$J556,('Loading-truck'!$D$31:$D$48))*Impacts!$F$14,IF(('Loading-truck'!$C$21)&lt;&gt;"No control",SUMIF(('Loading-truck'!$B$31:$B$48),$J556,('Loading-truck'!$E$31:$E$48))*Impacts!$F$14,0)),0)</f>
        <v>0</v>
      </c>
      <c r="S556" s="10">
        <f>IFERROR(IF(('Loading-rail'!$C$21)="No control",SUMIF(('Loading-rail'!$B$31:$B$48),$J556,('Loading-rail'!$D$31:$D$48))*Impacts!$F$15,IF(('Loading-rail'!$C$21)&lt;&gt;"No control",SUMIF(('Loading-rail'!$B$31:$B$48),$J556,('Loading-rail'!$E$31:$E$48))*Impacts!$F$15,0)),0)</f>
        <v>0</v>
      </c>
      <c r="T556" s="10">
        <f>IF(Flare!$C$7="",0,(SUMIF(Flare!$B$46:$B$185,$J556,Flare!$E$46:$E$185)*Impacts!$F$16))</f>
        <v>0</v>
      </c>
      <c r="U556" s="10">
        <f>IF(VCU!$C$9="",0,(SUMIF(VCU!$B$51:$B$193,$J556,VCU!$E$51:$E$193)*Impacts!$F$17))</f>
        <v>0</v>
      </c>
      <c r="V556" s="10">
        <f>IF(CAS!$C$7="",0,(SUMIF(CAS!$B$31:$B$167,$J556,CAS!$E$31:$E$167)*Impacts!$F$18))</f>
        <v>0</v>
      </c>
      <c r="W556" s="10">
        <f t="shared" si="50"/>
        <v>0</v>
      </c>
      <c r="AK556" s="10" t="str">
        <f t="array" ref="AK556">IFERROR(INDEX(SelectedSpecies,SMALL(IF(SelectedSpecies=AK$1,ROW(SelectedSpecies)),ROW(557:557)),2),"")</f>
        <v/>
      </c>
      <c r="BE556" s="10"/>
      <c r="BI556" s="10"/>
    </row>
    <row r="557" spans="1:61" ht="21" customHeight="1" x14ac:dyDescent="0.25">
      <c r="A557" s="10"/>
      <c r="B557" s="10"/>
      <c r="E557" s="10"/>
      <c r="G557" s="10"/>
      <c r="I557" s="436" t="s">
        <v>2699</v>
      </c>
      <c r="J557" s="26" t="s">
        <v>2698</v>
      </c>
      <c r="K557" s="10">
        <v>10</v>
      </c>
      <c r="L557" s="73">
        <f>IF(Tank1!$C$23="No control",(SUMIF(Tank1!$B$32:$B$49,$J557,Tank1!$C$32:$C$49)*Impacts!$F$8),0)</f>
        <v>0</v>
      </c>
      <c r="M557" s="10">
        <f>IF(Tank2!$C$23="No control",(SUMIF(Tank2!$B$32:$B$49,$J557,Tank2!$C$32:$C$49)*Impacts!$F$9),0)</f>
        <v>0</v>
      </c>
      <c r="N557" s="10">
        <f>IF(Tank3!$C$23="No control",(SUMIF(Tank3!$B$32:$B$49,$J557,Tank3!$C$32:$C$49)*Impacts!$F$10),0)</f>
        <v>0</v>
      </c>
      <c r="O557" s="10">
        <f>IF(Tank4!$C$23="No control",(SUMIF(Tank4!$B$32:$B$49,$J557,Tank4!$C$32:$C$49)*Impacts!$F$11),0)</f>
        <v>0</v>
      </c>
      <c r="P557" s="10">
        <f>IF(Tank5!$C$23="No control",(SUMIF(Tank5!$B$32:$B$49,$J557,Tank5!$C$32:$C$49)*Impacts!$F$12),0)</f>
        <v>0</v>
      </c>
      <c r="Q557" s="10">
        <f>IFERROR(IF(('Loading-drum,tote'!$C$21)="No control",SUMIF(('Loading-drum,tote'!$B$31:$B$48),$J557,('Loading-drum,tote'!$D$31:$D$48))*Impacts!$F$13,IF(('Loading-drum,tote'!$C$21)&lt;&gt;"No control",SUMIF(('Loading-drum,tote'!$B$31:$B$48),$J557,('Loading-drum,tote'!$E$31:$E$48))*Impacts!$F$13,0)),0)</f>
        <v>0</v>
      </c>
      <c r="R557" s="10">
        <f>IFERROR(IF(('Loading-truck'!$C$21)="No control",SUMIF(('Loading-truck'!$B$31:$B$48),$J557,('Loading-truck'!$D$31:$D$48))*Impacts!$F$14,IF(('Loading-truck'!$C$21)&lt;&gt;"No control",SUMIF(('Loading-truck'!$B$31:$B$48),$J557,('Loading-truck'!$E$31:$E$48))*Impacts!$F$14,0)),0)</f>
        <v>0</v>
      </c>
      <c r="S557" s="10">
        <f>IFERROR(IF(('Loading-rail'!$C$21)="No control",SUMIF(('Loading-rail'!$B$31:$B$48),$J557,('Loading-rail'!$D$31:$D$48))*Impacts!$F$15,IF(('Loading-rail'!$C$21)&lt;&gt;"No control",SUMIF(('Loading-rail'!$B$31:$B$48),$J557,('Loading-rail'!$E$31:$E$48))*Impacts!$F$15,0)),0)</f>
        <v>0</v>
      </c>
      <c r="T557" s="10">
        <f>IF(Flare!$C$7="",0,(SUMIF(Flare!$B$46:$B$185,$J557,Flare!$E$46:$E$185)*Impacts!$F$16))</f>
        <v>0</v>
      </c>
      <c r="U557" s="10">
        <f>IF(VCU!$C$9="",0,(SUMIF(VCU!$B$51:$B$193,$J557,VCU!$E$51:$E$193)*Impacts!$F$17))</f>
        <v>0</v>
      </c>
      <c r="V557" s="10">
        <f>IF(CAS!$C$7="",0,(SUMIF(CAS!$B$31:$B$167,$J557,CAS!$E$31:$E$167)*Impacts!$F$18))</f>
        <v>0</v>
      </c>
      <c r="W557" s="10">
        <f t="shared" si="50"/>
        <v>0</v>
      </c>
      <c r="AK557" s="10" t="str">
        <f t="array" ref="AK557">IFERROR(INDEX(SelectedSpecies,SMALL(IF(SelectedSpecies=AK$1,ROW(SelectedSpecies)),ROW(558:558)),2),"")</f>
        <v/>
      </c>
      <c r="BE557" s="10"/>
      <c r="BI557" s="10"/>
    </row>
    <row r="558" spans="1:61" ht="21" customHeight="1" x14ac:dyDescent="0.25">
      <c r="A558" s="10"/>
      <c r="B558" s="10"/>
      <c r="E558" s="10"/>
      <c r="G558" s="10"/>
      <c r="I558" s="436" t="s">
        <v>980</v>
      </c>
      <c r="J558" s="26" t="s">
        <v>979</v>
      </c>
      <c r="K558" s="10">
        <v>35</v>
      </c>
      <c r="L558" s="73">
        <f>IF(Tank1!$C$23="No control",(SUMIF(Tank1!$B$32:$B$49,$J558,Tank1!$C$32:$C$49)*Impacts!$F$8),0)</f>
        <v>0</v>
      </c>
      <c r="M558" s="10">
        <f>IF(Tank2!$C$23="No control",(SUMIF(Tank2!$B$32:$B$49,$J558,Tank2!$C$32:$C$49)*Impacts!$F$9),0)</f>
        <v>0</v>
      </c>
      <c r="N558" s="10">
        <f>IF(Tank3!$C$23="No control",(SUMIF(Tank3!$B$32:$B$49,$J558,Tank3!$C$32:$C$49)*Impacts!$F$10),0)</f>
        <v>0</v>
      </c>
      <c r="O558" s="10">
        <f>IF(Tank4!$C$23="No control",(SUMIF(Tank4!$B$32:$B$49,$J558,Tank4!$C$32:$C$49)*Impacts!$F$11),0)</f>
        <v>0</v>
      </c>
      <c r="P558" s="10">
        <f>IF(Tank5!$C$23="No control",(SUMIF(Tank5!$B$32:$B$49,$J558,Tank5!$C$32:$C$49)*Impacts!$F$12),0)</f>
        <v>0</v>
      </c>
      <c r="Q558" s="10">
        <f>IFERROR(IF(('Loading-drum,tote'!$C$21)="No control",SUMIF(('Loading-drum,tote'!$B$31:$B$48),$J558,('Loading-drum,tote'!$D$31:$D$48))*Impacts!$F$13,IF(('Loading-drum,tote'!$C$21)&lt;&gt;"No control",SUMIF(('Loading-drum,tote'!$B$31:$B$48),$J558,('Loading-drum,tote'!$E$31:$E$48))*Impacts!$F$13,0)),0)</f>
        <v>0</v>
      </c>
      <c r="R558" s="10">
        <f>IFERROR(IF(('Loading-truck'!$C$21)="No control",SUMIF(('Loading-truck'!$B$31:$B$48),$J558,('Loading-truck'!$D$31:$D$48))*Impacts!$F$14,IF(('Loading-truck'!$C$21)&lt;&gt;"No control",SUMIF(('Loading-truck'!$B$31:$B$48),$J558,('Loading-truck'!$E$31:$E$48))*Impacts!$F$14,0)),0)</f>
        <v>0</v>
      </c>
      <c r="S558" s="10">
        <f>IFERROR(IF(('Loading-rail'!$C$21)="No control",SUMIF(('Loading-rail'!$B$31:$B$48),$J558,('Loading-rail'!$D$31:$D$48))*Impacts!$F$15,IF(('Loading-rail'!$C$21)&lt;&gt;"No control",SUMIF(('Loading-rail'!$B$31:$B$48),$J558,('Loading-rail'!$E$31:$E$48))*Impacts!$F$15,0)),0)</f>
        <v>0</v>
      </c>
      <c r="T558" s="10">
        <f>IF(Flare!$C$7="",0,(SUMIF(Flare!$B$46:$B$185,$J558,Flare!$E$46:$E$185)*Impacts!$F$16))</f>
        <v>0</v>
      </c>
      <c r="U558" s="10">
        <f>IF(VCU!$C$9="",0,(SUMIF(VCU!$B$51:$B$193,$J558,VCU!$E$51:$E$193)*Impacts!$F$17))</f>
        <v>0</v>
      </c>
      <c r="V558" s="10">
        <f>IF(CAS!$C$7="",0,(SUMIF(CAS!$B$31:$B$167,$J558,CAS!$E$31:$E$167)*Impacts!$F$18))</f>
        <v>0</v>
      </c>
      <c r="W558" s="10">
        <f t="shared" si="50"/>
        <v>0</v>
      </c>
      <c r="AK558" s="10" t="str">
        <f t="array" ref="AK558">IFERROR(INDEX(SelectedSpecies,SMALL(IF(SelectedSpecies=AK$1,ROW(SelectedSpecies)),ROW(559:559)),2),"")</f>
        <v/>
      </c>
      <c r="BE558" s="10"/>
      <c r="BI558" s="10"/>
    </row>
    <row r="559" spans="1:61" ht="21" customHeight="1" x14ac:dyDescent="0.25">
      <c r="A559" s="10"/>
      <c r="B559" s="10"/>
      <c r="E559" s="10"/>
      <c r="G559" s="10"/>
      <c r="I559" s="436" t="s">
        <v>7634</v>
      </c>
      <c r="J559" s="26" t="s">
        <v>7633</v>
      </c>
      <c r="K559" s="10">
        <v>0.13</v>
      </c>
      <c r="L559" s="73">
        <f>IF(Tank1!$C$23="No control",(SUMIF(Tank1!$B$32:$B$49,$J559,Tank1!$C$32:$C$49)*Impacts!$F$8),0)</f>
        <v>0</v>
      </c>
      <c r="M559" s="10">
        <f>IF(Tank2!$C$23="No control",(SUMIF(Tank2!$B$32:$B$49,$J559,Tank2!$C$32:$C$49)*Impacts!$F$9),0)</f>
        <v>0</v>
      </c>
      <c r="N559" s="10">
        <f>IF(Tank3!$C$23="No control",(SUMIF(Tank3!$B$32:$B$49,$J559,Tank3!$C$32:$C$49)*Impacts!$F$10),0)</f>
        <v>0</v>
      </c>
      <c r="O559" s="10">
        <f>IF(Tank4!$C$23="No control",(SUMIF(Tank4!$B$32:$B$49,$J559,Tank4!$C$32:$C$49)*Impacts!$F$11),0)</f>
        <v>0</v>
      </c>
      <c r="P559" s="10">
        <f>IF(Tank5!$C$23="No control",(SUMIF(Tank5!$B$32:$B$49,$J559,Tank5!$C$32:$C$49)*Impacts!$F$12),0)</f>
        <v>0</v>
      </c>
      <c r="Q559" s="10">
        <f>IFERROR(IF(('Loading-drum,tote'!$C$21)="No control",SUMIF(('Loading-drum,tote'!$B$31:$B$48),$J559,('Loading-drum,tote'!$D$31:$D$48))*Impacts!$F$13,IF(('Loading-drum,tote'!$C$21)&lt;&gt;"No control",SUMIF(('Loading-drum,tote'!$B$31:$B$48),$J559,('Loading-drum,tote'!$E$31:$E$48))*Impacts!$F$13,0)),0)</f>
        <v>0</v>
      </c>
      <c r="R559" s="10">
        <f>IFERROR(IF(('Loading-truck'!$C$21)="No control",SUMIF(('Loading-truck'!$B$31:$B$48),$J559,('Loading-truck'!$D$31:$D$48))*Impacts!$F$14,IF(('Loading-truck'!$C$21)&lt;&gt;"No control",SUMIF(('Loading-truck'!$B$31:$B$48),$J559,('Loading-truck'!$E$31:$E$48))*Impacts!$F$14,0)),0)</f>
        <v>0</v>
      </c>
      <c r="S559" s="10">
        <f>IFERROR(IF(('Loading-rail'!$C$21)="No control",SUMIF(('Loading-rail'!$B$31:$B$48),$J559,('Loading-rail'!$D$31:$D$48))*Impacts!$F$15,IF(('Loading-rail'!$C$21)&lt;&gt;"No control",SUMIF(('Loading-rail'!$B$31:$B$48),$J559,('Loading-rail'!$E$31:$E$48))*Impacts!$F$15,0)),0)</f>
        <v>0</v>
      </c>
      <c r="T559" s="10">
        <f>IF(Flare!$C$7="",0,(SUMIF(Flare!$B$46:$B$185,$J559,Flare!$E$46:$E$185)*Impacts!$F$16))</f>
        <v>0</v>
      </c>
      <c r="U559" s="10">
        <f>IF(VCU!$C$9="",0,(SUMIF(VCU!$B$51:$B$193,$J559,VCU!$E$51:$E$193)*Impacts!$F$17))</f>
        <v>0</v>
      </c>
      <c r="V559" s="10">
        <f>IF(CAS!$C$7="",0,(SUMIF(CAS!$B$31:$B$167,$J559,CAS!$E$31:$E$167)*Impacts!$F$18))</f>
        <v>0</v>
      </c>
      <c r="W559" s="10">
        <f t="shared" si="50"/>
        <v>0</v>
      </c>
      <c r="AK559" s="10" t="str">
        <f t="array" ref="AK559">IFERROR(INDEX(SelectedSpecies,SMALL(IF(SelectedSpecies=AK$1,ROW(SelectedSpecies)),ROW(560:560)),2),"")</f>
        <v/>
      </c>
      <c r="BE559" s="10"/>
      <c r="BI559" s="10"/>
    </row>
    <row r="560" spans="1:61" ht="21" customHeight="1" x14ac:dyDescent="0.25">
      <c r="A560" s="10"/>
      <c r="B560" s="10"/>
      <c r="E560" s="10"/>
      <c r="G560" s="10"/>
      <c r="I560" s="436" t="s">
        <v>638</v>
      </c>
      <c r="J560" s="26" t="s">
        <v>637</v>
      </c>
      <c r="K560" s="10">
        <v>57</v>
      </c>
      <c r="L560" s="73">
        <f>IF(Tank1!$C$23="No control",(SUMIF(Tank1!$B$32:$B$49,$J560,Tank1!$C$32:$C$49)*Impacts!$F$8),0)</f>
        <v>0</v>
      </c>
      <c r="M560" s="10">
        <f>IF(Tank2!$C$23="No control",(SUMIF(Tank2!$B$32:$B$49,$J560,Tank2!$C$32:$C$49)*Impacts!$F$9),0)</f>
        <v>0</v>
      </c>
      <c r="N560" s="10">
        <f>IF(Tank3!$C$23="No control",(SUMIF(Tank3!$B$32:$B$49,$J560,Tank3!$C$32:$C$49)*Impacts!$F$10),0)</f>
        <v>0</v>
      </c>
      <c r="O560" s="10">
        <f>IF(Tank4!$C$23="No control",(SUMIF(Tank4!$B$32:$B$49,$J560,Tank4!$C$32:$C$49)*Impacts!$F$11),0)</f>
        <v>0</v>
      </c>
      <c r="P560" s="10">
        <f>IF(Tank5!$C$23="No control",(SUMIF(Tank5!$B$32:$B$49,$J560,Tank5!$C$32:$C$49)*Impacts!$F$12),0)</f>
        <v>0</v>
      </c>
      <c r="Q560" s="10">
        <f>IFERROR(IF(('Loading-drum,tote'!$C$21)="No control",SUMIF(('Loading-drum,tote'!$B$31:$B$48),$J560,('Loading-drum,tote'!$D$31:$D$48))*Impacts!$F$13,IF(('Loading-drum,tote'!$C$21)&lt;&gt;"No control",SUMIF(('Loading-drum,tote'!$B$31:$B$48),$J560,('Loading-drum,tote'!$E$31:$E$48))*Impacts!$F$13,0)),0)</f>
        <v>0</v>
      </c>
      <c r="R560" s="10">
        <f>IFERROR(IF(('Loading-truck'!$C$21)="No control",SUMIF(('Loading-truck'!$B$31:$B$48),$J560,('Loading-truck'!$D$31:$D$48))*Impacts!$F$14,IF(('Loading-truck'!$C$21)&lt;&gt;"No control",SUMIF(('Loading-truck'!$B$31:$B$48),$J560,('Loading-truck'!$E$31:$E$48))*Impacts!$F$14,0)),0)</f>
        <v>0</v>
      </c>
      <c r="S560" s="10">
        <f>IFERROR(IF(('Loading-rail'!$C$21)="No control",SUMIF(('Loading-rail'!$B$31:$B$48),$J560,('Loading-rail'!$D$31:$D$48))*Impacts!$F$15,IF(('Loading-rail'!$C$21)&lt;&gt;"No control",SUMIF(('Loading-rail'!$B$31:$B$48),$J560,('Loading-rail'!$E$31:$E$48))*Impacts!$F$15,0)),0)</f>
        <v>0</v>
      </c>
      <c r="T560" s="10">
        <f>IF(Flare!$C$7="",0,(SUMIF(Flare!$B$46:$B$185,$J560,Flare!$E$46:$E$185)*Impacts!$F$16))</f>
        <v>0</v>
      </c>
      <c r="U560" s="10">
        <f>IF(VCU!$C$9="",0,(SUMIF(VCU!$B$51:$B$193,$J560,VCU!$E$51:$E$193)*Impacts!$F$17))</f>
        <v>0</v>
      </c>
      <c r="V560" s="10">
        <f>IF(CAS!$C$7="",0,(SUMIF(CAS!$B$31:$B$167,$J560,CAS!$E$31:$E$167)*Impacts!$F$18))</f>
        <v>0</v>
      </c>
      <c r="W560" s="10">
        <f t="shared" si="50"/>
        <v>0</v>
      </c>
      <c r="AK560" s="10" t="str">
        <f t="array" ref="AK560">IFERROR(INDEX(SelectedSpecies,SMALL(IF(SelectedSpecies=AK$1,ROW(SelectedSpecies)),ROW(561:561)),2),"")</f>
        <v/>
      </c>
      <c r="BE560" s="10"/>
      <c r="BI560" s="10"/>
    </row>
    <row r="561" spans="1:61" ht="21" customHeight="1" x14ac:dyDescent="0.25">
      <c r="A561" s="10"/>
      <c r="B561" s="10"/>
      <c r="E561" s="10"/>
      <c r="G561" s="10"/>
      <c r="I561" s="436" t="s">
        <v>2075</v>
      </c>
      <c r="J561" s="26" t="s">
        <v>2074</v>
      </c>
      <c r="K561" s="10">
        <v>15</v>
      </c>
      <c r="L561" s="73">
        <f>IF(Tank1!$C$23="No control",(SUMIF(Tank1!$B$32:$B$49,$J561,Tank1!$C$32:$C$49)*Impacts!$F$8),0)</f>
        <v>0</v>
      </c>
      <c r="M561" s="10">
        <f>IF(Tank2!$C$23="No control",(SUMIF(Tank2!$B$32:$B$49,$J561,Tank2!$C$32:$C$49)*Impacts!$F$9),0)</f>
        <v>0</v>
      </c>
      <c r="N561" s="10">
        <f>IF(Tank3!$C$23="No control",(SUMIF(Tank3!$B$32:$B$49,$J561,Tank3!$C$32:$C$49)*Impacts!$F$10),0)</f>
        <v>0</v>
      </c>
      <c r="O561" s="10">
        <f>IF(Tank4!$C$23="No control",(SUMIF(Tank4!$B$32:$B$49,$J561,Tank4!$C$32:$C$49)*Impacts!$F$11),0)</f>
        <v>0</v>
      </c>
      <c r="P561" s="10">
        <f>IF(Tank5!$C$23="No control",(SUMIF(Tank5!$B$32:$B$49,$J561,Tank5!$C$32:$C$49)*Impacts!$F$12),0)</f>
        <v>0</v>
      </c>
      <c r="Q561" s="10">
        <f>IFERROR(IF(('Loading-drum,tote'!$C$21)="No control",SUMIF(('Loading-drum,tote'!$B$31:$B$48),$J561,('Loading-drum,tote'!$D$31:$D$48))*Impacts!$F$13,IF(('Loading-drum,tote'!$C$21)&lt;&gt;"No control",SUMIF(('Loading-drum,tote'!$B$31:$B$48),$J561,('Loading-drum,tote'!$E$31:$E$48))*Impacts!$F$13,0)),0)</f>
        <v>0</v>
      </c>
      <c r="R561" s="10">
        <f>IFERROR(IF(('Loading-truck'!$C$21)="No control",SUMIF(('Loading-truck'!$B$31:$B$48),$J561,('Loading-truck'!$D$31:$D$48))*Impacts!$F$14,IF(('Loading-truck'!$C$21)&lt;&gt;"No control",SUMIF(('Loading-truck'!$B$31:$B$48),$J561,('Loading-truck'!$E$31:$E$48))*Impacts!$F$14,0)),0)</f>
        <v>0</v>
      </c>
      <c r="S561" s="10">
        <f>IFERROR(IF(('Loading-rail'!$C$21)="No control",SUMIF(('Loading-rail'!$B$31:$B$48),$J561,('Loading-rail'!$D$31:$D$48))*Impacts!$F$15,IF(('Loading-rail'!$C$21)&lt;&gt;"No control",SUMIF(('Loading-rail'!$B$31:$B$48),$J561,('Loading-rail'!$E$31:$E$48))*Impacts!$F$15,0)),0)</f>
        <v>0</v>
      </c>
      <c r="T561" s="10">
        <f>IF(Flare!$C$7="",0,(SUMIF(Flare!$B$46:$B$185,$J561,Flare!$E$46:$E$185)*Impacts!$F$16))</f>
        <v>0</v>
      </c>
      <c r="U561" s="10">
        <f>IF(VCU!$C$9="",0,(SUMIF(VCU!$B$51:$B$193,$J561,VCU!$E$51:$E$193)*Impacts!$F$17))</f>
        <v>0</v>
      </c>
      <c r="V561" s="10">
        <f>IF(CAS!$C$7="",0,(SUMIF(CAS!$B$31:$B$167,$J561,CAS!$E$31:$E$167)*Impacts!$F$18))</f>
        <v>0</v>
      </c>
      <c r="W561" s="10">
        <f t="shared" si="50"/>
        <v>0</v>
      </c>
      <c r="AK561" s="10" t="str">
        <f t="array" ref="AK561">IFERROR(INDEX(SelectedSpecies,SMALL(IF(SelectedSpecies=AK$1,ROW(SelectedSpecies)),ROW(562:562)),2),"")</f>
        <v/>
      </c>
      <c r="BE561" s="10"/>
      <c r="BI561" s="10"/>
    </row>
    <row r="562" spans="1:61" ht="21" customHeight="1" x14ac:dyDescent="0.25">
      <c r="A562" s="10"/>
      <c r="B562" s="10"/>
      <c r="E562" s="10"/>
      <c r="G562" s="10"/>
      <c r="I562" s="436" t="s">
        <v>1939</v>
      </c>
      <c r="J562" s="26" t="s">
        <v>1938</v>
      </c>
      <c r="K562" s="10">
        <v>18</v>
      </c>
      <c r="L562" s="73">
        <f>IF(Tank1!$C$23="No control",(SUMIF(Tank1!$B$32:$B$49,$J562,Tank1!$C$32:$C$49)*Impacts!$F$8),0)</f>
        <v>0</v>
      </c>
      <c r="M562" s="10">
        <f>IF(Tank2!$C$23="No control",(SUMIF(Tank2!$B$32:$B$49,$J562,Tank2!$C$32:$C$49)*Impacts!$F$9),0)</f>
        <v>0</v>
      </c>
      <c r="N562" s="10">
        <f>IF(Tank3!$C$23="No control",(SUMIF(Tank3!$B$32:$B$49,$J562,Tank3!$C$32:$C$49)*Impacts!$F$10),0)</f>
        <v>0</v>
      </c>
      <c r="O562" s="10">
        <f>IF(Tank4!$C$23="No control",(SUMIF(Tank4!$B$32:$B$49,$J562,Tank4!$C$32:$C$49)*Impacts!$F$11),0)</f>
        <v>0</v>
      </c>
      <c r="P562" s="10">
        <f>IF(Tank5!$C$23="No control",(SUMIF(Tank5!$B$32:$B$49,$J562,Tank5!$C$32:$C$49)*Impacts!$F$12),0)</f>
        <v>0</v>
      </c>
      <c r="Q562" s="10">
        <f>IFERROR(IF(('Loading-drum,tote'!$C$21)="No control",SUMIF(('Loading-drum,tote'!$B$31:$B$48),$J562,('Loading-drum,tote'!$D$31:$D$48))*Impacts!$F$13,IF(('Loading-drum,tote'!$C$21)&lt;&gt;"No control",SUMIF(('Loading-drum,tote'!$B$31:$B$48),$J562,('Loading-drum,tote'!$E$31:$E$48))*Impacts!$F$13,0)),0)</f>
        <v>0</v>
      </c>
      <c r="R562" s="10">
        <f>IFERROR(IF(('Loading-truck'!$C$21)="No control",SUMIF(('Loading-truck'!$B$31:$B$48),$J562,('Loading-truck'!$D$31:$D$48))*Impacts!$F$14,IF(('Loading-truck'!$C$21)&lt;&gt;"No control",SUMIF(('Loading-truck'!$B$31:$B$48),$J562,('Loading-truck'!$E$31:$E$48))*Impacts!$F$14,0)),0)</f>
        <v>0</v>
      </c>
      <c r="S562" s="10">
        <f>IFERROR(IF(('Loading-rail'!$C$21)="No control",SUMIF(('Loading-rail'!$B$31:$B$48),$J562,('Loading-rail'!$D$31:$D$48))*Impacts!$F$15,IF(('Loading-rail'!$C$21)&lt;&gt;"No control",SUMIF(('Loading-rail'!$B$31:$B$48),$J562,('Loading-rail'!$E$31:$E$48))*Impacts!$F$15,0)),0)</f>
        <v>0</v>
      </c>
      <c r="T562" s="10">
        <f>IF(Flare!$C$7="",0,(SUMIF(Flare!$B$46:$B$185,$J562,Flare!$E$46:$E$185)*Impacts!$F$16))</f>
        <v>0</v>
      </c>
      <c r="U562" s="10">
        <f>IF(VCU!$C$9="",0,(SUMIF(VCU!$B$51:$B$193,$J562,VCU!$E$51:$E$193)*Impacts!$F$17))</f>
        <v>0</v>
      </c>
      <c r="V562" s="10">
        <f>IF(CAS!$C$7="",0,(SUMIF(CAS!$B$31:$B$167,$J562,CAS!$E$31:$E$167)*Impacts!$F$18))</f>
        <v>0</v>
      </c>
      <c r="W562" s="10">
        <f t="shared" si="50"/>
        <v>0</v>
      </c>
      <c r="AK562" s="10" t="str">
        <f t="array" ref="AK562">IFERROR(INDEX(SelectedSpecies,SMALL(IF(SelectedSpecies=AK$1,ROW(SelectedSpecies)),ROW(563:563)),2),"")</f>
        <v/>
      </c>
      <c r="BE562" s="10"/>
      <c r="BI562" s="10"/>
    </row>
    <row r="563" spans="1:61" ht="21" customHeight="1" x14ac:dyDescent="0.25">
      <c r="A563" s="10"/>
      <c r="B563" s="10"/>
      <c r="E563" s="10"/>
      <c r="G563" s="10"/>
      <c r="I563" s="436" t="s">
        <v>355</v>
      </c>
      <c r="J563" s="26" t="s">
        <v>354</v>
      </c>
      <c r="K563" s="10">
        <v>370</v>
      </c>
      <c r="L563" s="73">
        <f>IF(Tank1!$C$23="No control",(SUMIF(Tank1!$B$32:$B$49,$J563,Tank1!$C$32:$C$49)*Impacts!$F$8),0)</f>
        <v>0</v>
      </c>
      <c r="M563" s="10">
        <f>IF(Tank2!$C$23="No control",(SUMIF(Tank2!$B$32:$B$49,$J563,Tank2!$C$32:$C$49)*Impacts!$F$9),0)</f>
        <v>0</v>
      </c>
      <c r="N563" s="10">
        <f>IF(Tank3!$C$23="No control",(SUMIF(Tank3!$B$32:$B$49,$J563,Tank3!$C$32:$C$49)*Impacts!$F$10),0)</f>
        <v>0</v>
      </c>
      <c r="O563" s="10">
        <f>IF(Tank4!$C$23="No control",(SUMIF(Tank4!$B$32:$B$49,$J563,Tank4!$C$32:$C$49)*Impacts!$F$11),0)</f>
        <v>0</v>
      </c>
      <c r="P563" s="10">
        <f>IF(Tank5!$C$23="No control",(SUMIF(Tank5!$B$32:$B$49,$J563,Tank5!$C$32:$C$49)*Impacts!$F$12),0)</f>
        <v>0</v>
      </c>
      <c r="Q563" s="10">
        <f>IFERROR(IF(('Loading-drum,tote'!$C$21)="No control",SUMIF(('Loading-drum,tote'!$B$31:$B$48),$J563,('Loading-drum,tote'!$D$31:$D$48))*Impacts!$F$13,IF(('Loading-drum,tote'!$C$21)&lt;&gt;"No control",SUMIF(('Loading-drum,tote'!$B$31:$B$48),$J563,('Loading-drum,tote'!$E$31:$E$48))*Impacts!$F$13,0)),0)</f>
        <v>0</v>
      </c>
      <c r="R563" s="10">
        <f>IFERROR(IF(('Loading-truck'!$C$21)="No control",SUMIF(('Loading-truck'!$B$31:$B$48),$J563,('Loading-truck'!$D$31:$D$48))*Impacts!$F$14,IF(('Loading-truck'!$C$21)&lt;&gt;"No control",SUMIF(('Loading-truck'!$B$31:$B$48),$J563,('Loading-truck'!$E$31:$E$48))*Impacts!$F$14,0)),0)</f>
        <v>0</v>
      </c>
      <c r="S563" s="10">
        <f>IFERROR(IF(('Loading-rail'!$C$21)="No control",SUMIF(('Loading-rail'!$B$31:$B$48),$J563,('Loading-rail'!$D$31:$D$48))*Impacts!$F$15,IF(('Loading-rail'!$C$21)&lt;&gt;"No control",SUMIF(('Loading-rail'!$B$31:$B$48),$J563,('Loading-rail'!$E$31:$E$48))*Impacts!$F$15,0)),0)</f>
        <v>0</v>
      </c>
      <c r="T563" s="10">
        <f>IF(Flare!$C$7="",0,(SUMIF(Flare!$B$46:$B$185,$J563,Flare!$E$46:$E$185)*Impacts!$F$16))</f>
        <v>0</v>
      </c>
      <c r="U563" s="10">
        <f>IF(VCU!$C$9="",0,(SUMIF(VCU!$B$51:$B$193,$J563,VCU!$E$51:$E$193)*Impacts!$F$17))</f>
        <v>0</v>
      </c>
      <c r="V563" s="10">
        <f>IF(CAS!$C$7="",0,(SUMIF(CAS!$B$31:$B$167,$J563,CAS!$E$31:$E$167)*Impacts!$F$18))</f>
        <v>0</v>
      </c>
      <c r="W563" s="10">
        <f t="shared" si="50"/>
        <v>0</v>
      </c>
      <c r="AK563" s="10" t="str">
        <f t="array" ref="AK563">IFERROR(INDEX(SelectedSpecies,SMALL(IF(SelectedSpecies=AK$1,ROW(SelectedSpecies)),ROW(564:564)),2),"")</f>
        <v/>
      </c>
      <c r="BE563" s="10"/>
      <c r="BI563" s="10"/>
    </row>
    <row r="564" spans="1:61" ht="21" customHeight="1" x14ac:dyDescent="0.25">
      <c r="A564" s="10"/>
      <c r="B564" s="10"/>
      <c r="E564" s="10"/>
      <c r="G564" s="10"/>
      <c r="I564" s="436" t="s">
        <v>357</v>
      </c>
      <c r="J564" s="26" t="s">
        <v>356</v>
      </c>
      <c r="K564" s="10">
        <v>370</v>
      </c>
      <c r="L564" s="73">
        <f>IF(Tank1!$C$23="No control",(SUMIF(Tank1!$B$32:$B$49,$J564,Tank1!$C$32:$C$49)*Impacts!$F$8),0)</f>
        <v>0</v>
      </c>
      <c r="M564" s="10">
        <f>IF(Tank2!$C$23="No control",(SUMIF(Tank2!$B$32:$B$49,$J564,Tank2!$C$32:$C$49)*Impacts!$F$9),0)</f>
        <v>0</v>
      </c>
      <c r="N564" s="10">
        <f>IF(Tank3!$C$23="No control",(SUMIF(Tank3!$B$32:$B$49,$J564,Tank3!$C$32:$C$49)*Impacts!$F$10),0)</f>
        <v>0</v>
      </c>
      <c r="O564" s="10">
        <f>IF(Tank4!$C$23="No control",(SUMIF(Tank4!$B$32:$B$49,$J564,Tank4!$C$32:$C$49)*Impacts!$F$11),0)</f>
        <v>0</v>
      </c>
      <c r="P564" s="10">
        <f>IF(Tank5!$C$23="No control",(SUMIF(Tank5!$B$32:$B$49,$J564,Tank5!$C$32:$C$49)*Impacts!$F$12),0)</f>
        <v>0</v>
      </c>
      <c r="Q564" s="10">
        <f>IFERROR(IF(('Loading-drum,tote'!$C$21)="No control",SUMIF(('Loading-drum,tote'!$B$31:$B$48),$J564,('Loading-drum,tote'!$D$31:$D$48))*Impacts!$F$13,IF(('Loading-drum,tote'!$C$21)&lt;&gt;"No control",SUMIF(('Loading-drum,tote'!$B$31:$B$48),$J564,('Loading-drum,tote'!$E$31:$E$48))*Impacts!$F$13,0)),0)</f>
        <v>0</v>
      </c>
      <c r="R564" s="10">
        <f>IFERROR(IF(('Loading-truck'!$C$21)="No control",SUMIF(('Loading-truck'!$B$31:$B$48),$J564,('Loading-truck'!$D$31:$D$48))*Impacts!$F$14,IF(('Loading-truck'!$C$21)&lt;&gt;"No control",SUMIF(('Loading-truck'!$B$31:$B$48),$J564,('Loading-truck'!$E$31:$E$48))*Impacts!$F$14,0)),0)</f>
        <v>0</v>
      </c>
      <c r="S564" s="10">
        <f>IFERROR(IF(('Loading-rail'!$C$21)="No control",SUMIF(('Loading-rail'!$B$31:$B$48),$J564,('Loading-rail'!$D$31:$D$48))*Impacts!$F$15,IF(('Loading-rail'!$C$21)&lt;&gt;"No control",SUMIF(('Loading-rail'!$B$31:$B$48),$J564,('Loading-rail'!$E$31:$E$48))*Impacts!$F$15,0)),0)</f>
        <v>0</v>
      </c>
      <c r="T564" s="10">
        <f>IF(Flare!$C$7="",0,(SUMIF(Flare!$B$46:$B$185,$J564,Flare!$E$46:$E$185)*Impacts!$F$16))</f>
        <v>0</v>
      </c>
      <c r="U564" s="10">
        <f>IF(VCU!$C$9="",0,(SUMIF(VCU!$B$51:$B$193,$J564,VCU!$E$51:$E$193)*Impacts!$F$17))</f>
        <v>0</v>
      </c>
      <c r="V564" s="10">
        <f>IF(CAS!$C$7="",0,(SUMIF(CAS!$B$31:$B$167,$J564,CAS!$E$31:$E$167)*Impacts!$F$18))</f>
        <v>0</v>
      </c>
      <c r="W564" s="10">
        <f t="shared" si="50"/>
        <v>0</v>
      </c>
      <c r="AK564" s="10" t="str">
        <f t="array" ref="AK564">IFERROR(INDEX(SelectedSpecies,SMALL(IF(SelectedSpecies=AK$1,ROW(SelectedSpecies)),ROW(565:565)),2),"")</f>
        <v/>
      </c>
      <c r="BE564" s="10"/>
      <c r="BI564" s="10"/>
    </row>
    <row r="565" spans="1:61" ht="21" customHeight="1" x14ac:dyDescent="0.25">
      <c r="A565" s="10"/>
      <c r="B565" s="10"/>
      <c r="E565" s="10"/>
      <c r="G565" s="10"/>
      <c r="I565" s="436" t="s">
        <v>2077</v>
      </c>
      <c r="J565" s="26" t="s">
        <v>2076</v>
      </c>
      <c r="K565" s="10">
        <v>15</v>
      </c>
      <c r="L565" s="73">
        <f>IF(Tank1!$C$23="No control",(SUMIF(Tank1!$B$32:$B$49,$J565,Tank1!$C$32:$C$49)*Impacts!$F$8),0)</f>
        <v>0</v>
      </c>
      <c r="M565" s="10">
        <f>IF(Tank2!$C$23="No control",(SUMIF(Tank2!$B$32:$B$49,$J565,Tank2!$C$32:$C$49)*Impacts!$F$9),0)</f>
        <v>0</v>
      </c>
      <c r="N565" s="10">
        <f>IF(Tank3!$C$23="No control",(SUMIF(Tank3!$B$32:$B$49,$J565,Tank3!$C$32:$C$49)*Impacts!$F$10),0)</f>
        <v>0</v>
      </c>
      <c r="O565" s="10">
        <f>IF(Tank4!$C$23="No control",(SUMIF(Tank4!$B$32:$B$49,$J565,Tank4!$C$32:$C$49)*Impacts!$F$11),0)</f>
        <v>0</v>
      </c>
      <c r="P565" s="10">
        <f>IF(Tank5!$C$23="No control",(SUMIF(Tank5!$B$32:$B$49,$J565,Tank5!$C$32:$C$49)*Impacts!$F$12),0)</f>
        <v>0</v>
      </c>
      <c r="Q565" s="10">
        <f>IFERROR(IF(('Loading-drum,tote'!$C$21)="No control",SUMIF(('Loading-drum,tote'!$B$31:$B$48),$J565,('Loading-drum,tote'!$D$31:$D$48))*Impacts!$F$13,IF(('Loading-drum,tote'!$C$21)&lt;&gt;"No control",SUMIF(('Loading-drum,tote'!$B$31:$B$48),$J565,('Loading-drum,tote'!$E$31:$E$48))*Impacts!$F$13,0)),0)</f>
        <v>0</v>
      </c>
      <c r="R565" s="10">
        <f>IFERROR(IF(('Loading-truck'!$C$21)="No control",SUMIF(('Loading-truck'!$B$31:$B$48),$J565,('Loading-truck'!$D$31:$D$48))*Impacts!$F$14,IF(('Loading-truck'!$C$21)&lt;&gt;"No control",SUMIF(('Loading-truck'!$B$31:$B$48),$J565,('Loading-truck'!$E$31:$E$48))*Impacts!$F$14,0)),0)</f>
        <v>0</v>
      </c>
      <c r="S565" s="10">
        <f>IFERROR(IF(('Loading-rail'!$C$21)="No control",SUMIF(('Loading-rail'!$B$31:$B$48),$J565,('Loading-rail'!$D$31:$D$48))*Impacts!$F$15,IF(('Loading-rail'!$C$21)&lt;&gt;"No control",SUMIF(('Loading-rail'!$B$31:$B$48),$J565,('Loading-rail'!$E$31:$E$48))*Impacts!$F$15,0)),0)</f>
        <v>0</v>
      </c>
      <c r="T565" s="10">
        <f>IF(Flare!$C$7="",0,(SUMIF(Flare!$B$46:$B$185,$J565,Flare!$E$46:$E$185)*Impacts!$F$16))</f>
        <v>0</v>
      </c>
      <c r="U565" s="10">
        <f>IF(VCU!$C$9="",0,(SUMIF(VCU!$B$51:$B$193,$J565,VCU!$E$51:$E$193)*Impacts!$F$17))</f>
        <v>0</v>
      </c>
      <c r="V565" s="10">
        <f>IF(CAS!$C$7="",0,(SUMIF(CAS!$B$31:$B$167,$J565,CAS!$E$31:$E$167)*Impacts!$F$18))</f>
        <v>0</v>
      </c>
      <c r="W565" s="10">
        <f t="shared" si="50"/>
        <v>0</v>
      </c>
      <c r="AK565" s="10" t="str">
        <f t="array" ref="AK565">IFERROR(INDEX(SelectedSpecies,SMALL(IF(SelectedSpecies=AK$1,ROW(SelectedSpecies)),ROW(566:566)),2),"")</f>
        <v/>
      </c>
      <c r="BE565" s="10"/>
      <c r="BI565" s="10"/>
    </row>
    <row r="566" spans="1:61" ht="21" customHeight="1" x14ac:dyDescent="0.25">
      <c r="A566" s="10"/>
      <c r="B566" s="10"/>
      <c r="E566" s="10"/>
      <c r="G566" s="10"/>
      <c r="I566" s="436" t="s">
        <v>1941</v>
      </c>
      <c r="J566" s="26" t="s">
        <v>1940</v>
      </c>
      <c r="K566" s="10">
        <v>18</v>
      </c>
      <c r="L566" s="73">
        <f>IF(Tank1!$C$23="No control",(SUMIF(Tank1!$B$32:$B$49,$J566,Tank1!$C$32:$C$49)*Impacts!$F$8),0)</f>
        <v>0</v>
      </c>
      <c r="M566" s="10">
        <f>IF(Tank2!$C$23="No control",(SUMIF(Tank2!$B$32:$B$49,$J566,Tank2!$C$32:$C$49)*Impacts!$F$9),0)</f>
        <v>0</v>
      </c>
      <c r="N566" s="10">
        <f>IF(Tank3!$C$23="No control",(SUMIF(Tank3!$B$32:$B$49,$J566,Tank3!$C$32:$C$49)*Impacts!$F$10),0)</f>
        <v>0</v>
      </c>
      <c r="O566" s="10">
        <f>IF(Tank4!$C$23="No control",(SUMIF(Tank4!$B$32:$B$49,$J566,Tank4!$C$32:$C$49)*Impacts!$F$11),0)</f>
        <v>0</v>
      </c>
      <c r="P566" s="10">
        <f>IF(Tank5!$C$23="No control",(SUMIF(Tank5!$B$32:$B$49,$J566,Tank5!$C$32:$C$49)*Impacts!$F$12),0)</f>
        <v>0</v>
      </c>
      <c r="Q566" s="10">
        <f>IFERROR(IF(('Loading-drum,tote'!$C$21)="No control",SUMIF(('Loading-drum,tote'!$B$31:$B$48),$J566,('Loading-drum,tote'!$D$31:$D$48))*Impacts!$F$13,IF(('Loading-drum,tote'!$C$21)&lt;&gt;"No control",SUMIF(('Loading-drum,tote'!$B$31:$B$48),$J566,('Loading-drum,tote'!$E$31:$E$48))*Impacts!$F$13,0)),0)</f>
        <v>0</v>
      </c>
      <c r="R566" s="10">
        <f>IFERROR(IF(('Loading-truck'!$C$21)="No control",SUMIF(('Loading-truck'!$B$31:$B$48),$J566,('Loading-truck'!$D$31:$D$48))*Impacts!$F$14,IF(('Loading-truck'!$C$21)&lt;&gt;"No control",SUMIF(('Loading-truck'!$B$31:$B$48),$J566,('Loading-truck'!$E$31:$E$48))*Impacts!$F$14,0)),0)</f>
        <v>0</v>
      </c>
      <c r="S566" s="10">
        <f>IFERROR(IF(('Loading-rail'!$C$21)="No control",SUMIF(('Loading-rail'!$B$31:$B$48),$J566,('Loading-rail'!$D$31:$D$48))*Impacts!$F$15,IF(('Loading-rail'!$C$21)&lt;&gt;"No control",SUMIF(('Loading-rail'!$B$31:$B$48),$J566,('Loading-rail'!$E$31:$E$48))*Impacts!$F$15,0)),0)</f>
        <v>0</v>
      </c>
      <c r="T566" s="10">
        <f>IF(Flare!$C$7="",0,(SUMIF(Flare!$B$46:$B$185,$J566,Flare!$E$46:$E$185)*Impacts!$F$16))</f>
        <v>0</v>
      </c>
      <c r="U566" s="10">
        <f>IF(VCU!$C$9="",0,(SUMIF(VCU!$B$51:$B$193,$J566,VCU!$E$51:$E$193)*Impacts!$F$17))</f>
        <v>0</v>
      </c>
      <c r="V566" s="10">
        <f>IF(CAS!$C$7="",0,(SUMIF(CAS!$B$31:$B$167,$J566,CAS!$E$31:$E$167)*Impacts!$F$18))</f>
        <v>0</v>
      </c>
      <c r="W566" s="10">
        <f t="shared" si="50"/>
        <v>0</v>
      </c>
      <c r="AK566" s="10" t="str">
        <f t="array" ref="AK566">IFERROR(INDEX(SelectedSpecies,SMALL(IF(SelectedSpecies=AK$1,ROW(SelectedSpecies)),ROW(567:567)),2),"")</f>
        <v/>
      </c>
      <c r="BE566" s="10"/>
      <c r="BI566" s="10"/>
    </row>
    <row r="567" spans="1:61" ht="21" customHeight="1" x14ac:dyDescent="0.25">
      <c r="A567" s="10"/>
      <c r="B567" s="10"/>
      <c r="E567" s="10"/>
      <c r="G567" s="10"/>
      <c r="I567" s="436" t="s">
        <v>7806</v>
      </c>
      <c r="J567" s="26" t="s">
        <v>7805</v>
      </c>
      <c r="K567" s="10">
        <v>8.0000000000000016E-2</v>
      </c>
      <c r="L567" s="73">
        <f>IF(Tank1!$C$23="No control",(SUMIF(Tank1!$B$32:$B$49,$J567,Tank1!$C$32:$C$49)*Impacts!$F$8),0)</f>
        <v>0</v>
      </c>
      <c r="M567" s="10">
        <f>IF(Tank2!$C$23="No control",(SUMIF(Tank2!$B$32:$B$49,$J567,Tank2!$C$32:$C$49)*Impacts!$F$9),0)</f>
        <v>0</v>
      </c>
      <c r="N567" s="10">
        <f>IF(Tank3!$C$23="No control",(SUMIF(Tank3!$B$32:$B$49,$J567,Tank3!$C$32:$C$49)*Impacts!$F$10),0)</f>
        <v>0</v>
      </c>
      <c r="O567" s="10">
        <f>IF(Tank4!$C$23="No control",(SUMIF(Tank4!$B$32:$B$49,$J567,Tank4!$C$32:$C$49)*Impacts!$F$11),0)</f>
        <v>0</v>
      </c>
      <c r="P567" s="10">
        <f>IF(Tank5!$C$23="No control",(SUMIF(Tank5!$B$32:$B$49,$J567,Tank5!$C$32:$C$49)*Impacts!$F$12),0)</f>
        <v>0</v>
      </c>
      <c r="Q567" s="10">
        <f>IFERROR(IF(('Loading-drum,tote'!$C$21)="No control",SUMIF(('Loading-drum,tote'!$B$31:$B$48),$J567,('Loading-drum,tote'!$D$31:$D$48))*Impacts!$F$13,IF(('Loading-drum,tote'!$C$21)&lt;&gt;"No control",SUMIF(('Loading-drum,tote'!$B$31:$B$48),$J567,('Loading-drum,tote'!$E$31:$E$48))*Impacts!$F$13,0)),0)</f>
        <v>0</v>
      </c>
      <c r="R567" s="10">
        <f>IFERROR(IF(('Loading-truck'!$C$21)="No control",SUMIF(('Loading-truck'!$B$31:$B$48),$J567,('Loading-truck'!$D$31:$D$48))*Impacts!$F$14,IF(('Loading-truck'!$C$21)&lt;&gt;"No control",SUMIF(('Loading-truck'!$B$31:$B$48),$J567,('Loading-truck'!$E$31:$E$48))*Impacts!$F$14,0)),0)</f>
        <v>0</v>
      </c>
      <c r="S567" s="10">
        <f>IFERROR(IF(('Loading-rail'!$C$21)="No control",SUMIF(('Loading-rail'!$B$31:$B$48),$J567,('Loading-rail'!$D$31:$D$48))*Impacts!$F$15,IF(('Loading-rail'!$C$21)&lt;&gt;"No control",SUMIF(('Loading-rail'!$B$31:$B$48),$J567,('Loading-rail'!$E$31:$E$48))*Impacts!$F$15,0)),0)</f>
        <v>0</v>
      </c>
      <c r="T567" s="10">
        <f>IF(Flare!$C$7="",0,(SUMIF(Flare!$B$46:$B$185,$J567,Flare!$E$46:$E$185)*Impacts!$F$16))</f>
        <v>0</v>
      </c>
      <c r="U567" s="10">
        <f>IF(VCU!$C$9="",0,(SUMIF(VCU!$B$51:$B$193,$J567,VCU!$E$51:$E$193)*Impacts!$F$17))</f>
        <v>0</v>
      </c>
      <c r="V567" s="10">
        <f>IF(CAS!$C$7="",0,(SUMIF(CAS!$B$31:$B$167,$J567,CAS!$E$31:$E$167)*Impacts!$F$18))</f>
        <v>0</v>
      </c>
      <c r="W567" s="10">
        <f t="shared" si="50"/>
        <v>0</v>
      </c>
      <c r="AK567" s="10" t="str">
        <f t="array" ref="AK567">IFERROR(INDEX(SelectedSpecies,SMALL(IF(SelectedSpecies=AK$1,ROW(SelectedSpecies)),ROW(568:568)),2),"")</f>
        <v/>
      </c>
      <c r="BE567" s="10"/>
      <c r="BI567" s="10"/>
    </row>
    <row r="568" spans="1:61" ht="21" customHeight="1" x14ac:dyDescent="0.25">
      <c r="A568" s="10"/>
      <c r="B568" s="10"/>
      <c r="E568" s="10"/>
      <c r="G568" s="10"/>
      <c r="I568" s="436" t="s">
        <v>4629</v>
      </c>
      <c r="J568" s="26" t="s">
        <v>4628</v>
      </c>
      <c r="K568" s="10">
        <v>4</v>
      </c>
      <c r="L568" s="73">
        <f>IF(Tank1!$C$23="No control",(SUMIF(Tank1!$B$32:$B$49,$J568,Tank1!$C$32:$C$49)*Impacts!$F$8),0)</f>
        <v>0</v>
      </c>
      <c r="M568" s="10">
        <f>IF(Tank2!$C$23="No control",(SUMIF(Tank2!$B$32:$B$49,$J568,Tank2!$C$32:$C$49)*Impacts!$F$9),0)</f>
        <v>0</v>
      </c>
      <c r="N568" s="10">
        <f>IF(Tank3!$C$23="No control",(SUMIF(Tank3!$B$32:$B$49,$J568,Tank3!$C$32:$C$49)*Impacts!$F$10),0)</f>
        <v>0</v>
      </c>
      <c r="O568" s="10">
        <f>IF(Tank4!$C$23="No control",(SUMIF(Tank4!$B$32:$B$49,$J568,Tank4!$C$32:$C$49)*Impacts!$F$11),0)</f>
        <v>0</v>
      </c>
      <c r="P568" s="10">
        <f>IF(Tank5!$C$23="No control",(SUMIF(Tank5!$B$32:$B$49,$J568,Tank5!$C$32:$C$49)*Impacts!$F$12),0)</f>
        <v>0</v>
      </c>
      <c r="Q568" s="10">
        <f>IFERROR(IF(('Loading-drum,tote'!$C$21)="No control",SUMIF(('Loading-drum,tote'!$B$31:$B$48),$J568,('Loading-drum,tote'!$D$31:$D$48))*Impacts!$F$13,IF(('Loading-drum,tote'!$C$21)&lt;&gt;"No control",SUMIF(('Loading-drum,tote'!$B$31:$B$48),$J568,('Loading-drum,tote'!$E$31:$E$48))*Impacts!$F$13,0)),0)</f>
        <v>0</v>
      </c>
      <c r="R568" s="10">
        <f>IFERROR(IF(('Loading-truck'!$C$21)="No control",SUMIF(('Loading-truck'!$B$31:$B$48),$J568,('Loading-truck'!$D$31:$D$48))*Impacts!$F$14,IF(('Loading-truck'!$C$21)&lt;&gt;"No control",SUMIF(('Loading-truck'!$B$31:$B$48),$J568,('Loading-truck'!$E$31:$E$48))*Impacts!$F$14,0)),0)</f>
        <v>0</v>
      </c>
      <c r="S568" s="10">
        <f>IFERROR(IF(('Loading-rail'!$C$21)="No control",SUMIF(('Loading-rail'!$B$31:$B$48),$J568,('Loading-rail'!$D$31:$D$48))*Impacts!$F$15,IF(('Loading-rail'!$C$21)&lt;&gt;"No control",SUMIF(('Loading-rail'!$B$31:$B$48),$J568,('Loading-rail'!$E$31:$E$48))*Impacts!$F$15,0)),0)</f>
        <v>0</v>
      </c>
      <c r="T568" s="10">
        <f>IF(Flare!$C$7="",0,(SUMIF(Flare!$B$46:$B$185,$J568,Flare!$E$46:$E$185)*Impacts!$F$16))</f>
        <v>0</v>
      </c>
      <c r="U568" s="10">
        <f>IF(VCU!$C$9="",0,(SUMIF(VCU!$B$51:$B$193,$J568,VCU!$E$51:$E$193)*Impacts!$F$17))</f>
        <v>0</v>
      </c>
      <c r="V568" s="10">
        <f>IF(CAS!$C$7="",0,(SUMIF(CAS!$B$31:$B$167,$J568,CAS!$E$31:$E$167)*Impacts!$F$18))</f>
        <v>0</v>
      </c>
      <c r="W568" s="10">
        <f t="shared" si="50"/>
        <v>0</v>
      </c>
      <c r="AK568" s="10" t="str">
        <f t="array" ref="AK568">IFERROR(INDEX(SelectedSpecies,SMALL(IF(SelectedSpecies=AK$1,ROW(SelectedSpecies)),ROW(569:569)),2),"")</f>
        <v/>
      </c>
      <c r="BE568" s="10"/>
      <c r="BI568" s="10"/>
    </row>
    <row r="569" spans="1:61" ht="21" customHeight="1" x14ac:dyDescent="0.25">
      <c r="A569" s="10"/>
      <c r="B569" s="10"/>
      <c r="E569" s="10"/>
      <c r="G569" s="10"/>
      <c r="I569" s="436" t="s">
        <v>2419</v>
      </c>
      <c r="J569" s="26" t="s">
        <v>2418</v>
      </c>
      <c r="K569" s="10">
        <v>10</v>
      </c>
      <c r="L569" s="73">
        <f>IF(Tank1!$C$23="No control",(SUMIF(Tank1!$B$32:$B$49,$J569,Tank1!$C$32:$C$49)*Impacts!$F$8),0)</f>
        <v>0</v>
      </c>
      <c r="M569" s="10">
        <f>IF(Tank2!$C$23="No control",(SUMIF(Tank2!$B$32:$B$49,$J569,Tank2!$C$32:$C$49)*Impacts!$F$9),0)</f>
        <v>0</v>
      </c>
      <c r="N569" s="10">
        <f>IF(Tank3!$C$23="No control",(SUMIF(Tank3!$B$32:$B$49,$J569,Tank3!$C$32:$C$49)*Impacts!$F$10),0)</f>
        <v>0</v>
      </c>
      <c r="O569" s="10">
        <f>IF(Tank4!$C$23="No control",(SUMIF(Tank4!$B$32:$B$49,$J569,Tank4!$C$32:$C$49)*Impacts!$F$11),0)</f>
        <v>0</v>
      </c>
      <c r="P569" s="10">
        <f>IF(Tank5!$C$23="No control",(SUMIF(Tank5!$B$32:$B$49,$J569,Tank5!$C$32:$C$49)*Impacts!$F$12),0)</f>
        <v>0</v>
      </c>
      <c r="Q569" s="10">
        <f>IFERROR(IF(('Loading-drum,tote'!$C$21)="No control",SUMIF(('Loading-drum,tote'!$B$31:$B$48),$J569,('Loading-drum,tote'!$D$31:$D$48))*Impacts!$F$13,IF(('Loading-drum,tote'!$C$21)&lt;&gt;"No control",SUMIF(('Loading-drum,tote'!$B$31:$B$48),$J569,('Loading-drum,tote'!$E$31:$E$48))*Impacts!$F$13,0)),0)</f>
        <v>0</v>
      </c>
      <c r="R569" s="10">
        <f>IFERROR(IF(('Loading-truck'!$C$21)="No control",SUMIF(('Loading-truck'!$B$31:$B$48),$J569,('Loading-truck'!$D$31:$D$48))*Impacts!$F$14,IF(('Loading-truck'!$C$21)&lt;&gt;"No control",SUMIF(('Loading-truck'!$B$31:$B$48),$J569,('Loading-truck'!$E$31:$E$48))*Impacts!$F$14,0)),0)</f>
        <v>0</v>
      </c>
      <c r="S569" s="10">
        <f>IFERROR(IF(('Loading-rail'!$C$21)="No control",SUMIF(('Loading-rail'!$B$31:$B$48),$J569,('Loading-rail'!$D$31:$D$48))*Impacts!$F$15,IF(('Loading-rail'!$C$21)&lt;&gt;"No control",SUMIF(('Loading-rail'!$B$31:$B$48),$J569,('Loading-rail'!$E$31:$E$48))*Impacts!$F$15,0)),0)</f>
        <v>0</v>
      </c>
      <c r="T569" s="10">
        <f>IF(Flare!$C$7="",0,(SUMIF(Flare!$B$46:$B$185,$J569,Flare!$E$46:$E$185)*Impacts!$F$16))</f>
        <v>0</v>
      </c>
      <c r="U569" s="10">
        <f>IF(VCU!$C$9="",0,(SUMIF(VCU!$B$51:$B$193,$J569,VCU!$E$51:$E$193)*Impacts!$F$17))</f>
        <v>0</v>
      </c>
      <c r="V569" s="10">
        <f>IF(CAS!$C$7="",0,(SUMIF(CAS!$B$31:$B$167,$J569,CAS!$E$31:$E$167)*Impacts!$F$18))</f>
        <v>0</v>
      </c>
      <c r="W569" s="10">
        <f t="shared" si="50"/>
        <v>0</v>
      </c>
      <c r="AK569" s="10" t="str">
        <f t="array" ref="AK569">IFERROR(INDEX(SelectedSpecies,SMALL(IF(SelectedSpecies=AK$1,ROW(SelectedSpecies)),ROW(570:570)),2),"")</f>
        <v/>
      </c>
      <c r="BE569" s="10"/>
      <c r="BI569" s="10"/>
    </row>
    <row r="570" spans="1:61" ht="21" customHeight="1" x14ac:dyDescent="0.25">
      <c r="A570" s="10"/>
      <c r="B570" s="10"/>
      <c r="E570" s="10"/>
      <c r="G570" s="10"/>
      <c r="I570" s="436" t="s">
        <v>5718</v>
      </c>
      <c r="J570" s="26" t="s">
        <v>5717</v>
      </c>
      <c r="K570" s="10">
        <v>1</v>
      </c>
      <c r="L570" s="73">
        <f>IF(Tank1!$C$23="No control",(SUMIF(Tank1!$B$32:$B$49,$J570,Tank1!$C$32:$C$49)*Impacts!$F$8),0)</f>
        <v>0</v>
      </c>
      <c r="M570" s="10">
        <f>IF(Tank2!$C$23="No control",(SUMIF(Tank2!$B$32:$B$49,$J570,Tank2!$C$32:$C$49)*Impacts!$F$9),0)</f>
        <v>0</v>
      </c>
      <c r="N570" s="10">
        <f>IF(Tank3!$C$23="No control",(SUMIF(Tank3!$B$32:$B$49,$J570,Tank3!$C$32:$C$49)*Impacts!$F$10),0)</f>
        <v>0</v>
      </c>
      <c r="O570" s="10">
        <f>IF(Tank4!$C$23="No control",(SUMIF(Tank4!$B$32:$B$49,$J570,Tank4!$C$32:$C$49)*Impacts!$F$11),0)</f>
        <v>0</v>
      </c>
      <c r="P570" s="10">
        <f>IF(Tank5!$C$23="No control",(SUMIF(Tank5!$B$32:$B$49,$J570,Tank5!$C$32:$C$49)*Impacts!$F$12),0)</f>
        <v>0</v>
      </c>
      <c r="Q570" s="10">
        <f>IFERROR(IF(('Loading-drum,tote'!$C$21)="No control",SUMIF(('Loading-drum,tote'!$B$31:$B$48),$J570,('Loading-drum,tote'!$D$31:$D$48))*Impacts!$F$13,IF(('Loading-drum,tote'!$C$21)&lt;&gt;"No control",SUMIF(('Loading-drum,tote'!$B$31:$B$48),$J570,('Loading-drum,tote'!$E$31:$E$48))*Impacts!$F$13,0)),0)</f>
        <v>0</v>
      </c>
      <c r="R570" s="10">
        <f>IFERROR(IF(('Loading-truck'!$C$21)="No control",SUMIF(('Loading-truck'!$B$31:$B$48),$J570,('Loading-truck'!$D$31:$D$48))*Impacts!$F$14,IF(('Loading-truck'!$C$21)&lt;&gt;"No control",SUMIF(('Loading-truck'!$B$31:$B$48),$J570,('Loading-truck'!$E$31:$E$48))*Impacts!$F$14,0)),0)</f>
        <v>0</v>
      </c>
      <c r="S570" s="10">
        <f>IFERROR(IF(('Loading-rail'!$C$21)="No control",SUMIF(('Loading-rail'!$B$31:$B$48),$J570,('Loading-rail'!$D$31:$D$48))*Impacts!$F$15,IF(('Loading-rail'!$C$21)&lt;&gt;"No control",SUMIF(('Loading-rail'!$B$31:$B$48),$J570,('Loading-rail'!$E$31:$E$48))*Impacts!$F$15,0)),0)</f>
        <v>0</v>
      </c>
      <c r="T570" s="10">
        <f>IF(Flare!$C$7="",0,(SUMIF(Flare!$B$46:$B$185,$J570,Flare!$E$46:$E$185)*Impacts!$F$16))</f>
        <v>0</v>
      </c>
      <c r="U570" s="10">
        <f>IF(VCU!$C$9="",0,(SUMIF(VCU!$B$51:$B$193,$J570,VCU!$E$51:$E$193)*Impacts!$F$17))</f>
        <v>0</v>
      </c>
      <c r="V570" s="10">
        <f>IF(CAS!$C$7="",0,(SUMIF(CAS!$B$31:$B$167,$J570,CAS!$E$31:$E$167)*Impacts!$F$18))</f>
        <v>0</v>
      </c>
      <c r="W570" s="10">
        <f t="shared" si="50"/>
        <v>0</v>
      </c>
      <c r="AK570" s="10" t="str">
        <f t="array" ref="AK570">IFERROR(INDEX(SelectedSpecies,SMALL(IF(SelectedSpecies=AK$1,ROW(SelectedSpecies)),ROW(571:571)),2),"")</f>
        <v/>
      </c>
      <c r="BE570" s="10"/>
      <c r="BI570" s="10"/>
    </row>
    <row r="571" spans="1:61" ht="21" customHeight="1" x14ac:dyDescent="0.25">
      <c r="A571" s="10"/>
      <c r="B571" s="10"/>
      <c r="E571" s="10"/>
      <c r="G571" s="10"/>
      <c r="I571" s="436" t="s">
        <v>3575</v>
      </c>
      <c r="J571" s="26" t="s">
        <v>3574</v>
      </c>
      <c r="K571" s="10">
        <v>8</v>
      </c>
      <c r="L571" s="73">
        <f>IF(Tank1!$C$23="No control",(SUMIF(Tank1!$B$32:$B$49,$J571,Tank1!$C$32:$C$49)*Impacts!$F$8),0)</f>
        <v>0</v>
      </c>
      <c r="M571" s="10">
        <f>IF(Tank2!$C$23="No control",(SUMIF(Tank2!$B$32:$B$49,$J571,Tank2!$C$32:$C$49)*Impacts!$F$9),0)</f>
        <v>0</v>
      </c>
      <c r="N571" s="10">
        <f>IF(Tank3!$C$23="No control",(SUMIF(Tank3!$B$32:$B$49,$J571,Tank3!$C$32:$C$49)*Impacts!$F$10),0)</f>
        <v>0</v>
      </c>
      <c r="O571" s="10">
        <f>IF(Tank4!$C$23="No control",(SUMIF(Tank4!$B$32:$B$49,$J571,Tank4!$C$32:$C$49)*Impacts!$F$11),0)</f>
        <v>0</v>
      </c>
      <c r="P571" s="10">
        <f>IF(Tank5!$C$23="No control",(SUMIF(Tank5!$B$32:$B$49,$J571,Tank5!$C$32:$C$49)*Impacts!$F$12),0)</f>
        <v>0</v>
      </c>
      <c r="Q571" s="10">
        <f>IFERROR(IF(('Loading-drum,tote'!$C$21)="No control",SUMIF(('Loading-drum,tote'!$B$31:$B$48),$J571,('Loading-drum,tote'!$D$31:$D$48))*Impacts!$F$13,IF(('Loading-drum,tote'!$C$21)&lt;&gt;"No control",SUMIF(('Loading-drum,tote'!$B$31:$B$48),$J571,('Loading-drum,tote'!$E$31:$E$48))*Impacts!$F$13,0)),0)</f>
        <v>0</v>
      </c>
      <c r="R571" s="10">
        <f>IFERROR(IF(('Loading-truck'!$C$21)="No control",SUMIF(('Loading-truck'!$B$31:$B$48),$J571,('Loading-truck'!$D$31:$D$48))*Impacts!$F$14,IF(('Loading-truck'!$C$21)&lt;&gt;"No control",SUMIF(('Loading-truck'!$B$31:$B$48),$J571,('Loading-truck'!$E$31:$E$48))*Impacts!$F$14,0)),0)</f>
        <v>0</v>
      </c>
      <c r="S571" s="10">
        <f>IFERROR(IF(('Loading-rail'!$C$21)="No control",SUMIF(('Loading-rail'!$B$31:$B$48),$J571,('Loading-rail'!$D$31:$D$48))*Impacts!$F$15,IF(('Loading-rail'!$C$21)&lt;&gt;"No control",SUMIF(('Loading-rail'!$B$31:$B$48),$J571,('Loading-rail'!$E$31:$E$48))*Impacts!$F$15,0)),0)</f>
        <v>0</v>
      </c>
      <c r="T571" s="10">
        <f>IF(Flare!$C$7="",0,(SUMIF(Flare!$B$46:$B$185,$J571,Flare!$E$46:$E$185)*Impacts!$F$16))</f>
        <v>0</v>
      </c>
      <c r="U571" s="10">
        <f>IF(VCU!$C$9="",0,(SUMIF(VCU!$B$51:$B$193,$J571,VCU!$E$51:$E$193)*Impacts!$F$17))</f>
        <v>0</v>
      </c>
      <c r="V571" s="10">
        <f>IF(CAS!$C$7="",0,(SUMIF(CAS!$B$31:$B$167,$J571,CAS!$E$31:$E$167)*Impacts!$F$18))</f>
        <v>0</v>
      </c>
      <c r="W571" s="10">
        <f t="shared" si="50"/>
        <v>0</v>
      </c>
      <c r="AK571" s="10" t="str">
        <f t="array" ref="AK571">IFERROR(INDEX(SelectedSpecies,SMALL(IF(SelectedSpecies=AK$1,ROW(SelectedSpecies)),ROW(572:572)),2),"")</f>
        <v/>
      </c>
      <c r="BE571" s="10"/>
      <c r="BI571" s="10"/>
    </row>
    <row r="572" spans="1:61" ht="21" customHeight="1" x14ac:dyDescent="0.25">
      <c r="A572" s="10"/>
      <c r="B572" s="10"/>
      <c r="E572" s="10"/>
      <c r="G572" s="10"/>
      <c r="I572" s="436" t="s">
        <v>2701</v>
      </c>
      <c r="J572" s="26" t="s">
        <v>2700</v>
      </c>
      <c r="K572" s="10">
        <v>10</v>
      </c>
      <c r="L572" s="73">
        <f>IF(Tank1!$C$23="No control",(SUMIF(Tank1!$B$32:$B$49,$J572,Tank1!$C$32:$C$49)*Impacts!$F$8),0)</f>
        <v>0</v>
      </c>
      <c r="M572" s="10">
        <f>IF(Tank2!$C$23="No control",(SUMIF(Tank2!$B$32:$B$49,$J572,Tank2!$C$32:$C$49)*Impacts!$F$9),0)</f>
        <v>0</v>
      </c>
      <c r="N572" s="10">
        <f>IF(Tank3!$C$23="No control",(SUMIF(Tank3!$B$32:$B$49,$J572,Tank3!$C$32:$C$49)*Impacts!$F$10),0)</f>
        <v>0</v>
      </c>
      <c r="O572" s="10">
        <f>IF(Tank4!$C$23="No control",(SUMIF(Tank4!$B$32:$B$49,$J572,Tank4!$C$32:$C$49)*Impacts!$F$11),0)</f>
        <v>0</v>
      </c>
      <c r="P572" s="10">
        <f>IF(Tank5!$C$23="No control",(SUMIF(Tank5!$B$32:$B$49,$J572,Tank5!$C$32:$C$49)*Impacts!$F$12),0)</f>
        <v>0</v>
      </c>
      <c r="Q572" s="10">
        <f>IFERROR(IF(('Loading-drum,tote'!$C$21)="No control",SUMIF(('Loading-drum,tote'!$B$31:$B$48),$J572,('Loading-drum,tote'!$D$31:$D$48))*Impacts!$F$13,IF(('Loading-drum,tote'!$C$21)&lt;&gt;"No control",SUMIF(('Loading-drum,tote'!$B$31:$B$48),$J572,('Loading-drum,tote'!$E$31:$E$48))*Impacts!$F$13,0)),0)</f>
        <v>0</v>
      </c>
      <c r="R572" s="10">
        <f>IFERROR(IF(('Loading-truck'!$C$21)="No control",SUMIF(('Loading-truck'!$B$31:$B$48),$J572,('Loading-truck'!$D$31:$D$48))*Impacts!$F$14,IF(('Loading-truck'!$C$21)&lt;&gt;"No control",SUMIF(('Loading-truck'!$B$31:$B$48),$J572,('Loading-truck'!$E$31:$E$48))*Impacts!$F$14,0)),0)</f>
        <v>0</v>
      </c>
      <c r="S572" s="10">
        <f>IFERROR(IF(('Loading-rail'!$C$21)="No control",SUMIF(('Loading-rail'!$B$31:$B$48),$J572,('Loading-rail'!$D$31:$D$48))*Impacts!$F$15,IF(('Loading-rail'!$C$21)&lt;&gt;"No control",SUMIF(('Loading-rail'!$B$31:$B$48),$J572,('Loading-rail'!$E$31:$E$48))*Impacts!$F$15,0)),0)</f>
        <v>0</v>
      </c>
      <c r="T572" s="10">
        <f>IF(Flare!$C$7="",0,(SUMIF(Flare!$B$46:$B$185,$J572,Flare!$E$46:$E$185)*Impacts!$F$16))</f>
        <v>0</v>
      </c>
      <c r="U572" s="10">
        <f>IF(VCU!$C$9="",0,(SUMIF(VCU!$B$51:$B$193,$J572,VCU!$E$51:$E$193)*Impacts!$F$17))</f>
        <v>0</v>
      </c>
      <c r="V572" s="10">
        <f>IF(CAS!$C$7="",0,(SUMIF(CAS!$B$31:$B$167,$J572,CAS!$E$31:$E$167)*Impacts!$F$18))</f>
        <v>0</v>
      </c>
      <c r="W572" s="10">
        <f t="shared" si="50"/>
        <v>0</v>
      </c>
      <c r="AK572" s="10" t="str">
        <f t="array" ref="AK572">IFERROR(INDEX(SelectedSpecies,SMALL(IF(SelectedSpecies=AK$1,ROW(SelectedSpecies)),ROW(573:573)),2),"")</f>
        <v/>
      </c>
      <c r="BE572" s="10"/>
      <c r="BI572" s="10"/>
    </row>
    <row r="573" spans="1:61" ht="21" customHeight="1" x14ac:dyDescent="0.25">
      <c r="A573" s="10"/>
      <c r="B573" s="10"/>
      <c r="E573" s="10"/>
      <c r="G573" s="10"/>
      <c r="I573" s="436" t="s">
        <v>1504</v>
      </c>
      <c r="J573" s="26" t="s">
        <v>1503</v>
      </c>
      <c r="K573" s="10">
        <v>27.5</v>
      </c>
      <c r="L573" s="73">
        <f>IF(Tank1!$C$23="No control",(SUMIF(Tank1!$B$32:$B$49,$J573,Tank1!$C$32:$C$49)*Impacts!$F$8),0)</f>
        <v>0</v>
      </c>
      <c r="M573" s="10">
        <f>IF(Tank2!$C$23="No control",(SUMIF(Tank2!$B$32:$B$49,$J573,Tank2!$C$32:$C$49)*Impacts!$F$9),0)</f>
        <v>0</v>
      </c>
      <c r="N573" s="10">
        <f>IF(Tank3!$C$23="No control",(SUMIF(Tank3!$B$32:$B$49,$J573,Tank3!$C$32:$C$49)*Impacts!$F$10),0)</f>
        <v>0</v>
      </c>
      <c r="O573" s="10">
        <f>IF(Tank4!$C$23="No control",(SUMIF(Tank4!$B$32:$B$49,$J573,Tank4!$C$32:$C$49)*Impacts!$F$11),0)</f>
        <v>0</v>
      </c>
      <c r="P573" s="10">
        <f>IF(Tank5!$C$23="No control",(SUMIF(Tank5!$B$32:$B$49,$J573,Tank5!$C$32:$C$49)*Impacts!$F$12),0)</f>
        <v>0</v>
      </c>
      <c r="Q573" s="10">
        <f>IFERROR(IF(('Loading-drum,tote'!$C$21)="No control",SUMIF(('Loading-drum,tote'!$B$31:$B$48),$J573,('Loading-drum,tote'!$D$31:$D$48))*Impacts!$F$13,IF(('Loading-drum,tote'!$C$21)&lt;&gt;"No control",SUMIF(('Loading-drum,tote'!$B$31:$B$48),$J573,('Loading-drum,tote'!$E$31:$E$48))*Impacts!$F$13,0)),0)</f>
        <v>0</v>
      </c>
      <c r="R573" s="10">
        <f>IFERROR(IF(('Loading-truck'!$C$21)="No control",SUMIF(('Loading-truck'!$B$31:$B$48),$J573,('Loading-truck'!$D$31:$D$48))*Impacts!$F$14,IF(('Loading-truck'!$C$21)&lt;&gt;"No control",SUMIF(('Loading-truck'!$B$31:$B$48),$J573,('Loading-truck'!$E$31:$E$48))*Impacts!$F$14,0)),0)</f>
        <v>0</v>
      </c>
      <c r="S573" s="10">
        <f>IFERROR(IF(('Loading-rail'!$C$21)="No control",SUMIF(('Loading-rail'!$B$31:$B$48),$J573,('Loading-rail'!$D$31:$D$48))*Impacts!$F$15,IF(('Loading-rail'!$C$21)&lt;&gt;"No control",SUMIF(('Loading-rail'!$B$31:$B$48),$J573,('Loading-rail'!$E$31:$E$48))*Impacts!$F$15,0)),0)</f>
        <v>0</v>
      </c>
      <c r="T573" s="10">
        <f>IF(Flare!$C$7="",0,(SUMIF(Flare!$B$46:$B$185,$J573,Flare!$E$46:$E$185)*Impacts!$F$16))</f>
        <v>0</v>
      </c>
      <c r="U573" s="10">
        <f>IF(VCU!$C$9="",0,(SUMIF(VCU!$B$51:$B$193,$J573,VCU!$E$51:$E$193)*Impacts!$F$17))</f>
        <v>0</v>
      </c>
      <c r="V573" s="10">
        <f>IF(CAS!$C$7="",0,(SUMIF(CAS!$B$31:$B$167,$J573,CAS!$E$31:$E$167)*Impacts!$F$18))</f>
        <v>0</v>
      </c>
      <c r="W573" s="10">
        <f t="shared" si="50"/>
        <v>0</v>
      </c>
      <c r="AK573" s="10" t="str">
        <f t="array" ref="AK573">IFERROR(INDEX(SelectedSpecies,SMALL(IF(SelectedSpecies=AK$1,ROW(SelectedSpecies)),ROW(574:574)),2),"")</f>
        <v/>
      </c>
      <c r="BE573" s="10"/>
      <c r="BI573" s="10"/>
    </row>
    <row r="574" spans="1:61" ht="21" customHeight="1" x14ac:dyDescent="0.25">
      <c r="A574" s="10"/>
      <c r="B574" s="10"/>
      <c r="E574" s="10"/>
      <c r="G574" s="10"/>
      <c r="I574" s="436" t="s">
        <v>5720</v>
      </c>
      <c r="J574" s="26" t="s">
        <v>5719</v>
      </c>
      <c r="K574" s="10">
        <v>1</v>
      </c>
      <c r="L574" s="73">
        <f>IF(Tank1!$C$23="No control",(SUMIF(Tank1!$B$32:$B$49,$J574,Tank1!$C$32:$C$49)*Impacts!$F$8),0)</f>
        <v>0</v>
      </c>
      <c r="M574" s="10">
        <f>IF(Tank2!$C$23="No control",(SUMIF(Tank2!$B$32:$B$49,$J574,Tank2!$C$32:$C$49)*Impacts!$F$9),0)</f>
        <v>0</v>
      </c>
      <c r="N574" s="10">
        <f>IF(Tank3!$C$23="No control",(SUMIF(Tank3!$B$32:$B$49,$J574,Tank3!$C$32:$C$49)*Impacts!$F$10),0)</f>
        <v>0</v>
      </c>
      <c r="O574" s="10">
        <f>IF(Tank4!$C$23="No control",(SUMIF(Tank4!$B$32:$B$49,$J574,Tank4!$C$32:$C$49)*Impacts!$F$11),0)</f>
        <v>0</v>
      </c>
      <c r="P574" s="10">
        <f>IF(Tank5!$C$23="No control",(SUMIF(Tank5!$B$32:$B$49,$J574,Tank5!$C$32:$C$49)*Impacts!$F$12),0)</f>
        <v>0</v>
      </c>
      <c r="Q574" s="10">
        <f>IFERROR(IF(('Loading-drum,tote'!$C$21)="No control",SUMIF(('Loading-drum,tote'!$B$31:$B$48),$J574,('Loading-drum,tote'!$D$31:$D$48))*Impacts!$F$13,IF(('Loading-drum,tote'!$C$21)&lt;&gt;"No control",SUMIF(('Loading-drum,tote'!$B$31:$B$48),$J574,('Loading-drum,tote'!$E$31:$E$48))*Impacts!$F$13,0)),0)</f>
        <v>0</v>
      </c>
      <c r="R574" s="10">
        <f>IFERROR(IF(('Loading-truck'!$C$21)="No control",SUMIF(('Loading-truck'!$B$31:$B$48),$J574,('Loading-truck'!$D$31:$D$48))*Impacts!$F$14,IF(('Loading-truck'!$C$21)&lt;&gt;"No control",SUMIF(('Loading-truck'!$B$31:$B$48),$J574,('Loading-truck'!$E$31:$E$48))*Impacts!$F$14,0)),0)</f>
        <v>0</v>
      </c>
      <c r="S574" s="10">
        <f>IFERROR(IF(('Loading-rail'!$C$21)="No control",SUMIF(('Loading-rail'!$B$31:$B$48),$J574,('Loading-rail'!$D$31:$D$48))*Impacts!$F$15,IF(('Loading-rail'!$C$21)&lt;&gt;"No control",SUMIF(('Loading-rail'!$B$31:$B$48),$J574,('Loading-rail'!$E$31:$E$48))*Impacts!$F$15,0)),0)</f>
        <v>0</v>
      </c>
      <c r="T574" s="10">
        <f>IF(Flare!$C$7="",0,(SUMIF(Flare!$B$46:$B$185,$J574,Flare!$E$46:$E$185)*Impacts!$F$16))</f>
        <v>0</v>
      </c>
      <c r="U574" s="10">
        <f>IF(VCU!$C$9="",0,(SUMIF(VCU!$B$51:$B$193,$J574,VCU!$E$51:$E$193)*Impacts!$F$17))</f>
        <v>0</v>
      </c>
      <c r="V574" s="10">
        <f>IF(CAS!$C$7="",0,(SUMIF(CAS!$B$31:$B$167,$J574,CAS!$E$31:$E$167)*Impacts!$F$18))</f>
        <v>0</v>
      </c>
      <c r="W574" s="10">
        <f t="shared" si="50"/>
        <v>0</v>
      </c>
      <c r="AK574" s="10" t="str">
        <f t="array" ref="AK574">IFERROR(INDEX(SelectedSpecies,SMALL(IF(SelectedSpecies=AK$1,ROW(SelectedSpecies)),ROW(575:575)),2),"")</f>
        <v/>
      </c>
      <c r="BE574" s="10"/>
      <c r="BI574" s="10"/>
    </row>
    <row r="575" spans="1:61" ht="21" customHeight="1" x14ac:dyDescent="0.25">
      <c r="A575" s="10"/>
      <c r="B575" s="10"/>
      <c r="E575" s="10"/>
      <c r="G575" s="10"/>
      <c r="I575" s="436" t="s">
        <v>5722</v>
      </c>
      <c r="J575" s="26" t="s">
        <v>5721</v>
      </c>
      <c r="K575" s="10">
        <v>1</v>
      </c>
      <c r="L575" s="73">
        <f>IF(Tank1!$C$23="No control",(SUMIF(Tank1!$B$32:$B$49,$J575,Tank1!$C$32:$C$49)*Impacts!$F$8),0)</f>
        <v>0</v>
      </c>
      <c r="M575" s="10">
        <f>IF(Tank2!$C$23="No control",(SUMIF(Tank2!$B$32:$B$49,$J575,Tank2!$C$32:$C$49)*Impacts!$F$9),0)</f>
        <v>0</v>
      </c>
      <c r="N575" s="10">
        <f>IF(Tank3!$C$23="No control",(SUMIF(Tank3!$B$32:$B$49,$J575,Tank3!$C$32:$C$49)*Impacts!$F$10),0)</f>
        <v>0</v>
      </c>
      <c r="O575" s="10">
        <f>IF(Tank4!$C$23="No control",(SUMIF(Tank4!$B$32:$B$49,$J575,Tank4!$C$32:$C$49)*Impacts!$F$11),0)</f>
        <v>0</v>
      </c>
      <c r="P575" s="10">
        <f>IF(Tank5!$C$23="No control",(SUMIF(Tank5!$B$32:$B$49,$J575,Tank5!$C$32:$C$49)*Impacts!$F$12),0)</f>
        <v>0</v>
      </c>
      <c r="Q575" s="10">
        <f>IFERROR(IF(('Loading-drum,tote'!$C$21)="No control",SUMIF(('Loading-drum,tote'!$B$31:$B$48),$J575,('Loading-drum,tote'!$D$31:$D$48))*Impacts!$F$13,IF(('Loading-drum,tote'!$C$21)&lt;&gt;"No control",SUMIF(('Loading-drum,tote'!$B$31:$B$48),$J575,('Loading-drum,tote'!$E$31:$E$48))*Impacts!$F$13,0)),0)</f>
        <v>0</v>
      </c>
      <c r="R575" s="10">
        <f>IFERROR(IF(('Loading-truck'!$C$21)="No control",SUMIF(('Loading-truck'!$B$31:$B$48),$J575,('Loading-truck'!$D$31:$D$48))*Impacts!$F$14,IF(('Loading-truck'!$C$21)&lt;&gt;"No control",SUMIF(('Loading-truck'!$B$31:$B$48),$J575,('Loading-truck'!$E$31:$E$48))*Impacts!$F$14,0)),0)</f>
        <v>0</v>
      </c>
      <c r="S575" s="10">
        <f>IFERROR(IF(('Loading-rail'!$C$21)="No control",SUMIF(('Loading-rail'!$B$31:$B$48),$J575,('Loading-rail'!$D$31:$D$48))*Impacts!$F$15,IF(('Loading-rail'!$C$21)&lt;&gt;"No control",SUMIF(('Loading-rail'!$B$31:$B$48),$J575,('Loading-rail'!$E$31:$E$48))*Impacts!$F$15,0)),0)</f>
        <v>0</v>
      </c>
      <c r="T575" s="10">
        <f>IF(Flare!$C$7="",0,(SUMIF(Flare!$B$46:$B$185,$J575,Flare!$E$46:$E$185)*Impacts!$F$16))</f>
        <v>0</v>
      </c>
      <c r="U575" s="10">
        <f>IF(VCU!$C$9="",0,(SUMIF(VCU!$B$51:$B$193,$J575,VCU!$E$51:$E$193)*Impacts!$F$17))</f>
        <v>0</v>
      </c>
      <c r="V575" s="10">
        <f>IF(CAS!$C$7="",0,(SUMIF(CAS!$B$31:$B$167,$J575,CAS!$E$31:$E$167)*Impacts!$F$18))</f>
        <v>0</v>
      </c>
      <c r="W575" s="10">
        <f t="shared" si="50"/>
        <v>0</v>
      </c>
      <c r="AK575" s="10" t="str">
        <f t="array" ref="AK575">IFERROR(INDEX(SelectedSpecies,SMALL(IF(SelectedSpecies=AK$1,ROW(SelectedSpecies)),ROW(576:576)),2),"")</f>
        <v/>
      </c>
      <c r="BE575" s="10"/>
      <c r="BI575" s="10"/>
    </row>
    <row r="576" spans="1:61" ht="21" customHeight="1" x14ac:dyDescent="0.25">
      <c r="A576" s="10"/>
      <c r="B576" s="10"/>
      <c r="E576" s="10"/>
      <c r="G576" s="10"/>
      <c r="I576" s="436" t="s">
        <v>2079</v>
      </c>
      <c r="J576" s="26" t="s">
        <v>2078</v>
      </c>
      <c r="K576" s="10">
        <v>15</v>
      </c>
      <c r="L576" s="73">
        <f>IF(Tank1!$C$23="No control",(SUMIF(Tank1!$B$32:$B$49,$J576,Tank1!$C$32:$C$49)*Impacts!$F$8),0)</f>
        <v>0</v>
      </c>
      <c r="M576" s="10">
        <f>IF(Tank2!$C$23="No control",(SUMIF(Tank2!$B$32:$B$49,$J576,Tank2!$C$32:$C$49)*Impacts!$F$9),0)</f>
        <v>0</v>
      </c>
      <c r="N576" s="10">
        <f>IF(Tank3!$C$23="No control",(SUMIF(Tank3!$B$32:$B$49,$J576,Tank3!$C$32:$C$49)*Impacts!$F$10),0)</f>
        <v>0</v>
      </c>
      <c r="O576" s="10">
        <f>IF(Tank4!$C$23="No control",(SUMIF(Tank4!$B$32:$B$49,$J576,Tank4!$C$32:$C$49)*Impacts!$F$11),0)</f>
        <v>0</v>
      </c>
      <c r="P576" s="10">
        <f>IF(Tank5!$C$23="No control",(SUMIF(Tank5!$B$32:$B$49,$J576,Tank5!$C$32:$C$49)*Impacts!$F$12),0)</f>
        <v>0</v>
      </c>
      <c r="Q576" s="10">
        <f>IFERROR(IF(('Loading-drum,tote'!$C$21)="No control",SUMIF(('Loading-drum,tote'!$B$31:$B$48),$J576,('Loading-drum,tote'!$D$31:$D$48))*Impacts!$F$13,IF(('Loading-drum,tote'!$C$21)&lt;&gt;"No control",SUMIF(('Loading-drum,tote'!$B$31:$B$48),$J576,('Loading-drum,tote'!$E$31:$E$48))*Impacts!$F$13,0)),0)</f>
        <v>0</v>
      </c>
      <c r="R576" s="10">
        <f>IFERROR(IF(('Loading-truck'!$C$21)="No control",SUMIF(('Loading-truck'!$B$31:$B$48),$J576,('Loading-truck'!$D$31:$D$48))*Impacts!$F$14,IF(('Loading-truck'!$C$21)&lt;&gt;"No control",SUMIF(('Loading-truck'!$B$31:$B$48),$J576,('Loading-truck'!$E$31:$E$48))*Impacts!$F$14,0)),0)</f>
        <v>0</v>
      </c>
      <c r="S576" s="10">
        <f>IFERROR(IF(('Loading-rail'!$C$21)="No control",SUMIF(('Loading-rail'!$B$31:$B$48),$J576,('Loading-rail'!$D$31:$D$48))*Impacts!$F$15,IF(('Loading-rail'!$C$21)&lt;&gt;"No control",SUMIF(('Loading-rail'!$B$31:$B$48),$J576,('Loading-rail'!$E$31:$E$48))*Impacts!$F$15,0)),0)</f>
        <v>0</v>
      </c>
      <c r="T576" s="10">
        <f>IF(Flare!$C$7="",0,(SUMIF(Flare!$B$46:$B$185,$J576,Flare!$E$46:$E$185)*Impacts!$F$16))</f>
        <v>0</v>
      </c>
      <c r="U576" s="10">
        <f>IF(VCU!$C$9="",0,(SUMIF(VCU!$B$51:$B$193,$J576,VCU!$E$51:$E$193)*Impacts!$F$17))</f>
        <v>0</v>
      </c>
      <c r="V576" s="10">
        <f>IF(CAS!$C$7="",0,(SUMIF(CAS!$B$31:$B$167,$J576,CAS!$E$31:$E$167)*Impacts!$F$18))</f>
        <v>0</v>
      </c>
      <c r="W576" s="10">
        <f t="shared" si="50"/>
        <v>0</v>
      </c>
      <c r="AK576" s="10" t="str">
        <f t="array" ref="AK576">IFERROR(INDEX(SelectedSpecies,SMALL(IF(SelectedSpecies=AK$1,ROW(SelectedSpecies)),ROW(577:577)),2),"")</f>
        <v/>
      </c>
      <c r="BE576" s="10"/>
      <c r="BI576" s="10"/>
    </row>
    <row r="577" spans="1:61" ht="21" customHeight="1" x14ac:dyDescent="0.25">
      <c r="A577" s="10"/>
      <c r="B577" s="10"/>
      <c r="E577" s="10"/>
      <c r="G577" s="10"/>
      <c r="I577" s="436" t="s">
        <v>2081</v>
      </c>
      <c r="J577" s="26" t="s">
        <v>2080</v>
      </c>
      <c r="K577" s="10">
        <v>15</v>
      </c>
      <c r="L577" s="73">
        <f>IF(Tank1!$C$23="No control",(SUMIF(Tank1!$B$32:$B$49,$J577,Tank1!$C$32:$C$49)*Impacts!$F$8),0)</f>
        <v>0</v>
      </c>
      <c r="M577" s="10">
        <f>IF(Tank2!$C$23="No control",(SUMIF(Tank2!$B$32:$B$49,$J577,Tank2!$C$32:$C$49)*Impacts!$F$9),0)</f>
        <v>0</v>
      </c>
      <c r="N577" s="10">
        <f>IF(Tank3!$C$23="No control",(SUMIF(Tank3!$B$32:$B$49,$J577,Tank3!$C$32:$C$49)*Impacts!$F$10),0)</f>
        <v>0</v>
      </c>
      <c r="O577" s="10">
        <f>IF(Tank4!$C$23="No control",(SUMIF(Tank4!$B$32:$B$49,$J577,Tank4!$C$32:$C$49)*Impacts!$F$11),0)</f>
        <v>0</v>
      </c>
      <c r="P577" s="10">
        <f>IF(Tank5!$C$23="No control",(SUMIF(Tank5!$B$32:$B$49,$J577,Tank5!$C$32:$C$49)*Impacts!$F$12),0)</f>
        <v>0</v>
      </c>
      <c r="Q577" s="10">
        <f>IFERROR(IF(('Loading-drum,tote'!$C$21)="No control",SUMIF(('Loading-drum,tote'!$B$31:$B$48),$J577,('Loading-drum,tote'!$D$31:$D$48))*Impacts!$F$13,IF(('Loading-drum,tote'!$C$21)&lt;&gt;"No control",SUMIF(('Loading-drum,tote'!$B$31:$B$48),$J577,('Loading-drum,tote'!$E$31:$E$48))*Impacts!$F$13,0)),0)</f>
        <v>0</v>
      </c>
      <c r="R577" s="10">
        <f>IFERROR(IF(('Loading-truck'!$C$21)="No control",SUMIF(('Loading-truck'!$B$31:$B$48),$J577,('Loading-truck'!$D$31:$D$48))*Impacts!$F$14,IF(('Loading-truck'!$C$21)&lt;&gt;"No control",SUMIF(('Loading-truck'!$B$31:$B$48),$J577,('Loading-truck'!$E$31:$E$48))*Impacts!$F$14,0)),0)</f>
        <v>0</v>
      </c>
      <c r="S577" s="10">
        <f>IFERROR(IF(('Loading-rail'!$C$21)="No control",SUMIF(('Loading-rail'!$B$31:$B$48),$J577,('Loading-rail'!$D$31:$D$48))*Impacts!$F$15,IF(('Loading-rail'!$C$21)&lt;&gt;"No control",SUMIF(('Loading-rail'!$B$31:$B$48),$J577,('Loading-rail'!$E$31:$E$48))*Impacts!$F$15,0)),0)</f>
        <v>0</v>
      </c>
      <c r="T577" s="10">
        <f>IF(Flare!$C$7="",0,(SUMIF(Flare!$B$46:$B$185,$J577,Flare!$E$46:$E$185)*Impacts!$F$16))</f>
        <v>0</v>
      </c>
      <c r="U577" s="10">
        <f>IF(VCU!$C$9="",0,(SUMIF(VCU!$B$51:$B$193,$J577,VCU!$E$51:$E$193)*Impacts!$F$17))</f>
        <v>0</v>
      </c>
      <c r="V577" s="10">
        <f>IF(CAS!$C$7="",0,(SUMIF(CAS!$B$31:$B$167,$J577,CAS!$E$31:$E$167)*Impacts!$F$18))</f>
        <v>0</v>
      </c>
      <c r="W577" s="10">
        <f t="shared" si="50"/>
        <v>0</v>
      </c>
      <c r="AK577" s="10" t="str">
        <f t="array" ref="AK577">IFERROR(INDEX(SelectedSpecies,SMALL(IF(SelectedSpecies=AK$1,ROW(SelectedSpecies)),ROW(578:578)),2),"")</f>
        <v/>
      </c>
      <c r="BE577" s="10"/>
      <c r="BI577" s="10"/>
    </row>
    <row r="578" spans="1:61" ht="21" customHeight="1" x14ac:dyDescent="0.25">
      <c r="A578" s="10"/>
      <c r="B578" s="10"/>
      <c r="E578" s="10"/>
      <c r="G578" s="10"/>
      <c r="I578" s="436" t="s">
        <v>2421</v>
      </c>
      <c r="J578" s="26" t="s">
        <v>2420</v>
      </c>
      <c r="K578" s="10">
        <v>10</v>
      </c>
      <c r="L578" s="73">
        <f>IF(Tank1!$C$23="No control",(SUMIF(Tank1!$B$32:$B$49,$J578,Tank1!$C$32:$C$49)*Impacts!$F$8),0)</f>
        <v>0</v>
      </c>
      <c r="M578" s="10">
        <f>IF(Tank2!$C$23="No control",(SUMIF(Tank2!$B$32:$B$49,$J578,Tank2!$C$32:$C$49)*Impacts!$F$9),0)</f>
        <v>0</v>
      </c>
      <c r="N578" s="10">
        <f>IF(Tank3!$C$23="No control",(SUMIF(Tank3!$B$32:$B$49,$J578,Tank3!$C$32:$C$49)*Impacts!$F$10),0)</f>
        <v>0</v>
      </c>
      <c r="O578" s="10">
        <f>IF(Tank4!$C$23="No control",(SUMIF(Tank4!$B$32:$B$49,$J578,Tank4!$C$32:$C$49)*Impacts!$F$11),0)</f>
        <v>0</v>
      </c>
      <c r="P578" s="10">
        <f>IF(Tank5!$C$23="No control",(SUMIF(Tank5!$B$32:$B$49,$J578,Tank5!$C$32:$C$49)*Impacts!$F$12),0)</f>
        <v>0</v>
      </c>
      <c r="Q578" s="10">
        <f>IFERROR(IF(('Loading-drum,tote'!$C$21)="No control",SUMIF(('Loading-drum,tote'!$B$31:$B$48),$J578,('Loading-drum,tote'!$D$31:$D$48))*Impacts!$F$13,IF(('Loading-drum,tote'!$C$21)&lt;&gt;"No control",SUMIF(('Loading-drum,tote'!$B$31:$B$48),$J578,('Loading-drum,tote'!$E$31:$E$48))*Impacts!$F$13,0)),0)</f>
        <v>0</v>
      </c>
      <c r="R578" s="10">
        <f>IFERROR(IF(('Loading-truck'!$C$21)="No control",SUMIF(('Loading-truck'!$B$31:$B$48),$J578,('Loading-truck'!$D$31:$D$48))*Impacts!$F$14,IF(('Loading-truck'!$C$21)&lt;&gt;"No control",SUMIF(('Loading-truck'!$B$31:$B$48),$J578,('Loading-truck'!$E$31:$E$48))*Impacts!$F$14,0)),0)</f>
        <v>0</v>
      </c>
      <c r="S578" s="10">
        <f>IFERROR(IF(('Loading-rail'!$C$21)="No control",SUMIF(('Loading-rail'!$B$31:$B$48),$J578,('Loading-rail'!$D$31:$D$48))*Impacts!$F$15,IF(('Loading-rail'!$C$21)&lt;&gt;"No control",SUMIF(('Loading-rail'!$B$31:$B$48),$J578,('Loading-rail'!$E$31:$E$48))*Impacts!$F$15,0)),0)</f>
        <v>0</v>
      </c>
      <c r="T578" s="10">
        <f>IF(Flare!$C$7="",0,(SUMIF(Flare!$B$46:$B$185,$J578,Flare!$E$46:$E$185)*Impacts!$F$16))</f>
        <v>0</v>
      </c>
      <c r="U578" s="10">
        <f>IF(VCU!$C$9="",0,(SUMIF(VCU!$B$51:$B$193,$J578,VCU!$E$51:$E$193)*Impacts!$F$17))</f>
        <v>0</v>
      </c>
      <c r="V578" s="10">
        <f>IF(CAS!$C$7="",0,(SUMIF(CAS!$B$31:$B$167,$J578,CAS!$E$31:$E$167)*Impacts!$F$18))</f>
        <v>0</v>
      </c>
      <c r="W578" s="10">
        <f t="shared" si="50"/>
        <v>0</v>
      </c>
      <c r="AK578" s="10" t="str">
        <f t="array" ref="AK578">IFERROR(INDEX(SelectedSpecies,SMALL(IF(SelectedSpecies=AK$1,ROW(SelectedSpecies)),ROW(579:579)),2),"")</f>
        <v/>
      </c>
      <c r="BE578" s="10"/>
      <c r="BI578" s="10"/>
    </row>
    <row r="579" spans="1:61" ht="21" customHeight="1" x14ac:dyDescent="0.25">
      <c r="A579" s="10"/>
      <c r="B579" s="10"/>
      <c r="E579" s="10"/>
      <c r="G579" s="10"/>
      <c r="I579" s="436" t="s">
        <v>5724</v>
      </c>
      <c r="J579" s="26" t="s">
        <v>5723</v>
      </c>
      <c r="K579" s="10">
        <v>1</v>
      </c>
      <c r="L579" s="73">
        <f>IF(Tank1!$C$23="No control",(SUMIF(Tank1!$B$32:$B$49,$J579,Tank1!$C$32:$C$49)*Impacts!$F$8),0)</f>
        <v>0</v>
      </c>
      <c r="M579" s="10">
        <f>IF(Tank2!$C$23="No control",(SUMIF(Tank2!$B$32:$B$49,$J579,Tank2!$C$32:$C$49)*Impacts!$F$9),0)</f>
        <v>0</v>
      </c>
      <c r="N579" s="10">
        <f>IF(Tank3!$C$23="No control",(SUMIF(Tank3!$B$32:$B$49,$J579,Tank3!$C$32:$C$49)*Impacts!$F$10),0)</f>
        <v>0</v>
      </c>
      <c r="O579" s="10">
        <f>IF(Tank4!$C$23="No control",(SUMIF(Tank4!$B$32:$B$49,$J579,Tank4!$C$32:$C$49)*Impacts!$F$11),0)</f>
        <v>0</v>
      </c>
      <c r="P579" s="10">
        <f>IF(Tank5!$C$23="No control",(SUMIF(Tank5!$B$32:$B$49,$J579,Tank5!$C$32:$C$49)*Impacts!$F$12),0)</f>
        <v>0</v>
      </c>
      <c r="Q579" s="10">
        <f>IFERROR(IF(('Loading-drum,tote'!$C$21)="No control",SUMIF(('Loading-drum,tote'!$B$31:$B$48),$J579,('Loading-drum,tote'!$D$31:$D$48))*Impacts!$F$13,IF(('Loading-drum,tote'!$C$21)&lt;&gt;"No control",SUMIF(('Loading-drum,tote'!$B$31:$B$48),$J579,('Loading-drum,tote'!$E$31:$E$48))*Impacts!$F$13,0)),0)</f>
        <v>0</v>
      </c>
      <c r="R579" s="10">
        <f>IFERROR(IF(('Loading-truck'!$C$21)="No control",SUMIF(('Loading-truck'!$B$31:$B$48),$J579,('Loading-truck'!$D$31:$D$48))*Impacts!$F$14,IF(('Loading-truck'!$C$21)&lt;&gt;"No control",SUMIF(('Loading-truck'!$B$31:$B$48),$J579,('Loading-truck'!$E$31:$E$48))*Impacts!$F$14,0)),0)</f>
        <v>0</v>
      </c>
      <c r="S579" s="10">
        <f>IFERROR(IF(('Loading-rail'!$C$21)="No control",SUMIF(('Loading-rail'!$B$31:$B$48),$J579,('Loading-rail'!$D$31:$D$48))*Impacts!$F$15,IF(('Loading-rail'!$C$21)&lt;&gt;"No control",SUMIF(('Loading-rail'!$B$31:$B$48),$J579,('Loading-rail'!$E$31:$E$48))*Impacts!$F$15,0)),0)</f>
        <v>0</v>
      </c>
      <c r="T579" s="10">
        <f>IF(Flare!$C$7="",0,(SUMIF(Flare!$B$46:$B$185,$J579,Flare!$E$46:$E$185)*Impacts!$F$16))</f>
        <v>0</v>
      </c>
      <c r="U579" s="10">
        <f>IF(VCU!$C$9="",0,(SUMIF(VCU!$B$51:$B$193,$J579,VCU!$E$51:$E$193)*Impacts!$F$17))</f>
        <v>0</v>
      </c>
      <c r="V579" s="10">
        <f>IF(CAS!$C$7="",0,(SUMIF(CAS!$B$31:$B$167,$J579,CAS!$E$31:$E$167)*Impacts!$F$18))</f>
        <v>0</v>
      </c>
      <c r="W579" s="10">
        <f t="shared" ref="W579:W642" si="51">SUM(L579:V579)</f>
        <v>0</v>
      </c>
      <c r="AK579" s="10" t="str">
        <f t="array" ref="AK579">IFERROR(INDEX(SelectedSpecies,SMALL(IF(SelectedSpecies=AK$1,ROW(SelectedSpecies)),ROW(580:580)),2),"")</f>
        <v/>
      </c>
      <c r="BE579" s="10"/>
      <c r="BI579" s="10"/>
    </row>
    <row r="580" spans="1:61" ht="21" customHeight="1" x14ac:dyDescent="0.25">
      <c r="A580" s="10"/>
      <c r="B580" s="10"/>
      <c r="E580" s="10"/>
      <c r="G580" s="10"/>
      <c r="I580" s="436" t="s">
        <v>6460</v>
      </c>
      <c r="J580" s="26" t="s">
        <v>6459</v>
      </c>
      <c r="K580" s="10">
        <v>10</v>
      </c>
      <c r="L580" s="73">
        <f>IF(Tank1!$C$23="No control",(SUMIF(Tank1!$B$32:$B$49,$J580,Tank1!$C$32:$C$49)*Impacts!$F$8),0)</f>
        <v>0</v>
      </c>
      <c r="M580" s="10">
        <f>IF(Tank2!$C$23="No control",(SUMIF(Tank2!$B$32:$B$49,$J580,Tank2!$C$32:$C$49)*Impacts!$F$9),0)</f>
        <v>0</v>
      </c>
      <c r="N580" s="10">
        <f>IF(Tank3!$C$23="No control",(SUMIF(Tank3!$B$32:$B$49,$J580,Tank3!$C$32:$C$49)*Impacts!$F$10),0)</f>
        <v>0</v>
      </c>
      <c r="O580" s="10">
        <f>IF(Tank4!$C$23="No control",(SUMIF(Tank4!$B$32:$B$49,$J580,Tank4!$C$32:$C$49)*Impacts!$F$11),0)</f>
        <v>0</v>
      </c>
      <c r="P580" s="10">
        <f>IF(Tank5!$C$23="No control",(SUMIF(Tank5!$B$32:$B$49,$J580,Tank5!$C$32:$C$49)*Impacts!$F$12),0)</f>
        <v>0</v>
      </c>
      <c r="Q580" s="10">
        <f>IFERROR(IF(('Loading-drum,tote'!$C$21)="No control",SUMIF(('Loading-drum,tote'!$B$31:$B$48),$J580,('Loading-drum,tote'!$D$31:$D$48))*Impacts!$F$13,IF(('Loading-drum,tote'!$C$21)&lt;&gt;"No control",SUMIF(('Loading-drum,tote'!$B$31:$B$48),$J580,('Loading-drum,tote'!$E$31:$E$48))*Impacts!$F$13,0)),0)</f>
        <v>0</v>
      </c>
      <c r="R580" s="10">
        <f>IFERROR(IF(('Loading-truck'!$C$21)="No control",SUMIF(('Loading-truck'!$B$31:$B$48),$J580,('Loading-truck'!$D$31:$D$48))*Impacts!$F$14,IF(('Loading-truck'!$C$21)&lt;&gt;"No control",SUMIF(('Loading-truck'!$B$31:$B$48),$J580,('Loading-truck'!$E$31:$E$48))*Impacts!$F$14,0)),0)</f>
        <v>0</v>
      </c>
      <c r="S580" s="10">
        <f>IFERROR(IF(('Loading-rail'!$C$21)="No control",SUMIF(('Loading-rail'!$B$31:$B$48),$J580,('Loading-rail'!$D$31:$D$48))*Impacts!$F$15,IF(('Loading-rail'!$C$21)&lt;&gt;"No control",SUMIF(('Loading-rail'!$B$31:$B$48),$J580,('Loading-rail'!$E$31:$E$48))*Impacts!$F$15,0)),0)</f>
        <v>0</v>
      </c>
      <c r="T580" s="10">
        <f>IF(Flare!$C$7="",0,(SUMIF(Flare!$B$46:$B$185,$J580,Flare!$E$46:$E$185)*Impacts!$F$16))</f>
        <v>0</v>
      </c>
      <c r="U580" s="10">
        <f>IF(VCU!$C$9="",0,(SUMIF(VCU!$B$51:$B$193,$J580,VCU!$E$51:$E$193)*Impacts!$F$17))</f>
        <v>0</v>
      </c>
      <c r="V580" s="10">
        <f>IF(CAS!$C$7="",0,(SUMIF(CAS!$B$31:$B$167,$J580,CAS!$E$31:$E$167)*Impacts!$F$18))</f>
        <v>0</v>
      </c>
      <c r="W580" s="10">
        <f t="shared" si="51"/>
        <v>0</v>
      </c>
      <c r="AK580" s="10" t="str">
        <f t="array" ref="AK580">IFERROR(INDEX(SelectedSpecies,SMALL(IF(SelectedSpecies=AK$1,ROW(SelectedSpecies)),ROW(581:581)),2),"")</f>
        <v/>
      </c>
      <c r="BE580" s="10"/>
      <c r="BI580" s="10"/>
    </row>
    <row r="581" spans="1:61" ht="21" customHeight="1" x14ac:dyDescent="0.25">
      <c r="A581" s="10"/>
      <c r="B581" s="10"/>
      <c r="E581" s="10"/>
      <c r="G581" s="10"/>
      <c r="I581" s="436" t="s">
        <v>5131</v>
      </c>
      <c r="J581" s="26" t="s">
        <v>5130</v>
      </c>
      <c r="K581" s="10">
        <v>2</v>
      </c>
      <c r="L581" s="73">
        <f>IF(Tank1!$C$23="No control",(SUMIF(Tank1!$B$32:$B$49,$J581,Tank1!$C$32:$C$49)*Impacts!$F$8),0)</f>
        <v>0</v>
      </c>
      <c r="M581" s="10">
        <f>IF(Tank2!$C$23="No control",(SUMIF(Tank2!$B$32:$B$49,$J581,Tank2!$C$32:$C$49)*Impacts!$F$9),0)</f>
        <v>0</v>
      </c>
      <c r="N581" s="10">
        <f>IF(Tank3!$C$23="No control",(SUMIF(Tank3!$B$32:$B$49,$J581,Tank3!$C$32:$C$49)*Impacts!$F$10),0)</f>
        <v>0</v>
      </c>
      <c r="O581" s="10">
        <f>IF(Tank4!$C$23="No control",(SUMIF(Tank4!$B$32:$B$49,$J581,Tank4!$C$32:$C$49)*Impacts!$F$11),0)</f>
        <v>0</v>
      </c>
      <c r="P581" s="10">
        <f>IF(Tank5!$C$23="No control",(SUMIF(Tank5!$B$32:$B$49,$J581,Tank5!$C$32:$C$49)*Impacts!$F$12),0)</f>
        <v>0</v>
      </c>
      <c r="Q581" s="10">
        <f>IFERROR(IF(('Loading-drum,tote'!$C$21)="No control",SUMIF(('Loading-drum,tote'!$B$31:$B$48),$J581,('Loading-drum,tote'!$D$31:$D$48))*Impacts!$F$13,IF(('Loading-drum,tote'!$C$21)&lt;&gt;"No control",SUMIF(('Loading-drum,tote'!$B$31:$B$48),$J581,('Loading-drum,tote'!$E$31:$E$48))*Impacts!$F$13,0)),0)</f>
        <v>0</v>
      </c>
      <c r="R581" s="10">
        <f>IFERROR(IF(('Loading-truck'!$C$21)="No control",SUMIF(('Loading-truck'!$B$31:$B$48),$J581,('Loading-truck'!$D$31:$D$48))*Impacts!$F$14,IF(('Loading-truck'!$C$21)&lt;&gt;"No control",SUMIF(('Loading-truck'!$B$31:$B$48),$J581,('Loading-truck'!$E$31:$E$48))*Impacts!$F$14,0)),0)</f>
        <v>0</v>
      </c>
      <c r="S581" s="10">
        <f>IFERROR(IF(('Loading-rail'!$C$21)="No control",SUMIF(('Loading-rail'!$B$31:$B$48),$J581,('Loading-rail'!$D$31:$D$48))*Impacts!$F$15,IF(('Loading-rail'!$C$21)&lt;&gt;"No control",SUMIF(('Loading-rail'!$B$31:$B$48),$J581,('Loading-rail'!$E$31:$E$48))*Impacts!$F$15,0)),0)</f>
        <v>0</v>
      </c>
      <c r="T581" s="10">
        <f>IF(Flare!$C$7="",0,(SUMIF(Flare!$B$46:$B$185,$J581,Flare!$E$46:$E$185)*Impacts!$F$16))</f>
        <v>0</v>
      </c>
      <c r="U581" s="10">
        <f>IF(VCU!$C$9="",0,(SUMIF(VCU!$B$51:$B$193,$J581,VCU!$E$51:$E$193)*Impacts!$F$17))</f>
        <v>0</v>
      </c>
      <c r="V581" s="10">
        <f>IF(CAS!$C$7="",0,(SUMIF(CAS!$B$31:$B$167,$J581,CAS!$E$31:$E$167)*Impacts!$F$18))</f>
        <v>0</v>
      </c>
      <c r="W581" s="10">
        <f t="shared" si="51"/>
        <v>0</v>
      </c>
      <c r="AK581" s="10" t="str">
        <f t="array" ref="AK581">IFERROR(INDEX(SelectedSpecies,SMALL(IF(SelectedSpecies=AK$1,ROW(SelectedSpecies)),ROW(582:582)),2),"")</f>
        <v/>
      </c>
      <c r="BE581" s="10"/>
      <c r="BI581" s="10"/>
    </row>
    <row r="582" spans="1:61" ht="21" customHeight="1" x14ac:dyDescent="0.25">
      <c r="A582" s="10"/>
      <c r="B582" s="10"/>
      <c r="E582" s="10"/>
      <c r="G582" s="10"/>
      <c r="I582" s="436" t="s">
        <v>5726</v>
      </c>
      <c r="J582" s="26" t="s">
        <v>5725</v>
      </c>
      <c r="K582" s="10">
        <v>1</v>
      </c>
      <c r="L582" s="73">
        <f>IF(Tank1!$C$23="No control",(SUMIF(Tank1!$B$32:$B$49,$J582,Tank1!$C$32:$C$49)*Impacts!$F$8),0)</f>
        <v>0</v>
      </c>
      <c r="M582" s="10">
        <f>IF(Tank2!$C$23="No control",(SUMIF(Tank2!$B$32:$B$49,$J582,Tank2!$C$32:$C$49)*Impacts!$F$9),0)</f>
        <v>0</v>
      </c>
      <c r="N582" s="10">
        <f>IF(Tank3!$C$23="No control",(SUMIF(Tank3!$B$32:$B$49,$J582,Tank3!$C$32:$C$49)*Impacts!$F$10),0)</f>
        <v>0</v>
      </c>
      <c r="O582" s="10">
        <f>IF(Tank4!$C$23="No control",(SUMIF(Tank4!$B$32:$B$49,$J582,Tank4!$C$32:$C$49)*Impacts!$F$11),0)</f>
        <v>0</v>
      </c>
      <c r="P582" s="10">
        <f>IF(Tank5!$C$23="No control",(SUMIF(Tank5!$B$32:$B$49,$J582,Tank5!$C$32:$C$49)*Impacts!$F$12),0)</f>
        <v>0</v>
      </c>
      <c r="Q582" s="10">
        <f>IFERROR(IF(('Loading-drum,tote'!$C$21)="No control",SUMIF(('Loading-drum,tote'!$B$31:$B$48),$J582,('Loading-drum,tote'!$D$31:$D$48))*Impacts!$F$13,IF(('Loading-drum,tote'!$C$21)&lt;&gt;"No control",SUMIF(('Loading-drum,tote'!$B$31:$B$48),$J582,('Loading-drum,tote'!$E$31:$E$48))*Impacts!$F$13,0)),0)</f>
        <v>0</v>
      </c>
      <c r="R582" s="10">
        <f>IFERROR(IF(('Loading-truck'!$C$21)="No control",SUMIF(('Loading-truck'!$B$31:$B$48),$J582,('Loading-truck'!$D$31:$D$48))*Impacts!$F$14,IF(('Loading-truck'!$C$21)&lt;&gt;"No control",SUMIF(('Loading-truck'!$B$31:$B$48),$J582,('Loading-truck'!$E$31:$E$48))*Impacts!$F$14,0)),0)</f>
        <v>0</v>
      </c>
      <c r="S582" s="10">
        <f>IFERROR(IF(('Loading-rail'!$C$21)="No control",SUMIF(('Loading-rail'!$B$31:$B$48),$J582,('Loading-rail'!$D$31:$D$48))*Impacts!$F$15,IF(('Loading-rail'!$C$21)&lt;&gt;"No control",SUMIF(('Loading-rail'!$B$31:$B$48),$J582,('Loading-rail'!$E$31:$E$48))*Impacts!$F$15,0)),0)</f>
        <v>0</v>
      </c>
      <c r="T582" s="10">
        <f>IF(Flare!$C$7="",0,(SUMIF(Flare!$B$46:$B$185,$J582,Flare!$E$46:$E$185)*Impacts!$F$16))</f>
        <v>0</v>
      </c>
      <c r="U582" s="10">
        <f>IF(VCU!$C$9="",0,(SUMIF(VCU!$B$51:$B$193,$J582,VCU!$E$51:$E$193)*Impacts!$F$17))</f>
        <v>0</v>
      </c>
      <c r="V582" s="10">
        <f>IF(CAS!$C$7="",0,(SUMIF(CAS!$B$31:$B$167,$J582,CAS!$E$31:$E$167)*Impacts!$F$18))</f>
        <v>0</v>
      </c>
      <c r="W582" s="10">
        <f t="shared" si="51"/>
        <v>0</v>
      </c>
      <c r="AK582" s="10" t="str">
        <f t="array" ref="AK582">IFERROR(INDEX(SelectedSpecies,SMALL(IF(SelectedSpecies=AK$1,ROW(SelectedSpecies)),ROW(583:583)),2),"")</f>
        <v/>
      </c>
      <c r="BE582" s="10"/>
      <c r="BI582" s="10"/>
    </row>
    <row r="583" spans="1:61" ht="21" customHeight="1" x14ac:dyDescent="0.25">
      <c r="A583" s="10"/>
      <c r="B583" s="10"/>
      <c r="E583" s="10"/>
      <c r="G583" s="10"/>
      <c r="I583" s="436" t="s">
        <v>640</v>
      </c>
      <c r="J583" s="26" t="s">
        <v>639</v>
      </c>
      <c r="K583" s="10">
        <v>57</v>
      </c>
      <c r="L583" s="73">
        <f>IF(Tank1!$C$23="No control",(SUMIF(Tank1!$B$32:$B$49,$J583,Tank1!$C$32:$C$49)*Impacts!$F$8),0)</f>
        <v>0</v>
      </c>
      <c r="M583" s="10">
        <f>IF(Tank2!$C$23="No control",(SUMIF(Tank2!$B$32:$B$49,$J583,Tank2!$C$32:$C$49)*Impacts!$F$9),0)</f>
        <v>0</v>
      </c>
      <c r="N583" s="10">
        <f>IF(Tank3!$C$23="No control",(SUMIF(Tank3!$B$32:$B$49,$J583,Tank3!$C$32:$C$49)*Impacts!$F$10),0)</f>
        <v>0</v>
      </c>
      <c r="O583" s="10">
        <f>IF(Tank4!$C$23="No control",(SUMIF(Tank4!$B$32:$B$49,$J583,Tank4!$C$32:$C$49)*Impacts!$F$11),0)</f>
        <v>0</v>
      </c>
      <c r="P583" s="10">
        <f>IF(Tank5!$C$23="No control",(SUMIF(Tank5!$B$32:$B$49,$J583,Tank5!$C$32:$C$49)*Impacts!$F$12),0)</f>
        <v>0</v>
      </c>
      <c r="Q583" s="10">
        <f>IFERROR(IF(('Loading-drum,tote'!$C$21)="No control",SUMIF(('Loading-drum,tote'!$B$31:$B$48),$J583,('Loading-drum,tote'!$D$31:$D$48))*Impacts!$F$13,IF(('Loading-drum,tote'!$C$21)&lt;&gt;"No control",SUMIF(('Loading-drum,tote'!$B$31:$B$48),$J583,('Loading-drum,tote'!$E$31:$E$48))*Impacts!$F$13,0)),0)</f>
        <v>0</v>
      </c>
      <c r="R583" s="10">
        <f>IFERROR(IF(('Loading-truck'!$C$21)="No control",SUMIF(('Loading-truck'!$B$31:$B$48),$J583,('Loading-truck'!$D$31:$D$48))*Impacts!$F$14,IF(('Loading-truck'!$C$21)&lt;&gt;"No control",SUMIF(('Loading-truck'!$B$31:$B$48),$J583,('Loading-truck'!$E$31:$E$48))*Impacts!$F$14,0)),0)</f>
        <v>0</v>
      </c>
      <c r="S583" s="10">
        <f>IFERROR(IF(('Loading-rail'!$C$21)="No control",SUMIF(('Loading-rail'!$B$31:$B$48),$J583,('Loading-rail'!$D$31:$D$48))*Impacts!$F$15,IF(('Loading-rail'!$C$21)&lt;&gt;"No control",SUMIF(('Loading-rail'!$B$31:$B$48),$J583,('Loading-rail'!$E$31:$E$48))*Impacts!$F$15,0)),0)</f>
        <v>0</v>
      </c>
      <c r="T583" s="10">
        <f>IF(Flare!$C$7="",0,(SUMIF(Flare!$B$46:$B$185,$J583,Flare!$E$46:$E$185)*Impacts!$F$16))</f>
        <v>0</v>
      </c>
      <c r="U583" s="10">
        <f>IF(VCU!$C$9="",0,(SUMIF(VCU!$B$51:$B$193,$J583,VCU!$E$51:$E$193)*Impacts!$F$17))</f>
        <v>0</v>
      </c>
      <c r="V583" s="10">
        <f>IF(CAS!$C$7="",0,(SUMIF(CAS!$B$31:$B$167,$J583,CAS!$E$31:$E$167)*Impacts!$F$18))</f>
        <v>0</v>
      </c>
      <c r="W583" s="10">
        <f t="shared" si="51"/>
        <v>0</v>
      </c>
      <c r="AK583" s="10" t="str">
        <f t="array" ref="AK583">IFERROR(INDEX(SelectedSpecies,SMALL(IF(SelectedSpecies=AK$1,ROW(SelectedSpecies)),ROW(584:584)),2),"")</f>
        <v/>
      </c>
      <c r="BE583" s="10"/>
      <c r="BI583" s="10"/>
    </row>
    <row r="584" spans="1:61" ht="21" customHeight="1" x14ac:dyDescent="0.25">
      <c r="A584" s="10"/>
      <c r="B584" s="10"/>
      <c r="E584" s="10"/>
      <c r="G584" s="10"/>
      <c r="I584" s="436" t="s">
        <v>5728</v>
      </c>
      <c r="J584" s="26" t="s">
        <v>5727</v>
      </c>
      <c r="K584" s="10">
        <v>1</v>
      </c>
      <c r="L584" s="73">
        <f>IF(Tank1!$C$23="No control",(SUMIF(Tank1!$B$32:$B$49,$J584,Tank1!$C$32:$C$49)*Impacts!$F$8),0)</f>
        <v>0</v>
      </c>
      <c r="M584" s="10">
        <f>IF(Tank2!$C$23="No control",(SUMIF(Tank2!$B$32:$B$49,$J584,Tank2!$C$32:$C$49)*Impacts!$F$9),0)</f>
        <v>0</v>
      </c>
      <c r="N584" s="10">
        <f>IF(Tank3!$C$23="No control",(SUMIF(Tank3!$B$32:$B$49,$J584,Tank3!$C$32:$C$49)*Impacts!$F$10),0)</f>
        <v>0</v>
      </c>
      <c r="O584" s="10">
        <f>IF(Tank4!$C$23="No control",(SUMIF(Tank4!$B$32:$B$49,$J584,Tank4!$C$32:$C$49)*Impacts!$F$11),0)</f>
        <v>0</v>
      </c>
      <c r="P584" s="10">
        <f>IF(Tank5!$C$23="No control",(SUMIF(Tank5!$B$32:$B$49,$J584,Tank5!$C$32:$C$49)*Impacts!$F$12),0)</f>
        <v>0</v>
      </c>
      <c r="Q584" s="10">
        <f>IFERROR(IF(('Loading-drum,tote'!$C$21)="No control",SUMIF(('Loading-drum,tote'!$B$31:$B$48),$J584,('Loading-drum,tote'!$D$31:$D$48))*Impacts!$F$13,IF(('Loading-drum,tote'!$C$21)&lt;&gt;"No control",SUMIF(('Loading-drum,tote'!$B$31:$B$48),$J584,('Loading-drum,tote'!$E$31:$E$48))*Impacts!$F$13,0)),0)</f>
        <v>0</v>
      </c>
      <c r="R584" s="10">
        <f>IFERROR(IF(('Loading-truck'!$C$21)="No control",SUMIF(('Loading-truck'!$B$31:$B$48),$J584,('Loading-truck'!$D$31:$D$48))*Impacts!$F$14,IF(('Loading-truck'!$C$21)&lt;&gt;"No control",SUMIF(('Loading-truck'!$B$31:$B$48),$J584,('Loading-truck'!$E$31:$E$48))*Impacts!$F$14,0)),0)</f>
        <v>0</v>
      </c>
      <c r="S584" s="10">
        <f>IFERROR(IF(('Loading-rail'!$C$21)="No control",SUMIF(('Loading-rail'!$B$31:$B$48),$J584,('Loading-rail'!$D$31:$D$48))*Impacts!$F$15,IF(('Loading-rail'!$C$21)&lt;&gt;"No control",SUMIF(('Loading-rail'!$B$31:$B$48),$J584,('Loading-rail'!$E$31:$E$48))*Impacts!$F$15,0)),0)</f>
        <v>0</v>
      </c>
      <c r="T584" s="10">
        <f>IF(Flare!$C$7="",0,(SUMIF(Flare!$B$46:$B$185,$J584,Flare!$E$46:$E$185)*Impacts!$F$16))</f>
        <v>0</v>
      </c>
      <c r="U584" s="10">
        <f>IF(VCU!$C$9="",0,(SUMIF(VCU!$B$51:$B$193,$J584,VCU!$E$51:$E$193)*Impacts!$F$17))</f>
        <v>0</v>
      </c>
      <c r="V584" s="10">
        <f>IF(CAS!$C$7="",0,(SUMIF(CAS!$B$31:$B$167,$J584,CAS!$E$31:$E$167)*Impacts!$F$18))</f>
        <v>0</v>
      </c>
      <c r="W584" s="10">
        <f t="shared" si="51"/>
        <v>0</v>
      </c>
      <c r="AK584" s="10" t="str">
        <f t="array" ref="AK584">IFERROR(INDEX(SelectedSpecies,SMALL(IF(SelectedSpecies=AK$1,ROW(SelectedSpecies)),ROW(585:585)),2),"")</f>
        <v/>
      </c>
      <c r="BE584" s="10"/>
      <c r="BI584" s="10"/>
    </row>
    <row r="585" spans="1:61" ht="21" customHeight="1" x14ac:dyDescent="0.25">
      <c r="A585" s="10"/>
      <c r="B585" s="10"/>
      <c r="E585" s="10"/>
      <c r="G585" s="10"/>
      <c r="I585" s="436" t="s">
        <v>2083</v>
      </c>
      <c r="J585" s="26" t="s">
        <v>2082</v>
      </c>
      <c r="K585" s="10">
        <v>15</v>
      </c>
      <c r="L585" s="73">
        <f>IF(Tank1!$C$23="No control",(SUMIF(Tank1!$B$32:$B$49,$J585,Tank1!$C$32:$C$49)*Impacts!$F$8),0)</f>
        <v>0</v>
      </c>
      <c r="M585" s="10">
        <f>IF(Tank2!$C$23="No control",(SUMIF(Tank2!$B$32:$B$49,$J585,Tank2!$C$32:$C$49)*Impacts!$F$9),0)</f>
        <v>0</v>
      </c>
      <c r="N585" s="10">
        <f>IF(Tank3!$C$23="No control",(SUMIF(Tank3!$B$32:$B$49,$J585,Tank3!$C$32:$C$49)*Impacts!$F$10),0)</f>
        <v>0</v>
      </c>
      <c r="O585" s="10">
        <f>IF(Tank4!$C$23="No control",(SUMIF(Tank4!$B$32:$B$49,$J585,Tank4!$C$32:$C$49)*Impacts!$F$11),0)</f>
        <v>0</v>
      </c>
      <c r="P585" s="10">
        <f>IF(Tank5!$C$23="No control",(SUMIF(Tank5!$B$32:$B$49,$J585,Tank5!$C$32:$C$49)*Impacts!$F$12),0)</f>
        <v>0</v>
      </c>
      <c r="Q585" s="10">
        <f>IFERROR(IF(('Loading-drum,tote'!$C$21)="No control",SUMIF(('Loading-drum,tote'!$B$31:$B$48),$J585,('Loading-drum,tote'!$D$31:$D$48))*Impacts!$F$13,IF(('Loading-drum,tote'!$C$21)&lt;&gt;"No control",SUMIF(('Loading-drum,tote'!$B$31:$B$48),$J585,('Loading-drum,tote'!$E$31:$E$48))*Impacts!$F$13,0)),0)</f>
        <v>0</v>
      </c>
      <c r="R585" s="10">
        <f>IFERROR(IF(('Loading-truck'!$C$21)="No control",SUMIF(('Loading-truck'!$B$31:$B$48),$J585,('Loading-truck'!$D$31:$D$48))*Impacts!$F$14,IF(('Loading-truck'!$C$21)&lt;&gt;"No control",SUMIF(('Loading-truck'!$B$31:$B$48),$J585,('Loading-truck'!$E$31:$E$48))*Impacts!$F$14,0)),0)</f>
        <v>0</v>
      </c>
      <c r="S585" s="10">
        <f>IFERROR(IF(('Loading-rail'!$C$21)="No control",SUMIF(('Loading-rail'!$B$31:$B$48),$J585,('Loading-rail'!$D$31:$D$48))*Impacts!$F$15,IF(('Loading-rail'!$C$21)&lt;&gt;"No control",SUMIF(('Loading-rail'!$B$31:$B$48),$J585,('Loading-rail'!$E$31:$E$48))*Impacts!$F$15,0)),0)</f>
        <v>0</v>
      </c>
      <c r="T585" s="10">
        <f>IF(Flare!$C$7="",0,(SUMIF(Flare!$B$46:$B$185,$J585,Flare!$E$46:$E$185)*Impacts!$F$16))</f>
        <v>0</v>
      </c>
      <c r="U585" s="10">
        <f>IF(VCU!$C$9="",0,(SUMIF(VCU!$B$51:$B$193,$J585,VCU!$E$51:$E$193)*Impacts!$F$17))</f>
        <v>0</v>
      </c>
      <c r="V585" s="10">
        <f>IF(CAS!$C$7="",0,(SUMIF(CAS!$B$31:$B$167,$J585,CAS!$E$31:$E$167)*Impacts!$F$18))</f>
        <v>0</v>
      </c>
      <c r="W585" s="10">
        <f t="shared" si="51"/>
        <v>0</v>
      </c>
      <c r="AK585" s="10" t="str">
        <f t="array" ref="AK585">IFERROR(INDEX(SelectedSpecies,SMALL(IF(SelectedSpecies=AK$1,ROW(SelectedSpecies)),ROW(586:586)),2),"")</f>
        <v/>
      </c>
      <c r="BE585" s="10"/>
      <c r="BI585" s="10"/>
    </row>
    <row r="586" spans="1:61" ht="21" customHeight="1" x14ac:dyDescent="0.25">
      <c r="A586" s="10"/>
      <c r="B586" s="10"/>
      <c r="E586" s="10"/>
      <c r="G586" s="10"/>
      <c r="I586" s="436" t="s">
        <v>7248</v>
      </c>
      <c r="J586" s="26" t="s">
        <v>7247</v>
      </c>
      <c r="K586" s="10">
        <v>0.30000000000000004</v>
      </c>
      <c r="L586" s="73">
        <f>IF(Tank1!$C$23="No control",(SUMIF(Tank1!$B$32:$B$49,$J586,Tank1!$C$32:$C$49)*Impacts!$F$8),0)</f>
        <v>0</v>
      </c>
      <c r="M586" s="10">
        <f>IF(Tank2!$C$23="No control",(SUMIF(Tank2!$B$32:$B$49,$J586,Tank2!$C$32:$C$49)*Impacts!$F$9),0)</f>
        <v>0</v>
      </c>
      <c r="N586" s="10">
        <f>IF(Tank3!$C$23="No control",(SUMIF(Tank3!$B$32:$B$49,$J586,Tank3!$C$32:$C$49)*Impacts!$F$10),0)</f>
        <v>0</v>
      </c>
      <c r="O586" s="10">
        <f>IF(Tank4!$C$23="No control",(SUMIF(Tank4!$B$32:$B$49,$J586,Tank4!$C$32:$C$49)*Impacts!$F$11),0)</f>
        <v>0</v>
      </c>
      <c r="P586" s="10">
        <f>IF(Tank5!$C$23="No control",(SUMIF(Tank5!$B$32:$B$49,$J586,Tank5!$C$32:$C$49)*Impacts!$F$12),0)</f>
        <v>0</v>
      </c>
      <c r="Q586" s="10">
        <f>IFERROR(IF(('Loading-drum,tote'!$C$21)="No control",SUMIF(('Loading-drum,tote'!$B$31:$B$48),$J586,('Loading-drum,tote'!$D$31:$D$48))*Impacts!$F$13,IF(('Loading-drum,tote'!$C$21)&lt;&gt;"No control",SUMIF(('Loading-drum,tote'!$B$31:$B$48),$J586,('Loading-drum,tote'!$E$31:$E$48))*Impacts!$F$13,0)),0)</f>
        <v>0</v>
      </c>
      <c r="R586" s="10">
        <f>IFERROR(IF(('Loading-truck'!$C$21)="No control",SUMIF(('Loading-truck'!$B$31:$B$48),$J586,('Loading-truck'!$D$31:$D$48))*Impacts!$F$14,IF(('Loading-truck'!$C$21)&lt;&gt;"No control",SUMIF(('Loading-truck'!$B$31:$B$48),$J586,('Loading-truck'!$E$31:$E$48))*Impacts!$F$14,0)),0)</f>
        <v>0</v>
      </c>
      <c r="S586" s="10">
        <f>IFERROR(IF(('Loading-rail'!$C$21)="No control",SUMIF(('Loading-rail'!$B$31:$B$48),$J586,('Loading-rail'!$D$31:$D$48))*Impacts!$F$15,IF(('Loading-rail'!$C$21)&lt;&gt;"No control",SUMIF(('Loading-rail'!$B$31:$B$48),$J586,('Loading-rail'!$E$31:$E$48))*Impacts!$F$15,0)),0)</f>
        <v>0</v>
      </c>
      <c r="T586" s="10">
        <f>IF(Flare!$C$7="",0,(SUMIF(Flare!$B$46:$B$185,$J586,Flare!$E$46:$E$185)*Impacts!$F$16))</f>
        <v>0</v>
      </c>
      <c r="U586" s="10">
        <f>IF(VCU!$C$9="",0,(SUMIF(VCU!$B$51:$B$193,$J586,VCU!$E$51:$E$193)*Impacts!$F$17))</f>
        <v>0</v>
      </c>
      <c r="V586" s="10">
        <f>IF(CAS!$C$7="",0,(SUMIF(CAS!$B$31:$B$167,$J586,CAS!$E$31:$E$167)*Impacts!$F$18))</f>
        <v>0</v>
      </c>
      <c r="W586" s="10">
        <f t="shared" si="51"/>
        <v>0</v>
      </c>
      <c r="AK586" s="10" t="str">
        <f t="array" ref="AK586">IFERROR(INDEX(SelectedSpecies,SMALL(IF(SelectedSpecies=AK$1,ROW(SelectedSpecies)),ROW(587:587)),2),"")</f>
        <v/>
      </c>
      <c r="BE586" s="10"/>
      <c r="BI586" s="10"/>
    </row>
    <row r="587" spans="1:61" ht="21" customHeight="1" x14ac:dyDescent="0.25">
      <c r="A587" s="10"/>
      <c r="B587" s="10"/>
      <c r="E587" s="10"/>
      <c r="G587" s="10"/>
      <c r="I587" s="436" t="s">
        <v>4945</v>
      </c>
      <c r="J587" s="26" t="s">
        <v>4944</v>
      </c>
      <c r="K587" s="10">
        <v>2.5</v>
      </c>
      <c r="L587" s="73">
        <f>IF(Tank1!$C$23="No control",(SUMIF(Tank1!$B$32:$B$49,$J587,Tank1!$C$32:$C$49)*Impacts!$F$8),0)</f>
        <v>0</v>
      </c>
      <c r="M587" s="10">
        <f>IF(Tank2!$C$23="No control",(SUMIF(Tank2!$B$32:$B$49,$J587,Tank2!$C$32:$C$49)*Impacts!$F$9),0)</f>
        <v>0</v>
      </c>
      <c r="N587" s="10">
        <f>IF(Tank3!$C$23="No control",(SUMIF(Tank3!$B$32:$B$49,$J587,Tank3!$C$32:$C$49)*Impacts!$F$10),0)</f>
        <v>0</v>
      </c>
      <c r="O587" s="10">
        <f>IF(Tank4!$C$23="No control",(SUMIF(Tank4!$B$32:$B$49,$J587,Tank4!$C$32:$C$49)*Impacts!$F$11),0)</f>
        <v>0</v>
      </c>
      <c r="P587" s="10">
        <f>IF(Tank5!$C$23="No control",(SUMIF(Tank5!$B$32:$B$49,$J587,Tank5!$C$32:$C$49)*Impacts!$F$12),0)</f>
        <v>0</v>
      </c>
      <c r="Q587" s="10">
        <f>IFERROR(IF(('Loading-drum,tote'!$C$21)="No control",SUMIF(('Loading-drum,tote'!$B$31:$B$48),$J587,('Loading-drum,tote'!$D$31:$D$48))*Impacts!$F$13,IF(('Loading-drum,tote'!$C$21)&lt;&gt;"No control",SUMIF(('Loading-drum,tote'!$B$31:$B$48),$J587,('Loading-drum,tote'!$E$31:$E$48))*Impacts!$F$13,0)),0)</f>
        <v>0</v>
      </c>
      <c r="R587" s="10">
        <f>IFERROR(IF(('Loading-truck'!$C$21)="No control",SUMIF(('Loading-truck'!$B$31:$B$48),$J587,('Loading-truck'!$D$31:$D$48))*Impacts!$F$14,IF(('Loading-truck'!$C$21)&lt;&gt;"No control",SUMIF(('Loading-truck'!$B$31:$B$48),$J587,('Loading-truck'!$E$31:$E$48))*Impacts!$F$14,0)),0)</f>
        <v>0</v>
      </c>
      <c r="S587" s="10">
        <f>IFERROR(IF(('Loading-rail'!$C$21)="No control",SUMIF(('Loading-rail'!$B$31:$B$48),$J587,('Loading-rail'!$D$31:$D$48))*Impacts!$F$15,IF(('Loading-rail'!$C$21)&lt;&gt;"No control",SUMIF(('Loading-rail'!$B$31:$B$48),$J587,('Loading-rail'!$E$31:$E$48))*Impacts!$F$15,0)),0)</f>
        <v>0</v>
      </c>
      <c r="T587" s="10">
        <f>IF(Flare!$C$7="",0,(SUMIF(Flare!$B$46:$B$185,$J587,Flare!$E$46:$E$185)*Impacts!$F$16))</f>
        <v>0</v>
      </c>
      <c r="U587" s="10">
        <f>IF(VCU!$C$9="",0,(SUMIF(VCU!$B$51:$B$193,$J587,VCU!$E$51:$E$193)*Impacts!$F$17))</f>
        <v>0</v>
      </c>
      <c r="V587" s="10">
        <f>IF(CAS!$C$7="",0,(SUMIF(CAS!$B$31:$B$167,$J587,CAS!$E$31:$E$167)*Impacts!$F$18))</f>
        <v>0</v>
      </c>
      <c r="W587" s="10">
        <f t="shared" si="51"/>
        <v>0</v>
      </c>
      <c r="AK587" s="10" t="str">
        <f t="array" ref="AK587">IFERROR(INDEX(SelectedSpecies,SMALL(IF(SelectedSpecies=AK$1,ROW(SelectedSpecies)),ROW(588:588)),2),"")</f>
        <v/>
      </c>
      <c r="BE587" s="10"/>
      <c r="BI587" s="10"/>
    </row>
    <row r="588" spans="1:61" ht="21" customHeight="1" x14ac:dyDescent="0.25">
      <c r="A588" s="10"/>
      <c r="B588" s="10"/>
      <c r="E588" s="10"/>
      <c r="G588" s="10"/>
      <c r="I588" s="436" t="s">
        <v>3571</v>
      </c>
      <c r="J588" s="26" t="s">
        <v>3570</v>
      </c>
      <c r="K588" s="10">
        <v>8.1</v>
      </c>
      <c r="L588" s="73">
        <f>IF(Tank1!$C$23="No control",(SUMIF(Tank1!$B$32:$B$49,$J588,Tank1!$C$32:$C$49)*Impacts!$F$8),0)</f>
        <v>0</v>
      </c>
      <c r="M588" s="10">
        <f>IF(Tank2!$C$23="No control",(SUMIF(Tank2!$B$32:$B$49,$J588,Tank2!$C$32:$C$49)*Impacts!$F$9),0)</f>
        <v>0</v>
      </c>
      <c r="N588" s="10">
        <f>IF(Tank3!$C$23="No control",(SUMIF(Tank3!$B$32:$B$49,$J588,Tank3!$C$32:$C$49)*Impacts!$F$10),0)</f>
        <v>0</v>
      </c>
      <c r="O588" s="10">
        <f>IF(Tank4!$C$23="No control",(SUMIF(Tank4!$B$32:$B$49,$J588,Tank4!$C$32:$C$49)*Impacts!$F$11),0)</f>
        <v>0</v>
      </c>
      <c r="P588" s="10">
        <f>IF(Tank5!$C$23="No control",(SUMIF(Tank5!$B$32:$B$49,$J588,Tank5!$C$32:$C$49)*Impacts!$F$12),0)</f>
        <v>0</v>
      </c>
      <c r="Q588" s="10">
        <f>IFERROR(IF(('Loading-drum,tote'!$C$21)="No control",SUMIF(('Loading-drum,tote'!$B$31:$B$48),$J588,('Loading-drum,tote'!$D$31:$D$48))*Impacts!$F$13,IF(('Loading-drum,tote'!$C$21)&lt;&gt;"No control",SUMIF(('Loading-drum,tote'!$B$31:$B$48),$J588,('Loading-drum,tote'!$E$31:$E$48))*Impacts!$F$13,0)),0)</f>
        <v>0</v>
      </c>
      <c r="R588" s="10">
        <f>IFERROR(IF(('Loading-truck'!$C$21)="No control",SUMIF(('Loading-truck'!$B$31:$B$48),$J588,('Loading-truck'!$D$31:$D$48))*Impacts!$F$14,IF(('Loading-truck'!$C$21)&lt;&gt;"No control",SUMIF(('Loading-truck'!$B$31:$B$48),$J588,('Loading-truck'!$E$31:$E$48))*Impacts!$F$14,0)),0)</f>
        <v>0</v>
      </c>
      <c r="S588" s="10">
        <f>IFERROR(IF(('Loading-rail'!$C$21)="No control",SUMIF(('Loading-rail'!$B$31:$B$48),$J588,('Loading-rail'!$D$31:$D$48))*Impacts!$F$15,IF(('Loading-rail'!$C$21)&lt;&gt;"No control",SUMIF(('Loading-rail'!$B$31:$B$48),$J588,('Loading-rail'!$E$31:$E$48))*Impacts!$F$15,0)),0)</f>
        <v>0</v>
      </c>
      <c r="T588" s="10">
        <f>IF(Flare!$C$7="",0,(SUMIF(Flare!$B$46:$B$185,$J588,Flare!$E$46:$E$185)*Impacts!$F$16))</f>
        <v>0</v>
      </c>
      <c r="U588" s="10">
        <f>IF(VCU!$C$9="",0,(SUMIF(VCU!$B$51:$B$193,$J588,VCU!$E$51:$E$193)*Impacts!$F$17))</f>
        <v>0</v>
      </c>
      <c r="V588" s="10">
        <f>IF(CAS!$C$7="",0,(SUMIF(CAS!$B$31:$B$167,$J588,CAS!$E$31:$E$167)*Impacts!$F$18))</f>
        <v>0</v>
      </c>
      <c r="W588" s="10">
        <f t="shared" si="51"/>
        <v>0</v>
      </c>
      <c r="AK588" s="10" t="str">
        <f t="array" ref="AK588">IFERROR(INDEX(SelectedSpecies,SMALL(IF(SelectedSpecies=AK$1,ROW(SelectedSpecies)),ROW(589:589)),2),"")</f>
        <v/>
      </c>
      <c r="BE588" s="10"/>
      <c r="BI588" s="10"/>
    </row>
    <row r="589" spans="1:61" ht="21" customHeight="1" x14ac:dyDescent="0.25">
      <c r="A589" s="10"/>
      <c r="B589" s="10"/>
      <c r="E589" s="10"/>
      <c r="G589" s="10"/>
      <c r="I589" s="436" t="s">
        <v>7894</v>
      </c>
      <c r="J589" s="26" t="s">
        <v>7893</v>
      </c>
      <c r="K589" s="10">
        <v>0.05</v>
      </c>
      <c r="L589" s="73">
        <f>IF(Tank1!$C$23="No control",(SUMIF(Tank1!$B$32:$B$49,$J589,Tank1!$C$32:$C$49)*Impacts!$F$8),0)</f>
        <v>0</v>
      </c>
      <c r="M589" s="10">
        <f>IF(Tank2!$C$23="No control",(SUMIF(Tank2!$B$32:$B$49,$J589,Tank2!$C$32:$C$49)*Impacts!$F$9),0)</f>
        <v>0</v>
      </c>
      <c r="N589" s="10">
        <f>IF(Tank3!$C$23="No control",(SUMIF(Tank3!$B$32:$B$49,$J589,Tank3!$C$32:$C$49)*Impacts!$F$10),0)</f>
        <v>0</v>
      </c>
      <c r="O589" s="10">
        <f>IF(Tank4!$C$23="No control",(SUMIF(Tank4!$B$32:$B$49,$J589,Tank4!$C$32:$C$49)*Impacts!$F$11),0)</f>
        <v>0</v>
      </c>
      <c r="P589" s="10">
        <f>IF(Tank5!$C$23="No control",(SUMIF(Tank5!$B$32:$B$49,$J589,Tank5!$C$32:$C$49)*Impacts!$F$12),0)</f>
        <v>0</v>
      </c>
      <c r="Q589" s="10">
        <f>IFERROR(IF(('Loading-drum,tote'!$C$21)="No control",SUMIF(('Loading-drum,tote'!$B$31:$B$48),$J589,('Loading-drum,tote'!$D$31:$D$48))*Impacts!$F$13,IF(('Loading-drum,tote'!$C$21)&lt;&gt;"No control",SUMIF(('Loading-drum,tote'!$B$31:$B$48),$J589,('Loading-drum,tote'!$E$31:$E$48))*Impacts!$F$13,0)),0)</f>
        <v>0</v>
      </c>
      <c r="R589" s="10">
        <f>IFERROR(IF(('Loading-truck'!$C$21)="No control",SUMIF(('Loading-truck'!$B$31:$B$48),$J589,('Loading-truck'!$D$31:$D$48))*Impacts!$F$14,IF(('Loading-truck'!$C$21)&lt;&gt;"No control",SUMIF(('Loading-truck'!$B$31:$B$48),$J589,('Loading-truck'!$E$31:$E$48))*Impacts!$F$14,0)),0)</f>
        <v>0</v>
      </c>
      <c r="S589" s="10">
        <f>IFERROR(IF(('Loading-rail'!$C$21)="No control",SUMIF(('Loading-rail'!$B$31:$B$48),$J589,('Loading-rail'!$D$31:$D$48))*Impacts!$F$15,IF(('Loading-rail'!$C$21)&lt;&gt;"No control",SUMIF(('Loading-rail'!$B$31:$B$48),$J589,('Loading-rail'!$E$31:$E$48))*Impacts!$F$15,0)),0)</f>
        <v>0</v>
      </c>
      <c r="T589" s="10">
        <f>IF(Flare!$C$7="",0,(SUMIF(Flare!$B$46:$B$185,$J589,Flare!$E$46:$E$185)*Impacts!$F$16))</f>
        <v>0</v>
      </c>
      <c r="U589" s="10">
        <f>IF(VCU!$C$9="",0,(SUMIF(VCU!$B$51:$B$193,$J589,VCU!$E$51:$E$193)*Impacts!$F$17))</f>
        <v>0</v>
      </c>
      <c r="V589" s="10">
        <f>IF(CAS!$C$7="",0,(SUMIF(CAS!$B$31:$B$167,$J589,CAS!$E$31:$E$167)*Impacts!$F$18))</f>
        <v>0</v>
      </c>
      <c r="W589" s="10">
        <f t="shared" si="51"/>
        <v>0</v>
      </c>
      <c r="AK589" s="10" t="str">
        <f t="array" ref="AK589">IFERROR(INDEX(SelectedSpecies,SMALL(IF(SelectedSpecies=AK$1,ROW(SelectedSpecies)),ROW(590:590)),2),"")</f>
        <v/>
      </c>
      <c r="BE589" s="10"/>
      <c r="BI589" s="10"/>
    </row>
    <row r="590" spans="1:61" ht="21" customHeight="1" x14ac:dyDescent="0.25">
      <c r="A590" s="10"/>
      <c r="B590" s="10"/>
      <c r="E590" s="10"/>
      <c r="G590" s="10"/>
      <c r="I590" s="436" t="s">
        <v>2703</v>
      </c>
      <c r="J590" s="26" t="s">
        <v>2702</v>
      </c>
      <c r="K590" s="10">
        <v>10</v>
      </c>
      <c r="L590" s="73">
        <f>IF(Tank1!$C$23="No control",(SUMIF(Tank1!$B$32:$B$49,$J590,Tank1!$C$32:$C$49)*Impacts!$F$8),0)</f>
        <v>0</v>
      </c>
      <c r="M590" s="10">
        <f>IF(Tank2!$C$23="No control",(SUMIF(Tank2!$B$32:$B$49,$J590,Tank2!$C$32:$C$49)*Impacts!$F$9),0)</f>
        <v>0</v>
      </c>
      <c r="N590" s="10">
        <f>IF(Tank3!$C$23="No control",(SUMIF(Tank3!$B$32:$B$49,$J590,Tank3!$C$32:$C$49)*Impacts!$F$10),0)</f>
        <v>0</v>
      </c>
      <c r="O590" s="10">
        <f>IF(Tank4!$C$23="No control",(SUMIF(Tank4!$B$32:$B$49,$J590,Tank4!$C$32:$C$49)*Impacts!$F$11),0)</f>
        <v>0</v>
      </c>
      <c r="P590" s="10">
        <f>IF(Tank5!$C$23="No control",(SUMIF(Tank5!$B$32:$B$49,$J590,Tank5!$C$32:$C$49)*Impacts!$F$12),0)</f>
        <v>0</v>
      </c>
      <c r="Q590" s="10">
        <f>IFERROR(IF(('Loading-drum,tote'!$C$21)="No control",SUMIF(('Loading-drum,tote'!$B$31:$B$48),$J590,('Loading-drum,tote'!$D$31:$D$48))*Impacts!$F$13,IF(('Loading-drum,tote'!$C$21)&lt;&gt;"No control",SUMIF(('Loading-drum,tote'!$B$31:$B$48),$J590,('Loading-drum,tote'!$E$31:$E$48))*Impacts!$F$13,0)),0)</f>
        <v>0</v>
      </c>
      <c r="R590" s="10">
        <f>IFERROR(IF(('Loading-truck'!$C$21)="No control",SUMIF(('Loading-truck'!$B$31:$B$48),$J590,('Loading-truck'!$D$31:$D$48))*Impacts!$F$14,IF(('Loading-truck'!$C$21)&lt;&gt;"No control",SUMIF(('Loading-truck'!$B$31:$B$48),$J590,('Loading-truck'!$E$31:$E$48))*Impacts!$F$14,0)),0)</f>
        <v>0</v>
      </c>
      <c r="S590" s="10">
        <f>IFERROR(IF(('Loading-rail'!$C$21)="No control",SUMIF(('Loading-rail'!$B$31:$B$48),$J590,('Loading-rail'!$D$31:$D$48))*Impacts!$F$15,IF(('Loading-rail'!$C$21)&lt;&gt;"No control",SUMIF(('Loading-rail'!$B$31:$B$48),$J590,('Loading-rail'!$E$31:$E$48))*Impacts!$F$15,0)),0)</f>
        <v>0</v>
      </c>
      <c r="T590" s="10">
        <f>IF(Flare!$C$7="",0,(SUMIF(Flare!$B$46:$B$185,$J590,Flare!$E$46:$E$185)*Impacts!$F$16))</f>
        <v>0</v>
      </c>
      <c r="U590" s="10">
        <f>IF(VCU!$C$9="",0,(SUMIF(VCU!$B$51:$B$193,$J590,VCU!$E$51:$E$193)*Impacts!$F$17))</f>
        <v>0</v>
      </c>
      <c r="V590" s="10">
        <f>IF(CAS!$C$7="",0,(SUMIF(CAS!$B$31:$B$167,$J590,CAS!$E$31:$E$167)*Impacts!$F$18))</f>
        <v>0</v>
      </c>
      <c r="W590" s="10">
        <f t="shared" si="51"/>
        <v>0</v>
      </c>
      <c r="AK590" s="10" t="str">
        <f t="array" ref="AK590">IFERROR(INDEX(SelectedSpecies,SMALL(IF(SelectedSpecies=AK$1,ROW(SelectedSpecies)),ROW(591:591)),2),"")</f>
        <v/>
      </c>
      <c r="BE590" s="10"/>
      <c r="BI590" s="10"/>
    </row>
    <row r="591" spans="1:61" ht="21" customHeight="1" x14ac:dyDescent="0.25">
      <c r="A591" s="10"/>
      <c r="B591" s="10"/>
      <c r="E591" s="10"/>
      <c r="G591" s="10"/>
      <c r="I591" s="436" t="s">
        <v>3905</v>
      </c>
      <c r="J591" s="26" t="s">
        <v>3904</v>
      </c>
      <c r="K591" s="10">
        <v>6</v>
      </c>
      <c r="L591" s="73">
        <f>IF(Tank1!$C$23="No control",(SUMIF(Tank1!$B$32:$B$49,$J591,Tank1!$C$32:$C$49)*Impacts!$F$8),0)</f>
        <v>0</v>
      </c>
      <c r="M591" s="10">
        <f>IF(Tank2!$C$23="No control",(SUMIF(Tank2!$B$32:$B$49,$J591,Tank2!$C$32:$C$49)*Impacts!$F$9),0)</f>
        <v>0</v>
      </c>
      <c r="N591" s="10">
        <f>IF(Tank3!$C$23="No control",(SUMIF(Tank3!$B$32:$B$49,$J591,Tank3!$C$32:$C$49)*Impacts!$F$10),0)</f>
        <v>0</v>
      </c>
      <c r="O591" s="10">
        <f>IF(Tank4!$C$23="No control",(SUMIF(Tank4!$B$32:$B$49,$J591,Tank4!$C$32:$C$49)*Impacts!$F$11),0)</f>
        <v>0</v>
      </c>
      <c r="P591" s="10">
        <f>IF(Tank5!$C$23="No control",(SUMIF(Tank5!$B$32:$B$49,$J591,Tank5!$C$32:$C$49)*Impacts!$F$12),0)</f>
        <v>0</v>
      </c>
      <c r="Q591" s="10">
        <f>IFERROR(IF(('Loading-drum,tote'!$C$21)="No control",SUMIF(('Loading-drum,tote'!$B$31:$B$48),$J591,('Loading-drum,tote'!$D$31:$D$48))*Impacts!$F$13,IF(('Loading-drum,tote'!$C$21)&lt;&gt;"No control",SUMIF(('Loading-drum,tote'!$B$31:$B$48),$J591,('Loading-drum,tote'!$E$31:$E$48))*Impacts!$F$13,0)),0)</f>
        <v>0</v>
      </c>
      <c r="R591" s="10">
        <f>IFERROR(IF(('Loading-truck'!$C$21)="No control",SUMIF(('Loading-truck'!$B$31:$B$48),$J591,('Loading-truck'!$D$31:$D$48))*Impacts!$F$14,IF(('Loading-truck'!$C$21)&lt;&gt;"No control",SUMIF(('Loading-truck'!$B$31:$B$48),$J591,('Loading-truck'!$E$31:$E$48))*Impacts!$F$14,0)),0)</f>
        <v>0</v>
      </c>
      <c r="S591" s="10">
        <f>IFERROR(IF(('Loading-rail'!$C$21)="No control",SUMIF(('Loading-rail'!$B$31:$B$48),$J591,('Loading-rail'!$D$31:$D$48))*Impacts!$F$15,IF(('Loading-rail'!$C$21)&lt;&gt;"No control",SUMIF(('Loading-rail'!$B$31:$B$48),$J591,('Loading-rail'!$E$31:$E$48))*Impacts!$F$15,0)),0)</f>
        <v>0</v>
      </c>
      <c r="T591" s="10">
        <f>IF(Flare!$C$7="",0,(SUMIF(Flare!$B$46:$B$185,$J591,Flare!$E$46:$E$185)*Impacts!$F$16))</f>
        <v>0</v>
      </c>
      <c r="U591" s="10">
        <f>IF(VCU!$C$9="",0,(SUMIF(VCU!$B$51:$B$193,$J591,VCU!$E$51:$E$193)*Impacts!$F$17))</f>
        <v>0</v>
      </c>
      <c r="V591" s="10">
        <f>IF(CAS!$C$7="",0,(SUMIF(CAS!$B$31:$B$167,$J591,CAS!$E$31:$E$167)*Impacts!$F$18))</f>
        <v>0</v>
      </c>
      <c r="W591" s="10">
        <f t="shared" si="51"/>
        <v>0</v>
      </c>
      <c r="AK591" s="10" t="str">
        <f t="array" ref="AK591">IFERROR(INDEX(SelectedSpecies,SMALL(IF(SelectedSpecies=AK$1,ROW(SelectedSpecies)),ROW(592:592)),2),"")</f>
        <v/>
      </c>
      <c r="BE591" s="10"/>
      <c r="BI591" s="10"/>
    </row>
    <row r="592" spans="1:61" ht="21" customHeight="1" x14ac:dyDescent="0.25">
      <c r="A592" s="10"/>
      <c r="B592" s="10"/>
      <c r="E592" s="10"/>
      <c r="G592" s="10"/>
      <c r="I592" s="436" t="s">
        <v>7954</v>
      </c>
      <c r="J592" s="26" t="s">
        <v>7953</v>
      </c>
      <c r="K592" s="10">
        <v>4.4000000000000004E-2</v>
      </c>
      <c r="L592" s="73">
        <f>IF(Tank1!$C$23="No control",(SUMIF(Tank1!$B$32:$B$49,$J592,Tank1!$C$32:$C$49)*Impacts!$F$8),0)</f>
        <v>0</v>
      </c>
      <c r="M592" s="10">
        <f>IF(Tank2!$C$23="No control",(SUMIF(Tank2!$B$32:$B$49,$J592,Tank2!$C$32:$C$49)*Impacts!$F$9),0)</f>
        <v>0</v>
      </c>
      <c r="N592" s="10">
        <f>IF(Tank3!$C$23="No control",(SUMIF(Tank3!$B$32:$B$49,$J592,Tank3!$C$32:$C$49)*Impacts!$F$10),0)</f>
        <v>0</v>
      </c>
      <c r="O592" s="10">
        <f>IF(Tank4!$C$23="No control",(SUMIF(Tank4!$B$32:$B$49,$J592,Tank4!$C$32:$C$49)*Impacts!$F$11),0)</f>
        <v>0</v>
      </c>
      <c r="P592" s="10">
        <f>IF(Tank5!$C$23="No control",(SUMIF(Tank5!$B$32:$B$49,$J592,Tank5!$C$32:$C$49)*Impacts!$F$12),0)</f>
        <v>0</v>
      </c>
      <c r="Q592" s="10">
        <f>IFERROR(IF(('Loading-drum,tote'!$C$21)="No control",SUMIF(('Loading-drum,tote'!$B$31:$B$48),$J592,('Loading-drum,tote'!$D$31:$D$48))*Impacts!$F$13,IF(('Loading-drum,tote'!$C$21)&lt;&gt;"No control",SUMIF(('Loading-drum,tote'!$B$31:$B$48),$J592,('Loading-drum,tote'!$E$31:$E$48))*Impacts!$F$13,0)),0)</f>
        <v>0</v>
      </c>
      <c r="R592" s="10">
        <f>IFERROR(IF(('Loading-truck'!$C$21)="No control",SUMIF(('Loading-truck'!$B$31:$B$48),$J592,('Loading-truck'!$D$31:$D$48))*Impacts!$F$14,IF(('Loading-truck'!$C$21)&lt;&gt;"No control",SUMIF(('Loading-truck'!$B$31:$B$48),$J592,('Loading-truck'!$E$31:$E$48))*Impacts!$F$14,0)),0)</f>
        <v>0</v>
      </c>
      <c r="S592" s="10">
        <f>IFERROR(IF(('Loading-rail'!$C$21)="No control",SUMIF(('Loading-rail'!$B$31:$B$48),$J592,('Loading-rail'!$D$31:$D$48))*Impacts!$F$15,IF(('Loading-rail'!$C$21)&lt;&gt;"No control",SUMIF(('Loading-rail'!$B$31:$B$48),$J592,('Loading-rail'!$E$31:$E$48))*Impacts!$F$15,0)),0)</f>
        <v>0</v>
      </c>
      <c r="T592" s="10">
        <f>IF(Flare!$C$7="",0,(SUMIF(Flare!$B$46:$B$185,$J592,Flare!$E$46:$E$185)*Impacts!$F$16))</f>
        <v>0</v>
      </c>
      <c r="U592" s="10">
        <f>IF(VCU!$C$9="",0,(SUMIF(VCU!$B$51:$B$193,$J592,VCU!$E$51:$E$193)*Impacts!$F$17))</f>
        <v>0</v>
      </c>
      <c r="V592" s="10">
        <f>IF(CAS!$C$7="",0,(SUMIF(CAS!$B$31:$B$167,$J592,CAS!$E$31:$E$167)*Impacts!$F$18))</f>
        <v>0</v>
      </c>
      <c r="W592" s="10">
        <f t="shared" si="51"/>
        <v>0</v>
      </c>
      <c r="AK592" s="10" t="str">
        <f t="array" ref="AK592">IFERROR(INDEX(SelectedSpecies,SMALL(IF(SelectedSpecies=AK$1,ROW(SelectedSpecies)),ROW(593:593)),2),"")</f>
        <v/>
      </c>
      <c r="BE592" s="10"/>
      <c r="BI592" s="10"/>
    </row>
    <row r="593" spans="1:61" ht="21" customHeight="1" x14ac:dyDescent="0.25">
      <c r="A593" s="10"/>
      <c r="B593" s="10"/>
      <c r="E593" s="10"/>
      <c r="G593" s="10"/>
      <c r="I593" s="436" t="s">
        <v>10333</v>
      </c>
      <c r="J593" s="26" t="s">
        <v>10334</v>
      </c>
      <c r="K593" s="10">
        <v>9.0000000000000011E-2</v>
      </c>
      <c r="L593" s="73">
        <f>IF(Tank1!$C$23="No control",(SUMIF(Tank1!$B$32:$B$49,$J593,Tank1!$C$32:$C$49)*Impacts!$F$8),0)</f>
        <v>0</v>
      </c>
      <c r="M593" s="10">
        <f>IF(Tank2!$C$23="No control",(SUMIF(Tank2!$B$32:$B$49,$J593,Tank2!$C$32:$C$49)*Impacts!$F$9),0)</f>
        <v>0</v>
      </c>
      <c r="N593" s="10">
        <f>IF(Tank3!$C$23="No control",(SUMIF(Tank3!$B$32:$B$49,$J593,Tank3!$C$32:$C$49)*Impacts!$F$10),0)</f>
        <v>0</v>
      </c>
      <c r="O593" s="10">
        <f>IF(Tank4!$C$23="No control",(SUMIF(Tank4!$B$32:$B$49,$J593,Tank4!$C$32:$C$49)*Impacts!$F$11),0)</f>
        <v>0</v>
      </c>
      <c r="P593" s="10">
        <f>IF(Tank5!$C$23="No control",(SUMIF(Tank5!$B$32:$B$49,$J593,Tank5!$C$32:$C$49)*Impacts!$F$12),0)</f>
        <v>0</v>
      </c>
      <c r="Q593" s="10">
        <f>IFERROR(IF(('Loading-drum,tote'!$C$21)="No control",SUMIF(('Loading-drum,tote'!$B$31:$B$48),$J593,('Loading-drum,tote'!$D$31:$D$48))*Impacts!$F$13,IF(('Loading-drum,tote'!$C$21)&lt;&gt;"No control",SUMIF(('Loading-drum,tote'!$B$31:$B$48),$J593,('Loading-drum,tote'!$E$31:$E$48))*Impacts!$F$13,0)),0)</f>
        <v>0</v>
      </c>
      <c r="R593" s="10">
        <f>IFERROR(IF(('Loading-truck'!$C$21)="No control",SUMIF(('Loading-truck'!$B$31:$B$48),$J593,('Loading-truck'!$D$31:$D$48))*Impacts!$F$14,IF(('Loading-truck'!$C$21)&lt;&gt;"No control",SUMIF(('Loading-truck'!$B$31:$B$48),$J593,('Loading-truck'!$E$31:$E$48))*Impacts!$F$14,0)),0)</f>
        <v>0</v>
      </c>
      <c r="S593" s="10">
        <f>IFERROR(IF(('Loading-rail'!$C$21)="No control",SUMIF(('Loading-rail'!$B$31:$B$48),$J593,('Loading-rail'!$D$31:$D$48))*Impacts!$F$15,IF(('Loading-rail'!$C$21)&lt;&gt;"No control",SUMIF(('Loading-rail'!$B$31:$B$48),$J593,('Loading-rail'!$E$31:$E$48))*Impacts!$F$15,0)),0)</f>
        <v>0</v>
      </c>
      <c r="T593" s="10">
        <f>IF(Flare!$C$7="",0,(SUMIF(Flare!$B$46:$B$185,$J593,Flare!$E$46:$E$185)*Impacts!$F$16))</f>
        <v>0</v>
      </c>
      <c r="U593" s="10">
        <f>IF(VCU!$C$9="",0,(SUMIF(VCU!$B$51:$B$193,$J593,VCU!$E$51:$E$193)*Impacts!$F$17))</f>
        <v>0</v>
      </c>
      <c r="V593" s="10">
        <f>IF(CAS!$C$7="",0,(SUMIF(CAS!$B$31:$B$167,$J593,CAS!$E$31:$E$167)*Impacts!$F$18))</f>
        <v>0</v>
      </c>
      <c r="W593" s="10">
        <f t="shared" si="51"/>
        <v>0</v>
      </c>
      <c r="AK593" s="10" t="str">
        <f t="array" ref="AK593">IFERROR(INDEX(SelectedSpecies,SMALL(IF(SelectedSpecies=AK$1,ROW(SelectedSpecies)),ROW(594:594)),2),"")</f>
        <v/>
      </c>
      <c r="BE593" s="10"/>
      <c r="BI593" s="10"/>
    </row>
    <row r="594" spans="1:61" ht="21" customHeight="1" x14ac:dyDescent="0.25">
      <c r="A594" s="10"/>
      <c r="B594" s="10"/>
      <c r="E594" s="10"/>
      <c r="G594" s="10"/>
      <c r="I594" s="436" t="s">
        <v>285</v>
      </c>
      <c r="J594" s="26" t="s">
        <v>284</v>
      </c>
      <c r="K594" s="10" t="s">
        <v>10275</v>
      </c>
      <c r="L594" s="73">
        <f>IF(Tank1!$C$23="No control",(SUMIF(Tank1!$B$32:$B$49,$J594,Tank1!$C$32:$C$49)*Impacts!$F$8),0)</f>
        <v>0</v>
      </c>
      <c r="M594" s="10">
        <f>IF(Tank2!$C$23="No control",(SUMIF(Tank2!$B$32:$B$49,$J594,Tank2!$C$32:$C$49)*Impacts!$F$9),0)</f>
        <v>0</v>
      </c>
      <c r="N594" s="10">
        <f>IF(Tank3!$C$23="No control",(SUMIF(Tank3!$B$32:$B$49,$J594,Tank3!$C$32:$C$49)*Impacts!$F$10),0)</f>
        <v>0</v>
      </c>
      <c r="O594" s="10">
        <f>IF(Tank4!$C$23="No control",(SUMIF(Tank4!$B$32:$B$49,$J594,Tank4!$C$32:$C$49)*Impacts!$F$11),0)</f>
        <v>0</v>
      </c>
      <c r="P594" s="10">
        <f>IF(Tank5!$C$23="No control",(SUMIF(Tank5!$B$32:$B$49,$J594,Tank5!$C$32:$C$49)*Impacts!$F$12),0)</f>
        <v>0</v>
      </c>
      <c r="Q594" s="10">
        <f>IFERROR(IF(('Loading-drum,tote'!$C$21)="No control",SUMIF(('Loading-drum,tote'!$B$31:$B$48),$J594,('Loading-drum,tote'!$D$31:$D$48))*Impacts!$F$13,IF(('Loading-drum,tote'!$C$21)&lt;&gt;"No control",SUMIF(('Loading-drum,tote'!$B$31:$B$48),$J594,('Loading-drum,tote'!$E$31:$E$48))*Impacts!$F$13,0)),0)</f>
        <v>0</v>
      </c>
      <c r="R594" s="10">
        <f>IFERROR(IF(('Loading-truck'!$C$21)="No control",SUMIF(('Loading-truck'!$B$31:$B$48),$J594,('Loading-truck'!$D$31:$D$48))*Impacts!$F$14,IF(('Loading-truck'!$C$21)&lt;&gt;"No control",SUMIF(('Loading-truck'!$B$31:$B$48),$J594,('Loading-truck'!$E$31:$E$48))*Impacts!$F$14,0)),0)</f>
        <v>0</v>
      </c>
      <c r="S594" s="10">
        <f>IFERROR(IF(('Loading-rail'!$C$21)="No control",SUMIF(('Loading-rail'!$B$31:$B$48),$J594,('Loading-rail'!$D$31:$D$48))*Impacts!$F$15,IF(('Loading-rail'!$C$21)&lt;&gt;"No control",SUMIF(('Loading-rail'!$B$31:$B$48),$J594,('Loading-rail'!$E$31:$E$48))*Impacts!$F$15,0)),0)</f>
        <v>0</v>
      </c>
      <c r="T594" s="10">
        <f>IF(Flare!$C$7="",0,(SUMIF(Flare!$B$46:$B$185,$J594,Flare!$E$46:$E$185)*Impacts!$F$16))</f>
        <v>0</v>
      </c>
      <c r="U594" s="10">
        <f>IF(VCU!$C$9="",0,(SUMIF(VCU!$B$51:$B$193,$J594,VCU!$E$51:$E$193)*Impacts!$F$17))</f>
        <v>0</v>
      </c>
      <c r="V594" s="10">
        <f>IF(CAS!$C$7="",0,(SUMIF(CAS!$B$31:$B$167,$J594,CAS!$E$31:$E$167)*Impacts!$F$18))</f>
        <v>0</v>
      </c>
      <c r="W594" s="10">
        <f t="shared" si="51"/>
        <v>0</v>
      </c>
      <c r="AK594" s="10" t="str">
        <f t="array" ref="AK594">IFERROR(INDEX(SelectedSpecies,SMALL(IF(SelectedSpecies=AK$1,ROW(SelectedSpecies)),ROW(595:595)),2),"")</f>
        <v/>
      </c>
      <c r="BE594" s="10"/>
      <c r="BI594" s="10"/>
    </row>
    <row r="595" spans="1:61" ht="21" customHeight="1" x14ac:dyDescent="0.25">
      <c r="A595" s="10"/>
      <c r="B595" s="10"/>
      <c r="E595" s="10"/>
      <c r="G595" s="10"/>
      <c r="I595" s="436" t="s">
        <v>421</v>
      </c>
      <c r="J595" s="26" t="s">
        <v>420</v>
      </c>
      <c r="K595" s="10">
        <v>190</v>
      </c>
      <c r="L595" s="73">
        <f>IF(Tank1!$C$23="No control",(SUMIF(Tank1!$B$32:$B$49,$J595,Tank1!$C$32:$C$49)*Impacts!$F$8),0)</f>
        <v>0</v>
      </c>
      <c r="M595" s="10">
        <f>IF(Tank2!$C$23="No control",(SUMIF(Tank2!$B$32:$B$49,$J595,Tank2!$C$32:$C$49)*Impacts!$F$9),0)</f>
        <v>0</v>
      </c>
      <c r="N595" s="10">
        <f>IF(Tank3!$C$23="No control",(SUMIF(Tank3!$B$32:$B$49,$J595,Tank3!$C$32:$C$49)*Impacts!$F$10),0)</f>
        <v>0</v>
      </c>
      <c r="O595" s="10">
        <f>IF(Tank4!$C$23="No control",(SUMIF(Tank4!$B$32:$B$49,$J595,Tank4!$C$32:$C$49)*Impacts!$F$11),0)</f>
        <v>0</v>
      </c>
      <c r="P595" s="10">
        <f>IF(Tank5!$C$23="No control",(SUMIF(Tank5!$B$32:$B$49,$J595,Tank5!$C$32:$C$49)*Impacts!$F$12),0)</f>
        <v>0</v>
      </c>
      <c r="Q595" s="10">
        <f>IFERROR(IF(('Loading-drum,tote'!$C$21)="No control",SUMIF(('Loading-drum,tote'!$B$31:$B$48),$J595,('Loading-drum,tote'!$D$31:$D$48))*Impacts!$F$13,IF(('Loading-drum,tote'!$C$21)&lt;&gt;"No control",SUMIF(('Loading-drum,tote'!$B$31:$B$48),$J595,('Loading-drum,tote'!$E$31:$E$48))*Impacts!$F$13,0)),0)</f>
        <v>0</v>
      </c>
      <c r="R595" s="10">
        <f>IFERROR(IF(('Loading-truck'!$C$21)="No control",SUMIF(('Loading-truck'!$B$31:$B$48),$J595,('Loading-truck'!$D$31:$D$48))*Impacts!$F$14,IF(('Loading-truck'!$C$21)&lt;&gt;"No control",SUMIF(('Loading-truck'!$B$31:$B$48),$J595,('Loading-truck'!$E$31:$E$48))*Impacts!$F$14,0)),0)</f>
        <v>0</v>
      </c>
      <c r="S595" s="10">
        <f>IFERROR(IF(('Loading-rail'!$C$21)="No control",SUMIF(('Loading-rail'!$B$31:$B$48),$J595,('Loading-rail'!$D$31:$D$48))*Impacts!$F$15,IF(('Loading-rail'!$C$21)&lt;&gt;"No control",SUMIF(('Loading-rail'!$B$31:$B$48),$J595,('Loading-rail'!$E$31:$E$48))*Impacts!$F$15,0)),0)</f>
        <v>0</v>
      </c>
      <c r="T595" s="10">
        <f>IF(Flare!$C$7="",0,(SUMIF(Flare!$B$46:$B$185,$J595,Flare!$E$46:$E$185)*Impacts!$F$16))</f>
        <v>0</v>
      </c>
      <c r="U595" s="10">
        <f>IF(VCU!$C$9="",0,(SUMIF(VCU!$B$51:$B$193,$J595,VCU!$E$51:$E$193)*Impacts!$F$17))</f>
        <v>0</v>
      </c>
      <c r="V595" s="10">
        <f>IF(CAS!$C$7="",0,(SUMIF(CAS!$B$31:$B$167,$J595,CAS!$E$31:$E$167)*Impacts!$F$18))</f>
        <v>0</v>
      </c>
      <c r="W595" s="10">
        <f t="shared" si="51"/>
        <v>0</v>
      </c>
      <c r="AK595" s="10" t="str">
        <f t="array" ref="AK595">IFERROR(INDEX(SelectedSpecies,SMALL(IF(SelectedSpecies=AK$1,ROW(SelectedSpecies)),ROW(596:596)),2),"")</f>
        <v/>
      </c>
      <c r="BE595" s="10"/>
      <c r="BI595" s="10"/>
    </row>
    <row r="596" spans="1:61" ht="21" customHeight="1" x14ac:dyDescent="0.25">
      <c r="A596" s="10"/>
      <c r="B596" s="10"/>
      <c r="E596" s="10"/>
      <c r="G596" s="10"/>
      <c r="I596" s="436" t="s">
        <v>293</v>
      </c>
      <c r="J596" s="26" t="s">
        <v>292</v>
      </c>
      <c r="K596" s="10">
        <v>3200</v>
      </c>
      <c r="L596" s="73">
        <f>IF(Tank1!$C$23="No control",(SUMIF(Tank1!$B$32:$B$49,$J596,Tank1!$C$32:$C$49)*Impacts!$F$8),0)</f>
        <v>0</v>
      </c>
      <c r="M596" s="10">
        <f>IF(Tank2!$C$23="No control",(SUMIF(Tank2!$B$32:$B$49,$J596,Tank2!$C$32:$C$49)*Impacts!$F$9),0)</f>
        <v>0</v>
      </c>
      <c r="N596" s="10">
        <f>IF(Tank3!$C$23="No control",(SUMIF(Tank3!$B$32:$B$49,$J596,Tank3!$C$32:$C$49)*Impacts!$F$10),0)</f>
        <v>0</v>
      </c>
      <c r="O596" s="10">
        <f>IF(Tank4!$C$23="No control",(SUMIF(Tank4!$B$32:$B$49,$J596,Tank4!$C$32:$C$49)*Impacts!$F$11),0)</f>
        <v>0</v>
      </c>
      <c r="P596" s="10">
        <f>IF(Tank5!$C$23="No control",(SUMIF(Tank5!$B$32:$B$49,$J596,Tank5!$C$32:$C$49)*Impacts!$F$12),0)</f>
        <v>0</v>
      </c>
      <c r="Q596" s="10">
        <f>IFERROR(IF(('Loading-drum,tote'!$C$21)="No control",SUMIF(('Loading-drum,tote'!$B$31:$B$48),$J596,('Loading-drum,tote'!$D$31:$D$48))*Impacts!$F$13,IF(('Loading-drum,tote'!$C$21)&lt;&gt;"No control",SUMIF(('Loading-drum,tote'!$B$31:$B$48),$J596,('Loading-drum,tote'!$E$31:$E$48))*Impacts!$F$13,0)),0)</f>
        <v>0</v>
      </c>
      <c r="R596" s="10">
        <f>IFERROR(IF(('Loading-truck'!$C$21)="No control",SUMIF(('Loading-truck'!$B$31:$B$48),$J596,('Loading-truck'!$D$31:$D$48))*Impacts!$F$14,IF(('Loading-truck'!$C$21)&lt;&gt;"No control",SUMIF(('Loading-truck'!$B$31:$B$48),$J596,('Loading-truck'!$E$31:$E$48))*Impacts!$F$14,0)),0)</f>
        <v>0</v>
      </c>
      <c r="S596" s="10">
        <f>IFERROR(IF(('Loading-rail'!$C$21)="No control",SUMIF(('Loading-rail'!$B$31:$B$48),$J596,('Loading-rail'!$D$31:$D$48))*Impacts!$F$15,IF(('Loading-rail'!$C$21)&lt;&gt;"No control",SUMIF(('Loading-rail'!$B$31:$B$48),$J596,('Loading-rail'!$E$31:$E$48))*Impacts!$F$15,0)),0)</f>
        <v>0</v>
      </c>
      <c r="T596" s="10">
        <f>IF(Flare!$C$7="",0,(SUMIF(Flare!$B$46:$B$185,$J596,Flare!$E$46:$E$185)*Impacts!$F$16))</f>
        <v>0</v>
      </c>
      <c r="U596" s="10">
        <f>IF(VCU!$C$9="",0,(SUMIF(VCU!$B$51:$B$193,$J596,VCU!$E$51:$E$193)*Impacts!$F$17))</f>
        <v>0</v>
      </c>
      <c r="V596" s="10">
        <f>IF(CAS!$C$7="",0,(SUMIF(CAS!$B$31:$B$167,$J596,CAS!$E$31:$E$167)*Impacts!$F$18))</f>
        <v>0</v>
      </c>
      <c r="W596" s="10">
        <f t="shared" si="51"/>
        <v>0</v>
      </c>
      <c r="AK596" s="10" t="str">
        <f t="array" ref="AK596">IFERROR(INDEX(SelectedSpecies,SMALL(IF(SelectedSpecies=AK$1,ROW(SelectedSpecies)),ROW(597:597)),2),"")</f>
        <v/>
      </c>
      <c r="BE596" s="10"/>
      <c r="BI596" s="10"/>
    </row>
    <row r="597" spans="1:61" ht="21" customHeight="1" x14ac:dyDescent="0.25">
      <c r="A597" s="10"/>
      <c r="B597" s="10"/>
      <c r="E597" s="10"/>
      <c r="G597" s="10"/>
      <c r="I597" s="436" t="s">
        <v>5311</v>
      </c>
      <c r="J597" s="26" t="s">
        <v>5310</v>
      </c>
      <c r="K597" s="10">
        <v>1.7000000000000002</v>
      </c>
      <c r="L597" s="73">
        <f>IF(Tank1!$C$23="No control",(SUMIF(Tank1!$B$32:$B$49,$J597,Tank1!$C$32:$C$49)*Impacts!$F$8),0)</f>
        <v>0</v>
      </c>
      <c r="M597" s="10">
        <f>IF(Tank2!$C$23="No control",(SUMIF(Tank2!$B$32:$B$49,$J597,Tank2!$C$32:$C$49)*Impacts!$F$9),0)</f>
        <v>0</v>
      </c>
      <c r="N597" s="10">
        <f>IF(Tank3!$C$23="No control",(SUMIF(Tank3!$B$32:$B$49,$J597,Tank3!$C$32:$C$49)*Impacts!$F$10),0)</f>
        <v>0</v>
      </c>
      <c r="O597" s="10">
        <f>IF(Tank4!$C$23="No control",(SUMIF(Tank4!$B$32:$B$49,$J597,Tank4!$C$32:$C$49)*Impacts!$F$11),0)</f>
        <v>0</v>
      </c>
      <c r="P597" s="10">
        <f>IF(Tank5!$C$23="No control",(SUMIF(Tank5!$B$32:$B$49,$J597,Tank5!$C$32:$C$49)*Impacts!$F$12),0)</f>
        <v>0</v>
      </c>
      <c r="Q597" s="10">
        <f>IFERROR(IF(('Loading-drum,tote'!$C$21)="No control",SUMIF(('Loading-drum,tote'!$B$31:$B$48),$J597,('Loading-drum,tote'!$D$31:$D$48))*Impacts!$F$13,IF(('Loading-drum,tote'!$C$21)&lt;&gt;"No control",SUMIF(('Loading-drum,tote'!$B$31:$B$48),$J597,('Loading-drum,tote'!$E$31:$E$48))*Impacts!$F$13,0)),0)</f>
        <v>0</v>
      </c>
      <c r="R597" s="10">
        <f>IFERROR(IF(('Loading-truck'!$C$21)="No control",SUMIF(('Loading-truck'!$B$31:$B$48),$J597,('Loading-truck'!$D$31:$D$48))*Impacts!$F$14,IF(('Loading-truck'!$C$21)&lt;&gt;"No control",SUMIF(('Loading-truck'!$B$31:$B$48),$J597,('Loading-truck'!$E$31:$E$48))*Impacts!$F$14,0)),0)</f>
        <v>0</v>
      </c>
      <c r="S597" s="10">
        <f>IFERROR(IF(('Loading-rail'!$C$21)="No control",SUMIF(('Loading-rail'!$B$31:$B$48),$J597,('Loading-rail'!$D$31:$D$48))*Impacts!$F$15,IF(('Loading-rail'!$C$21)&lt;&gt;"No control",SUMIF(('Loading-rail'!$B$31:$B$48),$J597,('Loading-rail'!$E$31:$E$48))*Impacts!$F$15,0)),0)</f>
        <v>0</v>
      </c>
      <c r="T597" s="10">
        <f>IF(Flare!$C$7="",0,(SUMIF(Flare!$B$46:$B$185,$J597,Flare!$E$46:$E$185)*Impacts!$F$16))</f>
        <v>0</v>
      </c>
      <c r="U597" s="10">
        <f>IF(VCU!$C$9="",0,(SUMIF(VCU!$B$51:$B$193,$J597,VCU!$E$51:$E$193)*Impacts!$F$17))</f>
        <v>0</v>
      </c>
      <c r="V597" s="10">
        <f>IF(CAS!$C$7="",0,(SUMIF(CAS!$B$31:$B$167,$J597,CAS!$E$31:$E$167)*Impacts!$F$18))</f>
        <v>0</v>
      </c>
      <c r="W597" s="10">
        <f t="shared" si="51"/>
        <v>0</v>
      </c>
      <c r="AK597" s="10" t="str">
        <f t="array" ref="AK597">IFERROR(INDEX(SelectedSpecies,SMALL(IF(SelectedSpecies=AK$1,ROW(SelectedSpecies)),ROW(598:598)),2),"")</f>
        <v/>
      </c>
      <c r="BE597" s="10"/>
      <c r="BI597" s="10"/>
    </row>
    <row r="598" spans="1:61" ht="21" customHeight="1" x14ac:dyDescent="0.25">
      <c r="A598" s="10"/>
      <c r="B598" s="10"/>
      <c r="E598" s="10"/>
      <c r="G598" s="10"/>
      <c r="I598" s="436" t="s">
        <v>5259</v>
      </c>
      <c r="J598" s="26" t="s">
        <v>5258</v>
      </c>
      <c r="K598" s="10">
        <v>1.8</v>
      </c>
      <c r="L598" s="73">
        <f>IF(Tank1!$C$23="No control",(SUMIF(Tank1!$B$32:$B$49,$J598,Tank1!$C$32:$C$49)*Impacts!$F$8),0)</f>
        <v>0</v>
      </c>
      <c r="M598" s="10">
        <f>IF(Tank2!$C$23="No control",(SUMIF(Tank2!$B$32:$B$49,$J598,Tank2!$C$32:$C$49)*Impacts!$F$9),0)</f>
        <v>0</v>
      </c>
      <c r="N598" s="10">
        <f>IF(Tank3!$C$23="No control",(SUMIF(Tank3!$B$32:$B$49,$J598,Tank3!$C$32:$C$49)*Impacts!$F$10),0)</f>
        <v>0</v>
      </c>
      <c r="O598" s="10">
        <f>IF(Tank4!$C$23="No control",(SUMIF(Tank4!$B$32:$B$49,$J598,Tank4!$C$32:$C$49)*Impacts!$F$11),0)</f>
        <v>0</v>
      </c>
      <c r="P598" s="10">
        <f>IF(Tank5!$C$23="No control",(SUMIF(Tank5!$B$32:$B$49,$J598,Tank5!$C$32:$C$49)*Impacts!$F$12),0)</f>
        <v>0</v>
      </c>
      <c r="Q598" s="10">
        <f>IFERROR(IF(('Loading-drum,tote'!$C$21)="No control",SUMIF(('Loading-drum,tote'!$B$31:$B$48),$J598,('Loading-drum,tote'!$D$31:$D$48))*Impacts!$F$13,IF(('Loading-drum,tote'!$C$21)&lt;&gt;"No control",SUMIF(('Loading-drum,tote'!$B$31:$B$48),$J598,('Loading-drum,tote'!$E$31:$E$48))*Impacts!$F$13,0)),0)</f>
        <v>0</v>
      </c>
      <c r="R598" s="10">
        <f>IFERROR(IF(('Loading-truck'!$C$21)="No control",SUMIF(('Loading-truck'!$B$31:$B$48),$J598,('Loading-truck'!$D$31:$D$48))*Impacts!$F$14,IF(('Loading-truck'!$C$21)&lt;&gt;"No control",SUMIF(('Loading-truck'!$B$31:$B$48),$J598,('Loading-truck'!$E$31:$E$48))*Impacts!$F$14,0)),0)</f>
        <v>0</v>
      </c>
      <c r="S598" s="10">
        <f>IFERROR(IF(('Loading-rail'!$C$21)="No control",SUMIF(('Loading-rail'!$B$31:$B$48),$J598,('Loading-rail'!$D$31:$D$48))*Impacts!$F$15,IF(('Loading-rail'!$C$21)&lt;&gt;"No control",SUMIF(('Loading-rail'!$B$31:$B$48),$J598,('Loading-rail'!$E$31:$E$48))*Impacts!$F$15,0)),0)</f>
        <v>0</v>
      </c>
      <c r="T598" s="10">
        <f>IF(Flare!$C$7="",0,(SUMIF(Flare!$B$46:$B$185,$J598,Flare!$E$46:$E$185)*Impacts!$F$16))</f>
        <v>0</v>
      </c>
      <c r="U598" s="10">
        <f>IF(VCU!$C$9="",0,(SUMIF(VCU!$B$51:$B$193,$J598,VCU!$E$51:$E$193)*Impacts!$F$17))</f>
        <v>0</v>
      </c>
      <c r="V598" s="10">
        <f>IF(CAS!$C$7="",0,(SUMIF(CAS!$B$31:$B$167,$J598,CAS!$E$31:$E$167)*Impacts!$F$18))</f>
        <v>0</v>
      </c>
      <c r="W598" s="10">
        <f t="shared" si="51"/>
        <v>0</v>
      </c>
      <c r="AK598" s="10" t="str">
        <f t="array" ref="AK598">IFERROR(INDEX(SelectedSpecies,SMALL(IF(SelectedSpecies=AK$1,ROW(SelectedSpecies)),ROW(599:599)),2),"")</f>
        <v/>
      </c>
      <c r="BE598" s="10"/>
      <c r="BI598" s="10"/>
    </row>
    <row r="599" spans="1:61" ht="21" customHeight="1" x14ac:dyDescent="0.25">
      <c r="A599" s="10"/>
      <c r="B599" s="10"/>
      <c r="E599" s="10"/>
      <c r="G599" s="10"/>
      <c r="I599" s="436" t="s">
        <v>491</v>
      </c>
      <c r="J599" s="26" t="s">
        <v>490</v>
      </c>
      <c r="K599" s="10">
        <v>100</v>
      </c>
      <c r="L599" s="73">
        <f>IF(Tank1!$C$23="No control",(SUMIF(Tank1!$B$32:$B$49,$J599,Tank1!$C$32:$C$49)*Impacts!$F$8),0)</f>
        <v>0</v>
      </c>
      <c r="M599" s="10">
        <f>IF(Tank2!$C$23="No control",(SUMIF(Tank2!$B$32:$B$49,$J599,Tank2!$C$32:$C$49)*Impacts!$F$9),0)</f>
        <v>0</v>
      </c>
      <c r="N599" s="10">
        <f>IF(Tank3!$C$23="No control",(SUMIF(Tank3!$B$32:$B$49,$J599,Tank3!$C$32:$C$49)*Impacts!$F$10),0)</f>
        <v>0</v>
      </c>
      <c r="O599" s="10">
        <f>IF(Tank4!$C$23="No control",(SUMIF(Tank4!$B$32:$B$49,$J599,Tank4!$C$32:$C$49)*Impacts!$F$11),0)</f>
        <v>0</v>
      </c>
      <c r="P599" s="10">
        <f>IF(Tank5!$C$23="No control",(SUMIF(Tank5!$B$32:$B$49,$J599,Tank5!$C$32:$C$49)*Impacts!$F$12),0)</f>
        <v>0</v>
      </c>
      <c r="Q599" s="10">
        <f>IFERROR(IF(('Loading-drum,tote'!$C$21)="No control",SUMIF(('Loading-drum,tote'!$B$31:$B$48),$J599,('Loading-drum,tote'!$D$31:$D$48))*Impacts!$F$13,IF(('Loading-drum,tote'!$C$21)&lt;&gt;"No control",SUMIF(('Loading-drum,tote'!$B$31:$B$48),$J599,('Loading-drum,tote'!$E$31:$E$48))*Impacts!$F$13,0)),0)</f>
        <v>0</v>
      </c>
      <c r="R599" s="10">
        <f>IFERROR(IF(('Loading-truck'!$C$21)="No control",SUMIF(('Loading-truck'!$B$31:$B$48),$J599,('Loading-truck'!$D$31:$D$48))*Impacts!$F$14,IF(('Loading-truck'!$C$21)&lt;&gt;"No control",SUMIF(('Loading-truck'!$B$31:$B$48),$J599,('Loading-truck'!$E$31:$E$48))*Impacts!$F$14,0)),0)</f>
        <v>0</v>
      </c>
      <c r="S599" s="10">
        <f>IFERROR(IF(('Loading-rail'!$C$21)="No control",SUMIF(('Loading-rail'!$B$31:$B$48),$J599,('Loading-rail'!$D$31:$D$48))*Impacts!$F$15,IF(('Loading-rail'!$C$21)&lt;&gt;"No control",SUMIF(('Loading-rail'!$B$31:$B$48),$J599,('Loading-rail'!$E$31:$E$48))*Impacts!$F$15,0)),0)</f>
        <v>0</v>
      </c>
      <c r="T599" s="10">
        <f>IF(Flare!$C$7="",0,(SUMIF(Flare!$B$46:$B$185,$J599,Flare!$E$46:$E$185)*Impacts!$F$16))</f>
        <v>0</v>
      </c>
      <c r="U599" s="10">
        <f>IF(VCU!$C$9="",0,(SUMIF(VCU!$B$51:$B$193,$J599,VCU!$E$51:$E$193)*Impacts!$F$17))</f>
        <v>0</v>
      </c>
      <c r="V599" s="10">
        <f>IF(CAS!$C$7="",0,(SUMIF(CAS!$B$31:$B$167,$J599,CAS!$E$31:$E$167)*Impacts!$F$18))</f>
        <v>0</v>
      </c>
      <c r="W599" s="10">
        <f t="shared" si="51"/>
        <v>0</v>
      </c>
      <c r="AK599" s="10" t="str">
        <f t="array" ref="AK599">IFERROR(INDEX(SelectedSpecies,SMALL(IF(SelectedSpecies=AK$1,ROW(SelectedSpecies)),ROW(600:600)),2),"")</f>
        <v/>
      </c>
      <c r="BE599" s="10"/>
      <c r="BI599" s="10"/>
    </row>
    <row r="600" spans="1:61" ht="21" customHeight="1" x14ac:dyDescent="0.25">
      <c r="A600" s="10"/>
      <c r="B600" s="10"/>
      <c r="E600" s="10"/>
      <c r="G600" s="10"/>
      <c r="I600" s="436" t="s">
        <v>6574</v>
      </c>
      <c r="J600" s="26" t="s">
        <v>6573</v>
      </c>
      <c r="K600" s="10">
        <v>0.66</v>
      </c>
      <c r="L600" s="73">
        <f>IF(Tank1!$C$23="No control",(SUMIF(Tank1!$B$32:$B$49,$J600,Tank1!$C$32:$C$49)*Impacts!$F$8),0)</f>
        <v>0</v>
      </c>
      <c r="M600" s="10">
        <f>IF(Tank2!$C$23="No control",(SUMIF(Tank2!$B$32:$B$49,$J600,Tank2!$C$32:$C$49)*Impacts!$F$9),0)</f>
        <v>0</v>
      </c>
      <c r="N600" s="10">
        <f>IF(Tank3!$C$23="No control",(SUMIF(Tank3!$B$32:$B$49,$J600,Tank3!$C$32:$C$49)*Impacts!$F$10),0)</f>
        <v>0</v>
      </c>
      <c r="O600" s="10">
        <f>IF(Tank4!$C$23="No control",(SUMIF(Tank4!$B$32:$B$49,$J600,Tank4!$C$32:$C$49)*Impacts!$F$11),0)</f>
        <v>0</v>
      </c>
      <c r="P600" s="10">
        <f>IF(Tank5!$C$23="No control",(SUMIF(Tank5!$B$32:$B$49,$J600,Tank5!$C$32:$C$49)*Impacts!$F$12),0)</f>
        <v>0</v>
      </c>
      <c r="Q600" s="10">
        <f>IFERROR(IF(('Loading-drum,tote'!$C$21)="No control",SUMIF(('Loading-drum,tote'!$B$31:$B$48),$J600,('Loading-drum,tote'!$D$31:$D$48))*Impacts!$F$13,IF(('Loading-drum,tote'!$C$21)&lt;&gt;"No control",SUMIF(('Loading-drum,tote'!$B$31:$B$48),$J600,('Loading-drum,tote'!$E$31:$E$48))*Impacts!$F$13,0)),0)</f>
        <v>0</v>
      </c>
      <c r="R600" s="10">
        <f>IFERROR(IF(('Loading-truck'!$C$21)="No control",SUMIF(('Loading-truck'!$B$31:$B$48),$J600,('Loading-truck'!$D$31:$D$48))*Impacts!$F$14,IF(('Loading-truck'!$C$21)&lt;&gt;"No control",SUMIF(('Loading-truck'!$B$31:$B$48),$J600,('Loading-truck'!$E$31:$E$48))*Impacts!$F$14,0)),0)</f>
        <v>0</v>
      </c>
      <c r="S600" s="10">
        <f>IFERROR(IF(('Loading-rail'!$C$21)="No control",SUMIF(('Loading-rail'!$B$31:$B$48),$J600,('Loading-rail'!$D$31:$D$48))*Impacts!$F$15,IF(('Loading-rail'!$C$21)&lt;&gt;"No control",SUMIF(('Loading-rail'!$B$31:$B$48),$J600,('Loading-rail'!$E$31:$E$48))*Impacts!$F$15,0)),0)</f>
        <v>0</v>
      </c>
      <c r="T600" s="10">
        <f>IF(Flare!$C$7="",0,(SUMIF(Flare!$B$46:$B$185,$J600,Flare!$E$46:$E$185)*Impacts!$F$16))</f>
        <v>0</v>
      </c>
      <c r="U600" s="10">
        <f>IF(VCU!$C$9="",0,(SUMIF(VCU!$B$51:$B$193,$J600,VCU!$E$51:$E$193)*Impacts!$F$17))</f>
        <v>0</v>
      </c>
      <c r="V600" s="10">
        <f>IF(CAS!$C$7="",0,(SUMIF(CAS!$B$31:$B$167,$J600,CAS!$E$31:$E$167)*Impacts!$F$18))</f>
        <v>0</v>
      </c>
      <c r="W600" s="10">
        <f t="shared" si="51"/>
        <v>0</v>
      </c>
      <c r="AK600" s="10" t="str">
        <f t="array" ref="AK600">IFERROR(INDEX(SelectedSpecies,SMALL(IF(SelectedSpecies=AK$1,ROW(SelectedSpecies)),ROW(601:601)),2),"")</f>
        <v/>
      </c>
      <c r="BE600" s="10"/>
      <c r="BI600" s="10"/>
    </row>
    <row r="601" spans="1:61" ht="21" customHeight="1" x14ac:dyDescent="0.25">
      <c r="A601" s="10"/>
      <c r="B601" s="10"/>
      <c r="E601" s="10"/>
      <c r="G601" s="10"/>
      <c r="I601" s="436" t="s">
        <v>8122</v>
      </c>
      <c r="J601" s="26" t="s">
        <v>8121</v>
      </c>
      <c r="K601" s="10">
        <v>1.0000000000000002E-2</v>
      </c>
      <c r="L601" s="73">
        <f>IF(Tank1!$C$23="No control",(SUMIF(Tank1!$B$32:$B$49,$J601,Tank1!$C$32:$C$49)*Impacts!$F$8),0)</f>
        <v>0</v>
      </c>
      <c r="M601" s="10">
        <f>IF(Tank2!$C$23="No control",(SUMIF(Tank2!$B$32:$B$49,$J601,Tank2!$C$32:$C$49)*Impacts!$F$9),0)</f>
        <v>0</v>
      </c>
      <c r="N601" s="10">
        <f>IF(Tank3!$C$23="No control",(SUMIF(Tank3!$B$32:$B$49,$J601,Tank3!$C$32:$C$49)*Impacts!$F$10),0)</f>
        <v>0</v>
      </c>
      <c r="O601" s="10">
        <f>IF(Tank4!$C$23="No control",(SUMIF(Tank4!$B$32:$B$49,$J601,Tank4!$C$32:$C$49)*Impacts!$F$11),0)</f>
        <v>0</v>
      </c>
      <c r="P601" s="10">
        <f>IF(Tank5!$C$23="No control",(SUMIF(Tank5!$B$32:$B$49,$J601,Tank5!$C$32:$C$49)*Impacts!$F$12),0)</f>
        <v>0</v>
      </c>
      <c r="Q601" s="10">
        <f>IFERROR(IF(('Loading-drum,tote'!$C$21)="No control",SUMIF(('Loading-drum,tote'!$B$31:$B$48),$J601,('Loading-drum,tote'!$D$31:$D$48))*Impacts!$F$13,IF(('Loading-drum,tote'!$C$21)&lt;&gt;"No control",SUMIF(('Loading-drum,tote'!$B$31:$B$48),$J601,('Loading-drum,tote'!$E$31:$E$48))*Impacts!$F$13,0)),0)</f>
        <v>0</v>
      </c>
      <c r="R601" s="10">
        <f>IFERROR(IF(('Loading-truck'!$C$21)="No control",SUMIF(('Loading-truck'!$B$31:$B$48),$J601,('Loading-truck'!$D$31:$D$48))*Impacts!$F$14,IF(('Loading-truck'!$C$21)&lt;&gt;"No control",SUMIF(('Loading-truck'!$B$31:$B$48),$J601,('Loading-truck'!$E$31:$E$48))*Impacts!$F$14,0)),0)</f>
        <v>0</v>
      </c>
      <c r="S601" s="10">
        <f>IFERROR(IF(('Loading-rail'!$C$21)="No control",SUMIF(('Loading-rail'!$B$31:$B$48),$J601,('Loading-rail'!$D$31:$D$48))*Impacts!$F$15,IF(('Loading-rail'!$C$21)&lt;&gt;"No control",SUMIF(('Loading-rail'!$B$31:$B$48),$J601,('Loading-rail'!$E$31:$E$48))*Impacts!$F$15,0)),0)</f>
        <v>0</v>
      </c>
      <c r="T601" s="10">
        <f>IF(Flare!$C$7="",0,(SUMIF(Flare!$B$46:$B$185,$J601,Flare!$E$46:$E$185)*Impacts!$F$16))</f>
        <v>0</v>
      </c>
      <c r="U601" s="10">
        <f>IF(VCU!$C$9="",0,(SUMIF(VCU!$B$51:$B$193,$J601,VCU!$E$51:$E$193)*Impacts!$F$17))</f>
        <v>0</v>
      </c>
      <c r="V601" s="10">
        <f>IF(CAS!$C$7="",0,(SUMIF(CAS!$B$31:$B$167,$J601,CAS!$E$31:$E$167)*Impacts!$F$18))</f>
        <v>0</v>
      </c>
      <c r="W601" s="10">
        <f t="shared" si="51"/>
        <v>0</v>
      </c>
      <c r="AK601" s="10" t="str">
        <f t="array" ref="AK601">IFERROR(INDEX(SelectedSpecies,SMALL(IF(SelectedSpecies=AK$1,ROW(SelectedSpecies)),ROW(602:602)),2),"")</f>
        <v/>
      </c>
      <c r="BE601" s="10"/>
      <c r="BI601" s="10"/>
    </row>
    <row r="602" spans="1:61" ht="21" customHeight="1" x14ac:dyDescent="0.25">
      <c r="A602" s="10"/>
      <c r="B602" s="10"/>
      <c r="E602" s="10"/>
      <c r="G602" s="10"/>
      <c r="I602" s="436" t="s">
        <v>7346</v>
      </c>
      <c r="J602" s="26" t="s">
        <v>7345</v>
      </c>
      <c r="K602" s="10">
        <v>0.25</v>
      </c>
      <c r="L602" s="73">
        <f>IF(Tank1!$C$23="No control",(SUMIF(Tank1!$B$32:$B$49,$J602,Tank1!$C$32:$C$49)*Impacts!$F$8),0)</f>
        <v>0</v>
      </c>
      <c r="M602" s="10">
        <f>IF(Tank2!$C$23="No control",(SUMIF(Tank2!$B$32:$B$49,$J602,Tank2!$C$32:$C$49)*Impacts!$F$9),0)</f>
        <v>0</v>
      </c>
      <c r="N602" s="10">
        <f>IF(Tank3!$C$23="No control",(SUMIF(Tank3!$B$32:$B$49,$J602,Tank3!$C$32:$C$49)*Impacts!$F$10),0)</f>
        <v>0</v>
      </c>
      <c r="O602" s="10">
        <f>IF(Tank4!$C$23="No control",(SUMIF(Tank4!$B$32:$B$49,$J602,Tank4!$C$32:$C$49)*Impacts!$F$11),0)</f>
        <v>0</v>
      </c>
      <c r="P602" s="10">
        <f>IF(Tank5!$C$23="No control",(SUMIF(Tank5!$B$32:$B$49,$J602,Tank5!$C$32:$C$49)*Impacts!$F$12),0)</f>
        <v>0</v>
      </c>
      <c r="Q602" s="10">
        <f>IFERROR(IF(('Loading-drum,tote'!$C$21)="No control",SUMIF(('Loading-drum,tote'!$B$31:$B$48),$J602,('Loading-drum,tote'!$D$31:$D$48))*Impacts!$F$13,IF(('Loading-drum,tote'!$C$21)&lt;&gt;"No control",SUMIF(('Loading-drum,tote'!$B$31:$B$48),$J602,('Loading-drum,tote'!$E$31:$E$48))*Impacts!$F$13,0)),0)</f>
        <v>0</v>
      </c>
      <c r="R602" s="10">
        <f>IFERROR(IF(('Loading-truck'!$C$21)="No control",SUMIF(('Loading-truck'!$B$31:$B$48),$J602,('Loading-truck'!$D$31:$D$48))*Impacts!$F$14,IF(('Loading-truck'!$C$21)&lt;&gt;"No control",SUMIF(('Loading-truck'!$B$31:$B$48),$J602,('Loading-truck'!$E$31:$E$48))*Impacts!$F$14,0)),0)</f>
        <v>0</v>
      </c>
      <c r="S602" s="10">
        <f>IFERROR(IF(('Loading-rail'!$C$21)="No control",SUMIF(('Loading-rail'!$B$31:$B$48),$J602,('Loading-rail'!$D$31:$D$48))*Impacts!$F$15,IF(('Loading-rail'!$C$21)&lt;&gt;"No control",SUMIF(('Loading-rail'!$B$31:$B$48),$J602,('Loading-rail'!$E$31:$E$48))*Impacts!$F$15,0)),0)</f>
        <v>0</v>
      </c>
      <c r="T602" s="10">
        <f>IF(Flare!$C$7="",0,(SUMIF(Flare!$B$46:$B$185,$J602,Flare!$E$46:$E$185)*Impacts!$F$16))</f>
        <v>0</v>
      </c>
      <c r="U602" s="10">
        <f>IF(VCU!$C$9="",0,(SUMIF(VCU!$B$51:$B$193,$J602,VCU!$E$51:$E$193)*Impacts!$F$17))</f>
        <v>0</v>
      </c>
      <c r="V602" s="10">
        <f>IF(CAS!$C$7="",0,(SUMIF(CAS!$B$31:$B$167,$J602,CAS!$E$31:$E$167)*Impacts!$F$18))</f>
        <v>0</v>
      </c>
      <c r="W602" s="10">
        <f t="shared" si="51"/>
        <v>0</v>
      </c>
      <c r="AK602" s="10" t="str">
        <f t="array" ref="AK602">IFERROR(INDEX(SelectedSpecies,SMALL(IF(SelectedSpecies=AK$1,ROW(SelectedSpecies)),ROW(603:603)),2),"")</f>
        <v/>
      </c>
      <c r="BE602" s="10"/>
      <c r="BI602" s="10"/>
    </row>
    <row r="603" spans="1:61" ht="21" customHeight="1" x14ac:dyDescent="0.25">
      <c r="A603" s="10"/>
      <c r="B603" s="10"/>
      <c r="E603" s="10"/>
      <c r="G603" s="10"/>
      <c r="I603" s="436" t="s">
        <v>1632</v>
      </c>
      <c r="J603" s="26" t="s">
        <v>1631</v>
      </c>
      <c r="K603" s="10">
        <v>25</v>
      </c>
      <c r="L603" s="73">
        <f>IF(Tank1!$C$23="No control",(SUMIF(Tank1!$B$32:$B$49,$J603,Tank1!$C$32:$C$49)*Impacts!$F$8),0)</f>
        <v>0</v>
      </c>
      <c r="M603" s="10">
        <f>IF(Tank2!$C$23="No control",(SUMIF(Tank2!$B$32:$B$49,$J603,Tank2!$C$32:$C$49)*Impacts!$F$9),0)</f>
        <v>0</v>
      </c>
      <c r="N603" s="10">
        <f>IF(Tank3!$C$23="No control",(SUMIF(Tank3!$B$32:$B$49,$J603,Tank3!$C$32:$C$49)*Impacts!$F$10),0)</f>
        <v>0</v>
      </c>
      <c r="O603" s="10">
        <f>IF(Tank4!$C$23="No control",(SUMIF(Tank4!$B$32:$B$49,$J603,Tank4!$C$32:$C$49)*Impacts!$F$11),0)</f>
        <v>0</v>
      </c>
      <c r="P603" s="10">
        <f>IF(Tank5!$C$23="No control",(SUMIF(Tank5!$B$32:$B$49,$J603,Tank5!$C$32:$C$49)*Impacts!$F$12),0)</f>
        <v>0</v>
      </c>
      <c r="Q603" s="10">
        <f>IFERROR(IF(('Loading-drum,tote'!$C$21)="No control",SUMIF(('Loading-drum,tote'!$B$31:$B$48),$J603,('Loading-drum,tote'!$D$31:$D$48))*Impacts!$F$13,IF(('Loading-drum,tote'!$C$21)&lt;&gt;"No control",SUMIF(('Loading-drum,tote'!$B$31:$B$48),$J603,('Loading-drum,tote'!$E$31:$E$48))*Impacts!$F$13,0)),0)</f>
        <v>0</v>
      </c>
      <c r="R603" s="10">
        <f>IFERROR(IF(('Loading-truck'!$C$21)="No control",SUMIF(('Loading-truck'!$B$31:$B$48),$J603,('Loading-truck'!$D$31:$D$48))*Impacts!$F$14,IF(('Loading-truck'!$C$21)&lt;&gt;"No control",SUMIF(('Loading-truck'!$B$31:$B$48),$J603,('Loading-truck'!$E$31:$E$48))*Impacts!$F$14,0)),0)</f>
        <v>0</v>
      </c>
      <c r="S603" s="10">
        <f>IFERROR(IF(('Loading-rail'!$C$21)="No control",SUMIF(('Loading-rail'!$B$31:$B$48),$J603,('Loading-rail'!$D$31:$D$48))*Impacts!$F$15,IF(('Loading-rail'!$C$21)&lt;&gt;"No control",SUMIF(('Loading-rail'!$B$31:$B$48),$J603,('Loading-rail'!$E$31:$E$48))*Impacts!$F$15,0)),0)</f>
        <v>0</v>
      </c>
      <c r="T603" s="10">
        <f>IF(Flare!$C$7="",0,(SUMIF(Flare!$B$46:$B$185,$J603,Flare!$E$46:$E$185)*Impacts!$F$16))</f>
        <v>0</v>
      </c>
      <c r="U603" s="10">
        <f>IF(VCU!$C$9="",0,(SUMIF(VCU!$B$51:$B$193,$J603,VCU!$E$51:$E$193)*Impacts!$F$17))</f>
        <v>0</v>
      </c>
      <c r="V603" s="10">
        <f>IF(CAS!$C$7="",0,(SUMIF(CAS!$B$31:$B$167,$J603,CAS!$E$31:$E$167)*Impacts!$F$18))</f>
        <v>0</v>
      </c>
      <c r="W603" s="10">
        <f t="shared" si="51"/>
        <v>0</v>
      </c>
      <c r="AK603" s="10" t="str">
        <f t="array" ref="AK603">IFERROR(INDEX(SelectedSpecies,SMALL(IF(SelectedSpecies=AK$1,ROW(SelectedSpecies)),ROW(604:604)),2),"")</f>
        <v/>
      </c>
      <c r="BE603" s="10"/>
      <c r="BI603" s="10"/>
    </row>
    <row r="604" spans="1:61" ht="21" customHeight="1" x14ac:dyDescent="0.25">
      <c r="A604" s="10"/>
      <c r="B604" s="10"/>
      <c r="E604" s="10"/>
      <c r="G604" s="10"/>
      <c r="I604" s="436" t="s">
        <v>6742</v>
      </c>
      <c r="J604" s="26" t="s">
        <v>6741</v>
      </c>
      <c r="K604" s="10">
        <v>0.5</v>
      </c>
      <c r="L604" s="73">
        <f>IF(Tank1!$C$23="No control",(SUMIF(Tank1!$B$32:$B$49,$J604,Tank1!$C$32:$C$49)*Impacts!$F$8),0)</f>
        <v>0</v>
      </c>
      <c r="M604" s="10">
        <f>IF(Tank2!$C$23="No control",(SUMIF(Tank2!$B$32:$B$49,$J604,Tank2!$C$32:$C$49)*Impacts!$F$9),0)</f>
        <v>0</v>
      </c>
      <c r="N604" s="10">
        <f>IF(Tank3!$C$23="No control",(SUMIF(Tank3!$B$32:$B$49,$J604,Tank3!$C$32:$C$49)*Impacts!$F$10),0)</f>
        <v>0</v>
      </c>
      <c r="O604" s="10">
        <f>IF(Tank4!$C$23="No control",(SUMIF(Tank4!$B$32:$B$49,$J604,Tank4!$C$32:$C$49)*Impacts!$F$11),0)</f>
        <v>0</v>
      </c>
      <c r="P604" s="10">
        <f>IF(Tank5!$C$23="No control",(SUMIF(Tank5!$B$32:$B$49,$J604,Tank5!$C$32:$C$49)*Impacts!$F$12),0)</f>
        <v>0</v>
      </c>
      <c r="Q604" s="10">
        <f>IFERROR(IF(('Loading-drum,tote'!$C$21)="No control",SUMIF(('Loading-drum,tote'!$B$31:$B$48),$J604,('Loading-drum,tote'!$D$31:$D$48))*Impacts!$F$13,IF(('Loading-drum,tote'!$C$21)&lt;&gt;"No control",SUMIF(('Loading-drum,tote'!$B$31:$B$48),$J604,('Loading-drum,tote'!$E$31:$E$48))*Impacts!$F$13,0)),0)</f>
        <v>0</v>
      </c>
      <c r="R604" s="10">
        <f>IFERROR(IF(('Loading-truck'!$C$21)="No control",SUMIF(('Loading-truck'!$B$31:$B$48),$J604,('Loading-truck'!$D$31:$D$48))*Impacts!$F$14,IF(('Loading-truck'!$C$21)&lt;&gt;"No control",SUMIF(('Loading-truck'!$B$31:$B$48),$J604,('Loading-truck'!$E$31:$E$48))*Impacts!$F$14,0)),0)</f>
        <v>0</v>
      </c>
      <c r="S604" s="10">
        <f>IFERROR(IF(('Loading-rail'!$C$21)="No control",SUMIF(('Loading-rail'!$B$31:$B$48),$J604,('Loading-rail'!$D$31:$D$48))*Impacts!$F$15,IF(('Loading-rail'!$C$21)&lt;&gt;"No control",SUMIF(('Loading-rail'!$B$31:$B$48),$J604,('Loading-rail'!$E$31:$E$48))*Impacts!$F$15,0)),0)</f>
        <v>0</v>
      </c>
      <c r="T604" s="10">
        <f>IF(Flare!$C$7="",0,(SUMIF(Flare!$B$46:$B$185,$J604,Flare!$E$46:$E$185)*Impacts!$F$16))</f>
        <v>0</v>
      </c>
      <c r="U604" s="10">
        <f>IF(VCU!$C$9="",0,(SUMIF(VCU!$B$51:$B$193,$J604,VCU!$E$51:$E$193)*Impacts!$F$17))</f>
        <v>0</v>
      </c>
      <c r="V604" s="10">
        <f>IF(CAS!$C$7="",0,(SUMIF(CAS!$B$31:$B$167,$J604,CAS!$E$31:$E$167)*Impacts!$F$18))</f>
        <v>0</v>
      </c>
      <c r="W604" s="10">
        <f t="shared" si="51"/>
        <v>0</v>
      </c>
      <c r="AK604" s="10" t="str">
        <f t="array" ref="AK604">IFERROR(INDEX(SelectedSpecies,SMALL(IF(SelectedSpecies=AK$1,ROW(SelectedSpecies)),ROW(605:605)),2),"")</f>
        <v/>
      </c>
      <c r="BE604" s="10"/>
      <c r="BI604" s="10"/>
    </row>
    <row r="605" spans="1:61" ht="21" customHeight="1" x14ac:dyDescent="0.25">
      <c r="A605" s="10"/>
      <c r="B605" s="10"/>
      <c r="E605" s="10"/>
      <c r="G605" s="10"/>
      <c r="I605" s="436" t="s">
        <v>1634</v>
      </c>
      <c r="J605" s="26" t="s">
        <v>1633</v>
      </c>
      <c r="K605" s="10">
        <v>25</v>
      </c>
      <c r="L605" s="73">
        <f>IF(Tank1!$C$23="No control",(SUMIF(Tank1!$B$32:$B$49,$J605,Tank1!$C$32:$C$49)*Impacts!$F$8),0)</f>
        <v>0</v>
      </c>
      <c r="M605" s="10">
        <f>IF(Tank2!$C$23="No control",(SUMIF(Tank2!$B$32:$B$49,$J605,Tank2!$C$32:$C$49)*Impacts!$F$9),0)</f>
        <v>0</v>
      </c>
      <c r="N605" s="10">
        <f>IF(Tank3!$C$23="No control",(SUMIF(Tank3!$B$32:$B$49,$J605,Tank3!$C$32:$C$49)*Impacts!$F$10),0)</f>
        <v>0</v>
      </c>
      <c r="O605" s="10">
        <f>IF(Tank4!$C$23="No control",(SUMIF(Tank4!$B$32:$B$49,$J605,Tank4!$C$32:$C$49)*Impacts!$F$11),0)</f>
        <v>0</v>
      </c>
      <c r="P605" s="10">
        <f>IF(Tank5!$C$23="No control",(SUMIF(Tank5!$B$32:$B$49,$J605,Tank5!$C$32:$C$49)*Impacts!$F$12),0)</f>
        <v>0</v>
      </c>
      <c r="Q605" s="10">
        <f>IFERROR(IF(('Loading-drum,tote'!$C$21)="No control",SUMIF(('Loading-drum,tote'!$B$31:$B$48),$J605,('Loading-drum,tote'!$D$31:$D$48))*Impacts!$F$13,IF(('Loading-drum,tote'!$C$21)&lt;&gt;"No control",SUMIF(('Loading-drum,tote'!$B$31:$B$48),$J605,('Loading-drum,tote'!$E$31:$E$48))*Impacts!$F$13,0)),0)</f>
        <v>0</v>
      </c>
      <c r="R605" s="10">
        <f>IFERROR(IF(('Loading-truck'!$C$21)="No control",SUMIF(('Loading-truck'!$B$31:$B$48),$J605,('Loading-truck'!$D$31:$D$48))*Impacts!$F$14,IF(('Loading-truck'!$C$21)&lt;&gt;"No control",SUMIF(('Loading-truck'!$B$31:$B$48),$J605,('Loading-truck'!$E$31:$E$48))*Impacts!$F$14,0)),0)</f>
        <v>0</v>
      </c>
      <c r="S605" s="10">
        <f>IFERROR(IF(('Loading-rail'!$C$21)="No control",SUMIF(('Loading-rail'!$B$31:$B$48),$J605,('Loading-rail'!$D$31:$D$48))*Impacts!$F$15,IF(('Loading-rail'!$C$21)&lt;&gt;"No control",SUMIF(('Loading-rail'!$B$31:$B$48),$J605,('Loading-rail'!$E$31:$E$48))*Impacts!$F$15,0)),0)</f>
        <v>0</v>
      </c>
      <c r="T605" s="10">
        <f>IF(Flare!$C$7="",0,(SUMIF(Flare!$B$46:$B$185,$J605,Flare!$E$46:$E$185)*Impacts!$F$16))</f>
        <v>0</v>
      </c>
      <c r="U605" s="10">
        <f>IF(VCU!$C$9="",0,(SUMIF(VCU!$B$51:$B$193,$J605,VCU!$E$51:$E$193)*Impacts!$F$17))</f>
        <v>0</v>
      </c>
      <c r="V605" s="10">
        <f>IF(CAS!$C$7="",0,(SUMIF(CAS!$B$31:$B$167,$J605,CAS!$E$31:$E$167)*Impacts!$F$18))</f>
        <v>0</v>
      </c>
      <c r="W605" s="10">
        <f t="shared" si="51"/>
        <v>0</v>
      </c>
      <c r="AK605" s="10" t="str">
        <f t="array" ref="AK605">IFERROR(INDEX(SelectedSpecies,SMALL(IF(SelectedSpecies=AK$1,ROW(SelectedSpecies)),ROW(606:606)),2),"")</f>
        <v/>
      </c>
      <c r="BE605" s="10"/>
      <c r="BI605" s="10"/>
    </row>
    <row r="606" spans="1:61" ht="21" customHeight="1" x14ac:dyDescent="0.25">
      <c r="A606" s="10"/>
      <c r="B606" s="10"/>
      <c r="E606" s="10"/>
      <c r="G606" s="10"/>
      <c r="I606" s="436" t="s">
        <v>8124</v>
      </c>
      <c r="J606" s="26" t="s">
        <v>8123</v>
      </c>
      <c r="K606" s="10">
        <v>1.0000000000000002E-2</v>
      </c>
      <c r="L606" s="73">
        <f>IF(Tank1!$C$23="No control",(SUMIF(Tank1!$B$32:$B$49,$J606,Tank1!$C$32:$C$49)*Impacts!$F$8),0)</f>
        <v>0</v>
      </c>
      <c r="M606" s="10">
        <f>IF(Tank2!$C$23="No control",(SUMIF(Tank2!$B$32:$B$49,$J606,Tank2!$C$32:$C$49)*Impacts!$F$9),0)</f>
        <v>0</v>
      </c>
      <c r="N606" s="10">
        <f>IF(Tank3!$C$23="No control",(SUMIF(Tank3!$B$32:$B$49,$J606,Tank3!$C$32:$C$49)*Impacts!$F$10),0)</f>
        <v>0</v>
      </c>
      <c r="O606" s="10">
        <f>IF(Tank4!$C$23="No control",(SUMIF(Tank4!$B$32:$B$49,$J606,Tank4!$C$32:$C$49)*Impacts!$F$11),0)</f>
        <v>0</v>
      </c>
      <c r="P606" s="10">
        <f>IF(Tank5!$C$23="No control",(SUMIF(Tank5!$B$32:$B$49,$J606,Tank5!$C$32:$C$49)*Impacts!$F$12),0)</f>
        <v>0</v>
      </c>
      <c r="Q606" s="10">
        <f>IFERROR(IF(('Loading-drum,tote'!$C$21)="No control",SUMIF(('Loading-drum,tote'!$B$31:$B$48),$J606,('Loading-drum,tote'!$D$31:$D$48))*Impacts!$F$13,IF(('Loading-drum,tote'!$C$21)&lt;&gt;"No control",SUMIF(('Loading-drum,tote'!$B$31:$B$48),$J606,('Loading-drum,tote'!$E$31:$E$48))*Impacts!$F$13,0)),0)</f>
        <v>0</v>
      </c>
      <c r="R606" s="10">
        <f>IFERROR(IF(('Loading-truck'!$C$21)="No control",SUMIF(('Loading-truck'!$B$31:$B$48),$J606,('Loading-truck'!$D$31:$D$48))*Impacts!$F$14,IF(('Loading-truck'!$C$21)&lt;&gt;"No control",SUMIF(('Loading-truck'!$B$31:$B$48),$J606,('Loading-truck'!$E$31:$E$48))*Impacts!$F$14,0)),0)</f>
        <v>0</v>
      </c>
      <c r="S606" s="10">
        <f>IFERROR(IF(('Loading-rail'!$C$21)="No control",SUMIF(('Loading-rail'!$B$31:$B$48),$J606,('Loading-rail'!$D$31:$D$48))*Impacts!$F$15,IF(('Loading-rail'!$C$21)&lt;&gt;"No control",SUMIF(('Loading-rail'!$B$31:$B$48),$J606,('Loading-rail'!$E$31:$E$48))*Impacts!$F$15,0)),0)</f>
        <v>0</v>
      </c>
      <c r="T606" s="10">
        <f>IF(Flare!$C$7="",0,(SUMIF(Flare!$B$46:$B$185,$J606,Flare!$E$46:$E$185)*Impacts!$F$16))</f>
        <v>0</v>
      </c>
      <c r="U606" s="10">
        <f>IF(VCU!$C$9="",0,(SUMIF(VCU!$B$51:$B$193,$J606,VCU!$E$51:$E$193)*Impacts!$F$17))</f>
        <v>0</v>
      </c>
      <c r="V606" s="10">
        <f>IF(CAS!$C$7="",0,(SUMIF(CAS!$B$31:$B$167,$J606,CAS!$E$31:$E$167)*Impacts!$F$18))</f>
        <v>0</v>
      </c>
      <c r="W606" s="10">
        <f t="shared" si="51"/>
        <v>0</v>
      </c>
      <c r="AK606" s="10" t="str">
        <f t="array" ref="AK606">IFERROR(INDEX(SelectedSpecies,SMALL(IF(SelectedSpecies=AK$1,ROW(SelectedSpecies)),ROW(607:607)),2),"")</f>
        <v/>
      </c>
      <c r="BE606" s="10"/>
      <c r="BI606" s="10"/>
    </row>
    <row r="607" spans="1:61" ht="21" customHeight="1" x14ac:dyDescent="0.25">
      <c r="A607" s="10"/>
      <c r="B607" s="10"/>
      <c r="E607" s="10"/>
      <c r="G607" s="10"/>
      <c r="I607" s="436" t="s">
        <v>4649</v>
      </c>
      <c r="J607" s="26" t="s">
        <v>4648</v>
      </c>
      <c r="K607" s="10">
        <v>3.8000000000000003</v>
      </c>
      <c r="L607" s="73">
        <f>IF(Tank1!$C$23="No control",(SUMIF(Tank1!$B$32:$B$49,$J607,Tank1!$C$32:$C$49)*Impacts!$F$8),0)</f>
        <v>0</v>
      </c>
      <c r="M607" s="10">
        <f>IF(Tank2!$C$23="No control",(SUMIF(Tank2!$B$32:$B$49,$J607,Tank2!$C$32:$C$49)*Impacts!$F$9),0)</f>
        <v>0</v>
      </c>
      <c r="N607" s="10">
        <f>IF(Tank3!$C$23="No control",(SUMIF(Tank3!$B$32:$B$49,$J607,Tank3!$C$32:$C$49)*Impacts!$F$10),0)</f>
        <v>0</v>
      </c>
      <c r="O607" s="10">
        <f>IF(Tank4!$C$23="No control",(SUMIF(Tank4!$B$32:$B$49,$J607,Tank4!$C$32:$C$49)*Impacts!$F$11),0)</f>
        <v>0</v>
      </c>
      <c r="P607" s="10">
        <f>IF(Tank5!$C$23="No control",(SUMIF(Tank5!$B$32:$B$49,$J607,Tank5!$C$32:$C$49)*Impacts!$F$12),0)</f>
        <v>0</v>
      </c>
      <c r="Q607" s="10">
        <f>IFERROR(IF(('Loading-drum,tote'!$C$21)="No control",SUMIF(('Loading-drum,tote'!$B$31:$B$48),$J607,('Loading-drum,tote'!$D$31:$D$48))*Impacts!$F$13,IF(('Loading-drum,tote'!$C$21)&lt;&gt;"No control",SUMIF(('Loading-drum,tote'!$B$31:$B$48),$J607,('Loading-drum,tote'!$E$31:$E$48))*Impacts!$F$13,0)),0)</f>
        <v>0</v>
      </c>
      <c r="R607" s="10">
        <f>IFERROR(IF(('Loading-truck'!$C$21)="No control",SUMIF(('Loading-truck'!$B$31:$B$48),$J607,('Loading-truck'!$D$31:$D$48))*Impacts!$F$14,IF(('Loading-truck'!$C$21)&lt;&gt;"No control",SUMIF(('Loading-truck'!$B$31:$B$48),$J607,('Loading-truck'!$E$31:$E$48))*Impacts!$F$14,0)),0)</f>
        <v>0</v>
      </c>
      <c r="S607" s="10">
        <f>IFERROR(IF(('Loading-rail'!$C$21)="No control",SUMIF(('Loading-rail'!$B$31:$B$48),$J607,('Loading-rail'!$D$31:$D$48))*Impacts!$F$15,IF(('Loading-rail'!$C$21)&lt;&gt;"No control",SUMIF(('Loading-rail'!$B$31:$B$48),$J607,('Loading-rail'!$E$31:$E$48))*Impacts!$F$15,0)),0)</f>
        <v>0</v>
      </c>
      <c r="T607" s="10">
        <f>IF(Flare!$C$7="",0,(SUMIF(Flare!$B$46:$B$185,$J607,Flare!$E$46:$E$185)*Impacts!$F$16))</f>
        <v>0</v>
      </c>
      <c r="U607" s="10">
        <f>IF(VCU!$C$9="",0,(SUMIF(VCU!$B$51:$B$193,$J607,VCU!$E$51:$E$193)*Impacts!$F$17))</f>
        <v>0</v>
      </c>
      <c r="V607" s="10">
        <f>IF(CAS!$C$7="",0,(SUMIF(CAS!$B$31:$B$167,$J607,CAS!$E$31:$E$167)*Impacts!$F$18))</f>
        <v>0</v>
      </c>
      <c r="W607" s="10">
        <f t="shared" si="51"/>
        <v>0</v>
      </c>
      <c r="AK607" s="10" t="str">
        <f t="array" ref="AK607">IFERROR(INDEX(SelectedSpecies,SMALL(IF(SelectedSpecies=AK$1,ROW(SelectedSpecies)),ROW(608:608)),2),"")</f>
        <v/>
      </c>
      <c r="BE607" s="10"/>
      <c r="BI607" s="10"/>
    </row>
    <row r="608" spans="1:61" ht="21" customHeight="1" x14ac:dyDescent="0.25">
      <c r="A608" s="10"/>
      <c r="B608" s="10"/>
      <c r="E608" s="10"/>
      <c r="G608" s="10"/>
      <c r="I608" s="436" t="s">
        <v>4479</v>
      </c>
      <c r="J608" s="26" t="s">
        <v>4478</v>
      </c>
      <c r="K608" s="10">
        <v>4.3</v>
      </c>
      <c r="L608" s="73">
        <f>IF(Tank1!$C$23="No control",(SUMIF(Tank1!$B$32:$B$49,$J608,Tank1!$C$32:$C$49)*Impacts!$F$8),0)</f>
        <v>0</v>
      </c>
      <c r="M608" s="10">
        <f>IF(Tank2!$C$23="No control",(SUMIF(Tank2!$B$32:$B$49,$J608,Tank2!$C$32:$C$49)*Impacts!$F$9),0)</f>
        <v>0</v>
      </c>
      <c r="N608" s="10">
        <f>IF(Tank3!$C$23="No control",(SUMIF(Tank3!$B$32:$B$49,$J608,Tank3!$C$32:$C$49)*Impacts!$F$10),0)</f>
        <v>0</v>
      </c>
      <c r="O608" s="10">
        <f>IF(Tank4!$C$23="No control",(SUMIF(Tank4!$B$32:$B$49,$J608,Tank4!$C$32:$C$49)*Impacts!$F$11),0)</f>
        <v>0</v>
      </c>
      <c r="P608" s="10">
        <f>IF(Tank5!$C$23="No control",(SUMIF(Tank5!$B$32:$B$49,$J608,Tank5!$C$32:$C$49)*Impacts!$F$12),0)</f>
        <v>0</v>
      </c>
      <c r="Q608" s="10">
        <f>IFERROR(IF(('Loading-drum,tote'!$C$21)="No control",SUMIF(('Loading-drum,tote'!$B$31:$B$48),$J608,('Loading-drum,tote'!$D$31:$D$48))*Impacts!$F$13,IF(('Loading-drum,tote'!$C$21)&lt;&gt;"No control",SUMIF(('Loading-drum,tote'!$B$31:$B$48),$J608,('Loading-drum,tote'!$E$31:$E$48))*Impacts!$F$13,0)),0)</f>
        <v>0</v>
      </c>
      <c r="R608" s="10">
        <f>IFERROR(IF(('Loading-truck'!$C$21)="No control",SUMIF(('Loading-truck'!$B$31:$B$48),$J608,('Loading-truck'!$D$31:$D$48))*Impacts!$F$14,IF(('Loading-truck'!$C$21)&lt;&gt;"No control",SUMIF(('Loading-truck'!$B$31:$B$48),$J608,('Loading-truck'!$E$31:$E$48))*Impacts!$F$14,0)),0)</f>
        <v>0</v>
      </c>
      <c r="S608" s="10">
        <f>IFERROR(IF(('Loading-rail'!$C$21)="No control",SUMIF(('Loading-rail'!$B$31:$B$48),$J608,('Loading-rail'!$D$31:$D$48))*Impacts!$F$15,IF(('Loading-rail'!$C$21)&lt;&gt;"No control",SUMIF(('Loading-rail'!$B$31:$B$48),$J608,('Loading-rail'!$E$31:$E$48))*Impacts!$F$15,0)),0)</f>
        <v>0</v>
      </c>
      <c r="T608" s="10">
        <f>IF(Flare!$C$7="",0,(SUMIF(Flare!$B$46:$B$185,$J608,Flare!$E$46:$E$185)*Impacts!$F$16))</f>
        <v>0</v>
      </c>
      <c r="U608" s="10">
        <f>IF(VCU!$C$9="",0,(SUMIF(VCU!$B$51:$B$193,$J608,VCU!$E$51:$E$193)*Impacts!$F$17))</f>
        <v>0</v>
      </c>
      <c r="V608" s="10">
        <f>IF(CAS!$C$7="",0,(SUMIF(CAS!$B$31:$B$167,$J608,CAS!$E$31:$E$167)*Impacts!$F$18))</f>
        <v>0</v>
      </c>
      <c r="W608" s="10">
        <f t="shared" si="51"/>
        <v>0</v>
      </c>
      <c r="AK608" s="10" t="str">
        <f t="array" ref="AK608">IFERROR(INDEX(SelectedSpecies,SMALL(IF(SelectedSpecies=AK$1,ROW(SelectedSpecies)),ROW(609:609)),2),"")</f>
        <v/>
      </c>
      <c r="BE608" s="10"/>
      <c r="BI608" s="10"/>
    </row>
    <row r="609" spans="1:61" ht="21" customHeight="1" x14ac:dyDescent="0.25">
      <c r="A609" s="10"/>
      <c r="B609" s="10"/>
      <c r="E609" s="10"/>
      <c r="G609" s="10"/>
      <c r="I609" s="436" t="s">
        <v>3545</v>
      </c>
      <c r="J609" s="26" t="s">
        <v>3544</v>
      </c>
      <c r="K609" s="10">
        <v>8.4</v>
      </c>
      <c r="L609" s="73">
        <f>IF(Tank1!$C$23="No control",(SUMIF(Tank1!$B$32:$B$49,$J609,Tank1!$C$32:$C$49)*Impacts!$F$8),0)</f>
        <v>0</v>
      </c>
      <c r="M609" s="10">
        <f>IF(Tank2!$C$23="No control",(SUMIF(Tank2!$B$32:$B$49,$J609,Tank2!$C$32:$C$49)*Impacts!$F$9),0)</f>
        <v>0</v>
      </c>
      <c r="N609" s="10">
        <f>IF(Tank3!$C$23="No control",(SUMIF(Tank3!$B$32:$B$49,$J609,Tank3!$C$32:$C$49)*Impacts!$F$10),0)</f>
        <v>0</v>
      </c>
      <c r="O609" s="10">
        <f>IF(Tank4!$C$23="No control",(SUMIF(Tank4!$B$32:$B$49,$J609,Tank4!$C$32:$C$49)*Impacts!$F$11),0)</f>
        <v>0</v>
      </c>
      <c r="P609" s="10">
        <f>IF(Tank5!$C$23="No control",(SUMIF(Tank5!$B$32:$B$49,$J609,Tank5!$C$32:$C$49)*Impacts!$F$12),0)</f>
        <v>0</v>
      </c>
      <c r="Q609" s="10">
        <f>IFERROR(IF(('Loading-drum,tote'!$C$21)="No control",SUMIF(('Loading-drum,tote'!$B$31:$B$48),$J609,('Loading-drum,tote'!$D$31:$D$48))*Impacts!$F$13,IF(('Loading-drum,tote'!$C$21)&lt;&gt;"No control",SUMIF(('Loading-drum,tote'!$B$31:$B$48),$J609,('Loading-drum,tote'!$E$31:$E$48))*Impacts!$F$13,0)),0)</f>
        <v>0</v>
      </c>
      <c r="R609" s="10">
        <f>IFERROR(IF(('Loading-truck'!$C$21)="No control",SUMIF(('Loading-truck'!$B$31:$B$48),$J609,('Loading-truck'!$D$31:$D$48))*Impacts!$F$14,IF(('Loading-truck'!$C$21)&lt;&gt;"No control",SUMIF(('Loading-truck'!$B$31:$B$48),$J609,('Loading-truck'!$E$31:$E$48))*Impacts!$F$14,0)),0)</f>
        <v>0</v>
      </c>
      <c r="S609" s="10">
        <f>IFERROR(IF(('Loading-rail'!$C$21)="No control",SUMIF(('Loading-rail'!$B$31:$B$48),$J609,('Loading-rail'!$D$31:$D$48))*Impacts!$F$15,IF(('Loading-rail'!$C$21)&lt;&gt;"No control",SUMIF(('Loading-rail'!$B$31:$B$48),$J609,('Loading-rail'!$E$31:$E$48))*Impacts!$F$15,0)),0)</f>
        <v>0</v>
      </c>
      <c r="T609" s="10">
        <f>IF(Flare!$C$7="",0,(SUMIF(Flare!$B$46:$B$185,$J609,Flare!$E$46:$E$185)*Impacts!$F$16))</f>
        <v>0</v>
      </c>
      <c r="U609" s="10">
        <f>IF(VCU!$C$9="",0,(SUMIF(VCU!$B$51:$B$193,$J609,VCU!$E$51:$E$193)*Impacts!$F$17))</f>
        <v>0</v>
      </c>
      <c r="V609" s="10">
        <f>IF(CAS!$C$7="",0,(SUMIF(CAS!$B$31:$B$167,$J609,CAS!$E$31:$E$167)*Impacts!$F$18))</f>
        <v>0</v>
      </c>
      <c r="W609" s="10">
        <f t="shared" si="51"/>
        <v>0</v>
      </c>
      <c r="AK609" s="10" t="str">
        <f t="array" ref="AK609">IFERROR(INDEX(SelectedSpecies,SMALL(IF(SelectedSpecies=AK$1,ROW(SelectedSpecies)),ROW(610:610)),2),"")</f>
        <v/>
      </c>
      <c r="BE609" s="10"/>
      <c r="BI609" s="10"/>
    </row>
    <row r="610" spans="1:61" ht="21" customHeight="1" x14ac:dyDescent="0.25">
      <c r="A610" s="10"/>
      <c r="B610" s="10"/>
      <c r="E610" s="10"/>
      <c r="G610" s="10"/>
      <c r="I610" s="436" t="s">
        <v>2219</v>
      </c>
      <c r="J610" s="26" t="s">
        <v>2218</v>
      </c>
      <c r="K610" s="10">
        <v>13.3</v>
      </c>
      <c r="L610" s="73">
        <f>IF(Tank1!$C$23="No control",(SUMIF(Tank1!$B$32:$B$49,$J610,Tank1!$C$32:$C$49)*Impacts!$F$8),0)</f>
        <v>0</v>
      </c>
      <c r="M610" s="10">
        <f>IF(Tank2!$C$23="No control",(SUMIF(Tank2!$B$32:$B$49,$J610,Tank2!$C$32:$C$49)*Impacts!$F$9),0)</f>
        <v>0</v>
      </c>
      <c r="N610" s="10">
        <f>IF(Tank3!$C$23="No control",(SUMIF(Tank3!$B$32:$B$49,$J610,Tank3!$C$32:$C$49)*Impacts!$F$10),0)</f>
        <v>0</v>
      </c>
      <c r="O610" s="10">
        <f>IF(Tank4!$C$23="No control",(SUMIF(Tank4!$B$32:$B$49,$J610,Tank4!$C$32:$C$49)*Impacts!$F$11),0)</f>
        <v>0</v>
      </c>
      <c r="P610" s="10">
        <f>IF(Tank5!$C$23="No control",(SUMIF(Tank5!$B$32:$B$49,$J610,Tank5!$C$32:$C$49)*Impacts!$F$12),0)</f>
        <v>0</v>
      </c>
      <c r="Q610" s="10">
        <f>IFERROR(IF(('Loading-drum,tote'!$C$21)="No control",SUMIF(('Loading-drum,tote'!$B$31:$B$48),$J610,('Loading-drum,tote'!$D$31:$D$48))*Impacts!$F$13,IF(('Loading-drum,tote'!$C$21)&lt;&gt;"No control",SUMIF(('Loading-drum,tote'!$B$31:$B$48),$J610,('Loading-drum,tote'!$E$31:$E$48))*Impacts!$F$13,0)),0)</f>
        <v>0</v>
      </c>
      <c r="R610" s="10">
        <f>IFERROR(IF(('Loading-truck'!$C$21)="No control",SUMIF(('Loading-truck'!$B$31:$B$48),$J610,('Loading-truck'!$D$31:$D$48))*Impacts!$F$14,IF(('Loading-truck'!$C$21)&lt;&gt;"No control",SUMIF(('Loading-truck'!$B$31:$B$48),$J610,('Loading-truck'!$E$31:$E$48))*Impacts!$F$14,0)),0)</f>
        <v>0</v>
      </c>
      <c r="S610" s="10">
        <f>IFERROR(IF(('Loading-rail'!$C$21)="No control",SUMIF(('Loading-rail'!$B$31:$B$48),$J610,('Loading-rail'!$D$31:$D$48))*Impacts!$F$15,IF(('Loading-rail'!$C$21)&lt;&gt;"No control",SUMIF(('Loading-rail'!$B$31:$B$48),$J610,('Loading-rail'!$E$31:$E$48))*Impacts!$F$15,0)),0)</f>
        <v>0</v>
      </c>
      <c r="T610" s="10">
        <f>IF(Flare!$C$7="",0,(SUMIF(Flare!$B$46:$B$185,$J610,Flare!$E$46:$E$185)*Impacts!$F$16))</f>
        <v>0</v>
      </c>
      <c r="U610" s="10">
        <f>IF(VCU!$C$9="",0,(SUMIF(VCU!$B$51:$B$193,$J610,VCU!$E$51:$E$193)*Impacts!$F$17))</f>
        <v>0</v>
      </c>
      <c r="V610" s="10">
        <f>IF(CAS!$C$7="",0,(SUMIF(CAS!$B$31:$B$167,$J610,CAS!$E$31:$E$167)*Impacts!$F$18))</f>
        <v>0</v>
      </c>
      <c r="W610" s="10">
        <f t="shared" si="51"/>
        <v>0</v>
      </c>
      <c r="AK610" s="10" t="str">
        <f t="array" ref="AK610">IFERROR(INDEX(SelectedSpecies,SMALL(IF(SelectedSpecies=AK$1,ROW(SelectedSpecies)),ROW(611:611)),2),"")</f>
        <v/>
      </c>
      <c r="BE610" s="10"/>
      <c r="BI610" s="10"/>
    </row>
    <row r="611" spans="1:61" ht="21" customHeight="1" x14ac:dyDescent="0.25">
      <c r="A611" s="10"/>
      <c r="B611" s="10"/>
      <c r="E611" s="10"/>
      <c r="G611" s="10"/>
      <c r="I611" s="436" t="s">
        <v>6362</v>
      </c>
      <c r="J611" s="26" t="s">
        <v>6361</v>
      </c>
      <c r="K611" s="10">
        <v>0.82</v>
      </c>
      <c r="L611" s="73">
        <f>IF(Tank1!$C$23="No control",(SUMIF(Tank1!$B$32:$B$49,$J611,Tank1!$C$32:$C$49)*Impacts!$F$8),0)</f>
        <v>0</v>
      </c>
      <c r="M611" s="10">
        <f>IF(Tank2!$C$23="No control",(SUMIF(Tank2!$B$32:$B$49,$J611,Tank2!$C$32:$C$49)*Impacts!$F$9),0)</f>
        <v>0</v>
      </c>
      <c r="N611" s="10">
        <f>IF(Tank3!$C$23="No control",(SUMIF(Tank3!$B$32:$B$49,$J611,Tank3!$C$32:$C$49)*Impacts!$F$10),0)</f>
        <v>0</v>
      </c>
      <c r="O611" s="10">
        <f>IF(Tank4!$C$23="No control",(SUMIF(Tank4!$B$32:$B$49,$J611,Tank4!$C$32:$C$49)*Impacts!$F$11),0)</f>
        <v>0</v>
      </c>
      <c r="P611" s="10">
        <f>IF(Tank5!$C$23="No control",(SUMIF(Tank5!$B$32:$B$49,$J611,Tank5!$C$32:$C$49)*Impacts!$F$12),0)</f>
        <v>0</v>
      </c>
      <c r="Q611" s="10">
        <f>IFERROR(IF(('Loading-drum,tote'!$C$21)="No control",SUMIF(('Loading-drum,tote'!$B$31:$B$48),$J611,('Loading-drum,tote'!$D$31:$D$48))*Impacts!$F$13,IF(('Loading-drum,tote'!$C$21)&lt;&gt;"No control",SUMIF(('Loading-drum,tote'!$B$31:$B$48),$J611,('Loading-drum,tote'!$E$31:$E$48))*Impacts!$F$13,0)),0)</f>
        <v>0</v>
      </c>
      <c r="R611" s="10">
        <f>IFERROR(IF(('Loading-truck'!$C$21)="No control",SUMIF(('Loading-truck'!$B$31:$B$48),$J611,('Loading-truck'!$D$31:$D$48))*Impacts!$F$14,IF(('Loading-truck'!$C$21)&lt;&gt;"No control",SUMIF(('Loading-truck'!$B$31:$B$48),$J611,('Loading-truck'!$E$31:$E$48))*Impacts!$F$14,0)),0)</f>
        <v>0</v>
      </c>
      <c r="S611" s="10">
        <f>IFERROR(IF(('Loading-rail'!$C$21)="No control",SUMIF(('Loading-rail'!$B$31:$B$48),$J611,('Loading-rail'!$D$31:$D$48))*Impacts!$F$15,IF(('Loading-rail'!$C$21)&lt;&gt;"No control",SUMIF(('Loading-rail'!$B$31:$B$48),$J611,('Loading-rail'!$E$31:$E$48))*Impacts!$F$15,0)),0)</f>
        <v>0</v>
      </c>
      <c r="T611" s="10">
        <f>IF(Flare!$C$7="",0,(SUMIF(Flare!$B$46:$B$185,$J611,Flare!$E$46:$E$185)*Impacts!$F$16))</f>
        <v>0</v>
      </c>
      <c r="U611" s="10">
        <f>IF(VCU!$C$9="",0,(SUMIF(VCU!$B$51:$B$193,$J611,VCU!$E$51:$E$193)*Impacts!$F$17))</f>
        <v>0</v>
      </c>
      <c r="V611" s="10">
        <f>IF(CAS!$C$7="",0,(SUMIF(CAS!$B$31:$B$167,$J611,CAS!$E$31:$E$167)*Impacts!$F$18))</f>
        <v>0</v>
      </c>
      <c r="W611" s="10">
        <f t="shared" si="51"/>
        <v>0</v>
      </c>
      <c r="AK611" s="10" t="str">
        <f t="array" ref="AK611">IFERROR(INDEX(SelectedSpecies,SMALL(IF(SelectedSpecies=AK$1,ROW(SelectedSpecies)),ROW(612:612)),2),"")</f>
        <v/>
      </c>
      <c r="BE611" s="10"/>
      <c r="BI611" s="10"/>
    </row>
    <row r="612" spans="1:61" ht="21" customHeight="1" x14ac:dyDescent="0.25">
      <c r="A612" s="10"/>
      <c r="B612" s="10"/>
      <c r="E612" s="10"/>
      <c r="G612" s="10"/>
      <c r="I612" s="436" t="s">
        <v>7862</v>
      </c>
      <c r="J612" s="26" t="s">
        <v>7861</v>
      </c>
      <c r="K612" s="10">
        <v>0.06</v>
      </c>
      <c r="L612" s="73">
        <f>IF(Tank1!$C$23="No control",(SUMIF(Tank1!$B$32:$B$49,$J612,Tank1!$C$32:$C$49)*Impacts!$F$8),0)</f>
        <v>0</v>
      </c>
      <c r="M612" s="10">
        <f>IF(Tank2!$C$23="No control",(SUMIF(Tank2!$B$32:$B$49,$J612,Tank2!$C$32:$C$49)*Impacts!$F$9),0)</f>
        <v>0</v>
      </c>
      <c r="N612" s="10">
        <f>IF(Tank3!$C$23="No control",(SUMIF(Tank3!$B$32:$B$49,$J612,Tank3!$C$32:$C$49)*Impacts!$F$10),0)</f>
        <v>0</v>
      </c>
      <c r="O612" s="10">
        <f>IF(Tank4!$C$23="No control",(SUMIF(Tank4!$B$32:$B$49,$J612,Tank4!$C$32:$C$49)*Impacts!$F$11),0)</f>
        <v>0</v>
      </c>
      <c r="P612" s="10">
        <f>IF(Tank5!$C$23="No control",(SUMIF(Tank5!$B$32:$B$49,$J612,Tank5!$C$32:$C$49)*Impacts!$F$12),0)</f>
        <v>0</v>
      </c>
      <c r="Q612" s="10">
        <f>IFERROR(IF(('Loading-drum,tote'!$C$21)="No control",SUMIF(('Loading-drum,tote'!$B$31:$B$48),$J612,('Loading-drum,tote'!$D$31:$D$48))*Impacts!$F$13,IF(('Loading-drum,tote'!$C$21)&lt;&gt;"No control",SUMIF(('Loading-drum,tote'!$B$31:$B$48),$J612,('Loading-drum,tote'!$E$31:$E$48))*Impacts!$F$13,0)),0)</f>
        <v>0</v>
      </c>
      <c r="R612" s="10">
        <f>IFERROR(IF(('Loading-truck'!$C$21)="No control",SUMIF(('Loading-truck'!$B$31:$B$48),$J612,('Loading-truck'!$D$31:$D$48))*Impacts!$F$14,IF(('Loading-truck'!$C$21)&lt;&gt;"No control",SUMIF(('Loading-truck'!$B$31:$B$48),$J612,('Loading-truck'!$E$31:$E$48))*Impacts!$F$14,0)),0)</f>
        <v>0</v>
      </c>
      <c r="S612" s="10">
        <f>IFERROR(IF(('Loading-rail'!$C$21)="No control",SUMIF(('Loading-rail'!$B$31:$B$48),$J612,('Loading-rail'!$D$31:$D$48))*Impacts!$F$15,IF(('Loading-rail'!$C$21)&lt;&gt;"No control",SUMIF(('Loading-rail'!$B$31:$B$48),$J612,('Loading-rail'!$E$31:$E$48))*Impacts!$F$15,0)),0)</f>
        <v>0</v>
      </c>
      <c r="T612" s="10">
        <f>IF(Flare!$C$7="",0,(SUMIF(Flare!$B$46:$B$185,$J612,Flare!$E$46:$E$185)*Impacts!$F$16))</f>
        <v>0</v>
      </c>
      <c r="U612" s="10">
        <f>IF(VCU!$C$9="",0,(SUMIF(VCU!$B$51:$B$193,$J612,VCU!$E$51:$E$193)*Impacts!$F$17))</f>
        <v>0</v>
      </c>
      <c r="V612" s="10">
        <f>IF(CAS!$C$7="",0,(SUMIF(CAS!$B$31:$B$167,$J612,CAS!$E$31:$E$167)*Impacts!$F$18))</f>
        <v>0</v>
      </c>
      <c r="W612" s="10">
        <f t="shared" si="51"/>
        <v>0</v>
      </c>
      <c r="AK612" s="10" t="str">
        <f t="array" ref="AK612">IFERROR(INDEX(SelectedSpecies,SMALL(IF(SelectedSpecies=AK$1,ROW(SelectedSpecies)),ROW(613:613)),2),"")</f>
        <v/>
      </c>
      <c r="BE612" s="10"/>
      <c r="BI612" s="10"/>
    </row>
    <row r="613" spans="1:61" ht="21" customHeight="1" x14ac:dyDescent="0.25">
      <c r="A613" s="10"/>
      <c r="B613" s="10"/>
      <c r="E613" s="10"/>
      <c r="G613" s="10"/>
      <c r="I613" s="436" t="s">
        <v>7384</v>
      </c>
      <c r="J613" s="26" t="s">
        <v>7383</v>
      </c>
      <c r="K613" s="10">
        <v>0.24</v>
      </c>
      <c r="L613" s="73">
        <f>IF(Tank1!$C$23="No control",(SUMIF(Tank1!$B$32:$B$49,$J613,Tank1!$C$32:$C$49)*Impacts!$F$8),0)</f>
        <v>0</v>
      </c>
      <c r="M613" s="10">
        <f>IF(Tank2!$C$23="No control",(SUMIF(Tank2!$B$32:$B$49,$J613,Tank2!$C$32:$C$49)*Impacts!$F$9),0)</f>
        <v>0</v>
      </c>
      <c r="N613" s="10">
        <f>IF(Tank3!$C$23="No control",(SUMIF(Tank3!$B$32:$B$49,$J613,Tank3!$C$32:$C$49)*Impacts!$F$10),0)</f>
        <v>0</v>
      </c>
      <c r="O613" s="10">
        <f>IF(Tank4!$C$23="No control",(SUMIF(Tank4!$B$32:$B$49,$J613,Tank4!$C$32:$C$49)*Impacts!$F$11),0)</f>
        <v>0</v>
      </c>
      <c r="P613" s="10">
        <f>IF(Tank5!$C$23="No control",(SUMIF(Tank5!$B$32:$B$49,$J613,Tank5!$C$32:$C$49)*Impacts!$F$12),0)</f>
        <v>0</v>
      </c>
      <c r="Q613" s="10">
        <f>IFERROR(IF(('Loading-drum,tote'!$C$21)="No control",SUMIF(('Loading-drum,tote'!$B$31:$B$48),$J613,('Loading-drum,tote'!$D$31:$D$48))*Impacts!$F$13,IF(('Loading-drum,tote'!$C$21)&lt;&gt;"No control",SUMIF(('Loading-drum,tote'!$B$31:$B$48),$J613,('Loading-drum,tote'!$E$31:$E$48))*Impacts!$F$13,0)),0)</f>
        <v>0</v>
      </c>
      <c r="R613" s="10">
        <f>IFERROR(IF(('Loading-truck'!$C$21)="No control",SUMIF(('Loading-truck'!$B$31:$B$48),$J613,('Loading-truck'!$D$31:$D$48))*Impacts!$F$14,IF(('Loading-truck'!$C$21)&lt;&gt;"No control",SUMIF(('Loading-truck'!$B$31:$B$48),$J613,('Loading-truck'!$E$31:$E$48))*Impacts!$F$14,0)),0)</f>
        <v>0</v>
      </c>
      <c r="S613" s="10">
        <f>IFERROR(IF(('Loading-rail'!$C$21)="No control",SUMIF(('Loading-rail'!$B$31:$B$48),$J613,('Loading-rail'!$D$31:$D$48))*Impacts!$F$15,IF(('Loading-rail'!$C$21)&lt;&gt;"No control",SUMIF(('Loading-rail'!$B$31:$B$48),$J613,('Loading-rail'!$E$31:$E$48))*Impacts!$F$15,0)),0)</f>
        <v>0</v>
      </c>
      <c r="T613" s="10">
        <f>IF(Flare!$C$7="",0,(SUMIF(Flare!$B$46:$B$185,$J613,Flare!$E$46:$E$185)*Impacts!$F$16))</f>
        <v>0</v>
      </c>
      <c r="U613" s="10">
        <f>IF(VCU!$C$9="",0,(SUMIF(VCU!$B$51:$B$193,$J613,VCU!$E$51:$E$193)*Impacts!$F$17))</f>
        <v>0</v>
      </c>
      <c r="V613" s="10">
        <f>IF(CAS!$C$7="",0,(SUMIF(CAS!$B$31:$B$167,$J613,CAS!$E$31:$E$167)*Impacts!$F$18))</f>
        <v>0</v>
      </c>
      <c r="W613" s="10">
        <f t="shared" si="51"/>
        <v>0</v>
      </c>
      <c r="AK613" s="10" t="str">
        <f t="array" ref="AK613">IFERROR(INDEX(SelectedSpecies,SMALL(IF(SelectedSpecies=AK$1,ROW(SelectedSpecies)),ROW(614:614)),2),"")</f>
        <v/>
      </c>
      <c r="BE613" s="10"/>
      <c r="BI613" s="10"/>
    </row>
    <row r="614" spans="1:61" ht="21" customHeight="1" x14ac:dyDescent="0.25">
      <c r="A614" s="10"/>
      <c r="B614" s="10"/>
      <c r="E614" s="10"/>
      <c r="G614" s="10"/>
      <c r="I614" s="436" t="s">
        <v>1789</v>
      </c>
      <c r="J614" s="26" t="s">
        <v>1788</v>
      </c>
      <c r="K614" s="10">
        <v>22</v>
      </c>
      <c r="L614" s="73">
        <f>IF(Tank1!$C$23="No control",(SUMIF(Tank1!$B$32:$B$49,$J614,Tank1!$C$32:$C$49)*Impacts!$F$8),0)</f>
        <v>0</v>
      </c>
      <c r="M614" s="10">
        <f>IF(Tank2!$C$23="No control",(SUMIF(Tank2!$B$32:$B$49,$J614,Tank2!$C$32:$C$49)*Impacts!$F$9),0)</f>
        <v>0</v>
      </c>
      <c r="N614" s="10">
        <f>IF(Tank3!$C$23="No control",(SUMIF(Tank3!$B$32:$B$49,$J614,Tank3!$C$32:$C$49)*Impacts!$F$10),0)</f>
        <v>0</v>
      </c>
      <c r="O614" s="10">
        <f>IF(Tank4!$C$23="No control",(SUMIF(Tank4!$B$32:$B$49,$J614,Tank4!$C$32:$C$49)*Impacts!$F$11),0)</f>
        <v>0</v>
      </c>
      <c r="P614" s="10">
        <f>IF(Tank5!$C$23="No control",(SUMIF(Tank5!$B$32:$B$49,$J614,Tank5!$C$32:$C$49)*Impacts!$F$12),0)</f>
        <v>0</v>
      </c>
      <c r="Q614" s="10">
        <f>IFERROR(IF(('Loading-drum,tote'!$C$21)="No control",SUMIF(('Loading-drum,tote'!$B$31:$B$48),$J614,('Loading-drum,tote'!$D$31:$D$48))*Impacts!$F$13,IF(('Loading-drum,tote'!$C$21)&lt;&gt;"No control",SUMIF(('Loading-drum,tote'!$B$31:$B$48),$J614,('Loading-drum,tote'!$E$31:$E$48))*Impacts!$F$13,0)),0)</f>
        <v>0</v>
      </c>
      <c r="R614" s="10">
        <f>IFERROR(IF(('Loading-truck'!$C$21)="No control",SUMIF(('Loading-truck'!$B$31:$B$48),$J614,('Loading-truck'!$D$31:$D$48))*Impacts!$F$14,IF(('Loading-truck'!$C$21)&lt;&gt;"No control",SUMIF(('Loading-truck'!$B$31:$B$48),$J614,('Loading-truck'!$E$31:$E$48))*Impacts!$F$14,0)),0)</f>
        <v>0</v>
      </c>
      <c r="S614" s="10">
        <f>IFERROR(IF(('Loading-rail'!$C$21)="No control",SUMIF(('Loading-rail'!$B$31:$B$48),$J614,('Loading-rail'!$D$31:$D$48))*Impacts!$F$15,IF(('Loading-rail'!$C$21)&lt;&gt;"No control",SUMIF(('Loading-rail'!$B$31:$B$48),$J614,('Loading-rail'!$E$31:$E$48))*Impacts!$F$15,0)),0)</f>
        <v>0</v>
      </c>
      <c r="T614" s="10">
        <f>IF(Flare!$C$7="",0,(SUMIF(Flare!$B$46:$B$185,$J614,Flare!$E$46:$E$185)*Impacts!$F$16))</f>
        <v>0</v>
      </c>
      <c r="U614" s="10">
        <f>IF(VCU!$C$9="",0,(SUMIF(VCU!$B$51:$B$193,$J614,VCU!$E$51:$E$193)*Impacts!$F$17))</f>
        <v>0</v>
      </c>
      <c r="V614" s="10">
        <f>IF(CAS!$C$7="",0,(SUMIF(CAS!$B$31:$B$167,$J614,CAS!$E$31:$E$167)*Impacts!$F$18))</f>
        <v>0</v>
      </c>
      <c r="W614" s="10">
        <f t="shared" si="51"/>
        <v>0</v>
      </c>
      <c r="AK614" s="10" t="str">
        <f t="array" ref="AK614">IFERROR(INDEX(SelectedSpecies,SMALL(IF(SelectedSpecies=AK$1,ROW(SelectedSpecies)),ROW(615:615)),2),"")</f>
        <v/>
      </c>
      <c r="BE614" s="10"/>
      <c r="BI614" s="10"/>
    </row>
    <row r="615" spans="1:61" ht="21" customHeight="1" x14ac:dyDescent="0.25">
      <c r="A615" s="10"/>
      <c r="B615" s="10"/>
      <c r="E615" s="10"/>
      <c r="G615" s="10"/>
      <c r="I615" s="436" t="s">
        <v>5339</v>
      </c>
      <c r="J615" s="26" t="s">
        <v>5338</v>
      </c>
      <c r="K615" s="10">
        <v>1.6</v>
      </c>
      <c r="L615" s="73">
        <f>IF(Tank1!$C$23="No control",(SUMIF(Tank1!$B$32:$B$49,$J615,Tank1!$C$32:$C$49)*Impacts!$F$8),0)</f>
        <v>0</v>
      </c>
      <c r="M615" s="10">
        <f>IF(Tank2!$C$23="No control",(SUMIF(Tank2!$B$32:$B$49,$J615,Tank2!$C$32:$C$49)*Impacts!$F$9),0)</f>
        <v>0</v>
      </c>
      <c r="N615" s="10">
        <f>IF(Tank3!$C$23="No control",(SUMIF(Tank3!$B$32:$B$49,$J615,Tank3!$C$32:$C$49)*Impacts!$F$10),0)</f>
        <v>0</v>
      </c>
      <c r="O615" s="10">
        <f>IF(Tank4!$C$23="No control",(SUMIF(Tank4!$B$32:$B$49,$J615,Tank4!$C$32:$C$49)*Impacts!$F$11),0)</f>
        <v>0</v>
      </c>
      <c r="P615" s="10">
        <f>IF(Tank5!$C$23="No control",(SUMIF(Tank5!$B$32:$B$49,$J615,Tank5!$C$32:$C$49)*Impacts!$F$12),0)</f>
        <v>0</v>
      </c>
      <c r="Q615" s="10">
        <f>IFERROR(IF(('Loading-drum,tote'!$C$21)="No control",SUMIF(('Loading-drum,tote'!$B$31:$B$48),$J615,('Loading-drum,tote'!$D$31:$D$48))*Impacts!$F$13,IF(('Loading-drum,tote'!$C$21)&lt;&gt;"No control",SUMIF(('Loading-drum,tote'!$B$31:$B$48),$J615,('Loading-drum,tote'!$E$31:$E$48))*Impacts!$F$13,0)),0)</f>
        <v>0</v>
      </c>
      <c r="R615" s="10">
        <f>IFERROR(IF(('Loading-truck'!$C$21)="No control",SUMIF(('Loading-truck'!$B$31:$B$48),$J615,('Loading-truck'!$D$31:$D$48))*Impacts!$F$14,IF(('Loading-truck'!$C$21)&lt;&gt;"No control",SUMIF(('Loading-truck'!$B$31:$B$48),$J615,('Loading-truck'!$E$31:$E$48))*Impacts!$F$14,0)),0)</f>
        <v>0</v>
      </c>
      <c r="S615" s="10">
        <f>IFERROR(IF(('Loading-rail'!$C$21)="No control",SUMIF(('Loading-rail'!$B$31:$B$48),$J615,('Loading-rail'!$D$31:$D$48))*Impacts!$F$15,IF(('Loading-rail'!$C$21)&lt;&gt;"No control",SUMIF(('Loading-rail'!$B$31:$B$48),$J615,('Loading-rail'!$E$31:$E$48))*Impacts!$F$15,0)),0)</f>
        <v>0</v>
      </c>
      <c r="T615" s="10">
        <f>IF(Flare!$C$7="",0,(SUMIF(Flare!$B$46:$B$185,$J615,Flare!$E$46:$E$185)*Impacts!$F$16))</f>
        <v>0</v>
      </c>
      <c r="U615" s="10">
        <f>IF(VCU!$C$9="",0,(SUMIF(VCU!$B$51:$B$193,$J615,VCU!$E$51:$E$193)*Impacts!$F$17))</f>
        <v>0</v>
      </c>
      <c r="V615" s="10">
        <f>IF(CAS!$C$7="",0,(SUMIF(CAS!$B$31:$B$167,$J615,CAS!$E$31:$E$167)*Impacts!$F$18))</f>
        <v>0</v>
      </c>
      <c r="W615" s="10">
        <f t="shared" si="51"/>
        <v>0</v>
      </c>
      <c r="AK615" s="10" t="str">
        <f t="array" ref="AK615">IFERROR(INDEX(SelectedSpecies,SMALL(IF(SelectedSpecies=AK$1,ROW(SelectedSpecies)),ROW(616:616)),2),"")</f>
        <v/>
      </c>
      <c r="BE615" s="10"/>
      <c r="BI615" s="10"/>
    </row>
    <row r="616" spans="1:61" ht="21" customHeight="1" x14ac:dyDescent="0.25">
      <c r="A616" s="10"/>
      <c r="B616" s="10"/>
      <c r="E616" s="10"/>
      <c r="G616" s="10"/>
      <c r="I616" s="436" t="s">
        <v>4631</v>
      </c>
      <c r="J616" s="26" t="s">
        <v>4630</v>
      </c>
      <c r="K616" s="10">
        <v>4</v>
      </c>
      <c r="L616" s="73">
        <f>IF(Tank1!$C$23="No control",(SUMIF(Tank1!$B$32:$B$49,$J616,Tank1!$C$32:$C$49)*Impacts!$F$8),0)</f>
        <v>0</v>
      </c>
      <c r="M616" s="10">
        <f>IF(Tank2!$C$23="No control",(SUMIF(Tank2!$B$32:$B$49,$J616,Tank2!$C$32:$C$49)*Impacts!$F$9),0)</f>
        <v>0</v>
      </c>
      <c r="N616" s="10">
        <f>IF(Tank3!$C$23="No control",(SUMIF(Tank3!$B$32:$B$49,$J616,Tank3!$C$32:$C$49)*Impacts!$F$10),0)</f>
        <v>0</v>
      </c>
      <c r="O616" s="10">
        <f>IF(Tank4!$C$23="No control",(SUMIF(Tank4!$B$32:$B$49,$J616,Tank4!$C$32:$C$49)*Impacts!$F$11),0)</f>
        <v>0</v>
      </c>
      <c r="P616" s="10">
        <f>IF(Tank5!$C$23="No control",(SUMIF(Tank5!$B$32:$B$49,$J616,Tank5!$C$32:$C$49)*Impacts!$F$12),0)</f>
        <v>0</v>
      </c>
      <c r="Q616" s="10">
        <f>IFERROR(IF(('Loading-drum,tote'!$C$21)="No control",SUMIF(('Loading-drum,tote'!$B$31:$B$48),$J616,('Loading-drum,tote'!$D$31:$D$48))*Impacts!$F$13,IF(('Loading-drum,tote'!$C$21)&lt;&gt;"No control",SUMIF(('Loading-drum,tote'!$B$31:$B$48),$J616,('Loading-drum,tote'!$E$31:$E$48))*Impacts!$F$13,0)),0)</f>
        <v>0</v>
      </c>
      <c r="R616" s="10">
        <f>IFERROR(IF(('Loading-truck'!$C$21)="No control",SUMIF(('Loading-truck'!$B$31:$B$48),$J616,('Loading-truck'!$D$31:$D$48))*Impacts!$F$14,IF(('Loading-truck'!$C$21)&lt;&gt;"No control",SUMIF(('Loading-truck'!$B$31:$B$48),$J616,('Loading-truck'!$E$31:$E$48))*Impacts!$F$14,0)),0)</f>
        <v>0</v>
      </c>
      <c r="S616" s="10">
        <f>IFERROR(IF(('Loading-rail'!$C$21)="No control",SUMIF(('Loading-rail'!$B$31:$B$48),$J616,('Loading-rail'!$D$31:$D$48))*Impacts!$F$15,IF(('Loading-rail'!$C$21)&lt;&gt;"No control",SUMIF(('Loading-rail'!$B$31:$B$48),$J616,('Loading-rail'!$E$31:$E$48))*Impacts!$F$15,0)),0)</f>
        <v>0</v>
      </c>
      <c r="T616" s="10">
        <f>IF(Flare!$C$7="",0,(SUMIF(Flare!$B$46:$B$185,$J616,Flare!$E$46:$E$185)*Impacts!$F$16))</f>
        <v>0</v>
      </c>
      <c r="U616" s="10">
        <f>IF(VCU!$C$9="",0,(SUMIF(VCU!$B$51:$B$193,$J616,VCU!$E$51:$E$193)*Impacts!$F$17))</f>
        <v>0</v>
      </c>
      <c r="V616" s="10">
        <f>IF(CAS!$C$7="",0,(SUMIF(CAS!$B$31:$B$167,$J616,CAS!$E$31:$E$167)*Impacts!$F$18))</f>
        <v>0</v>
      </c>
      <c r="W616" s="10">
        <f t="shared" si="51"/>
        <v>0</v>
      </c>
      <c r="AK616" s="10" t="str">
        <f t="array" ref="AK616">IFERROR(INDEX(SelectedSpecies,SMALL(IF(SelectedSpecies=AK$1,ROW(SelectedSpecies)),ROW(617:617)),2),"")</f>
        <v/>
      </c>
      <c r="BE616" s="10"/>
      <c r="BI616" s="10"/>
    </row>
    <row r="617" spans="1:61" ht="21" customHeight="1" x14ac:dyDescent="0.25">
      <c r="A617" s="10"/>
      <c r="B617" s="10"/>
      <c r="E617" s="10"/>
      <c r="G617" s="10"/>
      <c r="I617" s="436" t="s">
        <v>3513</v>
      </c>
      <c r="J617" s="26" t="s">
        <v>3512</v>
      </c>
      <c r="K617" s="10">
        <v>9</v>
      </c>
      <c r="L617" s="73">
        <f>IF(Tank1!$C$23="No control",(SUMIF(Tank1!$B$32:$B$49,$J617,Tank1!$C$32:$C$49)*Impacts!$F$8),0)</f>
        <v>0</v>
      </c>
      <c r="M617" s="10">
        <f>IF(Tank2!$C$23="No control",(SUMIF(Tank2!$B$32:$B$49,$J617,Tank2!$C$32:$C$49)*Impacts!$F$9),0)</f>
        <v>0</v>
      </c>
      <c r="N617" s="10">
        <f>IF(Tank3!$C$23="No control",(SUMIF(Tank3!$B$32:$B$49,$J617,Tank3!$C$32:$C$49)*Impacts!$F$10),0)</f>
        <v>0</v>
      </c>
      <c r="O617" s="10">
        <f>IF(Tank4!$C$23="No control",(SUMIF(Tank4!$B$32:$B$49,$J617,Tank4!$C$32:$C$49)*Impacts!$F$11),0)</f>
        <v>0</v>
      </c>
      <c r="P617" s="10">
        <f>IF(Tank5!$C$23="No control",(SUMIF(Tank5!$B$32:$B$49,$J617,Tank5!$C$32:$C$49)*Impacts!$F$12),0)</f>
        <v>0</v>
      </c>
      <c r="Q617" s="10">
        <f>IFERROR(IF(('Loading-drum,tote'!$C$21)="No control",SUMIF(('Loading-drum,tote'!$B$31:$B$48),$J617,('Loading-drum,tote'!$D$31:$D$48))*Impacts!$F$13,IF(('Loading-drum,tote'!$C$21)&lt;&gt;"No control",SUMIF(('Loading-drum,tote'!$B$31:$B$48),$J617,('Loading-drum,tote'!$E$31:$E$48))*Impacts!$F$13,0)),0)</f>
        <v>0</v>
      </c>
      <c r="R617" s="10">
        <f>IFERROR(IF(('Loading-truck'!$C$21)="No control",SUMIF(('Loading-truck'!$B$31:$B$48),$J617,('Loading-truck'!$D$31:$D$48))*Impacts!$F$14,IF(('Loading-truck'!$C$21)&lt;&gt;"No control",SUMIF(('Loading-truck'!$B$31:$B$48),$J617,('Loading-truck'!$E$31:$E$48))*Impacts!$F$14,0)),0)</f>
        <v>0</v>
      </c>
      <c r="S617" s="10">
        <f>IFERROR(IF(('Loading-rail'!$C$21)="No control",SUMIF(('Loading-rail'!$B$31:$B$48),$J617,('Loading-rail'!$D$31:$D$48))*Impacts!$F$15,IF(('Loading-rail'!$C$21)&lt;&gt;"No control",SUMIF(('Loading-rail'!$B$31:$B$48),$J617,('Loading-rail'!$E$31:$E$48))*Impacts!$F$15,0)),0)</f>
        <v>0</v>
      </c>
      <c r="T617" s="10">
        <f>IF(Flare!$C$7="",0,(SUMIF(Flare!$B$46:$B$185,$J617,Flare!$E$46:$E$185)*Impacts!$F$16))</f>
        <v>0</v>
      </c>
      <c r="U617" s="10">
        <f>IF(VCU!$C$9="",0,(SUMIF(VCU!$B$51:$B$193,$J617,VCU!$E$51:$E$193)*Impacts!$F$17))</f>
        <v>0</v>
      </c>
      <c r="V617" s="10">
        <f>IF(CAS!$C$7="",0,(SUMIF(CAS!$B$31:$B$167,$J617,CAS!$E$31:$E$167)*Impacts!$F$18))</f>
        <v>0</v>
      </c>
      <c r="W617" s="10">
        <f t="shared" si="51"/>
        <v>0</v>
      </c>
      <c r="AK617" s="10" t="str">
        <f t="array" ref="AK617">IFERROR(INDEX(SelectedSpecies,SMALL(IF(SelectedSpecies=AK$1,ROW(SelectedSpecies)),ROW(618:618)),2),"")</f>
        <v/>
      </c>
      <c r="BE617" s="10"/>
      <c r="BI617" s="10"/>
    </row>
    <row r="618" spans="1:61" ht="21" customHeight="1" x14ac:dyDescent="0.25">
      <c r="A618" s="10"/>
      <c r="B618" s="10"/>
      <c r="E618" s="10"/>
      <c r="G618" s="10"/>
      <c r="I618" s="436" t="s">
        <v>6744</v>
      </c>
      <c r="J618" s="26" t="s">
        <v>6743</v>
      </c>
      <c r="K618" s="10">
        <v>0.5</v>
      </c>
      <c r="L618" s="73">
        <f>IF(Tank1!$C$23="No control",(SUMIF(Tank1!$B$32:$B$49,$J618,Tank1!$C$32:$C$49)*Impacts!$F$8),0)</f>
        <v>0</v>
      </c>
      <c r="M618" s="10">
        <f>IF(Tank2!$C$23="No control",(SUMIF(Tank2!$B$32:$B$49,$J618,Tank2!$C$32:$C$49)*Impacts!$F$9),0)</f>
        <v>0</v>
      </c>
      <c r="N618" s="10">
        <f>IF(Tank3!$C$23="No control",(SUMIF(Tank3!$B$32:$B$49,$J618,Tank3!$C$32:$C$49)*Impacts!$F$10),0)</f>
        <v>0</v>
      </c>
      <c r="O618" s="10">
        <f>IF(Tank4!$C$23="No control",(SUMIF(Tank4!$B$32:$B$49,$J618,Tank4!$C$32:$C$49)*Impacts!$F$11),0)</f>
        <v>0</v>
      </c>
      <c r="P618" s="10">
        <f>IF(Tank5!$C$23="No control",(SUMIF(Tank5!$B$32:$B$49,$J618,Tank5!$C$32:$C$49)*Impacts!$F$12),0)</f>
        <v>0</v>
      </c>
      <c r="Q618" s="10">
        <f>IFERROR(IF(('Loading-drum,tote'!$C$21)="No control",SUMIF(('Loading-drum,tote'!$B$31:$B$48),$J618,('Loading-drum,tote'!$D$31:$D$48))*Impacts!$F$13,IF(('Loading-drum,tote'!$C$21)&lt;&gt;"No control",SUMIF(('Loading-drum,tote'!$B$31:$B$48),$J618,('Loading-drum,tote'!$E$31:$E$48))*Impacts!$F$13,0)),0)</f>
        <v>0</v>
      </c>
      <c r="R618" s="10">
        <f>IFERROR(IF(('Loading-truck'!$C$21)="No control",SUMIF(('Loading-truck'!$B$31:$B$48),$J618,('Loading-truck'!$D$31:$D$48))*Impacts!$F$14,IF(('Loading-truck'!$C$21)&lt;&gt;"No control",SUMIF(('Loading-truck'!$B$31:$B$48),$J618,('Loading-truck'!$E$31:$E$48))*Impacts!$F$14,0)),0)</f>
        <v>0</v>
      </c>
      <c r="S618" s="10">
        <f>IFERROR(IF(('Loading-rail'!$C$21)="No control",SUMIF(('Loading-rail'!$B$31:$B$48),$J618,('Loading-rail'!$D$31:$D$48))*Impacts!$F$15,IF(('Loading-rail'!$C$21)&lt;&gt;"No control",SUMIF(('Loading-rail'!$B$31:$B$48),$J618,('Loading-rail'!$E$31:$E$48))*Impacts!$F$15,0)),0)</f>
        <v>0</v>
      </c>
      <c r="T618" s="10">
        <f>IF(Flare!$C$7="",0,(SUMIF(Flare!$B$46:$B$185,$J618,Flare!$E$46:$E$185)*Impacts!$F$16))</f>
        <v>0</v>
      </c>
      <c r="U618" s="10">
        <f>IF(VCU!$C$9="",0,(SUMIF(VCU!$B$51:$B$193,$J618,VCU!$E$51:$E$193)*Impacts!$F$17))</f>
        <v>0</v>
      </c>
      <c r="V618" s="10">
        <f>IF(CAS!$C$7="",0,(SUMIF(CAS!$B$31:$B$167,$J618,CAS!$E$31:$E$167)*Impacts!$F$18))</f>
        <v>0</v>
      </c>
      <c r="W618" s="10">
        <f t="shared" si="51"/>
        <v>0</v>
      </c>
      <c r="AK618" s="10" t="str">
        <f t="array" ref="AK618">IFERROR(INDEX(SelectedSpecies,SMALL(IF(SelectedSpecies=AK$1,ROW(SelectedSpecies)),ROW(619:619)),2),"")</f>
        <v/>
      </c>
      <c r="BE618" s="10"/>
      <c r="BI618" s="10"/>
    </row>
    <row r="619" spans="1:61" ht="21" customHeight="1" x14ac:dyDescent="0.25">
      <c r="A619" s="10"/>
      <c r="B619" s="10"/>
      <c r="E619" s="10"/>
      <c r="G619" s="10"/>
      <c r="I619" s="436" t="s">
        <v>6746</v>
      </c>
      <c r="J619" s="26" t="s">
        <v>6745</v>
      </c>
      <c r="K619" s="10">
        <v>0.5</v>
      </c>
      <c r="L619" s="73">
        <f>IF(Tank1!$C$23="No control",(SUMIF(Tank1!$B$32:$B$49,$J619,Tank1!$C$32:$C$49)*Impacts!$F$8),0)</f>
        <v>0</v>
      </c>
      <c r="M619" s="10">
        <f>IF(Tank2!$C$23="No control",(SUMIF(Tank2!$B$32:$B$49,$J619,Tank2!$C$32:$C$49)*Impacts!$F$9),0)</f>
        <v>0</v>
      </c>
      <c r="N619" s="10">
        <f>IF(Tank3!$C$23="No control",(SUMIF(Tank3!$B$32:$B$49,$J619,Tank3!$C$32:$C$49)*Impacts!$F$10),0)</f>
        <v>0</v>
      </c>
      <c r="O619" s="10">
        <f>IF(Tank4!$C$23="No control",(SUMIF(Tank4!$B$32:$B$49,$J619,Tank4!$C$32:$C$49)*Impacts!$F$11),0)</f>
        <v>0</v>
      </c>
      <c r="P619" s="10">
        <f>IF(Tank5!$C$23="No control",(SUMIF(Tank5!$B$32:$B$49,$J619,Tank5!$C$32:$C$49)*Impacts!$F$12),0)</f>
        <v>0</v>
      </c>
      <c r="Q619" s="10">
        <f>IFERROR(IF(('Loading-drum,tote'!$C$21)="No control",SUMIF(('Loading-drum,tote'!$B$31:$B$48),$J619,('Loading-drum,tote'!$D$31:$D$48))*Impacts!$F$13,IF(('Loading-drum,tote'!$C$21)&lt;&gt;"No control",SUMIF(('Loading-drum,tote'!$B$31:$B$48),$J619,('Loading-drum,tote'!$E$31:$E$48))*Impacts!$F$13,0)),0)</f>
        <v>0</v>
      </c>
      <c r="R619" s="10">
        <f>IFERROR(IF(('Loading-truck'!$C$21)="No control",SUMIF(('Loading-truck'!$B$31:$B$48),$J619,('Loading-truck'!$D$31:$D$48))*Impacts!$F$14,IF(('Loading-truck'!$C$21)&lt;&gt;"No control",SUMIF(('Loading-truck'!$B$31:$B$48),$J619,('Loading-truck'!$E$31:$E$48))*Impacts!$F$14,0)),0)</f>
        <v>0</v>
      </c>
      <c r="S619" s="10">
        <f>IFERROR(IF(('Loading-rail'!$C$21)="No control",SUMIF(('Loading-rail'!$B$31:$B$48),$J619,('Loading-rail'!$D$31:$D$48))*Impacts!$F$15,IF(('Loading-rail'!$C$21)&lt;&gt;"No control",SUMIF(('Loading-rail'!$B$31:$B$48),$J619,('Loading-rail'!$E$31:$E$48))*Impacts!$F$15,0)),0)</f>
        <v>0</v>
      </c>
      <c r="T619" s="10">
        <f>IF(Flare!$C$7="",0,(SUMIF(Flare!$B$46:$B$185,$J619,Flare!$E$46:$E$185)*Impacts!$F$16))</f>
        <v>0</v>
      </c>
      <c r="U619" s="10">
        <f>IF(VCU!$C$9="",0,(SUMIF(VCU!$B$51:$B$193,$J619,VCU!$E$51:$E$193)*Impacts!$F$17))</f>
        <v>0</v>
      </c>
      <c r="V619" s="10">
        <f>IF(CAS!$C$7="",0,(SUMIF(CAS!$B$31:$B$167,$J619,CAS!$E$31:$E$167)*Impacts!$F$18))</f>
        <v>0</v>
      </c>
      <c r="W619" s="10">
        <f t="shared" si="51"/>
        <v>0</v>
      </c>
      <c r="AK619" s="10" t="str">
        <f t="array" ref="AK619">IFERROR(INDEX(SelectedSpecies,SMALL(IF(SelectedSpecies=AK$1,ROW(SelectedSpecies)),ROW(620:620)),2),"")</f>
        <v/>
      </c>
      <c r="BE619" s="10"/>
      <c r="BI619" s="10"/>
    </row>
    <row r="620" spans="1:61" ht="21" customHeight="1" x14ac:dyDescent="0.25">
      <c r="A620" s="10"/>
      <c r="B620" s="10"/>
      <c r="E620" s="10"/>
      <c r="G620" s="10"/>
      <c r="I620" s="436" t="s">
        <v>1829</v>
      </c>
      <c r="J620" s="26" t="s">
        <v>1828</v>
      </c>
      <c r="K620" s="10">
        <v>20</v>
      </c>
      <c r="L620" s="73">
        <f>IF(Tank1!$C$23="No control",(SUMIF(Tank1!$B$32:$B$49,$J620,Tank1!$C$32:$C$49)*Impacts!$F$8),0)</f>
        <v>0</v>
      </c>
      <c r="M620" s="10">
        <f>IF(Tank2!$C$23="No control",(SUMIF(Tank2!$B$32:$B$49,$J620,Tank2!$C$32:$C$49)*Impacts!$F$9),0)</f>
        <v>0</v>
      </c>
      <c r="N620" s="10">
        <f>IF(Tank3!$C$23="No control",(SUMIF(Tank3!$B$32:$B$49,$J620,Tank3!$C$32:$C$49)*Impacts!$F$10),0)</f>
        <v>0</v>
      </c>
      <c r="O620" s="10">
        <f>IF(Tank4!$C$23="No control",(SUMIF(Tank4!$B$32:$B$49,$J620,Tank4!$C$32:$C$49)*Impacts!$F$11),0)</f>
        <v>0</v>
      </c>
      <c r="P620" s="10">
        <f>IF(Tank5!$C$23="No control",(SUMIF(Tank5!$B$32:$B$49,$J620,Tank5!$C$32:$C$49)*Impacts!$F$12),0)</f>
        <v>0</v>
      </c>
      <c r="Q620" s="10">
        <f>IFERROR(IF(('Loading-drum,tote'!$C$21)="No control",SUMIF(('Loading-drum,tote'!$B$31:$B$48),$J620,('Loading-drum,tote'!$D$31:$D$48))*Impacts!$F$13,IF(('Loading-drum,tote'!$C$21)&lt;&gt;"No control",SUMIF(('Loading-drum,tote'!$B$31:$B$48),$J620,('Loading-drum,tote'!$E$31:$E$48))*Impacts!$F$13,0)),0)</f>
        <v>0</v>
      </c>
      <c r="R620" s="10">
        <f>IFERROR(IF(('Loading-truck'!$C$21)="No control",SUMIF(('Loading-truck'!$B$31:$B$48),$J620,('Loading-truck'!$D$31:$D$48))*Impacts!$F$14,IF(('Loading-truck'!$C$21)&lt;&gt;"No control",SUMIF(('Loading-truck'!$B$31:$B$48),$J620,('Loading-truck'!$E$31:$E$48))*Impacts!$F$14,0)),0)</f>
        <v>0</v>
      </c>
      <c r="S620" s="10">
        <f>IFERROR(IF(('Loading-rail'!$C$21)="No control",SUMIF(('Loading-rail'!$B$31:$B$48),$J620,('Loading-rail'!$D$31:$D$48))*Impacts!$F$15,IF(('Loading-rail'!$C$21)&lt;&gt;"No control",SUMIF(('Loading-rail'!$B$31:$B$48),$J620,('Loading-rail'!$E$31:$E$48))*Impacts!$F$15,0)),0)</f>
        <v>0</v>
      </c>
      <c r="T620" s="10">
        <f>IF(Flare!$C$7="",0,(SUMIF(Flare!$B$46:$B$185,$J620,Flare!$E$46:$E$185)*Impacts!$F$16))</f>
        <v>0</v>
      </c>
      <c r="U620" s="10">
        <f>IF(VCU!$C$9="",0,(SUMIF(VCU!$B$51:$B$193,$J620,VCU!$E$51:$E$193)*Impacts!$F$17))</f>
        <v>0</v>
      </c>
      <c r="V620" s="10">
        <f>IF(CAS!$C$7="",0,(SUMIF(CAS!$B$31:$B$167,$J620,CAS!$E$31:$E$167)*Impacts!$F$18))</f>
        <v>0</v>
      </c>
      <c r="W620" s="10">
        <f t="shared" si="51"/>
        <v>0</v>
      </c>
      <c r="AK620" s="10" t="str">
        <f t="array" ref="AK620">IFERROR(INDEX(SelectedSpecies,SMALL(IF(SelectedSpecies=AK$1,ROW(SelectedSpecies)),ROW(621:621)),2),"")</f>
        <v/>
      </c>
      <c r="BE620" s="10"/>
      <c r="BI620" s="10"/>
    </row>
    <row r="621" spans="1:61" ht="21" customHeight="1" x14ac:dyDescent="0.25">
      <c r="A621" s="10"/>
      <c r="B621" s="10"/>
      <c r="E621" s="10"/>
      <c r="G621" s="10"/>
      <c r="I621" s="436" t="s">
        <v>8038</v>
      </c>
      <c r="J621" s="26" t="s">
        <v>8037</v>
      </c>
      <c r="K621" s="10">
        <v>2.0000000000000004E-2</v>
      </c>
      <c r="L621" s="73">
        <f>IF(Tank1!$C$23="No control",(SUMIF(Tank1!$B$32:$B$49,$J621,Tank1!$C$32:$C$49)*Impacts!$F$8),0)</f>
        <v>0</v>
      </c>
      <c r="M621" s="10">
        <f>IF(Tank2!$C$23="No control",(SUMIF(Tank2!$B$32:$B$49,$J621,Tank2!$C$32:$C$49)*Impacts!$F$9),0)</f>
        <v>0</v>
      </c>
      <c r="N621" s="10">
        <f>IF(Tank3!$C$23="No control",(SUMIF(Tank3!$B$32:$B$49,$J621,Tank3!$C$32:$C$49)*Impacts!$F$10),0)</f>
        <v>0</v>
      </c>
      <c r="O621" s="10">
        <f>IF(Tank4!$C$23="No control",(SUMIF(Tank4!$B$32:$B$49,$J621,Tank4!$C$32:$C$49)*Impacts!$F$11),0)</f>
        <v>0</v>
      </c>
      <c r="P621" s="10">
        <f>IF(Tank5!$C$23="No control",(SUMIF(Tank5!$B$32:$B$49,$J621,Tank5!$C$32:$C$49)*Impacts!$F$12),0)</f>
        <v>0</v>
      </c>
      <c r="Q621" s="10">
        <f>IFERROR(IF(('Loading-drum,tote'!$C$21)="No control",SUMIF(('Loading-drum,tote'!$B$31:$B$48),$J621,('Loading-drum,tote'!$D$31:$D$48))*Impacts!$F$13,IF(('Loading-drum,tote'!$C$21)&lt;&gt;"No control",SUMIF(('Loading-drum,tote'!$B$31:$B$48),$J621,('Loading-drum,tote'!$E$31:$E$48))*Impacts!$F$13,0)),0)</f>
        <v>0</v>
      </c>
      <c r="R621" s="10">
        <f>IFERROR(IF(('Loading-truck'!$C$21)="No control",SUMIF(('Loading-truck'!$B$31:$B$48),$J621,('Loading-truck'!$D$31:$D$48))*Impacts!$F$14,IF(('Loading-truck'!$C$21)&lt;&gt;"No control",SUMIF(('Loading-truck'!$B$31:$B$48),$J621,('Loading-truck'!$E$31:$E$48))*Impacts!$F$14,0)),0)</f>
        <v>0</v>
      </c>
      <c r="S621" s="10">
        <f>IFERROR(IF(('Loading-rail'!$C$21)="No control",SUMIF(('Loading-rail'!$B$31:$B$48),$J621,('Loading-rail'!$D$31:$D$48))*Impacts!$F$15,IF(('Loading-rail'!$C$21)&lt;&gt;"No control",SUMIF(('Loading-rail'!$B$31:$B$48),$J621,('Loading-rail'!$E$31:$E$48))*Impacts!$F$15,0)),0)</f>
        <v>0</v>
      </c>
      <c r="T621" s="10">
        <f>IF(Flare!$C$7="",0,(SUMIF(Flare!$B$46:$B$185,$J621,Flare!$E$46:$E$185)*Impacts!$F$16))</f>
        <v>0</v>
      </c>
      <c r="U621" s="10">
        <f>IF(VCU!$C$9="",0,(SUMIF(VCU!$B$51:$B$193,$J621,VCU!$E$51:$E$193)*Impacts!$F$17))</f>
        <v>0</v>
      </c>
      <c r="V621" s="10">
        <f>IF(CAS!$C$7="",0,(SUMIF(CAS!$B$31:$B$167,$J621,CAS!$E$31:$E$167)*Impacts!$F$18))</f>
        <v>0</v>
      </c>
      <c r="W621" s="10">
        <f t="shared" si="51"/>
        <v>0</v>
      </c>
      <c r="AK621" s="10" t="str">
        <f t="array" ref="AK621">IFERROR(INDEX(SelectedSpecies,SMALL(IF(SelectedSpecies=AK$1,ROW(SelectedSpecies)),ROW(622:622)),2),"")</f>
        <v/>
      </c>
      <c r="BE621" s="10"/>
      <c r="BI621" s="10"/>
    </row>
    <row r="622" spans="1:61" ht="21" customHeight="1" x14ac:dyDescent="0.25">
      <c r="A622" s="10"/>
      <c r="B622" s="10"/>
      <c r="E622" s="10"/>
      <c r="G622" s="10"/>
      <c r="I622" s="436" t="s">
        <v>2349</v>
      </c>
      <c r="J622" s="26" t="s">
        <v>2348</v>
      </c>
      <c r="K622" s="10">
        <v>11</v>
      </c>
      <c r="L622" s="73">
        <f>IF(Tank1!$C$23="No control",(SUMIF(Tank1!$B$32:$B$49,$J622,Tank1!$C$32:$C$49)*Impacts!$F$8),0)</f>
        <v>0</v>
      </c>
      <c r="M622" s="10">
        <f>IF(Tank2!$C$23="No control",(SUMIF(Tank2!$B$32:$B$49,$J622,Tank2!$C$32:$C$49)*Impacts!$F$9),0)</f>
        <v>0</v>
      </c>
      <c r="N622" s="10">
        <f>IF(Tank3!$C$23="No control",(SUMIF(Tank3!$B$32:$B$49,$J622,Tank3!$C$32:$C$49)*Impacts!$F$10),0)</f>
        <v>0</v>
      </c>
      <c r="O622" s="10">
        <f>IF(Tank4!$C$23="No control",(SUMIF(Tank4!$B$32:$B$49,$J622,Tank4!$C$32:$C$49)*Impacts!$F$11),0)</f>
        <v>0</v>
      </c>
      <c r="P622" s="10">
        <f>IF(Tank5!$C$23="No control",(SUMIF(Tank5!$B$32:$B$49,$J622,Tank5!$C$32:$C$49)*Impacts!$F$12),0)</f>
        <v>0</v>
      </c>
      <c r="Q622" s="10">
        <f>IFERROR(IF(('Loading-drum,tote'!$C$21)="No control",SUMIF(('Loading-drum,tote'!$B$31:$B$48),$J622,('Loading-drum,tote'!$D$31:$D$48))*Impacts!$F$13,IF(('Loading-drum,tote'!$C$21)&lt;&gt;"No control",SUMIF(('Loading-drum,tote'!$B$31:$B$48),$J622,('Loading-drum,tote'!$E$31:$E$48))*Impacts!$F$13,0)),0)</f>
        <v>0</v>
      </c>
      <c r="R622" s="10">
        <f>IFERROR(IF(('Loading-truck'!$C$21)="No control",SUMIF(('Loading-truck'!$B$31:$B$48),$J622,('Loading-truck'!$D$31:$D$48))*Impacts!$F$14,IF(('Loading-truck'!$C$21)&lt;&gt;"No control",SUMIF(('Loading-truck'!$B$31:$B$48),$J622,('Loading-truck'!$E$31:$E$48))*Impacts!$F$14,0)),0)</f>
        <v>0</v>
      </c>
      <c r="S622" s="10">
        <f>IFERROR(IF(('Loading-rail'!$C$21)="No control",SUMIF(('Loading-rail'!$B$31:$B$48),$J622,('Loading-rail'!$D$31:$D$48))*Impacts!$F$15,IF(('Loading-rail'!$C$21)&lt;&gt;"No control",SUMIF(('Loading-rail'!$B$31:$B$48),$J622,('Loading-rail'!$E$31:$E$48))*Impacts!$F$15,0)),0)</f>
        <v>0</v>
      </c>
      <c r="T622" s="10">
        <f>IF(Flare!$C$7="",0,(SUMIF(Flare!$B$46:$B$185,$J622,Flare!$E$46:$E$185)*Impacts!$F$16))</f>
        <v>0</v>
      </c>
      <c r="U622" s="10">
        <f>IF(VCU!$C$9="",0,(SUMIF(VCU!$B$51:$B$193,$J622,VCU!$E$51:$E$193)*Impacts!$F$17))</f>
        <v>0</v>
      </c>
      <c r="V622" s="10">
        <f>IF(CAS!$C$7="",0,(SUMIF(CAS!$B$31:$B$167,$J622,CAS!$E$31:$E$167)*Impacts!$F$18))</f>
        <v>0</v>
      </c>
      <c r="W622" s="10">
        <f t="shared" si="51"/>
        <v>0</v>
      </c>
      <c r="AK622" s="10" t="str">
        <f t="array" ref="AK622">IFERROR(INDEX(SelectedSpecies,SMALL(IF(SelectedSpecies=AK$1,ROW(SelectedSpecies)),ROW(623:623)),2),"")</f>
        <v/>
      </c>
      <c r="BE622" s="10"/>
      <c r="BI622" s="10"/>
    </row>
    <row r="623" spans="1:61" ht="21" customHeight="1" x14ac:dyDescent="0.25">
      <c r="A623" s="10"/>
      <c r="B623" s="10"/>
      <c r="E623" s="10"/>
      <c r="G623" s="10"/>
      <c r="I623" s="436" t="s">
        <v>3709</v>
      </c>
      <c r="J623" s="26" t="s">
        <v>3708</v>
      </c>
      <c r="K623" s="10">
        <v>6.5</v>
      </c>
      <c r="L623" s="73">
        <f>IF(Tank1!$C$23="No control",(SUMIF(Tank1!$B$32:$B$49,$J623,Tank1!$C$32:$C$49)*Impacts!$F$8),0)</f>
        <v>0</v>
      </c>
      <c r="M623" s="10">
        <f>IF(Tank2!$C$23="No control",(SUMIF(Tank2!$B$32:$B$49,$J623,Tank2!$C$32:$C$49)*Impacts!$F$9),0)</f>
        <v>0</v>
      </c>
      <c r="N623" s="10">
        <f>IF(Tank3!$C$23="No control",(SUMIF(Tank3!$B$32:$B$49,$J623,Tank3!$C$32:$C$49)*Impacts!$F$10),0)</f>
        <v>0</v>
      </c>
      <c r="O623" s="10">
        <f>IF(Tank4!$C$23="No control",(SUMIF(Tank4!$B$32:$B$49,$J623,Tank4!$C$32:$C$49)*Impacts!$F$11),0)</f>
        <v>0</v>
      </c>
      <c r="P623" s="10">
        <f>IF(Tank5!$C$23="No control",(SUMIF(Tank5!$B$32:$B$49,$J623,Tank5!$C$32:$C$49)*Impacts!$F$12),0)</f>
        <v>0</v>
      </c>
      <c r="Q623" s="10">
        <f>IFERROR(IF(('Loading-drum,tote'!$C$21)="No control",SUMIF(('Loading-drum,tote'!$B$31:$B$48),$J623,('Loading-drum,tote'!$D$31:$D$48))*Impacts!$F$13,IF(('Loading-drum,tote'!$C$21)&lt;&gt;"No control",SUMIF(('Loading-drum,tote'!$B$31:$B$48),$J623,('Loading-drum,tote'!$E$31:$E$48))*Impacts!$F$13,0)),0)</f>
        <v>0</v>
      </c>
      <c r="R623" s="10">
        <f>IFERROR(IF(('Loading-truck'!$C$21)="No control",SUMIF(('Loading-truck'!$B$31:$B$48),$J623,('Loading-truck'!$D$31:$D$48))*Impacts!$F$14,IF(('Loading-truck'!$C$21)&lt;&gt;"No control",SUMIF(('Loading-truck'!$B$31:$B$48),$J623,('Loading-truck'!$E$31:$E$48))*Impacts!$F$14,0)),0)</f>
        <v>0</v>
      </c>
      <c r="S623" s="10">
        <f>IFERROR(IF(('Loading-rail'!$C$21)="No control",SUMIF(('Loading-rail'!$B$31:$B$48),$J623,('Loading-rail'!$D$31:$D$48))*Impacts!$F$15,IF(('Loading-rail'!$C$21)&lt;&gt;"No control",SUMIF(('Loading-rail'!$B$31:$B$48),$J623,('Loading-rail'!$E$31:$E$48))*Impacts!$F$15,0)),0)</f>
        <v>0</v>
      </c>
      <c r="T623" s="10">
        <f>IF(Flare!$C$7="",0,(SUMIF(Flare!$B$46:$B$185,$J623,Flare!$E$46:$E$185)*Impacts!$F$16))</f>
        <v>0</v>
      </c>
      <c r="U623" s="10">
        <f>IF(VCU!$C$9="",0,(SUMIF(VCU!$B$51:$B$193,$J623,VCU!$E$51:$E$193)*Impacts!$F$17))</f>
        <v>0</v>
      </c>
      <c r="V623" s="10">
        <f>IF(CAS!$C$7="",0,(SUMIF(CAS!$B$31:$B$167,$J623,CAS!$E$31:$E$167)*Impacts!$F$18))</f>
        <v>0</v>
      </c>
      <c r="W623" s="10">
        <f t="shared" si="51"/>
        <v>0</v>
      </c>
      <c r="AK623" s="10" t="str">
        <f t="array" ref="AK623">IFERROR(INDEX(SelectedSpecies,SMALL(IF(SelectedSpecies=AK$1,ROW(SelectedSpecies)),ROW(624:624)),2),"")</f>
        <v/>
      </c>
      <c r="BE623" s="10"/>
      <c r="BI623" s="10"/>
    </row>
    <row r="624" spans="1:61" ht="21" customHeight="1" x14ac:dyDescent="0.25">
      <c r="A624" s="10"/>
      <c r="B624" s="10"/>
      <c r="E624" s="10"/>
      <c r="G624" s="10"/>
      <c r="I624" s="436" t="s">
        <v>866</v>
      </c>
      <c r="J624" s="26" t="s">
        <v>865</v>
      </c>
      <c r="K624" s="10">
        <v>45</v>
      </c>
      <c r="L624" s="73">
        <f>IF(Tank1!$C$23="No control",(SUMIF(Tank1!$B$32:$B$49,$J624,Tank1!$C$32:$C$49)*Impacts!$F$8),0)</f>
        <v>0</v>
      </c>
      <c r="M624" s="10">
        <f>IF(Tank2!$C$23="No control",(SUMIF(Tank2!$B$32:$B$49,$J624,Tank2!$C$32:$C$49)*Impacts!$F$9),0)</f>
        <v>0</v>
      </c>
      <c r="N624" s="10">
        <f>IF(Tank3!$C$23="No control",(SUMIF(Tank3!$B$32:$B$49,$J624,Tank3!$C$32:$C$49)*Impacts!$F$10),0)</f>
        <v>0</v>
      </c>
      <c r="O624" s="10">
        <f>IF(Tank4!$C$23="No control",(SUMIF(Tank4!$B$32:$B$49,$J624,Tank4!$C$32:$C$49)*Impacts!$F$11),0)</f>
        <v>0</v>
      </c>
      <c r="P624" s="10">
        <f>IF(Tank5!$C$23="No control",(SUMIF(Tank5!$B$32:$B$49,$J624,Tank5!$C$32:$C$49)*Impacts!$F$12),0)</f>
        <v>0</v>
      </c>
      <c r="Q624" s="10">
        <f>IFERROR(IF(('Loading-drum,tote'!$C$21)="No control",SUMIF(('Loading-drum,tote'!$B$31:$B$48),$J624,('Loading-drum,tote'!$D$31:$D$48))*Impacts!$F$13,IF(('Loading-drum,tote'!$C$21)&lt;&gt;"No control",SUMIF(('Loading-drum,tote'!$B$31:$B$48),$J624,('Loading-drum,tote'!$E$31:$E$48))*Impacts!$F$13,0)),0)</f>
        <v>0</v>
      </c>
      <c r="R624" s="10">
        <f>IFERROR(IF(('Loading-truck'!$C$21)="No control",SUMIF(('Loading-truck'!$B$31:$B$48),$J624,('Loading-truck'!$D$31:$D$48))*Impacts!$F$14,IF(('Loading-truck'!$C$21)&lt;&gt;"No control",SUMIF(('Loading-truck'!$B$31:$B$48),$J624,('Loading-truck'!$E$31:$E$48))*Impacts!$F$14,0)),0)</f>
        <v>0</v>
      </c>
      <c r="S624" s="10">
        <f>IFERROR(IF(('Loading-rail'!$C$21)="No control",SUMIF(('Loading-rail'!$B$31:$B$48),$J624,('Loading-rail'!$D$31:$D$48))*Impacts!$F$15,IF(('Loading-rail'!$C$21)&lt;&gt;"No control",SUMIF(('Loading-rail'!$B$31:$B$48),$J624,('Loading-rail'!$E$31:$E$48))*Impacts!$F$15,0)),0)</f>
        <v>0</v>
      </c>
      <c r="T624" s="10">
        <f>IF(Flare!$C$7="",0,(SUMIF(Flare!$B$46:$B$185,$J624,Flare!$E$46:$E$185)*Impacts!$F$16))</f>
        <v>0</v>
      </c>
      <c r="U624" s="10">
        <f>IF(VCU!$C$9="",0,(SUMIF(VCU!$B$51:$B$193,$J624,VCU!$E$51:$E$193)*Impacts!$F$17))</f>
        <v>0</v>
      </c>
      <c r="V624" s="10">
        <f>IF(CAS!$C$7="",0,(SUMIF(CAS!$B$31:$B$167,$J624,CAS!$E$31:$E$167)*Impacts!$F$18))</f>
        <v>0</v>
      </c>
      <c r="W624" s="10">
        <f t="shared" si="51"/>
        <v>0</v>
      </c>
      <c r="AK624" s="10" t="str">
        <f t="array" ref="AK624">IFERROR(INDEX(SelectedSpecies,SMALL(IF(SelectedSpecies=AK$1,ROW(SelectedSpecies)),ROW(625:625)),2),"")</f>
        <v/>
      </c>
      <c r="BE624" s="10"/>
      <c r="BI624" s="10"/>
    </row>
    <row r="625" spans="1:61" ht="21" customHeight="1" x14ac:dyDescent="0.25">
      <c r="A625" s="10"/>
      <c r="B625" s="10"/>
      <c r="E625" s="10"/>
      <c r="G625" s="10"/>
      <c r="I625" s="436" t="s">
        <v>5730</v>
      </c>
      <c r="J625" s="26" t="s">
        <v>5729</v>
      </c>
      <c r="K625" s="10">
        <v>1</v>
      </c>
      <c r="L625" s="73">
        <f>IF(Tank1!$C$23="No control",(SUMIF(Tank1!$B$32:$B$49,$J625,Tank1!$C$32:$C$49)*Impacts!$F$8),0)</f>
        <v>0</v>
      </c>
      <c r="M625" s="10">
        <f>IF(Tank2!$C$23="No control",(SUMIF(Tank2!$B$32:$B$49,$J625,Tank2!$C$32:$C$49)*Impacts!$F$9),0)</f>
        <v>0</v>
      </c>
      <c r="N625" s="10">
        <f>IF(Tank3!$C$23="No control",(SUMIF(Tank3!$B$32:$B$49,$J625,Tank3!$C$32:$C$49)*Impacts!$F$10),0)</f>
        <v>0</v>
      </c>
      <c r="O625" s="10">
        <f>IF(Tank4!$C$23="No control",(SUMIF(Tank4!$B$32:$B$49,$J625,Tank4!$C$32:$C$49)*Impacts!$F$11),0)</f>
        <v>0</v>
      </c>
      <c r="P625" s="10">
        <f>IF(Tank5!$C$23="No control",(SUMIF(Tank5!$B$32:$B$49,$J625,Tank5!$C$32:$C$49)*Impacts!$F$12),0)</f>
        <v>0</v>
      </c>
      <c r="Q625" s="10">
        <f>IFERROR(IF(('Loading-drum,tote'!$C$21)="No control",SUMIF(('Loading-drum,tote'!$B$31:$B$48),$J625,('Loading-drum,tote'!$D$31:$D$48))*Impacts!$F$13,IF(('Loading-drum,tote'!$C$21)&lt;&gt;"No control",SUMIF(('Loading-drum,tote'!$B$31:$B$48),$J625,('Loading-drum,tote'!$E$31:$E$48))*Impacts!$F$13,0)),0)</f>
        <v>0</v>
      </c>
      <c r="R625" s="10">
        <f>IFERROR(IF(('Loading-truck'!$C$21)="No control",SUMIF(('Loading-truck'!$B$31:$B$48),$J625,('Loading-truck'!$D$31:$D$48))*Impacts!$F$14,IF(('Loading-truck'!$C$21)&lt;&gt;"No control",SUMIF(('Loading-truck'!$B$31:$B$48),$J625,('Loading-truck'!$E$31:$E$48))*Impacts!$F$14,0)),0)</f>
        <v>0</v>
      </c>
      <c r="S625" s="10">
        <f>IFERROR(IF(('Loading-rail'!$C$21)="No control",SUMIF(('Loading-rail'!$B$31:$B$48),$J625,('Loading-rail'!$D$31:$D$48))*Impacts!$F$15,IF(('Loading-rail'!$C$21)&lt;&gt;"No control",SUMIF(('Loading-rail'!$B$31:$B$48),$J625,('Loading-rail'!$E$31:$E$48))*Impacts!$F$15,0)),0)</f>
        <v>0</v>
      </c>
      <c r="T625" s="10">
        <f>IF(Flare!$C$7="",0,(SUMIF(Flare!$B$46:$B$185,$J625,Flare!$E$46:$E$185)*Impacts!$F$16))</f>
        <v>0</v>
      </c>
      <c r="U625" s="10">
        <f>IF(VCU!$C$9="",0,(SUMIF(VCU!$B$51:$B$193,$J625,VCU!$E$51:$E$193)*Impacts!$F$17))</f>
        <v>0</v>
      </c>
      <c r="V625" s="10">
        <f>IF(CAS!$C$7="",0,(SUMIF(CAS!$B$31:$B$167,$J625,CAS!$E$31:$E$167)*Impacts!$F$18))</f>
        <v>0</v>
      </c>
      <c r="W625" s="10">
        <f t="shared" si="51"/>
        <v>0</v>
      </c>
      <c r="AK625" s="10" t="str">
        <f t="array" ref="AK625">IFERROR(INDEX(SelectedSpecies,SMALL(IF(SelectedSpecies=AK$1,ROW(SelectedSpecies)),ROW(626:626)),2),"")</f>
        <v/>
      </c>
      <c r="BE625" s="10"/>
      <c r="BI625" s="10"/>
    </row>
    <row r="626" spans="1:61" ht="21" customHeight="1" x14ac:dyDescent="0.25">
      <c r="A626" s="10"/>
      <c r="B626" s="10"/>
      <c r="E626" s="10"/>
      <c r="G626" s="10"/>
      <c r="I626" s="436" t="s">
        <v>5555</v>
      </c>
      <c r="J626" s="26" t="s">
        <v>5554</v>
      </c>
      <c r="K626" s="10">
        <v>1.2000000000000002</v>
      </c>
      <c r="L626" s="73">
        <f>IF(Tank1!$C$23="No control",(SUMIF(Tank1!$B$32:$B$49,$J626,Tank1!$C$32:$C$49)*Impacts!$F$8),0)</f>
        <v>0</v>
      </c>
      <c r="M626" s="10">
        <f>IF(Tank2!$C$23="No control",(SUMIF(Tank2!$B$32:$B$49,$J626,Tank2!$C$32:$C$49)*Impacts!$F$9),0)</f>
        <v>0</v>
      </c>
      <c r="N626" s="10">
        <f>IF(Tank3!$C$23="No control",(SUMIF(Tank3!$B$32:$B$49,$J626,Tank3!$C$32:$C$49)*Impacts!$F$10),0)</f>
        <v>0</v>
      </c>
      <c r="O626" s="10">
        <f>IF(Tank4!$C$23="No control",(SUMIF(Tank4!$B$32:$B$49,$J626,Tank4!$C$32:$C$49)*Impacts!$F$11),0)</f>
        <v>0</v>
      </c>
      <c r="P626" s="10">
        <f>IF(Tank5!$C$23="No control",(SUMIF(Tank5!$B$32:$B$49,$J626,Tank5!$C$32:$C$49)*Impacts!$F$12),0)</f>
        <v>0</v>
      </c>
      <c r="Q626" s="10">
        <f>IFERROR(IF(('Loading-drum,tote'!$C$21)="No control",SUMIF(('Loading-drum,tote'!$B$31:$B$48),$J626,('Loading-drum,tote'!$D$31:$D$48))*Impacts!$F$13,IF(('Loading-drum,tote'!$C$21)&lt;&gt;"No control",SUMIF(('Loading-drum,tote'!$B$31:$B$48),$J626,('Loading-drum,tote'!$E$31:$E$48))*Impacts!$F$13,0)),0)</f>
        <v>0</v>
      </c>
      <c r="R626" s="10">
        <f>IFERROR(IF(('Loading-truck'!$C$21)="No control",SUMIF(('Loading-truck'!$B$31:$B$48),$J626,('Loading-truck'!$D$31:$D$48))*Impacts!$F$14,IF(('Loading-truck'!$C$21)&lt;&gt;"No control",SUMIF(('Loading-truck'!$B$31:$B$48),$J626,('Loading-truck'!$E$31:$E$48))*Impacts!$F$14,0)),0)</f>
        <v>0</v>
      </c>
      <c r="S626" s="10">
        <f>IFERROR(IF(('Loading-rail'!$C$21)="No control",SUMIF(('Loading-rail'!$B$31:$B$48),$J626,('Loading-rail'!$D$31:$D$48))*Impacts!$F$15,IF(('Loading-rail'!$C$21)&lt;&gt;"No control",SUMIF(('Loading-rail'!$B$31:$B$48),$J626,('Loading-rail'!$E$31:$E$48))*Impacts!$F$15,0)),0)</f>
        <v>0</v>
      </c>
      <c r="T626" s="10">
        <f>IF(Flare!$C$7="",0,(SUMIF(Flare!$B$46:$B$185,$J626,Flare!$E$46:$E$185)*Impacts!$F$16))</f>
        <v>0</v>
      </c>
      <c r="U626" s="10">
        <f>IF(VCU!$C$9="",0,(SUMIF(VCU!$B$51:$B$193,$J626,VCU!$E$51:$E$193)*Impacts!$F$17))</f>
        <v>0</v>
      </c>
      <c r="V626" s="10">
        <f>IF(CAS!$C$7="",0,(SUMIF(CAS!$B$31:$B$167,$J626,CAS!$E$31:$E$167)*Impacts!$F$18))</f>
        <v>0</v>
      </c>
      <c r="W626" s="10">
        <f t="shared" si="51"/>
        <v>0</v>
      </c>
      <c r="AK626" s="10" t="str">
        <f t="array" ref="AK626">IFERROR(INDEX(SelectedSpecies,SMALL(IF(SelectedSpecies=AK$1,ROW(SelectedSpecies)),ROW(627:627)),2),"")</f>
        <v/>
      </c>
      <c r="BE626" s="10"/>
      <c r="BI626" s="10"/>
    </row>
    <row r="627" spans="1:61" ht="21" customHeight="1" x14ac:dyDescent="0.25">
      <c r="A627" s="10"/>
      <c r="B627" s="10"/>
      <c r="E627" s="10"/>
      <c r="G627" s="10"/>
      <c r="I627" s="436" t="s">
        <v>8286</v>
      </c>
      <c r="J627" s="26" t="s">
        <v>8285</v>
      </c>
      <c r="K627" s="10">
        <v>2.5000000000000005E-3</v>
      </c>
      <c r="L627" s="73">
        <f>IF(Tank1!$C$23="No control",(SUMIF(Tank1!$B$32:$B$49,$J627,Tank1!$C$32:$C$49)*Impacts!$F$8),0)</f>
        <v>0</v>
      </c>
      <c r="M627" s="10">
        <f>IF(Tank2!$C$23="No control",(SUMIF(Tank2!$B$32:$B$49,$J627,Tank2!$C$32:$C$49)*Impacts!$F$9),0)</f>
        <v>0</v>
      </c>
      <c r="N627" s="10">
        <f>IF(Tank3!$C$23="No control",(SUMIF(Tank3!$B$32:$B$49,$J627,Tank3!$C$32:$C$49)*Impacts!$F$10),0)</f>
        <v>0</v>
      </c>
      <c r="O627" s="10">
        <f>IF(Tank4!$C$23="No control",(SUMIF(Tank4!$B$32:$B$49,$J627,Tank4!$C$32:$C$49)*Impacts!$F$11),0)</f>
        <v>0</v>
      </c>
      <c r="P627" s="10">
        <f>IF(Tank5!$C$23="No control",(SUMIF(Tank5!$B$32:$B$49,$J627,Tank5!$C$32:$C$49)*Impacts!$F$12),0)</f>
        <v>0</v>
      </c>
      <c r="Q627" s="10">
        <f>IFERROR(IF(('Loading-drum,tote'!$C$21)="No control",SUMIF(('Loading-drum,tote'!$B$31:$B$48),$J627,('Loading-drum,tote'!$D$31:$D$48))*Impacts!$F$13,IF(('Loading-drum,tote'!$C$21)&lt;&gt;"No control",SUMIF(('Loading-drum,tote'!$B$31:$B$48),$J627,('Loading-drum,tote'!$E$31:$E$48))*Impacts!$F$13,0)),0)</f>
        <v>0</v>
      </c>
      <c r="R627" s="10">
        <f>IFERROR(IF(('Loading-truck'!$C$21)="No control",SUMIF(('Loading-truck'!$B$31:$B$48),$J627,('Loading-truck'!$D$31:$D$48))*Impacts!$F$14,IF(('Loading-truck'!$C$21)&lt;&gt;"No control",SUMIF(('Loading-truck'!$B$31:$B$48),$J627,('Loading-truck'!$E$31:$E$48))*Impacts!$F$14,0)),0)</f>
        <v>0</v>
      </c>
      <c r="S627" s="10">
        <f>IFERROR(IF(('Loading-rail'!$C$21)="No control",SUMIF(('Loading-rail'!$B$31:$B$48),$J627,('Loading-rail'!$D$31:$D$48))*Impacts!$F$15,IF(('Loading-rail'!$C$21)&lt;&gt;"No control",SUMIF(('Loading-rail'!$B$31:$B$48),$J627,('Loading-rail'!$E$31:$E$48))*Impacts!$F$15,0)),0)</f>
        <v>0</v>
      </c>
      <c r="T627" s="10">
        <f>IF(Flare!$C$7="",0,(SUMIF(Flare!$B$46:$B$185,$J627,Flare!$E$46:$E$185)*Impacts!$F$16))</f>
        <v>0</v>
      </c>
      <c r="U627" s="10">
        <f>IF(VCU!$C$9="",0,(SUMIF(VCU!$B$51:$B$193,$J627,VCU!$E$51:$E$193)*Impacts!$F$17))</f>
        <v>0</v>
      </c>
      <c r="V627" s="10">
        <f>IF(CAS!$C$7="",0,(SUMIF(CAS!$B$31:$B$167,$J627,CAS!$E$31:$E$167)*Impacts!$F$18))</f>
        <v>0</v>
      </c>
      <c r="W627" s="10">
        <f t="shared" si="51"/>
        <v>0</v>
      </c>
      <c r="AK627" s="10" t="str">
        <f t="array" ref="AK627">IFERROR(INDEX(SelectedSpecies,SMALL(IF(SelectedSpecies=AK$1,ROW(SelectedSpecies)),ROW(628:628)),2),"")</f>
        <v/>
      </c>
      <c r="BE627" s="10"/>
      <c r="BI627" s="10"/>
    </row>
    <row r="628" spans="1:61" ht="21" customHeight="1" x14ac:dyDescent="0.25">
      <c r="A628" s="10"/>
      <c r="B628" s="10"/>
      <c r="E628" s="10"/>
      <c r="G628" s="10"/>
      <c r="I628" s="436" t="s">
        <v>5367</v>
      </c>
      <c r="J628" s="26" t="s">
        <v>5366</v>
      </c>
      <c r="K628" s="10">
        <v>1.5</v>
      </c>
      <c r="L628" s="73">
        <f>IF(Tank1!$C$23="No control",(SUMIF(Tank1!$B$32:$B$49,$J628,Tank1!$C$32:$C$49)*Impacts!$F$8),0)</f>
        <v>0</v>
      </c>
      <c r="M628" s="10">
        <f>IF(Tank2!$C$23="No control",(SUMIF(Tank2!$B$32:$B$49,$J628,Tank2!$C$32:$C$49)*Impacts!$F$9),0)</f>
        <v>0</v>
      </c>
      <c r="N628" s="10">
        <f>IF(Tank3!$C$23="No control",(SUMIF(Tank3!$B$32:$B$49,$J628,Tank3!$C$32:$C$49)*Impacts!$F$10),0)</f>
        <v>0</v>
      </c>
      <c r="O628" s="10">
        <f>IF(Tank4!$C$23="No control",(SUMIF(Tank4!$B$32:$B$49,$J628,Tank4!$C$32:$C$49)*Impacts!$F$11),0)</f>
        <v>0</v>
      </c>
      <c r="P628" s="10">
        <f>IF(Tank5!$C$23="No control",(SUMIF(Tank5!$B$32:$B$49,$J628,Tank5!$C$32:$C$49)*Impacts!$F$12),0)</f>
        <v>0</v>
      </c>
      <c r="Q628" s="10">
        <f>IFERROR(IF(('Loading-drum,tote'!$C$21)="No control",SUMIF(('Loading-drum,tote'!$B$31:$B$48),$J628,('Loading-drum,tote'!$D$31:$D$48))*Impacts!$F$13,IF(('Loading-drum,tote'!$C$21)&lt;&gt;"No control",SUMIF(('Loading-drum,tote'!$B$31:$B$48),$J628,('Loading-drum,tote'!$E$31:$E$48))*Impacts!$F$13,0)),0)</f>
        <v>0</v>
      </c>
      <c r="R628" s="10">
        <f>IFERROR(IF(('Loading-truck'!$C$21)="No control",SUMIF(('Loading-truck'!$B$31:$B$48),$J628,('Loading-truck'!$D$31:$D$48))*Impacts!$F$14,IF(('Loading-truck'!$C$21)&lt;&gt;"No control",SUMIF(('Loading-truck'!$B$31:$B$48),$J628,('Loading-truck'!$E$31:$E$48))*Impacts!$F$14,0)),0)</f>
        <v>0</v>
      </c>
      <c r="S628" s="10">
        <f>IFERROR(IF(('Loading-rail'!$C$21)="No control",SUMIF(('Loading-rail'!$B$31:$B$48),$J628,('Loading-rail'!$D$31:$D$48))*Impacts!$F$15,IF(('Loading-rail'!$C$21)&lt;&gt;"No control",SUMIF(('Loading-rail'!$B$31:$B$48),$J628,('Loading-rail'!$E$31:$E$48))*Impacts!$F$15,0)),0)</f>
        <v>0</v>
      </c>
      <c r="T628" s="10">
        <f>IF(Flare!$C$7="",0,(SUMIF(Flare!$B$46:$B$185,$J628,Flare!$E$46:$E$185)*Impacts!$F$16))</f>
        <v>0</v>
      </c>
      <c r="U628" s="10">
        <f>IF(VCU!$C$9="",0,(SUMIF(VCU!$B$51:$B$193,$J628,VCU!$E$51:$E$193)*Impacts!$F$17))</f>
        <v>0</v>
      </c>
      <c r="V628" s="10">
        <f>IF(CAS!$C$7="",0,(SUMIF(CAS!$B$31:$B$167,$J628,CAS!$E$31:$E$167)*Impacts!$F$18))</f>
        <v>0</v>
      </c>
      <c r="W628" s="10">
        <f t="shared" si="51"/>
        <v>0</v>
      </c>
      <c r="AK628" s="10" t="str">
        <f t="array" ref="AK628">IFERROR(INDEX(SelectedSpecies,SMALL(IF(SelectedSpecies=AK$1,ROW(SelectedSpecies)),ROW(629:629)),2),"")</f>
        <v/>
      </c>
      <c r="BE628" s="10"/>
      <c r="BI628" s="10"/>
    </row>
    <row r="629" spans="1:61" ht="21" customHeight="1" x14ac:dyDescent="0.25">
      <c r="A629" s="10"/>
      <c r="B629" s="10"/>
      <c r="E629" s="10"/>
      <c r="G629" s="10"/>
      <c r="I629" s="436" t="s">
        <v>5732</v>
      </c>
      <c r="J629" s="26" t="s">
        <v>5731</v>
      </c>
      <c r="K629" s="10">
        <v>1</v>
      </c>
      <c r="L629" s="73">
        <f>IF(Tank1!$C$23="No control",(SUMIF(Tank1!$B$32:$B$49,$J629,Tank1!$C$32:$C$49)*Impacts!$F$8),0)</f>
        <v>0</v>
      </c>
      <c r="M629" s="10">
        <f>IF(Tank2!$C$23="No control",(SUMIF(Tank2!$B$32:$B$49,$J629,Tank2!$C$32:$C$49)*Impacts!$F$9),0)</f>
        <v>0</v>
      </c>
      <c r="N629" s="10">
        <f>IF(Tank3!$C$23="No control",(SUMIF(Tank3!$B$32:$B$49,$J629,Tank3!$C$32:$C$49)*Impacts!$F$10),0)</f>
        <v>0</v>
      </c>
      <c r="O629" s="10">
        <f>IF(Tank4!$C$23="No control",(SUMIF(Tank4!$B$32:$B$49,$J629,Tank4!$C$32:$C$49)*Impacts!$F$11),0)</f>
        <v>0</v>
      </c>
      <c r="P629" s="10">
        <f>IF(Tank5!$C$23="No control",(SUMIF(Tank5!$B$32:$B$49,$J629,Tank5!$C$32:$C$49)*Impacts!$F$12),0)</f>
        <v>0</v>
      </c>
      <c r="Q629" s="10">
        <f>IFERROR(IF(('Loading-drum,tote'!$C$21)="No control",SUMIF(('Loading-drum,tote'!$B$31:$B$48),$J629,('Loading-drum,tote'!$D$31:$D$48))*Impacts!$F$13,IF(('Loading-drum,tote'!$C$21)&lt;&gt;"No control",SUMIF(('Loading-drum,tote'!$B$31:$B$48),$J629,('Loading-drum,tote'!$E$31:$E$48))*Impacts!$F$13,0)),0)</f>
        <v>0</v>
      </c>
      <c r="R629" s="10">
        <f>IFERROR(IF(('Loading-truck'!$C$21)="No control",SUMIF(('Loading-truck'!$B$31:$B$48),$J629,('Loading-truck'!$D$31:$D$48))*Impacts!$F$14,IF(('Loading-truck'!$C$21)&lt;&gt;"No control",SUMIF(('Loading-truck'!$B$31:$B$48),$J629,('Loading-truck'!$E$31:$E$48))*Impacts!$F$14,0)),0)</f>
        <v>0</v>
      </c>
      <c r="S629" s="10">
        <f>IFERROR(IF(('Loading-rail'!$C$21)="No control",SUMIF(('Loading-rail'!$B$31:$B$48),$J629,('Loading-rail'!$D$31:$D$48))*Impacts!$F$15,IF(('Loading-rail'!$C$21)&lt;&gt;"No control",SUMIF(('Loading-rail'!$B$31:$B$48),$J629,('Loading-rail'!$E$31:$E$48))*Impacts!$F$15,0)),0)</f>
        <v>0</v>
      </c>
      <c r="T629" s="10">
        <f>IF(Flare!$C$7="",0,(SUMIF(Flare!$B$46:$B$185,$J629,Flare!$E$46:$E$185)*Impacts!$F$16))</f>
        <v>0</v>
      </c>
      <c r="U629" s="10">
        <f>IF(VCU!$C$9="",0,(SUMIF(VCU!$B$51:$B$193,$J629,VCU!$E$51:$E$193)*Impacts!$F$17))</f>
        <v>0</v>
      </c>
      <c r="V629" s="10">
        <f>IF(CAS!$C$7="",0,(SUMIF(CAS!$B$31:$B$167,$J629,CAS!$E$31:$E$167)*Impacts!$F$18))</f>
        <v>0</v>
      </c>
      <c r="W629" s="10">
        <f t="shared" si="51"/>
        <v>0</v>
      </c>
      <c r="AK629" s="10" t="str">
        <f t="array" ref="AK629">IFERROR(INDEX(SelectedSpecies,SMALL(IF(SelectedSpecies=AK$1,ROW(SelectedSpecies)),ROW(630:630)),2),"")</f>
        <v/>
      </c>
      <c r="BE629" s="10"/>
      <c r="BI629" s="10"/>
    </row>
    <row r="630" spans="1:61" ht="21" customHeight="1" x14ac:dyDescent="0.25">
      <c r="A630" s="10"/>
      <c r="B630" s="10"/>
      <c r="E630" s="10"/>
      <c r="G630" s="10"/>
      <c r="I630" s="436" t="s">
        <v>2237</v>
      </c>
      <c r="J630" s="26" t="s">
        <v>2236</v>
      </c>
      <c r="K630" s="10">
        <v>12.5</v>
      </c>
      <c r="L630" s="73">
        <f>IF(Tank1!$C$23="No control",(SUMIF(Tank1!$B$32:$B$49,$J630,Tank1!$C$32:$C$49)*Impacts!$F$8),0)</f>
        <v>0</v>
      </c>
      <c r="M630" s="10">
        <f>IF(Tank2!$C$23="No control",(SUMIF(Tank2!$B$32:$B$49,$J630,Tank2!$C$32:$C$49)*Impacts!$F$9),0)</f>
        <v>0</v>
      </c>
      <c r="N630" s="10">
        <f>IF(Tank3!$C$23="No control",(SUMIF(Tank3!$B$32:$B$49,$J630,Tank3!$C$32:$C$49)*Impacts!$F$10),0)</f>
        <v>0</v>
      </c>
      <c r="O630" s="10">
        <f>IF(Tank4!$C$23="No control",(SUMIF(Tank4!$B$32:$B$49,$J630,Tank4!$C$32:$C$49)*Impacts!$F$11),0)</f>
        <v>0</v>
      </c>
      <c r="P630" s="10">
        <f>IF(Tank5!$C$23="No control",(SUMIF(Tank5!$B$32:$B$49,$J630,Tank5!$C$32:$C$49)*Impacts!$F$12),0)</f>
        <v>0</v>
      </c>
      <c r="Q630" s="10">
        <f>IFERROR(IF(('Loading-drum,tote'!$C$21)="No control",SUMIF(('Loading-drum,tote'!$B$31:$B$48),$J630,('Loading-drum,tote'!$D$31:$D$48))*Impacts!$F$13,IF(('Loading-drum,tote'!$C$21)&lt;&gt;"No control",SUMIF(('Loading-drum,tote'!$B$31:$B$48),$J630,('Loading-drum,tote'!$E$31:$E$48))*Impacts!$F$13,0)),0)</f>
        <v>0</v>
      </c>
      <c r="R630" s="10">
        <f>IFERROR(IF(('Loading-truck'!$C$21)="No control",SUMIF(('Loading-truck'!$B$31:$B$48),$J630,('Loading-truck'!$D$31:$D$48))*Impacts!$F$14,IF(('Loading-truck'!$C$21)&lt;&gt;"No control",SUMIF(('Loading-truck'!$B$31:$B$48),$J630,('Loading-truck'!$E$31:$E$48))*Impacts!$F$14,0)),0)</f>
        <v>0</v>
      </c>
      <c r="S630" s="10">
        <f>IFERROR(IF(('Loading-rail'!$C$21)="No control",SUMIF(('Loading-rail'!$B$31:$B$48),$J630,('Loading-rail'!$D$31:$D$48))*Impacts!$F$15,IF(('Loading-rail'!$C$21)&lt;&gt;"No control",SUMIF(('Loading-rail'!$B$31:$B$48),$J630,('Loading-rail'!$E$31:$E$48))*Impacts!$F$15,0)),0)</f>
        <v>0</v>
      </c>
      <c r="T630" s="10">
        <f>IF(Flare!$C$7="",0,(SUMIF(Flare!$B$46:$B$185,$J630,Flare!$E$46:$E$185)*Impacts!$F$16))</f>
        <v>0</v>
      </c>
      <c r="U630" s="10">
        <f>IF(VCU!$C$9="",0,(SUMIF(VCU!$B$51:$B$193,$J630,VCU!$E$51:$E$193)*Impacts!$F$17))</f>
        <v>0</v>
      </c>
      <c r="V630" s="10">
        <f>IF(CAS!$C$7="",0,(SUMIF(CAS!$B$31:$B$167,$J630,CAS!$E$31:$E$167)*Impacts!$F$18))</f>
        <v>0</v>
      </c>
      <c r="W630" s="10">
        <f t="shared" si="51"/>
        <v>0</v>
      </c>
      <c r="AK630" s="10" t="str">
        <f t="array" ref="AK630">IFERROR(INDEX(SelectedSpecies,SMALL(IF(SelectedSpecies=AK$1,ROW(SelectedSpecies)),ROW(631:631)),2),"")</f>
        <v/>
      </c>
      <c r="BE630" s="10"/>
      <c r="BI630" s="10"/>
    </row>
    <row r="631" spans="1:61" ht="21" customHeight="1" x14ac:dyDescent="0.25">
      <c r="A631" s="10"/>
      <c r="B631" s="10"/>
      <c r="E631" s="10"/>
      <c r="G631" s="10"/>
      <c r="I631" s="436" t="s">
        <v>8126</v>
      </c>
      <c r="J631" s="26" t="s">
        <v>8125</v>
      </c>
      <c r="K631" s="10">
        <v>1.0000000000000002E-2</v>
      </c>
      <c r="L631" s="73">
        <f>IF(Tank1!$C$23="No control",(SUMIF(Tank1!$B$32:$B$49,$J631,Tank1!$C$32:$C$49)*Impacts!$F$8),0)</f>
        <v>0</v>
      </c>
      <c r="M631" s="10">
        <f>IF(Tank2!$C$23="No control",(SUMIF(Tank2!$B$32:$B$49,$J631,Tank2!$C$32:$C$49)*Impacts!$F$9),0)</f>
        <v>0</v>
      </c>
      <c r="N631" s="10">
        <f>IF(Tank3!$C$23="No control",(SUMIF(Tank3!$B$32:$B$49,$J631,Tank3!$C$32:$C$49)*Impacts!$F$10),0)</f>
        <v>0</v>
      </c>
      <c r="O631" s="10">
        <f>IF(Tank4!$C$23="No control",(SUMIF(Tank4!$B$32:$B$49,$J631,Tank4!$C$32:$C$49)*Impacts!$F$11),0)</f>
        <v>0</v>
      </c>
      <c r="P631" s="10">
        <f>IF(Tank5!$C$23="No control",(SUMIF(Tank5!$B$32:$B$49,$J631,Tank5!$C$32:$C$49)*Impacts!$F$12),0)</f>
        <v>0</v>
      </c>
      <c r="Q631" s="10">
        <f>IFERROR(IF(('Loading-drum,tote'!$C$21)="No control",SUMIF(('Loading-drum,tote'!$B$31:$B$48),$J631,('Loading-drum,tote'!$D$31:$D$48))*Impacts!$F$13,IF(('Loading-drum,tote'!$C$21)&lt;&gt;"No control",SUMIF(('Loading-drum,tote'!$B$31:$B$48),$J631,('Loading-drum,tote'!$E$31:$E$48))*Impacts!$F$13,0)),0)</f>
        <v>0</v>
      </c>
      <c r="R631" s="10">
        <f>IFERROR(IF(('Loading-truck'!$C$21)="No control",SUMIF(('Loading-truck'!$B$31:$B$48),$J631,('Loading-truck'!$D$31:$D$48))*Impacts!$F$14,IF(('Loading-truck'!$C$21)&lt;&gt;"No control",SUMIF(('Loading-truck'!$B$31:$B$48),$J631,('Loading-truck'!$E$31:$E$48))*Impacts!$F$14,0)),0)</f>
        <v>0</v>
      </c>
      <c r="S631" s="10">
        <f>IFERROR(IF(('Loading-rail'!$C$21)="No control",SUMIF(('Loading-rail'!$B$31:$B$48),$J631,('Loading-rail'!$D$31:$D$48))*Impacts!$F$15,IF(('Loading-rail'!$C$21)&lt;&gt;"No control",SUMIF(('Loading-rail'!$B$31:$B$48),$J631,('Loading-rail'!$E$31:$E$48))*Impacts!$F$15,0)),0)</f>
        <v>0</v>
      </c>
      <c r="T631" s="10">
        <f>IF(Flare!$C$7="",0,(SUMIF(Flare!$B$46:$B$185,$J631,Flare!$E$46:$E$185)*Impacts!$F$16))</f>
        <v>0</v>
      </c>
      <c r="U631" s="10">
        <f>IF(VCU!$C$9="",0,(SUMIF(VCU!$B$51:$B$193,$J631,VCU!$E$51:$E$193)*Impacts!$F$17))</f>
        <v>0</v>
      </c>
      <c r="V631" s="10">
        <f>IF(CAS!$C$7="",0,(SUMIF(CAS!$B$31:$B$167,$J631,CAS!$E$31:$E$167)*Impacts!$F$18))</f>
        <v>0</v>
      </c>
      <c r="W631" s="10">
        <f t="shared" si="51"/>
        <v>0</v>
      </c>
      <c r="AK631" s="10" t="str">
        <f t="array" ref="AK631">IFERROR(INDEX(SelectedSpecies,SMALL(IF(SelectedSpecies=AK$1,ROW(SelectedSpecies)),ROW(632:632)),2),"")</f>
        <v/>
      </c>
      <c r="BE631" s="10"/>
      <c r="BI631" s="10"/>
    </row>
    <row r="632" spans="1:61" ht="21" customHeight="1" x14ac:dyDescent="0.25">
      <c r="A632" s="10"/>
      <c r="B632" s="10"/>
      <c r="E632" s="10"/>
      <c r="G632" s="10"/>
      <c r="I632" s="436" t="s">
        <v>1262</v>
      </c>
      <c r="J632" s="26" t="s">
        <v>1261</v>
      </c>
      <c r="K632" s="10">
        <v>33</v>
      </c>
      <c r="L632" s="73">
        <f>IF(Tank1!$C$23="No control",(SUMIF(Tank1!$B$32:$B$49,$J632,Tank1!$C$32:$C$49)*Impacts!$F$8),0)</f>
        <v>0</v>
      </c>
      <c r="M632" s="10">
        <f>IF(Tank2!$C$23="No control",(SUMIF(Tank2!$B$32:$B$49,$J632,Tank2!$C$32:$C$49)*Impacts!$F$9),0)</f>
        <v>0</v>
      </c>
      <c r="N632" s="10">
        <f>IF(Tank3!$C$23="No control",(SUMIF(Tank3!$B$32:$B$49,$J632,Tank3!$C$32:$C$49)*Impacts!$F$10),0)</f>
        <v>0</v>
      </c>
      <c r="O632" s="10">
        <f>IF(Tank4!$C$23="No control",(SUMIF(Tank4!$B$32:$B$49,$J632,Tank4!$C$32:$C$49)*Impacts!$F$11),0)</f>
        <v>0</v>
      </c>
      <c r="P632" s="10">
        <f>IF(Tank5!$C$23="No control",(SUMIF(Tank5!$B$32:$B$49,$J632,Tank5!$C$32:$C$49)*Impacts!$F$12),0)</f>
        <v>0</v>
      </c>
      <c r="Q632" s="10">
        <f>IFERROR(IF(('Loading-drum,tote'!$C$21)="No control",SUMIF(('Loading-drum,tote'!$B$31:$B$48),$J632,('Loading-drum,tote'!$D$31:$D$48))*Impacts!$F$13,IF(('Loading-drum,tote'!$C$21)&lt;&gt;"No control",SUMIF(('Loading-drum,tote'!$B$31:$B$48),$J632,('Loading-drum,tote'!$E$31:$E$48))*Impacts!$F$13,0)),0)</f>
        <v>0</v>
      </c>
      <c r="R632" s="10">
        <f>IFERROR(IF(('Loading-truck'!$C$21)="No control",SUMIF(('Loading-truck'!$B$31:$B$48),$J632,('Loading-truck'!$D$31:$D$48))*Impacts!$F$14,IF(('Loading-truck'!$C$21)&lt;&gt;"No control",SUMIF(('Loading-truck'!$B$31:$B$48),$J632,('Loading-truck'!$E$31:$E$48))*Impacts!$F$14,0)),0)</f>
        <v>0</v>
      </c>
      <c r="S632" s="10">
        <f>IFERROR(IF(('Loading-rail'!$C$21)="No control",SUMIF(('Loading-rail'!$B$31:$B$48),$J632,('Loading-rail'!$D$31:$D$48))*Impacts!$F$15,IF(('Loading-rail'!$C$21)&lt;&gt;"No control",SUMIF(('Loading-rail'!$B$31:$B$48),$J632,('Loading-rail'!$E$31:$E$48))*Impacts!$F$15,0)),0)</f>
        <v>0</v>
      </c>
      <c r="T632" s="10">
        <f>IF(Flare!$C$7="",0,(SUMIF(Flare!$B$46:$B$185,$J632,Flare!$E$46:$E$185)*Impacts!$F$16))</f>
        <v>0</v>
      </c>
      <c r="U632" s="10">
        <f>IF(VCU!$C$9="",0,(SUMIF(VCU!$B$51:$B$193,$J632,VCU!$E$51:$E$193)*Impacts!$F$17))</f>
        <v>0</v>
      </c>
      <c r="V632" s="10">
        <f>IF(CAS!$C$7="",0,(SUMIF(CAS!$B$31:$B$167,$J632,CAS!$E$31:$E$167)*Impacts!$F$18))</f>
        <v>0</v>
      </c>
      <c r="W632" s="10">
        <f t="shared" si="51"/>
        <v>0</v>
      </c>
      <c r="AK632" s="10" t="str">
        <f t="array" ref="AK632">IFERROR(INDEX(SelectedSpecies,SMALL(IF(SelectedSpecies=AK$1,ROW(SelectedSpecies)),ROW(633:633)),2),"")</f>
        <v/>
      </c>
      <c r="BE632" s="10"/>
      <c r="BI632" s="10"/>
    </row>
    <row r="633" spans="1:61" ht="21" customHeight="1" x14ac:dyDescent="0.25">
      <c r="A633" s="10"/>
      <c r="B633" s="10"/>
      <c r="E633" s="10"/>
      <c r="G633" s="10"/>
      <c r="I633" s="436" t="s">
        <v>6748</v>
      </c>
      <c r="J633" s="26" t="s">
        <v>6747</v>
      </c>
      <c r="K633" s="10">
        <v>0.5</v>
      </c>
      <c r="L633" s="73">
        <f>IF(Tank1!$C$23="No control",(SUMIF(Tank1!$B$32:$B$49,$J633,Tank1!$C$32:$C$49)*Impacts!$F$8),0)</f>
        <v>0</v>
      </c>
      <c r="M633" s="10">
        <f>IF(Tank2!$C$23="No control",(SUMIF(Tank2!$B$32:$B$49,$J633,Tank2!$C$32:$C$49)*Impacts!$F$9),0)</f>
        <v>0</v>
      </c>
      <c r="N633" s="10">
        <f>IF(Tank3!$C$23="No control",(SUMIF(Tank3!$B$32:$B$49,$J633,Tank3!$C$32:$C$49)*Impacts!$F$10),0)</f>
        <v>0</v>
      </c>
      <c r="O633" s="10">
        <f>IF(Tank4!$C$23="No control",(SUMIF(Tank4!$B$32:$B$49,$J633,Tank4!$C$32:$C$49)*Impacts!$F$11),0)</f>
        <v>0</v>
      </c>
      <c r="P633" s="10">
        <f>IF(Tank5!$C$23="No control",(SUMIF(Tank5!$B$32:$B$49,$J633,Tank5!$C$32:$C$49)*Impacts!$F$12),0)</f>
        <v>0</v>
      </c>
      <c r="Q633" s="10">
        <f>IFERROR(IF(('Loading-drum,tote'!$C$21)="No control",SUMIF(('Loading-drum,tote'!$B$31:$B$48),$J633,('Loading-drum,tote'!$D$31:$D$48))*Impacts!$F$13,IF(('Loading-drum,tote'!$C$21)&lt;&gt;"No control",SUMIF(('Loading-drum,tote'!$B$31:$B$48),$J633,('Loading-drum,tote'!$E$31:$E$48))*Impacts!$F$13,0)),0)</f>
        <v>0</v>
      </c>
      <c r="R633" s="10">
        <f>IFERROR(IF(('Loading-truck'!$C$21)="No control",SUMIF(('Loading-truck'!$B$31:$B$48),$J633,('Loading-truck'!$D$31:$D$48))*Impacts!$F$14,IF(('Loading-truck'!$C$21)&lt;&gt;"No control",SUMIF(('Loading-truck'!$B$31:$B$48),$J633,('Loading-truck'!$E$31:$E$48))*Impacts!$F$14,0)),0)</f>
        <v>0</v>
      </c>
      <c r="S633" s="10">
        <f>IFERROR(IF(('Loading-rail'!$C$21)="No control",SUMIF(('Loading-rail'!$B$31:$B$48),$J633,('Loading-rail'!$D$31:$D$48))*Impacts!$F$15,IF(('Loading-rail'!$C$21)&lt;&gt;"No control",SUMIF(('Loading-rail'!$B$31:$B$48),$J633,('Loading-rail'!$E$31:$E$48))*Impacts!$F$15,0)),0)</f>
        <v>0</v>
      </c>
      <c r="T633" s="10">
        <f>IF(Flare!$C$7="",0,(SUMIF(Flare!$B$46:$B$185,$J633,Flare!$E$46:$E$185)*Impacts!$F$16))</f>
        <v>0</v>
      </c>
      <c r="U633" s="10">
        <f>IF(VCU!$C$9="",0,(SUMIF(VCU!$B$51:$B$193,$J633,VCU!$E$51:$E$193)*Impacts!$F$17))</f>
        <v>0</v>
      </c>
      <c r="V633" s="10">
        <f>IF(CAS!$C$7="",0,(SUMIF(CAS!$B$31:$B$167,$J633,CAS!$E$31:$E$167)*Impacts!$F$18))</f>
        <v>0</v>
      </c>
      <c r="W633" s="10">
        <f t="shared" si="51"/>
        <v>0</v>
      </c>
      <c r="AK633" s="10" t="str">
        <f t="array" ref="AK633">IFERROR(INDEX(SelectedSpecies,SMALL(IF(SelectedSpecies=AK$1,ROW(SelectedSpecies)),ROW(634:634)),2),"")</f>
        <v/>
      </c>
      <c r="BE633" s="10"/>
      <c r="BI633" s="10"/>
    </row>
    <row r="634" spans="1:61" ht="21" customHeight="1" x14ac:dyDescent="0.25">
      <c r="A634" s="10"/>
      <c r="B634" s="10"/>
      <c r="E634" s="10"/>
      <c r="G634" s="10"/>
      <c r="I634" s="436" t="s">
        <v>1264</v>
      </c>
      <c r="J634" s="26" t="s">
        <v>1263</v>
      </c>
      <c r="K634" s="10">
        <v>33</v>
      </c>
      <c r="L634" s="73">
        <f>IF(Tank1!$C$23="No control",(SUMIF(Tank1!$B$32:$B$49,$J634,Tank1!$C$32:$C$49)*Impacts!$F$8),0)</f>
        <v>0</v>
      </c>
      <c r="M634" s="10">
        <f>IF(Tank2!$C$23="No control",(SUMIF(Tank2!$B$32:$B$49,$J634,Tank2!$C$32:$C$49)*Impacts!$F$9),0)</f>
        <v>0</v>
      </c>
      <c r="N634" s="10">
        <f>IF(Tank3!$C$23="No control",(SUMIF(Tank3!$B$32:$B$49,$J634,Tank3!$C$32:$C$49)*Impacts!$F$10),0)</f>
        <v>0</v>
      </c>
      <c r="O634" s="10">
        <f>IF(Tank4!$C$23="No control",(SUMIF(Tank4!$B$32:$B$49,$J634,Tank4!$C$32:$C$49)*Impacts!$F$11),0)</f>
        <v>0</v>
      </c>
      <c r="P634" s="10">
        <f>IF(Tank5!$C$23="No control",(SUMIF(Tank5!$B$32:$B$49,$J634,Tank5!$C$32:$C$49)*Impacts!$F$12),0)</f>
        <v>0</v>
      </c>
      <c r="Q634" s="10">
        <f>IFERROR(IF(('Loading-drum,tote'!$C$21)="No control",SUMIF(('Loading-drum,tote'!$B$31:$B$48),$J634,('Loading-drum,tote'!$D$31:$D$48))*Impacts!$F$13,IF(('Loading-drum,tote'!$C$21)&lt;&gt;"No control",SUMIF(('Loading-drum,tote'!$B$31:$B$48),$J634,('Loading-drum,tote'!$E$31:$E$48))*Impacts!$F$13,0)),0)</f>
        <v>0</v>
      </c>
      <c r="R634" s="10">
        <f>IFERROR(IF(('Loading-truck'!$C$21)="No control",SUMIF(('Loading-truck'!$B$31:$B$48),$J634,('Loading-truck'!$D$31:$D$48))*Impacts!$F$14,IF(('Loading-truck'!$C$21)&lt;&gt;"No control",SUMIF(('Loading-truck'!$B$31:$B$48),$J634,('Loading-truck'!$E$31:$E$48))*Impacts!$F$14,0)),0)</f>
        <v>0</v>
      </c>
      <c r="S634" s="10">
        <f>IFERROR(IF(('Loading-rail'!$C$21)="No control",SUMIF(('Loading-rail'!$B$31:$B$48),$J634,('Loading-rail'!$D$31:$D$48))*Impacts!$F$15,IF(('Loading-rail'!$C$21)&lt;&gt;"No control",SUMIF(('Loading-rail'!$B$31:$B$48),$J634,('Loading-rail'!$E$31:$E$48))*Impacts!$F$15,0)),0)</f>
        <v>0</v>
      </c>
      <c r="T634" s="10">
        <f>IF(Flare!$C$7="",0,(SUMIF(Flare!$B$46:$B$185,$J634,Flare!$E$46:$E$185)*Impacts!$F$16))</f>
        <v>0</v>
      </c>
      <c r="U634" s="10">
        <f>IF(VCU!$C$9="",0,(SUMIF(VCU!$B$51:$B$193,$J634,VCU!$E$51:$E$193)*Impacts!$F$17))</f>
        <v>0</v>
      </c>
      <c r="V634" s="10">
        <f>IF(CAS!$C$7="",0,(SUMIF(CAS!$B$31:$B$167,$J634,CAS!$E$31:$E$167)*Impacts!$F$18))</f>
        <v>0</v>
      </c>
      <c r="W634" s="10">
        <f t="shared" si="51"/>
        <v>0</v>
      </c>
      <c r="AK634" s="10" t="str">
        <f t="array" ref="AK634">IFERROR(INDEX(SelectedSpecies,SMALL(IF(SelectedSpecies=AK$1,ROW(SelectedSpecies)),ROW(635:635)),2),"")</f>
        <v/>
      </c>
      <c r="BE634" s="10"/>
      <c r="BI634" s="10"/>
    </row>
    <row r="635" spans="1:61" ht="21" customHeight="1" x14ac:dyDescent="0.25">
      <c r="A635" s="10"/>
      <c r="B635" s="10"/>
      <c r="E635" s="10"/>
      <c r="G635" s="10"/>
      <c r="I635" s="436" t="s">
        <v>3577</v>
      </c>
      <c r="J635" s="26" t="s">
        <v>3576</v>
      </c>
      <c r="K635" s="10">
        <v>8</v>
      </c>
      <c r="L635" s="73">
        <f>IF(Tank1!$C$23="No control",(SUMIF(Tank1!$B$32:$B$49,$J635,Tank1!$C$32:$C$49)*Impacts!$F$8),0)</f>
        <v>0</v>
      </c>
      <c r="M635" s="10">
        <f>IF(Tank2!$C$23="No control",(SUMIF(Tank2!$B$32:$B$49,$J635,Tank2!$C$32:$C$49)*Impacts!$F$9),0)</f>
        <v>0</v>
      </c>
      <c r="N635" s="10">
        <f>IF(Tank3!$C$23="No control",(SUMIF(Tank3!$B$32:$B$49,$J635,Tank3!$C$32:$C$49)*Impacts!$F$10),0)</f>
        <v>0</v>
      </c>
      <c r="O635" s="10">
        <f>IF(Tank4!$C$23="No control",(SUMIF(Tank4!$B$32:$B$49,$J635,Tank4!$C$32:$C$49)*Impacts!$F$11),0)</f>
        <v>0</v>
      </c>
      <c r="P635" s="10">
        <f>IF(Tank5!$C$23="No control",(SUMIF(Tank5!$B$32:$B$49,$J635,Tank5!$C$32:$C$49)*Impacts!$F$12),0)</f>
        <v>0</v>
      </c>
      <c r="Q635" s="10">
        <f>IFERROR(IF(('Loading-drum,tote'!$C$21)="No control",SUMIF(('Loading-drum,tote'!$B$31:$B$48),$J635,('Loading-drum,tote'!$D$31:$D$48))*Impacts!$F$13,IF(('Loading-drum,tote'!$C$21)&lt;&gt;"No control",SUMIF(('Loading-drum,tote'!$B$31:$B$48),$J635,('Loading-drum,tote'!$E$31:$E$48))*Impacts!$F$13,0)),0)</f>
        <v>0</v>
      </c>
      <c r="R635" s="10">
        <f>IFERROR(IF(('Loading-truck'!$C$21)="No control",SUMIF(('Loading-truck'!$B$31:$B$48),$J635,('Loading-truck'!$D$31:$D$48))*Impacts!$F$14,IF(('Loading-truck'!$C$21)&lt;&gt;"No control",SUMIF(('Loading-truck'!$B$31:$B$48),$J635,('Loading-truck'!$E$31:$E$48))*Impacts!$F$14,0)),0)</f>
        <v>0</v>
      </c>
      <c r="S635" s="10">
        <f>IFERROR(IF(('Loading-rail'!$C$21)="No control",SUMIF(('Loading-rail'!$B$31:$B$48),$J635,('Loading-rail'!$D$31:$D$48))*Impacts!$F$15,IF(('Loading-rail'!$C$21)&lt;&gt;"No control",SUMIF(('Loading-rail'!$B$31:$B$48),$J635,('Loading-rail'!$E$31:$E$48))*Impacts!$F$15,0)),0)</f>
        <v>0</v>
      </c>
      <c r="T635" s="10">
        <f>IF(Flare!$C$7="",0,(SUMIF(Flare!$B$46:$B$185,$J635,Flare!$E$46:$E$185)*Impacts!$F$16))</f>
        <v>0</v>
      </c>
      <c r="U635" s="10">
        <f>IF(VCU!$C$9="",0,(SUMIF(VCU!$B$51:$B$193,$J635,VCU!$E$51:$E$193)*Impacts!$F$17))</f>
        <v>0</v>
      </c>
      <c r="V635" s="10">
        <f>IF(CAS!$C$7="",0,(SUMIF(CAS!$B$31:$B$167,$J635,CAS!$E$31:$E$167)*Impacts!$F$18))</f>
        <v>0</v>
      </c>
      <c r="W635" s="10">
        <f t="shared" si="51"/>
        <v>0</v>
      </c>
      <c r="AK635" s="10" t="str">
        <f t="array" ref="AK635">IFERROR(INDEX(SelectedSpecies,SMALL(IF(SelectedSpecies=AK$1,ROW(SelectedSpecies)),ROW(636:636)),2),"")</f>
        <v/>
      </c>
      <c r="BE635" s="10"/>
      <c r="BI635" s="10"/>
    </row>
    <row r="636" spans="1:61" ht="21" customHeight="1" x14ac:dyDescent="0.25">
      <c r="A636" s="10"/>
      <c r="B636" s="10"/>
      <c r="E636" s="10"/>
      <c r="G636" s="10"/>
      <c r="I636" s="436" t="s">
        <v>3515</v>
      </c>
      <c r="J636" s="26" t="s">
        <v>3514</v>
      </c>
      <c r="K636" s="10">
        <v>9</v>
      </c>
      <c r="L636" s="73">
        <f>IF(Tank1!$C$23="No control",(SUMIF(Tank1!$B$32:$B$49,$J636,Tank1!$C$32:$C$49)*Impacts!$F$8),0)</f>
        <v>0</v>
      </c>
      <c r="M636" s="10">
        <f>IF(Tank2!$C$23="No control",(SUMIF(Tank2!$B$32:$B$49,$J636,Tank2!$C$32:$C$49)*Impacts!$F$9),0)</f>
        <v>0</v>
      </c>
      <c r="N636" s="10">
        <f>IF(Tank3!$C$23="No control",(SUMIF(Tank3!$B$32:$B$49,$J636,Tank3!$C$32:$C$49)*Impacts!$F$10),0)</f>
        <v>0</v>
      </c>
      <c r="O636" s="10">
        <f>IF(Tank4!$C$23="No control",(SUMIF(Tank4!$B$32:$B$49,$J636,Tank4!$C$32:$C$49)*Impacts!$F$11),0)</f>
        <v>0</v>
      </c>
      <c r="P636" s="10">
        <f>IF(Tank5!$C$23="No control",(SUMIF(Tank5!$B$32:$B$49,$J636,Tank5!$C$32:$C$49)*Impacts!$F$12),0)</f>
        <v>0</v>
      </c>
      <c r="Q636" s="10">
        <f>IFERROR(IF(('Loading-drum,tote'!$C$21)="No control",SUMIF(('Loading-drum,tote'!$B$31:$B$48),$J636,('Loading-drum,tote'!$D$31:$D$48))*Impacts!$F$13,IF(('Loading-drum,tote'!$C$21)&lt;&gt;"No control",SUMIF(('Loading-drum,tote'!$B$31:$B$48),$J636,('Loading-drum,tote'!$E$31:$E$48))*Impacts!$F$13,0)),0)</f>
        <v>0</v>
      </c>
      <c r="R636" s="10">
        <f>IFERROR(IF(('Loading-truck'!$C$21)="No control",SUMIF(('Loading-truck'!$B$31:$B$48),$J636,('Loading-truck'!$D$31:$D$48))*Impacts!$F$14,IF(('Loading-truck'!$C$21)&lt;&gt;"No control",SUMIF(('Loading-truck'!$B$31:$B$48),$J636,('Loading-truck'!$E$31:$E$48))*Impacts!$F$14,0)),0)</f>
        <v>0</v>
      </c>
      <c r="S636" s="10">
        <f>IFERROR(IF(('Loading-rail'!$C$21)="No control",SUMIF(('Loading-rail'!$B$31:$B$48),$J636,('Loading-rail'!$D$31:$D$48))*Impacts!$F$15,IF(('Loading-rail'!$C$21)&lt;&gt;"No control",SUMIF(('Loading-rail'!$B$31:$B$48),$J636,('Loading-rail'!$E$31:$E$48))*Impacts!$F$15,0)),0)</f>
        <v>0</v>
      </c>
      <c r="T636" s="10">
        <f>IF(Flare!$C$7="",0,(SUMIF(Flare!$B$46:$B$185,$J636,Flare!$E$46:$E$185)*Impacts!$F$16))</f>
        <v>0</v>
      </c>
      <c r="U636" s="10">
        <f>IF(VCU!$C$9="",0,(SUMIF(VCU!$B$51:$B$193,$J636,VCU!$E$51:$E$193)*Impacts!$F$17))</f>
        <v>0</v>
      </c>
      <c r="V636" s="10">
        <f>IF(CAS!$C$7="",0,(SUMIF(CAS!$B$31:$B$167,$J636,CAS!$E$31:$E$167)*Impacts!$F$18))</f>
        <v>0</v>
      </c>
      <c r="W636" s="10">
        <f t="shared" si="51"/>
        <v>0</v>
      </c>
      <c r="AK636" s="10" t="str">
        <f t="array" ref="AK636">IFERROR(INDEX(SelectedSpecies,SMALL(IF(SelectedSpecies=AK$1,ROW(SelectedSpecies)),ROW(637:637)),2),"")</f>
        <v/>
      </c>
      <c r="BE636" s="10"/>
      <c r="BI636" s="10"/>
    </row>
    <row r="637" spans="1:61" ht="21" customHeight="1" x14ac:dyDescent="0.25">
      <c r="A637" s="10"/>
      <c r="B637" s="10"/>
      <c r="E637" s="10"/>
      <c r="G637" s="10"/>
      <c r="I637" s="436" t="s">
        <v>3907</v>
      </c>
      <c r="J637" s="26" t="s">
        <v>3906</v>
      </c>
      <c r="K637" s="10">
        <v>6</v>
      </c>
      <c r="L637" s="73">
        <f>IF(Tank1!$C$23="No control",(SUMIF(Tank1!$B$32:$B$49,$J637,Tank1!$C$32:$C$49)*Impacts!$F$8),0)</f>
        <v>0</v>
      </c>
      <c r="M637" s="10">
        <f>IF(Tank2!$C$23="No control",(SUMIF(Tank2!$B$32:$B$49,$J637,Tank2!$C$32:$C$49)*Impacts!$F$9),0)</f>
        <v>0</v>
      </c>
      <c r="N637" s="10">
        <f>IF(Tank3!$C$23="No control",(SUMIF(Tank3!$B$32:$B$49,$J637,Tank3!$C$32:$C$49)*Impacts!$F$10),0)</f>
        <v>0</v>
      </c>
      <c r="O637" s="10">
        <f>IF(Tank4!$C$23="No control",(SUMIF(Tank4!$B$32:$B$49,$J637,Tank4!$C$32:$C$49)*Impacts!$F$11),0)</f>
        <v>0</v>
      </c>
      <c r="P637" s="10">
        <f>IF(Tank5!$C$23="No control",(SUMIF(Tank5!$B$32:$B$49,$J637,Tank5!$C$32:$C$49)*Impacts!$F$12),0)</f>
        <v>0</v>
      </c>
      <c r="Q637" s="10">
        <f>IFERROR(IF(('Loading-drum,tote'!$C$21)="No control",SUMIF(('Loading-drum,tote'!$B$31:$B$48),$J637,('Loading-drum,tote'!$D$31:$D$48))*Impacts!$F$13,IF(('Loading-drum,tote'!$C$21)&lt;&gt;"No control",SUMIF(('Loading-drum,tote'!$B$31:$B$48),$J637,('Loading-drum,tote'!$E$31:$E$48))*Impacts!$F$13,0)),0)</f>
        <v>0</v>
      </c>
      <c r="R637" s="10">
        <f>IFERROR(IF(('Loading-truck'!$C$21)="No control",SUMIF(('Loading-truck'!$B$31:$B$48),$J637,('Loading-truck'!$D$31:$D$48))*Impacts!$F$14,IF(('Loading-truck'!$C$21)&lt;&gt;"No control",SUMIF(('Loading-truck'!$B$31:$B$48),$J637,('Loading-truck'!$E$31:$E$48))*Impacts!$F$14,0)),0)</f>
        <v>0</v>
      </c>
      <c r="S637" s="10">
        <f>IFERROR(IF(('Loading-rail'!$C$21)="No control",SUMIF(('Loading-rail'!$B$31:$B$48),$J637,('Loading-rail'!$D$31:$D$48))*Impacts!$F$15,IF(('Loading-rail'!$C$21)&lt;&gt;"No control",SUMIF(('Loading-rail'!$B$31:$B$48),$J637,('Loading-rail'!$E$31:$E$48))*Impacts!$F$15,0)),0)</f>
        <v>0</v>
      </c>
      <c r="T637" s="10">
        <f>IF(Flare!$C$7="",0,(SUMIF(Flare!$B$46:$B$185,$J637,Flare!$E$46:$E$185)*Impacts!$F$16))</f>
        <v>0</v>
      </c>
      <c r="U637" s="10">
        <f>IF(VCU!$C$9="",0,(SUMIF(VCU!$B$51:$B$193,$J637,VCU!$E$51:$E$193)*Impacts!$F$17))</f>
        <v>0</v>
      </c>
      <c r="V637" s="10">
        <f>IF(CAS!$C$7="",0,(SUMIF(CAS!$B$31:$B$167,$J637,CAS!$E$31:$E$167)*Impacts!$F$18))</f>
        <v>0</v>
      </c>
      <c r="W637" s="10">
        <f t="shared" si="51"/>
        <v>0</v>
      </c>
      <c r="AK637" s="10" t="str">
        <f t="array" ref="AK637">IFERROR(INDEX(SelectedSpecies,SMALL(IF(SelectedSpecies=AK$1,ROW(SelectedSpecies)),ROW(638:638)),2),"")</f>
        <v/>
      </c>
      <c r="BE637" s="10"/>
      <c r="BI637" s="10"/>
    </row>
    <row r="638" spans="1:61" ht="21" customHeight="1" x14ac:dyDescent="0.25">
      <c r="A638" s="10"/>
      <c r="B638" s="10"/>
      <c r="E638" s="10"/>
      <c r="G638" s="10"/>
      <c r="I638" s="436" t="s">
        <v>4531</v>
      </c>
      <c r="J638" s="26" t="s">
        <v>4530</v>
      </c>
      <c r="K638" s="10">
        <v>4</v>
      </c>
      <c r="L638" s="73">
        <f>IF(Tank1!$C$23="No control",(SUMIF(Tank1!$B$32:$B$49,$J638,Tank1!$C$32:$C$49)*Impacts!$F$8),0)</f>
        <v>0</v>
      </c>
      <c r="M638" s="10">
        <f>IF(Tank2!$C$23="No control",(SUMIF(Tank2!$B$32:$B$49,$J638,Tank2!$C$32:$C$49)*Impacts!$F$9),0)</f>
        <v>0</v>
      </c>
      <c r="N638" s="10">
        <f>IF(Tank3!$C$23="No control",(SUMIF(Tank3!$B$32:$B$49,$J638,Tank3!$C$32:$C$49)*Impacts!$F$10),0)</f>
        <v>0</v>
      </c>
      <c r="O638" s="10">
        <f>IF(Tank4!$C$23="No control",(SUMIF(Tank4!$B$32:$B$49,$J638,Tank4!$C$32:$C$49)*Impacts!$F$11),0)</f>
        <v>0</v>
      </c>
      <c r="P638" s="10">
        <f>IF(Tank5!$C$23="No control",(SUMIF(Tank5!$B$32:$B$49,$J638,Tank5!$C$32:$C$49)*Impacts!$F$12),0)</f>
        <v>0</v>
      </c>
      <c r="Q638" s="10">
        <f>IFERROR(IF(('Loading-drum,tote'!$C$21)="No control",SUMIF(('Loading-drum,tote'!$B$31:$B$48),$J638,('Loading-drum,tote'!$D$31:$D$48))*Impacts!$F$13,IF(('Loading-drum,tote'!$C$21)&lt;&gt;"No control",SUMIF(('Loading-drum,tote'!$B$31:$B$48),$J638,('Loading-drum,tote'!$E$31:$E$48))*Impacts!$F$13,0)),0)</f>
        <v>0</v>
      </c>
      <c r="R638" s="10">
        <f>IFERROR(IF(('Loading-truck'!$C$21)="No control",SUMIF(('Loading-truck'!$B$31:$B$48),$J638,('Loading-truck'!$D$31:$D$48))*Impacts!$F$14,IF(('Loading-truck'!$C$21)&lt;&gt;"No control",SUMIF(('Loading-truck'!$B$31:$B$48),$J638,('Loading-truck'!$E$31:$E$48))*Impacts!$F$14,0)),0)</f>
        <v>0</v>
      </c>
      <c r="S638" s="10">
        <f>IFERROR(IF(('Loading-rail'!$C$21)="No control",SUMIF(('Loading-rail'!$B$31:$B$48),$J638,('Loading-rail'!$D$31:$D$48))*Impacts!$F$15,IF(('Loading-rail'!$C$21)&lt;&gt;"No control",SUMIF(('Loading-rail'!$B$31:$B$48),$J638,('Loading-rail'!$E$31:$E$48))*Impacts!$F$15,0)),0)</f>
        <v>0</v>
      </c>
      <c r="T638" s="10">
        <f>IF(Flare!$C$7="",0,(SUMIF(Flare!$B$46:$B$185,$J638,Flare!$E$46:$E$185)*Impacts!$F$16))</f>
        <v>0</v>
      </c>
      <c r="U638" s="10">
        <f>IF(VCU!$C$9="",0,(SUMIF(VCU!$B$51:$B$193,$J638,VCU!$E$51:$E$193)*Impacts!$F$17))</f>
        <v>0</v>
      </c>
      <c r="V638" s="10">
        <f>IF(CAS!$C$7="",0,(SUMIF(CAS!$B$31:$B$167,$J638,CAS!$E$31:$E$167)*Impacts!$F$18))</f>
        <v>0</v>
      </c>
      <c r="W638" s="10">
        <f t="shared" si="51"/>
        <v>0</v>
      </c>
      <c r="AK638" s="10" t="str">
        <f t="array" ref="AK638">IFERROR(INDEX(SelectedSpecies,SMALL(IF(SelectedSpecies=AK$1,ROW(SelectedSpecies)),ROW(639:639)),2),"")</f>
        <v/>
      </c>
      <c r="BE638" s="10"/>
      <c r="BI638" s="10"/>
    </row>
    <row r="639" spans="1:61" ht="21" customHeight="1" x14ac:dyDescent="0.25">
      <c r="A639" s="10"/>
      <c r="B639" s="10"/>
      <c r="E639" s="10"/>
      <c r="G639" s="10"/>
      <c r="I639" s="436" t="s">
        <v>1210</v>
      </c>
      <c r="J639" s="26" t="s">
        <v>1209</v>
      </c>
      <c r="K639" s="10">
        <v>34.4</v>
      </c>
      <c r="L639" s="73">
        <f>IF(Tank1!$C$23="No control",(SUMIF(Tank1!$B$32:$B$49,$J639,Tank1!$C$32:$C$49)*Impacts!$F$8),0)</f>
        <v>0</v>
      </c>
      <c r="M639" s="10">
        <f>IF(Tank2!$C$23="No control",(SUMIF(Tank2!$B$32:$B$49,$J639,Tank2!$C$32:$C$49)*Impacts!$F$9),0)</f>
        <v>0</v>
      </c>
      <c r="N639" s="10">
        <f>IF(Tank3!$C$23="No control",(SUMIF(Tank3!$B$32:$B$49,$J639,Tank3!$C$32:$C$49)*Impacts!$F$10),0)</f>
        <v>0</v>
      </c>
      <c r="O639" s="10">
        <f>IF(Tank4!$C$23="No control",(SUMIF(Tank4!$B$32:$B$49,$J639,Tank4!$C$32:$C$49)*Impacts!$F$11),0)</f>
        <v>0</v>
      </c>
      <c r="P639" s="10">
        <f>IF(Tank5!$C$23="No control",(SUMIF(Tank5!$B$32:$B$49,$J639,Tank5!$C$32:$C$49)*Impacts!$F$12),0)</f>
        <v>0</v>
      </c>
      <c r="Q639" s="10">
        <f>IFERROR(IF(('Loading-drum,tote'!$C$21)="No control",SUMIF(('Loading-drum,tote'!$B$31:$B$48),$J639,('Loading-drum,tote'!$D$31:$D$48))*Impacts!$F$13,IF(('Loading-drum,tote'!$C$21)&lt;&gt;"No control",SUMIF(('Loading-drum,tote'!$B$31:$B$48),$J639,('Loading-drum,tote'!$E$31:$E$48))*Impacts!$F$13,0)),0)</f>
        <v>0</v>
      </c>
      <c r="R639" s="10">
        <f>IFERROR(IF(('Loading-truck'!$C$21)="No control",SUMIF(('Loading-truck'!$B$31:$B$48),$J639,('Loading-truck'!$D$31:$D$48))*Impacts!$F$14,IF(('Loading-truck'!$C$21)&lt;&gt;"No control",SUMIF(('Loading-truck'!$B$31:$B$48),$J639,('Loading-truck'!$E$31:$E$48))*Impacts!$F$14,0)),0)</f>
        <v>0</v>
      </c>
      <c r="S639" s="10">
        <f>IFERROR(IF(('Loading-rail'!$C$21)="No control",SUMIF(('Loading-rail'!$B$31:$B$48),$J639,('Loading-rail'!$D$31:$D$48))*Impacts!$F$15,IF(('Loading-rail'!$C$21)&lt;&gt;"No control",SUMIF(('Loading-rail'!$B$31:$B$48),$J639,('Loading-rail'!$E$31:$E$48))*Impacts!$F$15,0)),0)</f>
        <v>0</v>
      </c>
      <c r="T639" s="10">
        <f>IF(Flare!$C$7="",0,(SUMIF(Flare!$B$46:$B$185,$J639,Flare!$E$46:$E$185)*Impacts!$F$16))</f>
        <v>0</v>
      </c>
      <c r="U639" s="10">
        <f>IF(VCU!$C$9="",0,(SUMIF(VCU!$B$51:$B$193,$J639,VCU!$E$51:$E$193)*Impacts!$F$17))</f>
        <v>0</v>
      </c>
      <c r="V639" s="10">
        <f>IF(CAS!$C$7="",0,(SUMIF(CAS!$B$31:$B$167,$J639,CAS!$E$31:$E$167)*Impacts!$F$18))</f>
        <v>0</v>
      </c>
      <c r="W639" s="10">
        <f t="shared" si="51"/>
        <v>0</v>
      </c>
      <c r="AK639" s="10" t="str">
        <f t="array" ref="AK639">IFERROR(INDEX(SelectedSpecies,SMALL(IF(SelectedSpecies=AK$1,ROW(SelectedSpecies)),ROW(640:640)),2),"")</f>
        <v/>
      </c>
      <c r="BE639" s="10"/>
      <c r="BI639" s="10"/>
    </row>
    <row r="640" spans="1:61" ht="21" customHeight="1" x14ac:dyDescent="0.25">
      <c r="A640" s="10"/>
      <c r="B640" s="10"/>
      <c r="E640" s="10"/>
      <c r="G640" s="10"/>
      <c r="I640" s="436" t="s">
        <v>7864</v>
      </c>
      <c r="J640" s="26" t="s">
        <v>7863</v>
      </c>
      <c r="K640" s="10">
        <v>0.06</v>
      </c>
      <c r="L640" s="73">
        <f>IF(Tank1!$C$23="No control",(SUMIF(Tank1!$B$32:$B$49,$J640,Tank1!$C$32:$C$49)*Impacts!$F$8),0)</f>
        <v>0</v>
      </c>
      <c r="M640" s="10">
        <f>IF(Tank2!$C$23="No control",(SUMIF(Tank2!$B$32:$B$49,$J640,Tank2!$C$32:$C$49)*Impacts!$F$9),0)</f>
        <v>0</v>
      </c>
      <c r="N640" s="10">
        <f>IF(Tank3!$C$23="No control",(SUMIF(Tank3!$B$32:$B$49,$J640,Tank3!$C$32:$C$49)*Impacts!$F$10),0)</f>
        <v>0</v>
      </c>
      <c r="O640" s="10">
        <f>IF(Tank4!$C$23="No control",(SUMIF(Tank4!$B$32:$B$49,$J640,Tank4!$C$32:$C$49)*Impacts!$F$11),0)</f>
        <v>0</v>
      </c>
      <c r="P640" s="10">
        <f>IF(Tank5!$C$23="No control",(SUMIF(Tank5!$B$32:$B$49,$J640,Tank5!$C$32:$C$49)*Impacts!$F$12),0)</f>
        <v>0</v>
      </c>
      <c r="Q640" s="10">
        <f>IFERROR(IF(('Loading-drum,tote'!$C$21)="No control",SUMIF(('Loading-drum,tote'!$B$31:$B$48),$J640,('Loading-drum,tote'!$D$31:$D$48))*Impacts!$F$13,IF(('Loading-drum,tote'!$C$21)&lt;&gt;"No control",SUMIF(('Loading-drum,tote'!$B$31:$B$48),$J640,('Loading-drum,tote'!$E$31:$E$48))*Impacts!$F$13,0)),0)</f>
        <v>0</v>
      </c>
      <c r="R640" s="10">
        <f>IFERROR(IF(('Loading-truck'!$C$21)="No control",SUMIF(('Loading-truck'!$B$31:$B$48),$J640,('Loading-truck'!$D$31:$D$48))*Impacts!$F$14,IF(('Loading-truck'!$C$21)&lt;&gt;"No control",SUMIF(('Loading-truck'!$B$31:$B$48),$J640,('Loading-truck'!$E$31:$E$48))*Impacts!$F$14,0)),0)</f>
        <v>0</v>
      </c>
      <c r="S640" s="10">
        <f>IFERROR(IF(('Loading-rail'!$C$21)="No control",SUMIF(('Loading-rail'!$B$31:$B$48),$J640,('Loading-rail'!$D$31:$D$48))*Impacts!$F$15,IF(('Loading-rail'!$C$21)&lt;&gt;"No control",SUMIF(('Loading-rail'!$B$31:$B$48),$J640,('Loading-rail'!$E$31:$E$48))*Impacts!$F$15,0)),0)</f>
        <v>0</v>
      </c>
      <c r="T640" s="10">
        <f>IF(Flare!$C$7="",0,(SUMIF(Flare!$B$46:$B$185,$J640,Flare!$E$46:$E$185)*Impacts!$F$16))</f>
        <v>0</v>
      </c>
      <c r="U640" s="10">
        <f>IF(VCU!$C$9="",0,(SUMIF(VCU!$B$51:$B$193,$J640,VCU!$E$51:$E$193)*Impacts!$F$17))</f>
        <v>0</v>
      </c>
      <c r="V640" s="10">
        <f>IF(CAS!$C$7="",0,(SUMIF(CAS!$B$31:$B$167,$J640,CAS!$E$31:$E$167)*Impacts!$F$18))</f>
        <v>0</v>
      </c>
      <c r="W640" s="10">
        <f t="shared" si="51"/>
        <v>0</v>
      </c>
      <c r="AK640" s="10" t="str">
        <f t="array" ref="AK640">IFERROR(INDEX(SelectedSpecies,SMALL(IF(SelectedSpecies=AK$1,ROW(SelectedSpecies)),ROW(641:641)),2),"")</f>
        <v/>
      </c>
      <c r="BE640" s="10"/>
      <c r="BI640" s="10"/>
    </row>
    <row r="641" spans="1:61" ht="21" customHeight="1" x14ac:dyDescent="0.25">
      <c r="A641" s="10"/>
      <c r="B641" s="10"/>
      <c r="E641" s="10"/>
      <c r="G641" s="10"/>
      <c r="I641" s="436" t="s">
        <v>1418</v>
      </c>
      <c r="J641" s="26" t="s">
        <v>1417</v>
      </c>
      <c r="K641" s="10">
        <v>30.3</v>
      </c>
      <c r="L641" s="73">
        <f>IF(Tank1!$C$23="No control",(SUMIF(Tank1!$B$32:$B$49,$J641,Tank1!$C$32:$C$49)*Impacts!$F$8),0)</f>
        <v>0</v>
      </c>
      <c r="M641" s="10">
        <f>IF(Tank2!$C$23="No control",(SUMIF(Tank2!$B$32:$B$49,$J641,Tank2!$C$32:$C$49)*Impacts!$F$9),0)</f>
        <v>0</v>
      </c>
      <c r="N641" s="10">
        <f>IF(Tank3!$C$23="No control",(SUMIF(Tank3!$B$32:$B$49,$J641,Tank3!$C$32:$C$49)*Impacts!$F$10),0)</f>
        <v>0</v>
      </c>
      <c r="O641" s="10">
        <f>IF(Tank4!$C$23="No control",(SUMIF(Tank4!$B$32:$B$49,$J641,Tank4!$C$32:$C$49)*Impacts!$F$11),0)</f>
        <v>0</v>
      </c>
      <c r="P641" s="10">
        <f>IF(Tank5!$C$23="No control",(SUMIF(Tank5!$B$32:$B$49,$J641,Tank5!$C$32:$C$49)*Impacts!$F$12),0)</f>
        <v>0</v>
      </c>
      <c r="Q641" s="10">
        <f>IFERROR(IF(('Loading-drum,tote'!$C$21)="No control",SUMIF(('Loading-drum,tote'!$B$31:$B$48),$J641,('Loading-drum,tote'!$D$31:$D$48))*Impacts!$F$13,IF(('Loading-drum,tote'!$C$21)&lt;&gt;"No control",SUMIF(('Loading-drum,tote'!$B$31:$B$48),$J641,('Loading-drum,tote'!$E$31:$E$48))*Impacts!$F$13,0)),0)</f>
        <v>0</v>
      </c>
      <c r="R641" s="10">
        <f>IFERROR(IF(('Loading-truck'!$C$21)="No control",SUMIF(('Loading-truck'!$B$31:$B$48),$J641,('Loading-truck'!$D$31:$D$48))*Impacts!$F$14,IF(('Loading-truck'!$C$21)&lt;&gt;"No control",SUMIF(('Loading-truck'!$B$31:$B$48),$J641,('Loading-truck'!$E$31:$E$48))*Impacts!$F$14,0)),0)</f>
        <v>0</v>
      </c>
      <c r="S641" s="10">
        <f>IFERROR(IF(('Loading-rail'!$C$21)="No control",SUMIF(('Loading-rail'!$B$31:$B$48),$J641,('Loading-rail'!$D$31:$D$48))*Impacts!$F$15,IF(('Loading-rail'!$C$21)&lt;&gt;"No control",SUMIF(('Loading-rail'!$B$31:$B$48),$J641,('Loading-rail'!$E$31:$E$48))*Impacts!$F$15,0)),0)</f>
        <v>0</v>
      </c>
      <c r="T641" s="10">
        <f>IF(Flare!$C$7="",0,(SUMIF(Flare!$B$46:$B$185,$J641,Flare!$E$46:$E$185)*Impacts!$F$16))</f>
        <v>0</v>
      </c>
      <c r="U641" s="10">
        <f>IF(VCU!$C$9="",0,(SUMIF(VCU!$B$51:$B$193,$J641,VCU!$E$51:$E$193)*Impacts!$F$17))</f>
        <v>0</v>
      </c>
      <c r="V641" s="10">
        <f>IF(CAS!$C$7="",0,(SUMIF(CAS!$B$31:$B$167,$J641,CAS!$E$31:$E$167)*Impacts!$F$18))</f>
        <v>0</v>
      </c>
      <c r="W641" s="10">
        <f t="shared" si="51"/>
        <v>0</v>
      </c>
      <c r="AK641" s="10" t="str">
        <f t="array" ref="AK641">IFERROR(INDEX(SelectedSpecies,SMALL(IF(SelectedSpecies=AK$1,ROW(SelectedSpecies)),ROW(642:642)),2),"")</f>
        <v/>
      </c>
      <c r="BE641" s="10"/>
      <c r="BI641" s="10"/>
    </row>
    <row r="642" spans="1:61" ht="21" customHeight="1" x14ac:dyDescent="0.25">
      <c r="A642" s="10"/>
      <c r="B642" s="10"/>
      <c r="E642" s="10"/>
      <c r="G642" s="10"/>
      <c r="I642" s="436" t="s">
        <v>4903</v>
      </c>
      <c r="J642" s="26" t="s">
        <v>4902</v>
      </c>
      <c r="K642" s="10">
        <v>2.6</v>
      </c>
      <c r="L642" s="73">
        <f>IF(Tank1!$C$23="No control",(SUMIF(Tank1!$B$32:$B$49,$J642,Tank1!$C$32:$C$49)*Impacts!$F$8),0)</f>
        <v>0</v>
      </c>
      <c r="M642" s="10">
        <f>IF(Tank2!$C$23="No control",(SUMIF(Tank2!$B$32:$B$49,$J642,Tank2!$C$32:$C$49)*Impacts!$F$9),0)</f>
        <v>0</v>
      </c>
      <c r="N642" s="10">
        <f>IF(Tank3!$C$23="No control",(SUMIF(Tank3!$B$32:$B$49,$J642,Tank3!$C$32:$C$49)*Impacts!$F$10),0)</f>
        <v>0</v>
      </c>
      <c r="O642" s="10">
        <f>IF(Tank4!$C$23="No control",(SUMIF(Tank4!$B$32:$B$49,$J642,Tank4!$C$32:$C$49)*Impacts!$F$11),0)</f>
        <v>0</v>
      </c>
      <c r="P642" s="10">
        <f>IF(Tank5!$C$23="No control",(SUMIF(Tank5!$B$32:$B$49,$J642,Tank5!$C$32:$C$49)*Impacts!$F$12),0)</f>
        <v>0</v>
      </c>
      <c r="Q642" s="10">
        <f>IFERROR(IF(('Loading-drum,tote'!$C$21)="No control",SUMIF(('Loading-drum,tote'!$B$31:$B$48),$J642,('Loading-drum,tote'!$D$31:$D$48))*Impacts!$F$13,IF(('Loading-drum,tote'!$C$21)&lt;&gt;"No control",SUMIF(('Loading-drum,tote'!$B$31:$B$48),$J642,('Loading-drum,tote'!$E$31:$E$48))*Impacts!$F$13,0)),0)</f>
        <v>0</v>
      </c>
      <c r="R642" s="10">
        <f>IFERROR(IF(('Loading-truck'!$C$21)="No control",SUMIF(('Loading-truck'!$B$31:$B$48),$J642,('Loading-truck'!$D$31:$D$48))*Impacts!$F$14,IF(('Loading-truck'!$C$21)&lt;&gt;"No control",SUMIF(('Loading-truck'!$B$31:$B$48),$J642,('Loading-truck'!$E$31:$E$48))*Impacts!$F$14,0)),0)</f>
        <v>0</v>
      </c>
      <c r="S642" s="10">
        <f>IFERROR(IF(('Loading-rail'!$C$21)="No control",SUMIF(('Loading-rail'!$B$31:$B$48),$J642,('Loading-rail'!$D$31:$D$48))*Impacts!$F$15,IF(('Loading-rail'!$C$21)&lt;&gt;"No control",SUMIF(('Loading-rail'!$B$31:$B$48),$J642,('Loading-rail'!$E$31:$E$48))*Impacts!$F$15,0)),0)</f>
        <v>0</v>
      </c>
      <c r="T642" s="10">
        <f>IF(Flare!$C$7="",0,(SUMIF(Flare!$B$46:$B$185,$J642,Flare!$E$46:$E$185)*Impacts!$F$16))</f>
        <v>0</v>
      </c>
      <c r="U642" s="10">
        <f>IF(VCU!$C$9="",0,(SUMIF(VCU!$B$51:$B$193,$J642,VCU!$E$51:$E$193)*Impacts!$F$17))</f>
        <v>0</v>
      </c>
      <c r="V642" s="10">
        <f>IF(CAS!$C$7="",0,(SUMIF(CAS!$B$31:$B$167,$J642,CAS!$E$31:$E$167)*Impacts!$F$18))</f>
        <v>0</v>
      </c>
      <c r="W642" s="10">
        <f t="shared" si="51"/>
        <v>0</v>
      </c>
      <c r="AK642" s="10" t="str">
        <f t="array" ref="AK642">IFERROR(INDEX(SelectedSpecies,SMALL(IF(SelectedSpecies=AK$1,ROW(SelectedSpecies)),ROW(643:643)),2),"")</f>
        <v/>
      </c>
      <c r="BE642" s="10"/>
      <c r="BI642" s="10"/>
    </row>
    <row r="643" spans="1:61" ht="21" customHeight="1" x14ac:dyDescent="0.25">
      <c r="A643" s="10"/>
      <c r="B643" s="10"/>
      <c r="E643" s="10"/>
      <c r="G643" s="10"/>
      <c r="I643" s="436" t="s">
        <v>8290</v>
      </c>
      <c r="J643" s="26" t="s">
        <v>8289</v>
      </c>
      <c r="K643" s="10">
        <v>2E-3</v>
      </c>
      <c r="L643" s="73">
        <f>IF(Tank1!$C$23="No control",(SUMIF(Tank1!$B$32:$B$49,$J643,Tank1!$C$32:$C$49)*Impacts!$F$8),0)</f>
        <v>0</v>
      </c>
      <c r="M643" s="10">
        <f>IF(Tank2!$C$23="No control",(SUMIF(Tank2!$B$32:$B$49,$J643,Tank2!$C$32:$C$49)*Impacts!$F$9),0)</f>
        <v>0</v>
      </c>
      <c r="N643" s="10">
        <f>IF(Tank3!$C$23="No control",(SUMIF(Tank3!$B$32:$B$49,$J643,Tank3!$C$32:$C$49)*Impacts!$F$10),0)</f>
        <v>0</v>
      </c>
      <c r="O643" s="10">
        <f>IF(Tank4!$C$23="No control",(SUMIF(Tank4!$B$32:$B$49,$J643,Tank4!$C$32:$C$49)*Impacts!$F$11),0)</f>
        <v>0</v>
      </c>
      <c r="P643" s="10">
        <f>IF(Tank5!$C$23="No control",(SUMIF(Tank5!$B$32:$B$49,$J643,Tank5!$C$32:$C$49)*Impacts!$F$12),0)</f>
        <v>0</v>
      </c>
      <c r="Q643" s="10">
        <f>IFERROR(IF(('Loading-drum,tote'!$C$21)="No control",SUMIF(('Loading-drum,tote'!$B$31:$B$48),$J643,('Loading-drum,tote'!$D$31:$D$48))*Impacts!$F$13,IF(('Loading-drum,tote'!$C$21)&lt;&gt;"No control",SUMIF(('Loading-drum,tote'!$B$31:$B$48),$J643,('Loading-drum,tote'!$E$31:$E$48))*Impacts!$F$13,0)),0)</f>
        <v>0</v>
      </c>
      <c r="R643" s="10">
        <f>IFERROR(IF(('Loading-truck'!$C$21)="No control",SUMIF(('Loading-truck'!$B$31:$B$48),$J643,('Loading-truck'!$D$31:$D$48))*Impacts!$F$14,IF(('Loading-truck'!$C$21)&lt;&gt;"No control",SUMIF(('Loading-truck'!$B$31:$B$48),$J643,('Loading-truck'!$E$31:$E$48))*Impacts!$F$14,0)),0)</f>
        <v>0</v>
      </c>
      <c r="S643" s="10">
        <f>IFERROR(IF(('Loading-rail'!$C$21)="No control",SUMIF(('Loading-rail'!$B$31:$B$48),$J643,('Loading-rail'!$D$31:$D$48))*Impacts!$F$15,IF(('Loading-rail'!$C$21)&lt;&gt;"No control",SUMIF(('Loading-rail'!$B$31:$B$48),$J643,('Loading-rail'!$E$31:$E$48))*Impacts!$F$15,0)),0)</f>
        <v>0</v>
      </c>
      <c r="T643" s="10">
        <f>IF(Flare!$C$7="",0,(SUMIF(Flare!$B$46:$B$185,$J643,Flare!$E$46:$E$185)*Impacts!$F$16))</f>
        <v>0</v>
      </c>
      <c r="U643" s="10">
        <f>IF(VCU!$C$9="",0,(SUMIF(VCU!$B$51:$B$193,$J643,VCU!$E$51:$E$193)*Impacts!$F$17))</f>
        <v>0</v>
      </c>
      <c r="V643" s="10">
        <f>IF(CAS!$C$7="",0,(SUMIF(CAS!$B$31:$B$167,$J643,CAS!$E$31:$E$167)*Impacts!$F$18))</f>
        <v>0</v>
      </c>
      <c r="W643" s="10">
        <f t="shared" ref="W643:W706" si="52">SUM(L643:V643)</f>
        <v>0</v>
      </c>
      <c r="AK643" s="10" t="str">
        <f t="array" ref="AK643">IFERROR(INDEX(SelectedSpecies,SMALL(IF(SelectedSpecies=AK$1,ROW(SelectedSpecies)),ROW(644:644)),2),"")</f>
        <v/>
      </c>
      <c r="BE643" s="10"/>
      <c r="BI643" s="10"/>
    </row>
    <row r="644" spans="1:61" ht="21" customHeight="1" x14ac:dyDescent="0.25">
      <c r="A644" s="10"/>
      <c r="B644" s="10"/>
      <c r="E644" s="10"/>
      <c r="G644" s="10"/>
      <c r="I644" s="436" t="s">
        <v>8292</v>
      </c>
      <c r="J644" s="26" t="s">
        <v>8291</v>
      </c>
      <c r="K644" s="10">
        <v>2E-3</v>
      </c>
      <c r="L644" s="73">
        <f>IF(Tank1!$C$23="No control",(SUMIF(Tank1!$B$32:$B$49,$J644,Tank1!$C$32:$C$49)*Impacts!$F$8),0)</f>
        <v>0</v>
      </c>
      <c r="M644" s="10">
        <f>IF(Tank2!$C$23="No control",(SUMIF(Tank2!$B$32:$B$49,$J644,Tank2!$C$32:$C$49)*Impacts!$F$9),0)</f>
        <v>0</v>
      </c>
      <c r="N644" s="10">
        <f>IF(Tank3!$C$23="No control",(SUMIF(Tank3!$B$32:$B$49,$J644,Tank3!$C$32:$C$49)*Impacts!$F$10),0)</f>
        <v>0</v>
      </c>
      <c r="O644" s="10">
        <f>IF(Tank4!$C$23="No control",(SUMIF(Tank4!$B$32:$B$49,$J644,Tank4!$C$32:$C$49)*Impacts!$F$11),0)</f>
        <v>0</v>
      </c>
      <c r="P644" s="10">
        <f>IF(Tank5!$C$23="No control",(SUMIF(Tank5!$B$32:$B$49,$J644,Tank5!$C$32:$C$49)*Impacts!$F$12),0)</f>
        <v>0</v>
      </c>
      <c r="Q644" s="10">
        <f>IFERROR(IF(('Loading-drum,tote'!$C$21)="No control",SUMIF(('Loading-drum,tote'!$B$31:$B$48),$J644,('Loading-drum,tote'!$D$31:$D$48))*Impacts!$F$13,IF(('Loading-drum,tote'!$C$21)&lt;&gt;"No control",SUMIF(('Loading-drum,tote'!$B$31:$B$48),$J644,('Loading-drum,tote'!$E$31:$E$48))*Impacts!$F$13,0)),0)</f>
        <v>0</v>
      </c>
      <c r="R644" s="10">
        <f>IFERROR(IF(('Loading-truck'!$C$21)="No control",SUMIF(('Loading-truck'!$B$31:$B$48),$J644,('Loading-truck'!$D$31:$D$48))*Impacts!$F$14,IF(('Loading-truck'!$C$21)&lt;&gt;"No control",SUMIF(('Loading-truck'!$B$31:$B$48),$J644,('Loading-truck'!$E$31:$E$48))*Impacts!$F$14,0)),0)</f>
        <v>0</v>
      </c>
      <c r="S644" s="10">
        <f>IFERROR(IF(('Loading-rail'!$C$21)="No control",SUMIF(('Loading-rail'!$B$31:$B$48),$J644,('Loading-rail'!$D$31:$D$48))*Impacts!$F$15,IF(('Loading-rail'!$C$21)&lt;&gt;"No control",SUMIF(('Loading-rail'!$B$31:$B$48),$J644,('Loading-rail'!$E$31:$E$48))*Impacts!$F$15,0)),0)</f>
        <v>0</v>
      </c>
      <c r="T644" s="10">
        <f>IF(Flare!$C$7="",0,(SUMIF(Flare!$B$46:$B$185,$J644,Flare!$E$46:$E$185)*Impacts!$F$16))</f>
        <v>0</v>
      </c>
      <c r="U644" s="10">
        <f>IF(VCU!$C$9="",0,(SUMIF(VCU!$B$51:$B$193,$J644,VCU!$E$51:$E$193)*Impacts!$F$17))</f>
        <v>0</v>
      </c>
      <c r="V644" s="10">
        <f>IF(CAS!$C$7="",0,(SUMIF(CAS!$B$31:$B$167,$J644,CAS!$E$31:$E$167)*Impacts!$F$18))</f>
        <v>0</v>
      </c>
      <c r="W644" s="10">
        <f t="shared" si="52"/>
        <v>0</v>
      </c>
      <c r="AK644" s="10" t="str">
        <f t="array" ref="AK644">IFERROR(INDEX(SelectedSpecies,SMALL(IF(SelectedSpecies=AK$1,ROW(SelectedSpecies)),ROW(645:645)),2),"")</f>
        <v/>
      </c>
      <c r="BE644" s="10"/>
      <c r="BI644" s="10"/>
    </row>
    <row r="645" spans="1:61" ht="21" customHeight="1" x14ac:dyDescent="0.25">
      <c r="A645" s="10"/>
      <c r="B645" s="10"/>
      <c r="E645" s="10"/>
      <c r="G645" s="10"/>
      <c r="I645" s="436" t="s">
        <v>8334</v>
      </c>
      <c r="J645" s="26" t="s">
        <v>8333</v>
      </c>
      <c r="K645" s="10">
        <v>3.0000000000000003E-4</v>
      </c>
      <c r="L645" s="73">
        <f>IF(Tank1!$C$23="No control",(SUMIF(Tank1!$B$32:$B$49,$J645,Tank1!$C$32:$C$49)*Impacts!$F$8),0)</f>
        <v>0</v>
      </c>
      <c r="M645" s="10">
        <f>IF(Tank2!$C$23="No control",(SUMIF(Tank2!$B$32:$B$49,$J645,Tank2!$C$32:$C$49)*Impacts!$F$9),0)</f>
        <v>0</v>
      </c>
      <c r="N645" s="10">
        <f>IF(Tank3!$C$23="No control",(SUMIF(Tank3!$B$32:$B$49,$J645,Tank3!$C$32:$C$49)*Impacts!$F$10),0)</f>
        <v>0</v>
      </c>
      <c r="O645" s="10">
        <f>IF(Tank4!$C$23="No control",(SUMIF(Tank4!$B$32:$B$49,$J645,Tank4!$C$32:$C$49)*Impacts!$F$11),0)</f>
        <v>0</v>
      </c>
      <c r="P645" s="10">
        <f>IF(Tank5!$C$23="No control",(SUMIF(Tank5!$B$32:$B$49,$J645,Tank5!$C$32:$C$49)*Impacts!$F$12),0)</f>
        <v>0</v>
      </c>
      <c r="Q645" s="10">
        <f>IFERROR(IF(('Loading-drum,tote'!$C$21)="No control",SUMIF(('Loading-drum,tote'!$B$31:$B$48),$J645,('Loading-drum,tote'!$D$31:$D$48))*Impacts!$F$13,IF(('Loading-drum,tote'!$C$21)&lt;&gt;"No control",SUMIF(('Loading-drum,tote'!$B$31:$B$48),$J645,('Loading-drum,tote'!$E$31:$E$48))*Impacts!$F$13,0)),0)</f>
        <v>0</v>
      </c>
      <c r="R645" s="10">
        <f>IFERROR(IF(('Loading-truck'!$C$21)="No control",SUMIF(('Loading-truck'!$B$31:$B$48),$J645,('Loading-truck'!$D$31:$D$48))*Impacts!$F$14,IF(('Loading-truck'!$C$21)&lt;&gt;"No control",SUMIF(('Loading-truck'!$B$31:$B$48),$J645,('Loading-truck'!$E$31:$E$48))*Impacts!$F$14,0)),0)</f>
        <v>0</v>
      </c>
      <c r="S645" s="10">
        <f>IFERROR(IF(('Loading-rail'!$C$21)="No control",SUMIF(('Loading-rail'!$B$31:$B$48),$J645,('Loading-rail'!$D$31:$D$48))*Impacts!$F$15,IF(('Loading-rail'!$C$21)&lt;&gt;"No control",SUMIF(('Loading-rail'!$B$31:$B$48),$J645,('Loading-rail'!$E$31:$E$48))*Impacts!$F$15,0)),0)</f>
        <v>0</v>
      </c>
      <c r="T645" s="10">
        <f>IF(Flare!$C$7="",0,(SUMIF(Flare!$B$46:$B$185,$J645,Flare!$E$46:$E$185)*Impacts!$F$16))</f>
        <v>0</v>
      </c>
      <c r="U645" s="10">
        <f>IF(VCU!$C$9="",0,(SUMIF(VCU!$B$51:$B$193,$J645,VCU!$E$51:$E$193)*Impacts!$F$17))</f>
        <v>0</v>
      </c>
      <c r="V645" s="10">
        <f>IF(CAS!$C$7="",0,(SUMIF(CAS!$B$31:$B$167,$J645,CAS!$E$31:$E$167)*Impacts!$F$18))</f>
        <v>0</v>
      </c>
      <c r="W645" s="10">
        <f t="shared" si="52"/>
        <v>0</v>
      </c>
      <c r="AK645" s="10" t="str">
        <f t="array" ref="AK645">IFERROR(INDEX(SelectedSpecies,SMALL(IF(SelectedSpecies=AK$1,ROW(SelectedSpecies)),ROW(646:646)),2),"")</f>
        <v/>
      </c>
      <c r="BE645" s="10"/>
      <c r="BI645" s="10"/>
    </row>
    <row r="646" spans="1:61" ht="21" customHeight="1" x14ac:dyDescent="0.25">
      <c r="A646" s="10"/>
      <c r="B646" s="10"/>
      <c r="E646" s="10"/>
      <c r="G646" s="10"/>
      <c r="I646" s="436" t="s">
        <v>7426</v>
      </c>
      <c r="J646" s="26" t="s">
        <v>7425</v>
      </c>
      <c r="K646" s="10">
        <v>0.2</v>
      </c>
      <c r="L646" s="73">
        <f>IF(Tank1!$C$23="No control",(SUMIF(Tank1!$B$32:$B$49,$J646,Tank1!$C$32:$C$49)*Impacts!$F$8),0)</f>
        <v>0</v>
      </c>
      <c r="M646" s="10">
        <f>IF(Tank2!$C$23="No control",(SUMIF(Tank2!$B$32:$B$49,$J646,Tank2!$C$32:$C$49)*Impacts!$F$9),0)</f>
        <v>0</v>
      </c>
      <c r="N646" s="10">
        <f>IF(Tank3!$C$23="No control",(SUMIF(Tank3!$B$32:$B$49,$J646,Tank3!$C$32:$C$49)*Impacts!$F$10),0)</f>
        <v>0</v>
      </c>
      <c r="O646" s="10">
        <f>IF(Tank4!$C$23="No control",(SUMIF(Tank4!$B$32:$B$49,$J646,Tank4!$C$32:$C$49)*Impacts!$F$11),0)</f>
        <v>0</v>
      </c>
      <c r="P646" s="10">
        <f>IF(Tank5!$C$23="No control",(SUMIF(Tank5!$B$32:$B$49,$J646,Tank5!$C$32:$C$49)*Impacts!$F$12),0)</f>
        <v>0</v>
      </c>
      <c r="Q646" s="10">
        <f>IFERROR(IF(('Loading-drum,tote'!$C$21)="No control",SUMIF(('Loading-drum,tote'!$B$31:$B$48),$J646,('Loading-drum,tote'!$D$31:$D$48))*Impacts!$F$13,IF(('Loading-drum,tote'!$C$21)&lt;&gt;"No control",SUMIF(('Loading-drum,tote'!$B$31:$B$48),$J646,('Loading-drum,tote'!$E$31:$E$48))*Impacts!$F$13,0)),0)</f>
        <v>0</v>
      </c>
      <c r="R646" s="10">
        <f>IFERROR(IF(('Loading-truck'!$C$21)="No control",SUMIF(('Loading-truck'!$B$31:$B$48),$J646,('Loading-truck'!$D$31:$D$48))*Impacts!$F$14,IF(('Loading-truck'!$C$21)&lt;&gt;"No control",SUMIF(('Loading-truck'!$B$31:$B$48),$J646,('Loading-truck'!$E$31:$E$48))*Impacts!$F$14,0)),0)</f>
        <v>0</v>
      </c>
      <c r="S646" s="10">
        <f>IFERROR(IF(('Loading-rail'!$C$21)="No control",SUMIF(('Loading-rail'!$B$31:$B$48),$J646,('Loading-rail'!$D$31:$D$48))*Impacts!$F$15,IF(('Loading-rail'!$C$21)&lt;&gt;"No control",SUMIF(('Loading-rail'!$B$31:$B$48),$J646,('Loading-rail'!$E$31:$E$48))*Impacts!$F$15,0)),0)</f>
        <v>0</v>
      </c>
      <c r="T646" s="10">
        <f>IF(Flare!$C$7="",0,(SUMIF(Flare!$B$46:$B$185,$J646,Flare!$E$46:$E$185)*Impacts!$F$16))</f>
        <v>0</v>
      </c>
      <c r="U646" s="10">
        <f>IF(VCU!$C$9="",0,(SUMIF(VCU!$B$51:$B$193,$J646,VCU!$E$51:$E$193)*Impacts!$F$17))</f>
        <v>0</v>
      </c>
      <c r="V646" s="10">
        <f>IF(CAS!$C$7="",0,(SUMIF(CAS!$B$31:$B$167,$J646,CAS!$E$31:$E$167)*Impacts!$F$18))</f>
        <v>0</v>
      </c>
      <c r="W646" s="10">
        <f t="shared" si="52"/>
        <v>0</v>
      </c>
      <c r="AK646" s="10" t="str">
        <f t="array" ref="AK646">IFERROR(INDEX(SelectedSpecies,SMALL(IF(SelectedSpecies=AK$1,ROW(SelectedSpecies)),ROW(647:647)),2),"")</f>
        <v/>
      </c>
      <c r="BE646" s="10"/>
      <c r="BI646" s="10"/>
    </row>
    <row r="647" spans="1:61" ht="21" customHeight="1" x14ac:dyDescent="0.25">
      <c r="A647" s="10"/>
      <c r="B647" s="10"/>
      <c r="E647" s="10"/>
      <c r="G647" s="10"/>
      <c r="I647" s="436" t="s">
        <v>8128</v>
      </c>
      <c r="J647" s="26" t="s">
        <v>8127</v>
      </c>
      <c r="K647" s="10">
        <v>1.0000000000000002E-2</v>
      </c>
      <c r="L647" s="73">
        <f>IF(Tank1!$C$23="No control",(SUMIF(Tank1!$B$32:$B$49,$J647,Tank1!$C$32:$C$49)*Impacts!$F$8),0)</f>
        <v>0</v>
      </c>
      <c r="M647" s="10">
        <f>IF(Tank2!$C$23="No control",(SUMIF(Tank2!$B$32:$B$49,$J647,Tank2!$C$32:$C$49)*Impacts!$F$9),0)</f>
        <v>0</v>
      </c>
      <c r="N647" s="10">
        <f>IF(Tank3!$C$23="No control",(SUMIF(Tank3!$B$32:$B$49,$J647,Tank3!$C$32:$C$49)*Impacts!$F$10),0)</f>
        <v>0</v>
      </c>
      <c r="O647" s="10">
        <f>IF(Tank4!$C$23="No control",(SUMIF(Tank4!$B$32:$B$49,$J647,Tank4!$C$32:$C$49)*Impacts!$F$11),0)</f>
        <v>0</v>
      </c>
      <c r="P647" s="10">
        <f>IF(Tank5!$C$23="No control",(SUMIF(Tank5!$B$32:$B$49,$J647,Tank5!$C$32:$C$49)*Impacts!$F$12),0)</f>
        <v>0</v>
      </c>
      <c r="Q647" s="10">
        <f>IFERROR(IF(('Loading-drum,tote'!$C$21)="No control",SUMIF(('Loading-drum,tote'!$B$31:$B$48),$J647,('Loading-drum,tote'!$D$31:$D$48))*Impacts!$F$13,IF(('Loading-drum,tote'!$C$21)&lt;&gt;"No control",SUMIF(('Loading-drum,tote'!$B$31:$B$48),$J647,('Loading-drum,tote'!$E$31:$E$48))*Impacts!$F$13,0)),0)</f>
        <v>0</v>
      </c>
      <c r="R647" s="10">
        <f>IFERROR(IF(('Loading-truck'!$C$21)="No control",SUMIF(('Loading-truck'!$B$31:$B$48),$J647,('Loading-truck'!$D$31:$D$48))*Impacts!$F$14,IF(('Loading-truck'!$C$21)&lt;&gt;"No control",SUMIF(('Loading-truck'!$B$31:$B$48),$J647,('Loading-truck'!$E$31:$E$48))*Impacts!$F$14,0)),0)</f>
        <v>0</v>
      </c>
      <c r="S647" s="10">
        <f>IFERROR(IF(('Loading-rail'!$C$21)="No control",SUMIF(('Loading-rail'!$B$31:$B$48),$J647,('Loading-rail'!$D$31:$D$48))*Impacts!$F$15,IF(('Loading-rail'!$C$21)&lt;&gt;"No control",SUMIF(('Loading-rail'!$B$31:$B$48),$J647,('Loading-rail'!$E$31:$E$48))*Impacts!$F$15,0)),0)</f>
        <v>0</v>
      </c>
      <c r="T647" s="10">
        <f>IF(Flare!$C$7="",0,(SUMIF(Flare!$B$46:$B$185,$J647,Flare!$E$46:$E$185)*Impacts!$F$16))</f>
        <v>0</v>
      </c>
      <c r="U647" s="10">
        <f>IF(VCU!$C$9="",0,(SUMIF(VCU!$B$51:$B$193,$J647,VCU!$E$51:$E$193)*Impacts!$F$17))</f>
        <v>0</v>
      </c>
      <c r="V647" s="10">
        <f>IF(CAS!$C$7="",0,(SUMIF(CAS!$B$31:$B$167,$J647,CAS!$E$31:$E$167)*Impacts!$F$18))</f>
        <v>0</v>
      </c>
      <c r="W647" s="10">
        <f t="shared" si="52"/>
        <v>0</v>
      </c>
      <c r="AK647" s="10" t="str">
        <f t="array" ref="AK647">IFERROR(INDEX(SelectedSpecies,SMALL(IF(SelectedSpecies=AK$1,ROW(SelectedSpecies)),ROW(648:648)),2),"")</f>
        <v/>
      </c>
      <c r="BE647" s="10"/>
      <c r="BI647" s="10"/>
    </row>
    <row r="648" spans="1:61" ht="21" customHeight="1" x14ac:dyDescent="0.25">
      <c r="A648" s="10"/>
      <c r="B648" s="10"/>
      <c r="E648" s="10"/>
      <c r="G648" s="10"/>
      <c r="I648" s="436" t="s">
        <v>6364</v>
      </c>
      <c r="J648" s="26" t="s">
        <v>6363</v>
      </c>
      <c r="K648" s="10">
        <v>0.81</v>
      </c>
      <c r="L648" s="73">
        <f>IF(Tank1!$C$23="No control",(SUMIF(Tank1!$B$32:$B$49,$J648,Tank1!$C$32:$C$49)*Impacts!$F$8),0)</f>
        <v>0</v>
      </c>
      <c r="M648" s="10">
        <f>IF(Tank2!$C$23="No control",(SUMIF(Tank2!$B$32:$B$49,$J648,Tank2!$C$32:$C$49)*Impacts!$F$9),0)</f>
        <v>0</v>
      </c>
      <c r="N648" s="10">
        <f>IF(Tank3!$C$23="No control",(SUMIF(Tank3!$B$32:$B$49,$J648,Tank3!$C$32:$C$49)*Impacts!$F$10),0)</f>
        <v>0</v>
      </c>
      <c r="O648" s="10">
        <f>IF(Tank4!$C$23="No control",(SUMIF(Tank4!$B$32:$B$49,$J648,Tank4!$C$32:$C$49)*Impacts!$F$11),0)</f>
        <v>0</v>
      </c>
      <c r="P648" s="10">
        <f>IF(Tank5!$C$23="No control",(SUMIF(Tank5!$B$32:$B$49,$J648,Tank5!$C$32:$C$49)*Impacts!$F$12),0)</f>
        <v>0</v>
      </c>
      <c r="Q648" s="10">
        <f>IFERROR(IF(('Loading-drum,tote'!$C$21)="No control",SUMIF(('Loading-drum,tote'!$B$31:$B$48),$J648,('Loading-drum,tote'!$D$31:$D$48))*Impacts!$F$13,IF(('Loading-drum,tote'!$C$21)&lt;&gt;"No control",SUMIF(('Loading-drum,tote'!$B$31:$B$48),$J648,('Loading-drum,tote'!$E$31:$E$48))*Impacts!$F$13,0)),0)</f>
        <v>0</v>
      </c>
      <c r="R648" s="10">
        <f>IFERROR(IF(('Loading-truck'!$C$21)="No control",SUMIF(('Loading-truck'!$B$31:$B$48),$J648,('Loading-truck'!$D$31:$D$48))*Impacts!$F$14,IF(('Loading-truck'!$C$21)&lt;&gt;"No control",SUMIF(('Loading-truck'!$B$31:$B$48),$J648,('Loading-truck'!$E$31:$E$48))*Impacts!$F$14,0)),0)</f>
        <v>0</v>
      </c>
      <c r="S648" s="10">
        <f>IFERROR(IF(('Loading-rail'!$C$21)="No control",SUMIF(('Loading-rail'!$B$31:$B$48),$J648,('Loading-rail'!$D$31:$D$48))*Impacts!$F$15,IF(('Loading-rail'!$C$21)&lt;&gt;"No control",SUMIF(('Loading-rail'!$B$31:$B$48),$J648,('Loading-rail'!$E$31:$E$48))*Impacts!$F$15,0)),0)</f>
        <v>0</v>
      </c>
      <c r="T648" s="10">
        <f>IF(Flare!$C$7="",0,(SUMIF(Flare!$B$46:$B$185,$J648,Flare!$E$46:$E$185)*Impacts!$F$16))</f>
        <v>0</v>
      </c>
      <c r="U648" s="10">
        <f>IF(VCU!$C$9="",0,(SUMIF(VCU!$B$51:$B$193,$J648,VCU!$E$51:$E$193)*Impacts!$F$17))</f>
        <v>0</v>
      </c>
      <c r="V648" s="10">
        <f>IF(CAS!$C$7="",0,(SUMIF(CAS!$B$31:$B$167,$J648,CAS!$E$31:$E$167)*Impacts!$F$18))</f>
        <v>0</v>
      </c>
      <c r="W648" s="10">
        <f t="shared" si="52"/>
        <v>0</v>
      </c>
      <c r="AK648" s="10" t="str">
        <f t="array" ref="AK648">IFERROR(INDEX(SelectedSpecies,SMALL(IF(SelectedSpecies=AK$1,ROW(SelectedSpecies)),ROW(649:649)),2),"")</f>
        <v/>
      </c>
      <c r="BE648" s="10"/>
      <c r="BI648" s="10"/>
    </row>
    <row r="649" spans="1:61" ht="21" customHeight="1" x14ac:dyDescent="0.25">
      <c r="A649" s="10"/>
      <c r="B649" s="10"/>
      <c r="E649" s="10"/>
      <c r="G649" s="10"/>
      <c r="I649" s="436" t="s">
        <v>6364</v>
      </c>
      <c r="J649" s="26" t="s">
        <v>10335</v>
      </c>
      <c r="K649" s="10">
        <v>5.6999999999999995E-2</v>
      </c>
      <c r="L649" s="73">
        <f>IF(Tank1!$C$23="No control",(SUMIF(Tank1!$B$32:$B$49,$J649,Tank1!$C$32:$C$49)*Impacts!$F$8),0)</f>
        <v>0</v>
      </c>
      <c r="M649" s="10">
        <f>IF(Tank2!$C$23="No control",(SUMIF(Tank2!$B$32:$B$49,$J649,Tank2!$C$32:$C$49)*Impacts!$F$9),0)</f>
        <v>0</v>
      </c>
      <c r="N649" s="10">
        <f>IF(Tank3!$C$23="No control",(SUMIF(Tank3!$B$32:$B$49,$J649,Tank3!$C$32:$C$49)*Impacts!$F$10),0)</f>
        <v>0</v>
      </c>
      <c r="O649" s="10">
        <f>IF(Tank4!$C$23="No control",(SUMIF(Tank4!$B$32:$B$49,$J649,Tank4!$C$32:$C$49)*Impacts!$F$11),0)</f>
        <v>0</v>
      </c>
      <c r="P649" s="10">
        <f>IF(Tank5!$C$23="No control",(SUMIF(Tank5!$B$32:$B$49,$J649,Tank5!$C$32:$C$49)*Impacts!$F$12),0)</f>
        <v>0</v>
      </c>
      <c r="Q649" s="10">
        <f>IFERROR(IF(('Loading-drum,tote'!$C$21)="No control",SUMIF(('Loading-drum,tote'!$B$31:$B$48),$J649,('Loading-drum,tote'!$D$31:$D$48))*Impacts!$F$13,IF(('Loading-drum,tote'!$C$21)&lt;&gt;"No control",SUMIF(('Loading-drum,tote'!$B$31:$B$48),$J649,('Loading-drum,tote'!$E$31:$E$48))*Impacts!$F$13,0)),0)</f>
        <v>0</v>
      </c>
      <c r="R649" s="10">
        <f>IFERROR(IF(('Loading-truck'!$C$21)="No control",SUMIF(('Loading-truck'!$B$31:$B$48),$J649,('Loading-truck'!$D$31:$D$48))*Impacts!$F$14,IF(('Loading-truck'!$C$21)&lt;&gt;"No control",SUMIF(('Loading-truck'!$B$31:$B$48),$J649,('Loading-truck'!$E$31:$E$48))*Impacts!$F$14,0)),0)</f>
        <v>0</v>
      </c>
      <c r="S649" s="10">
        <f>IFERROR(IF(('Loading-rail'!$C$21)="No control",SUMIF(('Loading-rail'!$B$31:$B$48),$J649,('Loading-rail'!$D$31:$D$48))*Impacts!$F$15,IF(('Loading-rail'!$C$21)&lt;&gt;"No control",SUMIF(('Loading-rail'!$B$31:$B$48),$J649,('Loading-rail'!$E$31:$E$48))*Impacts!$F$15,0)),0)</f>
        <v>0</v>
      </c>
      <c r="T649" s="10">
        <f>IF(Flare!$C$7="",0,(SUMIF(Flare!$B$46:$B$185,$J649,Flare!$E$46:$E$185)*Impacts!$F$16))</f>
        <v>0</v>
      </c>
      <c r="U649" s="10">
        <f>IF(VCU!$C$9="",0,(SUMIF(VCU!$B$51:$B$193,$J649,VCU!$E$51:$E$193)*Impacts!$F$17))</f>
        <v>0</v>
      </c>
      <c r="V649" s="10">
        <f>IF(CAS!$C$7="",0,(SUMIF(CAS!$B$31:$B$167,$J649,CAS!$E$31:$E$167)*Impacts!$F$18))</f>
        <v>0</v>
      </c>
      <c r="W649" s="10">
        <f t="shared" si="52"/>
        <v>0</v>
      </c>
      <c r="AK649" s="10" t="str">
        <f t="array" ref="AK649">IFERROR(INDEX(SelectedSpecies,SMALL(IF(SelectedSpecies=AK$1,ROW(SelectedSpecies)),ROW(650:650)),2),"")</f>
        <v/>
      </c>
      <c r="BE649" s="10"/>
      <c r="BI649" s="10"/>
    </row>
    <row r="650" spans="1:61" ht="21" customHeight="1" x14ac:dyDescent="0.25">
      <c r="A650" s="10"/>
      <c r="B650" s="10"/>
      <c r="E650" s="10"/>
      <c r="G650" s="10"/>
      <c r="I650" s="436" t="s">
        <v>6364</v>
      </c>
      <c r="J650" s="26" t="s">
        <v>10336</v>
      </c>
      <c r="K650" s="10">
        <v>7.0999999999999994E-2</v>
      </c>
      <c r="L650" s="73">
        <f>IF(Tank1!$C$23="No control",(SUMIF(Tank1!$B$32:$B$49,$J650,Tank1!$C$32:$C$49)*Impacts!$F$8),0)</f>
        <v>0</v>
      </c>
      <c r="M650" s="10">
        <f>IF(Tank2!$C$23="No control",(SUMIF(Tank2!$B$32:$B$49,$J650,Tank2!$C$32:$C$49)*Impacts!$F$9),0)</f>
        <v>0</v>
      </c>
      <c r="N650" s="10">
        <f>IF(Tank3!$C$23="No control",(SUMIF(Tank3!$B$32:$B$49,$J650,Tank3!$C$32:$C$49)*Impacts!$F$10),0)</f>
        <v>0</v>
      </c>
      <c r="O650" s="10">
        <f>IF(Tank4!$C$23="No control",(SUMIF(Tank4!$B$32:$B$49,$J650,Tank4!$C$32:$C$49)*Impacts!$F$11),0)</f>
        <v>0</v>
      </c>
      <c r="P650" s="10">
        <f>IF(Tank5!$C$23="No control",(SUMIF(Tank5!$B$32:$B$49,$J650,Tank5!$C$32:$C$49)*Impacts!$F$12),0)</f>
        <v>0</v>
      </c>
      <c r="Q650" s="10">
        <f>IFERROR(IF(('Loading-drum,tote'!$C$21)="No control",SUMIF(('Loading-drum,tote'!$B$31:$B$48),$J650,('Loading-drum,tote'!$D$31:$D$48))*Impacts!$F$13,IF(('Loading-drum,tote'!$C$21)&lt;&gt;"No control",SUMIF(('Loading-drum,tote'!$B$31:$B$48),$J650,('Loading-drum,tote'!$E$31:$E$48))*Impacts!$F$13,0)),0)</f>
        <v>0</v>
      </c>
      <c r="R650" s="10">
        <f>IFERROR(IF(('Loading-truck'!$C$21)="No control",SUMIF(('Loading-truck'!$B$31:$B$48),$J650,('Loading-truck'!$D$31:$D$48))*Impacts!$F$14,IF(('Loading-truck'!$C$21)&lt;&gt;"No control",SUMIF(('Loading-truck'!$B$31:$B$48),$J650,('Loading-truck'!$E$31:$E$48))*Impacts!$F$14,0)),0)</f>
        <v>0</v>
      </c>
      <c r="S650" s="10">
        <f>IFERROR(IF(('Loading-rail'!$C$21)="No control",SUMIF(('Loading-rail'!$B$31:$B$48),$J650,('Loading-rail'!$D$31:$D$48))*Impacts!$F$15,IF(('Loading-rail'!$C$21)&lt;&gt;"No control",SUMIF(('Loading-rail'!$B$31:$B$48),$J650,('Loading-rail'!$E$31:$E$48))*Impacts!$F$15,0)),0)</f>
        <v>0</v>
      </c>
      <c r="T650" s="10">
        <f>IF(Flare!$C$7="",0,(SUMIF(Flare!$B$46:$B$185,$J650,Flare!$E$46:$E$185)*Impacts!$F$16))</f>
        <v>0</v>
      </c>
      <c r="U650" s="10">
        <f>IF(VCU!$C$9="",0,(SUMIF(VCU!$B$51:$B$193,$J650,VCU!$E$51:$E$193)*Impacts!$F$17))</f>
        <v>0</v>
      </c>
      <c r="V650" s="10">
        <f>IF(CAS!$C$7="",0,(SUMIF(CAS!$B$31:$B$167,$J650,CAS!$E$31:$E$167)*Impacts!$F$18))</f>
        <v>0</v>
      </c>
      <c r="W650" s="10">
        <f t="shared" si="52"/>
        <v>0</v>
      </c>
      <c r="AK650" s="10" t="str">
        <f t="array" ref="AK650">IFERROR(INDEX(SelectedSpecies,SMALL(IF(SelectedSpecies=AK$1,ROW(SelectedSpecies)),ROW(651:651)),2),"")</f>
        <v/>
      </c>
      <c r="BE650" s="10"/>
      <c r="BI650" s="10"/>
    </row>
    <row r="651" spans="1:61" ht="21" customHeight="1" x14ac:dyDescent="0.25">
      <c r="A651" s="10"/>
      <c r="B651" s="10"/>
      <c r="E651" s="10"/>
      <c r="G651" s="10"/>
      <c r="I651" s="436" t="s">
        <v>3771</v>
      </c>
      <c r="J651" s="26" t="s">
        <v>3770</v>
      </c>
      <c r="K651" s="10">
        <v>6</v>
      </c>
      <c r="L651" s="73">
        <f>IF(Tank1!$C$23="No control",(SUMIF(Tank1!$B$32:$B$49,$J651,Tank1!$C$32:$C$49)*Impacts!$F$8),0)</f>
        <v>0</v>
      </c>
      <c r="M651" s="10">
        <f>IF(Tank2!$C$23="No control",(SUMIF(Tank2!$B$32:$B$49,$J651,Tank2!$C$32:$C$49)*Impacts!$F$9),0)</f>
        <v>0</v>
      </c>
      <c r="N651" s="10">
        <f>IF(Tank3!$C$23="No control",(SUMIF(Tank3!$B$32:$B$49,$J651,Tank3!$C$32:$C$49)*Impacts!$F$10),0)</f>
        <v>0</v>
      </c>
      <c r="O651" s="10">
        <f>IF(Tank4!$C$23="No control",(SUMIF(Tank4!$B$32:$B$49,$J651,Tank4!$C$32:$C$49)*Impacts!$F$11),0)</f>
        <v>0</v>
      </c>
      <c r="P651" s="10">
        <f>IF(Tank5!$C$23="No control",(SUMIF(Tank5!$B$32:$B$49,$J651,Tank5!$C$32:$C$49)*Impacts!$F$12),0)</f>
        <v>0</v>
      </c>
      <c r="Q651" s="10">
        <f>IFERROR(IF(('Loading-drum,tote'!$C$21)="No control",SUMIF(('Loading-drum,tote'!$B$31:$B$48),$J651,('Loading-drum,tote'!$D$31:$D$48))*Impacts!$F$13,IF(('Loading-drum,tote'!$C$21)&lt;&gt;"No control",SUMIF(('Loading-drum,tote'!$B$31:$B$48),$J651,('Loading-drum,tote'!$E$31:$E$48))*Impacts!$F$13,0)),0)</f>
        <v>0</v>
      </c>
      <c r="R651" s="10">
        <f>IFERROR(IF(('Loading-truck'!$C$21)="No control",SUMIF(('Loading-truck'!$B$31:$B$48),$J651,('Loading-truck'!$D$31:$D$48))*Impacts!$F$14,IF(('Loading-truck'!$C$21)&lt;&gt;"No control",SUMIF(('Loading-truck'!$B$31:$B$48),$J651,('Loading-truck'!$E$31:$E$48))*Impacts!$F$14,0)),0)</f>
        <v>0</v>
      </c>
      <c r="S651" s="10">
        <f>IFERROR(IF(('Loading-rail'!$C$21)="No control",SUMIF(('Loading-rail'!$B$31:$B$48),$J651,('Loading-rail'!$D$31:$D$48))*Impacts!$F$15,IF(('Loading-rail'!$C$21)&lt;&gt;"No control",SUMIF(('Loading-rail'!$B$31:$B$48),$J651,('Loading-rail'!$E$31:$E$48))*Impacts!$F$15,0)),0)</f>
        <v>0</v>
      </c>
      <c r="T651" s="10">
        <f>IF(Flare!$C$7="",0,(SUMIF(Flare!$B$46:$B$185,$J651,Flare!$E$46:$E$185)*Impacts!$F$16))</f>
        <v>0</v>
      </c>
      <c r="U651" s="10">
        <f>IF(VCU!$C$9="",0,(SUMIF(VCU!$B$51:$B$193,$J651,VCU!$E$51:$E$193)*Impacts!$F$17))</f>
        <v>0</v>
      </c>
      <c r="V651" s="10">
        <f>IF(CAS!$C$7="",0,(SUMIF(CAS!$B$31:$B$167,$J651,CAS!$E$31:$E$167)*Impacts!$F$18))</f>
        <v>0</v>
      </c>
      <c r="W651" s="10">
        <f t="shared" si="52"/>
        <v>0</v>
      </c>
      <c r="AK651" s="10" t="str">
        <f t="array" ref="AK651">IFERROR(INDEX(SelectedSpecies,SMALL(IF(SelectedSpecies=AK$1,ROW(SelectedSpecies)),ROW(652:652)),2),"")</f>
        <v/>
      </c>
      <c r="BE651" s="10"/>
      <c r="BI651" s="10"/>
    </row>
    <row r="652" spans="1:61" ht="21" customHeight="1" x14ac:dyDescent="0.25">
      <c r="A652" s="10"/>
      <c r="B652" s="10"/>
      <c r="E652" s="10"/>
      <c r="G652" s="10"/>
      <c r="I652" s="436" t="s">
        <v>2705</v>
      </c>
      <c r="J652" s="26" t="s">
        <v>2704</v>
      </c>
      <c r="K652" s="10">
        <v>10</v>
      </c>
      <c r="L652" s="73">
        <f>IF(Tank1!$C$23="No control",(SUMIF(Tank1!$B$32:$B$49,$J652,Tank1!$C$32:$C$49)*Impacts!$F$8),0)</f>
        <v>0</v>
      </c>
      <c r="M652" s="10">
        <f>IF(Tank2!$C$23="No control",(SUMIF(Tank2!$B$32:$B$49,$J652,Tank2!$C$32:$C$49)*Impacts!$F$9),0)</f>
        <v>0</v>
      </c>
      <c r="N652" s="10">
        <f>IF(Tank3!$C$23="No control",(SUMIF(Tank3!$B$32:$B$49,$J652,Tank3!$C$32:$C$49)*Impacts!$F$10),0)</f>
        <v>0</v>
      </c>
      <c r="O652" s="10">
        <f>IF(Tank4!$C$23="No control",(SUMIF(Tank4!$B$32:$B$49,$J652,Tank4!$C$32:$C$49)*Impacts!$F$11),0)</f>
        <v>0</v>
      </c>
      <c r="P652" s="10">
        <f>IF(Tank5!$C$23="No control",(SUMIF(Tank5!$B$32:$B$49,$J652,Tank5!$C$32:$C$49)*Impacts!$F$12),0)</f>
        <v>0</v>
      </c>
      <c r="Q652" s="10">
        <f>IFERROR(IF(('Loading-drum,tote'!$C$21)="No control",SUMIF(('Loading-drum,tote'!$B$31:$B$48),$J652,('Loading-drum,tote'!$D$31:$D$48))*Impacts!$F$13,IF(('Loading-drum,tote'!$C$21)&lt;&gt;"No control",SUMIF(('Loading-drum,tote'!$B$31:$B$48),$J652,('Loading-drum,tote'!$E$31:$E$48))*Impacts!$F$13,0)),0)</f>
        <v>0</v>
      </c>
      <c r="R652" s="10">
        <f>IFERROR(IF(('Loading-truck'!$C$21)="No control",SUMIF(('Loading-truck'!$B$31:$B$48),$J652,('Loading-truck'!$D$31:$D$48))*Impacts!$F$14,IF(('Loading-truck'!$C$21)&lt;&gt;"No control",SUMIF(('Loading-truck'!$B$31:$B$48),$J652,('Loading-truck'!$E$31:$E$48))*Impacts!$F$14,0)),0)</f>
        <v>0</v>
      </c>
      <c r="S652" s="10">
        <f>IFERROR(IF(('Loading-rail'!$C$21)="No control",SUMIF(('Loading-rail'!$B$31:$B$48),$J652,('Loading-rail'!$D$31:$D$48))*Impacts!$F$15,IF(('Loading-rail'!$C$21)&lt;&gt;"No control",SUMIF(('Loading-rail'!$B$31:$B$48),$J652,('Loading-rail'!$E$31:$E$48))*Impacts!$F$15,0)),0)</f>
        <v>0</v>
      </c>
      <c r="T652" s="10">
        <f>IF(Flare!$C$7="",0,(SUMIF(Flare!$B$46:$B$185,$J652,Flare!$E$46:$E$185)*Impacts!$F$16))</f>
        <v>0</v>
      </c>
      <c r="U652" s="10">
        <f>IF(VCU!$C$9="",0,(SUMIF(VCU!$B$51:$B$193,$J652,VCU!$E$51:$E$193)*Impacts!$F$17))</f>
        <v>0</v>
      </c>
      <c r="V652" s="10">
        <f>IF(CAS!$C$7="",0,(SUMIF(CAS!$B$31:$B$167,$J652,CAS!$E$31:$E$167)*Impacts!$F$18))</f>
        <v>0</v>
      </c>
      <c r="W652" s="10">
        <f t="shared" si="52"/>
        <v>0</v>
      </c>
      <c r="AK652" s="10" t="str">
        <f t="array" ref="AK652">IFERROR(INDEX(SelectedSpecies,SMALL(IF(SelectedSpecies=AK$1,ROW(SelectedSpecies)),ROW(653:653)),2),"")</f>
        <v/>
      </c>
      <c r="BE652" s="10"/>
      <c r="BI652" s="10"/>
    </row>
    <row r="653" spans="1:61" ht="21" customHeight="1" x14ac:dyDescent="0.25">
      <c r="A653" s="10"/>
      <c r="B653" s="10"/>
      <c r="E653" s="10"/>
      <c r="G653" s="10"/>
      <c r="I653" s="436" t="s">
        <v>3741</v>
      </c>
      <c r="J653" s="26" t="s">
        <v>3740</v>
      </c>
      <c r="K653" s="10">
        <v>6.1000000000000005</v>
      </c>
      <c r="L653" s="73">
        <f>IF(Tank1!$C$23="No control",(SUMIF(Tank1!$B$32:$B$49,$J653,Tank1!$C$32:$C$49)*Impacts!$F$8),0)</f>
        <v>0</v>
      </c>
      <c r="M653" s="10">
        <f>IF(Tank2!$C$23="No control",(SUMIF(Tank2!$B$32:$B$49,$J653,Tank2!$C$32:$C$49)*Impacts!$F$9),0)</f>
        <v>0</v>
      </c>
      <c r="N653" s="10">
        <f>IF(Tank3!$C$23="No control",(SUMIF(Tank3!$B$32:$B$49,$J653,Tank3!$C$32:$C$49)*Impacts!$F$10),0)</f>
        <v>0</v>
      </c>
      <c r="O653" s="10">
        <f>IF(Tank4!$C$23="No control",(SUMIF(Tank4!$B$32:$B$49,$J653,Tank4!$C$32:$C$49)*Impacts!$F$11),0)</f>
        <v>0</v>
      </c>
      <c r="P653" s="10">
        <f>IF(Tank5!$C$23="No control",(SUMIF(Tank5!$B$32:$B$49,$J653,Tank5!$C$32:$C$49)*Impacts!$F$12),0)</f>
        <v>0</v>
      </c>
      <c r="Q653" s="10">
        <f>IFERROR(IF(('Loading-drum,tote'!$C$21)="No control",SUMIF(('Loading-drum,tote'!$B$31:$B$48),$J653,('Loading-drum,tote'!$D$31:$D$48))*Impacts!$F$13,IF(('Loading-drum,tote'!$C$21)&lt;&gt;"No control",SUMIF(('Loading-drum,tote'!$B$31:$B$48),$J653,('Loading-drum,tote'!$E$31:$E$48))*Impacts!$F$13,0)),0)</f>
        <v>0</v>
      </c>
      <c r="R653" s="10">
        <f>IFERROR(IF(('Loading-truck'!$C$21)="No control",SUMIF(('Loading-truck'!$B$31:$B$48),$J653,('Loading-truck'!$D$31:$D$48))*Impacts!$F$14,IF(('Loading-truck'!$C$21)&lt;&gt;"No control",SUMIF(('Loading-truck'!$B$31:$B$48),$J653,('Loading-truck'!$E$31:$E$48))*Impacts!$F$14,0)),0)</f>
        <v>0</v>
      </c>
      <c r="S653" s="10">
        <f>IFERROR(IF(('Loading-rail'!$C$21)="No control",SUMIF(('Loading-rail'!$B$31:$B$48),$J653,('Loading-rail'!$D$31:$D$48))*Impacts!$F$15,IF(('Loading-rail'!$C$21)&lt;&gt;"No control",SUMIF(('Loading-rail'!$B$31:$B$48),$J653,('Loading-rail'!$E$31:$E$48))*Impacts!$F$15,0)),0)</f>
        <v>0</v>
      </c>
      <c r="T653" s="10">
        <f>IF(Flare!$C$7="",0,(SUMIF(Flare!$B$46:$B$185,$J653,Flare!$E$46:$E$185)*Impacts!$F$16))</f>
        <v>0</v>
      </c>
      <c r="U653" s="10">
        <f>IF(VCU!$C$9="",0,(SUMIF(VCU!$B$51:$B$193,$J653,VCU!$E$51:$E$193)*Impacts!$F$17))</f>
        <v>0</v>
      </c>
      <c r="V653" s="10">
        <f>IF(CAS!$C$7="",0,(SUMIF(CAS!$B$31:$B$167,$J653,CAS!$E$31:$E$167)*Impacts!$F$18))</f>
        <v>0</v>
      </c>
      <c r="W653" s="10">
        <f t="shared" si="52"/>
        <v>0</v>
      </c>
      <c r="AK653" s="10" t="str">
        <f t="array" ref="AK653">IFERROR(INDEX(SelectedSpecies,SMALL(IF(SelectedSpecies=AK$1,ROW(SelectedSpecies)),ROW(654:654)),2),"")</f>
        <v/>
      </c>
      <c r="BE653" s="10"/>
      <c r="BI653" s="10"/>
    </row>
    <row r="654" spans="1:61" ht="21" customHeight="1" x14ac:dyDescent="0.25">
      <c r="A654" s="10"/>
      <c r="B654" s="10"/>
      <c r="E654" s="10"/>
      <c r="G654" s="10"/>
      <c r="I654" s="436" t="s">
        <v>4165</v>
      </c>
      <c r="J654" s="26" t="s">
        <v>4164</v>
      </c>
      <c r="K654" s="10">
        <v>5</v>
      </c>
      <c r="L654" s="73">
        <f>IF(Tank1!$C$23="No control",(SUMIF(Tank1!$B$32:$B$49,$J654,Tank1!$C$32:$C$49)*Impacts!$F$8),0)</f>
        <v>0</v>
      </c>
      <c r="M654" s="10">
        <f>IF(Tank2!$C$23="No control",(SUMIF(Tank2!$B$32:$B$49,$J654,Tank2!$C$32:$C$49)*Impacts!$F$9),0)</f>
        <v>0</v>
      </c>
      <c r="N654" s="10">
        <f>IF(Tank3!$C$23="No control",(SUMIF(Tank3!$B$32:$B$49,$J654,Tank3!$C$32:$C$49)*Impacts!$F$10),0)</f>
        <v>0</v>
      </c>
      <c r="O654" s="10">
        <f>IF(Tank4!$C$23="No control",(SUMIF(Tank4!$B$32:$B$49,$J654,Tank4!$C$32:$C$49)*Impacts!$F$11),0)</f>
        <v>0</v>
      </c>
      <c r="P654" s="10">
        <f>IF(Tank5!$C$23="No control",(SUMIF(Tank5!$B$32:$B$49,$J654,Tank5!$C$32:$C$49)*Impacts!$F$12),0)</f>
        <v>0</v>
      </c>
      <c r="Q654" s="10">
        <f>IFERROR(IF(('Loading-drum,tote'!$C$21)="No control",SUMIF(('Loading-drum,tote'!$B$31:$B$48),$J654,('Loading-drum,tote'!$D$31:$D$48))*Impacts!$F$13,IF(('Loading-drum,tote'!$C$21)&lt;&gt;"No control",SUMIF(('Loading-drum,tote'!$B$31:$B$48),$J654,('Loading-drum,tote'!$E$31:$E$48))*Impacts!$F$13,0)),0)</f>
        <v>0</v>
      </c>
      <c r="R654" s="10">
        <f>IFERROR(IF(('Loading-truck'!$C$21)="No control",SUMIF(('Loading-truck'!$B$31:$B$48),$J654,('Loading-truck'!$D$31:$D$48))*Impacts!$F$14,IF(('Loading-truck'!$C$21)&lt;&gt;"No control",SUMIF(('Loading-truck'!$B$31:$B$48),$J654,('Loading-truck'!$E$31:$E$48))*Impacts!$F$14,0)),0)</f>
        <v>0</v>
      </c>
      <c r="S654" s="10">
        <f>IFERROR(IF(('Loading-rail'!$C$21)="No control",SUMIF(('Loading-rail'!$B$31:$B$48),$J654,('Loading-rail'!$D$31:$D$48))*Impacts!$F$15,IF(('Loading-rail'!$C$21)&lt;&gt;"No control",SUMIF(('Loading-rail'!$B$31:$B$48),$J654,('Loading-rail'!$E$31:$E$48))*Impacts!$F$15,0)),0)</f>
        <v>0</v>
      </c>
      <c r="T654" s="10">
        <f>IF(Flare!$C$7="",0,(SUMIF(Flare!$B$46:$B$185,$J654,Flare!$E$46:$E$185)*Impacts!$F$16))</f>
        <v>0</v>
      </c>
      <c r="U654" s="10">
        <f>IF(VCU!$C$9="",0,(SUMIF(VCU!$B$51:$B$193,$J654,VCU!$E$51:$E$193)*Impacts!$F$17))</f>
        <v>0</v>
      </c>
      <c r="V654" s="10">
        <f>IF(CAS!$C$7="",0,(SUMIF(CAS!$B$31:$B$167,$J654,CAS!$E$31:$E$167)*Impacts!$F$18))</f>
        <v>0</v>
      </c>
      <c r="W654" s="10">
        <f t="shared" si="52"/>
        <v>0</v>
      </c>
      <c r="AK654" s="10" t="str">
        <f t="array" ref="AK654">IFERROR(INDEX(SelectedSpecies,SMALL(IF(SelectedSpecies=AK$1,ROW(SelectedSpecies)),ROW(655:655)),2),"")</f>
        <v/>
      </c>
      <c r="BE654" s="10"/>
      <c r="BI654" s="10"/>
    </row>
    <row r="655" spans="1:61" ht="21" customHeight="1" x14ac:dyDescent="0.25">
      <c r="A655" s="10"/>
      <c r="B655" s="10"/>
      <c r="E655" s="10"/>
      <c r="G655" s="10"/>
      <c r="I655" s="436" t="s">
        <v>6986</v>
      </c>
      <c r="J655" s="26" t="s">
        <v>6985</v>
      </c>
      <c r="K655" s="10">
        <v>0.5</v>
      </c>
      <c r="L655" s="73">
        <f>IF(Tank1!$C$23="No control",(SUMIF(Tank1!$B$32:$B$49,$J655,Tank1!$C$32:$C$49)*Impacts!$F$8),0)</f>
        <v>0</v>
      </c>
      <c r="M655" s="10">
        <f>IF(Tank2!$C$23="No control",(SUMIF(Tank2!$B$32:$B$49,$J655,Tank2!$C$32:$C$49)*Impacts!$F$9),0)</f>
        <v>0</v>
      </c>
      <c r="N655" s="10">
        <f>IF(Tank3!$C$23="No control",(SUMIF(Tank3!$B$32:$B$49,$J655,Tank3!$C$32:$C$49)*Impacts!$F$10),0)</f>
        <v>0</v>
      </c>
      <c r="O655" s="10">
        <f>IF(Tank4!$C$23="No control",(SUMIF(Tank4!$B$32:$B$49,$J655,Tank4!$C$32:$C$49)*Impacts!$F$11),0)</f>
        <v>0</v>
      </c>
      <c r="P655" s="10">
        <f>IF(Tank5!$C$23="No control",(SUMIF(Tank5!$B$32:$B$49,$J655,Tank5!$C$32:$C$49)*Impacts!$F$12),0)</f>
        <v>0</v>
      </c>
      <c r="Q655" s="10">
        <f>IFERROR(IF(('Loading-drum,tote'!$C$21)="No control",SUMIF(('Loading-drum,tote'!$B$31:$B$48),$J655,('Loading-drum,tote'!$D$31:$D$48))*Impacts!$F$13,IF(('Loading-drum,tote'!$C$21)&lt;&gt;"No control",SUMIF(('Loading-drum,tote'!$B$31:$B$48),$J655,('Loading-drum,tote'!$E$31:$E$48))*Impacts!$F$13,0)),0)</f>
        <v>0</v>
      </c>
      <c r="R655" s="10">
        <f>IFERROR(IF(('Loading-truck'!$C$21)="No control",SUMIF(('Loading-truck'!$B$31:$B$48),$J655,('Loading-truck'!$D$31:$D$48))*Impacts!$F$14,IF(('Loading-truck'!$C$21)&lt;&gt;"No control",SUMIF(('Loading-truck'!$B$31:$B$48),$J655,('Loading-truck'!$E$31:$E$48))*Impacts!$F$14,0)),0)</f>
        <v>0</v>
      </c>
      <c r="S655" s="10">
        <f>IFERROR(IF(('Loading-rail'!$C$21)="No control",SUMIF(('Loading-rail'!$B$31:$B$48),$J655,('Loading-rail'!$D$31:$D$48))*Impacts!$F$15,IF(('Loading-rail'!$C$21)&lt;&gt;"No control",SUMIF(('Loading-rail'!$B$31:$B$48),$J655,('Loading-rail'!$E$31:$E$48))*Impacts!$F$15,0)),0)</f>
        <v>0</v>
      </c>
      <c r="T655" s="10">
        <f>IF(Flare!$C$7="",0,(SUMIF(Flare!$B$46:$B$185,$J655,Flare!$E$46:$E$185)*Impacts!$F$16))</f>
        <v>0</v>
      </c>
      <c r="U655" s="10">
        <f>IF(VCU!$C$9="",0,(SUMIF(VCU!$B$51:$B$193,$J655,VCU!$E$51:$E$193)*Impacts!$F$17))</f>
        <v>0</v>
      </c>
      <c r="V655" s="10">
        <f>IF(CAS!$C$7="",0,(SUMIF(CAS!$B$31:$B$167,$J655,CAS!$E$31:$E$167)*Impacts!$F$18))</f>
        <v>0</v>
      </c>
      <c r="W655" s="10">
        <f t="shared" si="52"/>
        <v>0</v>
      </c>
      <c r="AK655" s="10" t="str">
        <f t="array" ref="AK655">IFERROR(INDEX(SelectedSpecies,SMALL(IF(SelectedSpecies=AK$1,ROW(SelectedSpecies)),ROW(656:656)),2),"")</f>
        <v/>
      </c>
      <c r="BE655" s="10"/>
      <c r="BI655" s="10"/>
    </row>
    <row r="656" spans="1:61" ht="21" customHeight="1" x14ac:dyDescent="0.25">
      <c r="A656" s="10"/>
      <c r="B656" s="10"/>
      <c r="E656" s="10"/>
      <c r="G656" s="10"/>
      <c r="I656" s="436" t="s">
        <v>3457</v>
      </c>
      <c r="J656" s="26" t="s">
        <v>3456</v>
      </c>
      <c r="K656" s="10">
        <v>9.9</v>
      </c>
      <c r="L656" s="73">
        <f>IF(Tank1!$C$23="No control",(SUMIF(Tank1!$B$32:$B$49,$J656,Tank1!$C$32:$C$49)*Impacts!$F$8),0)</f>
        <v>0</v>
      </c>
      <c r="M656" s="10">
        <f>IF(Tank2!$C$23="No control",(SUMIF(Tank2!$B$32:$B$49,$J656,Tank2!$C$32:$C$49)*Impacts!$F$9),0)</f>
        <v>0</v>
      </c>
      <c r="N656" s="10">
        <f>IF(Tank3!$C$23="No control",(SUMIF(Tank3!$B$32:$B$49,$J656,Tank3!$C$32:$C$49)*Impacts!$F$10),0)</f>
        <v>0</v>
      </c>
      <c r="O656" s="10">
        <f>IF(Tank4!$C$23="No control",(SUMIF(Tank4!$B$32:$B$49,$J656,Tank4!$C$32:$C$49)*Impacts!$F$11),0)</f>
        <v>0</v>
      </c>
      <c r="P656" s="10">
        <f>IF(Tank5!$C$23="No control",(SUMIF(Tank5!$B$32:$B$49,$J656,Tank5!$C$32:$C$49)*Impacts!$F$12),0)</f>
        <v>0</v>
      </c>
      <c r="Q656" s="10">
        <f>IFERROR(IF(('Loading-drum,tote'!$C$21)="No control",SUMIF(('Loading-drum,tote'!$B$31:$B$48),$J656,('Loading-drum,tote'!$D$31:$D$48))*Impacts!$F$13,IF(('Loading-drum,tote'!$C$21)&lt;&gt;"No control",SUMIF(('Loading-drum,tote'!$B$31:$B$48),$J656,('Loading-drum,tote'!$E$31:$E$48))*Impacts!$F$13,0)),0)</f>
        <v>0</v>
      </c>
      <c r="R656" s="10">
        <f>IFERROR(IF(('Loading-truck'!$C$21)="No control",SUMIF(('Loading-truck'!$B$31:$B$48),$J656,('Loading-truck'!$D$31:$D$48))*Impacts!$F$14,IF(('Loading-truck'!$C$21)&lt;&gt;"No control",SUMIF(('Loading-truck'!$B$31:$B$48),$J656,('Loading-truck'!$E$31:$E$48))*Impacts!$F$14,0)),0)</f>
        <v>0</v>
      </c>
      <c r="S656" s="10">
        <f>IFERROR(IF(('Loading-rail'!$C$21)="No control",SUMIF(('Loading-rail'!$B$31:$B$48),$J656,('Loading-rail'!$D$31:$D$48))*Impacts!$F$15,IF(('Loading-rail'!$C$21)&lt;&gt;"No control",SUMIF(('Loading-rail'!$B$31:$B$48),$J656,('Loading-rail'!$E$31:$E$48))*Impacts!$F$15,0)),0)</f>
        <v>0</v>
      </c>
      <c r="T656" s="10">
        <f>IF(Flare!$C$7="",0,(SUMIF(Flare!$B$46:$B$185,$J656,Flare!$E$46:$E$185)*Impacts!$F$16))</f>
        <v>0</v>
      </c>
      <c r="U656" s="10">
        <f>IF(VCU!$C$9="",0,(SUMIF(VCU!$B$51:$B$193,$J656,VCU!$E$51:$E$193)*Impacts!$F$17))</f>
        <v>0</v>
      </c>
      <c r="V656" s="10">
        <f>IF(CAS!$C$7="",0,(SUMIF(CAS!$B$31:$B$167,$J656,CAS!$E$31:$E$167)*Impacts!$F$18))</f>
        <v>0</v>
      </c>
      <c r="W656" s="10">
        <f t="shared" si="52"/>
        <v>0</v>
      </c>
      <c r="AK656" s="10" t="str">
        <f t="array" ref="AK656">IFERROR(INDEX(SelectedSpecies,SMALL(IF(SelectedSpecies=AK$1,ROW(SelectedSpecies)),ROW(657:657)),2),"")</f>
        <v/>
      </c>
      <c r="BE656" s="10"/>
      <c r="BI656" s="10"/>
    </row>
    <row r="657" spans="1:61" ht="21" customHeight="1" x14ac:dyDescent="0.25">
      <c r="A657" s="10"/>
      <c r="B657" s="10"/>
      <c r="E657" s="10"/>
      <c r="G657" s="10"/>
      <c r="I657" s="436" t="s">
        <v>2423</v>
      </c>
      <c r="J657" s="26" t="s">
        <v>2422</v>
      </c>
      <c r="K657" s="10">
        <v>10</v>
      </c>
      <c r="L657" s="73">
        <f>IF(Tank1!$C$23="No control",(SUMIF(Tank1!$B$32:$B$49,$J657,Tank1!$C$32:$C$49)*Impacts!$F$8),0)</f>
        <v>0</v>
      </c>
      <c r="M657" s="10">
        <f>IF(Tank2!$C$23="No control",(SUMIF(Tank2!$B$32:$B$49,$J657,Tank2!$C$32:$C$49)*Impacts!$F$9),0)</f>
        <v>0</v>
      </c>
      <c r="N657" s="10">
        <f>IF(Tank3!$C$23="No control",(SUMIF(Tank3!$B$32:$B$49,$J657,Tank3!$C$32:$C$49)*Impacts!$F$10),0)</f>
        <v>0</v>
      </c>
      <c r="O657" s="10">
        <f>IF(Tank4!$C$23="No control",(SUMIF(Tank4!$B$32:$B$49,$J657,Tank4!$C$32:$C$49)*Impacts!$F$11),0)</f>
        <v>0</v>
      </c>
      <c r="P657" s="10">
        <f>IF(Tank5!$C$23="No control",(SUMIF(Tank5!$B$32:$B$49,$J657,Tank5!$C$32:$C$49)*Impacts!$F$12),0)</f>
        <v>0</v>
      </c>
      <c r="Q657" s="10">
        <f>IFERROR(IF(('Loading-drum,tote'!$C$21)="No control",SUMIF(('Loading-drum,tote'!$B$31:$B$48),$J657,('Loading-drum,tote'!$D$31:$D$48))*Impacts!$F$13,IF(('Loading-drum,tote'!$C$21)&lt;&gt;"No control",SUMIF(('Loading-drum,tote'!$B$31:$B$48),$J657,('Loading-drum,tote'!$E$31:$E$48))*Impacts!$F$13,0)),0)</f>
        <v>0</v>
      </c>
      <c r="R657" s="10">
        <f>IFERROR(IF(('Loading-truck'!$C$21)="No control",SUMIF(('Loading-truck'!$B$31:$B$48),$J657,('Loading-truck'!$D$31:$D$48))*Impacts!$F$14,IF(('Loading-truck'!$C$21)&lt;&gt;"No control",SUMIF(('Loading-truck'!$B$31:$B$48),$J657,('Loading-truck'!$E$31:$E$48))*Impacts!$F$14,0)),0)</f>
        <v>0</v>
      </c>
      <c r="S657" s="10">
        <f>IFERROR(IF(('Loading-rail'!$C$21)="No control",SUMIF(('Loading-rail'!$B$31:$B$48),$J657,('Loading-rail'!$D$31:$D$48))*Impacts!$F$15,IF(('Loading-rail'!$C$21)&lt;&gt;"No control",SUMIF(('Loading-rail'!$B$31:$B$48),$J657,('Loading-rail'!$E$31:$E$48))*Impacts!$F$15,0)),0)</f>
        <v>0</v>
      </c>
      <c r="T657" s="10">
        <f>IF(Flare!$C$7="",0,(SUMIF(Flare!$B$46:$B$185,$J657,Flare!$E$46:$E$185)*Impacts!$F$16))</f>
        <v>0</v>
      </c>
      <c r="U657" s="10">
        <f>IF(VCU!$C$9="",0,(SUMIF(VCU!$B$51:$B$193,$J657,VCU!$E$51:$E$193)*Impacts!$F$17))</f>
        <v>0</v>
      </c>
      <c r="V657" s="10">
        <f>IF(CAS!$C$7="",0,(SUMIF(CAS!$B$31:$B$167,$J657,CAS!$E$31:$E$167)*Impacts!$F$18))</f>
        <v>0</v>
      </c>
      <c r="W657" s="10">
        <f t="shared" si="52"/>
        <v>0</v>
      </c>
      <c r="AK657" s="10" t="str">
        <f t="array" ref="AK657">IFERROR(INDEX(SelectedSpecies,SMALL(IF(SelectedSpecies=AK$1,ROW(SelectedSpecies)),ROW(658:658)),2),"")</f>
        <v/>
      </c>
      <c r="BE657" s="10"/>
      <c r="BI657" s="10"/>
    </row>
    <row r="658" spans="1:61" ht="21" customHeight="1" x14ac:dyDescent="0.25">
      <c r="A658" s="10"/>
      <c r="B658" s="10"/>
      <c r="E658" s="10"/>
      <c r="G658" s="10"/>
      <c r="I658" s="436" t="s">
        <v>4167</v>
      </c>
      <c r="J658" s="26" t="s">
        <v>4166</v>
      </c>
      <c r="K658" s="10">
        <v>5</v>
      </c>
      <c r="L658" s="73">
        <f>IF(Tank1!$C$23="No control",(SUMIF(Tank1!$B$32:$B$49,$J658,Tank1!$C$32:$C$49)*Impacts!$F$8),0)</f>
        <v>0</v>
      </c>
      <c r="M658" s="10">
        <f>IF(Tank2!$C$23="No control",(SUMIF(Tank2!$B$32:$B$49,$J658,Tank2!$C$32:$C$49)*Impacts!$F$9),0)</f>
        <v>0</v>
      </c>
      <c r="N658" s="10">
        <f>IF(Tank3!$C$23="No control",(SUMIF(Tank3!$B$32:$B$49,$J658,Tank3!$C$32:$C$49)*Impacts!$F$10),0)</f>
        <v>0</v>
      </c>
      <c r="O658" s="10">
        <f>IF(Tank4!$C$23="No control",(SUMIF(Tank4!$B$32:$B$49,$J658,Tank4!$C$32:$C$49)*Impacts!$F$11),0)</f>
        <v>0</v>
      </c>
      <c r="P658" s="10">
        <f>IF(Tank5!$C$23="No control",(SUMIF(Tank5!$B$32:$B$49,$J658,Tank5!$C$32:$C$49)*Impacts!$F$12),0)</f>
        <v>0</v>
      </c>
      <c r="Q658" s="10">
        <f>IFERROR(IF(('Loading-drum,tote'!$C$21)="No control",SUMIF(('Loading-drum,tote'!$B$31:$B$48),$J658,('Loading-drum,tote'!$D$31:$D$48))*Impacts!$F$13,IF(('Loading-drum,tote'!$C$21)&lt;&gt;"No control",SUMIF(('Loading-drum,tote'!$B$31:$B$48),$J658,('Loading-drum,tote'!$E$31:$E$48))*Impacts!$F$13,0)),0)</f>
        <v>0</v>
      </c>
      <c r="R658" s="10">
        <f>IFERROR(IF(('Loading-truck'!$C$21)="No control",SUMIF(('Loading-truck'!$B$31:$B$48),$J658,('Loading-truck'!$D$31:$D$48))*Impacts!$F$14,IF(('Loading-truck'!$C$21)&lt;&gt;"No control",SUMIF(('Loading-truck'!$B$31:$B$48),$J658,('Loading-truck'!$E$31:$E$48))*Impacts!$F$14,0)),0)</f>
        <v>0</v>
      </c>
      <c r="S658" s="10">
        <f>IFERROR(IF(('Loading-rail'!$C$21)="No control",SUMIF(('Loading-rail'!$B$31:$B$48),$J658,('Loading-rail'!$D$31:$D$48))*Impacts!$F$15,IF(('Loading-rail'!$C$21)&lt;&gt;"No control",SUMIF(('Loading-rail'!$B$31:$B$48),$J658,('Loading-rail'!$E$31:$E$48))*Impacts!$F$15,0)),0)</f>
        <v>0</v>
      </c>
      <c r="T658" s="10">
        <f>IF(Flare!$C$7="",0,(SUMIF(Flare!$B$46:$B$185,$J658,Flare!$E$46:$E$185)*Impacts!$F$16))</f>
        <v>0</v>
      </c>
      <c r="U658" s="10">
        <f>IF(VCU!$C$9="",0,(SUMIF(VCU!$B$51:$B$193,$J658,VCU!$E$51:$E$193)*Impacts!$F$17))</f>
        <v>0</v>
      </c>
      <c r="V658" s="10">
        <f>IF(CAS!$C$7="",0,(SUMIF(CAS!$B$31:$B$167,$J658,CAS!$E$31:$E$167)*Impacts!$F$18))</f>
        <v>0</v>
      </c>
      <c r="W658" s="10">
        <f t="shared" si="52"/>
        <v>0</v>
      </c>
      <c r="AK658" s="10" t="str">
        <f t="array" ref="AK658">IFERROR(INDEX(SelectedSpecies,SMALL(IF(SelectedSpecies=AK$1,ROW(SelectedSpecies)),ROW(659:659)),2),"")</f>
        <v/>
      </c>
      <c r="BE658" s="10"/>
      <c r="BI658" s="10"/>
    </row>
    <row r="659" spans="1:61" ht="21" customHeight="1" x14ac:dyDescent="0.25">
      <c r="A659" s="10"/>
      <c r="B659" s="10"/>
      <c r="E659" s="10"/>
      <c r="G659" s="10"/>
      <c r="I659" s="436" t="s">
        <v>4711</v>
      </c>
      <c r="J659" s="26" t="s">
        <v>4710</v>
      </c>
      <c r="K659" s="10">
        <v>3.5</v>
      </c>
      <c r="L659" s="73">
        <f>IF(Tank1!$C$23="No control",(SUMIF(Tank1!$B$32:$B$49,$J659,Tank1!$C$32:$C$49)*Impacts!$F$8),0)</f>
        <v>0</v>
      </c>
      <c r="M659" s="10">
        <f>IF(Tank2!$C$23="No control",(SUMIF(Tank2!$B$32:$B$49,$J659,Tank2!$C$32:$C$49)*Impacts!$F$9),0)</f>
        <v>0</v>
      </c>
      <c r="N659" s="10">
        <f>IF(Tank3!$C$23="No control",(SUMIF(Tank3!$B$32:$B$49,$J659,Tank3!$C$32:$C$49)*Impacts!$F$10),0)</f>
        <v>0</v>
      </c>
      <c r="O659" s="10">
        <f>IF(Tank4!$C$23="No control",(SUMIF(Tank4!$B$32:$B$49,$J659,Tank4!$C$32:$C$49)*Impacts!$F$11),0)</f>
        <v>0</v>
      </c>
      <c r="P659" s="10">
        <f>IF(Tank5!$C$23="No control",(SUMIF(Tank5!$B$32:$B$49,$J659,Tank5!$C$32:$C$49)*Impacts!$F$12),0)</f>
        <v>0</v>
      </c>
      <c r="Q659" s="10">
        <f>IFERROR(IF(('Loading-drum,tote'!$C$21)="No control",SUMIF(('Loading-drum,tote'!$B$31:$B$48),$J659,('Loading-drum,tote'!$D$31:$D$48))*Impacts!$F$13,IF(('Loading-drum,tote'!$C$21)&lt;&gt;"No control",SUMIF(('Loading-drum,tote'!$B$31:$B$48),$J659,('Loading-drum,tote'!$E$31:$E$48))*Impacts!$F$13,0)),0)</f>
        <v>0</v>
      </c>
      <c r="R659" s="10">
        <f>IFERROR(IF(('Loading-truck'!$C$21)="No control",SUMIF(('Loading-truck'!$B$31:$B$48),$J659,('Loading-truck'!$D$31:$D$48))*Impacts!$F$14,IF(('Loading-truck'!$C$21)&lt;&gt;"No control",SUMIF(('Loading-truck'!$B$31:$B$48),$J659,('Loading-truck'!$E$31:$E$48))*Impacts!$F$14,0)),0)</f>
        <v>0</v>
      </c>
      <c r="S659" s="10">
        <f>IFERROR(IF(('Loading-rail'!$C$21)="No control",SUMIF(('Loading-rail'!$B$31:$B$48),$J659,('Loading-rail'!$D$31:$D$48))*Impacts!$F$15,IF(('Loading-rail'!$C$21)&lt;&gt;"No control",SUMIF(('Loading-rail'!$B$31:$B$48),$J659,('Loading-rail'!$E$31:$E$48))*Impacts!$F$15,0)),0)</f>
        <v>0</v>
      </c>
      <c r="T659" s="10">
        <f>IF(Flare!$C$7="",0,(SUMIF(Flare!$B$46:$B$185,$J659,Flare!$E$46:$E$185)*Impacts!$F$16))</f>
        <v>0</v>
      </c>
      <c r="U659" s="10">
        <f>IF(VCU!$C$9="",0,(SUMIF(VCU!$B$51:$B$193,$J659,VCU!$E$51:$E$193)*Impacts!$F$17))</f>
        <v>0</v>
      </c>
      <c r="V659" s="10">
        <f>IF(CAS!$C$7="",0,(SUMIF(CAS!$B$31:$B$167,$J659,CAS!$E$31:$E$167)*Impacts!$F$18))</f>
        <v>0</v>
      </c>
      <c r="W659" s="10">
        <f t="shared" si="52"/>
        <v>0</v>
      </c>
      <c r="AK659" s="10" t="str">
        <f t="array" ref="AK659">IFERROR(INDEX(SelectedSpecies,SMALL(IF(SelectedSpecies=AK$1,ROW(SelectedSpecies)),ROW(660:660)),2),"")</f>
        <v/>
      </c>
      <c r="BE659" s="10"/>
      <c r="BI659" s="10"/>
    </row>
    <row r="660" spans="1:61" ht="21" customHeight="1" x14ac:dyDescent="0.25">
      <c r="A660" s="10"/>
      <c r="B660" s="10"/>
      <c r="E660" s="10"/>
      <c r="G660" s="10"/>
      <c r="I660" s="436" t="s">
        <v>6750</v>
      </c>
      <c r="J660" s="26" t="s">
        <v>6749</v>
      </c>
      <c r="K660" s="10">
        <v>0.5</v>
      </c>
      <c r="L660" s="73">
        <f>IF(Tank1!$C$23="No control",(SUMIF(Tank1!$B$32:$B$49,$J660,Tank1!$C$32:$C$49)*Impacts!$F$8),0)</f>
        <v>0</v>
      </c>
      <c r="M660" s="10">
        <f>IF(Tank2!$C$23="No control",(SUMIF(Tank2!$B$32:$B$49,$J660,Tank2!$C$32:$C$49)*Impacts!$F$9),0)</f>
        <v>0</v>
      </c>
      <c r="N660" s="10">
        <f>IF(Tank3!$C$23="No control",(SUMIF(Tank3!$B$32:$B$49,$J660,Tank3!$C$32:$C$49)*Impacts!$F$10),0)</f>
        <v>0</v>
      </c>
      <c r="O660" s="10">
        <f>IF(Tank4!$C$23="No control",(SUMIF(Tank4!$B$32:$B$49,$J660,Tank4!$C$32:$C$49)*Impacts!$F$11),0)</f>
        <v>0</v>
      </c>
      <c r="P660" s="10">
        <f>IF(Tank5!$C$23="No control",(SUMIF(Tank5!$B$32:$B$49,$J660,Tank5!$C$32:$C$49)*Impacts!$F$12),0)</f>
        <v>0</v>
      </c>
      <c r="Q660" s="10">
        <f>IFERROR(IF(('Loading-drum,tote'!$C$21)="No control",SUMIF(('Loading-drum,tote'!$B$31:$B$48),$J660,('Loading-drum,tote'!$D$31:$D$48))*Impacts!$F$13,IF(('Loading-drum,tote'!$C$21)&lt;&gt;"No control",SUMIF(('Loading-drum,tote'!$B$31:$B$48),$J660,('Loading-drum,tote'!$E$31:$E$48))*Impacts!$F$13,0)),0)</f>
        <v>0</v>
      </c>
      <c r="R660" s="10">
        <f>IFERROR(IF(('Loading-truck'!$C$21)="No control",SUMIF(('Loading-truck'!$B$31:$B$48),$J660,('Loading-truck'!$D$31:$D$48))*Impacts!$F$14,IF(('Loading-truck'!$C$21)&lt;&gt;"No control",SUMIF(('Loading-truck'!$B$31:$B$48),$J660,('Loading-truck'!$E$31:$E$48))*Impacts!$F$14,0)),0)</f>
        <v>0</v>
      </c>
      <c r="S660" s="10">
        <f>IFERROR(IF(('Loading-rail'!$C$21)="No control",SUMIF(('Loading-rail'!$B$31:$B$48),$J660,('Loading-rail'!$D$31:$D$48))*Impacts!$F$15,IF(('Loading-rail'!$C$21)&lt;&gt;"No control",SUMIF(('Loading-rail'!$B$31:$B$48),$J660,('Loading-rail'!$E$31:$E$48))*Impacts!$F$15,0)),0)</f>
        <v>0</v>
      </c>
      <c r="T660" s="10">
        <f>IF(Flare!$C$7="",0,(SUMIF(Flare!$B$46:$B$185,$J660,Flare!$E$46:$E$185)*Impacts!$F$16))</f>
        <v>0</v>
      </c>
      <c r="U660" s="10">
        <f>IF(VCU!$C$9="",0,(SUMIF(VCU!$B$51:$B$193,$J660,VCU!$E$51:$E$193)*Impacts!$F$17))</f>
        <v>0</v>
      </c>
      <c r="V660" s="10">
        <f>IF(CAS!$C$7="",0,(SUMIF(CAS!$B$31:$B$167,$J660,CAS!$E$31:$E$167)*Impacts!$F$18))</f>
        <v>0</v>
      </c>
      <c r="W660" s="10">
        <f t="shared" si="52"/>
        <v>0</v>
      </c>
      <c r="AK660" s="10" t="str">
        <f t="array" ref="AK660">IFERROR(INDEX(SelectedSpecies,SMALL(IF(SelectedSpecies=AK$1,ROW(SelectedSpecies)),ROW(661:661)),2),"")</f>
        <v/>
      </c>
      <c r="BE660" s="10"/>
      <c r="BI660" s="10"/>
    </row>
    <row r="661" spans="1:61" ht="21" customHeight="1" x14ac:dyDescent="0.25">
      <c r="A661" s="10"/>
      <c r="B661" s="10"/>
      <c r="E661" s="10"/>
      <c r="G661" s="10"/>
      <c r="I661" s="436" t="s">
        <v>4169</v>
      </c>
      <c r="J661" s="26" t="s">
        <v>4168</v>
      </c>
      <c r="K661" s="10">
        <v>5</v>
      </c>
      <c r="L661" s="73">
        <f>IF(Tank1!$C$23="No control",(SUMIF(Tank1!$B$32:$B$49,$J661,Tank1!$C$32:$C$49)*Impacts!$F$8),0)</f>
        <v>0</v>
      </c>
      <c r="M661" s="10">
        <f>IF(Tank2!$C$23="No control",(SUMIF(Tank2!$B$32:$B$49,$J661,Tank2!$C$32:$C$49)*Impacts!$F$9),0)</f>
        <v>0</v>
      </c>
      <c r="N661" s="10">
        <f>IF(Tank3!$C$23="No control",(SUMIF(Tank3!$B$32:$B$49,$J661,Tank3!$C$32:$C$49)*Impacts!$F$10),0)</f>
        <v>0</v>
      </c>
      <c r="O661" s="10">
        <f>IF(Tank4!$C$23="No control",(SUMIF(Tank4!$B$32:$B$49,$J661,Tank4!$C$32:$C$49)*Impacts!$F$11),0)</f>
        <v>0</v>
      </c>
      <c r="P661" s="10">
        <f>IF(Tank5!$C$23="No control",(SUMIF(Tank5!$B$32:$B$49,$J661,Tank5!$C$32:$C$49)*Impacts!$F$12),0)</f>
        <v>0</v>
      </c>
      <c r="Q661" s="10">
        <f>IFERROR(IF(('Loading-drum,tote'!$C$21)="No control",SUMIF(('Loading-drum,tote'!$B$31:$B$48),$J661,('Loading-drum,tote'!$D$31:$D$48))*Impacts!$F$13,IF(('Loading-drum,tote'!$C$21)&lt;&gt;"No control",SUMIF(('Loading-drum,tote'!$B$31:$B$48),$J661,('Loading-drum,tote'!$E$31:$E$48))*Impacts!$F$13,0)),0)</f>
        <v>0</v>
      </c>
      <c r="R661" s="10">
        <f>IFERROR(IF(('Loading-truck'!$C$21)="No control",SUMIF(('Loading-truck'!$B$31:$B$48),$J661,('Loading-truck'!$D$31:$D$48))*Impacts!$F$14,IF(('Loading-truck'!$C$21)&lt;&gt;"No control",SUMIF(('Loading-truck'!$B$31:$B$48),$J661,('Loading-truck'!$E$31:$E$48))*Impacts!$F$14,0)),0)</f>
        <v>0</v>
      </c>
      <c r="S661" s="10">
        <f>IFERROR(IF(('Loading-rail'!$C$21)="No control",SUMIF(('Loading-rail'!$B$31:$B$48),$J661,('Loading-rail'!$D$31:$D$48))*Impacts!$F$15,IF(('Loading-rail'!$C$21)&lt;&gt;"No control",SUMIF(('Loading-rail'!$B$31:$B$48),$J661,('Loading-rail'!$E$31:$E$48))*Impacts!$F$15,0)),0)</f>
        <v>0</v>
      </c>
      <c r="T661" s="10">
        <f>IF(Flare!$C$7="",0,(SUMIF(Flare!$B$46:$B$185,$J661,Flare!$E$46:$E$185)*Impacts!$F$16))</f>
        <v>0</v>
      </c>
      <c r="U661" s="10">
        <f>IF(VCU!$C$9="",0,(SUMIF(VCU!$B$51:$B$193,$J661,VCU!$E$51:$E$193)*Impacts!$F$17))</f>
        <v>0</v>
      </c>
      <c r="V661" s="10">
        <f>IF(CAS!$C$7="",0,(SUMIF(CAS!$B$31:$B$167,$J661,CAS!$E$31:$E$167)*Impacts!$F$18))</f>
        <v>0</v>
      </c>
      <c r="W661" s="10">
        <f t="shared" si="52"/>
        <v>0</v>
      </c>
      <c r="AK661" s="10" t="str">
        <f t="array" ref="AK661">IFERROR(INDEX(SelectedSpecies,SMALL(IF(SelectedSpecies=AK$1,ROW(SelectedSpecies)),ROW(662:662)),2),"")</f>
        <v/>
      </c>
      <c r="BE661" s="10"/>
      <c r="BI661" s="10"/>
    </row>
    <row r="662" spans="1:61" ht="21" customHeight="1" x14ac:dyDescent="0.25">
      <c r="A662" s="10"/>
      <c r="B662" s="10"/>
      <c r="E662" s="10"/>
      <c r="G662" s="10"/>
      <c r="I662" s="436" t="s">
        <v>4485</v>
      </c>
      <c r="J662" s="26" t="s">
        <v>4484</v>
      </c>
      <c r="K662" s="10">
        <v>4.2</v>
      </c>
      <c r="L662" s="73">
        <f>IF(Tank1!$C$23="No control",(SUMIF(Tank1!$B$32:$B$49,$J662,Tank1!$C$32:$C$49)*Impacts!$F$8),0)</f>
        <v>0</v>
      </c>
      <c r="M662" s="10">
        <f>IF(Tank2!$C$23="No control",(SUMIF(Tank2!$B$32:$B$49,$J662,Tank2!$C$32:$C$49)*Impacts!$F$9),0)</f>
        <v>0</v>
      </c>
      <c r="N662" s="10">
        <f>IF(Tank3!$C$23="No control",(SUMIF(Tank3!$B$32:$B$49,$J662,Tank3!$C$32:$C$49)*Impacts!$F$10),0)</f>
        <v>0</v>
      </c>
      <c r="O662" s="10">
        <f>IF(Tank4!$C$23="No control",(SUMIF(Tank4!$B$32:$B$49,$J662,Tank4!$C$32:$C$49)*Impacts!$F$11),0)</f>
        <v>0</v>
      </c>
      <c r="P662" s="10">
        <f>IF(Tank5!$C$23="No control",(SUMIF(Tank5!$B$32:$B$49,$J662,Tank5!$C$32:$C$49)*Impacts!$F$12),0)</f>
        <v>0</v>
      </c>
      <c r="Q662" s="10">
        <f>IFERROR(IF(('Loading-drum,tote'!$C$21)="No control",SUMIF(('Loading-drum,tote'!$B$31:$B$48),$J662,('Loading-drum,tote'!$D$31:$D$48))*Impacts!$F$13,IF(('Loading-drum,tote'!$C$21)&lt;&gt;"No control",SUMIF(('Loading-drum,tote'!$B$31:$B$48),$J662,('Loading-drum,tote'!$E$31:$E$48))*Impacts!$F$13,0)),0)</f>
        <v>0</v>
      </c>
      <c r="R662" s="10">
        <f>IFERROR(IF(('Loading-truck'!$C$21)="No control",SUMIF(('Loading-truck'!$B$31:$B$48),$J662,('Loading-truck'!$D$31:$D$48))*Impacts!$F$14,IF(('Loading-truck'!$C$21)&lt;&gt;"No control",SUMIF(('Loading-truck'!$B$31:$B$48),$J662,('Loading-truck'!$E$31:$E$48))*Impacts!$F$14,0)),0)</f>
        <v>0</v>
      </c>
      <c r="S662" s="10">
        <f>IFERROR(IF(('Loading-rail'!$C$21)="No control",SUMIF(('Loading-rail'!$B$31:$B$48),$J662,('Loading-rail'!$D$31:$D$48))*Impacts!$F$15,IF(('Loading-rail'!$C$21)&lt;&gt;"No control",SUMIF(('Loading-rail'!$B$31:$B$48),$J662,('Loading-rail'!$E$31:$E$48))*Impacts!$F$15,0)),0)</f>
        <v>0</v>
      </c>
      <c r="T662" s="10">
        <f>IF(Flare!$C$7="",0,(SUMIF(Flare!$B$46:$B$185,$J662,Flare!$E$46:$E$185)*Impacts!$F$16))</f>
        <v>0</v>
      </c>
      <c r="U662" s="10">
        <f>IF(VCU!$C$9="",0,(SUMIF(VCU!$B$51:$B$193,$J662,VCU!$E$51:$E$193)*Impacts!$F$17))</f>
        <v>0</v>
      </c>
      <c r="V662" s="10">
        <f>IF(CAS!$C$7="",0,(SUMIF(CAS!$B$31:$B$167,$J662,CAS!$E$31:$E$167)*Impacts!$F$18))</f>
        <v>0</v>
      </c>
      <c r="W662" s="10">
        <f t="shared" si="52"/>
        <v>0</v>
      </c>
      <c r="AK662" s="10" t="str">
        <f t="array" ref="AK662">IFERROR(INDEX(SelectedSpecies,SMALL(IF(SelectedSpecies=AK$1,ROW(SelectedSpecies)),ROW(663:663)),2),"")</f>
        <v/>
      </c>
      <c r="BE662" s="10"/>
      <c r="BI662" s="10"/>
    </row>
    <row r="663" spans="1:61" ht="21" customHeight="1" x14ac:dyDescent="0.25">
      <c r="A663" s="10"/>
      <c r="B663" s="10"/>
      <c r="E663" s="10"/>
      <c r="G663" s="10"/>
      <c r="I663" s="436" t="s">
        <v>4253</v>
      </c>
      <c r="J663" s="26" t="s">
        <v>4252</v>
      </c>
      <c r="K663" s="10">
        <v>5</v>
      </c>
      <c r="L663" s="73">
        <f>IF(Tank1!$C$23="No control",(SUMIF(Tank1!$B$32:$B$49,$J663,Tank1!$C$32:$C$49)*Impacts!$F$8),0)</f>
        <v>0</v>
      </c>
      <c r="M663" s="10">
        <f>IF(Tank2!$C$23="No control",(SUMIF(Tank2!$B$32:$B$49,$J663,Tank2!$C$32:$C$49)*Impacts!$F$9),0)</f>
        <v>0</v>
      </c>
      <c r="N663" s="10">
        <f>IF(Tank3!$C$23="No control",(SUMIF(Tank3!$B$32:$B$49,$J663,Tank3!$C$32:$C$49)*Impacts!$F$10),0)</f>
        <v>0</v>
      </c>
      <c r="O663" s="10">
        <f>IF(Tank4!$C$23="No control",(SUMIF(Tank4!$B$32:$B$49,$J663,Tank4!$C$32:$C$49)*Impacts!$F$11),0)</f>
        <v>0</v>
      </c>
      <c r="P663" s="10">
        <f>IF(Tank5!$C$23="No control",(SUMIF(Tank5!$B$32:$B$49,$J663,Tank5!$C$32:$C$49)*Impacts!$F$12),0)</f>
        <v>0</v>
      </c>
      <c r="Q663" s="10">
        <f>IFERROR(IF(('Loading-drum,tote'!$C$21)="No control",SUMIF(('Loading-drum,tote'!$B$31:$B$48),$J663,('Loading-drum,tote'!$D$31:$D$48))*Impacts!$F$13,IF(('Loading-drum,tote'!$C$21)&lt;&gt;"No control",SUMIF(('Loading-drum,tote'!$B$31:$B$48),$J663,('Loading-drum,tote'!$E$31:$E$48))*Impacts!$F$13,0)),0)</f>
        <v>0</v>
      </c>
      <c r="R663" s="10">
        <f>IFERROR(IF(('Loading-truck'!$C$21)="No control",SUMIF(('Loading-truck'!$B$31:$B$48),$J663,('Loading-truck'!$D$31:$D$48))*Impacts!$F$14,IF(('Loading-truck'!$C$21)&lt;&gt;"No control",SUMIF(('Loading-truck'!$B$31:$B$48),$J663,('Loading-truck'!$E$31:$E$48))*Impacts!$F$14,0)),0)</f>
        <v>0</v>
      </c>
      <c r="S663" s="10">
        <f>IFERROR(IF(('Loading-rail'!$C$21)="No control",SUMIF(('Loading-rail'!$B$31:$B$48),$J663,('Loading-rail'!$D$31:$D$48))*Impacts!$F$15,IF(('Loading-rail'!$C$21)&lt;&gt;"No control",SUMIF(('Loading-rail'!$B$31:$B$48),$J663,('Loading-rail'!$E$31:$E$48))*Impacts!$F$15,0)),0)</f>
        <v>0</v>
      </c>
      <c r="T663" s="10">
        <f>IF(Flare!$C$7="",0,(SUMIF(Flare!$B$46:$B$185,$J663,Flare!$E$46:$E$185)*Impacts!$F$16))</f>
        <v>0</v>
      </c>
      <c r="U663" s="10">
        <f>IF(VCU!$C$9="",0,(SUMIF(VCU!$B$51:$B$193,$J663,VCU!$E$51:$E$193)*Impacts!$F$17))</f>
        <v>0</v>
      </c>
      <c r="V663" s="10">
        <f>IF(CAS!$C$7="",0,(SUMIF(CAS!$B$31:$B$167,$J663,CAS!$E$31:$E$167)*Impacts!$F$18))</f>
        <v>0</v>
      </c>
      <c r="W663" s="10">
        <f t="shared" si="52"/>
        <v>0</v>
      </c>
      <c r="AK663" s="10" t="str">
        <f t="array" ref="AK663">IFERROR(INDEX(SelectedSpecies,SMALL(IF(SelectedSpecies=AK$1,ROW(SelectedSpecies)),ROW(664:664)),2),"")</f>
        <v/>
      </c>
      <c r="BE663" s="10"/>
      <c r="BI663" s="10"/>
    </row>
    <row r="664" spans="1:61" ht="21" customHeight="1" x14ac:dyDescent="0.25">
      <c r="A664" s="10"/>
      <c r="B664" s="10"/>
      <c r="E664" s="10"/>
      <c r="G664" s="10"/>
      <c r="I664" s="436" t="s">
        <v>5045</v>
      </c>
      <c r="J664" s="26" t="s">
        <v>5044</v>
      </c>
      <c r="K664" s="10">
        <v>2.3000000000000003</v>
      </c>
      <c r="L664" s="73">
        <f>IF(Tank1!$C$23="No control",(SUMIF(Tank1!$B$32:$B$49,$J664,Tank1!$C$32:$C$49)*Impacts!$F$8),0)</f>
        <v>0</v>
      </c>
      <c r="M664" s="10">
        <f>IF(Tank2!$C$23="No control",(SUMIF(Tank2!$B$32:$B$49,$J664,Tank2!$C$32:$C$49)*Impacts!$F$9),0)</f>
        <v>0</v>
      </c>
      <c r="N664" s="10">
        <f>IF(Tank3!$C$23="No control",(SUMIF(Tank3!$B$32:$B$49,$J664,Tank3!$C$32:$C$49)*Impacts!$F$10),0)</f>
        <v>0</v>
      </c>
      <c r="O664" s="10">
        <f>IF(Tank4!$C$23="No control",(SUMIF(Tank4!$B$32:$B$49,$J664,Tank4!$C$32:$C$49)*Impacts!$F$11),0)</f>
        <v>0</v>
      </c>
      <c r="P664" s="10">
        <f>IF(Tank5!$C$23="No control",(SUMIF(Tank5!$B$32:$B$49,$J664,Tank5!$C$32:$C$49)*Impacts!$F$12),0)</f>
        <v>0</v>
      </c>
      <c r="Q664" s="10">
        <f>IFERROR(IF(('Loading-drum,tote'!$C$21)="No control",SUMIF(('Loading-drum,tote'!$B$31:$B$48),$J664,('Loading-drum,tote'!$D$31:$D$48))*Impacts!$F$13,IF(('Loading-drum,tote'!$C$21)&lt;&gt;"No control",SUMIF(('Loading-drum,tote'!$B$31:$B$48),$J664,('Loading-drum,tote'!$E$31:$E$48))*Impacts!$F$13,0)),0)</f>
        <v>0</v>
      </c>
      <c r="R664" s="10">
        <f>IFERROR(IF(('Loading-truck'!$C$21)="No control",SUMIF(('Loading-truck'!$B$31:$B$48),$J664,('Loading-truck'!$D$31:$D$48))*Impacts!$F$14,IF(('Loading-truck'!$C$21)&lt;&gt;"No control",SUMIF(('Loading-truck'!$B$31:$B$48),$J664,('Loading-truck'!$E$31:$E$48))*Impacts!$F$14,0)),0)</f>
        <v>0</v>
      </c>
      <c r="S664" s="10">
        <f>IFERROR(IF(('Loading-rail'!$C$21)="No control",SUMIF(('Loading-rail'!$B$31:$B$48),$J664,('Loading-rail'!$D$31:$D$48))*Impacts!$F$15,IF(('Loading-rail'!$C$21)&lt;&gt;"No control",SUMIF(('Loading-rail'!$B$31:$B$48),$J664,('Loading-rail'!$E$31:$E$48))*Impacts!$F$15,0)),0)</f>
        <v>0</v>
      </c>
      <c r="T664" s="10">
        <f>IF(Flare!$C$7="",0,(SUMIF(Flare!$B$46:$B$185,$J664,Flare!$E$46:$E$185)*Impacts!$F$16))</f>
        <v>0</v>
      </c>
      <c r="U664" s="10">
        <f>IF(VCU!$C$9="",0,(SUMIF(VCU!$B$51:$B$193,$J664,VCU!$E$51:$E$193)*Impacts!$F$17))</f>
        <v>0</v>
      </c>
      <c r="V664" s="10">
        <f>IF(CAS!$C$7="",0,(SUMIF(CAS!$B$31:$B$167,$J664,CAS!$E$31:$E$167)*Impacts!$F$18))</f>
        <v>0</v>
      </c>
      <c r="W664" s="10">
        <f t="shared" si="52"/>
        <v>0</v>
      </c>
      <c r="AK664" s="10" t="str">
        <f t="array" ref="AK664">IFERROR(INDEX(SelectedSpecies,SMALL(IF(SelectedSpecies=AK$1,ROW(SelectedSpecies)),ROW(665:665)),2),"")</f>
        <v/>
      </c>
      <c r="BE664" s="10"/>
      <c r="BI664" s="10"/>
    </row>
    <row r="665" spans="1:61" ht="21" customHeight="1" x14ac:dyDescent="0.25">
      <c r="A665" s="10"/>
      <c r="B665" s="10"/>
      <c r="E665" s="10"/>
      <c r="G665" s="10"/>
      <c r="I665" s="436" t="s">
        <v>4633</v>
      </c>
      <c r="J665" s="26" t="s">
        <v>4632</v>
      </c>
      <c r="K665" s="10">
        <v>4</v>
      </c>
      <c r="L665" s="73">
        <f>IF(Tank1!$C$23="No control",(SUMIF(Tank1!$B$32:$B$49,$J665,Tank1!$C$32:$C$49)*Impacts!$F$8),0)</f>
        <v>0</v>
      </c>
      <c r="M665" s="10">
        <f>IF(Tank2!$C$23="No control",(SUMIF(Tank2!$B$32:$B$49,$J665,Tank2!$C$32:$C$49)*Impacts!$F$9),0)</f>
        <v>0</v>
      </c>
      <c r="N665" s="10">
        <f>IF(Tank3!$C$23="No control",(SUMIF(Tank3!$B$32:$B$49,$J665,Tank3!$C$32:$C$49)*Impacts!$F$10),0)</f>
        <v>0</v>
      </c>
      <c r="O665" s="10">
        <f>IF(Tank4!$C$23="No control",(SUMIF(Tank4!$B$32:$B$49,$J665,Tank4!$C$32:$C$49)*Impacts!$F$11),0)</f>
        <v>0</v>
      </c>
      <c r="P665" s="10">
        <f>IF(Tank5!$C$23="No control",(SUMIF(Tank5!$B$32:$B$49,$J665,Tank5!$C$32:$C$49)*Impacts!$F$12),0)</f>
        <v>0</v>
      </c>
      <c r="Q665" s="10">
        <f>IFERROR(IF(('Loading-drum,tote'!$C$21)="No control",SUMIF(('Loading-drum,tote'!$B$31:$B$48),$J665,('Loading-drum,tote'!$D$31:$D$48))*Impacts!$F$13,IF(('Loading-drum,tote'!$C$21)&lt;&gt;"No control",SUMIF(('Loading-drum,tote'!$B$31:$B$48),$J665,('Loading-drum,tote'!$E$31:$E$48))*Impacts!$F$13,0)),0)</f>
        <v>0</v>
      </c>
      <c r="R665" s="10">
        <f>IFERROR(IF(('Loading-truck'!$C$21)="No control",SUMIF(('Loading-truck'!$B$31:$B$48),$J665,('Loading-truck'!$D$31:$D$48))*Impacts!$F$14,IF(('Loading-truck'!$C$21)&lt;&gt;"No control",SUMIF(('Loading-truck'!$B$31:$B$48),$J665,('Loading-truck'!$E$31:$E$48))*Impacts!$F$14,0)),0)</f>
        <v>0</v>
      </c>
      <c r="S665" s="10">
        <f>IFERROR(IF(('Loading-rail'!$C$21)="No control",SUMIF(('Loading-rail'!$B$31:$B$48),$J665,('Loading-rail'!$D$31:$D$48))*Impacts!$F$15,IF(('Loading-rail'!$C$21)&lt;&gt;"No control",SUMIF(('Loading-rail'!$B$31:$B$48),$J665,('Loading-rail'!$E$31:$E$48))*Impacts!$F$15,0)),0)</f>
        <v>0</v>
      </c>
      <c r="T665" s="10">
        <f>IF(Flare!$C$7="",0,(SUMIF(Flare!$B$46:$B$185,$J665,Flare!$E$46:$E$185)*Impacts!$F$16))</f>
        <v>0</v>
      </c>
      <c r="U665" s="10">
        <f>IF(VCU!$C$9="",0,(SUMIF(VCU!$B$51:$B$193,$J665,VCU!$E$51:$E$193)*Impacts!$F$17))</f>
        <v>0</v>
      </c>
      <c r="V665" s="10">
        <f>IF(CAS!$C$7="",0,(SUMIF(CAS!$B$31:$B$167,$J665,CAS!$E$31:$E$167)*Impacts!$F$18))</f>
        <v>0</v>
      </c>
      <c r="W665" s="10">
        <f t="shared" si="52"/>
        <v>0</v>
      </c>
      <c r="AK665" s="10" t="str">
        <f t="array" ref="AK665">IFERROR(INDEX(SelectedSpecies,SMALL(IF(SelectedSpecies=AK$1,ROW(SelectedSpecies)),ROW(666:666)),2),"")</f>
        <v/>
      </c>
      <c r="BE665" s="10"/>
      <c r="BI665" s="10"/>
    </row>
    <row r="666" spans="1:61" ht="21" customHeight="1" x14ac:dyDescent="0.25">
      <c r="A666" s="10"/>
      <c r="B666" s="10"/>
      <c r="E666" s="10"/>
      <c r="G666" s="10"/>
      <c r="I666" s="436" t="s">
        <v>6568</v>
      </c>
      <c r="J666" s="26" t="s">
        <v>6567</v>
      </c>
      <c r="K666" s="10">
        <v>0.67</v>
      </c>
      <c r="L666" s="73">
        <f>IF(Tank1!$C$23="No control",(SUMIF(Tank1!$B$32:$B$49,$J666,Tank1!$C$32:$C$49)*Impacts!$F$8),0)</f>
        <v>0</v>
      </c>
      <c r="M666" s="10">
        <f>IF(Tank2!$C$23="No control",(SUMIF(Tank2!$B$32:$B$49,$J666,Tank2!$C$32:$C$49)*Impacts!$F$9),0)</f>
        <v>0</v>
      </c>
      <c r="N666" s="10">
        <f>IF(Tank3!$C$23="No control",(SUMIF(Tank3!$B$32:$B$49,$J666,Tank3!$C$32:$C$49)*Impacts!$F$10),0)</f>
        <v>0</v>
      </c>
      <c r="O666" s="10">
        <f>IF(Tank4!$C$23="No control",(SUMIF(Tank4!$B$32:$B$49,$J666,Tank4!$C$32:$C$49)*Impacts!$F$11),0)</f>
        <v>0</v>
      </c>
      <c r="P666" s="10">
        <f>IF(Tank5!$C$23="No control",(SUMIF(Tank5!$B$32:$B$49,$J666,Tank5!$C$32:$C$49)*Impacts!$F$12),0)</f>
        <v>0</v>
      </c>
      <c r="Q666" s="10">
        <f>IFERROR(IF(('Loading-drum,tote'!$C$21)="No control",SUMIF(('Loading-drum,tote'!$B$31:$B$48),$J666,('Loading-drum,tote'!$D$31:$D$48))*Impacts!$F$13,IF(('Loading-drum,tote'!$C$21)&lt;&gt;"No control",SUMIF(('Loading-drum,tote'!$B$31:$B$48),$J666,('Loading-drum,tote'!$E$31:$E$48))*Impacts!$F$13,0)),0)</f>
        <v>0</v>
      </c>
      <c r="R666" s="10">
        <f>IFERROR(IF(('Loading-truck'!$C$21)="No control",SUMIF(('Loading-truck'!$B$31:$B$48),$J666,('Loading-truck'!$D$31:$D$48))*Impacts!$F$14,IF(('Loading-truck'!$C$21)&lt;&gt;"No control",SUMIF(('Loading-truck'!$B$31:$B$48),$J666,('Loading-truck'!$E$31:$E$48))*Impacts!$F$14,0)),0)</f>
        <v>0</v>
      </c>
      <c r="S666" s="10">
        <f>IFERROR(IF(('Loading-rail'!$C$21)="No control",SUMIF(('Loading-rail'!$B$31:$B$48),$J666,('Loading-rail'!$D$31:$D$48))*Impacts!$F$15,IF(('Loading-rail'!$C$21)&lt;&gt;"No control",SUMIF(('Loading-rail'!$B$31:$B$48),$J666,('Loading-rail'!$E$31:$E$48))*Impacts!$F$15,0)),0)</f>
        <v>0</v>
      </c>
      <c r="T666" s="10">
        <f>IF(Flare!$C$7="",0,(SUMIF(Flare!$B$46:$B$185,$J666,Flare!$E$46:$E$185)*Impacts!$F$16))</f>
        <v>0</v>
      </c>
      <c r="U666" s="10">
        <f>IF(VCU!$C$9="",0,(SUMIF(VCU!$B$51:$B$193,$J666,VCU!$E$51:$E$193)*Impacts!$F$17))</f>
        <v>0</v>
      </c>
      <c r="V666" s="10">
        <f>IF(CAS!$C$7="",0,(SUMIF(CAS!$B$31:$B$167,$J666,CAS!$E$31:$E$167)*Impacts!$F$18))</f>
        <v>0</v>
      </c>
      <c r="W666" s="10">
        <f t="shared" si="52"/>
        <v>0</v>
      </c>
      <c r="AK666" s="10" t="str">
        <f t="array" ref="AK666">IFERROR(INDEX(SelectedSpecies,SMALL(IF(SelectedSpecies=AK$1,ROW(SelectedSpecies)),ROW(667:667)),2),"")</f>
        <v/>
      </c>
      <c r="BE666" s="10"/>
      <c r="BI666" s="10"/>
    </row>
    <row r="667" spans="1:61" ht="21" customHeight="1" x14ac:dyDescent="0.25">
      <c r="A667" s="10"/>
      <c r="B667" s="10"/>
      <c r="E667" s="10"/>
      <c r="G667" s="10"/>
      <c r="I667" s="436" t="s">
        <v>1995</v>
      </c>
      <c r="J667" s="26" t="s">
        <v>1994</v>
      </c>
      <c r="K667" s="10">
        <v>17</v>
      </c>
      <c r="L667" s="73">
        <f>IF(Tank1!$C$23="No control",(SUMIF(Tank1!$B$32:$B$49,$J667,Tank1!$C$32:$C$49)*Impacts!$F$8),0)</f>
        <v>0</v>
      </c>
      <c r="M667" s="10">
        <f>IF(Tank2!$C$23="No control",(SUMIF(Tank2!$B$32:$B$49,$J667,Tank2!$C$32:$C$49)*Impacts!$F$9),0)</f>
        <v>0</v>
      </c>
      <c r="N667" s="10">
        <f>IF(Tank3!$C$23="No control",(SUMIF(Tank3!$B$32:$B$49,$J667,Tank3!$C$32:$C$49)*Impacts!$F$10),0)</f>
        <v>0</v>
      </c>
      <c r="O667" s="10">
        <f>IF(Tank4!$C$23="No control",(SUMIF(Tank4!$B$32:$B$49,$J667,Tank4!$C$32:$C$49)*Impacts!$F$11),0)</f>
        <v>0</v>
      </c>
      <c r="P667" s="10">
        <f>IF(Tank5!$C$23="No control",(SUMIF(Tank5!$B$32:$B$49,$J667,Tank5!$C$32:$C$49)*Impacts!$F$12),0)</f>
        <v>0</v>
      </c>
      <c r="Q667" s="10">
        <f>IFERROR(IF(('Loading-drum,tote'!$C$21)="No control",SUMIF(('Loading-drum,tote'!$B$31:$B$48),$J667,('Loading-drum,tote'!$D$31:$D$48))*Impacts!$F$13,IF(('Loading-drum,tote'!$C$21)&lt;&gt;"No control",SUMIF(('Loading-drum,tote'!$B$31:$B$48),$J667,('Loading-drum,tote'!$E$31:$E$48))*Impacts!$F$13,0)),0)</f>
        <v>0</v>
      </c>
      <c r="R667" s="10">
        <f>IFERROR(IF(('Loading-truck'!$C$21)="No control",SUMIF(('Loading-truck'!$B$31:$B$48),$J667,('Loading-truck'!$D$31:$D$48))*Impacts!$F$14,IF(('Loading-truck'!$C$21)&lt;&gt;"No control",SUMIF(('Loading-truck'!$B$31:$B$48),$J667,('Loading-truck'!$E$31:$E$48))*Impacts!$F$14,0)),0)</f>
        <v>0</v>
      </c>
      <c r="S667" s="10">
        <f>IFERROR(IF(('Loading-rail'!$C$21)="No control",SUMIF(('Loading-rail'!$B$31:$B$48),$J667,('Loading-rail'!$D$31:$D$48))*Impacts!$F$15,IF(('Loading-rail'!$C$21)&lt;&gt;"No control",SUMIF(('Loading-rail'!$B$31:$B$48),$J667,('Loading-rail'!$E$31:$E$48))*Impacts!$F$15,0)),0)</f>
        <v>0</v>
      </c>
      <c r="T667" s="10">
        <f>IF(Flare!$C$7="",0,(SUMIF(Flare!$B$46:$B$185,$J667,Flare!$E$46:$E$185)*Impacts!$F$16))</f>
        <v>0</v>
      </c>
      <c r="U667" s="10">
        <f>IF(VCU!$C$9="",0,(SUMIF(VCU!$B$51:$B$193,$J667,VCU!$E$51:$E$193)*Impacts!$F$17))</f>
        <v>0</v>
      </c>
      <c r="V667" s="10">
        <f>IF(CAS!$C$7="",0,(SUMIF(CAS!$B$31:$B$167,$J667,CAS!$E$31:$E$167)*Impacts!$F$18))</f>
        <v>0</v>
      </c>
      <c r="W667" s="10">
        <f t="shared" si="52"/>
        <v>0</v>
      </c>
      <c r="AK667" s="10" t="str">
        <f t="array" ref="AK667">IFERROR(INDEX(SelectedSpecies,SMALL(IF(SelectedSpecies=AK$1,ROW(SelectedSpecies)),ROW(668:668)),2),"")</f>
        <v/>
      </c>
      <c r="BE667" s="10"/>
      <c r="BI667" s="10"/>
    </row>
    <row r="668" spans="1:61" ht="21" customHeight="1" x14ac:dyDescent="0.25">
      <c r="A668" s="10"/>
      <c r="B668" s="10"/>
      <c r="E668" s="10"/>
      <c r="G668" s="10"/>
      <c r="I668" s="436" t="s">
        <v>6508</v>
      </c>
      <c r="J668" s="26" t="s">
        <v>6507</v>
      </c>
      <c r="K668" s="10">
        <v>0.70000000000000007</v>
      </c>
      <c r="L668" s="73">
        <f>IF(Tank1!$C$23="No control",(SUMIF(Tank1!$B$32:$B$49,$J668,Tank1!$C$32:$C$49)*Impacts!$F$8),0)</f>
        <v>0</v>
      </c>
      <c r="M668" s="10">
        <f>IF(Tank2!$C$23="No control",(SUMIF(Tank2!$B$32:$B$49,$J668,Tank2!$C$32:$C$49)*Impacts!$F$9),0)</f>
        <v>0</v>
      </c>
      <c r="N668" s="10">
        <f>IF(Tank3!$C$23="No control",(SUMIF(Tank3!$B$32:$B$49,$J668,Tank3!$C$32:$C$49)*Impacts!$F$10),0)</f>
        <v>0</v>
      </c>
      <c r="O668" s="10">
        <f>IF(Tank4!$C$23="No control",(SUMIF(Tank4!$B$32:$B$49,$J668,Tank4!$C$32:$C$49)*Impacts!$F$11),0)</f>
        <v>0</v>
      </c>
      <c r="P668" s="10">
        <f>IF(Tank5!$C$23="No control",(SUMIF(Tank5!$B$32:$B$49,$J668,Tank5!$C$32:$C$49)*Impacts!$F$12),0)</f>
        <v>0</v>
      </c>
      <c r="Q668" s="10">
        <f>IFERROR(IF(('Loading-drum,tote'!$C$21)="No control",SUMIF(('Loading-drum,tote'!$B$31:$B$48),$J668,('Loading-drum,tote'!$D$31:$D$48))*Impacts!$F$13,IF(('Loading-drum,tote'!$C$21)&lt;&gt;"No control",SUMIF(('Loading-drum,tote'!$B$31:$B$48),$J668,('Loading-drum,tote'!$E$31:$E$48))*Impacts!$F$13,0)),0)</f>
        <v>0</v>
      </c>
      <c r="R668" s="10">
        <f>IFERROR(IF(('Loading-truck'!$C$21)="No control",SUMIF(('Loading-truck'!$B$31:$B$48),$J668,('Loading-truck'!$D$31:$D$48))*Impacts!$F$14,IF(('Loading-truck'!$C$21)&lt;&gt;"No control",SUMIF(('Loading-truck'!$B$31:$B$48),$J668,('Loading-truck'!$E$31:$E$48))*Impacts!$F$14,0)),0)</f>
        <v>0</v>
      </c>
      <c r="S668" s="10">
        <f>IFERROR(IF(('Loading-rail'!$C$21)="No control",SUMIF(('Loading-rail'!$B$31:$B$48),$J668,('Loading-rail'!$D$31:$D$48))*Impacts!$F$15,IF(('Loading-rail'!$C$21)&lt;&gt;"No control",SUMIF(('Loading-rail'!$B$31:$B$48),$J668,('Loading-rail'!$E$31:$E$48))*Impacts!$F$15,0)),0)</f>
        <v>0</v>
      </c>
      <c r="T668" s="10">
        <f>IF(Flare!$C$7="",0,(SUMIF(Flare!$B$46:$B$185,$J668,Flare!$E$46:$E$185)*Impacts!$F$16))</f>
        <v>0</v>
      </c>
      <c r="U668" s="10">
        <f>IF(VCU!$C$9="",0,(SUMIF(VCU!$B$51:$B$193,$J668,VCU!$E$51:$E$193)*Impacts!$F$17))</f>
        <v>0</v>
      </c>
      <c r="V668" s="10">
        <f>IF(CAS!$C$7="",0,(SUMIF(CAS!$B$31:$B$167,$J668,CAS!$E$31:$E$167)*Impacts!$F$18))</f>
        <v>0</v>
      </c>
      <c r="W668" s="10">
        <f t="shared" si="52"/>
        <v>0</v>
      </c>
      <c r="AK668" s="10" t="str">
        <f t="array" ref="AK668">IFERROR(INDEX(SelectedSpecies,SMALL(IF(SelectedSpecies=AK$1,ROW(SelectedSpecies)),ROW(669:669)),2),"")</f>
        <v/>
      </c>
      <c r="BE668" s="10"/>
      <c r="BI668" s="10"/>
    </row>
    <row r="669" spans="1:61" ht="21" customHeight="1" x14ac:dyDescent="0.25">
      <c r="A669" s="10"/>
      <c r="B669" s="10"/>
      <c r="E669" s="10"/>
      <c r="G669" s="10"/>
      <c r="I669" s="436" t="s">
        <v>2707</v>
      </c>
      <c r="J669" s="26" t="s">
        <v>2706</v>
      </c>
      <c r="K669" s="10">
        <v>10</v>
      </c>
      <c r="L669" s="73">
        <f>IF(Tank1!$C$23="No control",(SUMIF(Tank1!$B$32:$B$49,$J669,Tank1!$C$32:$C$49)*Impacts!$F$8),0)</f>
        <v>0</v>
      </c>
      <c r="M669" s="10">
        <f>IF(Tank2!$C$23="No control",(SUMIF(Tank2!$B$32:$B$49,$J669,Tank2!$C$32:$C$49)*Impacts!$F$9),0)</f>
        <v>0</v>
      </c>
      <c r="N669" s="10">
        <f>IF(Tank3!$C$23="No control",(SUMIF(Tank3!$B$32:$B$49,$J669,Tank3!$C$32:$C$49)*Impacts!$F$10),0)</f>
        <v>0</v>
      </c>
      <c r="O669" s="10">
        <f>IF(Tank4!$C$23="No control",(SUMIF(Tank4!$B$32:$B$49,$J669,Tank4!$C$32:$C$49)*Impacts!$F$11),0)</f>
        <v>0</v>
      </c>
      <c r="P669" s="10">
        <f>IF(Tank5!$C$23="No control",(SUMIF(Tank5!$B$32:$B$49,$J669,Tank5!$C$32:$C$49)*Impacts!$F$12),0)</f>
        <v>0</v>
      </c>
      <c r="Q669" s="10">
        <f>IFERROR(IF(('Loading-drum,tote'!$C$21)="No control",SUMIF(('Loading-drum,tote'!$B$31:$B$48),$J669,('Loading-drum,tote'!$D$31:$D$48))*Impacts!$F$13,IF(('Loading-drum,tote'!$C$21)&lt;&gt;"No control",SUMIF(('Loading-drum,tote'!$B$31:$B$48),$J669,('Loading-drum,tote'!$E$31:$E$48))*Impacts!$F$13,0)),0)</f>
        <v>0</v>
      </c>
      <c r="R669" s="10">
        <f>IFERROR(IF(('Loading-truck'!$C$21)="No control",SUMIF(('Loading-truck'!$B$31:$B$48),$J669,('Loading-truck'!$D$31:$D$48))*Impacts!$F$14,IF(('Loading-truck'!$C$21)&lt;&gt;"No control",SUMIF(('Loading-truck'!$B$31:$B$48),$J669,('Loading-truck'!$E$31:$E$48))*Impacts!$F$14,0)),0)</f>
        <v>0</v>
      </c>
      <c r="S669" s="10">
        <f>IFERROR(IF(('Loading-rail'!$C$21)="No control",SUMIF(('Loading-rail'!$B$31:$B$48),$J669,('Loading-rail'!$D$31:$D$48))*Impacts!$F$15,IF(('Loading-rail'!$C$21)&lt;&gt;"No control",SUMIF(('Loading-rail'!$B$31:$B$48),$J669,('Loading-rail'!$E$31:$E$48))*Impacts!$F$15,0)),0)</f>
        <v>0</v>
      </c>
      <c r="T669" s="10">
        <f>IF(Flare!$C$7="",0,(SUMIF(Flare!$B$46:$B$185,$J669,Flare!$E$46:$E$185)*Impacts!$F$16))</f>
        <v>0</v>
      </c>
      <c r="U669" s="10">
        <f>IF(VCU!$C$9="",0,(SUMIF(VCU!$B$51:$B$193,$J669,VCU!$E$51:$E$193)*Impacts!$F$17))</f>
        <v>0</v>
      </c>
      <c r="V669" s="10">
        <f>IF(CAS!$C$7="",0,(SUMIF(CAS!$B$31:$B$167,$J669,CAS!$E$31:$E$167)*Impacts!$F$18))</f>
        <v>0</v>
      </c>
      <c r="W669" s="10">
        <f t="shared" si="52"/>
        <v>0</v>
      </c>
      <c r="AK669" s="10" t="str">
        <f t="array" ref="AK669">IFERROR(INDEX(SelectedSpecies,SMALL(IF(SelectedSpecies=AK$1,ROW(SelectedSpecies)),ROW(670:670)),2),"")</f>
        <v/>
      </c>
      <c r="BE669" s="10"/>
      <c r="BI669" s="10"/>
    </row>
    <row r="670" spans="1:61" ht="21" customHeight="1" x14ac:dyDescent="0.25">
      <c r="A670" s="10"/>
      <c r="B670" s="10"/>
      <c r="E670" s="10"/>
      <c r="G670" s="10"/>
      <c r="I670" s="436" t="s">
        <v>7408</v>
      </c>
      <c r="J670" s="26" t="s">
        <v>7407</v>
      </c>
      <c r="K670" s="10">
        <v>0.21000000000000002</v>
      </c>
      <c r="L670" s="73">
        <f>IF(Tank1!$C$23="No control",(SUMIF(Tank1!$B$32:$B$49,$J670,Tank1!$C$32:$C$49)*Impacts!$F$8),0)</f>
        <v>0</v>
      </c>
      <c r="M670" s="10">
        <f>IF(Tank2!$C$23="No control",(SUMIF(Tank2!$B$32:$B$49,$J670,Tank2!$C$32:$C$49)*Impacts!$F$9),0)</f>
        <v>0</v>
      </c>
      <c r="N670" s="10">
        <f>IF(Tank3!$C$23="No control",(SUMIF(Tank3!$B$32:$B$49,$J670,Tank3!$C$32:$C$49)*Impacts!$F$10),0)</f>
        <v>0</v>
      </c>
      <c r="O670" s="10">
        <f>IF(Tank4!$C$23="No control",(SUMIF(Tank4!$B$32:$B$49,$J670,Tank4!$C$32:$C$49)*Impacts!$F$11),0)</f>
        <v>0</v>
      </c>
      <c r="P670" s="10">
        <f>IF(Tank5!$C$23="No control",(SUMIF(Tank5!$B$32:$B$49,$J670,Tank5!$C$32:$C$49)*Impacts!$F$12),0)</f>
        <v>0</v>
      </c>
      <c r="Q670" s="10">
        <f>IFERROR(IF(('Loading-drum,tote'!$C$21)="No control",SUMIF(('Loading-drum,tote'!$B$31:$B$48),$J670,('Loading-drum,tote'!$D$31:$D$48))*Impacts!$F$13,IF(('Loading-drum,tote'!$C$21)&lt;&gt;"No control",SUMIF(('Loading-drum,tote'!$B$31:$B$48),$J670,('Loading-drum,tote'!$E$31:$E$48))*Impacts!$F$13,0)),0)</f>
        <v>0</v>
      </c>
      <c r="R670" s="10">
        <f>IFERROR(IF(('Loading-truck'!$C$21)="No control",SUMIF(('Loading-truck'!$B$31:$B$48),$J670,('Loading-truck'!$D$31:$D$48))*Impacts!$F$14,IF(('Loading-truck'!$C$21)&lt;&gt;"No control",SUMIF(('Loading-truck'!$B$31:$B$48),$J670,('Loading-truck'!$E$31:$E$48))*Impacts!$F$14,0)),0)</f>
        <v>0</v>
      </c>
      <c r="S670" s="10">
        <f>IFERROR(IF(('Loading-rail'!$C$21)="No control",SUMIF(('Loading-rail'!$B$31:$B$48),$J670,('Loading-rail'!$D$31:$D$48))*Impacts!$F$15,IF(('Loading-rail'!$C$21)&lt;&gt;"No control",SUMIF(('Loading-rail'!$B$31:$B$48),$J670,('Loading-rail'!$E$31:$E$48))*Impacts!$F$15,0)),0)</f>
        <v>0</v>
      </c>
      <c r="T670" s="10">
        <f>IF(Flare!$C$7="",0,(SUMIF(Flare!$B$46:$B$185,$J670,Flare!$E$46:$E$185)*Impacts!$F$16))</f>
        <v>0</v>
      </c>
      <c r="U670" s="10">
        <f>IF(VCU!$C$9="",0,(SUMIF(VCU!$B$51:$B$193,$J670,VCU!$E$51:$E$193)*Impacts!$F$17))</f>
        <v>0</v>
      </c>
      <c r="V670" s="10">
        <f>IF(CAS!$C$7="",0,(SUMIF(CAS!$B$31:$B$167,$J670,CAS!$E$31:$E$167)*Impacts!$F$18))</f>
        <v>0</v>
      </c>
      <c r="W670" s="10">
        <f t="shared" si="52"/>
        <v>0</v>
      </c>
      <c r="AK670" s="10" t="str">
        <f t="array" ref="AK670">IFERROR(INDEX(SelectedSpecies,SMALL(IF(SelectedSpecies=AK$1,ROW(SelectedSpecies)),ROW(671:671)),2),"")</f>
        <v/>
      </c>
      <c r="BE670" s="10"/>
      <c r="BI670" s="10"/>
    </row>
    <row r="671" spans="1:61" ht="21" customHeight="1" x14ac:dyDescent="0.25">
      <c r="A671" s="10"/>
      <c r="B671" s="10"/>
      <c r="E671" s="10"/>
      <c r="G671" s="10"/>
      <c r="I671" s="436" t="s">
        <v>8040</v>
      </c>
      <c r="J671" s="26" t="s">
        <v>8039</v>
      </c>
      <c r="K671" s="10">
        <v>2.0000000000000004E-2</v>
      </c>
      <c r="L671" s="73">
        <f>IF(Tank1!$C$23="No control",(SUMIF(Tank1!$B$32:$B$49,$J671,Tank1!$C$32:$C$49)*Impacts!$F$8),0)</f>
        <v>0</v>
      </c>
      <c r="M671" s="10">
        <f>IF(Tank2!$C$23="No control",(SUMIF(Tank2!$B$32:$B$49,$J671,Tank2!$C$32:$C$49)*Impacts!$F$9),0)</f>
        <v>0</v>
      </c>
      <c r="N671" s="10">
        <f>IF(Tank3!$C$23="No control",(SUMIF(Tank3!$B$32:$B$49,$J671,Tank3!$C$32:$C$49)*Impacts!$F$10),0)</f>
        <v>0</v>
      </c>
      <c r="O671" s="10">
        <f>IF(Tank4!$C$23="No control",(SUMIF(Tank4!$B$32:$B$49,$J671,Tank4!$C$32:$C$49)*Impacts!$F$11),0)</f>
        <v>0</v>
      </c>
      <c r="P671" s="10">
        <f>IF(Tank5!$C$23="No control",(SUMIF(Tank5!$B$32:$B$49,$J671,Tank5!$C$32:$C$49)*Impacts!$F$12),0)</f>
        <v>0</v>
      </c>
      <c r="Q671" s="10">
        <f>IFERROR(IF(('Loading-drum,tote'!$C$21)="No control",SUMIF(('Loading-drum,tote'!$B$31:$B$48),$J671,('Loading-drum,tote'!$D$31:$D$48))*Impacts!$F$13,IF(('Loading-drum,tote'!$C$21)&lt;&gt;"No control",SUMIF(('Loading-drum,tote'!$B$31:$B$48),$J671,('Loading-drum,tote'!$E$31:$E$48))*Impacts!$F$13,0)),0)</f>
        <v>0</v>
      </c>
      <c r="R671" s="10">
        <f>IFERROR(IF(('Loading-truck'!$C$21)="No control",SUMIF(('Loading-truck'!$B$31:$B$48),$J671,('Loading-truck'!$D$31:$D$48))*Impacts!$F$14,IF(('Loading-truck'!$C$21)&lt;&gt;"No control",SUMIF(('Loading-truck'!$B$31:$B$48),$J671,('Loading-truck'!$E$31:$E$48))*Impacts!$F$14,0)),0)</f>
        <v>0</v>
      </c>
      <c r="S671" s="10">
        <f>IFERROR(IF(('Loading-rail'!$C$21)="No control",SUMIF(('Loading-rail'!$B$31:$B$48),$J671,('Loading-rail'!$D$31:$D$48))*Impacts!$F$15,IF(('Loading-rail'!$C$21)&lt;&gt;"No control",SUMIF(('Loading-rail'!$B$31:$B$48),$J671,('Loading-rail'!$E$31:$E$48))*Impacts!$F$15,0)),0)</f>
        <v>0</v>
      </c>
      <c r="T671" s="10">
        <f>IF(Flare!$C$7="",0,(SUMIF(Flare!$B$46:$B$185,$J671,Flare!$E$46:$E$185)*Impacts!$F$16))</f>
        <v>0</v>
      </c>
      <c r="U671" s="10">
        <f>IF(VCU!$C$9="",0,(SUMIF(VCU!$B$51:$B$193,$J671,VCU!$E$51:$E$193)*Impacts!$F$17))</f>
        <v>0</v>
      </c>
      <c r="V671" s="10">
        <f>IF(CAS!$C$7="",0,(SUMIF(CAS!$B$31:$B$167,$J671,CAS!$E$31:$E$167)*Impacts!$F$18))</f>
        <v>0</v>
      </c>
      <c r="W671" s="10">
        <f t="shared" si="52"/>
        <v>0</v>
      </c>
      <c r="AK671" s="10" t="str">
        <f t="array" ref="AK671">IFERROR(INDEX(SelectedSpecies,SMALL(IF(SelectedSpecies=AK$1,ROW(SelectedSpecies)),ROW(672:672)),2),"")</f>
        <v/>
      </c>
      <c r="BE671" s="10"/>
      <c r="BI671" s="10"/>
    </row>
    <row r="672" spans="1:61" ht="21" customHeight="1" x14ac:dyDescent="0.25">
      <c r="A672" s="10"/>
      <c r="B672" s="10"/>
      <c r="E672" s="10"/>
      <c r="G672" s="10"/>
      <c r="I672" s="436" t="s">
        <v>5399</v>
      </c>
      <c r="J672" s="26" t="s">
        <v>5398</v>
      </c>
      <c r="K672" s="10">
        <v>1.4000000000000001</v>
      </c>
      <c r="L672" s="73">
        <f>IF(Tank1!$C$23="No control",(SUMIF(Tank1!$B$32:$B$49,$J672,Tank1!$C$32:$C$49)*Impacts!$F$8),0)</f>
        <v>0</v>
      </c>
      <c r="M672" s="10">
        <f>IF(Tank2!$C$23="No control",(SUMIF(Tank2!$B$32:$B$49,$J672,Tank2!$C$32:$C$49)*Impacts!$F$9),0)</f>
        <v>0</v>
      </c>
      <c r="N672" s="10">
        <f>IF(Tank3!$C$23="No control",(SUMIF(Tank3!$B$32:$B$49,$J672,Tank3!$C$32:$C$49)*Impacts!$F$10),0)</f>
        <v>0</v>
      </c>
      <c r="O672" s="10">
        <f>IF(Tank4!$C$23="No control",(SUMIF(Tank4!$B$32:$B$49,$J672,Tank4!$C$32:$C$49)*Impacts!$F$11),0)</f>
        <v>0</v>
      </c>
      <c r="P672" s="10">
        <f>IF(Tank5!$C$23="No control",(SUMIF(Tank5!$B$32:$B$49,$J672,Tank5!$C$32:$C$49)*Impacts!$F$12),0)</f>
        <v>0</v>
      </c>
      <c r="Q672" s="10">
        <f>IFERROR(IF(('Loading-drum,tote'!$C$21)="No control",SUMIF(('Loading-drum,tote'!$B$31:$B$48),$J672,('Loading-drum,tote'!$D$31:$D$48))*Impacts!$F$13,IF(('Loading-drum,tote'!$C$21)&lt;&gt;"No control",SUMIF(('Loading-drum,tote'!$B$31:$B$48),$J672,('Loading-drum,tote'!$E$31:$E$48))*Impacts!$F$13,0)),0)</f>
        <v>0</v>
      </c>
      <c r="R672" s="10">
        <f>IFERROR(IF(('Loading-truck'!$C$21)="No control",SUMIF(('Loading-truck'!$B$31:$B$48),$J672,('Loading-truck'!$D$31:$D$48))*Impacts!$F$14,IF(('Loading-truck'!$C$21)&lt;&gt;"No control",SUMIF(('Loading-truck'!$B$31:$B$48),$J672,('Loading-truck'!$E$31:$E$48))*Impacts!$F$14,0)),0)</f>
        <v>0</v>
      </c>
      <c r="S672" s="10">
        <f>IFERROR(IF(('Loading-rail'!$C$21)="No control",SUMIF(('Loading-rail'!$B$31:$B$48),$J672,('Loading-rail'!$D$31:$D$48))*Impacts!$F$15,IF(('Loading-rail'!$C$21)&lt;&gt;"No control",SUMIF(('Loading-rail'!$B$31:$B$48),$J672,('Loading-rail'!$E$31:$E$48))*Impacts!$F$15,0)),0)</f>
        <v>0</v>
      </c>
      <c r="T672" s="10">
        <f>IF(Flare!$C$7="",0,(SUMIF(Flare!$B$46:$B$185,$J672,Flare!$E$46:$E$185)*Impacts!$F$16))</f>
        <v>0</v>
      </c>
      <c r="U672" s="10">
        <f>IF(VCU!$C$9="",0,(SUMIF(VCU!$B$51:$B$193,$J672,VCU!$E$51:$E$193)*Impacts!$F$17))</f>
        <v>0</v>
      </c>
      <c r="V672" s="10">
        <f>IF(CAS!$C$7="",0,(SUMIF(CAS!$B$31:$B$167,$J672,CAS!$E$31:$E$167)*Impacts!$F$18))</f>
        <v>0</v>
      </c>
      <c r="W672" s="10">
        <f t="shared" si="52"/>
        <v>0</v>
      </c>
      <c r="AK672" s="10" t="str">
        <f t="array" ref="AK672">IFERROR(INDEX(SelectedSpecies,SMALL(IF(SelectedSpecies=AK$1,ROW(SelectedSpecies)),ROW(673:673)),2),"")</f>
        <v/>
      </c>
      <c r="BE672" s="10"/>
      <c r="BI672" s="10"/>
    </row>
    <row r="673" spans="1:61" ht="21" customHeight="1" x14ac:dyDescent="0.25">
      <c r="A673" s="10"/>
      <c r="B673" s="10"/>
      <c r="E673" s="10"/>
      <c r="G673" s="10"/>
      <c r="I673" s="436" t="s">
        <v>6366</v>
      </c>
      <c r="J673" s="26" t="s">
        <v>6365</v>
      </c>
      <c r="K673" s="10">
        <v>0.81</v>
      </c>
      <c r="L673" s="73">
        <f>IF(Tank1!$C$23="No control",(SUMIF(Tank1!$B$32:$B$49,$J673,Tank1!$C$32:$C$49)*Impacts!$F$8),0)</f>
        <v>0</v>
      </c>
      <c r="M673" s="10">
        <f>IF(Tank2!$C$23="No control",(SUMIF(Tank2!$B$32:$B$49,$J673,Tank2!$C$32:$C$49)*Impacts!$F$9),0)</f>
        <v>0</v>
      </c>
      <c r="N673" s="10">
        <f>IF(Tank3!$C$23="No control",(SUMIF(Tank3!$B$32:$B$49,$J673,Tank3!$C$32:$C$49)*Impacts!$F$10),0)</f>
        <v>0</v>
      </c>
      <c r="O673" s="10">
        <f>IF(Tank4!$C$23="No control",(SUMIF(Tank4!$B$32:$B$49,$J673,Tank4!$C$32:$C$49)*Impacts!$F$11),0)</f>
        <v>0</v>
      </c>
      <c r="P673" s="10">
        <f>IF(Tank5!$C$23="No control",(SUMIF(Tank5!$B$32:$B$49,$J673,Tank5!$C$32:$C$49)*Impacts!$F$12),0)</f>
        <v>0</v>
      </c>
      <c r="Q673" s="10">
        <f>IFERROR(IF(('Loading-drum,tote'!$C$21)="No control",SUMIF(('Loading-drum,tote'!$B$31:$B$48),$J673,('Loading-drum,tote'!$D$31:$D$48))*Impacts!$F$13,IF(('Loading-drum,tote'!$C$21)&lt;&gt;"No control",SUMIF(('Loading-drum,tote'!$B$31:$B$48),$J673,('Loading-drum,tote'!$E$31:$E$48))*Impacts!$F$13,0)),0)</f>
        <v>0</v>
      </c>
      <c r="R673" s="10">
        <f>IFERROR(IF(('Loading-truck'!$C$21)="No control",SUMIF(('Loading-truck'!$B$31:$B$48),$J673,('Loading-truck'!$D$31:$D$48))*Impacts!$F$14,IF(('Loading-truck'!$C$21)&lt;&gt;"No control",SUMIF(('Loading-truck'!$B$31:$B$48),$J673,('Loading-truck'!$E$31:$E$48))*Impacts!$F$14,0)),0)</f>
        <v>0</v>
      </c>
      <c r="S673" s="10">
        <f>IFERROR(IF(('Loading-rail'!$C$21)="No control",SUMIF(('Loading-rail'!$B$31:$B$48),$J673,('Loading-rail'!$D$31:$D$48))*Impacts!$F$15,IF(('Loading-rail'!$C$21)&lt;&gt;"No control",SUMIF(('Loading-rail'!$B$31:$B$48),$J673,('Loading-rail'!$E$31:$E$48))*Impacts!$F$15,0)),0)</f>
        <v>0</v>
      </c>
      <c r="T673" s="10">
        <f>IF(Flare!$C$7="",0,(SUMIF(Flare!$B$46:$B$185,$J673,Flare!$E$46:$E$185)*Impacts!$F$16))</f>
        <v>0</v>
      </c>
      <c r="U673" s="10">
        <f>IF(VCU!$C$9="",0,(SUMIF(VCU!$B$51:$B$193,$J673,VCU!$E$51:$E$193)*Impacts!$F$17))</f>
        <v>0</v>
      </c>
      <c r="V673" s="10">
        <f>IF(CAS!$C$7="",0,(SUMIF(CAS!$B$31:$B$167,$J673,CAS!$E$31:$E$167)*Impacts!$F$18))</f>
        <v>0</v>
      </c>
      <c r="W673" s="10">
        <f t="shared" si="52"/>
        <v>0</v>
      </c>
      <c r="AK673" s="10" t="str">
        <f t="array" ref="AK673">IFERROR(INDEX(SelectedSpecies,SMALL(IF(SelectedSpecies=AK$1,ROW(SelectedSpecies)),ROW(674:674)),2),"")</f>
        <v/>
      </c>
      <c r="BE673" s="10"/>
      <c r="BI673" s="10"/>
    </row>
    <row r="674" spans="1:61" ht="21" customHeight="1" x14ac:dyDescent="0.25">
      <c r="A674" s="10"/>
      <c r="B674" s="10"/>
      <c r="E674" s="10"/>
      <c r="G674" s="10"/>
      <c r="I674" s="436" t="s">
        <v>6366</v>
      </c>
      <c r="J674" s="26" t="s">
        <v>10337</v>
      </c>
      <c r="K674" s="10">
        <v>5.6999999999999995E-2</v>
      </c>
      <c r="L674" s="73">
        <f>IF(Tank1!$C$23="No control",(SUMIF(Tank1!$B$32:$B$49,$J674,Tank1!$C$32:$C$49)*Impacts!$F$8),0)</f>
        <v>0</v>
      </c>
      <c r="M674" s="10">
        <f>IF(Tank2!$C$23="No control",(SUMIF(Tank2!$B$32:$B$49,$J674,Tank2!$C$32:$C$49)*Impacts!$F$9),0)</f>
        <v>0</v>
      </c>
      <c r="N674" s="10">
        <f>IF(Tank3!$C$23="No control",(SUMIF(Tank3!$B$32:$B$49,$J674,Tank3!$C$32:$C$49)*Impacts!$F$10),0)</f>
        <v>0</v>
      </c>
      <c r="O674" s="10">
        <f>IF(Tank4!$C$23="No control",(SUMIF(Tank4!$B$32:$B$49,$J674,Tank4!$C$32:$C$49)*Impacts!$F$11),0)</f>
        <v>0</v>
      </c>
      <c r="P674" s="10">
        <f>IF(Tank5!$C$23="No control",(SUMIF(Tank5!$B$32:$B$49,$J674,Tank5!$C$32:$C$49)*Impacts!$F$12),0)</f>
        <v>0</v>
      </c>
      <c r="Q674" s="10">
        <f>IFERROR(IF(('Loading-drum,tote'!$C$21)="No control",SUMIF(('Loading-drum,tote'!$B$31:$B$48),$J674,('Loading-drum,tote'!$D$31:$D$48))*Impacts!$F$13,IF(('Loading-drum,tote'!$C$21)&lt;&gt;"No control",SUMIF(('Loading-drum,tote'!$B$31:$B$48),$J674,('Loading-drum,tote'!$E$31:$E$48))*Impacts!$F$13,0)),0)</f>
        <v>0</v>
      </c>
      <c r="R674" s="10">
        <f>IFERROR(IF(('Loading-truck'!$C$21)="No control",SUMIF(('Loading-truck'!$B$31:$B$48),$J674,('Loading-truck'!$D$31:$D$48))*Impacts!$F$14,IF(('Loading-truck'!$C$21)&lt;&gt;"No control",SUMIF(('Loading-truck'!$B$31:$B$48),$J674,('Loading-truck'!$E$31:$E$48))*Impacts!$F$14,0)),0)</f>
        <v>0</v>
      </c>
      <c r="S674" s="10">
        <f>IFERROR(IF(('Loading-rail'!$C$21)="No control",SUMIF(('Loading-rail'!$B$31:$B$48),$J674,('Loading-rail'!$D$31:$D$48))*Impacts!$F$15,IF(('Loading-rail'!$C$21)&lt;&gt;"No control",SUMIF(('Loading-rail'!$B$31:$B$48),$J674,('Loading-rail'!$E$31:$E$48))*Impacts!$F$15,0)),0)</f>
        <v>0</v>
      </c>
      <c r="T674" s="10">
        <f>IF(Flare!$C$7="",0,(SUMIF(Flare!$B$46:$B$185,$J674,Flare!$E$46:$E$185)*Impacts!$F$16))</f>
        <v>0</v>
      </c>
      <c r="U674" s="10">
        <f>IF(VCU!$C$9="",0,(SUMIF(VCU!$B$51:$B$193,$J674,VCU!$E$51:$E$193)*Impacts!$F$17))</f>
        <v>0</v>
      </c>
      <c r="V674" s="10">
        <f>IF(CAS!$C$7="",0,(SUMIF(CAS!$B$31:$B$167,$J674,CAS!$E$31:$E$167)*Impacts!$F$18))</f>
        <v>0</v>
      </c>
      <c r="W674" s="10">
        <f t="shared" si="52"/>
        <v>0</v>
      </c>
      <c r="AK674" s="10" t="str">
        <f t="array" ref="AK674">IFERROR(INDEX(SelectedSpecies,SMALL(IF(SelectedSpecies=AK$1,ROW(SelectedSpecies)),ROW(675:675)),2),"")</f>
        <v/>
      </c>
      <c r="BE674" s="10"/>
      <c r="BI674" s="10"/>
    </row>
    <row r="675" spans="1:61" ht="21" customHeight="1" x14ac:dyDescent="0.25">
      <c r="A675" s="10"/>
      <c r="B675" s="10"/>
      <c r="E675" s="10"/>
      <c r="G675" s="10"/>
      <c r="I675" s="436" t="s">
        <v>6366</v>
      </c>
      <c r="J675" s="26" t="s">
        <v>10338</v>
      </c>
      <c r="K675" s="10">
        <v>7.0999999999999994E-2</v>
      </c>
      <c r="L675" s="73">
        <f>IF(Tank1!$C$23="No control",(SUMIF(Tank1!$B$32:$B$49,$J675,Tank1!$C$32:$C$49)*Impacts!$F$8),0)</f>
        <v>0</v>
      </c>
      <c r="M675" s="10">
        <f>IF(Tank2!$C$23="No control",(SUMIF(Tank2!$B$32:$B$49,$J675,Tank2!$C$32:$C$49)*Impacts!$F$9),0)</f>
        <v>0</v>
      </c>
      <c r="N675" s="10">
        <f>IF(Tank3!$C$23="No control",(SUMIF(Tank3!$B$32:$B$49,$J675,Tank3!$C$32:$C$49)*Impacts!$F$10),0)</f>
        <v>0</v>
      </c>
      <c r="O675" s="10">
        <f>IF(Tank4!$C$23="No control",(SUMIF(Tank4!$B$32:$B$49,$J675,Tank4!$C$32:$C$49)*Impacts!$F$11),0)</f>
        <v>0</v>
      </c>
      <c r="P675" s="10">
        <f>IF(Tank5!$C$23="No control",(SUMIF(Tank5!$B$32:$B$49,$J675,Tank5!$C$32:$C$49)*Impacts!$F$12),0)</f>
        <v>0</v>
      </c>
      <c r="Q675" s="10">
        <f>IFERROR(IF(('Loading-drum,tote'!$C$21)="No control",SUMIF(('Loading-drum,tote'!$B$31:$B$48),$J675,('Loading-drum,tote'!$D$31:$D$48))*Impacts!$F$13,IF(('Loading-drum,tote'!$C$21)&lt;&gt;"No control",SUMIF(('Loading-drum,tote'!$B$31:$B$48),$J675,('Loading-drum,tote'!$E$31:$E$48))*Impacts!$F$13,0)),0)</f>
        <v>0</v>
      </c>
      <c r="R675" s="10">
        <f>IFERROR(IF(('Loading-truck'!$C$21)="No control",SUMIF(('Loading-truck'!$B$31:$B$48),$J675,('Loading-truck'!$D$31:$D$48))*Impacts!$F$14,IF(('Loading-truck'!$C$21)&lt;&gt;"No control",SUMIF(('Loading-truck'!$B$31:$B$48),$J675,('Loading-truck'!$E$31:$E$48))*Impacts!$F$14,0)),0)</f>
        <v>0</v>
      </c>
      <c r="S675" s="10">
        <f>IFERROR(IF(('Loading-rail'!$C$21)="No control",SUMIF(('Loading-rail'!$B$31:$B$48),$J675,('Loading-rail'!$D$31:$D$48))*Impacts!$F$15,IF(('Loading-rail'!$C$21)&lt;&gt;"No control",SUMIF(('Loading-rail'!$B$31:$B$48),$J675,('Loading-rail'!$E$31:$E$48))*Impacts!$F$15,0)),0)</f>
        <v>0</v>
      </c>
      <c r="T675" s="10">
        <f>IF(Flare!$C$7="",0,(SUMIF(Flare!$B$46:$B$185,$J675,Flare!$E$46:$E$185)*Impacts!$F$16))</f>
        <v>0</v>
      </c>
      <c r="U675" s="10">
        <f>IF(VCU!$C$9="",0,(SUMIF(VCU!$B$51:$B$193,$J675,VCU!$E$51:$E$193)*Impacts!$F$17))</f>
        <v>0</v>
      </c>
      <c r="V675" s="10">
        <f>IF(CAS!$C$7="",0,(SUMIF(CAS!$B$31:$B$167,$J675,CAS!$E$31:$E$167)*Impacts!$F$18))</f>
        <v>0</v>
      </c>
      <c r="W675" s="10">
        <f t="shared" si="52"/>
        <v>0</v>
      </c>
      <c r="AK675" s="10" t="str">
        <f t="array" ref="AK675">IFERROR(INDEX(SelectedSpecies,SMALL(IF(SelectedSpecies=AK$1,ROW(SelectedSpecies)),ROW(676:676)),2),"")</f>
        <v/>
      </c>
      <c r="BE675" s="10"/>
      <c r="BI675" s="10"/>
    </row>
    <row r="676" spans="1:61" ht="21" customHeight="1" x14ac:dyDescent="0.25">
      <c r="A676" s="10"/>
      <c r="B676" s="10"/>
      <c r="E676" s="10"/>
      <c r="G676" s="10"/>
      <c r="I676" s="436" t="s">
        <v>4947</v>
      </c>
      <c r="J676" s="26" t="s">
        <v>4946</v>
      </c>
      <c r="K676" s="10">
        <v>2.5</v>
      </c>
      <c r="L676" s="73">
        <f>IF(Tank1!$C$23="No control",(SUMIF(Tank1!$B$32:$B$49,$J676,Tank1!$C$32:$C$49)*Impacts!$F$8),0)</f>
        <v>0</v>
      </c>
      <c r="M676" s="10">
        <f>IF(Tank2!$C$23="No control",(SUMIF(Tank2!$B$32:$B$49,$J676,Tank2!$C$32:$C$49)*Impacts!$F$9),0)</f>
        <v>0</v>
      </c>
      <c r="N676" s="10">
        <f>IF(Tank3!$C$23="No control",(SUMIF(Tank3!$B$32:$B$49,$J676,Tank3!$C$32:$C$49)*Impacts!$F$10),0)</f>
        <v>0</v>
      </c>
      <c r="O676" s="10">
        <f>IF(Tank4!$C$23="No control",(SUMIF(Tank4!$B$32:$B$49,$J676,Tank4!$C$32:$C$49)*Impacts!$F$11),0)</f>
        <v>0</v>
      </c>
      <c r="P676" s="10">
        <f>IF(Tank5!$C$23="No control",(SUMIF(Tank5!$B$32:$B$49,$J676,Tank5!$C$32:$C$49)*Impacts!$F$12),0)</f>
        <v>0</v>
      </c>
      <c r="Q676" s="10">
        <f>IFERROR(IF(('Loading-drum,tote'!$C$21)="No control",SUMIF(('Loading-drum,tote'!$B$31:$B$48),$J676,('Loading-drum,tote'!$D$31:$D$48))*Impacts!$F$13,IF(('Loading-drum,tote'!$C$21)&lt;&gt;"No control",SUMIF(('Loading-drum,tote'!$B$31:$B$48),$J676,('Loading-drum,tote'!$E$31:$E$48))*Impacts!$F$13,0)),0)</f>
        <v>0</v>
      </c>
      <c r="R676" s="10">
        <f>IFERROR(IF(('Loading-truck'!$C$21)="No control",SUMIF(('Loading-truck'!$B$31:$B$48),$J676,('Loading-truck'!$D$31:$D$48))*Impacts!$F$14,IF(('Loading-truck'!$C$21)&lt;&gt;"No control",SUMIF(('Loading-truck'!$B$31:$B$48),$J676,('Loading-truck'!$E$31:$E$48))*Impacts!$F$14,0)),0)</f>
        <v>0</v>
      </c>
      <c r="S676" s="10">
        <f>IFERROR(IF(('Loading-rail'!$C$21)="No control",SUMIF(('Loading-rail'!$B$31:$B$48),$J676,('Loading-rail'!$D$31:$D$48))*Impacts!$F$15,IF(('Loading-rail'!$C$21)&lt;&gt;"No control",SUMIF(('Loading-rail'!$B$31:$B$48),$J676,('Loading-rail'!$E$31:$E$48))*Impacts!$F$15,0)),0)</f>
        <v>0</v>
      </c>
      <c r="T676" s="10">
        <f>IF(Flare!$C$7="",0,(SUMIF(Flare!$B$46:$B$185,$J676,Flare!$E$46:$E$185)*Impacts!$F$16))</f>
        <v>0</v>
      </c>
      <c r="U676" s="10">
        <f>IF(VCU!$C$9="",0,(SUMIF(VCU!$B$51:$B$193,$J676,VCU!$E$51:$E$193)*Impacts!$F$17))</f>
        <v>0</v>
      </c>
      <c r="V676" s="10">
        <f>IF(CAS!$C$7="",0,(SUMIF(CAS!$B$31:$B$167,$J676,CAS!$E$31:$E$167)*Impacts!$F$18))</f>
        <v>0</v>
      </c>
      <c r="W676" s="10">
        <f t="shared" si="52"/>
        <v>0</v>
      </c>
      <c r="AK676" s="10" t="str">
        <f t="array" ref="AK676">IFERROR(INDEX(SelectedSpecies,SMALL(IF(SelectedSpecies=AK$1,ROW(SelectedSpecies)),ROW(677:677)),2),"")</f>
        <v/>
      </c>
      <c r="BE676" s="10"/>
      <c r="BI676" s="10"/>
    </row>
    <row r="677" spans="1:61" ht="21" customHeight="1" x14ac:dyDescent="0.25">
      <c r="A677" s="10"/>
      <c r="B677" s="10"/>
      <c r="E677" s="10"/>
      <c r="G677" s="10"/>
      <c r="I677" s="436" t="s">
        <v>7636</v>
      </c>
      <c r="J677" s="26" t="s">
        <v>7635</v>
      </c>
      <c r="K677" s="10">
        <v>0.13</v>
      </c>
      <c r="L677" s="73">
        <f>IF(Tank1!$C$23="No control",(SUMIF(Tank1!$B$32:$B$49,$J677,Tank1!$C$32:$C$49)*Impacts!$F$8),0)</f>
        <v>0</v>
      </c>
      <c r="M677" s="10">
        <f>IF(Tank2!$C$23="No control",(SUMIF(Tank2!$B$32:$B$49,$J677,Tank2!$C$32:$C$49)*Impacts!$F$9),0)</f>
        <v>0</v>
      </c>
      <c r="N677" s="10">
        <f>IF(Tank3!$C$23="No control",(SUMIF(Tank3!$B$32:$B$49,$J677,Tank3!$C$32:$C$49)*Impacts!$F$10),0)</f>
        <v>0</v>
      </c>
      <c r="O677" s="10">
        <f>IF(Tank4!$C$23="No control",(SUMIF(Tank4!$B$32:$B$49,$J677,Tank4!$C$32:$C$49)*Impacts!$F$11),0)</f>
        <v>0</v>
      </c>
      <c r="P677" s="10">
        <f>IF(Tank5!$C$23="No control",(SUMIF(Tank5!$B$32:$B$49,$J677,Tank5!$C$32:$C$49)*Impacts!$F$12),0)</f>
        <v>0</v>
      </c>
      <c r="Q677" s="10">
        <f>IFERROR(IF(('Loading-drum,tote'!$C$21)="No control",SUMIF(('Loading-drum,tote'!$B$31:$B$48),$J677,('Loading-drum,tote'!$D$31:$D$48))*Impacts!$F$13,IF(('Loading-drum,tote'!$C$21)&lt;&gt;"No control",SUMIF(('Loading-drum,tote'!$B$31:$B$48),$J677,('Loading-drum,tote'!$E$31:$E$48))*Impacts!$F$13,0)),0)</f>
        <v>0</v>
      </c>
      <c r="R677" s="10">
        <f>IFERROR(IF(('Loading-truck'!$C$21)="No control",SUMIF(('Loading-truck'!$B$31:$B$48),$J677,('Loading-truck'!$D$31:$D$48))*Impacts!$F$14,IF(('Loading-truck'!$C$21)&lt;&gt;"No control",SUMIF(('Loading-truck'!$B$31:$B$48),$J677,('Loading-truck'!$E$31:$E$48))*Impacts!$F$14,0)),0)</f>
        <v>0</v>
      </c>
      <c r="S677" s="10">
        <f>IFERROR(IF(('Loading-rail'!$C$21)="No control",SUMIF(('Loading-rail'!$B$31:$B$48),$J677,('Loading-rail'!$D$31:$D$48))*Impacts!$F$15,IF(('Loading-rail'!$C$21)&lt;&gt;"No control",SUMIF(('Loading-rail'!$B$31:$B$48),$J677,('Loading-rail'!$E$31:$E$48))*Impacts!$F$15,0)),0)</f>
        <v>0</v>
      </c>
      <c r="T677" s="10">
        <f>IF(Flare!$C$7="",0,(SUMIF(Flare!$B$46:$B$185,$J677,Flare!$E$46:$E$185)*Impacts!$F$16))</f>
        <v>0</v>
      </c>
      <c r="U677" s="10">
        <f>IF(VCU!$C$9="",0,(SUMIF(VCU!$B$51:$B$193,$J677,VCU!$E$51:$E$193)*Impacts!$F$17))</f>
        <v>0</v>
      </c>
      <c r="V677" s="10">
        <f>IF(CAS!$C$7="",0,(SUMIF(CAS!$B$31:$B$167,$J677,CAS!$E$31:$E$167)*Impacts!$F$18))</f>
        <v>0</v>
      </c>
      <c r="W677" s="10">
        <f t="shared" si="52"/>
        <v>0</v>
      </c>
      <c r="AK677" s="10" t="str">
        <f t="array" ref="AK677">IFERROR(INDEX(SelectedSpecies,SMALL(IF(SelectedSpecies=AK$1,ROW(SelectedSpecies)),ROW(678:678)),2),"")</f>
        <v/>
      </c>
      <c r="BE677" s="10"/>
      <c r="BI677" s="10"/>
    </row>
    <row r="678" spans="1:61" ht="21" customHeight="1" x14ac:dyDescent="0.25">
      <c r="A678" s="10"/>
      <c r="B678" s="10"/>
      <c r="E678" s="10"/>
      <c r="G678" s="10"/>
      <c r="I678" s="436" t="s">
        <v>7064</v>
      </c>
      <c r="J678" s="26" t="s">
        <v>7063</v>
      </c>
      <c r="K678" s="10">
        <v>0.4</v>
      </c>
      <c r="L678" s="73">
        <f>IF(Tank1!$C$23="No control",(SUMIF(Tank1!$B$32:$B$49,$J678,Tank1!$C$32:$C$49)*Impacts!$F$8),0)</f>
        <v>0</v>
      </c>
      <c r="M678" s="10">
        <f>IF(Tank2!$C$23="No control",(SUMIF(Tank2!$B$32:$B$49,$J678,Tank2!$C$32:$C$49)*Impacts!$F$9),0)</f>
        <v>0</v>
      </c>
      <c r="N678" s="10">
        <f>IF(Tank3!$C$23="No control",(SUMIF(Tank3!$B$32:$B$49,$J678,Tank3!$C$32:$C$49)*Impacts!$F$10),0)</f>
        <v>0</v>
      </c>
      <c r="O678" s="10">
        <f>IF(Tank4!$C$23="No control",(SUMIF(Tank4!$B$32:$B$49,$J678,Tank4!$C$32:$C$49)*Impacts!$F$11),0)</f>
        <v>0</v>
      </c>
      <c r="P678" s="10">
        <f>IF(Tank5!$C$23="No control",(SUMIF(Tank5!$B$32:$B$49,$J678,Tank5!$C$32:$C$49)*Impacts!$F$12),0)</f>
        <v>0</v>
      </c>
      <c r="Q678" s="10">
        <f>IFERROR(IF(('Loading-drum,tote'!$C$21)="No control",SUMIF(('Loading-drum,tote'!$B$31:$B$48),$J678,('Loading-drum,tote'!$D$31:$D$48))*Impacts!$F$13,IF(('Loading-drum,tote'!$C$21)&lt;&gt;"No control",SUMIF(('Loading-drum,tote'!$B$31:$B$48),$J678,('Loading-drum,tote'!$E$31:$E$48))*Impacts!$F$13,0)),0)</f>
        <v>0</v>
      </c>
      <c r="R678" s="10">
        <f>IFERROR(IF(('Loading-truck'!$C$21)="No control",SUMIF(('Loading-truck'!$B$31:$B$48),$J678,('Loading-truck'!$D$31:$D$48))*Impacts!$F$14,IF(('Loading-truck'!$C$21)&lt;&gt;"No control",SUMIF(('Loading-truck'!$B$31:$B$48),$J678,('Loading-truck'!$E$31:$E$48))*Impacts!$F$14,0)),0)</f>
        <v>0</v>
      </c>
      <c r="S678" s="10">
        <f>IFERROR(IF(('Loading-rail'!$C$21)="No control",SUMIF(('Loading-rail'!$B$31:$B$48),$J678,('Loading-rail'!$D$31:$D$48))*Impacts!$F$15,IF(('Loading-rail'!$C$21)&lt;&gt;"No control",SUMIF(('Loading-rail'!$B$31:$B$48),$J678,('Loading-rail'!$E$31:$E$48))*Impacts!$F$15,0)),0)</f>
        <v>0</v>
      </c>
      <c r="T678" s="10">
        <f>IF(Flare!$C$7="",0,(SUMIF(Flare!$B$46:$B$185,$J678,Flare!$E$46:$E$185)*Impacts!$F$16))</f>
        <v>0</v>
      </c>
      <c r="U678" s="10">
        <f>IF(VCU!$C$9="",0,(SUMIF(VCU!$B$51:$B$193,$J678,VCU!$E$51:$E$193)*Impacts!$F$17))</f>
        <v>0</v>
      </c>
      <c r="V678" s="10">
        <f>IF(CAS!$C$7="",0,(SUMIF(CAS!$B$31:$B$167,$J678,CAS!$E$31:$E$167)*Impacts!$F$18))</f>
        <v>0</v>
      </c>
      <c r="W678" s="10">
        <f t="shared" si="52"/>
        <v>0</v>
      </c>
      <c r="AK678" s="10" t="str">
        <f t="array" ref="AK678">IFERROR(INDEX(SelectedSpecies,SMALL(IF(SelectedSpecies=AK$1,ROW(SelectedSpecies)),ROW(679:679)),2),"")</f>
        <v/>
      </c>
      <c r="BE678" s="10"/>
      <c r="BI678" s="10"/>
    </row>
    <row r="679" spans="1:61" ht="21" customHeight="1" x14ac:dyDescent="0.25">
      <c r="A679" s="10"/>
      <c r="B679" s="10"/>
      <c r="E679" s="10"/>
      <c r="G679" s="10"/>
      <c r="I679" s="436" t="s">
        <v>5734</v>
      </c>
      <c r="J679" s="26" t="s">
        <v>5733</v>
      </c>
      <c r="K679" s="10">
        <v>1</v>
      </c>
      <c r="L679" s="73">
        <f>IF(Tank1!$C$23="No control",(SUMIF(Tank1!$B$32:$B$49,$J679,Tank1!$C$32:$C$49)*Impacts!$F$8),0)</f>
        <v>0</v>
      </c>
      <c r="M679" s="10">
        <f>IF(Tank2!$C$23="No control",(SUMIF(Tank2!$B$32:$B$49,$J679,Tank2!$C$32:$C$49)*Impacts!$F$9),0)</f>
        <v>0</v>
      </c>
      <c r="N679" s="10">
        <f>IF(Tank3!$C$23="No control",(SUMIF(Tank3!$B$32:$B$49,$J679,Tank3!$C$32:$C$49)*Impacts!$F$10),0)</f>
        <v>0</v>
      </c>
      <c r="O679" s="10">
        <f>IF(Tank4!$C$23="No control",(SUMIF(Tank4!$B$32:$B$49,$J679,Tank4!$C$32:$C$49)*Impacts!$F$11),0)</f>
        <v>0</v>
      </c>
      <c r="P679" s="10">
        <f>IF(Tank5!$C$23="No control",(SUMIF(Tank5!$B$32:$B$49,$J679,Tank5!$C$32:$C$49)*Impacts!$F$12),0)</f>
        <v>0</v>
      </c>
      <c r="Q679" s="10">
        <f>IFERROR(IF(('Loading-drum,tote'!$C$21)="No control",SUMIF(('Loading-drum,tote'!$B$31:$B$48),$J679,('Loading-drum,tote'!$D$31:$D$48))*Impacts!$F$13,IF(('Loading-drum,tote'!$C$21)&lt;&gt;"No control",SUMIF(('Loading-drum,tote'!$B$31:$B$48),$J679,('Loading-drum,tote'!$E$31:$E$48))*Impacts!$F$13,0)),0)</f>
        <v>0</v>
      </c>
      <c r="R679" s="10">
        <f>IFERROR(IF(('Loading-truck'!$C$21)="No control",SUMIF(('Loading-truck'!$B$31:$B$48),$J679,('Loading-truck'!$D$31:$D$48))*Impacts!$F$14,IF(('Loading-truck'!$C$21)&lt;&gt;"No control",SUMIF(('Loading-truck'!$B$31:$B$48),$J679,('Loading-truck'!$E$31:$E$48))*Impacts!$F$14,0)),0)</f>
        <v>0</v>
      </c>
      <c r="S679" s="10">
        <f>IFERROR(IF(('Loading-rail'!$C$21)="No control",SUMIF(('Loading-rail'!$B$31:$B$48),$J679,('Loading-rail'!$D$31:$D$48))*Impacts!$F$15,IF(('Loading-rail'!$C$21)&lt;&gt;"No control",SUMIF(('Loading-rail'!$B$31:$B$48),$J679,('Loading-rail'!$E$31:$E$48))*Impacts!$F$15,0)),0)</f>
        <v>0</v>
      </c>
      <c r="T679" s="10">
        <f>IF(Flare!$C$7="",0,(SUMIF(Flare!$B$46:$B$185,$J679,Flare!$E$46:$E$185)*Impacts!$F$16))</f>
        <v>0</v>
      </c>
      <c r="U679" s="10">
        <f>IF(VCU!$C$9="",0,(SUMIF(VCU!$B$51:$B$193,$J679,VCU!$E$51:$E$193)*Impacts!$F$17))</f>
        <v>0</v>
      </c>
      <c r="V679" s="10">
        <f>IF(CAS!$C$7="",0,(SUMIF(CAS!$B$31:$B$167,$J679,CAS!$E$31:$E$167)*Impacts!$F$18))</f>
        <v>0</v>
      </c>
      <c r="W679" s="10">
        <f t="shared" si="52"/>
        <v>0</v>
      </c>
      <c r="AK679" s="10" t="str">
        <f t="array" ref="AK679">IFERROR(INDEX(SelectedSpecies,SMALL(IF(SelectedSpecies=AK$1,ROW(SelectedSpecies)),ROW(680:680)),2),"")</f>
        <v/>
      </c>
      <c r="BE679" s="10"/>
      <c r="BI679" s="10"/>
    </row>
    <row r="680" spans="1:61" ht="21" customHeight="1" x14ac:dyDescent="0.25">
      <c r="A680" s="10"/>
      <c r="B680" s="10"/>
      <c r="E680" s="10"/>
      <c r="G680" s="10"/>
      <c r="I680" s="436" t="s">
        <v>1831</v>
      </c>
      <c r="J680" s="26" t="s">
        <v>1830</v>
      </c>
      <c r="K680" s="10">
        <v>20</v>
      </c>
      <c r="L680" s="73">
        <f>IF(Tank1!$C$23="No control",(SUMIF(Tank1!$B$32:$B$49,$J680,Tank1!$C$32:$C$49)*Impacts!$F$8),0)</f>
        <v>0</v>
      </c>
      <c r="M680" s="10">
        <f>IF(Tank2!$C$23="No control",(SUMIF(Tank2!$B$32:$B$49,$J680,Tank2!$C$32:$C$49)*Impacts!$F$9),0)</f>
        <v>0</v>
      </c>
      <c r="N680" s="10">
        <f>IF(Tank3!$C$23="No control",(SUMIF(Tank3!$B$32:$B$49,$J680,Tank3!$C$32:$C$49)*Impacts!$F$10),0)</f>
        <v>0</v>
      </c>
      <c r="O680" s="10">
        <f>IF(Tank4!$C$23="No control",(SUMIF(Tank4!$B$32:$B$49,$J680,Tank4!$C$32:$C$49)*Impacts!$F$11),0)</f>
        <v>0</v>
      </c>
      <c r="P680" s="10">
        <f>IF(Tank5!$C$23="No control",(SUMIF(Tank5!$B$32:$B$49,$J680,Tank5!$C$32:$C$49)*Impacts!$F$12),0)</f>
        <v>0</v>
      </c>
      <c r="Q680" s="10">
        <f>IFERROR(IF(('Loading-drum,tote'!$C$21)="No control",SUMIF(('Loading-drum,tote'!$B$31:$B$48),$J680,('Loading-drum,tote'!$D$31:$D$48))*Impacts!$F$13,IF(('Loading-drum,tote'!$C$21)&lt;&gt;"No control",SUMIF(('Loading-drum,tote'!$B$31:$B$48),$J680,('Loading-drum,tote'!$E$31:$E$48))*Impacts!$F$13,0)),0)</f>
        <v>0</v>
      </c>
      <c r="R680" s="10">
        <f>IFERROR(IF(('Loading-truck'!$C$21)="No control",SUMIF(('Loading-truck'!$B$31:$B$48),$J680,('Loading-truck'!$D$31:$D$48))*Impacts!$F$14,IF(('Loading-truck'!$C$21)&lt;&gt;"No control",SUMIF(('Loading-truck'!$B$31:$B$48),$J680,('Loading-truck'!$E$31:$E$48))*Impacts!$F$14,0)),0)</f>
        <v>0</v>
      </c>
      <c r="S680" s="10">
        <f>IFERROR(IF(('Loading-rail'!$C$21)="No control",SUMIF(('Loading-rail'!$B$31:$B$48),$J680,('Loading-rail'!$D$31:$D$48))*Impacts!$F$15,IF(('Loading-rail'!$C$21)&lt;&gt;"No control",SUMIF(('Loading-rail'!$B$31:$B$48),$J680,('Loading-rail'!$E$31:$E$48))*Impacts!$F$15,0)),0)</f>
        <v>0</v>
      </c>
      <c r="T680" s="10">
        <f>IF(Flare!$C$7="",0,(SUMIF(Flare!$B$46:$B$185,$J680,Flare!$E$46:$E$185)*Impacts!$F$16))</f>
        <v>0</v>
      </c>
      <c r="U680" s="10">
        <f>IF(VCU!$C$9="",0,(SUMIF(VCU!$B$51:$B$193,$J680,VCU!$E$51:$E$193)*Impacts!$F$17))</f>
        <v>0</v>
      </c>
      <c r="V680" s="10">
        <f>IF(CAS!$C$7="",0,(SUMIF(CAS!$B$31:$B$167,$J680,CAS!$E$31:$E$167)*Impacts!$F$18))</f>
        <v>0</v>
      </c>
      <c r="W680" s="10">
        <f t="shared" si="52"/>
        <v>0</v>
      </c>
      <c r="AK680" s="10" t="str">
        <f t="array" ref="AK680">IFERROR(INDEX(SelectedSpecies,SMALL(IF(SelectedSpecies=AK$1,ROW(SelectedSpecies)),ROW(681:681)),2),"")</f>
        <v/>
      </c>
      <c r="BE680" s="10"/>
      <c r="BI680" s="10"/>
    </row>
    <row r="681" spans="1:61" ht="21" customHeight="1" x14ac:dyDescent="0.25">
      <c r="A681" s="10"/>
      <c r="B681" s="10"/>
      <c r="E681" s="10"/>
      <c r="G681" s="10"/>
      <c r="I681" s="436" t="s">
        <v>3909</v>
      </c>
      <c r="J681" s="26" t="s">
        <v>3908</v>
      </c>
      <c r="K681" s="10">
        <v>6</v>
      </c>
      <c r="L681" s="73">
        <f>IF(Tank1!$C$23="No control",(SUMIF(Tank1!$B$32:$B$49,$J681,Tank1!$C$32:$C$49)*Impacts!$F$8),0)</f>
        <v>0</v>
      </c>
      <c r="M681" s="10">
        <f>IF(Tank2!$C$23="No control",(SUMIF(Tank2!$B$32:$B$49,$J681,Tank2!$C$32:$C$49)*Impacts!$F$9),0)</f>
        <v>0</v>
      </c>
      <c r="N681" s="10">
        <f>IF(Tank3!$C$23="No control",(SUMIF(Tank3!$B$32:$B$49,$J681,Tank3!$C$32:$C$49)*Impacts!$F$10),0)</f>
        <v>0</v>
      </c>
      <c r="O681" s="10">
        <f>IF(Tank4!$C$23="No control",(SUMIF(Tank4!$B$32:$B$49,$J681,Tank4!$C$32:$C$49)*Impacts!$F$11),0)</f>
        <v>0</v>
      </c>
      <c r="P681" s="10">
        <f>IF(Tank5!$C$23="No control",(SUMIF(Tank5!$B$32:$B$49,$J681,Tank5!$C$32:$C$49)*Impacts!$F$12),0)</f>
        <v>0</v>
      </c>
      <c r="Q681" s="10">
        <f>IFERROR(IF(('Loading-drum,tote'!$C$21)="No control",SUMIF(('Loading-drum,tote'!$B$31:$B$48),$J681,('Loading-drum,tote'!$D$31:$D$48))*Impacts!$F$13,IF(('Loading-drum,tote'!$C$21)&lt;&gt;"No control",SUMIF(('Loading-drum,tote'!$B$31:$B$48),$J681,('Loading-drum,tote'!$E$31:$E$48))*Impacts!$F$13,0)),0)</f>
        <v>0</v>
      </c>
      <c r="R681" s="10">
        <f>IFERROR(IF(('Loading-truck'!$C$21)="No control",SUMIF(('Loading-truck'!$B$31:$B$48),$J681,('Loading-truck'!$D$31:$D$48))*Impacts!$F$14,IF(('Loading-truck'!$C$21)&lt;&gt;"No control",SUMIF(('Loading-truck'!$B$31:$B$48),$J681,('Loading-truck'!$E$31:$E$48))*Impacts!$F$14,0)),0)</f>
        <v>0</v>
      </c>
      <c r="S681" s="10">
        <f>IFERROR(IF(('Loading-rail'!$C$21)="No control",SUMIF(('Loading-rail'!$B$31:$B$48),$J681,('Loading-rail'!$D$31:$D$48))*Impacts!$F$15,IF(('Loading-rail'!$C$21)&lt;&gt;"No control",SUMIF(('Loading-rail'!$B$31:$B$48),$J681,('Loading-rail'!$E$31:$E$48))*Impacts!$F$15,0)),0)</f>
        <v>0</v>
      </c>
      <c r="T681" s="10">
        <f>IF(Flare!$C$7="",0,(SUMIF(Flare!$B$46:$B$185,$J681,Flare!$E$46:$E$185)*Impacts!$F$16))</f>
        <v>0</v>
      </c>
      <c r="U681" s="10">
        <f>IF(VCU!$C$9="",0,(SUMIF(VCU!$B$51:$B$193,$J681,VCU!$E$51:$E$193)*Impacts!$F$17))</f>
        <v>0</v>
      </c>
      <c r="V681" s="10">
        <f>IF(CAS!$C$7="",0,(SUMIF(CAS!$B$31:$B$167,$J681,CAS!$E$31:$E$167)*Impacts!$F$18))</f>
        <v>0</v>
      </c>
      <c r="W681" s="10">
        <f t="shared" si="52"/>
        <v>0</v>
      </c>
      <c r="AK681" s="10" t="str">
        <f t="array" ref="AK681">IFERROR(INDEX(SelectedSpecies,SMALL(IF(SelectedSpecies=AK$1,ROW(SelectedSpecies)),ROW(682:682)),2),"")</f>
        <v/>
      </c>
      <c r="BE681" s="10"/>
      <c r="BI681" s="10"/>
    </row>
    <row r="682" spans="1:61" ht="21" customHeight="1" x14ac:dyDescent="0.25">
      <c r="A682" s="10"/>
      <c r="B682" s="10"/>
      <c r="E682" s="10"/>
      <c r="G682" s="10"/>
      <c r="I682" s="436" t="s">
        <v>4949</v>
      </c>
      <c r="J682" s="26" t="s">
        <v>4948</v>
      </c>
      <c r="K682" s="10">
        <v>2.5</v>
      </c>
      <c r="L682" s="73">
        <f>IF(Tank1!$C$23="No control",(SUMIF(Tank1!$B$32:$B$49,$J682,Tank1!$C$32:$C$49)*Impacts!$F$8),0)</f>
        <v>0</v>
      </c>
      <c r="M682" s="10">
        <f>IF(Tank2!$C$23="No control",(SUMIF(Tank2!$B$32:$B$49,$J682,Tank2!$C$32:$C$49)*Impacts!$F$9),0)</f>
        <v>0</v>
      </c>
      <c r="N682" s="10">
        <f>IF(Tank3!$C$23="No control",(SUMIF(Tank3!$B$32:$B$49,$J682,Tank3!$C$32:$C$49)*Impacts!$F$10),0)</f>
        <v>0</v>
      </c>
      <c r="O682" s="10">
        <f>IF(Tank4!$C$23="No control",(SUMIF(Tank4!$B$32:$B$49,$J682,Tank4!$C$32:$C$49)*Impacts!$F$11),0)</f>
        <v>0</v>
      </c>
      <c r="P682" s="10">
        <f>IF(Tank5!$C$23="No control",(SUMIF(Tank5!$B$32:$B$49,$J682,Tank5!$C$32:$C$49)*Impacts!$F$12),0)</f>
        <v>0</v>
      </c>
      <c r="Q682" s="10">
        <f>IFERROR(IF(('Loading-drum,tote'!$C$21)="No control",SUMIF(('Loading-drum,tote'!$B$31:$B$48),$J682,('Loading-drum,tote'!$D$31:$D$48))*Impacts!$F$13,IF(('Loading-drum,tote'!$C$21)&lt;&gt;"No control",SUMIF(('Loading-drum,tote'!$B$31:$B$48),$J682,('Loading-drum,tote'!$E$31:$E$48))*Impacts!$F$13,0)),0)</f>
        <v>0</v>
      </c>
      <c r="R682" s="10">
        <f>IFERROR(IF(('Loading-truck'!$C$21)="No control",SUMIF(('Loading-truck'!$B$31:$B$48),$J682,('Loading-truck'!$D$31:$D$48))*Impacts!$F$14,IF(('Loading-truck'!$C$21)&lt;&gt;"No control",SUMIF(('Loading-truck'!$B$31:$B$48),$J682,('Loading-truck'!$E$31:$E$48))*Impacts!$F$14,0)),0)</f>
        <v>0</v>
      </c>
      <c r="S682" s="10">
        <f>IFERROR(IF(('Loading-rail'!$C$21)="No control",SUMIF(('Loading-rail'!$B$31:$B$48),$J682,('Loading-rail'!$D$31:$D$48))*Impacts!$F$15,IF(('Loading-rail'!$C$21)&lt;&gt;"No control",SUMIF(('Loading-rail'!$B$31:$B$48),$J682,('Loading-rail'!$E$31:$E$48))*Impacts!$F$15,0)),0)</f>
        <v>0</v>
      </c>
      <c r="T682" s="10">
        <f>IF(Flare!$C$7="",0,(SUMIF(Flare!$B$46:$B$185,$J682,Flare!$E$46:$E$185)*Impacts!$F$16))</f>
        <v>0</v>
      </c>
      <c r="U682" s="10">
        <f>IF(VCU!$C$9="",0,(SUMIF(VCU!$B$51:$B$193,$J682,VCU!$E$51:$E$193)*Impacts!$F$17))</f>
        <v>0</v>
      </c>
      <c r="V682" s="10">
        <f>IF(CAS!$C$7="",0,(SUMIF(CAS!$B$31:$B$167,$J682,CAS!$E$31:$E$167)*Impacts!$F$18))</f>
        <v>0</v>
      </c>
      <c r="W682" s="10">
        <f t="shared" si="52"/>
        <v>0</v>
      </c>
      <c r="AK682" s="10" t="str">
        <f t="array" ref="AK682">IFERROR(INDEX(SelectedSpecies,SMALL(IF(SelectedSpecies=AK$1,ROW(SelectedSpecies)),ROW(683:683)),2),"")</f>
        <v/>
      </c>
      <c r="BE682" s="10"/>
      <c r="BI682" s="10"/>
    </row>
    <row r="683" spans="1:61" ht="21" customHeight="1" x14ac:dyDescent="0.25">
      <c r="A683" s="10"/>
      <c r="B683" s="10"/>
      <c r="E683" s="10"/>
      <c r="G683" s="10"/>
      <c r="I683" s="436" t="s">
        <v>7850</v>
      </c>
      <c r="J683" s="26" t="s">
        <v>7849</v>
      </c>
      <c r="K683" s="10">
        <v>6.4000000000000001E-2</v>
      </c>
      <c r="L683" s="73">
        <f>IF(Tank1!$C$23="No control",(SUMIF(Tank1!$B$32:$B$49,$J683,Tank1!$C$32:$C$49)*Impacts!$F$8),0)</f>
        <v>0</v>
      </c>
      <c r="M683" s="10">
        <f>IF(Tank2!$C$23="No control",(SUMIF(Tank2!$B$32:$B$49,$J683,Tank2!$C$32:$C$49)*Impacts!$F$9),0)</f>
        <v>0</v>
      </c>
      <c r="N683" s="10">
        <f>IF(Tank3!$C$23="No control",(SUMIF(Tank3!$B$32:$B$49,$J683,Tank3!$C$32:$C$49)*Impacts!$F$10),0)</f>
        <v>0</v>
      </c>
      <c r="O683" s="10">
        <f>IF(Tank4!$C$23="No control",(SUMIF(Tank4!$B$32:$B$49,$J683,Tank4!$C$32:$C$49)*Impacts!$F$11),0)</f>
        <v>0</v>
      </c>
      <c r="P683" s="10">
        <f>IF(Tank5!$C$23="No control",(SUMIF(Tank5!$B$32:$B$49,$J683,Tank5!$C$32:$C$49)*Impacts!$F$12),0)</f>
        <v>0</v>
      </c>
      <c r="Q683" s="10">
        <f>IFERROR(IF(('Loading-drum,tote'!$C$21)="No control",SUMIF(('Loading-drum,tote'!$B$31:$B$48),$J683,('Loading-drum,tote'!$D$31:$D$48))*Impacts!$F$13,IF(('Loading-drum,tote'!$C$21)&lt;&gt;"No control",SUMIF(('Loading-drum,tote'!$B$31:$B$48),$J683,('Loading-drum,tote'!$E$31:$E$48))*Impacts!$F$13,0)),0)</f>
        <v>0</v>
      </c>
      <c r="R683" s="10">
        <f>IFERROR(IF(('Loading-truck'!$C$21)="No control",SUMIF(('Loading-truck'!$B$31:$B$48),$J683,('Loading-truck'!$D$31:$D$48))*Impacts!$F$14,IF(('Loading-truck'!$C$21)&lt;&gt;"No control",SUMIF(('Loading-truck'!$B$31:$B$48),$J683,('Loading-truck'!$E$31:$E$48))*Impacts!$F$14,0)),0)</f>
        <v>0</v>
      </c>
      <c r="S683" s="10">
        <f>IFERROR(IF(('Loading-rail'!$C$21)="No control",SUMIF(('Loading-rail'!$B$31:$B$48),$J683,('Loading-rail'!$D$31:$D$48))*Impacts!$F$15,IF(('Loading-rail'!$C$21)&lt;&gt;"No control",SUMIF(('Loading-rail'!$B$31:$B$48),$J683,('Loading-rail'!$E$31:$E$48))*Impacts!$F$15,0)),0)</f>
        <v>0</v>
      </c>
      <c r="T683" s="10">
        <f>IF(Flare!$C$7="",0,(SUMIF(Flare!$B$46:$B$185,$J683,Flare!$E$46:$E$185)*Impacts!$F$16))</f>
        <v>0</v>
      </c>
      <c r="U683" s="10">
        <f>IF(VCU!$C$9="",0,(SUMIF(VCU!$B$51:$B$193,$J683,VCU!$E$51:$E$193)*Impacts!$F$17))</f>
        <v>0</v>
      </c>
      <c r="V683" s="10">
        <f>IF(CAS!$C$7="",0,(SUMIF(CAS!$B$31:$B$167,$J683,CAS!$E$31:$E$167)*Impacts!$F$18))</f>
        <v>0</v>
      </c>
      <c r="W683" s="10">
        <f t="shared" si="52"/>
        <v>0</v>
      </c>
      <c r="AK683" s="10" t="str">
        <f t="array" ref="AK683">IFERROR(INDEX(SelectedSpecies,SMALL(IF(SelectedSpecies=AK$1,ROW(SelectedSpecies)),ROW(684:684)),2),"")</f>
        <v/>
      </c>
      <c r="BE683" s="10"/>
      <c r="BI683" s="10"/>
    </row>
    <row r="684" spans="1:61" ht="21" customHeight="1" x14ac:dyDescent="0.25">
      <c r="A684" s="10"/>
      <c r="B684" s="10"/>
      <c r="E684" s="10"/>
      <c r="G684" s="10"/>
      <c r="I684" s="436" t="s">
        <v>7692</v>
      </c>
      <c r="J684" s="26" t="s">
        <v>7691</v>
      </c>
      <c r="K684" s="10">
        <v>0.1</v>
      </c>
      <c r="L684" s="73">
        <f>IF(Tank1!$C$23="No control",(SUMIF(Tank1!$B$32:$B$49,$J684,Tank1!$C$32:$C$49)*Impacts!$F$8),0)</f>
        <v>0</v>
      </c>
      <c r="M684" s="10">
        <f>IF(Tank2!$C$23="No control",(SUMIF(Tank2!$B$32:$B$49,$J684,Tank2!$C$32:$C$49)*Impacts!$F$9),0)</f>
        <v>0</v>
      </c>
      <c r="N684" s="10">
        <f>IF(Tank3!$C$23="No control",(SUMIF(Tank3!$B$32:$B$49,$J684,Tank3!$C$32:$C$49)*Impacts!$F$10),0)</f>
        <v>0</v>
      </c>
      <c r="O684" s="10">
        <f>IF(Tank4!$C$23="No control",(SUMIF(Tank4!$B$32:$B$49,$J684,Tank4!$C$32:$C$49)*Impacts!$F$11),0)</f>
        <v>0</v>
      </c>
      <c r="P684" s="10">
        <f>IF(Tank5!$C$23="No control",(SUMIF(Tank5!$B$32:$B$49,$J684,Tank5!$C$32:$C$49)*Impacts!$F$12),0)</f>
        <v>0</v>
      </c>
      <c r="Q684" s="10">
        <f>IFERROR(IF(('Loading-drum,tote'!$C$21)="No control",SUMIF(('Loading-drum,tote'!$B$31:$B$48),$J684,('Loading-drum,tote'!$D$31:$D$48))*Impacts!$F$13,IF(('Loading-drum,tote'!$C$21)&lt;&gt;"No control",SUMIF(('Loading-drum,tote'!$B$31:$B$48),$J684,('Loading-drum,tote'!$E$31:$E$48))*Impacts!$F$13,0)),0)</f>
        <v>0</v>
      </c>
      <c r="R684" s="10">
        <f>IFERROR(IF(('Loading-truck'!$C$21)="No control",SUMIF(('Loading-truck'!$B$31:$B$48),$J684,('Loading-truck'!$D$31:$D$48))*Impacts!$F$14,IF(('Loading-truck'!$C$21)&lt;&gt;"No control",SUMIF(('Loading-truck'!$B$31:$B$48),$J684,('Loading-truck'!$E$31:$E$48))*Impacts!$F$14,0)),0)</f>
        <v>0</v>
      </c>
      <c r="S684" s="10">
        <f>IFERROR(IF(('Loading-rail'!$C$21)="No control",SUMIF(('Loading-rail'!$B$31:$B$48),$J684,('Loading-rail'!$D$31:$D$48))*Impacts!$F$15,IF(('Loading-rail'!$C$21)&lt;&gt;"No control",SUMIF(('Loading-rail'!$B$31:$B$48),$J684,('Loading-rail'!$E$31:$E$48))*Impacts!$F$15,0)),0)</f>
        <v>0</v>
      </c>
      <c r="T684" s="10">
        <f>IF(Flare!$C$7="",0,(SUMIF(Flare!$B$46:$B$185,$J684,Flare!$E$46:$E$185)*Impacts!$F$16))</f>
        <v>0</v>
      </c>
      <c r="U684" s="10">
        <f>IF(VCU!$C$9="",0,(SUMIF(VCU!$B$51:$B$193,$J684,VCU!$E$51:$E$193)*Impacts!$F$17))</f>
        <v>0</v>
      </c>
      <c r="V684" s="10">
        <f>IF(CAS!$C$7="",0,(SUMIF(CAS!$B$31:$B$167,$J684,CAS!$E$31:$E$167)*Impacts!$F$18))</f>
        <v>0</v>
      </c>
      <c r="W684" s="10">
        <f t="shared" si="52"/>
        <v>0</v>
      </c>
      <c r="AK684" s="10" t="str">
        <f t="array" ref="AK684">IFERROR(INDEX(SelectedSpecies,SMALL(IF(SelectedSpecies=AK$1,ROW(SelectedSpecies)),ROW(685:685)),2),"")</f>
        <v/>
      </c>
      <c r="BE684" s="10"/>
      <c r="BI684" s="10"/>
    </row>
    <row r="685" spans="1:61" ht="21" customHeight="1" x14ac:dyDescent="0.25">
      <c r="A685" s="10"/>
      <c r="B685" s="10"/>
      <c r="E685" s="10"/>
      <c r="G685" s="10"/>
      <c r="I685" s="436" t="s">
        <v>6752</v>
      </c>
      <c r="J685" s="26" t="s">
        <v>6751</v>
      </c>
      <c r="K685" s="10">
        <v>0.5</v>
      </c>
      <c r="L685" s="73">
        <f>IF(Tank1!$C$23="No control",(SUMIF(Tank1!$B$32:$B$49,$J685,Tank1!$C$32:$C$49)*Impacts!$F$8),0)</f>
        <v>0</v>
      </c>
      <c r="M685" s="10">
        <f>IF(Tank2!$C$23="No control",(SUMIF(Tank2!$B$32:$B$49,$J685,Tank2!$C$32:$C$49)*Impacts!$F$9),0)</f>
        <v>0</v>
      </c>
      <c r="N685" s="10">
        <f>IF(Tank3!$C$23="No control",(SUMIF(Tank3!$B$32:$B$49,$J685,Tank3!$C$32:$C$49)*Impacts!$F$10),0)</f>
        <v>0</v>
      </c>
      <c r="O685" s="10">
        <f>IF(Tank4!$C$23="No control",(SUMIF(Tank4!$B$32:$B$49,$J685,Tank4!$C$32:$C$49)*Impacts!$F$11),0)</f>
        <v>0</v>
      </c>
      <c r="P685" s="10">
        <f>IF(Tank5!$C$23="No control",(SUMIF(Tank5!$B$32:$B$49,$J685,Tank5!$C$32:$C$49)*Impacts!$F$12),0)</f>
        <v>0</v>
      </c>
      <c r="Q685" s="10">
        <f>IFERROR(IF(('Loading-drum,tote'!$C$21)="No control",SUMIF(('Loading-drum,tote'!$B$31:$B$48),$J685,('Loading-drum,tote'!$D$31:$D$48))*Impacts!$F$13,IF(('Loading-drum,tote'!$C$21)&lt;&gt;"No control",SUMIF(('Loading-drum,tote'!$B$31:$B$48),$J685,('Loading-drum,tote'!$E$31:$E$48))*Impacts!$F$13,0)),0)</f>
        <v>0</v>
      </c>
      <c r="R685" s="10">
        <f>IFERROR(IF(('Loading-truck'!$C$21)="No control",SUMIF(('Loading-truck'!$B$31:$B$48),$J685,('Loading-truck'!$D$31:$D$48))*Impacts!$F$14,IF(('Loading-truck'!$C$21)&lt;&gt;"No control",SUMIF(('Loading-truck'!$B$31:$B$48),$J685,('Loading-truck'!$E$31:$E$48))*Impacts!$F$14,0)),0)</f>
        <v>0</v>
      </c>
      <c r="S685" s="10">
        <f>IFERROR(IF(('Loading-rail'!$C$21)="No control",SUMIF(('Loading-rail'!$B$31:$B$48),$J685,('Loading-rail'!$D$31:$D$48))*Impacts!$F$15,IF(('Loading-rail'!$C$21)&lt;&gt;"No control",SUMIF(('Loading-rail'!$B$31:$B$48),$J685,('Loading-rail'!$E$31:$E$48))*Impacts!$F$15,0)),0)</f>
        <v>0</v>
      </c>
      <c r="T685" s="10">
        <f>IF(Flare!$C$7="",0,(SUMIF(Flare!$B$46:$B$185,$J685,Flare!$E$46:$E$185)*Impacts!$F$16))</f>
        <v>0</v>
      </c>
      <c r="U685" s="10">
        <f>IF(VCU!$C$9="",0,(SUMIF(VCU!$B$51:$B$193,$J685,VCU!$E$51:$E$193)*Impacts!$F$17))</f>
        <v>0</v>
      </c>
      <c r="V685" s="10">
        <f>IF(CAS!$C$7="",0,(SUMIF(CAS!$B$31:$B$167,$J685,CAS!$E$31:$E$167)*Impacts!$F$18))</f>
        <v>0</v>
      </c>
      <c r="W685" s="10">
        <f t="shared" si="52"/>
        <v>0</v>
      </c>
      <c r="AK685" s="10" t="str">
        <f t="array" ref="AK685">IFERROR(INDEX(SelectedSpecies,SMALL(IF(SelectedSpecies=AK$1,ROW(SelectedSpecies)),ROW(686:686)),2),"")</f>
        <v/>
      </c>
      <c r="BE685" s="10"/>
      <c r="BI685" s="10"/>
    </row>
    <row r="686" spans="1:61" ht="21" customHeight="1" x14ac:dyDescent="0.25">
      <c r="A686" s="10"/>
      <c r="B686" s="10"/>
      <c r="E686" s="10"/>
      <c r="G686" s="10"/>
      <c r="I686" s="436" t="s">
        <v>7896</v>
      </c>
      <c r="J686" s="26" t="s">
        <v>7895</v>
      </c>
      <c r="K686" s="10">
        <v>0.05</v>
      </c>
      <c r="L686" s="73">
        <f>IF(Tank1!$C$23="No control",(SUMIF(Tank1!$B$32:$B$49,$J686,Tank1!$C$32:$C$49)*Impacts!$F$8),0)</f>
        <v>0</v>
      </c>
      <c r="M686" s="10">
        <f>IF(Tank2!$C$23="No control",(SUMIF(Tank2!$B$32:$B$49,$J686,Tank2!$C$32:$C$49)*Impacts!$F$9),0)</f>
        <v>0</v>
      </c>
      <c r="N686" s="10">
        <f>IF(Tank3!$C$23="No control",(SUMIF(Tank3!$B$32:$B$49,$J686,Tank3!$C$32:$C$49)*Impacts!$F$10),0)</f>
        <v>0</v>
      </c>
      <c r="O686" s="10">
        <f>IF(Tank4!$C$23="No control",(SUMIF(Tank4!$B$32:$B$49,$J686,Tank4!$C$32:$C$49)*Impacts!$F$11),0)</f>
        <v>0</v>
      </c>
      <c r="P686" s="10">
        <f>IF(Tank5!$C$23="No control",(SUMIF(Tank5!$B$32:$B$49,$J686,Tank5!$C$32:$C$49)*Impacts!$F$12),0)</f>
        <v>0</v>
      </c>
      <c r="Q686" s="10">
        <f>IFERROR(IF(('Loading-drum,tote'!$C$21)="No control",SUMIF(('Loading-drum,tote'!$B$31:$B$48),$J686,('Loading-drum,tote'!$D$31:$D$48))*Impacts!$F$13,IF(('Loading-drum,tote'!$C$21)&lt;&gt;"No control",SUMIF(('Loading-drum,tote'!$B$31:$B$48),$J686,('Loading-drum,tote'!$E$31:$E$48))*Impacts!$F$13,0)),0)</f>
        <v>0</v>
      </c>
      <c r="R686" s="10">
        <f>IFERROR(IF(('Loading-truck'!$C$21)="No control",SUMIF(('Loading-truck'!$B$31:$B$48),$J686,('Loading-truck'!$D$31:$D$48))*Impacts!$F$14,IF(('Loading-truck'!$C$21)&lt;&gt;"No control",SUMIF(('Loading-truck'!$B$31:$B$48),$J686,('Loading-truck'!$E$31:$E$48))*Impacts!$F$14,0)),0)</f>
        <v>0</v>
      </c>
      <c r="S686" s="10">
        <f>IFERROR(IF(('Loading-rail'!$C$21)="No control",SUMIF(('Loading-rail'!$B$31:$B$48),$J686,('Loading-rail'!$D$31:$D$48))*Impacts!$F$15,IF(('Loading-rail'!$C$21)&lt;&gt;"No control",SUMIF(('Loading-rail'!$B$31:$B$48),$J686,('Loading-rail'!$E$31:$E$48))*Impacts!$F$15,0)),0)</f>
        <v>0</v>
      </c>
      <c r="T686" s="10">
        <f>IF(Flare!$C$7="",0,(SUMIF(Flare!$B$46:$B$185,$J686,Flare!$E$46:$E$185)*Impacts!$F$16))</f>
        <v>0</v>
      </c>
      <c r="U686" s="10">
        <f>IF(VCU!$C$9="",0,(SUMIF(VCU!$B$51:$B$193,$J686,VCU!$E$51:$E$193)*Impacts!$F$17))</f>
        <v>0</v>
      </c>
      <c r="V686" s="10">
        <f>IF(CAS!$C$7="",0,(SUMIF(CAS!$B$31:$B$167,$J686,CAS!$E$31:$E$167)*Impacts!$F$18))</f>
        <v>0</v>
      </c>
      <c r="W686" s="10">
        <f t="shared" si="52"/>
        <v>0</v>
      </c>
      <c r="AK686" s="10" t="str">
        <f t="array" ref="AK686">IFERROR(INDEX(SelectedSpecies,SMALL(IF(SelectedSpecies=AK$1,ROW(SelectedSpecies)),ROW(687:687)),2),"")</f>
        <v/>
      </c>
      <c r="BE686" s="10"/>
      <c r="BI686" s="10"/>
    </row>
    <row r="687" spans="1:61" ht="21" customHeight="1" x14ac:dyDescent="0.25">
      <c r="A687" s="10"/>
      <c r="B687" s="10"/>
      <c r="E687" s="10"/>
      <c r="G687" s="10"/>
      <c r="I687" s="436" t="s">
        <v>6754</v>
      </c>
      <c r="J687" s="26" t="s">
        <v>6753</v>
      </c>
      <c r="K687" s="10">
        <v>0.5</v>
      </c>
      <c r="L687" s="73">
        <f>IF(Tank1!$C$23="No control",(SUMIF(Tank1!$B$32:$B$49,$J687,Tank1!$C$32:$C$49)*Impacts!$F$8),0)</f>
        <v>0</v>
      </c>
      <c r="M687" s="10">
        <f>IF(Tank2!$C$23="No control",(SUMIF(Tank2!$B$32:$B$49,$J687,Tank2!$C$32:$C$49)*Impacts!$F$9),0)</f>
        <v>0</v>
      </c>
      <c r="N687" s="10">
        <f>IF(Tank3!$C$23="No control",(SUMIF(Tank3!$B$32:$B$49,$J687,Tank3!$C$32:$C$49)*Impacts!$F$10),0)</f>
        <v>0</v>
      </c>
      <c r="O687" s="10">
        <f>IF(Tank4!$C$23="No control",(SUMIF(Tank4!$B$32:$B$49,$J687,Tank4!$C$32:$C$49)*Impacts!$F$11),0)</f>
        <v>0</v>
      </c>
      <c r="P687" s="10">
        <f>IF(Tank5!$C$23="No control",(SUMIF(Tank5!$B$32:$B$49,$J687,Tank5!$C$32:$C$49)*Impacts!$F$12),0)</f>
        <v>0</v>
      </c>
      <c r="Q687" s="10">
        <f>IFERROR(IF(('Loading-drum,tote'!$C$21)="No control",SUMIF(('Loading-drum,tote'!$B$31:$B$48),$J687,('Loading-drum,tote'!$D$31:$D$48))*Impacts!$F$13,IF(('Loading-drum,tote'!$C$21)&lt;&gt;"No control",SUMIF(('Loading-drum,tote'!$B$31:$B$48),$J687,('Loading-drum,tote'!$E$31:$E$48))*Impacts!$F$13,0)),0)</f>
        <v>0</v>
      </c>
      <c r="R687" s="10">
        <f>IFERROR(IF(('Loading-truck'!$C$21)="No control",SUMIF(('Loading-truck'!$B$31:$B$48),$J687,('Loading-truck'!$D$31:$D$48))*Impacts!$F$14,IF(('Loading-truck'!$C$21)&lt;&gt;"No control",SUMIF(('Loading-truck'!$B$31:$B$48),$J687,('Loading-truck'!$E$31:$E$48))*Impacts!$F$14,0)),0)</f>
        <v>0</v>
      </c>
      <c r="S687" s="10">
        <f>IFERROR(IF(('Loading-rail'!$C$21)="No control",SUMIF(('Loading-rail'!$B$31:$B$48),$J687,('Loading-rail'!$D$31:$D$48))*Impacts!$F$15,IF(('Loading-rail'!$C$21)&lt;&gt;"No control",SUMIF(('Loading-rail'!$B$31:$B$48),$J687,('Loading-rail'!$E$31:$E$48))*Impacts!$F$15,0)),0)</f>
        <v>0</v>
      </c>
      <c r="T687" s="10">
        <f>IF(Flare!$C$7="",0,(SUMIF(Flare!$B$46:$B$185,$J687,Flare!$E$46:$E$185)*Impacts!$F$16))</f>
        <v>0</v>
      </c>
      <c r="U687" s="10">
        <f>IF(VCU!$C$9="",0,(SUMIF(VCU!$B$51:$B$193,$J687,VCU!$E$51:$E$193)*Impacts!$F$17))</f>
        <v>0</v>
      </c>
      <c r="V687" s="10">
        <f>IF(CAS!$C$7="",0,(SUMIF(CAS!$B$31:$B$167,$J687,CAS!$E$31:$E$167)*Impacts!$F$18))</f>
        <v>0</v>
      </c>
      <c r="W687" s="10">
        <f t="shared" si="52"/>
        <v>0</v>
      </c>
      <c r="AK687" s="10" t="str">
        <f t="array" ref="AK687">IFERROR(INDEX(SelectedSpecies,SMALL(IF(SelectedSpecies=AK$1,ROW(SelectedSpecies)),ROW(688:688)),2),"")</f>
        <v/>
      </c>
      <c r="BE687" s="10"/>
      <c r="BI687" s="10"/>
    </row>
    <row r="688" spans="1:61" ht="21" customHeight="1" x14ac:dyDescent="0.25">
      <c r="A688" s="10"/>
      <c r="B688" s="10"/>
      <c r="E688" s="10"/>
      <c r="G688" s="10"/>
      <c r="I688" s="436" t="s">
        <v>5736</v>
      </c>
      <c r="J688" s="26" t="s">
        <v>5735</v>
      </c>
      <c r="K688" s="10">
        <v>1</v>
      </c>
      <c r="L688" s="73">
        <f>IF(Tank1!$C$23="No control",(SUMIF(Tank1!$B$32:$B$49,$J688,Tank1!$C$32:$C$49)*Impacts!$F$8),0)</f>
        <v>0</v>
      </c>
      <c r="M688" s="10">
        <f>IF(Tank2!$C$23="No control",(SUMIF(Tank2!$B$32:$B$49,$J688,Tank2!$C$32:$C$49)*Impacts!$F$9),0)</f>
        <v>0</v>
      </c>
      <c r="N688" s="10">
        <f>IF(Tank3!$C$23="No control",(SUMIF(Tank3!$B$32:$B$49,$J688,Tank3!$C$32:$C$49)*Impacts!$F$10),0)</f>
        <v>0</v>
      </c>
      <c r="O688" s="10">
        <f>IF(Tank4!$C$23="No control",(SUMIF(Tank4!$B$32:$B$49,$J688,Tank4!$C$32:$C$49)*Impacts!$F$11),0)</f>
        <v>0</v>
      </c>
      <c r="P688" s="10">
        <f>IF(Tank5!$C$23="No control",(SUMIF(Tank5!$B$32:$B$49,$J688,Tank5!$C$32:$C$49)*Impacts!$F$12),0)</f>
        <v>0</v>
      </c>
      <c r="Q688" s="10">
        <f>IFERROR(IF(('Loading-drum,tote'!$C$21)="No control",SUMIF(('Loading-drum,tote'!$B$31:$B$48),$J688,('Loading-drum,tote'!$D$31:$D$48))*Impacts!$F$13,IF(('Loading-drum,tote'!$C$21)&lt;&gt;"No control",SUMIF(('Loading-drum,tote'!$B$31:$B$48),$J688,('Loading-drum,tote'!$E$31:$E$48))*Impacts!$F$13,0)),0)</f>
        <v>0</v>
      </c>
      <c r="R688" s="10">
        <f>IFERROR(IF(('Loading-truck'!$C$21)="No control",SUMIF(('Loading-truck'!$B$31:$B$48),$J688,('Loading-truck'!$D$31:$D$48))*Impacts!$F$14,IF(('Loading-truck'!$C$21)&lt;&gt;"No control",SUMIF(('Loading-truck'!$B$31:$B$48),$J688,('Loading-truck'!$E$31:$E$48))*Impacts!$F$14,0)),0)</f>
        <v>0</v>
      </c>
      <c r="S688" s="10">
        <f>IFERROR(IF(('Loading-rail'!$C$21)="No control",SUMIF(('Loading-rail'!$B$31:$B$48),$J688,('Loading-rail'!$D$31:$D$48))*Impacts!$F$15,IF(('Loading-rail'!$C$21)&lt;&gt;"No control",SUMIF(('Loading-rail'!$B$31:$B$48),$J688,('Loading-rail'!$E$31:$E$48))*Impacts!$F$15,0)),0)</f>
        <v>0</v>
      </c>
      <c r="T688" s="10">
        <f>IF(Flare!$C$7="",0,(SUMIF(Flare!$B$46:$B$185,$J688,Flare!$E$46:$E$185)*Impacts!$F$16))</f>
        <v>0</v>
      </c>
      <c r="U688" s="10">
        <f>IF(VCU!$C$9="",0,(SUMIF(VCU!$B$51:$B$193,$J688,VCU!$E$51:$E$193)*Impacts!$F$17))</f>
        <v>0</v>
      </c>
      <c r="V688" s="10">
        <f>IF(CAS!$C$7="",0,(SUMIF(CAS!$B$31:$B$167,$J688,CAS!$E$31:$E$167)*Impacts!$F$18))</f>
        <v>0</v>
      </c>
      <c r="W688" s="10">
        <f t="shared" si="52"/>
        <v>0</v>
      </c>
      <c r="AK688" s="10" t="str">
        <f t="array" ref="AK688">IFERROR(INDEX(SelectedSpecies,SMALL(IF(SelectedSpecies=AK$1,ROW(SelectedSpecies)),ROW(689:689)),2),"")</f>
        <v/>
      </c>
      <c r="BE688" s="10"/>
      <c r="BI688" s="10"/>
    </row>
    <row r="689" spans="1:61" ht="21" customHeight="1" x14ac:dyDescent="0.25">
      <c r="A689" s="10"/>
      <c r="B689" s="10"/>
      <c r="E689" s="10"/>
      <c r="G689" s="10"/>
      <c r="I689" s="436" t="s">
        <v>6294</v>
      </c>
      <c r="J689" s="26" t="s">
        <v>6293</v>
      </c>
      <c r="K689" s="10">
        <v>0.9</v>
      </c>
      <c r="L689" s="73">
        <f>IF(Tank1!$C$23="No control",(SUMIF(Tank1!$B$32:$B$49,$J689,Tank1!$C$32:$C$49)*Impacts!$F$8),0)</f>
        <v>0</v>
      </c>
      <c r="M689" s="10">
        <f>IF(Tank2!$C$23="No control",(SUMIF(Tank2!$B$32:$B$49,$J689,Tank2!$C$32:$C$49)*Impacts!$F$9),0)</f>
        <v>0</v>
      </c>
      <c r="N689" s="10">
        <f>IF(Tank3!$C$23="No control",(SUMIF(Tank3!$B$32:$B$49,$J689,Tank3!$C$32:$C$49)*Impacts!$F$10),0)</f>
        <v>0</v>
      </c>
      <c r="O689" s="10">
        <f>IF(Tank4!$C$23="No control",(SUMIF(Tank4!$B$32:$B$49,$J689,Tank4!$C$32:$C$49)*Impacts!$F$11),0)</f>
        <v>0</v>
      </c>
      <c r="P689" s="10">
        <f>IF(Tank5!$C$23="No control",(SUMIF(Tank5!$B$32:$B$49,$J689,Tank5!$C$32:$C$49)*Impacts!$F$12),0)</f>
        <v>0</v>
      </c>
      <c r="Q689" s="10">
        <f>IFERROR(IF(('Loading-drum,tote'!$C$21)="No control",SUMIF(('Loading-drum,tote'!$B$31:$B$48),$J689,('Loading-drum,tote'!$D$31:$D$48))*Impacts!$F$13,IF(('Loading-drum,tote'!$C$21)&lt;&gt;"No control",SUMIF(('Loading-drum,tote'!$B$31:$B$48),$J689,('Loading-drum,tote'!$E$31:$E$48))*Impacts!$F$13,0)),0)</f>
        <v>0</v>
      </c>
      <c r="R689" s="10">
        <f>IFERROR(IF(('Loading-truck'!$C$21)="No control",SUMIF(('Loading-truck'!$B$31:$B$48),$J689,('Loading-truck'!$D$31:$D$48))*Impacts!$F$14,IF(('Loading-truck'!$C$21)&lt;&gt;"No control",SUMIF(('Loading-truck'!$B$31:$B$48),$J689,('Loading-truck'!$E$31:$E$48))*Impacts!$F$14,0)),0)</f>
        <v>0</v>
      </c>
      <c r="S689" s="10">
        <f>IFERROR(IF(('Loading-rail'!$C$21)="No control",SUMIF(('Loading-rail'!$B$31:$B$48),$J689,('Loading-rail'!$D$31:$D$48))*Impacts!$F$15,IF(('Loading-rail'!$C$21)&lt;&gt;"No control",SUMIF(('Loading-rail'!$B$31:$B$48),$J689,('Loading-rail'!$E$31:$E$48))*Impacts!$F$15,0)),0)</f>
        <v>0</v>
      </c>
      <c r="T689" s="10">
        <f>IF(Flare!$C$7="",0,(SUMIF(Flare!$B$46:$B$185,$J689,Flare!$E$46:$E$185)*Impacts!$F$16))</f>
        <v>0</v>
      </c>
      <c r="U689" s="10">
        <f>IF(VCU!$C$9="",0,(SUMIF(VCU!$B$51:$B$193,$J689,VCU!$E$51:$E$193)*Impacts!$F$17))</f>
        <v>0</v>
      </c>
      <c r="V689" s="10">
        <f>IF(CAS!$C$7="",0,(SUMIF(CAS!$B$31:$B$167,$J689,CAS!$E$31:$E$167)*Impacts!$F$18))</f>
        <v>0</v>
      </c>
      <c r="W689" s="10">
        <f t="shared" si="52"/>
        <v>0</v>
      </c>
      <c r="AK689" s="10" t="str">
        <f t="array" ref="AK689">IFERROR(INDEX(SelectedSpecies,SMALL(IF(SelectedSpecies=AK$1,ROW(SelectedSpecies)),ROW(690:690)),2),"")</f>
        <v/>
      </c>
      <c r="BE689" s="10"/>
      <c r="BI689" s="10"/>
    </row>
    <row r="690" spans="1:61" ht="21" customHeight="1" x14ac:dyDescent="0.25">
      <c r="A690" s="10"/>
      <c r="B690" s="10"/>
      <c r="E690" s="10"/>
      <c r="G690" s="10"/>
      <c r="I690" s="436" t="s">
        <v>6624</v>
      </c>
      <c r="J690" s="26" t="s">
        <v>6623</v>
      </c>
      <c r="K690" s="10">
        <v>0.60000000000000009</v>
      </c>
      <c r="L690" s="73">
        <f>IF(Tank1!$C$23="No control",(SUMIF(Tank1!$B$32:$B$49,$J690,Tank1!$C$32:$C$49)*Impacts!$F$8),0)</f>
        <v>0</v>
      </c>
      <c r="M690" s="10">
        <f>IF(Tank2!$C$23="No control",(SUMIF(Tank2!$B$32:$B$49,$J690,Tank2!$C$32:$C$49)*Impacts!$F$9),0)</f>
        <v>0</v>
      </c>
      <c r="N690" s="10">
        <f>IF(Tank3!$C$23="No control",(SUMIF(Tank3!$B$32:$B$49,$J690,Tank3!$C$32:$C$49)*Impacts!$F$10),0)</f>
        <v>0</v>
      </c>
      <c r="O690" s="10">
        <f>IF(Tank4!$C$23="No control",(SUMIF(Tank4!$B$32:$B$49,$J690,Tank4!$C$32:$C$49)*Impacts!$F$11),0)</f>
        <v>0</v>
      </c>
      <c r="P690" s="10">
        <f>IF(Tank5!$C$23="No control",(SUMIF(Tank5!$B$32:$B$49,$J690,Tank5!$C$32:$C$49)*Impacts!$F$12),0)</f>
        <v>0</v>
      </c>
      <c r="Q690" s="10">
        <f>IFERROR(IF(('Loading-drum,tote'!$C$21)="No control",SUMIF(('Loading-drum,tote'!$B$31:$B$48),$J690,('Loading-drum,tote'!$D$31:$D$48))*Impacts!$F$13,IF(('Loading-drum,tote'!$C$21)&lt;&gt;"No control",SUMIF(('Loading-drum,tote'!$B$31:$B$48),$J690,('Loading-drum,tote'!$E$31:$E$48))*Impacts!$F$13,0)),0)</f>
        <v>0</v>
      </c>
      <c r="R690" s="10">
        <f>IFERROR(IF(('Loading-truck'!$C$21)="No control",SUMIF(('Loading-truck'!$B$31:$B$48),$J690,('Loading-truck'!$D$31:$D$48))*Impacts!$F$14,IF(('Loading-truck'!$C$21)&lt;&gt;"No control",SUMIF(('Loading-truck'!$B$31:$B$48),$J690,('Loading-truck'!$E$31:$E$48))*Impacts!$F$14,0)),0)</f>
        <v>0</v>
      </c>
      <c r="S690" s="10">
        <f>IFERROR(IF(('Loading-rail'!$C$21)="No control",SUMIF(('Loading-rail'!$B$31:$B$48),$J690,('Loading-rail'!$D$31:$D$48))*Impacts!$F$15,IF(('Loading-rail'!$C$21)&lt;&gt;"No control",SUMIF(('Loading-rail'!$B$31:$B$48),$J690,('Loading-rail'!$E$31:$E$48))*Impacts!$F$15,0)),0)</f>
        <v>0</v>
      </c>
      <c r="T690" s="10">
        <f>IF(Flare!$C$7="",0,(SUMIF(Flare!$B$46:$B$185,$J690,Flare!$E$46:$E$185)*Impacts!$F$16))</f>
        <v>0</v>
      </c>
      <c r="U690" s="10">
        <f>IF(VCU!$C$9="",0,(SUMIF(VCU!$B$51:$B$193,$J690,VCU!$E$51:$E$193)*Impacts!$F$17))</f>
        <v>0</v>
      </c>
      <c r="V690" s="10">
        <f>IF(CAS!$C$7="",0,(SUMIF(CAS!$B$31:$B$167,$J690,CAS!$E$31:$E$167)*Impacts!$F$18))</f>
        <v>0</v>
      </c>
      <c r="W690" s="10">
        <f t="shared" si="52"/>
        <v>0</v>
      </c>
      <c r="AK690" s="10" t="str">
        <f t="array" ref="AK690">IFERROR(INDEX(SelectedSpecies,SMALL(IF(SelectedSpecies=AK$1,ROW(SelectedSpecies)),ROW(691:691)),2),"")</f>
        <v/>
      </c>
      <c r="BE690" s="10"/>
      <c r="BI690" s="10"/>
    </row>
    <row r="691" spans="1:61" ht="21" customHeight="1" x14ac:dyDescent="0.25">
      <c r="A691" s="10"/>
      <c r="B691" s="10"/>
      <c r="E691" s="10"/>
      <c r="G691" s="10"/>
      <c r="I691" s="436" t="s">
        <v>4533</v>
      </c>
      <c r="J691" s="26" t="s">
        <v>4532</v>
      </c>
      <c r="K691" s="10">
        <v>4</v>
      </c>
      <c r="L691" s="73">
        <f>IF(Tank1!$C$23="No control",(SUMIF(Tank1!$B$32:$B$49,$J691,Tank1!$C$32:$C$49)*Impacts!$F$8),0)</f>
        <v>0</v>
      </c>
      <c r="M691" s="10">
        <f>IF(Tank2!$C$23="No control",(SUMIF(Tank2!$B$32:$B$49,$J691,Tank2!$C$32:$C$49)*Impacts!$F$9),0)</f>
        <v>0</v>
      </c>
      <c r="N691" s="10">
        <f>IF(Tank3!$C$23="No control",(SUMIF(Tank3!$B$32:$B$49,$J691,Tank3!$C$32:$C$49)*Impacts!$F$10),0)</f>
        <v>0</v>
      </c>
      <c r="O691" s="10">
        <f>IF(Tank4!$C$23="No control",(SUMIF(Tank4!$B$32:$B$49,$J691,Tank4!$C$32:$C$49)*Impacts!$F$11),0)</f>
        <v>0</v>
      </c>
      <c r="P691" s="10">
        <f>IF(Tank5!$C$23="No control",(SUMIF(Tank5!$B$32:$B$49,$J691,Tank5!$C$32:$C$49)*Impacts!$F$12),0)</f>
        <v>0</v>
      </c>
      <c r="Q691" s="10">
        <f>IFERROR(IF(('Loading-drum,tote'!$C$21)="No control",SUMIF(('Loading-drum,tote'!$B$31:$B$48),$J691,('Loading-drum,tote'!$D$31:$D$48))*Impacts!$F$13,IF(('Loading-drum,tote'!$C$21)&lt;&gt;"No control",SUMIF(('Loading-drum,tote'!$B$31:$B$48),$J691,('Loading-drum,tote'!$E$31:$E$48))*Impacts!$F$13,0)),0)</f>
        <v>0</v>
      </c>
      <c r="R691" s="10">
        <f>IFERROR(IF(('Loading-truck'!$C$21)="No control",SUMIF(('Loading-truck'!$B$31:$B$48),$J691,('Loading-truck'!$D$31:$D$48))*Impacts!$F$14,IF(('Loading-truck'!$C$21)&lt;&gt;"No control",SUMIF(('Loading-truck'!$B$31:$B$48),$J691,('Loading-truck'!$E$31:$E$48))*Impacts!$F$14,0)),0)</f>
        <v>0</v>
      </c>
      <c r="S691" s="10">
        <f>IFERROR(IF(('Loading-rail'!$C$21)="No control",SUMIF(('Loading-rail'!$B$31:$B$48),$J691,('Loading-rail'!$D$31:$D$48))*Impacts!$F$15,IF(('Loading-rail'!$C$21)&lt;&gt;"No control",SUMIF(('Loading-rail'!$B$31:$B$48),$J691,('Loading-rail'!$E$31:$E$48))*Impacts!$F$15,0)),0)</f>
        <v>0</v>
      </c>
      <c r="T691" s="10">
        <f>IF(Flare!$C$7="",0,(SUMIF(Flare!$B$46:$B$185,$J691,Flare!$E$46:$E$185)*Impacts!$F$16))</f>
        <v>0</v>
      </c>
      <c r="U691" s="10">
        <f>IF(VCU!$C$9="",0,(SUMIF(VCU!$B$51:$B$193,$J691,VCU!$E$51:$E$193)*Impacts!$F$17))</f>
        <v>0</v>
      </c>
      <c r="V691" s="10">
        <f>IF(CAS!$C$7="",0,(SUMIF(CAS!$B$31:$B$167,$J691,CAS!$E$31:$E$167)*Impacts!$F$18))</f>
        <v>0</v>
      </c>
      <c r="W691" s="10">
        <f t="shared" si="52"/>
        <v>0</v>
      </c>
      <c r="AK691" s="10" t="str">
        <f t="array" ref="AK691">IFERROR(INDEX(SelectedSpecies,SMALL(IF(SelectedSpecies=AK$1,ROW(SelectedSpecies)),ROW(692:692)),2),"")</f>
        <v/>
      </c>
      <c r="BE691" s="10"/>
      <c r="BI691" s="10"/>
    </row>
    <row r="692" spans="1:61" ht="21" customHeight="1" x14ac:dyDescent="0.25">
      <c r="A692" s="10"/>
      <c r="B692" s="10"/>
      <c r="E692" s="10"/>
      <c r="G692" s="10"/>
      <c r="I692" s="436" t="s">
        <v>4515</v>
      </c>
      <c r="J692" s="26" t="s">
        <v>4514</v>
      </c>
      <c r="K692" s="10">
        <v>4.1000000000000005</v>
      </c>
      <c r="L692" s="73">
        <f>IF(Tank1!$C$23="No control",(SUMIF(Tank1!$B$32:$B$49,$J692,Tank1!$C$32:$C$49)*Impacts!$F$8),0)</f>
        <v>0</v>
      </c>
      <c r="M692" s="10">
        <f>IF(Tank2!$C$23="No control",(SUMIF(Tank2!$B$32:$B$49,$J692,Tank2!$C$32:$C$49)*Impacts!$F$9),0)</f>
        <v>0</v>
      </c>
      <c r="N692" s="10">
        <f>IF(Tank3!$C$23="No control",(SUMIF(Tank3!$B$32:$B$49,$J692,Tank3!$C$32:$C$49)*Impacts!$F$10),0)</f>
        <v>0</v>
      </c>
      <c r="O692" s="10">
        <f>IF(Tank4!$C$23="No control",(SUMIF(Tank4!$B$32:$B$49,$J692,Tank4!$C$32:$C$49)*Impacts!$F$11),0)</f>
        <v>0</v>
      </c>
      <c r="P692" s="10">
        <f>IF(Tank5!$C$23="No control",(SUMIF(Tank5!$B$32:$B$49,$J692,Tank5!$C$32:$C$49)*Impacts!$F$12),0)</f>
        <v>0</v>
      </c>
      <c r="Q692" s="10">
        <f>IFERROR(IF(('Loading-drum,tote'!$C$21)="No control",SUMIF(('Loading-drum,tote'!$B$31:$B$48),$J692,('Loading-drum,tote'!$D$31:$D$48))*Impacts!$F$13,IF(('Loading-drum,tote'!$C$21)&lt;&gt;"No control",SUMIF(('Loading-drum,tote'!$B$31:$B$48),$J692,('Loading-drum,tote'!$E$31:$E$48))*Impacts!$F$13,0)),0)</f>
        <v>0</v>
      </c>
      <c r="R692" s="10">
        <f>IFERROR(IF(('Loading-truck'!$C$21)="No control",SUMIF(('Loading-truck'!$B$31:$B$48),$J692,('Loading-truck'!$D$31:$D$48))*Impacts!$F$14,IF(('Loading-truck'!$C$21)&lt;&gt;"No control",SUMIF(('Loading-truck'!$B$31:$B$48),$J692,('Loading-truck'!$E$31:$E$48))*Impacts!$F$14,0)),0)</f>
        <v>0</v>
      </c>
      <c r="S692" s="10">
        <f>IFERROR(IF(('Loading-rail'!$C$21)="No control",SUMIF(('Loading-rail'!$B$31:$B$48),$J692,('Loading-rail'!$D$31:$D$48))*Impacts!$F$15,IF(('Loading-rail'!$C$21)&lt;&gt;"No control",SUMIF(('Loading-rail'!$B$31:$B$48),$J692,('Loading-rail'!$E$31:$E$48))*Impacts!$F$15,0)),0)</f>
        <v>0</v>
      </c>
      <c r="T692" s="10">
        <f>IF(Flare!$C$7="",0,(SUMIF(Flare!$B$46:$B$185,$J692,Flare!$E$46:$E$185)*Impacts!$F$16))</f>
        <v>0</v>
      </c>
      <c r="U692" s="10">
        <f>IF(VCU!$C$9="",0,(SUMIF(VCU!$B$51:$B$193,$J692,VCU!$E$51:$E$193)*Impacts!$F$17))</f>
        <v>0</v>
      </c>
      <c r="V692" s="10">
        <f>IF(CAS!$C$7="",0,(SUMIF(CAS!$B$31:$B$167,$J692,CAS!$E$31:$E$167)*Impacts!$F$18))</f>
        <v>0</v>
      </c>
      <c r="W692" s="10">
        <f t="shared" si="52"/>
        <v>0</v>
      </c>
      <c r="AK692" s="10" t="str">
        <f t="array" ref="AK692">IFERROR(INDEX(SelectedSpecies,SMALL(IF(SelectedSpecies=AK$1,ROW(SelectedSpecies)),ROW(693:693)),2),"")</f>
        <v/>
      </c>
      <c r="BE692" s="10"/>
      <c r="BI692" s="10"/>
    </row>
    <row r="693" spans="1:61" ht="21" customHeight="1" x14ac:dyDescent="0.25">
      <c r="A693" s="10"/>
      <c r="B693" s="10"/>
      <c r="E693" s="10"/>
      <c r="G693" s="10"/>
      <c r="I693" s="436" t="s">
        <v>5738</v>
      </c>
      <c r="J693" s="26" t="s">
        <v>5737</v>
      </c>
      <c r="K693" s="10">
        <v>1</v>
      </c>
      <c r="L693" s="73">
        <f>IF(Tank1!$C$23="No control",(SUMIF(Tank1!$B$32:$B$49,$J693,Tank1!$C$32:$C$49)*Impacts!$F$8),0)</f>
        <v>0</v>
      </c>
      <c r="M693" s="10">
        <f>IF(Tank2!$C$23="No control",(SUMIF(Tank2!$B$32:$B$49,$J693,Tank2!$C$32:$C$49)*Impacts!$F$9),0)</f>
        <v>0</v>
      </c>
      <c r="N693" s="10">
        <f>IF(Tank3!$C$23="No control",(SUMIF(Tank3!$B$32:$B$49,$J693,Tank3!$C$32:$C$49)*Impacts!$F$10),0)</f>
        <v>0</v>
      </c>
      <c r="O693" s="10">
        <f>IF(Tank4!$C$23="No control",(SUMIF(Tank4!$B$32:$B$49,$J693,Tank4!$C$32:$C$49)*Impacts!$F$11),0)</f>
        <v>0</v>
      </c>
      <c r="P693" s="10">
        <f>IF(Tank5!$C$23="No control",(SUMIF(Tank5!$B$32:$B$49,$J693,Tank5!$C$32:$C$49)*Impacts!$F$12),0)</f>
        <v>0</v>
      </c>
      <c r="Q693" s="10">
        <f>IFERROR(IF(('Loading-drum,tote'!$C$21)="No control",SUMIF(('Loading-drum,tote'!$B$31:$B$48),$J693,('Loading-drum,tote'!$D$31:$D$48))*Impacts!$F$13,IF(('Loading-drum,tote'!$C$21)&lt;&gt;"No control",SUMIF(('Loading-drum,tote'!$B$31:$B$48),$J693,('Loading-drum,tote'!$E$31:$E$48))*Impacts!$F$13,0)),0)</f>
        <v>0</v>
      </c>
      <c r="R693" s="10">
        <f>IFERROR(IF(('Loading-truck'!$C$21)="No control",SUMIF(('Loading-truck'!$B$31:$B$48),$J693,('Loading-truck'!$D$31:$D$48))*Impacts!$F$14,IF(('Loading-truck'!$C$21)&lt;&gt;"No control",SUMIF(('Loading-truck'!$B$31:$B$48),$J693,('Loading-truck'!$E$31:$E$48))*Impacts!$F$14,0)),0)</f>
        <v>0</v>
      </c>
      <c r="S693" s="10">
        <f>IFERROR(IF(('Loading-rail'!$C$21)="No control",SUMIF(('Loading-rail'!$B$31:$B$48),$J693,('Loading-rail'!$D$31:$D$48))*Impacts!$F$15,IF(('Loading-rail'!$C$21)&lt;&gt;"No control",SUMIF(('Loading-rail'!$B$31:$B$48),$J693,('Loading-rail'!$E$31:$E$48))*Impacts!$F$15,0)),0)</f>
        <v>0</v>
      </c>
      <c r="T693" s="10">
        <f>IF(Flare!$C$7="",0,(SUMIF(Flare!$B$46:$B$185,$J693,Flare!$E$46:$E$185)*Impacts!$F$16))</f>
        <v>0</v>
      </c>
      <c r="U693" s="10">
        <f>IF(VCU!$C$9="",0,(SUMIF(VCU!$B$51:$B$193,$J693,VCU!$E$51:$E$193)*Impacts!$F$17))</f>
        <v>0</v>
      </c>
      <c r="V693" s="10">
        <f>IF(CAS!$C$7="",0,(SUMIF(CAS!$B$31:$B$167,$J693,CAS!$E$31:$E$167)*Impacts!$F$18))</f>
        <v>0</v>
      </c>
      <c r="W693" s="10">
        <f t="shared" si="52"/>
        <v>0</v>
      </c>
      <c r="AK693" s="10" t="str">
        <f t="array" ref="AK693">IFERROR(INDEX(SelectedSpecies,SMALL(IF(SelectedSpecies=AK$1,ROW(SelectedSpecies)),ROW(694:694)),2),"")</f>
        <v/>
      </c>
      <c r="BE693" s="10"/>
      <c r="BI693" s="10"/>
    </row>
    <row r="694" spans="1:61" ht="21" customHeight="1" x14ac:dyDescent="0.25">
      <c r="A694" s="10"/>
      <c r="B694" s="10"/>
      <c r="E694" s="10"/>
      <c r="G694" s="10"/>
      <c r="I694" s="436" t="s">
        <v>844</v>
      </c>
      <c r="J694" s="26" t="s">
        <v>843</v>
      </c>
      <c r="K694" s="10">
        <v>48</v>
      </c>
      <c r="L694" s="73">
        <f>IF(Tank1!$C$23="No control",(SUMIF(Tank1!$B$32:$B$49,$J694,Tank1!$C$32:$C$49)*Impacts!$F$8),0)</f>
        <v>0</v>
      </c>
      <c r="M694" s="10">
        <f>IF(Tank2!$C$23="No control",(SUMIF(Tank2!$B$32:$B$49,$J694,Tank2!$C$32:$C$49)*Impacts!$F$9),0)</f>
        <v>0</v>
      </c>
      <c r="N694" s="10">
        <f>IF(Tank3!$C$23="No control",(SUMIF(Tank3!$B$32:$B$49,$J694,Tank3!$C$32:$C$49)*Impacts!$F$10),0)</f>
        <v>0</v>
      </c>
      <c r="O694" s="10">
        <f>IF(Tank4!$C$23="No control",(SUMIF(Tank4!$B$32:$B$49,$J694,Tank4!$C$32:$C$49)*Impacts!$F$11),0)</f>
        <v>0</v>
      </c>
      <c r="P694" s="10">
        <f>IF(Tank5!$C$23="No control",(SUMIF(Tank5!$B$32:$B$49,$J694,Tank5!$C$32:$C$49)*Impacts!$F$12),0)</f>
        <v>0</v>
      </c>
      <c r="Q694" s="10">
        <f>IFERROR(IF(('Loading-drum,tote'!$C$21)="No control",SUMIF(('Loading-drum,tote'!$B$31:$B$48),$J694,('Loading-drum,tote'!$D$31:$D$48))*Impacts!$F$13,IF(('Loading-drum,tote'!$C$21)&lt;&gt;"No control",SUMIF(('Loading-drum,tote'!$B$31:$B$48),$J694,('Loading-drum,tote'!$E$31:$E$48))*Impacts!$F$13,0)),0)</f>
        <v>0</v>
      </c>
      <c r="R694" s="10">
        <f>IFERROR(IF(('Loading-truck'!$C$21)="No control",SUMIF(('Loading-truck'!$B$31:$B$48),$J694,('Loading-truck'!$D$31:$D$48))*Impacts!$F$14,IF(('Loading-truck'!$C$21)&lt;&gt;"No control",SUMIF(('Loading-truck'!$B$31:$B$48),$J694,('Loading-truck'!$E$31:$E$48))*Impacts!$F$14,0)),0)</f>
        <v>0</v>
      </c>
      <c r="S694" s="10">
        <f>IFERROR(IF(('Loading-rail'!$C$21)="No control",SUMIF(('Loading-rail'!$B$31:$B$48),$J694,('Loading-rail'!$D$31:$D$48))*Impacts!$F$15,IF(('Loading-rail'!$C$21)&lt;&gt;"No control",SUMIF(('Loading-rail'!$B$31:$B$48),$J694,('Loading-rail'!$E$31:$E$48))*Impacts!$F$15,0)),0)</f>
        <v>0</v>
      </c>
      <c r="T694" s="10">
        <f>IF(Flare!$C$7="",0,(SUMIF(Flare!$B$46:$B$185,$J694,Flare!$E$46:$E$185)*Impacts!$F$16))</f>
        <v>0</v>
      </c>
      <c r="U694" s="10">
        <f>IF(VCU!$C$9="",0,(SUMIF(VCU!$B$51:$B$193,$J694,VCU!$E$51:$E$193)*Impacts!$F$17))</f>
        <v>0</v>
      </c>
      <c r="V694" s="10">
        <f>IF(CAS!$C$7="",0,(SUMIF(CAS!$B$31:$B$167,$J694,CAS!$E$31:$E$167)*Impacts!$F$18))</f>
        <v>0</v>
      </c>
      <c r="W694" s="10">
        <f t="shared" si="52"/>
        <v>0</v>
      </c>
      <c r="AK694" s="10" t="str">
        <f t="array" ref="AK694">IFERROR(INDEX(SelectedSpecies,SMALL(IF(SelectedSpecies=AK$1,ROW(SelectedSpecies)),ROW(695:695)),2),"")</f>
        <v/>
      </c>
      <c r="BE694" s="10"/>
      <c r="BI694" s="10"/>
    </row>
    <row r="695" spans="1:61" ht="21" customHeight="1" x14ac:dyDescent="0.25">
      <c r="A695" s="10"/>
      <c r="B695" s="10"/>
      <c r="E695" s="10"/>
      <c r="G695" s="10"/>
      <c r="I695" s="436" t="s">
        <v>5740</v>
      </c>
      <c r="J695" s="26" t="s">
        <v>5739</v>
      </c>
      <c r="K695" s="10">
        <v>1</v>
      </c>
      <c r="L695" s="73">
        <f>IF(Tank1!$C$23="No control",(SUMIF(Tank1!$B$32:$B$49,$J695,Tank1!$C$32:$C$49)*Impacts!$F$8),0)</f>
        <v>0</v>
      </c>
      <c r="M695" s="10">
        <f>IF(Tank2!$C$23="No control",(SUMIF(Tank2!$B$32:$B$49,$J695,Tank2!$C$32:$C$49)*Impacts!$F$9),0)</f>
        <v>0</v>
      </c>
      <c r="N695" s="10">
        <f>IF(Tank3!$C$23="No control",(SUMIF(Tank3!$B$32:$B$49,$J695,Tank3!$C$32:$C$49)*Impacts!$F$10),0)</f>
        <v>0</v>
      </c>
      <c r="O695" s="10">
        <f>IF(Tank4!$C$23="No control",(SUMIF(Tank4!$B$32:$B$49,$J695,Tank4!$C$32:$C$49)*Impacts!$F$11),0)</f>
        <v>0</v>
      </c>
      <c r="P695" s="10">
        <f>IF(Tank5!$C$23="No control",(SUMIF(Tank5!$B$32:$B$49,$J695,Tank5!$C$32:$C$49)*Impacts!$F$12),0)</f>
        <v>0</v>
      </c>
      <c r="Q695" s="10">
        <f>IFERROR(IF(('Loading-drum,tote'!$C$21)="No control",SUMIF(('Loading-drum,tote'!$B$31:$B$48),$J695,('Loading-drum,tote'!$D$31:$D$48))*Impacts!$F$13,IF(('Loading-drum,tote'!$C$21)&lt;&gt;"No control",SUMIF(('Loading-drum,tote'!$B$31:$B$48),$J695,('Loading-drum,tote'!$E$31:$E$48))*Impacts!$F$13,0)),0)</f>
        <v>0</v>
      </c>
      <c r="R695" s="10">
        <f>IFERROR(IF(('Loading-truck'!$C$21)="No control",SUMIF(('Loading-truck'!$B$31:$B$48),$J695,('Loading-truck'!$D$31:$D$48))*Impacts!$F$14,IF(('Loading-truck'!$C$21)&lt;&gt;"No control",SUMIF(('Loading-truck'!$B$31:$B$48),$J695,('Loading-truck'!$E$31:$E$48))*Impacts!$F$14,0)),0)</f>
        <v>0</v>
      </c>
      <c r="S695" s="10">
        <f>IFERROR(IF(('Loading-rail'!$C$21)="No control",SUMIF(('Loading-rail'!$B$31:$B$48),$J695,('Loading-rail'!$D$31:$D$48))*Impacts!$F$15,IF(('Loading-rail'!$C$21)&lt;&gt;"No control",SUMIF(('Loading-rail'!$B$31:$B$48),$J695,('Loading-rail'!$E$31:$E$48))*Impacts!$F$15,0)),0)</f>
        <v>0</v>
      </c>
      <c r="T695" s="10">
        <f>IF(Flare!$C$7="",0,(SUMIF(Flare!$B$46:$B$185,$J695,Flare!$E$46:$E$185)*Impacts!$F$16))</f>
        <v>0</v>
      </c>
      <c r="U695" s="10">
        <f>IF(VCU!$C$9="",0,(SUMIF(VCU!$B$51:$B$193,$J695,VCU!$E$51:$E$193)*Impacts!$F$17))</f>
        <v>0</v>
      </c>
      <c r="V695" s="10">
        <f>IF(CAS!$C$7="",0,(SUMIF(CAS!$B$31:$B$167,$J695,CAS!$E$31:$E$167)*Impacts!$F$18))</f>
        <v>0</v>
      </c>
      <c r="W695" s="10">
        <f t="shared" si="52"/>
        <v>0</v>
      </c>
      <c r="AK695" s="10" t="str">
        <f t="array" ref="AK695">IFERROR(INDEX(SelectedSpecies,SMALL(IF(SelectedSpecies=AK$1,ROW(SelectedSpecies)),ROW(696:696)),2),"")</f>
        <v/>
      </c>
      <c r="BE695" s="10"/>
      <c r="BI695" s="10"/>
    </row>
    <row r="696" spans="1:61" ht="21" customHeight="1" x14ac:dyDescent="0.25">
      <c r="A696" s="10"/>
      <c r="B696" s="10"/>
      <c r="E696" s="10"/>
      <c r="G696" s="10"/>
      <c r="I696" s="436" t="s">
        <v>7866</v>
      </c>
      <c r="J696" s="26" t="s">
        <v>7865</v>
      </c>
      <c r="K696" s="10">
        <v>0.06</v>
      </c>
      <c r="L696" s="73">
        <f>IF(Tank1!$C$23="No control",(SUMIF(Tank1!$B$32:$B$49,$J696,Tank1!$C$32:$C$49)*Impacts!$F$8),0)</f>
        <v>0</v>
      </c>
      <c r="M696" s="10">
        <f>IF(Tank2!$C$23="No control",(SUMIF(Tank2!$B$32:$B$49,$J696,Tank2!$C$32:$C$49)*Impacts!$F$9),0)</f>
        <v>0</v>
      </c>
      <c r="N696" s="10">
        <f>IF(Tank3!$C$23="No control",(SUMIF(Tank3!$B$32:$B$49,$J696,Tank3!$C$32:$C$49)*Impacts!$F$10),0)</f>
        <v>0</v>
      </c>
      <c r="O696" s="10">
        <f>IF(Tank4!$C$23="No control",(SUMIF(Tank4!$B$32:$B$49,$J696,Tank4!$C$32:$C$49)*Impacts!$F$11),0)</f>
        <v>0</v>
      </c>
      <c r="P696" s="10">
        <f>IF(Tank5!$C$23="No control",(SUMIF(Tank5!$B$32:$B$49,$J696,Tank5!$C$32:$C$49)*Impacts!$F$12),0)</f>
        <v>0</v>
      </c>
      <c r="Q696" s="10">
        <f>IFERROR(IF(('Loading-drum,tote'!$C$21)="No control",SUMIF(('Loading-drum,tote'!$B$31:$B$48),$J696,('Loading-drum,tote'!$D$31:$D$48))*Impacts!$F$13,IF(('Loading-drum,tote'!$C$21)&lt;&gt;"No control",SUMIF(('Loading-drum,tote'!$B$31:$B$48),$J696,('Loading-drum,tote'!$E$31:$E$48))*Impacts!$F$13,0)),0)</f>
        <v>0</v>
      </c>
      <c r="R696" s="10">
        <f>IFERROR(IF(('Loading-truck'!$C$21)="No control",SUMIF(('Loading-truck'!$B$31:$B$48),$J696,('Loading-truck'!$D$31:$D$48))*Impacts!$F$14,IF(('Loading-truck'!$C$21)&lt;&gt;"No control",SUMIF(('Loading-truck'!$B$31:$B$48),$J696,('Loading-truck'!$E$31:$E$48))*Impacts!$F$14,0)),0)</f>
        <v>0</v>
      </c>
      <c r="S696" s="10">
        <f>IFERROR(IF(('Loading-rail'!$C$21)="No control",SUMIF(('Loading-rail'!$B$31:$B$48),$J696,('Loading-rail'!$D$31:$D$48))*Impacts!$F$15,IF(('Loading-rail'!$C$21)&lt;&gt;"No control",SUMIF(('Loading-rail'!$B$31:$B$48),$J696,('Loading-rail'!$E$31:$E$48))*Impacts!$F$15,0)),0)</f>
        <v>0</v>
      </c>
      <c r="T696" s="10">
        <f>IF(Flare!$C$7="",0,(SUMIF(Flare!$B$46:$B$185,$J696,Flare!$E$46:$E$185)*Impacts!$F$16))</f>
        <v>0</v>
      </c>
      <c r="U696" s="10">
        <f>IF(VCU!$C$9="",0,(SUMIF(VCU!$B$51:$B$193,$J696,VCU!$E$51:$E$193)*Impacts!$F$17))</f>
        <v>0</v>
      </c>
      <c r="V696" s="10">
        <f>IF(CAS!$C$7="",0,(SUMIF(CAS!$B$31:$B$167,$J696,CAS!$E$31:$E$167)*Impacts!$F$18))</f>
        <v>0</v>
      </c>
      <c r="W696" s="10">
        <f t="shared" si="52"/>
        <v>0</v>
      </c>
      <c r="AK696" s="10" t="str">
        <f t="array" ref="AK696">IFERROR(INDEX(SelectedSpecies,SMALL(IF(SelectedSpecies=AK$1,ROW(SelectedSpecies)),ROW(697:697)),2),"")</f>
        <v/>
      </c>
      <c r="BE696" s="10"/>
      <c r="BI696" s="10"/>
    </row>
    <row r="697" spans="1:61" ht="21" customHeight="1" x14ac:dyDescent="0.25">
      <c r="A697" s="10"/>
      <c r="B697" s="10"/>
      <c r="E697" s="10"/>
      <c r="G697" s="10"/>
      <c r="I697" s="436" t="s">
        <v>5742</v>
      </c>
      <c r="J697" s="26" t="s">
        <v>5741</v>
      </c>
      <c r="K697" s="10">
        <v>1</v>
      </c>
      <c r="L697" s="73">
        <f>IF(Tank1!$C$23="No control",(SUMIF(Tank1!$B$32:$B$49,$J697,Tank1!$C$32:$C$49)*Impacts!$F$8),0)</f>
        <v>0</v>
      </c>
      <c r="M697" s="10">
        <f>IF(Tank2!$C$23="No control",(SUMIF(Tank2!$B$32:$B$49,$J697,Tank2!$C$32:$C$49)*Impacts!$F$9),0)</f>
        <v>0</v>
      </c>
      <c r="N697" s="10">
        <f>IF(Tank3!$C$23="No control",(SUMIF(Tank3!$B$32:$B$49,$J697,Tank3!$C$32:$C$49)*Impacts!$F$10),0)</f>
        <v>0</v>
      </c>
      <c r="O697" s="10">
        <f>IF(Tank4!$C$23="No control",(SUMIF(Tank4!$B$32:$B$49,$J697,Tank4!$C$32:$C$49)*Impacts!$F$11),0)</f>
        <v>0</v>
      </c>
      <c r="P697" s="10">
        <f>IF(Tank5!$C$23="No control",(SUMIF(Tank5!$B$32:$B$49,$J697,Tank5!$C$32:$C$49)*Impacts!$F$12),0)</f>
        <v>0</v>
      </c>
      <c r="Q697" s="10">
        <f>IFERROR(IF(('Loading-drum,tote'!$C$21)="No control",SUMIF(('Loading-drum,tote'!$B$31:$B$48),$J697,('Loading-drum,tote'!$D$31:$D$48))*Impacts!$F$13,IF(('Loading-drum,tote'!$C$21)&lt;&gt;"No control",SUMIF(('Loading-drum,tote'!$B$31:$B$48),$J697,('Loading-drum,tote'!$E$31:$E$48))*Impacts!$F$13,0)),0)</f>
        <v>0</v>
      </c>
      <c r="R697" s="10">
        <f>IFERROR(IF(('Loading-truck'!$C$21)="No control",SUMIF(('Loading-truck'!$B$31:$B$48),$J697,('Loading-truck'!$D$31:$D$48))*Impacts!$F$14,IF(('Loading-truck'!$C$21)&lt;&gt;"No control",SUMIF(('Loading-truck'!$B$31:$B$48),$J697,('Loading-truck'!$E$31:$E$48))*Impacts!$F$14,0)),0)</f>
        <v>0</v>
      </c>
      <c r="S697" s="10">
        <f>IFERROR(IF(('Loading-rail'!$C$21)="No control",SUMIF(('Loading-rail'!$B$31:$B$48),$J697,('Loading-rail'!$D$31:$D$48))*Impacts!$F$15,IF(('Loading-rail'!$C$21)&lt;&gt;"No control",SUMIF(('Loading-rail'!$B$31:$B$48),$J697,('Loading-rail'!$E$31:$E$48))*Impacts!$F$15,0)),0)</f>
        <v>0</v>
      </c>
      <c r="T697" s="10">
        <f>IF(Flare!$C$7="",0,(SUMIF(Flare!$B$46:$B$185,$J697,Flare!$E$46:$E$185)*Impacts!$F$16))</f>
        <v>0</v>
      </c>
      <c r="U697" s="10">
        <f>IF(VCU!$C$9="",0,(SUMIF(VCU!$B$51:$B$193,$J697,VCU!$E$51:$E$193)*Impacts!$F$17))</f>
        <v>0</v>
      </c>
      <c r="V697" s="10">
        <f>IF(CAS!$C$7="",0,(SUMIF(CAS!$B$31:$B$167,$J697,CAS!$E$31:$E$167)*Impacts!$F$18))</f>
        <v>0</v>
      </c>
      <c r="W697" s="10">
        <f t="shared" si="52"/>
        <v>0</v>
      </c>
      <c r="AK697" s="10" t="str">
        <f t="array" ref="AK697">IFERROR(INDEX(SelectedSpecies,SMALL(IF(SelectedSpecies=AK$1,ROW(SelectedSpecies)),ROW(698:698)),2),"")</f>
        <v/>
      </c>
      <c r="BE697" s="10"/>
      <c r="BI697" s="10"/>
    </row>
    <row r="698" spans="1:61" ht="21" customHeight="1" x14ac:dyDescent="0.25">
      <c r="A698" s="10"/>
      <c r="B698" s="10"/>
      <c r="E698" s="10"/>
      <c r="G698" s="10"/>
      <c r="I698" s="436" t="s">
        <v>4357</v>
      </c>
      <c r="J698" s="26" t="s">
        <v>4356</v>
      </c>
      <c r="K698" s="10">
        <v>4.8000000000000007</v>
      </c>
      <c r="L698" s="73">
        <f>IF(Tank1!$C$23="No control",(SUMIF(Tank1!$B$32:$B$49,$J698,Tank1!$C$32:$C$49)*Impacts!$F$8),0)</f>
        <v>0</v>
      </c>
      <c r="M698" s="10">
        <f>IF(Tank2!$C$23="No control",(SUMIF(Tank2!$B$32:$B$49,$J698,Tank2!$C$32:$C$49)*Impacts!$F$9),0)</f>
        <v>0</v>
      </c>
      <c r="N698" s="10">
        <f>IF(Tank3!$C$23="No control",(SUMIF(Tank3!$B$32:$B$49,$J698,Tank3!$C$32:$C$49)*Impacts!$F$10),0)</f>
        <v>0</v>
      </c>
      <c r="O698" s="10">
        <f>IF(Tank4!$C$23="No control",(SUMIF(Tank4!$B$32:$B$49,$J698,Tank4!$C$32:$C$49)*Impacts!$F$11),0)</f>
        <v>0</v>
      </c>
      <c r="P698" s="10">
        <f>IF(Tank5!$C$23="No control",(SUMIF(Tank5!$B$32:$B$49,$J698,Tank5!$C$32:$C$49)*Impacts!$F$12),0)</f>
        <v>0</v>
      </c>
      <c r="Q698" s="10">
        <f>IFERROR(IF(('Loading-drum,tote'!$C$21)="No control",SUMIF(('Loading-drum,tote'!$B$31:$B$48),$J698,('Loading-drum,tote'!$D$31:$D$48))*Impacts!$F$13,IF(('Loading-drum,tote'!$C$21)&lt;&gt;"No control",SUMIF(('Loading-drum,tote'!$B$31:$B$48),$J698,('Loading-drum,tote'!$E$31:$E$48))*Impacts!$F$13,0)),0)</f>
        <v>0</v>
      </c>
      <c r="R698" s="10">
        <f>IFERROR(IF(('Loading-truck'!$C$21)="No control",SUMIF(('Loading-truck'!$B$31:$B$48),$J698,('Loading-truck'!$D$31:$D$48))*Impacts!$F$14,IF(('Loading-truck'!$C$21)&lt;&gt;"No control",SUMIF(('Loading-truck'!$B$31:$B$48),$J698,('Loading-truck'!$E$31:$E$48))*Impacts!$F$14,0)),0)</f>
        <v>0</v>
      </c>
      <c r="S698" s="10">
        <f>IFERROR(IF(('Loading-rail'!$C$21)="No control",SUMIF(('Loading-rail'!$B$31:$B$48),$J698,('Loading-rail'!$D$31:$D$48))*Impacts!$F$15,IF(('Loading-rail'!$C$21)&lt;&gt;"No control",SUMIF(('Loading-rail'!$B$31:$B$48),$J698,('Loading-rail'!$E$31:$E$48))*Impacts!$F$15,0)),0)</f>
        <v>0</v>
      </c>
      <c r="T698" s="10">
        <f>IF(Flare!$C$7="",0,(SUMIF(Flare!$B$46:$B$185,$J698,Flare!$E$46:$E$185)*Impacts!$F$16))</f>
        <v>0</v>
      </c>
      <c r="U698" s="10">
        <f>IF(VCU!$C$9="",0,(SUMIF(VCU!$B$51:$B$193,$J698,VCU!$E$51:$E$193)*Impacts!$F$17))</f>
        <v>0</v>
      </c>
      <c r="V698" s="10">
        <f>IF(CAS!$C$7="",0,(SUMIF(CAS!$B$31:$B$167,$J698,CAS!$E$31:$E$167)*Impacts!$F$18))</f>
        <v>0</v>
      </c>
      <c r="W698" s="10">
        <f t="shared" si="52"/>
        <v>0</v>
      </c>
      <c r="AK698" s="10" t="str">
        <f t="array" ref="AK698">IFERROR(INDEX(SelectedSpecies,SMALL(IF(SelectedSpecies=AK$1,ROW(SelectedSpecies)),ROW(699:699)),2),"")</f>
        <v/>
      </c>
      <c r="BE698" s="10"/>
      <c r="BI698" s="10"/>
    </row>
    <row r="699" spans="1:61" ht="21" customHeight="1" x14ac:dyDescent="0.25">
      <c r="A699" s="10"/>
      <c r="B699" s="10"/>
      <c r="E699" s="10"/>
      <c r="G699" s="10"/>
      <c r="I699" s="436" t="s">
        <v>2425</v>
      </c>
      <c r="J699" s="26" t="s">
        <v>2424</v>
      </c>
      <c r="K699" s="10">
        <v>10</v>
      </c>
      <c r="L699" s="73">
        <f>IF(Tank1!$C$23="No control",(SUMIF(Tank1!$B$32:$B$49,$J699,Tank1!$C$32:$C$49)*Impacts!$F$8),0)</f>
        <v>0</v>
      </c>
      <c r="M699" s="10">
        <f>IF(Tank2!$C$23="No control",(SUMIF(Tank2!$B$32:$B$49,$J699,Tank2!$C$32:$C$49)*Impacts!$F$9),0)</f>
        <v>0</v>
      </c>
      <c r="N699" s="10">
        <f>IF(Tank3!$C$23="No control",(SUMIF(Tank3!$B$32:$B$49,$J699,Tank3!$C$32:$C$49)*Impacts!$F$10),0)</f>
        <v>0</v>
      </c>
      <c r="O699" s="10">
        <f>IF(Tank4!$C$23="No control",(SUMIF(Tank4!$B$32:$B$49,$J699,Tank4!$C$32:$C$49)*Impacts!$F$11),0)</f>
        <v>0</v>
      </c>
      <c r="P699" s="10">
        <f>IF(Tank5!$C$23="No control",(SUMIF(Tank5!$B$32:$B$49,$J699,Tank5!$C$32:$C$49)*Impacts!$F$12),0)</f>
        <v>0</v>
      </c>
      <c r="Q699" s="10">
        <f>IFERROR(IF(('Loading-drum,tote'!$C$21)="No control",SUMIF(('Loading-drum,tote'!$B$31:$B$48),$J699,('Loading-drum,tote'!$D$31:$D$48))*Impacts!$F$13,IF(('Loading-drum,tote'!$C$21)&lt;&gt;"No control",SUMIF(('Loading-drum,tote'!$B$31:$B$48),$J699,('Loading-drum,tote'!$E$31:$E$48))*Impacts!$F$13,0)),0)</f>
        <v>0</v>
      </c>
      <c r="R699" s="10">
        <f>IFERROR(IF(('Loading-truck'!$C$21)="No control",SUMIF(('Loading-truck'!$B$31:$B$48),$J699,('Loading-truck'!$D$31:$D$48))*Impacts!$F$14,IF(('Loading-truck'!$C$21)&lt;&gt;"No control",SUMIF(('Loading-truck'!$B$31:$B$48),$J699,('Loading-truck'!$E$31:$E$48))*Impacts!$F$14,0)),0)</f>
        <v>0</v>
      </c>
      <c r="S699" s="10">
        <f>IFERROR(IF(('Loading-rail'!$C$21)="No control",SUMIF(('Loading-rail'!$B$31:$B$48),$J699,('Loading-rail'!$D$31:$D$48))*Impacts!$F$15,IF(('Loading-rail'!$C$21)&lt;&gt;"No control",SUMIF(('Loading-rail'!$B$31:$B$48),$J699,('Loading-rail'!$E$31:$E$48))*Impacts!$F$15,0)),0)</f>
        <v>0</v>
      </c>
      <c r="T699" s="10">
        <f>IF(Flare!$C$7="",0,(SUMIF(Flare!$B$46:$B$185,$J699,Flare!$E$46:$E$185)*Impacts!$F$16))</f>
        <v>0</v>
      </c>
      <c r="U699" s="10">
        <f>IF(VCU!$C$9="",0,(SUMIF(VCU!$B$51:$B$193,$J699,VCU!$E$51:$E$193)*Impacts!$F$17))</f>
        <v>0</v>
      </c>
      <c r="V699" s="10">
        <f>IF(CAS!$C$7="",0,(SUMIF(CAS!$B$31:$B$167,$J699,CAS!$E$31:$E$167)*Impacts!$F$18))</f>
        <v>0</v>
      </c>
      <c r="W699" s="10">
        <f t="shared" si="52"/>
        <v>0</v>
      </c>
      <c r="AK699" s="10" t="str">
        <f t="array" ref="AK699">IFERROR(INDEX(SelectedSpecies,SMALL(IF(SelectedSpecies=AK$1,ROW(SelectedSpecies)),ROW(700:700)),2),"")</f>
        <v/>
      </c>
      <c r="BE699" s="10"/>
      <c r="BI699" s="10"/>
    </row>
    <row r="700" spans="1:61" ht="21" customHeight="1" x14ac:dyDescent="0.25">
      <c r="A700" s="10"/>
      <c r="B700" s="10"/>
      <c r="E700" s="10"/>
      <c r="G700" s="10"/>
      <c r="I700" s="436" t="s">
        <v>4255</v>
      </c>
      <c r="J700" s="26" t="s">
        <v>4254</v>
      </c>
      <c r="K700" s="10">
        <v>5</v>
      </c>
      <c r="L700" s="73">
        <f>IF(Tank1!$C$23="No control",(SUMIF(Tank1!$B$32:$B$49,$J700,Tank1!$C$32:$C$49)*Impacts!$F$8),0)</f>
        <v>0</v>
      </c>
      <c r="M700" s="10">
        <f>IF(Tank2!$C$23="No control",(SUMIF(Tank2!$B$32:$B$49,$J700,Tank2!$C$32:$C$49)*Impacts!$F$9),0)</f>
        <v>0</v>
      </c>
      <c r="N700" s="10">
        <f>IF(Tank3!$C$23="No control",(SUMIF(Tank3!$B$32:$B$49,$J700,Tank3!$C$32:$C$49)*Impacts!$F$10),0)</f>
        <v>0</v>
      </c>
      <c r="O700" s="10">
        <f>IF(Tank4!$C$23="No control",(SUMIF(Tank4!$B$32:$B$49,$J700,Tank4!$C$32:$C$49)*Impacts!$F$11),0)</f>
        <v>0</v>
      </c>
      <c r="P700" s="10">
        <f>IF(Tank5!$C$23="No control",(SUMIF(Tank5!$B$32:$B$49,$J700,Tank5!$C$32:$C$49)*Impacts!$F$12),0)</f>
        <v>0</v>
      </c>
      <c r="Q700" s="10">
        <f>IFERROR(IF(('Loading-drum,tote'!$C$21)="No control",SUMIF(('Loading-drum,tote'!$B$31:$B$48),$J700,('Loading-drum,tote'!$D$31:$D$48))*Impacts!$F$13,IF(('Loading-drum,tote'!$C$21)&lt;&gt;"No control",SUMIF(('Loading-drum,tote'!$B$31:$B$48),$J700,('Loading-drum,tote'!$E$31:$E$48))*Impacts!$F$13,0)),0)</f>
        <v>0</v>
      </c>
      <c r="R700" s="10">
        <f>IFERROR(IF(('Loading-truck'!$C$21)="No control",SUMIF(('Loading-truck'!$B$31:$B$48),$J700,('Loading-truck'!$D$31:$D$48))*Impacts!$F$14,IF(('Loading-truck'!$C$21)&lt;&gt;"No control",SUMIF(('Loading-truck'!$B$31:$B$48),$J700,('Loading-truck'!$E$31:$E$48))*Impacts!$F$14,0)),0)</f>
        <v>0</v>
      </c>
      <c r="S700" s="10">
        <f>IFERROR(IF(('Loading-rail'!$C$21)="No control",SUMIF(('Loading-rail'!$B$31:$B$48),$J700,('Loading-rail'!$D$31:$D$48))*Impacts!$F$15,IF(('Loading-rail'!$C$21)&lt;&gt;"No control",SUMIF(('Loading-rail'!$B$31:$B$48),$J700,('Loading-rail'!$E$31:$E$48))*Impacts!$F$15,0)),0)</f>
        <v>0</v>
      </c>
      <c r="T700" s="10">
        <f>IF(Flare!$C$7="",0,(SUMIF(Flare!$B$46:$B$185,$J700,Flare!$E$46:$E$185)*Impacts!$F$16))</f>
        <v>0</v>
      </c>
      <c r="U700" s="10">
        <f>IF(VCU!$C$9="",0,(SUMIF(VCU!$B$51:$B$193,$J700,VCU!$E$51:$E$193)*Impacts!$F$17))</f>
        <v>0</v>
      </c>
      <c r="V700" s="10">
        <f>IF(CAS!$C$7="",0,(SUMIF(CAS!$B$31:$B$167,$J700,CAS!$E$31:$E$167)*Impacts!$F$18))</f>
        <v>0</v>
      </c>
      <c r="W700" s="10">
        <f t="shared" si="52"/>
        <v>0</v>
      </c>
      <c r="AK700" s="10" t="str">
        <f t="array" ref="AK700">IFERROR(INDEX(SelectedSpecies,SMALL(IF(SelectedSpecies=AK$1,ROW(SelectedSpecies)),ROW(701:701)),2),"")</f>
        <v/>
      </c>
      <c r="BE700" s="10"/>
      <c r="BI700" s="10"/>
    </row>
    <row r="701" spans="1:61" ht="21" customHeight="1" x14ac:dyDescent="0.25">
      <c r="A701" s="10"/>
      <c r="B701" s="10"/>
      <c r="E701" s="10"/>
      <c r="G701" s="10"/>
      <c r="I701" s="436" t="s">
        <v>4171</v>
      </c>
      <c r="J701" s="26" t="s">
        <v>4170</v>
      </c>
      <c r="K701" s="10">
        <v>5</v>
      </c>
      <c r="L701" s="73">
        <f>IF(Tank1!$C$23="No control",(SUMIF(Tank1!$B$32:$B$49,$J701,Tank1!$C$32:$C$49)*Impacts!$F$8),0)</f>
        <v>0</v>
      </c>
      <c r="M701" s="10">
        <f>IF(Tank2!$C$23="No control",(SUMIF(Tank2!$B$32:$B$49,$J701,Tank2!$C$32:$C$49)*Impacts!$F$9),0)</f>
        <v>0</v>
      </c>
      <c r="N701" s="10">
        <f>IF(Tank3!$C$23="No control",(SUMIF(Tank3!$B$32:$B$49,$J701,Tank3!$C$32:$C$49)*Impacts!$F$10),0)</f>
        <v>0</v>
      </c>
      <c r="O701" s="10">
        <f>IF(Tank4!$C$23="No control",(SUMIF(Tank4!$B$32:$B$49,$J701,Tank4!$C$32:$C$49)*Impacts!$F$11),0)</f>
        <v>0</v>
      </c>
      <c r="P701" s="10">
        <f>IF(Tank5!$C$23="No control",(SUMIF(Tank5!$B$32:$B$49,$J701,Tank5!$C$32:$C$49)*Impacts!$F$12),0)</f>
        <v>0</v>
      </c>
      <c r="Q701" s="10">
        <f>IFERROR(IF(('Loading-drum,tote'!$C$21)="No control",SUMIF(('Loading-drum,tote'!$B$31:$B$48),$J701,('Loading-drum,tote'!$D$31:$D$48))*Impacts!$F$13,IF(('Loading-drum,tote'!$C$21)&lt;&gt;"No control",SUMIF(('Loading-drum,tote'!$B$31:$B$48),$J701,('Loading-drum,tote'!$E$31:$E$48))*Impacts!$F$13,0)),0)</f>
        <v>0</v>
      </c>
      <c r="R701" s="10">
        <f>IFERROR(IF(('Loading-truck'!$C$21)="No control",SUMIF(('Loading-truck'!$B$31:$B$48),$J701,('Loading-truck'!$D$31:$D$48))*Impacts!$F$14,IF(('Loading-truck'!$C$21)&lt;&gt;"No control",SUMIF(('Loading-truck'!$B$31:$B$48),$J701,('Loading-truck'!$E$31:$E$48))*Impacts!$F$14,0)),0)</f>
        <v>0</v>
      </c>
      <c r="S701" s="10">
        <f>IFERROR(IF(('Loading-rail'!$C$21)="No control",SUMIF(('Loading-rail'!$B$31:$B$48),$J701,('Loading-rail'!$D$31:$D$48))*Impacts!$F$15,IF(('Loading-rail'!$C$21)&lt;&gt;"No control",SUMIF(('Loading-rail'!$B$31:$B$48),$J701,('Loading-rail'!$E$31:$E$48))*Impacts!$F$15,0)),0)</f>
        <v>0</v>
      </c>
      <c r="T701" s="10">
        <f>IF(Flare!$C$7="",0,(SUMIF(Flare!$B$46:$B$185,$J701,Flare!$E$46:$E$185)*Impacts!$F$16))</f>
        <v>0</v>
      </c>
      <c r="U701" s="10">
        <f>IF(VCU!$C$9="",0,(SUMIF(VCU!$B$51:$B$193,$J701,VCU!$E$51:$E$193)*Impacts!$F$17))</f>
        <v>0</v>
      </c>
      <c r="V701" s="10">
        <f>IF(CAS!$C$7="",0,(SUMIF(CAS!$B$31:$B$167,$J701,CAS!$E$31:$E$167)*Impacts!$F$18))</f>
        <v>0</v>
      </c>
      <c r="W701" s="10">
        <f t="shared" si="52"/>
        <v>0</v>
      </c>
      <c r="AK701" s="10" t="str">
        <f t="array" ref="AK701">IFERROR(INDEX(SelectedSpecies,SMALL(IF(SelectedSpecies=AK$1,ROW(SelectedSpecies)),ROW(702:702)),2),"")</f>
        <v/>
      </c>
      <c r="BE701" s="10"/>
      <c r="BI701" s="10"/>
    </row>
    <row r="702" spans="1:61" ht="21" customHeight="1" x14ac:dyDescent="0.25">
      <c r="A702" s="10"/>
      <c r="B702" s="10"/>
      <c r="E702" s="10"/>
      <c r="G702" s="10"/>
      <c r="I702" s="436" t="s">
        <v>2351</v>
      </c>
      <c r="J702" s="26" t="s">
        <v>2350</v>
      </c>
      <c r="K702" s="10">
        <v>11</v>
      </c>
      <c r="L702" s="73">
        <f>IF(Tank1!$C$23="No control",(SUMIF(Tank1!$B$32:$B$49,$J702,Tank1!$C$32:$C$49)*Impacts!$F$8),0)</f>
        <v>0</v>
      </c>
      <c r="M702" s="10">
        <f>IF(Tank2!$C$23="No control",(SUMIF(Tank2!$B$32:$B$49,$J702,Tank2!$C$32:$C$49)*Impacts!$F$9),0)</f>
        <v>0</v>
      </c>
      <c r="N702" s="10">
        <f>IF(Tank3!$C$23="No control",(SUMIF(Tank3!$B$32:$B$49,$J702,Tank3!$C$32:$C$49)*Impacts!$F$10),0)</f>
        <v>0</v>
      </c>
      <c r="O702" s="10">
        <f>IF(Tank4!$C$23="No control",(SUMIF(Tank4!$B$32:$B$49,$J702,Tank4!$C$32:$C$49)*Impacts!$F$11),0)</f>
        <v>0</v>
      </c>
      <c r="P702" s="10">
        <f>IF(Tank5!$C$23="No control",(SUMIF(Tank5!$B$32:$B$49,$J702,Tank5!$C$32:$C$49)*Impacts!$F$12),0)</f>
        <v>0</v>
      </c>
      <c r="Q702" s="10">
        <f>IFERROR(IF(('Loading-drum,tote'!$C$21)="No control",SUMIF(('Loading-drum,tote'!$B$31:$B$48),$J702,('Loading-drum,tote'!$D$31:$D$48))*Impacts!$F$13,IF(('Loading-drum,tote'!$C$21)&lt;&gt;"No control",SUMIF(('Loading-drum,tote'!$B$31:$B$48),$J702,('Loading-drum,tote'!$E$31:$E$48))*Impacts!$F$13,0)),0)</f>
        <v>0</v>
      </c>
      <c r="R702" s="10">
        <f>IFERROR(IF(('Loading-truck'!$C$21)="No control",SUMIF(('Loading-truck'!$B$31:$B$48),$J702,('Loading-truck'!$D$31:$D$48))*Impacts!$F$14,IF(('Loading-truck'!$C$21)&lt;&gt;"No control",SUMIF(('Loading-truck'!$B$31:$B$48),$J702,('Loading-truck'!$E$31:$E$48))*Impacts!$F$14,0)),0)</f>
        <v>0</v>
      </c>
      <c r="S702" s="10">
        <f>IFERROR(IF(('Loading-rail'!$C$21)="No control",SUMIF(('Loading-rail'!$B$31:$B$48),$J702,('Loading-rail'!$D$31:$D$48))*Impacts!$F$15,IF(('Loading-rail'!$C$21)&lt;&gt;"No control",SUMIF(('Loading-rail'!$B$31:$B$48),$J702,('Loading-rail'!$E$31:$E$48))*Impacts!$F$15,0)),0)</f>
        <v>0</v>
      </c>
      <c r="T702" s="10">
        <f>IF(Flare!$C$7="",0,(SUMIF(Flare!$B$46:$B$185,$J702,Flare!$E$46:$E$185)*Impacts!$F$16))</f>
        <v>0</v>
      </c>
      <c r="U702" s="10">
        <f>IF(VCU!$C$9="",0,(SUMIF(VCU!$B$51:$B$193,$J702,VCU!$E$51:$E$193)*Impacts!$F$17))</f>
        <v>0</v>
      </c>
      <c r="V702" s="10">
        <f>IF(CAS!$C$7="",0,(SUMIF(CAS!$B$31:$B$167,$J702,CAS!$E$31:$E$167)*Impacts!$F$18))</f>
        <v>0</v>
      </c>
      <c r="W702" s="10">
        <f t="shared" si="52"/>
        <v>0</v>
      </c>
      <c r="AK702" s="10" t="str">
        <f t="array" ref="AK702">IFERROR(INDEX(SelectedSpecies,SMALL(IF(SelectedSpecies=AK$1,ROW(SelectedSpecies)),ROW(703:703)),2),"")</f>
        <v/>
      </c>
      <c r="BE702" s="10"/>
      <c r="BI702" s="10"/>
    </row>
    <row r="703" spans="1:61" ht="21" customHeight="1" x14ac:dyDescent="0.25">
      <c r="A703" s="10"/>
      <c r="B703" s="10"/>
      <c r="E703" s="10"/>
      <c r="G703" s="10"/>
      <c r="I703" s="436" t="s">
        <v>5313</v>
      </c>
      <c r="J703" s="26" t="s">
        <v>5312</v>
      </c>
      <c r="K703" s="10">
        <v>1.7000000000000002</v>
      </c>
      <c r="L703" s="73">
        <f>IF(Tank1!$C$23="No control",(SUMIF(Tank1!$B$32:$B$49,$J703,Tank1!$C$32:$C$49)*Impacts!$F$8),0)</f>
        <v>0</v>
      </c>
      <c r="M703" s="10">
        <f>IF(Tank2!$C$23="No control",(SUMIF(Tank2!$B$32:$B$49,$J703,Tank2!$C$32:$C$49)*Impacts!$F$9),0)</f>
        <v>0</v>
      </c>
      <c r="N703" s="10">
        <f>IF(Tank3!$C$23="No control",(SUMIF(Tank3!$B$32:$B$49,$J703,Tank3!$C$32:$C$49)*Impacts!$F$10),0)</f>
        <v>0</v>
      </c>
      <c r="O703" s="10">
        <f>IF(Tank4!$C$23="No control",(SUMIF(Tank4!$B$32:$B$49,$J703,Tank4!$C$32:$C$49)*Impacts!$F$11),0)</f>
        <v>0</v>
      </c>
      <c r="P703" s="10">
        <f>IF(Tank5!$C$23="No control",(SUMIF(Tank5!$B$32:$B$49,$J703,Tank5!$C$32:$C$49)*Impacts!$F$12),0)</f>
        <v>0</v>
      </c>
      <c r="Q703" s="10">
        <f>IFERROR(IF(('Loading-drum,tote'!$C$21)="No control",SUMIF(('Loading-drum,tote'!$B$31:$B$48),$J703,('Loading-drum,tote'!$D$31:$D$48))*Impacts!$F$13,IF(('Loading-drum,tote'!$C$21)&lt;&gt;"No control",SUMIF(('Loading-drum,tote'!$B$31:$B$48),$J703,('Loading-drum,tote'!$E$31:$E$48))*Impacts!$F$13,0)),0)</f>
        <v>0</v>
      </c>
      <c r="R703" s="10">
        <f>IFERROR(IF(('Loading-truck'!$C$21)="No control",SUMIF(('Loading-truck'!$B$31:$B$48),$J703,('Loading-truck'!$D$31:$D$48))*Impacts!$F$14,IF(('Loading-truck'!$C$21)&lt;&gt;"No control",SUMIF(('Loading-truck'!$B$31:$B$48),$J703,('Loading-truck'!$E$31:$E$48))*Impacts!$F$14,0)),0)</f>
        <v>0</v>
      </c>
      <c r="S703" s="10">
        <f>IFERROR(IF(('Loading-rail'!$C$21)="No control",SUMIF(('Loading-rail'!$B$31:$B$48),$J703,('Loading-rail'!$D$31:$D$48))*Impacts!$F$15,IF(('Loading-rail'!$C$21)&lt;&gt;"No control",SUMIF(('Loading-rail'!$B$31:$B$48),$J703,('Loading-rail'!$E$31:$E$48))*Impacts!$F$15,0)),0)</f>
        <v>0</v>
      </c>
      <c r="T703" s="10">
        <f>IF(Flare!$C$7="",0,(SUMIF(Flare!$B$46:$B$185,$J703,Flare!$E$46:$E$185)*Impacts!$F$16))</f>
        <v>0</v>
      </c>
      <c r="U703" s="10">
        <f>IF(VCU!$C$9="",0,(SUMIF(VCU!$B$51:$B$193,$J703,VCU!$E$51:$E$193)*Impacts!$F$17))</f>
        <v>0</v>
      </c>
      <c r="V703" s="10">
        <f>IF(CAS!$C$7="",0,(SUMIF(CAS!$B$31:$B$167,$J703,CAS!$E$31:$E$167)*Impacts!$F$18))</f>
        <v>0</v>
      </c>
      <c r="W703" s="10">
        <f t="shared" si="52"/>
        <v>0</v>
      </c>
      <c r="AK703" s="10" t="str">
        <f t="array" ref="AK703">IFERROR(INDEX(SelectedSpecies,SMALL(IF(SelectedSpecies=AK$1,ROW(SelectedSpecies)),ROW(704:704)),2),"")</f>
        <v/>
      </c>
      <c r="BE703" s="10"/>
      <c r="BI703" s="10"/>
    </row>
    <row r="704" spans="1:61" ht="21" customHeight="1" x14ac:dyDescent="0.25">
      <c r="A704" s="10"/>
      <c r="B704" s="10"/>
      <c r="E704" s="10"/>
      <c r="G704" s="10"/>
      <c r="I704" s="436" t="s">
        <v>2427</v>
      </c>
      <c r="J704" s="26" t="s">
        <v>2426</v>
      </c>
      <c r="K704" s="10">
        <v>10</v>
      </c>
      <c r="L704" s="73">
        <f>IF(Tank1!$C$23="No control",(SUMIF(Tank1!$B$32:$B$49,$J704,Tank1!$C$32:$C$49)*Impacts!$F$8),0)</f>
        <v>0</v>
      </c>
      <c r="M704" s="10">
        <f>IF(Tank2!$C$23="No control",(SUMIF(Tank2!$B$32:$B$49,$J704,Tank2!$C$32:$C$49)*Impacts!$F$9),0)</f>
        <v>0</v>
      </c>
      <c r="N704" s="10">
        <f>IF(Tank3!$C$23="No control",(SUMIF(Tank3!$B$32:$B$49,$J704,Tank3!$C$32:$C$49)*Impacts!$F$10),0)</f>
        <v>0</v>
      </c>
      <c r="O704" s="10">
        <f>IF(Tank4!$C$23="No control",(SUMIF(Tank4!$B$32:$B$49,$J704,Tank4!$C$32:$C$49)*Impacts!$F$11),0)</f>
        <v>0</v>
      </c>
      <c r="P704" s="10">
        <f>IF(Tank5!$C$23="No control",(SUMIF(Tank5!$B$32:$B$49,$J704,Tank5!$C$32:$C$49)*Impacts!$F$12),0)</f>
        <v>0</v>
      </c>
      <c r="Q704" s="10">
        <f>IFERROR(IF(('Loading-drum,tote'!$C$21)="No control",SUMIF(('Loading-drum,tote'!$B$31:$B$48),$J704,('Loading-drum,tote'!$D$31:$D$48))*Impacts!$F$13,IF(('Loading-drum,tote'!$C$21)&lt;&gt;"No control",SUMIF(('Loading-drum,tote'!$B$31:$B$48),$J704,('Loading-drum,tote'!$E$31:$E$48))*Impacts!$F$13,0)),0)</f>
        <v>0</v>
      </c>
      <c r="R704" s="10">
        <f>IFERROR(IF(('Loading-truck'!$C$21)="No control",SUMIF(('Loading-truck'!$B$31:$B$48),$J704,('Loading-truck'!$D$31:$D$48))*Impacts!$F$14,IF(('Loading-truck'!$C$21)&lt;&gt;"No control",SUMIF(('Loading-truck'!$B$31:$B$48),$J704,('Loading-truck'!$E$31:$E$48))*Impacts!$F$14,0)),0)</f>
        <v>0</v>
      </c>
      <c r="S704" s="10">
        <f>IFERROR(IF(('Loading-rail'!$C$21)="No control",SUMIF(('Loading-rail'!$B$31:$B$48),$J704,('Loading-rail'!$D$31:$D$48))*Impacts!$F$15,IF(('Loading-rail'!$C$21)&lt;&gt;"No control",SUMIF(('Loading-rail'!$B$31:$B$48),$J704,('Loading-rail'!$E$31:$E$48))*Impacts!$F$15,0)),0)</f>
        <v>0</v>
      </c>
      <c r="T704" s="10">
        <f>IF(Flare!$C$7="",0,(SUMIF(Flare!$B$46:$B$185,$J704,Flare!$E$46:$E$185)*Impacts!$F$16))</f>
        <v>0</v>
      </c>
      <c r="U704" s="10">
        <f>IF(VCU!$C$9="",0,(SUMIF(VCU!$B$51:$B$193,$J704,VCU!$E$51:$E$193)*Impacts!$F$17))</f>
        <v>0</v>
      </c>
      <c r="V704" s="10">
        <f>IF(CAS!$C$7="",0,(SUMIF(CAS!$B$31:$B$167,$J704,CAS!$E$31:$E$167)*Impacts!$F$18))</f>
        <v>0</v>
      </c>
      <c r="W704" s="10">
        <f t="shared" si="52"/>
        <v>0</v>
      </c>
      <c r="AK704" s="10" t="str">
        <f t="array" ref="AK704">IFERROR(INDEX(SelectedSpecies,SMALL(IF(SelectedSpecies=AK$1,ROW(SelectedSpecies)),ROW(705:705)),2),"")</f>
        <v/>
      </c>
      <c r="BE704" s="10"/>
      <c r="BI704" s="10"/>
    </row>
    <row r="705" spans="1:61" ht="21" customHeight="1" x14ac:dyDescent="0.25">
      <c r="A705" s="10"/>
      <c r="B705" s="10"/>
      <c r="E705" s="10"/>
      <c r="G705" s="10"/>
      <c r="I705" s="436" t="s">
        <v>1658</v>
      </c>
      <c r="J705" s="26" t="s">
        <v>1657</v>
      </c>
      <c r="K705" s="10">
        <v>24.5</v>
      </c>
      <c r="L705" s="73">
        <f>IF(Tank1!$C$23="No control",(SUMIF(Tank1!$B$32:$B$49,$J705,Tank1!$C$32:$C$49)*Impacts!$F$8),0)</f>
        <v>0</v>
      </c>
      <c r="M705" s="10">
        <f>IF(Tank2!$C$23="No control",(SUMIF(Tank2!$B$32:$B$49,$J705,Tank2!$C$32:$C$49)*Impacts!$F$9),0)</f>
        <v>0</v>
      </c>
      <c r="N705" s="10">
        <f>IF(Tank3!$C$23="No control",(SUMIF(Tank3!$B$32:$B$49,$J705,Tank3!$C$32:$C$49)*Impacts!$F$10),0)</f>
        <v>0</v>
      </c>
      <c r="O705" s="10">
        <f>IF(Tank4!$C$23="No control",(SUMIF(Tank4!$B$32:$B$49,$J705,Tank4!$C$32:$C$49)*Impacts!$F$11),0)</f>
        <v>0</v>
      </c>
      <c r="P705" s="10">
        <f>IF(Tank5!$C$23="No control",(SUMIF(Tank5!$B$32:$B$49,$J705,Tank5!$C$32:$C$49)*Impacts!$F$12),0)</f>
        <v>0</v>
      </c>
      <c r="Q705" s="10">
        <f>IFERROR(IF(('Loading-drum,tote'!$C$21)="No control",SUMIF(('Loading-drum,tote'!$B$31:$B$48),$J705,('Loading-drum,tote'!$D$31:$D$48))*Impacts!$F$13,IF(('Loading-drum,tote'!$C$21)&lt;&gt;"No control",SUMIF(('Loading-drum,tote'!$B$31:$B$48),$J705,('Loading-drum,tote'!$E$31:$E$48))*Impacts!$F$13,0)),0)</f>
        <v>0</v>
      </c>
      <c r="R705" s="10">
        <f>IFERROR(IF(('Loading-truck'!$C$21)="No control",SUMIF(('Loading-truck'!$B$31:$B$48),$J705,('Loading-truck'!$D$31:$D$48))*Impacts!$F$14,IF(('Loading-truck'!$C$21)&lt;&gt;"No control",SUMIF(('Loading-truck'!$B$31:$B$48),$J705,('Loading-truck'!$E$31:$E$48))*Impacts!$F$14,0)),0)</f>
        <v>0</v>
      </c>
      <c r="S705" s="10">
        <f>IFERROR(IF(('Loading-rail'!$C$21)="No control",SUMIF(('Loading-rail'!$B$31:$B$48),$J705,('Loading-rail'!$D$31:$D$48))*Impacts!$F$15,IF(('Loading-rail'!$C$21)&lt;&gt;"No control",SUMIF(('Loading-rail'!$B$31:$B$48),$J705,('Loading-rail'!$E$31:$E$48))*Impacts!$F$15,0)),0)</f>
        <v>0</v>
      </c>
      <c r="T705" s="10">
        <f>IF(Flare!$C$7="",0,(SUMIF(Flare!$B$46:$B$185,$J705,Flare!$E$46:$E$185)*Impacts!$F$16))</f>
        <v>0</v>
      </c>
      <c r="U705" s="10">
        <f>IF(VCU!$C$9="",0,(SUMIF(VCU!$B$51:$B$193,$J705,VCU!$E$51:$E$193)*Impacts!$F$17))</f>
        <v>0</v>
      </c>
      <c r="V705" s="10">
        <f>IF(CAS!$C$7="",0,(SUMIF(CAS!$B$31:$B$167,$J705,CAS!$E$31:$E$167)*Impacts!$F$18))</f>
        <v>0</v>
      </c>
      <c r="W705" s="10">
        <f t="shared" si="52"/>
        <v>0</v>
      </c>
      <c r="AK705" s="10" t="str">
        <f t="array" ref="AK705">IFERROR(INDEX(SelectedSpecies,SMALL(IF(SelectedSpecies=AK$1,ROW(SelectedSpecies)),ROW(706:706)),2),"")</f>
        <v/>
      </c>
      <c r="BE705" s="10"/>
      <c r="BI705" s="10"/>
    </row>
    <row r="706" spans="1:61" ht="21" customHeight="1" x14ac:dyDescent="0.25">
      <c r="A706" s="10"/>
      <c r="B706" s="10"/>
      <c r="E706" s="10"/>
      <c r="G706" s="10"/>
      <c r="I706" s="436" t="s">
        <v>1660</v>
      </c>
      <c r="J706" s="26" t="s">
        <v>1659</v>
      </c>
      <c r="K706" s="10">
        <v>24.5</v>
      </c>
      <c r="L706" s="73">
        <f>IF(Tank1!$C$23="No control",(SUMIF(Tank1!$B$32:$B$49,$J706,Tank1!$C$32:$C$49)*Impacts!$F$8),0)</f>
        <v>0</v>
      </c>
      <c r="M706" s="10">
        <f>IF(Tank2!$C$23="No control",(SUMIF(Tank2!$B$32:$B$49,$J706,Tank2!$C$32:$C$49)*Impacts!$F$9),0)</f>
        <v>0</v>
      </c>
      <c r="N706" s="10">
        <f>IF(Tank3!$C$23="No control",(SUMIF(Tank3!$B$32:$B$49,$J706,Tank3!$C$32:$C$49)*Impacts!$F$10),0)</f>
        <v>0</v>
      </c>
      <c r="O706" s="10">
        <f>IF(Tank4!$C$23="No control",(SUMIF(Tank4!$B$32:$B$49,$J706,Tank4!$C$32:$C$49)*Impacts!$F$11),0)</f>
        <v>0</v>
      </c>
      <c r="P706" s="10">
        <f>IF(Tank5!$C$23="No control",(SUMIF(Tank5!$B$32:$B$49,$J706,Tank5!$C$32:$C$49)*Impacts!$F$12),0)</f>
        <v>0</v>
      </c>
      <c r="Q706" s="10">
        <f>IFERROR(IF(('Loading-drum,tote'!$C$21)="No control",SUMIF(('Loading-drum,tote'!$B$31:$B$48),$J706,('Loading-drum,tote'!$D$31:$D$48))*Impacts!$F$13,IF(('Loading-drum,tote'!$C$21)&lt;&gt;"No control",SUMIF(('Loading-drum,tote'!$B$31:$B$48),$J706,('Loading-drum,tote'!$E$31:$E$48))*Impacts!$F$13,0)),0)</f>
        <v>0</v>
      </c>
      <c r="R706" s="10">
        <f>IFERROR(IF(('Loading-truck'!$C$21)="No control",SUMIF(('Loading-truck'!$B$31:$B$48),$J706,('Loading-truck'!$D$31:$D$48))*Impacts!$F$14,IF(('Loading-truck'!$C$21)&lt;&gt;"No control",SUMIF(('Loading-truck'!$B$31:$B$48),$J706,('Loading-truck'!$E$31:$E$48))*Impacts!$F$14,0)),0)</f>
        <v>0</v>
      </c>
      <c r="S706" s="10">
        <f>IFERROR(IF(('Loading-rail'!$C$21)="No control",SUMIF(('Loading-rail'!$B$31:$B$48),$J706,('Loading-rail'!$D$31:$D$48))*Impacts!$F$15,IF(('Loading-rail'!$C$21)&lt;&gt;"No control",SUMIF(('Loading-rail'!$B$31:$B$48),$J706,('Loading-rail'!$E$31:$E$48))*Impacts!$F$15,0)),0)</f>
        <v>0</v>
      </c>
      <c r="T706" s="10">
        <f>IF(Flare!$C$7="",0,(SUMIF(Flare!$B$46:$B$185,$J706,Flare!$E$46:$E$185)*Impacts!$F$16))</f>
        <v>0</v>
      </c>
      <c r="U706" s="10">
        <f>IF(VCU!$C$9="",0,(SUMIF(VCU!$B$51:$B$193,$J706,VCU!$E$51:$E$193)*Impacts!$F$17))</f>
        <v>0</v>
      </c>
      <c r="V706" s="10">
        <f>IF(CAS!$C$7="",0,(SUMIF(CAS!$B$31:$B$167,$J706,CAS!$E$31:$E$167)*Impacts!$F$18))</f>
        <v>0</v>
      </c>
      <c r="W706" s="10">
        <f t="shared" si="52"/>
        <v>0</v>
      </c>
      <c r="AK706" s="10" t="str">
        <f t="array" ref="AK706">IFERROR(INDEX(SelectedSpecies,SMALL(IF(SelectedSpecies=AK$1,ROW(SelectedSpecies)),ROW(707:707)),2),"")</f>
        <v/>
      </c>
      <c r="BE706" s="10"/>
      <c r="BI706" s="10"/>
    </row>
    <row r="707" spans="1:61" ht="21" customHeight="1" x14ac:dyDescent="0.25">
      <c r="A707" s="10"/>
      <c r="B707" s="10"/>
      <c r="E707" s="10"/>
      <c r="G707" s="10"/>
      <c r="I707" s="436" t="s">
        <v>1532</v>
      </c>
      <c r="J707" s="26" t="s">
        <v>1531</v>
      </c>
      <c r="K707" s="10">
        <v>27</v>
      </c>
      <c r="L707" s="73">
        <f>IF(Tank1!$C$23="No control",(SUMIF(Tank1!$B$32:$B$49,$J707,Tank1!$C$32:$C$49)*Impacts!$F$8),0)</f>
        <v>0</v>
      </c>
      <c r="M707" s="10">
        <f>IF(Tank2!$C$23="No control",(SUMIF(Tank2!$B$32:$B$49,$J707,Tank2!$C$32:$C$49)*Impacts!$F$9),0)</f>
        <v>0</v>
      </c>
      <c r="N707" s="10">
        <f>IF(Tank3!$C$23="No control",(SUMIF(Tank3!$B$32:$B$49,$J707,Tank3!$C$32:$C$49)*Impacts!$F$10),0)</f>
        <v>0</v>
      </c>
      <c r="O707" s="10">
        <f>IF(Tank4!$C$23="No control",(SUMIF(Tank4!$B$32:$B$49,$J707,Tank4!$C$32:$C$49)*Impacts!$F$11),0)</f>
        <v>0</v>
      </c>
      <c r="P707" s="10">
        <f>IF(Tank5!$C$23="No control",(SUMIF(Tank5!$B$32:$B$49,$J707,Tank5!$C$32:$C$49)*Impacts!$F$12),0)</f>
        <v>0</v>
      </c>
      <c r="Q707" s="10">
        <f>IFERROR(IF(('Loading-drum,tote'!$C$21)="No control",SUMIF(('Loading-drum,tote'!$B$31:$B$48),$J707,('Loading-drum,tote'!$D$31:$D$48))*Impacts!$F$13,IF(('Loading-drum,tote'!$C$21)&lt;&gt;"No control",SUMIF(('Loading-drum,tote'!$B$31:$B$48),$J707,('Loading-drum,tote'!$E$31:$E$48))*Impacts!$F$13,0)),0)</f>
        <v>0</v>
      </c>
      <c r="R707" s="10">
        <f>IFERROR(IF(('Loading-truck'!$C$21)="No control",SUMIF(('Loading-truck'!$B$31:$B$48),$J707,('Loading-truck'!$D$31:$D$48))*Impacts!$F$14,IF(('Loading-truck'!$C$21)&lt;&gt;"No control",SUMIF(('Loading-truck'!$B$31:$B$48),$J707,('Loading-truck'!$E$31:$E$48))*Impacts!$F$14,0)),0)</f>
        <v>0</v>
      </c>
      <c r="S707" s="10">
        <f>IFERROR(IF(('Loading-rail'!$C$21)="No control",SUMIF(('Loading-rail'!$B$31:$B$48),$J707,('Loading-rail'!$D$31:$D$48))*Impacts!$F$15,IF(('Loading-rail'!$C$21)&lt;&gt;"No control",SUMIF(('Loading-rail'!$B$31:$B$48),$J707,('Loading-rail'!$E$31:$E$48))*Impacts!$F$15,0)),0)</f>
        <v>0</v>
      </c>
      <c r="T707" s="10">
        <f>IF(Flare!$C$7="",0,(SUMIF(Flare!$B$46:$B$185,$J707,Flare!$E$46:$E$185)*Impacts!$F$16))</f>
        <v>0</v>
      </c>
      <c r="U707" s="10">
        <f>IF(VCU!$C$9="",0,(SUMIF(VCU!$B$51:$B$193,$J707,VCU!$E$51:$E$193)*Impacts!$F$17))</f>
        <v>0</v>
      </c>
      <c r="V707" s="10">
        <f>IF(CAS!$C$7="",0,(SUMIF(CAS!$B$31:$B$167,$J707,CAS!$E$31:$E$167)*Impacts!$F$18))</f>
        <v>0</v>
      </c>
      <c r="W707" s="10">
        <f t="shared" ref="W707:W770" si="53">SUM(L707:V707)</f>
        <v>0</v>
      </c>
      <c r="AK707" s="10" t="str">
        <f t="array" ref="AK707">IFERROR(INDEX(SelectedSpecies,SMALL(IF(SelectedSpecies=AK$1,ROW(SelectedSpecies)),ROW(708:708)),2),"")</f>
        <v/>
      </c>
      <c r="BE707" s="10"/>
      <c r="BI707" s="10"/>
    </row>
    <row r="708" spans="1:61" ht="21" customHeight="1" x14ac:dyDescent="0.25">
      <c r="A708" s="10"/>
      <c r="B708" s="10"/>
      <c r="E708" s="10"/>
      <c r="G708" s="10"/>
      <c r="I708" s="436" t="s">
        <v>2199</v>
      </c>
      <c r="J708" s="26" t="s">
        <v>2198</v>
      </c>
      <c r="K708" s="10">
        <v>14</v>
      </c>
      <c r="L708" s="73">
        <f>IF(Tank1!$C$23="No control",(SUMIF(Tank1!$B$32:$B$49,$J708,Tank1!$C$32:$C$49)*Impacts!$F$8),0)</f>
        <v>0</v>
      </c>
      <c r="M708" s="10">
        <f>IF(Tank2!$C$23="No control",(SUMIF(Tank2!$B$32:$B$49,$J708,Tank2!$C$32:$C$49)*Impacts!$F$9),0)</f>
        <v>0</v>
      </c>
      <c r="N708" s="10">
        <f>IF(Tank3!$C$23="No control",(SUMIF(Tank3!$B$32:$B$49,$J708,Tank3!$C$32:$C$49)*Impacts!$F$10),0)</f>
        <v>0</v>
      </c>
      <c r="O708" s="10">
        <f>IF(Tank4!$C$23="No control",(SUMIF(Tank4!$B$32:$B$49,$J708,Tank4!$C$32:$C$49)*Impacts!$F$11),0)</f>
        <v>0</v>
      </c>
      <c r="P708" s="10">
        <f>IF(Tank5!$C$23="No control",(SUMIF(Tank5!$B$32:$B$49,$J708,Tank5!$C$32:$C$49)*Impacts!$F$12),0)</f>
        <v>0</v>
      </c>
      <c r="Q708" s="10">
        <f>IFERROR(IF(('Loading-drum,tote'!$C$21)="No control",SUMIF(('Loading-drum,tote'!$B$31:$B$48),$J708,('Loading-drum,tote'!$D$31:$D$48))*Impacts!$F$13,IF(('Loading-drum,tote'!$C$21)&lt;&gt;"No control",SUMIF(('Loading-drum,tote'!$B$31:$B$48),$J708,('Loading-drum,tote'!$E$31:$E$48))*Impacts!$F$13,0)),0)</f>
        <v>0</v>
      </c>
      <c r="R708" s="10">
        <f>IFERROR(IF(('Loading-truck'!$C$21)="No control",SUMIF(('Loading-truck'!$B$31:$B$48),$J708,('Loading-truck'!$D$31:$D$48))*Impacts!$F$14,IF(('Loading-truck'!$C$21)&lt;&gt;"No control",SUMIF(('Loading-truck'!$B$31:$B$48),$J708,('Loading-truck'!$E$31:$E$48))*Impacts!$F$14,0)),0)</f>
        <v>0</v>
      </c>
      <c r="S708" s="10">
        <f>IFERROR(IF(('Loading-rail'!$C$21)="No control",SUMIF(('Loading-rail'!$B$31:$B$48),$J708,('Loading-rail'!$D$31:$D$48))*Impacts!$F$15,IF(('Loading-rail'!$C$21)&lt;&gt;"No control",SUMIF(('Loading-rail'!$B$31:$B$48),$J708,('Loading-rail'!$E$31:$E$48))*Impacts!$F$15,0)),0)</f>
        <v>0</v>
      </c>
      <c r="T708" s="10">
        <f>IF(Flare!$C$7="",0,(SUMIF(Flare!$B$46:$B$185,$J708,Flare!$E$46:$E$185)*Impacts!$F$16))</f>
        <v>0</v>
      </c>
      <c r="U708" s="10">
        <f>IF(VCU!$C$9="",0,(SUMIF(VCU!$B$51:$B$193,$J708,VCU!$E$51:$E$193)*Impacts!$F$17))</f>
        <v>0</v>
      </c>
      <c r="V708" s="10">
        <f>IF(CAS!$C$7="",0,(SUMIF(CAS!$B$31:$B$167,$J708,CAS!$E$31:$E$167)*Impacts!$F$18))</f>
        <v>0</v>
      </c>
      <c r="W708" s="10">
        <f t="shared" si="53"/>
        <v>0</v>
      </c>
      <c r="AK708" s="10" t="str">
        <f t="array" ref="AK708">IFERROR(INDEX(SelectedSpecies,SMALL(IF(SelectedSpecies=AK$1,ROW(SelectedSpecies)),ROW(709:709)),2),"")</f>
        <v/>
      </c>
      <c r="BE708" s="10"/>
      <c r="BI708" s="10"/>
    </row>
    <row r="709" spans="1:61" ht="21" customHeight="1" x14ac:dyDescent="0.25">
      <c r="A709" s="10"/>
      <c r="B709" s="10"/>
      <c r="E709" s="10"/>
      <c r="G709" s="10"/>
      <c r="I709" s="436" t="s">
        <v>7162</v>
      </c>
      <c r="J709" s="26" t="s">
        <v>7161</v>
      </c>
      <c r="K709" s="10">
        <v>0.33</v>
      </c>
      <c r="L709" s="73">
        <f>IF(Tank1!$C$23="No control",(SUMIF(Tank1!$B$32:$B$49,$J709,Tank1!$C$32:$C$49)*Impacts!$F$8),0)</f>
        <v>0</v>
      </c>
      <c r="M709" s="10">
        <f>IF(Tank2!$C$23="No control",(SUMIF(Tank2!$B$32:$B$49,$J709,Tank2!$C$32:$C$49)*Impacts!$F$9),0)</f>
        <v>0</v>
      </c>
      <c r="N709" s="10">
        <f>IF(Tank3!$C$23="No control",(SUMIF(Tank3!$B$32:$B$49,$J709,Tank3!$C$32:$C$49)*Impacts!$F$10),0)</f>
        <v>0</v>
      </c>
      <c r="O709" s="10">
        <f>IF(Tank4!$C$23="No control",(SUMIF(Tank4!$B$32:$B$49,$J709,Tank4!$C$32:$C$49)*Impacts!$F$11),0)</f>
        <v>0</v>
      </c>
      <c r="P709" s="10">
        <f>IF(Tank5!$C$23="No control",(SUMIF(Tank5!$B$32:$B$49,$J709,Tank5!$C$32:$C$49)*Impacts!$F$12),0)</f>
        <v>0</v>
      </c>
      <c r="Q709" s="10">
        <f>IFERROR(IF(('Loading-drum,tote'!$C$21)="No control",SUMIF(('Loading-drum,tote'!$B$31:$B$48),$J709,('Loading-drum,tote'!$D$31:$D$48))*Impacts!$F$13,IF(('Loading-drum,tote'!$C$21)&lt;&gt;"No control",SUMIF(('Loading-drum,tote'!$B$31:$B$48),$J709,('Loading-drum,tote'!$E$31:$E$48))*Impacts!$F$13,0)),0)</f>
        <v>0</v>
      </c>
      <c r="R709" s="10">
        <f>IFERROR(IF(('Loading-truck'!$C$21)="No control",SUMIF(('Loading-truck'!$B$31:$B$48),$J709,('Loading-truck'!$D$31:$D$48))*Impacts!$F$14,IF(('Loading-truck'!$C$21)&lt;&gt;"No control",SUMIF(('Loading-truck'!$B$31:$B$48),$J709,('Loading-truck'!$E$31:$E$48))*Impacts!$F$14,0)),0)</f>
        <v>0</v>
      </c>
      <c r="S709" s="10">
        <f>IFERROR(IF(('Loading-rail'!$C$21)="No control",SUMIF(('Loading-rail'!$B$31:$B$48),$J709,('Loading-rail'!$D$31:$D$48))*Impacts!$F$15,IF(('Loading-rail'!$C$21)&lt;&gt;"No control",SUMIF(('Loading-rail'!$B$31:$B$48),$J709,('Loading-rail'!$E$31:$E$48))*Impacts!$F$15,0)),0)</f>
        <v>0</v>
      </c>
      <c r="T709" s="10">
        <f>IF(Flare!$C$7="",0,(SUMIF(Flare!$B$46:$B$185,$J709,Flare!$E$46:$E$185)*Impacts!$F$16))</f>
        <v>0</v>
      </c>
      <c r="U709" s="10">
        <f>IF(VCU!$C$9="",0,(SUMIF(VCU!$B$51:$B$193,$J709,VCU!$E$51:$E$193)*Impacts!$F$17))</f>
        <v>0</v>
      </c>
      <c r="V709" s="10">
        <f>IF(CAS!$C$7="",0,(SUMIF(CAS!$B$31:$B$167,$J709,CAS!$E$31:$E$167)*Impacts!$F$18))</f>
        <v>0</v>
      </c>
      <c r="W709" s="10">
        <f t="shared" si="53"/>
        <v>0</v>
      </c>
      <c r="AK709" s="10" t="str">
        <f t="array" ref="AK709">IFERROR(INDEX(SelectedSpecies,SMALL(IF(SelectedSpecies=AK$1,ROW(SelectedSpecies)),ROW(710:710)),2),"")</f>
        <v/>
      </c>
      <c r="BE709" s="10"/>
      <c r="BI709" s="10"/>
    </row>
    <row r="710" spans="1:61" ht="21" customHeight="1" x14ac:dyDescent="0.25">
      <c r="A710" s="10"/>
      <c r="B710" s="10"/>
      <c r="E710" s="10"/>
      <c r="G710" s="10"/>
      <c r="I710" s="436" t="s">
        <v>5077</v>
      </c>
      <c r="J710" s="26" t="s">
        <v>5076</v>
      </c>
      <c r="K710" s="10">
        <v>2.2000000000000002</v>
      </c>
      <c r="L710" s="73">
        <f>IF(Tank1!$C$23="No control",(SUMIF(Tank1!$B$32:$B$49,$J710,Tank1!$C$32:$C$49)*Impacts!$F$8),0)</f>
        <v>0</v>
      </c>
      <c r="M710" s="10">
        <f>IF(Tank2!$C$23="No control",(SUMIF(Tank2!$B$32:$B$49,$J710,Tank2!$C$32:$C$49)*Impacts!$F$9),0)</f>
        <v>0</v>
      </c>
      <c r="N710" s="10">
        <f>IF(Tank3!$C$23="No control",(SUMIF(Tank3!$B$32:$B$49,$J710,Tank3!$C$32:$C$49)*Impacts!$F$10),0)</f>
        <v>0</v>
      </c>
      <c r="O710" s="10">
        <f>IF(Tank4!$C$23="No control",(SUMIF(Tank4!$B$32:$B$49,$J710,Tank4!$C$32:$C$49)*Impacts!$F$11),0)</f>
        <v>0</v>
      </c>
      <c r="P710" s="10">
        <f>IF(Tank5!$C$23="No control",(SUMIF(Tank5!$B$32:$B$49,$J710,Tank5!$C$32:$C$49)*Impacts!$F$12),0)</f>
        <v>0</v>
      </c>
      <c r="Q710" s="10">
        <f>IFERROR(IF(('Loading-drum,tote'!$C$21)="No control",SUMIF(('Loading-drum,tote'!$B$31:$B$48),$J710,('Loading-drum,tote'!$D$31:$D$48))*Impacts!$F$13,IF(('Loading-drum,tote'!$C$21)&lt;&gt;"No control",SUMIF(('Loading-drum,tote'!$B$31:$B$48),$J710,('Loading-drum,tote'!$E$31:$E$48))*Impacts!$F$13,0)),0)</f>
        <v>0</v>
      </c>
      <c r="R710" s="10">
        <f>IFERROR(IF(('Loading-truck'!$C$21)="No control",SUMIF(('Loading-truck'!$B$31:$B$48),$J710,('Loading-truck'!$D$31:$D$48))*Impacts!$F$14,IF(('Loading-truck'!$C$21)&lt;&gt;"No control",SUMIF(('Loading-truck'!$B$31:$B$48),$J710,('Loading-truck'!$E$31:$E$48))*Impacts!$F$14,0)),0)</f>
        <v>0</v>
      </c>
      <c r="S710" s="10">
        <f>IFERROR(IF(('Loading-rail'!$C$21)="No control",SUMIF(('Loading-rail'!$B$31:$B$48),$J710,('Loading-rail'!$D$31:$D$48))*Impacts!$F$15,IF(('Loading-rail'!$C$21)&lt;&gt;"No control",SUMIF(('Loading-rail'!$B$31:$B$48),$J710,('Loading-rail'!$E$31:$E$48))*Impacts!$F$15,0)),0)</f>
        <v>0</v>
      </c>
      <c r="T710" s="10">
        <f>IF(Flare!$C$7="",0,(SUMIF(Flare!$B$46:$B$185,$J710,Flare!$E$46:$E$185)*Impacts!$F$16))</f>
        <v>0</v>
      </c>
      <c r="U710" s="10">
        <f>IF(VCU!$C$9="",0,(SUMIF(VCU!$B$51:$B$193,$J710,VCU!$E$51:$E$193)*Impacts!$F$17))</f>
        <v>0</v>
      </c>
      <c r="V710" s="10">
        <f>IF(CAS!$C$7="",0,(SUMIF(CAS!$B$31:$B$167,$J710,CAS!$E$31:$E$167)*Impacts!$F$18))</f>
        <v>0</v>
      </c>
      <c r="W710" s="10">
        <f t="shared" si="53"/>
        <v>0</v>
      </c>
      <c r="AK710" s="10" t="str">
        <f t="array" ref="AK710">IFERROR(INDEX(SelectedSpecies,SMALL(IF(SelectedSpecies=AK$1,ROW(SelectedSpecies)),ROW(711:711)),2),"")</f>
        <v/>
      </c>
      <c r="BE710" s="10"/>
      <c r="BI710" s="10"/>
    </row>
    <row r="711" spans="1:61" ht="21" customHeight="1" x14ac:dyDescent="0.25">
      <c r="A711" s="10"/>
      <c r="B711" s="10"/>
      <c r="E711" s="10"/>
      <c r="G711" s="10"/>
      <c r="I711" s="436" t="s">
        <v>3487</v>
      </c>
      <c r="J711" s="26" t="s">
        <v>3486</v>
      </c>
      <c r="K711" s="10">
        <v>9.3000000000000007</v>
      </c>
      <c r="L711" s="73">
        <f>IF(Tank1!$C$23="No control",(SUMIF(Tank1!$B$32:$B$49,$J711,Tank1!$C$32:$C$49)*Impacts!$F$8),0)</f>
        <v>0</v>
      </c>
      <c r="M711" s="10">
        <f>IF(Tank2!$C$23="No control",(SUMIF(Tank2!$B$32:$B$49,$J711,Tank2!$C$32:$C$49)*Impacts!$F$9),0)</f>
        <v>0</v>
      </c>
      <c r="N711" s="10">
        <f>IF(Tank3!$C$23="No control",(SUMIF(Tank3!$B$32:$B$49,$J711,Tank3!$C$32:$C$49)*Impacts!$F$10),0)</f>
        <v>0</v>
      </c>
      <c r="O711" s="10">
        <f>IF(Tank4!$C$23="No control",(SUMIF(Tank4!$B$32:$B$49,$J711,Tank4!$C$32:$C$49)*Impacts!$F$11),0)</f>
        <v>0</v>
      </c>
      <c r="P711" s="10">
        <f>IF(Tank5!$C$23="No control",(SUMIF(Tank5!$B$32:$B$49,$J711,Tank5!$C$32:$C$49)*Impacts!$F$12),0)</f>
        <v>0</v>
      </c>
      <c r="Q711" s="10">
        <f>IFERROR(IF(('Loading-drum,tote'!$C$21)="No control",SUMIF(('Loading-drum,tote'!$B$31:$B$48),$J711,('Loading-drum,tote'!$D$31:$D$48))*Impacts!$F$13,IF(('Loading-drum,tote'!$C$21)&lt;&gt;"No control",SUMIF(('Loading-drum,tote'!$B$31:$B$48),$J711,('Loading-drum,tote'!$E$31:$E$48))*Impacts!$F$13,0)),0)</f>
        <v>0</v>
      </c>
      <c r="R711" s="10">
        <f>IFERROR(IF(('Loading-truck'!$C$21)="No control",SUMIF(('Loading-truck'!$B$31:$B$48),$J711,('Loading-truck'!$D$31:$D$48))*Impacts!$F$14,IF(('Loading-truck'!$C$21)&lt;&gt;"No control",SUMIF(('Loading-truck'!$B$31:$B$48),$J711,('Loading-truck'!$E$31:$E$48))*Impacts!$F$14,0)),0)</f>
        <v>0</v>
      </c>
      <c r="S711" s="10">
        <f>IFERROR(IF(('Loading-rail'!$C$21)="No control",SUMIF(('Loading-rail'!$B$31:$B$48),$J711,('Loading-rail'!$D$31:$D$48))*Impacts!$F$15,IF(('Loading-rail'!$C$21)&lt;&gt;"No control",SUMIF(('Loading-rail'!$B$31:$B$48),$J711,('Loading-rail'!$E$31:$E$48))*Impacts!$F$15,0)),0)</f>
        <v>0</v>
      </c>
      <c r="T711" s="10">
        <f>IF(Flare!$C$7="",0,(SUMIF(Flare!$B$46:$B$185,$J711,Flare!$E$46:$E$185)*Impacts!$F$16))</f>
        <v>0</v>
      </c>
      <c r="U711" s="10">
        <f>IF(VCU!$C$9="",0,(SUMIF(VCU!$B$51:$B$193,$J711,VCU!$E$51:$E$193)*Impacts!$F$17))</f>
        <v>0</v>
      </c>
      <c r="V711" s="10">
        <f>IF(CAS!$C$7="",0,(SUMIF(CAS!$B$31:$B$167,$J711,CAS!$E$31:$E$167)*Impacts!$F$18))</f>
        <v>0</v>
      </c>
      <c r="W711" s="10">
        <f t="shared" si="53"/>
        <v>0</v>
      </c>
      <c r="AK711" s="10" t="str">
        <f t="array" ref="AK711">IFERROR(INDEX(SelectedSpecies,SMALL(IF(SelectedSpecies=AK$1,ROW(SelectedSpecies)),ROW(712:712)),2),"")</f>
        <v/>
      </c>
      <c r="BE711" s="10"/>
      <c r="BI711" s="10"/>
    </row>
    <row r="712" spans="1:61" ht="21" customHeight="1" x14ac:dyDescent="0.25">
      <c r="A712" s="10"/>
      <c r="B712" s="10"/>
      <c r="E712" s="10"/>
      <c r="G712" s="10"/>
      <c r="I712" s="436" t="s">
        <v>2429</v>
      </c>
      <c r="J712" s="26" t="s">
        <v>2428</v>
      </c>
      <c r="K712" s="10">
        <v>10</v>
      </c>
      <c r="L712" s="73">
        <f>IF(Tank1!$C$23="No control",(SUMIF(Tank1!$B$32:$B$49,$J712,Tank1!$C$32:$C$49)*Impacts!$F$8),0)</f>
        <v>0</v>
      </c>
      <c r="M712" s="10">
        <f>IF(Tank2!$C$23="No control",(SUMIF(Tank2!$B$32:$B$49,$J712,Tank2!$C$32:$C$49)*Impacts!$F$9),0)</f>
        <v>0</v>
      </c>
      <c r="N712" s="10">
        <f>IF(Tank3!$C$23="No control",(SUMIF(Tank3!$B$32:$B$49,$J712,Tank3!$C$32:$C$49)*Impacts!$F$10),0)</f>
        <v>0</v>
      </c>
      <c r="O712" s="10">
        <f>IF(Tank4!$C$23="No control",(SUMIF(Tank4!$B$32:$B$49,$J712,Tank4!$C$32:$C$49)*Impacts!$F$11),0)</f>
        <v>0</v>
      </c>
      <c r="P712" s="10">
        <f>IF(Tank5!$C$23="No control",(SUMIF(Tank5!$B$32:$B$49,$J712,Tank5!$C$32:$C$49)*Impacts!$F$12),0)</f>
        <v>0</v>
      </c>
      <c r="Q712" s="10">
        <f>IFERROR(IF(('Loading-drum,tote'!$C$21)="No control",SUMIF(('Loading-drum,tote'!$B$31:$B$48),$J712,('Loading-drum,tote'!$D$31:$D$48))*Impacts!$F$13,IF(('Loading-drum,tote'!$C$21)&lt;&gt;"No control",SUMIF(('Loading-drum,tote'!$B$31:$B$48),$J712,('Loading-drum,tote'!$E$31:$E$48))*Impacts!$F$13,0)),0)</f>
        <v>0</v>
      </c>
      <c r="R712" s="10">
        <f>IFERROR(IF(('Loading-truck'!$C$21)="No control",SUMIF(('Loading-truck'!$B$31:$B$48),$J712,('Loading-truck'!$D$31:$D$48))*Impacts!$F$14,IF(('Loading-truck'!$C$21)&lt;&gt;"No control",SUMIF(('Loading-truck'!$B$31:$B$48),$J712,('Loading-truck'!$E$31:$E$48))*Impacts!$F$14,0)),0)</f>
        <v>0</v>
      </c>
      <c r="S712" s="10">
        <f>IFERROR(IF(('Loading-rail'!$C$21)="No control",SUMIF(('Loading-rail'!$B$31:$B$48),$J712,('Loading-rail'!$D$31:$D$48))*Impacts!$F$15,IF(('Loading-rail'!$C$21)&lt;&gt;"No control",SUMIF(('Loading-rail'!$B$31:$B$48),$J712,('Loading-rail'!$E$31:$E$48))*Impacts!$F$15,0)),0)</f>
        <v>0</v>
      </c>
      <c r="T712" s="10">
        <f>IF(Flare!$C$7="",0,(SUMIF(Flare!$B$46:$B$185,$J712,Flare!$E$46:$E$185)*Impacts!$F$16))</f>
        <v>0</v>
      </c>
      <c r="U712" s="10">
        <f>IF(VCU!$C$9="",0,(SUMIF(VCU!$B$51:$B$193,$J712,VCU!$E$51:$E$193)*Impacts!$F$17))</f>
        <v>0</v>
      </c>
      <c r="V712" s="10">
        <f>IF(CAS!$C$7="",0,(SUMIF(CAS!$B$31:$B$167,$J712,CAS!$E$31:$E$167)*Impacts!$F$18))</f>
        <v>0</v>
      </c>
      <c r="W712" s="10">
        <f t="shared" si="53"/>
        <v>0</v>
      </c>
      <c r="AK712" s="10" t="str">
        <f t="array" ref="AK712">IFERROR(INDEX(SelectedSpecies,SMALL(IF(SelectedSpecies=AK$1,ROW(SelectedSpecies)),ROW(713:713)),2),"")</f>
        <v/>
      </c>
      <c r="BE712" s="10"/>
      <c r="BI712" s="10"/>
    </row>
    <row r="713" spans="1:61" ht="21" customHeight="1" x14ac:dyDescent="0.25">
      <c r="A713" s="10"/>
      <c r="B713" s="10"/>
      <c r="E713" s="10"/>
      <c r="G713" s="10"/>
      <c r="I713" s="436" t="s">
        <v>2085</v>
      </c>
      <c r="J713" s="26" t="s">
        <v>2084</v>
      </c>
      <c r="K713" s="10">
        <v>15</v>
      </c>
      <c r="L713" s="73">
        <f>IF(Tank1!$C$23="No control",(SUMIF(Tank1!$B$32:$B$49,$J713,Tank1!$C$32:$C$49)*Impacts!$F$8),0)</f>
        <v>0</v>
      </c>
      <c r="M713" s="10">
        <f>IF(Tank2!$C$23="No control",(SUMIF(Tank2!$B$32:$B$49,$J713,Tank2!$C$32:$C$49)*Impacts!$F$9),0)</f>
        <v>0</v>
      </c>
      <c r="N713" s="10">
        <f>IF(Tank3!$C$23="No control",(SUMIF(Tank3!$B$32:$B$49,$J713,Tank3!$C$32:$C$49)*Impacts!$F$10),0)</f>
        <v>0</v>
      </c>
      <c r="O713" s="10">
        <f>IF(Tank4!$C$23="No control",(SUMIF(Tank4!$B$32:$B$49,$J713,Tank4!$C$32:$C$49)*Impacts!$F$11),0)</f>
        <v>0</v>
      </c>
      <c r="P713" s="10">
        <f>IF(Tank5!$C$23="No control",(SUMIF(Tank5!$B$32:$B$49,$J713,Tank5!$C$32:$C$49)*Impacts!$F$12),0)</f>
        <v>0</v>
      </c>
      <c r="Q713" s="10">
        <f>IFERROR(IF(('Loading-drum,tote'!$C$21)="No control",SUMIF(('Loading-drum,tote'!$B$31:$B$48),$J713,('Loading-drum,tote'!$D$31:$D$48))*Impacts!$F$13,IF(('Loading-drum,tote'!$C$21)&lt;&gt;"No control",SUMIF(('Loading-drum,tote'!$B$31:$B$48),$J713,('Loading-drum,tote'!$E$31:$E$48))*Impacts!$F$13,0)),0)</f>
        <v>0</v>
      </c>
      <c r="R713" s="10">
        <f>IFERROR(IF(('Loading-truck'!$C$21)="No control",SUMIF(('Loading-truck'!$B$31:$B$48),$J713,('Loading-truck'!$D$31:$D$48))*Impacts!$F$14,IF(('Loading-truck'!$C$21)&lt;&gt;"No control",SUMIF(('Loading-truck'!$B$31:$B$48),$J713,('Loading-truck'!$E$31:$E$48))*Impacts!$F$14,0)),0)</f>
        <v>0</v>
      </c>
      <c r="S713" s="10">
        <f>IFERROR(IF(('Loading-rail'!$C$21)="No control",SUMIF(('Loading-rail'!$B$31:$B$48),$J713,('Loading-rail'!$D$31:$D$48))*Impacts!$F$15,IF(('Loading-rail'!$C$21)&lt;&gt;"No control",SUMIF(('Loading-rail'!$B$31:$B$48),$J713,('Loading-rail'!$E$31:$E$48))*Impacts!$F$15,0)),0)</f>
        <v>0</v>
      </c>
      <c r="T713" s="10">
        <f>IF(Flare!$C$7="",0,(SUMIF(Flare!$B$46:$B$185,$J713,Flare!$E$46:$E$185)*Impacts!$F$16))</f>
        <v>0</v>
      </c>
      <c r="U713" s="10">
        <f>IF(VCU!$C$9="",0,(SUMIF(VCU!$B$51:$B$193,$J713,VCU!$E$51:$E$193)*Impacts!$F$17))</f>
        <v>0</v>
      </c>
      <c r="V713" s="10">
        <f>IF(CAS!$C$7="",0,(SUMIF(CAS!$B$31:$B$167,$J713,CAS!$E$31:$E$167)*Impacts!$F$18))</f>
        <v>0</v>
      </c>
      <c r="W713" s="10">
        <f t="shared" si="53"/>
        <v>0</v>
      </c>
      <c r="AK713" s="10" t="str">
        <f t="array" ref="AK713">IFERROR(INDEX(SelectedSpecies,SMALL(IF(SelectedSpecies=AK$1,ROW(SelectedSpecies)),ROW(714:714)),2),"")</f>
        <v/>
      </c>
      <c r="BE713" s="10"/>
      <c r="BI713" s="10"/>
    </row>
    <row r="714" spans="1:61" ht="21" customHeight="1" x14ac:dyDescent="0.25">
      <c r="A714" s="10"/>
      <c r="B714" s="10"/>
      <c r="E714" s="10"/>
      <c r="G714" s="10"/>
      <c r="I714" s="436" t="s">
        <v>964</v>
      </c>
      <c r="J714" s="26" t="s">
        <v>963</v>
      </c>
      <c r="K714" s="10">
        <v>37.5</v>
      </c>
      <c r="L714" s="73">
        <f>IF(Tank1!$C$23="No control",(SUMIF(Tank1!$B$32:$B$49,$J714,Tank1!$C$32:$C$49)*Impacts!$F$8),0)</f>
        <v>0</v>
      </c>
      <c r="M714" s="10">
        <f>IF(Tank2!$C$23="No control",(SUMIF(Tank2!$B$32:$B$49,$J714,Tank2!$C$32:$C$49)*Impacts!$F$9),0)</f>
        <v>0</v>
      </c>
      <c r="N714" s="10">
        <f>IF(Tank3!$C$23="No control",(SUMIF(Tank3!$B$32:$B$49,$J714,Tank3!$C$32:$C$49)*Impacts!$F$10),0)</f>
        <v>0</v>
      </c>
      <c r="O714" s="10">
        <f>IF(Tank4!$C$23="No control",(SUMIF(Tank4!$B$32:$B$49,$J714,Tank4!$C$32:$C$49)*Impacts!$F$11),0)</f>
        <v>0</v>
      </c>
      <c r="P714" s="10">
        <f>IF(Tank5!$C$23="No control",(SUMIF(Tank5!$B$32:$B$49,$J714,Tank5!$C$32:$C$49)*Impacts!$F$12),0)</f>
        <v>0</v>
      </c>
      <c r="Q714" s="10">
        <f>IFERROR(IF(('Loading-drum,tote'!$C$21)="No control",SUMIF(('Loading-drum,tote'!$B$31:$B$48),$J714,('Loading-drum,tote'!$D$31:$D$48))*Impacts!$F$13,IF(('Loading-drum,tote'!$C$21)&lt;&gt;"No control",SUMIF(('Loading-drum,tote'!$B$31:$B$48),$J714,('Loading-drum,tote'!$E$31:$E$48))*Impacts!$F$13,0)),0)</f>
        <v>0</v>
      </c>
      <c r="R714" s="10">
        <f>IFERROR(IF(('Loading-truck'!$C$21)="No control",SUMIF(('Loading-truck'!$B$31:$B$48),$J714,('Loading-truck'!$D$31:$D$48))*Impacts!$F$14,IF(('Loading-truck'!$C$21)&lt;&gt;"No control",SUMIF(('Loading-truck'!$B$31:$B$48),$J714,('Loading-truck'!$E$31:$E$48))*Impacts!$F$14,0)),0)</f>
        <v>0</v>
      </c>
      <c r="S714" s="10">
        <f>IFERROR(IF(('Loading-rail'!$C$21)="No control",SUMIF(('Loading-rail'!$B$31:$B$48),$J714,('Loading-rail'!$D$31:$D$48))*Impacts!$F$15,IF(('Loading-rail'!$C$21)&lt;&gt;"No control",SUMIF(('Loading-rail'!$B$31:$B$48),$J714,('Loading-rail'!$E$31:$E$48))*Impacts!$F$15,0)),0)</f>
        <v>0</v>
      </c>
      <c r="T714" s="10">
        <f>IF(Flare!$C$7="",0,(SUMIF(Flare!$B$46:$B$185,$J714,Flare!$E$46:$E$185)*Impacts!$F$16))</f>
        <v>0</v>
      </c>
      <c r="U714" s="10">
        <f>IF(VCU!$C$9="",0,(SUMIF(VCU!$B$51:$B$193,$J714,VCU!$E$51:$E$193)*Impacts!$F$17))</f>
        <v>0</v>
      </c>
      <c r="V714" s="10">
        <f>IF(CAS!$C$7="",0,(SUMIF(CAS!$B$31:$B$167,$J714,CAS!$E$31:$E$167)*Impacts!$F$18))</f>
        <v>0</v>
      </c>
      <c r="W714" s="10">
        <f t="shared" si="53"/>
        <v>0</v>
      </c>
      <c r="AK714" s="10" t="str">
        <f t="array" ref="AK714">IFERROR(INDEX(SelectedSpecies,SMALL(IF(SelectedSpecies=AK$1,ROW(SelectedSpecies)),ROW(715:715)),2),"")</f>
        <v/>
      </c>
      <c r="BE714" s="10"/>
      <c r="BI714" s="10"/>
    </row>
    <row r="715" spans="1:61" ht="21" customHeight="1" x14ac:dyDescent="0.25">
      <c r="A715" s="10"/>
      <c r="B715" s="10"/>
      <c r="E715" s="10"/>
      <c r="G715" s="10"/>
      <c r="I715" s="436" t="s">
        <v>1779</v>
      </c>
      <c r="J715" s="26" t="s">
        <v>1778</v>
      </c>
      <c r="K715" s="10">
        <v>23</v>
      </c>
      <c r="L715" s="73">
        <f>IF(Tank1!$C$23="No control",(SUMIF(Tank1!$B$32:$B$49,$J715,Tank1!$C$32:$C$49)*Impacts!$F$8),0)</f>
        <v>0</v>
      </c>
      <c r="M715" s="10">
        <f>IF(Tank2!$C$23="No control",(SUMIF(Tank2!$B$32:$B$49,$J715,Tank2!$C$32:$C$49)*Impacts!$F$9),0)</f>
        <v>0</v>
      </c>
      <c r="N715" s="10">
        <f>IF(Tank3!$C$23="No control",(SUMIF(Tank3!$B$32:$B$49,$J715,Tank3!$C$32:$C$49)*Impacts!$F$10),0)</f>
        <v>0</v>
      </c>
      <c r="O715" s="10">
        <f>IF(Tank4!$C$23="No control",(SUMIF(Tank4!$B$32:$B$49,$J715,Tank4!$C$32:$C$49)*Impacts!$F$11),0)</f>
        <v>0</v>
      </c>
      <c r="P715" s="10">
        <f>IF(Tank5!$C$23="No control",(SUMIF(Tank5!$B$32:$B$49,$J715,Tank5!$C$32:$C$49)*Impacts!$F$12),0)</f>
        <v>0</v>
      </c>
      <c r="Q715" s="10">
        <f>IFERROR(IF(('Loading-drum,tote'!$C$21)="No control",SUMIF(('Loading-drum,tote'!$B$31:$B$48),$J715,('Loading-drum,tote'!$D$31:$D$48))*Impacts!$F$13,IF(('Loading-drum,tote'!$C$21)&lt;&gt;"No control",SUMIF(('Loading-drum,tote'!$B$31:$B$48),$J715,('Loading-drum,tote'!$E$31:$E$48))*Impacts!$F$13,0)),0)</f>
        <v>0</v>
      </c>
      <c r="R715" s="10">
        <f>IFERROR(IF(('Loading-truck'!$C$21)="No control",SUMIF(('Loading-truck'!$B$31:$B$48),$J715,('Loading-truck'!$D$31:$D$48))*Impacts!$F$14,IF(('Loading-truck'!$C$21)&lt;&gt;"No control",SUMIF(('Loading-truck'!$B$31:$B$48),$J715,('Loading-truck'!$E$31:$E$48))*Impacts!$F$14,0)),0)</f>
        <v>0</v>
      </c>
      <c r="S715" s="10">
        <f>IFERROR(IF(('Loading-rail'!$C$21)="No control",SUMIF(('Loading-rail'!$B$31:$B$48),$J715,('Loading-rail'!$D$31:$D$48))*Impacts!$F$15,IF(('Loading-rail'!$C$21)&lt;&gt;"No control",SUMIF(('Loading-rail'!$B$31:$B$48),$J715,('Loading-rail'!$E$31:$E$48))*Impacts!$F$15,0)),0)</f>
        <v>0</v>
      </c>
      <c r="T715" s="10">
        <f>IF(Flare!$C$7="",0,(SUMIF(Flare!$B$46:$B$185,$J715,Flare!$E$46:$E$185)*Impacts!$F$16))</f>
        <v>0</v>
      </c>
      <c r="U715" s="10">
        <f>IF(VCU!$C$9="",0,(SUMIF(VCU!$B$51:$B$193,$J715,VCU!$E$51:$E$193)*Impacts!$F$17))</f>
        <v>0</v>
      </c>
      <c r="V715" s="10">
        <f>IF(CAS!$C$7="",0,(SUMIF(CAS!$B$31:$B$167,$J715,CAS!$E$31:$E$167)*Impacts!$F$18))</f>
        <v>0</v>
      </c>
      <c r="W715" s="10">
        <f t="shared" si="53"/>
        <v>0</v>
      </c>
      <c r="AK715" s="10" t="str">
        <f t="array" ref="AK715">IFERROR(INDEX(SelectedSpecies,SMALL(IF(SelectedSpecies=AK$1,ROW(SelectedSpecies)),ROW(716:716)),2),"")</f>
        <v/>
      </c>
      <c r="BE715" s="10"/>
      <c r="BI715" s="10"/>
    </row>
    <row r="716" spans="1:61" ht="21" customHeight="1" x14ac:dyDescent="0.25">
      <c r="A716" s="10"/>
      <c r="B716" s="10"/>
      <c r="E716" s="10"/>
      <c r="G716" s="10"/>
      <c r="I716" s="436" t="s">
        <v>5744</v>
      </c>
      <c r="J716" s="26" t="s">
        <v>5743</v>
      </c>
      <c r="K716" s="10">
        <v>1</v>
      </c>
      <c r="L716" s="73">
        <f>IF(Tank1!$C$23="No control",(SUMIF(Tank1!$B$32:$B$49,$J716,Tank1!$C$32:$C$49)*Impacts!$F$8),0)</f>
        <v>0</v>
      </c>
      <c r="M716" s="10">
        <f>IF(Tank2!$C$23="No control",(SUMIF(Tank2!$B$32:$B$49,$J716,Tank2!$C$32:$C$49)*Impacts!$F$9),0)</f>
        <v>0</v>
      </c>
      <c r="N716" s="10">
        <f>IF(Tank3!$C$23="No control",(SUMIF(Tank3!$B$32:$B$49,$J716,Tank3!$C$32:$C$49)*Impacts!$F$10),0)</f>
        <v>0</v>
      </c>
      <c r="O716" s="10">
        <f>IF(Tank4!$C$23="No control",(SUMIF(Tank4!$B$32:$B$49,$J716,Tank4!$C$32:$C$49)*Impacts!$F$11),0)</f>
        <v>0</v>
      </c>
      <c r="P716" s="10">
        <f>IF(Tank5!$C$23="No control",(SUMIF(Tank5!$B$32:$B$49,$J716,Tank5!$C$32:$C$49)*Impacts!$F$12),0)</f>
        <v>0</v>
      </c>
      <c r="Q716" s="10">
        <f>IFERROR(IF(('Loading-drum,tote'!$C$21)="No control",SUMIF(('Loading-drum,tote'!$B$31:$B$48),$J716,('Loading-drum,tote'!$D$31:$D$48))*Impacts!$F$13,IF(('Loading-drum,tote'!$C$21)&lt;&gt;"No control",SUMIF(('Loading-drum,tote'!$B$31:$B$48),$J716,('Loading-drum,tote'!$E$31:$E$48))*Impacts!$F$13,0)),0)</f>
        <v>0</v>
      </c>
      <c r="R716" s="10">
        <f>IFERROR(IF(('Loading-truck'!$C$21)="No control",SUMIF(('Loading-truck'!$B$31:$B$48),$J716,('Loading-truck'!$D$31:$D$48))*Impacts!$F$14,IF(('Loading-truck'!$C$21)&lt;&gt;"No control",SUMIF(('Loading-truck'!$B$31:$B$48),$J716,('Loading-truck'!$E$31:$E$48))*Impacts!$F$14,0)),0)</f>
        <v>0</v>
      </c>
      <c r="S716" s="10">
        <f>IFERROR(IF(('Loading-rail'!$C$21)="No control",SUMIF(('Loading-rail'!$B$31:$B$48),$J716,('Loading-rail'!$D$31:$D$48))*Impacts!$F$15,IF(('Loading-rail'!$C$21)&lt;&gt;"No control",SUMIF(('Loading-rail'!$B$31:$B$48),$J716,('Loading-rail'!$E$31:$E$48))*Impacts!$F$15,0)),0)</f>
        <v>0</v>
      </c>
      <c r="T716" s="10">
        <f>IF(Flare!$C$7="",0,(SUMIF(Flare!$B$46:$B$185,$J716,Flare!$E$46:$E$185)*Impacts!$F$16))</f>
        <v>0</v>
      </c>
      <c r="U716" s="10">
        <f>IF(VCU!$C$9="",0,(SUMIF(VCU!$B$51:$B$193,$J716,VCU!$E$51:$E$193)*Impacts!$F$17))</f>
        <v>0</v>
      </c>
      <c r="V716" s="10">
        <f>IF(CAS!$C$7="",0,(SUMIF(CAS!$B$31:$B$167,$J716,CAS!$E$31:$E$167)*Impacts!$F$18))</f>
        <v>0</v>
      </c>
      <c r="W716" s="10">
        <f t="shared" si="53"/>
        <v>0</v>
      </c>
      <c r="AK716" s="10" t="str">
        <f t="array" ref="AK716">IFERROR(INDEX(SelectedSpecies,SMALL(IF(SelectedSpecies=AK$1,ROW(SelectedSpecies)),ROW(717:717)),2),"")</f>
        <v/>
      </c>
      <c r="BE716" s="10"/>
      <c r="BI716" s="10"/>
    </row>
    <row r="717" spans="1:61" ht="21" customHeight="1" x14ac:dyDescent="0.25">
      <c r="A717" s="10"/>
      <c r="B717" s="10"/>
      <c r="E717" s="10"/>
      <c r="G717" s="10"/>
      <c r="I717" s="436" t="s">
        <v>2709</v>
      </c>
      <c r="J717" s="26" t="s">
        <v>2708</v>
      </c>
      <c r="K717" s="10">
        <v>10</v>
      </c>
      <c r="L717" s="73">
        <f>IF(Tank1!$C$23="No control",(SUMIF(Tank1!$B$32:$B$49,$J717,Tank1!$C$32:$C$49)*Impacts!$F$8),0)</f>
        <v>0</v>
      </c>
      <c r="M717" s="10">
        <f>IF(Tank2!$C$23="No control",(SUMIF(Tank2!$B$32:$B$49,$J717,Tank2!$C$32:$C$49)*Impacts!$F$9),0)</f>
        <v>0</v>
      </c>
      <c r="N717" s="10">
        <f>IF(Tank3!$C$23="No control",(SUMIF(Tank3!$B$32:$B$49,$J717,Tank3!$C$32:$C$49)*Impacts!$F$10),0)</f>
        <v>0</v>
      </c>
      <c r="O717" s="10">
        <f>IF(Tank4!$C$23="No control",(SUMIF(Tank4!$B$32:$B$49,$J717,Tank4!$C$32:$C$49)*Impacts!$F$11),0)</f>
        <v>0</v>
      </c>
      <c r="P717" s="10">
        <f>IF(Tank5!$C$23="No control",(SUMIF(Tank5!$B$32:$B$49,$J717,Tank5!$C$32:$C$49)*Impacts!$F$12),0)</f>
        <v>0</v>
      </c>
      <c r="Q717" s="10">
        <f>IFERROR(IF(('Loading-drum,tote'!$C$21)="No control",SUMIF(('Loading-drum,tote'!$B$31:$B$48),$J717,('Loading-drum,tote'!$D$31:$D$48))*Impacts!$F$13,IF(('Loading-drum,tote'!$C$21)&lt;&gt;"No control",SUMIF(('Loading-drum,tote'!$B$31:$B$48),$J717,('Loading-drum,tote'!$E$31:$E$48))*Impacts!$F$13,0)),0)</f>
        <v>0</v>
      </c>
      <c r="R717" s="10">
        <f>IFERROR(IF(('Loading-truck'!$C$21)="No control",SUMIF(('Loading-truck'!$B$31:$B$48),$J717,('Loading-truck'!$D$31:$D$48))*Impacts!$F$14,IF(('Loading-truck'!$C$21)&lt;&gt;"No control",SUMIF(('Loading-truck'!$B$31:$B$48),$J717,('Loading-truck'!$E$31:$E$48))*Impacts!$F$14,0)),0)</f>
        <v>0</v>
      </c>
      <c r="S717" s="10">
        <f>IFERROR(IF(('Loading-rail'!$C$21)="No control",SUMIF(('Loading-rail'!$B$31:$B$48),$J717,('Loading-rail'!$D$31:$D$48))*Impacts!$F$15,IF(('Loading-rail'!$C$21)&lt;&gt;"No control",SUMIF(('Loading-rail'!$B$31:$B$48),$J717,('Loading-rail'!$E$31:$E$48))*Impacts!$F$15,0)),0)</f>
        <v>0</v>
      </c>
      <c r="T717" s="10">
        <f>IF(Flare!$C$7="",0,(SUMIF(Flare!$B$46:$B$185,$J717,Flare!$E$46:$E$185)*Impacts!$F$16))</f>
        <v>0</v>
      </c>
      <c r="U717" s="10">
        <f>IF(VCU!$C$9="",0,(SUMIF(VCU!$B$51:$B$193,$J717,VCU!$E$51:$E$193)*Impacts!$F$17))</f>
        <v>0</v>
      </c>
      <c r="V717" s="10">
        <f>IF(CAS!$C$7="",0,(SUMIF(CAS!$B$31:$B$167,$J717,CAS!$E$31:$E$167)*Impacts!$F$18))</f>
        <v>0</v>
      </c>
      <c r="W717" s="10">
        <f t="shared" si="53"/>
        <v>0</v>
      </c>
      <c r="AK717" s="10" t="str">
        <f t="array" ref="AK717">IFERROR(INDEX(SelectedSpecies,SMALL(IF(SelectedSpecies=AK$1,ROW(SelectedSpecies)),ROW(718:718)),2),"")</f>
        <v/>
      </c>
      <c r="BE717" s="10"/>
      <c r="BI717" s="10"/>
    </row>
    <row r="718" spans="1:61" ht="21" customHeight="1" x14ac:dyDescent="0.25">
      <c r="A718" s="10"/>
      <c r="B718" s="10"/>
      <c r="E718" s="10"/>
      <c r="G718" s="10"/>
      <c r="I718" s="436" t="s">
        <v>4753</v>
      </c>
      <c r="J718" s="26" t="s">
        <v>4752</v>
      </c>
      <c r="K718" s="10">
        <v>20</v>
      </c>
      <c r="L718" s="73">
        <f>IF(Tank1!$C$23="No control",(SUMIF(Tank1!$B$32:$B$49,$J718,Tank1!$C$32:$C$49)*Impacts!$F$8),0)</f>
        <v>0</v>
      </c>
      <c r="M718" s="10">
        <f>IF(Tank2!$C$23="No control",(SUMIF(Tank2!$B$32:$B$49,$J718,Tank2!$C$32:$C$49)*Impacts!$F$9),0)</f>
        <v>0</v>
      </c>
      <c r="N718" s="10">
        <f>IF(Tank3!$C$23="No control",(SUMIF(Tank3!$B$32:$B$49,$J718,Tank3!$C$32:$C$49)*Impacts!$F$10),0)</f>
        <v>0</v>
      </c>
      <c r="O718" s="10">
        <f>IF(Tank4!$C$23="No control",(SUMIF(Tank4!$B$32:$B$49,$J718,Tank4!$C$32:$C$49)*Impacts!$F$11),0)</f>
        <v>0</v>
      </c>
      <c r="P718" s="10">
        <f>IF(Tank5!$C$23="No control",(SUMIF(Tank5!$B$32:$B$49,$J718,Tank5!$C$32:$C$49)*Impacts!$F$12),0)</f>
        <v>0</v>
      </c>
      <c r="Q718" s="10">
        <f>IFERROR(IF(('Loading-drum,tote'!$C$21)="No control",SUMIF(('Loading-drum,tote'!$B$31:$B$48),$J718,('Loading-drum,tote'!$D$31:$D$48))*Impacts!$F$13,IF(('Loading-drum,tote'!$C$21)&lt;&gt;"No control",SUMIF(('Loading-drum,tote'!$B$31:$B$48),$J718,('Loading-drum,tote'!$E$31:$E$48))*Impacts!$F$13,0)),0)</f>
        <v>0</v>
      </c>
      <c r="R718" s="10">
        <f>IFERROR(IF(('Loading-truck'!$C$21)="No control",SUMIF(('Loading-truck'!$B$31:$B$48),$J718,('Loading-truck'!$D$31:$D$48))*Impacts!$F$14,IF(('Loading-truck'!$C$21)&lt;&gt;"No control",SUMIF(('Loading-truck'!$B$31:$B$48),$J718,('Loading-truck'!$E$31:$E$48))*Impacts!$F$14,0)),0)</f>
        <v>0</v>
      </c>
      <c r="S718" s="10">
        <f>IFERROR(IF(('Loading-rail'!$C$21)="No control",SUMIF(('Loading-rail'!$B$31:$B$48),$J718,('Loading-rail'!$D$31:$D$48))*Impacts!$F$15,IF(('Loading-rail'!$C$21)&lt;&gt;"No control",SUMIF(('Loading-rail'!$B$31:$B$48),$J718,('Loading-rail'!$E$31:$E$48))*Impacts!$F$15,0)),0)</f>
        <v>0</v>
      </c>
      <c r="T718" s="10">
        <f>IF(Flare!$C$7="",0,(SUMIF(Flare!$B$46:$B$185,$J718,Flare!$E$46:$E$185)*Impacts!$F$16))</f>
        <v>0</v>
      </c>
      <c r="U718" s="10">
        <f>IF(VCU!$C$9="",0,(SUMIF(VCU!$B$51:$B$193,$J718,VCU!$E$51:$E$193)*Impacts!$F$17))</f>
        <v>0</v>
      </c>
      <c r="V718" s="10">
        <f>IF(CAS!$C$7="",0,(SUMIF(CAS!$B$31:$B$167,$J718,CAS!$E$31:$E$167)*Impacts!$F$18))</f>
        <v>0</v>
      </c>
      <c r="W718" s="10">
        <f t="shared" si="53"/>
        <v>0</v>
      </c>
      <c r="AK718" s="10" t="str">
        <f t="array" ref="AK718">IFERROR(INDEX(SelectedSpecies,SMALL(IF(SelectedSpecies=AK$1,ROW(SelectedSpecies)),ROW(719:719)),2),"")</f>
        <v/>
      </c>
      <c r="BE718" s="10"/>
      <c r="BI718" s="10"/>
    </row>
    <row r="719" spans="1:61" ht="21" customHeight="1" x14ac:dyDescent="0.25">
      <c r="A719" s="10"/>
      <c r="B719" s="10"/>
      <c r="E719" s="10"/>
      <c r="G719" s="10"/>
      <c r="I719" s="436" t="s">
        <v>4535</v>
      </c>
      <c r="J719" s="26" t="s">
        <v>4534</v>
      </c>
      <c r="K719" s="10">
        <v>4</v>
      </c>
      <c r="L719" s="73">
        <f>IF(Tank1!$C$23="No control",(SUMIF(Tank1!$B$32:$B$49,$J719,Tank1!$C$32:$C$49)*Impacts!$F$8),0)</f>
        <v>0</v>
      </c>
      <c r="M719" s="10">
        <f>IF(Tank2!$C$23="No control",(SUMIF(Tank2!$B$32:$B$49,$J719,Tank2!$C$32:$C$49)*Impacts!$F$9),0)</f>
        <v>0</v>
      </c>
      <c r="N719" s="10">
        <f>IF(Tank3!$C$23="No control",(SUMIF(Tank3!$B$32:$B$49,$J719,Tank3!$C$32:$C$49)*Impacts!$F$10),0)</f>
        <v>0</v>
      </c>
      <c r="O719" s="10">
        <f>IF(Tank4!$C$23="No control",(SUMIF(Tank4!$B$32:$B$49,$J719,Tank4!$C$32:$C$49)*Impacts!$F$11),0)</f>
        <v>0</v>
      </c>
      <c r="P719" s="10">
        <f>IF(Tank5!$C$23="No control",(SUMIF(Tank5!$B$32:$B$49,$J719,Tank5!$C$32:$C$49)*Impacts!$F$12),0)</f>
        <v>0</v>
      </c>
      <c r="Q719" s="10">
        <f>IFERROR(IF(('Loading-drum,tote'!$C$21)="No control",SUMIF(('Loading-drum,tote'!$B$31:$B$48),$J719,('Loading-drum,tote'!$D$31:$D$48))*Impacts!$F$13,IF(('Loading-drum,tote'!$C$21)&lt;&gt;"No control",SUMIF(('Loading-drum,tote'!$B$31:$B$48),$J719,('Loading-drum,tote'!$E$31:$E$48))*Impacts!$F$13,0)),0)</f>
        <v>0</v>
      </c>
      <c r="R719" s="10">
        <f>IFERROR(IF(('Loading-truck'!$C$21)="No control",SUMIF(('Loading-truck'!$B$31:$B$48),$J719,('Loading-truck'!$D$31:$D$48))*Impacts!$F$14,IF(('Loading-truck'!$C$21)&lt;&gt;"No control",SUMIF(('Loading-truck'!$B$31:$B$48),$J719,('Loading-truck'!$E$31:$E$48))*Impacts!$F$14,0)),0)</f>
        <v>0</v>
      </c>
      <c r="S719" s="10">
        <f>IFERROR(IF(('Loading-rail'!$C$21)="No control",SUMIF(('Loading-rail'!$B$31:$B$48),$J719,('Loading-rail'!$D$31:$D$48))*Impacts!$F$15,IF(('Loading-rail'!$C$21)&lt;&gt;"No control",SUMIF(('Loading-rail'!$B$31:$B$48),$J719,('Loading-rail'!$E$31:$E$48))*Impacts!$F$15,0)),0)</f>
        <v>0</v>
      </c>
      <c r="T719" s="10">
        <f>IF(Flare!$C$7="",0,(SUMIF(Flare!$B$46:$B$185,$J719,Flare!$E$46:$E$185)*Impacts!$F$16))</f>
        <v>0</v>
      </c>
      <c r="U719" s="10">
        <f>IF(VCU!$C$9="",0,(SUMIF(VCU!$B$51:$B$193,$J719,VCU!$E$51:$E$193)*Impacts!$F$17))</f>
        <v>0</v>
      </c>
      <c r="V719" s="10">
        <f>IF(CAS!$C$7="",0,(SUMIF(CAS!$B$31:$B$167,$J719,CAS!$E$31:$E$167)*Impacts!$F$18))</f>
        <v>0</v>
      </c>
      <c r="W719" s="10">
        <f t="shared" si="53"/>
        <v>0</v>
      </c>
      <c r="AK719" s="10" t="str">
        <f t="array" ref="AK719">IFERROR(INDEX(SelectedSpecies,SMALL(IF(SelectedSpecies=AK$1,ROW(SelectedSpecies)),ROW(720:720)),2),"")</f>
        <v/>
      </c>
      <c r="BE719" s="10"/>
      <c r="BI719" s="10"/>
    </row>
    <row r="720" spans="1:61" ht="21" customHeight="1" x14ac:dyDescent="0.25">
      <c r="A720" s="10"/>
      <c r="B720" s="10"/>
      <c r="E720" s="10"/>
      <c r="G720" s="10"/>
      <c r="I720" s="436" t="s">
        <v>5593</v>
      </c>
      <c r="J720" s="26" t="s">
        <v>5592</v>
      </c>
      <c r="K720" s="10">
        <v>1.1000000000000001</v>
      </c>
      <c r="L720" s="73">
        <f>IF(Tank1!$C$23="No control",(SUMIF(Tank1!$B$32:$B$49,$J720,Tank1!$C$32:$C$49)*Impacts!$F$8),0)</f>
        <v>0</v>
      </c>
      <c r="M720" s="10">
        <f>IF(Tank2!$C$23="No control",(SUMIF(Tank2!$B$32:$B$49,$J720,Tank2!$C$32:$C$49)*Impacts!$F$9),0)</f>
        <v>0</v>
      </c>
      <c r="N720" s="10">
        <f>IF(Tank3!$C$23="No control",(SUMIF(Tank3!$B$32:$B$49,$J720,Tank3!$C$32:$C$49)*Impacts!$F$10),0)</f>
        <v>0</v>
      </c>
      <c r="O720" s="10">
        <f>IF(Tank4!$C$23="No control",(SUMIF(Tank4!$B$32:$B$49,$J720,Tank4!$C$32:$C$49)*Impacts!$F$11),0)</f>
        <v>0</v>
      </c>
      <c r="P720" s="10">
        <f>IF(Tank5!$C$23="No control",(SUMIF(Tank5!$B$32:$B$49,$J720,Tank5!$C$32:$C$49)*Impacts!$F$12),0)</f>
        <v>0</v>
      </c>
      <c r="Q720" s="10">
        <f>IFERROR(IF(('Loading-drum,tote'!$C$21)="No control",SUMIF(('Loading-drum,tote'!$B$31:$B$48),$J720,('Loading-drum,tote'!$D$31:$D$48))*Impacts!$F$13,IF(('Loading-drum,tote'!$C$21)&lt;&gt;"No control",SUMIF(('Loading-drum,tote'!$B$31:$B$48),$J720,('Loading-drum,tote'!$E$31:$E$48))*Impacts!$F$13,0)),0)</f>
        <v>0</v>
      </c>
      <c r="R720" s="10">
        <f>IFERROR(IF(('Loading-truck'!$C$21)="No control",SUMIF(('Loading-truck'!$B$31:$B$48),$J720,('Loading-truck'!$D$31:$D$48))*Impacts!$F$14,IF(('Loading-truck'!$C$21)&lt;&gt;"No control",SUMIF(('Loading-truck'!$B$31:$B$48),$J720,('Loading-truck'!$E$31:$E$48))*Impacts!$F$14,0)),0)</f>
        <v>0</v>
      </c>
      <c r="S720" s="10">
        <f>IFERROR(IF(('Loading-rail'!$C$21)="No control",SUMIF(('Loading-rail'!$B$31:$B$48),$J720,('Loading-rail'!$D$31:$D$48))*Impacts!$F$15,IF(('Loading-rail'!$C$21)&lt;&gt;"No control",SUMIF(('Loading-rail'!$B$31:$B$48),$J720,('Loading-rail'!$E$31:$E$48))*Impacts!$F$15,0)),0)</f>
        <v>0</v>
      </c>
      <c r="T720" s="10">
        <f>IF(Flare!$C$7="",0,(SUMIF(Flare!$B$46:$B$185,$J720,Flare!$E$46:$E$185)*Impacts!$F$16))</f>
        <v>0</v>
      </c>
      <c r="U720" s="10">
        <f>IF(VCU!$C$9="",0,(SUMIF(VCU!$B$51:$B$193,$J720,VCU!$E$51:$E$193)*Impacts!$F$17))</f>
        <v>0</v>
      </c>
      <c r="V720" s="10">
        <f>IF(CAS!$C$7="",0,(SUMIF(CAS!$B$31:$B$167,$J720,CAS!$E$31:$E$167)*Impacts!$F$18))</f>
        <v>0</v>
      </c>
      <c r="W720" s="10">
        <f t="shared" si="53"/>
        <v>0</v>
      </c>
      <c r="AK720" s="10" t="str">
        <f t="array" ref="AK720">IFERROR(INDEX(SelectedSpecies,SMALL(IF(SelectedSpecies=AK$1,ROW(SelectedSpecies)),ROW(721:721)),2),"")</f>
        <v/>
      </c>
      <c r="BE720" s="10"/>
      <c r="BI720" s="10"/>
    </row>
    <row r="721" spans="1:61" ht="21" customHeight="1" x14ac:dyDescent="0.25">
      <c r="A721" s="10"/>
      <c r="B721" s="10"/>
      <c r="E721" s="10"/>
      <c r="G721" s="10"/>
      <c r="I721" s="436" t="s">
        <v>3475</v>
      </c>
      <c r="J721" s="26" t="s">
        <v>3474</v>
      </c>
      <c r="K721" s="10">
        <v>9.6000000000000014</v>
      </c>
      <c r="L721" s="73">
        <f>IF(Tank1!$C$23="No control",(SUMIF(Tank1!$B$32:$B$49,$J721,Tank1!$C$32:$C$49)*Impacts!$F$8),0)</f>
        <v>0</v>
      </c>
      <c r="M721" s="10">
        <f>IF(Tank2!$C$23="No control",(SUMIF(Tank2!$B$32:$B$49,$J721,Tank2!$C$32:$C$49)*Impacts!$F$9),0)</f>
        <v>0</v>
      </c>
      <c r="N721" s="10">
        <f>IF(Tank3!$C$23="No control",(SUMIF(Tank3!$B$32:$B$49,$J721,Tank3!$C$32:$C$49)*Impacts!$F$10),0)</f>
        <v>0</v>
      </c>
      <c r="O721" s="10">
        <f>IF(Tank4!$C$23="No control",(SUMIF(Tank4!$B$32:$B$49,$J721,Tank4!$C$32:$C$49)*Impacts!$F$11),0)</f>
        <v>0</v>
      </c>
      <c r="P721" s="10">
        <f>IF(Tank5!$C$23="No control",(SUMIF(Tank5!$B$32:$B$49,$J721,Tank5!$C$32:$C$49)*Impacts!$F$12),0)</f>
        <v>0</v>
      </c>
      <c r="Q721" s="10">
        <f>IFERROR(IF(('Loading-drum,tote'!$C$21)="No control",SUMIF(('Loading-drum,tote'!$B$31:$B$48),$J721,('Loading-drum,tote'!$D$31:$D$48))*Impacts!$F$13,IF(('Loading-drum,tote'!$C$21)&lt;&gt;"No control",SUMIF(('Loading-drum,tote'!$B$31:$B$48),$J721,('Loading-drum,tote'!$E$31:$E$48))*Impacts!$F$13,0)),0)</f>
        <v>0</v>
      </c>
      <c r="R721" s="10">
        <f>IFERROR(IF(('Loading-truck'!$C$21)="No control",SUMIF(('Loading-truck'!$B$31:$B$48),$J721,('Loading-truck'!$D$31:$D$48))*Impacts!$F$14,IF(('Loading-truck'!$C$21)&lt;&gt;"No control",SUMIF(('Loading-truck'!$B$31:$B$48),$J721,('Loading-truck'!$E$31:$E$48))*Impacts!$F$14,0)),0)</f>
        <v>0</v>
      </c>
      <c r="S721" s="10">
        <f>IFERROR(IF(('Loading-rail'!$C$21)="No control",SUMIF(('Loading-rail'!$B$31:$B$48),$J721,('Loading-rail'!$D$31:$D$48))*Impacts!$F$15,IF(('Loading-rail'!$C$21)&lt;&gt;"No control",SUMIF(('Loading-rail'!$B$31:$B$48),$J721,('Loading-rail'!$E$31:$E$48))*Impacts!$F$15,0)),0)</f>
        <v>0</v>
      </c>
      <c r="T721" s="10">
        <f>IF(Flare!$C$7="",0,(SUMIF(Flare!$B$46:$B$185,$J721,Flare!$E$46:$E$185)*Impacts!$F$16))</f>
        <v>0</v>
      </c>
      <c r="U721" s="10">
        <f>IF(VCU!$C$9="",0,(SUMIF(VCU!$B$51:$B$193,$J721,VCU!$E$51:$E$193)*Impacts!$F$17))</f>
        <v>0</v>
      </c>
      <c r="V721" s="10">
        <f>IF(CAS!$C$7="",0,(SUMIF(CAS!$B$31:$B$167,$J721,CAS!$E$31:$E$167)*Impacts!$F$18))</f>
        <v>0</v>
      </c>
      <c r="W721" s="10">
        <f t="shared" si="53"/>
        <v>0</v>
      </c>
      <c r="AK721" s="10" t="str">
        <f t="array" ref="AK721">IFERROR(INDEX(SelectedSpecies,SMALL(IF(SelectedSpecies=AK$1,ROW(SelectedSpecies)),ROW(722:722)),2),"")</f>
        <v/>
      </c>
      <c r="BE721" s="10"/>
      <c r="BI721" s="10"/>
    </row>
    <row r="722" spans="1:61" ht="21" customHeight="1" x14ac:dyDescent="0.25">
      <c r="A722" s="10"/>
      <c r="B722" s="10"/>
      <c r="E722" s="10"/>
      <c r="G722" s="10"/>
      <c r="I722" s="436" t="s">
        <v>3621</v>
      </c>
      <c r="J722" s="26" t="s">
        <v>3620</v>
      </c>
      <c r="K722" s="10">
        <v>7.3000000000000007</v>
      </c>
      <c r="L722" s="73">
        <f>IF(Tank1!$C$23="No control",(SUMIF(Tank1!$B$32:$B$49,$J722,Tank1!$C$32:$C$49)*Impacts!$F$8),0)</f>
        <v>0</v>
      </c>
      <c r="M722" s="10">
        <f>IF(Tank2!$C$23="No control",(SUMIF(Tank2!$B$32:$B$49,$J722,Tank2!$C$32:$C$49)*Impacts!$F$9),0)</f>
        <v>0</v>
      </c>
      <c r="N722" s="10">
        <f>IF(Tank3!$C$23="No control",(SUMIF(Tank3!$B$32:$B$49,$J722,Tank3!$C$32:$C$49)*Impacts!$F$10),0)</f>
        <v>0</v>
      </c>
      <c r="O722" s="10">
        <f>IF(Tank4!$C$23="No control",(SUMIF(Tank4!$B$32:$B$49,$J722,Tank4!$C$32:$C$49)*Impacts!$F$11),0)</f>
        <v>0</v>
      </c>
      <c r="P722" s="10">
        <f>IF(Tank5!$C$23="No control",(SUMIF(Tank5!$B$32:$B$49,$J722,Tank5!$C$32:$C$49)*Impacts!$F$12),0)</f>
        <v>0</v>
      </c>
      <c r="Q722" s="10">
        <f>IFERROR(IF(('Loading-drum,tote'!$C$21)="No control",SUMIF(('Loading-drum,tote'!$B$31:$B$48),$J722,('Loading-drum,tote'!$D$31:$D$48))*Impacts!$F$13,IF(('Loading-drum,tote'!$C$21)&lt;&gt;"No control",SUMIF(('Loading-drum,tote'!$B$31:$B$48),$J722,('Loading-drum,tote'!$E$31:$E$48))*Impacts!$F$13,0)),0)</f>
        <v>0</v>
      </c>
      <c r="R722" s="10">
        <f>IFERROR(IF(('Loading-truck'!$C$21)="No control",SUMIF(('Loading-truck'!$B$31:$B$48),$J722,('Loading-truck'!$D$31:$D$48))*Impacts!$F$14,IF(('Loading-truck'!$C$21)&lt;&gt;"No control",SUMIF(('Loading-truck'!$B$31:$B$48),$J722,('Loading-truck'!$E$31:$E$48))*Impacts!$F$14,0)),0)</f>
        <v>0</v>
      </c>
      <c r="S722" s="10">
        <f>IFERROR(IF(('Loading-rail'!$C$21)="No control",SUMIF(('Loading-rail'!$B$31:$B$48),$J722,('Loading-rail'!$D$31:$D$48))*Impacts!$F$15,IF(('Loading-rail'!$C$21)&lt;&gt;"No control",SUMIF(('Loading-rail'!$B$31:$B$48),$J722,('Loading-rail'!$E$31:$E$48))*Impacts!$F$15,0)),0)</f>
        <v>0</v>
      </c>
      <c r="T722" s="10">
        <f>IF(Flare!$C$7="",0,(SUMIF(Flare!$B$46:$B$185,$J722,Flare!$E$46:$E$185)*Impacts!$F$16))</f>
        <v>0</v>
      </c>
      <c r="U722" s="10">
        <f>IF(VCU!$C$9="",0,(SUMIF(VCU!$B$51:$B$193,$J722,VCU!$E$51:$E$193)*Impacts!$F$17))</f>
        <v>0</v>
      </c>
      <c r="V722" s="10">
        <f>IF(CAS!$C$7="",0,(SUMIF(CAS!$B$31:$B$167,$J722,CAS!$E$31:$E$167)*Impacts!$F$18))</f>
        <v>0</v>
      </c>
      <c r="W722" s="10">
        <f t="shared" si="53"/>
        <v>0</v>
      </c>
      <c r="AK722" s="10" t="str">
        <f t="array" ref="AK722">IFERROR(INDEX(SelectedSpecies,SMALL(IF(SelectedSpecies=AK$1,ROW(SelectedSpecies)),ROW(723:723)),2),"")</f>
        <v/>
      </c>
      <c r="BE722" s="10"/>
      <c r="BI722" s="10"/>
    </row>
    <row r="723" spans="1:61" ht="21" customHeight="1" x14ac:dyDescent="0.25">
      <c r="A723" s="10"/>
      <c r="B723" s="10"/>
      <c r="E723" s="10"/>
      <c r="G723" s="10"/>
      <c r="I723" s="436" t="s">
        <v>3561</v>
      </c>
      <c r="J723" s="26" t="s">
        <v>3560</v>
      </c>
      <c r="K723" s="10">
        <v>8.3000000000000007</v>
      </c>
      <c r="L723" s="73">
        <f>IF(Tank1!$C$23="No control",(SUMIF(Tank1!$B$32:$B$49,$J723,Tank1!$C$32:$C$49)*Impacts!$F$8),0)</f>
        <v>0</v>
      </c>
      <c r="M723" s="10">
        <f>IF(Tank2!$C$23="No control",(SUMIF(Tank2!$B$32:$B$49,$J723,Tank2!$C$32:$C$49)*Impacts!$F$9),0)</f>
        <v>0</v>
      </c>
      <c r="N723" s="10">
        <f>IF(Tank3!$C$23="No control",(SUMIF(Tank3!$B$32:$B$49,$J723,Tank3!$C$32:$C$49)*Impacts!$F$10),0)</f>
        <v>0</v>
      </c>
      <c r="O723" s="10">
        <f>IF(Tank4!$C$23="No control",(SUMIF(Tank4!$B$32:$B$49,$J723,Tank4!$C$32:$C$49)*Impacts!$F$11),0)</f>
        <v>0</v>
      </c>
      <c r="P723" s="10">
        <f>IF(Tank5!$C$23="No control",(SUMIF(Tank5!$B$32:$B$49,$J723,Tank5!$C$32:$C$49)*Impacts!$F$12),0)</f>
        <v>0</v>
      </c>
      <c r="Q723" s="10">
        <f>IFERROR(IF(('Loading-drum,tote'!$C$21)="No control",SUMIF(('Loading-drum,tote'!$B$31:$B$48),$J723,('Loading-drum,tote'!$D$31:$D$48))*Impacts!$F$13,IF(('Loading-drum,tote'!$C$21)&lt;&gt;"No control",SUMIF(('Loading-drum,tote'!$B$31:$B$48),$J723,('Loading-drum,tote'!$E$31:$E$48))*Impacts!$F$13,0)),0)</f>
        <v>0</v>
      </c>
      <c r="R723" s="10">
        <f>IFERROR(IF(('Loading-truck'!$C$21)="No control",SUMIF(('Loading-truck'!$B$31:$B$48),$J723,('Loading-truck'!$D$31:$D$48))*Impacts!$F$14,IF(('Loading-truck'!$C$21)&lt;&gt;"No control",SUMIF(('Loading-truck'!$B$31:$B$48),$J723,('Loading-truck'!$E$31:$E$48))*Impacts!$F$14,0)),0)</f>
        <v>0</v>
      </c>
      <c r="S723" s="10">
        <f>IFERROR(IF(('Loading-rail'!$C$21)="No control",SUMIF(('Loading-rail'!$B$31:$B$48),$J723,('Loading-rail'!$D$31:$D$48))*Impacts!$F$15,IF(('Loading-rail'!$C$21)&lt;&gt;"No control",SUMIF(('Loading-rail'!$B$31:$B$48),$J723,('Loading-rail'!$E$31:$E$48))*Impacts!$F$15,0)),0)</f>
        <v>0</v>
      </c>
      <c r="T723" s="10">
        <f>IF(Flare!$C$7="",0,(SUMIF(Flare!$B$46:$B$185,$J723,Flare!$E$46:$E$185)*Impacts!$F$16))</f>
        <v>0</v>
      </c>
      <c r="U723" s="10">
        <f>IF(VCU!$C$9="",0,(SUMIF(VCU!$B$51:$B$193,$J723,VCU!$E$51:$E$193)*Impacts!$F$17))</f>
        <v>0</v>
      </c>
      <c r="V723" s="10">
        <f>IF(CAS!$C$7="",0,(SUMIF(CAS!$B$31:$B$167,$J723,CAS!$E$31:$E$167)*Impacts!$F$18))</f>
        <v>0</v>
      </c>
      <c r="W723" s="10">
        <f t="shared" si="53"/>
        <v>0</v>
      </c>
      <c r="AK723" s="10" t="str">
        <f t="array" ref="AK723">IFERROR(INDEX(SelectedSpecies,SMALL(IF(SelectedSpecies=AK$1,ROW(SelectedSpecies)),ROW(724:724)),2),"")</f>
        <v/>
      </c>
      <c r="BE723" s="10"/>
      <c r="BI723" s="10"/>
    </row>
    <row r="724" spans="1:61" ht="21" customHeight="1" x14ac:dyDescent="0.25">
      <c r="A724" s="10"/>
      <c r="B724" s="10"/>
      <c r="E724" s="10"/>
      <c r="G724" s="10"/>
      <c r="I724" s="436" t="s">
        <v>4951</v>
      </c>
      <c r="J724" s="26" t="s">
        <v>4950</v>
      </c>
      <c r="K724" s="10">
        <v>2.5</v>
      </c>
      <c r="L724" s="73">
        <f>IF(Tank1!$C$23="No control",(SUMIF(Tank1!$B$32:$B$49,$J724,Tank1!$C$32:$C$49)*Impacts!$F$8),0)</f>
        <v>0</v>
      </c>
      <c r="M724" s="10">
        <f>IF(Tank2!$C$23="No control",(SUMIF(Tank2!$B$32:$B$49,$J724,Tank2!$C$32:$C$49)*Impacts!$F$9),0)</f>
        <v>0</v>
      </c>
      <c r="N724" s="10">
        <f>IF(Tank3!$C$23="No control",(SUMIF(Tank3!$B$32:$B$49,$J724,Tank3!$C$32:$C$49)*Impacts!$F$10),0)</f>
        <v>0</v>
      </c>
      <c r="O724" s="10">
        <f>IF(Tank4!$C$23="No control",(SUMIF(Tank4!$B$32:$B$49,$J724,Tank4!$C$32:$C$49)*Impacts!$F$11),0)</f>
        <v>0</v>
      </c>
      <c r="P724" s="10">
        <f>IF(Tank5!$C$23="No control",(SUMIF(Tank5!$B$32:$B$49,$J724,Tank5!$C$32:$C$49)*Impacts!$F$12),0)</f>
        <v>0</v>
      </c>
      <c r="Q724" s="10">
        <f>IFERROR(IF(('Loading-drum,tote'!$C$21)="No control",SUMIF(('Loading-drum,tote'!$B$31:$B$48),$J724,('Loading-drum,tote'!$D$31:$D$48))*Impacts!$F$13,IF(('Loading-drum,tote'!$C$21)&lt;&gt;"No control",SUMIF(('Loading-drum,tote'!$B$31:$B$48),$J724,('Loading-drum,tote'!$E$31:$E$48))*Impacts!$F$13,0)),0)</f>
        <v>0</v>
      </c>
      <c r="R724" s="10">
        <f>IFERROR(IF(('Loading-truck'!$C$21)="No control",SUMIF(('Loading-truck'!$B$31:$B$48),$J724,('Loading-truck'!$D$31:$D$48))*Impacts!$F$14,IF(('Loading-truck'!$C$21)&lt;&gt;"No control",SUMIF(('Loading-truck'!$B$31:$B$48),$J724,('Loading-truck'!$E$31:$E$48))*Impacts!$F$14,0)),0)</f>
        <v>0</v>
      </c>
      <c r="S724" s="10">
        <f>IFERROR(IF(('Loading-rail'!$C$21)="No control",SUMIF(('Loading-rail'!$B$31:$B$48),$J724,('Loading-rail'!$D$31:$D$48))*Impacts!$F$15,IF(('Loading-rail'!$C$21)&lt;&gt;"No control",SUMIF(('Loading-rail'!$B$31:$B$48),$J724,('Loading-rail'!$E$31:$E$48))*Impacts!$F$15,0)),0)</f>
        <v>0</v>
      </c>
      <c r="T724" s="10">
        <f>IF(Flare!$C$7="",0,(SUMIF(Flare!$B$46:$B$185,$J724,Flare!$E$46:$E$185)*Impacts!$F$16))</f>
        <v>0</v>
      </c>
      <c r="U724" s="10">
        <f>IF(VCU!$C$9="",0,(SUMIF(VCU!$B$51:$B$193,$J724,VCU!$E$51:$E$193)*Impacts!$F$17))</f>
        <v>0</v>
      </c>
      <c r="V724" s="10">
        <f>IF(CAS!$C$7="",0,(SUMIF(CAS!$B$31:$B$167,$J724,CAS!$E$31:$E$167)*Impacts!$F$18))</f>
        <v>0</v>
      </c>
      <c r="W724" s="10">
        <f t="shared" si="53"/>
        <v>0</v>
      </c>
      <c r="AK724" s="10" t="str">
        <f t="array" ref="AK724">IFERROR(INDEX(SelectedSpecies,SMALL(IF(SelectedSpecies=AK$1,ROW(SelectedSpecies)),ROW(725:725)),2),"")</f>
        <v/>
      </c>
      <c r="BE724" s="10"/>
      <c r="BI724" s="10"/>
    </row>
    <row r="725" spans="1:61" ht="21" customHeight="1" x14ac:dyDescent="0.25">
      <c r="A725" s="10"/>
      <c r="B725" s="10"/>
      <c r="E725" s="10"/>
      <c r="G725" s="10"/>
      <c r="I725" s="436" t="s">
        <v>4459</v>
      </c>
      <c r="J725" s="26" t="s">
        <v>4458</v>
      </c>
      <c r="K725" s="10">
        <v>4.4000000000000004</v>
      </c>
      <c r="L725" s="73">
        <f>IF(Tank1!$C$23="No control",(SUMIF(Tank1!$B$32:$B$49,$J725,Tank1!$C$32:$C$49)*Impacts!$F$8),0)</f>
        <v>0</v>
      </c>
      <c r="M725" s="10">
        <f>IF(Tank2!$C$23="No control",(SUMIF(Tank2!$B$32:$B$49,$J725,Tank2!$C$32:$C$49)*Impacts!$F$9),0)</f>
        <v>0</v>
      </c>
      <c r="N725" s="10">
        <f>IF(Tank3!$C$23="No control",(SUMIF(Tank3!$B$32:$B$49,$J725,Tank3!$C$32:$C$49)*Impacts!$F$10),0)</f>
        <v>0</v>
      </c>
      <c r="O725" s="10">
        <f>IF(Tank4!$C$23="No control",(SUMIF(Tank4!$B$32:$B$49,$J725,Tank4!$C$32:$C$49)*Impacts!$F$11),0)</f>
        <v>0</v>
      </c>
      <c r="P725" s="10">
        <f>IF(Tank5!$C$23="No control",(SUMIF(Tank5!$B$32:$B$49,$J725,Tank5!$C$32:$C$49)*Impacts!$F$12),0)</f>
        <v>0</v>
      </c>
      <c r="Q725" s="10">
        <f>IFERROR(IF(('Loading-drum,tote'!$C$21)="No control",SUMIF(('Loading-drum,tote'!$B$31:$B$48),$J725,('Loading-drum,tote'!$D$31:$D$48))*Impacts!$F$13,IF(('Loading-drum,tote'!$C$21)&lt;&gt;"No control",SUMIF(('Loading-drum,tote'!$B$31:$B$48),$J725,('Loading-drum,tote'!$E$31:$E$48))*Impacts!$F$13,0)),0)</f>
        <v>0</v>
      </c>
      <c r="R725" s="10">
        <f>IFERROR(IF(('Loading-truck'!$C$21)="No control",SUMIF(('Loading-truck'!$B$31:$B$48),$J725,('Loading-truck'!$D$31:$D$48))*Impacts!$F$14,IF(('Loading-truck'!$C$21)&lt;&gt;"No control",SUMIF(('Loading-truck'!$B$31:$B$48),$J725,('Loading-truck'!$E$31:$E$48))*Impacts!$F$14,0)),0)</f>
        <v>0</v>
      </c>
      <c r="S725" s="10">
        <f>IFERROR(IF(('Loading-rail'!$C$21)="No control",SUMIF(('Loading-rail'!$B$31:$B$48),$J725,('Loading-rail'!$D$31:$D$48))*Impacts!$F$15,IF(('Loading-rail'!$C$21)&lt;&gt;"No control",SUMIF(('Loading-rail'!$B$31:$B$48),$J725,('Loading-rail'!$E$31:$E$48))*Impacts!$F$15,0)),0)</f>
        <v>0</v>
      </c>
      <c r="T725" s="10">
        <f>IF(Flare!$C$7="",0,(SUMIF(Flare!$B$46:$B$185,$J725,Flare!$E$46:$E$185)*Impacts!$F$16))</f>
        <v>0</v>
      </c>
      <c r="U725" s="10">
        <f>IF(VCU!$C$9="",0,(SUMIF(VCU!$B$51:$B$193,$J725,VCU!$E$51:$E$193)*Impacts!$F$17))</f>
        <v>0</v>
      </c>
      <c r="V725" s="10">
        <f>IF(CAS!$C$7="",0,(SUMIF(CAS!$B$31:$B$167,$J725,CAS!$E$31:$E$167)*Impacts!$F$18))</f>
        <v>0</v>
      </c>
      <c r="W725" s="10">
        <f t="shared" si="53"/>
        <v>0</v>
      </c>
      <c r="AK725" s="10" t="str">
        <f t="array" ref="AK725">IFERROR(INDEX(SelectedSpecies,SMALL(IF(SelectedSpecies=AK$1,ROW(SelectedSpecies)),ROW(726:726)),2),"")</f>
        <v/>
      </c>
      <c r="BE725" s="10"/>
      <c r="BI725" s="10"/>
    </row>
    <row r="726" spans="1:61" ht="21" customHeight="1" x14ac:dyDescent="0.25">
      <c r="A726" s="10"/>
      <c r="B726" s="10"/>
      <c r="E726" s="10"/>
      <c r="G726" s="10"/>
      <c r="I726" s="436" t="s">
        <v>4755</v>
      </c>
      <c r="J726" s="26" t="s">
        <v>4754</v>
      </c>
      <c r="K726" s="10">
        <v>3.4000000000000004</v>
      </c>
      <c r="L726" s="73">
        <f>IF(Tank1!$C$23="No control",(SUMIF(Tank1!$B$32:$B$49,$J726,Tank1!$C$32:$C$49)*Impacts!$F$8),0)</f>
        <v>0</v>
      </c>
      <c r="M726" s="10">
        <f>IF(Tank2!$C$23="No control",(SUMIF(Tank2!$B$32:$B$49,$J726,Tank2!$C$32:$C$49)*Impacts!$F$9),0)</f>
        <v>0</v>
      </c>
      <c r="N726" s="10">
        <f>IF(Tank3!$C$23="No control",(SUMIF(Tank3!$B$32:$B$49,$J726,Tank3!$C$32:$C$49)*Impacts!$F$10),0)</f>
        <v>0</v>
      </c>
      <c r="O726" s="10">
        <f>IF(Tank4!$C$23="No control",(SUMIF(Tank4!$B$32:$B$49,$J726,Tank4!$C$32:$C$49)*Impacts!$F$11),0)</f>
        <v>0</v>
      </c>
      <c r="P726" s="10">
        <f>IF(Tank5!$C$23="No control",(SUMIF(Tank5!$B$32:$B$49,$J726,Tank5!$C$32:$C$49)*Impacts!$F$12),0)</f>
        <v>0</v>
      </c>
      <c r="Q726" s="10">
        <f>IFERROR(IF(('Loading-drum,tote'!$C$21)="No control",SUMIF(('Loading-drum,tote'!$B$31:$B$48),$J726,('Loading-drum,tote'!$D$31:$D$48))*Impacts!$F$13,IF(('Loading-drum,tote'!$C$21)&lt;&gt;"No control",SUMIF(('Loading-drum,tote'!$B$31:$B$48),$J726,('Loading-drum,tote'!$E$31:$E$48))*Impacts!$F$13,0)),0)</f>
        <v>0</v>
      </c>
      <c r="R726" s="10">
        <f>IFERROR(IF(('Loading-truck'!$C$21)="No control",SUMIF(('Loading-truck'!$B$31:$B$48),$J726,('Loading-truck'!$D$31:$D$48))*Impacts!$F$14,IF(('Loading-truck'!$C$21)&lt;&gt;"No control",SUMIF(('Loading-truck'!$B$31:$B$48),$J726,('Loading-truck'!$E$31:$E$48))*Impacts!$F$14,0)),0)</f>
        <v>0</v>
      </c>
      <c r="S726" s="10">
        <f>IFERROR(IF(('Loading-rail'!$C$21)="No control",SUMIF(('Loading-rail'!$B$31:$B$48),$J726,('Loading-rail'!$D$31:$D$48))*Impacts!$F$15,IF(('Loading-rail'!$C$21)&lt;&gt;"No control",SUMIF(('Loading-rail'!$B$31:$B$48),$J726,('Loading-rail'!$E$31:$E$48))*Impacts!$F$15,0)),0)</f>
        <v>0</v>
      </c>
      <c r="T726" s="10">
        <f>IF(Flare!$C$7="",0,(SUMIF(Flare!$B$46:$B$185,$J726,Flare!$E$46:$E$185)*Impacts!$F$16))</f>
        <v>0</v>
      </c>
      <c r="U726" s="10">
        <f>IF(VCU!$C$9="",0,(SUMIF(VCU!$B$51:$B$193,$J726,VCU!$E$51:$E$193)*Impacts!$F$17))</f>
        <v>0</v>
      </c>
      <c r="V726" s="10">
        <f>IF(CAS!$C$7="",0,(SUMIF(CAS!$B$31:$B$167,$J726,CAS!$E$31:$E$167)*Impacts!$F$18))</f>
        <v>0</v>
      </c>
      <c r="W726" s="10">
        <f t="shared" si="53"/>
        <v>0</v>
      </c>
      <c r="AK726" s="10" t="str">
        <f t="array" ref="AK726">IFERROR(INDEX(SelectedSpecies,SMALL(IF(SelectedSpecies=AK$1,ROW(SelectedSpecies)),ROW(727:727)),2),"")</f>
        <v/>
      </c>
      <c r="BE726" s="10"/>
      <c r="BI726" s="10"/>
    </row>
    <row r="727" spans="1:61" ht="21" customHeight="1" x14ac:dyDescent="0.25">
      <c r="A727" s="10"/>
      <c r="B727" s="10"/>
      <c r="E727" s="10"/>
      <c r="G727" s="10"/>
      <c r="I727" s="436" t="s">
        <v>4807</v>
      </c>
      <c r="J727" s="26" t="s">
        <v>4806</v>
      </c>
      <c r="K727" s="10">
        <v>3</v>
      </c>
      <c r="L727" s="73">
        <f>IF(Tank1!$C$23="No control",(SUMIF(Tank1!$B$32:$B$49,$J727,Tank1!$C$32:$C$49)*Impacts!$F$8),0)</f>
        <v>0</v>
      </c>
      <c r="M727" s="10">
        <f>IF(Tank2!$C$23="No control",(SUMIF(Tank2!$B$32:$B$49,$J727,Tank2!$C$32:$C$49)*Impacts!$F$9),0)</f>
        <v>0</v>
      </c>
      <c r="N727" s="10">
        <f>IF(Tank3!$C$23="No control",(SUMIF(Tank3!$B$32:$B$49,$J727,Tank3!$C$32:$C$49)*Impacts!$F$10),0)</f>
        <v>0</v>
      </c>
      <c r="O727" s="10">
        <f>IF(Tank4!$C$23="No control",(SUMIF(Tank4!$B$32:$B$49,$J727,Tank4!$C$32:$C$49)*Impacts!$F$11),0)</f>
        <v>0</v>
      </c>
      <c r="P727" s="10">
        <f>IF(Tank5!$C$23="No control",(SUMIF(Tank5!$B$32:$B$49,$J727,Tank5!$C$32:$C$49)*Impacts!$F$12),0)</f>
        <v>0</v>
      </c>
      <c r="Q727" s="10">
        <f>IFERROR(IF(('Loading-drum,tote'!$C$21)="No control",SUMIF(('Loading-drum,tote'!$B$31:$B$48),$J727,('Loading-drum,tote'!$D$31:$D$48))*Impacts!$F$13,IF(('Loading-drum,tote'!$C$21)&lt;&gt;"No control",SUMIF(('Loading-drum,tote'!$B$31:$B$48),$J727,('Loading-drum,tote'!$E$31:$E$48))*Impacts!$F$13,0)),0)</f>
        <v>0</v>
      </c>
      <c r="R727" s="10">
        <f>IFERROR(IF(('Loading-truck'!$C$21)="No control",SUMIF(('Loading-truck'!$B$31:$B$48),$J727,('Loading-truck'!$D$31:$D$48))*Impacts!$F$14,IF(('Loading-truck'!$C$21)&lt;&gt;"No control",SUMIF(('Loading-truck'!$B$31:$B$48),$J727,('Loading-truck'!$E$31:$E$48))*Impacts!$F$14,0)),0)</f>
        <v>0</v>
      </c>
      <c r="S727" s="10">
        <f>IFERROR(IF(('Loading-rail'!$C$21)="No control",SUMIF(('Loading-rail'!$B$31:$B$48),$J727,('Loading-rail'!$D$31:$D$48))*Impacts!$F$15,IF(('Loading-rail'!$C$21)&lt;&gt;"No control",SUMIF(('Loading-rail'!$B$31:$B$48),$J727,('Loading-rail'!$E$31:$E$48))*Impacts!$F$15,0)),0)</f>
        <v>0</v>
      </c>
      <c r="T727" s="10">
        <f>IF(Flare!$C$7="",0,(SUMIF(Flare!$B$46:$B$185,$J727,Flare!$E$46:$E$185)*Impacts!$F$16))</f>
        <v>0</v>
      </c>
      <c r="U727" s="10">
        <f>IF(VCU!$C$9="",0,(SUMIF(VCU!$B$51:$B$193,$J727,VCU!$E$51:$E$193)*Impacts!$F$17))</f>
        <v>0</v>
      </c>
      <c r="V727" s="10">
        <f>IF(CAS!$C$7="",0,(SUMIF(CAS!$B$31:$B$167,$J727,CAS!$E$31:$E$167)*Impacts!$F$18))</f>
        <v>0</v>
      </c>
      <c r="W727" s="10">
        <f t="shared" si="53"/>
        <v>0</v>
      </c>
      <c r="AK727" s="10" t="str">
        <f t="array" ref="AK727">IFERROR(INDEX(SelectedSpecies,SMALL(IF(SelectedSpecies=AK$1,ROW(SelectedSpecies)),ROW(728:728)),2),"")</f>
        <v/>
      </c>
      <c r="BE727" s="10"/>
      <c r="BI727" s="10"/>
    </row>
    <row r="728" spans="1:61" ht="21" customHeight="1" x14ac:dyDescent="0.25">
      <c r="A728" s="10"/>
      <c r="B728" s="10"/>
      <c r="E728" s="10"/>
      <c r="G728" s="10"/>
      <c r="I728" s="436" t="s">
        <v>7348</v>
      </c>
      <c r="J728" s="26" t="s">
        <v>7347</v>
      </c>
      <c r="K728" s="10">
        <v>0.25</v>
      </c>
      <c r="L728" s="73">
        <f>IF(Tank1!$C$23="No control",(SUMIF(Tank1!$B$32:$B$49,$J728,Tank1!$C$32:$C$49)*Impacts!$F$8),0)</f>
        <v>0</v>
      </c>
      <c r="M728" s="10">
        <f>IF(Tank2!$C$23="No control",(SUMIF(Tank2!$B$32:$B$49,$J728,Tank2!$C$32:$C$49)*Impacts!$F$9),0)</f>
        <v>0</v>
      </c>
      <c r="N728" s="10">
        <f>IF(Tank3!$C$23="No control",(SUMIF(Tank3!$B$32:$B$49,$J728,Tank3!$C$32:$C$49)*Impacts!$F$10),0)</f>
        <v>0</v>
      </c>
      <c r="O728" s="10">
        <f>IF(Tank4!$C$23="No control",(SUMIF(Tank4!$B$32:$B$49,$J728,Tank4!$C$32:$C$49)*Impacts!$F$11),0)</f>
        <v>0</v>
      </c>
      <c r="P728" s="10">
        <f>IF(Tank5!$C$23="No control",(SUMIF(Tank5!$B$32:$B$49,$J728,Tank5!$C$32:$C$49)*Impacts!$F$12),0)</f>
        <v>0</v>
      </c>
      <c r="Q728" s="10">
        <f>IFERROR(IF(('Loading-drum,tote'!$C$21)="No control",SUMIF(('Loading-drum,tote'!$B$31:$B$48),$J728,('Loading-drum,tote'!$D$31:$D$48))*Impacts!$F$13,IF(('Loading-drum,tote'!$C$21)&lt;&gt;"No control",SUMIF(('Loading-drum,tote'!$B$31:$B$48),$J728,('Loading-drum,tote'!$E$31:$E$48))*Impacts!$F$13,0)),0)</f>
        <v>0</v>
      </c>
      <c r="R728" s="10">
        <f>IFERROR(IF(('Loading-truck'!$C$21)="No control",SUMIF(('Loading-truck'!$B$31:$B$48),$J728,('Loading-truck'!$D$31:$D$48))*Impacts!$F$14,IF(('Loading-truck'!$C$21)&lt;&gt;"No control",SUMIF(('Loading-truck'!$B$31:$B$48),$J728,('Loading-truck'!$E$31:$E$48))*Impacts!$F$14,0)),0)</f>
        <v>0</v>
      </c>
      <c r="S728" s="10">
        <f>IFERROR(IF(('Loading-rail'!$C$21)="No control",SUMIF(('Loading-rail'!$B$31:$B$48),$J728,('Loading-rail'!$D$31:$D$48))*Impacts!$F$15,IF(('Loading-rail'!$C$21)&lt;&gt;"No control",SUMIF(('Loading-rail'!$B$31:$B$48),$J728,('Loading-rail'!$E$31:$E$48))*Impacts!$F$15,0)),0)</f>
        <v>0</v>
      </c>
      <c r="T728" s="10">
        <f>IF(Flare!$C$7="",0,(SUMIF(Flare!$B$46:$B$185,$J728,Flare!$E$46:$E$185)*Impacts!$F$16))</f>
        <v>0</v>
      </c>
      <c r="U728" s="10">
        <f>IF(VCU!$C$9="",0,(SUMIF(VCU!$B$51:$B$193,$J728,VCU!$E$51:$E$193)*Impacts!$F$17))</f>
        <v>0</v>
      </c>
      <c r="V728" s="10">
        <f>IF(CAS!$C$7="",0,(SUMIF(CAS!$B$31:$B$167,$J728,CAS!$E$31:$E$167)*Impacts!$F$18))</f>
        <v>0</v>
      </c>
      <c r="W728" s="10">
        <f t="shared" si="53"/>
        <v>0</v>
      </c>
      <c r="AK728" s="10" t="str">
        <f t="array" ref="AK728">IFERROR(INDEX(SelectedSpecies,SMALL(IF(SelectedSpecies=AK$1,ROW(SelectedSpecies)),ROW(729:729)),2),"")</f>
        <v/>
      </c>
      <c r="BE728" s="10"/>
      <c r="BI728" s="10"/>
    </row>
    <row r="729" spans="1:61" ht="21" customHeight="1" x14ac:dyDescent="0.25">
      <c r="A729" s="10"/>
      <c r="B729" s="10"/>
      <c r="E729" s="10"/>
      <c r="G729" s="10"/>
      <c r="I729" s="436" t="s">
        <v>6510</v>
      </c>
      <c r="J729" s="26" t="s">
        <v>6509</v>
      </c>
      <c r="K729" s="10">
        <v>0.70000000000000007</v>
      </c>
      <c r="L729" s="73">
        <f>IF(Tank1!$C$23="No control",(SUMIF(Tank1!$B$32:$B$49,$J729,Tank1!$C$32:$C$49)*Impacts!$F$8),0)</f>
        <v>0</v>
      </c>
      <c r="M729" s="10">
        <f>IF(Tank2!$C$23="No control",(SUMIF(Tank2!$B$32:$B$49,$J729,Tank2!$C$32:$C$49)*Impacts!$F$9),0)</f>
        <v>0</v>
      </c>
      <c r="N729" s="10">
        <f>IF(Tank3!$C$23="No control",(SUMIF(Tank3!$B$32:$B$49,$J729,Tank3!$C$32:$C$49)*Impacts!$F$10),0)</f>
        <v>0</v>
      </c>
      <c r="O729" s="10">
        <f>IF(Tank4!$C$23="No control",(SUMIF(Tank4!$B$32:$B$49,$J729,Tank4!$C$32:$C$49)*Impacts!$F$11),0)</f>
        <v>0</v>
      </c>
      <c r="P729" s="10">
        <f>IF(Tank5!$C$23="No control",(SUMIF(Tank5!$B$32:$B$49,$J729,Tank5!$C$32:$C$49)*Impacts!$F$12),0)</f>
        <v>0</v>
      </c>
      <c r="Q729" s="10">
        <f>IFERROR(IF(('Loading-drum,tote'!$C$21)="No control",SUMIF(('Loading-drum,tote'!$B$31:$B$48),$J729,('Loading-drum,tote'!$D$31:$D$48))*Impacts!$F$13,IF(('Loading-drum,tote'!$C$21)&lt;&gt;"No control",SUMIF(('Loading-drum,tote'!$B$31:$B$48),$J729,('Loading-drum,tote'!$E$31:$E$48))*Impacts!$F$13,0)),0)</f>
        <v>0</v>
      </c>
      <c r="R729" s="10">
        <f>IFERROR(IF(('Loading-truck'!$C$21)="No control",SUMIF(('Loading-truck'!$B$31:$B$48),$J729,('Loading-truck'!$D$31:$D$48))*Impacts!$F$14,IF(('Loading-truck'!$C$21)&lt;&gt;"No control",SUMIF(('Loading-truck'!$B$31:$B$48),$J729,('Loading-truck'!$E$31:$E$48))*Impacts!$F$14,0)),0)</f>
        <v>0</v>
      </c>
      <c r="S729" s="10">
        <f>IFERROR(IF(('Loading-rail'!$C$21)="No control",SUMIF(('Loading-rail'!$B$31:$B$48),$J729,('Loading-rail'!$D$31:$D$48))*Impacts!$F$15,IF(('Loading-rail'!$C$21)&lt;&gt;"No control",SUMIF(('Loading-rail'!$B$31:$B$48),$J729,('Loading-rail'!$E$31:$E$48))*Impacts!$F$15,0)),0)</f>
        <v>0</v>
      </c>
      <c r="T729" s="10">
        <f>IF(Flare!$C$7="",0,(SUMIF(Flare!$B$46:$B$185,$J729,Flare!$E$46:$E$185)*Impacts!$F$16))</f>
        <v>0</v>
      </c>
      <c r="U729" s="10">
        <f>IF(VCU!$C$9="",0,(SUMIF(VCU!$B$51:$B$193,$J729,VCU!$E$51:$E$193)*Impacts!$F$17))</f>
        <v>0</v>
      </c>
      <c r="V729" s="10">
        <f>IF(CAS!$C$7="",0,(SUMIF(CAS!$B$31:$B$167,$J729,CAS!$E$31:$E$167)*Impacts!$F$18))</f>
        <v>0</v>
      </c>
      <c r="W729" s="10">
        <f t="shared" si="53"/>
        <v>0</v>
      </c>
      <c r="AK729" s="10" t="str">
        <f t="array" ref="AK729">IFERROR(INDEX(SelectedSpecies,SMALL(IF(SelectedSpecies=AK$1,ROW(SelectedSpecies)),ROW(730:730)),2),"")</f>
        <v/>
      </c>
      <c r="BE729" s="10"/>
      <c r="BI729" s="10"/>
    </row>
    <row r="730" spans="1:61" ht="21" customHeight="1" x14ac:dyDescent="0.25">
      <c r="A730" s="10"/>
      <c r="B730" s="10"/>
      <c r="E730" s="10"/>
      <c r="G730" s="10"/>
      <c r="I730" s="436" t="s">
        <v>5047</v>
      </c>
      <c r="J730" s="26" t="s">
        <v>5046</v>
      </c>
      <c r="K730" s="10">
        <v>2.3000000000000003</v>
      </c>
      <c r="L730" s="73">
        <f>IF(Tank1!$C$23="No control",(SUMIF(Tank1!$B$32:$B$49,$J730,Tank1!$C$32:$C$49)*Impacts!$F$8),0)</f>
        <v>0</v>
      </c>
      <c r="M730" s="10">
        <f>IF(Tank2!$C$23="No control",(SUMIF(Tank2!$B$32:$B$49,$J730,Tank2!$C$32:$C$49)*Impacts!$F$9),0)</f>
        <v>0</v>
      </c>
      <c r="N730" s="10">
        <f>IF(Tank3!$C$23="No control",(SUMIF(Tank3!$B$32:$B$49,$J730,Tank3!$C$32:$C$49)*Impacts!$F$10),0)</f>
        <v>0</v>
      </c>
      <c r="O730" s="10">
        <f>IF(Tank4!$C$23="No control",(SUMIF(Tank4!$B$32:$B$49,$J730,Tank4!$C$32:$C$49)*Impacts!$F$11),0)</f>
        <v>0</v>
      </c>
      <c r="P730" s="10">
        <f>IF(Tank5!$C$23="No control",(SUMIF(Tank5!$B$32:$B$49,$J730,Tank5!$C$32:$C$49)*Impacts!$F$12),0)</f>
        <v>0</v>
      </c>
      <c r="Q730" s="10">
        <f>IFERROR(IF(('Loading-drum,tote'!$C$21)="No control",SUMIF(('Loading-drum,tote'!$B$31:$B$48),$J730,('Loading-drum,tote'!$D$31:$D$48))*Impacts!$F$13,IF(('Loading-drum,tote'!$C$21)&lt;&gt;"No control",SUMIF(('Loading-drum,tote'!$B$31:$B$48),$J730,('Loading-drum,tote'!$E$31:$E$48))*Impacts!$F$13,0)),0)</f>
        <v>0</v>
      </c>
      <c r="R730" s="10">
        <f>IFERROR(IF(('Loading-truck'!$C$21)="No control",SUMIF(('Loading-truck'!$B$31:$B$48),$J730,('Loading-truck'!$D$31:$D$48))*Impacts!$F$14,IF(('Loading-truck'!$C$21)&lt;&gt;"No control",SUMIF(('Loading-truck'!$B$31:$B$48),$J730,('Loading-truck'!$E$31:$E$48))*Impacts!$F$14,0)),0)</f>
        <v>0</v>
      </c>
      <c r="S730" s="10">
        <f>IFERROR(IF(('Loading-rail'!$C$21)="No control",SUMIF(('Loading-rail'!$B$31:$B$48),$J730,('Loading-rail'!$D$31:$D$48))*Impacts!$F$15,IF(('Loading-rail'!$C$21)&lt;&gt;"No control",SUMIF(('Loading-rail'!$B$31:$B$48),$J730,('Loading-rail'!$E$31:$E$48))*Impacts!$F$15,0)),0)</f>
        <v>0</v>
      </c>
      <c r="T730" s="10">
        <f>IF(Flare!$C$7="",0,(SUMIF(Flare!$B$46:$B$185,$J730,Flare!$E$46:$E$185)*Impacts!$F$16))</f>
        <v>0</v>
      </c>
      <c r="U730" s="10">
        <f>IF(VCU!$C$9="",0,(SUMIF(VCU!$B$51:$B$193,$J730,VCU!$E$51:$E$193)*Impacts!$F$17))</f>
        <v>0</v>
      </c>
      <c r="V730" s="10">
        <f>IF(CAS!$C$7="",0,(SUMIF(CAS!$B$31:$B$167,$J730,CAS!$E$31:$E$167)*Impacts!$F$18))</f>
        <v>0</v>
      </c>
      <c r="W730" s="10">
        <f t="shared" si="53"/>
        <v>0</v>
      </c>
      <c r="AK730" s="10" t="str">
        <f t="array" ref="AK730">IFERROR(INDEX(SelectedSpecies,SMALL(IF(SelectedSpecies=AK$1,ROW(SelectedSpecies)),ROW(731:731)),2),"")</f>
        <v/>
      </c>
      <c r="BE730" s="10"/>
      <c r="BI730" s="10"/>
    </row>
    <row r="731" spans="1:61" ht="21" customHeight="1" x14ac:dyDescent="0.25">
      <c r="A731" s="10"/>
      <c r="B731" s="10"/>
      <c r="E731" s="10"/>
      <c r="G731" s="10"/>
      <c r="I731" s="436" t="s">
        <v>473</v>
      </c>
      <c r="J731" s="26" t="s">
        <v>472</v>
      </c>
      <c r="K731" s="10">
        <v>140</v>
      </c>
      <c r="L731" s="73">
        <f>IF(Tank1!$C$23="No control",(SUMIF(Tank1!$B$32:$B$49,$J731,Tank1!$C$32:$C$49)*Impacts!$F$8),0)</f>
        <v>0</v>
      </c>
      <c r="M731" s="10">
        <f>IF(Tank2!$C$23="No control",(SUMIF(Tank2!$B$32:$B$49,$J731,Tank2!$C$32:$C$49)*Impacts!$F$9),0)</f>
        <v>0</v>
      </c>
      <c r="N731" s="10">
        <f>IF(Tank3!$C$23="No control",(SUMIF(Tank3!$B$32:$B$49,$J731,Tank3!$C$32:$C$49)*Impacts!$F$10),0)</f>
        <v>0</v>
      </c>
      <c r="O731" s="10">
        <f>IF(Tank4!$C$23="No control",(SUMIF(Tank4!$B$32:$B$49,$J731,Tank4!$C$32:$C$49)*Impacts!$F$11),0)</f>
        <v>0</v>
      </c>
      <c r="P731" s="10">
        <f>IF(Tank5!$C$23="No control",(SUMIF(Tank5!$B$32:$B$49,$J731,Tank5!$C$32:$C$49)*Impacts!$F$12),0)</f>
        <v>0</v>
      </c>
      <c r="Q731" s="10">
        <f>IFERROR(IF(('Loading-drum,tote'!$C$21)="No control",SUMIF(('Loading-drum,tote'!$B$31:$B$48),$J731,('Loading-drum,tote'!$D$31:$D$48))*Impacts!$F$13,IF(('Loading-drum,tote'!$C$21)&lt;&gt;"No control",SUMIF(('Loading-drum,tote'!$B$31:$B$48),$J731,('Loading-drum,tote'!$E$31:$E$48))*Impacts!$F$13,0)),0)</f>
        <v>0</v>
      </c>
      <c r="R731" s="10">
        <f>IFERROR(IF(('Loading-truck'!$C$21)="No control",SUMIF(('Loading-truck'!$B$31:$B$48),$J731,('Loading-truck'!$D$31:$D$48))*Impacts!$F$14,IF(('Loading-truck'!$C$21)&lt;&gt;"No control",SUMIF(('Loading-truck'!$B$31:$B$48),$J731,('Loading-truck'!$E$31:$E$48))*Impacts!$F$14,0)),0)</f>
        <v>0</v>
      </c>
      <c r="S731" s="10">
        <f>IFERROR(IF(('Loading-rail'!$C$21)="No control",SUMIF(('Loading-rail'!$B$31:$B$48),$J731,('Loading-rail'!$D$31:$D$48))*Impacts!$F$15,IF(('Loading-rail'!$C$21)&lt;&gt;"No control",SUMIF(('Loading-rail'!$B$31:$B$48),$J731,('Loading-rail'!$E$31:$E$48))*Impacts!$F$15,0)),0)</f>
        <v>0</v>
      </c>
      <c r="T731" s="10">
        <f>IF(Flare!$C$7="",0,(SUMIF(Flare!$B$46:$B$185,$J731,Flare!$E$46:$E$185)*Impacts!$F$16))</f>
        <v>0</v>
      </c>
      <c r="U731" s="10">
        <f>IF(VCU!$C$9="",0,(SUMIF(VCU!$B$51:$B$193,$J731,VCU!$E$51:$E$193)*Impacts!$F$17))</f>
        <v>0</v>
      </c>
      <c r="V731" s="10">
        <f>IF(CAS!$C$7="",0,(SUMIF(CAS!$B$31:$B$167,$J731,CAS!$E$31:$E$167)*Impacts!$F$18))</f>
        <v>0</v>
      </c>
      <c r="W731" s="10">
        <f t="shared" si="53"/>
        <v>0</v>
      </c>
      <c r="AK731" s="10" t="str">
        <f t="array" ref="AK731">IFERROR(INDEX(SelectedSpecies,SMALL(IF(SelectedSpecies=AK$1,ROW(SelectedSpecies)),ROW(732:732)),2),"")</f>
        <v/>
      </c>
      <c r="BE731" s="10"/>
      <c r="BI731" s="10"/>
    </row>
    <row r="732" spans="1:61" ht="21" customHeight="1" x14ac:dyDescent="0.25">
      <c r="A732" s="10"/>
      <c r="B732" s="10"/>
      <c r="E732" s="10"/>
      <c r="G732" s="10"/>
      <c r="I732" s="436" t="s">
        <v>3645</v>
      </c>
      <c r="J732" s="26" t="s">
        <v>3644</v>
      </c>
      <c r="K732" s="10">
        <v>7.2</v>
      </c>
      <c r="L732" s="73">
        <f>IF(Tank1!$C$23="No control",(SUMIF(Tank1!$B$32:$B$49,$J732,Tank1!$C$32:$C$49)*Impacts!$F$8),0)</f>
        <v>0</v>
      </c>
      <c r="M732" s="10">
        <f>IF(Tank2!$C$23="No control",(SUMIF(Tank2!$B$32:$B$49,$J732,Tank2!$C$32:$C$49)*Impacts!$F$9),0)</f>
        <v>0</v>
      </c>
      <c r="N732" s="10">
        <f>IF(Tank3!$C$23="No control",(SUMIF(Tank3!$B$32:$B$49,$J732,Tank3!$C$32:$C$49)*Impacts!$F$10),0)</f>
        <v>0</v>
      </c>
      <c r="O732" s="10">
        <f>IF(Tank4!$C$23="No control",(SUMIF(Tank4!$B$32:$B$49,$J732,Tank4!$C$32:$C$49)*Impacts!$F$11),0)</f>
        <v>0</v>
      </c>
      <c r="P732" s="10">
        <f>IF(Tank5!$C$23="No control",(SUMIF(Tank5!$B$32:$B$49,$J732,Tank5!$C$32:$C$49)*Impacts!$F$12),0)</f>
        <v>0</v>
      </c>
      <c r="Q732" s="10">
        <f>IFERROR(IF(('Loading-drum,tote'!$C$21)="No control",SUMIF(('Loading-drum,tote'!$B$31:$B$48),$J732,('Loading-drum,tote'!$D$31:$D$48))*Impacts!$F$13,IF(('Loading-drum,tote'!$C$21)&lt;&gt;"No control",SUMIF(('Loading-drum,tote'!$B$31:$B$48),$J732,('Loading-drum,tote'!$E$31:$E$48))*Impacts!$F$13,0)),0)</f>
        <v>0</v>
      </c>
      <c r="R732" s="10">
        <f>IFERROR(IF(('Loading-truck'!$C$21)="No control",SUMIF(('Loading-truck'!$B$31:$B$48),$J732,('Loading-truck'!$D$31:$D$48))*Impacts!$F$14,IF(('Loading-truck'!$C$21)&lt;&gt;"No control",SUMIF(('Loading-truck'!$B$31:$B$48),$J732,('Loading-truck'!$E$31:$E$48))*Impacts!$F$14,0)),0)</f>
        <v>0</v>
      </c>
      <c r="S732" s="10">
        <f>IFERROR(IF(('Loading-rail'!$C$21)="No control",SUMIF(('Loading-rail'!$B$31:$B$48),$J732,('Loading-rail'!$D$31:$D$48))*Impacts!$F$15,IF(('Loading-rail'!$C$21)&lt;&gt;"No control",SUMIF(('Loading-rail'!$B$31:$B$48),$J732,('Loading-rail'!$E$31:$E$48))*Impacts!$F$15,0)),0)</f>
        <v>0</v>
      </c>
      <c r="T732" s="10">
        <f>IF(Flare!$C$7="",0,(SUMIF(Flare!$B$46:$B$185,$J732,Flare!$E$46:$E$185)*Impacts!$F$16))</f>
        <v>0</v>
      </c>
      <c r="U732" s="10">
        <f>IF(VCU!$C$9="",0,(SUMIF(VCU!$B$51:$B$193,$J732,VCU!$E$51:$E$193)*Impacts!$F$17))</f>
        <v>0</v>
      </c>
      <c r="V732" s="10">
        <f>IF(CAS!$C$7="",0,(SUMIF(CAS!$B$31:$B$167,$J732,CAS!$E$31:$E$167)*Impacts!$F$18))</f>
        <v>0</v>
      </c>
      <c r="W732" s="10">
        <f t="shared" si="53"/>
        <v>0</v>
      </c>
      <c r="AK732" s="10" t="str">
        <f t="array" ref="AK732">IFERROR(INDEX(SelectedSpecies,SMALL(IF(SelectedSpecies=AK$1,ROW(SelectedSpecies)),ROW(733:733)),2),"")</f>
        <v/>
      </c>
      <c r="BE732" s="10"/>
      <c r="BI732" s="10"/>
    </row>
    <row r="733" spans="1:61" ht="21" customHeight="1" x14ac:dyDescent="0.25">
      <c r="A733" s="10"/>
      <c r="B733" s="10"/>
      <c r="E733" s="10"/>
      <c r="G733" s="10"/>
      <c r="I733" s="436" t="s">
        <v>1534</v>
      </c>
      <c r="J733" s="26" t="s">
        <v>1533</v>
      </c>
      <c r="K733" s="10">
        <v>27</v>
      </c>
      <c r="L733" s="73">
        <f>IF(Tank1!$C$23="No control",(SUMIF(Tank1!$B$32:$B$49,$J733,Tank1!$C$32:$C$49)*Impacts!$F$8),0)</f>
        <v>0</v>
      </c>
      <c r="M733" s="10">
        <f>IF(Tank2!$C$23="No control",(SUMIF(Tank2!$B$32:$B$49,$J733,Tank2!$C$32:$C$49)*Impacts!$F$9),0)</f>
        <v>0</v>
      </c>
      <c r="N733" s="10">
        <f>IF(Tank3!$C$23="No control",(SUMIF(Tank3!$B$32:$B$49,$J733,Tank3!$C$32:$C$49)*Impacts!$F$10),0)</f>
        <v>0</v>
      </c>
      <c r="O733" s="10">
        <f>IF(Tank4!$C$23="No control",(SUMIF(Tank4!$B$32:$B$49,$J733,Tank4!$C$32:$C$49)*Impacts!$F$11),0)</f>
        <v>0</v>
      </c>
      <c r="P733" s="10">
        <f>IF(Tank5!$C$23="No control",(SUMIF(Tank5!$B$32:$B$49,$J733,Tank5!$C$32:$C$49)*Impacts!$F$12),0)</f>
        <v>0</v>
      </c>
      <c r="Q733" s="10">
        <f>IFERROR(IF(('Loading-drum,tote'!$C$21)="No control",SUMIF(('Loading-drum,tote'!$B$31:$B$48),$J733,('Loading-drum,tote'!$D$31:$D$48))*Impacts!$F$13,IF(('Loading-drum,tote'!$C$21)&lt;&gt;"No control",SUMIF(('Loading-drum,tote'!$B$31:$B$48),$J733,('Loading-drum,tote'!$E$31:$E$48))*Impacts!$F$13,0)),0)</f>
        <v>0</v>
      </c>
      <c r="R733" s="10">
        <f>IFERROR(IF(('Loading-truck'!$C$21)="No control",SUMIF(('Loading-truck'!$B$31:$B$48),$J733,('Loading-truck'!$D$31:$D$48))*Impacts!$F$14,IF(('Loading-truck'!$C$21)&lt;&gt;"No control",SUMIF(('Loading-truck'!$B$31:$B$48),$J733,('Loading-truck'!$E$31:$E$48))*Impacts!$F$14,0)),0)</f>
        <v>0</v>
      </c>
      <c r="S733" s="10">
        <f>IFERROR(IF(('Loading-rail'!$C$21)="No control",SUMIF(('Loading-rail'!$B$31:$B$48),$J733,('Loading-rail'!$D$31:$D$48))*Impacts!$F$15,IF(('Loading-rail'!$C$21)&lt;&gt;"No control",SUMIF(('Loading-rail'!$B$31:$B$48),$J733,('Loading-rail'!$E$31:$E$48))*Impacts!$F$15,0)),0)</f>
        <v>0</v>
      </c>
      <c r="T733" s="10">
        <f>IF(Flare!$C$7="",0,(SUMIF(Flare!$B$46:$B$185,$J733,Flare!$E$46:$E$185)*Impacts!$F$16))</f>
        <v>0</v>
      </c>
      <c r="U733" s="10">
        <f>IF(VCU!$C$9="",0,(SUMIF(VCU!$B$51:$B$193,$J733,VCU!$E$51:$E$193)*Impacts!$F$17))</f>
        <v>0</v>
      </c>
      <c r="V733" s="10">
        <f>IF(CAS!$C$7="",0,(SUMIF(CAS!$B$31:$B$167,$J733,CAS!$E$31:$E$167)*Impacts!$F$18))</f>
        <v>0</v>
      </c>
      <c r="W733" s="10">
        <f t="shared" si="53"/>
        <v>0</v>
      </c>
      <c r="AK733" s="10" t="str">
        <f t="array" ref="AK733">IFERROR(INDEX(SelectedSpecies,SMALL(IF(SelectedSpecies=AK$1,ROW(SelectedSpecies)),ROW(734:734)),2),"")</f>
        <v/>
      </c>
      <c r="BE733" s="10"/>
      <c r="BI733" s="10"/>
    </row>
    <row r="734" spans="1:61" ht="21" customHeight="1" x14ac:dyDescent="0.25">
      <c r="A734" s="10"/>
      <c r="B734" s="10"/>
      <c r="E734" s="10"/>
      <c r="G734" s="10"/>
      <c r="I734" s="436" t="s">
        <v>572</v>
      </c>
      <c r="J734" s="26" t="s">
        <v>571</v>
      </c>
      <c r="K734" s="10">
        <v>93</v>
      </c>
      <c r="L734" s="73">
        <f>IF(Tank1!$C$23="No control",(SUMIF(Tank1!$B$32:$B$49,$J734,Tank1!$C$32:$C$49)*Impacts!$F$8),0)</f>
        <v>0</v>
      </c>
      <c r="M734" s="10">
        <f>IF(Tank2!$C$23="No control",(SUMIF(Tank2!$B$32:$B$49,$J734,Tank2!$C$32:$C$49)*Impacts!$F$9),0)</f>
        <v>0</v>
      </c>
      <c r="N734" s="10">
        <f>IF(Tank3!$C$23="No control",(SUMIF(Tank3!$B$32:$B$49,$J734,Tank3!$C$32:$C$49)*Impacts!$F$10),0)</f>
        <v>0</v>
      </c>
      <c r="O734" s="10">
        <f>IF(Tank4!$C$23="No control",(SUMIF(Tank4!$B$32:$B$49,$J734,Tank4!$C$32:$C$49)*Impacts!$F$11),0)</f>
        <v>0</v>
      </c>
      <c r="P734" s="10">
        <f>IF(Tank5!$C$23="No control",(SUMIF(Tank5!$B$32:$B$49,$J734,Tank5!$C$32:$C$49)*Impacts!$F$12),0)</f>
        <v>0</v>
      </c>
      <c r="Q734" s="10">
        <f>IFERROR(IF(('Loading-drum,tote'!$C$21)="No control",SUMIF(('Loading-drum,tote'!$B$31:$B$48),$J734,('Loading-drum,tote'!$D$31:$D$48))*Impacts!$F$13,IF(('Loading-drum,tote'!$C$21)&lt;&gt;"No control",SUMIF(('Loading-drum,tote'!$B$31:$B$48),$J734,('Loading-drum,tote'!$E$31:$E$48))*Impacts!$F$13,0)),0)</f>
        <v>0</v>
      </c>
      <c r="R734" s="10">
        <f>IFERROR(IF(('Loading-truck'!$C$21)="No control",SUMIF(('Loading-truck'!$B$31:$B$48),$J734,('Loading-truck'!$D$31:$D$48))*Impacts!$F$14,IF(('Loading-truck'!$C$21)&lt;&gt;"No control",SUMIF(('Loading-truck'!$B$31:$B$48),$J734,('Loading-truck'!$E$31:$E$48))*Impacts!$F$14,0)),0)</f>
        <v>0</v>
      </c>
      <c r="S734" s="10">
        <f>IFERROR(IF(('Loading-rail'!$C$21)="No control",SUMIF(('Loading-rail'!$B$31:$B$48),$J734,('Loading-rail'!$D$31:$D$48))*Impacts!$F$15,IF(('Loading-rail'!$C$21)&lt;&gt;"No control",SUMIF(('Loading-rail'!$B$31:$B$48),$J734,('Loading-rail'!$E$31:$E$48))*Impacts!$F$15,0)),0)</f>
        <v>0</v>
      </c>
      <c r="T734" s="10">
        <f>IF(Flare!$C$7="",0,(SUMIF(Flare!$B$46:$B$185,$J734,Flare!$E$46:$E$185)*Impacts!$F$16))</f>
        <v>0</v>
      </c>
      <c r="U734" s="10">
        <f>IF(VCU!$C$9="",0,(SUMIF(VCU!$B$51:$B$193,$J734,VCU!$E$51:$E$193)*Impacts!$F$17))</f>
        <v>0</v>
      </c>
      <c r="V734" s="10">
        <f>IF(CAS!$C$7="",0,(SUMIF(CAS!$B$31:$B$167,$J734,CAS!$E$31:$E$167)*Impacts!$F$18))</f>
        <v>0</v>
      </c>
      <c r="W734" s="10">
        <f t="shared" si="53"/>
        <v>0</v>
      </c>
      <c r="AK734" s="10" t="str">
        <f t="array" ref="AK734">IFERROR(INDEX(SelectedSpecies,SMALL(IF(SelectedSpecies=AK$1,ROW(SelectedSpecies)),ROW(735:735)),2),"")</f>
        <v/>
      </c>
      <c r="BE734" s="10"/>
      <c r="BI734" s="10"/>
    </row>
    <row r="735" spans="1:61" ht="21" customHeight="1" x14ac:dyDescent="0.25">
      <c r="A735" s="10"/>
      <c r="B735" s="10"/>
      <c r="E735" s="10"/>
      <c r="G735" s="10"/>
      <c r="I735" s="436" t="s">
        <v>1536</v>
      </c>
      <c r="J735" s="26" t="s">
        <v>1535</v>
      </c>
      <c r="K735" s="10">
        <v>27</v>
      </c>
      <c r="L735" s="73">
        <f>IF(Tank1!$C$23="No control",(SUMIF(Tank1!$B$32:$B$49,$J735,Tank1!$C$32:$C$49)*Impacts!$F$8),0)</f>
        <v>0</v>
      </c>
      <c r="M735" s="10">
        <f>IF(Tank2!$C$23="No control",(SUMIF(Tank2!$B$32:$B$49,$J735,Tank2!$C$32:$C$49)*Impacts!$F$9),0)</f>
        <v>0</v>
      </c>
      <c r="N735" s="10">
        <f>IF(Tank3!$C$23="No control",(SUMIF(Tank3!$B$32:$B$49,$J735,Tank3!$C$32:$C$49)*Impacts!$F$10),0)</f>
        <v>0</v>
      </c>
      <c r="O735" s="10">
        <f>IF(Tank4!$C$23="No control",(SUMIF(Tank4!$B$32:$B$49,$J735,Tank4!$C$32:$C$49)*Impacts!$F$11),0)</f>
        <v>0</v>
      </c>
      <c r="P735" s="10">
        <f>IF(Tank5!$C$23="No control",(SUMIF(Tank5!$B$32:$B$49,$J735,Tank5!$C$32:$C$49)*Impacts!$F$12),0)</f>
        <v>0</v>
      </c>
      <c r="Q735" s="10">
        <f>IFERROR(IF(('Loading-drum,tote'!$C$21)="No control",SUMIF(('Loading-drum,tote'!$B$31:$B$48),$J735,('Loading-drum,tote'!$D$31:$D$48))*Impacts!$F$13,IF(('Loading-drum,tote'!$C$21)&lt;&gt;"No control",SUMIF(('Loading-drum,tote'!$B$31:$B$48),$J735,('Loading-drum,tote'!$E$31:$E$48))*Impacts!$F$13,0)),0)</f>
        <v>0</v>
      </c>
      <c r="R735" s="10">
        <f>IFERROR(IF(('Loading-truck'!$C$21)="No control",SUMIF(('Loading-truck'!$B$31:$B$48),$J735,('Loading-truck'!$D$31:$D$48))*Impacts!$F$14,IF(('Loading-truck'!$C$21)&lt;&gt;"No control",SUMIF(('Loading-truck'!$B$31:$B$48),$J735,('Loading-truck'!$E$31:$E$48))*Impacts!$F$14,0)),0)</f>
        <v>0</v>
      </c>
      <c r="S735" s="10">
        <f>IFERROR(IF(('Loading-rail'!$C$21)="No control",SUMIF(('Loading-rail'!$B$31:$B$48),$J735,('Loading-rail'!$D$31:$D$48))*Impacts!$F$15,IF(('Loading-rail'!$C$21)&lt;&gt;"No control",SUMIF(('Loading-rail'!$B$31:$B$48),$J735,('Loading-rail'!$E$31:$E$48))*Impacts!$F$15,0)),0)</f>
        <v>0</v>
      </c>
      <c r="T735" s="10">
        <f>IF(Flare!$C$7="",0,(SUMIF(Flare!$B$46:$B$185,$J735,Flare!$E$46:$E$185)*Impacts!$F$16))</f>
        <v>0</v>
      </c>
      <c r="U735" s="10">
        <f>IF(VCU!$C$9="",0,(SUMIF(VCU!$B$51:$B$193,$J735,VCU!$E$51:$E$193)*Impacts!$F$17))</f>
        <v>0</v>
      </c>
      <c r="V735" s="10">
        <f>IF(CAS!$C$7="",0,(SUMIF(CAS!$B$31:$B$167,$J735,CAS!$E$31:$E$167)*Impacts!$F$18))</f>
        <v>0</v>
      </c>
      <c r="W735" s="10">
        <f t="shared" si="53"/>
        <v>0</v>
      </c>
      <c r="AK735" s="10" t="str">
        <f t="array" ref="AK735">IFERROR(INDEX(SelectedSpecies,SMALL(IF(SelectedSpecies=AK$1,ROW(SelectedSpecies)),ROW(736:736)),2),"")</f>
        <v/>
      </c>
      <c r="BE735" s="10"/>
      <c r="BI735" s="10"/>
    </row>
    <row r="736" spans="1:61" ht="21" customHeight="1" x14ac:dyDescent="0.25">
      <c r="A736" s="10"/>
      <c r="B736" s="10"/>
      <c r="E736" s="10"/>
      <c r="G736" s="10"/>
      <c r="I736" s="436" t="s">
        <v>7066</v>
      </c>
      <c r="J736" s="26" t="s">
        <v>7065</v>
      </c>
      <c r="K736" s="10">
        <v>0.4</v>
      </c>
      <c r="L736" s="73">
        <f>IF(Tank1!$C$23="No control",(SUMIF(Tank1!$B$32:$B$49,$J736,Tank1!$C$32:$C$49)*Impacts!$F$8),0)</f>
        <v>0</v>
      </c>
      <c r="M736" s="10">
        <f>IF(Tank2!$C$23="No control",(SUMIF(Tank2!$B$32:$B$49,$J736,Tank2!$C$32:$C$49)*Impacts!$F$9),0)</f>
        <v>0</v>
      </c>
      <c r="N736" s="10">
        <f>IF(Tank3!$C$23="No control",(SUMIF(Tank3!$B$32:$B$49,$J736,Tank3!$C$32:$C$49)*Impacts!$F$10),0)</f>
        <v>0</v>
      </c>
      <c r="O736" s="10">
        <f>IF(Tank4!$C$23="No control",(SUMIF(Tank4!$B$32:$B$49,$J736,Tank4!$C$32:$C$49)*Impacts!$F$11),0)</f>
        <v>0</v>
      </c>
      <c r="P736" s="10">
        <f>IF(Tank5!$C$23="No control",(SUMIF(Tank5!$B$32:$B$49,$J736,Tank5!$C$32:$C$49)*Impacts!$F$12),0)</f>
        <v>0</v>
      </c>
      <c r="Q736" s="10">
        <f>IFERROR(IF(('Loading-drum,tote'!$C$21)="No control",SUMIF(('Loading-drum,tote'!$B$31:$B$48),$J736,('Loading-drum,tote'!$D$31:$D$48))*Impacts!$F$13,IF(('Loading-drum,tote'!$C$21)&lt;&gt;"No control",SUMIF(('Loading-drum,tote'!$B$31:$B$48),$J736,('Loading-drum,tote'!$E$31:$E$48))*Impacts!$F$13,0)),0)</f>
        <v>0</v>
      </c>
      <c r="R736" s="10">
        <f>IFERROR(IF(('Loading-truck'!$C$21)="No control",SUMIF(('Loading-truck'!$B$31:$B$48),$J736,('Loading-truck'!$D$31:$D$48))*Impacts!$F$14,IF(('Loading-truck'!$C$21)&lt;&gt;"No control",SUMIF(('Loading-truck'!$B$31:$B$48),$J736,('Loading-truck'!$E$31:$E$48))*Impacts!$F$14,0)),0)</f>
        <v>0</v>
      </c>
      <c r="S736" s="10">
        <f>IFERROR(IF(('Loading-rail'!$C$21)="No control",SUMIF(('Loading-rail'!$B$31:$B$48),$J736,('Loading-rail'!$D$31:$D$48))*Impacts!$F$15,IF(('Loading-rail'!$C$21)&lt;&gt;"No control",SUMIF(('Loading-rail'!$B$31:$B$48),$J736,('Loading-rail'!$E$31:$E$48))*Impacts!$F$15,0)),0)</f>
        <v>0</v>
      </c>
      <c r="T736" s="10">
        <f>IF(Flare!$C$7="",0,(SUMIF(Flare!$B$46:$B$185,$J736,Flare!$E$46:$E$185)*Impacts!$F$16))</f>
        <v>0</v>
      </c>
      <c r="U736" s="10">
        <f>IF(VCU!$C$9="",0,(SUMIF(VCU!$B$51:$B$193,$J736,VCU!$E$51:$E$193)*Impacts!$F$17))</f>
        <v>0</v>
      </c>
      <c r="V736" s="10">
        <f>IF(CAS!$C$7="",0,(SUMIF(CAS!$B$31:$B$167,$J736,CAS!$E$31:$E$167)*Impacts!$F$18))</f>
        <v>0</v>
      </c>
      <c r="W736" s="10">
        <f t="shared" si="53"/>
        <v>0</v>
      </c>
      <c r="AK736" s="10" t="str">
        <f t="array" ref="AK736">IFERROR(INDEX(SelectedSpecies,SMALL(IF(SelectedSpecies=AK$1,ROW(SelectedSpecies)),ROW(737:737)),2),"")</f>
        <v/>
      </c>
      <c r="BE736" s="10"/>
      <c r="BI736" s="10"/>
    </row>
    <row r="737" spans="1:61" ht="21" customHeight="1" x14ac:dyDescent="0.25">
      <c r="A737" s="10"/>
      <c r="B737" s="10"/>
      <c r="E737" s="10"/>
      <c r="G737" s="10"/>
      <c r="I737" s="436" t="s">
        <v>6756</v>
      </c>
      <c r="J737" s="26" t="s">
        <v>6755</v>
      </c>
      <c r="K737" s="10">
        <v>0.5</v>
      </c>
      <c r="L737" s="73">
        <f>IF(Tank1!$C$23="No control",(SUMIF(Tank1!$B$32:$B$49,$J737,Tank1!$C$32:$C$49)*Impacts!$F$8),0)</f>
        <v>0</v>
      </c>
      <c r="M737" s="10">
        <f>IF(Tank2!$C$23="No control",(SUMIF(Tank2!$B$32:$B$49,$J737,Tank2!$C$32:$C$49)*Impacts!$F$9),0)</f>
        <v>0</v>
      </c>
      <c r="N737" s="10">
        <f>IF(Tank3!$C$23="No control",(SUMIF(Tank3!$B$32:$B$49,$J737,Tank3!$C$32:$C$49)*Impacts!$F$10),0)</f>
        <v>0</v>
      </c>
      <c r="O737" s="10">
        <f>IF(Tank4!$C$23="No control",(SUMIF(Tank4!$B$32:$B$49,$J737,Tank4!$C$32:$C$49)*Impacts!$F$11),0)</f>
        <v>0</v>
      </c>
      <c r="P737" s="10">
        <f>IF(Tank5!$C$23="No control",(SUMIF(Tank5!$B$32:$B$49,$J737,Tank5!$C$32:$C$49)*Impacts!$F$12),0)</f>
        <v>0</v>
      </c>
      <c r="Q737" s="10">
        <f>IFERROR(IF(('Loading-drum,tote'!$C$21)="No control",SUMIF(('Loading-drum,tote'!$B$31:$B$48),$J737,('Loading-drum,tote'!$D$31:$D$48))*Impacts!$F$13,IF(('Loading-drum,tote'!$C$21)&lt;&gt;"No control",SUMIF(('Loading-drum,tote'!$B$31:$B$48),$J737,('Loading-drum,tote'!$E$31:$E$48))*Impacts!$F$13,0)),0)</f>
        <v>0</v>
      </c>
      <c r="R737" s="10">
        <f>IFERROR(IF(('Loading-truck'!$C$21)="No control",SUMIF(('Loading-truck'!$B$31:$B$48),$J737,('Loading-truck'!$D$31:$D$48))*Impacts!$F$14,IF(('Loading-truck'!$C$21)&lt;&gt;"No control",SUMIF(('Loading-truck'!$B$31:$B$48),$J737,('Loading-truck'!$E$31:$E$48))*Impacts!$F$14,0)),0)</f>
        <v>0</v>
      </c>
      <c r="S737" s="10">
        <f>IFERROR(IF(('Loading-rail'!$C$21)="No control",SUMIF(('Loading-rail'!$B$31:$B$48),$J737,('Loading-rail'!$D$31:$D$48))*Impacts!$F$15,IF(('Loading-rail'!$C$21)&lt;&gt;"No control",SUMIF(('Loading-rail'!$B$31:$B$48),$J737,('Loading-rail'!$E$31:$E$48))*Impacts!$F$15,0)),0)</f>
        <v>0</v>
      </c>
      <c r="T737" s="10">
        <f>IF(Flare!$C$7="",0,(SUMIF(Flare!$B$46:$B$185,$J737,Flare!$E$46:$E$185)*Impacts!$F$16))</f>
        <v>0</v>
      </c>
      <c r="U737" s="10">
        <f>IF(VCU!$C$9="",0,(SUMIF(VCU!$B$51:$B$193,$J737,VCU!$E$51:$E$193)*Impacts!$F$17))</f>
        <v>0</v>
      </c>
      <c r="V737" s="10">
        <f>IF(CAS!$C$7="",0,(SUMIF(CAS!$B$31:$B$167,$J737,CAS!$E$31:$E$167)*Impacts!$F$18))</f>
        <v>0</v>
      </c>
      <c r="W737" s="10">
        <f t="shared" si="53"/>
        <v>0</v>
      </c>
      <c r="AK737" s="10" t="str">
        <f t="array" ref="AK737">IFERROR(INDEX(SelectedSpecies,SMALL(IF(SelectedSpecies=AK$1,ROW(SelectedSpecies)),ROW(738:738)),2),"")</f>
        <v/>
      </c>
      <c r="BE737" s="10"/>
      <c r="BI737" s="10"/>
    </row>
    <row r="738" spans="1:61" ht="21" customHeight="1" x14ac:dyDescent="0.25">
      <c r="A738" s="10"/>
      <c r="B738" s="10"/>
      <c r="E738" s="10"/>
      <c r="G738" s="10"/>
      <c r="I738" s="436" t="s">
        <v>4057</v>
      </c>
      <c r="J738" s="26" t="s">
        <v>4056</v>
      </c>
      <c r="K738" s="10">
        <v>9</v>
      </c>
      <c r="L738" s="73">
        <f>IF(Tank1!$C$23="No control",(SUMIF(Tank1!$B$32:$B$49,$J738,Tank1!$C$32:$C$49)*Impacts!$F$8),0)</f>
        <v>0</v>
      </c>
      <c r="M738" s="10">
        <f>IF(Tank2!$C$23="No control",(SUMIF(Tank2!$B$32:$B$49,$J738,Tank2!$C$32:$C$49)*Impacts!$F$9),0)</f>
        <v>0</v>
      </c>
      <c r="N738" s="10">
        <f>IF(Tank3!$C$23="No control",(SUMIF(Tank3!$B$32:$B$49,$J738,Tank3!$C$32:$C$49)*Impacts!$F$10),0)</f>
        <v>0</v>
      </c>
      <c r="O738" s="10">
        <f>IF(Tank4!$C$23="No control",(SUMIF(Tank4!$B$32:$B$49,$J738,Tank4!$C$32:$C$49)*Impacts!$F$11),0)</f>
        <v>0</v>
      </c>
      <c r="P738" s="10">
        <f>IF(Tank5!$C$23="No control",(SUMIF(Tank5!$B$32:$B$49,$J738,Tank5!$C$32:$C$49)*Impacts!$F$12),0)</f>
        <v>0</v>
      </c>
      <c r="Q738" s="10">
        <f>IFERROR(IF(('Loading-drum,tote'!$C$21)="No control",SUMIF(('Loading-drum,tote'!$B$31:$B$48),$J738,('Loading-drum,tote'!$D$31:$D$48))*Impacts!$F$13,IF(('Loading-drum,tote'!$C$21)&lt;&gt;"No control",SUMIF(('Loading-drum,tote'!$B$31:$B$48),$J738,('Loading-drum,tote'!$E$31:$E$48))*Impacts!$F$13,0)),0)</f>
        <v>0</v>
      </c>
      <c r="R738" s="10">
        <f>IFERROR(IF(('Loading-truck'!$C$21)="No control",SUMIF(('Loading-truck'!$B$31:$B$48),$J738,('Loading-truck'!$D$31:$D$48))*Impacts!$F$14,IF(('Loading-truck'!$C$21)&lt;&gt;"No control",SUMIF(('Loading-truck'!$B$31:$B$48),$J738,('Loading-truck'!$E$31:$E$48))*Impacts!$F$14,0)),0)</f>
        <v>0</v>
      </c>
      <c r="S738" s="10">
        <f>IFERROR(IF(('Loading-rail'!$C$21)="No control",SUMIF(('Loading-rail'!$B$31:$B$48),$J738,('Loading-rail'!$D$31:$D$48))*Impacts!$F$15,IF(('Loading-rail'!$C$21)&lt;&gt;"No control",SUMIF(('Loading-rail'!$B$31:$B$48),$J738,('Loading-rail'!$E$31:$E$48))*Impacts!$F$15,0)),0)</f>
        <v>0</v>
      </c>
      <c r="T738" s="10">
        <f>IF(Flare!$C$7="",0,(SUMIF(Flare!$B$46:$B$185,$J738,Flare!$E$46:$E$185)*Impacts!$F$16))</f>
        <v>0</v>
      </c>
      <c r="U738" s="10">
        <f>IF(VCU!$C$9="",0,(SUMIF(VCU!$B$51:$B$193,$J738,VCU!$E$51:$E$193)*Impacts!$F$17))</f>
        <v>0</v>
      </c>
      <c r="V738" s="10">
        <f>IF(CAS!$C$7="",0,(SUMIF(CAS!$B$31:$B$167,$J738,CAS!$E$31:$E$167)*Impacts!$F$18))</f>
        <v>0</v>
      </c>
      <c r="W738" s="10">
        <f t="shared" si="53"/>
        <v>0</v>
      </c>
      <c r="AK738" s="10" t="str">
        <f t="array" ref="AK738">IFERROR(INDEX(SelectedSpecies,SMALL(IF(SelectedSpecies=AK$1,ROW(SelectedSpecies)),ROW(739:739)),2),"")</f>
        <v/>
      </c>
      <c r="BE738" s="10"/>
      <c r="BI738" s="10"/>
    </row>
    <row r="739" spans="1:61" ht="21" customHeight="1" x14ac:dyDescent="0.25">
      <c r="A739" s="10"/>
      <c r="B739" s="10"/>
      <c r="E739" s="10"/>
      <c r="G739" s="10"/>
      <c r="I739" s="436" t="s">
        <v>642</v>
      </c>
      <c r="J739" s="26" t="s">
        <v>641</v>
      </c>
      <c r="K739" s="10">
        <v>57</v>
      </c>
      <c r="L739" s="73">
        <f>IF(Tank1!$C$23="No control",(SUMIF(Tank1!$B$32:$B$49,$J739,Tank1!$C$32:$C$49)*Impacts!$F$8),0)</f>
        <v>0</v>
      </c>
      <c r="M739" s="10">
        <f>IF(Tank2!$C$23="No control",(SUMIF(Tank2!$B$32:$B$49,$J739,Tank2!$C$32:$C$49)*Impacts!$F$9),0)</f>
        <v>0</v>
      </c>
      <c r="N739" s="10">
        <f>IF(Tank3!$C$23="No control",(SUMIF(Tank3!$B$32:$B$49,$J739,Tank3!$C$32:$C$49)*Impacts!$F$10),0)</f>
        <v>0</v>
      </c>
      <c r="O739" s="10">
        <f>IF(Tank4!$C$23="No control",(SUMIF(Tank4!$B$32:$B$49,$J739,Tank4!$C$32:$C$49)*Impacts!$F$11),0)</f>
        <v>0</v>
      </c>
      <c r="P739" s="10">
        <f>IF(Tank5!$C$23="No control",(SUMIF(Tank5!$B$32:$B$49,$J739,Tank5!$C$32:$C$49)*Impacts!$F$12),0)</f>
        <v>0</v>
      </c>
      <c r="Q739" s="10">
        <f>IFERROR(IF(('Loading-drum,tote'!$C$21)="No control",SUMIF(('Loading-drum,tote'!$B$31:$B$48),$J739,('Loading-drum,tote'!$D$31:$D$48))*Impacts!$F$13,IF(('Loading-drum,tote'!$C$21)&lt;&gt;"No control",SUMIF(('Loading-drum,tote'!$B$31:$B$48),$J739,('Loading-drum,tote'!$E$31:$E$48))*Impacts!$F$13,0)),0)</f>
        <v>0</v>
      </c>
      <c r="R739" s="10">
        <f>IFERROR(IF(('Loading-truck'!$C$21)="No control",SUMIF(('Loading-truck'!$B$31:$B$48),$J739,('Loading-truck'!$D$31:$D$48))*Impacts!$F$14,IF(('Loading-truck'!$C$21)&lt;&gt;"No control",SUMIF(('Loading-truck'!$B$31:$B$48),$J739,('Loading-truck'!$E$31:$E$48))*Impacts!$F$14,0)),0)</f>
        <v>0</v>
      </c>
      <c r="S739" s="10">
        <f>IFERROR(IF(('Loading-rail'!$C$21)="No control",SUMIF(('Loading-rail'!$B$31:$B$48),$J739,('Loading-rail'!$D$31:$D$48))*Impacts!$F$15,IF(('Loading-rail'!$C$21)&lt;&gt;"No control",SUMIF(('Loading-rail'!$B$31:$B$48),$J739,('Loading-rail'!$E$31:$E$48))*Impacts!$F$15,0)),0)</f>
        <v>0</v>
      </c>
      <c r="T739" s="10">
        <f>IF(Flare!$C$7="",0,(SUMIF(Flare!$B$46:$B$185,$J739,Flare!$E$46:$E$185)*Impacts!$F$16))</f>
        <v>0</v>
      </c>
      <c r="U739" s="10">
        <f>IF(VCU!$C$9="",0,(SUMIF(VCU!$B$51:$B$193,$J739,VCU!$E$51:$E$193)*Impacts!$F$17))</f>
        <v>0</v>
      </c>
      <c r="V739" s="10">
        <f>IF(CAS!$C$7="",0,(SUMIF(CAS!$B$31:$B$167,$J739,CAS!$E$31:$E$167)*Impacts!$F$18))</f>
        <v>0</v>
      </c>
      <c r="W739" s="10">
        <f t="shared" si="53"/>
        <v>0</v>
      </c>
      <c r="AK739" s="10" t="str">
        <f t="array" ref="AK739">IFERROR(INDEX(SelectedSpecies,SMALL(IF(SelectedSpecies=AK$1,ROW(SelectedSpecies)),ROW(740:740)),2),"")</f>
        <v/>
      </c>
      <c r="BE739" s="10"/>
      <c r="BI739" s="10"/>
    </row>
    <row r="740" spans="1:61" ht="21" customHeight="1" x14ac:dyDescent="0.25">
      <c r="A740" s="10"/>
      <c r="B740" s="10"/>
      <c r="E740" s="10"/>
      <c r="G740" s="10"/>
      <c r="I740" s="436" t="s">
        <v>2087</v>
      </c>
      <c r="J740" s="26" t="s">
        <v>2086</v>
      </c>
      <c r="K740" s="10">
        <v>15</v>
      </c>
      <c r="L740" s="73">
        <f>IF(Tank1!$C$23="No control",(SUMIF(Tank1!$B$32:$B$49,$J740,Tank1!$C$32:$C$49)*Impacts!$F$8),0)</f>
        <v>0</v>
      </c>
      <c r="M740" s="10">
        <f>IF(Tank2!$C$23="No control",(SUMIF(Tank2!$B$32:$B$49,$J740,Tank2!$C$32:$C$49)*Impacts!$F$9),0)</f>
        <v>0</v>
      </c>
      <c r="N740" s="10">
        <f>IF(Tank3!$C$23="No control",(SUMIF(Tank3!$B$32:$B$49,$J740,Tank3!$C$32:$C$49)*Impacts!$F$10),0)</f>
        <v>0</v>
      </c>
      <c r="O740" s="10">
        <f>IF(Tank4!$C$23="No control",(SUMIF(Tank4!$B$32:$B$49,$J740,Tank4!$C$32:$C$49)*Impacts!$F$11),0)</f>
        <v>0</v>
      </c>
      <c r="P740" s="10">
        <f>IF(Tank5!$C$23="No control",(SUMIF(Tank5!$B$32:$B$49,$J740,Tank5!$C$32:$C$49)*Impacts!$F$12),0)</f>
        <v>0</v>
      </c>
      <c r="Q740" s="10">
        <f>IFERROR(IF(('Loading-drum,tote'!$C$21)="No control",SUMIF(('Loading-drum,tote'!$B$31:$B$48),$J740,('Loading-drum,tote'!$D$31:$D$48))*Impacts!$F$13,IF(('Loading-drum,tote'!$C$21)&lt;&gt;"No control",SUMIF(('Loading-drum,tote'!$B$31:$B$48),$J740,('Loading-drum,tote'!$E$31:$E$48))*Impacts!$F$13,0)),0)</f>
        <v>0</v>
      </c>
      <c r="R740" s="10">
        <f>IFERROR(IF(('Loading-truck'!$C$21)="No control",SUMIF(('Loading-truck'!$B$31:$B$48),$J740,('Loading-truck'!$D$31:$D$48))*Impacts!$F$14,IF(('Loading-truck'!$C$21)&lt;&gt;"No control",SUMIF(('Loading-truck'!$B$31:$B$48),$J740,('Loading-truck'!$E$31:$E$48))*Impacts!$F$14,0)),0)</f>
        <v>0</v>
      </c>
      <c r="S740" s="10">
        <f>IFERROR(IF(('Loading-rail'!$C$21)="No control",SUMIF(('Loading-rail'!$B$31:$B$48),$J740,('Loading-rail'!$D$31:$D$48))*Impacts!$F$15,IF(('Loading-rail'!$C$21)&lt;&gt;"No control",SUMIF(('Loading-rail'!$B$31:$B$48),$J740,('Loading-rail'!$E$31:$E$48))*Impacts!$F$15,0)),0)</f>
        <v>0</v>
      </c>
      <c r="T740" s="10">
        <f>IF(Flare!$C$7="",0,(SUMIF(Flare!$B$46:$B$185,$J740,Flare!$E$46:$E$185)*Impacts!$F$16))</f>
        <v>0</v>
      </c>
      <c r="U740" s="10">
        <f>IF(VCU!$C$9="",0,(SUMIF(VCU!$B$51:$B$193,$J740,VCU!$E$51:$E$193)*Impacts!$F$17))</f>
        <v>0</v>
      </c>
      <c r="V740" s="10">
        <f>IF(CAS!$C$7="",0,(SUMIF(CAS!$B$31:$B$167,$J740,CAS!$E$31:$E$167)*Impacts!$F$18))</f>
        <v>0</v>
      </c>
      <c r="W740" s="10">
        <f t="shared" si="53"/>
        <v>0</v>
      </c>
      <c r="AK740" s="10" t="str">
        <f t="array" ref="AK740">IFERROR(INDEX(SelectedSpecies,SMALL(IF(SelectedSpecies=AK$1,ROW(SelectedSpecies)),ROW(741:741)),2),"")</f>
        <v/>
      </c>
      <c r="BE740" s="10"/>
      <c r="BI740" s="10"/>
    </row>
    <row r="741" spans="1:61" ht="21" customHeight="1" x14ac:dyDescent="0.25">
      <c r="A741" s="10"/>
      <c r="B741" s="10"/>
      <c r="E741" s="10"/>
      <c r="G741" s="10"/>
      <c r="I741" s="436" t="s">
        <v>2431</v>
      </c>
      <c r="J741" s="26" t="s">
        <v>2430</v>
      </c>
      <c r="K741" s="10">
        <v>10</v>
      </c>
      <c r="L741" s="73">
        <f>IF(Tank1!$C$23="No control",(SUMIF(Tank1!$B$32:$B$49,$J741,Tank1!$C$32:$C$49)*Impacts!$F$8),0)</f>
        <v>0</v>
      </c>
      <c r="M741" s="10">
        <f>IF(Tank2!$C$23="No control",(SUMIF(Tank2!$B$32:$B$49,$J741,Tank2!$C$32:$C$49)*Impacts!$F$9),0)</f>
        <v>0</v>
      </c>
      <c r="N741" s="10">
        <f>IF(Tank3!$C$23="No control",(SUMIF(Tank3!$B$32:$B$49,$J741,Tank3!$C$32:$C$49)*Impacts!$F$10),0)</f>
        <v>0</v>
      </c>
      <c r="O741" s="10">
        <f>IF(Tank4!$C$23="No control",(SUMIF(Tank4!$B$32:$B$49,$J741,Tank4!$C$32:$C$49)*Impacts!$F$11),0)</f>
        <v>0</v>
      </c>
      <c r="P741" s="10">
        <f>IF(Tank5!$C$23="No control",(SUMIF(Tank5!$B$32:$B$49,$J741,Tank5!$C$32:$C$49)*Impacts!$F$12),0)</f>
        <v>0</v>
      </c>
      <c r="Q741" s="10">
        <f>IFERROR(IF(('Loading-drum,tote'!$C$21)="No control",SUMIF(('Loading-drum,tote'!$B$31:$B$48),$J741,('Loading-drum,tote'!$D$31:$D$48))*Impacts!$F$13,IF(('Loading-drum,tote'!$C$21)&lt;&gt;"No control",SUMIF(('Loading-drum,tote'!$B$31:$B$48),$J741,('Loading-drum,tote'!$E$31:$E$48))*Impacts!$F$13,0)),0)</f>
        <v>0</v>
      </c>
      <c r="R741" s="10">
        <f>IFERROR(IF(('Loading-truck'!$C$21)="No control",SUMIF(('Loading-truck'!$B$31:$B$48),$J741,('Loading-truck'!$D$31:$D$48))*Impacts!$F$14,IF(('Loading-truck'!$C$21)&lt;&gt;"No control",SUMIF(('Loading-truck'!$B$31:$B$48),$J741,('Loading-truck'!$E$31:$E$48))*Impacts!$F$14,0)),0)</f>
        <v>0</v>
      </c>
      <c r="S741" s="10">
        <f>IFERROR(IF(('Loading-rail'!$C$21)="No control",SUMIF(('Loading-rail'!$B$31:$B$48),$J741,('Loading-rail'!$D$31:$D$48))*Impacts!$F$15,IF(('Loading-rail'!$C$21)&lt;&gt;"No control",SUMIF(('Loading-rail'!$B$31:$B$48),$J741,('Loading-rail'!$E$31:$E$48))*Impacts!$F$15,0)),0)</f>
        <v>0</v>
      </c>
      <c r="T741" s="10">
        <f>IF(Flare!$C$7="",0,(SUMIF(Flare!$B$46:$B$185,$J741,Flare!$E$46:$E$185)*Impacts!$F$16))</f>
        <v>0</v>
      </c>
      <c r="U741" s="10">
        <f>IF(VCU!$C$9="",0,(SUMIF(VCU!$B$51:$B$193,$J741,VCU!$E$51:$E$193)*Impacts!$F$17))</f>
        <v>0</v>
      </c>
      <c r="V741" s="10">
        <f>IF(CAS!$C$7="",0,(SUMIF(CAS!$B$31:$B$167,$J741,CAS!$E$31:$E$167)*Impacts!$F$18))</f>
        <v>0</v>
      </c>
      <c r="W741" s="10">
        <f t="shared" si="53"/>
        <v>0</v>
      </c>
      <c r="AK741" s="10" t="str">
        <f t="array" ref="AK741">IFERROR(INDEX(SelectedSpecies,SMALL(IF(SelectedSpecies=AK$1,ROW(SelectedSpecies)),ROW(742:742)),2),"")</f>
        <v/>
      </c>
      <c r="BE741" s="10"/>
      <c r="BI741" s="10"/>
    </row>
    <row r="742" spans="1:61" ht="21" customHeight="1" x14ac:dyDescent="0.25">
      <c r="A742" s="10"/>
      <c r="B742" s="10"/>
      <c r="E742" s="10"/>
      <c r="G742" s="10"/>
      <c r="I742" s="436" t="s">
        <v>3531</v>
      </c>
      <c r="J742" s="26" t="s">
        <v>3530</v>
      </c>
      <c r="K742" s="10">
        <v>8.5</v>
      </c>
      <c r="L742" s="73">
        <f>IF(Tank1!$C$23="No control",(SUMIF(Tank1!$B$32:$B$49,$J742,Tank1!$C$32:$C$49)*Impacts!$F$8),0)</f>
        <v>0</v>
      </c>
      <c r="M742" s="10">
        <f>IF(Tank2!$C$23="No control",(SUMIF(Tank2!$B$32:$B$49,$J742,Tank2!$C$32:$C$49)*Impacts!$F$9),0)</f>
        <v>0</v>
      </c>
      <c r="N742" s="10">
        <f>IF(Tank3!$C$23="No control",(SUMIF(Tank3!$B$32:$B$49,$J742,Tank3!$C$32:$C$49)*Impacts!$F$10),0)</f>
        <v>0</v>
      </c>
      <c r="O742" s="10">
        <f>IF(Tank4!$C$23="No control",(SUMIF(Tank4!$B$32:$B$49,$J742,Tank4!$C$32:$C$49)*Impacts!$F$11),0)</f>
        <v>0</v>
      </c>
      <c r="P742" s="10">
        <f>IF(Tank5!$C$23="No control",(SUMIF(Tank5!$B$32:$B$49,$J742,Tank5!$C$32:$C$49)*Impacts!$F$12),0)</f>
        <v>0</v>
      </c>
      <c r="Q742" s="10">
        <f>IFERROR(IF(('Loading-drum,tote'!$C$21)="No control",SUMIF(('Loading-drum,tote'!$B$31:$B$48),$J742,('Loading-drum,tote'!$D$31:$D$48))*Impacts!$F$13,IF(('Loading-drum,tote'!$C$21)&lt;&gt;"No control",SUMIF(('Loading-drum,tote'!$B$31:$B$48),$J742,('Loading-drum,tote'!$E$31:$E$48))*Impacts!$F$13,0)),0)</f>
        <v>0</v>
      </c>
      <c r="R742" s="10">
        <f>IFERROR(IF(('Loading-truck'!$C$21)="No control",SUMIF(('Loading-truck'!$B$31:$B$48),$J742,('Loading-truck'!$D$31:$D$48))*Impacts!$F$14,IF(('Loading-truck'!$C$21)&lt;&gt;"No control",SUMIF(('Loading-truck'!$B$31:$B$48),$J742,('Loading-truck'!$E$31:$E$48))*Impacts!$F$14,0)),0)</f>
        <v>0</v>
      </c>
      <c r="S742" s="10">
        <f>IFERROR(IF(('Loading-rail'!$C$21)="No control",SUMIF(('Loading-rail'!$B$31:$B$48),$J742,('Loading-rail'!$D$31:$D$48))*Impacts!$F$15,IF(('Loading-rail'!$C$21)&lt;&gt;"No control",SUMIF(('Loading-rail'!$B$31:$B$48),$J742,('Loading-rail'!$E$31:$E$48))*Impacts!$F$15,0)),0)</f>
        <v>0</v>
      </c>
      <c r="T742" s="10">
        <f>IF(Flare!$C$7="",0,(SUMIF(Flare!$B$46:$B$185,$J742,Flare!$E$46:$E$185)*Impacts!$F$16))</f>
        <v>0</v>
      </c>
      <c r="U742" s="10">
        <f>IF(VCU!$C$9="",0,(SUMIF(VCU!$B$51:$B$193,$J742,VCU!$E$51:$E$193)*Impacts!$F$17))</f>
        <v>0</v>
      </c>
      <c r="V742" s="10">
        <f>IF(CAS!$C$7="",0,(SUMIF(CAS!$B$31:$B$167,$J742,CAS!$E$31:$E$167)*Impacts!$F$18))</f>
        <v>0</v>
      </c>
      <c r="W742" s="10">
        <f t="shared" si="53"/>
        <v>0</v>
      </c>
      <c r="AK742" s="10" t="str">
        <f t="array" ref="AK742">IFERROR(INDEX(SelectedSpecies,SMALL(IF(SelectedSpecies=AK$1,ROW(SelectedSpecies)),ROW(743:743)),2),"")</f>
        <v/>
      </c>
      <c r="BE742" s="10"/>
      <c r="BI742" s="10"/>
    </row>
    <row r="743" spans="1:61" ht="21" customHeight="1" x14ac:dyDescent="0.25">
      <c r="A743" s="10"/>
      <c r="B743" s="10"/>
      <c r="E743" s="10"/>
      <c r="G743" s="10"/>
      <c r="I743" s="436" t="s">
        <v>1266</v>
      </c>
      <c r="J743" s="26" t="s">
        <v>1265</v>
      </c>
      <c r="K743" s="10">
        <v>33</v>
      </c>
      <c r="L743" s="73">
        <f>IF(Tank1!$C$23="No control",(SUMIF(Tank1!$B$32:$B$49,$J743,Tank1!$C$32:$C$49)*Impacts!$F$8),0)</f>
        <v>0</v>
      </c>
      <c r="M743" s="10">
        <f>IF(Tank2!$C$23="No control",(SUMIF(Tank2!$B$32:$B$49,$J743,Tank2!$C$32:$C$49)*Impacts!$F$9),0)</f>
        <v>0</v>
      </c>
      <c r="N743" s="10">
        <f>IF(Tank3!$C$23="No control",(SUMIF(Tank3!$B$32:$B$49,$J743,Tank3!$C$32:$C$49)*Impacts!$F$10),0)</f>
        <v>0</v>
      </c>
      <c r="O743" s="10">
        <f>IF(Tank4!$C$23="No control",(SUMIF(Tank4!$B$32:$B$49,$J743,Tank4!$C$32:$C$49)*Impacts!$F$11),0)</f>
        <v>0</v>
      </c>
      <c r="P743" s="10">
        <f>IF(Tank5!$C$23="No control",(SUMIF(Tank5!$B$32:$B$49,$J743,Tank5!$C$32:$C$49)*Impacts!$F$12),0)</f>
        <v>0</v>
      </c>
      <c r="Q743" s="10">
        <f>IFERROR(IF(('Loading-drum,tote'!$C$21)="No control",SUMIF(('Loading-drum,tote'!$B$31:$B$48),$J743,('Loading-drum,tote'!$D$31:$D$48))*Impacts!$F$13,IF(('Loading-drum,tote'!$C$21)&lt;&gt;"No control",SUMIF(('Loading-drum,tote'!$B$31:$B$48),$J743,('Loading-drum,tote'!$E$31:$E$48))*Impacts!$F$13,0)),0)</f>
        <v>0</v>
      </c>
      <c r="R743" s="10">
        <f>IFERROR(IF(('Loading-truck'!$C$21)="No control",SUMIF(('Loading-truck'!$B$31:$B$48),$J743,('Loading-truck'!$D$31:$D$48))*Impacts!$F$14,IF(('Loading-truck'!$C$21)&lt;&gt;"No control",SUMIF(('Loading-truck'!$B$31:$B$48),$J743,('Loading-truck'!$E$31:$E$48))*Impacts!$F$14,0)),0)</f>
        <v>0</v>
      </c>
      <c r="S743" s="10">
        <f>IFERROR(IF(('Loading-rail'!$C$21)="No control",SUMIF(('Loading-rail'!$B$31:$B$48),$J743,('Loading-rail'!$D$31:$D$48))*Impacts!$F$15,IF(('Loading-rail'!$C$21)&lt;&gt;"No control",SUMIF(('Loading-rail'!$B$31:$B$48),$J743,('Loading-rail'!$E$31:$E$48))*Impacts!$F$15,0)),0)</f>
        <v>0</v>
      </c>
      <c r="T743" s="10">
        <f>IF(Flare!$C$7="",0,(SUMIF(Flare!$B$46:$B$185,$J743,Flare!$E$46:$E$185)*Impacts!$F$16))</f>
        <v>0</v>
      </c>
      <c r="U743" s="10">
        <f>IF(VCU!$C$9="",0,(SUMIF(VCU!$B$51:$B$193,$J743,VCU!$E$51:$E$193)*Impacts!$F$17))</f>
        <v>0</v>
      </c>
      <c r="V743" s="10">
        <f>IF(CAS!$C$7="",0,(SUMIF(CAS!$B$31:$B$167,$J743,CAS!$E$31:$E$167)*Impacts!$F$18))</f>
        <v>0</v>
      </c>
      <c r="W743" s="10">
        <f t="shared" si="53"/>
        <v>0</v>
      </c>
      <c r="AK743" s="10" t="str">
        <f t="array" ref="AK743">IFERROR(INDEX(SelectedSpecies,SMALL(IF(SelectedSpecies=AK$1,ROW(SelectedSpecies)),ROW(744:744)),2),"")</f>
        <v/>
      </c>
      <c r="BE743" s="10"/>
      <c r="BI743" s="10"/>
    </row>
    <row r="744" spans="1:61" ht="21" customHeight="1" x14ac:dyDescent="0.25">
      <c r="A744" s="10"/>
      <c r="B744" s="10"/>
      <c r="E744" s="10"/>
      <c r="G744" s="10"/>
      <c r="I744" s="436" t="s">
        <v>5746</v>
      </c>
      <c r="J744" s="26" t="s">
        <v>5745</v>
      </c>
      <c r="K744" s="10">
        <v>1</v>
      </c>
      <c r="L744" s="73">
        <f>IF(Tank1!$C$23="No control",(SUMIF(Tank1!$B$32:$B$49,$J744,Tank1!$C$32:$C$49)*Impacts!$F$8),0)</f>
        <v>0</v>
      </c>
      <c r="M744" s="10">
        <f>IF(Tank2!$C$23="No control",(SUMIF(Tank2!$B$32:$B$49,$J744,Tank2!$C$32:$C$49)*Impacts!$F$9),0)</f>
        <v>0</v>
      </c>
      <c r="N744" s="10">
        <f>IF(Tank3!$C$23="No control",(SUMIF(Tank3!$B$32:$B$49,$J744,Tank3!$C$32:$C$49)*Impacts!$F$10),0)</f>
        <v>0</v>
      </c>
      <c r="O744" s="10">
        <f>IF(Tank4!$C$23="No control",(SUMIF(Tank4!$B$32:$B$49,$J744,Tank4!$C$32:$C$49)*Impacts!$F$11),0)</f>
        <v>0</v>
      </c>
      <c r="P744" s="10">
        <f>IF(Tank5!$C$23="No control",(SUMIF(Tank5!$B$32:$B$49,$J744,Tank5!$C$32:$C$49)*Impacts!$F$12),0)</f>
        <v>0</v>
      </c>
      <c r="Q744" s="10">
        <f>IFERROR(IF(('Loading-drum,tote'!$C$21)="No control",SUMIF(('Loading-drum,tote'!$B$31:$B$48),$J744,('Loading-drum,tote'!$D$31:$D$48))*Impacts!$F$13,IF(('Loading-drum,tote'!$C$21)&lt;&gt;"No control",SUMIF(('Loading-drum,tote'!$B$31:$B$48),$J744,('Loading-drum,tote'!$E$31:$E$48))*Impacts!$F$13,0)),0)</f>
        <v>0</v>
      </c>
      <c r="R744" s="10">
        <f>IFERROR(IF(('Loading-truck'!$C$21)="No control",SUMIF(('Loading-truck'!$B$31:$B$48),$J744,('Loading-truck'!$D$31:$D$48))*Impacts!$F$14,IF(('Loading-truck'!$C$21)&lt;&gt;"No control",SUMIF(('Loading-truck'!$B$31:$B$48),$J744,('Loading-truck'!$E$31:$E$48))*Impacts!$F$14,0)),0)</f>
        <v>0</v>
      </c>
      <c r="S744" s="10">
        <f>IFERROR(IF(('Loading-rail'!$C$21)="No control",SUMIF(('Loading-rail'!$B$31:$B$48),$J744,('Loading-rail'!$D$31:$D$48))*Impacts!$F$15,IF(('Loading-rail'!$C$21)&lt;&gt;"No control",SUMIF(('Loading-rail'!$B$31:$B$48),$J744,('Loading-rail'!$E$31:$E$48))*Impacts!$F$15,0)),0)</f>
        <v>0</v>
      </c>
      <c r="T744" s="10">
        <f>IF(Flare!$C$7="",0,(SUMIF(Flare!$B$46:$B$185,$J744,Flare!$E$46:$E$185)*Impacts!$F$16))</f>
        <v>0</v>
      </c>
      <c r="U744" s="10">
        <f>IF(VCU!$C$9="",0,(SUMIF(VCU!$B$51:$B$193,$J744,VCU!$E$51:$E$193)*Impacts!$F$17))</f>
        <v>0</v>
      </c>
      <c r="V744" s="10">
        <f>IF(CAS!$C$7="",0,(SUMIF(CAS!$B$31:$B$167,$J744,CAS!$E$31:$E$167)*Impacts!$F$18))</f>
        <v>0</v>
      </c>
      <c r="W744" s="10">
        <f t="shared" si="53"/>
        <v>0</v>
      </c>
      <c r="AK744" s="10" t="str">
        <f t="array" ref="AK744">IFERROR(INDEX(SelectedSpecies,SMALL(IF(SelectedSpecies=AK$1,ROW(SelectedSpecies)),ROW(745:745)),2),"")</f>
        <v/>
      </c>
      <c r="BE744" s="10"/>
      <c r="BI744" s="10"/>
    </row>
    <row r="745" spans="1:61" ht="21" customHeight="1" x14ac:dyDescent="0.25">
      <c r="A745" s="10"/>
      <c r="B745" s="10"/>
      <c r="E745" s="10"/>
      <c r="G745" s="10"/>
      <c r="I745" s="436" t="s">
        <v>2089</v>
      </c>
      <c r="J745" s="26" t="s">
        <v>2088</v>
      </c>
      <c r="K745" s="10">
        <v>15</v>
      </c>
      <c r="L745" s="73">
        <f>IF(Tank1!$C$23="No control",(SUMIF(Tank1!$B$32:$B$49,$J745,Tank1!$C$32:$C$49)*Impacts!$F$8),0)</f>
        <v>0</v>
      </c>
      <c r="M745" s="10">
        <f>IF(Tank2!$C$23="No control",(SUMIF(Tank2!$B$32:$B$49,$J745,Tank2!$C$32:$C$49)*Impacts!$F$9),0)</f>
        <v>0</v>
      </c>
      <c r="N745" s="10">
        <f>IF(Tank3!$C$23="No control",(SUMIF(Tank3!$B$32:$B$49,$J745,Tank3!$C$32:$C$49)*Impacts!$F$10),0)</f>
        <v>0</v>
      </c>
      <c r="O745" s="10">
        <f>IF(Tank4!$C$23="No control",(SUMIF(Tank4!$B$32:$B$49,$J745,Tank4!$C$32:$C$49)*Impacts!$F$11),0)</f>
        <v>0</v>
      </c>
      <c r="P745" s="10">
        <f>IF(Tank5!$C$23="No control",(SUMIF(Tank5!$B$32:$B$49,$J745,Tank5!$C$32:$C$49)*Impacts!$F$12),0)</f>
        <v>0</v>
      </c>
      <c r="Q745" s="10">
        <f>IFERROR(IF(('Loading-drum,tote'!$C$21)="No control",SUMIF(('Loading-drum,tote'!$B$31:$B$48),$J745,('Loading-drum,tote'!$D$31:$D$48))*Impacts!$F$13,IF(('Loading-drum,tote'!$C$21)&lt;&gt;"No control",SUMIF(('Loading-drum,tote'!$B$31:$B$48),$J745,('Loading-drum,tote'!$E$31:$E$48))*Impacts!$F$13,0)),0)</f>
        <v>0</v>
      </c>
      <c r="R745" s="10">
        <f>IFERROR(IF(('Loading-truck'!$C$21)="No control",SUMIF(('Loading-truck'!$B$31:$B$48),$J745,('Loading-truck'!$D$31:$D$48))*Impacts!$F$14,IF(('Loading-truck'!$C$21)&lt;&gt;"No control",SUMIF(('Loading-truck'!$B$31:$B$48),$J745,('Loading-truck'!$E$31:$E$48))*Impacts!$F$14,0)),0)</f>
        <v>0</v>
      </c>
      <c r="S745" s="10">
        <f>IFERROR(IF(('Loading-rail'!$C$21)="No control",SUMIF(('Loading-rail'!$B$31:$B$48),$J745,('Loading-rail'!$D$31:$D$48))*Impacts!$F$15,IF(('Loading-rail'!$C$21)&lt;&gt;"No control",SUMIF(('Loading-rail'!$B$31:$B$48),$J745,('Loading-rail'!$E$31:$E$48))*Impacts!$F$15,0)),0)</f>
        <v>0</v>
      </c>
      <c r="T745" s="10">
        <f>IF(Flare!$C$7="",0,(SUMIF(Flare!$B$46:$B$185,$J745,Flare!$E$46:$E$185)*Impacts!$F$16))</f>
        <v>0</v>
      </c>
      <c r="U745" s="10">
        <f>IF(VCU!$C$9="",0,(SUMIF(VCU!$B$51:$B$193,$J745,VCU!$E$51:$E$193)*Impacts!$F$17))</f>
        <v>0</v>
      </c>
      <c r="V745" s="10">
        <f>IF(CAS!$C$7="",0,(SUMIF(CAS!$B$31:$B$167,$J745,CAS!$E$31:$E$167)*Impacts!$F$18))</f>
        <v>0</v>
      </c>
      <c r="W745" s="10">
        <f t="shared" si="53"/>
        <v>0</v>
      </c>
      <c r="AK745" s="10" t="str">
        <f t="array" ref="AK745">IFERROR(INDEX(SelectedSpecies,SMALL(IF(SelectedSpecies=AK$1,ROW(SelectedSpecies)),ROW(746:746)),2),"")</f>
        <v/>
      </c>
      <c r="BE745" s="10"/>
      <c r="BI745" s="10"/>
    </row>
    <row r="746" spans="1:61" ht="21" customHeight="1" x14ac:dyDescent="0.25">
      <c r="A746" s="10"/>
      <c r="B746" s="10"/>
      <c r="E746" s="10"/>
      <c r="G746" s="10"/>
      <c r="I746" s="436" t="s">
        <v>5748</v>
      </c>
      <c r="J746" s="26" t="s">
        <v>5747</v>
      </c>
      <c r="K746" s="10">
        <v>1</v>
      </c>
      <c r="L746" s="73">
        <f>IF(Tank1!$C$23="No control",(SUMIF(Tank1!$B$32:$B$49,$J746,Tank1!$C$32:$C$49)*Impacts!$F$8),0)</f>
        <v>0</v>
      </c>
      <c r="M746" s="10">
        <f>IF(Tank2!$C$23="No control",(SUMIF(Tank2!$B$32:$B$49,$J746,Tank2!$C$32:$C$49)*Impacts!$F$9),0)</f>
        <v>0</v>
      </c>
      <c r="N746" s="10">
        <f>IF(Tank3!$C$23="No control",(SUMIF(Tank3!$B$32:$B$49,$J746,Tank3!$C$32:$C$49)*Impacts!$F$10),0)</f>
        <v>0</v>
      </c>
      <c r="O746" s="10">
        <f>IF(Tank4!$C$23="No control",(SUMIF(Tank4!$B$32:$B$49,$J746,Tank4!$C$32:$C$49)*Impacts!$F$11),0)</f>
        <v>0</v>
      </c>
      <c r="P746" s="10">
        <f>IF(Tank5!$C$23="No control",(SUMIF(Tank5!$B$32:$B$49,$J746,Tank5!$C$32:$C$49)*Impacts!$F$12),0)</f>
        <v>0</v>
      </c>
      <c r="Q746" s="10">
        <f>IFERROR(IF(('Loading-drum,tote'!$C$21)="No control",SUMIF(('Loading-drum,tote'!$B$31:$B$48),$J746,('Loading-drum,tote'!$D$31:$D$48))*Impacts!$F$13,IF(('Loading-drum,tote'!$C$21)&lt;&gt;"No control",SUMIF(('Loading-drum,tote'!$B$31:$B$48),$J746,('Loading-drum,tote'!$E$31:$E$48))*Impacts!$F$13,0)),0)</f>
        <v>0</v>
      </c>
      <c r="R746" s="10">
        <f>IFERROR(IF(('Loading-truck'!$C$21)="No control",SUMIF(('Loading-truck'!$B$31:$B$48),$J746,('Loading-truck'!$D$31:$D$48))*Impacts!$F$14,IF(('Loading-truck'!$C$21)&lt;&gt;"No control",SUMIF(('Loading-truck'!$B$31:$B$48),$J746,('Loading-truck'!$E$31:$E$48))*Impacts!$F$14,0)),0)</f>
        <v>0</v>
      </c>
      <c r="S746" s="10">
        <f>IFERROR(IF(('Loading-rail'!$C$21)="No control",SUMIF(('Loading-rail'!$B$31:$B$48),$J746,('Loading-rail'!$D$31:$D$48))*Impacts!$F$15,IF(('Loading-rail'!$C$21)&lt;&gt;"No control",SUMIF(('Loading-rail'!$B$31:$B$48),$J746,('Loading-rail'!$E$31:$E$48))*Impacts!$F$15,0)),0)</f>
        <v>0</v>
      </c>
      <c r="T746" s="10">
        <f>IF(Flare!$C$7="",0,(SUMIF(Flare!$B$46:$B$185,$J746,Flare!$E$46:$E$185)*Impacts!$F$16))</f>
        <v>0</v>
      </c>
      <c r="U746" s="10">
        <f>IF(VCU!$C$9="",0,(SUMIF(VCU!$B$51:$B$193,$J746,VCU!$E$51:$E$193)*Impacts!$F$17))</f>
        <v>0</v>
      </c>
      <c r="V746" s="10">
        <f>IF(CAS!$C$7="",0,(SUMIF(CAS!$B$31:$B$167,$J746,CAS!$E$31:$E$167)*Impacts!$F$18))</f>
        <v>0</v>
      </c>
      <c r="W746" s="10">
        <f t="shared" si="53"/>
        <v>0</v>
      </c>
      <c r="AK746" s="10" t="str">
        <f t="array" ref="AK746">IFERROR(INDEX(SelectedSpecies,SMALL(IF(SelectedSpecies=AK$1,ROW(SelectedSpecies)),ROW(747:747)),2),"")</f>
        <v/>
      </c>
      <c r="BE746" s="10"/>
      <c r="BI746" s="10"/>
    </row>
    <row r="747" spans="1:61" ht="21" customHeight="1" x14ac:dyDescent="0.25">
      <c r="A747" s="10"/>
      <c r="B747" s="10"/>
      <c r="E747" s="10"/>
      <c r="G747" s="10"/>
      <c r="I747" s="436" t="s">
        <v>2711</v>
      </c>
      <c r="J747" s="26" t="s">
        <v>2710</v>
      </c>
      <c r="K747" s="10">
        <v>10</v>
      </c>
      <c r="L747" s="73">
        <f>IF(Tank1!$C$23="No control",(SUMIF(Tank1!$B$32:$B$49,$J747,Tank1!$C$32:$C$49)*Impacts!$F$8),0)</f>
        <v>0</v>
      </c>
      <c r="M747" s="10">
        <f>IF(Tank2!$C$23="No control",(SUMIF(Tank2!$B$32:$B$49,$J747,Tank2!$C$32:$C$49)*Impacts!$F$9),0)</f>
        <v>0</v>
      </c>
      <c r="N747" s="10">
        <f>IF(Tank3!$C$23="No control",(SUMIF(Tank3!$B$32:$B$49,$J747,Tank3!$C$32:$C$49)*Impacts!$F$10),0)</f>
        <v>0</v>
      </c>
      <c r="O747" s="10">
        <f>IF(Tank4!$C$23="No control",(SUMIF(Tank4!$B$32:$B$49,$J747,Tank4!$C$32:$C$49)*Impacts!$F$11),0)</f>
        <v>0</v>
      </c>
      <c r="P747" s="10">
        <f>IF(Tank5!$C$23="No control",(SUMIF(Tank5!$B$32:$B$49,$J747,Tank5!$C$32:$C$49)*Impacts!$F$12),0)</f>
        <v>0</v>
      </c>
      <c r="Q747" s="10">
        <f>IFERROR(IF(('Loading-drum,tote'!$C$21)="No control",SUMIF(('Loading-drum,tote'!$B$31:$B$48),$J747,('Loading-drum,tote'!$D$31:$D$48))*Impacts!$F$13,IF(('Loading-drum,tote'!$C$21)&lt;&gt;"No control",SUMIF(('Loading-drum,tote'!$B$31:$B$48),$J747,('Loading-drum,tote'!$E$31:$E$48))*Impacts!$F$13,0)),0)</f>
        <v>0</v>
      </c>
      <c r="R747" s="10">
        <f>IFERROR(IF(('Loading-truck'!$C$21)="No control",SUMIF(('Loading-truck'!$B$31:$B$48),$J747,('Loading-truck'!$D$31:$D$48))*Impacts!$F$14,IF(('Loading-truck'!$C$21)&lt;&gt;"No control",SUMIF(('Loading-truck'!$B$31:$B$48),$J747,('Loading-truck'!$E$31:$E$48))*Impacts!$F$14,0)),0)</f>
        <v>0</v>
      </c>
      <c r="S747" s="10">
        <f>IFERROR(IF(('Loading-rail'!$C$21)="No control",SUMIF(('Loading-rail'!$B$31:$B$48),$J747,('Loading-rail'!$D$31:$D$48))*Impacts!$F$15,IF(('Loading-rail'!$C$21)&lt;&gt;"No control",SUMIF(('Loading-rail'!$B$31:$B$48),$J747,('Loading-rail'!$E$31:$E$48))*Impacts!$F$15,0)),0)</f>
        <v>0</v>
      </c>
      <c r="T747" s="10">
        <f>IF(Flare!$C$7="",0,(SUMIF(Flare!$B$46:$B$185,$J747,Flare!$E$46:$E$185)*Impacts!$F$16))</f>
        <v>0</v>
      </c>
      <c r="U747" s="10">
        <f>IF(VCU!$C$9="",0,(SUMIF(VCU!$B$51:$B$193,$J747,VCU!$E$51:$E$193)*Impacts!$F$17))</f>
        <v>0</v>
      </c>
      <c r="V747" s="10">
        <f>IF(CAS!$C$7="",0,(SUMIF(CAS!$B$31:$B$167,$J747,CAS!$E$31:$E$167)*Impacts!$F$18))</f>
        <v>0</v>
      </c>
      <c r="W747" s="10">
        <f t="shared" si="53"/>
        <v>0</v>
      </c>
      <c r="AK747" s="10" t="str">
        <f t="array" ref="AK747">IFERROR(INDEX(SelectedSpecies,SMALL(IF(SelectedSpecies=AK$1,ROW(SelectedSpecies)),ROW(748:748)),2),"")</f>
        <v/>
      </c>
      <c r="BE747" s="10"/>
      <c r="BI747" s="10"/>
    </row>
    <row r="748" spans="1:61" ht="21" customHeight="1" x14ac:dyDescent="0.25">
      <c r="A748" s="10"/>
      <c r="B748" s="10"/>
      <c r="E748" s="10"/>
      <c r="G748" s="10"/>
      <c r="I748" s="436" t="s">
        <v>2713</v>
      </c>
      <c r="J748" s="26" t="s">
        <v>2712</v>
      </c>
      <c r="K748" s="10">
        <v>10</v>
      </c>
      <c r="L748" s="73">
        <f>IF(Tank1!$C$23="No control",(SUMIF(Tank1!$B$32:$B$49,$J748,Tank1!$C$32:$C$49)*Impacts!$F$8),0)</f>
        <v>0</v>
      </c>
      <c r="M748" s="10">
        <f>IF(Tank2!$C$23="No control",(SUMIF(Tank2!$B$32:$B$49,$J748,Tank2!$C$32:$C$49)*Impacts!$F$9),0)</f>
        <v>0</v>
      </c>
      <c r="N748" s="10">
        <f>IF(Tank3!$C$23="No control",(SUMIF(Tank3!$B$32:$B$49,$J748,Tank3!$C$32:$C$49)*Impacts!$F$10),0)</f>
        <v>0</v>
      </c>
      <c r="O748" s="10">
        <f>IF(Tank4!$C$23="No control",(SUMIF(Tank4!$B$32:$B$49,$J748,Tank4!$C$32:$C$49)*Impacts!$F$11),0)</f>
        <v>0</v>
      </c>
      <c r="P748" s="10">
        <f>IF(Tank5!$C$23="No control",(SUMIF(Tank5!$B$32:$B$49,$J748,Tank5!$C$32:$C$49)*Impacts!$F$12),0)</f>
        <v>0</v>
      </c>
      <c r="Q748" s="10">
        <f>IFERROR(IF(('Loading-drum,tote'!$C$21)="No control",SUMIF(('Loading-drum,tote'!$B$31:$B$48),$J748,('Loading-drum,tote'!$D$31:$D$48))*Impacts!$F$13,IF(('Loading-drum,tote'!$C$21)&lt;&gt;"No control",SUMIF(('Loading-drum,tote'!$B$31:$B$48),$J748,('Loading-drum,tote'!$E$31:$E$48))*Impacts!$F$13,0)),0)</f>
        <v>0</v>
      </c>
      <c r="R748" s="10">
        <f>IFERROR(IF(('Loading-truck'!$C$21)="No control",SUMIF(('Loading-truck'!$B$31:$B$48),$J748,('Loading-truck'!$D$31:$D$48))*Impacts!$F$14,IF(('Loading-truck'!$C$21)&lt;&gt;"No control",SUMIF(('Loading-truck'!$B$31:$B$48),$J748,('Loading-truck'!$E$31:$E$48))*Impacts!$F$14,0)),0)</f>
        <v>0</v>
      </c>
      <c r="S748" s="10">
        <f>IFERROR(IF(('Loading-rail'!$C$21)="No control",SUMIF(('Loading-rail'!$B$31:$B$48),$J748,('Loading-rail'!$D$31:$D$48))*Impacts!$F$15,IF(('Loading-rail'!$C$21)&lt;&gt;"No control",SUMIF(('Loading-rail'!$B$31:$B$48),$J748,('Loading-rail'!$E$31:$E$48))*Impacts!$F$15,0)),0)</f>
        <v>0</v>
      </c>
      <c r="T748" s="10">
        <f>IF(Flare!$C$7="",0,(SUMIF(Flare!$B$46:$B$185,$J748,Flare!$E$46:$E$185)*Impacts!$F$16))</f>
        <v>0</v>
      </c>
      <c r="U748" s="10">
        <f>IF(VCU!$C$9="",0,(SUMIF(VCU!$B$51:$B$193,$J748,VCU!$E$51:$E$193)*Impacts!$F$17))</f>
        <v>0</v>
      </c>
      <c r="V748" s="10">
        <f>IF(CAS!$C$7="",0,(SUMIF(CAS!$B$31:$B$167,$J748,CAS!$E$31:$E$167)*Impacts!$F$18))</f>
        <v>0</v>
      </c>
      <c r="W748" s="10">
        <f t="shared" si="53"/>
        <v>0</v>
      </c>
      <c r="AK748" s="10" t="str">
        <f t="array" ref="AK748">IFERROR(INDEX(SelectedSpecies,SMALL(IF(SelectedSpecies=AK$1,ROW(SelectedSpecies)),ROW(749:749)),2),"")</f>
        <v/>
      </c>
      <c r="BE748" s="10"/>
      <c r="BI748" s="10"/>
    </row>
    <row r="749" spans="1:61" ht="21" customHeight="1" x14ac:dyDescent="0.25">
      <c r="A749" s="10"/>
      <c r="B749" s="10"/>
      <c r="E749" s="10"/>
      <c r="G749" s="10"/>
      <c r="I749" s="436" t="s">
        <v>5750</v>
      </c>
      <c r="J749" s="26" t="s">
        <v>5749</v>
      </c>
      <c r="K749" s="10">
        <v>1</v>
      </c>
      <c r="L749" s="73">
        <f>IF(Tank1!$C$23="No control",(SUMIF(Tank1!$B$32:$B$49,$J749,Tank1!$C$32:$C$49)*Impacts!$F$8),0)</f>
        <v>0</v>
      </c>
      <c r="M749" s="10">
        <f>IF(Tank2!$C$23="No control",(SUMIF(Tank2!$B$32:$B$49,$J749,Tank2!$C$32:$C$49)*Impacts!$F$9),0)</f>
        <v>0</v>
      </c>
      <c r="N749" s="10">
        <f>IF(Tank3!$C$23="No control",(SUMIF(Tank3!$B$32:$B$49,$J749,Tank3!$C$32:$C$49)*Impacts!$F$10),0)</f>
        <v>0</v>
      </c>
      <c r="O749" s="10">
        <f>IF(Tank4!$C$23="No control",(SUMIF(Tank4!$B$32:$B$49,$J749,Tank4!$C$32:$C$49)*Impacts!$F$11),0)</f>
        <v>0</v>
      </c>
      <c r="P749" s="10">
        <f>IF(Tank5!$C$23="No control",(SUMIF(Tank5!$B$32:$B$49,$J749,Tank5!$C$32:$C$49)*Impacts!$F$12),0)</f>
        <v>0</v>
      </c>
      <c r="Q749" s="10">
        <f>IFERROR(IF(('Loading-drum,tote'!$C$21)="No control",SUMIF(('Loading-drum,tote'!$B$31:$B$48),$J749,('Loading-drum,tote'!$D$31:$D$48))*Impacts!$F$13,IF(('Loading-drum,tote'!$C$21)&lt;&gt;"No control",SUMIF(('Loading-drum,tote'!$B$31:$B$48),$J749,('Loading-drum,tote'!$E$31:$E$48))*Impacts!$F$13,0)),0)</f>
        <v>0</v>
      </c>
      <c r="R749" s="10">
        <f>IFERROR(IF(('Loading-truck'!$C$21)="No control",SUMIF(('Loading-truck'!$B$31:$B$48),$J749,('Loading-truck'!$D$31:$D$48))*Impacts!$F$14,IF(('Loading-truck'!$C$21)&lt;&gt;"No control",SUMIF(('Loading-truck'!$B$31:$B$48),$J749,('Loading-truck'!$E$31:$E$48))*Impacts!$F$14,0)),0)</f>
        <v>0</v>
      </c>
      <c r="S749" s="10">
        <f>IFERROR(IF(('Loading-rail'!$C$21)="No control",SUMIF(('Loading-rail'!$B$31:$B$48),$J749,('Loading-rail'!$D$31:$D$48))*Impacts!$F$15,IF(('Loading-rail'!$C$21)&lt;&gt;"No control",SUMIF(('Loading-rail'!$B$31:$B$48),$J749,('Loading-rail'!$E$31:$E$48))*Impacts!$F$15,0)),0)</f>
        <v>0</v>
      </c>
      <c r="T749" s="10">
        <f>IF(Flare!$C$7="",0,(SUMIF(Flare!$B$46:$B$185,$J749,Flare!$E$46:$E$185)*Impacts!$F$16))</f>
        <v>0</v>
      </c>
      <c r="U749" s="10">
        <f>IF(VCU!$C$9="",0,(SUMIF(VCU!$B$51:$B$193,$J749,VCU!$E$51:$E$193)*Impacts!$F$17))</f>
        <v>0</v>
      </c>
      <c r="V749" s="10">
        <f>IF(CAS!$C$7="",0,(SUMIF(CAS!$B$31:$B$167,$J749,CAS!$E$31:$E$167)*Impacts!$F$18))</f>
        <v>0</v>
      </c>
      <c r="W749" s="10">
        <f t="shared" si="53"/>
        <v>0</v>
      </c>
      <c r="AK749" s="10" t="str">
        <f t="array" ref="AK749">IFERROR(INDEX(SelectedSpecies,SMALL(IF(SelectedSpecies=AK$1,ROW(SelectedSpecies)),ROW(750:750)),2),"")</f>
        <v/>
      </c>
      <c r="BE749" s="10"/>
      <c r="BI749" s="10"/>
    </row>
    <row r="750" spans="1:61" ht="21" customHeight="1" x14ac:dyDescent="0.25">
      <c r="A750" s="10"/>
      <c r="B750" s="10"/>
      <c r="E750" s="10"/>
      <c r="G750" s="10"/>
      <c r="I750" s="436" t="s">
        <v>5752</v>
      </c>
      <c r="J750" s="26" t="s">
        <v>5751</v>
      </c>
      <c r="K750" s="10">
        <v>1</v>
      </c>
      <c r="L750" s="73">
        <f>IF(Tank1!$C$23="No control",(SUMIF(Tank1!$B$32:$B$49,$J750,Tank1!$C$32:$C$49)*Impacts!$F$8),0)</f>
        <v>0</v>
      </c>
      <c r="M750" s="10">
        <f>IF(Tank2!$C$23="No control",(SUMIF(Tank2!$B$32:$B$49,$J750,Tank2!$C$32:$C$49)*Impacts!$F$9),0)</f>
        <v>0</v>
      </c>
      <c r="N750" s="10">
        <f>IF(Tank3!$C$23="No control",(SUMIF(Tank3!$B$32:$B$49,$J750,Tank3!$C$32:$C$49)*Impacts!$F$10),0)</f>
        <v>0</v>
      </c>
      <c r="O750" s="10">
        <f>IF(Tank4!$C$23="No control",(SUMIF(Tank4!$B$32:$B$49,$J750,Tank4!$C$32:$C$49)*Impacts!$F$11),0)</f>
        <v>0</v>
      </c>
      <c r="P750" s="10">
        <f>IF(Tank5!$C$23="No control",(SUMIF(Tank5!$B$32:$B$49,$J750,Tank5!$C$32:$C$49)*Impacts!$F$12),0)</f>
        <v>0</v>
      </c>
      <c r="Q750" s="10">
        <f>IFERROR(IF(('Loading-drum,tote'!$C$21)="No control",SUMIF(('Loading-drum,tote'!$B$31:$B$48),$J750,('Loading-drum,tote'!$D$31:$D$48))*Impacts!$F$13,IF(('Loading-drum,tote'!$C$21)&lt;&gt;"No control",SUMIF(('Loading-drum,tote'!$B$31:$B$48),$J750,('Loading-drum,tote'!$E$31:$E$48))*Impacts!$F$13,0)),0)</f>
        <v>0</v>
      </c>
      <c r="R750" s="10">
        <f>IFERROR(IF(('Loading-truck'!$C$21)="No control",SUMIF(('Loading-truck'!$B$31:$B$48),$J750,('Loading-truck'!$D$31:$D$48))*Impacts!$F$14,IF(('Loading-truck'!$C$21)&lt;&gt;"No control",SUMIF(('Loading-truck'!$B$31:$B$48),$J750,('Loading-truck'!$E$31:$E$48))*Impacts!$F$14,0)),0)</f>
        <v>0</v>
      </c>
      <c r="S750" s="10">
        <f>IFERROR(IF(('Loading-rail'!$C$21)="No control",SUMIF(('Loading-rail'!$B$31:$B$48),$J750,('Loading-rail'!$D$31:$D$48))*Impacts!$F$15,IF(('Loading-rail'!$C$21)&lt;&gt;"No control",SUMIF(('Loading-rail'!$B$31:$B$48),$J750,('Loading-rail'!$E$31:$E$48))*Impacts!$F$15,0)),0)</f>
        <v>0</v>
      </c>
      <c r="T750" s="10">
        <f>IF(Flare!$C$7="",0,(SUMIF(Flare!$B$46:$B$185,$J750,Flare!$E$46:$E$185)*Impacts!$F$16))</f>
        <v>0</v>
      </c>
      <c r="U750" s="10">
        <f>IF(VCU!$C$9="",0,(SUMIF(VCU!$B$51:$B$193,$J750,VCU!$E$51:$E$193)*Impacts!$F$17))</f>
        <v>0</v>
      </c>
      <c r="V750" s="10">
        <f>IF(CAS!$C$7="",0,(SUMIF(CAS!$B$31:$B$167,$J750,CAS!$E$31:$E$167)*Impacts!$F$18))</f>
        <v>0</v>
      </c>
      <c r="W750" s="10">
        <f t="shared" si="53"/>
        <v>0</v>
      </c>
      <c r="AK750" s="10" t="str">
        <f t="array" ref="AK750">IFERROR(INDEX(SelectedSpecies,SMALL(IF(SelectedSpecies=AK$1,ROW(SelectedSpecies)),ROW(751:751)),2),"")</f>
        <v/>
      </c>
      <c r="BE750" s="10"/>
      <c r="BI750" s="10"/>
    </row>
    <row r="751" spans="1:61" ht="21" customHeight="1" x14ac:dyDescent="0.25">
      <c r="A751" s="10"/>
      <c r="B751" s="10"/>
      <c r="E751" s="10"/>
      <c r="G751" s="10"/>
      <c r="I751" s="436" t="s">
        <v>6296</v>
      </c>
      <c r="J751" s="26" t="s">
        <v>6295</v>
      </c>
      <c r="K751" s="10">
        <v>0.9</v>
      </c>
      <c r="L751" s="73">
        <f>IF(Tank1!$C$23="No control",(SUMIF(Tank1!$B$32:$B$49,$J751,Tank1!$C$32:$C$49)*Impacts!$F$8),0)</f>
        <v>0</v>
      </c>
      <c r="M751" s="10">
        <f>IF(Tank2!$C$23="No control",(SUMIF(Tank2!$B$32:$B$49,$J751,Tank2!$C$32:$C$49)*Impacts!$F$9),0)</f>
        <v>0</v>
      </c>
      <c r="N751" s="10">
        <f>IF(Tank3!$C$23="No control",(SUMIF(Tank3!$B$32:$B$49,$J751,Tank3!$C$32:$C$49)*Impacts!$F$10),0)</f>
        <v>0</v>
      </c>
      <c r="O751" s="10">
        <f>IF(Tank4!$C$23="No control",(SUMIF(Tank4!$B$32:$B$49,$J751,Tank4!$C$32:$C$49)*Impacts!$F$11),0)</f>
        <v>0</v>
      </c>
      <c r="P751" s="10">
        <f>IF(Tank5!$C$23="No control",(SUMIF(Tank5!$B$32:$B$49,$J751,Tank5!$C$32:$C$49)*Impacts!$F$12),0)</f>
        <v>0</v>
      </c>
      <c r="Q751" s="10">
        <f>IFERROR(IF(('Loading-drum,tote'!$C$21)="No control",SUMIF(('Loading-drum,tote'!$B$31:$B$48),$J751,('Loading-drum,tote'!$D$31:$D$48))*Impacts!$F$13,IF(('Loading-drum,tote'!$C$21)&lt;&gt;"No control",SUMIF(('Loading-drum,tote'!$B$31:$B$48),$J751,('Loading-drum,tote'!$E$31:$E$48))*Impacts!$F$13,0)),0)</f>
        <v>0</v>
      </c>
      <c r="R751" s="10">
        <f>IFERROR(IF(('Loading-truck'!$C$21)="No control",SUMIF(('Loading-truck'!$B$31:$B$48),$J751,('Loading-truck'!$D$31:$D$48))*Impacts!$F$14,IF(('Loading-truck'!$C$21)&lt;&gt;"No control",SUMIF(('Loading-truck'!$B$31:$B$48),$J751,('Loading-truck'!$E$31:$E$48))*Impacts!$F$14,0)),0)</f>
        <v>0</v>
      </c>
      <c r="S751" s="10">
        <f>IFERROR(IF(('Loading-rail'!$C$21)="No control",SUMIF(('Loading-rail'!$B$31:$B$48),$J751,('Loading-rail'!$D$31:$D$48))*Impacts!$F$15,IF(('Loading-rail'!$C$21)&lt;&gt;"No control",SUMIF(('Loading-rail'!$B$31:$B$48),$J751,('Loading-rail'!$E$31:$E$48))*Impacts!$F$15,0)),0)</f>
        <v>0</v>
      </c>
      <c r="T751" s="10">
        <f>IF(Flare!$C$7="",0,(SUMIF(Flare!$B$46:$B$185,$J751,Flare!$E$46:$E$185)*Impacts!$F$16))</f>
        <v>0</v>
      </c>
      <c r="U751" s="10">
        <f>IF(VCU!$C$9="",0,(SUMIF(VCU!$B$51:$B$193,$J751,VCU!$E$51:$E$193)*Impacts!$F$17))</f>
        <v>0</v>
      </c>
      <c r="V751" s="10">
        <f>IF(CAS!$C$7="",0,(SUMIF(CAS!$B$31:$B$167,$J751,CAS!$E$31:$E$167)*Impacts!$F$18))</f>
        <v>0</v>
      </c>
      <c r="W751" s="10">
        <f t="shared" si="53"/>
        <v>0</v>
      </c>
      <c r="AK751" s="10" t="str">
        <f t="array" ref="AK751">IFERROR(INDEX(SelectedSpecies,SMALL(IF(SelectedSpecies=AK$1,ROW(SelectedSpecies)),ROW(752:752)),2),"")</f>
        <v/>
      </c>
      <c r="BE751" s="10"/>
      <c r="BI751" s="10"/>
    </row>
    <row r="752" spans="1:61" ht="21" customHeight="1" x14ac:dyDescent="0.25">
      <c r="A752" s="10"/>
      <c r="B752" s="10"/>
      <c r="E752" s="10"/>
      <c r="G752" s="10"/>
      <c r="I752" s="436" t="s">
        <v>7428</v>
      </c>
      <c r="J752" s="26" t="s">
        <v>7427</v>
      </c>
      <c r="K752" s="10">
        <v>0.2</v>
      </c>
      <c r="L752" s="73">
        <f>IF(Tank1!$C$23="No control",(SUMIF(Tank1!$B$32:$B$49,$J752,Tank1!$C$32:$C$49)*Impacts!$F$8),0)</f>
        <v>0</v>
      </c>
      <c r="M752" s="10">
        <f>IF(Tank2!$C$23="No control",(SUMIF(Tank2!$B$32:$B$49,$J752,Tank2!$C$32:$C$49)*Impacts!$F$9),0)</f>
        <v>0</v>
      </c>
      <c r="N752" s="10">
        <f>IF(Tank3!$C$23="No control",(SUMIF(Tank3!$B$32:$B$49,$J752,Tank3!$C$32:$C$49)*Impacts!$F$10),0)</f>
        <v>0</v>
      </c>
      <c r="O752" s="10">
        <f>IF(Tank4!$C$23="No control",(SUMIF(Tank4!$B$32:$B$49,$J752,Tank4!$C$32:$C$49)*Impacts!$F$11),0)</f>
        <v>0</v>
      </c>
      <c r="P752" s="10">
        <f>IF(Tank5!$C$23="No control",(SUMIF(Tank5!$B$32:$B$49,$J752,Tank5!$C$32:$C$49)*Impacts!$F$12),0)</f>
        <v>0</v>
      </c>
      <c r="Q752" s="10">
        <f>IFERROR(IF(('Loading-drum,tote'!$C$21)="No control",SUMIF(('Loading-drum,tote'!$B$31:$B$48),$J752,('Loading-drum,tote'!$D$31:$D$48))*Impacts!$F$13,IF(('Loading-drum,tote'!$C$21)&lt;&gt;"No control",SUMIF(('Loading-drum,tote'!$B$31:$B$48),$J752,('Loading-drum,tote'!$E$31:$E$48))*Impacts!$F$13,0)),0)</f>
        <v>0</v>
      </c>
      <c r="R752" s="10">
        <f>IFERROR(IF(('Loading-truck'!$C$21)="No control",SUMIF(('Loading-truck'!$B$31:$B$48),$J752,('Loading-truck'!$D$31:$D$48))*Impacts!$F$14,IF(('Loading-truck'!$C$21)&lt;&gt;"No control",SUMIF(('Loading-truck'!$B$31:$B$48),$J752,('Loading-truck'!$E$31:$E$48))*Impacts!$F$14,0)),0)</f>
        <v>0</v>
      </c>
      <c r="S752" s="10">
        <f>IFERROR(IF(('Loading-rail'!$C$21)="No control",SUMIF(('Loading-rail'!$B$31:$B$48),$J752,('Loading-rail'!$D$31:$D$48))*Impacts!$F$15,IF(('Loading-rail'!$C$21)&lt;&gt;"No control",SUMIF(('Loading-rail'!$B$31:$B$48),$J752,('Loading-rail'!$E$31:$E$48))*Impacts!$F$15,0)),0)</f>
        <v>0</v>
      </c>
      <c r="T752" s="10">
        <f>IF(Flare!$C$7="",0,(SUMIF(Flare!$B$46:$B$185,$J752,Flare!$E$46:$E$185)*Impacts!$F$16))</f>
        <v>0</v>
      </c>
      <c r="U752" s="10">
        <f>IF(VCU!$C$9="",0,(SUMIF(VCU!$B$51:$B$193,$J752,VCU!$E$51:$E$193)*Impacts!$F$17))</f>
        <v>0</v>
      </c>
      <c r="V752" s="10">
        <f>IF(CAS!$C$7="",0,(SUMIF(CAS!$B$31:$B$167,$J752,CAS!$E$31:$E$167)*Impacts!$F$18))</f>
        <v>0</v>
      </c>
      <c r="W752" s="10">
        <f t="shared" si="53"/>
        <v>0</v>
      </c>
      <c r="AK752" s="10" t="str">
        <f t="array" ref="AK752">IFERROR(INDEX(SelectedSpecies,SMALL(IF(SelectedSpecies=AK$1,ROW(SelectedSpecies)),ROW(753:753)),2),"")</f>
        <v/>
      </c>
      <c r="BE752" s="10"/>
      <c r="BI752" s="10"/>
    </row>
    <row r="753" spans="1:61" ht="21" customHeight="1" x14ac:dyDescent="0.25">
      <c r="A753" s="10"/>
      <c r="B753" s="10"/>
      <c r="E753" s="10"/>
      <c r="G753" s="10"/>
      <c r="I753" s="436" t="s">
        <v>7430</v>
      </c>
      <c r="J753" s="26" t="s">
        <v>7429</v>
      </c>
      <c r="K753" s="10">
        <v>0.2</v>
      </c>
      <c r="L753" s="73">
        <f>IF(Tank1!$C$23="No control",(SUMIF(Tank1!$B$32:$B$49,$J753,Tank1!$C$32:$C$49)*Impacts!$F$8),0)</f>
        <v>0</v>
      </c>
      <c r="M753" s="10">
        <f>IF(Tank2!$C$23="No control",(SUMIF(Tank2!$B$32:$B$49,$J753,Tank2!$C$32:$C$49)*Impacts!$F$9),0)</f>
        <v>0</v>
      </c>
      <c r="N753" s="10">
        <f>IF(Tank3!$C$23="No control",(SUMIF(Tank3!$B$32:$B$49,$J753,Tank3!$C$32:$C$49)*Impacts!$F$10),0)</f>
        <v>0</v>
      </c>
      <c r="O753" s="10">
        <f>IF(Tank4!$C$23="No control",(SUMIF(Tank4!$B$32:$B$49,$J753,Tank4!$C$32:$C$49)*Impacts!$F$11),0)</f>
        <v>0</v>
      </c>
      <c r="P753" s="10">
        <f>IF(Tank5!$C$23="No control",(SUMIF(Tank5!$B$32:$B$49,$J753,Tank5!$C$32:$C$49)*Impacts!$F$12),0)</f>
        <v>0</v>
      </c>
      <c r="Q753" s="10">
        <f>IFERROR(IF(('Loading-drum,tote'!$C$21)="No control",SUMIF(('Loading-drum,tote'!$B$31:$B$48),$J753,('Loading-drum,tote'!$D$31:$D$48))*Impacts!$F$13,IF(('Loading-drum,tote'!$C$21)&lt;&gt;"No control",SUMIF(('Loading-drum,tote'!$B$31:$B$48),$J753,('Loading-drum,tote'!$E$31:$E$48))*Impacts!$F$13,0)),0)</f>
        <v>0</v>
      </c>
      <c r="R753" s="10">
        <f>IFERROR(IF(('Loading-truck'!$C$21)="No control",SUMIF(('Loading-truck'!$B$31:$B$48),$J753,('Loading-truck'!$D$31:$D$48))*Impacts!$F$14,IF(('Loading-truck'!$C$21)&lt;&gt;"No control",SUMIF(('Loading-truck'!$B$31:$B$48),$J753,('Loading-truck'!$E$31:$E$48))*Impacts!$F$14,0)),0)</f>
        <v>0</v>
      </c>
      <c r="S753" s="10">
        <f>IFERROR(IF(('Loading-rail'!$C$21)="No control",SUMIF(('Loading-rail'!$B$31:$B$48),$J753,('Loading-rail'!$D$31:$D$48))*Impacts!$F$15,IF(('Loading-rail'!$C$21)&lt;&gt;"No control",SUMIF(('Loading-rail'!$B$31:$B$48),$J753,('Loading-rail'!$E$31:$E$48))*Impacts!$F$15,0)),0)</f>
        <v>0</v>
      </c>
      <c r="T753" s="10">
        <f>IF(Flare!$C$7="",0,(SUMIF(Flare!$B$46:$B$185,$J753,Flare!$E$46:$E$185)*Impacts!$F$16))</f>
        <v>0</v>
      </c>
      <c r="U753" s="10">
        <f>IF(VCU!$C$9="",0,(SUMIF(VCU!$B$51:$B$193,$J753,VCU!$E$51:$E$193)*Impacts!$F$17))</f>
        <v>0</v>
      </c>
      <c r="V753" s="10">
        <f>IF(CAS!$C$7="",0,(SUMIF(CAS!$B$31:$B$167,$J753,CAS!$E$31:$E$167)*Impacts!$F$18))</f>
        <v>0</v>
      </c>
      <c r="W753" s="10">
        <f t="shared" si="53"/>
        <v>0</v>
      </c>
      <c r="AK753" s="10" t="str">
        <f t="array" ref="AK753">IFERROR(INDEX(SelectedSpecies,SMALL(IF(SelectedSpecies=AK$1,ROW(SelectedSpecies)),ROW(754:754)),2),"")</f>
        <v/>
      </c>
      <c r="BE753" s="10"/>
      <c r="BI753" s="10"/>
    </row>
    <row r="754" spans="1:61" ht="21" customHeight="1" x14ac:dyDescent="0.25">
      <c r="A754" s="10"/>
      <c r="B754" s="10"/>
      <c r="E754" s="10"/>
      <c r="G754" s="10"/>
      <c r="I754" s="436" t="s">
        <v>7432</v>
      </c>
      <c r="J754" s="26" t="s">
        <v>7431</v>
      </c>
      <c r="K754" s="10">
        <v>0.2</v>
      </c>
      <c r="L754" s="73">
        <f>IF(Tank1!$C$23="No control",(SUMIF(Tank1!$B$32:$B$49,$J754,Tank1!$C$32:$C$49)*Impacts!$F$8),0)</f>
        <v>0</v>
      </c>
      <c r="M754" s="10">
        <f>IF(Tank2!$C$23="No control",(SUMIF(Tank2!$B$32:$B$49,$J754,Tank2!$C$32:$C$49)*Impacts!$F$9),0)</f>
        <v>0</v>
      </c>
      <c r="N754" s="10">
        <f>IF(Tank3!$C$23="No control",(SUMIF(Tank3!$B$32:$B$49,$J754,Tank3!$C$32:$C$49)*Impacts!$F$10),0)</f>
        <v>0</v>
      </c>
      <c r="O754" s="10">
        <f>IF(Tank4!$C$23="No control",(SUMIF(Tank4!$B$32:$B$49,$J754,Tank4!$C$32:$C$49)*Impacts!$F$11),0)</f>
        <v>0</v>
      </c>
      <c r="P754" s="10">
        <f>IF(Tank5!$C$23="No control",(SUMIF(Tank5!$B$32:$B$49,$J754,Tank5!$C$32:$C$49)*Impacts!$F$12),0)</f>
        <v>0</v>
      </c>
      <c r="Q754" s="10">
        <f>IFERROR(IF(('Loading-drum,tote'!$C$21)="No control",SUMIF(('Loading-drum,tote'!$B$31:$B$48),$J754,('Loading-drum,tote'!$D$31:$D$48))*Impacts!$F$13,IF(('Loading-drum,tote'!$C$21)&lt;&gt;"No control",SUMIF(('Loading-drum,tote'!$B$31:$B$48),$J754,('Loading-drum,tote'!$E$31:$E$48))*Impacts!$F$13,0)),0)</f>
        <v>0</v>
      </c>
      <c r="R754" s="10">
        <f>IFERROR(IF(('Loading-truck'!$C$21)="No control",SUMIF(('Loading-truck'!$B$31:$B$48),$J754,('Loading-truck'!$D$31:$D$48))*Impacts!$F$14,IF(('Loading-truck'!$C$21)&lt;&gt;"No control",SUMIF(('Loading-truck'!$B$31:$B$48),$J754,('Loading-truck'!$E$31:$E$48))*Impacts!$F$14,0)),0)</f>
        <v>0</v>
      </c>
      <c r="S754" s="10">
        <f>IFERROR(IF(('Loading-rail'!$C$21)="No control",SUMIF(('Loading-rail'!$B$31:$B$48),$J754,('Loading-rail'!$D$31:$D$48))*Impacts!$F$15,IF(('Loading-rail'!$C$21)&lt;&gt;"No control",SUMIF(('Loading-rail'!$B$31:$B$48),$J754,('Loading-rail'!$E$31:$E$48))*Impacts!$F$15,0)),0)</f>
        <v>0</v>
      </c>
      <c r="T754" s="10">
        <f>IF(Flare!$C$7="",0,(SUMIF(Flare!$B$46:$B$185,$J754,Flare!$E$46:$E$185)*Impacts!$F$16))</f>
        <v>0</v>
      </c>
      <c r="U754" s="10">
        <f>IF(VCU!$C$9="",0,(SUMIF(VCU!$B$51:$B$193,$J754,VCU!$E$51:$E$193)*Impacts!$F$17))</f>
        <v>0</v>
      </c>
      <c r="V754" s="10">
        <f>IF(CAS!$C$7="",0,(SUMIF(CAS!$B$31:$B$167,$J754,CAS!$E$31:$E$167)*Impacts!$F$18))</f>
        <v>0</v>
      </c>
      <c r="W754" s="10">
        <f t="shared" si="53"/>
        <v>0</v>
      </c>
      <c r="AK754" s="10" t="str">
        <f t="array" ref="AK754">IFERROR(INDEX(SelectedSpecies,SMALL(IF(SelectedSpecies=AK$1,ROW(SelectedSpecies)),ROW(755:755)),2),"")</f>
        <v/>
      </c>
      <c r="BE754" s="10"/>
      <c r="BI754" s="10"/>
    </row>
    <row r="755" spans="1:61" ht="21" customHeight="1" x14ac:dyDescent="0.25">
      <c r="A755" s="10"/>
      <c r="B755" s="10"/>
      <c r="E755" s="10"/>
      <c r="G755" s="10"/>
      <c r="I755" s="436" t="s">
        <v>4537</v>
      </c>
      <c r="J755" s="26" t="s">
        <v>4536</v>
      </c>
      <c r="K755" s="10">
        <v>4</v>
      </c>
      <c r="L755" s="73">
        <f>IF(Tank1!$C$23="No control",(SUMIF(Tank1!$B$32:$B$49,$J755,Tank1!$C$32:$C$49)*Impacts!$F$8),0)</f>
        <v>0</v>
      </c>
      <c r="M755" s="10">
        <f>IF(Tank2!$C$23="No control",(SUMIF(Tank2!$B$32:$B$49,$J755,Tank2!$C$32:$C$49)*Impacts!$F$9),0)</f>
        <v>0</v>
      </c>
      <c r="N755" s="10">
        <f>IF(Tank3!$C$23="No control",(SUMIF(Tank3!$B$32:$B$49,$J755,Tank3!$C$32:$C$49)*Impacts!$F$10),0)</f>
        <v>0</v>
      </c>
      <c r="O755" s="10">
        <f>IF(Tank4!$C$23="No control",(SUMIF(Tank4!$B$32:$B$49,$J755,Tank4!$C$32:$C$49)*Impacts!$F$11),0)</f>
        <v>0</v>
      </c>
      <c r="P755" s="10">
        <f>IF(Tank5!$C$23="No control",(SUMIF(Tank5!$B$32:$B$49,$J755,Tank5!$C$32:$C$49)*Impacts!$F$12),0)</f>
        <v>0</v>
      </c>
      <c r="Q755" s="10">
        <f>IFERROR(IF(('Loading-drum,tote'!$C$21)="No control",SUMIF(('Loading-drum,tote'!$B$31:$B$48),$J755,('Loading-drum,tote'!$D$31:$D$48))*Impacts!$F$13,IF(('Loading-drum,tote'!$C$21)&lt;&gt;"No control",SUMIF(('Loading-drum,tote'!$B$31:$B$48),$J755,('Loading-drum,tote'!$E$31:$E$48))*Impacts!$F$13,0)),0)</f>
        <v>0</v>
      </c>
      <c r="R755" s="10">
        <f>IFERROR(IF(('Loading-truck'!$C$21)="No control",SUMIF(('Loading-truck'!$B$31:$B$48),$J755,('Loading-truck'!$D$31:$D$48))*Impacts!$F$14,IF(('Loading-truck'!$C$21)&lt;&gt;"No control",SUMIF(('Loading-truck'!$B$31:$B$48),$J755,('Loading-truck'!$E$31:$E$48))*Impacts!$F$14,0)),0)</f>
        <v>0</v>
      </c>
      <c r="S755" s="10">
        <f>IFERROR(IF(('Loading-rail'!$C$21)="No control",SUMIF(('Loading-rail'!$B$31:$B$48),$J755,('Loading-rail'!$D$31:$D$48))*Impacts!$F$15,IF(('Loading-rail'!$C$21)&lt;&gt;"No control",SUMIF(('Loading-rail'!$B$31:$B$48),$J755,('Loading-rail'!$E$31:$E$48))*Impacts!$F$15,0)),0)</f>
        <v>0</v>
      </c>
      <c r="T755" s="10">
        <f>IF(Flare!$C$7="",0,(SUMIF(Flare!$B$46:$B$185,$J755,Flare!$E$46:$E$185)*Impacts!$F$16))</f>
        <v>0</v>
      </c>
      <c r="U755" s="10">
        <f>IF(VCU!$C$9="",0,(SUMIF(VCU!$B$51:$B$193,$J755,VCU!$E$51:$E$193)*Impacts!$F$17))</f>
        <v>0</v>
      </c>
      <c r="V755" s="10">
        <f>IF(CAS!$C$7="",0,(SUMIF(CAS!$B$31:$B$167,$J755,CAS!$E$31:$E$167)*Impacts!$F$18))</f>
        <v>0</v>
      </c>
      <c r="W755" s="10">
        <f t="shared" si="53"/>
        <v>0</v>
      </c>
      <c r="AK755" s="10" t="str">
        <f t="array" ref="AK755">IFERROR(INDEX(SelectedSpecies,SMALL(IF(SelectedSpecies=AK$1,ROW(SelectedSpecies)),ROW(756:756)),2),"")</f>
        <v/>
      </c>
      <c r="BE755" s="10"/>
      <c r="BI755" s="10"/>
    </row>
    <row r="756" spans="1:61" ht="21" customHeight="1" x14ac:dyDescent="0.25">
      <c r="A756" s="10"/>
      <c r="B756" s="10"/>
      <c r="E756" s="10"/>
      <c r="G756" s="10"/>
      <c r="I756" s="436" t="s">
        <v>2433</v>
      </c>
      <c r="J756" s="26" t="s">
        <v>2432</v>
      </c>
      <c r="K756" s="10">
        <v>10</v>
      </c>
      <c r="L756" s="73">
        <f>IF(Tank1!$C$23="No control",(SUMIF(Tank1!$B$32:$B$49,$J756,Tank1!$C$32:$C$49)*Impacts!$F$8),0)</f>
        <v>0</v>
      </c>
      <c r="M756" s="10">
        <f>IF(Tank2!$C$23="No control",(SUMIF(Tank2!$B$32:$B$49,$J756,Tank2!$C$32:$C$49)*Impacts!$F$9),0)</f>
        <v>0</v>
      </c>
      <c r="N756" s="10">
        <f>IF(Tank3!$C$23="No control",(SUMIF(Tank3!$B$32:$B$49,$J756,Tank3!$C$32:$C$49)*Impacts!$F$10),0)</f>
        <v>0</v>
      </c>
      <c r="O756" s="10">
        <f>IF(Tank4!$C$23="No control",(SUMIF(Tank4!$B$32:$B$49,$J756,Tank4!$C$32:$C$49)*Impacts!$F$11),0)</f>
        <v>0</v>
      </c>
      <c r="P756" s="10">
        <f>IF(Tank5!$C$23="No control",(SUMIF(Tank5!$B$32:$B$49,$J756,Tank5!$C$32:$C$49)*Impacts!$F$12),0)</f>
        <v>0</v>
      </c>
      <c r="Q756" s="10">
        <f>IFERROR(IF(('Loading-drum,tote'!$C$21)="No control",SUMIF(('Loading-drum,tote'!$B$31:$B$48),$J756,('Loading-drum,tote'!$D$31:$D$48))*Impacts!$F$13,IF(('Loading-drum,tote'!$C$21)&lt;&gt;"No control",SUMIF(('Loading-drum,tote'!$B$31:$B$48),$J756,('Loading-drum,tote'!$E$31:$E$48))*Impacts!$F$13,0)),0)</f>
        <v>0</v>
      </c>
      <c r="R756" s="10">
        <f>IFERROR(IF(('Loading-truck'!$C$21)="No control",SUMIF(('Loading-truck'!$B$31:$B$48),$J756,('Loading-truck'!$D$31:$D$48))*Impacts!$F$14,IF(('Loading-truck'!$C$21)&lt;&gt;"No control",SUMIF(('Loading-truck'!$B$31:$B$48),$J756,('Loading-truck'!$E$31:$E$48))*Impacts!$F$14,0)),0)</f>
        <v>0</v>
      </c>
      <c r="S756" s="10">
        <f>IFERROR(IF(('Loading-rail'!$C$21)="No control",SUMIF(('Loading-rail'!$B$31:$B$48),$J756,('Loading-rail'!$D$31:$D$48))*Impacts!$F$15,IF(('Loading-rail'!$C$21)&lt;&gt;"No control",SUMIF(('Loading-rail'!$B$31:$B$48),$J756,('Loading-rail'!$E$31:$E$48))*Impacts!$F$15,0)),0)</f>
        <v>0</v>
      </c>
      <c r="T756" s="10">
        <f>IF(Flare!$C$7="",0,(SUMIF(Flare!$B$46:$B$185,$J756,Flare!$E$46:$E$185)*Impacts!$F$16))</f>
        <v>0</v>
      </c>
      <c r="U756" s="10">
        <f>IF(VCU!$C$9="",0,(SUMIF(VCU!$B$51:$B$193,$J756,VCU!$E$51:$E$193)*Impacts!$F$17))</f>
        <v>0</v>
      </c>
      <c r="V756" s="10">
        <f>IF(CAS!$C$7="",0,(SUMIF(CAS!$B$31:$B$167,$J756,CAS!$E$31:$E$167)*Impacts!$F$18))</f>
        <v>0</v>
      </c>
      <c r="W756" s="10">
        <f t="shared" si="53"/>
        <v>0</v>
      </c>
      <c r="AK756" s="10" t="str">
        <f t="array" ref="AK756">IFERROR(INDEX(SelectedSpecies,SMALL(IF(SelectedSpecies=AK$1,ROW(SelectedSpecies)),ROW(757:757)),2),"")</f>
        <v/>
      </c>
      <c r="BE756" s="10"/>
      <c r="BI756" s="10"/>
    </row>
    <row r="757" spans="1:61" ht="21" customHeight="1" x14ac:dyDescent="0.25">
      <c r="A757" s="10"/>
      <c r="B757" s="10"/>
      <c r="E757" s="10"/>
      <c r="G757" s="10"/>
      <c r="I757" s="436" t="s">
        <v>2435</v>
      </c>
      <c r="J757" s="26" t="s">
        <v>2434</v>
      </c>
      <c r="K757" s="10">
        <v>10</v>
      </c>
      <c r="L757" s="73">
        <f>IF(Tank1!$C$23="No control",(SUMIF(Tank1!$B$32:$B$49,$J757,Tank1!$C$32:$C$49)*Impacts!$F$8),0)</f>
        <v>0</v>
      </c>
      <c r="M757" s="10">
        <f>IF(Tank2!$C$23="No control",(SUMIF(Tank2!$B$32:$B$49,$J757,Tank2!$C$32:$C$49)*Impacts!$F$9),0)</f>
        <v>0</v>
      </c>
      <c r="N757" s="10">
        <f>IF(Tank3!$C$23="No control",(SUMIF(Tank3!$B$32:$B$49,$J757,Tank3!$C$32:$C$49)*Impacts!$F$10),0)</f>
        <v>0</v>
      </c>
      <c r="O757" s="10">
        <f>IF(Tank4!$C$23="No control",(SUMIF(Tank4!$B$32:$B$49,$J757,Tank4!$C$32:$C$49)*Impacts!$F$11),0)</f>
        <v>0</v>
      </c>
      <c r="P757" s="10">
        <f>IF(Tank5!$C$23="No control",(SUMIF(Tank5!$B$32:$B$49,$J757,Tank5!$C$32:$C$49)*Impacts!$F$12),0)</f>
        <v>0</v>
      </c>
      <c r="Q757" s="10">
        <f>IFERROR(IF(('Loading-drum,tote'!$C$21)="No control",SUMIF(('Loading-drum,tote'!$B$31:$B$48),$J757,('Loading-drum,tote'!$D$31:$D$48))*Impacts!$F$13,IF(('Loading-drum,tote'!$C$21)&lt;&gt;"No control",SUMIF(('Loading-drum,tote'!$B$31:$B$48),$J757,('Loading-drum,tote'!$E$31:$E$48))*Impacts!$F$13,0)),0)</f>
        <v>0</v>
      </c>
      <c r="R757" s="10">
        <f>IFERROR(IF(('Loading-truck'!$C$21)="No control",SUMIF(('Loading-truck'!$B$31:$B$48),$J757,('Loading-truck'!$D$31:$D$48))*Impacts!$F$14,IF(('Loading-truck'!$C$21)&lt;&gt;"No control",SUMIF(('Loading-truck'!$B$31:$B$48),$J757,('Loading-truck'!$E$31:$E$48))*Impacts!$F$14,0)),0)</f>
        <v>0</v>
      </c>
      <c r="S757" s="10">
        <f>IFERROR(IF(('Loading-rail'!$C$21)="No control",SUMIF(('Loading-rail'!$B$31:$B$48),$J757,('Loading-rail'!$D$31:$D$48))*Impacts!$F$15,IF(('Loading-rail'!$C$21)&lt;&gt;"No control",SUMIF(('Loading-rail'!$B$31:$B$48),$J757,('Loading-rail'!$E$31:$E$48))*Impacts!$F$15,0)),0)</f>
        <v>0</v>
      </c>
      <c r="T757" s="10">
        <f>IF(Flare!$C$7="",0,(SUMIF(Flare!$B$46:$B$185,$J757,Flare!$E$46:$E$185)*Impacts!$F$16))</f>
        <v>0</v>
      </c>
      <c r="U757" s="10">
        <f>IF(VCU!$C$9="",0,(SUMIF(VCU!$B$51:$B$193,$J757,VCU!$E$51:$E$193)*Impacts!$F$17))</f>
        <v>0</v>
      </c>
      <c r="V757" s="10">
        <f>IF(CAS!$C$7="",0,(SUMIF(CAS!$B$31:$B$167,$J757,CAS!$E$31:$E$167)*Impacts!$F$18))</f>
        <v>0</v>
      </c>
      <c r="W757" s="10">
        <f t="shared" si="53"/>
        <v>0</v>
      </c>
      <c r="AK757" s="10" t="str">
        <f t="array" ref="AK757">IFERROR(INDEX(SelectedSpecies,SMALL(IF(SelectedSpecies=AK$1,ROW(SelectedSpecies)),ROW(758:758)),2),"")</f>
        <v/>
      </c>
      <c r="BE757" s="10"/>
      <c r="BI757" s="10"/>
    </row>
    <row r="758" spans="1:61" ht="21" customHeight="1" x14ac:dyDescent="0.25">
      <c r="A758" s="10"/>
      <c r="B758" s="10"/>
      <c r="E758" s="10"/>
      <c r="G758" s="10"/>
      <c r="I758" s="436" t="s">
        <v>1636</v>
      </c>
      <c r="J758" s="26" t="s">
        <v>1635</v>
      </c>
      <c r="K758" s="10">
        <v>25</v>
      </c>
      <c r="L758" s="73">
        <f>IF(Tank1!$C$23="No control",(SUMIF(Tank1!$B$32:$B$49,$J758,Tank1!$C$32:$C$49)*Impacts!$F$8),0)</f>
        <v>0</v>
      </c>
      <c r="M758" s="10">
        <f>IF(Tank2!$C$23="No control",(SUMIF(Tank2!$B$32:$B$49,$J758,Tank2!$C$32:$C$49)*Impacts!$F$9),0)</f>
        <v>0</v>
      </c>
      <c r="N758" s="10">
        <f>IF(Tank3!$C$23="No control",(SUMIF(Tank3!$B$32:$B$49,$J758,Tank3!$C$32:$C$49)*Impacts!$F$10),0)</f>
        <v>0</v>
      </c>
      <c r="O758" s="10">
        <f>IF(Tank4!$C$23="No control",(SUMIF(Tank4!$B$32:$B$49,$J758,Tank4!$C$32:$C$49)*Impacts!$F$11),0)</f>
        <v>0</v>
      </c>
      <c r="P758" s="10">
        <f>IF(Tank5!$C$23="No control",(SUMIF(Tank5!$B$32:$B$49,$J758,Tank5!$C$32:$C$49)*Impacts!$F$12),0)</f>
        <v>0</v>
      </c>
      <c r="Q758" s="10">
        <f>IFERROR(IF(('Loading-drum,tote'!$C$21)="No control",SUMIF(('Loading-drum,tote'!$B$31:$B$48),$J758,('Loading-drum,tote'!$D$31:$D$48))*Impacts!$F$13,IF(('Loading-drum,tote'!$C$21)&lt;&gt;"No control",SUMIF(('Loading-drum,tote'!$B$31:$B$48),$J758,('Loading-drum,tote'!$E$31:$E$48))*Impacts!$F$13,0)),0)</f>
        <v>0</v>
      </c>
      <c r="R758" s="10">
        <f>IFERROR(IF(('Loading-truck'!$C$21)="No control",SUMIF(('Loading-truck'!$B$31:$B$48),$J758,('Loading-truck'!$D$31:$D$48))*Impacts!$F$14,IF(('Loading-truck'!$C$21)&lt;&gt;"No control",SUMIF(('Loading-truck'!$B$31:$B$48),$J758,('Loading-truck'!$E$31:$E$48))*Impacts!$F$14,0)),0)</f>
        <v>0</v>
      </c>
      <c r="S758" s="10">
        <f>IFERROR(IF(('Loading-rail'!$C$21)="No control",SUMIF(('Loading-rail'!$B$31:$B$48),$J758,('Loading-rail'!$D$31:$D$48))*Impacts!$F$15,IF(('Loading-rail'!$C$21)&lt;&gt;"No control",SUMIF(('Loading-rail'!$B$31:$B$48),$J758,('Loading-rail'!$E$31:$E$48))*Impacts!$F$15,0)),0)</f>
        <v>0</v>
      </c>
      <c r="T758" s="10">
        <f>IF(Flare!$C$7="",0,(SUMIF(Flare!$B$46:$B$185,$J758,Flare!$E$46:$E$185)*Impacts!$F$16))</f>
        <v>0</v>
      </c>
      <c r="U758" s="10">
        <f>IF(VCU!$C$9="",0,(SUMIF(VCU!$B$51:$B$193,$J758,VCU!$E$51:$E$193)*Impacts!$F$17))</f>
        <v>0</v>
      </c>
      <c r="V758" s="10">
        <f>IF(CAS!$C$7="",0,(SUMIF(CAS!$B$31:$B$167,$J758,CAS!$E$31:$E$167)*Impacts!$F$18))</f>
        <v>0</v>
      </c>
      <c r="W758" s="10">
        <f t="shared" si="53"/>
        <v>0</v>
      </c>
      <c r="AK758" s="10" t="str">
        <f t="array" ref="AK758">IFERROR(INDEX(SelectedSpecies,SMALL(IF(SelectedSpecies=AK$1,ROW(SelectedSpecies)),ROW(759:759)),2),"")</f>
        <v/>
      </c>
      <c r="BE758" s="10"/>
      <c r="BI758" s="10"/>
    </row>
    <row r="759" spans="1:61" ht="21" customHeight="1" x14ac:dyDescent="0.25">
      <c r="A759" s="10"/>
      <c r="B759" s="10"/>
      <c r="E759" s="10"/>
      <c r="G759" s="10"/>
      <c r="I759" s="436" t="s">
        <v>7324</v>
      </c>
      <c r="J759" s="26" t="s">
        <v>7323</v>
      </c>
      <c r="K759" s="10">
        <v>0.27</v>
      </c>
      <c r="L759" s="73">
        <f>IF(Tank1!$C$23="No control",(SUMIF(Tank1!$B$32:$B$49,$J759,Tank1!$C$32:$C$49)*Impacts!$F$8),0)</f>
        <v>0</v>
      </c>
      <c r="M759" s="10">
        <f>IF(Tank2!$C$23="No control",(SUMIF(Tank2!$B$32:$B$49,$J759,Tank2!$C$32:$C$49)*Impacts!$F$9),0)</f>
        <v>0</v>
      </c>
      <c r="N759" s="10">
        <f>IF(Tank3!$C$23="No control",(SUMIF(Tank3!$B$32:$B$49,$J759,Tank3!$C$32:$C$49)*Impacts!$F$10),0)</f>
        <v>0</v>
      </c>
      <c r="O759" s="10">
        <f>IF(Tank4!$C$23="No control",(SUMIF(Tank4!$B$32:$B$49,$J759,Tank4!$C$32:$C$49)*Impacts!$F$11),0)</f>
        <v>0</v>
      </c>
      <c r="P759" s="10">
        <f>IF(Tank5!$C$23="No control",(SUMIF(Tank5!$B$32:$B$49,$J759,Tank5!$C$32:$C$49)*Impacts!$F$12),0)</f>
        <v>0</v>
      </c>
      <c r="Q759" s="10">
        <f>IFERROR(IF(('Loading-drum,tote'!$C$21)="No control",SUMIF(('Loading-drum,tote'!$B$31:$B$48),$J759,('Loading-drum,tote'!$D$31:$D$48))*Impacts!$F$13,IF(('Loading-drum,tote'!$C$21)&lt;&gt;"No control",SUMIF(('Loading-drum,tote'!$B$31:$B$48),$J759,('Loading-drum,tote'!$E$31:$E$48))*Impacts!$F$13,0)),0)</f>
        <v>0</v>
      </c>
      <c r="R759" s="10">
        <f>IFERROR(IF(('Loading-truck'!$C$21)="No control",SUMIF(('Loading-truck'!$B$31:$B$48),$J759,('Loading-truck'!$D$31:$D$48))*Impacts!$F$14,IF(('Loading-truck'!$C$21)&lt;&gt;"No control",SUMIF(('Loading-truck'!$B$31:$B$48),$J759,('Loading-truck'!$E$31:$E$48))*Impacts!$F$14,0)),0)</f>
        <v>0</v>
      </c>
      <c r="S759" s="10">
        <f>IFERROR(IF(('Loading-rail'!$C$21)="No control",SUMIF(('Loading-rail'!$B$31:$B$48),$J759,('Loading-rail'!$D$31:$D$48))*Impacts!$F$15,IF(('Loading-rail'!$C$21)&lt;&gt;"No control",SUMIF(('Loading-rail'!$B$31:$B$48),$J759,('Loading-rail'!$E$31:$E$48))*Impacts!$F$15,0)),0)</f>
        <v>0</v>
      </c>
      <c r="T759" s="10">
        <f>IF(Flare!$C$7="",0,(SUMIF(Flare!$B$46:$B$185,$J759,Flare!$E$46:$E$185)*Impacts!$F$16))</f>
        <v>0</v>
      </c>
      <c r="U759" s="10">
        <f>IF(VCU!$C$9="",0,(SUMIF(VCU!$B$51:$B$193,$J759,VCU!$E$51:$E$193)*Impacts!$F$17))</f>
        <v>0</v>
      </c>
      <c r="V759" s="10">
        <f>IF(CAS!$C$7="",0,(SUMIF(CAS!$B$31:$B$167,$J759,CAS!$E$31:$E$167)*Impacts!$F$18))</f>
        <v>0</v>
      </c>
      <c r="W759" s="10">
        <f t="shared" si="53"/>
        <v>0</v>
      </c>
      <c r="AK759" s="10" t="str">
        <f t="array" ref="AK759">IFERROR(INDEX(SelectedSpecies,SMALL(IF(SelectedSpecies=AK$1,ROW(SelectedSpecies)),ROW(760:760)),2),"")</f>
        <v/>
      </c>
      <c r="BE759" s="10"/>
      <c r="BI759" s="10"/>
    </row>
    <row r="760" spans="1:61" ht="21" customHeight="1" x14ac:dyDescent="0.25">
      <c r="A760" s="10"/>
      <c r="B760" s="10"/>
      <c r="E760" s="10"/>
      <c r="G760" s="10"/>
      <c r="I760" s="436" t="s">
        <v>5341</v>
      </c>
      <c r="J760" s="26" t="s">
        <v>5340</v>
      </c>
      <c r="K760" s="10">
        <v>1.6</v>
      </c>
      <c r="L760" s="73">
        <f>IF(Tank1!$C$23="No control",(SUMIF(Tank1!$B$32:$B$49,$J760,Tank1!$C$32:$C$49)*Impacts!$F$8),0)</f>
        <v>0</v>
      </c>
      <c r="M760" s="10">
        <f>IF(Tank2!$C$23="No control",(SUMIF(Tank2!$B$32:$B$49,$J760,Tank2!$C$32:$C$49)*Impacts!$F$9),0)</f>
        <v>0</v>
      </c>
      <c r="N760" s="10">
        <f>IF(Tank3!$C$23="No control",(SUMIF(Tank3!$B$32:$B$49,$J760,Tank3!$C$32:$C$49)*Impacts!$F$10),0)</f>
        <v>0</v>
      </c>
      <c r="O760" s="10">
        <f>IF(Tank4!$C$23="No control",(SUMIF(Tank4!$B$32:$B$49,$J760,Tank4!$C$32:$C$49)*Impacts!$F$11),0)</f>
        <v>0</v>
      </c>
      <c r="P760" s="10">
        <f>IF(Tank5!$C$23="No control",(SUMIF(Tank5!$B$32:$B$49,$J760,Tank5!$C$32:$C$49)*Impacts!$F$12),0)</f>
        <v>0</v>
      </c>
      <c r="Q760" s="10">
        <f>IFERROR(IF(('Loading-drum,tote'!$C$21)="No control",SUMIF(('Loading-drum,tote'!$B$31:$B$48),$J760,('Loading-drum,tote'!$D$31:$D$48))*Impacts!$F$13,IF(('Loading-drum,tote'!$C$21)&lt;&gt;"No control",SUMIF(('Loading-drum,tote'!$B$31:$B$48),$J760,('Loading-drum,tote'!$E$31:$E$48))*Impacts!$F$13,0)),0)</f>
        <v>0</v>
      </c>
      <c r="R760" s="10">
        <f>IFERROR(IF(('Loading-truck'!$C$21)="No control",SUMIF(('Loading-truck'!$B$31:$B$48),$J760,('Loading-truck'!$D$31:$D$48))*Impacts!$F$14,IF(('Loading-truck'!$C$21)&lt;&gt;"No control",SUMIF(('Loading-truck'!$B$31:$B$48),$J760,('Loading-truck'!$E$31:$E$48))*Impacts!$F$14,0)),0)</f>
        <v>0</v>
      </c>
      <c r="S760" s="10">
        <f>IFERROR(IF(('Loading-rail'!$C$21)="No control",SUMIF(('Loading-rail'!$B$31:$B$48),$J760,('Loading-rail'!$D$31:$D$48))*Impacts!$F$15,IF(('Loading-rail'!$C$21)&lt;&gt;"No control",SUMIF(('Loading-rail'!$B$31:$B$48),$J760,('Loading-rail'!$E$31:$E$48))*Impacts!$F$15,0)),0)</f>
        <v>0</v>
      </c>
      <c r="T760" s="10">
        <f>IF(Flare!$C$7="",0,(SUMIF(Flare!$B$46:$B$185,$J760,Flare!$E$46:$E$185)*Impacts!$F$16))</f>
        <v>0</v>
      </c>
      <c r="U760" s="10">
        <f>IF(VCU!$C$9="",0,(SUMIF(VCU!$B$51:$B$193,$J760,VCU!$E$51:$E$193)*Impacts!$F$17))</f>
        <v>0</v>
      </c>
      <c r="V760" s="10">
        <f>IF(CAS!$C$7="",0,(SUMIF(CAS!$B$31:$B$167,$J760,CAS!$E$31:$E$167)*Impacts!$F$18))</f>
        <v>0</v>
      </c>
      <c r="W760" s="10">
        <f t="shared" si="53"/>
        <v>0</v>
      </c>
      <c r="AK760" s="10" t="str">
        <f t="array" ref="AK760">IFERROR(INDEX(SelectedSpecies,SMALL(IF(SelectedSpecies=AK$1,ROW(SelectedSpecies)),ROW(761:761)),2),"")</f>
        <v/>
      </c>
      <c r="BE760" s="10"/>
      <c r="BI760" s="10"/>
    </row>
    <row r="761" spans="1:61" ht="21" customHeight="1" x14ac:dyDescent="0.25">
      <c r="A761" s="10"/>
      <c r="B761" s="10"/>
      <c r="E761" s="10"/>
      <c r="G761" s="10"/>
      <c r="I761" s="436" t="s">
        <v>6758</v>
      </c>
      <c r="J761" s="26" t="s">
        <v>6757</v>
      </c>
      <c r="K761" s="10">
        <v>0.5</v>
      </c>
      <c r="L761" s="73">
        <f>IF(Tank1!$C$23="No control",(SUMIF(Tank1!$B$32:$B$49,$J761,Tank1!$C$32:$C$49)*Impacts!$F$8),0)</f>
        <v>0</v>
      </c>
      <c r="M761" s="10">
        <f>IF(Tank2!$C$23="No control",(SUMIF(Tank2!$B$32:$B$49,$J761,Tank2!$C$32:$C$49)*Impacts!$F$9),0)</f>
        <v>0</v>
      </c>
      <c r="N761" s="10">
        <f>IF(Tank3!$C$23="No control",(SUMIF(Tank3!$B$32:$B$49,$J761,Tank3!$C$32:$C$49)*Impacts!$F$10),0)</f>
        <v>0</v>
      </c>
      <c r="O761" s="10">
        <f>IF(Tank4!$C$23="No control",(SUMIF(Tank4!$B$32:$B$49,$J761,Tank4!$C$32:$C$49)*Impacts!$F$11),0)</f>
        <v>0</v>
      </c>
      <c r="P761" s="10">
        <f>IF(Tank5!$C$23="No control",(SUMIF(Tank5!$B$32:$B$49,$J761,Tank5!$C$32:$C$49)*Impacts!$F$12),0)</f>
        <v>0</v>
      </c>
      <c r="Q761" s="10">
        <f>IFERROR(IF(('Loading-drum,tote'!$C$21)="No control",SUMIF(('Loading-drum,tote'!$B$31:$B$48),$J761,('Loading-drum,tote'!$D$31:$D$48))*Impacts!$F$13,IF(('Loading-drum,tote'!$C$21)&lt;&gt;"No control",SUMIF(('Loading-drum,tote'!$B$31:$B$48),$J761,('Loading-drum,tote'!$E$31:$E$48))*Impacts!$F$13,0)),0)</f>
        <v>0</v>
      </c>
      <c r="R761" s="10">
        <f>IFERROR(IF(('Loading-truck'!$C$21)="No control",SUMIF(('Loading-truck'!$B$31:$B$48),$J761,('Loading-truck'!$D$31:$D$48))*Impacts!$F$14,IF(('Loading-truck'!$C$21)&lt;&gt;"No control",SUMIF(('Loading-truck'!$B$31:$B$48),$J761,('Loading-truck'!$E$31:$E$48))*Impacts!$F$14,0)),0)</f>
        <v>0</v>
      </c>
      <c r="S761" s="10">
        <f>IFERROR(IF(('Loading-rail'!$C$21)="No control",SUMIF(('Loading-rail'!$B$31:$B$48),$J761,('Loading-rail'!$D$31:$D$48))*Impacts!$F$15,IF(('Loading-rail'!$C$21)&lt;&gt;"No control",SUMIF(('Loading-rail'!$B$31:$B$48),$J761,('Loading-rail'!$E$31:$E$48))*Impacts!$F$15,0)),0)</f>
        <v>0</v>
      </c>
      <c r="T761" s="10">
        <f>IF(Flare!$C$7="",0,(SUMIF(Flare!$B$46:$B$185,$J761,Flare!$E$46:$E$185)*Impacts!$F$16))</f>
        <v>0</v>
      </c>
      <c r="U761" s="10">
        <f>IF(VCU!$C$9="",0,(SUMIF(VCU!$B$51:$B$193,$J761,VCU!$E$51:$E$193)*Impacts!$F$17))</f>
        <v>0</v>
      </c>
      <c r="V761" s="10">
        <f>IF(CAS!$C$7="",0,(SUMIF(CAS!$B$31:$B$167,$J761,CAS!$E$31:$E$167)*Impacts!$F$18))</f>
        <v>0</v>
      </c>
      <c r="W761" s="10">
        <f t="shared" si="53"/>
        <v>0</v>
      </c>
      <c r="AK761" s="10" t="str">
        <f t="array" ref="AK761">IFERROR(INDEX(SelectedSpecies,SMALL(IF(SelectedSpecies=AK$1,ROW(SelectedSpecies)),ROW(762:762)),2),"")</f>
        <v/>
      </c>
      <c r="BE761" s="10"/>
      <c r="BI761" s="10"/>
    </row>
    <row r="762" spans="1:61" ht="21" customHeight="1" x14ac:dyDescent="0.25">
      <c r="A762" s="10"/>
      <c r="B762" s="10"/>
      <c r="E762" s="10"/>
      <c r="G762" s="10"/>
      <c r="I762" s="436" t="s">
        <v>3773</v>
      </c>
      <c r="J762" s="26" t="s">
        <v>3772</v>
      </c>
      <c r="K762" s="10">
        <v>6</v>
      </c>
      <c r="L762" s="73">
        <f>IF(Tank1!$C$23="No control",(SUMIF(Tank1!$B$32:$B$49,$J762,Tank1!$C$32:$C$49)*Impacts!$F$8),0)</f>
        <v>0</v>
      </c>
      <c r="M762" s="10">
        <f>IF(Tank2!$C$23="No control",(SUMIF(Tank2!$B$32:$B$49,$J762,Tank2!$C$32:$C$49)*Impacts!$F$9),0)</f>
        <v>0</v>
      </c>
      <c r="N762" s="10">
        <f>IF(Tank3!$C$23="No control",(SUMIF(Tank3!$B$32:$B$49,$J762,Tank3!$C$32:$C$49)*Impacts!$F$10),0)</f>
        <v>0</v>
      </c>
      <c r="O762" s="10">
        <f>IF(Tank4!$C$23="No control",(SUMIF(Tank4!$B$32:$B$49,$J762,Tank4!$C$32:$C$49)*Impacts!$F$11),0)</f>
        <v>0</v>
      </c>
      <c r="P762" s="10">
        <f>IF(Tank5!$C$23="No control",(SUMIF(Tank5!$B$32:$B$49,$J762,Tank5!$C$32:$C$49)*Impacts!$F$12),0)</f>
        <v>0</v>
      </c>
      <c r="Q762" s="10">
        <f>IFERROR(IF(('Loading-drum,tote'!$C$21)="No control",SUMIF(('Loading-drum,tote'!$B$31:$B$48),$J762,('Loading-drum,tote'!$D$31:$D$48))*Impacts!$F$13,IF(('Loading-drum,tote'!$C$21)&lt;&gt;"No control",SUMIF(('Loading-drum,tote'!$B$31:$B$48),$J762,('Loading-drum,tote'!$E$31:$E$48))*Impacts!$F$13,0)),0)</f>
        <v>0</v>
      </c>
      <c r="R762" s="10">
        <f>IFERROR(IF(('Loading-truck'!$C$21)="No control",SUMIF(('Loading-truck'!$B$31:$B$48),$J762,('Loading-truck'!$D$31:$D$48))*Impacts!$F$14,IF(('Loading-truck'!$C$21)&lt;&gt;"No control",SUMIF(('Loading-truck'!$B$31:$B$48),$J762,('Loading-truck'!$E$31:$E$48))*Impacts!$F$14,0)),0)</f>
        <v>0</v>
      </c>
      <c r="S762" s="10">
        <f>IFERROR(IF(('Loading-rail'!$C$21)="No control",SUMIF(('Loading-rail'!$B$31:$B$48),$J762,('Loading-rail'!$D$31:$D$48))*Impacts!$F$15,IF(('Loading-rail'!$C$21)&lt;&gt;"No control",SUMIF(('Loading-rail'!$B$31:$B$48),$J762,('Loading-rail'!$E$31:$E$48))*Impacts!$F$15,0)),0)</f>
        <v>0</v>
      </c>
      <c r="T762" s="10">
        <f>IF(Flare!$C$7="",0,(SUMIF(Flare!$B$46:$B$185,$J762,Flare!$E$46:$E$185)*Impacts!$F$16))</f>
        <v>0</v>
      </c>
      <c r="U762" s="10">
        <f>IF(VCU!$C$9="",0,(SUMIF(VCU!$B$51:$B$193,$J762,VCU!$E$51:$E$193)*Impacts!$F$17))</f>
        <v>0</v>
      </c>
      <c r="V762" s="10">
        <f>IF(CAS!$C$7="",0,(SUMIF(CAS!$B$31:$B$167,$J762,CAS!$E$31:$E$167)*Impacts!$F$18))</f>
        <v>0</v>
      </c>
      <c r="W762" s="10">
        <f t="shared" si="53"/>
        <v>0</v>
      </c>
      <c r="AK762" s="10" t="str">
        <f t="array" ref="AK762">IFERROR(INDEX(SelectedSpecies,SMALL(IF(SelectedSpecies=AK$1,ROW(SelectedSpecies)),ROW(763:763)),2),"")</f>
        <v/>
      </c>
      <c r="BE762" s="10"/>
      <c r="BI762" s="10"/>
    </row>
    <row r="763" spans="1:61" ht="21" customHeight="1" x14ac:dyDescent="0.25">
      <c r="A763" s="10"/>
      <c r="B763" s="10"/>
      <c r="E763" s="10"/>
      <c r="G763" s="10"/>
      <c r="I763" s="436" t="s">
        <v>6512</v>
      </c>
      <c r="J763" s="26" t="s">
        <v>6511</v>
      </c>
      <c r="K763" s="10">
        <v>0.70000000000000007</v>
      </c>
      <c r="L763" s="73">
        <f>IF(Tank1!$C$23="No control",(SUMIF(Tank1!$B$32:$B$49,$J763,Tank1!$C$32:$C$49)*Impacts!$F$8),0)</f>
        <v>0</v>
      </c>
      <c r="M763" s="10">
        <f>IF(Tank2!$C$23="No control",(SUMIF(Tank2!$B$32:$B$49,$J763,Tank2!$C$32:$C$49)*Impacts!$F$9),0)</f>
        <v>0</v>
      </c>
      <c r="N763" s="10">
        <f>IF(Tank3!$C$23="No control",(SUMIF(Tank3!$B$32:$B$49,$J763,Tank3!$C$32:$C$49)*Impacts!$F$10),0)</f>
        <v>0</v>
      </c>
      <c r="O763" s="10">
        <f>IF(Tank4!$C$23="No control",(SUMIF(Tank4!$B$32:$B$49,$J763,Tank4!$C$32:$C$49)*Impacts!$F$11),0)</f>
        <v>0</v>
      </c>
      <c r="P763" s="10">
        <f>IF(Tank5!$C$23="No control",(SUMIF(Tank5!$B$32:$B$49,$J763,Tank5!$C$32:$C$49)*Impacts!$F$12),0)</f>
        <v>0</v>
      </c>
      <c r="Q763" s="10">
        <f>IFERROR(IF(('Loading-drum,tote'!$C$21)="No control",SUMIF(('Loading-drum,tote'!$B$31:$B$48),$J763,('Loading-drum,tote'!$D$31:$D$48))*Impacts!$F$13,IF(('Loading-drum,tote'!$C$21)&lt;&gt;"No control",SUMIF(('Loading-drum,tote'!$B$31:$B$48),$J763,('Loading-drum,tote'!$E$31:$E$48))*Impacts!$F$13,0)),0)</f>
        <v>0</v>
      </c>
      <c r="R763" s="10">
        <f>IFERROR(IF(('Loading-truck'!$C$21)="No control",SUMIF(('Loading-truck'!$B$31:$B$48),$J763,('Loading-truck'!$D$31:$D$48))*Impacts!$F$14,IF(('Loading-truck'!$C$21)&lt;&gt;"No control",SUMIF(('Loading-truck'!$B$31:$B$48),$J763,('Loading-truck'!$E$31:$E$48))*Impacts!$F$14,0)),0)</f>
        <v>0</v>
      </c>
      <c r="S763" s="10">
        <f>IFERROR(IF(('Loading-rail'!$C$21)="No control",SUMIF(('Loading-rail'!$B$31:$B$48),$J763,('Loading-rail'!$D$31:$D$48))*Impacts!$F$15,IF(('Loading-rail'!$C$21)&lt;&gt;"No control",SUMIF(('Loading-rail'!$B$31:$B$48),$J763,('Loading-rail'!$E$31:$E$48))*Impacts!$F$15,0)),0)</f>
        <v>0</v>
      </c>
      <c r="T763" s="10">
        <f>IF(Flare!$C$7="",0,(SUMIF(Flare!$B$46:$B$185,$J763,Flare!$E$46:$E$185)*Impacts!$F$16))</f>
        <v>0</v>
      </c>
      <c r="U763" s="10">
        <f>IF(VCU!$C$9="",0,(SUMIF(VCU!$B$51:$B$193,$J763,VCU!$E$51:$E$193)*Impacts!$F$17))</f>
        <v>0</v>
      </c>
      <c r="V763" s="10">
        <f>IF(CAS!$C$7="",0,(SUMIF(CAS!$B$31:$B$167,$J763,CAS!$E$31:$E$167)*Impacts!$F$18))</f>
        <v>0</v>
      </c>
      <c r="W763" s="10">
        <f t="shared" si="53"/>
        <v>0</v>
      </c>
      <c r="AK763" s="10" t="str">
        <f t="array" ref="AK763">IFERROR(INDEX(SelectedSpecies,SMALL(IF(SelectedSpecies=AK$1,ROW(SelectedSpecies)),ROW(764:764)),2),"")</f>
        <v/>
      </c>
      <c r="BE763" s="10"/>
      <c r="BI763" s="10"/>
    </row>
    <row r="764" spans="1:61" ht="21" customHeight="1" x14ac:dyDescent="0.25">
      <c r="A764" s="10"/>
      <c r="B764" s="10"/>
      <c r="E764" s="10"/>
      <c r="G764" s="10"/>
      <c r="I764" s="436" t="s">
        <v>7326</v>
      </c>
      <c r="J764" s="26" t="s">
        <v>7325</v>
      </c>
      <c r="K764" s="10">
        <v>0.27</v>
      </c>
      <c r="L764" s="73">
        <f>IF(Tank1!$C$23="No control",(SUMIF(Tank1!$B$32:$B$49,$J764,Tank1!$C$32:$C$49)*Impacts!$F$8),0)</f>
        <v>0</v>
      </c>
      <c r="M764" s="10">
        <f>IF(Tank2!$C$23="No control",(SUMIF(Tank2!$B$32:$B$49,$J764,Tank2!$C$32:$C$49)*Impacts!$F$9),0)</f>
        <v>0</v>
      </c>
      <c r="N764" s="10">
        <f>IF(Tank3!$C$23="No control",(SUMIF(Tank3!$B$32:$B$49,$J764,Tank3!$C$32:$C$49)*Impacts!$F$10),0)</f>
        <v>0</v>
      </c>
      <c r="O764" s="10">
        <f>IF(Tank4!$C$23="No control",(SUMIF(Tank4!$B$32:$B$49,$J764,Tank4!$C$32:$C$49)*Impacts!$F$11),0)</f>
        <v>0</v>
      </c>
      <c r="P764" s="10">
        <f>IF(Tank5!$C$23="No control",(SUMIF(Tank5!$B$32:$B$49,$J764,Tank5!$C$32:$C$49)*Impacts!$F$12),0)</f>
        <v>0</v>
      </c>
      <c r="Q764" s="10">
        <f>IFERROR(IF(('Loading-drum,tote'!$C$21)="No control",SUMIF(('Loading-drum,tote'!$B$31:$B$48),$J764,('Loading-drum,tote'!$D$31:$D$48))*Impacts!$F$13,IF(('Loading-drum,tote'!$C$21)&lt;&gt;"No control",SUMIF(('Loading-drum,tote'!$B$31:$B$48),$J764,('Loading-drum,tote'!$E$31:$E$48))*Impacts!$F$13,0)),0)</f>
        <v>0</v>
      </c>
      <c r="R764" s="10">
        <f>IFERROR(IF(('Loading-truck'!$C$21)="No control",SUMIF(('Loading-truck'!$B$31:$B$48),$J764,('Loading-truck'!$D$31:$D$48))*Impacts!$F$14,IF(('Loading-truck'!$C$21)&lt;&gt;"No control",SUMIF(('Loading-truck'!$B$31:$B$48),$J764,('Loading-truck'!$E$31:$E$48))*Impacts!$F$14,0)),0)</f>
        <v>0</v>
      </c>
      <c r="S764" s="10">
        <f>IFERROR(IF(('Loading-rail'!$C$21)="No control",SUMIF(('Loading-rail'!$B$31:$B$48),$J764,('Loading-rail'!$D$31:$D$48))*Impacts!$F$15,IF(('Loading-rail'!$C$21)&lt;&gt;"No control",SUMIF(('Loading-rail'!$B$31:$B$48),$J764,('Loading-rail'!$E$31:$E$48))*Impacts!$F$15,0)),0)</f>
        <v>0</v>
      </c>
      <c r="T764" s="10">
        <f>IF(Flare!$C$7="",0,(SUMIF(Flare!$B$46:$B$185,$J764,Flare!$E$46:$E$185)*Impacts!$F$16))</f>
        <v>0</v>
      </c>
      <c r="U764" s="10">
        <f>IF(VCU!$C$9="",0,(SUMIF(VCU!$B$51:$B$193,$J764,VCU!$E$51:$E$193)*Impacts!$F$17))</f>
        <v>0</v>
      </c>
      <c r="V764" s="10">
        <f>IF(CAS!$C$7="",0,(SUMIF(CAS!$B$31:$B$167,$J764,CAS!$E$31:$E$167)*Impacts!$F$18))</f>
        <v>0</v>
      </c>
      <c r="W764" s="10">
        <f t="shared" si="53"/>
        <v>0</v>
      </c>
      <c r="AK764" s="10" t="str">
        <f t="array" ref="AK764">IFERROR(INDEX(SelectedSpecies,SMALL(IF(SelectedSpecies=AK$1,ROW(SelectedSpecies)),ROW(765:765)),2),"")</f>
        <v/>
      </c>
      <c r="BE764" s="10"/>
      <c r="BI764" s="10"/>
    </row>
    <row r="765" spans="1:61" ht="21" customHeight="1" x14ac:dyDescent="0.25">
      <c r="A765" s="10"/>
      <c r="B765" s="10"/>
      <c r="E765" s="10"/>
      <c r="G765" s="10"/>
      <c r="I765" s="436" t="s">
        <v>7068</v>
      </c>
      <c r="J765" s="26" t="s">
        <v>7067</v>
      </c>
      <c r="K765" s="10">
        <v>0.4</v>
      </c>
      <c r="L765" s="73">
        <f>IF(Tank1!$C$23="No control",(SUMIF(Tank1!$B$32:$B$49,$J765,Tank1!$C$32:$C$49)*Impacts!$F$8),0)</f>
        <v>0</v>
      </c>
      <c r="M765" s="10">
        <f>IF(Tank2!$C$23="No control",(SUMIF(Tank2!$B$32:$B$49,$J765,Tank2!$C$32:$C$49)*Impacts!$F$9),0)</f>
        <v>0</v>
      </c>
      <c r="N765" s="10">
        <f>IF(Tank3!$C$23="No control",(SUMIF(Tank3!$B$32:$B$49,$J765,Tank3!$C$32:$C$49)*Impacts!$F$10),0)</f>
        <v>0</v>
      </c>
      <c r="O765" s="10">
        <f>IF(Tank4!$C$23="No control",(SUMIF(Tank4!$B$32:$B$49,$J765,Tank4!$C$32:$C$49)*Impacts!$F$11),0)</f>
        <v>0</v>
      </c>
      <c r="P765" s="10">
        <f>IF(Tank5!$C$23="No control",(SUMIF(Tank5!$B$32:$B$49,$J765,Tank5!$C$32:$C$49)*Impacts!$F$12),0)</f>
        <v>0</v>
      </c>
      <c r="Q765" s="10">
        <f>IFERROR(IF(('Loading-drum,tote'!$C$21)="No control",SUMIF(('Loading-drum,tote'!$B$31:$B$48),$J765,('Loading-drum,tote'!$D$31:$D$48))*Impacts!$F$13,IF(('Loading-drum,tote'!$C$21)&lt;&gt;"No control",SUMIF(('Loading-drum,tote'!$B$31:$B$48),$J765,('Loading-drum,tote'!$E$31:$E$48))*Impacts!$F$13,0)),0)</f>
        <v>0</v>
      </c>
      <c r="R765" s="10">
        <f>IFERROR(IF(('Loading-truck'!$C$21)="No control",SUMIF(('Loading-truck'!$B$31:$B$48),$J765,('Loading-truck'!$D$31:$D$48))*Impacts!$F$14,IF(('Loading-truck'!$C$21)&lt;&gt;"No control",SUMIF(('Loading-truck'!$B$31:$B$48),$J765,('Loading-truck'!$E$31:$E$48))*Impacts!$F$14,0)),0)</f>
        <v>0</v>
      </c>
      <c r="S765" s="10">
        <f>IFERROR(IF(('Loading-rail'!$C$21)="No control",SUMIF(('Loading-rail'!$B$31:$B$48),$J765,('Loading-rail'!$D$31:$D$48))*Impacts!$F$15,IF(('Loading-rail'!$C$21)&lt;&gt;"No control",SUMIF(('Loading-rail'!$B$31:$B$48),$J765,('Loading-rail'!$E$31:$E$48))*Impacts!$F$15,0)),0)</f>
        <v>0</v>
      </c>
      <c r="T765" s="10">
        <f>IF(Flare!$C$7="",0,(SUMIF(Flare!$B$46:$B$185,$J765,Flare!$E$46:$E$185)*Impacts!$F$16))</f>
        <v>0</v>
      </c>
      <c r="U765" s="10">
        <f>IF(VCU!$C$9="",0,(SUMIF(VCU!$B$51:$B$193,$J765,VCU!$E$51:$E$193)*Impacts!$F$17))</f>
        <v>0</v>
      </c>
      <c r="V765" s="10">
        <f>IF(CAS!$C$7="",0,(SUMIF(CAS!$B$31:$B$167,$J765,CAS!$E$31:$E$167)*Impacts!$F$18))</f>
        <v>0</v>
      </c>
      <c r="W765" s="10">
        <f t="shared" si="53"/>
        <v>0</v>
      </c>
      <c r="AK765" s="10" t="str">
        <f t="array" ref="AK765">IFERROR(INDEX(SelectedSpecies,SMALL(IF(SelectedSpecies=AK$1,ROW(SelectedSpecies)),ROW(766:766)),2),"")</f>
        <v/>
      </c>
      <c r="BE765" s="10"/>
      <c r="BI765" s="10"/>
    </row>
    <row r="766" spans="1:61" ht="21" customHeight="1" x14ac:dyDescent="0.25">
      <c r="A766" s="10"/>
      <c r="B766" s="10"/>
      <c r="E766" s="10"/>
      <c r="G766" s="10"/>
      <c r="I766" s="436" t="s">
        <v>7070</v>
      </c>
      <c r="J766" s="26" t="s">
        <v>7069</v>
      </c>
      <c r="K766" s="10">
        <v>0.4</v>
      </c>
      <c r="L766" s="73">
        <f>IF(Tank1!$C$23="No control",(SUMIF(Tank1!$B$32:$B$49,$J766,Tank1!$C$32:$C$49)*Impacts!$F$8),0)</f>
        <v>0</v>
      </c>
      <c r="M766" s="10">
        <f>IF(Tank2!$C$23="No control",(SUMIF(Tank2!$B$32:$B$49,$J766,Tank2!$C$32:$C$49)*Impacts!$F$9),0)</f>
        <v>0</v>
      </c>
      <c r="N766" s="10">
        <f>IF(Tank3!$C$23="No control",(SUMIF(Tank3!$B$32:$B$49,$J766,Tank3!$C$32:$C$49)*Impacts!$F$10),0)</f>
        <v>0</v>
      </c>
      <c r="O766" s="10">
        <f>IF(Tank4!$C$23="No control",(SUMIF(Tank4!$B$32:$B$49,$J766,Tank4!$C$32:$C$49)*Impacts!$F$11),0)</f>
        <v>0</v>
      </c>
      <c r="P766" s="10">
        <f>IF(Tank5!$C$23="No control",(SUMIF(Tank5!$B$32:$B$49,$J766,Tank5!$C$32:$C$49)*Impacts!$F$12),0)</f>
        <v>0</v>
      </c>
      <c r="Q766" s="10">
        <f>IFERROR(IF(('Loading-drum,tote'!$C$21)="No control",SUMIF(('Loading-drum,tote'!$B$31:$B$48),$J766,('Loading-drum,tote'!$D$31:$D$48))*Impacts!$F$13,IF(('Loading-drum,tote'!$C$21)&lt;&gt;"No control",SUMIF(('Loading-drum,tote'!$B$31:$B$48),$J766,('Loading-drum,tote'!$E$31:$E$48))*Impacts!$F$13,0)),0)</f>
        <v>0</v>
      </c>
      <c r="R766" s="10">
        <f>IFERROR(IF(('Loading-truck'!$C$21)="No control",SUMIF(('Loading-truck'!$B$31:$B$48),$J766,('Loading-truck'!$D$31:$D$48))*Impacts!$F$14,IF(('Loading-truck'!$C$21)&lt;&gt;"No control",SUMIF(('Loading-truck'!$B$31:$B$48),$J766,('Loading-truck'!$E$31:$E$48))*Impacts!$F$14,0)),0)</f>
        <v>0</v>
      </c>
      <c r="S766" s="10">
        <f>IFERROR(IF(('Loading-rail'!$C$21)="No control",SUMIF(('Loading-rail'!$B$31:$B$48),$J766,('Loading-rail'!$D$31:$D$48))*Impacts!$F$15,IF(('Loading-rail'!$C$21)&lt;&gt;"No control",SUMIF(('Loading-rail'!$B$31:$B$48),$J766,('Loading-rail'!$E$31:$E$48))*Impacts!$F$15,0)),0)</f>
        <v>0</v>
      </c>
      <c r="T766" s="10">
        <f>IF(Flare!$C$7="",0,(SUMIF(Flare!$B$46:$B$185,$J766,Flare!$E$46:$E$185)*Impacts!$F$16))</f>
        <v>0</v>
      </c>
      <c r="U766" s="10">
        <f>IF(VCU!$C$9="",0,(SUMIF(VCU!$B$51:$B$193,$J766,VCU!$E$51:$E$193)*Impacts!$F$17))</f>
        <v>0</v>
      </c>
      <c r="V766" s="10">
        <f>IF(CAS!$C$7="",0,(SUMIF(CAS!$B$31:$B$167,$J766,CAS!$E$31:$E$167)*Impacts!$F$18))</f>
        <v>0</v>
      </c>
      <c r="W766" s="10">
        <f t="shared" si="53"/>
        <v>0</v>
      </c>
      <c r="AK766" s="10" t="str">
        <f t="array" ref="AK766">IFERROR(INDEX(SelectedSpecies,SMALL(IF(SelectedSpecies=AK$1,ROW(SelectedSpecies)),ROW(767:767)),2),"")</f>
        <v/>
      </c>
      <c r="BE766" s="10"/>
      <c r="BI766" s="10"/>
    </row>
    <row r="767" spans="1:61" ht="21" customHeight="1" x14ac:dyDescent="0.25">
      <c r="A767" s="10"/>
      <c r="B767" s="10"/>
      <c r="E767" s="10"/>
      <c r="G767" s="10"/>
      <c r="I767" s="436" t="s">
        <v>3775</v>
      </c>
      <c r="J767" s="26" t="s">
        <v>3774</v>
      </c>
      <c r="K767" s="10">
        <v>6</v>
      </c>
      <c r="L767" s="73">
        <f>IF(Tank1!$C$23="No control",(SUMIF(Tank1!$B$32:$B$49,$J767,Tank1!$C$32:$C$49)*Impacts!$F$8),0)</f>
        <v>0</v>
      </c>
      <c r="M767" s="10">
        <f>IF(Tank2!$C$23="No control",(SUMIF(Tank2!$B$32:$B$49,$J767,Tank2!$C$32:$C$49)*Impacts!$F$9),0)</f>
        <v>0</v>
      </c>
      <c r="N767" s="10">
        <f>IF(Tank3!$C$23="No control",(SUMIF(Tank3!$B$32:$B$49,$J767,Tank3!$C$32:$C$49)*Impacts!$F$10),0)</f>
        <v>0</v>
      </c>
      <c r="O767" s="10">
        <f>IF(Tank4!$C$23="No control",(SUMIF(Tank4!$B$32:$B$49,$J767,Tank4!$C$32:$C$49)*Impacts!$F$11),0)</f>
        <v>0</v>
      </c>
      <c r="P767" s="10">
        <f>IF(Tank5!$C$23="No control",(SUMIF(Tank5!$B$32:$B$49,$J767,Tank5!$C$32:$C$49)*Impacts!$F$12),0)</f>
        <v>0</v>
      </c>
      <c r="Q767" s="10">
        <f>IFERROR(IF(('Loading-drum,tote'!$C$21)="No control",SUMIF(('Loading-drum,tote'!$B$31:$B$48),$J767,('Loading-drum,tote'!$D$31:$D$48))*Impacts!$F$13,IF(('Loading-drum,tote'!$C$21)&lt;&gt;"No control",SUMIF(('Loading-drum,tote'!$B$31:$B$48),$J767,('Loading-drum,tote'!$E$31:$E$48))*Impacts!$F$13,0)),0)</f>
        <v>0</v>
      </c>
      <c r="R767" s="10">
        <f>IFERROR(IF(('Loading-truck'!$C$21)="No control",SUMIF(('Loading-truck'!$B$31:$B$48),$J767,('Loading-truck'!$D$31:$D$48))*Impacts!$F$14,IF(('Loading-truck'!$C$21)&lt;&gt;"No control",SUMIF(('Loading-truck'!$B$31:$B$48),$J767,('Loading-truck'!$E$31:$E$48))*Impacts!$F$14,0)),0)</f>
        <v>0</v>
      </c>
      <c r="S767" s="10">
        <f>IFERROR(IF(('Loading-rail'!$C$21)="No control",SUMIF(('Loading-rail'!$B$31:$B$48),$J767,('Loading-rail'!$D$31:$D$48))*Impacts!$F$15,IF(('Loading-rail'!$C$21)&lt;&gt;"No control",SUMIF(('Loading-rail'!$B$31:$B$48),$J767,('Loading-rail'!$E$31:$E$48))*Impacts!$F$15,0)),0)</f>
        <v>0</v>
      </c>
      <c r="T767" s="10">
        <f>IF(Flare!$C$7="",0,(SUMIF(Flare!$B$46:$B$185,$J767,Flare!$E$46:$E$185)*Impacts!$F$16))</f>
        <v>0</v>
      </c>
      <c r="U767" s="10">
        <f>IF(VCU!$C$9="",0,(SUMIF(VCU!$B$51:$B$193,$J767,VCU!$E$51:$E$193)*Impacts!$F$17))</f>
        <v>0</v>
      </c>
      <c r="V767" s="10">
        <f>IF(CAS!$C$7="",0,(SUMIF(CAS!$B$31:$B$167,$J767,CAS!$E$31:$E$167)*Impacts!$F$18))</f>
        <v>0</v>
      </c>
      <c r="W767" s="10">
        <f t="shared" si="53"/>
        <v>0</v>
      </c>
      <c r="AK767" s="10" t="str">
        <f t="array" ref="AK767">IFERROR(INDEX(SelectedSpecies,SMALL(IF(SelectedSpecies=AK$1,ROW(SelectedSpecies)),ROW(768:768)),2),"")</f>
        <v/>
      </c>
      <c r="BE767" s="10"/>
      <c r="BI767" s="10"/>
    </row>
    <row r="768" spans="1:61" ht="21" customHeight="1" x14ac:dyDescent="0.25">
      <c r="A768" s="10"/>
      <c r="B768" s="10"/>
      <c r="E768" s="10"/>
      <c r="G768" s="10"/>
      <c r="I768" s="436" t="s">
        <v>1486</v>
      </c>
      <c r="J768" s="26" t="s">
        <v>1485</v>
      </c>
      <c r="K768" s="10">
        <v>29.5</v>
      </c>
      <c r="L768" s="73">
        <f>IF(Tank1!$C$23="No control",(SUMIF(Tank1!$B$32:$B$49,$J768,Tank1!$C$32:$C$49)*Impacts!$F$8),0)</f>
        <v>0</v>
      </c>
      <c r="M768" s="10">
        <f>IF(Tank2!$C$23="No control",(SUMIF(Tank2!$B$32:$B$49,$J768,Tank2!$C$32:$C$49)*Impacts!$F$9),0)</f>
        <v>0</v>
      </c>
      <c r="N768" s="10">
        <f>IF(Tank3!$C$23="No control",(SUMIF(Tank3!$B$32:$B$49,$J768,Tank3!$C$32:$C$49)*Impacts!$F$10),0)</f>
        <v>0</v>
      </c>
      <c r="O768" s="10">
        <f>IF(Tank4!$C$23="No control",(SUMIF(Tank4!$B$32:$B$49,$J768,Tank4!$C$32:$C$49)*Impacts!$F$11),0)</f>
        <v>0</v>
      </c>
      <c r="P768" s="10">
        <f>IF(Tank5!$C$23="No control",(SUMIF(Tank5!$B$32:$B$49,$J768,Tank5!$C$32:$C$49)*Impacts!$F$12),0)</f>
        <v>0</v>
      </c>
      <c r="Q768" s="10">
        <f>IFERROR(IF(('Loading-drum,tote'!$C$21)="No control",SUMIF(('Loading-drum,tote'!$B$31:$B$48),$J768,('Loading-drum,tote'!$D$31:$D$48))*Impacts!$F$13,IF(('Loading-drum,tote'!$C$21)&lt;&gt;"No control",SUMIF(('Loading-drum,tote'!$B$31:$B$48),$J768,('Loading-drum,tote'!$E$31:$E$48))*Impacts!$F$13,0)),0)</f>
        <v>0</v>
      </c>
      <c r="R768" s="10">
        <f>IFERROR(IF(('Loading-truck'!$C$21)="No control",SUMIF(('Loading-truck'!$B$31:$B$48),$J768,('Loading-truck'!$D$31:$D$48))*Impacts!$F$14,IF(('Loading-truck'!$C$21)&lt;&gt;"No control",SUMIF(('Loading-truck'!$B$31:$B$48),$J768,('Loading-truck'!$E$31:$E$48))*Impacts!$F$14,0)),0)</f>
        <v>0</v>
      </c>
      <c r="S768" s="10">
        <f>IFERROR(IF(('Loading-rail'!$C$21)="No control",SUMIF(('Loading-rail'!$B$31:$B$48),$J768,('Loading-rail'!$D$31:$D$48))*Impacts!$F$15,IF(('Loading-rail'!$C$21)&lt;&gt;"No control",SUMIF(('Loading-rail'!$B$31:$B$48),$J768,('Loading-rail'!$E$31:$E$48))*Impacts!$F$15,0)),0)</f>
        <v>0</v>
      </c>
      <c r="T768" s="10">
        <f>IF(Flare!$C$7="",0,(SUMIF(Flare!$B$46:$B$185,$J768,Flare!$E$46:$E$185)*Impacts!$F$16))</f>
        <v>0</v>
      </c>
      <c r="U768" s="10">
        <f>IF(VCU!$C$9="",0,(SUMIF(VCU!$B$51:$B$193,$J768,VCU!$E$51:$E$193)*Impacts!$F$17))</f>
        <v>0</v>
      </c>
      <c r="V768" s="10">
        <f>IF(CAS!$C$7="",0,(SUMIF(CAS!$B$31:$B$167,$J768,CAS!$E$31:$E$167)*Impacts!$F$18))</f>
        <v>0</v>
      </c>
      <c r="W768" s="10">
        <f t="shared" si="53"/>
        <v>0</v>
      </c>
      <c r="AK768" s="10" t="str">
        <f t="array" ref="AK768">IFERROR(INDEX(SelectedSpecies,SMALL(IF(SelectedSpecies=AK$1,ROW(SelectedSpecies)),ROW(769:769)),2),"")</f>
        <v/>
      </c>
      <c r="BE768" s="10"/>
      <c r="BI768" s="10"/>
    </row>
    <row r="769" spans="1:61" ht="21" customHeight="1" x14ac:dyDescent="0.25">
      <c r="A769" s="10"/>
      <c r="B769" s="10"/>
      <c r="E769" s="10"/>
      <c r="G769" s="10"/>
      <c r="I769" s="436" t="s">
        <v>3911</v>
      </c>
      <c r="J769" s="26" t="s">
        <v>3910</v>
      </c>
      <c r="K769" s="10">
        <v>6</v>
      </c>
      <c r="L769" s="73">
        <f>IF(Tank1!$C$23="No control",(SUMIF(Tank1!$B$32:$B$49,$J769,Tank1!$C$32:$C$49)*Impacts!$F$8),0)</f>
        <v>0</v>
      </c>
      <c r="M769" s="10">
        <f>IF(Tank2!$C$23="No control",(SUMIF(Tank2!$B$32:$B$49,$J769,Tank2!$C$32:$C$49)*Impacts!$F$9),0)</f>
        <v>0</v>
      </c>
      <c r="N769" s="10">
        <f>IF(Tank3!$C$23="No control",(SUMIF(Tank3!$B$32:$B$49,$J769,Tank3!$C$32:$C$49)*Impacts!$F$10),0)</f>
        <v>0</v>
      </c>
      <c r="O769" s="10">
        <f>IF(Tank4!$C$23="No control",(SUMIF(Tank4!$B$32:$B$49,$J769,Tank4!$C$32:$C$49)*Impacts!$F$11),0)</f>
        <v>0</v>
      </c>
      <c r="P769" s="10">
        <f>IF(Tank5!$C$23="No control",(SUMIF(Tank5!$B$32:$B$49,$J769,Tank5!$C$32:$C$49)*Impacts!$F$12),0)</f>
        <v>0</v>
      </c>
      <c r="Q769" s="10">
        <f>IFERROR(IF(('Loading-drum,tote'!$C$21)="No control",SUMIF(('Loading-drum,tote'!$B$31:$B$48),$J769,('Loading-drum,tote'!$D$31:$D$48))*Impacts!$F$13,IF(('Loading-drum,tote'!$C$21)&lt;&gt;"No control",SUMIF(('Loading-drum,tote'!$B$31:$B$48),$J769,('Loading-drum,tote'!$E$31:$E$48))*Impacts!$F$13,0)),0)</f>
        <v>0</v>
      </c>
      <c r="R769" s="10">
        <f>IFERROR(IF(('Loading-truck'!$C$21)="No control",SUMIF(('Loading-truck'!$B$31:$B$48),$J769,('Loading-truck'!$D$31:$D$48))*Impacts!$F$14,IF(('Loading-truck'!$C$21)&lt;&gt;"No control",SUMIF(('Loading-truck'!$B$31:$B$48),$J769,('Loading-truck'!$E$31:$E$48))*Impacts!$F$14,0)),0)</f>
        <v>0</v>
      </c>
      <c r="S769" s="10">
        <f>IFERROR(IF(('Loading-rail'!$C$21)="No control",SUMIF(('Loading-rail'!$B$31:$B$48),$J769,('Loading-rail'!$D$31:$D$48))*Impacts!$F$15,IF(('Loading-rail'!$C$21)&lt;&gt;"No control",SUMIF(('Loading-rail'!$B$31:$B$48),$J769,('Loading-rail'!$E$31:$E$48))*Impacts!$F$15,0)),0)</f>
        <v>0</v>
      </c>
      <c r="T769" s="10">
        <f>IF(Flare!$C$7="",0,(SUMIF(Flare!$B$46:$B$185,$J769,Flare!$E$46:$E$185)*Impacts!$F$16))</f>
        <v>0</v>
      </c>
      <c r="U769" s="10">
        <f>IF(VCU!$C$9="",0,(SUMIF(VCU!$B$51:$B$193,$J769,VCU!$E$51:$E$193)*Impacts!$F$17))</f>
        <v>0</v>
      </c>
      <c r="V769" s="10">
        <f>IF(CAS!$C$7="",0,(SUMIF(CAS!$B$31:$B$167,$J769,CAS!$E$31:$E$167)*Impacts!$F$18))</f>
        <v>0</v>
      </c>
      <c r="W769" s="10">
        <f t="shared" si="53"/>
        <v>0</v>
      </c>
      <c r="AK769" s="10" t="str">
        <f t="array" ref="AK769">IFERROR(INDEX(SelectedSpecies,SMALL(IF(SelectedSpecies=AK$1,ROW(SelectedSpecies)),ROW(770:770)),2),"")</f>
        <v/>
      </c>
      <c r="BE769" s="10"/>
      <c r="BI769" s="10"/>
    </row>
    <row r="770" spans="1:61" ht="21" customHeight="1" x14ac:dyDescent="0.25">
      <c r="A770" s="10"/>
      <c r="B770" s="10"/>
      <c r="E770" s="10"/>
      <c r="G770" s="10"/>
      <c r="I770" s="436" t="s">
        <v>2715</v>
      </c>
      <c r="J770" s="26" t="s">
        <v>2714</v>
      </c>
      <c r="K770" s="10">
        <v>10</v>
      </c>
      <c r="L770" s="73">
        <f>IF(Tank1!$C$23="No control",(SUMIF(Tank1!$B$32:$B$49,$J770,Tank1!$C$32:$C$49)*Impacts!$F$8),0)</f>
        <v>0</v>
      </c>
      <c r="M770" s="10">
        <f>IF(Tank2!$C$23="No control",(SUMIF(Tank2!$B$32:$B$49,$J770,Tank2!$C$32:$C$49)*Impacts!$F$9),0)</f>
        <v>0</v>
      </c>
      <c r="N770" s="10">
        <f>IF(Tank3!$C$23="No control",(SUMIF(Tank3!$B$32:$B$49,$J770,Tank3!$C$32:$C$49)*Impacts!$F$10),0)</f>
        <v>0</v>
      </c>
      <c r="O770" s="10">
        <f>IF(Tank4!$C$23="No control",(SUMIF(Tank4!$B$32:$B$49,$J770,Tank4!$C$32:$C$49)*Impacts!$F$11),0)</f>
        <v>0</v>
      </c>
      <c r="P770" s="10">
        <f>IF(Tank5!$C$23="No control",(SUMIF(Tank5!$B$32:$B$49,$J770,Tank5!$C$32:$C$49)*Impacts!$F$12),0)</f>
        <v>0</v>
      </c>
      <c r="Q770" s="10">
        <f>IFERROR(IF(('Loading-drum,tote'!$C$21)="No control",SUMIF(('Loading-drum,tote'!$B$31:$B$48),$J770,('Loading-drum,tote'!$D$31:$D$48))*Impacts!$F$13,IF(('Loading-drum,tote'!$C$21)&lt;&gt;"No control",SUMIF(('Loading-drum,tote'!$B$31:$B$48),$J770,('Loading-drum,tote'!$E$31:$E$48))*Impacts!$F$13,0)),0)</f>
        <v>0</v>
      </c>
      <c r="R770" s="10">
        <f>IFERROR(IF(('Loading-truck'!$C$21)="No control",SUMIF(('Loading-truck'!$B$31:$B$48),$J770,('Loading-truck'!$D$31:$D$48))*Impacts!$F$14,IF(('Loading-truck'!$C$21)&lt;&gt;"No control",SUMIF(('Loading-truck'!$B$31:$B$48),$J770,('Loading-truck'!$E$31:$E$48))*Impacts!$F$14,0)),0)</f>
        <v>0</v>
      </c>
      <c r="S770" s="10">
        <f>IFERROR(IF(('Loading-rail'!$C$21)="No control",SUMIF(('Loading-rail'!$B$31:$B$48),$J770,('Loading-rail'!$D$31:$D$48))*Impacts!$F$15,IF(('Loading-rail'!$C$21)&lt;&gt;"No control",SUMIF(('Loading-rail'!$B$31:$B$48),$J770,('Loading-rail'!$E$31:$E$48))*Impacts!$F$15,0)),0)</f>
        <v>0</v>
      </c>
      <c r="T770" s="10">
        <f>IF(Flare!$C$7="",0,(SUMIF(Flare!$B$46:$B$185,$J770,Flare!$E$46:$E$185)*Impacts!$F$16))</f>
        <v>0</v>
      </c>
      <c r="U770" s="10">
        <f>IF(VCU!$C$9="",0,(SUMIF(VCU!$B$51:$B$193,$J770,VCU!$E$51:$E$193)*Impacts!$F$17))</f>
        <v>0</v>
      </c>
      <c r="V770" s="10">
        <f>IF(CAS!$C$7="",0,(SUMIF(CAS!$B$31:$B$167,$J770,CAS!$E$31:$E$167)*Impacts!$F$18))</f>
        <v>0</v>
      </c>
      <c r="W770" s="10">
        <f t="shared" si="53"/>
        <v>0</v>
      </c>
      <c r="AK770" s="10" t="str">
        <f t="array" ref="AK770">IFERROR(INDEX(SelectedSpecies,SMALL(IF(SelectedSpecies=AK$1,ROW(SelectedSpecies)),ROW(771:771)),2),"")</f>
        <v/>
      </c>
      <c r="BE770" s="10"/>
      <c r="BI770" s="10"/>
    </row>
    <row r="771" spans="1:61" ht="21" customHeight="1" x14ac:dyDescent="0.25">
      <c r="A771" s="10"/>
      <c r="B771" s="10"/>
      <c r="E771" s="10"/>
      <c r="G771" s="10"/>
      <c r="I771" s="436" t="s">
        <v>4905</v>
      </c>
      <c r="J771" s="26" t="s">
        <v>4904</v>
      </c>
      <c r="K771" s="10">
        <v>2.6</v>
      </c>
      <c r="L771" s="73">
        <f>IF(Tank1!$C$23="No control",(SUMIF(Tank1!$B$32:$B$49,$J771,Tank1!$C$32:$C$49)*Impacts!$F$8),0)</f>
        <v>0</v>
      </c>
      <c r="M771" s="10">
        <f>IF(Tank2!$C$23="No control",(SUMIF(Tank2!$B$32:$B$49,$J771,Tank2!$C$32:$C$49)*Impacts!$F$9),0)</f>
        <v>0</v>
      </c>
      <c r="N771" s="10">
        <f>IF(Tank3!$C$23="No control",(SUMIF(Tank3!$B$32:$B$49,$J771,Tank3!$C$32:$C$49)*Impacts!$F$10),0)</f>
        <v>0</v>
      </c>
      <c r="O771" s="10">
        <f>IF(Tank4!$C$23="No control",(SUMIF(Tank4!$B$32:$B$49,$J771,Tank4!$C$32:$C$49)*Impacts!$F$11),0)</f>
        <v>0</v>
      </c>
      <c r="P771" s="10">
        <f>IF(Tank5!$C$23="No control",(SUMIF(Tank5!$B$32:$B$49,$J771,Tank5!$C$32:$C$49)*Impacts!$F$12),0)</f>
        <v>0</v>
      </c>
      <c r="Q771" s="10">
        <f>IFERROR(IF(('Loading-drum,tote'!$C$21)="No control",SUMIF(('Loading-drum,tote'!$B$31:$B$48),$J771,('Loading-drum,tote'!$D$31:$D$48))*Impacts!$F$13,IF(('Loading-drum,tote'!$C$21)&lt;&gt;"No control",SUMIF(('Loading-drum,tote'!$B$31:$B$48),$J771,('Loading-drum,tote'!$E$31:$E$48))*Impacts!$F$13,0)),0)</f>
        <v>0</v>
      </c>
      <c r="R771" s="10">
        <f>IFERROR(IF(('Loading-truck'!$C$21)="No control",SUMIF(('Loading-truck'!$B$31:$B$48),$J771,('Loading-truck'!$D$31:$D$48))*Impacts!$F$14,IF(('Loading-truck'!$C$21)&lt;&gt;"No control",SUMIF(('Loading-truck'!$B$31:$B$48),$J771,('Loading-truck'!$E$31:$E$48))*Impacts!$F$14,0)),0)</f>
        <v>0</v>
      </c>
      <c r="S771" s="10">
        <f>IFERROR(IF(('Loading-rail'!$C$21)="No control",SUMIF(('Loading-rail'!$B$31:$B$48),$J771,('Loading-rail'!$D$31:$D$48))*Impacts!$F$15,IF(('Loading-rail'!$C$21)&lt;&gt;"No control",SUMIF(('Loading-rail'!$B$31:$B$48),$J771,('Loading-rail'!$E$31:$E$48))*Impacts!$F$15,0)),0)</f>
        <v>0</v>
      </c>
      <c r="T771" s="10">
        <f>IF(Flare!$C$7="",0,(SUMIF(Flare!$B$46:$B$185,$J771,Flare!$E$46:$E$185)*Impacts!$F$16))</f>
        <v>0</v>
      </c>
      <c r="U771" s="10">
        <f>IF(VCU!$C$9="",0,(SUMIF(VCU!$B$51:$B$193,$J771,VCU!$E$51:$E$193)*Impacts!$F$17))</f>
        <v>0</v>
      </c>
      <c r="V771" s="10">
        <f>IF(CAS!$C$7="",0,(SUMIF(CAS!$B$31:$B$167,$J771,CAS!$E$31:$E$167)*Impacts!$F$18))</f>
        <v>0</v>
      </c>
      <c r="W771" s="10">
        <f t="shared" ref="W771:W834" si="54">SUM(L771:V771)</f>
        <v>0</v>
      </c>
      <c r="AK771" s="10" t="str">
        <f t="array" ref="AK771">IFERROR(INDEX(SelectedSpecies,SMALL(IF(SelectedSpecies=AK$1,ROW(SelectedSpecies)),ROW(772:772)),2),"")</f>
        <v/>
      </c>
      <c r="BE771" s="10"/>
      <c r="BI771" s="10"/>
    </row>
    <row r="772" spans="1:61" ht="21" customHeight="1" x14ac:dyDescent="0.25">
      <c r="A772" s="10"/>
      <c r="B772" s="10"/>
      <c r="E772" s="10"/>
      <c r="G772" s="10"/>
      <c r="I772" s="436" t="s">
        <v>4673</v>
      </c>
      <c r="J772" s="26" t="s">
        <v>4672</v>
      </c>
      <c r="K772" s="10">
        <v>3.6</v>
      </c>
      <c r="L772" s="73">
        <f>IF(Tank1!$C$23="No control",(SUMIF(Tank1!$B$32:$B$49,$J772,Tank1!$C$32:$C$49)*Impacts!$F$8),0)</f>
        <v>0</v>
      </c>
      <c r="M772" s="10">
        <f>IF(Tank2!$C$23="No control",(SUMIF(Tank2!$B$32:$B$49,$J772,Tank2!$C$32:$C$49)*Impacts!$F$9),0)</f>
        <v>0</v>
      </c>
      <c r="N772" s="10">
        <f>IF(Tank3!$C$23="No control",(SUMIF(Tank3!$B$32:$B$49,$J772,Tank3!$C$32:$C$49)*Impacts!$F$10),0)</f>
        <v>0</v>
      </c>
      <c r="O772" s="10">
        <f>IF(Tank4!$C$23="No control",(SUMIF(Tank4!$B$32:$B$49,$J772,Tank4!$C$32:$C$49)*Impacts!$F$11),0)</f>
        <v>0</v>
      </c>
      <c r="P772" s="10">
        <f>IF(Tank5!$C$23="No control",(SUMIF(Tank5!$B$32:$B$49,$J772,Tank5!$C$32:$C$49)*Impacts!$F$12),0)</f>
        <v>0</v>
      </c>
      <c r="Q772" s="10">
        <f>IFERROR(IF(('Loading-drum,tote'!$C$21)="No control",SUMIF(('Loading-drum,tote'!$B$31:$B$48),$J772,('Loading-drum,tote'!$D$31:$D$48))*Impacts!$F$13,IF(('Loading-drum,tote'!$C$21)&lt;&gt;"No control",SUMIF(('Loading-drum,tote'!$B$31:$B$48),$J772,('Loading-drum,tote'!$E$31:$E$48))*Impacts!$F$13,0)),0)</f>
        <v>0</v>
      </c>
      <c r="R772" s="10">
        <f>IFERROR(IF(('Loading-truck'!$C$21)="No control",SUMIF(('Loading-truck'!$B$31:$B$48),$J772,('Loading-truck'!$D$31:$D$48))*Impacts!$F$14,IF(('Loading-truck'!$C$21)&lt;&gt;"No control",SUMIF(('Loading-truck'!$B$31:$B$48),$J772,('Loading-truck'!$E$31:$E$48))*Impacts!$F$14,0)),0)</f>
        <v>0</v>
      </c>
      <c r="S772" s="10">
        <f>IFERROR(IF(('Loading-rail'!$C$21)="No control",SUMIF(('Loading-rail'!$B$31:$B$48),$J772,('Loading-rail'!$D$31:$D$48))*Impacts!$F$15,IF(('Loading-rail'!$C$21)&lt;&gt;"No control",SUMIF(('Loading-rail'!$B$31:$B$48),$J772,('Loading-rail'!$E$31:$E$48))*Impacts!$F$15,0)),0)</f>
        <v>0</v>
      </c>
      <c r="T772" s="10">
        <f>IF(Flare!$C$7="",0,(SUMIF(Flare!$B$46:$B$185,$J772,Flare!$E$46:$E$185)*Impacts!$F$16))</f>
        <v>0</v>
      </c>
      <c r="U772" s="10">
        <f>IF(VCU!$C$9="",0,(SUMIF(VCU!$B$51:$B$193,$J772,VCU!$E$51:$E$193)*Impacts!$F$17))</f>
        <v>0</v>
      </c>
      <c r="V772" s="10">
        <f>IF(CAS!$C$7="",0,(SUMIF(CAS!$B$31:$B$167,$J772,CAS!$E$31:$E$167)*Impacts!$F$18))</f>
        <v>0</v>
      </c>
      <c r="W772" s="10">
        <f t="shared" si="54"/>
        <v>0</v>
      </c>
      <c r="AK772" s="10" t="str">
        <f t="array" ref="AK772">IFERROR(INDEX(SelectedSpecies,SMALL(IF(SelectedSpecies=AK$1,ROW(SelectedSpecies)),ROW(773:773)),2),"")</f>
        <v/>
      </c>
      <c r="BE772" s="10"/>
      <c r="BI772" s="10"/>
    </row>
    <row r="773" spans="1:61" ht="21" customHeight="1" x14ac:dyDescent="0.25">
      <c r="A773" s="10"/>
      <c r="B773" s="10"/>
      <c r="E773" s="10"/>
      <c r="G773" s="10"/>
      <c r="I773" s="436" t="s">
        <v>2201</v>
      </c>
      <c r="J773" s="26" t="s">
        <v>2200</v>
      </c>
      <c r="K773" s="10">
        <v>14</v>
      </c>
      <c r="L773" s="73">
        <f>IF(Tank1!$C$23="No control",(SUMIF(Tank1!$B$32:$B$49,$J773,Tank1!$C$32:$C$49)*Impacts!$F$8),0)</f>
        <v>0</v>
      </c>
      <c r="M773" s="10">
        <f>IF(Tank2!$C$23="No control",(SUMIF(Tank2!$B$32:$B$49,$J773,Tank2!$C$32:$C$49)*Impacts!$F$9),0)</f>
        <v>0</v>
      </c>
      <c r="N773" s="10">
        <f>IF(Tank3!$C$23="No control",(SUMIF(Tank3!$B$32:$B$49,$J773,Tank3!$C$32:$C$49)*Impacts!$F$10),0)</f>
        <v>0</v>
      </c>
      <c r="O773" s="10">
        <f>IF(Tank4!$C$23="No control",(SUMIF(Tank4!$B$32:$B$49,$J773,Tank4!$C$32:$C$49)*Impacts!$F$11),0)</f>
        <v>0</v>
      </c>
      <c r="P773" s="10">
        <f>IF(Tank5!$C$23="No control",(SUMIF(Tank5!$B$32:$B$49,$J773,Tank5!$C$32:$C$49)*Impacts!$F$12),0)</f>
        <v>0</v>
      </c>
      <c r="Q773" s="10">
        <f>IFERROR(IF(('Loading-drum,tote'!$C$21)="No control",SUMIF(('Loading-drum,tote'!$B$31:$B$48),$J773,('Loading-drum,tote'!$D$31:$D$48))*Impacts!$F$13,IF(('Loading-drum,tote'!$C$21)&lt;&gt;"No control",SUMIF(('Loading-drum,tote'!$B$31:$B$48),$J773,('Loading-drum,tote'!$E$31:$E$48))*Impacts!$F$13,0)),0)</f>
        <v>0</v>
      </c>
      <c r="R773" s="10">
        <f>IFERROR(IF(('Loading-truck'!$C$21)="No control",SUMIF(('Loading-truck'!$B$31:$B$48),$J773,('Loading-truck'!$D$31:$D$48))*Impacts!$F$14,IF(('Loading-truck'!$C$21)&lt;&gt;"No control",SUMIF(('Loading-truck'!$B$31:$B$48),$J773,('Loading-truck'!$E$31:$E$48))*Impacts!$F$14,0)),0)</f>
        <v>0</v>
      </c>
      <c r="S773" s="10">
        <f>IFERROR(IF(('Loading-rail'!$C$21)="No control",SUMIF(('Loading-rail'!$B$31:$B$48),$J773,('Loading-rail'!$D$31:$D$48))*Impacts!$F$15,IF(('Loading-rail'!$C$21)&lt;&gt;"No control",SUMIF(('Loading-rail'!$B$31:$B$48),$J773,('Loading-rail'!$E$31:$E$48))*Impacts!$F$15,0)),0)</f>
        <v>0</v>
      </c>
      <c r="T773" s="10">
        <f>IF(Flare!$C$7="",0,(SUMIF(Flare!$B$46:$B$185,$J773,Flare!$E$46:$E$185)*Impacts!$F$16))</f>
        <v>0</v>
      </c>
      <c r="U773" s="10">
        <f>IF(VCU!$C$9="",0,(SUMIF(VCU!$B$51:$B$193,$J773,VCU!$E$51:$E$193)*Impacts!$F$17))</f>
        <v>0</v>
      </c>
      <c r="V773" s="10">
        <f>IF(CAS!$C$7="",0,(SUMIF(CAS!$B$31:$B$167,$J773,CAS!$E$31:$E$167)*Impacts!$F$18))</f>
        <v>0</v>
      </c>
      <c r="W773" s="10">
        <f t="shared" si="54"/>
        <v>0</v>
      </c>
      <c r="AK773" s="10" t="str">
        <f t="array" ref="AK773">IFERROR(INDEX(SelectedSpecies,SMALL(IF(SelectedSpecies=AK$1,ROW(SelectedSpecies)),ROW(774:774)),2),"")</f>
        <v/>
      </c>
      <c r="BE773" s="10"/>
      <c r="BI773" s="10"/>
    </row>
    <row r="774" spans="1:61" ht="21" customHeight="1" x14ac:dyDescent="0.25">
      <c r="A774" s="10"/>
      <c r="B774" s="10"/>
      <c r="E774" s="10"/>
      <c r="G774" s="10"/>
      <c r="I774" s="436" t="s">
        <v>5557</v>
      </c>
      <c r="J774" s="26" t="s">
        <v>5556</v>
      </c>
      <c r="K774" s="10">
        <v>1.2000000000000002</v>
      </c>
      <c r="L774" s="73">
        <f>IF(Tank1!$C$23="No control",(SUMIF(Tank1!$B$32:$B$49,$J774,Tank1!$C$32:$C$49)*Impacts!$F$8),0)</f>
        <v>0</v>
      </c>
      <c r="M774" s="10">
        <f>IF(Tank2!$C$23="No control",(SUMIF(Tank2!$B$32:$B$49,$J774,Tank2!$C$32:$C$49)*Impacts!$F$9),0)</f>
        <v>0</v>
      </c>
      <c r="N774" s="10">
        <f>IF(Tank3!$C$23="No control",(SUMIF(Tank3!$B$32:$B$49,$J774,Tank3!$C$32:$C$49)*Impacts!$F$10),0)</f>
        <v>0</v>
      </c>
      <c r="O774" s="10">
        <f>IF(Tank4!$C$23="No control",(SUMIF(Tank4!$B$32:$B$49,$J774,Tank4!$C$32:$C$49)*Impacts!$F$11),0)</f>
        <v>0</v>
      </c>
      <c r="P774" s="10">
        <f>IF(Tank5!$C$23="No control",(SUMIF(Tank5!$B$32:$B$49,$J774,Tank5!$C$32:$C$49)*Impacts!$F$12),0)</f>
        <v>0</v>
      </c>
      <c r="Q774" s="10">
        <f>IFERROR(IF(('Loading-drum,tote'!$C$21)="No control",SUMIF(('Loading-drum,tote'!$B$31:$B$48),$J774,('Loading-drum,tote'!$D$31:$D$48))*Impacts!$F$13,IF(('Loading-drum,tote'!$C$21)&lt;&gt;"No control",SUMIF(('Loading-drum,tote'!$B$31:$B$48),$J774,('Loading-drum,tote'!$E$31:$E$48))*Impacts!$F$13,0)),0)</f>
        <v>0</v>
      </c>
      <c r="R774" s="10">
        <f>IFERROR(IF(('Loading-truck'!$C$21)="No control",SUMIF(('Loading-truck'!$B$31:$B$48),$J774,('Loading-truck'!$D$31:$D$48))*Impacts!$F$14,IF(('Loading-truck'!$C$21)&lt;&gt;"No control",SUMIF(('Loading-truck'!$B$31:$B$48),$J774,('Loading-truck'!$E$31:$E$48))*Impacts!$F$14,0)),0)</f>
        <v>0</v>
      </c>
      <c r="S774" s="10">
        <f>IFERROR(IF(('Loading-rail'!$C$21)="No control",SUMIF(('Loading-rail'!$B$31:$B$48),$J774,('Loading-rail'!$D$31:$D$48))*Impacts!$F$15,IF(('Loading-rail'!$C$21)&lt;&gt;"No control",SUMIF(('Loading-rail'!$B$31:$B$48),$J774,('Loading-rail'!$E$31:$E$48))*Impacts!$F$15,0)),0)</f>
        <v>0</v>
      </c>
      <c r="T774" s="10">
        <f>IF(Flare!$C$7="",0,(SUMIF(Flare!$B$46:$B$185,$J774,Flare!$E$46:$E$185)*Impacts!$F$16))</f>
        <v>0</v>
      </c>
      <c r="U774" s="10">
        <f>IF(VCU!$C$9="",0,(SUMIF(VCU!$B$51:$B$193,$J774,VCU!$E$51:$E$193)*Impacts!$F$17))</f>
        <v>0</v>
      </c>
      <c r="V774" s="10">
        <f>IF(CAS!$C$7="",0,(SUMIF(CAS!$B$31:$B$167,$J774,CAS!$E$31:$E$167)*Impacts!$F$18))</f>
        <v>0</v>
      </c>
      <c r="W774" s="10">
        <f t="shared" si="54"/>
        <v>0</v>
      </c>
      <c r="AK774" s="10" t="str">
        <f t="array" ref="AK774">IFERROR(INDEX(SelectedSpecies,SMALL(IF(SelectedSpecies=AK$1,ROW(SelectedSpecies)),ROW(775:775)),2),"")</f>
        <v/>
      </c>
      <c r="BE774" s="10"/>
      <c r="BI774" s="10"/>
    </row>
    <row r="775" spans="1:61" ht="21" customHeight="1" x14ac:dyDescent="0.25">
      <c r="A775" s="10"/>
      <c r="B775" s="10"/>
      <c r="E775" s="10"/>
      <c r="G775" s="10"/>
      <c r="I775" s="436" t="s">
        <v>2717</v>
      </c>
      <c r="J775" s="26" t="s">
        <v>2716</v>
      </c>
      <c r="K775" s="10">
        <v>10</v>
      </c>
      <c r="L775" s="73">
        <f>IF(Tank1!$C$23="No control",(SUMIF(Tank1!$B$32:$B$49,$J775,Tank1!$C$32:$C$49)*Impacts!$F$8),0)</f>
        <v>0</v>
      </c>
      <c r="M775" s="10">
        <f>IF(Tank2!$C$23="No control",(SUMIF(Tank2!$B$32:$B$49,$J775,Tank2!$C$32:$C$49)*Impacts!$F$9),0)</f>
        <v>0</v>
      </c>
      <c r="N775" s="10">
        <f>IF(Tank3!$C$23="No control",(SUMIF(Tank3!$B$32:$B$49,$J775,Tank3!$C$32:$C$49)*Impacts!$F$10),0)</f>
        <v>0</v>
      </c>
      <c r="O775" s="10">
        <f>IF(Tank4!$C$23="No control",(SUMIF(Tank4!$B$32:$B$49,$J775,Tank4!$C$32:$C$49)*Impacts!$F$11),0)</f>
        <v>0</v>
      </c>
      <c r="P775" s="10">
        <f>IF(Tank5!$C$23="No control",(SUMIF(Tank5!$B$32:$B$49,$J775,Tank5!$C$32:$C$49)*Impacts!$F$12),0)</f>
        <v>0</v>
      </c>
      <c r="Q775" s="10">
        <f>IFERROR(IF(('Loading-drum,tote'!$C$21)="No control",SUMIF(('Loading-drum,tote'!$B$31:$B$48),$J775,('Loading-drum,tote'!$D$31:$D$48))*Impacts!$F$13,IF(('Loading-drum,tote'!$C$21)&lt;&gt;"No control",SUMIF(('Loading-drum,tote'!$B$31:$B$48),$J775,('Loading-drum,tote'!$E$31:$E$48))*Impacts!$F$13,0)),0)</f>
        <v>0</v>
      </c>
      <c r="R775" s="10">
        <f>IFERROR(IF(('Loading-truck'!$C$21)="No control",SUMIF(('Loading-truck'!$B$31:$B$48),$J775,('Loading-truck'!$D$31:$D$48))*Impacts!$F$14,IF(('Loading-truck'!$C$21)&lt;&gt;"No control",SUMIF(('Loading-truck'!$B$31:$B$48),$J775,('Loading-truck'!$E$31:$E$48))*Impacts!$F$14,0)),0)</f>
        <v>0</v>
      </c>
      <c r="S775" s="10">
        <f>IFERROR(IF(('Loading-rail'!$C$21)="No control",SUMIF(('Loading-rail'!$B$31:$B$48),$J775,('Loading-rail'!$D$31:$D$48))*Impacts!$F$15,IF(('Loading-rail'!$C$21)&lt;&gt;"No control",SUMIF(('Loading-rail'!$B$31:$B$48),$J775,('Loading-rail'!$E$31:$E$48))*Impacts!$F$15,0)),0)</f>
        <v>0</v>
      </c>
      <c r="T775" s="10">
        <f>IF(Flare!$C$7="",0,(SUMIF(Flare!$B$46:$B$185,$J775,Flare!$E$46:$E$185)*Impacts!$F$16))</f>
        <v>0</v>
      </c>
      <c r="U775" s="10">
        <f>IF(VCU!$C$9="",0,(SUMIF(VCU!$B$51:$B$193,$J775,VCU!$E$51:$E$193)*Impacts!$F$17))</f>
        <v>0</v>
      </c>
      <c r="V775" s="10">
        <f>IF(CAS!$C$7="",0,(SUMIF(CAS!$B$31:$B$167,$J775,CAS!$E$31:$E$167)*Impacts!$F$18))</f>
        <v>0</v>
      </c>
      <c r="W775" s="10">
        <f t="shared" si="54"/>
        <v>0</v>
      </c>
      <c r="AK775" s="10" t="str">
        <f t="array" ref="AK775">IFERROR(INDEX(SelectedSpecies,SMALL(IF(SelectedSpecies=AK$1,ROW(SelectedSpecies)),ROW(776:776)),2),"")</f>
        <v/>
      </c>
      <c r="BE775" s="10"/>
      <c r="BI775" s="10"/>
    </row>
    <row r="776" spans="1:61" ht="21" customHeight="1" x14ac:dyDescent="0.25">
      <c r="A776" s="10"/>
      <c r="B776" s="10"/>
      <c r="E776" s="10"/>
      <c r="G776" s="10"/>
      <c r="I776" s="436" t="s">
        <v>2331</v>
      </c>
      <c r="J776" s="26" t="s">
        <v>2330</v>
      </c>
      <c r="K776" s="10">
        <v>11.200000000000001</v>
      </c>
      <c r="L776" s="73">
        <f>IF(Tank1!$C$23="No control",(SUMIF(Tank1!$B$32:$B$49,$J776,Tank1!$C$32:$C$49)*Impacts!$F$8),0)</f>
        <v>0</v>
      </c>
      <c r="M776" s="10">
        <f>IF(Tank2!$C$23="No control",(SUMIF(Tank2!$B$32:$B$49,$J776,Tank2!$C$32:$C$49)*Impacts!$F$9),0)</f>
        <v>0</v>
      </c>
      <c r="N776" s="10">
        <f>IF(Tank3!$C$23="No control",(SUMIF(Tank3!$B$32:$B$49,$J776,Tank3!$C$32:$C$49)*Impacts!$F$10),0)</f>
        <v>0</v>
      </c>
      <c r="O776" s="10">
        <f>IF(Tank4!$C$23="No control",(SUMIF(Tank4!$B$32:$B$49,$J776,Tank4!$C$32:$C$49)*Impacts!$F$11),0)</f>
        <v>0</v>
      </c>
      <c r="P776" s="10">
        <f>IF(Tank5!$C$23="No control",(SUMIF(Tank5!$B$32:$B$49,$J776,Tank5!$C$32:$C$49)*Impacts!$F$12),0)</f>
        <v>0</v>
      </c>
      <c r="Q776" s="10">
        <f>IFERROR(IF(('Loading-drum,tote'!$C$21)="No control",SUMIF(('Loading-drum,tote'!$B$31:$B$48),$J776,('Loading-drum,tote'!$D$31:$D$48))*Impacts!$F$13,IF(('Loading-drum,tote'!$C$21)&lt;&gt;"No control",SUMIF(('Loading-drum,tote'!$B$31:$B$48),$J776,('Loading-drum,tote'!$E$31:$E$48))*Impacts!$F$13,0)),0)</f>
        <v>0</v>
      </c>
      <c r="R776" s="10">
        <f>IFERROR(IF(('Loading-truck'!$C$21)="No control",SUMIF(('Loading-truck'!$B$31:$B$48),$J776,('Loading-truck'!$D$31:$D$48))*Impacts!$F$14,IF(('Loading-truck'!$C$21)&lt;&gt;"No control",SUMIF(('Loading-truck'!$B$31:$B$48),$J776,('Loading-truck'!$E$31:$E$48))*Impacts!$F$14,0)),0)</f>
        <v>0</v>
      </c>
      <c r="S776" s="10">
        <f>IFERROR(IF(('Loading-rail'!$C$21)="No control",SUMIF(('Loading-rail'!$B$31:$B$48),$J776,('Loading-rail'!$D$31:$D$48))*Impacts!$F$15,IF(('Loading-rail'!$C$21)&lt;&gt;"No control",SUMIF(('Loading-rail'!$B$31:$B$48),$J776,('Loading-rail'!$E$31:$E$48))*Impacts!$F$15,0)),0)</f>
        <v>0</v>
      </c>
      <c r="T776" s="10">
        <f>IF(Flare!$C$7="",0,(SUMIF(Flare!$B$46:$B$185,$J776,Flare!$E$46:$E$185)*Impacts!$F$16))</f>
        <v>0</v>
      </c>
      <c r="U776" s="10">
        <f>IF(VCU!$C$9="",0,(SUMIF(VCU!$B$51:$B$193,$J776,VCU!$E$51:$E$193)*Impacts!$F$17))</f>
        <v>0</v>
      </c>
      <c r="V776" s="10">
        <f>IF(CAS!$C$7="",0,(SUMIF(CAS!$B$31:$B$167,$J776,CAS!$E$31:$E$167)*Impacts!$F$18))</f>
        <v>0</v>
      </c>
      <c r="W776" s="10">
        <f t="shared" si="54"/>
        <v>0</v>
      </c>
      <c r="AK776" s="10" t="str">
        <f t="array" ref="AK776">IFERROR(INDEX(SelectedSpecies,SMALL(IF(SelectedSpecies=AK$1,ROW(SelectedSpecies)),ROW(777:777)),2),"")</f>
        <v/>
      </c>
      <c r="BE776" s="10"/>
      <c r="BI776" s="10"/>
    </row>
    <row r="777" spans="1:61" ht="21" customHeight="1" x14ac:dyDescent="0.25">
      <c r="A777" s="10"/>
      <c r="B777" s="10"/>
      <c r="E777" s="10"/>
      <c r="G777" s="10"/>
      <c r="I777" s="436" t="s">
        <v>4793</v>
      </c>
      <c r="J777" s="26" t="s">
        <v>4792</v>
      </c>
      <c r="K777" s="10">
        <v>3.1</v>
      </c>
      <c r="L777" s="73">
        <f>IF(Tank1!$C$23="No control",(SUMIF(Tank1!$B$32:$B$49,$J777,Tank1!$C$32:$C$49)*Impacts!$F$8),0)</f>
        <v>0</v>
      </c>
      <c r="M777" s="10">
        <f>IF(Tank2!$C$23="No control",(SUMIF(Tank2!$B$32:$B$49,$J777,Tank2!$C$32:$C$49)*Impacts!$F$9),0)</f>
        <v>0</v>
      </c>
      <c r="N777" s="10">
        <f>IF(Tank3!$C$23="No control",(SUMIF(Tank3!$B$32:$B$49,$J777,Tank3!$C$32:$C$49)*Impacts!$F$10),0)</f>
        <v>0</v>
      </c>
      <c r="O777" s="10">
        <f>IF(Tank4!$C$23="No control",(SUMIF(Tank4!$B$32:$B$49,$J777,Tank4!$C$32:$C$49)*Impacts!$F$11),0)</f>
        <v>0</v>
      </c>
      <c r="P777" s="10">
        <f>IF(Tank5!$C$23="No control",(SUMIF(Tank5!$B$32:$B$49,$J777,Tank5!$C$32:$C$49)*Impacts!$F$12),0)</f>
        <v>0</v>
      </c>
      <c r="Q777" s="10">
        <f>IFERROR(IF(('Loading-drum,tote'!$C$21)="No control",SUMIF(('Loading-drum,tote'!$B$31:$B$48),$J777,('Loading-drum,tote'!$D$31:$D$48))*Impacts!$F$13,IF(('Loading-drum,tote'!$C$21)&lt;&gt;"No control",SUMIF(('Loading-drum,tote'!$B$31:$B$48),$J777,('Loading-drum,tote'!$E$31:$E$48))*Impacts!$F$13,0)),0)</f>
        <v>0</v>
      </c>
      <c r="R777" s="10">
        <f>IFERROR(IF(('Loading-truck'!$C$21)="No control",SUMIF(('Loading-truck'!$B$31:$B$48),$J777,('Loading-truck'!$D$31:$D$48))*Impacts!$F$14,IF(('Loading-truck'!$C$21)&lt;&gt;"No control",SUMIF(('Loading-truck'!$B$31:$B$48),$J777,('Loading-truck'!$E$31:$E$48))*Impacts!$F$14,0)),0)</f>
        <v>0</v>
      </c>
      <c r="S777" s="10">
        <f>IFERROR(IF(('Loading-rail'!$C$21)="No control",SUMIF(('Loading-rail'!$B$31:$B$48),$J777,('Loading-rail'!$D$31:$D$48))*Impacts!$F$15,IF(('Loading-rail'!$C$21)&lt;&gt;"No control",SUMIF(('Loading-rail'!$B$31:$B$48),$J777,('Loading-rail'!$E$31:$E$48))*Impacts!$F$15,0)),0)</f>
        <v>0</v>
      </c>
      <c r="T777" s="10">
        <f>IF(Flare!$C$7="",0,(SUMIF(Flare!$B$46:$B$185,$J777,Flare!$E$46:$E$185)*Impacts!$F$16))</f>
        <v>0</v>
      </c>
      <c r="U777" s="10">
        <f>IF(VCU!$C$9="",0,(SUMIF(VCU!$B$51:$B$193,$J777,VCU!$E$51:$E$193)*Impacts!$F$17))</f>
        <v>0</v>
      </c>
      <c r="V777" s="10">
        <f>IF(CAS!$C$7="",0,(SUMIF(CAS!$B$31:$B$167,$J777,CAS!$E$31:$E$167)*Impacts!$F$18))</f>
        <v>0</v>
      </c>
      <c r="W777" s="10">
        <f t="shared" si="54"/>
        <v>0</v>
      </c>
      <c r="AK777" s="10" t="str">
        <f t="array" ref="AK777">IFERROR(INDEX(SelectedSpecies,SMALL(IF(SelectedSpecies=AK$1,ROW(SelectedSpecies)),ROW(778:778)),2),"")</f>
        <v/>
      </c>
      <c r="BE777" s="10"/>
      <c r="BI777" s="10"/>
    </row>
    <row r="778" spans="1:61" ht="21" customHeight="1" x14ac:dyDescent="0.25">
      <c r="A778" s="10"/>
      <c r="B778" s="10"/>
      <c r="E778" s="10"/>
      <c r="G778" s="10"/>
      <c r="I778" s="436" t="s">
        <v>3913</v>
      </c>
      <c r="J778" s="26" t="s">
        <v>3912</v>
      </c>
      <c r="K778" s="10">
        <v>6</v>
      </c>
      <c r="L778" s="73">
        <f>IF(Tank1!$C$23="No control",(SUMIF(Tank1!$B$32:$B$49,$J778,Tank1!$C$32:$C$49)*Impacts!$F$8),0)</f>
        <v>0</v>
      </c>
      <c r="M778" s="10">
        <f>IF(Tank2!$C$23="No control",(SUMIF(Tank2!$B$32:$B$49,$J778,Tank2!$C$32:$C$49)*Impacts!$F$9),0)</f>
        <v>0</v>
      </c>
      <c r="N778" s="10">
        <f>IF(Tank3!$C$23="No control",(SUMIF(Tank3!$B$32:$B$49,$J778,Tank3!$C$32:$C$49)*Impacts!$F$10),0)</f>
        <v>0</v>
      </c>
      <c r="O778" s="10">
        <f>IF(Tank4!$C$23="No control",(SUMIF(Tank4!$B$32:$B$49,$J778,Tank4!$C$32:$C$49)*Impacts!$F$11),0)</f>
        <v>0</v>
      </c>
      <c r="P778" s="10">
        <f>IF(Tank5!$C$23="No control",(SUMIF(Tank5!$B$32:$B$49,$J778,Tank5!$C$32:$C$49)*Impacts!$F$12),0)</f>
        <v>0</v>
      </c>
      <c r="Q778" s="10">
        <f>IFERROR(IF(('Loading-drum,tote'!$C$21)="No control",SUMIF(('Loading-drum,tote'!$B$31:$B$48),$J778,('Loading-drum,tote'!$D$31:$D$48))*Impacts!$F$13,IF(('Loading-drum,tote'!$C$21)&lt;&gt;"No control",SUMIF(('Loading-drum,tote'!$B$31:$B$48),$J778,('Loading-drum,tote'!$E$31:$E$48))*Impacts!$F$13,0)),0)</f>
        <v>0</v>
      </c>
      <c r="R778" s="10">
        <f>IFERROR(IF(('Loading-truck'!$C$21)="No control",SUMIF(('Loading-truck'!$B$31:$B$48),$J778,('Loading-truck'!$D$31:$D$48))*Impacts!$F$14,IF(('Loading-truck'!$C$21)&lt;&gt;"No control",SUMIF(('Loading-truck'!$B$31:$B$48),$J778,('Loading-truck'!$E$31:$E$48))*Impacts!$F$14,0)),0)</f>
        <v>0</v>
      </c>
      <c r="S778" s="10">
        <f>IFERROR(IF(('Loading-rail'!$C$21)="No control",SUMIF(('Loading-rail'!$B$31:$B$48),$J778,('Loading-rail'!$D$31:$D$48))*Impacts!$F$15,IF(('Loading-rail'!$C$21)&lt;&gt;"No control",SUMIF(('Loading-rail'!$B$31:$B$48),$J778,('Loading-rail'!$E$31:$E$48))*Impacts!$F$15,0)),0)</f>
        <v>0</v>
      </c>
      <c r="T778" s="10">
        <f>IF(Flare!$C$7="",0,(SUMIF(Flare!$B$46:$B$185,$J778,Flare!$E$46:$E$185)*Impacts!$F$16))</f>
        <v>0</v>
      </c>
      <c r="U778" s="10">
        <f>IF(VCU!$C$9="",0,(SUMIF(VCU!$B$51:$B$193,$J778,VCU!$E$51:$E$193)*Impacts!$F$17))</f>
        <v>0</v>
      </c>
      <c r="V778" s="10">
        <f>IF(CAS!$C$7="",0,(SUMIF(CAS!$B$31:$B$167,$J778,CAS!$E$31:$E$167)*Impacts!$F$18))</f>
        <v>0</v>
      </c>
      <c r="W778" s="10">
        <f t="shared" si="54"/>
        <v>0</v>
      </c>
      <c r="AK778" s="10" t="str">
        <f t="array" ref="AK778">IFERROR(INDEX(SelectedSpecies,SMALL(IF(SelectedSpecies=AK$1,ROW(SelectedSpecies)),ROW(779:779)),2),"")</f>
        <v/>
      </c>
      <c r="BE778" s="10"/>
      <c r="BI778" s="10"/>
    </row>
    <row r="779" spans="1:61" ht="21" customHeight="1" x14ac:dyDescent="0.25">
      <c r="A779" s="10"/>
      <c r="B779" s="10"/>
      <c r="E779" s="10"/>
      <c r="G779" s="10"/>
      <c r="I779" s="436" t="s">
        <v>3777</v>
      </c>
      <c r="J779" s="26" t="s">
        <v>3776</v>
      </c>
      <c r="K779" s="10">
        <v>6</v>
      </c>
      <c r="L779" s="73">
        <f>IF(Tank1!$C$23="No control",(SUMIF(Tank1!$B$32:$B$49,$J779,Tank1!$C$32:$C$49)*Impacts!$F$8),0)</f>
        <v>0</v>
      </c>
      <c r="M779" s="10">
        <f>IF(Tank2!$C$23="No control",(SUMIF(Tank2!$B$32:$B$49,$J779,Tank2!$C$32:$C$49)*Impacts!$F$9),0)</f>
        <v>0</v>
      </c>
      <c r="N779" s="10">
        <f>IF(Tank3!$C$23="No control",(SUMIF(Tank3!$B$32:$B$49,$J779,Tank3!$C$32:$C$49)*Impacts!$F$10),0)</f>
        <v>0</v>
      </c>
      <c r="O779" s="10">
        <f>IF(Tank4!$C$23="No control",(SUMIF(Tank4!$B$32:$B$49,$J779,Tank4!$C$32:$C$49)*Impacts!$F$11),0)</f>
        <v>0</v>
      </c>
      <c r="P779" s="10">
        <f>IF(Tank5!$C$23="No control",(SUMIF(Tank5!$B$32:$B$49,$J779,Tank5!$C$32:$C$49)*Impacts!$F$12),0)</f>
        <v>0</v>
      </c>
      <c r="Q779" s="10">
        <f>IFERROR(IF(('Loading-drum,tote'!$C$21)="No control",SUMIF(('Loading-drum,tote'!$B$31:$B$48),$J779,('Loading-drum,tote'!$D$31:$D$48))*Impacts!$F$13,IF(('Loading-drum,tote'!$C$21)&lt;&gt;"No control",SUMIF(('Loading-drum,tote'!$B$31:$B$48),$J779,('Loading-drum,tote'!$E$31:$E$48))*Impacts!$F$13,0)),0)</f>
        <v>0</v>
      </c>
      <c r="R779" s="10">
        <f>IFERROR(IF(('Loading-truck'!$C$21)="No control",SUMIF(('Loading-truck'!$B$31:$B$48),$J779,('Loading-truck'!$D$31:$D$48))*Impacts!$F$14,IF(('Loading-truck'!$C$21)&lt;&gt;"No control",SUMIF(('Loading-truck'!$B$31:$B$48),$J779,('Loading-truck'!$E$31:$E$48))*Impacts!$F$14,0)),0)</f>
        <v>0</v>
      </c>
      <c r="S779" s="10">
        <f>IFERROR(IF(('Loading-rail'!$C$21)="No control",SUMIF(('Loading-rail'!$B$31:$B$48),$J779,('Loading-rail'!$D$31:$D$48))*Impacts!$F$15,IF(('Loading-rail'!$C$21)&lt;&gt;"No control",SUMIF(('Loading-rail'!$B$31:$B$48),$J779,('Loading-rail'!$E$31:$E$48))*Impacts!$F$15,0)),0)</f>
        <v>0</v>
      </c>
      <c r="T779" s="10">
        <f>IF(Flare!$C$7="",0,(SUMIF(Flare!$B$46:$B$185,$J779,Flare!$E$46:$E$185)*Impacts!$F$16))</f>
        <v>0</v>
      </c>
      <c r="U779" s="10">
        <f>IF(VCU!$C$9="",0,(SUMIF(VCU!$B$51:$B$193,$J779,VCU!$E$51:$E$193)*Impacts!$F$17))</f>
        <v>0</v>
      </c>
      <c r="V779" s="10">
        <f>IF(CAS!$C$7="",0,(SUMIF(CAS!$B$31:$B$167,$J779,CAS!$E$31:$E$167)*Impacts!$F$18))</f>
        <v>0</v>
      </c>
      <c r="W779" s="10">
        <f t="shared" si="54"/>
        <v>0</v>
      </c>
      <c r="AK779" s="10" t="str">
        <f t="array" ref="AK779">IFERROR(INDEX(SelectedSpecies,SMALL(IF(SelectedSpecies=AK$1,ROW(SelectedSpecies)),ROW(780:780)),2),"")</f>
        <v/>
      </c>
      <c r="BE779" s="10"/>
      <c r="BI779" s="10"/>
    </row>
    <row r="780" spans="1:61" ht="21" customHeight="1" x14ac:dyDescent="0.25">
      <c r="A780" s="10"/>
      <c r="B780" s="10"/>
      <c r="E780" s="10"/>
      <c r="G780" s="10"/>
      <c r="I780" s="436" t="s">
        <v>2091</v>
      </c>
      <c r="J780" s="26" t="s">
        <v>2090</v>
      </c>
      <c r="K780" s="10">
        <v>15</v>
      </c>
      <c r="L780" s="73">
        <f>IF(Tank1!$C$23="No control",(SUMIF(Tank1!$B$32:$B$49,$J780,Tank1!$C$32:$C$49)*Impacts!$F$8),0)</f>
        <v>0</v>
      </c>
      <c r="M780" s="10">
        <f>IF(Tank2!$C$23="No control",(SUMIF(Tank2!$B$32:$B$49,$J780,Tank2!$C$32:$C$49)*Impacts!$F$9),0)</f>
        <v>0</v>
      </c>
      <c r="N780" s="10">
        <f>IF(Tank3!$C$23="No control",(SUMIF(Tank3!$B$32:$B$49,$J780,Tank3!$C$32:$C$49)*Impacts!$F$10),0)</f>
        <v>0</v>
      </c>
      <c r="O780" s="10">
        <f>IF(Tank4!$C$23="No control",(SUMIF(Tank4!$B$32:$B$49,$J780,Tank4!$C$32:$C$49)*Impacts!$F$11),0)</f>
        <v>0</v>
      </c>
      <c r="P780" s="10">
        <f>IF(Tank5!$C$23="No control",(SUMIF(Tank5!$B$32:$B$49,$J780,Tank5!$C$32:$C$49)*Impacts!$F$12),0)</f>
        <v>0</v>
      </c>
      <c r="Q780" s="10">
        <f>IFERROR(IF(('Loading-drum,tote'!$C$21)="No control",SUMIF(('Loading-drum,tote'!$B$31:$B$48),$J780,('Loading-drum,tote'!$D$31:$D$48))*Impacts!$F$13,IF(('Loading-drum,tote'!$C$21)&lt;&gt;"No control",SUMIF(('Loading-drum,tote'!$B$31:$B$48),$J780,('Loading-drum,tote'!$E$31:$E$48))*Impacts!$F$13,0)),0)</f>
        <v>0</v>
      </c>
      <c r="R780" s="10">
        <f>IFERROR(IF(('Loading-truck'!$C$21)="No control",SUMIF(('Loading-truck'!$B$31:$B$48),$J780,('Loading-truck'!$D$31:$D$48))*Impacts!$F$14,IF(('Loading-truck'!$C$21)&lt;&gt;"No control",SUMIF(('Loading-truck'!$B$31:$B$48),$J780,('Loading-truck'!$E$31:$E$48))*Impacts!$F$14,0)),0)</f>
        <v>0</v>
      </c>
      <c r="S780" s="10">
        <f>IFERROR(IF(('Loading-rail'!$C$21)="No control",SUMIF(('Loading-rail'!$B$31:$B$48),$J780,('Loading-rail'!$D$31:$D$48))*Impacts!$F$15,IF(('Loading-rail'!$C$21)&lt;&gt;"No control",SUMIF(('Loading-rail'!$B$31:$B$48),$J780,('Loading-rail'!$E$31:$E$48))*Impacts!$F$15,0)),0)</f>
        <v>0</v>
      </c>
      <c r="T780" s="10">
        <f>IF(Flare!$C$7="",0,(SUMIF(Flare!$B$46:$B$185,$J780,Flare!$E$46:$E$185)*Impacts!$F$16))</f>
        <v>0</v>
      </c>
      <c r="U780" s="10">
        <f>IF(VCU!$C$9="",0,(SUMIF(VCU!$B$51:$B$193,$J780,VCU!$E$51:$E$193)*Impacts!$F$17))</f>
        <v>0</v>
      </c>
      <c r="V780" s="10">
        <f>IF(CAS!$C$7="",0,(SUMIF(CAS!$B$31:$B$167,$J780,CAS!$E$31:$E$167)*Impacts!$F$18))</f>
        <v>0</v>
      </c>
      <c r="W780" s="10">
        <f t="shared" si="54"/>
        <v>0</v>
      </c>
      <c r="AK780" s="10" t="str">
        <f t="array" ref="AK780">IFERROR(INDEX(SelectedSpecies,SMALL(IF(SelectedSpecies=AK$1,ROW(SelectedSpecies)),ROW(781:781)),2),"")</f>
        <v/>
      </c>
      <c r="BE780" s="10"/>
      <c r="BI780" s="10"/>
    </row>
    <row r="781" spans="1:61" ht="21" customHeight="1" x14ac:dyDescent="0.25">
      <c r="A781" s="10"/>
      <c r="B781" s="10"/>
      <c r="E781" s="10"/>
      <c r="G781" s="10"/>
      <c r="I781" s="436" t="s">
        <v>5754</v>
      </c>
      <c r="J781" s="26" t="s">
        <v>5753</v>
      </c>
      <c r="K781" s="10">
        <v>1</v>
      </c>
      <c r="L781" s="73">
        <f>IF(Tank1!$C$23="No control",(SUMIF(Tank1!$B$32:$B$49,$J781,Tank1!$C$32:$C$49)*Impacts!$F$8),0)</f>
        <v>0</v>
      </c>
      <c r="M781" s="10">
        <f>IF(Tank2!$C$23="No control",(SUMIF(Tank2!$B$32:$B$49,$J781,Tank2!$C$32:$C$49)*Impacts!$F$9),0)</f>
        <v>0</v>
      </c>
      <c r="N781" s="10">
        <f>IF(Tank3!$C$23="No control",(SUMIF(Tank3!$B$32:$B$49,$J781,Tank3!$C$32:$C$49)*Impacts!$F$10),0)</f>
        <v>0</v>
      </c>
      <c r="O781" s="10">
        <f>IF(Tank4!$C$23="No control",(SUMIF(Tank4!$B$32:$B$49,$J781,Tank4!$C$32:$C$49)*Impacts!$F$11),0)</f>
        <v>0</v>
      </c>
      <c r="P781" s="10">
        <f>IF(Tank5!$C$23="No control",(SUMIF(Tank5!$B$32:$B$49,$J781,Tank5!$C$32:$C$49)*Impacts!$F$12),0)</f>
        <v>0</v>
      </c>
      <c r="Q781" s="10">
        <f>IFERROR(IF(('Loading-drum,tote'!$C$21)="No control",SUMIF(('Loading-drum,tote'!$B$31:$B$48),$J781,('Loading-drum,tote'!$D$31:$D$48))*Impacts!$F$13,IF(('Loading-drum,tote'!$C$21)&lt;&gt;"No control",SUMIF(('Loading-drum,tote'!$B$31:$B$48),$J781,('Loading-drum,tote'!$E$31:$E$48))*Impacts!$F$13,0)),0)</f>
        <v>0</v>
      </c>
      <c r="R781" s="10">
        <f>IFERROR(IF(('Loading-truck'!$C$21)="No control",SUMIF(('Loading-truck'!$B$31:$B$48),$J781,('Loading-truck'!$D$31:$D$48))*Impacts!$F$14,IF(('Loading-truck'!$C$21)&lt;&gt;"No control",SUMIF(('Loading-truck'!$B$31:$B$48),$J781,('Loading-truck'!$E$31:$E$48))*Impacts!$F$14,0)),0)</f>
        <v>0</v>
      </c>
      <c r="S781" s="10">
        <f>IFERROR(IF(('Loading-rail'!$C$21)="No control",SUMIF(('Loading-rail'!$B$31:$B$48),$J781,('Loading-rail'!$D$31:$D$48))*Impacts!$F$15,IF(('Loading-rail'!$C$21)&lt;&gt;"No control",SUMIF(('Loading-rail'!$B$31:$B$48),$J781,('Loading-rail'!$E$31:$E$48))*Impacts!$F$15,0)),0)</f>
        <v>0</v>
      </c>
      <c r="T781" s="10">
        <f>IF(Flare!$C$7="",0,(SUMIF(Flare!$B$46:$B$185,$J781,Flare!$E$46:$E$185)*Impacts!$F$16))</f>
        <v>0</v>
      </c>
      <c r="U781" s="10">
        <f>IF(VCU!$C$9="",0,(SUMIF(VCU!$B$51:$B$193,$J781,VCU!$E$51:$E$193)*Impacts!$F$17))</f>
        <v>0</v>
      </c>
      <c r="V781" s="10">
        <f>IF(CAS!$C$7="",0,(SUMIF(CAS!$B$31:$B$167,$J781,CAS!$E$31:$E$167)*Impacts!$F$18))</f>
        <v>0</v>
      </c>
      <c r="W781" s="10">
        <f t="shared" si="54"/>
        <v>0</v>
      </c>
      <c r="AK781" s="10" t="str">
        <f t="array" ref="AK781">IFERROR(INDEX(SelectedSpecies,SMALL(IF(SelectedSpecies=AK$1,ROW(SelectedSpecies)),ROW(782:782)),2),"")</f>
        <v/>
      </c>
      <c r="BE781" s="10"/>
      <c r="BI781" s="10"/>
    </row>
    <row r="782" spans="1:61" ht="21" customHeight="1" x14ac:dyDescent="0.25">
      <c r="A782" s="10"/>
      <c r="B782" s="10"/>
      <c r="E782" s="10"/>
      <c r="G782" s="10"/>
      <c r="I782" s="436" t="s">
        <v>1662</v>
      </c>
      <c r="J782" s="26" t="s">
        <v>1661</v>
      </c>
      <c r="K782" s="10">
        <v>24.5</v>
      </c>
      <c r="L782" s="73">
        <f>IF(Tank1!$C$23="No control",(SUMIF(Tank1!$B$32:$B$49,$J782,Tank1!$C$32:$C$49)*Impacts!$F$8),0)</f>
        <v>0</v>
      </c>
      <c r="M782" s="10">
        <f>IF(Tank2!$C$23="No control",(SUMIF(Tank2!$B$32:$B$49,$J782,Tank2!$C$32:$C$49)*Impacts!$F$9),0)</f>
        <v>0</v>
      </c>
      <c r="N782" s="10">
        <f>IF(Tank3!$C$23="No control",(SUMIF(Tank3!$B$32:$B$49,$J782,Tank3!$C$32:$C$49)*Impacts!$F$10),0)</f>
        <v>0</v>
      </c>
      <c r="O782" s="10">
        <f>IF(Tank4!$C$23="No control",(SUMIF(Tank4!$B$32:$B$49,$J782,Tank4!$C$32:$C$49)*Impacts!$F$11),0)</f>
        <v>0</v>
      </c>
      <c r="P782" s="10">
        <f>IF(Tank5!$C$23="No control",(SUMIF(Tank5!$B$32:$B$49,$J782,Tank5!$C$32:$C$49)*Impacts!$F$12),0)</f>
        <v>0</v>
      </c>
      <c r="Q782" s="10">
        <f>IFERROR(IF(('Loading-drum,tote'!$C$21)="No control",SUMIF(('Loading-drum,tote'!$B$31:$B$48),$J782,('Loading-drum,tote'!$D$31:$D$48))*Impacts!$F$13,IF(('Loading-drum,tote'!$C$21)&lt;&gt;"No control",SUMIF(('Loading-drum,tote'!$B$31:$B$48),$J782,('Loading-drum,tote'!$E$31:$E$48))*Impacts!$F$13,0)),0)</f>
        <v>0</v>
      </c>
      <c r="R782" s="10">
        <f>IFERROR(IF(('Loading-truck'!$C$21)="No control",SUMIF(('Loading-truck'!$B$31:$B$48),$J782,('Loading-truck'!$D$31:$D$48))*Impacts!$F$14,IF(('Loading-truck'!$C$21)&lt;&gt;"No control",SUMIF(('Loading-truck'!$B$31:$B$48),$J782,('Loading-truck'!$E$31:$E$48))*Impacts!$F$14,0)),0)</f>
        <v>0</v>
      </c>
      <c r="S782" s="10">
        <f>IFERROR(IF(('Loading-rail'!$C$21)="No control",SUMIF(('Loading-rail'!$B$31:$B$48),$J782,('Loading-rail'!$D$31:$D$48))*Impacts!$F$15,IF(('Loading-rail'!$C$21)&lt;&gt;"No control",SUMIF(('Loading-rail'!$B$31:$B$48),$J782,('Loading-rail'!$E$31:$E$48))*Impacts!$F$15,0)),0)</f>
        <v>0</v>
      </c>
      <c r="T782" s="10">
        <f>IF(Flare!$C$7="",0,(SUMIF(Flare!$B$46:$B$185,$J782,Flare!$E$46:$E$185)*Impacts!$F$16))</f>
        <v>0</v>
      </c>
      <c r="U782" s="10">
        <f>IF(VCU!$C$9="",0,(SUMIF(VCU!$B$51:$B$193,$J782,VCU!$E$51:$E$193)*Impacts!$F$17))</f>
        <v>0</v>
      </c>
      <c r="V782" s="10">
        <f>IF(CAS!$C$7="",0,(SUMIF(CAS!$B$31:$B$167,$J782,CAS!$E$31:$E$167)*Impacts!$F$18))</f>
        <v>0</v>
      </c>
      <c r="W782" s="10">
        <f t="shared" si="54"/>
        <v>0</v>
      </c>
      <c r="AK782" s="10" t="str">
        <f t="array" ref="AK782">IFERROR(INDEX(SelectedSpecies,SMALL(IF(SelectedSpecies=AK$1,ROW(SelectedSpecies)),ROW(783:783)),2),"")</f>
        <v/>
      </c>
      <c r="BE782" s="10"/>
      <c r="BI782" s="10"/>
    </row>
    <row r="783" spans="1:61" ht="21" customHeight="1" x14ac:dyDescent="0.25">
      <c r="A783" s="10"/>
      <c r="B783" s="10"/>
      <c r="E783" s="10"/>
      <c r="G783" s="10"/>
      <c r="I783" s="436" t="s">
        <v>1664</v>
      </c>
      <c r="J783" s="26" t="s">
        <v>1663</v>
      </c>
      <c r="K783" s="10">
        <v>24.5</v>
      </c>
      <c r="L783" s="73">
        <f>IF(Tank1!$C$23="No control",(SUMIF(Tank1!$B$32:$B$49,$J783,Tank1!$C$32:$C$49)*Impacts!$F$8),0)</f>
        <v>0</v>
      </c>
      <c r="M783" s="10">
        <f>IF(Tank2!$C$23="No control",(SUMIF(Tank2!$B$32:$B$49,$J783,Tank2!$C$32:$C$49)*Impacts!$F$9),0)</f>
        <v>0</v>
      </c>
      <c r="N783" s="10">
        <f>IF(Tank3!$C$23="No control",(SUMIF(Tank3!$B$32:$B$49,$J783,Tank3!$C$32:$C$49)*Impacts!$F$10),0)</f>
        <v>0</v>
      </c>
      <c r="O783" s="10">
        <f>IF(Tank4!$C$23="No control",(SUMIF(Tank4!$B$32:$B$49,$J783,Tank4!$C$32:$C$49)*Impacts!$F$11),0)</f>
        <v>0</v>
      </c>
      <c r="P783" s="10">
        <f>IF(Tank5!$C$23="No control",(SUMIF(Tank5!$B$32:$B$49,$J783,Tank5!$C$32:$C$49)*Impacts!$F$12),0)</f>
        <v>0</v>
      </c>
      <c r="Q783" s="10">
        <f>IFERROR(IF(('Loading-drum,tote'!$C$21)="No control",SUMIF(('Loading-drum,tote'!$B$31:$B$48),$J783,('Loading-drum,tote'!$D$31:$D$48))*Impacts!$F$13,IF(('Loading-drum,tote'!$C$21)&lt;&gt;"No control",SUMIF(('Loading-drum,tote'!$B$31:$B$48),$J783,('Loading-drum,tote'!$E$31:$E$48))*Impacts!$F$13,0)),0)</f>
        <v>0</v>
      </c>
      <c r="R783" s="10">
        <f>IFERROR(IF(('Loading-truck'!$C$21)="No control",SUMIF(('Loading-truck'!$B$31:$B$48),$J783,('Loading-truck'!$D$31:$D$48))*Impacts!$F$14,IF(('Loading-truck'!$C$21)&lt;&gt;"No control",SUMIF(('Loading-truck'!$B$31:$B$48),$J783,('Loading-truck'!$E$31:$E$48))*Impacts!$F$14,0)),0)</f>
        <v>0</v>
      </c>
      <c r="S783" s="10">
        <f>IFERROR(IF(('Loading-rail'!$C$21)="No control",SUMIF(('Loading-rail'!$B$31:$B$48),$J783,('Loading-rail'!$D$31:$D$48))*Impacts!$F$15,IF(('Loading-rail'!$C$21)&lt;&gt;"No control",SUMIF(('Loading-rail'!$B$31:$B$48),$J783,('Loading-rail'!$E$31:$E$48))*Impacts!$F$15,0)),0)</f>
        <v>0</v>
      </c>
      <c r="T783" s="10">
        <f>IF(Flare!$C$7="",0,(SUMIF(Flare!$B$46:$B$185,$J783,Flare!$E$46:$E$185)*Impacts!$F$16))</f>
        <v>0</v>
      </c>
      <c r="U783" s="10">
        <f>IF(VCU!$C$9="",0,(SUMIF(VCU!$B$51:$B$193,$J783,VCU!$E$51:$E$193)*Impacts!$F$17))</f>
        <v>0</v>
      </c>
      <c r="V783" s="10">
        <f>IF(CAS!$C$7="",0,(SUMIF(CAS!$B$31:$B$167,$J783,CAS!$E$31:$E$167)*Impacts!$F$18))</f>
        <v>0</v>
      </c>
      <c r="W783" s="10">
        <f t="shared" si="54"/>
        <v>0</v>
      </c>
      <c r="AK783" s="10" t="str">
        <f t="array" ref="AK783">IFERROR(INDEX(SelectedSpecies,SMALL(IF(SelectedSpecies=AK$1,ROW(SelectedSpecies)),ROW(784:784)),2),"")</f>
        <v/>
      </c>
      <c r="BE783" s="10"/>
      <c r="BI783" s="10"/>
    </row>
    <row r="784" spans="1:61" ht="21" customHeight="1" x14ac:dyDescent="0.25">
      <c r="A784" s="10"/>
      <c r="B784" s="10"/>
      <c r="E784" s="10"/>
      <c r="G784" s="10"/>
      <c r="I784" s="436" t="s">
        <v>10339</v>
      </c>
      <c r="J784" s="26" t="s">
        <v>10340</v>
      </c>
      <c r="K784" s="10">
        <v>10</v>
      </c>
      <c r="L784" s="73">
        <f>IF(Tank1!$C$23="No control",(SUMIF(Tank1!$B$32:$B$49,$J784,Tank1!$C$32:$C$49)*Impacts!$F$8),0)</f>
        <v>0</v>
      </c>
      <c r="M784" s="10">
        <f>IF(Tank2!$C$23="No control",(SUMIF(Tank2!$B$32:$B$49,$J784,Tank2!$C$32:$C$49)*Impacts!$F$9),0)</f>
        <v>0</v>
      </c>
      <c r="N784" s="10">
        <f>IF(Tank3!$C$23="No control",(SUMIF(Tank3!$B$32:$B$49,$J784,Tank3!$C$32:$C$49)*Impacts!$F$10),0)</f>
        <v>0</v>
      </c>
      <c r="O784" s="10">
        <f>IF(Tank4!$C$23="No control",(SUMIF(Tank4!$B$32:$B$49,$J784,Tank4!$C$32:$C$49)*Impacts!$F$11),0)</f>
        <v>0</v>
      </c>
      <c r="P784" s="10">
        <f>IF(Tank5!$C$23="No control",(SUMIF(Tank5!$B$32:$B$49,$J784,Tank5!$C$32:$C$49)*Impacts!$F$12),0)</f>
        <v>0</v>
      </c>
      <c r="Q784" s="10">
        <f>IFERROR(IF(('Loading-drum,tote'!$C$21)="No control",SUMIF(('Loading-drum,tote'!$B$31:$B$48),$J784,('Loading-drum,tote'!$D$31:$D$48))*Impacts!$F$13,IF(('Loading-drum,tote'!$C$21)&lt;&gt;"No control",SUMIF(('Loading-drum,tote'!$B$31:$B$48),$J784,('Loading-drum,tote'!$E$31:$E$48))*Impacts!$F$13,0)),0)</f>
        <v>0</v>
      </c>
      <c r="R784" s="10">
        <f>IFERROR(IF(('Loading-truck'!$C$21)="No control",SUMIF(('Loading-truck'!$B$31:$B$48),$J784,('Loading-truck'!$D$31:$D$48))*Impacts!$F$14,IF(('Loading-truck'!$C$21)&lt;&gt;"No control",SUMIF(('Loading-truck'!$B$31:$B$48),$J784,('Loading-truck'!$E$31:$E$48))*Impacts!$F$14,0)),0)</f>
        <v>0</v>
      </c>
      <c r="S784" s="10">
        <f>IFERROR(IF(('Loading-rail'!$C$21)="No control",SUMIF(('Loading-rail'!$B$31:$B$48),$J784,('Loading-rail'!$D$31:$D$48))*Impacts!$F$15,IF(('Loading-rail'!$C$21)&lt;&gt;"No control",SUMIF(('Loading-rail'!$B$31:$B$48),$J784,('Loading-rail'!$E$31:$E$48))*Impacts!$F$15,0)),0)</f>
        <v>0</v>
      </c>
      <c r="T784" s="10">
        <f>IF(Flare!$C$7="",0,(SUMIF(Flare!$B$46:$B$185,$J784,Flare!$E$46:$E$185)*Impacts!$F$16))</f>
        <v>0</v>
      </c>
      <c r="U784" s="10">
        <f>IF(VCU!$C$9="",0,(SUMIF(VCU!$B$51:$B$193,$J784,VCU!$E$51:$E$193)*Impacts!$F$17))</f>
        <v>0</v>
      </c>
      <c r="V784" s="10">
        <f>IF(CAS!$C$7="",0,(SUMIF(CAS!$B$31:$B$167,$J784,CAS!$E$31:$E$167)*Impacts!$F$18))</f>
        <v>0</v>
      </c>
      <c r="W784" s="10">
        <f t="shared" si="54"/>
        <v>0</v>
      </c>
      <c r="AK784" s="10" t="str">
        <f t="array" ref="AK784">IFERROR(INDEX(SelectedSpecies,SMALL(IF(SelectedSpecies=AK$1,ROW(SelectedSpecies)),ROW(785:785)),2),"")</f>
        <v/>
      </c>
      <c r="BE784" s="10"/>
      <c r="BI784" s="10"/>
    </row>
    <row r="785" spans="1:61" ht="21" customHeight="1" x14ac:dyDescent="0.25">
      <c r="A785" s="10"/>
      <c r="B785" s="10"/>
      <c r="E785" s="10"/>
      <c r="G785" s="10"/>
      <c r="I785" s="436" t="s">
        <v>10341</v>
      </c>
      <c r="J785" s="26" t="s">
        <v>10342</v>
      </c>
      <c r="K785" s="10">
        <v>10</v>
      </c>
      <c r="L785" s="73">
        <f>IF(Tank1!$C$23="No control",(SUMIF(Tank1!$B$32:$B$49,$J785,Tank1!$C$32:$C$49)*Impacts!$F$8),0)</f>
        <v>0</v>
      </c>
      <c r="M785" s="10">
        <f>IF(Tank2!$C$23="No control",(SUMIF(Tank2!$B$32:$B$49,$J785,Tank2!$C$32:$C$49)*Impacts!$F$9),0)</f>
        <v>0</v>
      </c>
      <c r="N785" s="10">
        <f>IF(Tank3!$C$23="No control",(SUMIF(Tank3!$B$32:$B$49,$J785,Tank3!$C$32:$C$49)*Impacts!$F$10),0)</f>
        <v>0</v>
      </c>
      <c r="O785" s="10">
        <f>IF(Tank4!$C$23="No control",(SUMIF(Tank4!$B$32:$B$49,$J785,Tank4!$C$32:$C$49)*Impacts!$F$11),0)</f>
        <v>0</v>
      </c>
      <c r="P785" s="10">
        <f>IF(Tank5!$C$23="No control",(SUMIF(Tank5!$B$32:$B$49,$J785,Tank5!$C$32:$C$49)*Impacts!$F$12),0)</f>
        <v>0</v>
      </c>
      <c r="Q785" s="10">
        <f>IFERROR(IF(('Loading-drum,tote'!$C$21)="No control",SUMIF(('Loading-drum,tote'!$B$31:$B$48),$J785,('Loading-drum,tote'!$D$31:$D$48))*Impacts!$F$13,IF(('Loading-drum,tote'!$C$21)&lt;&gt;"No control",SUMIF(('Loading-drum,tote'!$B$31:$B$48),$J785,('Loading-drum,tote'!$E$31:$E$48))*Impacts!$F$13,0)),0)</f>
        <v>0</v>
      </c>
      <c r="R785" s="10">
        <f>IFERROR(IF(('Loading-truck'!$C$21)="No control",SUMIF(('Loading-truck'!$B$31:$B$48),$J785,('Loading-truck'!$D$31:$D$48))*Impacts!$F$14,IF(('Loading-truck'!$C$21)&lt;&gt;"No control",SUMIF(('Loading-truck'!$B$31:$B$48),$J785,('Loading-truck'!$E$31:$E$48))*Impacts!$F$14,0)),0)</f>
        <v>0</v>
      </c>
      <c r="S785" s="10">
        <f>IFERROR(IF(('Loading-rail'!$C$21)="No control",SUMIF(('Loading-rail'!$B$31:$B$48),$J785,('Loading-rail'!$D$31:$D$48))*Impacts!$F$15,IF(('Loading-rail'!$C$21)&lt;&gt;"No control",SUMIF(('Loading-rail'!$B$31:$B$48),$J785,('Loading-rail'!$E$31:$E$48))*Impacts!$F$15,0)),0)</f>
        <v>0</v>
      </c>
      <c r="T785" s="10">
        <f>IF(Flare!$C$7="",0,(SUMIF(Flare!$B$46:$B$185,$J785,Flare!$E$46:$E$185)*Impacts!$F$16))</f>
        <v>0</v>
      </c>
      <c r="U785" s="10">
        <f>IF(VCU!$C$9="",0,(SUMIF(VCU!$B$51:$B$193,$J785,VCU!$E$51:$E$193)*Impacts!$F$17))</f>
        <v>0</v>
      </c>
      <c r="V785" s="10">
        <f>IF(CAS!$C$7="",0,(SUMIF(CAS!$B$31:$B$167,$J785,CAS!$E$31:$E$167)*Impacts!$F$18))</f>
        <v>0</v>
      </c>
      <c r="W785" s="10">
        <f t="shared" si="54"/>
        <v>0</v>
      </c>
      <c r="AK785" s="10" t="str">
        <f t="array" ref="AK785">IFERROR(INDEX(SelectedSpecies,SMALL(IF(SelectedSpecies=AK$1,ROW(SelectedSpecies)),ROW(786:786)),2),"")</f>
        <v/>
      </c>
      <c r="BE785" s="10"/>
      <c r="BI785" s="10"/>
    </row>
    <row r="786" spans="1:61" ht="21" customHeight="1" x14ac:dyDescent="0.25">
      <c r="A786" s="10"/>
      <c r="B786" s="10"/>
      <c r="E786" s="10"/>
      <c r="G786" s="10"/>
      <c r="I786" s="436" t="s">
        <v>7164</v>
      </c>
      <c r="J786" s="26" t="s">
        <v>7163</v>
      </c>
      <c r="K786" s="10">
        <v>0.33</v>
      </c>
      <c r="L786" s="73">
        <f>IF(Tank1!$C$23="No control",(SUMIF(Tank1!$B$32:$B$49,$J786,Tank1!$C$32:$C$49)*Impacts!$F$8),0)</f>
        <v>0</v>
      </c>
      <c r="M786" s="10">
        <f>IF(Tank2!$C$23="No control",(SUMIF(Tank2!$B$32:$B$49,$J786,Tank2!$C$32:$C$49)*Impacts!$F$9),0)</f>
        <v>0</v>
      </c>
      <c r="N786" s="10">
        <f>IF(Tank3!$C$23="No control",(SUMIF(Tank3!$B$32:$B$49,$J786,Tank3!$C$32:$C$49)*Impacts!$F$10),0)</f>
        <v>0</v>
      </c>
      <c r="O786" s="10">
        <f>IF(Tank4!$C$23="No control",(SUMIF(Tank4!$B$32:$B$49,$J786,Tank4!$C$32:$C$49)*Impacts!$F$11),0)</f>
        <v>0</v>
      </c>
      <c r="P786" s="10">
        <f>IF(Tank5!$C$23="No control",(SUMIF(Tank5!$B$32:$B$49,$J786,Tank5!$C$32:$C$49)*Impacts!$F$12),0)</f>
        <v>0</v>
      </c>
      <c r="Q786" s="10">
        <f>IFERROR(IF(('Loading-drum,tote'!$C$21)="No control",SUMIF(('Loading-drum,tote'!$B$31:$B$48),$J786,('Loading-drum,tote'!$D$31:$D$48))*Impacts!$F$13,IF(('Loading-drum,tote'!$C$21)&lt;&gt;"No control",SUMIF(('Loading-drum,tote'!$B$31:$B$48),$J786,('Loading-drum,tote'!$E$31:$E$48))*Impacts!$F$13,0)),0)</f>
        <v>0</v>
      </c>
      <c r="R786" s="10">
        <f>IFERROR(IF(('Loading-truck'!$C$21)="No control",SUMIF(('Loading-truck'!$B$31:$B$48),$J786,('Loading-truck'!$D$31:$D$48))*Impacts!$F$14,IF(('Loading-truck'!$C$21)&lt;&gt;"No control",SUMIF(('Loading-truck'!$B$31:$B$48),$J786,('Loading-truck'!$E$31:$E$48))*Impacts!$F$14,0)),0)</f>
        <v>0</v>
      </c>
      <c r="S786" s="10">
        <f>IFERROR(IF(('Loading-rail'!$C$21)="No control",SUMIF(('Loading-rail'!$B$31:$B$48),$J786,('Loading-rail'!$D$31:$D$48))*Impacts!$F$15,IF(('Loading-rail'!$C$21)&lt;&gt;"No control",SUMIF(('Loading-rail'!$B$31:$B$48),$J786,('Loading-rail'!$E$31:$E$48))*Impacts!$F$15,0)),0)</f>
        <v>0</v>
      </c>
      <c r="T786" s="10">
        <f>IF(Flare!$C$7="",0,(SUMIF(Flare!$B$46:$B$185,$J786,Flare!$E$46:$E$185)*Impacts!$F$16))</f>
        <v>0</v>
      </c>
      <c r="U786" s="10">
        <f>IF(VCU!$C$9="",0,(SUMIF(VCU!$B$51:$B$193,$J786,VCU!$E$51:$E$193)*Impacts!$F$17))</f>
        <v>0</v>
      </c>
      <c r="V786" s="10">
        <f>IF(CAS!$C$7="",0,(SUMIF(CAS!$B$31:$B$167,$J786,CAS!$E$31:$E$167)*Impacts!$F$18))</f>
        <v>0</v>
      </c>
      <c r="W786" s="10">
        <f t="shared" si="54"/>
        <v>0</v>
      </c>
      <c r="AK786" s="10" t="str">
        <f t="array" ref="AK786">IFERROR(INDEX(SelectedSpecies,SMALL(IF(SelectedSpecies=AK$1,ROW(SelectedSpecies)),ROW(787:787)),2),"")</f>
        <v/>
      </c>
      <c r="BE786" s="10"/>
      <c r="BI786" s="10"/>
    </row>
    <row r="787" spans="1:61" ht="21" customHeight="1" x14ac:dyDescent="0.25">
      <c r="A787" s="10"/>
      <c r="B787" s="10"/>
      <c r="E787" s="10"/>
      <c r="G787" s="10"/>
      <c r="I787" s="436" t="s">
        <v>2719</v>
      </c>
      <c r="J787" s="26" t="s">
        <v>2718</v>
      </c>
      <c r="K787" s="10">
        <v>10</v>
      </c>
      <c r="L787" s="73">
        <f>IF(Tank1!$C$23="No control",(SUMIF(Tank1!$B$32:$B$49,$J787,Tank1!$C$32:$C$49)*Impacts!$F$8),0)</f>
        <v>0</v>
      </c>
      <c r="M787" s="10">
        <f>IF(Tank2!$C$23="No control",(SUMIF(Tank2!$B$32:$B$49,$J787,Tank2!$C$32:$C$49)*Impacts!$F$9),0)</f>
        <v>0</v>
      </c>
      <c r="N787" s="10">
        <f>IF(Tank3!$C$23="No control",(SUMIF(Tank3!$B$32:$B$49,$J787,Tank3!$C$32:$C$49)*Impacts!$F$10),0)</f>
        <v>0</v>
      </c>
      <c r="O787" s="10">
        <f>IF(Tank4!$C$23="No control",(SUMIF(Tank4!$B$32:$B$49,$J787,Tank4!$C$32:$C$49)*Impacts!$F$11),0)</f>
        <v>0</v>
      </c>
      <c r="P787" s="10">
        <f>IF(Tank5!$C$23="No control",(SUMIF(Tank5!$B$32:$B$49,$J787,Tank5!$C$32:$C$49)*Impacts!$F$12),0)</f>
        <v>0</v>
      </c>
      <c r="Q787" s="10">
        <f>IFERROR(IF(('Loading-drum,tote'!$C$21)="No control",SUMIF(('Loading-drum,tote'!$B$31:$B$48),$J787,('Loading-drum,tote'!$D$31:$D$48))*Impacts!$F$13,IF(('Loading-drum,tote'!$C$21)&lt;&gt;"No control",SUMIF(('Loading-drum,tote'!$B$31:$B$48),$J787,('Loading-drum,tote'!$E$31:$E$48))*Impacts!$F$13,0)),0)</f>
        <v>0</v>
      </c>
      <c r="R787" s="10">
        <f>IFERROR(IF(('Loading-truck'!$C$21)="No control",SUMIF(('Loading-truck'!$B$31:$B$48),$J787,('Loading-truck'!$D$31:$D$48))*Impacts!$F$14,IF(('Loading-truck'!$C$21)&lt;&gt;"No control",SUMIF(('Loading-truck'!$B$31:$B$48),$J787,('Loading-truck'!$E$31:$E$48))*Impacts!$F$14,0)),0)</f>
        <v>0</v>
      </c>
      <c r="S787" s="10">
        <f>IFERROR(IF(('Loading-rail'!$C$21)="No control",SUMIF(('Loading-rail'!$B$31:$B$48),$J787,('Loading-rail'!$D$31:$D$48))*Impacts!$F$15,IF(('Loading-rail'!$C$21)&lt;&gt;"No control",SUMIF(('Loading-rail'!$B$31:$B$48),$J787,('Loading-rail'!$E$31:$E$48))*Impacts!$F$15,0)),0)</f>
        <v>0</v>
      </c>
      <c r="T787" s="10">
        <f>IF(Flare!$C$7="",0,(SUMIF(Flare!$B$46:$B$185,$J787,Flare!$E$46:$E$185)*Impacts!$F$16))</f>
        <v>0</v>
      </c>
      <c r="U787" s="10">
        <f>IF(VCU!$C$9="",0,(SUMIF(VCU!$B$51:$B$193,$J787,VCU!$E$51:$E$193)*Impacts!$F$17))</f>
        <v>0</v>
      </c>
      <c r="V787" s="10">
        <f>IF(CAS!$C$7="",0,(SUMIF(CAS!$B$31:$B$167,$J787,CAS!$E$31:$E$167)*Impacts!$F$18))</f>
        <v>0</v>
      </c>
      <c r="W787" s="10">
        <f t="shared" si="54"/>
        <v>0</v>
      </c>
      <c r="AK787" s="10" t="str">
        <f t="array" ref="AK787">IFERROR(INDEX(SelectedSpecies,SMALL(IF(SelectedSpecies=AK$1,ROW(SelectedSpecies)),ROW(788:788)),2),"")</f>
        <v/>
      </c>
      <c r="BE787" s="10"/>
      <c r="BI787" s="10"/>
    </row>
    <row r="788" spans="1:61" ht="21" customHeight="1" x14ac:dyDescent="0.25">
      <c r="A788" s="10"/>
      <c r="B788" s="10"/>
      <c r="E788" s="10"/>
      <c r="G788" s="10"/>
      <c r="I788" s="436" t="s">
        <v>7350</v>
      </c>
      <c r="J788" s="26" t="s">
        <v>7349</v>
      </c>
      <c r="K788" s="10">
        <v>0.25</v>
      </c>
      <c r="L788" s="73">
        <f>IF(Tank1!$C$23="No control",(SUMIF(Tank1!$B$32:$B$49,$J788,Tank1!$C$32:$C$49)*Impacts!$F$8),0)</f>
        <v>0</v>
      </c>
      <c r="M788" s="10">
        <f>IF(Tank2!$C$23="No control",(SUMIF(Tank2!$B$32:$B$49,$J788,Tank2!$C$32:$C$49)*Impacts!$F$9),0)</f>
        <v>0</v>
      </c>
      <c r="N788" s="10">
        <f>IF(Tank3!$C$23="No control",(SUMIF(Tank3!$B$32:$B$49,$J788,Tank3!$C$32:$C$49)*Impacts!$F$10),0)</f>
        <v>0</v>
      </c>
      <c r="O788" s="10">
        <f>IF(Tank4!$C$23="No control",(SUMIF(Tank4!$B$32:$B$49,$J788,Tank4!$C$32:$C$49)*Impacts!$F$11),0)</f>
        <v>0</v>
      </c>
      <c r="P788" s="10">
        <f>IF(Tank5!$C$23="No control",(SUMIF(Tank5!$B$32:$B$49,$J788,Tank5!$C$32:$C$49)*Impacts!$F$12),0)</f>
        <v>0</v>
      </c>
      <c r="Q788" s="10">
        <f>IFERROR(IF(('Loading-drum,tote'!$C$21)="No control",SUMIF(('Loading-drum,tote'!$B$31:$B$48),$J788,('Loading-drum,tote'!$D$31:$D$48))*Impacts!$F$13,IF(('Loading-drum,tote'!$C$21)&lt;&gt;"No control",SUMIF(('Loading-drum,tote'!$B$31:$B$48),$J788,('Loading-drum,tote'!$E$31:$E$48))*Impacts!$F$13,0)),0)</f>
        <v>0</v>
      </c>
      <c r="R788" s="10">
        <f>IFERROR(IF(('Loading-truck'!$C$21)="No control",SUMIF(('Loading-truck'!$B$31:$B$48),$J788,('Loading-truck'!$D$31:$D$48))*Impacts!$F$14,IF(('Loading-truck'!$C$21)&lt;&gt;"No control",SUMIF(('Loading-truck'!$B$31:$B$48),$J788,('Loading-truck'!$E$31:$E$48))*Impacts!$F$14,0)),0)</f>
        <v>0</v>
      </c>
      <c r="S788" s="10">
        <f>IFERROR(IF(('Loading-rail'!$C$21)="No control",SUMIF(('Loading-rail'!$B$31:$B$48),$J788,('Loading-rail'!$D$31:$D$48))*Impacts!$F$15,IF(('Loading-rail'!$C$21)&lt;&gt;"No control",SUMIF(('Loading-rail'!$B$31:$B$48),$J788,('Loading-rail'!$E$31:$E$48))*Impacts!$F$15,0)),0)</f>
        <v>0</v>
      </c>
      <c r="T788" s="10">
        <f>IF(Flare!$C$7="",0,(SUMIF(Flare!$B$46:$B$185,$J788,Flare!$E$46:$E$185)*Impacts!$F$16))</f>
        <v>0</v>
      </c>
      <c r="U788" s="10">
        <f>IF(VCU!$C$9="",0,(SUMIF(VCU!$B$51:$B$193,$J788,VCU!$E$51:$E$193)*Impacts!$F$17))</f>
        <v>0</v>
      </c>
      <c r="V788" s="10">
        <f>IF(CAS!$C$7="",0,(SUMIF(CAS!$B$31:$B$167,$J788,CAS!$E$31:$E$167)*Impacts!$F$18))</f>
        <v>0</v>
      </c>
      <c r="W788" s="10">
        <f t="shared" si="54"/>
        <v>0</v>
      </c>
      <c r="AK788" s="10" t="str">
        <f t="array" ref="AK788">IFERROR(INDEX(SelectedSpecies,SMALL(IF(SelectedSpecies=AK$1,ROW(SelectedSpecies)),ROW(789:789)),2),"")</f>
        <v/>
      </c>
      <c r="BE788" s="10"/>
      <c r="BI788" s="10"/>
    </row>
    <row r="789" spans="1:61" ht="21" customHeight="1" x14ac:dyDescent="0.25">
      <c r="A789" s="10"/>
      <c r="B789" s="10"/>
      <c r="E789" s="10"/>
      <c r="G789" s="10"/>
      <c r="I789" s="436" t="s">
        <v>7694</v>
      </c>
      <c r="J789" s="26" t="s">
        <v>7693</v>
      </c>
      <c r="K789" s="10">
        <v>0.1</v>
      </c>
      <c r="L789" s="73">
        <f>IF(Tank1!$C$23="No control",(SUMIF(Tank1!$B$32:$B$49,$J789,Tank1!$C$32:$C$49)*Impacts!$F$8),0)</f>
        <v>0</v>
      </c>
      <c r="M789" s="10">
        <f>IF(Tank2!$C$23="No control",(SUMIF(Tank2!$B$32:$B$49,$J789,Tank2!$C$32:$C$49)*Impacts!$F$9),0)</f>
        <v>0</v>
      </c>
      <c r="N789" s="10">
        <f>IF(Tank3!$C$23="No control",(SUMIF(Tank3!$B$32:$B$49,$J789,Tank3!$C$32:$C$49)*Impacts!$F$10),0)</f>
        <v>0</v>
      </c>
      <c r="O789" s="10">
        <f>IF(Tank4!$C$23="No control",(SUMIF(Tank4!$B$32:$B$49,$J789,Tank4!$C$32:$C$49)*Impacts!$F$11),0)</f>
        <v>0</v>
      </c>
      <c r="P789" s="10">
        <f>IF(Tank5!$C$23="No control",(SUMIF(Tank5!$B$32:$B$49,$J789,Tank5!$C$32:$C$49)*Impacts!$F$12),0)</f>
        <v>0</v>
      </c>
      <c r="Q789" s="10">
        <f>IFERROR(IF(('Loading-drum,tote'!$C$21)="No control",SUMIF(('Loading-drum,tote'!$B$31:$B$48),$J789,('Loading-drum,tote'!$D$31:$D$48))*Impacts!$F$13,IF(('Loading-drum,tote'!$C$21)&lt;&gt;"No control",SUMIF(('Loading-drum,tote'!$B$31:$B$48),$J789,('Loading-drum,tote'!$E$31:$E$48))*Impacts!$F$13,0)),0)</f>
        <v>0</v>
      </c>
      <c r="R789" s="10">
        <f>IFERROR(IF(('Loading-truck'!$C$21)="No control",SUMIF(('Loading-truck'!$B$31:$B$48),$J789,('Loading-truck'!$D$31:$D$48))*Impacts!$F$14,IF(('Loading-truck'!$C$21)&lt;&gt;"No control",SUMIF(('Loading-truck'!$B$31:$B$48),$J789,('Loading-truck'!$E$31:$E$48))*Impacts!$F$14,0)),0)</f>
        <v>0</v>
      </c>
      <c r="S789" s="10">
        <f>IFERROR(IF(('Loading-rail'!$C$21)="No control",SUMIF(('Loading-rail'!$B$31:$B$48),$J789,('Loading-rail'!$D$31:$D$48))*Impacts!$F$15,IF(('Loading-rail'!$C$21)&lt;&gt;"No control",SUMIF(('Loading-rail'!$B$31:$B$48),$J789,('Loading-rail'!$E$31:$E$48))*Impacts!$F$15,0)),0)</f>
        <v>0</v>
      </c>
      <c r="T789" s="10">
        <f>IF(Flare!$C$7="",0,(SUMIF(Flare!$B$46:$B$185,$J789,Flare!$E$46:$E$185)*Impacts!$F$16))</f>
        <v>0</v>
      </c>
      <c r="U789" s="10">
        <f>IF(VCU!$C$9="",0,(SUMIF(VCU!$B$51:$B$193,$J789,VCU!$E$51:$E$193)*Impacts!$F$17))</f>
        <v>0</v>
      </c>
      <c r="V789" s="10">
        <f>IF(CAS!$C$7="",0,(SUMIF(CAS!$B$31:$B$167,$J789,CAS!$E$31:$E$167)*Impacts!$F$18))</f>
        <v>0</v>
      </c>
      <c r="W789" s="10">
        <f t="shared" si="54"/>
        <v>0</v>
      </c>
      <c r="AK789" s="10" t="str">
        <f t="array" ref="AK789">IFERROR(INDEX(SelectedSpecies,SMALL(IF(SelectedSpecies=AK$1,ROW(SelectedSpecies)),ROW(790:790)),2),"")</f>
        <v/>
      </c>
      <c r="BE789" s="10"/>
      <c r="BI789" s="10"/>
    </row>
    <row r="790" spans="1:61" ht="21" customHeight="1" x14ac:dyDescent="0.25">
      <c r="A790" s="10"/>
      <c r="B790" s="10"/>
      <c r="E790" s="10"/>
      <c r="G790" s="10"/>
      <c r="I790" s="436" t="s">
        <v>5756</v>
      </c>
      <c r="J790" s="26" t="s">
        <v>5755</v>
      </c>
      <c r="K790" s="10">
        <v>1</v>
      </c>
      <c r="L790" s="73">
        <f>IF(Tank1!$C$23="No control",(SUMIF(Tank1!$B$32:$B$49,$J790,Tank1!$C$32:$C$49)*Impacts!$F$8),0)</f>
        <v>0</v>
      </c>
      <c r="M790" s="10">
        <f>IF(Tank2!$C$23="No control",(SUMIF(Tank2!$B$32:$B$49,$J790,Tank2!$C$32:$C$49)*Impacts!$F$9),0)</f>
        <v>0</v>
      </c>
      <c r="N790" s="10">
        <f>IF(Tank3!$C$23="No control",(SUMIF(Tank3!$B$32:$B$49,$J790,Tank3!$C$32:$C$49)*Impacts!$F$10),0)</f>
        <v>0</v>
      </c>
      <c r="O790" s="10">
        <f>IF(Tank4!$C$23="No control",(SUMIF(Tank4!$B$32:$B$49,$J790,Tank4!$C$32:$C$49)*Impacts!$F$11),0)</f>
        <v>0</v>
      </c>
      <c r="P790" s="10">
        <f>IF(Tank5!$C$23="No control",(SUMIF(Tank5!$B$32:$B$49,$J790,Tank5!$C$32:$C$49)*Impacts!$F$12),0)</f>
        <v>0</v>
      </c>
      <c r="Q790" s="10">
        <f>IFERROR(IF(('Loading-drum,tote'!$C$21)="No control",SUMIF(('Loading-drum,tote'!$B$31:$B$48),$J790,('Loading-drum,tote'!$D$31:$D$48))*Impacts!$F$13,IF(('Loading-drum,tote'!$C$21)&lt;&gt;"No control",SUMIF(('Loading-drum,tote'!$B$31:$B$48),$J790,('Loading-drum,tote'!$E$31:$E$48))*Impacts!$F$13,0)),0)</f>
        <v>0</v>
      </c>
      <c r="R790" s="10">
        <f>IFERROR(IF(('Loading-truck'!$C$21)="No control",SUMIF(('Loading-truck'!$B$31:$B$48),$J790,('Loading-truck'!$D$31:$D$48))*Impacts!$F$14,IF(('Loading-truck'!$C$21)&lt;&gt;"No control",SUMIF(('Loading-truck'!$B$31:$B$48),$J790,('Loading-truck'!$E$31:$E$48))*Impacts!$F$14,0)),0)</f>
        <v>0</v>
      </c>
      <c r="S790" s="10">
        <f>IFERROR(IF(('Loading-rail'!$C$21)="No control",SUMIF(('Loading-rail'!$B$31:$B$48),$J790,('Loading-rail'!$D$31:$D$48))*Impacts!$F$15,IF(('Loading-rail'!$C$21)&lt;&gt;"No control",SUMIF(('Loading-rail'!$B$31:$B$48),$J790,('Loading-rail'!$E$31:$E$48))*Impacts!$F$15,0)),0)</f>
        <v>0</v>
      </c>
      <c r="T790" s="10">
        <f>IF(Flare!$C$7="",0,(SUMIF(Flare!$B$46:$B$185,$J790,Flare!$E$46:$E$185)*Impacts!$F$16))</f>
        <v>0</v>
      </c>
      <c r="U790" s="10">
        <f>IF(VCU!$C$9="",0,(SUMIF(VCU!$B$51:$B$193,$J790,VCU!$E$51:$E$193)*Impacts!$F$17))</f>
        <v>0</v>
      </c>
      <c r="V790" s="10">
        <f>IF(CAS!$C$7="",0,(SUMIF(CAS!$B$31:$B$167,$J790,CAS!$E$31:$E$167)*Impacts!$F$18))</f>
        <v>0</v>
      </c>
      <c r="W790" s="10">
        <f t="shared" si="54"/>
        <v>0</v>
      </c>
      <c r="AK790" s="10" t="str">
        <f t="array" ref="AK790">IFERROR(INDEX(SelectedSpecies,SMALL(IF(SelectedSpecies=AK$1,ROW(SelectedSpecies)),ROW(791:791)),2),"")</f>
        <v/>
      </c>
      <c r="BE790" s="10"/>
      <c r="BI790" s="10"/>
    </row>
    <row r="791" spans="1:61" ht="21" customHeight="1" x14ac:dyDescent="0.25">
      <c r="A791" s="10"/>
      <c r="B791" s="10"/>
      <c r="E791" s="10"/>
      <c r="G791" s="10"/>
      <c r="I791" s="436" t="s">
        <v>8130</v>
      </c>
      <c r="J791" s="26" t="s">
        <v>8129</v>
      </c>
      <c r="K791" s="10">
        <v>1.0000000000000002E-2</v>
      </c>
      <c r="L791" s="73">
        <f>IF(Tank1!$C$23="No control",(SUMIF(Tank1!$B$32:$B$49,$J791,Tank1!$C$32:$C$49)*Impacts!$F$8),0)</f>
        <v>0</v>
      </c>
      <c r="M791" s="10">
        <f>IF(Tank2!$C$23="No control",(SUMIF(Tank2!$B$32:$B$49,$J791,Tank2!$C$32:$C$49)*Impacts!$F$9),0)</f>
        <v>0</v>
      </c>
      <c r="N791" s="10">
        <f>IF(Tank3!$C$23="No control",(SUMIF(Tank3!$B$32:$B$49,$J791,Tank3!$C$32:$C$49)*Impacts!$F$10),0)</f>
        <v>0</v>
      </c>
      <c r="O791" s="10">
        <f>IF(Tank4!$C$23="No control",(SUMIF(Tank4!$B$32:$B$49,$J791,Tank4!$C$32:$C$49)*Impacts!$F$11),0)</f>
        <v>0</v>
      </c>
      <c r="P791" s="10">
        <f>IF(Tank5!$C$23="No control",(SUMIF(Tank5!$B$32:$B$49,$J791,Tank5!$C$32:$C$49)*Impacts!$F$12),0)</f>
        <v>0</v>
      </c>
      <c r="Q791" s="10">
        <f>IFERROR(IF(('Loading-drum,tote'!$C$21)="No control",SUMIF(('Loading-drum,tote'!$B$31:$B$48),$J791,('Loading-drum,tote'!$D$31:$D$48))*Impacts!$F$13,IF(('Loading-drum,tote'!$C$21)&lt;&gt;"No control",SUMIF(('Loading-drum,tote'!$B$31:$B$48),$J791,('Loading-drum,tote'!$E$31:$E$48))*Impacts!$F$13,0)),0)</f>
        <v>0</v>
      </c>
      <c r="R791" s="10">
        <f>IFERROR(IF(('Loading-truck'!$C$21)="No control",SUMIF(('Loading-truck'!$B$31:$B$48),$J791,('Loading-truck'!$D$31:$D$48))*Impacts!$F$14,IF(('Loading-truck'!$C$21)&lt;&gt;"No control",SUMIF(('Loading-truck'!$B$31:$B$48),$J791,('Loading-truck'!$E$31:$E$48))*Impacts!$F$14,0)),0)</f>
        <v>0</v>
      </c>
      <c r="S791" s="10">
        <f>IFERROR(IF(('Loading-rail'!$C$21)="No control",SUMIF(('Loading-rail'!$B$31:$B$48),$J791,('Loading-rail'!$D$31:$D$48))*Impacts!$F$15,IF(('Loading-rail'!$C$21)&lt;&gt;"No control",SUMIF(('Loading-rail'!$B$31:$B$48),$J791,('Loading-rail'!$E$31:$E$48))*Impacts!$F$15,0)),0)</f>
        <v>0</v>
      </c>
      <c r="T791" s="10">
        <f>IF(Flare!$C$7="",0,(SUMIF(Flare!$B$46:$B$185,$J791,Flare!$E$46:$E$185)*Impacts!$F$16))</f>
        <v>0</v>
      </c>
      <c r="U791" s="10">
        <f>IF(VCU!$C$9="",0,(SUMIF(VCU!$B$51:$B$193,$J791,VCU!$E$51:$E$193)*Impacts!$F$17))</f>
        <v>0</v>
      </c>
      <c r="V791" s="10">
        <f>IF(CAS!$C$7="",0,(SUMIF(CAS!$B$31:$B$167,$J791,CAS!$E$31:$E$167)*Impacts!$F$18))</f>
        <v>0</v>
      </c>
      <c r="W791" s="10">
        <f t="shared" si="54"/>
        <v>0</v>
      </c>
      <c r="AK791" s="10" t="str">
        <f t="array" ref="AK791">IFERROR(INDEX(SelectedSpecies,SMALL(IF(SelectedSpecies=AK$1,ROW(SelectedSpecies)),ROW(792:792)),2),"")</f>
        <v/>
      </c>
      <c r="BE791" s="10"/>
      <c r="BI791" s="10"/>
    </row>
    <row r="792" spans="1:61" ht="21" customHeight="1" x14ac:dyDescent="0.25">
      <c r="A792" s="10"/>
      <c r="B792" s="10"/>
      <c r="E792" s="10"/>
      <c r="G792" s="10"/>
      <c r="I792" s="436" t="s">
        <v>5758</v>
      </c>
      <c r="J792" s="26" t="s">
        <v>5757</v>
      </c>
      <c r="K792" s="10">
        <v>1</v>
      </c>
      <c r="L792" s="73">
        <f>IF(Tank1!$C$23="No control",(SUMIF(Tank1!$B$32:$B$49,$J792,Tank1!$C$32:$C$49)*Impacts!$F$8),0)</f>
        <v>0</v>
      </c>
      <c r="M792" s="10">
        <f>IF(Tank2!$C$23="No control",(SUMIF(Tank2!$B$32:$B$49,$J792,Tank2!$C$32:$C$49)*Impacts!$F$9),0)</f>
        <v>0</v>
      </c>
      <c r="N792" s="10">
        <f>IF(Tank3!$C$23="No control",(SUMIF(Tank3!$B$32:$B$49,$J792,Tank3!$C$32:$C$49)*Impacts!$F$10),0)</f>
        <v>0</v>
      </c>
      <c r="O792" s="10">
        <f>IF(Tank4!$C$23="No control",(SUMIF(Tank4!$B$32:$B$49,$J792,Tank4!$C$32:$C$49)*Impacts!$F$11),0)</f>
        <v>0</v>
      </c>
      <c r="P792" s="10">
        <f>IF(Tank5!$C$23="No control",(SUMIF(Tank5!$B$32:$B$49,$J792,Tank5!$C$32:$C$49)*Impacts!$F$12),0)</f>
        <v>0</v>
      </c>
      <c r="Q792" s="10">
        <f>IFERROR(IF(('Loading-drum,tote'!$C$21)="No control",SUMIF(('Loading-drum,tote'!$B$31:$B$48),$J792,('Loading-drum,tote'!$D$31:$D$48))*Impacts!$F$13,IF(('Loading-drum,tote'!$C$21)&lt;&gt;"No control",SUMIF(('Loading-drum,tote'!$B$31:$B$48),$J792,('Loading-drum,tote'!$E$31:$E$48))*Impacts!$F$13,0)),0)</f>
        <v>0</v>
      </c>
      <c r="R792" s="10">
        <f>IFERROR(IF(('Loading-truck'!$C$21)="No control",SUMIF(('Loading-truck'!$B$31:$B$48),$J792,('Loading-truck'!$D$31:$D$48))*Impacts!$F$14,IF(('Loading-truck'!$C$21)&lt;&gt;"No control",SUMIF(('Loading-truck'!$B$31:$B$48),$J792,('Loading-truck'!$E$31:$E$48))*Impacts!$F$14,0)),0)</f>
        <v>0</v>
      </c>
      <c r="S792" s="10">
        <f>IFERROR(IF(('Loading-rail'!$C$21)="No control",SUMIF(('Loading-rail'!$B$31:$B$48),$J792,('Loading-rail'!$D$31:$D$48))*Impacts!$F$15,IF(('Loading-rail'!$C$21)&lt;&gt;"No control",SUMIF(('Loading-rail'!$B$31:$B$48),$J792,('Loading-rail'!$E$31:$E$48))*Impacts!$F$15,0)),0)</f>
        <v>0</v>
      </c>
      <c r="T792" s="10">
        <f>IF(Flare!$C$7="",0,(SUMIF(Flare!$B$46:$B$185,$J792,Flare!$E$46:$E$185)*Impacts!$F$16))</f>
        <v>0</v>
      </c>
      <c r="U792" s="10">
        <f>IF(VCU!$C$9="",0,(SUMIF(VCU!$B$51:$B$193,$J792,VCU!$E$51:$E$193)*Impacts!$F$17))</f>
        <v>0</v>
      </c>
      <c r="V792" s="10">
        <f>IF(CAS!$C$7="",0,(SUMIF(CAS!$B$31:$B$167,$J792,CAS!$E$31:$E$167)*Impacts!$F$18))</f>
        <v>0</v>
      </c>
      <c r="W792" s="10">
        <f t="shared" si="54"/>
        <v>0</v>
      </c>
      <c r="AK792" s="10" t="str">
        <f t="array" ref="AK792">IFERROR(INDEX(SelectedSpecies,SMALL(IF(SelectedSpecies=AK$1,ROW(SelectedSpecies)),ROW(793:793)),2),"")</f>
        <v/>
      </c>
      <c r="BE792" s="10"/>
      <c r="BI792" s="10"/>
    </row>
    <row r="793" spans="1:61" ht="21" customHeight="1" x14ac:dyDescent="0.25">
      <c r="A793" s="10"/>
      <c r="B793" s="10"/>
      <c r="E793" s="10"/>
      <c r="G793" s="10"/>
      <c r="I793" s="436" t="s">
        <v>7868</v>
      </c>
      <c r="J793" s="26" t="s">
        <v>7867</v>
      </c>
      <c r="K793" s="10">
        <v>0.06</v>
      </c>
      <c r="L793" s="73">
        <f>IF(Tank1!$C$23="No control",(SUMIF(Tank1!$B$32:$B$49,$J793,Tank1!$C$32:$C$49)*Impacts!$F$8),0)</f>
        <v>0</v>
      </c>
      <c r="M793" s="10">
        <f>IF(Tank2!$C$23="No control",(SUMIF(Tank2!$B$32:$B$49,$J793,Tank2!$C$32:$C$49)*Impacts!$F$9),0)</f>
        <v>0</v>
      </c>
      <c r="N793" s="10">
        <f>IF(Tank3!$C$23="No control",(SUMIF(Tank3!$B$32:$B$49,$J793,Tank3!$C$32:$C$49)*Impacts!$F$10),0)</f>
        <v>0</v>
      </c>
      <c r="O793" s="10">
        <f>IF(Tank4!$C$23="No control",(SUMIF(Tank4!$B$32:$B$49,$J793,Tank4!$C$32:$C$49)*Impacts!$F$11),0)</f>
        <v>0</v>
      </c>
      <c r="P793" s="10">
        <f>IF(Tank5!$C$23="No control",(SUMIF(Tank5!$B$32:$B$49,$J793,Tank5!$C$32:$C$49)*Impacts!$F$12),0)</f>
        <v>0</v>
      </c>
      <c r="Q793" s="10">
        <f>IFERROR(IF(('Loading-drum,tote'!$C$21)="No control",SUMIF(('Loading-drum,tote'!$B$31:$B$48),$J793,('Loading-drum,tote'!$D$31:$D$48))*Impacts!$F$13,IF(('Loading-drum,tote'!$C$21)&lt;&gt;"No control",SUMIF(('Loading-drum,tote'!$B$31:$B$48),$J793,('Loading-drum,tote'!$E$31:$E$48))*Impacts!$F$13,0)),0)</f>
        <v>0</v>
      </c>
      <c r="R793" s="10">
        <f>IFERROR(IF(('Loading-truck'!$C$21)="No control",SUMIF(('Loading-truck'!$B$31:$B$48),$J793,('Loading-truck'!$D$31:$D$48))*Impacts!$F$14,IF(('Loading-truck'!$C$21)&lt;&gt;"No control",SUMIF(('Loading-truck'!$B$31:$B$48),$J793,('Loading-truck'!$E$31:$E$48))*Impacts!$F$14,0)),0)</f>
        <v>0</v>
      </c>
      <c r="S793" s="10">
        <f>IFERROR(IF(('Loading-rail'!$C$21)="No control",SUMIF(('Loading-rail'!$B$31:$B$48),$J793,('Loading-rail'!$D$31:$D$48))*Impacts!$F$15,IF(('Loading-rail'!$C$21)&lt;&gt;"No control",SUMIF(('Loading-rail'!$B$31:$B$48),$J793,('Loading-rail'!$E$31:$E$48))*Impacts!$F$15,0)),0)</f>
        <v>0</v>
      </c>
      <c r="T793" s="10">
        <f>IF(Flare!$C$7="",0,(SUMIF(Flare!$B$46:$B$185,$J793,Flare!$E$46:$E$185)*Impacts!$F$16))</f>
        <v>0</v>
      </c>
      <c r="U793" s="10">
        <f>IF(VCU!$C$9="",0,(SUMIF(VCU!$B$51:$B$193,$J793,VCU!$E$51:$E$193)*Impacts!$F$17))</f>
        <v>0</v>
      </c>
      <c r="V793" s="10">
        <f>IF(CAS!$C$7="",0,(SUMIF(CAS!$B$31:$B$167,$J793,CAS!$E$31:$E$167)*Impacts!$F$18))</f>
        <v>0</v>
      </c>
      <c r="W793" s="10">
        <f t="shared" si="54"/>
        <v>0</v>
      </c>
      <c r="AK793" s="10" t="str">
        <f t="array" ref="AK793">IFERROR(INDEX(SelectedSpecies,SMALL(IF(SelectedSpecies=AK$1,ROW(SelectedSpecies)),ROW(794:794)),2),"")</f>
        <v/>
      </c>
      <c r="BE793" s="10"/>
      <c r="BI793" s="10"/>
    </row>
    <row r="794" spans="1:61" ht="21" customHeight="1" x14ac:dyDescent="0.25">
      <c r="A794" s="10"/>
      <c r="B794" s="10"/>
      <c r="E794" s="10"/>
      <c r="G794" s="10"/>
      <c r="I794" s="436" t="s">
        <v>6760</v>
      </c>
      <c r="J794" s="26" t="s">
        <v>6759</v>
      </c>
      <c r="K794" s="10">
        <v>0.5</v>
      </c>
      <c r="L794" s="73">
        <f>IF(Tank1!$C$23="No control",(SUMIF(Tank1!$B$32:$B$49,$J794,Tank1!$C$32:$C$49)*Impacts!$F$8),0)</f>
        <v>0</v>
      </c>
      <c r="M794" s="10">
        <f>IF(Tank2!$C$23="No control",(SUMIF(Tank2!$B$32:$B$49,$J794,Tank2!$C$32:$C$49)*Impacts!$F$9),0)</f>
        <v>0</v>
      </c>
      <c r="N794" s="10">
        <f>IF(Tank3!$C$23="No control",(SUMIF(Tank3!$B$32:$B$49,$J794,Tank3!$C$32:$C$49)*Impacts!$F$10),0)</f>
        <v>0</v>
      </c>
      <c r="O794" s="10">
        <f>IF(Tank4!$C$23="No control",(SUMIF(Tank4!$B$32:$B$49,$J794,Tank4!$C$32:$C$49)*Impacts!$F$11),0)</f>
        <v>0</v>
      </c>
      <c r="P794" s="10">
        <f>IF(Tank5!$C$23="No control",(SUMIF(Tank5!$B$32:$B$49,$J794,Tank5!$C$32:$C$49)*Impacts!$F$12),0)</f>
        <v>0</v>
      </c>
      <c r="Q794" s="10">
        <f>IFERROR(IF(('Loading-drum,tote'!$C$21)="No control",SUMIF(('Loading-drum,tote'!$B$31:$B$48),$J794,('Loading-drum,tote'!$D$31:$D$48))*Impacts!$F$13,IF(('Loading-drum,tote'!$C$21)&lt;&gt;"No control",SUMIF(('Loading-drum,tote'!$B$31:$B$48),$J794,('Loading-drum,tote'!$E$31:$E$48))*Impacts!$F$13,0)),0)</f>
        <v>0</v>
      </c>
      <c r="R794" s="10">
        <f>IFERROR(IF(('Loading-truck'!$C$21)="No control",SUMIF(('Loading-truck'!$B$31:$B$48),$J794,('Loading-truck'!$D$31:$D$48))*Impacts!$F$14,IF(('Loading-truck'!$C$21)&lt;&gt;"No control",SUMIF(('Loading-truck'!$B$31:$B$48),$J794,('Loading-truck'!$E$31:$E$48))*Impacts!$F$14,0)),0)</f>
        <v>0</v>
      </c>
      <c r="S794" s="10">
        <f>IFERROR(IF(('Loading-rail'!$C$21)="No control",SUMIF(('Loading-rail'!$B$31:$B$48),$J794,('Loading-rail'!$D$31:$D$48))*Impacts!$F$15,IF(('Loading-rail'!$C$21)&lt;&gt;"No control",SUMIF(('Loading-rail'!$B$31:$B$48),$J794,('Loading-rail'!$E$31:$E$48))*Impacts!$F$15,0)),0)</f>
        <v>0</v>
      </c>
      <c r="T794" s="10">
        <f>IF(Flare!$C$7="",0,(SUMIF(Flare!$B$46:$B$185,$J794,Flare!$E$46:$E$185)*Impacts!$F$16))</f>
        <v>0</v>
      </c>
      <c r="U794" s="10">
        <f>IF(VCU!$C$9="",0,(SUMIF(VCU!$B$51:$B$193,$J794,VCU!$E$51:$E$193)*Impacts!$F$17))</f>
        <v>0</v>
      </c>
      <c r="V794" s="10">
        <f>IF(CAS!$C$7="",0,(SUMIF(CAS!$B$31:$B$167,$J794,CAS!$E$31:$E$167)*Impacts!$F$18))</f>
        <v>0</v>
      </c>
      <c r="W794" s="10">
        <f t="shared" si="54"/>
        <v>0</v>
      </c>
      <c r="AK794" s="10" t="str">
        <f t="array" ref="AK794">IFERROR(INDEX(SelectedSpecies,SMALL(IF(SelectedSpecies=AK$1,ROW(SelectedSpecies)),ROW(795:795)),2),"")</f>
        <v/>
      </c>
      <c r="BE794" s="10"/>
      <c r="BI794" s="10"/>
    </row>
    <row r="795" spans="1:61" ht="21" customHeight="1" x14ac:dyDescent="0.25">
      <c r="A795" s="10"/>
      <c r="B795" s="10"/>
      <c r="E795" s="10"/>
      <c r="G795" s="10"/>
      <c r="I795" s="436" t="s">
        <v>6762</v>
      </c>
      <c r="J795" s="26" t="s">
        <v>6761</v>
      </c>
      <c r="K795" s="10">
        <v>0.5</v>
      </c>
      <c r="L795" s="73">
        <f>IF(Tank1!$C$23="No control",(SUMIF(Tank1!$B$32:$B$49,$J795,Tank1!$C$32:$C$49)*Impacts!$F$8),0)</f>
        <v>0</v>
      </c>
      <c r="M795" s="10">
        <f>IF(Tank2!$C$23="No control",(SUMIF(Tank2!$B$32:$B$49,$J795,Tank2!$C$32:$C$49)*Impacts!$F$9),0)</f>
        <v>0</v>
      </c>
      <c r="N795" s="10">
        <f>IF(Tank3!$C$23="No control",(SUMIF(Tank3!$B$32:$B$49,$J795,Tank3!$C$32:$C$49)*Impacts!$F$10),0)</f>
        <v>0</v>
      </c>
      <c r="O795" s="10">
        <f>IF(Tank4!$C$23="No control",(SUMIF(Tank4!$B$32:$B$49,$J795,Tank4!$C$32:$C$49)*Impacts!$F$11),0)</f>
        <v>0</v>
      </c>
      <c r="P795" s="10">
        <f>IF(Tank5!$C$23="No control",(SUMIF(Tank5!$B$32:$B$49,$J795,Tank5!$C$32:$C$49)*Impacts!$F$12),0)</f>
        <v>0</v>
      </c>
      <c r="Q795" s="10">
        <f>IFERROR(IF(('Loading-drum,tote'!$C$21)="No control",SUMIF(('Loading-drum,tote'!$B$31:$B$48),$J795,('Loading-drum,tote'!$D$31:$D$48))*Impacts!$F$13,IF(('Loading-drum,tote'!$C$21)&lt;&gt;"No control",SUMIF(('Loading-drum,tote'!$B$31:$B$48),$J795,('Loading-drum,tote'!$E$31:$E$48))*Impacts!$F$13,0)),0)</f>
        <v>0</v>
      </c>
      <c r="R795" s="10">
        <f>IFERROR(IF(('Loading-truck'!$C$21)="No control",SUMIF(('Loading-truck'!$B$31:$B$48),$J795,('Loading-truck'!$D$31:$D$48))*Impacts!$F$14,IF(('Loading-truck'!$C$21)&lt;&gt;"No control",SUMIF(('Loading-truck'!$B$31:$B$48),$J795,('Loading-truck'!$E$31:$E$48))*Impacts!$F$14,0)),0)</f>
        <v>0</v>
      </c>
      <c r="S795" s="10">
        <f>IFERROR(IF(('Loading-rail'!$C$21)="No control",SUMIF(('Loading-rail'!$B$31:$B$48),$J795,('Loading-rail'!$D$31:$D$48))*Impacts!$F$15,IF(('Loading-rail'!$C$21)&lt;&gt;"No control",SUMIF(('Loading-rail'!$B$31:$B$48),$J795,('Loading-rail'!$E$31:$E$48))*Impacts!$F$15,0)),0)</f>
        <v>0</v>
      </c>
      <c r="T795" s="10">
        <f>IF(Flare!$C$7="",0,(SUMIF(Flare!$B$46:$B$185,$J795,Flare!$E$46:$E$185)*Impacts!$F$16))</f>
        <v>0</v>
      </c>
      <c r="U795" s="10">
        <f>IF(VCU!$C$9="",0,(SUMIF(VCU!$B$51:$B$193,$J795,VCU!$E$51:$E$193)*Impacts!$F$17))</f>
        <v>0</v>
      </c>
      <c r="V795" s="10">
        <f>IF(CAS!$C$7="",0,(SUMIF(CAS!$B$31:$B$167,$J795,CAS!$E$31:$E$167)*Impacts!$F$18))</f>
        <v>0</v>
      </c>
      <c r="W795" s="10">
        <f t="shared" si="54"/>
        <v>0</v>
      </c>
      <c r="AK795" s="10" t="str">
        <f t="array" ref="AK795">IFERROR(INDEX(SelectedSpecies,SMALL(IF(SelectedSpecies=AK$1,ROW(SelectedSpecies)),ROW(796:796)),2),"")</f>
        <v/>
      </c>
      <c r="BE795" s="10"/>
      <c r="BI795" s="10"/>
    </row>
    <row r="796" spans="1:61" ht="21" customHeight="1" x14ac:dyDescent="0.25">
      <c r="A796" s="10"/>
      <c r="B796" s="10"/>
      <c r="E796" s="10"/>
      <c r="G796" s="10"/>
      <c r="I796" s="436" t="s">
        <v>6764</v>
      </c>
      <c r="J796" s="26" t="s">
        <v>6763</v>
      </c>
      <c r="K796" s="10">
        <v>0.5</v>
      </c>
      <c r="L796" s="73">
        <f>IF(Tank1!$C$23="No control",(SUMIF(Tank1!$B$32:$B$49,$J796,Tank1!$C$32:$C$49)*Impacts!$F$8),0)</f>
        <v>0</v>
      </c>
      <c r="M796" s="10">
        <f>IF(Tank2!$C$23="No control",(SUMIF(Tank2!$B$32:$B$49,$J796,Tank2!$C$32:$C$49)*Impacts!$F$9),0)</f>
        <v>0</v>
      </c>
      <c r="N796" s="10">
        <f>IF(Tank3!$C$23="No control",(SUMIF(Tank3!$B$32:$B$49,$J796,Tank3!$C$32:$C$49)*Impacts!$F$10),0)</f>
        <v>0</v>
      </c>
      <c r="O796" s="10">
        <f>IF(Tank4!$C$23="No control",(SUMIF(Tank4!$B$32:$B$49,$J796,Tank4!$C$32:$C$49)*Impacts!$F$11),0)</f>
        <v>0</v>
      </c>
      <c r="P796" s="10">
        <f>IF(Tank5!$C$23="No control",(SUMIF(Tank5!$B$32:$B$49,$J796,Tank5!$C$32:$C$49)*Impacts!$F$12),0)</f>
        <v>0</v>
      </c>
      <c r="Q796" s="10">
        <f>IFERROR(IF(('Loading-drum,tote'!$C$21)="No control",SUMIF(('Loading-drum,tote'!$B$31:$B$48),$J796,('Loading-drum,tote'!$D$31:$D$48))*Impacts!$F$13,IF(('Loading-drum,tote'!$C$21)&lt;&gt;"No control",SUMIF(('Loading-drum,tote'!$B$31:$B$48),$J796,('Loading-drum,tote'!$E$31:$E$48))*Impacts!$F$13,0)),0)</f>
        <v>0</v>
      </c>
      <c r="R796" s="10">
        <f>IFERROR(IF(('Loading-truck'!$C$21)="No control",SUMIF(('Loading-truck'!$B$31:$B$48),$J796,('Loading-truck'!$D$31:$D$48))*Impacts!$F$14,IF(('Loading-truck'!$C$21)&lt;&gt;"No control",SUMIF(('Loading-truck'!$B$31:$B$48),$J796,('Loading-truck'!$E$31:$E$48))*Impacts!$F$14,0)),0)</f>
        <v>0</v>
      </c>
      <c r="S796" s="10">
        <f>IFERROR(IF(('Loading-rail'!$C$21)="No control",SUMIF(('Loading-rail'!$B$31:$B$48),$J796,('Loading-rail'!$D$31:$D$48))*Impacts!$F$15,IF(('Loading-rail'!$C$21)&lt;&gt;"No control",SUMIF(('Loading-rail'!$B$31:$B$48),$J796,('Loading-rail'!$E$31:$E$48))*Impacts!$F$15,0)),0)</f>
        <v>0</v>
      </c>
      <c r="T796" s="10">
        <f>IF(Flare!$C$7="",0,(SUMIF(Flare!$B$46:$B$185,$J796,Flare!$E$46:$E$185)*Impacts!$F$16))</f>
        <v>0</v>
      </c>
      <c r="U796" s="10">
        <f>IF(VCU!$C$9="",0,(SUMIF(VCU!$B$51:$B$193,$J796,VCU!$E$51:$E$193)*Impacts!$F$17))</f>
        <v>0</v>
      </c>
      <c r="V796" s="10">
        <f>IF(CAS!$C$7="",0,(SUMIF(CAS!$B$31:$B$167,$J796,CAS!$E$31:$E$167)*Impacts!$F$18))</f>
        <v>0</v>
      </c>
      <c r="W796" s="10">
        <f t="shared" si="54"/>
        <v>0</v>
      </c>
      <c r="AK796" s="10" t="str">
        <f t="array" ref="AK796">IFERROR(INDEX(SelectedSpecies,SMALL(IF(SelectedSpecies=AK$1,ROW(SelectedSpecies)),ROW(797:797)),2),"")</f>
        <v/>
      </c>
      <c r="BE796" s="10"/>
      <c r="BI796" s="10"/>
    </row>
    <row r="797" spans="1:61" ht="21" customHeight="1" x14ac:dyDescent="0.25">
      <c r="A797" s="10"/>
      <c r="B797" s="10"/>
      <c r="E797" s="10"/>
      <c r="G797" s="10"/>
      <c r="I797" s="436" t="s">
        <v>6766</v>
      </c>
      <c r="J797" s="26" t="s">
        <v>6765</v>
      </c>
      <c r="K797" s="10">
        <v>0.5</v>
      </c>
      <c r="L797" s="73">
        <f>IF(Tank1!$C$23="No control",(SUMIF(Tank1!$B$32:$B$49,$J797,Tank1!$C$32:$C$49)*Impacts!$F$8),0)</f>
        <v>0</v>
      </c>
      <c r="M797" s="10">
        <f>IF(Tank2!$C$23="No control",(SUMIF(Tank2!$B$32:$B$49,$J797,Tank2!$C$32:$C$49)*Impacts!$F$9),0)</f>
        <v>0</v>
      </c>
      <c r="N797" s="10">
        <f>IF(Tank3!$C$23="No control",(SUMIF(Tank3!$B$32:$B$49,$J797,Tank3!$C$32:$C$49)*Impacts!$F$10),0)</f>
        <v>0</v>
      </c>
      <c r="O797" s="10">
        <f>IF(Tank4!$C$23="No control",(SUMIF(Tank4!$B$32:$B$49,$J797,Tank4!$C$32:$C$49)*Impacts!$F$11),0)</f>
        <v>0</v>
      </c>
      <c r="P797" s="10">
        <f>IF(Tank5!$C$23="No control",(SUMIF(Tank5!$B$32:$B$49,$J797,Tank5!$C$32:$C$49)*Impacts!$F$12),0)</f>
        <v>0</v>
      </c>
      <c r="Q797" s="10">
        <f>IFERROR(IF(('Loading-drum,tote'!$C$21)="No control",SUMIF(('Loading-drum,tote'!$B$31:$B$48),$J797,('Loading-drum,tote'!$D$31:$D$48))*Impacts!$F$13,IF(('Loading-drum,tote'!$C$21)&lt;&gt;"No control",SUMIF(('Loading-drum,tote'!$B$31:$B$48),$J797,('Loading-drum,tote'!$E$31:$E$48))*Impacts!$F$13,0)),0)</f>
        <v>0</v>
      </c>
      <c r="R797" s="10">
        <f>IFERROR(IF(('Loading-truck'!$C$21)="No control",SUMIF(('Loading-truck'!$B$31:$B$48),$J797,('Loading-truck'!$D$31:$D$48))*Impacts!$F$14,IF(('Loading-truck'!$C$21)&lt;&gt;"No control",SUMIF(('Loading-truck'!$B$31:$B$48),$J797,('Loading-truck'!$E$31:$E$48))*Impacts!$F$14,0)),0)</f>
        <v>0</v>
      </c>
      <c r="S797" s="10">
        <f>IFERROR(IF(('Loading-rail'!$C$21)="No control",SUMIF(('Loading-rail'!$B$31:$B$48),$J797,('Loading-rail'!$D$31:$D$48))*Impacts!$F$15,IF(('Loading-rail'!$C$21)&lt;&gt;"No control",SUMIF(('Loading-rail'!$B$31:$B$48),$J797,('Loading-rail'!$E$31:$E$48))*Impacts!$F$15,0)),0)</f>
        <v>0</v>
      </c>
      <c r="T797" s="10">
        <f>IF(Flare!$C$7="",0,(SUMIF(Flare!$B$46:$B$185,$J797,Flare!$E$46:$E$185)*Impacts!$F$16))</f>
        <v>0</v>
      </c>
      <c r="U797" s="10">
        <f>IF(VCU!$C$9="",0,(SUMIF(VCU!$B$51:$B$193,$J797,VCU!$E$51:$E$193)*Impacts!$F$17))</f>
        <v>0</v>
      </c>
      <c r="V797" s="10">
        <f>IF(CAS!$C$7="",0,(SUMIF(CAS!$B$31:$B$167,$J797,CAS!$E$31:$E$167)*Impacts!$F$18))</f>
        <v>0</v>
      </c>
      <c r="W797" s="10">
        <f t="shared" si="54"/>
        <v>0</v>
      </c>
      <c r="AK797" s="10" t="str">
        <f t="array" ref="AK797">IFERROR(INDEX(SelectedSpecies,SMALL(IF(SelectedSpecies=AK$1,ROW(SelectedSpecies)),ROW(798:798)),2),"")</f>
        <v/>
      </c>
      <c r="BE797" s="10"/>
      <c r="BI797" s="10"/>
    </row>
    <row r="798" spans="1:61" ht="21" customHeight="1" x14ac:dyDescent="0.25">
      <c r="A798" s="10"/>
      <c r="B798" s="10"/>
      <c r="E798" s="10"/>
      <c r="G798" s="10"/>
      <c r="I798" s="436" t="s">
        <v>5760</v>
      </c>
      <c r="J798" s="26" t="s">
        <v>5759</v>
      </c>
      <c r="K798" s="10">
        <v>1</v>
      </c>
      <c r="L798" s="73">
        <f>IF(Tank1!$C$23="No control",(SUMIF(Tank1!$B$32:$B$49,$J798,Tank1!$C$32:$C$49)*Impacts!$F$8),0)</f>
        <v>0</v>
      </c>
      <c r="M798" s="10">
        <f>IF(Tank2!$C$23="No control",(SUMIF(Tank2!$B$32:$B$49,$J798,Tank2!$C$32:$C$49)*Impacts!$F$9),0)</f>
        <v>0</v>
      </c>
      <c r="N798" s="10">
        <f>IF(Tank3!$C$23="No control",(SUMIF(Tank3!$B$32:$B$49,$J798,Tank3!$C$32:$C$49)*Impacts!$F$10),0)</f>
        <v>0</v>
      </c>
      <c r="O798" s="10">
        <f>IF(Tank4!$C$23="No control",(SUMIF(Tank4!$B$32:$B$49,$J798,Tank4!$C$32:$C$49)*Impacts!$F$11),0)</f>
        <v>0</v>
      </c>
      <c r="P798" s="10">
        <f>IF(Tank5!$C$23="No control",(SUMIF(Tank5!$B$32:$B$49,$J798,Tank5!$C$32:$C$49)*Impacts!$F$12),0)</f>
        <v>0</v>
      </c>
      <c r="Q798" s="10">
        <f>IFERROR(IF(('Loading-drum,tote'!$C$21)="No control",SUMIF(('Loading-drum,tote'!$B$31:$B$48),$J798,('Loading-drum,tote'!$D$31:$D$48))*Impacts!$F$13,IF(('Loading-drum,tote'!$C$21)&lt;&gt;"No control",SUMIF(('Loading-drum,tote'!$B$31:$B$48),$J798,('Loading-drum,tote'!$E$31:$E$48))*Impacts!$F$13,0)),0)</f>
        <v>0</v>
      </c>
      <c r="R798" s="10">
        <f>IFERROR(IF(('Loading-truck'!$C$21)="No control",SUMIF(('Loading-truck'!$B$31:$B$48),$J798,('Loading-truck'!$D$31:$D$48))*Impacts!$F$14,IF(('Loading-truck'!$C$21)&lt;&gt;"No control",SUMIF(('Loading-truck'!$B$31:$B$48),$J798,('Loading-truck'!$E$31:$E$48))*Impacts!$F$14,0)),0)</f>
        <v>0</v>
      </c>
      <c r="S798" s="10">
        <f>IFERROR(IF(('Loading-rail'!$C$21)="No control",SUMIF(('Loading-rail'!$B$31:$B$48),$J798,('Loading-rail'!$D$31:$D$48))*Impacts!$F$15,IF(('Loading-rail'!$C$21)&lt;&gt;"No control",SUMIF(('Loading-rail'!$B$31:$B$48),$J798,('Loading-rail'!$E$31:$E$48))*Impacts!$F$15,0)),0)</f>
        <v>0</v>
      </c>
      <c r="T798" s="10">
        <f>IF(Flare!$C$7="",0,(SUMIF(Flare!$B$46:$B$185,$J798,Flare!$E$46:$E$185)*Impacts!$F$16))</f>
        <v>0</v>
      </c>
      <c r="U798" s="10">
        <f>IF(VCU!$C$9="",0,(SUMIF(VCU!$B$51:$B$193,$J798,VCU!$E$51:$E$193)*Impacts!$F$17))</f>
        <v>0</v>
      </c>
      <c r="V798" s="10">
        <f>IF(CAS!$C$7="",0,(SUMIF(CAS!$B$31:$B$167,$J798,CAS!$E$31:$E$167)*Impacts!$F$18))</f>
        <v>0</v>
      </c>
      <c r="W798" s="10">
        <f t="shared" si="54"/>
        <v>0</v>
      </c>
      <c r="AK798" s="10" t="str">
        <f t="array" ref="AK798">IFERROR(INDEX(SelectedSpecies,SMALL(IF(SelectedSpecies=AK$1,ROW(SelectedSpecies)),ROW(799:799)),2),"")</f>
        <v/>
      </c>
      <c r="BE798" s="10"/>
      <c r="BI798" s="10"/>
    </row>
    <row r="799" spans="1:61" ht="21" customHeight="1" x14ac:dyDescent="0.25">
      <c r="A799" s="10"/>
      <c r="B799" s="10"/>
      <c r="E799" s="10"/>
      <c r="G799" s="10"/>
      <c r="I799" s="436" t="s">
        <v>7434</v>
      </c>
      <c r="J799" s="26" t="s">
        <v>7433</v>
      </c>
      <c r="K799" s="10">
        <v>0.2</v>
      </c>
      <c r="L799" s="73">
        <f>IF(Tank1!$C$23="No control",(SUMIF(Tank1!$B$32:$B$49,$J799,Tank1!$C$32:$C$49)*Impacts!$F$8),0)</f>
        <v>0</v>
      </c>
      <c r="M799" s="10">
        <f>IF(Tank2!$C$23="No control",(SUMIF(Tank2!$B$32:$B$49,$J799,Tank2!$C$32:$C$49)*Impacts!$F$9),0)</f>
        <v>0</v>
      </c>
      <c r="N799" s="10">
        <f>IF(Tank3!$C$23="No control",(SUMIF(Tank3!$B$32:$B$49,$J799,Tank3!$C$32:$C$49)*Impacts!$F$10),0)</f>
        <v>0</v>
      </c>
      <c r="O799" s="10">
        <f>IF(Tank4!$C$23="No control",(SUMIF(Tank4!$B$32:$B$49,$J799,Tank4!$C$32:$C$49)*Impacts!$F$11),0)</f>
        <v>0</v>
      </c>
      <c r="P799" s="10">
        <f>IF(Tank5!$C$23="No control",(SUMIF(Tank5!$B$32:$B$49,$J799,Tank5!$C$32:$C$49)*Impacts!$F$12),0)</f>
        <v>0</v>
      </c>
      <c r="Q799" s="10">
        <f>IFERROR(IF(('Loading-drum,tote'!$C$21)="No control",SUMIF(('Loading-drum,tote'!$B$31:$B$48),$J799,('Loading-drum,tote'!$D$31:$D$48))*Impacts!$F$13,IF(('Loading-drum,tote'!$C$21)&lt;&gt;"No control",SUMIF(('Loading-drum,tote'!$B$31:$B$48),$J799,('Loading-drum,tote'!$E$31:$E$48))*Impacts!$F$13,0)),0)</f>
        <v>0</v>
      </c>
      <c r="R799" s="10">
        <f>IFERROR(IF(('Loading-truck'!$C$21)="No control",SUMIF(('Loading-truck'!$B$31:$B$48),$J799,('Loading-truck'!$D$31:$D$48))*Impacts!$F$14,IF(('Loading-truck'!$C$21)&lt;&gt;"No control",SUMIF(('Loading-truck'!$B$31:$B$48),$J799,('Loading-truck'!$E$31:$E$48))*Impacts!$F$14,0)),0)</f>
        <v>0</v>
      </c>
      <c r="S799" s="10">
        <f>IFERROR(IF(('Loading-rail'!$C$21)="No control",SUMIF(('Loading-rail'!$B$31:$B$48),$J799,('Loading-rail'!$D$31:$D$48))*Impacts!$F$15,IF(('Loading-rail'!$C$21)&lt;&gt;"No control",SUMIF(('Loading-rail'!$B$31:$B$48),$J799,('Loading-rail'!$E$31:$E$48))*Impacts!$F$15,0)),0)</f>
        <v>0</v>
      </c>
      <c r="T799" s="10">
        <f>IF(Flare!$C$7="",0,(SUMIF(Flare!$B$46:$B$185,$J799,Flare!$E$46:$E$185)*Impacts!$F$16))</f>
        <v>0</v>
      </c>
      <c r="U799" s="10">
        <f>IF(VCU!$C$9="",0,(SUMIF(VCU!$B$51:$B$193,$J799,VCU!$E$51:$E$193)*Impacts!$F$17))</f>
        <v>0</v>
      </c>
      <c r="V799" s="10">
        <f>IF(CAS!$C$7="",0,(SUMIF(CAS!$B$31:$B$167,$J799,CAS!$E$31:$E$167)*Impacts!$F$18))</f>
        <v>0</v>
      </c>
      <c r="W799" s="10">
        <f t="shared" si="54"/>
        <v>0</v>
      </c>
      <c r="AK799" s="10" t="str">
        <f t="array" ref="AK799">IFERROR(INDEX(SelectedSpecies,SMALL(IF(SelectedSpecies=AK$1,ROW(SelectedSpecies)),ROW(800:800)),2),"")</f>
        <v/>
      </c>
      <c r="BE799" s="10"/>
      <c r="BI799" s="10"/>
    </row>
    <row r="800" spans="1:61" ht="21" customHeight="1" x14ac:dyDescent="0.25">
      <c r="A800" s="10"/>
      <c r="B800" s="10"/>
      <c r="E800" s="10"/>
      <c r="G800" s="10"/>
      <c r="I800" s="436" t="s">
        <v>7436</v>
      </c>
      <c r="J800" s="26" t="s">
        <v>7435</v>
      </c>
      <c r="K800" s="10">
        <v>0.2</v>
      </c>
      <c r="L800" s="73">
        <f>IF(Tank1!$C$23="No control",(SUMIF(Tank1!$B$32:$B$49,$J800,Tank1!$C$32:$C$49)*Impacts!$F$8),0)</f>
        <v>0</v>
      </c>
      <c r="M800" s="10">
        <f>IF(Tank2!$C$23="No control",(SUMIF(Tank2!$B$32:$B$49,$J800,Tank2!$C$32:$C$49)*Impacts!$F$9),0)</f>
        <v>0</v>
      </c>
      <c r="N800" s="10">
        <f>IF(Tank3!$C$23="No control",(SUMIF(Tank3!$B$32:$B$49,$J800,Tank3!$C$32:$C$49)*Impacts!$F$10),0)</f>
        <v>0</v>
      </c>
      <c r="O800" s="10">
        <f>IF(Tank4!$C$23="No control",(SUMIF(Tank4!$B$32:$B$49,$J800,Tank4!$C$32:$C$49)*Impacts!$F$11),0)</f>
        <v>0</v>
      </c>
      <c r="P800" s="10">
        <f>IF(Tank5!$C$23="No control",(SUMIF(Tank5!$B$32:$B$49,$J800,Tank5!$C$32:$C$49)*Impacts!$F$12),0)</f>
        <v>0</v>
      </c>
      <c r="Q800" s="10">
        <f>IFERROR(IF(('Loading-drum,tote'!$C$21)="No control",SUMIF(('Loading-drum,tote'!$B$31:$B$48),$J800,('Loading-drum,tote'!$D$31:$D$48))*Impacts!$F$13,IF(('Loading-drum,tote'!$C$21)&lt;&gt;"No control",SUMIF(('Loading-drum,tote'!$B$31:$B$48),$J800,('Loading-drum,tote'!$E$31:$E$48))*Impacts!$F$13,0)),0)</f>
        <v>0</v>
      </c>
      <c r="R800" s="10">
        <f>IFERROR(IF(('Loading-truck'!$C$21)="No control",SUMIF(('Loading-truck'!$B$31:$B$48),$J800,('Loading-truck'!$D$31:$D$48))*Impacts!$F$14,IF(('Loading-truck'!$C$21)&lt;&gt;"No control",SUMIF(('Loading-truck'!$B$31:$B$48),$J800,('Loading-truck'!$E$31:$E$48))*Impacts!$F$14,0)),0)</f>
        <v>0</v>
      </c>
      <c r="S800" s="10">
        <f>IFERROR(IF(('Loading-rail'!$C$21)="No control",SUMIF(('Loading-rail'!$B$31:$B$48),$J800,('Loading-rail'!$D$31:$D$48))*Impacts!$F$15,IF(('Loading-rail'!$C$21)&lt;&gt;"No control",SUMIF(('Loading-rail'!$B$31:$B$48),$J800,('Loading-rail'!$E$31:$E$48))*Impacts!$F$15,0)),0)</f>
        <v>0</v>
      </c>
      <c r="T800" s="10">
        <f>IF(Flare!$C$7="",0,(SUMIF(Flare!$B$46:$B$185,$J800,Flare!$E$46:$E$185)*Impacts!$F$16))</f>
        <v>0</v>
      </c>
      <c r="U800" s="10">
        <f>IF(VCU!$C$9="",0,(SUMIF(VCU!$B$51:$B$193,$J800,VCU!$E$51:$E$193)*Impacts!$F$17))</f>
        <v>0</v>
      </c>
      <c r="V800" s="10">
        <f>IF(CAS!$C$7="",0,(SUMIF(CAS!$B$31:$B$167,$J800,CAS!$E$31:$E$167)*Impacts!$F$18))</f>
        <v>0</v>
      </c>
      <c r="W800" s="10">
        <f t="shared" si="54"/>
        <v>0</v>
      </c>
      <c r="AK800" s="10" t="str">
        <f t="array" ref="AK800">IFERROR(INDEX(SelectedSpecies,SMALL(IF(SelectedSpecies=AK$1,ROW(SelectedSpecies)),ROW(801:801)),2),"")</f>
        <v/>
      </c>
      <c r="BE800" s="10"/>
      <c r="BI800" s="10"/>
    </row>
    <row r="801" spans="1:61" ht="21" customHeight="1" x14ac:dyDescent="0.25">
      <c r="A801" s="10"/>
      <c r="B801" s="10"/>
      <c r="E801" s="10"/>
      <c r="G801" s="10"/>
      <c r="I801" s="436" t="s">
        <v>7438</v>
      </c>
      <c r="J801" s="26" t="s">
        <v>7437</v>
      </c>
      <c r="K801" s="10">
        <v>0.2</v>
      </c>
      <c r="L801" s="73">
        <f>IF(Tank1!$C$23="No control",(SUMIF(Tank1!$B$32:$B$49,$J801,Tank1!$C$32:$C$49)*Impacts!$F$8),0)</f>
        <v>0</v>
      </c>
      <c r="M801" s="10">
        <f>IF(Tank2!$C$23="No control",(SUMIF(Tank2!$B$32:$B$49,$J801,Tank2!$C$32:$C$49)*Impacts!$F$9),0)</f>
        <v>0</v>
      </c>
      <c r="N801" s="10">
        <f>IF(Tank3!$C$23="No control",(SUMIF(Tank3!$B$32:$B$49,$J801,Tank3!$C$32:$C$49)*Impacts!$F$10),0)</f>
        <v>0</v>
      </c>
      <c r="O801" s="10">
        <f>IF(Tank4!$C$23="No control",(SUMIF(Tank4!$B$32:$B$49,$J801,Tank4!$C$32:$C$49)*Impacts!$F$11),0)</f>
        <v>0</v>
      </c>
      <c r="P801" s="10">
        <f>IF(Tank5!$C$23="No control",(SUMIF(Tank5!$B$32:$B$49,$J801,Tank5!$C$32:$C$49)*Impacts!$F$12),0)</f>
        <v>0</v>
      </c>
      <c r="Q801" s="10">
        <f>IFERROR(IF(('Loading-drum,tote'!$C$21)="No control",SUMIF(('Loading-drum,tote'!$B$31:$B$48),$J801,('Loading-drum,tote'!$D$31:$D$48))*Impacts!$F$13,IF(('Loading-drum,tote'!$C$21)&lt;&gt;"No control",SUMIF(('Loading-drum,tote'!$B$31:$B$48),$J801,('Loading-drum,tote'!$E$31:$E$48))*Impacts!$F$13,0)),0)</f>
        <v>0</v>
      </c>
      <c r="R801" s="10">
        <f>IFERROR(IF(('Loading-truck'!$C$21)="No control",SUMIF(('Loading-truck'!$B$31:$B$48),$J801,('Loading-truck'!$D$31:$D$48))*Impacts!$F$14,IF(('Loading-truck'!$C$21)&lt;&gt;"No control",SUMIF(('Loading-truck'!$B$31:$B$48),$J801,('Loading-truck'!$E$31:$E$48))*Impacts!$F$14,0)),0)</f>
        <v>0</v>
      </c>
      <c r="S801" s="10">
        <f>IFERROR(IF(('Loading-rail'!$C$21)="No control",SUMIF(('Loading-rail'!$B$31:$B$48),$J801,('Loading-rail'!$D$31:$D$48))*Impacts!$F$15,IF(('Loading-rail'!$C$21)&lt;&gt;"No control",SUMIF(('Loading-rail'!$B$31:$B$48),$J801,('Loading-rail'!$E$31:$E$48))*Impacts!$F$15,0)),0)</f>
        <v>0</v>
      </c>
      <c r="T801" s="10">
        <f>IF(Flare!$C$7="",0,(SUMIF(Flare!$B$46:$B$185,$J801,Flare!$E$46:$E$185)*Impacts!$F$16))</f>
        <v>0</v>
      </c>
      <c r="U801" s="10">
        <f>IF(VCU!$C$9="",0,(SUMIF(VCU!$B$51:$B$193,$J801,VCU!$E$51:$E$193)*Impacts!$F$17))</f>
        <v>0</v>
      </c>
      <c r="V801" s="10">
        <f>IF(CAS!$C$7="",0,(SUMIF(CAS!$B$31:$B$167,$J801,CAS!$E$31:$E$167)*Impacts!$F$18))</f>
        <v>0</v>
      </c>
      <c r="W801" s="10">
        <f t="shared" si="54"/>
        <v>0</v>
      </c>
      <c r="AK801" s="10" t="str">
        <f t="array" ref="AK801">IFERROR(INDEX(SelectedSpecies,SMALL(IF(SelectedSpecies=AK$1,ROW(SelectedSpecies)),ROW(802:802)),2),"")</f>
        <v/>
      </c>
      <c r="BE801" s="10"/>
      <c r="BI801" s="10"/>
    </row>
    <row r="802" spans="1:61" ht="21" customHeight="1" x14ac:dyDescent="0.25">
      <c r="A802" s="10"/>
      <c r="B802" s="10"/>
      <c r="E802" s="10"/>
      <c r="G802" s="10"/>
      <c r="I802" s="436" t="s">
        <v>644</v>
      </c>
      <c r="J802" s="26" t="s">
        <v>643</v>
      </c>
      <c r="K802" s="10">
        <v>57</v>
      </c>
      <c r="L802" s="73">
        <f>IF(Tank1!$C$23="No control",(SUMIF(Tank1!$B$32:$B$49,$J802,Tank1!$C$32:$C$49)*Impacts!$F$8),0)</f>
        <v>0</v>
      </c>
      <c r="M802" s="10">
        <f>IF(Tank2!$C$23="No control",(SUMIF(Tank2!$B$32:$B$49,$J802,Tank2!$C$32:$C$49)*Impacts!$F$9),0)</f>
        <v>0</v>
      </c>
      <c r="N802" s="10">
        <f>IF(Tank3!$C$23="No control",(SUMIF(Tank3!$B$32:$B$49,$J802,Tank3!$C$32:$C$49)*Impacts!$F$10),0)</f>
        <v>0</v>
      </c>
      <c r="O802" s="10">
        <f>IF(Tank4!$C$23="No control",(SUMIF(Tank4!$B$32:$B$49,$J802,Tank4!$C$32:$C$49)*Impacts!$F$11),0)</f>
        <v>0</v>
      </c>
      <c r="P802" s="10">
        <f>IF(Tank5!$C$23="No control",(SUMIF(Tank5!$B$32:$B$49,$J802,Tank5!$C$32:$C$49)*Impacts!$F$12),0)</f>
        <v>0</v>
      </c>
      <c r="Q802" s="10">
        <f>IFERROR(IF(('Loading-drum,tote'!$C$21)="No control",SUMIF(('Loading-drum,tote'!$B$31:$B$48),$J802,('Loading-drum,tote'!$D$31:$D$48))*Impacts!$F$13,IF(('Loading-drum,tote'!$C$21)&lt;&gt;"No control",SUMIF(('Loading-drum,tote'!$B$31:$B$48),$J802,('Loading-drum,tote'!$E$31:$E$48))*Impacts!$F$13,0)),0)</f>
        <v>0</v>
      </c>
      <c r="R802" s="10">
        <f>IFERROR(IF(('Loading-truck'!$C$21)="No control",SUMIF(('Loading-truck'!$B$31:$B$48),$J802,('Loading-truck'!$D$31:$D$48))*Impacts!$F$14,IF(('Loading-truck'!$C$21)&lt;&gt;"No control",SUMIF(('Loading-truck'!$B$31:$B$48),$J802,('Loading-truck'!$E$31:$E$48))*Impacts!$F$14,0)),0)</f>
        <v>0</v>
      </c>
      <c r="S802" s="10">
        <f>IFERROR(IF(('Loading-rail'!$C$21)="No control",SUMIF(('Loading-rail'!$B$31:$B$48),$J802,('Loading-rail'!$D$31:$D$48))*Impacts!$F$15,IF(('Loading-rail'!$C$21)&lt;&gt;"No control",SUMIF(('Loading-rail'!$B$31:$B$48),$J802,('Loading-rail'!$E$31:$E$48))*Impacts!$F$15,0)),0)</f>
        <v>0</v>
      </c>
      <c r="T802" s="10">
        <f>IF(Flare!$C$7="",0,(SUMIF(Flare!$B$46:$B$185,$J802,Flare!$E$46:$E$185)*Impacts!$F$16))</f>
        <v>0</v>
      </c>
      <c r="U802" s="10">
        <f>IF(VCU!$C$9="",0,(SUMIF(VCU!$B$51:$B$193,$J802,VCU!$E$51:$E$193)*Impacts!$F$17))</f>
        <v>0</v>
      </c>
      <c r="V802" s="10">
        <f>IF(CAS!$C$7="",0,(SUMIF(CAS!$B$31:$B$167,$J802,CAS!$E$31:$E$167)*Impacts!$F$18))</f>
        <v>0</v>
      </c>
      <c r="W802" s="10">
        <f t="shared" si="54"/>
        <v>0</v>
      </c>
      <c r="AK802" s="10" t="str">
        <f t="array" ref="AK802">IFERROR(INDEX(SelectedSpecies,SMALL(IF(SelectedSpecies=AK$1,ROW(SelectedSpecies)),ROW(803:803)),2),"")</f>
        <v/>
      </c>
      <c r="BE802" s="10"/>
      <c r="BI802" s="10"/>
    </row>
    <row r="803" spans="1:61" ht="21" customHeight="1" x14ac:dyDescent="0.25">
      <c r="A803" s="10"/>
      <c r="B803" s="10"/>
      <c r="E803" s="10"/>
      <c r="G803" s="10"/>
      <c r="I803" s="436" t="s">
        <v>2721</v>
      </c>
      <c r="J803" s="26" t="s">
        <v>2720</v>
      </c>
      <c r="K803" s="10">
        <v>10</v>
      </c>
      <c r="L803" s="73">
        <f>IF(Tank1!$C$23="No control",(SUMIF(Tank1!$B$32:$B$49,$J803,Tank1!$C$32:$C$49)*Impacts!$F$8),0)</f>
        <v>0</v>
      </c>
      <c r="M803" s="10">
        <f>IF(Tank2!$C$23="No control",(SUMIF(Tank2!$B$32:$B$49,$J803,Tank2!$C$32:$C$49)*Impacts!$F$9),0)</f>
        <v>0</v>
      </c>
      <c r="N803" s="10">
        <f>IF(Tank3!$C$23="No control",(SUMIF(Tank3!$B$32:$B$49,$J803,Tank3!$C$32:$C$49)*Impacts!$F$10),0)</f>
        <v>0</v>
      </c>
      <c r="O803" s="10">
        <f>IF(Tank4!$C$23="No control",(SUMIF(Tank4!$B$32:$B$49,$J803,Tank4!$C$32:$C$49)*Impacts!$F$11),0)</f>
        <v>0</v>
      </c>
      <c r="P803" s="10">
        <f>IF(Tank5!$C$23="No control",(SUMIF(Tank5!$B$32:$B$49,$J803,Tank5!$C$32:$C$49)*Impacts!$F$12),0)</f>
        <v>0</v>
      </c>
      <c r="Q803" s="10">
        <f>IFERROR(IF(('Loading-drum,tote'!$C$21)="No control",SUMIF(('Loading-drum,tote'!$B$31:$B$48),$J803,('Loading-drum,tote'!$D$31:$D$48))*Impacts!$F$13,IF(('Loading-drum,tote'!$C$21)&lt;&gt;"No control",SUMIF(('Loading-drum,tote'!$B$31:$B$48),$J803,('Loading-drum,tote'!$E$31:$E$48))*Impacts!$F$13,0)),0)</f>
        <v>0</v>
      </c>
      <c r="R803" s="10">
        <f>IFERROR(IF(('Loading-truck'!$C$21)="No control",SUMIF(('Loading-truck'!$B$31:$B$48),$J803,('Loading-truck'!$D$31:$D$48))*Impacts!$F$14,IF(('Loading-truck'!$C$21)&lt;&gt;"No control",SUMIF(('Loading-truck'!$B$31:$B$48),$J803,('Loading-truck'!$E$31:$E$48))*Impacts!$F$14,0)),0)</f>
        <v>0</v>
      </c>
      <c r="S803" s="10">
        <f>IFERROR(IF(('Loading-rail'!$C$21)="No control",SUMIF(('Loading-rail'!$B$31:$B$48),$J803,('Loading-rail'!$D$31:$D$48))*Impacts!$F$15,IF(('Loading-rail'!$C$21)&lt;&gt;"No control",SUMIF(('Loading-rail'!$B$31:$B$48),$J803,('Loading-rail'!$E$31:$E$48))*Impacts!$F$15,0)),0)</f>
        <v>0</v>
      </c>
      <c r="T803" s="10">
        <f>IF(Flare!$C$7="",0,(SUMIF(Flare!$B$46:$B$185,$J803,Flare!$E$46:$E$185)*Impacts!$F$16))</f>
        <v>0</v>
      </c>
      <c r="U803" s="10">
        <f>IF(VCU!$C$9="",0,(SUMIF(VCU!$B$51:$B$193,$J803,VCU!$E$51:$E$193)*Impacts!$F$17))</f>
        <v>0</v>
      </c>
      <c r="V803" s="10">
        <f>IF(CAS!$C$7="",0,(SUMIF(CAS!$B$31:$B$167,$J803,CAS!$E$31:$E$167)*Impacts!$F$18))</f>
        <v>0</v>
      </c>
      <c r="W803" s="10">
        <f t="shared" si="54"/>
        <v>0</v>
      </c>
      <c r="AK803" s="10" t="str">
        <f t="array" ref="AK803">IFERROR(INDEX(SelectedSpecies,SMALL(IF(SelectedSpecies=AK$1,ROW(SelectedSpecies)),ROW(804:804)),2),"")</f>
        <v/>
      </c>
      <c r="BE803" s="10"/>
      <c r="BI803" s="10"/>
    </row>
    <row r="804" spans="1:61" ht="21" customHeight="1" x14ac:dyDescent="0.25">
      <c r="A804" s="10"/>
      <c r="B804" s="10"/>
      <c r="E804" s="10"/>
      <c r="G804" s="10"/>
      <c r="I804" s="436" t="s">
        <v>5762</v>
      </c>
      <c r="J804" s="26" t="s">
        <v>5761</v>
      </c>
      <c r="K804" s="10">
        <v>1</v>
      </c>
      <c r="L804" s="73">
        <f>IF(Tank1!$C$23="No control",(SUMIF(Tank1!$B$32:$B$49,$J804,Tank1!$C$32:$C$49)*Impacts!$F$8),0)</f>
        <v>0</v>
      </c>
      <c r="M804" s="10">
        <f>IF(Tank2!$C$23="No control",(SUMIF(Tank2!$B$32:$B$49,$J804,Tank2!$C$32:$C$49)*Impacts!$F$9),0)</f>
        <v>0</v>
      </c>
      <c r="N804" s="10">
        <f>IF(Tank3!$C$23="No control",(SUMIF(Tank3!$B$32:$B$49,$J804,Tank3!$C$32:$C$49)*Impacts!$F$10),0)</f>
        <v>0</v>
      </c>
      <c r="O804" s="10">
        <f>IF(Tank4!$C$23="No control",(SUMIF(Tank4!$B$32:$B$49,$J804,Tank4!$C$32:$C$49)*Impacts!$F$11),0)</f>
        <v>0</v>
      </c>
      <c r="P804" s="10">
        <f>IF(Tank5!$C$23="No control",(SUMIF(Tank5!$B$32:$B$49,$J804,Tank5!$C$32:$C$49)*Impacts!$F$12),0)</f>
        <v>0</v>
      </c>
      <c r="Q804" s="10">
        <f>IFERROR(IF(('Loading-drum,tote'!$C$21)="No control",SUMIF(('Loading-drum,tote'!$B$31:$B$48),$J804,('Loading-drum,tote'!$D$31:$D$48))*Impacts!$F$13,IF(('Loading-drum,tote'!$C$21)&lt;&gt;"No control",SUMIF(('Loading-drum,tote'!$B$31:$B$48),$J804,('Loading-drum,tote'!$E$31:$E$48))*Impacts!$F$13,0)),0)</f>
        <v>0</v>
      </c>
      <c r="R804" s="10">
        <f>IFERROR(IF(('Loading-truck'!$C$21)="No control",SUMIF(('Loading-truck'!$B$31:$B$48),$J804,('Loading-truck'!$D$31:$D$48))*Impacts!$F$14,IF(('Loading-truck'!$C$21)&lt;&gt;"No control",SUMIF(('Loading-truck'!$B$31:$B$48),$J804,('Loading-truck'!$E$31:$E$48))*Impacts!$F$14,0)),0)</f>
        <v>0</v>
      </c>
      <c r="S804" s="10">
        <f>IFERROR(IF(('Loading-rail'!$C$21)="No control",SUMIF(('Loading-rail'!$B$31:$B$48),$J804,('Loading-rail'!$D$31:$D$48))*Impacts!$F$15,IF(('Loading-rail'!$C$21)&lt;&gt;"No control",SUMIF(('Loading-rail'!$B$31:$B$48),$J804,('Loading-rail'!$E$31:$E$48))*Impacts!$F$15,0)),0)</f>
        <v>0</v>
      </c>
      <c r="T804" s="10">
        <f>IF(Flare!$C$7="",0,(SUMIF(Flare!$B$46:$B$185,$J804,Flare!$E$46:$E$185)*Impacts!$F$16))</f>
        <v>0</v>
      </c>
      <c r="U804" s="10">
        <f>IF(VCU!$C$9="",0,(SUMIF(VCU!$B$51:$B$193,$J804,VCU!$E$51:$E$193)*Impacts!$F$17))</f>
        <v>0</v>
      </c>
      <c r="V804" s="10">
        <f>IF(CAS!$C$7="",0,(SUMIF(CAS!$B$31:$B$167,$J804,CAS!$E$31:$E$167)*Impacts!$F$18))</f>
        <v>0</v>
      </c>
      <c r="W804" s="10">
        <f t="shared" si="54"/>
        <v>0</v>
      </c>
      <c r="AK804" s="10" t="str">
        <f t="array" ref="AK804">IFERROR(INDEX(SelectedSpecies,SMALL(IF(SelectedSpecies=AK$1,ROW(SelectedSpecies)),ROW(805:805)),2),"")</f>
        <v/>
      </c>
      <c r="BE804" s="10"/>
      <c r="BI804" s="10"/>
    </row>
    <row r="805" spans="1:61" ht="21" customHeight="1" x14ac:dyDescent="0.25">
      <c r="A805" s="10"/>
      <c r="B805" s="10"/>
      <c r="E805" s="10"/>
      <c r="G805" s="10"/>
      <c r="I805" s="436" t="s">
        <v>7440</v>
      </c>
      <c r="J805" s="26" t="s">
        <v>7439</v>
      </c>
      <c r="K805" s="10">
        <v>0.2</v>
      </c>
      <c r="L805" s="73">
        <f>IF(Tank1!$C$23="No control",(SUMIF(Tank1!$B$32:$B$49,$J805,Tank1!$C$32:$C$49)*Impacts!$F$8),0)</f>
        <v>0</v>
      </c>
      <c r="M805" s="10">
        <f>IF(Tank2!$C$23="No control",(SUMIF(Tank2!$B$32:$B$49,$J805,Tank2!$C$32:$C$49)*Impacts!$F$9),0)</f>
        <v>0</v>
      </c>
      <c r="N805" s="10">
        <f>IF(Tank3!$C$23="No control",(SUMIF(Tank3!$B$32:$B$49,$J805,Tank3!$C$32:$C$49)*Impacts!$F$10),0)</f>
        <v>0</v>
      </c>
      <c r="O805" s="10">
        <f>IF(Tank4!$C$23="No control",(SUMIF(Tank4!$B$32:$B$49,$J805,Tank4!$C$32:$C$49)*Impacts!$F$11),0)</f>
        <v>0</v>
      </c>
      <c r="P805" s="10">
        <f>IF(Tank5!$C$23="No control",(SUMIF(Tank5!$B$32:$B$49,$J805,Tank5!$C$32:$C$49)*Impacts!$F$12),0)</f>
        <v>0</v>
      </c>
      <c r="Q805" s="10">
        <f>IFERROR(IF(('Loading-drum,tote'!$C$21)="No control",SUMIF(('Loading-drum,tote'!$B$31:$B$48),$J805,('Loading-drum,tote'!$D$31:$D$48))*Impacts!$F$13,IF(('Loading-drum,tote'!$C$21)&lt;&gt;"No control",SUMIF(('Loading-drum,tote'!$B$31:$B$48),$J805,('Loading-drum,tote'!$E$31:$E$48))*Impacts!$F$13,0)),0)</f>
        <v>0</v>
      </c>
      <c r="R805" s="10">
        <f>IFERROR(IF(('Loading-truck'!$C$21)="No control",SUMIF(('Loading-truck'!$B$31:$B$48),$J805,('Loading-truck'!$D$31:$D$48))*Impacts!$F$14,IF(('Loading-truck'!$C$21)&lt;&gt;"No control",SUMIF(('Loading-truck'!$B$31:$B$48),$J805,('Loading-truck'!$E$31:$E$48))*Impacts!$F$14,0)),0)</f>
        <v>0</v>
      </c>
      <c r="S805" s="10">
        <f>IFERROR(IF(('Loading-rail'!$C$21)="No control",SUMIF(('Loading-rail'!$B$31:$B$48),$J805,('Loading-rail'!$D$31:$D$48))*Impacts!$F$15,IF(('Loading-rail'!$C$21)&lt;&gt;"No control",SUMIF(('Loading-rail'!$B$31:$B$48),$J805,('Loading-rail'!$E$31:$E$48))*Impacts!$F$15,0)),0)</f>
        <v>0</v>
      </c>
      <c r="T805" s="10">
        <f>IF(Flare!$C$7="",0,(SUMIF(Flare!$B$46:$B$185,$J805,Flare!$E$46:$E$185)*Impacts!$F$16))</f>
        <v>0</v>
      </c>
      <c r="U805" s="10">
        <f>IF(VCU!$C$9="",0,(SUMIF(VCU!$B$51:$B$193,$J805,VCU!$E$51:$E$193)*Impacts!$F$17))</f>
        <v>0</v>
      </c>
      <c r="V805" s="10">
        <f>IF(CAS!$C$7="",0,(SUMIF(CAS!$B$31:$B$167,$J805,CAS!$E$31:$E$167)*Impacts!$F$18))</f>
        <v>0</v>
      </c>
      <c r="W805" s="10">
        <f t="shared" si="54"/>
        <v>0</v>
      </c>
      <c r="AK805" s="10" t="str">
        <f t="array" ref="AK805">IFERROR(INDEX(SelectedSpecies,SMALL(IF(SelectedSpecies=AK$1,ROW(SelectedSpecies)),ROW(806:806)),2),"")</f>
        <v/>
      </c>
      <c r="BE805" s="10"/>
      <c r="BI805" s="10"/>
    </row>
    <row r="806" spans="1:61" ht="21" customHeight="1" x14ac:dyDescent="0.25">
      <c r="A806" s="10"/>
      <c r="B806" s="10"/>
      <c r="E806" s="10"/>
      <c r="G806" s="10"/>
      <c r="I806" s="436" t="s">
        <v>5764</v>
      </c>
      <c r="J806" s="26" t="s">
        <v>5763</v>
      </c>
      <c r="K806" s="10">
        <v>1</v>
      </c>
      <c r="L806" s="73">
        <f>IF(Tank1!$C$23="No control",(SUMIF(Tank1!$B$32:$B$49,$J806,Tank1!$C$32:$C$49)*Impacts!$F$8),0)</f>
        <v>0</v>
      </c>
      <c r="M806" s="10">
        <f>IF(Tank2!$C$23="No control",(SUMIF(Tank2!$B$32:$B$49,$J806,Tank2!$C$32:$C$49)*Impacts!$F$9),0)</f>
        <v>0</v>
      </c>
      <c r="N806" s="10">
        <f>IF(Tank3!$C$23="No control",(SUMIF(Tank3!$B$32:$B$49,$J806,Tank3!$C$32:$C$49)*Impacts!$F$10),0)</f>
        <v>0</v>
      </c>
      <c r="O806" s="10">
        <f>IF(Tank4!$C$23="No control",(SUMIF(Tank4!$B$32:$B$49,$J806,Tank4!$C$32:$C$49)*Impacts!$F$11),0)</f>
        <v>0</v>
      </c>
      <c r="P806" s="10">
        <f>IF(Tank5!$C$23="No control",(SUMIF(Tank5!$B$32:$B$49,$J806,Tank5!$C$32:$C$49)*Impacts!$F$12),0)</f>
        <v>0</v>
      </c>
      <c r="Q806" s="10">
        <f>IFERROR(IF(('Loading-drum,tote'!$C$21)="No control",SUMIF(('Loading-drum,tote'!$B$31:$B$48),$J806,('Loading-drum,tote'!$D$31:$D$48))*Impacts!$F$13,IF(('Loading-drum,tote'!$C$21)&lt;&gt;"No control",SUMIF(('Loading-drum,tote'!$B$31:$B$48),$J806,('Loading-drum,tote'!$E$31:$E$48))*Impacts!$F$13,0)),0)</f>
        <v>0</v>
      </c>
      <c r="R806" s="10">
        <f>IFERROR(IF(('Loading-truck'!$C$21)="No control",SUMIF(('Loading-truck'!$B$31:$B$48),$J806,('Loading-truck'!$D$31:$D$48))*Impacts!$F$14,IF(('Loading-truck'!$C$21)&lt;&gt;"No control",SUMIF(('Loading-truck'!$B$31:$B$48),$J806,('Loading-truck'!$E$31:$E$48))*Impacts!$F$14,0)),0)</f>
        <v>0</v>
      </c>
      <c r="S806" s="10">
        <f>IFERROR(IF(('Loading-rail'!$C$21)="No control",SUMIF(('Loading-rail'!$B$31:$B$48),$J806,('Loading-rail'!$D$31:$D$48))*Impacts!$F$15,IF(('Loading-rail'!$C$21)&lt;&gt;"No control",SUMIF(('Loading-rail'!$B$31:$B$48),$J806,('Loading-rail'!$E$31:$E$48))*Impacts!$F$15,0)),0)</f>
        <v>0</v>
      </c>
      <c r="T806" s="10">
        <f>IF(Flare!$C$7="",0,(SUMIF(Flare!$B$46:$B$185,$J806,Flare!$E$46:$E$185)*Impacts!$F$16))</f>
        <v>0</v>
      </c>
      <c r="U806" s="10">
        <f>IF(VCU!$C$9="",0,(SUMIF(VCU!$B$51:$B$193,$J806,VCU!$E$51:$E$193)*Impacts!$F$17))</f>
        <v>0</v>
      </c>
      <c r="V806" s="10">
        <f>IF(CAS!$C$7="",0,(SUMIF(CAS!$B$31:$B$167,$J806,CAS!$E$31:$E$167)*Impacts!$F$18))</f>
        <v>0</v>
      </c>
      <c r="W806" s="10">
        <f t="shared" si="54"/>
        <v>0</v>
      </c>
      <c r="AK806" s="10" t="str">
        <f t="array" ref="AK806">IFERROR(INDEX(SelectedSpecies,SMALL(IF(SelectedSpecies=AK$1,ROW(SelectedSpecies)),ROW(807:807)),2),"")</f>
        <v/>
      </c>
      <c r="BE806" s="10"/>
      <c r="BI806" s="10"/>
    </row>
    <row r="807" spans="1:61" ht="21" customHeight="1" x14ac:dyDescent="0.25">
      <c r="A807" s="10"/>
      <c r="B807" s="10"/>
      <c r="E807" s="10"/>
      <c r="G807" s="10"/>
      <c r="I807" s="436" t="s">
        <v>3915</v>
      </c>
      <c r="J807" s="26" t="s">
        <v>3914</v>
      </c>
      <c r="K807" s="10">
        <v>6</v>
      </c>
      <c r="L807" s="73">
        <f>IF(Tank1!$C$23="No control",(SUMIF(Tank1!$B$32:$B$49,$J807,Tank1!$C$32:$C$49)*Impacts!$F$8),0)</f>
        <v>0</v>
      </c>
      <c r="M807" s="10">
        <f>IF(Tank2!$C$23="No control",(SUMIF(Tank2!$B$32:$B$49,$J807,Tank2!$C$32:$C$49)*Impacts!$F$9),0)</f>
        <v>0</v>
      </c>
      <c r="N807" s="10">
        <f>IF(Tank3!$C$23="No control",(SUMIF(Tank3!$B$32:$B$49,$J807,Tank3!$C$32:$C$49)*Impacts!$F$10),0)</f>
        <v>0</v>
      </c>
      <c r="O807" s="10">
        <f>IF(Tank4!$C$23="No control",(SUMIF(Tank4!$B$32:$B$49,$J807,Tank4!$C$32:$C$49)*Impacts!$F$11),0)</f>
        <v>0</v>
      </c>
      <c r="P807" s="10">
        <f>IF(Tank5!$C$23="No control",(SUMIF(Tank5!$B$32:$B$49,$J807,Tank5!$C$32:$C$49)*Impacts!$F$12),0)</f>
        <v>0</v>
      </c>
      <c r="Q807" s="10">
        <f>IFERROR(IF(('Loading-drum,tote'!$C$21)="No control",SUMIF(('Loading-drum,tote'!$B$31:$B$48),$J807,('Loading-drum,tote'!$D$31:$D$48))*Impacts!$F$13,IF(('Loading-drum,tote'!$C$21)&lt;&gt;"No control",SUMIF(('Loading-drum,tote'!$B$31:$B$48),$J807,('Loading-drum,tote'!$E$31:$E$48))*Impacts!$F$13,0)),0)</f>
        <v>0</v>
      </c>
      <c r="R807" s="10">
        <f>IFERROR(IF(('Loading-truck'!$C$21)="No control",SUMIF(('Loading-truck'!$B$31:$B$48),$J807,('Loading-truck'!$D$31:$D$48))*Impacts!$F$14,IF(('Loading-truck'!$C$21)&lt;&gt;"No control",SUMIF(('Loading-truck'!$B$31:$B$48),$J807,('Loading-truck'!$E$31:$E$48))*Impacts!$F$14,0)),0)</f>
        <v>0</v>
      </c>
      <c r="S807" s="10">
        <f>IFERROR(IF(('Loading-rail'!$C$21)="No control",SUMIF(('Loading-rail'!$B$31:$B$48),$J807,('Loading-rail'!$D$31:$D$48))*Impacts!$F$15,IF(('Loading-rail'!$C$21)&lt;&gt;"No control",SUMIF(('Loading-rail'!$B$31:$B$48),$J807,('Loading-rail'!$E$31:$E$48))*Impacts!$F$15,0)),0)</f>
        <v>0</v>
      </c>
      <c r="T807" s="10">
        <f>IF(Flare!$C$7="",0,(SUMIF(Flare!$B$46:$B$185,$J807,Flare!$E$46:$E$185)*Impacts!$F$16))</f>
        <v>0</v>
      </c>
      <c r="U807" s="10">
        <f>IF(VCU!$C$9="",0,(SUMIF(VCU!$B$51:$B$193,$J807,VCU!$E$51:$E$193)*Impacts!$F$17))</f>
        <v>0</v>
      </c>
      <c r="V807" s="10">
        <f>IF(CAS!$C$7="",0,(SUMIF(CAS!$B$31:$B$167,$J807,CAS!$E$31:$E$167)*Impacts!$F$18))</f>
        <v>0</v>
      </c>
      <c r="W807" s="10">
        <f t="shared" si="54"/>
        <v>0</v>
      </c>
      <c r="AK807" s="10" t="str">
        <f t="array" ref="AK807">IFERROR(INDEX(SelectedSpecies,SMALL(IF(SelectedSpecies=AK$1,ROW(SelectedSpecies)),ROW(808:808)),2),"")</f>
        <v/>
      </c>
      <c r="BE807" s="10"/>
      <c r="BI807" s="10"/>
    </row>
    <row r="808" spans="1:61" ht="21" customHeight="1" x14ac:dyDescent="0.25">
      <c r="A808" s="10"/>
      <c r="B808" s="10"/>
      <c r="E808" s="10"/>
      <c r="G808" s="10"/>
      <c r="I808" s="436" t="s">
        <v>4359</v>
      </c>
      <c r="J808" s="26" t="s">
        <v>4358</v>
      </c>
      <c r="K808" s="10">
        <v>4.8000000000000007</v>
      </c>
      <c r="L808" s="73">
        <f>IF(Tank1!$C$23="No control",(SUMIF(Tank1!$B$32:$B$49,$J808,Tank1!$C$32:$C$49)*Impacts!$F$8),0)</f>
        <v>0</v>
      </c>
      <c r="M808" s="10">
        <f>IF(Tank2!$C$23="No control",(SUMIF(Tank2!$B$32:$B$49,$J808,Tank2!$C$32:$C$49)*Impacts!$F$9),0)</f>
        <v>0</v>
      </c>
      <c r="N808" s="10">
        <f>IF(Tank3!$C$23="No control",(SUMIF(Tank3!$B$32:$B$49,$J808,Tank3!$C$32:$C$49)*Impacts!$F$10),0)</f>
        <v>0</v>
      </c>
      <c r="O808" s="10">
        <f>IF(Tank4!$C$23="No control",(SUMIF(Tank4!$B$32:$B$49,$J808,Tank4!$C$32:$C$49)*Impacts!$F$11),0)</f>
        <v>0</v>
      </c>
      <c r="P808" s="10">
        <f>IF(Tank5!$C$23="No control",(SUMIF(Tank5!$B$32:$B$49,$J808,Tank5!$C$32:$C$49)*Impacts!$F$12),0)</f>
        <v>0</v>
      </c>
      <c r="Q808" s="10">
        <f>IFERROR(IF(('Loading-drum,tote'!$C$21)="No control",SUMIF(('Loading-drum,tote'!$B$31:$B$48),$J808,('Loading-drum,tote'!$D$31:$D$48))*Impacts!$F$13,IF(('Loading-drum,tote'!$C$21)&lt;&gt;"No control",SUMIF(('Loading-drum,tote'!$B$31:$B$48),$J808,('Loading-drum,tote'!$E$31:$E$48))*Impacts!$F$13,0)),0)</f>
        <v>0</v>
      </c>
      <c r="R808" s="10">
        <f>IFERROR(IF(('Loading-truck'!$C$21)="No control",SUMIF(('Loading-truck'!$B$31:$B$48),$J808,('Loading-truck'!$D$31:$D$48))*Impacts!$F$14,IF(('Loading-truck'!$C$21)&lt;&gt;"No control",SUMIF(('Loading-truck'!$B$31:$B$48),$J808,('Loading-truck'!$E$31:$E$48))*Impacts!$F$14,0)),0)</f>
        <v>0</v>
      </c>
      <c r="S808" s="10">
        <f>IFERROR(IF(('Loading-rail'!$C$21)="No control",SUMIF(('Loading-rail'!$B$31:$B$48),$J808,('Loading-rail'!$D$31:$D$48))*Impacts!$F$15,IF(('Loading-rail'!$C$21)&lt;&gt;"No control",SUMIF(('Loading-rail'!$B$31:$B$48),$J808,('Loading-rail'!$E$31:$E$48))*Impacts!$F$15,0)),0)</f>
        <v>0</v>
      </c>
      <c r="T808" s="10">
        <f>IF(Flare!$C$7="",0,(SUMIF(Flare!$B$46:$B$185,$J808,Flare!$E$46:$E$185)*Impacts!$F$16))</f>
        <v>0</v>
      </c>
      <c r="U808" s="10">
        <f>IF(VCU!$C$9="",0,(SUMIF(VCU!$B$51:$B$193,$J808,VCU!$E$51:$E$193)*Impacts!$F$17))</f>
        <v>0</v>
      </c>
      <c r="V808" s="10">
        <f>IF(CAS!$C$7="",0,(SUMIF(CAS!$B$31:$B$167,$J808,CAS!$E$31:$E$167)*Impacts!$F$18))</f>
        <v>0</v>
      </c>
      <c r="W808" s="10">
        <f t="shared" si="54"/>
        <v>0</v>
      </c>
      <c r="AK808" s="10" t="str">
        <f t="array" ref="AK808">IFERROR(INDEX(SelectedSpecies,SMALL(IF(SelectedSpecies=AK$1,ROW(SelectedSpecies)),ROW(809:809)),2),"")</f>
        <v/>
      </c>
      <c r="BE808" s="10"/>
      <c r="BI808" s="10"/>
    </row>
    <row r="809" spans="1:61" ht="21" customHeight="1" x14ac:dyDescent="0.25">
      <c r="A809" s="10"/>
      <c r="B809" s="10"/>
      <c r="E809" s="10"/>
      <c r="G809" s="10"/>
      <c r="I809" s="436" t="s">
        <v>7072</v>
      </c>
      <c r="J809" s="26" t="s">
        <v>7071</v>
      </c>
      <c r="K809" s="10">
        <v>0.4</v>
      </c>
      <c r="L809" s="73">
        <f>IF(Tank1!$C$23="No control",(SUMIF(Tank1!$B$32:$B$49,$J809,Tank1!$C$32:$C$49)*Impacts!$F$8),0)</f>
        <v>0</v>
      </c>
      <c r="M809" s="10">
        <f>IF(Tank2!$C$23="No control",(SUMIF(Tank2!$B$32:$B$49,$J809,Tank2!$C$32:$C$49)*Impacts!$F$9),0)</f>
        <v>0</v>
      </c>
      <c r="N809" s="10">
        <f>IF(Tank3!$C$23="No control",(SUMIF(Tank3!$B$32:$B$49,$J809,Tank3!$C$32:$C$49)*Impacts!$F$10),0)</f>
        <v>0</v>
      </c>
      <c r="O809" s="10">
        <f>IF(Tank4!$C$23="No control",(SUMIF(Tank4!$B$32:$B$49,$J809,Tank4!$C$32:$C$49)*Impacts!$F$11),0)</f>
        <v>0</v>
      </c>
      <c r="P809" s="10">
        <f>IF(Tank5!$C$23="No control",(SUMIF(Tank5!$B$32:$B$49,$J809,Tank5!$C$32:$C$49)*Impacts!$F$12),0)</f>
        <v>0</v>
      </c>
      <c r="Q809" s="10">
        <f>IFERROR(IF(('Loading-drum,tote'!$C$21)="No control",SUMIF(('Loading-drum,tote'!$B$31:$B$48),$J809,('Loading-drum,tote'!$D$31:$D$48))*Impacts!$F$13,IF(('Loading-drum,tote'!$C$21)&lt;&gt;"No control",SUMIF(('Loading-drum,tote'!$B$31:$B$48),$J809,('Loading-drum,tote'!$E$31:$E$48))*Impacts!$F$13,0)),0)</f>
        <v>0</v>
      </c>
      <c r="R809" s="10">
        <f>IFERROR(IF(('Loading-truck'!$C$21)="No control",SUMIF(('Loading-truck'!$B$31:$B$48),$J809,('Loading-truck'!$D$31:$D$48))*Impacts!$F$14,IF(('Loading-truck'!$C$21)&lt;&gt;"No control",SUMIF(('Loading-truck'!$B$31:$B$48),$J809,('Loading-truck'!$E$31:$E$48))*Impacts!$F$14,0)),0)</f>
        <v>0</v>
      </c>
      <c r="S809" s="10">
        <f>IFERROR(IF(('Loading-rail'!$C$21)="No control",SUMIF(('Loading-rail'!$B$31:$B$48),$J809,('Loading-rail'!$D$31:$D$48))*Impacts!$F$15,IF(('Loading-rail'!$C$21)&lt;&gt;"No control",SUMIF(('Loading-rail'!$B$31:$B$48),$J809,('Loading-rail'!$E$31:$E$48))*Impacts!$F$15,0)),0)</f>
        <v>0</v>
      </c>
      <c r="T809" s="10">
        <f>IF(Flare!$C$7="",0,(SUMIF(Flare!$B$46:$B$185,$J809,Flare!$E$46:$E$185)*Impacts!$F$16))</f>
        <v>0</v>
      </c>
      <c r="U809" s="10">
        <f>IF(VCU!$C$9="",0,(SUMIF(VCU!$B$51:$B$193,$J809,VCU!$E$51:$E$193)*Impacts!$F$17))</f>
        <v>0</v>
      </c>
      <c r="V809" s="10">
        <f>IF(CAS!$C$7="",0,(SUMIF(CAS!$B$31:$B$167,$J809,CAS!$E$31:$E$167)*Impacts!$F$18))</f>
        <v>0</v>
      </c>
      <c r="W809" s="10">
        <f t="shared" si="54"/>
        <v>0</v>
      </c>
      <c r="AK809" s="10" t="str">
        <f t="array" ref="AK809">IFERROR(INDEX(SelectedSpecies,SMALL(IF(SelectedSpecies=AK$1,ROW(SelectedSpecies)),ROW(810:810)),2),"")</f>
        <v/>
      </c>
      <c r="BE809" s="10"/>
      <c r="BI809" s="10"/>
    </row>
    <row r="810" spans="1:61" ht="21" customHeight="1" x14ac:dyDescent="0.25">
      <c r="A810" s="10"/>
      <c r="B810" s="10"/>
      <c r="E810" s="10"/>
      <c r="G810" s="10"/>
      <c r="I810" s="436" t="s">
        <v>8132</v>
      </c>
      <c r="J810" s="26" t="s">
        <v>8131</v>
      </c>
      <c r="K810" s="10">
        <v>1.0000000000000002E-2</v>
      </c>
      <c r="L810" s="73">
        <f>IF(Tank1!$C$23="No control",(SUMIF(Tank1!$B$32:$B$49,$J810,Tank1!$C$32:$C$49)*Impacts!$F$8),0)</f>
        <v>0</v>
      </c>
      <c r="M810" s="10">
        <f>IF(Tank2!$C$23="No control",(SUMIF(Tank2!$B$32:$B$49,$J810,Tank2!$C$32:$C$49)*Impacts!$F$9),0)</f>
        <v>0</v>
      </c>
      <c r="N810" s="10">
        <f>IF(Tank3!$C$23="No control",(SUMIF(Tank3!$B$32:$B$49,$J810,Tank3!$C$32:$C$49)*Impacts!$F$10),0)</f>
        <v>0</v>
      </c>
      <c r="O810" s="10">
        <f>IF(Tank4!$C$23="No control",(SUMIF(Tank4!$B$32:$B$49,$J810,Tank4!$C$32:$C$49)*Impacts!$F$11),0)</f>
        <v>0</v>
      </c>
      <c r="P810" s="10">
        <f>IF(Tank5!$C$23="No control",(SUMIF(Tank5!$B$32:$B$49,$J810,Tank5!$C$32:$C$49)*Impacts!$F$12),0)</f>
        <v>0</v>
      </c>
      <c r="Q810" s="10">
        <f>IFERROR(IF(('Loading-drum,tote'!$C$21)="No control",SUMIF(('Loading-drum,tote'!$B$31:$B$48),$J810,('Loading-drum,tote'!$D$31:$D$48))*Impacts!$F$13,IF(('Loading-drum,tote'!$C$21)&lt;&gt;"No control",SUMIF(('Loading-drum,tote'!$B$31:$B$48),$J810,('Loading-drum,tote'!$E$31:$E$48))*Impacts!$F$13,0)),0)</f>
        <v>0</v>
      </c>
      <c r="R810" s="10">
        <f>IFERROR(IF(('Loading-truck'!$C$21)="No control",SUMIF(('Loading-truck'!$B$31:$B$48),$J810,('Loading-truck'!$D$31:$D$48))*Impacts!$F$14,IF(('Loading-truck'!$C$21)&lt;&gt;"No control",SUMIF(('Loading-truck'!$B$31:$B$48),$J810,('Loading-truck'!$E$31:$E$48))*Impacts!$F$14,0)),0)</f>
        <v>0</v>
      </c>
      <c r="S810" s="10">
        <f>IFERROR(IF(('Loading-rail'!$C$21)="No control",SUMIF(('Loading-rail'!$B$31:$B$48),$J810,('Loading-rail'!$D$31:$D$48))*Impacts!$F$15,IF(('Loading-rail'!$C$21)&lt;&gt;"No control",SUMIF(('Loading-rail'!$B$31:$B$48),$J810,('Loading-rail'!$E$31:$E$48))*Impacts!$F$15,0)),0)</f>
        <v>0</v>
      </c>
      <c r="T810" s="10">
        <f>IF(Flare!$C$7="",0,(SUMIF(Flare!$B$46:$B$185,$J810,Flare!$E$46:$E$185)*Impacts!$F$16))</f>
        <v>0</v>
      </c>
      <c r="U810" s="10">
        <f>IF(VCU!$C$9="",0,(SUMIF(VCU!$B$51:$B$193,$J810,VCU!$E$51:$E$193)*Impacts!$F$17))</f>
        <v>0</v>
      </c>
      <c r="V810" s="10">
        <f>IF(CAS!$C$7="",0,(SUMIF(CAS!$B$31:$B$167,$J810,CAS!$E$31:$E$167)*Impacts!$F$18))</f>
        <v>0</v>
      </c>
      <c r="W810" s="10">
        <f t="shared" si="54"/>
        <v>0</v>
      </c>
      <c r="AK810" s="10" t="str">
        <f t="array" ref="AK810">IFERROR(INDEX(SelectedSpecies,SMALL(IF(SelectedSpecies=AK$1,ROW(SelectedSpecies)),ROW(811:811)),2),"")</f>
        <v/>
      </c>
      <c r="BE810" s="10"/>
      <c r="BI810" s="10"/>
    </row>
    <row r="811" spans="1:61" ht="21" customHeight="1" x14ac:dyDescent="0.25">
      <c r="A811" s="10"/>
      <c r="B811" s="10"/>
      <c r="E811" s="10"/>
      <c r="G811" s="10"/>
      <c r="I811" s="436" t="s">
        <v>6298</v>
      </c>
      <c r="J811" s="26" t="s">
        <v>6297</v>
      </c>
      <c r="K811" s="10">
        <v>0.9</v>
      </c>
      <c r="L811" s="73">
        <f>IF(Tank1!$C$23="No control",(SUMIF(Tank1!$B$32:$B$49,$J811,Tank1!$C$32:$C$49)*Impacts!$F$8),0)</f>
        <v>0</v>
      </c>
      <c r="M811" s="10">
        <f>IF(Tank2!$C$23="No control",(SUMIF(Tank2!$B$32:$B$49,$J811,Tank2!$C$32:$C$49)*Impacts!$F$9),0)</f>
        <v>0</v>
      </c>
      <c r="N811" s="10">
        <f>IF(Tank3!$C$23="No control",(SUMIF(Tank3!$B$32:$B$49,$J811,Tank3!$C$32:$C$49)*Impacts!$F$10),0)</f>
        <v>0</v>
      </c>
      <c r="O811" s="10">
        <f>IF(Tank4!$C$23="No control",(SUMIF(Tank4!$B$32:$B$49,$J811,Tank4!$C$32:$C$49)*Impacts!$F$11),0)</f>
        <v>0</v>
      </c>
      <c r="P811" s="10">
        <f>IF(Tank5!$C$23="No control",(SUMIF(Tank5!$B$32:$B$49,$J811,Tank5!$C$32:$C$49)*Impacts!$F$12),0)</f>
        <v>0</v>
      </c>
      <c r="Q811" s="10">
        <f>IFERROR(IF(('Loading-drum,tote'!$C$21)="No control",SUMIF(('Loading-drum,tote'!$B$31:$B$48),$J811,('Loading-drum,tote'!$D$31:$D$48))*Impacts!$F$13,IF(('Loading-drum,tote'!$C$21)&lt;&gt;"No control",SUMIF(('Loading-drum,tote'!$B$31:$B$48),$J811,('Loading-drum,tote'!$E$31:$E$48))*Impacts!$F$13,0)),0)</f>
        <v>0</v>
      </c>
      <c r="R811" s="10">
        <f>IFERROR(IF(('Loading-truck'!$C$21)="No control",SUMIF(('Loading-truck'!$B$31:$B$48),$J811,('Loading-truck'!$D$31:$D$48))*Impacts!$F$14,IF(('Loading-truck'!$C$21)&lt;&gt;"No control",SUMIF(('Loading-truck'!$B$31:$B$48),$J811,('Loading-truck'!$E$31:$E$48))*Impacts!$F$14,0)),0)</f>
        <v>0</v>
      </c>
      <c r="S811" s="10">
        <f>IFERROR(IF(('Loading-rail'!$C$21)="No control",SUMIF(('Loading-rail'!$B$31:$B$48),$J811,('Loading-rail'!$D$31:$D$48))*Impacts!$F$15,IF(('Loading-rail'!$C$21)&lt;&gt;"No control",SUMIF(('Loading-rail'!$B$31:$B$48),$J811,('Loading-rail'!$E$31:$E$48))*Impacts!$F$15,0)),0)</f>
        <v>0</v>
      </c>
      <c r="T811" s="10">
        <f>IF(Flare!$C$7="",0,(SUMIF(Flare!$B$46:$B$185,$J811,Flare!$E$46:$E$185)*Impacts!$F$16))</f>
        <v>0</v>
      </c>
      <c r="U811" s="10">
        <f>IF(VCU!$C$9="",0,(SUMIF(VCU!$B$51:$B$193,$J811,VCU!$E$51:$E$193)*Impacts!$F$17))</f>
        <v>0</v>
      </c>
      <c r="V811" s="10">
        <f>IF(CAS!$C$7="",0,(SUMIF(CAS!$B$31:$B$167,$J811,CAS!$E$31:$E$167)*Impacts!$F$18))</f>
        <v>0</v>
      </c>
      <c r="W811" s="10">
        <f t="shared" si="54"/>
        <v>0</v>
      </c>
      <c r="AK811" s="10" t="str">
        <f t="array" ref="AK811">IFERROR(INDEX(SelectedSpecies,SMALL(IF(SelectedSpecies=AK$1,ROW(SelectedSpecies)),ROW(812:812)),2),"")</f>
        <v/>
      </c>
      <c r="BE811" s="10"/>
      <c r="BI811" s="10"/>
    </row>
    <row r="812" spans="1:61" ht="21" customHeight="1" x14ac:dyDescent="0.25">
      <c r="A812" s="10"/>
      <c r="B812" s="10"/>
      <c r="E812" s="10"/>
      <c r="G812" s="10"/>
      <c r="I812" s="436" t="s">
        <v>7898</v>
      </c>
      <c r="J812" s="26" t="s">
        <v>7897</v>
      </c>
      <c r="K812" s="10">
        <v>0.05</v>
      </c>
      <c r="L812" s="73">
        <f>IF(Tank1!$C$23="No control",(SUMIF(Tank1!$B$32:$B$49,$J812,Tank1!$C$32:$C$49)*Impacts!$F$8),0)</f>
        <v>0</v>
      </c>
      <c r="M812" s="10">
        <f>IF(Tank2!$C$23="No control",(SUMIF(Tank2!$B$32:$B$49,$J812,Tank2!$C$32:$C$49)*Impacts!$F$9),0)</f>
        <v>0</v>
      </c>
      <c r="N812" s="10">
        <f>IF(Tank3!$C$23="No control",(SUMIF(Tank3!$B$32:$B$49,$J812,Tank3!$C$32:$C$49)*Impacts!$F$10),0)</f>
        <v>0</v>
      </c>
      <c r="O812" s="10">
        <f>IF(Tank4!$C$23="No control",(SUMIF(Tank4!$B$32:$B$49,$J812,Tank4!$C$32:$C$49)*Impacts!$F$11),0)</f>
        <v>0</v>
      </c>
      <c r="P812" s="10">
        <f>IF(Tank5!$C$23="No control",(SUMIF(Tank5!$B$32:$B$49,$J812,Tank5!$C$32:$C$49)*Impacts!$F$12),0)</f>
        <v>0</v>
      </c>
      <c r="Q812" s="10">
        <f>IFERROR(IF(('Loading-drum,tote'!$C$21)="No control",SUMIF(('Loading-drum,tote'!$B$31:$B$48),$J812,('Loading-drum,tote'!$D$31:$D$48))*Impacts!$F$13,IF(('Loading-drum,tote'!$C$21)&lt;&gt;"No control",SUMIF(('Loading-drum,tote'!$B$31:$B$48),$J812,('Loading-drum,tote'!$E$31:$E$48))*Impacts!$F$13,0)),0)</f>
        <v>0</v>
      </c>
      <c r="R812" s="10">
        <f>IFERROR(IF(('Loading-truck'!$C$21)="No control",SUMIF(('Loading-truck'!$B$31:$B$48),$J812,('Loading-truck'!$D$31:$D$48))*Impacts!$F$14,IF(('Loading-truck'!$C$21)&lt;&gt;"No control",SUMIF(('Loading-truck'!$B$31:$B$48),$J812,('Loading-truck'!$E$31:$E$48))*Impacts!$F$14,0)),0)</f>
        <v>0</v>
      </c>
      <c r="S812" s="10">
        <f>IFERROR(IF(('Loading-rail'!$C$21)="No control",SUMIF(('Loading-rail'!$B$31:$B$48),$J812,('Loading-rail'!$D$31:$D$48))*Impacts!$F$15,IF(('Loading-rail'!$C$21)&lt;&gt;"No control",SUMIF(('Loading-rail'!$B$31:$B$48),$J812,('Loading-rail'!$E$31:$E$48))*Impacts!$F$15,0)),0)</f>
        <v>0</v>
      </c>
      <c r="T812" s="10">
        <f>IF(Flare!$C$7="",0,(SUMIF(Flare!$B$46:$B$185,$J812,Flare!$E$46:$E$185)*Impacts!$F$16))</f>
        <v>0</v>
      </c>
      <c r="U812" s="10">
        <f>IF(VCU!$C$9="",0,(SUMIF(VCU!$B$51:$B$193,$J812,VCU!$E$51:$E$193)*Impacts!$F$17))</f>
        <v>0</v>
      </c>
      <c r="V812" s="10">
        <f>IF(CAS!$C$7="",0,(SUMIF(CAS!$B$31:$B$167,$J812,CAS!$E$31:$E$167)*Impacts!$F$18))</f>
        <v>0</v>
      </c>
      <c r="W812" s="10">
        <f t="shared" si="54"/>
        <v>0</v>
      </c>
      <c r="AK812" s="10" t="str">
        <f t="array" ref="AK812">IFERROR(INDEX(SelectedSpecies,SMALL(IF(SelectedSpecies=AK$1,ROW(SelectedSpecies)),ROW(813:813)),2),"")</f>
        <v/>
      </c>
      <c r="BE812" s="10"/>
      <c r="BI812" s="10"/>
    </row>
    <row r="813" spans="1:61" ht="21" customHeight="1" x14ac:dyDescent="0.25">
      <c r="A813" s="10"/>
      <c r="B813" s="10"/>
      <c r="E813" s="10"/>
      <c r="G813" s="10"/>
      <c r="I813" s="436" t="s">
        <v>4123</v>
      </c>
      <c r="J813" s="26" t="s">
        <v>4122</v>
      </c>
      <c r="K813" s="10">
        <v>5.3000000000000007</v>
      </c>
      <c r="L813" s="73">
        <f>IF(Tank1!$C$23="No control",(SUMIF(Tank1!$B$32:$B$49,$J813,Tank1!$C$32:$C$49)*Impacts!$F$8),0)</f>
        <v>0</v>
      </c>
      <c r="M813" s="10">
        <f>IF(Tank2!$C$23="No control",(SUMIF(Tank2!$B$32:$B$49,$J813,Tank2!$C$32:$C$49)*Impacts!$F$9),0)</f>
        <v>0</v>
      </c>
      <c r="N813" s="10">
        <f>IF(Tank3!$C$23="No control",(SUMIF(Tank3!$B$32:$B$49,$J813,Tank3!$C$32:$C$49)*Impacts!$F$10),0)</f>
        <v>0</v>
      </c>
      <c r="O813" s="10">
        <f>IF(Tank4!$C$23="No control",(SUMIF(Tank4!$B$32:$B$49,$J813,Tank4!$C$32:$C$49)*Impacts!$F$11),0)</f>
        <v>0</v>
      </c>
      <c r="P813" s="10">
        <f>IF(Tank5!$C$23="No control",(SUMIF(Tank5!$B$32:$B$49,$J813,Tank5!$C$32:$C$49)*Impacts!$F$12),0)</f>
        <v>0</v>
      </c>
      <c r="Q813" s="10">
        <f>IFERROR(IF(('Loading-drum,tote'!$C$21)="No control",SUMIF(('Loading-drum,tote'!$B$31:$B$48),$J813,('Loading-drum,tote'!$D$31:$D$48))*Impacts!$F$13,IF(('Loading-drum,tote'!$C$21)&lt;&gt;"No control",SUMIF(('Loading-drum,tote'!$B$31:$B$48),$J813,('Loading-drum,tote'!$E$31:$E$48))*Impacts!$F$13,0)),0)</f>
        <v>0</v>
      </c>
      <c r="R813" s="10">
        <f>IFERROR(IF(('Loading-truck'!$C$21)="No control",SUMIF(('Loading-truck'!$B$31:$B$48),$J813,('Loading-truck'!$D$31:$D$48))*Impacts!$F$14,IF(('Loading-truck'!$C$21)&lt;&gt;"No control",SUMIF(('Loading-truck'!$B$31:$B$48),$J813,('Loading-truck'!$E$31:$E$48))*Impacts!$F$14,0)),0)</f>
        <v>0</v>
      </c>
      <c r="S813" s="10">
        <f>IFERROR(IF(('Loading-rail'!$C$21)="No control",SUMIF(('Loading-rail'!$B$31:$B$48),$J813,('Loading-rail'!$D$31:$D$48))*Impacts!$F$15,IF(('Loading-rail'!$C$21)&lt;&gt;"No control",SUMIF(('Loading-rail'!$B$31:$B$48),$J813,('Loading-rail'!$E$31:$E$48))*Impacts!$F$15,0)),0)</f>
        <v>0</v>
      </c>
      <c r="T813" s="10">
        <f>IF(Flare!$C$7="",0,(SUMIF(Flare!$B$46:$B$185,$J813,Flare!$E$46:$E$185)*Impacts!$F$16))</f>
        <v>0</v>
      </c>
      <c r="U813" s="10">
        <f>IF(VCU!$C$9="",0,(SUMIF(VCU!$B$51:$B$193,$J813,VCU!$E$51:$E$193)*Impacts!$F$17))</f>
        <v>0</v>
      </c>
      <c r="V813" s="10">
        <f>IF(CAS!$C$7="",0,(SUMIF(CAS!$B$31:$B$167,$J813,CAS!$E$31:$E$167)*Impacts!$F$18))</f>
        <v>0</v>
      </c>
      <c r="W813" s="10">
        <f t="shared" si="54"/>
        <v>0</v>
      </c>
      <c r="AK813" s="10" t="str">
        <f t="array" ref="AK813">IFERROR(INDEX(SelectedSpecies,SMALL(IF(SelectedSpecies=AK$1,ROW(SelectedSpecies)),ROW(814:814)),2),"")</f>
        <v/>
      </c>
      <c r="BE813" s="10"/>
      <c r="BI813" s="10"/>
    </row>
    <row r="814" spans="1:61" ht="21" customHeight="1" x14ac:dyDescent="0.25">
      <c r="A814" s="10"/>
      <c r="B814" s="10"/>
      <c r="E814" s="10"/>
      <c r="G814" s="10"/>
      <c r="I814" s="436" t="s">
        <v>5766</v>
      </c>
      <c r="J814" s="26" t="s">
        <v>5765</v>
      </c>
      <c r="K814" s="10">
        <v>1</v>
      </c>
      <c r="L814" s="73">
        <f>IF(Tank1!$C$23="No control",(SUMIF(Tank1!$B$32:$B$49,$J814,Tank1!$C$32:$C$49)*Impacts!$F$8),0)</f>
        <v>0</v>
      </c>
      <c r="M814" s="10">
        <f>IF(Tank2!$C$23="No control",(SUMIF(Tank2!$B$32:$B$49,$J814,Tank2!$C$32:$C$49)*Impacts!$F$9),0)</f>
        <v>0</v>
      </c>
      <c r="N814" s="10">
        <f>IF(Tank3!$C$23="No control",(SUMIF(Tank3!$B$32:$B$49,$J814,Tank3!$C$32:$C$49)*Impacts!$F$10),0)</f>
        <v>0</v>
      </c>
      <c r="O814" s="10">
        <f>IF(Tank4!$C$23="No control",(SUMIF(Tank4!$B$32:$B$49,$J814,Tank4!$C$32:$C$49)*Impacts!$F$11),0)</f>
        <v>0</v>
      </c>
      <c r="P814" s="10">
        <f>IF(Tank5!$C$23="No control",(SUMIF(Tank5!$B$32:$B$49,$J814,Tank5!$C$32:$C$49)*Impacts!$F$12),0)</f>
        <v>0</v>
      </c>
      <c r="Q814" s="10">
        <f>IFERROR(IF(('Loading-drum,tote'!$C$21)="No control",SUMIF(('Loading-drum,tote'!$B$31:$B$48),$J814,('Loading-drum,tote'!$D$31:$D$48))*Impacts!$F$13,IF(('Loading-drum,tote'!$C$21)&lt;&gt;"No control",SUMIF(('Loading-drum,tote'!$B$31:$B$48),$J814,('Loading-drum,tote'!$E$31:$E$48))*Impacts!$F$13,0)),0)</f>
        <v>0</v>
      </c>
      <c r="R814" s="10">
        <f>IFERROR(IF(('Loading-truck'!$C$21)="No control",SUMIF(('Loading-truck'!$B$31:$B$48),$J814,('Loading-truck'!$D$31:$D$48))*Impacts!$F$14,IF(('Loading-truck'!$C$21)&lt;&gt;"No control",SUMIF(('Loading-truck'!$B$31:$B$48),$J814,('Loading-truck'!$E$31:$E$48))*Impacts!$F$14,0)),0)</f>
        <v>0</v>
      </c>
      <c r="S814" s="10">
        <f>IFERROR(IF(('Loading-rail'!$C$21)="No control",SUMIF(('Loading-rail'!$B$31:$B$48),$J814,('Loading-rail'!$D$31:$D$48))*Impacts!$F$15,IF(('Loading-rail'!$C$21)&lt;&gt;"No control",SUMIF(('Loading-rail'!$B$31:$B$48),$J814,('Loading-rail'!$E$31:$E$48))*Impacts!$F$15,0)),0)</f>
        <v>0</v>
      </c>
      <c r="T814" s="10">
        <f>IF(Flare!$C$7="",0,(SUMIF(Flare!$B$46:$B$185,$J814,Flare!$E$46:$E$185)*Impacts!$F$16))</f>
        <v>0</v>
      </c>
      <c r="U814" s="10">
        <f>IF(VCU!$C$9="",0,(SUMIF(VCU!$B$51:$B$193,$J814,VCU!$E$51:$E$193)*Impacts!$F$17))</f>
        <v>0</v>
      </c>
      <c r="V814" s="10">
        <f>IF(CAS!$C$7="",0,(SUMIF(CAS!$B$31:$B$167,$J814,CAS!$E$31:$E$167)*Impacts!$F$18))</f>
        <v>0</v>
      </c>
      <c r="W814" s="10">
        <f t="shared" si="54"/>
        <v>0</v>
      </c>
      <c r="AK814" s="10" t="str">
        <f t="array" ref="AK814">IFERROR(INDEX(SelectedSpecies,SMALL(IF(SelectedSpecies=AK$1,ROW(SelectedSpecies)),ROW(815:815)),2),"")</f>
        <v/>
      </c>
      <c r="BE814" s="10"/>
      <c r="BI814" s="10"/>
    </row>
    <row r="815" spans="1:61" ht="21" customHeight="1" x14ac:dyDescent="0.25">
      <c r="A815" s="10"/>
      <c r="B815" s="10"/>
      <c r="E815" s="10"/>
      <c r="G815" s="10"/>
      <c r="I815" s="436" t="s">
        <v>7808</v>
      </c>
      <c r="J815" s="26" t="s">
        <v>7807</v>
      </c>
      <c r="K815" s="10">
        <v>8.0000000000000016E-2</v>
      </c>
      <c r="L815" s="73">
        <f>IF(Tank1!$C$23="No control",(SUMIF(Tank1!$B$32:$B$49,$J815,Tank1!$C$32:$C$49)*Impacts!$F$8),0)</f>
        <v>0</v>
      </c>
      <c r="M815" s="10">
        <f>IF(Tank2!$C$23="No control",(SUMIF(Tank2!$B$32:$B$49,$J815,Tank2!$C$32:$C$49)*Impacts!$F$9),0)</f>
        <v>0</v>
      </c>
      <c r="N815" s="10">
        <f>IF(Tank3!$C$23="No control",(SUMIF(Tank3!$B$32:$B$49,$J815,Tank3!$C$32:$C$49)*Impacts!$F$10),0)</f>
        <v>0</v>
      </c>
      <c r="O815" s="10">
        <f>IF(Tank4!$C$23="No control",(SUMIF(Tank4!$B$32:$B$49,$J815,Tank4!$C$32:$C$49)*Impacts!$F$11),0)</f>
        <v>0</v>
      </c>
      <c r="P815" s="10">
        <f>IF(Tank5!$C$23="No control",(SUMIF(Tank5!$B$32:$B$49,$J815,Tank5!$C$32:$C$49)*Impacts!$F$12),0)</f>
        <v>0</v>
      </c>
      <c r="Q815" s="10">
        <f>IFERROR(IF(('Loading-drum,tote'!$C$21)="No control",SUMIF(('Loading-drum,tote'!$B$31:$B$48),$J815,('Loading-drum,tote'!$D$31:$D$48))*Impacts!$F$13,IF(('Loading-drum,tote'!$C$21)&lt;&gt;"No control",SUMIF(('Loading-drum,tote'!$B$31:$B$48),$J815,('Loading-drum,tote'!$E$31:$E$48))*Impacts!$F$13,0)),0)</f>
        <v>0</v>
      </c>
      <c r="R815" s="10">
        <f>IFERROR(IF(('Loading-truck'!$C$21)="No control",SUMIF(('Loading-truck'!$B$31:$B$48),$J815,('Loading-truck'!$D$31:$D$48))*Impacts!$F$14,IF(('Loading-truck'!$C$21)&lt;&gt;"No control",SUMIF(('Loading-truck'!$B$31:$B$48),$J815,('Loading-truck'!$E$31:$E$48))*Impacts!$F$14,0)),0)</f>
        <v>0</v>
      </c>
      <c r="S815" s="10">
        <f>IFERROR(IF(('Loading-rail'!$C$21)="No control",SUMIF(('Loading-rail'!$B$31:$B$48),$J815,('Loading-rail'!$D$31:$D$48))*Impacts!$F$15,IF(('Loading-rail'!$C$21)&lt;&gt;"No control",SUMIF(('Loading-rail'!$B$31:$B$48),$J815,('Loading-rail'!$E$31:$E$48))*Impacts!$F$15,0)),0)</f>
        <v>0</v>
      </c>
      <c r="T815" s="10">
        <f>IF(Flare!$C$7="",0,(SUMIF(Flare!$B$46:$B$185,$J815,Flare!$E$46:$E$185)*Impacts!$F$16))</f>
        <v>0</v>
      </c>
      <c r="U815" s="10">
        <f>IF(VCU!$C$9="",0,(SUMIF(VCU!$B$51:$B$193,$J815,VCU!$E$51:$E$193)*Impacts!$F$17))</f>
        <v>0</v>
      </c>
      <c r="V815" s="10">
        <f>IF(CAS!$C$7="",0,(SUMIF(CAS!$B$31:$B$167,$J815,CAS!$E$31:$E$167)*Impacts!$F$18))</f>
        <v>0</v>
      </c>
      <c r="W815" s="10">
        <f t="shared" si="54"/>
        <v>0</v>
      </c>
      <c r="AK815" s="10" t="str">
        <f t="array" ref="AK815">IFERROR(INDEX(SelectedSpecies,SMALL(IF(SelectedSpecies=AK$1,ROW(SelectedSpecies)),ROW(816:816)),2),"")</f>
        <v/>
      </c>
      <c r="BE815" s="10"/>
      <c r="BI815" s="10"/>
    </row>
    <row r="816" spans="1:61" ht="21" customHeight="1" x14ac:dyDescent="0.25">
      <c r="A816" s="10"/>
      <c r="B816" s="10"/>
      <c r="E816" s="10"/>
      <c r="G816" s="10"/>
      <c r="I816" s="436" t="s">
        <v>2437</v>
      </c>
      <c r="J816" s="26" t="s">
        <v>2436</v>
      </c>
      <c r="K816" s="10">
        <v>10</v>
      </c>
      <c r="L816" s="73">
        <f>IF(Tank1!$C$23="No control",(SUMIF(Tank1!$B$32:$B$49,$J816,Tank1!$C$32:$C$49)*Impacts!$F$8),0)</f>
        <v>0</v>
      </c>
      <c r="M816" s="10">
        <f>IF(Tank2!$C$23="No control",(SUMIF(Tank2!$B$32:$B$49,$J816,Tank2!$C$32:$C$49)*Impacts!$F$9),0)</f>
        <v>0</v>
      </c>
      <c r="N816" s="10">
        <f>IF(Tank3!$C$23="No control",(SUMIF(Tank3!$B$32:$B$49,$J816,Tank3!$C$32:$C$49)*Impacts!$F$10),0)</f>
        <v>0</v>
      </c>
      <c r="O816" s="10">
        <f>IF(Tank4!$C$23="No control",(SUMIF(Tank4!$B$32:$B$49,$J816,Tank4!$C$32:$C$49)*Impacts!$F$11),0)</f>
        <v>0</v>
      </c>
      <c r="P816" s="10">
        <f>IF(Tank5!$C$23="No control",(SUMIF(Tank5!$B$32:$B$49,$J816,Tank5!$C$32:$C$49)*Impacts!$F$12),0)</f>
        <v>0</v>
      </c>
      <c r="Q816" s="10">
        <f>IFERROR(IF(('Loading-drum,tote'!$C$21)="No control",SUMIF(('Loading-drum,tote'!$B$31:$B$48),$J816,('Loading-drum,tote'!$D$31:$D$48))*Impacts!$F$13,IF(('Loading-drum,tote'!$C$21)&lt;&gt;"No control",SUMIF(('Loading-drum,tote'!$B$31:$B$48),$J816,('Loading-drum,tote'!$E$31:$E$48))*Impacts!$F$13,0)),0)</f>
        <v>0</v>
      </c>
      <c r="R816" s="10">
        <f>IFERROR(IF(('Loading-truck'!$C$21)="No control",SUMIF(('Loading-truck'!$B$31:$B$48),$J816,('Loading-truck'!$D$31:$D$48))*Impacts!$F$14,IF(('Loading-truck'!$C$21)&lt;&gt;"No control",SUMIF(('Loading-truck'!$B$31:$B$48),$J816,('Loading-truck'!$E$31:$E$48))*Impacts!$F$14,0)),0)</f>
        <v>0</v>
      </c>
      <c r="S816" s="10">
        <f>IFERROR(IF(('Loading-rail'!$C$21)="No control",SUMIF(('Loading-rail'!$B$31:$B$48),$J816,('Loading-rail'!$D$31:$D$48))*Impacts!$F$15,IF(('Loading-rail'!$C$21)&lt;&gt;"No control",SUMIF(('Loading-rail'!$B$31:$B$48),$J816,('Loading-rail'!$E$31:$E$48))*Impacts!$F$15,0)),0)</f>
        <v>0</v>
      </c>
      <c r="T816" s="10">
        <f>IF(Flare!$C$7="",0,(SUMIF(Flare!$B$46:$B$185,$J816,Flare!$E$46:$E$185)*Impacts!$F$16))</f>
        <v>0</v>
      </c>
      <c r="U816" s="10">
        <f>IF(VCU!$C$9="",0,(SUMIF(VCU!$B$51:$B$193,$J816,VCU!$E$51:$E$193)*Impacts!$F$17))</f>
        <v>0</v>
      </c>
      <c r="V816" s="10">
        <f>IF(CAS!$C$7="",0,(SUMIF(CAS!$B$31:$B$167,$J816,CAS!$E$31:$E$167)*Impacts!$F$18))</f>
        <v>0</v>
      </c>
      <c r="W816" s="10">
        <f t="shared" si="54"/>
        <v>0</v>
      </c>
      <c r="AK816" s="10" t="str">
        <f t="array" ref="AK816">IFERROR(INDEX(SelectedSpecies,SMALL(IF(SelectedSpecies=AK$1,ROW(SelectedSpecies)),ROW(817:817)),2),"")</f>
        <v/>
      </c>
      <c r="BE816" s="10"/>
      <c r="BI816" s="10"/>
    </row>
    <row r="817" spans="1:61" ht="21" customHeight="1" x14ac:dyDescent="0.25">
      <c r="A817" s="10"/>
      <c r="B817" s="10"/>
      <c r="E817" s="10"/>
      <c r="G817" s="10"/>
      <c r="I817" s="436" t="s">
        <v>1997</v>
      </c>
      <c r="J817" s="26" t="s">
        <v>1996</v>
      </c>
      <c r="K817" s="10">
        <v>17</v>
      </c>
      <c r="L817" s="73">
        <f>IF(Tank1!$C$23="No control",(SUMIF(Tank1!$B$32:$B$49,$J817,Tank1!$C$32:$C$49)*Impacts!$F$8),0)</f>
        <v>0</v>
      </c>
      <c r="M817" s="10">
        <f>IF(Tank2!$C$23="No control",(SUMIF(Tank2!$B$32:$B$49,$J817,Tank2!$C$32:$C$49)*Impacts!$F$9),0)</f>
        <v>0</v>
      </c>
      <c r="N817" s="10">
        <f>IF(Tank3!$C$23="No control",(SUMIF(Tank3!$B$32:$B$49,$J817,Tank3!$C$32:$C$49)*Impacts!$F$10),0)</f>
        <v>0</v>
      </c>
      <c r="O817" s="10">
        <f>IF(Tank4!$C$23="No control",(SUMIF(Tank4!$B$32:$B$49,$J817,Tank4!$C$32:$C$49)*Impacts!$F$11),0)</f>
        <v>0</v>
      </c>
      <c r="P817" s="10">
        <f>IF(Tank5!$C$23="No control",(SUMIF(Tank5!$B$32:$B$49,$J817,Tank5!$C$32:$C$49)*Impacts!$F$12),0)</f>
        <v>0</v>
      </c>
      <c r="Q817" s="10">
        <f>IFERROR(IF(('Loading-drum,tote'!$C$21)="No control",SUMIF(('Loading-drum,tote'!$B$31:$B$48),$J817,('Loading-drum,tote'!$D$31:$D$48))*Impacts!$F$13,IF(('Loading-drum,tote'!$C$21)&lt;&gt;"No control",SUMIF(('Loading-drum,tote'!$B$31:$B$48),$J817,('Loading-drum,tote'!$E$31:$E$48))*Impacts!$F$13,0)),0)</f>
        <v>0</v>
      </c>
      <c r="R817" s="10">
        <f>IFERROR(IF(('Loading-truck'!$C$21)="No control",SUMIF(('Loading-truck'!$B$31:$B$48),$J817,('Loading-truck'!$D$31:$D$48))*Impacts!$F$14,IF(('Loading-truck'!$C$21)&lt;&gt;"No control",SUMIF(('Loading-truck'!$B$31:$B$48),$J817,('Loading-truck'!$E$31:$E$48))*Impacts!$F$14,0)),0)</f>
        <v>0</v>
      </c>
      <c r="S817" s="10">
        <f>IFERROR(IF(('Loading-rail'!$C$21)="No control",SUMIF(('Loading-rail'!$B$31:$B$48),$J817,('Loading-rail'!$D$31:$D$48))*Impacts!$F$15,IF(('Loading-rail'!$C$21)&lt;&gt;"No control",SUMIF(('Loading-rail'!$B$31:$B$48),$J817,('Loading-rail'!$E$31:$E$48))*Impacts!$F$15,0)),0)</f>
        <v>0</v>
      </c>
      <c r="T817" s="10">
        <f>IF(Flare!$C$7="",0,(SUMIF(Flare!$B$46:$B$185,$J817,Flare!$E$46:$E$185)*Impacts!$F$16))</f>
        <v>0</v>
      </c>
      <c r="U817" s="10">
        <f>IF(VCU!$C$9="",0,(SUMIF(VCU!$B$51:$B$193,$J817,VCU!$E$51:$E$193)*Impacts!$F$17))</f>
        <v>0</v>
      </c>
      <c r="V817" s="10">
        <f>IF(CAS!$C$7="",0,(SUMIF(CAS!$B$31:$B$167,$J817,CAS!$E$31:$E$167)*Impacts!$F$18))</f>
        <v>0</v>
      </c>
      <c r="W817" s="10">
        <f t="shared" si="54"/>
        <v>0</v>
      </c>
      <c r="AK817" s="10" t="str">
        <f t="array" ref="AK817">IFERROR(INDEX(SelectedSpecies,SMALL(IF(SelectedSpecies=AK$1,ROW(SelectedSpecies)),ROW(818:818)),2),"")</f>
        <v/>
      </c>
      <c r="BE817" s="10"/>
      <c r="BI817" s="10"/>
    </row>
    <row r="818" spans="1:61" ht="21" customHeight="1" x14ac:dyDescent="0.25">
      <c r="A818" s="10"/>
      <c r="B818" s="10"/>
      <c r="E818" s="10"/>
      <c r="G818" s="10"/>
      <c r="I818" s="436" t="s">
        <v>3667</v>
      </c>
      <c r="J818" s="26" t="s">
        <v>3666</v>
      </c>
      <c r="K818" s="10">
        <v>7</v>
      </c>
      <c r="L818" s="73">
        <f>IF(Tank1!$C$23="No control",(SUMIF(Tank1!$B$32:$B$49,$J818,Tank1!$C$32:$C$49)*Impacts!$F$8),0)</f>
        <v>0</v>
      </c>
      <c r="M818" s="10">
        <f>IF(Tank2!$C$23="No control",(SUMIF(Tank2!$B$32:$B$49,$J818,Tank2!$C$32:$C$49)*Impacts!$F$9),0)</f>
        <v>0</v>
      </c>
      <c r="N818" s="10">
        <f>IF(Tank3!$C$23="No control",(SUMIF(Tank3!$B$32:$B$49,$J818,Tank3!$C$32:$C$49)*Impacts!$F$10),0)</f>
        <v>0</v>
      </c>
      <c r="O818" s="10">
        <f>IF(Tank4!$C$23="No control",(SUMIF(Tank4!$B$32:$B$49,$J818,Tank4!$C$32:$C$49)*Impacts!$F$11),0)</f>
        <v>0</v>
      </c>
      <c r="P818" s="10">
        <f>IF(Tank5!$C$23="No control",(SUMIF(Tank5!$B$32:$B$49,$J818,Tank5!$C$32:$C$49)*Impacts!$F$12),0)</f>
        <v>0</v>
      </c>
      <c r="Q818" s="10">
        <f>IFERROR(IF(('Loading-drum,tote'!$C$21)="No control",SUMIF(('Loading-drum,tote'!$B$31:$B$48),$J818,('Loading-drum,tote'!$D$31:$D$48))*Impacts!$F$13,IF(('Loading-drum,tote'!$C$21)&lt;&gt;"No control",SUMIF(('Loading-drum,tote'!$B$31:$B$48),$J818,('Loading-drum,tote'!$E$31:$E$48))*Impacts!$F$13,0)),0)</f>
        <v>0</v>
      </c>
      <c r="R818" s="10">
        <f>IFERROR(IF(('Loading-truck'!$C$21)="No control",SUMIF(('Loading-truck'!$B$31:$B$48),$J818,('Loading-truck'!$D$31:$D$48))*Impacts!$F$14,IF(('Loading-truck'!$C$21)&lt;&gt;"No control",SUMIF(('Loading-truck'!$B$31:$B$48),$J818,('Loading-truck'!$E$31:$E$48))*Impacts!$F$14,0)),0)</f>
        <v>0</v>
      </c>
      <c r="S818" s="10">
        <f>IFERROR(IF(('Loading-rail'!$C$21)="No control",SUMIF(('Loading-rail'!$B$31:$B$48),$J818,('Loading-rail'!$D$31:$D$48))*Impacts!$F$15,IF(('Loading-rail'!$C$21)&lt;&gt;"No control",SUMIF(('Loading-rail'!$B$31:$B$48),$J818,('Loading-rail'!$E$31:$E$48))*Impacts!$F$15,0)),0)</f>
        <v>0</v>
      </c>
      <c r="T818" s="10">
        <f>IF(Flare!$C$7="",0,(SUMIF(Flare!$B$46:$B$185,$J818,Flare!$E$46:$E$185)*Impacts!$F$16))</f>
        <v>0</v>
      </c>
      <c r="U818" s="10">
        <f>IF(VCU!$C$9="",0,(SUMIF(VCU!$B$51:$B$193,$J818,VCU!$E$51:$E$193)*Impacts!$F$17))</f>
        <v>0</v>
      </c>
      <c r="V818" s="10">
        <f>IF(CAS!$C$7="",0,(SUMIF(CAS!$B$31:$B$167,$J818,CAS!$E$31:$E$167)*Impacts!$F$18))</f>
        <v>0</v>
      </c>
      <c r="W818" s="10">
        <f t="shared" si="54"/>
        <v>0</v>
      </c>
      <c r="AK818" s="10" t="str">
        <f t="array" ref="AK818">IFERROR(INDEX(SelectedSpecies,SMALL(IF(SelectedSpecies=AK$1,ROW(SelectedSpecies)),ROW(819:819)),2),"")</f>
        <v/>
      </c>
      <c r="BE818" s="10"/>
      <c r="BI818" s="10"/>
    </row>
    <row r="819" spans="1:61" ht="21" customHeight="1" x14ac:dyDescent="0.25">
      <c r="A819" s="10"/>
      <c r="B819" s="10"/>
      <c r="E819" s="10"/>
      <c r="G819" s="10"/>
      <c r="I819" s="436" t="s">
        <v>1943</v>
      </c>
      <c r="J819" s="26" t="s">
        <v>1942</v>
      </c>
      <c r="K819" s="10">
        <v>18</v>
      </c>
      <c r="L819" s="73">
        <f>IF(Tank1!$C$23="No control",(SUMIF(Tank1!$B$32:$B$49,$J819,Tank1!$C$32:$C$49)*Impacts!$F$8),0)</f>
        <v>0</v>
      </c>
      <c r="M819" s="10">
        <f>IF(Tank2!$C$23="No control",(SUMIF(Tank2!$B$32:$B$49,$J819,Tank2!$C$32:$C$49)*Impacts!$F$9),0)</f>
        <v>0</v>
      </c>
      <c r="N819" s="10">
        <f>IF(Tank3!$C$23="No control",(SUMIF(Tank3!$B$32:$B$49,$J819,Tank3!$C$32:$C$49)*Impacts!$F$10),0)</f>
        <v>0</v>
      </c>
      <c r="O819" s="10">
        <f>IF(Tank4!$C$23="No control",(SUMIF(Tank4!$B$32:$B$49,$J819,Tank4!$C$32:$C$49)*Impacts!$F$11),0)</f>
        <v>0</v>
      </c>
      <c r="P819" s="10">
        <f>IF(Tank5!$C$23="No control",(SUMIF(Tank5!$B$32:$B$49,$J819,Tank5!$C$32:$C$49)*Impacts!$F$12),0)</f>
        <v>0</v>
      </c>
      <c r="Q819" s="10">
        <f>IFERROR(IF(('Loading-drum,tote'!$C$21)="No control",SUMIF(('Loading-drum,tote'!$B$31:$B$48),$J819,('Loading-drum,tote'!$D$31:$D$48))*Impacts!$F$13,IF(('Loading-drum,tote'!$C$21)&lt;&gt;"No control",SUMIF(('Loading-drum,tote'!$B$31:$B$48),$J819,('Loading-drum,tote'!$E$31:$E$48))*Impacts!$F$13,0)),0)</f>
        <v>0</v>
      </c>
      <c r="R819" s="10">
        <f>IFERROR(IF(('Loading-truck'!$C$21)="No control",SUMIF(('Loading-truck'!$B$31:$B$48),$J819,('Loading-truck'!$D$31:$D$48))*Impacts!$F$14,IF(('Loading-truck'!$C$21)&lt;&gt;"No control",SUMIF(('Loading-truck'!$B$31:$B$48),$J819,('Loading-truck'!$E$31:$E$48))*Impacts!$F$14,0)),0)</f>
        <v>0</v>
      </c>
      <c r="S819" s="10">
        <f>IFERROR(IF(('Loading-rail'!$C$21)="No control",SUMIF(('Loading-rail'!$B$31:$B$48),$J819,('Loading-rail'!$D$31:$D$48))*Impacts!$F$15,IF(('Loading-rail'!$C$21)&lt;&gt;"No control",SUMIF(('Loading-rail'!$B$31:$B$48),$J819,('Loading-rail'!$E$31:$E$48))*Impacts!$F$15,0)),0)</f>
        <v>0</v>
      </c>
      <c r="T819" s="10">
        <f>IF(Flare!$C$7="",0,(SUMIF(Flare!$B$46:$B$185,$J819,Flare!$E$46:$E$185)*Impacts!$F$16))</f>
        <v>0</v>
      </c>
      <c r="U819" s="10">
        <f>IF(VCU!$C$9="",0,(SUMIF(VCU!$B$51:$B$193,$J819,VCU!$E$51:$E$193)*Impacts!$F$17))</f>
        <v>0</v>
      </c>
      <c r="V819" s="10">
        <f>IF(CAS!$C$7="",0,(SUMIF(CAS!$B$31:$B$167,$J819,CAS!$E$31:$E$167)*Impacts!$F$18))</f>
        <v>0</v>
      </c>
      <c r="W819" s="10">
        <f t="shared" si="54"/>
        <v>0</v>
      </c>
      <c r="AK819" s="10" t="str">
        <f t="array" ref="AK819">IFERROR(INDEX(SelectedSpecies,SMALL(IF(SelectedSpecies=AK$1,ROW(SelectedSpecies)),ROW(820:820)),2),"")</f>
        <v/>
      </c>
      <c r="BE819" s="10"/>
      <c r="BI819" s="10"/>
    </row>
    <row r="820" spans="1:61" ht="21" customHeight="1" x14ac:dyDescent="0.25">
      <c r="A820" s="10"/>
      <c r="B820" s="10"/>
      <c r="E820" s="10"/>
      <c r="G820" s="10"/>
      <c r="I820" s="436" t="s">
        <v>4089</v>
      </c>
      <c r="J820" s="26" t="s">
        <v>4088</v>
      </c>
      <c r="K820" s="10">
        <v>5.5</v>
      </c>
      <c r="L820" s="73">
        <f>IF(Tank1!$C$23="No control",(SUMIF(Tank1!$B$32:$B$49,$J820,Tank1!$C$32:$C$49)*Impacts!$F$8),0)</f>
        <v>0</v>
      </c>
      <c r="M820" s="10">
        <f>IF(Tank2!$C$23="No control",(SUMIF(Tank2!$B$32:$B$49,$J820,Tank2!$C$32:$C$49)*Impacts!$F$9),0)</f>
        <v>0</v>
      </c>
      <c r="N820" s="10">
        <f>IF(Tank3!$C$23="No control",(SUMIF(Tank3!$B$32:$B$49,$J820,Tank3!$C$32:$C$49)*Impacts!$F$10),0)</f>
        <v>0</v>
      </c>
      <c r="O820" s="10">
        <f>IF(Tank4!$C$23="No control",(SUMIF(Tank4!$B$32:$B$49,$J820,Tank4!$C$32:$C$49)*Impacts!$F$11),0)</f>
        <v>0</v>
      </c>
      <c r="P820" s="10">
        <f>IF(Tank5!$C$23="No control",(SUMIF(Tank5!$B$32:$B$49,$J820,Tank5!$C$32:$C$49)*Impacts!$F$12),0)</f>
        <v>0</v>
      </c>
      <c r="Q820" s="10">
        <f>IFERROR(IF(('Loading-drum,tote'!$C$21)="No control",SUMIF(('Loading-drum,tote'!$B$31:$B$48),$J820,('Loading-drum,tote'!$D$31:$D$48))*Impacts!$F$13,IF(('Loading-drum,tote'!$C$21)&lt;&gt;"No control",SUMIF(('Loading-drum,tote'!$B$31:$B$48),$J820,('Loading-drum,tote'!$E$31:$E$48))*Impacts!$F$13,0)),0)</f>
        <v>0</v>
      </c>
      <c r="R820" s="10">
        <f>IFERROR(IF(('Loading-truck'!$C$21)="No control",SUMIF(('Loading-truck'!$B$31:$B$48),$J820,('Loading-truck'!$D$31:$D$48))*Impacts!$F$14,IF(('Loading-truck'!$C$21)&lt;&gt;"No control",SUMIF(('Loading-truck'!$B$31:$B$48),$J820,('Loading-truck'!$E$31:$E$48))*Impacts!$F$14,0)),0)</f>
        <v>0</v>
      </c>
      <c r="S820" s="10">
        <f>IFERROR(IF(('Loading-rail'!$C$21)="No control",SUMIF(('Loading-rail'!$B$31:$B$48),$J820,('Loading-rail'!$D$31:$D$48))*Impacts!$F$15,IF(('Loading-rail'!$C$21)&lt;&gt;"No control",SUMIF(('Loading-rail'!$B$31:$B$48),$J820,('Loading-rail'!$E$31:$E$48))*Impacts!$F$15,0)),0)</f>
        <v>0</v>
      </c>
      <c r="T820" s="10">
        <f>IF(Flare!$C$7="",0,(SUMIF(Flare!$B$46:$B$185,$J820,Flare!$E$46:$E$185)*Impacts!$F$16))</f>
        <v>0</v>
      </c>
      <c r="U820" s="10">
        <f>IF(VCU!$C$9="",0,(SUMIF(VCU!$B$51:$B$193,$J820,VCU!$E$51:$E$193)*Impacts!$F$17))</f>
        <v>0</v>
      </c>
      <c r="V820" s="10">
        <f>IF(CAS!$C$7="",0,(SUMIF(CAS!$B$31:$B$167,$J820,CAS!$E$31:$E$167)*Impacts!$F$18))</f>
        <v>0</v>
      </c>
      <c r="W820" s="10">
        <f t="shared" si="54"/>
        <v>0</v>
      </c>
      <c r="AK820" s="10" t="str">
        <f t="array" ref="AK820">IFERROR(INDEX(SelectedSpecies,SMALL(IF(SelectedSpecies=AK$1,ROW(SelectedSpecies)),ROW(821:821)),2),"")</f>
        <v/>
      </c>
      <c r="BE820" s="10"/>
      <c r="BI820" s="10"/>
    </row>
    <row r="821" spans="1:61" ht="21" customHeight="1" x14ac:dyDescent="0.25">
      <c r="A821" s="10"/>
      <c r="B821" s="10"/>
      <c r="E821" s="10"/>
      <c r="G821" s="10"/>
      <c r="I821" s="436" t="s">
        <v>5768</v>
      </c>
      <c r="J821" s="26" t="s">
        <v>5767</v>
      </c>
      <c r="K821" s="10">
        <v>1</v>
      </c>
      <c r="L821" s="73">
        <f>IF(Tank1!$C$23="No control",(SUMIF(Tank1!$B$32:$B$49,$J821,Tank1!$C$32:$C$49)*Impacts!$F$8),0)</f>
        <v>0</v>
      </c>
      <c r="M821" s="10">
        <f>IF(Tank2!$C$23="No control",(SUMIF(Tank2!$B$32:$B$49,$J821,Tank2!$C$32:$C$49)*Impacts!$F$9),0)</f>
        <v>0</v>
      </c>
      <c r="N821" s="10">
        <f>IF(Tank3!$C$23="No control",(SUMIF(Tank3!$B$32:$B$49,$J821,Tank3!$C$32:$C$49)*Impacts!$F$10),0)</f>
        <v>0</v>
      </c>
      <c r="O821" s="10">
        <f>IF(Tank4!$C$23="No control",(SUMIF(Tank4!$B$32:$B$49,$J821,Tank4!$C$32:$C$49)*Impacts!$F$11),0)</f>
        <v>0</v>
      </c>
      <c r="P821" s="10">
        <f>IF(Tank5!$C$23="No control",(SUMIF(Tank5!$B$32:$B$49,$J821,Tank5!$C$32:$C$49)*Impacts!$F$12),0)</f>
        <v>0</v>
      </c>
      <c r="Q821" s="10">
        <f>IFERROR(IF(('Loading-drum,tote'!$C$21)="No control",SUMIF(('Loading-drum,tote'!$B$31:$B$48),$J821,('Loading-drum,tote'!$D$31:$D$48))*Impacts!$F$13,IF(('Loading-drum,tote'!$C$21)&lt;&gt;"No control",SUMIF(('Loading-drum,tote'!$B$31:$B$48),$J821,('Loading-drum,tote'!$E$31:$E$48))*Impacts!$F$13,0)),0)</f>
        <v>0</v>
      </c>
      <c r="R821" s="10">
        <f>IFERROR(IF(('Loading-truck'!$C$21)="No control",SUMIF(('Loading-truck'!$B$31:$B$48),$J821,('Loading-truck'!$D$31:$D$48))*Impacts!$F$14,IF(('Loading-truck'!$C$21)&lt;&gt;"No control",SUMIF(('Loading-truck'!$B$31:$B$48),$J821,('Loading-truck'!$E$31:$E$48))*Impacts!$F$14,0)),0)</f>
        <v>0</v>
      </c>
      <c r="S821" s="10">
        <f>IFERROR(IF(('Loading-rail'!$C$21)="No control",SUMIF(('Loading-rail'!$B$31:$B$48),$J821,('Loading-rail'!$D$31:$D$48))*Impacts!$F$15,IF(('Loading-rail'!$C$21)&lt;&gt;"No control",SUMIF(('Loading-rail'!$B$31:$B$48),$J821,('Loading-rail'!$E$31:$E$48))*Impacts!$F$15,0)),0)</f>
        <v>0</v>
      </c>
      <c r="T821" s="10">
        <f>IF(Flare!$C$7="",0,(SUMIF(Flare!$B$46:$B$185,$J821,Flare!$E$46:$E$185)*Impacts!$F$16))</f>
        <v>0</v>
      </c>
      <c r="U821" s="10">
        <f>IF(VCU!$C$9="",0,(SUMIF(VCU!$B$51:$B$193,$J821,VCU!$E$51:$E$193)*Impacts!$F$17))</f>
        <v>0</v>
      </c>
      <c r="V821" s="10">
        <f>IF(CAS!$C$7="",0,(SUMIF(CAS!$B$31:$B$167,$J821,CAS!$E$31:$E$167)*Impacts!$F$18))</f>
        <v>0</v>
      </c>
      <c r="W821" s="10">
        <f t="shared" si="54"/>
        <v>0</v>
      </c>
      <c r="AK821" s="10" t="str">
        <f t="array" ref="AK821">IFERROR(INDEX(SelectedSpecies,SMALL(IF(SelectedSpecies=AK$1,ROW(SelectedSpecies)),ROW(822:822)),2),"")</f>
        <v/>
      </c>
      <c r="BE821" s="10"/>
      <c r="BI821" s="10"/>
    </row>
    <row r="822" spans="1:61" ht="21" customHeight="1" x14ac:dyDescent="0.25">
      <c r="A822" s="10"/>
      <c r="B822" s="10"/>
      <c r="E822" s="10"/>
      <c r="G822" s="10"/>
      <c r="I822" s="436" t="s">
        <v>934</v>
      </c>
      <c r="J822" s="26" t="s">
        <v>933</v>
      </c>
      <c r="K822" s="10">
        <v>43</v>
      </c>
      <c r="L822" s="73">
        <f>IF(Tank1!$C$23="No control",(SUMIF(Tank1!$B$32:$B$49,$J822,Tank1!$C$32:$C$49)*Impacts!$F$8),0)</f>
        <v>0</v>
      </c>
      <c r="M822" s="10">
        <f>IF(Tank2!$C$23="No control",(SUMIF(Tank2!$B$32:$B$49,$J822,Tank2!$C$32:$C$49)*Impacts!$F$9),0)</f>
        <v>0</v>
      </c>
      <c r="N822" s="10">
        <f>IF(Tank3!$C$23="No control",(SUMIF(Tank3!$B$32:$B$49,$J822,Tank3!$C$32:$C$49)*Impacts!$F$10),0)</f>
        <v>0</v>
      </c>
      <c r="O822" s="10">
        <f>IF(Tank4!$C$23="No control",(SUMIF(Tank4!$B$32:$B$49,$J822,Tank4!$C$32:$C$49)*Impacts!$F$11),0)</f>
        <v>0</v>
      </c>
      <c r="P822" s="10">
        <f>IF(Tank5!$C$23="No control",(SUMIF(Tank5!$B$32:$B$49,$J822,Tank5!$C$32:$C$49)*Impacts!$F$12),0)</f>
        <v>0</v>
      </c>
      <c r="Q822" s="10">
        <f>IFERROR(IF(('Loading-drum,tote'!$C$21)="No control",SUMIF(('Loading-drum,tote'!$B$31:$B$48),$J822,('Loading-drum,tote'!$D$31:$D$48))*Impacts!$F$13,IF(('Loading-drum,tote'!$C$21)&lt;&gt;"No control",SUMIF(('Loading-drum,tote'!$B$31:$B$48),$J822,('Loading-drum,tote'!$E$31:$E$48))*Impacts!$F$13,0)),0)</f>
        <v>0</v>
      </c>
      <c r="R822" s="10">
        <f>IFERROR(IF(('Loading-truck'!$C$21)="No control",SUMIF(('Loading-truck'!$B$31:$B$48),$J822,('Loading-truck'!$D$31:$D$48))*Impacts!$F$14,IF(('Loading-truck'!$C$21)&lt;&gt;"No control",SUMIF(('Loading-truck'!$B$31:$B$48),$J822,('Loading-truck'!$E$31:$E$48))*Impacts!$F$14,0)),0)</f>
        <v>0</v>
      </c>
      <c r="S822" s="10">
        <f>IFERROR(IF(('Loading-rail'!$C$21)="No control",SUMIF(('Loading-rail'!$B$31:$B$48),$J822,('Loading-rail'!$D$31:$D$48))*Impacts!$F$15,IF(('Loading-rail'!$C$21)&lt;&gt;"No control",SUMIF(('Loading-rail'!$B$31:$B$48),$J822,('Loading-rail'!$E$31:$E$48))*Impacts!$F$15,0)),0)</f>
        <v>0</v>
      </c>
      <c r="T822" s="10">
        <f>IF(Flare!$C$7="",0,(SUMIF(Flare!$B$46:$B$185,$J822,Flare!$E$46:$E$185)*Impacts!$F$16))</f>
        <v>0</v>
      </c>
      <c r="U822" s="10">
        <f>IF(VCU!$C$9="",0,(SUMIF(VCU!$B$51:$B$193,$J822,VCU!$E$51:$E$193)*Impacts!$F$17))</f>
        <v>0</v>
      </c>
      <c r="V822" s="10">
        <f>IF(CAS!$C$7="",0,(SUMIF(CAS!$B$31:$B$167,$J822,CAS!$E$31:$E$167)*Impacts!$F$18))</f>
        <v>0</v>
      </c>
      <c r="W822" s="10">
        <f t="shared" si="54"/>
        <v>0</v>
      </c>
      <c r="AK822" s="10" t="str">
        <f t="array" ref="AK822">IFERROR(INDEX(SelectedSpecies,SMALL(IF(SelectedSpecies=AK$1,ROW(SelectedSpecies)),ROW(823:823)),2),"")</f>
        <v/>
      </c>
      <c r="BE822" s="10"/>
      <c r="BI822" s="10"/>
    </row>
    <row r="823" spans="1:61" ht="21" customHeight="1" x14ac:dyDescent="0.25">
      <c r="A823" s="10"/>
      <c r="B823" s="10"/>
      <c r="E823" s="10"/>
      <c r="G823" s="10"/>
      <c r="I823" s="436" t="s">
        <v>4783</v>
      </c>
      <c r="J823" s="26" t="s">
        <v>4782</v>
      </c>
      <c r="K823" s="10">
        <v>3.3000000000000003</v>
      </c>
      <c r="L823" s="73">
        <f>IF(Tank1!$C$23="No control",(SUMIF(Tank1!$B$32:$B$49,$J823,Tank1!$C$32:$C$49)*Impacts!$F$8),0)</f>
        <v>0</v>
      </c>
      <c r="M823" s="10">
        <f>IF(Tank2!$C$23="No control",(SUMIF(Tank2!$B$32:$B$49,$J823,Tank2!$C$32:$C$49)*Impacts!$F$9),0)</f>
        <v>0</v>
      </c>
      <c r="N823" s="10">
        <f>IF(Tank3!$C$23="No control",(SUMIF(Tank3!$B$32:$B$49,$J823,Tank3!$C$32:$C$49)*Impacts!$F$10),0)</f>
        <v>0</v>
      </c>
      <c r="O823" s="10">
        <f>IF(Tank4!$C$23="No control",(SUMIF(Tank4!$B$32:$B$49,$J823,Tank4!$C$32:$C$49)*Impacts!$F$11),0)</f>
        <v>0</v>
      </c>
      <c r="P823" s="10">
        <f>IF(Tank5!$C$23="No control",(SUMIF(Tank5!$B$32:$B$49,$J823,Tank5!$C$32:$C$49)*Impacts!$F$12),0)</f>
        <v>0</v>
      </c>
      <c r="Q823" s="10">
        <f>IFERROR(IF(('Loading-drum,tote'!$C$21)="No control",SUMIF(('Loading-drum,tote'!$B$31:$B$48),$J823,('Loading-drum,tote'!$D$31:$D$48))*Impacts!$F$13,IF(('Loading-drum,tote'!$C$21)&lt;&gt;"No control",SUMIF(('Loading-drum,tote'!$B$31:$B$48),$J823,('Loading-drum,tote'!$E$31:$E$48))*Impacts!$F$13,0)),0)</f>
        <v>0</v>
      </c>
      <c r="R823" s="10">
        <f>IFERROR(IF(('Loading-truck'!$C$21)="No control",SUMIF(('Loading-truck'!$B$31:$B$48),$J823,('Loading-truck'!$D$31:$D$48))*Impacts!$F$14,IF(('Loading-truck'!$C$21)&lt;&gt;"No control",SUMIF(('Loading-truck'!$B$31:$B$48),$J823,('Loading-truck'!$E$31:$E$48))*Impacts!$F$14,0)),0)</f>
        <v>0</v>
      </c>
      <c r="S823" s="10">
        <f>IFERROR(IF(('Loading-rail'!$C$21)="No control",SUMIF(('Loading-rail'!$B$31:$B$48),$J823,('Loading-rail'!$D$31:$D$48))*Impacts!$F$15,IF(('Loading-rail'!$C$21)&lt;&gt;"No control",SUMIF(('Loading-rail'!$B$31:$B$48),$J823,('Loading-rail'!$E$31:$E$48))*Impacts!$F$15,0)),0)</f>
        <v>0</v>
      </c>
      <c r="T823" s="10">
        <f>IF(Flare!$C$7="",0,(SUMIF(Flare!$B$46:$B$185,$J823,Flare!$E$46:$E$185)*Impacts!$F$16))</f>
        <v>0</v>
      </c>
      <c r="U823" s="10">
        <f>IF(VCU!$C$9="",0,(SUMIF(VCU!$B$51:$B$193,$J823,VCU!$E$51:$E$193)*Impacts!$F$17))</f>
        <v>0</v>
      </c>
      <c r="V823" s="10">
        <f>IF(CAS!$C$7="",0,(SUMIF(CAS!$B$31:$B$167,$J823,CAS!$E$31:$E$167)*Impacts!$F$18))</f>
        <v>0</v>
      </c>
      <c r="W823" s="10">
        <f t="shared" si="54"/>
        <v>0</v>
      </c>
      <c r="AK823" s="10" t="str">
        <f t="array" ref="AK823">IFERROR(INDEX(SelectedSpecies,SMALL(IF(SelectedSpecies=AK$1,ROW(SelectedSpecies)),ROW(824:824)),2),"")</f>
        <v/>
      </c>
      <c r="BE823" s="10"/>
      <c r="BI823" s="10"/>
    </row>
    <row r="824" spans="1:61" ht="21" customHeight="1" x14ac:dyDescent="0.25">
      <c r="A824" s="10"/>
      <c r="B824" s="10"/>
      <c r="E824" s="10"/>
      <c r="G824" s="10"/>
      <c r="I824" s="436" t="s">
        <v>3917</v>
      </c>
      <c r="J824" s="26" t="s">
        <v>3916</v>
      </c>
      <c r="K824" s="10">
        <v>6</v>
      </c>
      <c r="L824" s="73">
        <f>IF(Tank1!$C$23="No control",(SUMIF(Tank1!$B$32:$B$49,$J824,Tank1!$C$32:$C$49)*Impacts!$F$8),0)</f>
        <v>0</v>
      </c>
      <c r="M824" s="10">
        <f>IF(Tank2!$C$23="No control",(SUMIF(Tank2!$B$32:$B$49,$J824,Tank2!$C$32:$C$49)*Impacts!$F$9),0)</f>
        <v>0</v>
      </c>
      <c r="N824" s="10">
        <f>IF(Tank3!$C$23="No control",(SUMIF(Tank3!$B$32:$B$49,$J824,Tank3!$C$32:$C$49)*Impacts!$F$10),0)</f>
        <v>0</v>
      </c>
      <c r="O824" s="10">
        <f>IF(Tank4!$C$23="No control",(SUMIF(Tank4!$B$32:$B$49,$J824,Tank4!$C$32:$C$49)*Impacts!$F$11),0)</f>
        <v>0</v>
      </c>
      <c r="P824" s="10">
        <f>IF(Tank5!$C$23="No control",(SUMIF(Tank5!$B$32:$B$49,$J824,Tank5!$C$32:$C$49)*Impacts!$F$12),0)</f>
        <v>0</v>
      </c>
      <c r="Q824" s="10">
        <f>IFERROR(IF(('Loading-drum,tote'!$C$21)="No control",SUMIF(('Loading-drum,tote'!$B$31:$B$48),$J824,('Loading-drum,tote'!$D$31:$D$48))*Impacts!$F$13,IF(('Loading-drum,tote'!$C$21)&lt;&gt;"No control",SUMIF(('Loading-drum,tote'!$B$31:$B$48),$J824,('Loading-drum,tote'!$E$31:$E$48))*Impacts!$F$13,0)),0)</f>
        <v>0</v>
      </c>
      <c r="R824" s="10">
        <f>IFERROR(IF(('Loading-truck'!$C$21)="No control",SUMIF(('Loading-truck'!$B$31:$B$48),$J824,('Loading-truck'!$D$31:$D$48))*Impacts!$F$14,IF(('Loading-truck'!$C$21)&lt;&gt;"No control",SUMIF(('Loading-truck'!$B$31:$B$48),$J824,('Loading-truck'!$E$31:$E$48))*Impacts!$F$14,0)),0)</f>
        <v>0</v>
      </c>
      <c r="S824" s="10">
        <f>IFERROR(IF(('Loading-rail'!$C$21)="No control",SUMIF(('Loading-rail'!$B$31:$B$48),$J824,('Loading-rail'!$D$31:$D$48))*Impacts!$F$15,IF(('Loading-rail'!$C$21)&lt;&gt;"No control",SUMIF(('Loading-rail'!$B$31:$B$48),$J824,('Loading-rail'!$E$31:$E$48))*Impacts!$F$15,0)),0)</f>
        <v>0</v>
      </c>
      <c r="T824" s="10">
        <f>IF(Flare!$C$7="",0,(SUMIF(Flare!$B$46:$B$185,$J824,Flare!$E$46:$E$185)*Impacts!$F$16))</f>
        <v>0</v>
      </c>
      <c r="U824" s="10">
        <f>IF(VCU!$C$9="",0,(SUMIF(VCU!$B$51:$B$193,$J824,VCU!$E$51:$E$193)*Impacts!$F$17))</f>
        <v>0</v>
      </c>
      <c r="V824" s="10">
        <f>IF(CAS!$C$7="",0,(SUMIF(CAS!$B$31:$B$167,$J824,CAS!$E$31:$E$167)*Impacts!$F$18))</f>
        <v>0</v>
      </c>
      <c r="W824" s="10">
        <f t="shared" si="54"/>
        <v>0</v>
      </c>
      <c r="AK824" s="10" t="str">
        <f t="array" ref="AK824">IFERROR(INDEX(SelectedSpecies,SMALL(IF(SelectedSpecies=AK$1,ROW(SelectedSpecies)),ROW(825:825)),2),"")</f>
        <v/>
      </c>
      <c r="BE824" s="10"/>
      <c r="BI824" s="10"/>
    </row>
    <row r="825" spans="1:61" ht="21" customHeight="1" x14ac:dyDescent="0.25">
      <c r="A825" s="10"/>
      <c r="B825" s="10"/>
      <c r="E825" s="10"/>
      <c r="G825" s="10"/>
      <c r="I825" s="436" t="s">
        <v>7442</v>
      </c>
      <c r="J825" s="26" t="s">
        <v>7441</v>
      </c>
      <c r="K825" s="10">
        <v>0.2</v>
      </c>
      <c r="L825" s="73">
        <f>IF(Tank1!$C$23="No control",(SUMIF(Tank1!$B$32:$B$49,$J825,Tank1!$C$32:$C$49)*Impacts!$F$8),0)</f>
        <v>0</v>
      </c>
      <c r="M825" s="10">
        <f>IF(Tank2!$C$23="No control",(SUMIF(Tank2!$B$32:$B$49,$J825,Tank2!$C$32:$C$49)*Impacts!$F$9),0)</f>
        <v>0</v>
      </c>
      <c r="N825" s="10">
        <f>IF(Tank3!$C$23="No control",(SUMIF(Tank3!$B$32:$B$49,$J825,Tank3!$C$32:$C$49)*Impacts!$F$10),0)</f>
        <v>0</v>
      </c>
      <c r="O825" s="10">
        <f>IF(Tank4!$C$23="No control",(SUMIF(Tank4!$B$32:$B$49,$J825,Tank4!$C$32:$C$49)*Impacts!$F$11),0)</f>
        <v>0</v>
      </c>
      <c r="P825" s="10">
        <f>IF(Tank5!$C$23="No control",(SUMIF(Tank5!$B$32:$B$49,$J825,Tank5!$C$32:$C$49)*Impacts!$F$12),0)</f>
        <v>0</v>
      </c>
      <c r="Q825" s="10">
        <f>IFERROR(IF(('Loading-drum,tote'!$C$21)="No control",SUMIF(('Loading-drum,tote'!$B$31:$B$48),$J825,('Loading-drum,tote'!$D$31:$D$48))*Impacts!$F$13,IF(('Loading-drum,tote'!$C$21)&lt;&gt;"No control",SUMIF(('Loading-drum,tote'!$B$31:$B$48),$J825,('Loading-drum,tote'!$E$31:$E$48))*Impacts!$F$13,0)),0)</f>
        <v>0</v>
      </c>
      <c r="R825" s="10">
        <f>IFERROR(IF(('Loading-truck'!$C$21)="No control",SUMIF(('Loading-truck'!$B$31:$B$48),$J825,('Loading-truck'!$D$31:$D$48))*Impacts!$F$14,IF(('Loading-truck'!$C$21)&lt;&gt;"No control",SUMIF(('Loading-truck'!$B$31:$B$48),$J825,('Loading-truck'!$E$31:$E$48))*Impacts!$F$14,0)),0)</f>
        <v>0</v>
      </c>
      <c r="S825" s="10">
        <f>IFERROR(IF(('Loading-rail'!$C$21)="No control",SUMIF(('Loading-rail'!$B$31:$B$48),$J825,('Loading-rail'!$D$31:$D$48))*Impacts!$F$15,IF(('Loading-rail'!$C$21)&lt;&gt;"No control",SUMIF(('Loading-rail'!$B$31:$B$48),$J825,('Loading-rail'!$E$31:$E$48))*Impacts!$F$15,0)),0)</f>
        <v>0</v>
      </c>
      <c r="T825" s="10">
        <f>IF(Flare!$C$7="",0,(SUMIF(Flare!$B$46:$B$185,$J825,Flare!$E$46:$E$185)*Impacts!$F$16))</f>
        <v>0</v>
      </c>
      <c r="U825" s="10">
        <f>IF(VCU!$C$9="",0,(SUMIF(VCU!$B$51:$B$193,$J825,VCU!$E$51:$E$193)*Impacts!$F$17))</f>
        <v>0</v>
      </c>
      <c r="V825" s="10">
        <f>IF(CAS!$C$7="",0,(SUMIF(CAS!$B$31:$B$167,$J825,CAS!$E$31:$E$167)*Impacts!$F$18))</f>
        <v>0</v>
      </c>
      <c r="W825" s="10">
        <f t="shared" si="54"/>
        <v>0</v>
      </c>
      <c r="AK825" s="10" t="str">
        <f t="array" ref="AK825">IFERROR(INDEX(SelectedSpecies,SMALL(IF(SelectedSpecies=AK$1,ROW(SelectedSpecies)),ROW(826:826)),2),"")</f>
        <v/>
      </c>
      <c r="BE825" s="10"/>
      <c r="BI825" s="10"/>
    </row>
    <row r="826" spans="1:61" ht="21" customHeight="1" x14ac:dyDescent="0.25">
      <c r="A826" s="10"/>
      <c r="B826" s="10"/>
      <c r="E826" s="10"/>
      <c r="G826" s="10"/>
      <c r="I826" s="436" t="s">
        <v>8336</v>
      </c>
      <c r="J826" s="26" t="s">
        <v>8335</v>
      </c>
      <c r="K826" s="10">
        <v>3.0000000000000003E-4</v>
      </c>
      <c r="L826" s="73">
        <f>IF(Tank1!$C$23="No control",(SUMIF(Tank1!$B$32:$B$49,$J826,Tank1!$C$32:$C$49)*Impacts!$F$8),0)</f>
        <v>0</v>
      </c>
      <c r="M826" s="10">
        <f>IF(Tank2!$C$23="No control",(SUMIF(Tank2!$B$32:$B$49,$J826,Tank2!$C$32:$C$49)*Impacts!$F$9),0)</f>
        <v>0</v>
      </c>
      <c r="N826" s="10">
        <f>IF(Tank3!$C$23="No control",(SUMIF(Tank3!$B$32:$B$49,$J826,Tank3!$C$32:$C$49)*Impacts!$F$10),0)</f>
        <v>0</v>
      </c>
      <c r="O826" s="10">
        <f>IF(Tank4!$C$23="No control",(SUMIF(Tank4!$B$32:$B$49,$J826,Tank4!$C$32:$C$49)*Impacts!$F$11),0)</f>
        <v>0</v>
      </c>
      <c r="P826" s="10">
        <f>IF(Tank5!$C$23="No control",(SUMIF(Tank5!$B$32:$B$49,$J826,Tank5!$C$32:$C$49)*Impacts!$F$12),0)</f>
        <v>0</v>
      </c>
      <c r="Q826" s="10">
        <f>IFERROR(IF(('Loading-drum,tote'!$C$21)="No control",SUMIF(('Loading-drum,tote'!$B$31:$B$48),$J826,('Loading-drum,tote'!$D$31:$D$48))*Impacts!$F$13,IF(('Loading-drum,tote'!$C$21)&lt;&gt;"No control",SUMIF(('Loading-drum,tote'!$B$31:$B$48),$J826,('Loading-drum,tote'!$E$31:$E$48))*Impacts!$F$13,0)),0)</f>
        <v>0</v>
      </c>
      <c r="R826" s="10">
        <f>IFERROR(IF(('Loading-truck'!$C$21)="No control",SUMIF(('Loading-truck'!$B$31:$B$48),$J826,('Loading-truck'!$D$31:$D$48))*Impacts!$F$14,IF(('Loading-truck'!$C$21)&lt;&gt;"No control",SUMIF(('Loading-truck'!$B$31:$B$48),$J826,('Loading-truck'!$E$31:$E$48))*Impacts!$F$14,0)),0)</f>
        <v>0</v>
      </c>
      <c r="S826" s="10">
        <f>IFERROR(IF(('Loading-rail'!$C$21)="No control",SUMIF(('Loading-rail'!$B$31:$B$48),$J826,('Loading-rail'!$D$31:$D$48))*Impacts!$F$15,IF(('Loading-rail'!$C$21)&lt;&gt;"No control",SUMIF(('Loading-rail'!$B$31:$B$48),$J826,('Loading-rail'!$E$31:$E$48))*Impacts!$F$15,0)),0)</f>
        <v>0</v>
      </c>
      <c r="T826" s="10">
        <f>IF(Flare!$C$7="",0,(SUMIF(Flare!$B$46:$B$185,$J826,Flare!$E$46:$E$185)*Impacts!$F$16))</f>
        <v>0</v>
      </c>
      <c r="U826" s="10">
        <f>IF(VCU!$C$9="",0,(SUMIF(VCU!$B$51:$B$193,$J826,VCU!$E$51:$E$193)*Impacts!$F$17))</f>
        <v>0</v>
      </c>
      <c r="V826" s="10">
        <f>IF(CAS!$C$7="",0,(SUMIF(CAS!$B$31:$B$167,$J826,CAS!$E$31:$E$167)*Impacts!$F$18))</f>
        <v>0</v>
      </c>
      <c r="W826" s="10">
        <f t="shared" si="54"/>
        <v>0</v>
      </c>
      <c r="AK826" s="10" t="str">
        <f t="array" ref="AK826">IFERROR(INDEX(SelectedSpecies,SMALL(IF(SelectedSpecies=AK$1,ROW(SelectedSpecies)),ROW(827:827)),2),"")</f>
        <v/>
      </c>
      <c r="BE826" s="10"/>
      <c r="BI826" s="10"/>
    </row>
    <row r="827" spans="1:61" ht="21" customHeight="1" x14ac:dyDescent="0.25">
      <c r="A827" s="10"/>
      <c r="B827" s="10"/>
      <c r="E827" s="10"/>
      <c r="G827" s="10"/>
      <c r="I827" s="436" t="s">
        <v>4091</v>
      </c>
      <c r="J827" s="26" t="s">
        <v>4090</v>
      </c>
      <c r="K827" s="10">
        <v>5.5</v>
      </c>
      <c r="L827" s="73">
        <f>IF(Tank1!$C$23="No control",(SUMIF(Tank1!$B$32:$B$49,$J827,Tank1!$C$32:$C$49)*Impacts!$F$8),0)</f>
        <v>0</v>
      </c>
      <c r="M827" s="10">
        <f>IF(Tank2!$C$23="No control",(SUMIF(Tank2!$B$32:$B$49,$J827,Tank2!$C$32:$C$49)*Impacts!$F$9),0)</f>
        <v>0</v>
      </c>
      <c r="N827" s="10">
        <f>IF(Tank3!$C$23="No control",(SUMIF(Tank3!$B$32:$B$49,$J827,Tank3!$C$32:$C$49)*Impacts!$F$10),0)</f>
        <v>0</v>
      </c>
      <c r="O827" s="10">
        <f>IF(Tank4!$C$23="No control",(SUMIF(Tank4!$B$32:$B$49,$J827,Tank4!$C$32:$C$49)*Impacts!$F$11),0)</f>
        <v>0</v>
      </c>
      <c r="P827" s="10">
        <f>IF(Tank5!$C$23="No control",(SUMIF(Tank5!$B$32:$B$49,$J827,Tank5!$C$32:$C$49)*Impacts!$F$12),0)</f>
        <v>0</v>
      </c>
      <c r="Q827" s="10">
        <f>IFERROR(IF(('Loading-drum,tote'!$C$21)="No control",SUMIF(('Loading-drum,tote'!$B$31:$B$48),$J827,('Loading-drum,tote'!$D$31:$D$48))*Impacts!$F$13,IF(('Loading-drum,tote'!$C$21)&lt;&gt;"No control",SUMIF(('Loading-drum,tote'!$B$31:$B$48),$J827,('Loading-drum,tote'!$E$31:$E$48))*Impacts!$F$13,0)),0)</f>
        <v>0</v>
      </c>
      <c r="R827" s="10">
        <f>IFERROR(IF(('Loading-truck'!$C$21)="No control",SUMIF(('Loading-truck'!$B$31:$B$48),$J827,('Loading-truck'!$D$31:$D$48))*Impacts!$F$14,IF(('Loading-truck'!$C$21)&lt;&gt;"No control",SUMIF(('Loading-truck'!$B$31:$B$48),$J827,('Loading-truck'!$E$31:$E$48))*Impacts!$F$14,0)),0)</f>
        <v>0</v>
      </c>
      <c r="S827" s="10">
        <f>IFERROR(IF(('Loading-rail'!$C$21)="No control",SUMIF(('Loading-rail'!$B$31:$B$48),$J827,('Loading-rail'!$D$31:$D$48))*Impacts!$F$15,IF(('Loading-rail'!$C$21)&lt;&gt;"No control",SUMIF(('Loading-rail'!$B$31:$B$48),$J827,('Loading-rail'!$E$31:$E$48))*Impacts!$F$15,0)),0)</f>
        <v>0</v>
      </c>
      <c r="T827" s="10">
        <f>IF(Flare!$C$7="",0,(SUMIF(Flare!$B$46:$B$185,$J827,Flare!$E$46:$E$185)*Impacts!$F$16))</f>
        <v>0</v>
      </c>
      <c r="U827" s="10">
        <f>IF(VCU!$C$9="",0,(SUMIF(VCU!$B$51:$B$193,$J827,VCU!$E$51:$E$193)*Impacts!$F$17))</f>
        <v>0</v>
      </c>
      <c r="V827" s="10">
        <f>IF(CAS!$C$7="",0,(SUMIF(CAS!$B$31:$B$167,$J827,CAS!$E$31:$E$167)*Impacts!$F$18))</f>
        <v>0</v>
      </c>
      <c r="W827" s="10">
        <f t="shared" si="54"/>
        <v>0</v>
      </c>
      <c r="AK827" s="10" t="str">
        <f t="array" ref="AK827">IFERROR(INDEX(SelectedSpecies,SMALL(IF(SelectedSpecies=AK$1,ROW(SelectedSpecies)),ROW(828:828)),2),"")</f>
        <v/>
      </c>
      <c r="BE827" s="10"/>
      <c r="BI827" s="10"/>
    </row>
    <row r="828" spans="1:61" ht="21" customHeight="1" x14ac:dyDescent="0.25">
      <c r="A828" s="10"/>
      <c r="B828" s="10"/>
      <c r="E828" s="10"/>
      <c r="G828" s="10"/>
      <c r="I828" s="436" t="s">
        <v>6368</v>
      </c>
      <c r="J828" s="26" t="s">
        <v>6367</v>
      </c>
      <c r="K828" s="10">
        <v>0.81</v>
      </c>
      <c r="L828" s="73">
        <f>IF(Tank1!$C$23="No control",(SUMIF(Tank1!$B$32:$B$49,$J828,Tank1!$C$32:$C$49)*Impacts!$F$8),0)</f>
        <v>0</v>
      </c>
      <c r="M828" s="10">
        <f>IF(Tank2!$C$23="No control",(SUMIF(Tank2!$B$32:$B$49,$J828,Tank2!$C$32:$C$49)*Impacts!$F$9),0)</f>
        <v>0</v>
      </c>
      <c r="N828" s="10">
        <f>IF(Tank3!$C$23="No control",(SUMIF(Tank3!$B$32:$B$49,$J828,Tank3!$C$32:$C$49)*Impacts!$F$10),0)</f>
        <v>0</v>
      </c>
      <c r="O828" s="10">
        <f>IF(Tank4!$C$23="No control",(SUMIF(Tank4!$B$32:$B$49,$J828,Tank4!$C$32:$C$49)*Impacts!$F$11),0)</f>
        <v>0</v>
      </c>
      <c r="P828" s="10">
        <f>IF(Tank5!$C$23="No control",(SUMIF(Tank5!$B$32:$B$49,$J828,Tank5!$C$32:$C$49)*Impacts!$F$12),0)</f>
        <v>0</v>
      </c>
      <c r="Q828" s="10">
        <f>IFERROR(IF(('Loading-drum,tote'!$C$21)="No control",SUMIF(('Loading-drum,tote'!$B$31:$B$48),$J828,('Loading-drum,tote'!$D$31:$D$48))*Impacts!$F$13,IF(('Loading-drum,tote'!$C$21)&lt;&gt;"No control",SUMIF(('Loading-drum,tote'!$B$31:$B$48),$J828,('Loading-drum,tote'!$E$31:$E$48))*Impacts!$F$13,0)),0)</f>
        <v>0</v>
      </c>
      <c r="R828" s="10">
        <f>IFERROR(IF(('Loading-truck'!$C$21)="No control",SUMIF(('Loading-truck'!$B$31:$B$48),$J828,('Loading-truck'!$D$31:$D$48))*Impacts!$F$14,IF(('Loading-truck'!$C$21)&lt;&gt;"No control",SUMIF(('Loading-truck'!$B$31:$B$48),$J828,('Loading-truck'!$E$31:$E$48))*Impacts!$F$14,0)),0)</f>
        <v>0</v>
      </c>
      <c r="S828" s="10">
        <f>IFERROR(IF(('Loading-rail'!$C$21)="No control",SUMIF(('Loading-rail'!$B$31:$B$48),$J828,('Loading-rail'!$D$31:$D$48))*Impacts!$F$15,IF(('Loading-rail'!$C$21)&lt;&gt;"No control",SUMIF(('Loading-rail'!$B$31:$B$48),$J828,('Loading-rail'!$E$31:$E$48))*Impacts!$F$15,0)),0)</f>
        <v>0</v>
      </c>
      <c r="T828" s="10">
        <f>IF(Flare!$C$7="",0,(SUMIF(Flare!$B$46:$B$185,$J828,Flare!$E$46:$E$185)*Impacts!$F$16))</f>
        <v>0</v>
      </c>
      <c r="U828" s="10">
        <f>IF(VCU!$C$9="",0,(SUMIF(VCU!$B$51:$B$193,$J828,VCU!$E$51:$E$193)*Impacts!$F$17))</f>
        <v>0</v>
      </c>
      <c r="V828" s="10">
        <f>IF(CAS!$C$7="",0,(SUMIF(CAS!$B$31:$B$167,$J828,CAS!$E$31:$E$167)*Impacts!$F$18))</f>
        <v>0</v>
      </c>
      <c r="W828" s="10">
        <f t="shared" si="54"/>
        <v>0</v>
      </c>
      <c r="AK828" s="10" t="str">
        <f t="array" ref="AK828">IFERROR(INDEX(SelectedSpecies,SMALL(IF(SelectedSpecies=AK$1,ROW(SelectedSpecies)),ROW(829:829)),2),"")</f>
        <v/>
      </c>
      <c r="BE828" s="10"/>
      <c r="BI828" s="10"/>
    </row>
    <row r="829" spans="1:61" ht="21" customHeight="1" x14ac:dyDescent="0.25">
      <c r="A829" s="10"/>
      <c r="B829" s="10"/>
      <c r="E829" s="10"/>
      <c r="G829" s="10"/>
      <c r="I829" s="436" t="s">
        <v>6368</v>
      </c>
      <c r="J829" s="26" t="s">
        <v>10343</v>
      </c>
      <c r="K829" s="10">
        <v>5.6999999999999995E-2</v>
      </c>
      <c r="L829" s="73">
        <f>IF(Tank1!$C$23="No control",(SUMIF(Tank1!$B$32:$B$49,$J829,Tank1!$C$32:$C$49)*Impacts!$F$8),0)</f>
        <v>0</v>
      </c>
      <c r="M829" s="10">
        <f>IF(Tank2!$C$23="No control",(SUMIF(Tank2!$B$32:$B$49,$J829,Tank2!$C$32:$C$49)*Impacts!$F$9),0)</f>
        <v>0</v>
      </c>
      <c r="N829" s="10">
        <f>IF(Tank3!$C$23="No control",(SUMIF(Tank3!$B$32:$B$49,$J829,Tank3!$C$32:$C$49)*Impacts!$F$10),0)</f>
        <v>0</v>
      </c>
      <c r="O829" s="10">
        <f>IF(Tank4!$C$23="No control",(SUMIF(Tank4!$B$32:$B$49,$J829,Tank4!$C$32:$C$49)*Impacts!$F$11),0)</f>
        <v>0</v>
      </c>
      <c r="P829" s="10">
        <f>IF(Tank5!$C$23="No control",(SUMIF(Tank5!$B$32:$B$49,$J829,Tank5!$C$32:$C$49)*Impacts!$F$12),0)</f>
        <v>0</v>
      </c>
      <c r="Q829" s="10">
        <f>IFERROR(IF(('Loading-drum,tote'!$C$21)="No control",SUMIF(('Loading-drum,tote'!$B$31:$B$48),$J829,('Loading-drum,tote'!$D$31:$D$48))*Impacts!$F$13,IF(('Loading-drum,tote'!$C$21)&lt;&gt;"No control",SUMIF(('Loading-drum,tote'!$B$31:$B$48),$J829,('Loading-drum,tote'!$E$31:$E$48))*Impacts!$F$13,0)),0)</f>
        <v>0</v>
      </c>
      <c r="R829" s="10">
        <f>IFERROR(IF(('Loading-truck'!$C$21)="No control",SUMIF(('Loading-truck'!$B$31:$B$48),$J829,('Loading-truck'!$D$31:$D$48))*Impacts!$F$14,IF(('Loading-truck'!$C$21)&lt;&gt;"No control",SUMIF(('Loading-truck'!$B$31:$B$48),$J829,('Loading-truck'!$E$31:$E$48))*Impacts!$F$14,0)),0)</f>
        <v>0</v>
      </c>
      <c r="S829" s="10">
        <f>IFERROR(IF(('Loading-rail'!$C$21)="No control",SUMIF(('Loading-rail'!$B$31:$B$48),$J829,('Loading-rail'!$D$31:$D$48))*Impacts!$F$15,IF(('Loading-rail'!$C$21)&lt;&gt;"No control",SUMIF(('Loading-rail'!$B$31:$B$48),$J829,('Loading-rail'!$E$31:$E$48))*Impacts!$F$15,0)),0)</f>
        <v>0</v>
      </c>
      <c r="T829" s="10">
        <f>IF(Flare!$C$7="",0,(SUMIF(Flare!$B$46:$B$185,$J829,Flare!$E$46:$E$185)*Impacts!$F$16))</f>
        <v>0</v>
      </c>
      <c r="U829" s="10">
        <f>IF(VCU!$C$9="",0,(SUMIF(VCU!$B$51:$B$193,$J829,VCU!$E$51:$E$193)*Impacts!$F$17))</f>
        <v>0</v>
      </c>
      <c r="V829" s="10">
        <f>IF(CAS!$C$7="",0,(SUMIF(CAS!$B$31:$B$167,$J829,CAS!$E$31:$E$167)*Impacts!$F$18))</f>
        <v>0</v>
      </c>
      <c r="W829" s="10">
        <f t="shared" si="54"/>
        <v>0</v>
      </c>
      <c r="AK829" s="10" t="str">
        <f t="array" ref="AK829">IFERROR(INDEX(SelectedSpecies,SMALL(IF(SelectedSpecies=AK$1,ROW(SelectedSpecies)),ROW(830:830)),2),"")</f>
        <v/>
      </c>
      <c r="BE829" s="10"/>
      <c r="BI829" s="10"/>
    </row>
    <row r="830" spans="1:61" ht="21" customHeight="1" x14ac:dyDescent="0.25">
      <c r="A830" s="10"/>
      <c r="B830" s="10"/>
      <c r="E830" s="10"/>
      <c r="G830" s="10"/>
      <c r="I830" s="436" t="s">
        <v>6368</v>
      </c>
      <c r="J830" s="26" t="s">
        <v>10344</v>
      </c>
      <c r="K830" s="10">
        <v>7.0999999999999994E-2</v>
      </c>
      <c r="L830" s="73">
        <f>IF(Tank1!$C$23="No control",(SUMIF(Tank1!$B$32:$B$49,$J830,Tank1!$C$32:$C$49)*Impacts!$F$8),0)</f>
        <v>0</v>
      </c>
      <c r="M830" s="10">
        <f>IF(Tank2!$C$23="No control",(SUMIF(Tank2!$B$32:$B$49,$J830,Tank2!$C$32:$C$49)*Impacts!$F$9),0)</f>
        <v>0</v>
      </c>
      <c r="N830" s="10">
        <f>IF(Tank3!$C$23="No control",(SUMIF(Tank3!$B$32:$B$49,$J830,Tank3!$C$32:$C$49)*Impacts!$F$10),0)</f>
        <v>0</v>
      </c>
      <c r="O830" s="10">
        <f>IF(Tank4!$C$23="No control",(SUMIF(Tank4!$B$32:$B$49,$J830,Tank4!$C$32:$C$49)*Impacts!$F$11),0)</f>
        <v>0</v>
      </c>
      <c r="P830" s="10">
        <f>IF(Tank5!$C$23="No control",(SUMIF(Tank5!$B$32:$B$49,$J830,Tank5!$C$32:$C$49)*Impacts!$F$12),0)</f>
        <v>0</v>
      </c>
      <c r="Q830" s="10">
        <f>IFERROR(IF(('Loading-drum,tote'!$C$21)="No control",SUMIF(('Loading-drum,tote'!$B$31:$B$48),$J830,('Loading-drum,tote'!$D$31:$D$48))*Impacts!$F$13,IF(('Loading-drum,tote'!$C$21)&lt;&gt;"No control",SUMIF(('Loading-drum,tote'!$B$31:$B$48),$J830,('Loading-drum,tote'!$E$31:$E$48))*Impacts!$F$13,0)),0)</f>
        <v>0</v>
      </c>
      <c r="R830" s="10">
        <f>IFERROR(IF(('Loading-truck'!$C$21)="No control",SUMIF(('Loading-truck'!$B$31:$B$48),$J830,('Loading-truck'!$D$31:$D$48))*Impacts!$F$14,IF(('Loading-truck'!$C$21)&lt;&gt;"No control",SUMIF(('Loading-truck'!$B$31:$B$48),$J830,('Loading-truck'!$E$31:$E$48))*Impacts!$F$14,0)),0)</f>
        <v>0</v>
      </c>
      <c r="S830" s="10">
        <f>IFERROR(IF(('Loading-rail'!$C$21)="No control",SUMIF(('Loading-rail'!$B$31:$B$48),$J830,('Loading-rail'!$D$31:$D$48))*Impacts!$F$15,IF(('Loading-rail'!$C$21)&lt;&gt;"No control",SUMIF(('Loading-rail'!$B$31:$B$48),$J830,('Loading-rail'!$E$31:$E$48))*Impacts!$F$15,0)),0)</f>
        <v>0</v>
      </c>
      <c r="T830" s="10">
        <f>IF(Flare!$C$7="",0,(SUMIF(Flare!$B$46:$B$185,$J830,Flare!$E$46:$E$185)*Impacts!$F$16))</f>
        <v>0</v>
      </c>
      <c r="U830" s="10">
        <f>IF(VCU!$C$9="",0,(SUMIF(VCU!$B$51:$B$193,$J830,VCU!$E$51:$E$193)*Impacts!$F$17))</f>
        <v>0</v>
      </c>
      <c r="V830" s="10">
        <f>IF(CAS!$C$7="",0,(SUMIF(CAS!$B$31:$B$167,$J830,CAS!$E$31:$E$167)*Impacts!$F$18))</f>
        <v>0</v>
      </c>
      <c r="W830" s="10">
        <f t="shared" si="54"/>
        <v>0</v>
      </c>
      <c r="AK830" s="10" t="str">
        <f t="array" ref="AK830">IFERROR(INDEX(SelectedSpecies,SMALL(IF(SelectedSpecies=AK$1,ROW(SelectedSpecies)),ROW(831:831)),2),"")</f>
        <v/>
      </c>
      <c r="BE830" s="10"/>
      <c r="BI830" s="10"/>
    </row>
    <row r="831" spans="1:61" ht="21" customHeight="1" x14ac:dyDescent="0.25">
      <c r="A831" s="10"/>
      <c r="B831" s="10"/>
      <c r="E831" s="10"/>
      <c r="G831" s="10"/>
      <c r="I831" s="436" t="s">
        <v>5770</v>
      </c>
      <c r="J831" s="26" t="s">
        <v>5769</v>
      </c>
      <c r="K831" s="10">
        <v>1</v>
      </c>
      <c r="L831" s="73">
        <f>IF(Tank1!$C$23="No control",(SUMIF(Tank1!$B$32:$B$49,$J831,Tank1!$C$32:$C$49)*Impacts!$F$8),0)</f>
        <v>0</v>
      </c>
      <c r="M831" s="10">
        <f>IF(Tank2!$C$23="No control",(SUMIF(Tank2!$B$32:$B$49,$J831,Tank2!$C$32:$C$49)*Impacts!$F$9),0)</f>
        <v>0</v>
      </c>
      <c r="N831" s="10">
        <f>IF(Tank3!$C$23="No control",(SUMIF(Tank3!$B$32:$B$49,$J831,Tank3!$C$32:$C$49)*Impacts!$F$10),0)</f>
        <v>0</v>
      </c>
      <c r="O831" s="10">
        <f>IF(Tank4!$C$23="No control",(SUMIF(Tank4!$B$32:$B$49,$J831,Tank4!$C$32:$C$49)*Impacts!$F$11),0)</f>
        <v>0</v>
      </c>
      <c r="P831" s="10">
        <f>IF(Tank5!$C$23="No control",(SUMIF(Tank5!$B$32:$B$49,$J831,Tank5!$C$32:$C$49)*Impacts!$F$12),0)</f>
        <v>0</v>
      </c>
      <c r="Q831" s="10">
        <f>IFERROR(IF(('Loading-drum,tote'!$C$21)="No control",SUMIF(('Loading-drum,tote'!$B$31:$B$48),$J831,('Loading-drum,tote'!$D$31:$D$48))*Impacts!$F$13,IF(('Loading-drum,tote'!$C$21)&lt;&gt;"No control",SUMIF(('Loading-drum,tote'!$B$31:$B$48),$J831,('Loading-drum,tote'!$E$31:$E$48))*Impacts!$F$13,0)),0)</f>
        <v>0</v>
      </c>
      <c r="R831" s="10">
        <f>IFERROR(IF(('Loading-truck'!$C$21)="No control",SUMIF(('Loading-truck'!$B$31:$B$48),$J831,('Loading-truck'!$D$31:$D$48))*Impacts!$F$14,IF(('Loading-truck'!$C$21)&lt;&gt;"No control",SUMIF(('Loading-truck'!$B$31:$B$48),$J831,('Loading-truck'!$E$31:$E$48))*Impacts!$F$14,0)),0)</f>
        <v>0</v>
      </c>
      <c r="S831" s="10">
        <f>IFERROR(IF(('Loading-rail'!$C$21)="No control",SUMIF(('Loading-rail'!$B$31:$B$48),$J831,('Loading-rail'!$D$31:$D$48))*Impacts!$F$15,IF(('Loading-rail'!$C$21)&lt;&gt;"No control",SUMIF(('Loading-rail'!$B$31:$B$48),$J831,('Loading-rail'!$E$31:$E$48))*Impacts!$F$15,0)),0)</f>
        <v>0</v>
      </c>
      <c r="T831" s="10">
        <f>IF(Flare!$C$7="",0,(SUMIF(Flare!$B$46:$B$185,$J831,Flare!$E$46:$E$185)*Impacts!$F$16))</f>
        <v>0</v>
      </c>
      <c r="U831" s="10">
        <f>IF(VCU!$C$9="",0,(SUMIF(VCU!$B$51:$B$193,$J831,VCU!$E$51:$E$193)*Impacts!$F$17))</f>
        <v>0</v>
      </c>
      <c r="V831" s="10">
        <f>IF(CAS!$C$7="",0,(SUMIF(CAS!$B$31:$B$167,$J831,CAS!$E$31:$E$167)*Impacts!$F$18))</f>
        <v>0</v>
      </c>
      <c r="W831" s="10">
        <f t="shared" si="54"/>
        <v>0</v>
      </c>
      <c r="AK831" s="10" t="str">
        <f t="array" ref="AK831">IFERROR(INDEX(SelectedSpecies,SMALL(IF(SelectedSpecies=AK$1,ROW(SelectedSpecies)),ROW(832:832)),2),"")</f>
        <v/>
      </c>
      <c r="BE831" s="10"/>
      <c r="BI831" s="10"/>
    </row>
    <row r="832" spans="1:61" ht="21" customHeight="1" x14ac:dyDescent="0.25">
      <c r="A832" s="10"/>
      <c r="B832" s="10"/>
      <c r="E832" s="10"/>
      <c r="G832" s="10"/>
      <c r="I832" s="436" t="s">
        <v>4329</v>
      </c>
      <c r="J832" s="26" t="s">
        <v>4328</v>
      </c>
      <c r="K832" s="10">
        <v>37</v>
      </c>
      <c r="L832" s="73">
        <f>IF(Tank1!$C$23="No control",(SUMIF(Tank1!$B$32:$B$49,$J832,Tank1!$C$32:$C$49)*Impacts!$F$8),0)</f>
        <v>0</v>
      </c>
      <c r="M832" s="10">
        <f>IF(Tank2!$C$23="No control",(SUMIF(Tank2!$B$32:$B$49,$J832,Tank2!$C$32:$C$49)*Impacts!$F$9),0)</f>
        <v>0</v>
      </c>
      <c r="N832" s="10">
        <f>IF(Tank3!$C$23="No control",(SUMIF(Tank3!$B$32:$B$49,$J832,Tank3!$C$32:$C$49)*Impacts!$F$10),0)</f>
        <v>0</v>
      </c>
      <c r="O832" s="10">
        <f>IF(Tank4!$C$23="No control",(SUMIF(Tank4!$B$32:$B$49,$J832,Tank4!$C$32:$C$49)*Impacts!$F$11),0)</f>
        <v>0</v>
      </c>
      <c r="P832" s="10">
        <f>IF(Tank5!$C$23="No control",(SUMIF(Tank5!$B$32:$B$49,$J832,Tank5!$C$32:$C$49)*Impacts!$F$12),0)</f>
        <v>0</v>
      </c>
      <c r="Q832" s="10">
        <f>IFERROR(IF(('Loading-drum,tote'!$C$21)="No control",SUMIF(('Loading-drum,tote'!$B$31:$B$48),$J832,('Loading-drum,tote'!$D$31:$D$48))*Impacts!$F$13,IF(('Loading-drum,tote'!$C$21)&lt;&gt;"No control",SUMIF(('Loading-drum,tote'!$B$31:$B$48),$J832,('Loading-drum,tote'!$E$31:$E$48))*Impacts!$F$13,0)),0)</f>
        <v>0</v>
      </c>
      <c r="R832" s="10">
        <f>IFERROR(IF(('Loading-truck'!$C$21)="No control",SUMIF(('Loading-truck'!$B$31:$B$48),$J832,('Loading-truck'!$D$31:$D$48))*Impacts!$F$14,IF(('Loading-truck'!$C$21)&lt;&gt;"No control",SUMIF(('Loading-truck'!$B$31:$B$48),$J832,('Loading-truck'!$E$31:$E$48))*Impacts!$F$14,0)),0)</f>
        <v>0</v>
      </c>
      <c r="S832" s="10">
        <f>IFERROR(IF(('Loading-rail'!$C$21)="No control",SUMIF(('Loading-rail'!$B$31:$B$48),$J832,('Loading-rail'!$D$31:$D$48))*Impacts!$F$15,IF(('Loading-rail'!$C$21)&lt;&gt;"No control",SUMIF(('Loading-rail'!$B$31:$B$48),$J832,('Loading-rail'!$E$31:$E$48))*Impacts!$F$15,0)),0)</f>
        <v>0</v>
      </c>
      <c r="T832" s="10">
        <f>IF(Flare!$C$7="",0,(SUMIF(Flare!$B$46:$B$185,$J832,Flare!$E$46:$E$185)*Impacts!$F$16))</f>
        <v>0</v>
      </c>
      <c r="U832" s="10">
        <f>IF(VCU!$C$9="",0,(SUMIF(VCU!$B$51:$B$193,$J832,VCU!$E$51:$E$193)*Impacts!$F$17))</f>
        <v>0</v>
      </c>
      <c r="V832" s="10">
        <f>IF(CAS!$C$7="",0,(SUMIF(CAS!$B$31:$B$167,$J832,CAS!$E$31:$E$167)*Impacts!$F$18))</f>
        <v>0</v>
      </c>
      <c r="W832" s="10">
        <f t="shared" si="54"/>
        <v>0</v>
      </c>
      <c r="AK832" s="10" t="str">
        <f t="array" ref="AK832">IFERROR(INDEX(SelectedSpecies,SMALL(IF(SelectedSpecies=AK$1,ROW(SelectedSpecies)),ROW(833:833)),2),"")</f>
        <v/>
      </c>
      <c r="BE832" s="10"/>
      <c r="BI832" s="10"/>
    </row>
    <row r="833" spans="1:61" ht="21" customHeight="1" x14ac:dyDescent="0.25">
      <c r="A833" s="10"/>
      <c r="B833" s="10"/>
      <c r="E833" s="10"/>
      <c r="G833" s="10"/>
      <c r="I833" s="436" t="s">
        <v>8042</v>
      </c>
      <c r="J833" s="26" t="s">
        <v>8041</v>
      </c>
      <c r="K833" s="10">
        <v>2.0000000000000004E-2</v>
      </c>
      <c r="L833" s="73">
        <f>IF(Tank1!$C$23="No control",(SUMIF(Tank1!$B$32:$B$49,$J833,Tank1!$C$32:$C$49)*Impacts!$F$8),0)</f>
        <v>0</v>
      </c>
      <c r="M833" s="10">
        <f>IF(Tank2!$C$23="No control",(SUMIF(Tank2!$B$32:$B$49,$J833,Tank2!$C$32:$C$49)*Impacts!$F$9),0)</f>
        <v>0</v>
      </c>
      <c r="N833" s="10">
        <f>IF(Tank3!$C$23="No control",(SUMIF(Tank3!$B$32:$B$49,$J833,Tank3!$C$32:$C$49)*Impacts!$F$10),0)</f>
        <v>0</v>
      </c>
      <c r="O833" s="10">
        <f>IF(Tank4!$C$23="No control",(SUMIF(Tank4!$B$32:$B$49,$J833,Tank4!$C$32:$C$49)*Impacts!$F$11),0)</f>
        <v>0</v>
      </c>
      <c r="P833" s="10">
        <f>IF(Tank5!$C$23="No control",(SUMIF(Tank5!$B$32:$B$49,$J833,Tank5!$C$32:$C$49)*Impacts!$F$12),0)</f>
        <v>0</v>
      </c>
      <c r="Q833" s="10">
        <f>IFERROR(IF(('Loading-drum,tote'!$C$21)="No control",SUMIF(('Loading-drum,tote'!$B$31:$B$48),$J833,('Loading-drum,tote'!$D$31:$D$48))*Impacts!$F$13,IF(('Loading-drum,tote'!$C$21)&lt;&gt;"No control",SUMIF(('Loading-drum,tote'!$B$31:$B$48),$J833,('Loading-drum,tote'!$E$31:$E$48))*Impacts!$F$13,0)),0)</f>
        <v>0</v>
      </c>
      <c r="R833" s="10">
        <f>IFERROR(IF(('Loading-truck'!$C$21)="No control",SUMIF(('Loading-truck'!$B$31:$B$48),$J833,('Loading-truck'!$D$31:$D$48))*Impacts!$F$14,IF(('Loading-truck'!$C$21)&lt;&gt;"No control",SUMIF(('Loading-truck'!$B$31:$B$48),$J833,('Loading-truck'!$E$31:$E$48))*Impacts!$F$14,0)),0)</f>
        <v>0</v>
      </c>
      <c r="S833" s="10">
        <f>IFERROR(IF(('Loading-rail'!$C$21)="No control",SUMIF(('Loading-rail'!$B$31:$B$48),$J833,('Loading-rail'!$D$31:$D$48))*Impacts!$F$15,IF(('Loading-rail'!$C$21)&lt;&gt;"No control",SUMIF(('Loading-rail'!$B$31:$B$48),$J833,('Loading-rail'!$E$31:$E$48))*Impacts!$F$15,0)),0)</f>
        <v>0</v>
      </c>
      <c r="T833" s="10">
        <f>IF(Flare!$C$7="",0,(SUMIF(Flare!$B$46:$B$185,$J833,Flare!$E$46:$E$185)*Impacts!$F$16))</f>
        <v>0</v>
      </c>
      <c r="U833" s="10">
        <f>IF(VCU!$C$9="",0,(SUMIF(VCU!$B$51:$B$193,$J833,VCU!$E$51:$E$193)*Impacts!$F$17))</f>
        <v>0</v>
      </c>
      <c r="V833" s="10">
        <f>IF(CAS!$C$7="",0,(SUMIF(CAS!$B$31:$B$167,$J833,CAS!$E$31:$E$167)*Impacts!$F$18))</f>
        <v>0</v>
      </c>
      <c r="W833" s="10">
        <f t="shared" si="54"/>
        <v>0</v>
      </c>
      <c r="AK833" s="10" t="str">
        <f t="array" ref="AK833">IFERROR(INDEX(SelectedSpecies,SMALL(IF(SelectedSpecies=AK$1,ROW(SelectedSpecies)),ROW(834:834)),2),"")</f>
        <v/>
      </c>
      <c r="BE833" s="10"/>
      <c r="BI833" s="10"/>
    </row>
    <row r="834" spans="1:61" ht="21" customHeight="1" x14ac:dyDescent="0.25">
      <c r="A834" s="10"/>
      <c r="B834" s="10"/>
      <c r="E834" s="10"/>
      <c r="G834" s="10"/>
      <c r="I834" s="436" t="s">
        <v>7444</v>
      </c>
      <c r="J834" s="26" t="s">
        <v>7443</v>
      </c>
      <c r="K834" s="10">
        <v>0.2</v>
      </c>
      <c r="L834" s="73">
        <f>IF(Tank1!$C$23="No control",(SUMIF(Tank1!$B$32:$B$49,$J834,Tank1!$C$32:$C$49)*Impacts!$F$8),0)</f>
        <v>0</v>
      </c>
      <c r="M834" s="10">
        <f>IF(Tank2!$C$23="No control",(SUMIF(Tank2!$B$32:$B$49,$J834,Tank2!$C$32:$C$49)*Impacts!$F$9),0)</f>
        <v>0</v>
      </c>
      <c r="N834" s="10">
        <f>IF(Tank3!$C$23="No control",(SUMIF(Tank3!$B$32:$B$49,$J834,Tank3!$C$32:$C$49)*Impacts!$F$10),0)</f>
        <v>0</v>
      </c>
      <c r="O834" s="10">
        <f>IF(Tank4!$C$23="No control",(SUMIF(Tank4!$B$32:$B$49,$J834,Tank4!$C$32:$C$49)*Impacts!$F$11),0)</f>
        <v>0</v>
      </c>
      <c r="P834" s="10">
        <f>IF(Tank5!$C$23="No control",(SUMIF(Tank5!$B$32:$B$49,$J834,Tank5!$C$32:$C$49)*Impacts!$F$12),0)</f>
        <v>0</v>
      </c>
      <c r="Q834" s="10">
        <f>IFERROR(IF(('Loading-drum,tote'!$C$21)="No control",SUMIF(('Loading-drum,tote'!$B$31:$B$48),$J834,('Loading-drum,tote'!$D$31:$D$48))*Impacts!$F$13,IF(('Loading-drum,tote'!$C$21)&lt;&gt;"No control",SUMIF(('Loading-drum,tote'!$B$31:$B$48),$J834,('Loading-drum,tote'!$E$31:$E$48))*Impacts!$F$13,0)),0)</f>
        <v>0</v>
      </c>
      <c r="R834" s="10">
        <f>IFERROR(IF(('Loading-truck'!$C$21)="No control",SUMIF(('Loading-truck'!$B$31:$B$48),$J834,('Loading-truck'!$D$31:$D$48))*Impacts!$F$14,IF(('Loading-truck'!$C$21)&lt;&gt;"No control",SUMIF(('Loading-truck'!$B$31:$B$48),$J834,('Loading-truck'!$E$31:$E$48))*Impacts!$F$14,0)),0)</f>
        <v>0</v>
      </c>
      <c r="S834" s="10">
        <f>IFERROR(IF(('Loading-rail'!$C$21)="No control",SUMIF(('Loading-rail'!$B$31:$B$48),$J834,('Loading-rail'!$D$31:$D$48))*Impacts!$F$15,IF(('Loading-rail'!$C$21)&lt;&gt;"No control",SUMIF(('Loading-rail'!$B$31:$B$48),$J834,('Loading-rail'!$E$31:$E$48))*Impacts!$F$15,0)),0)</f>
        <v>0</v>
      </c>
      <c r="T834" s="10">
        <f>IF(Flare!$C$7="",0,(SUMIF(Flare!$B$46:$B$185,$J834,Flare!$E$46:$E$185)*Impacts!$F$16))</f>
        <v>0</v>
      </c>
      <c r="U834" s="10">
        <f>IF(VCU!$C$9="",0,(SUMIF(VCU!$B$51:$B$193,$J834,VCU!$E$51:$E$193)*Impacts!$F$17))</f>
        <v>0</v>
      </c>
      <c r="V834" s="10">
        <f>IF(CAS!$C$7="",0,(SUMIF(CAS!$B$31:$B$167,$J834,CAS!$E$31:$E$167)*Impacts!$F$18))</f>
        <v>0</v>
      </c>
      <c r="W834" s="10">
        <f t="shared" si="54"/>
        <v>0</v>
      </c>
      <c r="AK834" s="10" t="str">
        <f t="array" ref="AK834">IFERROR(INDEX(SelectedSpecies,SMALL(IF(SelectedSpecies=AK$1,ROW(SelectedSpecies)),ROW(835:835)),2),"")</f>
        <v/>
      </c>
      <c r="BE834" s="10"/>
      <c r="BI834" s="10"/>
    </row>
    <row r="835" spans="1:61" ht="21" customHeight="1" x14ac:dyDescent="0.25">
      <c r="A835" s="10"/>
      <c r="B835" s="10"/>
      <c r="E835" s="10"/>
      <c r="G835" s="10"/>
      <c r="I835" s="436" t="s">
        <v>646</v>
      </c>
      <c r="J835" s="26" t="s">
        <v>645</v>
      </c>
      <c r="K835" s="10">
        <v>57</v>
      </c>
      <c r="L835" s="73">
        <f>IF(Tank1!$C$23="No control",(SUMIF(Tank1!$B$32:$B$49,$J835,Tank1!$C$32:$C$49)*Impacts!$F$8),0)</f>
        <v>0</v>
      </c>
      <c r="M835" s="10">
        <f>IF(Tank2!$C$23="No control",(SUMIF(Tank2!$B$32:$B$49,$J835,Tank2!$C$32:$C$49)*Impacts!$F$9),0)</f>
        <v>0</v>
      </c>
      <c r="N835" s="10">
        <f>IF(Tank3!$C$23="No control",(SUMIF(Tank3!$B$32:$B$49,$J835,Tank3!$C$32:$C$49)*Impacts!$F$10),0)</f>
        <v>0</v>
      </c>
      <c r="O835" s="10">
        <f>IF(Tank4!$C$23="No control",(SUMIF(Tank4!$B$32:$B$49,$J835,Tank4!$C$32:$C$49)*Impacts!$F$11),0)</f>
        <v>0</v>
      </c>
      <c r="P835" s="10">
        <f>IF(Tank5!$C$23="No control",(SUMIF(Tank5!$B$32:$B$49,$J835,Tank5!$C$32:$C$49)*Impacts!$F$12),0)</f>
        <v>0</v>
      </c>
      <c r="Q835" s="10">
        <f>IFERROR(IF(('Loading-drum,tote'!$C$21)="No control",SUMIF(('Loading-drum,tote'!$B$31:$B$48),$J835,('Loading-drum,tote'!$D$31:$D$48))*Impacts!$F$13,IF(('Loading-drum,tote'!$C$21)&lt;&gt;"No control",SUMIF(('Loading-drum,tote'!$B$31:$B$48),$J835,('Loading-drum,tote'!$E$31:$E$48))*Impacts!$F$13,0)),0)</f>
        <v>0</v>
      </c>
      <c r="R835" s="10">
        <f>IFERROR(IF(('Loading-truck'!$C$21)="No control",SUMIF(('Loading-truck'!$B$31:$B$48),$J835,('Loading-truck'!$D$31:$D$48))*Impacts!$F$14,IF(('Loading-truck'!$C$21)&lt;&gt;"No control",SUMIF(('Loading-truck'!$B$31:$B$48),$J835,('Loading-truck'!$E$31:$E$48))*Impacts!$F$14,0)),0)</f>
        <v>0</v>
      </c>
      <c r="S835" s="10">
        <f>IFERROR(IF(('Loading-rail'!$C$21)="No control",SUMIF(('Loading-rail'!$B$31:$B$48),$J835,('Loading-rail'!$D$31:$D$48))*Impacts!$F$15,IF(('Loading-rail'!$C$21)&lt;&gt;"No control",SUMIF(('Loading-rail'!$B$31:$B$48),$J835,('Loading-rail'!$E$31:$E$48))*Impacts!$F$15,0)),0)</f>
        <v>0</v>
      </c>
      <c r="T835" s="10">
        <f>IF(Flare!$C$7="",0,(SUMIF(Flare!$B$46:$B$185,$J835,Flare!$E$46:$E$185)*Impacts!$F$16))</f>
        <v>0</v>
      </c>
      <c r="U835" s="10">
        <f>IF(VCU!$C$9="",0,(SUMIF(VCU!$B$51:$B$193,$J835,VCU!$E$51:$E$193)*Impacts!$F$17))</f>
        <v>0</v>
      </c>
      <c r="V835" s="10">
        <f>IF(CAS!$C$7="",0,(SUMIF(CAS!$B$31:$B$167,$J835,CAS!$E$31:$E$167)*Impacts!$F$18))</f>
        <v>0</v>
      </c>
      <c r="W835" s="10">
        <f t="shared" ref="W835:W898" si="55">SUM(L835:V835)</f>
        <v>0</v>
      </c>
      <c r="AK835" s="10" t="str">
        <f t="array" ref="AK835">IFERROR(INDEX(SelectedSpecies,SMALL(IF(SelectedSpecies=AK$1,ROW(SelectedSpecies)),ROW(836:836)),2),"")</f>
        <v/>
      </c>
      <c r="BE835" s="10"/>
      <c r="BI835" s="10"/>
    </row>
    <row r="836" spans="1:61" ht="21" customHeight="1" x14ac:dyDescent="0.25">
      <c r="A836" s="10"/>
      <c r="B836" s="10"/>
      <c r="E836" s="10"/>
      <c r="G836" s="10"/>
      <c r="I836" s="436" t="s">
        <v>3493</v>
      </c>
      <c r="J836" s="26" t="s">
        <v>3492</v>
      </c>
      <c r="K836" s="10">
        <v>9.2000000000000011</v>
      </c>
      <c r="L836" s="73">
        <f>IF(Tank1!$C$23="No control",(SUMIF(Tank1!$B$32:$B$49,$J836,Tank1!$C$32:$C$49)*Impacts!$F$8),0)</f>
        <v>0</v>
      </c>
      <c r="M836" s="10">
        <f>IF(Tank2!$C$23="No control",(SUMIF(Tank2!$B$32:$B$49,$J836,Tank2!$C$32:$C$49)*Impacts!$F$9),0)</f>
        <v>0</v>
      </c>
      <c r="N836" s="10">
        <f>IF(Tank3!$C$23="No control",(SUMIF(Tank3!$B$32:$B$49,$J836,Tank3!$C$32:$C$49)*Impacts!$F$10),0)</f>
        <v>0</v>
      </c>
      <c r="O836" s="10">
        <f>IF(Tank4!$C$23="No control",(SUMIF(Tank4!$B$32:$B$49,$J836,Tank4!$C$32:$C$49)*Impacts!$F$11),0)</f>
        <v>0</v>
      </c>
      <c r="P836" s="10">
        <f>IF(Tank5!$C$23="No control",(SUMIF(Tank5!$B$32:$B$49,$J836,Tank5!$C$32:$C$49)*Impacts!$F$12),0)</f>
        <v>0</v>
      </c>
      <c r="Q836" s="10">
        <f>IFERROR(IF(('Loading-drum,tote'!$C$21)="No control",SUMIF(('Loading-drum,tote'!$B$31:$B$48),$J836,('Loading-drum,tote'!$D$31:$D$48))*Impacts!$F$13,IF(('Loading-drum,tote'!$C$21)&lt;&gt;"No control",SUMIF(('Loading-drum,tote'!$B$31:$B$48),$J836,('Loading-drum,tote'!$E$31:$E$48))*Impacts!$F$13,0)),0)</f>
        <v>0</v>
      </c>
      <c r="R836" s="10">
        <f>IFERROR(IF(('Loading-truck'!$C$21)="No control",SUMIF(('Loading-truck'!$B$31:$B$48),$J836,('Loading-truck'!$D$31:$D$48))*Impacts!$F$14,IF(('Loading-truck'!$C$21)&lt;&gt;"No control",SUMIF(('Loading-truck'!$B$31:$B$48),$J836,('Loading-truck'!$E$31:$E$48))*Impacts!$F$14,0)),0)</f>
        <v>0</v>
      </c>
      <c r="S836" s="10">
        <f>IFERROR(IF(('Loading-rail'!$C$21)="No control",SUMIF(('Loading-rail'!$B$31:$B$48),$J836,('Loading-rail'!$D$31:$D$48))*Impacts!$F$15,IF(('Loading-rail'!$C$21)&lt;&gt;"No control",SUMIF(('Loading-rail'!$B$31:$B$48),$J836,('Loading-rail'!$E$31:$E$48))*Impacts!$F$15,0)),0)</f>
        <v>0</v>
      </c>
      <c r="T836" s="10">
        <f>IF(Flare!$C$7="",0,(SUMIF(Flare!$B$46:$B$185,$J836,Flare!$E$46:$E$185)*Impacts!$F$16))</f>
        <v>0</v>
      </c>
      <c r="U836" s="10">
        <f>IF(VCU!$C$9="",0,(SUMIF(VCU!$B$51:$B$193,$J836,VCU!$E$51:$E$193)*Impacts!$F$17))</f>
        <v>0</v>
      </c>
      <c r="V836" s="10">
        <f>IF(CAS!$C$7="",0,(SUMIF(CAS!$B$31:$B$167,$J836,CAS!$E$31:$E$167)*Impacts!$F$18))</f>
        <v>0</v>
      </c>
      <c r="W836" s="10">
        <f t="shared" si="55"/>
        <v>0</v>
      </c>
      <c r="AK836" s="10" t="str">
        <f t="array" ref="AK836">IFERROR(INDEX(SelectedSpecies,SMALL(IF(SelectedSpecies=AK$1,ROW(SelectedSpecies)),ROW(837:837)),2),"")</f>
        <v/>
      </c>
      <c r="BE836" s="10"/>
      <c r="BI836" s="10"/>
    </row>
    <row r="837" spans="1:61" ht="21" customHeight="1" x14ac:dyDescent="0.25">
      <c r="A837" s="10"/>
      <c r="B837" s="10"/>
      <c r="E837" s="10"/>
      <c r="G837" s="10"/>
      <c r="I837" s="436" t="s">
        <v>8308</v>
      </c>
      <c r="J837" s="26" t="s">
        <v>8307</v>
      </c>
      <c r="K837" s="10">
        <v>1E-3</v>
      </c>
      <c r="L837" s="73">
        <f>IF(Tank1!$C$23="No control",(SUMIF(Tank1!$B$32:$B$49,$J837,Tank1!$C$32:$C$49)*Impacts!$F$8),0)</f>
        <v>0</v>
      </c>
      <c r="M837" s="10">
        <f>IF(Tank2!$C$23="No control",(SUMIF(Tank2!$B$32:$B$49,$J837,Tank2!$C$32:$C$49)*Impacts!$F$9),0)</f>
        <v>0</v>
      </c>
      <c r="N837" s="10">
        <f>IF(Tank3!$C$23="No control",(SUMIF(Tank3!$B$32:$B$49,$J837,Tank3!$C$32:$C$49)*Impacts!$F$10),0)</f>
        <v>0</v>
      </c>
      <c r="O837" s="10">
        <f>IF(Tank4!$C$23="No control",(SUMIF(Tank4!$B$32:$B$49,$J837,Tank4!$C$32:$C$49)*Impacts!$F$11),0)</f>
        <v>0</v>
      </c>
      <c r="P837" s="10">
        <f>IF(Tank5!$C$23="No control",(SUMIF(Tank5!$B$32:$B$49,$J837,Tank5!$C$32:$C$49)*Impacts!$F$12),0)</f>
        <v>0</v>
      </c>
      <c r="Q837" s="10">
        <f>IFERROR(IF(('Loading-drum,tote'!$C$21)="No control",SUMIF(('Loading-drum,tote'!$B$31:$B$48),$J837,('Loading-drum,tote'!$D$31:$D$48))*Impacts!$F$13,IF(('Loading-drum,tote'!$C$21)&lt;&gt;"No control",SUMIF(('Loading-drum,tote'!$B$31:$B$48),$J837,('Loading-drum,tote'!$E$31:$E$48))*Impacts!$F$13,0)),0)</f>
        <v>0</v>
      </c>
      <c r="R837" s="10">
        <f>IFERROR(IF(('Loading-truck'!$C$21)="No control",SUMIF(('Loading-truck'!$B$31:$B$48),$J837,('Loading-truck'!$D$31:$D$48))*Impacts!$F$14,IF(('Loading-truck'!$C$21)&lt;&gt;"No control",SUMIF(('Loading-truck'!$B$31:$B$48),$J837,('Loading-truck'!$E$31:$E$48))*Impacts!$F$14,0)),0)</f>
        <v>0</v>
      </c>
      <c r="S837" s="10">
        <f>IFERROR(IF(('Loading-rail'!$C$21)="No control",SUMIF(('Loading-rail'!$B$31:$B$48),$J837,('Loading-rail'!$D$31:$D$48))*Impacts!$F$15,IF(('Loading-rail'!$C$21)&lt;&gt;"No control",SUMIF(('Loading-rail'!$B$31:$B$48),$J837,('Loading-rail'!$E$31:$E$48))*Impacts!$F$15,0)),0)</f>
        <v>0</v>
      </c>
      <c r="T837" s="10">
        <f>IF(Flare!$C$7="",0,(SUMIF(Flare!$B$46:$B$185,$J837,Flare!$E$46:$E$185)*Impacts!$F$16))</f>
        <v>0</v>
      </c>
      <c r="U837" s="10">
        <f>IF(VCU!$C$9="",0,(SUMIF(VCU!$B$51:$B$193,$J837,VCU!$E$51:$E$193)*Impacts!$F$17))</f>
        <v>0</v>
      </c>
      <c r="V837" s="10">
        <f>IF(CAS!$C$7="",0,(SUMIF(CAS!$B$31:$B$167,$J837,CAS!$E$31:$E$167)*Impacts!$F$18))</f>
        <v>0</v>
      </c>
      <c r="W837" s="10">
        <f t="shared" si="55"/>
        <v>0</v>
      </c>
      <c r="AK837" s="10" t="str">
        <f t="array" ref="AK837">IFERROR(INDEX(SelectedSpecies,SMALL(IF(SelectedSpecies=AK$1,ROW(SelectedSpecies)),ROW(838:838)),2),"")</f>
        <v/>
      </c>
      <c r="BE837" s="10"/>
      <c r="BI837" s="10"/>
    </row>
    <row r="838" spans="1:61" ht="21" customHeight="1" x14ac:dyDescent="0.25">
      <c r="A838" s="10"/>
      <c r="B838" s="10"/>
      <c r="E838" s="10"/>
      <c r="G838" s="10"/>
      <c r="I838" s="436" t="s">
        <v>7608</v>
      </c>
      <c r="J838" s="26" t="s">
        <v>7607</v>
      </c>
      <c r="K838" s="10">
        <v>0.15000000000000002</v>
      </c>
      <c r="L838" s="73">
        <f>IF(Tank1!$C$23="No control",(SUMIF(Tank1!$B$32:$B$49,$J838,Tank1!$C$32:$C$49)*Impacts!$F$8),0)</f>
        <v>0</v>
      </c>
      <c r="M838" s="10">
        <f>IF(Tank2!$C$23="No control",(SUMIF(Tank2!$B$32:$B$49,$J838,Tank2!$C$32:$C$49)*Impacts!$F$9),0)</f>
        <v>0</v>
      </c>
      <c r="N838" s="10">
        <f>IF(Tank3!$C$23="No control",(SUMIF(Tank3!$B$32:$B$49,$J838,Tank3!$C$32:$C$49)*Impacts!$F$10),0)</f>
        <v>0</v>
      </c>
      <c r="O838" s="10">
        <f>IF(Tank4!$C$23="No control",(SUMIF(Tank4!$B$32:$B$49,$J838,Tank4!$C$32:$C$49)*Impacts!$F$11),0)</f>
        <v>0</v>
      </c>
      <c r="P838" s="10">
        <f>IF(Tank5!$C$23="No control",(SUMIF(Tank5!$B$32:$B$49,$J838,Tank5!$C$32:$C$49)*Impacts!$F$12),0)</f>
        <v>0</v>
      </c>
      <c r="Q838" s="10">
        <f>IFERROR(IF(('Loading-drum,tote'!$C$21)="No control",SUMIF(('Loading-drum,tote'!$B$31:$B$48),$J838,('Loading-drum,tote'!$D$31:$D$48))*Impacts!$F$13,IF(('Loading-drum,tote'!$C$21)&lt;&gt;"No control",SUMIF(('Loading-drum,tote'!$B$31:$B$48),$J838,('Loading-drum,tote'!$E$31:$E$48))*Impacts!$F$13,0)),0)</f>
        <v>0</v>
      </c>
      <c r="R838" s="10">
        <f>IFERROR(IF(('Loading-truck'!$C$21)="No control",SUMIF(('Loading-truck'!$B$31:$B$48),$J838,('Loading-truck'!$D$31:$D$48))*Impacts!$F$14,IF(('Loading-truck'!$C$21)&lt;&gt;"No control",SUMIF(('Loading-truck'!$B$31:$B$48),$J838,('Loading-truck'!$E$31:$E$48))*Impacts!$F$14,0)),0)</f>
        <v>0</v>
      </c>
      <c r="S838" s="10">
        <f>IFERROR(IF(('Loading-rail'!$C$21)="No control",SUMIF(('Loading-rail'!$B$31:$B$48),$J838,('Loading-rail'!$D$31:$D$48))*Impacts!$F$15,IF(('Loading-rail'!$C$21)&lt;&gt;"No control",SUMIF(('Loading-rail'!$B$31:$B$48),$J838,('Loading-rail'!$E$31:$E$48))*Impacts!$F$15,0)),0)</f>
        <v>0</v>
      </c>
      <c r="T838" s="10">
        <f>IF(Flare!$C$7="",0,(SUMIF(Flare!$B$46:$B$185,$J838,Flare!$E$46:$E$185)*Impacts!$F$16))</f>
        <v>0</v>
      </c>
      <c r="U838" s="10">
        <f>IF(VCU!$C$9="",0,(SUMIF(VCU!$B$51:$B$193,$J838,VCU!$E$51:$E$193)*Impacts!$F$17))</f>
        <v>0</v>
      </c>
      <c r="V838" s="10">
        <f>IF(CAS!$C$7="",0,(SUMIF(CAS!$B$31:$B$167,$J838,CAS!$E$31:$E$167)*Impacts!$F$18))</f>
        <v>0</v>
      </c>
      <c r="W838" s="10">
        <f t="shared" si="55"/>
        <v>0</v>
      </c>
      <c r="AK838" s="10" t="str">
        <f t="array" ref="AK838">IFERROR(INDEX(SelectedSpecies,SMALL(IF(SelectedSpecies=AK$1,ROW(SelectedSpecies)),ROW(839:839)),2),"")</f>
        <v/>
      </c>
      <c r="BE838" s="10"/>
      <c r="BI838" s="10"/>
    </row>
    <row r="839" spans="1:61" ht="21" customHeight="1" x14ac:dyDescent="0.25">
      <c r="A839" s="10"/>
      <c r="B839" s="10"/>
      <c r="E839" s="10"/>
      <c r="G839" s="10"/>
      <c r="I839" s="436" t="s">
        <v>2439</v>
      </c>
      <c r="J839" s="26" t="s">
        <v>2438</v>
      </c>
      <c r="K839" s="10">
        <v>10</v>
      </c>
      <c r="L839" s="73">
        <f>IF(Tank1!$C$23="No control",(SUMIF(Tank1!$B$32:$B$49,$J839,Tank1!$C$32:$C$49)*Impacts!$F$8),0)</f>
        <v>0</v>
      </c>
      <c r="M839" s="10">
        <f>IF(Tank2!$C$23="No control",(SUMIF(Tank2!$B$32:$B$49,$J839,Tank2!$C$32:$C$49)*Impacts!$F$9),0)</f>
        <v>0</v>
      </c>
      <c r="N839" s="10">
        <f>IF(Tank3!$C$23="No control",(SUMIF(Tank3!$B$32:$B$49,$J839,Tank3!$C$32:$C$49)*Impacts!$F$10),0)</f>
        <v>0</v>
      </c>
      <c r="O839" s="10">
        <f>IF(Tank4!$C$23="No control",(SUMIF(Tank4!$B$32:$B$49,$J839,Tank4!$C$32:$C$49)*Impacts!$F$11),0)</f>
        <v>0</v>
      </c>
      <c r="P839" s="10">
        <f>IF(Tank5!$C$23="No control",(SUMIF(Tank5!$B$32:$B$49,$J839,Tank5!$C$32:$C$49)*Impacts!$F$12),0)</f>
        <v>0</v>
      </c>
      <c r="Q839" s="10">
        <f>IFERROR(IF(('Loading-drum,tote'!$C$21)="No control",SUMIF(('Loading-drum,tote'!$B$31:$B$48),$J839,('Loading-drum,tote'!$D$31:$D$48))*Impacts!$F$13,IF(('Loading-drum,tote'!$C$21)&lt;&gt;"No control",SUMIF(('Loading-drum,tote'!$B$31:$B$48),$J839,('Loading-drum,tote'!$E$31:$E$48))*Impacts!$F$13,0)),0)</f>
        <v>0</v>
      </c>
      <c r="R839" s="10">
        <f>IFERROR(IF(('Loading-truck'!$C$21)="No control",SUMIF(('Loading-truck'!$B$31:$B$48),$J839,('Loading-truck'!$D$31:$D$48))*Impacts!$F$14,IF(('Loading-truck'!$C$21)&lt;&gt;"No control",SUMIF(('Loading-truck'!$B$31:$B$48),$J839,('Loading-truck'!$E$31:$E$48))*Impacts!$F$14,0)),0)</f>
        <v>0</v>
      </c>
      <c r="S839" s="10">
        <f>IFERROR(IF(('Loading-rail'!$C$21)="No control",SUMIF(('Loading-rail'!$B$31:$B$48),$J839,('Loading-rail'!$D$31:$D$48))*Impacts!$F$15,IF(('Loading-rail'!$C$21)&lt;&gt;"No control",SUMIF(('Loading-rail'!$B$31:$B$48),$J839,('Loading-rail'!$E$31:$E$48))*Impacts!$F$15,0)),0)</f>
        <v>0</v>
      </c>
      <c r="T839" s="10">
        <f>IF(Flare!$C$7="",0,(SUMIF(Flare!$B$46:$B$185,$J839,Flare!$E$46:$E$185)*Impacts!$F$16))</f>
        <v>0</v>
      </c>
      <c r="U839" s="10">
        <f>IF(VCU!$C$9="",0,(SUMIF(VCU!$B$51:$B$193,$J839,VCU!$E$51:$E$193)*Impacts!$F$17))</f>
        <v>0</v>
      </c>
      <c r="V839" s="10">
        <f>IF(CAS!$C$7="",0,(SUMIF(CAS!$B$31:$B$167,$J839,CAS!$E$31:$E$167)*Impacts!$F$18))</f>
        <v>0</v>
      </c>
      <c r="W839" s="10">
        <f t="shared" si="55"/>
        <v>0</v>
      </c>
      <c r="AK839" s="10" t="str">
        <f t="array" ref="AK839">IFERROR(INDEX(SelectedSpecies,SMALL(IF(SelectedSpecies=AK$1,ROW(SelectedSpecies)),ROW(840:840)),2),"")</f>
        <v/>
      </c>
      <c r="BE839" s="10"/>
      <c r="BI839" s="10"/>
    </row>
    <row r="840" spans="1:61" ht="21" customHeight="1" x14ac:dyDescent="0.25">
      <c r="A840" s="10"/>
      <c r="B840" s="10"/>
      <c r="E840" s="10"/>
      <c r="G840" s="10"/>
      <c r="I840" s="436" t="s">
        <v>2441</v>
      </c>
      <c r="J840" s="26" t="s">
        <v>2440</v>
      </c>
      <c r="K840" s="10">
        <v>10</v>
      </c>
      <c r="L840" s="73">
        <f>IF(Tank1!$C$23="No control",(SUMIF(Tank1!$B$32:$B$49,$J840,Tank1!$C$32:$C$49)*Impacts!$F$8),0)</f>
        <v>0</v>
      </c>
      <c r="M840" s="10">
        <f>IF(Tank2!$C$23="No control",(SUMIF(Tank2!$B$32:$B$49,$J840,Tank2!$C$32:$C$49)*Impacts!$F$9),0)</f>
        <v>0</v>
      </c>
      <c r="N840" s="10">
        <f>IF(Tank3!$C$23="No control",(SUMIF(Tank3!$B$32:$B$49,$J840,Tank3!$C$32:$C$49)*Impacts!$F$10),0)</f>
        <v>0</v>
      </c>
      <c r="O840" s="10">
        <f>IF(Tank4!$C$23="No control",(SUMIF(Tank4!$B$32:$B$49,$J840,Tank4!$C$32:$C$49)*Impacts!$F$11),0)</f>
        <v>0</v>
      </c>
      <c r="P840" s="10">
        <f>IF(Tank5!$C$23="No control",(SUMIF(Tank5!$B$32:$B$49,$J840,Tank5!$C$32:$C$49)*Impacts!$F$12),0)</f>
        <v>0</v>
      </c>
      <c r="Q840" s="10">
        <f>IFERROR(IF(('Loading-drum,tote'!$C$21)="No control",SUMIF(('Loading-drum,tote'!$B$31:$B$48),$J840,('Loading-drum,tote'!$D$31:$D$48))*Impacts!$F$13,IF(('Loading-drum,tote'!$C$21)&lt;&gt;"No control",SUMIF(('Loading-drum,tote'!$B$31:$B$48),$J840,('Loading-drum,tote'!$E$31:$E$48))*Impacts!$F$13,0)),0)</f>
        <v>0</v>
      </c>
      <c r="R840" s="10">
        <f>IFERROR(IF(('Loading-truck'!$C$21)="No control",SUMIF(('Loading-truck'!$B$31:$B$48),$J840,('Loading-truck'!$D$31:$D$48))*Impacts!$F$14,IF(('Loading-truck'!$C$21)&lt;&gt;"No control",SUMIF(('Loading-truck'!$B$31:$B$48),$J840,('Loading-truck'!$E$31:$E$48))*Impacts!$F$14,0)),0)</f>
        <v>0</v>
      </c>
      <c r="S840" s="10">
        <f>IFERROR(IF(('Loading-rail'!$C$21)="No control",SUMIF(('Loading-rail'!$B$31:$B$48),$J840,('Loading-rail'!$D$31:$D$48))*Impacts!$F$15,IF(('Loading-rail'!$C$21)&lt;&gt;"No control",SUMIF(('Loading-rail'!$B$31:$B$48),$J840,('Loading-rail'!$E$31:$E$48))*Impacts!$F$15,0)),0)</f>
        <v>0</v>
      </c>
      <c r="T840" s="10">
        <f>IF(Flare!$C$7="",0,(SUMIF(Flare!$B$46:$B$185,$J840,Flare!$E$46:$E$185)*Impacts!$F$16))</f>
        <v>0</v>
      </c>
      <c r="U840" s="10">
        <f>IF(VCU!$C$9="",0,(SUMIF(VCU!$B$51:$B$193,$J840,VCU!$E$51:$E$193)*Impacts!$F$17))</f>
        <v>0</v>
      </c>
      <c r="V840" s="10">
        <f>IF(CAS!$C$7="",0,(SUMIF(CAS!$B$31:$B$167,$J840,CAS!$E$31:$E$167)*Impacts!$F$18))</f>
        <v>0</v>
      </c>
      <c r="W840" s="10">
        <f t="shared" si="55"/>
        <v>0</v>
      </c>
      <c r="AK840" s="10" t="str">
        <f t="array" ref="AK840">IFERROR(INDEX(SelectedSpecies,SMALL(IF(SelectedSpecies=AK$1,ROW(SelectedSpecies)),ROW(841:841)),2),"")</f>
        <v/>
      </c>
      <c r="BE840" s="10"/>
      <c r="BI840" s="10"/>
    </row>
    <row r="841" spans="1:61" ht="21" customHeight="1" x14ac:dyDescent="0.25">
      <c r="A841" s="10"/>
      <c r="B841" s="10"/>
      <c r="E841" s="10"/>
      <c r="G841" s="10"/>
      <c r="I841" s="436" t="s">
        <v>2443</v>
      </c>
      <c r="J841" s="26" t="s">
        <v>2442</v>
      </c>
      <c r="K841" s="10">
        <v>10</v>
      </c>
      <c r="L841" s="73">
        <f>IF(Tank1!$C$23="No control",(SUMIF(Tank1!$B$32:$B$49,$J841,Tank1!$C$32:$C$49)*Impacts!$F$8),0)</f>
        <v>0</v>
      </c>
      <c r="M841" s="10">
        <f>IF(Tank2!$C$23="No control",(SUMIF(Tank2!$B$32:$B$49,$J841,Tank2!$C$32:$C$49)*Impacts!$F$9),0)</f>
        <v>0</v>
      </c>
      <c r="N841" s="10">
        <f>IF(Tank3!$C$23="No control",(SUMIF(Tank3!$B$32:$B$49,$J841,Tank3!$C$32:$C$49)*Impacts!$F$10),0)</f>
        <v>0</v>
      </c>
      <c r="O841" s="10">
        <f>IF(Tank4!$C$23="No control",(SUMIF(Tank4!$B$32:$B$49,$J841,Tank4!$C$32:$C$49)*Impacts!$F$11),0)</f>
        <v>0</v>
      </c>
      <c r="P841" s="10">
        <f>IF(Tank5!$C$23="No control",(SUMIF(Tank5!$B$32:$B$49,$J841,Tank5!$C$32:$C$49)*Impacts!$F$12),0)</f>
        <v>0</v>
      </c>
      <c r="Q841" s="10">
        <f>IFERROR(IF(('Loading-drum,tote'!$C$21)="No control",SUMIF(('Loading-drum,tote'!$B$31:$B$48),$J841,('Loading-drum,tote'!$D$31:$D$48))*Impacts!$F$13,IF(('Loading-drum,tote'!$C$21)&lt;&gt;"No control",SUMIF(('Loading-drum,tote'!$B$31:$B$48),$J841,('Loading-drum,tote'!$E$31:$E$48))*Impacts!$F$13,0)),0)</f>
        <v>0</v>
      </c>
      <c r="R841" s="10">
        <f>IFERROR(IF(('Loading-truck'!$C$21)="No control",SUMIF(('Loading-truck'!$B$31:$B$48),$J841,('Loading-truck'!$D$31:$D$48))*Impacts!$F$14,IF(('Loading-truck'!$C$21)&lt;&gt;"No control",SUMIF(('Loading-truck'!$B$31:$B$48),$J841,('Loading-truck'!$E$31:$E$48))*Impacts!$F$14,0)),0)</f>
        <v>0</v>
      </c>
      <c r="S841" s="10">
        <f>IFERROR(IF(('Loading-rail'!$C$21)="No control",SUMIF(('Loading-rail'!$B$31:$B$48),$J841,('Loading-rail'!$D$31:$D$48))*Impacts!$F$15,IF(('Loading-rail'!$C$21)&lt;&gt;"No control",SUMIF(('Loading-rail'!$B$31:$B$48),$J841,('Loading-rail'!$E$31:$E$48))*Impacts!$F$15,0)),0)</f>
        <v>0</v>
      </c>
      <c r="T841" s="10">
        <f>IF(Flare!$C$7="",0,(SUMIF(Flare!$B$46:$B$185,$J841,Flare!$E$46:$E$185)*Impacts!$F$16))</f>
        <v>0</v>
      </c>
      <c r="U841" s="10">
        <f>IF(VCU!$C$9="",0,(SUMIF(VCU!$B$51:$B$193,$J841,VCU!$E$51:$E$193)*Impacts!$F$17))</f>
        <v>0</v>
      </c>
      <c r="V841" s="10">
        <f>IF(CAS!$C$7="",0,(SUMIF(CAS!$B$31:$B$167,$J841,CAS!$E$31:$E$167)*Impacts!$F$18))</f>
        <v>0</v>
      </c>
      <c r="W841" s="10">
        <f t="shared" si="55"/>
        <v>0</v>
      </c>
      <c r="AK841" s="10" t="str">
        <f t="array" ref="AK841">IFERROR(INDEX(SelectedSpecies,SMALL(IF(SelectedSpecies=AK$1,ROW(SelectedSpecies)),ROW(842:842)),2),"")</f>
        <v/>
      </c>
      <c r="BE841" s="10"/>
      <c r="BI841" s="10"/>
    </row>
    <row r="842" spans="1:61" ht="21" customHeight="1" x14ac:dyDescent="0.25">
      <c r="A842" s="10"/>
      <c r="B842" s="10"/>
      <c r="E842" s="10"/>
      <c r="G842" s="10"/>
      <c r="I842" s="436" t="s">
        <v>2445</v>
      </c>
      <c r="J842" s="26" t="s">
        <v>2444</v>
      </c>
      <c r="K842" s="10">
        <v>10</v>
      </c>
      <c r="L842" s="73">
        <f>IF(Tank1!$C$23="No control",(SUMIF(Tank1!$B$32:$B$49,$J842,Tank1!$C$32:$C$49)*Impacts!$F$8),0)</f>
        <v>0</v>
      </c>
      <c r="M842" s="10">
        <f>IF(Tank2!$C$23="No control",(SUMIF(Tank2!$B$32:$B$49,$J842,Tank2!$C$32:$C$49)*Impacts!$F$9),0)</f>
        <v>0</v>
      </c>
      <c r="N842" s="10">
        <f>IF(Tank3!$C$23="No control",(SUMIF(Tank3!$B$32:$B$49,$J842,Tank3!$C$32:$C$49)*Impacts!$F$10),0)</f>
        <v>0</v>
      </c>
      <c r="O842" s="10">
        <f>IF(Tank4!$C$23="No control",(SUMIF(Tank4!$B$32:$B$49,$J842,Tank4!$C$32:$C$49)*Impacts!$F$11),0)</f>
        <v>0</v>
      </c>
      <c r="P842" s="10">
        <f>IF(Tank5!$C$23="No control",(SUMIF(Tank5!$B$32:$B$49,$J842,Tank5!$C$32:$C$49)*Impacts!$F$12),0)</f>
        <v>0</v>
      </c>
      <c r="Q842" s="10">
        <f>IFERROR(IF(('Loading-drum,tote'!$C$21)="No control",SUMIF(('Loading-drum,tote'!$B$31:$B$48),$J842,('Loading-drum,tote'!$D$31:$D$48))*Impacts!$F$13,IF(('Loading-drum,tote'!$C$21)&lt;&gt;"No control",SUMIF(('Loading-drum,tote'!$B$31:$B$48),$J842,('Loading-drum,tote'!$E$31:$E$48))*Impacts!$F$13,0)),0)</f>
        <v>0</v>
      </c>
      <c r="R842" s="10">
        <f>IFERROR(IF(('Loading-truck'!$C$21)="No control",SUMIF(('Loading-truck'!$B$31:$B$48),$J842,('Loading-truck'!$D$31:$D$48))*Impacts!$F$14,IF(('Loading-truck'!$C$21)&lt;&gt;"No control",SUMIF(('Loading-truck'!$B$31:$B$48),$J842,('Loading-truck'!$E$31:$E$48))*Impacts!$F$14,0)),0)</f>
        <v>0</v>
      </c>
      <c r="S842" s="10">
        <f>IFERROR(IF(('Loading-rail'!$C$21)="No control",SUMIF(('Loading-rail'!$B$31:$B$48),$J842,('Loading-rail'!$D$31:$D$48))*Impacts!$F$15,IF(('Loading-rail'!$C$21)&lt;&gt;"No control",SUMIF(('Loading-rail'!$B$31:$B$48),$J842,('Loading-rail'!$E$31:$E$48))*Impacts!$F$15,0)),0)</f>
        <v>0</v>
      </c>
      <c r="T842" s="10">
        <f>IF(Flare!$C$7="",0,(SUMIF(Flare!$B$46:$B$185,$J842,Flare!$E$46:$E$185)*Impacts!$F$16))</f>
        <v>0</v>
      </c>
      <c r="U842" s="10">
        <f>IF(VCU!$C$9="",0,(SUMIF(VCU!$B$51:$B$193,$J842,VCU!$E$51:$E$193)*Impacts!$F$17))</f>
        <v>0</v>
      </c>
      <c r="V842" s="10">
        <f>IF(CAS!$C$7="",0,(SUMIF(CAS!$B$31:$B$167,$J842,CAS!$E$31:$E$167)*Impacts!$F$18))</f>
        <v>0</v>
      </c>
      <c r="W842" s="10">
        <f t="shared" si="55"/>
        <v>0</v>
      </c>
      <c r="AK842" s="10" t="str">
        <f t="array" ref="AK842">IFERROR(INDEX(SelectedSpecies,SMALL(IF(SelectedSpecies=AK$1,ROW(SelectedSpecies)),ROW(843:843)),2),"")</f>
        <v/>
      </c>
      <c r="BE842" s="10"/>
      <c r="BI842" s="10"/>
    </row>
    <row r="843" spans="1:61" ht="21" customHeight="1" x14ac:dyDescent="0.25">
      <c r="A843" s="10"/>
      <c r="B843" s="10"/>
      <c r="E843" s="10"/>
      <c r="G843" s="10"/>
      <c r="I843" s="436" t="s">
        <v>1218</v>
      </c>
      <c r="J843" s="26" t="s">
        <v>1217</v>
      </c>
      <c r="K843" s="10">
        <v>34</v>
      </c>
      <c r="L843" s="73">
        <f>IF(Tank1!$C$23="No control",(SUMIF(Tank1!$B$32:$B$49,$J843,Tank1!$C$32:$C$49)*Impacts!$F$8),0)</f>
        <v>0</v>
      </c>
      <c r="M843" s="10">
        <f>IF(Tank2!$C$23="No control",(SUMIF(Tank2!$B$32:$B$49,$J843,Tank2!$C$32:$C$49)*Impacts!$F$9),0)</f>
        <v>0</v>
      </c>
      <c r="N843" s="10">
        <f>IF(Tank3!$C$23="No control",(SUMIF(Tank3!$B$32:$B$49,$J843,Tank3!$C$32:$C$49)*Impacts!$F$10),0)</f>
        <v>0</v>
      </c>
      <c r="O843" s="10">
        <f>IF(Tank4!$C$23="No control",(SUMIF(Tank4!$B$32:$B$49,$J843,Tank4!$C$32:$C$49)*Impacts!$F$11),0)</f>
        <v>0</v>
      </c>
      <c r="P843" s="10">
        <f>IF(Tank5!$C$23="No control",(SUMIF(Tank5!$B$32:$B$49,$J843,Tank5!$C$32:$C$49)*Impacts!$F$12),0)</f>
        <v>0</v>
      </c>
      <c r="Q843" s="10">
        <f>IFERROR(IF(('Loading-drum,tote'!$C$21)="No control",SUMIF(('Loading-drum,tote'!$B$31:$B$48),$J843,('Loading-drum,tote'!$D$31:$D$48))*Impacts!$F$13,IF(('Loading-drum,tote'!$C$21)&lt;&gt;"No control",SUMIF(('Loading-drum,tote'!$B$31:$B$48),$J843,('Loading-drum,tote'!$E$31:$E$48))*Impacts!$F$13,0)),0)</f>
        <v>0</v>
      </c>
      <c r="R843" s="10">
        <f>IFERROR(IF(('Loading-truck'!$C$21)="No control",SUMIF(('Loading-truck'!$B$31:$B$48),$J843,('Loading-truck'!$D$31:$D$48))*Impacts!$F$14,IF(('Loading-truck'!$C$21)&lt;&gt;"No control",SUMIF(('Loading-truck'!$B$31:$B$48),$J843,('Loading-truck'!$E$31:$E$48))*Impacts!$F$14,0)),0)</f>
        <v>0</v>
      </c>
      <c r="S843" s="10">
        <f>IFERROR(IF(('Loading-rail'!$C$21)="No control",SUMIF(('Loading-rail'!$B$31:$B$48),$J843,('Loading-rail'!$D$31:$D$48))*Impacts!$F$15,IF(('Loading-rail'!$C$21)&lt;&gt;"No control",SUMIF(('Loading-rail'!$B$31:$B$48),$J843,('Loading-rail'!$E$31:$E$48))*Impacts!$F$15,0)),0)</f>
        <v>0</v>
      </c>
      <c r="T843" s="10">
        <f>IF(Flare!$C$7="",0,(SUMIF(Flare!$B$46:$B$185,$J843,Flare!$E$46:$E$185)*Impacts!$F$16))</f>
        <v>0</v>
      </c>
      <c r="U843" s="10">
        <f>IF(VCU!$C$9="",0,(SUMIF(VCU!$B$51:$B$193,$J843,VCU!$E$51:$E$193)*Impacts!$F$17))</f>
        <v>0</v>
      </c>
      <c r="V843" s="10">
        <f>IF(CAS!$C$7="",0,(SUMIF(CAS!$B$31:$B$167,$J843,CAS!$E$31:$E$167)*Impacts!$F$18))</f>
        <v>0</v>
      </c>
      <c r="W843" s="10">
        <f t="shared" si="55"/>
        <v>0</v>
      </c>
      <c r="AK843" s="10" t="str">
        <f t="array" ref="AK843">IFERROR(INDEX(SelectedSpecies,SMALL(IF(SelectedSpecies=AK$1,ROW(SelectedSpecies)),ROW(844:844)),2),"")</f>
        <v/>
      </c>
      <c r="BE843" s="10"/>
      <c r="BI843" s="10"/>
    </row>
    <row r="844" spans="1:61" ht="21" customHeight="1" x14ac:dyDescent="0.25">
      <c r="A844" s="10"/>
      <c r="B844" s="10"/>
      <c r="E844" s="10"/>
      <c r="G844" s="10"/>
      <c r="I844" s="436" t="s">
        <v>4361</v>
      </c>
      <c r="J844" s="26" t="s">
        <v>4360</v>
      </c>
      <c r="K844" s="10">
        <v>4.8000000000000007</v>
      </c>
      <c r="L844" s="73">
        <f>IF(Tank1!$C$23="No control",(SUMIF(Tank1!$B$32:$B$49,$J844,Tank1!$C$32:$C$49)*Impacts!$F$8),0)</f>
        <v>0</v>
      </c>
      <c r="M844" s="10">
        <f>IF(Tank2!$C$23="No control",(SUMIF(Tank2!$B$32:$B$49,$J844,Tank2!$C$32:$C$49)*Impacts!$F$9),0)</f>
        <v>0</v>
      </c>
      <c r="N844" s="10">
        <f>IF(Tank3!$C$23="No control",(SUMIF(Tank3!$B$32:$B$49,$J844,Tank3!$C$32:$C$49)*Impacts!$F$10),0)</f>
        <v>0</v>
      </c>
      <c r="O844" s="10">
        <f>IF(Tank4!$C$23="No control",(SUMIF(Tank4!$B$32:$B$49,$J844,Tank4!$C$32:$C$49)*Impacts!$F$11),0)</f>
        <v>0</v>
      </c>
      <c r="P844" s="10">
        <f>IF(Tank5!$C$23="No control",(SUMIF(Tank5!$B$32:$B$49,$J844,Tank5!$C$32:$C$49)*Impacts!$F$12),0)</f>
        <v>0</v>
      </c>
      <c r="Q844" s="10">
        <f>IFERROR(IF(('Loading-drum,tote'!$C$21)="No control",SUMIF(('Loading-drum,tote'!$B$31:$B$48),$J844,('Loading-drum,tote'!$D$31:$D$48))*Impacts!$F$13,IF(('Loading-drum,tote'!$C$21)&lt;&gt;"No control",SUMIF(('Loading-drum,tote'!$B$31:$B$48),$J844,('Loading-drum,tote'!$E$31:$E$48))*Impacts!$F$13,0)),0)</f>
        <v>0</v>
      </c>
      <c r="R844" s="10">
        <f>IFERROR(IF(('Loading-truck'!$C$21)="No control",SUMIF(('Loading-truck'!$B$31:$B$48),$J844,('Loading-truck'!$D$31:$D$48))*Impacts!$F$14,IF(('Loading-truck'!$C$21)&lt;&gt;"No control",SUMIF(('Loading-truck'!$B$31:$B$48),$J844,('Loading-truck'!$E$31:$E$48))*Impacts!$F$14,0)),0)</f>
        <v>0</v>
      </c>
      <c r="S844" s="10">
        <f>IFERROR(IF(('Loading-rail'!$C$21)="No control",SUMIF(('Loading-rail'!$B$31:$B$48),$J844,('Loading-rail'!$D$31:$D$48))*Impacts!$F$15,IF(('Loading-rail'!$C$21)&lt;&gt;"No control",SUMIF(('Loading-rail'!$B$31:$B$48),$J844,('Loading-rail'!$E$31:$E$48))*Impacts!$F$15,0)),0)</f>
        <v>0</v>
      </c>
      <c r="T844" s="10">
        <f>IF(Flare!$C$7="",0,(SUMIF(Flare!$B$46:$B$185,$J844,Flare!$E$46:$E$185)*Impacts!$F$16))</f>
        <v>0</v>
      </c>
      <c r="U844" s="10">
        <f>IF(VCU!$C$9="",0,(SUMIF(VCU!$B$51:$B$193,$J844,VCU!$E$51:$E$193)*Impacts!$F$17))</f>
        <v>0</v>
      </c>
      <c r="V844" s="10">
        <f>IF(CAS!$C$7="",0,(SUMIF(CAS!$B$31:$B$167,$J844,CAS!$E$31:$E$167)*Impacts!$F$18))</f>
        <v>0</v>
      </c>
      <c r="W844" s="10">
        <f t="shared" si="55"/>
        <v>0</v>
      </c>
      <c r="AK844" s="10" t="str">
        <f t="array" ref="AK844">IFERROR(INDEX(SelectedSpecies,SMALL(IF(SelectedSpecies=AK$1,ROW(SelectedSpecies)),ROW(845:845)),2),"")</f>
        <v/>
      </c>
      <c r="BE844" s="10"/>
      <c r="BI844" s="10"/>
    </row>
    <row r="845" spans="1:61" ht="21" customHeight="1" x14ac:dyDescent="0.25">
      <c r="A845" s="10"/>
      <c r="B845" s="10"/>
      <c r="E845" s="10"/>
      <c r="G845" s="10"/>
      <c r="I845" s="436" t="s">
        <v>6370</v>
      </c>
      <c r="J845" s="26" t="s">
        <v>6369</v>
      </c>
      <c r="K845" s="10">
        <v>0.81</v>
      </c>
      <c r="L845" s="73">
        <f>IF(Tank1!$C$23="No control",(SUMIF(Tank1!$B$32:$B$49,$J845,Tank1!$C$32:$C$49)*Impacts!$F$8),0)</f>
        <v>0</v>
      </c>
      <c r="M845" s="10">
        <f>IF(Tank2!$C$23="No control",(SUMIF(Tank2!$B$32:$B$49,$J845,Tank2!$C$32:$C$49)*Impacts!$F$9),0)</f>
        <v>0</v>
      </c>
      <c r="N845" s="10">
        <f>IF(Tank3!$C$23="No control",(SUMIF(Tank3!$B$32:$B$49,$J845,Tank3!$C$32:$C$49)*Impacts!$F$10),0)</f>
        <v>0</v>
      </c>
      <c r="O845" s="10">
        <f>IF(Tank4!$C$23="No control",(SUMIF(Tank4!$B$32:$B$49,$J845,Tank4!$C$32:$C$49)*Impacts!$F$11),0)</f>
        <v>0</v>
      </c>
      <c r="P845" s="10">
        <f>IF(Tank5!$C$23="No control",(SUMIF(Tank5!$B$32:$B$49,$J845,Tank5!$C$32:$C$49)*Impacts!$F$12),0)</f>
        <v>0</v>
      </c>
      <c r="Q845" s="10">
        <f>IFERROR(IF(('Loading-drum,tote'!$C$21)="No control",SUMIF(('Loading-drum,tote'!$B$31:$B$48),$J845,('Loading-drum,tote'!$D$31:$D$48))*Impacts!$F$13,IF(('Loading-drum,tote'!$C$21)&lt;&gt;"No control",SUMIF(('Loading-drum,tote'!$B$31:$B$48),$J845,('Loading-drum,tote'!$E$31:$E$48))*Impacts!$F$13,0)),0)</f>
        <v>0</v>
      </c>
      <c r="R845" s="10">
        <f>IFERROR(IF(('Loading-truck'!$C$21)="No control",SUMIF(('Loading-truck'!$B$31:$B$48),$J845,('Loading-truck'!$D$31:$D$48))*Impacts!$F$14,IF(('Loading-truck'!$C$21)&lt;&gt;"No control",SUMIF(('Loading-truck'!$B$31:$B$48),$J845,('Loading-truck'!$E$31:$E$48))*Impacts!$F$14,0)),0)</f>
        <v>0</v>
      </c>
      <c r="S845" s="10">
        <f>IFERROR(IF(('Loading-rail'!$C$21)="No control",SUMIF(('Loading-rail'!$B$31:$B$48),$J845,('Loading-rail'!$D$31:$D$48))*Impacts!$F$15,IF(('Loading-rail'!$C$21)&lt;&gt;"No control",SUMIF(('Loading-rail'!$B$31:$B$48),$J845,('Loading-rail'!$E$31:$E$48))*Impacts!$F$15,0)),0)</f>
        <v>0</v>
      </c>
      <c r="T845" s="10">
        <f>IF(Flare!$C$7="",0,(SUMIF(Flare!$B$46:$B$185,$J845,Flare!$E$46:$E$185)*Impacts!$F$16))</f>
        <v>0</v>
      </c>
      <c r="U845" s="10">
        <f>IF(VCU!$C$9="",0,(SUMIF(VCU!$B$51:$B$193,$J845,VCU!$E$51:$E$193)*Impacts!$F$17))</f>
        <v>0</v>
      </c>
      <c r="V845" s="10">
        <f>IF(CAS!$C$7="",0,(SUMIF(CAS!$B$31:$B$167,$J845,CAS!$E$31:$E$167)*Impacts!$F$18))</f>
        <v>0</v>
      </c>
      <c r="W845" s="10">
        <f t="shared" si="55"/>
        <v>0</v>
      </c>
      <c r="AK845" s="10" t="str">
        <f t="array" ref="AK845">IFERROR(INDEX(SelectedSpecies,SMALL(IF(SelectedSpecies=AK$1,ROW(SelectedSpecies)),ROW(846:846)),2),"")</f>
        <v/>
      </c>
      <c r="BE845" s="10"/>
      <c r="BI845" s="10"/>
    </row>
    <row r="846" spans="1:61" ht="21" customHeight="1" x14ac:dyDescent="0.25">
      <c r="A846" s="10"/>
      <c r="B846" s="10"/>
      <c r="E846" s="10"/>
      <c r="G846" s="10"/>
      <c r="I846" s="436" t="s">
        <v>6370</v>
      </c>
      <c r="J846" s="26" t="s">
        <v>10345</v>
      </c>
      <c r="K846" s="10">
        <v>5.6999999999999995E-2</v>
      </c>
      <c r="L846" s="73">
        <f>IF(Tank1!$C$23="No control",(SUMIF(Tank1!$B$32:$B$49,$J846,Tank1!$C$32:$C$49)*Impacts!$F$8),0)</f>
        <v>0</v>
      </c>
      <c r="M846" s="10">
        <f>IF(Tank2!$C$23="No control",(SUMIF(Tank2!$B$32:$B$49,$J846,Tank2!$C$32:$C$49)*Impacts!$F$9),0)</f>
        <v>0</v>
      </c>
      <c r="N846" s="10">
        <f>IF(Tank3!$C$23="No control",(SUMIF(Tank3!$B$32:$B$49,$J846,Tank3!$C$32:$C$49)*Impacts!$F$10),0)</f>
        <v>0</v>
      </c>
      <c r="O846" s="10">
        <f>IF(Tank4!$C$23="No control",(SUMIF(Tank4!$B$32:$B$49,$J846,Tank4!$C$32:$C$49)*Impacts!$F$11),0)</f>
        <v>0</v>
      </c>
      <c r="P846" s="10">
        <f>IF(Tank5!$C$23="No control",(SUMIF(Tank5!$B$32:$B$49,$J846,Tank5!$C$32:$C$49)*Impacts!$F$12),0)</f>
        <v>0</v>
      </c>
      <c r="Q846" s="10">
        <f>IFERROR(IF(('Loading-drum,tote'!$C$21)="No control",SUMIF(('Loading-drum,tote'!$B$31:$B$48),$J846,('Loading-drum,tote'!$D$31:$D$48))*Impacts!$F$13,IF(('Loading-drum,tote'!$C$21)&lt;&gt;"No control",SUMIF(('Loading-drum,tote'!$B$31:$B$48),$J846,('Loading-drum,tote'!$E$31:$E$48))*Impacts!$F$13,0)),0)</f>
        <v>0</v>
      </c>
      <c r="R846" s="10">
        <f>IFERROR(IF(('Loading-truck'!$C$21)="No control",SUMIF(('Loading-truck'!$B$31:$B$48),$J846,('Loading-truck'!$D$31:$D$48))*Impacts!$F$14,IF(('Loading-truck'!$C$21)&lt;&gt;"No control",SUMIF(('Loading-truck'!$B$31:$B$48),$J846,('Loading-truck'!$E$31:$E$48))*Impacts!$F$14,0)),0)</f>
        <v>0</v>
      </c>
      <c r="S846" s="10">
        <f>IFERROR(IF(('Loading-rail'!$C$21)="No control",SUMIF(('Loading-rail'!$B$31:$B$48),$J846,('Loading-rail'!$D$31:$D$48))*Impacts!$F$15,IF(('Loading-rail'!$C$21)&lt;&gt;"No control",SUMIF(('Loading-rail'!$B$31:$B$48),$J846,('Loading-rail'!$E$31:$E$48))*Impacts!$F$15,0)),0)</f>
        <v>0</v>
      </c>
      <c r="T846" s="10">
        <f>IF(Flare!$C$7="",0,(SUMIF(Flare!$B$46:$B$185,$J846,Flare!$E$46:$E$185)*Impacts!$F$16))</f>
        <v>0</v>
      </c>
      <c r="U846" s="10">
        <f>IF(VCU!$C$9="",0,(SUMIF(VCU!$B$51:$B$193,$J846,VCU!$E$51:$E$193)*Impacts!$F$17))</f>
        <v>0</v>
      </c>
      <c r="V846" s="10">
        <f>IF(CAS!$C$7="",0,(SUMIF(CAS!$B$31:$B$167,$J846,CAS!$E$31:$E$167)*Impacts!$F$18))</f>
        <v>0</v>
      </c>
      <c r="W846" s="10">
        <f t="shared" si="55"/>
        <v>0</v>
      </c>
      <c r="AK846" s="10" t="str">
        <f t="array" ref="AK846">IFERROR(INDEX(SelectedSpecies,SMALL(IF(SelectedSpecies=AK$1,ROW(SelectedSpecies)),ROW(847:847)),2),"")</f>
        <v/>
      </c>
      <c r="BE846" s="10"/>
      <c r="BI846" s="10"/>
    </row>
    <row r="847" spans="1:61" ht="21" customHeight="1" x14ac:dyDescent="0.25">
      <c r="A847" s="10"/>
      <c r="B847" s="10"/>
      <c r="E847" s="10"/>
      <c r="G847" s="10"/>
      <c r="I847" s="436" t="s">
        <v>6370</v>
      </c>
      <c r="J847" s="26" t="s">
        <v>10346</v>
      </c>
      <c r="K847" s="10">
        <v>7.0999999999999994E-2</v>
      </c>
      <c r="L847" s="73">
        <f>IF(Tank1!$C$23="No control",(SUMIF(Tank1!$B$32:$B$49,$J847,Tank1!$C$32:$C$49)*Impacts!$F$8),0)</f>
        <v>0</v>
      </c>
      <c r="M847" s="10">
        <f>IF(Tank2!$C$23="No control",(SUMIF(Tank2!$B$32:$B$49,$J847,Tank2!$C$32:$C$49)*Impacts!$F$9),0)</f>
        <v>0</v>
      </c>
      <c r="N847" s="10">
        <f>IF(Tank3!$C$23="No control",(SUMIF(Tank3!$B$32:$B$49,$J847,Tank3!$C$32:$C$49)*Impacts!$F$10),0)</f>
        <v>0</v>
      </c>
      <c r="O847" s="10">
        <f>IF(Tank4!$C$23="No control",(SUMIF(Tank4!$B$32:$B$49,$J847,Tank4!$C$32:$C$49)*Impacts!$F$11),0)</f>
        <v>0</v>
      </c>
      <c r="P847" s="10">
        <f>IF(Tank5!$C$23="No control",(SUMIF(Tank5!$B$32:$B$49,$J847,Tank5!$C$32:$C$49)*Impacts!$F$12),0)</f>
        <v>0</v>
      </c>
      <c r="Q847" s="10">
        <f>IFERROR(IF(('Loading-drum,tote'!$C$21)="No control",SUMIF(('Loading-drum,tote'!$B$31:$B$48),$J847,('Loading-drum,tote'!$D$31:$D$48))*Impacts!$F$13,IF(('Loading-drum,tote'!$C$21)&lt;&gt;"No control",SUMIF(('Loading-drum,tote'!$B$31:$B$48),$J847,('Loading-drum,tote'!$E$31:$E$48))*Impacts!$F$13,0)),0)</f>
        <v>0</v>
      </c>
      <c r="R847" s="10">
        <f>IFERROR(IF(('Loading-truck'!$C$21)="No control",SUMIF(('Loading-truck'!$B$31:$B$48),$J847,('Loading-truck'!$D$31:$D$48))*Impacts!$F$14,IF(('Loading-truck'!$C$21)&lt;&gt;"No control",SUMIF(('Loading-truck'!$B$31:$B$48),$J847,('Loading-truck'!$E$31:$E$48))*Impacts!$F$14,0)),0)</f>
        <v>0</v>
      </c>
      <c r="S847" s="10">
        <f>IFERROR(IF(('Loading-rail'!$C$21)="No control",SUMIF(('Loading-rail'!$B$31:$B$48),$J847,('Loading-rail'!$D$31:$D$48))*Impacts!$F$15,IF(('Loading-rail'!$C$21)&lt;&gt;"No control",SUMIF(('Loading-rail'!$B$31:$B$48),$J847,('Loading-rail'!$E$31:$E$48))*Impacts!$F$15,0)),0)</f>
        <v>0</v>
      </c>
      <c r="T847" s="10">
        <f>IF(Flare!$C$7="",0,(SUMIF(Flare!$B$46:$B$185,$J847,Flare!$E$46:$E$185)*Impacts!$F$16))</f>
        <v>0</v>
      </c>
      <c r="U847" s="10">
        <f>IF(VCU!$C$9="",0,(SUMIF(VCU!$B$51:$B$193,$J847,VCU!$E$51:$E$193)*Impacts!$F$17))</f>
        <v>0</v>
      </c>
      <c r="V847" s="10">
        <f>IF(CAS!$C$7="",0,(SUMIF(CAS!$B$31:$B$167,$J847,CAS!$E$31:$E$167)*Impacts!$F$18))</f>
        <v>0</v>
      </c>
      <c r="W847" s="10">
        <f t="shared" si="55"/>
        <v>0</v>
      </c>
      <c r="AK847" s="10" t="str">
        <f t="array" ref="AK847">IFERROR(INDEX(SelectedSpecies,SMALL(IF(SelectedSpecies=AK$1,ROW(SelectedSpecies)),ROW(848:848)),2),"")</f>
        <v/>
      </c>
      <c r="BE847" s="10"/>
      <c r="BI847" s="10"/>
    </row>
    <row r="848" spans="1:61" ht="21" customHeight="1" x14ac:dyDescent="0.25">
      <c r="A848" s="10"/>
      <c r="B848" s="10"/>
      <c r="E848" s="10"/>
      <c r="G848" s="10"/>
      <c r="I848" s="436" t="s">
        <v>5223</v>
      </c>
      <c r="J848" s="26" t="s">
        <v>5222</v>
      </c>
      <c r="K848" s="10">
        <v>1.9000000000000001</v>
      </c>
      <c r="L848" s="73">
        <f>IF(Tank1!$C$23="No control",(SUMIF(Tank1!$B$32:$B$49,$J848,Tank1!$C$32:$C$49)*Impacts!$F$8),0)</f>
        <v>0</v>
      </c>
      <c r="M848" s="10">
        <f>IF(Tank2!$C$23="No control",(SUMIF(Tank2!$B$32:$B$49,$J848,Tank2!$C$32:$C$49)*Impacts!$F$9),0)</f>
        <v>0</v>
      </c>
      <c r="N848" s="10">
        <f>IF(Tank3!$C$23="No control",(SUMIF(Tank3!$B$32:$B$49,$J848,Tank3!$C$32:$C$49)*Impacts!$F$10),0)</f>
        <v>0</v>
      </c>
      <c r="O848" s="10">
        <f>IF(Tank4!$C$23="No control",(SUMIF(Tank4!$B$32:$B$49,$J848,Tank4!$C$32:$C$49)*Impacts!$F$11),0)</f>
        <v>0</v>
      </c>
      <c r="P848" s="10">
        <f>IF(Tank5!$C$23="No control",(SUMIF(Tank5!$B$32:$B$49,$J848,Tank5!$C$32:$C$49)*Impacts!$F$12),0)</f>
        <v>0</v>
      </c>
      <c r="Q848" s="10">
        <f>IFERROR(IF(('Loading-drum,tote'!$C$21)="No control",SUMIF(('Loading-drum,tote'!$B$31:$B$48),$J848,('Loading-drum,tote'!$D$31:$D$48))*Impacts!$F$13,IF(('Loading-drum,tote'!$C$21)&lt;&gt;"No control",SUMIF(('Loading-drum,tote'!$B$31:$B$48),$J848,('Loading-drum,tote'!$E$31:$E$48))*Impacts!$F$13,0)),0)</f>
        <v>0</v>
      </c>
      <c r="R848" s="10">
        <f>IFERROR(IF(('Loading-truck'!$C$21)="No control",SUMIF(('Loading-truck'!$B$31:$B$48),$J848,('Loading-truck'!$D$31:$D$48))*Impacts!$F$14,IF(('Loading-truck'!$C$21)&lt;&gt;"No control",SUMIF(('Loading-truck'!$B$31:$B$48),$J848,('Loading-truck'!$E$31:$E$48))*Impacts!$F$14,0)),0)</f>
        <v>0</v>
      </c>
      <c r="S848" s="10">
        <f>IFERROR(IF(('Loading-rail'!$C$21)="No control",SUMIF(('Loading-rail'!$B$31:$B$48),$J848,('Loading-rail'!$D$31:$D$48))*Impacts!$F$15,IF(('Loading-rail'!$C$21)&lt;&gt;"No control",SUMIF(('Loading-rail'!$B$31:$B$48),$J848,('Loading-rail'!$E$31:$E$48))*Impacts!$F$15,0)),0)</f>
        <v>0</v>
      </c>
      <c r="T848" s="10">
        <f>IF(Flare!$C$7="",0,(SUMIF(Flare!$B$46:$B$185,$J848,Flare!$E$46:$E$185)*Impacts!$F$16))</f>
        <v>0</v>
      </c>
      <c r="U848" s="10">
        <f>IF(VCU!$C$9="",0,(SUMIF(VCU!$B$51:$B$193,$J848,VCU!$E$51:$E$193)*Impacts!$F$17))</f>
        <v>0</v>
      </c>
      <c r="V848" s="10">
        <f>IF(CAS!$C$7="",0,(SUMIF(CAS!$B$31:$B$167,$J848,CAS!$E$31:$E$167)*Impacts!$F$18))</f>
        <v>0</v>
      </c>
      <c r="W848" s="10">
        <f t="shared" si="55"/>
        <v>0</v>
      </c>
      <c r="AK848" s="10" t="str">
        <f t="array" ref="AK848">IFERROR(INDEX(SelectedSpecies,SMALL(IF(SelectedSpecies=AK$1,ROW(SelectedSpecies)),ROW(849:849)),2),"")</f>
        <v/>
      </c>
      <c r="BE848" s="10"/>
      <c r="BI848" s="10"/>
    </row>
    <row r="849" spans="1:61" ht="21" customHeight="1" x14ac:dyDescent="0.25">
      <c r="A849" s="10"/>
      <c r="B849" s="10"/>
      <c r="E849" s="10"/>
      <c r="G849" s="10"/>
      <c r="I849" s="436" t="s">
        <v>8318</v>
      </c>
      <c r="J849" s="26" t="s">
        <v>8317</v>
      </c>
      <c r="K849" s="10">
        <v>5.0000000000000001E-4</v>
      </c>
      <c r="L849" s="73">
        <f>IF(Tank1!$C$23="No control",(SUMIF(Tank1!$B$32:$B$49,$J849,Tank1!$C$32:$C$49)*Impacts!$F$8),0)</f>
        <v>0</v>
      </c>
      <c r="M849" s="10">
        <f>IF(Tank2!$C$23="No control",(SUMIF(Tank2!$B$32:$B$49,$J849,Tank2!$C$32:$C$49)*Impacts!$F$9),0)</f>
        <v>0</v>
      </c>
      <c r="N849" s="10">
        <f>IF(Tank3!$C$23="No control",(SUMIF(Tank3!$B$32:$B$49,$J849,Tank3!$C$32:$C$49)*Impacts!$F$10),0)</f>
        <v>0</v>
      </c>
      <c r="O849" s="10">
        <f>IF(Tank4!$C$23="No control",(SUMIF(Tank4!$B$32:$B$49,$J849,Tank4!$C$32:$C$49)*Impacts!$F$11),0)</f>
        <v>0</v>
      </c>
      <c r="P849" s="10">
        <f>IF(Tank5!$C$23="No control",(SUMIF(Tank5!$B$32:$B$49,$J849,Tank5!$C$32:$C$49)*Impacts!$F$12),0)</f>
        <v>0</v>
      </c>
      <c r="Q849" s="10">
        <f>IFERROR(IF(('Loading-drum,tote'!$C$21)="No control",SUMIF(('Loading-drum,tote'!$B$31:$B$48),$J849,('Loading-drum,tote'!$D$31:$D$48))*Impacts!$F$13,IF(('Loading-drum,tote'!$C$21)&lt;&gt;"No control",SUMIF(('Loading-drum,tote'!$B$31:$B$48),$J849,('Loading-drum,tote'!$E$31:$E$48))*Impacts!$F$13,0)),0)</f>
        <v>0</v>
      </c>
      <c r="R849" s="10">
        <f>IFERROR(IF(('Loading-truck'!$C$21)="No control",SUMIF(('Loading-truck'!$B$31:$B$48),$J849,('Loading-truck'!$D$31:$D$48))*Impacts!$F$14,IF(('Loading-truck'!$C$21)&lt;&gt;"No control",SUMIF(('Loading-truck'!$B$31:$B$48),$J849,('Loading-truck'!$E$31:$E$48))*Impacts!$F$14,0)),0)</f>
        <v>0</v>
      </c>
      <c r="S849" s="10">
        <f>IFERROR(IF(('Loading-rail'!$C$21)="No control",SUMIF(('Loading-rail'!$B$31:$B$48),$J849,('Loading-rail'!$D$31:$D$48))*Impacts!$F$15,IF(('Loading-rail'!$C$21)&lt;&gt;"No control",SUMIF(('Loading-rail'!$B$31:$B$48),$J849,('Loading-rail'!$E$31:$E$48))*Impacts!$F$15,0)),0)</f>
        <v>0</v>
      </c>
      <c r="T849" s="10">
        <f>IF(Flare!$C$7="",0,(SUMIF(Flare!$B$46:$B$185,$J849,Flare!$E$46:$E$185)*Impacts!$F$16))</f>
        <v>0</v>
      </c>
      <c r="U849" s="10">
        <f>IF(VCU!$C$9="",0,(SUMIF(VCU!$B$51:$B$193,$J849,VCU!$E$51:$E$193)*Impacts!$F$17))</f>
        <v>0</v>
      </c>
      <c r="V849" s="10">
        <f>IF(CAS!$C$7="",0,(SUMIF(CAS!$B$31:$B$167,$J849,CAS!$E$31:$E$167)*Impacts!$F$18))</f>
        <v>0</v>
      </c>
      <c r="W849" s="10">
        <f t="shared" si="55"/>
        <v>0</v>
      </c>
      <c r="AK849" s="10" t="str">
        <f t="array" ref="AK849">IFERROR(INDEX(SelectedSpecies,SMALL(IF(SelectedSpecies=AK$1,ROW(SelectedSpecies)),ROW(850:850)),2),"")</f>
        <v/>
      </c>
      <c r="BE849" s="10"/>
      <c r="BI849" s="10"/>
    </row>
    <row r="850" spans="1:61" ht="21" customHeight="1" x14ac:dyDescent="0.25">
      <c r="A850" s="10"/>
      <c r="B850" s="10"/>
      <c r="E850" s="10"/>
      <c r="G850" s="10"/>
      <c r="I850" s="436" t="s">
        <v>5133</v>
      </c>
      <c r="J850" s="26" t="s">
        <v>5132</v>
      </c>
      <c r="K850" s="10">
        <v>2</v>
      </c>
      <c r="L850" s="73">
        <f>IF(Tank1!$C$23="No control",(SUMIF(Tank1!$B$32:$B$49,$J850,Tank1!$C$32:$C$49)*Impacts!$F$8),0)</f>
        <v>0</v>
      </c>
      <c r="M850" s="10">
        <f>IF(Tank2!$C$23="No control",(SUMIF(Tank2!$B$32:$B$49,$J850,Tank2!$C$32:$C$49)*Impacts!$F$9),0)</f>
        <v>0</v>
      </c>
      <c r="N850" s="10">
        <f>IF(Tank3!$C$23="No control",(SUMIF(Tank3!$B$32:$B$49,$J850,Tank3!$C$32:$C$49)*Impacts!$F$10),0)</f>
        <v>0</v>
      </c>
      <c r="O850" s="10">
        <f>IF(Tank4!$C$23="No control",(SUMIF(Tank4!$B$32:$B$49,$J850,Tank4!$C$32:$C$49)*Impacts!$F$11),0)</f>
        <v>0</v>
      </c>
      <c r="P850" s="10">
        <f>IF(Tank5!$C$23="No control",(SUMIF(Tank5!$B$32:$B$49,$J850,Tank5!$C$32:$C$49)*Impacts!$F$12),0)</f>
        <v>0</v>
      </c>
      <c r="Q850" s="10">
        <f>IFERROR(IF(('Loading-drum,tote'!$C$21)="No control",SUMIF(('Loading-drum,tote'!$B$31:$B$48),$J850,('Loading-drum,tote'!$D$31:$D$48))*Impacts!$F$13,IF(('Loading-drum,tote'!$C$21)&lt;&gt;"No control",SUMIF(('Loading-drum,tote'!$B$31:$B$48),$J850,('Loading-drum,tote'!$E$31:$E$48))*Impacts!$F$13,0)),0)</f>
        <v>0</v>
      </c>
      <c r="R850" s="10">
        <f>IFERROR(IF(('Loading-truck'!$C$21)="No control",SUMIF(('Loading-truck'!$B$31:$B$48),$J850,('Loading-truck'!$D$31:$D$48))*Impacts!$F$14,IF(('Loading-truck'!$C$21)&lt;&gt;"No control",SUMIF(('Loading-truck'!$B$31:$B$48),$J850,('Loading-truck'!$E$31:$E$48))*Impacts!$F$14,0)),0)</f>
        <v>0</v>
      </c>
      <c r="S850" s="10">
        <f>IFERROR(IF(('Loading-rail'!$C$21)="No control",SUMIF(('Loading-rail'!$B$31:$B$48),$J850,('Loading-rail'!$D$31:$D$48))*Impacts!$F$15,IF(('Loading-rail'!$C$21)&lt;&gt;"No control",SUMIF(('Loading-rail'!$B$31:$B$48),$J850,('Loading-rail'!$E$31:$E$48))*Impacts!$F$15,0)),0)</f>
        <v>0</v>
      </c>
      <c r="T850" s="10">
        <f>IF(Flare!$C$7="",0,(SUMIF(Flare!$B$46:$B$185,$J850,Flare!$E$46:$E$185)*Impacts!$F$16))</f>
        <v>0</v>
      </c>
      <c r="U850" s="10">
        <f>IF(VCU!$C$9="",0,(SUMIF(VCU!$B$51:$B$193,$J850,VCU!$E$51:$E$193)*Impacts!$F$17))</f>
        <v>0</v>
      </c>
      <c r="V850" s="10">
        <f>IF(CAS!$C$7="",0,(SUMIF(CAS!$B$31:$B$167,$J850,CAS!$E$31:$E$167)*Impacts!$F$18))</f>
        <v>0</v>
      </c>
      <c r="W850" s="10">
        <f t="shared" si="55"/>
        <v>0</v>
      </c>
      <c r="AK850" s="10" t="str">
        <f t="array" ref="AK850">IFERROR(INDEX(SelectedSpecies,SMALL(IF(SelectedSpecies=AK$1,ROW(SelectedSpecies)),ROW(851:851)),2),"")</f>
        <v/>
      </c>
      <c r="BE850" s="10"/>
      <c r="BI850" s="10"/>
    </row>
    <row r="851" spans="1:61" ht="21" customHeight="1" x14ac:dyDescent="0.25">
      <c r="A851" s="10"/>
      <c r="B851" s="10"/>
      <c r="E851" s="10"/>
      <c r="G851" s="10"/>
      <c r="I851" s="436" t="s">
        <v>7696</v>
      </c>
      <c r="J851" s="26" t="s">
        <v>7695</v>
      </c>
      <c r="K851" s="10">
        <v>0.1</v>
      </c>
      <c r="L851" s="73">
        <f>IF(Tank1!$C$23="No control",(SUMIF(Tank1!$B$32:$B$49,$J851,Tank1!$C$32:$C$49)*Impacts!$F$8),0)</f>
        <v>0</v>
      </c>
      <c r="M851" s="10">
        <f>IF(Tank2!$C$23="No control",(SUMIF(Tank2!$B$32:$B$49,$J851,Tank2!$C$32:$C$49)*Impacts!$F$9),0)</f>
        <v>0</v>
      </c>
      <c r="N851" s="10">
        <f>IF(Tank3!$C$23="No control",(SUMIF(Tank3!$B$32:$B$49,$J851,Tank3!$C$32:$C$49)*Impacts!$F$10),0)</f>
        <v>0</v>
      </c>
      <c r="O851" s="10">
        <f>IF(Tank4!$C$23="No control",(SUMIF(Tank4!$B$32:$B$49,$J851,Tank4!$C$32:$C$49)*Impacts!$F$11),0)</f>
        <v>0</v>
      </c>
      <c r="P851" s="10">
        <f>IF(Tank5!$C$23="No control",(SUMIF(Tank5!$B$32:$B$49,$J851,Tank5!$C$32:$C$49)*Impacts!$F$12),0)</f>
        <v>0</v>
      </c>
      <c r="Q851" s="10">
        <f>IFERROR(IF(('Loading-drum,tote'!$C$21)="No control",SUMIF(('Loading-drum,tote'!$B$31:$B$48),$J851,('Loading-drum,tote'!$D$31:$D$48))*Impacts!$F$13,IF(('Loading-drum,tote'!$C$21)&lt;&gt;"No control",SUMIF(('Loading-drum,tote'!$B$31:$B$48),$J851,('Loading-drum,tote'!$E$31:$E$48))*Impacts!$F$13,0)),0)</f>
        <v>0</v>
      </c>
      <c r="R851" s="10">
        <f>IFERROR(IF(('Loading-truck'!$C$21)="No control",SUMIF(('Loading-truck'!$B$31:$B$48),$J851,('Loading-truck'!$D$31:$D$48))*Impacts!$F$14,IF(('Loading-truck'!$C$21)&lt;&gt;"No control",SUMIF(('Loading-truck'!$B$31:$B$48),$J851,('Loading-truck'!$E$31:$E$48))*Impacts!$F$14,0)),0)</f>
        <v>0</v>
      </c>
      <c r="S851" s="10">
        <f>IFERROR(IF(('Loading-rail'!$C$21)="No control",SUMIF(('Loading-rail'!$B$31:$B$48),$J851,('Loading-rail'!$D$31:$D$48))*Impacts!$F$15,IF(('Loading-rail'!$C$21)&lt;&gt;"No control",SUMIF(('Loading-rail'!$B$31:$B$48),$J851,('Loading-rail'!$E$31:$E$48))*Impacts!$F$15,0)),0)</f>
        <v>0</v>
      </c>
      <c r="T851" s="10">
        <f>IF(Flare!$C$7="",0,(SUMIF(Flare!$B$46:$B$185,$J851,Flare!$E$46:$E$185)*Impacts!$F$16))</f>
        <v>0</v>
      </c>
      <c r="U851" s="10">
        <f>IF(VCU!$C$9="",0,(SUMIF(VCU!$B$51:$B$193,$J851,VCU!$E$51:$E$193)*Impacts!$F$17))</f>
        <v>0</v>
      </c>
      <c r="V851" s="10">
        <f>IF(CAS!$C$7="",0,(SUMIF(CAS!$B$31:$B$167,$J851,CAS!$E$31:$E$167)*Impacts!$F$18))</f>
        <v>0</v>
      </c>
      <c r="W851" s="10">
        <f t="shared" si="55"/>
        <v>0</v>
      </c>
      <c r="AK851" s="10" t="str">
        <f t="array" ref="AK851">IFERROR(INDEX(SelectedSpecies,SMALL(IF(SelectedSpecies=AK$1,ROW(SelectedSpecies)),ROW(852:852)),2),"")</f>
        <v/>
      </c>
      <c r="BE851" s="10"/>
      <c r="BI851" s="10"/>
    </row>
    <row r="852" spans="1:61" ht="21" customHeight="1" x14ac:dyDescent="0.25">
      <c r="A852" s="10"/>
      <c r="B852" s="10"/>
      <c r="E852" s="10"/>
      <c r="G852" s="10"/>
      <c r="I852" s="436" t="s">
        <v>4173</v>
      </c>
      <c r="J852" s="26" t="s">
        <v>4172</v>
      </c>
      <c r="K852" s="10">
        <v>5</v>
      </c>
      <c r="L852" s="73">
        <f>IF(Tank1!$C$23="No control",(SUMIF(Tank1!$B$32:$B$49,$J852,Tank1!$C$32:$C$49)*Impacts!$F$8),0)</f>
        <v>0</v>
      </c>
      <c r="M852" s="10">
        <f>IF(Tank2!$C$23="No control",(SUMIF(Tank2!$B$32:$B$49,$J852,Tank2!$C$32:$C$49)*Impacts!$F$9),0)</f>
        <v>0</v>
      </c>
      <c r="N852" s="10">
        <f>IF(Tank3!$C$23="No control",(SUMIF(Tank3!$B$32:$B$49,$J852,Tank3!$C$32:$C$49)*Impacts!$F$10),0)</f>
        <v>0</v>
      </c>
      <c r="O852" s="10">
        <f>IF(Tank4!$C$23="No control",(SUMIF(Tank4!$B$32:$B$49,$J852,Tank4!$C$32:$C$49)*Impacts!$F$11),0)</f>
        <v>0</v>
      </c>
      <c r="P852" s="10">
        <f>IF(Tank5!$C$23="No control",(SUMIF(Tank5!$B$32:$B$49,$J852,Tank5!$C$32:$C$49)*Impacts!$F$12),0)</f>
        <v>0</v>
      </c>
      <c r="Q852" s="10">
        <f>IFERROR(IF(('Loading-drum,tote'!$C$21)="No control",SUMIF(('Loading-drum,tote'!$B$31:$B$48),$J852,('Loading-drum,tote'!$D$31:$D$48))*Impacts!$F$13,IF(('Loading-drum,tote'!$C$21)&lt;&gt;"No control",SUMIF(('Loading-drum,tote'!$B$31:$B$48),$J852,('Loading-drum,tote'!$E$31:$E$48))*Impacts!$F$13,0)),0)</f>
        <v>0</v>
      </c>
      <c r="R852" s="10">
        <f>IFERROR(IF(('Loading-truck'!$C$21)="No control",SUMIF(('Loading-truck'!$B$31:$B$48),$J852,('Loading-truck'!$D$31:$D$48))*Impacts!$F$14,IF(('Loading-truck'!$C$21)&lt;&gt;"No control",SUMIF(('Loading-truck'!$B$31:$B$48),$J852,('Loading-truck'!$E$31:$E$48))*Impacts!$F$14,0)),0)</f>
        <v>0</v>
      </c>
      <c r="S852" s="10">
        <f>IFERROR(IF(('Loading-rail'!$C$21)="No control",SUMIF(('Loading-rail'!$B$31:$B$48),$J852,('Loading-rail'!$D$31:$D$48))*Impacts!$F$15,IF(('Loading-rail'!$C$21)&lt;&gt;"No control",SUMIF(('Loading-rail'!$B$31:$B$48),$J852,('Loading-rail'!$E$31:$E$48))*Impacts!$F$15,0)),0)</f>
        <v>0</v>
      </c>
      <c r="T852" s="10">
        <f>IF(Flare!$C$7="",0,(SUMIF(Flare!$B$46:$B$185,$J852,Flare!$E$46:$E$185)*Impacts!$F$16))</f>
        <v>0</v>
      </c>
      <c r="U852" s="10">
        <f>IF(VCU!$C$9="",0,(SUMIF(VCU!$B$51:$B$193,$J852,VCU!$E$51:$E$193)*Impacts!$F$17))</f>
        <v>0</v>
      </c>
      <c r="V852" s="10">
        <f>IF(CAS!$C$7="",0,(SUMIF(CAS!$B$31:$B$167,$J852,CAS!$E$31:$E$167)*Impacts!$F$18))</f>
        <v>0</v>
      </c>
      <c r="W852" s="10">
        <f t="shared" si="55"/>
        <v>0</v>
      </c>
      <c r="AK852" s="10" t="str">
        <f t="array" ref="AK852">IFERROR(INDEX(SelectedSpecies,SMALL(IF(SelectedSpecies=AK$1,ROW(SelectedSpecies)),ROW(853:853)),2),"")</f>
        <v/>
      </c>
      <c r="BE852" s="10"/>
      <c r="BI852" s="10"/>
    </row>
    <row r="853" spans="1:61" ht="21" customHeight="1" x14ac:dyDescent="0.25">
      <c r="A853" s="10"/>
      <c r="B853" s="10"/>
      <c r="E853" s="10"/>
      <c r="G853" s="10"/>
      <c r="I853" s="436" t="s">
        <v>7810</v>
      </c>
      <c r="J853" s="26" t="s">
        <v>7809</v>
      </c>
      <c r="K853" s="10">
        <v>8.0000000000000016E-2</v>
      </c>
      <c r="L853" s="73">
        <f>IF(Tank1!$C$23="No control",(SUMIF(Tank1!$B$32:$B$49,$J853,Tank1!$C$32:$C$49)*Impacts!$F$8),0)</f>
        <v>0</v>
      </c>
      <c r="M853" s="10">
        <f>IF(Tank2!$C$23="No control",(SUMIF(Tank2!$B$32:$B$49,$J853,Tank2!$C$32:$C$49)*Impacts!$F$9),0)</f>
        <v>0</v>
      </c>
      <c r="N853" s="10">
        <f>IF(Tank3!$C$23="No control",(SUMIF(Tank3!$B$32:$B$49,$J853,Tank3!$C$32:$C$49)*Impacts!$F$10),0)</f>
        <v>0</v>
      </c>
      <c r="O853" s="10">
        <f>IF(Tank4!$C$23="No control",(SUMIF(Tank4!$B$32:$B$49,$J853,Tank4!$C$32:$C$49)*Impacts!$F$11),0)</f>
        <v>0</v>
      </c>
      <c r="P853" s="10">
        <f>IF(Tank5!$C$23="No control",(SUMIF(Tank5!$B$32:$B$49,$J853,Tank5!$C$32:$C$49)*Impacts!$F$12),0)</f>
        <v>0</v>
      </c>
      <c r="Q853" s="10">
        <f>IFERROR(IF(('Loading-drum,tote'!$C$21)="No control",SUMIF(('Loading-drum,tote'!$B$31:$B$48),$J853,('Loading-drum,tote'!$D$31:$D$48))*Impacts!$F$13,IF(('Loading-drum,tote'!$C$21)&lt;&gt;"No control",SUMIF(('Loading-drum,tote'!$B$31:$B$48),$J853,('Loading-drum,tote'!$E$31:$E$48))*Impacts!$F$13,0)),0)</f>
        <v>0</v>
      </c>
      <c r="R853" s="10">
        <f>IFERROR(IF(('Loading-truck'!$C$21)="No control",SUMIF(('Loading-truck'!$B$31:$B$48),$J853,('Loading-truck'!$D$31:$D$48))*Impacts!$F$14,IF(('Loading-truck'!$C$21)&lt;&gt;"No control",SUMIF(('Loading-truck'!$B$31:$B$48),$J853,('Loading-truck'!$E$31:$E$48))*Impacts!$F$14,0)),0)</f>
        <v>0</v>
      </c>
      <c r="S853" s="10">
        <f>IFERROR(IF(('Loading-rail'!$C$21)="No control",SUMIF(('Loading-rail'!$B$31:$B$48),$J853,('Loading-rail'!$D$31:$D$48))*Impacts!$F$15,IF(('Loading-rail'!$C$21)&lt;&gt;"No control",SUMIF(('Loading-rail'!$B$31:$B$48),$J853,('Loading-rail'!$E$31:$E$48))*Impacts!$F$15,0)),0)</f>
        <v>0</v>
      </c>
      <c r="T853" s="10">
        <f>IF(Flare!$C$7="",0,(SUMIF(Flare!$B$46:$B$185,$J853,Flare!$E$46:$E$185)*Impacts!$F$16))</f>
        <v>0</v>
      </c>
      <c r="U853" s="10">
        <f>IF(VCU!$C$9="",0,(SUMIF(VCU!$B$51:$B$193,$J853,VCU!$E$51:$E$193)*Impacts!$F$17))</f>
        <v>0</v>
      </c>
      <c r="V853" s="10">
        <f>IF(CAS!$C$7="",0,(SUMIF(CAS!$B$31:$B$167,$J853,CAS!$E$31:$E$167)*Impacts!$F$18))</f>
        <v>0</v>
      </c>
      <c r="W853" s="10">
        <f t="shared" si="55"/>
        <v>0</v>
      </c>
      <c r="AK853" s="10" t="str">
        <f t="array" ref="AK853">IFERROR(INDEX(SelectedSpecies,SMALL(IF(SelectedSpecies=AK$1,ROW(SelectedSpecies)),ROW(854:854)),2),"")</f>
        <v/>
      </c>
      <c r="BE853" s="10"/>
      <c r="BI853" s="10"/>
    </row>
    <row r="854" spans="1:61" ht="21" customHeight="1" x14ac:dyDescent="0.25">
      <c r="A854" s="10"/>
      <c r="B854" s="10"/>
      <c r="E854" s="10"/>
      <c r="G854" s="10"/>
      <c r="I854" s="436" t="s">
        <v>7990</v>
      </c>
      <c r="J854" s="26" t="s">
        <v>7989</v>
      </c>
      <c r="K854" s="10">
        <v>0.03</v>
      </c>
      <c r="L854" s="73">
        <f>IF(Tank1!$C$23="No control",(SUMIF(Tank1!$B$32:$B$49,$J854,Tank1!$C$32:$C$49)*Impacts!$F$8),0)</f>
        <v>0</v>
      </c>
      <c r="M854" s="10">
        <f>IF(Tank2!$C$23="No control",(SUMIF(Tank2!$B$32:$B$49,$J854,Tank2!$C$32:$C$49)*Impacts!$F$9),0)</f>
        <v>0</v>
      </c>
      <c r="N854" s="10">
        <f>IF(Tank3!$C$23="No control",(SUMIF(Tank3!$B$32:$B$49,$J854,Tank3!$C$32:$C$49)*Impacts!$F$10),0)</f>
        <v>0</v>
      </c>
      <c r="O854" s="10">
        <f>IF(Tank4!$C$23="No control",(SUMIF(Tank4!$B$32:$B$49,$J854,Tank4!$C$32:$C$49)*Impacts!$F$11),0)</f>
        <v>0</v>
      </c>
      <c r="P854" s="10">
        <f>IF(Tank5!$C$23="No control",(SUMIF(Tank5!$B$32:$B$49,$J854,Tank5!$C$32:$C$49)*Impacts!$F$12),0)</f>
        <v>0</v>
      </c>
      <c r="Q854" s="10">
        <f>IFERROR(IF(('Loading-drum,tote'!$C$21)="No control",SUMIF(('Loading-drum,tote'!$B$31:$B$48),$J854,('Loading-drum,tote'!$D$31:$D$48))*Impacts!$F$13,IF(('Loading-drum,tote'!$C$21)&lt;&gt;"No control",SUMIF(('Loading-drum,tote'!$B$31:$B$48),$J854,('Loading-drum,tote'!$E$31:$E$48))*Impacts!$F$13,0)),0)</f>
        <v>0</v>
      </c>
      <c r="R854" s="10">
        <f>IFERROR(IF(('Loading-truck'!$C$21)="No control",SUMIF(('Loading-truck'!$B$31:$B$48),$J854,('Loading-truck'!$D$31:$D$48))*Impacts!$F$14,IF(('Loading-truck'!$C$21)&lt;&gt;"No control",SUMIF(('Loading-truck'!$B$31:$B$48),$J854,('Loading-truck'!$E$31:$E$48))*Impacts!$F$14,0)),0)</f>
        <v>0</v>
      </c>
      <c r="S854" s="10">
        <f>IFERROR(IF(('Loading-rail'!$C$21)="No control",SUMIF(('Loading-rail'!$B$31:$B$48),$J854,('Loading-rail'!$D$31:$D$48))*Impacts!$F$15,IF(('Loading-rail'!$C$21)&lt;&gt;"No control",SUMIF(('Loading-rail'!$B$31:$B$48),$J854,('Loading-rail'!$E$31:$E$48))*Impacts!$F$15,0)),0)</f>
        <v>0</v>
      </c>
      <c r="T854" s="10">
        <f>IF(Flare!$C$7="",0,(SUMIF(Flare!$B$46:$B$185,$J854,Flare!$E$46:$E$185)*Impacts!$F$16))</f>
        <v>0</v>
      </c>
      <c r="U854" s="10">
        <f>IF(VCU!$C$9="",0,(SUMIF(VCU!$B$51:$B$193,$J854,VCU!$E$51:$E$193)*Impacts!$F$17))</f>
        <v>0</v>
      </c>
      <c r="V854" s="10">
        <f>IF(CAS!$C$7="",0,(SUMIF(CAS!$B$31:$B$167,$J854,CAS!$E$31:$E$167)*Impacts!$F$18))</f>
        <v>0</v>
      </c>
      <c r="W854" s="10">
        <f t="shared" si="55"/>
        <v>0</v>
      </c>
      <c r="AK854" s="10" t="str">
        <f t="array" ref="AK854">IFERROR(INDEX(SelectedSpecies,SMALL(IF(SelectedSpecies=AK$1,ROW(SelectedSpecies)),ROW(855:855)),2),"")</f>
        <v/>
      </c>
      <c r="BE854" s="10"/>
      <c r="BI854" s="10"/>
    </row>
    <row r="855" spans="1:61" ht="21" customHeight="1" x14ac:dyDescent="0.25">
      <c r="A855" s="10"/>
      <c r="B855" s="10"/>
      <c r="E855" s="10"/>
      <c r="G855" s="10"/>
      <c r="I855" s="436" t="s">
        <v>2329</v>
      </c>
      <c r="J855" s="26" t="s">
        <v>2328</v>
      </c>
      <c r="K855" s="10">
        <v>11.200000000000001</v>
      </c>
      <c r="L855" s="73">
        <f>IF(Tank1!$C$23="No control",(SUMIF(Tank1!$B$32:$B$49,$J855,Tank1!$C$32:$C$49)*Impacts!$F$8),0)</f>
        <v>0</v>
      </c>
      <c r="M855" s="10">
        <f>IF(Tank2!$C$23="No control",(SUMIF(Tank2!$B$32:$B$49,$J855,Tank2!$C$32:$C$49)*Impacts!$F$9),0)</f>
        <v>0</v>
      </c>
      <c r="N855" s="10">
        <f>IF(Tank3!$C$23="No control",(SUMIF(Tank3!$B$32:$B$49,$J855,Tank3!$C$32:$C$49)*Impacts!$F$10),0)</f>
        <v>0</v>
      </c>
      <c r="O855" s="10">
        <f>IF(Tank4!$C$23="No control",(SUMIF(Tank4!$B$32:$B$49,$J855,Tank4!$C$32:$C$49)*Impacts!$F$11),0)</f>
        <v>0</v>
      </c>
      <c r="P855" s="10">
        <f>IF(Tank5!$C$23="No control",(SUMIF(Tank5!$B$32:$B$49,$J855,Tank5!$C$32:$C$49)*Impacts!$F$12),0)</f>
        <v>0</v>
      </c>
      <c r="Q855" s="10">
        <f>IFERROR(IF(('Loading-drum,tote'!$C$21)="No control",SUMIF(('Loading-drum,tote'!$B$31:$B$48),$J855,('Loading-drum,tote'!$D$31:$D$48))*Impacts!$F$13,IF(('Loading-drum,tote'!$C$21)&lt;&gt;"No control",SUMIF(('Loading-drum,tote'!$B$31:$B$48),$J855,('Loading-drum,tote'!$E$31:$E$48))*Impacts!$F$13,0)),0)</f>
        <v>0</v>
      </c>
      <c r="R855" s="10">
        <f>IFERROR(IF(('Loading-truck'!$C$21)="No control",SUMIF(('Loading-truck'!$B$31:$B$48),$J855,('Loading-truck'!$D$31:$D$48))*Impacts!$F$14,IF(('Loading-truck'!$C$21)&lt;&gt;"No control",SUMIF(('Loading-truck'!$B$31:$B$48),$J855,('Loading-truck'!$E$31:$E$48))*Impacts!$F$14,0)),0)</f>
        <v>0</v>
      </c>
      <c r="S855" s="10">
        <f>IFERROR(IF(('Loading-rail'!$C$21)="No control",SUMIF(('Loading-rail'!$B$31:$B$48),$J855,('Loading-rail'!$D$31:$D$48))*Impacts!$F$15,IF(('Loading-rail'!$C$21)&lt;&gt;"No control",SUMIF(('Loading-rail'!$B$31:$B$48),$J855,('Loading-rail'!$E$31:$E$48))*Impacts!$F$15,0)),0)</f>
        <v>0</v>
      </c>
      <c r="T855" s="10">
        <f>IF(Flare!$C$7="",0,(SUMIF(Flare!$B$46:$B$185,$J855,Flare!$E$46:$E$185)*Impacts!$F$16))</f>
        <v>0</v>
      </c>
      <c r="U855" s="10">
        <f>IF(VCU!$C$9="",0,(SUMIF(VCU!$B$51:$B$193,$J855,VCU!$E$51:$E$193)*Impacts!$F$17))</f>
        <v>0</v>
      </c>
      <c r="V855" s="10">
        <f>IF(CAS!$C$7="",0,(SUMIF(CAS!$B$31:$B$167,$J855,CAS!$E$31:$E$167)*Impacts!$F$18))</f>
        <v>0</v>
      </c>
      <c r="W855" s="10">
        <f t="shared" si="55"/>
        <v>0</v>
      </c>
      <c r="AK855" s="10" t="str">
        <f t="array" ref="AK855">IFERROR(INDEX(SelectedSpecies,SMALL(IF(SelectedSpecies=AK$1,ROW(SelectedSpecies)),ROW(856:856)),2),"")</f>
        <v/>
      </c>
      <c r="BE855" s="10"/>
      <c r="BI855" s="10"/>
    </row>
    <row r="856" spans="1:61" ht="21" customHeight="1" x14ac:dyDescent="0.25">
      <c r="A856" s="10"/>
      <c r="B856" s="10"/>
      <c r="E856" s="10"/>
      <c r="G856" s="10"/>
      <c r="I856" s="436" t="s">
        <v>2723</v>
      </c>
      <c r="J856" s="26" t="s">
        <v>2722</v>
      </c>
      <c r="K856" s="10">
        <v>10</v>
      </c>
      <c r="L856" s="73">
        <f>IF(Tank1!$C$23="No control",(SUMIF(Tank1!$B$32:$B$49,$J856,Tank1!$C$32:$C$49)*Impacts!$F$8),0)</f>
        <v>0</v>
      </c>
      <c r="M856" s="10">
        <f>IF(Tank2!$C$23="No control",(SUMIF(Tank2!$B$32:$B$49,$J856,Tank2!$C$32:$C$49)*Impacts!$F$9),0)</f>
        <v>0</v>
      </c>
      <c r="N856" s="10">
        <f>IF(Tank3!$C$23="No control",(SUMIF(Tank3!$B$32:$B$49,$J856,Tank3!$C$32:$C$49)*Impacts!$F$10),0)</f>
        <v>0</v>
      </c>
      <c r="O856" s="10">
        <f>IF(Tank4!$C$23="No control",(SUMIF(Tank4!$B$32:$B$49,$J856,Tank4!$C$32:$C$49)*Impacts!$F$11),0)</f>
        <v>0</v>
      </c>
      <c r="P856" s="10">
        <f>IF(Tank5!$C$23="No control",(SUMIF(Tank5!$B$32:$B$49,$J856,Tank5!$C$32:$C$49)*Impacts!$F$12),0)</f>
        <v>0</v>
      </c>
      <c r="Q856" s="10">
        <f>IFERROR(IF(('Loading-drum,tote'!$C$21)="No control",SUMIF(('Loading-drum,tote'!$B$31:$B$48),$J856,('Loading-drum,tote'!$D$31:$D$48))*Impacts!$F$13,IF(('Loading-drum,tote'!$C$21)&lt;&gt;"No control",SUMIF(('Loading-drum,tote'!$B$31:$B$48),$J856,('Loading-drum,tote'!$E$31:$E$48))*Impacts!$F$13,0)),0)</f>
        <v>0</v>
      </c>
      <c r="R856" s="10">
        <f>IFERROR(IF(('Loading-truck'!$C$21)="No control",SUMIF(('Loading-truck'!$B$31:$B$48),$J856,('Loading-truck'!$D$31:$D$48))*Impacts!$F$14,IF(('Loading-truck'!$C$21)&lt;&gt;"No control",SUMIF(('Loading-truck'!$B$31:$B$48),$J856,('Loading-truck'!$E$31:$E$48))*Impacts!$F$14,0)),0)</f>
        <v>0</v>
      </c>
      <c r="S856" s="10">
        <f>IFERROR(IF(('Loading-rail'!$C$21)="No control",SUMIF(('Loading-rail'!$B$31:$B$48),$J856,('Loading-rail'!$D$31:$D$48))*Impacts!$F$15,IF(('Loading-rail'!$C$21)&lt;&gt;"No control",SUMIF(('Loading-rail'!$B$31:$B$48),$J856,('Loading-rail'!$E$31:$E$48))*Impacts!$F$15,0)),0)</f>
        <v>0</v>
      </c>
      <c r="T856" s="10">
        <f>IF(Flare!$C$7="",0,(SUMIF(Flare!$B$46:$B$185,$J856,Flare!$E$46:$E$185)*Impacts!$F$16))</f>
        <v>0</v>
      </c>
      <c r="U856" s="10">
        <f>IF(VCU!$C$9="",0,(SUMIF(VCU!$B$51:$B$193,$J856,VCU!$E$51:$E$193)*Impacts!$F$17))</f>
        <v>0</v>
      </c>
      <c r="V856" s="10">
        <f>IF(CAS!$C$7="",0,(SUMIF(CAS!$B$31:$B$167,$J856,CAS!$E$31:$E$167)*Impacts!$F$18))</f>
        <v>0</v>
      </c>
      <c r="W856" s="10">
        <f t="shared" si="55"/>
        <v>0</v>
      </c>
      <c r="AK856" s="10" t="str">
        <f t="array" ref="AK856">IFERROR(INDEX(SelectedSpecies,SMALL(IF(SelectedSpecies=AK$1,ROW(SelectedSpecies)),ROW(857:857)),2),"")</f>
        <v/>
      </c>
      <c r="BE856" s="10"/>
      <c r="BI856" s="10"/>
    </row>
    <row r="857" spans="1:61" ht="21" customHeight="1" x14ac:dyDescent="0.25">
      <c r="A857" s="10"/>
      <c r="B857" s="10"/>
      <c r="E857" s="10"/>
      <c r="G857" s="10"/>
      <c r="I857" s="436" t="s">
        <v>1268</v>
      </c>
      <c r="J857" s="26" t="s">
        <v>1267</v>
      </c>
      <c r="K857" s="10">
        <v>33</v>
      </c>
      <c r="L857" s="73">
        <f>IF(Tank1!$C$23="No control",(SUMIF(Tank1!$B$32:$B$49,$J857,Tank1!$C$32:$C$49)*Impacts!$F$8),0)</f>
        <v>0</v>
      </c>
      <c r="M857" s="10">
        <f>IF(Tank2!$C$23="No control",(SUMIF(Tank2!$B$32:$B$49,$J857,Tank2!$C$32:$C$49)*Impacts!$F$9),0)</f>
        <v>0</v>
      </c>
      <c r="N857" s="10">
        <f>IF(Tank3!$C$23="No control",(SUMIF(Tank3!$B$32:$B$49,$J857,Tank3!$C$32:$C$49)*Impacts!$F$10),0)</f>
        <v>0</v>
      </c>
      <c r="O857" s="10">
        <f>IF(Tank4!$C$23="No control",(SUMIF(Tank4!$B$32:$B$49,$J857,Tank4!$C$32:$C$49)*Impacts!$F$11),0)</f>
        <v>0</v>
      </c>
      <c r="P857" s="10">
        <f>IF(Tank5!$C$23="No control",(SUMIF(Tank5!$B$32:$B$49,$J857,Tank5!$C$32:$C$49)*Impacts!$F$12),0)</f>
        <v>0</v>
      </c>
      <c r="Q857" s="10">
        <f>IFERROR(IF(('Loading-drum,tote'!$C$21)="No control",SUMIF(('Loading-drum,tote'!$B$31:$B$48),$J857,('Loading-drum,tote'!$D$31:$D$48))*Impacts!$F$13,IF(('Loading-drum,tote'!$C$21)&lt;&gt;"No control",SUMIF(('Loading-drum,tote'!$B$31:$B$48),$J857,('Loading-drum,tote'!$E$31:$E$48))*Impacts!$F$13,0)),0)</f>
        <v>0</v>
      </c>
      <c r="R857" s="10">
        <f>IFERROR(IF(('Loading-truck'!$C$21)="No control",SUMIF(('Loading-truck'!$B$31:$B$48),$J857,('Loading-truck'!$D$31:$D$48))*Impacts!$F$14,IF(('Loading-truck'!$C$21)&lt;&gt;"No control",SUMIF(('Loading-truck'!$B$31:$B$48),$J857,('Loading-truck'!$E$31:$E$48))*Impacts!$F$14,0)),0)</f>
        <v>0</v>
      </c>
      <c r="S857" s="10">
        <f>IFERROR(IF(('Loading-rail'!$C$21)="No control",SUMIF(('Loading-rail'!$B$31:$B$48),$J857,('Loading-rail'!$D$31:$D$48))*Impacts!$F$15,IF(('Loading-rail'!$C$21)&lt;&gt;"No control",SUMIF(('Loading-rail'!$B$31:$B$48),$J857,('Loading-rail'!$E$31:$E$48))*Impacts!$F$15,0)),0)</f>
        <v>0</v>
      </c>
      <c r="T857" s="10">
        <f>IF(Flare!$C$7="",0,(SUMIF(Flare!$B$46:$B$185,$J857,Flare!$E$46:$E$185)*Impacts!$F$16))</f>
        <v>0</v>
      </c>
      <c r="U857" s="10">
        <f>IF(VCU!$C$9="",0,(SUMIF(VCU!$B$51:$B$193,$J857,VCU!$E$51:$E$193)*Impacts!$F$17))</f>
        <v>0</v>
      </c>
      <c r="V857" s="10">
        <f>IF(CAS!$C$7="",0,(SUMIF(CAS!$B$31:$B$167,$J857,CAS!$E$31:$E$167)*Impacts!$F$18))</f>
        <v>0</v>
      </c>
      <c r="W857" s="10">
        <f t="shared" si="55"/>
        <v>0</v>
      </c>
      <c r="AK857" s="10" t="str">
        <f t="array" ref="AK857">IFERROR(INDEX(SelectedSpecies,SMALL(IF(SelectedSpecies=AK$1,ROW(SelectedSpecies)),ROW(858:858)),2),"")</f>
        <v/>
      </c>
      <c r="BE857" s="10"/>
      <c r="BI857" s="10"/>
    </row>
    <row r="858" spans="1:61" ht="21" customHeight="1" x14ac:dyDescent="0.25">
      <c r="A858" s="10"/>
      <c r="B858" s="10"/>
      <c r="E858" s="10"/>
      <c r="G858" s="10"/>
      <c r="I858" s="436" t="s">
        <v>1270</v>
      </c>
      <c r="J858" s="26" t="s">
        <v>1269</v>
      </c>
      <c r="K858" s="10">
        <v>33</v>
      </c>
      <c r="L858" s="73">
        <f>IF(Tank1!$C$23="No control",(SUMIF(Tank1!$B$32:$B$49,$J858,Tank1!$C$32:$C$49)*Impacts!$F$8),0)</f>
        <v>0</v>
      </c>
      <c r="M858" s="10">
        <f>IF(Tank2!$C$23="No control",(SUMIF(Tank2!$B$32:$B$49,$J858,Tank2!$C$32:$C$49)*Impacts!$F$9),0)</f>
        <v>0</v>
      </c>
      <c r="N858" s="10">
        <f>IF(Tank3!$C$23="No control",(SUMIF(Tank3!$B$32:$B$49,$J858,Tank3!$C$32:$C$49)*Impacts!$F$10),0)</f>
        <v>0</v>
      </c>
      <c r="O858" s="10">
        <f>IF(Tank4!$C$23="No control",(SUMIF(Tank4!$B$32:$B$49,$J858,Tank4!$C$32:$C$49)*Impacts!$F$11),0)</f>
        <v>0</v>
      </c>
      <c r="P858" s="10">
        <f>IF(Tank5!$C$23="No control",(SUMIF(Tank5!$B$32:$B$49,$J858,Tank5!$C$32:$C$49)*Impacts!$F$12),0)</f>
        <v>0</v>
      </c>
      <c r="Q858" s="10">
        <f>IFERROR(IF(('Loading-drum,tote'!$C$21)="No control",SUMIF(('Loading-drum,tote'!$B$31:$B$48),$J858,('Loading-drum,tote'!$D$31:$D$48))*Impacts!$F$13,IF(('Loading-drum,tote'!$C$21)&lt;&gt;"No control",SUMIF(('Loading-drum,tote'!$B$31:$B$48),$J858,('Loading-drum,tote'!$E$31:$E$48))*Impacts!$F$13,0)),0)</f>
        <v>0</v>
      </c>
      <c r="R858" s="10">
        <f>IFERROR(IF(('Loading-truck'!$C$21)="No control",SUMIF(('Loading-truck'!$B$31:$B$48),$J858,('Loading-truck'!$D$31:$D$48))*Impacts!$F$14,IF(('Loading-truck'!$C$21)&lt;&gt;"No control",SUMIF(('Loading-truck'!$B$31:$B$48),$J858,('Loading-truck'!$E$31:$E$48))*Impacts!$F$14,0)),0)</f>
        <v>0</v>
      </c>
      <c r="S858" s="10">
        <f>IFERROR(IF(('Loading-rail'!$C$21)="No control",SUMIF(('Loading-rail'!$B$31:$B$48),$J858,('Loading-rail'!$D$31:$D$48))*Impacts!$F$15,IF(('Loading-rail'!$C$21)&lt;&gt;"No control",SUMIF(('Loading-rail'!$B$31:$B$48),$J858,('Loading-rail'!$E$31:$E$48))*Impacts!$F$15,0)),0)</f>
        <v>0</v>
      </c>
      <c r="T858" s="10">
        <f>IF(Flare!$C$7="",0,(SUMIF(Flare!$B$46:$B$185,$J858,Flare!$E$46:$E$185)*Impacts!$F$16))</f>
        <v>0</v>
      </c>
      <c r="U858" s="10">
        <f>IF(VCU!$C$9="",0,(SUMIF(VCU!$B$51:$B$193,$J858,VCU!$E$51:$E$193)*Impacts!$F$17))</f>
        <v>0</v>
      </c>
      <c r="V858" s="10">
        <f>IF(CAS!$C$7="",0,(SUMIF(CAS!$B$31:$B$167,$J858,CAS!$E$31:$E$167)*Impacts!$F$18))</f>
        <v>0</v>
      </c>
      <c r="W858" s="10">
        <f t="shared" si="55"/>
        <v>0</v>
      </c>
      <c r="AK858" s="10" t="str">
        <f t="array" ref="AK858">IFERROR(INDEX(SelectedSpecies,SMALL(IF(SelectedSpecies=AK$1,ROW(SelectedSpecies)),ROW(859:859)),2),"")</f>
        <v/>
      </c>
      <c r="BE858" s="10"/>
      <c r="BI858" s="10"/>
    </row>
    <row r="859" spans="1:61" ht="21" customHeight="1" x14ac:dyDescent="0.25">
      <c r="A859" s="10"/>
      <c r="B859" s="10"/>
      <c r="E859" s="10"/>
      <c r="G859" s="10"/>
      <c r="I859" s="436" t="s">
        <v>1272</v>
      </c>
      <c r="J859" s="26" t="s">
        <v>1271</v>
      </c>
      <c r="K859" s="10">
        <v>33</v>
      </c>
      <c r="L859" s="73">
        <f>IF(Tank1!$C$23="No control",(SUMIF(Tank1!$B$32:$B$49,$J859,Tank1!$C$32:$C$49)*Impacts!$F$8),0)</f>
        <v>0</v>
      </c>
      <c r="M859" s="10">
        <f>IF(Tank2!$C$23="No control",(SUMIF(Tank2!$B$32:$B$49,$J859,Tank2!$C$32:$C$49)*Impacts!$F$9),0)</f>
        <v>0</v>
      </c>
      <c r="N859" s="10">
        <f>IF(Tank3!$C$23="No control",(SUMIF(Tank3!$B$32:$B$49,$J859,Tank3!$C$32:$C$49)*Impacts!$F$10),0)</f>
        <v>0</v>
      </c>
      <c r="O859" s="10">
        <f>IF(Tank4!$C$23="No control",(SUMIF(Tank4!$B$32:$B$49,$J859,Tank4!$C$32:$C$49)*Impacts!$F$11),0)</f>
        <v>0</v>
      </c>
      <c r="P859" s="10">
        <f>IF(Tank5!$C$23="No control",(SUMIF(Tank5!$B$32:$B$49,$J859,Tank5!$C$32:$C$49)*Impacts!$F$12),0)</f>
        <v>0</v>
      </c>
      <c r="Q859" s="10">
        <f>IFERROR(IF(('Loading-drum,tote'!$C$21)="No control",SUMIF(('Loading-drum,tote'!$B$31:$B$48),$J859,('Loading-drum,tote'!$D$31:$D$48))*Impacts!$F$13,IF(('Loading-drum,tote'!$C$21)&lt;&gt;"No control",SUMIF(('Loading-drum,tote'!$B$31:$B$48),$J859,('Loading-drum,tote'!$E$31:$E$48))*Impacts!$F$13,0)),0)</f>
        <v>0</v>
      </c>
      <c r="R859" s="10">
        <f>IFERROR(IF(('Loading-truck'!$C$21)="No control",SUMIF(('Loading-truck'!$B$31:$B$48),$J859,('Loading-truck'!$D$31:$D$48))*Impacts!$F$14,IF(('Loading-truck'!$C$21)&lt;&gt;"No control",SUMIF(('Loading-truck'!$B$31:$B$48),$J859,('Loading-truck'!$E$31:$E$48))*Impacts!$F$14,0)),0)</f>
        <v>0</v>
      </c>
      <c r="S859" s="10">
        <f>IFERROR(IF(('Loading-rail'!$C$21)="No control",SUMIF(('Loading-rail'!$B$31:$B$48),$J859,('Loading-rail'!$D$31:$D$48))*Impacts!$F$15,IF(('Loading-rail'!$C$21)&lt;&gt;"No control",SUMIF(('Loading-rail'!$B$31:$B$48),$J859,('Loading-rail'!$E$31:$E$48))*Impacts!$F$15,0)),0)</f>
        <v>0</v>
      </c>
      <c r="T859" s="10">
        <f>IF(Flare!$C$7="",0,(SUMIF(Flare!$B$46:$B$185,$J859,Flare!$E$46:$E$185)*Impacts!$F$16))</f>
        <v>0</v>
      </c>
      <c r="U859" s="10">
        <f>IF(VCU!$C$9="",0,(SUMIF(VCU!$B$51:$B$193,$J859,VCU!$E$51:$E$193)*Impacts!$F$17))</f>
        <v>0</v>
      </c>
      <c r="V859" s="10">
        <f>IF(CAS!$C$7="",0,(SUMIF(CAS!$B$31:$B$167,$J859,CAS!$E$31:$E$167)*Impacts!$F$18))</f>
        <v>0</v>
      </c>
      <c r="W859" s="10">
        <f t="shared" si="55"/>
        <v>0</v>
      </c>
      <c r="AK859" s="10" t="str">
        <f t="array" ref="AK859">IFERROR(INDEX(SelectedSpecies,SMALL(IF(SelectedSpecies=AK$1,ROW(SelectedSpecies)),ROW(860:860)),2),"")</f>
        <v/>
      </c>
      <c r="BE859" s="10"/>
      <c r="BI859" s="10"/>
    </row>
    <row r="860" spans="1:61" ht="21" customHeight="1" x14ac:dyDescent="0.25">
      <c r="A860" s="10"/>
      <c r="B860" s="10"/>
      <c r="E860" s="10"/>
      <c r="G860" s="10"/>
      <c r="I860" s="436" t="s">
        <v>982</v>
      </c>
      <c r="J860" s="26" t="s">
        <v>981</v>
      </c>
      <c r="K860" s="10">
        <v>35</v>
      </c>
      <c r="L860" s="73">
        <f>IF(Tank1!$C$23="No control",(SUMIF(Tank1!$B$32:$B$49,$J860,Tank1!$C$32:$C$49)*Impacts!$F$8),0)</f>
        <v>0</v>
      </c>
      <c r="M860" s="10">
        <f>IF(Tank2!$C$23="No control",(SUMIF(Tank2!$B$32:$B$49,$J860,Tank2!$C$32:$C$49)*Impacts!$F$9),0)</f>
        <v>0</v>
      </c>
      <c r="N860" s="10">
        <f>IF(Tank3!$C$23="No control",(SUMIF(Tank3!$B$32:$B$49,$J860,Tank3!$C$32:$C$49)*Impacts!$F$10),0)</f>
        <v>0</v>
      </c>
      <c r="O860" s="10">
        <f>IF(Tank4!$C$23="No control",(SUMIF(Tank4!$B$32:$B$49,$J860,Tank4!$C$32:$C$49)*Impacts!$F$11),0)</f>
        <v>0</v>
      </c>
      <c r="P860" s="10">
        <f>IF(Tank5!$C$23="No control",(SUMIF(Tank5!$B$32:$B$49,$J860,Tank5!$C$32:$C$49)*Impacts!$F$12),0)</f>
        <v>0</v>
      </c>
      <c r="Q860" s="10">
        <f>IFERROR(IF(('Loading-drum,tote'!$C$21)="No control",SUMIF(('Loading-drum,tote'!$B$31:$B$48),$J860,('Loading-drum,tote'!$D$31:$D$48))*Impacts!$F$13,IF(('Loading-drum,tote'!$C$21)&lt;&gt;"No control",SUMIF(('Loading-drum,tote'!$B$31:$B$48),$J860,('Loading-drum,tote'!$E$31:$E$48))*Impacts!$F$13,0)),0)</f>
        <v>0</v>
      </c>
      <c r="R860" s="10">
        <f>IFERROR(IF(('Loading-truck'!$C$21)="No control",SUMIF(('Loading-truck'!$B$31:$B$48),$J860,('Loading-truck'!$D$31:$D$48))*Impacts!$F$14,IF(('Loading-truck'!$C$21)&lt;&gt;"No control",SUMIF(('Loading-truck'!$B$31:$B$48),$J860,('Loading-truck'!$E$31:$E$48))*Impacts!$F$14,0)),0)</f>
        <v>0</v>
      </c>
      <c r="S860" s="10">
        <f>IFERROR(IF(('Loading-rail'!$C$21)="No control",SUMIF(('Loading-rail'!$B$31:$B$48),$J860,('Loading-rail'!$D$31:$D$48))*Impacts!$F$15,IF(('Loading-rail'!$C$21)&lt;&gt;"No control",SUMIF(('Loading-rail'!$B$31:$B$48),$J860,('Loading-rail'!$E$31:$E$48))*Impacts!$F$15,0)),0)</f>
        <v>0</v>
      </c>
      <c r="T860" s="10">
        <f>IF(Flare!$C$7="",0,(SUMIF(Flare!$B$46:$B$185,$J860,Flare!$E$46:$E$185)*Impacts!$F$16))</f>
        <v>0</v>
      </c>
      <c r="U860" s="10">
        <f>IF(VCU!$C$9="",0,(SUMIF(VCU!$B$51:$B$193,$J860,VCU!$E$51:$E$193)*Impacts!$F$17))</f>
        <v>0</v>
      </c>
      <c r="V860" s="10">
        <f>IF(CAS!$C$7="",0,(SUMIF(CAS!$B$31:$B$167,$J860,CAS!$E$31:$E$167)*Impacts!$F$18))</f>
        <v>0</v>
      </c>
      <c r="W860" s="10">
        <f t="shared" si="55"/>
        <v>0</v>
      </c>
      <c r="AK860" s="10" t="str">
        <f t="array" ref="AK860">IFERROR(INDEX(SelectedSpecies,SMALL(IF(SelectedSpecies=AK$1,ROW(SelectedSpecies)),ROW(861:861)),2),"")</f>
        <v/>
      </c>
      <c r="BE860" s="10"/>
      <c r="BI860" s="10"/>
    </row>
    <row r="861" spans="1:61" ht="21" customHeight="1" x14ac:dyDescent="0.25">
      <c r="A861" s="10"/>
      <c r="B861" s="10"/>
      <c r="E861" s="10"/>
      <c r="G861" s="10"/>
      <c r="I861" s="436" t="s">
        <v>1608</v>
      </c>
      <c r="J861" s="26" t="s">
        <v>1607</v>
      </c>
      <c r="K861" s="10">
        <v>25</v>
      </c>
      <c r="L861" s="73">
        <f>IF(Tank1!$C$23="No control",(SUMIF(Tank1!$B$32:$B$49,$J861,Tank1!$C$32:$C$49)*Impacts!$F$8),0)</f>
        <v>0</v>
      </c>
      <c r="M861" s="10">
        <f>IF(Tank2!$C$23="No control",(SUMIF(Tank2!$B$32:$B$49,$J861,Tank2!$C$32:$C$49)*Impacts!$F$9),0)</f>
        <v>0</v>
      </c>
      <c r="N861" s="10">
        <f>IF(Tank3!$C$23="No control",(SUMIF(Tank3!$B$32:$B$49,$J861,Tank3!$C$32:$C$49)*Impacts!$F$10),0)</f>
        <v>0</v>
      </c>
      <c r="O861" s="10">
        <f>IF(Tank4!$C$23="No control",(SUMIF(Tank4!$B$32:$B$49,$J861,Tank4!$C$32:$C$49)*Impacts!$F$11),0)</f>
        <v>0</v>
      </c>
      <c r="P861" s="10">
        <f>IF(Tank5!$C$23="No control",(SUMIF(Tank5!$B$32:$B$49,$J861,Tank5!$C$32:$C$49)*Impacts!$F$12),0)</f>
        <v>0</v>
      </c>
      <c r="Q861" s="10">
        <f>IFERROR(IF(('Loading-drum,tote'!$C$21)="No control",SUMIF(('Loading-drum,tote'!$B$31:$B$48),$J861,('Loading-drum,tote'!$D$31:$D$48))*Impacts!$F$13,IF(('Loading-drum,tote'!$C$21)&lt;&gt;"No control",SUMIF(('Loading-drum,tote'!$B$31:$B$48),$J861,('Loading-drum,tote'!$E$31:$E$48))*Impacts!$F$13,0)),0)</f>
        <v>0</v>
      </c>
      <c r="R861" s="10">
        <f>IFERROR(IF(('Loading-truck'!$C$21)="No control",SUMIF(('Loading-truck'!$B$31:$B$48),$J861,('Loading-truck'!$D$31:$D$48))*Impacts!$F$14,IF(('Loading-truck'!$C$21)&lt;&gt;"No control",SUMIF(('Loading-truck'!$B$31:$B$48),$J861,('Loading-truck'!$E$31:$E$48))*Impacts!$F$14,0)),0)</f>
        <v>0</v>
      </c>
      <c r="S861" s="10">
        <f>IFERROR(IF(('Loading-rail'!$C$21)="No control",SUMIF(('Loading-rail'!$B$31:$B$48),$J861,('Loading-rail'!$D$31:$D$48))*Impacts!$F$15,IF(('Loading-rail'!$C$21)&lt;&gt;"No control",SUMIF(('Loading-rail'!$B$31:$B$48),$J861,('Loading-rail'!$E$31:$E$48))*Impacts!$F$15,0)),0)</f>
        <v>0</v>
      </c>
      <c r="T861" s="10">
        <f>IF(Flare!$C$7="",0,(SUMIF(Flare!$B$46:$B$185,$J861,Flare!$E$46:$E$185)*Impacts!$F$16))</f>
        <v>0</v>
      </c>
      <c r="U861" s="10">
        <f>IF(VCU!$C$9="",0,(SUMIF(VCU!$B$51:$B$193,$J861,VCU!$E$51:$E$193)*Impacts!$F$17))</f>
        <v>0</v>
      </c>
      <c r="V861" s="10">
        <f>IF(CAS!$C$7="",0,(SUMIF(CAS!$B$31:$B$167,$J861,CAS!$E$31:$E$167)*Impacts!$F$18))</f>
        <v>0</v>
      </c>
      <c r="W861" s="10">
        <f t="shared" si="55"/>
        <v>0</v>
      </c>
      <c r="AK861" s="10" t="str">
        <f t="array" ref="AK861">IFERROR(INDEX(SelectedSpecies,SMALL(IF(SelectedSpecies=AK$1,ROW(SelectedSpecies)),ROW(862:862)),2),"")</f>
        <v/>
      </c>
      <c r="BE861" s="10"/>
      <c r="BI861" s="10"/>
    </row>
    <row r="862" spans="1:61" ht="21" customHeight="1" x14ac:dyDescent="0.25">
      <c r="A862" s="10"/>
      <c r="B862" s="10"/>
      <c r="E862" s="10"/>
      <c r="G862" s="10"/>
      <c r="I862" s="436" t="s">
        <v>7698</v>
      </c>
      <c r="J862" s="26" t="s">
        <v>7697</v>
      </c>
      <c r="K862" s="10">
        <v>0.1</v>
      </c>
      <c r="L862" s="73">
        <f>IF(Tank1!$C$23="No control",(SUMIF(Tank1!$B$32:$B$49,$J862,Tank1!$C$32:$C$49)*Impacts!$F$8),0)</f>
        <v>0</v>
      </c>
      <c r="M862" s="10">
        <f>IF(Tank2!$C$23="No control",(SUMIF(Tank2!$B$32:$B$49,$J862,Tank2!$C$32:$C$49)*Impacts!$F$9),0)</f>
        <v>0</v>
      </c>
      <c r="N862" s="10">
        <f>IF(Tank3!$C$23="No control",(SUMIF(Tank3!$B$32:$B$49,$J862,Tank3!$C$32:$C$49)*Impacts!$F$10),0)</f>
        <v>0</v>
      </c>
      <c r="O862" s="10">
        <f>IF(Tank4!$C$23="No control",(SUMIF(Tank4!$B$32:$B$49,$J862,Tank4!$C$32:$C$49)*Impacts!$F$11),0)</f>
        <v>0</v>
      </c>
      <c r="P862" s="10">
        <f>IF(Tank5!$C$23="No control",(SUMIF(Tank5!$B$32:$B$49,$J862,Tank5!$C$32:$C$49)*Impacts!$F$12),0)</f>
        <v>0</v>
      </c>
      <c r="Q862" s="10">
        <f>IFERROR(IF(('Loading-drum,tote'!$C$21)="No control",SUMIF(('Loading-drum,tote'!$B$31:$B$48),$J862,('Loading-drum,tote'!$D$31:$D$48))*Impacts!$F$13,IF(('Loading-drum,tote'!$C$21)&lt;&gt;"No control",SUMIF(('Loading-drum,tote'!$B$31:$B$48),$J862,('Loading-drum,tote'!$E$31:$E$48))*Impacts!$F$13,0)),0)</f>
        <v>0</v>
      </c>
      <c r="R862" s="10">
        <f>IFERROR(IF(('Loading-truck'!$C$21)="No control",SUMIF(('Loading-truck'!$B$31:$B$48),$J862,('Loading-truck'!$D$31:$D$48))*Impacts!$F$14,IF(('Loading-truck'!$C$21)&lt;&gt;"No control",SUMIF(('Loading-truck'!$B$31:$B$48),$J862,('Loading-truck'!$E$31:$E$48))*Impacts!$F$14,0)),0)</f>
        <v>0</v>
      </c>
      <c r="S862" s="10">
        <f>IFERROR(IF(('Loading-rail'!$C$21)="No control",SUMIF(('Loading-rail'!$B$31:$B$48),$J862,('Loading-rail'!$D$31:$D$48))*Impacts!$F$15,IF(('Loading-rail'!$C$21)&lt;&gt;"No control",SUMIF(('Loading-rail'!$B$31:$B$48),$J862,('Loading-rail'!$E$31:$E$48))*Impacts!$F$15,0)),0)</f>
        <v>0</v>
      </c>
      <c r="T862" s="10">
        <f>IF(Flare!$C$7="",0,(SUMIF(Flare!$B$46:$B$185,$J862,Flare!$E$46:$E$185)*Impacts!$F$16))</f>
        <v>0</v>
      </c>
      <c r="U862" s="10">
        <f>IF(VCU!$C$9="",0,(SUMIF(VCU!$B$51:$B$193,$J862,VCU!$E$51:$E$193)*Impacts!$F$17))</f>
        <v>0</v>
      </c>
      <c r="V862" s="10">
        <f>IF(CAS!$C$7="",0,(SUMIF(CAS!$B$31:$B$167,$J862,CAS!$E$31:$E$167)*Impacts!$F$18))</f>
        <v>0</v>
      </c>
      <c r="W862" s="10">
        <f t="shared" si="55"/>
        <v>0</v>
      </c>
      <c r="AK862" s="10" t="str">
        <f t="array" ref="AK862">IFERROR(INDEX(SelectedSpecies,SMALL(IF(SelectedSpecies=AK$1,ROW(SelectedSpecies)),ROW(863:863)),2),"")</f>
        <v/>
      </c>
      <c r="BE862" s="10"/>
      <c r="BI862" s="10"/>
    </row>
    <row r="863" spans="1:61" ht="21" customHeight="1" x14ac:dyDescent="0.25">
      <c r="A863" s="10"/>
      <c r="B863" s="10"/>
      <c r="E863" s="10"/>
      <c r="G863" s="10"/>
      <c r="I863" s="436" t="s">
        <v>4539</v>
      </c>
      <c r="J863" s="26" t="s">
        <v>4538</v>
      </c>
      <c r="K863" s="10">
        <v>4</v>
      </c>
      <c r="L863" s="73">
        <f>IF(Tank1!$C$23="No control",(SUMIF(Tank1!$B$32:$B$49,$J863,Tank1!$C$32:$C$49)*Impacts!$F$8),0)</f>
        <v>0</v>
      </c>
      <c r="M863" s="10">
        <f>IF(Tank2!$C$23="No control",(SUMIF(Tank2!$B$32:$B$49,$J863,Tank2!$C$32:$C$49)*Impacts!$F$9),0)</f>
        <v>0</v>
      </c>
      <c r="N863" s="10">
        <f>IF(Tank3!$C$23="No control",(SUMIF(Tank3!$B$32:$B$49,$J863,Tank3!$C$32:$C$49)*Impacts!$F$10),0)</f>
        <v>0</v>
      </c>
      <c r="O863" s="10">
        <f>IF(Tank4!$C$23="No control",(SUMIF(Tank4!$B$32:$B$49,$J863,Tank4!$C$32:$C$49)*Impacts!$F$11),0)</f>
        <v>0</v>
      </c>
      <c r="P863" s="10">
        <f>IF(Tank5!$C$23="No control",(SUMIF(Tank5!$B$32:$B$49,$J863,Tank5!$C$32:$C$49)*Impacts!$F$12),0)</f>
        <v>0</v>
      </c>
      <c r="Q863" s="10">
        <f>IFERROR(IF(('Loading-drum,tote'!$C$21)="No control",SUMIF(('Loading-drum,tote'!$B$31:$B$48),$J863,('Loading-drum,tote'!$D$31:$D$48))*Impacts!$F$13,IF(('Loading-drum,tote'!$C$21)&lt;&gt;"No control",SUMIF(('Loading-drum,tote'!$B$31:$B$48),$J863,('Loading-drum,tote'!$E$31:$E$48))*Impacts!$F$13,0)),0)</f>
        <v>0</v>
      </c>
      <c r="R863" s="10">
        <f>IFERROR(IF(('Loading-truck'!$C$21)="No control",SUMIF(('Loading-truck'!$B$31:$B$48),$J863,('Loading-truck'!$D$31:$D$48))*Impacts!$F$14,IF(('Loading-truck'!$C$21)&lt;&gt;"No control",SUMIF(('Loading-truck'!$B$31:$B$48),$J863,('Loading-truck'!$E$31:$E$48))*Impacts!$F$14,0)),0)</f>
        <v>0</v>
      </c>
      <c r="S863" s="10">
        <f>IFERROR(IF(('Loading-rail'!$C$21)="No control",SUMIF(('Loading-rail'!$B$31:$B$48),$J863,('Loading-rail'!$D$31:$D$48))*Impacts!$F$15,IF(('Loading-rail'!$C$21)&lt;&gt;"No control",SUMIF(('Loading-rail'!$B$31:$B$48),$J863,('Loading-rail'!$E$31:$E$48))*Impacts!$F$15,0)),0)</f>
        <v>0</v>
      </c>
      <c r="T863" s="10">
        <f>IF(Flare!$C$7="",0,(SUMIF(Flare!$B$46:$B$185,$J863,Flare!$E$46:$E$185)*Impacts!$F$16))</f>
        <v>0</v>
      </c>
      <c r="U863" s="10">
        <f>IF(VCU!$C$9="",0,(SUMIF(VCU!$B$51:$B$193,$J863,VCU!$E$51:$E$193)*Impacts!$F$17))</f>
        <v>0</v>
      </c>
      <c r="V863" s="10">
        <f>IF(CAS!$C$7="",0,(SUMIF(CAS!$B$31:$B$167,$J863,CAS!$E$31:$E$167)*Impacts!$F$18))</f>
        <v>0</v>
      </c>
      <c r="W863" s="10">
        <f t="shared" si="55"/>
        <v>0</v>
      </c>
      <c r="AK863" s="10" t="str">
        <f t="array" ref="AK863">IFERROR(INDEX(SelectedSpecies,SMALL(IF(SelectedSpecies=AK$1,ROW(SelectedSpecies)),ROW(864:864)),2),"")</f>
        <v/>
      </c>
      <c r="BE863" s="10"/>
      <c r="BI863" s="10"/>
    </row>
    <row r="864" spans="1:61" ht="21" customHeight="1" x14ac:dyDescent="0.25">
      <c r="A864" s="10"/>
      <c r="B864" s="10"/>
      <c r="E864" s="10"/>
      <c r="G864" s="10"/>
      <c r="I864" s="436" t="s">
        <v>7700</v>
      </c>
      <c r="J864" s="26" t="s">
        <v>7699</v>
      </c>
      <c r="K864" s="10">
        <v>0.1</v>
      </c>
      <c r="L864" s="73">
        <f>IF(Tank1!$C$23="No control",(SUMIF(Tank1!$B$32:$B$49,$J864,Tank1!$C$32:$C$49)*Impacts!$F$8),0)</f>
        <v>0</v>
      </c>
      <c r="M864" s="10">
        <f>IF(Tank2!$C$23="No control",(SUMIF(Tank2!$B$32:$B$49,$J864,Tank2!$C$32:$C$49)*Impacts!$F$9),0)</f>
        <v>0</v>
      </c>
      <c r="N864" s="10">
        <f>IF(Tank3!$C$23="No control",(SUMIF(Tank3!$B$32:$B$49,$J864,Tank3!$C$32:$C$49)*Impacts!$F$10),0)</f>
        <v>0</v>
      </c>
      <c r="O864" s="10">
        <f>IF(Tank4!$C$23="No control",(SUMIF(Tank4!$B$32:$B$49,$J864,Tank4!$C$32:$C$49)*Impacts!$F$11),0)</f>
        <v>0</v>
      </c>
      <c r="P864" s="10">
        <f>IF(Tank5!$C$23="No control",(SUMIF(Tank5!$B$32:$B$49,$J864,Tank5!$C$32:$C$49)*Impacts!$F$12),0)</f>
        <v>0</v>
      </c>
      <c r="Q864" s="10">
        <f>IFERROR(IF(('Loading-drum,tote'!$C$21)="No control",SUMIF(('Loading-drum,tote'!$B$31:$B$48),$J864,('Loading-drum,tote'!$D$31:$D$48))*Impacts!$F$13,IF(('Loading-drum,tote'!$C$21)&lt;&gt;"No control",SUMIF(('Loading-drum,tote'!$B$31:$B$48),$J864,('Loading-drum,tote'!$E$31:$E$48))*Impacts!$F$13,0)),0)</f>
        <v>0</v>
      </c>
      <c r="R864" s="10">
        <f>IFERROR(IF(('Loading-truck'!$C$21)="No control",SUMIF(('Loading-truck'!$B$31:$B$48),$J864,('Loading-truck'!$D$31:$D$48))*Impacts!$F$14,IF(('Loading-truck'!$C$21)&lt;&gt;"No control",SUMIF(('Loading-truck'!$B$31:$B$48),$J864,('Loading-truck'!$E$31:$E$48))*Impacts!$F$14,0)),0)</f>
        <v>0</v>
      </c>
      <c r="S864" s="10">
        <f>IFERROR(IF(('Loading-rail'!$C$21)="No control",SUMIF(('Loading-rail'!$B$31:$B$48),$J864,('Loading-rail'!$D$31:$D$48))*Impacts!$F$15,IF(('Loading-rail'!$C$21)&lt;&gt;"No control",SUMIF(('Loading-rail'!$B$31:$B$48),$J864,('Loading-rail'!$E$31:$E$48))*Impacts!$F$15,0)),0)</f>
        <v>0</v>
      </c>
      <c r="T864" s="10">
        <f>IF(Flare!$C$7="",0,(SUMIF(Flare!$B$46:$B$185,$J864,Flare!$E$46:$E$185)*Impacts!$F$16))</f>
        <v>0</v>
      </c>
      <c r="U864" s="10">
        <f>IF(VCU!$C$9="",0,(SUMIF(VCU!$B$51:$B$193,$J864,VCU!$E$51:$E$193)*Impacts!$F$17))</f>
        <v>0</v>
      </c>
      <c r="V864" s="10">
        <f>IF(CAS!$C$7="",0,(SUMIF(CAS!$B$31:$B$167,$J864,CAS!$E$31:$E$167)*Impacts!$F$18))</f>
        <v>0</v>
      </c>
      <c r="W864" s="10">
        <f t="shared" si="55"/>
        <v>0</v>
      </c>
      <c r="AK864" s="10" t="str">
        <f t="array" ref="AK864">IFERROR(INDEX(SelectedSpecies,SMALL(IF(SelectedSpecies=AK$1,ROW(SelectedSpecies)),ROW(865:865)),2),"")</f>
        <v/>
      </c>
      <c r="BE864" s="10"/>
      <c r="BI864" s="10"/>
    </row>
    <row r="865" spans="1:61" ht="21" customHeight="1" x14ac:dyDescent="0.25">
      <c r="A865" s="10"/>
      <c r="B865" s="10"/>
      <c r="E865" s="10"/>
      <c r="G865" s="10"/>
      <c r="I865" s="436" t="s">
        <v>6768</v>
      </c>
      <c r="J865" s="26" t="s">
        <v>6767</v>
      </c>
      <c r="K865" s="10">
        <v>0.5</v>
      </c>
      <c r="L865" s="73">
        <f>IF(Tank1!$C$23="No control",(SUMIF(Tank1!$B$32:$B$49,$J865,Tank1!$C$32:$C$49)*Impacts!$F$8),0)</f>
        <v>0</v>
      </c>
      <c r="M865" s="10">
        <f>IF(Tank2!$C$23="No control",(SUMIF(Tank2!$B$32:$B$49,$J865,Tank2!$C$32:$C$49)*Impacts!$F$9),0)</f>
        <v>0</v>
      </c>
      <c r="N865" s="10">
        <f>IF(Tank3!$C$23="No control",(SUMIF(Tank3!$B$32:$B$49,$J865,Tank3!$C$32:$C$49)*Impacts!$F$10),0)</f>
        <v>0</v>
      </c>
      <c r="O865" s="10">
        <f>IF(Tank4!$C$23="No control",(SUMIF(Tank4!$B$32:$B$49,$J865,Tank4!$C$32:$C$49)*Impacts!$F$11),0)</f>
        <v>0</v>
      </c>
      <c r="P865" s="10">
        <f>IF(Tank5!$C$23="No control",(SUMIF(Tank5!$B$32:$B$49,$J865,Tank5!$C$32:$C$49)*Impacts!$F$12),0)</f>
        <v>0</v>
      </c>
      <c r="Q865" s="10">
        <f>IFERROR(IF(('Loading-drum,tote'!$C$21)="No control",SUMIF(('Loading-drum,tote'!$B$31:$B$48),$J865,('Loading-drum,tote'!$D$31:$D$48))*Impacts!$F$13,IF(('Loading-drum,tote'!$C$21)&lt;&gt;"No control",SUMIF(('Loading-drum,tote'!$B$31:$B$48),$J865,('Loading-drum,tote'!$E$31:$E$48))*Impacts!$F$13,0)),0)</f>
        <v>0</v>
      </c>
      <c r="R865" s="10">
        <f>IFERROR(IF(('Loading-truck'!$C$21)="No control",SUMIF(('Loading-truck'!$B$31:$B$48),$J865,('Loading-truck'!$D$31:$D$48))*Impacts!$F$14,IF(('Loading-truck'!$C$21)&lt;&gt;"No control",SUMIF(('Loading-truck'!$B$31:$B$48),$J865,('Loading-truck'!$E$31:$E$48))*Impacts!$F$14,0)),0)</f>
        <v>0</v>
      </c>
      <c r="S865" s="10">
        <f>IFERROR(IF(('Loading-rail'!$C$21)="No control",SUMIF(('Loading-rail'!$B$31:$B$48),$J865,('Loading-rail'!$D$31:$D$48))*Impacts!$F$15,IF(('Loading-rail'!$C$21)&lt;&gt;"No control",SUMIF(('Loading-rail'!$B$31:$B$48),$J865,('Loading-rail'!$E$31:$E$48))*Impacts!$F$15,0)),0)</f>
        <v>0</v>
      </c>
      <c r="T865" s="10">
        <f>IF(Flare!$C$7="",0,(SUMIF(Flare!$B$46:$B$185,$J865,Flare!$E$46:$E$185)*Impacts!$F$16))</f>
        <v>0</v>
      </c>
      <c r="U865" s="10">
        <f>IF(VCU!$C$9="",0,(SUMIF(VCU!$B$51:$B$193,$J865,VCU!$E$51:$E$193)*Impacts!$F$17))</f>
        <v>0</v>
      </c>
      <c r="V865" s="10">
        <f>IF(CAS!$C$7="",0,(SUMIF(CAS!$B$31:$B$167,$J865,CAS!$E$31:$E$167)*Impacts!$F$18))</f>
        <v>0</v>
      </c>
      <c r="W865" s="10">
        <f t="shared" si="55"/>
        <v>0</v>
      </c>
      <c r="AK865" s="10" t="str">
        <f t="array" ref="AK865">IFERROR(INDEX(SelectedSpecies,SMALL(IF(SelectedSpecies=AK$1,ROW(SelectedSpecies)),ROW(866:866)),2),"")</f>
        <v/>
      </c>
      <c r="BE865" s="10"/>
      <c r="BI865" s="10"/>
    </row>
    <row r="866" spans="1:61" ht="21" customHeight="1" x14ac:dyDescent="0.25">
      <c r="A866" s="10"/>
      <c r="B866" s="10"/>
      <c r="E866" s="10"/>
      <c r="G866" s="10"/>
      <c r="I866" s="436" t="s">
        <v>7074</v>
      </c>
      <c r="J866" s="26" t="s">
        <v>7073</v>
      </c>
      <c r="K866" s="10">
        <v>0.4</v>
      </c>
      <c r="L866" s="73">
        <f>IF(Tank1!$C$23="No control",(SUMIF(Tank1!$B$32:$B$49,$J866,Tank1!$C$32:$C$49)*Impacts!$F$8),0)</f>
        <v>0</v>
      </c>
      <c r="M866" s="10">
        <f>IF(Tank2!$C$23="No control",(SUMIF(Tank2!$B$32:$B$49,$J866,Tank2!$C$32:$C$49)*Impacts!$F$9),0)</f>
        <v>0</v>
      </c>
      <c r="N866" s="10">
        <f>IF(Tank3!$C$23="No control",(SUMIF(Tank3!$B$32:$B$49,$J866,Tank3!$C$32:$C$49)*Impacts!$F$10),0)</f>
        <v>0</v>
      </c>
      <c r="O866" s="10">
        <f>IF(Tank4!$C$23="No control",(SUMIF(Tank4!$B$32:$B$49,$J866,Tank4!$C$32:$C$49)*Impacts!$F$11),0)</f>
        <v>0</v>
      </c>
      <c r="P866" s="10">
        <f>IF(Tank5!$C$23="No control",(SUMIF(Tank5!$B$32:$B$49,$J866,Tank5!$C$32:$C$49)*Impacts!$F$12),0)</f>
        <v>0</v>
      </c>
      <c r="Q866" s="10">
        <f>IFERROR(IF(('Loading-drum,tote'!$C$21)="No control",SUMIF(('Loading-drum,tote'!$B$31:$B$48),$J866,('Loading-drum,tote'!$D$31:$D$48))*Impacts!$F$13,IF(('Loading-drum,tote'!$C$21)&lt;&gt;"No control",SUMIF(('Loading-drum,tote'!$B$31:$B$48),$J866,('Loading-drum,tote'!$E$31:$E$48))*Impacts!$F$13,0)),0)</f>
        <v>0</v>
      </c>
      <c r="R866" s="10">
        <f>IFERROR(IF(('Loading-truck'!$C$21)="No control",SUMIF(('Loading-truck'!$B$31:$B$48),$J866,('Loading-truck'!$D$31:$D$48))*Impacts!$F$14,IF(('Loading-truck'!$C$21)&lt;&gt;"No control",SUMIF(('Loading-truck'!$B$31:$B$48),$J866,('Loading-truck'!$E$31:$E$48))*Impacts!$F$14,0)),0)</f>
        <v>0</v>
      </c>
      <c r="S866" s="10">
        <f>IFERROR(IF(('Loading-rail'!$C$21)="No control",SUMIF(('Loading-rail'!$B$31:$B$48),$J866,('Loading-rail'!$D$31:$D$48))*Impacts!$F$15,IF(('Loading-rail'!$C$21)&lt;&gt;"No control",SUMIF(('Loading-rail'!$B$31:$B$48),$J866,('Loading-rail'!$E$31:$E$48))*Impacts!$F$15,0)),0)</f>
        <v>0</v>
      </c>
      <c r="T866" s="10">
        <f>IF(Flare!$C$7="",0,(SUMIF(Flare!$B$46:$B$185,$J866,Flare!$E$46:$E$185)*Impacts!$F$16))</f>
        <v>0</v>
      </c>
      <c r="U866" s="10">
        <f>IF(VCU!$C$9="",0,(SUMIF(VCU!$B$51:$B$193,$J866,VCU!$E$51:$E$193)*Impacts!$F$17))</f>
        <v>0</v>
      </c>
      <c r="V866" s="10">
        <f>IF(CAS!$C$7="",0,(SUMIF(CAS!$B$31:$B$167,$J866,CAS!$E$31:$E$167)*Impacts!$F$18))</f>
        <v>0</v>
      </c>
      <c r="W866" s="10">
        <f t="shared" si="55"/>
        <v>0</v>
      </c>
      <c r="AK866" s="10" t="str">
        <f t="array" ref="AK866">IFERROR(INDEX(SelectedSpecies,SMALL(IF(SelectedSpecies=AK$1,ROW(SelectedSpecies)),ROW(867:867)),2),"")</f>
        <v/>
      </c>
      <c r="BE866" s="10"/>
      <c r="BI866" s="10"/>
    </row>
    <row r="867" spans="1:61" ht="21" customHeight="1" x14ac:dyDescent="0.25">
      <c r="A867" s="10"/>
      <c r="B867" s="10"/>
      <c r="E867" s="10"/>
      <c r="G867" s="10"/>
      <c r="I867" s="436" t="s">
        <v>7702</v>
      </c>
      <c r="J867" s="26" t="s">
        <v>7701</v>
      </c>
      <c r="K867" s="10">
        <v>0.1</v>
      </c>
      <c r="L867" s="73">
        <f>IF(Tank1!$C$23="No control",(SUMIF(Tank1!$B$32:$B$49,$J867,Tank1!$C$32:$C$49)*Impacts!$F$8),0)</f>
        <v>0</v>
      </c>
      <c r="M867" s="10">
        <f>IF(Tank2!$C$23="No control",(SUMIF(Tank2!$B$32:$B$49,$J867,Tank2!$C$32:$C$49)*Impacts!$F$9),0)</f>
        <v>0</v>
      </c>
      <c r="N867" s="10">
        <f>IF(Tank3!$C$23="No control",(SUMIF(Tank3!$B$32:$B$49,$J867,Tank3!$C$32:$C$49)*Impacts!$F$10),0)</f>
        <v>0</v>
      </c>
      <c r="O867" s="10">
        <f>IF(Tank4!$C$23="No control",(SUMIF(Tank4!$B$32:$B$49,$J867,Tank4!$C$32:$C$49)*Impacts!$F$11),0)</f>
        <v>0</v>
      </c>
      <c r="P867" s="10">
        <f>IF(Tank5!$C$23="No control",(SUMIF(Tank5!$B$32:$B$49,$J867,Tank5!$C$32:$C$49)*Impacts!$F$12),0)</f>
        <v>0</v>
      </c>
      <c r="Q867" s="10">
        <f>IFERROR(IF(('Loading-drum,tote'!$C$21)="No control",SUMIF(('Loading-drum,tote'!$B$31:$B$48),$J867,('Loading-drum,tote'!$D$31:$D$48))*Impacts!$F$13,IF(('Loading-drum,tote'!$C$21)&lt;&gt;"No control",SUMIF(('Loading-drum,tote'!$B$31:$B$48),$J867,('Loading-drum,tote'!$E$31:$E$48))*Impacts!$F$13,0)),0)</f>
        <v>0</v>
      </c>
      <c r="R867" s="10">
        <f>IFERROR(IF(('Loading-truck'!$C$21)="No control",SUMIF(('Loading-truck'!$B$31:$B$48),$J867,('Loading-truck'!$D$31:$D$48))*Impacts!$F$14,IF(('Loading-truck'!$C$21)&lt;&gt;"No control",SUMIF(('Loading-truck'!$B$31:$B$48),$J867,('Loading-truck'!$E$31:$E$48))*Impacts!$F$14,0)),0)</f>
        <v>0</v>
      </c>
      <c r="S867" s="10">
        <f>IFERROR(IF(('Loading-rail'!$C$21)="No control",SUMIF(('Loading-rail'!$B$31:$B$48),$J867,('Loading-rail'!$D$31:$D$48))*Impacts!$F$15,IF(('Loading-rail'!$C$21)&lt;&gt;"No control",SUMIF(('Loading-rail'!$B$31:$B$48),$J867,('Loading-rail'!$E$31:$E$48))*Impacts!$F$15,0)),0)</f>
        <v>0</v>
      </c>
      <c r="T867" s="10">
        <f>IF(Flare!$C$7="",0,(SUMIF(Flare!$B$46:$B$185,$J867,Flare!$E$46:$E$185)*Impacts!$F$16))</f>
        <v>0</v>
      </c>
      <c r="U867" s="10">
        <f>IF(VCU!$C$9="",0,(SUMIF(VCU!$B$51:$B$193,$J867,VCU!$E$51:$E$193)*Impacts!$F$17))</f>
        <v>0</v>
      </c>
      <c r="V867" s="10">
        <f>IF(CAS!$C$7="",0,(SUMIF(CAS!$B$31:$B$167,$J867,CAS!$E$31:$E$167)*Impacts!$F$18))</f>
        <v>0</v>
      </c>
      <c r="W867" s="10">
        <f t="shared" si="55"/>
        <v>0</v>
      </c>
      <c r="AK867" s="10" t="str">
        <f t="array" ref="AK867">IFERROR(INDEX(SelectedSpecies,SMALL(IF(SelectedSpecies=AK$1,ROW(SelectedSpecies)),ROW(868:868)),2),"")</f>
        <v/>
      </c>
      <c r="BE867" s="10"/>
      <c r="BI867" s="10"/>
    </row>
    <row r="868" spans="1:61" ht="21" customHeight="1" x14ac:dyDescent="0.25">
      <c r="A868" s="10"/>
      <c r="B868" s="10"/>
      <c r="E868" s="10"/>
      <c r="G868" s="10"/>
      <c r="I868" s="436" t="s">
        <v>7446</v>
      </c>
      <c r="J868" s="26" t="s">
        <v>7445</v>
      </c>
      <c r="K868" s="10">
        <v>0.2</v>
      </c>
      <c r="L868" s="73">
        <f>IF(Tank1!$C$23="No control",(SUMIF(Tank1!$B$32:$B$49,$J868,Tank1!$C$32:$C$49)*Impacts!$F$8),0)</f>
        <v>0</v>
      </c>
      <c r="M868" s="10">
        <f>IF(Tank2!$C$23="No control",(SUMIF(Tank2!$B$32:$B$49,$J868,Tank2!$C$32:$C$49)*Impacts!$F$9),0)</f>
        <v>0</v>
      </c>
      <c r="N868" s="10">
        <f>IF(Tank3!$C$23="No control",(SUMIF(Tank3!$B$32:$B$49,$J868,Tank3!$C$32:$C$49)*Impacts!$F$10),0)</f>
        <v>0</v>
      </c>
      <c r="O868" s="10">
        <f>IF(Tank4!$C$23="No control",(SUMIF(Tank4!$B$32:$B$49,$J868,Tank4!$C$32:$C$49)*Impacts!$F$11),0)</f>
        <v>0</v>
      </c>
      <c r="P868" s="10">
        <f>IF(Tank5!$C$23="No control",(SUMIF(Tank5!$B$32:$B$49,$J868,Tank5!$C$32:$C$49)*Impacts!$F$12),0)</f>
        <v>0</v>
      </c>
      <c r="Q868" s="10">
        <f>IFERROR(IF(('Loading-drum,tote'!$C$21)="No control",SUMIF(('Loading-drum,tote'!$B$31:$B$48),$J868,('Loading-drum,tote'!$D$31:$D$48))*Impacts!$F$13,IF(('Loading-drum,tote'!$C$21)&lt;&gt;"No control",SUMIF(('Loading-drum,tote'!$B$31:$B$48),$J868,('Loading-drum,tote'!$E$31:$E$48))*Impacts!$F$13,0)),0)</f>
        <v>0</v>
      </c>
      <c r="R868" s="10">
        <f>IFERROR(IF(('Loading-truck'!$C$21)="No control",SUMIF(('Loading-truck'!$B$31:$B$48),$J868,('Loading-truck'!$D$31:$D$48))*Impacts!$F$14,IF(('Loading-truck'!$C$21)&lt;&gt;"No control",SUMIF(('Loading-truck'!$B$31:$B$48),$J868,('Loading-truck'!$E$31:$E$48))*Impacts!$F$14,0)),0)</f>
        <v>0</v>
      </c>
      <c r="S868" s="10">
        <f>IFERROR(IF(('Loading-rail'!$C$21)="No control",SUMIF(('Loading-rail'!$B$31:$B$48),$J868,('Loading-rail'!$D$31:$D$48))*Impacts!$F$15,IF(('Loading-rail'!$C$21)&lt;&gt;"No control",SUMIF(('Loading-rail'!$B$31:$B$48),$J868,('Loading-rail'!$E$31:$E$48))*Impacts!$F$15,0)),0)</f>
        <v>0</v>
      </c>
      <c r="T868" s="10">
        <f>IF(Flare!$C$7="",0,(SUMIF(Flare!$B$46:$B$185,$J868,Flare!$E$46:$E$185)*Impacts!$F$16))</f>
        <v>0</v>
      </c>
      <c r="U868" s="10">
        <f>IF(VCU!$C$9="",0,(SUMIF(VCU!$B$51:$B$193,$J868,VCU!$E$51:$E$193)*Impacts!$F$17))</f>
        <v>0</v>
      </c>
      <c r="V868" s="10">
        <f>IF(CAS!$C$7="",0,(SUMIF(CAS!$B$31:$B$167,$J868,CAS!$E$31:$E$167)*Impacts!$F$18))</f>
        <v>0</v>
      </c>
      <c r="W868" s="10">
        <f t="shared" si="55"/>
        <v>0</v>
      </c>
      <c r="AK868" s="10" t="str">
        <f t="array" ref="AK868">IFERROR(INDEX(SelectedSpecies,SMALL(IF(SelectedSpecies=AK$1,ROW(SelectedSpecies)),ROW(869:869)),2),"")</f>
        <v/>
      </c>
      <c r="BE868" s="10"/>
      <c r="BI868" s="10"/>
    </row>
    <row r="869" spans="1:61" ht="21" customHeight="1" x14ac:dyDescent="0.25">
      <c r="A869" s="10"/>
      <c r="B869" s="10"/>
      <c r="E869" s="10"/>
      <c r="G869" s="10"/>
      <c r="I869" s="436" t="s">
        <v>4713</v>
      </c>
      <c r="J869" s="26" t="s">
        <v>4712</v>
      </c>
      <c r="K869" s="10">
        <v>3.5</v>
      </c>
      <c r="L869" s="73">
        <f>IF(Tank1!$C$23="No control",(SUMIF(Tank1!$B$32:$B$49,$J869,Tank1!$C$32:$C$49)*Impacts!$F$8),0)</f>
        <v>0</v>
      </c>
      <c r="M869" s="10">
        <f>IF(Tank2!$C$23="No control",(SUMIF(Tank2!$B$32:$B$49,$J869,Tank2!$C$32:$C$49)*Impacts!$F$9),0)</f>
        <v>0</v>
      </c>
      <c r="N869" s="10">
        <f>IF(Tank3!$C$23="No control",(SUMIF(Tank3!$B$32:$B$49,$J869,Tank3!$C$32:$C$49)*Impacts!$F$10),0)</f>
        <v>0</v>
      </c>
      <c r="O869" s="10">
        <f>IF(Tank4!$C$23="No control",(SUMIF(Tank4!$B$32:$B$49,$J869,Tank4!$C$32:$C$49)*Impacts!$F$11),0)</f>
        <v>0</v>
      </c>
      <c r="P869" s="10">
        <f>IF(Tank5!$C$23="No control",(SUMIF(Tank5!$B$32:$B$49,$J869,Tank5!$C$32:$C$49)*Impacts!$F$12),0)</f>
        <v>0</v>
      </c>
      <c r="Q869" s="10">
        <f>IFERROR(IF(('Loading-drum,tote'!$C$21)="No control",SUMIF(('Loading-drum,tote'!$B$31:$B$48),$J869,('Loading-drum,tote'!$D$31:$D$48))*Impacts!$F$13,IF(('Loading-drum,tote'!$C$21)&lt;&gt;"No control",SUMIF(('Loading-drum,tote'!$B$31:$B$48),$J869,('Loading-drum,tote'!$E$31:$E$48))*Impacts!$F$13,0)),0)</f>
        <v>0</v>
      </c>
      <c r="R869" s="10">
        <f>IFERROR(IF(('Loading-truck'!$C$21)="No control",SUMIF(('Loading-truck'!$B$31:$B$48),$J869,('Loading-truck'!$D$31:$D$48))*Impacts!$F$14,IF(('Loading-truck'!$C$21)&lt;&gt;"No control",SUMIF(('Loading-truck'!$B$31:$B$48),$J869,('Loading-truck'!$E$31:$E$48))*Impacts!$F$14,0)),0)</f>
        <v>0</v>
      </c>
      <c r="S869" s="10">
        <f>IFERROR(IF(('Loading-rail'!$C$21)="No control",SUMIF(('Loading-rail'!$B$31:$B$48),$J869,('Loading-rail'!$D$31:$D$48))*Impacts!$F$15,IF(('Loading-rail'!$C$21)&lt;&gt;"No control",SUMIF(('Loading-rail'!$B$31:$B$48),$J869,('Loading-rail'!$E$31:$E$48))*Impacts!$F$15,0)),0)</f>
        <v>0</v>
      </c>
      <c r="T869" s="10">
        <f>IF(Flare!$C$7="",0,(SUMIF(Flare!$B$46:$B$185,$J869,Flare!$E$46:$E$185)*Impacts!$F$16))</f>
        <v>0</v>
      </c>
      <c r="U869" s="10">
        <f>IF(VCU!$C$9="",0,(SUMIF(VCU!$B$51:$B$193,$J869,VCU!$E$51:$E$193)*Impacts!$F$17))</f>
        <v>0</v>
      </c>
      <c r="V869" s="10">
        <f>IF(CAS!$C$7="",0,(SUMIF(CAS!$B$31:$B$167,$J869,CAS!$E$31:$E$167)*Impacts!$F$18))</f>
        <v>0</v>
      </c>
      <c r="W869" s="10">
        <f t="shared" si="55"/>
        <v>0</v>
      </c>
      <c r="AK869" s="10" t="str">
        <f t="array" ref="AK869">IFERROR(INDEX(SelectedSpecies,SMALL(IF(SelectedSpecies=AK$1,ROW(SelectedSpecies)),ROW(870:870)),2),"")</f>
        <v/>
      </c>
      <c r="BE869" s="10"/>
      <c r="BI869" s="10"/>
    </row>
    <row r="870" spans="1:61" ht="21" customHeight="1" x14ac:dyDescent="0.25">
      <c r="A870" s="10"/>
      <c r="B870" s="10"/>
      <c r="E870" s="10"/>
      <c r="G870" s="10"/>
      <c r="I870" s="436" t="s">
        <v>4715</v>
      </c>
      <c r="J870" s="26" t="s">
        <v>4714</v>
      </c>
      <c r="K870" s="10">
        <v>3.5</v>
      </c>
      <c r="L870" s="73">
        <f>IF(Tank1!$C$23="No control",(SUMIF(Tank1!$B$32:$B$49,$J870,Tank1!$C$32:$C$49)*Impacts!$F$8),0)</f>
        <v>0</v>
      </c>
      <c r="M870" s="10">
        <f>IF(Tank2!$C$23="No control",(SUMIF(Tank2!$B$32:$B$49,$J870,Tank2!$C$32:$C$49)*Impacts!$F$9),0)</f>
        <v>0</v>
      </c>
      <c r="N870" s="10">
        <f>IF(Tank3!$C$23="No control",(SUMIF(Tank3!$B$32:$B$49,$J870,Tank3!$C$32:$C$49)*Impacts!$F$10),0)</f>
        <v>0</v>
      </c>
      <c r="O870" s="10">
        <f>IF(Tank4!$C$23="No control",(SUMIF(Tank4!$B$32:$B$49,$J870,Tank4!$C$32:$C$49)*Impacts!$F$11),0)</f>
        <v>0</v>
      </c>
      <c r="P870" s="10">
        <f>IF(Tank5!$C$23="No control",(SUMIF(Tank5!$B$32:$B$49,$J870,Tank5!$C$32:$C$49)*Impacts!$F$12),0)</f>
        <v>0</v>
      </c>
      <c r="Q870" s="10">
        <f>IFERROR(IF(('Loading-drum,tote'!$C$21)="No control",SUMIF(('Loading-drum,tote'!$B$31:$B$48),$J870,('Loading-drum,tote'!$D$31:$D$48))*Impacts!$F$13,IF(('Loading-drum,tote'!$C$21)&lt;&gt;"No control",SUMIF(('Loading-drum,tote'!$B$31:$B$48),$J870,('Loading-drum,tote'!$E$31:$E$48))*Impacts!$F$13,0)),0)</f>
        <v>0</v>
      </c>
      <c r="R870" s="10">
        <f>IFERROR(IF(('Loading-truck'!$C$21)="No control",SUMIF(('Loading-truck'!$B$31:$B$48),$J870,('Loading-truck'!$D$31:$D$48))*Impacts!$F$14,IF(('Loading-truck'!$C$21)&lt;&gt;"No control",SUMIF(('Loading-truck'!$B$31:$B$48),$J870,('Loading-truck'!$E$31:$E$48))*Impacts!$F$14,0)),0)</f>
        <v>0</v>
      </c>
      <c r="S870" s="10">
        <f>IFERROR(IF(('Loading-rail'!$C$21)="No control",SUMIF(('Loading-rail'!$B$31:$B$48),$J870,('Loading-rail'!$D$31:$D$48))*Impacts!$F$15,IF(('Loading-rail'!$C$21)&lt;&gt;"No control",SUMIF(('Loading-rail'!$B$31:$B$48),$J870,('Loading-rail'!$E$31:$E$48))*Impacts!$F$15,0)),0)</f>
        <v>0</v>
      </c>
      <c r="T870" s="10">
        <f>IF(Flare!$C$7="",0,(SUMIF(Flare!$B$46:$B$185,$J870,Flare!$E$46:$E$185)*Impacts!$F$16))</f>
        <v>0</v>
      </c>
      <c r="U870" s="10">
        <f>IF(VCU!$C$9="",0,(SUMIF(VCU!$B$51:$B$193,$J870,VCU!$E$51:$E$193)*Impacts!$F$17))</f>
        <v>0</v>
      </c>
      <c r="V870" s="10">
        <f>IF(CAS!$C$7="",0,(SUMIF(CAS!$B$31:$B$167,$J870,CAS!$E$31:$E$167)*Impacts!$F$18))</f>
        <v>0</v>
      </c>
      <c r="W870" s="10">
        <f t="shared" si="55"/>
        <v>0</v>
      </c>
      <c r="AK870" s="10" t="str">
        <f t="array" ref="AK870">IFERROR(INDEX(SelectedSpecies,SMALL(IF(SelectedSpecies=AK$1,ROW(SelectedSpecies)),ROW(871:871)),2),"")</f>
        <v/>
      </c>
      <c r="BE870" s="10"/>
      <c r="BI870" s="10"/>
    </row>
    <row r="871" spans="1:61" ht="21" customHeight="1" x14ac:dyDescent="0.25">
      <c r="A871" s="10"/>
      <c r="B871" s="10"/>
      <c r="E871" s="10"/>
      <c r="G871" s="10"/>
      <c r="I871" s="436" t="s">
        <v>7448</v>
      </c>
      <c r="J871" s="26" t="s">
        <v>7447</v>
      </c>
      <c r="K871" s="10">
        <v>0.2</v>
      </c>
      <c r="L871" s="73">
        <f>IF(Tank1!$C$23="No control",(SUMIF(Tank1!$B$32:$B$49,$J871,Tank1!$C$32:$C$49)*Impacts!$F$8),0)</f>
        <v>0</v>
      </c>
      <c r="M871" s="10">
        <f>IF(Tank2!$C$23="No control",(SUMIF(Tank2!$B$32:$B$49,$J871,Tank2!$C$32:$C$49)*Impacts!$F$9),0)</f>
        <v>0</v>
      </c>
      <c r="N871" s="10">
        <f>IF(Tank3!$C$23="No control",(SUMIF(Tank3!$B$32:$B$49,$J871,Tank3!$C$32:$C$49)*Impacts!$F$10),0)</f>
        <v>0</v>
      </c>
      <c r="O871" s="10">
        <f>IF(Tank4!$C$23="No control",(SUMIF(Tank4!$B$32:$B$49,$J871,Tank4!$C$32:$C$49)*Impacts!$F$11),0)</f>
        <v>0</v>
      </c>
      <c r="P871" s="10">
        <f>IF(Tank5!$C$23="No control",(SUMIF(Tank5!$B$32:$B$49,$J871,Tank5!$C$32:$C$49)*Impacts!$F$12),0)</f>
        <v>0</v>
      </c>
      <c r="Q871" s="10">
        <f>IFERROR(IF(('Loading-drum,tote'!$C$21)="No control",SUMIF(('Loading-drum,tote'!$B$31:$B$48),$J871,('Loading-drum,tote'!$D$31:$D$48))*Impacts!$F$13,IF(('Loading-drum,tote'!$C$21)&lt;&gt;"No control",SUMIF(('Loading-drum,tote'!$B$31:$B$48),$J871,('Loading-drum,tote'!$E$31:$E$48))*Impacts!$F$13,0)),0)</f>
        <v>0</v>
      </c>
      <c r="R871" s="10">
        <f>IFERROR(IF(('Loading-truck'!$C$21)="No control",SUMIF(('Loading-truck'!$B$31:$B$48),$J871,('Loading-truck'!$D$31:$D$48))*Impacts!$F$14,IF(('Loading-truck'!$C$21)&lt;&gt;"No control",SUMIF(('Loading-truck'!$B$31:$B$48),$J871,('Loading-truck'!$E$31:$E$48))*Impacts!$F$14,0)),0)</f>
        <v>0</v>
      </c>
      <c r="S871" s="10">
        <f>IFERROR(IF(('Loading-rail'!$C$21)="No control",SUMIF(('Loading-rail'!$B$31:$B$48),$J871,('Loading-rail'!$D$31:$D$48))*Impacts!$F$15,IF(('Loading-rail'!$C$21)&lt;&gt;"No control",SUMIF(('Loading-rail'!$B$31:$B$48),$J871,('Loading-rail'!$E$31:$E$48))*Impacts!$F$15,0)),0)</f>
        <v>0</v>
      </c>
      <c r="T871" s="10">
        <f>IF(Flare!$C$7="",0,(SUMIF(Flare!$B$46:$B$185,$J871,Flare!$E$46:$E$185)*Impacts!$F$16))</f>
        <v>0</v>
      </c>
      <c r="U871" s="10">
        <f>IF(VCU!$C$9="",0,(SUMIF(VCU!$B$51:$B$193,$J871,VCU!$E$51:$E$193)*Impacts!$F$17))</f>
        <v>0</v>
      </c>
      <c r="V871" s="10">
        <f>IF(CAS!$C$7="",0,(SUMIF(CAS!$B$31:$B$167,$J871,CAS!$E$31:$E$167)*Impacts!$F$18))</f>
        <v>0</v>
      </c>
      <c r="W871" s="10">
        <f t="shared" si="55"/>
        <v>0</v>
      </c>
      <c r="AK871" s="10" t="str">
        <f t="array" ref="AK871">IFERROR(INDEX(SelectedSpecies,SMALL(IF(SelectedSpecies=AK$1,ROW(SelectedSpecies)),ROW(872:872)),2),"")</f>
        <v/>
      </c>
      <c r="BE871" s="10"/>
      <c r="BI871" s="10"/>
    </row>
    <row r="872" spans="1:61" ht="21" customHeight="1" x14ac:dyDescent="0.25">
      <c r="A872" s="10"/>
      <c r="B872" s="10"/>
      <c r="E872" s="10"/>
      <c r="G872" s="10"/>
      <c r="I872" s="436" t="s">
        <v>4363</v>
      </c>
      <c r="J872" s="26" t="s">
        <v>4362</v>
      </c>
      <c r="K872" s="10">
        <v>4.8000000000000007</v>
      </c>
      <c r="L872" s="73">
        <f>IF(Tank1!$C$23="No control",(SUMIF(Tank1!$B$32:$B$49,$J872,Tank1!$C$32:$C$49)*Impacts!$F$8),0)</f>
        <v>0</v>
      </c>
      <c r="M872" s="10">
        <f>IF(Tank2!$C$23="No control",(SUMIF(Tank2!$B$32:$B$49,$J872,Tank2!$C$32:$C$49)*Impacts!$F$9),0)</f>
        <v>0</v>
      </c>
      <c r="N872" s="10">
        <f>IF(Tank3!$C$23="No control",(SUMIF(Tank3!$B$32:$B$49,$J872,Tank3!$C$32:$C$49)*Impacts!$F$10),0)</f>
        <v>0</v>
      </c>
      <c r="O872" s="10">
        <f>IF(Tank4!$C$23="No control",(SUMIF(Tank4!$B$32:$B$49,$J872,Tank4!$C$32:$C$49)*Impacts!$F$11),0)</f>
        <v>0</v>
      </c>
      <c r="P872" s="10">
        <f>IF(Tank5!$C$23="No control",(SUMIF(Tank5!$B$32:$B$49,$J872,Tank5!$C$32:$C$49)*Impacts!$F$12),0)</f>
        <v>0</v>
      </c>
      <c r="Q872" s="10">
        <f>IFERROR(IF(('Loading-drum,tote'!$C$21)="No control",SUMIF(('Loading-drum,tote'!$B$31:$B$48),$J872,('Loading-drum,tote'!$D$31:$D$48))*Impacts!$F$13,IF(('Loading-drum,tote'!$C$21)&lt;&gt;"No control",SUMIF(('Loading-drum,tote'!$B$31:$B$48),$J872,('Loading-drum,tote'!$E$31:$E$48))*Impacts!$F$13,0)),0)</f>
        <v>0</v>
      </c>
      <c r="R872" s="10">
        <f>IFERROR(IF(('Loading-truck'!$C$21)="No control",SUMIF(('Loading-truck'!$B$31:$B$48),$J872,('Loading-truck'!$D$31:$D$48))*Impacts!$F$14,IF(('Loading-truck'!$C$21)&lt;&gt;"No control",SUMIF(('Loading-truck'!$B$31:$B$48),$J872,('Loading-truck'!$E$31:$E$48))*Impacts!$F$14,0)),0)</f>
        <v>0</v>
      </c>
      <c r="S872" s="10">
        <f>IFERROR(IF(('Loading-rail'!$C$21)="No control",SUMIF(('Loading-rail'!$B$31:$B$48),$J872,('Loading-rail'!$D$31:$D$48))*Impacts!$F$15,IF(('Loading-rail'!$C$21)&lt;&gt;"No control",SUMIF(('Loading-rail'!$B$31:$B$48),$J872,('Loading-rail'!$E$31:$E$48))*Impacts!$F$15,0)),0)</f>
        <v>0</v>
      </c>
      <c r="T872" s="10">
        <f>IF(Flare!$C$7="",0,(SUMIF(Flare!$B$46:$B$185,$J872,Flare!$E$46:$E$185)*Impacts!$F$16))</f>
        <v>0</v>
      </c>
      <c r="U872" s="10">
        <f>IF(VCU!$C$9="",0,(SUMIF(VCU!$B$51:$B$193,$J872,VCU!$E$51:$E$193)*Impacts!$F$17))</f>
        <v>0</v>
      </c>
      <c r="V872" s="10">
        <f>IF(CAS!$C$7="",0,(SUMIF(CAS!$B$31:$B$167,$J872,CAS!$E$31:$E$167)*Impacts!$F$18))</f>
        <v>0</v>
      </c>
      <c r="W872" s="10">
        <f t="shared" si="55"/>
        <v>0</v>
      </c>
      <c r="AK872" s="10" t="str">
        <f t="array" ref="AK872">IFERROR(INDEX(SelectedSpecies,SMALL(IF(SelectedSpecies=AK$1,ROW(SelectedSpecies)),ROW(873:873)),2),"")</f>
        <v/>
      </c>
      <c r="BE872" s="10"/>
      <c r="BI872" s="10"/>
    </row>
    <row r="873" spans="1:61" ht="21" customHeight="1" x14ac:dyDescent="0.25">
      <c r="A873" s="10"/>
      <c r="B873" s="10"/>
      <c r="E873" s="10"/>
      <c r="G873" s="10"/>
      <c r="I873" s="436" t="s">
        <v>4953</v>
      </c>
      <c r="J873" s="26" t="s">
        <v>4952</v>
      </c>
      <c r="K873" s="10">
        <v>2.5</v>
      </c>
      <c r="L873" s="73">
        <f>IF(Tank1!$C$23="No control",(SUMIF(Tank1!$B$32:$B$49,$J873,Tank1!$C$32:$C$49)*Impacts!$F$8),0)</f>
        <v>0</v>
      </c>
      <c r="M873" s="10">
        <f>IF(Tank2!$C$23="No control",(SUMIF(Tank2!$B$32:$B$49,$J873,Tank2!$C$32:$C$49)*Impacts!$F$9),0)</f>
        <v>0</v>
      </c>
      <c r="N873" s="10">
        <f>IF(Tank3!$C$23="No control",(SUMIF(Tank3!$B$32:$B$49,$J873,Tank3!$C$32:$C$49)*Impacts!$F$10),0)</f>
        <v>0</v>
      </c>
      <c r="O873" s="10">
        <f>IF(Tank4!$C$23="No control",(SUMIF(Tank4!$B$32:$B$49,$J873,Tank4!$C$32:$C$49)*Impacts!$F$11),0)</f>
        <v>0</v>
      </c>
      <c r="P873" s="10">
        <f>IF(Tank5!$C$23="No control",(SUMIF(Tank5!$B$32:$B$49,$J873,Tank5!$C$32:$C$49)*Impacts!$F$12),0)</f>
        <v>0</v>
      </c>
      <c r="Q873" s="10">
        <f>IFERROR(IF(('Loading-drum,tote'!$C$21)="No control",SUMIF(('Loading-drum,tote'!$B$31:$B$48),$J873,('Loading-drum,tote'!$D$31:$D$48))*Impacts!$F$13,IF(('Loading-drum,tote'!$C$21)&lt;&gt;"No control",SUMIF(('Loading-drum,tote'!$B$31:$B$48),$J873,('Loading-drum,tote'!$E$31:$E$48))*Impacts!$F$13,0)),0)</f>
        <v>0</v>
      </c>
      <c r="R873" s="10">
        <f>IFERROR(IF(('Loading-truck'!$C$21)="No control",SUMIF(('Loading-truck'!$B$31:$B$48),$J873,('Loading-truck'!$D$31:$D$48))*Impacts!$F$14,IF(('Loading-truck'!$C$21)&lt;&gt;"No control",SUMIF(('Loading-truck'!$B$31:$B$48),$J873,('Loading-truck'!$E$31:$E$48))*Impacts!$F$14,0)),0)</f>
        <v>0</v>
      </c>
      <c r="S873" s="10">
        <f>IFERROR(IF(('Loading-rail'!$C$21)="No control",SUMIF(('Loading-rail'!$B$31:$B$48),$J873,('Loading-rail'!$D$31:$D$48))*Impacts!$F$15,IF(('Loading-rail'!$C$21)&lt;&gt;"No control",SUMIF(('Loading-rail'!$B$31:$B$48),$J873,('Loading-rail'!$E$31:$E$48))*Impacts!$F$15,0)),0)</f>
        <v>0</v>
      </c>
      <c r="T873" s="10">
        <f>IF(Flare!$C$7="",0,(SUMIF(Flare!$B$46:$B$185,$J873,Flare!$E$46:$E$185)*Impacts!$F$16))</f>
        <v>0</v>
      </c>
      <c r="U873" s="10">
        <f>IF(VCU!$C$9="",0,(SUMIF(VCU!$B$51:$B$193,$J873,VCU!$E$51:$E$193)*Impacts!$F$17))</f>
        <v>0</v>
      </c>
      <c r="V873" s="10">
        <f>IF(CAS!$C$7="",0,(SUMIF(CAS!$B$31:$B$167,$J873,CAS!$E$31:$E$167)*Impacts!$F$18))</f>
        <v>0</v>
      </c>
      <c r="W873" s="10">
        <f t="shared" si="55"/>
        <v>0</v>
      </c>
      <c r="AK873" s="10" t="str">
        <f t="array" ref="AK873">IFERROR(INDEX(SelectedSpecies,SMALL(IF(SelectedSpecies=AK$1,ROW(SelectedSpecies)),ROW(874:874)),2),"")</f>
        <v/>
      </c>
      <c r="BE873" s="10"/>
      <c r="BI873" s="10"/>
    </row>
    <row r="874" spans="1:61" ht="21" customHeight="1" x14ac:dyDescent="0.25">
      <c r="A874" s="10"/>
      <c r="B874" s="10"/>
      <c r="E874" s="10"/>
      <c r="G874" s="10"/>
      <c r="I874" s="436" t="s">
        <v>3779</v>
      </c>
      <c r="J874" s="26" t="s">
        <v>3778</v>
      </c>
      <c r="K874" s="10">
        <v>6</v>
      </c>
      <c r="L874" s="73">
        <f>IF(Tank1!$C$23="No control",(SUMIF(Tank1!$B$32:$B$49,$J874,Tank1!$C$32:$C$49)*Impacts!$F$8),0)</f>
        <v>0</v>
      </c>
      <c r="M874" s="10">
        <f>IF(Tank2!$C$23="No control",(SUMIF(Tank2!$B$32:$B$49,$J874,Tank2!$C$32:$C$49)*Impacts!$F$9),0)</f>
        <v>0</v>
      </c>
      <c r="N874" s="10">
        <f>IF(Tank3!$C$23="No control",(SUMIF(Tank3!$B$32:$B$49,$J874,Tank3!$C$32:$C$49)*Impacts!$F$10),0)</f>
        <v>0</v>
      </c>
      <c r="O874" s="10">
        <f>IF(Tank4!$C$23="No control",(SUMIF(Tank4!$B$32:$B$49,$J874,Tank4!$C$32:$C$49)*Impacts!$F$11),0)</f>
        <v>0</v>
      </c>
      <c r="P874" s="10">
        <f>IF(Tank5!$C$23="No control",(SUMIF(Tank5!$B$32:$B$49,$J874,Tank5!$C$32:$C$49)*Impacts!$F$12),0)</f>
        <v>0</v>
      </c>
      <c r="Q874" s="10">
        <f>IFERROR(IF(('Loading-drum,tote'!$C$21)="No control",SUMIF(('Loading-drum,tote'!$B$31:$B$48),$J874,('Loading-drum,tote'!$D$31:$D$48))*Impacts!$F$13,IF(('Loading-drum,tote'!$C$21)&lt;&gt;"No control",SUMIF(('Loading-drum,tote'!$B$31:$B$48),$J874,('Loading-drum,tote'!$E$31:$E$48))*Impacts!$F$13,0)),0)</f>
        <v>0</v>
      </c>
      <c r="R874" s="10">
        <f>IFERROR(IF(('Loading-truck'!$C$21)="No control",SUMIF(('Loading-truck'!$B$31:$B$48),$J874,('Loading-truck'!$D$31:$D$48))*Impacts!$F$14,IF(('Loading-truck'!$C$21)&lt;&gt;"No control",SUMIF(('Loading-truck'!$B$31:$B$48),$J874,('Loading-truck'!$E$31:$E$48))*Impacts!$F$14,0)),0)</f>
        <v>0</v>
      </c>
      <c r="S874" s="10">
        <f>IFERROR(IF(('Loading-rail'!$C$21)="No control",SUMIF(('Loading-rail'!$B$31:$B$48),$J874,('Loading-rail'!$D$31:$D$48))*Impacts!$F$15,IF(('Loading-rail'!$C$21)&lt;&gt;"No control",SUMIF(('Loading-rail'!$B$31:$B$48),$J874,('Loading-rail'!$E$31:$E$48))*Impacts!$F$15,0)),0)</f>
        <v>0</v>
      </c>
      <c r="T874" s="10">
        <f>IF(Flare!$C$7="",0,(SUMIF(Flare!$B$46:$B$185,$J874,Flare!$E$46:$E$185)*Impacts!$F$16))</f>
        <v>0</v>
      </c>
      <c r="U874" s="10">
        <f>IF(VCU!$C$9="",0,(SUMIF(VCU!$B$51:$B$193,$J874,VCU!$E$51:$E$193)*Impacts!$F$17))</f>
        <v>0</v>
      </c>
      <c r="V874" s="10">
        <f>IF(CAS!$C$7="",0,(SUMIF(CAS!$B$31:$B$167,$J874,CAS!$E$31:$E$167)*Impacts!$F$18))</f>
        <v>0</v>
      </c>
      <c r="W874" s="10">
        <f t="shared" si="55"/>
        <v>0</v>
      </c>
      <c r="AK874" s="10" t="str">
        <f t="array" ref="AK874">IFERROR(INDEX(SelectedSpecies,SMALL(IF(SelectedSpecies=AK$1,ROW(SelectedSpecies)),ROW(875:875)),2),"")</f>
        <v/>
      </c>
      <c r="BE874" s="10"/>
      <c r="BI874" s="10"/>
    </row>
    <row r="875" spans="1:61" ht="21" customHeight="1" x14ac:dyDescent="0.25">
      <c r="A875" s="10"/>
      <c r="B875" s="10"/>
      <c r="E875" s="10"/>
      <c r="G875" s="10"/>
      <c r="I875" s="436" t="s">
        <v>3781</v>
      </c>
      <c r="J875" s="26" t="s">
        <v>3780</v>
      </c>
      <c r="K875" s="10">
        <v>6</v>
      </c>
      <c r="L875" s="73">
        <f>IF(Tank1!$C$23="No control",(SUMIF(Tank1!$B$32:$B$49,$J875,Tank1!$C$32:$C$49)*Impacts!$F$8),0)</f>
        <v>0</v>
      </c>
      <c r="M875" s="10">
        <f>IF(Tank2!$C$23="No control",(SUMIF(Tank2!$B$32:$B$49,$J875,Tank2!$C$32:$C$49)*Impacts!$F$9),0)</f>
        <v>0</v>
      </c>
      <c r="N875" s="10">
        <f>IF(Tank3!$C$23="No control",(SUMIF(Tank3!$B$32:$B$49,$J875,Tank3!$C$32:$C$49)*Impacts!$F$10),0)</f>
        <v>0</v>
      </c>
      <c r="O875" s="10">
        <f>IF(Tank4!$C$23="No control",(SUMIF(Tank4!$B$32:$B$49,$J875,Tank4!$C$32:$C$49)*Impacts!$F$11),0)</f>
        <v>0</v>
      </c>
      <c r="P875" s="10">
        <f>IF(Tank5!$C$23="No control",(SUMIF(Tank5!$B$32:$B$49,$J875,Tank5!$C$32:$C$49)*Impacts!$F$12),0)</f>
        <v>0</v>
      </c>
      <c r="Q875" s="10">
        <f>IFERROR(IF(('Loading-drum,tote'!$C$21)="No control",SUMIF(('Loading-drum,tote'!$B$31:$B$48),$J875,('Loading-drum,tote'!$D$31:$D$48))*Impacts!$F$13,IF(('Loading-drum,tote'!$C$21)&lt;&gt;"No control",SUMIF(('Loading-drum,tote'!$B$31:$B$48),$J875,('Loading-drum,tote'!$E$31:$E$48))*Impacts!$F$13,0)),0)</f>
        <v>0</v>
      </c>
      <c r="R875" s="10">
        <f>IFERROR(IF(('Loading-truck'!$C$21)="No control",SUMIF(('Loading-truck'!$B$31:$B$48),$J875,('Loading-truck'!$D$31:$D$48))*Impacts!$F$14,IF(('Loading-truck'!$C$21)&lt;&gt;"No control",SUMIF(('Loading-truck'!$B$31:$B$48),$J875,('Loading-truck'!$E$31:$E$48))*Impacts!$F$14,0)),0)</f>
        <v>0</v>
      </c>
      <c r="S875" s="10">
        <f>IFERROR(IF(('Loading-rail'!$C$21)="No control",SUMIF(('Loading-rail'!$B$31:$B$48),$J875,('Loading-rail'!$D$31:$D$48))*Impacts!$F$15,IF(('Loading-rail'!$C$21)&lt;&gt;"No control",SUMIF(('Loading-rail'!$B$31:$B$48),$J875,('Loading-rail'!$E$31:$E$48))*Impacts!$F$15,0)),0)</f>
        <v>0</v>
      </c>
      <c r="T875" s="10">
        <f>IF(Flare!$C$7="",0,(SUMIF(Flare!$B$46:$B$185,$J875,Flare!$E$46:$E$185)*Impacts!$F$16))</f>
        <v>0</v>
      </c>
      <c r="U875" s="10">
        <f>IF(VCU!$C$9="",0,(SUMIF(VCU!$B$51:$B$193,$J875,VCU!$E$51:$E$193)*Impacts!$F$17))</f>
        <v>0</v>
      </c>
      <c r="V875" s="10">
        <f>IF(CAS!$C$7="",0,(SUMIF(CAS!$B$31:$B$167,$J875,CAS!$E$31:$E$167)*Impacts!$F$18))</f>
        <v>0</v>
      </c>
      <c r="W875" s="10">
        <f t="shared" si="55"/>
        <v>0</v>
      </c>
      <c r="AK875" s="10" t="str">
        <f t="array" ref="AK875">IFERROR(INDEX(SelectedSpecies,SMALL(IF(SelectedSpecies=AK$1,ROW(SelectedSpecies)),ROW(876:876)),2),"")</f>
        <v/>
      </c>
      <c r="BE875" s="10"/>
      <c r="BI875" s="10"/>
    </row>
    <row r="876" spans="1:61" ht="21" customHeight="1" x14ac:dyDescent="0.25">
      <c r="A876" s="10"/>
      <c r="B876" s="10"/>
      <c r="E876" s="10"/>
      <c r="G876" s="10"/>
      <c r="I876" s="436" t="s">
        <v>5559</v>
      </c>
      <c r="J876" s="26" t="s">
        <v>5558</v>
      </c>
      <c r="K876" s="10">
        <v>1.2000000000000002</v>
      </c>
      <c r="L876" s="73">
        <f>IF(Tank1!$C$23="No control",(SUMIF(Tank1!$B$32:$B$49,$J876,Tank1!$C$32:$C$49)*Impacts!$F$8),0)</f>
        <v>0</v>
      </c>
      <c r="M876" s="10">
        <f>IF(Tank2!$C$23="No control",(SUMIF(Tank2!$B$32:$B$49,$J876,Tank2!$C$32:$C$49)*Impacts!$F$9),0)</f>
        <v>0</v>
      </c>
      <c r="N876" s="10">
        <f>IF(Tank3!$C$23="No control",(SUMIF(Tank3!$B$32:$B$49,$J876,Tank3!$C$32:$C$49)*Impacts!$F$10),0)</f>
        <v>0</v>
      </c>
      <c r="O876" s="10">
        <f>IF(Tank4!$C$23="No control",(SUMIF(Tank4!$B$32:$B$49,$J876,Tank4!$C$32:$C$49)*Impacts!$F$11),0)</f>
        <v>0</v>
      </c>
      <c r="P876" s="10">
        <f>IF(Tank5!$C$23="No control",(SUMIF(Tank5!$B$32:$B$49,$J876,Tank5!$C$32:$C$49)*Impacts!$F$12),0)</f>
        <v>0</v>
      </c>
      <c r="Q876" s="10">
        <f>IFERROR(IF(('Loading-drum,tote'!$C$21)="No control",SUMIF(('Loading-drum,tote'!$B$31:$B$48),$J876,('Loading-drum,tote'!$D$31:$D$48))*Impacts!$F$13,IF(('Loading-drum,tote'!$C$21)&lt;&gt;"No control",SUMIF(('Loading-drum,tote'!$B$31:$B$48),$J876,('Loading-drum,tote'!$E$31:$E$48))*Impacts!$F$13,0)),0)</f>
        <v>0</v>
      </c>
      <c r="R876" s="10">
        <f>IFERROR(IF(('Loading-truck'!$C$21)="No control",SUMIF(('Loading-truck'!$B$31:$B$48),$J876,('Loading-truck'!$D$31:$D$48))*Impacts!$F$14,IF(('Loading-truck'!$C$21)&lt;&gt;"No control",SUMIF(('Loading-truck'!$B$31:$B$48),$J876,('Loading-truck'!$E$31:$E$48))*Impacts!$F$14,0)),0)</f>
        <v>0</v>
      </c>
      <c r="S876" s="10">
        <f>IFERROR(IF(('Loading-rail'!$C$21)="No control",SUMIF(('Loading-rail'!$B$31:$B$48),$J876,('Loading-rail'!$D$31:$D$48))*Impacts!$F$15,IF(('Loading-rail'!$C$21)&lt;&gt;"No control",SUMIF(('Loading-rail'!$B$31:$B$48),$J876,('Loading-rail'!$E$31:$E$48))*Impacts!$F$15,0)),0)</f>
        <v>0</v>
      </c>
      <c r="T876" s="10">
        <f>IF(Flare!$C$7="",0,(SUMIF(Flare!$B$46:$B$185,$J876,Flare!$E$46:$E$185)*Impacts!$F$16))</f>
        <v>0</v>
      </c>
      <c r="U876" s="10">
        <f>IF(VCU!$C$9="",0,(SUMIF(VCU!$B$51:$B$193,$J876,VCU!$E$51:$E$193)*Impacts!$F$17))</f>
        <v>0</v>
      </c>
      <c r="V876" s="10">
        <f>IF(CAS!$C$7="",0,(SUMIF(CAS!$B$31:$B$167,$J876,CAS!$E$31:$E$167)*Impacts!$F$18))</f>
        <v>0</v>
      </c>
      <c r="W876" s="10">
        <f t="shared" si="55"/>
        <v>0</v>
      </c>
      <c r="AK876" s="10" t="str">
        <f t="array" ref="AK876">IFERROR(INDEX(SelectedSpecies,SMALL(IF(SelectedSpecies=AK$1,ROW(SelectedSpecies)),ROW(877:877)),2),"")</f>
        <v/>
      </c>
      <c r="BE876" s="10"/>
      <c r="BI876" s="10"/>
    </row>
    <row r="877" spans="1:61" ht="21" customHeight="1" x14ac:dyDescent="0.25">
      <c r="A877" s="10"/>
      <c r="B877" s="10"/>
      <c r="E877" s="10"/>
      <c r="G877" s="10"/>
      <c r="I877" s="436" t="s">
        <v>1999</v>
      </c>
      <c r="J877" s="26" t="s">
        <v>1998</v>
      </c>
      <c r="K877" s="10">
        <v>17</v>
      </c>
      <c r="L877" s="73">
        <f>IF(Tank1!$C$23="No control",(SUMIF(Tank1!$B$32:$B$49,$J877,Tank1!$C$32:$C$49)*Impacts!$F$8),0)</f>
        <v>0</v>
      </c>
      <c r="M877" s="10">
        <f>IF(Tank2!$C$23="No control",(SUMIF(Tank2!$B$32:$B$49,$J877,Tank2!$C$32:$C$49)*Impacts!$F$9),0)</f>
        <v>0</v>
      </c>
      <c r="N877" s="10">
        <f>IF(Tank3!$C$23="No control",(SUMIF(Tank3!$B$32:$B$49,$J877,Tank3!$C$32:$C$49)*Impacts!$F$10),0)</f>
        <v>0</v>
      </c>
      <c r="O877" s="10">
        <f>IF(Tank4!$C$23="No control",(SUMIF(Tank4!$B$32:$B$49,$J877,Tank4!$C$32:$C$49)*Impacts!$F$11),0)</f>
        <v>0</v>
      </c>
      <c r="P877" s="10">
        <f>IF(Tank5!$C$23="No control",(SUMIF(Tank5!$B$32:$B$49,$J877,Tank5!$C$32:$C$49)*Impacts!$F$12),0)</f>
        <v>0</v>
      </c>
      <c r="Q877" s="10">
        <f>IFERROR(IF(('Loading-drum,tote'!$C$21)="No control",SUMIF(('Loading-drum,tote'!$B$31:$B$48),$J877,('Loading-drum,tote'!$D$31:$D$48))*Impacts!$F$13,IF(('Loading-drum,tote'!$C$21)&lt;&gt;"No control",SUMIF(('Loading-drum,tote'!$B$31:$B$48),$J877,('Loading-drum,tote'!$E$31:$E$48))*Impacts!$F$13,0)),0)</f>
        <v>0</v>
      </c>
      <c r="R877" s="10">
        <f>IFERROR(IF(('Loading-truck'!$C$21)="No control",SUMIF(('Loading-truck'!$B$31:$B$48),$J877,('Loading-truck'!$D$31:$D$48))*Impacts!$F$14,IF(('Loading-truck'!$C$21)&lt;&gt;"No control",SUMIF(('Loading-truck'!$B$31:$B$48),$J877,('Loading-truck'!$E$31:$E$48))*Impacts!$F$14,0)),0)</f>
        <v>0</v>
      </c>
      <c r="S877" s="10">
        <f>IFERROR(IF(('Loading-rail'!$C$21)="No control",SUMIF(('Loading-rail'!$B$31:$B$48),$J877,('Loading-rail'!$D$31:$D$48))*Impacts!$F$15,IF(('Loading-rail'!$C$21)&lt;&gt;"No control",SUMIF(('Loading-rail'!$B$31:$B$48),$J877,('Loading-rail'!$E$31:$E$48))*Impacts!$F$15,0)),0)</f>
        <v>0</v>
      </c>
      <c r="T877" s="10">
        <f>IF(Flare!$C$7="",0,(SUMIF(Flare!$B$46:$B$185,$J877,Flare!$E$46:$E$185)*Impacts!$F$16))</f>
        <v>0</v>
      </c>
      <c r="U877" s="10">
        <f>IF(VCU!$C$9="",0,(SUMIF(VCU!$B$51:$B$193,$J877,VCU!$E$51:$E$193)*Impacts!$F$17))</f>
        <v>0</v>
      </c>
      <c r="V877" s="10">
        <f>IF(CAS!$C$7="",0,(SUMIF(CAS!$B$31:$B$167,$J877,CAS!$E$31:$E$167)*Impacts!$F$18))</f>
        <v>0</v>
      </c>
      <c r="W877" s="10">
        <f t="shared" si="55"/>
        <v>0</v>
      </c>
      <c r="AK877" s="10" t="str">
        <f t="array" ref="AK877">IFERROR(INDEX(SelectedSpecies,SMALL(IF(SelectedSpecies=AK$1,ROW(SelectedSpecies)),ROW(878:878)),2),"")</f>
        <v/>
      </c>
      <c r="BE877" s="10"/>
      <c r="BI877" s="10"/>
    </row>
    <row r="878" spans="1:61" ht="21" customHeight="1" x14ac:dyDescent="0.25">
      <c r="A878" s="10"/>
      <c r="B878" s="10"/>
      <c r="E878" s="10"/>
      <c r="G878" s="10"/>
      <c r="I878" s="436" t="s">
        <v>6300</v>
      </c>
      <c r="J878" s="26" t="s">
        <v>6299</v>
      </c>
      <c r="K878" s="10">
        <v>0.9</v>
      </c>
      <c r="L878" s="73">
        <f>IF(Tank1!$C$23="No control",(SUMIF(Tank1!$B$32:$B$49,$J878,Tank1!$C$32:$C$49)*Impacts!$F$8),0)</f>
        <v>0</v>
      </c>
      <c r="M878" s="10">
        <f>IF(Tank2!$C$23="No control",(SUMIF(Tank2!$B$32:$B$49,$J878,Tank2!$C$32:$C$49)*Impacts!$F$9),0)</f>
        <v>0</v>
      </c>
      <c r="N878" s="10">
        <f>IF(Tank3!$C$23="No control",(SUMIF(Tank3!$B$32:$B$49,$J878,Tank3!$C$32:$C$49)*Impacts!$F$10),0)</f>
        <v>0</v>
      </c>
      <c r="O878" s="10">
        <f>IF(Tank4!$C$23="No control",(SUMIF(Tank4!$B$32:$B$49,$J878,Tank4!$C$32:$C$49)*Impacts!$F$11),0)</f>
        <v>0</v>
      </c>
      <c r="P878" s="10">
        <f>IF(Tank5!$C$23="No control",(SUMIF(Tank5!$B$32:$B$49,$J878,Tank5!$C$32:$C$49)*Impacts!$F$12),0)</f>
        <v>0</v>
      </c>
      <c r="Q878" s="10">
        <f>IFERROR(IF(('Loading-drum,tote'!$C$21)="No control",SUMIF(('Loading-drum,tote'!$B$31:$B$48),$J878,('Loading-drum,tote'!$D$31:$D$48))*Impacts!$F$13,IF(('Loading-drum,tote'!$C$21)&lt;&gt;"No control",SUMIF(('Loading-drum,tote'!$B$31:$B$48),$J878,('Loading-drum,tote'!$E$31:$E$48))*Impacts!$F$13,0)),0)</f>
        <v>0</v>
      </c>
      <c r="R878" s="10">
        <f>IFERROR(IF(('Loading-truck'!$C$21)="No control",SUMIF(('Loading-truck'!$B$31:$B$48),$J878,('Loading-truck'!$D$31:$D$48))*Impacts!$F$14,IF(('Loading-truck'!$C$21)&lt;&gt;"No control",SUMIF(('Loading-truck'!$B$31:$B$48),$J878,('Loading-truck'!$E$31:$E$48))*Impacts!$F$14,0)),0)</f>
        <v>0</v>
      </c>
      <c r="S878" s="10">
        <f>IFERROR(IF(('Loading-rail'!$C$21)="No control",SUMIF(('Loading-rail'!$B$31:$B$48),$J878,('Loading-rail'!$D$31:$D$48))*Impacts!$F$15,IF(('Loading-rail'!$C$21)&lt;&gt;"No control",SUMIF(('Loading-rail'!$B$31:$B$48),$J878,('Loading-rail'!$E$31:$E$48))*Impacts!$F$15,0)),0)</f>
        <v>0</v>
      </c>
      <c r="T878" s="10">
        <f>IF(Flare!$C$7="",0,(SUMIF(Flare!$B$46:$B$185,$J878,Flare!$E$46:$E$185)*Impacts!$F$16))</f>
        <v>0</v>
      </c>
      <c r="U878" s="10">
        <f>IF(VCU!$C$9="",0,(SUMIF(VCU!$B$51:$B$193,$J878,VCU!$E$51:$E$193)*Impacts!$F$17))</f>
        <v>0</v>
      </c>
      <c r="V878" s="10">
        <f>IF(CAS!$C$7="",0,(SUMIF(CAS!$B$31:$B$167,$J878,CAS!$E$31:$E$167)*Impacts!$F$18))</f>
        <v>0</v>
      </c>
      <c r="W878" s="10">
        <f t="shared" si="55"/>
        <v>0</v>
      </c>
      <c r="AK878" s="10" t="str">
        <f t="array" ref="AK878">IFERROR(INDEX(SelectedSpecies,SMALL(IF(SelectedSpecies=AK$1,ROW(SelectedSpecies)),ROW(879:879)),2),"")</f>
        <v/>
      </c>
      <c r="BE878" s="10"/>
      <c r="BI878" s="10"/>
    </row>
    <row r="879" spans="1:61" ht="21" customHeight="1" x14ac:dyDescent="0.25">
      <c r="A879" s="10"/>
      <c r="B879" s="10"/>
      <c r="E879" s="10"/>
      <c r="G879" s="10"/>
      <c r="I879" s="436" t="s">
        <v>6372</v>
      </c>
      <c r="J879" s="26" t="s">
        <v>6371</v>
      </c>
      <c r="K879" s="10">
        <v>0.81</v>
      </c>
      <c r="L879" s="73">
        <f>IF(Tank1!$C$23="No control",(SUMIF(Tank1!$B$32:$B$49,$J879,Tank1!$C$32:$C$49)*Impacts!$F$8),0)</f>
        <v>0</v>
      </c>
      <c r="M879" s="10">
        <f>IF(Tank2!$C$23="No control",(SUMIF(Tank2!$B$32:$B$49,$J879,Tank2!$C$32:$C$49)*Impacts!$F$9),0)</f>
        <v>0</v>
      </c>
      <c r="N879" s="10">
        <f>IF(Tank3!$C$23="No control",(SUMIF(Tank3!$B$32:$B$49,$J879,Tank3!$C$32:$C$49)*Impacts!$F$10),0)</f>
        <v>0</v>
      </c>
      <c r="O879" s="10">
        <f>IF(Tank4!$C$23="No control",(SUMIF(Tank4!$B$32:$B$49,$J879,Tank4!$C$32:$C$49)*Impacts!$F$11),0)</f>
        <v>0</v>
      </c>
      <c r="P879" s="10">
        <f>IF(Tank5!$C$23="No control",(SUMIF(Tank5!$B$32:$B$49,$J879,Tank5!$C$32:$C$49)*Impacts!$F$12),0)</f>
        <v>0</v>
      </c>
      <c r="Q879" s="10">
        <f>IFERROR(IF(('Loading-drum,tote'!$C$21)="No control",SUMIF(('Loading-drum,tote'!$B$31:$B$48),$J879,('Loading-drum,tote'!$D$31:$D$48))*Impacts!$F$13,IF(('Loading-drum,tote'!$C$21)&lt;&gt;"No control",SUMIF(('Loading-drum,tote'!$B$31:$B$48),$J879,('Loading-drum,tote'!$E$31:$E$48))*Impacts!$F$13,0)),0)</f>
        <v>0</v>
      </c>
      <c r="R879" s="10">
        <f>IFERROR(IF(('Loading-truck'!$C$21)="No control",SUMIF(('Loading-truck'!$B$31:$B$48),$J879,('Loading-truck'!$D$31:$D$48))*Impacts!$F$14,IF(('Loading-truck'!$C$21)&lt;&gt;"No control",SUMIF(('Loading-truck'!$B$31:$B$48),$J879,('Loading-truck'!$E$31:$E$48))*Impacts!$F$14,0)),0)</f>
        <v>0</v>
      </c>
      <c r="S879" s="10">
        <f>IFERROR(IF(('Loading-rail'!$C$21)="No control",SUMIF(('Loading-rail'!$B$31:$B$48),$J879,('Loading-rail'!$D$31:$D$48))*Impacts!$F$15,IF(('Loading-rail'!$C$21)&lt;&gt;"No control",SUMIF(('Loading-rail'!$B$31:$B$48),$J879,('Loading-rail'!$E$31:$E$48))*Impacts!$F$15,0)),0)</f>
        <v>0</v>
      </c>
      <c r="T879" s="10">
        <f>IF(Flare!$C$7="",0,(SUMIF(Flare!$B$46:$B$185,$J879,Flare!$E$46:$E$185)*Impacts!$F$16))</f>
        <v>0</v>
      </c>
      <c r="U879" s="10">
        <f>IF(VCU!$C$9="",0,(SUMIF(VCU!$B$51:$B$193,$J879,VCU!$E$51:$E$193)*Impacts!$F$17))</f>
        <v>0</v>
      </c>
      <c r="V879" s="10">
        <f>IF(CAS!$C$7="",0,(SUMIF(CAS!$B$31:$B$167,$J879,CAS!$E$31:$E$167)*Impacts!$F$18))</f>
        <v>0</v>
      </c>
      <c r="W879" s="10">
        <f t="shared" si="55"/>
        <v>0</v>
      </c>
      <c r="AK879" s="10" t="str">
        <f t="array" ref="AK879">IFERROR(INDEX(SelectedSpecies,SMALL(IF(SelectedSpecies=AK$1,ROW(SelectedSpecies)),ROW(880:880)),2),"")</f>
        <v/>
      </c>
      <c r="BE879" s="10"/>
      <c r="BI879" s="10"/>
    </row>
    <row r="880" spans="1:61" ht="21" customHeight="1" x14ac:dyDescent="0.25">
      <c r="A880" s="10"/>
      <c r="B880" s="10"/>
      <c r="E880" s="10"/>
      <c r="G880" s="10"/>
      <c r="I880" s="436" t="s">
        <v>6372</v>
      </c>
      <c r="J880" s="26" t="s">
        <v>10347</v>
      </c>
      <c r="K880" s="10">
        <v>5.6999999999999995E-2</v>
      </c>
      <c r="L880" s="73">
        <f>IF(Tank1!$C$23="No control",(SUMIF(Tank1!$B$32:$B$49,$J880,Tank1!$C$32:$C$49)*Impacts!$F$8),0)</f>
        <v>0</v>
      </c>
      <c r="M880" s="10">
        <f>IF(Tank2!$C$23="No control",(SUMIF(Tank2!$B$32:$B$49,$J880,Tank2!$C$32:$C$49)*Impacts!$F$9),0)</f>
        <v>0</v>
      </c>
      <c r="N880" s="10">
        <f>IF(Tank3!$C$23="No control",(SUMIF(Tank3!$B$32:$B$49,$J880,Tank3!$C$32:$C$49)*Impacts!$F$10),0)</f>
        <v>0</v>
      </c>
      <c r="O880" s="10">
        <f>IF(Tank4!$C$23="No control",(SUMIF(Tank4!$B$32:$B$49,$J880,Tank4!$C$32:$C$49)*Impacts!$F$11),0)</f>
        <v>0</v>
      </c>
      <c r="P880" s="10">
        <f>IF(Tank5!$C$23="No control",(SUMIF(Tank5!$B$32:$B$49,$J880,Tank5!$C$32:$C$49)*Impacts!$F$12),0)</f>
        <v>0</v>
      </c>
      <c r="Q880" s="10">
        <f>IFERROR(IF(('Loading-drum,tote'!$C$21)="No control",SUMIF(('Loading-drum,tote'!$B$31:$B$48),$J880,('Loading-drum,tote'!$D$31:$D$48))*Impacts!$F$13,IF(('Loading-drum,tote'!$C$21)&lt;&gt;"No control",SUMIF(('Loading-drum,tote'!$B$31:$B$48),$J880,('Loading-drum,tote'!$E$31:$E$48))*Impacts!$F$13,0)),0)</f>
        <v>0</v>
      </c>
      <c r="R880" s="10">
        <f>IFERROR(IF(('Loading-truck'!$C$21)="No control",SUMIF(('Loading-truck'!$B$31:$B$48),$J880,('Loading-truck'!$D$31:$D$48))*Impacts!$F$14,IF(('Loading-truck'!$C$21)&lt;&gt;"No control",SUMIF(('Loading-truck'!$B$31:$B$48),$J880,('Loading-truck'!$E$31:$E$48))*Impacts!$F$14,0)),0)</f>
        <v>0</v>
      </c>
      <c r="S880" s="10">
        <f>IFERROR(IF(('Loading-rail'!$C$21)="No control",SUMIF(('Loading-rail'!$B$31:$B$48),$J880,('Loading-rail'!$D$31:$D$48))*Impacts!$F$15,IF(('Loading-rail'!$C$21)&lt;&gt;"No control",SUMIF(('Loading-rail'!$B$31:$B$48),$J880,('Loading-rail'!$E$31:$E$48))*Impacts!$F$15,0)),0)</f>
        <v>0</v>
      </c>
      <c r="T880" s="10">
        <f>IF(Flare!$C$7="",0,(SUMIF(Flare!$B$46:$B$185,$J880,Flare!$E$46:$E$185)*Impacts!$F$16))</f>
        <v>0</v>
      </c>
      <c r="U880" s="10">
        <f>IF(VCU!$C$9="",0,(SUMIF(VCU!$B$51:$B$193,$J880,VCU!$E$51:$E$193)*Impacts!$F$17))</f>
        <v>0</v>
      </c>
      <c r="V880" s="10">
        <f>IF(CAS!$C$7="",0,(SUMIF(CAS!$B$31:$B$167,$J880,CAS!$E$31:$E$167)*Impacts!$F$18))</f>
        <v>0</v>
      </c>
      <c r="W880" s="10">
        <f t="shared" si="55"/>
        <v>0</v>
      </c>
      <c r="AK880" s="10" t="str">
        <f t="array" ref="AK880">IFERROR(INDEX(SelectedSpecies,SMALL(IF(SelectedSpecies=AK$1,ROW(SelectedSpecies)),ROW(881:881)),2),"")</f>
        <v/>
      </c>
      <c r="BE880" s="10"/>
      <c r="BI880" s="10"/>
    </row>
    <row r="881" spans="1:61" ht="21" customHeight="1" x14ac:dyDescent="0.25">
      <c r="A881" s="10"/>
      <c r="B881" s="10"/>
      <c r="E881" s="10"/>
      <c r="G881" s="10"/>
      <c r="I881" s="436" t="s">
        <v>6372</v>
      </c>
      <c r="J881" s="26" t="s">
        <v>10348</v>
      </c>
      <c r="K881" s="10">
        <v>7.0999999999999994E-2</v>
      </c>
      <c r="L881" s="73">
        <f>IF(Tank1!$C$23="No control",(SUMIF(Tank1!$B$32:$B$49,$J881,Tank1!$C$32:$C$49)*Impacts!$F$8),0)</f>
        <v>0</v>
      </c>
      <c r="M881" s="10">
        <f>IF(Tank2!$C$23="No control",(SUMIF(Tank2!$B$32:$B$49,$J881,Tank2!$C$32:$C$49)*Impacts!$F$9),0)</f>
        <v>0</v>
      </c>
      <c r="N881" s="10">
        <f>IF(Tank3!$C$23="No control",(SUMIF(Tank3!$B$32:$B$49,$J881,Tank3!$C$32:$C$49)*Impacts!$F$10),0)</f>
        <v>0</v>
      </c>
      <c r="O881" s="10">
        <f>IF(Tank4!$C$23="No control",(SUMIF(Tank4!$B$32:$B$49,$J881,Tank4!$C$32:$C$49)*Impacts!$F$11),0)</f>
        <v>0</v>
      </c>
      <c r="P881" s="10">
        <f>IF(Tank5!$C$23="No control",(SUMIF(Tank5!$B$32:$B$49,$J881,Tank5!$C$32:$C$49)*Impacts!$F$12),0)</f>
        <v>0</v>
      </c>
      <c r="Q881" s="10">
        <f>IFERROR(IF(('Loading-drum,tote'!$C$21)="No control",SUMIF(('Loading-drum,tote'!$B$31:$B$48),$J881,('Loading-drum,tote'!$D$31:$D$48))*Impacts!$F$13,IF(('Loading-drum,tote'!$C$21)&lt;&gt;"No control",SUMIF(('Loading-drum,tote'!$B$31:$B$48),$J881,('Loading-drum,tote'!$E$31:$E$48))*Impacts!$F$13,0)),0)</f>
        <v>0</v>
      </c>
      <c r="R881" s="10">
        <f>IFERROR(IF(('Loading-truck'!$C$21)="No control",SUMIF(('Loading-truck'!$B$31:$B$48),$J881,('Loading-truck'!$D$31:$D$48))*Impacts!$F$14,IF(('Loading-truck'!$C$21)&lt;&gt;"No control",SUMIF(('Loading-truck'!$B$31:$B$48),$J881,('Loading-truck'!$E$31:$E$48))*Impacts!$F$14,0)),0)</f>
        <v>0</v>
      </c>
      <c r="S881" s="10">
        <f>IFERROR(IF(('Loading-rail'!$C$21)="No control",SUMIF(('Loading-rail'!$B$31:$B$48),$J881,('Loading-rail'!$D$31:$D$48))*Impacts!$F$15,IF(('Loading-rail'!$C$21)&lt;&gt;"No control",SUMIF(('Loading-rail'!$B$31:$B$48),$J881,('Loading-rail'!$E$31:$E$48))*Impacts!$F$15,0)),0)</f>
        <v>0</v>
      </c>
      <c r="T881" s="10">
        <f>IF(Flare!$C$7="",0,(SUMIF(Flare!$B$46:$B$185,$J881,Flare!$E$46:$E$185)*Impacts!$F$16))</f>
        <v>0</v>
      </c>
      <c r="U881" s="10">
        <f>IF(VCU!$C$9="",0,(SUMIF(VCU!$B$51:$B$193,$J881,VCU!$E$51:$E$193)*Impacts!$F$17))</f>
        <v>0</v>
      </c>
      <c r="V881" s="10">
        <f>IF(CAS!$C$7="",0,(SUMIF(CAS!$B$31:$B$167,$J881,CAS!$E$31:$E$167)*Impacts!$F$18))</f>
        <v>0</v>
      </c>
      <c r="W881" s="10">
        <f t="shared" si="55"/>
        <v>0</v>
      </c>
      <c r="AK881" s="10" t="str">
        <f t="array" ref="AK881">IFERROR(INDEX(SelectedSpecies,SMALL(IF(SelectedSpecies=AK$1,ROW(SelectedSpecies)),ROW(882:882)),2),"")</f>
        <v/>
      </c>
      <c r="BE881" s="10"/>
      <c r="BI881" s="10"/>
    </row>
    <row r="882" spans="1:61" ht="21" customHeight="1" x14ac:dyDescent="0.25">
      <c r="A882" s="10"/>
      <c r="B882" s="10"/>
      <c r="E882" s="10"/>
      <c r="G882" s="10"/>
      <c r="I882" s="436" t="s">
        <v>441</v>
      </c>
      <c r="J882" s="26" t="s">
        <v>440</v>
      </c>
      <c r="K882" s="10">
        <v>164</v>
      </c>
      <c r="L882" s="73">
        <f>IF(Tank1!$C$23="No control",(SUMIF(Tank1!$B$32:$B$49,$J882,Tank1!$C$32:$C$49)*Impacts!$F$8),0)</f>
        <v>0</v>
      </c>
      <c r="M882" s="10">
        <f>IF(Tank2!$C$23="No control",(SUMIF(Tank2!$B$32:$B$49,$J882,Tank2!$C$32:$C$49)*Impacts!$F$9),0)</f>
        <v>0</v>
      </c>
      <c r="N882" s="10">
        <f>IF(Tank3!$C$23="No control",(SUMIF(Tank3!$B$32:$B$49,$J882,Tank3!$C$32:$C$49)*Impacts!$F$10),0)</f>
        <v>0</v>
      </c>
      <c r="O882" s="10">
        <f>IF(Tank4!$C$23="No control",(SUMIF(Tank4!$B$32:$B$49,$J882,Tank4!$C$32:$C$49)*Impacts!$F$11),0)</f>
        <v>0</v>
      </c>
      <c r="P882" s="10">
        <f>IF(Tank5!$C$23="No control",(SUMIF(Tank5!$B$32:$B$49,$J882,Tank5!$C$32:$C$49)*Impacts!$F$12),0)</f>
        <v>0</v>
      </c>
      <c r="Q882" s="10">
        <f>IFERROR(IF(('Loading-drum,tote'!$C$21)="No control",SUMIF(('Loading-drum,tote'!$B$31:$B$48),$J882,('Loading-drum,tote'!$D$31:$D$48))*Impacts!$F$13,IF(('Loading-drum,tote'!$C$21)&lt;&gt;"No control",SUMIF(('Loading-drum,tote'!$B$31:$B$48),$J882,('Loading-drum,tote'!$E$31:$E$48))*Impacts!$F$13,0)),0)</f>
        <v>0</v>
      </c>
      <c r="R882" s="10">
        <f>IFERROR(IF(('Loading-truck'!$C$21)="No control",SUMIF(('Loading-truck'!$B$31:$B$48),$J882,('Loading-truck'!$D$31:$D$48))*Impacts!$F$14,IF(('Loading-truck'!$C$21)&lt;&gt;"No control",SUMIF(('Loading-truck'!$B$31:$B$48),$J882,('Loading-truck'!$E$31:$E$48))*Impacts!$F$14,0)),0)</f>
        <v>0</v>
      </c>
      <c r="S882" s="10">
        <f>IFERROR(IF(('Loading-rail'!$C$21)="No control",SUMIF(('Loading-rail'!$B$31:$B$48),$J882,('Loading-rail'!$D$31:$D$48))*Impacts!$F$15,IF(('Loading-rail'!$C$21)&lt;&gt;"No control",SUMIF(('Loading-rail'!$B$31:$B$48),$J882,('Loading-rail'!$E$31:$E$48))*Impacts!$F$15,0)),0)</f>
        <v>0</v>
      </c>
      <c r="T882" s="10">
        <f>IF(Flare!$C$7="",0,(SUMIF(Flare!$B$46:$B$185,$J882,Flare!$E$46:$E$185)*Impacts!$F$16))</f>
        <v>0</v>
      </c>
      <c r="U882" s="10">
        <f>IF(VCU!$C$9="",0,(SUMIF(VCU!$B$51:$B$193,$J882,VCU!$E$51:$E$193)*Impacts!$F$17))</f>
        <v>0</v>
      </c>
      <c r="V882" s="10">
        <f>IF(CAS!$C$7="",0,(SUMIF(CAS!$B$31:$B$167,$J882,CAS!$E$31:$E$167)*Impacts!$F$18))</f>
        <v>0</v>
      </c>
      <c r="W882" s="10">
        <f t="shared" si="55"/>
        <v>0</v>
      </c>
      <c r="AK882" s="10" t="str">
        <f t="array" ref="AK882">IFERROR(INDEX(SelectedSpecies,SMALL(IF(SelectedSpecies=AK$1,ROW(SelectedSpecies)),ROW(883:883)),2),"")</f>
        <v/>
      </c>
      <c r="BE882" s="10"/>
      <c r="BI882" s="10"/>
    </row>
    <row r="883" spans="1:61" ht="21" customHeight="1" x14ac:dyDescent="0.25">
      <c r="A883" s="10"/>
      <c r="B883" s="10"/>
      <c r="E883" s="10"/>
      <c r="G883" s="10"/>
      <c r="I883" s="436" t="s">
        <v>7450</v>
      </c>
      <c r="J883" s="26" t="s">
        <v>7449</v>
      </c>
      <c r="K883" s="10">
        <v>0.2</v>
      </c>
      <c r="L883" s="73">
        <f>IF(Tank1!$C$23="No control",(SUMIF(Tank1!$B$32:$B$49,$J883,Tank1!$C$32:$C$49)*Impacts!$F$8),0)</f>
        <v>0</v>
      </c>
      <c r="M883" s="10">
        <f>IF(Tank2!$C$23="No control",(SUMIF(Tank2!$B$32:$B$49,$J883,Tank2!$C$32:$C$49)*Impacts!$F$9),0)</f>
        <v>0</v>
      </c>
      <c r="N883" s="10">
        <f>IF(Tank3!$C$23="No control",(SUMIF(Tank3!$B$32:$B$49,$J883,Tank3!$C$32:$C$49)*Impacts!$F$10),0)</f>
        <v>0</v>
      </c>
      <c r="O883" s="10">
        <f>IF(Tank4!$C$23="No control",(SUMIF(Tank4!$B$32:$B$49,$J883,Tank4!$C$32:$C$49)*Impacts!$F$11),0)</f>
        <v>0</v>
      </c>
      <c r="P883" s="10">
        <f>IF(Tank5!$C$23="No control",(SUMIF(Tank5!$B$32:$B$49,$J883,Tank5!$C$32:$C$49)*Impacts!$F$12),0)</f>
        <v>0</v>
      </c>
      <c r="Q883" s="10">
        <f>IFERROR(IF(('Loading-drum,tote'!$C$21)="No control",SUMIF(('Loading-drum,tote'!$B$31:$B$48),$J883,('Loading-drum,tote'!$D$31:$D$48))*Impacts!$F$13,IF(('Loading-drum,tote'!$C$21)&lt;&gt;"No control",SUMIF(('Loading-drum,tote'!$B$31:$B$48),$J883,('Loading-drum,tote'!$E$31:$E$48))*Impacts!$F$13,0)),0)</f>
        <v>0</v>
      </c>
      <c r="R883" s="10">
        <f>IFERROR(IF(('Loading-truck'!$C$21)="No control",SUMIF(('Loading-truck'!$B$31:$B$48),$J883,('Loading-truck'!$D$31:$D$48))*Impacts!$F$14,IF(('Loading-truck'!$C$21)&lt;&gt;"No control",SUMIF(('Loading-truck'!$B$31:$B$48),$J883,('Loading-truck'!$E$31:$E$48))*Impacts!$F$14,0)),0)</f>
        <v>0</v>
      </c>
      <c r="S883" s="10">
        <f>IFERROR(IF(('Loading-rail'!$C$21)="No control",SUMIF(('Loading-rail'!$B$31:$B$48),$J883,('Loading-rail'!$D$31:$D$48))*Impacts!$F$15,IF(('Loading-rail'!$C$21)&lt;&gt;"No control",SUMIF(('Loading-rail'!$B$31:$B$48),$J883,('Loading-rail'!$E$31:$E$48))*Impacts!$F$15,0)),0)</f>
        <v>0</v>
      </c>
      <c r="T883" s="10">
        <f>IF(Flare!$C$7="",0,(SUMIF(Flare!$B$46:$B$185,$J883,Flare!$E$46:$E$185)*Impacts!$F$16))</f>
        <v>0</v>
      </c>
      <c r="U883" s="10">
        <f>IF(VCU!$C$9="",0,(SUMIF(VCU!$B$51:$B$193,$J883,VCU!$E$51:$E$193)*Impacts!$F$17))</f>
        <v>0</v>
      </c>
      <c r="V883" s="10">
        <f>IF(CAS!$C$7="",0,(SUMIF(CAS!$B$31:$B$167,$J883,CAS!$E$31:$E$167)*Impacts!$F$18))</f>
        <v>0</v>
      </c>
      <c r="W883" s="10">
        <f t="shared" si="55"/>
        <v>0</v>
      </c>
      <c r="AK883" s="10" t="str">
        <f t="array" ref="AK883">IFERROR(INDEX(SelectedSpecies,SMALL(IF(SelectedSpecies=AK$1,ROW(SelectedSpecies)),ROW(884:884)),2),"")</f>
        <v/>
      </c>
      <c r="BE883" s="10"/>
      <c r="BI883" s="10"/>
    </row>
    <row r="884" spans="1:61" ht="21" customHeight="1" x14ac:dyDescent="0.25">
      <c r="A884" s="10"/>
      <c r="B884" s="10"/>
      <c r="E884" s="10"/>
      <c r="G884" s="10"/>
      <c r="I884" s="436" t="s">
        <v>970</v>
      </c>
      <c r="J884" s="26" t="s">
        <v>969</v>
      </c>
      <c r="K884" s="10">
        <v>36</v>
      </c>
      <c r="L884" s="73">
        <f>IF(Tank1!$C$23="No control",(SUMIF(Tank1!$B$32:$B$49,$J884,Tank1!$C$32:$C$49)*Impacts!$F$8),0)</f>
        <v>0</v>
      </c>
      <c r="M884" s="10">
        <f>IF(Tank2!$C$23="No control",(SUMIF(Tank2!$B$32:$B$49,$J884,Tank2!$C$32:$C$49)*Impacts!$F$9),0)</f>
        <v>0</v>
      </c>
      <c r="N884" s="10">
        <f>IF(Tank3!$C$23="No control",(SUMIF(Tank3!$B$32:$B$49,$J884,Tank3!$C$32:$C$49)*Impacts!$F$10),0)</f>
        <v>0</v>
      </c>
      <c r="O884" s="10">
        <f>IF(Tank4!$C$23="No control",(SUMIF(Tank4!$B$32:$B$49,$J884,Tank4!$C$32:$C$49)*Impacts!$F$11),0)</f>
        <v>0</v>
      </c>
      <c r="P884" s="10">
        <f>IF(Tank5!$C$23="No control",(SUMIF(Tank5!$B$32:$B$49,$J884,Tank5!$C$32:$C$49)*Impacts!$F$12),0)</f>
        <v>0</v>
      </c>
      <c r="Q884" s="10">
        <f>IFERROR(IF(('Loading-drum,tote'!$C$21)="No control",SUMIF(('Loading-drum,tote'!$B$31:$B$48),$J884,('Loading-drum,tote'!$D$31:$D$48))*Impacts!$F$13,IF(('Loading-drum,tote'!$C$21)&lt;&gt;"No control",SUMIF(('Loading-drum,tote'!$B$31:$B$48),$J884,('Loading-drum,tote'!$E$31:$E$48))*Impacts!$F$13,0)),0)</f>
        <v>0</v>
      </c>
      <c r="R884" s="10">
        <f>IFERROR(IF(('Loading-truck'!$C$21)="No control",SUMIF(('Loading-truck'!$B$31:$B$48),$J884,('Loading-truck'!$D$31:$D$48))*Impacts!$F$14,IF(('Loading-truck'!$C$21)&lt;&gt;"No control",SUMIF(('Loading-truck'!$B$31:$B$48),$J884,('Loading-truck'!$E$31:$E$48))*Impacts!$F$14,0)),0)</f>
        <v>0</v>
      </c>
      <c r="S884" s="10">
        <f>IFERROR(IF(('Loading-rail'!$C$21)="No control",SUMIF(('Loading-rail'!$B$31:$B$48),$J884,('Loading-rail'!$D$31:$D$48))*Impacts!$F$15,IF(('Loading-rail'!$C$21)&lt;&gt;"No control",SUMIF(('Loading-rail'!$B$31:$B$48),$J884,('Loading-rail'!$E$31:$E$48))*Impacts!$F$15,0)),0)</f>
        <v>0</v>
      </c>
      <c r="T884" s="10">
        <f>IF(Flare!$C$7="",0,(SUMIF(Flare!$B$46:$B$185,$J884,Flare!$E$46:$E$185)*Impacts!$F$16))</f>
        <v>0</v>
      </c>
      <c r="U884" s="10">
        <f>IF(VCU!$C$9="",0,(SUMIF(VCU!$B$51:$B$193,$J884,VCU!$E$51:$E$193)*Impacts!$F$17))</f>
        <v>0</v>
      </c>
      <c r="V884" s="10">
        <f>IF(CAS!$C$7="",0,(SUMIF(CAS!$B$31:$B$167,$J884,CAS!$E$31:$E$167)*Impacts!$F$18))</f>
        <v>0</v>
      </c>
      <c r="W884" s="10">
        <f t="shared" si="55"/>
        <v>0</v>
      </c>
      <c r="AK884" s="10" t="str">
        <f t="array" ref="AK884">IFERROR(INDEX(SelectedSpecies,SMALL(IF(SelectedSpecies=AK$1,ROW(SelectedSpecies)),ROW(885:885)),2),"")</f>
        <v/>
      </c>
      <c r="BE884" s="10"/>
      <c r="BI884" s="10"/>
    </row>
    <row r="885" spans="1:61" ht="21" customHeight="1" x14ac:dyDescent="0.25">
      <c r="A885" s="10"/>
      <c r="B885" s="10"/>
      <c r="E885" s="10"/>
      <c r="G885" s="10"/>
      <c r="I885" s="436" t="s">
        <v>6374</v>
      </c>
      <c r="J885" s="26" t="s">
        <v>6373</v>
      </c>
      <c r="K885" s="10">
        <v>0.81</v>
      </c>
      <c r="L885" s="73">
        <f>IF(Tank1!$C$23="No control",(SUMIF(Tank1!$B$32:$B$49,$J885,Tank1!$C$32:$C$49)*Impacts!$F$8),0)</f>
        <v>0</v>
      </c>
      <c r="M885" s="10">
        <f>IF(Tank2!$C$23="No control",(SUMIF(Tank2!$B$32:$B$49,$J885,Tank2!$C$32:$C$49)*Impacts!$F$9),0)</f>
        <v>0</v>
      </c>
      <c r="N885" s="10">
        <f>IF(Tank3!$C$23="No control",(SUMIF(Tank3!$B$32:$B$49,$J885,Tank3!$C$32:$C$49)*Impacts!$F$10),0)</f>
        <v>0</v>
      </c>
      <c r="O885" s="10">
        <f>IF(Tank4!$C$23="No control",(SUMIF(Tank4!$B$32:$B$49,$J885,Tank4!$C$32:$C$49)*Impacts!$F$11),0)</f>
        <v>0</v>
      </c>
      <c r="P885" s="10">
        <f>IF(Tank5!$C$23="No control",(SUMIF(Tank5!$B$32:$B$49,$J885,Tank5!$C$32:$C$49)*Impacts!$F$12),0)</f>
        <v>0</v>
      </c>
      <c r="Q885" s="10">
        <f>IFERROR(IF(('Loading-drum,tote'!$C$21)="No control",SUMIF(('Loading-drum,tote'!$B$31:$B$48),$J885,('Loading-drum,tote'!$D$31:$D$48))*Impacts!$F$13,IF(('Loading-drum,tote'!$C$21)&lt;&gt;"No control",SUMIF(('Loading-drum,tote'!$B$31:$B$48),$J885,('Loading-drum,tote'!$E$31:$E$48))*Impacts!$F$13,0)),0)</f>
        <v>0</v>
      </c>
      <c r="R885" s="10">
        <f>IFERROR(IF(('Loading-truck'!$C$21)="No control",SUMIF(('Loading-truck'!$B$31:$B$48),$J885,('Loading-truck'!$D$31:$D$48))*Impacts!$F$14,IF(('Loading-truck'!$C$21)&lt;&gt;"No control",SUMIF(('Loading-truck'!$B$31:$B$48),$J885,('Loading-truck'!$E$31:$E$48))*Impacts!$F$14,0)),0)</f>
        <v>0</v>
      </c>
      <c r="S885" s="10">
        <f>IFERROR(IF(('Loading-rail'!$C$21)="No control",SUMIF(('Loading-rail'!$B$31:$B$48),$J885,('Loading-rail'!$D$31:$D$48))*Impacts!$F$15,IF(('Loading-rail'!$C$21)&lt;&gt;"No control",SUMIF(('Loading-rail'!$B$31:$B$48),$J885,('Loading-rail'!$E$31:$E$48))*Impacts!$F$15,0)),0)</f>
        <v>0</v>
      </c>
      <c r="T885" s="10">
        <f>IF(Flare!$C$7="",0,(SUMIF(Flare!$B$46:$B$185,$J885,Flare!$E$46:$E$185)*Impacts!$F$16))</f>
        <v>0</v>
      </c>
      <c r="U885" s="10">
        <f>IF(VCU!$C$9="",0,(SUMIF(VCU!$B$51:$B$193,$J885,VCU!$E$51:$E$193)*Impacts!$F$17))</f>
        <v>0</v>
      </c>
      <c r="V885" s="10">
        <f>IF(CAS!$C$7="",0,(SUMIF(CAS!$B$31:$B$167,$J885,CAS!$E$31:$E$167)*Impacts!$F$18))</f>
        <v>0</v>
      </c>
      <c r="W885" s="10">
        <f t="shared" si="55"/>
        <v>0</v>
      </c>
      <c r="AK885" s="10" t="str">
        <f t="array" ref="AK885">IFERROR(INDEX(SelectedSpecies,SMALL(IF(SelectedSpecies=AK$1,ROW(SelectedSpecies)),ROW(886:886)),2),"")</f>
        <v/>
      </c>
      <c r="BE885" s="10"/>
      <c r="BI885" s="10"/>
    </row>
    <row r="886" spans="1:61" ht="21" customHeight="1" x14ac:dyDescent="0.25">
      <c r="A886" s="10"/>
      <c r="B886" s="10"/>
      <c r="E886" s="10"/>
      <c r="G886" s="10"/>
      <c r="I886" s="436" t="s">
        <v>6374</v>
      </c>
      <c r="J886" s="26" t="s">
        <v>10349</v>
      </c>
      <c r="K886" s="10">
        <v>5.6999999999999995E-2</v>
      </c>
      <c r="L886" s="73">
        <f>IF(Tank1!$C$23="No control",(SUMIF(Tank1!$B$32:$B$49,$J886,Tank1!$C$32:$C$49)*Impacts!$F$8),0)</f>
        <v>0</v>
      </c>
      <c r="M886" s="10">
        <f>IF(Tank2!$C$23="No control",(SUMIF(Tank2!$B$32:$B$49,$J886,Tank2!$C$32:$C$49)*Impacts!$F$9),0)</f>
        <v>0</v>
      </c>
      <c r="N886" s="10">
        <f>IF(Tank3!$C$23="No control",(SUMIF(Tank3!$B$32:$B$49,$J886,Tank3!$C$32:$C$49)*Impacts!$F$10),0)</f>
        <v>0</v>
      </c>
      <c r="O886" s="10">
        <f>IF(Tank4!$C$23="No control",(SUMIF(Tank4!$B$32:$B$49,$J886,Tank4!$C$32:$C$49)*Impacts!$F$11),0)</f>
        <v>0</v>
      </c>
      <c r="P886" s="10">
        <f>IF(Tank5!$C$23="No control",(SUMIF(Tank5!$B$32:$B$49,$J886,Tank5!$C$32:$C$49)*Impacts!$F$12),0)</f>
        <v>0</v>
      </c>
      <c r="Q886" s="10">
        <f>IFERROR(IF(('Loading-drum,tote'!$C$21)="No control",SUMIF(('Loading-drum,tote'!$B$31:$B$48),$J886,('Loading-drum,tote'!$D$31:$D$48))*Impacts!$F$13,IF(('Loading-drum,tote'!$C$21)&lt;&gt;"No control",SUMIF(('Loading-drum,tote'!$B$31:$B$48),$J886,('Loading-drum,tote'!$E$31:$E$48))*Impacts!$F$13,0)),0)</f>
        <v>0</v>
      </c>
      <c r="R886" s="10">
        <f>IFERROR(IF(('Loading-truck'!$C$21)="No control",SUMIF(('Loading-truck'!$B$31:$B$48),$J886,('Loading-truck'!$D$31:$D$48))*Impacts!$F$14,IF(('Loading-truck'!$C$21)&lt;&gt;"No control",SUMIF(('Loading-truck'!$B$31:$B$48),$J886,('Loading-truck'!$E$31:$E$48))*Impacts!$F$14,0)),0)</f>
        <v>0</v>
      </c>
      <c r="S886" s="10">
        <f>IFERROR(IF(('Loading-rail'!$C$21)="No control",SUMIF(('Loading-rail'!$B$31:$B$48),$J886,('Loading-rail'!$D$31:$D$48))*Impacts!$F$15,IF(('Loading-rail'!$C$21)&lt;&gt;"No control",SUMIF(('Loading-rail'!$B$31:$B$48),$J886,('Loading-rail'!$E$31:$E$48))*Impacts!$F$15,0)),0)</f>
        <v>0</v>
      </c>
      <c r="T886" s="10">
        <f>IF(Flare!$C$7="",0,(SUMIF(Flare!$B$46:$B$185,$J886,Flare!$E$46:$E$185)*Impacts!$F$16))</f>
        <v>0</v>
      </c>
      <c r="U886" s="10">
        <f>IF(VCU!$C$9="",0,(SUMIF(VCU!$B$51:$B$193,$J886,VCU!$E$51:$E$193)*Impacts!$F$17))</f>
        <v>0</v>
      </c>
      <c r="V886" s="10">
        <f>IF(CAS!$C$7="",0,(SUMIF(CAS!$B$31:$B$167,$J886,CAS!$E$31:$E$167)*Impacts!$F$18))</f>
        <v>0</v>
      </c>
      <c r="W886" s="10">
        <f t="shared" si="55"/>
        <v>0</v>
      </c>
      <c r="AK886" s="10" t="str">
        <f t="array" ref="AK886">IFERROR(INDEX(SelectedSpecies,SMALL(IF(SelectedSpecies=AK$1,ROW(SelectedSpecies)),ROW(887:887)),2),"")</f>
        <v/>
      </c>
      <c r="BE886" s="10"/>
      <c r="BI886" s="10"/>
    </row>
    <row r="887" spans="1:61" ht="21" customHeight="1" x14ac:dyDescent="0.25">
      <c r="A887" s="10"/>
      <c r="B887" s="10"/>
      <c r="E887" s="10"/>
      <c r="G887" s="10"/>
      <c r="I887" s="436" t="s">
        <v>6374</v>
      </c>
      <c r="J887" s="26" t="s">
        <v>10350</v>
      </c>
      <c r="K887" s="10">
        <v>7.0999999999999994E-2</v>
      </c>
      <c r="L887" s="73">
        <f>IF(Tank1!$C$23="No control",(SUMIF(Tank1!$B$32:$B$49,$J887,Tank1!$C$32:$C$49)*Impacts!$F$8),0)</f>
        <v>0</v>
      </c>
      <c r="M887" s="10">
        <f>IF(Tank2!$C$23="No control",(SUMIF(Tank2!$B$32:$B$49,$J887,Tank2!$C$32:$C$49)*Impacts!$F$9),0)</f>
        <v>0</v>
      </c>
      <c r="N887" s="10">
        <f>IF(Tank3!$C$23="No control",(SUMIF(Tank3!$B$32:$B$49,$J887,Tank3!$C$32:$C$49)*Impacts!$F$10),0)</f>
        <v>0</v>
      </c>
      <c r="O887" s="10">
        <f>IF(Tank4!$C$23="No control",(SUMIF(Tank4!$B$32:$B$49,$J887,Tank4!$C$32:$C$49)*Impacts!$F$11),0)</f>
        <v>0</v>
      </c>
      <c r="P887" s="10">
        <f>IF(Tank5!$C$23="No control",(SUMIF(Tank5!$B$32:$B$49,$J887,Tank5!$C$32:$C$49)*Impacts!$F$12),0)</f>
        <v>0</v>
      </c>
      <c r="Q887" s="10">
        <f>IFERROR(IF(('Loading-drum,tote'!$C$21)="No control",SUMIF(('Loading-drum,tote'!$B$31:$B$48),$J887,('Loading-drum,tote'!$D$31:$D$48))*Impacts!$F$13,IF(('Loading-drum,tote'!$C$21)&lt;&gt;"No control",SUMIF(('Loading-drum,tote'!$B$31:$B$48),$J887,('Loading-drum,tote'!$E$31:$E$48))*Impacts!$F$13,0)),0)</f>
        <v>0</v>
      </c>
      <c r="R887" s="10">
        <f>IFERROR(IF(('Loading-truck'!$C$21)="No control",SUMIF(('Loading-truck'!$B$31:$B$48),$J887,('Loading-truck'!$D$31:$D$48))*Impacts!$F$14,IF(('Loading-truck'!$C$21)&lt;&gt;"No control",SUMIF(('Loading-truck'!$B$31:$B$48),$J887,('Loading-truck'!$E$31:$E$48))*Impacts!$F$14,0)),0)</f>
        <v>0</v>
      </c>
      <c r="S887" s="10">
        <f>IFERROR(IF(('Loading-rail'!$C$21)="No control",SUMIF(('Loading-rail'!$B$31:$B$48),$J887,('Loading-rail'!$D$31:$D$48))*Impacts!$F$15,IF(('Loading-rail'!$C$21)&lt;&gt;"No control",SUMIF(('Loading-rail'!$B$31:$B$48),$J887,('Loading-rail'!$E$31:$E$48))*Impacts!$F$15,0)),0)</f>
        <v>0</v>
      </c>
      <c r="T887" s="10">
        <f>IF(Flare!$C$7="",0,(SUMIF(Flare!$B$46:$B$185,$J887,Flare!$E$46:$E$185)*Impacts!$F$16))</f>
        <v>0</v>
      </c>
      <c r="U887" s="10">
        <f>IF(VCU!$C$9="",0,(SUMIF(VCU!$B$51:$B$193,$J887,VCU!$E$51:$E$193)*Impacts!$F$17))</f>
        <v>0</v>
      </c>
      <c r="V887" s="10">
        <f>IF(CAS!$C$7="",0,(SUMIF(CAS!$B$31:$B$167,$J887,CAS!$E$31:$E$167)*Impacts!$F$18))</f>
        <v>0</v>
      </c>
      <c r="W887" s="10">
        <f t="shared" si="55"/>
        <v>0</v>
      </c>
      <c r="AK887" s="10" t="str">
        <f t="array" ref="AK887">IFERROR(INDEX(SelectedSpecies,SMALL(IF(SelectedSpecies=AK$1,ROW(SelectedSpecies)),ROW(888:888)),2),"")</f>
        <v/>
      </c>
      <c r="BE887" s="10"/>
      <c r="BI887" s="10"/>
    </row>
    <row r="888" spans="1:61" ht="21" customHeight="1" x14ac:dyDescent="0.25">
      <c r="A888" s="10"/>
      <c r="B888" s="10"/>
      <c r="E888" s="10"/>
      <c r="G888" s="10"/>
      <c r="I888" s="436" t="s">
        <v>7452</v>
      </c>
      <c r="J888" s="26" t="s">
        <v>7451</v>
      </c>
      <c r="K888" s="10">
        <v>0.2</v>
      </c>
      <c r="L888" s="73">
        <f>IF(Tank1!$C$23="No control",(SUMIF(Tank1!$B$32:$B$49,$J888,Tank1!$C$32:$C$49)*Impacts!$F$8),0)</f>
        <v>0</v>
      </c>
      <c r="M888" s="10">
        <f>IF(Tank2!$C$23="No control",(SUMIF(Tank2!$B$32:$B$49,$J888,Tank2!$C$32:$C$49)*Impacts!$F$9),0)</f>
        <v>0</v>
      </c>
      <c r="N888" s="10">
        <f>IF(Tank3!$C$23="No control",(SUMIF(Tank3!$B$32:$B$49,$J888,Tank3!$C$32:$C$49)*Impacts!$F$10),0)</f>
        <v>0</v>
      </c>
      <c r="O888" s="10">
        <f>IF(Tank4!$C$23="No control",(SUMIF(Tank4!$B$32:$B$49,$J888,Tank4!$C$32:$C$49)*Impacts!$F$11),0)</f>
        <v>0</v>
      </c>
      <c r="P888" s="10">
        <f>IF(Tank5!$C$23="No control",(SUMIF(Tank5!$B$32:$B$49,$J888,Tank5!$C$32:$C$49)*Impacts!$F$12),0)</f>
        <v>0</v>
      </c>
      <c r="Q888" s="10">
        <f>IFERROR(IF(('Loading-drum,tote'!$C$21)="No control",SUMIF(('Loading-drum,tote'!$B$31:$B$48),$J888,('Loading-drum,tote'!$D$31:$D$48))*Impacts!$F$13,IF(('Loading-drum,tote'!$C$21)&lt;&gt;"No control",SUMIF(('Loading-drum,tote'!$B$31:$B$48),$J888,('Loading-drum,tote'!$E$31:$E$48))*Impacts!$F$13,0)),0)</f>
        <v>0</v>
      </c>
      <c r="R888" s="10">
        <f>IFERROR(IF(('Loading-truck'!$C$21)="No control",SUMIF(('Loading-truck'!$B$31:$B$48),$J888,('Loading-truck'!$D$31:$D$48))*Impacts!$F$14,IF(('Loading-truck'!$C$21)&lt;&gt;"No control",SUMIF(('Loading-truck'!$B$31:$B$48),$J888,('Loading-truck'!$E$31:$E$48))*Impacts!$F$14,0)),0)</f>
        <v>0</v>
      </c>
      <c r="S888" s="10">
        <f>IFERROR(IF(('Loading-rail'!$C$21)="No control",SUMIF(('Loading-rail'!$B$31:$B$48),$J888,('Loading-rail'!$D$31:$D$48))*Impacts!$F$15,IF(('Loading-rail'!$C$21)&lt;&gt;"No control",SUMIF(('Loading-rail'!$B$31:$B$48),$J888,('Loading-rail'!$E$31:$E$48))*Impacts!$F$15,0)),0)</f>
        <v>0</v>
      </c>
      <c r="T888" s="10">
        <f>IF(Flare!$C$7="",0,(SUMIF(Flare!$B$46:$B$185,$J888,Flare!$E$46:$E$185)*Impacts!$F$16))</f>
        <v>0</v>
      </c>
      <c r="U888" s="10">
        <f>IF(VCU!$C$9="",0,(SUMIF(VCU!$B$51:$B$193,$J888,VCU!$E$51:$E$193)*Impacts!$F$17))</f>
        <v>0</v>
      </c>
      <c r="V888" s="10">
        <f>IF(CAS!$C$7="",0,(SUMIF(CAS!$B$31:$B$167,$J888,CAS!$E$31:$E$167)*Impacts!$F$18))</f>
        <v>0</v>
      </c>
      <c r="W888" s="10">
        <f t="shared" si="55"/>
        <v>0</v>
      </c>
      <c r="AK888" s="10" t="str">
        <f t="array" ref="AK888">IFERROR(INDEX(SelectedSpecies,SMALL(IF(SelectedSpecies=AK$1,ROW(SelectedSpecies)),ROW(889:889)),2),"")</f>
        <v/>
      </c>
      <c r="BE888" s="10"/>
      <c r="BI888" s="10"/>
    </row>
    <row r="889" spans="1:61" ht="21" customHeight="1" x14ac:dyDescent="0.25">
      <c r="A889" s="10"/>
      <c r="B889" s="10"/>
      <c r="E889" s="10"/>
      <c r="G889" s="10"/>
      <c r="I889" s="436" t="s">
        <v>1791</v>
      </c>
      <c r="J889" s="26" t="s">
        <v>1790</v>
      </c>
      <c r="K889" s="10">
        <v>22</v>
      </c>
      <c r="L889" s="73">
        <f>IF(Tank1!$C$23="No control",(SUMIF(Tank1!$B$32:$B$49,$J889,Tank1!$C$32:$C$49)*Impacts!$F$8),0)</f>
        <v>0</v>
      </c>
      <c r="M889" s="10">
        <f>IF(Tank2!$C$23="No control",(SUMIF(Tank2!$B$32:$B$49,$J889,Tank2!$C$32:$C$49)*Impacts!$F$9),0)</f>
        <v>0</v>
      </c>
      <c r="N889" s="10">
        <f>IF(Tank3!$C$23="No control",(SUMIF(Tank3!$B$32:$B$49,$J889,Tank3!$C$32:$C$49)*Impacts!$F$10),0)</f>
        <v>0</v>
      </c>
      <c r="O889" s="10">
        <f>IF(Tank4!$C$23="No control",(SUMIF(Tank4!$B$32:$B$49,$J889,Tank4!$C$32:$C$49)*Impacts!$F$11),0)</f>
        <v>0</v>
      </c>
      <c r="P889" s="10">
        <f>IF(Tank5!$C$23="No control",(SUMIF(Tank5!$B$32:$B$49,$J889,Tank5!$C$32:$C$49)*Impacts!$F$12),0)</f>
        <v>0</v>
      </c>
      <c r="Q889" s="10">
        <f>IFERROR(IF(('Loading-drum,tote'!$C$21)="No control",SUMIF(('Loading-drum,tote'!$B$31:$B$48),$J889,('Loading-drum,tote'!$D$31:$D$48))*Impacts!$F$13,IF(('Loading-drum,tote'!$C$21)&lt;&gt;"No control",SUMIF(('Loading-drum,tote'!$B$31:$B$48),$J889,('Loading-drum,tote'!$E$31:$E$48))*Impacts!$F$13,0)),0)</f>
        <v>0</v>
      </c>
      <c r="R889" s="10">
        <f>IFERROR(IF(('Loading-truck'!$C$21)="No control",SUMIF(('Loading-truck'!$B$31:$B$48),$J889,('Loading-truck'!$D$31:$D$48))*Impacts!$F$14,IF(('Loading-truck'!$C$21)&lt;&gt;"No control",SUMIF(('Loading-truck'!$B$31:$B$48),$J889,('Loading-truck'!$E$31:$E$48))*Impacts!$F$14,0)),0)</f>
        <v>0</v>
      </c>
      <c r="S889" s="10">
        <f>IFERROR(IF(('Loading-rail'!$C$21)="No control",SUMIF(('Loading-rail'!$B$31:$B$48),$J889,('Loading-rail'!$D$31:$D$48))*Impacts!$F$15,IF(('Loading-rail'!$C$21)&lt;&gt;"No control",SUMIF(('Loading-rail'!$B$31:$B$48),$J889,('Loading-rail'!$E$31:$E$48))*Impacts!$F$15,0)),0)</f>
        <v>0</v>
      </c>
      <c r="T889" s="10">
        <f>IF(Flare!$C$7="",0,(SUMIF(Flare!$B$46:$B$185,$J889,Flare!$E$46:$E$185)*Impacts!$F$16))</f>
        <v>0</v>
      </c>
      <c r="U889" s="10">
        <f>IF(VCU!$C$9="",0,(SUMIF(VCU!$B$51:$B$193,$J889,VCU!$E$51:$E$193)*Impacts!$F$17))</f>
        <v>0</v>
      </c>
      <c r="V889" s="10">
        <f>IF(CAS!$C$7="",0,(SUMIF(CAS!$B$31:$B$167,$J889,CAS!$E$31:$E$167)*Impacts!$F$18))</f>
        <v>0</v>
      </c>
      <c r="W889" s="10">
        <f t="shared" si="55"/>
        <v>0</v>
      </c>
      <c r="AK889" s="10" t="str">
        <f t="array" ref="AK889">IFERROR(INDEX(SelectedSpecies,SMALL(IF(SelectedSpecies=AK$1,ROW(SelectedSpecies)),ROW(890:890)),2),"")</f>
        <v/>
      </c>
      <c r="BE889" s="10"/>
      <c r="BI889" s="10"/>
    </row>
    <row r="890" spans="1:61" ht="21" customHeight="1" x14ac:dyDescent="0.25">
      <c r="A890" s="10"/>
      <c r="B890" s="10"/>
      <c r="E890" s="10"/>
      <c r="G890" s="10"/>
      <c r="I890" s="436" t="s">
        <v>4809</v>
      </c>
      <c r="J890" s="26" t="s">
        <v>4808</v>
      </c>
      <c r="K890" s="10">
        <v>3</v>
      </c>
      <c r="L890" s="73">
        <f>IF(Tank1!$C$23="No control",(SUMIF(Tank1!$B$32:$B$49,$J890,Tank1!$C$32:$C$49)*Impacts!$F$8),0)</f>
        <v>0</v>
      </c>
      <c r="M890" s="10">
        <f>IF(Tank2!$C$23="No control",(SUMIF(Tank2!$B$32:$B$49,$J890,Tank2!$C$32:$C$49)*Impacts!$F$9),0)</f>
        <v>0</v>
      </c>
      <c r="N890" s="10">
        <f>IF(Tank3!$C$23="No control",(SUMIF(Tank3!$B$32:$B$49,$J890,Tank3!$C$32:$C$49)*Impacts!$F$10),0)</f>
        <v>0</v>
      </c>
      <c r="O890" s="10">
        <f>IF(Tank4!$C$23="No control",(SUMIF(Tank4!$B$32:$B$49,$J890,Tank4!$C$32:$C$49)*Impacts!$F$11),0)</f>
        <v>0</v>
      </c>
      <c r="P890" s="10">
        <f>IF(Tank5!$C$23="No control",(SUMIF(Tank5!$B$32:$B$49,$J890,Tank5!$C$32:$C$49)*Impacts!$F$12),0)</f>
        <v>0</v>
      </c>
      <c r="Q890" s="10">
        <f>IFERROR(IF(('Loading-drum,tote'!$C$21)="No control",SUMIF(('Loading-drum,tote'!$B$31:$B$48),$J890,('Loading-drum,tote'!$D$31:$D$48))*Impacts!$F$13,IF(('Loading-drum,tote'!$C$21)&lt;&gt;"No control",SUMIF(('Loading-drum,tote'!$B$31:$B$48),$J890,('Loading-drum,tote'!$E$31:$E$48))*Impacts!$F$13,0)),0)</f>
        <v>0</v>
      </c>
      <c r="R890" s="10">
        <f>IFERROR(IF(('Loading-truck'!$C$21)="No control",SUMIF(('Loading-truck'!$B$31:$B$48),$J890,('Loading-truck'!$D$31:$D$48))*Impacts!$F$14,IF(('Loading-truck'!$C$21)&lt;&gt;"No control",SUMIF(('Loading-truck'!$B$31:$B$48),$J890,('Loading-truck'!$E$31:$E$48))*Impacts!$F$14,0)),0)</f>
        <v>0</v>
      </c>
      <c r="S890" s="10">
        <f>IFERROR(IF(('Loading-rail'!$C$21)="No control",SUMIF(('Loading-rail'!$B$31:$B$48),$J890,('Loading-rail'!$D$31:$D$48))*Impacts!$F$15,IF(('Loading-rail'!$C$21)&lt;&gt;"No control",SUMIF(('Loading-rail'!$B$31:$B$48),$J890,('Loading-rail'!$E$31:$E$48))*Impacts!$F$15,0)),0)</f>
        <v>0</v>
      </c>
      <c r="T890" s="10">
        <f>IF(Flare!$C$7="",0,(SUMIF(Flare!$B$46:$B$185,$J890,Flare!$E$46:$E$185)*Impacts!$F$16))</f>
        <v>0</v>
      </c>
      <c r="U890" s="10">
        <f>IF(VCU!$C$9="",0,(SUMIF(VCU!$B$51:$B$193,$J890,VCU!$E$51:$E$193)*Impacts!$F$17))</f>
        <v>0</v>
      </c>
      <c r="V890" s="10">
        <f>IF(CAS!$C$7="",0,(SUMIF(CAS!$B$31:$B$167,$J890,CAS!$E$31:$E$167)*Impacts!$F$18))</f>
        <v>0</v>
      </c>
      <c r="W890" s="10">
        <f t="shared" si="55"/>
        <v>0</v>
      </c>
      <c r="AK890" s="10" t="str">
        <f t="array" ref="AK890">IFERROR(INDEX(SelectedSpecies,SMALL(IF(SelectedSpecies=AK$1,ROW(SelectedSpecies)),ROW(891:891)),2),"")</f>
        <v/>
      </c>
      <c r="BE890" s="10"/>
      <c r="BI890" s="10"/>
    </row>
    <row r="891" spans="1:61" ht="21" customHeight="1" x14ac:dyDescent="0.25">
      <c r="A891" s="10"/>
      <c r="B891" s="10"/>
      <c r="E891" s="10"/>
      <c r="G891" s="10"/>
      <c r="I891" s="436" t="s">
        <v>6376</v>
      </c>
      <c r="J891" s="26" t="s">
        <v>6375</v>
      </c>
      <c r="K891" s="10">
        <v>0.81</v>
      </c>
      <c r="L891" s="73">
        <f>IF(Tank1!$C$23="No control",(SUMIF(Tank1!$B$32:$B$49,$J891,Tank1!$C$32:$C$49)*Impacts!$F$8),0)</f>
        <v>0</v>
      </c>
      <c r="M891" s="10">
        <f>IF(Tank2!$C$23="No control",(SUMIF(Tank2!$B$32:$B$49,$J891,Tank2!$C$32:$C$49)*Impacts!$F$9),0)</f>
        <v>0</v>
      </c>
      <c r="N891" s="10">
        <f>IF(Tank3!$C$23="No control",(SUMIF(Tank3!$B$32:$B$49,$J891,Tank3!$C$32:$C$49)*Impacts!$F$10),0)</f>
        <v>0</v>
      </c>
      <c r="O891" s="10">
        <f>IF(Tank4!$C$23="No control",(SUMIF(Tank4!$B$32:$B$49,$J891,Tank4!$C$32:$C$49)*Impacts!$F$11),0)</f>
        <v>0</v>
      </c>
      <c r="P891" s="10">
        <f>IF(Tank5!$C$23="No control",(SUMIF(Tank5!$B$32:$B$49,$J891,Tank5!$C$32:$C$49)*Impacts!$F$12),0)</f>
        <v>0</v>
      </c>
      <c r="Q891" s="10">
        <f>IFERROR(IF(('Loading-drum,tote'!$C$21)="No control",SUMIF(('Loading-drum,tote'!$B$31:$B$48),$J891,('Loading-drum,tote'!$D$31:$D$48))*Impacts!$F$13,IF(('Loading-drum,tote'!$C$21)&lt;&gt;"No control",SUMIF(('Loading-drum,tote'!$B$31:$B$48),$J891,('Loading-drum,tote'!$E$31:$E$48))*Impacts!$F$13,0)),0)</f>
        <v>0</v>
      </c>
      <c r="R891" s="10">
        <f>IFERROR(IF(('Loading-truck'!$C$21)="No control",SUMIF(('Loading-truck'!$B$31:$B$48),$J891,('Loading-truck'!$D$31:$D$48))*Impacts!$F$14,IF(('Loading-truck'!$C$21)&lt;&gt;"No control",SUMIF(('Loading-truck'!$B$31:$B$48),$J891,('Loading-truck'!$E$31:$E$48))*Impacts!$F$14,0)),0)</f>
        <v>0</v>
      </c>
      <c r="S891" s="10">
        <f>IFERROR(IF(('Loading-rail'!$C$21)="No control",SUMIF(('Loading-rail'!$B$31:$B$48),$J891,('Loading-rail'!$D$31:$D$48))*Impacts!$F$15,IF(('Loading-rail'!$C$21)&lt;&gt;"No control",SUMIF(('Loading-rail'!$B$31:$B$48),$J891,('Loading-rail'!$E$31:$E$48))*Impacts!$F$15,0)),0)</f>
        <v>0</v>
      </c>
      <c r="T891" s="10">
        <f>IF(Flare!$C$7="",0,(SUMIF(Flare!$B$46:$B$185,$J891,Flare!$E$46:$E$185)*Impacts!$F$16))</f>
        <v>0</v>
      </c>
      <c r="U891" s="10">
        <f>IF(VCU!$C$9="",0,(SUMIF(VCU!$B$51:$B$193,$J891,VCU!$E$51:$E$193)*Impacts!$F$17))</f>
        <v>0</v>
      </c>
      <c r="V891" s="10">
        <f>IF(CAS!$C$7="",0,(SUMIF(CAS!$B$31:$B$167,$J891,CAS!$E$31:$E$167)*Impacts!$F$18))</f>
        <v>0</v>
      </c>
      <c r="W891" s="10">
        <f t="shared" si="55"/>
        <v>0</v>
      </c>
      <c r="AK891" s="10" t="str">
        <f t="array" ref="AK891">IFERROR(INDEX(SelectedSpecies,SMALL(IF(SelectedSpecies=AK$1,ROW(SelectedSpecies)),ROW(892:892)),2),"")</f>
        <v/>
      </c>
      <c r="BE891" s="10"/>
      <c r="BI891" s="10"/>
    </row>
    <row r="892" spans="1:61" ht="21" customHeight="1" x14ac:dyDescent="0.25">
      <c r="A892" s="10"/>
      <c r="B892" s="10"/>
      <c r="E892" s="10"/>
      <c r="G892" s="10"/>
      <c r="I892" s="436" t="s">
        <v>6376</v>
      </c>
      <c r="J892" s="26" t="s">
        <v>10351</v>
      </c>
      <c r="K892" s="10">
        <v>5.6999999999999995E-2</v>
      </c>
      <c r="L892" s="73">
        <f>IF(Tank1!$C$23="No control",(SUMIF(Tank1!$B$32:$B$49,$J892,Tank1!$C$32:$C$49)*Impacts!$F$8),0)</f>
        <v>0</v>
      </c>
      <c r="M892" s="10">
        <f>IF(Tank2!$C$23="No control",(SUMIF(Tank2!$B$32:$B$49,$J892,Tank2!$C$32:$C$49)*Impacts!$F$9),0)</f>
        <v>0</v>
      </c>
      <c r="N892" s="10">
        <f>IF(Tank3!$C$23="No control",(SUMIF(Tank3!$B$32:$B$49,$J892,Tank3!$C$32:$C$49)*Impacts!$F$10),0)</f>
        <v>0</v>
      </c>
      <c r="O892" s="10">
        <f>IF(Tank4!$C$23="No control",(SUMIF(Tank4!$B$32:$B$49,$J892,Tank4!$C$32:$C$49)*Impacts!$F$11),0)</f>
        <v>0</v>
      </c>
      <c r="P892" s="10">
        <f>IF(Tank5!$C$23="No control",(SUMIF(Tank5!$B$32:$B$49,$J892,Tank5!$C$32:$C$49)*Impacts!$F$12),0)</f>
        <v>0</v>
      </c>
      <c r="Q892" s="10">
        <f>IFERROR(IF(('Loading-drum,tote'!$C$21)="No control",SUMIF(('Loading-drum,tote'!$B$31:$B$48),$J892,('Loading-drum,tote'!$D$31:$D$48))*Impacts!$F$13,IF(('Loading-drum,tote'!$C$21)&lt;&gt;"No control",SUMIF(('Loading-drum,tote'!$B$31:$B$48),$J892,('Loading-drum,tote'!$E$31:$E$48))*Impacts!$F$13,0)),0)</f>
        <v>0</v>
      </c>
      <c r="R892" s="10">
        <f>IFERROR(IF(('Loading-truck'!$C$21)="No control",SUMIF(('Loading-truck'!$B$31:$B$48),$J892,('Loading-truck'!$D$31:$D$48))*Impacts!$F$14,IF(('Loading-truck'!$C$21)&lt;&gt;"No control",SUMIF(('Loading-truck'!$B$31:$B$48),$J892,('Loading-truck'!$E$31:$E$48))*Impacts!$F$14,0)),0)</f>
        <v>0</v>
      </c>
      <c r="S892" s="10">
        <f>IFERROR(IF(('Loading-rail'!$C$21)="No control",SUMIF(('Loading-rail'!$B$31:$B$48),$J892,('Loading-rail'!$D$31:$D$48))*Impacts!$F$15,IF(('Loading-rail'!$C$21)&lt;&gt;"No control",SUMIF(('Loading-rail'!$B$31:$B$48),$J892,('Loading-rail'!$E$31:$E$48))*Impacts!$F$15,0)),0)</f>
        <v>0</v>
      </c>
      <c r="T892" s="10">
        <f>IF(Flare!$C$7="",0,(SUMIF(Flare!$B$46:$B$185,$J892,Flare!$E$46:$E$185)*Impacts!$F$16))</f>
        <v>0</v>
      </c>
      <c r="U892" s="10">
        <f>IF(VCU!$C$9="",0,(SUMIF(VCU!$B$51:$B$193,$J892,VCU!$E$51:$E$193)*Impacts!$F$17))</f>
        <v>0</v>
      </c>
      <c r="V892" s="10">
        <f>IF(CAS!$C$7="",0,(SUMIF(CAS!$B$31:$B$167,$J892,CAS!$E$31:$E$167)*Impacts!$F$18))</f>
        <v>0</v>
      </c>
      <c r="W892" s="10">
        <f t="shared" si="55"/>
        <v>0</v>
      </c>
      <c r="AK892" s="10" t="str">
        <f t="array" ref="AK892">IFERROR(INDEX(SelectedSpecies,SMALL(IF(SelectedSpecies=AK$1,ROW(SelectedSpecies)),ROW(893:893)),2),"")</f>
        <v/>
      </c>
      <c r="BE892" s="10"/>
      <c r="BI892" s="10"/>
    </row>
    <row r="893" spans="1:61" ht="21" customHeight="1" x14ac:dyDescent="0.25">
      <c r="A893" s="10"/>
      <c r="B893" s="10"/>
      <c r="E893" s="10"/>
      <c r="G893" s="10"/>
      <c r="I893" s="436" t="s">
        <v>6376</v>
      </c>
      <c r="J893" s="26" t="s">
        <v>10352</v>
      </c>
      <c r="K893" s="10">
        <v>7.0999999999999994E-2</v>
      </c>
      <c r="L893" s="73">
        <f>IF(Tank1!$C$23="No control",(SUMIF(Tank1!$B$32:$B$49,$J893,Tank1!$C$32:$C$49)*Impacts!$F$8),0)</f>
        <v>0</v>
      </c>
      <c r="M893" s="10">
        <f>IF(Tank2!$C$23="No control",(SUMIF(Tank2!$B$32:$B$49,$J893,Tank2!$C$32:$C$49)*Impacts!$F$9),0)</f>
        <v>0</v>
      </c>
      <c r="N893" s="10">
        <f>IF(Tank3!$C$23="No control",(SUMIF(Tank3!$B$32:$B$49,$J893,Tank3!$C$32:$C$49)*Impacts!$F$10),0)</f>
        <v>0</v>
      </c>
      <c r="O893" s="10">
        <f>IF(Tank4!$C$23="No control",(SUMIF(Tank4!$B$32:$B$49,$J893,Tank4!$C$32:$C$49)*Impacts!$F$11),0)</f>
        <v>0</v>
      </c>
      <c r="P893" s="10">
        <f>IF(Tank5!$C$23="No control",(SUMIF(Tank5!$B$32:$B$49,$J893,Tank5!$C$32:$C$49)*Impacts!$F$12),0)</f>
        <v>0</v>
      </c>
      <c r="Q893" s="10">
        <f>IFERROR(IF(('Loading-drum,tote'!$C$21)="No control",SUMIF(('Loading-drum,tote'!$B$31:$B$48),$J893,('Loading-drum,tote'!$D$31:$D$48))*Impacts!$F$13,IF(('Loading-drum,tote'!$C$21)&lt;&gt;"No control",SUMIF(('Loading-drum,tote'!$B$31:$B$48),$J893,('Loading-drum,tote'!$E$31:$E$48))*Impacts!$F$13,0)),0)</f>
        <v>0</v>
      </c>
      <c r="R893" s="10">
        <f>IFERROR(IF(('Loading-truck'!$C$21)="No control",SUMIF(('Loading-truck'!$B$31:$B$48),$J893,('Loading-truck'!$D$31:$D$48))*Impacts!$F$14,IF(('Loading-truck'!$C$21)&lt;&gt;"No control",SUMIF(('Loading-truck'!$B$31:$B$48),$J893,('Loading-truck'!$E$31:$E$48))*Impacts!$F$14,0)),0)</f>
        <v>0</v>
      </c>
      <c r="S893" s="10">
        <f>IFERROR(IF(('Loading-rail'!$C$21)="No control",SUMIF(('Loading-rail'!$B$31:$B$48),$J893,('Loading-rail'!$D$31:$D$48))*Impacts!$F$15,IF(('Loading-rail'!$C$21)&lt;&gt;"No control",SUMIF(('Loading-rail'!$B$31:$B$48),$J893,('Loading-rail'!$E$31:$E$48))*Impacts!$F$15,0)),0)</f>
        <v>0</v>
      </c>
      <c r="T893" s="10">
        <f>IF(Flare!$C$7="",0,(SUMIF(Flare!$B$46:$B$185,$J893,Flare!$E$46:$E$185)*Impacts!$F$16))</f>
        <v>0</v>
      </c>
      <c r="U893" s="10">
        <f>IF(VCU!$C$9="",0,(SUMIF(VCU!$B$51:$B$193,$J893,VCU!$E$51:$E$193)*Impacts!$F$17))</f>
        <v>0</v>
      </c>
      <c r="V893" s="10">
        <f>IF(CAS!$C$7="",0,(SUMIF(CAS!$B$31:$B$167,$J893,CAS!$E$31:$E$167)*Impacts!$F$18))</f>
        <v>0</v>
      </c>
      <c r="W893" s="10">
        <f t="shared" si="55"/>
        <v>0</v>
      </c>
      <c r="AK893" s="10" t="str">
        <f t="array" ref="AK893">IFERROR(INDEX(SelectedSpecies,SMALL(IF(SelectedSpecies=AK$1,ROW(SelectedSpecies)),ROW(894:894)),2),"")</f>
        <v/>
      </c>
      <c r="BE893" s="10"/>
      <c r="BI893" s="10"/>
    </row>
    <row r="894" spans="1:61" ht="21" customHeight="1" x14ac:dyDescent="0.25">
      <c r="A894" s="10"/>
      <c r="B894" s="10"/>
      <c r="E894" s="10"/>
      <c r="G894" s="10"/>
      <c r="I894" s="436" t="s">
        <v>4955</v>
      </c>
      <c r="J894" s="26" t="s">
        <v>4954</v>
      </c>
      <c r="K894" s="10">
        <v>2.5</v>
      </c>
      <c r="L894" s="73">
        <f>IF(Tank1!$C$23="No control",(SUMIF(Tank1!$B$32:$B$49,$J894,Tank1!$C$32:$C$49)*Impacts!$F$8),0)</f>
        <v>0</v>
      </c>
      <c r="M894" s="10">
        <f>IF(Tank2!$C$23="No control",(SUMIF(Tank2!$B$32:$B$49,$J894,Tank2!$C$32:$C$49)*Impacts!$F$9),0)</f>
        <v>0</v>
      </c>
      <c r="N894" s="10">
        <f>IF(Tank3!$C$23="No control",(SUMIF(Tank3!$B$32:$B$49,$J894,Tank3!$C$32:$C$49)*Impacts!$F$10),0)</f>
        <v>0</v>
      </c>
      <c r="O894" s="10">
        <f>IF(Tank4!$C$23="No control",(SUMIF(Tank4!$B$32:$B$49,$J894,Tank4!$C$32:$C$49)*Impacts!$F$11),0)</f>
        <v>0</v>
      </c>
      <c r="P894" s="10">
        <f>IF(Tank5!$C$23="No control",(SUMIF(Tank5!$B$32:$B$49,$J894,Tank5!$C$32:$C$49)*Impacts!$F$12),0)</f>
        <v>0</v>
      </c>
      <c r="Q894" s="10">
        <f>IFERROR(IF(('Loading-drum,tote'!$C$21)="No control",SUMIF(('Loading-drum,tote'!$B$31:$B$48),$J894,('Loading-drum,tote'!$D$31:$D$48))*Impacts!$F$13,IF(('Loading-drum,tote'!$C$21)&lt;&gt;"No control",SUMIF(('Loading-drum,tote'!$B$31:$B$48),$J894,('Loading-drum,tote'!$E$31:$E$48))*Impacts!$F$13,0)),0)</f>
        <v>0</v>
      </c>
      <c r="R894" s="10">
        <f>IFERROR(IF(('Loading-truck'!$C$21)="No control",SUMIF(('Loading-truck'!$B$31:$B$48),$J894,('Loading-truck'!$D$31:$D$48))*Impacts!$F$14,IF(('Loading-truck'!$C$21)&lt;&gt;"No control",SUMIF(('Loading-truck'!$B$31:$B$48),$J894,('Loading-truck'!$E$31:$E$48))*Impacts!$F$14,0)),0)</f>
        <v>0</v>
      </c>
      <c r="S894" s="10">
        <f>IFERROR(IF(('Loading-rail'!$C$21)="No control",SUMIF(('Loading-rail'!$B$31:$B$48),$J894,('Loading-rail'!$D$31:$D$48))*Impacts!$F$15,IF(('Loading-rail'!$C$21)&lt;&gt;"No control",SUMIF(('Loading-rail'!$B$31:$B$48),$J894,('Loading-rail'!$E$31:$E$48))*Impacts!$F$15,0)),0)</f>
        <v>0</v>
      </c>
      <c r="T894" s="10">
        <f>IF(Flare!$C$7="",0,(SUMIF(Flare!$B$46:$B$185,$J894,Flare!$E$46:$E$185)*Impacts!$F$16))</f>
        <v>0</v>
      </c>
      <c r="U894" s="10">
        <f>IF(VCU!$C$9="",0,(SUMIF(VCU!$B$51:$B$193,$J894,VCU!$E$51:$E$193)*Impacts!$F$17))</f>
        <v>0</v>
      </c>
      <c r="V894" s="10">
        <f>IF(CAS!$C$7="",0,(SUMIF(CAS!$B$31:$B$167,$J894,CAS!$E$31:$E$167)*Impacts!$F$18))</f>
        <v>0</v>
      </c>
      <c r="W894" s="10">
        <f t="shared" si="55"/>
        <v>0</v>
      </c>
      <c r="AK894" s="10" t="str">
        <f t="array" ref="AK894">IFERROR(INDEX(SelectedSpecies,SMALL(IF(SelectedSpecies=AK$1,ROW(SelectedSpecies)),ROW(895:895)),2),"")</f>
        <v/>
      </c>
      <c r="BE894" s="10"/>
      <c r="BI894" s="10"/>
    </row>
    <row r="895" spans="1:61" ht="21" customHeight="1" x14ac:dyDescent="0.25">
      <c r="A895" s="10"/>
      <c r="B895" s="10"/>
      <c r="E895" s="10"/>
      <c r="G895" s="10"/>
      <c r="I895" s="436" t="s">
        <v>2093</v>
      </c>
      <c r="J895" s="26" t="s">
        <v>2092</v>
      </c>
      <c r="K895" s="10">
        <v>15</v>
      </c>
      <c r="L895" s="73">
        <f>IF(Tank1!$C$23="No control",(SUMIF(Tank1!$B$32:$B$49,$J895,Tank1!$C$32:$C$49)*Impacts!$F$8),0)</f>
        <v>0</v>
      </c>
      <c r="M895" s="10">
        <f>IF(Tank2!$C$23="No control",(SUMIF(Tank2!$B$32:$B$49,$J895,Tank2!$C$32:$C$49)*Impacts!$F$9),0)</f>
        <v>0</v>
      </c>
      <c r="N895" s="10">
        <f>IF(Tank3!$C$23="No control",(SUMIF(Tank3!$B$32:$B$49,$J895,Tank3!$C$32:$C$49)*Impacts!$F$10),0)</f>
        <v>0</v>
      </c>
      <c r="O895" s="10">
        <f>IF(Tank4!$C$23="No control",(SUMIF(Tank4!$B$32:$B$49,$J895,Tank4!$C$32:$C$49)*Impacts!$F$11),0)</f>
        <v>0</v>
      </c>
      <c r="P895" s="10">
        <f>IF(Tank5!$C$23="No control",(SUMIF(Tank5!$B$32:$B$49,$J895,Tank5!$C$32:$C$49)*Impacts!$F$12),0)</f>
        <v>0</v>
      </c>
      <c r="Q895" s="10">
        <f>IFERROR(IF(('Loading-drum,tote'!$C$21)="No control",SUMIF(('Loading-drum,tote'!$B$31:$B$48),$J895,('Loading-drum,tote'!$D$31:$D$48))*Impacts!$F$13,IF(('Loading-drum,tote'!$C$21)&lt;&gt;"No control",SUMIF(('Loading-drum,tote'!$B$31:$B$48),$J895,('Loading-drum,tote'!$E$31:$E$48))*Impacts!$F$13,0)),0)</f>
        <v>0</v>
      </c>
      <c r="R895" s="10">
        <f>IFERROR(IF(('Loading-truck'!$C$21)="No control",SUMIF(('Loading-truck'!$B$31:$B$48),$J895,('Loading-truck'!$D$31:$D$48))*Impacts!$F$14,IF(('Loading-truck'!$C$21)&lt;&gt;"No control",SUMIF(('Loading-truck'!$B$31:$B$48),$J895,('Loading-truck'!$E$31:$E$48))*Impacts!$F$14,0)),0)</f>
        <v>0</v>
      </c>
      <c r="S895" s="10">
        <f>IFERROR(IF(('Loading-rail'!$C$21)="No control",SUMIF(('Loading-rail'!$B$31:$B$48),$J895,('Loading-rail'!$D$31:$D$48))*Impacts!$F$15,IF(('Loading-rail'!$C$21)&lt;&gt;"No control",SUMIF(('Loading-rail'!$B$31:$B$48),$J895,('Loading-rail'!$E$31:$E$48))*Impacts!$F$15,0)),0)</f>
        <v>0</v>
      </c>
      <c r="T895" s="10">
        <f>IF(Flare!$C$7="",0,(SUMIF(Flare!$B$46:$B$185,$J895,Flare!$E$46:$E$185)*Impacts!$F$16))</f>
        <v>0</v>
      </c>
      <c r="U895" s="10">
        <f>IF(VCU!$C$9="",0,(SUMIF(VCU!$B$51:$B$193,$J895,VCU!$E$51:$E$193)*Impacts!$F$17))</f>
        <v>0</v>
      </c>
      <c r="V895" s="10">
        <f>IF(CAS!$C$7="",0,(SUMIF(CAS!$B$31:$B$167,$J895,CAS!$E$31:$E$167)*Impacts!$F$18))</f>
        <v>0</v>
      </c>
      <c r="W895" s="10">
        <f t="shared" si="55"/>
        <v>0</v>
      </c>
      <c r="AK895" s="10" t="str">
        <f t="array" ref="AK895">IFERROR(INDEX(SelectedSpecies,SMALL(IF(SelectedSpecies=AK$1,ROW(SelectedSpecies)),ROW(896:896)),2),"")</f>
        <v/>
      </c>
      <c r="BE895" s="10"/>
      <c r="BI895" s="10"/>
    </row>
    <row r="896" spans="1:61" ht="21" customHeight="1" x14ac:dyDescent="0.25">
      <c r="A896" s="10"/>
      <c r="B896" s="10"/>
      <c r="E896" s="10"/>
      <c r="G896" s="10"/>
      <c r="I896" s="436" t="s">
        <v>493</v>
      </c>
      <c r="J896" s="26" t="s">
        <v>492</v>
      </c>
      <c r="K896" s="10">
        <v>100</v>
      </c>
      <c r="L896" s="73">
        <f>IF(Tank1!$C$23="No control",(SUMIF(Tank1!$B$32:$B$49,$J896,Tank1!$C$32:$C$49)*Impacts!$F$8),0)</f>
        <v>0</v>
      </c>
      <c r="M896" s="10">
        <f>IF(Tank2!$C$23="No control",(SUMIF(Tank2!$B$32:$B$49,$J896,Tank2!$C$32:$C$49)*Impacts!$F$9),0)</f>
        <v>0</v>
      </c>
      <c r="N896" s="10">
        <f>IF(Tank3!$C$23="No control",(SUMIF(Tank3!$B$32:$B$49,$J896,Tank3!$C$32:$C$49)*Impacts!$F$10),0)</f>
        <v>0</v>
      </c>
      <c r="O896" s="10">
        <f>IF(Tank4!$C$23="No control",(SUMIF(Tank4!$B$32:$B$49,$J896,Tank4!$C$32:$C$49)*Impacts!$F$11),0)</f>
        <v>0</v>
      </c>
      <c r="P896" s="10">
        <f>IF(Tank5!$C$23="No control",(SUMIF(Tank5!$B$32:$B$49,$J896,Tank5!$C$32:$C$49)*Impacts!$F$12),0)</f>
        <v>0</v>
      </c>
      <c r="Q896" s="10">
        <f>IFERROR(IF(('Loading-drum,tote'!$C$21)="No control",SUMIF(('Loading-drum,tote'!$B$31:$B$48),$J896,('Loading-drum,tote'!$D$31:$D$48))*Impacts!$F$13,IF(('Loading-drum,tote'!$C$21)&lt;&gt;"No control",SUMIF(('Loading-drum,tote'!$B$31:$B$48),$J896,('Loading-drum,tote'!$E$31:$E$48))*Impacts!$F$13,0)),0)</f>
        <v>0</v>
      </c>
      <c r="R896" s="10">
        <f>IFERROR(IF(('Loading-truck'!$C$21)="No control",SUMIF(('Loading-truck'!$B$31:$B$48),$J896,('Loading-truck'!$D$31:$D$48))*Impacts!$F$14,IF(('Loading-truck'!$C$21)&lt;&gt;"No control",SUMIF(('Loading-truck'!$B$31:$B$48),$J896,('Loading-truck'!$E$31:$E$48))*Impacts!$F$14,0)),0)</f>
        <v>0</v>
      </c>
      <c r="S896" s="10">
        <f>IFERROR(IF(('Loading-rail'!$C$21)="No control",SUMIF(('Loading-rail'!$B$31:$B$48),$J896,('Loading-rail'!$D$31:$D$48))*Impacts!$F$15,IF(('Loading-rail'!$C$21)&lt;&gt;"No control",SUMIF(('Loading-rail'!$B$31:$B$48),$J896,('Loading-rail'!$E$31:$E$48))*Impacts!$F$15,0)),0)</f>
        <v>0</v>
      </c>
      <c r="T896" s="10">
        <f>IF(Flare!$C$7="",0,(SUMIF(Flare!$B$46:$B$185,$J896,Flare!$E$46:$E$185)*Impacts!$F$16))</f>
        <v>0</v>
      </c>
      <c r="U896" s="10">
        <f>IF(VCU!$C$9="",0,(SUMIF(VCU!$B$51:$B$193,$J896,VCU!$E$51:$E$193)*Impacts!$F$17))</f>
        <v>0</v>
      </c>
      <c r="V896" s="10">
        <f>IF(CAS!$C$7="",0,(SUMIF(CAS!$B$31:$B$167,$J896,CAS!$E$31:$E$167)*Impacts!$F$18))</f>
        <v>0</v>
      </c>
      <c r="W896" s="10">
        <f t="shared" si="55"/>
        <v>0</v>
      </c>
      <c r="AK896" s="10" t="str">
        <f t="array" ref="AK896">IFERROR(INDEX(SelectedSpecies,SMALL(IF(SelectedSpecies=AK$1,ROW(SelectedSpecies)),ROW(897:897)),2),"")</f>
        <v/>
      </c>
      <c r="BE896" s="10"/>
      <c r="BI896" s="10"/>
    </row>
    <row r="897" spans="1:61" ht="21" customHeight="1" x14ac:dyDescent="0.25">
      <c r="A897" s="10"/>
      <c r="B897" s="10"/>
      <c r="E897" s="10"/>
      <c r="G897" s="10"/>
      <c r="I897" s="436" t="s">
        <v>1945</v>
      </c>
      <c r="J897" s="26" t="s">
        <v>1944</v>
      </c>
      <c r="K897" s="10">
        <v>18</v>
      </c>
      <c r="L897" s="73">
        <f>IF(Tank1!$C$23="No control",(SUMIF(Tank1!$B$32:$B$49,$J897,Tank1!$C$32:$C$49)*Impacts!$F$8),0)</f>
        <v>0</v>
      </c>
      <c r="M897" s="10">
        <f>IF(Tank2!$C$23="No control",(SUMIF(Tank2!$B$32:$B$49,$J897,Tank2!$C$32:$C$49)*Impacts!$F$9),0)</f>
        <v>0</v>
      </c>
      <c r="N897" s="10">
        <f>IF(Tank3!$C$23="No control",(SUMIF(Tank3!$B$32:$B$49,$J897,Tank3!$C$32:$C$49)*Impacts!$F$10),0)</f>
        <v>0</v>
      </c>
      <c r="O897" s="10">
        <f>IF(Tank4!$C$23="No control",(SUMIF(Tank4!$B$32:$B$49,$J897,Tank4!$C$32:$C$49)*Impacts!$F$11),0)</f>
        <v>0</v>
      </c>
      <c r="P897" s="10">
        <f>IF(Tank5!$C$23="No control",(SUMIF(Tank5!$B$32:$B$49,$J897,Tank5!$C$32:$C$49)*Impacts!$F$12),0)</f>
        <v>0</v>
      </c>
      <c r="Q897" s="10">
        <f>IFERROR(IF(('Loading-drum,tote'!$C$21)="No control",SUMIF(('Loading-drum,tote'!$B$31:$B$48),$J897,('Loading-drum,tote'!$D$31:$D$48))*Impacts!$F$13,IF(('Loading-drum,tote'!$C$21)&lt;&gt;"No control",SUMIF(('Loading-drum,tote'!$B$31:$B$48),$J897,('Loading-drum,tote'!$E$31:$E$48))*Impacts!$F$13,0)),0)</f>
        <v>0</v>
      </c>
      <c r="R897" s="10">
        <f>IFERROR(IF(('Loading-truck'!$C$21)="No control",SUMIF(('Loading-truck'!$B$31:$B$48),$J897,('Loading-truck'!$D$31:$D$48))*Impacts!$F$14,IF(('Loading-truck'!$C$21)&lt;&gt;"No control",SUMIF(('Loading-truck'!$B$31:$B$48),$J897,('Loading-truck'!$E$31:$E$48))*Impacts!$F$14,0)),0)</f>
        <v>0</v>
      </c>
      <c r="S897" s="10">
        <f>IFERROR(IF(('Loading-rail'!$C$21)="No control",SUMIF(('Loading-rail'!$B$31:$B$48),$J897,('Loading-rail'!$D$31:$D$48))*Impacts!$F$15,IF(('Loading-rail'!$C$21)&lt;&gt;"No control",SUMIF(('Loading-rail'!$B$31:$B$48),$J897,('Loading-rail'!$E$31:$E$48))*Impacts!$F$15,0)),0)</f>
        <v>0</v>
      </c>
      <c r="T897" s="10">
        <f>IF(Flare!$C$7="",0,(SUMIF(Flare!$B$46:$B$185,$J897,Flare!$E$46:$E$185)*Impacts!$F$16))</f>
        <v>0</v>
      </c>
      <c r="U897" s="10">
        <f>IF(VCU!$C$9="",0,(SUMIF(VCU!$B$51:$B$193,$J897,VCU!$E$51:$E$193)*Impacts!$F$17))</f>
        <v>0</v>
      </c>
      <c r="V897" s="10">
        <f>IF(CAS!$C$7="",0,(SUMIF(CAS!$B$31:$B$167,$J897,CAS!$E$31:$E$167)*Impacts!$F$18))</f>
        <v>0</v>
      </c>
      <c r="W897" s="10">
        <f t="shared" si="55"/>
        <v>0</v>
      </c>
      <c r="AK897" s="10" t="str">
        <f t="array" ref="AK897">IFERROR(INDEX(SelectedSpecies,SMALL(IF(SelectedSpecies=AK$1,ROW(SelectedSpecies)),ROW(898:898)),2),"")</f>
        <v/>
      </c>
      <c r="BE897" s="10"/>
      <c r="BI897" s="10"/>
    </row>
    <row r="898" spans="1:61" ht="21" customHeight="1" x14ac:dyDescent="0.25">
      <c r="A898" s="10"/>
      <c r="B898" s="10"/>
      <c r="E898" s="10"/>
      <c r="G898" s="10"/>
      <c r="I898" s="436" t="s">
        <v>2353</v>
      </c>
      <c r="J898" s="26" t="s">
        <v>2352</v>
      </c>
      <c r="K898" s="10">
        <v>11</v>
      </c>
      <c r="L898" s="73">
        <f>IF(Tank1!$C$23="No control",(SUMIF(Tank1!$B$32:$B$49,$J898,Tank1!$C$32:$C$49)*Impacts!$F$8),0)</f>
        <v>0</v>
      </c>
      <c r="M898" s="10">
        <f>IF(Tank2!$C$23="No control",(SUMIF(Tank2!$B$32:$B$49,$J898,Tank2!$C$32:$C$49)*Impacts!$F$9),0)</f>
        <v>0</v>
      </c>
      <c r="N898" s="10">
        <f>IF(Tank3!$C$23="No control",(SUMIF(Tank3!$B$32:$B$49,$J898,Tank3!$C$32:$C$49)*Impacts!$F$10),0)</f>
        <v>0</v>
      </c>
      <c r="O898" s="10">
        <f>IF(Tank4!$C$23="No control",(SUMIF(Tank4!$B$32:$B$49,$J898,Tank4!$C$32:$C$49)*Impacts!$F$11),0)</f>
        <v>0</v>
      </c>
      <c r="P898" s="10">
        <f>IF(Tank5!$C$23="No control",(SUMIF(Tank5!$B$32:$B$49,$J898,Tank5!$C$32:$C$49)*Impacts!$F$12),0)</f>
        <v>0</v>
      </c>
      <c r="Q898" s="10">
        <f>IFERROR(IF(('Loading-drum,tote'!$C$21)="No control",SUMIF(('Loading-drum,tote'!$B$31:$B$48),$J898,('Loading-drum,tote'!$D$31:$D$48))*Impacts!$F$13,IF(('Loading-drum,tote'!$C$21)&lt;&gt;"No control",SUMIF(('Loading-drum,tote'!$B$31:$B$48),$J898,('Loading-drum,tote'!$E$31:$E$48))*Impacts!$F$13,0)),0)</f>
        <v>0</v>
      </c>
      <c r="R898" s="10">
        <f>IFERROR(IF(('Loading-truck'!$C$21)="No control",SUMIF(('Loading-truck'!$B$31:$B$48),$J898,('Loading-truck'!$D$31:$D$48))*Impacts!$F$14,IF(('Loading-truck'!$C$21)&lt;&gt;"No control",SUMIF(('Loading-truck'!$B$31:$B$48),$J898,('Loading-truck'!$E$31:$E$48))*Impacts!$F$14,0)),0)</f>
        <v>0</v>
      </c>
      <c r="S898" s="10">
        <f>IFERROR(IF(('Loading-rail'!$C$21)="No control",SUMIF(('Loading-rail'!$B$31:$B$48),$J898,('Loading-rail'!$D$31:$D$48))*Impacts!$F$15,IF(('Loading-rail'!$C$21)&lt;&gt;"No control",SUMIF(('Loading-rail'!$B$31:$B$48),$J898,('Loading-rail'!$E$31:$E$48))*Impacts!$F$15,0)),0)</f>
        <v>0</v>
      </c>
      <c r="T898" s="10">
        <f>IF(Flare!$C$7="",0,(SUMIF(Flare!$B$46:$B$185,$J898,Flare!$E$46:$E$185)*Impacts!$F$16))</f>
        <v>0</v>
      </c>
      <c r="U898" s="10">
        <f>IF(VCU!$C$9="",0,(SUMIF(VCU!$B$51:$B$193,$J898,VCU!$E$51:$E$193)*Impacts!$F$17))</f>
        <v>0</v>
      </c>
      <c r="V898" s="10">
        <f>IF(CAS!$C$7="",0,(SUMIF(CAS!$B$31:$B$167,$J898,CAS!$E$31:$E$167)*Impacts!$F$18))</f>
        <v>0</v>
      </c>
      <c r="W898" s="10">
        <f t="shared" si="55"/>
        <v>0</v>
      </c>
      <c r="AK898" s="10" t="str">
        <f t="array" ref="AK898">IFERROR(INDEX(SelectedSpecies,SMALL(IF(SelectedSpecies=AK$1,ROW(SelectedSpecies)),ROW(899:899)),2),"")</f>
        <v/>
      </c>
      <c r="BE898" s="10"/>
      <c r="BI898" s="10"/>
    </row>
    <row r="899" spans="1:61" ht="21" customHeight="1" x14ac:dyDescent="0.25">
      <c r="A899" s="10"/>
      <c r="B899" s="10"/>
      <c r="E899" s="10"/>
      <c r="G899" s="10"/>
      <c r="I899" s="436" t="s">
        <v>2447</v>
      </c>
      <c r="J899" s="26" t="s">
        <v>2446</v>
      </c>
      <c r="K899" s="10">
        <v>10</v>
      </c>
      <c r="L899" s="73">
        <f>IF(Tank1!$C$23="No control",(SUMIF(Tank1!$B$32:$B$49,$J899,Tank1!$C$32:$C$49)*Impacts!$F$8),0)</f>
        <v>0</v>
      </c>
      <c r="M899" s="10">
        <f>IF(Tank2!$C$23="No control",(SUMIF(Tank2!$B$32:$B$49,$J899,Tank2!$C$32:$C$49)*Impacts!$F$9),0)</f>
        <v>0</v>
      </c>
      <c r="N899" s="10">
        <f>IF(Tank3!$C$23="No control",(SUMIF(Tank3!$B$32:$B$49,$J899,Tank3!$C$32:$C$49)*Impacts!$F$10),0)</f>
        <v>0</v>
      </c>
      <c r="O899" s="10">
        <f>IF(Tank4!$C$23="No control",(SUMIF(Tank4!$B$32:$B$49,$J899,Tank4!$C$32:$C$49)*Impacts!$F$11),0)</f>
        <v>0</v>
      </c>
      <c r="P899" s="10">
        <f>IF(Tank5!$C$23="No control",(SUMIF(Tank5!$B$32:$B$49,$J899,Tank5!$C$32:$C$49)*Impacts!$F$12),0)</f>
        <v>0</v>
      </c>
      <c r="Q899" s="10">
        <f>IFERROR(IF(('Loading-drum,tote'!$C$21)="No control",SUMIF(('Loading-drum,tote'!$B$31:$B$48),$J899,('Loading-drum,tote'!$D$31:$D$48))*Impacts!$F$13,IF(('Loading-drum,tote'!$C$21)&lt;&gt;"No control",SUMIF(('Loading-drum,tote'!$B$31:$B$48),$J899,('Loading-drum,tote'!$E$31:$E$48))*Impacts!$F$13,0)),0)</f>
        <v>0</v>
      </c>
      <c r="R899" s="10">
        <f>IFERROR(IF(('Loading-truck'!$C$21)="No control",SUMIF(('Loading-truck'!$B$31:$B$48),$J899,('Loading-truck'!$D$31:$D$48))*Impacts!$F$14,IF(('Loading-truck'!$C$21)&lt;&gt;"No control",SUMIF(('Loading-truck'!$B$31:$B$48),$J899,('Loading-truck'!$E$31:$E$48))*Impacts!$F$14,0)),0)</f>
        <v>0</v>
      </c>
      <c r="S899" s="10">
        <f>IFERROR(IF(('Loading-rail'!$C$21)="No control",SUMIF(('Loading-rail'!$B$31:$B$48),$J899,('Loading-rail'!$D$31:$D$48))*Impacts!$F$15,IF(('Loading-rail'!$C$21)&lt;&gt;"No control",SUMIF(('Loading-rail'!$B$31:$B$48),$J899,('Loading-rail'!$E$31:$E$48))*Impacts!$F$15,0)),0)</f>
        <v>0</v>
      </c>
      <c r="T899" s="10">
        <f>IF(Flare!$C$7="",0,(SUMIF(Flare!$B$46:$B$185,$J899,Flare!$E$46:$E$185)*Impacts!$F$16))</f>
        <v>0</v>
      </c>
      <c r="U899" s="10">
        <f>IF(VCU!$C$9="",0,(SUMIF(VCU!$B$51:$B$193,$J899,VCU!$E$51:$E$193)*Impacts!$F$17))</f>
        <v>0</v>
      </c>
      <c r="V899" s="10">
        <f>IF(CAS!$C$7="",0,(SUMIF(CAS!$B$31:$B$167,$J899,CAS!$E$31:$E$167)*Impacts!$F$18))</f>
        <v>0</v>
      </c>
      <c r="W899" s="10">
        <f t="shared" ref="W899:W962" si="56">SUM(L899:V899)</f>
        <v>0</v>
      </c>
      <c r="AK899" s="10" t="str">
        <f t="array" ref="AK899">IFERROR(INDEX(SelectedSpecies,SMALL(IF(SelectedSpecies=AK$1,ROW(SelectedSpecies)),ROW(900:900)),2),"")</f>
        <v/>
      </c>
      <c r="BE899" s="10"/>
      <c r="BI899" s="10"/>
    </row>
    <row r="900" spans="1:61" ht="21" customHeight="1" x14ac:dyDescent="0.25">
      <c r="A900" s="10"/>
      <c r="B900" s="10"/>
      <c r="E900" s="10"/>
      <c r="G900" s="10"/>
      <c r="I900" s="436" t="s">
        <v>4957</v>
      </c>
      <c r="J900" s="26" t="s">
        <v>4956</v>
      </c>
      <c r="K900" s="10">
        <v>2.5</v>
      </c>
      <c r="L900" s="73">
        <f>IF(Tank1!$C$23="No control",(SUMIF(Tank1!$B$32:$B$49,$J900,Tank1!$C$32:$C$49)*Impacts!$F$8),0)</f>
        <v>0</v>
      </c>
      <c r="M900" s="10">
        <f>IF(Tank2!$C$23="No control",(SUMIF(Tank2!$B$32:$B$49,$J900,Tank2!$C$32:$C$49)*Impacts!$F$9),0)</f>
        <v>0</v>
      </c>
      <c r="N900" s="10">
        <f>IF(Tank3!$C$23="No control",(SUMIF(Tank3!$B$32:$B$49,$J900,Tank3!$C$32:$C$49)*Impacts!$F$10),0)</f>
        <v>0</v>
      </c>
      <c r="O900" s="10">
        <f>IF(Tank4!$C$23="No control",(SUMIF(Tank4!$B$32:$B$49,$J900,Tank4!$C$32:$C$49)*Impacts!$F$11),0)</f>
        <v>0</v>
      </c>
      <c r="P900" s="10">
        <f>IF(Tank5!$C$23="No control",(SUMIF(Tank5!$B$32:$B$49,$J900,Tank5!$C$32:$C$49)*Impacts!$F$12),0)</f>
        <v>0</v>
      </c>
      <c r="Q900" s="10">
        <f>IFERROR(IF(('Loading-drum,tote'!$C$21)="No control",SUMIF(('Loading-drum,tote'!$B$31:$B$48),$J900,('Loading-drum,tote'!$D$31:$D$48))*Impacts!$F$13,IF(('Loading-drum,tote'!$C$21)&lt;&gt;"No control",SUMIF(('Loading-drum,tote'!$B$31:$B$48),$J900,('Loading-drum,tote'!$E$31:$E$48))*Impacts!$F$13,0)),0)</f>
        <v>0</v>
      </c>
      <c r="R900" s="10">
        <f>IFERROR(IF(('Loading-truck'!$C$21)="No control",SUMIF(('Loading-truck'!$B$31:$B$48),$J900,('Loading-truck'!$D$31:$D$48))*Impacts!$F$14,IF(('Loading-truck'!$C$21)&lt;&gt;"No control",SUMIF(('Loading-truck'!$B$31:$B$48),$J900,('Loading-truck'!$E$31:$E$48))*Impacts!$F$14,0)),0)</f>
        <v>0</v>
      </c>
      <c r="S900" s="10">
        <f>IFERROR(IF(('Loading-rail'!$C$21)="No control",SUMIF(('Loading-rail'!$B$31:$B$48),$J900,('Loading-rail'!$D$31:$D$48))*Impacts!$F$15,IF(('Loading-rail'!$C$21)&lt;&gt;"No control",SUMIF(('Loading-rail'!$B$31:$B$48),$J900,('Loading-rail'!$E$31:$E$48))*Impacts!$F$15,0)),0)</f>
        <v>0</v>
      </c>
      <c r="T900" s="10">
        <f>IF(Flare!$C$7="",0,(SUMIF(Flare!$B$46:$B$185,$J900,Flare!$E$46:$E$185)*Impacts!$F$16))</f>
        <v>0</v>
      </c>
      <c r="U900" s="10">
        <f>IF(VCU!$C$9="",0,(SUMIF(VCU!$B$51:$B$193,$J900,VCU!$E$51:$E$193)*Impacts!$F$17))</f>
        <v>0</v>
      </c>
      <c r="V900" s="10">
        <f>IF(CAS!$C$7="",0,(SUMIF(CAS!$B$31:$B$167,$J900,CAS!$E$31:$E$167)*Impacts!$F$18))</f>
        <v>0</v>
      </c>
      <c r="W900" s="10">
        <f t="shared" si="56"/>
        <v>0</v>
      </c>
      <c r="AK900" s="10" t="str">
        <f t="array" ref="AK900">IFERROR(INDEX(SelectedSpecies,SMALL(IF(SelectedSpecies=AK$1,ROW(SelectedSpecies)),ROW(901:901)),2),"")</f>
        <v/>
      </c>
      <c r="BE900" s="10"/>
      <c r="BI900" s="10"/>
    </row>
    <row r="901" spans="1:61" ht="21" customHeight="1" x14ac:dyDescent="0.25">
      <c r="A901" s="10"/>
      <c r="B901" s="10"/>
      <c r="E901" s="10"/>
      <c r="G901" s="10"/>
      <c r="I901" s="436" t="s">
        <v>6770</v>
      </c>
      <c r="J901" s="26" t="s">
        <v>6769</v>
      </c>
      <c r="K901" s="10">
        <v>0.5</v>
      </c>
      <c r="L901" s="73">
        <f>IF(Tank1!$C$23="No control",(SUMIF(Tank1!$B$32:$B$49,$J901,Tank1!$C$32:$C$49)*Impacts!$F$8),0)</f>
        <v>0</v>
      </c>
      <c r="M901" s="10">
        <f>IF(Tank2!$C$23="No control",(SUMIF(Tank2!$B$32:$B$49,$J901,Tank2!$C$32:$C$49)*Impacts!$F$9),0)</f>
        <v>0</v>
      </c>
      <c r="N901" s="10">
        <f>IF(Tank3!$C$23="No control",(SUMIF(Tank3!$B$32:$B$49,$J901,Tank3!$C$32:$C$49)*Impacts!$F$10),0)</f>
        <v>0</v>
      </c>
      <c r="O901" s="10">
        <f>IF(Tank4!$C$23="No control",(SUMIF(Tank4!$B$32:$B$49,$J901,Tank4!$C$32:$C$49)*Impacts!$F$11),0)</f>
        <v>0</v>
      </c>
      <c r="P901" s="10">
        <f>IF(Tank5!$C$23="No control",(SUMIF(Tank5!$B$32:$B$49,$J901,Tank5!$C$32:$C$49)*Impacts!$F$12),0)</f>
        <v>0</v>
      </c>
      <c r="Q901" s="10">
        <f>IFERROR(IF(('Loading-drum,tote'!$C$21)="No control",SUMIF(('Loading-drum,tote'!$B$31:$B$48),$J901,('Loading-drum,tote'!$D$31:$D$48))*Impacts!$F$13,IF(('Loading-drum,tote'!$C$21)&lt;&gt;"No control",SUMIF(('Loading-drum,tote'!$B$31:$B$48),$J901,('Loading-drum,tote'!$E$31:$E$48))*Impacts!$F$13,0)),0)</f>
        <v>0</v>
      </c>
      <c r="R901" s="10">
        <f>IFERROR(IF(('Loading-truck'!$C$21)="No control",SUMIF(('Loading-truck'!$B$31:$B$48),$J901,('Loading-truck'!$D$31:$D$48))*Impacts!$F$14,IF(('Loading-truck'!$C$21)&lt;&gt;"No control",SUMIF(('Loading-truck'!$B$31:$B$48),$J901,('Loading-truck'!$E$31:$E$48))*Impacts!$F$14,0)),0)</f>
        <v>0</v>
      </c>
      <c r="S901" s="10">
        <f>IFERROR(IF(('Loading-rail'!$C$21)="No control",SUMIF(('Loading-rail'!$B$31:$B$48),$J901,('Loading-rail'!$D$31:$D$48))*Impacts!$F$15,IF(('Loading-rail'!$C$21)&lt;&gt;"No control",SUMIF(('Loading-rail'!$B$31:$B$48),$J901,('Loading-rail'!$E$31:$E$48))*Impacts!$F$15,0)),0)</f>
        <v>0</v>
      </c>
      <c r="T901" s="10">
        <f>IF(Flare!$C$7="",0,(SUMIF(Flare!$B$46:$B$185,$J901,Flare!$E$46:$E$185)*Impacts!$F$16))</f>
        <v>0</v>
      </c>
      <c r="U901" s="10">
        <f>IF(VCU!$C$9="",0,(SUMIF(VCU!$B$51:$B$193,$J901,VCU!$E$51:$E$193)*Impacts!$F$17))</f>
        <v>0</v>
      </c>
      <c r="V901" s="10">
        <f>IF(CAS!$C$7="",0,(SUMIF(CAS!$B$31:$B$167,$J901,CAS!$E$31:$E$167)*Impacts!$F$18))</f>
        <v>0</v>
      </c>
      <c r="W901" s="10">
        <f t="shared" si="56"/>
        <v>0</v>
      </c>
      <c r="AK901" s="10" t="str">
        <f t="array" ref="AK901">IFERROR(INDEX(SelectedSpecies,SMALL(IF(SelectedSpecies=AK$1,ROW(SelectedSpecies)),ROW(902:902)),2),"")</f>
        <v/>
      </c>
      <c r="BE901" s="10"/>
      <c r="BI901" s="10"/>
    </row>
    <row r="902" spans="1:61" ht="21" customHeight="1" x14ac:dyDescent="0.25">
      <c r="A902" s="10"/>
      <c r="B902" s="10"/>
      <c r="E902" s="10"/>
      <c r="G902" s="10"/>
      <c r="I902" s="436" t="s">
        <v>10353</v>
      </c>
      <c r="J902" s="26" t="s">
        <v>10354</v>
      </c>
      <c r="K902" s="10">
        <v>6.0000000000000002E-6</v>
      </c>
      <c r="L902" s="73">
        <f>IF(Tank1!$C$23="No control",(SUMIF(Tank1!$B$32:$B$49,$J902,Tank1!$C$32:$C$49)*Impacts!$F$8),0)</f>
        <v>0</v>
      </c>
      <c r="M902" s="10">
        <f>IF(Tank2!$C$23="No control",(SUMIF(Tank2!$B$32:$B$49,$J902,Tank2!$C$32:$C$49)*Impacts!$F$9),0)</f>
        <v>0</v>
      </c>
      <c r="N902" s="10">
        <f>IF(Tank3!$C$23="No control",(SUMIF(Tank3!$B$32:$B$49,$J902,Tank3!$C$32:$C$49)*Impacts!$F$10),0)</f>
        <v>0</v>
      </c>
      <c r="O902" s="10">
        <f>IF(Tank4!$C$23="No control",(SUMIF(Tank4!$B$32:$B$49,$J902,Tank4!$C$32:$C$49)*Impacts!$F$11),0)</f>
        <v>0</v>
      </c>
      <c r="P902" s="10">
        <f>IF(Tank5!$C$23="No control",(SUMIF(Tank5!$B$32:$B$49,$J902,Tank5!$C$32:$C$49)*Impacts!$F$12),0)</f>
        <v>0</v>
      </c>
      <c r="Q902" s="10">
        <f>IFERROR(IF(('Loading-drum,tote'!$C$21)="No control",SUMIF(('Loading-drum,tote'!$B$31:$B$48),$J902,('Loading-drum,tote'!$D$31:$D$48))*Impacts!$F$13,IF(('Loading-drum,tote'!$C$21)&lt;&gt;"No control",SUMIF(('Loading-drum,tote'!$B$31:$B$48),$J902,('Loading-drum,tote'!$E$31:$E$48))*Impacts!$F$13,0)),0)</f>
        <v>0</v>
      </c>
      <c r="R902" s="10">
        <f>IFERROR(IF(('Loading-truck'!$C$21)="No control",SUMIF(('Loading-truck'!$B$31:$B$48),$J902,('Loading-truck'!$D$31:$D$48))*Impacts!$F$14,IF(('Loading-truck'!$C$21)&lt;&gt;"No control",SUMIF(('Loading-truck'!$B$31:$B$48),$J902,('Loading-truck'!$E$31:$E$48))*Impacts!$F$14,0)),0)</f>
        <v>0</v>
      </c>
      <c r="S902" s="10">
        <f>IFERROR(IF(('Loading-rail'!$C$21)="No control",SUMIF(('Loading-rail'!$B$31:$B$48),$J902,('Loading-rail'!$D$31:$D$48))*Impacts!$F$15,IF(('Loading-rail'!$C$21)&lt;&gt;"No control",SUMIF(('Loading-rail'!$B$31:$B$48),$J902,('Loading-rail'!$E$31:$E$48))*Impacts!$F$15,0)),0)</f>
        <v>0</v>
      </c>
      <c r="T902" s="10">
        <f>IF(Flare!$C$7="",0,(SUMIF(Flare!$B$46:$B$185,$J902,Flare!$E$46:$E$185)*Impacts!$F$16))</f>
        <v>0</v>
      </c>
      <c r="U902" s="10">
        <f>IF(VCU!$C$9="",0,(SUMIF(VCU!$B$51:$B$193,$J902,VCU!$E$51:$E$193)*Impacts!$F$17))</f>
        <v>0</v>
      </c>
      <c r="V902" s="10">
        <f>IF(CAS!$C$7="",0,(SUMIF(CAS!$B$31:$B$167,$J902,CAS!$E$31:$E$167)*Impacts!$F$18))</f>
        <v>0</v>
      </c>
      <c r="W902" s="10">
        <f t="shared" si="56"/>
        <v>0</v>
      </c>
      <c r="AK902" s="10" t="str">
        <f t="array" ref="AK902">IFERROR(INDEX(SelectedSpecies,SMALL(IF(SelectedSpecies=AK$1,ROW(SelectedSpecies)),ROW(903:903)),2),"")</f>
        <v/>
      </c>
      <c r="BE902" s="10"/>
      <c r="BI902" s="10"/>
    </row>
    <row r="903" spans="1:61" ht="21" customHeight="1" x14ac:dyDescent="0.25">
      <c r="A903" s="10"/>
      <c r="B903" s="10"/>
      <c r="E903" s="10"/>
      <c r="G903" s="10"/>
      <c r="I903" s="436" t="s">
        <v>6626</v>
      </c>
      <c r="J903" s="26" t="s">
        <v>6625</v>
      </c>
      <c r="K903" s="10">
        <v>0.60000000000000009</v>
      </c>
      <c r="L903" s="73">
        <f>IF(Tank1!$C$23="No control",(SUMIF(Tank1!$B$32:$B$49,$J903,Tank1!$C$32:$C$49)*Impacts!$F$8),0)</f>
        <v>0</v>
      </c>
      <c r="M903" s="10">
        <f>IF(Tank2!$C$23="No control",(SUMIF(Tank2!$B$32:$B$49,$J903,Tank2!$C$32:$C$49)*Impacts!$F$9),0)</f>
        <v>0</v>
      </c>
      <c r="N903" s="10">
        <f>IF(Tank3!$C$23="No control",(SUMIF(Tank3!$B$32:$B$49,$J903,Tank3!$C$32:$C$49)*Impacts!$F$10),0)</f>
        <v>0</v>
      </c>
      <c r="O903" s="10">
        <f>IF(Tank4!$C$23="No control",(SUMIF(Tank4!$B$32:$B$49,$J903,Tank4!$C$32:$C$49)*Impacts!$F$11),0)</f>
        <v>0</v>
      </c>
      <c r="P903" s="10">
        <f>IF(Tank5!$C$23="No control",(SUMIF(Tank5!$B$32:$B$49,$J903,Tank5!$C$32:$C$49)*Impacts!$F$12),0)</f>
        <v>0</v>
      </c>
      <c r="Q903" s="10">
        <f>IFERROR(IF(('Loading-drum,tote'!$C$21)="No control",SUMIF(('Loading-drum,tote'!$B$31:$B$48),$J903,('Loading-drum,tote'!$D$31:$D$48))*Impacts!$F$13,IF(('Loading-drum,tote'!$C$21)&lt;&gt;"No control",SUMIF(('Loading-drum,tote'!$B$31:$B$48),$J903,('Loading-drum,tote'!$E$31:$E$48))*Impacts!$F$13,0)),0)</f>
        <v>0</v>
      </c>
      <c r="R903" s="10">
        <f>IFERROR(IF(('Loading-truck'!$C$21)="No control",SUMIF(('Loading-truck'!$B$31:$B$48),$J903,('Loading-truck'!$D$31:$D$48))*Impacts!$F$14,IF(('Loading-truck'!$C$21)&lt;&gt;"No control",SUMIF(('Loading-truck'!$B$31:$B$48),$J903,('Loading-truck'!$E$31:$E$48))*Impacts!$F$14,0)),0)</f>
        <v>0</v>
      </c>
      <c r="S903" s="10">
        <f>IFERROR(IF(('Loading-rail'!$C$21)="No control",SUMIF(('Loading-rail'!$B$31:$B$48),$J903,('Loading-rail'!$D$31:$D$48))*Impacts!$F$15,IF(('Loading-rail'!$C$21)&lt;&gt;"No control",SUMIF(('Loading-rail'!$B$31:$B$48),$J903,('Loading-rail'!$E$31:$E$48))*Impacts!$F$15,0)),0)</f>
        <v>0</v>
      </c>
      <c r="T903" s="10">
        <f>IF(Flare!$C$7="",0,(SUMIF(Flare!$B$46:$B$185,$J903,Flare!$E$46:$E$185)*Impacts!$F$16))</f>
        <v>0</v>
      </c>
      <c r="U903" s="10">
        <f>IF(VCU!$C$9="",0,(SUMIF(VCU!$B$51:$B$193,$J903,VCU!$E$51:$E$193)*Impacts!$F$17))</f>
        <v>0</v>
      </c>
      <c r="V903" s="10">
        <f>IF(CAS!$C$7="",0,(SUMIF(CAS!$B$31:$B$167,$J903,CAS!$E$31:$E$167)*Impacts!$F$18))</f>
        <v>0</v>
      </c>
      <c r="W903" s="10">
        <f t="shared" si="56"/>
        <v>0</v>
      </c>
      <c r="AK903" s="10" t="str">
        <f t="array" ref="AK903">IFERROR(INDEX(SelectedSpecies,SMALL(IF(SelectedSpecies=AK$1,ROW(SelectedSpecies)),ROW(904:904)),2),"")</f>
        <v/>
      </c>
      <c r="BE903" s="10"/>
      <c r="BI903" s="10"/>
    </row>
    <row r="904" spans="1:61" ht="21" customHeight="1" x14ac:dyDescent="0.25">
      <c r="A904" s="10"/>
      <c r="B904" s="10"/>
      <c r="E904" s="10"/>
      <c r="G904" s="10"/>
      <c r="I904" s="436" t="s">
        <v>6378</v>
      </c>
      <c r="J904" s="26" t="s">
        <v>6377</v>
      </c>
      <c r="K904" s="10">
        <v>0.81</v>
      </c>
      <c r="L904" s="73">
        <f>IF(Tank1!$C$23="No control",(SUMIF(Tank1!$B$32:$B$49,$J904,Tank1!$C$32:$C$49)*Impacts!$F$8),0)</f>
        <v>0</v>
      </c>
      <c r="M904" s="10">
        <f>IF(Tank2!$C$23="No control",(SUMIF(Tank2!$B$32:$B$49,$J904,Tank2!$C$32:$C$49)*Impacts!$F$9),0)</f>
        <v>0</v>
      </c>
      <c r="N904" s="10">
        <f>IF(Tank3!$C$23="No control",(SUMIF(Tank3!$B$32:$B$49,$J904,Tank3!$C$32:$C$49)*Impacts!$F$10),0)</f>
        <v>0</v>
      </c>
      <c r="O904" s="10">
        <f>IF(Tank4!$C$23="No control",(SUMIF(Tank4!$B$32:$B$49,$J904,Tank4!$C$32:$C$49)*Impacts!$F$11),0)</f>
        <v>0</v>
      </c>
      <c r="P904" s="10">
        <f>IF(Tank5!$C$23="No control",(SUMIF(Tank5!$B$32:$B$49,$J904,Tank5!$C$32:$C$49)*Impacts!$F$12),0)</f>
        <v>0</v>
      </c>
      <c r="Q904" s="10">
        <f>IFERROR(IF(('Loading-drum,tote'!$C$21)="No control",SUMIF(('Loading-drum,tote'!$B$31:$B$48),$J904,('Loading-drum,tote'!$D$31:$D$48))*Impacts!$F$13,IF(('Loading-drum,tote'!$C$21)&lt;&gt;"No control",SUMIF(('Loading-drum,tote'!$B$31:$B$48),$J904,('Loading-drum,tote'!$E$31:$E$48))*Impacts!$F$13,0)),0)</f>
        <v>0</v>
      </c>
      <c r="R904" s="10">
        <f>IFERROR(IF(('Loading-truck'!$C$21)="No control",SUMIF(('Loading-truck'!$B$31:$B$48),$J904,('Loading-truck'!$D$31:$D$48))*Impacts!$F$14,IF(('Loading-truck'!$C$21)&lt;&gt;"No control",SUMIF(('Loading-truck'!$B$31:$B$48),$J904,('Loading-truck'!$E$31:$E$48))*Impacts!$F$14,0)),0)</f>
        <v>0</v>
      </c>
      <c r="S904" s="10">
        <f>IFERROR(IF(('Loading-rail'!$C$21)="No control",SUMIF(('Loading-rail'!$B$31:$B$48),$J904,('Loading-rail'!$D$31:$D$48))*Impacts!$F$15,IF(('Loading-rail'!$C$21)&lt;&gt;"No control",SUMIF(('Loading-rail'!$B$31:$B$48),$J904,('Loading-rail'!$E$31:$E$48))*Impacts!$F$15,0)),0)</f>
        <v>0</v>
      </c>
      <c r="T904" s="10">
        <f>IF(Flare!$C$7="",0,(SUMIF(Flare!$B$46:$B$185,$J904,Flare!$E$46:$E$185)*Impacts!$F$16))</f>
        <v>0</v>
      </c>
      <c r="U904" s="10">
        <f>IF(VCU!$C$9="",0,(SUMIF(VCU!$B$51:$B$193,$J904,VCU!$E$51:$E$193)*Impacts!$F$17))</f>
        <v>0</v>
      </c>
      <c r="V904" s="10">
        <f>IF(CAS!$C$7="",0,(SUMIF(CAS!$B$31:$B$167,$J904,CAS!$E$31:$E$167)*Impacts!$F$18))</f>
        <v>0</v>
      </c>
      <c r="W904" s="10">
        <f t="shared" si="56"/>
        <v>0</v>
      </c>
      <c r="AK904" s="10" t="str">
        <f t="array" ref="AK904">IFERROR(INDEX(SelectedSpecies,SMALL(IF(SelectedSpecies=AK$1,ROW(SelectedSpecies)),ROW(905:905)),2),"")</f>
        <v/>
      </c>
      <c r="BE904" s="10"/>
      <c r="BI904" s="10"/>
    </row>
    <row r="905" spans="1:61" ht="21" customHeight="1" x14ac:dyDescent="0.25">
      <c r="A905" s="10"/>
      <c r="B905" s="10"/>
      <c r="E905" s="10"/>
      <c r="G905" s="10"/>
      <c r="I905" s="436" t="s">
        <v>6378</v>
      </c>
      <c r="J905" s="26" t="s">
        <v>10355</v>
      </c>
      <c r="K905" s="10">
        <v>5.6999999999999995E-2</v>
      </c>
      <c r="L905" s="73">
        <f>IF(Tank1!$C$23="No control",(SUMIF(Tank1!$B$32:$B$49,$J905,Tank1!$C$32:$C$49)*Impacts!$F$8),0)</f>
        <v>0</v>
      </c>
      <c r="M905" s="10">
        <f>IF(Tank2!$C$23="No control",(SUMIF(Tank2!$B$32:$B$49,$J905,Tank2!$C$32:$C$49)*Impacts!$F$9),0)</f>
        <v>0</v>
      </c>
      <c r="N905" s="10">
        <f>IF(Tank3!$C$23="No control",(SUMIF(Tank3!$B$32:$B$49,$J905,Tank3!$C$32:$C$49)*Impacts!$F$10),0)</f>
        <v>0</v>
      </c>
      <c r="O905" s="10">
        <f>IF(Tank4!$C$23="No control",(SUMIF(Tank4!$B$32:$B$49,$J905,Tank4!$C$32:$C$49)*Impacts!$F$11),0)</f>
        <v>0</v>
      </c>
      <c r="P905" s="10">
        <f>IF(Tank5!$C$23="No control",(SUMIF(Tank5!$B$32:$B$49,$J905,Tank5!$C$32:$C$49)*Impacts!$F$12),0)</f>
        <v>0</v>
      </c>
      <c r="Q905" s="10">
        <f>IFERROR(IF(('Loading-drum,tote'!$C$21)="No control",SUMIF(('Loading-drum,tote'!$B$31:$B$48),$J905,('Loading-drum,tote'!$D$31:$D$48))*Impacts!$F$13,IF(('Loading-drum,tote'!$C$21)&lt;&gt;"No control",SUMIF(('Loading-drum,tote'!$B$31:$B$48),$J905,('Loading-drum,tote'!$E$31:$E$48))*Impacts!$F$13,0)),0)</f>
        <v>0</v>
      </c>
      <c r="R905" s="10">
        <f>IFERROR(IF(('Loading-truck'!$C$21)="No control",SUMIF(('Loading-truck'!$B$31:$B$48),$J905,('Loading-truck'!$D$31:$D$48))*Impacts!$F$14,IF(('Loading-truck'!$C$21)&lt;&gt;"No control",SUMIF(('Loading-truck'!$B$31:$B$48),$J905,('Loading-truck'!$E$31:$E$48))*Impacts!$F$14,0)),0)</f>
        <v>0</v>
      </c>
      <c r="S905" s="10">
        <f>IFERROR(IF(('Loading-rail'!$C$21)="No control",SUMIF(('Loading-rail'!$B$31:$B$48),$J905,('Loading-rail'!$D$31:$D$48))*Impacts!$F$15,IF(('Loading-rail'!$C$21)&lt;&gt;"No control",SUMIF(('Loading-rail'!$B$31:$B$48),$J905,('Loading-rail'!$E$31:$E$48))*Impacts!$F$15,0)),0)</f>
        <v>0</v>
      </c>
      <c r="T905" s="10">
        <f>IF(Flare!$C$7="",0,(SUMIF(Flare!$B$46:$B$185,$J905,Flare!$E$46:$E$185)*Impacts!$F$16))</f>
        <v>0</v>
      </c>
      <c r="U905" s="10">
        <f>IF(VCU!$C$9="",0,(SUMIF(VCU!$B$51:$B$193,$J905,VCU!$E$51:$E$193)*Impacts!$F$17))</f>
        <v>0</v>
      </c>
      <c r="V905" s="10">
        <f>IF(CAS!$C$7="",0,(SUMIF(CAS!$B$31:$B$167,$J905,CAS!$E$31:$E$167)*Impacts!$F$18))</f>
        <v>0</v>
      </c>
      <c r="W905" s="10">
        <f t="shared" si="56"/>
        <v>0</v>
      </c>
      <c r="AK905" s="10" t="str">
        <f t="array" ref="AK905">IFERROR(INDEX(SelectedSpecies,SMALL(IF(SelectedSpecies=AK$1,ROW(SelectedSpecies)),ROW(906:906)),2),"")</f>
        <v/>
      </c>
      <c r="BE905" s="10"/>
      <c r="BI905" s="10"/>
    </row>
    <row r="906" spans="1:61" ht="21" customHeight="1" x14ac:dyDescent="0.25">
      <c r="A906" s="10"/>
      <c r="B906" s="10"/>
      <c r="E906" s="10"/>
      <c r="G906" s="10"/>
      <c r="I906" s="436" t="s">
        <v>6378</v>
      </c>
      <c r="J906" s="26" t="s">
        <v>10356</v>
      </c>
      <c r="K906" s="10">
        <v>7.0999999999999994E-2</v>
      </c>
      <c r="L906" s="73">
        <f>IF(Tank1!$C$23="No control",(SUMIF(Tank1!$B$32:$B$49,$J906,Tank1!$C$32:$C$49)*Impacts!$F$8),0)</f>
        <v>0</v>
      </c>
      <c r="M906" s="10">
        <f>IF(Tank2!$C$23="No control",(SUMIF(Tank2!$B$32:$B$49,$J906,Tank2!$C$32:$C$49)*Impacts!$F$9),0)</f>
        <v>0</v>
      </c>
      <c r="N906" s="10">
        <f>IF(Tank3!$C$23="No control",(SUMIF(Tank3!$B$32:$B$49,$J906,Tank3!$C$32:$C$49)*Impacts!$F$10),0)</f>
        <v>0</v>
      </c>
      <c r="O906" s="10">
        <f>IF(Tank4!$C$23="No control",(SUMIF(Tank4!$B$32:$B$49,$J906,Tank4!$C$32:$C$49)*Impacts!$F$11),0)</f>
        <v>0</v>
      </c>
      <c r="P906" s="10">
        <f>IF(Tank5!$C$23="No control",(SUMIF(Tank5!$B$32:$B$49,$J906,Tank5!$C$32:$C$49)*Impacts!$F$12),0)</f>
        <v>0</v>
      </c>
      <c r="Q906" s="10">
        <f>IFERROR(IF(('Loading-drum,tote'!$C$21)="No control",SUMIF(('Loading-drum,tote'!$B$31:$B$48),$J906,('Loading-drum,tote'!$D$31:$D$48))*Impacts!$F$13,IF(('Loading-drum,tote'!$C$21)&lt;&gt;"No control",SUMIF(('Loading-drum,tote'!$B$31:$B$48),$J906,('Loading-drum,tote'!$E$31:$E$48))*Impacts!$F$13,0)),0)</f>
        <v>0</v>
      </c>
      <c r="R906" s="10">
        <f>IFERROR(IF(('Loading-truck'!$C$21)="No control",SUMIF(('Loading-truck'!$B$31:$B$48),$J906,('Loading-truck'!$D$31:$D$48))*Impacts!$F$14,IF(('Loading-truck'!$C$21)&lt;&gt;"No control",SUMIF(('Loading-truck'!$B$31:$B$48),$J906,('Loading-truck'!$E$31:$E$48))*Impacts!$F$14,0)),0)</f>
        <v>0</v>
      </c>
      <c r="S906" s="10">
        <f>IFERROR(IF(('Loading-rail'!$C$21)="No control",SUMIF(('Loading-rail'!$B$31:$B$48),$J906,('Loading-rail'!$D$31:$D$48))*Impacts!$F$15,IF(('Loading-rail'!$C$21)&lt;&gt;"No control",SUMIF(('Loading-rail'!$B$31:$B$48),$J906,('Loading-rail'!$E$31:$E$48))*Impacts!$F$15,0)),0)</f>
        <v>0</v>
      </c>
      <c r="T906" s="10">
        <f>IF(Flare!$C$7="",0,(SUMIF(Flare!$B$46:$B$185,$J906,Flare!$E$46:$E$185)*Impacts!$F$16))</f>
        <v>0</v>
      </c>
      <c r="U906" s="10">
        <f>IF(VCU!$C$9="",0,(SUMIF(VCU!$B$51:$B$193,$J906,VCU!$E$51:$E$193)*Impacts!$F$17))</f>
        <v>0</v>
      </c>
      <c r="V906" s="10">
        <f>IF(CAS!$C$7="",0,(SUMIF(CAS!$B$31:$B$167,$J906,CAS!$E$31:$E$167)*Impacts!$F$18))</f>
        <v>0</v>
      </c>
      <c r="W906" s="10">
        <f t="shared" si="56"/>
        <v>0</v>
      </c>
      <c r="AK906" s="10" t="str">
        <f t="array" ref="AK906">IFERROR(INDEX(SelectedSpecies,SMALL(IF(SelectedSpecies=AK$1,ROW(SelectedSpecies)),ROW(907:907)),2),"")</f>
        <v/>
      </c>
      <c r="BE906" s="10"/>
      <c r="BI906" s="10"/>
    </row>
    <row r="907" spans="1:61" ht="21" customHeight="1" x14ac:dyDescent="0.25">
      <c r="A907" s="10"/>
      <c r="B907" s="10"/>
      <c r="E907" s="10"/>
      <c r="G907" s="10"/>
      <c r="I907" s="436" t="s">
        <v>2725</v>
      </c>
      <c r="J907" s="26" t="s">
        <v>2724</v>
      </c>
      <c r="K907" s="10">
        <v>10</v>
      </c>
      <c r="L907" s="73">
        <f>IF(Tank1!$C$23="No control",(SUMIF(Tank1!$B$32:$B$49,$J907,Tank1!$C$32:$C$49)*Impacts!$F$8),0)</f>
        <v>0</v>
      </c>
      <c r="M907" s="10">
        <f>IF(Tank2!$C$23="No control",(SUMIF(Tank2!$B$32:$B$49,$J907,Tank2!$C$32:$C$49)*Impacts!$F$9),0)</f>
        <v>0</v>
      </c>
      <c r="N907" s="10">
        <f>IF(Tank3!$C$23="No control",(SUMIF(Tank3!$B$32:$B$49,$J907,Tank3!$C$32:$C$49)*Impacts!$F$10),0)</f>
        <v>0</v>
      </c>
      <c r="O907" s="10">
        <f>IF(Tank4!$C$23="No control",(SUMIF(Tank4!$B$32:$B$49,$J907,Tank4!$C$32:$C$49)*Impacts!$F$11),0)</f>
        <v>0</v>
      </c>
      <c r="P907" s="10">
        <f>IF(Tank5!$C$23="No control",(SUMIF(Tank5!$B$32:$B$49,$J907,Tank5!$C$32:$C$49)*Impacts!$F$12),0)</f>
        <v>0</v>
      </c>
      <c r="Q907" s="10">
        <f>IFERROR(IF(('Loading-drum,tote'!$C$21)="No control",SUMIF(('Loading-drum,tote'!$B$31:$B$48),$J907,('Loading-drum,tote'!$D$31:$D$48))*Impacts!$F$13,IF(('Loading-drum,tote'!$C$21)&lt;&gt;"No control",SUMIF(('Loading-drum,tote'!$B$31:$B$48),$J907,('Loading-drum,tote'!$E$31:$E$48))*Impacts!$F$13,0)),0)</f>
        <v>0</v>
      </c>
      <c r="R907" s="10">
        <f>IFERROR(IF(('Loading-truck'!$C$21)="No control",SUMIF(('Loading-truck'!$B$31:$B$48),$J907,('Loading-truck'!$D$31:$D$48))*Impacts!$F$14,IF(('Loading-truck'!$C$21)&lt;&gt;"No control",SUMIF(('Loading-truck'!$B$31:$B$48),$J907,('Loading-truck'!$E$31:$E$48))*Impacts!$F$14,0)),0)</f>
        <v>0</v>
      </c>
      <c r="S907" s="10">
        <f>IFERROR(IF(('Loading-rail'!$C$21)="No control",SUMIF(('Loading-rail'!$B$31:$B$48),$J907,('Loading-rail'!$D$31:$D$48))*Impacts!$F$15,IF(('Loading-rail'!$C$21)&lt;&gt;"No control",SUMIF(('Loading-rail'!$B$31:$B$48),$J907,('Loading-rail'!$E$31:$E$48))*Impacts!$F$15,0)),0)</f>
        <v>0</v>
      </c>
      <c r="T907" s="10">
        <f>IF(Flare!$C$7="",0,(SUMIF(Flare!$B$46:$B$185,$J907,Flare!$E$46:$E$185)*Impacts!$F$16))</f>
        <v>0</v>
      </c>
      <c r="U907" s="10">
        <f>IF(VCU!$C$9="",0,(SUMIF(VCU!$B$51:$B$193,$J907,VCU!$E$51:$E$193)*Impacts!$F$17))</f>
        <v>0</v>
      </c>
      <c r="V907" s="10">
        <f>IF(CAS!$C$7="",0,(SUMIF(CAS!$B$31:$B$167,$J907,CAS!$E$31:$E$167)*Impacts!$F$18))</f>
        <v>0</v>
      </c>
      <c r="W907" s="10">
        <f t="shared" si="56"/>
        <v>0</v>
      </c>
      <c r="AK907" s="10" t="str">
        <f t="array" ref="AK907">IFERROR(INDEX(SelectedSpecies,SMALL(IF(SelectedSpecies=AK$1,ROW(SelectedSpecies)),ROW(908:908)),2),"")</f>
        <v/>
      </c>
      <c r="BE907" s="10"/>
      <c r="BI907" s="10"/>
    </row>
    <row r="908" spans="1:61" ht="21" customHeight="1" x14ac:dyDescent="0.25">
      <c r="A908" s="10"/>
      <c r="B908" s="10"/>
      <c r="E908" s="10"/>
      <c r="G908" s="10"/>
      <c r="I908" s="436" t="s">
        <v>4717</v>
      </c>
      <c r="J908" s="26" t="s">
        <v>4716</v>
      </c>
      <c r="K908" s="10">
        <v>3.5</v>
      </c>
      <c r="L908" s="73">
        <f>IF(Tank1!$C$23="No control",(SUMIF(Tank1!$B$32:$B$49,$J908,Tank1!$C$32:$C$49)*Impacts!$F$8),0)</f>
        <v>0</v>
      </c>
      <c r="M908" s="10">
        <f>IF(Tank2!$C$23="No control",(SUMIF(Tank2!$B$32:$B$49,$J908,Tank2!$C$32:$C$49)*Impacts!$F$9),0)</f>
        <v>0</v>
      </c>
      <c r="N908" s="10">
        <f>IF(Tank3!$C$23="No control",(SUMIF(Tank3!$B$32:$B$49,$J908,Tank3!$C$32:$C$49)*Impacts!$F$10),0)</f>
        <v>0</v>
      </c>
      <c r="O908" s="10">
        <f>IF(Tank4!$C$23="No control",(SUMIF(Tank4!$B$32:$B$49,$J908,Tank4!$C$32:$C$49)*Impacts!$F$11),0)</f>
        <v>0</v>
      </c>
      <c r="P908" s="10">
        <f>IF(Tank5!$C$23="No control",(SUMIF(Tank5!$B$32:$B$49,$J908,Tank5!$C$32:$C$49)*Impacts!$F$12),0)</f>
        <v>0</v>
      </c>
      <c r="Q908" s="10">
        <f>IFERROR(IF(('Loading-drum,tote'!$C$21)="No control",SUMIF(('Loading-drum,tote'!$B$31:$B$48),$J908,('Loading-drum,tote'!$D$31:$D$48))*Impacts!$F$13,IF(('Loading-drum,tote'!$C$21)&lt;&gt;"No control",SUMIF(('Loading-drum,tote'!$B$31:$B$48),$J908,('Loading-drum,tote'!$E$31:$E$48))*Impacts!$F$13,0)),0)</f>
        <v>0</v>
      </c>
      <c r="R908" s="10">
        <f>IFERROR(IF(('Loading-truck'!$C$21)="No control",SUMIF(('Loading-truck'!$B$31:$B$48),$J908,('Loading-truck'!$D$31:$D$48))*Impacts!$F$14,IF(('Loading-truck'!$C$21)&lt;&gt;"No control",SUMIF(('Loading-truck'!$B$31:$B$48),$J908,('Loading-truck'!$E$31:$E$48))*Impacts!$F$14,0)),0)</f>
        <v>0</v>
      </c>
      <c r="S908" s="10">
        <f>IFERROR(IF(('Loading-rail'!$C$21)="No control",SUMIF(('Loading-rail'!$B$31:$B$48),$J908,('Loading-rail'!$D$31:$D$48))*Impacts!$F$15,IF(('Loading-rail'!$C$21)&lt;&gt;"No control",SUMIF(('Loading-rail'!$B$31:$B$48),$J908,('Loading-rail'!$E$31:$E$48))*Impacts!$F$15,0)),0)</f>
        <v>0</v>
      </c>
      <c r="T908" s="10">
        <f>IF(Flare!$C$7="",0,(SUMIF(Flare!$B$46:$B$185,$J908,Flare!$E$46:$E$185)*Impacts!$F$16))</f>
        <v>0</v>
      </c>
      <c r="U908" s="10">
        <f>IF(VCU!$C$9="",0,(SUMIF(VCU!$B$51:$B$193,$J908,VCU!$E$51:$E$193)*Impacts!$F$17))</f>
        <v>0</v>
      </c>
      <c r="V908" s="10">
        <f>IF(CAS!$C$7="",0,(SUMIF(CAS!$B$31:$B$167,$J908,CAS!$E$31:$E$167)*Impacts!$F$18))</f>
        <v>0</v>
      </c>
      <c r="W908" s="10">
        <f t="shared" si="56"/>
        <v>0</v>
      </c>
      <c r="AK908" s="10" t="str">
        <f t="array" ref="AK908">IFERROR(INDEX(SelectedSpecies,SMALL(IF(SelectedSpecies=AK$1,ROW(SelectedSpecies)),ROW(909:909)),2),"")</f>
        <v/>
      </c>
      <c r="BE908" s="10"/>
      <c r="BI908" s="10"/>
    </row>
    <row r="909" spans="1:61" ht="21" customHeight="1" x14ac:dyDescent="0.25">
      <c r="A909" s="10"/>
      <c r="B909" s="10"/>
      <c r="E909" s="10"/>
      <c r="G909" s="10"/>
      <c r="I909" s="436" t="s">
        <v>3743</v>
      </c>
      <c r="J909" s="26" t="s">
        <v>3742</v>
      </c>
      <c r="K909" s="10">
        <v>6.1000000000000005</v>
      </c>
      <c r="L909" s="73">
        <f>IF(Tank1!$C$23="No control",(SUMIF(Tank1!$B$32:$B$49,$J909,Tank1!$C$32:$C$49)*Impacts!$F$8),0)</f>
        <v>0</v>
      </c>
      <c r="M909" s="10">
        <f>IF(Tank2!$C$23="No control",(SUMIF(Tank2!$B$32:$B$49,$J909,Tank2!$C$32:$C$49)*Impacts!$F$9),0)</f>
        <v>0</v>
      </c>
      <c r="N909" s="10">
        <f>IF(Tank3!$C$23="No control",(SUMIF(Tank3!$B$32:$B$49,$J909,Tank3!$C$32:$C$49)*Impacts!$F$10),0)</f>
        <v>0</v>
      </c>
      <c r="O909" s="10">
        <f>IF(Tank4!$C$23="No control",(SUMIF(Tank4!$B$32:$B$49,$J909,Tank4!$C$32:$C$49)*Impacts!$F$11),0)</f>
        <v>0</v>
      </c>
      <c r="P909" s="10">
        <f>IF(Tank5!$C$23="No control",(SUMIF(Tank5!$B$32:$B$49,$J909,Tank5!$C$32:$C$49)*Impacts!$F$12),0)</f>
        <v>0</v>
      </c>
      <c r="Q909" s="10">
        <f>IFERROR(IF(('Loading-drum,tote'!$C$21)="No control",SUMIF(('Loading-drum,tote'!$B$31:$B$48),$J909,('Loading-drum,tote'!$D$31:$D$48))*Impacts!$F$13,IF(('Loading-drum,tote'!$C$21)&lt;&gt;"No control",SUMIF(('Loading-drum,tote'!$B$31:$B$48),$J909,('Loading-drum,tote'!$E$31:$E$48))*Impacts!$F$13,0)),0)</f>
        <v>0</v>
      </c>
      <c r="R909" s="10">
        <f>IFERROR(IF(('Loading-truck'!$C$21)="No control",SUMIF(('Loading-truck'!$B$31:$B$48),$J909,('Loading-truck'!$D$31:$D$48))*Impacts!$F$14,IF(('Loading-truck'!$C$21)&lt;&gt;"No control",SUMIF(('Loading-truck'!$B$31:$B$48),$J909,('Loading-truck'!$E$31:$E$48))*Impacts!$F$14,0)),0)</f>
        <v>0</v>
      </c>
      <c r="S909" s="10">
        <f>IFERROR(IF(('Loading-rail'!$C$21)="No control",SUMIF(('Loading-rail'!$B$31:$B$48),$J909,('Loading-rail'!$D$31:$D$48))*Impacts!$F$15,IF(('Loading-rail'!$C$21)&lt;&gt;"No control",SUMIF(('Loading-rail'!$B$31:$B$48),$J909,('Loading-rail'!$E$31:$E$48))*Impacts!$F$15,0)),0)</f>
        <v>0</v>
      </c>
      <c r="T909" s="10">
        <f>IF(Flare!$C$7="",0,(SUMIF(Flare!$B$46:$B$185,$J909,Flare!$E$46:$E$185)*Impacts!$F$16))</f>
        <v>0</v>
      </c>
      <c r="U909" s="10">
        <f>IF(VCU!$C$9="",0,(SUMIF(VCU!$B$51:$B$193,$J909,VCU!$E$51:$E$193)*Impacts!$F$17))</f>
        <v>0</v>
      </c>
      <c r="V909" s="10">
        <f>IF(CAS!$C$7="",0,(SUMIF(CAS!$B$31:$B$167,$J909,CAS!$E$31:$E$167)*Impacts!$F$18))</f>
        <v>0</v>
      </c>
      <c r="W909" s="10">
        <f t="shared" si="56"/>
        <v>0</v>
      </c>
      <c r="AK909" s="10" t="str">
        <f t="array" ref="AK909">IFERROR(INDEX(SelectedSpecies,SMALL(IF(SelectedSpecies=AK$1,ROW(SelectedSpecies)),ROW(910:910)),2),"")</f>
        <v/>
      </c>
      <c r="BE909" s="10"/>
      <c r="BI909" s="10"/>
    </row>
    <row r="910" spans="1:61" ht="21" customHeight="1" x14ac:dyDescent="0.25">
      <c r="A910" s="10"/>
      <c r="B910" s="10"/>
      <c r="E910" s="10"/>
      <c r="G910" s="10"/>
      <c r="I910" s="436" t="s">
        <v>8242</v>
      </c>
      <c r="J910" s="26" t="s">
        <v>8241</v>
      </c>
      <c r="K910" s="10">
        <v>8.0000000000000002E-3</v>
      </c>
      <c r="L910" s="73">
        <f>IF(Tank1!$C$23="No control",(SUMIF(Tank1!$B$32:$B$49,$J910,Tank1!$C$32:$C$49)*Impacts!$F$8),0)</f>
        <v>0</v>
      </c>
      <c r="M910" s="10">
        <f>IF(Tank2!$C$23="No control",(SUMIF(Tank2!$B$32:$B$49,$J910,Tank2!$C$32:$C$49)*Impacts!$F$9),0)</f>
        <v>0</v>
      </c>
      <c r="N910" s="10">
        <f>IF(Tank3!$C$23="No control",(SUMIF(Tank3!$B$32:$B$49,$J910,Tank3!$C$32:$C$49)*Impacts!$F$10),0)</f>
        <v>0</v>
      </c>
      <c r="O910" s="10">
        <f>IF(Tank4!$C$23="No control",(SUMIF(Tank4!$B$32:$B$49,$J910,Tank4!$C$32:$C$49)*Impacts!$F$11),0)</f>
        <v>0</v>
      </c>
      <c r="P910" s="10">
        <f>IF(Tank5!$C$23="No control",(SUMIF(Tank5!$B$32:$B$49,$J910,Tank5!$C$32:$C$49)*Impacts!$F$12),0)</f>
        <v>0</v>
      </c>
      <c r="Q910" s="10">
        <f>IFERROR(IF(('Loading-drum,tote'!$C$21)="No control",SUMIF(('Loading-drum,tote'!$B$31:$B$48),$J910,('Loading-drum,tote'!$D$31:$D$48))*Impacts!$F$13,IF(('Loading-drum,tote'!$C$21)&lt;&gt;"No control",SUMIF(('Loading-drum,tote'!$B$31:$B$48),$J910,('Loading-drum,tote'!$E$31:$E$48))*Impacts!$F$13,0)),0)</f>
        <v>0</v>
      </c>
      <c r="R910" s="10">
        <f>IFERROR(IF(('Loading-truck'!$C$21)="No control",SUMIF(('Loading-truck'!$B$31:$B$48),$J910,('Loading-truck'!$D$31:$D$48))*Impacts!$F$14,IF(('Loading-truck'!$C$21)&lt;&gt;"No control",SUMIF(('Loading-truck'!$B$31:$B$48),$J910,('Loading-truck'!$E$31:$E$48))*Impacts!$F$14,0)),0)</f>
        <v>0</v>
      </c>
      <c r="S910" s="10">
        <f>IFERROR(IF(('Loading-rail'!$C$21)="No control",SUMIF(('Loading-rail'!$B$31:$B$48),$J910,('Loading-rail'!$D$31:$D$48))*Impacts!$F$15,IF(('Loading-rail'!$C$21)&lt;&gt;"No control",SUMIF(('Loading-rail'!$B$31:$B$48),$J910,('Loading-rail'!$E$31:$E$48))*Impacts!$F$15,0)),0)</f>
        <v>0</v>
      </c>
      <c r="T910" s="10">
        <f>IF(Flare!$C$7="",0,(SUMIF(Flare!$B$46:$B$185,$J910,Flare!$E$46:$E$185)*Impacts!$F$16))</f>
        <v>0</v>
      </c>
      <c r="U910" s="10">
        <f>IF(VCU!$C$9="",0,(SUMIF(VCU!$B$51:$B$193,$J910,VCU!$E$51:$E$193)*Impacts!$F$17))</f>
        <v>0</v>
      </c>
      <c r="V910" s="10">
        <f>IF(CAS!$C$7="",0,(SUMIF(CAS!$B$31:$B$167,$J910,CAS!$E$31:$E$167)*Impacts!$F$18))</f>
        <v>0</v>
      </c>
      <c r="W910" s="10">
        <f t="shared" si="56"/>
        <v>0</v>
      </c>
      <c r="AK910" s="10" t="str">
        <f t="array" ref="AK910">IFERROR(INDEX(SelectedSpecies,SMALL(IF(SelectedSpecies=AK$1,ROW(SelectedSpecies)),ROW(911:911)),2),"")</f>
        <v/>
      </c>
      <c r="BE910" s="10"/>
      <c r="BI910" s="10"/>
    </row>
    <row r="911" spans="1:61" ht="21" customHeight="1" x14ac:dyDescent="0.25">
      <c r="A911" s="10"/>
      <c r="B911" s="10"/>
      <c r="E911" s="10"/>
      <c r="G911" s="10"/>
      <c r="I911" s="436" t="s">
        <v>3745</v>
      </c>
      <c r="J911" s="26" t="s">
        <v>3744</v>
      </c>
      <c r="K911" s="10">
        <v>6.1000000000000005</v>
      </c>
      <c r="L911" s="73">
        <f>IF(Tank1!$C$23="No control",(SUMIF(Tank1!$B$32:$B$49,$J911,Tank1!$C$32:$C$49)*Impacts!$F$8),0)</f>
        <v>0</v>
      </c>
      <c r="M911" s="10">
        <f>IF(Tank2!$C$23="No control",(SUMIF(Tank2!$B$32:$B$49,$J911,Tank2!$C$32:$C$49)*Impacts!$F$9),0)</f>
        <v>0</v>
      </c>
      <c r="N911" s="10">
        <f>IF(Tank3!$C$23="No control",(SUMIF(Tank3!$B$32:$B$49,$J911,Tank3!$C$32:$C$49)*Impacts!$F$10),0)</f>
        <v>0</v>
      </c>
      <c r="O911" s="10">
        <f>IF(Tank4!$C$23="No control",(SUMIF(Tank4!$B$32:$B$49,$J911,Tank4!$C$32:$C$49)*Impacts!$F$11),0)</f>
        <v>0</v>
      </c>
      <c r="P911" s="10">
        <f>IF(Tank5!$C$23="No control",(SUMIF(Tank5!$B$32:$B$49,$J911,Tank5!$C$32:$C$49)*Impacts!$F$12),0)</f>
        <v>0</v>
      </c>
      <c r="Q911" s="10">
        <f>IFERROR(IF(('Loading-drum,tote'!$C$21)="No control",SUMIF(('Loading-drum,tote'!$B$31:$B$48),$J911,('Loading-drum,tote'!$D$31:$D$48))*Impacts!$F$13,IF(('Loading-drum,tote'!$C$21)&lt;&gt;"No control",SUMIF(('Loading-drum,tote'!$B$31:$B$48),$J911,('Loading-drum,tote'!$E$31:$E$48))*Impacts!$F$13,0)),0)</f>
        <v>0</v>
      </c>
      <c r="R911" s="10">
        <f>IFERROR(IF(('Loading-truck'!$C$21)="No control",SUMIF(('Loading-truck'!$B$31:$B$48),$J911,('Loading-truck'!$D$31:$D$48))*Impacts!$F$14,IF(('Loading-truck'!$C$21)&lt;&gt;"No control",SUMIF(('Loading-truck'!$B$31:$B$48),$J911,('Loading-truck'!$E$31:$E$48))*Impacts!$F$14,0)),0)</f>
        <v>0</v>
      </c>
      <c r="S911" s="10">
        <f>IFERROR(IF(('Loading-rail'!$C$21)="No control",SUMIF(('Loading-rail'!$B$31:$B$48),$J911,('Loading-rail'!$D$31:$D$48))*Impacts!$F$15,IF(('Loading-rail'!$C$21)&lt;&gt;"No control",SUMIF(('Loading-rail'!$B$31:$B$48),$J911,('Loading-rail'!$E$31:$E$48))*Impacts!$F$15,0)),0)</f>
        <v>0</v>
      </c>
      <c r="T911" s="10">
        <f>IF(Flare!$C$7="",0,(SUMIF(Flare!$B$46:$B$185,$J911,Flare!$E$46:$E$185)*Impacts!$F$16))</f>
        <v>0</v>
      </c>
      <c r="U911" s="10">
        <f>IF(VCU!$C$9="",0,(SUMIF(VCU!$B$51:$B$193,$J911,VCU!$E$51:$E$193)*Impacts!$F$17))</f>
        <v>0</v>
      </c>
      <c r="V911" s="10">
        <f>IF(CAS!$C$7="",0,(SUMIF(CAS!$B$31:$B$167,$J911,CAS!$E$31:$E$167)*Impacts!$F$18))</f>
        <v>0</v>
      </c>
      <c r="W911" s="10">
        <f t="shared" si="56"/>
        <v>0</v>
      </c>
      <c r="AK911" s="10" t="str">
        <f t="array" ref="AK911">IFERROR(INDEX(SelectedSpecies,SMALL(IF(SelectedSpecies=AK$1,ROW(SelectedSpecies)),ROW(912:912)),2),"")</f>
        <v/>
      </c>
      <c r="BE911" s="10"/>
      <c r="BI911" s="10"/>
    </row>
    <row r="912" spans="1:61" ht="21" customHeight="1" x14ac:dyDescent="0.25">
      <c r="A912" s="10"/>
      <c r="B912" s="10"/>
      <c r="E912" s="10"/>
      <c r="G912" s="10"/>
      <c r="I912" s="436" t="s">
        <v>5343</v>
      </c>
      <c r="J912" s="26" t="s">
        <v>5342</v>
      </c>
      <c r="K912" s="10">
        <v>1.6</v>
      </c>
      <c r="L912" s="73">
        <f>IF(Tank1!$C$23="No control",(SUMIF(Tank1!$B$32:$B$49,$J912,Tank1!$C$32:$C$49)*Impacts!$F$8),0)</f>
        <v>0</v>
      </c>
      <c r="M912" s="10">
        <f>IF(Tank2!$C$23="No control",(SUMIF(Tank2!$B$32:$B$49,$J912,Tank2!$C$32:$C$49)*Impacts!$F$9),0)</f>
        <v>0</v>
      </c>
      <c r="N912" s="10">
        <f>IF(Tank3!$C$23="No control",(SUMIF(Tank3!$B$32:$B$49,$J912,Tank3!$C$32:$C$49)*Impacts!$F$10),0)</f>
        <v>0</v>
      </c>
      <c r="O912" s="10">
        <f>IF(Tank4!$C$23="No control",(SUMIF(Tank4!$B$32:$B$49,$J912,Tank4!$C$32:$C$49)*Impacts!$F$11),0)</f>
        <v>0</v>
      </c>
      <c r="P912" s="10">
        <f>IF(Tank5!$C$23="No control",(SUMIF(Tank5!$B$32:$B$49,$J912,Tank5!$C$32:$C$49)*Impacts!$F$12),0)</f>
        <v>0</v>
      </c>
      <c r="Q912" s="10">
        <f>IFERROR(IF(('Loading-drum,tote'!$C$21)="No control",SUMIF(('Loading-drum,tote'!$B$31:$B$48),$J912,('Loading-drum,tote'!$D$31:$D$48))*Impacts!$F$13,IF(('Loading-drum,tote'!$C$21)&lt;&gt;"No control",SUMIF(('Loading-drum,tote'!$B$31:$B$48),$J912,('Loading-drum,tote'!$E$31:$E$48))*Impacts!$F$13,0)),0)</f>
        <v>0</v>
      </c>
      <c r="R912" s="10">
        <f>IFERROR(IF(('Loading-truck'!$C$21)="No control",SUMIF(('Loading-truck'!$B$31:$B$48),$J912,('Loading-truck'!$D$31:$D$48))*Impacts!$F$14,IF(('Loading-truck'!$C$21)&lt;&gt;"No control",SUMIF(('Loading-truck'!$B$31:$B$48),$J912,('Loading-truck'!$E$31:$E$48))*Impacts!$F$14,0)),0)</f>
        <v>0</v>
      </c>
      <c r="S912" s="10">
        <f>IFERROR(IF(('Loading-rail'!$C$21)="No control",SUMIF(('Loading-rail'!$B$31:$B$48),$J912,('Loading-rail'!$D$31:$D$48))*Impacts!$F$15,IF(('Loading-rail'!$C$21)&lt;&gt;"No control",SUMIF(('Loading-rail'!$B$31:$B$48),$J912,('Loading-rail'!$E$31:$E$48))*Impacts!$F$15,0)),0)</f>
        <v>0</v>
      </c>
      <c r="T912" s="10">
        <f>IF(Flare!$C$7="",0,(SUMIF(Flare!$B$46:$B$185,$J912,Flare!$E$46:$E$185)*Impacts!$F$16))</f>
        <v>0</v>
      </c>
      <c r="U912" s="10">
        <f>IF(VCU!$C$9="",0,(SUMIF(VCU!$B$51:$B$193,$J912,VCU!$E$51:$E$193)*Impacts!$F$17))</f>
        <v>0</v>
      </c>
      <c r="V912" s="10">
        <f>IF(CAS!$C$7="",0,(SUMIF(CAS!$B$31:$B$167,$J912,CAS!$E$31:$E$167)*Impacts!$F$18))</f>
        <v>0</v>
      </c>
      <c r="W912" s="10">
        <f t="shared" si="56"/>
        <v>0</v>
      </c>
      <c r="AK912" s="10" t="str">
        <f t="array" ref="AK912">IFERROR(INDEX(SelectedSpecies,SMALL(IF(SelectedSpecies=AK$1,ROW(SelectedSpecies)),ROW(913:913)),2),"")</f>
        <v/>
      </c>
      <c r="BE912" s="10"/>
      <c r="BI912" s="10"/>
    </row>
    <row r="913" spans="1:61" ht="21" customHeight="1" x14ac:dyDescent="0.25">
      <c r="A913" s="10"/>
      <c r="B913" s="10"/>
      <c r="E913" s="10"/>
      <c r="G913" s="10"/>
      <c r="I913" s="436" t="s">
        <v>936</v>
      </c>
      <c r="J913" s="26" t="s">
        <v>935</v>
      </c>
      <c r="K913" s="10">
        <v>43</v>
      </c>
      <c r="L913" s="73">
        <f>IF(Tank1!$C$23="No control",(SUMIF(Tank1!$B$32:$B$49,$J913,Tank1!$C$32:$C$49)*Impacts!$F$8),0)</f>
        <v>0</v>
      </c>
      <c r="M913" s="10">
        <f>IF(Tank2!$C$23="No control",(SUMIF(Tank2!$B$32:$B$49,$J913,Tank2!$C$32:$C$49)*Impacts!$F$9),0)</f>
        <v>0</v>
      </c>
      <c r="N913" s="10">
        <f>IF(Tank3!$C$23="No control",(SUMIF(Tank3!$B$32:$B$49,$J913,Tank3!$C$32:$C$49)*Impacts!$F$10),0)</f>
        <v>0</v>
      </c>
      <c r="O913" s="10">
        <f>IF(Tank4!$C$23="No control",(SUMIF(Tank4!$B$32:$B$49,$J913,Tank4!$C$32:$C$49)*Impacts!$F$11),0)</f>
        <v>0</v>
      </c>
      <c r="P913" s="10">
        <f>IF(Tank5!$C$23="No control",(SUMIF(Tank5!$B$32:$B$49,$J913,Tank5!$C$32:$C$49)*Impacts!$F$12),0)</f>
        <v>0</v>
      </c>
      <c r="Q913" s="10">
        <f>IFERROR(IF(('Loading-drum,tote'!$C$21)="No control",SUMIF(('Loading-drum,tote'!$B$31:$B$48),$J913,('Loading-drum,tote'!$D$31:$D$48))*Impacts!$F$13,IF(('Loading-drum,tote'!$C$21)&lt;&gt;"No control",SUMIF(('Loading-drum,tote'!$B$31:$B$48),$J913,('Loading-drum,tote'!$E$31:$E$48))*Impacts!$F$13,0)),0)</f>
        <v>0</v>
      </c>
      <c r="R913" s="10">
        <f>IFERROR(IF(('Loading-truck'!$C$21)="No control",SUMIF(('Loading-truck'!$B$31:$B$48),$J913,('Loading-truck'!$D$31:$D$48))*Impacts!$F$14,IF(('Loading-truck'!$C$21)&lt;&gt;"No control",SUMIF(('Loading-truck'!$B$31:$B$48),$J913,('Loading-truck'!$E$31:$E$48))*Impacts!$F$14,0)),0)</f>
        <v>0</v>
      </c>
      <c r="S913" s="10">
        <f>IFERROR(IF(('Loading-rail'!$C$21)="No control",SUMIF(('Loading-rail'!$B$31:$B$48),$J913,('Loading-rail'!$D$31:$D$48))*Impacts!$F$15,IF(('Loading-rail'!$C$21)&lt;&gt;"No control",SUMIF(('Loading-rail'!$B$31:$B$48),$J913,('Loading-rail'!$E$31:$E$48))*Impacts!$F$15,0)),0)</f>
        <v>0</v>
      </c>
      <c r="T913" s="10">
        <f>IF(Flare!$C$7="",0,(SUMIF(Flare!$B$46:$B$185,$J913,Flare!$E$46:$E$185)*Impacts!$F$16))</f>
        <v>0</v>
      </c>
      <c r="U913" s="10">
        <f>IF(VCU!$C$9="",0,(SUMIF(VCU!$B$51:$B$193,$J913,VCU!$E$51:$E$193)*Impacts!$F$17))</f>
        <v>0</v>
      </c>
      <c r="V913" s="10">
        <f>IF(CAS!$C$7="",0,(SUMIF(CAS!$B$31:$B$167,$J913,CAS!$E$31:$E$167)*Impacts!$F$18))</f>
        <v>0</v>
      </c>
      <c r="W913" s="10">
        <f t="shared" si="56"/>
        <v>0</v>
      </c>
      <c r="AK913" s="10" t="str">
        <f t="array" ref="AK913">IFERROR(INDEX(SelectedSpecies,SMALL(IF(SelectedSpecies=AK$1,ROW(SelectedSpecies)),ROW(914:914)),2),"")</f>
        <v/>
      </c>
      <c r="BE913" s="10"/>
      <c r="BI913" s="10"/>
    </row>
    <row r="914" spans="1:61" ht="21" customHeight="1" x14ac:dyDescent="0.25">
      <c r="A914" s="10"/>
      <c r="B914" s="10"/>
      <c r="E914" s="10"/>
      <c r="G914" s="10"/>
      <c r="I914" s="436" t="s">
        <v>2449</v>
      </c>
      <c r="J914" s="26" t="s">
        <v>2448</v>
      </c>
      <c r="K914" s="10">
        <v>10</v>
      </c>
      <c r="L914" s="73">
        <f>IF(Tank1!$C$23="No control",(SUMIF(Tank1!$B$32:$B$49,$J914,Tank1!$C$32:$C$49)*Impacts!$F$8),0)</f>
        <v>0</v>
      </c>
      <c r="M914" s="10">
        <f>IF(Tank2!$C$23="No control",(SUMIF(Tank2!$B$32:$B$49,$J914,Tank2!$C$32:$C$49)*Impacts!$F$9),0)</f>
        <v>0</v>
      </c>
      <c r="N914" s="10">
        <f>IF(Tank3!$C$23="No control",(SUMIF(Tank3!$B$32:$B$49,$J914,Tank3!$C$32:$C$49)*Impacts!$F$10),0)</f>
        <v>0</v>
      </c>
      <c r="O914" s="10">
        <f>IF(Tank4!$C$23="No control",(SUMIF(Tank4!$B$32:$B$49,$J914,Tank4!$C$32:$C$49)*Impacts!$F$11),0)</f>
        <v>0</v>
      </c>
      <c r="P914" s="10">
        <f>IF(Tank5!$C$23="No control",(SUMIF(Tank5!$B$32:$B$49,$J914,Tank5!$C$32:$C$49)*Impacts!$F$12),0)</f>
        <v>0</v>
      </c>
      <c r="Q914" s="10">
        <f>IFERROR(IF(('Loading-drum,tote'!$C$21)="No control",SUMIF(('Loading-drum,tote'!$B$31:$B$48),$J914,('Loading-drum,tote'!$D$31:$D$48))*Impacts!$F$13,IF(('Loading-drum,tote'!$C$21)&lt;&gt;"No control",SUMIF(('Loading-drum,tote'!$B$31:$B$48),$J914,('Loading-drum,tote'!$E$31:$E$48))*Impacts!$F$13,0)),0)</f>
        <v>0</v>
      </c>
      <c r="R914" s="10">
        <f>IFERROR(IF(('Loading-truck'!$C$21)="No control",SUMIF(('Loading-truck'!$B$31:$B$48),$J914,('Loading-truck'!$D$31:$D$48))*Impacts!$F$14,IF(('Loading-truck'!$C$21)&lt;&gt;"No control",SUMIF(('Loading-truck'!$B$31:$B$48),$J914,('Loading-truck'!$E$31:$E$48))*Impacts!$F$14,0)),0)</f>
        <v>0</v>
      </c>
      <c r="S914" s="10">
        <f>IFERROR(IF(('Loading-rail'!$C$21)="No control",SUMIF(('Loading-rail'!$B$31:$B$48),$J914,('Loading-rail'!$D$31:$D$48))*Impacts!$F$15,IF(('Loading-rail'!$C$21)&lt;&gt;"No control",SUMIF(('Loading-rail'!$B$31:$B$48),$J914,('Loading-rail'!$E$31:$E$48))*Impacts!$F$15,0)),0)</f>
        <v>0</v>
      </c>
      <c r="T914" s="10">
        <f>IF(Flare!$C$7="",0,(SUMIF(Flare!$B$46:$B$185,$J914,Flare!$E$46:$E$185)*Impacts!$F$16))</f>
        <v>0</v>
      </c>
      <c r="U914" s="10">
        <f>IF(VCU!$C$9="",0,(SUMIF(VCU!$B$51:$B$193,$J914,VCU!$E$51:$E$193)*Impacts!$F$17))</f>
        <v>0</v>
      </c>
      <c r="V914" s="10">
        <f>IF(CAS!$C$7="",0,(SUMIF(CAS!$B$31:$B$167,$J914,CAS!$E$31:$E$167)*Impacts!$F$18))</f>
        <v>0</v>
      </c>
      <c r="W914" s="10">
        <f t="shared" si="56"/>
        <v>0</v>
      </c>
      <c r="AK914" s="10" t="str">
        <f t="array" ref="AK914">IFERROR(INDEX(SelectedSpecies,SMALL(IF(SelectedSpecies=AK$1,ROW(SelectedSpecies)),ROW(915:915)),2),"")</f>
        <v/>
      </c>
      <c r="BE914" s="10"/>
      <c r="BI914" s="10"/>
    </row>
    <row r="915" spans="1:61" ht="21" customHeight="1" x14ac:dyDescent="0.25">
      <c r="A915" s="10"/>
      <c r="B915" s="10"/>
      <c r="E915" s="10"/>
      <c r="G915" s="10"/>
      <c r="I915" s="436" t="s">
        <v>3547</v>
      </c>
      <c r="J915" s="26" t="s">
        <v>3546</v>
      </c>
      <c r="K915" s="10">
        <v>8.4</v>
      </c>
      <c r="L915" s="73">
        <f>IF(Tank1!$C$23="No control",(SUMIF(Tank1!$B$32:$B$49,$J915,Tank1!$C$32:$C$49)*Impacts!$F$8),0)</f>
        <v>0</v>
      </c>
      <c r="M915" s="10">
        <f>IF(Tank2!$C$23="No control",(SUMIF(Tank2!$B$32:$B$49,$J915,Tank2!$C$32:$C$49)*Impacts!$F$9),0)</f>
        <v>0</v>
      </c>
      <c r="N915" s="10">
        <f>IF(Tank3!$C$23="No control",(SUMIF(Tank3!$B$32:$B$49,$J915,Tank3!$C$32:$C$49)*Impacts!$F$10),0)</f>
        <v>0</v>
      </c>
      <c r="O915" s="10">
        <f>IF(Tank4!$C$23="No control",(SUMIF(Tank4!$B$32:$B$49,$J915,Tank4!$C$32:$C$49)*Impacts!$F$11),0)</f>
        <v>0</v>
      </c>
      <c r="P915" s="10">
        <f>IF(Tank5!$C$23="No control",(SUMIF(Tank5!$B$32:$B$49,$J915,Tank5!$C$32:$C$49)*Impacts!$F$12),0)</f>
        <v>0</v>
      </c>
      <c r="Q915" s="10">
        <f>IFERROR(IF(('Loading-drum,tote'!$C$21)="No control",SUMIF(('Loading-drum,tote'!$B$31:$B$48),$J915,('Loading-drum,tote'!$D$31:$D$48))*Impacts!$F$13,IF(('Loading-drum,tote'!$C$21)&lt;&gt;"No control",SUMIF(('Loading-drum,tote'!$B$31:$B$48),$J915,('Loading-drum,tote'!$E$31:$E$48))*Impacts!$F$13,0)),0)</f>
        <v>0</v>
      </c>
      <c r="R915" s="10">
        <f>IFERROR(IF(('Loading-truck'!$C$21)="No control",SUMIF(('Loading-truck'!$B$31:$B$48),$J915,('Loading-truck'!$D$31:$D$48))*Impacts!$F$14,IF(('Loading-truck'!$C$21)&lt;&gt;"No control",SUMIF(('Loading-truck'!$B$31:$B$48),$J915,('Loading-truck'!$E$31:$E$48))*Impacts!$F$14,0)),0)</f>
        <v>0</v>
      </c>
      <c r="S915" s="10">
        <f>IFERROR(IF(('Loading-rail'!$C$21)="No control",SUMIF(('Loading-rail'!$B$31:$B$48),$J915,('Loading-rail'!$D$31:$D$48))*Impacts!$F$15,IF(('Loading-rail'!$C$21)&lt;&gt;"No control",SUMIF(('Loading-rail'!$B$31:$B$48),$J915,('Loading-rail'!$E$31:$E$48))*Impacts!$F$15,0)),0)</f>
        <v>0</v>
      </c>
      <c r="T915" s="10">
        <f>IF(Flare!$C$7="",0,(SUMIF(Flare!$B$46:$B$185,$J915,Flare!$E$46:$E$185)*Impacts!$F$16))</f>
        <v>0</v>
      </c>
      <c r="U915" s="10">
        <f>IF(VCU!$C$9="",0,(SUMIF(VCU!$B$51:$B$193,$J915,VCU!$E$51:$E$193)*Impacts!$F$17))</f>
        <v>0</v>
      </c>
      <c r="V915" s="10">
        <f>IF(CAS!$C$7="",0,(SUMIF(CAS!$B$31:$B$167,$J915,CAS!$E$31:$E$167)*Impacts!$F$18))</f>
        <v>0</v>
      </c>
      <c r="W915" s="10">
        <f t="shared" si="56"/>
        <v>0</v>
      </c>
      <c r="AK915" s="10" t="str">
        <f t="array" ref="AK915">IFERROR(INDEX(SelectedSpecies,SMALL(IF(SelectedSpecies=AK$1,ROW(SelectedSpecies)),ROW(916:916)),2),"")</f>
        <v/>
      </c>
      <c r="BE915" s="10"/>
      <c r="BI915" s="10"/>
    </row>
    <row r="916" spans="1:61" ht="21" customHeight="1" x14ac:dyDescent="0.25">
      <c r="A916" s="10"/>
      <c r="B916" s="10"/>
      <c r="E916" s="10"/>
      <c r="G916" s="10"/>
      <c r="I916" s="436" t="s">
        <v>5595</v>
      </c>
      <c r="J916" s="26" t="s">
        <v>5594</v>
      </c>
      <c r="K916" s="10">
        <v>1.1000000000000001</v>
      </c>
      <c r="L916" s="73">
        <f>IF(Tank1!$C$23="No control",(SUMIF(Tank1!$B$32:$B$49,$J916,Tank1!$C$32:$C$49)*Impacts!$F$8),0)</f>
        <v>0</v>
      </c>
      <c r="M916" s="10">
        <f>IF(Tank2!$C$23="No control",(SUMIF(Tank2!$B$32:$B$49,$J916,Tank2!$C$32:$C$49)*Impacts!$F$9),0)</f>
        <v>0</v>
      </c>
      <c r="N916" s="10">
        <f>IF(Tank3!$C$23="No control",(SUMIF(Tank3!$B$32:$B$49,$J916,Tank3!$C$32:$C$49)*Impacts!$F$10),0)</f>
        <v>0</v>
      </c>
      <c r="O916" s="10">
        <f>IF(Tank4!$C$23="No control",(SUMIF(Tank4!$B$32:$B$49,$J916,Tank4!$C$32:$C$49)*Impacts!$F$11),0)</f>
        <v>0</v>
      </c>
      <c r="P916" s="10">
        <f>IF(Tank5!$C$23="No control",(SUMIF(Tank5!$B$32:$B$49,$J916,Tank5!$C$32:$C$49)*Impacts!$F$12),0)</f>
        <v>0</v>
      </c>
      <c r="Q916" s="10">
        <f>IFERROR(IF(('Loading-drum,tote'!$C$21)="No control",SUMIF(('Loading-drum,tote'!$B$31:$B$48),$J916,('Loading-drum,tote'!$D$31:$D$48))*Impacts!$F$13,IF(('Loading-drum,tote'!$C$21)&lt;&gt;"No control",SUMIF(('Loading-drum,tote'!$B$31:$B$48),$J916,('Loading-drum,tote'!$E$31:$E$48))*Impacts!$F$13,0)),0)</f>
        <v>0</v>
      </c>
      <c r="R916" s="10">
        <f>IFERROR(IF(('Loading-truck'!$C$21)="No control",SUMIF(('Loading-truck'!$B$31:$B$48),$J916,('Loading-truck'!$D$31:$D$48))*Impacts!$F$14,IF(('Loading-truck'!$C$21)&lt;&gt;"No control",SUMIF(('Loading-truck'!$B$31:$B$48),$J916,('Loading-truck'!$E$31:$E$48))*Impacts!$F$14,0)),0)</f>
        <v>0</v>
      </c>
      <c r="S916" s="10">
        <f>IFERROR(IF(('Loading-rail'!$C$21)="No control",SUMIF(('Loading-rail'!$B$31:$B$48),$J916,('Loading-rail'!$D$31:$D$48))*Impacts!$F$15,IF(('Loading-rail'!$C$21)&lt;&gt;"No control",SUMIF(('Loading-rail'!$B$31:$B$48),$J916,('Loading-rail'!$E$31:$E$48))*Impacts!$F$15,0)),0)</f>
        <v>0</v>
      </c>
      <c r="T916" s="10">
        <f>IF(Flare!$C$7="",0,(SUMIF(Flare!$B$46:$B$185,$J916,Flare!$E$46:$E$185)*Impacts!$F$16))</f>
        <v>0</v>
      </c>
      <c r="U916" s="10">
        <f>IF(VCU!$C$9="",0,(SUMIF(VCU!$B$51:$B$193,$J916,VCU!$E$51:$E$193)*Impacts!$F$17))</f>
        <v>0</v>
      </c>
      <c r="V916" s="10">
        <f>IF(CAS!$C$7="",0,(SUMIF(CAS!$B$31:$B$167,$J916,CAS!$E$31:$E$167)*Impacts!$F$18))</f>
        <v>0</v>
      </c>
      <c r="W916" s="10">
        <f t="shared" si="56"/>
        <v>0</v>
      </c>
      <c r="AK916" s="10" t="str">
        <f t="array" ref="AK916">IFERROR(INDEX(SelectedSpecies,SMALL(IF(SelectedSpecies=AK$1,ROW(SelectedSpecies)),ROW(917:917)),2),"")</f>
        <v/>
      </c>
      <c r="BE916" s="10"/>
      <c r="BI916" s="10"/>
    </row>
    <row r="917" spans="1:61" ht="21" customHeight="1" x14ac:dyDescent="0.25">
      <c r="A917" s="10"/>
      <c r="B917" s="10"/>
      <c r="E917" s="10"/>
      <c r="G917" s="10"/>
      <c r="I917" s="436" t="s">
        <v>6514</v>
      </c>
      <c r="J917" s="26" t="s">
        <v>6513</v>
      </c>
      <c r="K917" s="10">
        <v>0.70000000000000007</v>
      </c>
      <c r="L917" s="73">
        <f>IF(Tank1!$C$23="No control",(SUMIF(Tank1!$B$32:$B$49,$J917,Tank1!$C$32:$C$49)*Impacts!$F$8),0)</f>
        <v>0</v>
      </c>
      <c r="M917" s="10">
        <f>IF(Tank2!$C$23="No control",(SUMIF(Tank2!$B$32:$B$49,$J917,Tank2!$C$32:$C$49)*Impacts!$F$9),0)</f>
        <v>0</v>
      </c>
      <c r="N917" s="10">
        <f>IF(Tank3!$C$23="No control",(SUMIF(Tank3!$B$32:$B$49,$J917,Tank3!$C$32:$C$49)*Impacts!$F$10),0)</f>
        <v>0</v>
      </c>
      <c r="O917" s="10">
        <f>IF(Tank4!$C$23="No control",(SUMIF(Tank4!$B$32:$B$49,$J917,Tank4!$C$32:$C$49)*Impacts!$F$11),0)</f>
        <v>0</v>
      </c>
      <c r="P917" s="10">
        <f>IF(Tank5!$C$23="No control",(SUMIF(Tank5!$B$32:$B$49,$J917,Tank5!$C$32:$C$49)*Impacts!$F$12),0)</f>
        <v>0</v>
      </c>
      <c r="Q917" s="10">
        <f>IFERROR(IF(('Loading-drum,tote'!$C$21)="No control",SUMIF(('Loading-drum,tote'!$B$31:$B$48),$J917,('Loading-drum,tote'!$D$31:$D$48))*Impacts!$F$13,IF(('Loading-drum,tote'!$C$21)&lt;&gt;"No control",SUMIF(('Loading-drum,tote'!$B$31:$B$48),$J917,('Loading-drum,tote'!$E$31:$E$48))*Impacts!$F$13,0)),0)</f>
        <v>0</v>
      </c>
      <c r="R917" s="10">
        <f>IFERROR(IF(('Loading-truck'!$C$21)="No control",SUMIF(('Loading-truck'!$B$31:$B$48),$J917,('Loading-truck'!$D$31:$D$48))*Impacts!$F$14,IF(('Loading-truck'!$C$21)&lt;&gt;"No control",SUMIF(('Loading-truck'!$B$31:$B$48),$J917,('Loading-truck'!$E$31:$E$48))*Impacts!$F$14,0)),0)</f>
        <v>0</v>
      </c>
      <c r="S917" s="10">
        <f>IFERROR(IF(('Loading-rail'!$C$21)="No control",SUMIF(('Loading-rail'!$B$31:$B$48),$J917,('Loading-rail'!$D$31:$D$48))*Impacts!$F$15,IF(('Loading-rail'!$C$21)&lt;&gt;"No control",SUMIF(('Loading-rail'!$B$31:$B$48),$J917,('Loading-rail'!$E$31:$E$48))*Impacts!$F$15,0)),0)</f>
        <v>0</v>
      </c>
      <c r="T917" s="10">
        <f>IF(Flare!$C$7="",0,(SUMIF(Flare!$B$46:$B$185,$J917,Flare!$E$46:$E$185)*Impacts!$F$16))</f>
        <v>0</v>
      </c>
      <c r="U917" s="10">
        <f>IF(VCU!$C$9="",0,(SUMIF(VCU!$B$51:$B$193,$J917,VCU!$E$51:$E$193)*Impacts!$F$17))</f>
        <v>0</v>
      </c>
      <c r="V917" s="10">
        <f>IF(CAS!$C$7="",0,(SUMIF(CAS!$B$31:$B$167,$J917,CAS!$E$31:$E$167)*Impacts!$F$18))</f>
        <v>0</v>
      </c>
      <c r="W917" s="10">
        <f t="shared" si="56"/>
        <v>0</v>
      </c>
      <c r="AK917" s="10" t="str">
        <f t="array" ref="AK917">IFERROR(INDEX(SelectedSpecies,SMALL(IF(SelectedSpecies=AK$1,ROW(SelectedSpecies)),ROW(918:918)),2),"")</f>
        <v/>
      </c>
      <c r="BE917" s="10"/>
      <c r="BI917" s="10"/>
    </row>
    <row r="918" spans="1:61" ht="21" customHeight="1" x14ac:dyDescent="0.25">
      <c r="A918" s="10"/>
      <c r="B918" s="10"/>
      <c r="E918" s="10"/>
      <c r="G918" s="10"/>
      <c r="I918" s="436" t="s">
        <v>4541</v>
      </c>
      <c r="J918" s="26" t="s">
        <v>4540</v>
      </c>
      <c r="K918" s="10">
        <v>4</v>
      </c>
      <c r="L918" s="73">
        <f>IF(Tank1!$C$23="No control",(SUMIF(Tank1!$B$32:$B$49,$J918,Tank1!$C$32:$C$49)*Impacts!$F$8),0)</f>
        <v>0</v>
      </c>
      <c r="M918" s="10">
        <f>IF(Tank2!$C$23="No control",(SUMIF(Tank2!$B$32:$B$49,$J918,Tank2!$C$32:$C$49)*Impacts!$F$9),0)</f>
        <v>0</v>
      </c>
      <c r="N918" s="10">
        <f>IF(Tank3!$C$23="No control",(SUMIF(Tank3!$B$32:$B$49,$J918,Tank3!$C$32:$C$49)*Impacts!$F$10),0)</f>
        <v>0</v>
      </c>
      <c r="O918" s="10">
        <f>IF(Tank4!$C$23="No control",(SUMIF(Tank4!$B$32:$B$49,$J918,Tank4!$C$32:$C$49)*Impacts!$F$11),0)</f>
        <v>0</v>
      </c>
      <c r="P918" s="10">
        <f>IF(Tank5!$C$23="No control",(SUMIF(Tank5!$B$32:$B$49,$J918,Tank5!$C$32:$C$49)*Impacts!$F$12),0)</f>
        <v>0</v>
      </c>
      <c r="Q918" s="10">
        <f>IFERROR(IF(('Loading-drum,tote'!$C$21)="No control",SUMIF(('Loading-drum,tote'!$B$31:$B$48),$J918,('Loading-drum,tote'!$D$31:$D$48))*Impacts!$F$13,IF(('Loading-drum,tote'!$C$21)&lt;&gt;"No control",SUMIF(('Loading-drum,tote'!$B$31:$B$48),$J918,('Loading-drum,tote'!$E$31:$E$48))*Impacts!$F$13,0)),0)</f>
        <v>0</v>
      </c>
      <c r="R918" s="10">
        <f>IFERROR(IF(('Loading-truck'!$C$21)="No control",SUMIF(('Loading-truck'!$B$31:$B$48),$J918,('Loading-truck'!$D$31:$D$48))*Impacts!$F$14,IF(('Loading-truck'!$C$21)&lt;&gt;"No control",SUMIF(('Loading-truck'!$B$31:$B$48),$J918,('Loading-truck'!$E$31:$E$48))*Impacts!$F$14,0)),0)</f>
        <v>0</v>
      </c>
      <c r="S918" s="10">
        <f>IFERROR(IF(('Loading-rail'!$C$21)="No control",SUMIF(('Loading-rail'!$B$31:$B$48),$J918,('Loading-rail'!$D$31:$D$48))*Impacts!$F$15,IF(('Loading-rail'!$C$21)&lt;&gt;"No control",SUMIF(('Loading-rail'!$B$31:$B$48),$J918,('Loading-rail'!$E$31:$E$48))*Impacts!$F$15,0)),0)</f>
        <v>0</v>
      </c>
      <c r="T918" s="10">
        <f>IF(Flare!$C$7="",0,(SUMIF(Flare!$B$46:$B$185,$J918,Flare!$E$46:$E$185)*Impacts!$F$16))</f>
        <v>0</v>
      </c>
      <c r="U918" s="10">
        <f>IF(VCU!$C$9="",0,(SUMIF(VCU!$B$51:$B$193,$J918,VCU!$E$51:$E$193)*Impacts!$F$17))</f>
        <v>0</v>
      </c>
      <c r="V918" s="10">
        <f>IF(CAS!$C$7="",0,(SUMIF(CAS!$B$31:$B$167,$J918,CAS!$E$31:$E$167)*Impacts!$F$18))</f>
        <v>0</v>
      </c>
      <c r="W918" s="10">
        <f t="shared" si="56"/>
        <v>0</v>
      </c>
      <c r="AK918" s="10" t="str">
        <f t="array" ref="AK918">IFERROR(INDEX(SelectedSpecies,SMALL(IF(SelectedSpecies=AK$1,ROW(SelectedSpecies)),ROW(919:919)),2),"")</f>
        <v/>
      </c>
      <c r="BE918" s="10"/>
      <c r="BI918" s="10"/>
    </row>
    <row r="919" spans="1:61" ht="21" customHeight="1" x14ac:dyDescent="0.25">
      <c r="A919" s="10"/>
      <c r="B919" s="10"/>
      <c r="E919" s="10"/>
      <c r="G919" s="10"/>
      <c r="I919" s="436" t="s">
        <v>7454</v>
      </c>
      <c r="J919" s="26" t="s">
        <v>7453</v>
      </c>
      <c r="K919" s="10">
        <v>0.2</v>
      </c>
      <c r="L919" s="73">
        <f>IF(Tank1!$C$23="No control",(SUMIF(Tank1!$B$32:$B$49,$J919,Tank1!$C$32:$C$49)*Impacts!$F$8),0)</f>
        <v>0</v>
      </c>
      <c r="M919" s="10">
        <f>IF(Tank2!$C$23="No control",(SUMIF(Tank2!$B$32:$B$49,$J919,Tank2!$C$32:$C$49)*Impacts!$F$9),0)</f>
        <v>0</v>
      </c>
      <c r="N919" s="10">
        <f>IF(Tank3!$C$23="No control",(SUMIF(Tank3!$B$32:$B$49,$J919,Tank3!$C$32:$C$49)*Impacts!$F$10),0)</f>
        <v>0</v>
      </c>
      <c r="O919" s="10">
        <f>IF(Tank4!$C$23="No control",(SUMIF(Tank4!$B$32:$B$49,$J919,Tank4!$C$32:$C$49)*Impacts!$F$11),0)</f>
        <v>0</v>
      </c>
      <c r="P919" s="10">
        <f>IF(Tank5!$C$23="No control",(SUMIF(Tank5!$B$32:$B$49,$J919,Tank5!$C$32:$C$49)*Impacts!$F$12),0)</f>
        <v>0</v>
      </c>
      <c r="Q919" s="10">
        <f>IFERROR(IF(('Loading-drum,tote'!$C$21)="No control",SUMIF(('Loading-drum,tote'!$B$31:$B$48),$J919,('Loading-drum,tote'!$D$31:$D$48))*Impacts!$F$13,IF(('Loading-drum,tote'!$C$21)&lt;&gt;"No control",SUMIF(('Loading-drum,tote'!$B$31:$B$48),$J919,('Loading-drum,tote'!$E$31:$E$48))*Impacts!$F$13,0)),0)</f>
        <v>0</v>
      </c>
      <c r="R919" s="10">
        <f>IFERROR(IF(('Loading-truck'!$C$21)="No control",SUMIF(('Loading-truck'!$B$31:$B$48),$J919,('Loading-truck'!$D$31:$D$48))*Impacts!$F$14,IF(('Loading-truck'!$C$21)&lt;&gt;"No control",SUMIF(('Loading-truck'!$B$31:$B$48),$J919,('Loading-truck'!$E$31:$E$48))*Impacts!$F$14,0)),0)</f>
        <v>0</v>
      </c>
      <c r="S919" s="10">
        <f>IFERROR(IF(('Loading-rail'!$C$21)="No control",SUMIF(('Loading-rail'!$B$31:$B$48),$J919,('Loading-rail'!$D$31:$D$48))*Impacts!$F$15,IF(('Loading-rail'!$C$21)&lt;&gt;"No control",SUMIF(('Loading-rail'!$B$31:$B$48),$J919,('Loading-rail'!$E$31:$E$48))*Impacts!$F$15,0)),0)</f>
        <v>0</v>
      </c>
      <c r="T919" s="10">
        <f>IF(Flare!$C$7="",0,(SUMIF(Flare!$B$46:$B$185,$J919,Flare!$E$46:$E$185)*Impacts!$F$16))</f>
        <v>0</v>
      </c>
      <c r="U919" s="10">
        <f>IF(VCU!$C$9="",0,(SUMIF(VCU!$B$51:$B$193,$J919,VCU!$E$51:$E$193)*Impacts!$F$17))</f>
        <v>0</v>
      </c>
      <c r="V919" s="10">
        <f>IF(CAS!$C$7="",0,(SUMIF(CAS!$B$31:$B$167,$J919,CAS!$E$31:$E$167)*Impacts!$F$18))</f>
        <v>0</v>
      </c>
      <c r="W919" s="10">
        <f t="shared" si="56"/>
        <v>0</v>
      </c>
      <c r="AK919" s="10" t="str">
        <f t="array" ref="AK919">IFERROR(INDEX(SelectedSpecies,SMALL(IF(SelectedSpecies=AK$1,ROW(SelectedSpecies)),ROW(920:920)),2),"")</f>
        <v/>
      </c>
      <c r="BE919" s="10"/>
      <c r="BI919" s="10"/>
    </row>
    <row r="920" spans="1:61" ht="21" customHeight="1" x14ac:dyDescent="0.25">
      <c r="A920" s="10"/>
      <c r="B920" s="10"/>
      <c r="E920" s="10"/>
      <c r="G920" s="10"/>
      <c r="I920" s="436" t="s">
        <v>7618</v>
      </c>
      <c r="J920" s="26" t="s">
        <v>7617</v>
      </c>
      <c r="K920" s="10">
        <v>0.13999999999999999</v>
      </c>
      <c r="L920" s="73">
        <f>IF(Tank1!$C$23="No control",(SUMIF(Tank1!$B$32:$B$49,$J920,Tank1!$C$32:$C$49)*Impacts!$F$8),0)</f>
        <v>0</v>
      </c>
      <c r="M920" s="10">
        <f>IF(Tank2!$C$23="No control",(SUMIF(Tank2!$B$32:$B$49,$J920,Tank2!$C$32:$C$49)*Impacts!$F$9),0)</f>
        <v>0</v>
      </c>
      <c r="N920" s="10">
        <f>IF(Tank3!$C$23="No control",(SUMIF(Tank3!$B$32:$B$49,$J920,Tank3!$C$32:$C$49)*Impacts!$F$10),0)</f>
        <v>0</v>
      </c>
      <c r="O920" s="10">
        <f>IF(Tank4!$C$23="No control",(SUMIF(Tank4!$B$32:$B$49,$J920,Tank4!$C$32:$C$49)*Impacts!$F$11),0)</f>
        <v>0</v>
      </c>
      <c r="P920" s="10">
        <f>IF(Tank5!$C$23="No control",(SUMIF(Tank5!$B$32:$B$49,$J920,Tank5!$C$32:$C$49)*Impacts!$F$12),0)</f>
        <v>0</v>
      </c>
      <c r="Q920" s="10">
        <f>IFERROR(IF(('Loading-drum,tote'!$C$21)="No control",SUMIF(('Loading-drum,tote'!$B$31:$B$48),$J920,('Loading-drum,tote'!$D$31:$D$48))*Impacts!$F$13,IF(('Loading-drum,tote'!$C$21)&lt;&gt;"No control",SUMIF(('Loading-drum,tote'!$B$31:$B$48),$J920,('Loading-drum,tote'!$E$31:$E$48))*Impacts!$F$13,0)),0)</f>
        <v>0</v>
      </c>
      <c r="R920" s="10">
        <f>IFERROR(IF(('Loading-truck'!$C$21)="No control",SUMIF(('Loading-truck'!$B$31:$B$48),$J920,('Loading-truck'!$D$31:$D$48))*Impacts!$F$14,IF(('Loading-truck'!$C$21)&lt;&gt;"No control",SUMIF(('Loading-truck'!$B$31:$B$48),$J920,('Loading-truck'!$E$31:$E$48))*Impacts!$F$14,0)),0)</f>
        <v>0</v>
      </c>
      <c r="S920" s="10">
        <f>IFERROR(IF(('Loading-rail'!$C$21)="No control",SUMIF(('Loading-rail'!$B$31:$B$48),$J920,('Loading-rail'!$D$31:$D$48))*Impacts!$F$15,IF(('Loading-rail'!$C$21)&lt;&gt;"No control",SUMIF(('Loading-rail'!$B$31:$B$48),$J920,('Loading-rail'!$E$31:$E$48))*Impacts!$F$15,0)),0)</f>
        <v>0</v>
      </c>
      <c r="T920" s="10">
        <f>IF(Flare!$C$7="",0,(SUMIF(Flare!$B$46:$B$185,$J920,Flare!$E$46:$E$185)*Impacts!$F$16))</f>
        <v>0</v>
      </c>
      <c r="U920" s="10">
        <f>IF(VCU!$C$9="",0,(SUMIF(VCU!$B$51:$B$193,$J920,VCU!$E$51:$E$193)*Impacts!$F$17))</f>
        <v>0</v>
      </c>
      <c r="V920" s="10">
        <f>IF(CAS!$C$7="",0,(SUMIF(CAS!$B$31:$B$167,$J920,CAS!$E$31:$E$167)*Impacts!$F$18))</f>
        <v>0</v>
      </c>
      <c r="W920" s="10">
        <f t="shared" si="56"/>
        <v>0</v>
      </c>
      <c r="AK920" s="10" t="str">
        <f t="array" ref="AK920">IFERROR(INDEX(SelectedSpecies,SMALL(IF(SelectedSpecies=AK$1,ROW(SelectedSpecies)),ROW(921:921)),2),"")</f>
        <v/>
      </c>
      <c r="BE920" s="10"/>
      <c r="BI920" s="10"/>
    </row>
    <row r="921" spans="1:61" ht="21" customHeight="1" x14ac:dyDescent="0.25">
      <c r="A921" s="10"/>
      <c r="B921" s="10"/>
      <c r="E921" s="10"/>
      <c r="G921" s="10"/>
      <c r="I921" s="436" t="s">
        <v>7134</v>
      </c>
      <c r="J921" s="26" t="s">
        <v>7133</v>
      </c>
      <c r="K921" s="10">
        <v>0.39</v>
      </c>
      <c r="L921" s="73">
        <f>IF(Tank1!$C$23="No control",(SUMIF(Tank1!$B$32:$B$49,$J921,Tank1!$C$32:$C$49)*Impacts!$F$8),0)</f>
        <v>0</v>
      </c>
      <c r="M921" s="10">
        <f>IF(Tank2!$C$23="No control",(SUMIF(Tank2!$B$32:$B$49,$J921,Tank2!$C$32:$C$49)*Impacts!$F$9),0)</f>
        <v>0</v>
      </c>
      <c r="N921" s="10">
        <f>IF(Tank3!$C$23="No control",(SUMIF(Tank3!$B$32:$B$49,$J921,Tank3!$C$32:$C$49)*Impacts!$F$10),0)</f>
        <v>0</v>
      </c>
      <c r="O921" s="10">
        <f>IF(Tank4!$C$23="No control",(SUMIF(Tank4!$B$32:$B$49,$J921,Tank4!$C$32:$C$49)*Impacts!$F$11),0)</f>
        <v>0</v>
      </c>
      <c r="P921" s="10">
        <f>IF(Tank5!$C$23="No control",(SUMIF(Tank5!$B$32:$B$49,$J921,Tank5!$C$32:$C$49)*Impacts!$F$12),0)</f>
        <v>0</v>
      </c>
      <c r="Q921" s="10">
        <f>IFERROR(IF(('Loading-drum,tote'!$C$21)="No control",SUMIF(('Loading-drum,tote'!$B$31:$B$48),$J921,('Loading-drum,tote'!$D$31:$D$48))*Impacts!$F$13,IF(('Loading-drum,tote'!$C$21)&lt;&gt;"No control",SUMIF(('Loading-drum,tote'!$B$31:$B$48),$J921,('Loading-drum,tote'!$E$31:$E$48))*Impacts!$F$13,0)),0)</f>
        <v>0</v>
      </c>
      <c r="R921" s="10">
        <f>IFERROR(IF(('Loading-truck'!$C$21)="No control",SUMIF(('Loading-truck'!$B$31:$B$48),$J921,('Loading-truck'!$D$31:$D$48))*Impacts!$F$14,IF(('Loading-truck'!$C$21)&lt;&gt;"No control",SUMIF(('Loading-truck'!$B$31:$B$48),$J921,('Loading-truck'!$E$31:$E$48))*Impacts!$F$14,0)),0)</f>
        <v>0</v>
      </c>
      <c r="S921" s="10">
        <f>IFERROR(IF(('Loading-rail'!$C$21)="No control",SUMIF(('Loading-rail'!$B$31:$B$48),$J921,('Loading-rail'!$D$31:$D$48))*Impacts!$F$15,IF(('Loading-rail'!$C$21)&lt;&gt;"No control",SUMIF(('Loading-rail'!$B$31:$B$48),$J921,('Loading-rail'!$E$31:$E$48))*Impacts!$F$15,0)),0)</f>
        <v>0</v>
      </c>
      <c r="T921" s="10">
        <f>IF(Flare!$C$7="",0,(SUMIF(Flare!$B$46:$B$185,$J921,Flare!$E$46:$E$185)*Impacts!$F$16))</f>
        <v>0</v>
      </c>
      <c r="U921" s="10">
        <f>IF(VCU!$C$9="",0,(SUMIF(VCU!$B$51:$B$193,$J921,VCU!$E$51:$E$193)*Impacts!$F$17))</f>
        <v>0</v>
      </c>
      <c r="V921" s="10">
        <f>IF(CAS!$C$7="",0,(SUMIF(CAS!$B$31:$B$167,$J921,CAS!$E$31:$E$167)*Impacts!$F$18))</f>
        <v>0</v>
      </c>
      <c r="W921" s="10">
        <f t="shared" si="56"/>
        <v>0</v>
      </c>
      <c r="AK921" s="10" t="str">
        <f t="array" ref="AK921">IFERROR(INDEX(SelectedSpecies,SMALL(IF(SelectedSpecies=AK$1,ROW(SelectedSpecies)),ROW(922:922)),2),"")</f>
        <v/>
      </c>
      <c r="BE921" s="10"/>
      <c r="BI921" s="10"/>
    </row>
    <row r="922" spans="1:61" ht="21" customHeight="1" x14ac:dyDescent="0.25">
      <c r="A922" s="10"/>
      <c r="B922" s="10"/>
      <c r="E922" s="10"/>
      <c r="G922" s="10"/>
      <c r="I922" s="436" t="s">
        <v>2727</v>
      </c>
      <c r="J922" s="26" t="s">
        <v>2726</v>
      </c>
      <c r="K922" s="10">
        <v>10</v>
      </c>
      <c r="L922" s="73">
        <f>IF(Tank1!$C$23="No control",(SUMIF(Tank1!$B$32:$B$49,$J922,Tank1!$C$32:$C$49)*Impacts!$F$8),0)</f>
        <v>0</v>
      </c>
      <c r="M922" s="10">
        <f>IF(Tank2!$C$23="No control",(SUMIF(Tank2!$B$32:$B$49,$J922,Tank2!$C$32:$C$49)*Impacts!$F$9),0)</f>
        <v>0</v>
      </c>
      <c r="N922" s="10">
        <f>IF(Tank3!$C$23="No control",(SUMIF(Tank3!$B$32:$B$49,$J922,Tank3!$C$32:$C$49)*Impacts!$F$10),0)</f>
        <v>0</v>
      </c>
      <c r="O922" s="10">
        <f>IF(Tank4!$C$23="No control",(SUMIF(Tank4!$B$32:$B$49,$J922,Tank4!$C$32:$C$49)*Impacts!$F$11),0)</f>
        <v>0</v>
      </c>
      <c r="P922" s="10">
        <f>IF(Tank5!$C$23="No control",(SUMIF(Tank5!$B$32:$B$49,$J922,Tank5!$C$32:$C$49)*Impacts!$F$12),0)</f>
        <v>0</v>
      </c>
      <c r="Q922" s="10">
        <f>IFERROR(IF(('Loading-drum,tote'!$C$21)="No control",SUMIF(('Loading-drum,tote'!$B$31:$B$48),$J922,('Loading-drum,tote'!$D$31:$D$48))*Impacts!$F$13,IF(('Loading-drum,tote'!$C$21)&lt;&gt;"No control",SUMIF(('Loading-drum,tote'!$B$31:$B$48),$J922,('Loading-drum,tote'!$E$31:$E$48))*Impacts!$F$13,0)),0)</f>
        <v>0</v>
      </c>
      <c r="R922" s="10">
        <f>IFERROR(IF(('Loading-truck'!$C$21)="No control",SUMIF(('Loading-truck'!$B$31:$B$48),$J922,('Loading-truck'!$D$31:$D$48))*Impacts!$F$14,IF(('Loading-truck'!$C$21)&lt;&gt;"No control",SUMIF(('Loading-truck'!$B$31:$B$48),$J922,('Loading-truck'!$E$31:$E$48))*Impacts!$F$14,0)),0)</f>
        <v>0</v>
      </c>
      <c r="S922" s="10">
        <f>IFERROR(IF(('Loading-rail'!$C$21)="No control",SUMIF(('Loading-rail'!$B$31:$B$48),$J922,('Loading-rail'!$D$31:$D$48))*Impacts!$F$15,IF(('Loading-rail'!$C$21)&lt;&gt;"No control",SUMIF(('Loading-rail'!$B$31:$B$48),$J922,('Loading-rail'!$E$31:$E$48))*Impacts!$F$15,0)),0)</f>
        <v>0</v>
      </c>
      <c r="T922" s="10">
        <f>IF(Flare!$C$7="",0,(SUMIF(Flare!$B$46:$B$185,$J922,Flare!$E$46:$E$185)*Impacts!$F$16))</f>
        <v>0</v>
      </c>
      <c r="U922" s="10">
        <f>IF(VCU!$C$9="",0,(SUMIF(VCU!$B$51:$B$193,$J922,VCU!$E$51:$E$193)*Impacts!$F$17))</f>
        <v>0</v>
      </c>
      <c r="V922" s="10">
        <f>IF(CAS!$C$7="",0,(SUMIF(CAS!$B$31:$B$167,$J922,CAS!$E$31:$E$167)*Impacts!$F$18))</f>
        <v>0</v>
      </c>
      <c r="W922" s="10">
        <f t="shared" si="56"/>
        <v>0</v>
      </c>
      <c r="AK922" s="10" t="str">
        <f t="array" ref="AK922">IFERROR(INDEX(SelectedSpecies,SMALL(IF(SelectedSpecies=AK$1,ROW(SelectedSpecies)),ROW(923:923)),2),"")</f>
        <v/>
      </c>
      <c r="BE922" s="10"/>
      <c r="BI922" s="10"/>
    </row>
    <row r="923" spans="1:61" ht="21" customHeight="1" x14ac:dyDescent="0.25">
      <c r="A923" s="10"/>
      <c r="B923" s="10"/>
      <c r="E923" s="10"/>
      <c r="G923" s="10"/>
      <c r="I923" s="436" t="s">
        <v>2729</v>
      </c>
      <c r="J923" s="26" t="s">
        <v>2728</v>
      </c>
      <c r="K923" s="10">
        <v>10</v>
      </c>
      <c r="L923" s="73">
        <f>IF(Tank1!$C$23="No control",(SUMIF(Tank1!$B$32:$B$49,$J923,Tank1!$C$32:$C$49)*Impacts!$F$8),0)</f>
        <v>0</v>
      </c>
      <c r="M923" s="10">
        <f>IF(Tank2!$C$23="No control",(SUMIF(Tank2!$B$32:$B$49,$J923,Tank2!$C$32:$C$49)*Impacts!$F$9),0)</f>
        <v>0</v>
      </c>
      <c r="N923" s="10">
        <f>IF(Tank3!$C$23="No control",(SUMIF(Tank3!$B$32:$B$49,$J923,Tank3!$C$32:$C$49)*Impacts!$F$10),0)</f>
        <v>0</v>
      </c>
      <c r="O923" s="10">
        <f>IF(Tank4!$C$23="No control",(SUMIF(Tank4!$B$32:$B$49,$J923,Tank4!$C$32:$C$49)*Impacts!$F$11),0)</f>
        <v>0</v>
      </c>
      <c r="P923" s="10">
        <f>IF(Tank5!$C$23="No control",(SUMIF(Tank5!$B$32:$B$49,$J923,Tank5!$C$32:$C$49)*Impacts!$F$12),0)</f>
        <v>0</v>
      </c>
      <c r="Q923" s="10">
        <f>IFERROR(IF(('Loading-drum,tote'!$C$21)="No control",SUMIF(('Loading-drum,tote'!$B$31:$B$48),$J923,('Loading-drum,tote'!$D$31:$D$48))*Impacts!$F$13,IF(('Loading-drum,tote'!$C$21)&lt;&gt;"No control",SUMIF(('Loading-drum,tote'!$B$31:$B$48),$J923,('Loading-drum,tote'!$E$31:$E$48))*Impacts!$F$13,0)),0)</f>
        <v>0</v>
      </c>
      <c r="R923" s="10">
        <f>IFERROR(IF(('Loading-truck'!$C$21)="No control",SUMIF(('Loading-truck'!$B$31:$B$48),$J923,('Loading-truck'!$D$31:$D$48))*Impacts!$F$14,IF(('Loading-truck'!$C$21)&lt;&gt;"No control",SUMIF(('Loading-truck'!$B$31:$B$48),$J923,('Loading-truck'!$E$31:$E$48))*Impacts!$F$14,0)),0)</f>
        <v>0</v>
      </c>
      <c r="S923" s="10">
        <f>IFERROR(IF(('Loading-rail'!$C$21)="No control",SUMIF(('Loading-rail'!$B$31:$B$48),$J923,('Loading-rail'!$D$31:$D$48))*Impacts!$F$15,IF(('Loading-rail'!$C$21)&lt;&gt;"No control",SUMIF(('Loading-rail'!$B$31:$B$48),$J923,('Loading-rail'!$E$31:$E$48))*Impacts!$F$15,0)),0)</f>
        <v>0</v>
      </c>
      <c r="T923" s="10">
        <f>IF(Flare!$C$7="",0,(SUMIF(Flare!$B$46:$B$185,$J923,Flare!$E$46:$E$185)*Impacts!$F$16))</f>
        <v>0</v>
      </c>
      <c r="U923" s="10">
        <f>IF(VCU!$C$9="",0,(SUMIF(VCU!$B$51:$B$193,$J923,VCU!$E$51:$E$193)*Impacts!$F$17))</f>
        <v>0</v>
      </c>
      <c r="V923" s="10">
        <f>IF(CAS!$C$7="",0,(SUMIF(CAS!$B$31:$B$167,$J923,CAS!$E$31:$E$167)*Impacts!$F$18))</f>
        <v>0</v>
      </c>
      <c r="W923" s="10">
        <f t="shared" si="56"/>
        <v>0</v>
      </c>
      <c r="AK923" s="10" t="str">
        <f t="array" ref="AK923">IFERROR(INDEX(SelectedSpecies,SMALL(IF(SelectedSpecies=AK$1,ROW(SelectedSpecies)),ROW(924:924)),2),"")</f>
        <v/>
      </c>
      <c r="BE923" s="10"/>
      <c r="BI923" s="10"/>
    </row>
    <row r="924" spans="1:61" ht="21" customHeight="1" x14ac:dyDescent="0.25">
      <c r="A924" s="10"/>
      <c r="B924" s="10"/>
      <c r="E924" s="10"/>
      <c r="G924" s="10"/>
      <c r="I924" s="436" t="s">
        <v>8256</v>
      </c>
      <c r="J924" s="26" t="s">
        <v>8255</v>
      </c>
      <c r="K924" s="10">
        <v>5.000000000000001E-3</v>
      </c>
      <c r="L924" s="73">
        <f>IF(Tank1!$C$23="No control",(SUMIF(Tank1!$B$32:$B$49,$J924,Tank1!$C$32:$C$49)*Impacts!$F$8),0)</f>
        <v>0</v>
      </c>
      <c r="M924" s="10">
        <f>IF(Tank2!$C$23="No control",(SUMIF(Tank2!$B$32:$B$49,$J924,Tank2!$C$32:$C$49)*Impacts!$F$9),0)</f>
        <v>0</v>
      </c>
      <c r="N924" s="10">
        <f>IF(Tank3!$C$23="No control",(SUMIF(Tank3!$B$32:$B$49,$J924,Tank3!$C$32:$C$49)*Impacts!$F$10),0)</f>
        <v>0</v>
      </c>
      <c r="O924" s="10">
        <f>IF(Tank4!$C$23="No control",(SUMIF(Tank4!$B$32:$B$49,$J924,Tank4!$C$32:$C$49)*Impacts!$F$11),0)</f>
        <v>0</v>
      </c>
      <c r="P924" s="10">
        <f>IF(Tank5!$C$23="No control",(SUMIF(Tank5!$B$32:$B$49,$J924,Tank5!$C$32:$C$49)*Impacts!$F$12),0)</f>
        <v>0</v>
      </c>
      <c r="Q924" s="10">
        <f>IFERROR(IF(('Loading-drum,tote'!$C$21)="No control",SUMIF(('Loading-drum,tote'!$B$31:$B$48),$J924,('Loading-drum,tote'!$D$31:$D$48))*Impacts!$F$13,IF(('Loading-drum,tote'!$C$21)&lt;&gt;"No control",SUMIF(('Loading-drum,tote'!$B$31:$B$48),$J924,('Loading-drum,tote'!$E$31:$E$48))*Impacts!$F$13,0)),0)</f>
        <v>0</v>
      </c>
      <c r="R924" s="10">
        <f>IFERROR(IF(('Loading-truck'!$C$21)="No control",SUMIF(('Loading-truck'!$B$31:$B$48),$J924,('Loading-truck'!$D$31:$D$48))*Impacts!$F$14,IF(('Loading-truck'!$C$21)&lt;&gt;"No control",SUMIF(('Loading-truck'!$B$31:$B$48),$J924,('Loading-truck'!$E$31:$E$48))*Impacts!$F$14,0)),0)</f>
        <v>0</v>
      </c>
      <c r="S924" s="10">
        <f>IFERROR(IF(('Loading-rail'!$C$21)="No control",SUMIF(('Loading-rail'!$B$31:$B$48),$J924,('Loading-rail'!$D$31:$D$48))*Impacts!$F$15,IF(('Loading-rail'!$C$21)&lt;&gt;"No control",SUMIF(('Loading-rail'!$B$31:$B$48),$J924,('Loading-rail'!$E$31:$E$48))*Impacts!$F$15,0)),0)</f>
        <v>0</v>
      </c>
      <c r="T924" s="10">
        <f>IF(Flare!$C$7="",0,(SUMIF(Flare!$B$46:$B$185,$J924,Flare!$E$46:$E$185)*Impacts!$F$16))</f>
        <v>0</v>
      </c>
      <c r="U924" s="10">
        <f>IF(VCU!$C$9="",0,(SUMIF(VCU!$B$51:$B$193,$J924,VCU!$E$51:$E$193)*Impacts!$F$17))</f>
        <v>0</v>
      </c>
      <c r="V924" s="10">
        <f>IF(CAS!$C$7="",0,(SUMIF(CAS!$B$31:$B$167,$J924,CAS!$E$31:$E$167)*Impacts!$F$18))</f>
        <v>0</v>
      </c>
      <c r="W924" s="10">
        <f t="shared" si="56"/>
        <v>0</v>
      </c>
      <c r="AK924" s="10" t="str">
        <f t="array" ref="AK924">IFERROR(INDEX(SelectedSpecies,SMALL(IF(SelectedSpecies=AK$1,ROW(SelectedSpecies)),ROW(925:925)),2),"")</f>
        <v/>
      </c>
      <c r="BE924" s="10"/>
      <c r="BI924" s="10"/>
    </row>
    <row r="925" spans="1:61" ht="21" customHeight="1" x14ac:dyDescent="0.25">
      <c r="A925" s="10"/>
      <c r="B925" s="10"/>
      <c r="E925" s="10"/>
      <c r="G925" s="10"/>
      <c r="I925" s="436" t="s">
        <v>4175</v>
      </c>
      <c r="J925" s="26" t="s">
        <v>4174</v>
      </c>
      <c r="K925" s="10">
        <v>5</v>
      </c>
      <c r="L925" s="73">
        <f>IF(Tank1!$C$23="No control",(SUMIF(Tank1!$B$32:$B$49,$J925,Tank1!$C$32:$C$49)*Impacts!$F$8),0)</f>
        <v>0</v>
      </c>
      <c r="M925" s="10">
        <f>IF(Tank2!$C$23="No control",(SUMIF(Tank2!$B$32:$B$49,$J925,Tank2!$C$32:$C$49)*Impacts!$F$9),0)</f>
        <v>0</v>
      </c>
      <c r="N925" s="10">
        <f>IF(Tank3!$C$23="No control",(SUMIF(Tank3!$B$32:$B$49,$J925,Tank3!$C$32:$C$49)*Impacts!$F$10),0)</f>
        <v>0</v>
      </c>
      <c r="O925" s="10">
        <f>IF(Tank4!$C$23="No control",(SUMIF(Tank4!$B$32:$B$49,$J925,Tank4!$C$32:$C$49)*Impacts!$F$11),0)</f>
        <v>0</v>
      </c>
      <c r="P925" s="10">
        <f>IF(Tank5!$C$23="No control",(SUMIF(Tank5!$B$32:$B$49,$J925,Tank5!$C$32:$C$49)*Impacts!$F$12),0)</f>
        <v>0</v>
      </c>
      <c r="Q925" s="10">
        <f>IFERROR(IF(('Loading-drum,tote'!$C$21)="No control",SUMIF(('Loading-drum,tote'!$B$31:$B$48),$J925,('Loading-drum,tote'!$D$31:$D$48))*Impacts!$F$13,IF(('Loading-drum,tote'!$C$21)&lt;&gt;"No control",SUMIF(('Loading-drum,tote'!$B$31:$B$48),$J925,('Loading-drum,tote'!$E$31:$E$48))*Impacts!$F$13,0)),0)</f>
        <v>0</v>
      </c>
      <c r="R925" s="10">
        <f>IFERROR(IF(('Loading-truck'!$C$21)="No control",SUMIF(('Loading-truck'!$B$31:$B$48),$J925,('Loading-truck'!$D$31:$D$48))*Impacts!$F$14,IF(('Loading-truck'!$C$21)&lt;&gt;"No control",SUMIF(('Loading-truck'!$B$31:$B$48),$J925,('Loading-truck'!$E$31:$E$48))*Impacts!$F$14,0)),0)</f>
        <v>0</v>
      </c>
      <c r="S925" s="10">
        <f>IFERROR(IF(('Loading-rail'!$C$21)="No control",SUMIF(('Loading-rail'!$B$31:$B$48),$J925,('Loading-rail'!$D$31:$D$48))*Impacts!$F$15,IF(('Loading-rail'!$C$21)&lt;&gt;"No control",SUMIF(('Loading-rail'!$B$31:$B$48),$J925,('Loading-rail'!$E$31:$E$48))*Impacts!$F$15,0)),0)</f>
        <v>0</v>
      </c>
      <c r="T925" s="10">
        <f>IF(Flare!$C$7="",0,(SUMIF(Flare!$B$46:$B$185,$J925,Flare!$E$46:$E$185)*Impacts!$F$16))</f>
        <v>0</v>
      </c>
      <c r="U925" s="10">
        <f>IF(VCU!$C$9="",0,(SUMIF(VCU!$B$51:$B$193,$J925,VCU!$E$51:$E$193)*Impacts!$F$17))</f>
        <v>0</v>
      </c>
      <c r="V925" s="10">
        <f>IF(CAS!$C$7="",0,(SUMIF(CAS!$B$31:$B$167,$J925,CAS!$E$31:$E$167)*Impacts!$F$18))</f>
        <v>0</v>
      </c>
      <c r="W925" s="10">
        <f t="shared" si="56"/>
        <v>0</v>
      </c>
      <c r="AK925" s="10" t="str">
        <f t="array" ref="AK925">IFERROR(INDEX(SelectedSpecies,SMALL(IF(SelectedSpecies=AK$1,ROW(SelectedSpecies)),ROW(926:926)),2),"")</f>
        <v/>
      </c>
      <c r="BE925" s="10"/>
      <c r="BI925" s="10"/>
    </row>
    <row r="926" spans="1:61" ht="21" customHeight="1" x14ac:dyDescent="0.25">
      <c r="A926" s="10"/>
      <c r="B926" s="10"/>
      <c r="E926" s="10"/>
      <c r="G926" s="10"/>
      <c r="I926" s="436" t="s">
        <v>471</v>
      </c>
      <c r="J926" s="26" t="s">
        <v>470</v>
      </c>
      <c r="K926" s="10">
        <v>144</v>
      </c>
      <c r="L926" s="73">
        <f>IF(Tank1!$C$23="No control",(SUMIF(Tank1!$B$32:$B$49,$J926,Tank1!$C$32:$C$49)*Impacts!$F$8),0)</f>
        <v>0</v>
      </c>
      <c r="M926" s="10">
        <f>IF(Tank2!$C$23="No control",(SUMIF(Tank2!$B$32:$B$49,$J926,Tank2!$C$32:$C$49)*Impacts!$F$9),0)</f>
        <v>0</v>
      </c>
      <c r="N926" s="10">
        <f>IF(Tank3!$C$23="No control",(SUMIF(Tank3!$B$32:$B$49,$J926,Tank3!$C$32:$C$49)*Impacts!$F$10),0)</f>
        <v>0</v>
      </c>
      <c r="O926" s="10">
        <f>IF(Tank4!$C$23="No control",(SUMIF(Tank4!$B$32:$B$49,$J926,Tank4!$C$32:$C$49)*Impacts!$F$11),0)</f>
        <v>0</v>
      </c>
      <c r="P926" s="10">
        <f>IF(Tank5!$C$23="No control",(SUMIF(Tank5!$B$32:$B$49,$J926,Tank5!$C$32:$C$49)*Impacts!$F$12),0)</f>
        <v>0</v>
      </c>
      <c r="Q926" s="10">
        <f>IFERROR(IF(('Loading-drum,tote'!$C$21)="No control",SUMIF(('Loading-drum,tote'!$B$31:$B$48),$J926,('Loading-drum,tote'!$D$31:$D$48))*Impacts!$F$13,IF(('Loading-drum,tote'!$C$21)&lt;&gt;"No control",SUMIF(('Loading-drum,tote'!$B$31:$B$48),$J926,('Loading-drum,tote'!$E$31:$E$48))*Impacts!$F$13,0)),0)</f>
        <v>0</v>
      </c>
      <c r="R926" s="10">
        <f>IFERROR(IF(('Loading-truck'!$C$21)="No control",SUMIF(('Loading-truck'!$B$31:$B$48),$J926,('Loading-truck'!$D$31:$D$48))*Impacts!$F$14,IF(('Loading-truck'!$C$21)&lt;&gt;"No control",SUMIF(('Loading-truck'!$B$31:$B$48),$J926,('Loading-truck'!$E$31:$E$48))*Impacts!$F$14,0)),0)</f>
        <v>0</v>
      </c>
      <c r="S926" s="10">
        <f>IFERROR(IF(('Loading-rail'!$C$21)="No control",SUMIF(('Loading-rail'!$B$31:$B$48),$J926,('Loading-rail'!$D$31:$D$48))*Impacts!$F$15,IF(('Loading-rail'!$C$21)&lt;&gt;"No control",SUMIF(('Loading-rail'!$B$31:$B$48),$J926,('Loading-rail'!$E$31:$E$48))*Impacts!$F$15,0)),0)</f>
        <v>0</v>
      </c>
      <c r="T926" s="10">
        <f>IF(Flare!$C$7="",0,(SUMIF(Flare!$B$46:$B$185,$J926,Flare!$E$46:$E$185)*Impacts!$F$16))</f>
        <v>0</v>
      </c>
      <c r="U926" s="10">
        <f>IF(VCU!$C$9="",0,(SUMIF(VCU!$B$51:$B$193,$J926,VCU!$E$51:$E$193)*Impacts!$F$17))</f>
        <v>0</v>
      </c>
      <c r="V926" s="10">
        <f>IF(CAS!$C$7="",0,(SUMIF(CAS!$B$31:$B$167,$J926,CAS!$E$31:$E$167)*Impacts!$F$18))</f>
        <v>0</v>
      </c>
      <c r="W926" s="10">
        <f t="shared" si="56"/>
        <v>0</v>
      </c>
      <c r="AK926" s="10" t="str">
        <f t="array" ref="AK926">IFERROR(INDEX(SelectedSpecies,SMALL(IF(SelectedSpecies=AK$1,ROW(SelectedSpecies)),ROW(927:927)),2),"")</f>
        <v/>
      </c>
      <c r="BE926" s="10"/>
      <c r="BI926" s="10"/>
    </row>
    <row r="927" spans="1:61" ht="21" customHeight="1" x14ac:dyDescent="0.25">
      <c r="A927" s="10"/>
      <c r="B927" s="10"/>
      <c r="E927" s="10"/>
      <c r="G927" s="10"/>
      <c r="I927" s="436" t="s">
        <v>4543</v>
      </c>
      <c r="J927" s="26" t="s">
        <v>4542</v>
      </c>
      <c r="K927" s="10">
        <v>4</v>
      </c>
      <c r="L927" s="73">
        <f>IF(Tank1!$C$23="No control",(SUMIF(Tank1!$B$32:$B$49,$J927,Tank1!$C$32:$C$49)*Impacts!$F$8),0)</f>
        <v>0</v>
      </c>
      <c r="M927" s="10">
        <f>IF(Tank2!$C$23="No control",(SUMIF(Tank2!$B$32:$B$49,$J927,Tank2!$C$32:$C$49)*Impacts!$F$9),0)</f>
        <v>0</v>
      </c>
      <c r="N927" s="10">
        <f>IF(Tank3!$C$23="No control",(SUMIF(Tank3!$B$32:$B$49,$J927,Tank3!$C$32:$C$49)*Impacts!$F$10),0)</f>
        <v>0</v>
      </c>
      <c r="O927" s="10">
        <f>IF(Tank4!$C$23="No control",(SUMIF(Tank4!$B$32:$B$49,$J927,Tank4!$C$32:$C$49)*Impacts!$F$11),0)</f>
        <v>0</v>
      </c>
      <c r="P927" s="10">
        <f>IF(Tank5!$C$23="No control",(SUMIF(Tank5!$B$32:$B$49,$J927,Tank5!$C$32:$C$49)*Impacts!$F$12),0)</f>
        <v>0</v>
      </c>
      <c r="Q927" s="10">
        <f>IFERROR(IF(('Loading-drum,tote'!$C$21)="No control",SUMIF(('Loading-drum,tote'!$B$31:$B$48),$J927,('Loading-drum,tote'!$D$31:$D$48))*Impacts!$F$13,IF(('Loading-drum,tote'!$C$21)&lt;&gt;"No control",SUMIF(('Loading-drum,tote'!$B$31:$B$48),$J927,('Loading-drum,tote'!$E$31:$E$48))*Impacts!$F$13,0)),0)</f>
        <v>0</v>
      </c>
      <c r="R927" s="10">
        <f>IFERROR(IF(('Loading-truck'!$C$21)="No control",SUMIF(('Loading-truck'!$B$31:$B$48),$J927,('Loading-truck'!$D$31:$D$48))*Impacts!$F$14,IF(('Loading-truck'!$C$21)&lt;&gt;"No control",SUMIF(('Loading-truck'!$B$31:$B$48),$J927,('Loading-truck'!$E$31:$E$48))*Impacts!$F$14,0)),0)</f>
        <v>0</v>
      </c>
      <c r="S927" s="10">
        <f>IFERROR(IF(('Loading-rail'!$C$21)="No control",SUMIF(('Loading-rail'!$B$31:$B$48),$J927,('Loading-rail'!$D$31:$D$48))*Impacts!$F$15,IF(('Loading-rail'!$C$21)&lt;&gt;"No control",SUMIF(('Loading-rail'!$B$31:$B$48),$J927,('Loading-rail'!$E$31:$E$48))*Impacts!$F$15,0)),0)</f>
        <v>0</v>
      </c>
      <c r="T927" s="10">
        <f>IF(Flare!$C$7="",0,(SUMIF(Flare!$B$46:$B$185,$J927,Flare!$E$46:$E$185)*Impacts!$F$16))</f>
        <v>0</v>
      </c>
      <c r="U927" s="10">
        <f>IF(VCU!$C$9="",0,(SUMIF(VCU!$B$51:$B$193,$J927,VCU!$E$51:$E$193)*Impacts!$F$17))</f>
        <v>0</v>
      </c>
      <c r="V927" s="10">
        <f>IF(CAS!$C$7="",0,(SUMIF(CAS!$B$31:$B$167,$J927,CAS!$E$31:$E$167)*Impacts!$F$18))</f>
        <v>0</v>
      </c>
      <c r="W927" s="10">
        <f t="shared" si="56"/>
        <v>0</v>
      </c>
      <c r="AK927" s="10" t="str">
        <f t="array" ref="AK927">IFERROR(INDEX(SelectedSpecies,SMALL(IF(SelectedSpecies=AK$1,ROW(SelectedSpecies)),ROW(928:928)),2),"")</f>
        <v/>
      </c>
      <c r="BE927" s="10"/>
      <c r="BI927" s="10"/>
    </row>
    <row r="928" spans="1:61" ht="21" customHeight="1" x14ac:dyDescent="0.25">
      <c r="A928" s="10"/>
      <c r="B928" s="10"/>
      <c r="E928" s="10"/>
      <c r="G928" s="10"/>
      <c r="I928" s="436" t="s">
        <v>7456</v>
      </c>
      <c r="J928" s="26" t="s">
        <v>7455</v>
      </c>
      <c r="K928" s="10">
        <v>0.2</v>
      </c>
      <c r="L928" s="73">
        <f>IF(Tank1!$C$23="No control",(SUMIF(Tank1!$B$32:$B$49,$J928,Tank1!$C$32:$C$49)*Impacts!$F$8),0)</f>
        <v>0</v>
      </c>
      <c r="M928" s="10">
        <f>IF(Tank2!$C$23="No control",(SUMIF(Tank2!$B$32:$B$49,$J928,Tank2!$C$32:$C$49)*Impacts!$F$9),0)</f>
        <v>0</v>
      </c>
      <c r="N928" s="10">
        <f>IF(Tank3!$C$23="No control",(SUMIF(Tank3!$B$32:$B$49,$J928,Tank3!$C$32:$C$49)*Impacts!$F$10),0)</f>
        <v>0</v>
      </c>
      <c r="O928" s="10">
        <f>IF(Tank4!$C$23="No control",(SUMIF(Tank4!$B$32:$B$49,$J928,Tank4!$C$32:$C$49)*Impacts!$F$11),0)</f>
        <v>0</v>
      </c>
      <c r="P928" s="10">
        <f>IF(Tank5!$C$23="No control",(SUMIF(Tank5!$B$32:$B$49,$J928,Tank5!$C$32:$C$49)*Impacts!$F$12),0)</f>
        <v>0</v>
      </c>
      <c r="Q928" s="10">
        <f>IFERROR(IF(('Loading-drum,tote'!$C$21)="No control",SUMIF(('Loading-drum,tote'!$B$31:$B$48),$J928,('Loading-drum,tote'!$D$31:$D$48))*Impacts!$F$13,IF(('Loading-drum,tote'!$C$21)&lt;&gt;"No control",SUMIF(('Loading-drum,tote'!$B$31:$B$48),$J928,('Loading-drum,tote'!$E$31:$E$48))*Impacts!$F$13,0)),0)</f>
        <v>0</v>
      </c>
      <c r="R928" s="10">
        <f>IFERROR(IF(('Loading-truck'!$C$21)="No control",SUMIF(('Loading-truck'!$B$31:$B$48),$J928,('Loading-truck'!$D$31:$D$48))*Impacts!$F$14,IF(('Loading-truck'!$C$21)&lt;&gt;"No control",SUMIF(('Loading-truck'!$B$31:$B$48),$J928,('Loading-truck'!$E$31:$E$48))*Impacts!$F$14,0)),0)</f>
        <v>0</v>
      </c>
      <c r="S928" s="10">
        <f>IFERROR(IF(('Loading-rail'!$C$21)="No control",SUMIF(('Loading-rail'!$B$31:$B$48),$J928,('Loading-rail'!$D$31:$D$48))*Impacts!$F$15,IF(('Loading-rail'!$C$21)&lt;&gt;"No control",SUMIF(('Loading-rail'!$B$31:$B$48),$J928,('Loading-rail'!$E$31:$E$48))*Impacts!$F$15,0)),0)</f>
        <v>0</v>
      </c>
      <c r="T928" s="10">
        <f>IF(Flare!$C$7="",0,(SUMIF(Flare!$B$46:$B$185,$J928,Flare!$E$46:$E$185)*Impacts!$F$16))</f>
        <v>0</v>
      </c>
      <c r="U928" s="10">
        <f>IF(VCU!$C$9="",0,(SUMIF(VCU!$B$51:$B$193,$J928,VCU!$E$51:$E$193)*Impacts!$F$17))</f>
        <v>0</v>
      </c>
      <c r="V928" s="10">
        <f>IF(CAS!$C$7="",0,(SUMIF(CAS!$B$31:$B$167,$J928,CAS!$E$31:$E$167)*Impacts!$F$18))</f>
        <v>0</v>
      </c>
      <c r="W928" s="10">
        <f t="shared" si="56"/>
        <v>0</v>
      </c>
      <c r="AK928" s="10" t="str">
        <f t="array" ref="AK928">IFERROR(INDEX(SelectedSpecies,SMALL(IF(SelectedSpecies=AK$1,ROW(SelectedSpecies)),ROW(929:929)),2),"")</f>
        <v/>
      </c>
      <c r="BE928" s="10"/>
      <c r="BI928" s="10"/>
    </row>
    <row r="929" spans="1:61" ht="21" customHeight="1" x14ac:dyDescent="0.25">
      <c r="A929" s="10"/>
      <c r="B929" s="10"/>
      <c r="E929" s="10"/>
      <c r="G929" s="10"/>
      <c r="I929" s="436" t="s">
        <v>1610</v>
      </c>
      <c r="J929" s="26" t="s">
        <v>1609</v>
      </c>
      <c r="K929" s="10">
        <v>25</v>
      </c>
      <c r="L929" s="73">
        <f>IF(Tank1!$C$23="No control",(SUMIF(Tank1!$B$32:$B$49,$J929,Tank1!$C$32:$C$49)*Impacts!$F$8),0)</f>
        <v>0</v>
      </c>
      <c r="M929" s="10">
        <f>IF(Tank2!$C$23="No control",(SUMIF(Tank2!$B$32:$B$49,$J929,Tank2!$C$32:$C$49)*Impacts!$F$9),0)</f>
        <v>0</v>
      </c>
      <c r="N929" s="10">
        <f>IF(Tank3!$C$23="No control",(SUMIF(Tank3!$B$32:$B$49,$J929,Tank3!$C$32:$C$49)*Impacts!$F$10),0)</f>
        <v>0</v>
      </c>
      <c r="O929" s="10">
        <f>IF(Tank4!$C$23="No control",(SUMIF(Tank4!$B$32:$B$49,$J929,Tank4!$C$32:$C$49)*Impacts!$F$11),0)</f>
        <v>0</v>
      </c>
      <c r="P929" s="10">
        <f>IF(Tank5!$C$23="No control",(SUMIF(Tank5!$B$32:$B$49,$J929,Tank5!$C$32:$C$49)*Impacts!$F$12),0)</f>
        <v>0</v>
      </c>
      <c r="Q929" s="10">
        <f>IFERROR(IF(('Loading-drum,tote'!$C$21)="No control",SUMIF(('Loading-drum,tote'!$B$31:$B$48),$J929,('Loading-drum,tote'!$D$31:$D$48))*Impacts!$F$13,IF(('Loading-drum,tote'!$C$21)&lt;&gt;"No control",SUMIF(('Loading-drum,tote'!$B$31:$B$48),$J929,('Loading-drum,tote'!$E$31:$E$48))*Impacts!$F$13,0)),0)</f>
        <v>0</v>
      </c>
      <c r="R929" s="10">
        <f>IFERROR(IF(('Loading-truck'!$C$21)="No control",SUMIF(('Loading-truck'!$B$31:$B$48),$J929,('Loading-truck'!$D$31:$D$48))*Impacts!$F$14,IF(('Loading-truck'!$C$21)&lt;&gt;"No control",SUMIF(('Loading-truck'!$B$31:$B$48),$J929,('Loading-truck'!$E$31:$E$48))*Impacts!$F$14,0)),0)</f>
        <v>0</v>
      </c>
      <c r="S929" s="10">
        <f>IFERROR(IF(('Loading-rail'!$C$21)="No control",SUMIF(('Loading-rail'!$B$31:$B$48),$J929,('Loading-rail'!$D$31:$D$48))*Impacts!$F$15,IF(('Loading-rail'!$C$21)&lt;&gt;"No control",SUMIF(('Loading-rail'!$B$31:$B$48),$J929,('Loading-rail'!$E$31:$E$48))*Impacts!$F$15,0)),0)</f>
        <v>0</v>
      </c>
      <c r="T929" s="10">
        <f>IF(Flare!$C$7="",0,(SUMIF(Flare!$B$46:$B$185,$J929,Flare!$E$46:$E$185)*Impacts!$F$16))</f>
        <v>0</v>
      </c>
      <c r="U929" s="10">
        <f>IF(VCU!$C$9="",0,(SUMIF(VCU!$B$51:$B$193,$J929,VCU!$E$51:$E$193)*Impacts!$F$17))</f>
        <v>0</v>
      </c>
      <c r="V929" s="10">
        <f>IF(CAS!$C$7="",0,(SUMIF(CAS!$B$31:$B$167,$J929,CAS!$E$31:$E$167)*Impacts!$F$18))</f>
        <v>0</v>
      </c>
      <c r="W929" s="10">
        <f t="shared" si="56"/>
        <v>0</v>
      </c>
      <c r="AK929" s="10" t="str">
        <f t="array" ref="AK929">IFERROR(INDEX(SelectedSpecies,SMALL(IF(SelectedSpecies=AK$1,ROW(SelectedSpecies)),ROW(930:930)),2),"")</f>
        <v/>
      </c>
      <c r="BE929" s="10"/>
      <c r="BI929" s="10"/>
    </row>
    <row r="930" spans="1:61" ht="21" customHeight="1" x14ac:dyDescent="0.25">
      <c r="A930" s="10"/>
      <c r="B930" s="10"/>
      <c r="E930" s="10"/>
      <c r="G930" s="10"/>
      <c r="I930" s="436" t="s">
        <v>5511</v>
      </c>
      <c r="J930" s="26" t="s">
        <v>5510</v>
      </c>
      <c r="K930" s="10">
        <v>1.25</v>
      </c>
      <c r="L930" s="73">
        <f>IF(Tank1!$C$23="No control",(SUMIF(Tank1!$B$32:$B$49,$J930,Tank1!$C$32:$C$49)*Impacts!$F$8),0)</f>
        <v>0</v>
      </c>
      <c r="M930" s="10">
        <f>IF(Tank2!$C$23="No control",(SUMIF(Tank2!$B$32:$B$49,$J930,Tank2!$C$32:$C$49)*Impacts!$F$9),0)</f>
        <v>0</v>
      </c>
      <c r="N930" s="10">
        <f>IF(Tank3!$C$23="No control",(SUMIF(Tank3!$B$32:$B$49,$J930,Tank3!$C$32:$C$49)*Impacts!$F$10),0)</f>
        <v>0</v>
      </c>
      <c r="O930" s="10">
        <f>IF(Tank4!$C$23="No control",(SUMIF(Tank4!$B$32:$B$49,$J930,Tank4!$C$32:$C$49)*Impacts!$F$11),0)</f>
        <v>0</v>
      </c>
      <c r="P930" s="10">
        <f>IF(Tank5!$C$23="No control",(SUMIF(Tank5!$B$32:$B$49,$J930,Tank5!$C$32:$C$49)*Impacts!$F$12),0)</f>
        <v>0</v>
      </c>
      <c r="Q930" s="10">
        <f>IFERROR(IF(('Loading-drum,tote'!$C$21)="No control",SUMIF(('Loading-drum,tote'!$B$31:$B$48),$J930,('Loading-drum,tote'!$D$31:$D$48))*Impacts!$F$13,IF(('Loading-drum,tote'!$C$21)&lt;&gt;"No control",SUMIF(('Loading-drum,tote'!$B$31:$B$48),$J930,('Loading-drum,tote'!$E$31:$E$48))*Impacts!$F$13,0)),0)</f>
        <v>0</v>
      </c>
      <c r="R930" s="10">
        <f>IFERROR(IF(('Loading-truck'!$C$21)="No control",SUMIF(('Loading-truck'!$B$31:$B$48),$J930,('Loading-truck'!$D$31:$D$48))*Impacts!$F$14,IF(('Loading-truck'!$C$21)&lt;&gt;"No control",SUMIF(('Loading-truck'!$B$31:$B$48),$J930,('Loading-truck'!$E$31:$E$48))*Impacts!$F$14,0)),0)</f>
        <v>0</v>
      </c>
      <c r="S930" s="10">
        <f>IFERROR(IF(('Loading-rail'!$C$21)="No control",SUMIF(('Loading-rail'!$B$31:$B$48),$J930,('Loading-rail'!$D$31:$D$48))*Impacts!$F$15,IF(('Loading-rail'!$C$21)&lt;&gt;"No control",SUMIF(('Loading-rail'!$B$31:$B$48),$J930,('Loading-rail'!$E$31:$E$48))*Impacts!$F$15,0)),0)</f>
        <v>0</v>
      </c>
      <c r="T930" s="10">
        <f>IF(Flare!$C$7="",0,(SUMIF(Flare!$B$46:$B$185,$J930,Flare!$E$46:$E$185)*Impacts!$F$16))</f>
        <v>0</v>
      </c>
      <c r="U930" s="10">
        <f>IF(VCU!$C$9="",0,(SUMIF(VCU!$B$51:$B$193,$J930,VCU!$E$51:$E$193)*Impacts!$F$17))</f>
        <v>0</v>
      </c>
      <c r="V930" s="10">
        <f>IF(CAS!$C$7="",0,(SUMIF(CAS!$B$31:$B$167,$J930,CAS!$E$31:$E$167)*Impacts!$F$18))</f>
        <v>0</v>
      </c>
      <c r="W930" s="10">
        <f t="shared" si="56"/>
        <v>0</v>
      </c>
      <c r="AK930" s="10" t="str">
        <f t="array" ref="AK930">IFERROR(INDEX(SelectedSpecies,SMALL(IF(SelectedSpecies=AK$1,ROW(SelectedSpecies)),ROW(931:931)),2),"")</f>
        <v/>
      </c>
      <c r="BE930" s="10"/>
      <c r="BI930" s="10"/>
    </row>
    <row r="931" spans="1:61" ht="21" customHeight="1" x14ac:dyDescent="0.25">
      <c r="A931" s="10"/>
      <c r="B931" s="10"/>
      <c r="E931" s="10"/>
      <c r="G931" s="10"/>
      <c r="I931" s="436" t="s">
        <v>6772</v>
      </c>
      <c r="J931" s="26" t="s">
        <v>6771</v>
      </c>
      <c r="K931" s="10">
        <v>0.5</v>
      </c>
      <c r="L931" s="73">
        <f>IF(Tank1!$C$23="No control",(SUMIF(Tank1!$B$32:$B$49,$J931,Tank1!$C$32:$C$49)*Impacts!$F$8),0)</f>
        <v>0</v>
      </c>
      <c r="M931" s="10">
        <f>IF(Tank2!$C$23="No control",(SUMIF(Tank2!$B$32:$B$49,$J931,Tank2!$C$32:$C$49)*Impacts!$F$9),0)</f>
        <v>0</v>
      </c>
      <c r="N931" s="10">
        <f>IF(Tank3!$C$23="No control",(SUMIF(Tank3!$B$32:$B$49,$J931,Tank3!$C$32:$C$49)*Impacts!$F$10),0)</f>
        <v>0</v>
      </c>
      <c r="O931" s="10">
        <f>IF(Tank4!$C$23="No control",(SUMIF(Tank4!$B$32:$B$49,$J931,Tank4!$C$32:$C$49)*Impacts!$F$11),0)</f>
        <v>0</v>
      </c>
      <c r="P931" s="10">
        <f>IF(Tank5!$C$23="No control",(SUMIF(Tank5!$B$32:$B$49,$J931,Tank5!$C$32:$C$49)*Impacts!$F$12),0)</f>
        <v>0</v>
      </c>
      <c r="Q931" s="10">
        <f>IFERROR(IF(('Loading-drum,tote'!$C$21)="No control",SUMIF(('Loading-drum,tote'!$B$31:$B$48),$J931,('Loading-drum,tote'!$D$31:$D$48))*Impacts!$F$13,IF(('Loading-drum,tote'!$C$21)&lt;&gt;"No control",SUMIF(('Loading-drum,tote'!$B$31:$B$48),$J931,('Loading-drum,tote'!$E$31:$E$48))*Impacts!$F$13,0)),0)</f>
        <v>0</v>
      </c>
      <c r="R931" s="10">
        <f>IFERROR(IF(('Loading-truck'!$C$21)="No control",SUMIF(('Loading-truck'!$B$31:$B$48),$J931,('Loading-truck'!$D$31:$D$48))*Impacts!$F$14,IF(('Loading-truck'!$C$21)&lt;&gt;"No control",SUMIF(('Loading-truck'!$B$31:$B$48),$J931,('Loading-truck'!$E$31:$E$48))*Impacts!$F$14,0)),0)</f>
        <v>0</v>
      </c>
      <c r="S931" s="10">
        <f>IFERROR(IF(('Loading-rail'!$C$21)="No control",SUMIF(('Loading-rail'!$B$31:$B$48),$J931,('Loading-rail'!$D$31:$D$48))*Impacts!$F$15,IF(('Loading-rail'!$C$21)&lt;&gt;"No control",SUMIF(('Loading-rail'!$B$31:$B$48),$J931,('Loading-rail'!$E$31:$E$48))*Impacts!$F$15,0)),0)</f>
        <v>0</v>
      </c>
      <c r="T931" s="10">
        <f>IF(Flare!$C$7="",0,(SUMIF(Flare!$B$46:$B$185,$J931,Flare!$E$46:$E$185)*Impacts!$F$16))</f>
        <v>0</v>
      </c>
      <c r="U931" s="10">
        <f>IF(VCU!$C$9="",0,(SUMIF(VCU!$B$51:$B$193,$J931,VCU!$E$51:$E$193)*Impacts!$F$17))</f>
        <v>0</v>
      </c>
      <c r="V931" s="10">
        <f>IF(CAS!$C$7="",0,(SUMIF(CAS!$B$31:$B$167,$J931,CAS!$E$31:$E$167)*Impacts!$F$18))</f>
        <v>0</v>
      </c>
      <c r="W931" s="10">
        <f t="shared" si="56"/>
        <v>0</v>
      </c>
      <c r="AK931" s="10" t="str">
        <f t="array" ref="AK931">IFERROR(INDEX(SelectedSpecies,SMALL(IF(SelectedSpecies=AK$1,ROW(SelectedSpecies)),ROW(932:932)),2),"")</f>
        <v/>
      </c>
      <c r="BE931" s="10"/>
      <c r="BI931" s="10"/>
    </row>
    <row r="932" spans="1:61" ht="21" customHeight="1" x14ac:dyDescent="0.25">
      <c r="A932" s="10"/>
      <c r="B932" s="10"/>
      <c r="E932" s="10"/>
      <c r="G932" s="10"/>
      <c r="I932" s="436" t="s">
        <v>4411</v>
      </c>
      <c r="J932" s="26" t="s">
        <v>4410</v>
      </c>
      <c r="K932" s="10">
        <v>4.6000000000000005</v>
      </c>
      <c r="L932" s="73">
        <f>IF(Tank1!$C$23="No control",(SUMIF(Tank1!$B$32:$B$49,$J932,Tank1!$C$32:$C$49)*Impacts!$F$8),0)</f>
        <v>0</v>
      </c>
      <c r="M932" s="10">
        <f>IF(Tank2!$C$23="No control",(SUMIF(Tank2!$B$32:$B$49,$J932,Tank2!$C$32:$C$49)*Impacts!$F$9),0)</f>
        <v>0</v>
      </c>
      <c r="N932" s="10">
        <f>IF(Tank3!$C$23="No control",(SUMIF(Tank3!$B$32:$B$49,$J932,Tank3!$C$32:$C$49)*Impacts!$F$10),0)</f>
        <v>0</v>
      </c>
      <c r="O932" s="10">
        <f>IF(Tank4!$C$23="No control",(SUMIF(Tank4!$B$32:$B$49,$J932,Tank4!$C$32:$C$49)*Impacts!$F$11),0)</f>
        <v>0</v>
      </c>
      <c r="P932" s="10">
        <f>IF(Tank5!$C$23="No control",(SUMIF(Tank5!$B$32:$B$49,$J932,Tank5!$C$32:$C$49)*Impacts!$F$12),0)</f>
        <v>0</v>
      </c>
      <c r="Q932" s="10">
        <f>IFERROR(IF(('Loading-drum,tote'!$C$21)="No control",SUMIF(('Loading-drum,tote'!$B$31:$B$48),$J932,('Loading-drum,tote'!$D$31:$D$48))*Impacts!$F$13,IF(('Loading-drum,tote'!$C$21)&lt;&gt;"No control",SUMIF(('Loading-drum,tote'!$B$31:$B$48),$J932,('Loading-drum,tote'!$E$31:$E$48))*Impacts!$F$13,0)),0)</f>
        <v>0</v>
      </c>
      <c r="R932" s="10">
        <f>IFERROR(IF(('Loading-truck'!$C$21)="No control",SUMIF(('Loading-truck'!$B$31:$B$48),$J932,('Loading-truck'!$D$31:$D$48))*Impacts!$F$14,IF(('Loading-truck'!$C$21)&lt;&gt;"No control",SUMIF(('Loading-truck'!$B$31:$B$48),$J932,('Loading-truck'!$E$31:$E$48))*Impacts!$F$14,0)),0)</f>
        <v>0</v>
      </c>
      <c r="S932" s="10">
        <f>IFERROR(IF(('Loading-rail'!$C$21)="No control",SUMIF(('Loading-rail'!$B$31:$B$48),$J932,('Loading-rail'!$D$31:$D$48))*Impacts!$F$15,IF(('Loading-rail'!$C$21)&lt;&gt;"No control",SUMIF(('Loading-rail'!$B$31:$B$48),$J932,('Loading-rail'!$E$31:$E$48))*Impacts!$F$15,0)),0)</f>
        <v>0</v>
      </c>
      <c r="T932" s="10">
        <f>IF(Flare!$C$7="",0,(SUMIF(Flare!$B$46:$B$185,$J932,Flare!$E$46:$E$185)*Impacts!$F$16))</f>
        <v>0</v>
      </c>
      <c r="U932" s="10">
        <f>IF(VCU!$C$9="",0,(SUMIF(VCU!$B$51:$B$193,$J932,VCU!$E$51:$E$193)*Impacts!$F$17))</f>
        <v>0</v>
      </c>
      <c r="V932" s="10">
        <f>IF(CAS!$C$7="",0,(SUMIF(CAS!$B$31:$B$167,$J932,CAS!$E$31:$E$167)*Impacts!$F$18))</f>
        <v>0</v>
      </c>
      <c r="W932" s="10">
        <f t="shared" si="56"/>
        <v>0</v>
      </c>
      <c r="AK932" s="10" t="str">
        <f t="array" ref="AK932">IFERROR(INDEX(SelectedSpecies,SMALL(IF(SelectedSpecies=AK$1,ROW(SelectedSpecies)),ROW(933:933)),2),"")</f>
        <v/>
      </c>
      <c r="BE932" s="10"/>
      <c r="BI932" s="10"/>
    </row>
    <row r="933" spans="1:61" ht="21" customHeight="1" x14ac:dyDescent="0.25">
      <c r="A933" s="10"/>
      <c r="B933" s="10"/>
      <c r="E933" s="10"/>
      <c r="G933" s="10"/>
      <c r="I933" s="436" t="s">
        <v>600</v>
      </c>
      <c r="J933" s="26" t="s">
        <v>599</v>
      </c>
      <c r="K933" s="10">
        <v>37</v>
      </c>
      <c r="L933" s="73">
        <f>IF(Tank1!$C$23="No control",(SUMIF(Tank1!$B$32:$B$49,$J933,Tank1!$C$32:$C$49)*Impacts!$F$8),0)</f>
        <v>0</v>
      </c>
      <c r="M933" s="10">
        <f>IF(Tank2!$C$23="No control",(SUMIF(Tank2!$B$32:$B$49,$J933,Tank2!$C$32:$C$49)*Impacts!$F$9),0)</f>
        <v>0</v>
      </c>
      <c r="N933" s="10">
        <f>IF(Tank3!$C$23="No control",(SUMIF(Tank3!$B$32:$B$49,$J933,Tank3!$C$32:$C$49)*Impacts!$F$10),0)</f>
        <v>0</v>
      </c>
      <c r="O933" s="10">
        <f>IF(Tank4!$C$23="No control",(SUMIF(Tank4!$B$32:$B$49,$J933,Tank4!$C$32:$C$49)*Impacts!$F$11),0)</f>
        <v>0</v>
      </c>
      <c r="P933" s="10">
        <f>IF(Tank5!$C$23="No control",(SUMIF(Tank5!$B$32:$B$49,$J933,Tank5!$C$32:$C$49)*Impacts!$F$12),0)</f>
        <v>0</v>
      </c>
      <c r="Q933" s="10">
        <f>IFERROR(IF(('Loading-drum,tote'!$C$21)="No control",SUMIF(('Loading-drum,tote'!$B$31:$B$48),$J933,('Loading-drum,tote'!$D$31:$D$48))*Impacts!$F$13,IF(('Loading-drum,tote'!$C$21)&lt;&gt;"No control",SUMIF(('Loading-drum,tote'!$B$31:$B$48),$J933,('Loading-drum,tote'!$E$31:$E$48))*Impacts!$F$13,0)),0)</f>
        <v>0</v>
      </c>
      <c r="R933" s="10">
        <f>IFERROR(IF(('Loading-truck'!$C$21)="No control",SUMIF(('Loading-truck'!$B$31:$B$48),$J933,('Loading-truck'!$D$31:$D$48))*Impacts!$F$14,IF(('Loading-truck'!$C$21)&lt;&gt;"No control",SUMIF(('Loading-truck'!$B$31:$B$48),$J933,('Loading-truck'!$E$31:$E$48))*Impacts!$F$14,0)),0)</f>
        <v>0</v>
      </c>
      <c r="S933" s="10">
        <f>IFERROR(IF(('Loading-rail'!$C$21)="No control",SUMIF(('Loading-rail'!$B$31:$B$48),$J933,('Loading-rail'!$D$31:$D$48))*Impacts!$F$15,IF(('Loading-rail'!$C$21)&lt;&gt;"No control",SUMIF(('Loading-rail'!$B$31:$B$48),$J933,('Loading-rail'!$E$31:$E$48))*Impacts!$F$15,0)),0)</f>
        <v>0</v>
      </c>
      <c r="T933" s="10">
        <f>IF(Flare!$C$7="",0,(SUMIF(Flare!$B$46:$B$185,$J933,Flare!$E$46:$E$185)*Impacts!$F$16))</f>
        <v>0</v>
      </c>
      <c r="U933" s="10">
        <f>IF(VCU!$C$9="",0,(SUMIF(VCU!$B$51:$B$193,$J933,VCU!$E$51:$E$193)*Impacts!$F$17))</f>
        <v>0</v>
      </c>
      <c r="V933" s="10">
        <f>IF(CAS!$C$7="",0,(SUMIF(CAS!$B$31:$B$167,$J933,CAS!$E$31:$E$167)*Impacts!$F$18))</f>
        <v>0</v>
      </c>
      <c r="W933" s="10">
        <f t="shared" si="56"/>
        <v>0</v>
      </c>
      <c r="AK933" s="10" t="str">
        <f t="array" ref="AK933">IFERROR(INDEX(SelectedSpecies,SMALL(IF(SelectedSpecies=AK$1,ROW(SelectedSpecies)),ROW(934:934)),2),"")</f>
        <v/>
      </c>
      <c r="BE933" s="10"/>
      <c r="BI933" s="10"/>
    </row>
    <row r="934" spans="1:61" ht="21" customHeight="1" x14ac:dyDescent="0.25">
      <c r="A934" s="10"/>
      <c r="B934" s="10"/>
      <c r="E934" s="10"/>
      <c r="G934" s="10"/>
      <c r="I934" s="436" t="s">
        <v>5772</v>
      </c>
      <c r="J934" s="26" t="s">
        <v>5771</v>
      </c>
      <c r="K934" s="10">
        <v>1</v>
      </c>
      <c r="L934" s="73">
        <f>IF(Tank1!$C$23="No control",(SUMIF(Tank1!$B$32:$B$49,$J934,Tank1!$C$32:$C$49)*Impacts!$F$8),0)</f>
        <v>0</v>
      </c>
      <c r="M934" s="10">
        <f>IF(Tank2!$C$23="No control",(SUMIF(Tank2!$B$32:$B$49,$J934,Tank2!$C$32:$C$49)*Impacts!$F$9),0)</f>
        <v>0</v>
      </c>
      <c r="N934" s="10">
        <f>IF(Tank3!$C$23="No control",(SUMIF(Tank3!$B$32:$B$49,$J934,Tank3!$C$32:$C$49)*Impacts!$F$10),0)</f>
        <v>0</v>
      </c>
      <c r="O934" s="10">
        <f>IF(Tank4!$C$23="No control",(SUMIF(Tank4!$B$32:$B$49,$J934,Tank4!$C$32:$C$49)*Impacts!$F$11),0)</f>
        <v>0</v>
      </c>
      <c r="P934" s="10">
        <f>IF(Tank5!$C$23="No control",(SUMIF(Tank5!$B$32:$B$49,$J934,Tank5!$C$32:$C$49)*Impacts!$F$12),0)</f>
        <v>0</v>
      </c>
      <c r="Q934" s="10">
        <f>IFERROR(IF(('Loading-drum,tote'!$C$21)="No control",SUMIF(('Loading-drum,tote'!$B$31:$B$48),$J934,('Loading-drum,tote'!$D$31:$D$48))*Impacts!$F$13,IF(('Loading-drum,tote'!$C$21)&lt;&gt;"No control",SUMIF(('Loading-drum,tote'!$B$31:$B$48),$J934,('Loading-drum,tote'!$E$31:$E$48))*Impacts!$F$13,0)),0)</f>
        <v>0</v>
      </c>
      <c r="R934" s="10">
        <f>IFERROR(IF(('Loading-truck'!$C$21)="No control",SUMIF(('Loading-truck'!$B$31:$B$48),$J934,('Loading-truck'!$D$31:$D$48))*Impacts!$F$14,IF(('Loading-truck'!$C$21)&lt;&gt;"No control",SUMIF(('Loading-truck'!$B$31:$B$48),$J934,('Loading-truck'!$E$31:$E$48))*Impacts!$F$14,0)),0)</f>
        <v>0</v>
      </c>
      <c r="S934" s="10">
        <f>IFERROR(IF(('Loading-rail'!$C$21)="No control",SUMIF(('Loading-rail'!$B$31:$B$48),$J934,('Loading-rail'!$D$31:$D$48))*Impacts!$F$15,IF(('Loading-rail'!$C$21)&lt;&gt;"No control",SUMIF(('Loading-rail'!$B$31:$B$48),$J934,('Loading-rail'!$E$31:$E$48))*Impacts!$F$15,0)),0)</f>
        <v>0</v>
      </c>
      <c r="T934" s="10">
        <f>IF(Flare!$C$7="",0,(SUMIF(Flare!$B$46:$B$185,$J934,Flare!$E$46:$E$185)*Impacts!$F$16))</f>
        <v>0</v>
      </c>
      <c r="U934" s="10">
        <f>IF(VCU!$C$9="",0,(SUMIF(VCU!$B$51:$B$193,$J934,VCU!$E$51:$E$193)*Impacts!$F$17))</f>
        <v>0</v>
      </c>
      <c r="V934" s="10">
        <f>IF(CAS!$C$7="",0,(SUMIF(CAS!$B$31:$B$167,$J934,CAS!$E$31:$E$167)*Impacts!$F$18))</f>
        <v>0</v>
      </c>
      <c r="W934" s="10">
        <f t="shared" si="56"/>
        <v>0</v>
      </c>
      <c r="AK934" s="10" t="str">
        <f t="array" ref="AK934">IFERROR(INDEX(SelectedSpecies,SMALL(IF(SelectedSpecies=AK$1,ROW(SelectedSpecies)),ROW(935:935)),2),"")</f>
        <v/>
      </c>
      <c r="BE934" s="10"/>
      <c r="BI934" s="10"/>
    </row>
    <row r="935" spans="1:61" ht="21" customHeight="1" x14ac:dyDescent="0.25">
      <c r="A935" s="10"/>
      <c r="B935" s="10"/>
      <c r="E935" s="10"/>
      <c r="G935" s="10"/>
      <c r="I935" s="436" t="s">
        <v>4365</v>
      </c>
      <c r="J935" s="26" t="s">
        <v>4364</v>
      </c>
      <c r="K935" s="10">
        <v>4.8000000000000007</v>
      </c>
      <c r="L935" s="73">
        <f>IF(Tank1!$C$23="No control",(SUMIF(Tank1!$B$32:$B$49,$J935,Tank1!$C$32:$C$49)*Impacts!$F$8),0)</f>
        <v>0</v>
      </c>
      <c r="M935" s="10">
        <f>IF(Tank2!$C$23="No control",(SUMIF(Tank2!$B$32:$B$49,$J935,Tank2!$C$32:$C$49)*Impacts!$F$9),0)</f>
        <v>0</v>
      </c>
      <c r="N935" s="10">
        <f>IF(Tank3!$C$23="No control",(SUMIF(Tank3!$B$32:$B$49,$J935,Tank3!$C$32:$C$49)*Impacts!$F$10),0)</f>
        <v>0</v>
      </c>
      <c r="O935" s="10">
        <f>IF(Tank4!$C$23="No control",(SUMIF(Tank4!$B$32:$B$49,$J935,Tank4!$C$32:$C$49)*Impacts!$F$11),0)</f>
        <v>0</v>
      </c>
      <c r="P935" s="10">
        <f>IF(Tank5!$C$23="No control",(SUMIF(Tank5!$B$32:$B$49,$J935,Tank5!$C$32:$C$49)*Impacts!$F$12),0)</f>
        <v>0</v>
      </c>
      <c r="Q935" s="10">
        <f>IFERROR(IF(('Loading-drum,tote'!$C$21)="No control",SUMIF(('Loading-drum,tote'!$B$31:$B$48),$J935,('Loading-drum,tote'!$D$31:$D$48))*Impacts!$F$13,IF(('Loading-drum,tote'!$C$21)&lt;&gt;"No control",SUMIF(('Loading-drum,tote'!$B$31:$B$48),$J935,('Loading-drum,tote'!$E$31:$E$48))*Impacts!$F$13,0)),0)</f>
        <v>0</v>
      </c>
      <c r="R935" s="10">
        <f>IFERROR(IF(('Loading-truck'!$C$21)="No control",SUMIF(('Loading-truck'!$B$31:$B$48),$J935,('Loading-truck'!$D$31:$D$48))*Impacts!$F$14,IF(('Loading-truck'!$C$21)&lt;&gt;"No control",SUMIF(('Loading-truck'!$B$31:$B$48),$J935,('Loading-truck'!$E$31:$E$48))*Impacts!$F$14,0)),0)</f>
        <v>0</v>
      </c>
      <c r="S935" s="10">
        <f>IFERROR(IF(('Loading-rail'!$C$21)="No control",SUMIF(('Loading-rail'!$B$31:$B$48),$J935,('Loading-rail'!$D$31:$D$48))*Impacts!$F$15,IF(('Loading-rail'!$C$21)&lt;&gt;"No control",SUMIF(('Loading-rail'!$B$31:$B$48),$J935,('Loading-rail'!$E$31:$E$48))*Impacts!$F$15,0)),0)</f>
        <v>0</v>
      </c>
      <c r="T935" s="10">
        <f>IF(Flare!$C$7="",0,(SUMIF(Flare!$B$46:$B$185,$J935,Flare!$E$46:$E$185)*Impacts!$F$16))</f>
        <v>0</v>
      </c>
      <c r="U935" s="10">
        <f>IF(VCU!$C$9="",0,(SUMIF(VCU!$B$51:$B$193,$J935,VCU!$E$51:$E$193)*Impacts!$F$17))</f>
        <v>0</v>
      </c>
      <c r="V935" s="10">
        <f>IF(CAS!$C$7="",0,(SUMIF(CAS!$B$31:$B$167,$J935,CAS!$E$31:$E$167)*Impacts!$F$18))</f>
        <v>0</v>
      </c>
      <c r="W935" s="10">
        <f t="shared" si="56"/>
        <v>0</v>
      </c>
      <c r="AK935" s="10" t="str">
        <f t="array" ref="AK935">IFERROR(INDEX(SelectedSpecies,SMALL(IF(SelectedSpecies=AK$1,ROW(SelectedSpecies)),ROW(936:936)),2),"")</f>
        <v/>
      </c>
      <c r="BE935" s="10"/>
      <c r="BI935" s="10"/>
    </row>
    <row r="936" spans="1:61" ht="21" customHeight="1" x14ac:dyDescent="0.25">
      <c r="A936" s="10"/>
      <c r="B936" s="10"/>
      <c r="E936" s="10"/>
      <c r="G936" s="10"/>
      <c r="I936" s="436" t="s">
        <v>8134</v>
      </c>
      <c r="J936" s="26" t="s">
        <v>8133</v>
      </c>
      <c r="K936" s="10">
        <v>1.0000000000000002E-2</v>
      </c>
      <c r="L936" s="73">
        <f>IF(Tank1!$C$23="No control",(SUMIF(Tank1!$B$32:$B$49,$J936,Tank1!$C$32:$C$49)*Impacts!$F$8),0)</f>
        <v>0</v>
      </c>
      <c r="M936" s="10">
        <f>IF(Tank2!$C$23="No control",(SUMIF(Tank2!$B$32:$B$49,$J936,Tank2!$C$32:$C$49)*Impacts!$F$9),0)</f>
        <v>0</v>
      </c>
      <c r="N936" s="10">
        <f>IF(Tank3!$C$23="No control",(SUMIF(Tank3!$B$32:$B$49,$J936,Tank3!$C$32:$C$49)*Impacts!$F$10),0)</f>
        <v>0</v>
      </c>
      <c r="O936" s="10">
        <f>IF(Tank4!$C$23="No control",(SUMIF(Tank4!$B$32:$B$49,$J936,Tank4!$C$32:$C$49)*Impacts!$F$11),0)</f>
        <v>0</v>
      </c>
      <c r="P936" s="10">
        <f>IF(Tank5!$C$23="No control",(SUMIF(Tank5!$B$32:$B$49,$J936,Tank5!$C$32:$C$49)*Impacts!$F$12),0)</f>
        <v>0</v>
      </c>
      <c r="Q936" s="10">
        <f>IFERROR(IF(('Loading-drum,tote'!$C$21)="No control",SUMIF(('Loading-drum,tote'!$B$31:$B$48),$J936,('Loading-drum,tote'!$D$31:$D$48))*Impacts!$F$13,IF(('Loading-drum,tote'!$C$21)&lt;&gt;"No control",SUMIF(('Loading-drum,tote'!$B$31:$B$48),$J936,('Loading-drum,tote'!$E$31:$E$48))*Impacts!$F$13,0)),0)</f>
        <v>0</v>
      </c>
      <c r="R936" s="10">
        <f>IFERROR(IF(('Loading-truck'!$C$21)="No control",SUMIF(('Loading-truck'!$B$31:$B$48),$J936,('Loading-truck'!$D$31:$D$48))*Impacts!$F$14,IF(('Loading-truck'!$C$21)&lt;&gt;"No control",SUMIF(('Loading-truck'!$B$31:$B$48),$J936,('Loading-truck'!$E$31:$E$48))*Impacts!$F$14,0)),0)</f>
        <v>0</v>
      </c>
      <c r="S936" s="10">
        <f>IFERROR(IF(('Loading-rail'!$C$21)="No control",SUMIF(('Loading-rail'!$B$31:$B$48),$J936,('Loading-rail'!$D$31:$D$48))*Impacts!$F$15,IF(('Loading-rail'!$C$21)&lt;&gt;"No control",SUMIF(('Loading-rail'!$B$31:$B$48),$J936,('Loading-rail'!$E$31:$E$48))*Impacts!$F$15,0)),0)</f>
        <v>0</v>
      </c>
      <c r="T936" s="10">
        <f>IF(Flare!$C$7="",0,(SUMIF(Flare!$B$46:$B$185,$J936,Flare!$E$46:$E$185)*Impacts!$F$16))</f>
        <v>0</v>
      </c>
      <c r="U936" s="10">
        <f>IF(VCU!$C$9="",0,(SUMIF(VCU!$B$51:$B$193,$J936,VCU!$E$51:$E$193)*Impacts!$F$17))</f>
        <v>0</v>
      </c>
      <c r="V936" s="10">
        <f>IF(CAS!$C$7="",0,(SUMIF(CAS!$B$31:$B$167,$J936,CAS!$E$31:$E$167)*Impacts!$F$18))</f>
        <v>0</v>
      </c>
      <c r="W936" s="10">
        <f t="shared" si="56"/>
        <v>0</v>
      </c>
      <c r="AK936" s="10" t="str">
        <f t="array" ref="AK936">IFERROR(INDEX(SelectedSpecies,SMALL(IF(SelectedSpecies=AK$1,ROW(SelectedSpecies)),ROW(937:937)),2),"")</f>
        <v/>
      </c>
      <c r="BE936" s="10"/>
      <c r="BI936" s="10"/>
    </row>
    <row r="937" spans="1:61" ht="21" customHeight="1" x14ac:dyDescent="0.25">
      <c r="A937" s="10"/>
      <c r="B937" s="10"/>
      <c r="E937" s="10"/>
      <c r="G937" s="10"/>
      <c r="I937" s="436" t="s">
        <v>6302</v>
      </c>
      <c r="J937" s="26" t="s">
        <v>6301</v>
      </c>
      <c r="K937" s="10">
        <v>0.9</v>
      </c>
      <c r="L937" s="73">
        <f>IF(Tank1!$C$23="No control",(SUMIF(Tank1!$B$32:$B$49,$J937,Tank1!$C$32:$C$49)*Impacts!$F$8),0)</f>
        <v>0</v>
      </c>
      <c r="M937" s="10">
        <f>IF(Tank2!$C$23="No control",(SUMIF(Tank2!$B$32:$B$49,$J937,Tank2!$C$32:$C$49)*Impacts!$F$9),0)</f>
        <v>0</v>
      </c>
      <c r="N937" s="10">
        <f>IF(Tank3!$C$23="No control",(SUMIF(Tank3!$B$32:$B$49,$J937,Tank3!$C$32:$C$49)*Impacts!$F$10),0)</f>
        <v>0</v>
      </c>
      <c r="O937" s="10">
        <f>IF(Tank4!$C$23="No control",(SUMIF(Tank4!$B$32:$B$49,$J937,Tank4!$C$32:$C$49)*Impacts!$F$11),0)</f>
        <v>0</v>
      </c>
      <c r="P937" s="10">
        <f>IF(Tank5!$C$23="No control",(SUMIF(Tank5!$B$32:$B$49,$J937,Tank5!$C$32:$C$49)*Impacts!$F$12),0)</f>
        <v>0</v>
      </c>
      <c r="Q937" s="10">
        <f>IFERROR(IF(('Loading-drum,tote'!$C$21)="No control",SUMIF(('Loading-drum,tote'!$B$31:$B$48),$J937,('Loading-drum,tote'!$D$31:$D$48))*Impacts!$F$13,IF(('Loading-drum,tote'!$C$21)&lt;&gt;"No control",SUMIF(('Loading-drum,tote'!$B$31:$B$48),$J937,('Loading-drum,tote'!$E$31:$E$48))*Impacts!$F$13,0)),0)</f>
        <v>0</v>
      </c>
      <c r="R937" s="10">
        <f>IFERROR(IF(('Loading-truck'!$C$21)="No control",SUMIF(('Loading-truck'!$B$31:$B$48),$J937,('Loading-truck'!$D$31:$D$48))*Impacts!$F$14,IF(('Loading-truck'!$C$21)&lt;&gt;"No control",SUMIF(('Loading-truck'!$B$31:$B$48),$J937,('Loading-truck'!$E$31:$E$48))*Impacts!$F$14,0)),0)</f>
        <v>0</v>
      </c>
      <c r="S937" s="10">
        <f>IFERROR(IF(('Loading-rail'!$C$21)="No control",SUMIF(('Loading-rail'!$B$31:$B$48),$J937,('Loading-rail'!$D$31:$D$48))*Impacts!$F$15,IF(('Loading-rail'!$C$21)&lt;&gt;"No control",SUMIF(('Loading-rail'!$B$31:$B$48),$J937,('Loading-rail'!$E$31:$E$48))*Impacts!$F$15,0)),0)</f>
        <v>0</v>
      </c>
      <c r="T937" s="10">
        <f>IF(Flare!$C$7="",0,(SUMIF(Flare!$B$46:$B$185,$J937,Flare!$E$46:$E$185)*Impacts!$F$16))</f>
        <v>0</v>
      </c>
      <c r="U937" s="10">
        <f>IF(VCU!$C$9="",0,(SUMIF(VCU!$B$51:$B$193,$J937,VCU!$E$51:$E$193)*Impacts!$F$17))</f>
        <v>0</v>
      </c>
      <c r="V937" s="10">
        <f>IF(CAS!$C$7="",0,(SUMIF(CAS!$B$31:$B$167,$J937,CAS!$E$31:$E$167)*Impacts!$F$18))</f>
        <v>0</v>
      </c>
      <c r="W937" s="10">
        <f t="shared" si="56"/>
        <v>0</v>
      </c>
      <c r="AK937" s="10" t="str">
        <f t="array" ref="AK937">IFERROR(INDEX(SelectedSpecies,SMALL(IF(SelectedSpecies=AK$1,ROW(SelectedSpecies)),ROW(938:938)),2),"")</f>
        <v/>
      </c>
      <c r="BE937" s="10"/>
      <c r="BI937" s="10"/>
    </row>
    <row r="938" spans="1:61" ht="21" customHeight="1" x14ac:dyDescent="0.25">
      <c r="A938" s="10"/>
      <c r="B938" s="10"/>
      <c r="E938" s="10"/>
      <c r="G938" s="10"/>
      <c r="I938" s="436" t="s">
        <v>5774</v>
      </c>
      <c r="J938" s="26" t="s">
        <v>5773</v>
      </c>
      <c r="K938" s="10">
        <v>1</v>
      </c>
      <c r="L938" s="73">
        <f>IF(Tank1!$C$23="No control",(SUMIF(Tank1!$B$32:$B$49,$J938,Tank1!$C$32:$C$49)*Impacts!$F$8),0)</f>
        <v>0</v>
      </c>
      <c r="M938" s="10">
        <f>IF(Tank2!$C$23="No control",(SUMIF(Tank2!$B$32:$B$49,$J938,Tank2!$C$32:$C$49)*Impacts!$F$9),0)</f>
        <v>0</v>
      </c>
      <c r="N938" s="10">
        <f>IF(Tank3!$C$23="No control",(SUMIF(Tank3!$B$32:$B$49,$J938,Tank3!$C$32:$C$49)*Impacts!$F$10),0)</f>
        <v>0</v>
      </c>
      <c r="O938" s="10">
        <f>IF(Tank4!$C$23="No control",(SUMIF(Tank4!$B$32:$B$49,$J938,Tank4!$C$32:$C$49)*Impacts!$F$11),0)</f>
        <v>0</v>
      </c>
      <c r="P938" s="10">
        <f>IF(Tank5!$C$23="No control",(SUMIF(Tank5!$B$32:$B$49,$J938,Tank5!$C$32:$C$49)*Impacts!$F$12),0)</f>
        <v>0</v>
      </c>
      <c r="Q938" s="10">
        <f>IFERROR(IF(('Loading-drum,tote'!$C$21)="No control",SUMIF(('Loading-drum,tote'!$B$31:$B$48),$J938,('Loading-drum,tote'!$D$31:$D$48))*Impacts!$F$13,IF(('Loading-drum,tote'!$C$21)&lt;&gt;"No control",SUMIF(('Loading-drum,tote'!$B$31:$B$48),$J938,('Loading-drum,tote'!$E$31:$E$48))*Impacts!$F$13,0)),0)</f>
        <v>0</v>
      </c>
      <c r="R938" s="10">
        <f>IFERROR(IF(('Loading-truck'!$C$21)="No control",SUMIF(('Loading-truck'!$B$31:$B$48),$J938,('Loading-truck'!$D$31:$D$48))*Impacts!$F$14,IF(('Loading-truck'!$C$21)&lt;&gt;"No control",SUMIF(('Loading-truck'!$B$31:$B$48),$J938,('Loading-truck'!$E$31:$E$48))*Impacts!$F$14,0)),0)</f>
        <v>0</v>
      </c>
      <c r="S938" s="10">
        <f>IFERROR(IF(('Loading-rail'!$C$21)="No control",SUMIF(('Loading-rail'!$B$31:$B$48),$J938,('Loading-rail'!$D$31:$D$48))*Impacts!$F$15,IF(('Loading-rail'!$C$21)&lt;&gt;"No control",SUMIF(('Loading-rail'!$B$31:$B$48),$J938,('Loading-rail'!$E$31:$E$48))*Impacts!$F$15,0)),0)</f>
        <v>0</v>
      </c>
      <c r="T938" s="10">
        <f>IF(Flare!$C$7="",0,(SUMIF(Flare!$B$46:$B$185,$J938,Flare!$E$46:$E$185)*Impacts!$F$16))</f>
        <v>0</v>
      </c>
      <c r="U938" s="10">
        <f>IF(VCU!$C$9="",0,(SUMIF(VCU!$B$51:$B$193,$J938,VCU!$E$51:$E$193)*Impacts!$F$17))</f>
        <v>0</v>
      </c>
      <c r="V938" s="10">
        <f>IF(CAS!$C$7="",0,(SUMIF(CAS!$B$31:$B$167,$J938,CAS!$E$31:$E$167)*Impacts!$F$18))</f>
        <v>0</v>
      </c>
      <c r="W938" s="10">
        <f t="shared" si="56"/>
        <v>0</v>
      </c>
      <c r="AK938" s="10" t="str">
        <f t="array" ref="AK938">IFERROR(INDEX(SelectedSpecies,SMALL(IF(SelectedSpecies=AK$1,ROW(SelectedSpecies)),ROW(939:939)),2),"")</f>
        <v/>
      </c>
      <c r="BE938" s="10"/>
      <c r="BI938" s="10"/>
    </row>
    <row r="939" spans="1:61" ht="21" customHeight="1" x14ac:dyDescent="0.25">
      <c r="A939" s="10"/>
      <c r="B939" s="10"/>
      <c r="E939" s="10"/>
      <c r="G939" s="10"/>
      <c r="I939" s="436" t="s">
        <v>389</v>
      </c>
      <c r="J939" s="26" t="s">
        <v>388</v>
      </c>
      <c r="K939" s="10">
        <v>270</v>
      </c>
      <c r="L939" s="73">
        <f>IF(Tank1!$C$23="No control",(SUMIF(Tank1!$B$32:$B$49,$J939,Tank1!$C$32:$C$49)*Impacts!$F$8),0)</f>
        <v>0</v>
      </c>
      <c r="M939" s="10">
        <f>IF(Tank2!$C$23="No control",(SUMIF(Tank2!$B$32:$B$49,$J939,Tank2!$C$32:$C$49)*Impacts!$F$9),0)</f>
        <v>0</v>
      </c>
      <c r="N939" s="10">
        <f>IF(Tank3!$C$23="No control",(SUMIF(Tank3!$B$32:$B$49,$J939,Tank3!$C$32:$C$49)*Impacts!$F$10),0)</f>
        <v>0</v>
      </c>
      <c r="O939" s="10">
        <f>IF(Tank4!$C$23="No control",(SUMIF(Tank4!$B$32:$B$49,$J939,Tank4!$C$32:$C$49)*Impacts!$F$11),0)</f>
        <v>0</v>
      </c>
      <c r="P939" s="10">
        <f>IF(Tank5!$C$23="No control",(SUMIF(Tank5!$B$32:$B$49,$J939,Tank5!$C$32:$C$49)*Impacts!$F$12),0)</f>
        <v>0</v>
      </c>
      <c r="Q939" s="10">
        <f>IFERROR(IF(('Loading-drum,tote'!$C$21)="No control",SUMIF(('Loading-drum,tote'!$B$31:$B$48),$J939,('Loading-drum,tote'!$D$31:$D$48))*Impacts!$F$13,IF(('Loading-drum,tote'!$C$21)&lt;&gt;"No control",SUMIF(('Loading-drum,tote'!$B$31:$B$48),$J939,('Loading-drum,tote'!$E$31:$E$48))*Impacts!$F$13,0)),0)</f>
        <v>0</v>
      </c>
      <c r="R939" s="10">
        <f>IFERROR(IF(('Loading-truck'!$C$21)="No control",SUMIF(('Loading-truck'!$B$31:$B$48),$J939,('Loading-truck'!$D$31:$D$48))*Impacts!$F$14,IF(('Loading-truck'!$C$21)&lt;&gt;"No control",SUMIF(('Loading-truck'!$B$31:$B$48),$J939,('Loading-truck'!$E$31:$E$48))*Impacts!$F$14,0)),0)</f>
        <v>0</v>
      </c>
      <c r="S939" s="10">
        <f>IFERROR(IF(('Loading-rail'!$C$21)="No control",SUMIF(('Loading-rail'!$B$31:$B$48),$J939,('Loading-rail'!$D$31:$D$48))*Impacts!$F$15,IF(('Loading-rail'!$C$21)&lt;&gt;"No control",SUMIF(('Loading-rail'!$B$31:$B$48),$J939,('Loading-rail'!$E$31:$E$48))*Impacts!$F$15,0)),0)</f>
        <v>0</v>
      </c>
      <c r="T939" s="10">
        <f>IF(Flare!$C$7="",0,(SUMIF(Flare!$B$46:$B$185,$J939,Flare!$E$46:$E$185)*Impacts!$F$16))</f>
        <v>0</v>
      </c>
      <c r="U939" s="10">
        <f>IF(VCU!$C$9="",0,(SUMIF(VCU!$B$51:$B$193,$J939,VCU!$E$51:$E$193)*Impacts!$F$17))</f>
        <v>0</v>
      </c>
      <c r="V939" s="10">
        <f>IF(CAS!$C$7="",0,(SUMIF(CAS!$B$31:$B$167,$J939,CAS!$E$31:$E$167)*Impacts!$F$18))</f>
        <v>0</v>
      </c>
      <c r="W939" s="10">
        <f t="shared" si="56"/>
        <v>0</v>
      </c>
      <c r="AK939" s="10" t="str">
        <f t="array" ref="AK939">IFERROR(INDEX(SelectedSpecies,SMALL(IF(SelectedSpecies=AK$1,ROW(SelectedSpecies)),ROW(940:940)),2),"")</f>
        <v/>
      </c>
      <c r="BE939" s="10"/>
      <c r="BI939" s="10"/>
    </row>
    <row r="940" spans="1:61" ht="21" customHeight="1" x14ac:dyDescent="0.25">
      <c r="A940" s="10"/>
      <c r="B940" s="10"/>
      <c r="E940" s="10"/>
      <c r="G940" s="10"/>
      <c r="I940" s="436" t="s">
        <v>5135</v>
      </c>
      <c r="J940" s="26" t="s">
        <v>5134</v>
      </c>
      <c r="K940" s="10">
        <v>2</v>
      </c>
      <c r="L940" s="73">
        <f>IF(Tank1!$C$23="No control",(SUMIF(Tank1!$B$32:$B$49,$J940,Tank1!$C$32:$C$49)*Impacts!$F$8),0)</f>
        <v>0</v>
      </c>
      <c r="M940" s="10">
        <f>IF(Tank2!$C$23="No control",(SUMIF(Tank2!$B$32:$B$49,$J940,Tank2!$C$32:$C$49)*Impacts!$F$9),0)</f>
        <v>0</v>
      </c>
      <c r="N940" s="10">
        <f>IF(Tank3!$C$23="No control",(SUMIF(Tank3!$B$32:$B$49,$J940,Tank3!$C$32:$C$49)*Impacts!$F$10),0)</f>
        <v>0</v>
      </c>
      <c r="O940" s="10">
        <f>IF(Tank4!$C$23="No control",(SUMIF(Tank4!$B$32:$B$49,$J940,Tank4!$C$32:$C$49)*Impacts!$F$11),0)</f>
        <v>0</v>
      </c>
      <c r="P940" s="10">
        <f>IF(Tank5!$C$23="No control",(SUMIF(Tank5!$B$32:$B$49,$J940,Tank5!$C$32:$C$49)*Impacts!$F$12),0)</f>
        <v>0</v>
      </c>
      <c r="Q940" s="10">
        <f>IFERROR(IF(('Loading-drum,tote'!$C$21)="No control",SUMIF(('Loading-drum,tote'!$B$31:$B$48),$J940,('Loading-drum,tote'!$D$31:$D$48))*Impacts!$F$13,IF(('Loading-drum,tote'!$C$21)&lt;&gt;"No control",SUMIF(('Loading-drum,tote'!$B$31:$B$48),$J940,('Loading-drum,tote'!$E$31:$E$48))*Impacts!$F$13,0)),0)</f>
        <v>0</v>
      </c>
      <c r="R940" s="10">
        <f>IFERROR(IF(('Loading-truck'!$C$21)="No control",SUMIF(('Loading-truck'!$B$31:$B$48),$J940,('Loading-truck'!$D$31:$D$48))*Impacts!$F$14,IF(('Loading-truck'!$C$21)&lt;&gt;"No control",SUMIF(('Loading-truck'!$B$31:$B$48),$J940,('Loading-truck'!$E$31:$E$48))*Impacts!$F$14,0)),0)</f>
        <v>0</v>
      </c>
      <c r="S940" s="10">
        <f>IFERROR(IF(('Loading-rail'!$C$21)="No control",SUMIF(('Loading-rail'!$B$31:$B$48),$J940,('Loading-rail'!$D$31:$D$48))*Impacts!$F$15,IF(('Loading-rail'!$C$21)&lt;&gt;"No control",SUMIF(('Loading-rail'!$B$31:$B$48),$J940,('Loading-rail'!$E$31:$E$48))*Impacts!$F$15,0)),0)</f>
        <v>0</v>
      </c>
      <c r="T940" s="10">
        <f>IF(Flare!$C$7="",0,(SUMIF(Flare!$B$46:$B$185,$J940,Flare!$E$46:$E$185)*Impacts!$F$16))</f>
        <v>0</v>
      </c>
      <c r="U940" s="10">
        <f>IF(VCU!$C$9="",0,(SUMIF(VCU!$B$51:$B$193,$J940,VCU!$E$51:$E$193)*Impacts!$F$17))</f>
        <v>0</v>
      </c>
      <c r="V940" s="10">
        <f>IF(CAS!$C$7="",0,(SUMIF(CAS!$B$31:$B$167,$J940,CAS!$E$31:$E$167)*Impacts!$F$18))</f>
        <v>0</v>
      </c>
      <c r="W940" s="10">
        <f t="shared" si="56"/>
        <v>0</v>
      </c>
      <c r="AK940" s="10" t="str">
        <f t="array" ref="AK940">IFERROR(INDEX(SelectedSpecies,SMALL(IF(SelectedSpecies=AK$1,ROW(SelectedSpecies)),ROW(941:941)),2),"")</f>
        <v/>
      </c>
      <c r="BE940" s="10"/>
      <c r="BI940" s="10"/>
    </row>
    <row r="941" spans="1:61" ht="21" customHeight="1" x14ac:dyDescent="0.25">
      <c r="A941" s="10"/>
      <c r="B941" s="10"/>
      <c r="E941" s="10"/>
      <c r="G941" s="10"/>
      <c r="I941" s="436" t="s">
        <v>606</v>
      </c>
      <c r="J941" s="26" t="s">
        <v>605</v>
      </c>
      <c r="K941" s="10">
        <v>80</v>
      </c>
      <c r="L941" s="73">
        <f>IF(Tank1!$C$23="No control",(SUMIF(Tank1!$B$32:$B$49,$J941,Tank1!$C$32:$C$49)*Impacts!$F$8),0)</f>
        <v>0</v>
      </c>
      <c r="M941" s="10">
        <f>IF(Tank2!$C$23="No control",(SUMIF(Tank2!$B$32:$B$49,$J941,Tank2!$C$32:$C$49)*Impacts!$F$9),0)</f>
        <v>0</v>
      </c>
      <c r="N941" s="10">
        <f>IF(Tank3!$C$23="No control",(SUMIF(Tank3!$B$32:$B$49,$J941,Tank3!$C$32:$C$49)*Impacts!$F$10),0)</f>
        <v>0</v>
      </c>
      <c r="O941" s="10">
        <f>IF(Tank4!$C$23="No control",(SUMIF(Tank4!$B$32:$B$49,$J941,Tank4!$C$32:$C$49)*Impacts!$F$11),0)</f>
        <v>0</v>
      </c>
      <c r="P941" s="10">
        <f>IF(Tank5!$C$23="No control",(SUMIF(Tank5!$B$32:$B$49,$J941,Tank5!$C$32:$C$49)*Impacts!$F$12),0)</f>
        <v>0</v>
      </c>
      <c r="Q941" s="10">
        <f>IFERROR(IF(('Loading-drum,tote'!$C$21)="No control",SUMIF(('Loading-drum,tote'!$B$31:$B$48),$J941,('Loading-drum,tote'!$D$31:$D$48))*Impacts!$F$13,IF(('Loading-drum,tote'!$C$21)&lt;&gt;"No control",SUMIF(('Loading-drum,tote'!$B$31:$B$48),$J941,('Loading-drum,tote'!$E$31:$E$48))*Impacts!$F$13,0)),0)</f>
        <v>0</v>
      </c>
      <c r="R941" s="10">
        <f>IFERROR(IF(('Loading-truck'!$C$21)="No control",SUMIF(('Loading-truck'!$B$31:$B$48),$J941,('Loading-truck'!$D$31:$D$48))*Impacts!$F$14,IF(('Loading-truck'!$C$21)&lt;&gt;"No control",SUMIF(('Loading-truck'!$B$31:$B$48),$J941,('Loading-truck'!$E$31:$E$48))*Impacts!$F$14,0)),0)</f>
        <v>0</v>
      </c>
      <c r="S941" s="10">
        <f>IFERROR(IF(('Loading-rail'!$C$21)="No control",SUMIF(('Loading-rail'!$B$31:$B$48),$J941,('Loading-rail'!$D$31:$D$48))*Impacts!$F$15,IF(('Loading-rail'!$C$21)&lt;&gt;"No control",SUMIF(('Loading-rail'!$B$31:$B$48),$J941,('Loading-rail'!$E$31:$E$48))*Impacts!$F$15,0)),0)</f>
        <v>0</v>
      </c>
      <c r="T941" s="10">
        <f>IF(Flare!$C$7="",0,(SUMIF(Flare!$B$46:$B$185,$J941,Flare!$E$46:$E$185)*Impacts!$F$16))</f>
        <v>0</v>
      </c>
      <c r="U941" s="10">
        <f>IF(VCU!$C$9="",0,(SUMIF(VCU!$B$51:$B$193,$J941,VCU!$E$51:$E$193)*Impacts!$F$17))</f>
        <v>0</v>
      </c>
      <c r="V941" s="10">
        <f>IF(CAS!$C$7="",0,(SUMIF(CAS!$B$31:$B$167,$J941,CAS!$E$31:$E$167)*Impacts!$F$18))</f>
        <v>0</v>
      </c>
      <c r="W941" s="10">
        <f t="shared" si="56"/>
        <v>0</v>
      </c>
      <c r="AK941" s="10" t="str">
        <f t="array" ref="AK941">IFERROR(INDEX(SelectedSpecies,SMALL(IF(SelectedSpecies=AK$1,ROW(SelectedSpecies)),ROW(942:942)),2),"")</f>
        <v/>
      </c>
      <c r="BE941" s="10"/>
      <c r="BI941" s="10"/>
    </row>
    <row r="942" spans="1:61" ht="21" customHeight="1" x14ac:dyDescent="0.25">
      <c r="A942" s="10"/>
      <c r="B942" s="10"/>
      <c r="E942" s="10"/>
      <c r="G942" s="10"/>
      <c r="I942" s="436" t="s">
        <v>2731</v>
      </c>
      <c r="J942" s="26" t="s">
        <v>2730</v>
      </c>
      <c r="K942" s="10">
        <v>10</v>
      </c>
      <c r="L942" s="73">
        <f>IF(Tank1!$C$23="No control",(SUMIF(Tank1!$B$32:$B$49,$J942,Tank1!$C$32:$C$49)*Impacts!$F$8),0)</f>
        <v>0</v>
      </c>
      <c r="M942" s="10">
        <f>IF(Tank2!$C$23="No control",(SUMIF(Tank2!$B$32:$B$49,$J942,Tank2!$C$32:$C$49)*Impacts!$F$9),0)</f>
        <v>0</v>
      </c>
      <c r="N942" s="10">
        <f>IF(Tank3!$C$23="No control",(SUMIF(Tank3!$B$32:$B$49,$J942,Tank3!$C$32:$C$49)*Impacts!$F$10),0)</f>
        <v>0</v>
      </c>
      <c r="O942" s="10">
        <f>IF(Tank4!$C$23="No control",(SUMIF(Tank4!$B$32:$B$49,$J942,Tank4!$C$32:$C$49)*Impacts!$F$11),0)</f>
        <v>0</v>
      </c>
      <c r="P942" s="10">
        <f>IF(Tank5!$C$23="No control",(SUMIF(Tank5!$B$32:$B$49,$J942,Tank5!$C$32:$C$49)*Impacts!$F$12),0)</f>
        <v>0</v>
      </c>
      <c r="Q942" s="10">
        <f>IFERROR(IF(('Loading-drum,tote'!$C$21)="No control",SUMIF(('Loading-drum,tote'!$B$31:$B$48),$J942,('Loading-drum,tote'!$D$31:$D$48))*Impacts!$F$13,IF(('Loading-drum,tote'!$C$21)&lt;&gt;"No control",SUMIF(('Loading-drum,tote'!$B$31:$B$48),$J942,('Loading-drum,tote'!$E$31:$E$48))*Impacts!$F$13,0)),0)</f>
        <v>0</v>
      </c>
      <c r="R942" s="10">
        <f>IFERROR(IF(('Loading-truck'!$C$21)="No control",SUMIF(('Loading-truck'!$B$31:$B$48),$J942,('Loading-truck'!$D$31:$D$48))*Impacts!$F$14,IF(('Loading-truck'!$C$21)&lt;&gt;"No control",SUMIF(('Loading-truck'!$B$31:$B$48),$J942,('Loading-truck'!$E$31:$E$48))*Impacts!$F$14,0)),0)</f>
        <v>0</v>
      </c>
      <c r="S942" s="10">
        <f>IFERROR(IF(('Loading-rail'!$C$21)="No control",SUMIF(('Loading-rail'!$B$31:$B$48),$J942,('Loading-rail'!$D$31:$D$48))*Impacts!$F$15,IF(('Loading-rail'!$C$21)&lt;&gt;"No control",SUMIF(('Loading-rail'!$B$31:$B$48),$J942,('Loading-rail'!$E$31:$E$48))*Impacts!$F$15,0)),0)</f>
        <v>0</v>
      </c>
      <c r="T942" s="10">
        <f>IF(Flare!$C$7="",0,(SUMIF(Flare!$B$46:$B$185,$J942,Flare!$E$46:$E$185)*Impacts!$F$16))</f>
        <v>0</v>
      </c>
      <c r="U942" s="10">
        <f>IF(VCU!$C$9="",0,(SUMIF(VCU!$B$51:$B$193,$J942,VCU!$E$51:$E$193)*Impacts!$F$17))</f>
        <v>0</v>
      </c>
      <c r="V942" s="10">
        <f>IF(CAS!$C$7="",0,(SUMIF(CAS!$B$31:$B$167,$J942,CAS!$E$31:$E$167)*Impacts!$F$18))</f>
        <v>0</v>
      </c>
      <c r="W942" s="10">
        <f t="shared" si="56"/>
        <v>0</v>
      </c>
      <c r="AK942" s="10" t="str">
        <f t="array" ref="AK942">IFERROR(INDEX(SelectedSpecies,SMALL(IF(SelectedSpecies=AK$1,ROW(SelectedSpecies)),ROW(943:943)),2),"")</f>
        <v/>
      </c>
      <c r="BE942" s="10"/>
      <c r="BI942" s="10"/>
    </row>
    <row r="943" spans="1:61" ht="21" customHeight="1" x14ac:dyDescent="0.25">
      <c r="A943" s="10"/>
      <c r="B943" s="10"/>
      <c r="E943" s="10"/>
      <c r="G943" s="10"/>
      <c r="I943" s="436" t="s">
        <v>1446</v>
      </c>
      <c r="J943" s="26" t="s">
        <v>1445</v>
      </c>
      <c r="K943" s="10">
        <v>30</v>
      </c>
      <c r="L943" s="73">
        <f>IF(Tank1!$C$23="No control",(SUMIF(Tank1!$B$32:$B$49,$J943,Tank1!$C$32:$C$49)*Impacts!$F$8),0)</f>
        <v>0</v>
      </c>
      <c r="M943" s="10">
        <f>IF(Tank2!$C$23="No control",(SUMIF(Tank2!$B$32:$B$49,$J943,Tank2!$C$32:$C$49)*Impacts!$F$9),0)</f>
        <v>0</v>
      </c>
      <c r="N943" s="10">
        <f>IF(Tank3!$C$23="No control",(SUMIF(Tank3!$B$32:$B$49,$J943,Tank3!$C$32:$C$49)*Impacts!$F$10),0)</f>
        <v>0</v>
      </c>
      <c r="O943" s="10">
        <f>IF(Tank4!$C$23="No control",(SUMIF(Tank4!$B$32:$B$49,$J943,Tank4!$C$32:$C$49)*Impacts!$F$11),0)</f>
        <v>0</v>
      </c>
      <c r="P943" s="10">
        <f>IF(Tank5!$C$23="No control",(SUMIF(Tank5!$B$32:$B$49,$J943,Tank5!$C$32:$C$49)*Impacts!$F$12),0)</f>
        <v>0</v>
      </c>
      <c r="Q943" s="10">
        <f>IFERROR(IF(('Loading-drum,tote'!$C$21)="No control",SUMIF(('Loading-drum,tote'!$B$31:$B$48),$J943,('Loading-drum,tote'!$D$31:$D$48))*Impacts!$F$13,IF(('Loading-drum,tote'!$C$21)&lt;&gt;"No control",SUMIF(('Loading-drum,tote'!$B$31:$B$48),$J943,('Loading-drum,tote'!$E$31:$E$48))*Impacts!$F$13,0)),0)</f>
        <v>0</v>
      </c>
      <c r="R943" s="10">
        <f>IFERROR(IF(('Loading-truck'!$C$21)="No control",SUMIF(('Loading-truck'!$B$31:$B$48),$J943,('Loading-truck'!$D$31:$D$48))*Impacts!$F$14,IF(('Loading-truck'!$C$21)&lt;&gt;"No control",SUMIF(('Loading-truck'!$B$31:$B$48),$J943,('Loading-truck'!$E$31:$E$48))*Impacts!$F$14,0)),0)</f>
        <v>0</v>
      </c>
      <c r="S943" s="10">
        <f>IFERROR(IF(('Loading-rail'!$C$21)="No control",SUMIF(('Loading-rail'!$B$31:$B$48),$J943,('Loading-rail'!$D$31:$D$48))*Impacts!$F$15,IF(('Loading-rail'!$C$21)&lt;&gt;"No control",SUMIF(('Loading-rail'!$B$31:$B$48),$J943,('Loading-rail'!$E$31:$E$48))*Impacts!$F$15,0)),0)</f>
        <v>0</v>
      </c>
      <c r="T943" s="10">
        <f>IF(Flare!$C$7="",0,(SUMIF(Flare!$B$46:$B$185,$J943,Flare!$E$46:$E$185)*Impacts!$F$16))</f>
        <v>0</v>
      </c>
      <c r="U943" s="10">
        <f>IF(VCU!$C$9="",0,(SUMIF(VCU!$B$51:$B$193,$J943,VCU!$E$51:$E$193)*Impacts!$F$17))</f>
        <v>0</v>
      </c>
      <c r="V943" s="10">
        <f>IF(CAS!$C$7="",0,(SUMIF(CAS!$B$31:$B$167,$J943,CAS!$E$31:$E$167)*Impacts!$F$18))</f>
        <v>0</v>
      </c>
      <c r="W943" s="10">
        <f t="shared" si="56"/>
        <v>0</v>
      </c>
      <c r="AK943" s="10" t="str">
        <f t="array" ref="AK943">IFERROR(INDEX(SelectedSpecies,SMALL(IF(SelectedSpecies=AK$1,ROW(SelectedSpecies)),ROW(944:944)),2),"")</f>
        <v/>
      </c>
      <c r="BE943" s="10"/>
      <c r="BI943" s="10"/>
    </row>
    <row r="944" spans="1:61" ht="21" customHeight="1" x14ac:dyDescent="0.25">
      <c r="A944" s="10"/>
      <c r="B944" s="10"/>
      <c r="E944" s="10"/>
      <c r="G944" s="10"/>
      <c r="I944" s="436" t="s">
        <v>417</v>
      </c>
      <c r="J944" s="26" t="s">
        <v>416</v>
      </c>
      <c r="K944" s="10">
        <v>210</v>
      </c>
      <c r="L944" s="73">
        <f>IF(Tank1!$C$23="No control",(SUMIF(Tank1!$B$32:$B$49,$J944,Tank1!$C$32:$C$49)*Impacts!$F$8),0)</f>
        <v>0</v>
      </c>
      <c r="M944" s="10">
        <f>IF(Tank2!$C$23="No control",(SUMIF(Tank2!$B$32:$B$49,$J944,Tank2!$C$32:$C$49)*Impacts!$F$9),0)</f>
        <v>0</v>
      </c>
      <c r="N944" s="10">
        <f>IF(Tank3!$C$23="No control",(SUMIF(Tank3!$B$32:$B$49,$J944,Tank3!$C$32:$C$49)*Impacts!$F$10),0)</f>
        <v>0</v>
      </c>
      <c r="O944" s="10">
        <f>IF(Tank4!$C$23="No control",(SUMIF(Tank4!$B$32:$B$49,$J944,Tank4!$C$32:$C$49)*Impacts!$F$11),0)</f>
        <v>0</v>
      </c>
      <c r="P944" s="10">
        <f>IF(Tank5!$C$23="No control",(SUMIF(Tank5!$B$32:$B$49,$J944,Tank5!$C$32:$C$49)*Impacts!$F$12),0)</f>
        <v>0</v>
      </c>
      <c r="Q944" s="10">
        <f>IFERROR(IF(('Loading-drum,tote'!$C$21)="No control",SUMIF(('Loading-drum,tote'!$B$31:$B$48),$J944,('Loading-drum,tote'!$D$31:$D$48))*Impacts!$F$13,IF(('Loading-drum,tote'!$C$21)&lt;&gt;"No control",SUMIF(('Loading-drum,tote'!$B$31:$B$48),$J944,('Loading-drum,tote'!$E$31:$E$48))*Impacts!$F$13,0)),0)</f>
        <v>0</v>
      </c>
      <c r="R944" s="10">
        <f>IFERROR(IF(('Loading-truck'!$C$21)="No control",SUMIF(('Loading-truck'!$B$31:$B$48),$J944,('Loading-truck'!$D$31:$D$48))*Impacts!$F$14,IF(('Loading-truck'!$C$21)&lt;&gt;"No control",SUMIF(('Loading-truck'!$B$31:$B$48),$J944,('Loading-truck'!$E$31:$E$48))*Impacts!$F$14,0)),0)</f>
        <v>0</v>
      </c>
      <c r="S944" s="10">
        <f>IFERROR(IF(('Loading-rail'!$C$21)="No control",SUMIF(('Loading-rail'!$B$31:$B$48),$J944,('Loading-rail'!$D$31:$D$48))*Impacts!$F$15,IF(('Loading-rail'!$C$21)&lt;&gt;"No control",SUMIF(('Loading-rail'!$B$31:$B$48),$J944,('Loading-rail'!$E$31:$E$48))*Impacts!$F$15,0)),0)</f>
        <v>0</v>
      </c>
      <c r="T944" s="10">
        <f>IF(Flare!$C$7="",0,(SUMIF(Flare!$B$46:$B$185,$J944,Flare!$E$46:$E$185)*Impacts!$F$16))</f>
        <v>0</v>
      </c>
      <c r="U944" s="10">
        <f>IF(VCU!$C$9="",0,(SUMIF(VCU!$B$51:$B$193,$J944,VCU!$E$51:$E$193)*Impacts!$F$17))</f>
        <v>0</v>
      </c>
      <c r="V944" s="10">
        <f>IF(CAS!$C$7="",0,(SUMIF(CAS!$B$31:$B$167,$J944,CAS!$E$31:$E$167)*Impacts!$F$18))</f>
        <v>0</v>
      </c>
      <c r="W944" s="10">
        <f t="shared" si="56"/>
        <v>0</v>
      </c>
      <c r="AK944" s="10" t="str">
        <f t="array" ref="AK944">IFERROR(INDEX(SelectedSpecies,SMALL(IF(SelectedSpecies=AK$1,ROW(SelectedSpecies)),ROW(945:945)),2),"")</f>
        <v/>
      </c>
      <c r="BE944" s="10"/>
      <c r="BI944" s="10"/>
    </row>
    <row r="945" spans="1:61" ht="21" customHeight="1" x14ac:dyDescent="0.25">
      <c r="A945" s="10"/>
      <c r="B945" s="10"/>
      <c r="E945" s="10"/>
      <c r="G945" s="10"/>
      <c r="I945" s="436" t="s">
        <v>3579</v>
      </c>
      <c r="J945" s="26" t="s">
        <v>3578</v>
      </c>
      <c r="K945" s="10">
        <v>8</v>
      </c>
      <c r="L945" s="73">
        <f>IF(Tank1!$C$23="No control",(SUMIF(Tank1!$B$32:$B$49,$J945,Tank1!$C$32:$C$49)*Impacts!$F$8),0)</f>
        <v>0</v>
      </c>
      <c r="M945" s="10">
        <f>IF(Tank2!$C$23="No control",(SUMIF(Tank2!$B$32:$B$49,$J945,Tank2!$C$32:$C$49)*Impacts!$F$9),0)</f>
        <v>0</v>
      </c>
      <c r="N945" s="10">
        <f>IF(Tank3!$C$23="No control",(SUMIF(Tank3!$B$32:$B$49,$J945,Tank3!$C$32:$C$49)*Impacts!$F$10),0)</f>
        <v>0</v>
      </c>
      <c r="O945" s="10">
        <f>IF(Tank4!$C$23="No control",(SUMIF(Tank4!$B$32:$B$49,$J945,Tank4!$C$32:$C$49)*Impacts!$F$11),0)</f>
        <v>0</v>
      </c>
      <c r="P945" s="10">
        <f>IF(Tank5!$C$23="No control",(SUMIF(Tank5!$B$32:$B$49,$J945,Tank5!$C$32:$C$49)*Impacts!$F$12),0)</f>
        <v>0</v>
      </c>
      <c r="Q945" s="10">
        <f>IFERROR(IF(('Loading-drum,tote'!$C$21)="No control",SUMIF(('Loading-drum,tote'!$B$31:$B$48),$J945,('Loading-drum,tote'!$D$31:$D$48))*Impacts!$F$13,IF(('Loading-drum,tote'!$C$21)&lt;&gt;"No control",SUMIF(('Loading-drum,tote'!$B$31:$B$48),$J945,('Loading-drum,tote'!$E$31:$E$48))*Impacts!$F$13,0)),0)</f>
        <v>0</v>
      </c>
      <c r="R945" s="10">
        <f>IFERROR(IF(('Loading-truck'!$C$21)="No control",SUMIF(('Loading-truck'!$B$31:$B$48),$J945,('Loading-truck'!$D$31:$D$48))*Impacts!$F$14,IF(('Loading-truck'!$C$21)&lt;&gt;"No control",SUMIF(('Loading-truck'!$B$31:$B$48),$J945,('Loading-truck'!$E$31:$E$48))*Impacts!$F$14,0)),0)</f>
        <v>0</v>
      </c>
      <c r="S945" s="10">
        <f>IFERROR(IF(('Loading-rail'!$C$21)="No control",SUMIF(('Loading-rail'!$B$31:$B$48),$J945,('Loading-rail'!$D$31:$D$48))*Impacts!$F$15,IF(('Loading-rail'!$C$21)&lt;&gt;"No control",SUMIF(('Loading-rail'!$B$31:$B$48),$J945,('Loading-rail'!$E$31:$E$48))*Impacts!$F$15,0)),0)</f>
        <v>0</v>
      </c>
      <c r="T945" s="10">
        <f>IF(Flare!$C$7="",0,(SUMIF(Flare!$B$46:$B$185,$J945,Flare!$E$46:$E$185)*Impacts!$F$16))</f>
        <v>0</v>
      </c>
      <c r="U945" s="10">
        <f>IF(VCU!$C$9="",0,(SUMIF(VCU!$B$51:$B$193,$J945,VCU!$E$51:$E$193)*Impacts!$F$17))</f>
        <v>0</v>
      </c>
      <c r="V945" s="10">
        <f>IF(CAS!$C$7="",0,(SUMIF(CAS!$B$31:$B$167,$J945,CAS!$E$31:$E$167)*Impacts!$F$18))</f>
        <v>0</v>
      </c>
      <c r="W945" s="10">
        <f t="shared" si="56"/>
        <v>0</v>
      </c>
      <c r="AK945" s="10" t="str">
        <f t="array" ref="AK945">IFERROR(INDEX(SelectedSpecies,SMALL(IF(SelectedSpecies=AK$1,ROW(SelectedSpecies)),ROW(946:946)),2),"")</f>
        <v/>
      </c>
      <c r="BE945" s="10"/>
      <c r="BI945" s="10"/>
    </row>
    <row r="946" spans="1:61" ht="21" customHeight="1" x14ac:dyDescent="0.25">
      <c r="A946" s="10"/>
      <c r="B946" s="10"/>
      <c r="E946" s="10"/>
      <c r="G946" s="10"/>
      <c r="I946" s="436" t="s">
        <v>2095</v>
      </c>
      <c r="J946" s="26" t="s">
        <v>2094</v>
      </c>
      <c r="K946" s="10">
        <v>15</v>
      </c>
      <c r="L946" s="73">
        <f>IF(Tank1!$C$23="No control",(SUMIF(Tank1!$B$32:$B$49,$J946,Tank1!$C$32:$C$49)*Impacts!$F$8),0)</f>
        <v>0</v>
      </c>
      <c r="M946" s="10">
        <f>IF(Tank2!$C$23="No control",(SUMIF(Tank2!$B$32:$B$49,$J946,Tank2!$C$32:$C$49)*Impacts!$F$9),0)</f>
        <v>0</v>
      </c>
      <c r="N946" s="10">
        <f>IF(Tank3!$C$23="No control",(SUMIF(Tank3!$B$32:$B$49,$J946,Tank3!$C$32:$C$49)*Impacts!$F$10),0)</f>
        <v>0</v>
      </c>
      <c r="O946" s="10">
        <f>IF(Tank4!$C$23="No control",(SUMIF(Tank4!$B$32:$B$49,$J946,Tank4!$C$32:$C$49)*Impacts!$F$11),0)</f>
        <v>0</v>
      </c>
      <c r="P946" s="10">
        <f>IF(Tank5!$C$23="No control",(SUMIF(Tank5!$B$32:$B$49,$J946,Tank5!$C$32:$C$49)*Impacts!$F$12),0)</f>
        <v>0</v>
      </c>
      <c r="Q946" s="10">
        <f>IFERROR(IF(('Loading-drum,tote'!$C$21)="No control",SUMIF(('Loading-drum,tote'!$B$31:$B$48),$J946,('Loading-drum,tote'!$D$31:$D$48))*Impacts!$F$13,IF(('Loading-drum,tote'!$C$21)&lt;&gt;"No control",SUMIF(('Loading-drum,tote'!$B$31:$B$48),$J946,('Loading-drum,tote'!$E$31:$E$48))*Impacts!$F$13,0)),0)</f>
        <v>0</v>
      </c>
      <c r="R946" s="10">
        <f>IFERROR(IF(('Loading-truck'!$C$21)="No control",SUMIF(('Loading-truck'!$B$31:$B$48),$J946,('Loading-truck'!$D$31:$D$48))*Impacts!$F$14,IF(('Loading-truck'!$C$21)&lt;&gt;"No control",SUMIF(('Loading-truck'!$B$31:$B$48),$J946,('Loading-truck'!$E$31:$E$48))*Impacts!$F$14,0)),0)</f>
        <v>0</v>
      </c>
      <c r="S946" s="10">
        <f>IFERROR(IF(('Loading-rail'!$C$21)="No control",SUMIF(('Loading-rail'!$B$31:$B$48),$J946,('Loading-rail'!$D$31:$D$48))*Impacts!$F$15,IF(('Loading-rail'!$C$21)&lt;&gt;"No control",SUMIF(('Loading-rail'!$B$31:$B$48),$J946,('Loading-rail'!$E$31:$E$48))*Impacts!$F$15,0)),0)</f>
        <v>0</v>
      </c>
      <c r="T946" s="10">
        <f>IF(Flare!$C$7="",0,(SUMIF(Flare!$B$46:$B$185,$J946,Flare!$E$46:$E$185)*Impacts!$F$16))</f>
        <v>0</v>
      </c>
      <c r="U946" s="10">
        <f>IF(VCU!$C$9="",0,(SUMIF(VCU!$B$51:$B$193,$J946,VCU!$E$51:$E$193)*Impacts!$F$17))</f>
        <v>0</v>
      </c>
      <c r="V946" s="10">
        <f>IF(CAS!$C$7="",0,(SUMIF(CAS!$B$31:$B$167,$J946,CAS!$E$31:$E$167)*Impacts!$F$18))</f>
        <v>0</v>
      </c>
      <c r="W946" s="10">
        <f t="shared" si="56"/>
        <v>0</v>
      </c>
      <c r="AK946" s="10" t="str">
        <f t="array" ref="AK946">IFERROR(INDEX(SelectedSpecies,SMALL(IF(SelectedSpecies=AK$1,ROW(SelectedSpecies)),ROW(947:947)),2),"")</f>
        <v/>
      </c>
      <c r="BE946" s="10"/>
      <c r="BI946" s="10"/>
    </row>
    <row r="947" spans="1:61" ht="21" customHeight="1" x14ac:dyDescent="0.25">
      <c r="A947" s="10"/>
      <c r="B947" s="10"/>
      <c r="E947" s="10"/>
      <c r="G947" s="10"/>
      <c r="I947" s="436" t="s">
        <v>7076</v>
      </c>
      <c r="J947" s="26" t="s">
        <v>7075</v>
      </c>
      <c r="K947" s="10">
        <v>0.4</v>
      </c>
      <c r="L947" s="73">
        <f>IF(Tank1!$C$23="No control",(SUMIF(Tank1!$B$32:$B$49,$J947,Tank1!$C$32:$C$49)*Impacts!$F$8),0)</f>
        <v>0</v>
      </c>
      <c r="M947" s="10">
        <f>IF(Tank2!$C$23="No control",(SUMIF(Tank2!$B$32:$B$49,$J947,Tank2!$C$32:$C$49)*Impacts!$F$9),0)</f>
        <v>0</v>
      </c>
      <c r="N947" s="10">
        <f>IF(Tank3!$C$23="No control",(SUMIF(Tank3!$B$32:$B$49,$J947,Tank3!$C$32:$C$49)*Impacts!$F$10),0)</f>
        <v>0</v>
      </c>
      <c r="O947" s="10">
        <f>IF(Tank4!$C$23="No control",(SUMIF(Tank4!$B$32:$B$49,$J947,Tank4!$C$32:$C$49)*Impacts!$F$11),0)</f>
        <v>0</v>
      </c>
      <c r="P947" s="10">
        <f>IF(Tank5!$C$23="No control",(SUMIF(Tank5!$B$32:$B$49,$J947,Tank5!$C$32:$C$49)*Impacts!$F$12),0)</f>
        <v>0</v>
      </c>
      <c r="Q947" s="10">
        <f>IFERROR(IF(('Loading-drum,tote'!$C$21)="No control",SUMIF(('Loading-drum,tote'!$B$31:$B$48),$J947,('Loading-drum,tote'!$D$31:$D$48))*Impacts!$F$13,IF(('Loading-drum,tote'!$C$21)&lt;&gt;"No control",SUMIF(('Loading-drum,tote'!$B$31:$B$48),$J947,('Loading-drum,tote'!$E$31:$E$48))*Impacts!$F$13,0)),0)</f>
        <v>0</v>
      </c>
      <c r="R947" s="10">
        <f>IFERROR(IF(('Loading-truck'!$C$21)="No control",SUMIF(('Loading-truck'!$B$31:$B$48),$J947,('Loading-truck'!$D$31:$D$48))*Impacts!$F$14,IF(('Loading-truck'!$C$21)&lt;&gt;"No control",SUMIF(('Loading-truck'!$B$31:$B$48),$J947,('Loading-truck'!$E$31:$E$48))*Impacts!$F$14,0)),0)</f>
        <v>0</v>
      </c>
      <c r="S947" s="10">
        <f>IFERROR(IF(('Loading-rail'!$C$21)="No control",SUMIF(('Loading-rail'!$B$31:$B$48),$J947,('Loading-rail'!$D$31:$D$48))*Impacts!$F$15,IF(('Loading-rail'!$C$21)&lt;&gt;"No control",SUMIF(('Loading-rail'!$B$31:$B$48),$J947,('Loading-rail'!$E$31:$E$48))*Impacts!$F$15,0)),0)</f>
        <v>0</v>
      </c>
      <c r="T947" s="10">
        <f>IF(Flare!$C$7="",0,(SUMIF(Flare!$B$46:$B$185,$J947,Flare!$E$46:$E$185)*Impacts!$F$16))</f>
        <v>0</v>
      </c>
      <c r="U947" s="10">
        <f>IF(VCU!$C$9="",0,(SUMIF(VCU!$B$51:$B$193,$J947,VCU!$E$51:$E$193)*Impacts!$F$17))</f>
        <v>0</v>
      </c>
      <c r="V947" s="10">
        <f>IF(CAS!$C$7="",0,(SUMIF(CAS!$B$31:$B$167,$J947,CAS!$E$31:$E$167)*Impacts!$F$18))</f>
        <v>0</v>
      </c>
      <c r="W947" s="10">
        <f t="shared" si="56"/>
        <v>0</v>
      </c>
      <c r="AK947" s="10" t="str">
        <f t="array" ref="AK947">IFERROR(INDEX(SelectedSpecies,SMALL(IF(SelectedSpecies=AK$1,ROW(SelectedSpecies)),ROW(948:948)),2),"")</f>
        <v/>
      </c>
      <c r="BE947" s="10"/>
      <c r="BI947" s="10"/>
    </row>
    <row r="948" spans="1:61" ht="21" customHeight="1" x14ac:dyDescent="0.25">
      <c r="A948" s="10"/>
      <c r="B948" s="10"/>
      <c r="E948" s="10"/>
      <c r="G948" s="10"/>
      <c r="I948" s="436" t="s">
        <v>2451</v>
      </c>
      <c r="J948" s="26" t="s">
        <v>2450</v>
      </c>
      <c r="K948" s="10">
        <v>10</v>
      </c>
      <c r="L948" s="73">
        <f>IF(Tank1!$C$23="No control",(SUMIF(Tank1!$B$32:$B$49,$J948,Tank1!$C$32:$C$49)*Impacts!$F$8),0)</f>
        <v>0</v>
      </c>
      <c r="M948" s="10">
        <f>IF(Tank2!$C$23="No control",(SUMIF(Tank2!$B$32:$B$49,$J948,Tank2!$C$32:$C$49)*Impacts!$F$9),0)</f>
        <v>0</v>
      </c>
      <c r="N948" s="10">
        <f>IF(Tank3!$C$23="No control",(SUMIF(Tank3!$B$32:$B$49,$J948,Tank3!$C$32:$C$49)*Impacts!$F$10),0)</f>
        <v>0</v>
      </c>
      <c r="O948" s="10">
        <f>IF(Tank4!$C$23="No control",(SUMIF(Tank4!$B$32:$B$49,$J948,Tank4!$C$32:$C$49)*Impacts!$F$11),0)</f>
        <v>0</v>
      </c>
      <c r="P948" s="10">
        <f>IF(Tank5!$C$23="No control",(SUMIF(Tank5!$B$32:$B$49,$J948,Tank5!$C$32:$C$49)*Impacts!$F$12),0)</f>
        <v>0</v>
      </c>
      <c r="Q948" s="10">
        <f>IFERROR(IF(('Loading-drum,tote'!$C$21)="No control",SUMIF(('Loading-drum,tote'!$B$31:$B$48),$J948,('Loading-drum,tote'!$D$31:$D$48))*Impacts!$F$13,IF(('Loading-drum,tote'!$C$21)&lt;&gt;"No control",SUMIF(('Loading-drum,tote'!$B$31:$B$48),$J948,('Loading-drum,tote'!$E$31:$E$48))*Impacts!$F$13,0)),0)</f>
        <v>0</v>
      </c>
      <c r="R948" s="10">
        <f>IFERROR(IF(('Loading-truck'!$C$21)="No control",SUMIF(('Loading-truck'!$B$31:$B$48),$J948,('Loading-truck'!$D$31:$D$48))*Impacts!$F$14,IF(('Loading-truck'!$C$21)&lt;&gt;"No control",SUMIF(('Loading-truck'!$B$31:$B$48),$J948,('Loading-truck'!$E$31:$E$48))*Impacts!$F$14,0)),0)</f>
        <v>0</v>
      </c>
      <c r="S948" s="10">
        <f>IFERROR(IF(('Loading-rail'!$C$21)="No control",SUMIF(('Loading-rail'!$B$31:$B$48),$J948,('Loading-rail'!$D$31:$D$48))*Impacts!$F$15,IF(('Loading-rail'!$C$21)&lt;&gt;"No control",SUMIF(('Loading-rail'!$B$31:$B$48),$J948,('Loading-rail'!$E$31:$E$48))*Impacts!$F$15,0)),0)</f>
        <v>0</v>
      </c>
      <c r="T948" s="10">
        <f>IF(Flare!$C$7="",0,(SUMIF(Flare!$B$46:$B$185,$J948,Flare!$E$46:$E$185)*Impacts!$F$16))</f>
        <v>0</v>
      </c>
      <c r="U948" s="10">
        <f>IF(VCU!$C$9="",0,(SUMIF(VCU!$B$51:$B$193,$J948,VCU!$E$51:$E$193)*Impacts!$F$17))</f>
        <v>0</v>
      </c>
      <c r="V948" s="10">
        <f>IF(CAS!$C$7="",0,(SUMIF(CAS!$B$31:$B$167,$J948,CAS!$E$31:$E$167)*Impacts!$F$18))</f>
        <v>0</v>
      </c>
      <c r="W948" s="10">
        <f t="shared" si="56"/>
        <v>0</v>
      </c>
      <c r="AK948" s="10" t="str">
        <f t="array" ref="AK948">IFERROR(INDEX(SelectedSpecies,SMALL(IF(SelectedSpecies=AK$1,ROW(SelectedSpecies)),ROW(949:949)),2),"")</f>
        <v/>
      </c>
      <c r="BE948" s="10"/>
      <c r="BI948" s="10"/>
    </row>
    <row r="949" spans="1:61" ht="21" customHeight="1" x14ac:dyDescent="0.25">
      <c r="A949" s="10"/>
      <c r="B949" s="10"/>
      <c r="E949" s="10"/>
      <c r="G949" s="10"/>
      <c r="I949" s="436" t="s">
        <v>5079</v>
      </c>
      <c r="J949" s="26" t="s">
        <v>5078</v>
      </c>
      <c r="K949" s="10">
        <v>2.2000000000000002</v>
      </c>
      <c r="L949" s="73">
        <f>IF(Tank1!$C$23="No control",(SUMIF(Tank1!$B$32:$B$49,$J949,Tank1!$C$32:$C$49)*Impacts!$F$8),0)</f>
        <v>0</v>
      </c>
      <c r="M949" s="10">
        <f>IF(Tank2!$C$23="No control",(SUMIF(Tank2!$B$32:$B$49,$J949,Tank2!$C$32:$C$49)*Impacts!$F$9),0)</f>
        <v>0</v>
      </c>
      <c r="N949" s="10">
        <f>IF(Tank3!$C$23="No control",(SUMIF(Tank3!$B$32:$B$49,$J949,Tank3!$C$32:$C$49)*Impacts!$F$10),0)</f>
        <v>0</v>
      </c>
      <c r="O949" s="10">
        <f>IF(Tank4!$C$23="No control",(SUMIF(Tank4!$B$32:$B$49,$J949,Tank4!$C$32:$C$49)*Impacts!$F$11),0)</f>
        <v>0</v>
      </c>
      <c r="P949" s="10">
        <f>IF(Tank5!$C$23="No control",(SUMIF(Tank5!$B$32:$B$49,$J949,Tank5!$C$32:$C$49)*Impacts!$F$12),0)</f>
        <v>0</v>
      </c>
      <c r="Q949" s="10">
        <f>IFERROR(IF(('Loading-drum,tote'!$C$21)="No control",SUMIF(('Loading-drum,tote'!$B$31:$B$48),$J949,('Loading-drum,tote'!$D$31:$D$48))*Impacts!$F$13,IF(('Loading-drum,tote'!$C$21)&lt;&gt;"No control",SUMIF(('Loading-drum,tote'!$B$31:$B$48),$J949,('Loading-drum,tote'!$E$31:$E$48))*Impacts!$F$13,0)),0)</f>
        <v>0</v>
      </c>
      <c r="R949" s="10">
        <f>IFERROR(IF(('Loading-truck'!$C$21)="No control",SUMIF(('Loading-truck'!$B$31:$B$48),$J949,('Loading-truck'!$D$31:$D$48))*Impacts!$F$14,IF(('Loading-truck'!$C$21)&lt;&gt;"No control",SUMIF(('Loading-truck'!$B$31:$B$48),$J949,('Loading-truck'!$E$31:$E$48))*Impacts!$F$14,0)),0)</f>
        <v>0</v>
      </c>
      <c r="S949" s="10">
        <f>IFERROR(IF(('Loading-rail'!$C$21)="No control",SUMIF(('Loading-rail'!$B$31:$B$48),$J949,('Loading-rail'!$D$31:$D$48))*Impacts!$F$15,IF(('Loading-rail'!$C$21)&lt;&gt;"No control",SUMIF(('Loading-rail'!$B$31:$B$48),$J949,('Loading-rail'!$E$31:$E$48))*Impacts!$F$15,0)),0)</f>
        <v>0</v>
      </c>
      <c r="T949" s="10">
        <f>IF(Flare!$C$7="",0,(SUMIF(Flare!$B$46:$B$185,$J949,Flare!$E$46:$E$185)*Impacts!$F$16))</f>
        <v>0</v>
      </c>
      <c r="U949" s="10">
        <f>IF(VCU!$C$9="",0,(SUMIF(VCU!$B$51:$B$193,$J949,VCU!$E$51:$E$193)*Impacts!$F$17))</f>
        <v>0</v>
      </c>
      <c r="V949" s="10">
        <f>IF(CAS!$C$7="",0,(SUMIF(CAS!$B$31:$B$167,$J949,CAS!$E$31:$E$167)*Impacts!$F$18))</f>
        <v>0</v>
      </c>
      <c r="W949" s="10">
        <f t="shared" si="56"/>
        <v>0</v>
      </c>
      <c r="AK949" s="10" t="str">
        <f t="array" ref="AK949">IFERROR(INDEX(SelectedSpecies,SMALL(IF(SelectedSpecies=AK$1,ROW(SelectedSpecies)),ROW(950:950)),2),"")</f>
        <v/>
      </c>
      <c r="BE949" s="10"/>
      <c r="BI949" s="10"/>
    </row>
    <row r="950" spans="1:61" ht="21" customHeight="1" x14ac:dyDescent="0.25">
      <c r="A950" s="10"/>
      <c r="B950" s="10"/>
      <c r="E950" s="10"/>
      <c r="G950" s="10"/>
      <c r="I950" s="436" t="s">
        <v>5776</v>
      </c>
      <c r="J950" s="26" t="s">
        <v>5775</v>
      </c>
      <c r="K950" s="10">
        <v>1</v>
      </c>
      <c r="L950" s="73">
        <f>IF(Tank1!$C$23="No control",(SUMIF(Tank1!$B$32:$B$49,$J950,Tank1!$C$32:$C$49)*Impacts!$F$8),0)</f>
        <v>0</v>
      </c>
      <c r="M950" s="10">
        <f>IF(Tank2!$C$23="No control",(SUMIF(Tank2!$B$32:$B$49,$J950,Tank2!$C$32:$C$49)*Impacts!$F$9),0)</f>
        <v>0</v>
      </c>
      <c r="N950" s="10">
        <f>IF(Tank3!$C$23="No control",(SUMIF(Tank3!$B$32:$B$49,$J950,Tank3!$C$32:$C$49)*Impacts!$F$10),0)</f>
        <v>0</v>
      </c>
      <c r="O950" s="10">
        <f>IF(Tank4!$C$23="No control",(SUMIF(Tank4!$B$32:$B$49,$J950,Tank4!$C$32:$C$49)*Impacts!$F$11),0)</f>
        <v>0</v>
      </c>
      <c r="P950" s="10">
        <f>IF(Tank5!$C$23="No control",(SUMIF(Tank5!$B$32:$B$49,$J950,Tank5!$C$32:$C$49)*Impacts!$F$12),0)</f>
        <v>0</v>
      </c>
      <c r="Q950" s="10">
        <f>IFERROR(IF(('Loading-drum,tote'!$C$21)="No control",SUMIF(('Loading-drum,tote'!$B$31:$B$48),$J950,('Loading-drum,tote'!$D$31:$D$48))*Impacts!$F$13,IF(('Loading-drum,tote'!$C$21)&lt;&gt;"No control",SUMIF(('Loading-drum,tote'!$B$31:$B$48),$J950,('Loading-drum,tote'!$E$31:$E$48))*Impacts!$F$13,0)),0)</f>
        <v>0</v>
      </c>
      <c r="R950" s="10">
        <f>IFERROR(IF(('Loading-truck'!$C$21)="No control",SUMIF(('Loading-truck'!$B$31:$B$48),$J950,('Loading-truck'!$D$31:$D$48))*Impacts!$F$14,IF(('Loading-truck'!$C$21)&lt;&gt;"No control",SUMIF(('Loading-truck'!$B$31:$B$48),$J950,('Loading-truck'!$E$31:$E$48))*Impacts!$F$14,0)),0)</f>
        <v>0</v>
      </c>
      <c r="S950" s="10">
        <f>IFERROR(IF(('Loading-rail'!$C$21)="No control",SUMIF(('Loading-rail'!$B$31:$B$48),$J950,('Loading-rail'!$D$31:$D$48))*Impacts!$F$15,IF(('Loading-rail'!$C$21)&lt;&gt;"No control",SUMIF(('Loading-rail'!$B$31:$B$48),$J950,('Loading-rail'!$E$31:$E$48))*Impacts!$F$15,0)),0)</f>
        <v>0</v>
      </c>
      <c r="T950" s="10">
        <f>IF(Flare!$C$7="",0,(SUMIF(Flare!$B$46:$B$185,$J950,Flare!$E$46:$E$185)*Impacts!$F$16))</f>
        <v>0</v>
      </c>
      <c r="U950" s="10">
        <f>IF(VCU!$C$9="",0,(SUMIF(VCU!$B$51:$B$193,$J950,VCU!$E$51:$E$193)*Impacts!$F$17))</f>
        <v>0</v>
      </c>
      <c r="V950" s="10">
        <f>IF(CAS!$C$7="",0,(SUMIF(CAS!$B$31:$B$167,$J950,CAS!$E$31:$E$167)*Impacts!$F$18))</f>
        <v>0</v>
      </c>
      <c r="W950" s="10">
        <f t="shared" si="56"/>
        <v>0</v>
      </c>
      <c r="AK950" s="10" t="str">
        <f t="array" ref="AK950">IFERROR(INDEX(SelectedSpecies,SMALL(IF(SelectedSpecies=AK$1,ROW(SelectedSpecies)),ROW(951:951)),2),"")</f>
        <v/>
      </c>
      <c r="BE950" s="10"/>
      <c r="BI950" s="10"/>
    </row>
    <row r="951" spans="1:61" ht="21" customHeight="1" x14ac:dyDescent="0.25">
      <c r="A951" s="10"/>
      <c r="B951" s="10"/>
      <c r="E951" s="10"/>
      <c r="G951" s="10"/>
      <c r="I951" s="436" t="s">
        <v>2733</v>
      </c>
      <c r="J951" s="26" t="s">
        <v>2732</v>
      </c>
      <c r="K951" s="10">
        <v>10</v>
      </c>
      <c r="L951" s="73">
        <f>IF(Tank1!$C$23="No control",(SUMIF(Tank1!$B$32:$B$49,$J951,Tank1!$C$32:$C$49)*Impacts!$F$8),0)</f>
        <v>0</v>
      </c>
      <c r="M951" s="10">
        <f>IF(Tank2!$C$23="No control",(SUMIF(Tank2!$B$32:$B$49,$J951,Tank2!$C$32:$C$49)*Impacts!$F$9),0)</f>
        <v>0</v>
      </c>
      <c r="N951" s="10">
        <f>IF(Tank3!$C$23="No control",(SUMIF(Tank3!$B$32:$B$49,$J951,Tank3!$C$32:$C$49)*Impacts!$F$10),0)</f>
        <v>0</v>
      </c>
      <c r="O951" s="10">
        <f>IF(Tank4!$C$23="No control",(SUMIF(Tank4!$B$32:$B$49,$J951,Tank4!$C$32:$C$49)*Impacts!$F$11),0)</f>
        <v>0</v>
      </c>
      <c r="P951" s="10">
        <f>IF(Tank5!$C$23="No control",(SUMIF(Tank5!$B$32:$B$49,$J951,Tank5!$C$32:$C$49)*Impacts!$F$12),0)</f>
        <v>0</v>
      </c>
      <c r="Q951" s="10">
        <f>IFERROR(IF(('Loading-drum,tote'!$C$21)="No control",SUMIF(('Loading-drum,tote'!$B$31:$B$48),$J951,('Loading-drum,tote'!$D$31:$D$48))*Impacts!$F$13,IF(('Loading-drum,tote'!$C$21)&lt;&gt;"No control",SUMIF(('Loading-drum,tote'!$B$31:$B$48),$J951,('Loading-drum,tote'!$E$31:$E$48))*Impacts!$F$13,0)),0)</f>
        <v>0</v>
      </c>
      <c r="R951" s="10">
        <f>IFERROR(IF(('Loading-truck'!$C$21)="No control",SUMIF(('Loading-truck'!$B$31:$B$48),$J951,('Loading-truck'!$D$31:$D$48))*Impacts!$F$14,IF(('Loading-truck'!$C$21)&lt;&gt;"No control",SUMIF(('Loading-truck'!$B$31:$B$48),$J951,('Loading-truck'!$E$31:$E$48))*Impacts!$F$14,0)),0)</f>
        <v>0</v>
      </c>
      <c r="S951" s="10">
        <f>IFERROR(IF(('Loading-rail'!$C$21)="No control",SUMIF(('Loading-rail'!$B$31:$B$48),$J951,('Loading-rail'!$D$31:$D$48))*Impacts!$F$15,IF(('Loading-rail'!$C$21)&lt;&gt;"No control",SUMIF(('Loading-rail'!$B$31:$B$48),$J951,('Loading-rail'!$E$31:$E$48))*Impacts!$F$15,0)),0)</f>
        <v>0</v>
      </c>
      <c r="T951" s="10">
        <f>IF(Flare!$C$7="",0,(SUMIF(Flare!$B$46:$B$185,$J951,Flare!$E$46:$E$185)*Impacts!$F$16))</f>
        <v>0</v>
      </c>
      <c r="U951" s="10">
        <f>IF(VCU!$C$9="",0,(SUMIF(VCU!$B$51:$B$193,$J951,VCU!$E$51:$E$193)*Impacts!$F$17))</f>
        <v>0</v>
      </c>
      <c r="V951" s="10">
        <f>IF(CAS!$C$7="",0,(SUMIF(CAS!$B$31:$B$167,$J951,CAS!$E$31:$E$167)*Impacts!$F$18))</f>
        <v>0</v>
      </c>
      <c r="W951" s="10">
        <f t="shared" si="56"/>
        <v>0</v>
      </c>
      <c r="AK951" s="10" t="str">
        <f t="array" ref="AK951">IFERROR(INDEX(SelectedSpecies,SMALL(IF(SelectedSpecies=AK$1,ROW(SelectedSpecies)),ROW(952:952)),2),"")</f>
        <v/>
      </c>
      <c r="BE951" s="10"/>
      <c r="BI951" s="10"/>
    </row>
    <row r="952" spans="1:61" ht="21" customHeight="1" x14ac:dyDescent="0.25">
      <c r="A952" s="10"/>
      <c r="B952" s="10"/>
      <c r="E952" s="10"/>
      <c r="G952" s="10"/>
      <c r="I952" s="436" t="s">
        <v>5778</v>
      </c>
      <c r="J952" s="26" t="s">
        <v>5777</v>
      </c>
      <c r="K952" s="10">
        <v>1</v>
      </c>
      <c r="L952" s="73">
        <f>IF(Tank1!$C$23="No control",(SUMIF(Tank1!$B$32:$B$49,$J952,Tank1!$C$32:$C$49)*Impacts!$F$8),0)</f>
        <v>0</v>
      </c>
      <c r="M952" s="10">
        <f>IF(Tank2!$C$23="No control",(SUMIF(Tank2!$B$32:$B$49,$J952,Tank2!$C$32:$C$49)*Impacts!$F$9),0)</f>
        <v>0</v>
      </c>
      <c r="N952" s="10">
        <f>IF(Tank3!$C$23="No control",(SUMIF(Tank3!$B$32:$B$49,$J952,Tank3!$C$32:$C$49)*Impacts!$F$10),0)</f>
        <v>0</v>
      </c>
      <c r="O952" s="10">
        <f>IF(Tank4!$C$23="No control",(SUMIF(Tank4!$B$32:$B$49,$J952,Tank4!$C$32:$C$49)*Impacts!$F$11),0)</f>
        <v>0</v>
      </c>
      <c r="P952" s="10">
        <f>IF(Tank5!$C$23="No control",(SUMIF(Tank5!$B$32:$B$49,$J952,Tank5!$C$32:$C$49)*Impacts!$F$12),0)</f>
        <v>0</v>
      </c>
      <c r="Q952" s="10">
        <f>IFERROR(IF(('Loading-drum,tote'!$C$21)="No control",SUMIF(('Loading-drum,tote'!$B$31:$B$48),$J952,('Loading-drum,tote'!$D$31:$D$48))*Impacts!$F$13,IF(('Loading-drum,tote'!$C$21)&lt;&gt;"No control",SUMIF(('Loading-drum,tote'!$B$31:$B$48),$J952,('Loading-drum,tote'!$E$31:$E$48))*Impacts!$F$13,0)),0)</f>
        <v>0</v>
      </c>
      <c r="R952" s="10">
        <f>IFERROR(IF(('Loading-truck'!$C$21)="No control",SUMIF(('Loading-truck'!$B$31:$B$48),$J952,('Loading-truck'!$D$31:$D$48))*Impacts!$F$14,IF(('Loading-truck'!$C$21)&lt;&gt;"No control",SUMIF(('Loading-truck'!$B$31:$B$48),$J952,('Loading-truck'!$E$31:$E$48))*Impacts!$F$14,0)),0)</f>
        <v>0</v>
      </c>
      <c r="S952" s="10">
        <f>IFERROR(IF(('Loading-rail'!$C$21)="No control",SUMIF(('Loading-rail'!$B$31:$B$48),$J952,('Loading-rail'!$D$31:$D$48))*Impacts!$F$15,IF(('Loading-rail'!$C$21)&lt;&gt;"No control",SUMIF(('Loading-rail'!$B$31:$B$48),$J952,('Loading-rail'!$E$31:$E$48))*Impacts!$F$15,0)),0)</f>
        <v>0</v>
      </c>
      <c r="T952" s="10">
        <f>IF(Flare!$C$7="",0,(SUMIF(Flare!$B$46:$B$185,$J952,Flare!$E$46:$E$185)*Impacts!$F$16))</f>
        <v>0</v>
      </c>
      <c r="U952" s="10">
        <f>IF(VCU!$C$9="",0,(SUMIF(VCU!$B$51:$B$193,$J952,VCU!$E$51:$E$193)*Impacts!$F$17))</f>
        <v>0</v>
      </c>
      <c r="V952" s="10">
        <f>IF(CAS!$C$7="",0,(SUMIF(CAS!$B$31:$B$167,$J952,CAS!$E$31:$E$167)*Impacts!$F$18))</f>
        <v>0</v>
      </c>
      <c r="W952" s="10">
        <f t="shared" si="56"/>
        <v>0</v>
      </c>
      <c r="AK952" s="10" t="str">
        <f t="array" ref="AK952">IFERROR(INDEX(SelectedSpecies,SMALL(IF(SelectedSpecies=AK$1,ROW(SelectedSpecies)),ROW(953:953)),2),"")</f>
        <v/>
      </c>
      <c r="BE952" s="10"/>
      <c r="BI952" s="10"/>
    </row>
    <row r="953" spans="1:61" ht="21" customHeight="1" x14ac:dyDescent="0.25">
      <c r="A953" s="10"/>
      <c r="B953" s="10"/>
      <c r="E953" s="10"/>
      <c r="G953" s="10"/>
      <c r="I953" s="436" t="s">
        <v>359</v>
      </c>
      <c r="J953" s="26" t="s">
        <v>358</v>
      </c>
      <c r="K953" s="10">
        <v>370</v>
      </c>
      <c r="L953" s="73">
        <f>IF(Tank1!$C$23="No control",(SUMIF(Tank1!$B$32:$B$49,$J953,Tank1!$C$32:$C$49)*Impacts!$F$8),0)</f>
        <v>0</v>
      </c>
      <c r="M953" s="10">
        <f>IF(Tank2!$C$23="No control",(SUMIF(Tank2!$B$32:$B$49,$J953,Tank2!$C$32:$C$49)*Impacts!$F$9),0)</f>
        <v>0</v>
      </c>
      <c r="N953" s="10">
        <f>IF(Tank3!$C$23="No control",(SUMIF(Tank3!$B$32:$B$49,$J953,Tank3!$C$32:$C$49)*Impacts!$F$10),0)</f>
        <v>0</v>
      </c>
      <c r="O953" s="10">
        <f>IF(Tank4!$C$23="No control",(SUMIF(Tank4!$B$32:$B$49,$J953,Tank4!$C$32:$C$49)*Impacts!$F$11),0)</f>
        <v>0</v>
      </c>
      <c r="P953" s="10">
        <f>IF(Tank5!$C$23="No control",(SUMIF(Tank5!$B$32:$B$49,$J953,Tank5!$C$32:$C$49)*Impacts!$F$12),0)</f>
        <v>0</v>
      </c>
      <c r="Q953" s="10">
        <f>IFERROR(IF(('Loading-drum,tote'!$C$21)="No control",SUMIF(('Loading-drum,tote'!$B$31:$B$48),$J953,('Loading-drum,tote'!$D$31:$D$48))*Impacts!$F$13,IF(('Loading-drum,tote'!$C$21)&lt;&gt;"No control",SUMIF(('Loading-drum,tote'!$B$31:$B$48),$J953,('Loading-drum,tote'!$E$31:$E$48))*Impacts!$F$13,0)),0)</f>
        <v>0</v>
      </c>
      <c r="R953" s="10">
        <f>IFERROR(IF(('Loading-truck'!$C$21)="No control",SUMIF(('Loading-truck'!$B$31:$B$48),$J953,('Loading-truck'!$D$31:$D$48))*Impacts!$F$14,IF(('Loading-truck'!$C$21)&lt;&gt;"No control",SUMIF(('Loading-truck'!$B$31:$B$48),$J953,('Loading-truck'!$E$31:$E$48))*Impacts!$F$14,0)),0)</f>
        <v>0</v>
      </c>
      <c r="S953" s="10">
        <f>IFERROR(IF(('Loading-rail'!$C$21)="No control",SUMIF(('Loading-rail'!$B$31:$B$48),$J953,('Loading-rail'!$D$31:$D$48))*Impacts!$F$15,IF(('Loading-rail'!$C$21)&lt;&gt;"No control",SUMIF(('Loading-rail'!$B$31:$B$48),$J953,('Loading-rail'!$E$31:$E$48))*Impacts!$F$15,0)),0)</f>
        <v>0</v>
      </c>
      <c r="T953" s="10">
        <f>IF(Flare!$C$7="",0,(SUMIF(Flare!$B$46:$B$185,$J953,Flare!$E$46:$E$185)*Impacts!$F$16))</f>
        <v>0</v>
      </c>
      <c r="U953" s="10">
        <f>IF(VCU!$C$9="",0,(SUMIF(VCU!$B$51:$B$193,$J953,VCU!$E$51:$E$193)*Impacts!$F$17))</f>
        <v>0</v>
      </c>
      <c r="V953" s="10">
        <f>IF(CAS!$C$7="",0,(SUMIF(CAS!$B$31:$B$167,$J953,CAS!$E$31:$E$167)*Impacts!$F$18))</f>
        <v>0</v>
      </c>
      <c r="W953" s="10">
        <f t="shared" si="56"/>
        <v>0</v>
      </c>
      <c r="AK953" s="10" t="str">
        <f t="array" ref="AK953">IFERROR(INDEX(SelectedSpecies,SMALL(IF(SelectedSpecies=AK$1,ROW(SelectedSpecies)),ROW(954:954)),2),"")</f>
        <v/>
      </c>
      <c r="BE953" s="10"/>
      <c r="BI953" s="10"/>
    </row>
    <row r="954" spans="1:61" ht="21" customHeight="1" x14ac:dyDescent="0.25">
      <c r="A954" s="10"/>
      <c r="B954" s="10"/>
      <c r="E954" s="10"/>
      <c r="G954" s="10"/>
      <c r="I954" s="436" t="s">
        <v>2097</v>
      </c>
      <c r="J954" s="26" t="s">
        <v>2096</v>
      </c>
      <c r="K954" s="10">
        <v>15</v>
      </c>
      <c r="L954" s="73">
        <f>IF(Tank1!$C$23="No control",(SUMIF(Tank1!$B$32:$B$49,$J954,Tank1!$C$32:$C$49)*Impacts!$F$8),0)</f>
        <v>0</v>
      </c>
      <c r="M954" s="10">
        <f>IF(Tank2!$C$23="No control",(SUMIF(Tank2!$B$32:$B$49,$J954,Tank2!$C$32:$C$49)*Impacts!$F$9),0)</f>
        <v>0</v>
      </c>
      <c r="N954" s="10">
        <f>IF(Tank3!$C$23="No control",(SUMIF(Tank3!$B$32:$B$49,$J954,Tank3!$C$32:$C$49)*Impacts!$F$10),0)</f>
        <v>0</v>
      </c>
      <c r="O954" s="10">
        <f>IF(Tank4!$C$23="No control",(SUMIF(Tank4!$B$32:$B$49,$J954,Tank4!$C$32:$C$49)*Impacts!$F$11),0)</f>
        <v>0</v>
      </c>
      <c r="P954" s="10">
        <f>IF(Tank5!$C$23="No control",(SUMIF(Tank5!$B$32:$B$49,$J954,Tank5!$C$32:$C$49)*Impacts!$F$12),0)</f>
        <v>0</v>
      </c>
      <c r="Q954" s="10">
        <f>IFERROR(IF(('Loading-drum,tote'!$C$21)="No control",SUMIF(('Loading-drum,tote'!$B$31:$B$48),$J954,('Loading-drum,tote'!$D$31:$D$48))*Impacts!$F$13,IF(('Loading-drum,tote'!$C$21)&lt;&gt;"No control",SUMIF(('Loading-drum,tote'!$B$31:$B$48),$J954,('Loading-drum,tote'!$E$31:$E$48))*Impacts!$F$13,0)),0)</f>
        <v>0</v>
      </c>
      <c r="R954" s="10">
        <f>IFERROR(IF(('Loading-truck'!$C$21)="No control",SUMIF(('Loading-truck'!$B$31:$B$48),$J954,('Loading-truck'!$D$31:$D$48))*Impacts!$F$14,IF(('Loading-truck'!$C$21)&lt;&gt;"No control",SUMIF(('Loading-truck'!$B$31:$B$48),$J954,('Loading-truck'!$E$31:$E$48))*Impacts!$F$14,0)),0)</f>
        <v>0</v>
      </c>
      <c r="S954" s="10">
        <f>IFERROR(IF(('Loading-rail'!$C$21)="No control",SUMIF(('Loading-rail'!$B$31:$B$48),$J954,('Loading-rail'!$D$31:$D$48))*Impacts!$F$15,IF(('Loading-rail'!$C$21)&lt;&gt;"No control",SUMIF(('Loading-rail'!$B$31:$B$48),$J954,('Loading-rail'!$E$31:$E$48))*Impacts!$F$15,0)),0)</f>
        <v>0</v>
      </c>
      <c r="T954" s="10">
        <f>IF(Flare!$C$7="",0,(SUMIF(Flare!$B$46:$B$185,$J954,Flare!$E$46:$E$185)*Impacts!$F$16))</f>
        <v>0</v>
      </c>
      <c r="U954" s="10">
        <f>IF(VCU!$C$9="",0,(SUMIF(VCU!$B$51:$B$193,$J954,VCU!$E$51:$E$193)*Impacts!$F$17))</f>
        <v>0</v>
      </c>
      <c r="V954" s="10">
        <f>IF(CAS!$C$7="",0,(SUMIF(CAS!$B$31:$B$167,$J954,CAS!$E$31:$E$167)*Impacts!$F$18))</f>
        <v>0</v>
      </c>
      <c r="W954" s="10">
        <f t="shared" si="56"/>
        <v>0</v>
      </c>
      <c r="AK954" s="10" t="str">
        <f t="array" ref="AK954">IFERROR(INDEX(SelectedSpecies,SMALL(IF(SelectedSpecies=AK$1,ROW(SelectedSpecies)),ROW(955:955)),2),"")</f>
        <v/>
      </c>
      <c r="BE954" s="10"/>
      <c r="BI954" s="10"/>
    </row>
    <row r="955" spans="1:61" ht="21" customHeight="1" x14ac:dyDescent="0.25">
      <c r="A955" s="10"/>
      <c r="B955" s="10"/>
      <c r="E955" s="10"/>
      <c r="G955" s="10"/>
      <c r="I955" s="436" t="s">
        <v>3783</v>
      </c>
      <c r="J955" s="26" t="s">
        <v>3782</v>
      </c>
      <c r="K955" s="10">
        <v>6</v>
      </c>
      <c r="L955" s="73">
        <f>IF(Tank1!$C$23="No control",(SUMIF(Tank1!$B$32:$B$49,$J955,Tank1!$C$32:$C$49)*Impacts!$F$8),0)</f>
        <v>0</v>
      </c>
      <c r="M955" s="10">
        <f>IF(Tank2!$C$23="No control",(SUMIF(Tank2!$B$32:$B$49,$J955,Tank2!$C$32:$C$49)*Impacts!$F$9),0)</f>
        <v>0</v>
      </c>
      <c r="N955" s="10">
        <f>IF(Tank3!$C$23="No control",(SUMIF(Tank3!$B$32:$B$49,$J955,Tank3!$C$32:$C$49)*Impacts!$F$10),0)</f>
        <v>0</v>
      </c>
      <c r="O955" s="10">
        <f>IF(Tank4!$C$23="No control",(SUMIF(Tank4!$B$32:$B$49,$J955,Tank4!$C$32:$C$49)*Impacts!$F$11),0)</f>
        <v>0</v>
      </c>
      <c r="P955" s="10">
        <f>IF(Tank5!$C$23="No control",(SUMIF(Tank5!$B$32:$B$49,$J955,Tank5!$C$32:$C$49)*Impacts!$F$12),0)</f>
        <v>0</v>
      </c>
      <c r="Q955" s="10">
        <f>IFERROR(IF(('Loading-drum,tote'!$C$21)="No control",SUMIF(('Loading-drum,tote'!$B$31:$B$48),$J955,('Loading-drum,tote'!$D$31:$D$48))*Impacts!$F$13,IF(('Loading-drum,tote'!$C$21)&lt;&gt;"No control",SUMIF(('Loading-drum,tote'!$B$31:$B$48),$J955,('Loading-drum,tote'!$E$31:$E$48))*Impacts!$F$13,0)),0)</f>
        <v>0</v>
      </c>
      <c r="R955" s="10">
        <f>IFERROR(IF(('Loading-truck'!$C$21)="No control",SUMIF(('Loading-truck'!$B$31:$B$48),$J955,('Loading-truck'!$D$31:$D$48))*Impacts!$F$14,IF(('Loading-truck'!$C$21)&lt;&gt;"No control",SUMIF(('Loading-truck'!$B$31:$B$48),$J955,('Loading-truck'!$E$31:$E$48))*Impacts!$F$14,0)),0)</f>
        <v>0</v>
      </c>
      <c r="S955" s="10">
        <f>IFERROR(IF(('Loading-rail'!$C$21)="No control",SUMIF(('Loading-rail'!$B$31:$B$48),$J955,('Loading-rail'!$D$31:$D$48))*Impacts!$F$15,IF(('Loading-rail'!$C$21)&lt;&gt;"No control",SUMIF(('Loading-rail'!$B$31:$B$48),$J955,('Loading-rail'!$E$31:$E$48))*Impacts!$F$15,0)),0)</f>
        <v>0</v>
      </c>
      <c r="T955" s="10">
        <f>IF(Flare!$C$7="",0,(SUMIF(Flare!$B$46:$B$185,$J955,Flare!$E$46:$E$185)*Impacts!$F$16))</f>
        <v>0</v>
      </c>
      <c r="U955" s="10">
        <f>IF(VCU!$C$9="",0,(SUMIF(VCU!$B$51:$B$193,$J955,VCU!$E$51:$E$193)*Impacts!$F$17))</f>
        <v>0</v>
      </c>
      <c r="V955" s="10">
        <f>IF(CAS!$C$7="",0,(SUMIF(CAS!$B$31:$B$167,$J955,CAS!$E$31:$E$167)*Impacts!$F$18))</f>
        <v>0</v>
      </c>
      <c r="W955" s="10">
        <f t="shared" si="56"/>
        <v>0</v>
      </c>
      <c r="AK955" s="10" t="str">
        <f t="array" ref="AK955">IFERROR(INDEX(SelectedSpecies,SMALL(IF(SelectedSpecies=AK$1,ROW(SelectedSpecies)),ROW(956:956)),2),"")</f>
        <v/>
      </c>
      <c r="BE955" s="10"/>
      <c r="BI955" s="10"/>
    </row>
    <row r="956" spans="1:61" ht="21" customHeight="1" x14ac:dyDescent="0.25">
      <c r="A956" s="10"/>
      <c r="B956" s="10"/>
      <c r="E956" s="10"/>
      <c r="G956" s="10"/>
      <c r="I956" s="436" t="s">
        <v>5780</v>
      </c>
      <c r="J956" s="26" t="s">
        <v>5779</v>
      </c>
      <c r="K956" s="10">
        <v>1</v>
      </c>
      <c r="L956" s="73">
        <f>IF(Tank1!$C$23="No control",(SUMIF(Tank1!$B$32:$B$49,$J956,Tank1!$C$32:$C$49)*Impacts!$F$8),0)</f>
        <v>0</v>
      </c>
      <c r="M956" s="10">
        <f>IF(Tank2!$C$23="No control",(SUMIF(Tank2!$B$32:$B$49,$J956,Tank2!$C$32:$C$49)*Impacts!$F$9),0)</f>
        <v>0</v>
      </c>
      <c r="N956" s="10">
        <f>IF(Tank3!$C$23="No control",(SUMIF(Tank3!$B$32:$B$49,$J956,Tank3!$C$32:$C$49)*Impacts!$F$10),0)</f>
        <v>0</v>
      </c>
      <c r="O956" s="10">
        <f>IF(Tank4!$C$23="No control",(SUMIF(Tank4!$B$32:$B$49,$J956,Tank4!$C$32:$C$49)*Impacts!$F$11),0)</f>
        <v>0</v>
      </c>
      <c r="P956" s="10">
        <f>IF(Tank5!$C$23="No control",(SUMIF(Tank5!$B$32:$B$49,$J956,Tank5!$C$32:$C$49)*Impacts!$F$12),0)</f>
        <v>0</v>
      </c>
      <c r="Q956" s="10">
        <f>IFERROR(IF(('Loading-drum,tote'!$C$21)="No control",SUMIF(('Loading-drum,tote'!$B$31:$B$48),$J956,('Loading-drum,tote'!$D$31:$D$48))*Impacts!$F$13,IF(('Loading-drum,tote'!$C$21)&lt;&gt;"No control",SUMIF(('Loading-drum,tote'!$B$31:$B$48),$J956,('Loading-drum,tote'!$E$31:$E$48))*Impacts!$F$13,0)),0)</f>
        <v>0</v>
      </c>
      <c r="R956" s="10">
        <f>IFERROR(IF(('Loading-truck'!$C$21)="No control",SUMIF(('Loading-truck'!$B$31:$B$48),$J956,('Loading-truck'!$D$31:$D$48))*Impacts!$F$14,IF(('Loading-truck'!$C$21)&lt;&gt;"No control",SUMIF(('Loading-truck'!$B$31:$B$48),$J956,('Loading-truck'!$E$31:$E$48))*Impacts!$F$14,0)),0)</f>
        <v>0</v>
      </c>
      <c r="S956" s="10">
        <f>IFERROR(IF(('Loading-rail'!$C$21)="No control",SUMIF(('Loading-rail'!$B$31:$B$48),$J956,('Loading-rail'!$D$31:$D$48))*Impacts!$F$15,IF(('Loading-rail'!$C$21)&lt;&gt;"No control",SUMIF(('Loading-rail'!$B$31:$B$48),$J956,('Loading-rail'!$E$31:$E$48))*Impacts!$F$15,0)),0)</f>
        <v>0</v>
      </c>
      <c r="T956" s="10">
        <f>IF(Flare!$C$7="",0,(SUMIF(Flare!$B$46:$B$185,$J956,Flare!$E$46:$E$185)*Impacts!$F$16))</f>
        <v>0</v>
      </c>
      <c r="U956" s="10">
        <f>IF(VCU!$C$9="",0,(SUMIF(VCU!$B$51:$B$193,$J956,VCU!$E$51:$E$193)*Impacts!$F$17))</f>
        <v>0</v>
      </c>
      <c r="V956" s="10">
        <f>IF(CAS!$C$7="",0,(SUMIF(CAS!$B$31:$B$167,$J956,CAS!$E$31:$E$167)*Impacts!$F$18))</f>
        <v>0</v>
      </c>
      <c r="W956" s="10">
        <f t="shared" si="56"/>
        <v>0</v>
      </c>
      <c r="AK956" s="10" t="str">
        <f t="array" ref="AK956">IFERROR(INDEX(SelectedSpecies,SMALL(IF(SelectedSpecies=AK$1,ROW(SelectedSpecies)),ROW(957:957)),2),"")</f>
        <v/>
      </c>
      <c r="BE956" s="10"/>
      <c r="BI956" s="10"/>
    </row>
    <row r="957" spans="1:61" ht="21" customHeight="1" x14ac:dyDescent="0.25">
      <c r="A957" s="10"/>
      <c r="B957" s="10"/>
      <c r="E957" s="10"/>
      <c r="G957" s="10"/>
      <c r="I957" s="436" t="s">
        <v>3919</v>
      </c>
      <c r="J957" s="26" t="s">
        <v>3918</v>
      </c>
      <c r="K957" s="10">
        <v>6</v>
      </c>
      <c r="L957" s="73">
        <f>IF(Tank1!$C$23="No control",(SUMIF(Tank1!$B$32:$B$49,$J957,Tank1!$C$32:$C$49)*Impacts!$F$8),0)</f>
        <v>0</v>
      </c>
      <c r="M957" s="10">
        <f>IF(Tank2!$C$23="No control",(SUMIF(Tank2!$B$32:$B$49,$J957,Tank2!$C$32:$C$49)*Impacts!$F$9),0)</f>
        <v>0</v>
      </c>
      <c r="N957" s="10">
        <f>IF(Tank3!$C$23="No control",(SUMIF(Tank3!$B$32:$B$49,$J957,Tank3!$C$32:$C$49)*Impacts!$F$10),0)</f>
        <v>0</v>
      </c>
      <c r="O957" s="10">
        <f>IF(Tank4!$C$23="No control",(SUMIF(Tank4!$B$32:$B$49,$J957,Tank4!$C$32:$C$49)*Impacts!$F$11),0)</f>
        <v>0</v>
      </c>
      <c r="P957" s="10">
        <f>IF(Tank5!$C$23="No control",(SUMIF(Tank5!$B$32:$B$49,$J957,Tank5!$C$32:$C$49)*Impacts!$F$12),0)</f>
        <v>0</v>
      </c>
      <c r="Q957" s="10">
        <f>IFERROR(IF(('Loading-drum,tote'!$C$21)="No control",SUMIF(('Loading-drum,tote'!$B$31:$B$48),$J957,('Loading-drum,tote'!$D$31:$D$48))*Impacts!$F$13,IF(('Loading-drum,tote'!$C$21)&lt;&gt;"No control",SUMIF(('Loading-drum,tote'!$B$31:$B$48),$J957,('Loading-drum,tote'!$E$31:$E$48))*Impacts!$F$13,0)),0)</f>
        <v>0</v>
      </c>
      <c r="R957" s="10">
        <f>IFERROR(IF(('Loading-truck'!$C$21)="No control",SUMIF(('Loading-truck'!$B$31:$B$48),$J957,('Loading-truck'!$D$31:$D$48))*Impacts!$F$14,IF(('Loading-truck'!$C$21)&lt;&gt;"No control",SUMIF(('Loading-truck'!$B$31:$B$48),$J957,('Loading-truck'!$E$31:$E$48))*Impacts!$F$14,0)),0)</f>
        <v>0</v>
      </c>
      <c r="S957" s="10">
        <f>IFERROR(IF(('Loading-rail'!$C$21)="No control",SUMIF(('Loading-rail'!$B$31:$B$48),$J957,('Loading-rail'!$D$31:$D$48))*Impacts!$F$15,IF(('Loading-rail'!$C$21)&lt;&gt;"No control",SUMIF(('Loading-rail'!$B$31:$B$48),$J957,('Loading-rail'!$E$31:$E$48))*Impacts!$F$15,0)),0)</f>
        <v>0</v>
      </c>
      <c r="T957" s="10">
        <f>IF(Flare!$C$7="",0,(SUMIF(Flare!$B$46:$B$185,$J957,Flare!$E$46:$E$185)*Impacts!$F$16))</f>
        <v>0</v>
      </c>
      <c r="U957" s="10">
        <f>IF(VCU!$C$9="",0,(SUMIF(VCU!$B$51:$B$193,$J957,VCU!$E$51:$E$193)*Impacts!$F$17))</f>
        <v>0</v>
      </c>
      <c r="V957" s="10">
        <f>IF(CAS!$C$7="",0,(SUMIF(CAS!$B$31:$B$167,$J957,CAS!$E$31:$E$167)*Impacts!$F$18))</f>
        <v>0</v>
      </c>
      <c r="W957" s="10">
        <f t="shared" si="56"/>
        <v>0</v>
      </c>
      <c r="AK957" s="10" t="str">
        <f t="array" ref="AK957">IFERROR(INDEX(SelectedSpecies,SMALL(IF(SelectedSpecies=AK$1,ROW(SelectedSpecies)),ROW(958:958)),2),"")</f>
        <v/>
      </c>
      <c r="BE957" s="10"/>
      <c r="BI957" s="10"/>
    </row>
    <row r="958" spans="1:61" ht="21" customHeight="1" x14ac:dyDescent="0.25">
      <c r="A958" s="10"/>
      <c r="B958" s="10"/>
      <c r="E958" s="10"/>
      <c r="G958" s="10"/>
      <c r="I958" s="436" t="s">
        <v>6516</v>
      </c>
      <c r="J958" s="26" t="s">
        <v>6515</v>
      </c>
      <c r="K958" s="10">
        <v>0.70000000000000007</v>
      </c>
      <c r="L958" s="73">
        <f>IF(Tank1!$C$23="No control",(SUMIF(Tank1!$B$32:$B$49,$J958,Tank1!$C$32:$C$49)*Impacts!$F$8),0)</f>
        <v>0</v>
      </c>
      <c r="M958" s="10">
        <f>IF(Tank2!$C$23="No control",(SUMIF(Tank2!$B$32:$B$49,$J958,Tank2!$C$32:$C$49)*Impacts!$F$9),0)</f>
        <v>0</v>
      </c>
      <c r="N958" s="10">
        <f>IF(Tank3!$C$23="No control",(SUMIF(Tank3!$B$32:$B$49,$J958,Tank3!$C$32:$C$49)*Impacts!$F$10),0)</f>
        <v>0</v>
      </c>
      <c r="O958" s="10">
        <f>IF(Tank4!$C$23="No control",(SUMIF(Tank4!$B$32:$B$49,$J958,Tank4!$C$32:$C$49)*Impacts!$F$11),0)</f>
        <v>0</v>
      </c>
      <c r="P958" s="10">
        <f>IF(Tank5!$C$23="No control",(SUMIF(Tank5!$B$32:$B$49,$J958,Tank5!$C$32:$C$49)*Impacts!$F$12),0)</f>
        <v>0</v>
      </c>
      <c r="Q958" s="10">
        <f>IFERROR(IF(('Loading-drum,tote'!$C$21)="No control",SUMIF(('Loading-drum,tote'!$B$31:$B$48),$J958,('Loading-drum,tote'!$D$31:$D$48))*Impacts!$F$13,IF(('Loading-drum,tote'!$C$21)&lt;&gt;"No control",SUMIF(('Loading-drum,tote'!$B$31:$B$48),$J958,('Loading-drum,tote'!$E$31:$E$48))*Impacts!$F$13,0)),0)</f>
        <v>0</v>
      </c>
      <c r="R958" s="10">
        <f>IFERROR(IF(('Loading-truck'!$C$21)="No control",SUMIF(('Loading-truck'!$B$31:$B$48),$J958,('Loading-truck'!$D$31:$D$48))*Impacts!$F$14,IF(('Loading-truck'!$C$21)&lt;&gt;"No control",SUMIF(('Loading-truck'!$B$31:$B$48),$J958,('Loading-truck'!$E$31:$E$48))*Impacts!$F$14,0)),0)</f>
        <v>0</v>
      </c>
      <c r="S958" s="10">
        <f>IFERROR(IF(('Loading-rail'!$C$21)="No control",SUMIF(('Loading-rail'!$B$31:$B$48),$J958,('Loading-rail'!$D$31:$D$48))*Impacts!$F$15,IF(('Loading-rail'!$C$21)&lt;&gt;"No control",SUMIF(('Loading-rail'!$B$31:$B$48),$J958,('Loading-rail'!$E$31:$E$48))*Impacts!$F$15,0)),0)</f>
        <v>0</v>
      </c>
      <c r="T958" s="10">
        <f>IF(Flare!$C$7="",0,(SUMIF(Flare!$B$46:$B$185,$J958,Flare!$E$46:$E$185)*Impacts!$F$16))</f>
        <v>0</v>
      </c>
      <c r="U958" s="10">
        <f>IF(VCU!$C$9="",0,(SUMIF(VCU!$B$51:$B$193,$J958,VCU!$E$51:$E$193)*Impacts!$F$17))</f>
        <v>0</v>
      </c>
      <c r="V958" s="10">
        <f>IF(CAS!$C$7="",0,(SUMIF(CAS!$B$31:$B$167,$J958,CAS!$E$31:$E$167)*Impacts!$F$18))</f>
        <v>0</v>
      </c>
      <c r="W958" s="10">
        <f t="shared" si="56"/>
        <v>0</v>
      </c>
      <c r="AK958" s="10" t="str">
        <f t="array" ref="AK958">IFERROR(INDEX(SelectedSpecies,SMALL(IF(SelectedSpecies=AK$1,ROW(SelectedSpecies)),ROW(959:959)),2),"")</f>
        <v/>
      </c>
      <c r="BE958" s="10"/>
      <c r="BI958" s="10"/>
    </row>
    <row r="959" spans="1:61" ht="21" customHeight="1" x14ac:dyDescent="0.25">
      <c r="A959" s="10"/>
      <c r="B959" s="10"/>
      <c r="E959" s="10"/>
      <c r="G959" s="10"/>
      <c r="I959" s="436" t="s">
        <v>3461</v>
      </c>
      <c r="J959" s="26" t="s">
        <v>3460</v>
      </c>
      <c r="K959" s="10">
        <v>9.7000000000000011</v>
      </c>
      <c r="L959" s="73">
        <f>IF(Tank1!$C$23="No control",(SUMIF(Tank1!$B$32:$B$49,$J959,Tank1!$C$32:$C$49)*Impacts!$F$8),0)</f>
        <v>0</v>
      </c>
      <c r="M959" s="10">
        <f>IF(Tank2!$C$23="No control",(SUMIF(Tank2!$B$32:$B$49,$J959,Tank2!$C$32:$C$49)*Impacts!$F$9),0)</f>
        <v>0</v>
      </c>
      <c r="N959" s="10">
        <f>IF(Tank3!$C$23="No control",(SUMIF(Tank3!$B$32:$B$49,$J959,Tank3!$C$32:$C$49)*Impacts!$F$10),0)</f>
        <v>0</v>
      </c>
      <c r="O959" s="10">
        <f>IF(Tank4!$C$23="No control",(SUMIF(Tank4!$B$32:$B$49,$J959,Tank4!$C$32:$C$49)*Impacts!$F$11),0)</f>
        <v>0</v>
      </c>
      <c r="P959" s="10">
        <f>IF(Tank5!$C$23="No control",(SUMIF(Tank5!$B$32:$B$49,$J959,Tank5!$C$32:$C$49)*Impacts!$F$12),0)</f>
        <v>0</v>
      </c>
      <c r="Q959" s="10">
        <f>IFERROR(IF(('Loading-drum,tote'!$C$21)="No control",SUMIF(('Loading-drum,tote'!$B$31:$B$48),$J959,('Loading-drum,tote'!$D$31:$D$48))*Impacts!$F$13,IF(('Loading-drum,tote'!$C$21)&lt;&gt;"No control",SUMIF(('Loading-drum,tote'!$B$31:$B$48),$J959,('Loading-drum,tote'!$E$31:$E$48))*Impacts!$F$13,0)),0)</f>
        <v>0</v>
      </c>
      <c r="R959" s="10">
        <f>IFERROR(IF(('Loading-truck'!$C$21)="No control",SUMIF(('Loading-truck'!$B$31:$B$48),$J959,('Loading-truck'!$D$31:$D$48))*Impacts!$F$14,IF(('Loading-truck'!$C$21)&lt;&gt;"No control",SUMIF(('Loading-truck'!$B$31:$B$48),$J959,('Loading-truck'!$E$31:$E$48))*Impacts!$F$14,0)),0)</f>
        <v>0</v>
      </c>
      <c r="S959" s="10">
        <f>IFERROR(IF(('Loading-rail'!$C$21)="No control",SUMIF(('Loading-rail'!$B$31:$B$48),$J959,('Loading-rail'!$D$31:$D$48))*Impacts!$F$15,IF(('Loading-rail'!$C$21)&lt;&gt;"No control",SUMIF(('Loading-rail'!$B$31:$B$48),$J959,('Loading-rail'!$E$31:$E$48))*Impacts!$F$15,0)),0)</f>
        <v>0</v>
      </c>
      <c r="T959" s="10">
        <f>IF(Flare!$C$7="",0,(SUMIF(Flare!$B$46:$B$185,$J959,Flare!$E$46:$E$185)*Impacts!$F$16))</f>
        <v>0</v>
      </c>
      <c r="U959" s="10">
        <f>IF(VCU!$C$9="",0,(SUMIF(VCU!$B$51:$B$193,$J959,VCU!$E$51:$E$193)*Impacts!$F$17))</f>
        <v>0</v>
      </c>
      <c r="V959" s="10">
        <f>IF(CAS!$C$7="",0,(SUMIF(CAS!$B$31:$B$167,$J959,CAS!$E$31:$E$167)*Impacts!$F$18))</f>
        <v>0</v>
      </c>
      <c r="W959" s="10">
        <f t="shared" si="56"/>
        <v>0</v>
      </c>
      <c r="AK959" s="10" t="str">
        <f t="array" ref="AK959">IFERROR(INDEX(SelectedSpecies,SMALL(IF(SelectedSpecies=AK$1,ROW(SelectedSpecies)),ROW(960:960)),2),"")</f>
        <v/>
      </c>
      <c r="BE959" s="10"/>
      <c r="BI959" s="10"/>
    </row>
    <row r="960" spans="1:61" ht="21" customHeight="1" x14ac:dyDescent="0.25">
      <c r="A960" s="10"/>
      <c r="B960" s="10"/>
      <c r="E960" s="10"/>
      <c r="G960" s="10"/>
      <c r="I960" s="436" t="s">
        <v>7016</v>
      </c>
      <c r="J960" s="26" t="s">
        <v>7015</v>
      </c>
      <c r="K960" s="10">
        <v>0.45</v>
      </c>
      <c r="L960" s="73">
        <f>IF(Tank1!$C$23="No control",(SUMIF(Tank1!$B$32:$B$49,$J960,Tank1!$C$32:$C$49)*Impacts!$F$8),0)</f>
        <v>0</v>
      </c>
      <c r="M960" s="10">
        <f>IF(Tank2!$C$23="No control",(SUMIF(Tank2!$B$32:$B$49,$J960,Tank2!$C$32:$C$49)*Impacts!$F$9),0)</f>
        <v>0</v>
      </c>
      <c r="N960" s="10">
        <f>IF(Tank3!$C$23="No control",(SUMIF(Tank3!$B$32:$B$49,$J960,Tank3!$C$32:$C$49)*Impacts!$F$10),0)</f>
        <v>0</v>
      </c>
      <c r="O960" s="10">
        <f>IF(Tank4!$C$23="No control",(SUMIF(Tank4!$B$32:$B$49,$J960,Tank4!$C$32:$C$49)*Impacts!$F$11),0)</f>
        <v>0</v>
      </c>
      <c r="P960" s="10">
        <f>IF(Tank5!$C$23="No control",(SUMIF(Tank5!$B$32:$B$49,$J960,Tank5!$C$32:$C$49)*Impacts!$F$12),0)</f>
        <v>0</v>
      </c>
      <c r="Q960" s="10">
        <f>IFERROR(IF(('Loading-drum,tote'!$C$21)="No control",SUMIF(('Loading-drum,tote'!$B$31:$B$48),$J960,('Loading-drum,tote'!$D$31:$D$48))*Impacts!$F$13,IF(('Loading-drum,tote'!$C$21)&lt;&gt;"No control",SUMIF(('Loading-drum,tote'!$B$31:$B$48),$J960,('Loading-drum,tote'!$E$31:$E$48))*Impacts!$F$13,0)),0)</f>
        <v>0</v>
      </c>
      <c r="R960" s="10">
        <f>IFERROR(IF(('Loading-truck'!$C$21)="No control",SUMIF(('Loading-truck'!$B$31:$B$48),$J960,('Loading-truck'!$D$31:$D$48))*Impacts!$F$14,IF(('Loading-truck'!$C$21)&lt;&gt;"No control",SUMIF(('Loading-truck'!$B$31:$B$48),$J960,('Loading-truck'!$E$31:$E$48))*Impacts!$F$14,0)),0)</f>
        <v>0</v>
      </c>
      <c r="S960" s="10">
        <f>IFERROR(IF(('Loading-rail'!$C$21)="No control",SUMIF(('Loading-rail'!$B$31:$B$48),$J960,('Loading-rail'!$D$31:$D$48))*Impacts!$F$15,IF(('Loading-rail'!$C$21)&lt;&gt;"No control",SUMIF(('Loading-rail'!$B$31:$B$48),$J960,('Loading-rail'!$E$31:$E$48))*Impacts!$F$15,0)),0)</f>
        <v>0</v>
      </c>
      <c r="T960" s="10">
        <f>IF(Flare!$C$7="",0,(SUMIF(Flare!$B$46:$B$185,$J960,Flare!$E$46:$E$185)*Impacts!$F$16))</f>
        <v>0</v>
      </c>
      <c r="U960" s="10">
        <f>IF(VCU!$C$9="",0,(SUMIF(VCU!$B$51:$B$193,$J960,VCU!$E$51:$E$193)*Impacts!$F$17))</f>
        <v>0</v>
      </c>
      <c r="V960" s="10">
        <f>IF(CAS!$C$7="",0,(SUMIF(CAS!$B$31:$B$167,$J960,CAS!$E$31:$E$167)*Impacts!$F$18))</f>
        <v>0</v>
      </c>
      <c r="W960" s="10">
        <f t="shared" si="56"/>
        <v>0</v>
      </c>
      <c r="AK960" s="10" t="str">
        <f t="array" ref="AK960">IFERROR(INDEX(SelectedSpecies,SMALL(IF(SelectedSpecies=AK$1,ROW(SelectedSpecies)),ROW(961:961)),2),"")</f>
        <v/>
      </c>
      <c r="BE960" s="10"/>
      <c r="BI960" s="10"/>
    </row>
    <row r="961" spans="1:61" ht="21" customHeight="1" x14ac:dyDescent="0.25">
      <c r="A961" s="10"/>
      <c r="B961" s="10"/>
      <c r="E961" s="10"/>
      <c r="G961" s="10"/>
      <c r="I961" s="436" t="s">
        <v>3549</v>
      </c>
      <c r="J961" s="26" t="s">
        <v>3548</v>
      </c>
      <c r="K961" s="10">
        <v>8.4</v>
      </c>
      <c r="L961" s="73">
        <f>IF(Tank1!$C$23="No control",(SUMIF(Tank1!$B$32:$B$49,$J961,Tank1!$C$32:$C$49)*Impacts!$F$8),0)</f>
        <v>0</v>
      </c>
      <c r="M961" s="10">
        <f>IF(Tank2!$C$23="No control",(SUMIF(Tank2!$B$32:$B$49,$J961,Tank2!$C$32:$C$49)*Impacts!$F$9),0)</f>
        <v>0</v>
      </c>
      <c r="N961" s="10">
        <f>IF(Tank3!$C$23="No control",(SUMIF(Tank3!$B$32:$B$49,$J961,Tank3!$C$32:$C$49)*Impacts!$F$10),0)</f>
        <v>0</v>
      </c>
      <c r="O961" s="10">
        <f>IF(Tank4!$C$23="No control",(SUMIF(Tank4!$B$32:$B$49,$J961,Tank4!$C$32:$C$49)*Impacts!$F$11),0)</f>
        <v>0</v>
      </c>
      <c r="P961" s="10">
        <f>IF(Tank5!$C$23="No control",(SUMIF(Tank5!$B$32:$B$49,$J961,Tank5!$C$32:$C$49)*Impacts!$F$12),0)</f>
        <v>0</v>
      </c>
      <c r="Q961" s="10">
        <f>IFERROR(IF(('Loading-drum,tote'!$C$21)="No control",SUMIF(('Loading-drum,tote'!$B$31:$B$48),$J961,('Loading-drum,tote'!$D$31:$D$48))*Impacts!$F$13,IF(('Loading-drum,tote'!$C$21)&lt;&gt;"No control",SUMIF(('Loading-drum,tote'!$B$31:$B$48),$J961,('Loading-drum,tote'!$E$31:$E$48))*Impacts!$F$13,0)),0)</f>
        <v>0</v>
      </c>
      <c r="R961" s="10">
        <f>IFERROR(IF(('Loading-truck'!$C$21)="No control",SUMIF(('Loading-truck'!$B$31:$B$48),$J961,('Loading-truck'!$D$31:$D$48))*Impacts!$F$14,IF(('Loading-truck'!$C$21)&lt;&gt;"No control",SUMIF(('Loading-truck'!$B$31:$B$48),$J961,('Loading-truck'!$E$31:$E$48))*Impacts!$F$14,0)),0)</f>
        <v>0</v>
      </c>
      <c r="S961" s="10">
        <f>IFERROR(IF(('Loading-rail'!$C$21)="No control",SUMIF(('Loading-rail'!$B$31:$B$48),$J961,('Loading-rail'!$D$31:$D$48))*Impacts!$F$15,IF(('Loading-rail'!$C$21)&lt;&gt;"No control",SUMIF(('Loading-rail'!$B$31:$B$48),$J961,('Loading-rail'!$E$31:$E$48))*Impacts!$F$15,0)),0)</f>
        <v>0</v>
      </c>
      <c r="T961" s="10">
        <f>IF(Flare!$C$7="",0,(SUMIF(Flare!$B$46:$B$185,$J961,Flare!$E$46:$E$185)*Impacts!$F$16))</f>
        <v>0</v>
      </c>
      <c r="U961" s="10">
        <f>IF(VCU!$C$9="",0,(SUMIF(VCU!$B$51:$B$193,$J961,VCU!$E$51:$E$193)*Impacts!$F$17))</f>
        <v>0</v>
      </c>
      <c r="V961" s="10">
        <f>IF(CAS!$C$7="",0,(SUMIF(CAS!$B$31:$B$167,$J961,CAS!$E$31:$E$167)*Impacts!$F$18))</f>
        <v>0</v>
      </c>
      <c r="W961" s="10">
        <f t="shared" si="56"/>
        <v>0</v>
      </c>
      <c r="AK961" s="10" t="str">
        <f t="array" ref="AK961">IFERROR(INDEX(SelectedSpecies,SMALL(IF(SelectedSpecies=AK$1,ROW(SelectedSpecies)),ROW(962:962)),2),"")</f>
        <v/>
      </c>
      <c r="BE961" s="10"/>
      <c r="BI961" s="10"/>
    </row>
    <row r="962" spans="1:61" ht="21" customHeight="1" x14ac:dyDescent="0.25">
      <c r="A962" s="10"/>
      <c r="B962" s="10"/>
      <c r="E962" s="10"/>
      <c r="G962" s="10"/>
      <c r="I962" s="436" t="s">
        <v>5782</v>
      </c>
      <c r="J962" s="26" t="s">
        <v>5781</v>
      </c>
      <c r="K962" s="10">
        <v>1</v>
      </c>
      <c r="L962" s="73">
        <f>IF(Tank1!$C$23="No control",(SUMIF(Tank1!$B$32:$B$49,$J962,Tank1!$C$32:$C$49)*Impacts!$F$8),0)</f>
        <v>0</v>
      </c>
      <c r="M962" s="10">
        <f>IF(Tank2!$C$23="No control",(SUMIF(Tank2!$B$32:$B$49,$J962,Tank2!$C$32:$C$49)*Impacts!$F$9),0)</f>
        <v>0</v>
      </c>
      <c r="N962" s="10">
        <f>IF(Tank3!$C$23="No control",(SUMIF(Tank3!$B$32:$B$49,$J962,Tank3!$C$32:$C$49)*Impacts!$F$10),0)</f>
        <v>0</v>
      </c>
      <c r="O962" s="10">
        <f>IF(Tank4!$C$23="No control",(SUMIF(Tank4!$B$32:$B$49,$J962,Tank4!$C$32:$C$49)*Impacts!$F$11),0)</f>
        <v>0</v>
      </c>
      <c r="P962" s="10">
        <f>IF(Tank5!$C$23="No control",(SUMIF(Tank5!$B$32:$B$49,$J962,Tank5!$C$32:$C$49)*Impacts!$F$12),0)</f>
        <v>0</v>
      </c>
      <c r="Q962" s="10">
        <f>IFERROR(IF(('Loading-drum,tote'!$C$21)="No control",SUMIF(('Loading-drum,tote'!$B$31:$B$48),$J962,('Loading-drum,tote'!$D$31:$D$48))*Impacts!$F$13,IF(('Loading-drum,tote'!$C$21)&lt;&gt;"No control",SUMIF(('Loading-drum,tote'!$B$31:$B$48),$J962,('Loading-drum,tote'!$E$31:$E$48))*Impacts!$F$13,0)),0)</f>
        <v>0</v>
      </c>
      <c r="R962" s="10">
        <f>IFERROR(IF(('Loading-truck'!$C$21)="No control",SUMIF(('Loading-truck'!$B$31:$B$48),$J962,('Loading-truck'!$D$31:$D$48))*Impacts!$F$14,IF(('Loading-truck'!$C$21)&lt;&gt;"No control",SUMIF(('Loading-truck'!$B$31:$B$48),$J962,('Loading-truck'!$E$31:$E$48))*Impacts!$F$14,0)),0)</f>
        <v>0</v>
      </c>
      <c r="S962" s="10">
        <f>IFERROR(IF(('Loading-rail'!$C$21)="No control",SUMIF(('Loading-rail'!$B$31:$B$48),$J962,('Loading-rail'!$D$31:$D$48))*Impacts!$F$15,IF(('Loading-rail'!$C$21)&lt;&gt;"No control",SUMIF(('Loading-rail'!$B$31:$B$48),$J962,('Loading-rail'!$E$31:$E$48))*Impacts!$F$15,0)),0)</f>
        <v>0</v>
      </c>
      <c r="T962" s="10">
        <f>IF(Flare!$C$7="",0,(SUMIF(Flare!$B$46:$B$185,$J962,Flare!$E$46:$E$185)*Impacts!$F$16))</f>
        <v>0</v>
      </c>
      <c r="U962" s="10">
        <f>IF(VCU!$C$9="",0,(SUMIF(VCU!$B$51:$B$193,$J962,VCU!$E$51:$E$193)*Impacts!$F$17))</f>
        <v>0</v>
      </c>
      <c r="V962" s="10">
        <f>IF(CAS!$C$7="",0,(SUMIF(CAS!$B$31:$B$167,$J962,CAS!$E$31:$E$167)*Impacts!$F$18))</f>
        <v>0</v>
      </c>
      <c r="W962" s="10">
        <f t="shared" si="56"/>
        <v>0</v>
      </c>
      <c r="AK962" s="10" t="str">
        <f t="array" ref="AK962">IFERROR(INDEX(SelectedSpecies,SMALL(IF(SelectedSpecies=AK$1,ROW(SelectedSpecies)),ROW(963:963)),2),"")</f>
        <v/>
      </c>
      <c r="BE962" s="10"/>
      <c r="BI962" s="10"/>
    </row>
    <row r="963" spans="1:61" ht="21" customHeight="1" x14ac:dyDescent="0.25">
      <c r="A963" s="10"/>
      <c r="B963" s="10"/>
      <c r="E963" s="10"/>
      <c r="G963" s="10"/>
      <c r="I963" s="436" t="s">
        <v>4843</v>
      </c>
      <c r="J963" s="26" t="s">
        <v>4842</v>
      </c>
      <c r="K963" s="10">
        <v>2.9000000000000004</v>
      </c>
      <c r="L963" s="73">
        <f>IF(Tank1!$C$23="No control",(SUMIF(Tank1!$B$32:$B$49,$J963,Tank1!$C$32:$C$49)*Impacts!$F$8),0)</f>
        <v>0</v>
      </c>
      <c r="M963" s="10">
        <f>IF(Tank2!$C$23="No control",(SUMIF(Tank2!$B$32:$B$49,$J963,Tank2!$C$32:$C$49)*Impacts!$F$9),0)</f>
        <v>0</v>
      </c>
      <c r="N963" s="10">
        <f>IF(Tank3!$C$23="No control",(SUMIF(Tank3!$B$32:$B$49,$J963,Tank3!$C$32:$C$49)*Impacts!$F$10),0)</f>
        <v>0</v>
      </c>
      <c r="O963" s="10">
        <f>IF(Tank4!$C$23="No control",(SUMIF(Tank4!$B$32:$B$49,$J963,Tank4!$C$32:$C$49)*Impacts!$F$11),0)</f>
        <v>0</v>
      </c>
      <c r="P963" s="10">
        <f>IF(Tank5!$C$23="No control",(SUMIF(Tank5!$B$32:$B$49,$J963,Tank5!$C$32:$C$49)*Impacts!$F$12),0)</f>
        <v>0</v>
      </c>
      <c r="Q963" s="10">
        <f>IFERROR(IF(('Loading-drum,tote'!$C$21)="No control",SUMIF(('Loading-drum,tote'!$B$31:$B$48),$J963,('Loading-drum,tote'!$D$31:$D$48))*Impacts!$F$13,IF(('Loading-drum,tote'!$C$21)&lt;&gt;"No control",SUMIF(('Loading-drum,tote'!$B$31:$B$48),$J963,('Loading-drum,tote'!$E$31:$E$48))*Impacts!$F$13,0)),0)</f>
        <v>0</v>
      </c>
      <c r="R963" s="10">
        <f>IFERROR(IF(('Loading-truck'!$C$21)="No control",SUMIF(('Loading-truck'!$B$31:$B$48),$J963,('Loading-truck'!$D$31:$D$48))*Impacts!$F$14,IF(('Loading-truck'!$C$21)&lt;&gt;"No control",SUMIF(('Loading-truck'!$B$31:$B$48),$J963,('Loading-truck'!$E$31:$E$48))*Impacts!$F$14,0)),0)</f>
        <v>0</v>
      </c>
      <c r="S963" s="10">
        <f>IFERROR(IF(('Loading-rail'!$C$21)="No control",SUMIF(('Loading-rail'!$B$31:$B$48),$J963,('Loading-rail'!$D$31:$D$48))*Impacts!$F$15,IF(('Loading-rail'!$C$21)&lt;&gt;"No control",SUMIF(('Loading-rail'!$B$31:$B$48),$J963,('Loading-rail'!$E$31:$E$48))*Impacts!$F$15,0)),0)</f>
        <v>0</v>
      </c>
      <c r="T963" s="10">
        <f>IF(Flare!$C$7="",0,(SUMIF(Flare!$B$46:$B$185,$J963,Flare!$E$46:$E$185)*Impacts!$F$16))</f>
        <v>0</v>
      </c>
      <c r="U963" s="10">
        <f>IF(VCU!$C$9="",0,(SUMIF(VCU!$B$51:$B$193,$J963,VCU!$E$51:$E$193)*Impacts!$F$17))</f>
        <v>0</v>
      </c>
      <c r="V963" s="10">
        <f>IF(CAS!$C$7="",0,(SUMIF(CAS!$B$31:$B$167,$J963,CAS!$E$31:$E$167)*Impacts!$F$18))</f>
        <v>0</v>
      </c>
      <c r="W963" s="10">
        <f t="shared" ref="W963:W1026" si="57">SUM(L963:V963)</f>
        <v>0</v>
      </c>
      <c r="AK963" s="10" t="str">
        <f t="array" ref="AK963">IFERROR(INDEX(SelectedSpecies,SMALL(IF(SelectedSpecies=AK$1,ROW(SelectedSpecies)),ROW(964:964)),2),"")</f>
        <v/>
      </c>
      <c r="BE963" s="10"/>
      <c r="BI963" s="10"/>
    </row>
    <row r="964" spans="1:61" ht="21" customHeight="1" x14ac:dyDescent="0.25">
      <c r="A964" s="10"/>
      <c r="B964" s="10"/>
      <c r="E964" s="10"/>
      <c r="G964" s="10"/>
      <c r="I964" s="436" t="s">
        <v>1538</v>
      </c>
      <c r="J964" s="26" t="s">
        <v>1537</v>
      </c>
      <c r="K964" s="10">
        <v>27</v>
      </c>
      <c r="L964" s="73">
        <f>IF(Tank1!$C$23="No control",(SUMIF(Tank1!$B$32:$B$49,$J964,Tank1!$C$32:$C$49)*Impacts!$F$8),0)</f>
        <v>0</v>
      </c>
      <c r="M964" s="10">
        <f>IF(Tank2!$C$23="No control",(SUMIF(Tank2!$B$32:$B$49,$J964,Tank2!$C$32:$C$49)*Impacts!$F$9),0)</f>
        <v>0</v>
      </c>
      <c r="N964" s="10">
        <f>IF(Tank3!$C$23="No control",(SUMIF(Tank3!$B$32:$B$49,$J964,Tank3!$C$32:$C$49)*Impacts!$F$10),0)</f>
        <v>0</v>
      </c>
      <c r="O964" s="10">
        <f>IF(Tank4!$C$23="No control",(SUMIF(Tank4!$B$32:$B$49,$J964,Tank4!$C$32:$C$49)*Impacts!$F$11),0)</f>
        <v>0</v>
      </c>
      <c r="P964" s="10">
        <f>IF(Tank5!$C$23="No control",(SUMIF(Tank5!$B$32:$B$49,$J964,Tank5!$C$32:$C$49)*Impacts!$F$12),0)</f>
        <v>0</v>
      </c>
      <c r="Q964" s="10">
        <f>IFERROR(IF(('Loading-drum,tote'!$C$21)="No control",SUMIF(('Loading-drum,tote'!$B$31:$B$48),$J964,('Loading-drum,tote'!$D$31:$D$48))*Impacts!$F$13,IF(('Loading-drum,tote'!$C$21)&lt;&gt;"No control",SUMIF(('Loading-drum,tote'!$B$31:$B$48),$J964,('Loading-drum,tote'!$E$31:$E$48))*Impacts!$F$13,0)),0)</f>
        <v>0</v>
      </c>
      <c r="R964" s="10">
        <f>IFERROR(IF(('Loading-truck'!$C$21)="No control",SUMIF(('Loading-truck'!$B$31:$B$48),$J964,('Loading-truck'!$D$31:$D$48))*Impacts!$F$14,IF(('Loading-truck'!$C$21)&lt;&gt;"No control",SUMIF(('Loading-truck'!$B$31:$B$48),$J964,('Loading-truck'!$E$31:$E$48))*Impacts!$F$14,0)),0)</f>
        <v>0</v>
      </c>
      <c r="S964" s="10">
        <f>IFERROR(IF(('Loading-rail'!$C$21)="No control",SUMIF(('Loading-rail'!$B$31:$B$48),$J964,('Loading-rail'!$D$31:$D$48))*Impacts!$F$15,IF(('Loading-rail'!$C$21)&lt;&gt;"No control",SUMIF(('Loading-rail'!$B$31:$B$48),$J964,('Loading-rail'!$E$31:$E$48))*Impacts!$F$15,0)),0)</f>
        <v>0</v>
      </c>
      <c r="T964" s="10">
        <f>IF(Flare!$C$7="",0,(SUMIF(Flare!$B$46:$B$185,$J964,Flare!$E$46:$E$185)*Impacts!$F$16))</f>
        <v>0</v>
      </c>
      <c r="U964" s="10">
        <f>IF(VCU!$C$9="",0,(SUMIF(VCU!$B$51:$B$193,$J964,VCU!$E$51:$E$193)*Impacts!$F$17))</f>
        <v>0</v>
      </c>
      <c r="V964" s="10">
        <f>IF(CAS!$C$7="",0,(SUMIF(CAS!$B$31:$B$167,$J964,CAS!$E$31:$E$167)*Impacts!$F$18))</f>
        <v>0</v>
      </c>
      <c r="W964" s="10">
        <f t="shared" si="57"/>
        <v>0</v>
      </c>
      <c r="AK964" s="10" t="str">
        <f t="array" ref="AK964">IFERROR(INDEX(SelectedSpecies,SMALL(IF(SelectedSpecies=AK$1,ROW(SelectedSpecies)),ROW(965:965)),2),"")</f>
        <v/>
      </c>
      <c r="BE964" s="10"/>
      <c r="BI964" s="10"/>
    </row>
    <row r="965" spans="1:61" ht="21" customHeight="1" x14ac:dyDescent="0.25">
      <c r="A965" s="10"/>
      <c r="B965" s="10"/>
      <c r="E965" s="10"/>
      <c r="G965" s="10"/>
      <c r="I965" s="436" t="s">
        <v>7704</v>
      </c>
      <c r="J965" s="26" t="s">
        <v>7703</v>
      </c>
      <c r="K965" s="10">
        <v>0.1</v>
      </c>
      <c r="L965" s="73">
        <f>IF(Tank1!$C$23="No control",(SUMIF(Tank1!$B$32:$B$49,$J965,Tank1!$C$32:$C$49)*Impacts!$F$8),0)</f>
        <v>0</v>
      </c>
      <c r="M965" s="10">
        <f>IF(Tank2!$C$23="No control",(SUMIF(Tank2!$B$32:$B$49,$J965,Tank2!$C$32:$C$49)*Impacts!$F$9),0)</f>
        <v>0</v>
      </c>
      <c r="N965" s="10">
        <f>IF(Tank3!$C$23="No control",(SUMIF(Tank3!$B$32:$B$49,$J965,Tank3!$C$32:$C$49)*Impacts!$F$10),0)</f>
        <v>0</v>
      </c>
      <c r="O965" s="10">
        <f>IF(Tank4!$C$23="No control",(SUMIF(Tank4!$B$32:$B$49,$J965,Tank4!$C$32:$C$49)*Impacts!$F$11),0)</f>
        <v>0</v>
      </c>
      <c r="P965" s="10">
        <f>IF(Tank5!$C$23="No control",(SUMIF(Tank5!$B$32:$B$49,$J965,Tank5!$C$32:$C$49)*Impacts!$F$12),0)</f>
        <v>0</v>
      </c>
      <c r="Q965" s="10">
        <f>IFERROR(IF(('Loading-drum,tote'!$C$21)="No control",SUMIF(('Loading-drum,tote'!$B$31:$B$48),$J965,('Loading-drum,tote'!$D$31:$D$48))*Impacts!$F$13,IF(('Loading-drum,tote'!$C$21)&lt;&gt;"No control",SUMIF(('Loading-drum,tote'!$B$31:$B$48),$J965,('Loading-drum,tote'!$E$31:$E$48))*Impacts!$F$13,0)),0)</f>
        <v>0</v>
      </c>
      <c r="R965" s="10">
        <f>IFERROR(IF(('Loading-truck'!$C$21)="No control",SUMIF(('Loading-truck'!$B$31:$B$48),$J965,('Loading-truck'!$D$31:$D$48))*Impacts!$F$14,IF(('Loading-truck'!$C$21)&lt;&gt;"No control",SUMIF(('Loading-truck'!$B$31:$B$48),$J965,('Loading-truck'!$E$31:$E$48))*Impacts!$F$14,0)),0)</f>
        <v>0</v>
      </c>
      <c r="S965" s="10">
        <f>IFERROR(IF(('Loading-rail'!$C$21)="No control",SUMIF(('Loading-rail'!$B$31:$B$48),$J965,('Loading-rail'!$D$31:$D$48))*Impacts!$F$15,IF(('Loading-rail'!$C$21)&lt;&gt;"No control",SUMIF(('Loading-rail'!$B$31:$B$48),$J965,('Loading-rail'!$E$31:$E$48))*Impacts!$F$15,0)),0)</f>
        <v>0</v>
      </c>
      <c r="T965" s="10">
        <f>IF(Flare!$C$7="",0,(SUMIF(Flare!$B$46:$B$185,$J965,Flare!$E$46:$E$185)*Impacts!$F$16))</f>
        <v>0</v>
      </c>
      <c r="U965" s="10">
        <f>IF(VCU!$C$9="",0,(SUMIF(VCU!$B$51:$B$193,$J965,VCU!$E$51:$E$193)*Impacts!$F$17))</f>
        <v>0</v>
      </c>
      <c r="V965" s="10">
        <f>IF(CAS!$C$7="",0,(SUMIF(CAS!$B$31:$B$167,$J965,CAS!$E$31:$E$167)*Impacts!$F$18))</f>
        <v>0</v>
      </c>
      <c r="W965" s="10">
        <f t="shared" si="57"/>
        <v>0</v>
      </c>
      <c r="AK965" s="10" t="str">
        <f t="array" ref="AK965">IFERROR(INDEX(SelectedSpecies,SMALL(IF(SelectedSpecies=AK$1,ROW(SelectedSpecies)),ROW(966:966)),2),"")</f>
        <v/>
      </c>
      <c r="BE965" s="10"/>
      <c r="BI965" s="10"/>
    </row>
    <row r="966" spans="1:61" ht="21" customHeight="1" x14ac:dyDescent="0.25">
      <c r="A966" s="10"/>
      <c r="B966" s="10"/>
      <c r="E966" s="10"/>
      <c r="G966" s="10"/>
      <c r="I966" s="436" t="s">
        <v>2099</v>
      </c>
      <c r="J966" s="26" t="s">
        <v>2098</v>
      </c>
      <c r="K966" s="10">
        <v>15</v>
      </c>
      <c r="L966" s="73">
        <f>IF(Tank1!$C$23="No control",(SUMIF(Tank1!$B$32:$B$49,$J966,Tank1!$C$32:$C$49)*Impacts!$F$8),0)</f>
        <v>0</v>
      </c>
      <c r="M966" s="10">
        <f>IF(Tank2!$C$23="No control",(SUMIF(Tank2!$B$32:$B$49,$J966,Tank2!$C$32:$C$49)*Impacts!$F$9),0)</f>
        <v>0</v>
      </c>
      <c r="N966" s="10">
        <f>IF(Tank3!$C$23="No control",(SUMIF(Tank3!$B$32:$B$49,$J966,Tank3!$C$32:$C$49)*Impacts!$F$10),0)</f>
        <v>0</v>
      </c>
      <c r="O966" s="10">
        <f>IF(Tank4!$C$23="No control",(SUMIF(Tank4!$B$32:$B$49,$J966,Tank4!$C$32:$C$49)*Impacts!$F$11),0)</f>
        <v>0</v>
      </c>
      <c r="P966" s="10">
        <f>IF(Tank5!$C$23="No control",(SUMIF(Tank5!$B$32:$B$49,$J966,Tank5!$C$32:$C$49)*Impacts!$F$12),0)</f>
        <v>0</v>
      </c>
      <c r="Q966" s="10">
        <f>IFERROR(IF(('Loading-drum,tote'!$C$21)="No control",SUMIF(('Loading-drum,tote'!$B$31:$B$48),$J966,('Loading-drum,tote'!$D$31:$D$48))*Impacts!$F$13,IF(('Loading-drum,tote'!$C$21)&lt;&gt;"No control",SUMIF(('Loading-drum,tote'!$B$31:$B$48),$J966,('Loading-drum,tote'!$E$31:$E$48))*Impacts!$F$13,0)),0)</f>
        <v>0</v>
      </c>
      <c r="R966" s="10">
        <f>IFERROR(IF(('Loading-truck'!$C$21)="No control",SUMIF(('Loading-truck'!$B$31:$B$48),$J966,('Loading-truck'!$D$31:$D$48))*Impacts!$F$14,IF(('Loading-truck'!$C$21)&lt;&gt;"No control",SUMIF(('Loading-truck'!$B$31:$B$48),$J966,('Loading-truck'!$E$31:$E$48))*Impacts!$F$14,0)),0)</f>
        <v>0</v>
      </c>
      <c r="S966" s="10">
        <f>IFERROR(IF(('Loading-rail'!$C$21)="No control",SUMIF(('Loading-rail'!$B$31:$B$48),$J966,('Loading-rail'!$D$31:$D$48))*Impacts!$F$15,IF(('Loading-rail'!$C$21)&lt;&gt;"No control",SUMIF(('Loading-rail'!$B$31:$B$48),$J966,('Loading-rail'!$E$31:$E$48))*Impacts!$F$15,0)),0)</f>
        <v>0</v>
      </c>
      <c r="T966" s="10">
        <f>IF(Flare!$C$7="",0,(SUMIF(Flare!$B$46:$B$185,$J966,Flare!$E$46:$E$185)*Impacts!$F$16))</f>
        <v>0</v>
      </c>
      <c r="U966" s="10">
        <f>IF(VCU!$C$9="",0,(SUMIF(VCU!$B$51:$B$193,$J966,VCU!$E$51:$E$193)*Impacts!$F$17))</f>
        <v>0</v>
      </c>
      <c r="V966" s="10">
        <f>IF(CAS!$C$7="",0,(SUMIF(CAS!$B$31:$B$167,$J966,CAS!$E$31:$E$167)*Impacts!$F$18))</f>
        <v>0</v>
      </c>
      <c r="W966" s="10">
        <f t="shared" si="57"/>
        <v>0</v>
      </c>
      <c r="AK966" s="10" t="str">
        <f t="array" ref="AK966">IFERROR(INDEX(SelectedSpecies,SMALL(IF(SelectedSpecies=AK$1,ROW(SelectedSpecies)),ROW(967:967)),2),"")</f>
        <v/>
      </c>
      <c r="BE966" s="10"/>
      <c r="BI966" s="10"/>
    </row>
    <row r="967" spans="1:61" ht="21" customHeight="1" x14ac:dyDescent="0.25">
      <c r="A967" s="10"/>
      <c r="B967" s="10"/>
      <c r="E967" s="10"/>
      <c r="G967" s="10"/>
      <c r="I967" s="436" t="s">
        <v>2101</v>
      </c>
      <c r="J967" s="26" t="s">
        <v>2100</v>
      </c>
      <c r="K967" s="10">
        <v>15</v>
      </c>
      <c r="L967" s="73">
        <f>IF(Tank1!$C$23="No control",(SUMIF(Tank1!$B$32:$B$49,$J967,Tank1!$C$32:$C$49)*Impacts!$F$8),0)</f>
        <v>0</v>
      </c>
      <c r="M967" s="10">
        <f>IF(Tank2!$C$23="No control",(SUMIF(Tank2!$B$32:$B$49,$J967,Tank2!$C$32:$C$49)*Impacts!$F$9),0)</f>
        <v>0</v>
      </c>
      <c r="N967" s="10">
        <f>IF(Tank3!$C$23="No control",(SUMIF(Tank3!$B$32:$B$49,$J967,Tank3!$C$32:$C$49)*Impacts!$F$10),0)</f>
        <v>0</v>
      </c>
      <c r="O967" s="10">
        <f>IF(Tank4!$C$23="No control",(SUMIF(Tank4!$B$32:$B$49,$J967,Tank4!$C$32:$C$49)*Impacts!$F$11),0)</f>
        <v>0</v>
      </c>
      <c r="P967" s="10">
        <f>IF(Tank5!$C$23="No control",(SUMIF(Tank5!$B$32:$B$49,$J967,Tank5!$C$32:$C$49)*Impacts!$F$12),0)</f>
        <v>0</v>
      </c>
      <c r="Q967" s="10">
        <f>IFERROR(IF(('Loading-drum,tote'!$C$21)="No control",SUMIF(('Loading-drum,tote'!$B$31:$B$48),$J967,('Loading-drum,tote'!$D$31:$D$48))*Impacts!$F$13,IF(('Loading-drum,tote'!$C$21)&lt;&gt;"No control",SUMIF(('Loading-drum,tote'!$B$31:$B$48),$J967,('Loading-drum,tote'!$E$31:$E$48))*Impacts!$F$13,0)),0)</f>
        <v>0</v>
      </c>
      <c r="R967" s="10">
        <f>IFERROR(IF(('Loading-truck'!$C$21)="No control",SUMIF(('Loading-truck'!$B$31:$B$48),$J967,('Loading-truck'!$D$31:$D$48))*Impacts!$F$14,IF(('Loading-truck'!$C$21)&lt;&gt;"No control",SUMIF(('Loading-truck'!$B$31:$B$48),$J967,('Loading-truck'!$E$31:$E$48))*Impacts!$F$14,0)),0)</f>
        <v>0</v>
      </c>
      <c r="S967" s="10">
        <f>IFERROR(IF(('Loading-rail'!$C$21)="No control",SUMIF(('Loading-rail'!$B$31:$B$48),$J967,('Loading-rail'!$D$31:$D$48))*Impacts!$F$15,IF(('Loading-rail'!$C$21)&lt;&gt;"No control",SUMIF(('Loading-rail'!$B$31:$B$48),$J967,('Loading-rail'!$E$31:$E$48))*Impacts!$F$15,0)),0)</f>
        <v>0</v>
      </c>
      <c r="T967" s="10">
        <f>IF(Flare!$C$7="",0,(SUMIF(Flare!$B$46:$B$185,$J967,Flare!$E$46:$E$185)*Impacts!$F$16))</f>
        <v>0</v>
      </c>
      <c r="U967" s="10">
        <f>IF(VCU!$C$9="",0,(SUMIF(VCU!$B$51:$B$193,$J967,VCU!$E$51:$E$193)*Impacts!$F$17))</f>
        <v>0</v>
      </c>
      <c r="V967" s="10">
        <f>IF(CAS!$C$7="",0,(SUMIF(CAS!$B$31:$B$167,$J967,CAS!$E$31:$E$167)*Impacts!$F$18))</f>
        <v>0</v>
      </c>
      <c r="W967" s="10">
        <f t="shared" si="57"/>
        <v>0</v>
      </c>
      <c r="AK967" s="10" t="str">
        <f t="array" ref="AK967">IFERROR(INDEX(SelectedSpecies,SMALL(IF(SelectedSpecies=AK$1,ROW(SelectedSpecies)),ROW(968:968)),2),"")</f>
        <v/>
      </c>
      <c r="BE967" s="10"/>
      <c r="BI967" s="10"/>
    </row>
    <row r="968" spans="1:61" ht="21" customHeight="1" x14ac:dyDescent="0.25">
      <c r="A968" s="10"/>
      <c r="B968" s="10"/>
      <c r="E968" s="10"/>
      <c r="G968" s="10"/>
      <c r="I968" s="436" t="s">
        <v>5315</v>
      </c>
      <c r="J968" s="26" t="s">
        <v>5314</v>
      </c>
      <c r="K968" s="10">
        <v>1.7000000000000002</v>
      </c>
      <c r="L968" s="73">
        <f>IF(Tank1!$C$23="No control",(SUMIF(Tank1!$B$32:$B$49,$J968,Tank1!$C$32:$C$49)*Impacts!$F$8),0)</f>
        <v>0</v>
      </c>
      <c r="M968" s="10">
        <f>IF(Tank2!$C$23="No control",(SUMIF(Tank2!$B$32:$B$49,$J968,Tank2!$C$32:$C$49)*Impacts!$F$9),0)</f>
        <v>0</v>
      </c>
      <c r="N968" s="10">
        <f>IF(Tank3!$C$23="No control",(SUMIF(Tank3!$B$32:$B$49,$J968,Tank3!$C$32:$C$49)*Impacts!$F$10),0)</f>
        <v>0</v>
      </c>
      <c r="O968" s="10">
        <f>IF(Tank4!$C$23="No control",(SUMIF(Tank4!$B$32:$B$49,$J968,Tank4!$C$32:$C$49)*Impacts!$F$11),0)</f>
        <v>0</v>
      </c>
      <c r="P968" s="10">
        <f>IF(Tank5!$C$23="No control",(SUMIF(Tank5!$B$32:$B$49,$J968,Tank5!$C$32:$C$49)*Impacts!$F$12),0)</f>
        <v>0</v>
      </c>
      <c r="Q968" s="10">
        <f>IFERROR(IF(('Loading-drum,tote'!$C$21)="No control",SUMIF(('Loading-drum,tote'!$B$31:$B$48),$J968,('Loading-drum,tote'!$D$31:$D$48))*Impacts!$F$13,IF(('Loading-drum,tote'!$C$21)&lt;&gt;"No control",SUMIF(('Loading-drum,tote'!$B$31:$B$48),$J968,('Loading-drum,tote'!$E$31:$E$48))*Impacts!$F$13,0)),0)</f>
        <v>0</v>
      </c>
      <c r="R968" s="10">
        <f>IFERROR(IF(('Loading-truck'!$C$21)="No control",SUMIF(('Loading-truck'!$B$31:$B$48),$J968,('Loading-truck'!$D$31:$D$48))*Impacts!$F$14,IF(('Loading-truck'!$C$21)&lt;&gt;"No control",SUMIF(('Loading-truck'!$B$31:$B$48),$J968,('Loading-truck'!$E$31:$E$48))*Impacts!$F$14,0)),0)</f>
        <v>0</v>
      </c>
      <c r="S968" s="10">
        <f>IFERROR(IF(('Loading-rail'!$C$21)="No control",SUMIF(('Loading-rail'!$B$31:$B$48),$J968,('Loading-rail'!$D$31:$D$48))*Impacts!$F$15,IF(('Loading-rail'!$C$21)&lt;&gt;"No control",SUMIF(('Loading-rail'!$B$31:$B$48),$J968,('Loading-rail'!$E$31:$E$48))*Impacts!$F$15,0)),0)</f>
        <v>0</v>
      </c>
      <c r="T968" s="10">
        <f>IF(Flare!$C$7="",0,(SUMIF(Flare!$B$46:$B$185,$J968,Flare!$E$46:$E$185)*Impacts!$F$16))</f>
        <v>0</v>
      </c>
      <c r="U968" s="10">
        <f>IF(VCU!$C$9="",0,(SUMIF(VCU!$B$51:$B$193,$J968,VCU!$E$51:$E$193)*Impacts!$F$17))</f>
        <v>0</v>
      </c>
      <c r="V968" s="10">
        <f>IF(CAS!$C$7="",0,(SUMIF(CAS!$B$31:$B$167,$J968,CAS!$E$31:$E$167)*Impacts!$F$18))</f>
        <v>0</v>
      </c>
      <c r="W968" s="10">
        <f t="shared" si="57"/>
        <v>0</v>
      </c>
      <c r="AK968" s="10" t="str">
        <f t="array" ref="AK968">IFERROR(INDEX(SelectedSpecies,SMALL(IF(SelectedSpecies=AK$1,ROW(SelectedSpecies)),ROW(969:969)),2),"")</f>
        <v/>
      </c>
      <c r="BE968" s="10"/>
      <c r="BI968" s="10"/>
    </row>
    <row r="969" spans="1:61" ht="21" customHeight="1" x14ac:dyDescent="0.25">
      <c r="A969" s="10"/>
      <c r="B969" s="10"/>
      <c r="E969" s="10"/>
      <c r="G969" s="10"/>
      <c r="I969" s="436" t="s">
        <v>7166</v>
      </c>
      <c r="J969" s="26" t="s">
        <v>7165</v>
      </c>
      <c r="K969" s="10">
        <v>0.33</v>
      </c>
      <c r="L969" s="73">
        <f>IF(Tank1!$C$23="No control",(SUMIF(Tank1!$B$32:$B$49,$J969,Tank1!$C$32:$C$49)*Impacts!$F$8),0)</f>
        <v>0</v>
      </c>
      <c r="M969" s="10">
        <f>IF(Tank2!$C$23="No control",(SUMIF(Tank2!$B$32:$B$49,$J969,Tank2!$C$32:$C$49)*Impacts!$F$9),0)</f>
        <v>0</v>
      </c>
      <c r="N969" s="10">
        <f>IF(Tank3!$C$23="No control",(SUMIF(Tank3!$B$32:$B$49,$J969,Tank3!$C$32:$C$49)*Impacts!$F$10),0)</f>
        <v>0</v>
      </c>
      <c r="O969" s="10">
        <f>IF(Tank4!$C$23="No control",(SUMIF(Tank4!$B$32:$B$49,$J969,Tank4!$C$32:$C$49)*Impacts!$F$11),0)</f>
        <v>0</v>
      </c>
      <c r="P969" s="10">
        <f>IF(Tank5!$C$23="No control",(SUMIF(Tank5!$B$32:$B$49,$J969,Tank5!$C$32:$C$49)*Impacts!$F$12),0)</f>
        <v>0</v>
      </c>
      <c r="Q969" s="10">
        <f>IFERROR(IF(('Loading-drum,tote'!$C$21)="No control",SUMIF(('Loading-drum,tote'!$B$31:$B$48),$J969,('Loading-drum,tote'!$D$31:$D$48))*Impacts!$F$13,IF(('Loading-drum,tote'!$C$21)&lt;&gt;"No control",SUMIF(('Loading-drum,tote'!$B$31:$B$48),$J969,('Loading-drum,tote'!$E$31:$E$48))*Impacts!$F$13,0)),0)</f>
        <v>0</v>
      </c>
      <c r="R969" s="10">
        <f>IFERROR(IF(('Loading-truck'!$C$21)="No control",SUMIF(('Loading-truck'!$B$31:$B$48),$J969,('Loading-truck'!$D$31:$D$48))*Impacts!$F$14,IF(('Loading-truck'!$C$21)&lt;&gt;"No control",SUMIF(('Loading-truck'!$B$31:$B$48),$J969,('Loading-truck'!$E$31:$E$48))*Impacts!$F$14,0)),0)</f>
        <v>0</v>
      </c>
      <c r="S969" s="10">
        <f>IFERROR(IF(('Loading-rail'!$C$21)="No control",SUMIF(('Loading-rail'!$B$31:$B$48),$J969,('Loading-rail'!$D$31:$D$48))*Impacts!$F$15,IF(('Loading-rail'!$C$21)&lt;&gt;"No control",SUMIF(('Loading-rail'!$B$31:$B$48),$J969,('Loading-rail'!$E$31:$E$48))*Impacts!$F$15,0)),0)</f>
        <v>0</v>
      </c>
      <c r="T969" s="10">
        <f>IF(Flare!$C$7="",0,(SUMIF(Flare!$B$46:$B$185,$J969,Flare!$E$46:$E$185)*Impacts!$F$16))</f>
        <v>0</v>
      </c>
      <c r="U969" s="10">
        <f>IF(VCU!$C$9="",0,(SUMIF(VCU!$B$51:$B$193,$J969,VCU!$E$51:$E$193)*Impacts!$F$17))</f>
        <v>0</v>
      </c>
      <c r="V969" s="10">
        <f>IF(CAS!$C$7="",0,(SUMIF(CAS!$B$31:$B$167,$J969,CAS!$E$31:$E$167)*Impacts!$F$18))</f>
        <v>0</v>
      </c>
      <c r="W969" s="10">
        <f t="shared" si="57"/>
        <v>0</v>
      </c>
      <c r="AK969" s="10" t="str">
        <f t="array" ref="AK969">IFERROR(INDEX(SelectedSpecies,SMALL(IF(SelectedSpecies=AK$1,ROW(SelectedSpecies)),ROW(970:970)),2),"")</f>
        <v/>
      </c>
      <c r="BE969" s="10"/>
      <c r="BI969" s="10"/>
    </row>
    <row r="970" spans="1:61" ht="21" customHeight="1" x14ac:dyDescent="0.25">
      <c r="A970" s="10"/>
      <c r="B970" s="10"/>
      <c r="E970" s="10"/>
      <c r="G970" s="10"/>
      <c r="I970" s="436" t="s">
        <v>7458</v>
      </c>
      <c r="J970" s="26" t="s">
        <v>7457</v>
      </c>
      <c r="K970" s="10">
        <v>0.2</v>
      </c>
      <c r="L970" s="73">
        <f>IF(Tank1!$C$23="No control",(SUMIF(Tank1!$B$32:$B$49,$J970,Tank1!$C$32:$C$49)*Impacts!$F$8),0)</f>
        <v>0</v>
      </c>
      <c r="M970" s="10">
        <f>IF(Tank2!$C$23="No control",(SUMIF(Tank2!$B$32:$B$49,$J970,Tank2!$C$32:$C$49)*Impacts!$F$9),0)</f>
        <v>0</v>
      </c>
      <c r="N970" s="10">
        <f>IF(Tank3!$C$23="No control",(SUMIF(Tank3!$B$32:$B$49,$J970,Tank3!$C$32:$C$49)*Impacts!$F$10),0)</f>
        <v>0</v>
      </c>
      <c r="O970" s="10">
        <f>IF(Tank4!$C$23="No control",(SUMIF(Tank4!$B$32:$B$49,$J970,Tank4!$C$32:$C$49)*Impacts!$F$11),0)</f>
        <v>0</v>
      </c>
      <c r="P970" s="10">
        <f>IF(Tank5!$C$23="No control",(SUMIF(Tank5!$B$32:$B$49,$J970,Tank5!$C$32:$C$49)*Impacts!$F$12),0)</f>
        <v>0</v>
      </c>
      <c r="Q970" s="10">
        <f>IFERROR(IF(('Loading-drum,tote'!$C$21)="No control",SUMIF(('Loading-drum,tote'!$B$31:$B$48),$J970,('Loading-drum,tote'!$D$31:$D$48))*Impacts!$F$13,IF(('Loading-drum,tote'!$C$21)&lt;&gt;"No control",SUMIF(('Loading-drum,tote'!$B$31:$B$48),$J970,('Loading-drum,tote'!$E$31:$E$48))*Impacts!$F$13,0)),0)</f>
        <v>0</v>
      </c>
      <c r="R970" s="10">
        <f>IFERROR(IF(('Loading-truck'!$C$21)="No control",SUMIF(('Loading-truck'!$B$31:$B$48),$J970,('Loading-truck'!$D$31:$D$48))*Impacts!$F$14,IF(('Loading-truck'!$C$21)&lt;&gt;"No control",SUMIF(('Loading-truck'!$B$31:$B$48),$J970,('Loading-truck'!$E$31:$E$48))*Impacts!$F$14,0)),0)</f>
        <v>0</v>
      </c>
      <c r="S970" s="10">
        <f>IFERROR(IF(('Loading-rail'!$C$21)="No control",SUMIF(('Loading-rail'!$B$31:$B$48),$J970,('Loading-rail'!$D$31:$D$48))*Impacts!$F$15,IF(('Loading-rail'!$C$21)&lt;&gt;"No control",SUMIF(('Loading-rail'!$B$31:$B$48),$J970,('Loading-rail'!$E$31:$E$48))*Impacts!$F$15,0)),0)</f>
        <v>0</v>
      </c>
      <c r="T970" s="10">
        <f>IF(Flare!$C$7="",0,(SUMIF(Flare!$B$46:$B$185,$J970,Flare!$E$46:$E$185)*Impacts!$F$16))</f>
        <v>0</v>
      </c>
      <c r="U970" s="10">
        <f>IF(VCU!$C$9="",0,(SUMIF(VCU!$B$51:$B$193,$J970,VCU!$E$51:$E$193)*Impacts!$F$17))</f>
        <v>0</v>
      </c>
      <c r="V970" s="10">
        <f>IF(CAS!$C$7="",0,(SUMIF(CAS!$B$31:$B$167,$J970,CAS!$E$31:$E$167)*Impacts!$F$18))</f>
        <v>0</v>
      </c>
      <c r="W970" s="10">
        <f t="shared" si="57"/>
        <v>0</v>
      </c>
      <c r="AK970" s="10" t="str">
        <f t="array" ref="AK970">IFERROR(INDEX(SelectedSpecies,SMALL(IF(SelectedSpecies=AK$1,ROW(SelectedSpecies)),ROW(971:971)),2),"")</f>
        <v/>
      </c>
      <c r="BE970" s="10"/>
      <c r="BI970" s="10"/>
    </row>
    <row r="971" spans="1:61" ht="21" customHeight="1" x14ac:dyDescent="0.25">
      <c r="A971" s="10"/>
      <c r="B971" s="10"/>
      <c r="E971" s="10"/>
      <c r="G971" s="10"/>
      <c r="I971" s="436" t="s">
        <v>1833</v>
      </c>
      <c r="J971" s="26" t="s">
        <v>1832</v>
      </c>
      <c r="K971" s="10">
        <v>20</v>
      </c>
      <c r="L971" s="73">
        <f>IF(Tank1!$C$23="No control",(SUMIF(Tank1!$B$32:$B$49,$J971,Tank1!$C$32:$C$49)*Impacts!$F$8),0)</f>
        <v>0</v>
      </c>
      <c r="M971" s="10">
        <f>IF(Tank2!$C$23="No control",(SUMIF(Tank2!$B$32:$B$49,$J971,Tank2!$C$32:$C$49)*Impacts!$F$9),0)</f>
        <v>0</v>
      </c>
      <c r="N971" s="10">
        <f>IF(Tank3!$C$23="No control",(SUMIF(Tank3!$B$32:$B$49,$J971,Tank3!$C$32:$C$49)*Impacts!$F$10),0)</f>
        <v>0</v>
      </c>
      <c r="O971" s="10">
        <f>IF(Tank4!$C$23="No control",(SUMIF(Tank4!$B$32:$B$49,$J971,Tank4!$C$32:$C$49)*Impacts!$F$11),0)</f>
        <v>0</v>
      </c>
      <c r="P971" s="10">
        <f>IF(Tank5!$C$23="No control",(SUMIF(Tank5!$B$32:$B$49,$J971,Tank5!$C$32:$C$49)*Impacts!$F$12),0)</f>
        <v>0</v>
      </c>
      <c r="Q971" s="10">
        <f>IFERROR(IF(('Loading-drum,tote'!$C$21)="No control",SUMIF(('Loading-drum,tote'!$B$31:$B$48),$J971,('Loading-drum,tote'!$D$31:$D$48))*Impacts!$F$13,IF(('Loading-drum,tote'!$C$21)&lt;&gt;"No control",SUMIF(('Loading-drum,tote'!$B$31:$B$48),$J971,('Loading-drum,tote'!$E$31:$E$48))*Impacts!$F$13,0)),0)</f>
        <v>0</v>
      </c>
      <c r="R971" s="10">
        <f>IFERROR(IF(('Loading-truck'!$C$21)="No control",SUMIF(('Loading-truck'!$B$31:$B$48),$J971,('Loading-truck'!$D$31:$D$48))*Impacts!$F$14,IF(('Loading-truck'!$C$21)&lt;&gt;"No control",SUMIF(('Loading-truck'!$B$31:$B$48),$J971,('Loading-truck'!$E$31:$E$48))*Impacts!$F$14,0)),0)</f>
        <v>0</v>
      </c>
      <c r="S971" s="10">
        <f>IFERROR(IF(('Loading-rail'!$C$21)="No control",SUMIF(('Loading-rail'!$B$31:$B$48),$J971,('Loading-rail'!$D$31:$D$48))*Impacts!$F$15,IF(('Loading-rail'!$C$21)&lt;&gt;"No control",SUMIF(('Loading-rail'!$B$31:$B$48),$J971,('Loading-rail'!$E$31:$E$48))*Impacts!$F$15,0)),0)</f>
        <v>0</v>
      </c>
      <c r="T971" s="10">
        <f>IF(Flare!$C$7="",0,(SUMIF(Flare!$B$46:$B$185,$J971,Flare!$E$46:$E$185)*Impacts!$F$16))</f>
        <v>0</v>
      </c>
      <c r="U971" s="10">
        <f>IF(VCU!$C$9="",0,(SUMIF(VCU!$B$51:$B$193,$J971,VCU!$E$51:$E$193)*Impacts!$F$17))</f>
        <v>0</v>
      </c>
      <c r="V971" s="10">
        <f>IF(CAS!$C$7="",0,(SUMIF(CAS!$B$31:$B$167,$J971,CAS!$E$31:$E$167)*Impacts!$F$18))</f>
        <v>0</v>
      </c>
      <c r="W971" s="10">
        <f t="shared" si="57"/>
        <v>0</v>
      </c>
      <c r="AK971" s="10" t="str">
        <f t="array" ref="AK971">IFERROR(INDEX(SelectedSpecies,SMALL(IF(SelectedSpecies=AK$1,ROW(SelectedSpecies)),ROW(972:972)),2),"")</f>
        <v/>
      </c>
      <c r="BE971" s="10"/>
      <c r="BI971" s="10"/>
    </row>
    <row r="972" spans="1:61" ht="21" customHeight="1" x14ac:dyDescent="0.25">
      <c r="A972" s="10"/>
      <c r="B972" s="10"/>
      <c r="E972" s="10"/>
      <c r="G972" s="10"/>
      <c r="I972" s="436" t="s">
        <v>7900</v>
      </c>
      <c r="J972" s="26" t="s">
        <v>7899</v>
      </c>
      <c r="K972" s="10">
        <v>0.05</v>
      </c>
      <c r="L972" s="73">
        <f>IF(Tank1!$C$23="No control",(SUMIF(Tank1!$B$32:$B$49,$J972,Tank1!$C$32:$C$49)*Impacts!$F$8),0)</f>
        <v>0</v>
      </c>
      <c r="M972" s="10">
        <f>IF(Tank2!$C$23="No control",(SUMIF(Tank2!$B$32:$B$49,$J972,Tank2!$C$32:$C$49)*Impacts!$F$9),0)</f>
        <v>0</v>
      </c>
      <c r="N972" s="10">
        <f>IF(Tank3!$C$23="No control",(SUMIF(Tank3!$B$32:$B$49,$J972,Tank3!$C$32:$C$49)*Impacts!$F$10),0)</f>
        <v>0</v>
      </c>
      <c r="O972" s="10">
        <f>IF(Tank4!$C$23="No control",(SUMIF(Tank4!$B$32:$B$49,$J972,Tank4!$C$32:$C$49)*Impacts!$F$11),0)</f>
        <v>0</v>
      </c>
      <c r="P972" s="10">
        <f>IF(Tank5!$C$23="No control",(SUMIF(Tank5!$B$32:$B$49,$J972,Tank5!$C$32:$C$49)*Impacts!$F$12),0)</f>
        <v>0</v>
      </c>
      <c r="Q972" s="10">
        <f>IFERROR(IF(('Loading-drum,tote'!$C$21)="No control",SUMIF(('Loading-drum,tote'!$B$31:$B$48),$J972,('Loading-drum,tote'!$D$31:$D$48))*Impacts!$F$13,IF(('Loading-drum,tote'!$C$21)&lt;&gt;"No control",SUMIF(('Loading-drum,tote'!$B$31:$B$48),$J972,('Loading-drum,tote'!$E$31:$E$48))*Impacts!$F$13,0)),0)</f>
        <v>0</v>
      </c>
      <c r="R972" s="10">
        <f>IFERROR(IF(('Loading-truck'!$C$21)="No control",SUMIF(('Loading-truck'!$B$31:$B$48),$J972,('Loading-truck'!$D$31:$D$48))*Impacts!$F$14,IF(('Loading-truck'!$C$21)&lt;&gt;"No control",SUMIF(('Loading-truck'!$B$31:$B$48),$J972,('Loading-truck'!$E$31:$E$48))*Impacts!$F$14,0)),0)</f>
        <v>0</v>
      </c>
      <c r="S972" s="10">
        <f>IFERROR(IF(('Loading-rail'!$C$21)="No control",SUMIF(('Loading-rail'!$B$31:$B$48),$J972,('Loading-rail'!$D$31:$D$48))*Impacts!$F$15,IF(('Loading-rail'!$C$21)&lt;&gt;"No control",SUMIF(('Loading-rail'!$B$31:$B$48),$J972,('Loading-rail'!$E$31:$E$48))*Impacts!$F$15,0)),0)</f>
        <v>0</v>
      </c>
      <c r="T972" s="10">
        <f>IF(Flare!$C$7="",0,(SUMIF(Flare!$B$46:$B$185,$J972,Flare!$E$46:$E$185)*Impacts!$F$16))</f>
        <v>0</v>
      </c>
      <c r="U972" s="10">
        <f>IF(VCU!$C$9="",0,(SUMIF(VCU!$B$51:$B$193,$J972,VCU!$E$51:$E$193)*Impacts!$F$17))</f>
        <v>0</v>
      </c>
      <c r="V972" s="10">
        <f>IF(CAS!$C$7="",0,(SUMIF(CAS!$B$31:$B$167,$J972,CAS!$E$31:$E$167)*Impacts!$F$18))</f>
        <v>0</v>
      </c>
      <c r="W972" s="10">
        <f t="shared" si="57"/>
        <v>0</v>
      </c>
      <c r="AK972" s="10" t="str">
        <f t="array" ref="AK972">IFERROR(INDEX(SelectedSpecies,SMALL(IF(SelectedSpecies=AK$1,ROW(SelectedSpecies)),ROW(973:973)),2),"")</f>
        <v/>
      </c>
      <c r="BE972" s="10"/>
      <c r="BI972" s="10"/>
    </row>
    <row r="973" spans="1:61" ht="21" customHeight="1" x14ac:dyDescent="0.25">
      <c r="A973" s="10"/>
      <c r="B973" s="10"/>
      <c r="E973" s="10"/>
      <c r="G973" s="10"/>
      <c r="I973" s="436" t="s">
        <v>1274</v>
      </c>
      <c r="J973" s="26" t="s">
        <v>1273</v>
      </c>
      <c r="K973" s="10">
        <v>33</v>
      </c>
      <c r="L973" s="73">
        <f>IF(Tank1!$C$23="No control",(SUMIF(Tank1!$B$32:$B$49,$J973,Tank1!$C$32:$C$49)*Impacts!$F$8),0)</f>
        <v>0</v>
      </c>
      <c r="M973" s="10">
        <f>IF(Tank2!$C$23="No control",(SUMIF(Tank2!$B$32:$B$49,$J973,Tank2!$C$32:$C$49)*Impacts!$F$9),0)</f>
        <v>0</v>
      </c>
      <c r="N973" s="10">
        <f>IF(Tank3!$C$23="No control",(SUMIF(Tank3!$B$32:$B$49,$J973,Tank3!$C$32:$C$49)*Impacts!$F$10),0)</f>
        <v>0</v>
      </c>
      <c r="O973" s="10">
        <f>IF(Tank4!$C$23="No control",(SUMIF(Tank4!$B$32:$B$49,$J973,Tank4!$C$32:$C$49)*Impacts!$F$11),0)</f>
        <v>0</v>
      </c>
      <c r="P973" s="10">
        <f>IF(Tank5!$C$23="No control",(SUMIF(Tank5!$B$32:$B$49,$J973,Tank5!$C$32:$C$49)*Impacts!$F$12),0)</f>
        <v>0</v>
      </c>
      <c r="Q973" s="10">
        <f>IFERROR(IF(('Loading-drum,tote'!$C$21)="No control",SUMIF(('Loading-drum,tote'!$B$31:$B$48),$J973,('Loading-drum,tote'!$D$31:$D$48))*Impacts!$F$13,IF(('Loading-drum,tote'!$C$21)&lt;&gt;"No control",SUMIF(('Loading-drum,tote'!$B$31:$B$48),$J973,('Loading-drum,tote'!$E$31:$E$48))*Impacts!$F$13,0)),0)</f>
        <v>0</v>
      </c>
      <c r="R973" s="10">
        <f>IFERROR(IF(('Loading-truck'!$C$21)="No control",SUMIF(('Loading-truck'!$B$31:$B$48),$J973,('Loading-truck'!$D$31:$D$48))*Impacts!$F$14,IF(('Loading-truck'!$C$21)&lt;&gt;"No control",SUMIF(('Loading-truck'!$B$31:$B$48),$J973,('Loading-truck'!$E$31:$E$48))*Impacts!$F$14,0)),0)</f>
        <v>0</v>
      </c>
      <c r="S973" s="10">
        <f>IFERROR(IF(('Loading-rail'!$C$21)="No control",SUMIF(('Loading-rail'!$B$31:$B$48),$J973,('Loading-rail'!$D$31:$D$48))*Impacts!$F$15,IF(('Loading-rail'!$C$21)&lt;&gt;"No control",SUMIF(('Loading-rail'!$B$31:$B$48),$J973,('Loading-rail'!$E$31:$E$48))*Impacts!$F$15,0)),0)</f>
        <v>0</v>
      </c>
      <c r="T973" s="10">
        <f>IF(Flare!$C$7="",0,(SUMIF(Flare!$B$46:$B$185,$J973,Flare!$E$46:$E$185)*Impacts!$F$16))</f>
        <v>0</v>
      </c>
      <c r="U973" s="10">
        <f>IF(VCU!$C$9="",0,(SUMIF(VCU!$B$51:$B$193,$J973,VCU!$E$51:$E$193)*Impacts!$F$17))</f>
        <v>0</v>
      </c>
      <c r="V973" s="10">
        <f>IF(CAS!$C$7="",0,(SUMIF(CAS!$B$31:$B$167,$J973,CAS!$E$31:$E$167)*Impacts!$F$18))</f>
        <v>0</v>
      </c>
      <c r="W973" s="10">
        <f t="shared" si="57"/>
        <v>0</v>
      </c>
      <c r="AK973" s="10" t="str">
        <f t="array" ref="AK973">IFERROR(INDEX(SelectedSpecies,SMALL(IF(SelectedSpecies=AK$1,ROW(SelectedSpecies)),ROW(974:974)),2),"")</f>
        <v/>
      </c>
      <c r="BE973" s="10"/>
      <c r="BI973" s="10"/>
    </row>
    <row r="974" spans="1:61" ht="21" customHeight="1" x14ac:dyDescent="0.25">
      <c r="A974" s="10"/>
      <c r="B974" s="10"/>
      <c r="E974" s="10"/>
      <c r="G974" s="10"/>
      <c r="I974" s="436" t="s">
        <v>1666</v>
      </c>
      <c r="J974" s="26" t="s">
        <v>1665</v>
      </c>
      <c r="K974" s="10">
        <v>24.5</v>
      </c>
      <c r="L974" s="73">
        <f>IF(Tank1!$C$23="No control",(SUMIF(Tank1!$B$32:$B$49,$J974,Tank1!$C$32:$C$49)*Impacts!$F$8),0)</f>
        <v>0</v>
      </c>
      <c r="M974" s="10">
        <f>IF(Tank2!$C$23="No control",(SUMIF(Tank2!$B$32:$B$49,$J974,Tank2!$C$32:$C$49)*Impacts!$F$9),0)</f>
        <v>0</v>
      </c>
      <c r="N974" s="10">
        <f>IF(Tank3!$C$23="No control",(SUMIF(Tank3!$B$32:$B$49,$J974,Tank3!$C$32:$C$49)*Impacts!$F$10),0)</f>
        <v>0</v>
      </c>
      <c r="O974" s="10">
        <f>IF(Tank4!$C$23="No control",(SUMIF(Tank4!$B$32:$B$49,$J974,Tank4!$C$32:$C$49)*Impacts!$F$11),0)</f>
        <v>0</v>
      </c>
      <c r="P974" s="10">
        <f>IF(Tank5!$C$23="No control",(SUMIF(Tank5!$B$32:$B$49,$J974,Tank5!$C$32:$C$49)*Impacts!$F$12),0)</f>
        <v>0</v>
      </c>
      <c r="Q974" s="10">
        <f>IFERROR(IF(('Loading-drum,tote'!$C$21)="No control",SUMIF(('Loading-drum,tote'!$B$31:$B$48),$J974,('Loading-drum,tote'!$D$31:$D$48))*Impacts!$F$13,IF(('Loading-drum,tote'!$C$21)&lt;&gt;"No control",SUMIF(('Loading-drum,tote'!$B$31:$B$48),$J974,('Loading-drum,tote'!$E$31:$E$48))*Impacts!$F$13,0)),0)</f>
        <v>0</v>
      </c>
      <c r="R974" s="10">
        <f>IFERROR(IF(('Loading-truck'!$C$21)="No control",SUMIF(('Loading-truck'!$B$31:$B$48),$J974,('Loading-truck'!$D$31:$D$48))*Impacts!$F$14,IF(('Loading-truck'!$C$21)&lt;&gt;"No control",SUMIF(('Loading-truck'!$B$31:$B$48),$J974,('Loading-truck'!$E$31:$E$48))*Impacts!$F$14,0)),0)</f>
        <v>0</v>
      </c>
      <c r="S974" s="10">
        <f>IFERROR(IF(('Loading-rail'!$C$21)="No control",SUMIF(('Loading-rail'!$B$31:$B$48),$J974,('Loading-rail'!$D$31:$D$48))*Impacts!$F$15,IF(('Loading-rail'!$C$21)&lt;&gt;"No control",SUMIF(('Loading-rail'!$B$31:$B$48),$J974,('Loading-rail'!$E$31:$E$48))*Impacts!$F$15,0)),0)</f>
        <v>0</v>
      </c>
      <c r="T974" s="10">
        <f>IF(Flare!$C$7="",0,(SUMIF(Flare!$B$46:$B$185,$J974,Flare!$E$46:$E$185)*Impacts!$F$16))</f>
        <v>0</v>
      </c>
      <c r="U974" s="10">
        <f>IF(VCU!$C$9="",0,(SUMIF(VCU!$B$51:$B$193,$J974,VCU!$E$51:$E$193)*Impacts!$F$17))</f>
        <v>0</v>
      </c>
      <c r="V974" s="10">
        <f>IF(CAS!$C$7="",0,(SUMIF(CAS!$B$31:$B$167,$J974,CAS!$E$31:$E$167)*Impacts!$F$18))</f>
        <v>0</v>
      </c>
      <c r="W974" s="10">
        <f t="shared" si="57"/>
        <v>0</v>
      </c>
      <c r="AK974" s="10" t="str">
        <f t="array" ref="AK974">IFERROR(INDEX(SelectedSpecies,SMALL(IF(SelectedSpecies=AK$1,ROW(SelectedSpecies)),ROW(975:975)),2),"")</f>
        <v/>
      </c>
      <c r="BE974" s="10"/>
      <c r="BI974" s="10"/>
    </row>
    <row r="975" spans="1:61" ht="21" customHeight="1" x14ac:dyDescent="0.25">
      <c r="A975" s="10"/>
      <c r="B975" s="10"/>
      <c r="E975" s="10"/>
      <c r="G975" s="10"/>
      <c r="I975" s="436" t="s">
        <v>1276</v>
      </c>
      <c r="J975" s="26" t="s">
        <v>1275</v>
      </c>
      <c r="K975" s="10">
        <v>33</v>
      </c>
      <c r="L975" s="73">
        <f>IF(Tank1!$C$23="No control",(SUMIF(Tank1!$B$32:$B$49,$J975,Tank1!$C$32:$C$49)*Impacts!$F$8),0)</f>
        <v>0</v>
      </c>
      <c r="M975" s="10">
        <f>IF(Tank2!$C$23="No control",(SUMIF(Tank2!$B$32:$B$49,$J975,Tank2!$C$32:$C$49)*Impacts!$F$9),0)</f>
        <v>0</v>
      </c>
      <c r="N975" s="10">
        <f>IF(Tank3!$C$23="No control",(SUMIF(Tank3!$B$32:$B$49,$J975,Tank3!$C$32:$C$49)*Impacts!$F$10),0)</f>
        <v>0</v>
      </c>
      <c r="O975" s="10">
        <f>IF(Tank4!$C$23="No control",(SUMIF(Tank4!$B$32:$B$49,$J975,Tank4!$C$32:$C$49)*Impacts!$F$11),0)</f>
        <v>0</v>
      </c>
      <c r="P975" s="10">
        <f>IF(Tank5!$C$23="No control",(SUMIF(Tank5!$B$32:$B$49,$J975,Tank5!$C$32:$C$49)*Impacts!$F$12),0)</f>
        <v>0</v>
      </c>
      <c r="Q975" s="10">
        <f>IFERROR(IF(('Loading-drum,tote'!$C$21)="No control",SUMIF(('Loading-drum,tote'!$B$31:$B$48),$J975,('Loading-drum,tote'!$D$31:$D$48))*Impacts!$F$13,IF(('Loading-drum,tote'!$C$21)&lt;&gt;"No control",SUMIF(('Loading-drum,tote'!$B$31:$B$48),$J975,('Loading-drum,tote'!$E$31:$E$48))*Impacts!$F$13,0)),0)</f>
        <v>0</v>
      </c>
      <c r="R975" s="10">
        <f>IFERROR(IF(('Loading-truck'!$C$21)="No control",SUMIF(('Loading-truck'!$B$31:$B$48),$J975,('Loading-truck'!$D$31:$D$48))*Impacts!$F$14,IF(('Loading-truck'!$C$21)&lt;&gt;"No control",SUMIF(('Loading-truck'!$B$31:$B$48),$J975,('Loading-truck'!$E$31:$E$48))*Impacts!$F$14,0)),0)</f>
        <v>0</v>
      </c>
      <c r="S975" s="10">
        <f>IFERROR(IF(('Loading-rail'!$C$21)="No control",SUMIF(('Loading-rail'!$B$31:$B$48),$J975,('Loading-rail'!$D$31:$D$48))*Impacts!$F$15,IF(('Loading-rail'!$C$21)&lt;&gt;"No control",SUMIF(('Loading-rail'!$B$31:$B$48),$J975,('Loading-rail'!$E$31:$E$48))*Impacts!$F$15,0)),0)</f>
        <v>0</v>
      </c>
      <c r="T975" s="10">
        <f>IF(Flare!$C$7="",0,(SUMIF(Flare!$B$46:$B$185,$J975,Flare!$E$46:$E$185)*Impacts!$F$16))</f>
        <v>0</v>
      </c>
      <c r="U975" s="10">
        <f>IF(VCU!$C$9="",0,(SUMIF(VCU!$B$51:$B$193,$J975,VCU!$E$51:$E$193)*Impacts!$F$17))</f>
        <v>0</v>
      </c>
      <c r="V975" s="10">
        <f>IF(CAS!$C$7="",0,(SUMIF(CAS!$B$31:$B$167,$J975,CAS!$E$31:$E$167)*Impacts!$F$18))</f>
        <v>0</v>
      </c>
      <c r="W975" s="10">
        <f t="shared" si="57"/>
        <v>0</v>
      </c>
      <c r="AK975" s="10" t="str">
        <f t="array" ref="AK975">IFERROR(INDEX(SelectedSpecies,SMALL(IF(SelectedSpecies=AK$1,ROW(SelectedSpecies)),ROW(976:976)),2),"")</f>
        <v/>
      </c>
      <c r="BE975" s="10"/>
      <c r="BI975" s="10"/>
    </row>
    <row r="976" spans="1:61" ht="21" customHeight="1" x14ac:dyDescent="0.25">
      <c r="A976" s="10"/>
      <c r="B976" s="10"/>
      <c r="E976" s="10"/>
      <c r="G976" s="10"/>
      <c r="I976" s="436" t="s">
        <v>7460</v>
      </c>
      <c r="J976" s="26" t="s">
        <v>7459</v>
      </c>
      <c r="K976" s="10">
        <v>0.2</v>
      </c>
      <c r="L976" s="73">
        <f>IF(Tank1!$C$23="No control",(SUMIF(Tank1!$B$32:$B$49,$J976,Tank1!$C$32:$C$49)*Impacts!$F$8),0)</f>
        <v>0</v>
      </c>
      <c r="M976" s="10">
        <f>IF(Tank2!$C$23="No control",(SUMIF(Tank2!$B$32:$B$49,$J976,Tank2!$C$32:$C$49)*Impacts!$F$9),0)</f>
        <v>0</v>
      </c>
      <c r="N976" s="10">
        <f>IF(Tank3!$C$23="No control",(SUMIF(Tank3!$B$32:$B$49,$J976,Tank3!$C$32:$C$49)*Impacts!$F$10),0)</f>
        <v>0</v>
      </c>
      <c r="O976" s="10">
        <f>IF(Tank4!$C$23="No control",(SUMIF(Tank4!$B$32:$B$49,$J976,Tank4!$C$32:$C$49)*Impacts!$F$11),0)</f>
        <v>0</v>
      </c>
      <c r="P976" s="10">
        <f>IF(Tank5!$C$23="No control",(SUMIF(Tank5!$B$32:$B$49,$J976,Tank5!$C$32:$C$49)*Impacts!$F$12),0)</f>
        <v>0</v>
      </c>
      <c r="Q976" s="10">
        <f>IFERROR(IF(('Loading-drum,tote'!$C$21)="No control",SUMIF(('Loading-drum,tote'!$B$31:$B$48),$J976,('Loading-drum,tote'!$D$31:$D$48))*Impacts!$F$13,IF(('Loading-drum,tote'!$C$21)&lt;&gt;"No control",SUMIF(('Loading-drum,tote'!$B$31:$B$48),$J976,('Loading-drum,tote'!$E$31:$E$48))*Impacts!$F$13,0)),0)</f>
        <v>0</v>
      </c>
      <c r="R976" s="10">
        <f>IFERROR(IF(('Loading-truck'!$C$21)="No control",SUMIF(('Loading-truck'!$B$31:$B$48),$J976,('Loading-truck'!$D$31:$D$48))*Impacts!$F$14,IF(('Loading-truck'!$C$21)&lt;&gt;"No control",SUMIF(('Loading-truck'!$B$31:$B$48),$J976,('Loading-truck'!$E$31:$E$48))*Impacts!$F$14,0)),0)</f>
        <v>0</v>
      </c>
      <c r="S976" s="10">
        <f>IFERROR(IF(('Loading-rail'!$C$21)="No control",SUMIF(('Loading-rail'!$B$31:$B$48),$J976,('Loading-rail'!$D$31:$D$48))*Impacts!$F$15,IF(('Loading-rail'!$C$21)&lt;&gt;"No control",SUMIF(('Loading-rail'!$B$31:$B$48),$J976,('Loading-rail'!$E$31:$E$48))*Impacts!$F$15,0)),0)</f>
        <v>0</v>
      </c>
      <c r="T976" s="10">
        <f>IF(Flare!$C$7="",0,(SUMIF(Flare!$B$46:$B$185,$J976,Flare!$E$46:$E$185)*Impacts!$F$16))</f>
        <v>0</v>
      </c>
      <c r="U976" s="10">
        <f>IF(VCU!$C$9="",0,(SUMIF(VCU!$B$51:$B$193,$J976,VCU!$E$51:$E$193)*Impacts!$F$17))</f>
        <v>0</v>
      </c>
      <c r="V976" s="10">
        <f>IF(CAS!$C$7="",0,(SUMIF(CAS!$B$31:$B$167,$J976,CAS!$E$31:$E$167)*Impacts!$F$18))</f>
        <v>0</v>
      </c>
      <c r="W976" s="10">
        <f t="shared" si="57"/>
        <v>0</v>
      </c>
      <c r="AK976" s="10" t="str">
        <f t="array" ref="AK976">IFERROR(INDEX(SelectedSpecies,SMALL(IF(SelectedSpecies=AK$1,ROW(SelectedSpecies)),ROW(977:977)),2),"")</f>
        <v/>
      </c>
      <c r="BE976" s="10"/>
      <c r="BI976" s="10"/>
    </row>
    <row r="977" spans="1:61" ht="21" customHeight="1" x14ac:dyDescent="0.25">
      <c r="A977" s="10"/>
      <c r="B977" s="10"/>
      <c r="E977" s="10"/>
      <c r="G977" s="10"/>
      <c r="I977" s="436" t="s">
        <v>8136</v>
      </c>
      <c r="J977" s="26" t="s">
        <v>8135</v>
      </c>
      <c r="K977" s="10">
        <v>1.0000000000000002E-2</v>
      </c>
      <c r="L977" s="73">
        <f>IF(Tank1!$C$23="No control",(SUMIF(Tank1!$B$32:$B$49,$J977,Tank1!$C$32:$C$49)*Impacts!$F$8),0)</f>
        <v>0</v>
      </c>
      <c r="M977" s="10">
        <f>IF(Tank2!$C$23="No control",(SUMIF(Tank2!$B$32:$B$49,$J977,Tank2!$C$32:$C$49)*Impacts!$F$9),0)</f>
        <v>0</v>
      </c>
      <c r="N977" s="10">
        <f>IF(Tank3!$C$23="No control",(SUMIF(Tank3!$B$32:$B$49,$J977,Tank3!$C$32:$C$49)*Impacts!$F$10),0)</f>
        <v>0</v>
      </c>
      <c r="O977" s="10">
        <f>IF(Tank4!$C$23="No control",(SUMIF(Tank4!$B$32:$B$49,$J977,Tank4!$C$32:$C$49)*Impacts!$F$11),0)</f>
        <v>0</v>
      </c>
      <c r="P977" s="10">
        <f>IF(Tank5!$C$23="No control",(SUMIF(Tank5!$B$32:$B$49,$J977,Tank5!$C$32:$C$49)*Impacts!$F$12),0)</f>
        <v>0</v>
      </c>
      <c r="Q977" s="10">
        <f>IFERROR(IF(('Loading-drum,tote'!$C$21)="No control",SUMIF(('Loading-drum,tote'!$B$31:$B$48),$J977,('Loading-drum,tote'!$D$31:$D$48))*Impacts!$F$13,IF(('Loading-drum,tote'!$C$21)&lt;&gt;"No control",SUMIF(('Loading-drum,tote'!$B$31:$B$48),$J977,('Loading-drum,tote'!$E$31:$E$48))*Impacts!$F$13,0)),0)</f>
        <v>0</v>
      </c>
      <c r="R977" s="10">
        <f>IFERROR(IF(('Loading-truck'!$C$21)="No control",SUMIF(('Loading-truck'!$B$31:$B$48),$J977,('Loading-truck'!$D$31:$D$48))*Impacts!$F$14,IF(('Loading-truck'!$C$21)&lt;&gt;"No control",SUMIF(('Loading-truck'!$B$31:$B$48),$J977,('Loading-truck'!$E$31:$E$48))*Impacts!$F$14,0)),0)</f>
        <v>0</v>
      </c>
      <c r="S977" s="10">
        <f>IFERROR(IF(('Loading-rail'!$C$21)="No control",SUMIF(('Loading-rail'!$B$31:$B$48),$J977,('Loading-rail'!$D$31:$D$48))*Impacts!$F$15,IF(('Loading-rail'!$C$21)&lt;&gt;"No control",SUMIF(('Loading-rail'!$B$31:$B$48),$J977,('Loading-rail'!$E$31:$E$48))*Impacts!$F$15,0)),0)</f>
        <v>0</v>
      </c>
      <c r="T977" s="10">
        <f>IF(Flare!$C$7="",0,(SUMIF(Flare!$B$46:$B$185,$J977,Flare!$E$46:$E$185)*Impacts!$F$16))</f>
        <v>0</v>
      </c>
      <c r="U977" s="10">
        <f>IF(VCU!$C$9="",0,(SUMIF(VCU!$B$51:$B$193,$J977,VCU!$E$51:$E$193)*Impacts!$F$17))</f>
        <v>0</v>
      </c>
      <c r="V977" s="10">
        <f>IF(CAS!$C$7="",0,(SUMIF(CAS!$B$31:$B$167,$J977,CAS!$E$31:$E$167)*Impacts!$F$18))</f>
        <v>0</v>
      </c>
      <c r="W977" s="10">
        <f t="shared" si="57"/>
        <v>0</v>
      </c>
      <c r="AK977" s="10" t="str">
        <f t="array" ref="AK977">IFERROR(INDEX(SelectedSpecies,SMALL(IF(SelectedSpecies=AK$1,ROW(SelectedSpecies)),ROW(978:978)),2),"")</f>
        <v/>
      </c>
      <c r="BE977" s="10"/>
      <c r="BI977" s="10"/>
    </row>
    <row r="978" spans="1:61" ht="21" customHeight="1" x14ac:dyDescent="0.25">
      <c r="A978" s="10"/>
      <c r="B978" s="10"/>
      <c r="E978" s="10"/>
      <c r="G978" s="10"/>
      <c r="I978" s="436" t="s">
        <v>5784</v>
      </c>
      <c r="J978" s="26" t="s">
        <v>5783</v>
      </c>
      <c r="K978" s="10">
        <v>1</v>
      </c>
      <c r="L978" s="73">
        <f>IF(Tank1!$C$23="No control",(SUMIF(Tank1!$B$32:$B$49,$J978,Tank1!$C$32:$C$49)*Impacts!$F$8),0)</f>
        <v>0</v>
      </c>
      <c r="M978" s="10">
        <f>IF(Tank2!$C$23="No control",(SUMIF(Tank2!$B$32:$B$49,$J978,Tank2!$C$32:$C$49)*Impacts!$F$9),0)</f>
        <v>0</v>
      </c>
      <c r="N978" s="10">
        <f>IF(Tank3!$C$23="No control",(SUMIF(Tank3!$B$32:$B$49,$J978,Tank3!$C$32:$C$49)*Impacts!$F$10),0)</f>
        <v>0</v>
      </c>
      <c r="O978" s="10">
        <f>IF(Tank4!$C$23="No control",(SUMIF(Tank4!$B$32:$B$49,$J978,Tank4!$C$32:$C$49)*Impacts!$F$11),0)</f>
        <v>0</v>
      </c>
      <c r="P978" s="10">
        <f>IF(Tank5!$C$23="No control",(SUMIF(Tank5!$B$32:$B$49,$J978,Tank5!$C$32:$C$49)*Impacts!$F$12),0)</f>
        <v>0</v>
      </c>
      <c r="Q978" s="10">
        <f>IFERROR(IF(('Loading-drum,tote'!$C$21)="No control",SUMIF(('Loading-drum,tote'!$B$31:$B$48),$J978,('Loading-drum,tote'!$D$31:$D$48))*Impacts!$F$13,IF(('Loading-drum,tote'!$C$21)&lt;&gt;"No control",SUMIF(('Loading-drum,tote'!$B$31:$B$48),$J978,('Loading-drum,tote'!$E$31:$E$48))*Impacts!$F$13,0)),0)</f>
        <v>0</v>
      </c>
      <c r="R978" s="10">
        <f>IFERROR(IF(('Loading-truck'!$C$21)="No control",SUMIF(('Loading-truck'!$B$31:$B$48),$J978,('Loading-truck'!$D$31:$D$48))*Impacts!$F$14,IF(('Loading-truck'!$C$21)&lt;&gt;"No control",SUMIF(('Loading-truck'!$B$31:$B$48),$J978,('Loading-truck'!$E$31:$E$48))*Impacts!$F$14,0)),0)</f>
        <v>0</v>
      </c>
      <c r="S978" s="10">
        <f>IFERROR(IF(('Loading-rail'!$C$21)="No control",SUMIF(('Loading-rail'!$B$31:$B$48),$J978,('Loading-rail'!$D$31:$D$48))*Impacts!$F$15,IF(('Loading-rail'!$C$21)&lt;&gt;"No control",SUMIF(('Loading-rail'!$B$31:$B$48),$J978,('Loading-rail'!$E$31:$E$48))*Impacts!$F$15,0)),0)</f>
        <v>0</v>
      </c>
      <c r="T978" s="10">
        <f>IF(Flare!$C$7="",0,(SUMIF(Flare!$B$46:$B$185,$J978,Flare!$E$46:$E$185)*Impacts!$F$16))</f>
        <v>0</v>
      </c>
      <c r="U978" s="10">
        <f>IF(VCU!$C$9="",0,(SUMIF(VCU!$B$51:$B$193,$J978,VCU!$E$51:$E$193)*Impacts!$F$17))</f>
        <v>0</v>
      </c>
      <c r="V978" s="10">
        <f>IF(CAS!$C$7="",0,(SUMIF(CAS!$B$31:$B$167,$J978,CAS!$E$31:$E$167)*Impacts!$F$18))</f>
        <v>0</v>
      </c>
      <c r="W978" s="10">
        <f t="shared" si="57"/>
        <v>0</v>
      </c>
      <c r="AK978" s="10" t="str">
        <f t="array" ref="AK978">IFERROR(INDEX(SelectedSpecies,SMALL(IF(SelectedSpecies=AK$1,ROW(SelectedSpecies)),ROW(979:979)),2),"")</f>
        <v/>
      </c>
      <c r="BE978" s="10"/>
      <c r="BI978" s="10"/>
    </row>
    <row r="979" spans="1:61" ht="21" customHeight="1" x14ac:dyDescent="0.25">
      <c r="A979" s="10"/>
      <c r="B979" s="10"/>
      <c r="E979" s="10"/>
      <c r="G979" s="10"/>
      <c r="I979" s="436" t="s">
        <v>2735</v>
      </c>
      <c r="J979" s="26" t="s">
        <v>2734</v>
      </c>
      <c r="K979" s="10">
        <v>10</v>
      </c>
      <c r="L979" s="73">
        <f>IF(Tank1!$C$23="No control",(SUMIF(Tank1!$B$32:$B$49,$J979,Tank1!$C$32:$C$49)*Impacts!$F$8),0)</f>
        <v>0</v>
      </c>
      <c r="M979" s="10">
        <f>IF(Tank2!$C$23="No control",(SUMIF(Tank2!$B$32:$B$49,$J979,Tank2!$C$32:$C$49)*Impacts!$F$9),0)</f>
        <v>0</v>
      </c>
      <c r="N979" s="10">
        <f>IF(Tank3!$C$23="No control",(SUMIF(Tank3!$B$32:$B$49,$J979,Tank3!$C$32:$C$49)*Impacts!$F$10),0)</f>
        <v>0</v>
      </c>
      <c r="O979" s="10">
        <f>IF(Tank4!$C$23="No control",(SUMIF(Tank4!$B$32:$B$49,$J979,Tank4!$C$32:$C$49)*Impacts!$F$11),0)</f>
        <v>0</v>
      </c>
      <c r="P979" s="10">
        <f>IF(Tank5!$C$23="No control",(SUMIF(Tank5!$B$32:$B$49,$J979,Tank5!$C$32:$C$49)*Impacts!$F$12),0)</f>
        <v>0</v>
      </c>
      <c r="Q979" s="10">
        <f>IFERROR(IF(('Loading-drum,tote'!$C$21)="No control",SUMIF(('Loading-drum,tote'!$B$31:$B$48),$J979,('Loading-drum,tote'!$D$31:$D$48))*Impacts!$F$13,IF(('Loading-drum,tote'!$C$21)&lt;&gt;"No control",SUMIF(('Loading-drum,tote'!$B$31:$B$48),$J979,('Loading-drum,tote'!$E$31:$E$48))*Impacts!$F$13,0)),0)</f>
        <v>0</v>
      </c>
      <c r="R979" s="10">
        <f>IFERROR(IF(('Loading-truck'!$C$21)="No control",SUMIF(('Loading-truck'!$B$31:$B$48),$J979,('Loading-truck'!$D$31:$D$48))*Impacts!$F$14,IF(('Loading-truck'!$C$21)&lt;&gt;"No control",SUMIF(('Loading-truck'!$B$31:$B$48),$J979,('Loading-truck'!$E$31:$E$48))*Impacts!$F$14,0)),0)</f>
        <v>0</v>
      </c>
      <c r="S979" s="10">
        <f>IFERROR(IF(('Loading-rail'!$C$21)="No control",SUMIF(('Loading-rail'!$B$31:$B$48),$J979,('Loading-rail'!$D$31:$D$48))*Impacts!$F$15,IF(('Loading-rail'!$C$21)&lt;&gt;"No control",SUMIF(('Loading-rail'!$B$31:$B$48),$J979,('Loading-rail'!$E$31:$E$48))*Impacts!$F$15,0)),0)</f>
        <v>0</v>
      </c>
      <c r="T979" s="10">
        <f>IF(Flare!$C$7="",0,(SUMIF(Flare!$B$46:$B$185,$J979,Flare!$E$46:$E$185)*Impacts!$F$16))</f>
        <v>0</v>
      </c>
      <c r="U979" s="10">
        <f>IF(VCU!$C$9="",0,(SUMIF(VCU!$B$51:$B$193,$J979,VCU!$E$51:$E$193)*Impacts!$F$17))</f>
        <v>0</v>
      </c>
      <c r="V979" s="10">
        <f>IF(CAS!$C$7="",0,(SUMIF(CAS!$B$31:$B$167,$J979,CAS!$E$31:$E$167)*Impacts!$F$18))</f>
        <v>0</v>
      </c>
      <c r="W979" s="10">
        <f t="shared" si="57"/>
        <v>0</v>
      </c>
      <c r="AK979" s="10" t="str">
        <f t="array" ref="AK979">IFERROR(INDEX(SelectedSpecies,SMALL(IF(SelectedSpecies=AK$1,ROW(SelectedSpecies)),ROW(980:980)),2),"")</f>
        <v/>
      </c>
      <c r="BE979" s="10"/>
      <c r="BI979" s="10"/>
    </row>
    <row r="980" spans="1:61" ht="21" customHeight="1" x14ac:dyDescent="0.25">
      <c r="A980" s="10"/>
      <c r="B980" s="10"/>
      <c r="E980" s="10"/>
      <c r="G980" s="10"/>
      <c r="I980" s="436" t="s">
        <v>7462</v>
      </c>
      <c r="J980" s="26" t="s">
        <v>7461</v>
      </c>
      <c r="K980" s="10">
        <v>0.2</v>
      </c>
      <c r="L980" s="73">
        <f>IF(Tank1!$C$23="No control",(SUMIF(Tank1!$B$32:$B$49,$J980,Tank1!$C$32:$C$49)*Impacts!$F$8),0)</f>
        <v>0</v>
      </c>
      <c r="M980" s="10">
        <f>IF(Tank2!$C$23="No control",(SUMIF(Tank2!$B$32:$B$49,$J980,Tank2!$C$32:$C$49)*Impacts!$F$9),0)</f>
        <v>0</v>
      </c>
      <c r="N980" s="10">
        <f>IF(Tank3!$C$23="No control",(SUMIF(Tank3!$B$32:$B$49,$J980,Tank3!$C$32:$C$49)*Impacts!$F$10),0)</f>
        <v>0</v>
      </c>
      <c r="O980" s="10">
        <f>IF(Tank4!$C$23="No control",(SUMIF(Tank4!$B$32:$B$49,$J980,Tank4!$C$32:$C$49)*Impacts!$F$11),0)</f>
        <v>0</v>
      </c>
      <c r="P980" s="10">
        <f>IF(Tank5!$C$23="No control",(SUMIF(Tank5!$B$32:$B$49,$J980,Tank5!$C$32:$C$49)*Impacts!$F$12),0)</f>
        <v>0</v>
      </c>
      <c r="Q980" s="10">
        <f>IFERROR(IF(('Loading-drum,tote'!$C$21)="No control",SUMIF(('Loading-drum,tote'!$B$31:$B$48),$J980,('Loading-drum,tote'!$D$31:$D$48))*Impacts!$F$13,IF(('Loading-drum,tote'!$C$21)&lt;&gt;"No control",SUMIF(('Loading-drum,tote'!$B$31:$B$48),$J980,('Loading-drum,tote'!$E$31:$E$48))*Impacts!$F$13,0)),0)</f>
        <v>0</v>
      </c>
      <c r="R980" s="10">
        <f>IFERROR(IF(('Loading-truck'!$C$21)="No control",SUMIF(('Loading-truck'!$B$31:$B$48),$J980,('Loading-truck'!$D$31:$D$48))*Impacts!$F$14,IF(('Loading-truck'!$C$21)&lt;&gt;"No control",SUMIF(('Loading-truck'!$B$31:$B$48),$J980,('Loading-truck'!$E$31:$E$48))*Impacts!$F$14,0)),0)</f>
        <v>0</v>
      </c>
      <c r="S980" s="10">
        <f>IFERROR(IF(('Loading-rail'!$C$21)="No control",SUMIF(('Loading-rail'!$B$31:$B$48),$J980,('Loading-rail'!$D$31:$D$48))*Impacts!$F$15,IF(('Loading-rail'!$C$21)&lt;&gt;"No control",SUMIF(('Loading-rail'!$B$31:$B$48),$J980,('Loading-rail'!$E$31:$E$48))*Impacts!$F$15,0)),0)</f>
        <v>0</v>
      </c>
      <c r="T980" s="10">
        <f>IF(Flare!$C$7="",0,(SUMIF(Flare!$B$46:$B$185,$J980,Flare!$E$46:$E$185)*Impacts!$F$16))</f>
        <v>0</v>
      </c>
      <c r="U980" s="10">
        <f>IF(VCU!$C$9="",0,(SUMIF(VCU!$B$51:$B$193,$J980,VCU!$E$51:$E$193)*Impacts!$F$17))</f>
        <v>0</v>
      </c>
      <c r="V980" s="10">
        <f>IF(CAS!$C$7="",0,(SUMIF(CAS!$B$31:$B$167,$J980,CAS!$E$31:$E$167)*Impacts!$F$18))</f>
        <v>0</v>
      </c>
      <c r="W980" s="10">
        <f t="shared" si="57"/>
        <v>0</v>
      </c>
      <c r="AK980" s="10" t="str">
        <f t="array" ref="AK980">IFERROR(INDEX(SelectedSpecies,SMALL(IF(SelectedSpecies=AK$1,ROW(SelectedSpecies)),ROW(981:981)),2),"")</f>
        <v/>
      </c>
      <c r="BE980" s="10"/>
      <c r="BI980" s="10"/>
    </row>
    <row r="981" spans="1:61" ht="21" customHeight="1" x14ac:dyDescent="0.25">
      <c r="A981" s="10"/>
      <c r="B981" s="10"/>
      <c r="E981" s="10"/>
      <c r="G981" s="10"/>
      <c r="I981" s="436" t="s">
        <v>7464</v>
      </c>
      <c r="J981" s="26" t="s">
        <v>7463</v>
      </c>
      <c r="K981" s="10">
        <v>0.2</v>
      </c>
      <c r="L981" s="73">
        <f>IF(Tank1!$C$23="No control",(SUMIF(Tank1!$B$32:$B$49,$J981,Tank1!$C$32:$C$49)*Impacts!$F$8),0)</f>
        <v>0</v>
      </c>
      <c r="M981" s="10">
        <f>IF(Tank2!$C$23="No control",(SUMIF(Tank2!$B$32:$B$49,$J981,Tank2!$C$32:$C$49)*Impacts!$F$9),0)</f>
        <v>0</v>
      </c>
      <c r="N981" s="10">
        <f>IF(Tank3!$C$23="No control",(SUMIF(Tank3!$B$32:$B$49,$J981,Tank3!$C$32:$C$49)*Impacts!$F$10),0)</f>
        <v>0</v>
      </c>
      <c r="O981" s="10">
        <f>IF(Tank4!$C$23="No control",(SUMIF(Tank4!$B$32:$B$49,$J981,Tank4!$C$32:$C$49)*Impacts!$F$11),0)</f>
        <v>0</v>
      </c>
      <c r="P981" s="10">
        <f>IF(Tank5!$C$23="No control",(SUMIF(Tank5!$B$32:$B$49,$J981,Tank5!$C$32:$C$49)*Impacts!$F$12),0)</f>
        <v>0</v>
      </c>
      <c r="Q981" s="10">
        <f>IFERROR(IF(('Loading-drum,tote'!$C$21)="No control",SUMIF(('Loading-drum,tote'!$B$31:$B$48),$J981,('Loading-drum,tote'!$D$31:$D$48))*Impacts!$F$13,IF(('Loading-drum,tote'!$C$21)&lt;&gt;"No control",SUMIF(('Loading-drum,tote'!$B$31:$B$48),$J981,('Loading-drum,tote'!$E$31:$E$48))*Impacts!$F$13,0)),0)</f>
        <v>0</v>
      </c>
      <c r="R981" s="10">
        <f>IFERROR(IF(('Loading-truck'!$C$21)="No control",SUMIF(('Loading-truck'!$B$31:$B$48),$J981,('Loading-truck'!$D$31:$D$48))*Impacts!$F$14,IF(('Loading-truck'!$C$21)&lt;&gt;"No control",SUMIF(('Loading-truck'!$B$31:$B$48),$J981,('Loading-truck'!$E$31:$E$48))*Impacts!$F$14,0)),0)</f>
        <v>0</v>
      </c>
      <c r="S981" s="10">
        <f>IFERROR(IF(('Loading-rail'!$C$21)="No control",SUMIF(('Loading-rail'!$B$31:$B$48),$J981,('Loading-rail'!$D$31:$D$48))*Impacts!$F$15,IF(('Loading-rail'!$C$21)&lt;&gt;"No control",SUMIF(('Loading-rail'!$B$31:$B$48),$J981,('Loading-rail'!$E$31:$E$48))*Impacts!$F$15,0)),0)</f>
        <v>0</v>
      </c>
      <c r="T981" s="10">
        <f>IF(Flare!$C$7="",0,(SUMIF(Flare!$B$46:$B$185,$J981,Flare!$E$46:$E$185)*Impacts!$F$16))</f>
        <v>0</v>
      </c>
      <c r="U981" s="10">
        <f>IF(VCU!$C$9="",0,(SUMIF(VCU!$B$51:$B$193,$J981,VCU!$E$51:$E$193)*Impacts!$F$17))</f>
        <v>0</v>
      </c>
      <c r="V981" s="10">
        <f>IF(CAS!$C$7="",0,(SUMIF(CAS!$B$31:$B$167,$J981,CAS!$E$31:$E$167)*Impacts!$F$18))</f>
        <v>0</v>
      </c>
      <c r="W981" s="10">
        <f t="shared" si="57"/>
        <v>0</v>
      </c>
      <c r="AK981" s="10" t="str">
        <f t="array" ref="AK981">IFERROR(INDEX(SelectedSpecies,SMALL(IF(SelectedSpecies=AK$1,ROW(SelectedSpecies)),ROW(982:982)),2),"")</f>
        <v/>
      </c>
      <c r="BE981" s="10"/>
      <c r="BI981" s="10"/>
    </row>
    <row r="982" spans="1:61" ht="21" customHeight="1" x14ac:dyDescent="0.25">
      <c r="A982" s="10"/>
      <c r="B982" s="10"/>
      <c r="E982" s="10"/>
      <c r="G982" s="10"/>
      <c r="I982" s="436" t="s">
        <v>7466</v>
      </c>
      <c r="J982" s="26" t="s">
        <v>7465</v>
      </c>
      <c r="K982" s="10">
        <v>0.2</v>
      </c>
      <c r="L982" s="73">
        <f>IF(Tank1!$C$23="No control",(SUMIF(Tank1!$B$32:$B$49,$J982,Tank1!$C$32:$C$49)*Impacts!$F$8),0)</f>
        <v>0</v>
      </c>
      <c r="M982" s="10">
        <f>IF(Tank2!$C$23="No control",(SUMIF(Tank2!$B$32:$B$49,$J982,Tank2!$C$32:$C$49)*Impacts!$F$9),0)</f>
        <v>0</v>
      </c>
      <c r="N982" s="10">
        <f>IF(Tank3!$C$23="No control",(SUMIF(Tank3!$B$32:$B$49,$J982,Tank3!$C$32:$C$49)*Impacts!$F$10),0)</f>
        <v>0</v>
      </c>
      <c r="O982" s="10">
        <f>IF(Tank4!$C$23="No control",(SUMIF(Tank4!$B$32:$B$49,$J982,Tank4!$C$32:$C$49)*Impacts!$F$11),0)</f>
        <v>0</v>
      </c>
      <c r="P982" s="10">
        <f>IF(Tank5!$C$23="No control",(SUMIF(Tank5!$B$32:$B$49,$J982,Tank5!$C$32:$C$49)*Impacts!$F$12),0)</f>
        <v>0</v>
      </c>
      <c r="Q982" s="10">
        <f>IFERROR(IF(('Loading-drum,tote'!$C$21)="No control",SUMIF(('Loading-drum,tote'!$B$31:$B$48),$J982,('Loading-drum,tote'!$D$31:$D$48))*Impacts!$F$13,IF(('Loading-drum,tote'!$C$21)&lt;&gt;"No control",SUMIF(('Loading-drum,tote'!$B$31:$B$48),$J982,('Loading-drum,tote'!$E$31:$E$48))*Impacts!$F$13,0)),0)</f>
        <v>0</v>
      </c>
      <c r="R982" s="10">
        <f>IFERROR(IF(('Loading-truck'!$C$21)="No control",SUMIF(('Loading-truck'!$B$31:$B$48),$J982,('Loading-truck'!$D$31:$D$48))*Impacts!$F$14,IF(('Loading-truck'!$C$21)&lt;&gt;"No control",SUMIF(('Loading-truck'!$B$31:$B$48),$J982,('Loading-truck'!$E$31:$E$48))*Impacts!$F$14,0)),0)</f>
        <v>0</v>
      </c>
      <c r="S982" s="10">
        <f>IFERROR(IF(('Loading-rail'!$C$21)="No control",SUMIF(('Loading-rail'!$B$31:$B$48),$J982,('Loading-rail'!$D$31:$D$48))*Impacts!$F$15,IF(('Loading-rail'!$C$21)&lt;&gt;"No control",SUMIF(('Loading-rail'!$B$31:$B$48),$J982,('Loading-rail'!$E$31:$E$48))*Impacts!$F$15,0)),0)</f>
        <v>0</v>
      </c>
      <c r="T982" s="10">
        <f>IF(Flare!$C$7="",0,(SUMIF(Flare!$B$46:$B$185,$J982,Flare!$E$46:$E$185)*Impacts!$F$16))</f>
        <v>0</v>
      </c>
      <c r="U982" s="10">
        <f>IF(VCU!$C$9="",0,(SUMIF(VCU!$B$51:$B$193,$J982,VCU!$E$51:$E$193)*Impacts!$F$17))</f>
        <v>0</v>
      </c>
      <c r="V982" s="10">
        <f>IF(CAS!$C$7="",0,(SUMIF(CAS!$B$31:$B$167,$J982,CAS!$E$31:$E$167)*Impacts!$F$18))</f>
        <v>0</v>
      </c>
      <c r="W982" s="10">
        <f t="shared" si="57"/>
        <v>0</v>
      </c>
      <c r="AK982" s="10" t="str">
        <f t="array" ref="AK982">IFERROR(INDEX(SelectedSpecies,SMALL(IF(SelectedSpecies=AK$1,ROW(SelectedSpecies)),ROW(983:983)),2),"")</f>
        <v/>
      </c>
      <c r="BE982" s="10"/>
      <c r="BI982" s="10"/>
    </row>
    <row r="983" spans="1:61" ht="21" customHeight="1" x14ac:dyDescent="0.25">
      <c r="A983" s="10"/>
      <c r="B983" s="10"/>
      <c r="E983" s="10"/>
      <c r="G983" s="10"/>
      <c r="I983" s="436" t="s">
        <v>4177</v>
      </c>
      <c r="J983" s="26" t="s">
        <v>4176</v>
      </c>
      <c r="K983" s="10">
        <v>5</v>
      </c>
      <c r="L983" s="73">
        <f>IF(Tank1!$C$23="No control",(SUMIF(Tank1!$B$32:$B$49,$J983,Tank1!$C$32:$C$49)*Impacts!$F$8),0)</f>
        <v>0</v>
      </c>
      <c r="M983" s="10">
        <f>IF(Tank2!$C$23="No control",(SUMIF(Tank2!$B$32:$B$49,$J983,Tank2!$C$32:$C$49)*Impacts!$F$9),0)</f>
        <v>0</v>
      </c>
      <c r="N983" s="10">
        <f>IF(Tank3!$C$23="No control",(SUMIF(Tank3!$B$32:$B$49,$J983,Tank3!$C$32:$C$49)*Impacts!$F$10),0)</f>
        <v>0</v>
      </c>
      <c r="O983" s="10">
        <f>IF(Tank4!$C$23="No control",(SUMIF(Tank4!$B$32:$B$49,$J983,Tank4!$C$32:$C$49)*Impacts!$F$11),0)</f>
        <v>0</v>
      </c>
      <c r="P983" s="10">
        <f>IF(Tank5!$C$23="No control",(SUMIF(Tank5!$B$32:$B$49,$J983,Tank5!$C$32:$C$49)*Impacts!$F$12),0)</f>
        <v>0</v>
      </c>
      <c r="Q983" s="10">
        <f>IFERROR(IF(('Loading-drum,tote'!$C$21)="No control",SUMIF(('Loading-drum,tote'!$B$31:$B$48),$J983,('Loading-drum,tote'!$D$31:$D$48))*Impacts!$F$13,IF(('Loading-drum,tote'!$C$21)&lt;&gt;"No control",SUMIF(('Loading-drum,tote'!$B$31:$B$48),$J983,('Loading-drum,tote'!$E$31:$E$48))*Impacts!$F$13,0)),0)</f>
        <v>0</v>
      </c>
      <c r="R983" s="10">
        <f>IFERROR(IF(('Loading-truck'!$C$21)="No control",SUMIF(('Loading-truck'!$B$31:$B$48),$J983,('Loading-truck'!$D$31:$D$48))*Impacts!$F$14,IF(('Loading-truck'!$C$21)&lt;&gt;"No control",SUMIF(('Loading-truck'!$B$31:$B$48),$J983,('Loading-truck'!$E$31:$E$48))*Impacts!$F$14,0)),0)</f>
        <v>0</v>
      </c>
      <c r="S983" s="10">
        <f>IFERROR(IF(('Loading-rail'!$C$21)="No control",SUMIF(('Loading-rail'!$B$31:$B$48),$J983,('Loading-rail'!$D$31:$D$48))*Impacts!$F$15,IF(('Loading-rail'!$C$21)&lt;&gt;"No control",SUMIF(('Loading-rail'!$B$31:$B$48),$J983,('Loading-rail'!$E$31:$E$48))*Impacts!$F$15,0)),0)</f>
        <v>0</v>
      </c>
      <c r="T983" s="10">
        <f>IF(Flare!$C$7="",0,(SUMIF(Flare!$B$46:$B$185,$J983,Flare!$E$46:$E$185)*Impacts!$F$16))</f>
        <v>0</v>
      </c>
      <c r="U983" s="10">
        <f>IF(VCU!$C$9="",0,(SUMIF(VCU!$B$51:$B$193,$J983,VCU!$E$51:$E$193)*Impacts!$F$17))</f>
        <v>0</v>
      </c>
      <c r="V983" s="10">
        <f>IF(CAS!$C$7="",0,(SUMIF(CAS!$B$31:$B$167,$J983,CAS!$E$31:$E$167)*Impacts!$F$18))</f>
        <v>0</v>
      </c>
      <c r="W983" s="10">
        <f t="shared" si="57"/>
        <v>0</v>
      </c>
      <c r="AK983" s="10" t="str">
        <f t="array" ref="AK983">IFERROR(INDEX(SelectedSpecies,SMALL(IF(SelectedSpecies=AK$1,ROW(SelectedSpecies)),ROW(984:984)),2),"")</f>
        <v/>
      </c>
      <c r="BE983" s="10"/>
      <c r="BI983" s="10"/>
    </row>
    <row r="984" spans="1:61" ht="21" customHeight="1" x14ac:dyDescent="0.25">
      <c r="A984" s="10"/>
      <c r="B984" s="10"/>
      <c r="E984" s="10"/>
      <c r="G984" s="10"/>
      <c r="I984" s="436" t="s">
        <v>648</v>
      </c>
      <c r="J984" s="26" t="s">
        <v>647</v>
      </c>
      <c r="K984" s="10">
        <v>57</v>
      </c>
      <c r="L984" s="73">
        <f>IF(Tank1!$C$23="No control",(SUMIF(Tank1!$B$32:$B$49,$J984,Tank1!$C$32:$C$49)*Impacts!$F$8),0)</f>
        <v>0</v>
      </c>
      <c r="M984" s="10">
        <f>IF(Tank2!$C$23="No control",(SUMIF(Tank2!$B$32:$B$49,$J984,Tank2!$C$32:$C$49)*Impacts!$F$9),0)</f>
        <v>0</v>
      </c>
      <c r="N984" s="10">
        <f>IF(Tank3!$C$23="No control",(SUMIF(Tank3!$B$32:$B$49,$J984,Tank3!$C$32:$C$49)*Impacts!$F$10),0)</f>
        <v>0</v>
      </c>
      <c r="O984" s="10">
        <f>IF(Tank4!$C$23="No control",(SUMIF(Tank4!$B$32:$B$49,$J984,Tank4!$C$32:$C$49)*Impacts!$F$11),0)</f>
        <v>0</v>
      </c>
      <c r="P984" s="10">
        <f>IF(Tank5!$C$23="No control",(SUMIF(Tank5!$B$32:$B$49,$J984,Tank5!$C$32:$C$49)*Impacts!$F$12),0)</f>
        <v>0</v>
      </c>
      <c r="Q984" s="10">
        <f>IFERROR(IF(('Loading-drum,tote'!$C$21)="No control",SUMIF(('Loading-drum,tote'!$B$31:$B$48),$J984,('Loading-drum,tote'!$D$31:$D$48))*Impacts!$F$13,IF(('Loading-drum,tote'!$C$21)&lt;&gt;"No control",SUMIF(('Loading-drum,tote'!$B$31:$B$48),$J984,('Loading-drum,tote'!$E$31:$E$48))*Impacts!$F$13,0)),0)</f>
        <v>0</v>
      </c>
      <c r="R984" s="10">
        <f>IFERROR(IF(('Loading-truck'!$C$21)="No control",SUMIF(('Loading-truck'!$B$31:$B$48),$J984,('Loading-truck'!$D$31:$D$48))*Impacts!$F$14,IF(('Loading-truck'!$C$21)&lt;&gt;"No control",SUMIF(('Loading-truck'!$B$31:$B$48),$J984,('Loading-truck'!$E$31:$E$48))*Impacts!$F$14,0)),0)</f>
        <v>0</v>
      </c>
      <c r="S984" s="10">
        <f>IFERROR(IF(('Loading-rail'!$C$21)="No control",SUMIF(('Loading-rail'!$B$31:$B$48),$J984,('Loading-rail'!$D$31:$D$48))*Impacts!$F$15,IF(('Loading-rail'!$C$21)&lt;&gt;"No control",SUMIF(('Loading-rail'!$B$31:$B$48),$J984,('Loading-rail'!$E$31:$E$48))*Impacts!$F$15,0)),0)</f>
        <v>0</v>
      </c>
      <c r="T984" s="10">
        <f>IF(Flare!$C$7="",0,(SUMIF(Flare!$B$46:$B$185,$J984,Flare!$E$46:$E$185)*Impacts!$F$16))</f>
        <v>0</v>
      </c>
      <c r="U984" s="10">
        <f>IF(VCU!$C$9="",0,(SUMIF(VCU!$B$51:$B$193,$J984,VCU!$E$51:$E$193)*Impacts!$F$17))</f>
        <v>0</v>
      </c>
      <c r="V984" s="10">
        <f>IF(CAS!$C$7="",0,(SUMIF(CAS!$B$31:$B$167,$J984,CAS!$E$31:$E$167)*Impacts!$F$18))</f>
        <v>0</v>
      </c>
      <c r="W984" s="10">
        <f t="shared" si="57"/>
        <v>0</v>
      </c>
      <c r="AK984" s="10" t="str">
        <f t="array" ref="AK984">IFERROR(INDEX(SelectedSpecies,SMALL(IF(SelectedSpecies=AK$1,ROW(SelectedSpecies)),ROW(985:985)),2),"")</f>
        <v/>
      </c>
      <c r="BE984" s="10"/>
      <c r="BI984" s="10"/>
    </row>
    <row r="985" spans="1:61" ht="21" customHeight="1" x14ac:dyDescent="0.25">
      <c r="A985" s="10"/>
      <c r="B985" s="10"/>
      <c r="E985" s="10"/>
      <c r="G985" s="10"/>
      <c r="I985" s="436" t="s">
        <v>650</v>
      </c>
      <c r="J985" s="26" t="s">
        <v>649</v>
      </c>
      <c r="K985" s="10">
        <v>57</v>
      </c>
      <c r="L985" s="73">
        <f>IF(Tank1!$C$23="No control",(SUMIF(Tank1!$B$32:$B$49,$J985,Tank1!$C$32:$C$49)*Impacts!$F$8),0)</f>
        <v>0</v>
      </c>
      <c r="M985" s="10">
        <f>IF(Tank2!$C$23="No control",(SUMIF(Tank2!$B$32:$B$49,$J985,Tank2!$C$32:$C$49)*Impacts!$F$9),0)</f>
        <v>0</v>
      </c>
      <c r="N985" s="10">
        <f>IF(Tank3!$C$23="No control",(SUMIF(Tank3!$B$32:$B$49,$J985,Tank3!$C$32:$C$49)*Impacts!$F$10),0)</f>
        <v>0</v>
      </c>
      <c r="O985" s="10">
        <f>IF(Tank4!$C$23="No control",(SUMIF(Tank4!$B$32:$B$49,$J985,Tank4!$C$32:$C$49)*Impacts!$F$11),0)</f>
        <v>0</v>
      </c>
      <c r="P985" s="10">
        <f>IF(Tank5!$C$23="No control",(SUMIF(Tank5!$B$32:$B$49,$J985,Tank5!$C$32:$C$49)*Impacts!$F$12),0)</f>
        <v>0</v>
      </c>
      <c r="Q985" s="10">
        <f>IFERROR(IF(('Loading-drum,tote'!$C$21)="No control",SUMIF(('Loading-drum,tote'!$B$31:$B$48),$J985,('Loading-drum,tote'!$D$31:$D$48))*Impacts!$F$13,IF(('Loading-drum,tote'!$C$21)&lt;&gt;"No control",SUMIF(('Loading-drum,tote'!$B$31:$B$48),$J985,('Loading-drum,tote'!$E$31:$E$48))*Impacts!$F$13,0)),0)</f>
        <v>0</v>
      </c>
      <c r="R985" s="10">
        <f>IFERROR(IF(('Loading-truck'!$C$21)="No control",SUMIF(('Loading-truck'!$B$31:$B$48),$J985,('Loading-truck'!$D$31:$D$48))*Impacts!$F$14,IF(('Loading-truck'!$C$21)&lt;&gt;"No control",SUMIF(('Loading-truck'!$B$31:$B$48),$J985,('Loading-truck'!$E$31:$E$48))*Impacts!$F$14,0)),0)</f>
        <v>0</v>
      </c>
      <c r="S985" s="10">
        <f>IFERROR(IF(('Loading-rail'!$C$21)="No control",SUMIF(('Loading-rail'!$B$31:$B$48),$J985,('Loading-rail'!$D$31:$D$48))*Impacts!$F$15,IF(('Loading-rail'!$C$21)&lt;&gt;"No control",SUMIF(('Loading-rail'!$B$31:$B$48),$J985,('Loading-rail'!$E$31:$E$48))*Impacts!$F$15,0)),0)</f>
        <v>0</v>
      </c>
      <c r="T985" s="10">
        <f>IF(Flare!$C$7="",0,(SUMIF(Flare!$B$46:$B$185,$J985,Flare!$E$46:$E$185)*Impacts!$F$16))</f>
        <v>0</v>
      </c>
      <c r="U985" s="10">
        <f>IF(VCU!$C$9="",0,(SUMIF(VCU!$B$51:$B$193,$J985,VCU!$E$51:$E$193)*Impacts!$F$17))</f>
        <v>0</v>
      </c>
      <c r="V985" s="10">
        <f>IF(CAS!$C$7="",0,(SUMIF(CAS!$B$31:$B$167,$J985,CAS!$E$31:$E$167)*Impacts!$F$18))</f>
        <v>0</v>
      </c>
      <c r="W985" s="10">
        <f t="shared" si="57"/>
        <v>0</v>
      </c>
      <c r="AK985" s="10" t="str">
        <f t="array" ref="AK985">IFERROR(INDEX(SelectedSpecies,SMALL(IF(SelectedSpecies=AK$1,ROW(SelectedSpecies)),ROW(986:986)),2),"")</f>
        <v/>
      </c>
      <c r="BE985" s="10"/>
      <c r="BI985" s="10"/>
    </row>
    <row r="986" spans="1:61" ht="21" customHeight="1" x14ac:dyDescent="0.25">
      <c r="A986" s="10"/>
      <c r="B986" s="10"/>
      <c r="E986" s="10"/>
      <c r="G986" s="10"/>
      <c r="I986" s="436" t="s">
        <v>5137</v>
      </c>
      <c r="J986" s="26" t="s">
        <v>5136</v>
      </c>
      <c r="K986" s="10">
        <v>2</v>
      </c>
      <c r="L986" s="73">
        <f>IF(Tank1!$C$23="No control",(SUMIF(Tank1!$B$32:$B$49,$J986,Tank1!$C$32:$C$49)*Impacts!$F$8),0)</f>
        <v>0</v>
      </c>
      <c r="M986" s="10">
        <f>IF(Tank2!$C$23="No control",(SUMIF(Tank2!$B$32:$B$49,$J986,Tank2!$C$32:$C$49)*Impacts!$F$9),0)</f>
        <v>0</v>
      </c>
      <c r="N986" s="10">
        <f>IF(Tank3!$C$23="No control",(SUMIF(Tank3!$B$32:$B$49,$J986,Tank3!$C$32:$C$49)*Impacts!$F$10),0)</f>
        <v>0</v>
      </c>
      <c r="O986" s="10">
        <f>IF(Tank4!$C$23="No control",(SUMIF(Tank4!$B$32:$B$49,$J986,Tank4!$C$32:$C$49)*Impacts!$F$11),0)</f>
        <v>0</v>
      </c>
      <c r="P986" s="10">
        <f>IF(Tank5!$C$23="No control",(SUMIF(Tank5!$B$32:$B$49,$J986,Tank5!$C$32:$C$49)*Impacts!$F$12),0)</f>
        <v>0</v>
      </c>
      <c r="Q986" s="10">
        <f>IFERROR(IF(('Loading-drum,tote'!$C$21)="No control",SUMIF(('Loading-drum,tote'!$B$31:$B$48),$J986,('Loading-drum,tote'!$D$31:$D$48))*Impacts!$F$13,IF(('Loading-drum,tote'!$C$21)&lt;&gt;"No control",SUMIF(('Loading-drum,tote'!$B$31:$B$48),$J986,('Loading-drum,tote'!$E$31:$E$48))*Impacts!$F$13,0)),0)</f>
        <v>0</v>
      </c>
      <c r="R986" s="10">
        <f>IFERROR(IF(('Loading-truck'!$C$21)="No control",SUMIF(('Loading-truck'!$B$31:$B$48),$J986,('Loading-truck'!$D$31:$D$48))*Impacts!$F$14,IF(('Loading-truck'!$C$21)&lt;&gt;"No control",SUMIF(('Loading-truck'!$B$31:$B$48),$J986,('Loading-truck'!$E$31:$E$48))*Impacts!$F$14,0)),0)</f>
        <v>0</v>
      </c>
      <c r="S986" s="10">
        <f>IFERROR(IF(('Loading-rail'!$C$21)="No control",SUMIF(('Loading-rail'!$B$31:$B$48),$J986,('Loading-rail'!$D$31:$D$48))*Impacts!$F$15,IF(('Loading-rail'!$C$21)&lt;&gt;"No control",SUMIF(('Loading-rail'!$B$31:$B$48),$J986,('Loading-rail'!$E$31:$E$48))*Impacts!$F$15,0)),0)</f>
        <v>0</v>
      </c>
      <c r="T986" s="10">
        <f>IF(Flare!$C$7="",0,(SUMIF(Flare!$B$46:$B$185,$J986,Flare!$E$46:$E$185)*Impacts!$F$16))</f>
        <v>0</v>
      </c>
      <c r="U986" s="10">
        <f>IF(VCU!$C$9="",0,(SUMIF(VCU!$B$51:$B$193,$J986,VCU!$E$51:$E$193)*Impacts!$F$17))</f>
        <v>0</v>
      </c>
      <c r="V986" s="10">
        <f>IF(CAS!$C$7="",0,(SUMIF(CAS!$B$31:$B$167,$J986,CAS!$E$31:$E$167)*Impacts!$F$18))</f>
        <v>0</v>
      </c>
      <c r="W986" s="10">
        <f t="shared" si="57"/>
        <v>0</v>
      </c>
      <c r="AK986" s="10" t="str">
        <f t="array" ref="AK986">IFERROR(INDEX(SelectedSpecies,SMALL(IF(SelectedSpecies=AK$1,ROW(SelectedSpecies)),ROW(987:987)),2),"")</f>
        <v/>
      </c>
      <c r="BE986" s="10"/>
      <c r="BI986" s="10"/>
    </row>
    <row r="987" spans="1:61" ht="21" customHeight="1" x14ac:dyDescent="0.25">
      <c r="A987" s="10"/>
      <c r="B987" s="10"/>
      <c r="E987" s="10"/>
      <c r="G987" s="10"/>
      <c r="I987" s="436" t="s">
        <v>5786</v>
      </c>
      <c r="J987" s="26" t="s">
        <v>5785</v>
      </c>
      <c r="K987" s="10">
        <v>1</v>
      </c>
      <c r="L987" s="73">
        <f>IF(Tank1!$C$23="No control",(SUMIF(Tank1!$B$32:$B$49,$J987,Tank1!$C$32:$C$49)*Impacts!$F$8),0)</f>
        <v>0</v>
      </c>
      <c r="M987" s="10">
        <f>IF(Tank2!$C$23="No control",(SUMIF(Tank2!$B$32:$B$49,$J987,Tank2!$C$32:$C$49)*Impacts!$F$9),0)</f>
        <v>0</v>
      </c>
      <c r="N987" s="10">
        <f>IF(Tank3!$C$23="No control",(SUMIF(Tank3!$B$32:$B$49,$J987,Tank3!$C$32:$C$49)*Impacts!$F$10),0)</f>
        <v>0</v>
      </c>
      <c r="O987" s="10">
        <f>IF(Tank4!$C$23="No control",(SUMIF(Tank4!$B$32:$B$49,$J987,Tank4!$C$32:$C$49)*Impacts!$F$11),0)</f>
        <v>0</v>
      </c>
      <c r="P987" s="10">
        <f>IF(Tank5!$C$23="No control",(SUMIF(Tank5!$B$32:$B$49,$J987,Tank5!$C$32:$C$49)*Impacts!$F$12),0)</f>
        <v>0</v>
      </c>
      <c r="Q987" s="10">
        <f>IFERROR(IF(('Loading-drum,tote'!$C$21)="No control",SUMIF(('Loading-drum,tote'!$B$31:$B$48),$J987,('Loading-drum,tote'!$D$31:$D$48))*Impacts!$F$13,IF(('Loading-drum,tote'!$C$21)&lt;&gt;"No control",SUMIF(('Loading-drum,tote'!$B$31:$B$48),$J987,('Loading-drum,tote'!$E$31:$E$48))*Impacts!$F$13,0)),0)</f>
        <v>0</v>
      </c>
      <c r="R987" s="10">
        <f>IFERROR(IF(('Loading-truck'!$C$21)="No control",SUMIF(('Loading-truck'!$B$31:$B$48),$J987,('Loading-truck'!$D$31:$D$48))*Impacts!$F$14,IF(('Loading-truck'!$C$21)&lt;&gt;"No control",SUMIF(('Loading-truck'!$B$31:$B$48),$J987,('Loading-truck'!$E$31:$E$48))*Impacts!$F$14,0)),0)</f>
        <v>0</v>
      </c>
      <c r="S987" s="10">
        <f>IFERROR(IF(('Loading-rail'!$C$21)="No control",SUMIF(('Loading-rail'!$B$31:$B$48),$J987,('Loading-rail'!$D$31:$D$48))*Impacts!$F$15,IF(('Loading-rail'!$C$21)&lt;&gt;"No control",SUMIF(('Loading-rail'!$B$31:$B$48),$J987,('Loading-rail'!$E$31:$E$48))*Impacts!$F$15,0)),0)</f>
        <v>0</v>
      </c>
      <c r="T987" s="10">
        <f>IF(Flare!$C$7="",0,(SUMIF(Flare!$B$46:$B$185,$J987,Flare!$E$46:$E$185)*Impacts!$F$16))</f>
        <v>0</v>
      </c>
      <c r="U987" s="10">
        <f>IF(VCU!$C$9="",0,(SUMIF(VCU!$B$51:$B$193,$J987,VCU!$E$51:$E$193)*Impacts!$F$17))</f>
        <v>0</v>
      </c>
      <c r="V987" s="10">
        <f>IF(CAS!$C$7="",0,(SUMIF(CAS!$B$31:$B$167,$J987,CAS!$E$31:$E$167)*Impacts!$F$18))</f>
        <v>0</v>
      </c>
      <c r="W987" s="10">
        <f t="shared" si="57"/>
        <v>0</v>
      </c>
      <c r="AK987" s="10" t="str">
        <f t="array" ref="AK987">IFERROR(INDEX(SelectedSpecies,SMALL(IF(SelectedSpecies=AK$1,ROW(SelectedSpecies)),ROW(988:988)),2),"")</f>
        <v/>
      </c>
      <c r="BE987" s="10"/>
      <c r="BI987" s="10"/>
    </row>
    <row r="988" spans="1:61" ht="21" customHeight="1" x14ac:dyDescent="0.25">
      <c r="A988" s="10"/>
      <c r="B988" s="10"/>
      <c r="E988" s="10"/>
      <c r="G988" s="10"/>
      <c r="I988" s="436" t="s">
        <v>7078</v>
      </c>
      <c r="J988" s="26" t="s">
        <v>7077</v>
      </c>
      <c r="K988" s="10">
        <v>0.4</v>
      </c>
      <c r="L988" s="73">
        <f>IF(Tank1!$C$23="No control",(SUMIF(Tank1!$B$32:$B$49,$J988,Tank1!$C$32:$C$49)*Impacts!$F$8),0)</f>
        <v>0</v>
      </c>
      <c r="M988" s="10">
        <f>IF(Tank2!$C$23="No control",(SUMIF(Tank2!$B$32:$B$49,$J988,Tank2!$C$32:$C$49)*Impacts!$F$9),0)</f>
        <v>0</v>
      </c>
      <c r="N988" s="10">
        <f>IF(Tank3!$C$23="No control",(SUMIF(Tank3!$B$32:$B$49,$J988,Tank3!$C$32:$C$49)*Impacts!$F$10),0)</f>
        <v>0</v>
      </c>
      <c r="O988" s="10">
        <f>IF(Tank4!$C$23="No control",(SUMIF(Tank4!$B$32:$B$49,$J988,Tank4!$C$32:$C$49)*Impacts!$F$11),0)</f>
        <v>0</v>
      </c>
      <c r="P988" s="10">
        <f>IF(Tank5!$C$23="No control",(SUMIF(Tank5!$B$32:$B$49,$J988,Tank5!$C$32:$C$49)*Impacts!$F$12),0)</f>
        <v>0</v>
      </c>
      <c r="Q988" s="10">
        <f>IFERROR(IF(('Loading-drum,tote'!$C$21)="No control",SUMIF(('Loading-drum,tote'!$B$31:$B$48),$J988,('Loading-drum,tote'!$D$31:$D$48))*Impacts!$F$13,IF(('Loading-drum,tote'!$C$21)&lt;&gt;"No control",SUMIF(('Loading-drum,tote'!$B$31:$B$48),$J988,('Loading-drum,tote'!$E$31:$E$48))*Impacts!$F$13,0)),0)</f>
        <v>0</v>
      </c>
      <c r="R988" s="10">
        <f>IFERROR(IF(('Loading-truck'!$C$21)="No control",SUMIF(('Loading-truck'!$B$31:$B$48),$J988,('Loading-truck'!$D$31:$D$48))*Impacts!$F$14,IF(('Loading-truck'!$C$21)&lt;&gt;"No control",SUMIF(('Loading-truck'!$B$31:$B$48),$J988,('Loading-truck'!$E$31:$E$48))*Impacts!$F$14,0)),0)</f>
        <v>0</v>
      </c>
      <c r="S988" s="10">
        <f>IFERROR(IF(('Loading-rail'!$C$21)="No control",SUMIF(('Loading-rail'!$B$31:$B$48),$J988,('Loading-rail'!$D$31:$D$48))*Impacts!$F$15,IF(('Loading-rail'!$C$21)&lt;&gt;"No control",SUMIF(('Loading-rail'!$B$31:$B$48),$J988,('Loading-rail'!$E$31:$E$48))*Impacts!$F$15,0)),0)</f>
        <v>0</v>
      </c>
      <c r="T988" s="10">
        <f>IF(Flare!$C$7="",0,(SUMIF(Flare!$B$46:$B$185,$J988,Flare!$E$46:$E$185)*Impacts!$F$16))</f>
        <v>0</v>
      </c>
      <c r="U988" s="10">
        <f>IF(VCU!$C$9="",0,(SUMIF(VCU!$B$51:$B$193,$J988,VCU!$E$51:$E$193)*Impacts!$F$17))</f>
        <v>0</v>
      </c>
      <c r="V988" s="10">
        <f>IF(CAS!$C$7="",0,(SUMIF(CAS!$B$31:$B$167,$J988,CAS!$E$31:$E$167)*Impacts!$F$18))</f>
        <v>0</v>
      </c>
      <c r="W988" s="10">
        <f t="shared" si="57"/>
        <v>0</v>
      </c>
      <c r="AK988" s="10" t="str">
        <f t="array" ref="AK988">IFERROR(INDEX(SelectedSpecies,SMALL(IF(SelectedSpecies=AK$1,ROW(SelectedSpecies)),ROW(989:989)),2),"")</f>
        <v/>
      </c>
      <c r="BE988" s="10"/>
      <c r="BI988" s="10"/>
    </row>
    <row r="989" spans="1:61" ht="21" customHeight="1" x14ac:dyDescent="0.25">
      <c r="A989" s="10"/>
      <c r="B989" s="10"/>
      <c r="E989" s="10"/>
      <c r="G989" s="10"/>
      <c r="I989" s="436" t="s">
        <v>4545</v>
      </c>
      <c r="J989" s="26" t="s">
        <v>4544</v>
      </c>
      <c r="K989" s="10">
        <v>4</v>
      </c>
      <c r="L989" s="73">
        <f>IF(Tank1!$C$23="No control",(SUMIF(Tank1!$B$32:$B$49,$J989,Tank1!$C$32:$C$49)*Impacts!$F$8),0)</f>
        <v>0</v>
      </c>
      <c r="M989" s="10">
        <f>IF(Tank2!$C$23="No control",(SUMIF(Tank2!$B$32:$B$49,$J989,Tank2!$C$32:$C$49)*Impacts!$F$9),0)</f>
        <v>0</v>
      </c>
      <c r="N989" s="10">
        <f>IF(Tank3!$C$23="No control",(SUMIF(Tank3!$B$32:$B$49,$J989,Tank3!$C$32:$C$49)*Impacts!$F$10),0)</f>
        <v>0</v>
      </c>
      <c r="O989" s="10">
        <f>IF(Tank4!$C$23="No control",(SUMIF(Tank4!$B$32:$B$49,$J989,Tank4!$C$32:$C$49)*Impacts!$F$11),0)</f>
        <v>0</v>
      </c>
      <c r="P989" s="10">
        <f>IF(Tank5!$C$23="No control",(SUMIF(Tank5!$B$32:$B$49,$J989,Tank5!$C$32:$C$49)*Impacts!$F$12),0)</f>
        <v>0</v>
      </c>
      <c r="Q989" s="10">
        <f>IFERROR(IF(('Loading-drum,tote'!$C$21)="No control",SUMIF(('Loading-drum,tote'!$B$31:$B$48),$J989,('Loading-drum,tote'!$D$31:$D$48))*Impacts!$F$13,IF(('Loading-drum,tote'!$C$21)&lt;&gt;"No control",SUMIF(('Loading-drum,tote'!$B$31:$B$48),$J989,('Loading-drum,tote'!$E$31:$E$48))*Impacts!$F$13,0)),0)</f>
        <v>0</v>
      </c>
      <c r="R989" s="10">
        <f>IFERROR(IF(('Loading-truck'!$C$21)="No control",SUMIF(('Loading-truck'!$B$31:$B$48),$J989,('Loading-truck'!$D$31:$D$48))*Impacts!$F$14,IF(('Loading-truck'!$C$21)&lt;&gt;"No control",SUMIF(('Loading-truck'!$B$31:$B$48),$J989,('Loading-truck'!$E$31:$E$48))*Impacts!$F$14,0)),0)</f>
        <v>0</v>
      </c>
      <c r="S989" s="10">
        <f>IFERROR(IF(('Loading-rail'!$C$21)="No control",SUMIF(('Loading-rail'!$B$31:$B$48),$J989,('Loading-rail'!$D$31:$D$48))*Impacts!$F$15,IF(('Loading-rail'!$C$21)&lt;&gt;"No control",SUMIF(('Loading-rail'!$B$31:$B$48),$J989,('Loading-rail'!$E$31:$E$48))*Impacts!$F$15,0)),0)</f>
        <v>0</v>
      </c>
      <c r="T989" s="10">
        <f>IF(Flare!$C$7="",0,(SUMIF(Flare!$B$46:$B$185,$J989,Flare!$E$46:$E$185)*Impacts!$F$16))</f>
        <v>0</v>
      </c>
      <c r="U989" s="10">
        <f>IF(VCU!$C$9="",0,(SUMIF(VCU!$B$51:$B$193,$J989,VCU!$E$51:$E$193)*Impacts!$F$17))</f>
        <v>0</v>
      </c>
      <c r="V989" s="10">
        <f>IF(CAS!$C$7="",0,(SUMIF(CAS!$B$31:$B$167,$J989,CAS!$E$31:$E$167)*Impacts!$F$18))</f>
        <v>0</v>
      </c>
      <c r="W989" s="10">
        <f t="shared" si="57"/>
        <v>0</v>
      </c>
      <c r="AK989" s="10" t="str">
        <f t="array" ref="AK989">IFERROR(INDEX(SelectedSpecies,SMALL(IF(SelectedSpecies=AK$1,ROW(SelectedSpecies)),ROW(990:990)),2),"")</f>
        <v/>
      </c>
      <c r="BE989" s="10"/>
      <c r="BI989" s="10"/>
    </row>
    <row r="990" spans="1:61" ht="21" customHeight="1" x14ac:dyDescent="0.25">
      <c r="A990" s="10"/>
      <c r="B990" s="10"/>
      <c r="E990" s="10"/>
      <c r="G990" s="10"/>
      <c r="I990" s="436" t="s">
        <v>1220</v>
      </c>
      <c r="J990" s="26" t="s">
        <v>1219</v>
      </c>
      <c r="K990" s="10">
        <v>34</v>
      </c>
      <c r="L990" s="73">
        <f>IF(Tank1!$C$23="No control",(SUMIF(Tank1!$B$32:$B$49,$J990,Tank1!$C$32:$C$49)*Impacts!$F$8),0)</f>
        <v>0</v>
      </c>
      <c r="M990" s="10">
        <f>IF(Tank2!$C$23="No control",(SUMIF(Tank2!$B$32:$B$49,$J990,Tank2!$C$32:$C$49)*Impacts!$F$9),0)</f>
        <v>0</v>
      </c>
      <c r="N990" s="10">
        <f>IF(Tank3!$C$23="No control",(SUMIF(Tank3!$B$32:$B$49,$J990,Tank3!$C$32:$C$49)*Impacts!$F$10),0)</f>
        <v>0</v>
      </c>
      <c r="O990" s="10">
        <f>IF(Tank4!$C$23="No control",(SUMIF(Tank4!$B$32:$B$49,$J990,Tank4!$C$32:$C$49)*Impacts!$F$11),0)</f>
        <v>0</v>
      </c>
      <c r="P990" s="10">
        <f>IF(Tank5!$C$23="No control",(SUMIF(Tank5!$B$32:$B$49,$J990,Tank5!$C$32:$C$49)*Impacts!$F$12),0)</f>
        <v>0</v>
      </c>
      <c r="Q990" s="10">
        <f>IFERROR(IF(('Loading-drum,tote'!$C$21)="No control",SUMIF(('Loading-drum,tote'!$B$31:$B$48),$J990,('Loading-drum,tote'!$D$31:$D$48))*Impacts!$F$13,IF(('Loading-drum,tote'!$C$21)&lt;&gt;"No control",SUMIF(('Loading-drum,tote'!$B$31:$B$48),$J990,('Loading-drum,tote'!$E$31:$E$48))*Impacts!$F$13,0)),0)</f>
        <v>0</v>
      </c>
      <c r="R990" s="10">
        <f>IFERROR(IF(('Loading-truck'!$C$21)="No control",SUMIF(('Loading-truck'!$B$31:$B$48),$J990,('Loading-truck'!$D$31:$D$48))*Impacts!$F$14,IF(('Loading-truck'!$C$21)&lt;&gt;"No control",SUMIF(('Loading-truck'!$B$31:$B$48),$J990,('Loading-truck'!$E$31:$E$48))*Impacts!$F$14,0)),0)</f>
        <v>0</v>
      </c>
      <c r="S990" s="10">
        <f>IFERROR(IF(('Loading-rail'!$C$21)="No control",SUMIF(('Loading-rail'!$B$31:$B$48),$J990,('Loading-rail'!$D$31:$D$48))*Impacts!$F$15,IF(('Loading-rail'!$C$21)&lt;&gt;"No control",SUMIF(('Loading-rail'!$B$31:$B$48),$J990,('Loading-rail'!$E$31:$E$48))*Impacts!$F$15,0)),0)</f>
        <v>0</v>
      </c>
      <c r="T990" s="10">
        <f>IF(Flare!$C$7="",0,(SUMIF(Flare!$B$46:$B$185,$J990,Flare!$E$46:$E$185)*Impacts!$F$16))</f>
        <v>0</v>
      </c>
      <c r="U990" s="10">
        <f>IF(VCU!$C$9="",0,(SUMIF(VCU!$B$51:$B$193,$J990,VCU!$E$51:$E$193)*Impacts!$F$17))</f>
        <v>0</v>
      </c>
      <c r="V990" s="10">
        <f>IF(CAS!$C$7="",0,(SUMIF(CAS!$B$31:$B$167,$J990,CAS!$E$31:$E$167)*Impacts!$F$18))</f>
        <v>0</v>
      </c>
      <c r="W990" s="10">
        <f t="shared" si="57"/>
        <v>0</v>
      </c>
      <c r="AK990" s="10" t="str">
        <f t="array" ref="AK990">IFERROR(INDEX(SelectedSpecies,SMALL(IF(SelectedSpecies=AK$1,ROW(SelectedSpecies)),ROW(991:991)),2),"")</f>
        <v/>
      </c>
      <c r="BE990" s="10"/>
      <c r="BI990" s="10"/>
    </row>
    <row r="991" spans="1:61" ht="21" customHeight="1" x14ac:dyDescent="0.25">
      <c r="A991" s="10"/>
      <c r="B991" s="10"/>
      <c r="E991" s="10"/>
      <c r="G991" s="10"/>
      <c r="I991" s="436" t="s">
        <v>6774</v>
      </c>
      <c r="J991" s="26" t="s">
        <v>6773</v>
      </c>
      <c r="K991" s="10">
        <v>0.5</v>
      </c>
      <c r="L991" s="73">
        <f>IF(Tank1!$C$23="No control",(SUMIF(Tank1!$B$32:$B$49,$J991,Tank1!$C$32:$C$49)*Impacts!$F$8),0)</f>
        <v>0</v>
      </c>
      <c r="M991" s="10">
        <f>IF(Tank2!$C$23="No control",(SUMIF(Tank2!$B$32:$B$49,$J991,Tank2!$C$32:$C$49)*Impacts!$F$9),0)</f>
        <v>0</v>
      </c>
      <c r="N991" s="10">
        <f>IF(Tank3!$C$23="No control",(SUMIF(Tank3!$B$32:$B$49,$J991,Tank3!$C$32:$C$49)*Impacts!$F$10),0)</f>
        <v>0</v>
      </c>
      <c r="O991" s="10">
        <f>IF(Tank4!$C$23="No control",(SUMIF(Tank4!$B$32:$B$49,$J991,Tank4!$C$32:$C$49)*Impacts!$F$11),0)</f>
        <v>0</v>
      </c>
      <c r="P991" s="10">
        <f>IF(Tank5!$C$23="No control",(SUMIF(Tank5!$B$32:$B$49,$J991,Tank5!$C$32:$C$49)*Impacts!$F$12),0)</f>
        <v>0</v>
      </c>
      <c r="Q991" s="10">
        <f>IFERROR(IF(('Loading-drum,tote'!$C$21)="No control",SUMIF(('Loading-drum,tote'!$B$31:$B$48),$J991,('Loading-drum,tote'!$D$31:$D$48))*Impacts!$F$13,IF(('Loading-drum,tote'!$C$21)&lt;&gt;"No control",SUMIF(('Loading-drum,tote'!$B$31:$B$48),$J991,('Loading-drum,tote'!$E$31:$E$48))*Impacts!$F$13,0)),0)</f>
        <v>0</v>
      </c>
      <c r="R991" s="10">
        <f>IFERROR(IF(('Loading-truck'!$C$21)="No control",SUMIF(('Loading-truck'!$B$31:$B$48),$J991,('Loading-truck'!$D$31:$D$48))*Impacts!$F$14,IF(('Loading-truck'!$C$21)&lt;&gt;"No control",SUMIF(('Loading-truck'!$B$31:$B$48),$J991,('Loading-truck'!$E$31:$E$48))*Impacts!$F$14,0)),0)</f>
        <v>0</v>
      </c>
      <c r="S991" s="10">
        <f>IFERROR(IF(('Loading-rail'!$C$21)="No control",SUMIF(('Loading-rail'!$B$31:$B$48),$J991,('Loading-rail'!$D$31:$D$48))*Impacts!$F$15,IF(('Loading-rail'!$C$21)&lt;&gt;"No control",SUMIF(('Loading-rail'!$B$31:$B$48),$J991,('Loading-rail'!$E$31:$E$48))*Impacts!$F$15,0)),0)</f>
        <v>0</v>
      </c>
      <c r="T991" s="10">
        <f>IF(Flare!$C$7="",0,(SUMIF(Flare!$B$46:$B$185,$J991,Flare!$E$46:$E$185)*Impacts!$F$16))</f>
        <v>0</v>
      </c>
      <c r="U991" s="10">
        <f>IF(VCU!$C$9="",0,(SUMIF(VCU!$B$51:$B$193,$J991,VCU!$E$51:$E$193)*Impacts!$F$17))</f>
        <v>0</v>
      </c>
      <c r="V991" s="10">
        <f>IF(CAS!$C$7="",0,(SUMIF(CAS!$B$31:$B$167,$J991,CAS!$E$31:$E$167)*Impacts!$F$18))</f>
        <v>0</v>
      </c>
      <c r="W991" s="10">
        <f t="shared" si="57"/>
        <v>0</v>
      </c>
      <c r="AK991" s="10" t="str">
        <f t="array" ref="AK991">IFERROR(INDEX(SelectedSpecies,SMALL(IF(SelectedSpecies=AK$1,ROW(SelectedSpecies)),ROW(992:992)),2),"")</f>
        <v/>
      </c>
      <c r="BE991" s="10"/>
      <c r="BI991" s="10"/>
    </row>
    <row r="992" spans="1:61" ht="21" customHeight="1" x14ac:dyDescent="0.25">
      <c r="A992" s="10"/>
      <c r="B992" s="10"/>
      <c r="E992" s="10"/>
      <c r="G992" s="10"/>
      <c r="I992" s="436" t="s">
        <v>3921</v>
      </c>
      <c r="J992" s="26" t="s">
        <v>3920</v>
      </c>
      <c r="K992" s="10">
        <v>6</v>
      </c>
      <c r="L992" s="73">
        <f>IF(Tank1!$C$23="No control",(SUMIF(Tank1!$B$32:$B$49,$J992,Tank1!$C$32:$C$49)*Impacts!$F$8),0)</f>
        <v>0</v>
      </c>
      <c r="M992" s="10">
        <f>IF(Tank2!$C$23="No control",(SUMIF(Tank2!$B$32:$B$49,$J992,Tank2!$C$32:$C$49)*Impacts!$F$9),0)</f>
        <v>0</v>
      </c>
      <c r="N992" s="10">
        <f>IF(Tank3!$C$23="No control",(SUMIF(Tank3!$B$32:$B$49,$J992,Tank3!$C$32:$C$49)*Impacts!$F$10),0)</f>
        <v>0</v>
      </c>
      <c r="O992" s="10">
        <f>IF(Tank4!$C$23="No control",(SUMIF(Tank4!$B$32:$B$49,$J992,Tank4!$C$32:$C$49)*Impacts!$F$11),0)</f>
        <v>0</v>
      </c>
      <c r="P992" s="10">
        <f>IF(Tank5!$C$23="No control",(SUMIF(Tank5!$B$32:$B$49,$J992,Tank5!$C$32:$C$49)*Impacts!$F$12),0)</f>
        <v>0</v>
      </c>
      <c r="Q992" s="10">
        <f>IFERROR(IF(('Loading-drum,tote'!$C$21)="No control",SUMIF(('Loading-drum,tote'!$B$31:$B$48),$J992,('Loading-drum,tote'!$D$31:$D$48))*Impacts!$F$13,IF(('Loading-drum,tote'!$C$21)&lt;&gt;"No control",SUMIF(('Loading-drum,tote'!$B$31:$B$48),$J992,('Loading-drum,tote'!$E$31:$E$48))*Impacts!$F$13,0)),0)</f>
        <v>0</v>
      </c>
      <c r="R992" s="10">
        <f>IFERROR(IF(('Loading-truck'!$C$21)="No control",SUMIF(('Loading-truck'!$B$31:$B$48),$J992,('Loading-truck'!$D$31:$D$48))*Impacts!$F$14,IF(('Loading-truck'!$C$21)&lt;&gt;"No control",SUMIF(('Loading-truck'!$B$31:$B$48),$J992,('Loading-truck'!$E$31:$E$48))*Impacts!$F$14,0)),0)</f>
        <v>0</v>
      </c>
      <c r="S992" s="10">
        <f>IFERROR(IF(('Loading-rail'!$C$21)="No control",SUMIF(('Loading-rail'!$B$31:$B$48),$J992,('Loading-rail'!$D$31:$D$48))*Impacts!$F$15,IF(('Loading-rail'!$C$21)&lt;&gt;"No control",SUMIF(('Loading-rail'!$B$31:$B$48),$J992,('Loading-rail'!$E$31:$E$48))*Impacts!$F$15,0)),0)</f>
        <v>0</v>
      </c>
      <c r="T992" s="10">
        <f>IF(Flare!$C$7="",0,(SUMIF(Flare!$B$46:$B$185,$J992,Flare!$E$46:$E$185)*Impacts!$F$16))</f>
        <v>0</v>
      </c>
      <c r="U992" s="10">
        <f>IF(VCU!$C$9="",0,(SUMIF(VCU!$B$51:$B$193,$J992,VCU!$E$51:$E$193)*Impacts!$F$17))</f>
        <v>0</v>
      </c>
      <c r="V992" s="10">
        <f>IF(CAS!$C$7="",0,(SUMIF(CAS!$B$31:$B$167,$J992,CAS!$E$31:$E$167)*Impacts!$F$18))</f>
        <v>0</v>
      </c>
      <c r="W992" s="10">
        <f t="shared" si="57"/>
        <v>0</v>
      </c>
      <c r="AK992" s="10" t="str">
        <f t="array" ref="AK992">IFERROR(INDEX(SelectedSpecies,SMALL(IF(SelectedSpecies=AK$1,ROW(SelectedSpecies)),ROW(993:993)),2),"")</f>
        <v/>
      </c>
      <c r="BE992" s="10"/>
      <c r="BI992" s="10"/>
    </row>
    <row r="993" spans="1:61" ht="21" customHeight="1" x14ac:dyDescent="0.25">
      <c r="A993" s="10"/>
      <c r="B993" s="10"/>
      <c r="E993" s="10"/>
      <c r="G993" s="10"/>
      <c r="I993" s="436" t="s">
        <v>2303</v>
      </c>
      <c r="J993" s="26" t="s">
        <v>2302</v>
      </c>
      <c r="K993" s="10">
        <v>12</v>
      </c>
      <c r="L993" s="73">
        <f>IF(Tank1!$C$23="No control",(SUMIF(Tank1!$B$32:$B$49,$J993,Tank1!$C$32:$C$49)*Impacts!$F$8),0)</f>
        <v>0</v>
      </c>
      <c r="M993" s="10">
        <f>IF(Tank2!$C$23="No control",(SUMIF(Tank2!$B$32:$B$49,$J993,Tank2!$C$32:$C$49)*Impacts!$F$9),0)</f>
        <v>0</v>
      </c>
      <c r="N993" s="10">
        <f>IF(Tank3!$C$23="No control",(SUMIF(Tank3!$B$32:$B$49,$J993,Tank3!$C$32:$C$49)*Impacts!$F$10),0)</f>
        <v>0</v>
      </c>
      <c r="O993" s="10">
        <f>IF(Tank4!$C$23="No control",(SUMIF(Tank4!$B$32:$B$49,$J993,Tank4!$C$32:$C$49)*Impacts!$F$11),0)</f>
        <v>0</v>
      </c>
      <c r="P993" s="10">
        <f>IF(Tank5!$C$23="No control",(SUMIF(Tank5!$B$32:$B$49,$J993,Tank5!$C$32:$C$49)*Impacts!$F$12),0)</f>
        <v>0</v>
      </c>
      <c r="Q993" s="10">
        <f>IFERROR(IF(('Loading-drum,tote'!$C$21)="No control",SUMIF(('Loading-drum,tote'!$B$31:$B$48),$J993,('Loading-drum,tote'!$D$31:$D$48))*Impacts!$F$13,IF(('Loading-drum,tote'!$C$21)&lt;&gt;"No control",SUMIF(('Loading-drum,tote'!$B$31:$B$48),$J993,('Loading-drum,tote'!$E$31:$E$48))*Impacts!$F$13,0)),0)</f>
        <v>0</v>
      </c>
      <c r="R993" s="10">
        <f>IFERROR(IF(('Loading-truck'!$C$21)="No control",SUMIF(('Loading-truck'!$B$31:$B$48),$J993,('Loading-truck'!$D$31:$D$48))*Impacts!$F$14,IF(('Loading-truck'!$C$21)&lt;&gt;"No control",SUMIF(('Loading-truck'!$B$31:$B$48),$J993,('Loading-truck'!$E$31:$E$48))*Impacts!$F$14,0)),0)</f>
        <v>0</v>
      </c>
      <c r="S993" s="10">
        <f>IFERROR(IF(('Loading-rail'!$C$21)="No control",SUMIF(('Loading-rail'!$B$31:$B$48),$J993,('Loading-rail'!$D$31:$D$48))*Impacts!$F$15,IF(('Loading-rail'!$C$21)&lt;&gt;"No control",SUMIF(('Loading-rail'!$B$31:$B$48),$J993,('Loading-rail'!$E$31:$E$48))*Impacts!$F$15,0)),0)</f>
        <v>0</v>
      </c>
      <c r="T993" s="10">
        <f>IF(Flare!$C$7="",0,(SUMIF(Flare!$B$46:$B$185,$J993,Flare!$E$46:$E$185)*Impacts!$F$16))</f>
        <v>0</v>
      </c>
      <c r="U993" s="10">
        <f>IF(VCU!$C$9="",0,(SUMIF(VCU!$B$51:$B$193,$J993,VCU!$E$51:$E$193)*Impacts!$F$17))</f>
        <v>0</v>
      </c>
      <c r="V993" s="10">
        <f>IF(CAS!$C$7="",0,(SUMIF(CAS!$B$31:$B$167,$J993,CAS!$E$31:$E$167)*Impacts!$F$18))</f>
        <v>0</v>
      </c>
      <c r="W993" s="10">
        <f t="shared" si="57"/>
        <v>0</v>
      </c>
      <c r="AK993" s="10" t="str">
        <f t="array" ref="AK993">IFERROR(INDEX(SelectedSpecies,SMALL(IF(SelectedSpecies=AK$1,ROW(SelectedSpecies)),ROW(994:994)),2),"")</f>
        <v/>
      </c>
      <c r="BE993" s="10"/>
      <c r="BI993" s="10"/>
    </row>
    <row r="994" spans="1:61" ht="21" customHeight="1" x14ac:dyDescent="0.25">
      <c r="A994" s="10"/>
      <c r="B994" s="10"/>
      <c r="E994" s="10"/>
      <c r="G994" s="10"/>
      <c r="I994" s="436" t="s">
        <v>7992</v>
      </c>
      <c r="J994" s="26" t="s">
        <v>7991</v>
      </c>
      <c r="K994" s="10">
        <v>0.03</v>
      </c>
      <c r="L994" s="73">
        <f>IF(Tank1!$C$23="No control",(SUMIF(Tank1!$B$32:$B$49,$J994,Tank1!$C$32:$C$49)*Impacts!$F$8),0)</f>
        <v>0</v>
      </c>
      <c r="M994" s="10">
        <f>IF(Tank2!$C$23="No control",(SUMIF(Tank2!$B$32:$B$49,$J994,Tank2!$C$32:$C$49)*Impacts!$F$9),0)</f>
        <v>0</v>
      </c>
      <c r="N994" s="10">
        <f>IF(Tank3!$C$23="No control",(SUMIF(Tank3!$B$32:$B$49,$J994,Tank3!$C$32:$C$49)*Impacts!$F$10),0)</f>
        <v>0</v>
      </c>
      <c r="O994" s="10">
        <f>IF(Tank4!$C$23="No control",(SUMIF(Tank4!$B$32:$B$49,$J994,Tank4!$C$32:$C$49)*Impacts!$F$11),0)</f>
        <v>0</v>
      </c>
      <c r="P994" s="10">
        <f>IF(Tank5!$C$23="No control",(SUMIF(Tank5!$B$32:$B$49,$J994,Tank5!$C$32:$C$49)*Impacts!$F$12),0)</f>
        <v>0</v>
      </c>
      <c r="Q994" s="10">
        <f>IFERROR(IF(('Loading-drum,tote'!$C$21)="No control",SUMIF(('Loading-drum,tote'!$B$31:$B$48),$J994,('Loading-drum,tote'!$D$31:$D$48))*Impacts!$F$13,IF(('Loading-drum,tote'!$C$21)&lt;&gt;"No control",SUMIF(('Loading-drum,tote'!$B$31:$B$48),$J994,('Loading-drum,tote'!$E$31:$E$48))*Impacts!$F$13,0)),0)</f>
        <v>0</v>
      </c>
      <c r="R994" s="10">
        <f>IFERROR(IF(('Loading-truck'!$C$21)="No control",SUMIF(('Loading-truck'!$B$31:$B$48),$J994,('Loading-truck'!$D$31:$D$48))*Impacts!$F$14,IF(('Loading-truck'!$C$21)&lt;&gt;"No control",SUMIF(('Loading-truck'!$B$31:$B$48),$J994,('Loading-truck'!$E$31:$E$48))*Impacts!$F$14,0)),0)</f>
        <v>0</v>
      </c>
      <c r="S994" s="10">
        <f>IFERROR(IF(('Loading-rail'!$C$21)="No control",SUMIF(('Loading-rail'!$B$31:$B$48),$J994,('Loading-rail'!$D$31:$D$48))*Impacts!$F$15,IF(('Loading-rail'!$C$21)&lt;&gt;"No control",SUMIF(('Loading-rail'!$B$31:$B$48),$J994,('Loading-rail'!$E$31:$E$48))*Impacts!$F$15,0)),0)</f>
        <v>0</v>
      </c>
      <c r="T994" s="10">
        <f>IF(Flare!$C$7="",0,(SUMIF(Flare!$B$46:$B$185,$J994,Flare!$E$46:$E$185)*Impacts!$F$16))</f>
        <v>0</v>
      </c>
      <c r="U994" s="10">
        <f>IF(VCU!$C$9="",0,(SUMIF(VCU!$B$51:$B$193,$J994,VCU!$E$51:$E$193)*Impacts!$F$17))</f>
        <v>0</v>
      </c>
      <c r="V994" s="10">
        <f>IF(CAS!$C$7="",0,(SUMIF(CAS!$B$31:$B$167,$J994,CAS!$E$31:$E$167)*Impacts!$F$18))</f>
        <v>0</v>
      </c>
      <c r="W994" s="10">
        <f t="shared" si="57"/>
        <v>0</v>
      </c>
      <c r="AK994" s="10" t="str">
        <f t="array" ref="AK994">IFERROR(INDEX(SelectedSpecies,SMALL(IF(SelectedSpecies=AK$1,ROW(SelectedSpecies)),ROW(995:995)),2),"")</f>
        <v/>
      </c>
      <c r="BE994" s="10"/>
      <c r="BI994" s="10"/>
    </row>
    <row r="995" spans="1:61" ht="21" customHeight="1" x14ac:dyDescent="0.25">
      <c r="A995" s="10"/>
      <c r="B995" s="10"/>
      <c r="E995" s="10"/>
      <c r="G995" s="10"/>
      <c r="I995" s="436" t="s">
        <v>4331</v>
      </c>
      <c r="J995" s="26" t="s">
        <v>4330</v>
      </c>
      <c r="K995" s="10">
        <v>4.9000000000000004</v>
      </c>
      <c r="L995" s="73">
        <f>IF(Tank1!$C$23="No control",(SUMIF(Tank1!$B$32:$B$49,$J995,Tank1!$C$32:$C$49)*Impacts!$F$8),0)</f>
        <v>0</v>
      </c>
      <c r="M995" s="10">
        <f>IF(Tank2!$C$23="No control",(SUMIF(Tank2!$B$32:$B$49,$J995,Tank2!$C$32:$C$49)*Impacts!$F$9),0)</f>
        <v>0</v>
      </c>
      <c r="N995" s="10">
        <f>IF(Tank3!$C$23="No control",(SUMIF(Tank3!$B$32:$B$49,$J995,Tank3!$C$32:$C$49)*Impacts!$F$10),0)</f>
        <v>0</v>
      </c>
      <c r="O995" s="10">
        <f>IF(Tank4!$C$23="No control",(SUMIF(Tank4!$B$32:$B$49,$J995,Tank4!$C$32:$C$49)*Impacts!$F$11),0)</f>
        <v>0</v>
      </c>
      <c r="P995" s="10">
        <f>IF(Tank5!$C$23="No control",(SUMIF(Tank5!$B$32:$B$49,$J995,Tank5!$C$32:$C$49)*Impacts!$F$12),0)</f>
        <v>0</v>
      </c>
      <c r="Q995" s="10">
        <f>IFERROR(IF(('Loading-drum,tote'!$C$21)="No control",SUMIF(('Loading-drum,tote'!$B$31:$B$48),$J995,('Loading-drum,tote'!$D$31:$D$48))*Impacts!$F$13,IF(('Loading-drum,tote'!$C$21)&lt;&gt;"No control",SUMIF(('Loading-drum,tote'!$B$31:$B$48),$J995,('Loading-drum,tote'!$E$31:$E$48))*Impacts!$F$13,0)),0)</f>
        <v>0</v>
      </c>
      <c r="R995" s="10">
        <f>IFERROR(IF(('Loading-truck'!$C$21)="No control",SUMIF(('Loading-truck'!$B$31:$B$48),$J995,('Loading-truck'!$D$31:$D$48))*Impacts!$F$14,IF(('Loading-truck'!$C$21)&lt;&gt;"No control",SUMIF(('Loading-truck'!$B$31:$B$48),$J995,('Loading-truck'!$E$31:$E$48))*Impacts!$F$14,0)),0)</f>
        <v>0</v>
      </c>
      <c r="S995" s="10">
        <f>IFERROR(IF(('Loading-rail'!$C$21)="No control",SUMIF(('Loading-rail'!$B$31:$B$48),$J995,('Loading-rail'!$D$31:$D$48))*Impacts!$F$15,IF(('Loading-rail'!$C$21)&lt;&gt;"No control",SUMIF(('Loading-rail'!$B$31:$B$48),$J995,('Loading-rail'!$E$31:$E$48))*Impacts!$F$15,0)),0)</f>
        <v>0</v>
      </c>
      <c r="T995" s="10">
        <f>IF(Flare!$C$7="",0,(SUMIF(Flare!$B$46:$B$185,$J995,Flare!$E$46:$E$185)*Impacts!$F$16))</f>
        <v>0</v>
      </c>
      <c r="U995" s="10">
        <f>IF(VCU!$C$9="",0,(SUMIF(VCU!$B$51:$B$193,$J995,VCU!$E$51:$E$193)*Impacts!$F$17))</f>
        <v>0</v>
      </c>
      <c r="V995" s="10">
        <f>IF(CAS!$C$7="",0,(SUMIF(CAS!$B$31:$B$167,$J995,CAS!$E$31:$E$167)*Impacts!$F$18))</f>
        <v>0</v>
      </c>
      <c r="W995" s="10">
        <f t="shared" si="57"/>
        <v>0</v>
      </c>
      <c r="AK995" s="10" t="str">
        <f t="array" ref="AK995">IFERROR(INDEX(SelectedSpecies,SMALL(IF(SelectedSpecies=AK$1,ROW(SelectedSpecies)),ROW(996:996)),2),"")</f>
        <v/>
      </c>
      <c r="BE995" s="10"/>
      <c r="BI995" s="10"/>
    </row>
    <row r="996" spans="1:61" ht="21" customHeight="1" x14ac:dyDescent="0.25">
      <c r="A996" s="10"/>
      <c r="B996" s="10"/>
      <c r="E996" s="10"/>
      <c r="G996" s="10"/>
      <c r="I996" s="436" t="s">
        <v>8138</v>
      </c>
      <c r="J996" s="26" t="s">
        <v>8137</v>
      </c>
      <c r="K996" s="10">
        <v>6.3E-3</v>
      </c>
      <c r="L996" s="73">
        <f>IF(Tank1!$C$23="No control",(SUMIF(Tank1!$B$32:$B$49,$J996,Tank1!$C$32:$C$49)*Impacts!$F$8),0)</f>
        <v>0</v>
      </c>
      <c r="M996" s="10">
        <f>IF(Tank2!$C$23="No control",(SUMIF(Tank2!$B$32:$B$49,$J996,Tank2!$C$32:$C$49)*Impacts!$F$9),0)</f>
        <v>0</v>
      </c>
      <c r="N996" s="10">
        <f>IF(Tank3!$C$23="No control",(SUMIF(Tank3!$B$32:$B$49,$J996,Tank3!$C$32:$C$49)*Impacts!$F$10),0)</f>
        <v>0</v>
      </c>
      <c r="O996" s="10">
        <f>IF(Tank4!$C$23="No control",(SUMIF(Tank4!$B$32:$B$49,$J996,Tank4!$C$32:$C$49)*Impacts!$F$11),0)</f>
        <v>0</v>
      </c>
      <c r="P996" s="10">
        <f>IF(Tank5!$C$23="No control",(SUMIF(Tank5!$B$32:$B$49,$J996,Tank5!$C$32:$C$49)*Impacts!$F$12),0)</f>
        <v>0</v>
      </c>
      <c r="Q996" s="10">
        <f>IFERROR(IF(('Loading-drum,tote'!$C$21)="No control",SUMIF(('Loading-drum,tote'!$B$31:$B$48),$J996,('Loading-drum,tote'!$D$31:$D$48))*Impacts!$F$13,IF(('Loading-drum,tote'!$C$21)&lt;&gt;"No control",SUMIF(('Loading-drum,tote'!$B$31:$B$48),$J996,('Loading-drum,tote'!$E$31:$E$48))*Impacts!$F$13,0)),0)</f>
        <v>0</v>
      </c>
      <c r="R996" s="10">
        <f>IFERROR(IF(('Loading-truck'!$C$21)="No control",SUMIF(('Loading-truck'!$B$31:$B$48),$J996,('Loading-truck'!$D$31:$D$48))*Impacts!$F$14,IF(('Loading-truck'!$C$21)&lt;&gt;"No control",SUMIF(('Loading-truck'!$B$31:$B$48),$J996,('Loading-truck'!$E$31:$E$48))*Impacts!$F$14,0)),0)</f>
        <v>0</v>
      </c>
      <c r="S996" s="10">
        <f>IFERROR(IF(('Loading-rail'!$C$21)="No control",SUMIF(('Loading-rail'!$B$31:$B$48),$J996,('Loading-rail'!$D$31:$D$48))*Impacts!$F$15,IF(('Loading-rail'!$C$21)&lt;&gt;"No control",SUMIF(('Loading-rail'!$B$31:$B$48),$J996,('Loading-rail'!$E$31:$E$48))*Impacts!$F$15,0)),0)</f>
        <v>0</v>
      </c>
      <c r="T996" s="10">
        <f>IF(Flare!$C$7="",0,(SUMIF(Flare!$B$46:$B$185,$J996,Flare!$E$46:$E$185)*Impacts!$F$16))</f>
        <v>0</v>
      </c>
      <c r="U996" s="10">
        <f>IF(VCU!$C$9="",0,(SUMIF(VCU!$B$51:$B$193,$J996,VCU!$E$51:$E$193)*Impacts!$F$17))</f>
        <v>0</v>
      </c>
      <c r="V996" s="10">
        <f>IF(CAS!$C$7="",0,(SUMIF(CAS!$B$31:$B$167,$J996,CAS!$E$31:$E$167)*Impacts!$F$18))</f>
        <v>0</v>
      </c>
      <c r="W996" s="10">
        <f t="shared" si="57"/>
        <v>0</v>
      </c>
      <c r="AK996" s="10" t="str">
        <f t="array" ref="AK996">IFERROR(INDEX(SelectedSpecies,SMALL(IF(SelectedSpecies=AK$1,ROW(SelectedSpecies)),ROW(997:997)),2),"")</f>
        <v/>
      </c>
      <c r="BE996" s="10"/>
      <c r="BI996" s="10"/>
    </row>
    <row r="997" spans="1:61" ht="21" customHeight="1" x14ac:dyDescent="0.25">
      <c r="A997" s="10"/>
      <c r="B997" s="10"/>
      <c r="E997" s="10"/>
      <c r="G997" s="10"/>
      <c r="I997" s="436" t="s">
        <v>2103</v>
      </c>
      <c r="J997" s="26" t="s">
        <v>2102</v>
      </c>
      <c r="K997" s="10">
        <v>15</v>
      </c>
      <c r="L997" s="73">
        <f>IF(Tank1!$C$23="No control",(SUMIF(Tank1!$B$32:$B$49,$J997,Tank1!$C$32:$C$49)*Impacts!$F$8),0)</f>
        <v>0</v>
      </c>
      <c r="M997" s="10">
        <f>IF(Tank2!$C$23="No control",(SUMIF(Tank2!$B$32:$B$49,$J997,Tank2!$C$32:$C$49)*Impacts!$F$9),0)</f>
        <v>0</v>
      </c>
      <c r="N997" s="10">
        <f>IF(Tank3!$C$23="No control",(SUMIF(Tank3!$B$32:$B$49,$J997,Tank3!$C$32:$C$49)*Impacts!$F$10),0)</f>
        <v>0</v>
      </c>
      <c r="O997" s="10">
        <f>IF(Tank4!$C$23="No control",(SUMIF(Tank4!$B$32:$B$49,$J997,Tank4!$C$32:$C$49)*Impacts!$F$11),0)</f>
        <v>0</v>
      </c>
      <c r="P997" s="10">
        <f>IF(Tank5!$C$23="No control",(SUMIF(Tank5!$B$32:$B$49,$J997,Tank5!$C$32:$C$49)*Impacts!$F$12),0)</f>
        <v>0</v>
      </c>
      <c r="Q997" s="10">
        <f>IFERROR(IF(('Loading-drum,tote'!$C$21)="No control",SUMIF(('Loading-drum,tote'!$B$31:$B$48),$J997,('Loading-drum,tote'!$D$31:$D$48))*Impacts!$F$13,IF(('Loading-drum,tote'!$C$21)&lt;&gt;"No control",SUMIF(('Loading-drum,tote'!$B$31:$B$48),$J997,('Loading-drum,tote'!$E$31:$E$48))*Impacts!$F$13,0)),0)</f>
        <v>0</v>
      </c>
      <c r="R997" s="10">
        <f>IFERROR(IF(('Loading-truck'!$C$21)="No control",SUMIF(('Loading-truck'!$B$31:$B$48),$J997,('Loading-truck'!$D$31:$D$48))*Impacts!$F$14,IF(('Loading-truck'!$C$21)&lt;&gt;"No control",SUMIF(('Loading-truck'!$B$31:$B$48),$J997,('Loading-truck'!$E$31:$E$48))*Impacts!$F$14,0)),0)</f>
        <v>0</v>
      </c>
      <c r="S997" s="10">
        <f>IFERROR(IF(('Loading-rail'!$C$21)="No control",SUMIF(('Loading-rail'!$B$31:$B$48),$J997,('Loading-rail'!$D$31:$D$48))*Impacts!$F$15,IF(('Loading-rail'!$C$21)&lt;&gt;"No control",SUMIF(('Loading-rail'!$B$31:$B$48),$J997,('Loading-rail'!$E$31:$E$48))*Impacts!$F$15,0)),0)</f>
        <v>0</v>
      </c>
      <c r="T997" s="10">
        <f>IF(Flare!$C$7="",0,(SUMIF(Flare!$B$46:$B$185,$J997,Flare!$E$46:$E$185)*Impacts!$F$16))</f>
        <v>0</v>
      </c>
      <c r="U997" s="10">
        <f>IF(VCU!$C$9="",0,(SUMIF(VCU!$B$51:$B$193,$J997,VCU!$E$51:$E$193)*Impacts!$F$17))</f>
        <v>0</v>
      </c>
      <c r="V997" s="10">
        <f>IF(CAS!$C$7="",0,(SUMIF(CAS!$B$31:$B$167,$J997,CAS!$E$31:$E$167)*Impacts!$F$18))</f>
        <v>0</v>
      </c>
      <c r="W997" s="10">
        <f t="shared" si="57"/>
        <v>0</v>
      </c>
      <c r="AK997" s="10" t="str">
        <f t="array" ref="AK997">IFERROR(INDEX(SelectedSpecies,SMALL(IF(SelectedSpecies=AK$1,ROW(SelectedSpecies)),ROW(998:998)),2),"")</f>
        <v/>
      </c>
      <c r="BE997" s="10"/>
      <c r="BI997" s="10"/>
    </row>
    <row r="998" spans="1:61" ht="21" customHeight="1" x14ac:dyDescent="0.25">
      <c r="A998" s="10"/>
      <c r="B998" s="10"/>
      <c r="E998" s="10"/>
      <c r="G998" s="10"/>
      <c r="I998" s="436" t="s">
        <v>8044</v>
      </c>
      <c r="J998" s="26" t="s">
        <v>8043</v>
      </c>
      <c r="K998" s="10">
        <v>2.0000000000000004E-2</v>
      </c>
      <c r="L998" s="73">
        <f>IF(Tank1!$C$23="No control",(SUMIF(Tank1!$B$32:$B$49,$J998,Tank1!$C$32:$C$49)*Impacts!$F$8),0)</f>
        <v>0</v>
      </c>
      <c r="M998" s="10">
        <f>IF(Tank2!$C$23="No control",(SUMIF(Tank2!$B$32:$B$49,$J998,Tank2!$C$32:$C$49)*Impacts!$F$9),0)</f>
        <v>0</v>
      </c>
      <c r="N998" s="10">
        <f>IF(Tank3!$C$23="No control",(SUMIF(Tank3!$B$32:$B$49,$J998,Tank3!$C$32:$C$49)*Impacts!$F$10),0)</f>
        <v>0</v>
      </c>
      <c r="O998" s="10">
        <f>IF(Tank4!$C$23="No control",(SUMIF(Tank4!$B$32:$B$49,$J998,Tank4!$C$32:$C$49)*Impacts!$F$11),0)</f>
        <v>0</v>
      </c>
      <c r="P998" s="10">
        <f>IF(Tank5!$C$23="No control",(SUMIF(Tank5!$B$32:$B$49,$J998,Tank5!$C$32:$C$49)*Impacts!$F$12),0)</f>
        <v>0</v>
      </c>
      <c r="Q998" s="10">
        <f>IFERROR(IF(('Loading-drum,tote'!$C$21)="No control",SUMIF(('Loading-drum,tote'!$B$31:$B$48),$J998,('Loading-drum,tote'!$D$31:$D$48))*Impacts!$F$13,IF(('Loading-drum,tote'!$C$21)&lt;&gt;"No control",SUMIF(('Loading-drum,tote'!$B$31:$B$48),$J998,('Loading-drum,tote'!$E$31:$E$48))*Impacts!$F$13,0)),0)</f>
        <v>0</v>
      </c>
      <c r="R998" s="10">
        <f>IFERROR(IF(('Loading-truck'!$C$21)="No control",SUMIF(('Loading-truck'!$B$31:$B$48),$J998,('Loading-truck'!$D$31:$D$48))*Impacts!$F$14,IF(('Loading-truck'!$C$21)&lt;&gt;"No control",SUMIF(('Loading-truck'!$B$31:$B$48),$J998,('Loading-truck'!$E$31:$E$48))*Impacts!$F$14,0)),0)</f>
        <v>0</v>
      </c>
      <c r="S998" s="10">
        <f>IFERROR(IF(('Loading-rail'!$C$21)="No control",SUMIF(('Loading-rail'!$B$31:$B$48),$J998,('Loading-rail'!$D$31:$D$48))*Impacts!$F$15,IF(('Loading-rail'!$C$21)&lt;&gt;"No control",SUMIF(('Loading-rail'!$B$31:$B$48),$J998,('Loading-rail'!$E$31:$E$48))*Impacts!$F$15,0)),0)</f>
        <v>0</v>
      </c>
      <c r="T998" s="10">
        <f>IF(Flare!$C$7="",0,(SUMIF(Flare!$B$46:$B$185,$J998,Flare!$E$46:$E$185)*Impacts!$F$16))</f>
        <v>0</v>
      </c>
      <c r="U998" s="10">
        <f>IF(VCU!$C$9="",0,(SUMIF(VCU!$B$51:$B$193,$J998,VCU!$E$51:$E$193)*Impacts!$F$17))</f>
        <v>0</v>
      </c>
      <c r="V998" s="10">
        <f>IF(CAS!$C$7="",0,(SUMIF(CAS!$B$31:$B$167,$J998,CAS!$E$31:$E$167)*Impacts!$F$18))</f>
        <v>0</v>
      </c>
      <c r="W998" s="10">
        <f t="shared" si="57"/>
        <v>0</v>
      </c>
      <c r="AK998" s="10" t="str">
        <f t="array" ref="AK998">IFERROR(INDEX(SelectedSpecies,SMALL(IF(SelectedSpecies=AK$1,ROW(SelectedSpecies)),ROW(999:999)),2),"")</f>
        <v/>
      </c>
      <c r="BE998" s="10"/>
      <c r="BI998" s="10"/>
    </row>
    <row r="999" spans="1:61" ht="21" customHeight="1" x14ac:dyDescent="0.25">
      <c r="A999" s="10"/>
      <c r="B999" s="10"/>
      <c r="E999" s="10"/>
      <c r="G999" s="10"/>
      <c r="I999" s="436" t="s">
        <v>5401</v>
      </c>
      <c r="J999" s="26" t="s">
        <v>5400</v>
      </c>
      <c r="K999" s="10">
        <v>1.4000000000000001</v>
      </c>
      <c r="L999" s="73">
        <f>IF(Tank1!$C$23="No control",(SUMIF(Tank1!$B$32:$B$49,$J999,Tank1!$C$32:$C$49)*Impacts!$F$8),0)</f>
        <v>0</v>
      </c>
      <c r="M999" s="10">
        <f>IF(Tank2!$C$23="No control",(SUMIF(Tank2!$B$32:$B$49,$J999,Tank2!$C$32:$C$49)*Impacts!$F$9),0)</f>
        <v>0</v>
      </c>
      <c r="N999" s="10">
        <f>IF(Tank3!$C$23="No control",(SUMIF(Tank3!$B$32:$B$49,$J999,Tank3!$C$32:$C$49)*Impacts!$F$10),0)</f>
        <v>0</v>
      </c>
      <c r="O999" s="10">
        <f>IF(Tank4!$C$23="No control",(SUMIF(Tank4!$B$32:$B$49,$J999,Tank4!$C$32:$C$49)*Impacts!$F$11),0)</f>
        <v>0</v>
      </c>
      <c r="P999" s="10">
        <f>IF(Tank5!$C$23="No control",(SUMIF(Tank5!$B$32:$B$49,$J999,Tank5!$C$32:$C$49)*Impacts!$F$12),0)</f>
        <v>0</v>
      </c>
      <c r="Q999" s="10">
        <f>IFERROR(IF(('Loading-drum,tote'!$C$21)="No control",SUMIF(('Loading-drum,tote'!$B$31:$B$48),$J999,('Loading-drum,tote'!$D$31:$D$48))*Impacts!$F$13,IF(('Loading-drum,tote'!$C$21)&lt;&gt;"No control",SUMIF(('Loading-drum,tote'!$B$31:$B$48),$J999,('Loading-drum,tote'!$E$31:$E$48))*Impacts!$F$13,0)),0)</f>
        <v>0</v>
      </c>
      <c r="R999" s="10">
        <f>IFERROR(IF(('Loading-truck'!$C$21)="No control",SUMIF(('Loading-truck'!$B$31:$B$48),$J999,('Loading-truck'!$D$31:$D$48))*Impacts!$F$14,IF(('Loading-truck'!$C$21)&lt;&gt;"No control",SUMIF(('Loading-truck'!$B$31:$B$48),$J999,('Loading-truck'!$E$31:$E$48))*Impacts!$F$14,0)),0)</f>
        <v>0</v>
      </c>
      <c r="S999" s="10">
        <f>IFERROR(IF(('Loading-rail'!$C$21)="No control",SUMIF(('Loading-rail'!$B$31:$B$48),$J999,('Loading-rail'!$D$31:$D$48))*Impacts!$F$15,IF(('Loading-rail'!$C$21)&lt;&gt;"No control",SUMIF(('Loading-rail'!$B$31:$B$48),$J999,('Loading-rail'!$E$31:$E$48))*Impacts!$F$15,0)),0)</f>
        <v>0</v>
      </c>
      <c r="T999" s="10">
        <f>IF(Flare!$C$7="",0,(SUMIF(Flare!$B$46:$B$185,$J999,Flare!$E$46:$E$185)*Impacts!$F$16))</f>
        <v>0</v>
      </c>
      <c r="U999" s="10">
        <f>IF(VCU!$C$9="",0,(SUMIF(VCU!$B$51:$B$193,$J999,VCU!$E$51:$E$193)*Impacts!$F$17))</f>
        <v>0</v>
      </c>
      <c r="V999" s="10">
        <f>IF(CAS!$C$7="",0,(SUMIF(CAS!$B$31:$B$167,$J999,CAS!$E$31:$E$167)*Impacts!$F$18))</f>
        <v>0</v>
      </c>
      <c r="W999" s="10">
        <f t="shared" si="57"/>
        <v>0</v>
      </c>
      <c r="AK999" s="10" t="str">
        <f t="array" ref="AK999">IFERROR(INDEX(SelectedSpecies,SMALL(IF(SelectedSpecies=AK$1,ROW(SelectedSpecies)),ROW(1000:1000)),2),"")</f>
        <v/>
      </c>
      <c r="BE999" s="10"/>
      <c r="BI999" s="10"/>
    </row>
    <row r="1000" spans="1:61" ht="21" customHeight="1" x14ac:dyDescent="0.25">
      <c r="A1000" s="10"/>
      <c r="B1000" s="10"/>
      <c r="E1000" s="10"/>
      <c r="G1000" s="10"/>
      <c r="I1000" s="436" t="s">
        <v>2737</v>
      </c>
      <c r="J1000" s="26" t="s">
        <v>2736</v>
      </c>
      <c r="K1000" s="10">
        <v>10</v>
      </c>
      <c r="L1000" s="73">
        <f>IF(Tank1!$C$23="No control",(SUMIF(Tank1!$B$32:$B$49,$J1000,Tank1!$C$32:$C$49)*Impacts!$F$8),0)</f>
        <v>0</v>
      </c>
      <c r="M1000" s="10">
        <f>IF(Tank2!$C$23="No control",(SUMIF(Tank2!$B$32:$B$49,$J1000,Tank2!$C$32:$C$49)*Impacts!$F$9),0)</f>
        <v>0</v>
      </c>
      <c r="N1000" s="10">
        <f>IF(Tank3!$C$23="No control",(SUMIF(Tank3!$B$32:$B$49,$J1000,Tank3!$C$32:$C$49)*Impacts!$F$10),0)</f>
        <v>0</v>
      </c>
      <c r="O1000" s="10">
        <f>IF(Tank4!$C$23="No control",(SUMIF(Tank4!$B$32:$B$49,$J1000,Tank4!$C$32:$C$49)*Impacts!$F$11),0)</f>
        <v>0</v>
      </c>
      <c r="P1000" s="10">
        <f>IF(Tank5!$C$23="No control",(SUMIF(Tank5!$B$32:$B$49,$J1000,Tank5!$C$32:$C$49)*Impacts!$F$12),0)</f>
        <v>0</v>
      </c>
      <c r="Q1000" s="10">
        <f>IFERROR(IF(('Loading-drum,tote'!$C$21)="No control",SUMIF(('Loading-drum,tote'!$B$31:$B$48),$J1000,('Loading-drum,tote'!$D$31:$D$48))*Impacts!$F$13,IF(('Loading-drum,tote'!$C$21)&lt;&gt;"No control",SUMIF(('Loading-drum,tote'!$B$31:$B$48),$J1000,('Loading-drum,tote'!$E$31:$E$48))*Impacts!$F$13,0)),0)</f>
        <v>0</v>
      </c>
      <c r="R1000" s="10">
        <f>IFERROR(IF(('Loading-truck'!$C$21)="No control",SUMIF(('Loading-truck'!$B$31:$B$48),$J1000,('Loading-truck'!$D$31:$D$48))*Impacts!$F$14,IF(('Loading-truck'!$C$21)&lt;&gt;"No control",SUMIF(('Loading-truck'!$B$31:$B$48),$J1000,('Loading-truck'!$E$31:$E$48))*Impacts!$F$14,0)),0)</f>
        <v>0</v>
      </c>
      <c r="S1000" s="10">
        <f>IFERROR(IF(('Loading-rail'!$C$21)="No control",SUMIF(('Loading-rail'!$B$31:$B$48),$J1000,('Loading-rail'!$D$31:$D$48))*Impacts!$F$15,IF(('Loading-rail'!$C$21)&lt;&gt;"No control",SUMIF(('Loading-rail'!$B$31:$B$48),$J1000,('Loading-rail'!$E$31:$E$48))*Impacts!$F$15,0)),0)</f>
        <v>0</v>
      </c>
      <c r="T1000" s="10">
        <f>IF(Flare!$C$7="",0,(SUMIF(Flare!$B$46:$B$185,$J1000,Flare!$E$46:$E$185)*Impacts!$F$16))</f>
        <v>0</v>
      </c>
      <c r="U1000" s="10">
        <f>IF(VCU!$C$9="",0,(SUMIF(VCU!$B$51:$B$193,$J1000,VCU!$E$51:$E$193)*Impacts!$F$17))</f>
        <v>0</v>
      </c>
      <c r="V1000" s="10">
        <f>IF(CAS!$C$7="",0,(SUMIF(CAS!$B$31:$B$167,$J1000,CAS!$E$31:$E$167)*Impacts!$F$18))</f>
        <v>0</v>
      </c>
      <c r="W1000" s="10">
        <f t="shared" si="57"/>
        <v>0</v>
      </c>
      <c r="AK1000" s="10" t="str">
        <f t="array" ref="AK1000">IFERROR(INDEX(SelectedSpecies,SMALL(IF(SelectedSpecies=AK$1,ROW(SelectedSpecies)),ROW(1001:1001)),2),"")</f>
        <v/>
      </c>
      <c r="BE1000" s="10"/>
      <c r="BI1000" s="10"/>
    </row>
    <row r="1001" spans="1:61" ht="21" customHeight="1" x14ac:dyDescent="0.25">
      <c r="A1001" s="10"/>
      <c r="B1001" s="10"/>
      <c r="E1001" s="10"/>
      <c r="G1001" s="10"/>
      <c r="I1001" s="436" t="s">
        <v>4413</v>
      </c>
      <c r="J1001" s="26" t="s">
        <v>4412</v>
      </c>
      <c r="K1001" s="10">
        <v>4.6000000000000005</v>
      </c>
      <c r="L1001" s="73">
        <f>IF(Tank1!$C$23="No control",(SUMIF(Tank1!$B$32:$B$49,$J1001,Tank1!$C$32:$C$49)*Impacts!$F$8),0)</f>
        <v>0</v>
      </c>
      <c r="M1001" s="10">
        <f>IF(Tank2!$C$23="No control",(SUMIF(Tank2!$B$32:$B$49,$J1001,Tank2!$C$32:$C$49)*Impacts!$F$9),0)</f>
        <v>0</v>
      </c>
      <c r="N1001" s="10">
        <f>IF(Tank3!$C$23="No control",(SUMIF(Tank3!$B$32:$B$49,$J1001,Tank3!$C$32:$C$49)*Impacts!$F$10),0)</f>
        <v>0</v>
      </c>
      <c r="O1001" s="10">
        <f>IF(Tank4!$C$23="No control",(SUMIF(Tank4!$B$32:$B$49,$J1001,Tank4!$C$32:$C$49)*Impacts!$F$11),0)</f>
        <v>0</v>
      </c>
      <c r="P1001" s="10">
        <f>IF(Tank5!$C$23="No control",(SUMIF(Tank5!$B$32:$B$49,$J1001,Tank5!$C$32:$C$49)*Impacts!$F$12),0)</f>
        <v>0</v>
      </c>
      <c r="Q1001" s="10">
        <f>IFERROR(IF(('Loading-drum,tote'!$C$21)="No control",SUMIF(('Loading-drum,tote'!$B$31:$B$48),$J1001,('Loading-drum,tote'!$D$31:$D$48))*Impacts!$F$13,IF(('Loading-drum,tote'!$C$21)&lt;&gt;"No control",SUMIF(('Loading-drum,tote'!$B$31:$B$48),$J1001,('Loading-drum,tote'!$E$31:$E$48))*Impacts!$F$13,0)),0)</f>
        <v>0</v>
      </c>
      <c r="R1001" s="10">
        <f>IFERROR(IF(('Loading-truck'!$C$21)="No control",SUMIF(('Loading-truck'!$B$31:$B$48),$J1001,('Loading-truck'!$D$31:$D$48))*Impacts!$F$14,IF(('Loading-truck'!$C$21)&lt;&gt;"No control",SUMIF(('Loading-truck'!$B$31:$B$48),$J1001,('Loading-truck'!$E$31:$E$48))*Impacts!$F$14,0)),0)</f>
        <v>0</v>
      </c>
      <c r="S1001" s="10">
        <f>IFERROR(IF(('Loading-rail'!$C$21)="No control",SUMIF(('Loading-rail'!$B$31:$B$48),$J1001,('Loading-rail'!$D$31:$D$48))*Impacts!$F$15,IF(('Loading-rail'!$C$21)&lt;&gt;"No control",SUMIF(('Loading-rail'!$B$31:$B$48),$J1001,('Loading-rail'!$E$31:$E$48))*Impacts!$F$15,0)),0)</f>
        <v>0</v>
      </c>
      <c r="T1001" s="10">
        <f>IF(Flare!$C$7="",0,(SUMIF(Flare!$B$46:$B$185,$J1001,Flare!$E$46:$E$185)*Impacts!$F$16))</f>
        <v>0</v>
      </c>
      <c r="U1001" s="10">
        <f>IF(VCU!$C$9="",0,(SUMIF(VCU!$B$51:$B$193,$J1001,VCU!$E$51:$E$193)*Impacts!$F$17))</f>
        <v>0</v>
      </c>
      <c r="V1001" s="10">
        <f>IF(CAS!$C$7="",0,(SUMIF(CAS!$B$31:$B$167,$J1001,CAS!$E$31:$E$167)*Impacts!$F$18))</f>
        <v>0</v>
      </c>
      <c r="W1001" s="10">
        <f t="shared" si="57"/>
        <v>0</v>
      </c>
      <c r="AK1001" s="10" t="str">
        <f t="array" ref="AK1001">IFERROR(INDEX(SelectedSpecies,SMALL(IF(SelectedSpecies=AK$1,ROW(SelectedSpecies)),ROW(1002:1002)),2),"")</f>
        <v/>
      </c>
      <c r="BE1001" s="10"/>
      <c r="BI1001" s="10"/>
    </row>
    <row r="1002" spans="1:61" ht="21" customHeight="1" x14ac:dyDescent="0.25">
      <c r="A1002" s="10"/>
      <c r="B1002" s="10"/>
      <c r="E1002" s="10"/>
      <c r="G1002" s="10"/>
      <c r="I1002" s="436" t="s">
        <v>652</v>
      </c>
      <c r="J1002" s="26" t="s">
        <v>651</v>
      </c>
      <c r="K1002" s="10">
        <v>57</v>
      </c>
      <c r="L1002" s="73">
        <f>IF(Tank1!$C$23="No control",(SUMIF(Tank1!$B$32:$B$49,$J1002,Tank1!$C$32:$C$49)*Impacts!$F$8),0)</f>
        <v>0</v>
      </c>
      <c r="M1002" s="10">
        <f>IF(Tank2!$C$23="No control",(SUMIF(Tank2!$B$32:$B$49,$J1002,Tank2!$C$32:$C$49)*Impacts!$F$9),0)</f>
        <v>0</v>
      </c>
      <c r="N1002" s="10">
        <f>IF(Tank3!$C$23="No control",(SUMIF(Tank3!$B$32:$B$49,$J1002,Tank3!$C$32:$C$49)*Impacts!$F$10),0)</f>
        <v>0</v>
      </c>
      <c r="O1002" s="10">
        <f>IF(Tank4!$C$23="No control",(SUMIF(Tank4!$B$32:$B$49,$J1002,Tank4!$C$32:$C$49)*Impacts!$F$11),0)</f>
        <v>0</v>
      </c>
      <c r="P1002" s="10">
        <f>IF(Tank5!$C$23="No control",(SUMIF(Tank5!$B$32:$B$49,$J1002,Tank5!$C$32:$C$49)*Impacts!$F$12),0)</f>
        <v>0</v>
      </c>
      <c r="Q1002" s="10">
        <f>IFERROR(IF(('Loading-drum,tote'!$C$21)="No control",SUMIF(('Loading-drum,tote'!$B$31:$B$48),$J1002,('Loading-drum,tote'!$D$31:$D$48))*Impacts!$F$13,IF(('Loading-drum,tote'!$C$21)&lt;&gt;"No control",SUMIF(('Loading-drum,tote'!$B$31:$B$48),$J1002,('Loading-drum,tote'!$E$31:$E$48))*Impacts!$F$13,0)),0)</f>
        <v>0</v>
      </c>
      <c r="R1002" s="10">
        <f>IFERROR(IF(('Loading-truck'!$C$21)="No control",SUMIF(('Loading-truck'!$B$31:$B$48),$J1002,('Loading-truck'!$D$31:$D$48))*Impacts!$F$14,IF(('Loading-truck'!$C$21)&lt;&gt;"No control",SUMIF(('Loading-truck'!$B$31:$B$48),$J1002,('Loading-truck'!$E$31:$E$48))*Impacts!$F$14,0)),0)</f>
        <v>0</v>
      </c>
      <c r="S1002" s="10">
        <f>IFERROR(IF(('Loading-rail'!$C$21)="No control",SUMIF(('Loading-rail'!$B$31:$B$48),$J1002,('Loading-rail'!$D$31:$D$48))*Impacts!$F$15,IF(('Loading-rail'!$C$21)&lt;&gt;"No control",SUMIF(('Loading-rail'!$B$31:$B$48),$J1002,('Loading-rail'!$E$31:$E$48))*Impacts!$F$15,0)),0)</f>
        <v>0</v>
      </c>
      <c r="T1002" s="10">
        <f>IF(Flare!$C$7="",0,(SUMIF(Flare!$B$46:$B$185,$J1002,Flare!$E$46:$E$185)*Impacts!$F$16))</f>
        <v>0</v>
      </c>
      <c r="U1002" s="10">
        <f>IF(VCU!$C$9="",0,(SUMIF(VCU!$B$51:$B$193,$J1002,VCU!$E$51:$E$193)*Impacts!$F$17))</f>
        <v>0</v>
      </c>
      <c r="V1002" s="10">
        <f>IF(CAS!$C$7="",0,(SUMIF(CAS!$B$31:$B$167,$J1002,CAS!$E$31:$E$167)*Impacts!$F$18))</f>
        <v>0</v>
      </c>
      <c r="W1002" s="10">
        <f t="shared" si="57"/>
        <v>0</v>
      </c>
      <c r="AK1002" s="10" t="str">
        <f t="array" ref="AK1002">IFERROR(INDEX(SelectedSpecies,SMALL(IF(SelectedSpecies=AK$1,ROW(SelectedSpecies)),ROW(1003:1003)),2),"")</f>
        <v/>
      </c>
      <c r="BE1002" s="10"/>
      <c r="BI1002" s="10"/>
    </row>
    <row r="1003" spans="1:61" ht="21" customHeight="1" x14ac:dyDescent="0.25">
      <c r="A1003" s="10"/>
      <c r="B1003" s="10"/>
      <c r="E1003" s="10"/>
      <c r="G1003" s="10"/>
      <c r="I1003" s="436" t="s">
        <v>7352</v>
      </c>
      <c r="J1003" s="26" t="s">
        <v>7351</v>
      </c>
      <c r="K1003" s="10">
        <v>0.25</v>
      </c>
      <c r="L1003" s="73">
        <f>IF(Tank1!$C$23="No control",(SUMIF(Tank1!$B$32:$B$49,$J1003,Tank1!$C$32:$C$49)*Impacts!$F$8),0)</f>
        <v>0</v>
      </c>
      <c r="M1003" s="10">
        <f>IF(Tank2!$C$23="No control",(SUMIF(Tank2!$B$32:$B$49,$J1003,Tank2!$C$32:$C$49)*Impacts!$F$9),0)</f>
        <v>0</v>
      </c>
      <c r="N1003" s="10">
        <f>IF(Tank3!$C$23="No control",(SUMIF(Tank3!$B$32:$B$49,$J1003,Tank3!$C$32:$C$49)*Impacts!$F$10),0)</f>
        <v>0</v>
      </c>
      <c r="O1003" s="10">
        <f>IF(Tank4!$C$23="No control",(SUMIF(Tank4!$B$32:$B$49,$J1003,Tank4!$C$32:$C$49)*Impacts!$F$11),0)</f>
        <v>0</v>
      </c>
      <c r="P1003" s="10">
        <f>IF(Tank5!$C$23="No control",(SUMIF(Tank5!$B$32:$B$49,$J1003,Tank5!$C$32:$C$49)*Impacts!$F$12),0)</f>
        <v>0</v>
      </c>
      <c r="Q1003" s="10">
        <f>IFERROR(IF(('Loading-drum,tote'!$C$21)="No control",SUMIF(('Loading-drum,tote'!$B$31:$B$48),$J1003,('Loading-drum,tote'!$D$31:$D$48))*Impacts!$F$13,IF(('Loading-drum,tote'!$C$21)&lt;&gt;"No control",SUMIF(('Loading-drum,tote'!$B$31:$B$48),$J1003,('Loading-drum,tote'!$E$31:$E$48))*Impacts!$F$13,0)),0)</f>
        <v>0</v>
      </c>
      <c r="R1003" s="10">
        <f>IFERROR(IF(('Loading-truck'!$C$21)="No control",SUMIF(('Loading-truck'!$B$31:$B$48),$J1003,('Loading-truck'!$D$31:$D$48))*Impacts!$F$14,IF(('Loading-truck'!$C$21)&lt;&gt;"No control",SUMIF(('Loading-truck'!$B$31:$B$48),$J1003,('Loading-truck'!$E$31:$E$48))*Impacts!$F$14,0)),0)</f>
        <v>0</v>
      </c>
      <c r="S1003" s="10">
        <f>IFERROR(IF(('Loading-rail'!$C$21)="No control",SUMIF(('Loading-rail'!$B$31:$B$48),$J1003,('Loading-rail'!$D$31:$D$48))*Impacts!$F$15,IF(('Loading-rail'!$C$21)&lt;&gt;"No control",SUMIF(('Loading-rail'!$B$31:$B$48),$J1003,('Loading-rail'!$E$31:$E$48))*Impacts!$F$15,0)),0)</f>
        <v>0</v>
      </c>
      <c r="T1003" s="10">
        <f>IF(Flare!$C$7="",0,(SUMIF(Flare!$B$46:$B$185,$J1003,Flare!$E$46:$E$185)*Impacts!$F$16))</f>
        <v>0</v>
      </c>
      <c r="U1003" s="10">
        <f>IF(VCU!$C$9="",0,(SUMIF(VCU!$B$51:$B$193,$J1003,VCU!$E$51:$E$193)*Impacts!$F$17))</f>
        <v>0</v>
      </c>
      <c r="V1003" s="10">
        <f>IF(CAS!$C$7="",0,(SUMIF(CAS!$B$31:$B$167,$J1003,CAS!$E$31:$E$167)*Impacts!$F$18))</f>
        <v>0</v>
      </c>
      <c r="W1003" s="10">
        <f t="shared" si="57"/>
        <v>0</v>
      </c>
      <c r="AK1003" s="10" t="str">
        <f t="array" ref="AK1003">IFERROR(INDEX(SelectedSpecies,SMALL(IF(SelectedSpecies=AK$1,ROW(SelectedSpecies)),ROW(1004:1004)),2),"")</f>
        <v/>
      </c>
      <c r="BE1003" s="10"/>
      <c r="BI1003" s="10"/>
    </row>
    <row r="1004" spans="1:61" ht="21" customHeight="1" x14ac:dyDescent="0.25">
      <c r="A1004" s="10"/>
      <c r="B1004" s="10"/>
      <c r="E1004" s="10"/>
      <c r="G1004" s="10"/>
      <c r="I1004" s="436" t="s">
        <v>8046</v>
      </c>
      <c r="J1004" s="26" t="s">
        <v>8045</v>
      </c>
      <c r="K1004" s="10">
        <v>2.0000000000000004E-2</v>
      </c>
      <c r="L1004" s="73">
        <f>IF(Tank1!$C$23="No control",(SUMIF(Tank1!$B$32:$B$49,$J1004,Tank1!$C$32:$C$49)*Impacts!$F$8),0)</f>
        <v>0</v>
      </c>
      <c r="M1004" s="10">
        <f>IF(Tank2!$C$23="No control",(SUMIF(Tank2!$B$32:$B$49,$J1004,Tank2!$C$32:$C$49)*Impacts!$F$9),0)</f>
        <v>0</v>
      </c>
      <c r="N1004" s="10">
        <f>IF(Tank3!$C$23="No control",(SUMIF(Tank3!$B$32:$B$49,$J1004,Tank3!$C$32:$C$49)*Impacts!$F$10),0)</f>
        <v>0</v>
      </c>
      <c r="O1004" s="10">
        <f>IF(Tank4!$C$23="No control",(SUMIF(Tank4!$B$32:$B$49,$J1004,Tank4!$C$32:$C$49)*Impacts!$F$11),0)</f>
        <v>0</v>
      </c>
      <c r="P1004" s="10">
        <f>IF(Tank5!$C$23="No control",(SUMIF(Tank5!$B$32:$B$49,$J1004,Tank5!$C$32:$C$49)*Impacts!$F$12),0)</f>
        <v>0</v>
      </c>
      <c r="Q1004" s="10">
        <f>IFERROR(IF(('Loading-drum,tote'!$C$21)="No control",SUMIF(('Loading-drum,tote'!$B$31:$B$48),$J1004,('Loading-drum,tote'!$D$31:$D$48))*Impacts!$F$13,IF(('Loading-drum,tote'!$C$21)&lt;&gt;"No control",SUMIF(('Loading-drum,tote'!$B$31:$B$48),$J1004,('Loading-drum,tote'!$E$31:$E$48))*Impacts!$F$13,0)),0)</f>
        <v>0</v>
      </c>
      <c r="R1004" s="10">
        <f>IFERROR(IF(('Loading-truck'!$C$21)="No control",SUMIF(('Loading-truck'!$B$31:$B$48),$J1004,('Loading-truck'!$D$31:$D$48))*Impacts!$F$14,IF(('Loading-truck'!$C$21)&lt;&gt;"No control",SUMIF(('Loading-truck'!$B$31:$B$48),$J1004,('Loading-truck'!$E$31:$E$48))*Impacts!$F$14,0)),0)</f>
        <v>0</v>
      </c>
      <c r="S1004" s="10">
        <f>IFERROR(IF(('Loading-rail'!$C$21)="No control",SUMIF(('Loading-rail'!$B$31:$B$48),$J1004,('Loading-rail'!$D$31:$D$48))*Impacts!$F$15,IF(('Loading-rail'!$C$21)&lt;&gt;"No control",SUMIF(('Loading-rail'!$B$31:$B$48),$J1004,('Loading-rail'!$E$31:$E$48))*Impacts!$F$15,0)),0)</f>
        <v>0</v>
      </c>
      <c r="T1004" s="10">
        <f>IF(Flare!$C$7="",0,(SUMIF(Flare!$B$46:$B$185,$J1004,Flare!$E$46:$E$185)*Impacts!$F$16))</f>
        <v>0</v>
      </c>
      <c r="U1004" s="10">
        <f>IF(VCU!$C$9="",0,(SUMIF(VCU!$B$51:$B$193,$J1004,VCU!$E$51:$E$193)*Impacts!$F$17))</f>
        <v>0</v>
      </c>
      <c r="V1004" s="10">
        <f>IF(CAS!$C$7="",0,(SUMIF(CAS!$B$31:$B$167,$J1004,CAS!$E$31:$E$167)*Impacts!$F$18))</f>
        <v>0</v>
      </c>
      <c r="W1004" s="10">
        <f t="shared" si="57"/>
        <v>0</v>
      </c>
      <c r="AK1004" s="10" t="str">
        <f t="array" ref="AK1004">IFERROR(INDEX(SelectedSpecies,SMALL(IF(SelectedSpecies=AK$1,ROW(SelectedSpecies)),ROW(1005:1005)),2),"")</f>
        <v/>
      </c>
      <c r="BE1004" s="10"/>
      <c r="BI1004" s="10"/>
    </row>
    <row r="1005" spans="1:61" ht="21" customHeight="1" x14ac:dyDescent="0.25">
      <c r="A1005" s="10"/>
      <c r="B1005" s="10"/>
      <c r="E1005" s="10"/>
      <c r="G1005" s="10"/>
      <c r="I1005" s="436" t="s">
        <v>6248</v>
      </c>
      <c r="J1005" s="26" t="s">
        <v>6247</v>
      </c>
      <c r="K1005" s="10">
        <v>0.9900000000000001</v>
      </c>
      <c r="L1005" s="73">
        <f>IF(Tank1!$C$23="No control",(SUMIF(Tank1!$B$32:$B$49,$J1005,Tank1!$C$32:$C$49)*Impacts!$F$8),0)</f>
        <v>0</v>
      </c>
      <c r="M1005" s="10">
        <f>IF(Tank2!$C$23="No control",(SUMIF(Tank2!$B$32:$B$49,$J1005,Tank2!$C$32:$C$49)*Impacts!$F$9),0)</f>
        <v>0</v>
      </c>
      <c r="N1005" s="10">
        <f>IF(Tank3!$C$23="No control",(SUMIF(Tank3!$B$32:$B$49,$J1005,Tank3!$C$32:$C$49)*Impacts!$F$10),0)</f>
        <v>0</v>
      </c>
      <c r="O1005" s="10">
        <f>IF(Tank4!$C$23="No control",(SUMIF(Tank4!$B$32:$B$49,$J1005,Tank4!$C$32:$C$49)*Impacts!$F$11),0)</f>
        <v>0</v>
      </c>
      <c r="P1005" s="10">
        <f>IF(Tank5!$C$23="No control",(SUMIF(Tank5!$B$32:$B$49,$J1005,Tank5!$C$32:$C$49)*Impacts!$F$12),0)</f>
        <v>0</v>
      </c>
      <c r="Q1005" s="10">
        <f>IFERROR(IF(('Loading-drum,tote'!$C$21)="No control",SUMIF(('Loading-drum,tote'!$B$31:$B$48),$J1005,('Loading-drum,tote'!$D$31:$D$48))*Impacts!$F$13,IF(('Loading-drum,tote'!$C$21)&lt;&gt;"No control",SUMIF(('Loading-drum,tote'!$B$31:$B$48),$J1005,('Loading-drum,tote'!$E$31:$E$48))*Impacts!$F$13,0)),0)</f>
        <v>0</v>
      </c>
      <c r="R1005" s="10">
        <f>IFERROR(IF(('Loading-truck'!$C$21)="No control",SUMIF(('Loading-truck'!$B$31:$B$48),$J1005,('Loading-truck'!$D$31:$D$48))*Impacts!$F$14,IF(('Loading-truck'!$C$21)&lt;&gt;"No control",SUMIF(('Loading-truck'!$B$31:$B$48),$J1005,('Loading-truck'!$E$31:$E$48))*Impacts!$F$14,0)),0)</f>
        <v>0</v>
      </c>
      <c r="S1005" s="10">
        <f>IFERROR(IF(('Loading-rail'!$C$21)="No control",SUMIF(('Loading-rail'!$B$31:$B$48),$J1005,('Loading-rail'!$D$31:$D$48))*Impacts!$F$15,IF(('Loading-rail'!$C$21)&lt;&gt;"No control",SUMIF(('Loading-rail'!$B$31:$B$48),$J1005,('Loading-rail'!$E$31:$E$48))*Impacts!$F$15,0)),0)</f>
        <v>0</v>
      </c>
      <c r="T1005" s="10">
        <f>IF(Flare!$C$7="",0,(SUMIF(Flare!$B$46:$B$185,$J1005,Flare!$E$46:$E$185)*Impacts!$F$16))</f>
        <v>0</v>
      </c>
      <c r="U1005" s="10">
        <f>IF(VCU!$C$9="",0,(SUMIF(VCU!$B$51:$B$193,$J1005,VCU!$E$51:$E$193)*Impacts!$F$17))</f>
        <v>0</v>
      </c>
      <c r="V1005" s="10">
        <f>IF(CAS!$C$7="",0,(SUMIF(CAS!$B$31:$B$167,$J1005,CAS!$E$31:$E$167)*Impacts!$F$18))</f>
        <v>0</v>
      </c>
      <c r="W1005" s="10">
        <f t="shared" si="57"/>
        <v>0</v>
      </c>
      <c r="AK1005" s="10" t="str">
        <f t="array" ref="AK1005">IFERROR(INDEX(SelectedSpecies,SMALL(IF(SelectedSpecies=AK$1,ROW(SelectedSpecies)),ROW(1006:1006)),2),"")</f>
        <v/>
      </c>
      <c r="BE1005" s="10"/>
      <c r="BI1005" s="10"/>
    </row>
    <row r="1006" spans="1:61" ht="21" customHeight="1" x14ac:dyDescent="0.25">
      <c r="A1006" s="10"/>
      <c r="B1006" s="10"/>
      <c r="E1006" s="10"/>
      <c r="G1006" s="10"/>
      <c r="I1006" s="436" t="s">
        <v>4547</v>
      </c>
      <c r="J1006" s="26" t="s">
        <v>4546</v>
      </c>
      <c r="K1006" s="10">
        <v>4</v>
      </c>
      <c r="L1006" s="73">
        <f>IF(Tank1!$C$23="No control",(SUMIF(Tank1!$B$32:$B$49,$J1006,Tank1!$C$32:$C$49)*Impacts!$F$8),0)</f>
        <v>0</v>
      </c>
      <c r="M1006" s="10">
        <f>IF(Tank2!$C$23="No control",(SUMIF(Tank2!$B$32:$B$49,$J1006,Tank2!$C$32:$C$49)*Impacts!$F$9),0)</f>
        <v>0</v>
      </c>
      <c r="N1006" s="10">
        <f>IF(Tank3!$C$23="No control",(SUMIF(Tank3!$B$32:$B$49,$J1006,Tank3!$C$32:$C$49)*Impacts!$F$10),0)</f>
        <v>0</v>
      </c>
      <c r="O1006" s="10">
        <f>IF(Tank4!$C$23="No control",(SUMIF(Tank4!$B$32:$B$49,$J1006,Tank4!$C$32:$C$49)*Impacts!$F$11),0)</f>
        <v>0</v>
      </c>
      <c r="P1006" s="10">
        <f>IF(Tank5!$C$23="No control",(SUMIF(Tank5!$B$32:$B$49,$J1006,Tank5!$C$32:$C$49)*Impacts!$F$12),0)</f>
        <v>0</v>
      </c>
      <c r="Q1006" s="10">
        <f>IFERROR(IF(('Loading-drum,tote'!$C$21)="No control",SUMIF(('Loading-drum,tote'!$B$31:$B$48),$J1006,('Loading-drum,tote'!$D$31:$D$48))*Impacts!$F$13,IF(('Loading-drum,tote'!$C$21)&lt;&gt;"No control",SUMIF(('Loading-drum,tote'!$B$31:$B$48),$J1006,('Loading-drum,tote'!$E$31:$E$48))*Impacts!$F$13,0)),0)</f>
        <v>0</v>
      </c>
      <c r="R1006" s="10">
        <f>IFERROR(IF(('Loading-truck'!$C$21)="No control",SUMIF(('Loading-truck'!$B$31:$B$48),$J1006,('Loading-truck'!$D$31:$D$48))*Impacts!$F$14,IF(('Loading-truck'!$C$21)&lt;&gt;"No control",SUMIF(('Loading-truck'!$B$31:$B$48),$J1006,('Loading-truck'!$E$31:$E$48))*Impacts!$F$14,0)),0)</f>
        <v>0</v>
      </c>
      <c r="S1006" s="10">
        <f>IFERROR(IF(('Loading-rail'!$C$21)="No control",SUMIF(('Loading-rail'!$B$31:$B$48),$J1006,('Loading-rail'!$D$31:$D$48))*Impacts!$F$15,IF(('Loading-rail'!$C$21)&lt;&gt;"No control",SUMIF(('Loading-rail'!$B$31:$B$48),$J1006,('Loading-rail'!$E$31:$E$48))*Impacts!$F$15,0)),0)</f>
        <v>0</v>
      </c>
      <c r="T1006" s="10">
        <f>IF(Flare!$C$7="",0,(SUMIF(Flare!$B$46:$B$185,$J1006,Flare!$E$46:$E$185)*Impacts!$F$16))</f>
        <v>0</v>
      </c>
      <c r="U1006" s="10">
        <f>IF(VCU!$C$9="",0,(SUMIF(VCU!$B$51:$B$193,$J1006,VCU!$E$51:$E$193)*Impacts!$F$17))</f>
        <v>0</v>
      </c>
      <c r="V1006" s="10">
        <f>IF(CAS!$C$7="",0,(SUMIF(CAS!$B$31:$B$167,$J1006,CAS!$E$31:$E$167)*Impacts!$F$18))</f>
        <v>0</v>
      </c>
      <c r="W1006" s="10">
        <f t="shared" si="57"/>
        <v>0</v>
      </c>
      <c r="AK1006" s="10" t="str">
        <f t="array" ref="AK1006">IFERROR(INDEX(SelectedSpecies,SMALL(IF(SelectedSpecies=AK$1,ROW(SelectedSpecies)),ROW(1007:1007)),2),"")</f>
        <v/>
      </c>
      <c r="BE1006" s="10"/>
      <c r="BI1006" s="10"/>
    </row>
    <row r="1007" spans="1:61" ht="21" customHeight="1" x14ac:dyDescent="0.25">
      <c r="A1007" s="10"/>
      <c r="B1007" s="10"/>
      <c r="E1007" s="10"/>
      <c r="G1007" s="10"/>
      <c r="I1007" s="436" t="s">
        <v>5345</v>
      </c>
      <c r="J1007" s="26" t="s">
        <v>5344</v>
      </c>
      <c r="K1007" s="10">
        <v>1.6</v>
      </c>
      <c r="L1007" s="73">
        <f>IF(Tank1!$C$23="No control",(SUMIF(Tank1!$B$32:$B$49,$J1007,Tank1!$C$32:$C$49)*Impacts!$F$8),0)</f>
        <v>0</v>
      </c>
      <c r="M1007" s="10">
        <f>IF(Tank2!$C$23="No control",(SUMIF(Tank2!$B$32:$B$49,$J1007,Tank2!$C$32:$C$49)*Impacts!$F$9),0)</f>
        <v>0</v>
      </c>
      <c r="N1007" s="10">
        <f>IF(Tank3!$C$23="No control",(SUMIF(Tank3!$B$32:$B$49,$J1007,Tank3!$C$32:$C$49)*Impacts!$F$10),0)</f>
        <v>0</v>
      </c>
      <c r="O1007" s="10">
        <f>IF(Tank4!$C$23="No control",(SUMIF(Tank4!$B$32:$B$49,$J1007,Tank4!$C$32:$C$49)*Impacts!$F$11),0)</f>
        <v>0</v>
      </c>
      <c r="P1007" s="10">
        <f>IF(Tank5!$C$23="No control",(SUMIF(Tank5!$B$32:$B$49,$J1007,Tank5!$C$32:$C$49)*Impacts!$F$12),0)</f>
        <v>0</v>
      </c>
      <c r="Q1007" s="10">
        <f>IFERROR(IF(('Loading-drum,tote'!$C$21)="No control",SUMIF(('Loading-drum,tote'!$B$31:$B$48),$J1007,('Loading-drum,tote'!$D$31:$D$48))*Impacts!$F$13,IF(('Loading-drum,tote'!$C$21)&lt;&gt;"No control",SUMIF(('Loading-drum,tote'!$B$31:$B$48),$J1007,('Loading-drum,tote'!$E$31:$E$48))*Impacts!$F$13,0)),0)</f>
        <v>0</v>
      </c>
      <c r="R1007" s="10">
        <f>IFERROR(IF(('Loading-truck'!$C$21)="No control",SUMIF(('Loading-truck'!$B$31:$B$48),$J1007,('Loading-truck'!$D$31:$D$48))*Impacts!$F$14,IF(('Loading-truck'!$C$21)&lt;&gt;"No control",SUMIF(('Loading-truck'!$B$31:$B$48),$J1007,('Loading-truck'!$E$31:$E$48))*Impacts!$F$14,0)),0)</f>
        <v>0</v>
      </c>
      <c r="S1007" s="10">
        <f>IFERROR(IF(('Loading-rail'!$C$21)="No control",SUMIF(('Loading-rail'!$B$31:$B$48),$J1007,('Loading-rail'!$D$31:$D$48))*Impacts!$F$15,IF(('Loading-rail'!$C$21)&lt;&gt;"No control",SUMIF(('Loading-rail'!$B$31:$B$48),$J1007,('Loading-rail'!$E$31:$E$48))*Impacts!$F$15,0)),0)</f>
        <v>0</v>
      </c>
      <c r="T1007" s="10">
        <f>IF(Flare!$C$7="",0,(SUMIF(Flare!$B$46:$B$185,$J1007,Flare!$E$46:$E$185)*Impacts!$F$16))</f>
        <v>0</v>
      </c>
      <c r="U1007" s="10">
        <f>IF(VCU!$C$9="",0,(SUMIF(VCU!$B$51:$B$193,$J1007,VCU!$E$51:$E$193)*Impacts!$F$17))</f>
        <v>0</v>
      </c>
      <c r="V1007" s="10">
        <f>IF(CAS!$C$7="",0,(SUMIF(CAS!$B$31:$B$167,$J1007,CAS!$E$31:$E$167)*Impacts!$F$18))</f>
        <v>0</v>
      </c>
      <c r="W1007" s="10">
        <f t="shared" si="57"/>
        <v>0</v>
      </c>
      <c r="AK1007" s="10" t="str">
        <f t="array" ref="AK1007">IFERROR(INDEX(SelectedSpecies,SMALL(IF(SelectedSpecies=AK$1,ROW(SelectedSpecies)),ROW(1008:1008)),2),"")</f>
        <v/>
      </c>
      <c r="BE1007" s="10"/>
      <c r="BI1007" s="10"/>
    </row>
    <row r="1008" spans="1:61" ht="21" customHeight="1" x14ac:dyDescent="0.25">
      <c r="A1008" s="10"/>
      <c r="B1008" s="10"/>
      <c r="E1008" s="10"/>
      <c r="G1008" s="10"/>
      <c r="I1008" s="436" t="s">
        <v>1668</v>
      </c>
      <c r="J1008" s="26" t="s">
        <v>1667</v>
      </c>
      <c r="K1008" s="10">
        <v>24.5</v>
      </c>
      <c r="L1008" s="73">
        <f>IF(Tank1!$C$23="No control",(SUMIF(Tank1!$B$32:$B$49,$J1008,Tank1!$C$32:$C$49)*Impacts!$F$8),0)</f>
        <v>0</v>
      </c>
      <c r="M1008" s="10">
        <f>IF(Tank2!$C$23="No control",(SUMIF(Tank2!$B$32:$B$49,$J1008,Tank2!$C$32:$C$49)*Impacts!$F$9),0)</f>
        <v>0</v>
      </c>
      <c r="N1008" s="10">
        <f>IF(Tank3!$C$23="No control",(SUMIF(Tank3!$B$32:$B$49,$J1008,Tank3!$C$32:$C$49)*Impacts!$F$10),0)</f>
        <v>0</v>
      </c>
      <c r="O1008" s="10">
        <f>IF(Tank4!$C$23="No control",(SUMIF(Tank4!$B$32:$B$49,$J1008,Tank4!$C$32:$C$49)*Impacts!$F$11),0)</f>
        <v>0</v>
      </c>
      <c r="P1008" s="10">
        <f>IF(Tank5!$C$23="No control",(SUMIF(Tank5!$B$32:$B$49,$J1008,Tank5!$C$32:$C$49)*Impacts!$F$12),0)</f>
        <v>0</v>
      </c>
      <c r="Q1008" s="10">
        <f>IFERROR(IF(('Loading-drum,tote'!$C$21)="No control",SUMIF(('Loading-drum,tote'!$B$31:$B$48),$J1008,('Loading-drum,tote'!$D$31:$D$48))*Impacts!$F$13,IF(('Loading-drum,tote'!$C$21)&lt;&gt;"No control",SUMIF(('Loading-drum,tote'!$B$31:$B$48),$J1008,('Loading-drum,tote'!$E$31:$E$48))*Impacts!$F$13,0)),0)</f>
        <v>0</v>
      </c>
      <c r="R1008" s="10">
        <f>IFERROR(IF(('Loading-truck'!$C$21)="No control",SUMIF(('Loading-truck'!$B$31:$B$48),$J1008,('Loading-truck'!$D$31:$D$48))*Impacts!$F$14,IF(('Loading-truck'!$C$21)&lt;&gt;"No control",SUMIF(('Loading-truck'!$B$31:$B$48),$J1008,('Loading-truck'!$E$31:$E$48))*Impacts!$F$14,0)),0)</f>
        <v>0</v>
      </c>
      <c r="S1008" s="10">
        <f>IFERROR(IF(('Loading-rail'!$C$21)="No control",SUMIF(('Loading-rail'!$B$31:$B$48),$J1008,('Loading-rail'!$D$31:$D$48))*Impacts!$F$15,IF(('Loading-rail'!$C$21)&lt;&gt;"No control",SUMIF(('Loading-rail'!$B$31:$B$48),$J1008,('Loading-rail'!$E$31:$E$48))*Impacts!$F$15,0)),0)</f>
        <v>0</v>
      </c>
      <c r="T1008" s="10">
        <f>IF(Flare!$C$7="",0,(SUMIF(Flare!$B$46:$B$185,$J1008,Flare!$E$46:$E$185)*Impacts!$F$16))</f>
        <v>0</v>
      </c>
      <c r="U1008" s="10">
        <f>IF(VCU!$C$9="",0,(SUMIF(VCU!$B$51:$B$193,$J1008,VCU!$E$51:$E$193)*Impacts!$F$17))</f>
        <v>0</v>
      </c>
      <c r="V1008" s="10">
        <f>IF(CAS!$C$7="",0,(SUMIF(CAS!$B$31:$B$167,$J1008,CAS!$E$31:$E$167)*Impacts!$F$18))</f>
        <v>0</v>
      </c>
      <c r="W1008" s="10">
        <f t="shared" si="57"/>
        <v>0</v>
      </c>
      <c r="AK1008" s="10" t="str">
        <f t="array" ref="AK1008">IFERROR(INDEX(SelectedSpecies,SMALL(IF(SelectedSpecies=AK$1,ROW(SelectedSpecies)),ROW(1009:1009)),2),"")</f>
        <v/>
      </c>
      <c r="BE1008" s="10"/>
      <c r="BI1008" s="10"/>
    </row>
    <row r="1009" spans="1:61" ht="21" customHeight="1" x14ac:dyDescent="0.25">
      <c r="A1009" s="10"/>
      <c r="B1009" s="10"/>
      <c r="E1009" s="10"/>
      <c r="G1009" s="10"/>
      <c r="I1009" s="436" t="s">
        <v>4257</v>
      </c>
      <c r="J1009" s="26" t="s">
        <v>4256</v>
      </c>
      <c r="K1009" s="10">
        <v>5</v>
      </c>
      <c r="L1009" s="73">
        <f>IF(Tank1!$C$23="No control",(SUMIF(Tank1!$B$32:$B$49,$J1009,Tank1!$C$32:$C$49)*Impacts!$F$8),0)</f>
        <v>0</v>
      </c>
      <c r="M1009" s="10">
        <f>IF(Tank2!$C$23="No control",(SUMIF(Tank2!$B$32:$B$49,$J1009,Tank2!$C$32:$C$49)*Impacts!$F$9),0)</f>
        <v>0</v>
      </c>
      <c r="N1009" s="10">
        <f>IF(Tank3!$C$23="No control",(SUMIF(Tank3!$B$32:$B$49,$J1009,Tank3!$C$32:$C$49)*Impacts!$F$10),0)</f>
        <v>0</v>
      </c>
      <c r="O1009" s="10">
        <f>IF(Tank4!$C$23="No control",(SUMIF(Tank4!$B$32:$B$49,$J1009,Tank4!$C$32:$C$49)*Impacts!$F$11),0)</f>
        <v>0</v>
      </c>
      <c r="P1009" s="10">
        <f>IF(Tank5!$C$23="No control",(SUMIF(Tank5!$B$32:$B$49,$J1009,Tank5!$C$32:$C$49)*Impacts!$F$12),0)</f>
        <v>0</v>
      </c>
      <c r="Q1009" s="10">
        <f>IFERROR(IF(('Loading-drum,tote'!$C$21)="No control",SUMIF(('Loading-drum,tote'!$B$31:$B$48),$J1009,('Loading-drum,tote'!$D$31:$D$48))*Impacts!$F$13,IF(('Loading-drum,tote'!$C$21)&lt;&gt;"No control",SUMIF(('Loading-drum,tote'!$B$31:$B$48),$J1009,('Loading-drum,tote'!$E$31:$E$48))*Impacts!$F$13,0)),0)</f>
        <v>0</v>
      </c>
      <c r="R1009" s="10">
        <f>IFERROR(IF(('Loading-truck'!$C$21)="No control",SUMIF(('Loading-truck'!$B$31:$B$48),$J1009,('Loading-truck'!$D$31:$D$48))*Impacts!$F$14,IF(('Loading-truck'!$C$21)&lt;&gt;"No control",SUMIF(('Loading-truck'!$B$31:$B$48),$J1009,('Loading-truck'!$E$31:$E$48))*Impacts!$F$14,0)),0)</f>
        <v>0</v>
      </c>
      <c r="S1009" s="10">
        <f>IFERROR(IF(('Loading-rail'!$C$21)="No control",SUMIF(('Loading-rail'!$B$31:$B$48),$J1009,('Loading-rail'!$D$31:$D$48))*Impacts!$F$15,IF(('Loading-rail'!$C$21)&lt;&gt;"No control",SUMIF(('Loading-rail'!$B$31:$B$48),$J1009,('Loading-rail'!$E$31:$E$48))*Impacts!$F$15,0)),0)</f>
        <v>0</v>
      </c>
      <c r="T1009" s="10">
        <f>IF(Flare!$C$7="",0,(SUMIF(Flare!$B$46:$B$185,$J1009,Flare!$E$46:$E$185)*Impacts!$F$16))</f>
        <v>0</v>
      </c>
      <c r="U1009" s="10">
        <f>IF(VCU!$C$9="",0,(SUMIF(VCU!$B$51:$B$193,$J1009,VCU!$E$51:$E$193)*Impacts!$F$17))</f>
        <v>0</v>
      </c>
      <c r="V1009" s="10">
        <f>IF(CAS!$C$7="",0,(SUMIF(CAS!$B$31:$B$167,$J1009,CAS!$E$31:$E$167)*Impacts!$F$18))</f>
        <v>0</v>
      </c>
      <c r="W1009" s="10">
        <f t="shared" si="57"/>
        <v>0</v>
      </c>
      <c r="AK1009" s="10" t="str">
        <f t="array" ref="AK1009">IFERROR(INDEX(SelectedSpecies,SMALL(IF(SelectedSpecies=AK$1,ROW(SelectedSpecies)),ROW(1010:1010)),2),"")</f>
        <v/>
      </c>
      <c r="BE1009" s="10"/>
      <c r="BI1009" s="10"/>
    </row>
    <row r="1010" spans="1:61" ht="21" customHeight="1" x14ac:dyDescent="0.25">
      <c r="A1010" s="10"/>
      <c r="B1010" s="10"/>
      <c r="E1010" s="10"/>
      <c r="G1010" s="10"/>
      <c r="I1010" s="436" t="s">
        <v>5788</v>
      </c>
      <c r="J1010" s="26" t="s">
        <v>5787</v>
      </c>
      <c r="K1010" s="10">
        <v>1</v>
      </c>
      <c r="L1010" s="73">
        <f>IF(Tank1!$C$23="No control",(SUMIF(Tank1!$B$32:$B$49,$J1010,Tank1!$C$32:$C$49)*Impacts!$F$8),0)</f>
        <v>0</v>
      </c>
      <c r="M1010" s="10">
        <f>IF(Tank2!$C$23="No control",(SUMIF(Tank2!$B$32:$B$49,$J1010,Tank2!$C$32:$C$49)*Impacts!$F$9),0)</f>
        <v>0</v>
      </c>
      <c r="N1010" s="10">
        <f>IF(Tank3!$C$23="No control",(SUMIF(Tank3!$B$32:$B$49,$J1010,Tank3!$C$32:$C$49)*Impacts!$F$10),0)</f>
        <v>0</v>
      </c>
      <c r="O1010" s="10">
        <f>IF(Tank4!$C$23="No control",(SUMIF(Tank4!$B$32:$B$49,$J1010,Tank4!$C$32:$C$49)*Impacts!$F$11),0)</f>
        <v>0</v>
      </c>
      <c r="P1010" s="10">
        <f>IF(Tank5!$C$23="No control",(SUMIF(Tank5!$B$32:$B$49,$J1010,Tank5!$C$32:$C$49)*Impacts!$F$12),0)</f>
        <v>0</v>
      </c>
      <c r="Q1010" s="10">
        <f>IFERROR(IF(('Loading-drum,tote'!$C$21)="No control",SUMIF(('Loading-drum,tote'!$B$31:$B$48),$J1010,('Loading-drum,tote'!$D$31:$D$48))*Impacts!$F$13,IF(('Loading-drum,tote'!$C$21)&lt;&gt;"No control",SUMIF(('Loading-drum,tote'!$B$31:$B$48),$J1010,('Loading-drum,tote'!$E$31:$E$48))*Impacts!$F$13,0)),0)</f>
        <v>0</v>
      </c>
      <c r="R1010" s="10">
        <f>IFERROR(IF(('Loading-truck'!$C$21)="No control",SUMIF(('Loading-truck'!$B$31:$B$48),$J1010,('Loading-truck'!$D$31:$D$48))*Impacts!$F$14,IF(('Loading-truck'!$C$21)&lt;&gt;"No control",SUMIF(('Loading-truck'!$B$31:$B$48),$J1010,('Loading-truck'!$E$31:$E$48))*Impacts!$F$14,0)),0)</f>
        <v>0</v>
      </c>
      <c r="S1010" s="10">
        <f>IFERROR(IF(('Loading-rail'!$C$21)="No control",SUMIF(('Loading-rail'!$B$31:$B$48),$J1010,('Loading-rail'!$D$31:$D$48))*Impacts!$F$15,IF(('Loading-rail'!$C$21)&lt;&gt;"No control",SUMIF(('Loading-rail'!$B$31:$B$48),$J1010,('Loading-rail'!$E$31:$E$48))*Impacts!$F$15,0)),0)</f>
        <v>0</v>
      </c>
      <c r="T1010" s="10">
        <f>IF(Flare!$C$7="",0,(SUMIF(Flare!$B$46:$B$185,$J1010,Flare!$E$46:$E$185)*Impacts!$F$16))</f>
        <v>0</v>
      </c>
      <c r="U1010" s="10">
        <f>IF(VCU!$C$9="",0,(SUMIF(VCU!$B$51:$B$193,$J1010,VCU!$E$51:$E$193)*Impacts!$F$17))</f>
        <v>0</v>
      </c>
      <c r="V1010" s="10">
        <f>IF(CAS!$C$7="",0,(SUMIF(CAS!$B$31:$B$167,$J1010,CAS!$E$31:$E$167)*Impacts!$F$18))</f>
        <v>0</v>
      </c>
      <c r="W1010" s="10">
        <f t="shared" si="57"/>
        <v>0</v>
      </c>
      <c r="AK1010" s="10" t="str">
        <f t="array" ref="AK1010">IFERROR(INDEX(SelectedSpecies,SMALL(IF(SelectedSpecies=AK$1,ROW(SelectedSpecies)),ROW(1011:1011)),2),"")</f>
        <v/>
      </c>
      <c r="BE1010" s="10"/>
      <c r="BI1010" s="10"/>
    </row>
    <row r="1011" spans="1:61" ht="21" customHeight="1" x14ac:dyDescent="0.25">
      <c r="A1011" s="10"/>
      <c r="B1011" s="10"/>
      <c r="E1011" s="10"/>
      <c r="G1011" s="10"/>
      <c r="I1011" s="436" t="s">
        <v>8088</v>
      </c>
      <c r="J1011" s="26" t="s">
        <v>8087</v>
      </c>
      <c r="K1011" s="10">
        <v>1.3000000000000001E-2</v>
      </c>
      <c r="L1011" s="73">
        <f>IF(Tank1!$C$23="No control",(SUMIF(Tank1!$B$32:$B$49,$J1011,Tank1!$C$32:$C$49)*Impacts!$F$8),0)</f>
        <v>0</v>
      </c>
      <c r="M1011" s="10">
        <f>IF(Tank2!$C$23="No control",(SUMIF(Tank2!$B$32:$B$49,$J1011,Tank2!$C$32:$C$49)*Impacts!$F$9),0)</f>
        <v>0</v>
      </c>
      <c r="N1011" s="10">
        <f>IF(Tank3!$C$23="No control",(SUMIF(Tank3!$B$32:$B$49,$J1011,Tank3!$C$32:$C$49)*Impacts!$F$10),0)</f>
        <v>0</v>
      </c>
      <c r="O1011" s="10">
        <f>IF(Tank4!$C$23="No control",(SUMIF(Tank4!$B$32:$B$49,$J1011,Tank4!$C$32:$C$49)*Impacts!$F$11),0)</f>
        <v>0</v>
      </c>
      <c r="P1011" s="10">
        <f>IF(Tank5!$C$23="No control",(SUMIF(Tank5!$B$32:$B$49,$J1011,Tank5!$C$32:$C$49)*Impacts!$F$12),0)</f>
        <v>0</v>
      </c>
      <c r="Q1011" s="10">
        <f>IFERROR(IF(('Loading-drum,tote'!$C$21)="No control",SUMIF(('Loading-drum,tote'!$B$31:$B$48),$J1011,('Loading-drum,tote'!$D$31:$D$48))*Impacts!$F$13,IF(('Loading-drum,tote'!$C$21)&lt;&gt;"No control",SUMIF(('Loading-drum,tote'!$B$31:$B$48),$J1011,('Loading-drum,tote'!$E$31:$E$48))*Impacts!$F$13,0)),0)</f>
        <v>0</v>
      </c>
      <c r="R1011" s="10">
        <f>IFERROR(IF(('Loading-truck'!$C$21)="No control",SUMIF(('Loading-truck'!$B$31:$B$48),$J1011,('Loading-truck'!$D$31:$D$48))*Impacts!$F$14,IF(('Loading-truck'!$C$21)&lt;&gt;"No control",SUMIF(('Loading-truck'!$B$31:$B$48),$J1011,('Loading-truck'!$E$31:$E$48))*Impacts!$F$14,0)),0)</f>
        <v>0</v>
      </c>
      <c r="S1011" s="10">
        <f>IFERROR(IF(('Loading-rail'!$C$21)="No control",SUMIF(('Loading-rail'!$B$31:$B$48),$J1011,('Loading-rail'!$D$31:$D$48))*Impacts!$F$15,IF(('Loading-rail'!$C$21)&lt;&gt;"No control",SUMIF(('Loading-rail'!$B$31:$B$48),$J1011,('Loading-rail'!$E$31:$E$48))*Impacts!$F$15,0)),0)</f>
        <v>0</v>
      </c>
      <c r="T1011" s="10">
        <f>IF(Flare!$C$7="",0,(SUMIF(Flare!$B$46:$B$185,$J1011,Flare!$E$46:$E$185)*Impacts!$F$16))</f>
        <v>0</v>
      </c>
      <c r="U1011" s="10">
        <f>IF(VCU!$C$9="",0,(SUMIF(VCU!$B$51:$B$193,$J1011,VCU!$E$51:$E$193)*Impacts!$F$17))</f>
        <v>0</v>
      </c>
      <c r="V1011" s="10">
        <f>IF(CAS!$C$7="",0,(SUMIF(CAS!$B$31:$B$167,$J1011,CAS!$E$31:$E$167)*Impacts!$F$18))</f>
        <v>0</v>
      </c>
      <c r="W1011" s="10">
        <f t="shared" si="57"/>
        <v>0</v>
      </c>
      <c r="AK1011" s="10" t="str">
        <f t="array" ref="AK1011">IFERROR(INDEX(SelectedSpecies,SMALL(IF(SelectedSpecies=AK$1,ROW(SelectedSpecies)),ROW(1012:1012)),2),"")</f>
        <v/>
      </c>
      <c r="BE1011" s="10"/>
      <c r="BI1011" s="10"/>
    </row>
    <row r="1012" spans="1:61" ht="21" customHeight="1" x14ac:dyDescent="0.25">
      <c r="A1012" s="10"/>
      <c r="B1012" s="10"/>
      <c r="E1012" s="10"/>
      <c r="G1012" s="10"/>
      <c r="I1012" s="436" t="s">
        <v>7468</v>
      </c>
      <c r="J1012" s="26" t="s">
        <v>7467</v>
      </c>
      <c r="K1012" s="10">
        <v>0.2</v>
      </c>
      <c r="L1012" s="73">
        <f>IF(Tank1!$C$23="No control",(SUMIF(Tank1!$B$32:$B$49,$J1012,Tank1!$C$32:$C$49)*Impacts!$F$8),0)</f>
        <v>0</v>
      </c>
      <c r="M1012" s="10">
        <f>IF(Tank2!$C$23="No control",(SUMIF(Tank2!$B$32:$B$49,$J1012,Tank2!$C$32:$C$49)*Impacts!$F$9),0)</f>
        <v>0</v>
      </c>
      <c r="N1012" s="10">
        <f>IF(Tank3!$C$23="No control",(SUMIF(Tank3!$B$32:$B$49,$J1012,Tank3!$C$32:$C$49)*Impacts!$F$10),0)</f>
        <v>0</v>
      </c>
      <c r="O1012" s="10">
        <f>IF(Tank4!$C$23="No control",(SUMIF(Tank4!$B$32:$B$49,$J1012,Tank4!$C$32:$C$49)*Impacts!$F$11),0)</f>
        <v>0</v>
      </c>
      <c r="P1012" s="10">
        <f>IF(Tank5!$C$23="No control",(SUMIF(Tank5!$B$32:$B$49,$J1012,Tank5!$C$32:$C$49)*Impacts!$F$12),0)</f>
        <v>0</v>
      </c>
      <c r="Q1012" s="10">
        <f>IFERROR(IF(('Loading-drum,tote'!$C$21)="No control",SUMIF(('Loading-drum,tote'!$B$31:$B$48),$J1012,('Loading-drum,tote'!$D$31:$D$48))*Impacts!$F$13,IF(('Loading-drum,tote'!$C$21)&lt;&gt;"No control",SUMIF(('Loading-drum,tote'!$B$31:$B$48),$J1012,('Loading-drum,tote'!$E$31:$E$48))*Impacts!$F$13,0)),0)</f>
        <v>0</v>
      </c>
      <c r="R1012" s="10">
        <f>IFERROR(IF(('Loading-truck'!$C$21)="No control",SUMIF(('Loading-truck'!$B$31:$B$48),$J1012,('Loading-truck'!$D$31:$D$48))*Impacts!$F$14,IF(('Loading-truck'!$C$21)&lt;&gt;"No control",SUMIF(('Loading-truck'!$B$31:$B$48),$J1012,('Loading-truck'!$E$31:$E$48))*Impacts!$F$14,0)),0)</f>
        <v>0</v>
      </c>
      <c r="S1012" s="10">
        <f>IFERROR(IF(('Loading-rail'!$C$21)="No control",SUMIF(('Loading-rail'!$B$31:$B$48),$J1012,('Loading-rail'!$D$31:$D$48))*Impacts!$F$15,IF(('Loading-rail'!$C$21)&lt;&gt;"No control",SUMIF(('Loading-rail'!$B$31:$B$48),$J1012,('Loading-rail'!$E$31:$E$48))*Impacts!$F$15,0)),0)</f>
        <v>0</v>
      </c>
      <c r="T1012" s="10">
        <f>IF(Flare!$C$7="",0,(SUMIF(Flare!$B$46:$B$185,$J1012,Flare!$E$46:$E$185)*Impacts!$F$16))</f>
        <v>0</v>
      </c>
      <c r="U1012" s="10">
        <f>IF(VCU!$C$9="",0,(SUMIF(VCU!$B$51:$B$193,$J1012,VCU!$E$51:$E$193)*Impacts!$F$17))</f>
        <v>0</v>
      </c>
      <c r="V1012" s="10">
        <f>IF(CAS!$C$7="",0,(SUMIF(CAS!$B$31:$B$167,$J1012,CAS!$E$31:$E$167)*Impacts!$F$18))</f>
        <v>0</v>
      </c>
      <c r="W1012" s="10">
        <f t="shared" si="57"/>
        <v>0</v>
      </c>
      <c r="AK1012" s="10" t="str">
        <f t="array" ref="AK1012">IFERROR(INDEX(SelectedSpecies,SMALL(IF(SelectedSpecies=AK$1,ROW(SelectedSpecies)),ROW(1013:1013)),2),"")</f>
        <v/>
      </c>
      <c r="BE1012" s="10"/>
      <c r="BI1012" s="10"/>
    </row>
    <row r="1013" spans="1:61" ht="21" customHeight="1" x14ac:dyDescent="0.25">
      <c r="A1013" s="10"/>
      <c r="B1013" s="10"/>
      <c r="E1013" s="10"/>
      <c r="G1013" s="10"/>
      <c r="I1013" s="436" t="s">
        <v>2739</v>
      </c>
      <c r="J1013" s="26" t="s">
        <v>2738</v>
      </c>
      <c r="K1013" s="10">
        <v>10</v>
      </c>
      <c r="L1013" s="73">
        <f>IF(Tank1!$C$23="No control",(SUMIF(Tank1!$B$32:$B$49,$J1013,Tank1!$C$32:$C$49)*Impacts!$F$8),0)</f>
        <v>0</v>
      </c>
      <c r="M1013" s="10">
        <f>IF(Tank2!$C$23="No control",(SUMIF(Tank2!$B$32:$B$49,$J1013,Tank2!$C$32:$C$49)*Impacts!$F$9),0)</f>
        <v>0</v>
      </c>
      <c r="N1013" s="10">
        <f>IF(Tank3!$C$23="No control",(SUMIF(Tank3!$B$32:$B$49,$J1013,Tank3!$C$32:$C$49)*Impacts!$F$10),0)</f>
        <v>0</v>
      </c>
      <c r="O1013" s="10">
        <f>IF(Tank4!$C$23="No control",(SUMIF(Tank4!$B$32:$B$49,$J1013,Tank4!$C$32:$C$49)*Impacts!$F$11),0)</f>
        <v>0</v>
      </c>
      <c r="P1013" s="10">
        <f>IF(Tank5!$C$23="No control",(SUMIF(Tank5!$B$32:$B$49,$J1013,Tank5!$C$32:$C$49)*Impacts!$F$12),0)</f>
        <v>0</v>
      </c>
      <c r="Q1013" s="10">
        <f>IFERROR(IF(('Loading-drum,tote'!$C$21)="No control",SUMIF(('Loading-drum,tote'!$B$31:$B$48),$J1013,('Loading-drum,tote'!$D$31:$D$48))*Impacts!$F$13,IF(('Loading-drum,tote'!$C$21)&lt;&gt;"No control",SUMIF(('Loading-drum,tote'!$B$31:$B$48),$J1013,('Loading-drum,tote'!$E$31:$E$48))*Impacts!$F$13,0)),0)</f>
        <v>0</v>
      </c>
      <c r="R1013" s="10">
        <f>IFERROR(IF(('Loading-truck'!$C$21)="No control",SUMIF(('Loading-truck'!$B$31:$B$48),$J1013,('Loading-truck'!$D$31:$D$48))*Impacts!$F$14,IF(('Loading-truck'!$C$21)&lt;&gt;"No control",SUMIF(('Loading-truck'!$B$31:$B$48),$J1013,('Loading-truck'!$E$31:$E$48))*Impacts!$F$14,0)),0)</f>
        <v>0</v>
      </c>
      <c r="S1013" s="10">
        <f>IFERROR(IF(('Loading-rail'!$C$21)="No control",SUMIF(('Loading-rail'!$B$31:$B$48),$J1013,('Loading-rail'!$D$31:$D$48))*Impacts!$F$15,IF(('Loading-rail'!$C$21)&lt;&gt;"No control",SUMIF(('Loading-rail'!$B$31:$B$48),$J1013,('Loading-rail'!$E$31:$E$48))*Impacts!$F$15,0)),0)</f>
        <v>0</v>
      </c>
      <c r="T1013" s="10">
        <f>IF(Flare!$C$7="",0,(SUMIF(Flare!$B$46:$B$185,$J1013,Flare!$E$46:$E$185)*Impacts!$F$16))</f>
        <v>0</v>
      </c>
      <c r="U1013" s="10">
        <f>IF(VCU!$C$9="",0,(SUMIF(VCU!$B$51:$B$193,$J1013,VCU!$E$51:$E$193)*Impacts!$F$17))</f>
        <v>0</v>
      </c>
      <c r="V1013" s="10">
        <f>IF(CAS!$C$7="",0,(SUMIF(CAS!$B$31:$B$167,$J1013,CAS!$E$31:$E$167)*Impacts!$F$18))</f>
        <v>0</v>
      </c>
      <c r="W1013" s="10">
        <f t="shared" si="57"/>
        <v>0</v>
      </c>
      <c r="AK1013" s="10" t="str">
        <f t="array" ref="AK1013">IFERROR(INDEX(SelectedSpecies,SMALL(IF(SelectedSpecies=AK$1,ROW(SelectedSpecies)),ROW(1014:1014)),2),"")</f>
        <v/>
      </c>
      <c r="BE1013" s="10"/>
      <c r="BI1013" s="10"/>
    </row>
    <row r="1014" spans="1:61" ht="21" customHeight="1" x14ac:dyDescent="0.25">
      <c r="A1014" s="10"/>
      <c r="B1014" s="10"/>
      <c r="E1014" s="10"/>
      <c r="G1014" s="10"/>
      <c r="I1014" s="436" t="s">
        <v>3785</v>
      </c>
      <c r="J1014" s="26" t="s">
        <v>3784</v>
      </c>
      <c r="K1014" s="10">
        <v>6</v>
      </c>
      <c r="L1014" s="73">
        <f>IF(Tank1!$C$23="No control",(SUMIF(Tank1!$B$32:$B$49,$J1014,Tank1!$C$32:$C$49)*Impacts!$F$8),0)</f>
        <v>0</v>
      </c>
      <c r="M1014" s="10">
        <f>IF(Tank2!$C$23="No control",(SUMIF(Tank2!$B$32:$B$49,$J1014,Tank2!$C$32:$C$49)*Impacts!$F$9),0)</f>
        <v>0</v>
      </c>
      <c r="N1014" s="10">
        <f>IF(Tank3!$C$23="No control",(SUMIF(Tank3!$B$32:$B$49,$J1014,Tank3!$C$32:$C$49)*Impacts!$F$10),0)</f>
        <v>0</v>
      </c>
      <c r="O1014" s="10">
        <f>IF(Tank4!$C$23="No control",(SUMIF(Tank4!$B$32:$B$49,$J1014,Tank4!$C$32:$C$49)*Impacts!$F$11),0)</f>
        <v>0</v>
      </c>
      <c r="P1014" s="10">
        <f>IF(Tank5!$C$23="No control",(SUMIF(Tank5!$B$32:$B$49,$J1014,Tank5!$C$32:$C$49)*Impacts!$F$12),0)</f>
        <v>0</v>
      </c>
      <c r="Q1014" s="10">
        <f>IFERROR(IF(('Loading-drum,tote'!$C$21)="No control",SUMIF(('Loading-drum,tote'!$B$31:$B$48),$J1014,('Loading-drum,tote'!$D$31:$D$48))*Impacts!$F$13,IF(('Loading-drum,tote'!$C$21)&lt;&gt;"No control",SUMIF(('Loading-drum,tote'!$B$31:$B$48),$J1014,('Loading-drum,tote'!$E$31:$E$48))*Impacts!$F$13,0)),0)</f>
        <v>0</v>
      </c>
      <c r="R1014" s="10">
        <f>IFERROR(IF(('Loading-truck'!$C$21)="No control",SUMIF(('Loading-truck'!$B$31:$B$48),$J1014,('Loading-truck'!$D$31:$D$48))*Impacts!$F$14,IF(('Loading-truck'!$C$21)&lt;&gt;"No control",SUMIF(('Loading-truck'!$B$31:$B$48),$J1014,('Loading-truck'!$E$31:$E$48))*Impacts!$F$14,0)),0)</f>
        <v>0</v>
      </c>
      <c r="S1014" s="10">
        <f>IFERROR(IF(('Loading-rail'!$C$21)="No control",SUMIF(('Loading-rail'!$B$31:$B$48),$J1014,('Loading-rail'!$D$31:$D$48))*Impacts!$F$15,IF(('Loading-rail'!$C$21)&lt;&gt;"No control",SUMIF(('Loading-rail'!$B$31:$B$48),$J1014,('Loading-rail'!$E$31:$E$48))*Impacts!$F$15,0)),0)</f>
        <v>0</v>
      </c>
      <c r="T1014" s="10">
        <f>IF(Flare!$C$7="",0,(SUMIF(Flare!$B$46:$B$185,$J1014,Flare!$E$46:$E$185)*Impacts!$F$16))</f>
        <v>0</v>
      </c>
      <c r="U1014" s="10">
        <f>IF(VCU!$C$9="",0,(SUMIF(VCU!$B$51:$B$193,$J1014,VCU!$E$51:$E$193)*Impacts!$F$17))</f>
        <v>0</v>
      </c>
      <c r="V1014" s="10">
        <f>IF(CAS!$C$7="",0,(SUMIF(CAS!$B$31:$B$167,$J1014,CAS!$E$31:$E$167)*Impacts!$F$18))</f>
        <v>0</v>
      </c>
      <c r="W1014" s="10">
        <f t="shared" si="57"/>
        <v>0</v>
      </c>
      <c r="AK1014" s="10" t="str">
        <f t="array" ref="AK1014">IFERROR(INDEX(SelectedSpecies,SMALL(IF(SelectedSpecies=AK$1,ROW(SelectedSpecies)),ROW(1015:1015)),2),"")</f>
        <v/>
      </c>
      <c r="BE1014" s="10"/>
      <c r="BI1014" s="10"/>
    </row>
    <row r="1015" spans="1:61" ht="21" customHeight="1" x14ac:dyDescent="0.25">
      <c r="A1015" s="10"/>
      <c r="B1015" s="10"/>
      <c r="E1015" s="10"/>
      <c r="G1015" s="10"/>
      <c r="I1015" s="436" t="s">
        <v>7470</v>
      </c>
      <c r="J1015" s="26" t="s">
        <v>7469</v>
      </c>
      <c r="K1015" s="10">
        <v>0.2</v>
      </c>
      <c r="L1015" s="73">
        <f>IF(Tank1!$C$23="No control",(SUMIF(Tank1!$B$32:$B$49,$J1015,Tank1!$C$32:$C$49)*Impacts!$F$8),0)</f>
        <v>0</v>
      </c>
      <c r="M1015" s="10">
        <f>IF(Tank2!$C$23="No control",(SUMIF(Tank2!$B$32:$B$49,$J1015,Tank2!$C$32:$C$49)*Impacts!$F$9),0)</f>
        <v>0</v>
      </c>
      <c r="N1015" s="10">
        <f>IF(Tank3!$C$23="No control",(SUMIF(Tank3!$B$32:$B$49,$J1015,Tank3!$C$32:$C$49)*Impacts!$F$10),0)</f>
        <v>0</v>
      </c>
      <c r="O1015" s="10">
        <f>IF(Tank4!$C$23="No control",(SUMIF(Tank4!$B$32:$B$49,$J1015,Tank4!$C$32:$C$49)*Impacts!$F$11),0)</f>
        <v>0</v>
      </c>
      <c r="P1015" s="10">
        <f>IF(Tank5!$C$23="No control",(SUMIF(Tank5!$B$32:$B$49,$J1015,Tank5!$C$32:$C$49)*Impacts!$F$12),0)</f>
        <v>0</v>
      </c>
      <c r="Q1015" s="10">
        <f>IFERROR(IF(('Loading-drum,tote'!$C$21)="No control",SUMIF(('Loading-drum,tote'!$B$31:$B$48),$J1015,('Loading-drum,tote'!$D$31:$D$48))*Impacts!$F$13,IF(('Loading-drum,tote'!$C$21)&lt;&gt;"No control",SUMIF(('Loading-drum,tote'!$B$31:$B$48),$J1015,('Loading-drum,tote'!$E$31:$E$48))*Impacts!$F$13,0)),0)</f>
        <v>0</v>
      </c>
      <c r="R1015" s="10">
        <f>IFERROR(IF(('Loading-truck'!$C$21)="No control",SUMIF(('Loading-truck'!$B$31:$B$48),$J1015,('Loading-truck'!$D$31:$D$48))*Impacts!$F$14,IF(('Loading-truck'!$C$21)&lt;&gt;"No control",SUMIF(('Loading-truck'!$B$31:$B$48),$J1015,('Loading-truck'!$E$31:$E$48))*Impacts!$F$14,0)),0)</f>
        <v>0</v>
      </c>
      <c r="S1015" s="10">
        <f>IFERROR(IF(('Loading-rail'!$C$21)="No control",SUMIF(('Loading-rail'!$B$31:$B$48),$J1015,('Loading-rail'!$D$31:$D$48))*Impacts!$F$15,IF(('Loading-rail'!$C$21)&lt;&gt;"No control",SUMIF(('Loading-rail'!$B$31:$B$48),$J1015,('Loading-rail'!$E$31:$E$48))*Impacts!$F$15,0)),0)</f>
        <v>0</v>
      </c>
      <c r="T1015" s="10">
        <f>IF(Flare!$C$7="",0,(SUMIF(Flare!$B$46:$B$185,$J1015,Flare!$E$46:$E$185)*Impacts!$F$16))</f>
        <v>0</v>
      </c>
      <c r="U1015" s="10">
        <f>IF(VCU!$C$9="",0,(SUMIF(VCU!$B$51:$B$193,$J1015,VCU!$E$51:$E$193)*Impacts!$F$17))</f>
        <v>0</v>
      </c>
      <c r="V1015" s="10">
        <f>IF(CAS!$C$7="",0,(SUMIF(CAS!$B$31:$B$167,$J1015,CAS!$E$31:$E$167)*Impacts!$F$18))</f>
        <v>0</v>
      </c>
      <c r="W1015" s="10">
        <f t="shared" si="57"/>
        <v>0</v>
      </c>
      <c r="AK1015" s="10" t="str">
        <f t="array" ref="AK1015">IFERROR(INDEX(SelectedSpecies,SMALL(IF(SelectedSpecies=AK$1,ROW(SelectedSpecies)),ROW(1016:1016)),2),"")</f>
        <v/>
      </c>
      <c r="BE1015" s="10"/>
      <c r="BI1015" s="10"/>
    </row>
    <row r="1016" spans="1:61" ht="21" customHeight="1" x14ac:dyDescent="0.25">
      <c r="A1016" s="10"/>
      <c r="B1016" s="10"/>
      <c r="E1016" s="10"/>
      <c r="G1016" s="10"/>
      <c r="I1016" s="436" t="s">
        <v>2105</v>
      </c>
      <c r="J1016" s="26" t="s">
        <v>2104</v>
      </c>
      <c r="K1016" s="10">
        <v>15</v>
      </c>
      <c r="L1016" s="73">
        <f>IF(Tank1!$C$23="No control",(SUMIF(Tank1!$B$32:$B$49,$J1016,Tank1!$C$32:$C$49)*Impacts!$F$8),0)</f>
        <v>0</v>
      </c>
      <c r="M1016" s="10">
        <f>IF(Tank2!$C$23="No control",(SUMIF(Tank2!$B$32:$B$49,$J1016,Tank2!$C$32:$C$49)*Impacts!$F$9),0)</f>
        <v>0</v>
      </c>
      <c r="N1016" s="10">
        <f>IF(Tank3!$C$23="No control",(SUMIF(Tank3!$B$32:$B$49,$J1016,Tank3!$C$32:$C$49)*Impacts!$F$10),0)</f>
        <v>0</v>
      </c>
      <c r="O1016" s="10">
        <f>IF(Tank4!$C$23="No control",(SUMIF(Tank4!$B$32:$B$49,$J1016,Tank4!$C$32:$C$49)*Impacts!$F$11),0)</f>
        <v>0</v>
      </c>
      <c r="P1016" s="10">
        <f>IF(Tank5!$C$23="No control",(SUMIF(Tank5!$B$32:$B$49,$J1016,Tank5!$C$32:$C$49)*Impacts!$F$12),0)</f>
        <v>0</v>
      </c>
      <c r="Q1016" s="10">
        <f>IFERROR(IF(('Loading-drum,tote'!$C$21)="No control",SUMIF(('Loading-drum,tote'!$B$31:$B$48),$J1016,('Loading-drum,tote'!$D$31:$D$48))*Impacts!$F$13,IF(('Loading-drum,tote'!$C$21)&lt;&gt;"No control",SUMIF(('Loading-drum,tote'!$B$31:$B$48),$J1016,('Loading-drum,tote'!$E$31:$E$48))*Impacts!$F$13,0)),0)</f>
        <v>0</v>
      </c>
      <c r="R1016" s="10">
        <f>IFERROR(IF(('Loading-truck'!$C$21)="No control",SUMIF(('Loading-truck'!$B$31:$B$48),$J1016,('Loading-truck'!$D$31:$D$48))*Impacts!$F$14,IF(('Loading-truck'!$C$21)&lt;&gt;"No control",SUMIF(('Loading-truck'!$B$31:$B$48),$J1016,('Loading-truck'!$E$31:$E$48))*Impacts!$F$14,0)),0)</f>
        <v>0</v>
      </c>
      <c r="S1016" s="10">
        <f>IFERROR(IF(('Loading-rail'!$C$21)="No control",SUMIF(('Loading-rail'!$B$31:$B$48),$J1016,('Loading-rail'!$D$31:$D$48))*Impacts!$F$15,IF(('Loading-rail'!$C$21)&lt;&gt;"No control",SUMIF(('Loading-rail'!$B$31:$B$48),$J1016,('Loading-rail'!$E$31:$E$48))*Impacts!$F$15,0)),0)</f>
        <v>0</v>
      </c>
      <c r="T1016" s="10">
        <f>IF(Flare!$C$7="",0,(SUMIF(Flare!$B$46:$B$185,$J1016,Flare!$E$46:$E$185)*Impacts!$F$16))</f>
        <v>0</v>
      </c>
      <c r="U1016" s="10">
        <f>IF(VCU!$C$9="",0,(SUMIF(VCU!$B$51:$B$193,$J1016,VCU!$E$51:$E$193)*Impacts!$F$17))</f>
        <v>0</v>
      </c>
      <c r="V1016" s="10">
        <f>IF(CAS!$C$7="",0,(SUMIF(CAS!$B$31:$B$167,$J1016,CAS!$E$31:$E$167)*Impacts!$F$18))</f>
        <v>0</v>
      </c>
      <c r="W1016" s="10">
        <f t="shared" si="57"/>
        <v>0</v>
      </c>
      <c r="AK1016" s="10" t="str">
        <f t="array" ref="AK1016">IFERROR(INDEX(SelectedSpecies,SMALL(IF(SelectedSpecies=AK$1,ROW(SelectedSpecies)),ROW(1017:1017)),2),"")</f>
        <v/>
      </c>
      <c r="BE1016" s="10"/>
      <c r="BI1016" s="10"/>
    </row>
    <row r="1017" spans="1:61" ht="21" customHeight="1" x14ac:dyDescent="0.25">
      <c r="A1017" s="10"/>
      <c r="B1017" s="10"/>
      <c r="E1017" s="10"/>
      <c r="G1017" s="10"/>
      <c r="I1017" s="436" t="s">
        <v>2107</v>
      </c>
      <c r="J1017" s="26" t="s">
        <v>2106</v>
      </c>
      <c r="K1017" s="10">
        <v>15</v>
      </c>
      <c r="L1017" s="73">
        <f>IF(Tank1!$C$23="No control",(SUMIF(Tank1!$B$32:$B$49,$J1017,Tank1!$C$32:$C$49)*Impacts!$F$8),0)</f>
        <v>0</v>
      </c>
      <c r="M1017" s="10">
        <f>IF(Tank2!$C$23="No control",(SUMIF(Tank2!$B$32:$B$49,$J1017,Tank2!$C$32:$C$49)*Impacts!$F$9),0)</f>
        <v>0</v>
      </c>
      <c r="N1017" s="10">
        <f>IF(Tank3!$C$23="No control",(SUMIF(Tank3!$B$32:$B$49,$J1017,Tank3!$C$32:$C$49)*Impacts!$F$10),0)</f>
        <v>0</v>
      </c>
      <c r="O1017" s="10">
        <f>IF(Tank4!$C$23="No control",(SUMIF(Tank4!$B$32:$B$49,$J1017,Tank4!$C$32:$C$49)*Impacts!$F$11),0)</f>
        <v>0</v>
      </c>
      <c r="P1017" s="10">
        <f>IF(Tank5!$C$23="No control",(SUMIF(Tank5!$B$32:$B$49,$J1017,Tank5!$C$32:$C$49)*Impacts!$F$12),0)</f>
        <v>0</v>
      </c>
      <c r="Q1017" s="10">
        <f>IFERROR(IF(('Loading-drum,tote'!$C$21)="No control",SUMIF(('Loading-drum,tote'!$B$31:$B$48),$J1017,('Loading-drum,tote'!$D$31:$D$48))*Impacts!$F$13,IF(('Loading-drum,tote'!$C$21)&lt;&gt;"No control",SUMIF(('Loading-drum,tote'!$B$31:$B$48),$J1017,('Loading-drum,tote'!$E$31:$E$48))*Impacts!$F$13,0)),0)</f>
        <v>0</v>
      </c>
      <c r="R1017" s="10">
        <f>IFERROR(IF(('Loading-truck'!$C$21)="No control",SUMIF(('Loading-truck'!$B$31:$B$48),$J1017,('Loading-truck'!$D$31:$D$48))*Impacts!$F$14,IF(('Loading-truck'!$C$21)&lt;&gt;"No control",SUMIF(('Loading-truck'!$B$31:$B$48),$J1017,('Loading-truck'!$E$31:$E$48))*Impacts!$F$14,0)),0)</f>
        <v>0</v>
      </c>
      <c r="S1017" s="10">
        <f>IFERROR(IF(('Loading-rail'!$C$21)="No control",SUMIF(('Loading-rail'!$B$31:$B$48),$J1017,('Loading-rail'!$D$31:$D$48))*Impacts!$F$15,IF(('Loading-rail'!$C$21)&lt;&gt;"No control",SUMIF(('Loading-rail'!$B$31:$B$48),$J1017,('Loading-rail'!$E$31:$E$48))*Impacts!$F$15,0)),0)</f>
        <v>0</v>
      </c>
      <c r="T1017" s="10">
        <f>IF(Flare!$C$7="",0,(SUMIF(Flare!$B$46:$B$185,$J1017,Flare!$E$46:$E$185)*Impacts!$F$16))</f>
        <v>0</v>
      </c>
      <c r="U1017" s="10">
        <f>IF(VCU!$C$9="",0,(SUMIF(VCU!$B$51:$B$193,$J1017,VCU!$E$51:$E$193)*Impacts!$F$17))</f>
        <v>0</v>
      </c>
      <c r="V1017" s="10">
        <f>IF(CAS!$C$7="",0,(SUMIF(CAS!$B$31:$B$167,$J1017,CAS!$E$31:$E$167)*Impacts!$F$18))</f>
        <v>0</v>
      </c>
      <c r="W1017" s="10">
        <f t="shared" si="57"/>
        <v>0</v>
      </c>
      <c r="AK1017" s="10" t="str">
        <f t="array" ref="AK1017">IFERROR(INDEX(SelectedSpecies,SMALL(IF(SelectedSpecies=AK$1,ROW(SelectedSpecies)),ROW(1018:1018)),2),"")</f>
        <v/>
      </c>
      <c r="BE1017" s="10"/>
      <c r="BI1017" s="10"/>
    </row>
    <row r="1018" spans="1:61" ht="21" customHeight="1" x14ac:dyDescent="0.25">
      <c r="A1018" s="10"/>
      <c r="B1018" s="10"/>
      <c r="E1018" s="10"/>
      <c r="G1018" s="10"/>
      <c r="I1018" s="436" t="s">
        <v>4959</v>
      </c>
      <c r="J1018" s="26" t="s">
        <v>4958</v>
      </c>
      <c r="K1018" s="10">
        <v>2.5</v>
      </c>
      <c r="L1018" s="73">
        <f>IF(Tank1!$C$23="No control",(SUMIF(Tank1!$B$32:$B$49,$J1018,Tank1!$C$32:$C$49)*Impacts!$F$8),0)</f>
        <v>0</v>
      </c>
      <c r="M1018" s="10">
        <f>IF(Tank2!$C$23="No control",(SUMIF(Tank2!$B$32:$B$49,$J1018,Tank2!$C$32:$C$49)*Impacts!$F$9),0)</f>
        <v>0</v>
      </c>
      <c r="N1018" s="10">
        <f>IF(Tank3!$C$23="No control",(SUMIF(Tank3!$B$32:$B$49,$J1018,Tank3!$C$32:$C$49)*Impacts!$F$10),0)</f>
        <v>0</v>
      </c>
      <c r="O1018" s="10">
        <f>IF(Tank4!$C$23="No control",(SUMIF(Tank4!$B$32:$B$49,$J1018,Tank4!$C$32:$C$49)*Impacts!$F$11),0)</f>
        <v>0</v>
      </c>
      <c r="P1018" s="10">
        <f>IF(Tank5!$C$23="No control",(SUMIF(Tank5!$B$32:$B$49,$J1018,Tank5!$C$32:$C$49)*Impacts!$F$12),0)</f>
        <v>0</v>
      </c>
      <c r="Q1018" s="10">
        <f>IFERROR(IF(('Loading-drum,tote'!$C$21)="No control",SUMIF(('Loading-drum,tote'!$B$31:$B$48),$J1018,('Loading-drum,tote'!$D$31:$D$48))*Impacts!$F$13,IF(('Loading-drum,tote'!$C$21)&lt;&gt;"No control",SUMIF(('Loading-drum,tote'!$B$31:$B$48),$J1018,('Loading-drum,tote'!$E$31:$E$48))*Impacts!$F$13,0)),0)</f>
        <v>0</v>
      </c>
      <c r="R1018" s="10">
        <f>IFERROR(IF(('Loading-truck'!$C$21)="No control",SUMIF(('Loading-truck'!$B$31:$B$48),$J1018,('Loading-truck'!$D$31:$D$48))*Impacts!$F$14,IF(('Loading-truck'!$C$21)&lt;&gt;"No control",SUMIF(('Loading-truck'!$B$31:$B$48),$J1018,('Loading-truck'!$E$31:$E$48))*Impacts!$F$14,0)),0)</f>
        <v>0</v>
      </c>
      <c r="S1018" s="10">
        <f>IFERROR(IF(('Loading-rail'!$C$21)="No control",SUMIF(('Loading-rail'!$B$31:$B$48),$J1018,('Loading-rail'!$D$31:$D$48))*Impacts!$F$15,IF(('Loading-rail'!$C$21)&lt;&gt;"No control",SUMIF(('Loading-rail'!$B$31:$B$48),$J1018,('Loading-rail'!$E$31:$E$48))*Impacts!$F$15,0)),0)</f>
        <v>0</v>
      </c>
      <c r="T1018" s="10">
        <f>IF(Flare!$C$7="",0,(SUMIF(Flare!$B$46:$B$185,$J1018,Flare!$E$46:$E$185)*Impacts!$F$16))</f>
        <v>0</v>
      </c>
      <c r="U1018" s="10">
        <f>IF(VCU!$C$9="",0,(SUMIF(VCU!$B$51:$B$193,$J1018,VCU!$E$51:$E$193)*Impacts!$F$17))</f>
        <v>0</v>
      </c>
      <c r="V1018" s="10">
        <f>IF(CAS!$C$7="",0,(SUMIF(CAS!$B$31:$B$167,$J1018,CAS!$E$31:$E$167)*Impacts!$F$18))</f>
        <v>0</v>
      </c>
      <c r="W1018" s="10">
        <f t="shared" si="57"/>
        <v>0</v>
      </c>
      <c r="AK1018" s="10" t="str">
        <f t="array" ref="AK1018">IFERROR(INDEX(SelectedSpecies,SMALL(IF(SelectedSpecies=AK$1,ROW(SelectedSpecies)),ROW(1019:1019)),2),"")</f>
        <v/>
      </c>
      <c r="BE1018" s="10"/>
      <c r="BI1018" s="10"/>
    </row>
    <row r="1019" spans="1:61" ht="21" customHeight="1" x14ac:dyDescent="0.25">
      <c r="A1019" s="10"/>
      <c r="B1019" s="10"/>
      <c r="E1019" s="10"/>
      <c r="G1019" s="10"/>
      <c r="I1019" s="436" t="s">
        <v>3787</v>
      </c>
      <c r="J1019" s="26" t="s">
        <v>3786</v>
      </c>
      <c r="K1019" s="10">
        <v>6</v>
      </c>
      <c r="L1019" s="73">
        <f>IF(Tank1!$C$23="No control",(SUMIF(Tank1!$B$32:$B$49,$J1019,Tank1!$C$32:$C$49)*Impacts!$F$8),0)</f>
        <v>0</v>
      </c>
      <c r="M1019" s="10">
        <f>IF(Tank2!$C$23="No control",(SUMIF(Tank2!$B$32:$B$49,$J1019,Tank2!$C$32:$C$49)*Impacts!$F$9),0)</f>
        <v>0</v>
      </c>
      <c r="N1019" s="10">
        <f>IF(Tank3!$C$23="No control",(SUMIF(Tank3!$B$32:$B$49,$J1019,Tank3!$C$32:$C$49)*Impacts!$F$10),0)</f>
        <v>0</v>
      </c>
      <c r="O1019" s="10">
        <f>IF(Tank4!$C$23="No control",(SUMIF(Tank4!$B$32:$B$49,$J1019,Tank4!$C$32:$C$49)*Impacts!$F$11),0)</f>
        <v>0</v>
      </c>
      <c r="P1019" s="10">
        <f>IF(Tank5!$C$23="No control",(SUMIF(Tank5!$B$32:$B$49,$J1019,Tank5!$C$32:$C$49)*Impacts!$F$12),0)</f>
        <v>0</v>
      </c>
      <c r="Q1019" s="10">
        <f>IFERROR(IF(('Loading-drum,tote'!$C$21)="No control",SUMIF(('Loading-drum,tote'!$B$31:$B$48),$J1019,('Loading-drum,tote'!$D$31:$D$48))*Impacts!$F$13,IF(('Loading-drum,tote'!$C$21)&lt;&gt;"No control",SUMIF(('Loading-drum,tote'!$B$31:$B$48),$J1019,('Loading-drum,tote'!$E$31:$E$48))*Impacts!$F$13,0)),0)</f>
        <v>0</v>
      </c>
      <c r="R1019" s="10">
        <f>IFERROR(IF(('Loading-truck'!$C$21)="No control",SUMIF(('Loading-truck'!$B$31:$B$48),$J1019,('Loading-truck'!$D$31:$D$48))*Impacts!$F$14,IF(('Loading-truck'!$C$21)&lt;&gt;"No control",SUMIF(('Loading-truck'!$B$31:$B$48),$J1019,('Loading-truck'!$E$31:$E$48))*Impacts!$F$14,0)),0)</f>
        <v>0</v>
      </c>
      <c r="S1019" s="10">
        <f>IFERROR(IF(('Loading-rail'!$C$21)="No control",SUMIF(('Loading-rail'!$B$31:$B$48),$J1019,('Loading-rail'!$D$31:$D$48))*Impacts!$F$15,IF(('Loading-rail'!$C$21)&lt;&gt;"No control",SUMIF(('Loading-rail'!$B$31:$B$48),$J1019,('Loading-rail'!$E$31:$E$48))*Impacts!$F$15,0)),0)</f>
        <v>0</v>
      </c>
      <c r="T1019" s="10">
        <f>IF(Flare!$C$7="",0,(SUMIF(Flare!$B$46:$B$185,$J1019,Flare!$E$46:$E$185)*Impacts!$F$16))</f>
        <v>0</v>
      </c>
      <c r="U1019" s="10">
        <f>IF(VCU!$C$9="",0,(SUMIF(VCU!$B$51:$B$193,$J1019,VCU!$E$51:$E$193)*Impacts!$F$17))</f>
        <v>0</v>
      </c>
      <c r="V1019" s="10">
        <f>IF(CAS!$C$7="",0,(SUMIF(CAS!$B$31:$B$167,$J1019,CAS!$E$31:$E$167)*Impacts!$F$18))</f>
        <v>0</v>
      </c>
      <c r="W1019" s="10">
        <f t="shared" si="57"/>
        <v>0</v>
      </c>
      <c r="AK1019" s="10" t="str">
        <f t="array" ref="AK1019">IFERROR(INDEX(SelectedSpecies,SMALL(IF(SelectedSpecies=AK$1,ROW(SelectedSpecies)),ROW(1020:1020)),2),"")</f>
        <v/>
      </c>
      <c r="BE1019" s="10"/>
      <c r="BI1019" s="10"/>
    </row>
    <row r="1020" spans="1:61" ht="21" customHeight="1" x14ac:dyDescent="0.25">
      <c r="A1020" s="10"/>
      <c r="B1020" s="10"/>
      <c r="E1020" s="10"/>
      <c r="G1020" s="10"/>
      <c r="I1020" s="436" t="s">
        <v>2741</v>
      </c>
      <c r="J1020" s="26" t="s">
        <v>2740</v>
      </c>
      <c r="K1020" s="10">
        <v>10</v>
      </c>
      <c r="L1020" s="73">
        <f>IF(Tank1!$C$23="No control",(SUMIF(Tank1!$B$32:$B$49,$J1020,Tank1!$C$32:$C$49)*Impacts!$F$8),0)</f>
        <v>0</v>
      </c>
      <c r="M1020" s="10">
        <f>IF(Tank2!$C$23="No control",(SUMIF(Tank2!$B$32:$B$49,$J1020,Tank2!$C$32:$C$49)*Impacts!$F$9),0)</f>
        <v>0</v>
      </c>
      <c r="N1020" s="10">
        <f>IF(Tank3!$C$23="No control",(SUMIF(Tank3!$B$32:$B$49,$J1020,Tank3!$C$32:$C$49)*Impacts!$F$10),0)</f>
        <v>0</v>
      </c>
      <c r="O1020" s="10">
        <f>IF(Tank4!$C$23="No control",(SUMIF(Tank4!$B$32:$B$49,$J1020,Tank4!$C$32:$C$49)*Impacts!$F$11),0)</f>
        <v>0</v>
      </c>
      <c r="P1020" s="10">
        <f>IF(Tank5!$C$23="No control",(SUMIF(Tank5!$B$32:$B$49,$J1020,Tank5!$C$32:$C$49)*Impacts!$F$12),0)</f>
        <v>0</v>
      </c>
      <c r="Q1020" s="10">
        <f>IFERROR(IF(('Loading-drum,tote'!$C$21)="No control",SUMIF(('Loading-drum,tote'!$B$31:$B$48),$J1020,('Loading-drum,tote'!$D$31:$D$48))*Impacts!$F$13,IF(('Loading-drum,tote'!$C$21)&lt;&gt;"No control",SUMIF(('Loading-drum,tote'!$B$31:$B$48),$J1020,('Loading-drum,tote'!$E$31:$E$48))*Impacts!$F$13,0)),0)</f>
        <v>0</v>
      </c>
      <c r="R1020" s="10">
        <f>IFERROR(IF(('Loading-truck'!$C$21)="No control",SUMIF(('Loading-truck'!$B$31:$B$48),$J1020,('Loading-truck'!$D$31:$D$48))*Impacts!$F$14,IF(('Loading-truck'!$C$21)&lt;&gt;"No control",SUMIF(('Loading-truck'!$B$31:$B$48),$J1020,('Loading-truck'!$E$31:$E$48))*Impacts!$F$14,0)),0)</f>
        <v>0</v>
      </c>
      <c r="S1020" s="10">
        <f>IFERROR(IF(('Loading-rail'!$C$21)="No control",SUMIF(('Loading-rail'!$B$31:$B$48),$J1020,('Loading-rail'!$D$31:$D$48))*Impacts!$F$15,IF(('Loading-rail'!$C$21)&lt;&gt;"No control",SUMIF(('Loading-rail'!$B$31:$B$48),$J1020,('Loading-rail'!$E$31:$E$48))*Impacts!$F$15,0)),0)</f>
        <v>0</v>
      </c>
      <c r="T1020" s="10">
        <f>IF(Flare!$C$7="",0,(SUMIF(Flare!$B$46:$B$185,$J1020,Flare!$E$46:$E$185)*Impacts!$F$16))</f>
        <v>0</v>
      </c>
      <c r="U1020" s="10">
        <f>IF(VCU!$C$9="",0,(SUMIF(VCU!$B$51:$B$193,$J1020,VCU!$E$51:$E$193)*Impacts!$F$17))</f>
        <v>0</v>
      </c>
      <c r="V1020" s="10">
        <f>IF(CAS!$C$7="",0,(SUMIF(CAS!$B$31:$B$167,$J1020,CAS!$E$31:$E$167)*Impacts!$F$18))</f>
        <v>0</v>
      </c>
      <c r="W1020" s="10">
        <f t="shared" si="57"/>
        <v>0</v>
      </c>
      <c r="AK1020" s="10" t="str">
        <f t="array" ref="AK1020">IFERROR(INDEX(SelectedSpecies,SMALL(IF(SelectedSpecies=AK$1,ROW(SelectedSpecies)),ROW(1021:1021)),2),"")</f>
        <v/>
      </c>
      <c r="BE1020" s="10"/>
      <c r="BI1020" s="10"/>
    </row>
    <row r="1021" spans="1:61" ht="21" customHeight="1" x14ac:dyDescent="0.25">
      <c r="A1021" s="10"/>
      <c r="B1021" s="10"/>
      <c r="E1021" s="10"/>
      <c r="G1021" s="10"/>
      <c r="I1021" s="436" t="s">
        <v>4487</v>
      </c>
      <c r="J1021" s="26" t="s">
        <v>4486</v>
      </c>
      <c r="K1021" s="10">
        <v>4.2</v>
      </c>
      <c r="L1021" s="73">
        <f>IF(Tank1!$C$23="No control",(SUMIF(Tank1!$B$32:$B$49,$J1021,Tank1!$C$32:$C$49)*Impacts!$F$8),0)</f>
        <v>0</v>
      </c>
      <c r="M1021" s="10">
        <f>IF(Tank2!$C$23="No control",(SUMIF(Tank2!$B$32:$B$49,$J1021,Tank2!$C$32:$C$49)*Impacts!$F$9),0)</f>
        <v>0</v>
      </c>
      <c r="N1021" s="10">
        <f>IF(Tank3!$C$23="No control",(SUMIF(Tank3!$B$32:$B$49,$J1021,Tank3!$C$32:$C$49)*Impacts!$F$10),0)</f>
        <v>0</v>
      </c>
      <c r="O1021" s="10">
        <f>IF(Tank4!$C$23="No control",(SUMIF(Tank4!$B$32:$B$49,$J1021,Tank4!$C$32:$C$49)*Impacts!$F$11),0)</f>
        <v>0</v>
      </c>
      <c r="P1021" s="10">
        <f>IF(Tank5!$C$23="No control",(SUMIF(Tank5!$B$32:$B$49,$J1021,Tank5!$C$32:$C$49)*Impacts!$F$12),0)</f>
        <v>0</v>
      </c>
      <c r="Q1021" s="10">
        <f>IFERROR(IF(('Loading-drum,tote'!$C$21)="No control",SUMIF(('Loading-drum,tote'!$B$31:$B$48),$J1021,('Loading-drum,tote'!$D$31:$D$48))*Impacts!$F$13,IF(('Loading-drum,tote'!$C$21)&lt;&gt;"No control",SUMIF(('Loading-drum,tote'!$B$31:$B$48),$J1021,('Loading-drum,tote'!$E$31:$E$48))*Impacts!$F$13,0)),0)</f>
        <v>0</v>
      </c>
      <c r="R1021" s="10">
        <f>IFERROR(IF(('Loading-truck'!$C$21)="No control",SUMIF(('Loading-truck'!$B$31:$B$48),$J1021,('Loading-truck'!$D$31:$D$48))*Impacts!$F$14,IF(('Loading-truck'!$C$21)&lt;&gt;"No control",SUMIF(('Loading-truck'!$B$31:$B$48),$J1021,('Loading-truck'!$E$31:$E$48))*Impacts!$F$14,0)),0)</f>
        <v>0</v>
      </c>
      <c r="S1021" s="10">
        <f>IFERROR(IF(('Loading-rail'!$C$21)="No control",SUMIF(('Loading-rail'!$B$31:$B$48),$J1021,('Loading-rail'!$D$31:$D$48))*Impacts!$F$15,IF(('Loading-rail'!$C$21)&lt;&gt;"No control",SUMIF(('Loading-rail'!$B$31:$B$48),$J1021,('Loading-rail'!$E$31:$E$48))*Impacts!$F$15,0)),0)</f>
        <v>0</v>
      </c>
      <c r="T1021" s="10">
        <f>IF(Flare!$C$7="",0,(SUMIF(Flare!$B$46:$B$185,$J1021,Flare!$E$46:$E$185)*Impacts!$F$16))</f>
        <v>0</v>
      </c>
      <c r="U1021" s="10">
        <f>IF(VCU!$C$9="",0,(SUMIF(VCU!$B$51:$B$193,$J1021,VCU!$E$51:$E$193)*Impacts!$F$17))</f>
        <v>0</v>
      </c>
      <c r="V1021" s="10">
        <f>IF(CAS!$C$7="",0,(SUMIF(CAS!$B$31:$B$167,$J1021,CAS!$E$31:$E$167)*Impacts!$F$18))</f>
        <v>0</v>
      </c>
      <c r="W1021" s="10">
        <f t="shared" si="57"/>
        <v>0</v>
      </c>
      <c r="AK1021" s="10" t="str">
        <f t="array" ref="AK1021">IFERROR(INDEX(SelectedSpecies,SMALL(IF(SelectedSpecies=AK$1,ROW(SelectedSpecies)),ROW(1022:1022)),2),"")</f>
        <v/>
      </c>
      <c r="BE1021" s="10"/>
      <c r="BI1021" s="10"/>
    </row>
    <row r="1022" spans="1:61" ht="21" customHeight="1" x14ac:dyDescent="0.25">
      <c r="A1022" s="10"/>
      <c r="B1022" s="10"/>
      <c r="E1022" s="10"/>
      <c r="G1022" s="10"/>
      <c r="I1022" s="436" t="s">
        <v>361</v>
      </c>
      <c r="J1022" s="26" t="s">
        <v>360</v>
      </c>
      <c r="K1022" s="10">
        <v>370</v>
      </c>
      <c r="L1022" s="73">
        <f>IF(Tank1!$C$23="No control",(SUMIF(Tank1!$B$32:$B$49,$J1022,Tank1!$C$32:$C$49)*Impacts!$F$8),0)</f>
        <v>0</v>
      </c>
      <c r="M1022" s="10">
        <f>IF(Tank2!$C$23="No control",(SUMIF(Tank2!$B$32:$B$49,$J1022,Tank2!$C$32:$C$49)*Impacts!$F$9),0)</f>
        <v>0</v>
      </c>
      <c r="N1022" s="10">
        <f>IF(Tank3!$C$23="No control",(SUMIF(Tank3!$B$32:$B$49,$J1022,Tank3!$C$32:$C$49)*Impacts!$F$10),0)</f>
        <v>0</v>
      </c>
      <c r="O1022" s="10">
        <f>IF(Tank4!$C$23="No control",(SUMIF(Tank4!$B$32:$B$49,$J1022,Tank4!$C$32:$C$49)*Impacts!$F$11),0)</f>
        <v>0</v>
      </c>
      <c r="P1022" s="10">
        <f>IF(Tank5!$C$23="No control",(SUMIF(Tank5!$B$32:$B$49,$J1022,Tank5!$C$32:$C$49)*Impacts!$F$12),0)</f>
        <v>0</v>
      </c>
      <c r="Q1022" s="10">
        <f>IFERROR(IF(('Loading-drum,tote'!$C$21)="No control",SUMIF(('Loading-drum,tote'!$B$31:$B$48),$J1022,('Loading-drum,tote'!$D$31:$D$48))*Impacts!$F$13,IF(('Loading-drum,tote'!$C$21)&lt;&gt;"No control",SUMIF(('Loading-drum,tote'!$B$31:$B$48),$J1022,('Loading-drum,tote'!$E$31:$E$48))*Impacts!$F$13,0)),0)</f>
        <v>0</v>
      </c>
      <c r="R1022" s="10">
        <f>IFERROR(IF(('Loading-truck'!$C$21)="No control",SUMIF(('Loading-truck'!$B$31:$B$48),$J1022,('Loading-truck'!$D$31:$D$48))*Impacts!$F$14,IF(('Loading-truck'!$C$21)&lt;&gt;"No control",SUMIF(('Loading-truck'!$B$31:$B$48),$J1022,('Loading-truck'!$E$31:$E$48))*Impacts!$F$14,0)),0)</f>
        <v>0</v>
      </c>
      <c r="S1022" s="10">
        <f>IFERROR(IF(('Loading-rail'!$C$21)="No control",SUMIF(('Loading-rail'!$B$31:$B$48),$J1022,('Loading-rail'!$D$31:$D$48))*Impacts!$F$15,IF(('Loading-rail'!$C$21)&lt;&gt;"No control",SUMIF(('Loading-rail'!$B$31:$B$48),$J1022,('Loading-rail'!$E$31:$E$48))*Impacts!$F$15,0)),0)</f>
        <v>0</v>
      </c>
      <c r="T1022" s="10">
        <f>IF(Flare!$C$7="",0,(SUMIF(Flare!$B$46:$B$185,$J1022,Flare!$E$46:$E$185)*Impacts!$F$16))</f>
        <v>0</v>
      </c>
      <c r="U1022" s="10">
        <f>IF(VCU!$C$9="",0,(SUMIF(VCU!$B$51:$B$193,$J1022,VCU!$E$51:$E$193)*Impacts!$F$17))</f>
        <v>0</v>
      </c>
      <c r="V1022" s="10">
        <f>IF(CAS!$C$7="",0,(SUMIF(CAS!$B$31:$B$167,$J1022,CAS!$E$31:$E$167)*Impacts!$F$18))</f>
        <v>0</v>
      </c>
      <c r="W1022" s="10">
        <f t="shared" si="57"/>
        <v>0</v>
      </c>
      <c r="AK1022" s="10" t="str">
        <f t="array" ref="AK1022">IFERROR(INDEX(SelectedSpecies,SMALL(IF(SelectedSpecies=AK$1,ROW(SelectedSpecies)),ROW(1023:1023)),2),"")</f>
        <v/>
      </c>
      <c r="BE1022" s="10"/>
      <c r="BI1022" s="10"/>
    </row>
    <row r="1023" spans="1:61" ht="21" customHeight="1" x14ac:dyDescent="0.25">
      <c r="A1023" s="10"/>
      <c r="B1023" s="10"/>
      <c r="E1023" s="10"/>
      <c r="G1023" s="10"/>
      <c r="I1023" s="436" t="s">
        <v>363</v>
      </c>
      <c r="J1023" s="26" t="s">
        <v>362</v>
      </c>
      <c r="K1023" s="10">
        <v>370</v>
      </c>
      <c r="L1023" s="73">
        <f>IF(Tank1!$C$23="No control",(SUMIF(Tank1!$B$32:$B$49,$J1023,Tank1!$C$32:$C$49)*Impacts!$F$8),0)</f>
        <v>0</v>
      </c>
      <c r="M1023" s="10">
        <f>IF(Tank2!$C$23="No control",(SUMIF(Tank2!$B$32:$B$49,$J1023,Tank2!$C$32:$C$49)*Impacts!$F$9),0)</f>
        <v>0</v>
      </c>
      <c r="N1023" s="10">
        <f>IF(Tank3!$C$23="No control",(SUMIF(Tank3!$B$32:$B$49,$J1023,Tank3!$C$32:$C$49)*Impacts!$F$10),0)</f>
        <v>0</v>
      </c>
      <c r="O1023" s="10">
        <f>IF(Tank4!$C$23="No control",(SUMIF(Tank4!$B$32:$B$49,$J1023,Tank4!$C$32:$C$49)*Impacts!$F$11),0)</f>
        <v>0</v>
      </c>
      <c r="P1023" s="10">
        <f>IF(Tank5!$C$23="No control",(SUMIF(Tank5!$B$32:$B$49,$J1023,Tank5!$C$32:$C$49)*Impacts!$F$12),0)</f>
        <v>0</v>
      </c>
      <c r="Q1023" s="10">
        <f>IFERROR(IF(('Loading-drum,tote'!$C$21)="No control",SUMIF(('Loading-drum,tote'!$B$31:$B$48),$J1023,('Loading-drum,tote'!$D$31:$D$48))*Impacts!$F$13,IF(('Loading-drum,tote'!$C$21)&lt;&gt;"No control",SUMIF(('Loading-drum,tote'!$B$31:$B$48),$J1023,('Loading-drum,tote'!$E$31:$E$48))*Impacts!$F$13,0)),0)</f>
        <v>0</v>
      </c>
      <c r="R1023" s="10">
        <f>IFERROR(IF(('Loading-truck'!$C$21)="No control",SUMIF(('Loading-truck'!$B$31:$B$48),$J1023,('Loading-truck'!$D$31:$D$48))*Impacts!$F$14,IF(('Loading-truck'!$C$21)&lt;&gt;"No control",SUMIF(('Loading-truck'!$B$31:$B$48),$J1023,('Loading-truck'!$E$31:$E$48))*Impacts!$F$14,0)),0)</f>
        <v>0</v>
      </c>
      <c r="S1023" s="10">
        <f>IFERROR(IF(('Loading-rail'!$C$21)="No control",SUMIF(('Loading-rail'!$B$31:$B$48),$J1023,('Loading-rail'!$D$31:$D$48))*Impacts!$F$15,IF(('Loading-rail'!$C$21)&lt;&gt;"No control",SUMIF(('Loading-rail'!$B$31:$B$48),$J1023,('Loading-rail'!$E$31:$E$48))*Impacts!$F$15,0)),0)</f>
        <v>0</v>
      </c>
      <c r="T1023" s="10">
        <f>IF(Flare!$C$7="",0,(SUMIF(Flare!$B$46:$B$185,$J1023,Flare!$E$46:$E$185)*Impacts!$F$16))</f>
        <v>0</v>
      </c>
      <c r="U1023" s="10">
        <f>IF(VCU!$C$9="",0,(SUMIF(VCU!$B$51:$B$193,$J1023,VCU!$E$51:$E$193)*Impacts!$F$17))</f>
        <v>0</v>
      </c>
      <c r="V1023" s="10">
        <f>IF(CAS!$C$7="",0,(SUMIF(CAS!$B$31:$B$167,$J1023,CAS!$E$31:$E$167)*Impacts!$F$18))</f>
        <v>0</v>
      </c>
      <c r="W1023" s="10">
        <f t="shared" si="57"/>
        <v>0</v>
      </c>
      <c r="AK1023" s="10" t="str">
        <f t="array" ref="AK1023">IFERROR(INDEX(SelectedSpecies,SMALL(IF(SelectedSpecies=AK$1,ROW(SelectedSpecies)),ROW(1024:1024)),2),"")</f>
        <v/>
      </c>
      <c r="BE1023" s="10"/>
      <c r="BI1023" s="10"/>
    </row>
    <row r="1024" spans="1:61" ht="21" customHeight="1" x14ac:dyDescent="0.25">
      <c r="A1024" s="10"/>
      <c r="B1024" s="10"/>
      <c r="E1024" s="10"/>
      <c r="G1024" s="10"/>
      <c r="I1024" s="436" t="s">
        <v>4179</v>
      </c>
      <c r="J1024" s="26" t="s">
        <v>4178</v>
      </c>
      <c r="K1024" s="10">
        <v>5</v>
      </c>
      <c r="L1024" s="73">
        <f>IF(Tank1!$C$23="No control",(SUMIF(Tank1!$B$32:$B$49,$J1024,Tank1!$C$32:$C$49)*Impacts!$F$8),0)</f>
        <v>0</v>
      </c>
      <c r="M1024" s="10">
        <f>IF(Tank2!$C$23="No control",(SUMIF(Tank2!$B$32:$B$49,$J1024,Tank2!$C$32:$C$49)*Impacts!$F$9),0)</f>
        <v>0</v>
      </c>
      <c r="N1024" s="10">
        <f>IF(Tank3!$C$23="No control",(SUMIF(Tank3!$B$32:$B$49,$J1024,Tank3!$C$32:$C$49)*Impacts!$F$10),0)</f>
        <v>0</v>
      </c>
      <c r="O1024" s="10">
        <f>IF(Tank4!$C$23="No control",(SUMIF(Tank4!$B$32:$B$49,$J1024,Tank4!$C$32:$C$49)*Impacts!$F$11),0)</f>
        <v>0</v>
      </c>
      <c r="P1024" s="10">
        <f>IF(Tank5!$C$23="No control",(SUMIF(Tank5!$B$32:$B$49,$J1024,Tank5!$C$32:$C$49)*Impacts!$F$12),0)</f>
        <v>0</v>
      </c>
      <c r="Q1024" s="10">
        <f>IFERROR(IF(('Loading-drum,tote'!$C$21)="No control",SUMIF(('Loading-drum,tote'!$B$31:$B$48),$J1024,('Loading-drum,tote'!$D$31:$D$48))*Impacts!$F$13,IF(('Loading-drum,tote'!$C$21)&lt;&gt;"No control",SUMIF(('Loading-drum,tote'!$B$31:$B$48),$J1024,('Loading-drum,tote'!$E$31:$E$48))*Impacts!$F$13,0)),0)</f>
        <v>0</v>
      </c>
      <c r="R1024" s="10">
        <f>IFERROR(IF(('Loading-truck'!$C$21)="No control",SUMIF(('Loading-truck'!$B$31:$B$48),$J1024,('Loading-truck'!$D$31:$D$48))*Impacts!$F$14,IF(('Loading-truck'!$C$21)&lt;&gt;"No control",SUMIF(('Loading-truck'!$B$31:$B$48),$J1024,('Loading-truck'!$E$31:$E$48))*Impacts!$F$14,0)),0)</f>
        <v>0</v>
      </c>
      <c r="S1024" s="10">
        <f>IFERROR(IF(('Loading-rail'!$C$21)="No control",SUMIF(('Loading-rail'!$B$31:$B$48),$J1024,('Loading-rail'!$D$31:$D$48))*Impacts!$F$15,IF(('Loading-rail'!$C$21)&lt;&gt;"No control",SUMIF(('Loading-rail'!$B$31:$B$48),$J1024,('Loading-rail'!$E$31:$E$48))*Impacts!$F$15,0)),0)</f>
        <v>0</v>
      </c>
      <c r="T1024" s="10">
        <f>IF(Flare!$C$7="",0,(SUMIF(Flare!$B$46:$B$185,$J1024,Flare!$E$46:$E$185)*Impacts!$F$16))</f>
        <v>0</v>
      </c>
      <c r="U1024" s="10">
        <f>IF(VCU!$C$9="",0,(SUMIF(VCU!$B$51:$B$193,$J1024,VCU!$E$51:$E$193)*Impacts!$F$17))</f>
        <v>0</v>
      </c>
      <c r="V1024" s="10">
        <f>IF(CAS!$C$7="",0,(SUMIF(CAS!$B$31:$B$167,$J1024,CAS!$E$31:$E$167)*Impacts!$F$18))</f>
        <v>0</v>
      </c>
      <c r="W1024" s="10">
        <f t="shared" si="57"/>
        <v>0</v>
      </c>
      <c r="AK1024" s="10" t="str">
        <f t="array" ref="AK1024">IFERROR(INDEX(SelectedSpecies,SMALL(IF(SelectedSpecies=AK$1,ROW(SelectedSpecies)),ROW(1025:1025)),2),"")</f>
        <v/>
      </c>
      <c r="BE1024" s="10"/>
      <c r="BI1024" s="10"/>
    </row>
    <row r="1025" spans="1:61" ht="21" customHeight="1" x14ac:dyDescent="0.25">
      <c r="A1025" s="10"/>
      <c r="B1025" s="10"/>
      <c r="E1025" s="10"/>
      <c r="G1025" s="10"/>
      <c r="I1025" s="436" t="s">
        <v>984</v>
      </c>
      <c r="J1025" s="26" t="s">
        <v>983</v>
      </c>
      <c r="K1025" s="10">
        <v>35</v>
      </c>
      <c r="L1025" s="73">
        <f>IF(Tank1!$C$23="No control",(SUMIF(Tank1!$B$32:$B$49,$J1025,Tank1!$C$32:$C$49)*Impacts!$F$8),0)</f>
        <v>0</v>
      </c>
      <c r="M1025" s="10">
        <f>IF(Tank2!$C$23="No control",(SUMIF(Tank2!$B$32:$B$49,$J1025,Tank2!$C$32:$C$49)*Impacts!$F$9),0)</f>
        <v>0</v>
      </c>
      <c r="N1025" s="10">
        <f>IF(Tank3!$C$23="No control",(SUMIF(Tank3!$B$32:$B$49,$J1025,Tank3!$C$32:$C$49)*Impacts!$F$10),0)</f>
        <v>0</v>
      </c>
      <c r="O1025" s="10">
        <f>IF(Tank4!$C$23="No control",(SUMIF(Tank4!$B$32:$B$49,$J1025,Tank4!$C$32:$C$49)*Impacts!$F$11),0)</f>
        <v>0</v>
      </c>
      <c r="P1025" s="10">
        <f>IF(Tank5!$C$23="No control",(SUMIF(Tank5!$B$32:$B$49,$J1025,Tank5!$C$32:$C$49)*Impacts!$F$12),0)</f>
        <v>0</v>
      </c>
      <c r="Q1025" s="10">
        <f>IFERROR(IF(('Loading-drum,tote'!$C$21)="No control",SUMIF(('Loading-drum,tote'!$B$31:$B$48),$J1025,('Loading-drum,tote'!$D$31:$D$48))*Impacts!$F$13,IF(('Loading-drum,tote'!$C$21)&lt;&gt;"No control",SUMIF(('Loading-drum,tote'!$B$31:$B$48),$J1025,('Loading-drum,tote'!$E$31:$E$48))*Impacts!$F$13,0)),0)</f>
        <v>0</v>
      </c>
      <c r="R1025" s="10">
        <f>IFERROR(IF(('Loading-truck'!$C$21)="No control",SUMIF(('Loading-truck'!$B$31:$B$48),$J1025,('Loading-truck'!$D$31:$D$48))*Impacts!$F$14,IF(('Loading-truck'!$C$21)&lt;&gt;"No control",SUMIF(('Loading-truck'!$B$31:$B$48),$J1025,('Loading-truck'!$E$31:$E$48))*Impacts!$F$14,0)),0)</f>
        <v>0</v>
      </c>
      <c r="S1025" s="10">
        <f>IFERROR(IF(('Loading-rail'!$C$21)="No control",SUMIF(('Loading-rail'!$B$31:$B$48),$J1025,('Loading-rail'!$D$31:$D$48))*Impacts!$F$15,IF(('Loading-rail'!$C$21)&lt;&gt;"No control",SUMIF(('Loading-rail'!$B$31:$B$48),$J1025,('Loading-rail'!$E$31:$E$48))*Impacts!$F$15,0)),0)</f>
        <v>0</v>
      </c>
      <c r="T1025" s="10">
        <f>IF(Flare!$C$7="",0,(SUMIF(Flare!$B$46:$B$185,$J1025,Flare!$E$46:$E$185)*Impacts!$F$16))</f>
        <v>0</v>
      </c>
      <c r="U1025" s="10">
        <f>IF(VCU!$C$9="",0,(SUMIF(VCU!$B$51:$B$193,$J1025,VCU!$E$51:$E$193)*Impacts!$F$17))</f>
        <v>0</v>
      </c>
      <c r="V1025" s="10">
        <f>IF(CAS!$C$7="",0,(SUMIF(CAS!$B$31:$B$167,$J1025,CAS!$E$31:$E$167)*Impacts!$F$18))</f>
        <v>0</v>
      </c>
      <c r="W1025" s="10">
        <f t="shared" si="57"/>
        <v>0</v>
      </c>
      <c r="AK1025" s="10" t="str">
        <f t="array" ref="AK1025">IFERROR(INDEX(SelectedSpecies,SMALL(IF(SelectedSpecies=AK$1,ROW(SelectedSpecies)),ROW(1026:1026)),2),"")</f>
        <v/>
      </c>
      <c r="BE1025" s="10"/>
      <c r="BI1025" s="10"/>
    </row>
    <row r="1026" spans="1:61" ht="21" customHeight="1" x14ac:dyDescent="0.25">
      <c r="A1026" s="10"/>
      <c r="B1026" s="10"/>
      <c r="E1026" s="10"/>
      <c r="G1026" s="10"/>
      <c r="I1026" s="436" t="s">
        <v>986</v>
      </c>
      <c r="J1026" s="26" t="s">
        <v>985</v>
      </c>
      <c r="K1026" s="10">
        <v>35</v>
      </c>
      <c r="L1026" s="73">
        <f>IF(Tank1!$C$23="No control",(SUMIF(Tank1!$B$32:$B$49,$J1026,Tank1!$C$32:$C$49)*Impacts!$F$8),0)</f>
        <v>0</v>
      </c>
      <c r="M1026" s="10">
        <f>IF(Tank2!$C$23="No control",(SUMIF(Tank2!$B$32:$B$49,$J1026,Tank2!$C$32:$C$49)*Impacts!$F$9),0)</f>
        <v>0</v>
      </c>
      <c r="N1026" s="10">
        <f>IF(Tank3!$C$23="No control",(SUMIF(Tank3!$B$32:$B$49,$J1026,Tank3!$C$32:$C$49)*Impacts!$F$10),0)</f>
        <v>0</v>
      </c>
      <c r="O1026" s="10">
        <f>IF(Tank4!$C$23="No control",(SUMIF(Tank4!$B$32:$B$49,$J1026,Tank4!$C$32:$C$49)*Impacts!$F$11),0)</f>
        <v>0</v>
      </c>
      <c r="P1026" s="10">
        <f>IF(Tank5!$C$23="No control",(SUMIF(Tank5!$B$32:$B$49,$J1026,Tank5!$C$32:$C$49)*Impacts!$F$12),0)</f>
        <v>0</v>
      </c>
      <c r="Q1026" s="10">
        <f>IFERROR(IF(('Loading-drum,tote'!$C$21)="No control",SUMIF(('Loading-drum,tote'!$B$31:$B$48),$J1026,('Loading-drum,tote'!$D$31:$D$48))*Impacts!$F$13,IF(('Loading-drum,tote'!$C$21)&lt;&gt;"No control",SUMIF(('Loading-drum,tote'!$B$31:$B$48),$J1026,('Loading-drum,tote'!$E$31:$E$48))*Impacts!$F$13,0)),0)</f>
        <v>0</v>
      </c>
      <c r="R1026" s="10">
        <f>IFERROR(IF(('Loading-truck'!$C$21)="No control",SUMIF(('Loading-truck'!$B$31:$B$48),$J1026,('Loading-truck'!$D$31:$D$48))*Impacts!$F$14,IF(('Loading-truck'!$C$21)&lt;&gt;"No control",SUMIF(('Loading-truck'!$B$31:$B$48),$J1026,('Loading-truck'!$E$31:$E$48))*Impacts!$F$14,0)),0)</f>
        <v>0</v>
      </c>
      <c r="S1026" s="10">
        <f>IFERROR(IF(('Loading-rail'!$C$21)="No control",SUMIF(('Loading-rail'!$B$31:$B$48),$J1026,('Loading-rail'!$D$31:$D$48))*Impacts!$F$15,IF(('Loading-rail'!$C$21)&lt;&gt;"No control",SUMIF(('Loading-rail'!$B$31:$B$48),$J1026,('Loading-rail'!$E$31:$E$48))*Impacts!$F$15,0)),0)</f>
        <v>0</v>
      </c>
      <c r="T1026" s="10">
        <f>IF(Flare!$C$7="",0,(SUMIF(Flare!$B$46:$B$185,$J1026,Flare!$E$46:$E$185)*Impacts!$F$16))</f>
        <v>0</v>
      </c>
      <c r="U1026" s="10">
        <f>IF(VCU!$C$9="",0,(SUMIF(VCU!$B$51:$B$193,$J1026,VCU!$E$51:$E$193)*Impacts!$F$17))</f>
        <v>0</v>
      </c>
      <c r="V1026" s="10">
        <f>IF(CAS!$C$7="",0,(SUMIF(CAS!$B$31:$B$167,$J1026,CAS!$E$31:$E$167)*Impacts!$F$18))</f>
        <v>0</v>
      </c>
      <c r="W1026" s="10">
        <f t="shared" si="57"/>
        <v>0</v>
      </c>
      <c r="AK1026" s="10" t="str">
        <f t="array" ref="AK1026">IFERROR(INDEX(SelectedSpecies,SMALL(IF(SelectedSpecies=AK$1,ROW(SelectedSpecies)),ROW(1027:1027)),2),"")</f>
        <v/>
      </c>
      <c r="BE1026" s="10"/>
      <c r="BI1026" s="10"/>
    </row>
    <row r="1027" spans="1:61" ht="21" customHeight="1" x14ac:dyDescent="0.25">
      <c r="A1027" s="10"/>
      <c r="B1027" s="10"/>
      <c r="E1027" s="10"/>
      <c r="G1027" s="10"/>
      <c r="I1027" s="436" t="s">
        <v>6776</v>
      </c>
      <c r="J1027" s="26" t="s">
        <v>6775</v>
      </c>
      <c r="K1027" s="10">
        <v>0.5</v>
      </c>
      <c r="L1027" s="73">
        <f>IF(Tank1!$C$23="No control",(SUMIF(Tank1!$B$32:$B$49,$J1027,Tank1!$C$32:$C$49)*Impacts!$F$8),0)</f>
        <v>0</v>
      </c>
      <c r="M1027" s="10">
        <f>IF(Tank2!$C$23="No control",(SUMIF(Tank2!$B$32:$B$49,$J1027,Tank2!$C$32:$C$49)*Impacts!$F$9),0)</f>
        <v>0</v>
      </c>
      <c r="N1027" s="10">
        <f>IF(Tank3!$C$23="No control",(SUMIF(Tank3!$B$32:$B$49,$J1027,Tank3!$C$32:$C$49)*Impacts!$F$10),0)</f>
        <v>0</v>
      </c>
      <c r="O1027" s="10">
        <f>IF(Tank4!$C$23="No control",(SUMIF(Tank4!$B$32:$B$49,$J1027,Tank4!$C$32:$C$49)*Impacts!$F$11),0)</f>
        <v>0</v>
      </c>
      <c r="P1027" s="10">
        <f>IF(Tank5!$C$23="No control",(SUMIF(Tank5!$B$32:$B$49,$J1027,Tank5!$C$32:$C$49)*Impacts!$F$12),0)</f>
        <v>0</v>
      </c>
      <c r="Q1027" s="10">
        <f>IFERROR(IF(('Loading-drum,tote'!$C$21)="No control",SUMIF(('Loading-drum,tote'!$B$31:$B$48),$J1027,('Loading-drum,tote'!$D$31:$D$48))*Impacts!$F$13,IF(('Loading-drum,tote'!$C$21)&lt;&gt;"No control",SUMIF(('Loading-drum,tote'!$B$31:$B$48),$J1027,('Loading-drum,tote'!$E$31:$E$48))*Impacts!$F$13,0)),0)</f>
        <v>0</v>
      </c>
      <c r="R1027" s="10">
        <f>IFERROR(IF(('Loading-truck'!$C$21)="No control",SUMIF(('Loading-truck'!$B$31:$B$48),$J1027,('Loading-truck'!$D$31:$D$48))*Impacts!$F$14,IF(('Loading-truck'!$C$21)&lt;&gt;"No control",SUMIF(('Loading-truck'!$B$31:$B$48),$J1027,('Loading-truck'!$E$31:$E$48))*Impacts!$F$14,0)),0)</f>
        <v>0</v>
      </c>
      <c r="S1027" s="10">
        <f>IFERROR(IF(('Loading-rail'!$C$21)="No control",SUMIF(('Loading-rail'!$B$31:$B$48),$J1027,('Loading-rail'!$D$31:$D$48))*Impacts!$F$15,IF(('Loading-rail'!$C$21)&lt;&gt;"No control",SUMIF(('Loading-rail'!$B$31:$B$48),$J1027,('Loading-rail'!$E$31:$E$48))*Impacts!$F$15,0)),0)</f>
        <v>0</v>
      </c>
      <c r="T1027" s="10">
        <f>IF(Flare!$C$7="",0,(SUMIF(Flare!$B$46:$B$185,$J1027,Flare!$E$46:$E$185)*Impacts!$F$16))</f>
        <v>0</v>
      </c>
      <c r="U1027" s="10">
        <f>IF(VCU!$C$9="",0,(SUMIF(VCU!$B$51:$B$193,$J1027,VCU!$E$51:$E$193)*Impacts!$F$17))</f>
        <v>0</v>
      </c>
      <c r="V1027" s="10">
        <f>IF(CAS!$C$7="",0,(SUMIF(CAS!$B$31:$B$167,$J1027,CAS!$E$31:$E$167)*Impacts!$F$18))</f>
        <v>0</v>
      </c>
      <c r="W1027" s="10">
        <f t="shared" ref="W1027:W1090" si="58">SUM(L1027:V1027)</f>
        <v>0</v>
      </c>
      <c r="AK1027" s="10" t="str">
        <f t="array" ref="AK1027">IFERROR(INDEX(SelectedSpecies,SMALL(IF(SelectedSpecies=AK$1,ROW(SelectedSpecies)),ROW(1028:1028)),2),"")</f>
        <v/>
      </c>
      <c r="BE1027" s="10"/>
      <c r="BI1027" s="10"/>
    </row>
    <row r="1028" spans="1:61" ht="21" customHeight="1" x14ac:dyDescent="0.25">
      <c r="A1028" s="10"/>
      <c r="B1028" s="10"/>
      <c r="E1028" s="10"/>
      <c r="G1028" s="10"/>
      <c r="I1028" s="436" t="s">
        <v>7706</v>
      </c>
      <c r="J1028" s="26" t="s">
        <v>7705</v>
      </c>
      <c r="K1028" s="10">
        <v>0.1</v>
      </c>
      <c r="L1028" s="73">
        <f>IF(Tank1!$C$23="No control",(SUMIF(Tank1!$B$32:$B$49,$J1028,Tank1!$C$32:$C$49)*Impacts!$F$8),0)</f>
        <v>0</v>
      </c>
      <c r="M1028" s="10">
        <f>IF(Tank2!$C$23="No control",(SUMIF(Tank2!$B$32:$B$49,$J1028,Tank2!$C$32:$C$49)*Impacts!$F$9),0)</f>
        <v>0</v>
      </c>
      <c r="N1028" s="10">
        <f>IF(Tank3!$C$23="No control",(SUMIF(Tank3!$B$32:$B$49,$J1028,Tank3!$C$32:$C$49)*Impacts!$F$10),0)</f>
        <v>0</v>
      </c>
      <c r="O1028" s="10">
        <f>IF(Tank4!$C$23="No control",(SUMIF(Tank4!$B$32:$B$49,$J1028,Tank4!$C$32:$C$49)*Impacts!$F$11),0)</f>
        <v>0</v>
      </c>
      <c r="P1028" s="10">
        <f>IF(Tank5!$C$23="No control",(SUMIF(Tank5!$B$32:$B$49,$J1028,Tank5!$C$32:$C$49)*Impacts!$F$12),0)</f>
        <v>0</v>
      </c>
      <c r="Q1028" s="10">
        <f>IFERROR(IF(('Loading-drum,tote'!$C$21)="No control",SUMIF(('Loading-drum,tote'!$B$31:$B$48),$J1028,('Loading-drum,tote'!$D$31:$D$48))*Impacts!$F$13,IF(('Loading-drum,tote'!$C$21)&lt;&gt;"No control",SUMIF(('Loading-drum,tote'!$B$31:$B$48),$J1028,('Loading-drum,tote'!$E$31:$E$48))*Impacts!$F$13,0)),0)</f>
        <v>0</v>
      </c>
      <c r="R1028" s="10">
        <f>IFERROR(IF(('Loading-truck'!$C$21)="No control",SUMIF(('Loading-truck'!$B$31:$B$48),$J1028,('Loading-truck'!$D$31:$D$48))*Impacts!$F$14,IF(('Loading-truck'!$C$21)&lt;&gt;"No control",SUMIF(('Loading-truck'!$B$31:$B$48),$J1028,('Loading-truck'!$E$31:$E$48))*Impacts!$F$14,0)),0)</f>
        <v>0</v>
      </c>
      <c r="S1028" s="10">
        <f>IFERROR(IF(('Loading-rail'!$C$21)="No control",SUMIF(('Loading-rail'!$B$31:$B$48),$J1028,('Loading-rail'!$D$31:$D$48))*Impacts!$F$15,IF(('Loading-rail'!$C$21)&lt;&gt;"No control",SUMIF(('Loading-rail'!$B$31:$B$48),$J1028,('Loading-rail'!$E$31:$E$48))*Impacts!$F$15,0)),0)</f>
        <v>0</v>
      </c>
      <c r="T1028" s="10">
        <f>IF(Flare!$C$7="",0,(SUMIF(Flare!$B$46:$B$185,$J1028,Flare!$E$46:$E$185)*Impacts!$F$16))</f>
        <v>0</v>
      </c>
      <c r="U1028" s="10">
        <f>IF(VCU!$C$9="",0,(SUMIF(VCU!$B$51:$B$193,$J1028,VCU!$E$51:$E$193)*Impacts!$F$17))</f>
        <v>0</v>
      </c>
      <c r="V1028" s="10">
        <f>IF(CAS!$C$7="",0,(SUMIF(CAS!$B$31:$B$167,$J1028,CAS!$E$31:$E$167)*Impacts!$F$18))</f>
        <v>0</v>
      </c>
      <c r="W1028" s="10">
        <f t="shared" si="58"/>
        <v>0</v>
      </c>
      <c r="AK1028" s="10" t="str">
        <f t="array" ref="AK1028">IFERROR(INDEX(SelectedSpecies,SMALL(IF(SelectedSpecies=AK$1,ROW(SelectedSpecies)),ROW(1029:1029)),2),"")</f>
        <v/>
      </c>
      <c r="BE1028" s="10"/>
      <c r="BI1028" s="10"/>
    </row>
    <row r="1029" spans="1:61" ht="21" customHeight="1" x14ac:dyDescent="0.25">
      <c r="A1029" s="10"/>
      <c r="B1029" s="10"/>
      <c r="E1029" s="10"/>
      <c r="G1029" s="10"/>
      <c r="I1029" s="436" t="s">
        <v>7994</v>
      </c>
      <c r="J1029" s="26" t="s">
        <v>7993</v>
      </c>
      <c r="K1029" s="10">
        <v>0.03</v>
      </c>
      <c r="L1029" s="73">
        <f>IF(Tank1!$C$23="No control",(SUMIF(Tank1!$B$32:$B$49,$J1029,Tank1!$C$32:$C$49)*Impacts!$F$8),0)</f>
        <v>0</v>
      </c>
      <c r="M1029" s="10">
        <f>IF(Tank2!$C$23="No control",(SUMIF(Tank2!$B$32:$B$49,$J1029,Tank2!$C$32:$C$49)*Impacts!$F$9),0)</f>
        <v>0</v>
      </c>
      <c r="N1029" s="10">
        <f>IF(Tank3!$C$23="No control",(SUMIF(Tank3!$B$32:$B$49,$J1029,Tank3!$C$32:$C$49)*Impacts!$F$10),0)</f>
        <v>0</v>
      </c>
      <c r="O1029" s="10">
        <f>IF(Tank4!$C$23="No control",(SUMIF(Tank4!$B$32:$B$49,$J1029,Tank4!$C$32:$C$49)*Impacts!$F$11),0)</f>
        <v>0</v>
      </c>
      <c r="P1029" s="10">
        <f>IF(Tank5!$C$23="No control",(SUMIF(Tank5!$B$32:$B$49,$J1029,Tank5!$C$32:$C$49)*Impacts!$F$12),0)</f>
        <v>0</v>
      </c>
      <c r="Q1029" s="10">
        <f>IFERROR(IF(('Loading-drum,tote'!$C$21)="No control",SUMIF(('Loading-drum,tote'!$B$31:$B$48),$J1029,('Loading-drum,tote'!$D$31:$D$48))*Impacts!$F$13,IF(('Loading-drum,tote'!$C$21)&lt;&gt;"No control",SUMIF(('Loading-drum,tote'!$B$31:$B$48),$J1029,('Loading-drum,tote'!$E$31:$E$48))*Impacts!$F$13,0)),0)</f>
        <v>0</v>
      </c>
      <c r="R1029" s="10">
        <f>IFERROR(IF(('Loading-truck'!$C$21)="No control",SUMIF(('Loading-truck'!$B$31:$B$48),$J1029,('Loading-truck'!$D$31:$D$48))*Impacts!$F$14,IF(('Loading-truck'!$C$21)&lt;&gt;"No control",SUMIF(('Loading-truck'!$B$31:$B$48),$J1029,('Loading-truck'!$E$31:$E$48))*Impacts!$F$14,0)),0)</f>
        <v>0</v>
      </c>
      <c r="S1029" s="10">
        <f>IFERROR(IF(('Loading-rail'!$C$21)="No control",SUMIF(('Loading-rail'!$B$31:$B$48),$J1029,('Loading-rail'!$D$31:$D$48))*Impacts!$F$15,IF(('Loading-rail'!$C$21)&lt;&gt;"No control",SUMIF(('Loading-rail'!$B$31:$B$48),$J1029,('Loading-rail'!$E$31:$E$48))*Impacts!$F$15,0)),0)</f>
        <v>0</v>
      </c>
      <c r="T1029" s="10">
        <f>IF(Flare!$C$7="",0,(SUMIF(Flare!$B$46:$B$185,$J1029,Flare!$E$46:$E$185)*Impacts!$F$16))</f>
        <v>0</v>
      </c>
      <c r="U1029" s="10">
        <f>IF(VCU!$C$9="",0,(SUMIF(VCU!$B$51:$B$193,$J1029,VCU!$E$51:$E$193)*Impacts!$F$17))</f>
        <v>0</v>
      </c>
      <c r="V1029" s="10">
        <f>IF(CAS!$C$7="",0,(SUMIF(CAS!$B$31:$B$167,$J1029,CAS!$E$31:$E$167)*Impacts!$F$18))</f>
        <v>0</v>
      </c>
      <c r="W1029" s="10">
        <f t="shared" si="58"/>
        <v>0</v>
      </c>
      <c r="AK1029" s="10" t="str">
        <f t="array" ref="AK1029">IFERROR(INDEX(SelectedSpecies,SMALL(IF(SelectedSpecies=AK$1,ROW(SelectedSpecies)),ROW(1030:1030)),2),"")</f>
        <v/>
      </c>
      <c r="BE1029" s="10"/>
      <c r="BI1029" s="10"/>
    </row>
    <row r="1030" spans="1:61" ht="21" customHeight="1" x14ac:dyDescent="0.25">
      <c r="A1030" s="10"/>
      <c r="B1030" s="10"/>
      <c r="E1030" s="10"/>
      <c r="G1030" s="10"/>
      <c r="I1030" s="436" t="s">
        <v>10357</v>
      </c>
      <c r="J1030" s="26" t="s">
        <v>10358</v>
      </c>
      <c r="K1030" s="10">
        <v>1.0000000000000002E-2</v>
      </c>
      <c r="L1030" s="73">
        <f>IF(Tank1!$C$23="No control",(SUMIF(Tank1!$B$32:$B$49,$J1030,Tank1!$C$32:$C$49)*Impacts!$F$8),0)</f>
        <v>0</v>
      </c>
      <c r="M1030" s="10">
        <f>IF(Tank2!$C$23="No control",(SUMIF(Tank2!$B$32:$B$49,$J1030,Tank2!$C$32:$C$49)*Impacts!$F$9),0)</f>
        <v>0</v>
      </c>
      <c r="N1030" s="10">
        <f>IF(Tank3!$C$23="No control",(SUMIF(Tank3!$B$32:$B$49,$J1030,Tank3!$C$32:$C$49)*Impacts!$F$10),0)</f>
        <v>0</v>
      </c>
      <c r="O1030" s="10">
        <f>IF(Tank4!$C$23="No control",(SUMIF(Tank4!$B$32:$B$49,$J1030,Tank4!$C$32:$C$49)*Impacts!$F$11),0)</f>
        <v>0</v>
      </c>
      <c r="P1030" s="10">
        <f>IF(Tank5!$C$23="No control",(SUMIF(Tank5!$B$32:$B$49,$J1030,Tank5!$C$32:$C$49)*Impacts!$F$12),0)</f>
        <v>0</v>
      </c>
      <c r="Q1030" s="10">
        <f>IFERROR(IF(('Loading-drum,tote'!$C$21)="No control",SUMIF(('Loading-drum,tote'!$B$31:$B$48),$J1030,('Loading-drum,tote'!$D$31:$D$48))*Impacts!$F$13,IF(('Loading-drum,tote'!$C$21)&lt;&gt;"No control",SUMIF(('Loading-drum,tote'!$B$31:$B$48),$J1030,('Loading-drum,tote'!$E$31:$E$48))*Impacts!$F$13,0)),0)</f>
        <v>0</v>
      </c>
      <c r="R1030" s="10">
        <f>IFERROR(IF(('Loading-truck'!$C$21)="No control",SUMIF(('Loading-truck'!$B$31:$B$48),$J1030,('Loading-truck'!$D$31:$D$48))*Impacts!$F$14,IF(('Loading-truck'!$C$21)&lt;&gt;"No control",SUMIF(('Loading-truck'!$B$31:$B$48),$J1030,('Loading-truck'!$E$31:$E$48))*Impacts!$F$14,0)),0)</f>
        <v>0</v>
      </c>
      <c r="S1030" s="10">
        <f>IFERROR(IF(('Loading-rail'!$C$21)="No control",SUMIF(('Loading-rail'!$B$31:$B$48),$J1030,('Loading-rail'!$D$31:$D$48))*Impacts!$F$15,IF(('Loading-rail'!$C$21)&lt;&gt;"No control",SUMIF(('Loading-rail'!$B$31:$B$48),$J1030,('Loading-rail'!$E$31:$E$48))*Impacts!$F$15,0)),0)</f>
        <v>0</v>
      </c>
      <c r="T1030" s="10">
        <f>IF(Flare!$C$7="",0,(SUMIF(Flare!$B$46:$B$185,$J1030,Flare!$E$46:$E$185)*Impacts!$F$16))</f>
        <v>0</v>
      </c>
      <c r="U1030" s="10">
        <f>IF(VCU!$C$9="",0,(SUMIF(VCU!$B$51:$B$193,$J1030,VCU!$E$51:$E$193)*Impacts!$F$17))</f>
        <v>0</v>
      </c>
      <c r="V1030" s="10">
        <f>IF(CAS!$C$7="",0,(SUMIF(CAS!$B$31:$B$167,$J1030,CAS!$E$31:$E$167)*Impacts!$F$18))</f>
        <v>0</v>
      </c>
      <c r="W1030" s="10">
        <f t="shared" si="58"/>
        <v>0</v>
      </c>
      <c r="AK1030" s="10" t="str">
        <f t="array" ref="AK1030">IFERROR(INDEX(SelectedSpecies,SMALL(IF(SelectedSpecies=AK$1,ROW(SelectedSpecies)),ROW(1031:1031)),2),"")</f>
        <v/>
      </c>
      <c r="BE1030" s="10"/>
      <c r="BI1030" s="10"/>
    </row>
    <row r="1031" spans="1:61" ht="21" customHeight="1" x14ac:dyDescent="0.25">
      <c r="A1031" s="10"/>
      <c r="B1031" s="10"/>
      <c r="E1031" s="10"/>
      <c r="G1031" s="10"/>
      <c r="I1031" s="436" t="s">
        <v>5369</v>
      </c>
      <c r="J1031" s="26" t="s">
        <v>5368</v>
      </c>
      <c r="K1031" s="10">
        <v>1.5</v>
      </c>
      <c r="L1031" s="73">
        <f>IF(Tank1!$C$23="No control",(SUMIF(Tank1!$B$32:$B$49,$J1031,Tank1!$C$32:$C$49)*Impacts!$F$8),0)</f>
        <v>0</v>
      </c>
      <c r="M1031" s="10">
        <f>IF(Tank2!$C$23="No control",(SUMIF(Tank2!$B$32:$B$49,$J1031,Tank2!$C$32:$C$49)*Impacts!$F$9),0)</f>
        <v>0</v>
      </c>
      <c r="N1031" s="10">
        <f>IF(Tank3!$C$23="No control",(SUMIF(Tank3!$B$32:$B$49,$J1031,Tank3!$C$32:$C$49)*Impacts!$F$10),0)</f>
        <v>0</v>
      </c>
      <c r="O1031" s="10">
        <f>IF(Tank4!$C$23="No control",(SUMIF(Tank4!$B$32:$B$49,$J1031,Tank4!$C$32:$C$49)*Impacts!$F$11),0)</f>
        <v>0</v>
      </c>
      <c r="P1031" s="10">
        <f>IF(Tank5!$C$23="No control",(SUMIF(Tank5!$B$32:$B$49,$J1031,Tank5!$C$32:$C$49)*Impacts!$F$12),0)</f>
        <v>0</v>
      </c>
      <c r="Q1031" s="10">
        <f>IFERROR(IF(('Loading-drum,tote'!$C$21)="No control",SUMIF(('Loading-drum,tote'!$B$31:$B$48),$J1031,('Loading-drum,tote'!$D$31:$D$48))*Impacts!$F$13,IF(('Loading-drum,tote'!$C$21)&lt;&gt;"No control",SUMIF(('Loading-drum,tote'!$B$31:$B$48),$J1031,('Loading-drum,tote'!$E$31:$E$48))*Impacts!$F$13,0)),0)</f>
        <v>0</v>
      </c>
      <c r="R1031" s="10">
        <f>IFERROR(IF(('Loading-truck'!$C$21)="No control",SUMIF(('Loading-truck'!$B$31:$B$48),$J1031,('Loading-truck'!$D$31:$D$48))*Impacts!$F$14,IF(('Loading-truck'!$C$21)&lt;&gt;"No control",SUMIF(('Loading-truck'!$B$31:$B$48),$J1031,('Loading-truck'!$E$31:$E$48))*Impacts!$F$14,0)),0)</f>
        <v>0</v>
      </c>
      <c r="S1031" s="10">
        <f>IFERROR(IF(('Loading-rail'!$C$21)="No control",SUMIF(('Loading-rail'!$B$31:$B$48),$J1031,('Loading-rail'!$D$31:$D$48))*Impacts!$F$15,IF(('Loading-rail'!$C$21)&lt;&gt;"No control",SUMIF(('Loading-rail'!$B$31:$B$48),$J1031,('Loading-rail'!$E$31:$E$48))*Impacts!$F$15,0)),0)</f>
        <v>0</v>
      </c>
      <c r="T1031" s="10">
        <f>IF(Flare!$C$7="",0,(SUMIF(Flare!$B$46:$B$185,$J1031,Flare!$E$46:$E$185)*Impacts!$F$16))</f>
        <v>0</v>
      </c>
      <c r="U1031" s="10">
        <f>IF(VCU!$C$9="",0,(SUMIF(VCU!$B$51:$B$193,$J1031,VCU!$E$51:$E$193)*Impacts!$F$17))</f>
        <v>0</v>
      </c>
      <c r="V1031" s="10">
        <f>IF(CAS!$C$7="",0,(SUMIF(CAS!$B$31:$B$167,$J1031,CAS!$E$31:$E$167)*Impacts!$F$18))</f>
        <v>0</v>
      </c>
      <c r="W1031" s="10">
        <f t="shared" si="58"/>
        <v>0</v>
      </c>
      <c r="AK1031" s="10" t="str">
        <f t="array" ref="AK1031">IFERROR(INDEX(SelectedSpecies,SMALL(IF(SelectedSpecies=AK$1,ROW(SelectedSpecies)),ROW(1032:1032)),2),"")</f>
        <v/>
      </c>
      <c r="BE1031" s="10"/>
      <c r="BI1031" s="10"/>
    </row>
    <row r="1032" spans="1:61" ht="21" customHeight="1" x14ac:dyDescent="0.25">
      <c r="A1032" s="10"/>
      <c r="B1032" s="10"/>
      <c r="E1032" s="10"/>
      <c r="G1032" s="10"/>
      <c r="I1032" s="436" t="s">
        <v>610</v>
      </c>
      <c r="J1032" s="26" t="s">
        <v>609</v>
      </c>
      <c r="K1032" s="10">
        <v>79</v>
      </c>
      <c r="L1032" s="73">
        <f>IF(Tank1!$C$23="No control",(SUMIF(Tank1!$B$32:$B$49,$J1032,Tank1!$C$32:$C$49)*Impacts!$F$8),0)</f>
        <v>0</v>
      </c>
      <c r="M1032" s="10">
        <f>IF(Tank2!$C$23="No control",(SUMIF(Tank2!$B$32:$B$49,$J1032,Tank2!$C$32:$C$49)*Impacts!$F$9),0)</f>
        <v>0</v>
      </c>
      <c r="N1032" s="10">
        <f>IF(Tank3!$C$23="No control",(SUMIF(Tank3!$B$32:$B$49,$J1032,Tank3!$C$32:$C$49)*Impacts!$F$10),0)</f>
        <v>0</v>
      </c>
      <c r="O1032" s="10">
        <f>IF(Tank4!$C$23="No control",(SUMIF(Tank4!$B$32:$B$49,$J1032,Tank4!$C$32:$C$49)*Impacts!$F$11),0)</f>
        <v>0</v>
      </c>
      <c r="P1032" s="10">
        <f>IF(Tank5!$C$23="No control",(SUMIF(Tank5!$B$32:$B$49,$J1032,Tank5!$C$32:$C$49)*Impacts!$F$12),0)</f>
        <v>0</v>
      </c>
      <c r="Q1032" s="10">
        <f>IFERROR(IF(('Loading-drum,tote'!$C$21)="No control",SUMIF(('Loading-drum,tote'!$B$31:$B$48),$J1032,('Loading-drum,tote'!$D$31:$D$48))*Impacts!$F$13,IF(('Loading-drum,tote'!$C$21)&lt;&gt;"No control",SUMIF(('Loading-drum,tote'!$B$31:$B$48),$J1032,('Loading-drum,tote'!$E$31:$E$48))*Impacts!$F$13,0)),0)</f>
        <v>0</v>
      </c>
      <c r="R1032" s="10">
        <f>IFERROR(IF(('Loading-truck'!$C$21)="No control",SUMIF(('Loading-truck'!$B$31:$B$48),$J1032,('Loading-truck'!$D$31:$D$48))*Impacts!$F$14,IF(('Loading-truck'!$C$21)&lt;&gt;"No control",SUMIF(('Loading-truck'!$B$31:$B$48),$J1032,('Loading-truck'!$E$31:$E$48))*Impacts!$F$14,0)),0)</f>
        <v>0</v>
      </c>
      <c r="S1032" s="10">
        <f>IFERROR(IF(('Loading-rail'!$C$21)="No control",SUMIF(('Loading-rail'!$B$31:$B$48),$J1032,('Loading-rail'!$D$31:$D$48))*Impacts!$F$15,IF(('Loading-rail'!$C$21)&lt;&gt;"No control",SUMIF(('Loading-rail'!$B$31:$B$48),$J1032,('Loading-rail'!$E$31:$E$48))*Impacts!$F$15,0)),0)</f>
        <v>0</v>
      </c>
      <c r="T1032" s="10">
        <f>IF(Flare!$C$7="",0,(SUMIF(Flare!$B$46:$B$185,$J1032,Flare!$E$46:$E$185)*Impacts!$F$16))</f>
        <v>0</v>
      </c>
      <c r="U1032" s="10">
        <f>IF(VCU!$C$9="",0,(SUMIF(VCU!$B$51:$B$193,$J1032,VCU!$E$51:$E$193)*Impacts!$F$17))</f>
        <v>0</v>
      </c>
      <c r="V1032" s="10">
        <f>IF(CAS!$C$7="",0,(SUMIF(CAS!$B$31:$B$167,$J1032,CAS!$E$31:$E$167)*Impacts!$F$18))</f>
        <v>0</v>
      </c>
      <c r="W1032" s="10">
        <f t="shared" si="58"/>
        <v>0</v>
      </c>
      <c r="AK1032" s="10" t="str">
        <f t="array" ref="AK1032">IFERROR(INDEX(SelectedSpecies,SMALL(IF(SelectedSpecies=AK$1,ROW(SelectedSpecies)),ROW(1033:1033)),2),"")</f>
        <v/>
      </c>
      <c r="BE1032" s="10"/>
      <c r="BI1032" s="10"/>
    </row>
    <row r="1033" spans="1:61" ht="21" customHeight="1" x14ac:dyDescent="0.25">
      <c r="A1033" s="10"/>
      <c r="B1033" s="10"/>
      <c r="E1033" s="10"/>
      <c r="G1033" s="10"/>
      <c r="I1033" s="436" t="s">
        <v>612</v>
      </c>
      <c r="J1033" s="26" t="s">
        <v>611</v>
      </c>
      <c r="K1033" s="10">
        <v>79</v>
      </c>
      <c r="L1033" s="73">
        <f>IF(Tank1!$C$23="No control",(SUMIF(Tank1!$B$32:$B$49,$J1033,Tank1!$C$32:$C$49)*Impacts!$F$8),0)</f>
        <v>0</v>
      </c>
      <c r="M1033" s="10">
        <f>IF(Tank2!$C$23="No control",(SUMIF(Tank2!$B$32:$B$49,$J1033,Tank2!$C$32:$C$49)*Impacts!$F$9),0)</f>
        <v>0</v>
      </c>
      <c r="N1033" s="10">
        <f>IF(Tank3!$C$23="No control",(SUMIF(Tank3!$B$32:$B$49,$J1033,Tank3!$C$32:$C$49)*Impacts!$F$10),0)</f>
        <v>0</v>
      </c>
      <c r="O1033" s="10">
        <f>IF(Tank4!$C$23="No control",(SUMIF(Tank4!$B$32:$B$49,$J1033,Tank4!$C$32:$C$49)*Impacts!$F$11),0)</f>
        <v>0</v>
      </c>
      <c r="P1033" s="10">
        <f>IF(Tank5!$C$23="No control",(SUMIF(Tank5!$B$32:$B$49,$J1033,Tank5!$C$32:$C$49)*Impacts!$F$12),0)</f>
        <v>0</v>
      </c>
      <c r="Q1033" s="10">
        <f>IFERROR(IF(('Loading-drum,tote'!$C$21)="No control",SUMIF(('Loading-drum,tote'!$B$31:$B$48),$J1033,('Loading-drum,tote'!$D$31:$D$48))*Impacts!$F$13,IF(('Loading-drum,tote'!$C$21)&lt;&gt;"No control",SUMIF(('Loading-drum,tote'!$B$31:$B$48),$J1033,('Loading-drum,tote'!$E$31:$E$48))*Impacts!$F$13,0)),0)</f>
        <v>0</v>
      </c>
      <c r="R1033" s="10">
        <f>IFERROR(IF(('Loading-truck'!$C$21)="No control",SUMIF(('Loading-truck'!$B$31:$B$48),$J1033,('Loading-truck'!$D$31:$D$48))*Impacts!$F$14,IF(('Loading-truck'!$C$21)&lt;&gt;"No control",SUMIF(('Loading-truck'!$B$31:$B$48),$J1033,('Loading-truck'!$E$31:$E$48))*Impacts!$F$14,0)),0)</f>
        <v>0</v>
      </c>
      <c r="S1033" s="10">
        <f>IFERROR(IF(('Loading-rail'!$C$21)="No control",SUMIF(('Loading-rail'!$B$31:$B$48),$J1033,('Loading-rail'!$D$31:$D$48))*Impacts!$F$15,IF(('Loading-rail'!$C$21)&lt;&gt;"No control",SUMIF(('Loading-rail'!$B$31:$B$48),$J1033,('Loading-rail'!$E$31:$E$48))*Impacts!$F$15,0)),0)</f>
        <v>0</v>
      </c>
      <c r="T1033" s="10">
        <f>IF(Flare!$C$7="",0,(SUMIF(Flare!$B$46:$B$185,$J1033,Flare!$E$46:$E$185)*Impacts!$F$16))</f>
        <v>0</v>
      </c>
      <c r="U1033" s="10">
        <f>IF(VCU!$C$9="",0,(SUMIF(VCU!$B$51:$B$193,$J1033,VCU!$E$51:$E$193)*Impacts!$F$17))</f>
        <v>0</v>
      </c>
      <c r="V1033" s="10">
        <f>IF(CAS!$C$7="",0,(SUMIF(CAS!$B$31:$B$167,$J1033,CAS!$E$31:$E$167)*Impacts!$F$18))</f>
        <v>0</v>
      </c>
      <c r="W1033" s="10">
        <f t="shared" si="58"/>
        <v>0</v>
      </c>
      <c r="AK1033" s="10" t="str">
        <f t="array" ref="AK1033">IFERROR(INDEX(SelectedSpecies,SMALL(IF(SelectedSpecies=AK$1,ROW(SelectedSpecies)),ROW(1034:1034)),2),"")</f>
        <v/>
      </c>
      <c r="BE1033" s="10"/>
      <c r="BI1033" s="10"/>
    </row>
    <row r="1034" spans="1:61" ht="21" customHeight="1" x14ac:dyDescent="0.25">
      <c r="A1034" s="10"/>
      <c r="B1034" s="10"/>
      <c r="E1034" s="10"/>
      <c r="G1034" s="10"/>
      <c r="I1034" s="436" t="s">
        <v>5790</v>
      </c>
      <c r="J1034" s="26" t="s">
        <v>5789</v>
      </c>
      <c r="K1034" s="10">
        <v>1</v>
      </c>
      <c r="L1034" s="73">
        <f>IF(Tank1!$C$23="No control",(SUMIF(Tank1!$B$32:$B$49,$J1034,Tank1!$C$32:$C$49)*Impacts!$F$8),0)</f>
        <v>0</v>
      </c>
      <c r="M1034" s="10">
        <f>IF(Tank2!$C$23="No control",(SUMIF(Tank2!$B$32:$B$49,$J1034,Tank2!$C$32:$C$49)*Impacts!$F$9),0)</f>
        <v>0</v>
      </c>
      <c r="N1034" s="10">
        <f>IF(Tank3!$C$23="No control",(SUMIF(Tank3!$B$32:$B$49,$J1034,Tank3!$C$32:$C$49)*Impacts!$F$10),0)</f>
        <v>0</v>
      </c>
      <c r="O1034" s="10">
        <f>IF(Tank4!$C$23="No control",(SUMIF(Tank4!$B$32:$B$49,$J1034,Tank4!$C$32:$C$49)*Impacts!$F$11),0)</f>
        <v>0</v>
      </c>
      <c r="P1034" s="10">
        <f>IF(Tank5!$C$23="No control",(SUMIF(Tank5!$B$32:$B$49,$J1034,Tank5!$C$32:$C$49)*Impacts!$F$12),0)</f>
        <v>0</v>
      </c>
      <c r="Q1034" s="10">
        <f>IFERROR(IF(('Loading-drum,tote'!$C$21)="No control",SUMIF(('Loading-drum,tote'!$B$31:$B$48),$J1034,('Loading-drum,tote'!$D$31:$D$48))*Impacts!$F$13,IF(('Loading-drum,tote'!$C$21)&lt;&gt;"No control",SUMIF(('Loading-drum,tote'!$B$31:$B$48),$J1034,('Loading-drum,tote'!$E$31:$E$48))*Impacts!$F$13,0)),0)</f>
        <v>0</v>
      </c>
      <c r="R1034" s="10">
        <f>IFERROR(IF(('Loading-truck'!$C$21)="No control",SUMIF(('Loading-truck'!$B$31:$B$48),$J1034,('Loading-truck'!$D$31:$D$48))*Impacts!$F$14,IF(('Loading-truck'!$C$21)&lt;&gt;"No control",SUMIF(('Loading-truck'!$B$31:$B$48),$J1034,('Loading-truck'!$E$31:$E$48))*Impacts!$F$14,0)),0)</f>
        <v>0</v>
      </c>
      <c r="S1034" s="10">
        <f>IFERROR(IF(('Loading-rail'!$C$21)="No control",SUMIF(('Loading-rail'!$B$31:$B$48),$J1034,('Loading-rail'!$D$31:$D$48))*Impacts!$F$15,IF(('Loading-rail'!$C$21)&lt;&gt;"No control",SUMIF(('Loading-rail'!$B$31:$B$48),$J1034,('Loading-rail'!$E$31:$E$48))*Impacts!$F$15,0)),0)</f>
        <v>0</v>
      </c>
      <c r="T1034" s="10">
        <f>IF(Flare!$C$7="",0,(SUMIF(Flare!$B$46:$B$185,$J1034,Flare!$E$46:$E$185)*Impacts!$F$16))</f>
        <v>0</v>
      </c>
      <c r="U1034" s="10">
        <f>IF(VCU!$C$9="",0,(SUMIF(VCU!$B$51:$B$193,$J1034,VCU!$E$51:$E$193)*Impacts!$F$17))</f>
        <v>0</v>
      </c>
      <c r="V1034" s="10">
        <f>IF(CAS!$C$7="",0,(SUMIF(CAS!$B$31:$B$167,$J1034,CAS!$E$31:$E$167)*Impacts!$F$18))</f>
        <v>0</v>
      </c>
      <c r="W1034" s="10">
        <f t="shared" si="58"/>
        <v>0</v>
      </c>
      <c r="AK1034" s="10" t="str">
        <f t="array" ref="AK1034">IFERROR(INDEX(SelectedSpecies,SMALL(IF(SelectedSpecies=AK$1,ROW(SelectedSpecies)),ROW(1035:1035)),2),"")</f>
        <v/>
      </c>
      <c r="BE1034" s="10"/>
      <c r="BI1034" s="10"/>
    </row>
    <row r="1035" spans="1:61" ht="21" customHeight="1" x14ac:dyDescent="0.25">
      <c r="A1035" s="10"/>
      <c r="B1035" s="10"/>
      <c r="E1035" s="10"/>
      <c r="G1035" s="10"/>
      <c r="I1035" s="436" t="s">
        <v>2743</v>
      </c>
      <c r="J1035" s="26" t="s">
        <v>2742</v>
      </c>
      <c r="K1035" s="10">
        <v>10</v>
      </c>
      <c r="L1035" s="73">
        <f>IF(Tank1!$C$23="No control",(SUMIF(Tank1!$B$32:$B$49,$J1035,Tank1!$C$32:$C$49)*Impacts!$F$8),0)</f>
        <v>0</v>
      </c>
      <c r="M1035" s="10">
        <f>IF(Tank2!$C$23="No control",(SUMIF(Tank2!$B$32:$B$49,$J1035,Tank2!$C$32:$C$49)*Impacts!$F$9),0)</f>
        <v>0</v>
      </c>
      <c r="N1035" s="10">
        <f>IF(Tank3!$C$23="No control",(SUMIF(Tank3!$B$32:$B$49,$J1035,Tank3!$C$32:$C$49)*Impacts!$F$10),0)</f>
        <v>0</v>
      </c>
      <c r="O1035" s="10">
        <f>IF(Tank4!$C$23="No control",(SUMIF(Tank4!$B$32:$B$49,$J1035,Tank4!$C$32:$C$49)*Impacts!$F$11),0)</f>
        <v>0</v>
      </c>
      <c r="P1035" s="10">
        <f>IF(Tank5!$C$23="No control",(SUMIF(Tank5!$B$32:$B$49,$J1035,Tank5!$C$32:$C$49)*Impacts!$F$12),0)</f>
        <v>0</v>
      </c>
      <c r="Q1035" s="10">
        <f>IFERROR(IF(('Loading-drum,tote'!$C$21)="No control",SUMIF(('Loading-drum,tote'!$B$31:$B$48),$J1035,('Loading-drum,tote'!$D$31:$D$48))*Impacts!$F$13,IF(('Loading-drum,tote'!$C$21)&lt;&gt;"No control",SUMIF(('Loading-drum,tote'!$B$31:$B$48),$J1035,('Loading-drum,tote'!$E$31:$E$48))*Impacts!$F$13,0)),0)</f>
        <v>0</v>
      </c>
      <c r="R1035" s="10">
        <f>IFERROR(IF(('Loading-truck'!$C$21)="No control",SUMIF(('Loading-truck'!$B$31:$B$48),$J1035,('Loading-truck'!$D$31:$D$48))*Impacts!$F$14,IF(('Loading-truck'!$C$21)&lt;&gt;"No control",SUMIF(('Loading-truck'!$B$31:$B$48),$J1035,('Loading-truck'!$E$31:$E$48))*Impacts!$F$14,0)),0)</f>
        <v>0</v>
      </c>
      <c r="S1035" s="10">
        <f>IFERROR(IF(('Loading-rail'!$C$21)="No control",SUMIF(('Loading-rail'!$B$31:$B$48),$J1035,('Loading-rail'!$D$31:$D$48))*Impacts!$F$15,IF(('Loading-rail'!$C$21)&lt;&gt;"No control",SUMIF(('Loading-rail'!$B$31:$B$48),$J1035,('Loading-rail'!$E$31:$E$48))*Impacts!$F$15,0)),0)</f>
        <v>0</v>
      </c>
      <c r="T1035" s="10">
        <f>IF(Flare!$C$7="",0,(SUMIF(Flare!$B$46:$B$185,$J1035,Flare!$E$46:$E$185)*Impacts!$F$16))</f>
        <v>0</v>
      </c>
      <c r="U1035" s="10">
        <f>IF(VCU!$C$9="",0,(SUMIF(VCU!$B$51:$B$193,$J1035,VCU!$E$51:$E$193)*Impacts!$F$17))</f>
        <v>0</v>
      </c>
      <c r="V1035" s="10">
        <f>IF(CAS!$C$7="",0,(SUMIF(CAS!$B$31:$B$167,$J1035,CAS!$E$31:$E$167)*Impacts!$F$18))</f>
        <v>0</v>
      </c>
      <c r="W1035" s="10">
        <f t="shared" si="58"/>
        <v>0</v>
      </c>
      <c r="AK1035" s="10" t="str">
        <f t="array" ref="AK1035">IFERROR(INDEX(SelectedSpecies,SMALL(IF(SelectedSpecies=AK$1,ROW(SelectedSpecies)),ROW(1036:1036)),2),"")</f>
        <v/>
      </c>
      <c r="BE1035" s="10"/>
      <c r="BI1035" s="10"/>
    </row>
    <row r="1036" spans="1:61" ht="21" customHeight="1" x14ac:dyDescent="0.25">
      <c r="A1036" s="10"/>
      <c r="B1036" s="10"/>
      <c r="E1036" s="10"/>
      <c r="G1036" s="10"/>
      <c r="I1036" s="436" t="s">
        <v>1793</v>
      </c>
      <c r="J1036" s="26" t="s">
        <v>1792</v>
      </c>
      <c r="K1036" s="10">
        <v>22</v>
      </c>
      <c r="L1036" s="73">
        <f>IF(Tank1!$C$23="No control",(SUMIF(Tank1!$B$32:$B$49,$J1036,Tank1!$C$32:$C$49)*Impacts!$F$8),0)</f>
        <v>0</v>
      </c>
      <c r="M1036" s="10">
        <f>IF(Tank2!$C$23="No control",(SUMIF(Tank2!$B$32:$B$49,$J1036,Tank2!$C$32:$C$49)*Impacts!$F$9),0)</f>
        <v>0</v>
      </c>
      <c r="N1036" s="10">
        <f>IF(Tank3!$C$23="No control",(SUMIF(Tank3!$B$32:$B$49,$J1036,Tank3!$C$32:$C$49)*Impacts!$F$10),0)</f>
        <v>0</v>
      </c>
      <c r="O1036" s="10">
        <f>IF(Tank4!$C$23="No control",(SUMIF(Tank4!$B$32:$B$49,$J1036,Tank4!$C$32:$C$49)*Impacts!$F$11),0)</f>
        <v>0</v>
      </c>
      <c r="P1036" s="10">
        <f>IF(Tank5!$C$23="No control",(SUMIF(Tank5!$B$32:$B$49,$J1036,Tank5!$C$32:$C$49)*Impacts!$F$12),0)</f>
        <v>0</v>
      </c>
      <c r="Q1036" s="10">
        <f>IFERROR(IF(('Loading-drum,tote'!$C$21)="No control",SUMIF(('Loading-drum,tote'!$B$31:$B$48),$J1036,('Loading-drum,tote'!$D$31:$D$48))*Impacts!$F$13,IF(('Loading-drum,tote'!$C$21)&lt;&gt;"No control",SUMIF(('Loading-drum,tote'!$B$31:$B$48),$J1036,('Loading-drum,tote'!$E$31:$E$48))*Impacts!$F$13,0)),0)</f>
        <v>0</v>
      </c>
      <c r="R1036" s="10">
        <f>IFERROR(IF(('Loading-truck'!$C$21)="No control",SUMIF(('Loading-truck'!$B$31:$B$48),$J1036,('Loading-truck'!$D$31:$D$48))*Impacts!$F$14,IF(('Loading-truck'!$C$21)&lt;&gt;"No control",SUMIF(('Loading-truck'!$B$31:$B$48),$J1036,('Loading-truck'!$E$31:$E$48))*Impacts!$F$14,0)),0)</f>
        <v>0</v>
      </c>
      <c r="S1036" s="10">
        <f>IFERROR(IF(('Loading-rail'!$C$21)="No control",SUMIF(('Loading-rail'!$B$31:$B$48),$J1036,('Loading-rail'!$D$31:$D$48))*Impacts!$F$15,IF(('Loading-rail'!$C$21)&lt;&gt;"No control",SUMIF(('Loading-rail'!$B$31:$B$48),$J1036,('Loading-rail'!$E$31:$E$48))*Impacts!$F$15,0)),0)</f>
        <v>0</v>
      </c>
      <c r="T1036" s="10">
        <f>IF(Flare!$C$7="",0,(SUMIF(Flare!$B$46:$B$185,$J1036,Flare!$E$46:$E$185)*Impacts!$F$16))</f>
        <v>0</v>
      </c>
      <c r="U1036" s="10">
        <f>IF(VCU!$C$9="",0,(SUMIF(VCU!$B$51:$B$193,$J1036,VCU!$E$51:$E$193)*Impacts!$F$17))</f>
        <v>0</v>
      </c>
      <c r="V1036" s="10">
        <f>IF(CAS!$C$7="",0,(SUMIF(CAS!$B$31:$B$167,$J1036,CAS!$E$31:$E$167)*Impacts!$F$18))</f>
        <v>0</v>
      </c>
      <c r="W1036" s="10">
        <f t="shared" si="58"/>
        <v>0</v>
      </c>
      <c r="AK1036" s="10" t="str">
        <f t="array" ref="AK1036">IFERROR(INDEX(SelectedSpecies,SMALL(IF(SelectedSpecies=AK$1,ROW(SelectedSpecies)),ROW(1037:1037)),2),"")</f>
        <v/>
      </c>
      <c r="BE1036" s="10"/>
      <c r="BI1036" s="10"/>
    </row>
    <row r="1037" spans="1:61" ht="21" customHeight="1" x14ac:dyDescent="0.25">
      <c r="A1037" s="10"/>
      <c r="B1037" s="10"/>
      <c r="E1037" s="10"/>
      <c r="G1037" s="10"/>
      <c r="I1037" s="436" t="s">
        <v>7386</v>
      </c>
      <c r="J1037" s="26" t="s">
        <v>7385</v>
      </c>
      <c r="K1037" s="10">
        <v>0.24</v>
      </c>
      <c r="L1037" s="73">
        <f>IF(Tank1!$C$23="No control",(SUMIF(Tank1!$B$32:$B$49,$J1037,Tank1!$C$32:$C$49)*Impacts!$F$8),0)</f>
        <v>0</v>
      </c>
      <c r="M1037" s="10">
        <f>IF(Tank2!$C$23="No control",(SUMIF(Tank2!$B$32:$B$49,$J1037,Tank2!$C$32:$C$49)*Impacts!$F$9),0)</f>
        <v>0</v>
      </c>
      <c r="N1037" s="10">
        <f>IF(Tank3!$C$23="No control",(SUMIF(Tank3!$B$32:$B$49,$J1037,Tank3!$C$32:$C$49)*Impacts!$F$10),0)</f>
        <v>0</v>
      </c>
      <c r="O1037" s="10">
        <f>IF(Tank4!$C$23="No control",(SUMIF(Tank4!$B$32:$B$49,$J1037,Tank4!$C$32:$C$49)*Impacts!$F$11),0)</f>
        <v>0</v>
      </c>
      <c r="P1037" s="10">
        <f>IF(Tank5!$C$23="No control",(SUMIF(Tank5!$B$32:$B$49,$J1037,Tank5!$C$32:$C$49)*Impacts!$F$12),0)</f>
        <v>0</v>
      </c>
      <c r="Q1037" s="10">
        <f>IFERROR(IF(('Loading-drum,tote'!$C$21)="No control",SUMIF(('Loading-drum,tote'!$B$31:$B$48),$J1037,('Loading-drum,tote'!$D$31:$D$48))*Impacts!$F$13,IF(('Loading-drum,tote'!$C$21)&lt;&gt;"No control",SUMIF(('Loading-drum,tote'!$B$31:$B$48),$J1037,('Loading-drum,tote'!$E$31:$E$48))*Impacts!$F$13,0)),0)</f>
        <v>0</v>
      </c>
      <c r="R1037" s="10">
        <f>IFERROR(IF(('Loading-truck'!$C$21)="No control",SUMIF(('Loading-truck'!$B$31:$B$48),$J1037,('Loading-truck'!$D$31:$D$48))*Impacts!$F$14,IF(('Loading-truck'!$C$21)&lt;&gt;"No control",SUMIF(('Loading-truck'!$B$31:$B$48),$J1037,('Loading-truck'!$E$31:$E$48))*Impacts!$F$14,0)),0)</f>
        <v>0</v>
      </c>
      <c r="S1037" s="10">
        <f>IFERROR(IF(('Loading-rail'!$C$21)="No control",SUMIF(('Loading-rail'!$B$31:$B$48),$J1037,('Loading-rail'!$D$31:$D$48))*Impacts!$F$15,IF(('Loading-rail'!$C$21)&lt;&gt;"No control",SUMIF(('Loading-rail'!$B$31:$B$48),$J1037,('Loading-rail'!$E$31:$E$48))*Impacts!$F$15,0)),0)</f>
        <v>0</v>
      </c>
      <c r="T1037" s="10">
        <f>IF(Flare!$C$7="",0,(SUMIF(Flare!$B$46:$B$185,$J1037,Flare!$E$46:$E$185)*Impacts!$F$16))</f>
        <v>0</v>
      </c>
      <c r="U1037" s="10">
        <f>IF(VCU!$C$9="",0,(SUMIF(VCU!$B$51:$B$193,$J1037,VCU!$E$51:$E$193)*Impacts!$F$17))</f>
        <v>0</v>
      </c>
      <c r="V1037" s="10">
        <f>IF(CAS!$C$7="",0,(SUMIF(CAS!$B$31:$B$167,$J1037,CAS!$E$31:$E$167)*Impacts!$F$18))</f>
        <v>0</v>
      </c>
      <c r="W1037" s="10">
        <f t="shared" si="58"/>
        <v>0</v>
      </c>
      <c r="AK1037" s="10" t="str">
        <f t="array" ref="AK1037">IFERROR(INDEX(SelectedSpecies,SMALL(IF(SelectedSpecies=AK$1,ROW(SelectedSpecies)),ROW(1038:1038)),2),"")</f>
        <v/>
      </c>
      <c r="BE1037" s="10"/>
      <c r="BI1037" s="10"/>
    </row>
    <row r="1038" spans="1:61" ht="21" customHeight="1" x14ac:dyDescent="0.25">
      <c r="A1038" s="10"/>
      <c r="B1038" s="10"/>
      <c r="E1038" s="10"/>
      <c r="G1038" s="10"/>
      <c r="I1038" s="436" t="s">
        <v>6462</v>
      </c>
      <c r="J1038" s="26" t="s">
        <v>6461</v>
      </c>
      <c r="K1038" s="10">
        <v>0.79</v>
      </c>
      <c r="L1038" s="73">
        <f>IF(Tank1!$C$23="No control",(SUMIF(Tank1!$B$32:$B$49,$J1038,Tank1!$C$32:$C$49)*Impacts!$F$8),0)</f>
        <v>0</v>
      </c>
      <c r="M1038" s="10">
        <f>IF(Tank2!$C$23="No control",(SUMIF(Tank2!$B$32:$B$49,$J1038,Tank2!$C$32:$C$49)*Impacts!$F$9),0)</f>
        <v>0</v>
      </c>
      <c r="N1038" s="10">
        <f>IF(Tank3!$C$23="No control",(SUMIF(Tank3!$B$32:$B$49,$J1038,Tank3!$C$32:$C$49)*Impacts!$F$10),0)</f>
        <v>0</v>
      </c>
      <c r="O1038" s="10">
        <f>IF(Tank4!$C$23="No control",(SUMIF(Tank4!$B$32:$B$49,$J1038,Tank4!$C$32:$C$49)*Impacts!$F$11),0)</f>
        <v>0</v>
      </c>
      <c r="P1038" s="10">
        <f>IF(Tank5!$C$23="No control",(SUMIF(Tank5!$B$32:$B$49,$J1038,Tank5!$C$32:$C$49)*Impacts!$F$12),0)</f>
        <v>0</v>
      </c>
      <c r="Q1038" s="10">
        <f>IFERROR(IF(('Loading-drum,tote'!$C$21)="No control",SUMIF(('Loading-drum,tote'!$B$31:$B$48),$J1038,('Loading-drum,tote'!$D$31:$D$48))*Impacts!$F$13,IF(('Loading-drum,tote'!$C$21)&lt;&gt;"No control",SUMIF(('Loading-drum,tote'!$B$31:$B$48),$J1038,('Loading-drum,tote'!$E$31:$E$48))*Impacts!$F$13,0)),0)</f>
        <v>0</v>
      </c>
      <c r="R1038" s="10">
        <f>IFERROR(IF(('Loading-truck'!$C$21)="No control",SUMIF(('Loading-truck'!$B$31:$B$48),$J1038,('Loading-truck'!$D$31:$D$48))*Impacts!$F$14,IF(('Loading-truck'!$C$21)&lt;&gt;"No control",SUMIF(('Loading-truck'!$B$31:$B$48),$J1038,('Loading-truck'!$E$31:$E$48))*Impacts!$F$14,0)),0)</f>
        <v>0</v>
      </c>
      <c r="S1038" s="10">
        <f>IFERROR(IF(('Loading-rail'!$C$21)="No control",SUMIF(('Loading-rail'!$B$31:$B$48),$J1038,('Loading-rail'!$D$31:$D$48))*Impacts!$F$15,IF(('Loading-rail'!$C$21)&lt;&gt;"No control",SUMIF(('Loading-rail'!$B$31:$B$48),$J1038,('Loading-rail'!$E$31:$E$48))*Impacts!$F$15,0)),0)</f>
        <v>0</v>
      </c>
      <c r="T1038" s="10">
        <f>IF(Flare!$C$7="",0,(SUMIF(Flare!$B$46:$B$185,$J1038,Flare!$E$46:$E$185)*Impacts!$F$16))</f>
        <v>0</v>
      </c>
      <c r="U1038" s="10">
        <f>IF(VCU!$C$9="",0,(SUMIF(VCU!$B$51:$B$193,$J1038,VCU!$E$51:$E$193)*Impacts!$F$17))</f>
        <v>0</v>
      </c>
      <c r="V1038" s="10">
        <f>IF(CAS!$C$7="",0,(SUMIF(CAS!$B$31:$B$167,$J1038,CAS!$E$31:$E$167)*Impacts!$F$18))</f>
        <v>0</v>
      </c>
      <c r="W1038" s="10">
        <f t="shared" si="58"/>
        <v>0</v>
      </c>
      <c r="AK1038" s="10" t="str">
        <f t="array" ref="AK1038">IFERROR(INDEX(SelectedSpecies,SMALL(IF(SelectedSpecies=AK$1,ROW(SelectedSpecies)),ROW(1039:1039)),2),"")</f>
        <v/>
      </c>
      <c r="BE1038" s="10"/>
      <c r="BI1038" s="10"/>
    </row>
    <row r="1039" spans="1:61" ht="21" customHeight="1" x14ac:dyDescent="0.25">
      <c r="A1039" s="10"/>
      <c r="B1039" s="10"/>
      <c r="E1039" s="10"/>
      <c r="G1039" s="10"/>
      <c r="I1039" s="436" t="s">
        <v>7708</v>
      </c>
      <c r="J1039" s="26" t="s">
        <v>7707</v>
      </c>
      <c r="K1039" s="10">
        <v>0.1</v>
      </c>
      <c r="L1039" s="73">
        <f>IF(Tank1!$C$23="No control",(SUMIF(Tank1!$B$32:$B$49,$J1039,Tank1!$C$32:$C$49)*Impacts!$F$8),0)</f>
        <v>0</v>
      </c>
      <c r="M1039" s="10">
        <f>IF(Tank2!$C$23="No control",(SUMIF(Tank2!$B$32:$B$49,$J1039,Tank2!$C$32:$C$49)*Impacts!$F$9),0)</f>
        <v>0</v>
      </c>
      <c r="N1039" s="10">
        <f>IF(Tank3!$C$23="No control",(SUMIF(Tank3!$B$32:$B$49,$J1039,Tank3!$C$32:$C$49)*Impacts!$F$10),0)</f>
        <v>0</v>
      </c>
      <c r="O1039" s="10">
        <f>IF(Tank4!$C$23="No control",(SUMIF(Tank4!$B$32:$B$49,$J1039,Tank4!$C$32:$C$49)*Impacts!$F$11),0)</f>
        <v>0</v>
      </c>
      <c r="P1039" s="10">
        <f>IF(Tank5!$C$23="No control",(SUMIF(Tank5!$B$32:$B$49,$J1039,Tank5!$C$32:$C$49)*Impacts!$F$12),0)</f>
        <v>0</v>
      </c>
      <c r="Q1039" s="10">
        <f>IFERROR(IF(('Loading-drum,tote'!$C$21)="No control",SUMIF(('Loading-drum,tote'!$B$31:$B$48),$J1039,('Loading-drum,tote'!$D$31:$D$48))*Impacts!$F$13,IF(('Loading-drum,tote'!$C$21)&lt;&gt;"No control",SUMIF(('Loading-drum,tote'!$B$31:$B$48),$J1039,('Loading-drum,tote'!$E$31:$E$48))*Impacts!$F$13,0)),0)</f>
        <v>0</v>
      </c>
      <c r="R1039" s="10">
        <f>IFERROR(IF(('Loading-truck'!$C$21)="No control",SUMIF(('Loading-truck'!$B$31:$B$48),$J1039,('Loading-truck'!$D$31:$D$48))*Impacts!$F$14,IF(('Loading-truck'!$C$21)&lt;&gt;"No control",SUMIF(('Loading-truck'!$B$31:$B$48),$J1039,('Loading-truck'!$E$31:$E$48))*Impacts!$F$14,0)),0)</f>
        <v>0</v>
      </c>
      <c r="S1039" s="10">
        <f>IFERROR(IF(('Loading-rail'!$C$21)="No control",SUMIF(('Loading-rail'!$B$31:$B$48),$J1039,('Loading-rail'!$D$31:$D$48))*Impacts!$F$15,IF(('Loading-rail'!$C$21)&lt;&gt;"No control",SUMIF(('Loading-rail'!$B$31:$B$48),$J1039,('Loading-rail'!$E$31:$E$48))*Impacts!$F$15,0)),0)</f>
        <v>0</v>
      </c>
      <c r="T1039" s="10">
        <f>IF(Flare!$C$7="",0,(SUMIF(Flare!$B$46:$B$185,$J1039,Flare!$E$46:$E$185)*Impacts!$F$16))</f>
        <v>0</v>
      </c>
      <c r="U1039" s="10">
        <f>IF(VCU!$C$9="",0,(SUMIF(VCU!$B$51:$B$193,$J1039,VCU!$E$51:$E$193)*Impacts!$F$17))</f>
        <v>0</v>
      </c>
      <c r="V1039" s="10">
        <f>IF(CAS!$C$7="",0,(SUMIF(CAS!$B$31:$B$167,$J1039,CAS!$E$31:$E$167)*Impacts!$F$18))</f>
        <v>0</v>
      </c>
      <c r="W1039" s="10">
        <f t="shared" si="58"/>
        <v>0</v>
      </c>
      <c r="AK1039" s="10" t="str">
        <f t="array" ref="AK1039">IFERROR(INDEX(SelectedSpecies,SMALL(IF(SelectedSpecies=AK$1,ROW(SelectedSpecies)),ROW(1040:1040)),2),"")</f>
        <v/>
      </c>
      <c r="BE1039" s="10"/>
      <c r="BI1039" s="10"/>
    </row>
    <row r="1040" spans="1:61" ht="21" customHeight="1" x14ac:dyDescent="0.25">
      <c r="A1040" s="10"/>
      <c r="B1040" s="10"/>
      <c r="E1040" s="10"/>
      <c r="G1040" s="10"/>
      <c r="I1040" s="436" t="s">
        <v>1947</v>
      </c>
      <c r="J1040" s="26" t="s">
        <v>1946</v>
      </c>
      <c r="K1040" s="10">
        <v>20</v>
      </c>
      <c r="L1040" s="73">
        <f>IF(Tank1!$C$23="No control",(SUMIF(Tank1!$B$32:$B$49,$J1040,Tank1!$C$32:$C$49)*Impacts!$F$8),0)</f>
        <v>0</v>
      </c>
      <c r="M1040" s="10">
        <f>IF(Tank2!$C$23="No control",(SUMIF(Tank2!$B$32:$B$49,$J1040,Tank2!$C$32:$C$49)*Impacts!$F$9),0)</f>
        <v>0</v>
      </c>
      <c r="N1040" s="10">
        <f>IF(Tank3!$C$23="No control",(SUMIF(Tank3!$B$32:$B$49,$J1040,Tank3!$C$32:$C$49)*Impacts!$F$10),0)</f>
        <v>0</v>
      </c>
      <c r="O1040" s="10">
        <f>IF(Tank4!$C$23="No control",(SUMIF(Tank4!$B$32:$B$49,$J1040,Tank4!$C$32:$C$49)*Impacts!$F$11),0)</f>
        <v>0</v>
      </c>
      <c r="P1040" s="10">
        <f>IF(Tank5!$C$23="No control",(SUMIF(Tank5!$B$32:$B$49,$J1040,Tank5!$C$32:$C$49)*Impacts!$F$12),0)</f>
        <v>0</v>
      </c>
      <c r="Q1040" s="10">
        <f>IFERROR(IF(('Loading-drum,tote'!$C$21)="No control",SUMIF(('Loading-drum,tote'!$B$31:$B$48),$J1040,('Loading-drum,tote'!$D$31:$D$48))*Impacts!$F$13,IF(('Loading-drum,tote'!$C$21)&lt;&gt;"No control",SUMIF(('Loading-drum,tote'!$B$31:$B$48),$J1040,('Loading-drum,tote'!$E$31:$E$48))*Impacts!$F$13,0)),0)</f>
        <v>0</v>
      </c>
      <c r="R1040" s="10">
        <f>IFERROR(IF(('Loading-truck'!$C$21)="No control",SUMIF(('Loading-truck'!$B$31:$B$48),$J1040,('Loading-truck'!$D$31:$D$48))*Impacts!$F$14,IF(('Loading-truck'!$C$21)&lt;&gt;"No control",SUMIF(('Loading-truck'!$B$31:$B$48),$J1040,('Loading-truck'!$E$31:$E$48))*Impacts!$F$14,0)),0)</f>
        <v>0</v>
      </c>
      <c r="S1040" s="10">
        <f>IFERROR(IF(('Loading-rail'!$C$21)="No control",SUMIF(('Loading-rail'!$B$31:$B$48),$J1040,('Loading-rail'!$D$31:$D$48))*Impacts!$F$15,IF(('Loading-rail'!$C$21)&lt;&gt;"No control",SUMIF(('Loading-rail'!$B$31:$B$48),$J1040,('Loading-rail'!$E$31:$E$48))*Impacts!$F$15,0)),0)</f>
        <v>0</v>
      </c>
      <c r="T1040" s="10">
        <f>IF(Flare!$C$7="",0,(SUMIF(Flare!$B$46:$B$185,$J1040,Flare!$E$46:$E$185)*Impacts!$F$16))</f>
        <v>0</v>
      </c>
      <c r="U1040" s="10">
        <f>IF(VCU!$C$9="",0,(SUMIF(VCU!$B$51:$B$193,$J1040,VCU!$E$51:$E$193)*Impacts!$F$17))</f>
        <v>0</v>
      </c>
      <c r="V1040" s="10">
        <f>IF(CAS!$C$7="",0,(SUMIF(CAS!$B$31:$B$167,$J1040,CAS!$E$31:$E$167)*Impacts!$F$18))</f>
        <v>0</v>
      </c>
      <c r="W1040" s="10">
        <f t="shared" si="58"/>
        <v>0</v>
      </c>
      <c r="AK1040" s="10" t="str">
        <f t="array" ref="AK1040">IFERROR(INDEX(SelectedSpecies,SMALL(IF(SelectedSpecies=AK$1,ROW(SelectedSpecies)),ROW(1041:1041)),2),"")</f>
        <v/>
      </c>
      <c r="BE1040" s="10"/>
      <c r="BI1040" s="10"/>
    </row>
    <row r="1041" spans="1:61" ht="21" customHeight="1" x14ac:dyDescent="0.25">
      <c r="A1041" s="10"/>
      <c r="B1041" s="10"/>
      <c r="E1041" s="10"/>
      <c r="G1041" s="10"/>
      <c r="I1041" s="436" t="s">
        <v>2745</v>
      </c>
      <c r="J1041" s="26" t="s">
        <v>2744</v>
      </c>
      <c r="K1041" s="10">
        <v>10</v>
      </c>
      <c r="L1041" s="73">
        <f>IF(Tank1!$C$23="No control",(SUMIF(Tank1!$B$32:$B$49,$J1041,Tank1!$C$32:$C$49)*Impacts!$F$8),0)</f>
        <v>0</v>
      </c>
      <c r="M1041" s="10">
        <f>IF(Tank2!$C$23="No control",(SUMIF(Tank2!$B$32:$B$49,$J1041,Tank2!$C$32:$C$49)*Impacts!$F$9),0)</f>
        <v>0</v>
      </c>
      <c r="N1041" s="10">
        <f>IF(Tank3!$C$23="No control",(SUMIF(Tank3!$B$32:$B$49,$J1041,Tank3!$C$32:$C$49)*Impacts!$F$10),0)</f>
        <v>0</v>
      </c>
      <c r="O1041" s="10">
        <f>IF(Tank4!$C$23="No control",(SUMIF(Tank4!$B$32:$B$49,$J1041,Tank4!$C$32:$C$49)*Impacts!$F$11),0)</f>
        <v>0</v>
      </c>
      <c r="P1041" s="10">
        <f>IF(Tank5!$C$23="No control",(SUMIF(Tank5!$B$32:$B$49,$J1041,Tank5!$C$32:$C$49)*Impacts!$F$12),0)</f>
        <v>0</v>
      </c>
      <c r="Q1041" s="10">
        <f>IFERROR(IF(('Loading-drum,tote'!$C$21)="No control",SUMIF(('Loading-drum,tote'!$B$31:$B$48),$J1041,('Loading-drum,tote'!$D$31:$D$48))*Impacts!$F$13,IF(('Loading-drum,tote'!$C$21)&lt;&gt;"No control",SUMIF(('Loading-drum,tote'!$B$31:$B$48),$J1041,('Loading-drum,tote'!$E$31:$E$48))*Impacts!$F$13,0)),0)</f>
        <v>0</v>
      </c>
      <c r="R1041" s="10">
        <f>IFERROR(IF(('Loading-truck'!$C$21)="No control",SUMIF(('Loading-truck'!$B$31:$B$48),$J1041,('Loading-truck'!$D$31:$D$48))*Impacts!$F$14,IF(('Loading-truck'!$C$21)&lt;&gt;"No control",SUMIF(('Loading-truck'!$B$31:$B$48),$J1041,('Loading-truck'!$E$31:$E$48))*Impacts!$F$14,0)),0)</f>
        <v>0</v>
      </c>
      <c r="S1041" s="10">
        <f>IFERROR(IF(('Loading-rail'!$C$21)="No control",SUMIF(('Loading-rail'!$B$31:$B$48),$J1041,('Loading-rail'!$D$31:$D$48))*Impacts!$F$15,IF(('Loading-rail'!$C$21)&lt;&gt;"No control",SUMIF(('Loading-rail'!$B$31:$B$48),$J1041,('Loading-rail'!$E$31:$E$48))*Impacts!$F$15,0)),0)</f>
        <v>0</v>
      </c>
      <c r="T1041" s="10">
        <f>IF(Flare!$C$7="",0,(SUMIF(Flare!$B$46:$B$185,$J1041,Flare!$E$46:$E$185)*Impacts!$F$16))</f>
        <v>0</v>
      </c>
      <c r="U1041" s="10">
        <f>IF(VCU!$C$9="",0,(SUMIF(VCU!$B$51:$B$193,$J1041,VCU!$E$51:$E$193)*Impacts!$F$17))</f>
        <v>0</v>
      </c>
      <c r="V1041" s="10">
        <f>IF(CAS!$C$7="",0,(SUMIF(CAS!$B$31:$B$167,$J1041,CAS!$E$31:$E$167)*Impacts!$F$18))</f>
        <v>0</v>
      </c>
      <c r="W1041" s="10">
        <f t="shared" si="58"/>
        <v>0</v>
      </c>
      <c r="AK1041" s="10" t="str">
        <f t="array" ref="AK1041">IFERROR(INDEX(SelectedSpecies,SMALL(IF(SelectedSpecies=AK$1,ROW(SelectedSpecies)),ROW(1042:1042)),2),"")</f>
        <v/>
      </c>
      <c r="BE1041" s="10"/>
      <c r="BI1041" s="10"/>
    </row>
    <row r="1042" spans="1:61" ht="21" customHeight="1" x14ac:dyDescent="0.25">
      <c r="A1042" s="10"/>
      <c r="B1042" s="10"/>
      <c r="E1042" s="10"/>
      <c r="G1042" s="10"/>
      <c r="I1042" s="436" t="s">
        <v>4453</v>
      </c>
      <c r="J1042" s="26" t="s">
        <v>4452</v>
      </c>
      <c r="K1042" s="10">
        <v>4.5</v>
      </c>
      <c r="L1042" s="73">
        <f>IF(Tank1!$C$23="No control",(SUMIF(Tank1!$B$32:$B$49,$J1042,Tank1!$C$32:$C$49)*Impacts!$F$8),0)</f>
        <v>0</v>
      </c>
      <c r="M1042" s="10">
        <f>IF(Tank2!$C$23="No control",(SUMIF(Tank2!$B$32:$B$49,$J1042,Tank2!$C$32:$C$49)*Impacts!$F$9),0)</f>
        <v>0</v>
      </c>
      <c r="N1042" s="10">
        <f>IF(Tank3!$C$23="No control",(SUMIF(Tank3!$B$32:$B$49,$J1042,Tank3!$C$32:$C$49)*Impacts!$F$10),0)</f>
        <v>0</v>
      </c>
      <c r="O1042" s="10">
        <f>IF(Tank4!$C$23="No control",(SUMIF(Tank4!$B$32:$B$49,$J1042,Tank4!$C$32:$C$49)*Impacts!$F$11),0)</f>
        <v>0</v>
      </c>
      <c r="P1042" s="10">
        <f>IF(Tank5!$C$23="No control",(SUMIF(Tank5!$B$32:$B$49,$J1042,Tank5!$C$32:$C$49)*Impacts!$F$12),0)</f>
        <v>0</v>
      </c>
      <c r="Q1042" s="10">
        <f>IFERROR(IF(('Loading-drum,tote'!$C$21)="No control",SUMIF(('Loading-drum,tote'!$B$31:$B$48),$J1042,('Loading-drum,tote'!$D$31:$D$48))*Impacts!$F$13,IF(('Loading-drum,tote'!$C$21)&lt;&gt;"No control",SUMIF(('Loading-drum,tote'!$B$31:$B$48),$J1042,('Loading-drum,tote'!$E$31:$E$48))*Impacts!$F$13,0)),0)</f>
        <v>0</v>
      </c>
      <c r="R1042" s="10">
        <f>IFERROR(IF(('Loading-truck'!$C$21)="No control",SUMIF(('Loading-truck'!$B$31:$B$48),$J1042,('Loading-truck'!$D$31:$D$48))*Impacts!$F$14,IF(('Loading-truck'!$C$21)&lt;&gt;"No control",SUMIF(('Loading-truck'!$B$31:$B$48),$J1042,('Loading-truck'!$E$31:$E$48))*Impacts!$F$14,0)),0)</f>
        <v>0</v>
      </c>
      <c r="S1042" s="10">
        <f>IFERROR(IF(('Loading-rail'!$C$21)="No control",SUMIF(('Loading-rail'!$B$31:$B$48),$J1042,('Loading-rail'!$D$31:$D$48))*Impacts!$F$15,IF(('Loading-rail'!$C$21)&lt;&gt;"No control",SUMIF(('Loading-rail'!$B$31:$B$48),$J1042,('Loading-rail'!$E$31:$E$48))*Impacts!$F$15,0)),0)</f>
        <v>0</v>
      </c>
      <c r="T1042" s="10">
        <f>IF(Flare!$C$7="",0,(SUMIF(Flare!$B$46:$B$185,$J1042,Flare!$E$46:$E$185)*Impacts!$F$16))</f>
        <v>0</v>
      </c>
      <c r="U1042" s="10">
        <f>IF(VCU!$C$9="",0,(SUMIF(VCU!$B$51:$B$193,$J1042,VCU!$E$51:$E$193)*Impacts!$F$17))</f>
        <v>0</v>
      </c>
      <c r="V1042" s="10">
        <f>IF(CAS!$C$7="",0,(SUMIF(CAS!$B$31:$B$167,$J1042,CAS!$E$31:$E$167)*Impacts!$F$18))</f>
        <v>0</v>
      </c>
      <c r="W1042" s="10">
        <f t="shared" si="58"/>
        <v>0</v>
      </c>
      <c r="AK1042" s="10" t="str">
        <f t="array" ref="AK1042">IFERROR(INDEX(SelectedSpecies,SMALL(IF(SelectedSpecies=AK$1,ROW(SelectedSpecies)),ROW(1043:1043)),2),"")</f>
        <v/>
      </c>
      <c r="BE1042" s="10"/>
      <c r="BI1042" s="10"/>
    </row>
    <row r="1043" spans="1:61" ht="21" customHeight="1" x14ac:dyDescent="0.25">
      <c r="A1043" s="10"/>
      <c r="B1043" s="10"/>
      <c r="E1043" s="10"/>
      <c r="G1043" s="10"/>
      <c r="I1043" s="436" t="s">
        <v>7250</v>
      </c>
      <c r="J1043" s="26" t="s">
        <v>7249</v>
      </c>
      <c r="K1043" s="10">
        <v>0.30000000000000004</v>
      </c>
      <c r="L1043" s="73">
        <f>IF(Tank1!$C$23="No control",(SUMIF(Tank1!$B$32:$B$49,$J1043,Tank1!$C$32:$C$49)*Impacts!$F$8),0)</f>
        <v>0</v>
      </c>
      <c r="M1043" s="10">
        <f>IF(Tank2!$C$23="No control",(SUMIF(Tank2!$B$32:$B$49,$J1043,Tank2!$C$32:$C$49)*Impacts!$F$9),0)</f>
        <v>0</v>
      </c>
      <c r="N1043" s="10">
        <f>IF(Tank3!$C$23="No control",(SUMIF(Tank3!$B$32:$B$49,$J1043,Tank3!$C$32:$C$49)*Impacts!$F$10),0)</f>
        <v>0</v>
      </c>
      <c r="O1043" s="10">
        <f>IF(Tank4!$C$23="No control",(SUMIF(Tank4!$B$32:$B$49,$J1043,Tank4!$C$32:$C$49)*Impacts!$F$11),0)</f>
        <v>0</v>
      </c>
      <c r="P1043" s="10">
        <f>IF(Tank5!$C$23="No control",(SUMIF(Tank5!$B$32:$B$49,$J1043,Tank5!$C$32:$C$49)*Impacts!$F$12),0)</f>
        <v>0</v>
      </c>
      <c r="Q1043" s="10">
        <f>IFERROR(IF(('Loading-drum,tote'!$C$21)="No control",SUMIF(('Loading-drum,tote'!$B$31:$B$48),$J1043,('Loading-drum,tote'!$D$31:$D$48))*Impacts!$F$13,IF(('Loading-drum,tote'!$C$21)&lt;&gt;"No control",SUMIF(('Loading-drum,tote'!$B$31:$B$48),$J1043,('Loading-drum,tote'!$E$31:$E$48))*Impacts!$F$13,0)),0)</f>
        <v>0</v>
      </c>
      <c r="R1043" s="10">
        <f>IFERROR(IF(('Loading-truck'!$C$21)="No control",SUMIF(('Loading-truck'!$B$31:$B$48),$J1043,('Loading-truck'!$D$31:$D$48))*Impacts!$F$14,IF(('Loading-truck'!$C$21)&lt;&gt;"No control",SUMIF(('Loading-truck'!$B$31:$B$48),$J1043,('Loading-truck'!$E$31:$E$48))*Impacts!$F$14,0)),0)</f>
        <v>0</v>
      </c>
      <c r="S1043" s="10">
        <f>IFERROR(IF(('Loading-rail'!$C$21)="No control",SUMIF(('Loading-rail'!$B$31:$B$48),$J1043,('Loading-rail'!$D$31:$D$48))*Impacts!$F$15,IF(('Loading-rail'!$C$21)&lt;&gt;"No control",SUMIF(('Loading-rail'!$B$31:$B$48),$J1043,('Loading-rail'!$E$31:$E$48))*Impacts!$F$15,0)),0)</f>
        <v>0</v>
      </c>
      <c r="T1043" s="10">
        <f>IF(Flare!$C$7="",0,(SUMIF(Flare!$B$46:$B$185,$J1043,Flare!$E$46:$E$185)*Impacts!$F$16))</f>
        <v>0</v>
      </c>
      <c r="U1043" s="10">
        <f>IF(VCU!$C$9="",0,(SUMIF(VCU!$B$51:$B$193,$J1043,VCU!$E$51:$E$193)*Impacts!$F$17))</f>
        <v>0</v>
      </c>
      <c r="V1043" s="10">
        <f>IF(CAS!$C$7="",0,(SUMIF(CAS!$B$31:$B$167,$J1043,CAS!$E$31:$E$167)*Impacts!$F$18))</f>
        <v>0</v>
      </c>
      <c r="W1043" s="10">
        <f t="shared" si="58"/>
        <v>0</v>
      </c>
      <c r="AK1043" s="10" t="str">
        <f t="array" ref="AK1043">IFERROR(INDEX(SelectedSpecies,SMALL(IF(SelectedSpecies=AK$1,ROW(SelectedSpecies)),ROW(1044:1044)),2),"")</f>
        <v/>
      </c>
      <c r="BE1043" s="10"/>
      <c r="BI1043" s="10"/>
    </row>
    <row r="1044" spans="1:61" ht="21" customHeight="1" x14ac:dyDescent="0.25">
      <c r="A1044" s="10"/>
      <c r="B1044" s="10"/>
      <c r="E1044" s="10"/>
      <c r="G1044" s="10"/>
      <c r="I1044" s="436" t="s">
        <v>1795</v>
      </c>
      <c r="J1044" s="26" t="s">
        <v>1794</v>
      </c>
      <c r="K1044" s="10">
        <v>22</v>
      </c>
      <c r="L1044" s="73">
        <f>IF(Tank1!$C$23="No control",(SUMIF(Tank1!$B$32:$B$49,$J1044,Tank1!$C$32:$C$49)*Impacts!$F$8),0)</f>
        <v>0</v>
      </c>
      <c r="M1044" s="10">
        <f>IF(Tank2!$C$23="No control",(SUMIF(Tank2!$B$32:$B$49,$J1044,Tank2!$C$32:$C$49)*Impacts!$F$9),0)</f>
        <v>0</v>
      </c>
      <c r="N1044" s="10">
        <f>IF(Tank3!$C$23="No control",(SUMIF(Tank3!$B$32:$B$49,$J1044,Tank3!$C$32:$C$49)*Impacts!$F$10),0)</f>
        <v>0</v>
      </c>
      <c r="O1044" s="10">
        <f>IF(Tank4!$C$23="No control",(SUMIF(Tank4!$B$32:$B$49,$J1044,Tank4!$C$32:$C$49)*Impacts!$F$11),0)</f>
        <v>0</v>
      </c>
      <c r="P1044" s="10">
        <f>IF(Tank5!$C$23="No control",(SUMIF(Tank5!$B$32:$B$49,$J1044,Tank5!$C$32:$C$49)*Impacts!$F$12),0)</f>
        <v>0</v>
      </c>
      <c r="Q1044" s="10">
        <f>IFERROR(IF(('Loading-drum,tote'!$C$21)="No control",SUMIF(('Loading-drum,tote'!$B$31:$B$48),$J1044,('Loading-drum,tote'!$D$31:$D$48))*Impacts!$F$13,IF(('Loading-drum,tote'!$C$21)&lt;&gt;"No control",SUMIF(('Loading-drum,tote'!$B$31:$B$48),$J1044,('Loading-drum,tote'!$E$31:$E$48))*Impacts!$F$13,0)),0)</f>
        <v>0</v>
      </c>
      <c r="R1044" s="10">
        <f>IFERROR(IF(('Loading-truck'!$C$21)="No control",SUMIF(('Loading-truck'!$B$31:$B$48),$J1044,('Loading-truck'!$D$31:$D$48))*Impacts!$F$14,IF(('Loading-truck'!$C$21)&lt;&gt;"No control",SUMIF(('Loading-truck'!$B$31:$B$48),$J1044,('Loading-truck'!$E$31:$E$48))*Impacts!$F$14,0)),0)</f>
        <v>0</v>
      </c>
      <c r="S1044" s="10">
        <f>IFERROR(IF(('Loading-rail'!$C$21)="No control",SUMIF(('Loading-rail'!$B$31:$B$48),$J1044,('Loading-rail'!$D$31:$D$48))*Impacts!$F$15,IF(('Loading-rail'!$C$21)&lt;&gt;"No control",SUMIF(('Loading-rail'!$B$31:$B$48),$J1044,('Loading-rail'!$E$31:$E$48))*Impacts!$F$15,0)),0)</f>
        <v>0</v>
      </c>
      <c r="T1044" s="10">
        <f>IF(Flare!$C$7="",0,(SUMIF(Flare!$B$46:$B$185,$J1044,Flare!$E$46:$E$185)*Impacts!$F$16))</f>
        <v>0</v>
      </c>
      <c r="U1044" s="10">
        <f>IF(VCU!$C$9="",0,(SUMIF(VCU!$B$51:$B$193,$J1044,VCU!$E$51:$E$193)*Impacts!$F$17))</f>
        <v>0</v>
      </c>
      <c r="V1044" s="10">
        <f>IF(CAS!$C$7="",0,(SUMIF(CAS!$B$31:$B$167,$J1044,CAS!$E$31:$E$167)*Impacts!$F$18))</f>
        <v>0</v>
      </c>
      <c r="W1044" s="10">
        <f t="shared" si="58"/>
        <v>0</v>
      </c>
      <c r="AK1044" s="10" t="str">
        <f t="array" ref="AK1044">IFERROR(INDEX(SelectedSpecies,SMALL(IF(SelectedSpecies=AK$1,ROW(SelectedSpecies)),ROW(1045:1045)),2),"")</f>
        <v/>
      </c>
      <c r="BE1044" s="10"/>
      <c r="BI1044" s="10"/>
    </row>
    <row r="1045" spans="1:61" ht="21" customHeight="1" x14ac:dyDescent="0.25">
      <c r="A1045" s="10"/>
      <c r="B1045" s="10"/>
      <c r="E1045" s="10"/>
      <c r="G1045" s="10"/>
      <c r="I1045" s="436" t="s">
        <v>5792</v>
      </c>
      <c r="J1045" s="26" t="s">
        <v>5791</v>
      </c>
      <c r="K1045" s="10">
        <v>1</v>
      </c>
      <c r="L1045" s="73">
        <f>IF(Tank1!$C$23="No control",(SUMIF(Tank1!$B$32:$B$49,$J1045,Tank1!$C$32:$C$49)*Impacts!$F$8),0)</f>
        <v>0</v>
      </c>
      <c r="M1045" s="10">
        <f>IF(Tank2!$C$23="No control",(SUMIF(Tank2!$B$32:$B$49,$J1045,Tank2!$C$32:$C$49)*Impacts!$F$9),0)</f>
        <v>0</v>
      </c>
      <c r="N1045" s="10">
        <f>IF(Tank3!$C$23="No control",(SUMIF(Tank3!$B$32:$B$49,$J1045,Tank3!$C$32:$C$49)*Impacts!$F$10),0)</f>
        <v>0</v>
      </c>
      <c r="O1045" s="10">
        <f>IF(Tank4!$C$23="No control",(SUMIF(Tank4!$B$32:$B$49,$J1045,Tank4!$C$32:$C$49)*Impacts!$F$11),0)</f>
        <v>0</v>
      </c>
      <c r="P1045" s="10">
        <f>IF(Tank5!$C$23="No control",(SUMIF(Tank5!$B$32:$B$49,$J1045,Tank5!$C$32:$C$49)*Impacts!$F$12),0)</f>
        <v>0</v>
      </c>
      <c r="Q1045" s="10">
        <f>IFERROR(IF(('Loading-drum,tote'!$C$21)="No control",SUMIF(('Loading-drum,tote'!$B$31:$B$48),$J1045,('Loading-drum,tote'!$D$31:$D$48))*Impacts!$F$13,IF(('Loading-drum,tote'!$C$21)&lt;&gt;"No control",SUMIF(('Loading-drum,tote'!$B$31:$B$48),$J1045,('Loading-drum,tote'!$E$31:$E$48))*Impacts!$F$13,0)),0)</f>
        <v>0</v>
      </c>
      <c r="R1045" s="10">
        <f>IFERROR(IF(('Loading-truck'!$C$21)="No control",SUMIF(('Loading-truck'!$B$31:$B$48),$J1045,('Loading-truck'!$D$31:$D$48))*Impacts!$F$14,IF(('Loading-truck'!$C$21)&lt;&gt;"No control",SUMIF(('Loading-truck'!$B$31:$B$48),$J1045,('Loading-truck'!$E$31:$E$48))*Impacts!$F$14,0)),0)</f>
        <v>0</v>
      </c>
      <c r="S1045" s="10">
        <f>IFERROR(IF(('Loading-rail'!$C$21)="No control",SUMIF(('Loading-rail'!$B$31:$B$48),$J1045,('Loading-rail'!$D$31:$D$48))*Impacts!$F$15,IF(('Loading-rail'!$C$21)&lt;&gt;"No control",SUMIF(('Loading-rail'!$B$31:$B$48),$J1045,('Loading-rail'!$E$31:$E$48))*Impacts!$F$15,0)),0)</f>
        <v>0</v>
      </c>
      <c r="T1045" s="10">
        <f>IF(Flare!$C$7="",0,(SUMIF(Flare!$B$46:$B$185,$J1045,Flare!$E$46:$E$185)*Impacts!$F$16))</f>
        <v>0</v>
      </c>
      <c r="U1045" s="10">
        <f>IF(VCU!$C$9="",0,(SUMIF(VCU!$B$51:$B$193,$J1045,VCU!$E$51:$E$193)*Impacts!$F$17))</f>
        <v>0</v>
      </c>
      <c r="V1045" s="10">
        <f>IF(CAS!$C$7="",0,(SUMIF(CAS!$B$31:$B$167,$J1045,CAS!$E$31:$E$167)*Impacts!$F$18))</f>
        <v>0</v>
      </c>
      <c r="W1045" s="10">
        <f t="shared" si="58"/>
        <v>0</v>
      </c>
      <c r="AK1045" s="10" t="str">
        <f t="array" ref="AK1045">IFERROR(INDEX(SelectedSpecies,SMALL(IF(SelectedSpecies=AK$1,ROW(SelectedSpecies)),ROW(1046:1046)),2),"")</f>
        <v/>
      </c>
      <c r="BE1045" s="10"/>
      <c r="BI1045" s="10"/>
    </row>
    <row r="1046" spans="1:61" ht="21" customHeight="1" x14ac:dyDescent="0.25">
      <c r="A1046" s="10"/>
      <c r="B1046" s="10"/>
      <c r="E1046" s="10"/>
      <c r="G1046" s="10"/>
      <c r="I1046" s="436" t="s">
        <v>4367</v>
      </c>
      <c r="J1046" s="26" t="s">
        <v>4366</v>
      </c>
      <c r="K1046" s="10">
        <v>4.8000000000000007</v>
      </c>
      <c r="L1046" s="73">
        <f>IF(Tank1!$C$23="No control",(SUMIF(Tank1!$B$32:$B$49,$J1046,Tank1!$C$32:$C$49)*Impacts!$F$8),0)</f>
        <v>0</v>
      </c>
      <c r="M1046" s="10">
        <f>IF(Tank2!$C$23="No control",(SUMIF(Tank2!$B$32:$B$49,$J1046,Tank2!$C$32:$C$49)*Impacts!$F$9),0)</f>
        <v>0</v>
      </c>
      <c r="N1046" s="10">
        <f>IF(Tank3!$C$23="No control",(SUMIF(Tank3!$B$32:$B$49,$J1046,Tank3!$C$32:$C$49)*Impacts!$F$10),0)</f>
        <v>0</v>
      </c>
      <c r="O1046" s="10">
        <f>IF(Tank4!$C$23="No control",(SUMIF(Tank4!$B$32:$B$49,$J1046,Tank4!$C$32:$C$49)*Impacts!$F$11),0)</f>
        <v>0</v>
      </c>
      <c r="P1046" s="10">
        <f>IF(Tank5!$C$23="No control",(SUMIF(Tank5!$B$32:$B$49,$J1046,Tank5!$C$32:$C$49)*Impacts!$F$12),0)</f>
        <v>0</v>
      </c>
      <c r="Q1046" s="10">
        <f>IFERROR(IF(('Loading-drum,tote'!$C$21)="No control",SUMIF(('Loading-drum,tote'!$B$31:$B$48),$J1046,('Loading-drum,tote'!$D$31:$D$48))*Impacts!$F$13,IF(('Loading-drum,tote'!$C$21)&lt;&gt;"No control",SUMIF(('Loading-drum,tote'!$B$31:$B$48),$J1046,('Loading-drum,tote'!$E$31:$E$48))*Impacts!$F$13,0)),0)</f>
        <v>0</v>
      </c>
      <c r="R1046" s="10">
        <f>IFERROR(IF(('Loading-truck'!$C$21)="No control",SUMIF(('Loading-truck'!$B$31:$B$48),$J1046,('Loading-truck'!$D$31:$D$48))*Impacts!$F$14,IF(('Loading-truck'!$C$21)&lt;&gt;"No control",SUMIF(('Loading-truck'!$B$31:$B$48),$J1046,('Loading-truck'!$E$31:$E$48))*Impacts!$F$14,0)),0)</f>
        <v>0</v>
      </c>
      <c r="S1046" s="10">
        <f>IFERROR(IF(('Loading-rail'!$C$21)="No control",SUMIF(('Loading-rail'!$B$31:$B$48),$J1046,('Loading-rail'!$D$31:$D$48))*Impacts!$F$15,IF(('Loading-rail'!$C$21)&lt;&gt;"No control",SUMIF(('Loading-rail'!$B$31:$B$48),$J1046,('Loading-rail'!$E$31:$E$48))*Impacts!$F$15,0)),0)</f>
        <v>0</v>
      </c>
      <c r="T1046" s="10">
        <f>IF(Flare!$C$7="",0,(SUMIF(Flare!$B$46:$B$185,$J1046,Flare!$E$46:$E$185)*Impacts!$F$16))</f>
        <v>0</v>
      </c>
      <c r="U1046" s="10">
        <f>IF(VCU!$C$9="",0,(SUMIF(VCU!$B$51:$B$193,$J1046,VCU!$E$51:$E$193)*Impacts!$F$17))</f>
        <v>0</v>
      </c>
      <c r="V1046" s="10">
        <f>IF(CAS!$C$7="",0,(SUMIF(CAS!$B$31:$B$167,$J1046,CAS!$E$31:$E$167)*Impacts!$F$18))</f>
        <v>0</v>
      </c>
      <c r="W1046" s="10">
        <f t="shared" si="58"/>
        <v>0</v>
      </c>
      <c r="AK1046" s="10" t="str">
        <f t="array" ref="AK1046">IFERROR(INDEX(SelectedSpecies,SMALL(IF(SelectedSpecies=AK$1,ROW(SelectedSpecies)),ROW(1047:1047)),2),"")</f>
        <v/>
      </c>
      <c r="BE1046" s="10"/>
      <c r="BI1046" s="10"/>
    </row>
    <row r="1047" spans="1:61" ht="21" customHeight="1" x14ac:dyDescent="0.25">
      <c r="A1047" s="10"/>
      <c r="B1047" s="10"/>
      <c r="E1047" s="10"/>
      <c r="G1047" s="10"/>
      <c r="I1047" s="436" t="s">
        <v>2747</v>
      </c>
      <c r="J1047" s="26" t="s">
        <v>2746</v>
      </c>
      <c r="K1047" s="10">
        <v>10</v>
      </c>
      <c r="L1047" s="73">
        <f>IF(Tank1!$C$23="No control",(SUMIF(Tank1!$B$32:$B$49,$J1047,Tank1!$C$32:$C$49)*Impacts!$F$8),0)</f>
        <v>0</v>
      </c>
      <c r="M1047" s="10">
        <f>IF(Tank2!$C$23="No control",(SUMIF(Tank2!$B$32:$B$49,$J1047,Tank2!$C$32:$C$49)*Impacts!$F$9),0)</f>
        <v>0</v>
      </c>
      <c r="N1047" s="10">
        <f>IF(Tank3!$C$23="No control",(SUMIF(Tank3!$B$32:$B$49,$J1047,Tank3!$C$32:$C$49)*Impacts!$F$10),0)</f>
        <v>0</v>
      </c>
      <c r="O1047" s="10">
        <f>IF(Tank4!$C$23="No control",(SUMIF(Tank4!$B$32:$B$49,$J1047,Tank4!$C$32:$C$49)*Impacts!$F$11),0)</f>
        <v>0</v>
      </c>
      <c r="P1047" s="10">
        <f>IF(Tank5!$C$23="No control",(SUMIF(Tank5!$B$32:$B$49,$J1047,Tank5!$C$32:$C$49)*Impacts!$F$12),0)</f>
        <v>0</v>
      </c>
      <c r="Q1047" s="10">
        <f>IFERROR(IF(('Loading-drum,tote'!$C$21)="No control",SUMIF(('Loading-drum,tote'!$B$31:$B$48),$J1047,('Loading-drum,tote'!$D$31:$D$48))*Impacts!$F$13,IF(('Loading-drum,tote'!$C$21)&lt;&gt;"No control",SUMIF(('Loading-drum,tote'!$B$31:$B$48),$J1047,('Loading-drum,tote'!$E$31:$E$48))*Impacts!$F$13,0)),0)</f>
        <v>0</v>
      </c>
      <c r="R1047" s="10">
        <f>IFERROR(IF(('Loading-truck'!$C$21)="No control",SUMIF(('Loading-truck'!$B$31:$B$48),$J1047,('Loading-truck'!$D$31:$D$48))*Impacts!$F$14,IF(('Loading-truck'!$C$21)&lt;&gt;"No control",SUMIF(('Loading-truck'!$B$31:$B$48),$J1047,('Loading-truck'!$E$31:$E$48))*Impacts!$F$14,0)),0)</f>
        <v>0</v>
      </c>
      <c r="S1047" s="10">
        <f>IFERROR(IF(('Loading-rail'!$C$21)="No control",SUMIF(('Loading-rail'!$B$31:$B$48),$J1047,('Loading-rail'!$D$31:$D$48))*Impacts!$F$15,IF(('Loading-rail'!$C$21)&lt;&gt;"No control",SUMIF(('Loading-rail'!$B$31:$B$48),$J1047,('Loading-rail'!$E$31:$E$48))*Impacts!$F$15,0)),0)</f>
        <v>0</v>
      </c>
      <c r="T1047" s="10">
        <f>IF(Flare!$C$7="",0,(SUMIF(Flare!$B$46:$B$185,$J1047,Flare!$E$46:$E$185)*Impacts!$F$16))</f>
        <v>0</v>
      </c>
      <c r="U1047" s="10">
        <f>IF(VCU!$C$9="",0,(SUMIF(VCU!$B$51:$B$193,$J1047,VCU!$E$51:$E$193)*Impacts!$F$17))</f>
        <v>0</v>
      </c>
      <c r="V1047" s="10">
        <f>IF(CAS!$C$7="",0,(SUMIF(CAS!$B$31:$B$167,$J1047,CAS!$E$31:$E$167)*Impacts!$F$18))</f>
        <v>0</v>
      </c>
      <c r="W1047" s="10">
        <f t="shared" si="58"/>
        <v>0</v>
      </c>
      <c r="AK1047" s="10" t="str">
        <f t="array" ref="AK1047">IFERROR(INDEX(SelectedSpecies,SMALL(IF(SelectedSpecies=AK$1,ROW(SelectedSpecies)),ROW(1048:1048)),2),"")</f>
        <v/>
      </c>
      <c r="BE1047" s="10"/>
      <c r="BI1047" s="10"/>
    </row>
    <row r="1048" spans="1:61" ht="21" customHeight="1" x14ac:dyDescent="0.25">
      <c r="A1048" s="10"/>
      <c r="B1048" s="10"/>
      <c r="E1048" s="10"/>
      <c r="G1048" s="10"/>
      <c r="I1048" s="436" t="s">
        <v>7354</v>
      </c>
      <c r="J1048" s="26" t="s">
        <v>7353</v>
      </c>
      <c r="K1048" s="10">
        <v>0.25</v>
      </c>
      <c r="L1048" s="73">
        <f>IF(Tank1!$C$23="No control",(SUMIF(Tank1!$B$32:$B$49,$J1048,Tank1!$C$32:$C$49)*Impacts!$F$8),0)</f>
        <v>0</v>
      </c>
      <c r="M1048" s="10">
        <f>IF(Tank2!$C$23="No control",(SUMIF(Tank2!$B$32:$B$49,$J1048,Tank2!$C$32:$C$49)*Impacts!$F$9),0)</f>
        <v>0</v>
      </c>
      <c r="N1048" s="10">
        <f>IF(Tank3!$C$23="No control",(SUMIF(Tank3!$B$32:$B$49,$J1048,Tank3!$C$32:$C$49)*Impacts!$F$10),0)</f>
        <v>0</v>
      </c>
      <c r="O1048" s="10">
        <f>IF(Tank4!$C$23="No control",(SUMIF(Tank4!$B$32:$B$49,$J1048,Tank4!$C$32:$C$49)*Impacts!$F$11),0)</f>
        <v>0</v>
      </c>
      <c r="P1048" s="10">
        <f>IF(Tank5!$C$23="No control",(SUMIF(Tank5!$B$32:$B$49,$J1048,Tank5!$C$32:$C$49)*Impacts!$F$12),0)</f>
        <v>0</v>
      </c>
      <c r="Q1048" s="10">
        <f>IFERROR(IF(('Loading-drum,tote'!$C$21)="No control",SUMIF(('Loading-drum,tote'!$B$31:$B$48),$J1048,('Loading-drum,tote'!$D$31:$D$48))*Impacts!$F$13,IF(('Loading-drum,tote'!$C$21)&lt;&gt;"No control",SUMIF(('Loading-drum,tote'!$B$31:$B$48),$J1048,('Loading-drum,tote'!$E$31:$E$48))*Impacts!$F$13,0)),0)</f>
        <v>0</v>
      </c>
      <c r="R1048" s="10">
        <f>IFERROR(IF(('Loading-truck'!$C$21)="No control",SUMIF(('Loading-truck'!$B$31:$B$48),$J1048,('Loading-truck'!$D$31:$D$48))*Impacts!$F$14,IF(('Loading-truck'!$C$21)&lt;&gt;"No control",SUMIF(('Loading-truck'!$B$31:$B$48),$J1048,('Loading-truck'!$E$31:$E$48))*Impacts!$F$14,0)),0)</f>
        <v>0</v>
      </c>
      <c r="S1048" s="10">
        <f>IFERROR(IF(('Loading-rail'!$C$21)="No control",SUMIF(('Loading-rail'!$B$31:$B$48),$J1048,('Loading-rail'!$D$31:$D$48))*Impacts!$F$15,IF(('Loading-rail'!$C$21)&lt;&gt;"No control",SUMIF(('Loading-rail'!$B$31:$B$48),$J1048,('Loading-rail'!$E$31:$E$48))*Impacts!$F$15,0)),0)</f>
        <v>0</v>
      </c>
      <c r="T1048" s="10">
        <f>IF(Flare!$C$7="",0,(SUMIF(Flare!$B$46:$B$185,$J1048,Flare!$E$46:$E$185)*Impacts!$F$16))</f>
        <v>0</v>
      </c>
      <c r="U1048" s="10">
        <f>IF(VCU!$C$9="",0,(SUMIF(VCU!$B$51:$B$193,$J1048,VCU!$E$51:$E$193)*Impacts!$F$17))</f>
        <v>0</v>
      </c>
      <c r="V1048" s="10">
        <f>IF(CAS!$C$7="",0,(SUMIF(CAS!$B$31:$B$167,$J1048,CAS!$E$31:$E$167)*Impacts!$F$18))</f>
        <v>0</v>
      </c>
      <c r="W1048" s="10">
        <f t="shared" si="58"/>
        <v>0</v>
      </c>
      <c r="AK1048" s="10" t="str">
        <f t="array" ref="AK1048">IFERROR(INDEX(SelectedSpecies,SMALL(IF(SelectedSpecies=AK$1,ROW(SelectedSpecies)),ROW(1049:1049)),2),"")</f>
        <v/>
      </c>
      <c r="BE1048" s="10"/>
      <c r="BI1048" s="10"/>
    </row>
    <row r="1049" spans="1:61" ht="21" customHeight="1" x14ac:dyDescent="0.25">
      <c r="A1049" s="10"/>
      <c r="B1049" s="10"/>
      <c r="E1049" s="10"/>
      <c r="G1049" s="10"/>
      <c r="I1049" s="436" t="s">
        <v>988</v>
      </c>
      <c r="J1049" s="26" t="s">
        <v>987</v>
      </c>
      <c r="K1049" s="10">
        <v>35</v>
      </c>
      <c r="L1049" s="73">
        <f>IF(Tank1!$C$23="No control",(SUMIF(Tank1!$B$32:$B$49,$J1049,Tank1!$C$32:$C$49)*Impacts!$F$8),0)</f>
        <v>0</v>
      </c>
      <c r="M1049" s="10">
        <f>IF(Tank2!$C$23="No control",(SUMIF(Tank2!$B$32:$B$49,$J1049,Tank2!$C$32:$C$49)*Impacts!$F$9),0)</f>
        <v>0</v>
      </c>
      <c r="N1049" s="10">
        <f>IF(Tank3!$C$23="No control",(SUMIF(Tank3!$B$32:$B$49,$J1049,Tank3!$C$32:$C$49)*Impacts!$F$10),0)</f>
        <v>0</v>
      </c>
      <c r="O1049" s="10">
        <f>IF(Tank4!$C$23="No control",(SUMIF(Tank4!$B$32:$B$49,$J1049,Tank4!$C$32:$C$49)*Impacts!$F$11),0)</f>
        <v>0</v>
      </c>
      <c r="P1049" s="10">
        <f>IF(Tank5!$C$23="No control",(SUMIF(Tank5!$B$32:$B$49,$J1049,Tank5!$C$32:$C$49)*Impacts!$F$12),0)</f>
        <v>0</v>
      </c>
      <c r="Q1049" s="10">
        <f>IFERROR(IF(('Loading-drum,tote'!$C$21)="No control",SUMIF(('Loading-drum,tote'!$B$31:$B$48),$J1049,('Loading-drum,tote'!$D$31:$D$48))*Impacts!$F$13,IF(('Loading-drum,tote'!$C$21)&lt;&gt;"No control",SUMIF(('Loading-drum,tote'!$B$31:$B$48),$J1049,('Loading-drum,tote'!$E$31:$E$48))*Impacts!$F$13,0)),0)</f>
        <v>0</v>
      </c>
      <c r="R1049" s="10">
        <f>IFERROR(IF(('Loading-truck'!$C$21)="No control",SUMIF(('Loading-truck'!$B$31:$B$48),$J1049,('Loading-truck'!$D$31:$D$48))*Impacts!$F$14,IF(('Loading-truck'!$C$21)&lt;&gt;"No control",SUMIF(('Loading-truck'!$B$31:$B$48),$J1049,('Loading-truck'!$E$31:$E$48))*Impacts!$F$14,0)),0)</f>
        <v>0</v>
      </c>
      <c r="S1049" s="10">
        <f>IFERROR(IF(('Loading-rail'!$C$21)="No control",SUMIF(('Loading-rail'!$B$31:$B$48),$J1049,('Loading-rail'!$D$31:$D$48))*Impacts!$F$15,IF(('Loading-rail'!$C$21)&lt;&gt;"No control",SUMIF(('Loading-rail'!$B$31:$B$48),$J1049,('Loading-rail'!$E$31:$E$48))*Impacts!$F$15,0)),0)</f>
        <v>0</v>
      </c>
      <c r="T1049" s="10">
        <f>IF(Flare!$C$7="",0,(SUMIF(Flare!$B$46:$B$185,$J1049,Flare!$E$46:$E$185)*Impacts!$F$16))</f>
        <v>0</v>
      </c>
      <c r="U1049" s="10">
        <f>IF(VCU!$C$9="",0,(SUMIF(VCU!$B$51:$B$193,$J1049,VCU!$E$51:$E$193)*Impacts!$F$17))</f>
        <v>0</v>
      </c>
      <c r="V1049" s="10">
        <f>IF(CAS!$C$7="",0,(SUMIF(CAS!$B$31:$B$167,$J1049,CAS!$E$31:$E$167)*Impacts!$F$18))</f>
        <v>0</v>
      </c>
      <c r="W1049" s="10">
        <f t="shared" si="58"/>
        <v>0</v>
      </c>
      <c r="AK1049" s="10" t="str">
        <f t="array" ref="AK1049">IFERROR(INDEX(SelectedSpecies,SMALL(IF(SelectedSpecies=AK$1,ROW(SelectedSpecies)),ROW(1050:1050)),2),"")</f>
        <v/>
      </c>
      <c r="BE1049" s="10"/>
      <c r="BI1049" s="10"/>
    </row>
    <row r="1050" spans="1:61" ht="21" customHeight="1" x14ac:dyDescent="0.25">
      <c r="A1050" s="10"/>
      <c r="B1050" s="10"/>
      <c r="E1050" s="10"/>
      <c r="G1050" s="10"/>
      <c r="I1050" s="436" t="s">
        <v>2453</v>
      </c>
      <c r="J1050" s="26" t="s">
        <v>2452</v>
      </c>
      <c r="K1050" s="10">
        <v>10</v>
      </c>
      <c r="L1050" s="73">
        <f>IF(Tank1!$C$23="No control",(SUMIF(Tank1!$B$32:$B$49,$J1050,Tank1!$C$32:$C$49)*Impacts!$F$8),0)</f>
        <v>0</v>
      </c>
      <c r="M1050" s="10">
        <f>IF(Tank2!$C$23="No control",(SUMIF(Tank2!$B$32:$B$49,$J1050,Tank2!$C$32:$C$49)*Impacts!$F$9),0)</f>
        <v>0</v>
      </c>
      <c r="N1050" s="10">
        <f>IF(Tank3!$C$23="No control",(SUMIF(Tank3!$B$32:$B$49,$J1050,Tank3!$C$32:$C$49)*Impacts!$F$10),0)</f>
        <v>0</v>
      </c>
      <c r="O1050" s="10">
        <f>IF(Tank4!$C$23="No control",(SUMIF(Tank4!$B$32:$B$49,$J1050,Tank4!$C$32:$C$49)*Impacts!$F$11),0)</f>
        <v>0</v>
      </c>
      <c r="P1050" s="10">
        <f>IF(Tank5!$C$23="No control",(SUMIF(Tank5!$B$32:$B$49,$J1050,Tank5!$C$32:$C$49)*Impacts!$F$12),0)</f>
        <v>0</v>
      </c>
      <c r="Q1050" s="10">
        <f>IFERROR(IF(('Loading-drum,tote'!$C$21)="No control",SUMIF(('Loading-drum,tote'!$B$31:$B$48),$J1050,('Loading-drum,tote'!$D$31:$D$48))*Impacts!$F$13,IF(('Loading-drum,tote'!$C$21)&lt;&gt;"No control",SUMIF(('Loading-drum,tote'!$B$31:$B$48),$J1050,('Loading-drum,tote'!$E$31:$E$48))*Impacts!$F$13,0)),0)</f>
        <v>0</v>
      </c>
      <c r="R1050" s="10">
        <f>IFERROR(IF(('Loading-truck'!$C$21)="No control",SUMIF(('Loading-truck'!$B$31:$B$48),$J1050,('Loading-truck'!$D$31:$D$48))*Impacts!$F$14,IF(('Loading-truck'!$C$21)&lt;&gt;"No control",SUMIF(('Loading-truck'!$B$31:$B$48),$J1050,('Loading-truck'!$E$31:$E$48))*Impacts!$F$14,0)),0)</f>
        <v>0</v>
      </c>
      <c r="S1050" s="10">
        <f>IFERROR(IF(('Loading-rail'!$C$21)="No control",SUMIF(('Loading-rail'!$B$31:$B$48),$J1050,('Loading-rail'!$D$31:$D$48))*Impacts!$F$15,IF(('Loading-rail'!$C$21)&lt;&gt;"No control",SUMIF(('Loading-rail'!$B$31:$B$48),$J1050,('Loading-rail'!$E$31:$E$48))*Impacts!$F$15,0)),0)</f>
        <v>0</v>
      </c>
      <c r="T1050" s="10">
        <f>IF(Flare!$C$7="",0,(SUMIF(Flare!$B$46:$B$185,$J1050,Flare!$E$46:$E$185)*Impacts!$F$16))</f>
        <v>0</v>
      </c>
      <c r="U1050" s="10">
        <f>IF(VCU!$C$9="",0,(SUMIF(VCU!$B$51:$B$193,$J1050,VCU!$E$51:$E$193)*Impacts!$F$17))</f>
        <v>0</v>
      </c>
      <c r="V1050" s="10">
        <f>IF(CAS!$C$7="",0,(SUMIF(CAS!$B$31:$B$167,$J1050,CAS!$E$31:$E$167)*Impacts!$F$18))</f>
        <v>0</v>
      </c>
      <c r="W1050" s="10">
        <f t="shared" si="58"/>
        <v>0</v>
      </c>
      <c r="AK1050" s="10" t="str">
        <f t="array" ref="AK1050">IFERROR(INDEX(SelectedSpecies,SMALL(IF(SelectedSpecies=AK$1,ROW(SelectedSpecies)),ROW(1051:1051)),2),"")</f>
        <v/>
      </c>
      <c r="BE1050" s="10"/>
      <c r="BI1050" s="10"/>
    </row>
    <row r="1051" spans="1:61" ht="21" customHeight="1" x14ac:dyDescent="0.25">
      <c r="A1051" s="10"/>
      <c r="B1051" s="10"/>
      <c r="E1051" s="10"/>
      <c r="G1051" s="10"/>
      <c r="I1051" s="436" t="s">
        <v>5794</v>
      </c>
      <c r="J1051" s="26" t="s">
        <v>5793</v>
      </c>
      <c r="K1051" s="10">
        <v>1</v>
      </c>
      <c r="L1051" s="73">
        <f>IF(Tank1!$C$23="No control",(SUMIF(Tank1!$B$32:$B$49,$J1051,Tank1!$C$32:$C$49)*Impacts!$F$8),0)</f>
        <v>0</v>
      </c>
      <c r="M1051" s="10">
        <f>IF(Tank2!$C$23="No control",(SUMIF(Tank2!$B$32:$B$49,$J1051,Tank2!$C$32:$C$49)*Impacts!$F$9),0)</f>
        <v>0</v>
      </c>
      <c r="N1051" s="10">
        <f>IF(Tank3!$C$23="No control",(SUMIF(Tank3!$B$32:$B$49,$J1051,Tank3!$C$32:$C$49)*Impacts!$F$10),0)</f>
        <v>0</v>
      </c>
      <c r="O1051" s="10">
        <f>IF(Tank4!$C$23="No control",(SUMIF(Tank4!$B$32:$B$49,$J1051,Tank4!$C$32:$C$49)*Impacts!$F$11),0)</f>
        <v>0</v>
      </c>
      <c r="P1051" s="10">
        <f>IF(Tank5!$C$23="No control",(SUMIF(Tank5!$B$32:$B$49,$J1051,Tank5!$C$32:$C$49)*Impacts!$F$12),0)</f>
        <v>0</v>
      </c>
      <c r="Q1051" s="10">
        <f>IFERROR(IF(('Loading-drum,tote'!$C$21)="No control",SUMIF(('Loading-drum,tote'!$B$31:$B$48),$J1051,('Loading-drum,tote'!$D$31:$D$48))*Impacts!$F$13,IF(('Loading-drum,tote'!$C$21)&lt;&gt;"No control",SUMIF(('Loading-drum,tote'!$B$31:$B$48),$J1051,('Loading-drum,tote'!$E$31:$E$48))*Impacts!$F$13,0)),0)</f>
        <v>0</v>
      </c>
      <c r="R1051" s="10">
        <f>IFERROR(IF(('Loading-truck'!$C$21)="No control",SUMIF(('Loading-truck'!$B$31:$B$48),$J1051,('Loading-truck'!$D$31:$D$48))*Impacts!$F$14,IF(('Loading-truck'!$C$21)&lt;&gt;"No control",SUMIF(('Loading-truck'!$B$31:$B$48),$J1051,('Loading-truck'!$E$31:$E$48))*Impacts!$F$14,0)),0)</f>
        <v>0</v>
      </c>
      <c r="S1051" s="10">
        <f>IFERROR(IF(('Loading-rail'!$C$21)="No control",SUMIF(('Loading-rail'!$B$31:$B$48),$J1051,('Loading-rail'!$D$31:$D$48))*Impacts!$F$15,IF(('Loading-rail'!$C$21)&lt;&gt;"No control",SUMIF(('Loading-rail'!$B$31:$B$48),$J1051,('Loading-rail'!$E$31:$E$48))*Impacts!$F$15,0)),0)</f>
        <v>0</v>
      </c>
      <c r="T1051" s="10">
        <f>IF(Flare!$C$7="",0,(SUMIF(Flare!$B$46:$B$185,$J1051,Flare!$E$46:$E$185)*Impacts!$F$16))</f>
        <v>0</v>
      </c>
      <c r="U1051" s="10">
        <f>IF(VCU!$C$9="",0,(SUMIF(VCU!$B$51:$B$193,$J1051,VCU!$E$51:$E$193)*Impacts!$F$17))</f>
        <v>0</v>
      </c>
      <c r="V1051" s="10">
        <f>IF(CAS!$C$7="",0,(SUMIF(CAS!$B$31:$B$167,$J1051,CAS!$E$31:$E$167)*Impacts!$F$18))</f>
        <v>0</v>
      </c>
      <c r="W1051" s="10">
        <f t="shared" si="58"/>
        <v>0</v>
      </c>
      <c r="AK1051" s="10" t="str">
        <f t="array" ref="AK1051">IFERROR(INDEX(SelectedSpecies,SMALL(IF(SelectedSpecies=AK$1,ROW(SelectedSpecies)),ROW(1052:1052)),2),"")</f>
        <v/>
      </c>
      <c r="BE1051" s="10"/>
      <c r="BI1051" s="10"/>
    </row>
    <row r="1052" spans="1:61" ht="21" customHeight="1" x14ac:dyDescent="0.25">
      <c r="A1052" s="10"/>
      <c r="B1052" s="10"/>
      <c r="E1052" s="10"/>
      <c r="G1052" s="10"/>
      <c r="I1052" s="436" t="s">
        <v>868</v>
      </c>
      <c r="J1052" s="26" t="s">
        <v>867</v>
      </c>
      <c r="K1052" s="10">
        <v>45</v>
      </c>
      <c r="L1052" s="73">
        <f>IF(Tank1!$C$23="No control",(SUMIF(Tank1!$B$32:$B$49,$J1052,Tank1!$C$32:$C$49)*Impacts!$F$8),0)</f>
        <v>0</v>
      </c>
      <c r="M1052" s="10">
        <f>IF(Tank2!$C$23="No control",(SUMIF(Tank2!$B$32:$B$49,$J1052,Tank2!$C$32:$C$49)*Impacts!$F$9),0)</f>
        <v>0</v>
      </c>
      <c r="N1052" s="10">
        <f>IF(Tank3!$C$23="No control",(SUMIF(Tank3!$B$32:$B$49,$J1052,Tank3!$C$32:$C$49)*Impacts!$F$10),0)</f>
        <v>0</v>
      </c>
      <c r="O1052" s="10">
        <f>IF(Tank4!$C$23="No control",(SUMIF(Tank4!$B$32:$B$49,$J1052,Tank4!$C$32:$C$49)*Impacts!$F$11),0)</f>
        <v>0</v>
      </c>
      <c r="P1052" s="10">
        <f>IF(Tank5!$C$23="No control",(SUMIF(Tank5!$B$32:$B$49,$J1052,Tank5!$C$32:$C$49)*Impacts!$F$12),0)</f>
        <v>0</v>
      </c>
      <c r="Q1052" s="10">
        <f>IFERROR(IF(('Loading-drum,tote'!$C$21)="No control",SUMIF(('Loading-drum,tote'!$B$31:$B$48),$J1052,('Loading-drum,tote'!$D$31:$D$48))*Impacts!$F$13,IF(('Loading-drum,tote'!$C$21)&lt;&gt;"No control",SUMIF(('Loading-drum,tote'!$B$31:$B$48),$J1052,('Loading-drum,tote'!$E$31:$E$48))*Impacts!$F$13,0)),0)</f>
        <v>0</v>
      </c>
      <c r="R1052" s="10">
        <f>IFERROR(IF(('Loading-truck'!$C$21)="No control",SUMIF(('Loading-truck'!$B$31:$B$48),$J1052,('Loading-truck'!$D$31:$D$48))*Impacts!$F$14,IF(('Loading-truck'!$C$21)&lt;&gt;"No control",SUMIF(('Loading-truck'!$B$31:$B$48),$J1052,('Loading-truck'!$E$31:$E$48))*Impacts!$F$14,0)),0)</f>
        <v>0</v>
      </c>
      <c r="S1052" s="10">
        <f>IFERROR(IF(('Loading-rail'!$C$21)="No control",SUMIF(('Loading-rail'!$B$31:$B$48),$J1052,('Loading-rail'!$D$31:$D$48))*Impacts!$F$15,IF(('Loading-rail'!$C$21)&lt;&gt;"No control",SUMIF(('Loading-rail'!$B$31:$B$48),$J1052,('Loading-rail'!$E$31:$E$48))*Impacts!$F$15,0)),0)</f>
        <v>0</v>
      </c>
      <c r="T1052" s="10">
        <f>IF(Flare!$C$7="",0,(SUMIF(Flare!$B$46:$B$185,$J1052,Flare!$E$46:$E$185)*Impacts!$F$16))</f>
        <v>0</v>
      </c>
      <c r="U1052" s="10">
        <f>IF(VCU!$C$9="",0,(SUMIF(VCU!$B$51:$B$193,$J1052,VCU!$E$51:$E$193)*Impacts!$F$17))</f>
        <v>0</v>
      </c>
      <c r="V1052" s="10">
        <f>IF(CAS!$C$7="",0,(SUMIF(CAS!$B$31:$B$167,$J1052,CAS!$E$31:$E$167)*Impacts!$F$18))</f>
        <v>0</v>
      </c>
      <c r="W1052" s="10">
        <f t="shared" si="58"/>
        <v>0</v>
      </c>
      <c r="AK1052" s="10" t="str">
        <f t="array" ref="AK1052">IFERROR(INDEX(SelectedSpecies,SMALL(IF(SelectedSpecies=AK$1,ROW(SelectedSpecies)),ROW(1053:1053)),2),"")</f>
        <v/>
      </c>
      <c r="BE1052" s="10"/>
      <c r="BI1052" s="10"/>
    </row>
    <row r="1053" spans="1:61" ht="21" customHeight="1" x14ac:dyDescent="0.25">
      <c r="A1053" s="10"/>
      <c r="B1053" s="10"/>
      <c r="E1053" s="10"/>
      <c r="G1053" s="10"/>
      <c r="I1053" s="436" t="s">
        <v>1278</v>
      </c>
      <c r="J1053" s="26" t="s">
        <v>1277</v>
      </c>
      <c r="K1053" s="10">
        <v>33</v>
      </c>
      <c r="L1053" s="73">
        <f>IF(Tank1!$C$23="No control",(SUMIF(Tank1!$B$32:$B$49,$J1053,Tank1!$C$32:$C$49)*Impacts!$F$8),0)</f>
        <v>0</v>
      </c>
      <c r="M1053" s="10">
        <f>IF(Tank2!$C$23="No control",(SUMIF(Tank2!$B$32:$B$49,$J1053,Tank2!$C$32:$C$49)*Impacts!$F$9),0)</f>
        <v>0</v>
      </c>
      <c r="N1053" s="10">
        <f>IF(Tank3!$C$23="No control",(SUMIF(Tank3!$B$32:$B$49,$J1053,Tank3!$C$32:$C$49)*Impacts!$F$10),0)</f>
        <v>0</v>
      </c>
      <c r="O1053" s="10">
        <f>IF(Tank4!$C$23="No control",(SUMIF(Tank4!$B$32:$B$49,$J1053,Tank4!$C$32:$C$49)*Impacts!$F$11),0)</f>
        <v>0</v>
      </c>
      <c r="P1053" s="10">
        <f>IF(Tank5!$C$23="No control",(SUMIF(Tank5!$B$32:$B$49,$J1053,Tank5!$C$32:$C$49)*Impacts!$F$12),0)</f>
        <v>0</v>
      </c>
      <c r="Q1053" s="10">
        <f>IFERROR(IF(('Loading-drum,tote'!$C$21)="No control",SUMIF(('Loading-drum,tote'!$B$31:$B$48),$J1053,('Loading-drum,tote'!$D$31:$D$48))*Impacts!$F$13,IF(('Loading-drum,tote'!$C$21)&lt;&gt;"No control",SUMIF(('Loading-drum,tote'!$B$31:$B$48),$J1053,('Loading-drum,tote'!$E$31:$E$48))*Impacts!$F$13,0)),0)</f>
        <v>0</v>
      </c>
      <c r="R1053" s="10">
        <f>IFERROR(IF(('Loading-truck'!$C$21)="No control",SUMIF(('Loading-truck'!$B$31:$B$48),$J1053,('Loading-truck'!$D$31:$D$48))*Impacts!$F$14,IF(('Loading-truck'!$C$21)&lt;&gt;"No control",SUMIF(('Loading-truck'!$B$31:$B$48),$J1053,('Loading-truck'!$E$31:$E$48))*Impacts!$F$14,0)),0)</f>
        <v>0</v>
      </c>
      <c r="S1053" s="10">
        <f>IFERROR(IF(('Loading-rail'!$C$21)="No control",SUMIF(('Loading-rail'!$B$31:$B$48),$J1053,('Loading-rail'!$D$31:$D$48))*Impacts!$F$15,IF(('Loading-rail'!$C$21)&lt;&gt;"No control",SUMIF(('Loading-rail'!$B$31:$B$48),$J1053,('Loading-rail'!$E$31:$E$48))*Impacts!$F$15,0)),0)</f>
        <v>0</v>
      </c>
      <c r="T1053" s="10">
        <f>IF(Flare!$C$7="",0,(SUMIF(Flare!$B$46:$B$185,$J1053,Flare!$E$46:$E$185)*Impacts!$F$16))</f>
        <v>0</v>
      </c>
      <c r="U1053" s="10">
        <f>IF(VCU!$C$9="",0,(SUMIF(VCU!$B$51:$B$193,$J1053,VCU!$E$51:$E$193)*Impacts!$F$17))</f>
        <v>0</v>
      </c>
      <c r="V1053" s="10">
        <f>IF(CAS!$C$7="",0,(SUMIF(CAS!$B$31:$B$167,$J1053,CAS!$E$31:$E$167)*Impacts!$F$18))</f>
        <v>0</v>
      </c>
      <c r="W1053" s="10">
        <f t="shared" si="58"/>
        <v>0</v>
      </c>
      <c r="AK1053" s="10" t="str">
        <f t="array" ref="AK1053">IFERROR(INDEX(SelectedSpecies,SMALL(IF(SelectedSpecies=AK$1,ROW(SelectedSpecies)),ROW(1054:1054)),2),"")</f>
        <v/>
      </c>
      <c r="BE1053" s="10"/>
      <c r="BI1053" s="10"/>
    </row>
    <row r="1054" spans="1:61" ht="21" customHeight="1" x14ac:dyDescent="0.25">
      <c r="A1054" s="10"/>
      <c r="B1054" s="10"/>
      <c r="E1054" s="10"/>
      <c r="G1054" s="10"/>
      <c r="I1054" s="436" t="s">
        <v>1280</v>
      </c>
      <c r="J1054" s="26" t="s">
        <v>1279</v>
      </c>
      <c r="K1054" s="10">
        <v>33</v>
      </c>
      <c r="L1054" s="73">
        <f>IF(Tank1!$C$23="No control",(SUMIF(Tank1!$B$32:$B$49,$J1054,Tank1!$C$32:$C$49)*Impacts!$F$8),0)</f>
        <v>0</v>
      </c>
      <c r="M1054" s="10">
        <f>IF(Tank2!$C$23="No control",(SUMIF(Tank2!$B$32:$B$49,$J1054,Tank2!$C$32:$C$49)*Impacts!$F$9),0)</f>
        <v>0</v>
      </c>
      <c r="N1054" s="10">
        <f>IF(Tank3!$C$23="No control",(SUMIF(Tank3!$B$32:$B$49,$J1054,Tank3!$C$32:$C$49)*Impacts!$F$10),0)</f>
        <v>0</v>
      </c>
      <c r="O1054" s="10">
        <f>IF(Tank4!$C$23="No control",(SUMIF(Tank4!$B$32:$B$49,$J1054,Tank4!$C$32:$C$49)*Impacts!$F$11),0)</f>
        <v>0</v>
      </c>
      <c r="P1054" s="10">
        <f>IF(Tank5!$C$23="No control",(SUMIF(Tank5!$B$32:$B$49,$J1054,Tank5!$C$32:$C$49)*Impacts!$F$12),0)</f>
        <v>0</v>
      </c>
      <c r="Q1054" s="10">
        <f>IFERROR(IF(('Loading-drum,tote'!$C$21)="No control",SUMIF(('Loading-drum,tote'!$B$31:$B$48),$J1054,('Loading-drum,tote'!$D$31:$D$48))*Impacts!$F$13,IF(('Loading-drum,tote'!$C$21)&lt;&gt;"No control",SUMIF(('Loading-drum,tote'!$B$31:$B$48),$J1054,('Loading-drum,tote'!$E$31:$E$48))*Impacts!$F$13,0)),0)</f>
        <v>0</v>
      </c>
      <c r="R1054" s="10">
        <f>IFERROR(IF(('Loading-truck'!$C$21)="No control",SUMIF(('Loading-truck'!$B$31:$B$48),$J1054,('Loading-truck'!$D$31:$D$48))*Impacts!$F$14,IF(('Loading-truck'!$C$21)&lt;&gt;"No control",SUMIF(('Loading-truck'!$B$31:$B$48),$J1054,('Loading-truck'!$E$31:$E$48))*Impacts!$F$14,0)),0)</f>
        <v>0</v>
      </c>
      <c r="S1054" s="10">
        <f>IFERROR(IF(('Loading-rail'!$C$21)="No control",SUMIF(('Loading-rail'!$B$31:$B$48),$J1054,('Loading-rail'!$D$31:$D$48))*Impacts!$F$15,IF(('Loading-rail'!$C$21)&lt;&gt;"No control",SUMIF(('Loading-rail'!$B$31:$B$48),$J1054,('Loading-rail'!$E$31:$E$48))*Impacts!$F$15,0)),0)</f>
        <v>0</v>
      </c>
      <c r="T1054" s="10">
        <f>IF(Flare!$C$7="",0,(SUMIF(Flare!$B$46:$B$185,$J1054,Flare!$E$46:$E$185)*Impacts!$F$16))</f>
        <v>0</v>
      </c>
      <c r="U1054" s="10">
        <f>IF(VCU!$C$9="",0,(SUMIF(VCU!$B$51:$B$193,$J1054,VCU!$E$51:$E$193)*Impacts!$F$17))</f>
        <v>0</v>
      </c>
      <c r="V1054" s="10">
        <f>IF(CAS!$C$7="",0,(SUMIF(CAS!$B$31:$B$167,$J1054,CAS!$E$31:$E$167)*Impacts!$F$18))</f>
        <v>0</v>
      </c>
      <c r="W1054" s="10">
        <f t="shared" si="58"/>
        <v>0</v>
      </c>
      <c r="AK1054" s="10" t="str">
        <f t="array" ref="AK1054">IFERROR(INDEX(SelectedSpecies,SMALL(IF(SelectedSpecies=AK$1,ROW(SelectedSpecies)),ROW(1055:1055)),2),"")</f>
        <v/>
      </c>
      <c r="BE1054" s="10"/>
      <c r="BI1054" s="10"/>
    </row>
    <row r="1055" spans="1:61" ht="21" customHeight="1" x14ac:dyDescent="0.25">
      <c r="A1055" s="10"/>
      <c r="B1055" s="10"/>
      <c r="E1055" s="10"/>
      <c r="G1055" s="10"/>
      <c r="I1055" s="436" t="s">
        <v>1282</v>
      </c>
      <c r="J1055" s="26" t="s">
        <v>1281</v>
      </c>
      <c r="K1055" s="10">
        <v>33</v>
      </c>
      <c r="L1055" s="73">
        <f>IF(Tank1!$C$23="No control",(SUMIF(Tank1!$B$32:$B$49,$J1055,Tank1!$C$32:$C$49)*Impacts!$F$8),0)</f>
        <v>0</v>
      </c>
      <c r="M1055" s="10">
        <f>IF(Tank2!$C$23="No control",(SUMIF(Tank2!$B$32:$B$49,$J1055,Tank2!$C$32:$C$49)*Impacts!$F$9),0)</f>
        <v>0</v>
      </c>
      <c r="N1055" s="10">
        <f>IF(Tank3!$C$23="No control",(SUMIF(Tank3!$B$32:$B$49,$J1055,Tank3!$C$32:$C$49)*Impacts!$F$10),0)</f>
        <v>0</v>
      </c>
      <c r="O1055" s="10">
        <f>IF(Tank4!$C$23="No control",(SUMIF(Tank4!$B$32:$B$49,$J1055,Tank4!$C$32:$C$49)*Impacts!$F$11),0)</f>
        <v>0</v>
      </c>
      <c r="P1055" s="10">
        <f>IF(Tank5!$C$23="No control",(SUMIF(Tank5!$B$32:$B$49,$J1055,Tank5!$C$32:$C$49)*Impacts!$F$12),0)</f>
        <v>0</v>
      </c>
      <c r="Q1055" s="10">
        <f>IFERROR(IF(('Loading-drum,tote'!$C$21)="No control",SUMIF(('Loading-drum,tote'!$B$31:$B$48),$J1055,('Loading-drum,tote'!$D$31:$D$48))*Impacts!$F$13,IF(('Loading-drum,tote'!$C$21)&lt;&gt;"No control",SUMIF(('Loading-drum,tote'!$B$31:$B$48),$J1055,('Loading-drum,tote'!$E$31:$E$48))*Impacts!$F$13,0)),0)</f>
        <v>0</v>
      </c>
      <c r="R1055" s="10">
        <f>IFERROR(IF(('Loading-truck'!$C$21)="No control",SUMIF(('Loading-truck'!$B$31:$B$48),$J1055,('Loading-truck'!$D$31:$D$48))*Impacts!$F$14,IF(('Loading-truck'!$C$21)&lt;&gt;"No control",SUMIF(('Loading-truck'!$B$31:$B$48),$J1055,('Loading-truck'!$E$31:$E$48))*Impacts!$F$14,0)),0)</f>
        <v>0</v>
      </c>
      <c r="S1055" s="10">
        <f>IFERROR(IF(('Loading-rail'!$C$21)="No control",SUMIF(('Loading-rail'!$B$31:$B$48),$J1055,('Loading-rail'!$D$31:$D$48))*Impacts!$F$15,IF(('Loading-rail'!$C$21)&lt;&gt;"No control",SUMIF(('Loading-rail'!$B$31:$B$48),$J1055,('Loading-rail'!$E$31:$E$48))*Impacts!$F$15,0)),0)</f>
        <v>0</v>
      </c>
      <c r="T1055" s="10">
        <f>IF(Flare!$C$7="",0,(SUMIF(Flare!$B$46:$B$185,$J1055,Flare!$E$46:$E$185)*Impacts!$F$16))</f>
        <v>0</v>
      </c>
      <c r="U1055" s="10">
        <f>IF(VCU!$C$9="",0,(SUMIF(VCU!$B$51:$B$193,$J1055,VCU!$E$51:$E$193)*Impacts!$F$17))</f>
        <v>0</v>
      </c>
      <c r="V1055" s="10">
        <f>IF(CAS!$C$7="",0,(SUMIF(CAS!$B$31:$B$167,$J1055,CAS!$E$31:$E$167)*Impacts!$F$18))</f>
        <v>0</v>
      </c>
      <c r="W1055" s="10">
        <f t="shared" si="58"/>
        <v>0</v>
      </c>
      <c r="AK1055" s="10" t="str">
        <f t="array" ref="AK1055">IFERROR(INDEX(SelectedSpecies,SMALL(IF(SelectedSpecies=AK$1,ROW(SelectedSpecies)),ROW(1056:1056)),2),"")</f>
        <v/>
      </c>
      <c r="BE1055" s="10"/>
      <c r="BI1055" s="10"/>
    </row>
    <row r="1056" spans="1:61" ht="21" customHeight="1" x14ac:dyDescent="0.25">
      <c r="A1056" s="10"/>
      <c r="B1056" s="10"/>
      <c r="E1056" s="10"/>
      <c r="G1056" s="10"/>
      <c r="I1056" s="436" t="s">
        <v>1284</v>
      </c>
      <c r="J1056" s="26" t="s">
        <v>1283</v>
      </c>
      <c r="K1056" s="10">
        <v>33</v>
      </c>
      <c r="L1056" s="73">
        <f>IF(Tank1!$C$23="No control",(SUMIF(Tank1!$B$32:$B$49,$J1056,Tank1!$C$32:$C$49)*Impacts!$F$8),0)</f>
        <v>0</v>
      </c>
      <c r="M1056" s="10">
        <f>IF(Tank2!$C$23="No control",(SUMIF(Tank2!$B$32:$B$49,$J1056,Tank2!$C$32:$C$49)*Impacts!$F$9),0)</f>
        <v>0</v>
      </c>
      <c r="N1056" s="10">
        <f>IF(Tank3!$C$23="No control",(SUMIF(Tank3!$B$32:$B$49,$J1056,Tank3!$C$32:$C$49)*Impacts!$F$10),0)</f>
        <v>0</v>
      </c>
      <c r="O1056" s="10">
        <f>IF(Tank4!$C$23="No control",(SUMIF(Tank4!$B$32:$B$49,$J1056,Tank4!$C$32:$C$49)*Impacts!$F$11),0)</f>
        <v>0</v>
      </c>
      <c r="P1056" s="10">
        <f>IF(Tank5!$C$23="No control",(SUMIF(Tank5!$B$32:$B$49,$J1056,Tank5!$C$32:$C$49)*Impacts!$F$12),0)</f>
        <v>0</v>
      </c>
      <c r="Q1056" s="10">
        <f>IFERROR(IF(('Loading-drum,tote'!$C$21)="No control",SUMIF(('Loading-drum,tote'!$B$31:$B$48),$J1056,('Loading-drum,tote'!$D$31:$D$48))*Impacts!$F$13,IF(('Loading-drum,tote'!$C$21)&lt;&gt;"No control",SUMIF(('Loading-drum,tote'!$B$31:$B$48),$J1056,('Loading-drum,tote'!$E$31:$E$48))*Impacts!$F$13,0)),0)</f>
        <v>0</v>
      </c>
      <c r="R1056" s="10">
        <f>IFERROR(IF(('Loading-truck'!$C$21)="No control",SUMIF(('Loading-truck'!$B$31:$B$48),$J1056,('Loading-truck'!$D$31:$D$48))*Impacts!$F$14,IF(('Loading-truck'!$C$21)&lt;&gt;"No control",SUMIF(('Loading-truck'!$B$31:$B$48),$J1056,('Loading-truck'!$E$31:$E$48))*Impacts!$F$14,0)),0)</f>
        <v>0</v>
      </c>
      <c r="S1056" s="10">
        <f>IFERROR(IF(('Loading-rail'!$C$21)="No control",SUMIF(('Loading-rail'!$B$31:$B$48),$J1056,('Loading-rail'!$D$31:$D$48))*Impacts!$F$15,IF(('Loading-rail'!$C$21)&lt;&gt;"No control",SUMIF(('Loading-rail'!$B$31:$B$48),$J1056,('Loading-rail'!$E$31:$E$48))*Impacts!$F$15,0)),0)</f>
        <v>0</v>
      </c>
      <c r="T1056" s="10">
        <f>IF(Flare!$C$7="",0,(SUMIF(Flare!$B$46:$B$185,$J1056,Flare!$E$46:$E$185)*Impacts!$F$16))</f>
        <v>0</v>
      </c>
      <c r="U1056" s="10">
        <f>IF(VCU!$C$9="",0,(SUMIF(VCU!$B$51:$B$193,$J1056,VCU!$E$51:$E$193)*Impacts!$F$17))</f>
        <v>0</v>
      </c>
      <c r="V1056" s="10">
        <f>IF(CAS!$C$7="",0,(SUMIF(CAS!$B$31:$B$167,$J1056,CAS!$E$31:$E$167)*Impacts!$F$18))</f>
        <v>0</v>
      </c>
      <c r="W1056" s="10">
        <f t="shared" si="58"/>
        <v>0</v>
      </c>
      <c r="AK1056" s="10" t="str">
        <f t="array" ref="AK1056">IFERROR(INDEX(SelectedSpecies,SMALL(IF(SelectedSpecies=AK$1,ROW(SelectedSpecies)),ROW(1057:1057)),2),"")</f>
        <v/>
      </c>
      <c r="BE1056" s="10"/>
      <c r="BI1056" s="10"/>
    </row>
    <row r="1057" spans="1:61" ht="21" customHeight="1" x14ac:dyDescent="0.25">
      <c r="A1057" s="10"/>
      <c r="B1057" s="10"/>
      <c r="E1057" s="10"/>
      <c r="G1057" s="10"/>
      <c r="I1057" s="436" t="s">
        <v>1286</v>
      </c>
      <c r="J1057" s="26" t="s">
        <v>1285</v>
      </c>
      <c r="K1057" s="10">
        <v>33</v>
      </c>
      <c r="L1057" s="73">
        <f>IF(Tank1!$C$23="No control",(SUMIF(Tank1!$B$32:$B$49,$J1057,Tank1!$C$32:$C$49)*Impacts!$F$8),0)</f>
        <v>0</v>
      </c>
      <c r="M1057" s="10">
        <f>IF(Tank2!$C$23="No control",(SUMIF(Tank2!$B$32:$B$49,$J1057,Tank2!$C$32:$C$49)*Impacts!$F$9),0)</f>
        <v>0</v>
      </c>
      <c r="N1057" s="10">
        <f>IF(Tank3!$C$23="No control",(SUMIF(Tank3!$B$32:$B$49,$J1057,Tank3!$C$32:$C$49)*Impacts!$F$10),0)</f>
        <v>0</v>
      </c>
      <c r="O1057" s="10">
        <f>IF(Tank4!$C$23="No control",(SUMIF(Tank4!$B$32:$B$49,$J1057,Tank4!$C$32:$C$49)*Impacts!$F$11),0)</f>
        <v>0</v>
      </c>
      <c r="P1057" s="10">
        <f>IF(Tank5!$C$23="No control",(SUMIF(Tank5!$B$32:$B$49,$J1057,Tank5!$C$32:$C$49)*Impacts!$F$12),0)</f>
        <v>0</v>
      </c>
      <c r="Q1057" s="10">
        <f>IFERROR(IF(('Loading-drum,tote'!$C$21)="No control",SUMIF(('Loading-drum,tote'!$B$31:$B$48),$J1057,('Loading-drum,tote'!$D$31:$D$48))*Impacts!$F$13,IF(('Loading-drum,tote'!$C$21)&lt;&gt;"No control",SUMIF(('Loading-drum,tote'!$B$31:$B$48),$J1057,('Loading-drum,tote'!$E$31:$E$48))*Impacts!$F$13,0)),0)</f>
        <v>0</v>
      </c>
      <c r="R1057" s="10">
        <f>IFERROR(IF(('Loading-truck'!$C$21)="No control",SUMIF(('Loading-truck'!$B$31:$B$48),$J1057,('Loading-truck'!$D$31:$D$48))*Impacts!$F$14,IF(('Loading-truck'!$C$21)&lt;&gt;"No control",SUMIF(('Loading-truck'!$B$31:$B$48),$J1057,('Loading-truck'!$E$31:$E$48))*Impacts!$F$14,0)),0)</f>
        <v>0</v>
      </c>
      <c r="S1057" s="10">
        <f>IFERROR(IF(('Loading-rail'!$C$21)="No control",SUMIF(('Loading-rail'!$B$31:$B$48),$J1057,('Loading-rail'!$D$31:$D$48))*Impacts!$F$15,IF(('Loading-rail'!$C$21)&lt;&gt;"No control",SUMIF(('Loading-rail'!$B$31:$B$48),$J1057,('Loading-rail'!$E$31:$E$48))*Impacts!$F$15,0)),0)</f>
        <v>0</v>
      </c>
      <c r="T1057" s="10">
        <f>IF(Flare!$C$7="",0,(SUMIF(Flare!$B$46:$B$185,$J1057,Flare!$E$46:$E$185)*Impacts!$F$16))</f>
        <v>0</v>
      </c>
      <c r="U1057" s="10">
        <f>IF(VCU!$C$9="",0,(SUMIF(VCU!$B$51:$B$193,$J1057,VCU!$E$51:$E$193)*Impacts!$F$17))</f>
        <v>0</v>
      </c>
      <c r="V1057" s="10">
        <f>IF(CAS!$C$7="",0,(SUMIF(CAS!$B$31:$B$167,$J1057,CAS!$E$31:$E$167)*Impacts!$F$18))</f>
        <v>0</v>
      </c>
      <c r="W1057" s="10">
        <f t="shared" si="58"/>
        <v>0</v>
      </c>
      <c r="AK1057" s="10" t="str">
        <f t="array" ref="AK1057">IFERROR(INDEX(SelectedSpecies,SMALL(IF(SelectedSpecies=AK$1,ROW(SelectedSpecies)),ROW(1058:1058)),2),"")</f>
        <v/>
      </c>
      <c r="BE1057" s="10"/>
      <c r="BI1057" s="10"/>
    </row>
    <row r="1058" spans="1:61" ht="21" customHeight="1" x14ac:dyDescent="0.25">
      <c r="A1058" s="10"/>
      <c r="B1058" s="10"/>
      <c r="E1058" s="10"/>
      <c r="G1058" s="10"/>
      <c r="I1058" s="436" t="s">
        <v>1288</v>
      </c>
      <c r="J1058" s="26" t="s">
        <v>1287</v>
      </c>
      <c r="K1058" s="10">
        <v>33</v>
      </c>
      <c r="L1058" s="73">
        <f>IF(Tank1!$C$23="No control",(SUMIF(Tank1!$B$32:$B$49,$J1058,Tank1!$C$32:$C$49)*Impacts!$F$8),0)</f>
        <v>0</v>
      </c>
      <c r="M1058" s="10">
        <f>IF(Tank2!$C$23="No control",(SUMIF(Tank2!$B$32:$B$49,$J1058,Tank2!$C$32:$C$49)*Impacts!$F$9),0)</f>
        <v>0</v>
      </c>
      <c r="N1058" s="10">
        <f>IF(Tank3!$C$23="No control",(SUMIF(Tank3!$B$32:$B$49,$J1058,Tank3!$C$32:$C$49)*Impacts!$F$10),0)</f>
        <v>0</v>
      </c>
      <c r="O1058" s="10">
        <f>IF(Tank4!$C$23="No control",(SUMIF(Tank4!$B$32:$B$49,$J1058,Tank4!$C$32:$C$49)*Impacts!$F$11),0)</f>
        <v>0</v>
      </c>
      <c r="P1058" s="10">
        <f>IF(Tank5!$C$23="No control",(SUMIF(Tank5!$B$32:$B$49,$J1058,Tank5!$C$32:$C$49)*Impacts!$F$12),0)</f>
        <v>0</v>
      </c>
      <c r="Q1058" s="10">
        <f>IFERROR(IF(('Loading-drum,tote'!$C$21)="No control",SUMIF(('Loading-drum,tote'!$B$31:$B$48),$J1058,('Loading-drum,tote'!$D$31:$D$48))*Impacts!$F$13,IF(('Loading-drum,tote'!$C$21)&lt;&gt;"No control",SUMIF(('Loading-drum,tote'!$B$31:$B$48),$J1058,('Loading-drum,tote'!$E$31:$E$48))*Impacts!$F$13,0)),0)</f>
        <v>0</v>
      </c>
      <c r="R1058" s="10">
        <f>IFERROR(IF(('Loading-truck'!$C$21)="No control",SUMIF(('Loading-truck'!$B$31:$B$48),$J1058,('Loading-truck'!$D$31:$D$48))*Impacts!$F$14,IF(('Loading-truck'!$C$21)&lt;&gt;"No control",SUMIF(('Loading-truck'!$B$31:$B$48),$J1058,('Loading-truck'!$E$31:$E$48))*Impacts!$F$14,0)),0)</f>
        <v>0</v>
      </c>
      <c r="S1058" s="10">
        <f>IFERROR(IF(('Loading-rail'!$C$21)="No control",SUMIF(('Loading-rail'!$B$31:$B$48),$J1058,('Loading-rail'!$D$31:$D$48))*Impacts!$F$15,IF(('Loading-rail'!$C$21)&lt;&gt;"No control",SUMIF(('Loading-rail'!$B$31:$B$48),$J1058,('Loading-rail'!$E$31:$E$48))*Impacts!$F$15,0)),0)</f>
        <v>0</v>
      </c>
      <c r="T1058" s="10">
        <f>IF(Flare!$C$7="",0,(SUMIF(Flare!$B$46:$B$185,$J1058,Flare!$E$46:$E$185)*Impacts!$F$16))</f>
        <v>0</v>
      </c>
      <c r="U1058" s="10">
        <f>IF(VCU!$C$9="",0,(SUMIF(VCU!$B$51:$B$193,$J1058,VCU!$E$51:$E$193)*Impacts!$F$17))</f>
        <v>0</v>
      </c>
      <c r="V1058" s="10">
        <f>IF(CAS!$C$7="",0,(SUMIF(CAS!$B$31:$B$167,$J1058,CAS!$E$31:$E$167)*Impacts!$F$18))</f>
        <v>0</v>
      </c>
      <c r="W1058" s="10">
        <f t="shared" si="58"/>
        <v>0</v>
      </c>
      <c r="AK1058" s="10" t="str">
        <f t="array" ref="AK1058">IFERROR(INDEX(SelectedSpecies,SMALL(IF(SelectedSpecies=AK$1,ROW(SelectedSpecies)),ROW(1059:1059)),2),"")</f>
        <v/>
      </c>
      <c r="BE1058" s="10"/>
      <c r="BI1058" s="10"/>
    </row>
    <row r="1059" spans="1:61" ht="21" customHeight="1" x14ac:dyDescent="0.25">
      <c r="A1059" s="10"/>
      <c r="B1059" s="10"/>
      <c r="E1059" s="10"/>
      <c r="G1059" s="10"/>
      <c r="I1059" s="436" t="s">
        <v>1290</v>
      </c>
      <c r="J1059" s="26" t="s">
        <v>1289</v>
      </c>
      <c r="K1059" s="10">
        <v>33</v>
      </c>
      <c r="L1059" s="73">
        <f>IF(Tank1!$C$23="No control",(SUMIF(Tank1!$B$32:$B$49,$J1059,Tank1!$C$32:$C$49)*Impacts!$F$8),0)</f>
        <v>0</v>
      </c>
      <c r="M1059" s="10">
        <f>IF(Tank2!$C$23="No control",(SUMIF(Tank2!$B$32:$B$49,$J1059,Tank2!$C$32:$C$49)*Impacts!$F$9),0)</f>
        <v>0</v>
      </c>
      <c r="N1059" s="10">
        <f>IF(Tank3!$C$23="No control",(SUMIF(Tank3!$B$32:$B$49,$J1059,Tank3!$C$32:$C$49)*Impacts!$F$10),0)</f>
        <v>0</v>
      </c>
      <c r="O1059" s="10">
        <f>IF(Tank4!$C$23="No control",(SUMIF(Tank4!$B$32:$B$49,$J1059,Tank4!$C$32:$C$49)*Impacts!$F$11),0)</f>
        <v>0</v>
      </c>
      <c r="P1059" s="10">
        <f>IF(Tank5!$C$23="No control",(SUMIF(Tank5!$B$32:$B$49,$J1059,Tank5!$C$32:$C$49)*Impacts!$F$12),0)</f>
        <v>0</v>
      </c>
      <c r="Q1059" s="10">
        <f>IFERROR(IF(('Loading-drum,tote'!$C$21)="No control",SUMIF(('Loading-drum,tote'!$B$31:$B$48),$J1059,('Loading-drum,tote'!$D$31:$D$48))*Impacts!$F$13,IF(('Loading-drum,tote'!$C$21)&lt;&gt;"No control",SUMIF(('Loading-drum,tote'!$B$31:$B$48),$J1059,('Loading-drum,tote'!$E$31:$E$48))*Impacts!$F$13,0)),0)</f>
        <v>0</v>
      </c>
      <c r="R1059" s="10">
        <f>IFERROR(IF(('Loading-truck'!$C$21)="No control",SUMIF(('Loading-truck'!$B$31:$B$48),$J1059,('Loading-truck'!$D$31:$D$48))*Impacts!$F$14,IF(('Loading-truck'!$C$21)&lt;&gt;"No control",SUMIF(('Loading-truck'!$B$31:$B$48),$J1059,('Loading-truck'!$E$31:$E$48))*Impacts!$F$14,0)),0)</f>
        <v>0</v>
      </c>
      <c r="S1059" s="10">
        <f>IFERROR(IF(('Loading-rail'!$C$21)="No control",SUMIF(('Loading-rail'!$B$31:$B$48),$J1059,('Loading-rail'!$D$31:$D$48))*Impacts!$F$15,IF(('Loading-rail'!$C$21)&lt;&gt;"No control",SUMIF(('Loading-rail'!$B$31:$B$48),$J1059,('Loading-rail'!$E$31:$E$48))*Impacts!$F$15,0)),0)</f>
        <v>0</v>
      </c>
      <c r="T1059" s="10">
        <f>IF(Flare!$C$7="",0,(SUMIF(Flare!$B$46:$B$185,$J1059,Flare!$E$46:$E$185)*Impacts!$F$16))</f>
        <v>0</v>
      </c>
      <c r="U1059" s="10">
        <f>IF(VCU!$C$9="",0,(SUMIF(VCU!$B$51:$B$193,$J1059,VCU!$E$51:$E$193)*Impacts!$F$17))</f>
        <v>0</v>
      </c>
      <c r="V1059" s="10">
        <f>IF(CAS!$C$7="",0,(SUMIF(CAS!$B$31:$B$167,$J1059,CAS!$E$31:$E$167)*Impacts!$F$18))</f>
        <v>0</v>
      </c>
      <c r="W1059" s="10">
        <f t="shared" si="58"/>
        <v>0</v>
      </c>
      <c r="AK1059" s="10" t="str">
        <f t="array" ref="AK1059">IFERROR(INDEX(SelectedSpecies,SMALL(IF(SelectedSpecies=AK$1,ROW(SelectedSpecies)),ROW(1060:1060)),2),"")</f>
        <v/>
      </c>
      <c r="BE1059" s="10"/>
      <c r="BI1059" s="10"/>
    </row>
    <row r="1060" spans="1:61" ht="21" customHeight="1" x14ac:dyDescent="0.25">
      <c r="A1060" s="10"/>
      <c r="B1060" s="10"/>
      <c r="E1060" s="10"/>
      <c r="G1060" s="10"/>
      <c r="I1060" s="436" t="s">
        <v>1292</v>
      </c>
      <c r="J1060" s="26" t="s">
        <v>1291</v>
      </c>
      <c r="K1060" s="10">
        <v>33</v>
      </c>
      <c r="L1060" s="73">
        <f>IF(Tank1!$C$23="No control",(SUMIF(Tank1!$B$32:$B$49,$J1060,Tank1!$C$32:$C$49)*Impacts!$F$8),0)</f>
        <v>0</v>
      </c>
      <c r="M1060" s="10">
        <f>IF(Tank2!$C$23="No control",(SUMIF(Tank2!$B$32:$B$49,$J1060,Tank2!$C$32:$C$49)*Impacts!$F$9),0)</f>
        <v>0</v>
      </c>
      <c r="N1060" s="10">
        <f>IF(Tank3!$C$23="No control",(SUMIF(Tank3!$B$32:$B$49,$J1060,Tank3!$C$32:$C$49)*Impacts!$F$10),0)</f>
        <v>0</v>
      </c>
      <c r="O1060" s="10">
        <f>IF(Tank4!$C$23="No control",(SUMIF(Tank4!$B$32:$B$49,$J1060,Tank4!$C$32:$C$49)*Impacts!$F$11),0)</f>
        <v>0</v>
      </c>
      <c r="P1060" s="10">
        <f>IF(Tank5!$C$23="No control",(SUMIF(Tank5!$B$32:$B$49,$J1060,Tank5!$C$32:$C$49)*Impacts!$F$12),0)</f>
        <v>0</v>
      </c>
      <c r="Q1060" s="10">
        <f>IFERROR(IF(('Loading-drum,tote'!$C$21)="No control",SUMIF(('Loading-drum,tote'!$B$31:$B$48),$J1060,('Loading-drum,tote'!$D$31:$D$48))*Impacts!$F$13,IF(('Loading-drum,tote'!$C$21)&lt;&gt;"No control",SUMIF(('Loading-drum,tote'!$B$31:$B$48),$J1060,('Loading-drum,tote'!$E$31:$E$48))*Impacts!$F$13,0)),0)</f>
        <v>0</v>
      </c>
      <c r="R1060" s="10">
        <f>IFERROR(IF(('Loading-truck'!$C$21)="No control",SUMIF(('Loading-truck'!$B$31:$B$48),$J1060,('Loading-truck'!$D$31:$D$48))*Impacts!$F$14,IF(('Loading-truck'!$C$21)&lt;&gt;"No control",SUMIF(('Loading-truck'!$B$31:$B$48),$J1060,('Loading-truck'!$E$31:$E$48))*Impacts!$F$14,0)),0)</f>
        <v>0</v>
      </c>
      <c r="S1060" s="10">
        <f>IFERROR(IF(('Loading-rail'!$C$21)="No control",SUMIF(('Loading-rail'!$B$31:$B$48),$J1060,('Loading-rail'!$D$31:$D$48))*Impacts!$F$15,IF(('Loading-rail'!$C$21)&lt;&gt;"No control",SUMIF(('Loading-rail'!$B$31:$B$48),$J1060,('Loading-rail'!$E$31:$E$48))*Impacts!$F$15,0)),0)</f>
        <v>0</v>
      </c>
      <c r="T1060" s="10">
        <f>IF(Flare!$C$7="",0,(SUMIF(Flare!$B$46:$B$185,$J1060,Flare!$E$46:$E$185)*Impacts!$F$16))</f>
        <v>0</v>
      </c>
      <c r="U1060" s="10">
        <f>IF(VCU!$C$9="",0,(SUMIF(VCU!$B$51:$B$193,$J1060,VCU!$E$51:$E$193)*Impacts!$F$17))</f>
        <v>0</v>
      </c>
      <c r="V1060" s="10">
        <f>IF(CAS!$C$7="",0,(SUMIF(CAS!$B$31:$B$167,$J1060,CAS!$E$31:$E$167)*Impacts!$F$18))</f>
        <v>0</v>
      </c>
      <c r="W1060" s="10">
        <f t="shared" si="58"/>
        <v>0</v>
      </c>
      <c r="AK1060" s="10" t="str">
        <f t="array" ref="AK1060">IFERROR(INDEX(SelectedSpecies,SMALL(IF(SelectedSpecies=AK$1,ROW(SelectedSpecies)),ROW(1061:1061)),2),"")</f>
        <v/>
      </c>
      <c r="BE1060" s="10"/>
      <c r="BI1060" s="10"/>
    </row>
    <row r="1061" spans="1:61" ht="21" customHeight="1" x14ac:dyDescent="0.25">
      <c r="A1061" s="10"/>
      <c r="B1061" s="10"/>
      <c r="E1061" s="10"/>
      <c r="G1061" s="10"/>
      <c r="I1061" s="436" t="s">
        <v>1294</v>
      </c>
      <c r="J1061" s="26" t="s">
        <v>1293</v>
      </c>
      <c r="K1061" s="10">
        <v>33</v>
      </c>
      <c r="L1061" s="73">
        <f>IF(Tank1!$C$23="No control",(SUMIF(Tank1!$B$32:$B$49,$J1061,Tank1!$C$32:$C$49)*Impacts!$F$8),0)</f>
        <v>0</v>
      </c>
      <c r="M1061" s="10">
        <f>IF(Tank2!$C$23="No control",(SUMIF(Tank2!$B$32:$B$49,$J1061,Tank2!$C$32:$C$49)*Impacts!$F$9),0)</f>
        <v>0</v>
      </c>
      <c r="N1061" s="10">
        <f>IF(Tank3!$C$23="No control",(SUMIF(Tank3!$B$32:$B$49,$J1061,Tank3!$C$32:$C$49)*Impacts!$F$10),0)</f>
        <v>0</v>
      </c>
      <c r="O1061" s="10">
        <f>IF(Tank4!$C$23="No control",(SUMIF(Tank4!$B$32:$B$49,$J1061,Tank4!$C$32:$C$49)*Impacts!$F$11),0)</f>
        <v>0</v>
      </c>
      <c r="P1061" s="10">
        <f>IF(Tank5!$C$23="No control",(SUMIF(Tank5!$B$32:$B$49,$J1061,Tank5!$C$32:$C$49)*Impacts!$F$12),0)</f>
        <v>0</v>
      </c>
      <c r="Q1061" s="10">
        <f>IFERROR(IF(('Loading-drum,tote'!$C$21)="No control",SUMIF(('Loading-drum,tote'!$B$31:$B$48),$J1061,('Loading-drum,tote'!$D$31:$D$48))*Impacts!$F$13,IF(('Loading-drum,tote'!$C$21)&lt;&gt;"No control",SUMIF(('Loading-drum,tote'!$B$31:$B$48),$J1061,('Loading-drum,tote'!$E$31:$E$48))*Impacts!$F$13,0)),0)</f>
        <v>0</v>
      </c>
      <c r="R1061" s="10">
        <f>IFERROR(IF(('Loading-truck'!$C$21)="No control",SUMIF(('Loading-truck'!$B$31:$B$48),$J1061,('Loading-truck'!$D$31:$D$48))*Impacts!$F$14,IF(('Loading-truck'!$C$21)&lt;&gt;"No control",SUMIF(('Loading-truck'!$B$31:$B$48),$J1061,('Loading-truck'!$E$31:$E$48))*Impacts!$F$14,0)),0)</f>
        <v>0</v>
      </c>
      <c r="S1061" s="10">
        <f>IFERROR(IF(('Loading-rail'!$C$21)="No control",SUMIF(('Loading-rail'!$B$31:$B$48),$J1061,('Loading-rail'!$D$31:$D$48))*Impacts!$F$15,IF(('Loading-rail'!$C$21)&lt;&gt;"No control",SUMIF(('Loading-rail'!$B$31:$B$48),$J1061,('Loading-rail'!$E$31:$E$48))*Impacts!$F$15,0)),0)</f>
        <v>0</v>
      </c>
      <c r="T1061" s="10">
        <f>IF(Flare!$C$7="",0,(SUMIF(Flare!$B$46:$B$185,$J1061,Flare!$E$46:$E$185)*Impacts!$F$16))</f>
        <v>0</v>
      </c>
      <c r="U1061" s="10">
        <f>IF(VCU!$C$9="",0,(SUMIF(VCU!$B$51:$B$193,$J1061,VCU!$E$51:$E$193)*Impacts!$F$17))</f>
        <v>0</v>
      </c>
      <c r="V1061" s="10">
        <f>IF(CAS!$C$7="",0,(SUMIF(CAS!$B$31:$B$167,$J1061,CAS!$E$31:$E$167)*Impacts!$F$18))</f>
        <v>0</v>
      </c>
      <c r="W1061" s="10">
        <f t="shared" si="58"/>
        <v>0</v>
      </c>
      <c r="AK1061" s="10" t="str">
        <f t="array" ref="AK1061">IFERROR(INDEX(SelectedSpecies,SMALL(IF(SelectedSpecies=AK$1,ROW(SelectedSpecies)),ROW(1062:1062)),2),"")</f>
        <v/>
      </c>
      <c r="BE1061" s="10"/>
      <c r="BI1061" s="10"/>
    </row>
    <row r="1062" spans="1:61" ht="21" customHeight="1" x14ac:dyDescent="0.25">
      <c r="A1062" s="10"/>
      <c r="B1062" s="10"/>
      <c r="E1062" s="10"/>
      <c r="G1062" s="10"/>
      <c r="I1062" s="436" t="s">
        <v>2239</v>
      </c>
      <c r="J1062" s="26" t="s">
        <v>2238</v>
      </c>
      <c r="K1062" s="10">
        <v>12.5</v>
      </c>
      <c r="L1062" s="73">
        <f>IF(Tank1!$C$23="No control",(SUMIF(Tank1!$B$32:$B$49,$J1062,Tank1!$C$32:$C$49)*Impacts!$F$8),0)</f>
        <v>0</v>
      </c>
      <c r="M1062" s="10">
        <f>IF(Tank2!$C$23="No control",(SUMIF(Tank2!$B$32:$B$49,$J1062,Tank2!$C$32:$C$49)*Impacts!$F$9),0)</f>
        <v>0</v>
      </c>
      <c r="N1062" s="10">
        <f>IF(Tank3!$C$23="No control",(SUMIF(Tank3!$B$32:$B$49,$J1062,Tank3!$C$32:$C$49)*Impacts!$F$10),0)</f>
        <v>0</v>
      </c>
      <c r="O1062" s="10">
        <f>IF(Tank4!$C$23="No control",(SUMIF(Tank4!$B$32:$B$49,$J1062,Tank4!$C$32:$C$49)*Impacts!$F$11),0)</f>
        <v>0</v>
      </c>
      <c r="P1062" s="10">
        <f>IF(Tank5!$C$23="No control",(SUMIF(Tank5!$B$32:$B$49,$J1062,Tank5!$C$32:$C$49)*Impacts!$F$12),0)</f>
        <v>0</v>
      </c>
      <c r="Q1062" s="10">
        <f>IFERROR(IF(('Loading-drum,tote'!$C$21)="No control",SUMIF(('Loading-drum,tote'!$B$31:$B$48),$J1062,('Loading-drum,tote'!$D$31:$D$48))*Impacts!$F$13,IF(('Loading-drum,tote'!$C$21)&lt;&gt;"No control",SUMIF(('Loading-drum,tote'!$B$31:$B$48),$J1062,('Loading-drum,tote'!$E$31:$E$48))*Impacts!$F$13,0)),0)</f>
        <v>0</v>
      </c>
      <c r="R1062" s="10">
        <f>IFERROR(IF(('Loading-truck'!$C$21)="No control",SUMIF(('Loading-truck'!$B$31:$B$48),$J1062,('Loading-truck'!$D$31:$D$48))*Impacts!$F$14,IF(('Loading-truck'!$C$21)&lt;&gt;"No control",SUMIF(('Loading-truck'!$B$31:$B$48),$J1062,('Loading-truck'!$E$31:$E$48))*Impacts!$F$14,0)),0)</f>
        <v>0</v>
      </c>
      <c r="S1062" s="10">
        <f>IFERROR(IF(('Loading-rail'!$C$21)="No control",SUMIF(('Loading-rail'!$B$31:$B$48),$J1062,('Loading-rail'!$D$31:$D$48))*Impacts!$F$15,IF(('Loading-rail'!$C$21)&lt;&gt;"No control",SUMIF(('Loading-rail'!$B$31:$B$48),$J1062,('Loading-rail'!$E$31:$E$48))*Impacts!$F$15,0)),0)</f>
        <v>0</v>
      </c>
      <c r="T1062" s="10">
        <f>IF(Flare!$C$7="",0,(SUMIF(Flare!$B$46:$B$185,$J1062,Flare!$E$46:$E$185)*Impacts!$F$16))</f>
        <v>0</v>
      </c>
      <c r="U1062" s="10">
        <f>IF(VCU!$C$9="",0,(SUMIF(VCU!$B$51:$B$193,$J1062,VCU!$E$51:$E$193)*Impacts!$F$17))</f>
        <v>0</v>
      </c>
      <c r="V1062" s="10">
        <f>IF(CAS!$C$7="",0,(SUMIF(CAS!$B$31:$B$167,$J1062,CAS!$E$31:$E$167)*Impacts!$F$18))</f>
        <v>0</v>
      </c>
      <c r="W1062" s="10">
        <f t="shared" si="58"/>
        <v>0</v>
      </c>
      <c r="AK1062" s="10" t="str">
        <f t="array" ref="AK1062">IFERROR(INDEX(SelectedSpecies,SMALL(IF(SelectedSpecies=AK$1,ROW(SelectedSpecies)),ROW(1063:1063)),2),"")</f>
        <v/>
      </c>
      <c r="BE1062" s="10"/>
      <c r="BI1062" s="10"/>
    </row>
    <row r="1063" spans="1:61" ht="21" customHeight="1" x14ac:dyDescent="0.25">
      <c r="A1063" s="10"/>
      <c r="B1063" s="10"/>
      <c r="E1063" s="10"/>
      <c r="G1063" s="10"/>
      <c r="I1063" s="436" t="s">
        <v>990</v>
      </c>
      <c r="J1063" s="26" t="s">
        <v>989</v>
      </c>
      <c r="K1063" s="10">
        <v>35</v>
      </c>
      <c r="L1063" s="73">
        <f>IF(Tank1!$C$23="No control",(SUMIF(Tank1!$B$32:$B$49,$J1063,Tank1!$C$32:$C$49)*Impacts!$F$8),0)</f>
        <v>0</v>
      </c>
      <c r="M1063" s="10">
        <f>IF(Tank2!$C$23="No control",(SUMIF(Tank2!$B$32:$B$49,$J1063,Tank2!$C$32:$C$49)*Impacts!$F$9),0)</f>
        <v>0</v>
      </c>
      <c r="N1063" s="10">
        <f>IF(Tank3!$C$23="No control",(SUMIF(Tank3!$B$32:$B$49,$J1063,Tank3!$C$32:$C$49)*Impacts!$F$10),0)</f>
        <v>0</v>
      </c>
      <c r="O1063" s="10">
        <f>IF(Tank4!$C$23="No control",(SUMIF(Tank4!$B$32:$B$49,$J1063,Tank4!$C$32:$C$49)*Impacts!$F$11),0)</f>
        <v>0</v>
      </c>
      <c r="P1063" s="10">
        <f>IF(Tank5!$C$23="No control",(SUMIF(Tank5!$B$32:$B$49,$J1063,Tank5!$C$32:$C$49)*Impacts!$F$12),0)</f>
        <v>0</v>
      </c>
      <c r="Q1063" s="10">
        <f>IFERROR(IF(('Loading-drum,tote'!$C$21)="No control",SUMIF(('Loading-drum,tote'!$B$31:$B$48),$J1063,('Loading-drum,tote'!$D$31:$D$48))*Impacts!$F$13,IF(('Loading-drum,tote'!$C$21)&lt;&gt;"No control",SUMIF(('Loading-drum,tote'!$B$31:$B$48),$J1063,('Loading-drum,tote'!$E$31:$E$48))*Impacts!$F$13,0)),0)</f>
        <v>0</v>
      </c>
      <c r="R1063" s="10">
        <f>IFERROR(IF(('Loading-truck'!$C$21)="No control",SUMIF(('Loading-truck'!$B$31:$B$48),$J1063,('Loading-truck'!$D$31:$D$48))*Impacts!$F$14,IF(('Loading-truck'!$C$21)&lt;&gt;"No control",SUMIF(('Loading-truck'!$B$31:$B$48),$J1063,('Loading-truck'!$E$31:$E$48))*Impacts!$F$14,0)),0)</f>
        <v>0</v>
      </c>
      <c r="S1063" s="10">
        <f>IFERROR(IF(('Loading-rail'!$C$21)="No control",SUMIF(('Loading-rail'!$B$31:$B$48),$J1063,('Loading-rail'!$D$31:$D$48))*Impacts!$F$15,IF(('Loading-rail'!$C$21)&lt;&gt;"No control",SUMIF(('Loading-rail'!$B$31:$B$48),$J1063,('Loading-rail'!$E$31:$E$48))*Impacts!$F$15,0)),0)</f>
        <v>0</v>
      </c>
      <c r="T1063" s="10">
        <f>IF(Flare!$C$7="",0,(SUMIF(Flare!$B$46:$B$185,$J1063,Flare!$E$46:$E$185)*Impacts!$F$16))</f>
        <v>0</v>
      </c>
      <c r="U1063" s="10">
        <f>IF(VCU!$C$9="",0,(SUMIF(VCU!$B$51:$B$193,$J1063,VCU!$E$51:$E$193)*Impacts!$F$17))</f>
        <v>0</v>
      </c>
      <c r="V1063" s="10">
        <f>IF(CAS!$C$7="",0,(SUMIF(CAS!$B$31:$B$167,$J1063,CAS!$E$31:$E$167)*Impacts!$F$18))</f>
        <v>0</v>
      </c>
      <c r="W1063" s="10">
        <f t="shared" si="58"/>
        <v>0</v>
      </c>
      <c r="AK1063" s="10" t="str">
        <f t="array" ref="AK1063">IFERROR(INDEX(SelectedSpecies,SMALL(IF(SelectedSpecies=AK$1,ROW(SelectedSpecies)),ROW(1064:1064)),2),"")</f>
        <v/>
      </c>
      <c r="BE1063" s="10"/>
      <c r="BI1063" s="10"/>
    </row>
    <row r="1064" spans="1:61" ht="21" customHeight="1" x14ac:dyDescent="0.25">
      <c r="A1064" s="10"/>
      <c r="B1064" s="10"/>
      <c r="E1064" s="10"/>
      <c r="G1064" s="10"/>
      <c r="I1064" s="436" t="s">
        <v>5225</v>
      </c>
      <c r="J1064" s="26" t="s">
        <v>5224</v>
      </c>
      <c r="K1064" s="10">
        <v>1.9000000000000001</v>
      </c>
      <c r="L1064" s="73">
        <f>IF(Tank1!$C$23="No control",(SUMIF(Tank1!$B$32:$B$49,$J1064,Tank1!$C$32:$C$49)*Impacts!$F$8),0)</f>
        <v>0</v>
      </c>
      <c r="M1064" s="10">
        <f>IF(Tank2!$C$23="No control",(SUMIF(Tank2!$B$32:$B$49,$J1064,Tank2!$C$32:$C$49)*Impacts!$F$9),0)</f>
        <v>0</v>
      </c>
      <c r="N1064" s="10">
        <f>IF(Tank3!$C$23="No control",(SUMIF(Tank3!$B$32:$B$49,$J1064,Tank3!$C$32:$C$49)*Impacts!$F$10),0)</f>
        <v>0</v>
      </c>
      <c r="O1064" s="10">
        <f>IF(Tank4!$C$23="No control",(SUMIF(Tank4!$B$32:$B$49,$J1064,Tank4!$C$32:$C$49)*Impacts!$F$11),0)</f>
        <v>0</v>
      </c>
      <c r="P1064" s="10">
        <f>IF(Tank5!$C$23="No control",(SUMIF(Tank5!$B$32:$B$49,$J1064,Tank5!$C$32:$C$49)*Impacts!$F$12),0)</f>
        <v>0</v>
      </c>
      <c r="Q1064" s="10">
        <f>IFERROR(IF(('Loading-drum,tote'!$C$21)="No control",SUMIF(('Loading-drum,tote'!$B$31:$B$48),$J1064,('Loading-drum,tote'!$D$31:$D$48))*Impacts!$F$13,IF(('Loading-drum,tote'!$C$21)&lt;&gt;"No control",SUMIF(('Loading-drum,tote'!$B$31:$B$48),$J1064,('Loading-drum,tote'!$E$31:$E$48))*Impacts!$F$13,0)),0)</f>
        <v>0</v>
      </c>
      <c r="R1064" s="10">
        <f>IFERROR(IF(('Loading-truck'!$C$21)="No control",SUMIF(('Loading-truck'!$B$31:$B$48),$J1064,('Loading-truck'!$D$31:$D$48))*Impacts!$F$14,IF(('Loading-truck'!$C$21)&lt;&gt;"No control",SUMIF(('Loading-truck'!$B$31:$B$48),$J1064,('Loading-truck'!$E$31:$E$48))*Impacts!$F$14,0)),0)</f>
        <v>0</v>
      </c>
      <c r="S1064" s="10">
        <f>IFERROR(IF(('Loading-rail'!$C$21)="No control",SUMIF(('Loading-rail'!$B$31:$B$48),$J1064,('Loading-rail'!$D$31:$D$48))*Impacts!$F$15,IF(('Loading-rail'!$C$21)&lt;&gt;"No control",SUMIF(('Loading-rail'!$B$31:$B$48),$J1064,('Loading-rail'!$E$31:$E$48))*Impacts!$F$15,0)),0)</f>
        <v>0</v>
      </c>
      <c r="T1064" s="10">
        <f>IF(Flare!$C$7="",0,(SUMIF(Flare!$B$46:$B$185,$J1064,Flare!$E$46:$E$185)*Impacts!$F$16))</f>
        <v>0</v>
      </c>
      <c r="U1064" s="10">
        <f>IF(VCU!$C$9="",0,(SUMIF(VCU!$B$51:$B$193,$J1064,VCU!$E$51:$E$193)*Impacts!$F$17))</f>
        <v>0</v>
      </c>
      <c r="V1064" s="10">
        <f>IF(CAS!$C$7="",0,(SUMIF(CAS!$B$31:$B$167,$J1064,CAS!$E$31:$E$167)*Impacts!$F$18))</f>
        <v>0</v>
      </c>
      <c r="W1064" s="10">
        <f t="shared" si="58"/>
        <v>0</v>
      </c>
      <c r="AK1064" s="10" t="str">
        <f t="array" ref="AK1064">IFERROR(INDEX(SelectedSpecies,SMALL(IF(SelectedSpecies=AK$1,ROW(SelectedSpecies)),ROW(1065:1065)),2),"")</f>
        <v/>
      </c>
      <c r="BE1064" s="10"/>
      <c r="BI1064" s="10"/>
    </row>
    <row r="1065" spans="1:61" ht="21" customHeight="1" x14ac:dyDescent="0.25">
      <c r="A1065" s="10"/>
      <c r="B1065" s="10"/>
      <c r="E1065" s="10"/>
      <c r="G1065" s="10"/>
      <c r="I1065" s="436" t="s">
        <v>6518</v>
      </c>
      <c r="J1065" s="26" t="s">
        <v>6517</v>
      </c>
      <c r="K1065" s="10">
        <v>0.70000000000000007</v>
      </c>
      <c r="L1065" s="73">
        <f>IF(Tank1!$C$23="No control",(SUMIF(Tank1!$B$32:$B$49,$J1065,Tank1!$C$32:$C$49)*Impacts!$F$8),0)</f>
        <v>0</v>
      </c>
      <c r="M1065" s="10">
        <f>IF(Tank2!$C$23="No control",(SUMIF(Tank2!$B$32:$B$49,$J1065,Tank2!$C$32:$C$49)*Impacts!$F$9),0)</f>
        <v>0</v>
      </c>
      <c r="N1065" s="10">
        <f>IF(Tank3!$C$23="No control",(SUMIF(Tank3!$B$32:$B$49,$J1065,Tank3!$C$32:$C$49)*Impacts!$F$10),0)</f>
        <v>0</v>
      </c>
      <c r="O1065" s="10">
        <f>IF(Tank4!$C$23="No control",(SUMIF(Tank4!$B$32:$B$49,$J1065,Tank4!$C$32:$C$49)*Impacts!$F$11),0)</f>
        <v>0</v>
      </c>
      <c r="P1065" s="10">
        <f>IF(Tank5!$C$23="No control",(SUMIF(Tank5!$B$32:$B$49,$J1065,Tank5!$C$32:$C$49)*Impacts!$F$12),0)</f>
        <v>0</v>
      </c>
      <c r="Q1065" s="10">
        <f>IFERROR(IF(('Loading-drum,tote'!$C$21)="No control",SUMIF(('Loading-drum,tote'!$B$31:$B$48),$J1065,('Loading-drum,tote'!$D$31:$D$48))*Impacts!$F$13,IF(('Loading-drum,tote'!$C$21)&lt;&gt;"No control",SUMIF(('Loading-drum,tote'!$B$31:$B$48),$J1065,('Loading-drum,tote'!$E$31:$E$48))*Impacts!$F$13,0)),0)</f>
        <v>0</v>
      </c>
      <c r="R1065" s="10">
        <f>IFERROR(IF(('Loading-truck'!$C$21)="No control",SUMIF(('Loading-truck'!$B$31:$B$48),$J1065,('Loading-truck'!$D$31:$D$48))*Impacts!$F$14,IF(('Loading-truck'!$C$21)&lt;&gt;"No control",SUMIF(('Loading-truck'!$B$31:$B$48),$J1065,('Loading-truck'!$E$31:$E$48))*Impacts!$F$14,0)),0)</f>
        <v>0</v>
      </c>
      <c r="S1065" s="10">
        <f>IFERROR(IF(('Loading-rail'!$C$21)="No control",SUMIF(('Loading-rail'!$B$31:$B$48),$J1065,('Loading-rail'!$D$31:$D$48))*Impacts!$F$15,IF(('Loading-rail'!$C$21)&lt;&gt;"No control",SUMIF(('Loading-rail'!$B$31:$B$48),$J1065,('Loading-rail'!$E$31:$E$48))*Impacts!$F$15,0)),0)</f>
        <v>0</v>
      </c>
      <c r="T1065" s="10">
        <f>IF(Flare!$C$7="",0,(SUMIF(Flare!$B$46:$B$185,$J1065,Flare!$E$46:$E$185)*Impacts!$F$16))</f>
        <v>0</v>
      </c>
      <c r="U1065" s="10">
        <f>IF(VCU!$C$9="",0,(SUMIF(VCU!$B$51:$B$193,$J1065,VCU!$E$51:$E$193)*Impacts!$F$17))</f>
        <v>0</v>
      </c>
      <c r="V1065" s="10">
        <f>IF(CAS!$C$7="",0,(SUMIF(CAS!$B$31:$B$167,$J1065,CAS!$E$31:$E$167)*Impacts!$F$18))</f>
        <v>0</v>
      </c>
      <c r="W1065" s="10">
        <f t="shared" si="58"/>
        <v>0</v>
      </c>
      <c r="AK1065" s="10" t="str">
        <f t="array" ref="AK1065">IFERROR(INDEX(SelectedSpecies,SMALL(IF(SelectedSpecies=AK$1,ROW(SelectedSpecies)),ROW(1066:1066)),2),"")</f>
        <v/>
      </c>
      <c r="BE1065" s="10"/>
      <c r="BI1065" s="10"/>
    </row>
    <row r="1066" spans="1:61" ht="21" customHeight="1" x14ac:dyDescent="0.25">
      <c r="A1066" s="10"/>
      <c r="B1066" s="10"/>
      <c r="E1066" s="10"/>
      <c r="G1066" s="10"/>
      <c r="I1066" s="436" t="s">
        <v>654</v>
      </c>
      <c r="J1066" s="26" t="s">
        <v>653</v>
      </c>
      <c r="K1066" s="10">
        <v>57</v>
      </c>
      <c r="L1066" s="73">
        <f>IF(Tank1!$C$23="No control",(SUMIF(Tank1!$B$32:$B$49,$J1066,Tank1!$C$32:$C$49)*Impacts!$F$8),0)</f>
        <v>0</v>
      </c>
      <c r="M1066" s="10">
        <f>IF(Tank2!$C$23="No control",(SUMIF(Tank2!$B$32:$B$49,$J1066,Tank2!$C$32:$C$49)*Impacts!$F$9),0)</f>
        <v>0</v>
      </c>
      <c r="N1066" s="10">
        <f>IF(Tank3!$C$23="No control",(SUMIF(Tank3!$B$32:$B$49,$J1066,Tank3!$C$32:$C$49)*Impacts!$F$10),0)</f>
        <v>0</v>
      </c>
      <c r="O1066" s="10">
        <f>IF(Tank4!$C$23="No control",(SUMIF(Tank4!$B$32:$B$49,$J1066,Tank4!$C$32:$C$49)*Impacts!$F$11),0)</f>
        <v>0</v>
      </c>
      <c r="P1066" s="10">
        <f>IF(Tank5!$C$23="No control",(SUMIF(Tank5!$B$32:$B$49,$J1066,Tank5!$C$32:$C$49)*Impacts!$F$12),0)</f>
        <v>0</v>
      </c>
      <c r="Q1066" s="10">
        <f>IFERROR(IF(('Loading-drum,tote'!$C$21)="No control",SUMIF(('Loading-drum,tote'!$B$31:$B$48),$J1066,('Loading-drum,tote'!$D$31:$D$48))*Impacts!$F$13,IF(('Loading-drum,tote'!$C$21)&lt;&gt;"No control",SUMIF(('Loading-drum,tote'!$B$31:$B$48),$J1066,('Loading-drum,tote'!$E$31:$E$48))*Impacts!$F$13,0)),0)</f>
        <v>0</v>
      </c>
      <c r="R1066" s="10">
        <f>IFERROR(IF(('Loading-truck'!$C$21)="No control",SUMIF(('Loading-truck'!$B$31:$B$48),$J1066,('Loading-truck'!$D$31:$D$48))*Impacts!$F$14,IF(('Loading-truck'!$C$21)&lt;&gt;"No control",SUMIF(('Loading-truck'!$B$31:$B$48),$J1066,('Loading-truck'!$E$31:$E$48))*Impacts!$F$14,0)),0)</f>
        <v>0</v>
      </c>
      <c r="S1066" s="10">
        <f>IFERROR(IF(('Loading-rail'!$C$21)="No control",SUMIF(('Loading-rail'!$B$31:$B$48),$J1066,('Loading-rail'!$D$31:$D$48))*Impacts!$F$15,IF(('Loading-rail'!$C$21)&lt;&gt;"No control",SUMIF(('Loading-rail'!$B$31:$B$48),$J1066,('Loading-rail'!$E$31:$E$48))*Impacts!$F$15,0)),0)</f>
        <v>0</v>
      </c>
      <c r="T1066" s="10">
        <f>IF(Flare!$C$7="",0,(SUMIF(Flare!$B$46:$B$185,$J1066,Flare!$E$46:$E$185)*Impacts!$F$16))</f>
        <v>0</v>
      </c>
      <c r="U1066" s="10">
        <f>IF(VCU!$C$9="",0,(SUMIF(VCU!$B$51:$B$193,$J1066,VCU!$E$51:$E$193)*Impacts!$F$17))</f>
        <v>0</v>
      </c>
      <c r="V1066" s="10">
        <f>IF(CAS!$C$7="",0,(SUMIF(CAS!$B$31:$B$167,$J1066,CAS!$E$31:$E$167)*Impacts!$F$18))</f>
        <v>0</v>
      </c>
      <c r="W1066" s="10">
        <f t="shared" si="58"/>
        <v>0</v>
      </c>
      <c r="AK1066" s="10" t="str">
        <f t="array" ref="AK1066">IFERROR(INDEX(SelectedSpecies,SMALL(IF(SelectedSpecies=AK$1,ROW(SelectedSpecies)),ROW(1067:1067)),2),"")</f>
        <v/>
      </c>
      <c r="BE1066" s="10"/>
      <c r="BI1066" s="10"/>
    </row>
    <row r="1067" spans="1:61" ht="21" customHeight="1" x14ac:dyDescent="0.25">
      <c r="A1067" s="10"/>
      <c r="B1067" s="10"/>
      <c r="E1067" s="10"/>
      <c r="G1067" s="10"/>
      <c r="I1067" s="436" t="s">
        <v>1670</v>
      </c>
      <c r="J1067" s="26" t="s">
        <v>1669</v>
      </c>
      <c r="K1067" s="10">
        <v>24.5</v>
      </c>
      <c r="L1067" s="73">
        <f>IF(Tank1!$C$23="No control",(SUMIF(Tank1!$B$32:$B$49,$J1067,Tank1!$C$32:$C$49)*Impacts!$F$8),0)</f>
        <v>0</v>
      </c>
      <c r="M1067" s="10">
        <f>IF(Tank2!$C$23="No control",(SUMIF(Tank2!$B$32:$B$49,$J1067,Tank2!$C$32:$C$49)*Impacts!$F$9),0)</f>
        <v>0</v>
      </c>
      <c r="N1067" s="10">
        <f>IF(Tank3!$C$23="No control",(SUMIF(Tank3!$B$32:$B$49,$J1067,Tank3!$C$32:$C$49)*Impacts!$F$10),0)</f>
        <v>0</v>
      </c>
      <c r="O1067" s="10">
        <f>IF(Tank4!$C$23="No control",(SUMIF(Tank4!$B$32:$B$49,$J1067,Tank4!$C$32:$C$49)*Impacts!$F$11),0)</f>
        <v>0</v>
      </c>
      <c r="P1067" s="10">
        <f>IF(Tank5!$C$23="No control",(SUMIF(Tank5!$B$32:$B$49,$J1067,Tank5!$C$32:$C$49)*Impacts!$F$12),0)</f>
        <v>0</v>
      </c>
      <c r="Q1067" s="10">
        <f>IFERROR(IF(('Loading-drum,tote'!$C$21)="No control",SUMIF(('Loading-drum,tote'!$B$31:$B$48),$J1067,('Loading-drum,tote'!$D$31:$D$48))*Impacts!$F$13,IF(('Loading-drum,tote'!$C$21)&lt;&gt;"No control",SUMIF(('Loading-drum,tote'!$B$31:$B$48),$J1067,('Loading-drum,tote'!$E$31:$E$48))*Impacts!$F$13,0)),0)</f>
        <v>0</v>
      </c>
      <c r="R1067" s="10">
        <f>IFERROR(IF(('Loading-truck'!$C$21)="No control",SUMIF(('Loading-truck'!$B$31:$B$48),$J1067,('Loading-truck'!$D$31:$D$48))*Impacts!$F$14,IF(('Loading-truck'!$C$21)&lt;&gt;"No control",SUMIF(('Loading-truck'!$B$31:$B$48),$J1067,('Loading-truck'!$E$31:$E$48))*Impacts!$F$14,0)),0)</f>
        <v>0</v>
      </c>
      <c r="S1067" s="10">
        <f>IFERROR(IF(('Loading-rail'!$C$21)="No control",SUMIF(('Loading-rail'!$B$31:$B$48),$J1067,('Loading-rail'!$D$31:$D$48))*Impacts!$F$15,IF(('Loading-rail'!$C$21)&lt;&gt;"No control",SUMIF(('Loading-rail'!$B$31:$B$48),$J1067,('Loading-rail'!$E$31:$E$48))*Impacts!$F$15,0)),0)</f>
        <v>0</v>
      </c>
      <c r="T1067" s="10">
        <f>IF(Flare!$C$7="",0,(SUMIF(Flare!$B$46:$B$185,$J1067,Flare!$E$46:$E$185)*Impacts!$F$16))</f>
        <v>0</v>
      </c>
      <c r="U1067" s="10">
        <f>IF(VCU!$C$9="",0,(SUMIF(VCU!$B$51:$B$193,$J1067,VCU!$E$51:$E$193)*Impacts!$F$17))</f>
        <v>0</v>
      </c>
      <c r="V1067" s="10">
        <f>IF(CAS!$C$7="",0,(SUMIF(CAS!$B$31:$B$167,$J1067,CAS!$E$31:$E$167)*Impacts!$F$18))</f>
        <v>0</v>
      </c>
      <c r="W1067" s="10">
        <f t="shared" si="58"/>
        <v>0</v>
      </c>
      <c r="AK1067" s="10" t="str">
        <f t="array" ref="AK1067">IFERROR(INDEX(SelectedSpecies,SMALL(IF(SelectedSpecies=AK$1,ROW(SelectedSpecies)),ROW(1068:1068)),2),"")</f>
        <v/>
      </c>
      <c r="BE1067" s="10"/>
      <c r="BI1067" s="10"/>
    </row>
    <row r="1068" spans="1:61" ht="21" customHeight="1" x14ac:dyDescent="0.25">
      <c r="A1068" s="10"/>
      <c r="B1068" s="10"/>
      <c r="E1068" s="10"/>
      <c r="G1068" s="10"/>
      <c r="I1068" s="436" t="s">
        <v>1672</v>
      </c>
      <c r="J1068" s="26" t="s">
        <v>1671</v>
      </c>
      <c r="K1068" s="10">
        <v>24.5</v>
      </c>
      <c r="L1068" s="73">
        <f>IF(Tank1!$C$23="No control",(SUMIF(Tank1!$B$32:$B$49,$J1068,Tank1!$C$32:$C$49)*Impacts!$F$8),0)</f>
        <v>0</v>
      </c>
      <c r="M1068" s="10">
        <f>IF(Tank2!$C$23="No control",(SUMIF(Tank2!$B$32:$B$49,$J1068,Tank2!$C$32:$C$49)*Impacts!$F$9),0)</f>
        <v>0</v>
      </c>
      <c r="N1068" s="10">
        <f>IF(Tank3!$C$23="No control",(SUMIF(Tank3!$B$32:$B$49,$J1068,Tank3!$C$32:$C$49)*Impacts!$F$10),0)</f>
        <v>0</v>
      </c>
      <c r="O1068" s="10">
        <f>IF(Tank4!$C$23="No control",(SUMIF(Tank4!$B$32:$B$49,$J1068,Tank4!$C$32:$C$49)*Impacts!$F$11),0)</f>
        <v>0</v>
      </c>
      <c r="P1068" s="10">
        <f>IF(Tank5!$C$23="No control",(SUMIF(Tank5!$B$32:$B$49,$J1068,Tank5!$C$32:$C$49)*Impacts!$F$12),0)</f>
        <v>0</v>
      </c>
      <c r="Q1068" s="10">
        <f>IFERROR(IF(('Loading-drum,tote'!$C$21)="No control",SUMIF(('Loading-drum,tote'!$B$31:$B$48),$J1068,('Loading-drum,tote'!$D$31:$D$48))*Impacts!$F$13,IF(('Loading-drum,tote'!$C$21)&lt;&gt;"No control",SUMIF(('Loading-drum,tote'!$B$31:$B$48),$J1068,('Loading-drum,tote'!$E$31:$E$48))*Impacts!$F$13,0)),0)</f>
        <v>0</v>
      </c>
      <c r="R1068" s="10">
        <f>IFERROR(IF(('Loading-truck'!$C$21)="No control",SUMIF(('Loading-truck'!$B$31:$B$48),$J1068,('Loading-truck'!$D$31:$D$48))*Impacts!$F$14,IF(('Loading-truck'!$C$21)&lt;&gt;"No control",SUMIF(('Loading-truck'!$B$31:$B$48),$J1068,('Loading-truck'!$E$31:$E$48))*Impacts!$F$14,0)),0)</f>
        <v>0</v>
      </c>
      <c r="S1068" s="10">
        <f>IFERROR(IF(('Loading-rail'!$C$21)="No control",SUMIF(('Loading-rail'!$B$31:$B$48),$J1068,('Loading-rail'!$D$31:$D$48))*Impacts!$F$15,IF(('Loading-rail'!$C$21)&lt;&gt;"No control",SUMIF(('Loading-rail'!$B$31:$B$48),$J1068,('Loading-rail'!$E$31:$E$48))*Impacts!$F$15,0)),0)</f>
        <v>0</v>
      </c>
      <c r="T1068" s="10">
        <f>IF(Flare!$C$7="",0,(SUMIF(Flare!$B$46:$B$185,$J1068,Flare!$E$46:$E$185)*Impacts!$F$16))</f>
        <v>0</v>
      </c>
      <c r="U1068" s="10">
        <f>IF(VCU!$C$9="",0,(SUMIF(VCU!$B$51:$B$193,$J1068,VCU!$E$51:$E$193)*Impacts!$F$17))</f>
        <v>0</v>
      </c>
      <c r="V1068" s="10">
        <f>IF(CAS!$C$7="",0,(SUMIF(CAS!$B$31:$B$167,$J1068,CAS!$E$31:$E$167)*Impacts!$F$18))</f>
        <v>0</v>
      </c>
      <c r="W1068" s="10">
        <f t="shared" si="58"/>
        <v>0</v>
      </c>
      <c r="AK1068" s="10" t="str">
        <f t="array" ref="AK1068">IFERROR(INDEX(SelectedSpecies,SMALL(IF(SelectedSpecies=AK$1,ROW(SelectedSpecies)),ROW(1069:1069)),2),"")</f>
        <v/>
      </c>
      <c r="BE1068" s="10"/>
      <c r="BI1068" s="10"/>
    </row>
    <row r="1069" spans="1:61" ht="21" customHeight="1" x14ac:dyDescent="0.25">
      <c r="A1069" s="10"/>
      <c r="B1069" s="10"/>
      <c r="E1069" s="10"/>
      <c r="G1069" s="10"/>
      <c r="I1069" s="436" t="s">
        <v>1674</v>
      </c>
      <c r="J1069" s="26" t="s">
        <v>1673</v>
      </c>
      <c r="K1069" s="10">
        <v>24.5</v>
      </c>
      <c r="L1069" s="73">
        <f>IF(Tank1!$C$23="No control",(SUMIF(Tank1!$B$32:$B$49,$J1069,Tank1!$C$32:$C$49)*Impacts!$F$8),0)</f>
        <v>0</v>
      </c>
      <c r="M1069" s="10">
        <f>IF(Tank2!$C$23="No control",(SUMIF(Tank2!$B$32:$B$49,$J1069,Tank2!$C$32:$C$49)*Impacts!$F$9),0)</f>
        <v>0</v>
      </c>
      <c r="N1069" s="10">
        <f>IF(Tank3!$C$23="No control",(SUMIF(Tank3!$B$32:$B$49,$J1069,Tank3!$C$32:$C$49)*Impacts!$F$10),0)</f>
        <v>0</v>
      </c>
      <c r="O1069" s="10">
        <f>IF(Tank4!$C$23="No control",(SUMIF(Tank4!$B$32:$B$49,$J1069,Tank4!$C$32:$C$49)*Impacts!$F$11),0)</f>
        <v>0</v>
      </c>
      <c r="P1069" s="10">
        <f>IF(Tank5!$C$23="No control",(SUMIF(Tank5!$B$32:$B$49,$J1069,Tank5!$C$32:$C$49)*Impacts!$F$12),0)</f>
        <v>0</v>
      </c>
      <c r="Q1069" s="10">
        <f>IFERROR(IF(('Loading-drum,tote'!$C$21)="No control",SUMIF(('Loading-drum,tote'!$B$31:$B$48),$J1069,('Loading-drum,tote'!$D$31:$D$48))*Impacts!$F$13,IF(('Loading-drum,tote'!$C$21)&lt;&gt;"No control",SUMIF(('Loading-drum,tote'!$B$31:$B$48),$J1069,('Loading-drum,tote'!$E$31:$E$48))*Impacts!$F$13,0)),0)</f>
        <v>0</v>
      </c>
      <c r="R1069" s="10">
        <f>IFERROR(IF(('Loading-truck'!$C$21)="No control",SUMIF(('Loading-truck'!$B$31:$B$48),$J1069,('Loading-truck'!$D$31:$D$48))*Impacts!$F$14,IF(('Loading-truck'!$C$21)&lt;&gt;"No control",SUMIF(('Loading-truck'!$B$31:$B$48),$J1069,('Loading-truck'!$E$31:$E$48))*Impacts!$F$14,0)),0)</f>
        <v>0</v>
      </c>
      <c r="S1069" s="10">
        <f>IFERROR(IF(('Loading-rail'!$C$21)="No control",SUMIF(('Loading-rail'!$B$31:$B$48),$J1069,('Loading-rail'!$D$31:$D$48))*Impacts!$F$15,IF(('Loading-rail'!$C$21)&lt;&gt;"No control",SUMIF(('Loading-rail'!$B$31:$B$48),$J1069,('Loading-rail'!$E$31:$E$48))*Impacts!$F$15,0)),0)</f>
        <v>0</v>
      </c>
      <c r="T1069" s="10">
        <f>IF(Flare!$C$7="",0,(SUMIF(Flare!$B$46:$B$185,$J1069,Flare!$E$46:$E$185)*Impacts!$F$16))</f>
        <v>0</v>
      </c>
      <c r="U1069" s="10">
        <f>IF(VCU!$C$9="",0,(SUMIF(VCU!$B$51:$B$193,$J1069,VCU!$E$51:$E$193)*Impacts!$F$17))</f>
        <v>0</v>
      </c>
      <c r="V1069" s="10">
        <f>IF(CAS!$C$7="",0,(SUMIF(CAS!$B$31:$B$167,$J1069,CAS!$E$31:$E$167)*Impacts!$F$18))</f>
        <v>0</v>
      </c>
      <c r="W1069" s="10">
        <f t="shared" si="58"/>
        <v>0</v>
      </c>
      <c r="AK1069" s="10" t="str">
        <f t="array" ref="AK1069">IFERROR(INDEX(SelectedSpecies,SMALL(IF(SelectedSpecies=AK$1,ROW(SelectedSpecies)),ROW(1070:1070)),2),"")</f>
        <v/>
      </c>
      <c r="BE1069" s="10"/>
      <c r="BI1069" s="10"/>
    </row>
    <row r="1070" spans="1:61" ht="21" customHeight="1" x14ac:dyDescent="0.25">
      <c r="A1070" s="10"/>
      <c r="B1070" s="10"/>
      <c r="E1070" s="10"/>
      <c r="G1070" s="10"/>
      <c r="I1070" s="436" t="s">
        <v>7710</v>
      </c>
      <c r="J1070" s="26" t="s">
        <v>7709</v>
      </c>
      <c r="K1070" s="10">
        <v>0.1</v>
      </c>
      <c r="L1070" s="73">
        <f>IF(Tank1!$C$23="No control",(SUMIF(Tank1!$B$32:$B$49,$J1070,Tank1!$C$32:$C$49)*Impacts!$F$8),0)</f>
        <v>0</v>
      </c>
      <c r="M1070" s="10">
        <f>IF(Tank2!$C$23="No control",(SUMIF(Tank2!$B$32:$B$49,$J1070,Tank2!$C$32:$C$49)*Impacts!$F$9),0)</f>
        <v>0</v>
      </c>
      <c r="N1070" s="10">
        <f>IF(Tank3!$C$23="No control",(SUMIF(Tank3!$B$32:$B$49,$J1070,Tank3!$C$32:$C$49)*Impacts!$F$10),0)</f>
        <v>0</v>
      </c>
      <c r="O1070" s="10">
        <f>IF(Tank4!$C$23="No control",(SUMIF(Tank4!$B$32:$B$49,$J1070,Tank4!$C$32:$C$49)*Impacts!$F$11),0)</f>
        <v>0</v>
      </c>
      <c r="P1070" s="10">
        <f>IF(Tank5!$C$23="No control",(SUMIF(Tank5!$B$32:$B$49,$J1070,Tank5!$C$32:$C$49)*Impacts!$F$12),0)</f>
        <v>0</v>
      </c>
      <c r="Q1070" s="10">
        <f>IFERROR(IF(('Loading-drum,tote'!$C$21)="No control",SUMIF(('Loading-drum,tote'!$B$31:$B$48),$J1070,('Loading-drum,tote'!$D$31:$D$48))*Impacts!$F$13,IF(('Loading-drum,tote'!$C$21)&lt;&gt;"No control",SUMIF(('Loading-drum,tote'!$B$31:$B$48),$J1070,('Loading-drum,tote'!$E$31:$E$48))*Impacts!$F$13,0)),0)</f>
        <v>0</v>
      </c>
      <c r="R1070" s="10">
        <f>IFERROR(IF(('Loading-truck'!$C$21)="No control",SUMIF(('Loading-truck'!$B$31:$B$48),$J1070,('Loading-truck'!$D$31:$D$48))*Impacts!$F$14,IF(('Loading-truck'!$C$21)&lt;&gt;"No control",SUMIF(('Loading-truck'!$B$31:$B$48),$J1070,('Loading-truck'!$E$31:$E$48))*Impacts!$F$14,0)),0)</f>
        <v>0</v>
      </c>
      <c r="S1070" s="10">
        <f>IFERROR(IF(('Loading-rail'!$C$21)="No control",SUMIF(('Loading-rail'!$B$31:$B$48),$J1070,('Loading-rail'!$D$31:$D$48))*Impacts!$F$15,IF(('Loading-rail'!$C$21)&lt;&gt;"No control",SUMIF(('Loading-rail'!$B$31:$B$48),$J1070,('Loading-rail'!$E$31:$E$48))*Impacts!$F$15,0)),0)</f>
        <v>0</v>
      </c>
      <c r="T1070" s="10">
        <f>IF(Flare!$C$7="",0,(SUMIF(Flare!$B$46:$B$185,$J1070,Flare!$E$46:$E$185)*Impacts!$F$16))</f>
        <v>0</v>
      </c>
      <c r="U1070" s="10">
        <f>IF(VCU!$C$9="",0,(SUMIF(VCU!$B$51:$B$193,$J1070,VCU!$E$51:$E$193)*Impacts!$F$17))</f>
        <v>0</v>
      </c>
      <c r="V1070" s="10">
        <f>IF(CAS!$C$7="",0,(SUMIF(CAS!$B$31:$B$167,$J1070,CAS!$E$31:$E$167)*Impacts!$F$18))</f>
        <v>0</v>
      </c>
      <c r="W1070" s="10">
        <f t="shared" si="58"/>
        <v>0</v>
      </c>
      <c r="AK1070" s="10" t="str">
        <f t="array" ref="AK1070">IFERROR(INDEX(SelectedSpecies,SMALL(IF(SelectedSpecies=AK$1,ROW(SelectedSpecies)),ROW(1071:1071)),2),"")</f>
        <v/>
      </c>
      <c r="BE1070" s="10"/>
      <c r="BI1070" s="10"/>
    </row>
    <row r="1071" spans="1:61" ht="21" customHeight="1" x14ac:dyDescent="0.25">
      <c r="A1071" s="10"/>
      <c r="B1071" s="10"/>
      <c r="E1071" s="10"/>
      <c r="G1071" s="10"/>
      <c r="I1071" s="436" t="s">
        <v>656</v>
      </c>
      <c r="J1071" s="26" t="s">
        <v>655</v>
      </c>
      <c r="K1071" s="10">
        <v>57</v>
      </c>
      <c r="L1071" s="73">
        <f>IF(Tank1!$C$23="No control",(SUMIF(Tank1!$B$32:$B$49,$J1071,Tank1!$C$32:$C$49)*Impacts!$F$8),0)</f>
        <v>0</v>
      </c>
      <c r="M1071" s="10">
        <f>IF(Tank2!$C$23="No control",(SUMIF(Tank2!$B$32:$B$49,$J1071,Tank2!$C$32:$C$49)*Impacts!$F$9),0)</f>
        <v>0</v>
      </c>
      <c r="N1071" s="10">
        <f>IF(Tank3!$C$23="No control",(SUMIF(Tank3!$B$32:$B$49,$J1071,Tank3!$C$32:$C$49)*Impacts!$F$10),0)</f>
        <v>0</v>
      </c>
      <c r="O1071" s="10">
        <f>IF(Tank4!$C$23="No control",(SUMIF(Tank4!$B$32:$B$49,$J1071,Tank4!$C$32:$C$49)*Impacts!$F$11),0)</f>
        <v>0</v>
      </c>
      <c r="P1071" s="10">
        <f>IF(Tank5!$C$23="No control",(SUMIF(Tank5!$B$32:$B$49,$J1071,Tank5!$C$32:$C$49)*Impacts!$F$12),0)</f>
        <v>0</v>
      </c>
      <c r="Q1071" s="10">
        <f>IFERROR(IF(('Loading-drum,tote'!$C$21)="No control",SUMIF(('Loading-drum,tote'!$B$31:$B$48),$J1071,('Loading-drum,tote'!$D$31:$D$48))*Impacts!$F$13,IF(('Loading-drum,tote'!$C$21)&lt;&gt;"No control",SUMIF(('Loading-drum,tote'!$B$31:$B$48),$J1071,('Loading-drum,tote'!$E$31:$E$48))*Impacts!$F$13,0)),0)</f>
        <v>0</v>
      </c>
      <c r="R1071" s="10">
        <f>IFERROR(IF(('Loading-truck'!$C$21)="No control",SUMIF(('Loading-truck'!$B$31:$B$48),$J1071,('Loading-truck'!$D$31:$D$48))*Impacts!$F$14,IF(('Loading-truck'!$C$21)&lt;&gt;"No control",SUMIF(('Loading-truck'!$B$31:$B$48),$J1071,('Loading-truck'!$E$31:$E$48))*Impacts!$F$14,0)),0)</f>
        <v>0</v>
      </c>
      <c r="S1071" s="10">
        <f>IFERROR(IF(('Loading-rail'!$C$21)="No control",SUMIF(('Loading-rail'!$B$31:$B$48),$J1071,('Loading-rail'!$D$31:$D$48))*Impacts!$F$15,IF(('Loading-rail'!$C$21)&lt;&gt;"No control",SUMIF(('Loading-rail'!$B$31:$B$48),$J1071,('Loading-rail'!$E$31:$E$48))*Impacts!$F$15,0)),0)</f>
        <v>0</v>
      </c>
      <c r="T1071" s="10">
        <f>IF(Flare!$C$7="",0,(SUMIF(Flare!$B$46:$B$185,$J1071,Flare!$E$46:$E$185)*Impacts!$F$16))</f>
        <v>0</v>
      </c>
      <c r="U1071" s="10">
        <f>IF(VCU!$C$9="",0,(SUMIF(VCU!$B$51:$B$193,$J1071,VCU!$E$51:$E$193)*Impacts!$F$17))</f>
        <v>0</v>
      </c>
      <c r="V1071" s="10">
        <f>IF(CAS!$C$7="",0,(SUMIF(CAS!$B$31:$B$167,$J1071,CAS!$E$31:$E$167)*Impacts!$F$18))</f>
        <v>0</v>
      </c>
      <c r="W1071" s="10">
        <f t="shared" si="58"/>
        <v>0</v>
      </c>
      <c r="AK1071" s="10" t="str">
        <f t="array" ref="AK1071">IFERROR(INDEX(SelectedSpecies,SMALL(IF(SelectedSpecies=AK$1,ROW(SelectedSpecies)),ROW(1072:1072)),2),"")</f>
        <v/>
      </c>
      <c r="BE1071" s="10"/>
      <c r="BI1071" s="10"/>
    </row>
    <row r="1072" spans="1:61" ht="21" customHeight="1" x14ac:dyDescent="0.25">
      <c r="A1072" s="10"/>
      <c r="B1072" s="10"/>
      <c r="E1072" s="10"/>
      <c r="G1072" s="10"/>
      <c r="I1072" s="436" t="s">
        <v>1676</v>
      </c>
      <c r="J1072" s="26" t="s">
        <v>1675</v>
      </c>
      <c r="K1072" s="10">
        <v>24.5</v>
      </c>
      <c r="L1072" s="73">
        <f>IF(Tank1!$C$23="No control",(SUMIF(Tank1!$B$32:$B$49,$J1072,Tank1!$C$32:$C$49)*Impacts!$F$8),0)</f>
        <v>0</v>
      </c>
      <c r="M1072" s="10">
        <f>IF(Tank2!$C$23="No control",(SUMIF(Tank2!$B$32:$B$49,$J1072,Tank2!$C$32:$C$49)*Impacts!$F$9),0)</f>
        <v>0</v>
      </c>
      <c r="N1072" s="10">
        <f>IF(Tank3!$C$23="No control",(SUMIF(Tank3!$B$32:$B$49,$J1072,Tank3!$C$32:$C$49)*Impacts!$F$10),0)</f>
        <v>0</v>
      </c>
      <c r="O1072" s="10">
        <f>IF(Tank4!$C$23="No control",(SUMIF(Tank4!$B$32:$B$49,$J1072,Tank4!$C$32:$C$49)*Impacts!$F$11),0)</f>
        <v>0</v>
      </c>
      <c r="P1072" s="10">
        <f>IF(Tank5!$C$23="No control",(SUMIF(Tank5!$B$32:$B$49,$J1072,Tank5!$C$32:$C$49)*Impacts!$F$12),0)</f>
        <v>0</v>
      </c>
      <c r="Q1072" s="10">
        <f>IFERROR(IF(('Loading-drum,tote'!$C$21)="No control",SUMIF(('Loading-drum,tote'!$B$31:$B$48),$J1072,('Loading-drum,tote'!$D$31:$D$48))*Impacts!$F$13,IF(('Loading-drum,tote'!$C$21)&lt;&gt;"No control",SUMIF(('Loading-drum,tote'!$B$31:$B$48),$J1072,('Loading-drum,tote'!$E$31:$E$48))*Impacts!$F$13,0)),0)</f>
        <v>0</v>
      </c>
      <c r="R1072" s="10">
        <f>IFERROR(IF(('Loading-truck'!$C$21)="No control",SUMIF(('Loading-truck'!$B$31:$B$48),$J1072,('Loading-truck'!$D$31:$D$48))*Impacts!$F$14,IF(('Loading-truck'!$C$21)&lt;&gt;"No control",SUMIF(('Loading-truck'!$B$31:$B$48),$J1072,('Loading-truck'!$E$31:$E$48))*Impacts!$F$14,0)),0)</f>
        <v>0</v>
      </c>
      <c r="S1072" s="10">
        <f>IFERROR(IF(('Loading-rail'!$C$21)="No control",SUMIF(('Loading-rail'!$B$31:$B$48),$J1072,('Loading-rail'!$D$31:$D$48))*Impacts!$F$15,IF(('Loading-rail'!$C$21)&lt;&gt;"No control",SUMIF(('Loading-rail'!$B$31:$B$48),$J1072,('Loading-rail'!$E$31:$E$48))*Impacts!$F$15,0)),0)</f>
        <v>0</v>
      </c>
      <c r="T1072" s="10">
        <f>IF(Flare!$C$7="",0,(SUMIF(Flare!$B$46:$B$185,$J1072,Flare!$E$46:$E$185)*Impacts!$F$16))</f>
        <v>0</v>
      </c>
      <c r="U1072" s="10">
        <f>IF(VCU!$C$9="",0,(SUMIF(VCU!$B$51:$B$193,$J1072,VCU!$E$51:$E$193)*Impacts!$F$17))</f>
        <v>0</v>
      </c>
      <c r="V1072" s="10">
        <f>IF(CAS!$C$7="",0,(SUMIF(CAS!$B$31:$B$167,$J1072,CAS!$E$31:$E$167)*Impacts!$F$18))</f>
        <v>0</v>
      </c>
      <c r="W1072" s="10">
        <f t="shared" si="58"/>
        <v>0</v>
      </c>
      <c r="AK1072" s="10" t="str">
        <f t="array" ref="AK1072">IFERROR(INDEX(SelectedSpecies,SMALL(IF(SelectedSpecies=AK$1,ROW(SelectedSpecies)),ROW(1073:1073)),2),"")</f>
        <v/>
      </c>
      <c r="BE1072" s="10"/>
      <c r="BI1072" s="10"/>
    </row>
    <row r="1073" spans="1:61" ht="21" customHeight="1" x14ac:dyDescent="0.25">
      <c r="A1073" s="10"/>
      <c r="B1073" s="10"/>
      <c r="E1073" s="10"/>
      <c r="G1073" s="10"/>
      <c r="I1073" s="436" t="s">
        <v>4259</v>
      </c>
      <c r="J1073" s="26" t="s">
        <v>4258</v>
      </c>
      <c r="K1073" s="10">
        <v>5</v>
      </c>
      <c r="L1073" s="73">
        <f>IF(Tank1!$C$23="No control",(SUMIF(Tank1!$B$32:$B$49,$J1073,Tank1!$C$32:$C$49)*Impacts!$F$8),0)</f>
        <v>0</v>
      </c>
      <c r="M1073" s="10">
        <f>IF(Tank2!$C$23="No control",(SUMIF(Tank2!$B$32:$B$49,$J1073,Tank2!$C$32:$C$49)*Impacts!$F$9),0)</f>
        <v>0</v>
      </c>
      <c r="N1073" s="10">
        <f>IF(Tank3!$C$23="No control",(SUMIF(Tank3!$B$32:$B$49,$J1073,Tank3!$C$32:$C$49)*Impacts!$F$10),0)</f>
        <v>0</v>
      </c>
      <c r="O1073" s="10">
        <f>IF(Tank4!$C$23="No control",(SUMIF(Tank4!$B$32:$B$49,$J1073,Tank4!$C$32:$C$49)*Impacts!$F$11),0)</f>
        <v>0</v>
      </c>
      <c r="P1073" s="10">
        <f>IF(Tank5!$C$23="No control",(SUMIF(Tank5!$B$32:$B$49,$J1073,Tank5!$C$32:$C$49)*Impacts!$F$12),0)</f>
        <v>0</v>
      </c>
      <c r="Q1073" s="10">
        <f>IFERROR(IF(('Loading-drum,tote'!$C$21)="No control",SUMIF(('Loading-drum,tote'!$B$31:$B$48),$J1073,('Loading-drum,tote'!$D$31:$D$48))*Impacts!$F$13,IF(('Loading-drum,tote'!$C$21)&lt;&gt;"No control",SUMIF(('Loading-drum,tote'!$B$31:$B$48),$J1073,('Loading-drum,tote'!$E$31:$E$48))*Impacts!$F$13,0)),0)</f>
        <v>0</v>
      </c>
      <c r="R1073" s="10">
        <f>IFERROR(IF(('Loading-truck'!$C$21)="No control",SUMIF(('Loading-truck'!$B$31:$B$48),$J1073,('Loading-truck'!$D$31:$D$48))*Impacts!$F$14,IF(('Loading-truck'!$C$21)&lt;&gt;"No control",SUMIF(('Loading-truck'!$B$31:$B$48),$J1073,('Loading-truck'!$E$31:$E$48))*Impacts!$F$14,0)),0)</f>
        <v>0</v>
      </c>
      <c r="S1073" s="10">
        <f>IFERROR(IF(('Loading-rail'!$C$21)="No control",SUMIF(('Loading-rail'!$B$31:$B$48),$J1073,('Loading-rail'!$D$31:$D$48))*Impacts!$F$15,IF(('Loading-rail'!$C$21)&lt;&gt;"No control",SUMIF(('Loading-rail'!$B$31:$B$48),$J1073,('Loading-rail'!$E$31:$E$48))*Impacts!$F$15,0)),0)</f>
        <v>0</v>
      </c>
      <c r="T1073" s="10">
        <f>IF(Flare!$C$7="",0,(SUMIF(Flare!$B$46:$B$185,$J1073,Flare!$E$46:$E$185)*Impacts!$F$16))</f>
        <v>0</v>
      </c>
      <c r="U1073" s="10">
        <f>IF(VCU!$C$9="",0,(SUMIF(VCU!$B$51:$B$193,$J1073,VCU!$E$51:$E$193)*Impacts!$F$17))</f>
        <v>0</v>
      </c>
      <c r="V1073" s="10">
        <f>IF(CAS!$C$7="",0,(SUMIF(CAS!$B$31:$B$167,$J1073,CAS!$E$31:$E$167)*Impacts!$F$18))</f>
        <v>0</v>
      </c>
      <c r="W1073" s="10">
        <f t="shared" si="58"/>
        <v>0</v>
      </c>
      <c r="AK1073" s="10" t="str">
        <f t="array" ref="AK1073">IFERROR(INDEX(SelectedSpecies,SMALL(IF(SelectedSpecies=AK$1,ROW(SelectedSpecies)),ROW(1074:1074)),2),"")</f>
        <v/>
      </c>
      <c r="BE1073" s="10"/>
      <c r="BI1073" s="10"/>
    </row>
    <row r="1074" spans="1:61" ht="21" customHeight="1" x14ac:dyDescent="0.25">
      <c r="A1074" s="10"/>
      <c r="B1074" s="10"/>
      <c r="E1074" s="10"/>
      <c r="G1074" s="10"/>
      <c r="I1074" s="436" t="s">
        <v>7252</v>
      </c>
      <c r="J1074" s="26" t="s">
        <v>7251</v>
      </c>
      <c r="K1074" s="10">
        <v>0.30000000000000004</v>
      </c>
      <c r="L1074" s="73">
        <f>IF(Tank1!$C$23="No control",(SUMIF(Tank1!$B$32:$B$49,$J1074,Tank1!$C$32:$C$49)*Impacts!$F$8),0)</f>
        <v>0</v>
      </c>
      <c r="M1074" s="10">
        <f>IF(Tank2!$C$23="No control",(SUMIF(Tank2!$B$32:$B$49,$J1074,Tank2!$C$32:$C$49)*Impacts!$F$9),0)</f>
        <v>0</v>
      </c>
      <c r="N1074" s="10">
        <f>IF(Tank3!$C$23="No control",(SUMIF(Tank3!$B$32:$B$49,$J1074,Tank3!$C$32:$C$49)*Impacts!$F$10),0)</f>
        <v>0</v>
      </c>
      <c r="O1074" s="10">
        <f>IF(Tank4!$C$23="No control",(SUMIF(Tank4!$B$32:$B$49,$J1074,Tank4!$C$32:$C$49)*Impacts!$F$11),0)</f>
        <v>0</v>
      </c>
      <c r="P1074" s="10">
        <f>IF(Tank5!$C$23="No control",(SUMIF(Tank5!$B$32:$B$49,$J1074,Tank5!$C$32:$C$49)*Impacts!$F$12),0)</f>
        <v>0</v>
      </c>
      <c r="Q1074" s="10">
        <f>IFERROR(IF(('Loading-drum,tote'!$C$21)="No control",SUMIF(('Loading-drum,tote'!$B$31:$B$48),$J1074,('Loading-drum,tote'!$D$31:$D$48))*Impacts!$F$13,IF(('Loading-drum,tote'!$C$21)&lt;&gt;"No control",SUMIF(('Loading-drum,tote'!$B$31:$B$48),$J1074,('Loading-drum,tote'!$E$31:$E$48))*Impacts!$F$13,0)),0)</f>
        <v>0</v>
      </c>
      <c r="R1074" s="10">
        <f>IFERROR(IF(('Loading-truck'!$C$21)="No control",SUMIF(('Loading-truck'!$B$31:$B$48),$J1074,('Loading-truck'!$D$31:$D$48))*Impacts!$F$14,IF(('Loading-truck'!$C$21)&lt;&gt;"No control",SUMIF(('Loading-truck'!$B$31:$B$48),$J1074,('Loading-truck'!$E$31:$E$48))*Impacts!$F$14,0)),0)</f>
        <v>0</v>
      </c>
      <c r="S1074" s="10">
        <f>IFERROR(IF(('Loading-rail'!$C$21)="No control",SUMIF(('Loading-rail'!$B$31:$B$48),$J1074,('Loading-rail'!$D$31:$D$48))*Impacts!$F$15,IF(('Loading-rail'!$C$21)&lt;&gt;"No control",SUMIF(('Loading-rail'!$B$31:$B$48),$J1074,('Loading-rail'!$E$31:$E$48))*Impacts!$F$15,0)),0)</f>
        <v>0</v>
      </c>
      <c r="T1074" s="10">
        <f>IF(Flare!$C$7="",0,(SUMIF(Flare!$B$46:$B$185,$J1074,Flare!$E$46:$E$185)*Impacts!$F$16))</f>
        <v>0</v>
      </c>
      <c r="U1074" s="10">
        <f>IF(VCU!$C$9="",0,(SUMIF(VCU!$B$51:$B$193,$J1074,VCU!$E$51:$E$193)*Impacts!$F$17))</f>
        <v>0</v>
      </c>
      <c r="V1074" s="10">
        <f>IF(CAS!$C$7="",0,(SUMIF(CAS!$B$31:$B$167,$J1074,CAS!$E$31:$E$167)*Impacts!$F$18))</f>
        <v>0</v>
      </c>
      <c r="W1074" s="10">
        <f t="shared" si="58"/>
        <v>0</v>
      </c>
      <c r="AK1074" s="10" t="str">
        <f t="array" ref="AK1074">IFERROR(INDEX(SelectedSpecies,SMALL(IF(SelectedSpecies=AK$1,ROW(SelectedSpecies)),ROW(1075:1075)),2),"")</f>
        <v/>
      </c>
      <c r="BE1074" s="10"/>
      <c r="BI1074" s="10"/>
    </row>
    <row r="1075" spans="1:61" ht="21" customHeight="1" x14ac:dyDescent="0.25">
      <c r="A1075" s="10"/>
      <c r="B1075" s="10"/>
      <c r="E1075" s="10"/>
      <c r="G1075" s="10"/>
      <c r="I1075" s="436" t="s">
        <v>4261</v>
      </c>
      <c r="J1075" s="26" t="s">
        <v>4260</v>
      </c>
      <c r="K1075" s="10">
        <v>5</v>
      </c>
      <c r="L1075" s="73">
        <f>IF(Tank1!$C$23="No control",(SUMIF(Tank1!$B$32:$B$49,$J1075,Tank1!$C$32:$C$49)*Impacts!$F$8),0)</f>
        <v>0</v>
      </c>
      <c r="M1075" s="10">
        <f>IF(Tank2!$C$23="No control",(SUMIF(Tank2!$B$32:$B$49,$J1075,Tank2!$C$32:$C$49)*Impacts!$F$9),0)</f>
        <v>0</v>
      </c>
      <c r="N1075" s="10">
        <f>IF(Tank3!$C$23="No control",(SUMIF(Tank3!$B$32:$B$49,$J1075,Tank3!$C$32:$C$49)*Impacts!$F$10),0)</f>
        <v>0</v>
      </c>
      <c r="O1075" s="10">
        <f>IF(Tank4!$C$23="No control",(SUMIF(Tank4!$B$32:$B$49,$J1075,Tank4!$C$32:$C$49)*Impacts!$F$11),0)</f>
        <v>0</v>
      </c>
      <c r="P1075" s="10">
        <f>IF(Tank5!$C$23="No control",(SUMIF(Tank5!$B$32:$B$49,$J1075,Tank5!$C$32:$C$49)*Impacts!$F$12),0)</f>
        <v>0</v>
      </c>
      <c r="Q1075" s="10">
        <f>IFERROR(IF(('Loading-drum,tote'!$C$21)="No control",SUMIF(('Loading-drum,tote'!$B$31:$B$48),$J1075,('Loading-drum,tote'!$D$31:$D$48))*Impacts!$F$13,IF(('Loading-drum,tote'!$C$21)&lt;&gt;"No control",SUMIF(('Loading-drum,tote'!$B$31:$B$48),$J1075,('Loading-drum,tote'!$E$31:$E$48))*Impacts!$F$13,0)),0)</f>
        <v>0</v>
      </c>
      <c r="R1075" s="10">
        <f>IFERROR(IF(('Loading-truck'!$C$21)="No control",SUMIF(('Loading-truck'!$B$31:$B$48),$J1075,('Loading-truck'!$D$31:$D$48))*Impacts!$F$14,IF(('Loading-truck'!$C$21)&lt;&gt;"No control",SUMIF(('Loading-truck'!$B$31:$B$48),$J1075,('Loading-truck'!$E$31:$E$48))*Impacts!$F$14,0)),0)</f>
        <v>0</v>
      </c>
      <c r="S1075" s="10">
        <f>IFERROR(IF(('Loading-rail'!$C$21)="No control",SUMIF(('Loading-rail'!$B$31:$B$48),$J1075,('Loading-rail'!$D$31:$D$48))*Impacts!$F$15,IF(('Loading-rail'!$C$21)&lt;&gt;"No control",SUMIF(('Loading-rail'!$B$31:$B$48),$J1075,('Loading-rail'!$E$31:$E$48))*Impacts!$F$15,0)),0)</f>
        <v>0</v>
      </c>
      <c r="T1075" s="10">
        <f>IF(Flare!$C$7="",0,(SUMIF(Flare!$B$46:$B$185,$J1075,Flare!$E$46:$E$185)*Impacts!$F$16))</f>
        <v>0</v>
      </c>
      <c r="U1075" s="10">
        <f>IF(VCU!$C$9="",0,(SUMIF(VCU!$B$51:$B$193,$J1075,VCU!$E$51:$E$193)*Impacts!$F$17))</f>
        <v>0</v>
      </c>
      <c r="V1075" s="10">
        <f>IF(CAS!$C$7="",0,(SUMIF(CAS!$B$31:$B$167,$J1075,CAS!$E$31:$E$167)*Impacts!$F$18))</f>
        <v>0</v>
      </c>
      <c r="W1075" s="10">
        <f t="shared" si="58"/>
        <v>0</v>
      </c>
      <c r="AK1075" s="10" t="str">
        <f t="array" ref="AK1075">IFERROR(INDEX(SelectedSpecies,SMALL(IF(SelectedSpecies=AK$1,ROW(SelectedSpecies)),ROW(1076:1076)),2),"")</f>
        <v/>
      </c>
      <c r="BE1075" s="10"/>
      <c r="BI1075" s="10"/>
    </row>
    <row r="1076" spans="1:61" ht="21" customHeight="1" x14ac:dyDescent="0.25">
      <c r="A1076" s="10"/>
      <c r="B1076" s="10"/>
      <c r="E1076" s="10"/>
      <c r="G1076" s="10"/>
      <c r="I1076" s="436" t="s">
        <v>3923</v>
      </c>
      <c r="J1076" s="26" t="s">
        <v>3922</v>
      </c>
      <c r="K1076" s="10">
        <v>6</v>
      </c>
      <c r="L1076" s="73">
        <f>IF(Tank1!$C$23="No control",(SUMIF(Tank1!$B$32:$B$49,$J1076,Tank1!$C$32:$C$49)*Impacts!$F$8),0)</f>
        <v>0</v>
      </c>
      <c r="M1076" s="10">
        <f>IF(Tank2!$C$23="No control",(SUMIF(Tank2!$B$32:$B$49,$J1076,Tank2!$C$32:$C$49)*Impacts!$F$9),0)</f>
        <v>0</v>
      </c>
      <c r="N1076" s="10">
        <f>IF(Tank3!$C$23="No control",(SUMIF(Tank3!$B$32:$B$49,$J1076,Tank3!$C$32:$C$49)*Impacts!$F$10),0)</f>
        <v>0</v>
      </c>
      <c r="O1076" s="10">
        <f>IF(Tank4!$C$23="No control",(SUMIF(Tank4!$B$32:$B$49,$J1076,Tank4!$C$32:$C$49)*Impacts!$F$11),0)</f>
        <v>0</v>
      </c>
      <c r="P1076" s="10">
        <f>IF(Tank5!$C$23="No control",(SUMIF(Tank5!$B$32:$B$49,$J1076,Tank5!$C$32:$C$49)*Impacts!$F$12),0)</f>
        <v>0</v>
      </c>
      <c r="Q1076" s="10">
        <f>IFERROR(IF(('Loading-drum,tote'!$C$21)="No control",SUMIF(('Loading-drum,tote'!$B$31:$B$48),$J1076,('Loading-drum,tote'!$D$31:$D$48))*Impacts!$F$13,IF(('Loading-drum,tote'!$C$21)&lt;&gt;"No control",SUMIF(('Loading-drum,tote'!$B$31:$B$48),$J1076,('Loading-drum,tote'!$E$31:$E$48))*Impacts!$F$13,0)),0)</f>
        <v>0</v>
      </c>
      <c r="R1076" s="10">
        <f>IFERROR(IF(('Loading-truck'!$C$21)="No control",SUMIF(('Loading-truck'!$B$31:$B$48),$J1076,('Loading-truck'!$D$31:$D$48))*Impacts!$F$14,IF(('Loading-truck'!$C$21)&lt;&gt;"No control",SUMIF(('Loading-truck'!$B$31:$B$48),$J1076,('Loading-truck'!$E$31:$E$48))*Impacts!$F$14,0)),0)</f>
        <v>0</v>
      </c>
      <c r="S1076" s="10">
        <f>IFERROR(IF(('Loading-rail'!$C$21)="No control",SUMIF(('Loading-rail'!$B$31:$B$48),$J1076,('Loading-rail'!$D$31:$D$48))*Impacts!$F$15,IF(('Loading-rail'!$C$21)&lt;&gt;"No control",SUMIF(('Loading-rail'!$B$31:$B$48),$J1076,('Loading-rail'!$E$31:$E$48))*Impacts!$F$15,0)),0)</f>
        <v>0</v>
      </c>
      <c r="T1076" s="10">
        <f>IF(Flare!$C$7="",0,(SUMIF(Flare!$B$46:$B$185,$J1076,Flare!$E$46:$E$185)*Impacts!$F$16))</f>
        <v>0</v>
      </c>
      <c r="U1076" s="10">
        <f>IF(VCU!$C$9="",0,(SUMIF(VCU!$B$51:$B$193,$J1076,VCU!$E$51:$E$193)*Impacts!$F$17))</f>
        <v>0</v>
      </c>
      <c r="V1076" s="10">
        <f>IF(CAS!$C$7="",0,(SUMIF(CAS!$B$31:$B$167,$J1076,CAS!$E$31:$E$167)*Impacts!$F$18))</f>
        <v>0</v>
      </c>
      <c r="W1076" s="10">
        <f t="shared" si="58"/>
        <v>0</v>
      </c>
      <c r="AK1076" s="10" t="str">
        <f t="array" ref="AK1076">IFERROR(INDEX(SelectedSpecies,SMALL(IF(SelectedSpecies=AK$1,ROW(SelectedSpecies)),ROW(1077:1077)),2),"")</f>
        <v/>
      </c>
      <c r="BE1076" s="10"/>
      <c r="BI1076" s="10"/>
    </row>
    <row r="1077" spans="1:61" ht="21" customHeight="1" x14ac:dyDescent="0.25">
      <c r="A1077" s="10"/>
      <c r="B1077" s="10"/>
      <c r="E1077" s="10"/>
      <c r="G1077" s="10"/>
      <c r="I1077" s="436" t="s">
        <v>4811</v>
      </c>
      <c r="J1077" s="26" t="s">
        <v>4810</v>
      </c>
      <c r="K1077" s="10">
        <v>3</v>
      </c>
      <c r="L1077" s="73">
        <f>IF(Tank1!$C$23="No control",(SUMIF(Tank1!$B$32:$B$49,$J1077,Tank1!$C$32:$C$49)*Impacts!$F$8),0)</f>
        <v>0</v>
      </c>
      <c r="M1077" s="10">
        <f>IF(Tank2!$C$23="No control",(SUMIF(Tank2!$B$32:$B$49,$J1077,Tank2!$C$32:$C$49)*Impacts!$F$9),0)</f>
        <v>0</v>
      </c>
      <c r="N1077" s="10">
        <f>IF(Tank3!$C$23="No control",(SUMIF(Tank3!$B$32:$B$49,$J1077,Tank3!$C$32:$C$49)*Impacts!$F$10),0)</f>
        <v>0</v>
      </c>
      <c r="O1077" s="10">
        <f>IF(Tank4!$C$23="No control",(SUMIF(Tank4!$B$32:$B$49,$J1077,Tank4!$C$32:$C$49)*Impacts!$F$11),0)</f>
        <v>0</v>
      </c>
      <c r="P1077" s="10">
        <f>IF(Tank5!$C$23="No control",(SUMIF(Tank5!$B$32:$B$49,$J1077,Tank5!$C$32:$C$49)*Impacts!$F$12),0)</f>
        <v>0</v>
      </c>
      <c r="Q1077" s="10">
        <f>IFERROR(IF(('Loading-drum,tote'!$C$21)="No control",SUMIF(('Loading-drum,tote'!$B$31:$B$48),$J1077,('Loading-drum,tote'!$D$31:$D$48))*Impacts!$F$13,IF(('Loading-drum,tote'!$C$21)&lt;&gt;"No control",SUMIF(('Loading-drum,tote'!$B$31:$B$48),$J1077,('Loading-drum,tote'!$E$31:$E$48))*Impacts!$F$13,0)),0)</f>
        <v>0</v>
      </c>
      <c r="R1077" s="10">
        <f>IFERROR(IF(('Loading-truck'!$C$21)="No control",SUMIF(('Loading-truck'!$B$31:$B$48),$J1077,('Loading-truck'!$D$31:$D$48))*Impacts!$F$14,IF(('Loading-truck'!$C$21)&lt;&gt;"No control",SUMIF(('Loading-truck'!$B$31:$B$48),$J1077,('Loading-truck'!$E$31:$E$48))*Impacts!$F$14,0)),0)</f>
        <v>0</v>
      </c>
      <c r="S1077" s="10">
        <f>IFERROR(IF(('Loading-rail'!$C$21)="No control",SUMIF(('Loading-rail'!$B$31:$B$48),$J1077,('Loading-rail'!$D$31:$D$48))*Impacts!$F$15,IF(('Loading-rail'!$C$21)&lt;&gt;"No control",SUMIF(('Loading-rail'!$B$31:$B$48),$J1077,('Loading-rail'!$E$31:$E$48))*Impacts!$F$15,0)),0)</f>
        <v>0</v>
      </c>
      <c r="T1077" s="10">
        <f>IF(Flare!$C$7="",0,(SUMIF(Flare!$B$46:$B$185,$J1077,Flare!$E$46:$E$185)*Impacts!$F$16))</f>
        <v>0</v>
      </c>
      <c r="U1077" s="10">
        <f>IF(VCU!$C$9="",0,(SUMIF(VCU!$B$51:$B$193,$J1077,VCU!$E$51:$E$193)*Impacts!$F$17))</f>
        <v>0</v>
      </c>
      <c r="V1077" s="10">
        <f>IF(CAS!$C$7="",0,(SUMIF(CAS!$B$31:$B$167,$J1077,CAS!$E$31:$E$167)*Impacts!$F$18))</f>
        <v>0</v>
      </c>
      <c r="W1077" s="10">
        <f t="shared" si="58"/>
        <v>0</v>
      </c>
      <c r="AK1077" s="10" t="str">
        <f t="array" ref="AK1077">IFERROR(INDEX(SelectedSpecies,SMALL(IF(SelectedSpecies=AK$1,ROW(SelectedSpecies)),ROW(1078:1078)),2),"")</f>
        <v/>
      </c>
      <c r="BE1077" s="10"/>
      <c r="BI1077" s="10"/>
    </row>
    <row r="1078" spans="1:61" ht="21" customHeight="1" x14ac:dyDescent="0.25">
      <c r="A1078" s="10"/>
      <c r="B1078" s="10"/>
      <c r="E1078" s="10"/>
      <c r="G1078" s="10"/>
      <c r="I1078" s="436" t="s">
        <v>4961</v>
      </c>
      <c r="J1078" s="26" t="s">
        <v>4960</v>
      </c>
      <c r="K1078" s="10">
        <v>2.5</v>
      </c>
      <c r="L1078" s="73">
        <f>IF(Tank1!$C$23="No control",(SUMIF(Tank1!$B$32:$B$49,$J1078,Tank1!$C$32:$C$49)*Impacts!$F$8),0)</f>
        <v>0</v>
      </c>
      <c r="M1078" s="10">
        <f>IF(Tank2!$C$23="No control",(SUMIF(Tank2!$B$32:$B$49,$J1078,Tank2!$C$32:$C$49)*Impacts!$F$9),0)</f>
        <v>0</v>
      </c>
      <c r="N1078" s="10">
        <f>IF(Tank3!$C$23="No control",(SUMIF(Tank3!$B$32:$B$49,$J1078,Tank3!$C$32:$C$49)*Impacts!$F$10),0)</f>
        <v>0</v>
      </c>
      <c r="O1078" s="10">
        <f>IF(Tank4!$C$23="No control",(SUMIF(Tank4!$B$32:$B$49,$J1078,Tank4!$C$32:$C$49)*Impacts!$F$11),0)</f>
        <v>0</v>
      </c>
      <c r="P1078" s="10">
        <f>IF(Tank5!$C$23="No control",(SUMIF(Tank5!$B$32:$B$49,$J1078,Tank5!$C$32:$C$49)*Impacts!$F$12),0)</f>
        <v>0</v>
      </c>
      <c r="Q1078" s="10">
        <f>IFERROR(IF(('Loading-drum,tote'!$C$21)="No control",SUMIF(('Loading-drum,tote'!$B$31:$B$48),$J1078,('Loading-drum,tote'!$D$31:$D$48))*Impacts!$F$13,IF(('Loading-drum,tote'!$C$21)&lt;&gt;"No control",SUMIF(('Loading-drum,tote'!$B$31:$B$48),$J1078,('Loading-drum,tote'!$E$31:$E$48))*Impacts!$F$13,0)),0)</f>
        <v>0</v>
      </c>
      <c r="R1078" s="10">
        <f>IFERROR(IF(('Loading-truck'!$C$21)="No control",SUMIF(('Loading-truck'!$B$31:$B$48),$J1078,('Loading-truck'!$D$31:$D$48))*Impacts!$F$14,IF(('Loading-truck'!$C$21)&lt;&gt;"No control",SUMIF(('Loading-truck'!$B$31:$B$48),$J1078,('Loading-truck'!$E$31:$E$48))*Impacts!$F$14,0)),0)</f>
        <v>0</v>
      </c>
      <c r="S1078" s="10">
        <f>IFERROR(IF(('Loading-rail'!$C$21)="No control",SUMIF(('Loading-rail'!$B$31:$B$48),$J1078,('Loading-rail'!$D$31:$D$48))*Impacts!$F$15,IF(('Loading-rail'!$C$21)&lt;&gt;"No control",SUMIF(('Loading-rail'!$B$31:$B$48),$J1078,('Loading-rail'!$E$31:$E$48))*Impacts!$F$15,0)),0)</f>
        <v>0</v>
      </c>
      <c r="T1078" s="10">
        <f>IF(Flare!$C$7="",0,(SUMIF(Flare!$B$46:$B$185,$J1078,Flare!$E$46:$E$185)*Impacts!$F$16))</f>
        <v>0</v>
      </c>
      <c r="U1078" s="10">
        <f>IF(VCU!$C$9="",0,(SUMIF(VCU!$B$51:$B$193,$J1078,VCU!$E$51:$E$193)*Impacts!$F$17))</f>
        <v>0</v>
      </c>
      <c r="V1078" s="10">
        <f>IF(CAS!$C$7="",0,(SUMIF(CAS!$B$31:$B$167,$J1078,CAS!$E$31:$E$167)*Impacts!$F$18))</f>
        <v>0</v>
      </c>
      <c r="W1078" s="10">
        <f t="shared" si="58"/>
        <v>0</v>
      </c>
      <c r="AK1078" s="10" t="str">
        <f t="array" ref="AK1078">IFERROR(INDEX(SelectedSpecies,SMALL(IF(SelectedSpecies=AK$1,ROW(SelectedSpecies)),ROW(1079:1079)),2),"")</f>
        <v/>
      </c>
      <c r="BE1078" s="10"/>
      <c r="BI1078" s="10"/>
    </row>
    <row r="1079" spans="1:61" ht="21" customHeight="1" x14ac:dyDescent="0.25">
      <c r="A1079" s="10"/>
      <c r="B1079" s="10"/>
      <c r="E1079" s="10"/>
      <c r="G1079" s="10"/>
      <c r="I1079" s="436" t="s">
        <v>5796</v>
      </c>
      <c r="J1079" s="26" t="s">
        <v>5795</v>
      </c>
      <c r="K1079" s="10">
        <v>1</v>
      </c>
      <c r="L1079" s="73">
        <f>IF(Tank1!$C$23="No control",(SUMIF(Tank1!$B$32:$B$49,$J1079,Tank1!$C$32:$C$49)*Impacts!$F$8),0)</f>
        <v>0</v>
      </c>
      <c r="M1079" s="10">
        <f>IF(Tank2!$C$23="No control",(SUMIF(Tank2!$B$32:$B$49,$J1079,Tank2!$C$32:$C$49)*Impacts!$F$9),0)</f>
        <v>0</v>
      </c>
      <c r="N1079" s="10">
        <f>IF(Tank3!$C$23="No control",(SUMIF(Tank3!$B$32:$B$49,$J1079,Tank3!$C$32:$C$49)*Impacts!$F$10),0)</f>
        <v>0</v>
      </c>
      <c r="O1079" s="10">
        <f>IF(Tank4!$C$23="No control",(SUMIF(Tank4!$B$32:$B$49,$J1079,Tank4!$C$32:$C$49)*Impacts!$F$11),0)</f>
        <v>0</v>
      </c>
      <c r="P1079" s="10">
        <f>IF(Tank5!$C$23="No control",(SUMIF(Tank5!$B$32:$B$49,$J1079,Tank5!$C$32:$C$49)*Impacts!$F$12),0)</f>
        <v>0</v>
      </c>
      <c r="Q1079" s="10">
        <f>IFERROR(IF(('Loading-drum,tote'!$C$21)="No control",SUMIF(('Loading-drum,tote'!$B$31:$B$48),$J1079,('Loading-drum,tote'!$D$31:$D$48))*Impacts!$F$13,IF(('Loading-drum,tote'!$C$21)&lt;&gt;"No control",SUMIF(('Loading-drum,tote'!$B$31:$B$48),$J1079,('Loading-drum,tote'!$E$31:$E$48))*Impacts!$F$13,0)),0)</f>
        <v>0</v>
      </c>
      <c r="R1079" s="10">
        <f>IFERROR(IF(('Loading-truck'!$C$21)="No control",SUMIF(('Loading-truck'!$B$31:$B$48),$J1079,('Loading-truck'!$D$31:$D$48))*Impacts!$F$14,IF(('Loading-truck'!$C$21)&lt;&gt;"No control",SUMIF(('Loading-truck'!$B$31:$B$48),$J1079,('Loading-truck'!$E$31:$E$48))*Impacts!$F$14,0)),0)</f>
        <v>0</v>
      </c>
      <c r="S1079" s="10">
        <f>IFERROR(IF(('Loading-rail'!$C$21)="No control",SUMIF(('Loading-rail'!$B$31:$B$48),$J1079,('Loading-rail'!$D$31:$D$48))*Impacts!$F$15,IF(('Loading-rail'!$C$21)&lt;&gt;"No control",SUMIF(('Loading-rail'!$B$31:$B$48),$J1079,('Loading-rail'!$E$31:$E$48))*Impacts!$F$15,0)),0)</f>
        <v>0</v>
      </c>
      <c r="T1079" s="10">
        <f>IF(Flare!$C$7="",0,(SUMIF(Flare!$B$46:$B$185,$J1079,Flare!$E$46:$E$185)*Impacts!$F$16))</f>
        <v>0</v>
      </c>
      <c r="U1079" s="10">
        <f>IF(VCU!$C$9="",0,(SUMIF(VCU!$B$51:$B$193,$J1079,VCU!$E$51:$E$193)*Impacts!$F$17))</f>
        <v>0</v>
      </c>
      <c r="V1079" s="10">
        <f>IF(CAS!$C$7="",0,(SUMIF(CAS!$B$31:$B$167,$J1079,CAS!$E$31:$E$167)*Impacts!$F$18))</f>
        <v>0</v>
      </c>
      <c r="W1079" s="10">
        <f t="shared" si="58"/>
        <v>0</v>
      </c>
      <c r="AK1079" s="10" t="str">
        <f t="array" ref="AK1079">IFERROR(INDEX(SelectedSpecies,SMALL(IF(SelectedSpecies=AK$1,ROW(SelectedSpecies)),ROW(1080:1080)),2),"")</f>
        <v/>
      </c>
      <c r="BE1079" s="10"/>
      <c r="BI1079" s="10"/>
    </row>
    <row r="1080" spans="1:61" ht="21" customHeight="1" x14ac:dyDescent="0.25">
      <c r="A1080" s="10"/>
      <c r="B1080" s="10"/>
      <c r="E1080" s="10"/>
      <c r="G1080" s="10"/>
      <c r="I1080" s="436" t="s">
        <v>495</v>
      </c>
      <c r="J1080" s="26" t="s">
        <v>494</v>
      </c>
      <c r="K1080" s="10">
        <v>100</v>
      </c>
      <c r="L1080" s="73">
        <f>IF(Tank1!$C$23="No control",(SUMIF(Tank1!$B$32:$B$49,$J1080,Tank1!$C$32:$C$49)*Impacts!$F$8),0)</f>
        <v>0</v>
      </c>
      <c r="M1080" s="10">
        <f>IF(Tank2!$C$23="No control",(SUMIF(Tank2!$B$32:$B$49,$J1080,Tank2!$C$32:$C$49)*Impacts!$F$9),0)</f>
        <v>0</v>
      </c>
      <c r="N1080" s="10">
        <f>IF(Tank3!$C$23="No control",(SUMIF(Tank3!$B$32:$B$49,$J1080,Tank3!$C$32:$C$49)*Impacts!$F$10),0)</f>
        <v>0</v>
      </c>
      <c r="O1080" s="10">
        <f>IF(Tank4!$C$23="No control",(SUMIF(Tank4!$B$32:$B$49,$J1080,Tank4!$C$32:$C$49)*Impacts!$F$11),0)</f>
        <v>0</v>
      </c>
      <c r="P1080" s="10">
        <f>IF(Tank5!$C$23="No control",(SUMIF(Tank5!$B$32:$B$49,$J1080,Tank5!$C$32:$C$49)*Impacts!$F$12),0)</f>
        <v>0</v>
      </c>
      <c r="Q1080" s="10">
        <f>IFERROR(IF(('Loading-drum,tote'!$C$21)="No control",SUMIF(('Loading-drum,tote'!$B$31:$B$48),$J1080,('Loading-drum,tote'!$D$31:$D$48))*Impacts!$F$13,IF(('Loading-drum,tote'!$C$21)&lt;&gt;"No control",SUMIF(('Loading-drum,tote'!$B$31:$B$48),$J1080,('Loading-drum,tote'!$E$31:$E$48))*Impacts!$F$13,0)),0)</f>
        <v>0</v>
      </c>
      <c r="R1080" s="10">
        <f>IFERROR(IF(('Loading-truck'!$C$21)="No control",SUMIF(('Loading-truck'!$B$31:$B$48),$J1080,('Loading-truck'!$D$31:$D$48))*Impacts!$F$14,IF(('Loading-truck'!$C$21)&lt;&gt;"No control",SUMIF(('Loading-truck'!$B$31:$B$48),$J1080,('Loading-truck'!$E$31:$E$48))*Impacts!$F$14,0)),0)</f>
        <v>0</v>
      </c>
      <c r="S1080" s="10">
        <f>IFERROR(IF(('Loading-rail'!$C$21)="No control",SUMIF(('Loading-rail'!$B$31:$B$48),$J1080,('Loading-rail'!$D$31:$D$48))*Impacts!$F$15,IF(('Loading-rail'!$C$21)&lt;&gt;"No control",SUMIF(('Loading-rail'!$B$31:$B$48),$J1080,('Loading-rail'!$E$31:$E$48))*Impacts!$F$15,0)),0)</f>
        <v>0</v>
      </c>
      <c r="T1080" s="10">
        <f>IF(Flare!$C$7="",0,(SUMIF(Flare!$B$46:$B$185,$J1080,Flare!$E$46:$E$185)*Impacts!$F$16))</f>
        <v>0</v>
      </c>
      <c r="U1080" s="10">
        <f>IF(VCU!$C$9="",0,(SUMIF(VCU!$B$51:$B$193,$J1080,VCU!$E$51:$E$193)*Impacts!$F$17))</f>
        <v>0</v>
      </c>
      <c r="V1080" s="10">
        <f>IF(CAS!$C$7="",0,(SUMIF(CAS!$B$31:$B$167,$J1080,CAS!$E$31:$E$167)*Impacts!$F$18))</f>
        <v>0</v>
      </c>
      <c r="W1080" s="10">
        <f t="shared" si="58"/>
        <v>0</v>
      </c>
      <c r="AK1080" s="10" t="str">
        <f t="array" ref="AK1080">IFERROR(INDEX(SelectedSpecies,SMALL(IF(SelectedSpecies=AK$1,ROW(SelectedSpecies)),ROW(1081:1081)),2),"")</f>
        <v/>
      </c>
      <c r="BE1080" s="10"/>
      <c r="BI1080" s="10"/>
    </row>
    <row r="1081" spans="1:61" ht="21" customHeight="1" x14ac:dyDescent="0.25">
      <c r="A1081" s="10"/>
      <c r="B1081" s="10"/>
      <c r="E1081" s="10"/>
      <c r="G1081" s="10"/>
      <c r="I1081" s="436" t="s">
        <v>5798</v>
      </c>
      <c r="J1081" s="26" t="s">
        <v>5797</v>
      </c>
      <c r="K1081" s="10">
        <v>1</v>
      </c>
      <c r="L1081" s="73">
        <f>IF(Tank1!$C$23="No control",(SUMIF(Tank1!$B$32:$B$49,$J1081,Tank1!$C$32:$C$49)*Impacts!$F$8),0)</f>
        <v>0</v>
      </c>
      <c r="M1081" s="10">
        <f>IF(Tank2!$C$23="No control",(SUMIF(Tank2!$B$32:$B$49,$J1081,Tank2!$C$32:$C$49)*Impacts!$F$9),0)</f>
        <v>0</v>
      </c>
      <c r="N1081" s="10">
        <f>IF(Tank3!$C$23="No control",(SUMIF(Tank3!$B$32:$B$49,$J1081,Tank3!$C$32:$C$49)*Impacts!$F$10),0)</f>
        <v>0</v>
      </c>
      <c r="O1081" s="10">
        <f>IF(Tank4!$C$23="No control",(SUMIF(Tank4!$B$32:$B$49,$J1081,Tank4!$C$32:$C$49)*Impacts!$F$11),0)</f>
        <v>0</v>
      </c>
      <c r="P1081" s="10">
        <f>IF(Tank5!$C$23="No control",(SUMIF(Tank5!$B$32:$B$49,$J1081,Tank5!$C$32:$C$49)*Impacts!$F$12),0)</f>
        <v>0</v>
      </c>
      <c r="Q1081" s="10">
        <f>IFERROR(IF(('Loading-drum,tote'!$C$21)="No control",SUMIF(('Loading-drum,tote'!$B$31:$B$48),$J1081,('Loading-drum,tote'!$D$31:$D$48))*Impacts!$F$13,IF(('Loading-drum,tote'!$C$21)&lt;&gt;"No control",SUMIF(('Loading-drum,tote'!$B$31:$B$48),$J1081,('Loading-drum,tote'!$E$31:$E$48))*Impacts!$F$13,0)),0)</f>
        <v>0</v>
      </c>
      <c r="R1081" s="10">
        <f>IFERROR(IF(('Loading-truck'!$C$21)="No control",SUMIF(('Loading-truck'!$B$31:$B$48),$J1081,('Loading-truck'!$D$31:$D$48))*Impacts!$F$14,IF(('Loading-truck'!$C$21)&lt;&gt;"No control",SUMIF(('Loading-truck'!$B$31:$B$48),$J1081,('Loading-truck'!$E$31:$E$48))*Impacts!$F$14,0)),0)</f>
        <v>0</v>
      </c>
      <c r="S1081" s="10">
        <f>IFERROR(IF(('Loading-rail'!$C$21)="No control",SUMIF(('Loading-rail'!$B$31:$B$48),$J1081,('Loading-rail'!$D$31:$D$48))*Impacts!$F$15,IF(('Loading-rail'!$C$21)&lt;&gt;"No control",SUMIF(('Loading-rail'!$B$31:$B$48),$J1081,('Loading-rail'!$E$31:$E$48))*Impacts!$F$15,0)),0)</f>
        <v>0</v>
      </c>
      <c r="T1081" s="10">
        <f>IF(Flare!$C$7="",0,(SUMIF(Flare!$B$46:$B$185,$J1081,Flare!$E$46:$E$185)*Impacts!$F$16))</f>
        <v>0</v>
      </c>
      <c r="U1081" s="10">
        <f>IF(VCU!$C$9="",0,(SUMIF(VCU!$B$51:$B$193,$J1081,VCU!$E$51:$E$193)*Impacts!$F$17))</f>
        <v>0</v>
      </c>
      <c r="V1081" s="10">
        <f>IF(CAS!$C$7="",0,(SUMIF(CAS!$B$31:$B$167,$J1081,CAS!$E$31:$E$167)*Impacts!$F$18))</f>
        <v>0</v>
      </c>
      <c r="W1081" s="10">
        <f t="shared" si="58"/>
        <v>0</v>
      </c>
      <c r="AK1081" s="10" t="str">
        <f t="array" ref="AK1081">IFERROR(INDEX(SelectedSpecies,SMALL(IF(SelectedSpecies=AK$1,ROW(SelectedSpecies)),ROW(1082:1082)),2),"")</f>
        <v/>
      </c>
      <c r="BE1081" s="10"/>
      <c r="BI1081" s="10"/>
    </row>
    <row r="1082" spans="1:61" ht="21" customHeight="1" x14ac:dyDescent="0.25">
      <c r="A1082" s="10"/>
      <c r="B1082" s="10"/>
      <c r="E1082" s="10"/>
      <c r="G1082" s="10"/>
      <c r="I1082" s="436" t="s">
        <v>2749</v>
      </c>
      <c r="J1082" s="26" t="s">
        <v>2748</v>
      </c>
      <c r="K1082" s="10">
        <v>10</v>
      </c>
      <c r="L1082" s="73">
        <f>IF(Tank1!$C$23="No control",(SUMIF(Tank1!$B$32:$B$49,$J1082,Tank1!$C$32:$C$49)*Impacts!$F$8),0)</f>
        <v>0</v>
      </c>
      <c r="M1082" s="10">
        <f>IF(Tank2!$C$23="No control",(SUMIF(Tank2!$B$32:$B$49,$J1082,Tank2!$C$32:$C$49)*Impacts!$F$9),0)</f>
        <v>0</v>
      </c>
      <c r="N1082" s="10">
        <f>IF(Tank3!$C$23="No control",(SUMIF(Tank3!$B$32:$B$49,$J1082,Tank3!$C$32:$C$49)*Impacts!$F$10),0)</f>
        <v>0</v>
      </c>
      <c r="O1082" s="10">
        <f>IF(Tank4!$C$23="No control",(SUMIF(Tank4!$B$32:$B$49,$J1082,Tank4!$C$32:$C$49)*Impacts!$F$11),0)</f>
        <v>0</v>
      </c>
      <c r="P1082" s="10">
        <f>IF(Tank5!$C$23="No control",(SUMIF(Tank5!$B$32:$B$49,$J1082,Tank5!$C$32:$C$49)*Impacts!$F$12),0)</f>
        <v>0</v>
      </c>
      <c r="Q1082" s="10">
        <f>IFERROR(IF(('Loading-drum,tote'!$C$21)="No control",SUMIF(('Loading-drum,tote'!$B$31:$B$48),$J1082,('Loading-drum,tote'!$D$31:$D$48))*Impacts!$F$13,IF(('Loading-drum,tote'!$C$21)&lt;&gt;"No control",SUMIF(('Loading-drum,tote'!$B$31:$B$48),$J1082,('Loading-drum,tote'!$E$31:$E$48))*Impacts!$F$13,0)),0)</f>
        <v>0</v>
      </c>
      <c r="R1082" s="10">
        <f>IFERROR(IF(('Loading-truck'!$C$21)="No control",SUMIF(('Loading-truck'!$B$31:$B$48),$J1082,('Loading-truck'!$D$31:$D$48))*Impacts!$F$14,IF(('Loading-truck'!$C$21)&lt;&gt;"No control",SUMIF(('Loading-truck'!$B$31:$B$48),$J1082,('Loading-truck'!$E$31:$E$48))*Impacts!$F$14,0)),0)</f>
        <v>0</v>
      </c>
      <c r="S1082" s="10">
        <f>IFERROR(IF(('Loading-rail'!$C$21)="No control",SUMIF(('Loading-rail'!$B$31:$B$48),$J1082,('Loading-rail'!$D$31:$D$48))*Impacts!$F$15,IF(('Loading-rail'!$C$21)&lt;&gt;"No control",SUMIF(('Loading-rail'!$B$31:$B$48),$J1082,('Loading-rail'!$E$31:$E$48))*Impacts!$F$15,0)),0)</f>
        <v>0</v>
      </c>
      <c r="T1082" s="10">
        <f>IF(Flare!$C$7="",0,(SUMIF(Flare!$B$46:$B$185,$J1082,Flare!$E$46:$E$185)*Impacts!$F$16))</f>
        <v>0</v>
      </c>
      <c r="U1082" s="10">
        <f>IF(VCU!$C$9="",0,(SUMIF(VCU!$B$51:$B$193,$J1082,VCU!$E$51:$E$193)*Impacts!$F$17))</f>
        <v>0</v>
      </c>
      <c r="V1082" s="10">
        <f>IF(CAS!$C$7="",0,(SUMIF(CAS!$B$31:$B$167,$J1082,CAS!$E$31:$E$167)*Impacts!$F$18))</f>
        <v>0</v>
      </c>
      <c r="W1082" s="10">
        <f t="shared" si="58"/>
        <v>0</v>
      </c>
      <c r="AK1082" s="10" t="str">
        <f t="array" ref="AK1082">IFERROR(INDEX(SelectedSpecies,SMALL(IF(SelectedSpecies=AK$1,ROW(SelectedSpecies)),ROW(1083:1083)),2),"")</f>
        <v/>
      </c>
      <c r="BE1082" s="10"/>
      <c r="BI1082" s="10"/>
    </row>
    <row r="1083" spans="1:61" ht="21" customHeight="1" x14ac:dyDescent="0.25">
      <c r="A1083" s="10"/>
      <c r="B1083" s="10"/>
      <c r="E1083" s="10"/>
      <c r="G1083" s="10"/>
      <c r="I1083" s="436" t="s">
        <v>4549</v>
      </c>
      <c r="J1083" s="26" t="s">
        <v>4548</v>
      </c>
      <c r="K1083" s="10">
        <v>4</v>
      </c>
      <c r="L1083" s="73">
        <f>IF(Tank1!$C$23="No control",(SUMIF(Tank1!$B$32:$B$49,$J1083,Tank1!$C$32:$C$49)*Impacts!$F$8),0)</f>
        <v>0</v>
      </c>
      <c r="M1083" s="10">
        <f>IF(Tank2!$C$23="No control",(SUMIF(Tank2!$B$32:$B$49,$J1083,Tank2!$C$32:$C$49)*Impacts!$F$9),0)</f>
        <v>0</v>
      </c>
      <c r="N1083" s="10">
        <f>IF(Tank3!$C$23="No control",(SUMIF(Tank3!$B$32:$B$49,$J1083,Tank3!$C$32:$C$49)*Impacts!$F$10),0)</f>
        <v>0</v>
      </c>
      <c r="O1083" s="10">
        <f>IF(Tank4!$C$23="No control",(SUMIF(Tank4!$B$32:$B$49,$J1083,Tank4!$C$32:$C$49)*Impacts!$F$11),0)</f>
        <v>0</v>
      </c>
      <c r="P1083" s="10">
        <f>IF(Tank5!$C$23="No control",(SUMIF(Tank5!$B$32:$B$49,$J1083,Tank5!$C$32:$C$49)*Impacts!$F$12),0)</f>
        <v>0</v>
      </c>
      <c r="Q1083" s="10">
        <f>IFERROR(IF(('Loading-drum,tote'!$C$21)="No control",SUMIF(('Loading-drum,tote'!$B$31:$B$48),$J1083,('Loading-drum,tote'!$D$31:$D$48))*Impacts!$F$13,IF(('Loading-drum,tote'!$C$21)&lt;&gt;"No control",SUMIF(('Loading-drum,tote'!$B$31:$B$48),$J1083,('Loading-drum,tote'!$E$31:$E$48))*Impacts!$F$13,0)),0)</f>
        <v>0</v>
      </c>
      <c r="R1083" s="10">
        <f>IFERROR(IF(('Loading-truck'!$C$21)="No control",SUMIF(('Loading-truck'!$B$31:$B$48),$J1083,('Loading-truck'!$D$31:$D$48))*Impacts!$F$14,IF(('Loading-truck'!$C$21)&lt;&gt;"No control",SUMIF(('Loading-truck'!$B$31:$B$48),$J1083,('Loading-truck'!$E$31:$E$48))*Impacts!$F$14,0)),0)</f>
        <v>0</v>
      </c>
      <c r="S1083" s="10">
        <f>IFERROR(IF(('Loading-rail'!$C$21)="No control",SUMIF(('Loading-rail'!$B$31:$B$48),$J1083,('Loading-rail'!$D$31:$D$48))*Impacts!$F$15,IF(('Loading-rail'!$C$21)&lt;&gt;"No control",SUMIF(('Loading-rail'!$B$31:$B$48),$J1083,('Loading-rail'!$E$31:$E$48))*Impacts!$F$15,0)),0)</f>
        <v>0</v>
      </c>
      <c r="T1083" s="10">
        <f>IF(Flare!$C$7="",0,(SUMIF(Flare!$B$46:$B$185,$J1083,Flare!$E$46:$E$185)*Impacts!$F$16))</f>
        <v>0</v>
      </c>
      <c r="U1083" s="10">
        <f>IF(VCU!$C$9="",0,(SUMIF(VCU!$B$51:$B$193,$J1083,VCU!$E$51:$E$193)*Impacts!$F$17))</f>
        <v>0</v>
      </c>
      <c r="V1083" s="10">
        <f>IF(CAS!$C$7="",0,(SUMIF(CAS!$B$31:$B$167,$J1083,CAS!$E$31:$E$167)*Impacts!$F$18))</f>
        <v>0</v>
      </c>
      <c r="W1083" s="10">
        <f t="shared" si="58"/>
        <v>0</v>
      </c>
      <c r="AK1083" s="10" t="str">
        <f t="array" ref="AK1083">IFERROR(INDEX(SelectedSpecies,SMALL(IF(SelectedSpecies=AK$1,ROW(SelectedSpecies)),ROW(1084:1084)),2),"")</f>
        <v/>
      </c>
      <c r="BE1083" s="10"/>
      <c r="BI1083" s="10"/>
    </row>
    <row r="1084" spans="1:61" ht="21" customHeight="1" x14ac:dyDescent="0.25">
      <c r="A1084" s="10"/>
      <c r="B1084" s="10"/>
      <c r="E1084" s="10"/>
      <c r="G1084" s="10"/>
      <c r="I1084" s="436" t="s">
        <v>658</v>
      </c>
      <c r="J1084" s="26" t="s">
        <v>657</v>
      </c>
      <c r="K1084" s="10">
        <v>34</v>
      </c>
      <c r="L1084" s="73">
        <f>IF(Tank1!$C$23="No control",(SUMIF(Tank1!$B$32:$B$49,$J1084,Tank1!$C$32:$C$49)*Impacts!$F$8),0)</f>
        <v>0</v>
      </c>
      <c r="M1084" s="10">
        <f>IF(Tank2!$C$23="No control",(SUMIF(Tank2!$B$32:$B$49,$J1084,Tank2!$C$32:$C$49)*Impacts!$F$9),0)</f>
        <v>0</v>
      </c>
      <c r="N1084" s="10">
        <f>IF(Tank3!$C$23="No control",(SUMIF(Tank3!$B$32:$B$49,$J1084,Tank3!$C$32:$C$49)*Impacts!$F$10),0)</f>
        <v>0</v>
      </c>
      <c r="O1084" s="10">
        <f>IF(Tank4!$C$23="No control",(SUMIF(Tank4!$B$32:$B$49,$J1084,Tank4!$C$32:$C$49)*Impacts!$F$11),0)</f>
        <v>0</v>
      </c>
      <c r="P1084" s="10">
        <f>IF(Tank5!$C$23="No control",(SUMIF(Tank5!$B$32:$B$49,$J1084,Tank5!$C$32:$C$49)*Impacts!$F$12),0)</f>
        <v>0</v>
      </c>
      <c r="Q1084" s="10">
        <f>IFERROR(IF(('Loading-drum,tote'!$C$21)="No control",SUMIF(('Loading-drum,tote'!$B$31:$B$48),$J1084,('Loading-drum,tote'!$D$31:$D$48))*Impacts!$F$13,IF(('Loading-drum,tote'!$C$21)&lt;&gt;"No control",SUMIF(('Loading-drum,tote'!$B$31:$B$48),$J1084,('Loading-drum,tote'!$E$31:$E$48))*Impacts!$F$13,0)),0)</f>
        <v>0</v>
      </c>
      <c r="R1084" s="10">
        <f>IFERROR(IF(('Loading-truck'!$C$21)="No control",SUMIF(('Loading-truck'!$B$31:$B$48),$J1084,('Loading-truck'!$D$31:$D$48))*Impacts!$F$14,IF(('Loading-truck'!$C$21)&lt;&gt;"No control",SUMIF(('Loading-truck'!$B$31:$B$48),$J1084,('Loading-truck'!$E$31:$E$48))*Impacts!$F$14,0)),0)</f>
        <v>0</v>
      </c>
      <c r="S1084" s="10">
        <f>IFERROR(IF(('Loading-rail'!$C$21)="No control",SUMIF(('Loading-rail'!$B$31:$B$48),$J1084,('Loading-rail'!$D$31:$D$48))*Impacts!$F$15,IF(('Loading-rail'!$C$21)&lt;&gt;"No control",SUMIF(('Loading-rail'!$B$31:$B$48),$J1084,('Loading-rail'!$E$31:$E$48))*Impacts!$F$15,0)),0)</f>
        <v>0</v>
      </c>
      <c r="T1084" s="10">
        <f>IF(Flare!$C$7="",0,(SUMIF(Flare!$B$46:$B$185,$J1084,Flare!$E$46:$E$185)*Impacts!$F$16))</f>
        <v>0</v>
      </c>
      <c r="U1084" s="10">
        <f>IF(VCU!$C$9="",0,(SUMIF(VCU!$B$51:$B$193,$J1084,VCU!$E$51:$E$193)*Impacts!$F$17))</f>
        <v>0</v>
      </c>
      <c r="V1084" s="10">
        <f>IF(CAS!$C$7="",0,(SUMIF(CAS!$B$31:$B$167,$J1084,CAS!$E$31:$E$167)*Impacts!$F$18))</f>
        <v>0</v>
      </c>
      <c r="W1084" s="10">
        <f t="shared" si="58"/>
        <v>0</v>
      </c>
      <c r="AK1084" s="10" t="str">
        <f t="array" ref="AK1084">IFERROR(INDEX(SelectedSpecies,SMALL(IF(SelectedSpecies=AK$1,ROW(SelectedSpecies)),ROW(1085:1085)),2),"")</f>
        <v/>
      </c>
      <c r="BE1084" s="10"/>
      <c r="BI1084" s="10"/>
    </row>
    <row r="1085" spans="1:61" ht="21" customHeight="1" x14ac:dyDescent="0.25">
      <c r="A1085" s="10"/>
      <c r="B1085" s="10"/>
      <c r="E1085" s="10"/>
      <c r="G1085" s="10"/>
      <c r="I1085" s="436" t="s">
        <v>1949</v>
      </c>
      <c r="J1085" s="26" t="s">
        <v>1948</v>
      </c>
      <c r="K1085" s="10">
        <v>18</v>
      </c>
      <c r="L1085" s="73">
        <f>IF(Tank1!$C$23="No control",(SUMIF(Tank1!$B$32:$B$49,$J1085,Tank1!$C$32:$C$49)*Impacts!$F$8),0)</f>
        <v>0</v>
      </c>
      <c r="M1085" s="10">
        <f>IF(Tank2!$C$23="No control",(SUMIF(Tank2!$B$32:$B$49,$J1085,Tank2!$C$32:$C$49)*Impacts!$F$9),0)</f>
        <v>0</v>
      </c>
      <c r="N1085" s="10">
        <f>IF(Tank3!$C$23="No control",(SUMIF(Tank3!$B$32:$B$49,$J1085,Tank3!$C$32:$C$49)*Impacts!$F$10),0)</f>
        <v>0</v>
      </c>
      <c r="O1085" s="10">
        <f>IF(Tank4!$C$23="No control",(SUMIF(Tank4!$B$32:$B$49,$J1085,Tank4!$C$32:$C$49)*Impacts!$F$11),0)</f>
        <v>0</v>
      </c>
      <c r="P1085" s="10">
        <f>IF(Tank5!$C$23="No control",(SUMIF(Tank5!$B$32:$B$49,$J1085,Tank5!$C$32:$C$49)*Impacts!$F$12),0)</f>
        <v>0</v>
      </c>
      <c r="Q1085" s="10">
        <f>IFERROR(IF(('Loading-drum,tote'!$C$21)="No control",SUMIF(('Loading-drum,tote'!$B$31:$B$48),$J1085,('Loading-drum,tote'!$D$31:$D$48))*Impacts!$F$13,IF(('Loading-drum,tote'!$C$21)&lt;&gt;"No control",SUMIF(('Loading-drum,tote'!$B$31:$B$48),$J1085,('Loading-drum,tote'!$E$31:$E$48))*Impacts!$F$13,0)),0)</f>
        <v>0</v>
      </c>
      <c r="R1085" s="10">
        <f>IFERROR(IF(('Loading-truck'!$C$21)="No control",SUMIF(('Loading-truck'!$B$31:$B$48),$J1085,('Loading-truck'!$D$31:$D$48))*Impacts!$F$14,IF(('Loading-truck'!$C$21)&lt;&gt;"No control",SUMIF(('Loading-truck'!$B$31:$B$48),$J1085,('Loading-truck'!$E$31:$E$48))*Impacts!$F$14,0)),0)</f>
        <v>0</v>
      </c>
      <c r="S1085" s="10">
        <f>IFERROR(IF(('Loading-rail'!$C$21)="No control",SUMIF(('Loading-rail'!$B$31:$B$48),$J1085,('Loading-rail'!$D$31:$D$48))*Impacts!$F$15,IF(('Loading-rail'!$C$21)&lt;&gt;"No control",SUMIF(('Loading-rail'!$B$31:$B$48),$J1085,('Loading-rail'!$E$31:$E$48))*Impacts!$F$15,0)),0)</f>
        <v>0</v>
      </c>
      <c r="T1085" s="10">
        <f>IF(Flare!$C$7="",0,(SUMIF(Flare!$B$46:$B$185,$J1085,Flare!$E$46:$E$185)*Impacts!$F$16))</f>
        <v>0</v>
      </c>
      <c r="U1085" s="10">
        <f>IF(VCU!$C$9="",0,(SUMIF(VCU!$B$51:$B$193,$J1085,VCU!$E$51:$E$193)*Impacts!$F$17))</f>
        <v>0</v>
      </c>
      <c r="V1085" s="10">
        <f>IF(CAS!$C$7="",0,(SUMIF(CAS!$B$31:$B$167,$J1085,CAS!$E$31:$E$167)*Impacts!$F$18))</f>
        <v>0</v>
      </c>
      <c r="W1085" s="10">
        <f t="shared" si="58"/>
        <v>0</v>
      </c>
      <c r="AK1085" s="10" t="str">
        <f t="array" ref="AK1085">IFERROR(INDEX(SelectedSpecies,SMALL(IF(SelectedSpecies=AK$1,ROW(SelectedSpecies)),ROW(1086:1086)),2),"")</f>
        <v/>
      </c>
      <c r="BE1085" s="10"/>
      <c r="BI1085" s="10"/>
    </row>
    <row r="1086" spans="1:61" ht="21" customHeight="1" x14ac:dyDescent="0.25">
      <c r="A1086" s="10"/>
      <c r="B1086" s="10"/>
      <c r="E1086" s="10"/>
      <c r="G1086" s="10"/>
      <c r="I1086" s="436" t="s">
        <v>5800</v>
      </c>
      <c r="J1086" s="26" t="s">
        <v>5799</v>
      </c>
      <c r="K1086" s="10">
        <v>1</v>
      </c>
      <c r="L1086" s="73">
        <f>IF(Tank1!$C$23="No control",(SUMIF(Tank1!$B$32:$B$49,$J1086,Tank1!$C$32:$C$49)*Impacts!$F$8),0)</f>
        <v>0</v>
      </c>
      <c r="M1086" s="10">
        <f>IF(Tank2!$C$23="No control",(SUMIF(Tank2!$B$32:$B$49,$J1086,Tank2!$C$32:$C$49)*Impacts!$F$9),0)</f>
        <v>0</v>
      </c>
      <c r="N1086" s="10">
        <f>IF(Tank3!$C$23="No control",(SUMIF(Tank3!$B$32:$B$49,$J1086,Tank3!$C$32:$C$49)*Impacts!$F$10),0)</f>
        <v>0</v>
      </c>
      <c r="O1086" s="10">
        <f>IF(Tank4!$C$23="No control",(SUMIF(Tank4!$B$32:$B$49,$J1086,Tank4!$C$32:$C$49)*Impacts!$F$11),0)</f>
        <v>0</v>
      </c>
      <c r="P1086" s="10">
        <f>IF(Tank5!$C$23="No control",(SUMIF(Tank5!$B$32:$B$49,$J1086,Tank5!$C$32:$C$49)*Impacts!$F$12),0)</f>
        <v>0</v>
      </c>
      <c r="Q1086" s="10">
        <f>IFERROR(IF(('Loading-drum,tote'!$C$21)="No control",SUMIF(('Loading-drum,tote'!$B$31:$B$48),$J1086,('Loading-drum,tote'!$D$31:$D$48))*Impacts!$F$13,IF(('Loading-drum,tote'!$C$21)&lt;&gt;"No control",SUMIF(('Loading-drum,tote'!$B$31:$B$48),$J1086,('Loading-drum,tote'!$E$31:$E$48))*Impacts!$F$13,0)),0)</f>
        <v>0</v>
      </c>
      <c r="R1086" s="10">
        <f>IFERROR(IF(('Loading-truck'!$C$21)="No control",SUMIF(('Loading-truck'!$B$31:$B$48),$J1086,('Loading-truck'!$D$31:$D$48))*Impacts!$F$14,IF(('Loading-truck'!$C$21)&lt;&gt;"No control",SUMIF(('Loading-truck'!$B$31:$B$48),$J1086,('Loading-truck'!$E$31:$E$48))*Impacts!$F$14,0)),0)</f>
        <v>0</v>
      </c>
      <c r="S1086" s="10">
        <f>IFERROR(IF(('Loading-rail'!$C$21)="No control",SUMIF(('Loading-rail'!$B$31:$B$48),$J1086,('Loading-rail'!$D$31:$D$48))*Impacts!$F$15,IF(('Loading-rail'!$C$21)&lt;&gt;"No control",SUMIF(('Loading-rail'!$B$31:$B$48),$J1086,('Loading-rail'!$E$31:$E$48))*Impacts!$F$15,0)),0)</f>
        <v>0</v>
      </c>
      <c r="T1086" s="10">
        <f>IF(Flare!$C$7="",0,(SUMIF(Flare!$B$46:$B$185,$J1086,Flare!$E$46:$E$185)*Impacts!$F$16))</f>
        <v>0</v>
      </c>
      <c r="U1086" s="10">
        <f>IF(VCU!$C$9="",0,(SUMIF(VCU!$B$51:$B$193,$J1086,VCU!$E$51:$E$193)*Impacts!$F$17))</f>
        <v>0</v>
      </c>
      <c r="V1086" s="10">
        <f>IF(CAS!$C$7="",0,(SUMIF(CAS!$B$31:$B$167,$J1086,CAS!$E$31:$E$167)*Impacts!$F$18))</f>
        <v>0</v>
      </c>
      <c r="W1086" s="10">
        <f t="shared" si="58"/>
        <v>0</v>
      </c>
      <c r="AK1086" s="10" t="str">
        <f t="array" ref="AK1086">IFERROR(INDEX(SelectedSpecies,SMALL(IF(SelectedSpecies=AK$1,ROW(SelectedSpecies)),ROW(1087:1087)),2),"")</f>
        <v/>
      </c>
      <c r="BE1086" s="10"/>
      <c r="BI1086" s="10"/>
    </row>
    <row r="1087" spans="1:61" ht="21" customHeight="1" x14ac:dyDescent="0.25">
      <c r="A1087" s="10"/>
      <c r="B1087" s="10"/>
      <c r="E1087" s="10"/>
      <c r="G1087" s="10"/>
      <c r="I1087" s="436" t="s">
        <v>5139</v>
      </c>
      <c r="J1087" s="26" t="s">
        <v>5138</v>
      </c>
      <c r="K1087" s="10">
        <v>2</v>
      </c>
      <c r="L1087" s="73">
        <f>IF(Tank1!$C$23="No control",(SUMIF(Tank1!$B$32:$B$49,$J1087,Tank1!$C$32:$C$49)*Impacts!$F$8),0)</f>
        <v>0</v>
      </c>
      <c r="M1087" s="10">
        <f>IF(Tank2!$C$23="No control",(SUMIF(Tank2!$B$32:$B$49,$J1087,Tank2!$C$32:$C$49)*Impacts!$F$9),0)</f>
        <v>0</v>
      </c>
      <c r="N1087" s="10">
        <f>IF(Tank3!$C$23="No control",(SUMIF(Tank3!$B$32:$B$49,$J1087,Tank3!$C$32:$C$49)*Impacts!$F$10),0)</f>
        <v>0</v>
      </c>
      <c r="O1087" s="10">
        <f>IF(Tank4!$C$23="No control",(SUMIF(Tank4!$B$32:$B$49,$J1087,Tank4!$C$32:$C$49)*Impacts!$F$11),0)</f>
        <v>0</v>
      </c>
      <c r="P1087" s="10">
        <f>IF(Tank5!$C$23="No control",(SUMIF(Tank5!$B$32:$B$49,$J1087,Tank5!$C$32:$C$49)*Impacts!$F$12),0)</f>
        <v>0</v>
      </c>
      <c r="Q1087" s="10">
        <f>IFERROR(IF(('Loading-drum,tote'!$C$21)="No control",SUMIF(('Loading-drum,tote'!$B$31:$B$48),$J1087,('Loading-drum,tote'!$D$31:$D$48))*Impacts!$F$13,IF(('Loading-drum,tote'!$C$21)&lt;&gt;"No control",SUMIF(('Loading-drum,tote'!$B$31:$B$48),$J1087,('Loading-drum,tote'!$E$31:$E$48))*Impacts!$F$13,0)),0)</f>
        <v>0</v>
      </c>
      <c r="R1087" s="10">
        <f>IFERROR(IF(('Loading-truck'!$C$21)="No control",SUMIF(('Loading-truck'!$B$31:$B$48),$J1087,('Loading-truck'!$D$31:$D$48))*Impacts!$F$14,IF(('Loading-truck'!$C$21)&lt;&gt;"No control",SUMIF(('Loading-truck'!$B$31:$B$48),$J1087,('Loading-truck'!$E$31:$E$48))*Impacts!$F$14,0)),0)</f>
        <v>0</v>
      </c>
      <c r="S1087" s="10">
        <f>IFERROR(IF(('Loading-rail'!$C$21)="No control",SUMIF(('Loading-rail'!$B$31:$B$48),$J1087,('Loading-rail'!$D$31:$D$48))*Impacts!$F$15,IF(('Loading-rail'!$C$21)&lt;&gt;"No control",SUMIF(('Loading-rail'!$B$31:$B$48),$J1087,('Loading-rail'!$E$31:$E$48))*Impacts!$F$15,0)),0)</f>
        <v>0</v>
      </c>
      <c r="T1087" s="10">
        <f>IF(Flare!$C$7="",0,(SUMIF(Flare!$B$46:$B$185,$J1087,Flare!$E$46:$E$185)*Impacts!$F$16))</f>
        <v>0</v>
      </c>
      <c r="U1087" s="10">
        <f>IF(VCU!$C$9="",0,(SUMIF(VCU!$B$51:$B$193,$J1087,VCU!$E$51:$E$193)*Impacts!$F$17))</f>
        <v>0</v>
      </c>
      <c r="V1087" s="10">
        <f>IF(CAS!$C$7="",0,(SUMIF(CAS!$B$31:$B$167,$J1087,CAS!$E$31:$E$167)*Impacts!$F$18))</f>
        <v>0</v>
      </c>
      <c r="W1087" s="10">
        <f t="shared" si="58"/>
        <v>0</v>
      </c>
      <c r="AK1087" s="10" t="str">
        <f t="array" ref="AK1087">IFERROR(INDEX(SelectedSpecies,SMALL(IF(SelectedSpecies=AK$1,ROW(SelectedSpecies)),ROW(1088:1088)),2),"")</f>
        <v/>
      </c>
      <c r="BE1087" s="10"/>
      <c r="BI1087" s="10"/>
    </row>
    <row r="1088" spans="1:61" ht="21" customHeight="1" x14ac:dyDescent="0.25">
      <c r="A1088" s="10"/>
      <c r="B1088" s="10"/>
      <c r="E1088" s="10"/>
      <c r="G1088" s="10"/>
      <c r="I1088" s="436" t="s">
        <v>5141</v>
      </c>
      <c r="J1088" s="26" t="s">
        <v>5140</v>
      </c>
      <c r="K1088" s="10">
        <v>2</v>
      </c>
      <c r="L1088" s="73">
        <f>IF(Tank1!$C$23="No control",(SUMIF(Tank1!$B$32:$B$49,$J1088,Tank1!$C$32:$C$49)*Impacts!$F$8),0)</f>
        <v>0</v>
      </c>
      <c r="M1088" s="10">
        <f>IF(Tank2!$C$23="No control",(SUMIF(Tank2!$B$32:$B$49,$J1088,Tank2!$C$32:$C$49)*Impacts!$F$9),0)</f>
        <v>0</v>
      </c>
      <c r="N1088" s="10">
        <f>IF(Tank3!$C$23="No control",(SUMIF(Tank3!$B$32:$B$49,$J1088,Tank3!$C$32:$C$49)*Impacts!$F$10),0)</f>
        <v>0</v>
      </c>
      <c r="O1088" s="10">
        <f>IF(Tank4!$C$23="No control",(SUMIF(Tank4!$B$32:$B$49,$J1088,Tank4!$C$32:$C$49)*Impacts!$F$11),0)</f>
        <v>0</v>
      </c>
      <c r="P1088" s="10">
        <f>IF(Tank5!$C$23="No control",(SUMIF(Tank5!$B$32:$B$49,$J1088,Tank5!$C$32:$C$49)*Impacts!$F$12),0)</f>
        <v>0</v>
      </c>
      <c r="Q1088" s="10">
        <f>IFERROR(IF(('Loading-drum,tote'!$C$21)="No control",SUMIF(('Loading-drum,tote'!$B$31:$B$48),$J1088,('Loading-drum,tote'!$D$31:$D$48))*Impacts!$F$13,IF(('Loading-drum,tote'!$C$21)&lt;&gt;"No control",SUMIF(('Loading-drum,tote'!$B$31:$B$48),$J1088,('Loading-drum,tote'!$E$31:$E$48))*Impacts!$F$13,0)),0)</f>
        <v>0</v>
      </c>
      <c r="R1088" s="10">
        <f>IFERROR(IF(('Loading-truck'!$C$21)="No control",SUMIF(('Loading-truck'!$B$31:$B$48),$J1088,('Loading-truck'!$D$31:$D$48))*Impacts!$F$14,IF(('Loading-truck'!$C$21)&lt;&gt;"No control",SUMIF(('Loading-truck'!$B$31:$B$48),$J1088,('Loading-truck'!$E$31:$E$48))*Impacts!$F$14,0)),0)</f>
        <v>0</v>
      </c>
      <c r="S1088" s="10">
        <f>IFERROR(IF(('Loading-rail'!$C$21)="No control",SUMIF(('Loading-rail'!$B$31:$B$48),$J1088,('Loading-rail'!$D$31:$D$48))*Impacts!$F$15,IF(('Loading-rail'!$C$21)&lt;&gt;"No control",SUMIF(('Loading-rail'!$B$31:$B$48),$J1088,('Loading-rail'!$E$31:$E$48))*Impacts!$F$15,0)),0)</f>
        <v>0</v>
      </c>
      <c r="T1088" s="10">
        <f>IF(Flare!$C$7="",0,(SUMIF(Flare!$B$46:$B$185,$J1088,Flare!$E$46:$E$185)*Impacts!$F$16))</f>
        <v>0</v>
      </c>
      <c r="U1088" s="10">
        <f>IF(VCU!$C$9="",0,(SUMIF(VCU!$B$51:$B$193,$J1088,VCU!$E$51:$E$193)*Impacts!$F$17))</f>
        <v>0</v>
      </c>
      <c r="V1088" s="10">
        <f>IF(CAS!$C$7="",0,(SUMIF(CAS!$B$31:$B$167,$J1088,CAS!$E$31:$E$167)*Impacts!$F$18))</f>
        <v>0</v>
      </c>
      <c r="W1088" s="10">
        <f t="shared" si="58"/>
        <v>0</v>
      </c>
      <c r="AK1088" s="10" t="str">
        <f t="array" ref="AK1088">IFERROR(INDEX(SelectedSpecies,SMALL(IF(SelectedSpecies=AK$1,ROW(SelectedSpecies)),ROW(1089:1089)),2),"")</f>
        <v/>
      </c>
      <c r="BE1088" s="10"/>
      <c r="BI1088" s="10"/>
    </row>
    <row r="1089" spans="1:61" ht="21" customHeight="1" x14ac:dyDescent="0.25">
      <c r="A1089" s="10"/>
      <c r="B1089" s="10"/>
      <c r="E1089" s="10"/>
      <c r="G1089" s="10"/>
      <c r="I1089" s="436" t="s">
        <v>497</v>
      </c>
      <c r="J1089" s="26" t="s">
        <v>496</v>
      </c>
      <c r="K1089" s="10">
        <v>100</v>
      </c>
      <c r="L1089" s="73">
        <f>IF(Tank1!$C$23="No control",(SUMIF(Tank1!$B$32:$B$49,$J1089,Tank1!$C$32:$C$49)*Impacts!$F$8),0)</f>
        <v>0</v>
      </c>
      <c r="M1089" s="10">
        <f>IF(Tank2!$C$23="No control",(SUMIF(Tank2!$B$32:$B$49,$J1089,Tank2!$C$32:$C$49)*Impacts!$F$9),0)</f>
        <v>0</v>
      </c>
      <c r="N1089" s="10">
        <f>IF(Tank3!$C$23="No control",(SUMIF(Tank3!$B$32:$B$49,$J1089,Tank3!$C$32:$C$49)*Impacts!$F$10),0)</f>
        <v>0</v>
      </c>
      <c r="O1089" s="10">
        <f>IF(Tank4!$C$23="No control",(SUMIF(Tank4!$B$32:$B$49,$J1089,Tank4!$C$32:$C$49)*Impacts!$F$11),0)</f>
        <v>0</v>
      </c>
      <c r="P1089" s="10">
        <f>IF(Tank5!$C$23="No control",(SUMIF(Tank5!$B$32:$B$49,$J1089,Tank5!$C$32:$C$49)*Impacts!$F$12),0)</f>
        <v>0</v>
      </c>
      <c r="Q1089" s="10">
        <f>IFERROR(IF(('Loading-drum,tote'!$C$21)="No control",SUMIF(('Loading-drum,tote'!$B$31:$B$48),$J1089,('Loading-drum,tote'!$D$31:$D$48))*Impacts!$F$13,IF(('Loading-drum,tote'!$C$21)&lt;&gt;"No control",SUMIF(('Loading-drum,tote'!$B$31:$B$48),$J1089,('Loading-drum,tote'!$E$31:$E$48))*Impacts!$F$13,0)),0)</f>
        <v>0</v>
      </c>
      <c r="R1089" s="10">
        <f>IFERROR(IF(('Loading-truck'!$C$21)="No control",SUMIF(('Loading-truck'!$B$31:$B$48),$J1089,('Loading-truck'!$D$31:$D$48))*Impacts!$F$14,IF(('Loading-truck'!$C$21)&lt;&gt;"No control",SUMIF(('Loading-truck'!$B$31:$B$48),$J1089,('Loading-truck'!$E$31:$E$48))*Impacts!$F$14,0)),0)</f>
        <v>0</v>
      </c>
      <c r="S1089" s="10">
        <f>IFERROR(IF(('Loading-rail'!$C$21)="No control",SUMIF(('Loading-rail'!$B$31:$B$48),$J1089,('Loading-rail'!$D$31:$D$48))*Impacts!$F$15,IF(('Loading-rail'!$C$21)&lt;&gt;"No control",SUMIF(('Loading-rail'!$B$31:$B$48),$J1089,('Loading-rail'!$E$31:$E$48))*Impacts!$F$15,0)),0)</f>
        <v>0</v>
      </c>
      <c r="T1089" s="10">
        <f>IF(Flare!$C$7="",0,(SUMIF(Flare!$B$46:$B$185,$J1089,Flare!$E$46:$E$185)*Impacts!$F$16))</f>
        <v>0</v>
      </c>
      <c r="U1089" s="10">
        <f>IF(VCU!$C$9="",0,(SUMIF(VCU!$B$51:$B$193,$J1089,VCU!$E$51:$E$193)*Impacts!$F$17))</f>
        <v>0</v>
      </c>
      <c r="V1089" s="10">
        <f>IF(CAS!$C$7="",0,(SUMIF(CAS!$B$31:$B$167,$J1089,CAS!$E$31:$E$167)*Impacts!$F$18))</f>
        <v>0</v>
      </c>
      <c r="W1089" s="10">
        <f t="shared" si="58"/>
        <v>0</v>
      </c>
      <c r="AK1089" s="10" t="str">
        <f t="array" ref="AK1089">IFERROR(INDEX(SelectedSpecies,SMALL(IF(SelectedSpecies=AK$1,ROW(SelectedSpecies)),ROW(1090:1090)),2),"")</f>
        <v/>
      </c>
      <c r="BE1089" s="10"/>
      <c r="BI1089" s="10"/>
    </row>
    <row r="1090" spans="1:61" ht="21" customHeight="1" x14ac:dyDescent="0.25">
      <c r="A1090" s="10"/>
      <c r="B1090" s="10"/>
      <c r="E1090" s="10"/>
      <c r="G1090" s="10"/>
      <c r="I1090" s="436" t="s">
        <v>5143</v>
      </c>
      <c r="J1090" s="26" t="s">
        <v>5142</v>
      </c>
      <c r="K1090" s="10">
        <v>2</v>
      </c>
      <c r="L1090" s="73">
        <f>IF(Tank1!$C$23="No control",(SUMIF(Tank1!$B$32:$B$49,$J1090,Tank1!$C$32:$C$49)*Impacts!$F$8),0)</f>
        <v>0</v>
      </c>
      <c r="M1090" s="10">
        <f>IF(Tank2!$C$23="No control",(SUMIF(Tank2!$B$32:$B$49,$J1090,Tank2!$C$32:$C$49)*Impacts!$F$9),0)</f>
        <v>0</v>
      </c>
      <c r="N1090" s="10">
        <f>IF(Tank3!$C$23="No control",(SUMIF(Tank3!$B$32:$B$49,$J1090,Tank3!$C$32:$C$49)*Impacts!$F$10),0)</f>
        <v>0</v>
      </c>
      <c r="O1090" s="10">
        <f>IF(Tank4!$C$23="No control",(SUMIF(Tank4!$B$32:$B$49,$J1090,Tank4!$C$32:$C$49)*Impacts!$F$11),0)</f>
        <v>0</v>
      </c>
      <c r="P1090" s="10">
        <f>IF(Tank5!$C$23="No control",(SUMIF(Tank5!$B$32:$B$49,$J1090,Tank5!$C$32:$C$49)*Impacts!$F$12),0)</f>
        <v>0</v>
      </c>
      <c r="Q1090" s="10">
        <f>IFERROR(IF(('Loading-drum,tote'!$C$21)="No control",SUMIF(('Loading-drum,tote'!$B$31:$B$48),$J1090,('Loading-drum,tote'!$D$31:$D$48))*Impacts!$F$13,IF(('Loading-drum,tote'!$C$21)&lt;&gt;"No control",SUMIF(('Loading-drum,tote'!$B$31:$B$48),$J1090,('Loading-drum,tote'!$E$31:$E$48))*Impacts!$F$13,0)),0)</f>
        <v>0</v>
      </c>
      <c r="R1090" s="10">
        <f>IFERROR(IF(('Loading-truck'!$C$21)="No control",SUMIF(('Loading-truck'!$B$31:$B$48),$J1090,('Loading-truck'!$D$31:$D$48))*Impacts!$F$14,IF(('Loading-truck'!$C$21)&lt;&gt;"No control",SUMIF(('Loading-truck'!$B$31:$B$48),$J1090,('Loading-truck'!$E$31:$E$48))*Impacts!$F$14,0)),0)</f>
        <v>0</v>
      </c>
      <c r="S1090" s="10">
        <f>IFERROR(IF(('Loading-rail'!$C$21)="No control",SUMIF(('Loading-rail'!$B$31:$B$48),$J1090,('Loading-rail'!$D$31:$D$48))*Impacts!$F$15,IF(('Loading-rail'!$C$21)&lt;&gt;"No control",SUMIF(('Loading-rail'!$B$31:$B$48),$J1090,('Loading-rail'!$E$31:$E$48))*Impacts!$F$15,0)),0)</f>
        <v>0</v>
      </c>
      <c r="T1090" s="10">
        <f>IF(Flare!$C$7="",0,(SUMIF(Flare!$B$46:$B$185,$J1090,Flare!$E$46:$E$185)*Impacts!$F$16))</f>
        <v>0</v>
      </c>
      <c r="U1090" s="10">
        <f>IF(VCU!$C$9="",0,(SUMIF(VCU!$B$51:$B$193,$J1090,VCU!$E$51:$E$193)*Impacts!$F$17))</f>
        <v>0</v>
      </c>
      <c r="V1090" s="10">
        <f>IF(CAS!$C$7="",0,(SUMIF(CAS!$B$31:$B$167,$J1090,CAS!$E$31:$E$167)*Impacts!$F$18))</f>
        <v>0</v>
      </c>
      <c r="W1090" s="10">
        <f t="shared" si="58"/>
        <v>0</v>
      </c>
      <c r="AK1090" s="10" t="str">
        <f t="array" ref="AK1090">IFERROR(INDEX(SelectedSpecies,SMALL(IF(SelectedSpecies=AK$1,ROW(SelectedSpecies)),ROW(1091:1091)),2),"")</f>
        <v/>
      </c>
      <c r="BE1090" s="10"/>
      <c r="BI1090" s="10"/>
    </row>
    <row r="1091" spans="1:61" ht="21" customHeight="1" x14ac:dyDescent="0.25">
      <c r="A1091" s="10"/>
      <c r="B1091" s="10"/>
      <c r="E1091" s="10"/>
      <c r="G1091" s="10"/>
      <c r="I1091" s="436" t="s">
        <v>7328</v>
      </c>
      <c r="J1091" s="26" t="s">
        <v>7327</v>
      </c>
      <c r="K1091" s="10">
        <v>0.27</v>
      </c>
      <c r="L1091" s="73">
        <f>IF(Tank1!$C$23="No control",(SUMIF(Tank1!$B$32:$B$49,$J1091,Tank1!$C$32:$C$49)*Impacts!$F$8),0)</f>
        <v>0</v>
      </c>
      <c r="M1091" s="10">
        <f>IF(Tank2!$C$23="No control",(SUMIF(Tank2!$B$32:$B$49,$J1091,Tank2!$C$32:$C$49)*Impacts!$F$9),0)</f>
        <v>0</v>
      </c>
      <c r="N1091" s="10">
        <f>IF(Tank3!$C$23="No control",(SUMIF(Tank3!$B$32:$B$49,$J1091,Tank3!$C$32:$C$49)*Impacts!$F$10),0)</f>
        <v>0</v>
      </c>
      <c r="O1091" s="10">
        <f>IF(Tank4!$C$23="No control",(SUMIF(Tank4!$B$32:$B$49,$J1091,Tank4!$C$32:$C$49)*Impacts!$F$11),0)</f>
        <v>0</v>
      </c>
      <c r="P1091" s="10">
        <f>IF(Tank5!$C$23="No control",(SUMIF(Tank5!$B$32:$B$49,$J1091,Tank5!$C$32:$C$49)*Impacts!$F$12),0)</f>
        <v>0</v>
      </c>
      <c r="Q1091" s="10">
        <f>IFERROR(IF(('Loading-drum,tote'!$C$21)="No control",SUMIF(('Loading-drum,tote'!$B$31:$B$48),$J1091,('Loading-drum,tote'!$D$31:$D$48))*Impacts!$F$13,IF(('Loading-drum,tote'!$C$21)&lt;&gt;"No control",SUMIF(('Loading-drum,tote'!$B$31:$B$48),$J1091,('Loading-drum,tote'!$E$31:$E$48))*Impacts!$F$13,0)),0)</f>
        <v>0</v>
      </c>
      <c r="R1091" s="10">
        <f>IFERROR(IF(('Loading-truck'!$C$21)="No control",SUMIF(('Loading-truck'!$B$31:$B$48),$J1091,('Loading-truck'!$D$31:$D$48))*Impacts!$F$14,IF(('Loading-truck'!$C$21)&lt;&gt;"No control",SUMIF(('Loading-truck'!$B$31:$B$48),$J1091,('Loading-truck'!$E$31:$E$48))*Impacts!$F$14,0)),0)</f>
        <v>0</v>
      </c>
      <c r="S1091" s="10">
        <f>IFERROR(IF(('Loading-rail'!$C$21)="No control",SUMIF(('Loading-rail'!$B$31:$B$48),$J1091,('Loading-rail'!$D$31:$D$48))*Impacts!$F$15,IF(('Loading-rail'!$C$21)&lt;&gt;"No control",SUMIF(('Loading-rail'!$B$31:$B$48),$J1091,('Loading-rail'!$E$31:$E$48))*Impacts!$F$15,0)),0)</f>
        <v>0</v>
      </c>
      <c r="T1091" s="10">
        <f>IF(Flare!$C$7="",0,(SUMIF(Flare!$B$46:$B$185,$J1091,Flare!$E$46:$E$185)*Impacts!$F$16))</f>
        <v>0</v>
      </c>
      <c r="U1091" s="10">
        <f>IF(VCU!$C$9="",0,(SUMIF(VCU!$B$51:$B$193,$J1091,VCU!$E$51:$E$193)*Impacts!$F$17))</f>
        <v>0</v>
      </c>
      <c r="V1091" s="10">
        <f>IF(CAS!$C$7="",0,(SUMIF(CAS!$B$31:$B$167,$J1091,CAS!$E$31:$E$167)*Impacts!$F$18))</f>
        <v>0</v>
      </c>
      <c r="W1091" s="10">
        <f t="shared" ref="W1091:W1154" si="59">SUM(L1091:V1091)</f>
        <v>0</v>
      </c>
      <c r="AK1091" s="10" t="str">
        <f t="array" ref="AK1091">IFERROR(INDEX(SelectedSpecies,SMALL(IF(SelectedSpecies=AK$1,ROW(SelectedSpecies)),ROW(1092:1092)),2),"")</f>
        <v/>
      </c>
      <c r="BE1091" s="10"/>
      <c r="BI1091" s="10"/>
    </row>
    <row r="1092" spans="1:61" ht="21" customHeight="1" x14ac:dyDescent="0.25">
      <c r="A1092" s="10"/>
      <c r="B1092" s="10"/>
      <c r="E1092" s="10"/>
      <c r="G1092" s="10"/>
      <c r="I1092" s="436" t="s">
        <v>2751</v>
      </c>
      <c r="J1092" s="26" t="s">
        <v>2750</v>
      </c>
      <c r="K1092" s="10">
        <v>10</v>
      </c>
      <c r="L1092" s="73">
        <f>IF(Tank1!$C$23="No control",(SUMIF(Tank1!$B$32:$B$49,$J1092,Tank1!$C$32:$C$49)*Impacts!$F$8),0)</f>
        <v>0</v>
      </c>
      <c r="M1092" s="10">
        <f>IF(Tank2!$C$23="No control",(SUMIF(Tank2!$B$32:$B$49,$J1092,Tank2!$C$32:$C$49)*Impacts!$F$9),0)</f>
        <v>0</v>
      </c>
      <c r="N1092" s="10">
        <f>IF(Tank3!$C$23="No control",(SUMIF(Tank3!$B$32:$B$49,$J1092,Tank3!$C$32:$C$49)*Impacts!$F$10),0)</f>
        <v>0</v>
      </c>
      <c r="O1092" s="10">
        <f>IF(Tank4!$C$23="No control",(SUMIF(Tank4!$B$32:$B$49,$J1092,Tank4!$C$32:$C$49)*Impacts!$F$11),0)</f>
        <v>0</v>
      </c>
      <c r="P1092" s="10">
        <f>IF(Tank5!$C$23="No control",(SUMIF(Tank5!$B$32:$B$49,$J1092,Tank5!$C$32:$C$49)*Impacts!$F$12),0)</f>
        <v>0</v>
      </c>
      <c r="Q1092" s="10">
        <f>IFERROR(IF(('Loading-drum,tote'!$C$21)="No control",SUMIF(('Loading-drum,tote'!$B$31:$B$48),$J1092,('Loading-drum,tote'!$D$31:$D$48))*Impacts!$F$13,IF(('Loading-drum,tote'!$C$21)&lt;&gt;"No control",SUMIF(('Loading-drum,tote'!$B$31:$B$48),$J1092,('Loading-drum,tote'!$E$31:$E$48))*Impacts!$F$13,0)),0)</f>
        <v>0</v>
      </c>
      <c r="R1092" s="10">
        <f>IFERROR(IF(('Loading-truck'!$C$21)="No control",SUMIF(('Loading-truck'!$B$31:$B$48),$J1092,('Loading-truck'!$D$31:$D$48))*Impacts!$F$14,IF(('Loading-truck'!$C$21)&lt;&gt;"No control",SUMIF(('Loading-truck'!$B$31:$B$48),$J1092,('Loading-truck'!$E$31:$E$48))*Impacts!$F$14,0)),0)</f>
        <v>0</v>
      </c>
      <c r="S1092" s="10">
        <f>IFERROR(IF(('Loading-rail'!$C$21)="No control",SUMIF(('Loading-rail'!$B$31:$B$48),$J1092,('Loading-rail'!$D$31:$D$48))*Impacts!$F$15,IF(('Loading-rail'!$C$21)&lt;&gt;"No control",SUMIF(('Loading-rail'!$B$31:$B$48),$J1092,('Loading-rail'!$E$31:$E$48))*Impacts!$F$15,0)),0)</f>
        <v>0</v>
      </c>
      <c r="T1092" s="10">
        <f>IF(Flare!$C$7="",0,(SUMIF(Flare!$B$46:$B$185,$J1092,Flare!$E$46:$E$185)*Impacts!$F$16))</f>
        <v>0</v>
      </c>
      <c r="U1092" s="10">
        <f>IF(VCU!$C$9="",0,(SUMIF(VCU!$B$51:$B$193,$J1092,VCU!$E$51:$E$193)*Impacts!$F$17))</f>
        <v>0</v>
      </c>
      <c r="V1092" s="10">
        <f>IF(CAS!$C$7="",0,(SUMIF(CAS!$B$31:$B$167,$J1092,CAS!$E$31:$E$167)*Impacts!$F$18))</f>
        <v>0</v>
      </c>
      <c r="W1092" s="10">
        <f t="shared" si="59"/>
        <v>0</v>
      </c>
      <c r="AK1092" s="10" t="str">
        <f t="array" ref="AK1092">IFERROR(INDEX(SelectedSpecies,SMALL(IF(SelectedSpecies=AK$1,ROW(SelectedSpecies)),ROW(1093:1093)),2),"")</f>
        <v/>
      </c>
      <c r="BE1092" s="10"/>
      <c r="BI1092" s="10"/>
    </row>
    <row r="1093" spans="1:61" ht="21" customHeight="1" x14ac:dyDescent="0.25">
      <c r="A1093" s="10"/>
      <c r="B1093" s="10"/>
      <c r="E1093" s="10"/>
      <c r="G1093" s="10"/>
      <c r="I1093" s="436" t="s">
        <v>463</v>
      </c>
      <c r="J1093" s="26" t="s">
        <v>462</v>
      </c>
      <c r="K1093" s="10">
        <v>163</v>
      </c>
      <c r="L1093" s="73">
        <f>IF(Tank1!$C$23="No control",(SUMIF(Tank1!$B$32:$B$49,$J1093,Tank1!$C$32:$C$49)*Impacts!$F$8),0)</f>
        <v>0</v>
      </c>
      <c r="M1093" s="10">
        <f>IF(Tank2!$C$23="No control",(SUMIF(Tank2!$B$32:$B$49,$J1093,Tank2!$C$32:$C$49)*Impacts!$F$9),0)</f>
        <v>0</v>
      </c>
      <c r="N1093" s="10">
        <f>IF(Tank3!$C$23="No control",(SUMIF(Tank3!$B$32:$B$49,$J1093,Tank3!$C$32:$C$49)*Impacts!$F$10),0)</f>
        <v>0</v>
      </c>
      <c r="O1093" s="10">
        <f>IF(Tank4!$C$23="No control",(SUMIF(Tank4!$B$32:$B$49,$J1093,Tank4!$C$32:$C$49)*Impacts!$F$11),0)</f>
        <v>0</v>
      </c>
      <c r="P1093" s="10">
        <f>IF(Tank5!$C$23="No control",(SUMIF(Tank5!$B$32:$B$49,$J1093,Tank5!$C$32:$C$49)*Impacts!$F$12),0)</f>
        <v>0</v>
      </c>
      <c r="Q1093" s="10">
        <f>IFERROR(IF(('Loading-drum,tote'!$C$21)="No control",SUMIF(('Loading-drum,tote'!$B$31:$B$48),$J1093,('Loading-drum,tote'!$D$31:$D$48))*Impacts!$F$13,IF(('Loading-drum,tote'!$C$21)&lt;&gt;"No control",SUMIF(('Loading-drum,tote'!$B$31:$B$48),$J1093,('Loading-drum,tote'!$E$31:$E$48))*Impacts!$F$13,0)),0)</f>
        <v>0</v>
      </c>
      <c r="R1093" s="10">
        <f>IFERROR(IF(('Loading-truck'!$C$21)="No control",SUMIF(('Loading-truck'!$B$31:$B$48),$J1093,('Loading-truck'!$D$31:$D$48))*Impacts!$F$14,IF(('Loading-truck'!$C$21)&lt;&gt;"No control",SUMIF(('Loading-truck'!$B$31:$B$48),$J1093,('Loading-truck'!$E$31:$E$48))*Impacts!$F$14,0)),0)</f>
        <v>0</v>
      </c>
      <c r="S1093" s="10">
        <f>IFERROR(IF(('Loading-rail'!$C$21)="No control",SUMIF(('Loading-rail'!$B$31:$B$48),$J1093,('Loading-rail'!$D$31:$D$48))*Impacts!$F$15,IF(('Loading-rail'!$C$21)&lt;&gt;"No control",SUMIF(('Loading-rail'!$B$31:$B$48),$J1093,('Loading-rail'!$E$31:$E$48))*Impacts!$F$15,0)),0)</f>
        <v>0</v>
      </c>
      <c r="T1093" s="10">
        <f>IF(Flare!$C$7="",0,(SUMIF(Flare!$B$46:$B$185,$J1093,Flare!$E$46:$E$185)*Impacts!$F$16))</f>
        <v>0</v>
      </c>
      <c r="U1093" s="10">
        <f>IF(VCU!$C$9="",0,(SUMIF(VCU!$B$51:$B$193,$J1093,VCU!$E$51:$E$193)*Impacts!$F$17))</f>
        <v>0</v>
      </c>
      <c r="V1093" s="10">
        <f>IF(CAS!$C$7="",0,(SUMIF(CAS!$B$31:$B$167,$J1093,CAS!$E$31:$E$167)*Impacts!$F$18))</f>
        <v>0</v>
      </c>
      <c r="W1093" s="10">
        <f t="shared" si="59"/>
        <v>0</v>
      </c>
      <c r="AK1093" s="10" t="str">
        <f t="array" ref="AK1093">IFERROR(INDEX(SelectedSpecies,SMALL(IF(SelectedSpecies=AK$1,ROW(SelectedSpecies)),ROW(1094:1094)),2),"")</f>
        <v/>
      </c>
      <c r="BE1093" s="10"/>
      <c r="BI1093" s="10"/>
    </row>
    <row r="1094" spans="1:61" ht="21" customHeight="1" x14ac:dyDescent="0.25">
      <c r="A1094" s="10"/>
      <c r="B1094" s="10"/>
      <c r="E1094" s="10"/>
      <c r="G1094" s="10"/>
      <c r="I1094" s="436" t="s">
        <v>499</v>
      </c>
      <c r="J1094" s="26" t="s">
        <v>498</v>
      </c>
      <c r="K1094" s="10">
        <v>100</v>
      </c>
      <c r="L1094" s="73">
        <f>IF(Tank1!$C$23="No control",(SUMIF(Tank1!$B$32:$B$49,$J1094,Tank1!$C$32:$C$49)*Impacts!$F$8),0)</f>
        <v>0</v>
      </c>
      <c r="M1094" s="10">
        <f>IF(Tank2!$C$23="No control",(SUMIF(Tank2!$B$32:$B$49,$J1094,Tank2!$C$32:$C$49)*Impacts!$F$9),0)</f>
        <v>0</v>
      </c>
      <c r="N1094" s="10">
        <f>IF(Tank3!$C$23="No control",(SUMIF(Tank3!$B$32:$B$49,$J1094,Tank3!$C$32:$C$49)*Impacts!$F$10),0)</f>
        <v>0</v>
      </c>
      <c r="O1094" s="10">
        <f>IF(Tank4!$C$23="No control",(SUMIF(Tank4!$B$32:$B$49,$J1094,Tank4!$C$32:$C$49)*Impacts!$F$11),0)</f>
        <v>0</v>
      </c>
      <c r="P1094" s="10">
        <f>IF(Tank5!$C$23="No control",(SUMIF(Tank5!$B$32:$B$49,$J1094,Tank5!$C$32:$C$49)*Impacts!$F$12),0)</f>
        <v>0</v>
      </c>
      <c r="Q1094" s="10">
        <f>IFERROR(IF(('Loading-drum,tote'!$C$21)="No control",SUMIF(('Loading-drum,tote'!$B$31:$B$48),$J1094,('Loading-drum,tote'!$D$31:$D$48))*Impacts!$F$13,IF(('Loading-drum,tote'!$C$21)&lt;&gt;"No control",SUMIF(('Loading-drum,tote'!$B$31:$B$48),$J1094,('Loading-drum,tote'!$E$31:$E$48))*Impacts!$F$13,0)),0)</f>
        <v>0</v>
      </c>
      <c r="R1094" s="10">
        <f>IFERROR(IF(('Loading-truck'!$C$21)="No control",SUMIF(('Loading-truck'!$B$31:$B$48),$J1094,('Loading-truck'!$D$31:$D$48))*Impacts!$F$14,IF(('Loading-truck'!$C$21)&lt;&gt;"No control",SUMIF(('Loading-truck'!$B$31:$B$48),$J1094,('Loading-truck'!$E$31:$E$48))*Impacts!$F$14,0)),0)</f>
        <v>0</v>
      </c>
      <c r="S1094" s="10">
        <f>IFERROR(IF(('Loading-rail'!$C$21)="No control",SUMIF(('Loading-rail'!$B$31:$B$48),$J1094,('Loading-rail'!$D$31:$D$48))*Impacts!$F$15,IF(('Loading-rail'!$C$21)&lt;&gt;"No control",SUMIF(('Loading-rail'!$B$31:$B$48),$J1094,('Loading-rail'!$E$31:$E$48))*Impacts!$F$15,0)),0)</f>
        <v>0</v>
      </c>
      <c r="T1094" s="10">
        <f>IF(Flare!$C$7="",0,(SUMIF(Flare!$B$46:$B$185,$J1094,Flare!$E$46:$E$185)*Impacts!$F$16))</f>
        <v>0</v>
      </c>
      <c r="U1094" s="10">
        <f>IF(VCU!$C$9="",0,(SUMIF(VCU!$B$51:$B$193,$J1094,VCU!$E$51:$E$193)*Impacts!$F$17))</f>
        <v>0</v>
      </c>
      <c r="V1094" s="10">
        <f>IF(CAS!$C$7="",0,(SUMIF(CAS!$B$31:$B$167,$J1094,CAS!$E$31:$E$167)*Impacts!$F$18))</f>
        <v>0</v>
      </c>
      <c r="W1094" s="10">
        <f t="shared" si="59"/>
        <v>0</v>
      </c>
      <c r="AK1094" s="10" t="str">
        <f t="array" ref="AK1094">IFERROR(INDEX(SelectedSpecies,SMALL(IF(SelectedSpecies=AK$1,ROW(SelectedSpecies)),ROW(1095:1095)),2),"")</f>
        <v/>
      </c>
      <c r="BE1094" s="10"/>
      <c r="BI1094" s="10"/>
    </row>
    <row r="1095" spans="1:61" ht="21" customHeight="1" x14ac:dyDescent="0.25">
      <c r="A1095" s="10"/>
      <c r="B1095" s="10"/>
      <c r="E1095" s="10"/>
      <c r="G1095" s="10"/>
      <c r="I1095" s="436" t="s">
        <v>6778</v>
      </c>
      <c r="J1095" s="26" t="s">
        <v>6777</v>
      </c>
      <c r="K1095" s="10">
        <v>0.5</v>
      </c>
      <c r="L1095" s="73">
        <f>IF(Tank1!$C$23="No control",(SUMIF(Tank1!$B$32:$B$49,$J1095,Tank1!$C$32:$C$49)*Impacts!$F$8),0)</f>
        <v>0</v>
      </c>
      <c r="M1095" s="10">
        <f>IF(Tank2!$C$23="No control",(SUMIF(Tank2!$B$32:$B$49,$J1095,Tank2!$C$32:$C$49)*Impacts!$F$9),0)</f>
        <v>0</v>
      </c>
      <c r="N1095" s="10">
        <f>IF(Tank3!$C$23="No control",(SUMIF(Tank3!$B$32:$B$49,$J1095,Tank3!$C$32:$C$49)*Impacts!$F$10),0)</f>
        <v>0</v>
      </c>
      <c r="O1095" s="10">
        <f>IF(Tank4!$C$23="No control",(SUMIF(Tank4!$B$32:$B$49,$J1095,Tank4!$C$32:$C$49)*Impacts!$F$11),0)</f>
        <v>0</v>
      </c>
      <c r="P1095" s="10">
        <f>IF(Tank5!$C$23="No control",(SUMIF(Tank5!$B$32:$B$49,$J1095,Tank5!$C$32:$C$49)*Impacts!$F$12),0)</f>
        <v>0</v>
      </c>
      <c r="Q1095" s="10">
        <f>IFERROR(IF(('Loading-drum,tote'!$C$21)="No control",SUMIF(('Loading-drum,tote'!$B$31:$B$48),$J1095,('Loading-drum,tote'!$D$31:$D$48))*Impacts!$F$13,IF(('Loading-drum,tote'!$C$21)&lt;&gt;"No control",SUMIF(('Loading-drum,tote'!$B$31:$B$48),$J1095,('Loading-drum,tote'!$E$31:$E$48))*Impacts!$F$13,0)),0)</f>
        <v>0</v>
      </c>
      <c r="R1095" s="10">
        <f>IFERROR(IF(('Loading-truck'!$C$21)="No control",SUMIF(('Loading-truck'!$B$31:$B$48),$J1095,('Loading-truck'!$D$31:$D$48))*Impacts!$F$14,IF(('Loading-truck'!$C$21)&lt;&gt;"No control",SUMIF(('Loading-truck'!$B$31:$B$48),$J1095,('Loading-truck'!$E$31:$E$48))*Impacts!$F$14,0)),0)</f>
        <v>0</v>
      </c>
      <c r="S1095" s="10">
        <f>IFERROR(IF(('Loading-rail'!$C$21)="No control",SUMIF(('Loading-rail'!$B$31:$B$48),$J1095,('Loading-rail'!$D$31:$D$48))*Impacts!$F$15,IF(('Loading-rail'!$C$21)&lt;&gt;"No control",SUMIF(('Loading-rail'!$B$31:$B$48),$J1095,('Loading-rail'!$E$31:$E$48))*Impacts!$F$15,0)),0)</f>
        <v>0</v>
      </c>
      <c r="T1095" s="10">
        <f>IF(Flare!$C$7="",0,(SUMIF(Flare!$B$46:$B$185,$J1095,Flare!$E$46:$E$185)*Impacts!$F$16))</f>
        <v>0</v>
      </c>
      <c r="U1095" s="10">
        <f>IF(VCU!$C$9="",0,(SUMIF(VCU!$B$51:$B$193,$J1095,VCU!$E$51:$E$193)*Impacts!$F$17))</f>
        <v>0</v>
      </c>
      <c r="V1095" s="10">
        <f>IF(CAS!$C$7="",0,(SUMIF(CAS!$B$31:$B$167,$J1095,CAS!$E$31:$E$167)*Impacts!$F$18))</f>
        <v>0</v>
      </c>
      <c r="W1095" s="10">
        <f t="shared" si="59"/>
        <v>0</v>
      </c>
      <c r="AK1095" s="10" t="str">
        <f t="array" ref="AK1095">IFERROR(INDEX(SelectedSpecies,SMALL(IF(SelectedSpecies=AK$1,ROW(SelectedSpecies)),ROW(1096:1096)),2),"")</f>
        <v/>
      </c>
      <c r="BE1095" s="10"/>
      <c r="BI1095" s="10"/>
    </row>
    <row r="1096" spans="1:61" ht="21" customHeight="1" x14ac:dyDescent="0.25">
      <c r="A1096" s="10"/>
      <c r="B1096" s="10"/>
      <c r="E1096" s="10"/>
      <c r="G1096" s="10"/>
      <c r="I1096" s="436" t="s">
        <v>3581</v>
      </c>
      <c r="J1096" s="26" t="s">
        <v>3580</v>
      </c>
      <c r="K1096" s="10">
        <v>8</v>
      </c>
      <c r="L1096" s="73">
        <f>IF(Tank1!$C$23="No control",(SUMIF(Tank1!$B$32:$B$49,$J1096,Tank1!$C$32:$C$49)*Impacts!$F$8),0)</f>
        <v>0</v>
      </c>
      <c r="M1096" s="10">
        <f>IF(Tank2!$C$23="No control",(SUMIF(Tank2!$B$32:$B$49,$J1096,Tank2!$C$32:$C$49)*Impacts!$F$9),0)</f>
        <v>0</v>
      </c>
      <c r="N1096" s="10">
        <f>IF(Tank3!$C$23="No control",(SUMIF(Tank3!$B$32:$B$49,$J1096,Tank3!$C$32:$C$49)*Impacts!$F$10),0)</f>
        <v>0</v>
      </c>
      <c r="O1096" s="10">
        <f>IF(Tank4!$C$23="No control",(SUMIF(Tank4!$B$32:$B$49,$J1096,Tank4!$C$32:$C$49)*Impacts!$F$11),0)</f>
        <v>0</v>
      </c>
      <c r="P1096" s="10">
        <f>IF(Tank5!$C$23="No control",(SUMIF(Tank5!$B$32:$B$49,$J1096,Tank5!$C$32:$C$49)*Impacts!$F$12),0)</f>
        <v>0</v>
      </c>
      <c r="Q1096" s="10">
        <f>IFERROR(IF(('Loading-drum,tote'!$C$21)="No control",SUMIF(('Loading-drum,tote'!$B$31:$B$48),$J1096,('Loading-drum,tote'!$D$31:$D$48))*Impacts!$F$13,IF(('Loading-drum,tote'!$C$21)&lt;&gt;"No control",SUMIF(('Loading-drum,tote'!$B$31:$B$48),$J1096,('Loading-drum,tote'!$E$31:$E$48))*Impacts!$F$13,0)),0)</f>
        <v>0</v>
      </c>
      <c r="R1096" s="10">
        <f>IFERROR(IF(('Loading-truck'!$C$21)="No control",SUMIF(('Loading-truck'!$B$31:$B$48),$J1096,('Loading-truck'!$D$31:$D$48))*Impacts!$F$14,IF(('Loading-truck'!$C$21)&lt;&gt;"No control",SUMIF(('Loading-truck'!$B$31:$B$48),$J1096,('Loading-truck'!$E$31:$E$48))*Impacts!$F$14,0)),0)</f>
        <v>0</v>
      </c>
      <c r="S1096" s="10">
        <f>IFERROR(IF(('Loading-rail'!$C$21)="No control",SUMIF(('Loading-rail'!$B$31:$B$48),$J1096,('Loading-rail'!$D$31:$D$48))*Impacts!$F$15,IF(('Loading-rail'!$C$21)&lt;&gt;"No control",SUMIF(('Loading-rail'!$B$31:$B$48),$J1096,('Loading-rail'!$E$31:$E$48))*Impacts!$F$15,0)),0)</f>
        <v>0</v>
      </c>
      <c r="T1096" s="10">
        <f>IF(Flare!$C$7="",0,(SUMIF(Flare!$B$46:$B$185,$J1096,Flare!$E$46:$E$185)*Impacts!$F$16))</f>
        <v>0</v>
      </c>
      <c r="U1096" s="10">
        <f>IF(VCU!$C$9="",0,(SUMIF(VCU!$B$51:$B$193,$J1096,VCU!$E$51:$E$193)*Impacts!$F$17))</f>
        <v>0</v>
      </c>
      <c r="V1096" s="10">
        <f>IF(CAS!$C$7="",0,(SUMIF(CAS!$B$31:$B$167,$J1096,CAS!$E$31:$E$167)*Impacts!$F$18))</f>
        <v>0</v>
      </c>
      <c r="W1096" s="10">
        <f t="shared" si="59"/>
        <v>0</v>
      </c>
      <c r="AK1096" s="10" t="str">
        <f t="array" ref="AK1096">IFERROR(INDEX(SelectedSpecies,SMALL(IF(SelectedSpecies=AK$1,ROW(SelectedSpecies)),ROW(1097:1097)),2),"")</f>
        <v/>
      </c>
      <c r="BE1096" s="10"/>
      <c r="BI1096" s="10"/>
    </row>
    <row r="1097" spans="1:61" ht="21" customHeight="1" x14ac:dyDescent="0.25">
      <c r="A1097" s="10"/>
      <c r="B1097" s="10"/>
      <c r="E1097" s="10"/>
      <c r="G1097" s="10"/>
      <c r="I1097" s="436" t="s">
        <v>5403</v>
      </c>
      <c r="J1097" s="26" t="s">
        <v>5402</v>
      </c>
      <c r="K1097" s="10">
        <v>1.4000000000000001</v>
      </c>
      <c r="L1097" s="73">
        <f>IF(Tank1!$C$23="No control",(SUMIF(Tank1!$B$32:$B$49,$J1097,Tank1!$C$32:$C$49)*Impacts!$F$8),0)</f>
        <v>0</v>
      </c>
      <c r="M1097" s="10">
        <f>IF(Tank2!$C$23="No control",(SUMIF(Tank2!$B$32:$B$49,$J1097,Tank2!$C$32:$C$49)*Impacts!$F$9),0)</f>
        <v>0</v>
      </c>
      <c r="N1097" s="10">
        <f>IF(Tank3!$C$23="No control",(SUMIF(Tank3!$B$32:$B$49,$J1097,Tank3!$C$32:$C$49)*Impacts!$F$10),0)</f>
        <v>0</v>
      </c>
      <c r="O1097" s="10">
        <f>IF(Tank4!$C$23="No control",(SUMIF(Tank4!$B$32:$B$49,$J1097,Tank4!$C$32:$C$49)*Impacts!$F$11),0)</f>
        <v>0</v>
      </c>
      <c r="P1097" s="10">
        <f>IF(Tank5!$C$23="No control",(SUMIF(Tank5!$B$32:$B$49,$J1097,Tank5!$C$32:$C$49)*Impacts!$F$12),0)</f>
        <v>0</v>
      </c>
      <c r="Q1097" s="10">
        <f>IFERROR(IF(('Loading-drum,tote'!$C$21)="No control",SUMIF(('Loading-drum,tote'!$B$31:$B$48),$J1097,('Loading-drum,tote'!$D$31:$D$48))*Impacts!$F$13,IF(('Loading-drum,tote'!$C$21)&lt;&gt;"No control",SUMIF(('Loading-drum,tote'!$B$31:$B$48),$J1097,('Loading-drum,tote'!$E$31:$E$48))*Impacts!$F$13,0)),0)</f>
        <v>0</v>
      </c>
      <c r="R1097" s="10">
        <f>IFERROR(IF(('Loading-truck'!$C$21)="No control",SUMIF(('Loading-truck'!$B$31:$B$48),$J1097,('Loading-truck'!$D$31:$D$48))*Impacts!$F$14,IF(('Loading-truck'!$C$21)&lt;&gt;"No control",SUMIF(('Loading-truck'!$B$31:$B$48),$J1097,('Loading-truck'!$E$31:$E$48))*Impacts!$F$14,0)),0)</f>
        <v>0</v>
      </c>
      <c r="S1097" s="10">
        <f>IFERROR(IF(('Loading-rail'!$C$21)="No control",SUMIF(('Loading-rail'!$B$31:$B$48),$J1097,('Loading-rail'!$D$31:$D$48))*Impacts!$F$15,IF(('Loading-rail'!$C$21)&lt;&gt;"No control",SUMIF(('Loading-rail'!$B$31:$B$48),$J1097,('Loading-rail'!$E$31:$E$48))*Impacts!$F$15,0)),0)</f>
        <v>0</v>
      </c>
      <c r="T1097" s="10">
        <f>IF(Flare!$C$7="",0,(SUMIF(Flare!$B$46:$B$185,$J1097,Flare!$E$46:$E$185)*Impacts!$F$16))</f>
        <v>0</v>
      </c>
      <c r="U1097" s="10">
        <f>IF(VCU!$C$9="",0,(SUMIF(VCU!$B$51:$B$193,$J1097,VCU!$E$51:$E$193)*Impacts!$F$17))</f>
        <v>0</v>
      </c>
      <c r="V1097" s="10">
        <f>IF(CAS!$C$7="",0,(SUMIF(CAS!$B$31:$B$167,$J1097,CAS!$E$31:$E$167)*Impacts!$F$18))</f>
        <v>0</v>
      </c>
      <c r="W1097" s="10">
        <f t="shared" si="59"/>
        <v>0</v>
      </c>
      <c r="AK1097" s="10" t="str">
        <f t="array" ref="AK1097">IFERROR(INDEX(SelectedSpecies,SMALL(IF(SelectedSpecies=AK$1,ROW(SelectedSpecies)),ROW(1098:1098)),2),"")</f>
        <v/>
      </c>
      <c r="BE1097" s="10"/>
      <c r="BI1097" s="10"/>
    </row>
    <row r="1098" spans="1:61" ht="21" customHeight="1" x14ac:dyDescent="0.25">
      <c r="A1098" s="10"/>
      <c r="B1098" s="10"/>
      <c r="E1098" s="10"/>
      <c r="G1098" s="10"/>
      <c r="I1098" s="436" t="s">
        <v>7472</v>
      </c>
      <c r="J1098" s="26" t="s">
        <v>7471</v>
      </c>
      <c r="K1098" s="10">
        <v>0.2</v>
      </c>
      <c r="L1098" s="73">
        <f>IF(Tank1!$C$23="No control",(SUMIF(Tank1!$B$32:$B$49,$J1098,Tank1!$C$32:$C$49)*Impacts!$F$8),0)</f>
        <v>0</v>
      </c>
      <c r="M1098" s="10">
        <f>IF(Tank2!$C$23="No control",(SUMIF(Tank2!$B$32:$B$49,$J1098,Tank2!$C$32:$C$49)*Impacts!$F$9),0)</f>
        <v>0</v>
      </c>
      <c r="N1098" s="10">
        <f>IF(Tank3!$C$23="No control",(SUMIF(Tank3!$B$32:$B$49,$J1098,Tank3!$C$32:$C$49)*Impacts!$F$10),0)</f>
        <v>0</v>
      </c>
      <c r="O1098" s="10">
        <f>IF(Tank4!$C$23="No control",(SUMIF(Tank4!$B$32:$B$49,$J1098,Tank4!$C$32:$C$49)*Impacts!$F$11),0)</f>
        <v>0</v>
      </c>
      <c r="P1098" s="10">
        <f>IF(Tank5!$C$23="No control",(SUMIF(Tank5!$B$32:$B$49,$J1098,Tank5!$C$32:$C$49)*Impacts!$F$12),0)</f>
        <v>0</v>
      </c>
      <c r="Q1098" s="10">
        <f>IFERROR(IF(('Loading-drum,tote'!$C$21)="No control",SUMIF(('Loading-drum,tote'!$B$31:$B$48),$J1098,('Loading-drum,tote'!$D$31:$D$48))*Impacts!$F$13,IF(('Loading-drum,tote'!$C$21)&lt;&gt;"No control",SUMIF(('Loading-drum,tote'!$B$31:$B$48),$J1098,('Loading-drum,tote'!$E$31:$E$48))*Impacts!$F$13,0)),0)</f>
        <v>0</v>
      </c>
      <c r="R1098" s="10">
        <f>IFERROR(IF(('Loading-truck'!$C$21)="No control",SUMIF(('Loading-truck'!$B$31:$B$48),$J1098,('Loading-truck'!$D$31:$D$48))*Impacts!$F$14,IF(('Loading-truck'!$C$21)&lt;&gt;"No control",SUMIF(('Loading-truck'!$B$31:$B$48),$J1098,('Loading-truck'!$E$31:$E$48))*Impacts!$F$14,0)),0)</f>
        <v>0</v>
      </c>
      <c r="S1098" s="10">
        <f>IFERROR(IF(('Loading-rail'!$C$21)="No control",SUMIF(('Loading-rail'!$B$31:$B$48),$J1098,('Loading-rail'!$D$31:$D$48))*Impacts!$F$15,IF(('Loading-rail'!$C$21)&lt;&gt;"No control",SUMIF(('Loading-rail'!$B$31:$B$48),$J1098,('Loading-rail'!$E$31:$E$48))*Impacts!$F$15,0)),0)</f>
        <v>0</v>
      </c>
      <c r="T1098" s="10">
        <f>IF(Flare!$C$7="",0,(SUMIF(Flare!$B$46:$B$185,$J1098,Flare!$E$46:$E$185)*Impacts!$F$16))</f>
        <v>0</v>
      </c>
      <c r="U1098" s="10">
        <f>IF(VCU!$C$9="",0,(SUMIF(VCU!$B$51:$B$193,$J1098,VCU!$E$51:$E$193)*Impacts!$F$17))</f>
        <v>0</v>
      </c>
      <c r="V1098" s="10">
        <f>IF(CAS!$C$7="",0,(SUMIF(CAS!$B$31:$B$167,$J1098,CAS!$E$31:$E$167)*Impacts!$F$18))</f>
        <v>0</v>
      </c>
      <c r="W1098" s="10">
        <f t="shared" si="59"/>
        <v>0</v>
      </c>
      <c r="AK1098" s="10" t="str">
        <f t="array" ref="AK1098">IFERROR(INDEX(SelectedSpecies,SMALL(IF(SelectedSpecies=AK$1,ROW(SelectedSpecies)),ROW(1099:1099)),2),"")</f>
        <v/>
      </c>
      <c r="BE1098" s="10"/>
      <c r="BI1098" s="10"/>
    </row>
    <row r="1099" spans="1:61" ht="21" customHeight="1" x14ac:dyDescent="0.25">
      <c r="A1099" s="10"/>
      <c r="B1099" s="10"/>
      <c r="E1099" s="10"/>
      <c r="G1099" s="10"/>
      <c r="I1099" s="436" t="s">
        <v>7474</v>
      </c>
      <c r="J1099" s="26" t="s">
        <v>7473</v>
      </c>
      <c r="K1099" s="10">
        <v>0.2</v>
      </c>
      <c r="L1099" s="73">
        <f>IF(Tank1!$C$23="No control",(SUMIF(Tank1!$B$32:$B$49,$J1099,Tank1!$C$32:$C$49)*Impacts!$F$8),0)</f>
        <v>0</v>
      </c>
      <c r="M1099" s="10">
        <f>IF(Tank2!$C$23="No control",(SUMIF(Tank2!$B$32:$B$49,$J1099,Tank2!$C$32:$C$49)*Impacts!$F$9),0)</f>
        <v>0</v>
      </c>
      <c r="N1099" s="10">
        <f>IF(Tank3!$C$23="No control",(SUMIF(Tank3!$B$32:$B$49,$J1099,Tank3!$C$32:$C$49)*Impacts!$F$10),0)</f>
        <v>0</v>
      </c>
      <c r="O1099" s="10">
        <f>IF(Tank4!$C$23="No control",(SUMIF(Tank4!$B$32:$B$49,$J1099,Tank4!$C$32:$C$49)*Impacts!$F$11),0)</f>
        <v>0</v>
      </c>
      <c r="P1099" s="10">
        <f>IF(Tank5!$C$23="No control",(SUMIF(Tank5!$B$32:$B$49,$J1099,Tank5!$C$32:$C$49)*Impacts!$F$12),0)</f>
        <v>0</v>
      </c>
      <c r="Q1099" s="10">
        <f>IFERROR(IF(('Loading-drum,tote'!$C$21)="No control",SUMIF(('Loading-drum,tote'!$B$31:$B$48),$J1099,('Loading-drum,tote'!$D$31:$D$48))*Impacts!$F$13,IF(('Loading-drum,tote'!$C$21)&lt;&gt;"No control",SUMIF(('Loading-drum,tote'!$B$31:$B$48),$J1099,('Loading-drum,tote'!$E$31:$E$48))*Impacts!$F$13,0)),0)</f>
        <v>0</v>
      </c>
      <c r="R1099" s="10">
        <f>IFERROR(IF(('Loading-truck'!$C$21)="No control",SUMIF(('Loading-truck'!$B$31:$B$48),$J1099,('Loading-truck'!$D$31:$D$48))*Impacts!$F$14,IF(('Loading-truck'!$C$21)&lt;&gt;"No control",SUMIF(('Loading-truck'!$B$31:$B$48),$J1099,('Loading-truck'!$E$31:$E$48))*Impacts!$F$14,0)),0)</f>
        <v>0</v>
      </c>
      <c r="S1099" s="10">
        <f>IFERROR(IF(('Loading-rail'!$C$21)="No control",SUMIF(('Loading-rail'!$B$31:$B$48),$J1099,('Loading-rail'!$D$31:$D$48))*Impacts!$F$15,IF(('Loading-rail'!$C$21)&lt;&gt;"No control",SUMIF(('Loading-rail'!$B$31:$B$48),$J1099,('Loading-rail'!$E$31:$E$48))*Impacts!$F$15,0)),0)</f>
        <v>0</v>
      </c>
      <c r="T1099" s="10">
        <f>IF(Flare!$C$7="",0,(SUMIF(Flare!$B$46:$B$185,$J1099,Flare!$E$46:$E$185)*Impacts!$F$16))</f>
        <v>0</v>
      </c>
      <c r="U1099" s="10">
        <f>IF(VCU!$C$9="",0,(SUMIF(VCU!$B$51:$B$193,$J1099,VCU!$E$51:$E$193)*Impacts!$F$17))</f>
        <v>0</v>
      </c>
      <c r="V1099" s="10">
        <f>IF(CAS!$C$7="",0,(SUMIF(CAS!$B$31:$B$167,$J1099,CAS!$E$31:$E$167)*Impacts!$F$18))</f>
        <v>0</v>
      </c>
      <c r="W1099" s="10">
        <f t="shared" si="59"/>
        <v>0</v>
      </c>
      <c r="AK1099" s="10" t="str">
        <f t="array" ref="AK1099">IFERROR(INDEX(SelectedSpecies,SMALL(IF(SelectedSpecies=AK$1,ROW(SelectedSpecies)),ROW(1100:1100)),2),"")</f>
        <v/>
      </c>
      <c r="BE1099" s="10"/>
      <c r="BI1099" s="10"/>
    </row>
    <row r="1100" spans="1:61" ht="21" customHeight="1" x14ac:dyDescent="0.25">
      <c r="A1100" s="10"/>
      <c r="B1100" s="10"/>
      <c r="E1100" s="10"/>
      <c r="G1100" s="10"/>
      <c r="I1100" s="436" t="s">
        <v>7834</v>
      </c>
      <c r="J1100" s="26" t="s">
        <v>7833</v>
      </c>
      <c r="K1100" s="10">
        <v>7.5000000000000011E-2</v>
      </c>
      <c r="L1100" s="73">
        <f>IF(Tank1!$C$23="No control",(SUMIF(Tank1!$B$32:$B$49,$J1100,Tank1!$C$32:$C$49)*Impacts!$F$8),0)</f>
        <v>0</v>
      </c>
      <c r="M1100" s="10">
        <f>IF(Tank2!$C$23="No control",(SUMIF(Tank2!$B$32:$B$49,$J1100,Tank2!$C$32:$C$49)*Impacts!$F$9),0)</f>
        <v>0</v>
      </c>
      <c r="N1100" s="10">
        <f>IF(Tank3!$C$23="No control",(SUMIF(Tank3!$B$32:$B$49,$J1100,Tank3!$C$32:$C$49)*Impacts!$F$10),0)</f>
        <v>0</v>
      </c>
      <c r="O1100" s="10">
        <f>IF(Tank4!$C$23="No control",(SUMIF(Tank4!$B$32:$B$49,$J1100,Tank4!$C$32:$C$49)*Impacts!$F$11),0)</f>
        <v>0</v>
      </c>
      <c r="P1100" s="10">
        <f>IF(Tank5!$C$23="No control",(SUMIF(Tank5!$B$32:$B$49,$J1100,Tank5!$C$32:$C$49)*Impacts!$F$12),0)</f>
        <v>0</v>
      </c>
      <c r="Q1100" s="10">
        <f>IFERROR(IF(('Loading-drum,tote'!$C$21)="No control",SUMIF(('Loading-drum,tote'!$B$31:$B$48),$J1100,('Loading-drum,tote'!$D$31:$D$48))*Impacts!$F$13,IF(('Loading-drum,tote'!$C$21)&lt;&gt;"No control",SUMIF(('Loading-drum,tote'!$B$31:$B$48),$J1100,('Loading-drum,tote'!$E$31:$E$48))*Impacts!$F$13,0)),0)</f>
        <v>0</v>
      </c>
      <c r="R1100" s="10">
        <f>IFERROR(IF(('Loading-truck'!$C$21)="No control",SUMIF(('Loading-truck'!$B$31:$B$48),$J1100,('Loading-truck'!$D$31:$D$48))*Impacts!$F$14,IF(('Loading-truck'!$C$21)&lt;&gt;"No control",SUMIF(('Loading-truck'!$B$31:$B$48),$J1100,('Loading-truck'!$E$31:$E$48))*Impacts!$F$14,0)),0)</f>
        <v>0</v>
      </c>
      <c r="S1100" s="10">
        <f>IFERROR(IF(('Loading-rail'!$C$21)="No control",SUMIF(('Loading-rail'!$B$31:$B$48),$J1100,('Loading-rail'!$D$31:$D$48))*Impacts!$F$15,IF(('Loading-rail'!$C$21)&lt;&gt;"No control",SUMIF(('Loading-rail'!$B$31:$B$48),$J1100,('Loading-rail'!$E$31:$E$48))*Impacts!$F$15,0)),0)</f>
        <v>0</v>
      </c>
      <c r="T1100" s="10">
        <f>IF(Flare!$C$7="",0,(SUMIF(Flare!$B$46:$B$185,$J1100,Flare!$E$46:$E$185)*Impacts!$F$16))</f>
        <v>0</v>
      </c>
      <c r="U1100" s="10">
        <f>IF(VCU!$C$9="",0,(SUMIF(VCU!$B$51:$B$193,$J1100,VCU!$E$51:$E$193)*Impacts!$F$17))</f>
        <v>0</v>
      </c>
      <c r="V1100" s="10">
        <f>IF(CAS!$C$7="",0,(SUMIF(CAS!$B$31:$B$167,$J1100,CAS!$E$31:$E$167)*Impacts!$F$18))</f>
        <v>0</v>
      </c>
      <c r="W1100" s="10">
        <f t="shared" si="59"/>
        <v>0</v>
      </c>
      <c r="AK1100" s="10" t="str">
        <f t="array" ref="AK1100">IFERROR(INDEX(SelectedSpecies,SMALL(IF(SelectedSpecies=AK$1,ROW(SelectedSpecies)),ROW(1101:1101)),2),"")</f>
        <v/>
      </c>
      <c r="BE1100" s="10"/>
      <c r="BI1100" s="10"/>
    </row>
    <row r="1101" spans="1:61" ht="21" customHeight="1" x14ac:dyDescent="0.25">
      <c r="A1101" s="10"/>
      <c r="B1101" s="10"/>
      <c r="E1101" s="10"/>
      <c r="G1101" s="10"/>
      <c r="I1101" s="436" t="s">
        <v>3483</v>
      </c>
      <c r="J1101" s="26" t="s">
        <v>3482</v>
      </c>
      <c r="K1101" s="10">
        <v>9.4</v>
      </c>
      <c r="L1101" s="73">
        <f>IF(Tank1!$C$23="No control",(SUMIF(Tank1!$B$32:$B$49,$J1101,Tank1!$C$32:$C$49)*Impacts!$F$8),0)</f>
        <v>0</v>
      </c>
      <c r="M1101" s="10">
        <f>IF(Tank2!$C$23="No control",(SUMIF(Tank2!$B$32:$B$49,$J1101,Tank2!$C$32:$C$49)*Impacts!$F$9),0)</f>
        <v>0</v>
      </c>
      <c r="N1101" s="10">
        <f>IF(Tank3!$C$23="No control",(SUMIF(Tank3!$B$32:$B$49,$J1101,Tank3!$C$32:$C$49)*Impacts!$F$10),0)</f>
        <v>0</v>
      </c>
      <c r="O1101" s="10">
        <f>IF(Tank4!$C$23="No control",(SUMIF(Tank4!$B$32:$B$49,$J1101,Tank4!$C$32:$C$49)*Impacts!$F$11),0)</f>
        <v>0</v>
      </c>
      <c r="P1101" s="10">
        <f>IF(Tank5!$C$23="No control",(SUMIF(Tank5!$B$32:$B$49,$J1101,Tank5!$C$32:$C$49)*Impacts!$F$12),0)</f>
        <v>0</v>
      </c>
      <c r="Q1101" s="10">
        <f>IFERROR(IF(('Loading-drum,tote'!$C$21)="No control",SUMIF(('Loading-drum,tote'!$B$31:$B$48),$J1101,('Loading-drum,tote'!$D$31:$D$48))*Impacts!$F$13,IF(('Loading-drum,tote'!$C$21)&lt;&gt;"No control",SUMIF(('Loading-drum,tote'!$B$31:$B$48),$J1101,('Loading-drum,tote'!$E$31:$E$48))*Impacts!$F$13,0)),0)</f>
        <v>0</v>
      </c>
      <c r="R1101" s="10">
        <f>IFERROR(IF(('Loading-truck'!$C$21)="No control",SUMIF(('Loading-truck'!$B$31:$B$48),$J1101,('Loading-truck'!$D$31:$D$48))*Impacts!$F$14,IF(('Loading-truck'!$C$21)&lt;&gt;"No control",SUMIF(('Loading-truck'!$B$31:$B$48),$J1101,('Loading-truck'!$E$31:$E$48))*Impacts!$F$14,0)),0)</f>
        <v>0</v>
      </c>
      <c r="S1101" s="10">
        <f>IFERROR(IF(('Loading-rail'!$C$21)="No control",SUMIF(('Loading-rail'!$B$31:$B$48),$J1101,('Loading-rail'!$D$31:$D$48))*Impacts!$F$15,IF(('Loading-rail'!$C$21)&lt;&gt;"No control",SUMIF(('Loading-rail'!$B$31:$B$48),$J1101,('Loading-rail'!$E$31:$E$48))*Impacts!$F$15,0)),0)</f>
        <v>0</v>
      </c>
      <c r="T1101" s="10">
        <f>IF(Flare!$C$7="",0,(SUMIF(Flare!$B$46:$B$185,$J1101,Flare!$E$46:$E$185)*Impacts!$F$16))</f>
        <v>0</v>
      </c>
      <c r="U1101" s="10">
        <f>IF(VCU!$C$9="",0,(SUMIF(VCU!$B$51:$B$193,$J1101,VCU!$E$51:$E$193)*Impacts!$F$17))</f>
        <v>0</v>
      </c>
      <c r="V1101" s="10">
        <f>IF(CAS!$C$7="",0,(SUMIF(CAS!$B$31:$B$167,$J1101,CAS!$E$31:$E$167)*Impacts!$F$18))</f>
        <v>0</v>
      </c>
      <c r="W1101" s="10">
        <f t="shared" si="59"/>
        <v>0</v>
      </c>
      <c r="AK1101" s="10" t="str">
        <f t="array" ref="AK1101">IFERROR(INDEX(SelectedSpecies,SMALL(IF(SelectedSpecies=AK$1,ROW(SelectedSpecies)),ROW(1102:1102)),2),"")</f>
        <v/>
      </c>
      <c r="BE1101" s="10"/>
      <c r="BI1101" s="10"/>
    </row>
    <row r="1102" spans="1:61" ht="21" customHeight="1" x14ac:dyDescent="0.25">
      <c r="A1102" s="10"/>
      <c r="B1102" s="10"/>
      <c r="E1102" s="10"/>
      <c r="G1102" s="10"/>
      <c r="I1102" s="436" t="s">
        <v>660</v>
      </c>
      <c r="J1102" s="26" t="s">
        <v>659</v>
      </c>
      <c r="K1102" s="10">
        <v>34</v>
      </c>
      <c r="L1102" s="73">
        <f>IF(Tank1!$C$23="No control",(SUMIF(Tank1!$B$32:$B$49,$J1102,Tank1!$C$32:$C$49)*Impacts!$F$8),0)</f>
        <v>0</v>
      </c>
      <c r="M1102" s="10">
        <f>IF(Tank2!$C$23="No control",(SUMIF(Tank2!$B$32:$B$49,$J1102,Tank2!$C$32:$C$49)*Impacts!$F$9),0)</f>
        <v>0</v>
      </c>
      <c r="N1102" s="10">
        <f>IF(Tank3!$C$23="No control",(SUMIF(Tank3!$B$32:$B$49,$J1102,Tank3!$C$32:$C$49)*Impacts!$F$10),0)</f>
        <v>0</v>
      </c>
      <c r="O1102" s="10">
        <f>IF(Tank4!$C$23="No control",(SUMIF(Tank4!$B$32:$B$49,$J1102,Tank4!$C$32:$C$49)*Impacts!$F$11),0)</f>
        <v>0</v>
      </c>
      <c r="P1102" s="10">
        <f>IF(Tank5!$C$23="No control",(SUMIF(Tank5!$B$32:$B$49,$J1102,Tank5!$C$32:$C$49)*Impacts!$F$12),0)</f>
        <v>0</v>
      </c>
      <c r="Q1102" s="10">
        <f>IFERROR(IF(('Loading-drum,tote'!$C$21)="No control",SUMIF(('Loading-drum,tote'!$B$31:$B$48),$J1102,('Loading-drum,tote'!$D$31:$D$48))*Impacts!$F$13,IF(('Loading-drum,tote'!$C$21)&lt;&gt;"No control",SUMIF(('Loading-drum,tote'!$B$31:$B$48),$J1102,('Loading-drum,tote'!$E$31:$E$48))*Impacts!$F$13,0)),0)</f>
        <v>0</v>
      </c>
      <c r="R1102" s="10">
        <f>IFERROR(IF(('Loading-truck'!$C$21)="No control",SUMIF(('Loading-truck'!$B$31:$B$48),$J1102,('Loading-truck'!$D$31:$D$48))*Impacts!$F$14,IF(('Loading-truck'!$C$21)&lt;&gt;"No control",SUMIF(('Loading-truck'!$B$31:$B$48),$J1102,('Loading-truck'!$E$31:$E$48))*Impacts!$F$14,0)),0)</f>
        <v>0</v>
      </c>
      <c r="S1102" s="10">
        <f>IFERROR(IF(('Loading-rail'!$C$21)="No control",SUMIF(('Loading-rail'!$B$31:$B$48),$J1102,('Loading-rail'!$D$31:$D$48))*Impacts!$F$15,IF(('Loading-rail'!$C$21)&lt;&gt;"No control",SUMIF(('Loading-rail'!$B$31:$B$48),$J1102,('Loading-rail'!$E$31:$E$48))*Impacts!$F$15,0)),0)</f>
        <v>0</v>
      </c>
      <c r="T1102" s="10">
        <f>IF(Flare!$C$7="",0,(SUMIF(Flare!$B$46:$B$185,$J1102,Flare!$E$46:$E$185)*Impacts!$F$16))</f>
        <v>0</v>
      </c>
      <c r="U1102" s="10">
        <f>IF(VCU!$C$9="",0,(SUMIF(VCU!$B$51:$B$193,$J1102,VCU!$E$51:$E$193)*Impacts!$F$17))</f>
        <v>0</v>
      </c>
      <c r="V1102" s="10">
        <f>IF(CAS!$C$7="",0,(SUMIF(CAS!$B$31:$B$167,$J1102,CAS!$E$31:$E$167)*Impacts!$F$18))</f>
        <v>0</v>
      </c>
      <c r="W1102" s="10">
        <f t="shared" si="59"/>
        <v>0</v>
      </c>
      <c r="AK1102" s="10" t="str">
        <f t="array" ref="AK1102">IFERROR(INDEX(SelectedSpecies,SMALL(IF(SelectedSpecies=AK$1,ROW(SelectedSpecies)),ROW(1103:1103)),2),"")</f>
        <v/>
      </c>
      <c r="BE1102" s="10"/>
      <c r="BI1102" s="10"/>
    </row>
    <row r="1103" spans="1:61" ht="21" customHeight="1" x14ac:dyDescent="0.25">
      <c r="A1103" s="10"/>
      <c r="B1103" s="10"/>
      <c r="E1103" s="10"/>
      <c r="G1103" s="10"/>
      <c r="I1103" s="436" t="s">
        <v>870</v>
      </c>
      <c r="J1103" s="26" t="s">
        <v>869</v>
      </c>
      <c r="K1103" s="10">
        <v>45</v>
      </c>
      <c r="L1103" s="73">
        <f>IF(Tank1!$C$23="No control",(SUMIF(Tank1!$B$32:$B$49,$J1103,Tank1!$C$32:$C$49)*Impacts!$F$8),0)</f>
        <v>0</v>
      </c>
      <c r="M1103" s="10">
        <f>IF(Tank2!$C$23="No control",(SUMIF(Tank2!$B$32:$B$49,$J1103,Tank2!$C$32:$C$49)*Impacts!$F$9),0)</f>
        <v>0</v>
      </c>
      <c r="N1103" s="10">
        <f>IF(Tank3!$C$23="No control",(SUMIF(Tank3!$B$32:$B$49,$J1103,Tank3!$C$32:$C$49)*Impacts!$F$10),0)</f>
        <v>0</v>
      </c>
      <c r="O1103" s="10">
        <f>IF(Tank4!$C$23="No control",(SUMIF(Tank4!$B$32:$B$49,$J1103,Tank4!$C$32:$C$49)*Impacts!$F$11),0)</f>
        <v>0</v>
      </c>
      <c r="P1103" s="10">
        <f>IF(Tank5!$C$23="No control",(SUMIF(Tank5!$B$32:$B$49,$J1103,Tank5!$C$32:$C$49)*Impacts!$F$12),0)</f>
        <v>0</v>
      </c>
      <c r="Q1103" s="10">
        <f>IFERROR(IF(('Loading-drum,tote'!$C$21)="No control",SUMIF(('Loading-drum,tote'!$B$31:$B$48),$J1103,('Loading-drum,tote'!$D$31:$D$48))*Impacts!$F$13,IF(('Loading-drum,tote'!$C$21)&lt;&gt;"No control",SUMIF(('Loading-drum,tote'!$B$31:$B$48),$J1103,('Loading-drum,tote'!$E$31:$E$48))*Impacts!$F$13,0)),0)</f>
        <v>0</v>
      </c>
      <c r="R1103" s="10">
        <f>IFERROR(IF(('Loading-truck'!$C$21)="No control",SUMIF(('Loading-truck'!$B$31:$B$48),$J1103,('Loading-truck'!$D$31:$D$48))*Impacts!$F$14,IF(('Loading-truck'!$C$21)&lt;&gt;"No control",SUMIF(('Loading-truck'!$B$31:$B$48),$J1103,('Loading-truck'!$E$31:$E$48))*Impacts!$F$14,0)),0)</f>
        <v>0</v>
      </c>
      <c r="S1103" s="10">
        <f>IFERROR(IF(('Loading-rail'!$C$21)="No control",SUMIF(('Loading-rail'!$B$31:$B$48),$J1103,('Loading-rail'!$D$31:$D$48))*Impacts!$F$15,IF(('Loading-rail'!$C$21)&lt;&gt;"No control",SUMIF(('Loading-rail'!$B$31:$B$48),$J1103,('Loading-rail'!$E$31:$E$48))*Impacts!$F$15,0)),0)</f>
        <v>0</v>
      </c>
      <c r="T1103" s="10">
        <f>IF(Flare!$C$7="",0,(SUMIF(Flare!$B$46:$B$185,$J1103,Flare!$E$46:$E$185)*Impacts!$F$16))</f>
        <v>0</v>
      </c>
      <c r="U1103" s="10">
        <f>IF(VCU!$C$9="",0,(SUMIF(VCU!$B$51:$B$193,$J1103,VCU!$E$51:$E$193)*Impacts!$F$17))</f>
        <v>0</v>
      </c>
      <c r="V1103" s="10">
        <f>IF(CAS!$C$7="",0,(SUMIF(CAS!$B$31:$B$167,$J1103,CAS!$E$31:$E$167)*Impacts!$F$18))</f>
        <v>0</v>
      </c>
      <c r="W1103" s="10">
        <f t="shared" si="59"/>
        <v>0</v>
      </c>
      <c r="AK1103" s="10" t="str">
        <f t="array" ref="AK1103">IFERROR(INDEX(SelectedSpecies,SMALL(IF(SelectedSpecies=AK$1,ROW(SelectedSpecies)),ROW(1104:1104)),2),"")</f>
        <v/>
      </c>
      <c r="BE1103" s="10"/>
      <c r="BI1103" s="10"/>
    </row>
    <row r="1104" spans="1:61" ht="21" customHeight="1" x14ac:dyDescent="0.25">
      <c r="A1104" s="10"/>
      <c r="B1104" s="10"/>
      <c r="E1104" s="10"/>
      <c r="G1104" s="10"/>
      <c r="I1104" s="436" t="s">
        <v>872</v>
      </c>
      <c r="J1104" s="26" t="s">
        <v>871</v>
      </c>
      <c r="K1104" s="10">
        <v>45</v>
      </c>
      <c r="L1104" s="73">
        <f>IF(Tank1!$C$23="No control",(SUMIF(Tank1!$B$32:$B$49,$J1104,Tank1!$C$32:$C$49)*Impacts!$F$8),0)</f>
        <v>0</v>
      </c>
      <c r="M1104" s="10">
        <f>IF(Tank2!$C$23="No control",(SUMIF(Tank2!$B$32:$B$49,$J1104,Tank2!$C$32:$C$49)*Impacts!$F$9),0)</f>
        <v>0</v>
      </c>
      <c r="N1104" s="10">
        <f>IF(Tank3!$C$23="No control",(SUMIF(Tank3!$B$32:$B$49,$J1104,Tank3!$C$32:$C$49)*Impacts!$F$10),0)</f>
        <v>0</v>
      </c>
      <c r="O1104" s="10">
        <f>IF(Tank4!$C$23="No control",(SUMIF(Tank4!$B$32:$B$49,$J1104,Tank4!$C$32:$C$49)*Impacts!$F$11),0)</f>
        <v>0</v>
      </c>
      <c r="P1104" s="10">
        <f>IF(Tank5!$C$23="No control",(SUMIF(Tank5!$B$32:$B$49,$J1104,Tank5!$C$32:$C$49)*Impacts!$F$12),0)</f>
        <v>0</v>
      </c>
      <c r="Q1104" s="10">
        <f>IFERROR(IF(('Loading-drum,tote'!$C$21)="No control",SUMIF(('Loading-drum,tote'!$B$31:$B$48),$J1104,('Loading-drum,tote'!$D$31:$D$48))*Impacts!$F$13,IF(('Loading-drum,tote'!$C$21)&lt;&gt;"No control",SUMIF(('Loading-drum,tote'!$B$31:$B$48),$J1104,('Loading-drum,tote'!$E$31:$E$48))*Impacts!$F$13,0)),0)</f>
        <v>0</v>
      </c>
      <c r="R1104" s="10">
        <f>IFERROR(IF(('Loading-truck'!$C$21)="No control",SUMIF(('Loading-truck'!$B$31:$B$48),$J1104,('Loading-truck'!$D$31:$D$48))*Impacts!$F$14,IF(('Loading-truck'!$C$21)&lt;&gt;"No control",SUMIF(('Loading-truck'!$B$31:$B$48),$J1104,('Loading-truck'!$E$31:$E$48))*Impacts!$F$14,0)),0)</f>
        <v>0</v>
      </c>
      <c r="S1104" s="10">
        <f>IFERROR(IF(('Loading-rail'!$C$21)="No control",SUMIF(('Loading-rail'!$B$31:$B$48),$J1104,('Loading-rail'!$D$31:$D$48))*Impacts!$F$15,IF(('Loading-rail'!$C$21)&lt;&gt;"No control",SUMIF(('Loading-rail'!$B$31:$B$48),$J1104,('Loading-rail'!$E$31:$E$48))*Impacts!$F$15,0)),0)</f>
        <v>0</v>
      </c>
      <c r="T1104" s="10">
        <f>IF(Flare!$C$7="",0,(SUMIF(Flare!$B$46:$B$185,$J1104,Flare!$E$46:$E$185)*Impacts!$F$16))</f>
        <v>0</v>
      </c>
      <c r="U1104" s="10">
        <f>IF(VCU!$C$9="",0,(SUMIF(VCU!$B$51:$B$193,$J1104,VCU!$E$51:$E$193)*Impacts!$F$17))</f>
        <v>0</v>
      </c>
      <c r="V1104" s="10">
        <f>IF(CAS!$C$7="",0,(SUMIF(CAS!$B$31:$B$167,$J1104,CAS!$E$31:$E$167)*Impacts!$F$18))</f>
        <v>0</v>
      </c>
      <c r="W1104" s="10">
        <f t="shared" si="59"/>
        <v>0</v>
      </c>
      <c r="AK1104" s="10" t="str">
        <f t="array" ref="AK1104">IFERROR(INDEX(SelectedSpecies,SMALL(IF(SelectedSpecies=AK$1,ROW(SelectedSpecies)),ROW(1105:1105)),2),"")</f>
        <v/>
      </c>
      <c r="BE1104" s="10"/>
      <c r="BI1104" s="10"/>
    </row>
    <row r="1105" spans="1:61" ht="21" customHeight="1" x14ac:dyDescent="0.25">
      <c r="A1105" s="10"/>
      <c r="B1105" s="10"/>
      <c r="E1105" s="10"/>
      <c r="G1105" s="10"/>
      <c r="I1105" s="436" t="s">
        <v>874</v>
      </c>
      <c r="J1105" s="26" t="s">
        <v>873</v>
      </c>
      <c r="K1105" s="10">
        <v>45</v>
      </c>
      <c r="L1105" s="73">
        <f>IF(Tank1!$C$23="No control",(SUMIF(Tank1!$B$32:$B$49,$J1105,Tank1!$C$32:$C$49)*Impacts!$F$8),0)</f>
        <v>0</v>
      </c>
      <c r="M1105" s="10">
        <f>IF(Tank2!$C$23="No control",(SUMIF(Tank2!$B$32:$B$49,$J1105,Tank2!$C$32:$C$49)*Impacts!$F$9),0)</f>
        <v>0</v>
      </c>
      <c r="N1105" s="10">
        <f>IF(Tank3!$C$23="No control",(SUMIF(Tank3!$B$32:$B$49,$J1105,Tank3!$C$32:$C$49)*Impacts!$F$10),0)</f>
        <v>0</v>
      </c>
      <c r="O1105" s="10">
        <f>IF(Tank4!$C$23="No control",(SUMIF(Tank4!$B$32:$B$49,$J1105,Tank4!$C$32:$C$49)*Impacts!$F$11),0)</f>
        <v>0</v>
      </c>
      <c r="P1105" s="10">
        <f>IF(Tank5!$C$23="No control",(SUMIF(Tank5!$B$32:$B$49,$J1105,Tank5!$C$32:$C$49)*Impacts!$F$12),0)</f>
        <v>0</v>
      </c>
      <c r="Q1105" s="10">
        <f>IFERROR(IF(('Loading-drum,tote'!$C$21)="No control",SUMIF(('Loading-drum,tote'!$B$31:$B$48),$J1105,('Loading-drum,tote'!$D$31:$D$48))*Impacts!$F$13,IF(('Loading-drum,tote'!$C$21)&lt;&gt;"No control",SUMIF(('Loading-drum,tote'!$B$31:$B$48),$J1105,('Loading-drum,tote'!$E$31:$E$48))*Impacts!$F$13,0)),0)</f>
        <v>0</v>
      </c>
      <c r="R1105" s="10">
        <f>IFERROR(IF(('Loading-truck'!$C$21)="No control",SUMIF(('Loading-truck'!$B$31:$B$48),$J1105,('Loading-truck'!$D$31:$D$48))*Impacts!$F$14,IF(('Loading-truck'!$C$21)&lt;&gt;"No control",SUMIF(('Loading-truck'!$B$31:$B$48),$J1105,('Loading-truck'!$E$31:$E$48))*Impacts!$F$14,0)),0)</f>
        <v>0</v>
      </c>
      <c r="S1105" s="10">
        <f>IFERROR(IF(('Loading-rail'!$C$21)="No control",SUMIF(('Loading-rail'!$B$31:$B$48),$J1105,('Loading-rail'!$D$31:$D$48))*Impacts!$F$15,IF(('Loading-rail'!$C$21)&lt;&gt;"No control",SUMIF(('Loading-rail'!$B$31:$B$48),$J1105,('Loading-rail'!$E$31:$E$48))*Impacts!$F$15,0)),0)</f>
        <v>0</v>
      </c>
      <c r="T1105" s="10">
        <f>IF(Flare!$C$7="",0,(SUMIF(Flare!$B$46:$B$185,$J1105,Flare!$E$46:$E$185)*Impacts!$F$16))</f>
        <v>0</v>
      </c>
      <c r="U1105" s="10">
        <f>IF(VCU!$C$9="",0,(SUMIF(VCU!$B$51:$B$193,$J1105,VCU!$E$51:$E$193)*Impacts!$F$17))</f>
        <v>0</v>
      </c>
      <c r="V1105" s="10">
        <f>IF(CAS!$C$7="",0,(SUMIF(CAS!$B$31:$B$167,$J1105,CAS!$E$31:$E$167)*Impacts!$F$18))</f>
        <v>0</v>
      </c>
      <c r="W1105" s="10">
        <f t="shared" si="59"/>
        <v>0</v>
      </c>
      <c r="AK1105" s="10" t="str">
        <f t="array" ref="AK1105">IFERROR(INDEX(SelectedSpecies,SMALL(IF(SelectedSpecies=AK$1,ROW(SelectedSpecies)),ROW(1106:1106)),2),"")</f>
        <v/>
      </c>
      <c r="BE1105" s="10"/>
      <c r="BI1105" s="10"/>
    </row>
    <row r="1106" spans="1:61" ht="21" customHeight="1" x14ac:dyDescent="0.25">
      <c r="A1106" s="10"/>
      <c r="B1106" s="10"/>
      <c r="E1106" s="10"/>
      <c r="G1106" s="10"/>
      <c r="I1106" s="436" t="s">
        <v>876</v>
      </c>
      <c r="J1106" s="26" t="s">
        <v>875</v>
      </c>
      <c r="K1106" s="10">
        <v>45</v>
      </c>
      <c r="L1106" s="73">
        <f>IF(Tank1!$C$23="No control",(SUMIF(Tank1!$B$32:$B$49,$J1106,Tank1!$C$32:$C$49)*Impacts!$F$8),0)</f>
        <v>0</v>
      </c>
      <c r="M1106" s="10">
        <f>IF(Tank2!$C$23="No control",(SUMIF(Tank2!$B$32:$B$49,$J1106,Tank2!$C$32:$C$49)*Impacts!$F$9),0)</f>
        <v>0</v>
      </c>
      <c r="N1106" s="10">
        <f>IF(Tank3!$C$23="No control",(SUMIF(Tank3!$B$32:$B$49,$J1106,Tank3!$C$32:$C$49)*Impacts!$F$10),0)</f>
        <v>0</v>
      </c>
      <c r="O1106" s="10">
        <f>IF(Tank4!$C$23="No control",(SUMIF(Tank4!$B$32:$B$49,$J1106,Tank4!$C$32:$C$49)*Impacts!$F$11),0)</f>
        <v>0</v>
      </c>
      <c r="P1106" s="10">
        <f>IF(Tank5!$C$23="No control",(SUMIF(Tank5!$B$32:$B$49,$J1106,Tank5!$C$32:$C$49)*Impacts!$F$12),0)</f>
        <v>0</v>
      </c>
      <c r="Q1106" s="10">
        <f>IFERROR(IF(('Loading-drum,tote'!$C$21)="No control",SUMIF(('Loading-drum,tote'!$B$31:$B$48),$J1106,('Loading-drum,tote'!$D$31:$D$48))*Impacts!$F$13,IF(('Loading-drum,tote'!$C$21)&lt;&gt;"No control",SUMIF(('Loading-drum,tote'!$B$31:$B$48),$J1106,('Loading-drum,tote'!$E$31:$E$48))*Impacts!$F$13,0)),0)</f>
        <v>0</v>
      </c>
      <c r="R1106" s="10">
        <f>IFERROR(IF(('Loading-truck'!$C$21)="No control",SUMIF(('Loading-truck'!$B$31:$B$48),$J1106,('Loading-truck'!$D$31:$D$48))*Impacts!$F$14,IF(('Loading-truck'!$C$21)&lt;&gt;"No control",SUMIF(('Loading-truck'!$B$31:$B$48),$J1106,('Loading-truck'!$E$31:$E$48))*Impacts!$F$14,0)),0)</f>
        <v>0</v>
      </c>
      <c r="S1106" s="10">
        <f>IFERROR(IF(('Loading-rail'!$C$21)="No control",SUMIF(('Loading-rail'!$B$31:$B$48),$J1106,('Loading-rail'!$D$31:$D$48))*Impacts!$F$15,IF(('Loading-rail'!$C$21)&lt;&gt;"No control",SUMIF(('Loading-rail'!$B$31:$B$48),$J1106,('Loading-rail'!$E$31:$E$48))*Impacts!$F$15,0)),0)</f>
        <v>0</v>
      </c>
      <c r="T1106" s="10">
        <f>IF(Flare!$C$7="",0,(SUMIF(Flare!$B$46:$B$185,$J1106,Flare!$E$46:$E$185)*Impacts!$F$16))</f>
        <v>0</v>
      </c>
      <c r="U1106" s="10">
        <f>IF(VCU!$C$9="",0,(SUMIF(VCU!$B$51:$B$193,$J1106,VCU!$E$51:$E$193)*Impacts!$F$17))</f>
        <v>0</v>
      </c>
      <c r="V1106" s="10">
        <f>IF(CAS!$C$7="",0,(SUMIF(CAS!$B$31:$B$167,$J1106,CAS!$E$31:$E$167)*Impacts!$F$18))</f>
        <v>0</v>
      </c>
      <c r="W1106" s="10">
        <f t="shared" si="59"/>
        <v>0</v>
      </c>
      <c r="AK1106" s="10" t="str">
        <f t="array" ref="AK1106">IFERROR(INDEX(SelectedSpecies,SMALL(IF(SelectedSpecies=AK$1,ROW(SelectedSpecies)),ROW(1107:1107)),2),"")</f>
        <v/>
      </c>
      <c r="BE1106" s="10"/>
      <c r="BI1106" s="10"/>
    </row>
    <row r="1107" spans="1:61" ht="21" customHeight="1" x14ac:dyDescent="0.25">
      <c r="A1107" s="10"/>
      <c r="B1107" s="10"/>
      <c r="E1107" s="10"/>
      <c r="G1107" s="10"/>
      <c r="I1107" s="436" t="s">
        <v>878</v>
      </c>
      <c r="J1107" s="26" t="s">
        <v>877</v>
      </c>
      <c r="K1107" s="10">
        <v>45</v>
      </c>
      <c r="L1107" s="73">
        <f>IF(Tank1!$C$23="No control",(SUMIF(Tank1!$B$32:$B$49,$J1107,Tank1!$C$32:$C$49)*Impacts!$F$8),0)</f>
        <v>0</v>
      </c>
      <c r="M1107" s="10">
        <f>IF(Tank2!$C$23="No control",(SUMIF(Tank2!$B$32:$B$49,$J1107,Tank2!$C$32:$C$49)*Impacts!$F$9),0)</f>
        <v>0</v>
      </c>
      <c r="N1107" s="10">
        <f>IF(Tank3!$C$23="No control",(SUMIF(Tank3!$B$32:$B$49,$J1107,Tank3!$C$32:$C$49)*Impacts!$F$10),0)</f>
        <v>0</v>
      </c>
      <c r="O1107" s="10">
        <f>IF(Tank4!$C$23="No control",(SUMIF(Tank4!$B$32:$B$49,$J1107,Tank4!$C$32:$C$49)*Impacts!$F$11),0)</f>
        <v>0</v>
      </c>
      <c r="P1107" s="10">
        <f>IF(Tank5!$C$23="No control",(SUMIF(Tank5!$B$32:$B$49,$J1107,Tank5!$C$32:$C$49)*Impacts!$F$12),0)</f>
        <v>0</v>
      </c>
      <c r="Q1107" s="10">
        <f>IFERROR(IF(('Loading-drum,tote'!$C$21)="No control",SUMIF(('Loading-drum,tote'!$B$31:$B$48),$J1107,('Loading-drum,tote'!$D$31:$D$48))*Impacts!$F$13,IF(('Loading-drum,tote'!$C$21)&lt;&gt;"No control",SUMIF(('Loading-drum,tote'!$B$31:$B$48),$J1107,('Loading-drum,tote'!$E$31:$E$48))*Impacts!$F$13,0)),0)</f>
        <v>0</v>
      </c>
      <c r="R1107" s="10">
        <f>IFERROR(IF(('Loading-truck'!$C$21)="No control",SUMIF(('Loading-truck'!$B$31:$B$48),$J1107,('Loading-truck'!$D$31:$D$48))*Impacts!$F$14,IF(('Loading-truck'!$C$21)&lt;&gt;"No control",SUMIF(('Loading-truck'!$B$31:$B$48),$J1107,('Loading-truck'!$E$31:$E$48))*Impacts!$F$14,0)),0)</f>
        <v>0</v>
      </c>
      <c r="S1107" s="10">
        <f>IFERROR(IF(('Loading-rail'!$C$21)="No control",SUMIF(('Loading-rail'!$B$31:$B$48),$J1107,('Loading-rail'!$D$31:$D$48))*Impacts!$F$15,IF(('Loading-rail'!$C$21)&lt;&gt;"No control",SUMIF(('Loading-rail'!$B$31:$B$48),$J1107,('Loading-rail'!$E$31:$E$48))*Impacts!$F$15,0)),0)</f>
        <v>0</v>
      </c>
      <c r="T1107" s="10">
        <f>IF(Flare!$C$7="",0,(SUMIF(Flare!$B$46:$B$185,$J1107,Flare!$E$46:$E$185)*Impacts!$F$16))</f>
        <v>0</v>
      </c>
      <c r="U1107" s="10">
        <f>IF(VCU!$C$9="",0,(SUMIF(VCU!$B$51:$B$193,$J1107,VCU!$E$51:$E$193)*Impacts!$F$17))</f>
        <v>0</v>
      </c>
      <c r="V1107" s="10">
        <f>IF(CAS!$C$7="",0,(SUMIF(CAS!$B$31:$B$167,$J1107,CAS!$E$31:$E$167)*Impacts!$F$18))</f>
        <v>0</v>
      </c>
      <c r="W1107" s="10">
        <f t="shared" si="59"/>
        <v>0</v>
      </c>
      <c r="AK1107" s="10" t="str">
        <f t="array" ref="AK1107">IFERROR(INDEX(SelectedSpecies,SMALL(IF(SelectedSpecies=AK$1,ROW(SelectedSpecies)),ROW(1108:1108)),2),"")</f>
        <v/>
      </c>
      <c r="BE1107" s="10"/>
      <c r="BI1107" s="10"/>
    </row>
    <row r="1108" spans="1:61" ht="21" customHeight="1" x14ac:dyDescent="0.25">
      <c r="A1108" s="10"/>
      <c r="B1108" s="10"/>
      <c r="E1108" s="10"/>
      <c r="G1108" s="10"/>
      <c r="I1108" s="436" t="s">
        <v>880</v>
      </c>
      <c r="J1108" s="26" t="s">
        <v>879</v>
      </c>
      <c r="K1108" s="10">
        <v>45</v>
      </c>
      <c r="L1108" s="73">
        <f>IF(Tank1!$C$23="No control",(SUMIF(Tank1!$B$32:$B$49,$J1108,Tank1!$C$32:$C$49)*Impacts!$F$8),0)</f>
        <v>0</v>
      </c>
      <c r="M1108" s="10">
        <f>IF(Tank2!$C$23="No control",(SUMIF(Tank2!$B$32:$B$49,$J1108,Tank2!$C$32:$C$49)*Impacts!$F$9),0)</f>
        <v>0</v>
      </c>
      <c r="N1108" s="10">
        <f>IF(Tank3!$C$23="No control",(SUMIF(Tank3!$B$32:$B$49,$J1108,Tank3!$C$32:$C$49)*Impacts!$F$10),0)</f>
        <v>0</v>
      </c>
      <c r="O1108" s="10">
        <f>IF(Tank4!$C$23="No control",(SUMIF(Tank4!$B$32:$B$49,$J1108,Tank4!$C$32:$C$49)*Impacts!$F$11),0)</f>
        <v>0</v>
      </c>
      <c r="P1108" s="10">
        <f>IF(Tank5!$C$23="No control",(SUMIF(Tank5!$B$32:$B$49,$J1108,Tank5!$C$32:$C$49)*Impacts!$F$12),0)</f>
        <v>0</v>
      </c>
      <c r="Q1108" s="10">
        <f>IFERROR(IF(('Loading-drum,tote'!$C$21)="No control",SUMIF(('Loading-drum,tote'!$B$31:$B$48),$J1108,('Loading-drum,tote'!$D$31:$D$48))*Impacts!$F$13,IF(('Loading-drum,tote'!$C$21)&lt;&gt;"No control",SUMIF(('Loading-drum,tote'!$B$31:$B$48),$J1108,('Loading-drum,tote'!$E$31:$E$48))*Impacts!$F$13,0)),0)</f>
        <v>0</v>
      </c>
      <c r="R1108" s="10">
        <f>IFERROR(IF(('Loading-truck'!$C$21)="No control",SUMIF(('Loading-truck'!$B$31:$B$48),$J1108,('Loading-truck'!$D$31:$D$48))*Impacts!$F$14,IF(('Loading-truck'!$C$21)&lt;&gt;"No control",SUMIF(('Loading-truck'!$B$31:$B$48),$J1108,('Loading-truck'!$E$31:$E$48))*Impacts!$F$14,0)),0)</f>
        <v>0</v>
      </c>
      <c r="S1108" s="10">
        <f>IFERROR(IF(('Loading-rail'!$C$21)="No control",SUMIF(('Loading-rail'!$B$31:$B$48),$J1108,('Loading-rail'!$D$31:$D$48))*Impacts!$F$15,IF(('Loading-rail'!$C$21)&lt;&gt;"No control",SUMIF(('Loading-rail'!$B$31:$B$48),$J1108,('Loading-rail'!$E$31:$E$48))*Impacts!$F$15,0)),0)</f>
        <v>0</v>
      </c>
      <c r="T1108" s="10">
        <f>IF(Flare!$C$7="",0,(SUMIF(Flare!$B$46:$B$185,$J1108,Flare!$E$46:$E$185)*Impacts!$F$16))</f>
        <v>0</v>
      </c>
      <c r="U1108" s="10">
        <f>IF(VCU!$C$9="",0,(SUMIF(VCU!$B$51:$B$193,$J1108,VCU!$E$51:$E$193)*Impacts!$F$17))</f>
        <v>0</v>
      </c>
      <c r="V1108" s="10">
        <f>IF(CAS!$C$7="",0,(SUMIF(CAS!$B$31:$B$167,$J1108,CAS!$E$31:$E$167)*Impacts!$F$18))</f>
        <v>0</v>
      </c>
      <c r="W1108" s="10">
        <f t="shared" si="59"/>
        <v>0</v>
      </c>
      <c r="AK1108" s="10" t="str">
        <f t="array" ref="AK1108">IFERROR(INDEX(SelectedSpecies,SMALL(IF(SelectedSpecies=AK$1,ROW(SelectedSpecies)),ROW(1109:1109)),2),"")</f>
        <v/>
      </c>
      <c r="BE1108" s="10"/>
      <c r="BI1108" s="10"/>
    </row>
    <row r="1109" spans="1:61" ht="21" customHeight="1" x14ac:dyDescent="0.25">
      <c r="A1109" s="10"/>
      <c r="B1109" s="10"/>
      <c r="E1109" s="10"/>
      <c r="G1109" s="10"/>
      <c r="I1109" s="436" t="s">
        <v>882</v>
      </c>
      <c r="J1109" s="26" t="s">
        <v>881</v>
      </c>
      <c r="K1109" s="10">
        <v>45</v>
      </c>
      <c r="L1109" s="73">
        <f>IF(Tank1!$C$23="No control",(SUMIF(Tank1!$B$32:$B$49,$J1109,Tank1!$C$32:$C$49)*Impacts!$F$8),0)</f>
        <v>0</v>
      </c>
      <c r="M1109" s="10">
        <f>IF(Tank2!$C$23="No control",(SUMIF(Tank2!$B$32:$B$49,$J1109,Tank2!$C$32:$C$49)*Impacts!$F$9),0)</f>
        <v>0</v>
      </c>
      <c r="N1109" s="10">
        <f>IF(Tank3!$C$23="No control",(SUMIF(Tank3!$B$32:$B$49,$J1109,Tank3!$C$32:$C$49)*Impacts!$F$10),0)</f>
        <v>0</v>
      </c>
      <c r="O1109" s="10">
        <f>IF(Tank4!$C$23="No control",(SUMIF(Tank4!$B$32:$B$49,$J1109,Tank4!$C$32:$C$49)*Impacts!$F$11),0)</f>
        <v>0</v>
      </c>
      <c r="P1109" s="10">
        <f>IF(Tank5!$C$23="No control",(SUMIF(Tank5!$B$32:$B$49,$J1109,Tank5!$C$32:$C$49)*Impacts!$F$12),0)</f>
        <v>0</v>
      </c>
      <c r="Q1109" s="10">
        <f>IFERROR(IF(('Loading-drum,tote'!$C$21)="No control",SUMIF(('Loading-drum,tote'!$B$31:$B$48),$J1109,('Loading-drum,tote'!$D$31:$D$48))*Impacts!$F$13,IF(('Loading-drum,tote'!$C$21)&lt;&gt;"No control",SUMIF(('Loading-drum,tote'!$B$31:$B$48),$J1109,('Loading-drum,tote'!$E$31:$E$48))*Impacts!$F$13,0)),0)</f>
        <v>0</v>
      </c>
      <c r="R1109" s="10">
        <f>IFERROR(IF(('Loading-truck'!$C$21)="No control",SUMIF(('Loading-truck'!$B$31:$B$48),$J1109,('Loading-truck'!$D$31:$D$48))*Impacts!$F$14,IF(('Loading-truck'!$C$21)&lt;&gt;"No control",SUMIF(('Loading-truck'!$B$31:$B$48),$J1109,('Loading-truck'!$E$31:$E$48))*Impacts!$F$14,0)),0)</f>
        <v>0</v>
      </c>
      <c r="S1109" s="10">
        <f>IFERROR(IF(('Loading-rail'!$C$21)="No control",SUMIF(('Loading-rail'!$B$31:$B$48),$J1109,('Loading-rail'!$D$31:$D$48))*Impacts!$F$15,IF(('Loading-rail'!$C$21)&lt;&gt;"No control",SUMIF(('Loading-rail'!$B$31:$B$48),$J1109,('Loading-rail'!$E$31:$E$48))*Impacts!$F$15,0)),0)</f>
        <v>0</v>
      </c>
      <c r="T1109" s="10">
        <f>IF(Flare!$C$7="",0,(SUMIF(Flare!$B$46:$B$185,$J1109,Flare!$E$46:$E$185)*Impacts!$F$16))</f>
        <v>0</v>
      </c>
      <c r="U1109" s="10">
        <f>IF(VCU!$C$9="",0,(SUMIF(VCU!$B$51:$B$193,$J1109,VCU!$E$51:$E$193)*Impacts!$F$17))</f>
        <v>0</v>
      </c>
      <c r="V1109" s="10">
        <f>IF(CAS!$C$7="",0,(SUMIF(CAS!$B$31:$B$167,$J1109,CAS!$E$31:$E$167)*Impacts!$F$18))</f>
        <v>0</v>
      </c>
      <c r="W1109" s="10">
        <f t="shared" si="59"/>
        <v>0</v>
      </c>
      <c r="AK1109" s="10" t="str">
        <f t="array" ref="AK1109">IFERROR(INDEX(SelectedSpecies,SMALL(IF(SelectedSpecies=AK$1,ROW(SelectedSpecies)),ROW(1110:1110)),2),"")</f>
        <v/>
      </c>
      <c r="BE1109" s="10"/>
      <c r="BI1109" s="10"/>
    </row>
    <row r="1110" spans="1:61" ht="21" customHeight="1" x14ac:dyDescent="0.25">
      <c r="A1110" s="10"/>
      <c r="B1110" s="10"/>
      <c r="E1110" s="10"/>
      <c r="G1110" s="10"/>
      <c r="I1110" s="436" t="s">
        <v>884</v>
      </c>
      <c r="J1110" s="26" t="s">
        <v>883</v>
      </c>
      <c r="K1110" s="10">
        <v>45</v>
      </c>
      <c r="L1110" s="73">
        <f>IF(Tank1!$C$23="No control",(SUMIF(Tank1!$B$32:$B$49,$J1110,Tank1!$C$32:$C$49)*Impacts!$F$8),0)</f>
        <v>0</v>
      </c>
      <c r="M1110" s="10">
        <f>IF(Tank2!$C$23="No control",(SUMIF(Tank2!$B$32:$B$49,$J1110,Tank2!$C$32:$C$49)*Impacts!$F$9),0)</f>
        <v>0</v>
      </c>
      <c r="N1110" s="10">
        <f>IF(Tank3!$C$23="No control",(SUMIF(Tank3!$B$32:$B$49,$J1110,Tank3!$C$32:$C$49)*Impacts!$F$10),0)</f>
        <v>0</v>
      </c>
      <c r="O1110" s="10">
        <f>IF(Tank4!$C$23="No control",(SUMIF(Tank4!$B$32:$B$49,$J1110,Tank4!$C$32:$C$49)*Impacts!$F$11),0)</f>
        <v>0</v>
      </c>
      <c r="P1110" s="10">
        <f>IF(Tank5!$C$23="No control",(SUMIF(Tank5!$B$32:$B$49,$J1110,Tank5!$C$32:$C$49)*Impacts!$F$12),0)</f>
        <v>0</v>
      </c>
      <c r="Q1110" s="10">
        <f>IFERROR(IF(('Loading-drum,tote'!$C$21)="No control",SUMIF(('Loading-drum,tote'!$B$31:$B$48),$J1110,('Loading-drum,tote'!$D$31:$D$48))*Impacts!$F$13,IF(('Loading-drum,tote'!$C$21)&lt;&gt;"No control",SUMIF(('Loading-drum,tote'!$B$31:$B$48),$J1110,('Loading-drum,tote'!$E$31:$E$48))*Impacts!$F$13,0)),0)</f>
        <v>0</v>
      </c>
      <c r="R1110" s="10">
        <f>IFERROR(IF(('Loading-truck'!$C$21)="No control",SUMIF(('Loading-truck'!$B$31:$B$48),$J1110,('Loading-truck'!$D$31:$D$48))*Impacts!$F$14,IF(('Loading-truck'!$C$21)&lt;&gt;"No control",SUMIF(('Loading-truck'!$B$31:$B$48),$J1110,('Loading-truck'!$E$31:$E$48))*Impacts!$F$14,0)),0)</f>
        <v>0</v>
      </c>
      <c r="S1110" s="10">
        <f>IFERROR(IF(('Loading-rail'!$C$21)="No control",SUMIF(('Loading-rail'!$B$31:$B$48),$J1110,('Loading-rail'!$D$31:$D$48))*Impacts!$F$15,IF(('Loading-rail'!$C$21)&lt;&gt;"No control",SUMIF(('Loading-rail'!$B$31:$B$48),$J1110,('Loading-rail'!$E$31:$E$48))*Impacts!$F$15,0)),0)</f>
        <v>0</v>
      </c>
      <c r="T1110" s="10">
        <f>IF(Flare!$C$7="",0,(SUMIF(Flare!$B$46:$B$185,$J1110,Flare!$E$46:$E$185)*Impacts!$F$16))</f>
        <v>0</v>
      </c>
      <c r="U1110" s="10">
        <f>IF(VCU!$C$9="",0,(SUMIF(VCU!$B$51:$B$193,$J1110,VCU!$E$51:$E$193)*Impacts!$F$17))</f>
        <v>0</v>
      </c>
      <c r="V1110" s="10">
        <f>IF(CAS!$C$7="",0,(SUMIF(CAS!$B$31:$B$167,$J1110,CAS!$E$31:$E$167)*Impacts!$F$18))</f>
        <v>0</v>
      </c>
      <c r="W1110" s="10">
        <f t="shared" si="59"/>
        <v>0</v>
      </c>
      <c r="AK1110" s="10" t="str">
        <f t="array" ref="AK1110">IFERROR(INDEX(SelectedSpecies,SMALL(IF(SelectedSpecies=AK$1,ROW(SelectedSpecies)),ROW(1111:1111)),2),"")</f>
        <v/>
      </c>
      <c r="BE1110" s="10"/>
      <c r="BI1110" s="10"/>
    </row>
    <row r="1111" spans="1:61" ht="21" customHeight="1" x14ac:dyDescent="0.25">
      <c r="A1111" s="10"/>
      <c r="B1111" s="10"/>
      <c r="E1111" s="10"/>
      <c r="G1111" s="10"/>
      <c r="I1111" s="436" t="s">
        <v>1296</v>
      </c>
      <c r="J1111" s="26" t="s">
        <v>1295</v>
      </c>
      <c r="K1111" s="10">
        <v>33</v>
      </c>
      <c r="L1111" s="73">
        <f>IF(Tank1!$C$23="No control",(SUMIF(Tank1!$B$32:$B$49,$J1111,Tank1!$C$32:$C$49)*Impacts!$F$8),0)</f>
        <v>0</v>
      </c>
      <c r="M1111" s="10">
        <f>IF(Tank2!$C$23="No control",(SUMIF(Tank2!$B$32:$B$49,$J1111,Tank2!$C$32:$C$49)*Impacts!$F$9),0)</f>
        <v>0</v>
      </c>
      <c r="N1111" s="10">
        <f>IF(Tank3!$C$23="No control",(SUMIF(Tank3!$B$32:$B$49,$J1111,Tank3!$C$32:$C$49)*Impacts!$F$10),0)</f>
        <v>0</v>
      </c>
      <c r="O1111" s="10">
        <f>IF(Tank4!$C$23="No control",(SUMIF(Tank4!$B$32:$B$49,$J1111,Tank4!$C$32:$C$49)*Impacts!$F$11),0)</f>
        <v>0</v>
      </c>
      <c r="P1111" s="10">
        <f>IF(Tank5!$C$23="No control",(SUMIF(Tank5!$B$32:$B$49,$J1111,Tank5!$C$32:$C$49)*Impacts!$F$12),0)</f>
        <v>0</v>
      </c>
      <c r="Q1111" s="10">
        <f>IFERROR(IF(('Loading-drum,tote'!$C$21)="No control",SUMIF(('Loading-drum,tote'!$B$31:$B$48),$J1111,('Loading-drum,tote'!$D$31:$D$48))*Impacts!$F$13,IF(('Loading-drum,tote'!$C$21)&lt;&gt;"No control",SUMIF(('Loading-drum,tote'!$B$31:$B$48),$J1111,('Loading-drum,tote'!$E$31:$E$48))*Impacts!$F$13,0)),0)</f>
        <v>0</v>
      </c>
      <c r="R1111" s="10">
        <f>IFERROR(IF(('Loading-truck'!$C$21)="No control",SUMIF(('Loading-truck'!$B$31:$B$48),$J1111,('Loading-truck'!$D$31:$D$48))*Impacts!$F$14,IF(('Loading-truck'!$C$21)&lt;&gt;"No control",SUMIF(('Loading-truck'!$B$31:$B$48),$J1111,('Loading-truck'!$E$31:$E$48))*Impacts!$F$14,0)),0)</f>
        <v>0</v>
      </c>
      <c r="S1111" s="10">
        <f>IFERROR(IF(('Loading-rail'!$C$21)="No control",SUMIF(('Loading-rail'!$B$31:$B$48),$J1111,('Loading-rail'!$D$31:$D$48))*Impacts!$F$15,IF(('Loading-rail'!$C$21)&lt;&gt;"No control",SUMIF(('Loading-rail'!$B$31:$B$48),$J1111,('Loading-rail'!$E$31:$E$48))*Impacts!$F$15,0)),0)</f>
        <v>0</v>
      </c>
      <c r="T1111" s="10">
        <f>IF(Flare!$C$7="",0,(SUMIF(Flare!$B$46:$B$185,$J1111,Flare!$E$46:$E$185)*Impacts!$F$16))</f>
        <v>0</v>
      </c>
      <c r="U1111" s="10">
        <f>IF(VCU!$C$9="",0,(SUMIF(VCU!$B$51:$B$193,$J1111,VCU!$E$51:$E$193)*Impacts!$F$17))</f>
        <v>0</v>
      </c>
      <c r="V1111" s="10">
        <f>IF(CAS!$C$7="",0,(SUMIF(CAS!$B$31:$B$167,$J1111,CAS!$E$31:$E$167)*Impacts!$F$18))</f>
        <v>0</v>
      </c>
      <c r="W1111" s="10">
        <f t="shared" si="59"/>
        <v>0</v>
      </c>
      <c r="AK1111" s="10" t="str">
        <f t="array" ref="AK1111">IFERROR(INDEX(SelectedSpecies,SMALL(IF(SelectedSpecies=AK$1,ROW(SelectedSpecies)),ROW(1112:1112)),2),"")</f>
        <v/>
      </c>
      <c r="BE1111" s="10"/>
      <c r="BI1111" s="10"/>
    </row>
    <row r="1112" spans="1:61" ht="21" customHeight="1" x14ac:dyDescent="0.25">
      <c r="A1112" s="10"/>
      <c r="B1112" s="10"/>
      <c r="E1112" s="10"/>
      <c r="G1112" s="10"/>
      <c r="I1112" s="436" t="s">
        <v>1298</v>
      </c>
      <c r="J1112" s="26" t="s">
        <v>1297</v>
      </c>
      <c r="K1112" s="10">
        <v>33</v>
      </c>
      <c r="L1112" s="73">
        <f>IF(Tank1!$C$23="No control",(SUMIF(Tank1!$B$32:$B$49,$J1112,Tank1!$C$32:$C$49)*Impacts!$F$8),0)</f>
        <v>0</v>
      </c>
      <c r="M1112" s="10">
        <f>IF(Tank2!$C$23="No control",(SUMIF(Tank2!$B$32:$B$49,$J1112,Tank2!$C$32:$C$49)*Impacts!$F$9),0)</f>
        <v>0</v>
      </c>
      <c r="N1112" s="10">
        <f>IF(Tank3!$C$23="No control",(SUMIF(Tank3!$B$32:$B$49,$J1112,Tank3!$C$32:$C$49)*Impacts!$F$10),0)</f>
        <v>0</v>
      </c>
      <c r="O1112" s="10">
        <f>IF(Tank4!$C$23="No control",(SUMIF(Tank4!$B$32:$B$49,$J1112,Tank4!$C$32:$C$49)*Impacts!$F$11),0)</f>
        <v>0</v>
      </c>
      <c r="P1112" s="10">
        <f>IF(Tank5!$C$23="No control",(SUMIF(Tank5!$B$32:$B$49,$J1112,Tank5!$C$32:$C$49)*Impacts!$F$12),0)</f>
        <v>0</v>
      </c>
      <c r="Q1112" s="10">
        <f>IFERROR(IF(('Loading-drum,tote'!$C$21)="No control",SUMIF(('Loading-drum,tote'!$B$31:$B$48),$J1112,('Loading-drum,tote'!$D$31:$D$48))*Impacts!$F$13,IF(('Loading-drum,tote'!$C$21)&lt;&gt;"No control",SUMIF(('Loading-drum,tote'!$B$31:$B$48),$J1112,('Loading-drum,tote'!$E$31:$E$48))*Impacts!$F$13,0)),0)</f>
        <v>0</v>
      </c>
      <c r="R1112" s="10">
        <f>IFERROR(IF(('Loading-truck'!$C$21)="No control",SUMIF(('Loading-truck'!$B$31:$B$48),$J1112,('Loading-truck'!$D$31:$D$48))*Impacts!$F$14,IF(('Loading-truck'!$C$21)&lt;&gt;"No control",SUMIF(('Loading-truck'!$B$31:$B$48),$J1112,('Loading-truck'!$E$31:$E$48))*Impacts!$F$14,0)),0)</f>
        <v>0</v>
      </c>
      <c r="S1112" s="10">
        <f>IFERROR(IF(('Loading-rail'!$C$21)="No control",SUMIF(('Loading-rail'!$B$31:$B$48),$J1112,('Loading-rail'!$D$31:$D$48))*Impacts!$F$15,IF(('Loading-rail'!$C$21)&lt;&gt;"No control",SUMIF(('Loading-rail'!$B$31:$B$48),$J1112,('Loading-rail'!$E$31:$E$48))*Impacts!$F$15,0)),0)</f>
        <v>0</v>
      </c>
      <c r="T1112" s="10">
        <f>IF(Flare!$C$7="",0,(SUMIF(Flare!$B$46:$B$185,$J1112,Flare!$E$46:$E$185)*Impacts!$F$16))</f>
        <v>0</v>
      </c>
      <c r="U1112" s="10">
        <f>IF(VCU!$C$9="",0,(SUMIF(VCU!$B$51:$B$193,$J1112,VCU!$E$51:$E$193)*Impacts!$F$17))</f>
        <v>0</v>
      </c>
      <c r="V1112" s="10">
        <f>IF(CAS!$C$7="",0,(SUMIF(CAS!$B$31:$B$167,$J1112,CAS!$E$31:$E$167)*Impacts!$F$18))</f>
        <v>0</v>
      </c>
      <c r="W1112" s="10">
        <f t="shared" si="59"/>
        <v>0</v>
      </c>
      <c r="AK1112" s="10" t="str">
        <f t="array" ref="AK1112">IFERROR(INDEX(SelectedSpecies,SMALL(IF(SelectedSpecies=AK$1,ROW(SelectedSpecies)),ROW(1113:1113)),2),"")</f>
        <v/>
      </c>
      <c r="BE1112" s="10"/>
      <c r="BI1112" s="10"/>
    </row>
    <row r="1113" spans="1:61" ht="21" customHeight="1" x14ac:dyDescent="0.25">
      <c r="A1113" s="10"/>
      <c r="B1113" s="10"/>
      <c r="E1113" s="10"/>
      <c r="G1113" s="10"/>
      <c r="I1113" s="436" t="s">
        <v>1300</v>
      </c>
      <c r="J1113" s="26" t="s">
        <v>1299</v>
      </c>
      <c r="K1113" s="10">
        <v>33</v>
      </c>
      <c r="L1113" s="73">
        <f>IF(Tank1!$C$23="No control",(SUMIF(Tank1!$B$32:$B$49,$J1113,Tank1!$C$32:$C$49)*Impacts!$F$8),0)</f>
        <v>0</v>
      </c>
      <c r="M1113" s="10">
        <f>IF(Tank2!$C$23="No control",(SUMIF(Tank2!$B$32:$B$49,$J1113,Tank2!$C$32:$C$49)*Impacts!$F$9),0)</f>
        <v>0</v>
      </c>
      <c r="N1113" s="10">
        <f>IF(Tank3!$C$23="No control",(SUMIF(Tank3!$B$32:$B$49,$J1113,Tank3!$C$32:$C$49)*Impacts!$F$10),0)</f>
        <v>0</v>
      </c>
      <c r="O1113" s="10">
        <f>IF(Tank4!$C$23="No control",(SUMIF(Tank4!$B$32:$B$49,$J1113,Tank4!$C$32:$C$49)*Impacts!$F$11),0)</f>
        <v>0</v>
      </c>
      <c r="P1113" s="10">
        <f>IF(Tank5!$C$23="No control",(SUMIF(Tank5!$B$32:$B$49,$J1113,Tank5!$C$32:$C$49)*Impacts!$F$12),0)</f>
        <v>0</v>
      </c>
      <c r="Q1113" s="10">
        <f>IFERROR(IF(('Loading-drum,tote'!$C$21)="No control",SUMIF(('Loading-drum,tote'!$B$31:$B$48),$J1113,('Loading-drum,tote'!$D$31:$D$48))*Impacts!$F$13,IF(('Loading-drum,tote'!$C$21)&lt;&gt;"No control",SUMIF(('Loading-drum,tote'!$B$31:$B$48),$J1113,('Loading-drum,tote'!$E$31:$E$48))*Impacts!$F$13,0)),0)</f>
        <v>0</v>
      </c>
      <c r="R1113" s="10">
        <f>IFERROR(IF(('Loading-truck'!$C$21)="No control",SUMIF(('Loading-truck'!$B$31:$B$48),$J1113,('Loading-truck'!$D$31:$D$48))*Impacts!$F$14,IF(('Loading-truck'!$C$21)&lt;&gt;"No control",SUMIF(('Loading-truck'!$B$31:$B$48),$J1113,('Loading-truck'!$E$31:$E$48))*Impacts!$F$14,0)),0)</f>
        <v>0</v>
      </c>
      <c r="S1113" s="10">
        <f>IFERROR(IF(('Loading-rail'!$C$21)="No control",SUMIF(('Loading-rail'!$B$31:$B$48),$J1113,('Loading-rail'!$D$31:$D$48))*Impacts!$F$15,IF(('Loading-rail'!$C$21)&lt;&gt;"No control",SUMIF(('Loading-rail'!$B$31:$B$48),$J1113,('Loading-rail'!$E$31:$E$48))*Impacts!$F$15,0)),0)</f>
        <v>0</v>
      </c>
      <c r="T1113" s="10">
        <f>IF(Flare!$C$7="",0,(SUMIF(Flare!$B$46:$B$185,$J1113,Flare!$E$46:$E$185)*Impacts!$F$16))</f>
        <v>0</v>
      </c>
      <c r="U1113" s="10">
        <f>IF(VCU!$C$9="",0,(SUMIF(VCU!$B$51:$B$193,$J1113,VCU!$E$51:$E$193)*Impacts!$F$17))</f>
        <v>0</v>
      </c>
      <c r="V1113" s="10">
        <f>IF(CAS!$C$7="",0,(SUMIF(CAS!$B$31:$B$167,$J1113,CAS!$E$31:$E$167)*Impacts!$F$18))</f>
        <v>0</v>
      </c>
      <c r="W1113" s="10">
        <f t="shared" si="59"/>
        <v>0</v>
      </c>
      <c r="AK1113" s="10" t="str">
        <f t="array" ref="AK1113">IFERROR(INDEX(SelectedSpecies,SMALL(IF(SelectedSpecies=AK$1,ROW(SelectedSpecies)),ROW(1114:1114)),2),"")</f>
        <v/>
      </c>
      <c r="BE1113" s="10"/>
      <c r="BI1113" s="10"/>
    </row>
    <row r="1114" spans="1:61" ht="21" customHeight="1" x14ac:dyDescent="0.25">
      <c r="A1114" s="10"/>
      <c r="B1114" s="10"/>
      <c r="E1114" s="10"/>
      <c r="G1114" s="10"/>
      <c r="I1114" s="436" t="s">
        <v>992</v>
      </c>
      <c r="J1114" s="26" t="s">
        <v>991</v>
      </c>
      <c r="K1114" s="10">
        <v>35</v>
      </c>
      <c r="L1114" s="73">
        <f>IF(Tank1!$C$23="No control",(SUMIF(Tank1!$B$32:$B$49,$J1114,Tank1!$C$32:$C$49)*Impacts!$F$8),0)</f>
        <v>0</v>
      </c>
      <c r="M1114" s="10">
        <f>IF(Tank2!$C$23="No control",(SUMIF(Tank2!$B$32:$B$49,$J1114,Tank2!$C$32:$C$49)*Impacts!$F$9),0)</f>
        <v>0</v>
      </c>
      <c r="N1114" s="10">
        <f>IF(Tank3!$C$23="No control",(SUMIF(Tank3!$B$32:$B$49,$J1114,Tank3!$C$32:$C$49)*Impacts!$F$10),0)</f>
        <v>0</v>
      </c>
      <c r="O1114" s="10">
        <f>IF(Tank4!$C$23="No control",(SUMIF(Tank4!$B$32:$B$49,$J1114,Tank4!$C$32:$C$49)*Impacts!$F$11),0)</f>
        <v>0</v>
      </c>
      <c r="P1114" s="10">
        <f>IF(Tank5!$C$23="No control",(SUMIF(Tank5!$B$32:$B$49,$J1114,Tank5!$C$32:$C$49)*Impacts!$F$12),0)</f>
        <v>0</v>
      </c>
      <c r="Q1114" s="10">
        <f>IFERROR(IF(('Loading-drum,tote'!$C$21)="No control",SUMIF(('Loading-drum,tote'!$B$31:$B$48),$J1114,('Loading-drum,tote'!$D$31:$D$48))*Impacts!$F$13,IF(('Loading-drum,tote'!$C$21)&lt;&gt;"No control",SUMIF(('Loading-drum,tote'!$B$31:$B$48),$J1114,('Loading-drum,tote'!$E$31:$E$48))*Impacts!$F$13,0)),0)</f>
        <v>0</v>
      </c>
      <c r="R1114" s="10">
        <f>IFERROR(IF(('Loading-truck'!$C$21)="No control",SUMIF(('Loading-truck'!$B$31:$B$48),$J1114,('Loading-truck'!$D$31:$D$48))*Impacts!$F$14,IF(('Loading-truck'!$C$21)&lt;&gt;"No control",SUMIF(('Loading-truck'!$B$31:$B$48),$J1114,('Loading-truck'!$E$31:$E$48))*Impacts!$F$14,0)),0)</f>
        <v>0</v>
      </c>
      <c r="S1114" s="10">
        <f>IFERROR(IF(('Loading-rail'!$C$21)="No control",SUMIF(('Loading-rail'!$B$31:$B$48),$J1114,('Loading-rail'!$D$31:$D$48))*Impacts!$F$15,IF(('Loading-rail'!$C$21)&lt;&gt;"No control",SUMIF(('Loading-rail'!$B$31:$B$48),$J1114,('Loading-rail'!$E$31:$E$48))*Impacts!$F$15,0)),0)</f>
        <v>0</v>
      </c>
      <c r="T1114" s="10">
        <f>IF(Flare!$C$7="",0,(SUMIF(Flare!$B$46:$B$185,$J1114,Flare!$E$46:$E$185)*Impacts!$F$16))</f>
        <v>0</v>
      </c>
      <c r="U1114" s="10">
        <f>IF(VCU!$C$9="",0,(SUMIF(VCU!$B$51:$B$193,$J1114,VCU!$E$51:$E$193)*Impacts!$F$17))</f>
        <v>0</v>
      </c>
      <c r="V1114" s="10">
        <f>IF(CAS!$C$7="",0,(SUMIF(CAS!$B$31:$B$167,$J1114,CAS!$E$31:$E$167)*Impacts!$F$18))</f>
        <v>0</v>
      </c>
      <c r="W1114" s="10">
        <f t="shared" si="59"/>
        <v>0</v>
      </c>
      <c r="AK1114" s="10" t="str">
        <f t="array" ref="AK1114">IFERROR(INDEX(SelectedSpecies,SMALL(IF(SelectedSpecies=AK$1,ROW(SelectedSpecies)),ROW(1115:1115)),2),"")</f>
        <v/>
      </c>
      <c r="BE1114" s="10"/>
      <c r="BI1114" s="10"/>
    </row>
    <row r="1115" spans="1:61" ht="21" customHeight="1" x14ac:dyDescent="0.25">
      <c r="A1115" s="10"/>
      <c r="B1115" s="10"/>
      <c r="E1115" s="10"/>
      <c r="G1115" s="10"/>
      <c r="I1115" s="436" t="s">
        <v>7356</v>
      </c>
      <c r="J1115" s="26" t="s">
        <v>7355</v>
      </c>
      <c r="K1115" s="10">
        <v>0.25</v>
      </c>
      <c r="L1115" s="73">
        <f>IF(Tank1!$C$23="No control",(SUMIF(Tank1!$B$32:$B$49,$J1115,Tank1!$C$32:$C$49)*Impacts!$F$8),0)</f>
        <v>0</v>
      </c>
      <c r="M1115" s="10">
        <f>IF(Tank2!$C$23="No control",(SUMIF(Tank2!$B$32:$B$49,$J1115,Tank2!$C$32:$C$49)*Impacts!$F$9),0)</f>
        <v>0</v>
      </c>
      <c r="N1115" s="10">
        <f>IF(Tank3!$C$23="No control",(SUMIF(Tank3!$B$32:$B$49,$J1115,Tank3!$C$32:$C$49)*Impacts!$F$10),0)</f>
        <v>0</v>
      </c>
      <c r="O1115" s="10">
        <f>IF(Tank4!$C$23="No control",(SUMIF(Tank4!$B$32:$B$49,$J1115,Tank4!$C$32:$C$49)*Impacts!$F$11),0)</f>
        <v>0</v>
      </c>
      <c r="P1115" s="10">
        <f>IF(Tank5!$C$23="No control",(SUMIF(Tank5!$B$32:$B$49,$J1115,Tank5!$C$32:$C$49)*Impacts!$F$12),0)</f>
        <v>0</v>
      </c>
      <c r="Q1115" s="10">
        <f>IFERROR(IF(('Loading-drum,tote'!$C$21)="No control",SUMIF(('Loading-drum,tote'!$B$31:$B$48),$J1115,('Loading-drum,tote'!$D$31:$D$48))*Impacts!$F$13,IF(('Loading-drum,tote'!$C$21)&lt;&gt;"No control",SUMIF(('Loading-drum,tote'!$B$31:$B$48),$J1115,('Loading-drum,tote'!$E$31:$E$48))*Impacts!$F$13,0)),0)</f>
        <v>0</v>
      </c>
      <c r="R1115" s="10">
        <f>IFERROR(IF(('Loading-truck'!$C$21)="No control",SUMIF(('Loading-truck'!$B$31:$B$48),$J1115,('Loading-truck'!$D$31:$D$48))*Impacts!$F$14,IF(('Loading-truck'!$C$21)&lt;&gt;"No control",SUMIF(('Loading-truck'!$B$31:$B$48),$J1115,('Loading-truck'!$E$31:$E$48))*Impacts!$F$14,0)),0)</f>
        <v>0</v>
      </c>
      <c r="S1115" s="10">
        <f>IFERROR(IF(('Loading-rail'!$C$21)="No control",SUMIF(('Loading-rail'!$B$31:$B$48),$J1115,('Loading-rail'!$D$31:$D$48))*Impacts!$F$15,IF(('Loading-rail'!$C$21)&lt;&gt;"No control",SUMIF(('Loading-rail'!$B$31:$B$48),$J1115,('Loading-rail'!$E$31:$E$48))*Impacts!$F$15,0)),0)</f>
        <v>0</v>
      </c>
      <c r="T1115" s="10">
        <f>IF(Flare!$C$7="",0,(SUMIF(Flare!$B$46:$B$185,$J1115,Flare!$E$46:$E$185)*Impacts!$F$16))</f>
        <v>0</v>
      </c>
      <c r="U1115" s="10">
        <f>IF(VCU!$C$9="",0,(SUMIF(VCU!$B$51:$B$193,$J1115,VCU!$E$51:$E$193)*Impacts!$F$17))</f>
        <v>0</v>
      </c>
      <c r="V1115" s="10">
        <f>IF(CAS!$C$7="",0,(SUMIF(CAS!$B$31:$B$167,$J1115,CAS!$E$31:$E$167)*Impacts!$F$18))</f>
        <v>0</v>
      </c>
      <c r="W1115" s="10">
        <f t="shared" si="59"/>
        <v>0</v>
      </c>
      <c r="AK1115" s="10" t="str">
        <f t="array" ref="AK1115">IFERROR(INDEX(SelectedSpecies,SMALL(IF(SelectedSpecies=AK$1,ROW(SelectedSpecies)),ROW(1116:1116)),2),"")</f>
        <v/>
      </c>
      <c r="BE1115" s="10"/>
      <c r="BI1115" s="10"/>
    </row>
    <row r="1116" spans="1:61" ht="21" customHeight="1" x14ac:dyDescent="0.25">
      <c r="A1116" s="10"/>
      <c r="B1116" s="10"/>
      <c r="E1116" s="10"/>
      <c r="G1116" s="10"/>
      <c r="I1116" s="436" t="s">
        <v>4435</v>
      </c>
      <c r="J1116" s="26" t="s">
        <v>4434</v>
      </c>
      <c r="K1116" s="10">
        <v>4.5</v>
      </c>
      <c r="L1116" s="73">
        <f>IF(Tank1!$C$23="No control",(SUMIF(Tank1!$B$32:$B$49,$J1116,Tank1!$C$32:$C$49)*Impacts!$F$8),0)</f>
        <v>0</v>
      </c>
      <c r="M1116" s="10">
        <f>IF(Tank2!$C$23="No control",(SUMIF(Tank2!$B$32:$B$49,$J1116,Tank2!$C$32:$C$49)*Impacts!$F$9),0)</f>
        <v>0</v>
      </c>
      <c r="N1116" s="10">
        <f>IF(Tank3!$C$23="No control",(SUMIF(Tank3!$B$32:$B$49,$J1116,Tank3!$C$32:$C$49)*Impacts!$F$10),0)</f>
        <v>0</v>
      </c>
      <c r="O1116" s="10">
        <f>IF(Tank4!$C$23="No control",(SUMIF(Tank4!$B$32:$B$49,$J1116,Tank4!$C$32:$C$49)*Impacts!$F$11),0)</f>
        <v>0</v>
      </c>
      <c r="P1116" s="10">
        <f>IF(Tank5!$C$23="No control",(SUMIF(Tank5!$B$32:$B$49,$J1116,Tank5!$C$32:$C$49)*Impacts!$F$12),0)</f>
        <v>0</v>
      </c>
      <c r="Q1116" s="10">
        <f>IFERROR(IF(('Loading-drum,tote'!$C$21)="No control",SUMIF(('Loading-drum,tote'!$B$31:$B$48),$J1116,('Loading-drum,tote'!$D$31:$D$48))*Impacts!$F$13,IF(('Loading-drum,tote'!$C$21)&lt;&gt;"No control",SUMIF(('Loading-drum,tote'!$B$31:$B$48),$J1116,('Loading-drum,tote'!$E$31:$E$48))*Impacts!$F$13,0)),0)</f>
        <v>0</v>
      </c>
      <c r="R1116" s="10">
        <f>IFERROR(IF(('Loading-truck'!$C$21)="No control",SUMIF(('Loading-truck'!$B$31:$B$48),$J1116,('Loading-truck'!$D$31:$D$48))*Impacts!$F$14,IF(('Loading-truck'!$C$21)&lt;&gt;"No control",SUMIF(('Loading-truck'!$B$31:$B$48),$J1116,('Loading-truck'!$E$31:$E$48))*Impacts!$F$14,0)),0)</f>
        <v>0</v>
      </c>
      <c r="S1116" s="10">
        <f>IFERROR(IF(('Loading-rail'!$C$21)="No control",SUMIF(('Loading-rail'!$B$31:$B$48),$J1116,('Loading-rail'!$D$31:$D$48))*Impacts!$F$15,IF(('Loading-rail'!$C$21)&lt;&gt;"No control",SUMIF(('Loading-rail'!$B$31:$B$48),$J1116,('Loading-rail'!$E$31:$E$48))*Impacts!$F$15,0)),0)</f>
        <v>0</v>
      </c>
      <c r="T1116" s="10">
        <f>IF(Flare!$C$7="",0,(SUMIF(Flare!$B$46:$B$185,$J1116,Flare!$E$46:$E$185)*Impacts!$F$16))</f>
        <v>0</v>
      </c>
      <c r="U1116" s="10">
        <f>IF(VCU!$C$9="",0,(SUMIF(VCU!$B$51:$B$193,$J1116,VCU!$E$51:$E$193)*Impacts!$F$17))</f>
        <v>0</v>
      </c>
      <c r="V1116" s="10">
        <f>IF(CAS!$C$7="",0,(SUMIF(CAS!$B$31:$B$167,$J1116,CAS!$E$31:$E$167)*Impacts!$F$18))</f>
        <v>0</v>
      </c>
      <c r="W1116" s="10">
        <f t="shared" si="59"/>
        <v>0</v>
      </c>
      <c r="AK1116" s="10" t="str">
        <f t="array" ref="AK1116">IFERROR(INDEX(SelectedSpecies,SMALL(IF(SelectedSpecies=AK$1,ROW(SelectedSpecies)),ROW(1117:1117)),2),"")</f>
        <v/>
      </c>
      <c r="BE1116" s="10"/>
      <c r="BI1116" s="10"/>
    </row>
    <row r="1117" spans="1:61" ht="21" customHeight="1" x14ac:dyDescent="0.25">
      <c r="A1117" s="10"/>
      <c r="B1117" s="10"/>
      <c r="E1117" s="10"/>
      <c r="G1117" s="10"/>
      <c r="I1117" s="436" t="s">
        <v>1222</v>
      </c>
      <c r="J1117" s="26" t="s">
        <v>1221</v>
      </c>
      <c r="K1117" s="10">
        <v>34</v>
      </c>
      <c r="L1117" s="73">
        <f>IF(Tank1!$C$23="No control",(SUMIF(Tank1!$B$32:$B$49,$J1117,Tank1!$C$32:$C$49)*Impacts!$F$8),0)</f>
        <v>0</v>
      </c>
      <c r="M1117" s="10">
        <f>IF(Tank2!$C$23="No control",(SUMIF(Tank2!$B$32:$B$49,$J1117,Tank2!$C$32:$C$49)*Impacts!$F$9),0)</f>
        <v>0</v>
      </c>
      <c r="N1117" s="10">
        <f>IF(Tank3!$C$23="No control",(SUMIF(Tank3!$B$32:$B$49,$J1117,Tank3!$C$32:$C$49)*Impacts!$F$10),0)</f>
        <v>0</v>
      </c>
      <c r="O1117" s="10">
        <f>IF(Tank4!$C$23="No control",(SUMIF(Tank4!$B$32:$B$49,$J1117,Tank4!$C$32:$C$49)*Impacts!$F$11),0)</f>
        <v>0</v>
      </c>
      <c r="P1117" s="10">
        <f>IF(Tank5!$C$23="No control",(SUMIF(Tank5!$B$32:$B$49,$J1117,Tank5!$C$32:$C$49)*Impacts!$F$12),0)</f>
        <v>0</v>
      </c>
      <c r="Q1117" s="10">
        <f>IFERROR(IF(('Loading-drum,tote'!$C$21)="No control",SUMIF(('Loading-drum,tote'!$B$31:$B$48),$J1117,('Loading-drum,tote'!$D$31:$D$48))*Impacts!$F$13,IF(('Loading-drum,tote'!$C$21)&lt;&gt;"No control",SUMIF(('Loading-drum,tote'!$B$31:$B$48),$J1117,('Loading-drum,tote'!$E$31:$E$48))*Impacts!$F$13,0)),0)</f>
        <v>0</v>
      </c>
      <c r="R1117" s="10">
        <f>IFERROR(IF(('Loading-truck'!$C$21)="No control",SUMIF(('Loading-truck'!$B$31:$B$48),$J1117,('Loading-truck'!$D$31:$D$48))*Impacts!$F$14,IF(('Loading-truck'!$C$21)&lt;&gt;"No control",SUMIF(('Loading-truck'!$B$31:$B$48),$J1117,('Loading-truck'!$E$31:$E$48))*Impacts!$F$14,0)),0)</f>
        <v>0</v>
      </c>
      <c r="S1117" s="10">
        <f>IFERROR(IF(('Loading-rail'!$C$21)="No control",SUMIF(('Loading-rail'!$B$31:$B$48),$J1117,('Loading-rail'!$D$31:$D$48))*Impacts!$F$15,IF(('Loading-rail'!$C$21)&lt;&gt;"No control",SUMIF(('Loading-rail'!$B$31:$B$48),$J1117,('Loading-rail'!$E$31:$E$48))*Impacts!$F$15,0)),0)</f>
        <v>0</v>
      </c>
      <c r="T1117" s="10">
        <f>IF(Flare!$C$7="",0,(SUMIF(Flare!$B$46:$B$185,$J1117,Flare!$E$46:$E$185)*Impacts!$F$16))</f>
        <v>0</v>
      </c>
      <c r="U1117" s="10">
        <f>IF(VCU!$C$9="",0,(SUMIF(VCU!$B$51:$B$193,$J1117,VCU!$E$51:$E$193)*Impacts!$F$17))</f>
        <v>0</v>
      </c>
      <c r="V1117" s="10">
        <f>IF(CAS!$C$7="",0,(SUMIF(CAS!$B$31:$B$167,$J1117,CAS!$E$31:$E$167)*Impacts!$F$18))</f>
        <v>0</v>
      </c>
      <c r="W1117" s="10">
        <f t="shared" si="59"/>
        <v>0</v>
      </c>
      <c r="AK1117" s="10" t="str">
        <f t="array" ref="AK1117">IFERROR(INDEX(SelectedSpecies,SMALL(IF(SelectedSpecies=AK$1,ROW(SelectedSpecies)),ROW(1118:1118)),2),"")</f>
        <v/>
      </c>
      <c r="BE1117" s="10"/>
      <c r="BI1117" s="10"/>
    </row>
    <row r="1118" spans="1:61" ht="21" customHeight="1" x14ac:dyDescent="0.25">
      <c r="A1118" s="10"/>
      <c r="B1118" s="10"/>
      <c r="E1118" s="10"/>
      <c r="G1118" s="10"/>
      <c r="I1118" s="436" t="s">
        <v>425</v>
      </c>
      <c r="J1118" s="26" t="s">
        <v>424</v>
      </c>
      <c r="K1118" s="10">
        <v>187</v>
      </c>
      <c r="L1118" s="73">
        <f>IF(Tank1!$C$23="No control",(SUMIF(Tank1!$B$32:$B$49,$J1118,Tank1!$C$32:$C$49)*Impacts!$F$8),0)</f>
        <v>0</v>
      </c>
      <c r="M1118" s="10">
        <f>IF(Tank2!$C$23="No control",(SUMIF(Tank2!$B$32:$B$49,$J1118,Tank2!$C$32:$C$49)*Impacts!$F$9),0)</f>
        <v>0</v>
      </c>
      <c r="N1118" s="10">
        <f>IF(Tank3!$C$23="No control",(SUMIF(Tank3!$B$32:$B$49,$J1118,Tank3!$C$32:$C$49)*Impacts!$F$10),0)</f>
        <v>0</v>
      </c>
      <c r="O1118" s="10">
        <f>IF(Tank4!$C$23="No control",(SUMIF(Tank4!$B$32:$B$49,$J1118,Tank4!$C$32:$C$49)*Impacts!$F$11),0)</f>
        <v>0</v>
      </c>
      <c r="P1118" s="10">
        <f>IF(Tank5!$C$23="No control",(SUMIF(Tank5!$B$32:$B$49,$J1118,Tank5!$C$32:$C$49)*Impacts!$F$12),0)</f>
        <v>0</v>
      </c>
      <c r="Q1118" s="10">
        <f>IFERROR(IF(('Loading-drum,tote'!$C$21)="No control",SUMIF(('Loading-drum,tote'!$B$31:$B$48),$J1118,('Loading-drum,tote'!$D$31:$D$48))*Impacts!$F$13,IF(('Loading-drum,tote'!$C$21)&lt;&gt;"No control",SUMIF(('Loading-drum,tote'!$B$31:$B$48),$J1118,('Loading-drum,tote'!$E$31:$E$48))*Impacts!$F$13,0)),0)</f>
        <v>0</v>
      </c>
      <c r="R1118" s="10">
        <f>IFERROR(IF(('Loading-truck'!$C$21)="No control",SUMIF(('Loading-truck'!$B$31:$B$48),$J1118,('Loading-truck'!$D$31:$D$48))*Impacts!$F$14,IF(('Loading-truck'!$C$21)&lt;&gt;"No control",SUMIF(('Loading-truck'!$B$31:$B$48),$J1118,('Loading-truck'!$E$31:$E$48))*Impacts!$F$14,0)),0)</f>
        <v>0</v>
      </c>
      <c r="S1118" s="10">
        <f>IFERROR(IF(('Loading-rail'!$C$21)="No control",SUMIF(('Loading-rail'!$B$31:$B$48),$J1118,('Loading-rail'!$D$31:$D$48))*Impacts!$F$15,IF(('Loading-rail'!$C$21)&lt;&gt;"No control",SUMIF(('Loading-rail'!$B$31:$B$48),$J1118,('Loading-rail'!$E$31:$E$48))*Impacts!$F$15,0)),0)</f>
        <v>0</v>
      </c>
      <c r="T1118" s="10">
        <f>IF(Flare!$C$7="",0,(SUMIF(Flare!$B$46:$B$185,$J1118,Flare!$E$46:$E$185)*Impacts!$F$16))</f>
        <v>0</v>
      </c>
      <c r="U1118" s="10">
        <f>IF(VCU!$C$9="",0,(SUMIF(VCU!$B$51:$B$193,$J1118,VCU!$E$51:$E$193)*Impacts!$F$17))</f>
        <v>0</v>
      </c>
      <c r="V1118" s="10">
        <f>IF(CAS!$C$7="",0,(SUMIF(CAS!$B$31:$B$167,$J1118,CAS!$E$31:$E$167)*Impacts!$F$18))</f>
        <v>0</v>
      </c>
      <c r="W1118" s="10">
        <f t="shared" si="59"/>
        <v>0</v>
      </c>
      <c r="AK1118" s="10" t="str">
        <f t="array" ref="AK1118">IFERROR(INDEX(SelectedSpecies,SMALL(IF(SelectedSpecies=AK$1,ROW(SelectedSpecies)),ROW(1119:1119)),2),"")</f>
        <v/>
      </c>
      <c r="BE1118" s="10"/>
      <c r="BI1118" s="10"/>
    </row>
    <row r="1119" spans="1:61" ht="21" customHeight="1" x14ac:dyDescent="0.25">
      <c r="A1119" s="10"/>
      <c r="B1119" s="10"/>
      <c r="E1119" s="10"/>
      <c r="G1119" s="10"/>
      <c r="I1119" s="436" t="s">
        <v>994</v>
      </c>
      <c r="J1119" s="26" t="s">
        <v>993</v>
      </c>
      <c r="K1119" s="10">
        <v>35</v>
      </c>
      <c r="L1119" s="73">
        <f>IF(Tank1!$C$23="No control",(SUMIF(Tank1!$B$32:$B$49,$J1119,Tank1!$C$32:$C$49)*Impacts!$F$8),0)</f>
        <v>0</v>
      </c>
      <c r="M1119" s="10">
        <f>IF(Tank2!$C$23="No control",(SUMIF(Tank2!$B$32:$B$49,$J1119,Tank2!$C$32:$C$49)*Impacts!$F$9),0)</f>
        <v>0</v>
      </c>
      <c r="N1119" s="10">
        <f>IF(Tank3!$C$23="No control",(SUMIF(Tank3!$B$32:$B$49,$J1119,Tank3!$C$32:$C$49)*Impacts!$F$10),0)</f>
        <v>0</v>
      </c>
      <c r="O1119" s="10">
        <f>IF(Tank4!$C$23="No control",(SUMIF(Tank4!$B$32:$B$49,$J1119,Tank4!$C$32:$C$49)*Impacts!$F$11),0)</f>
        <v>0</v>
      </c>
      <c r="P1119" s="10">
        <f>IF(Tank5!$C$23="No control",(SUMIF(Tank5!$B$32:$B$49,$J1119,Tank5!$C$32:$C$49)*Impacts!$F$12),0)</f>
        <v>0</v>
      </c>
      <c r="Q1119" s="10">
        <f>IFERROR(IF(('Loading-drum,tote'!$C$21)="No control",SUMIF(('Loading-drum,tote'!$B$31:$B$48),$J1119,('Loading-drum,tote'!$D$31:$D$48))*Impacts!$F$13,IF(('Loading-drum,tote'!$C$21)&lt;&gt;"No control",SUMIF(('Loading-drum,tote'!$B$31:$B$48),$J1119,('Loading-drum,tote'!$E$31:$E$48))*Impacts!$F$13,0)),0)</f>
        <v>0</v>
      </c>
      <c r="R1119" s="10">
        <f>IFERROR(IF(('Loading-truck'!$C$21)="No control",SUMIF(('Loading-truck'!$B$31:$B$48),$J1119,('Loading-truck'!$D$31:$D$48))*Impacts!$F$14,IF(('Loading-truck'!$C$21)&lt;&gt;"No control",SUMIF(('Loading-truck'!$B$31:$B$48),$J1119,('Loading-truck'!$E$31:$E$48))*Impacts!$F$14,0)),0)</f>
        <v>0</v>
      </c>
      <c r="S1119" s="10">
        <f>IFERROR(IF(('Loading-rail'!$C$21)="No control",SUMIF(('Loading-rail'!$B$31:$B$48),$J1119,('Loading-rail'!$D$31:$D$48))*Impacts!$F$15,IF(('Loading-rail'!$C$21)&lt;&gt;"No control",SUMIF(('Loading-rail'!$B$31:$B$48),$J1119,('Loading-rail'!$E$31:$E$48))*Impacts!$F$15,0)),0)</f>
        <v>0</v>
      </c>
      <c r="T1119" s="10">
        <f>IF(Flare!$C$7="",0,(SUMIF(Flare!$B$46:$B$185,$J1119,Flare!$E$46:$E$185)*Impacts!$F$16))</f>
        <v>0</v>
      </c>
      <c r="U1119" s="10">
        <f>IF(VCU!$C$9="",0,(SUMIF(VCU!$B$51:$B$193,$J1119,VCU!$E$51:$E$193)*Impacts!$F$17))</f>
        <v>0</v>
      </c>
      <c r="V1119" s="10">
        <f>IF(CAS!$C$7="",0,(SUMIF(CAS!$B$31:$B$167,$J1119,CAS!$E$31:$E$167)*Impacts!$F$18))</f>
        <v>0</v>
      </c>
      <c r="W1119" s="10">
        <f t="shared" si="59"/>
        <v>0</v>
      </c>
      <c r="AK1119" s="10" t="str">
        <f t="array" ref="AK1119">IFERROR(INDEX(SelectedSpecies,SMALL(IF(SelectedSpecies=AK$1,ROW(SelectedSpecies)),ROW(1120:1120)),2),"")</f>
        <v/>
      </c>
      <c r="BE1119" s="10"/>
      <c r="BI1119" s="10"/>
    </row>
    <row r="1120" spans="1:61" ht="21" customHeight="1" x14ac:dyDescent="0.25">
      <c r="A1120" s="10"/>
      <c r="B1120" s="10"/>
      <c r="E1120" s="10"/>
      <c r="G1120" s="10"/>
      <c r="I1120" s="436" t="s">
        <v>996</v>
      </c>
      <c r="J1120" s="26" t="s">
        <v>995</v>
      </c>
      <c r="K1120" s="10">
        <v>35</v>
      </c>
      <c r="L1120" s="73">
        <f>IF(Tank1!$C$23="No control",(SUMIF(Tank1!$B$32:$B$49,$J1120,Tank1!$C$32:$C$49)*Impacts!$F$8),0)</f>
        <v>0</v>
      </c>
      <c r="M1120" s="10">
        <f>IF(Tank2!$C$23="No control",(SUMIF(Tank2!$B$32:$B$49,$J1120,Tank2!$C$32:$C$49)*Impacts!$F$9),0)</f>
        <v>0</v>
      </c>
      <c r="N1120" s="10">
        <f>IF(Tank3!$C$23="No control",(SUMIF(Tank3!$B$32:$B$49,$J1120,Tank3!$C$32:$C$49)*Impacts!$F$10),0)</f>
        <v>0</v>
      </c>
      <c r="O1120" s="10">
        <f>IF(Tank4!$C$23="No control",(SUMIF(Tank4!$B$32:$B$49,$J1120,Tank4!$C$32:$C$49)*Impacts!$F$11),0)</f>
        <v>0</v>
      </c>
      <c r="P1120" s="10">
        <f>IF(Tank5!$C$23="No control",(SUMIF(Tank5!$B$32:$B$49,$J1120,Tank5!$C$32:$C$49)*Impacts!$F$12),0)</f>
        <v>0</v>
      </c>
      <c r="Q1120" s="10">
        <f>IFERROR(IF(('Loading-drum,tote'!$C$21)="No control",SUMIF(('Loading-drum,tote'!$B$31:$B$48),$J1120,('Loading-drum,tote'!$D$31:$D$48))*Impacts!$F$13,IF(('Loading-drum,tote'!$C$21)&lt;&gt;"No control",SUMIF(('Loading-drum,tote'!$B$31:$B$48),$J1120,('Loading-drum,tote'!$E$31:$E$48))*Impacts!$F$13,0)),0)</f>
        <v>0</v>
      </c>
      <c r="R1120" s="10">
        <f>IFERROR(IF(('Loading-truck'!$C$21)="No control",SUMIF(('Loading-truck'!$B$31:$B$48),$J1120,('Loading-truck'!$D$31:$D$48))*Impacts!$F$14,IF(('Loading-truck'!$C$21)&lt;&gt;"No control",SUMIF(('Loading-truck'!$B$31:$B$48),$J1120,('Loading-truck'!$E$31:$E$48))*Impacts!$F$14,0)),0)</f>
        <v>0</v>
      </c>
      <c r="S1120" s="10">
        <f>IFERROR(IF(('Loading-rail'!$C$21)="No control",SUMIF(('Loading-rail'!$B$31:$B$48),$J1120,('Loading-rail'!$D$31:$D$48))*Impacts!$F$15,IF(('Loading-rail'!$C$21)&lt;&gt;"No control",SUMIF(('Loading-rail'!$B$31:$B$48),$J1120,('Loading-rail'!$E$31:$E$48))*Impacts!$F$15,0)),0)</f>
        <v>0</v>
      </c>
      <c r="T1120" s="10">
        <f>IF(Flare!$C$7="",0,(SUMIF(Flare!$B$46:$B$185,$J1120,Flare!$E$46:$E$185)*Impacts!$F$16))</f>
        <v>0</v>
      </c>
      <c r="U1120" s="10">
        <f>IF(VCU!$C$9="",0,(SUMIF(VCU!$B$51:$B$193,$J1120,VCU!$E$51:$E$193)*Impacts!$F$17))</f>
        <v>0</v>
      </c>
      <c r="V1120" s="10">
        <f>IF(CAS!$C$7="",0,(SUMIF(CAS!$B$31:$B$167,$J1120,CAS!$E$31:$E$167)*Impacts!$F$18))</f>
        <v>0</v>
      </c>
      <c r="W1120" s="10">
        <f t="shared" si="59"/>
        <v>0</v>
      </c>
      <c r="AK1120" s="10" t="str">
        <f t="array" ref="AK1120">IFERROR(INDEX(SelectedSpecies,SMALL(IF(SelectedSpecies=AK$1,ROW(SelectedSpecies)),ROW(1121:1121)),2),"")</f>
        <v/>
      </c>
      <c r="BE1120" s="10"/>
      <c r="BI1120" s="10"/>
    </row>
    <row r="1121" spans="1:61" ht="21" customHeight="1" x14ac:dyDescent="0.25">
      <c r="A1121" s="10"/>
      <c r="B1121" s="10"/>
      <c r="E1121" s="10"/>
      <c r="G1121" s="10"/>
      <c r="I1121" s="436" t="s">
        <v>886</v>
      </c>
      <c r="J1121" s="26" t="s">
        <v>885</v>
      </c>
      <c r="K1121" s="10">
        <v>45</v>
      </c>
      <c r="L1121" s="73">
        <f>IF(Tank1!$C$23="No control",(SUMIF(Tank1!$B$32:$B$49,$J1121,Tank1!$C$32:$C$49)*Impacts!$F$8),0)</f>
        <v>0</v>
      </c>
      <c r="M1121" s="10">
        <f>IF(Tank2!$C$23="No control",(SUMIF(Tank2!$B$32:$B$49,$J1121,Tank2!$C$32:$C$49)*Impacts!$F$9),0)</f>
        <v>0</v>
      </c>
      <c r="N1121" s="10">
        <f>IF(Tank3!$C$23="No control",(SUMIF(Tank3!$B$32:$B$49,$J1121,Tank3!$C$32:$C$49)*Impacts!$F$10),0)</f>
        <v>0</v>
      </c>
      <c r="O1121" s="10">
        <f>IF(Tank4!$C$23="No control",(SUMIF(Tank4!$B$32:$B$49,$J1121,Tank4!$C$32:$C$49)*Impacts!$F$11),0)</f>
        <v>0</v>
      </c>
      <c r="P1121" s="10">
        <f>IF(Tank5!$C$23="No control",(SUMIF(Tank5!$B$32:$B$49,$J1121,Tank5!$C$32:$C$49)*Impacts!$F$12),0)</f>
        <v>0</v>
      </c>
      <c r="Q1121" s="10">
        <f>IFERROR(IF(('Loading-drum,tote'!$C$21)="No control",SUMIF(('Loading-drum,tote'!$B$31:$B$48),$J1121,('Loading-drum,tote'!$D$31:$D$48))*Impacts!$F$13,IF(('Loading-drum,tote'!$C$21)&lt;&gt;"No control",SUMIF(('Loading-drum,tote'!$B$31:$B$48),$J1121,('Loading-drum,tote'!$E$31:$E$48))*Impacts!$F$13,0)),0)</f>
        <v>0</v>
      </c>
      <c r="R1121" s="10">
        <f>IFERROR(IF(('Loading-truck'!$C$21)="No control",SUMIF(('Loading-truck'!$B$31:$B$48),$J1121,('Loading-truck'!$D$31:$D$48))*Impacts!$F$14,IF(('Loading-truck'!$C$21)&lt;&gt;"No control",SUMIF(('Loading-truck'!$B$31:$B$48),$J1121,('Loading-truck'!$E$31:$E$48))*Impacts!$F$14,0)),0)</f>
        <v>0</v>
      </c>
      <c r="S1121" s="10">
        <f>IFERROR(IF(('Loading-rail'!$C$21)="No control",SUMIF(('Loading-rail'!$B$31:$B$48),$J1121,('Loading-rail'!$D$31:$D$48))*Impacts!$F$15,IF(('Loading-rail'!$C$21)&lt;&gt;"No control",SUMIF(('Loading-rail'!$B$31:$B$48),$J1121,('Loading-rail'!$E$31:$E$48))*Impacts!$F$15,0)),0)</f>
        <v>0</v>
      </c>
      <c r="T1121" s="10">
        <f>IF(Flare!$C$7="",0,(SUMIF(Flare!$B$46:$B$185,$J1121,Flare!$E$46:$E$185)*Impacts!$F$16))</f>
        <v>0</v>
      </c>
      <c r="U1121" s="10">
        <f>IF(VCU!$C$9="",0,(SUMIF(VCU!$B$51:$B$193,$J1121,VCU!$E$51:$E$193)*Impacts!$F$17))</f>
        <v>0</v>
      </c>
      <c r="V1121" s="10">
        <f>IF(CAS!$C$7="",0,(SUMIF(CAS!$B$31:$B$167,$J1121,CAS!$E$31:$E$167)*Impacts!$F$18))</f>
        <v>0</v>
      </c>
      <c r="W1121" s="10">
        <f t="shared" si="59"/>
        <v>0</v>
      </c>
      <c r="AK1121" s="10" t="str">
        <f t="array" ref="AK1121">IFERROR(INDEX(SelectedSpecies,SMALL(IF(SelectedSpecies=AK$1,ROW(SelectedSpecies)),ROW(1122:1122)),2),"")</f>
        <v/>
      </c>
      <c r="BE1121" s="10"/>
      <c r="BI1121" s="10"/>
    </row>
    <row r="1122" spans="1:61" ht="21" customHeight="1" x14ac:dyDescent="0.25">
      <c r="A1122" s="10"/>
      <c r="B1122" s="10"/>
      <c r="E1122" s="10"/>
      <c r="G1122" s="10"/>
      <c r="I1122" s="436" t="s">
        <v>7574</v>
      </c>
      <c r="J1122" s="26" t="s">
        <v>7573</v>
      </c>
      <c r="K1122" s="10">
        <v>0.18000000000000002</v>
      </c>
      <c r="L1122" s="73">
        <f>IF(Tank1!$C$23="No control",(SUMIF(Tank1!$B$32:$B$49,$J1122,Tank1!$C$32:$C$49)*Impacts!$F$8),0)</f>
        <v>0</v>
      </c>
      <c r="M1122" s="10">
        <f>IF(Tank2!$C$23="No control",(SUMIF(Tank2!$B$32:$B$49,$J1122,Tank2!$C$32:$C$49)*Impacts!$F$9),0)</f>
        <v>0</v>
      </c>
      <c r="N1122" s="10">
        <f>IF(Tank3!$C$23="No control",(SUMIF(Tank3!$B$32:$B$49,$J1122,Tank3!$C$32:$C$49)*Impacts!$F$10),0)</f>
        <v>0</v>
      </c>
      <c r="O1122" s="10">
        <f>IF(Tank4!$C$23="No control",(SUMIF(Tank4!$B$32:$B$49,$J1122,Tank4!$C$32:$C$49)*Impacts!$F$11),0)</f>
        <v>0</v>
      </c>
      <c r="P1122" s="10">
        <f>IF(Tank5!$C$23="No control",(SUMIF(Tank5!$B$32:$B$49,$J1122,Tank5!$C$32:$C$49)*Impacts!$F$12),0)</f>
        <v>0</v>
      </c>
      <c r="Q1122" s="10">
        <f>IFERROR(IF(('Loading-drum,tote'!$C$21)="No control",SUMIF(('Loading-drum,tote'!$B$31:$B$48),$J1122,('Loading-drum,tote'!$D$31:$D$48))*Impacts!$F$13,IF(('Loading-drum,tote'!$C$21)&lt;&gt;"No control",SUMIF(('Loading-drum,tote'!$B$31:$B$48),$J1122,('Loading-drum,tote'!$E$31:$E$48))*Impacts!$F$13,0)),0)</f>
        <v>0</v>
      </c>
      <c r="R1122" s="10">
        <f>IFERROR(IF(('Loading-truck'!$C$21)="No control",SUMIF(('Loading-truck'!$B$31:$B$48),$J1122,('Loading-truck'!$D$31:$D$48))*Impacts!$F$14,IF(('Loading-truck'!$C$21)&lt;&gt;"No control",SUMIF(('Loading-truck'!$B$31:$B$48),$J1122,('Loading-truck'!$E$31:$E$48))*Impacts!$F$14,0)),0)</f>
        <v>0</v>
      </c>
      <c r="S1122" s="10">
        <f>IFERROR(IF(('Loading-rail'!$C$21)="No control",SUMIF(('Loading-rail'!$B$31:$B$48),$J1122,('Loading-rail'!$D$31:$D$48))*Impacts!$F$15,IF(('Loading-rail'!$C$21)&lt;&gt;"No control",SUMIF(('Loading-rail'!$B$31:$B$48),$J1122,('Loading-rail'!$E$31:$E$48))*Impacts!$F$15,0)),0)</f>
        <v>0</v>
      </c>
      <c r="T1122" s="10">
        <f>IF(Flare!$C$7="",0,(SUMIF(Flare!$B$46:$B$185,$J1122,Flare!$E$46:$E$185)*Impacts!$F$16))</f>
        <v>0</v>
      </c>
      <c r="U1122" s="10">
        <f>IF(VCU!$C$9="",0,(SUMIF(VCU!$B$51:$B$193,$J1122,VCU!$E$51:$E$193)*Impacts!$F$17))</f>
        <v>0</v>
      </c>
      <c r="V1122" s="10">
        <f>IF(CAS!$C$7="",0,(SUMIF(CAS!$B$31:$B$167,$J1122,CAS!$E$31:$E$167)*Impacts!$F$18))</f>
        <v>0</v>
      </c>
      <c r="W1122" s="10">
        <f t="shared" si="59"/>
        <v>0</v>
      </c>
      <c r="AK1122" s="10" t="str">
        <f t="array" ref="AK1122">IFERROR(INDEX(SelectedSpecies,SMALL(IF(SelectedSpecies=AK$1,ROW(SelectedSpecies)),ROW(1123:1123)),2),"")</f>
        <v/>
      </c>
      <c r="BE1122" s="10"/>
      <c r="BI1122" s="10"/>
    </row>
    <row r="1123" spans="1:61" ht="21" customHeight="1" x14ac:dyDescent="0.25">
      <c r="A1123" s="10"/>
      <c r="B1123" s="10"/>
      <c r="E1123" s="10"/>
      <c r="G1123" s="10"/>
      <c r="I1123" s="436" t="s">
        <v>4461</v>
      </c>
      <c r="J1123" s="26" t="s">
        <v>4460</v>
      </c>
      <c r="K1123" s="10">
        <v>4.4000000000000004</v>
      </c>
      <c r="L1123" s="73">
        <f>IF(Tank1!$C$23="No control",(SUMIF(Tank1!$B$32:$B$49,$J1123,Tank1!$C$32:$C$49)*Impacts!$F$8),0)</f>
        <v>0</v>
      </c>
      <c r="M1123" s="10">
        <f>IF(Tank2!$C$23="No control",(SUMIF(Tank2!$B$32:$B$49,$J1123,Tank2!$C$32:$C$49)*Impacts!$F$9),0)</f>
        <v>0</v>
      </c>
      <c r="N1123" s="10">
        <f>IF(Tank3!$C$23="No control",(SUMIF(Tank3!$B$32:$B$49,$J1123,Tank3!$C$32:$C$49)*Impacts!$F$10),0)</f>
        <v>0</v>
      </c>
      <c r="O1123" s="10">
        <f>IF(Tank4!$C$23="No control",(SUMIF(Tank4!$B$32:$B$49,$J1123,Tank4!$C$32:$C$49)*Impacts!$F$11),0)</f>
        <v>0</v>
      </c>
      <c r="P1123" s="10">
        <f>IF(Tank5!$C$23="No control",(SUMIF(Tank5!$B$32:$B$49,$J1123,Tank5!$C$32:$C$49)*Impacts!$F$12),0)</f>
        <v>0</v>
      </c>
      <c r="Q1123" s="10">
        <f>IFERROR(IF(('Loading-drum,tote'!$C$21)="No control",SUMIF(('Loading-drum,tote'!$B$31:$B$48),$J1123,('Loading-drum,tote'!$D$31:$D$48))*Impacts!$F$13,IF(('Loading-drum,tote'!$C$21)&lt;&gt;"No control",SUMIF(('Loading-drum,tote'!$B$31:$B$48),$J1123,('Loading-drum,tote'!$E$31:$E$48))*Impacts!$F$13,0)),0)</f>
        <v>0</v>
      </c>
      <c r="R1123" s="10">
        <f>IFERROR(IF(('Loading-truck'!$C$21)="No control",SUMIF(('Loading-truck'!$B$31:$B$48),$J1123,('Loading-truck'!$D$31:$D$48))*Impacts!$F$14,IF(('Loading-truck'!$C$21)&lt;&gt;"No control",SUMIF(('Loading-truck'!$B$31:$B$48),$J1123,('Loading-truck'!$E$31:$E$48))*Impacts!$F$14,0)),0)</f>
        <v>0</v>
      </c>
      <c r="S1123" s="10">
        <f>IFERROR(IF(('Loading-rail'!$C$21)="No control",SUMIF(('Loading-rail'!$B$31:$B$48),$J1123,('Loading-rail'!$D$31:$D$48))*Impacts!$F$15,IF(('Loading-rail'!$C$21)&lt;&gt;"No control",SUMIF(('Loading-rail'!$B$31:$B$48),$J1123,('Loading-rail'!$E$31:$E$48))*Impacts!$F$15,0)),0)</f>
        <v>0</v>
      </c>
      <c r="T1123" s="10">
        <f>IF(Flare!$C$7="",0,(SUMIF(Flare!$B$46:$B$185,$J1123,Flare!$E$46:$E$185)*Impacts!$F$16))</f>
        <v>0</v>
      </c>
      <c r="U1123" s="10">
        <f>IF(VCU!$C$9="",0,(SUMIF(VCU!$B$51:$B$193,$J1123,VCU!$E$51:$E$193)*Impacts!$F$17))</f>
        <v>0</v>
      </c>
      <c r="V1123" s="10">
        <f>IF(CAS!$C$7="",0,(SUMIF(CAS!$B$31:$B$167,$J1123,CAS!$E$31:$E$167)*Impacts!$F$18))</f>
        <v>0</v>
      </c>
      <c r="W1123" s="10">
        <f t="shared" si="59"/>
        <v>0</v>
      </c>
      <c r="AK1123" s="10" t="str">
        <f t="array" ref="AK1123">IFERROR(INDEX(SelectedSpecies,SMALL(IF(SelectedSpecies=AK$1,ROW(SelectedSpecies)),ROW(1124:1124)),2),"")</f>
        <v/>
      </c>
      <c r="BE1123" s="10"/>
      <c r="BI1123" s="10"/>
    </row>
    <row r="1124" spans="1:61" ht="21" customHeight="1" x14ac:dyDescent="0.25">
      <c r="A1124" s="10"/>
      <c r="B1124" s="10"/>
      <c r="E1124" s="10"/>
      <c r="G1124" s="10"/>
      <c r="I1124" s="436" t="s">
        <v>7712</v>
      </c>
      <c r="J1124" s="26" t="s">
        <v>7711</v>
      </c>
      <c r="K1124" s="10">
        <v>0.1</v>
      </c>
      <c r="L1124" s="73">
        <f>IF(Tank1!$C$23="No control",(SUMIF(Tank1!$B$32:$B$49,$J1124,Tank1!$C$32:$C$49)*Impacts!$F$8),0)</f>
        <v>0</v>
      </c>
      <c r="M1124" s="10">
        <f>IF(Tank2!$C$23="No control",(SUMIF(Tank2!$B$32:$B$49,$J1124,Tank2!$C$32:$C$49)*Impacts!$F$9),0)</f>
        <v>0</v>
      </c>
      <c r="N1124" s="10">
        <f>IF(Tank3!$C$23="No control",(SUMIF(Tank3!$B$32:$B$49,$J1124,Tank3!$C$32:$C$49)*Impacts!$F$10),0)</f>
        <v>0</v>
      </c>
      <c r="O1124" s="10">
        <f>IF(Tank4!$C$23="No control",(SUMIF(Tank4!$B$32:$B$49,$J1124,Tank4!$C$32:$C$49)*Impacts!$F$11),0)</f>
        <v>0</v>
      </c>
      <c r="P1124" s="10">
        <f>IF(Tank5!$C$23="No control",(SUMIF(Tank5!$B$32:$B$49,$J1124,Tank5!$C$32:$C$49)*Impacts!$F$12),0)</f>
        <v>0</v>
      </c>
      <c r="Q1124" s="10">
        <f>IFERROR(IF(('Loading-drum,tote'!$C$21)="No control",SUMIF(('Loading-drum,tote'!$B$31:$B$48),$J1124,('Loading-drum,tote'!$D$31:$D$48))*Impacts!$F$13,IF(('Loading-drum,tote'!$C$21)&lt;&gt;"No control",SUMIF(('Loading-drum,tote'!$B$31:$B$48),$J1124,('Loading-drum,tote'!$E$31:$E$48))*Impacts!$F$13,0)),0)</f>
        <v>0</v>
      </c>
      <c r="R1124" s="10">
        <f>IFERROR(IF(('Loading-truck'!$C$21)="No control",SUMIF(('Loading-truck'!$B$31:$B$48),$J1124,('Loading-truck'!$D$31:$D$48))*Impacts!$F$14,IF(('Loading-truck'!$C$21)&lt;&gt;"No control",SUMIF(('Loading-truck'!$B$31:$B$48),$J1124,('Loading-truck'!$E$31:$E$48))*Impacts!$F$14,0)),0)</f>
        <v>0</v>
      </c>
      <c r="S1124" s="10">
        <f>IFERROR(IF(('Loading-rail'!$C$21)="No control",SUMIF(('Loading-rail'!$B$31:$B$48),$J1124,('Loading-rail'!$D$31:$D$48))*Impacts!$F$15,IF(('Loading-rail'!$C$21)&lt;&gt;"No control",SUMIF(('Loading-rail'!$B$31:$B$48),$J1124,('Loading-rail'!$E$31:$E$48))*Impacts!$F$15,0)),0)</f>
        <v>0</v>
      </c>
      <c r="T1124" s="10">
        <f>IF(Flare!$C$7="",0,(SUMIF(Flare!$B$46:$B$185,$J1124,Flare!$E$46:$E$185)*Impacts!$F$16))</f>
        <v>0</v>
      </c>
      <c r="U1124" s="10">
        <f>IF(VCU!$C$9="",0,(SUMIF(VCU!$B$51:$B$193,$J1124,VCU!$E$51:$E$193)*Impacts!$F$17))</f>
        <v>0</v>
      </c>
      <c r="V1124" s="10">
        <f>IF(CAS!$C$7="",0,(SUMIF(CAS!$B$31:$B$167,$J1124,CAS!$E$31:$E$167)*Impacts!$F$18))</f>
        <v>0</v>
      </c>
      <c r="W1124" s="10">
        <f t="shared" si="59"/>
        <v>0</v>
      </c>
      <c r="AK1124" s="10" t="str">
        <f t="array" ref="AK1124">IFERROR(INDEX(SelectedSpecies,SMALL(IF(SelectedSpecies=AK$1,ROW(SelectedSpecies)),ROW(1125:1125)),2),"")</f>
        <v/>
      </c>
      <c r="BE1124" s="10"/>
      <c r="BI1124" s="10"/>
    </row>
    <row r="1125" spans="1:61" ht="21" customHeight="1" x14ac:dyDescent="0.25">
      <c r="A1125" s="10"/>
      <c r="B1125" s="10"/>
      <c r="E1125" s="10"/>
      <c r="G1125" s="10"/>
      <c r="I1125" s="436" t="s">
        <v>5405</v>
      </c>
      <c r="J1125" s="26" t="s">
        <v>5404</v>
      </c>
      <c r="K1125" s="10">
        <v>1.4000000000000001</v>
      </c>
      <c r="L1125" s="73">
        <f>IF(Tank1!$C$23="No control",(SUMIF(Tank1!$B$32:$B$49,$J1125,Tank1!$C$32:$C$49)*Impacts!$F$8),0)</f>
        <v>0</v>
      </c>
      <c r="M1125" s="10">
        <f>IF(Tank2!$C$23="No control",(SUMIF(Tank2!$B$32:$B$49,$J1125,Tank2!$C$32:$C$49)*Impacts!$F$9),0)</f>
        <v>0</v>
      </c>
      <c r="N1125" s="10">
        <f>IF(Tank3!$C$23="No control",(SUMIF(Tank3!$B$32:$B$49,$J1125,Tank3!$C$32:$C$49)*Impacts!$F$10),0)</f>
        <v>0</v>
      </c>
      <c r="O1125" s="10">
        <f>IF(Tank4!$C$23="No control",(SUMIF(Tank4!$B$32:$B$49,$J1125,Tank4!$C$32:$C$49)*Impacts!$F$11),0)</f>
        <v>0</v>
      </c>
      <c r="P1125" s="10">
        <f>IF(Tank5!$C$23="No control",(SUMIF(Tank5!$B$32:$B$49,$J1125,Tank5!$C$32:$C$49)*Impacts!$F$12),0)</f>
        <v>0</v>
      </c>
      <c r="Q1125" s="10">
        <f>IFERROR(IF(('Loading-drum,tote'!$C$21)="No control",SUMIF(('Loading-drum,tote'!$B$31:$B$48),$J1125,('Loading-drum,tote'!$D$31:$D$48))*Impacts!$F$13,IF(('Loading-drum,tote'!$C$21)&lt;&gt;"No control",SUMIF(('Loading-drum,tote'!$B$31:$B$48),$J1125,('Loading-drum,tote'!$E$31:$E$48))*Impacts!$F$13,0)),0)</f>
        <v>0</v>
      </c>
      <c r="R1125" s="10">
        <f>IFERROR(IF(('Loading-truck'!$C$21)="No control",SUMIF(('Loading-truck'!$B$31:$B$48),$J1125,('Loading-truck'!$D$31:$D$48))*Impacts!$F$14,IF(('Loading-truck'!$C$21)&lt;&gt;"No control",SUMIF(('Loading-truck'!$B$31:$B$48),$J1125,('Loading-truck'!$E$31:$E$48))*Impacts!$F$14,0)),0)</f>
        <v>0</v>
      </c>
      <c r="S1125" s="10">
        <f>IFERROR(IF(('Loading-rail'!$C$21)="No control",SUMIF(('Loading-rail'!$B$31:$B$48),$J1125,('Loading-rail'!$D$31:$D$48))*Impacts!$F$15,IF(('Loading-rail'!$C$21)&lt;&gt;"No control",SUMIF(('Loading-rail'!$B$31:$B$48),$J1125,('Loading-rail'!$E$31:$E$48))*Impacts!$F$15,0)),0)</f>
        <v>0</v>
      </c>
      <c r="T1125" s="10">
        <f>IF(Flare!$C$7="",0,(SUMIF(Flare!$B$46:$B$185,$J1125,Flare!$E$46:$E$185)*Impacts!$F$16))</f>
        <v>0</v>
      </c>
      <c r="U1125" s="10">
        <f>IF(VCU!$C$9="",0,(SUMIF(VCU!$B$51:$B$193,$J1125,VCU!$E$51:$E$193)*Impacts!$F$17))</f>
        <v>0</v>
      </c>
      <c r="V1125" s="10">
        <f>IF(CAS!$C$7="",0,(SUMIF(CAS!$B$31:$B$167,$J1125,CAS!$E$31:$E$167)*Impacts!$F$18))</f>
        <v>0</v>
      </c>
      <c r="W1125" s="10">
        <f t="shared" si="59"/>
        <v>0</v>
      </c>
      <c r="AK1125" s="10" t="str">
        <f t="array" ref="AK1125">IFERROR(INDEX(SelectedSpecies,SMALL(IF(SelectedSpecies=AK$1,ROW(SelectedSpecies)),ROW(1126:1126)),2),"")</f>
        <v/>
      </c>
      <c r="BE1125" s="10"/>
      <c r="BI1125" s="10"/>
    </row>
    <row r="1126" spans="1:61" ht="21" customHeight="1" x14ac:dyDescent="0.25">
      <c r="A1126" s="10"/>
      <c r="B1126" s="10"/>
      <c r="E1126" s="10"/>
      <c r="G1126" s="10"/>
      <c r="I1126" s="436" t="s">
        <v>6380</v>
      </c>
      <c r="J1126" s="26" t="s">
        <v>6379</v>
      </c>
      <c r="K1126" s="10">
        <v>0.81</v>
      </c>
      <c r="L1126" s="73">
        <f>IF(Tank1!$C$23="No control",(SUMIF(Tank1!$B$32:$B$49,$J1126,Tank1!$C$32:$C$49)*Impacts!$F$8),0)</f>
        <v>0</v>
      </c>
      <c r="M1126" s="10">
        <f>IF(Tank2!$C$23="No control",(SUMIF(Tank2!$B$32:$B$49,$J1126,Tank2!$C$32:$C$49)*Impacts!$F$9),0)</f>
        <v>0</v>
      </c>
      <c r="N1126" s="10">
        <f>IF(Tank3!$C$23="No control",(SUMIF(Tank3!$B$32:$B$49,$J1126,Tank3!$C$32:$C$49)*Impacts!$F$10),0)</f>
        <v>0</v>
      </c>
      <c r="O1126" s="10">
        <f>IF(Tank4!$C$23="No control",(SUMIF(Tank4!$B$32:$B$49,$J1126,Tank4!$C$32:$C$49)*Impacts!$F$11),0)</f>
        <v>0</v>
      </c>
      <c r="P1126" s="10">
        <f>IF(Tank5!$C$23="No control",(SUMIF(Tank5!$B$32:$B$49,$J1126,Tank5!$C$32:$C$49)*Impacts!$F$12),0)</f>
        <v>0</v>
      </c>
      <c r="Q1126" s="10">
        <f>IFERROR(IF(('Loading-drum,tote'!$C$21)="No control",SUMIF(('Loading-drum,tote'!$B$31:$B$48),$J1126,('Loading-drum,tote'!$D$31:$D$48))*Impacts!$F$13,IF(('Loading-drum,tote'!$C$21)&lt;&gt;"No control",SUMIF(('Loading-drum,tote'!$B$31:$B$48),$J1126,('Loading-drum,tote'!$E$31:$E$48))*Impacts!$F$13,0)),0)</f>
        <v>0</v>
      </c>
      <c r="R1126" s="10">
        <f>IFERROR(IF(('Loading-truck'!$C$21)="No control",SUMIF(('Loading-truck'!$B$31:$B$48),$J1126,('Loading-truck'!$D$31:$D$48))*Impacts!$F$14,IF(('Loading-truck'!$C$21)&lt;&gt;"No control",SUMIF(('Loading-truck'!$B$31:$B$48),$J1126,('Loading-truck'!$E$31:$E$48))*Impacts!$F$14,0)),0)</f>
        <v>0</v>
      </c>
      <c r="S1126" s="10">
        <f>IFERROR(IF(('Loading-rail'!$C$21)="No control",SUMIF(('Loading-rail'!$B$31:$B$48),$J1126,('Loading-rail'!$D$31:$D$48))*Impacts!$F$15,IF(('Loading-rail'!$C$21)&lt;&gt;"No control",SUMIF(('Loading-rail'!$B$31:$B$48),$J1126,('Loading-rail'!$E$31:$E$48))*Impacts!$F$15,0)),0)</f>
        <v>0</v>
      </c>
      <c r="T1126" s="10">
        <f>IF(Flare!$C$7="",0,(SUMIF(Flare!$B$46:$B$185,$J1126,Flare!$E$46:$E$185)*Impacts!$F$16))</f>
        <v>0</v>
      </c>
      <c r="U1126" s="10">
        <f>IF(VCU!$C$9="",0,(SUMIF(VCU!$B$51:$B$193,$J1126,VCU!$E$51:$E$193)*Impacts!$F$17))</f>
        <v>0</v>
      </c>
      <c r="V1126" s="10">
        <f>IF(CAS!$C$7="",0,(SUMIF(CAS!$B$31:$B$167,$J1126,CAS!$E$31:$E$167)*Impacts!$F$18))</f>
        <v>0</v>
      </c>
      <c r="W1126" s="10">
        <f t="shared" si="59"/>
        <v>0</v>
      </c>
      <c r="AK1126" s="10" t="str">
        <f t="array" ref="AK1126">IFERROR(INDEX(SelectedSpecies,SMALL(IF(SelectedSpecies=AK$1,ROW(SelectedSpecies)),ROW(1127:1127)),2),"")</f>
        <v/>
      </c>
      <c r="BE1126" s="10"/>
      <c r="BI1126" s="10"/>
    </row>
    <row r="1127" spans="1:61" ht="21" customHeight="1" x14ac:dyDescent="0.25">
      <c r="A1127" s="10"/>
      <c r="B1127" s="10"/>
      <c r="E1127" s="10"/>
      <c r="G1127" s="10"/>
      <c r="I1127" s="436" t="s">
        <v>6380</v>
      </c>
      <c r="J1127" s="26" t="s">
        <v>10359</v>
      </c>
      <c r="K1127" s="10">
        <v>5.6999999999999995E-2</v>
      </c>
      <c r="L1127" s="73">
        <f>IF(Tank1!$C$23="No control",(SUMIF(Tank1!$B$32:$B$49,$J1127,Tank1!$C$32:$C$49)*Impacts!$F$8),0)</f>
        <v>0</v>
      </c>
      <c r="M1127" s="10">
        <f>IF(Tank2!$C$23="No control",(SUMIF(Tank2!$B$32:$B$49,$J1127,Tank2!$C$32:$C$49)*Impacts!$F$9),0)</f>
        <v>0</v>
      </c>
      <c r="N1127" s="10">
        <f>IF(Tank3!$C$23="No control",(SUMIF(Tank3!$B$32:$B$49,$J1127,Tank3!$C$32:$C$49)*Impacts!$F$10),0)</f>
        <v>0</v>
      </c>
      <c r="O1127" s="10">
        <f>IF(Tank4!$C$23="No control",(SUMIF(Tank4!$B$32:$B$49,$J1127,Tank4!$C$32:$C$49)*Impacts!$F$11),0)</f>
        <v>0</v>
      </c>
      <c r="P1127" s="10">
        <f>IF(Tank5!$C$23="No control",(SUMIF(Tank5!$B$32:$B$49,$J1127,Tank5!$C$32:$C$49)*Impacts!$F$12),0)</f>
        <v>0</v>
      </c>
      <c r="Q1127" s="10">
        <f>IFERROR(IF(('Loading-drum,tote'!$C$21)="No control",SUMIF(('Loading-drum,tote'!$B$31:$B$48),$J1127,('Loading-drum,tote'!$D$31:$D$48))*Impacts!$F$13,IF(('Loading-drum,tote'!$C$21)&lt;&gt;"No control",SUMIF(('Loading-drum,tote'!$B$31:$B$48),$J1127,('Loading-drum,tote'!$E$31:$E$48))*Impacts!$F$13,0)),0)</f>
        <v>0</v>
      </c>
      <c r="R1127" s="10">
        <f>IFERROR(IF(('Loading-truck'!$C$21)="No control",SUMIF(('Loading-truck'!$B$31:$B$48),$J1127,('Loading-truck'!$D$31:$D$48))*Impacts!$F$14,IF(('Loading-truck'!$C$21)&lt;&gt;"No control",SUMIF(('Loading-truck'!$B$31:$B$48),$J1127,('Loading-truck'!$E$31:$E$48))*Impacts!$F$14,0)),0)</f>
        <v>0</v>
      </c>
      <c r="S1127" s="10">
        <f>IFERROR(IF(('Loading-rail'!$C$21)="No control",SUMIF(('Loading-rail'!$B$31:$B$48),$J1127,('Loading-rail'!$D$31:$D$48))*Impacts!$F$15,IF(('Loading-rail'!$C$21)&lt;&gt;"No control",SUMIF(('Loading-rail'!$B$31:$B$48),$J1127,('Loading-rail'!$E$31:$E$48))*Impacts!$F$15,0)),0)</f>
        <v>0</v>
      </c>
      <c r="T1127" s="10">
        <f>IF(Flare!$C$7="",0,(SUMIF(Flare!$B$46:$B$185,$J1127,Flare!$E$46:$E$185)*Impacts!$F$16))</f>
        <v>0</v>
      </c>
      <c r="U1127" s="10">
        <f>IF(VCU!$C$9="",0,(SUMIF(VCU!$B$51:$B$193,$J1127,VCU!$E$51:$E$193)*Impacts!$F$17))</f>
        <v>0</v>
      </c>
      <c r="V1127" s="10">
        <f>IF(CAS!$C$7="",0,(SUMIF(CAS!$B$31:$B$167,$J1127,CAS!$E$31:$E$167)*Impacts!$F$18))</f>
        <v>0</v>
      </c>
      <c r="W1127" s="10">
        <f t="shared" si="59"/>
        <v>0</v>
      </c>
      <c r="AK1127" s="10" t="str">
        <f t="array" ref="AK1127">IFERROR(INDEX(SelectedSpecies,SMALL(IF(SelectedSpecies=AK$1,ROW(SelectedSpecies)),ROW(1128:1128)),2),"")</f>
        <v/>
      </c>
      <c r="BE1127" s="10"/>
      <c r="BI1127" s="10"/>
    </row>
    <row r="1128" spans="1:61" ht="21" customHeight="1" x14ac:dyDescent="0.25">
      <c r="A1128" s="10"/>
      <c r="B1128" s="10"/>
      <c r="E1128" s="10"/>
      <c r="G1128" s="10"/>
      <c r="I1128" s="436" t="s">
        <v>6380</v>
      </c>
      <c r="J1128" s="26" t="s">
        <v>10360</v>
      </c>
      <c r="K1128" s="10">
        <v>7.0999999999999994E-2</v>
      </c>
      <c r="L1128" s="73">
        <f>IF(Tank1!$C$23="No control",(SUMIF(Tank1!$B$32:$B$49,$J1128,Tank1!$C$32:$C$49)*Impacts!$F$8),0)</f>
        <v>0</v>
      </c>
      <c r="M1128" s="10">
        <f>IF(Tank2!$C$23="No control",(SUMIF(Tank2!$B$32:$B$49,$J1128,Tank2!$C$32:$C$49)*Impacts!$F$9),0)</f>
        <v>0</v>
      </c>
      <c r="N1128" s="10">
        <f>IF(Tank3!$C$23="No control",(SUMIF(Tank3!$B$32:$B$49,$J1128,Tank3!$C$32:$C$49)*Impacts!$F$10),0)</f>
        <v>0</v>
      </c>
      <c r="O1128" s="10">
        <f>IF(Tank4!$C$23="No control",(SUMIF(Tank4!$B$32:$B$49,$J1128,Tank4!$C$32:$C$49)*Impacts!$F$11),0)</f>
        <v>0</v>
      </c>
      <c r="P1128" s="10">
        <f>IF(Tank5!$C$23="No control",(SUMIF(Tank5!$B$32:$B$49,$J1128,Tank5!$C$32:$C$49)*Impacts!$F$12),0)</f>
        <v>0</v>
      </c>
      <c r="Q1128" s="10">
        <f>IFERROR(IF(('Loading-drum,tote'!$C$21)="No control",SUMIF(('Loading-drum,tote'!$B$31:$B$48),$J1128,('Loading-drum,tote'!$D$31:$D$48))*Impacts!$F$13,IF(('Loading-drum,tote'!$C$21)&lt;&gt;"No control",SUMIF(('Loading-drum,tote'!$B$31:$B$48),$J1128,('Loading-drum,tote'!$E$31:$E$48))*Impacts!$F$13,0)),0)</f>
        <v>0</v>
      </c>
      <c r="R1128" s="10">
        <f>IFERROR(IF(('Loading-truck'!$C$21)="No control",SUMIF(('Loading-truck'!$B$31:$B$48),$J1128,('Loading-truck'!$D$31:$D$48))*Impacts!$F$14,IF(('Loading-truck'!$C$21)&lt;&gt;"No control",SUMIF(('Loading-truck'!$B$31:$B$48),$J1128,('Loading-truck'!$E$31:$E$48))*Impacts!$F$14,0)),0)</f>
        <v>0</v>
      </c>
      <c r="S1128" s="10">
        <f>IFERROR(IF(('Loading-rail'!$C$21)="No control",SUMIF(('Loading-rail'!$B$31:$B$48),$J1128,('Loading-rail'!$D$31:$D$48))*Impacts!$F$15,IF(('Loading-rail'!$C$21)&lt;&gt;"No control",SUMIF(('Loading-rail'!$B$31:$B$48),$J1128,('Loading-rail'!$E$31:$E$48))*Impacts!$F$15,0)),0)</f>
        <v>0</v>
      </c>
      <c r="T1128" s="10">
        <f>IF(Flare!$C$7="",0,(SUMIF(Flare!$B$46:$B$185,$J1128,Flare!$E$46:$E$185)*Impacts!$F$16))</f>
        <v>0</v>
      </c>
      <c r="U1128" s="10">
        <f>IF(VCU!$C$9="",0,(SUMIF(VCU!$B$51:$B$193,$J1128,VCU!$E$51:$E$193)*Impacts!$F$17))</f>
        <v>0</v>
      </c>
      <c r="V1128" s="10">
        <f>IF(CAS!$C$7="",0,(SUMIF(CAS!$B$31:$B$167,$J1128,CAS!$E$31:$E$167)*Impacts!$F$18))</f>
        <v>0</v>
      </c>
      <c r="W1128" s="10">
        <f t="shared" si="59"/>
        <v>0</v>
      </c>
      <c r="AK1128" s="10" t="str">
        <f t="array" ref="AK1128">IFERROR(INDEX(SelectedSpecies,SMALL(IF(SelectedSpecies=AK$1,ROW(SelectedSpecies)),ROW(1129:1129)),2),"")</f>
        <v/>
      </c>
      <c r="BE1128" s="10"/>
      <c r="BI1128" s="10"/>
    </row>
    <row r="1129" spans="1:61" ht="21" customHeight="1" x14ac:dyDescent="0.25">
      <c r="A1129" s="10"/>
      <c r="B1129" s="10"/>
      <c r="E1129" s="10"/>
      <c r="G1129" s="10"/>
      <c r="I1129" s="436" t="s">
        <v>998</v>
      </c>
      <c r="J1129" s="26" t="s">
        <v>997</v>
      </c>
      <c r="K1129" s="10">
        <v>35</v>
      </c>
      <c r="L1129" s="73">
        <f>IF(Tank1!$C$23="No control",(SUMIF(Tank1!$B$32:$B$49,$J1129,Tank1!$C$32:$C$49)*Impacts!$F$8),0)</f>
        <v>0</v>
      </c>
      <c r="M1129" s="10">
        <f>IF(Tank2!$C$23="No control",(SUMIF(Tank2!$B$32:$B$49,$J1129,Tank2!$C$32:$C$49)*Impacts!$F$9),0)</f>
        <v>0</v>
      </c>
      <c r="N1129" s="10">
        <f>IF(Tank3!$C$23="No control",(SUMIF(Tank3!$B$32:$B$49,$J1129,Tank3!$C$32:$C$49)*Impacts!$F$10),0)</f>
        <v>0</v>
      </c>
      <c r="O1129" s="10">
        <f>IF(Tank4!$C$23="No control",(SUMIF(Tank4!$B$32:$B$49,$J1129,Tank4!$C$32:$C$49)*Impacts!$F$11),0)</f>
        <v>0</v>
      </c>
      <c r="P1129" s="10">
        <f>IF(Tank5!$C$23="No control",(SUMIF(Tank5!$B$32:$B$49,$J1129,Tank5!$C$32:$C$49)*Impacts!$F$12),0)</f>
        <v>0</v>
      </c>
      <c r="Q1129" s="10">
        <f>IFERROR(IF(('Loading-drum,tote'!$C$21)="No control",SUMIF(('Loading-drum,tote'!$B$31:$B$48),$J1129,('Loading-drum,tote'!$D$31:$D$48))*Impacts!$F$13,IF(('Loading-drum,tote'!$C$21)&lt;&gt;"No control",SUMIF(('Loading-drum,tote'!$B$31:$B$48),$J1129,('Loading-drum,tote'!$E$31:$E$48))*Impacts!$F$13,0)),0)</f>
        <v>0</v>
      </c>
      <c r="R1129" s="10">
        <f>IFERROR(IF(('Loading-truck'!$C$21)="No control",SUMIF(('Loading-truck'!$B$31:$B$48),$J1129,('Loading-truck'!$D$31:$D$48))*Impacts!$F$14,IF(('Loading-truck'!$C$21)&lt;&gt;"No control",SUMIF(('Loading-truck'!$B$31:$B$48),$J1129,('Loading-truck'!$E$31:$E$48))*Impacts!$F$14,0)),0)</f>
        <v>0</v>
      </c>
      <c r="S1129" s="10">
        <f>IFERROR(IF(('Loading-rail'!$C$21)="No control",SUMIF(('Loading-rail'!$B$31:$B$48),$J1129,('Loading-rail'!$D$31:$D$48))*Impacts!$F$15,IF(('Loading-rail'!$C$21)&lt;&gt;"No control",SUMIF(('Loading-rail'!$B$31:$B$48),$J1129,('Loading-rail'!$E$31:$E$48))*Impacts!$F$15,0)),0)</f>
        <v>0</v>
      </c>
      <c r="T1129" s="10">
        <f>IF(Flare!$C$7="",0,(SUMIF(Flare!$B$46:$B$185,$J1129,Flare!$E$46:$E$185)*Impacts!$F$16))</f>
        <v>0</v>
      </c>
      <c r="U1129" s="10">
        <f>IF(VCU!$C$9="",0,(SUMIF(VCU!$B$51:$B$193,$J1129,VCU!$E$51:$E$193)*Impacts!$F$17))</f>
        <v>0</v>
      </c>
      <c r="V1129" s="10">
        <f>IF(CAS!$C$7="",0,(SUMIF(CAS!$B$31:$B$167,$J1129,CAS!$E$31:$E$167)*Impacts!$F$18))</f>
        <v>0</v>
      </c>
      <c r="W1129" s="10">
        <f t="shared" si="59"/>
        <v>0</v>
      </c>
      <c r="AK1129" s="10" t="str">
        <f t="array" ref="AK1129">IFERROR(INDEX(SelectedSpecies,SMALL(IF(SelectedSpecies=AK$1,ROW(SelectedSpecies)),ROW(1130:1130)),2),"")</f>
        <v/>
      </c>
      <c r="BE1129" s="10"/>
      <c r="BI1129" s="10"/>
    </row>
    <row r="1130" spans="1:61" ht="21" customHeight="1" x14ac:dyDescent="0.25">
      <c r="A1130" s="10"/>
      <c r="B1130" s="10"/>
      <c r="E1130" s="10"/>
      <c r="G1130" s="10"/>
      <c r="I1130" s="436" t="s">
        <v>6780</v>
      </c>
      <c r="J1130" s="26" t="s">
        <v>6779</v>
      </c>
      <c r="K1130" s="10">
        <v>0.5</v>
      </c>
      <c r="L1130" s="73">
        <f>IF(Tank1!$C$23="No control",(SUMIF(Tank1!$B$32:$B$49,$J1130,Tank1!$C$32:$C$49)*Impacts!$F$8),0)</f>
        <v>0</v>
      </c>
      <c r="M1130" s="10">
        <f>IF(Tank2!$C$23="No control",(SUMIF(Tank2!$B$32:$B$49,$J1130,Tank2!$C$32:$C$49)*Impacts!$F$9),0)</f>
        <v>0</v>
      </c>
      <c r="N1130" s="10">
        <f>IF(Tank3!$C$23="No control",(SUMIF(Tank3!$B$32:$B$49,$J1130,Tank3!$C$32:$C$49)*Impacts!$F$10),0)</f>
        <v>0</v>
      </c>
      <c r="O1130" s="10">
        <f>IF(Tank4!$C$23="No control",(SUMIF(Tank4!$B$32:$B$49,$J1130,Tank4!$C$32:$C$49)*Impacts!$F$11),0)</f>
        <v>0</v>
      </c>
      <c r="P1130" s="10">
        <f>IF(Tank5!$C$23="No control",(SUMIF(Tank5!$B$32:$B$49,$J1130,Tank5!$C$32:$C$49)*Impacts!$F$12),0)</f>
        <v>0</v>
      </c>
      <c r="Q1130" s="10">
        <f>IFERROR(IF(('Loading-drum,tote'!$C$21)="No control",SUMIF(('Loading-drum,tote'!$B$31:$B$48),$J1130,('Loading-drum,tote'!$D$31:$D$48))*Impacts!$F$13,IF(('Loading-drum,tote'!$C$21)&lt;&gt;"No control",SUMIF(('Loading-drum,tote'!$B$31:$B$48),$J1130,('Loading-drum,tote'!$E$31:$E$48))*Impacts!$F$13,0)),0)</f>
        <v>0</v>
      </c>
      <c r="R1130" s="10">
        <f>IFERROR(IF(('Loading-truck'!$C$21)="No control",SUMIF(('Loading-truck'!$B$31:$B$48),$J1130,('Loading-truck'!$D$31:$D$48))*Impacts!$F$14,IF(('Loading-truck'!$C$21)&lt;&gt;"No control",SUMIF(('Loading-truck'!$B$31:$B$48),$J1130,('Loading-truck'!$E$31:$E$48))*Impacts!$F$14,0)),0)</f>
        <v>0</v>
      </c>
      <c r="S1130" s="10">
        <f>IFERROR(IF(('Loading-rail'!$C$21)="No control",SUMIF(('Loading-rail'!$B$31:$B$48),$J1130,('Loading-rail'!$D$31:$D$48))*Impacts!$F$15,IF(('Loading-rail'!$C$21)&lt;&gt;"No control",SUMIF(('Loading-rail'!$B$31:$B$48),$J1130,('Loading-rail'!$E$31:$E$48))*Impacts!$F$15,0)),0)</f>
        <v>0</v>
      </c>
      <c r="T1130" s="10">
        <f>IF(Flare!$C$7="",0,(SUMIF(Flare!$B$46:$B$185,$J1130,Flare!$E$46:$E$185)*Impacts!$F$16))</f>
        <v>0</v>
      </c>
      <c r="U1130" s="10">
        <f>IF(VCU!$C$9="",0,(SUMIF(VCU!$B$51:$B$193,$J1130,VCU!$E$51:$E$193)*Impacts!$F$17))</f>
        <v>0</v>
      </c>
      <c r="V1130" s="10">
        <f>IF(CAS!$C$7="",0,(SUMIF(CAS!$B$31:$B$167,$J1130,CAS!$E$31:$E$167)*Impacts!$F$18))</f>
        <v>0</v>
      </c>
      <c r="W1130" s="10">
        <f t="shared" si="59"/>
        <v>0</v>
      </c>
      <c r="AK1130" s="10" t="str">
        <f t="array" ref="AK1130">IFERROR(INDEX(SelectedSpecies,SMALL(IF(SelectedSpecies=AK$1,ROW(SelectedSpecies)),ROW(1131:1131)),2),"")</f>
        <v/>
      </c>
      <c r="BE1130" s="10"/>
      <c r="BI1130" s="10"/>
    </row>
    <row r="1131" spans="1:61" ht="21" customHeight="1" x14ac:dyDescent="0.25">
      <c r="A1131" s="10"/>
      <c r="B1131" s="10"/>
      <c r="E1131" s="10"/>
      <c r="G1131" s="10"/>
      <c r="I1131" s="436" t="s">
        <v>7332</v>
      </c>
      <c r="J1131" s="26" t="s">
        <v>7331</v>
      </c>
      <c r="K1131" s="10">
        <v>0.26</v>
      </c>
      <c r="L1131" s="73">
        <f>IF(Tank1!$C$23="No control",(SUMIF(Tank1!$B$32:$B$49,$J1131,Tank1!$C$32:$C$49)*Impacts!$F$8),0)</f>
        <v>0</v>
      </c>
      <c r="M1131" s="10">
        <f>IF(Tank2!$C$23="No control",(SUMIF(Tank2!$B$32:$B$49,$J1131,Tank2!$C$32:$C$49)*Impacts!$F$9),0)</f>
        <v>0</v>
      </c>
      <c r="N1131" s="10">
        <f>IF(Tank3!$C$23="No control",(SUMIF(Tank3!$B$32:$B$49,$J1131,Tank3!$C$32:$C$49)*Impacts!$F$10),0)</f>
        <v>0</v>
      </c>
      <c r="O1131" s="10">
        <f>IF(Tank4!$C$23="No control",(SUMIF(Tank4!$B$32:$B$49,$J1131,Tank4!$C$32:$C$49)*Impacts!$F$11),0)</f>
        <v>0</v>
      </c>
      <c r="P1131" s="10">
        <f>IF(Tank5!$C$23="No control",(SUMIF(Tank5!$B$32:$B$49,$J1131,Tank5!$C$32:$C$49)*Impacts!$F$12),0)</f>
        <v>0</v>
      </c>
      <c r="Q1131" s="10">
        <f>IFERROR(IF(('Loading-drum,tote'!$C$21)="No control",SUMIF(('Loading-drum,tote'!$B$31:$B$48),$J1131,('Loading-drum,tote'!$D$31:$D$48))*Impacts!$F$13,IF(('Loading-drum,tote'!$C$21)&lt;&gt;"No control",SUMIF(('Loading-drum,tote'!$B$31:$B$48),$J1131,('Loading-drum,tote'!$E$31:$E$48))*Impacts!$F$13,0)),0)</f>
        <v>0</v>
      </c>
      <c r="R1131" s="10">
        <f>IFERROR(IF(('Loading-truck'!$C$21)="No control",SUMIF(('Loading-truck'!$B$31:$B$48),$J1131,('Loading-truck'!$D$31:$D$48))*Impacts!$F$14,IF(('Loading-truck'!$C$21)&lt;&gt;"No control",SUMIF(('Loading-truck'!$B$31:$B$48),$J1131,('Loading-truck'!$E$31:$E$48))*Impacts!$F$14,0)),0)</f>
        <v>0</v>
      </c>
      <c r="S1131" s="10">
        <f>IFERROR(IF(('Loading-rail'!$C$21)="No control",SUMIF(('Loading-rail'!$B$31:$B$48),$J1131,('Loading-rail'!$D$31:$D$48))*Impacts!$F$15,IF(('Loading-rail'!$C$21)&lt;&gt;"No control",SUMIF(('Loading-rail'!$B$31:$B$48),$J1131,('Loading-rail'!$E$31:$E$48))*Impacts!$F$15,0)),0)</f>
        <v>0</v>
      </c>
      <c r="T1131" s="10">
        <f>IF(Flare!$C$7="",0,(SUMIF(Flare!$B$46:$B$185,$J1131,Flare!$E$46:$E$185)*Impacts!$F$16))</f>
        <v>0</v>
      </c>
      <c r="U1131" s="10">
        <f>IF(VCU!$C$9="",0,(SUMIF(VCU!$B$51:$B$193,$J1131,VCU!$E$51:$E$193)*Impacts!$F$17))</f>
        <v>0</v>
      </c>
      <c r="V1131" s="10">
        <f>IF(CAS!$C$7="",0,(SUMIF(CAS!$B$31:$B$167,$J1131,CAS!$E$31:$E$167)*Impacts!$F$18))</f>
        <v>0</v>
      </c>
      <c r="W1131" s="10">
        <f t="shared" si="59"/>
        <v>0</v>
      </c>
      <c r="AK1131" s="10" t="str">
        <f t="array" ref="AK1131">IFERROR(INDEX(SelectedSpecies,SMALL(IF(SelectedSpecies=AK$1,ROW(SelectedSpecies)),ROW(1132:1132)),2),"")</f>
        <v/>
      </c>
      <c r="BE1131" s="10"/>
      <c r="BI1131" s="10"/>
    </row>
    <row r="1132" spans="1:61" ht="21" customHeight="1" x14ac:dyDescent="0.25">
      <c r="A1132" s="10"/>
      <c r="B1132" s="10"/>
      <c r="E1132" s="10"/>
      <c r="G1132" s="10"/>
      <c r="I1132" s="436" t="s">
        <v>6382</v>
      </c>
      <c r="J1132" s="26" t="s">
        <v>6381</v>
      </c>
      <c r="K1132" s="10">
        <v>0.81</v>
      </c>
      <c r="L1132" s="73">
        <f>IF(Tank1!$C$23="No control",(SUMIF(Tank1!$B$32:$B$49,$J1132,Tank1!$C$32:$C$49)*Impacts!$F$8),0)</f>
        <v>0</v>
      </c>
      <c r="M1132" s="10">
        <f>IF(Tank2!$C$23="No control",(SUMIF(Tank2!$B$32:$B$49,$J1132,Tank2!$C$32:$C$49)*Impacts!$F$9),0)</f>
        <v>0</v>
      </c>
      <c r="N1132" s="10">
        <f>IF(Tank3!$C$23="No control",(SUMIF(Tank3!$B$32:$B$49,$J1132,Tank3!$C$32:$C$49)*Impacts!$F$10),0)</f>
        <v>0</v>
      </c>
      <c r="O1132" s="10">
        <f>IF(Tank4!$C$23="No control",(SUMIF(Tank4!$B$32:$B$49,$J1132,Tank4!$C$32:$C$49)*Impacts!$F$11),0)</f>
        <v>0</v>
      </c>
      <c r="P1132" s="10">
        <f>IF(Tank5!$C$23="No control",(SUMIF(Tank5!$B$32:$B$49,$J1132,Tank5!$C$32:$C$49)*Impacts!$F$12),0)</f>
        <v>0</v>
      </c>
      <c r="Q1132" s="10">
        <f>IFERROR(IF(('Loading-drum,tote'!$C$21)="No control",SUMIF(('Loading-drum,tote'!$B$31:$B$48),$J1132,('Loading-drum,tote'!$D$31:$D$48))*Impacts!$F$13,IF(('Loading-drum,tote'!$C$21)&lt;&gt;"No control",SUMIF(('Loading-drum,tote'!$B$31:$B$48),$J1132,('Loading-drum,tote'!$E$31:$E$48))*Impacts!$F$13,0)),0)</f>
        <v>0</v>
      </c>
      <c r="R1132" s="10">
        <f>IFERROR(IF(('Loading-truck'!$C$21)="No control",SUMIF(('Loading-truck'!$B$31:$B$48),$J1132,('Loading-truck'!$D$31:$D$48))*Impacts!$F$14,IF(('Loading-truck'!$C$21)&lt;&gt;"No control",SUMIF(('Loading-truck'!$B$31:$B$48),$J1132,('Loading-truck'!$E$31:$E$48))*Impacts!$F$14,0)),0)</f>
        <v>0</v>
      </c>
      <c r="S1132" s="10">
        <f>IFERROR(IF(('Loading-rail'!$C$21)="No control",SUMIF(('Loading-rail'!$B$31:$B$48),$J1132,('Loading-rail'!$D$31:$D$48))*Impacts!$F$15,IF(('Loading-rail'!$C$21)&lt;&gt;"No control",SUMIF(('Loading-rail'!$B$31:$B$48),$J1132,('Loading-rail'!$E$31:$E$48))*Impacts!$F$15,0)),0)</f>
        <v>0</v>
      </c>
      <c r="T1132" s="10">
        <f>IF(Flare!$C$7="",0,(SUMIF(Flare!$B$46:$B$185,$J1132,Flare!$E$46:$E$185)*Impacts!$F$16))</f>
        <v>0</v>
      </c>
      <c r="U1132" s="10">
        <f>IF(VCU!$C$9="",0,(SUMIF(VCU!$B$51:$B$193,$J1132,VCU!$E$51:$E$193)*Impacts!$F$17))</f>
        <v>0</v>
      </c>
      <c r="V1132" s="10">
        <f>IF(CAS!$C$7="",0,(SUMIF(CAS!$B$31:$B$167,$J1132,CAS!$E$31:$E$167)*Impacts!$F$18))</f>
        <v>0</v>
      </c>
      <c r="W1132" s="10">
        <f t="shared" si="59"/>
        <v>0</v>
      </c>
      <c r="AK1132" s="10" t="str">
        <f t="array" ref="AK1132">IFERROR(INDEX(SelectedSpecies,SMALL(IF(SelectedSpecies=AK$1,ROW(SelectedSpecies)),ROW(1133:1133)),2),"")</f>
        <v/>
      </c>
      <c r="BE1132" s="10"/>
      <c r="BI1132" s="10"/>
    </row>
    <row r="1133" spans="1:61" ht="21" customHeight="1" x14ac:dyDescent="0.25">
      <c r="A1133" s="10"/>
      <c r="B1133" s="10"/>
      <c r="E1133" s="10"/>
      <c r="G1133" s="10"/>
      <c r="I1133" s="436" t="s">
        <v>6382</v>
      </c>
      <c r="J1133" s="26" t="s">
        <v>10361</v>
      </c>
      <c r="K1133" s="10">
        <v>5.6999999999999995E-2</v>
      </c>
      <c r="L1133" s="73">
        <f>IF(Tank1!$C$23="No control",(SUMIF(Tank1!$B$32:$B$49,$J1133,Tank1!$C$32:$C$49)*Impacts!$F$8),0)</f>
        <v>0</v>
      </c>
      <c r="M1133" s="10">
        <f>IF(Tank2!$C$23="No control",(SUMIF(Tank2!$B$32:$B$49,$J1133,Tank2!$C$32:$C$49)*Impacts!$F$9),0)</f>
        <v>0</v>
      </c>
      <c r="N1133" s="10">
        <f>IF(Tank3!$C$23="No control",(SUMIF(Tank3!$B$32:$B$49,$J1133,Tank3!$C$32:$C$49)*Impacts!$F$10),0)</f>
        <v>0</v>
      </c>
      <c r="O1133" s="10">
        <f>IF(Tank4!$C$23="No control",(SUMIF(Tank4!$B$32:$B$49,$J1133,Tank4!$C$32:$C$49)*Impacts!$F$11),0)</f>
        <v>0</v>
      </c>
      <c r="P1133" s="10">
        <f>IF(Tank5!$C$23="No control",(SUMIF(Tank5!$B$32:$B$49,$J1133,Tank5!$C$32:$C$49)*Impacts!$F$12),0)</f>
        <v>0</v>
      </c>
      <c r="Q1133" s="10">
        <f>IFERROR(IF(('Loading-drum,tote'!$C$21)="No control",SUMIF(('Loading-drum,tote'!$B$31:$B$48),$J1133,('Loading-drum,tote'!$D$31:$D$48))*Impacts!$F$13,IF(('Loading-drum,tote'!$C$21)&lt;&gt;"No control",SUMIF(('Loading-drum,tote'!$B$31:$B$48),$J1133,('Loading-drum,tote'!$E$31:$E$48))*Impacts!$F$13,0)),0)</f>
        <v>0</v>
      </c>
      <c r="R1133" s="10">
        <f>IFERROR(IF(('Loading-truck'!$C$21)="No control",SUMIF(('Loading-truck'!$B$31:$B$48),$J1133,('Loading-truck'!$D$31:$D$48))*Impacts!$F$14,IF(('Loading-truck'!$C$21)&lt;&gt;"No control",SUMIF(('Loading-truck'!$B$31:$B$48),$J1133,('Loading-truck'!$E$31:$E$48))*Impacts!$F$14,0)),0)</f>
        <v>0</v>
      </c>
      <c r="S1133" s="10">
        <f>IFERROR(IF(('Loading-rail'!$C$21)="No control",SUMIF(('Loading-rail'!$B$31:$B$48),$J1133,('Loading-rail'!$D$31:$D$48))*Impacts!$F$15,IF(('Loading-rail'!$C$21)&lt;&gt;"No control",SUMIF(('Loading-rail'!$B$31:$B$48),$J1133,('Loading-rail'!$E$31:$E$48))*Impacts!$F$15,0)),0)</f>
        <v>0</v>
      </c>
      <c r="T1133" s="10">
        <f>IF(Flare!$C$7="",0,(SUMIF(Flare!$B$46:$B$185,$J1133,Flare!$E$46:$E$185)*Impacts!$F$16))</f>
        <v>0</v>
      </c>
      <c r="U1133" s="10">
        <f>IF(VCU!$C$9="",0,(SUMIF(VCU!$B$51:$B$193,$J1133,VCU!$E$51:$E$193)*Impacts!$F$17))</f>
        <v>0</v>
      </c>
      <c r="V1133" s="10">
        <f>IF(CAS!$C$7="",0,(SUMIF(CAS!$B$31:$B$167,$J1133,CAS!$E$31:$E$167)*Impacts!$F$18))</f>
        <v>0</v>
      </c>
      <c r="W1133" s="10">
        <f t="shared" si="59"/>
        <v>0</v>
      </c>
      <c r="AK1133" s="10" t="str">
        <f t="array" ref="AK1133">IFERROR(INDEX(SelectedSpecies,SMALL(IF(SelectedSpecies=AK$1,ROW(SelectedSpecies)),ROW(1134:1134)),2),"")</f>
        <v/>
      </c>
      <c r="BE1133" s="10"/>
      <c r="BI1133" s="10"/>
    </row>
    <row r="1134" spans="1:61" ht="21" customHeight="1" x14ac:dyDescent="0.25">
      <c r="A1134" s="10"/>
      <c r="B1134" s="10"/>
      <c r="E1134" s="10"/>
      <c r="G1134" s="10"/>
      <c r="I1134" s="436" t="s">
        <v>6382</v>
      </c>
      <c r="J1134" s="26" t="s">
        <v>10362</v>
      </c>
      <c r="K1134" s="10">
        <v>7.0999999999999994E-2</v>
      </c>
      <c r="L1134" s="73">
        <f>IF(Tank1!$C$23="No control",(SUMIF(Tank1!$B$32:$B$49,$J1134,Tank1!$C$32:$C$49)*Impacts!$F$8),0)</f>
        <v>0</v>
      </c>
      <c r="M1134" s="10">
        <f>IF(Tank2!$C$23="No control",(SUMIF(Tank2!$B$32:$B$49,$J1134,Tank2!$C$32:$C$49)*Impacts!$F$9),0)</f>
        <v>0</v>
      </c>
      <c r="N1134" s="10">
        <f>IF(Tank3!$C$23="No control",(SUMIF(Tank3!$B$32:$B$49,$J1134,Tank3!$C$32:$C$49)*Impacts!$F$10),0)</f>
        <v>0</v>
      </c>
      <c r="O1134" s="10">
        <f>IF(Tank4!$C$23="No control",(SUMIF(Tank4!$B$32:$B$49,$J1134,Tank4!$C$32:$C$49)*Impacts!$F$11),0)</f>
        <v>0</v>
      </c>
      <c r="P1134" s="10">
        <f>IF(Tank5!$C$23="No control",(SUMIF(Tank5!$B$32:$B$49,$J1134,Tank5!$C$32:$C$49)*Impacts!$F$12),0)</f>
        <v>0</v>
      </c>
      <c r="Q1134" s="10">
        <f>IFERROR(IF(('Loading-drum,tote'!$C$21)="No control",SUMIF(('Loading-drum,tote'!$B$31:$B$48),$J1134,('Loading-drum,tote'!$D$31:$D$48))*Impacts!$F$13,IF(('Loading-drum,tote'!$C$21)&lt;&gt;"No control",SUMIF(('Loading-drum,tote'!$B$31:$B$48),$J1134,('Loading-drum,tote'!$E$31:$E$48))*Impacts!$F$13,0)),0)</f>
        <v>0</v>
      </c>
      <c r="R1134" s="10">
        <f>IFERROR(IF(('Loading-truck'!$C$21)="No control",SUMIF(('Loading-truck'!$B$31:$B$48),$J1134,('Loading-truck'!$D$31:$D$48))*Impacts!$F$14,IF(('Loading-truck'!$C$21)&lt;&gt;"No control",SUMIF(('Loading-truck'!$B$31:$B$48),$J1134,('Loading-truck'!$E$31:$E$48))*Impacts!$F$14,0)),0)</f>
        <v>0</v>
      </c>
      <c r="S1134" s="10">
        <f>IFERROR(IF(('Loading-rail'!$C$21)="No control",SUMIF(('Loading-rail'!$B$31:$B$48),$J1134,('Loading-rail'!$D$31:$D$48))*Impacts!$F$15,IF(('Loading-rail'!$C$21)&lt;&gt;"No control",SUMIF(('Loading-rail'!$B$31:$B$48),$J1134,('Loading-rail'!$E$31:$E$48))*Impacts!$F$15,0)),0)</f>
        <v>0</v>
      </c>
      <c r="T1134" s="10">
        <f>IF(Flare!$C$7="",0,(SUMIF(Flare!$B$46:$B$185,$J1134,Flare!$E$46:$E$185)*Impacts!$F$16))</f>
        <v>0</v>
      </c>
      <c r="U1134" s="10">
        <f>IF(VCU!$C$9="",0,(SUMIF(VCU!$B$51:$B$193,$J1134,VCU!$E$51:$E$193)*Impacts!$F$17))</f>
        <v>0</v>
      </c>
      <c r="V1134" s="10">
        <f>IF(CAS!$C$7="",0,(SUMIF(CAS!$B$31:$B$167,$J1134,CAS!$E$31:$E$167)*Impacts!$F$18))</f>
        <v>0</v>
      </c>
      <c r="W1134" s="10">
        <f t="shared" si="59"/>
        <v>0</v>
      </c>
      <c r="AK1134" s="10" t="str">
        <f t="array" ref="AK1134">IFERROR(INDEX(SelectedSpecies,SMALL(IF(SelectedSpecies=AK$1,ROW(SelectedSpecies)),ROW(1135:1135)),2),"")</f>
        <v/>
      </c>
      <c r="BE1134" s="10"/>
      <c r="BI1134" s="10"/>
    </row>
    <row r="1135" spans="1:61" ht="21" customHeight="1" x14ac:dyDescent="0.25">
      <c r="A1135" s="10"/>
      <c r="B1135" s="10"/>
      <c r="E1135" s="10"/>
      <c r="G1135" s="10"/>
      <c r="I1135" s="436" t="s">
        <v>8338</v>
      </c>
      <c r="J1135" s="26" t="s">
        <v>8337</v>
      </c>
      <c r="K1135" s="10">
        <v>2.0000000000000001E-4</v>
      </c>
      <c r="L1135" s="73">
        <f>IF(Tank1!$C$23="No control",(SUMIF(Tank1!$B$32:$B$49,$J1135,Tank1!$C$32:$C$49)*Impacts!$F$8),0)</f>
        <v>0</v>
      </c>
      <c r="M1135" s="10">
        <f>IF(Tank2!$C$23="No control",(SUMIF(Tank2!$B$32:$B$49,$J1135,Tank2!$C$32:$C$49)*Impacts!$F$9),0)</f>
        <v>0</v>
      </c>
      <c r="N1135" s="10">
        <f>IF(Tank3!$C$23="No control",(SUMIF(Tank3!$B$32:$B$49,$J1135,Tank3!$C$32:$C$49)*Impacts!$F$10),0)</f>
        <v>0</v>
      </c>
      <c r="O1135" s="10">
        <f>IF(Tank4!$C$23="No control",(SUMIF(Tank4!$B$32:$B$49,$J1135,Tank4!$C$32:$C$49)*Impacts!$F$11),0)</f>
        <v>0</v>
      </c>
      <c r="P1135" s="10">
        <f>IF(Tank5!$C$23="No control",(SUMIF(Tank5!$B$32:$B$49,$J1135,Tank5!$C$32:$C$49)*Impacts!$F$12),0)</f>
        <v>0</v>
      </c>
      <c r="Q1135" s="10">
        <f>IFERROR(IF(('Loading-drum,tote'!$C$21)="No control",SUMIF(('Loading-drum,tote'!$B$31:$B$48),$J1135,('Loading-drum,tote'!$D$31:$D$48))*Impacts!$F$13,IF(('Loading-drum,tote'!$C$21)&lt;&gt;"No control",SUMIF(('Loading-drum,tote'!$B$31:$B$48),$J1135,('Loading-drum,tote'!$E$31:$E$48))*Impacts!$F$13,0)),0)</f>
        <v>0</v>
      </c>
      <c r="R1135" s="10">
        <f>IFERROR(IF(('Loading-truck'!$C$21)="No control",SUMIF(('Loading-truck'!$B$31:$B$48),$J1135,('Loading-truck'!$D$31:$D$48))*Impacts!$F$14,IF(('Loading-truck'!$C$21)&lt;&gt;"No control",SUMIF(('Loading-truck'!$B$31:$B$48),$J1135,('Loading-truck'!$E$31:$E$48))*Impacts!$F$14,0)),0)</f>
        <v>0</v>
      </c>
      <c r="S1135" s="10">
        <f>IFERROR(IF(('Loading-rail'!$C$21)="No control",SUMIF(('Loading-rail'!$B$31:$B$48),$J1135,('Loading-rail'!$D$31:$D$48))*Impacts!$F$15,IF(('Loading-rail'!$C$21)&lt;&gt;"No control",SUMIF(('Loading-rail'!$B$31:$B$48),$J1135,('Loading-rail'!$E$31:$E$48))*Impacts!$F$15,0)),0)</f>
        <v>0</v>
      </c>
      <c r="T1135" s="10">
        <f>IF(Flare!$C$7="",0,(SUMIF(Flare!$B$46:$B$185,$J1135,Flare!$E$46:$E$185)*Impacts!$F$16))</f>
        <v>0</v>
      </c>
      <c r="U1135" s="10">
        <f>IF(VCU!$C$9="",0,(SUMIF(VCU!$B$51:$B$193,$J1135,VCU!$E$51:$E$193)*Impacts!$F$17))</f>
        <v>0</v>
      </c>
      <c r="V1135" s="10">
        <f>IF(CAS!$C$7="",0,(SUMIF(CAS!$B$31:$B$167,$J1135,CAS!$E$31:$E$167)*Impacts!$F$18))</f>
        <v>0</v>
      </c>
      <c r="W1135" s="10">
        <f t="shared" si="59"/>
        <v>0</v>
      </c>
      <c r="AK1135" s="10" t="str">
        <f t="array" ref="AK1135">IFERROR(INDEX(SelectedSpecies,SMALL(IF(SelectedSpecies=AK$1,ROW(SelectedSpecies)),ROW(1136:1136)),2),"")</f>
        <v/>
      </c>
      <c r="BE1135" s="10"/>
      <c r="BI1135" s="10"/>
    </row>
    <row r="1136" spans="1:61" ht="21" customHeight="1" x14ac:dyDescent="0.25">
      <c r="A1136" s="10"/>
      <c r="B1136" s="10"/>
      <c r="E1136" s="10"/>
      <c r="G1136" s="10"/>
      <c r="I1136" s="436" t="s">
        <v>6384</v>
      </c>
      <c r="J1136" s="26" t="s">
        <v>6383</v>
      </c>
      <c r="K1136" s="10">
        <v>0.81</v>
      </c>
      <c r="L1136" s="73">
        <f>IF(Tank1!$C$23="No control",(SUMIF(Tank1!$B$32:$B$49,$J1136,Tank1!$C$32:$C$49)*Impacts!$F$8),0)</f>
        <v>0</v>
      </c>
      <c r="M1136" s="10">
        <f>IF(Tank2!$C$23="No control",(SUMIF(Tank2!$B$32:$B$49,$J1136,Tank2!$C$32:$C$49)*Impacts!$F$9),0)</f>
        <v>0</v>
      </c>
      <c r="N1136" s="10">
        <f>IF(Tank3!$C$23="No control",(SUMIF(Tank3!$B$32:$B$49,$J1136,Tank3!$C$32:$C$49)*Impacts!$F$10),0)</f>
        <v>0</v>
      </c>
      <c r="O1136" s="10">
        <f>IF(Tank4!$C$23="No control",(SUMIF(Tank4!$B$32:$B$49,$J1136,Tank4!$C$32:$C$49)*Impacts!$F$11),0)</f>
        <v>0</v>
      </c>
      <c r="P1136" s="10">
        <f>IF(Tank5!$C$23="No control",(SUMIF(Tank5!$B$32:$B$49,$J1136,Tank5!$C$32:$C$49)*Impacts!$F$12),0)</f>
        <v>0</v>
      </c>
      <c r="Q1136" s="10">
        <f>IFERROR(IF(('Loading-drum,tote'!$C$21)="No control",SUMIF(('Loading-drum,tote'!$B$31:$B$48),$J1136,('Loading-drum,tote'!$D$31:$D$48))*Impacts!$F$13,IF(('Loading-drum,tote'!$C$21)&lt;&gt;"No control",SUMIF(('Loading-drum,tote'!$B$31:$B$48),$J1136,('Loading-drum,tote'!$E$31:$E$48))*Impacts!$F$13,0)),0)</f>
        <v>0</v>
      </c>
      <c r="R1136" s="10">
        <f>IFERROR(IF(('Loading-truck'!$C$21)="No control",SUMIF(('Loading-truck'!$B$31:$B$48),$J1136,('Loading-truck'!$D$31:$D$48))*Impacts!$F$14,IF(('Loading-truck'!$C$21)&lt;&gt;"No control",SUMIF(('Loading-truck'!$B$31:$B$48),$J1136,('Loading-truck'!$E$31:$E$48))*Impacts!$F$14,0)),0)</f>
        <v>0</v>
      </c>
      <c r="S1136" s="10">
        <f>IFERROR(IF(('Loading-rail'!$C$21)="No control",SUMIF(('Loading-rail'!$B$31:$B$48),$J1136,('Loading-rail'!$D$31:$D$48))*Impacts!$F$15,IF(('Loading-rail'!$C$21)&lt;&gt;"No control",SUMIF(('Loading-rail'!$B$31:$B$48),$J1136,('Loading-rail'!$E$31:$E$48))*Impacts!$F$15,0)),0)</f>
        <v>0</v>
      </c>
      <c r="T1136" s="10">
        <f>IF(Flare!$C$7="",0,(SUMIF(Flare!$B$46:$B$185,$J1136,Flare!$E$46:$E$185)*Impacts!$F$16))</f>
        <v>0</v>
      </c>
      <c r="U1136" s="10">
        <f>IF(VCU!$C$9="",0,(SUMIF(VCU!$B$51:$B$193,$J1136,VCU!$E$51:$E$193)*Impacts!$F$17))</f>
        <v>0</v>
      </c>
      <c r="V1136" s="10">
        <f>IF(CAS!$C$7="",0,(SUMIF(CAS!$B$31:$B$167,$J1136,CAS!$E$31:$E$167)*Impacts!$F$18))</f>
        <v>0</v>
      </c>
      <c r="W1136" s="10">
        <f t="shared" si="59"/>
        <v>0</v>
      </c>
      <c r="AK1136" s="10" t="str">
        <f t="array" ref="AK1136">IFERROR(INDEX(SelectedSpecies,SMALL(IF(SelectedSpecies=AK$1,ROW(SelectedSpecies)),ROW(1137:1137)),2),"")</f>
        <v/>
      </c>
      <c r="BE1136" s="10"/>
      <c r="BI1136" s="10"/>
    </row>
    <row r="1137" spans="1:61" ht="21" customHeight="1" x14ac:dyDescent="0.25">
      <c r="A1137" s="10"/>
      <c r="B1137" s="10"/>
      <c r="E1137" s="10"/>
      <c r="G1137" s="10"/>
      <c r="I1137" s="436" t="s">
        <v>6384</v>
      </c>
      <c r="J1137" s="26" t="s">
        <v>10363</v>
      </c>
      <c r="K1137" s="10">
        <v>5.6999999999999995E-2</v>
      </c>
      <c r="L1137" s="73">
        <f>IF(Tank1!$C$23="No control",(SUMIF(Tank1!$B$32:$B$49,$J1137,Tank1!$C$32:$C$49)*Impacts!$F$8),0)</f>
        <v>0</v>
      </c>
      <c r="M1137" s="10">
        <f>IF(Tank2!$C$23="No control",(SUMIF(Tank2!$B$32:$B$49,$J1137,Tank2!$C$32:$C$49)*Impacts!$F$9),0)</f>
        <v>0</v>
      </c>
      <c r="N1137" s="10">
        <f>IF(Tank3!$C$23="No control",(SUMIF(Tank3!$B$32:$B$49,$J1137,Tank3!$C$32:$C$49)*Impacts!$F$10),0)</f>
        <v>0</v>
      </c>
      <c r="O1137" s="10">
        <f>IF(Tank4!$C$23="No control",(SUMIF(Tank4!$B$32:$B$49,$J1137,Tank4!$C$32:$C$49)*Impacts!$F$11),0)</f>
        <v>0</v>
      </c>
      <c r="P1137" s="10">
        <f>IF(Tank5!$C$23="No control",(SUMIF(Tank5!$B$32:$B$49,$J1137,Tank5!$C$32:$C$49)*Impacts!$F$12),0)</f>
        <v>0</v>
      </c>
      <c r="Q1137" s="10">
        <f>IFERROR(IF(('Loading-drum,tote'!$C$21)="No control",SUMIF(('Loading-drum,tote'!$B$31:$B$48),$J1137,('Loading-drum,tote'!$D$31:$D$48))*Impacts!$F$13,IF(('Loading-drum,tote'!$C$21)&lt;&gt;"No control",SUMIF(('Loading-drum,tote'!$B$31:$B$48),$J1137,('Loading-drum,tote'!$E$31:$E$48))*Impacts!$F$13,0)),0)</f>
        <v>0</v>
      </c>
      <c r="R1137" s="10">
        <f>IFERROR(IF(('Loading-truck'!$C$21)="No control",SUMIF(('Loading-truck'!$B$31:$B$48),$J1137,('Loading-truck'!$D$31:$D$48))*Impacts!$F$14,IF(('Loading-truck'!$C$21)&lt;&gt;"No control",SUMIF(('Loading-truck'!$B$31:$B$48),$J1137,('Loading-truck'!$E$31:$E$48))*Impacts!$F$14,0)),0)</f>
        <v>0</v>
      </c>
      <c r="S1137" s="10">
        <f>IFERROR(IF(('Loading-rail'!$C$21)="No control",SUMIF(('Loading-rail'!$B$31:$B$48),$J1137,('Loading-rail'!$D$31:$D$48))*Impacts!$F$15,IF(('Loading-rail'!$C$21)&lt;&gt;"No control",SUMIF(('Loading-rail'!$B$31:$B$48),$J1137,('Loading-rail'!$E$31:$E$48))*Impacts!$F$15,0)),0)</f>
        <v>0</v>
      </c>
      <c r="T1137" s="10">
        <f>IF(Flare!$C$7="",0,(SUMIF(Flare!$B$46:$B$185,$J1137,Flare!$E$46:$E$185)*Impacts!$F$16))</f>
        <v>0</v>
      </c>
      <c r="U1137" s="10">
        <f>IF(VCU!$C$9="",0,(SUMIF(VCU!$B$51:$B$193,$J1137,VCU!$E$51:$E$193)*Impacts!$F$17))</f>
        <v>0</v>
      </c>
      <c r="V1137" s="10">
        <f>IF(CAS!$C$7="",0,(SUMIF(CAS!$B$31:$B$167,$J1137,CAS!$E$31:$E$167)*Impacts!$F$18))</f>
        <v>0</v>
      </c>
      <c r="W1137" s="10">
        <f t="shared" si="59"/>
        <v>0</v>
      </c>
      <c r="AK1137" s="10" t="str">
        <f t="array" ref="AK1137">IFERROR(INDEX(SelectedSpecies,SMALL(IF(SelectedSpecies=AK$1,ROW(SelectedSpecies)),ROW(1138:1138)),2),"")</f>
        <v/>
      </c>
      <c r="BE1137" s="10"/>
      <c r="BI1137" s="10"/>
    </row>
    <row r="1138" spans="1:61" ht="21" customHeight="1" x14ac:dyDescent="0.25">
      <c r="A1138" s="10"/>
      <c r="B1138" s="10"/>
      <c r="E1138" s="10"/>
      <c r="G1138" s="10"/>
      <c r="I1138" s="436" t="s">
        <v>6384</v>
      </c>
      <c r="J1138" s="26" t="s">
        <v>10364</v>
      </c>
      <c r="K1138" s="10">
        <v>7.0999999999999994E-2</v>
      </c>
      <c r="L1138" s="73">
        <f>IF(Tank1!$C$23="No control",(SUMIF(Tank1!$B$32:$B$49,$J1138,Tank1!$C$32:$C$49)*Impacts!$F$8),0)</f>
        <v>0</v>
      </c>
      <c r="M1138" s="10">
        <f>IF(Tank2!$C$23="No control",(SUMIF(Tank2!$B$32:$B$49,$J1138,Tank2!$C$32:$C$49)*Impacts!$F$9),0)</f>
        <v>0</v>
      </c>
      <c r="N1138" s="10">
        <f>IF(Tank3!$C$23="No control",(SUMIF(Tank3!$B$32:$B$49,$J1138,Tank3!$C$32:$C$49)*Impacts!$F$10),0)</f>
        <v>0</v>
      </c>
      <c r="O1138" s="10">
        <f>IF(Tank4!$C$23="No control",(SUMIF(Tank4!$B$32:$B$49,$J1138,Tank4!$C$32:$C$49)*Impacts!$F$11),0)</f>
        <v>0</v>
      </c>
      <c r="P1138" s="10">
        <f>IF(Tank5!$C$23="No control",(SUMIF(Tank5!$B$32:$B$49,$J1138,Tank5!$C$32:$C$49)*Impacts!$F$12),0)</f>
        <v>0</v>
      </c>
      <c r="Q1138" s="10">
        <f>IFERROR(IF(('Loading-drum,tote'!$C$21)="No control",SUMIF(('Loading-drum,tote'!$B$31:$B$48),$J1138,('Loading-drum,tote'!$D$31:$D$48))*Impacts!$F$13,IF(('Loading-drum,tote'!$C$21)&lt;&gt;"No control",SUMIF(('Loading-drum,tote'!$B$31:$B$48),$J1138,('Loading-drum,tote'!$E$31:$E$48))*Impacts!$F$13,0)),0)</f>
        <v>0</v>
      </c>
      <c r="R1138" s="10">
        <f>IFERROR(IF(('Loading-truck'!$C$21)="No control",SUMIF(('Loading-truck'!$B$31:$B$48),$J1138,('Loading-truck'!$D$31:$D$48))*Impacts!$F$14,IF(('Loading-truck'!$C$21)&lt;&gt;"No control",SUMIF(('Loading-truck'!$B$31:$B$48),$J1138,('Loading-truck'!$E$31:$E$48))*Impacts!$F$14,0)),0)</f>
        <v>0</v>
      </c>
      <c r="S1138" s="10">
        <f>IFERROR(IF(('Loading-rail'!$C$21)="No control",SUMIF(('Loading-rail'!$B$31:$B$48),$J1138,('Loading-rail'!$D$31:$D$48))*Impacts!$F$15,IF(('Loading-rail'!$C$21)&lt;&gt;"No control",SUMIF(('Loading-rail'!$B$31:$B$48),$J1138,('Loading-rail'!$E$31:$E$48))*Impacts!$F$15,0)),0)</f>
        <v>0</v>
      </c>
      <c r="T1138" s="10">
        <f>IF(Flare!$C$7="",0,(SUMIF(Flare!$B$46:$B$185,$J1138,Flare!$E$46:$E$185)*Impacts!$F$16))</f>
        <v>0</v>
      </c>
      <c r="U1138" s="10">
        <f>IF(VCU!$C$9="",0,(SUMIF(VCU!$B$51:$B$193,$J1138,VCU!$E$51:$E$193)*Impacts!$F$17))</f>
        <v>0</v>
      </c>
      <c r="V1138" s="10">
        <f>IF(CAS!$C$7="",0,(SUMIF(CAS!$B$31:$B$167,$J1138,CAS!$E$31:$E$167)*Impacts!$F$18))</f>
        <v>0</v>
      </c>
      <c r="W1138" s="10">
        <f t="shared" si="59"/>
        <v>0</v>
      </c>
      <c r="AK1138" s="10" t="str">
        <f t="array" ref="AK1138">IFERROR(INDEX(SelectedSpecies,SMALL(IF(SelectedSpecies=AK$1,ROW(SelectedSpecies)),ROW(1139:1139)),2),"")</f>
        <v/>
      </c>
      <c r="BE1138" s="10"/>
      <c r="BI1138" s="10"/>
    </row>
    <row r="1139" spans="1:61" ht="21" customHeight="1" x14ac:dyDescent="0.25">
      <c r="A1139" s="10"/>
      <c r="B1139" s="10"/>
      <c r="E1139" s="10"/>
      <c r="G1139" s="10"/>
      <c r="I1139" s="436" t="s">
        <v>938</v>
      </c>
      <c r="J1139" s="26" t="s">
        <v>937</v>
      </c>
      <c r="K1139" s="10">
        <v>43</v>
      </c>
      <c r="L1139" s="73">
        <f>IF(Tank1!$C$23="No control",(SUMIF(Tank1!$B$32:$B$49,$J1139,Tank1!$C$32:$C$49)*Impacts!$F$8),0)</f>
        <v>0</v>
      </c>
      <c r="M1139" s="10">
        <f>IF(Tank2!$C$23="No control",(SUMIF(Tank2!$B$32:$B$49,$J1139,Tank2!$C$32:$C$49)*Impacts!$F$9),0)</f>
        <v>0</v>
      </c>
      <c r="N1139" s="10">
        <f>IF(Tank3!$C$23="No control",(SUMIF(Tank3!$B$32:$B$49,$J1139,Tank3!$C$32:$C$49)*Impacts!$F$10),0)</f>
        <v>0</v>
      </c>
      <c r="O1139" s="10">
        <f>IF(Tank4!$C$23="No control",(SUMIF(Tank4!$B$32:$B$49,$J1139,Tank4!$C$32:$C$49)*Impacts!$F$11),0)</f>
        <v>0</v>
      </c>
      <c r="P1139" s="10">
        <f>IF(Tank5!$C$23="No control",(SUMIF(Tank5!$B$32:$B$49,$J1139,Tank5!$C$32:$C$49)*Impacts!$F$12),0)</f>
        <v>0</v>
      </c>
      <c r="Q1139" s="10">
        <f>IFERROR(IF(('Loading-drum,tote'!$C$21)="No control",SUMIF(('Loading-drum,tote'!$B$31:$B$48),$J1139,('Loading-drum,tote'!$D$31:$D$48))*Impacts!$F$13,IF(('Loading-drum,tote'!$C$21)&lt;&gt;"No control",SUMIF(('Loading-drum,tote'!$B$31:$B$48),$J1139,('Loading-drum,tote'!$E$31:$E$48))*Impacts!$F$13,0)),0)</f>
        <v>0</v>
      </c>
      <c r="R1139" s="10">
        <f>IFERROR(IF(('Loading-truck'!$C$21)="No control",SUMIF(('Loading-truck'!$B$31:$B$48),$J1139,('Loading-truck'!$D$31:$D$48))*Impacts!$F$14,IF(('Loading-truck'!$C$21)&lt;&gt;"No control",SUMIF(('Loading-truck'!$B$31:$B$48),$J1139,('Loading-truck'!$E$31:$E$48))*Impacts!$F$14,0)),0)</f>
        <v>0</v>
      </c>
      <c r="S1139" s="10">
        <f>IFERROR(IF(('Loading-rail'!$C$21)="No control",SUMIF(('Loading-rail'!$B$31:$B$48),$J1139,('Loading-rail'!$D$31:$D$48))*Impacts!$F$15,IF(('Loading-rail'!$C$21)&lt;&gt;"No control",SUMIF(('Loading-rail'!$B$31:$B$48),$J1139,('Loading-rail'!$E$31:$E$48))*Impacts!$F$15,0)),0)</f>
        <v>0</v>
      </c>
      <c r="T1139" s="10">
        <f>IF(Flare!$C$7="",0,(SUMIF(Flare!$B$46:$B$185,$J1139,Flare!$E$46:$E$185)*Impacts!$F$16))</f>
        <v>0</v>
      </c>
      <c r="U1139" s="10">
        <f>IF(VCU!$C$9="",0,(SUMIF(VCU!$B$51:$B$193,$J1139,VCU!$E$51:$E$193)*Impacts!$F$17))</f>
        <v>0</v>
      </c>
      <c r="V1139" s="10">
        <f>IF(CAS!$C$7="",0,(SUMIF(CAS!$B$31:$B$167,$J1139,CAS!$E$31:$E$167)*Impacts!$F$18))</f>
        <v>0</v>
      </c>
      <c r="W1139" s="10">
        <f t="shared" si="59"/>
        <v>0</v>
      </c>
      <c r="AK1139" s="10" t="str">
        <f t="array" ref="AK1139">IFERROR(INDEX(SelectedSpecies,SMALL(IF(SelectedSpecies=AK$1,ROW(SelectedSpecies)),ROW(1140:1140)),2),"")</f>
        <v/>
      </c>
      <c r="BE1139" s="10"/>
      <c r="BI1139" s="10"/>
    </row>
    <row r="1140" spans="1:61" ht="21" customHeight="1" x14ac:dyDescent="0.25">
      <c r="A1140" s="10"/>
      <c r="B1140" s="10"/>
      <c r="E1140" s="10"/>
      <c r="G1140" s="10"/>
      <c r="I1140" s="436" t="s">
        <v>5802</v>
      </c>
      <c r="J1140" s="26" t="s">
        <v>5801</v>
      </c>
      <c r="K1140" s="10">
        <v>1</v>
      </c>
      <c r="L1140" s="73">
        <f>IF(Tank1!$C$23="No control",(SUMIF(Tank1!$B$32:$B$49,$J1140,Tank1!$C$32:$C$49)*Impacts!$F$8),0)</f>
        <v>0</v>
      </c>
      <c r="M1140" s="10">
        <f>IF(Tank2!$C$23="No control",(SUMIF(Tank2!$B$32:$B$49,$J1140,Tank2!$C$32:$C$49)*Impacts!$F$9),0)</f>
        <v>0</v>
      </c>
      <c r="N1140" s="10">
        <f>IF(Tank3!$C$23="No control",(SUMIF(Tank3!$B$32:$B$49,$J1140,Tank3!$C$32:$C$49)*Impacts!$F$10),0)</f>
        <v>0</v>
      </c>
      <c r="O1140" s="10">
        <f>IF(Tank4!$C$23="No control",(SUMIF(Tank4!$B$32:$B$49,$J1140,Tank4!$C$32:$C$49)*Impacts!$F$11),0)</f>
        <v>0</v>
      </c>
      <c r="P1140" s="10">
        <f>IF(Tank5!$C$23="No control",(SUMIF(Tank5!$B$32:$B$49,$J1140,Tank5!$C$32:$C$49)*Impacts!$F$12),0)</f>
        <v>0</v>
      </c>
      <c r="Q1140" s="10">
        <f>IFERROR(IF(('Loading-drum,tote'!$C$21)="No control",SUMIF(('Loading-drum,tote'!$B$31:$B$48),$J1140,('Loading-drum,tote'!$D$31:$D$48))*Impacts!$F$13,IF(('Loading-drum,tote'!$C$21)&lt;&gt;"No control",SUMIF(('Loading-drum,tote'!$B$31:$B$48),$J1140,('Loading-drum,tote'!$E$31:$E$48))*Impacts!$F$13,0)),0)</f>
        <v>0</v>
      </c>
      <c r="R1140" s="10">
        <f>IFERROR(IF(('Loading-truck'!$C$21)="No control",SUMIF(('Loading-truck'!$B$31:$B$48),$J1140,('Loading-truck'!$D$31:$D$48))*Impacts!$F$14,IF(('Loading-truck'!$C$21)&lt;&gt;"No control",SUMIF(('Loading-truck'!$B$31:$B$48),$J1140,('Loading-truck'!$E$31:$E$48))*Impacts!$F$14,0)),0)</f>
        <v>0</v>
      </c>
      <c r="S1140" s="10">
        <f>IFERROR(IF(('Loading-rail'!$C$21)="No control",SUMIF(('Loading-rail'!$B$31:$B$48),$J1140,('Loading-rail'!$D$31:$D$48))*Impacts!$F$15,IF(('Loading-rail'!$C$21)&lt;&gt;"No control",SUMIF(('Loading-rail'!$B$31:$B$48),$J1140,('Loading-rail'!$E$31:$E$48))*Impacts!$F$15,0)),0)</f>
        <v>0</v>
      </c>
      <c r="T1140" s="10">
        <f>IF(Flare!$C$7="",0,(SUMIF(Flare!$B$46:$B$185,$J1140,Flare!$E$46:$E$185)*Impacts!$F$16))</f>
        <v>0</v>
      </c>
      <c r="U1140" s="10">
        <f>IF(VCU!$C$9="",0,(SUMIF(VCU!$B$51:$B$193,$J1140,VCU!$E$51:$E$193)*Impacts!$F$17))</f>
        <v>0</v>
      </c>
      <c r="V1140" s="10">
        <f>IF(CAS!$C$7="",0,(SUMIF(CAS!$B$31:$B$167,$J1140,CAS!$E$31:$E$167)*Impacts!$F$18))</f>
        <v>0</v>
      </c>
      <c r="W1140" s="10">
        <f t="shared" si="59"/>
        <v>0</v>
      </c>
      <c r="AK1140" s="10" t="str">
        <f t="array" ref="AK1140">IFERROR(INDEX(SelectedSpecies,SMALL(IF(SelectedSpecies=AK$1,ROW(SelectedSpecies)),ROW(1141:1141)),2),"")</f>
        <v/>
      </c>
      <c r="BE1140" s="10"/>
      <c r="BI1140" s="10"/>
    </row>
    <row r="1141" spans="1:61" ht="21" customHeight="1" x14ac:dyDescent="0.25">
      <c r="A1141" s="10"/>
      <c r="B1141" s="10"/>
      <c r="E1141" s="10"/>
      <c r="G1141" s="10"/>
      <c r="I1141" s="436" t="s">
        <v>6386</v>
      </c>
      <c r="J1141" s="26" t="s">
        <v>6385</v>
      </c>
      <c r="K1141" s="10">
        <v>0.81</v>
      </c>
      <c r="L1141" s="73">
        <f>IF(Tank1!$C$23="No control",(SUMIF(Tank1!$B$32:$B$49,$J1141,Tank1!$C$32:$C$49)*Impacts!$F$8),0)</f>
        <v>0</v>
      </c>
      <c r="M1141" s="10">
        <f>IF(Tank2!$C$23="No control",(SUMIF(Tank2!$B$32:$B$49,$J1141,Tank2!$C$32:$C$49)*Impacts!$F$9),0)</f>
        <v>0</v>
      </c>
      <c r="N1141" s="10">
        <f>IF(Tank3!$C$23="No control",(SUMIF(Tank3!$B$32:$B$49,$J1141,Tank3!$C$32:$C$49)*Impacts!$F$10),0)</f>
        <v>0</v>
      </c>
      <c r="O1141" s="10">
        <f>IF(Tank4!$C$23="No control",(SUMIF(Tank4!$B$32:$B$49,$J1141,Tank4!$C$32:$C$49)*Impacts!$F$11),0)</f>
        <v>0</v>
      </c>
      <c r="P1141" s="10">
        <f>IF(Tank5!$C$23="No control",(SUMIF(Tank5!$B$32:$B$49,$J1141,Tank5!$C$32:$C$49)*Impacts!$F$12),0)</f>
        <v>0</v>
      </c>
      <c r="Q1141" s="10">
        <f>IFERROR(IF(('Loading-drum,tote'!$C$21)="No control",SUMIF(('Loading-drum,tote'!$B$31:$B$48),$J1141,('Loading-drum,tote'!$D$31:$D$48))*Impacts!$F$13,IF(('Loading-drum,tote'!$C$21)&lt;&gt;"No control",SUMIF(('Loading-drum,tote'!$B$31:$B$48),$J1141,('Loading-drum,tote'!$E$31:$E$48))*Impacts!$F$13,0)),0)</f>
        <v>0</v>
      </c>
      <c r="R1141" s="10">
        <f>IFERROR(IF(('Loading-truck'!$C$21)="No control",SUMIF(('Loading-truck'!$B$31:$B$48),$J1141,('Loading-truck'!$D$31:$D$48))*Impacts!$F$14,IF(('Loading-truck'!$C$21)&lt;&gt;"No control",SUMIF(('Loading-truck'!$B$31:$B$48),$J1141,('Loading-truck'!$E$31:$E$48))*Impacts!$F$14,0)),0)</f>
        <v>0</v>
      </c>
      <c r="S1141" s="10">
        <f>IFERROR(IF(('Loading-rail'!$C$21)="No control",SUMIF(('Loading-rail'!$B$31:$B$48),$J1141,('Loading-rail'!$D$31:$D$48))*Impacts!$F$15,IF(('Loading-rail'!$C$21)&lt;&gt;"No control",SUMIF(('Loading-rail'!$B$31:$B$48),$J1141,('Loading-rail'!$E$31:$E$48))*Impacts!$F$15,0)),0)</f>
        <v>0</v>
      </c>
      <c r="T1141" s="10">
        <f>IF(Flare!$C$7="",0,(SUMIF(Flare!$B$46:$B$185,$J1141,Flare!$E$46:$E$185)*Impacts!$F$16))</f>
        <v>0</v>
      </c>
      <c r="U1141" s="10">
        <f>IF(VCU!$C$9="",0,(SUMIF(VCU!$B$51:$B$193,$J1141,VCU!$E$51:$E$193)*Impacts!$F$17))</f>
        <v>0</v>
      </c>
      <c r="V1141" s="10">
        <f>IF(CAS!$C$7="",0,(SUMIF(CAS!$B$31:$B$167,$J1141,CAS!$E$31:$E$167)*Impacts!$F$18))</f>
        <v>0</v>
      </c>
      <c r="W1141" s="10">
        <f t="shared" si="59"/>
        <v>0</v>
      </c>
      <c r="AK1141" s="10" t="str">
        <f t="array" ref="AK1141">IFERROR(INDEX(SelectedSpecies,SMALL(IF(SelectedSpecies=AK$1,ROW(SelectedSpecies)),ROW(1142:1142)),2),"")</f>
        <v/>
      </c>
      <c r="BE1141" s="10"/>
      <c r="BI1141" s="10"/>
    </row>
    <row r="1142" spans="1:61" ht="21" customHeight="1" x14ac:dyDescent="0.25">
      <c r="A1142" s="10"/>
      <c r="B1142" s="10"/>
      <c r="E1142" s="10"/>
      <c r="G1142" s="10"/>
      <c r="I1142" s="436" t="s">
        <v>6386</v>
      </c>
      <c r="J1142" s="26" t="s">
        <v>10365</v>
      </c>
      <c r="K1142" s="10">
        <v>5.6999999999999995E-2</v>
      </c>
      <c r="L1142" s="73">
        <f>IF(Tank1!$C$23="No control",(SUMIF(Tank1!$B$32:$B$49,$J1142,Tank1!$C$32:$C$49)*Impacts!$F$8),0)</f>
        <v>0</v>
      </c>
      <c r="M1142" s="10">
        <f>IF(Tank2!$C$23="No control",(SUMIF(Tank2!$B$32:$B$49,$J1142,Tank2!$C$32:$C$49)*Impacts!$F$9),0)</f>
        <v>0</v>
      </c>
      <c r="N1142" s="10">
        <f>IF(Tank3!$C$23="No control",(SUMIF(Tank3!$B$32:$B$49,$J1142,Tank3!$C$32:$C$49)*Impacts!$F$10),0)</f>
        <v>0</v>
      </c>
      <c r="O1142" s="10">
        <f>IF(Tank4!$C$23="No control",(SUMIF(Tank4!$B$32:$B$49,$J1142,Tank4!$C$32:$C$49)*Impacts!$F$11),0)</f>
        <v>0</v>
      </c>
      <c r="P1142" s="10">
        <f>IF(Tank5!$C$23="No control",(SUMIF(Tank5!$B$32:$B$49,$J1142,Tank5!$C$32:$C$49)*Impacts!$F$12),0)</f>
        <v>0</v>
      </c>
      <c r="Q1142" s="10">
        <f>IFERROR(IF(('Loading-drum,tote'!$C$21)="No control",SUMIF(('Loading-drum,tote'!$B$31:$B$48),$J1142,('Loading-drum,tote'!$D$31:$D$48))*Impacts!$F$13,IF(('Loading-drum,tote'!$C$21)&lt;&gt;"No control",SUMIF(('Loading-drum,tote'!$B$31:$B$48),$J1142,('Loading-drum,tote'!$E$31:$E$48))*Impacts!$F$13,0)),0)</f>
        <v>0</v>
      </c>
      <c r="R1142" s="10">
        <f>IFERROR(IF(('Loading-truck'!$C$21)="No control",SUMIF(('Loading-truck'!$B$31:$B$48),$J1142,('Loading-truck'!$D$31:$D$48))*Impacts!$F$14,IF(('Loading-truck'!$C$21)&lt;&gt;"No control",SUMIF(('Loading-truck'!$B$31:$B$48),$J1142,('Loading-truck'!$E$31:$E$48))*Impacts!$F$14,0)),0)</f>
        <v>0</v>
      </c>
      <c r="S1142" s="10">
        <f>IFERROR(IF(('Loading-rail'!$C$21)="No control",SUMIF(('Loading-rail'!$B$31:$B$48),$J1142,('Loading-rail'!$D$31:$D$48))*Impacts!$F$15,IF(('Loading-rail'!$C$21)&lt;&gt;"No control",SUMIF(('Loading-rail'!$B$31:$B$48),$J1142,('Loading-rail'!$E$31:$E$48))*Impacts!$F$15,0)),0)</f>
        <v>0</v>
      </c>
      <c r="T1142" s="10">
        <f>IF(Flare!$C$7="",0,(SUMIF(Flare!$B$46:$B$185,$J1142,Flare!$E$46:$E$185)*Impacts!$F$16))</f>
        <v>0</v>
      </c>
      <c r="U1142" s="10">
        <f>IF(VCU!$C$9="",0,(SUMIF(VCU!$B$51:$B$193,$J1142,VCU!$E$51:$E$193)*Impacts!$F$17))</f>
        <v>0</v>
      </c>
      <c r="V1142" s="10">
        <f>IF(CAS!$C$7="",0,(SUMIF(CAS!$B$31:$B$167,$J1142,CAS!$E$31:$E$167)*Impacts!$F$18))</f>
        <v>0</v>
      </c>
      <c r="W1142" s="10">
        <f t="shared" si="59"/>
        <v>0</v>
      </c>
      <c r="AK1142" s="10" t="str">
        <f t="array" ref="AK1142">IFERROR(INDEX(SelectedSpecies,SMALL(IF(SelectedSpecies=AK$1,ROW(SelectedSpecies)),ROW(1143:1143)),2),"")</f>
        <v/>
      </c>
      <c r="BE1142" s="10"/>
      <c r="BI1142" s="10"/>
    </row>
    <row r="1143" spans="1:61" ht="21" customHeight="1" x14ac:dyDescent="0.25">
      <c r="A1143" s="10"/>
      <c r="B1143" s="10"/>
      <c r="E1143" s="10"/>
      <c r="G1143" s="10"/>
      <c r="I1143" s="436" t="s">
        <v>6386</v>
      </c>
      <c r="J1143" s="26" t="s">
        <v>10366</v>
      </c>
      <c r="K1143" s="10">
        <v>7.0999999999999994E-2</v>
      </c>
      <c r="L1143" s="73">
        <f>IF(Tank1!$C$23="No control",(SUMIF(Tank1!$B$32:$B$49,$J1143,Tank1!$C$32:$C$49)*Impacts!$F$8),0)</f>
        <v>0</v>
      </c>
      <c r="M1143" s="10">
        <f>IF(Tank2!$C$23="No control",(SUMIF(Tank2!$B$32:$B$49,$J1143,Tank2!$C$32:$C$49)*Impacts!$F$9),0)</f>
        <v>0</v>
      </c>
      <c r="N1143" s="10">
        <f>IF(Tank3!$C$23="No control",(SUMIF(Tank3!$B$32:$B$49,$J1143,Tank3!$C$32:$C$49)*Impacts!$F$10),0)</f>
        <v>0</v>
      </c>
      <c r="O1143" s="10">
        <f>IF(Tank4!$C$23="No control",(SUMIF(Tank4!$B$32:$B$49,$J1143,Tank4!$C$32:$C$49)*Impacts!$F$11),0)</f>
        <v>0</v>
      </c>
      <c r="P1143" s="10">
        <f>IF(Tank5!$C$23="No control",(SUMIF(Tank5!$B$32:$B$49,$J1143,Tank5!$C$32:$C$49)*Impacts!$F$12),0)</f>
        <v>0</v>
      </c>
      <c r="Q1143" s="10">
        <f>IFERROR(IF(('Loading-drum,tote'!$C$21)="No control",SUMIF(('Loading-drum,tote'!$B$31:$B$48),$J1143,('Loading-drum,tote'!$D$31:$D$48))*Impacts!$F$13,IF(('Loading-drum,tote'!$C$21)&lt;&gt;"No control",SUMIF(('Loading-drum,tote'!$B$31:$B$48),$J1143,('Loading-drum,tote'!$E$31:$E$48))*Impacts!$F$13,0)),0)</f>
        <v>0</v>
      </c>
      <c r="R1143" s="10">
        <f>IFERROR(IF(('Loading-truck'!$C$21)="No control",SUMIF(('Loading-truck'!$B$31:$B$48),$J1143,('Loading-truck'!$D$31:$D$48))*Impacts!$F$14,IF(('Loading-truck'!$C$21)&lt;&gt;"No control",SUMIF(('Loading-truck'!$B$31:$B$48),$J1143,('Loading-truck'!$E$31:$E$48))*Impacts!$F$14,0)),0)</f>
        <v>0</v>
      </c>
      <c r="S1143" s="10">
        <f>IFERROR(IF(('Loading-rail'!$C$21)="No control",SUMIF(('Loading-rail'!$B$31:$B$48),$J1143,('Loading-rail'!$D$31:$D$48))*Impacts!$F$15,IF(('Loading-rail'!$C$21)&lt;&gt;"No control",SUMIF(('Loading-rail'!$B$31:$B$48),$J1143,('Loading-rail'!$E$31:$E$48))*Impacts!$F$15,0)),0)</f>
        <v>0</v>
      </c>
      <c r="T1143" s="10">
        <f>IF(Flare!$C$7="",0,(SUMIF(Flare!$B$46:$B$185,$J1143,Flare!$E$46:$E$185)*Impacts!$F$16))</f>
        <v>0</v>
      </c>
      <c r="U1143" s="10">
        <f>IF(VCU!$C$9="",0,(SUMIF(VCU!$B$51:$B$193,$J1143,VCU!$E$51:$E$193)*Impacts!$F$17))</f>
        <v>0</v>
      </c>
      <c r="V1143" s="10">
        <f>IF(CAS!$C$7="",0,(SUMIF(CAS!$B$31:$B$167,$J1143,CAS!$E$31:$E$167)*Impacts!$F$18))</f>
        <v>0</v>
      </c>
      <c r="W1143" s="10">
        <f t="shared" si="59"/>
        <v>0</v>
      </c>
      <c r="AK1143" s="10" t="str">
        <f t="array" ref="AK1143">IFERROR(INDEX(SelectedSpecies,SMALL(IF(SelectedSpecies=AK$1,ROW(SelectedSpecies)),ROW(1144:1144)),2),"")</f>
        <v/>
      </c>
      <c r="BE1143" s="10"/>
      <c r="BI1143" s="10"/>
    </row>
    <row r="1144" spans="1:61" ht="21" customHeight="1" x14ac:dyDescent="0.25">
      <c r="A1144" s="10"/>
      <c r="B1144" s="10"/>
      <c r="E1144" s="10"/>
      <c r="G1144" s="10"/>
      <c r="I1144" s="436" t="s">
        <v>5483</v>
      </c>
      <c r="J1144" s="26" t="s">
        <v>5482</v>
      </c>
      <c r="K1144" s="10">
        <v>1.3</v>
      </c>
      <c r="L1144" s="73">
        <f>IF(Tank1!$C$23="No control",(SUMIF(Tank1!$B$32:$B$49,$J1144,Tank1!$C$32:$C$49)*Impacts!$F$8),0)</f>
        <v>0</v>
      </c>
      <c r="M1144" s="10">
        <f>IF(Tank2!$C$23="No control",(SUMIF(Tank2!$B$32:$B$49,$J1144,Tank2!$C$32:$C$49)*Impacts!$F$9),0)</f>
        <v>0</v>
      </c>
      <c r="N1144" s="10">
        <f>IF(Tank3!$C$23="No control",(SUMIF(Tank3!$B$32:$B$49,$J1144,Tank3!$C$32:$C$49)*Impacts!$F$10),0)</f>
        <v>0</v>
      </c>
      <c r="O1144" s="10">
        <f>IF(Tank4!$C$23="No control",(SUMIF(Tank4!$B$32:$B$49,$J1144,Tank4!$C$32:$C$49)*Impacts!$F$11),0)</f>
        <v>0</v>
      </c>
      <c r="P1144" s="10">
        <f>IF(Tank5!$C$23="No control",(SUMIF(Tank5!$B$32:$B$49,$J1144,Tank5!$C$32:$C$49)*Impacts!$F$12),0)</f>
        <v>0</v>
      </c>
      <c r="Q1144" s="10">
        <f>IFERROR(IF(('Loading-drum,tote'!$C$21)="No control",SUMIF(('Loading-drum,tote'!$B$31:$B$48),$J1144,('Loading-drum,tote'!$D$31:$D$48))*Impacts!$F$13,IF(('Loading-drum,tote'!$C$21)&lt;&gt;"No control",SUMIF(('Loading-drum,tote'!$B$31:$B$48),$J1144,('Loading-drum,tote'!$E$31:$E$48))*Impacts!$F$13,0)),0)</f>
        <v>0</v>
      </c>
      <c r="R1144" s="10">
        <f>IFERROR(IF(('Loading-truck'!$C$21)="No control",SUMIF(('Loading-truck'!$B$31:$B$48),$J1144,('Loading-truck'!$D$31:$D$48))*Impacts!$F$14,IF(('Loading-truck'!$C$21)&lt;&gt;"No control",SUMIF(('Loading-truck'!$B$31:$B$48),$J1144,('Loading-truck'!$E$31:$E$48))*Impacts!$F$14,0)),0)</f>
        <v>0</v>
      </c>
      <c r="S1144" s="10">
        <f>IFERROR(IF(('Loading-rail'!$C$21)="No control",SUMIF(('Loading-rail'!$B$31:$B$48),$J1144,('Loading-rail'!$D$31:$D$48))*Impacts!$F$15,IF(('Loading-rail'!$C$21)&lt;&gt;"No control",SUMIF(('Loading-rail'!$B$31:$B$48),$J1144,('Loading-rail'!$E$31:$E$48))*Impacts!$F$15,0)),0)</f>
        <v>0</v>
      </c>
      <c r="T1144" s="10">
        <f>IF(Flare!$C$7="",0,(SUMIF(Flare!$B$46:$B$185,$J1144,Flare!$E$46:$E$185)*Impacts!$F$16))</f>
        <v>0</v>
      </c>
      <c r="U1144" s="10">
        <f>IF(VCU!$C$9="",0,(SUMIF(VCU!$B$51:$B$193,$J1144,VCU!$E$51:$E$193)*Impacts!$F$17))</f>
        <v>0</v>
      </c>
      <c r="V1144" s="10">
        <f>IF(CAS!$C$7="",0,(SUMIF(CAS!$B$31:$B$167,$J1144,CAS!$E$31:$E$167)*Impacts!$F$18))</f>
        <v>0</v>
      </c>
      <c r="W1144" s="10">
        <f t="shared" si="59"/>
        <v>0</v>
      </c>
      <c r="AK1144" s="10" t="str">
        <f t="array" ref="AK1144">IFERROR(INDEX(SelectedSpecies,SMALL(IF(SelectedSpecies=AK$1,ROW(SelectedSpecies)),ROW(1145:1145)),2),"")</f>
        <v/>
      </c>
      <c r="BE1144" s="10"/>
      <c r="BI1144" s="10"/>
    </row>
    <row r="1145" spans="1:61" ht="21" customHeight="1" x14ac:dyDescent="0.25">
      <c r="A1145" s="10"/>
      <c r="B1145" s="10"/>
      <c r="E1145" s="10"/>
      <c r="G1145" s="10"/>
      <c r="I1145" s="436" t="s">
        <v>2455</v>
      </c>
      <c r="J1145" s="26" t="s">
        <v>2454</v>
      </c>
      <c r="K1145" s="10">
        <v>10</v>
      </c>
      <c r="L1145" s="73">
        <f>IF(Tank1!$C$23="No control",(SUMIF(Tank1!$B$32:$B$49,$J1145,Tank1!$C$32:$C$49)*Impacts!$F$8),0)</f>
        <v>0</v>
      </c>
      <c r="M1145" s="10">
        <f>IF(Tank2!$C$23="No control",(SUMIF(Tank2!$B$32:$B$49,$J1145,Tank2!$C$32:$C$49)*Impacts!$F$9),0)</f>
        <v>0</v>
      </c>
      <c r="N1145" s="10">
        <f>IF(Tank3!$C$23="No control",(SUMIF(Tank3!$B$32:$B$49,$J1145,Tank3!$C$32:$C$49)*Impacts!$F$10),0)</f>
        <v>0</v>
      </c>
      <c r="O1145" s="10">
        <f>IF(Tank4!$C$23="No control",(SUMIF(Tank4!$B$32:$B$49,$J1145,Tank4!$C$32:$C$49)*Impacts!$F$11),0)</f>
        <v>0</v>
      </c>
      <c r="P1145" s="10">
        <f>IF(Tank5!$C$23="No control",(SUMIF(Tank5!$B$32:$B$49,$J1145,Tank5!$C$32:$C$49)*Impacts!$F$12),0)</f>
        <v>0</v>
      </c>
      <c r="Q1145" s="10">
        <f>IFERROR(IF(('Loading-drum,tote'!$C$21)="No control",SUMIF(('Loading-drum,tote'!$B$31:$B$48),$J1145,('Loading-drum,tote'!$D$31:$D$48))*Impacts!$F$13,IF(('Loading-drum,tote'!$C$21)&lt;&gt;"No control",SUMIF(('Loading-drum,tote'!$B$31:$B$48),$J1145,('Loading-drum,tote'!$E$31:$E$48))*Impacts!$F$13,0)),0)</f>
        <v>0</v>
      </c>
      <c r="R1145" s="10">
        <f>IFERROR(IF(('Loading-truck'!$C$21)="No control",SUMIF(('Loading-truck'!$B$31:$B$48),$J1145,('Loading-truck'!$D$31:$D$48))*Impacts!$F$14,IF(('Loading-truck'!$C$21)&lt;&gt;"No control",SUMIF(('Loading-truck'!$B$31:$B$48),$J1145,('Loading-truck'!$E$31:$E$48))*Impacts!$F$14,0)),0)</f>
        <v>0</v>
      </c>
      <c r="S1145" s="10">
        <f>IFERROR(IF(('Loading-rail'!$C$21)="No control",SUMIF(('Loading-rail'!$B$31:$B$48),$J1145,('Loading-rail'!$D$31:$D$48))*Impacts!$F$15,IF(('Loading-rail'!$C$21)&lt;&gt;"No control",SUMIF(('Loading-rail'!$B$31:$B$48),$J1145,('Loading-rail'!$E$31:$E$48))*Impacts!$F$15,0)),0)</f>
        <v>0</v>
      </c>
      <c r="T1145" s="10">
        <f>IF(Flare!$C$7="",0,(SUMIF(Flare!$B$46:$B$185,$J1145,Flare!$E$46:$E$185)*Impacts!$F$16))</f>
        <v>0</v>
      </c>
      <c r="U1145" s="10">
        <f>IF(VCU!$C$9="",0,(SUMIF(VCU!$B$51:$B$193,$J1145,VCU!$E$51:$E$193)*Impacts!$F$17))</f>
        <v>0</v>
      </c>
      <c r="V1145" s="10">
        <f>IF(CAS!$C$7="",0,(SUMIF(CAS!$B$31:$B$167,$J1145,CAS!$E$31:$E$167)*Impacts!$F$18))</f>
        <v>0</v>
      </c>
      <c r="W1145" s="10">
        <f t="shared" si="59"/>
        <v>0</v>
      </c>
      <c r="AK1145" s="10" t="str">
        <f t="array" ref="AK1145">IFERROR(INDEX(SelectedSpecies,SMALL(IF(SelectedSpecies=AK$1,ROW(SelectedSpecies)),ROW(1146:1146)),2),"")</f>
        <v/>
      </c>
      <c r="BE1145" s="10"/>
      <c r="BI1145" s="10"/>
    </row>
    <row r="1146" spans="1:61" ht="21" customHeight="1" x14ac:dyDescent="0.25">
      <c r="A1146" s="10"/>
      <c r="B1146" s="10"/>
      <c r="E1146" s="10"/>
      <c r="G1146" s="10"/>
      <c r="I1146" s="436" t="s">
        <v>1835</v>
      </c>
      <c r="J1146" s="26" t="s">
        <v>1834</v>
      </c>
      <c r="K1146" s="10">
        <v>20</v>
      </c>
      <c r="L1146" s="73">
        <f>IF(Tank1!$C$23="No control",(SUMIF(Tank1!$B$32:$B$49,$J1146,Tank1!$C$32:$C$49)*Impacts!$F$8),0)</f>
        <v>0</v>
      </c>
      <c r="M1146" s="10">
        <f>IF(Tank2!$C$23="No control",(SUMIF(Tank2!$B$32:$B$49,$J1146,Tank2!$C$32:$C$49)*Impacts!$F$9),0)</f>
        <v>0</v>
      </c>
      <c r="N1146" s="10">
        <f>IF(Tank3!$C$23="No control",(SUMIF(Tank3!$B$32:$B$49,$J1146,Tank3!$C$32:$C$49)*Impacts!$F$10),0)</f>
        <v>0</v>
      </c>
      <c r="O1146" s="10">
        <f>IF(Tank4!$C$23="No control",(SUMIF(Tank4!$B$32:$B$49,$J1146,Tank4!$C$32:$C$49)*Impacts!$F$11),0)</f>
        <v>0</v>
      </c>
      <c r="P1146" s="10">
        <f>IF(Tank5!$C$23="No control",(SUMIF(Tank5!$B$32:$B$49,$J1146,Tank5!$C$32:$C$49)*Impacts!$F$12),0)</f>
        <v>0</v>
      </c>
      <c r="Q1146" s="10">
        <f>IFERROR(IF(('Loading-drum,tote'!$C$21)="No control",SUMIF(('Loading-drum,tote'!$B$31:$B$48),$J1146,('Loading-drum,tote'!$D$31:$D$48))*Impacts!$F$13,IF(('Loading-drum,tote'!$C$21)&lt;&gt;"No control",SUMIF(('Loading-drum,tote'!$B$31:$B$48),$J1146,('Loading-drum,tote'!$E$31:$E$48))*Impacts!$F$13,0)),0)</f>
        <v>0</v>
      </c>
      <c r="R1146" s="10">
        <f>IFERROR(IF(('Loading-truck'!$C$21)="No control",SUMIF(('Loading-truck'!$B$31:$B$48),$J1146,('Loading-truck'!$D$31:$D$48))*Impacts!$F$14,IF(('Loading-truck'!$C$21)&lt;&gt;"No control",SUMIF(('Loading-truck'!$B$31:$B$48),$J1146,('Loading-truck'!$E$31:$E$48))*Impacts!$F$14,0)),0)</f>
        <v>0</v>
      </c>
      <c r="S1146" s="10">
        <f>IFERROR(IF(('Loading-rail'!$C$21)="No control",SUMIF(('Loading-rail'!$B$31:$B$48),$J1146,('Loading-rail'!$D$31:$D$48))*Impacts!$F$15,IF(('Loading-rail'!$C$21)&lt;&gt;"No control",SUMIF(('Loading-rail'!$B$31:$B$48),$J1146,('Loading-rail'!$E$31:$E$48))*Impacts!$F$15,0)),0)</f>
        <v>0</v>
      </c>
      <c r="T1146" s="10">
        <f>IF(Flare!$C$7="",0,(SUMIF(Flare!$B$46:$B$185,$J1146,Flare!$E$46:$E$185)*Impacts!$F$16))</f>
        <v>0</v>
      </c>
      <c r="U1146" s="10">
        <f>IF(VCU!$C$9="",0,(SUMIF(VCU!$B$51:$B$193,$J1146,VCU!$E$51:$E$193)*Impacts!$F$17))</f>
        <v>0</v>
      </c>
      <c r="V1146" s="10">
        <f>IF(CAS!$C$7="",0,(SUMIF(CAS!$B$31:$B$167,$J1146,CAS!$E$31:$E$167)*Impacts!$F$18))</f>
        <v>0</v>
      </c>
      <c r="W1146" s="10">
        <f t="shared" si="59"/>
        <v>0</v>
      </c>
      <c r="AK1146" s="10" t="str">
        <f t="array" ref="AK1146">IFERROR(INDEX(SelectedSpecies,SMALL(IF(SelectedSpecies=AK$1,ROW(SelectedSpecies)),ROW(1147:1147)),2),"")</f>
        <v/>
      </c>
      <c r="BE1146" s="10"/>
      <c r="BI1146" s="10"/>
    </row>
    <row r="1147" spans="1:61" ht="21" customHeight="1" x14ac:dyDescent="0.25">
      <c r="A1147" s="10"/>
      <c r="B1147" s="10"/>
      <c r="E1147" s="10"/>
      <c r="G1147" s="10"/>
      <c r="I1147" s="436" t="s">
        <v>501</v>
      </c>
      <c r="J1147" s="26" t="s">
        <v>500</v>
      </c>
      <c r="K1147" s="10">
        <v>100</v>
      </c>
      <c r="L1147" s="73">
        <f>IF(Tank1!$C$23="No control",(SUMIF(Tank1!$B$32:$B$49,$J1147,Tank1!$C$32:$C$49)*Impacts!$F$8),0)</f>
        <v>0</v>
      </c>
      <c r="M1147" s="10">
        <f>IF(Tank2!$C$23="No control",(SUMIF(Tank2!$B$32:$B$49,$J1147,Tank2!$C$32:$C$49)*Impacts!$F$9),0)</f>
        <v>0</v>
      </c>
      <c r="N1147" s="10">
        <f>IF(Tank3!$C$23="No control",(SUMIF(Tank3!$B$32:$B$49,$J1147,Tank3!$C$32:$C$49)*Impacts!$F$10),0)</f>
        <v>0</v>
      </c>
      <c r="O1147" s="10">
        <f>IF(Tank4!$C$23="No control",(SUMIF(Tank4!$B$32:$B$49,$J1147,Tank4!$C$32:$C$49)*Impacts!$F$11),0)</f>
        <v>0</v>
      </c>
      <c r="P1147" s="10">
        <f>IF(Tank5!$C$23="No control",(SUMIF(Tank5!$B$32:$B$49,$J1147,Tank5!$C$32:$C$49)*Impacts!$F$12),0)</f>
        <v>0</v>
      </c>
      <c r="Q1147" s="10">
        <f>IFERROR(IF(('Loading-drum,tote'!$C$21)="No control",SUMIF(('Loading-drum,tote'!$B$31:$B$48),$J1147,('Loading-drum,tote'!$D$31:$D$48))*Impacts!$F$13,IF(('Loading-drum,tote'!$C$21)&lt;&gt;"No control",SUMIF(('Loading-drum,tote'!$B$31:$B$48),$J1147,('Loading-drum,tote'!$E$31:$E$48))*Impacts!$F$13,0)),0)</f>
        <v>0</v>
      </c>
      <c r="R1147" s="10">
        <f>IFERROR(IF(('Loading-truck'!$C$21)="No control",SUMIF(('Loading-truck'!$B$31:$B$48),$J1147,('Loading-truck'!$D$31:$D$48))*Impacts!$F$14,IF(('Loading-truck'!$C$21)&lt;&gt;"No control",SUMIF(('Loading-truck'!$B$31:$B$48),$J1147,('Loading-truck'!$E$31:$E$48))*Impacts!$F$14,0)),0)</f>
        <v>0</v>
      </c>
      <c r="S1147" s="10">
        <f>IFERROR(IF(('Loading-rail'!$C$21)="No control",SUMIF(('Loading-rail'!$B$31:$B$48),$J1147,('Loading-rail'!$D$31:$D$48))*Impacts!$F$15,IF(('Loading-rail'!$C$21)&lt;&gt;"No control",SUMIF(('Loading-rail'!$B$31:$B$48),$J1147,('Loading-rail'!$E$31:$E$48))*Impacts!$F$15,0)),0)</f>
        <v>0</v>
      </c>
      <c r="T1147" s="10">
        <f>IF(Flare!$C$7="",0,(SUMIF(Flare!$B$46:$B$185,$J1147,Flare!$E$46:$E$185)*Impacts!$F$16))</f>
        <v>0</v>
      </c>
      <c r="U1147" s="10">
        <f>IF(VCU!$C$9="",0,(SUMIF(VCU!$B$51:$B$193,$J1147,VCU!$E$51:$E$193)*Impacts!$F$17))</f>
        <v>0</v>
      </c>
      <c r="V1147" s="10">
        <f>IF(CAS!$C$7="",0,(SUMIF(CAS!$B$31:$B$167,$J1147,CAS!$E$31:$E$167)*Impacts!$F$18))</f>
        <v>0</v>
      </c>
      <c r="W1147" s="10">
        <f t="shared" si="59"/>
        <v>0</v>
      </c>
      <c r="AK1147" s="10" t="str">
        <f t="array" ref="AK1147">IFERROR(INDEX(SelectedSpecies,SMALL(IF(SelectedSpecies=AK$1,ROW(SelectedSpecies)),ROW(1148:1148)),2),"")</f>
        <v/>
      </c>
      <c r="BE1147" s="10"/>
      <c r="BI1147" s="10"/>
    </row>
    <row r="1148" spans="1:61" ht="21" customHeight="1" x14ac:dyDescent="0.25">
      <c r="A1148" s="10"/>
      <c r="B1148" s="10"/>
      <c r="E1148" s="10"/>
      <c r="G1148" s="10"/>
      <c r="I1148" s="436" t="s">
        <v>2241</v>
      </c>
      <c r="J1148" s="26" t="s">
        <v>2240</v>
      </c>
      <c r="K1148" s="10">
        <v>12.5</v>
      </c>
      <c r="L1148" s="73">
        <f>IF(Tank1!$C$23="No control",(SUMIF(Tank1!$B$32:$B$49,$J1148,Tank1!$C$32:$C$49)*Impacts!$F$8),0)</f>
        <v>0</v>
      </c>
      <c r="M1148" s="10">
        <f>IF(Tank2!$C$23="No control",(SUMIF(Tank2!$B$32:$B$49,$J1148,Tank2!$C$32:$C$49)*Impacts!$F$9),0)</f>
        <v>0</v>
      </c>
      <c r="N1148" s="10">
        <f>IF(Tank3!$C$23="No control",(SUMIF(Tank3!$B$32:$B$49,$J1148,Tank3!$C$32:$C$49)*Impacts!$F$10),0)</f>
        <v>0</v>
      </c>
      <c r="O1148" s="10">
        <f>IF(Tank4!$C$23="No control",(SUMIF(Tank4!$B$32:$B$49,$J1148,Tank4!$C$32:$C$49)*Impacts!$F$11),0)</f>
        <v>0</v>
      </c>
      <c r="P1148" s="10">
        <f>IF(Tank5!$C$23="No control",(SUMIF(Tank5!$B$32:$B$49,$J1148,Tank5!$C$32:$C$49)*Impacts!$F$12),0)</f>
        <v>0</v>
      </c>
      <c r="Q1148" s="10">
        <f>IFERROR(IF(('Loading-drum,tote'!$C$21)="No control",SUMIF(('Loading-drum,tote'!$B$31:$B$48),$J1148,('Loading-drum,tote'!$D$31:$D$48))*Impacts!$F$13,IF(('Loading-drum,tote'!$C$21)&lt;&gt;"No control",SUMIF(('Loading-drum,tote'!$B$31:$B$48),$J1148,('Loading-drum,tote'!$E$31:$E$48))*Impacts!$F$13,0)),0)</f>
        <v>0</v>
      </c>
      <c r="R1148" s="10">
        <f>IFERROR(IF(('Loading-truck'!$C$21)="No control",SUMIF(('Loading-truck'!$B$31:$B$48),$J1148,('Loading-truck'!$D$31:$D$48))*Impacts!$F$14,IF(('Loading-truck'!$C$21)&lt;&gt;"No control",SUMIF(('Loading-truck'!$B$31:$B$48),$J1148,('Loading-truck'!$E$31:$E$48))*Impacts!$F$14,0)),0)</f>
        <v>0</v>
      </c>
      <c r="S1148" s="10">
        <f>IFERROR(IF(('Loading-rail'!$C$21)="No control",SUMIF(('Loading-rail'!$B$31:$B$48),$J1148,('Loading-rail'!$D$31:$D$48))*Impacts!$F$15,IF(('Loading-rail'!$C$21)&lt;&gt;"No control",SUMIF(('Loading-rail'!$B$31:$B$48),$J1148,('Loading-rail'!$E$31:$E$48))*Impacts!$F$15,0)),0)</f>
        <v>0</v>
      </c>
      <c r="T1148" s="10">
        <f>IF(Flare!$C$7="",0,(SUMIF(Flare!$B$46:$B$185,$J1148,Flare!$E$46:$E$185)*Impacts!$F$16))</f>
        <v>0</v>
      </c>
      <c r="U1148" s="10">
        <f>IF(VCU!$C$9="",0,(SUMIF(VCU!$B$51:$B$193,$J1148,VCU!$E$51:$E$193)*Impacts!$F$17))</f>
        <v>0</v>
      </c>
      <c r="V1148" s="10">
        <f>IF(CAS!$C$7="",0,(SUMIF(CAS!$B$31:$B$167,$J1148,CAS!$E$31:$E$167)*Impacts!$F$18))</f>
        <v>0</v>
      </c>
      <c r="W1148" s="10">
        <f t="shared" si="59"/>
        <v>0</v>
      </c>
      <c r="AK1148" s="10" t="str">
        <f t="array" ref="AK1148">IFERROR(INDEX(SelectedSpecies,SMALL(IF(SelectedSpecies=AK$1,ROW(SelectedSpecies)),ROW(1149:1149)),2),"")</f>
        <v/>
      </c>
      <c r="BE1148" s="10"/>
      <c r="BI1148" s="10"/>
    </row>
    <row r="1149" spans="1:61" ht="21" customHeight="1" x14ac:dyDescent="0.25">
      <c r="A1149" s="10"/>
      <c r="B1149" s="10"/>
      <c r="E1149" s="10"/>
      <c r="G1149" s="10"/>
      <c r="I1149" s="436" t="s">
        <v>4963</v>
      </c>
      <c r="J1149" s="26" t="s">
        <v>4962</v>
      </c>
      <c r="K1149" s="10">
        <v>2.5</v>
      </c>
      <c r="L1149" s="73">
        <f>IF(Tank1!$C$23="No control",(SUMIF(Tank1!$B$32:$B$49,$J1149,Tank1!$C$32:$C$49)*Impacts!$F$8),0)</f>
        <v>0</v>
      </c>
      <c r="M1149" s="10">
        <f>IF(Tank2!$C$23="No control",(SUMIF(Tank2!$B$32:$B$49,$J1149,Tank2!$C$32:$C$49)*Impacts!$F$9),0)</f>
        <v>0</v>
      </c>
      <c r="N1149" s="10">
        <f>IF(Tank3!$C$23="No control",(SUMIF(Tank3!$B$32:$B$49,$J1149,Tank3!$C$32:$C$49)*Impacts!$F$10),0)</f>
        <v>0</v>
      </c>
      <c r="O1149" s="10">
        <f>IF(Tank4!$C$23="No control",(SUMIF(Tank4!$B$32:$B$49,$J1149,Tank4!$C$32:$C$49)*Impacts!$F$11),0)</f>
        <v>0</v>
      </c>
      <c r="P1149" s="10">
        <f>IF(Tank5!$C$23="No control",(SUMIF(Tank5!$B$32:$B$49,$J1149,Tank5!$C$32:$C$49)*Impacts!$F$12),0)</f>
        <v>0</v>
      </c>
      <c r="Q1149" s="10">
        <f>IFERROR(IF(('Loading-drum,tote'!$C$21)="No control",SUMIF(('Loading-drum,tote'!$B$31:$B$48),$J1149,('Loading-drum,tote'!$D$31:$D$48))*Impacts!$F$13,IF(('Loading-drum,tote'!$C$21)&lt;&gt;"No control",SUMIF(('Loading-drum,tote'!$B$31:$B$48),$J1149,('Loading-drum,tote'!$E$31:$E$48))*Impacts!$F$13,0)),0)</f>
        <v>0</v>
      </c>
      <c r="R1149" s="10">
        <f>IFERROR(IF(('Loading-truck'!$C$21)="No control",SUMIF(('Loading-truck'!$B$31:$B$48),$J1149,('Loading-truck'!$D$31:$D$48))*Impacts!$F$14,IF(('Loading-truck'!$C$21)&lt;&gt;"No control",SUMIF(('Loading-truck'!$B$31:$B$48),$J1149,('Loading-truck'!$E$31:$E$48))*Impacts!$F$14,0)),0)</f>
        <v>0</v>
      </c>
      <c r="S1149" s="10">
        <f>IFERROR(IF(('Loading-rail'!$C$21)="No control",SUMIF(('Loading-rail'!$B$31:$B$48),$J1149,('Loading-rail'!$D$31:$D$48))*Impacts!$F$15,IF(('Loading-rail'!$C$21)&lt;&gt;"No control",SUMIF(('Loading-rail'!$B$31:$B$48),$J1149,('Loading-rail'!$E$31:$E$48))*Impacts!$F$15,0)),0)</f>
        <v>0</v>
      </c>
      <c r="T1149" s="10">
        <f>IF(Flare!$C$7="",0,(SUMIF(Flare!$B$46:$B$185,$J1149,Flare!$E$46:$E$185)*Impacts!$F$16))</f>
        <v>0</v>
      </c>
      <c r="U1149" s="10">
        <f>IF(VCU!$C$9="",0,(SUMIF(VCU!$B$51:$B$193,$J1149,VCU!$E$51:$E$193)*Impacts!$F$17))</f>
        <v>0</v>
      </c>
      <c r="V1149" s="10">
        <f>IF(CAS!$C$7="",0,(SUMIF(CAS!$B$31:$B$167,$J1149,CAS!$E$31:$E$167)*Impacts!$F$18))</f>
        <v>0</v>
      </c>
      <c r="W1149" s="10">
        <f t="shared" si="59"/>
        <v>0</v>
      </c>
      <c r="AK1149" s="10" t="str">
        <f t="array" ref="AK1149">IFERROR(INDEX(SelectedSpecies,SMALL(IF(SelectedSpecies=AK$1,ROW(SelectedSpecies)),ROW(1150:1150)),2),"")</f>
        <v/>
      </c>
      <c r="BE1149" s="10"/>
      <c r="BI1149" s="10"/>
    </row>
    <row r="1150" spans="1:61" ht="21" customHeight="1" x14ac:dyDescent="0.25">
      <c r="A1150" s="10"/>
      <c r="B1150" s="10"/>
      <c r="E1150" s="10"/>
      <c r="G1150" s="10"/>
      <c r="I1150" s="436" t="s">
        <v>1000</v>
      </c>
      <c r="J1150" s="26" t="s">
        <v>999</v>
      </c>
      <c r="K1150" s="10">
        <v>35</v>
      </c>
      <c r="L1150" s="73">
        <f>IF(Tank1!$C$23="No control",(SUMIF(Tank1!$B$32:$B$49,$J1150,Tank1!$C$32:$C$49)*Impacts!$F$8),0)</f>
        <v>0</v>
      </c>
      <c r="M1150" s="10">
        <f>IF(Tank2!$C$23="No control",(SUMIF(Tank2!$B$32:$B$49,$J1150,Tank2!$C$32:$C$49)*Impacts!$F$9),0)</f>
        <v>0</v>
      </c>
      <c r="N1150" s="10">
        <f>IF(Tank3!$C$23="No control",(SUMIF(Tank3!$B$32:$B$49,$J1150,Tank3!$C$32:$C$49)*Impacts!$F$10),0)</f>
        <v>0</v>
      </c>
      <c r="O1150" s="10">
        <f>IF(Tank4!$C$23="No control",(SUMIF(Tank4!$B$32:$B$49,$J1150,Tank4!$C$32:$C$49)*Impacts!$F$11),0)</f>
        <v>0</v>
      </c>
      <c r="P1150" s="10">
        <f>IF(Tank5!$C$23="No control",(SUMIF(Tank5!$B$32:$B$49,$J1150,Tank5!$C$32:$C$49)*Impacts!$F$12),0)</f>
        <v>0</v>
      </c>
      <c r="Q1150" s="10">
        <f>IFERROR(IF(('Loading-drum,tote'!$C$21)="No control",SUMIF(('Loading-drum,tote'!$B$31:$B$48),$J1150,('Loading-drum,tote'!$D$31:$D$48))*Impacts!$F$13,IF(('Loading-drum,tote'!$C$21)&lt;&gt;"No control",SUMIF(('Loading-drum,tote'!$B$31:$B$48),$J1150,('Loading-drum,tote'!$E$31:$E$48))*Impacts!$F$13,0)),0)</f>
        <v>0</v>
      </c>
      <c r="R1150" s="10">
        <f>IFERROR(IF(('Loading-truck'!$C$21)="No control",SUMIF(('Loading-truck'!$B$31:$B$48),$J1150,('Loading-truck'!$D$31:$D$48))*Impacts!$F$14,IF(('Loading-truck'!$C$21)&lt;&gt;"No control",SUMIF(('Loading-truck'!$B$31:$B$48),$J1150,('Loading-truck'!$E$31:$E$48))*Impacts!$F$14,0)),0)</f>
        <v>0</v>
      </c>
      <c r="S1150" s="10">
        <f>IFERROR(IF(('Loading-rail'!$C$21)="No control",SUMIF(('Loading-rail'!$B$31:$B$48),$J1150,('Loading-rail'!$D$31:$D$48))*Impacts!$F$15,IF(('Loading-rail'!$C$21)&lt;&gt;"No control",SUMIF(('Loading-rail'!$B$31:$B$48),$J1150,('Loading-rail'!$E$31:$E$48))*Impacts!$F$15,0)),0)</f>
        <v>0</v>
      </c>
      <c r="T1150" s="10">
        <f>IF(Flare!$C$7="",0,(SUMIF(Flare!$B$46:$B$185,$J1150,Flare!$E$46:$E$185)*Impacts!$F$16))</f>
        <v>0</v>
      </c>
      <c r="U1150" s="10">
        <f>IF(VCU!$C$9="",0,(SUMIF(VCU!$B$51:$B$193,$J1150,VCU!$E$51:$E$193)*Impacts!$F$17))</f>
        <v>0</v>
      </c>
      <c r="V1150" s="10">
        <f>IF(CAS!$C$7="",0,(SUMIF(CAS!$B$31:$B$167,$J1150,CAS!$E$31:$E$167)*Impacts!$F$18))</f>
        <v>0</v>
      </c>
      <c r="W1150" s="10">
        <f t="shared" si="59"/>
        <v>0</v>
      </c>
      <c r="AK1150" s="10" t="str">
        <f t="array" ref="AK1150">IFERROR(INDEX(SelectedSpecies,SMALL(IF(SelectedSpecies=AK$1,ROW(SelectedSpecies)),ROW(1151:1151)),2),"")</f>
        <v/>
      </c>
      <c r="BE1150" s="10"/>
      <c r="BI1150" s="10"/>
    </row>
    <row r="1151" spans="1:61" ht="21" customHeight="1" x14ac:dyDescent="0.25">
      <c r="A1151" s="10"/>
      <c r="B1151" s="10"/>
      <c r="E1151" s="10"/>
      <c r="G1151" s="10"/>
      <c r="I1151" s="436" t="s">
        <v>1002</v>
      </c>
      <c r="J1151" s="26" t="s">
        <v>1001</v>
      </c>
      <c r="K1151" s="10">
        <v>35</v>
      </c>
      <c r="L1151" s="73">
        <f>IF(Tank1!$C$23="No control",(SUMIF(Tank1!$B$32:$B$49,$J1151,Tank1!$C$32:$C$49)*Impacts!$F$8),0)</f>
        <v>0</v>
      </c>
      <c r="M1151" s="10">
        <f>IF(Tank2!$C$23="No control",(SUMIF(Tank2!$B$32:$B$49,$J1151,Tank2!$C$32:$C$49)*Impacts!$F$9),0)</f>
        <v>0</v>
      </c>
      <c r="N1151" s="10">
        <f>IF(Tank3!$C$23="No control",(SUMIF(Tank3!$B$32:$B$49,$J1151,Tank3!$C$32:$C$49)*Impacts!$F$10),0)</f>
        <v>0</v>
      </c>
      <c r="O1151" s="10">
        <f>IF(Tank4!$C$23="No control",(SUMIF(Tank4!$B$32:$B$49,$J1151,Tank4!$C$32:$C$49)*Impacts!$F$11),0)</f>
        <v>0</v>
      </c>
      <c r="P1151" s="10">
        <f>IF(Tank5!$C$23="No control",(SUMIF(Tank5!$B$32:$B$49,$J1151,Tank5!$C$32:$C$49)*Impacts!$F$12),0)</f>
        <v>0</v>
      </c>
      <c r="Q1151" s="10">
        <f>IFERROR(IF(('Loading-drum,tote'!$C$21)="No control",SUMIF(('Loading-drum,tote'!$B$31:$B$48),$J1151,('Loading-drum,tote'!$D$31:$D$48))*Impacts!$F$13,IF(('Loading-drum,tote'!$C$21)&lt;&gt;"No control",SUMIF(('Loading-drum,tote'!$B$31:$B$48),$J1151,('Loading-drum,tote'!$E$31:$E$48))*Impacts!$F$13,0)),0)</f>
        <v>0</v>
      </c>
      <c r="R1151" s="10">
        <f>IFERROR(IF(('Loading-truck'!$C$21)="No control",SUMIF(('Loading-truck'!$B$31:$B$48),$J1151,('Loading-truck'!$D$31:$D$48))*Impacts!$F$14,IF(('Loading-truck'!$C$21)&lt;&gt;"No control",SUMIF(('Loading-truck'!$B$31:$B$48),$J1151,('Loading-truck'!$E$31:$E$48))*Impacts!$F$14,0)),0)</f>
        <v>0</v>
      </c>
      <c r="S1151" s="10">
        <f>IFERROR(IF(('Loading-rail'!$C$21)="No control",SUMIF(('Loading-rail'!$B$31:$B$48),$J1151,('Loading-rail'!$D$31:$D$48))*Impacts!$F$15,IF(('Loading-rail'!$C$21)&lt;&gt;"No control",SUMIF(('Loading-rail'!$B$31:$B$48),$J1151,('Loading-rail'!$E$31:$E$48))*Impacts!$F$15,0)),0)</f>
        <v>0</v>
      </c>
      <c r="T1151" s="10">
        <f>IF(Flare!$C$7="",0,(SUMIF(Flare!$B$46:$B$185,$J1151,Flare!$E$46:$E$185)*Impacts!$F$16))</f>
        <v>0</v>
      </c>
      <c r="U1151" s="10">
        <f>IF(VCU!$C$9="",0,(SUMIF(VCU!$B$51:$B$193,$J1151,VCU!$E$51:$E$193)*Impacts!$F$17))</f>
        <v>0</v>
      </c>
      <c r="V1151" s="10">
        <f>IF(CAS!$C$7="",0,(SUMIF(CAS!$B$31:$B$167,$J1151,CAS!$E$31:$E$167)*Impacts!$F$18))</f>
        <v>0</v>
      </c>
      <c r="W1151" s="10">
        <f t="shared" si="59"/>
        <v>0</v>
      </c>
      <c r="AK1151" s="10" t="str">
        <f t="array" ref="AK1151">IFERROR(INDEX(SelectedSpecies,SMALL(IF(SelectedSpecies=AK$1,ROW(SelectedSpecies)),ROW(1152:1152)),2),"")</f>
        <v/>
      </c>
      <c r="BE1151" s="10"/>
      <c r="BI1151" s="10"/>
    </row>
    <row r="1152" spans="1:61" ht="21" customHeight="1" x14ac:dyDescent="0.25">
      <c r="A1152" s="10"/>
      <c r="B1152" s="10"/>
      <c r="E1152" s="10"/>
      <c r="G1152" s="10"/>
      <c r="I1152" s="436" t="s">
        <v>1302</v>
      </c>
      <c r="J1152" s="26" t="s">
        <v>1301</v>
      </c>
      <c r="K1152" s="10">
        <v>33</v>
      </c>
      <c r="L1152" s="73">
        <f>IF(Tank1!$C$23="No control",(SUMIF(Tank1!$B$32:$B$49,$J1152,Tank1!$C$32:$C$49)*Impacts!$F$8),0)</f>
        <v>0</v>
      </c>
      <c r="M1152" s="10">
        <f>IF(Tank2!$C$23="No control",(SUMIF(Tank2!$B$32:$B$49,$J1152,Tank2!$C$32:$C$49)*Impacts!$F$9),0)</f>
        <v>0</v>
      </c>
      <c r="N1152" s="10">
        <f>IF(Tank3!$C$23="No control",(SUMIF(Tank3!$B$32:$B$49,$J1152,Tank3!$C$32:$C$49)*Impacts!$F$10),0)</f>
        <v>0</v>
      </c>
      <c r="O1152" s="10">
        <f>IF(Tank4!$C$23="No control",(SUMIF(Tank4!$B$32:$B$49,$J1152,Tank4!$C$32:$C$49)*Impacts!$F$11),0)</f>
        <v>0</v>
      </c>
      <c r="P1152" s="10">
        <f>IF(Tank5!$C$23="No control",(SUMIF(Tank5!$B$32:$B$49,$J1152,Tank5!$C$32:$C$49)*Impacts!$F$12),0)</f>
        <v>0</v>
      </c>
      <c r="Q1152" s="10">
        <f>IFERROR(IF(('Loading-drum,tote'!$C$21)="No control",SUMIF(('Loading-drum,tote'!$B$31:$B$48),$J1152,('Loading-drum,tote'!$D$31:$D$48))*Impacts!$F$13,IF(('Loading-drum,tote'!$C$21)&lt;&gt;"No control",SUMIF(('Loading-drum,tote'!$B$31:$B$48),$J1152,('Loading-drum,tote'!$E$31:$E$48))*Impacts!$F$13,0)),0)</f>
        <v>0</v>
      </c>
      <c r="R1152" s="10">
        <f>IFERROR(IF(('Loading-truck'!$C$21)="No control",SUMIF(('Loading-truck'!$B$31:$B$48),$J1152,('Loading-truck'!$D$31:$D$48))*Impacts!$F$14,IF(('Loading-truck'!$C$21)&lt;&gt;"No control",SUMIF(('Loading-truck'!$B$31:$B$48),$J1152,('Loading-truck'!$E$31:$E$48))*Impacts!$F$14,0)),0)</f>
        <v>0</v>
      </c>
      <c r="S1152" s="10">
        <f>IFERROR(IF(('Loading-rail'!$C$21)="No control",SUMIF(('Loading-rail'!$B$31:$B$48),$J1152,('Loading-rail'!$D$31:$D$48))*Impacts!$F$15,IF(('Loading-rail'!$C$21)&lt;&gt;"No control",SUMIF(('Loading-rail'!$B$31:$B$48),$J1152,('Loading-rail'!$E$31:$E$48))*Impacts!$F$15,0)),0)</f>
        <v>0</v>
      </c>
      <c r="T1152" s="10">
        <f>IF(Flare!$C$7="",0,(SUMIF(Flare!$B$46:$B$185,$J1152,Flare!$E$46:$E$185)*Impacts!$F$16))</f>
        <v>0</v>
      </c>
      <c r="U1152" s="10">
        <f>IF(VCU!$C$9="",0,(SUMIF(VCU!$B$51:$B$193,$J1152,VCU!$E$51:$E$193)*Impacts!$F$17))</f>
        <v>0</v>
      </c>
      <c r="V1152" s="10">
        <f>IF(CAS!$C$7="",0,(SUMIF(CAS!$B$31:$B$167,$J1152,CAS!$E$31:$E$167)*Impacts!$F$18))</f>
        <v>0</v>
      </c>
      <c r="W1152" s="10">
        <f t="shared" si="59"/>
        <v>0</v>
      </c>
      <c r="AK1152" s="10" t="str">
        <f t="array" ref="AK1152">IFERROR(INDEX(SelectedSpecies,SMALL(IF(SelectedSpecies=AK$1,ROW(SelectedSpecies)),ROW(1153:1153)),2),"")</f>
        <v/>
      </c>
      <c r="BE1152" s="10"/>
      <c r="BI1152" s="10"/>
    </row>
    <row r="1153" spans="1:61" ht="21" customHeight="1" x14ac:dyDescent="0.25">
      <c r="A1153" s="10"/>
      <c r="B1153" s="10"/>
      <c r="E1153" s="10"/>
      <c r="G1153" s="10"/>
      <c r="I1153" s="436" t="s">
        <v>1304</v>
      </c>
      <c r="J1153" s="26" t="s">
        <v>1303</v>
      </c>
      <c r="K1153" s="10">
        <v>33</v>
      </c>
      <c r="L1153" s="73">
        <f>IF(Tank1!$C$23="No control",(SUMIF(Tank1!$B$32:$B$49,$J1153,Tank1!$C$32:$C$49)*Impacts!$F$8),0)</f>
        <v>0</v>
      </c>
      <c r="M1153" s="10">
        <f>IF(Tank2!$C$23="No control",(SUMIF(Tank2!$B$32:$B$49,$J1153,Tank2!$C$32:$C$49)*Impacts!$F$9),0)</f>
        <v>0</v>
      </c>
      <c r="N1153" s="10">
        <f>IF(Tank3!$C$23="No control",(SUMIF(Tank3!$B$32:$B$49,$J1153,Tank3!$C$32:$C$49)*Impacts!$F$10),0)</f>
        <v>0</v>
      </c>
      <c r="O1153" s="10">
        <f>IF(Tank4!$C$23="No control",(SUMIF(Tank4!$B$32:$B$49,$J1153,Tank4!$C$32:$C$49)*Impacts!$F$11),0)</f>
        <v>0</v>
      </c>
      <c r="P1153" s="10">
        <f>IF(Tank5!$C$23="No control",(SUMIF(Tank5!$B$32:$B$49,$J1153,Tank5!$C$32:$C$49)*Impacts!$F$12),0)</f>
        <v>0</v>
      </c>
      <c r="Q1153" s="10">
        <f>IFERROR(IF(('Loading-drum,tote'!$C$21)="No control",SUMIF(('Loading-drum,tote'!$B$31:$B$48),$J1153,('Loading-drum,tote'!$D$31:$D$48))*Impacts!$F$13,IF(('Loading-drum,tote'!$C$21)&lt;&gt;"No control",SUMIF(('Loading-drum,tote'!$B$31:$B$48),$J1153,('Loading-drum,tote'!$E$31:$E$48))*Impacts!$F$13,0)),0)</f>
        <v>0</v>
      </c>
      <c r="R1153" s="10">
        <f>IFERROR(IF(('Loading-truck'!$C$21)="No control",SUMIF(('Loading-truck'!$B$31:$B$48),$J1153,('Loading-truck'!$D$31:$D$48))*Impacts!$F$14,IF(('Loading-truck'!$C$21)&lt;&gt;"No control",SUMIF(('Loading-truck'!$B$31:$B$48),$J1153,('Loading-truck'!$E$31:$E$48))*Impacts!$F$14,0)),0)</f>
        <v>0</v>
      </c>
      <c r="S1153" s="10">
        <f>IFERROR(IF(('Loading-rail'!$C$21)="No control",SUMIF(('Loading-rail'!$B$31:$B$48),$J1153,('Loading-rail'!$D$31:$D$48))*Impacts!$F$15,IF(('Loading-rail'!$C$21)&lt;&gt;"No control",SUMIF(('Loading-rail'!$B$31:$B$48),$J1153,('Loading-rail'!$E$31:$E$48))*Impacts!$F$15,0)),0)</f>
        <v>0</v>
      </c>
      <c r="T1153" s="10">
        <f>IF(Flare!$C$7="",0,(SUMIF(Flare!$B$46:$B$185,$J1153,Flare!$E$46:$E$185)*Impacts!$F$16))</f>
        <v>0</v>
      </c>
      <c r="U1153" s="10">
        <f>IF(VCU!$C$9="",0,(SUMIF(VCU!$B$51:$B$193,$J1153,VCU!$E$51:$E$193)*Impacts!$F$17))</f>
        <v>0</v>
      </c>
      <c r="V1153" s="10">
        <f>IF(CAS!$C$7="",0,(SUMIF(CAS!$B$31:$B$167,$J1153,CAS!$E$31:$E$167)*Impacts!$F$18))</f>
        <v>0</v>
      </c>
      <c r="W1153" s="10">
        <f t="shared" si="59"/>
        <v>0</v>
      </c>
      <c r="AK1153" s="10" t="str">
        <f t="array" ref="AK1153">IFERROR(INDEX(SelectedSpecies,SMALL(IF(SelectedSpecies=AK$1,ROW(SelectedSpecies)),ROW(1154:1154)),2),"")</f>
        <v/>
      </c>
      <c r="BE1153" s="10"/>
      <c r="BI1153" s="10"/>
    </row>
    <row r="1154" spans="1:61" ht="21" customHeight="1" x14ac:dyDescent="0.25">
      <c r="A1154" s="10"/>
      <c r="B1154" s="10"/>
      <c r="E1154" s="10"/>
      <c r="G1154" s="10"/>
      <c r="I1154" s="436" t="s">
        <v>1306</v>
      </c>
      <c r="J1154" s="26" t="s">
        <v>1305</v>
      </c>
      <c r="K1154" s="10">
        <v>33</v>
      </c>
      <c r="L1154" s="73">
        <f>IF(Tank1!$C$23="No control",(SUMIF(Tank1!$B$32:$B$49,$J1154,Tank1!$C$32:$C$49)*Impacts!$F$8),0)</f>
        <v>0</v>
      </c>
      <c r="M1154" s="10">
        <f>IF(Tank2!$C$23="No control",(SUMIF(Tank2!$B$32:$B$49,$J1154,Tank2!$C$32:$C$49)*Impacts!$F$9),0)</f>
        <v>0</v>
      </c>
      <c r="N1154" s="10">
        <f>IF(Tank3!$C$23="No control",(SUMIF(Tank3!$B$32:$B$49,$J1154,Tank3!$C$32:$C$49)*Impacts!$F$10),0)</f>
        <v>0</v>
      </c>
      <c r="O1154" s="10">
        <f>IF(Tank4!$C$23="No control",(SUMIF(Tank4!$B$32:$B$49,$J1154,Tank4!$C$32:$C$49)*Impacts!$F$11),0)</f>
        <v>0</v>
      </c>
      <c r="P1154" s="10">
        <f>IF(Tank5!$C$23="No control",(SUMIF(Tank5!$B$32:$B$49,$J1154,Tank5!$C$32:$C$49)*Impacts!$F$12),0)</f>
        <v>0</v>
      </c>
      <c r="Q1154" s="10">
        <f>IFERROR(IF(('Loading-drum,tote'!$C$21)="No control",SUMIF(('Loading-drum,tote'!$B$31:$B$48),$J1154,('Loading-drum,tote'!$D$31:$D$48))*Impacts!$F$13,IF(('Loading-drum,tote'!$C$21)&lt;&gt;"No control",SUMIF(('Loading-drum,tote'!$B$31:$B$48),$J1154,('Loading-drum,tote'!$E$31:$E$48))*Impacts!$F$13,0)),0)</f>
        <v>0</v>
      </c>
      <c r="R1154" s="10">
        <f>IFERROR(IF(('Loading-truck'!$C$21)="No control",SUMIF(('Loading-truck'!$B$31:$B$48),$J1154,('Loading-truck'!$D$31:$D$48))*Impacts!$F$14,IF(('Loading-truck'!$C$21)&lt;&gt;"No control",SUMIF(('Loading-truck'!$B$31:$B$48),$J1154,('Loading-truck'!$E$31:$E$48))*Impacts!$F$14,0)),0)</f>
        <v>0</v>
      </c>
      <c r="S1154" s="10">
        <f>IFERROR(IF(('Loading-rail'!$C$21)="No control",SUMIF(('Loading-rail'!$B$31:$B$48),$J1154,('Loading-rail'!$D$31:$D$48))*Impacts!$F$15,IF(('Loading-rail'!$C$21)&lt;&gt;"No control",SUMIF(('Loading-rail'!$B$31:$B$48),$J1154,('Loading-rail'!$E$31:$E$48))*Impacts!$F$15,0)),0)</f>
        <v>0</v>
      </c>
      <c r="T1154" s="10">
        <f>IF(Flare!$C$7="",0,(SUMIF(Flare!$B$46:$B$185,$J1154,Flare!$E$46:$E$185)*Impacts!$F$16))</f>
        <v>0</v>
      </c>
      <c r="U1154" s="10">
        <f>IF(VCU!$C$9="",0,(SUMIF(VCU!$B$51:$B$193,$J1154,VCU!$E$51:$E$193)*Impacts!$F$17))</f>
        <v>0</v>
      </c>
      <c r="V1154" s="10">
        <f>IF(CAS!$C$7="",0,(SUMIF(CAS!$B$31:$B$167,$J1154,CAS!$E$31:$E$167)*Impacts!$F$18))</f>
        <v>0</v>
      </c>
      <c r="W1154" s="10">
        <f t="shared" si="59"/>
        <v>0</v>
      </c>
      <c r="AK1154" s="10" t="str">
        <f t="array" ref="AK1154">IFERROR(INDEX(SelectedSpecies,SMALL(IF(SelectedSpecies=AK$1,ROW(SelectedSpecies)),ROW(1155:1155)),2),"")</f>
        <v/>
      </c>
      <c r="BE1154" s="10"/>
      <c r="BI1154" s="10"/>
    </row>
    <row r="1155" spans="1:61" ht="21" customHeight="1" x14ac:dyDescent="0.25">
      <c r="A1155" s="10"/>
      <c r="B1155" s="10"/>
      <c r="E1155" s="10"/>
      <c r="G1155" s="10"/>
      <c r="I1155" s="436" t="s">
        <v>1308</v>
      </c>
      <c r="J1155" s="26" t="s">
        <v>1307</v>
      </c>
      <c r="K1155" s="10">
        <v>33</v>
      </c>
      <c r="L1155" s="73">
        <f>IF(Tank1!$C$23="No control",(SUMIF(Tank1!$B$32:$B$49,$J1155,Tank1!$C$32:$C$49)*Impacts!$F$8),0)</f>
        <v>0</v>
      </c>
      <c r="M1155" s="10">
        <f>IF(Tank2!$C$23="No control",(SUMIF(Tank2!$B$32:$B$49,$J1155,Tank2!$C$32:$C$49)*Impacts!$F$9),0)</f>
        <v>0</v>
      </c>
      <c r="N1155" s="10">
        <f>IF(Tank3!$C$23="No control",(SUMIF(Tank3!$B$32:$B$49,$J1155,Tank3!$C$32:$C$49)*Impacts!$F$10),0)</f>
        <v>0</v>
      </c>
      <c r="O1155" s="10">
        <f>IF(Tank4!$C$23="No control",(SUMIF(Tank4!$B$32:$B$49,$J1155,Tank4!$C$32:$C$49)*Impacts!$F$11),0)</f>
        <v>0</v>
      </c>
      <c r="P1155" s="10">
        <f>IF(Tank5!$C$23="No control",(SUMIF(Tank5!$B$32:$B$49,$J1155,Tank5!$C$32:$C$49)*Impacts!$F$12),0)</f>
        <v>0</v>
      </c>
      <c r="Q1155" s="10">
        <f>IFERROR(IF(('Loading-drum,tote'!$C$21)="No control",SUMIF(('Loading-drum,tote'!$B$31:$B$48),$J1155,('Loading-drum,tote'!$D$31:$D$48))*Impacts!$F$13,IF(('Loading-drum,tote'!$C$21)&lt;&gt;"No control",SUMIF(('Loading-drum,tote'!$B$31:$B$48),$J1155,('Loading-drum,tote'!$E$31:$E$48))*Impacts!$F$13,0)),0)</f>
        <v>0</v>
      </c>
      <c r="R1155" s="10">
        <f>IFERROR(IF(('Loading-truck'!$C$21)="No control",SUMIF(('Loading-truck'!$B$31:$B$48),$J1155,('Loading-truck'!$D$31:$D$48))*Impacts!$F$14,IF(('Loading-truck'!$C$21)&lt;&gt;"No control",SUMIF(('Loading-truck'!$B$31:$B$48),$J1155,('Loading-truck'!$E$31:$E$48))*Impacts!$F$14,0)),0)</f>
        <v>0</v>
      </c>
      <c r="S1155" s="10">
        <f>IFERROR(IF(('Loading-rail'!$C$21)="No control",SUMIF(('Loading-rail'!$B$31:$B$48),$J1155,('Loading-rail'!$D$31:$D$48))*Impacts!$F$15,IF(('Loading-rail'!$C$21)&lt;&gt;"No control",SUMIF(('Loading-rail'!$B$31:$B$48),$J1155,('Loading-rail'!$E$31:$E$48))*Impacts!$F$15,0)),0)</f>
        <v>0</v>
      </c>
      <c r="T1155" s="10">
        <f>IF(Flare!$C$7="",0,(SUMIF(Flare!$B$46:$B$185,$J1155,Flare!$E$46:$E$185)*Impacts!$F$16))</f>
        <v>0</v>
      </c>
      <c r="U1155" s="10">
        <f>IF(VCU!$C$9="",0,(SUMIF(VCU!$B$51:$B$193,$J1155,VCU!$E$51:$E$193)*Impacts!$F$17))</f>
        <v>0</v>
      </c>
      <c r="V1155" s="10">
        <f>IF(CAS!$C$7="",0,(SUMIF(CAS!$B$31:$B$167,$J1155,CAS!$E$31:$E$167)*Impacts!$F$18))</f>
        <v>0</v>
      </c>
      <c r="W1155" s="10">
        <f t="shared" ref="W1155:W1305" si="60">SUM(L1155:V1155)</f>
        <v>0</v>
      </c>
      <c r="AK1155" s="10" t="str">
        <f t="array" ref="AK1155">IFERROR(INDEX(SelectedSpecies,SMALL(IF(SelectedSpecies=AK$1,ROW(SelectedSpecies)),ROW(1156:1156)),2),"")</f>
        <v/>
      </c>
      <c r="BE1155" s="10"/>
      <c r="BI1155" s="10"/>
    </row>
    <row r="1156" spans="1:61" ht="21" customHeight="1" x14ac:dyDescent="0.25">
      <c r="A1156" s="10"/>
      <c r="B1156" s="10"/>
      <c r="E1156" s="10"/>
      <c r="G1156" s="10"/>
      <c r="I1156" s="436" t="s">
        <v>1004</v>
      </c>
      <c r="J1156" s="26" t="s">
        <v>1003</v>
      </c>
      <c r="K1156" s="10">
        <v>35</v>
      </c>
      <c r="L1156" s="73">
        <f>IF(Tank1!$C$23="No control",(SUMIF(Tank1!$B$32:$B$49,$J1156,Tank1!$C$32:$C$49)*Impacts!$F$8),0)</f>
        <v>0</v>
      </c>
      <c r="M1156" s="10">
        <f>IF(Tank2!$C$23="No control",(SUMIF(Tank2!$B$32:$B$49,$J1156,Tank2!$C$32:$C$49)*Impacts!$F$9),0)</f>
        <v>0</v>
      </c>
      <c r="N1156" s="10">
        <f>IF(Tank3!$C$23="No control",(SUMIF(Tank3!$B$32:$B$49,$J1156,Tank3!$C$32:$C$49)*Impacts!$F$10),0)</f>
        <v>0</v>
      </c>
      <c r="O1156" s="10">
        <f>IF(Tank4!$C$23="No control",(SUMIF(Tank4!$B$32:$B$49,$J1156,Tank4!$C$32:$C$49)*Impacts!$F$11),0)</f>
        <v>0</v>
      </c>
      <c r="P1156" s="10">
        <f>IF(Tank5!$C$23="No control",(SUMIF(Tank5!$B$32:$B$49,$J1156,Tank5!$C$32:$C$49)*Impacts!$F$12),0)</f>
        <v>0</v>
      </c>
      <c r="Q1156" s="10">
        <f>IFERROR(IF(('Loading-drum,tote'!$C$21)="No control",SUMIF(('Loading-drum,tote'!$B$31:$B$48),$J1156,('Loading-drum,tote'!$D$31:$D$48))*Impacts!$F$13,IF(('Loading-drum,tote'!$C$21)&lt;&gt;"No control",SUMIF(('Loading-drum,tote'!$B$31:$B$48),$J1156,('Loading-drum,tote'!$E$31:$E$48))*Impacts!$F$13,0)),0)</f>
        <v>0</v>
      </c>
      <c r="R1156" s="10">
        <f>IFERROR(IF(('Loading-truck'!$C$21)="No control",SUMIF(('Loading-truck'!$B$31:$B$48),$J1156,('Loading-truck'!$D$31:$D$48))*Impacts!$F$14,IF(('Loading-truck'!$C$21)&lt;&gt;"No control",SUMIF(('Loading-truck'!$B$31:$B$48),$J1156,('Loading-truck'!$E$31:$E$48))*Impacts!$F$14,0)),0)</f>
        <v>0</v>
      </c>
      <c r="S1156" s="10">
        <f>IFERROR(IF(('Loading-rail'!$C$21)="No control",SUMIF(('Loading-rail'!$B$31:$B$48),$J1156,('Loading-rail'!$D$31:$D$48))*Impacts!$F$15,IF(('Loading-rail'!$C$21)&lt;&gt;"No control",SUMIF(('Loading-rail'!$B$31:$B$48),$J1156,('Loading-rail'!$E$31:$E$48))*Impacts!$F$15,0)),0)</f>
        <v>0</v>
      </c>
      <c r="T1156" s="10">
        <f>IF(Flare!$C$7="",0,(SUMIF(Flare!$B$46:$B$185,$J1156,Flare!$E$46:$E$185)*Impacts!$F$16))</f>
        <v>0</v>
      </c>
      <c r="U1156" s="10">
        <f>IF(VCU!$C$9="",0,(SUMIF(VCU!$B$51:$B$193,$J1156,VCU!$E$51:$E$193)*Impacts!$F$17))</f>
        <v>0</v>
      </c>
      <c r="V1156" s="10">
        <f>IF(CAS!$C$7="",0,(SUMIF(CAS!$B$31:$B$167,$J1156,CAS!$E$31:$E$167)*Impacts!$F$18))</f>
        <v>0</v>
      </c>
      <c r="W1156" s="10">
        <f t="shared" si="60"/>
        <v>0</v>
      </c>
      <c r="AK1156" s="10" t="str">
        <f t="array" ref="AK1156">IFERROR(INDEX(SelectedSpecies,SMALL(IF(SelectedSpecies=AK$1,ROW(SelectedSpecies)),ROW(1157:1157)),2),"")</f>
        <v/>
      </c>
      <c r="BE1156" s="10"/>
      <c r="BI1156" s="10"/>
    </row>
    <row r="1157" spans="1:61" ht="21" customHeight="1" x14ac:dyDescent="0.25">
      <c r="A1157" s="10"/>
      <c r="B1157" s="10"/>
      <c r="E1157" s="10"/>
      <c r="G1157" s="10"/>
      <c r="I1157" s="436" t="s">
        <v>1612</v>
      </c>
      <c r="J1157" s="26" t="s">
        <v>1611</v>
      </c>
      <c r="K1157" s="10">
        <v>25</v>
      </c>
      <c r="L1157" s="73">
        <f>IF(Tank1!$C$23="No control",(SUMIF(Tank1!$B$32:$B$49,$J1157,Tank1!$C$32:$C$49)*Impacts!$F$8),0)</f>
        <v>0</v>
      </c>
      <c r="M1157" s="10">
        <f>IF(Tank2!$C$23="No control",(SUMIF(Tank2!$B$32:$B$49,$J1157,Tank2!$C$32:$C$49)*Impacts!$F$9),0)</f>
        <v>0</v>
      </c>
      <c r="N1157" s="10">
        <f>IF(Tank3!$C$23="No control",(SUMIF(Tank3!$B$32:$B$49,$J1157,Tank3!$C$32:$C$49)*Impacts!$F$10),0)</f>
        <v>0</v>
      </c>
      <c r="O1157" s="10">
        <f>IF(Tank4!$C$23="No control",(SUMIF(Tank4!$B$32:$B$49,$J1157,Tank4!$C$32:$C$49)*Impacts!$F$11),0)</f>
        <v>0</v>
      </c>
      <c r="P1157" s="10">
        <f>IF(Tank5!$C$23="No control",(SUMIF(Tank5!$B$32:$B$49,$J1157,Tank5!$C$32:$C$49)*Impacts!$F$12),0)</f>
        <v>0</v>
      </c>
      <c r="Q1157" s="10">
        <f>IFERROR(IF(('Loading-drum,tote'!$C$21)="No control",SUMIF(('Loading-drum,tote'!$B$31:$B$48),$J1157,('Loading-drum,tote'!$D$31:$D$48))*Impacts!$F$13,IF(('Loading-drum,tote'!$C$21)&lt;&gt;"No control",SUMIF(('Loading-drum,tote'!$B$31:$B$48),$J1157,('Loading-drum,tote'!$E$31:$E$48))*Impacts!$F$13,0)),0)</f>
        <v>0</v>
      </c>
      <c r="R1157" s="10">
        <f>IFERROR(IF(('Loading-truck'!$C$21)="No control",SUMIF(('Loading-truck'!$B$31:$B$48),$J1157,('Loading-truck'!$D$31:$D$48))*Impacts!$F$14,IF(('Loading-truck'!$C$21)&lt;&gt;"No control",SUMIF(('Loading-truck'!$B$31:$B$48),$J1157,('Loading-truck'!$E$31:$E$48))*Impacts!$F$14,0)),0)</f>
        <v>0</v>
      </c>
      <c r="S1157" s="10">
        <f>IFERROR(IF(('Loading-rail'!$C$21)="No control",SUMIF(('Loading-rail'!$B$31:$B$48),$J1157,('Loading-rail'!$D$31:$D$48))*Impacts!$F$15,IF(('Loading-rail'!$C$21)&lt;&gt;"No control",SUMIF(('Loading-rail'!$B$31:$B$48),$J1157,('Loading-rail'!$E$31:$E$48))*Impacts!$F$15,0)),0)</f>
        <v>0</v>
      </c>
      <c r="T1157" s="10">
        <f>IF(Flare!$C$7="",0,(SUMIF(Flare!$B$46:$B$185,$J1157,Flare!$E$46:$E$185)*Impacts!$F$16))</f>
        <v>0</v>
      </c>
      <c r="U1157" s="10">
        <f>IF(VCU!$C$9="",0,(SUMIF(VCU!$B$51:$B$193,$J1157,VCU!$E$51:$E$193)*Impacts!$F$17))</f>
        <v>0</v>
      </c>
      <c r="V1157" s="10">
        <f>IF(CAS!$C$7="",0,(SUMIF(CAS!$B$31:$B$167,$J1157,CAS!$E$31:$E$167)*Impacts!$F$18))</f>
        <v>0</v>
      </c>
      <c r="W1157" s="10">
        <f t="shared" si="60"/>
        <v>0</v>
      </c>
      <c r="AK1157" s="10" t="str">
        <f t="array" ref="AK1157">IFERROR(INDEX(SelectedSpecies,SMALL(IF(SelectedSpecies=AK$1,ROW(SelectedSpecies)),ROW(1158:1158)),2),"")</f>
        <v/>
      </c>
      <c r="BE1157" s="10"/>
      <c r="BI1157" s="10"/>
    </row>
    <row r="1158" spans="1:61" ht="21" customHeight="1" x14ac:dyDescent="0.25">
      <c r="A1158" s="10"/>
      <c r="B1158" s="10"/>
      <c r="E1158" s="10"/>
      <c r="G1158" s="10"/>
      <c r="I1158" s="436" t="s">
        <v>1837</v>
      </c>
      <c r="J1158" s="26" t="s">
        <v>1836</v>
      </c>
      <c r="K1158" s="10">
        <v>20</v>
      </c>
      <c r="L1158" s="73">
        <f>IF(Tank1!$C$23="No control",(SUMIF(Tank1!$B$32:$B$49,$J1158,Tank1!$C$32:$C$49)*Impacts!$F$8),0)</f>
        <v>0</v>
      </c>
      <c r="M1158" s="10">
        <f>IF(Tank2!$C$23="No control",(SUMIF(Tank2!$B$32:$B$49,$J1158,Tank2!$C$32:$C$49)*Impacts!$F$9),0)</f>
        <v>0</v>
      </c>
      <c r="N1158" s="10">
        <f>IF(Tank3!$C$23="No control",(SUMIF(Tank3!$B$32:$B$49,$J1158,Tank3!$C$32:$C$49)*Impacts!$F$10),0)</f>
        <v>0</v>
      </c>
      <c r="O1158" s="10">
        <f>IF(Tank4!$C$23="No control",(SUMIF(Tank4!$B$32:$B$49,$J1158,Tank4!$C$32:$C$49)*Impacts!$F$11),0)</f>
        <v>0</v>
      </c>
      <c r="P1158" s="10">
        <f>IF(Tank5!$C$23="No control",(SUMIF(Tank5!$B$32:$B$49,$J1158,Tank5!$C$32:$C$49)*Impacts!$F$12),0)</f>
        <v>0</v>
      </c>
      <c r="Q1158" s="10">
        <f>IFERROR(IF(('Loading-drum,tote'!$C$21)="No control",SUMIF(('Loading-drum,tote'!$B$31:$B$48),$J1158,('Loading-drum,tote'!$D$31:$D$48))*Impacts!$F$13,IF(('Loading-drum,tote'!$C$21)&lt;&gt;"No control",SUMIF(('Loading-drum,tote'!$B$31:$B$48),$J1158,('Loading-drum,tote'!$E$31:$E$48))*Impacts!$F$13,0)),0)</f>
        <v>0</v>
      </c>
      <c r="R1158" s="10">
        <f>IFERROR(IF(('Loading-truck'!$C$21)="No control",SUMIF(('Loading-truck'!$B$31:$B$48),$J1158,('Loading-truck'!$D$31:$D$48))*Impacts!$F$14,IF(('Loading-truck'!$C$21)&lt;&gt;"No control",SUMIF(('Loading-truck'!$B$31:$B$48),$J1158,('Loading-truck'!$E$31:$E$48))*Impacts!$F$14,0)),0)</f>
        <v>0</v>
      </c>
      <c r="S1158" s="10">
        <f>IFERROR(IF(('Loading-rail'!$C$21)="No control",SUMIF(('Loading-rail'!$B$31:$B$48),$J1158,('Loading-rail'!$D$31:$D$48))*Impacts!$F$15,IF(('Loading-rail'!$C$21)&lt;&gt;"No control",SUMIF(('Loading-rail'!$B$31:$B$48),$J1158,('Loading-rail'!$E$31:$E$48))*Impacts!$F$15,0)),0)</f>
        <v>0</v>
      </c>
      <c r="T1158" s="10">
        <f>IF(Flare!$C$7="",0,(SUMIF(Flare!$B$46:$B$185,$J1158,Flare!$E$46:$E$185)*Impacts!$F$16))</f>
        <v>0</v>
      </c>
      <c r="U1158" s="10">
        <f>IF(VCU!$C$9="",0,(SUMIF(VCU!$B$51:$B$193,$J1158,VCU!$E$51:$E$193)*Impacts!$F$17))</f>
        <v>0</v>
      </c>
      <c r="V1158" s="10">
        <f>IF(CAS!$C$7="",0,(SUMIF(CAS!$B$31:$B$167,$J1158,CAS!$E$31:$E$167)*Impacts!$F$18))</f>
        <v>0</v>
      </c>
      <c r="W1158" s="10">
        <f t="shared" si="60"/>
        <v>0</v>
      </c>
      <c r="AK1158" s="10" t="str">
        <f t="array" ref="AK1158">IFERROR(INDEX(SelectedSpecies,SMALL(IF(SelectedSpecies=AK$1,ROW(SelectedSpecies)),ROW(1159:1159)),2),"")</f>
        <v/>
      </c>
      <c r="BE1158" s="10"/>
      <c r="BI1158" s="10"/>
    </row>
    <row r="1159" spans="1:61" ht="21" customHeight="1" x14ac:dyDescent="0.25">
      <c r="A1159" s="10"/>
      <c r="B1159" s="10"/>
      <c r="E1159" s="10"/>
      <c r="G1159" s="10"/>
      <c r="I1159" s="436" t="s">
        <v>2753</v>
      </c>
      <c r="J1159" s="26" t="s">
        <v>2752</v>
      </c>
      <c r="K1159" s="10">
        <v>10</v>
      </c>
      <c r="L1159" s="73">
        <f>IF(Tank1!$C$23="No control",(SUMIF(Tank1!$B$32:$B$49,$J1159,Tank1!$C$32:$C$49)*Impacts!$F$8),0)</f>
        <v>0</v>
      </c>
      <c r="M1159" s="10">
        <f>IF(Tank2!$C$23="No control",(SUMIF(Tank2!$B$32:$B$49,$J1159,Tank2!$C$32:$C$49)*Impacts!$F$9),0)</f>
        <v>0</v>
      </c>
      <c r="N1159" s="10">
        <f>IF(Tank3!$C$23="No control",(SUMIF(Tank3!$B$32:$B$49,$J1159,Tank3!$C$32:$C$49)*Impacts!$F$10),0)</f>
        <v>0</v>
      </c>
      <c r="O1159" s="10">
        <f>IF(Tank4!$C$23="No control",(SUMIF(Tank4!$B$32:$B$49,$J1159,Tank4!$C$32:$C$49)*Impacts!$F$11),0)</f>
        <v>0</v>
      </c>
      <c r="P1159" s="10">
        <f>IF(Tank5!$C$23="No control",(SUMIF(Tank5!$B$32:$B$49,$J1159,Tank5!$C$32:$C$49)*Impacts!$F$12),0)</f>
        <v>0</v>
      </c>
      <c r="Q1159" s="10">
        <f>IFERROR(IF(('Loading-drum,tote'!$C$21)="No control",SUMIF(('Loading-drum,tote'!$B$31:$B$48),$J1159,('Loading-drum,tote'!$D$31:$D$48))*Impacts!$F$13,IF(('Loading-drum,tote'!$C$21)&lt;&gt;"No control",SUMIF(('Loading-drum,tote'!$B$31:$B$48),$J1159,('Loading-drum,tote'!$E$31:$E$48))*Impacts!$F$13,0)),0)</f>
        <v>0</v>
      </c>
      <c r="R1159" s="10">
        <f>IFERROR(IF(('Loading-truck'!$C$21)="No control",SUMIF(('Loading-truck'!$B$31:$B$48),$J1159,('Loading-truck'!$D$31:$D$48))*Impacts!$F$14,IF(('Loading-truck'!$C$21)&lt;&gt;"No control",SUMIF(('Loading-truck'!$B$31:$B$48),$J1159,('Loading-truck'!$E$31:$E$48))*Impacts!$F$14,0)),0)</f>
        <v>0</v>
      </c>
      <c r="S1159" s="10">
        <f>IFERROR(IF(('Loading-rail'!$C$21)="No control",SUMIF(('Loading-rail'!$B$31:$B$48),$J1159,('Loading-rail'!$D$31:$D$48))*Impacts!$F$15,IF(('Loading-rail'!$C$21)&lt;&gt;"No control",SUMIF(('Loading-rail'!$B$31:$B$48),$J1159,('Loading-rail'!$E$31:$E$48))*Impacts!$F$15,0)),0)</f>
        <v>0</v>
      </c>
      <c r="T1159" s="10">
        <f>IF(Flare!$C$7="",0,(SUMIF(Flare!$B$46:$B$185,$J1159,Flare!$E$46:$E$185)*Impacts!$F$16))</f>
        <v>0</v>
      </c>
      <c r="U1159" s="10">
        <f>IF(VCU!$C$9="",0,(SUMIF(VCU!$B$51:$B$193,$J1159,VCU!$E$51:$E$193)*Impacts!$F$17))</f>
        <v>0</v>
      </c>
      <c r="V1159" s="10">
        <f>IF(CAS!$C$7="",0,(SUMIF(CAS!$B$31:$B$167,$J1159,CAS!$E$31:$E$167)*Impacts!$F$18))</f>
        <v>0</v>
      </c>
      <c r="W1159" s="10">
        <f t="shared" si="60"/>
        <v>0</v>
      </c>
      <c r="AK1159" s="10" t="str">
        <f t="array" ref="AK1159">IFERROR(INDEX(SelectedSpecies,SMALL(IF(SelectedSpecies=AK$1,ROW(SelectedSpecies)),ROW(1160:1160)),2),"")</f>
        <v/>
      </c>
      <c r="BE1159" s="10"/>
      <c r="BI1159" s="10"/>
    </row>
    <row r="1160" spans="1:61" ht="21" customHeight="1" x14ac:dyDescent="0.25">
      <c r="A1160" s="10"/>
      <c r="B1160" s="10"/>
      <c r="E1160" s="10"/>
      <c r="G1160" s="10"/>
      <c r="I1160" s="436" t="s">
        <v>6388</v>
      </c>
      <c r="J1160" s="26" t="s">
        <v>6387</v>
      </c>
      <c r="K1160" s="10">
        <v>0.81</v>
      </c>
      <c r="L1160" s="73">
        <f>IF(Tank1!$C$23="No control",(SUMIF(Tank1!$B$32:$B$49,$J1160,Tank1!$C$32:$C$49)*Impacts!$F$8),0)</f>
        <v>0</v>
      </c>
      <c r="M1160" s="10">
        <f>IF(Tank2!$C$23="No control",(SUMIF(Tank2!$B$32:$B$49,$J1160,Tank2!$C$32:$C$49)*Impacts!$F$9),0)</f>
        <v>0</v>
      </c>
      <c r="N1160" s="10">
        <f>IF(Tank3!$C$23="No control",(SUMIF(Tank3!$B$32:$B$49,$J1160,Tank3!$C$32:$C$49)*Impacts!$F$10),0)</f>
        <v>0</v>
      </c>
      <c r="O1160" s="10">
        <f>IF(Tank4!$C$23="No control",(SUMIF(Tank4!$B$32:$B$49,$J1160,Tank4!$C$32:$C$49)*Impacts!$F$11),0)</f>
        <v>0</v>
      </c>
      <c r="P1160" s="10">
        <f>IF(Tank5!$C$23="No control",(SUMIF(Tank5!$B$32:$B$49,$J1160,Tank5!$C$32:$C$49)*Impacts!$F$12),0)</f>
        <v>0</v>
      </c>
      <c r="Q1160" s="10">
        <f>IFERROR(IF(('Loading-drum,tote'!$C$21)="No control",SUMIF(('Loading-drum,tote'!$B$31:$B$48),$J1160,('Loading-drum,tote'!$D$31:$D$48))*Impacts!$F$13,IF(('Loading-drum,tote'!$C$21)&lt;&gt;"No control",SUMIF(('Loading-drum,tote'!$B$31:$B$48),$J1160,('Loading-drum,tote'!$E$31:$E$48))*Impacts!$F$13,0)),0)</f>
        <v>0</v>
      </c>
      <c r="R1160" s="10">
        <f>IFERROR(IF(('Loading-truck'!$C$21)="No control",SUMIF(('Loading-truck'!$B$31:$B$48),$J1160,('Loading-truck'!$D$31:$D$48))*Impacts!$F$14,IF(('Loading-truck'!$C$21)&lt;&gt;"No control",SUMIF(('Loading-truck'!$B$31:$B$48),$J1160,('Loading-truck'!$E$31:$E$48))*Impacts!$F$14,0)),0)</f>
        <v>0</v>
      </c>
      <c r="S1160" s="10">
        <f>IFERROR(IF(('Loading-rail'!$C$21)="No control",SUMIF(('Loading-rail'!$B$31:$B$48),$J1160,('Loading-rail'!$D$31:$D$48))*Impacts!$F$15,IF(('Loading-rail'!$C$21)&lt;&gt;"No control",SUMIF(('Loading-rail'!$B$31:$B$48),$J1160,('Loading-rail'!$E$31:$E$48))*Impacts!$F$15,0)),0)</f>
        <v>0</v>
      </c>
      <c r="T1160" s="10">
        <f>IF(Flare!$C$7="",0,(SUMIF(Flare!$B$46:$B$185,$J1160,Flare!$E$46:$E$185)*Impacts!$F$16))</f>
        <v>0</v>
      </c>
      <c r="U1160" s="10">
        <f>IF(VCU!$C$9="",0,(SUMIF(VCU!$B$51:$B$193,$J1160,VCU!$E$51:$E$193)*Impacts!$F$17))</f>
        <v>0</v>
      </c>
      <c r="V1160" s="10">
        <f>IF(CAS!$C$7="",0,(SUMIF(CAS!$B$31:$B$167,$J1160,CAS!$E$31:$E$167)*Impacts!$F$18))</f>
        <v>0</v>
      </c>
      <c r="W1160" s="10">
        <f t="shared" si="60"/>
        <v>0</v>
      </c>
      <c r="AK1160" s="10" t="str">
        <f t="array" ref="AK1160">IFERROR(INDEX(SelectedSpecies,SMALL(IF(SelectedSpecies=AK$1,ROW(SelectedSpecies)),ROW(1161:1161)),2),"")</f>
        <v/>
      </c>
      <c r="BE1160" s="10"/>
      <c r="BI1160" s="10"/>
    </row>
    <row r="1161" spans="1:61" ht="21" customHeight="1" x14ac:dyDescent="0.25">
      <c r="A1161" s="10"/>
      <c r="B1161" s="10"/>
      <c r="E1161" s="10"/>
      <c r="G1161" s="10"/>
      <c r="I1161" s="436" t="s">
        <v>6388</v>
      </c>
      <c r="J1161" s="26" t="s">
        <v>10367</v>
      </c>
      <c r="K1161" s="10">
        <v>5.6999999999999995E-2</v>
      </c>
      <c r="L1161" s="73">
        <f>IF(Tank1!$C$23="No control",(SUMIF(Tank1!$B$32:$B$49,$J1161,Tank1!$C$32:$C$49)*Impacts!$F$8),0)</f>
        <v>0</v>
      </c>
      <c r="M1161" s="10">
        <f>IF(Tank2!$C$23="No control",(SUMIF(Tank2!$B$32:$B$49,$J1161,Tank2!$C$32:$C$49)*Impacts!$F$9),0)</f>
        <v>0</v>
      </c>
      <c r="N1161" s="10">
        <f>IF(Tank3!$C$23="No control",(SUMIF(Tank3!$B$32:$B$49,$J1161,Tank3!$C$32:$C$49)*Impacts!$F$10),0)</f>
        <v>0</v>
      </c>
      <c r="O1161" s="10">
        <f>IF(Tank4!$C$23="No control",(SUMIF(Tank4!$B$32:$B$49,$J1161,Tank4!$C$32:$C$49)*Impacts!$F$11),0)</f>
        <v>0</v>
      </c>
      <c r="P1161" s="10">
        <f>IF(Tank5!$C$23="No control",(SUMIF(Tank5!$B$32:$B$49,$J1161,Tank5!$C$32:$C$49)*Impacts!$F$12),0)</f>
        <v>0</v>
      </c>
      <c r="Q1161" s="10">
        <f>IFERROR(IF(('Loading-drum,tote'!$C$21)="No control",SUMIF(('Loading-drum,tote'!$B$31:$B$48),$J1161,('Loading-drum,tote'!$D$31:$D$48))*Impacts!$F$13,IF(('Loading-drum,tote'!$C$21)&lt;&gt;"No control",SUMIF(('Loading-drum,tote'!$B$31:$B$48),$J1161,('Loading-drum,tote'!$E$31:$E$48))*Impacts!$F$13,0)),0)</f>
        <v>0</v>
      </c>
      <c r="R1161" s="10">
        <f>IFERROR(IF(('Loading-truck'!$C$21)="No control",SUMIF(('Loading-truck'!$B$31:$B$48),$J1161,('Loading-truck'!$D$31:$D$48))*Impacts!$F$14,IF(('Loading-truck'!$C$21)&lt;&gt;"No control",SUMIF(('Loading-truck'!$B$31:$B$48),$J1161,('Loading-truck'!$E$31:$E$48))*Impacts!$F$14,0)),0)</f>
        <v>0</v>
      </c>
      <c r="S1161" s="10">
        <f>IFERROR(IF(('Loading-rail'!$C$21)="No control",SUMIF(('Loading-rail'!$B$31:$B$48),$J1161,('Loading-rail'!$D$31:$D$48))*Impacts!$F$15,IF(('Loading-rail'!$C$21)&lt;&gt;"No control",SUMIF(('Loading-rail'!$B$31:$B$48),$J1161,('Loading-rail'!$E$31:$E$48))*Impacts!$F$15,0)),0)</f>
        <v>0</v>
      </c>
      <c r="T1161" s="10">
        <f>IF(Flare!$C$7="",0,(SUMIF(Flare!$B$46:$B$185,$J1161,Flare!$E$46:$E$185)*Impacts!$F$16))</f>
        <v>0</v>
      </c>
      <c r="U1161" s="10">
        <f>IF(VCU!$C$9="",0,(SUMIF(VCU!$B$51:$B$193,$J1161,VCU!$E$51:$E$193)*Impacts!$F$17))</f>
        <v>0</v>
      </c>
      <c r="V1161" s="10">
        <f>IF(CAS!$C$7="",0,(SUMIF(CAS!$B$31:$B$167,$J1161,CAS!$E$31:$E$167)*Impacts!$F$18))</f>
        <v>0</v>
      </c>
      <c r="W1161" s="10">
        <f t="shared" si="60"/>
        <v>0</v>
      </c>
      <c r="AK1161" s="10" t="str">
        <f t="array" ref="AK1161">IFERROR(INDEX(SelectedSpecies,SMALL(IF(SelectedSpecies=AK$1,ROW(SelectedSpecies)),ROW(1162:1162)),2),"")</f>
        <v/>
      </c>
      <c r="BE1161" s="10"/>
      <c r="BI1161" s="10"/>
    </row>
    <row r="1162" spans="1:61" ht="21" customHeight="1" x14ac:dyDescent="0.25">
      <c r="A1162" s="10"/>
      <c r="B1162" s="10"/>
      <c r="E1162" s="10"/>
      <c r="G1162" s="10"/>
      <c r="I1162" s="436" t="s">
        <v>6388</v>
      </c>
      <c r="J1162" s="26" t="s">
        <v>10368</v>
      </c>
      <c r="K1162" s="10">
        <v>7.0999999999999994E-2</v>
      </c>
      <c r="L1162" s="73">
        <f>IF(Tank1!$C$23="No control",(SUMIF(Tank1!$B$32:$B$49,$J1162,Tank1!$C$32:$C$49)*Impacts!$F$8),0)</f>
        <v>0</v>
      </c>
      <c r="M1162" s="10">
        <f>IF(Tank2!$C$23="No control",(SUMIF(Tank2!$B$32:$B$49,$J1162,Tank2!$C$32:$C$49)*Impacts!$F$9),0)</f>
        <v>0</v>
      </c>
      <c r="N1162" s="10">
        <f>IF(Tank3!$C$23="No control",(SUMIF(Tank3!$B$32:$B$49,$J1162,Tank3!$C$32:$C$49)*Impacts!$F$10),0)</f>
        <v>0</v>
      </c>
      <c r="O1162" s="10">
        <f>IF(Tank4!$C$23="No control",(SUMIF(Tank4!$B$32:$B$49,$J1162,Tank4!$C$32:$C$49)*Impacts!$F$11),0)</f>
        <v>0</v>
      </c>
      <c r="P1162" s="10">
        <f>IF(Tank5!$C$23="No control",(SUMIF(Tank5!$B$32:$B$49,$J1162,Tank5!$C$32:$C$49)*Impacts!$F$12),0)</f>
        <v>0</v>
      </c>
      <c r="Q1162" s="10">
        <f>IFERROR(IF(('Loading-drum,tote'!$C$21)="No control",SUMIF(('Loading-drum,tote'!$B$31:$B$48),$J1162,('Loading-drum,tote'!$D$31:$D$48))*Impacts!$F$13,IF(('Loading-drum,tote'!$C$21)&lt;&gt;"No control",SUMIF(('Loading-drum,tote'!$B$31:$B$48),$J1162,('Loading-drum,tote'!$E$31:$E$48))*Impacts!$F$13,0)),0)</f>
        <v>0</v>
      </c>
      <c r="R1162" s="10">
        <f>IFERROR(IF(('Loading-truck'!$C$21)="No control",SUMIF(('Loading-truck'!$B$31:$B$48),$J1162,('Loading-truck'!$D$31:$D$48))*Impacts!$F$14,IF(('Loading-truck'!$C$21)&lt;&gt;"No control",SUMIF(('Loading-truck'!$B$31:$B$48),$J1162,('Loading-truck'!$E$31:$E$48))*Impacts!$F$14,0)),0)</f>
        <v>0</v>
      </c>
      <c r="S1162" s="10">
        <f>IFERROR(IF(('Loading-rail'!$C$21)="No control",SUMIF(('Loading-rail'!$B$31:$B$48),$J1162,('Loading-rail'!$D$31:$D$48))*Impacts!$F$15,IF(('Loading-rail'!$C$21)&lt;&gt;"No control",SUMIF(('Loading-rail'!$B$31:$B$48),$J1162,('Loading-rail'!$E$31:$E$48))*Impacts!$F$15,0)),0)</f>
        <v>0</v>
      </c>
      <c r="T1162" s="10">
        <f>IF(Flare!$C$7="",0,(SUMIF(Flare!$B$46:$B$185,$J1162,Flare!$E$46:$E$185)*Impacts!$F$16))</f>
        <v>0</v>
      </c>
      <c r="U1162" s="10">
        <f>IF(VCU!$C$9="",0,(SUMIF(VCU!$B$51:$B$193,$J1162,VCU!$E$51:$E$193)*Impacts!$F$17))</f>
        <v>0</v>
      </c>
      <c r="V1162" s="10">
        <f>IF(CAS!$C$7="",0,(SUMIF(CAS!$B$31:$B$167,$J1162,CAS!$E$31:$E$167)*Impacts!$F$18))</f>
        <v>0</v>
      </c>
      <c r="W1162" s="10">
        <f t="shared" si="60"/>
        <v>0</v>
      </c>
      <c r="AK1162" s="10" t="str">
        <f t="array" ref="AK1162">IFERROR(INDEX(SelectedSpecies,SMALL(IF(SelectedSpecies=AK$1,ROW(SelectedSpecies)),ROW(1163:1163)),2),"")</f>
        <v/>
      </c>
      <c r="BE1162" s="10"/>
      <c r="BI1162" s="10"/>
    </row>
    <row r="1163" spans="1:61" ht="21" customHeight="1" x14ac:dyDescent="0.25">
      <c r="A1163" s="10"/>
      <c r="B1163" s="10"/>
      <c r="E1163" s="10"/>
      <c r="G1163" s="10"/>
      <c r="I1163" s="436" t="s">
        <v>6672</v>
      </c>
      <c r="J1163" s="26" t="s">
        <v>6671</v>
      </c>
      <c r="K1163" s="10">
        <v>0.57000000000000006</v>
      </c>
      <c r="L1163" s="73">
        <f>IF(Tank1!$C$23="No control",(SUMIF(Tank1!$B$32:$B$49,$J1163,Tank1!$C$32:$C$49)*Impacts!$F$8),0)</f>
        <v>0</v>
      </c>
      <c r="M1163" s="10">
        <f>IF(Tank2!$C$23="No control",(SUMIF(Tank2!$B$32:$B$49,$J1163,Tank2!$C$32:$C$49)*Impacts!$F$9),0)</f>
        <v>0</v>
      </c>
      <c r="N1163" s="10">
        <f>IF(Tank3!$C$23="No control",(SUMIF(Tank3!$B$32:$B$49,$J1163,Tank3!$C$32:$C$49)*Impacts!$F$10),0)</f>
        <v>0</v>
      </c>
      <c r="O1163" s="10">
        <f>IF(Tank4!$C$23="No control",(SUMIF(Tank4!$B$32:$B$49,$J1163,Tank4!$C$32:$C$49)*Impacts!$F$11),0)</f>
        <v>0</v>
      </c>
      <c r="P1163" s="10">
        <f>IF(Tank5!$C$23="No control",(SUMIF(Tank5!$B$32:$B$49,$J1163,Tank5!$C$32:$C$49)*Impacts!$F$12),0)</f>
        <v>0</v>
      </c>
      <c r="Q1163" s="10">
        <f>IFERROR(IF(('Loading-drum,tote'!$C$21)="No control",SUMIF(('Loading-drum,tote'!$B$31:$B$48),$J1163,('Loading-drum,tote'!$D$31:$D$48))*Impacts!$F$13,IF(('Loading-drum,tote'!$C$21)&lt;&gt;"No control",SUMIF(('Loading-drum,tote'!$B$31:$B$48),$J1163,('Loading-drum,tote'!$E$31:$E$48))*Impacts!$F$13,0)),0)</f>
        <v>0</v>
      </c>
      <c r="R1163" s="10">
        <f>IFERROR(IF(('Loading-truck'!$C$21)="No control",SUMIF(('Loading-truck'!$B$31:$B$48),$J1163,('Loading-truck'!$D$31:$D$48))*Impacts!$F$14,IF(('Loading-truck'!$C$21)&lt;&gt;"No control",SUMIF(('Loading-truck'!$B$31:$B$48),$J1163,('Loading-truck'!$E$31:$E$48))*Impacts!$F$14,0)),0)</f>
        <v>0</v>
      </c>
      <c r="S1163" s="10">
        <f>IFERROR(IF(('Loading-rail'!$C$21)="No control",SUMIF(('Loading-rail'!$B$31:$B$48),$J1163,('Loading-rail'!$D$31:$D$48))*Impacts!$F$15,IF(('Loading-rail'!$C$21)&lt;&gt;"No control",SUMIF(('Loading-rail'!$B$31:$B$48),$J1163,('Loading-rail'!$E$31:$E$48))*Impacts!$F$15,0)),0)</f>
        <v>0</v>
      </c>
      <c r="T1163" s="10">
        <f>IF(Flare!$C$7="",0,(SUMIF(Flare!$B$46:$B$185,$J1163,Flare!$E$46:$E$185)*Impacts!$F$16))</f>
        <v>0</v>
      </c>
      <c r="U1163" s="10">
        <f>IF(VCU!$C$9="",0,(SUMIF(VCU!$B$51:$B$193,$J1163,VCU!$E$51:$E$193)*Impacts!$F$17))</f>
        <v>0</v>
      </c>
      <c r="V1163" s="10">
        <f>IF(CAS!$C$7="",0,(SUMIF(CAS!$B$31:$B$167,$J1163,CAS!$E$31:$E$167)*Impacts!$F$18))</f>
        <v>0</v>
      </c>
      <c r="W1163" s="10">
        <f t="shared" si="60"/>
        <v>0</v>
      </c>
      <c r="AK1163" s="10" t="str">
        <f t="array" ref="AK1163">IFERROR(INDEX(SelectedSpecies,SMALL(IF(SelectedSpecies=AK$1,ROW(SelectedSpecies)),ROW(1164:1164)),2),"")</f>
        <v/>
      </c>
      <c r="BE1163" s="10"/>
      <c r="BI1163" s="10"/>
    </row>
    <row r="1164" spans="1:61" ht="21" customHeight="1" x14ac:dyDescent="0.25">
      <c r="A1164" s="10"/>
      <c r="B1164" s="10"/>
      <c r="E1164" s="10"/>
      <c r="G1164" s="10"/>
      <c r="I1164" s="436" t="s">
        <v>8344</v>
      </c>
      <c r="J1164" s="26" t="s">
        <v>8343</v>
      </c>
      <c r="K1164" s="10">
        <v>3E-9</v>
      </c>
      <c r="L1164" s="73">
        <f>IF(Tank1!$C$23="No control",(SUMIF(Tank1!$B$32:$B$49,$J1164,Tank1!$C$32:$C$49)*Impacts!$F$8),0)</f>
        <v>0</v>
      </c>
      <c r="M1164" s="10">
        <f>IF(Tank2!$C$23="No control",(SUMIF(Tank2!$B$32:$B$49,$J1164,Tank2!$C$32:$C$49)*Impacts!$F$9),0)</f>
        <v>0</v>
      </c>
      <c r="N1164" s="10">
        <f>IF(Tank3!$C$23="No control",(SUMIF(Tank3!$B$32:$B$49,$J1164,Tank3!$C$32:$C$49)*Impacts!$F$10),0)</f>
        <v>0</v>
      </c>
      <c r="O1164" s="10">
        <f>IF(Tank4!$C$23="No control",(SUMIF(Tank4!$B$32:$B$49,$J1164,Tank4!$C$32:$C$49)*Impacts!$F$11),0)</f>
        <v>0</v>
      </c>
      <c r="P1164" s="10">
        <f>IF(Tank5!$C$23="No control",(SUMIF(Tank5!$B$32:$B$49,$J1164,Tank5!$C$32:$C$49)*Impacts!$F$12),0)</f>
        <v>0</v>
      </c>
      <c r="Q1164" s="10">
        <f>IFERROR(IF(('Loading-drum,tote'!$C$21)="No control",SUMIF(('Loading-drum,tote'!$B$31:$B$48),$J1164,('Loading-drum,tote'!$D$31:$D$48))*Impacts!$F$13,IF(('Loading-drum,tote'!$C$21)&lt;&gt;"No control",SUMIF(('Loading-drum,tote'!$B$31:$B$48),$J1164,('Loading-drum,tote'!$E$31:$E$48))*Impacts!$F$13,0)),0)</f>
        <v>0</v>
      </c>
      <c r="R1164" s="10">
        <f>IFERROR(IF(('Loading-truck'!$C$21)="No control",SUMIF(('Loading-truck'!$B$31:$B$48),$J1164,('Loading-truck'!$D$31:$D$48))*Impacts!$F$14,IF(('Loading-truck'!$C$21)&lt;&gt;"No control",SUMIF(('Loading-truck'!$B$31:$B$48),$J1164,('Loading-truck'!$E$31:$E$48))*Impacts!$F$14,0)),0)</f>
        <v>0</v>
      </c>
      <c r="S1164" s="10">
        <f>IFERROR(IF(('Loading-rail'!$C$21)="No control",SUMIF(('Loading-rail'!$B$31:$B$48),$J1164,('Loading-rail'!$D$31:$D$48))*Impacts!$F$15,IF(('Loading-rail'!$C$21)&lt;&gt;"No control",SUMIF(('Loading-rail'!$B$31:$B$48),$J1164,('Loading-rail'!$E$31:$E$48))*Impacts!$F$15,0)),0)</f>
        <v>0</v>
      </c>
      <c r="T1164" s="10">
        <f>IF(Flare!$C$7="",0,(SUMIF(Flare!$B$46:$B$185,$J1164,Flare!$E$46:$E$185)*Impacts!$F$16))</f>
        <v>0</v>
      </c>
      <c r="U1164" s="10">
        <f>IF(VCU!$C$9="",0,(SUMIF(VCU!$B$51:$B$193,$J1164,VCU!$E$51:$E$193)*Impacts!$F$17))</f>
        <v>0</v>
      </c>
      <c r="V1164" s="10">
        <f>IF(CAS!$C$7="",0,(SUMIF(CAS!$B$31:$B$167,$J1164,CAS!$E$31:$E$167)*Impacts!$F$18))</f>
        <v>0</v>
      </c>
      <c r="W1164" s="10">
        <f t="shared" si="60"/>
        <v>0</v>
      </c>
      <c r="AK1164" s="10" t="str">
        <f t="array" ref="AK1164">IFERROR(INDEX(SelectedSpecies,SMALL(IF(SelectedSpecies=AK$1,ROW(SelectedSpecies)),ROW(1165:1165)),2),"")</f>
        <v/>
      </c>
      <c r="BE1164" s="10"/>
      <c r="BI1164" s="10"/>
    </row>
    <row r="1165" spans="1:61" ht="21" customHeight="1" x14ac:dyDescent="0.25">
      <c r="A1165" s="10"/>
      <c r="B1165" s="10"/>
      <c r="E1165" s="10"/>
      <c r="G1165" s="10"/>
      <c r="I1165" s="436" t="s">
        <v>6782</v>
      </c>
      <c r="J1165" s="26" t="s">
        <v>6781</v>
      </c>
      <c r="K1165" s="10">
        <v>0.5</v>
      </c>
      <c r="L1165" s="73">
        <f>IF(Tank1!$C$23="No control",(SUMIF(Tank1!$B$32:$B$49,$J1165,Tank1!$C$32:$C$49)*Impacts!$F$8),0)</f>
        <v>0</v>
      </c>
      <c r="M1165" s="10">
        <f>IF(Tank2!$C$23="No control",(SUMIF(Tank2!$B$32:$B$49,$J1165,Tank2!$C$32:$C$49)*Impacts!$F$9),0)</f>
        <v>0</v>
      </c>
      <c r="N1165" s="10">
        <f>IF(Tank3!$C$23="No control",(SUMIF(Tank3!$B$32:$B$49,$J1165,Tank3!$C$32:$C$49)*Impacts!$F$10),0)</f>
        <v>0</v>
      </c>
      <c r="O1165" s="10">
        <f>IF(Tank4!$C$23="No control",(SUMIF(Tank4!$B$32:$B$49,$J1165,Tank4!$C$32:$C$49)*Impacts!$F$11),0)</f>
        <v>0</v>
      </c>
      <c r="P1165" s="10">
        <f>IF(Tank5!$C$23="No control",(SUMIF(Tank5!$B$32:$B$49,$J1165,Tank5!$C$32:$C$49)*Impacts!$F$12),0)</f>
        <v>0</v>
      </c>
      <c r="Q1165" s="10">
        <f>IFERROR(IF(('Loading-drum,tote'!$C$21)="No control",SUMIF(('Loading-drum,tote'!$B$31:$B$48),$J1165,('Loading-drum,tote'!$D$31:$D$48))*Impacts!$F$13,IF(('Loading-drum,tote'!$C$21)&lt;&gt;"No control",SUMIF(('Loading-drum,tote'!$B$31:$B$48),$J1165,('Loading-drum,tote'!$E$31:$E$48))*Impacts!$F$13,0)),0)</f>
        <v>0</v>
      </c>
      <c r="R1165" s="10">
        <f>IFERROR(IF(('Loading-truck'!$C$21)="No control",SUMIF(('Loading-truck'!$B$31:$B$48),$J1165,('Loading-truck'!$D$31:$D$48))*Impacts!$F$14,IF(('Loading-truck'!$C$21)&lt;&gt;"No control",SUMIF(('Loading-truck'!$B$31:$B$48),$J1165,('Loading-truck'!$E$31:$E$48))*Impacts!$F$14,0)),0)</f>
        <v>0</v>
      </c>
      <c r="S1165" s="10">
        <f>IFERROR(IF(('Loading-rail'!$C$21)="No control",SUMIF(('Loading-rail'!$B$31:$B$48),$J1165,('Loading-rail'!$D$31:$D$48))*Impacts!$F$15,IF(('Loading-rail'!$C$21)&lt;&gt;"No control",SUMIF(('Loading-rail'!$B$31:$B$48),$J1165,('Loading-rail'!$E$31:$E$48))*Impacts!$F$15,0)),0)</f>
        <v>0</v>
      </c>
      <c r="T1165" s="10">
        <f>IF(Flare!$C$7="",0,(SUMIF(Flare!$B$46:$B$185,$J1165,Flare!$E$46:$E$185)*Impacts!$F$16))</f>
        <v>0</v>
      </c>
      <c r="U1165" s="10">
        <f>IF(VCU!$C$9="",0,(SUMIF(VCU!$B$51:$B$193,$J1165,VCU!$E$51:$E$193)*Impacts!$F$17))</f>
        <v>0</v>
      </c>
      <c r="V1165" s="10">
        <f>IF(CAS!$C$7="",0,(SUMIF(CAS!$B$31:$B$167,$J1165,CAS!$E$31:$E$167)*Impacts!$F$18))</f>
        <v>0</v>
      </c>
      <c r="W1165" s="10">
        <f t="shared" si="60"/>
        <v>0</v>
      </c>
      <c r="AK1165" s="10" t="str">
        <f t="array" ref="AK1165">IFERROR(INDEX(SelectedSpecies,SMALL(IF(SelectedSpecies=AK$1,ROW(SelectedSpecies)),ROW(1166:1166)),2),"")</f>
        <v/>
      </c>
      <c r="BE1165" s="10"/>
      <c r="BI1165" s="10"/>
    </row>
    <row r="1166" spans="1:61" ht="21" customHeight="1" x14ac:dyDescent="0.25">
      <c r="A1166" s="10"/>
      <c r="B1166" s="10"/>
      <c r="E1166" s="10"/>
      <c r="G1166" s="10"/>
      <c r="I1166" s="436" t="s">
        <v>7576</v>
      </c>
      <c r="J1166" s="26" t="s">
        <v>7575</v>
      </c>
      <c r="K1166" s="10">
        <v>0.18000000000000002</v>
      </c>
      <c r="L1166" s="73">
        <f>IF(Tank1!$C$23="No control",(SUMIF(Tank1!$B$32:$B$49,$J1166,Tank1!$C$32:$C$49)*Impacts!$F$8),0)</f>
        <v>0</v>
      </c>
      <c r="M1166" s="10">
        <f>IF(Tank2!$C$23="No control",(SUMIF(Tank2!$B$32:$B$49,$J1166,Tank2!$C$32:$C$49)*Impacts!$F$9),0)</f>
        <v>0</v>
      </c>
      <c r="N1166" s="10">
        <f>IF(Tank3!$C$23="No control",(SUMIF(Tank3!$B$32:$B$49,$J1166,Tank3!$C$32:$C$49)*Impacts!$F$10),0)</f>
        <v>0</v>
      </c>
      <c r="O1166" s="10">
        <f>IF(Tank4!$C$23="No control",(SUMIF(Tank4!$B$32:$B$49,$J1166,Tank4!$C$32:$C$49)*Impacts!$F$11),0)</f>
        <v>0</v>
      </c>
      <c r="P1166" s="10">
        <f>IF(Tank5!$C$23="No control",(SUMIF(Tank5!$B$32:$B$49,$J1166,Tank5!$C$32:$C$49)*Impacts!$F$12),0)</f>
        <v>0</v>
      </c>
      <c r="Q1166" s="10">
        <f>IFERROR(IF(('Loading-drum,tote'!$C$21)="No control",SUMIF(('Loading-drum,tote'!$B$31:$B$48),$J1166,('Loading-drum,tote'!$D$31:$D$48))*Impacts!$F$13,IF(('Loading-drum,tote'!$C$21)&lt;&gt;"No control",SUMIF(('Loading-drum,tote'!$B$31:$B$48),$J1166,('Loading-drum,tote'!$E$31:$E$48))*Impacts!$F$13,0)),0)</f>
        <v>0</v>
      </c>
      <c r="R1166" s="10">
        <f>IFERROR(IF(('Loading-truck'!$C$21)="No control",SUMIF(('Loading-truck'!$B$31:$B$48),$J1166,('Loading-truck'!$D$31:$D$48))*Impacts!$F$14,IF(('Loading-truck'!$C$21)&lt;&gt;"No control",SUMIF(('Loading-truck'!$B$31:$B$48),$J1166,('Loading-truck'!$E$31:$E$48))*Impacts!$F$14,0)),0)</f>
        <v>0</v>
      </c>
      <c r="S1166" s="10">
        <f>IFERROR(IF(('Loading-rail'!$C$21)="No control",SUMIF(('Loading-rail'!$B$31:$B$48),$J1166,('Loading-rail'!$D$31:$D$48))*Impacts!$F$15,IF(('Loading-rail'!$C$21)&lt;&gt;"No control",SUMIF(('Loading-rail'!$B$31:$B$48),$J1166,('Loading-rail'!$E$31:$E$48))*Impacts!$F$15,0)),0)</f>
        <v>0</v>
      </c>
      <c r="T1166" s="10">
        <f>IF(Flare!$C$7="",0,(SUMIF(Flare!$B$46:$B$185,$J1166,Flare!$E$46:$E$185)*Impacts!$F$16))</f>
        <v>0</v>
      </c>
      <c r="U1166" s="10">
        <f>IF(VCU!$C$9="",0,(SUMIF(VCU!$B$51:$B$193,$J1166,VCU!$E$51:$E$193)*Impacts!$F$17))</f>
        <v>0</v>
      </c>
      <c r="V1166" s="10">
        <f>IF(CAS!$C$7="",0,(SUMIF(CAS!$B$31:$B$167,$J1166,CAS!$E$31:$E$167)*Impacts!$F$18))</f>
        <v>0</v>
      </c>
      <c r="W1166" s="10">
        <f t="shared" si="60"/>
        <v>0</v>
      </c>
      <c r="AK1166" s="10" t="str">
        <f t="array" ref="AK1166">IFERROR(INDEX(SelectedSpecies,SMALL(IF(SelectedSpecies=AK$1,ROW(SelectedSpecies)),ROW(1167:1167)),2),"")</f>
        <v/>
      </c>
      <c r="BE1166" s="10"/>
      <c r="BI1166" s="10"/>
    </row>
    <row r="1167" spans="1:61" ht="21" customHeight="1" x14ac:dyDescent="0.25">
      <c r="A1167" s="10"/>
      <c r="B1167" s="10"/>
      <c r="E1167" s="10"/>
      <c r="G1167" s="10"/>
      <c r="I1167" s="436" t="s">
        <v>2755</v>
      </c>
      <c r="J1167" s="26" t="s">
        <v>2754</v>
      </c>
      <c r="K1167" s="10">
        <v>10</v>
      </c>
      <c r="L1167" s="73">
        <f>IF(Tank1!$C$23="No control",(SUMIF(Tank1!$B$32:$B$49,$J1167,Tank1!$C$32:$C$49)*Impacts!$F$8),0)</f>
        <v>0</v>
      </c>
      <c r="M1167" s="10">
        <f>IF(Tank2!$C$23="No control",(SUMIF(Tank2!$B$32:$B$49,$J1167,Tank2!$C$32:$C$49)*Impacts!$F$9),0)</f>
        <v>0</v>
      </c>
      <c r="N1167" s="10">
        <f>IF(Tank3!$C$23="No control",(SUMIF(Tank3!$B$32:$B$49,$J1167,Tank3!$C$32:$C$49)*Impacts!$F$10),0)</f>
        <v>0</v>
      </c>
      <c r="O1167" s="10">
        <f>IF(Tank4!$C$23="No control",(SUMIF(Tank4!$B$32:$B$49,$J1167,Tank4!$C$32:$C$49)*Impacts!$F$11),0)</f>
        <v>0</v>
      </c>
      <c r="P1167" s="10">
        <f>IF(Tank5!$C$23="No control",(SUMIF(Tank5!$B$32:$B$49,$J1167,Tank5!$C$32:$C$49)*Impacts!$F$12),0)</f>
        <v>0</v>
      </c>
      <c r="Q1167" s="10">
        <f>IFERROR(IF(('Loading-drum,tote'!$C$21)="No control",SUMIF(('Loading-drum,tote'!$B$31:$B$48),$J1167,('Loading-drum,tote'!$D$31:$D$48))*Impacts!$F$13,IF(('Loading-drum,tote'!$C$21)&lt;&gt;"No control",SUMIF(('Loading-drum,tote'!$B$31:$B$48),$J1167,('Loading-drum,tote'!$E$31:$E$48))*Impacts!$F$13,0)),0)</f>
        <v>0</v>
      </c>
      <c r="R1167" s="10">
        <f>IFERROR(IF(('Loading-truck'!$C$21)="No control",SUMIF(('Loading-truck'!$B$31:$B$48),$J1167,('Loading-truck'!$D$31:$D$48))*Impacts!$F$14,IF(('Loading-truck'!$C$21)&lt;&gt;"No control",SUMIF(('Loading-truck'!$B$31:$B$48),$J1167,('Loading-truck'!$E$31:$E$48))*Impacts!$F$14,0)),0)</f>
        <v>0</v>
      </c>
      <c r="S1167" s="10">
        <f>IFERROR(IF(('Loading-rail'!$C$21)="No control",SUMIF(('Loading-rail'!$B$31:$B$48),$J1167,('Loading-rail'!$D$31:$D$48))*Impacts!$F$15,IF(('Loading-rail'!$C$21)&lt;&gt;"No control",SUMIF(('Loading-rail'!$B$31:$B$48),$J1167,('Loading-rail'!$E$31:$E$48))*Impacts!$F$15,0)),0)</f>
        <v>0</v>
      </c>
      <c r="T1167" s="10">
        <f>IF(Flare!$C$7="",0,(SUMIF(Flare!$B$46:$B$185,$J1167,Flare!$E$46:$E$185)*Impacts!$F$16))</f>
        <v>0</v>
      </c>
      <c r="U1167" s="10">
        <f>IF(VCU!$C$9="",0,(SUMIF(VCU!$B$51:$B$193,$J1167,VCU!$E$51:$E$193)*Impacts!$F$17))</f>
        <v>0</v>
      </c>
      <c r="V1167" s="10">
        <f>IF(CAS!$C$7="",0,(SUMIF(CAS!$B$31:$B$167,$J1167,CAS!$E$31:$E$167)*Impacts!$F$18))</f>
        <v>0</v>
      </c>
      <c r="W1167" s="10">
        <f t="shared" si="60"/>
        <v>0</v>
      </c>
      <c r="AK1167" s="10" t="str">
        <f t="array" ref="AK1167">IFERROR(INDEX(SelectedSpecies,SMALL(IF(SelectedSpecies=AK$1,ROW(SelectedSpecies)),ROW(1168:1168)),2),"")</f>
        <v/>
      </c>
      <c r="BE1167" s="10"/>
      <c r="BI1167" s="10"/>
    </row>
    <row r="1168" spans="1:61" ht="21" customHeight="1" x14ac:dyDescent="0.25">
      <c r="A1168" s="10"/>
      <c r="B1168" s="10"/>
      <c r="E1168" s="10"/>
      <c r="G1168" s="10"/>
      <c r="I1168" s="436" t="s">
        <v>6784</v>
      </c>
      <c r="J1168" s="26" t="s">
        <v>6783</v>
      </c>
      <c r="K1168" s="10">
        <v>0.5</v>
      </c>
      <c r="L1168" s="73">
        <f>IF(Tank1!$C$23="No control",(SUMIF(Tank1!$B$32:$B$49,$J1168,Tank1!$C$32:$C$49)*Impacts!$F$8),0)</f>
        <v>0</v>
      </c>
      <c r="M1168" s="10">
        <f>IF(Tank2!$C$23="No control",(SUMIF(Tank2!$B$32:$B$49,$J1168,Tank2!$C$32:$C$49)*Impacts!$F$9),0)</f>
        <v>0</v>
      </c>
      <c r="N1168" s="10">
        <f>IF(Tank3!$C$23="No control",(SUMIF(Tank3!$B$32:$B$49,$J1168,Tank3!$C$32:$C$49)*Impacts!$F$10),0)</f>
        <v>0</v>
      </c>
      <c r="O1168" s="10">
        <f>IF(Tank4!$C$23="No control",(SUMIF(Tank4!$B$32:$B$49,$J1168,Tank4!$C$32:$C$49)*Impacts!$F$11),0)</f>
        <v>0</v>
      </c>
      <c r="P1168" s="10">
        <f>IF(Tank5!$C$23="No control",(SUMIF(Tank5!$B$32:$B$49,$J1168,Tank5!$C$32:$C$49)*Impacts!$F$12),0)</f>
        <v>0</v>
      </c>
      <c r="Q1168" s="10">
        <f>IFERROR(IF(('Loading-drum,tote'!$C$21)="No control",SUMIF(('Loading-drum,tote'!$B$31:$B$48),$J1168,('Loading-drum,tote'!$D$31:$D$48))*Impacts!$F$13,IF(('Loading-drum,tote'!$C$21)&lt;&gt;"No control",SUMIF(('Loading-drum,tote'!$B$31:$B$48),$J1168,('Loading-drum,tote'!$E$31:$E$48))*Impacts!$F$13,0)),0)</f>
        <v>0</v>
      </c>
      <c r="R1168" s="10">
        <f>IFERROR(IF(('Loading-truck'!$C$21)="No control",SUMIF(('Loading-truck'!$B$31:$B$48),$J1168,('Loading-truck'!$D$31:$D$48))*Impacts!$F$14,IF(('Loading-truck'!$C$21)&lt;&gt;"No control",SUMIF(('Loading-truck'!$B$31:$B$48),$J1168,('Loading-truck'!$E$31:$E$48))*Impacts!$F$14,0)),0)</f>
        <v>0</v>
      </c>
      <c r="S1168" s="10">
        <f>IFERROR(IF(('Loading-rail'!$C$21)="No control",SUMIF(('Loading-rail'!$B$31:$B$48),$J1168,('Loading-rail'!$D$31:$D$48))*Impacts!$F$15,IF(('Loading-rail'!$C$21)&lt;&gt;"No control",SUMIF(('Loading-rail'!$B$31:$B$48),$J1168,('Loading-rail'!$E$31:$E$48))*Impacts!$F$15,0)),0)</f>
        <v>0</v>
      </c>
      <c r="T1168" s="10">
        <f>IF(Flare!$C$7="",0,(SUMIF(Flare!$B$46:$B$185,$J1168,Flare!$E$46:$E$185)*Impacts!$F$16))</f>
        <v>0</v>
      </c>
      <c r="U1168" s="10">
        <f>IF(VCU!$C$9="",0,(SUMIF(VCU!$B$51:$B$193,$J1168,VCU!$E$51:$E$193)*Impacts!$F$17))</f>
        <v>0</v>
      </c>
      <c r="V1168" s="10">
        <f>IF(CAS!$C$7="",0,(SUMIF(CAS!$B$31:$B$167,$J1168,CAS!$E$31:$E$167)*Impacts!$F$18))</f>
        <v>0</v>
      </c>
      <c r="W1168" s="10">
        <f t="shared" si="60"/>
        <v>0</v>
      </c>
      <c r="AK1168" s="10" t="str">
        <f t="array" ref="AK1168">IFERROR(INDEX(SelectedSpecies,SMALL(IF(SelectedSpecies=AK$1,ROW(SelectedSpecies)),ROW(1169:1169)),2),"")</f>
        <v/>
      </c>
      <c r="BE1168" s="10"/>
      <c r="BI1168" s="10"/>
    </row>
    <row r="1169" spans="1:61" ht="21" customHeight="1" x14ac:dyDescent="0.25">
      <c r="A1169" s="10"/>
      <c r="B1169" s="10"/>
      <c r="E1169" s="10"/>
      <c r="G1169" s="10"/>
      <c r="I1169" s="436" t="s">
        <v>6786</v>
      </c>
      <c r="J1169" s="26" t="s">
        <v>6785</v>
      </c>
      <c r="K1169" s="10">
        <v>0.5</v>
      </c>
      <c r="L1169" s="73">
        <f>IF(Tank1!$C$23="No control",(SUMIF(Tank1!$B$32:$B$49,$J1169,Tank1!$C$32:$C$49)*Impacts!$F$8),0)</f>
        <v>0</v>
      </c>
      <c r="M1169" s="10">
        <f>IF(Tank2!$C$23="No control",(SUMIF(Tank2!$B$32:$B$49,$J1169,Tank2!$C$32:$C$49)*Impacts!$F$9),0)</f>
        <v>0</v>
      </c>
      <c r="N1169" s="10">
        <f>IF(Tank3!$C$23="No control",(SUMIF(Tank3!$B$32:$B$49,$J1169,Tank3!$C$32:$C$49)*Impacts!$F$10),0)</f>
        <v>0</v>
      </c>
      <c r="O1169" s="10">
        <f>IF(Tank4!$C$23="No control",(SUMIF(Tank4!$B$32:$B$49,$J1169,Tank4!$C$32:$C$49)*Impacts!$F$11),0)</f>
        <v>0</v>
      </c>
      <c r="P1169" s="10">
        <f>IF(Tank5!$C$23="No control",(SUMIF(Tank5!$B$32:$B$49,$J1169,Tank5!$C$32:$C$49)*Impacts!$F$12),0)</f>
        <v>0</v>
      </c>
      <c r="Q1169" s="10">
        <f>IFERROR(IF(('Loading-drum,tote'!$C$21)="No control",SUMIF(('Loading-drum,tote'!$B$31:$B$48),$J1169,('Loading-drum,tote'!$D$31:$D$48))*Impacts!$F$13,IF(('Loading-drum,tote'!$C$21)&lt;&gt;"No control",SUMIF(('Loading-drum,tote'!$B$31:$B$48),$J1169,('Loading-drum,tote'!$E$31:$E$48))*Impacts!$F$13,0)),0)</f>
        <v>0</v>
      </c>
      <c r="R1169" s="10">
        <f>IFERROR(IF(('Loading-truck'!$C$21)="No control",SUMIF(('Loading-truck'!$B$31:$B$48),$J1169,('Loading-truck'!$D$31:$D$48))*Impacts!$F$14,IF(('Loading-truck'!$C$21)&lt;&gt;"No control",SUMIF(('Loading-truck'!$B$31:$B$48),$J1169,('Loading-truck'!$E$31:$E$48))*Impacts!$F$14,0)),0)</f>
        <v>0</v>
      </c>
      <c r="S1169" s="10">
        <f>IFERROR(IF(('Loading-rail'!$C$21)="No control",SUMIF(('Loading-rail'!$B$31:$B$48),$J1169,('Loading-rail'!$D$31:$D$48))*Impacts!$F$15,IF(('Loading-rail'!$C$21)&lt;&gt;"No control",SUMIF(('Loading-rail'!$B$31:$B$48),$J1169,('Loading-rail'!$E$31:$E$48))*Impacts!$F$15,0)),0)</f>
        <v>0</v>
      </c>
      <c r="T1169" s="10">
        <f>IF(Flare!$C$7="",0,(SUMIF(Flare!$B$46:$B$185,$J1169,Flare!$E$46:$E$185)*Impacts!$F$16))</f>
        <v>0</v>
      </c>
      <c r="U1169" s="10">
        <f>IF(VCU!$C$9="",0,(SUMIF(VCU!$B$51:$B$193,$J1169,VCU!$E$51:$E$193)*Impacts!$F$17))</f>
        <v>0</v>
      </c>
      <c r="V1169" s="10">
        <f>IF(CAS!$C$7="",0,(SUMIF(CAS!$B$31:$B$167,$J1169,CAS!$E$31:$E$167)*Impacts!$F$18))</f>
        <v>0</v>
      </c>
      <c r="W1169" s="10">
        <f t="shared" si="60"/>
        <v>0</v>
      </c>
      <c r="AK1169" s="10" t="str">
        <f t="array" ref="AK1169">IFERROR(INDEX(SelectedSpecies,SMALL(IF(SelectedSpecies=AK$1,ROW(SelectedSpecies)),ROW(1170:1170)),2),"")</f>
        <v/>
      </c>
      <c r="BE1169" s="10"/>
      <c r="BI1169" s="10"/>
    </row>
    <row r="1170" spans="1:61" ht="21" customHeight="1" x14ac:dyDescent="0.25">
      <c r="A1170" s="10"/>
      <c r="B1170" s="10"/>
      <c r="E1170" s="10"/>
      <c r="G1170" s="10"/>
      <c r="I1170" s="436" t="s">
        <v>2757</v>
      </c>
      <c r="J1170" s="26" t="s">
        <v>2756</v>
      </c>
      <c r="K1170" s="10">
        <v>10</v>
      </c>
      <c r="L1170" s="73">
        <f>IF(Tank1!$C$23="No control",(SUMIF(Tank1!$B$32:$B$49,$J1170,Tank1!$C$32:$C$49)*Impacts!$F$8),0)</f>
        <v>0</v>
      </c>
      <c r="M1170" s="10">
        <f>IF(Tank2!$C$23="No control",(SUMIF(Tank2!$B$32:$B$49,$J1170,Tank2!$C$32:$C$49)*Impacts!$F$9),0)</f>
        <v>0</v>
      </c>
      <c r="N1170" s="10">
        <f>IF(Tank3!$C$23="No control",(SUMIF(Tank3!$B$32:$B$49,$J1170,Tank3!$C$32:$C$49)*Impacts!$F$10),0)</f>
        <v>0</v>
      </c>
      <c r="O1170" s="10">
        <f>IF(Tank4!$C$23="No control",(SUMIF(Tank4!$B$32:$B$49,$J1170,Tank4!$C$32:$C$49)*Impacts!$F$11),0)</f>
        <v>0</v>
      </c>
      <c r="P1170" s="10">
        <f>IF(Tank5!$C$23="No control",(SUMIF(Tank5!$B$32:$B$49,$J1170,Tank5!$C$32:$C$49)*Impacts!$F$12),0)</f>
        <v>0</v>
      </c>
      <c r="Q1170" s="10">
        <f>IFERROR(IF(('Loading-drum,tote'!$C$21)="No control",SUMIF(('Loading-drum,tote'!$B$31:$B$48),$J1170,('Loading-drum,tote'!$D$31:$D$48))*Impacts!$F$13,IF(('Loading-drum,tote'!$C$21)&lt;&gt;"No control",SUMIF(('Loading-drum,tote'!$B$31:$B$48),$J1170,('Loading-drum,tote'!$E$31:$E$48))*Impacts!$F$13,0)),0)</f>
        <v>0</v>
      </c>
      <c r="R1170" s="10">
        <f>IFERROR(IF(('Loading-truck'!$C$21)="No control",SUMIF(('Loading-truck'!$B$31:$B$48),$J1170,('Loading-truck'!$D$31:$D$48))*Impacts!$F$14,IF(('Loading-truck'!$C$21)&lt;&gt;"No control",SUMIF(('Loading-truck'!$B$31:$B$48),$J1170,('Loading-truck'!$E$31:$E$48))*Impacts!$F$14,0)),0)</f>
        <v>0</v>
      </c>
      <c r="S1170" s="10">
        <f>IFERROR(IF(('Loading-rail'!$C$21)="No control",SUMIF(('Loading-rail'!$B$31:$B$48),$J1170,('Loading-rail'!$D$31:$D$48))*Impacts!$F$15,IF(('Loading-rail'!$C$21)&lt;&gt;"No control",SUMIF(('Loading-rail'!$B$31:$B$48),$J1170,('Loading-rail'!$E$31:$E$48))*Impacts!$F$15,0)),0)</f>
        <v>0</v>
      </c>
      <c r="T1170" s="10">
        <f>IF(Flare!$C$7="",0,(SUMIF(Flare!$B$46:$B$185,$J1170,Flare!$E$46:$E$185)*Impacts!$F$16))</f>
        <v>0</v>
      </c>
      <c r="U1170" s="10">
        <f>IF(VCU!$C$9="",0,(SUMIF(VCU!$B$51:$B$193,$J1170,VCU!$E$51:$E$193)*Impacts!$F$17))</f>
        <v>0</v>
      </c>
      <c r="V1170" s="10">
        <f>IF(CAS!$C$7="",0,(SUMIF(CAS!$B$31:$B$167,$J1170,CAS!$E$31:$E$167)*Impacts!$F$18))</f>
        <v>0</v>
      </c>
      <c r="W1170" s="10">
        <f t="shared" si="60"/>
        <v>0</v>
      </c>
      <c r="AK1170" s="10" t="str">
        <f t="array" ref="AK1170">IFERROR(INDEX(SelectedSpecies,SMALL(IF(SelectedSpecies=AK$1,ROW(SelectedSpecies)),ROW(1171:1171)),2),"")</f>
        <v/>
      </c>
      <c r="BE1170" s="10"/>
      <c r="BI1170" s="10"/>
    </row>
    <row r="1171" spans="1:61" ht="21" customHeight="1" x14ac:dyDescent="0.25">
      <c r="A1171" s="10"/>
      <c r="B1171" s="10"/>
      <c r="E1171" s="10"/>
      <c r="G1171" s="10"/>
      <c r="I1171" s="436" t="s">
        <v>5804</v>
      </c>
      <c r="J1171" s="26" t="s">
        <v>5803</v>
      </c>
      <c r="K1171" s="10">
        <v>1</v>
      </c>
      <c r="L1171" s="73">
        <f>IF(Tank1!$C$23="No control",(SUMIF(Tank1!$B$32:$B$49,$J1171,Tank1!$C$32:$C$49)*Impacts!$F$8),0)</f>
        <v>0</v>
      </c>
      <c r="M1171" s="10">
        <f>IF(Tank2!$C$23="No control",(SUMIF(Tank2!$B$32:$B$49,$J1171,Tank2!$C$32:$C$49)*Impacts!$F$9),0)</f>
        <v>0</v>
      </c>
      <c r="N1171" s="10">
        <f>IF(Tank3!$C$23="No control",(SUMIF(Tank3!$B$32:$B$49,$J1171,Tank3!$C$32:$C$49)*Impacts!$F$10),0)</f>
        <v>0</v>
      </c>
      <c r="O1171" s="10">
        <f>IF(Tank4!$C$23="No control",(SUMIF(Tank4!$B$32:$B$49,$J1171,Tank4!$C$32:$C$49)*Impacts!$F$11),0)</f>
        <v>0</v>
      </c>
      <c r="P1171" s="10">
        <f>IF(Tank5!$C$23="No control",(SUMIF(Tank5!$B$32:$B$49,$J1171,Tank5!$C$32:$C$49)*Impacts!$F$12),0)</f>
        <v>0</v>
      </c>
      <c r="Q1171" s="10">
        <f>IFERROR(IF(('Loading-drum,tote'!$C$21)="No control",SUMIF(('Loading-drum,tote'!$B$31:$B$48),$J1171,('Loading-drum,tote'!$D$31:$D$48))*Impacts!$F$13,IF(('Loading-drum,tote'!$C$21)&lt;&gt;"No control",SUMIF(('Loading-drum,tote'!$B$31:$B$48),$J1171,('Loading-drum,tote'!$E$31:$E$48))*Impacts!$F$13,0)),0)</f>
        <v>0</v>
      </c>
      <c r="R1171" s="10">
        <f>IFERROR(IF(('Loading-truck'!$C$21)="No control",SUMIF(('Loading-truck'!$B$31:$B$48),$J1171,('Loading-truck'!$D$31:$D$48))*Impacts!$F$14,IF(('Loading-truck'!$C$21)&lt;&gt;"No control",SUMIF(('Loading-truck'!$B$31:$B$48),$J1171,('Loading-truck'!$E$31:$E$48))*Impacts!$F$14,0)),0)</f>
        <v>0</v>
      </c>
      <c r="S1171" s="10">
        <f>IFERROR(IF(('Loading-rail'!$C$21)="No control",SUMIF(('Loading-rail'!$B$31:$B$48),$J1171,('Loading-rail'!$D$31:$D$48))*Impacts!$F$15,IF(('Loading-rail'!$C$21)&lt;&gt;"No control",SUMIF(('Loading-rail'!$B$31:$B$48),$J1171,('Loading-rail'!$E$31:$E$48))*Impacts!$F$15,0)),0)</f>
        <v>0</v>
      </c>
      <c r="T1171" s="10">
        <f>IF(Flare!$C$7="",0,(SUMIF(Flare!$B$46:$B$185,$J1171,Flare!$E$46:$E$185)*Impacts!$F$16))</f>
        <v>0</v>
      </c>
      <c r="U1171" s="10">
        <f>IF(VCU!$C$9="",0,(SUMIF(VCU!$B$51:$B$193,$J1171,VCU!$E$51:$E$193)*Impacts!$F$17))</f>
        <v>0</v>
      </c>
      <c r="V1171" s="10">
        <f>IF(CAS!$C$7="",0,(SUMIF(CAS!$B$31:$B$167,$J1171,CAS!$E$31:$E$167)*Impacts!$F$18))</f>
        <v>0</v>
      </c>
      <c r="W1171" s="10">
        <f t="shared" si="60"/>
        <v>0</v>
      </c>
      <c r="AK1171" s="10" t="str">
        <f t="array" ref="AK1171">IFERROR(INDEX(SelectedSpecies,SMALL(IF(SelectedSpecies=AK$1,ROW(SelectedSpecies)),ROW(1172:1172)),2),"")</f>
        <v/>
      </c>
      <c r="BE1171" s="10"/>
      <c r="BI1171" s="10"/>
    </row>
    <row r="1172" spans="1:61" ht="21" customHeight="1" x14ac:dyDescent="0.25">
      <c r="A1172" s="10"/>
      <c r="B1172" s="10"/>
      <c r="E1172" s="10"/>
      <c r="G1172" s="10"/>
      <c r="I1172" s="436" t="s">
        <v>1678</v>
      </c>
      <c r="J1172" s="26" t="s">
        <v>1677</v>
      </c>
      <c r="K1172" s="10">
        <v>24.5</v>
      </c>
      <c r="L1172" s="73">
        <f>IF(Tank1!$C$23="No control",(SUMIF(Tank1!$B$32:$B$49,$J1172,Tank1!$C$32:$C$49)*Impacts!$F$8),0)</f>
        <v>0</v>
      </c>
      <c r="M1172" s="10">
        <f>IF(Tank2!$C$23="No control",(SUMIF(Tank2!$B$32:$B$49,$J1172,Tank2!$C$32:$C$49)*Impacts!$F$9),0)</f>
        <v>0</v>
      </c>
      <c r="N1172" s="10">
        <f>IF(Tank3!$C$23="No control",(SUMIF(Tank3!$B$32:$B$49,$J1172,Tank3!$C$32:$C$49)*Impacts!$F$10),0)</f>
        <v>0</v>
      </c>
      <c r="O1172" s="10">
        <f>IF(Tank4!$C$23="No control",(SUMIF(Tank4!$B$32:$B$49,$J1172,Tank4!$C$32:$C$49)*Impacts!$F$11),0)</f>
        <v>0</v>
      </c>
      <c r="P1172" s="10">
        <f>IF(Tank5!$C$23="No control",(SUMIF(Tank5!$B$32:$B$49,$J1172,Tank5!$C$32:$C$49)*Impacts!$F$12),0)</f>
        <v>0</v>
      </c>
      <c r="Q1172" s="10">
        <f>IFERROR(IF(('Loading-drum,tote'!$C$21)="No control",SUMIF(('Loading-drum,tote'!$B$31:$B$48),$J1172,('Loading-drum,tote'!$D$31:$D$48))*Impacts!$F$13,IF(('Loading-drum,tote'!$C$21)&lt;&gt;"No control",SUMIF(('Loading-drum,tote'!$B$31:$B$48),$J1172,('Loading-drum,tote'!$E$31:$E$48))*Impacts!$F$13,0)),0)</f>
        <v>0</v>
      </c>
      <c r="R1172" s="10">
        <f>IFERROR(IF(('Loading-truck'!$C$21)="No control",SUMIF(('Loading-truck'!$B$31:$B$48),$J1172,('Loading-truck'!$D$31:$D$48))*Impacts!$F$14,IF(('Loading-truck'!$C$21)&lt;&gt;"No control",SUMIF(('Loading-truck'!$B$31:$B$48),$J1172,('Loading-truck'!$E$31:$E$48))*Impacts!$F$14,0)),0)</f>
        <v>0</v>
      </c>
      <c r="S1172" s="10">
        <f>IFERROR(IF(('Loading-rail'!$C$21)="No control",SUMIF(('Loading-rail'!$B$31:$B$48),$J1172,('Loading-rail'!$D$31:$D$48))*Impacts!$F$15,IF(('Loading-rail'!$C$21)&lt;&gt;"No control",SUMIF(('Loading-rail'!$B$31:$B$48),$J1172,('Loading-rail'!$E$31:$E$48))*Impacts!$F$15,0)),0)</f>
        <v>0</v>
      </c>
      <c r="T1172" s="10">
        <f>IF(Flare!$C$7="",0,(SUMIF(Flare!$B$46:$B$185,$J1172,Flare!$E$46:$E$185)*Impacts!$F$16))</f>
        <v>0</v>
      </c>
      <c r="U1172" s="10">
        <f>IF(VCU!$C$9="",0,(SUMIF(VCU!$B$51:$B$193,$J1172,VCU!$E$51:$E$193)*Impacts!$F$17))</f>
        <v>0</v>
      </c>
      <c r="V1172" s="10">
        <f>IF(CAS!$C$7="",0,(SUMIF(CAS!$B$31:$B$167,$J1172,CAS!$E$31:$E$167)*Impacts!$F$18))</f>
        <v>0</v>
      </c>
      <c r="W1172" s="10">
        <f t="shared" si="60"/>
        <v>0</v>
      </c>
      <c r="AK1172" s="10" t="str">
        <f t="array" ref="AK1172">IFERROR(INDEX(SelectedSpecies,SMALL(IF(SelectedSpecies=AK$1,ROW(SelectedSpecies)),ROW(1173:1173)),2),"")</f>
        <v/>
      </c>
      <c r="BE1172" s="10"/>
      <c r="BI1172" s="10"/>
    </row>
    <row r="1173" spans="1:61" ht="21" customHeight="1" x14ac:dyDescent="0.25">
      <c r="A1173" s="10"/>
      <c r="B1173" s="10"/>
      <c r="E1173" s="10"/>
      <c r="G1173" s="10"/>
      <c r="I1173" s="436" t="s">
        <v>1006</v>
      </c>
      <c r="J1173" s="26" t="s">
        <v>1005</v>
      </c>
      <c r="K1173" s="10">
        <v>35</v>
      </c>
      <c r="L1173" s="73">
        <f>IF(Tank1!$C$23="No control",(SUMIF(Tank1!$B$32:$B$49,$J1173,Tank1!$C$32:$C$49)*Impacts!$F$8),0)</f>
        <v>0</v>
      </c>
      <c r="M1173" s="10">
        <f>IF(Tank2!$C$23="No control",(SUMIF(Tank2!$B$32:$B$49,$J1173,Tank2!$C$32:$C$49)*Impacts!$F$9),0)</f>
        <v>0</v>
      </c>
      <c r="N1173" s="10">
        <f>IF(Tank3!$C$23="No control",(SUMIF(Tank3!$B$32:$B$49,$J1173,Tank3!$C$32:$C$49)*Impacts!$F$10),0)</f>
        <v>0</v>
      </c>
      <c r="O1173" s="10">
        <f>IF(Tank4!$C$23="No control",(SUMIF(Tank4!$B$32:$B$49,$J1173,Tank4!$C$32:$C$49)*Impacts!$F$11),0)</f>
        <v>0</v>
      </c>
      <c r="P1173" s="10">
        <f>IF(Tank5!$C$23="No control",(SUMIF(Tank5!$B$32:$B$49,$J1173,Tank5!$C$32:$C$49)*Impacts!$F$12),0)</f>
        <v>0</v>
      </c>
      <c r="Q1173" s="10">
        <f>IFERROR(IF(('Loading-drum,tote'!$C$21)="No control",SUMIF(('Loading-drum,tote'!$B$31:$B$48),$J1173,('Loading-drum,tote'!$D$31:$D$48))*Impacts!$F$13,IF(('Loading-drum,tote'!$C$21)&lt;&gt;"No control",SUMIF(('Loading-drum,tote'!$B$31:$B$48),$J1173,('Loading-drum,tote'!$E$31:$E$48))*Impacts!$F$13,0)),0)</f>
        <v>0</v>
      </c>
      <c r="R1173" s="10">
        <f>IFERROR(IF(('Loading-truck'!$C$21)="No control",SUMIF(('Loading-truck'!$B$31:$B$48),$J1173,('Loading-truck'!$D$31:$D$48))*Impacts!$F$14,IF(('Loading-truck'!$C$21)&lt;&gt;"No control",SUMIF(('Loading-truck'!$B$31:$B$48),$J1173,('Loading-truck'!$E$31:$E$48))*Impacts!$F$14,0)),0)</f>
        <v>0</v>
      </c>
      <c r="S1173" s="10">
        <f>IFERROR(IF(('Loading-rail'!$C$21)="No control",SUMIF(('Loading-rail'!$B$31:$B$48),$J1173,('Loading-rail'!$D$31:$D$48))*Impacts!$F$15,IF(('Loading-rail'!$C$21)&lt;&gt;"No control",SUMIF(('Loading-rail'!$B$31:$B$48),$J1173,('Loading-rail'!$E$31:$E$48))*Impacts!$F$15,0)),0)</f>
        <v>0</v>
      </c>
      <c r="T1173" s="10">
        <f>IF(Flare!$C$7="",0,(SUMIF(Flare!$B$46:$B$185,$J1173,Flare!$E$46:$E$185)*Impacts!$F$16))</f>
        <v>0</v>
      </c>
      <c r="U1173" s="10">
        <f>IF(VCU!$C$9="",0,(SUMIF(VCU!$B$51:$B$193,$J1173,VCU!$E$51:$E$193)*Impacts!$F$17))</f>
        <v>0</v>
      </c>
      <c r="V1173" s="10">
        <f>IF(CAS!$C$7="",0,(SUMIF(CAS!$B$31:$B$167,$J1173,CAS!$E$31:$E$167)*Impacts!$F$18))</f>
        <v>0</v>
      </c>
      <c r="W1173" s="10">
        <f t="shared" si="60"/>
        <v>0</v>
      </c>
      <c r="AK1173" s="10" t="str">
        <f t="array" ref="AK1173">IFERROR(INDEX(SelectedSpecies,SMALL(IF(SelectedSpecies=AK$1,ROW(SelectedSpecies)),ROW(1174:1174)),2),"")</f>
        <v/>
      </c>
      <c r="BE1173" s="10"/>
      <c r="BI1173" s="10"/>
    </row>
    <row r="1174" spans="1:61" ht="21" customHeight="1" x14ac:dyDescent="0.25">
      <c r="A1174" s="10"/>
      <c r="B1174" s="10"/>
      <c r="E1174" s="10"/>
      <c r="G1174" s="10"/>
      <c r="I1174" s="436" t="s">
        <v>602</v>
      </c>
      <c r="J1174" s="26" t="s">
        <v>601</v>
      </c>
      <c r="K1174" s="10">
        <v>37</v>
      </c>
      <c r="L1174" s="73">
        <f>IF(Tank1!$C$23="No control",(SUMIF(Tank1!$B$32:$B$49,$J1174,Tank1!$C$32:$C$49)*Impacts!$F$8),0)</f>
        <v>0</v>
      </c>
      <c r="M1174" s="10">
        <f>IF(Tank2!$C$23="No control",(SUMIF(Tank2!$B$32:$B$49,$J1174,Tank2!$C$32:$C$49)*Impacts!$F$9),0)</f>
        <v>0</v>
      </c>
      <c r="N1174" s="10">
        <f>IF(Tank3!$C$23="No control",(SUMIF(Tank3!$B$32:$B$49,$J1174,Tank3!$C$32:$C$49)*Impacts!$F$10),0)</f>
        <v>0</v>
      </c>
      <c r="O1174" s="10">
        <f>IF(Tank4!$C$23="No control",(SUMIF(Tank4!$B$32:$B$49,$J1174,Tank4!$C$32:$C$49)*Impacts!$F$11),0)</f>
        <v>0</v>
      </c>
      <c r="P1174" s="10">
        <f>IF(Tank5!$C$23="No control",(SUMIF(Tank5!$B$32:$B$49,$J1174,Tank5!$C$32:$C$49)*Impacts!$F$12),0)</f>
        <v>0</v>
      </c>
      <c r="Q1174" s="10">
        <f>IFERROR(IF(('Loading-drum,tote'!$C$21)="No control",SUMIF(('Loading-drum,tote'!$B$31:$B$48),$J1174,('Loading-drum,tote'!$D$31:$D$48))*Impacts!$F$13,IF(('Loading-drum,tote'!$C$21)&lt;&gt;"No control",SUMIF(('Loading-drum,tote'!$B$31:$B$48),$J1174,('Loading-drum,tote'!$E$31:$E$48))*Impacts!$F$13,0)),0)</f>
        <v>0</v>
      </c>
      <c r="R1174" s="10">
        <f>IFERROR(IF(('Loading-truck'!$C$21)="No control",SUMIF(('Loading-truck'!$B$31:$B$48),$J1174,('Loading-truck'!$D$31:$D$48))*Impacts!$F$14,IF(('Loading-truck'!$C$21)&lt;&gt;"No control",SUMIF(('Loading-truck'!$B$31:$B$48),$J1174,('Loading-truck'!$E$31:$E$48))*Impacts!$F$14,0)),0)</f>
        <v>0</v>
      </c>
      <c r="S1174" s="10">
        <f>IFERROR(IF(('Loading-rail'!$C$21)="No control",SUMIF(('Loading-rail'!$B$31:$B$48),$J1174,('Loading-rail'!$D$31:$D$48))*Impacts!$F$15,IF(('Loading-rail'!$C$21)&lt;&gt;"No control",SUMIF(('Loading-rail'!$B$31:$B$48),$J1174,('Loading-rail'!$E$31:$E$48))*Impacts!$F$15,0)),0)</f>
        <v>0</v>
      </c>
      <c r="T1174" s="10">
        <f>IF(Flare!$C$7="",0,(SUMIF(Flare!$B$46:$B$185,$J1174,Flare!$E$46:$E$185)*Impacts!$F$16))</f>
        <v>0</v>
      </c>
      <c r="U1174" s="10">
        <f>IF(VCU!$C$9="",0,(SUMIF(VCU!$B$51:$B$193,$J1174,VCU!$E$51:$E$193)*Impacts!$F$17))</f>
        <v>0</v>
      </c>
      <c r="V1174" s="10">
        <f>IF(CAS!$C$7="",0,(SUMIF(CAS!$B$31:$B$167,$J1174,CAS!$E$31:$E$167)*Impacts!$F$18))</f>
        <v>0</v>
      </c>
      <c r="W1174" s="10">
        <f t="shared" si="60"/>
        <v>0</v>
      </c>
      <c r="AK1174" s="10" t="str">
        <f t="array" ref="AK1174">IFERROR(INDEX(SelectedSpecies,SMALL(IF(SelectedSpecies=AK$1,ROW(SelectedSpecies)),ROW(1175:1175)),2),"")</f>
        <v/>
      </c>
      <c r="BE1174" s="10"/>
      <c r="BI1174" s="10"/>
    </row>
    <row r="1175" spans="1:61" ht="21" customHeight="1" x14ac:dyDescent="0.25">
      <c r="A1175" s="10"/>
      <c r="B1175" s="10"/>
      <c r="E1175" s="10"/>
      <c r="G1175" s="10"/>
      <c r="I1175" s="436" t="s">
        <v>4551</v>
      </c>
      <c r="J1175" s="26" t="s">
        <v>4550</v>
      </c>
      <c r="K1175" s="10">
        <v>4</v>
      </c>
      <c r="L1175" s="73">
        <f>IF(Tank1!$C$23="No control",(SUMIF(Tank1!$B$32:$B$49,$J1175,Tank1!$C$32:$C$49)*Impacts!$F$8),0)</f>
        <v>0</v>
      </c>
      <c r="M1175" s="10">
        <f>IF(Tank2!$C$23="No control",(SUMIF(Tank2!$B$32:$B$49,$J1175,Tank2!$C$32:$C$49)*Impacts!$F$9),0)</f>
        <v>0</v>
      </c>
      <c r="N1175" s="10">
        <f>IF(Tank3!$C$23="No control",(SUMIF(Tank3!$B$32:$B$49,$J1175,Tank3!$C$32:$C$49)*Impacts!$F$10),0)</f>
        <v>0</v>
      </c>
      <c r="O1175" s="10">
        <f>IF(Tank4!$C$23="No control",(SUMIF(Tank4!$B$32:$B$49,$J1175,Tank4!$C$32:$C$49)*Impacts!$F$11),0)</f>
        <v>0</v>
      </c>
      <c r="P1175" s="10">
        <f>IF(Tank5!$C$23="No control",(SUMIF(Tank5!$B$32:$B$49,$J1175,Tank5!$C$32:$C$49)*Impacts!$F$12),0)</f>
        <v>0</v>
      </c>
      <c r="Q1175" s="10">
        <f>IFERROR(IF(('Loading-drum,tote'!$C$21)="No control",SUMIF(('Loading-drum,tote'!$B$31:$B$48),$J1175,('Loading-drum,tote'!$D$31:$D$48))*Impacts!$F$13,IF(('Loading-drum,tote'!$C$21)&lt;&gt;"No control",SUMIF(('Loading-drum,tote'!$B$31:$B$48),$J1175,('Loading-drum,tote'!$E$31:$E$48))*Impacts!$F$13,0)),0)</f>
        <v>0</v>
      </c>
      <c r="R1175" s="10">
        <f>IFERROR(IF(('Loading-truck'!$C$21)="No control",SUMIF(('Loading-truck'!$B$31:$B$48),$J1175,('Loading-truck'!$D$31:$D$48))*Impacts!$F$14,IF(('Loading-truck'!$C$21)&lt;&gt;"No control",SUMIF(('Loading-truck'!$B$31:$B$48),$J1175,('Loading-truck'!$E$31:$E$48))*Impacts!$F$14,0)),0)</f>
        <v>0</v>
      </c>
      <c r="S1175" s="10">
        <f>IFERROR(IF(('Loading-rail'!$C$21)="No control",SUMIF(('Loading-rail'!$B$31:$B$48),$J1175,('Loading-rail'!$D$31:$D$48))*Impacts!$F$15,IF(('Loading-rail'!$C$21)&lt;&gt;"No control",SUMIF(('Loading-rail'!$B$31:$B$48),$J1175,('Loading-rail'!$E$31:$E$48))*Impacts!$F$15,0)),0)</f>
        <v>0</v>
      </c>
      <c r="T1175" s="10">
        <f>IF(Flare!$C$7="",0,(SUMIF(Flare!$B$46:$B$185,$J1175,Flare!$E$46:$E$185)*Impacts!$F$16))</f>
        <v>0</v>
      </c>
      <c r="U1175" s="10">
        <f>IF(VCU!$C$9="",0,(SUMIF(VCU!$B$51:$B$193,$J1175,VCU!$E$51:$E$193)*Impacts!$F$17))</f>
        <v>0</v>
      </c>
      <c r="V1175" s="10">
        <f>IF(CAS!$C$7="",0,(SUMIF(CAS!$B$31:$B$167,$J1175,CAS!$E$31:$E$167)*Impacts!$F$18))</f>
        <v>0</v>
      </c>
      <c r="W1175" s="10">
        <f t="shared" si="60"/>
        <v>0</v>
      </c>
      <c r="AK1175" s="10" t="str">
        <f t="array" ref="AK1175">IFERROR(INDEX(SelectedSpecies,SMALL(IF(SelectedSpecies=AK$1,ROW(SelectedSpecies)),ROW(1176:1176)),2),"")</f>
        <v/>
      </c>
      <c r="BE1175" s="10"/>
      <c r="BI1175" s="10"/>
    </row>
    <row r="1176" spans="1:61" ht="21" customHeight="1" x14ac:dyDescent="0.25">
      <c r="A1176" s="10"/>
      <c r="B1176" s="10"/>
      <c r="E1176" s="10"/>
      <c r="G1176" s="10"/>
      <c r="I1176" s="436" t="s">
        <v>1797</v>
      </c>
      <c r="J1176" s="26" t="s">
        <v>1796</v>
      </c>
      <c r="K1176" s="10">
        <v>22</v>
      </c>
      <c r="L1176" s="73">
        <f>IF(Tank1!$C$23="No control",(SUMIF(Tank1!$B$32:$B$49,$J1176,Tank1!$C$32:$C$49)*Impacts!$F$8),0)</f>
        <v>0</v>
      </c>
      <c r="M1176" s="10">
        <f>IF(Tank2!$C$23="No control",(SUMIF(Tank2!$B$32:$B$49,$J1176,Tank2!$C$32:$C$49)*Impacts!$F$9),0)</f>
        <v>0</v>
      </c>
      <c r="N1176" s="10">
        <f>IF(Tank3!$C$23="No control",(SUMIF(Tank3!$B$32:$B$49,$J1176,Tank3!$C$32:$C$49)*Impacts!$F$10),0)</f>
        <v>0</v>
      </c>
      <c r="O1176" s="10">
        <f>IF(Tank4!$C$23="No control",(SUMIF(Tank4!$B$32:$B$49,$J1176,Tank4!$C$32:$C$49)*Impacts!$F$11),0)</f>
        <v>0</v>
      </c>
      <c r="P1176" s="10">
        <f>IF(Tank5!$C$23="No control",(SUMIF(Tank5!$B$32:$B$49,$J1176,Tank5!$C$32:$C$49)*Impacts!$F$12),0)</f>
        <v>0</v>
      </c>
      <c r="Q1176" s="10">
        <f>IFERROR(IF(('Loading-drum,tote'!$C$21)="No control",SUMIF(('Loading-drum,tote'!$B$31:$B$48),$J1176,('Loading-drum,tote'!$D$31:$D$48))*Impacts!$F$13,IF(('Loading-drum,tote'!$C$21)&lt;&gt;"No control",SUMIF(('Loading-drum,tote'!$B$31:$B$48),$J1176,('Loading-drum,tote'!$E$31:$E$48))*Impacts!$F$13,0)),0)</f>
        <v>0</v>
      </c>
      <c r="R1176" s="10">
        <f>IFERROR(IF(('Loading-truck'!$C$21)="No control",SUMIF(('Loading-truck'!$B$31:$B$48),$J1176,('Loading-truck'!$D$31:$D$48))*Impacts!$F$14,IF(('Loading-truck'!$C$21)&lt;&gt;"No control",SUMIF(('Loading-truck'!$B$31:$B$48),$J1176,('Loading-truck'!$E$31:$E$48))*Impacts!$F$14,0)),0)</f>
        <v>0</v>
      </c>
      <c r="S1176" s="10">
        <f>IFERROR(IF(('Loading-rail'!$C$21)="No control",SUMIF(('Loading-rail'!$B$31:$B$48),$J1176,('Loading-rail'!$D$31:$D$48))*Impacts!$F$15,IF(('Loading-rail'!$C$21)&lt;&gt;"No control",SUMIF(('Loading-rail'!$B$31:$B$48),$J1176,('Loading-rail'!$E$31:$E$48))*Impacts!$F$15,0)),0)</f>
        <v>0</v>
      </c>
      <c r="T1176" s="10">
        <f>IF(Flare!$C$7="",0,(SUMIF(Flare!$B$46:$B$185,$J1176,Flare!$E$46:$E$185)*Impacts!$F$16))</f>
        <v>0</v>
      </c>
      <c r="U1176" s="10">
        <f>IF(VCU!$C$9="",0,(SUMIF(VCU!$B$51:$B$193,$J1176,VCU!$E$51:$E$193)*Impacts!$F$17))</f>
        <v>0</v>
      </c>
      <c r="V1176" s="10">
        <f>IF(CAS!$C$7="",0,(SUMIF(CAS!$B$31:$B$167,$J1176,CAS!$E$31:$E$167)*Impacts!$F$18))</f>
        <v>0</v>
      </c>
      <c r="W1176" s="10">
        <f t="shared" si="60"/>
        <v>0</v>
      </c>
      <c r="AK1176" s="10" t="str">
        <f t="array" ref="AK1176">IFERROR(INDEX(SelectedSpecies,SMALL(IF(SelectedSpecies=AK$1,ROW(SelectedSpecies)),ROW(1177:1177)),2),"")</f>
        <v/>
      </c>
      <c r="BE1176" s="10"/>
      <c r="BI1176" s="10"/>
    </row>
    <row r="1177" spans="1:61" ht="21" customHeight="1" x14ac:dyDescent="0.25">
      <c r="A1177" s="10"/>
      <c r="B1177" s="10"/>
      <c r="E1177" s="10"/>
      <c r="G1177" s="10"/>
      <c r="I1177" s="436" t="s">
        <v>5806</v>
      </c>
      <c r="J1177" s="26" t="s">
        <v>5805</v>
      </c>
      <c r="K1177" s="10">
        <v>1</v>
      </c>
      <c r="L1177" s="73">
        <f>IF(Tank1!$C$23="No control",(SUMIF(Tank1!$B$32:$B$49,$J1177,Tank1!$C$32:$C$49)*Impacts!$F$8),0)</f>
        <v>0</v>
      </c>
      <c r="M1177" s="10">
        <f>IF(Tank2!$C$23="No control",(SUMIF(Tank2!$B$32:$B$49,$J1177,Tank2!$C$32:$C$49)*Impacts!$F$9),0)</f>
        <v>0</v>
      </c>
      <c r="N1177" s="10">
        <f>IF(Tank3!$C$23="No control",(SUMIF(Tank3!$B$32:$B$49,$J1177,Tank3!$C$32:$C$49)*Impacts!$F$10),0)</f>
        <v>0</v>
      </c>
      <c r="O1177" s="10">
        <f>IF(Tank4!$C$23="No control",(SUMIF(Tank4!$B$32:$B$49,$J1177,Tank4!$C$32:$C$49)*Impacts!$F$11),0)</f>
        <v>0</v>
      </c>
      <c r="P1177" s="10">
        <f>IF(Tank5!$C$23="No control",(SUMIF(Tank5!$B$32:$B$49,$J1177,Tank5!$C$32:$C$49)*Impacts!$F$12),0)</f>
        <v>0</v>
      </c>
      <c r="Q1177" s="10">
        <f>IFERROR(IF(('Loading-drum,tote'!$C$21)="No control",SUMIF(('Loading-drum,tote'!$B$31:$B$48),$J1177,('Loading-drum,tote'!$D$31:$D$48))*Impacts!$F$13,IF(('Loading-drum,tote'!$C$21)&lt;&gt;"No control",SUMIF(('Loading-drum,tote'!$B$31:$B$48),$J1177,('Loading-drum,tote'!$E$31:$E$48))*Impacts!$F$13,0)),0)</f>
        <v>0</v>
      </c>
      <c r="R1177" s="10">
        <f>IFERROR(IF(('Loading-truck'!$C$21)="No control",SUMIF(('Loading-truck'!$B$31:$B$48),$J1177,('Loading-truck'!$D$31:$D$48))*Impacts!$F$14,IF(('Loading-truck'!$C$21)&lt;&gt;"No control",SUMIF(('Loading-truck'!$B$31:$B$48),$J1177,('Loading-truck'!$E$31:$E$48))*Impacts!$F$14,0)),0)</f>
        <v>0</v>
      </c>
      <c r="S1177" s="10">
        <f>IFERROR(IF(('Loading-rail'!$C$21)="No control",SUMIF(('Loading-rail'!$B$31:$B$48),$J1177,('Loading-rail'!$D$31:$D$48))*Impacts!$F$15,IF(('Loading-rail'!$C$21)&lt;&gt;"No control",SUMIF(('Loading-rail'!$B$31:$B$48),$J1177,('Loading-rail'!$E$31:$E$48))*Impacts!$F$15,0)),0)</f>
        <v>0</v>
      </c>
      <c r="T1177" s="10">
        <f>IF(Flare!$C$7="",0,(SUMIF(Flare!$B$46:$B$185,$J1177,Flare!$E$46:$E$185)*Impacts!$F$16))</f>
        <v>0</v>
      </c>
      <c r="U1177" s="10">
        <f>IF(VCU!$C$9="",0,(SUMIF(VCU!$B$51:$B$193,$J1177,VCU!$E$51:$E$193)*Impacts!$F$17))</f>
        <v>0</v>
      </c>
      <c r="V1177" s="10">
        <f>IF(CAS!$C$7="",0,(SUMIF(CAS!$B$31:$B$167,$J1177,CAS!$E$31:$E$167)*Impacts!$F$18))</f>
        <v>0</v>
      </c>
      <c r="W1177" s="10">
        <f t="shared" si="60"/>
        <v>0</v>
      </c>
      <c r="AK1177" s="10" t="str">
        <f t="array" ref="AK1177">IFERROR(INDEX(SelectedSpecies,SMALL(IF(SelectedSpecies=AK$1,ROW(SelectedSpecies)),ROW(1178:1178)),2),"")</f>
        <v/>
      </c>
      <c r="BE1177" s="10"/>
      <c r="BI1177" s="10"/>
    </row>
    <row r="1178" spans="1:61" ht="21" customHeight="1" x14ac:dyDescent="0.25">
      <c r="A1178" s="10"/>
      <c r="B1178" s="10"/>
      <c r="E1178" s="10"/>
      <c r="G1178" s="10"/>
      <c r="I1178" s="436" t="s">
        <v>4719</v>
      </c>
      <c r="J1178" s="26" t="s">
        <v>4718</v>
      </c>
      <c r="K1178" s="10">
        <v>3.5</v>
      </c>
      <c r="L1178" s="73">
        <f>IF(Tank1!$C$23="No control",(SUMIF(Tank1!$B$32:$B$49,$J1178,Tank1!$C$32:$C$49)*Impacts!$F$8),0)</f>
        <v>0</v>
      </c>
      <c r="M1178" s="10">
        <f>IF(Tank2!$C$23="No control",(SUMIF(Tank2!$B$32:$B$49,$J1178,Tank2!$C$32:$C$49)*Impacts!$F$9),0)</f>
        <v>0</v>
      </c>
      <c r="N1178" s="10">
        <f>IF(Tank3!$C$23="No control",(SUMIF(Tank3!$B$32:$B$49,$J1178,Tank3!$C$32:$C$49)*Impacts!$F$10),0)</f>
        <v>0</v>
      </c>
      <c r="O1178" s="10">
        <f>IF(Tank4!$C$23="No control",(SUMIF(Tank4!$B$32:$B$49,$J1178,Tank4!$C$32:$C$49)*Impacts!$F$11),0)</f>
        <v>0</v>
      </c>
      <c r="P1178" s="10">
        <f>IF(Tank5!$C$23="No control",(SUMIF(Tank5!$B$32:$B$49,$J1178,Tank5!$C$32:$C$49)*Impacts!$F$12),0)</f>
        <v>0</v>
      </c>
      <c r="Q1178" s="10">
        <f>IFERROR(IF(('Loading-drum,tote'!$C$21)="No control",SUMIF(('Loading-drum,tote'!$B$31:$B$48),$J1178,('Loading-drum,tote'!$D$31:$D$48))*Impacts!$F$13,IF(('Loading-drum,tote'!$C$21)&lt;&gt;"No control",SUMIF(('Loading-drum,tote'!$B$31:$B$48),$J1178,('Loading-drum,tote'!$E$31:$E$48))*Impacts!$F$13,0)),0)</f>
        <v>0</v>
      </c>
      <c r="R1178" s="10">
        <f>IFERROR(IF(('Loading-truck'!$C$21)="No control",SUMIF(('Loading-truck'!$B$31:$B$48),$J1178,('Loading-truck'!$D$31:$D$48))*Impacts!$F$14,IF(('Loading-truck'!$C$21)&lt;&gt;"No control",SUMIF(('Loading-truck'!$B$31:$B$48),$J1178,('Loading-truck'!$E$31:$E$48))*Impacts!$F$14,0)),0)</f>
        <v>0</v>
      </c>
      <c r="S1178" s="10">
        <f>IFERROR(IF(('Loading-rail'!$C$21)="No control",SUMIF(('Loading-rail'!$B$31:$B$48),$J1178,('Loading-rail'!$D$31:$D$48))*Impacts!$F$15,IF(('Loading-rail'!$C$21)&lt;&gt;"No control",SUMIF(('Loading-rail'!$B$31:$B$48),$J1178,('Loading-rail'!$E$31:$E$48))*Impacts!$F$15,0)),0)</f>
        <v>0</v>
      </c>
      <c r="T1178" s="10">
        <f>IF(Flare!$C$7="",0,(SUMIF(Flare!$B$46:$B$185,$J1178,Flare!$E$46:$E$185)*Impacts!$F$16))</f>
        <v>0</v>
      </c>
      <c r="U1178" s="10">
        <f>IF(VCU!$C$9="",0,(SUMIF(VCU!$B$51:$B$193,$J1178,VCU!$E$51:$E$193)*Impacts!$F$17))</f>
        <v>0</v>
      </c>
      <c r="V1178" s="10">
        <f>IF(CAS!$C$7="",0,(SUMIF(CAS!$B$31:$B$167,$J1178,CAS!$E$31:$E$167)*Impacts!$F$18))</f>
        <v>0</v>
      </c>
      <c r="W1178" s="10">
        <f t="shared" si="60"/>
        <v>0</v>
      </c>
      <c r="AK1178" s="10" t="str">
        <f t="array" ref="AK1178">IFERROR(INDEX(SelectedSpecies,SMALL(IF(SelectedSpecies=AK$1,ROW(SelectedSpecies)),ROW(1179:1179)),2),"")</f>
        <v/>
      </c>
      <c r="BE1178" s="10"/>
      <c r="BI1178" s="10"/>
    </row>
    <row r="1179" spans="1:61" ht="21" customHeight="1" x14ac:dyDescent="0.25">
      <c r="A1179" s="10"/>
      <c r="B1179" s="10"/>
      <c r="E1179" s="10"/>
      <c r="G1179" s="10"/>
      <c r="I1179" s="436" t="s">
        <v>8310</v>
      </c>
      <c r="J1179" s="26" t="s">
        <v>8309</v>
      </c>
      <c r="K1179" s="10">
        <v>1E-3</v>
      </c>
      <c r="L1179" s="73">
        <f>IF(Tank1!$C$23="No control",(SUMIF(Tank1!$B$32:$B$49,$J1179,Tank1!$C$32:$C$49)*Impacts!$F$8),0)</f>
        <v>0</v>
      </c>
      <c r="M1179" s="10">
        <f>IF(Tank2!$C$23="No control",(SUMIF(Tank2!$B$32:$B$49,$J1179,Tank2!$C$32:$C$49)*Impacts!$F$9),0)</f>
        <v>0</v>
      </c>
      <c r="N1179" s="10">
        <f>IF(Tank3!$C$23="No control",(SUMIF(Tank3!$B$32:$B$49,$J1179,Tank3!$C$32:$C$49)*Impacts!$F$10),0)</f>
        <v>0</v>
      </c>
      <c r="O1179" s="10">
        <f>IF(Tank4!$C$23="No control",(SUMIF(Tank4!$B$32:$B$49,$J1179,Tank4!$C$32:$C$49)*Impacts!$F$11),0)</f>
        <v>0</v>
      </c>
      <c r="P1179" s="10">
        <f>IF(Tank5!$C$23="No control",(SUMIF(Tank5!$B$32:$B$49,$J1179,Tank5!$C$32:$C$49)*Impacts!$F$12),0)</f>
        <v>0</v>
      </c>
      <c r="Q1179" s="10">
        <f>IFERROR(IF(('Loading-drum,tote'!$C$21)="No control",SUMIF(('Loading-drum,tote'!$B$31:$B$48),$J1179,('Loading-drum,tote'!$D$31:$D$48))*Impacts!$F$13,IF(('Loading-drum,tote'!$C$21)&lt;&gt;"No control",SUMIF(('Loading-drum,tote'!$B$31:$B$48),$J1179,('Loading-drum,tote'!$E$31:$E$48))*Impacts!$F$13,0)),0)</f>
        <v>0</v>
      </c>
      <c r="R1179" s="10">
        <f>IFERROR(IF(('Loading-truck'!$C$21)="No control",SUMIF(('Loading-truck'!$B$31:$B$48),$J1179,('Loading-truck'!$D$31:$D$48))*Impacts!$F$14,IF(('Loading-truck'!$C$21)&lt;&gt;"No control",SUMIF(('Loading-truck'!$B$31:$B$48),$J1179,('Loading-truck'!$E$31:$E$48))*Impacts!$F$14,0)),0)</f>
        <v>0</v>
      </c>
      <c r="S1179" s="10">
        <f>IFERROR(IF(('Loading-rail'!$C$21)="No control",SUMIF(('Loading-rail'!$B$31:$B$48),$J1179,('Loading-rail'!$D$31:$D$48))*Impacts!$F$15,IF(('Loading-rail'!$C$21)&lt;&gt;"No control",SUMIF(('Loading-rail'!$B$31:$B$48),$J1179,('Loading-rail'!$E$31:$E$48))*Impacts!$F$15,0)),0)</f>
        <v>0</v>
      </c>
      <c r="T1179" s="10">
        <f>IF(Flare!$C$7="",0,(SUMIF(Flare!$B$46:$B$185,$J1179,Flare!$E$46:$E$185)*Impacts!$F$16))</f>
        <v>0</v>
      </c>
      <c r="U1179" s="10">
        <f>IF(VCU!$C$9="",0,(SUMIF(VCU!$B$51:$B$193,$J1179,VCU!$E$51:$E$193)*Impacts!$F$17))</f>
        <v>0</v>
      </c>
      <c r="V1179" s="10">
        <f>IF(CAS!$C$7="",0,(SUMIF(CAS!$B$31:$B$167,$J1179,CAS!$E$31:$E$167)*Impacts!$F$18))</f>
        <v>0</v>
      </c>
      <c r="W1179" s="10">
        <f t="shared" si="60"/>
        <v>0</v>
      </c>
      <c r="AK1179" s="10" t="str">
        <f t="array" ref="AK1179">IFERROR(INDEX(SelectedSpecies,SMALL(IF(SelectedSpecies=AK$1,ROW(SelectedSpecies)),ROW(1180:1180)),2),"")</f>
        <v/>
      </c>
      <c r="BE1179" s="10"/>
      <c r="BI1179" s="10"/>
    </row>
    <row r="1180" spans="1:61" ht="21" customHeight="1" x14ac:dyDescent="0.25">
      <c r="A1180" s="10"/>
      <c r="B1180" s="10"/>
      <c r="E1180" s="10"/>
      <c r="G1180" s="10"/>
      <c r="I1180" s="436" t="s">
        <v>2759</v>
      </c>
      <c r="J1180" s="26" t="s">
        <v>2758</v>
      </c>
      <c r="K1180" s="10">
        <v>10</v>
      </c>
      <c r="L1180" s="73">
        <f>IF(Tank1!$C$23="No control",(SUMIF(Tank1!$B$32:$B$49,$J1180,Tank1!$C$32:$C$49)*Impacts!$F$8),0)</f>
        <v>0</v>
      </c>
      <c r="M1180" s="10">
        <f>IF(Tank2!$C$23="No control",(SUMIF(Tank2!$B$32:$B$49,$J1180,Tank2!$C$32:$C$49)*Impacts!$F$9),0)</f>
        <v>0</v>
      </c>
      <c r="N1180" s="10">
        <f>IF(Tank3!$C$23="No control",(SUMIF(Tank3!$B$32:$B$49,$J1180,Tank3!$C$32:$C$49)*Impacts!$F$10),0)</f>
        <v>0</v>
      </c>
      <c r="O1180" s="10">
        <f>IF(Tank4!$C$23="No control",(SUMIF(Tank4!$B$32:$B$49,$J1180,Tank4!$C$32:$C$49)*Impacts!$F$11),0)</f>
        <v>0</v>
      </c>
      <c r="P1180" s="10">
        <f>IF(Tank5!$C$23="No control",(SUMIF(Tank5!$B$32:$B$49,$J1180,Tank5!$C$32:$C$49)*Impacts!$F$12),0)</f>
        <v>0</v>
      </c>
      <c r="Q1180" s="10">
        <f>IFERROR(IF(('Loading-drum,tote'!$C$21)="No control",SUMIF(('Loading-drum,tote'!$B$31:$B$48),$J1180,('Loading-drum,tote'!$D$31:$D$48))*Impacts!$F$13,IF(('Loading-drum,tote'!$C$21)&lt;&gt;"No control",SUMIF(('Loading-drum,tote'!$B$31:$B$48),$J1180,('Loading-drum,tote'!$E$31:$E$48))*Impacts!$F$13,0)),0)</f>
        <v>0</v>
      </c>
      <c r="R1180" s="10">
        <f>IFERROR(IF(('Loading-truck'!$C$21)="No control",SUMIF(('Loading-truck'!$B$31:$B$48),$J1180,('Loading-truck'!$D$31:$D$48))*Impacts!$F$14,IF(('Loading-truck'!$C$21)&lt;&gt;"No control",SUMIF(('Loading-truck'!$B$31:$B$48),$J1180,('Loading-truck'!$E$31:$E$48))*Impacts!$F$14,0)),0)</f>
        <v>0</v>
      </c>
      <c r="S1180" s="10">
        <f>IFERROR(IF(('Loading-rail'!$C$21)="No control",SUMIF(('Loading-rail'!$B$31:$B$48),$J1180,('Loading-rail'!$D$31:$D$48))*Impacts!$F$15,IF(('Loading-rail'!$C$21)&lt;&gt;"No control",SUMIF(('Loading-rail'!$B$31:$B$48),$J1180,('Loading-rail'!$E$31:$E$48))*Impacts!$F$15,0)),0)</f>
        <v>0</v>
      </c>
      <c r="T1180" s="10">
        <f>IF(Flare!$C$7="",0,(SUMIF(Flare!$B$46:$B$185,$J1180,Flare!$E$46:$E$185)*Impacts!$F$16))</f>
        <v>0</v>
      </c>
      <c r="U1180" s="10">
        <f>IF(VCU!$C$9="",0,(SUMIF(VCU!$B$51:$B$193,$J1180,VCU!$E$51:$E$193)*Impacts!$F$17))</f>
        <v>0</v>
      </c>
      <c r="V1180" s="10">
        <f>IF(CAS!$C$7="",0,(SUMIF(CAS!$B$31:$B$167,$J1180,CAS!$E$31:$E$167)*Impacts!$F$18))</f>
        <v>0</v>
      </c>
      <c r="W1180" s="10">
        <f t="shared" si="60"/>
        <v>0</v>
      </c>
      <c r="AK1180" s="10" t="str">
        <f t="array" ref="AK1180">IFERROR(INDEX(SelectedSpecies,SMALL(IF(SelectedSpecies=AK$1,ROW(SelectedSpecies)),ROW(1181:1181)),2),"")</f>
        <v/>
      </c>
      <c r="BE1180" s="10"/>
      <c r="BI1180" s="10"/>
    </row>
    <row r="1181" spans="1:61" ht="21" customHeight="1" x14ac:dyDescent="0.25">
      <c r="A1181" s="10"/>
      <c r="B1181" s="10"/>
      <c r="E1181" s="10"/>
      <c r="G1181" s="10"/>
      <c r="I1181" s="436" t="s">
        <v>8008</v>
      </c>
      <c r="J1181" s="26" t="s">
        <v>8007</v>
      </c>
      <c r="K1181" s="10">
        <v>2.5000000000000001E-2</v>
      </c>
      <c r="L1181" s="73">
        <f>IF(Tank1!$C$23="No control",(SUMIF(Tank1!$B$32:$B$49,$J1181,Tank1!$C$32:$C$49)*Impacts!$F$8),0)</f>
        <v>0</v>
      </c>
      <c r="M1181" s="10">
        <f>IF(Tank2!$C$23="No control",(SUMIF(Tank2!$B$32:$B$49,$J1181,Tank2!$C$32:$C$49)*Impacts!$F$9),0)</f>
        <v>0</v>
      </c>
      <c r="N1181" s="10">
        <f>IF(Tank3!$C$23="No control",(SUMIF(Tank3!$B$32:$B$49,$J1181,Tank3!$C$32:$C$49)*Impacts!$F$10),0)</f>
        <v>0</v>
      </c>
      <c r="O1181" s="10">
        <f>IF(Tank4!$C$23="No control",(SUMIF(Tank4!$B$32:$B$49,$J1181,Tank4!$C$32:$C$49)*Impacts!$F$11),0)</f>
        <v>0</v>
      </c>
      <c r="P1181" s="10">
        <f>IF(Tank5!$C$23="No control",(SUMIF(Tank5!$B$32:$B$49,$J1181,Tank5!$C$32:$C$49)*Impacts!$F$12),0)</f>
        <v>0</v>
      </c>
      <c r="Q1181" s="10">
        <f>IFERROR(IF(('Loading-drum,tote'!$C$21)="No control",SUMIF(('Loading-drum,tote'!$B$31:$B$48),$J1181,('Loading-drum,tote'!$D$31:$D$48))*Impacts!$F$13,IF(('Loading-drum,tote'!$C$21)&lt;&gt;"No control",SUMIF(('Loading-drum,tote'!$B$31:$B$48),$J1181,('Loading-drum,tote'!$E$31:$E$48))*Impacts!$F$13,0)),0)</f>
        <v>0</v>
      </c>
      <c r="R1181" s="10">
        <f>IFERROR(IF(('Loading-truck'!$C$21)="No control",SUMIF(('Loading-truck'!$B$31:$B$48),$J1181,('Loading-truck'!$D$31:$D$48))*Impacts!$F$14,IF(('Loading-truck'!$C$21)&lt;&gt;"No control",SUMIF(('Loading-truck'!$B$31:$B$48),$J1181,('Loading-truck'!$E$31:$E$48))*Impacts!$F$14,0)),0)</f>
        <v>0</v>
      </c>
      <c r="S1181" s="10">
        <f>IFERROR(IF(('Loading-rail'!$C$21)="No control",SUMIF(('Loading-rail'!$B$31:$B$48),$J1181,('Loading-rail'!$D$31:$D$48))*Impacts!$F$15,IF(('Loading-rail'!$C$21)&lt;&gt;"No control",SUMIF(('Loading-rail'!$B$31:$B$48),$J1181,('Loading-rail'!$E$31:$E$48))*Impacts!$F$15,0)),0)</f>
        <v>0</v>
      </c>
      <c r="T1181" s="10">
        <f>IF(Flare!$C$7="",0,(SUMIF(Flare!$B$46:$B$185,$J1181,Flare!$E$46:$E$185)*Impacts!$F$16))</f>
        <v>0</v>
      </c>
      <c r="U1181" s="10">
        <f>IF(VCU!$C$9="",0,(SUMIF(VCU!$B$51:$B$193,$J1181,VCU!$E$51:$E$193)*Impacts!$F$17))</f>
        <v>0</v>
      </c>
      <c r="V1181" s="10">
        <f>IF(CAS!$C$7="",0,(SUMIF(CAS!$B$31:$B$167,$J1181,CAS!$E$31:$E$167)*Impacts!$F$18))</f>
        <v>0</v>
      </c>
      <c r="W1181" s="10">
        <f t="shared" si="60"/>
        <v>0</v>
      </c>
      <c r="AK1181" s="10" t="str">
        <f t="array" ref="AK1181">IFERROR(INDEX(SelectedSpecies,SMALL(IF(SelectedSpecies=AK$1,ROW(SelectedSpecies)),ROW(1182:1182)),2),"")</f>
        <v/>
      </c>
      <c r="BE1181" s="10"/>
      <c r="BI1181" s="10"/>
    </row>
    <row r="1182" spans="1:61" ht="21" customHeight="1" x14ac:dyDescent="0.25">
      <c r="A1182" s="10"/>
      <c r="B1182" s="10"/>
      <c r="E1182" s="10"/>
      <c r="G1182" s="10"/>
      <c r="I1182" s="436" t="s">
        <v>6788</v>
      </c>
      <c r="J1182" s="26" t="s">
        <v>6787</v>
      </c>
      <c r="K1182" s="10">
        <v>0.5</v>
      </c>
      <c r="L1182" s="73">
        <f>IF(Tank1!$C$23="No control",(SUMIF(Tank1!$B$32:$B$49,$J1182,Tank1!$C$32:$C$49)*Impacts!$F$8),0)</f>
        <v>0</v>
      </c>
      <c r="M1182" s="10">
        <f>IF(Tank2!$C$23="No control",(SUMIF(Tank2!$B$32:$B$49,$J1182,Tank2!$C$32:$C$49)*Impacts!$F$9),0)</f>
        <v>0</v>
      </c>
      <c r="N1182" s="10">
        <f>IF(Tank3!$C$23="No control",(SUMIF(Tank3!$B$32:$B$49,$J1182,Tank3!$C$32:$C$49)*Impacts!$F$10),0)</f>
        <v>0</v>
      </c>
      <c r="O1182" s="10">
        <f>IF(Tank4!$C$23="No control",(SUMIF(Tank4!$B$32:$B$49,$J1182,Tank4!$C$32:$C$49)*Impacts!$F$11),0)</f>
        <v>0</v>
      </c>
      <c r="P1182" s="10">
        <f>IF(Tank5!$C$23="No control",(SUMIF(Tank5!$B$32:$B$49,$J1182,Tank5!$C$32:$C$49)*Impacts!$F$12),0)</f>
        <v>0</v>
      </c>
      <c r="Q1182" s="10">
        <f>IFERROR(IF(('Loading-drum,tote'!$C$21)="No control",SUMIF(('Loading-drum,tote'!$B$31:$B$48),$J1182,('Loading-drum,tote'!$D$31:$D$48))*Impacts!$F$13,IF(('Loading-drum,tote'!$C$21)&lt;&gt;"No control",SUMIF(('Loading-drum,tote'!$B$31:$B$48),$J1182,('Loading-drum,tote'!$E$31:$E$48))*Impacts!$F$13,0)),0)</f>
        <v>0</v>
      </c>
      <c r="R1182" s="10">
        <f>IFERROR(IF(('Loading-truck'!$C$21)="No control",SUMIF(('Loading-truck'!$B$31:$B$48),$J1182,('Loading-truck'!$D$31:$D$48))*Impacts!$F$14,IF(('Loading-truck'!$C$21)&lt;&gt;"No control",SUMIF(('Loading-truck'!$B$31:$B$48),$J1182,('Loading-truck'!$E$31:$E$48))*Impacts!$F$14,0)),0)</f>
        <v>0</v>
      </c>
      <c r="S1182" s="10">
        <f>IFERROR(IF(('Loading-rail'!$C$21)="No control",SUMIF(('Loading-rail'!$B$31:$B$48),$J1182,('Loading-rail'!$D$31:$D$48))*Impacts!$F$15,IF(('Loading-rail'!$C$21)&lt;&gt;"No control",SUMIF(('Loading-rail'!$B$31:$B$48),$J1182,('Loading-rail'!$E$31:$E$48))*Impacts!$F$15,0)),0)</f>
        <v>0</v>
      </c>
      <c r="T1182" s="10">
        <f>IF(Flare!$C$7="",0,(SUMIF(Flare!$B$46:$B$185,$J1182,Flare!$E$46:$E$185)*Impacts!$F$16))</f>
        <v>0</v>
      </c>
      <c r="U1182" s="10">
        <f>IF(VCU!$C$9="",0,(SUMIF(VCU!$B$51:$B$193,$J1182,VCU!$E$51:$E$193)*Impacts!$F$17))</f>
        <v>0</v>
      </c>
      <c r="V1182" s="10">
        <f>IF(CAS!$C$7="",0,(SUMIF(CAS!$B$31:$B$167,$J1182,CAS!$E$31:$E$167)*Impacts!$F$18))</f>
        <v>0</v>
      </c>
      <c r="W1182" s="10">
        <f t="shared" si="60"/>
        <v>0</v>
      </c>
      <c r="AK1182" s="10" t="str">
        <f t="array" ref="AK1182">IFERROR(INDEX(SelectedSpecies,SMALL(IF(SelectedSpecies=AK$1,ROW(SelectedSpecies)),ROW(1183:1183)),2),"")</f>
        <v/>
      </c>
      <c r="BE1182" s="10"/>
      <c r="BI1182" s="10"/>
    </row>
    <row r="1183" spans="1:61" ht="21" customHeight="1" x14ac:dyDescent="0.25">
      <c r="A1183" s="10"/>
      <c r="B1183" s="10"/>
      <c r="E1183" s="10"/>
      <c r="G1183" s="10"/>
      <c r="I1183" s="436" t="s">
        <v>7714</v>
      </c>
      <c r="J1183" s="26" t="s">
        <v>7713</v>
      </c>
      <c r="K1183" s="10">
        <v>0.1</v>
      </c>
      <c r="L1183" s="73">
        <f>IF(Tank1!$C$23="No control",(SUMIF(Tank1!$B$32:$B$49,$J1183,Tank1!$C$32:$C$49)*Impacts!$F$8),0)</f>
        <v>0</v>
      </c>
      <c r="M1183" s="10">
        <f>IF(Tank2!$C$23="No control",(SUMIF(Tank2!$B$32:$B$49,$J1183,Tank2!$C$32:$C$49)*Impacts!$F$9),0)</f>
        <v>0</v>
      </c>
      <c r="N1183" s="10">
        <f>IF(Tank3!$C$23="No control",(SUMIF(Tank3!$B$32:$B$49,$J1183,Tank3!$C$32:$C$49)*Impacts!$F$10),0)</f>
        <v>0</v>
      </c>
      <c r="O1183" s="10">
        <f>IF(Tank4!$C$23="No control",(SUMIF(Tank4!$B$32:$B$49,$J1183,Tank4!$C$32:$C$49)*Impacts!$F$11),0)</f>
        <v>0</v>
      </c>
      <c r="P1183" s="10">
        <f>IF(Tank5!$C$23="No control",(SUMIF(Tank5!$B$32:$B$49,$J1183,Tank5!$C$32:$C$49)*Impacts!$F$12),0)</f>
        <v>0</v>
      </c>
      <c r="Q1183" s="10">
        <f>IFERROR(IF(('Loading-drum,tote'!$C$21)="No control",SUMIF(('Loading-drum,tote'!$B$31:$B$48),$J1183,('Loading-drum,tote'!$D$31:$D$48))*Impacts!$F$13,IF(('Loading-drum,tote'!$C$21)&lt;&gt;"No control",SUMIF(('Loading-drum,tote'!$B$31:$B$48),$J1183,('Loading-drum,tote'!$E$31:$E$48))*Impacts!$F$13,0)),0)</f>
        <v>0</v>
      </c>
      <c r="R1183" s="10">
        <f>IFERROR(IF(('Loading-truck'!$C$21)="No control",SUMIF(('Loading-truck'!$B$31:$B$48),$J1183,('Loading-truck'!$D$31:$D$48))*Impacts!$F$14,IF(('Loading-truck'!$C$21)&lt;&gt;"No control",SUMIF(('Loading-truck'!$B$31:$B$48),$J1183,('Loading-truck'!$E$31:$E$48))*Impacts!$F$14,0)),0)</f>
        <v>0</v>
      </c>
      <c r="S1183" s="10">
        <f>IFERROR(IF(('Loading-rail'!$C$21)="No control",SUMIF(('Loading-rail'!$B$31:$B$48),$J1183,('Loading-rail'!$D$31:$D$48))*Impacts!$F$15,IF(('Loading-rail'!$C$21)&lt;&gt;"No control",SUMIF(('Loading-rail'!$B$31:$B$48),$J1183,('Loading-rail'!$E$31:$E$48))*Impacts!$F$15,0)),0)</f>
        <v>0</v>
      </c>
      <c r="T1183" s="10">
        <f>IF(Flare!$C$7="",0,(SUMIF(Flare!$B$46:$B$185,$J1183,Flare!$E$46:$E$185)*Impacts!$F$16))</f>
        <v>0</v>
      </c>
      <c r="U1183" s="10">
        <f>IF(VCU!$C$9="",0,(SUMIF(VCU!$B$51:$B$193,$J1183,VCU!$E$51:$E$193)*Impacts!$F$17))</f>
        <v>0</v>
      </c>
      <c r="V1183" s="10">
        <f>IF(CAS!$C$7="",0,(SUMIF(CAS!$B$31:$B$167,$J1183,CAS!$E$31:$E$167)*Impacts!$F$18))</f>
        <v>0</v>
      </c>
      <c r="W1183" s="10">
        <f t="shared" si="60"/>
        <v>0</v>
      </c>
      <c r="AK1183" s="10" t="str">
        <f t="array" ref="AK1183">IFERROR(INDEX(SelectedSpecies,SMALL(IF(SelectedSpecies=AK$1,ROW(SelectedSpecies)),ROW(1184:1184)),2),"")</f>
        <v/>
      </c>
      <c r="BE1183" s="10"/>
      <c r="BI1183" s="10"/>
    </row>
    <row r="1184" spans="1:61" ht="21" customHeight="1" x14ac:dyDescent="0.25">
      <c r="A1184" s="10"/>
      <c r="B1184" s="10"/>
      <c r="E1184" s="10"/>
      <c r="G1184" s="10"/>
      <c r="I1184" s="436" t="s">
        <v>3789</v>
      </c>
      <c r="J1184" s="26" t="s">
        <v>3788</v>
      </c>
      <c r="K1184" s="10">
        <v>6</v>
      </c>
      <c r="L1184" s="73">
        <f>IF(Tank1!$C$23="No control",(SUMIF(Tank1!$B$32:$B$49,$J1184,Tank1!$C$32:$C$49)*Impacts!$F$8),0)</f>
        <v>0</v>
      </c>
      <c r="M1184" s="10">
        <f>IF(Tank2!$C$23="No control",(SUMIF(Tank2!$B$32:$B$49,$J1184,Tank2!$C$32:$C$49)*Impacts!$F$9),0)</f>
        <v>0</v>
      </c>
      <c r="N1184" s="10">
        <f>IF(Tank3!$C$23="No control",(SUMIF(Tank3!$B$32:$B$49,$J1184,Tank3!$C$32:$C$49)*Impacts!$F$10),0)</f>
        <v>0</v>
      </c>
      <c r="O1184" s="10">
        <f>IF(Tank4!$C$23="No control",(SUMIF(Tank4!$B$32:$B$49,$J1184,Tank4!$C$32:$C$49)*Impacts!$F$11),0)</f>
        <v>0</v>
      </c>
      <c r="P1184" s="10">
        <f>IF(Tank5!$C$23="No control",(SUMIF(Tank5!$B$32:$B$49,$J1184,Tank5!$C$32:$C$49)*Impacts!$F$12),0)</f>
        <v>0</v>
      </c>
      <c r="Q1184" s="10">
        <f>IFERROR(IF(('Loading-drum,tote'!$C$21)="No control",SUMIF(('Loading-drum,tote'!$B$31:$B$48),$J1184,('Loading-drum,tote'!$D$31:$D$48))*Impacts!$F$13,IF(('Loading-drum,tote'!$C$21)&lt;&gt;"No control",SUMIF(('Loading-drum,tote'!$B$31:$B$48),$J1184,('Loading-drum,tote'!$E$31:$E$48))*Impacts!$F$13,0)),0)</f>
        <v>0</v>
      </c>
      <c r="R1184" s="10">
        <f>IFERROR(IF(('Loading-truck'!$C$21)="No control",SUMIF(('Loading-truck'!$B$31:$B$48),$J1184,('Loading-truck'!$D$31:$D$48))*Impacts!$F$14,IF(('Loading-truck'!$C$21)&lt;&gt;"No control",SUMIF(('Loading-truck'!$B$31:$B$48),$J1184,('Loading-truck'!$E$31:$E$48))*Impacts!$F$14,0)),0)</f>
        <v>0</v>
      </c>
      <c r="S1184" s="10">
        <f>IFERROR(IF(('Loading-rail'!$C$21)="No control",SUMIF(('Loading-rail'!$B$31:$B$48),$J1184,('Loading-rail'!$D$31:$D$48))*Impacts!$F$15,IF(('Loading-rail'!$C$21)&lt;&gt;"No control",SUMIF(('Loading-rail'!$B$31:$B$48),$J1184,('Loading-rail'!$E$31:$E$48))*Impacts!$F$15,0)),0)</f>
        <v>0</v>
      </c>
      <c r="T1184" s="10">
        <f>IF(Flare!$C$7="",0,(SUMIF(Flare!$B$46:$B$185,$J1184,Flare!$E$46:$E$185)*Impacts!$F$16))</f>
        <v>0</v>
      </c>
      <c r="U1184" s="10">
        <f>IF(VCU!$C$9="",0,(SUMIF(VCU!$B$51:$B$193,$J1184,VCU!$E$51:$E$193)*Impacts!$F$17))</f>
        <v>0</v>
      </c>
      <c r="V1184" s="10">
        <f>IF(CAS!$C$7="",0,(SUMIF(CAS!$B$31:$B$167,$J1184,CAS!$E$31:$E$167)*Impacts!$F$18))</f>
        <v>0</v>
      </c>
      <c r="W1184" s="10">
        <f t="shared" si="60"/>
        <v>0</v>
      </c>
      <c r="AK1184" s="10" t="str">
        <f t="array" ref="AK1184">IFERROR(INDEX(SelectedSpecies,SMALL(IF(SelectedSpecies=AK$1,ROW(SelectedSpecies)),ROW(1185:1185)),2),"")</f>
        <v/>
      </c>
      <c r="BE1184" s="10"/>
      <c r="BI1184" s="10"/>
    </row>
    <row r="1185" spans="1:61" ht="21" customHeight="1" x14ac:dyDescent="0.25">
      <c r="A1185" s="10"/>
      <c r="B1185" s="10"/>
      <c r="E1185" s="10"/>
      <c r="G1185" s="10"/>
      <c r="I1185" s="436" t="s">
        <v>2243</v>
      </c>
      <c r="J1185" s="26" t="s">
        <v>2242</v>
      </c>
      <c r="K1185" s="10">
        <v>12.5</v>
      </c>
      <c r="L1185" s="73">
        <f>IF(Tank1!$C$23="No control",(SUMIF(Tank1!$B$32:$B$49,$J1185,Tank1!$C$32:$C$49)*Impacts!$F$8),0)</f>
        <v>0</v>
      </c>
      <c r="M1185" s="10">
        <f>IF(Tank2!$C$23="No control",(SUMIF(Tank2!$B$32:$B$49,$J1185,Tank2!$C$32:$C$49)*Impacts!$F$9),0)</f>
        <v>0</v>
      </c>
      <c r="N1185" s="10">
        <f>IF(Tank3!$C$23="No control",(SUMIF(Tank3!$B$32:$B$49,$J1185,Tank3!$C$32:$C$49)*Impacts!$F$10),0)</f>
        <v>0</v>
      </c>
      <c r="O1185" s="10">
        <f>IF(Tank4!$C$23="No control",(SUMIF(Tank4!$B$32:$B$49,$J1185,Tank4!$C$32:$C$49)*Impacts!$F$11),0)</f>
        <v>0</v>
      </c>
      <c r="P1185" s="10">
        <f>IF(Tank5!$C$23="No control",(SUMIF(Tank5!$B$32:$B$49,$J1185,Tank5!$C$32:$C$49)*Impacts!$F$12),0)</f>
        <v>0</v>
      </c>
      <c r="Q1185" s="10">
        <f>IFERROR(IF(('Loading-drum,tote'!$C$21)="No control",SUMIF(('Loading-drum,tote'!$B$31:$B$48),$J1185,('Loading-drum,tote'!$D$31:$D$48))*Impacts!$F$13,IF(('Loading-drum,tote'!$C$21)&lt;&gt;"No control",SUMIF(('Loading-drum,tote'!$B$31:$B$48),$J1185,('Loading-drum,tote'!$E$31:$E$48))*Impacts!$F$13,0)),0)</f>
        <v>0</v>
      </c>
      <c r="R1185" s="10">
        <f>IFERROR(IF(('Loading-truck'!$C$21)="No control",SUMIF(('Loading-truck'!$B$31:$B$48),$J1185,('Loading-truck'!$D$31:$D$48))*Impacts!$F$14,IF(('Loading-truck'!$C$21)&lt;&gt;"No control",SUMIF(('Loading-truck'!$B$31:$B$48),$J1185,('Loading-truck'!$E$31:$E$48))*Impacts!$F$14,0)),0)</f>
        <v>0</v>
      </c>
      <c r="S1185" s="10">
        <f>IFERROR(IF(('Loading-rail'!$C$21)="No control",SUMIF(('Loading-rail'!$B$31:$B$48),$J1185,('Loading-rail'!$D$31:$D$48))*Impacts!$F$15,IF(('Loading-rail'!$C$21)&lt;&gt;"No control",SUMIF(('Loading-rail'!$B$31:$B$48),$J1185,('Loading-rail'!$E$31:$E$48))*Impacts!$F$15,0)),0)</f>
        <v>0</v>
      </c>
      <c r="T1185" s="10">
        <f>IF(Flare!$C$7="",0,(SUMIF(Flare!$B$46:$B$185,$J1185,Flare!$E$46:$E$185)*Impacts!$F$16))</f>
        <v>0</v>
      </c>
      <c r="U1185" s="10">
        <f>IF(VCU!$C$9="",0,(SUMIF(VCU!$B$51:$B$193,$J1185,VCU!$E$51:$E$193)*Impacts!$F$17))</f>
        <v>0</v>
      </c>
      <c r="V1185" s="10">
        <f>IF(CAS!$C$7="",0,(SUMIF(CAS!$B$31:$B$167,$J1185,CAS!$E$31:$E$167)*Impacts!$F$18))</f>
        <v>0</v>
      </c>
      <c r="W1185" s="10">
        <f t="shared" si="60"/>
        <v>0</v>
      </c>
      <c r="AK1185" s="10" t="str">
        <f t="array" ref="AK1185">IFERROR(INDEX(SelectedSpecies,SMALL(IF(SelectedSpecies=AK$1,ROW(SelectedSpecies)),ROW(1186:1186)),2),"")</f>
        <v/>
      </c>
      <c r="BE1185" s="10"/>
      <c r="BI1185" s="10"/>
    </row>
    <row r="1186" spans="1:61" ht="21" customHeight="1" x14ac:dyDescent="0.25">
      <c r="A1186" s="10"/>
      <c r="B1186" s="10"/>
      <c r="E1186" s="10"/>
      <c r="G1186" s="10"/>
      <c r="I1186" s="436" t="s">
        <v>2761</v>
      </c>
      <c r="J1186" s="26" t="s">
        <v>2760</v>
      </c>
      <c r="K1186" s="10">
        <v>10</v>
      </c>
      <c r="L1186" s="73">
        <f>IF(Tank1!$C$23="No control",(SUMIF(Tank1!$B$32:$B$49,$J1186,Tank1!$C$32:$C$49)*Impacts!$F$8),0)</f>
        <v>0</v>
      </c>
      <c r="M1186" s="10">
        <f>IF(Tank2!$C$23="No control",(SUMIF(Tank2!$B$32:$B$49,$J1186,Tank2!$C$32:$C$49)*Impacts!$F$9),0)</f>
        <v>0</v>
      </c>
      <c r="N1186" s="10">
        <f>IF(Tank3!$C$23="No control",(SUMIF(Tank3!$B$32:$B$49,$J1186,Tank3!$C$32:$C$49)*Impacts!$F$10),0)</f>
        <v>0</v>
      </c>
      <c r="O1186" s="10">
        <f>IF(Tank4!$C$23="No control",(SUMIF(Tank4!$B$32:$B$49,$J1186,Tank4!$C$32:$C$49)*Impacts!$F$11),0)</f>
        <v>0</v>
      </c>
      <c r="P1186" s="10">
        <f>IF(Tank5!$C$23="No control",(SUMIF(Tank5!$B$32:$B$49,$J1186,Tank5!$C$32:$C$49)*Impacts!$F$12),0)</f>
        <v>0</v>
      </c>
      <c r="Q1186" s="10">
        <f>IFERROR(IF(('Loading-drum,tote'!$C$21)="No control",SUMIF(('Loading-drum,tote'!$B$31:$B$48),$J1186,('Loading-drum,tote'!$D$31:$D$48))*Impacts!$F$13,IF(('Loading-drum,tote'!$C$21)&lt;&gt;"No control",SUMIF(('Loading-drum,tote'!$B$31:$B$48),$J1186,('Loading-drum,tote'!$E$31:$E$48))*Impacts!$F$13,0)),0)</f>
        <v>0</v>
      </c>
      <c r="R1186" s="10">
        <f>IFERROR(IF(('Loading-truck'!$C$21)="No control",SUMIF(('Loading-truck'!$B$31:$B$48),$J1186,('Loading-truck'!$D$31:$D$48))*Impacts!$F$14,IF(('Loading-truck'!$C$21)&lt;&gt;"No control",SUMIF(('Loading-truck'!$B$31:$B$48),$J1186,('Loading-truck'!$E$31:$E$48))*Impacts!$F$14,0)),0)</f>
        <v>0</v>
      </c>
      <c r="S1186" s="10">
        <f>IFERROR(IF(('Loading-rail'!$C$21)="No control",SUMIF(('Loading-rail'!$B$31:$B$48),$J1186,('Loading-rail'!$D$31:$D$48))*Impacts!$F$15,IF(('Loading-rail'!$C$21)&lt;&gt;"No control",SUMIF(('Loading-rail'!$B$31:$B$48),$J1186,('Loading-rail'!$E$31:$E$48))*Impacts!$F$15,0)),0)</f>
        <v>0</v>
      </c>
      <c r="T1186" s="10">
        <f>IF(Flare!$C$7="",0,(SUMIF(Flare!$B$46:$B$185,$J1186,Flare!$E$46:$E$185)*Impacts!$F$16))</f>
        <v>0</v>
      </c>
      <c r="U1186" s="10">
        <f>IF(VCU!$C$9="",0,(SUMIF(VCU!$B$51:$B$193,$J1186,VCU!$E$51:$E$193)*Impacts!$F$17))</f>
        <v>0</v>
      </c>
      <c r="V1186" s="10">
        <f>IF(CAS!$C$7="",0,(SUMIF(CAS!$B$31:$B$167,$J1186,CAS!$E$31:$E$167)*Impacts!$F$18))</f>
        <v>0</v>
      </c>
      <c r="W1186" s="10">
        <f t="shared" si="60"/>
        <v>0</v>
      </c>
      <c r="AK1186" s="10" t="str">
        <f t="array" ref="AK1186">IFERROR(INDEX(SelectedSpecies,SMALL(IF(SelectedSpecies=AK$1,ROW(SelectedSpecies)),ROW(1187:1187)),2),"")</f>
        <v/>
      </c>
      <c r="BE1186" s="10"/>
      <c r="BI1186" s="10"/>
    </row>
    <row r="1187" spans="1:61" ht="21" customHeight="1" x14ac:dyDescent="0.25">
      <c r="A1187" s="10"/>
      <c r="B1187" s="10"/>
      <c r="E1187" s="10"/>
      <c r="G1187" s="10"/>
      <c r="I1187" s="436" t="s">
        <v>1951</v>
      </c>
      <c r="J1187" s="26" t="s">
        <v>1950</v>
      </c>
      <c r="K1187" s="10">
        <v>18</v>
      </c>
      <c r="L1187" s="73">
        <f>IF(Tank1!$C$23="No control",(SUMIF(Tank1!$B$32:$B$49,$J1187,Tank1!$C$32:$C$49)*Impacts!$F$8),0)</f>
        <v>0</v>
      </c>
      <c r="M1187" s="10">
        <f>IF(Tank2!$C$23="No control",(SUMIF(Tank2!$B$32:$B$49,$J1187,Tank2!$C$32:$C$49)*Impacts!$F$9),0)</f>
        <v>0</v>
      </c>
      <c r="N1187" s="10">
        <f>IF(Tank3!$C$23="No control",(SUMIF(Tank3!$B$32:$B$49,$J1187,Tank3!$C$32:$C$49)*Impacts!$F$10),0)</f>
        <v>0</v>
      </c>
      <c r="O1187" s="10">
        <f>IF(Tank4!$C$23="No control",(SUMIF(Tank4!$B$32:$B$49,$J1187,Tank4!$C$32:$C$49)*Impacts!$F$11),0)</f>
        <v>0</v>
      </c>
      <c r="P1187" s="10">
        <f>IF(Tank5!$C$23="No control",(SUMIF(Tank5!$B$32:$B$49,$J1187,Tank5!$C$32:$C$49)*Impacts!$F$12),0)</f>
        <v>0</v>
      </c>
      <c r="Q1187" s="10">
        <f>IFERROR(IF(('Loading-drum,tote'!$C$21)="No control",SUMIF(('Loading-drum,tote'!$B$31:$B$48),$J1187,('Loading-drum,tote'!$D$31:$D$48))*Impacts!$F$13,IF(('Loading-drum,tote'!$C$21)&lt;&gt;"No control",SUMIF(('Loading-drum,tote'!$B$31:$B$48),$J1187,('Loading-drum,tote'!$E$31:$E$48))*Impacts!$F$13,0)),0)</f>
        <v>0</v>
      </c>
      <c r="R1187" s="10">
        <f>IFERROR(IF(('Loading-truck'!$C$21)="No control",SUMIF(('Loading-truck'!$B$31:$B$48),$J1187,('Loading-truck'!$D$31:$D$48))*Impacts!$F$14,IF(('Loading-truck'!$C$21)&lt;&gt;"No control",SUMIF(('Loading-truck'!$B$31:$B$48),$J1187,('Loading-truck'!$E$31:$E$48))*Impacts!$F$14,0)),0)</f>
        <v>0</v>
      </c>
      <c r="S1187" s="10">
        <f>IFERROR(IF(('Loading-rail'!$C$21)="No control",SUMIF(('Loading-rail'!$B$31:$B$48),$J1187,('Loading-rail'!$D$31:$D$48))*Impacts!$F$15,IF(('Loading-rail'!$C$21)&lt;&gt;"No control",SUMIF(('Loading-rail'!$B$31:$B$48),$J1187,('Loading-rail'!$E$31:$E$48))*Impacts!$F$15,0)),0)</f>
        <v>0</v>
      </c>
      <c r="T1187" s="10">
        <f>IF(Flare!$C$7="",0,(SUMIF(Flare!$B$46:$B$185,$J1187,Flare!$E$46:$E$185)*Impacts!$F$16))</f>
        <v>0</v>
      </c>
      <c r="U1187" s="10">
        <f>IF(VCU!$C$9="",0,(SUMIF(VCU!$B$51:$B$193,$J1187,VCU!$E$51:$E$193)*Impacts!$F$17))</f>
        <v>0</v>
      </c>
      <c r="V1187" s="10">
        <f>IF(CAS!$C$7="",0,(SUMIF(CAS!$B$31:$B$167,$J1187,CAS!$E$31:$E$167)*Impacts!$F$18))</f>
        <v>0</v>
      </c>
      <c r="W1187" s="10">
        <f t="shared" si="60"/>
        <v>0</v>
      </c>
      <c r="AK1187" s="10" t="str">
        <f t="array" ref="AK1187">IFERROR(INDEX(SelectedSpecies,SMALL(IF(SelectedSpecies=AK$1,ROW(SelectedSpecies)),ROW(1188:1188)),2),"")</f>
        <v/>
      </c>
      <c r="BE1187" s="10"/>
      <c r="BI1187" s="10"/>
    </row>
    <row r="1188" spans="1:61" ht="21" customHeight="1" x14ac:dyDescent="0.25">
      <c r="A1188" s="10"/>
      <c r="B1188" s="10"/>
      <c r="E1188" s="10"/>
      <c r="G1188" s="10"/>
      <c r="I1188" s="436" t="s">
        <v>576</v>
      </c>
      <c r="J1188" s="26" t="s">
        <v>575</v>
      </c>
      <c r="K1188" s="10">
        <v>87.5</v>
      </c>
      <c r="L1188" s="73">
        <f>IF(Tank1!$C$23="No control",(SUMIF(Tank1!$B$32:$B$49,$J1188,Tank1!$C$32:$C$49)*Impacts!$F$8),0)</f>
        <v>0</v>
      </c>
      <c r="M1188" s="10">
        <f>IF(Tank2!$C$23="No control",(SUMIF(Tank2!$B$32:$B$49,$J1188,Tank2!$C$32:$C$49)*Impacts!$F$9),0)</f>
        <v>0</v>
      </c>
      <c r="N1188" s="10">
        <f>IF(Tank3!$C$23="No control",(SUMIF(Tank3!$B$32:$B$49,$J1188,Tank3!$C$32:$C$49)*Impacts!$F$10),0)</f>
        <v>0</v>
      </c>
      <c r="O1188" s="10">
        <f>IF(Tank4!$C$23="No control",(SUMIF(Tank4!$B$32:$B$49,$J1188,Tank4!$C$32:$C$49)*Impacts!$F$11),0)</f>
        <v>0</v>
      </c>
      <c r="P1188" s="10">
        <f>IF(Tank5!$C$23="No control",(SUMIF(Tank5!$B$32:$B$49,$J1188,Tank5!$C$32:$C$49)*Impacts!$F$12),0)</f>
        <v>0</v>
      </c>
      <c r="Q1188" s="10">
        <f>IFERROR(IF(('Loading-drum,tote'!$C$21)="No control",SUMIF(('Loading-drum,tote'!$B$31:$B$48),$J1188,('Loading-drum,tote'!$D$31:$D$48))*Impacts!$F$13,IF(('Loading-drum,tote'!$C$21)&lt;&gt;"No control",SUMIF(('Loading-drum,tote'!$B$31:$B$48),$J1188,('Loading-drum,tote'!$E$31:$E$48))*Impacts!$F$13,0)),0)</f>
        <v>0</v>
      </c>
      <c r="R1188" s="10">
        <f>IFERROR(IF(('Loading-truck'!$C$21)="No control",SUMIF(('Loading-truck'!$B$31:$B$48),$J1188,('Loading-truck'!$D$31:$D$48))*Impacts!$F$14,IF(('Loading-truck'!$C$21)&lt;&gt;"No control",SUMIF(('Loading-truck'!$B$31:$B$48),$J1188,('Loading-truck'!$E$31:$E$48))*Impacts!$F$14,0)),0)</f>
        <v>0</v>
      </c>
      <c r="S1188" s="10">
        <f>IFERROR(IF(('Loading-rail'!$C$21)="No control",SUMIF(('Loading-rail'!$B$31:$B$48),$J1188,('Loading-rail'!$D$31:$D$48))*Impacts!$F$15,IF(('Loading-rail'!$C$21)&lt;&gt;"No control",SUMIF(('Loading-rail'!$B$31:$B$48),$J1188,('Loading-rail'!$E$31:$E$48))*Impacts!$F$15,0)),0)</f>
        <v>0</v>
      </c>
      <c r="T1188" s="10">
        <f>IF(Flare!$C$7="",0,(SUMIF(Flare!$B$46:$B$185,$J1188,Flare!$E$46:$E$185)*Impacts!$F$16))</f>
        <v>0</v>
      </c>
      <c r="U1188" s="10">
        <f>IF(VCU!$C$9="",0,(SUMIF(VCU!$B$51:$B$193,$J1188,VCU!$E$51:$E$193)*Impacts!$F$17))</f>
        <v>0</v>
      </c>
      <c r="V1188" s="10">
        <f>IF(CAS!$C$7="",0,(SUMIF(CAS!$B$31:$B$167,$J1188,CAS!$E$31:$E$167)*Impacts!$F$18))</f>
        <v>0</v>
      </c>
      <c r="W1188" s="10">
        <f t="shared" si="60"/>
        <v>0</v>
      </c>
      <c r="AK1188" s="10" t="str">
        <f t="array" ref="AK1188">IFERROR(INDEX(SelectedSpecies,SMALL(IF(SelectedSpecies=AK$1,ROW(SelectedSpecies)),ROW(1189:1189)),2),"")</f>
        <v/>
      </c>
      <c r="BE1188" s="10"/>
      <c r="BI1188" s="10"/>
    </row>
    <row r="1189" spans="1:61" ht="21" customHeight="1" x14ac:dyDescent="0.25">
      <c r="A1189" s="10"/>
      <c r="B1189" s="10"/>
      <c r="E1189" s="10"/>
      <c r="G1189" s="10"/>
      <c r="I1189" s="436" t="s">
        <v>6588</v>
      </c>
      <c r="J1189" s="26" t="s">
        <v>6587</v>
      </c>
      <c r="K1189" s="10">
        <v>0.61</v>
      </c>
      <c r="L1189" s="73">
        <f>IF(Tank1!$C$23="No control",(SUMIF(Tank1!$B$32:$B$49,$J1189,Tank1!$C$32:$C$49)*Impacts!$F$8),0)</f>
        <v>0</v>
      </c>
      <c r="M1189" s="10">
        <f>IF(Tank2!$C$23="No control",(SUMIF(Tank2!$B$32:$B$49,$J1189,Tank2!$C$32:$C$49)*Impacts!$F$9),0)</f>
        <v>0</v>
      </c>
      <c r="N1189" s="10">
        <f>IF(Tank3!$C$23="No control",(SUMIF(Tank3!$B$32:$B$49,$J1189,Tank3!$C$32:$C$49)*Impacts!$F$10),0)</f>
        <v>0</v>
      </c>
      <c r="O1189" s="10">
        <f>IF(Tank4!$C$23="No control",(SUMIF(Tank4!$B$32:$B$49,$J1189,Tank4!$C$32:$C$49)*Impacts!$F$11),0)</f>
        <v>0</v>
      </c>
      <c r="P1189" s="10">
        <f>IF(Tank5!$C$23="No control",(SUMIF(Tank5!$B$32:$B$49,$J1189,Tank5!$C$32:$C$49)*Impacts!$F$12),0)</f>
        <v>0</v>
      </c>
      <c r="Q1189" s="10">
        <f>IFERROR(IF(('Loading-drum,tote'!$C$21)="No control",SUMIF(('Loading-drum,tote'!$B$31:$B$48),$J1189,('Loading-drum,tote'!$D$31:$D$48))*Impacts!$F$13,IF(('Loading-drum,tote'!$C$21)&lt;&gt;"No control",SUMIF(('Loading-drum,tote'!$B$31:$B$48),$J1189,('Loading-drum,tote'!$E$31:$E$48))*Impacts!$F$13,0)),0)</f>
        <v>0</v>
      </c>
      <c r="R1189" s="10">
        <f>IFERROR(IF(('Loading-truck'!$C$21)="No control",SUMIF(('Loading-truck'!$B$31:$B$48),$J1189,('Loading-truck'!$D$31:$D$48))*Impacts!$F$14,IF(('Loading-truck'!$C$21)&lt;&gt;"No control",SUMIF(('Loading-truck'!$B$31:$B$48),$J1189,('Loading-truck'!$E$31:$E$48))*Impacts!$F$14,0)),0)</f>
        <v>0</v>
      </c>
      <c r="S1189" s="10">
        <f>IFERROR(IF(('Loading-rail'!$C$21)="No control",SUMIF(('Loading-rail'!$B$31:$B$48),$J1189,('Loading-rail'!$D$31:$D$48))*Impacts!$F$15,IF(('Loading-rail'!$C$21)&lt;&gt;"No control",SUMIF(('Loading-rail'!$B$31:$B$48),$J1189,('Loading-rail'!$E$31:$E$48))*Impacts!$F$15,0)),0)</f>
        <v>0</v>
      </c>
      <c r="T1189" s="10">
        <f>IF(Flare!$C$7="",0,(SUMIF(Flare!$B$46:$B$185,$J1189,Flare!$E$46:$E$185)*Impacts!$F$16))</f>
        <v>0</v>
      </c>
      <c r="U1189" s="10">
        <f>IF(VCU!$C$9="",0,(SUMIF(VCU!$B$51:$B$193,$J1189,VCU!$E$51:$E$193)*Impacts!$F$17))</f>
        <v>0</v>
      </c>
      <c r="V1189" s="10">
        <f>IF(CAS!$C$7="",0,(SUMIF(CAS!$B$31:$B$167,$J1189,CAS!$E$31:$E$167)*Impacts!$F$18))</f>
        <v>0</v>
      </c>
      <c r="W1189" s="10">
        <f t="shared" si="60"/>
        <v>0</v>
      </c>
      <c r="AK1189" s="10" t="str">
        <f t="array" ref="AK1189">IFERROR(INDEX(SelectedSpecies,SMALL(IF(SelectedSpecies=AK$1,ROW(SelectedSpecies)),ROW(1190:1190)),2),"")</f>
        <v/>
      </c>
      <c r="BE1189" s="10"/>
      <c r="BI1189" s="10"/>
    </row>
    <row r="1190" spans="1:61" ht="21" customHeight="1" x14ac:dyDescent="0.25">
      <c r="A1190" s="10"/>
      <c r="B1190" s="10"/>
      <c r="E1190" s="10"/>
      <c r="G1190" s="10"/>
      <c r="I1190" s="436" t="s">
        <v>3583</v>
      </c>
      <c r="J1190" s="26" t="s">
        <v>3582</v>
      </c>
      <c r="K1190" s="10">
        <v>8</v>
      </c>
      <c r="L1190" s="73">
        <f>IF(Tank1!$C$23="No control",(SUMIF(Tank1!$B$32:$B$49,$J1190,Tank1!$C$32:$C$49)*Impacts!$F$8),0)</f>
        <v>0</v>
      </c>
      <c r="M1190" s="10">
        <f>IF(Tank2!$C$23="No control",(SUMIF(Tank2!$B$32:$B$49,$J1190,Tank2!$C$32:$C$49)*Impacts!$F$9),0)</f>
        <v>0</v>
      </c>
      <c r="N1190" s="10">
        <f>IF(Tank3!$C$23="No control",(SUMIF(Tank3!$B$32:$B$49,$J1190,Tank3!$C$32:$C$49)*Impacts!$F$10),0)</f>
        <v>0</v>
      </c>
      <c r="O1190" s="10">
        <f>IF(Tank4!$C$23="No control",(SUMIF(Tank4!$B$32:$B$49,$J1190,Tank4!$C$32:$C$49)*Impacts!$F$11),0)</f>
        <v>0</v>
      </c>
      <c r="P1190" s="10">
        <f>IF(Tank5!$C$23="No control",(SUMIF(Tank5!$B$32:$B$49,$J1190,Tank5!$C$32:$C$49)*Impacts!$F$12),0)</f>
        <v>0</v>
      </c>
      <c r="Q1190" s="10">
        <f>IFERROR(IF(('Loading-drum,tote'!$C$21)="No control",SUMIF(('Loading-drum,tote'!$B$31:$B$48),$J1190,('Loading-drum,tote'!$D$31:$D$48))*Impacts!$F$13,IF(('Loading-drum,tote'!$C$21)&lt;&gt;"No control",SUMIF(('Loading-drum,tote'!$B$31:$B$48),$J1190,('Loading-drum,tote'!$E$31:$E$48))*Impacts!$F$13,0)),0)</f>
        <v>0</v>
      </c>
      <c r="R1190" s="10">
        <f>IFERROR(IF(('Loading-truck'!$C$21)="No control",SUMIF(('Loading-truck'!$B$31:$B$48),$J1190,('Loading-truck'!$D$31:$D$48))*Impacts!$F$14,IF(('Loading-truck'!$C$21)&lt;&gt;"No control",SUMIF(('Loading-truck'!$B$31:$B$48),$J1190,('Loading-truck'!$E$31:$E$48))*Impacts!$F$14,0)),0)</f>
        <v>0</v>
      </c>
      <c r="S1190" s="10">
        <f>IFERROR(IF(('Loading-rail'!$C$21)="No control",SUMIF(('Loading-rail'!$B$31:$B$48),$J1190,('Loading-rail'!$D$31:$D$48))*Impacts!$F$15,IF(('Loading-rail'!$C$21)&lt;&gt;"No control",SUMIF(('Loading-rail'!$B$31:$B$48),$J1190,('Loading-rail'!$E$31:$E$48))*Impacts!$F$15,0)),0)</f>
        <v>0</v>
      </c>
      <c r="T1190" s="10">
        <f>IF(Flare!$C$7="",0,(SUMIF(Flare!$B$46:$B$185,$J1190,Flare!$E$46:$E$185)*Impacts!$F$16))</f>
        <v>0</v>
      </c>
      <c r="U1190" s="10">
        <f>IF(VCU!$C$9="",0,(SUMIF(VCU!$B$51:$B$193,$J1190,VCU!$E$51:$E$193)*Impacts!$F$17))</f>
        <v>0</v>
      </c>
      <c r="V1190" s="10">
        <f>IF(CAS!$C$7="",0,(SUMIF(CAS!$B$31:$B$167,$J1190,CAS!$E$31:$E$167)*Impacts!$F$18))</f>
        <v>0</v>
      </c>
      <c r="W1190" s="10">
        <f t="shared" si="60"/>
        <v>0</v>
      </c>
      <c r="AK1190" s="10" t="str">
        <f t="array" ref="AK1190">IFERROR(INDEX(SelectedSpecies,SMALL(IF(SelectedSpecies=AK$1,ROW(SelectedSpecies)),ROW(1191:1191)),2),"")</f>
        <v/>
      </c>
      <c r="BE1190" s="10"/>
      <c r="BI1190" s="10"/>
    </row>
    <row r="1191" spans="1:61" ht="21" customHeight="1" x14ac:dyDescent="0.25">
      <c r="A1191" s="10"/>
      <c r="B1191" s="10"/>
      <c r="E1191" s="10"/>
      <c r="G1191" s="10"/>
      <c r="I1191" s="436" t="s">
        <v>503</v>
      </c>
      <c r="J1191" s="26" t="s">
        <v>502</v>
      </c>
      <c r="K1191" s="10">
        <v>100</v>
      </c>
      <c r="L1191" s="73">
        <f>IF(Tank1!$C$23="No control",(SUMIF(Tank1!$B$32:$B$49,$J1191,Tank1!$C$32:$C$49)*Impacts!$F$8),0)</f>
        <v>0</v>
      </c>
      <c r="M1191" s="10">
        <f>IF(Tank2!$C$23="No control",(SUMIF(Tank2!$B$32:$B$49,$J1191,Tank2!$C$32:$C$49)*Impacts!$F$9),0)</f>
        <v>0</v>
      </c>
      <c r="N1191" s="10">
        <f>IF(Tank3!$C$23="No control",(SUMIF(Tank3!$B$32:$B$49,$J1191,Tank3!$C$32:$C$49)*Impacts!$F$10),0)</f>
        <v>0</v>
      </c>
      <c r="O1191" s="10">
        <f>IF(Tank4!$C$23="No control",(SUMIF(Tank4!$B$32:$B$49,$J1191,Tank4!$C$32:$C$49)*Impacts!$F$11),0)</f>
        <v>0</v>
      </c>
      <c r="P1191" s="10">
        <f>IF(Tank5!$C$23="No control",(SUMIF(Tank5!$B$32:$B$49,$J1191,Tank5!$C$32:$C$49)*Impacts!$F$12),0)</f>
        <v>0</v>
      </c>
      <c r="Q1191" s="10">
        <f>IFERROR(IF(('Loading-drum,tote'!$C$21)="No control",SUMIF(('Loading-drum,tote'!$B$31:$B$48),$J1191,('Loading-drum,tote'!$D$31:$D$48))*Impacts!$F$13,IF(('Loading-drum,tote'!$C$21)&lt;&gt;"No control",SUMIF(('Loading-drum,tote'!$B$31:$B$48),$J1191,('Loading-drum,tote'!$E$31:$E$48))*Impacts!$F$13,0)),0)</f>
        <v>0</v>
      </c>
      <c r="R1191" s="10">
        <f>IFERROR(IF(('Loading-truck'!$C$21)="No control",SUMIF(('Loading-truck'!$B$31:$B$48),$J1191,('Loading-truck'!$D$31:$D$48))*Impacts!$F$14,IF(('Loading-truck'!$C$21)&lt;&gt;"No control",SUMIF(('Loading-truck'!$B$31:$B$48),$J1191,('Loading-truck'!$E$31:$E$48))*Impacts!$F$14,0)),0)</f>
        <v>0</v>
      </c>
      <c r="S1191" s="10">
        <f>IFERROR(IF(('Loading-rail'!$C$21)="No control",SUMIF(('Loading-rail'!$B$31:$B$48),$J1191,('Loading-rail'!$D$31:$D$48))*Impacts!$F$15,IF(('Loading-rail'!$C$21)&lt;&gt;"No control",SUMIF(('Loading-rail'!$B$31:$B$48),$J1191,('Loading-rail'!$E$31:$E$48))*Impacts!$F$15,0)),0)</f>
        <v>0</v>
      </c>
      <c r="T1191" s="10">
        <f>IF(Flare!$C$7="",0,(SUMIF(Flare!$B$46:$B$185,$J1191,Flare!$E$46:$E$185)*Impacts!$F$16))</f>
        <v>0</v>
      </c>
      <c r="U1191" s="10">
        <f>IF(VCU!$C$9="",0,(SUMIF(VCU!$B$51:$B$193,$J1191,VCU!$E$51:$E$193)*Impacts!$F$17))</f>
        <v>0</v>
      </c>
      <c r="V1191" s="10">
        <f>IF(CAS!$C$7="",0,(SUMIF(CAS!$B$31:$B$167,$J1191,CAS!$E$31:$E$167)*Impacts!$F$18))</f>
        <v>0</v>
      </c>
      <c r="W1191" s="10">
        <f t="shared" si="60"/>
        <v>0</v>
      </c>
      <c r="AK1191" s="10" t="str">
        <f t="array" ref="AK1191">IFERROR(INDEX(SelectedSpecies,SMALL(IF(SelectedSpecies=AK$1,ROW(SelectedSpecies)),ROW(1192:1192)),2),"")</f>
        <v/>
      </c>
      <c r="BE1191" s="10"/>
      <c r="BI1191" s="10"/>
    </row>
    <row r="1192" spans="1:61" ht="21" customHeight="1" x14ac:dyDescent="0.25">
      <c r="A1192" s="10"/>
      <c r="B1192" s="10"/>
      <c r="E1192" s="10"/>
      <c r="G1192" s="10"/>
      <c r="I1192" s="436" t="s">
        <v>2763</v>
      </c>
      <c r="J1192" s="26" t="s">
        <v>2762</v>
      </c>
      <c r="K1192" s="10">
        <v>10</v>
      </c>
      <c r="L1192" s="73">
        <f>IF(Tank1!$C$23="No control",(SUMIF(Tank1!$B$32:$B$49,$J1192,Tank1!$C$32:$C$49)*Impacts!$F$8),0)</f>
        <v>0</v>
      </c>
      <c r="M1192" s="10">
        <f>IF(Tank2!$C$23="No control",(SUMIF(Tank2!$B$32:$B$49,$J1192,Tank2!$C$32:$C$49)*Impacts!$F$9),0)</f>
        <v>0</v>
      </c>
      <c r="N1192" s="10">
        <f>IF(Tank3!$C$23="No control",(SUMIF(Tank3!$B$32:$B$49,$J1192,Tank3!$C$32:$C$49)*Impacts!$F$10),0)</f>
        <v>0</v>
      </c>
      <c r="O1192" s="10">
        <f>IF(Tank4!$C$23="No control",(SUMIF(Tank4!$B$32:$B$49,$J1192,Tank4!$C$32:$C$49)*Impacts!$F$11),0)</f>
        <v>0</v>
      </c>
      <c r="P1192" s="10">
        <f>IF(Tank5!$C$23="No control",(SUMIF(Tank5!$B$32:$B$49,$J1192,Tank5!$C$32:$C$49)*Impacts!$F$12),0)</f>
        <v>0</v>
      </c>
      <c r="Q1192" s="10">
        <f>IFERROR(IF(('Loading-drum,tote'!$C$21)="No control",SUMIF(('Loading-drum,tote'!$B$31:$B$48),$J1192,('Loading-drum,tote'!$D$31:$D$48))*Impacts!$F$13,IF(('Loading-drum,tote'!$C$21)&lt;&gt;"No control",SUMIF(('Loading-drum,tote'!$B$31:$B$48),$J1192,('Loading-drum,tote'!$E$31:$E$48))*Impacts!$F$13,0)),0)</f>
        <v>0</v>
      </c>
      <c r="R1192" s="10">
        <f>IFERROR(IF(('Loading-truck'!$C$21)="No control",SUMIF(('Loading-truck'!$B$31:$B$48),$J1192,('Loading-truck'!$D$31:$D$48))*Impacts!$F$14,IF(('Loading-truck'!$C$21)&lt;&gt;"No control",SUMIF(('Loading-truck'!$B$31:$B$48),$J1192,('Loading-truck'!$E$31:$E$48))*Impacts!$F$14,0)),0)</f>
        <v>0</v>
      </c>
      <c r="S1192" s="10">
        <f>IFERROR(IF(('Loading-rail'!$C$21)="No control",SUMIF(('Loading-rail'!$B$31:$B$48),$J1192,('Loading-rail'!$D$31:$D$48))*Impacts!$F$15,IF(('Loading-rail'!$C$21)&lt;&gt;"No control",SUMIF(('Loading-rail'!$B$31:$B$48),$J1192,('Loading-rail'!$E$31:$E$48))*Impacts!$F$15,0)),0)</f>
        <v>0</v>
      </c>
      <c r="T1192" s="10">
        <f>IF(Flare!$C$7="",0,(SUMIF(Flare!$B$46:$B$185,$J1192,Flare!$E$46:$E$185)*Impacts!$F$16))</f>
        <v>0</v>
      </c>
      <c r="U1192" s="10">
        <f>IF(VCU!$C$9="",0,(SUMIF(VCU!$B$51:$B$193,$J1192,VCU!$E$51:$E$193)*Impacts!$F$17))</f>
        <v>0</v>
      </c>
      <c r="V1192" s="10">
        <f>IF(CAS!$C$7="",0,(SUMIF(CAS!$B$31:$B$167,$J1192,CAS!$E$31:$E$167)*Impacts!$F$18))</f>
        <v>0</v>
      </c>
      <c r="W1192" s="10">
        <f t="shared" si="60"/>
        <v>0</v>
      </c>
      <c r="AK1192" s="10" t="str">
        <f t="array" ref="AK1192">IFERROR(INDEX(SelectedSpecies,SMALL(IF(SelectedSpecies=AK$1,ROW(SelectedSpecies)),ROW(1193:1193)),2),"")</f>
        <v/>
      </c>
      <c r="BE1192" s="10"/>
      <c r="BI1192" s="10"/>
    </row>
    <row r="1193" spans="1:61" ht="21" customHeight="1" x14ac:dyDescent="0.25">
      <c r="A1193" s="10"/>
      <c r="B1193" s="10"/>
      <c r="E1193" s="10"/>
      <c r="G1193" s="10"/>
      <c r="I1193" s="436" t="s">
        <v>2457</v>
      </c>
      <c r="J1193" s="26" t="s">
        <v>2456</v>
      </c>
      <c r="K1193" s="10">
        <v>10</v>
      </c>
      <c r="L1193" s="73">
        <f>IF(Tank1!$C$23="No control",(SUMIF(Tank1!$B$32:$B$49,$J1193,Tank1!$C$32:$C$49)*Impacts!$F$8),0)</f>
        <v>0</v>
      </c>
      <c r="M1193" s="10">
        <f>IF(Tank2!$C$23="No control",(SUMIF(Tank2!$B$32:$B$49,$J1193,Tank2!$C$32:$C$49)*Impacts!$F$9),0)</f>
        <v>0</v>
      </c>
      <c r="N1193" s="10">
        <f>IF(Tank3!$C$23="No control",(SUMIF(Tank3!$B$32:$B$49,$J1193,Tank3!$C$32:$C$49)*Impacts!$F$10),0)</f>
        <v>0</v>
      </c>
      <c r="O1193" s="10">
        <f>IF(Tank4!$C$23="No control",(SUMIF(Tank4!$B$32:$B$49,$J1193,Tank4!$C$32:$C$49)*Impacts!$F$11),0)</f>
        <v>0</v>
      </c>
      <c r="P1193" s="10">
        <f>IF(Tank5!$C$23="No control",(SUMIF(Tank5!$B$32:$B$49,$J1193,Tank5!$C$32:$C$49)*Impacts!$F$12),0)</f>
        <v>0</v>
      </c>
      <c r="Q1193" s="10">
        <f>IFERROR(IF(('Loading-drum,tote'!$C$21)="No control",SUMIF(('Loading-drum,tote'!$B$31:$B$48),$J1193,('Loading-drum,tote'!$D$31:$D$48))*Impacts!$F$13,IF(('Loading-drum,tote'!$C$21)&lt;&gt;"No control",SUMIF(('Loading-drum,tote'!$B$31:$B$48),$J1193,('Loading-drum,tote'!$E$31:$E$48))*Impacts!$F$13,0)),0)</f>
        <v>0</v>
      </c>
      <c r="R1193" s="10">
        <f>IFERROR(IF(('Loading-truck'!$C$21)="No control",SUMIF(('Loading-truck'!$B$31:$B$48),$J1193,('Loading-truck'!$D$31:$D$48))*Impacts!$F$14,IF(('Loading-truck'!$C$21)&lt;&gt;"No control",SUMIF(('Loading-truck'!$B$31:$B$48),$J1193,('Loading-truck'!$E$31:$E$48))*Impacts!$F$14,0)),0)</f>
        <v>0</v>
      </c>
      <c r="S1193" s="10">
        <f>IFERROR(IF(('Loading-rail'!$C$21)="No control",SUMIF(('Loading-rail'!$B$31:$B$48),$J1193,('Loading-rail'!$D$31:$D$48))*Impacts!$F$15,IF(('Loading-rail'!$C$21)&lt;&gt;"No control",SUMIF(('Loading-rail'!$B$31:$B$48),$J1193,('Loading-rail'!$E$31:$E$48))*Impacts!$F$15,0)),0)</f>
        <v>0</v>
      </c>
      <c r="T1193" s="10">
        <f>IF(Flare!$C$7="",0,(SUMIF(Flare!$B$46:$B$185,$J1193,Flare!$E$46:$E$185)*Impacts!$F$16))</f>
        <v>0</v>
      </c>
      <c r="U1193" s="10">
        <f>IF(VCU!$C$9="",0,(SUMIF(VCU!$B$51:$B$193,$J1193,VCU!$E$51:$E$193)*Impacts!$F$17))</f>
        <v>0</v>
      </c>
      <c r="V1193" s="10">
        <f>IF(CAS!$C$7="",0,(SUMIF(CAS!$B$31:$B$167,$J1193,CAS!$E$31:$E$167)*Impacts!$F$18))</f>
        <v>0</v>
      </c>
      <c r="W1193" s="10">
        <f t="shared" si="60"/>
        <v>0</v>
      </c>
      <c r="AK1193" s="10" t="str">
        <f t="array" ref="AK1193">IFERROR(INDEX(SelectedSpecies,SMALL(IF(SelectedSpecies=AK$1,ROW(SelectedSpecies)),ROW(1194:1194)),2),"")</f>
        <v/>
      </c>
      <c r="BE1193" s="10"/>
      <c r="BI1193" s="10"/>
    </row>
    <row r="1194" spans="1:61" ht="21" customHeight="1" x14ac:dyDescent="0.25">
      <c r="A1194" s="10"/>
      <c r="B1194" s="10"/>
      <c r="E1194" s="10"/>
      <c r="G1194" s="10"/>
      <c r="I1194" s="436" t="s">
        <v>7620</v>
      </c>
      <c r="J1194" s="26" t="s">
        <v>7619</v>
      </c>
      <c r="K1194" s="10">
        <v>0.13999999999999999</v>
      </c>
      <c r="L1194" s="73">
        <f>IF(Tank1!$C$23="No control",(SUMIF(Tank1!$B$32:$B$49,$J1194,Tank1!$C$32:$C$49)*Impacts!$F$8),0)</f>
        <v>0</v>
      </c>
      <c r="M1194" s="10">
        <f>IF(Tank2!$C$23="No control",(SUMIF(Tank2!$B$32:$B$49,$J1194,Tank2!$C$32:$C$49)*Impacts!$F$9),0)</f>
        <v>0</v>
      </c>
      <c r="N1194" s="10">
        <f>IF(Tank3!$C$23="No control",(SUMIF(Tank3!$B$32:$B$49,$J1194,Tank3!$C$32:$C$49)*Impacts!$F$10),0)</f>
        <v>0</v>
      </c>
      <c r="O1194" s="10">
        <f>IF(Tank4!$C$23="No control",(SUMIF(Tank4!$B$32:$B$49,$J1194,Tank4!$C$32:$C$49)*Impacts!$F$11),0)</f>
        <v>0</v>
      </c>
      <c r="P1194" s="10">
        <f>IF(Tank5!$C$23="No control",(SUMIF(Tank5!$B$32:$B$49,$J1194,Tank5!$C$32:$C$49)*Impacts!$F$12),0)</f>
        <v>0</v>
      </c>
      <c r="Q1194" s="10">
        <f>IFERROR(IF(('Loading-drum,tote'!$C$21)="No control",SUMIF(('Loading-drum,tote'!$B$31:$B$48),$J1194,('Loading-drum,tote'!$D$31:$D$48))*Impacts!$F$13,IF(('Loading-drum,tote'!$C$21)&lt;&gt;"No control",SUMIF(('Loading-drum,tote'!$B$31:$B$48),$J1194,('Loading-drum,tote'!$E$31:$E$48))*Impacts!$F$13,0)),0)</f>
        <v>0</v>
      </c>
      <c r="R1194" s="10">
        <f>IFERROR(IF(('Loading-truck'!$C$21)="No control",SUMIF(('Loading-truck'!$B$31:$B$48),$J1194,('Loading-truck'!$D$31:$D$48))*Impacts!$F$14,IF(('Loading-truck'!$C$21)&lt;&gt;"No control",SUMIF(('Loading-truck'!$B$31:$B$48),$J1194,('Loading-truck'!$E$31:$E$48))*Impacts!$F$14,0)),0)</f>
        <v>0</v>
      </c>
      <c r="S1194" s="10">
        <f>IFERROR(IF(('Loading-rail'!$C$21)="No control",SUMIF(('Loading-rail'!$B$31:$B$48),$J1194,('Loading-rail'!$D$31:$D$48))*Impacts!$F$15,IF(('Loading-rail'!$C$21)&lt;&gt;"No control",SUMIF(('Loading-rail'!$B$31:$B$48),$J1194,('Loading-rail'!$E$31:$E$48))*Impacts!$F$15,0)),0)</f>
        <v>0</v>
      </c>
      <c r="T1194" s="10">
        <f>IF(Flare!$C$7="",0,(SUMIF(Flare!$B$46:$B$185,$J1194,Flare!$E$46:$E$185)*Impacts!$F$16))</f>
        <v>0</v>
      </c>
      <c r="U1194" s="10">
        <f>IF(VCU!$C$9="",0,(SUMIF(VCU!$B$51:$B$193,$J1194,VCU!$E$51:$E$193)*Impacts!$F$17))</f>
        <v>0</v>
      </c>
      <c r="V1194" s="10">
        <f>IF(CAS!$C$7="",0,(SUMIF(CAS!$B$31:$B$167,$J1194,CAS!$E$31:$E$167)*Impacts!$F$18))</f>
        <v>0</v>
      </c>
      <c r="W1194" s="10">
        <f t="shared" si="60"/>
        <v>0</v>
      </c>
      <c r="AK1194" s="10" t="str">
        <f t="array" ref="AK1194">IFERROR(INDEX(SelectedSpecies,SMALL(IF(SelectedSpecies=AK$1,ROW(SelectedSpecies)),ROW(1195:1195)),2),"")</f>
        <v/>
      </c>
      <c r="BE1194" s="10"/>
      <c r="BI1194" s="10"/>
    </row>
    <row r="1195" spans="1:61" ht="21" customHeight="1" x14ac:dyDescent="0.25">
      <c r="A1195" s="10"/>
      <c r="B1195" s="10"/>
      <c r="E1195" s="10"/>
      <c r="G1195" s="10"/>
      <c r="I1195" s="436" t="s">
        <v>6790</v>
      </c>
      <c r="J1195" s="26" t="s">
        <v>6789</v>
      </c>
      <c r="K1195" s="10">
        <v>0.5</v>
      </c>
      <c r="L1195" s="73">
        <f>IF(Tank1!$C$23="No control",(SUMIF(Tank1!$B$32:$B$49,$J1195,Tank1!$C$32:$C$49)*Impacts!$F$8),0)</f>
        <v>0</v>
      </c>
      <c r="M1195" s="10">
        <f>IF(Tank2!$C$23="No control",(SUMIF(Tank2!$B$32:$B$49,$J1195,Tank2!$C$32:$C$49)*Impacts!$F$9),0)</f>
        <v>0</v>
      </c>
      <c r="N1195" s="10">
        <f>IF(Tank3!$C$23="No control",(SUMIF(Tank3!$B$32:$B$49,$J1195,Tank3!$C$32:$C$49)*Impacts!$F$10),0)</f>
        <v>0</v>
      </c>
      <c r="O1195" s="10">
        <f>IF(Tank4!$C$23="No control",(SUMIF(Tank4!$B$32:$B$49,$J1195,Tank4!$C$32:$C$49)*Impacts!$F$11),0)</f>
        <v>0</v>
      </c>
      <c r="P1195" s="10">
        <f>IF(Tank5!$C$23="No control",(SUMIF(Tank5!$B$32:$B$49,$J1195,Tank5!$C$32:$C$49)*Impacts!$F$12),0)</f>
        <v>0</v>
      </c>
      <c r="Q1195" s="10">
        <f>IFERROR(IF(('Loading-drum,tote'!$C$21)="No control",SUMIF(('Loading-drum,tote'!$B$31:$B$48),$J1195,('Loading-drum,tote'!$D$31:$D$48))*Impacts!$F$13,IF(('Loading-drum,tote'!$C$21)&lt;&gt;"No control",SUMIF(('Loading-drum,tote'!$B$31:$B$48),$J1195,('Loading-drum,tote'!$E$31:$E$48))*Impacts!$F$13,0)),0)</f>
        <v>0</v>
      </c>
      <c r="R1195" s="10">
        <f>IFERROR(IF(('Loading-truck'!$C$21)="No control",SUMIF(('Loading-truck'!$B$31:$B$48),$J1195,('Loading-truck'!$D$31:$D$48))*Impacts!$F$14,IF(('Loading-truck'!$C$21)&lt;&gt;"No control",SUMIF(('Loading-truck'!$B$31:$B$48),$J1195,('Loading-truck'!$E$31:$E$48))*Impacts!$F$14,0)),0)</f>
        <v>0</v>
      </c>
      <c r="S1195" s="10">
        <f>IFERROR(IF(('Loading-rail'!$C$21)="No control",SUMIF(('Loading-rail'!$B$31:$B$48),$J1195,('Loading-rail'!$D$31:$D$48))*Impacts!$F$15,IF(('Loading-rail'!$C$21)&lt;&gt;"No control",SUMIF(('Loading-rail'!$B$31:$B$48),$J1195,('Loading-rail'!$E$31:$E$48))*Impacts!$F$15,0)),0)</f>
        <v>0</v>
      </c>
      <c r="T1195" s="10">
        <f>IF(Flare!$C$7="",0,(SUMIF(Flare!$B$46:$B$185,$J1195,Flare!$E$46:$E$185)*Impacts!$F$16))</f>
        <v>0</v>
      </c>
      <c r="U1195" s="10">
        <f>IF(VCU!$C$9="",0,(SUMIF(VCU!$B$51:$B$193,$J1195,VCU!$E$51:$E$193)*Impacts!$F$17))</f>
        <v>0</v>
      </c>
      <c r="V1195" s="10">
        <f>IF(CAS!$C$7="",0,(SUMIF(CAS!$B$31:$B$167,$J1195,CAS!$E$31:$E$167)*Impacts!$F$18))</f>
        <v>0</v>
      </c>
      <c r="W1195" s="10">
        <f t="shared" si="60"/>
        <v>0</v>
      </c>
      <c r="AK1195" s="10" t="str">
        <f t="array" ref="AK1195">IFERROR(INDEX(SelectedSpecies,SMALL(IF(SelectedSpecies=AK$1,ROW(SelectedSpecies)),ROW(1196:1196)),2),"")</f>
        <v/>
      </c>
      <c r="BE1195" s="10"/>
      <c r="BI1195" s="10"/>
    </row>
    <row r="1196" spans="1:61" ht="21" customHeight="1" x14ac:dyDescent="0.25">
      <c r="A1196" s="10"/>
      <c r="B1196" s="10"/>
      <c r="E1196" s="10"/>
      <c r="G1196" s="10"/>
      <c r="I1196" s="436" t="s">
        <v>1224</v>
      </c>
      <c r="J1196" s="26" t="s">
        <v>1223</v>
      </c>
      <c r="K1196" s="10">
        <v>34</v>
      </c>
      <c r="L1196" s="73">
        <f>IF(Tank1!$C$23="No control",(SUMIF(Tank1!$B$32:$B$49,$J1196,Tank1!$C$32:$C$49)*Impacts!$F$8),0)</f>
        <v>0</v>
      </c>
      <c r="M1196" s="10">
        <f>IF(Tank2!$C$23="No control",(SUMIF(Tank2!$B$32:$B$49,$J1196,Tank2!$C$32:$C$49)*Impacts!$F$9),0)</f>
        <v>0</v>
      </c>
      <c r="N1196" s="10">
        <f>IF(Tank3!$C$23="No control",(SUMIF(Tank3!$B$32:$B$49,$J1196,Tank3!$C$32:$C$49)*Impacts!$F$10),0)</f>
        <v>0</v>
      </c>
      <c r="O1196" s="10">
        <f>IF(Tank4!$C$23="No control",(SUMIF(Tank4!$B$32:$B$49,$J1196,Tank4!$C$32:$C$49)*Impacts!$F$11),0)</f>
        <v>0</v>
      </c>
      <c r="P1196" s="10">
        <f>IF(Tank5!$C$23="No control",(SUMIF(Tank5!$B$32:$B$49,$J1196,Tank5!$C$32:$C$49)*Impacts!$F$12),0)</f>
        <v>0</v>
      </c>
      <c r="Q1196" s="10">
        <f>IFERROR(IF(('Loading-drum,tote'!$C$21)="No control",SUMIF(('Loading-drum,tote'!$B$31:$B$48),$J1196,('Loading-drum,tote'!$D$31:$D$48))*Impacts!$F$13,IF(('Loading-drum,tote'!$C$21)&lt;&gt;"No control",SUMIF(('Loading-drum,tote'!$B$31:$B$48),$J1196,('Loading-drum,tote'!$E$31:$E$48))*Impacts!$F$13,0)),0)</f>
        <v>0</v>
      </c>
      <c r="R1196" s="10">
        <f>IFERROR(IF(('Loading-truck'!$C$21)="No control",SUMIF(('Loading-truck'!$B$31:$B$48),$J1196,('Loading-truck'!$D$31:$D$48))*Impacts!$F$14,IF(('Loading-truck'!$C$21)&lt;&gt;"No control",SUMIF(('Loading-truck'!$B$31:$B$48),$J1196,('Loading-truck'!$E$31:$E$48))*Impacts!$F$14,0)),0)</f>
        <v>0</v>
      </c>
      <c r="S1196" s="10">
        <f>IFERROR(IF(('Loading-rail'!$C$21)="No control",SUMIF(('Loading-rail'!$B$31:$B$48),$J1196,('Loading-rail'!$D$31:$D$48))*Impacts!$F$15,IF(('Loading-rail'!$C$21)&lt;&gt;"No control",SUMIF(('Loading-rail'!$B$31:$B$48),$J1196,('Loading-rail'!$E$31:$E$48))*Impacts!$F$15,0)),0)</f>
        <v>0</v>
      </c>
      <c r="T1196" s="10">
        <f>IF(Flare!$C$7="",0,(SUMIF(Flare!$B$46:$B$185,$J1196,Flare!$E$46:$E$185)*Impacts!$F$16))</f>
        <v>0</v>
      </c>
      <c r="U1196" s="10">
        <f>IF(VCU!$C$9="",0,(SUMIF(VCU!$B$51:$B$193,$J1196,VCU!$E$51:$E$193)*Impacts!$F$17))</f>
        <v>0</v>
      </c>
      <c r="V1196" s="10">
        <f>IF(CAS!$C$7="",0,(SUMIF(CAS!$B$31:$B$167,$J1196,CAS!$E$31:$E$167)*Impacts!$F$18))</f>
        <v>0</v>
      </c>
      <c r="W1196" s="10">
        <f t="shared" si="60"/>
        <v>0</v>
      </c>
      <c r="AK1196" s="10" t="str">
        <f t="array" ref="AK1196">IFERROR(INDEX(SelectedSpecies,SMALL(IF(SelectedSpecies=AK$1,ROW(SelectedSpecies)),ROW(1197:1197)),2),"")</f>
        <v/>
      </c>
      <c r="BE1196" s="10"/>
      <c r="BI1196" s="10"/>
    </row>
    <row r="1197" spans="1:61" ht="21" customHeight="1" x14ac:dyDescent="0.25">
      <c r="A1197" s="10"/>
      <c r="B1197" s="10"/>
      <c r="E1197" s="10"/>
      <c r="G1197" s="10"/>
      <c r="I1197" s="436" t="s">
        <v>662</v>
      </c>
      <c r="J1197" s="26" t="s">
        <v>661</v>
      </c>
      <c r="K1197" s="10">
        <v>57</v>
      </c>
      <c r="L1197" s="73">
        <f>IF(Tank1!$C$23="No control",(SUMIF(Tank1!$B$32:$B$49,$J1197,Tank1!$C$32:$C$49)*Impacts!$F$8),0)</f>
        <v>0</v>
      </c>
      <c r="M1197" s="10">
        <f>IF(Tank2!$C$23="No control",(SUMIF(Tank2!$B$32:$B$49,$J1197,Tank2!$C$32:$C$49)*Impacts!$F$9),0)</f>
        <v>0</v>
      </c>
      <c r="N1197" s="10">
        <f>IF(Tank3!$C$23="No control",(SUMIF(Tank3!$B$32:$B$49,$J1197,Tank3!$C$32:$C$49)*Impacts!$F$10),0)</f>
        <v>0</v>
      </c>
      <c r="O1197" s="10">
        <f>IF(Tank4!$C$23="No control",(SUMIF(Tank4!$B$32:$B$49,$J1197,Tank4!$C$32:$C$49)*Impacts!$F$11),0)</f>
        <v>0</v>
      </c>
      <c r="P1197" s="10">
        <f>IF(Tank5!$C$23="No control",(SUMIF(Tank5!$B$32:$B$49,$J1197,Tank5!$C$32:$C$49)*Impacts!$F$12),0)</f>
        <v>0</v>
      </c>
      <c r="Q1197" s="10">
        <f>IFERROR(IF(('Loading-drum,tote'!$C$21)="No control",SUMIF(('Loading-drum,tote'!$B$31:$B$48),$J1197,('Loading-drum,tote'!$D$31:$D$48))*Impacts!$F$13,IF(('Loading-drum,tote'!$C$21)&lt;&gt;"No control",SUMIF(('Loading-drum,tote'!$B$31:$B$48),$J1197,('Loading-drum,tote'!$E$31:$E$48))*Impacts!$F$13,0)),0)</f>
        <v>0</v>
      </c>
      <c r="R1197" s="10">
        <f>IFERROR(IF(('Loading-truck'!$C$21)="No control",SUMIF(('Loading-truck'!$B$31:$B$48),$J1197,('Loading-truck'!$D$31:$D$48))*Impacts!$F$14,IF(('Loading-truck'!$C$21)&lt;&gt;"No control",SUMIF(('Loading-truck'!$B$31:$B$48),$J1197,('Loading-truck'!$E$31:$E$48))*Impacts!$F$14,0)),0)</f>
        <v>0</v>
      </c>
      <c r="S1197" s="10">
        <f>IFERROR(IF(('Loading-rail'!$C$21)="No control",SUMIF(('Loading-rail'!$B$31:$B$48),$J1197,('Loading-rail'!$D$31:$D$48))*Impacts!$F$15,IF(('Loading-rail'!$C$21)&lt;&gt;"No control",SUMIF(('Loading-rail'!$B$31:$B$48),$J1197,('Loading-rail'!$E$31:$E$48))*Impacts!$F$15,0)),0)</f>
        <v>0</v>
      </c>
      <c r="T1197" s="10">
        <f>IF(Flare!$C$7="",0,(SUMIF(Flare!$B$46:$B$185,$J1197,Flare!$E$46:$E$185)*Impacts!$F$16))</f>
        <v>0</v>
      </c>
      <c r="U1197" s="10">
        <f>IF(VCU!$C$9="",0,(SUMIF(VCU!$B$51:$B$193,$J1197,VCU!$E$51:$E$193)*Impacts!$F$17))</f>
        <v>0</v>
      </c>
      <c r="V1197" s="10">
        <f>IF(CAS!$C$7="",0,(SUMIF(CAS!$B$31:$B$167,$J1197,CAS!$E$31:$E$167)*Impacts!$F$18))</f>
        <v>0</v>
      </c>
      <c r="W1197" s="10">
        <f t="shared" si="60"/>
        <v>0</v>
      </c>
      <c r="AK1197" s="10" t="str">
        <f t="array" ref="AK1197">IFERROR(INDEX(SelectedSpecies,SMALL(IF(SelectedSpecies=AK$1,ROW(SelectedSpecies)),ROW(1198:1198)),2),"")</f>
        <v/>
      </c>
      <c r="BE1197" s="10"/>
      <c r="BI1197" s="10"/>
    </row>
    <row r="1198" spans="1:61" ht="21" customHeight="1" x14ac:dyDescent="0.25">
      <c r="A1198" s="10"/>
      <c r="B1198" s="10"/>
      <c r="E1198" s="10"/>
      <c r="G1198" s="10"/>
      <c r="I1198" s="436" t="s">
        <v>664</v>
      </c>
      <c r="J1198" s="26" t="s">
        <v>663</v>
      </c>
      <c r="K1198" s="10">
        <v>57</v>
      </c>
      <c r="L1198" s="73">
        <f>IF(Tank1!$C$23="No control",(SUMIF(Tank1!$B$32:$B$49,$J1198,Tank1!$C$32:$C$49)*Impacts!$F$8),0)</f>
        <v>0</v>
      </c>
      <c r="M1198" s="10">
        <f>IF(Tank2!$C$23="No control",(SUMIF(Tank2!$B$32:$B$49,$J1198,Tank2!$C$32:$C$49)*Impacts!$F$9),0)</f>
        <v>0</v>
      </c>
      <c r="N1198" s="10">
        <f>IF(Tank3!$C$23="No control",(SUMIF(Tank3!$B$32:$B$49,$J1198,Tank3!$C$32:$C$49)*Impacts!$F$10),0)</f>
        <v>0</v>
      </c>
      <c r="O1198" s="10">
        <f>IF(Tank4!$C$23="No control",(SUMIF(Tank4!$B$32:$B$49,$J1198,Tank4!$C$32:$C$49)*Impacts!$F$11),0)</f>
        <v>0</v>
      </c>
      <c r="P1198" s="10">
        <f>IF(Tank5!$C$23="No control",(SUMIF(Tank5!$B$32:$B$49,$J1198,Tank5!$C$32:$C$49)*Impacts!$F$12),0)</f>
        <v>0</v>
      </c>
      <c r="Q1198" s="10">
        <f>IFERROR(IF(('Loading-drum,tote'!$C$21)="No control",SUMIF(('Loading-drum,tote'!$B$31:$B$48),$J1198,('Loading-drum,tote'!$D$31:$D$48))*Impacts!$F$13,IF(('Loading-drum,tote'!$C$21)&lt;&gt;"No control",SUMIF(('Loading-drum,tote'!$B$31:$B$48),$J1198,('Loading-drum,tote'!$E$31:$E$48))*Impacts!$F$13,0)),0)</f>
        <v>0</v>
      </c>
      <c r="R1198" s="10">
        <f>IFERROR(IF(('Loading-truck'!$C$21)="No control",SUMIF(('Loading-truck'!$B$31:$B$48),$J1198,('Loading-truck'!$D$31:$D$48))*Impacts!$F$14,IF(('Loading-truck'!$C$21)&lt;&gt;"No control",SUMIF(('Loading-truck'!$B$31:$B$48),$J1198,('Loading-truck'!$E$31:$E$48))*Impacts!$F$14,0)),0)</f>
        <v>0</v>
      </c>
      <c r="S1198" s="10">
        <f>IFERROR(IF(('Loading-rail'!$C$21)="No control",SUMIF(('Loading-rail'!$B$31:$B$48),$J1198,('Loading-rail'!$D$31:$D$48))*Impacts!$F$15,IF(('Loading-rail'!$C$21)&lt;&gt;"No control",SUMIF(('Loading-rail'!$B$31:$B$48),$J1198,('Loading-rail'!$E$31:$E$48))*Impacts!$F$15,0)),0)</f>
        <v>0</v>
      </c>
      <c r="T1198" s="10">
        <f>IF(Flare!$C$7="",0,(SUMIF(Flare!$B$46:$B$185,$J1198,Flare!$E$46:$E$185)*Impacts!$F$16))</f>
        <v>0</v>
      </c>
      <c r="U1198" s="10">
        <f>IF(VCU!$C$9="",0,(SUMIF(VCU!$B$51:$B$193,$J1198,VCU!$E$51:$E$193)*Impacts!$F$17))</f>
        <v>0</v>
      </c>
      <c r="V1198" s="10">
        <f>IF(CAS!$C$7="",0,(SUMIF(CAS!$B$31:$B$167,$J1198,CAS!$E$31:$E$167)*Impacts!$F$18))</f>
        <v>0</v>
      </c>
      <c r="W1198" s="10">
        <f t="shared" si="60"/>
        <v>0</v>
      </c>
      <c r="AK1198" s="10" t="str">
        <f t="array" ref="AK1198">IFERROR(INDEX(SelectedSpecies,SMALL(IF(SelectedSpecies=AK$1,ROW(SelectedSpecies)),ROW(1199:1199)),2),"")</f>
        <v/>
      </c>
      <c r="BE1198" s="10"/>
      <c r="BI1198" s="10"/>
    </row>
    <row r="1199" spans="1:61" ht="21" customHeight="1" x14ac:dyDescent="0.25">
      <c r="A1199" s="10"/>
      <c r="B1199" s="10"/>
      <c r="E1199" s="10"/>
      <c r="G1199" s="10"/>
      <c r="I1199" s="436" t="s">
        <v>6792</v>
      </c>
      <c r="J1199" s="26" t="s">
        <v>6791</v>
      </c>
      <c r="K1199" s="10">
        <v>0.5</v>
      </c>
      <c r="L1199" s="73">
        <f>IF(Tank1!$C$23="No control",(SUMIF(Tank1!$B$32:$B$49,$J1199,Tank1!$C$32:$C$49)*Impacts!$F$8),0)</f>
        <v>0</v>
      </c>
      <c r="M1199" s="10">
        <f>IF(Tank2!$C$23="No control",(SUMIF(Tank2!$B$32:$B$49,$J1199,Tank2!$C$32:$C$49)*Impacts!$F$9),0)</f>
        <v>0</v>
      </c>
      <c r="N1199" s="10">
        <f>IF(Tank3!$C$23="No control",(SUMIF(Tank3!$B$32:$B$49,$J1199,Tank3!$C$32:$C$49)*Impacts!$F$10),0)</f>
        <v>0</v>
      </c>
      <c r="O1199" s="10">
        <f>IF(Tank4!$C$23="No control",(SUMIF(Tank4!$B$32:$B$49,$J1199,Tank4!$C$32:$C$49)*Impacts!$F$11),0)</f>
        <v>0</v>
      </c>
      <c r="P1199" s="10">
        <f>IF(Tank5!$C$23="No control",(SUMIF(Tank5!$B$32:$B$49,$J1199,Tank5!$C$32:$C$49)*Impacts!$F$12),0)</f>
        <v>0</v>
      </c>
      <c r="Q1199" s="10">
        <f>IFERROR(IF(('Loading-drum,tote'!$C$21)="No control",SUMIF(('Loading-drum,tote'!$B$31:$B$48),$J1199,('Loading-drum,tote'!$D$31:$D$48))*Impacts!$F$13,IF(('Loading-drum,tote'!$C$21)&lt;&gt;"No control",SUMIF(('Loading-drum,tote'!$B$31:$B$48),$J1199,('Loading-drum,tote'!$E$31:$E$48))*Impacts!$F$13,0)),0)</f>
        <v>0</v>
      </c>
      <c r="R1199" s="10">
        <f>IFERROR(IF(('Loading-truck'!$C$21)="No control",SUMIF(('Loading-truck'!$B$31:$B$48),$J1199,('Loading-truck'!$D$31:$D$48))*Impacts!$F$14,IF(('Loading-truck'!$C$21)&lt;&gt;"No control",SUMIF(('Loading-truck'!$B$31:$B$48),$J1199,('Loading-truck'!$E$31:$E$48))*Impacts!$F$14,0)),0)</f>
        <v>0</v>
      </c>
      <c r="S1199" s="10">
        <f>IFERROR(IF(('Loading-rail'!$C$21)="No control",SUMIF(('Loading-rail'!$B$31:$B$48),$J1199,('Loading-rail'!$D$31:$D$48))*Impacts!$F$15,IF(('Loading-rail'!$C$21)&lt;&gt;"No control",SUMIF(('Loading-rail'!$B$31:$B$48),$J1199,('Loading-rail'!$E$31:$E$48))*Impacts!$F$15,0)),0)</f>
        <v>0</v>
      </c>
      <c r="T1199" s="10">
        <f>IF(Flare!$C$7="",0,(SUMIF(Flare!$B$46:$B$185,$J1199,Flare!$E$46:$E$185)*Impacts!$F$16))</f>
        <v>0</v>
      </c>
      <c r="U1199" s="10">
        <f>IF(VCU!$C$9="",0,(SUMIF(VCU!$B$51:$B$193,$J1199,VCU!$E$51:$E$193)*Impacts!$F$17))</f>
        <v>0</v>
      </c>
      <c r="V1199" s="10">
        <f>IF(CAS!$C$7="",0,(SUMIF(CAS!$B$31:$B$167,$J1199,CAS!$E$31:$E$167)*Impacts!$F$18))</f>
        <v>0</v>
      </c>
      <c r="W1199" s="10">
        <f t="shared" si="60"/>
        <v>0</v>
      </c>
      <c r="AK1199" s="10" t="str">
        <f t="array" ref="AK1199">IFERROR(INDEX(SelectedSpecies,SMALL(IF(SelectedSpecies=AK$1,ROW(SelectedSpecies)),ROW(1200:1200)),2),"")</f>
        <v/>
      </c>
      <c r="BE1199" s="10"/>
      <c r="BI1199" s="10"/>
    </row>
    <row r="1200" spans="1:61" ht="21" customHeight="1" x14ac:dyDescent="0.25">
      <c r="A1200" s="10"/>
      <c r="B1200" s="10"/>
      <c r="E1200" s="10"/>
      <c r="G1200" s="10"/>
      <c r="I1200" s="436" t="s">
        <v>8140</v>
      </c>
      <c r="J1200" s="26" t="s">
        <v>8139</v>
      </c>
      <c r="K1200" s="10">
        <v>1.0000000000000002E-2</v>
      </c>
      <c r="L1200" s="73">
        <f>IF(Tank1!$C$23="No control",(SUMIF(Tank1!$B$32:$B$49,$J1200,Tank1!$C$32:$C$49)*Impacts!$F$8),0)</f>
        <v>0</v>
      </c>
      <c r="M1200" s="10">
        <f>IF(Tank2!$C$23="No control",(SUMIF(Tank2!$B$32:$B$49,$J1200,Tank2!$C$32:$C$49)*Impacts!$F$9),0)</f>
        <v>0</v>
      </c>
      <c r="N1200" s="10">
        <f>IF(Tank3!$C$23="No control",(SUMIF(Tank3!$B$32:$B$49,$J1200,Tank3!$C$32:$C$49)*Impacts!$F$10),0)</f>
        <v>0</v>
      </c>
      <c r="O1200" s="10">
        <f>IF(Tank4!$C$23="No control",(SUMIF(Tank4!$B$32:$B$49,$J1200,Tank4!$C$32:$C$49)*Impacts!$F$11),0)</f>
        <v>0</v>
      </c>
      <c r="P1200" s="10">
        <f>IF(Tank5!$C$23="No control",(SUMIF(Tank5!$B$32:$B$49,$J1200,Tank5!$C$32:$C$49)*Impacts!$F$12),0)</f>
        <v>0</v>
      </c>
      <c r="Q1200" s="10">
        <f>IFERROR(IF(('Loading-drum,tote'!$C$21)="No control",SUMIF(('Loading-drum,tote'!$B$31:$B$48),$J1200,('Loading-drum,tote'!$D$31:$D$48))*Impacts!$F$13,IF(('Loading-drum,tote'!$C$21)&lt;&gt;"No control",SUMIF(('Loading-drum,tote'!$B$31:$B$48),$J1200,('Loading-drum,tote'!$E$31:$E$48))*Impacts!$F$13,0)),0)</f>
        <v>0</v>
      </c>
      <c r="R1200" s="10">
        <f>IFERROR(IF(('Loading-truck'!$C$21)="No control",SUMIF(('Loading-truck'!$B$31:$B$48),$J1200,('Loading-truck'!$D$31:$D$48))*Impacts!$F$14,IF(('Loading-truck'!$C$21)&lt;&gt;"No control",SUMIF(('Loading-truck'!$B$31:$B$48),$J1200,('Loading-truck'!$E$31:$E$48))*Impacts!$F$14,0)),0)</f>
        <v>0</v>
      </c>
      <c r="S1200" s="10">
        <f>IFERROR(IF(('Loading-rail'!$C$21)="No control",SUMIF(('Loading-rail'!$B$31:$B$48),$J1200,('Loading-rail'!$D$31:$D$48))*Impacts!$F$15,IF(('Loading-rail'!$C$21)&lt;&gt;"No control",SUMIF(('Loading-rail'!$B$31:$B$48),$J1200,('Loading-rail'!$E$31:$E$48))*Impacts!$F$15,0)),0)</f>
        <v>0</v>
      </c>
      <c r="T1200" s="10">
        <f>IF(Flare!$C$7="",0,(SUMIF(Flare!$B$46:$B$185,$J1200,Flare!$E$46:$E$185)*Impacts!$F$16))</f>
        <v>0</v>
      </c>
      <c r="U1200" s="10">
        <f>IF(VCU!$C$9="",0,(SUMIF(VCU!$B$51:$B$193,$J1200,VCU!$E$51:$E$193)*Impacts!$F$17))</f>
        <v>0</v>
      </c>
      <c r="V1200" s="10">
        <f>IF(CAS!$C$7="",0,(SUMIF(CAS!$B$31:$B$167,$J1200,CAS!$E$31:$E$167)*Impacts!$F$18))</f>
        <v>0</v>
      </c>
      <c r="W1200" s="10">
        <f t="shared" si="60"/>
        <v>0</v>
      </c>
      <c r="AK1200" s="10" t="str">
        <f t="array" ref="AK1200">IFERROR(INDEX(SelectedSpecies,SMALL(IF(SelectedSpecies=AK$1,ROW(SelectedSpecies)),ROW(1201:1201)),2),"")</f>
        <v/>
      </c>
      <c r="BE1200" s="10"/>
      <c r="BI1200" s="10"/>
    </row>
    <row r="1201" spans="1:61" ht="21" customHeight="1" x14ac:dyDescent="0.25">
      <c r="A1201" s="10"/>
      <c r="B1201" s="10"/>
      <c r="E1201" s="10"/>
      <c r="G1201" s="10"/>
      <c r="I1201" s="436" t="s">
        <v>5145</v>
      </c>
      <c r="J1201" s="26" t="s">
        <v>5144</v>
      </c>
      <c r="K1201" s="10">
        <v>2</v>
      </c>
      <c r="L1201" s="73">
        <f>IF(Tank1!$C$23="No control",(SUMIF(Tank1!$B$32:$B$49,$J1201,Tank1!$C$32:$C$49)*Impacts!$F$8),0)</f>
        <v>0</v>
      </c>
      <c r="M1201" s="10">
        <f>IF(Tank2!$C$23="No control",(SUMIF(Tank2!$B$32:$B$49,$J1201,Tank2!$C$32:$C$49)*Impacts!$F$9),0)</f>
        <v>0</v>
      </c>
      <c r="N1201" s="10">
        <f>IF(Tank3!$C$23="No control",(SUMIF(Tank3!$B$32:$B$49,$J1201,Tank3!$C$32:$C$49)*Impacts!$F$10),0)</f>
        <v>0</v>
      </c>
      <c r="O1201" s="10">
        <f>IF(Tank4!$C$23="No control",(SUMIF(Tank4!$B$32:$B$49,$J1201,Tank4!$C$32:$C$49)*Impacts!$F$11),0)</f>
        <v>0</v>
      </c>
      <c r="P1201" s="10">
        <f>IF(Tank5!$C$23="No control",(SUMIF(Tank5!$B$32:$B$49,$J1201,Tank5!$C$32:$C$49)*Impacts!$F$12),0)</f>
        <v>0</v>
      </c>
      <c r="Q1201" s="10">
        <f>IFERROR(IF(('Loading-drum,tote'!$C$21)="No control",SUMIF(('Loading-drum,tote'!$B$31:$B$48),$J1201,('Loading-drum,tote'!$D$31:$D$48))*Impacts!$F$13,IF(('Loading-drum,tote'!$C$21)&lt;&gt;"No control",SUMIF(('Loading-drum,tote'!$B$31:$B$48),$J1201,('Loading-drum,tote'!$E$31:$E$48))*Impacts!$F$13,0)),0)</f>
        <v>0</v>
      </c>
      <c r="R1201" s="10">
        <f>IFERROR(IF(('Loading-truck'!$C$21)="No control",SUMIF(('Loading-truck'!$B$31:$B$48),$J1201,('Loading-truck'!$D$31:$D$48))*Impacts!$F$14,IF(('Loading-truck'!$C$21)&lt;&gt;"No control",SUMIF(('Loading-truck'!$B$31:$B$48),$J1201,('Loading-truck'!$E$31:$E$48))*Impacts!$F$14,0)),0)</f>
        <v>0</v>
      </c>
      <c r="S1201" s="10">
        <f>IFERROR(IF(('Loading-rail'!$C$21)="No control",SUMIF(('Loading-rail'!$B$31:$B$48),$J1201,('Loading-rail'!$D$31:$D$48))*Impacts!$F$15,IF(('Loading-rail'!$C$21)&lt;&gt;"No control",SUMIF(('Loading-rail'!$B$31:$B$48),$J1201,('Loading-rail'!$E$31:$E$48))*Impacts!$F$15,0)),0)</f>
        <v>0</v>
      </c>
      <c r="T1201" s="10">
        <f>IF(Flare!$C$7="",0,(SUMIF(Flare!$B$46:$B$185,$J1201,Flare!$E$46:$E$185)*Impacts!$F$16))</f>
        <v>0</v>
      </c>
      <c r="U1201" s="10">
        <f>IF(VCU!$C$9="",0,(SUMIF(VCU!$B$51:$B$193,$J1201,VCU!$E$51:$E$193)*Impacts!$F$17))</f>
        <v>0</v>
      </c>
      <c r="V1201" s="10">
        <f>IF(CAS!$C$7="",0,(SUMIF(CAS!$B$31:$B$167,$J1201,CAS!$E$31:$E$167)*Impacts!$F$18))</f>
        <v>0</v>
      </c>
      <c r="W1201" s="10">
        <f t="shared" si="60"/>
        <v>0</v>
      </c>
      <c r="AK1201" s="10" t="str">
        <f t="array" ref="AK1201">IFERROR(INDEX(SelectedSpecies,SMALL(IF(SelectedSpecies=AK$1,ROW(SelectedSpecies)),ROW(1202:1202)),2),"")</f>
        <v/>
      </c>
      <c r="BE1201" s="10"/>
      <c r="BI1201" s="10"/>
    </row>
    <row r="1202" spans="1:61" ht="21" customHeight="1" x14ac:dyDescent="0.25">
      <c r="A1202" s="10"/>
      <c r="B1202" s="10"/>
      <c r="E1202" s="10"/>
      <c r="G1202" s="10"/>
      <c r="I1202" s="436" t="s">
        <v>5808</v>
      </c>
      <c r="J1202" s="26" t="s">
        <v>5807</v>
      </c>
      <c r="K1202" s="10">
        <v>1</v>
      </c>
      <c r="L1202" s="73">
        <f>IF(Tank1!$C$23="No control",(SUMIF(Tank1!$B$32:$B$49,$J1202,Tank1!$C$32:$C$49)*Impacts!$F$8),0)</f>
        <v>0</v>
      </c>
      <c r="M1202" s="10">
        <f>IF(Tank2!$C$23="No control",(SUMIF(Tank2!$B$32:$B$49,$J1202,Tank2!$C$32:$C$49)*Impacts!$F$9),0)</f>
        <v>0</v>
      </c>
      <c r="N1202" s="10">
        <f>IF(Tank3!$C$23="No control",(SUMIF(Tank3!$B$32:$B$49,$J1202,Tank3!$C$32:$C$49)*Impacts!$F$10),0)</f>
        <v>0</v>
      </c>
      <c r="O1202" s="10">
        <f>IF(Tank4!$C$23="No control",(SUMIF(Tank4!$B$32:$B$49,$J1202,Tank4!$C$32:$C$49)*Impacts!$F$11),0)</f>
        <v>0</v>
      </c>
      <c r="P1202" s="10">
        <f>IF(Tank5!$C$23="No control",(SUMIF(Tank5!$B$32:$B$49,$J1202,Tank5!$C$32:$C$49)*Impacts!$F$12),0)</f>
        <v>0</v>
      </c>
      <c r="Q1202" s="10">
        <f>IFERROR(IF(('Loading-drum,tote'!$C$21)="No control",SUMIF(('Loading-drum,tote'!$B$31:$B$48),$J1202,('Loading-drum,tote'!$D$31:$D$48))*Impacts!$F$13,IF(('Loading-drum,tote'!$C$21)&lt;&gt;"No control",SUMIF(('Loading-drum,tote'!$B$31:$B$48),$J1202,('Loading-drum,tote'!$E$31:$E$48))*Impacts!$F$13,0)),0)</f>
        <v>0</v>
      </c>
      <c r="R1202" s="10">
        <f>IFERROR(IF(('Loading-truck'!$C$21)="No control",SUMIF(('Loading-truck'!$B$31:$B$48),$J1202,('Loading-truck'!$D$31:$D$48))*Impacts!$F$14,IF(('Loading-truck'!$C$21)&lt;&gt;"No control",SUMIF(('Loading-truck'!$B$31:$B$48),$J1202,('Loading-truck'!$E$31:$E$48))*Impacts!$F$14,0)),0)</f>
        <v>0</v>
      </c>
      <c r="S1202" s="10">
        <f>IFERROR(IF(('Loading-rail'!$C$21)="No control",SUMIF(('Loading-rail'!$B$31:$B$48),$J1202,('Loading-rail'!$D$31:$D$48))*Impacts!$F$15,IF(('Loading-rail'!$C$21)&lt;&gt;"No control",SUMIF(('Loading-rail'!$B$31:$B$48),$J1202,('Loading-rail'!$E$31:$E$48))*Impacts!$F$15,0)),0)</f>
        <v>0</v>
      </c>
      <c r="T1202" s="10">
        <f>IF(Flare!$C$7="",0,(SUMIF(Flare!$B$46:$B$185,$J1202,Flare!$E$46:$E$185)*Impacts!$F$16))</f>
        <v>0</v>
      </c>
      <c r="U1202" s="10">
        <f>IF(VCU!$C$9="",0,(SUMIF(VCU!$B$51:$B$193,$J1202,VCU!$E$51:$E$193)*Impacts!$F$17))</f>
        <v>0</v>
      </c>
      <c r="V1202" s="10">
        <f>IF(CAS!$C$7="",0,(SUMIF(CAS!$B$31:$B$167,$J1202,CAS!$E$31:$E$167)*Impacts!$F$18))</f>
        <v>0</v>
      </c>
      <c r="W1202" s="10">
        <f t="shared" si="60"/>
        <v>0</v>
      </c>
      <c r="AK1202" s="10" t="str">
        <f t="array" ref="AK1202">IFERROR(INDEX(SelectedSpecies,SMALL(IF(SelectedSpecies=AK$1,ROW(SelectedSpecies)),ROW(1203:1203)),2),"")</f>
        <v/>
      </c>
      <c r="BE1202" s="10"/>
      <c r="BI1202" s="10"/>
    </row>
    <row r="1203" spans="1:61" ht="21" customHeight="1" x14ac:dyDescent="0.25">
      <c r="A1203" s="10"/>
      <c r="B1203" s="10"/>
      <c r="E1203" s="10"/>
      <c r="G1203" s="10"/>
      <c r="I1203" s="436" t="s">
        <v>2765</v>
      </c>
      <c r="J1203" s="26" t="s">
        <v>2764</v>
      </c>
      <c r="K1203" s="10">
        <v>10</v>
      </c>
      <c r="L1203" s="73">
        <f>IF(Tank1!$C$23="No control",(SUMIF(Tank1!$B$32:$B$49,$J1203,Tank1!$C$32:$C$49)*Impacts!$F$8),0)</f>
        <v>0</v>
      </c>
      <c r="M1203" s="10">
        <f>IF(Tank2!$C$23="No control",(SUMIF(Tank2!$B$32:$B$49,$J1203,Tank2!$C$32:$C$49)*Impacts!$F$9),0)</f>
        <v>0</v>
      </c>
      <c r="N1203" s="10">
        <f>IF(Tank3!$C$23="No control",(SUMIF(Tank3!$B$32:$B$49,$J1203,Tank3!$C$32:$C$49)*Impacts!$F$10),0)</f>
        <v>0</v>
      </c>
      <c r="O1203" s="10">
        <f>IF(Tank4!$C$23="No control",(SUMIF(Tank4!$B$32:$B$49,$J1203,Tank4!$C$32:$C$49)*Impacts!$F$11),0)</f>
        <v>0</v>
      </c>
      <c r="P1203" s="10">
        <f>IF(Tank5!$C$23="No control",(SUMIF(Tank5!$B$32:$B$49,$J1203,Tank5!$C$32:$C$49)*Impacts!$F$12),0)</f>
        <v>0</v>
      </c>
      <c r="Q1203" s="10">
        <f>IFERROR(IF(('Loading-drum,tote'!$C$21)="No control",SUMIF(('Loading-drum,tote'!$B$31:$B$48),$J1203,('Loading-drum,tote'!$D$31:$D$48))*Impacts!$F$13,IF(('Loading-drum,tote'!$C$21)&lt;&gt;"No control",SUMIF(('Loading-drum,tote'!$B$31:$B$48),$J1203,('Loading-drum,tote'!$E$31:$E$48))*Impacts!$F$13,0)),0)</f>
        <v>0</v>
      </c>
      <c r="R1203" s="10">
        <f>IFERROR(IF(('Loading-truck'!$C$21)="No control",SUMIF(('Loading-truck'!$B$31:$B$48),$J1203,('Loading-truck'!$D$31:$D$48))*Impacts!$F$14,IF(('Loading-truck'!$C$21)&lt;&gt;"No control",SUMIF(('Loading-truck'!$B$31:$B$48),$J1203,('Loading-truck'!$E$31:$E$48))*Impacts!$F$14,0)),0)</f>
        <v>0</v>
      </c>
      <c r="S1203" s="10">
        <f>IFERROR(IF(('Loading-rail'!$C$21)="No control",SUMIF(('Loading-rail'!$B$31:$B$48),$J1203,('Loading-rail'!$D$31:$D$48))*Impacts!$F$15,IF(('Loading-rail'!$C$21)&lt;&gt;"No control",SUMIF(('Loading-rail'!$B$31:$B$48),$J1203,('Loading-rail'!$E$31:$E$48))*Impacts!$F$15,0)),0)</f>
        <v>0</v>
      </c>
      <c r="T1203" s="10">
        <f>IF(Flare!$C$7="",0,(SUMIF(Flare!$B$46:$B$185,$J1203,Flare!$E$46:$E$185)*Impacts!$F$16))</f>
        <v>0</v>
      </c>
      <c r="U1203" s="10">
        <f>IF(VCU!$C$9="",0,(SUMIF(VCU!$B$51:$B$193,$J1203,VCU!$E$51:$E$193)*Impacts!$F$17))</f>
        <v>0</v>
      </c>
      <c r="V1203" s="10">
        <f>IF(CAS!$C$7="",0,(SUMIF(CAS!$B$31:$B$167,$J1203,CAS!$E$31:$E$167)*Impacts!$F$18))</f>
        <v>0</v>
      </c>
      <c r="W1203" s="10">
        <f t="shared" si="60"/>
        <v>0</v>
      </c>
      <c r="AK1203" s="10" t="str">
        <f t="array" ref="AK1203">IFERROR(INDEX(SelectedSpecies,SMALL(IF(SelectedSpecies=AK$1,ROW(SelectedSpecies)),ROW(1204:1204)),2),"")</f>
        <v/>
      </c>
      <c r="BE1203" s="10"/>
      <c r="BI1203" s="10"/>
    </row>
    <row r="1204" spans="1:61" ht="21" customHeight="1" x14ac:dyDescent="0.25">
      <c r="A1204" s="10"/>
      <c r="B1204" s="10"/>
      <c r="E1204" s="10"/>
      <c r="G1204" s="10"/>
      <c r="I1204" s="436" t="s">
        <v>4181</v>
      </c>
      <c r="J1204" s="26" t="s">
        <v>4180</v>
      </c>
      <c r="K1204" s="10">
        <v>5</v>
      </c>
      <c r="L1204" s="73">
        <f>IF(Tank1!$C$23="No control",(SUMIF(Tank1!$B$32:$B$49,$J1204,Tank1!$C$32:$C$49)*Impacts!$F$8),0)</f>
        <v>0</v>
      </c>
      <c r="M1204" s="10">
        <f>IF(Tank2!$C$23="No control",(SUMIF(Tank2!$B$32:$B$49,$J1204,Tank2!$C$32:$C$49)*Impacts!$F$9),0)</f>
        <v>0</v>
      </c>
      <c r="N1204" s="10">
        <f>IF(Tank3!$C$23="No control",(SUMIF(Tank3!$B$32:$B$49,$J1204,Tank3!$C$32:$C$49)*Impacts!$F$10),0)</f>
        <v>0</v>
      </c>
      <c r="O1204" s="10">
        <f>IF(Tank4!$C$23="No control",(SUMIF(Tank4!$B$32:$B$49,$J1204,Tank4!$C$32:$C$49)*Impacts!$F$11),0)</f>
        <v>0</v>
      </c>
      <c r="P1204" s="10">
        <f>IF(Tank5!$C$23="No control",(SUMIF(Tank5!$B$32:$B$49,$J1204,Tank5!$C$32:$C$49)*Impacts!$F$12),0)</f>
        <v>0</v>
      </c>
      <c r="Q1204" s="10">
        <f>IFERROR(IF(('Loading-drum,tote'!$C$21)="No control",SUMIF(('Loading-drum,tote'!$B$31:$B$48),$J1204,('Loading-drum,tote'!$D$31:$D$48))*Impacts!$F$13,IF(('Loading-drum,tote'!$C$21)&lt;&gt;"No control",SUMIF(('Loading-drum,tote'!$B$31:$B$48),$J1204,('Loading-drum,tote'!$E$31:$E$48))*Impacts!$F$13,0)),0)</f>
        <v>0</v>
      </c>
      <c r="R1204" s="10">
        <f>IFERROR(IF(('Loading-truck'!$C$21)="No control",SUMIF(('Loading-truck'!$B$31:$B$48),$J1204,('Loading-truck'!$D$31:$D$48))*Impacts!$F$14,IF(('Loading-truck'!$C$21)&lt;&gt;"No control",SUMIF(('Loading-truck'!$B$31:$B$48),$J1204,('Loading-truck'!$E$31:$E$48))*Impacts!$F$14,0)),0)</f>
        <v>0</v>
      </c>
      <c r="S1204" s="10">
        <f>IFERROR(IF(('Loading-rail'!$C$21)="No control",SUMIF(('Loading-rail'!$B$31:$B$48),$J1204,('Loading-rail'!$D$31:$D$48))*Impacts!$F$15,IF(('Loading-rail'!$C$21)&lt;&gt;"No control",SUMIF(('Loading-rail'!$B$31:$B$48),$J1204,('Loading-rail'!$E$31:$E$48))*Impacts!$F$15,0)),0)</f>
        <v>0</v>
      </c>
      <c r="T1204" s="10">
        <f>IF(Flare!$C$7="",0,(SUMIF(Flare!$B$46:$B$185,$J1204,Flare!$E$46:$E$185)*Impacts!$F$16))</f>
        <v>0</v>
      </c>
      <c r="U1204" s="10">
        <f>IF(VCU!$C$9="",0,(SUMIF(VCU!$B$51:$B$193,$J1204,VCU!$E$51:$E$193)*Impacts!$F$17))</f>
        <v>0</v>
      </c>
      <c r="V1204" s="10">
        <f>IF(CAS!$C$7="",0,(SUMIF(CAS!$B$31:$B$167,$J1204,CAS!$E$31:$E$167)*Impacts!$F$18))</f>
        <v>0</v>
      </c>
      <c r="W1204" s="10">
        <f t="shared" si="60"/>
        <v>0</v>
      </c>
      <c r="AK1204" s="10" t="str">
        <f t="array" ref="AK1204">IFERROR(INDEX(SelectedSpecies,SMALL(IF(SelectedSpecies=AK$1,ROW(SelectedSpecies)),ROW(1205:1205)),2),"")</f>
        <v/>
      </c>
      <c r="BE1204" s="10"/>
      <c r="BI1204" s="10"/>
    </row>
    <row r="1205" spans="1:61" ht="21" customHeight="1" x14ac:dyDescent="0.25">
      <c r="A1205" s="10"/>
      <c r="B1205" s="10"/>
      <c r="E1205" s="10"/>
      <c r="G1205" s="10"/>
      <c r="I1205" s="436" t="s">
        <v>1953</v>
      </c>
      <c r="J1205" s="26" t="s">
        <v>1952</v>
      </c>
      <c r="K1205" s="10">
        <v>18</v>
      </c>
      <c r="L1205" s="73">
        <f>IF(Tank1!$C$23="No control",(SUMIF(Tank1!$B$32:$B$49,$J1205,Tank1!$C$32:$C$49)*Impacts!$F$8),0)</f>
        <v>0</v>
      </c>
      <c r="M1205" s="10">
        <f>IF(Tank2!$C$23="No control",(SUMIF(Tank2!$B$32:$B$49,$J1205,Tank2!$C$32:$C$49)*Impacts!$F$9),0)</f>
        <v>0</v>
      </c>
      <c r="N1205" s="10">
        <f>IF(Tank3!$C$23="No control",(SUMIF(Tank3!$B$32:$B$49,$J1205,Tank3!$C$32:$C$49)*Impacts!$F$10),0)</f>
        <v>0</v>
      </c>
      <c r="O1205" s="10">
        <f>IF(Tank4!$C$23="No control",(SUMIF(Tank4!$B$32:$B$49,$J1205,Tank4!$C$32:$C$49)*Impacts!$F$11),0)</f>
        <v>0</v>
      </c>
      <c r="P1205" s="10">
        <f>IF(Tank5!$C$23="No control",(SUMIF(Tank5!$B$32:$B$49,$J1205,Tank5!$C$32:$C$49)*Impacts!$F$12),0)</f>
        <v>0</v>
      </c>
      <c r="Q1205" s="10">
        <f>IFERROR(IF(('Loading-drum,tote'!$C$21)="No control",SUMIF(('Loading-drum,tote'!$B$31:$B$48),$J1205,('Loading-drum,tote'!$D$31:$D$48))*Impacts!$F$13,IF(('Loading-drum,tote'!$C$21)&lt;&gt;"No control",SUMIF(('Loading-drum,tote'!$B$31:$B$48),$J1205,('Loading-drum,tote'!$E$31:$E$48))*Impacts!$F$13,0)),0)</f>
        <v>0</v>
      </c>
      <c r="R1205" s="10">
        <f>IFERROR(IF(('Loading-truck'!$C$21)="No control",SUMIF(('Loading-truck'!$B$31:$B$48),$J1205,('Loading-truck'!$D$31:$D$48))*Impacts!$F$14,IF(('Loading-truck'!$C$21)&lt;&gt;"No control",SUMIF(('Loading-truck'!$B$31:$B$48),$J1205,('Loading-truck'!$E$31:$E$48))*Impacts!$F$14,0)),0)</f>
        <v>0</v>
      </c>
      <c r="S1205" s="10">
        <f>IFERROR(IF(('Loading-rail'!$C$21)="No control",SUMIF(('Loading-rail'!$B$31:$B$48),$J1205,('Loading-rail'!$D$31:$D$48))*Impacts!$F$15,IF(('Loading-rail'!$C$21)&lt;&gt;"No control",SUMIF(('Loading-rail'!$B$31:$B$48),$J1205,('Loading-rail'!$E$31:$E$48))*Impacts!$F$15,0)),0)</f>
        <v>0</v>
      </c>
      <c r="T1205" s="10">
        <f>IF(Flare!$C$7="",0,(SUMIF(Flare!$B$46:$B$185,$J1205,Flare!$E$46:$E$185)*Impacts!$F$16))</f>
        <v>0</v>
      </c>
      <c r="U1205" s="10">
        <f>IF(VCU!$C$9="",0,(SUMIF(VCU!$B$51:$B$193,$J1205,VCU!$E$51:$E$193)*Impacts!$F$17))</f>
        <v>0</v>
      </c>
      <c r="V1205" s="10">
        <f>IF(CAS!$C$7="",0,(SUMIF(CAS!$B$31:$B$167,$J1205,CAS!$E$31:$E$167)*Impacts!$F$18))</f>
        <v>0</v>
      </c>
      <c r="W1205" s="10">
        <f t="shared" si="60"/>
        <v>0</v>
      </c>
      <c r="AK1205" s="10" t="str">
        <f t="array" ref="AK1205">IFERROR(INDEX(SelectedSpecies,SMALL(IF(SelectedSpecies=AK$1,ROW(SelectedSpecies)),ROW(1206:1206)),2),"")</f>
        <v/>
      </c>
      <c r="BE1205" s="10"/>
      <c r="BI1205" s="10"/>
    </row>
    <row r="1206" spans="1:61" ht="21" customHeight="1" x14ac:dyDescent="0.25">
      <c r="A1206" s="10"/>
      <c r="B1206" s="10"/>
      <c r="E1206" s="10"/>
      <c r="G1206" s="10"/>
      <c r="I1206" s="436" t="s">
        <v>2109</v>
      </c>
      <c r="J1206" s="26" t="s">
        <v>2108</v>
      </c>
      <c r="K1206" s="10">
        <v>15</v>
      </c>
      <c r="L1206" s="73">
        <f>IF(Tank1!$C$23="No control",(SUMIF(Tank1!$B$32:$B$49,$J1206,Tank1!$C$32:$C$49)*Impacts!$F$8),0)</f>
        <v>0</v>
      </c>
      <c r="M1206" s="10">
        <f>IF(Tank2!$C$23="No control",(SUMIF(Tank2!$B$32:$B$49,$J1206,Tank2!$C$32:$C$49)*Impacts!$F$9),0)</f>
        <v>0</v>
      </c>
      <c r="N1206" s="10">
        <f>IF(Tank3!$C$23="No control",(SUMIF(Tank3!$B$32:$B$49,$J1206,Tank3!$C$32:$C$49)*Impacts!$F$10),0)</f>
        <v>0</v>
      </c>
      <c r="O1206" s="10">
        <f>IF(Tank4!$C$23="No control",(SUMIF(Tank4!$B$32:$B$49,$J1206,Tank4!$C$32:$C$49)*Impacts!$F$11),0)</f>
        <v>0</v>
      </c>
      <c r="P1206" s="10">
        <f>IF(Tank5!$C$23="No control",(SUMIF(Tank5!$B$32:$B$49,$J1206,Tank5!$C$32:$C$49)*Impacts!$F$12),0)</f>
        <v>0</v>
      </c>
      <c r="Q1206" s="10">
        <f>IFERROR(IF(('Loading-drum,tote'!$C$21)="No control",SUMIF(('Loading-drum,tote'!$B$31:$B$48),$J1206,('Loading-drum,tote'!$D$31:$D$48))*Impacts!$F$13,IF(('Loading-drum,tote'!$C$21)&lt;&gt;"No control",SUMIF(('Loading-drum,tote'!$B$31:$B$48),$J1206,('Loading-drum,tote'!$E$31:$E$48))*Impacts!$F$13,0)),0)</f>
        <v>0</v>
      </c>
      <c r="R1206" s="10">
        <f>IFERROR(IF(('Loading-truck'!$C$21)="No control",SUMIF(('Loading-truck'!$B$31:$B$48),$J1206,('Loading-truck'!$D$31:$D$48))*Impacts!$F$14,IF(('Loading-truck'!$C$21)&lt;&gt;"No control",SUMIF(('Loading-truck'!$B$31:$B$48),$J1206,('Loading-truck'!$E$31:$E$48))*Impacts!$F$14,0)),0)</f>
        <v>0</v>
      </c>
      <c r="S1206" s="10">
        <f>IFERROR(IF(('Loading-rail'!$C$21)="No control",SUMIF(('Loading-rail'!$B$31:$B$48),$J1206,('Loading-rail'!$D$31:$D$48))*Impacts!$F$15,IF(('Loading-rail'!$C$21)&lt;&gt;"No control",SUMIF(('Loading-rail'!$B$31:$B$48),$J1206,('Loading-rail'!$E$31:$E$48))*Impacts!$F$15,0)),0)</f>
        <v>0</v>
      </c>
      <c r="T1206" s="10">
        <f>IF(Flare!$C$7="",0,(SUMIF(Flare!$B$46:$B$185,$J1206,Flare!$E$46:$E$185)*Impacts!$F$16))</f>
        <v>0</v>
      </c>
      <c r="U1206" s="10">
        <f>IF(VCU!$C$9="",0,(SUMIF(VCU!$B$51:$B$193,$J1206,VCU!$E$51:$E$193)*Impacts!$F$17))</f>
        <v>0</v>
      </c>
      <c r="V1206" s="10">
        <f>IF(CAS!$C$7="",0,(SUMIF(CAS!$B$31:$B$167,$J1206,CAS!$E$31:$E$167)*Impacts!$F$18))</f>
        <v>0</v>
      </c>
      <c r="W1206" s="10">
        <f t="shared" si="60"/>
        <v>0</v>
      </c>
      <c r="AK1206" s="10" t="str">
        <f t="array" ref="AK1206">IFERROR(INDEX(SelectedSpecies,SMALL(IF(SelectedSpecies=AK$1,ROW(SelectedSpecies)),ROW(1207:1207)),2),"")</f>
        <v/>
      </c>
      <c r="BE1206" s="10"/>
      <c r="BI1206" s="10"/>
    </row>
    <row r="1207" spans="1:61" ht="21" customHeight="1" x14ac:dyDescent="0.25">
      <c r="A1207" s="10"/>
      <c r="B1207" s="10"/>
      <c r="E1207" s="10"/>
      <c r="G1207" s="10"/>
      <c r="I1207" s="436" t="s">
        <v>2767</v>
      </c>
      <c r="J1207" s="26" t="s">
        <v>2766</v>
      </c>
      <c r="K1207" s="10">
        <v>10</v>
      </c>
      <c r="L1207" s="73">
        <f>IF(Tank1!$C$23="No control",(SUMIF(Tank1!$B$32:$B$49,$J1207,Tank1!$C$32:$C$49)*Impacts!$F$8),0)</f>
        <v>0</v>
      </c>
      <c r="M1207" s="10">
        <f>IF(Tank2!$C$23="No control",(SUMIF(Tank2!$B$32:$B$49,$J1207,Tank2!$C$32:$C$49)*Impacts!$F$9),0)</f>
        <v>0</v>
      </c>
      <c r="N1207" s="10">
        <f>IF(Tank3!$C$23="No control",(SUMIF(Tank3!$B$32:$B$49,$J1207,Tank3!$C$32:$C$49)*Impacts!$F$10),0)</f>
        <v>0</v>
      </c>
      <c r="O1207" s="10">
        <f>IF(Tank4!$C$23="No control",(SUMIF(Tank4!$B$32:$B$49,$J1207,Tank4!$C$32:$C$49)*Impacts!$F$11),0)</f>
        <v>0</v>
      </c>
      <c r="P1207" s="10">
        <f>IF(Tank5!$C$23="No control",(SUMIF(Tank5!$B$32:$B$49,$J1207,Tank5!$C$32:$C$49)*Impacts!$F$12),0)</f>
        <v>0</v>
      </c>
      <c r="Q1207" s="10">
        <f>IFERROR(IF(('Loading-drum,tote'!$C$21)="No control",SUMIF(('Loading-drum,tote'!$B$31:$B$48),$J1207,('Loading-drum,tote'!$D$31:$D$48))*Impacts!$F$13,IF(('Loading-drum,tote'!$C$21)&lt;&gt;"No control",SUMIF(('Loading-drum,tote'!$B$31:$B$48),$J1207,('Loading-drum,tote'!$E$31:$E$48))*Impacts!$F$13,0)),0)</f>
        <v>0</v>
      </c>
      <c r="R1207" s="10">
        <f>IFERROR(IF(('Loading-truck'!$C$21)="No control",SUMIF(('Loading-truck'!$B$31:$B$48),$J1207,('Loading-truck'!$D$31:$D$48))*Impacts!$F$14,IF(('Loading-truck'!$C$21)&lt;&gt;"No control",SUMIF(('Loading-truck'!$B$31:$B$48),$J1207,('Loading-truck'!$E$31:$E$48))*Impacts!$F$14,0)),0)</f>
        <v>0</v>
      </c>
      <c r="S1207" s="10">
        <f>IFERROR(IF(('Loading-rail'!$C$21)="No control",SUMIF(('Loading-rail'!$B$31:$B$48),$J1207,('Loading-rail'!$D$31:$D$48))*Impacts!$F$15,IF(('Loading-rail'!$C$21)&lt;&gt;"No control",SUMIF(('Loading-rail'!$B$31:$B$48),$J1207,('Loading-rail'!$E$31:$E$48))*Impacts!$F$15,0)),0)</f>
        <v>0</v>
      </c>
      <c r="T1207" s="10">
        <f>IF(Flare!$C$7="",0,(SUMIF(Flare!$B$46:$B$185,$J1207,Flare!$E$46:$E$185)*Impacts!$F$16))</f>
        <v>0</v>
      </c>
      <c r="U1207" s="10">
        <f>IF(VCU!$C$9="",0,(SUMIF(VCU!$B$51:$B$193,$J1207,VCU!$E$51:$E$193)*Impacts!$F$17))</f>
        <v>0</v>
      </c>
      <c r="V1207" s="10">
        <f>IF(CAS!$C$7="",0,(SUMIF(CAS!$B$31:$B$167,$J1207,CAS!$E$31:$E$167)*Impacts!$F$18))</f>
        <v>0</v>
      </c>
      <c r="W1207" s="10">
        <f t="shared" si="60"/>
        <v>0</v>
      </c>
      <c r="AK1207" s="10" t="str">
        <f t="array" ref="AK1207">IFERROR(INDEX(SelectedSpecies,SMALL(IF(SelectedSpecies=AK$1,ROW(SelectedSpecies)),ROW(1208:1208)),2),"")</f>
        <v/>
      </c>
      <c r="BE1207" s="10"/>
      <c r="BI1207" s="10"/>
    </row>
    <row r="1208" spans="1:61" ht="21" customHeight="1" x14ac:dyDescent="0.25">
      <c r="A1208" s="10"/>
      <c r="B1208" s="10"/>
      <c r="E1208" s="10"/>
      <c r="G1208" s="10"/>
      <c r="I1208" s="436" t="s">
        <v>2769</v>
      </c>
      <c r="J1208" s="26" t="s">
        <v>2768</v>
      </c>
      <c r="K1208" s="10">
        <v>10</v>
      </c>
      <c r="L1208" s="73">
        <f>IF(Tank1!$C$23="No control",(SUMIF(Tank1!$B$32:$B$49,$J1208,Tank1!$C$32:$C$49)*Impacts!$F$8),0)</f>
        <v>0</v>
      </c>
      <c r="M1208" s="10">
        <f>IF(Tank2!$C$23="No control",(SUMIF(Tank2!$B$32:$B$49,$J1208,Tank2!$C$32:$C$49)*Impacts!$F$9),0)</f>
        <v>0</v>
      </c>
      <c r="N1208" s="10">
        <f>IF(Tank3!$C$23="No control",(SUMIF(Tank3!$B$32:$B$49,$J1208,Tank3!$C$32:$C$49)*Impacts!$F$10),0)</f>
        <v>0</v>
      </c>
      <c r="O1208" s="10">
        <f>IF(Tank4!$C$23="No control",(SUMIF(Tank4!$B$32:$B$49,$J1208,Tank4!$C$32:$C$49)*Impacts!$F$11),0)</f>
        <v>0</v>
      </c>
      <c r="P1208" s="10">
        <f>IF(Tank5!$C$23="No control",(SUMIF(Tank5!$B$32:$B$49,$J1208,Tank5!$C$32:$C$49)*Impacts!$F$12),0)</f>
        <v>0</v>
      </c>
      <c r="Q1208" s="10">
        <f>IFERROR(IF(('Loading-drum,tote'!$C$21)="No control",SUMIF(('Loading-drum,tote'!$B$31:$B$48),$J1208,('Loading-drum,tote'!$D$31:$D$48))*Impacts!$F$13,IF(('Loading-drum,tote'!$C$21)&lt;&gt;"No control",SUMIF(('Loading-drum,tote'!$B$31:$B$48),$J1208,('Loading-drum,tote'!$E$31:$E$48))*Impacts!$F$13,0)),0)</f>
        <v>0</v>
      </c>
      <c r="R1208" s="10">
        <f>IFERROR(IF(('Loading-truck'!$C$21)="No control",SUMIF(('Loading-truck'!$B$31:$B$48),$J1208,('Loading-truck'!$D$31:$D$48))*Impacts!$F$14,IF(('Loading-truck'!$C$21)&lt;&gt;"No control",SUMIF(('Loading-truck'!$B$31:$B$48),$J1208,('Loading-truck'!$E$31:$E$48))*Impacts!$F$14,0)),0)</f>
        <v>0</v>
      </c>
      <c r="S1208" s="10">
        <f>IFERROR(IF(('Loading-rail'!$C$21)="No control",SUMIF(('Loading-rail'!$B$31:$B$48),$J1208,('Loading-rail'!$D$31:$D$48))*Impacts!$F$15,IF(('Loading-rail'!$C$21)&lt;&gt;"No control",SUMIF(('Loading-rail'!$B$31:$B$48),$J1208,('Loading-rail'!$E$31:$E$48))*Impacts!$F$15,0)),0)</f>
        <v>0</v>
      </c>
      <c r="T1208" s="10">
        <f>IF(Flare!$C$7="",0,(SUMIF(Flare!$B$46:$B$185,$J1208,Flare!$E$46:$E$185)*Impacts!$F$16))</f>
        <v>0</v>
      </c>
      <c r="U1208" s="10">
        <f>IF(VCU!$C$9="",0,(SUMIF(VCU!$B$51:$B$193,$J1208,VCU!$E$51:$E$193)*Impacts!$F$17))</f>
        <v>0</v>
      </c>
      <c r="V1208" s="10">
        <f>IF(CAS!$C$7="",0,(SUMIF(CAS!$B$31:$B$167,$J1208,CAS!$E$31:$E$167)*Impacts!$F$18))</f>
        <v>0</v>
      </c>
      <c r="W1208" s="10">
        <f t="shared" si="60"/>
        <v>0</v>
      </c>
      <c r="AK1208" s="10" t="str">
        <f t="array" ref="AK1208">IFERROR(INDEX(SelectedSpecies,SMALL(IF(SelectedSpecies=AK$1,ROW(SelectedSpecies)),ROW(1209:1209)),2),"")</f>
        <v/>
      </c>
      <c r="BE1208" s="10"/>
      <c r="BI1208" s="10"/>
    </row>
    <row r="1209" spans="1:61" ht="21" customHeight="1" x14ac:dyDescent="0.25">
      <c r="A1209" s="10"/>
      <c r="B1209" s="10"/>
      <c r="E1209" s="10"/>
      <c r="G1209" s="10"/>
      <c r="I1209" s="436" t="s">
        <v>4757</v>
      </c>
      <c r="J1209" s="26" t="s">
        <v>4756</v>
      </c>
      <c r="K1209" s="10">
        <v>3.4000000000000004</v>
      </c>
      <c r="L1209" s="73">
        <f>IF(Tank1!$C$23="No control",(SUMIF(Tank1!$B$32:$B$49,$J1209,Tank1!$C$32:$C$49)*Impacts!$F$8),0)</f>
        <v>0</v>
      </c>
      <c r="M1209" s="10">
        <f>IF(Tank2!$C$23="No control",(SUMIF(Tank2!$B$32:$B$49,$J1209,Tank2!$C$32:$C$49)*Impacts!$F$9),0)</f>
        <v>0</v>
      </c>
      <c r="N1209" s="10">
        <f>IF(Tank3!$C$23="No control",(SUMIF(Tank3!$B$32:$B$49,$J1209,Tank3!$C$32:$C$49)*Impacts!$F$10),0)</f>
        <v>0</v>
      </c>
      <c r="O1209" s="10">
        <f>IF(Tank4!$C$23="No control",(SUMIF(Tank4!$B$32:$B$49,$J1209,Tank4!$C$32:$C$49)*Impacts!$F$11),0)</f>
        <v>0</v>
      </c>
      <c r="P1209" s="10">
        <f>IF(Tank5!$C$23="No control",(SUMIF(Tank5!$B$32:$B$49,$J1209,Tank5!$C$32:$C$49)*Impacts!$F$12),0)</f>
        <v>0</v>
      </c>
      <c r="Q1209" s="10">
        <f>IFERROR(IF(('Loading-drum,tote'!$C$21)="No control",SUMIF(('Loading-drum,tote'!$B$31:$B$48),$J1209,('Loading-drum,tote'!$D$31:$D$48))*Impacts!$F$13,IF(('Loading-drum,tote'!$C$21)&lt;&gt;"No control",SUMIF(('Loading-drum,tote'!$B$31:$B$48),$J1209,('Loading-drum,tote'!$E$31:$E$48))*Impacts!$F$13,0)),0)</f>
        <v>0</v>
      </c>
      <c r="R1209" s="10">
        <f>IFERROR(IF(('Loading-truck'!$C$21)="No control",SUMIF(('Loading-truck'!$B$31:$B$48),$J1209,('Loading-truck'!$D$31:$D$48))*Impacts!$F$14,IF(('Loading-truck'!$C$21)&lt;&gt;"No control",SUMIF(('Loading-truck'!$B$31:$B$48),$J1209,('Loading-truck'!$E$31:$E$48))*Impacts!$F$14,0)),0)</f>
        <v>0</v>
      </c>
      <c r="S1209" s="10">
        <f>IFERROR(IF(('Loading-rail'!$C$21)="No control",SUMIF(('Loading-rail'!$B$31:$B$48),$J1209,('Loading-rail'!$D$31:$D$48))*Impacts!$F$15,IF(('Loading-rail'!$C$21)&lt;&gt;"No control",SUMIF(('Loading-rail'!$B$31:$B$48),$J1209,('Loading-rail'!$E$31:$E$48))*Impacts!$F$15,0)),0)</f>
        <v>0</v>
      </c>
      <c r="T1209" s="10">
        <f>IF(Flare!$C$7="",0,(SUMIF(Flare!$B$46:$B$185,$J1209,Flare!$E$46:$E$185)*Impacts!$F$16))</f>
        <v>0</v>
      </c>
      <c r="U1209" s="10">
        <f>IF(VCU!$C$9="",0,(SUMIF(VCU!$B$51:$B$193,$J1209,VCU!$E$51:$E$193)*Impacts!$F$17))</f>
        <v>0</v>
      </c>
      <c r="V1209" s="10">
        <f>IF(CAS!$C$7="",0,(SUMIF(CAS!$B$31:$B$167,$J1209,CAS!$E$31:$E$167)*Impacts!$F$18))</f>
        <v>0</v>
      </c>
      <c r="W1209" s="10">
        <f t="shared" si="60"/>
        <v>0</v>
      </c>
      <c r="AK1209" s="10" t="str">
        <f t="array" ref="AK1209">IFERROR(INDEX(SelectedSpecies,SMALL(IF(SelectedSpecies=AK$1,ROW(SelectedSpecies)),ROW(1210:1210)),2),"")</f>
        <v/>
      </c>
      <c r="BE1209" s="10"/>
      <c r="BI1209" s="10"/>
    </row>
    <row r="1210" spans="1:61" ht="21" customHeight="1" x14ac:dyDescent="0.25">
      <c r="A1210" s="10"/>
      <c r="B1210" s="10"/>
      <c r="E1210" s="10"/>
      <c r="G1210" s="10"/>
      <c r="I1210" s="436" t="s">
        <v>666</v>
      </c>
      <c r="J1210" s="26" t="s">
        <v>665</v>
      </c>
      <c r="K1210" s="10">
        <v>57</v>
      </c>
      <c r="L1210" s="73">
        <f>IF(Tank1!$C$23="No control",(SUMIF(Tank1!$B$32:$B$49,$J1210,Tank1!$C$32:$C$49)*Impacts!$F$8),0)</f>
        <v>0</v>
      </c>
      <c r="M1210" s="10">
        <f>IF(Tank2!$C$23="No control",(SUMIF(Tank2!$B$32:$B$49,$J1210,Tank2!$C$32:$C$49)*Impacts!$F$9),0)</f>
        <v>0</v>
      </c>
      <c r="N1210" s="10">
        <f>IF(Tank3!$C$23="No control",(SUMIF(Tank3!$B$32:$B$49,$J1210,Tank3!$C$32:$C$49)*Impacts!$F$10),0)</f>
        <v>0</v>
      </c>
      <c r="O1210" s="10">
        <f>IF(Tank4!$C$23="No control",(SUMIF(Tank4!$B$32:$B$49,$J1210,Tank4!$C$32:$C$49)*Impacts!$F$11),0)</f>
        <v>0</v>
      </c>
      <c r="P1210" s="10">
        <f>IF(Tank5!$C$23="No control",(SUMIF(Tank5!$B$32:$B$49,$J1210,Tank5!$C$32:$C$49)*Impacts!$F$12),0)</f>
        <v>0</v>
      </c>
      <c r="Q1210" s="10">
        <f>IFERROR(IF(('Loading-drum,tote'!$C$21)="No control",SUMIF(('Loading-drum,tote'!$B$31:$B$48),$J1210,('Loading-drum,tote'!$D$31:$D$48))*Impacts!$F$13,IF(('Loading-drum,tote'!$C$21)&lt;&gt;"No control",SUMIF(('Loading-drum,tote'!$B$31:$B$48),$J1210,('Loading-drum,tote'!$E$31:$E$48))*Impacts!$F$13,0)),0)</f>
        <v>0</v>
      </c>
      <c r="R1210" s="10">
        <f>IFERROR(IF(('Loading-truck'!$C$21)="No control",SUMIF(('Loading-truck'!$B$31:$B$48),$J1210,('Loading-truck'!$D$31:$D$48))*Impacts!$F$14,IF(('Loading-truck'!$C$21)&lt;&gt;"No control",SUMIF(('Loading-truck'!$B$31:$B$48),$J1210,('Loading-truck'!$E$31:$E$48))*Impacts!$F$14,0)),0)</f>
        <v>0</v>
      </c>
      <c r="S1210" s="10">
        <f>IFERROR(IF(('Loading-rail'!$C$21)="No control",SUMIF(('Loading-rail'!$B$31:$B$48),$J1210,('Loading-rail'!$D$31:$D$48))*Impacts!$F$15,IF(('Loading-rail'!$C$21)&lt;&gt;"No control",SUMIF(('Loading-rail'!$B$31:$B$48),$J1210,('Loading-rail'!$E$31:$E$48))*Impacts!$F$15,0)),0)</f>
        <v>0</v>
      </c>
      <c r="T1210" s="10">
        <f>IF(Flare!$C$7="",0,(SUMIF(Flare!$B$46:$B$185,$J1210,Flare!$E$46:$E$185)*Impacts!$F$16))</f>
        <v>0</v>
      </c>
      <c r="U1210" s="10">
        <f>IF(VCU!$C$9="",0,(SUMIF(VCU!$B$51:$B$193,$J1210,VCU!$E$51:$E$193)*Impacts!$F$17))</f>
        <v>0</v>
      </c>
      <c r="V1210" s="10">
        <f>IF(CAS!$C$7="",0,(SUMIF(CAS!$B$31:$B$167,$J1210,CAS!$E$31:$E$167)*Impacts!$F$18))</f>
        <v>0</v>
      </c>
      <c r="W1210" s="10">
        <f t="shared" si="60"/>
        <v>0</v>
      </c>
      <c r="AK1210" s="10" t="str">
        <f t="array" ref="AK1210">IFERROR(INDEX(SelectedSpecies,SMALL(IF(SelectedSpecies=AK$1,ROW(SelectedSpecies)),ROW(1211:1211)),2),"")</f>
        <v/>
      </c>
      <c r="BE1210" s="10"/>
      <c r="BI1210" s="10"/>
    </row>
    <row r="1211" spans="1:61" ht="21" customHeight="1" x14ac:dyDescent="0.25">
      <c r="A1211" s="10"/>
      <c r="B1211" s="10"/>
      <c r="E1211" s="10"/>
      <c r="G1211" s="10"/>
      <c r="I1211" s="436" t="s">
        <v>668</v>
      </c>
      <c r="J1211" s="26" t="s">
        <v>667</v>
      </c>
      <c r="K1211" s="10">
        <v>57</v>
      </c>
      <c r="L1211" s="73">
        <f>IF(Tank1!$C$23="No control",(SUMIF(Tank1!$B$32:$B$49,$J1211,Tank1!$C$32:$C$49)*Impacts!$F$8),0)</f>
        <v>0</v>
      </c>
      <c r="M1211" s="10">
        <f>IF(Tank2!$C$23="No control",(SUMIF(Tank2!$B$32:$B$49,$J1211,Tank2!$C$32:$C$49)*Impacts!$F$9),0)</f>
        <v>0</v>
      </c>
      <c r="N1211" s="10">
        <f>IF(Tank3!$C$23="No control",(SUMIF(Tank3!$B$32:$B$49,$J1211,Tank3!$C$32:$C$49)*Impacts!$F$10),0)</f>
        <v>0</v>
      </c>
      <c r="O1211" s="10">
        <f>IF(Tank4!$C$23="No control",(SUMIF(Tank4!$B$32:$B$49,$J1211,Tank4!$C$32:$C$49)*Impacts!$F$11),0)</f>
        <v>0</v>
      </c>
      <c r="P1211" s="10">
        <f>IF(Tank5!$C$23="No control",(SUMIF(Tank5!$B$32:$B$49,$J1211,Tank5!$C$32:$C$49)*Impacts!$F$12),0)</f>
        <v>0</v>
      </c>
      <c r="Q1211" s="10">
        <f>IFERROR(IF(('Loading-drum,tote'!$C$21)="No control",SUMIF(('Loading-drum,tote'!$B$31:$B$48),$J1211,('Loading-drum,tote'!$D$31:$D$48))*Impacts!$F$13,IF(('Loading-drum,tote'!$C$21)&lt;&gt;"No control",SUMIF(('Loading-drum,tote'!$B$31:$B$48),$J1211,('Loading-drum,tote'!$E$31:$E$48))*Impacts!$F$13,0)),0)</f>
        <v>0</v>
      </c>
      <c r="R1211" s="10">
        <f>IFERROR(IF(('Loading-truck'!$C$21)="No control",SUMIF(('Loading-truck'!$B$31:$B$48),$J1211,('Loading-truck'!$D$31:$D$48))*Impacts!$F$14,IF(('Loading-truck'!$C$21)&lt;&gt;"No control",SUMIF(('Loading-truck'!$B$31:$B$48),$J1211,('Loading-truck'!$E$31:$E$48))*Impacts!$F$14,0)),0)</f>
        <v>0</v>
      </c>
      <c r="S1211" s="10">
        <f>IFERROR(IF(('Loading-rail'!$C$21)="No control",SUMIF(('Loading-rail'!$B$31:$B$48),$J1211,('Loading-rail'!$D$31:$D$48))*Impacts!$F$15,IF(('Loading-rail'!$C$21)&lt;&gt;"No control",SUMIF(('Loading-rail'!$B$31:$B$48),$J1211,('Loading-rail'!$E$31:$E$48))*Impacts!$F$15,0)),0)</f>
        <v>0</v>
      </c>
      <c r="T1211" s="10">
        <f>IF(Flare!$C$7="",0,(SUMIF(Flare!$B$46:$B$185,$J1211,Flare!$E$46:$E$185)*Impacts!$F$16))</f>
        <v>0</v>
      </c>
      <c r="U1211" s="10">
        <f>IF(VCU!$C$9="",0,(SUMIF(VCU!$B$51:$B$193,$J1211,VCU!$E$51:$E$193)*Impacts!$F$17))</f>
        <v>0</v>
      </c>
      <c r="V1211" s="10">
        <f>IF(CAS!$C$7="",0,(SUMIF(CAS!$B$31:$B$167,$J1211,CAS!$E$31:$E$167)*Impacts!$F$18))</f>
        <v>0</v>
      </c>
      <c r="W1211" s="10">
        <f t="shared" si="60"/>
        <v>0</v>
      </c>
      <c r="AK1211" s="10" t="str">
        <f t="array" ref="AK1211">IFERROR(INDEX(SelectedSpecies,SMALL(IF(SelectedSpecies=AK$1,ROW(SelectedSpecies)),ROW(1212:1212)),2),"")</f>
        <v/>
      </c>
      <c r="BE1211" s="10"/>
      <c r="BI1211" s="10"/>
    </row>
    <row r="1212" spans="1:61" ht="21" customHeight="1" x14ac:dyDescent="0.25">
      <c r="A1212" s="10"/>
      <c r="B1212" s="10"/>
      <c r="E1212" s="10"/>
      <c r="G1212" s="10"/>
      <c r="I1212" s="436" t="s">
        <v>7836</v>
      </c>
      <c r="J1212" s="26" t="s">
        <v>7835</v>
      </c>
      <c r="K1212" s="10">
        <v>6.9999999999999993E-2</v>
      </c>
      <c r="L1212" s="73">
        <f>IF(Tank1!$C$23="No control",(SUMIF(Tank1!$B$32:$B$49,$J1212,Tank1!$C$32:$C$49)*Impacts!$F$8),0)</f>
        <v>0</v>
      </c>
      <c r="M1212" s="10">
        <f>IF(Tank2!$C$23="No control",(SUMIF(Tank2!$B$32:$B$49,$J1212,Tank2!$C$32:$C$49)*Impacts!$F$9),0)</f>
        <v>0</v>
      </c>
      <c r="N1212" s="10">
        <f>IF(Tank3!$C$23="No control",(SUMIF(Tank3!$B$32:$B$49,$J1212,Tank3!$C$32:$C$49)*Impacts!$F$10),0)</f>
        <v>0</v>
      </c>
      <c r="O1212" s="10">
        <f>IF(Tank4!$C$23="No control",(SUMIF(Tank4!$B$32:$B$49,$J1212,Tank4!$C$32:$C$49)*Impacts!$F$11),0)</f>
        <v>0</v>
      </c>
      <c r="P1212" s="10">
        <f>IF(Tank5!$C$23="No control",(SUMIF(Tank5!$B$32:$B$49,$J1212,Tank5!$C$32:$C$49)*Impacts!$F$12),0)</f>
        <v>0</v>
      </c>
      <c r="Q1212" s="10">
        <f>IFERROR(IF(('Loading-drum,tote'!$C$21)="No control",SUMIF(('Loading-drum,tote'!$B$31:$B$48),$J1212,('Loading-drum,tote'!$D$31:$D$48))*Impacts!$F$13,IF(('Loading-drum,tote'!$C$21)&lt;&gt;"No control",SUMIF(('Loading-drum,tote'!$B$31:$B$48),$J1212,('Loading-drum,tote'!$E$31:$E$48))*Impacts!$F$13,0)),0)</f>
        <v>0</v>
      </c>
      <c r="R1212" s="10">
        <f>IFERROR(IF(('Loading-truck'!$C$21)="No control",SUMIF(('Loading-truck'!$B$31:$B$48),$J1212,('Loading-truck'!$D$31:$D$48))*Impacts!$F$14,IF(('Loading-truck'!$C$21)&lt;&gt;"No control",SUMIF(('Loading-truck'!$B$31:$B$48),$J1212,('Loading-truck'!$E$31:$E$48))*Impacts!$F$14,0)),0)</f>
        <v>0</v>
      </c>
      <c r="S1212" s="10">
        <f>IFERROR(IF(('Loading-rail'!$C$21)="No control",SUMIF(('Loading-rail'!$B$31:$B$48),$J1212,('Loading-rail'!$D$31:$D$48))*Impacts!$F$15,IF(('Loading-rail'!$C$21)&lt;&gt;"No control",SUMIF(('Loading-rail'!$B$31:$B$48),$J1212,('Loading-rail'!$E$31:$E$48))*Impacts!$F$15,0)),0)</f>
        <v>0</v>
      </c>
      <c r="T1212" s="10">
        <f>IF(Flare!$C$7="",0,(SUMIF(Flare!$B$46:$B$185,$J1212,Flare!$E$46:$E$185)*Impacts!$F$16))</f>
        <v>0</v>
      </c>
      <c r="U1212" s="10">
        <f>IF(VCU!$C$9="",0,(SUMIF(VCU!$B$51:$B$193,$J1212,VCU!$E$51:$E$193)*Impacts!$F$17))</f>
        <v>0</v>
      </c>
      <c r="V1212" s="10">
        <f>IF(CAS!$C$7="",0,(SUMIF(CAS!$B$31:$B$167,$J1212,CAS!$E$31:$E$167)*Impacts!$F$18))</f>
        <v>0</v>
      </c>
      <c r="W1212" s="10">
        <f t="shared" si="60"/>
        <v>0</v>
      </c>
      <c r="AK1212" s="10" t="str">
        <f t="array" ref="AK1212">IFERROR(INDEX(SelectedSpecies,SMALL(IF(SelectedSpecies=AK$1,ROW(SelectedSpecies)),ROW(1300:1300)),2),"")</f>
        <v/>
      </c>
      <c r="BE1212" s="10"/>
      <c r="BI1212" s="10"/>
    </row>
    <row r="1213" spans="1:61" ht="21" customHeight="1" x14ac:dyDescent="0.25">
      <c r="A1213" s="10"/>
      <c r="B1213" s="10"/>
      <c r="E1213" s="10"/>
      <c r="G1213" s="10"/>
      <c r="I1213" s="436" t="s">
        <v>3925</v>
      </c>
      <c r="J1213" s="26" t="s">
        <v>3924</v>
      </c>
      <c r="K1213" s="10">
        <v>6</v>
      </c>
      <c r="L1213" s="73"/>
      <c r="BE1213" s="10"/>
      <c r="BI1213" s="10"/>
    </row>
    <row r="1214" spans="1:61" ht="21" customHeight="1" x14ac:dyDescent="0.25">
      <c r="A1214" s="10"/>
      <c r="B1214" s="10"/>
      <c r="E1214" s="10"/>
      <c r="G1214" s="10"/>
      <c r="I1214" s="436" t="s">
        <v>6520</v>
      </c>
      <c r="J1214" s="26" t="s">
        <v>6519</v>
      </c>
      <c r="K1214" s="10">
        <v>0.70000000000000007</v>
      </c>
      <c r="L1214" s="73"/>
      <c r="BE1214" s="10"/>
      <c r="BI1214" s="10"/>
    </row>
    <row r="1215" spans="1:61" ht="21" customHeight="1" x14ac:dyDescent="0.25">
      <c r="A1215" s="10"/>
      <c r="B1215" s="10"/>
      <c r="E1215" s="10"/>
      <c r="G1215" s="10"/>
      <c r="I1215" s="436" t="s">
        <v>6628</v>
      </c>
      <c r="J1215" s="26" t="s">
        <v>6627</v>
      </c>
      <c r="K1215" s="10">
        <v>0.60000000000000009</v>
      </c>
      <c r="L1215" s="73"/>
      <c r="BE1215" s="10"/>
      <c r="BI1215" s="10"/>
    </row>
    <row r="1216" spans="1:61" ht="21" customHeight="1" x14ac:dyDescent="0.25">
      <c r="A1216" s="10"/>
      <c r="B1216" s="10"/>
      <c r="E1216" s="10"/>
      <c r="G1216" s="10"/>
      <c r="I1216" s="436" t="s">
        <v>2221</v>
      </c>
      <c r="J1216" s="26" t="s">
        <v>2220</v>
      </c>
      <c r="K1216" s="10">
        <v>13.3</v>
      </c>
      <c r="L1216" s="73"/>
      <c r="BE1216" s="10"/>
      <c r="BI1216" s="10"/>
    </row>
    <row r="1217" spans="1:61" ht="21" customHeight="1" x14ac:dyDescent="0.25">
      <c r="A1217" s="10"/>
      <c r="B1217" s="10"/>
      <c r="E1217" s="10"/>
      <c r="G1217" s="10"/>
      <c r="I1217" s="436" t="s">
        <v>5407</v>
      </c>
      <c r="J1217" s="26" t="s">
        <v>5406</v>
      </c>
      <c r="K1217" s="10">
        <v>1.4000000000000001</v>
      </c>
      <c r="L1217" s="73"/>
      <c r="BE1217" s="10"/>
      <c r="BI1217" s="10"/>
    </row>
    <row r="1218" spans="1:61" ht="21" customHeight="1" x14ac:dyDescent="0.25">
      <c r="A1218" s="10"/>
      <c r="B1218" s="10"/>
      <c r="E1218" s="10"/>
      <c r="G1218" s="10"/>
      <c r="I1218" s="436" t="s">
        <v>2111</v>
      </c>
      <c r="J1218" s="26" t="s">
        <v>2110</v>
      </c>
      <c r="K1218" s="10">
        <v>15</v>
      </c>
      <c r="L1218" s="73"/>
      <c r="BE1218" s="10"/>
      <c r="BI1218" s="10"/>
    </row>
    <row r="1219" spans="1:61" ht="21" customHeight="1" x14ac:dyDescent="0.25">
      <c r="A1219" s="10"/>
      <c r="B1219" s="10"/>
      <c r="E1219" s="10"/>
      <c r="G1219" s="10"/>
      <c r="I1219" s="436" t="s">
        <v>2113</v>
      </c>
      <c r="J1219" s="26" t="s">
        <v>2112</v>
      </c>
      <c r="K1219" s="10">
        <v>15</v>
      </c>
      <c r="L1219" s="73"/>
      <c r="BE1219" s="10"/>
      <c r="BI1219" s="10"/>
    </row>
    <row r="1220" spans="1:61" ht="21" customHeight="1" x14ac:dyDescent="0.25">
      <c r="A1220" s="10"/>
      <c r="B1220" s="10"/>
      <c r="E1220" s="10"/>
      <c r="G1220" s="10"/>
      <c r="I1220" s="436" t="s">
        <v>2771</v>
      </c>
      <c r="J1220" s="26" t="s">
        <v>2770</v>
      </c>
      <c r="K1220" s="10">
        <v>10</v>
      </c>
      <c r="L1220" s="73"/>
      <c r="BE1220" s="10"/>
      <c r="BI1220" s="10"/>
    </row>
    <row r="1221" spans="1:61" ht="21" customHeight="1" x14ac:dyDescent="0.25">
      <c r="A1221" s="10"/>
      <c r="B1221" s="10"/>
      <c r="E1221" s="10"/>
      <c r="G1221" s="10"/>
      <c r="I1221" s="436" t="s">
        <v>7638</v>
      </c>
      <c r="J1221" s="26" t="s">
        <v>7637</v>
      </c>
      <c r="K1221" s="10">
        <v>0.13</v>
      </c>
      <c r="L1221" s="73"/>
      <c r="BE1221" s="10"/>
      <c r="BI1221" s="10"/>
    </row>
    <row r="1222" spans="1:61" ht="21" customHeight="1" x14ac:dyDescent="0.25">
      <c r="A1222" s="10"/>
      <c r="B1222" s="10"/>
      <c r="E1222" s="10"/>
      <c r="G1222" s="10"/>
      <c r="I1222" s="436" t="s">
        <v>7358</v>
      </c>
      <c r="J1222" s="26" t="s">
        <v>7357</v>
      </c>
      <c r="K1222" s="10">
        <v>0.25</v>
      </c>
      <c r="L1222" s="73"/>
      <c r="BE1222" s="10"/>
      <c r="BI1222" s="10"/>
    </row>
    <row r="1223" spans="1:61" ht="21" customHeight="1" x14ac:dyDescent="0.25">
      <c r="A1223" s="10"/>
      <c r="B1223" s="10"/>
      <c r="E1223" s="10"/>
      <c r="G1223" s="10"/>
      <c r="I1223" s="436" t="s">
        <v>2773</v>
      </c>
      <c r="J1223" s="26" t="s">
        <v>2772</v>
      </c>
      <c r="K1223" s="10">
        <v>10</v>
      </c>
      <c r="L1223" s="73"/>
      <c r="BE1223" s="10"/>
      <c r="BI1223" s="10"/>
    </row>
    <row r="1224" spans="1:61" ht="21" customHeight="1" x14ac:dyDescent="0.25">
      <c r="A1224" s="10"/>
      <c r="B1224" s="10"/>
      <c r="E1224" s="10"/>
      <c r="G1224" s="10"/>
      <c r="I1224" s="436" t="s">
        <v>1008</v>
      </c>
      <c r="J1224" s="26" t="s">
        <v>1007</v>
      </c>
      <c r="K1224" s="10">
        <v>35</v>
      </c>
      <c r="L1224" s="73"/>
      <c r="BE1224" s="10"/>
      <c r="BI1224" s="10"/>
    </row>
    <row r="1225" spans="1:61" ht="21" customHeight="1" x14ac:dyDescent="0.25">
      <c r="A1225" s="10"/>
      <c r="B1225" s="10"/>
      <c r="E1225" s="10"/>
      <c r="G1225" s="10"/>
      <c r="I1225" s="436" t="s">
        <v>2115</v>
      </c>
      <c r="J1225" s="26" t="s">
        <v>2114</v>
      </c>
      <c r="K1225" s="10">
        <v>15</v>
      </c>
      <c r="L1225" s="73"/>
      <c r="BE1225" s="10"/>
      <c r="BI1225" s="10"/>
    </row>
    <row r="1226" spans="1:61" ht="21" customHeight="1" x14ac:dyDescent="0.25">
      <c r="A1226" s="10"/>
      <c r="B1226" s="10"/>
      <c r="E1226" s="10"/>
      <c r="G1226" s="10"/>
      <c r="I1226" s="436" t="s">
        <v>8142</v>
      </c>
      <c r="J1226" s="26" t="s">
        <v>8141</v>
      </c>
      <c r="K1226" s="10">
        <v>1.0000000000000002E-2</v>
      </c>
      <c r="L1226" s="73"/>
      <c r="BE1226" s="10"/>
      <c r="BI1226" s="10"/>
    </row>
    <row r="1227" spans="1:61" ht="21" customHeight="1" x14ac:dyDescent="0.25">
      <c r="A1227" s="10"/>
      <c r="B1227" s="10"/>
      <c r="E1227" s="10"/>
      <c r="G1227" s="10"/>
      <c r="I1227" s="436" t="s">
        <v>7716</v>
      </c>
      <c r="J1227" s="26" t="s">
        <v>7715</v>
      </c>
      <c r="K1227" s="10">
        <v>0.1</v>
      </c>
      <c r="L1227" s="73"/>
      <c r="BE1227" s="10"/>
      <c r="BI1227" s="10"/>
    </row>
    <row r="1228" spans="1:61" ht="21" customHeight="1" x14ac:dyDescent="0.25">
      <c r="A1228" s="10"/>
      <c r="B1228" s="10"/>
      <c r="E1228" s="10"/>
      <c r="G1228" s="10"/>
      <c r="I1228" s="436" t="s">
        <v>670</v>
      </c>
      <c r="J1228" s="26" t="s">
        <v>669</v>
      </c>
      <c r="K1228" s="10">
        <v>57</v>
      </c>
      <c r="L1228" s="73"/>
      <c r="BE1228" s="10"/>
      <c r="BI1228" s="10"/>
    </row>
    <row r="1229" spans="1:61" ht="21" customHeight="1" x14ac:dyDescent="0.25">
      <c r="A1229" s="10"/>
      <c r="B1229" s="10"/>
      <c r="E1229" s="10"/>
      <c r="G1229" s="10"/>
      <c r="I1229" s="436" t="s">
        <v>7718</v>
      </c>
      <c r="J1229" s="26" t="s">
        <v>7717</v>
      </c>
      <c r="K1229" s="10">
        <v>0.1</v>
      </c>
      <c r="L1229" s="73"/>
      <c r="BE1229" s="10"/>
      <c r="BI1229" s="10"/>
    </row>
    <row r="1230" spans="1:61" ht="21" customHeight="1" x14ac:dyDescent="0.25">
      <c r="A1230" s="10"/>
      <c r="B1230" s="10"/>
      <c r="E1230" s="10"/>
      <c r="G1230" s="10"/>
      <c r="I1230" s="436" t="s">
        <v>7476</v>
      </c>
      <c r="J1230" s="26" t="s">
        <v>7475</v>
      </c>
      <c r="K1230" s="10">
        <v>0.2</v>
      </c>
      <c r="L1230" s="73"/>
      <c r="BE1230" s="10"/>
      <c r="BI1230" s="10"/>
    </row>
    <row r="1231" spans="1:61" ht="21" customHeight="1" x14ac:dyDescent="0.25">
      <c r="A1231" s="10"/>
      <c r="B1231" s="10"/>
      <c r="E1231" s="10"/>
      <c r="G1231" s="10"/>
      <c r="I1231" s="436" t="s">
        <v>5810</v>
      </c>
      <c r="J1231" s="26" t="s">
        <v>5809</v>
      </c>
      <c r="K1231" s="10">
        <v>35</v>
      </c>
      <c r="L1231" s="73"/>
      <c r="BE1231" s="10"/>
      <c r="BI1231" s="10"/>
    </row>
    <row r="1232" spans="1:61" ht="21" customHeight="1" x14ac:dyDescent="0.25">
      <c r="A1232" s="10"/>
      <c r="B1232" s="10"/>
      <c r="E1232" s="10"/>
      <c r="G1232" s="10"/>
      <c r="I1232" s="436" t="s">
        <v>2245</v>
      </c>
      <c r="J1232" s="26" t="s">
        <v>2244</v>
      </c>
      <c r="K1232" s="10">
        <v>12.5</v>
      </c>
      <c r="L1232" s="73"/>
      <c r="BE1232" s="10"/>
      <c r="BI1232" s="10"/>
    </row>
    <row r="1233" spans="1:61" ht="21" customHeight="1" x14ac:dyDescent="0.25">
      <c r="A1233" s="10"/>
      <c r="B1233" s="10"/>
      <c r="E1233" s="10"/>
      <c r="G1233" s="10"/>
      <c r="I1233" s="436" t="s">
        <v>5081</v>
      </c>
      <c r="J1233" s="26" t="s">
        <v>5080</v>
      </c>
      <c r="K1233" s="10">
        <v>2.2000000000000002</v>
      </c>
      <c r="L1233" s="73"/>
      <c r="BE1233" s="10"/>
      <c r="BI1233" s="10"/>
    </row>
    <row r="1234" spans="1:61" ht="21" customHeight="1" x14ac:dyDescent="0.25">
      <c r="A1234" s="10"/>
      <c r="B1234" s="10"/>
      <c r="E1234" s="10"/>
      <c r="G1234" s="10"/>
      <c r="I1234" s="436" t="s">
        <v>7902</v>
      </c>
      <c r="J1234" s="26" t="s">
        <v>7901</v>
      </c>
      <c r="K1234" s="10">
        <v>0.05</v>
      </c>
      <c r="L1234" s="73"/>
      <c r="BE1234" s="10"/>
      <c r="BI1234" s="10"/>
    </row>
    <row r="1235" spans="1:61" ht="21" customHeight="1" x14ac:dyDescent="0.25">
      <c r="A1235" s="10"/>
      <c r="B1235" s="10"/>
      <c r="E1235" s="10"/>
      <c r="G1235" s="10"/>
      <c r="I1235" s="436" t="s">
        <v>7478</v>
      </c>
      <c r="J1235" s="26" t="s">
        <v>7477</v>
      </c>
      <c r="K1235" s="10">
        <v>0.2</v>
      </c>
      <c r="L1235" s="73"/>
      <c r="BE1235" s="10"/>
      <c r="BI1235" s="10"/>
    </row>
    <row r="1236" spans="1:61" ht="21" customHeight="1" x14ac:dyDescent="0.25">
      <c r="A1236" s="10"/>
      <c r="B1236" s="10"/>
      <c r="E1236" s="10"/>
      <c r="G1236" s="10"/>
      <c r="I1236" s="436" t="s">
        <v>8092</v>
      </c>
      <c r="J1236" s="26" t="s">
        <v>8091</v>
      </c>
      <c r="K1236" s="10">
        <v>1.1000000000000001E-2</v>
      </c>
      <c r="L1236" s="73"/>
      <c r="BE1236" s="10"/>
      <c r="BI1236" s="10"/>
    </row>
    <row r="1237" spans="1:61" ht="21" customHeight="1" x14ac:dyDescent="0.25">
      <c r="A1237" s="10"/>
      <c r="B1237" s="10"/>
      <c r="E1237" s="10"/>
      <c r="G1237" s="10"/>
      <c r="I1237" s="436" t="s">
        <v>5812</v>
      </c>
      <c r="J1237" s="26" t="s">
        <v>5811</v>
      </c>
      <c r="K1237" s="10">
        <v>1</v>
      </c>
      <c r="L1237" s="73"/>
      <c r="BE1237" s="10"/>
      <c r="BI1237" s="10"/>
    </row>
    <row r="1238" spans="1:61" ht="21" customHeight="1" x14ac:dyDescent="0.25">
      <c r="A1238" s="10"/>
      <c r="B1238" s="10"/>
      <c r="E1238" s="10"/>
      <c r="G1238" s="10"/>
      <c r="I1238" s="436" t="s">
        <v>5814</v>
      </c>
      <c r="J1238" s="26" t="s">
        <v>5813</v>
      </c>
      <c r="K1238" s="10">
        <v>1</v>
      </c>
      <c r="L1238" s="73"/>
      <c r="BE1238" s="10"/>
      <c r="BI1238" s="10"/>
    </row>
    <row r="1239" spans="1:61" ht="21" customHeight="1" x14ac:dyDescent="0.25">
      <c r="A1239" s="10"/>
      <c r="B1239" s="10"/>
      <c r="E1239" s="10"/>
      <c r="G1239" s="10"/>
      <c r="I1239" s="436" t="s">
        <v>5513</v>
      </c>
      <c r="J1239" s="26" t="s">
        <v>5512</v>
      </c>
      <c r="K1239" s="10">
        <v>1.25</v>
      </c>
      <c r="L1239" s="73"/>
      <c r="BE1239" s="10"/>
      <c r="BI1239" s="10"/>
    </row>
    <row r="1240" spans="1:61" ht="21" customHeight="1" x14ac:dyDescent="0.25">
      <c r="A1240" s="10"/>
      <c r="B1240" s="10"/>
      <c r="E1240" s="10"/>
      <c r="G1240" s="10"/>
      <c r="I1240" s="436" t="s">
        <v>1310</v>
      </c>
      <c r="J1240" s="26" t="s">
        <v>1309</v>
      </c>
      <c r="K1240" s="10">
        <v>33</v>
      </c>
      <c r="L1240" s="73"/>
      <c r="BE1240" s="10"/>
      <c r="BI1240" s="10"/>
    </row>
    <row r="1241" spans="1:61" ht="21" customHeight="1" x14ac:dyDescent="0.25">
      <c r="A1241" s="10"/>
      <c r="B1241" s="10"/>
      <c r="E1241" s="10"/>
      <c r="G1241" s="10"/>
      <c r="I1241" s="436" t="s">
        <v>672</v>
      </c>
      <c r="J1241" s="26" t="s">
        <v>671</v>
      </c>
      <c r="K1241" s="10">
        <v>57</v>
      </c>
      <c r="L1241" s="73"/>
      <c r="BE1241" s="10"/>
      <c r="BI1241" s="10"/>
    </row>
    <row r="1242" spans="1:61" ht="21" customHeight="1" x14ac:dyDescent="0.25">
      <c r="A1242" s="10"/>
      <c r="B1242" s="10"/>
      <c r="E1242" s="10"/>
      <c r="G1242" s="10"/>
      <c r="I1242" s="436" t="s">
        <v>674</v>
      </c>
      <c r="J1242" s="26" t="s">
        <v>673</v>
      </c>
      <c r="K1242" s="10">
        <v>57</v>
      </c>
      <c r="L1242" s="73"/>
      <c r="BE1242" s="10"/>
      <c r="BI1242" s="10"/>
    </row>
    <row r="1243" spans="1:61" ht="21" customHeight="1" x14ac:dyDescent="0.25">
      <c r="A1243" s="10"/>
      <c r="B1243" s="10"/>
      <c r="E1243" s="10"/>
      <c r="G1243" s="10"/>
      <c r="I1243" s="436" t="s">
        <v>676</v>
      </c>
      <c r="J1243" s="26" t="s">
        <v>675</v>
      </c>
      <c r="K1243" s="10">
        <v>57</v>
      </c>
      <c r="L1243" s="73"/>
      <c r="BE1243" s="10"/>
      <c r="BI1243" s="10"/>
    </row>
    <row r="1244" spans="1:61" ht="21" customHeight="1" x14ac:dyDescent="0.25">
      <c r="A1244" s="10"/>
      <c r="B1244" s="10"/>
      <c r="E1244" s="10"/>
      <c r="G1244" s="10"/>
      <c r="I1244" s="436" t="s">
        <v>6794</v>
      </c>
      <c r="J1244" s="26" t="s">
        <v>6793</v>
      </c>
      <c r="K1244" s="10">
        <v>0.5</v>
      </c>
      <c r="L1244" s="73"/>
      <c r="BE1244" s="10"/>
      <c r="BI1244" s="10"/>
    </row>
    <row r="1245" spans="1:61" ht="21" customHeight="1" x14ac:dyDescent="0.25">
      <c r="A1245" s="10"/>
      <c r="B1245" s="10"/>
      <c r="E1245" s="10"/>
      <c r="G1245" s="10"/>
      <c r="I1245" s="436" t="s">
        <v>485</v>
      </c>
      <c r="J1245" s="26" t="s">
        <v>484</v>
      </c>
      <c r="K1245" s="10">
        <v>102.30000000000001</v>
      </c>
      <c r="L1245" s="73"/>
      <c r="BE1245" s="10"/>
      <c r="BI1245" s="10"/>
    </row>
    <row r="1246" spans="1:61" ht="21" customHeight="1" x14ac:dyDescent="0.25">
      <c r="A1246" s="10"/>
      <c r="B1246" s="10"/>
      <c r="E1246" s="10"/>
      <c r="G1246" s="10"/>
      <c r="I1246" s="436" t="s">
        <v>2191</v>
      </c>
      <c r="J1246" s="26" t="s">
        <v>2190</v>
      </c>
      <c r="K1246" s="10">
        <v>14.5</v>
      </c>
      <c r="L1246" s="73"/>
      <c r="BE1246" s="10"/>
      <c r="BI1246" s="10"/>
    </row>
    <row r="1247" spans="1:61" ht="21" customHeight="1" x14ac:dyDescent="0.25">
      <c r="A1247" s="10"/>
      <c r="B1247" s="10"/>
      <c r="E1247" s="10"/>
      <c r="G1247" s="10"/>
      <c r="I1247" s="436" t="s">
        <v>678</v>
      </c>
      <c r="J1247" s="26" t="s">
        <v>677</v>
      </c>
      <c r="K1247" s="10">
        <v>57</v>
      </c>
      <c r="L1247" s="73"/>
      <c r="BE1247" s="10"/>
      <c r="BI1247" s="10"/>
    </row>
    <row r="1248" spans="1:61" ht="21" customHeight="1" x14ac:dyDescent="0.25">
      <c r="A1248" s="10"/>
      <c r="B1248" s="10"/>
      <c r="E1248" s="10"/>
      <c r="G1248" s="10"/>
      <c r="I1248" s="436" t="s">
        <v>966</v>
      </c>
      <c r="J1248" s="26" t="s">
        <v>965</v>
      </c>
      <c r="K1248" s="10">
        <v>37.5</v>
      </c>
      <c r="L1248" s="73"/>
      <c r="BE1248" s="10"/>
      <c r="BI1248" s="10"/>
    </row>
    <row r="1249" spans="1:61" ht="21" customHeight="1" x14ac:dyDescent="0.25">
      <c r="A1249" s="10"/>
      <c r="B1249" s="10"/>
      <c r="E1249" s="10"/>
      <c r="G1249" s="10"/>
      <c r="I1249" s="436" t="s">
        <v>8300</v>
      </c>
      <c r="J1249" s="26" t="s">
        <v>8299</v>
      </c>
      <c r="K1249" s="10">
        <v>1.2999999999999999E-3</v>
      </c>
      <c r="L1249" s="73"/>
      <c r="BE1249" s="10"/>
      <c r="BI1249" s="10"/>
    </row>
    <row r="1250" spans="1:61" ht="21" customHeight="1" x14ac:dyDescent="0.25">
      <c r="A1250" s="10"/>
      <c r="B1250" s="10"/>
      <c r="E1250" s="10"/>
      <c r="G1250" s="10"/>
      <c r="I1250" s="436" t="s">
        <v>6796</v>
      </c>
      <c r="J1250" s="26" t="s">
        <v>6795</v>
      </c>
      <c r="K1250" s="10">
        <v>0.5</v>
      </c>
      <c r="L1250" s="73"/>
      <c r="BE1250" s="10"/>
      <c r="BI1250" s="10"/>
    </row>
    <row r="1251" spans="1:61" ht="21" customHeight="1" x14ac:dyDescent="0.25">
      <c r="A1251" s="10"/>
      <c r="B1251" s="10"/>
      <c r="E1251" s="10"/>
      <c r="G1251" s="10"/>
      <c r="I1251" s="436" t="s">
        <v>5083</v>
      </c>
      <c r="J1251" s="26" t="s">
        <v>5082</v>
      </c>
      <c r="K1251" s="10">
        <v>2.2000000000000002</v>
      </c>
      <c r="L1251" s="73"/>
      <c r="BE1251" s="10"/>
      <c r="BI1251" s="10"/>
    </row>
    <row r="1252" spans="1:61" ht="21" customHeight="1" x14ac:dyDescent="0.25">
      <c r="A1252" s="10"/>
      <c r="B1252" s="10"/>
      <c r="E1252" s="10"/>
      <c r="G1252" s="10"/>
      <c r="I1252" s="436" t="s">
        <v>3711</v>
      </c>
      <c r="J1252" s="26" t="s">
        <v>3710</v>
      </c>
      <c r="K1252" s="10">
        <v>6.5</v>
      </c>
      <c r="L1252" s="73"/>
      <c r="BE1252" s="10"/>
      <c r="BI1252" s="10"/>
    </row>
    <row r="1253" spans="1:61" ht="21" customHeight="1" x14ac:dyDescent="0.25">
      <c r="A1253" s="10"/>
      <c r="B1253" s="10"/>
      <c r="E1253" s="10"/>
      <c r="G1253" s="10"/>
      <c r="I1253" s="436" t="s">
        <v>6430</v>
      </c>
      <c r="J1253" s="26" t="s">
        <v>6429</v>
      </c>
      <c r="K1253" s="10">
        <v>0.8</v>
      </c>
      <c r="L1253" s="73"/>
      <c r="BE1253" s="10"/>
      <c r="BI1253" s="10"/>
    </row>
    <row r="1254" spans="1:61" ht="21" customHeight="1" x14ac:dyDescent="0.25">
      <c r="A1254" s="10"/>
      <c r="B1254" s="10"/>
      <c r="E1254" s="10"/>
      <c r="G1254" s="10"/>
      <c r="I1254" s="436" t="s">
        <v>6992</v>
      </c>
      <c r="J1254" s="26" t="s">
        <v>6991</v>
      </c>
      <c r="K1254" s="10">
        <v>0.45999999999999996</v>
      </c>
      <c r="L1254" s="73"/>
      <c r="BE1254" s="10"/>
      <c r="BI1254" s="10"/>
    </row>
    <row r="1255" spans="1:61" ht="21" customHeight="1" x14ac:dyDescent="0.25">
      <c r="A1255" s="10"/>
      <c r="B1255" s="10"/>
      <c r="E1255" s="10"/>
      <c r="G1255" s="10"/>
      <c r="I1255" s="436" t="s">
        <v>5816</v>
      </c>
      <c r="J1255" s="26" t="s">
        <v>5815</v>
      </c>
      <c r="K1255" s="10">
        <v>1</v>
      </c>
      <c r="L1255" s="73"/>
      <c r="BE1255" s="10"/>
      <c r="BI1255" s="10"/>
    </row>
    <row r="1256" spans="1:61" ht="21" customHeight="1" x14ac:dyDescent="0.25">
      <c r="A1256" s="10"/>
      <c r="B1256" s="10"/>
      <c r="E1256" s="10"/>
      <c r="G1256" s="10"/>
      <c r="I1256" s="436" t="s">
        <v>4263</v>
      </c>
      <c r="J1256" s="26" t="s">
        <v>4262</v>
      </c>
      <c r="K1256" s="10">
        <v>5</v>
      </c>
      <c r="L1256" s="73"/>
      <c r="BE1256" s="10"/>
      <c r="BI1256" s="10"/>
    </row>
    <row r="1257" spans="1:61" ht="21" customHeight="1" x14ac:dyDescent="0.25">
      <c r="A1257" s="10"/>
      <c r="B1257" s="10"/>
      <c r="E1257" s="10"/>
      <c r="G1257" s="10"/>
      <c r="I1257" s="436" t="s">
        <v>6522</v>
      </c>
      <c r="J1257" s="26" t="s">
        <v>6521</v>
      </c>
      <c r="K1257" s="10">
        <v>0.70000000000000007</v>
      </c>
      <c r="L1257" s="73"/>
      <c r="BE1257" s="10"/>
      <c r="BI1257" s="10"/>
    </row>
    <row r="1258" spans="1:61" ht="21" customHeight="1" x14ac:dyDescent="0.25">
      <c r="A1258" s="10"/>
      <c r="B1258" s="10"/>
      <c r="E1258" s="10"/>
      <c r="G1258" s="10"/>
      <c r="I1258" s="436" t="s">
        <v>1955</v>
      </c>
      <c r="J1258" s="26" t="s">
        <v>1954</v>
      </c>
      <c r="K1258" s="10">
        <v>18</v>
      </c>
      <c r="L1258" s="73"/>
      <c r="BE1258" s="10"/>
      <c r="BI1258" s="10"/>
    </row>
    <row r="1259" spans="1:61" ht="21" customHeight="1" x14ac:dyDescent="0.25">
      <c r="A1259" s="10"/>
      <c r="B1259" s="10"/>
      <c r="E1259" s="10"/>
      <c r="G1259" s="10"/>
      <c r="I1259" s="436" t="s">
        <v>7480</v>
      </c>
      <c r="J1259" s="26" t="s">
        <v>7479</v>
      </c>
      <c r="K1259" s="10">
        <v>0.2</v>
      </c>
      <c r="L1259" s="73"/>
      <c r="BE1259" s="10"/>
      <c r="BI1259" s="10"/>
    </row>
    <row r="1260" spans="1:61" ht="21" customHeight="1" x14ac:dyDescent="0.25">
      <c r="A1260" s="10"/>
      <c r="B1260" s="10"/>
      <c r="E1260" s="10"/>
      <c r="G1260" s="10"/>
      <c r="I1260" s="436" t="s">
        <v>1312</v>
      </c>
      <c r="J1260" s="26" t="s">
        <v>1311</v>
      </c>
      <c r="K1260" s="10">
        <v>33</v>
      </c>
      <c r="L1260" s="73"/>
      <c r="BE1260" s="10"/>
      <c r="BI1260" s="10"/>
    </row>
    <row r="1261" spans="1:61" ht="21" customHeight="1" x14ac:dyDescent="0.25">
      <c r="A1261" s="10"/>
      <c r="B1261" s="10"/>
      <c r="E1261" s="10"/>
      <c r="G1261" s="10"/>
      <c r="I1261" s="436" t="s">
        <v>1314</v>
      </c>
      <c r="J1261" s="26" t="s">
        <v>1313</v>
      </c>
      <c r="K1261" s="10">
        <v>33</v>
      </c>
      <c r="L1261" s="73"/>
      <c r="BE1261" s="10"/>
      <c r="BI1261" s="10"/>
    </row>
    <row r="1262" spans="1:61" ht="21" customHeight="1" x14ac:dyDescent="0.25">
      <c r="A1262" s="10"/>
      <c r="B1262" s="10"/>
      <c r="E1262" s="10"/>
      <c r="G1262" s="10"/>
      <c r="I1262" s="436" t="s">
        <v>1316</v>
      </c>
      <c r="J1262" s="26" t="s">
        <v>1315</v>
      </c>
      <c r="K1262" s="10">
        <v>33</v>
      </c>
      <c r="L1262" s="73"/>
      <c r="BE1262" s="10"/>
      <c r="BI1262" s="10"/>
    </row>
    <row r="1263" spans="1:61" ht="21" customHeight="1" x14ac:dyDescent="0.25">
      <c r="A1263" s="10"/>
      <c r="B1263" s="10"/>
      <c r="E1263" s="10"/>
      <c r="G1263" s="10"/>
      <c r="I1263" s="436" t="s">
        <v>1318</v>
      </c>
      <c r="J1263" s="26" t="s">
        <v>1317</v>
      </c>
      <c r="K1263" s="10">
        <v>33</v>
      </c>
      <c r="L1263" s="73"/>
      <c r="BE1263" s="10"/>
      <c r="BI1263" s="10"/>
    </row>
    <row r="1264" spans="1:61" ht="21" customHeight="1" x14ac:dyDescent="0.25">
      <c r="A1264" s="10"/>
      <c r="B1264" s="10"/>
      <c r="E1264" s="10"/>
      <c r="G1264" s="10"/>
      <c r="I1264" s="436" t="s">
        <v>1320</v>
      </c>
      <c r="J1264" s="26" t="s">
        <v>1319</v>
      </c>
      <c r="K1264" s="10">
        <v>33</v>
      </c>
      <c r="L1264" s="73"/>
      <c r="BE1264" s="10"/>
      <c r="BI1264" s="10"/>
    </row>
    <row r="1265" spans="1:61" ht="21" customHeight="1" x14ac:dyDescent="0.25">
      <c r="A1265" s="10"/>
      <c r="B1265" s="10"/>
      <c r="E1265" s="10"/>
      <c r="G1265" s="10"/>
      <c r="I1265" s="436" t="s">
        <v>1322</v>
      </c>
      <c r="J1265" s="26" t="s">
        <v>1321</v>
      </c>
      <c r="K1265" s="10">
        <v>33</v>
      </c>
      <c r="L1265" s="73"/>
      <c r="BE1265" s="10"/>
      <c r="BI1265" s="10"/>
    </row>
    <row r="1266" spans="1:61" ht="21" customHeight="1" x14ac:dyDescent="0.25">
      <c r="A1266" s="10"/>
      <c r="B1266" s="10"/>
      <c r="E1266" s="10"/>
      <c r="G1266" s="10"/>
      <c r="I1266" s="436" t="s">
        <v>1324</v>
      </c>
      <c r="J1266" s="26" t="s">
        <v>1323</v>
      </c>
      <c r="K1266" s="10">
        <v>33</v>
      </c>
      <c r="L1266" s="73"/>
      <c r="BE1266" s="10"/>
      <c r="BI1266" s="10"/>
    </row>
    <row r="1267" spans="1:61" ht="21" customHeight="1" x14ac:dyDescent="0.25">
      <c r="A1267" s="10"/>
      <c r="B1267" s="10"/>
      <c r="E1267" s="10"/>
      <c r="G1267" s="10"/>
      <c r="I1267" s="436" t="s">
        <v>680</v>
      </c>
      <c r="J1267" s="26" t="s">
        <v>679</v>
      </c>
      <c r="K1267" s="10">
        <v>57</v>
      </c>
      <c r="L1267" s="73"/>
      <c r="BE1267" s="10"/>
      <c r="BI1267" s="10"/>
    </row>
    <row r="1268" spans="1:61" ht="21" customHeight="1" x14ac:dyDescent="0.25">
      <c r="A1268" s="10"/>
      <c r="B1268" s="10"/>
      <c r="E1268" s="10"/>
      <c r="G1268" s="10"/>
      <c r="I1268" s="436" t="s">
        <v>2775</v>
      </c>
      <c r="J1268" s="26" t="s">
        <v>2774</v>
      </c>
      <c r="K1268" s="10">
        <v>10</v>
      </c>
      <c r="L1268" s="73"/>
      <c r="BE1268" s="10"/>
      <c r="BI1268" s="10"/>
    </row>
    <row r="1269" spans="1:61" ht="21" customHeight="1" x14ac:dyDescent="0.25">
      <c r="A1269" s="10"/>
      <c r="B1269" s="10"/>
      <c r="E1269" s="10"/>
      <c r="G1269" s="10"/>
      <c r="I1269" s="436" t="s">
        <v>2777</v>
      </c>
      <c r="J1269" s="26" t="s">
        <v>2776</v>
      </c>
      <c r="K1269" s="10">
        <v>10</v>
      </c>
      <c r="L1269" s="73"/>
      <c r="BE1269" s="10"/>
      <c r="BI1269" s="10"/>
    </row>
    <row r="1270" spans="1:61" ht="21" customHeight="1" x14ac:dyDescent="0.25">
      <c r="A1270" s="10"/>
      <c r="B1270" s="10"/>
      <c r="E1270" s="10"/>
      <c r="G1270" s="10"/>
      <c r="I1270" s="436" t="s">
        <v>2459</v>
      </c>
      <c r="J1270" s="26" t="s">
        <v>2458</v>
      </c>
      <c r="K1270" s="10">
        <v>10</v>
      </c>
      <c r="L1270" s="73"/>
      <c r="BE1270" s="10"/>
      <c r="BI1270" s="10"/>
    </row>
    <row r="1271" spans="1:61" ht="21" customHeight="1" x14ac:dyDescent="0.25">
      <c r="A1271" s="10"/>
      <c r="B1271" s="10"/>
      <c r="E1271" s="10"/>
      <c r="G1271" s="10"/>
      <c r="I1271" s="436" t="s">
        <v>5409</v>
      </c>
      <c r="J1271" s="26" t="s">
        <v>5408</v>
      </c>
      <c r="K1271" s="10">
        <v>1.4000000000000001</v>
      </c>
      <c r="L1271" s="73"/>
      <c r="BE1271" s="10"/>
      <c r="BI1271" s="10"/>
    </row>
    <row r="1272" spans="1:61" ht="21" customHeight="1" x14ac:dyDescent="0.25">
      <c r="A1272" s="10"/>
      <c r="B1272" s="10"/>
      <c r="E1272" s="10"/>
      <c r="G1272" s="10"/>
      <c r="I1272" s="436" t="s">
        <v>682</v>
      </c>
      <c r="J1272" s="26" t="s">
        <v>681</v>
      </c>
      <c r="K1272" s="10">
        <v>57</v>
      </c>
      <c r="L1272" s="73"/>
      <c r="BE1272" s="10"/>
      <c r="BI1272" s="10"/>
    </row>
    <row r="1273" spans="1:61" ht="21" customHeight="1" x14ac:dyDescent="0.25">
      <c r="A1273" s="10"/>
      <c r="B1273" s="10"/>
      <c r="E1273" s="10"/>
      <c r="G1273" s="10"/>
      <c r="I1273" s="436" t="s">
        <v>7148</v>
      </c>
      <c r="J1273" s="26" t="s">
        <v>7147</v>
      </c>
      <c r="K1273" s="10">
        <v>0.35000000000000003</v>
      </c>
      <c r="L1273" s="73"/>
      <c r="BE1273" s="10"/>
      <c r="BI1273" s="10"/>
    </row>
    <row r="1274" spans="1:61" ht="21" customHeight="1" x14ac:dyDescent="0.25">
      <c r="A1274" s="10"/>
      <c r="B1274" s="10"/>
      <c r="E1274" s="10"/>
      <c r="G1274" s="10"/>
      <c r="I1274" s="436" t="s">
        <v>2203</v>
      </c>
      <c r="J1274" s="26" t="s">
        <v>2202</v>
      </c>
      <c r="K1274" s="10">
        <v>14</v>
      </c>
      <c r="L1274" s="73"/>
      <c r="BE1274" s="10"/>
      <c r="BI1274" s="10"/>
    </row>
    <row r="1275" spans="1:61" ht="21" customHeight="1" x14ac:dyDescent="0.25">
      <c r="A1275" s="10"/>
      <c r="B1275" s="10"/>
      <c r="E1275" s="10"/>
      <c r="G1275" s="10"/>
      <c r="I1275" s="436" t="s">
        <v>7812</v>
      </c>
      <c r="J1275" s="26" t="s">
        <v>7811</v>
      </c>
      <c r="K1275" s="10">
        <v>8.0000000000000016E-2</v>
      </c>
      <c r="L1275" s="73"/>
      <c r="BE1275" s="10"/>
      <c r="BI1275" s="10"/>
    </row>
    <row r="1276" spans="1:61" ht="21" customHeight="1" x14ac:dyDescent="0.25">
      <c r="A1276" s="10"/>
      <c r="B1276" s="10"/>
      <c r="E1276" s="10"/>
      <c r="G1276" s="10"/>
      <c r="I1276" s="436" t="s">
        <v>5818</v>
      </c>
      <c r="J1276" s="26" t="s">
        <v>5817</v>
      </c>
      <c r="K1276" s="10">
        <v>1</v>
      </c>
      <c r="L1276" s="73"/>
      <c r="BE1276" s="10"/>
      <c r="BI1276" s="10"/>
    </row>
    <row r="1277" spans="1:61" ht="21" customHeight="1" x14ac:dyDescent="0.25">
      <c r="A1277" s="10"/>
      <c r="B1277" s="10"/>
      <c r="E1277" s="10"/>
      <c r="G1277" s="10"/>
      <c r="I1277" s="436" t="s">
        <v>1492</v>
      </c>
      <c r="J1277" s="26" t="s">
        <v>1491</v>
      </c>
      <c r="K1277" s="10">
        <v>28.5</v>
      </c>
      <c r="L1277" s="73"/>
      <c r="BE1277" s="10"/>
      <c r="BI1277" s="10"/>
    </row>
    <row r="1278" spans="1:61" ht="21" customHeight="1" x14ac:dyDescent="0.25">
      <c r="A1278" s="10"/>
      <c r="B1278" s="10"/>
      <c r="E1278" s="10"/>
      <c r="G1278" s="10"/>
      <c r="I1278" s="436" t="s">
        <v>1010</v>
      </c>
      <c r="J1278" s="26" t="s">
        <v>1009</v>
      </c>
      <c r="K1278" s="10">
        <v>35</v>
      </c>
      <c r="L1278" s="73"/>
      <c r="BE1278" s="10"/>
      <c r="BI1278" s="10"/>
    </row>
    <row r="1279" spans="1:61" ht="21" customHeight="1" x14ac:dyDescent="0.25">
      <c r="A1279" s="10"/>
      <c r="B1279" s="10"/>
      <c r="E1279" s="10"/>
      <c r="G1279" s="10"/>
      <c r="I1279" s="436" t="s">
        <v>1012</v>
      </c>
      <c r="J1279" s="26" t="s">
        <v>1011</v>
      </c>
      <c r="K1279" s="10">
        <v>35</v>
      </c>
      <c r="L1279" s="73"/>
      <c r="BE1279" s="10"/>
      <c r="BI1279" s="10"/>
    </row>
    <row r="1280" spans="1:61" ht="21" customHeight="1" x14ac:dyDescent="0.25">
      <c r="A1280" s="10"/>
      <c r="B1280" s="10"/>
      <c r="E1280" s="10"/>
      <c r="G1280" s="10"/>
      <c r="I1280" s="436" t="s">
        <v>7482</v>
      </c>
      <c r="J1280" s="26" t="s">
        <v>7481</v>
      </c>
      <c r="K1280" s="10">
        <v>0.2</v>
      </c>
      <c r="L1280" s="73"/>
      <c r="BE1280" s="10"/>
      <c r="BI1280" s="10"/>
    </row>
    <row r="1281" spans="1:61" ht="21" customHeight="1" x14ac:dyDescent="0.25">
      <c r="A1281" s="10"/>
      <c r="B1281" s="10"/>
      <c r="E1281" s="10"/>
      <c r="G1281" s="10"/>
      <c r="I1281" s="436" t="s">
        <v>4675</v>
      </c>
      <c r="J1281" s="26" t="s">
        <v>4674</v>
      </c>
      <c r="K1281" s="10">
        <v>3.6</v>
      </c>
      <c r="L1281" s="73"/>
      <c r="BE1281" s="10"/>
      <c r="BI1281" s="10"/>
    </row>
    <row r="1282" spans="1:61" ht="21" customHeight="1" x14ac:dyDescent="0.25">
      <c r="A1282" s="10"/>
      <c r="B1282" s="10"/>
      <c r="E1282" s="10"/>
      <c r="G1282" s="10"/>
      <c r="I1282" s="436" t="s">
        <v>4553</v>
      </c>
      <c r="J1282" s="26" t="s">
        <v>4552</v>
      </c>
      <c r="K1282" s="10">
        <v>4</v>
      </c>
      <c r="L1282" s="73"/>
      <c r="BE1282" s="10"/>
      <c r="BI1282" s="10"/>
    </row>
    <row r="1283" spans="1:61" ht="21" customHeight="1" x14ac:dyDescent="0.25">
      <c r="A1283" s="10"/>
      <c r="B1283" s="10"/>
      <c r="E1283" s="10"/>
      <c r="G1283" s="10"/>
      <c r="I1283" s="436" t="s">
        <v>5411</v>
      </c>
      <c r="J1283" s="26" t="s">
        <v>5410</v>
      </c>
      <c r="K1283" s="10">
        <v>1.4000000000000001</v>
      </c>
      <c r="L1283" s="73"/>
      <c r="BE1283" s="10"/>
      <c r="BI1283" s="10"/>
    </row>
    <row r="1284" spans="1:61" ht="21" customHeight="1" x14ac:dyDescent="0.25">
      <c r="A1284" s="10"/>
      <c r="B1284" s="10"/>
      <c r="E1284" s="10"/>
      <c r="G1284" s="10"/>
      <c r="I1284" s="436" t="s">
        <v>1326</v>
      </c>
      <c r="J1284" s="26" t="s">
        <v>1325</v>
      </c>
      <c r="K1284" s="10">
        <v>33</v>
      </c>
      <c r="L1284" s="73"/>
      <c r="BE1284" s="10"/>
      <c r="BI1284" s="10"/>
    </row>
    <row r="1285" spans="1:61" ht="21" customHeight="1" x14ac:dyDescent="0.25">
      <c r="A1285" s="10"/>
      <c r="B1285" s="10"/>
      <c r="E1285" s="10"/>
      <c r="G1285" s="10"/>
      <c r="I1285" s="436" t="s">
        <v>1989</v>
      </c>
      <c r="J1285" s="26" t="s">
        <v>1988</v>
      </c>
      <c r="K1285" s="10">
        <v>17.5</v>
      </c>
      <c r="L1285" s="73"/>
      <c r="BE1285" s="10"/>
      <c r="BI1285" s="10"/>
    </row>
    <row r="1286" spans="1:61" ht="21" customHeight="1" x14ac:dyDescent="0.25">
      <c r="A1286" s="10"/>
      <c r="B1286" s="10"/>
      <c r="E1286" s="10"/>
      <c r="G1286" s="10"/>
      <c r="I1286" s="436" t="s">
        <v>3495</v>
      </c>
      <c r="J1286" s="26" t="s">
        <v>3494</v>
      </c>
      <c r="K1286" s="10">
        <v>9.2000000000000011</v>
      </c>
      <c r="L1286" s="73"/>
      <c r="BE1286" s="10"/>
      <c r="BI1286" s="10"/>
    </row>
    <row r="1287" spans="1:61" ht="21" customHeight="1" x14ac:dyDescent="0.25">
      <c r="A1287" s="10"/>
      <c r="B1287" s="10"/>
      <c r="E1287" s="10"/>
      <c r="G1287" s="10"/>
      <c r="I1287" s="436" t="s">
        <v>2305</v>
      </c>
      <c r="J1287" s="26" t="s">
        <v>2304</v>
      </c>
      <c r="K1287" s="10">
        <v>12</v>
      </c>
      <c r="L1287" s="73"/>
      <c r="BE1287" s="10"/>
      <c r="BI1287" s="10"/>
    </row>
    <row r="1288" spans="1:61" ht="21" customHeight="1" x14ac:dyDescent="0.25">
      <c r="A1288" s="10"/>
      <c r="B1288" s="10"/>
      <c r="E1288" s="10"/>
      <c r="G1288" s="10"/>
      <c r="I1288" s="436" t="s">
        <v>5820</v>
      </c>
      <c r="J1288" s="26" t="s">
        <v>5819</v>
      </c>
      <c r="K1288" s="10">
        <v>1</v>
      </c>
      <c r="L1288" s="73"/>
      <c r="BE1288" s="10"/>
      <c r="BI1288" s="10"/>
    </row>
    <row r="1289" spans="1:61" ht="21" customHeight="1" x14ac:dyDescent="0.25">
      <c r="A1289" s="10"/>
      <c r="B1289" s="10"/>
      <c r="E1289" s="10"/>
      <c r="G1289" s="10"/>
      <c r="I1289" s="436" t="s">
        <v>2779</v>
      </c>
      <c r="J1289" s="26" t="s">
        <v>2778</v>
      </c>
      <c r="K1289" s="10">
        <v>10</v>
      </c>
      <c r="L1289" s="73"/>
      <c r="BE1289" s="10"/>
      <c r="BI1289" s="10"/>
    </row>
    <row r="1290" spans="1:61" ht="21" customHeight="1" x14ac:dyDescent="0.25">
      <c r="A1290" s="10"/>
      <c r="B1290" s="10"/>
      <c r="E1290" s="10"/>
      <c r="G1290" s="10"/>
      <c r="I1290" s="436" t="s">
        <v>3669</v>
      </c>
      <c r="J1290" s="26" t="s">
        <v>3668</v>
      </c>
      <c r="K1290" s="10">
        <v>7</v>
      </c>
      <c r="L1290" s="73"/>
      <c r="BE1290" s="10"/>
      <c r="BI1290" s="10"/>
    </row>
    <row r="1291" spans="1:61" ht="21" customHeight="1" x14ac:dyDescent="0.25">
      <c r="A1291" s="10"/>
      <c r="B1291" s="10"/>
      <c r="E1291" s="10"/>
      <c r="G1291" s="10"/>
      <c r="I1291" s="436" t="s">
        <v>7578</v>
      </c>
      <c r="J1291" s="26" t="s">
        <v>7577</v>
      </c>
      <c r="K1291" s="10">
        <v>0.18000000000000002</v>
      </c>
      <c r="L1291" s="73"/>
      <c r="BE1291" s="10"/>
      <c r="BI1291" s="10"/>
    </row>
    <row r="1292" spans="1:61" ht="21" customHeight="1" x14ac:dyDescent="0.25">
      <c r="A1292" s="10"/>
      <c r="B1292" s="10"/>
      <c r="E1292" s="10"/>
      <c r="G1292" s="10"/>
      <c r="I1292" s="436" t="s">
        <v>8086</v>
      </c>
      <c r="J1292" s="26" t="s">
        <v>8085</v>
      </c>
      <c r="K1292" s="10">
        <v>1.4000000000000002E-2</v>
      </c>
      <c r="L1292" s="73"/>
      <c r="BE1292" s="10"/>
      <c r="BI1292" s="10"/>
    </row>
    <row r="1293" spans="1:61" ht="21" customHeight="1" x14ac:dyDescent="0.25">
      <c r="A1293" s="10"/>
      <c r="B1293" s="10"/>
      <c r="E1293" s="10"/>
      <c r="G1293" s="10"/>
      <c r="I1293" s="436" t="s">
        <v>5822</v>
      </c>
      <c r="J1293" s="26" t="s">
        <v>5821</v>
      </c>
      <c r="K1293" s="10">
        <v>1</v>
      </c>
      <c r="L1293" s="73"/>
      <c r="BE1293" s="10"/>
      <c r="BI1293" s="10"/>
    </row>
    <row r="1294" spans="1:61" ht="21" customHeight="1" x14ac:dyDescent="0.25">
      <c r="A1294" s="10"/>
      <c r="B1294" s="10"/>
      <c r="E1294" s="10"/>
      <c r="G1294" s="10"/>
      <c r="I1294" s="436" t="s">
        <v>4183</v>
      </c>
      <c r="J1294" s="26" t="s">
        <v>4182</v>
      </c>
      <c r="K1294" s="10">
        <v>5</v>
      </c>
      <c r="L1294" s="73"/>
      <c r="BE1294" s="10"/>
      <c r="BI1294" s="10"/>
    </row>
    <row r="1295" spans="1:61" ht="21" customHeight="1" x14ac:dyDescent="0.25">
      <c r="A1295" s="10"/>
      <c r="B1295" s="10"/>
      <c r="E1295" s="10"/>
      <c r="G1295" s="10"/>
      <c r="I1295" s="436" t="s">
        <v>8144</v>
      </c>
      <c r="J1295" s="26" t="s">
        <v>8143</v>
      </c>
      <c r="K1295" s="10">
        <v>1.0000000000000002E-2</v>
      </c>
      <c r="L1295" s="73"/>
      <c r="BE1295" s="10"/>
      <c r="BI1295" s="10"/>
    </row>
    <row r="1296" spans="1:61" ht="21" customHeight="1" x14ac:dyDescent="0.25">
      <c r="A1296" s="10"/>
      <c r="B1296" s="10"/>
      <c r="E1296" s="10"/>
      <c r="G1296" s="10"/>
      <c r="I1296" s="436" t="s">
        <v>5317</v>
      </c>
      <c r="J1296" s="26" t="s">
        <v>5316</v>
      </c>
      <c r="K1296" s="10">
        <v>1.7000000000000002</v>
      </c>
      <c r="L1296" s="73"/>
      <c r="BE1296" s="10"/>
      <c r="BI1296" s="10"/>
    </row>
    <row r="1297" spans="1:61" ht="21" customHeight="1" x14ac:dyDescent="0.25">
      <c r="A1297" s="10"/>
      <c r="B1297" s="10"/>
      <c r="E1297" s="10"/>
      <c r="G1297" s="10"/>
      <c r="I1297" s="436" t="s">
        <v>3791</v>
      </c>
      <c r="J1297" s="26" t="s">
        <v>3790</v>
      </c>
      <c r="K1297" s="10">
        <v>6</v>
      </c>
      <c r="L1297" s="73"/>
      <c r="BE1297" s="10"/>
      <c r="BI1297" s="10"/>
    </row>
    <row r="1298" spans="1:61" ht="21" customHeight="1" x14ac:dyDescent="0.25">
      <c r="A1298" s="10"/>
      <c r="B1298" s="10"/>
      <c r="E1298" s="10"/>
      <c r="G1298" s="10"/>
      <c r="I1298" s="436" t="s">
        <v>6798</v>
      </c>
      <c r="J1298" s="26" t="s">
        <v>6797</v>
      </c>
      <c r="K1298" s="10">
        <v>0.5</v>
      </c>
      <c r="L1298" s="73"/>
      <c r="BE1298" s="10"/>
      <c r="BI1298" s="10"/>
    </row>
    <row r="1299" spans="1:61" ht="21" customHeight="1" x14ac:dyDescent="0.25">
      <c r="A1299" s="10"/>
      <c r="B1299" s="10"/>
      <c r="E1299" s="10"/>
      <c r="G1299" s="10"/>
      <c r="I1299" s="436" t="s">
        <v>4813</v>
      </c>
      <c r="J1299" s="26" t="s">
        <v>4812</v>
      </c>
      <c r="K1299" s="10">
        <v>3</v>
      </c>
      <c r="L1299" s="73"/>
      <c r="BE1299" s="10"/>
      <c r="BI1299" s="10"/>
    </row>
    <row r="1300" spans="1:61" ht="21" customHeight="1" x14ac:dyDescent="0.25">
      <c r="A1300" s="10"/>
      <c r="B1300" s="10"/>
      <c r="E1300" s="10"/>
      <c r="G1300" s="10"/>
      <c r="I1300" s="436" t="s">
        <v>7050</v>
      </c>
      <c r="J1300" s="26" t="s">
        <v>7049</v>
      </c>
      <c r="K1300" s="10">
        <v>0.42000000000000004</v>
      </c>
      <c r="L1300" s="73">
        <f>IF(Tank1!$C$23="No control",(SUMIF(Tank1!$B$32:$B$49,$J1300,Tank1!$C$32:$C$49)*Impacts!$F$8),0)</f>
        <v>0</v>
      </c>
      <c r="M1300" s="10">
        <f>IF(Tank2!$C$23="No control",(SUMIF(Tank2!$B$32:$B$49,$J1300,Tank2!$C$32:$C$49)*Impacts!$F$9),0)</f>
        <v>0</v>
      </c>
      <c r="N1300" s="10">
        <f>IF(Tank3!$C$23="No control",(SUMIF(Tank3!$B$32:$B$49,$J1300,Tank3!$C$32:$C$49)*Impacts!$F$10),0)</f>
        <v>0</v>
      </c>
      <c r="O1300" s="10">
        <f>IF(Tank4!$C$23="No control",(SUMIF(Tank4!$B$32:$B$49,$J1300,Tank4!$C$32:$C$49)*Impacts!$F$11),0)</f>
        <v>0</v>
      </c>
      <c r="P1300" s="10">
        <f>IF(Tank5!$C$23="No control",(SUMIF(Tank5!$B$32:$B$49,$J1300,Tank5!$C$32:$C$49)*Impacts!$F$12),0)</f>
        <v>0</v>
      </c>
      <c r="Q1300" s="10">
        <f>IFERROR(IF(('Loading-drum,tote'!$C$21)="No control",SUMIF(('Loading-drum,tote'!$B$31:$B$48),$J1300,('Loading-drum,tote'!$D$31:$D$48))*Impacts!$F$13,IF(('Loading-drum,tote'!$C$21)&lt;&gt;"No control",SUMIF(('Loading-drum,tote'!$B$31:$B$48),$J1300,('Loading-drum,tote'!$E$31:$E$48))*Impacts!$F$13,0)),0)</f>
        <v>0</v>
      </c>
      <c r="R1300" s="10">
        <f>IFERROR(IF(('Loading-truck'!$C$21)="No control",SUMIF(('Loading-truck'!$B$31:$B$48),$J1300,('Loading-truck'!$D$31:$D$48))*Impacts!$F$14,IF(('Loading-truck'!$C$21)&lt;&gt;"No control",SUMIF(('Loading-truck'!$B$31:$B$48),$J1300,('Loading-truck'!$E$31:$E$48))*Impacts!$F$14,0)),0)</f>
        <v>0</v>
      </c>
      <c r="S1300" s="10">
        <f>IFERROR(IF(('Loading-rail'!$C$21)="No control",SUMIF(('Loading-rail'!$B$31:$B$48),$J1300,('Loading-rail'!$D$31:$D$48))*Impacts!$F$15,IF(('Loading-rail'!$C$21)&lt;&gt;"No control",SUMIF(('Loading-rail'!$B$31:$B$48),$J1300,('Loading-rail'!$E$31:$E$48))*Impacts!$F$15,0)),0)</f>
        <v>0</v>
      </c>
      <c r="T1300" s="10">
        <f>IF(Flare!$C$7="",0,(SUMIF(Flare!$B$46:$B$185,$J1300,Flare!$E$46:$E$185)*Impacts!$F$16))</f>
        <v>0</v>
      </c>
      <c r="U1300" s="10">
        <f>IF(VCU!$C$9="",0,(SUMIF(VCU!$B$51:$B$193,$J1300,VCU!$E$51:$E$193)*Impacts!$F$17))</f>
        <v>0</v>
      </c>
      <c r="V1300" s="10">
        <f>IF(CAS!$C$7="",0,(SUMIF(CAS!$B$31:$B$167,$J1300,CAS!$E$31:$E$167)*Impacts!$F$18))</f>
        <v>0</v>
      </c>
      <c r="W1300" s="10">
        <f t="shared" si="60"/>
        <v>0</v>
      </c>
      <c r="AK1300" s="10" t="str">
        <f t="array" ref="AK1300">IFERROR(INDEX(SelectedSpecies,SMALL(IF(SelectedSpecies=AK$1,ROW(SelectedSpecies)),ROW(1301:1301)),2),"")</f>
        <v/>
      </c>
      <c r="BE1300" s="10"/>
      <c r="BI1300" s="10"/>
    </row>
    <row r="1301" spans="1:61" ht="21" customHeight="1" x14ac:dyDescent="0.25">
      <c r="A1301" s="10"/>
      <c r="B1301" s="10"/>
      <c r="E1301" s="10"/>
      <c r="G1301" s="10"/>
      <c r="I1301" s="436" t="s">
        <v>1763</v>
      </c>
      <c r="J1301" s="26" t="s">
        <v>1762</v>
      </c>
      <c r="K1301" s="10">
        <v>23.400000000000002</v>
      </c>
      <c r="L1301" s="73">
        <f>IF(Tank1!$C$23="No control",(SUMIF(Tank1!$B$32:$B$49,$J1301,Tank1!$C$32:$C$49)*Impacts!$F$8),0)</f>
        <v>0</v>
      </c>
      <c r="M1301" s="10">
        <f>IF(Tank2!$C$23="No control",(SUMIF(Tank2!$B$32:$B$49,$J1301,Tank2!$C$32:$C$49)*Impacts!$F$9),0)</f>
        <v>0</v>
      </c>
      <c r="N1301" s="10">
        <f>IF(Tank3!$C$23="No control",(SUMIF(Tank3!$B$32:$B$49,$J1301,Tank3!$C$32:$C$49)*Impacts!$F$10),0)</f>
        <v>0</v>
      </c>
      <c r="O1301" s="10">
        <f>IF(Tank4!$C$23="No control",(SUMIF(Tank4!$B$32:$B$49,$J1301,Tank4!$C$32:$C$49)*Impacts!$F$11),0)</f>
        <v>0</v>
      </c>
      <c r="P1301" s="10">
        <f>IF(Tank5!$C$23="No control",(SUMIF(Tank5!$B$32:$B$49,$J1301,Tank5!$C$32:$C$49)*Impacts!$F$12),0)</f>
        <v>0</v>
      </c>
      <c r="Q1301" s="10">
        <f>IFERROR(IF(('Loading-drum,tote'!$C$21)="No control",SUMIF(('Loading-drum,tote'!$B$31:$B$48),$J1301,('Loading-drum,tote'!$D$31:$D$48))*Impacts!$F$13,IF(('Loading-drum,tote'!$C$21)&lt;&gt;"No control",SUMIF(('Loading-drum,tote'!$B$31:$B$48),$J1301,('Loading-drum,tote'!$E$31:$E$48))*Impacts!$F$13,0)),0)</f>
        <v>0</v>
      </c>
      <c r="R1301" s="10">
        <f>IFERROR(IF(('Loading-truck'!$C$21)="No control",SUMIF(('Loading-truck'!$B$31:$B$48),$J1301,('Loading-truck'!$D$31:$D$48))*Impacts!$F$14,IF(('Loading-truck'!$C$21)&lt;&gt;"No control",SUMIF(('Loading-truck'!$B$31:$B$48),$J1301,('Loading-truck'!$E$31:$E$48))*Impacts!$F$14,0)),0)</f>
        <v>0</v>
      </c>
      <c r="S1301" s="10">
        <f>IFERROR(IF(('Loading-rail'!$C$21)="No control",SUMIF(('Loading-rail'!$B$31:$B$48),$J1301,('Loading-rail'!$D$31:$D$48))*Impacts!$F$15,IF(('Loading-rail'!$C$21)&lt;&gt;"No control",SUMIF(('Loading-rail'!$B$31:$B$48),$J1301,('Loading-rail'!$E$31:$E$48))*Impacts!$F$15,0)),0)</f>
        <v>0</v>
      </c>
      <c r="T1301" s="10">
        <f>IF(Flare!$C$7="",0,(SUMIF(Flare!$B$46:$B$185,$J1301,Flare!$E$46:$E$185)*Impacts!$F$16))</f>
        <v>0</v>
      </c>
      <c r="U1301" s="10">
        <f>IF(VCU!$C$9="",0,(SUMIF(VCU!$B$51:$B$193,$J1301,VCU!$E$51:$E$193)*Impacts!$F$17))</f>
        <v>0</v>
      </c>
      <c r="V1301" s="10">
        <f>IF(CAS!$C$7="",0,(SUMIF(CAS!$B$31:$B$167,$J1301,CAS!$E$31:$E$167)*Impacts!$F$18))</f>
        <v>0</v>
      </c>
      <c r="W1301" s="10">
        <f t="shared" si="60"/>
        <v>0</v>
      </c>
      <c r="AK1301" s="10" t="str">
        <f t="array" ref="AK1301">IFERROR(INDEX(SelectedSpecies,SMALL(IF(SelectedSpecies=AK$1,ROW(SelectedSpecies)),ROW(1302:1302)),2),"")</f>
        <v/>
      </c>
      <c r="BE1301" s="10"/>
      <c r="BI1301" s="10"/>
    </row>
    <row r="1302" spans="1:61" ht="21" customHeight="1" x14ac:dyDescent="0.25">
      <c r="A1302" s="10"/>
      <c r="B1302" s="10"/>
      <c r="E1302" s="10"/>
      <c r="G1302" s="10"/>
      <c r="I1302" s="436" t="s">
        <v>1680</v>
      </c>
      <c r="J1302" s="26" t="s">
        <v>1679</v>
      </c>
      <c r="K1302" s="10">
        <v>24.5</v>
      </c>
      <c r="L1302" s="73">
        <f>IF(Tank1!$C$23="No control",(SUMIF(Tank1!$B$32:$B$49,$J1302,Tank1!$C$32:$C$49)*Impacts!$F$8),0)</f>
        <v>0</v>
      </c>
      <c r="M1302" s="10">
        <f>IF(Tank2!$C$23="No control",(SUMIF(Tank2!$B$32:$B$49,$J1302,Tank2!$C$32:$C$49)*Impacts!$F$9),0)</f>
        <v>0</v>
      </c>
      <c r="N1302" s="10">
        <f>IF(Tank3!$C$23="No control",(SUMIF(Tank3!$B$32:$B$49,$J1302,Tank3!$C$32:$C$49)*Impacts!$F$10),0)</f>
        <v>0</v>
      </c>
      <c r="O1302" s="10">
        <f>IF(Tank4!$C$23="No control",(SUMIF(Tank4!$B$32:$B$49,$J1302,Tank4!$C$32:$C$49)*Impacts!$F$11),0)</f>
        <v>0</v>
      </c>
      <c r="P1302" s="10">
        <f>IF(Tank5!$C$23="No control",(SUMIF(Tank5!$B$32:$B$49,$J1302,Tank5!$C$32:$C$49)*Impacts!$F$12),0)</f>
        <v>0</v>
      </c>
      <c r="Q1302" s="10">
        <f>IFERROR(IF(('Loading-drum,tote'!$C$21)="No control",SUMIF(('Loading-drum,tote'!$B$31:$B$48),$J1302,('Loading-drum,tote'!$D$31:$D$48))*Impacts!$F$13,IF(('Loading-drum,tote'!$C$21)&lt;&gt;"No control",SUMIF(('Loading-drum,tote'!$B$31:$B$48),$J1302,('Loading-drum,tote'!$E$31:$E$48))*Impacts!$F$13,0)),0)</f>
        <v>0</v>
      </c>
      <c r="R1302" s="10">
        <f>IFERROR(IF(('Loading-truck'!$C$21)="No control",SUMIF(('Loading-truck'!$B$31:$B$48),$J1302,('Loading-truck'!$D$31:$D$48))*Impacts!$F$14,IF(('Loading-truck'!$C$21)&lt;&gt;"No control",SUMIF(('Loading-truck'!$B$31:$B$48),$J1302,('Loading-truck'!$E$31:$E$48))*Impacts!$F$14,0)),0)</f>
        <v>0</v>
      </c>
      <c r="S1302" s="10">
        <f>IFERROR(IF(('Loading-rail'!$C$21)="No control",SUMIF(('Loading-rail'!$B$31:$B$48),$J1302,('Loading-rail'!$D$31:$D$48))*Impacts!$F$15,IF(('Loading-rail'!$C$21)&lt;&gt;"No control",SUMIF(('Loading-rail'!$B$31:$B$48),$J1302,('Loading-rail'!$E$31:$E$48))*Impacts!$F$15,0)),0)</f>
        <v>0</v>
      </c>
      <c r="T1302" s="10">
        <f>IF(Flare!$C$7="",0,(SUMIF(Flare!$B$46:$B$185,$J1302,Flare!$E$46:$E$185)*Impacts!$F$16))</f>
        <v>0</v>
      </c>
      <c r="U1302" s="10">
        <f>IF(VCU!$C$9="",0,(SUMIF(VCU!$B$51:$B$193,$J1302,VCU!$E$51:$E$193)*Impacts!$F$17))</f>
        <v>0</v>
      </c>
      <c r="V1302" s="10">
        <f>IF(CAS!$C$7="",0,(SUMIF(CAS!$B$31:$B$167,$J1302,CAS!$E$31:$E$167)*Impacts!$F$18))</f>
        <v>0</v>
      </c>
      <c r="W1302" s="10">
        <f t="shared" si="60"/>
        <v>0</v>
      </c>
      <c r="AK1302" s="10" t="str">
        <f t="array" ref="AK1302">IFERROR(INDEX(SelectedSpecies,SMALL(IF(SelectedSpecies=AK$1,ROW(SelectedSpecies)),ROW(1303:1303)),2),"")</f>
        <v/>
      </c>
      <c r="BE1302" s="10"/>
      <c r="BI1302" s="10"/>
    </row>
    <row r="1303" spans="1:61" ht="21" customHeight="1" x14ac:dyDescent="0.25">
      <c r="A1303" s="10"/>
      <c r="B1303" s="10"/>
      <c r="E1303" s="10"/>
      <c r="G1303" s="10"/>
      <c r="I1303" s="436" t="s">
        <v>1839</v>
      </c>
      <c r="J1303" s="26" t="s">
        <v>1838</v>
      </c>
      <c r="K1303" s="10">
        <v>20</v>
      </c>
      <c r="L1303" s="73">
        <f>IF(Tank1!$C$23="No control",(SUMIF(Tank1!$B$32:$B$49,$J1303,Tank1!$C$32:$C$49)*Impacts!$F$8),0)</f>
        <v>0</v>
      </c>
      <c r="M1303" s="10">
        <f>IF(Tank2!$C$23="No control",(SUMIF(Tank2!$B$32:$B$49,$J1303,Tank2!$C$32:$C$49)*Impacts!$F$9),0)</f>
        <v>0</v>
      </c>
      <c r="N1303" s="10">
        <f>IF(Tank3!$C$23="No control",(SUMIF(Tank3!$B$32:$B$49,$J1303,Tank3!$C$32:$C$49)*Impacts!$F$10),0)</f>
        <v>0</v>
      </c>
      <c r="O1303" s="10">
        <f>IF(Tank4!$C$23="No control",(SUMIF(Tank4!$B$32:$B$49,$J1303,Tank4!$C$32:$C$49)*Impacts!$F$11),0)</f>
        <v>0</v>
      </c>
      <c r="P1303" s="10">
        <f>IF(Tank5!$C$23="No control",(SUMIF(Tank5!$B$32:$B$49,$J1303,Tank5!$C$32:$C$49)*Impacts!$F$12),0)</f>
        <v>0</v>
      </c>
      <c r="Q1303" s="10">
        <f>IFERROR(IF(('Loading-drum,tote'!$C$21)="No control",SUMIF(('Loading-drum,tote'!$B$31:$B$48),$J1303,('Loading-drum,tote'!$D$31:$D$48))*Impacts!$F$13,IF(('Loading-drum,tote'!$C$21)&lt;&gt;"No control",SUMIF(('Loading-drum,tote'!$B$31:$B$48),$J1303,('Loading-drum,tote'!$E$31:$E$48))*Impacts!$F$13,0)),0)</f>
        <v>0</v>
      </c>
      <c r="R1303" s="10">
        <f>IFERROR(IF(('Loading-truck'!$C$21)="No control",SUMIF(('Loading-truck'!$B$31:$B$48),$J1303,('Loading-truck'!$D$31:$D$48))*Impacts!$F$14,IF(('Loading-truck'!$C$21)&lt;&gt;"No control",SUMIF(('Loading-truck'!$B$31:$B$48),$J1303,('Loading-truck'!$E$31:$E$48))*Impacts!$F$14,0)),0)</f>
        <v>0</v>
      </c>
      <c r="S1303" s="10">
        <f>IFERROR(IF(('Loading-rail'!$C$21)="No control",SUMIF(('Loading-rail'!$B$31:$B$48),$J1303,('Loading-rail'!$D$31:$D$48))*Impacts!$F$15,IF(('Loading-rail'!$C$21)&lt;&gt;"No control",SUMIF(('Loading-rail'!$B$31:$B$48),$J1303,('Loading-rail'!$E$31:$E$48))*Impacts!$F$15,0)),0)</f>
        <v>0</v>
      </c>
      <c r="T1303" s="10">
        <f>IF(Flare!$C$7="",0,(SUMIF(Flare!$B$46:$B$185,$J1303,Flare!$E$46:$E$185)*Impacts!$F$16))</f>
        <v>0</v>
      </c>
      <c r="U1303" s="10">
        <f>IF(VCU!$C$9="",0,(SUMIF(VCU!$B$51:$B$193,$J1303,VCU!$E$51:$E$193)*Impacts!$F$17))</f>
        <v>0</v>
      </c>
      <c r="V1303" s="10">
        <f>IF(CAS!$C$7="",0,(SUMIF(CAS!$B$31:$B$167,$J1303,CAS!$E$31:$E$167)*Impacts!$F$18))</f>
        <v>0</v>
      </c>
      <c r="W1303" s="10">
        <f t="shared" si="60"/>
        <v>0</v>
      </c>
      <c r="AK1303" s="10" t="str">
        <f t="array" ref="AK1303">IFERROR(INDEX(SelectedSpecies,SMALL(IF(SelectedSpecies=AK$1,ROW(SelectedSpecies)),ROW(1304:1304)),2),"")</f>
        <v/>
      </c>
      <c r="BE1303" s="10"/>
      <c r="BI1303" s="10"/>
    </row>
    <row r="1304" spans="1:61" ht="21" customHeight="1" x14ac:dyDescent="0.25">
      <c r="A1304" s="10"/>
      <c r="B1304" s="10"/>
      <c r="E1304" s="10"/>
      <c r="G1304" s="10"/>
      <c r="I1304" s="436" t="s">
        <v>6800</v>
      </c>
      <c r="J1304" s="26" t="s">
        <v>6799</v>
      </c>
      <c r="K1304" s="10">
        <v>0.5</v>
      </c>
      <c r="L1304" s="73">
        <f>IF(Tank1!$C$23="No control",(SUMIF(Tank1!$B$32:$B$49,$J1304,Tank1!$C$32:$C$49)*Impacts!$F$8),0)</f>
        <v>0</v>
      </c>
      <c r="M1304" s="10">
        <f>IF(Tank2!$C$23="No control",(SUMIF(Tank2!$B$32:$B$49,$J1304,Tank2!$C$32:$C$49)*Impacts!$F$9),0)</f>
        <v>0</v>
      </c>
      <c r="N1304" s="10">
        <f>IF(Tank3!$C$23="No control",(SUMIF(Tank3!$B$32:$B$49,$J1304,Tank3!$C$32:$C$49)*Impacts!$F$10),0)</f>
        <v>0</v>
      </c>
      <c r="O1304" s="10">
        <f>IF(Tank4!$C$23="No control",(SUMIF(Tank4!$B$32:$B$49,$J1304,Tank4!$C$32:$C$49)*Impacts!$F$11),0)</f>
        <v>0</v>
      </c>
      <c r="P1304" s="10">
        <f>IF(Tank5!$C$23="No control",(SUMIF(Tank5!$B$32:$B$49,$J1304,Tank5!$C$32:$C$49)*Impacts!$F$12),0)</f>
        <v>0</v>
      </c>
      <c r="Q1304" s="10">
        <f>IFERROR(IF(('Loading-drum,tote'!$C$21)="No control",SUMIF(('Loading-drum,tote'!$B$31:$B$48),$J1304,('Loading-drum,tote'!$D$31:$D$48))*Impacts!$F$13,IF(('Loading-drum,tote'!$C$21)&lt;&gt;"No control",SUMIF(('Loading-drum,tote'!$B$31:$B$48),$J1304,('Loading-drum,tote'!$E$31:$E$48))*Impacts!$F$13,0)),0)</f>
        <v>0</v>
      </c>
      <c r="R1304" s="10">
        <f>IFERROR(IF(('Loading-truck'!$C$21)="No control",SUMIF(('Loading-truck'!$B$31:$B$48),$J1304,('Loading-truck'!$D$31:$D$48))*Impacts!$F$14,IF(('Loading-truck'!$C$21)&lt;&gt;"No control",SUMIF(('Loading-truck'!$B$31:$B$48),$J1304,('Loading-truck'!$E$31:$E$48))*Impacts!$F$14,0)),0)</f>
        <v>0</v>
      </c>
      <c r="S1304" s="10">
        <f>IFERROR(IF(('Loading-rail'!$C$21)="No control",SUMIF(('Loading-rail'!$B$31:$B$48),$J1304,('Loading-rail'!$D$31:$D$48))*Impacts!$F$15,IF(('Loading-rail'!$C$21)&lt;&gt;"No control",SUMIF(('Loading-rail'!$B$31:$B$48),$J1304,('Loading-rail'!$E$31:$E$48))*Impacts!$F$15,0)),0)</f>
        <v>0</v>
      </c>
      <c r="T1304" s="10">
        <f>IF(Flare!$C$7="",0,(SUMIF(Flare!$B$46:$B$185,$J1304,Flare!$E$46:$E$185)*Impacts!$F$16))</f>
        <v>0</v>
      </c>
      <c r="U1304" s="10">
        <f>IF(VCU!$C$9="",0,(SUMIF(VCU!$B$51:$B$193,$J1304,VCU!$E$51:$E$193)*Impacts!$F$17))</f>
        <v>0</v>
      </c>
      <c r="V1304" s="10">
        <f>IF(CAS!$C$7="",0,(SUMIF(CAS!$B$31:$B$167,$J1304,CAS!$E$31:$E$167)*Impacts!$F$18))</f>
        <v>0</v>
      </c>
      <c r="W1304" s="10">
        <f t="shared" si="60"/>
        <v>0</v>
      </c>
      <c r="AK1304" s="10" t="str">
        <f t="array" ref="AK1304">IFERROR(INDEX(SelectedSpecies,SMALL(IF(SelectedSpecies=AK$1,ROW(SelectedSpecies)),ROW(1305:1305)),2),"")</f>
        <v/>
      </c>
      <c r="BE1304" s="10"/>
      <c r="BI1304" s="10"/>
    </row>
    <row r="1305" spans="1:61" ht="21" customHeight="1" x14ac:dyDescent="0.25">
      <c r="A1305" s="10"/>
      <c r="B1305" s="10"/>
      <c r="E1305" s="10"/>
      <c r="G1305" s="10"/>
      <c r="I1305" s="436" t="s">
        <v>8048</v>
      </c>
      <c r="J1305" s="26" t="s">
        <v>8047</v>
      </c>
      <c r="K1305" s="10">
        <v>2.0000000000000004E-2</v>
      </c>
      <c r="L1305" s="73">
        <f>IF(Tank1!$C$23="No control",(SUMIF(Tank1!$B$32:$B$49,$J1305,Tank1!$C$32:$C$49)*Impacts!$F$8),0)</f>
        <v>0</v>
      </c>
      <c r="M1305" s="10">
        <f>IF(Tank2!$C$23="No control",(SUMIF(Tank2!$B$32:$B$49,$J1305,Tank2!$C$32:$C$49)*Impacts!$F$9),0)</f>
        <v>0</v>
      </c>
      <c r="N1305" s="10">
        <f>IF(Tank3!$C$23="No control",(SUMIF(Tank3!$B$32:$B$49,$J1305,Tank3!$C$32:$C$49)*Impacts!$F$10),0)</f>
        <v>0</v>
      </c>
      <c r="O1305" s="10">
        <f>IF(Tank4!$C$23="No control",(SUMIF(Tank4!$B$32:$B$49,$J1305,Tank4!$C$32:$C$49)*Impacts!$F$11),0)</f>
        <v>0</v>
      </c>
      <c r="P1305" s="10">
        <f>IF(Tank5!$C$23="No control",(SUMIF(Tank5!$B$32:$B$49,$J1305,Tank5!$C$32:$C$49)*Impacts!$F$12),0)</f>
        <v>0</v>
      </c>
      <c r="Q1305" s="10">
        <f>IFERROR(IF(('Loading-drum,tote'!$C$21)="No control",SUMIF(('Loading-drum,tote'!$B$31:$B$48),$J1305,('Loading-drum,tote'!$D$31:$D$48))*Impacts!$F$13,IF(('Loading-drum,tote'!$C$21)&lt;&gt;"No control",SUMIF(('Loading-drum,tote'!$B$31:$B$48),$J1305,('Loading-drum,tote'!$E$31:$E$48))*Impacts!$F$13,0)),0)</f>
        <v>0</v>
      </c>
      <c r="R1305" s="10">
        <f>IFERROR(IF(('Loading-truck'!$C$21)="No control",SUMIF(('Loading-truck'!$B$31:$B$48),$J1305,('Loading-truck'!$D$31:$D$48))*Impacts!$F$14,IF(('Loading-truck'!$C$21)&lt;&gt;"No control",SUMIF(('Loading-truck'!$B$31:$B$48),$J1305,('Loading-truck'!$E$31:$E$48))*Impacts!$F$14,0)),0)</f>
        <v>0</v>
      </c>
      <c r="S1305" s="10">
        <f>IFERROR(IF(('Loading-rail'!$C$21)="No control",SUMIF(('Loading-rail'!$B$31:$B$48),$J1305,('Loading-rail'!$D$31:$D$48))*Impacts!$F$15,IF(('Loading-rail'!$C$21)&lt;&gt;"No control",SUMIF(('Loading-rail'!$B$31:$B$48),$J1305,('Loading-rail'!$E$31:$E$48))*Impacts!$F$15,0)),0)</f>
        <v>0</v>
      </c>
      <c r="T1305" s="10">
        <f>IF(Flare!$C$7="",0,(SUMIF(Flare!$B$46:$B$185,$J1305,Flare!$E$46:$E$185)*Impacts!$F$16))</f>
        <v>0</v>
      </c>
      <c r="U1305" s="10">
        <f>IF(VCU!$C$9="",0,(SUMIF(VCU!$B$51:$B$193,$J1305,VCU!$E$51:$E$193)*Impacts!$F$17))</f>
        <v>0</v>
      </c>
      <c r="V1305" s="10">
        <f>IF(CAS!$C$7="",0,(SUMIF(CAS!$B$31:$B$167,$J1305,CAS!$E$31:$E$167)*Impacts!$F$18))</f>
        <v>0</v>
      </c>
      <c r="W1305" s="10">
        <f t="shared" si="60"/>
        <v>0</v>
      </c>
      <c r="AK1305" s="10" t="str">
        <f t="array" ref="AK1305">IFERROR(INDEX(SelectedSpecies,SMALL(IF(SelectedSpecies=AK$1,ROW(SelectedSpecies)),ROW(1306:1306)),2),"")</f>
        <v/>
      </c>
      <c r="BE1305" s="10"/>
      <c r="BI1305" s="10"/>
    </row>
    <row r="1306" spans="1:61" ht="21" customHeight="1" x14ac:dyDescent="0.25">
      <c r="A1306" s="10"/>
      <c r="B1306" s="10"/>
      <c r="E1306" s="10"/>
      <c r="G1306" s="10"/>
      <c r="I1306" s="436" t="s">
        <v>586</v>
      </c>
      <c r="J1306" s="26" t="s">
        <v>585</v>
      </c>
      <c r="K1306" s="10">
        <v>82</v>
      </c>
      <c r="L1306" s="73">
        <f>IF(Tank1!$C$23="No control",(SUMIF(Tank1!$B$32:$B$49,$J1306,Tank1!$C$32:$C$49)*Impacts!$F$8),0)</f>
        <v>0</v>
      </c>
      <c r="M1306" s="10">
        <f>IF(Tank2!$C$23="No control",(SUMIF(Tank2!$B$32:$B$49,$J1306,Tank2!$C$32:$C$49)*Impacts!$F$9),0)</f>
        <v>0</v>
      </c>
      <c r="N1306" s="10">
        <f>IF(Tank3!$C$23="No control",(SUMIF(Tank3!$B$32:$B$49,$J1306,Tank3!$C$32:$C$49)*Impacts!$F$10),0)</f>
        <v>0</v>
      </c>
      <c r="O1306" s="10">
        <f>IF(Tank4!$C$23="No control",(SUMIF(Tank4!$B$32:$B$49,$J1306,Tank4!$C$32:$C$49)*Impacts!$F$11),0)</f>
        <v>0</v>
      </c>
      <c r="P1306" s="10">
        <f>IF(Tank5!$C$23="No control",(SUMIF(Tank5!$B$32:$B$49,$J1306,Tank5!$C$32:$C$49)*Impacts!$F$12),0)</f>
        <v>0</v>
      </c>
      <c r="Q1306" s="10">
        <f>IFERROR(IF(('Loading-drum,tote'!$C$21)="No control",SUMIF(('Loading-drum,tote'!$B$31:$B$48),$J1306,('Loading-drum,tote'!$D$31:$D$48))*Impacts!$F$13,IF(('Loading-drum,tote'!$C$21)&lt;&gt;"No control",SUMIF(('Loading-drum,tote'!$B$31:$B$48),$J1306,('Loading-drum,tote'!$E$31:$E$48))*Impacts!$F$13,0)),0)</f>
        <v>0</v>
      </c>
      <c r="R1306" s="10">
        <f>IFERROR(IF(('Loading-truck'!$C$21)="No control",SUMIF(('Loading-truck'!$B$31:$B$48),$J1306,('Loading-truck'!$D$31:$D$48))*Impacts!$F$14,IF(('Loading-truck'!$C$21)&lt;&gt;"No control",SUMIF(('Loading-truck'!$B$31:$B$48),$J1306,('Loading-truck'!$E$31:$E$48))*Impacts!$F$14,0)),0)</f>
        <v>0</v>
      </c>
      <c r="S1306" s="10">
        <f>IFERROR(IF(('Loading-rail'!$C$21)="No control",SUMIF(('Loading-rail'!$B$31:$B$48),$J1306,('Loading-rail'!$D$31:$D$48))*Impacts!$F$15,IF(('Loading-rail'!$C$21)&lt;&gt;"No control",SUMIF(('Loading-rail'!$B$31:$B$48),$J1306,('Loading-rail'!$E$31:$E$48))*Impacts!$F$15,0)),0)</f>
        <v>0</v>
      </c>
      <c r="T1306" s="10">
        <f>IF(Flare!$C$7="",0,(SUMIF(Flare!$B$46:$B$185,$J1306,Flare!$E$46:$E$185)*Impacts!$F$16))</f>
        <v>0</v>
      </c>
      <c r="U1306" s="10">
        <f>IF(VCU!$C$9="",0,(SUMIF(VCU!$B$51:$B$193,$J1306,VCU!$E$51:$E$193)*Impacts!$F$17))</f>
        <v>0</v>
      </c>
      <c r="V1306" s="10">
        <f>IF(CAS!$C$7="",0,(SUMIF(CAS!$B$31:$B$167,$J1306,CAS!$E$31:$E$167)*Impacts!$F$18))</f>
        <v>0</v>
      </c>
      <c r="W1306" s="10">
        <f t="shared" ref="W1306:W1369" si="61">SUM(L1306:V1306)</f>
        <v>0</v>
      </c>
      <c r="AK1306" s="10" t="str">
        <f t="array" ref="AK1306">IFERROR(INDEX(SelectedSpecies,SMALL(IF(SelectedSpecies=AK$1,ROW(SelectedSpecies)),ROW(1307:1307)),2),"")</f>
        <v/>
      </c>
      <c r="BE1306" s="10"/>
      <c r="BI1306" s="10"/>
    </row>
    <row r="1307" spans="1:61" ht="21" customHeight="1" x14ac:dyDescent="0.25">
      <c r="A1307" s="10"/>
      <c r="B1307" s="10"/>
      <c r="E1307" s="10"/>
      <c r="G1307" s="10"/>
      <c r="I1307" s="436" t="s">
        <v>5824</v>
      </c>
      <c r="J1307" s="26" t="s">
        <v>5823</v>
      </c>
      <c r="K1307" s="10">
        <v>1</v>
      </c>
      <c r="L1307" s="73">
        <f>IF(Tank1!$C$23="No control",(SUMIF(Tank1!$B$32:$B$49,$J1307,Tank1!$C$32:$C$49)*Impacts!$F$8),0)</f>
        <v>0</v>
      </c>
      <c r="M1307" s="10">
        <f>IF(Tank2!$C$23="No control",(SUMIF(Tank2!$B$32:$B$49,$J1307,Tank2!$C$32:$C$49)*Impacts!$F$9),0)</f>
        <v>0</v>
      </c>
      <c r="N1307" s="10">
        <f>IF(Tank3!$C$23="No control",(SUMIF(Tank3!$B$32:$B$49,$J1307,Tank3!$C$32:$C$49)*Impacts!$F$10),0)</f>
        <v>0</v>
      </c>
      <c r="O1307" s="10">
        <f>IF(Tank4!$C$23="No control",(SUMIF(Tank4!$B$32:$B$49,$J1307,Tank4!$C$32:$C$49)*Impacts!$F$11),0)</f>
        <v>0</v>
      </c>
      <c r="P1307" s="10">
        <f>IF(Tank5!$C$23="No control",(SUMIF(Tank5!$B$32:$B$49,$J1307,Tank5!$C$32:$C$49)*Impacts!$F$12),0)</f>
        <v>0</v>
      </c>
      <c r="Q1307" s="10">
        <f>IFERROR(IF(('Loading-drum,tote'!$C$21)="No control",SUMIF(('Loading-drum,tote'!$B$31:$B$48),$J1307,('Loading-drum,tote'!$D$31:$D$48))*Impacts!$F$13,IF(('Loading-drum,tote'!$C$21)&lt;&gt;"No control",SUMIF(('Loading-drum,tote'!$B$31:$B$48),$J1307,('Loading-drum,tote'!$E$31:$E$48))*Impacts!$F$13,0)),0)</f>
        <v>0</v>
      </c>
      <c r="R1307" s="10">
        <f>IFERROR(IF(('Loading-truck'!$C$21)="No control",SUMIF(('Loading-truck'!$B$31:$B$48),$J1307,('Loading-truck'!$D$31:$D$48))*Impacts!$F$14,IF(('Loading-truck'!$C$21)&lt;&gt;"No control",SUMIF(('Loading-truck'!$B$31:$B$48),$J1307,('Loading-truck'!$E$31:$E$48))*Impacts!$F$14,0)),0)</f>
        <v>0</v>
      </c>
      <c r="S1307" s="10">
        <f>IFERROR(IF(('Loading-rail'!$C$21)="No control",SUMIF(('Loading-rail'!$B$31:$B$48),$J1307,('Loading-rail'!$D$31:$D$48))*Impacts!$F$15,IF(('Loading-rail'!$C$21)&lt;&gt;"No control",SUMIF(('Loading-rail'!$B$31:$B$48),$J1307,('Loading-rail'!$E$31:$E$48))*Impacts!$F$15,0)),0)</f>
        <v>0</v>
      </c>
      <c r="T1307" s="10">
        <f>IF(Flare!$C$7="",0,(SUMIF(Flare!$B$46:$B$185,$J1307,Flare!$E$46:$E$185)*Impacts!$F$16))</f>
        <v>0</v>
      </c>
      <c r="U1307" s="10">
        <f>IF(VCU!$C$9="",0,(SUMIF(VCU!$B$51:$B$193,$J1307,VCU!$E$51:$E$193)*Impacts!$F$17))</f>
        <v>0</v>
      </c>
      <c r="V1307" s="10">
        <f>IF(CAS!$C$7="",0,(SUMIF(CAS!$B$31:$B$167,$J1307,CAS!$E$31:$E$167)*Impacts!$F$18))</f>
        <v>0</v>
      </c>
      <c r="W1307" s="10">
        <f t="shared" si="61"/>
        <v>0</v>
      </c>
      <c r="AK1307" s="10" t="str">
        <f t="array" ref="AK1307">IFERROR(INDEX(SelectedSpecies,SMALL(IF(SelectedSpecies=AK$1,ROW(SelectedSpecies)),ROW(1308:1308)),2),"")</f>
        <v/>
      </c>
      <c r="BE1307" s="10"/>
      <c r="BI1307" s="10"/>
    </row>
    <row r="1308" spans="1:61" ht="21" customHeight="1" x14ac:dyDescent="0.25">
      <c r="A1308" s="10"/>
      <c r="B1308" s="10"/>
      <c r="E1308" s="10"/>
      <c r="G1308" s="10"/>
      <c r="I1308" s="436" t="s">
        <v>4185</v>
      </c>
      <c r="J1308" s="26" t="s">
        <v>4184</v>
      </c>
      <c r="K1308" s="10">
        <v>5</v>
      </c>
      <c r="L1308" s="73">
        <f>IF(Tank1!$C$23="No control",(SUMIF(Tank1!$B$32:$B$49,$J1308,Tank1!$C$32:$C$49)*Impacts!$F$8),0)</f>
        <v>0</v>
      </c>
      <c r="M1308" s="10">
        <f>IF(Tank2!$C$23="No control",(SUMIF(Tank2!$B$32:$B$49,$J1308,Tank2!$C$32:$C$49)*Impacts!$F$9),0)</f>
        <v>0</v>
      </c>
      <c r="N1308" s="10">
        <f>IF(Tank3!$C$23="No control",(SUMIF(Tank3!$B$32:$B$49,$J1308,Tank3!$C$32:$C$49)*Impacts!$F$10),0)</f>
        <v>0</v>
      </c>
      <c r="O1308" s="10">
        <f>IF(Tank4!$C$23="No control",(SUMIF(Tank4!$B$32:$B$49,$J1308,Tank4!$C$32:$C$49)*Impacts!$F$11),0)</f>
        <v>0</v>
      </c>
      <c r="P1308" s="10">
        <f>IF(Tank5!$C$23="No control",(SUMIF(Tank5!$B$32:$B$49,$J1308,Tank5!$C$32:$C$49)*Impacts!$F$12),0)</f>
        <v>0</v>
      </c>
      <c r="Q1308" s="10">
        <f>IFERROR(IF(('Loading-drum,tote'!$C$21)="No control",SUMIF(('Loading-drum,tote'!$B$31:$B$48),$J1308,('Loading-drum,tote'!$D$31:$D$48))*Impacts!$F$13,IF(('Loading-drum,tote'!$C$21)&lt;&gt;"No control",SUMIF(('Loading-drum,tote'!$B$31:$B$48),$J1308,('Loading-drum,tote'!$E$31:$E$48))*Impacts!$F$13,0)),0)</f>
        <v>0</v>
      </c>
      <c r="R1308" s="10">
        <f>IFERROR(IF(('Loading-truck'!$C$21)="No control",SUMIF(('Loading-truck'!$B$31:$B$48),$J1308,('Loading-truck'!$D$31:$D$48))*Impacts!$F$14,IF(('Loading-truck'!$C$21)&lt;&gt;"No control",SUMIF(('Loading-truck'!$B$31:$B$48),$J1308,('Loading-truck'!$E$31:$E$48))*Impacts!$F$14,0)),0)</f>
        <v>0</v>
      </c>
      <c r="S1308" s="10">
        <f>IFERROR(IF(('Loading-rail'!$C$21)="No control",SUMIF(('Loading-rail'!$B$31:$B$48),$J1308,('Loading-rail'!$D$31:$D$48))*Impacts!$F$15,IF(('Loading-rail'!$C$21)&lt;&gt;"No control",SUMIF(('Loading-rail'!$B$31:$B$48),$J1308,('Loading-rail'!$E$31:$E$48))*Impacts!$F$15,0)),0)</f>
        <v>0</v>
      </c>
      <c r="T1308" s="10">
        <f>IF(Flare!$C$7="",0,(SUMIF(Flare!$B$46:$B$185,$J1308,Flare!$E$46:$E$185)*Impacts!$F$16))</f>
        <v>0</v>
      </c>
      <c r="U1308" s="10">
        <f>IF(VCU!$C$9="",0,(SUMIF(VCU!$B$51:$B$193,$J1308,VCU!$E$51:$E$193)*Impacts!$F$17))</f>
        <v>0</v>
      </c>
      <c r="V1308" s="10">
        <f>IF(CAS!$C$7="",0,(SUMIF(CAS!$B$31:$B$167,$J1308,CAS!$E$31:$E$167)*Impacts!$F$18))</f>
        <v>0</v>
      </c>
      <c r="W1308" s="10">
        <f t="shared" si="61"/>
        <v>0</v>
      </c>
      <c r="AK1308" s="10" t="str">
        <f t="array" ref="AK1308">IFERROR(INDEX(SelectedSpecies,SMALL(IF(SelectedSpecies=AK$1,ROW(SelectedSpecies)),ROW(1309:1309)),2),"")</f>
        <v/>
      </c>
      <c r="BE1308" s="10"/>
      <c r="BI1308" s="10"/>
    </row>
    <row r="1309" spans="1:61" ht="21" customHeight="1" x14ac:dyDescent="0.25">
      <c r="A1309" s="10"/>
      <c r="B1309" s="10"/>
      <c r="E1309" s="10"/>
      <c r="G1309" s="10"/>
      <c r="I1309" s="436" t="s">
        <v>2781</v>
      </c>
      <c r="J1309" s="26" t="s">
        <v>2780</v>
      </c>
      <c r="K1309" s="10">
        <v>10</v>
      </c>
      <c r="L1309" s="73">
        <f>IF(Tank1!$C$23="No control",(SUMIF(Tank1!$B$32:$B$49,$J1309,Tank1!$C$32:$C$49)*Impacts!$F$8),0)</f>
        <v>0</v>
      </c>
      <c r="M1309" s="10">
        <f>IF(Tank2!$C$23="No control",(SUMIF(Tank2!$B$32:$B$49,$J1309,Tank2!$C$32:$C$49)*Impacts!$F$9),0)</f>
        <v>0</v>
      </c>
      <c r="N1309" s="10">
        <f>IF(Tank3!$C$23="No control",(SUMIF(Tank3!$B$32:$B$49,$J1309,Tank3!$C$32:$C$49)*Impacts!$F$10),0)</f>
        <v>0</v>
      </c>
      <c r="O1309" s="10">
        <f>IF(Tank4!$C$23="No control",(SUMIF(Tank4!$B$32:$B$49,$J1309,Tank4!$C$32:$C$49)*Impacts!$F$11),0)</f>
        <v>0</v>
      </c>
      <c r="P1309" s="10">
        <f>IF(Tank5!$C$23="No control",(SUMIF(Tank5!$B$32:$B$49,$J1309,Tank5!$C$32:$C$49)*Impacts!$F$12),0)</f>
        <v>0</v>
      </c>
      <c r="Q1309" s="10">
        <f>IFERROR(IF(('Loading-drum,tote'!$C$21)="No control",SUMIF(('Loading-drum,tote'!$B$31:$B$48),$J1309,('Loading-drum,tote'!$D$31:$D$48))*Impacts!$F$13,IF(('Loading-drum,tote'!$C$21)&lt;&gt;"No control",SUMIF(('Loading-drum,tote'!$B$31:$B$48),$J1309,('Loading-drum,tote'!$E$31:$E$48))*Impacts!$F$13,0)),0)</f>
        <v>0</v>
      </c>
      <c r="R1309" s="10">
        <f>IFERROR(IF(('Loading-truck'!$C$21)="No control",SUMIF(('Loading-truck'!$B$31:$B$48),$J1309,('Loading-truck'!$D$31:$D$48))*Impacts!$F$14,IF(('Loading-truck'!$C$21)&lt;&gt;"No control",SUMIF(('Loading-truck'!$B$31:$B$48),$J1309,('Loading-truck'!$E$31:$E$48))*Impacts!$F$14,0)),0)</f>
        <v>0</v>
      </c>
      <c r="S1309" s="10">
        <f>IFERROR(IF(('Loading-rail'!$C$21)="No control",SUMIF(('Loading-rail'!$B$31:$B$48),$J1309,('Loading-rail'!$D$31:$D$48))*Impacts!$F$15,IF(('Loading-rail'!$C$21)&lt;&gt;"No control",SUMIF(('Loading-rail'!$B$31:$B$48),$J1309,('Loading-rail'!$E$31:$E$48))*Impacts!$F$15,0)),0)</f>
        <v>0</v>
      </c>
      <c r="T1309" s="10">
        <f>IF(Flare!$C$7="",0,(SUMIF(Flare!$B$46:$B$185,$J1309,Flare!$E$46:$E$185)*Impacts!$F$16))</f>
        <v>0</v>
      </c>
      <c r="U1309" s="10">
        <f>IF(VCU!$C$9="",0,(SUMIF(VCU!$B$51:$B$193,$J1309,VCU!$E$51:$E$193)*Impacts!$F$17))</f>
        <v>0</v>
      </c>
      <c r="V1309" s="10">
        <f>IF(CAS!$C$7="",0,(SUMIF(CAS!$B$31:$B$167,$J1309,CAS!$E$31:$E$167)*Impacts!$F$18))</f>
        <v>0</v>
      </c>
      <c r="W1309" s="10">
        <f t="shared" si="61"/>
        <v>0</v>
      </c>
      <c r="AK1309" s="10" t="str">
        <f t="array" ref="AK1309">IFERROR(INDEX(SelectedSpecies,SMALL(IF(SelectedSpecies=AK$1,ROW(SelectedSpecies)),ROW(1310:1310)),2),"")</f>
        <v/>
      </c>
      <c r="BE1309" s="10"/>
      <c r="BI1309" s="10"/>
    </row>
    <row r="1310" spans="1:61" ht="21" customHeight="1" x14ac:dyDescent="0.25">
      <c r="A1310" s="10"/>
      <c r="B1310" s="10"/>
      <c r="E1310" s="10"/>
      <c r="G1310" s="10"/>
      <c r="I1310" s="436" t="s">
        <v>1014</v>
      </c>
      <c r="J1310" s="26" t="s">
        <v>1013</v>
      </c>
      <c r="K1310" s="10">
        <v>35</v>
      </c>
      <c r="L1310" s="73">
        <f>IF(Tank1!$C$23="No control",(SUMIF(Tank1!$B$32:$B$49,$J1310,Tank1!$C$32:$C$49)*Impacts!$F$8),0)</f>
        <v>0</v>
      </c>
      <c r="M1310" s="10">
        <f>IF(Tank2!$C$23="No control",(SUMIF(Tank2!$B$32:$B$49,$J1310,Tank2!$C$32:$C$49)*Impacts!$F$9),0)</f>
        <v>0</v>
      </c>
      <c r="N1310" s="10">
        <f>IF(Tank3!$C$23="No control",(SUMIF(Tank3!$B$32:$B$49,$J1310,Tank3!$C$32:$C$49)*Impacts!$F$10),0)</f>
        <v>0</v>
      </c>
      <c r="O1310" s="10">
        <f>IF(Tank4!$C$23="No control",(SUMIF(Tank4!$B$32:$B$49,$J1310,Tank4!$C$32:$C$49)*Impacts!$F$11),0)</f>
        <v>0</v>
      </c>
      <c r="P1310" s="10">
        <f>IF(Tank5!$C$23="No control",(SUMIF(Tank5!$B$32:$B$49,$J1310,Tank5!$C$32:$C$49)*Impacts!$F$12),0)</f>
        <v>0</v>
      </c>
      <c r="Q1310" s="10">
        <f>IFERROR(IF(('Loading-drum,tote'!$C$21)="No control",SUMIF(('Loading-drum,tote'!$B$31:$B$48),$J1310,('Loading-drum,tote'!$D$31:$D$48))*Impacts!$F$13,IF(('Loading-drum,tote'!$C$21)&lt;&gt;"No control",SUMIF(('Loading-drum,tote'!$B$31:$B$48),$J1310,('Loading-drum,tote'!$E$31:$E$48))*Impacts!$F$13,0)),0)</f>
        <v>0</v>
      </c>
      <c r="R1310" s="10">
        <f>IFERROR(IF(('Loading-truck'!$C$21)="No control",SUMIF(('Loading-truck'!$B$31:$B$48),$J1310,('Loading-truck'!$D$31:$D$48))*Impacts!$F$14,IF(('Loading-truck'!$C$21)&lt;&gt;"No control",SUMIF(('Loading-truck'!$B$31:$B$48),$J1310,('Loading-truck'!$E$31:$E$48))*Impacts!$F$14,0)),0)</f>
        <v>0</v>
      </c>
      <c r="S1310" s="10">
        <f>IFERROR(IF(('Loading-rail'!$C$21)="No control",SUMIF(('Loading-rail'!$B$31:$B$48),$J1310,('Loading-rail'!$D$31:$D$48))*Impacts!$F$15,IF(('Loading-rail'!$C$21)&lt;&gt;"No control",SUMIF(('Loading-rail'!$B$31:$B$48),$J1310,('Loading-rail'!$E$31:$E$48))*Impacts!$F$15,0)),0)</f>
        <v>0</v>
      </c>
      <c r="T1310" s="10">
        <f>IF(Flare!$C$7="",0,(SUMIF(Flare!$B$46:$B$185,$J1310,Flare!$E$46:$E$185)*Impacts!$F$16))</f>
        <v>0</v>
      </c>
      <c r="U1310" s="10">
        <f>IF(VCU!$C$9="",0,(SUMIF(VCU!$B$51:$B$193,$J1310,VCU!$E$51:$E$193)*Impacts!$F$17))</f>
        <v>0</v>
      </c>
      <c r="V1310" s="10">
        <f>IF(CAS!$C$7="",0,(SUMIF(CAS!$B$31:$B$167,$J1310,CAS!$E$31:$E$167)*Impacts!$F$18))</f>
        <v>0</v>
      </c>
      <c r="W1310" s="10">
        <f t="shared" si="61"/>
        <v>0</v>
      </c>
      <c r="AK1310" s="10" t="str">
        <f t="array" ref="AK1310">IFERROR(INDEX(SelectedSpecies,SMALL(IF(SelectedSpecies=AK$1,ROW(SelectedSpecies)),ROW(1311:1311)),2),"")</f>
        <v/>
      </c>
      <c r="BE1310" s="10"/>
      <c r="BI1310" s="10"/>
    </row>
    <row r="1311" spans="1:61" ht="21" customHeight="1" x14ac:dyDescent="0.25">
      <c r="A1311" s="10"/>
      <c r="B1311" s="10"/>
      <c r="E1311" s="10"/>
      <c r="G1311" s="10"/>
      <c r="I1311" s="436" t="s">
        <v>4187</v>
      </c>
      <c r="J1311" s="26" t="s">
        <v>4186</v>
      </c>
      <c r="K1311" s="10">
        <v>5</v>
      </c>
      <c r="L1311" s="73">
        <f>IF(Tank1!$C$23="No control",(SUMIF(Tank1!$B$32:$B$49,$J1311,Tank1!$C$32:$C$49)*Impacts!$F$8),0)</f>
        <v>0</v>
      </c>
      <c r="M1311" s="10">
        <f>IF(Tank2!$C$23="No control",(SUMIF(Tank2!$B$32:$B$49,$J1311,Tank2!$C$32:$C$49)*Impacts!$F$9),0)</f>
        <v>0</v>
      </c>
      <c r="N1311" s="10">
        <f>IF(Tank3!$C$23="No control",(SUMIF(Tank3!$B$32:$B$49,$J1311,Tank3!$C$32:$C$49)*Impacts!$F$10),0)</f>
        <v>0</v>
      </c>
      <c r="O1311" s="10">
        <f>IF(Tank4!$C$23="No control",(SUMIF(Tank4!$B$32:$B$49,$J1311,Tank4!$C$32:$C$49)*Impacts!$F$11),0)</f>
        <v>0</v>
      </c>
      <c r="P1311" s="10">
        <f>IF(Tank5!$C$23="No control",(SUMIF(Tank5!$B$32:$B$49,$J1311,Tank5!$C$32:$C$49)*Impacts!$F$12),0)</f>
        <v>0</v>
      </c>
      <c r="Q1311" s="10">
        <f>IFERROR(IF(('Loading-drum,tote'!$C$21)="No control",SUMIF(('Loading-drum,tote'!$B$31:$B$48),$J1311,('Loading-drum,tote'!$D$31:$D$48))*Impacts!$F$13,IF(('Loading-drum,tote'!$C$21)&lt;&gt;"No control",SUMIF(('Loading-drum,tote'!$B$31:$B$48),$J1311,('Loading-drum,tote'!$E$31:$E$48))*Impacts!$F$13,0)),0)</f>
        <v>0</v>
      </c>
      <c r="R1311" s="10">
        <f>IFERROR(IF(('Loading-truck'!$C$21)="No control",SUMIF(('Loading-truck'!$B$31:$B$48),$J1311,('Loading-truck'!$D$31:$D$48))*Impacts!$F$14,IF(('Loading-truck'!$C$21)&lt;&gt;"No control",SUMIF(('Loading-truck'!$B$31:$B$48),$J1311,('Loading-truck'!$E$31:$E$48))*Impacts!$F$14,0)),0)</f>
        <v>0</v>
      </c>
      <c r="S1311" s="10">
        <f>IFERROR(IF(('Loading-rail'!$C$21)="No control",SUMIF(('Loading-rail'!$B$31:$B$48),$J1311,('Loading-rail'!$D$31:$D$48))*Impacts!$F$15,IF(('Loading-rail'!$C$21)&lt;&gt;"No control",SUMIF(('Loading-rail'!$B$31:$B$48),$J1311,('Loading-rail'!$E$31:$E$48))*Impacts!$F$15,0)),0)</f>
        <v>0</v>
      </c>
      <c r="T1311" s="10">
        <f>IF(Flare!$C$7="",0,(SUMIF(Flare!$B$46:$B$185,$J1311,Flare!$E$46:$E$185)*Impacts!$F$16))</f>
        <v>0</v>
      </c>
      <c r="U1311" s="10">
        <f>IF(VCU!$C$9="",0,(SUMIF(VCU!$B$51:$B$193,$J1311,VCU!$E$51:$E$193)*Impacts!$F$17))</f>
        <v>0</v>
      </c>
      <c r="V1311" s="10">
        <f>IF(CAS!$C$7="",0,(SUMIF(CAS!$B$31:$B$167,$J1311,CAS!$E$31:$E$167)*Impacts!$F$18))</f>
        <v>0</v>
      </c>
      <c r="W1311" s="10">
        <f t="shared" si="61"/>
        <v>0</v>
      </c>
      <c r="AK1311" s="10" t="str">
        <f t="array" ref="AK1311">IFERROR(INDEX(SelectedSpecies,SMALL(IF(SelectedSpecies=AK$1,ROW(SelectedSpecies)),ROW(1312:1312)),2),"")</f>
        <v/>
      </c>
      <c r="BE1311" s="10"/>
      <c r="BI1311" s="10"/>
    </row>
    <row r="1312" spans="1:61" ht="21" customHeight="1" x14ac:dyDescent="0.25">
      <c r="A1312" s="10"/>
      <c r="B1312" s="10"/>
      <c r="E1312" s="10"/>
      <c r="G1312" s="10"/>
      <c r="I1312" s="436" t="s">
        <v>588</v>
      </c>
      <c r="J1312" s="26" t="s">
        <v>587</v>
      </c>
      <c r="K1312" s="10">
        <v>82</v>
      </c>
      <c r="L1312" s="73">
        <f>IF(Tank1!$C$23="No control",(SUMIF(Tank1!$B$32:$B$49,$J1312,Tank1!$C$32:$C$49)*Impacts!$F$8),0)</f>
        <v>0</v>
      </c>
      <c r="M1312" s="10">
        <f>IF(Tank2!$C$23="No control",(SUMIF(Tank2!$B$32:$B$49,$J1312,Tank2!$C$32:$C$49)*Impacts!$F$9),0)</f>
        <v>0</v>
      </c>
      <c r="N1312" s="10">
        <f>IF(Tank3!$C$23="No control",(SUMIF(Tank3!$B$32:$B$49,$J1312,Tank3!$C$32:$C$49)*Impacts!$F$10),0)</f>
        <v>0</v>
      </c>
      <c r="O1312" s="10">
        <f>IF(Tank4!$C$23="No control",(SUMIF(Tank4!$B$32:$B$49,$J1312,Tank4!$C$32:$C$49)*Impacts!$F$11),0)</f>
        <v>0</v>
      </c>
      <c r="P1312" s="10">
        <f>IF(Tank5!$C$23="No control",(SUMIF(Tank5!$B$32:$B$49,$J1312,Tank5!$C$32:$C$49)*Impacts!$F$12),0)</f>
        <v>0</v>
      </c>
      <c r="Q1312" s="10">
        <f>IFERROR(IF(('Loading-drum,tote'!$C$21)="No control",SUMIF(('Loading-drum,tote'!$B$31:$B$48),$J1312,('Loading-drum,tote'!$D$31:$D$48))*Impacts!$F$13,IF(('Loading-drum,tote'!$C$21)&lt;&gt;"No control",SUMIF(('Loading-drum,tote'!$B$31:$B$48),$J1312,('Loading-drum,tote'!$E$31:$E$48))*Impacts!$F$13,0)),0)</f>
        <v>0</v>
      </c>
      <c r="R1312" s="10">
        <f>IFERROR(IF(('Loading-truck'!$C$21)="No control",SUMIF(('Loading-truck'!$B$31:$B$48),$J1312,('Loading-truck'!$D$31:$D$48))*Impacts!$F$14,IF(('Loading-truck'!$C$21)&lt;&gt;"No control",SUMIF(('Loading-truck'!$B$31:$B$48),$J1312,('Loading-truck'!$E$31:$E$48))*Impacts!$F$14,0)),0)</f>
        <v>0</v>
      </c>
      <c r="S1312" s="10">
        <f>IFERROR(IF(('Loading-rail'!$C$21)="No control",SUMIF(('Loading-rail'!$B$31:$B$48),$J1312,('Loading-rail'!$D$31:$D$48))*Impacts!$F$15,IF(('Loading-rail'!$C$21)&lt;&gt;"No control",SUMIF(('Loading-rail'!$B$31:$B$48),$J1312,('Loading-rail'!$E$31:$E$48))*Impacts!$F$15,0)),0)</f>
        <v>0</v>
      </c>
      <c r="T1312" s="10">
        <f>IF(Flare!$C$7="",0,(SUMIF(Flare!$B$46:$B$185,$J1312,Flare!$E$46:$E$185)*Impacts!$F$16))</f>
        <v>0</v>
      </c>
      <c r="U1312" s="10">
        <f>IF(VCU!$C$9="",0,(SUMIF(VCU!$B$51:$B$193,$J1312,VCU!$E$51:$E$193)*Impacts!$F$17))</f>
        <v>0</v>
      </c>
      <c r="V1312" s="10">
        <f>IF(CAS!$C$7="",0,(SUMIF(CAS!$B$31:$B$167,$J1312,CAS!$E$31:$E$167)*Impacts!$F$18))</f>
        <v>0</v>
      </c>
      <c r="W1312" s="10">
        <f t="shared" si="61"/>
        <v>0</v>
      </c>
      <c r="AK1312" s="10" t="str">
        <f t="array" ref="AK1312">IFERROR(INDEX(SelectedSpecies,SMALL(IF(SelectedSpecies=AK$1,ROW(SelectedSpecies)),ROW(1313:1313)),2),"")</f>
        <v/>
      </c>
      <c r="BE1312" s="10"/>
      <c r="BI1312" s="10"/>
    </row>
    <row r="1313" spans="1:61" ht="21" customHeight="1" x14ac:dyDescent="0.25">
      <c r="A1313" s="10"/>
      <c r="B1313" s="10"/>
      <c r="E1313" s="10"/>
      <c r="G1313" s="10"/>
      <c r="I1313" s="436" t="s">
        <v>6432</v>
      </c>
      <c r="J1313" s="26" t="s">
        <v>6431</v>
      </c>
      <c r="K1313" s="10">
        <v>0.8</v>
      </c>
      <c r="L1313" s="73">
        <f>IF(Tank1!$C$23="No control",(SUMIF(Tank1!$B$32:$B$49,$J1313,Tank1!$C$32:$C$49)*Impacts!$F$8),0)</f>
        <v>0</v>
      </c>
      <c r="M1313" s="10">
        <f>IF(Tank2!$C$23="No control",(SUMIF(Tank2!$B$32:$B$49,$J1313,Tank2!$C$32:$C$49)*Impacts!$F$9),0)</f>
        <v>0</v>
      </c>
      <c r="N1313" s="10">
        <f>IF(Tank3!$C$23="No control",(SUMIF(Tank3!$B$32:$B$49,$J1313,Tank3!$C$32:$C$49)*Impacts!$F$10),0)</f>
        <v>0</v>
      </c>
      <c r="O1313" s="10">
        <f>IF(Tank4!$C$23="No control",(SUMIF(Tank4!$B$32:$B$49,$J1313,Tank4!$C$32:$C$49)*Impacts!$F$11),0)</f>
        <v>0</v>
      </c>
      <c r="P1313" s="10">
        <f>IF(Tank5!$C$23="No control",(SUMIF(Tank5!$B$32:$B$49,$J1313,Tank5!$C$32:$C$49)*Impacts!$F$12),0)</f>
        <v>0</v>
      </c>
      <c r="Q1313" s="10">
        <f>IFERROR(IF(('Loading-drum,tote'!$C$21)="No control",SUMIF(('Loading-drum,tote'!$B$31:$B$48),$J1313,('Loading-drum,tote'!$D$31:$D$48))*Impacts!$F$13,IF(('Loading-drum,tote'!$C$21)&lt;&gt;"No control",SUMIF(('Loading-drum,tote'!$B$31:$B$48),$J1313,('Loading-drum,tote'!$E$31:$E$48))*Impacts!$F$13,0)),0)</f>
        <v>0</v>
      </c>
      <c r="R1313" s="10">
        <f>IFERROR(IF(('Loading-truck'!$C$21)="No control",SUMIF(('Loading-truck'!$B$31:$B$48),$J1313,('Loading-truck'!$D$31:$D$48))*Impacts!$F$14,IF(('Loading-truck'!$C$21)&lt;&gt;"No control",SUMIF(('Loading-truck'!$B$31:$B$48),$J1313,('Loading-truck'!$E$31:$E$48))*Impacts!$F$14,0)),0)</f>
        <v>0</v>
      </c>
      <c r="S1313" s="10">
        <f>IFERROR(IF(('Loading-rail'!$C$21)="No control",SUMIF(('Loading-rail'!$B$31:$B$48),$J1313,('Loading-rail'!$D$31:$D$48))*Impacts!$F$15,IF(('Loading-rail'!$C$21)&lt;&gt;"No control",SUMIF(('Loading-rail'!$B$31:$B$48),$J1313,('Loading-rail'!$E$31:$E$48))*Impacts!$F$15,0)),0)</f>
        <v>0</v>
      </c>
      <c r="T1313" s="10">
        <f>IF(Flare!$C$7="",0,(SUMIF(Flare!$B$46:$B$185,$J1313,Flare!$E$46:$E$185)*Impacts!$F$16))</f>
        <v>0</v>
      </c>
      <c r="U1313" s="10">
        <f>IF(VCU!$C$9="",0,(SUMIF(VCU!$B$51:$B$193,$J1313,VCU!$E$51:$E$193)*Impacts!$F$17))</f>
        <v>0</v>
      </c>
      <c r="V1313" s="10">
        <f>IF(CAS!$C$7="",0,(SUMIF(CAS!$B$31:$B$167,$J1313,CAS!$E$31:$E$167)*Impacts!$F$18))</f>
        <v>0</v>
      </c>
      <c r="W1313" s="10">
        <f t="shared" si="61"/>
        <v>0</v>
      </c>
      <c r="AK1313" s="10" t="str">
        <f t="array" ref="AK1313">IFERROR(INDEX(SelectedSpecies,SMALL(IF(SelectedSpecies=AK$1,ROW(SelectedSpecies)),ROW(1314:1314)),2),"")</f>
        <v/>
      </c>
      <c r="BE1313" s="10"/>
      <c r="BI1313" s="10"/>
    </row>
    <row r="1314" spans="1:61" ht="21" customHeight="1" x14ac:dyDescent="0.25">
      <c r="A1314" s="10"/>
      <c r="B1314" s="10"/>
      <c r="E1314" s="10"/>
      <c r="G1314" s="10"/>
      <c r="I1314" s="436" t="s">
        <v>4395</v>
      </c>
      <c r="J1314" s="26" t="s">
        <v>4394</v>
      </c>
      <c r="K1314" s="10">
        <v>4.7</v>
      </c>
      <c r="L1314" s="73">
        <f>IF(Tank1!$C$23="No control",(SUMIF(Tank1!$B$32:$B$49,$J1314,Tank1!$C$32:$C$49)*Impacts!$F$8),0)</f>
        <v>0</v>
      </c>
      <c r="M1314" s="10">
        <f>IF(Tank2!$C$23="No control",(SUMIF(Tank2!$B$32:$B$49,$J1314,Tank2!$C$32:$C$49)*Impacts!$F$9),0)</f>
        <v>0</v>
      </c>
      <c r="N1314" s="10">
        <f>IF(Tank3!$C$23="No control",(SUMIF(Tank3!$B$32:$B$49,$J1314,Tank3!$C$32:$C$49)*Impacts!$F$10),0)</f>
        <v>0</v>
      </c>
      <c r="O1314" s="10">
        <f>IF(Tank4!$C$23="No control",(SUMIF(Tank4!$B$32:$B$49,$J1314,Tank4!$C$32:$C$49)*Impacts!$F$11),0)</f>
        <v>0</v>
      </c>
      <c r="P1314" s="10">
        <f>IF(Tank5!$C$23="No control",(SUMIF(Tank5!$B$32:$B$49,$J1314,Tank5!$C$32:$C$49)*Impacts!$F$12),0)</f>
        <v>0</v>
      </c>
      <c r="Q1314" s="10">
        <f>IFERROR(IF(('Loading-drum,tote'!$C$21)="No control",SUMIF(('Loading-drum,tote'!$B$31:$B$48),$J1314,('Loading-drum,tote'!$D$31:$D$48))*Impacts!$F$13,IF(('Loading-drum,tote'!$C$21)&lt;&gt;"No control",SUMIF(('Loading-drum,tote'!$B$31:$B$48),$J1314,('Loading-drum,tote'!$E$31:$E$48))*Impacts!$F$13,0)),0)</f>
        <v>0</v>
      </c>
      <c r="R1314" s="10">
        <f>IFERROR(IF(('Loading-truck'!$C$21)="No control",SUMIF(('Loading-truck'!$B$31:$B$48),$J1314,('Loading-truck'!$D$31:$D$48))*Impacts!$F$14,IF(('Loading-truck'!$C$21)&lt;&gt;"No control",SUMIF(('Loading-truck'!$B$31:$B$48),$J1314,('Loading-truck'!$E$31:$E$48))*Impacts!$F$14,0)),0)</f>
        <v>0</v>
      </c>
      <c r="S1314" s="10">
        <f>IFERROR(IF(('Loading-rail'!$C$21)="No control",SUMIF(('Loading-rail'!$B$31:$B$48),$J1314,('Loading-rail'!$D$31:$D$48))*Impacts!$F$15,IF(('Loading-rail'!$C$21)&lt;&gt;"No control",SUMIF(('Loading-rail'!$B$31:$B$48),$J1314,('Loading-rail'!$E$31:$E$48))*Impacts!$F$15,0)),0)</f>
        <v>0</v>
      </c>
      <c r="T1314" s="10">
        <f>IF(Flare!$C$7="",0,(SUMIF(Flare!$B$46:$B$185,$J1314,Flare!$E$46:$E$185)*Impacts!$F$16))</f>
        <v>0</v>
      </c>
      <c r="U1314" s="10">
        <f>IF(VCU!$C$9="",0,(SUMIF(VCU!$B$51:$B$193,$J1314,VCU!$E$51:$E$193)*Impacts!$F$17))</f>
        <v>0</v>
      </c>
      <c r="V1314" s="10">
        <f>IF(CAS!$C$7="",0,(SUMIF(CAS!$B$31:$B$167,$J1314,CAS!$E$31:$E$167)*Impacts!$F$18))</f>
        <v>0</v>
      </c>
      <c r="W1314" s="10">
        <f t="shared" si="61"/>
        <v>0</v>
      </c>
      <c r="AK1314" s="10" t="str">
        <f t="array" ref="AK1314">IFERROR(INDEX(SelectedSpecies,SMALL(IF(SelectedSpecies=AK$1,ROW(SelectedSpecies)),ROW(1315:1315)),2),"")</f>
        <v/>
      </c>
      <c r="BE1314" s="10"/>
      <c r="BI1314" s="10"/>
    </row>
    <row r="1315" spans="1:61" ht="21" customHeight="1" x14ac:dyDescent="0.25">
      <c r="A1315" s="10"/>
      <c r="B1315" s="10"/>
      <c r="E1315" s="10"/>
      <c r="G1315" s="10"/>
      <c r="I1315" s="436" t="s">
        <v>6802</v>
      </c>
      <c r="J1315" s="26" t="s">
        <v>6801</v>
      </c>
      <c r="K1315" s="10">
        <v>0.5</v>
      </c>
      <c r="L1315" s="73">
        <f>IF(Tank1!$C$23="No control",(SUMIF(Tank1!$B$32:$B$49,$J1315,Tank1!$C$32:$C$49)*Impacts!$F$8),0)</f>
        <v>0</v>
      </c>
      <c r="M1315" s="10">
        <f>IF(Tank2!$C$23="No control",(SUMIF(Tank2!$B$32:$B$49,$J1315,Tank2!$C$32:$C$49)*Impacts!$F$9),0)</f>
        <v>0</v>
      </c>
      <c r="N1315" s="10">
        <f>IF(Tank3!$C$23="No control",(SUMIF(Tank3!$B$32:$B$49,$J1315,Tank3!$C$32:$C$49)*Impacts!$F$10),0)</f>
        <v>0</v>
      </c>
      <c r="O1315" s="10">
        <f>IF(Tank4!$C$23="No control",(SUMIF(Tank4!$B$32:$B$49,$J1315,Tank4!$C$32:$C$49)*Impacts!$F$11),0)</f>
        <v>0</v>
      </c>
      <c r="P1315" s="10">
        <f>IF(Tank5!$C$23="No control",(SUMIF(Tank5!$B$32:$B$49,$J1315,Tank5!$C$32:$C$49)*Impacts!$F$12),0)</f>
        <v>0</v>
      </c>
      <c r="Q1315" s="10">
        <f>IFERROR(IF(('Loading-drum,tote'!$C$21)="No control",SUMIF(('Loading-drum,tote'!$B$31:$B$48),$J1315,('Loading-drum,tote'!$D$31:$D$48))*Impacts!$F$13,IF(('Loading-drum,tote'!$C$21)&lt;&gt;"No control",SUMIF(('Loading-drum,tote'!$B$31:$B$48),$J1315,('Loading-drum,tote'!$E$31:$E$48))*Impacts!$F$13,0)),0)</f>
        <v>0</v>
      </c>
      <c r="R1315" s="10">
        <f>IFERROR(IF(('Loading-truck'!$C$21)="No control",SUMIF(('Loading-truck'!$B$31:$B$48),$J1315,('Loading-truck'!$D$31:$D$48))*Impacts!$F$14,IF(('Loading-truck'!$C$21)&lt;&gt;"No control",SUMIF(('Loading-truck'!$B$31:$B$48),$J1315,('Loading-truck'!$E$31:$E$48))*Impacts!$F$14,0)),0)</f>
        <v>0</v>
      </c>
      <c r="S1315" s="10">
        <f>IFERROR(IF(('Loading-rail'!$C$21)="No control",SUMIF(('Loading-rail'!$B$31:$B$48),$J1315,('Loading-rail'!$D$31:$D$48))*Impacts!$F$15,IF(('Loading-rail'!$C$21)&lt;&gt;"No control",SUMIF(('Loading-rail'!$B$31:$B$48),$J1315,('Loading-rail'!$E$31:$E$48))*Impacts!$F$15,0)),0)</f>
        <v>0</v>
      </c>
      <c r="T1315" s="10">
        <f>IF(Flare!$C$7="",0,(SUMIF(Flare!$B$46:$B$185,$J1315,Flare!$E$46:$E$185)*Impacts!$F$16))</f>
        <v>0</v>
      </c>
      <c r="U1315" s="10">
        <f>IF(VCU!$C$9="",0,(SUMIF(VCU!$B$51:$B$193,$J1315,VCU!$E$51:$E$193)*Impacts!$F$17))</f>
        <v>0</v>
      </c>
      <c r="V1315" s="10">
        <f>IF(CAS!$C$7="",0,(SUMIF(CAS!$B$31:$B$167,$J1315,CAS!$E$31:$E$167)*Impacts!$F$18))</f>
        <v>0</v>
      </c>
      <c r="W1315" s="10">
        <f t="shared" si="61"/>
        <v>0</v>
      </c>
      <c r="AK1315" s="10" t="str">
        <f t="array" ref="AK1315">IFERROR(INDEX(SelectedSpecies,SMALL(IF(SelectedSpecies=AK$1,ROW(SelectedSpecies)),ROW(1316:1316)),2),"")</f>
        <v/>
      </c>
      <c r="BE1315" s="10"/>
      <c r="BI1315" s="10"/>
    </row>
    <row r="1316" spans="1:61" ht="21" customHeight="1" x14ac:dyDescent="0.25">
      <c r="A1316" s="10"/>
      <c r="B1316" s="10"/>
      <c r="E1316" s="10"/>
      <c r="G1316" s="10"/>
      <c r="I1316" s="436" t="s">
        <v>7254</v>
      </c>
      <c r="J1316" s="26" t="s">
        <v>7253</v>
      </c>
      <c r="K1316" s="10">
        <v>0.30000000000000004</v>
      </c>
      <c r="L1316" s="73">
        <f>IF(Tank1!$C$23="No control",(SUMIF(Tank1!$B$32:$B$49,$J1316,Tank1!$C$32:$C$49)*Impacts!$F$8),0)</f>
        <v>0</v>
      </c>
      <c r="M1316" s="10">
        <f>IF(Tank2!$C$23="No control",(SUMIF(Tank2!$B$32:$B$49,$J1316,Tank2!$C$32:$C$49)*Impacts!$F$9),0)</f>
        <v>0</v>
      </c>
      <c r="N1316" s="10">
        <f>IF(Tank3!$C$23="No control",(SUMIF(Tank3!$B$32:$B$49,$J1316,Tank3!$C$32:$C$49)*Impacts!$F$10),0)</f>
        <v>0</v>
      </c>
      <c r="O1316" s="10">
        <f>IF(Tank4!$C$23="No control",(SUMIF(Tank4!$B$32:$B$49,$J1316,Tank4!$C$32:$C$49)*Impacts!$F$11),0)</f>
        <v>0</v>
      </c>
      <c r="P1316" s="10">
        <f>IF(Tank5!$C$23="No control",(SUMIF(Tank5!$B$32:$B$49,$J1316,Tank5!$C$32:$C$49)*Impacts!$F$12),0)</f>
        <v>0</v>
      </c>
      <c r="Q1316" s="10">
        <f>IFERROR(IF(('Loading-drum,tote'!$C$21)="No control",SUMIF(('Loading-drum,tote'!$B$31:$B$48),$J1316,('Loading-drum,tote'!$D$31:$D$48))*Impacts!$F$13,IF(('Loading-drum,tote'!$C$21)&lt;&gt;"No control",SUMIF(('Loading-drum,tote'!$B$31:$B$48),$J1316,('Loading-drum,tote'!$E$31:$E$48))*Impacts!$F$13,0)),0)</f>
        <v>0</v>
      </c>
      <c r="R1316" s="10">
        <f>IFERROR(IF(('Loading-truck'!$C$21)="No control",SUMIF(('Loading-truck'!$B$31:$B$48),$J1316,('Loading-truck'!$D$31:$D$48))*Impacts!$F$14,IF(('Loading-truck'!$C$21)&lt;&gt;"No control",SUMIF(('Loading-truck'!$B$31:$B$48),$J1316,('Loading-truck'!$E$31:$E$48))*Impacts!$F$14,0)),0)</f>
        <v>0</v>
      </c>
      <c r="S1316" s="10">
        <f>IFERROR(IF(('Loading-rail'!$C$21)="No control",SUMIF(('Loading-rail'!$B$31:$B$48),$J1316,('Loading-rail'!$D$31:$D$48))*Impacts!$F$15,IF(('Loading-rail'!$C$21)&lt;&gt;"No control",SUMIF(('Loading-rail'!$B$31:$B$48),$J1316,('Loading-rail'!$E$31:$E$48))*Impacts!$F$15,0)),0)</f>
        <v>0</v>
      </c>
      <c r="T1316" s="10">
        <f>IF(Flare!$C$7="",0,(SUMIF(Flare!$B$46:$B$185,$J1316,Flare!$E$46:$E$185)*Impacts!$F$16))</f>
        <v>0</v>
      </c>
      <c r="U1316" s="10">
        <f>IF(VCU!$C$9="",0,(SUMIF(VCU!$B$51:$B$193,$J1316,VCU!$E$51:$E$193)*Impacts!$F$17))</f>
        <v>0</v>
      </c>
      <c r="V1316" s="10">
        <f>IF(CAS!$C$7="",0,(SUMIF(CAS!$B$31:$B$167,$J1316,CAS!$E$31:$E$167)*Impacts!$F$18))</f>
        <v>0</v>
      </c>
      <c r="W1316" s="10">
        <f t="shared" si="61"/>
        <v>0</v>
      </c>
      <c r="AK1316" s="10" t="str">
        <f t="array" ref="AK1316">IFERROR(INDEX(SelectedSpecies,SMALL(IF(SelectedSpecies=AK$1,ROW(SelectedSpecies)),ROW(1317:1317)),2),"")</f>
        <v/>
      </c>
      <c r="BE1316" s="10"/>
      <c r="BI1316" s="10"/>
    </row>
    <row r="1317" spans="1:61" ht="21" customHeight="1" x14ac:dyDescent="0.25">
      <c r="A1317" s="10"/>
      <c r="B1317" s="10"/>
      <c r="E1317" s="10"/>
      <c r="G1317" s="10"/>
      <c r="I1317" s="436" t="s">
        <v>1682</v>
      </c>
      <c r="J1317" s="26" t="s">
        <v>1681</v>
      </c>
      <c r="K1317" s="10">
        <v>24.5</v>
      </c>
      <c r="L1317" s="73">
        <f>IF(Tank1!$C$23="No control",(SUMIF(Tank1!$B$32:$B$49,$J1317,Tank1!$C$32:$C$49)*Impacts!$F$8),0)</f>
        <v>0</v>
      </c>
      <c r="M1317" s="10">
        <f>IF(Tank2!$C$23="No control",(SUMIF(Tank2!$B$32:$B$49,$J1317,Tank2!$C$32:$C$49)*Impacts!$F$9),0)</f>
        <v>0</v>
      </c>
      <c r="N1317" s="10">
        <f>IF(Tank3!$C$23="No control",(SUMIF(Tank3!$B$32:$B$49,$J1317,Tank3!$C$32:$C$49)*Impacts!$F$10),0)</f>
        <v>0</v>
      </c>
      <c r="O1317" s="10">
        <f>IF(Tank4!$C$23="No control",(SUMIF(Tank4!$B$32:$B$49,$J1317,Tank4!$C$32:$C$49)*Impacts!$F$11),0)</f>
        <v>0</v>
      </c>
      <c r="P1317" s="10">
        <f>IF(Tank5!$C$23="No control",(SUMIF(Tank5!$B$32:$B$49,$J1317,Tank5!$C$32:$C$49)*Impacts!$F$12),0)</f>
        <v>0</v>
      </c>
      <c r="Q1317" s="10">
        <f>IFERROR(IF(('Loading-drum,tote'!$C$21)="No control",SUMIF(('Loading-drum,tote'!$B$31:$B$48),$J1317,('Loading-drum,tote'!$D$31:$D$48))*Impacts!$F$13,IF(('Loading-drum,tote'!$C$21)&lt;&gt;"No control",SUMIF(('Loading-drum,tote'!$B$31:$B$48),$J1317,('Loading-drum,tote'!$E$31:$E$48))*Impacts!$F$13,0)),0)</f>
        <v>0</v>
      </c>
      <c r="R1317" s="10">
        <f>IFERROR(IF(('Loading-truck'!$C$21)="No control",SUMIF(('Loading-truck'!$B$31:$B$48),$J1317,('Loading-truck'!$D$31:$D$48))*Impacts!$F$14,IF(('Loading-truck'!$C$21)&lt;&gt;"No control",SUMIF(('Loading-truck'!$B$31:$B$48),$J1317,('Loading-truck'!$E$31:$E$48))*Impacts!$F$14,0)),0)</f>
        <v>0</v>
      </c>
      <c r="S1317" s="10">
        <f>IFERROR(IF(('Loading-rail'!$C$21)="No control",SUMIF(('Loading-rail'!$B$31:$B$48),$J1317,('Loading-rail'!$D$31:$D$48))*Impacts!$F$15,IF(('Loading-rail'!$C$21)&lt;&gt;"No control",SUMIF(('Loading-rail'!$B$31:$B$48),$J1317,('Loading-rail'!$E$31:$E$48))*Impacts!$F$15,0)),0)</f>
        <v>0</v>
      </c>
      <c r="T1317" s="10">
        <f>IF(Flare!$C$7="",0,(SUMIF(Flare!$B$46:$B$185,$J1317,Flare!$E$46:$E$185)*Impacts!$F$16))</f>
        <v>0</v>
      </c>
      <c r="U1317" s="10">
        <f>IF(VCU!$C$9="",0,(SUMIF(VCU!$B$51:$B$193,$J1317,VCU!$E$51:$E$193)*Impacts!$F$17))</f>
        <v>0</v>
      </c>
      <c r="V1317" s="10">
        <f>IF(CAS!$C$7="",0,(SUMIF(CAS!$B$31:$B$167,$J1317,CAS!$E$31:$E$167)*Impacts!$F$18))</f>
        <v>0</v>
      </c>
      <c r="W1317" s="10">
        <f t="shared" si="61"/>
        <v>0</v>
      </c>
      <c r="AK1317" s="10" t="str">
        <f t="array" ref="AK1317">IFERROR(INDEX(SelectedSpecies,SMALL(IF(SelectedSpecies=AK$1,ROW(SelectedSpecies)),ROW(1318:1318)),2),"")</f>
        <v/>
      </c>
      <c r="BE1317" s="10"/>
      <c r="BI1317" s="10"/>
    </row>
    <row r="1318" spans="1:61" ht="21" customHeight="1" x14ac:dyDescent="0.25">
      <c r="A1318" s="10"/>
      <c r="B1318" s="10"/>
      <c r="E1318" s="10"/>
      <c r="G1318" s="10"/>
      <c r="I1318" s="436" t="s">
        <v>5826</v>
      </c>
      <c r="J1318" s="26" t="s">
        <v>5825</v>
      </c>
      <c r="K1318" s="10">
        <v>1</v>
      </c>
      <c r="L1318" s="73">
        <f>IF(Tank1!$C$23="No control",(SUMIF(Tank1!$B$32:$B$49,$J1318,Tank1!$C$32:$C$49)*Impacts!$F$8),0)</f>
        <v>0</v>
      </c>
      <c r="M1318" s="10">
        <f>IF(Tank2!$C$23="No control",(SUMIF(Tank2!$B$32:$B$49,$J1318,Tank2!$C$32:$C$49)*Impacts!$F$9),0)</f>
        <v>0</v>
      </c>
      <c r="N1318" s="10">
        <f>IF(Tank3!$C$23="No control",(SUMIF(Tank3!$B$32:$B$49,$J1318,Tank3!$C$32:$C$49)*Impacts!$F$10),0)</f>
        <v>0</v>
      </c>
      <c r="O1318" s="10">
        <f>IF(Tank4!$C$23="No control",(SUMIF(Tank4!$B$32:$B$49,$J1318,Tank4!$C$32:$C$49)*Impacts!$F$11),0)</f>
        <v>0</v>
      </c>
      <c r="P1318" s="10">
        <f>IF(Tank5!$C$23="No control",(SUMIF(Tank5!$B$32:$B$49,$J1318,Tank5!$C$32:$C$49)*Impacts!$F$12),0)</f>
        <v>0</v>
      </c>
      <c r="Q1318" s="10">
        <f>IFERROR(IF(('Loading-drum,tote'!$C$21)="No control",SUMIF(('Loading-drum,tote'!$B$31:$B$48),$J1318,('Loading-drum,tote'!$D$31:$D$48))*Impacts!$F$13,IF(('Loading-drum,tote'!$C$21)&lt;&gt;"No control",SUMIF(('Loading-drum,tote'!$B$31:$B$48),$J1318,('Loading-drum,tote'!$E$31:$E$48))*Impacts!$F$13,0)),0)</f>
        <v>0</v>
      </c>
      <c r="R1318" s="10">
        <f>IFERROR(IF(('Loading-truck'!$C$21)="No control",SUMIF(('Loading-truck'!$B$31:$B$48),$J1318,('Loading-truck'!$D$31:$D$48))*Impacts!$F$14,IF(('Loading-truck'!$C$21)&lt;&gt;"No control",SUMIF(('Loading-truck'!$B$31:$B$48),$J1318,('Loading-truck'!$E$31:$E$48))*Impacts!$F$14,0)),0)</f>
        <v>0</v>
      </c>
      <c r="S1318" s="10">
        <f>IFERROR(IF(('Loading-rail'!$C$21)="No control",SUMIF(('Loading-rail'!$B$31:$B$48),$J1318,('Loading-rail'!$D$31:$D$48))*Impacts!$F$15,IF(('Loading-rail'!$C$21)&lt;&gt;"No control",SUMIF(('Loading-rail'!$B$31:$B$48),$J1318,('Loading-rail'!$E$31:$E$48))*Impacts!$F$15,0)),0)</f>
        <v>0</v>
      </c>
      <c r="T1318" s="10">
        <f>IF(Flare!$C$7="",0,(SUMIF(Flare!$B$46:$B$185,$J1318,Flare!$E$46:$E$185)*Impacts!$F$16))</f>
        <v>0</v>
      </c>
      <c r="U1318" s="10">
        <f>IF(VCU!$C$9="",0,(SUMIF(VCU!$B$51:$B$193,$J1318,VCU!$E$51:$E$193)*Impacts!$F$17))</f>
        <v>0</v>
      </c>
      <c r="V1318" s="10">
        <f>IF(CAS!$C$7="",0,(SUMIF(CAS!$B$31:$B$167,$J1318,CAS!$E$31:$E$167)*Impacts!$F$18))</f>
        <v>0</v>
      </c>
      <c r="W1318" s="10">
        <f t="shared" si="61"/>
        <v>0</v>
      </c>
      <c r="AK1318" s="10" t="str">
        <f t="array" ref="AK1318">IFERROR(INDEX(SelectedSpecies,SMALL(IF(SelectedSpecies=AK$1,ROW(SelectedSpecies)),ROW(1319:1319)),2),"")</f>
        <v/>
      </c>
      <c r="BE1318" s="10"/>
      <c r="BI1318" s="10"/>
    </row>
    <row r="1319" spans="1:61" ht="21" customHeight="1" x14ac:dyDescent="0.25">
      <c r="A1319" s="10"/>
      <c r="B1319" s="10"/>
      <c r="E1319" s="10"/>
      <c r="G1319" s="10"/>
      <c r="I1319" s="436" t="s">
        <v>5828</v>
      </c>
      <c r="J1319" s="26" t="s">
        <v>5827</v>
      </c>
      <c r="K1319" s="10">
        <v>1</v>
      </c>
      <c r="L1319" s="73">
        <f>IF(Tank1!$C$23="No control",(SUMIF(Tank1!$B$32:$B$49,$J1319,Tank1!$C$32:$C$49)*Impacts!$F$8),0)</f>
        <v>0</v>
      </c>
      <c r="M1319" s="10">
        <f>IF(Tank2!$C$23="No control",(SUMIF(Tank2!$B$32:$B$49,$J1319,Tank2!$C$32:$C$49)*Impacts!$F$9),0)</f>
        <v>0</v>
      </c>
      <c r="N1319" s="10">
        <f>IF(Tank3!$C$23="No control",(SUMIF(Tank3!$B$32:$B$49,$J1319,Tank3!$C$32:$C$49)*Impacts!$F$10),0)</f>
        <v>0</v>
      </c>
      <c r="O1319" s="10">
        <f>IF(Tank4!$C$23="No control",(SUMIF(Tank4!$B$32:$B$49,$J1319,Tank4!$C$32:$C$49)*Impacts!$F$11),0)</f>
        <v>0</v>
      </c>
      <c r="P1319" s="10">
        <f>IF(Tank5!$C$23="No control",(SUMIF(Tank5!$B$32:$B$49,$J1319,Tank5!$C$32:$C$49)*Impacts!$F$12),0)</f>
        <v>0</v>
      </c>
      <c r="Q1319" s="10">
        <f>IFERROR(IF(('Loading-drum,tote'!$C$21)="No control",SUMIF(('Loading-drum,tote'!$B$31:$B$48),$J1319,('Loading-drum,tote'!$D$31:$D$48))*Impacts!$F$13,IF(('Loading-drum,tote'!$C$21)&lt;&gt;"No control",SUMIF(('Loading-drum,tote'!$B$31:$B$48),$J1319,('Loading-drum,tote'!$E$31:$E$48))*Impacts!$F$13,0)),0)</f>
        <v>0</v>
      </c>
      <c r="R1319" s="10">
        <f>IFERROR(IF(('Loading-truck'!$C$21)="No control",SUMIF(('Loading-truck'!$B$31:$B$48),$J1319,('Loading-truck'!$D$31:$D$48))*Impacts!$F$14,IF(('Loading-truck'!$C$21)&lt;&gt;"No control",SUMIF(('Loading-truck'!$B$31:$B$48),$J1319,('Loading-truck'!$E$31:$E$48))*Impacts!$F$14,0)),0)</f>
        <v>0</v>
      </c>
      <c r="S1319" s="10">
        <f>IFERROR(IF(('Loading-rail'!$C$21)="No control",SUMIF(('Loading-rail'!$B$31:$B$48),$J1319,('Loading-rail'!$D$31:$D$48))*Impacts!$F$15,IF(('Loading-rail'!$C$21)&lt;&gt;"No control",SUMIF(('Loading-rail'!$B$31:$B$48),$J1319,('Loading-rail'!$E$31:$E$48))*Impacts!$F$15,0)),0)</f>
        <v>0</v>
      </c>
      <c r="T1319" s="10">
        <f>IF(Flare!$C$7="",0,(SUMIF(Flare!$B$46:$B$185,$J1319,Flare!$E$46:$E$185)*Impacts!$F$16))</f>
        <v>0</v>
      </c>
      <c r="U1319" s="10">
        <f>IF(VCU!$C$9="",0,(SUMIF(VCU!$B$51:$B$193,$J1319,VCU!$E$51:$E$193)*Impacts!$F$17))</f>
        <v>0</v>
      </c>
      <c r="V1319" s="10">
        <f>IF(CAS!$C$7="",0,(SUMIF(CAS!$B$31:$B$167,$J1319,CAS!$E$31:$E$167)*Impacts!$F$18))</f>
        <v>0</v>
      </c>
      <c r="W1319" s="10">
        <f t="shared" si="61"/>
        <v>0</v>
      </c>
      <c r="AK1319" s="10" t="str">
        <f t="array" ref="AK1319">IFERROR(INDEX(SelectedSpecies,SMALL(IF(SelectedSpecies=AK$1,ROW(SelectedSpecies)),ROW(1320:1320)),2),"")</f>
        <v/>
      </c>
      <c r="BE1319" s="10"/>
      <c r="BI1319" s="10"/>
    </row>
    <row r="1320" spans="1:61" ht="21" customHeight="1" x14ac:dyDescent="0.25">
      <c r="A1320" s="10"/>
      <c r="B1320" s="10"/>
      <c r="E1320" s="10"/>
      <c r="G1320" s="10"/>
      <c r="I1320" s="436" t="s">
        <v>7080</v>
      </c>
      <c r="J1320" s="26" t="s">
        <v>7079</v>
      </c>
      <c r="K1320" s="10">
        <v>0.4</v>
      </c>
      <c r="L1320" s="73">
        <f>IF(Tank1!$C$23="No control",(SUMIF(Tank1!$B$32:$B$49,$J1320,Tank1!$C$32:$C$49)*Impacts!$F$8),0)</f>
        <v>0</v>
      </c>
      <c r="M1320" s="10">
        <f>IF(Tank2!$C$23="No control",(SUMIF(Tank2!$B$32:$B$49,$J1320,Tank2!$C$32:$C$49)*Impacts!$F$9),0)</f>
        <v>0</v>
      </c>
      <c r="N1320" s="10">
        <f>IF(Tank3!$C$23="No control",(SUMIF(Tank3!$B$32:$B$49,$J1320,Tank3!$C$32:$C$49)*Impacts!$F$10),0)</f>
        <v>0</v>
      </c>
      <c r="O1320" s="10">
        <f>IF(Tank4!$C$23="No control",(SUMIF(Tank4!$B$32:$B$49,$J1320,Tank4!$C$32:$C$49)*Impacts!$F$11),0)</f>
        <v>0</v>
      </c>
      <c r="P1320" s="10">
        <f>IF(Tank5!$C$23="No control",(SUMIF(Tank5!$B$32:$B$49,$J1320,Tank5!$C$32:$C$49)*Impacts!$F$12),0)</f>
        <v>0</v>
      </c>
      <c r="Q1320" s="10">
        <f>IFERROR(IF(('Loading-drum,tote'!$C$21)="No control",SUMIF(('Loading-drum,tote'!$B$31:$B$48),$J1320,('Loading-drum,tote'!$D$31:$D$48))*Impacts!$F$13,IF(('Loading-drum,tote'!$C$21)&lt;&gt;"No control",SUMIF(('Loading-drum,tote'!$B$31:$B$48),$J1320,('Loading-drum,tote'!$E$31:$E$48))*Impacts!$F$13,0)),0)</f>
        <v>0</v>
      </c>
      <c r="R1320" s="10">
        <f>IFERROR(IF(('Loading-truck'!$C$21)="No control",SUMIF(('Loading-truck'!$B$31:$B$48),$J1320,('Loading-truck'!$D$31:$D$48))*Impacts!$F$14,IF(('Loading-truck'!$C$21)&lt;&gt;"No control",SUMIF(('Loading-truck'!$B$31:$B$48),$J1320,('Loading-truck'!$E$31:$E$48))*Impacts!$F$14,0)),0)</f>
        <v>0</v>
      </c>
      <c r="S1320" s="10">
        <f>IFERROR(IF(('Loading-rail'!$C$21)="No control",SUMIF(('Loading-rail'!$B$31:$B$48),$J1320,('Loading-rail'!$D$31:$D$48))*Impacts!$F$15,IF(('Loading-rail'!$C$21)&lt;&gt;"No control",SUMIF(('Loading-rail'!$B$31:$B$48),$J1320,('Loading-rail'!$E$31:$E$48))*Impacts!$F$15,0)),0)</f>
        <v>0</v>
      </c>
      <c r="T1320" s="10">
        <f>IF(Flare!$C$7="",0,(SUMIF(Flare!$B$46:$B$185,$J1320,Flare!$E$46:$E$185)*Impacts!$F$16))</f>
        <v>0</v>
      </c>
      <c r="U1320" s="10">
        <f>IF(VCU!$C$9="",0,(SUMIF(VCU!$B$51:$B$193,$J1320,VCU!$E$51:$E$193)*Impacts!$F$17))</f>
        <v>0</v>
      </c>
      <c r="V1320" s="10">
        <f>IF(CAS!$C$7="",0,(SUMIF(CAS!$B$31:$B$167,$J1320,CAS!$E$31:$E$167)*Impacts!$F$18))</f>
        <v>0</v>
      </c>
      <c r="W1320" s="10">
        <f t="shared" si="61"/>
        <v>0</v>
      </c>
      <c r="AK1320" s="10" t="str">
        <f t="array" ref="AK1320">IFERROR(INDEX(SelectedSpecies,SMALL(IF(SelectedSpecies=AK$1,ROW(SelectedSpecies)),ROW(1321:1321)),2),"")</f>
        <v/>
      </c>
      <c r="BE1320" s="10"/>
      <c r="BI1320" s="10"/>
    </row>
    <row r="1321" spans="1:61" ht="21" customHeight="1" x14ac:dyDescent="0.25">
      <c r="A1321" s="10"/>
      <c r="B1321" s="10"/>
      <c r="E1321" s="10"/>
      <c r="G1321" s="10"/>
      <c r="I1321" s="436" t="s">
        <v>4759</v>
      </c>
      <c r="J1321" s="26" t="s">
        <v>4758</v>
      </c>
      <c r="K1321" s="10">
        <v>3.4000000000000004</v>
      </c>
      <c r="L1321" s="73">
        <f>IF(Tank1!$C$23="No control",(SUMIF(Tank1!$B$32:$B$49,$J1321,Tank1!$C$32:$C$49)*Impacts!$F$8),0)</f>
        <v>0</v>
      </c>
      <c r="M1321" s="10">
        <f>IF(Tank2!$C$23="No control",(SUMIF(Tank2!$B$32:$B$49,$J1321,Tank2!$C$32:$C$49)*Impacts!$F$9),0)</f>
        <v>0</v>
      </c>
      <c r="N1321" s="10">
        <f>IF(Tank3!$C$23="No control",(SUMIF(Tank3!$B$32:$B$49,$J1321,Tank3!$C$32:$C$49)*Impacts!$F$10),0)</f>
        <v>0</v>
      </c>
      <c r="O1321" s="10">
        <f>IF(Tank4!$C$23="No control",(SUMIF(Tank4!$B$32:$B$49,$J1321,Tank4!$C$32:$C$49)*Impacts!$F$11),0)</f>
        <v>0</v>
      </c>
      <c r="P1321" s="10">
        <f>IF(Tank5!$C$23="No control",(SUMIF(Tank5!$B$32:$B$49,$J1321,Tank5!$C$32:$C$49)*Impacts!$F$12),0)</f>
        <v>0</v>
      </c>
      <c r="Q1321" s="10">
        <f>IFERROR(IF(('Loading-drum,tote'!$C$21)="No control",SUMIF(('Loading-drum,tote'!$B$31:$B$48),$J1321,('Loading-drum,tote'!$D$31:$D$48))*Impacts!$F$13,IF(('Loading-drum,tote'!$C$21)&lt;&gt;"No control",SUMIF(('Loading-drum,tote'!$B$31:$B$48),$J1321,('Loading-drum,tote'!$E$31:$E$48))*Impacts!$F$13,0)),0)</f>
        <v>0</v>
      </c>
      <c r="R1321" s="10">
        <f>IFERROR(IF(('Loading-truck'!$C$21)="No control",SUMIF(('Loading-truck'!$B$31:$B$48),$J1321,('Loading-truck'!$D$31:$D$48))*Impacts!$F$14,IF(('Loading-truck'!$C$21)&lt;&gt;"No control",SUMIF(('Loading-truck'!$B$31:$B$48),$J1321,('Loading-truck'!$E$31:$E$48))*Impacts!$F$14,0)),0)</f>
        <v>0</v>
      </c>
      <c r="S1321" s="10">
        <f>IFERROR(IF(('Loading-rail'!$C$21)="No control",SUMIF(('Loading-rail'!$B$31:$B$48),$J1321,('Loading-rail'!$D$31:$D$48))*Impacts!$F$15,IF(('Loading-rail'!$C$21)&lt;&gt;"No control",SUMIF(('Loading-rail'!$B$31:$B$48),$J1321,('Loading-rail'!$E$31:$E$48))*Impacts!$F$15,0)),0)</f>
        <v>0</v>
      </c>
      <c r="T1321" s="10">
        <f>IF(Flare!$C$7="",0,(SUMIF(Flare!$B$46:$B$185,$J1321,Flare!$E$46:$E$185)*Impacts!$F$16))</f>
        <v>0</v>
      </c>
      <c r="U1321" s="10">
        <f>IF(VCU!$C$9="",0,(SUMIF(VCU!$B$51:$B$193,$J1321,VCU!$E$51:$E$193)*Impacts!$F$17))</f>
        <v>0</v>
      </c>
      <c r="V1321" s="10">
        <f>IF(CAS!$C$7="",0,(SUMIF(CAS!$B$31:$B$167,$J1321,CAS!$E$31:$E$167)*Impacts!$F$18))</f>
        <v>0</v>
      </c>
      <c r="W1321" s="10">
        <f t="shared" si="61"/>
        <v>0</v>
      </c>
      <c r="AK1321" s="10" t="str">
        <f t="array" ref="AK1321">IFERROR(INDEX(SelectedSpecies,SMALL(IF(SelectedSpecies=AK$1,ROW(SelectedSpecies)),ROW(1322:1322)),2),"")</f>
        <v/>
      </c>
      <c r="BE1321" s="10"/>
      <c r="BI1321" s="10"/>
    </row>
    <row r="1322" spans="1:61" ht="21" customHeight="1" x14ac:dyDescent="0.25">
      <c r="A1322" s="10"/>
      <c r="B1322" s="10"/>
      <c r="E1322" s="10"/>
      <c r="G1322" s="10"/>
      <c r="I1322" s="436" t="s">
        <v>1226</v>
      </c>
      <c r="J1322" s="26" t="s">
        <v>1225</v>
      </c>
      <c r="K1322" s="10">
        <v>34</v>
      </c>
      <c r="L1322" s="73">
        <f>IF(Tank1!$C$23="No control",(SUMIF(Tank1!$B$32:$B$49,$J1322,Tank1!$C$32:$C$49)*Impacts!$F$8),0)</f>
        <v>0</v>
      </c>
      <c r="M1322" s="10">
        <f>IF(Tank2!$C$23="No control",(SUMIF(Tank2!$B$32:$B$49,$J1322,Tank2!$C$32:$C$49)*Impacts!$F$9),0)</f>
        <v>0</v>
      </c>
      <c r="N1322" s="10">
        <f>IF(Tank3!$C$23="No control",(SUMIF(Tank3!$B$32:$B$49,$J1322,Tank3!$C$32:$C$49)*Impacts!$F$10),0)</f>
        <v>0</v>
      </c>
      <c r="O1322" s="10">
        <f>IF(Tank4!$C$23="No control",(SUMIF(Tank4!$B$32:$B$49,$J1322,Tank4!$C$32:$C$49)*Impacts!$F$11),0)</f>
        <v>0</v>
      </c>
      <c r="P1322" s="10">
        <f>IF(Tank5!$C$23="No control",(SUMIF(Tank5!$B$32:$B$49,$J1322,Tank5!$C$32:$C$49)*Impacts!$F$12),0)</f>
        <v>0</v>
      </c>
      <c r="Q1322" s="10">
        <f>IFERROR(IF(('Loading-drum,tote'!$C$21)="No control",SUMIF(('Loading-drum,tote'!$B$31:$B$48),$J1322,('Loading-drum,tote'!$D$31:$D$48))*Impacts!$F$13,IF(('Loading-drum,tote'!$C$21)&lt;&gt;"No control",SUMIF(('Loading-drum,tote'!$B$31:$B$48),$J1322,('Loading-drum,tote'!$E$31:$E$48))*Impacts!$F$13,0)),0)</f>
        <v>0</v>
      </c>
      <c r="R1322" s="10">
        <f>IFERROR(IF(('Loading-truck'!$C$21)="No control",SUMIF(('Loading-truck'!$B$31:$B$48),$J1322,('Loading-truck'!$D$31:$D$48))*Impacts!$F$14,IF(('Loading-truck'!$C$21)&lt;&gt;"No control",SUMIF(('Loading-truck'!$B$31:$B$48),$J1322,('Loading-truck'!$E$31:$E$48))*Impacts!$F$14,0)),0)</f>
        <v>0</v>
      </c>
      <c r="S1322" s="10">
        <f>IFERROR(IF(('Loading-rail'!$C$21)="No control",SUMIF(('Loading-rail'!$B$31:$B$48),$J1322,('Loading-rail'!$D$31:$D$48))*Impacts!$F$15,IF(('Loading-rail'!$C$21)&lt;&gt;"No control",SUMIF(('Loading-rail'!$B$31:$B$48),$J1322,('Loading-rail'!$E$31:$E$48))*Impacts!$F$15,0)),0)</f>
        <v>0</v>
      </c>
      <c r="T1322" s="10">
        <f>IF(Flare!$C$7="",0,(SUMIF(Flare!$B$46:$B$185,$J1322,Flare!$E$46:$E$185)*Impacts!$F$16))</f>
        <v>0</v>
      </c>
      <c r="U1322" s="10">
        <f>IF(VCU!$C$9="",0,(SUMIF(VCU!$B$51:$B$193,$J1322,VCU!$E$51:$E$193)*Impacts!$F$17))</f>
        <v>0</v>
      </c>
      <c r="V1322" s="10">
        <f>IF(CAS!$C$7="",0,(SUMIF(CAS!$B$31:$B$167,$J1322,CAS!$E$31:$E$167)*Impacts!$F$18))</f>
        <v>0</v>
      </c>
      <c r="W1322" s="10">
        <f t="shared" si="61"/>
        <v>0</v>
      </c>
      <c r="AK1322" s="10" t="str">
        <f t="array" ref="AK1322">IFERROR(INDEX(SelectedSpecies,SMALL(IF(SelectedSpecies=AK$1,ROW(SelectedSpecies)),ROW(1323:1323)),2),"")</f>
        <v/>
      </c>
      <c r="BE1322" s="10"/>
      <c r="BI1322" s="10"/>
    </row>
    <row r="1323" spans="1:61" ht="21" customHeight="1" x14ac:dyDescent="0.25">
      <c r="A1323" s="10"/>
      <c r="B1323" s="10"/>
      <c r="E1323" s="10"/>
      <c r="G1323" s="10"/>
      <c r="I1323" s="436" t="s">
        <v>1228</v>
      </c>
      <c r="J1323" s="26" t="s">
        <v>1227</v>
      </c>
      <c r="K1323" s="10">
        <v>34</v>
      </c>
      <c r="L1323" s="73">
        <f>IF(Tank1!$C$23="No control",(SUMIF(Tank1!$B$32:$B$49,$J1323,Tank1!$C$32:$C$49)*Impacts!$F$8),0)</f>
        <v>0</v>
      </c>
      <c r="M1323" s="10">
        <f>IF(Tank2!$C$23="No control",(SUMIF(Tank2!$B$32:$B$49,$J1323,Tank2!$C$32:$C$49)*Impacts!$F$9),0)</f>
        <v>0</v>
      </c>
      <c r="N1323" s="10">
        <f>IF(Tank3!$C$23="No control",(SUMIF(Tank3!$B$32:$B$49,$J1323,Tank3!$C$32:$C$49)*Impacts!$F$10),0)</f>
        <v>0</v>
      </c>
      <c r="O1323" s="10">
        <f>IF(Tank4!$C$23="No control",(SUMIF(Tank4!$B$32:$B$49,$J1323,Tank4!$C$32:$C$49)*Impacts!$F$11),0)</f>
        <v>0</v>
      </c>
      <c r="P1323" s="10">
        <f>IF(Tank5!$C$23="No control",(SUMIF(Tank5!$B$32:$B$49,$J1323,Tank5!$C$32:$C$49)*Impacts!$F$12),0)</f>
        <v>0</v>
      </c>
      <c r="Q1323" s="10">
        <f>IFERROR(IF(('Loading-drum,tote'!$C$21)="No control",SUMIF(('Loading-drum,tote'!$B$31:$B$48),$J1323,('Loading-drum,tote'!$D$31:$D$48))*Impacts!$F$13,IF(('Loading-drum,tote'!$C$21)&lt;&gt;"No control",SUMIF(('Loading-drum,tote'!$B$31:$B$48),$J1323,('Loading-drum,tote'!$E$31:$E$48))*Impacts!$F$13,0)),0)</f>
        <v>0</v>
      </c>
      <c r="R1323" s="10">
        <f>IFERROR(IF(('Loading-truck'!$C$21)="No control",SUMIF(('Loading-truck'!$B$31:$B$48),$J1323,('Loading-truck'!$D$31:$D$48))*Impacts!$F$14,IF(('Loading-truck'!$C$21)&lt;&gt;"No control",SUMIF(('Loading-truck'!$B$31:$B$48),$J1323,('Loading-truck'!$E$31:$E$48))*Impacts!$F$14,0)),0)</f>
        <v>0</v>
      </c>
      <c r="S1323" s="10">
        <f>IFERROR(IF(('Loading-rail'!$C$21)="No control",SUMIF(('Loading-rail'!$B$31:$B$48),$J1323,('Loading-rail'!$D$31:$D$48))*Impacts!$F$15,IF(('Loading-rail'!$C$21)&lt;&gt;"No control",SUMIF(('Loading-rail'!$B$31:$B$48),$J1323,('Loading-rail'!$E$31:$E$48))*Impacts!$F$15,0)),0)</f>
        <v>0</v>
      </c>
      <c r="T1323" s="10">
        <f>IF(Flare!$C$7="",0,(SUMIF(Flare!$B$46:$B$185,$J1323,Flare!$E$46:$E$185)*Impacts!$F$16))</f>
        <v>0</v>
      </c>
      <c r="U1323" s="10">
        <f>IF(VCU!$C$9="",0,(SUMIF(VCU!$B$51:$B$193,$J1323,VCU!$E$51:$E$193)*Impacts!$F$17))</f>
        <v>0</v>
      </c>
      <c r="V1323" s="10">
        <f>IF(CAS!$C$7="",0,(SUMIF(CAS!$B$31:$B$167,$J1323,CAS!$E$31:$E$167)*Impacts!$F$18))</f>
        <v>0</v>
      </c>
      <c r="W1323" s="10">
        <f t="shared" si="61"/>
        <v>0</v>
      </c>
      <c r="AK1323" s="10" t="str">
        <f t="array" ref="AK1323">IFERROR(INDEX(SelectedSpecies,SMALL(IF(SelectedSpecies=AK$1,ROW(SelectedSpecies)),ROW(1324:1324)),2),"")</f>
        <v/>
      </c>
      <c r="BE1323" s="10"/>
      <c r="BI1323" s="10"/>
    </row>
    <row r="1324" spans="1:61" ht="21" customHeight="1" x14ac:dyDescent="0.25">
      <c r="A1324" s="10"/>
      <c r="B1324" s="10"/>
      <c r="E1324" s="10"/>
      <c r="G1324" s="10"/>
      <c r="I1324" s="436" t="s">
        <v>2783</v>
      </c>
      <c r="J1324" s="26" t="s">
        <v>2782</v>
      </c>
      <c r="K1324" s="10">
        <v>10</v>
      </c>
      <c r="L1324" s="73">
        <f>IF(Tank1!$C$23="No control",(SUMIF(Tank1!$B$32:$B$49,$J1324,Tank1!$C$32:$C$49)*Impacts!$F$8),0)</f>
        <v>0</v>
      </c>
      <c r="M1324" s="10">
        <f>IF(Tank2!$C$23="No control",(SUMIF(Tank2!$B$32:$B$49,$J1324,Tank2!$C$32:$C$49)*Impacts!$F$9),0)</f>
        <v>0</v>
      </c>
      <c r="N1324" s="10">
        <f>IF(Tank3!$C$23="No control",(SUMIF(Tank3!$B$32:$B$49,$J1324,Tank3!$C$32:$C$49)*Impacts!$F$10),0)</f>
        <v>0</v>
      </c>
      <c r="O1324" s="10">
        <f>IF(Tank4!$C$23="No control",(SUMIF(Tank4!$B$32:$B$49,$J1324,Tank4!$C$32:$C$49)*Impacts!$F$11),0)</f>
        <v>0</v>
      </c>
      <c r="P1324" s="10">
        <f>IF(Tank5!$C$23="No control",(SUMIF(Tank5!$B$32:$B$49,$J1324,Tank5!$C$32:$C$49)*Impacts!$F$12),0)</f>
        <v>0</v>
      </c>
      <c r="Q1324" s="10">
        <f>IFERROR(IF(('Loading-drum,tote'!$C$21)="No control",SUMIF(('Loading-drum,tote'!$B$31:$B$48),$J1324,('Loading-drum,tote'!$D$31:$D$48))*Impacts!$F$13,IF(('Loading-drum,tote'!$C$21)&lt;&gt;"No control",SUMIF(('Loading-drum,tote'!$B$31:$B$48),$J1324,('Loading-drum,tote'!$E$31:$E$48))*Impacts!$F$13,0)),0)</f>
        <v>0</v>
      </c>
      <c r="R1324" s="10">
        <f>IFERROR(IF(('Loading-truck'!$C$21)="No control",SUMIF(('Loading-truck'!$B$31:$B$48),$J1324,('Loading-truck'!$D$31:$D$48))*Impacts!$F$14,IF(('Loading-truck'!$C$21)&lt;&gt;"No control",SUMIF(('Loading-truck'!$B$31:$B$48),$J1324,('Loading-truck'!$E$31:$E$48))*Impacts!$F$14,0)),0)</f>
        <v>0</v>
      </c>
      <c r="S1324" s="10">
        <f>IFERROR(IF(('Loading-rail'!$C$21)="No control",SUMIF(('Loading-rail'!$B$31:$B$48),$J1324,('Loading-rail'!$D$31:$D$48))*Impacts!$F$15,IF(('Loading-rail'!$C$21)&lt;&gt;"No control",SUMIF(('Loading-rail'!$B$31:$B$48),$J1324,('Loading-rail'!$E$31:$E$48))*Impacts!$F$15,0)),0)</f>
        <v>0</v>
      </c>
      <c r="T1324" s="10">
        <f>IF(Flare!$C$7="",0,(SUMIF(Flare!$B$46:$B$185,$J1324,Flare!$E$46:$E$185)*Impacts!$F$16))</f>
        <v>0</v>
      </c>
      <c r="U1324" s="10">
        <f>IF(VCU!$C$9="",0,(SUMIF(VCU!$B$51:$B$193,$J1324,VCU!$E$51:$E$193)*Impacts!$F$17))</f>
        <v>0</v>
      </c>
      <c r="V1324" s="10">
        <f>IF(CAS!$C$7="",0,(SUMIF(CAS!$B$31:$B$167,$J1324,CAS!$E$31:$E$167)*Impacts!$F$18))</f>
        <v>0</v>
      </c>
      <c r="W1324" s="10">
        <f t="shared" si="61"/>
        <v>0</v>
      </c>
      <c r="AK1324" s="10" t="str">
        <f t="array" ref="AK1324">IFERROR(INDEX(SelectedSpecies,SMALL(IF(SelectedSpecies=AK$1,ROW(SelectedSpecies)),ROW(1325:1325)),2),"")</f>
        <v/>
      </c>
      <c r="BE1324" s="10"/>
      <c r="BI1324" s="10"/>
    </row>
    <row r="1325" spans="1:61" ht="21" customHeight="1" x14ac:dyDescent="0.25">
      <c r="A1325" s="10"/>
      <c r="B1325" s="10"/>
      <c r="E1325" s="10"/>
      <c r="G1325" s="10"/>
      <c r="I1325" s="436" t="s">
        <v>2785</v>
      </c>
      <c r="J1325" s="26" t="s">
        <v>2784</v>
      </c>
      <c r="K1325" s="10">
        <v>10</v>
      </c>
      <c r="L1325" s="73">
        <f>IF(Tank1!$C$23="No control",(SUMIF(Tank1!$B$32:$B$49,$J1325,Tank1!$C$32:$C$49)*Impacts!$F$8),0)</f>
        <v>0</v>
      </c>
      <c r="M1325" s="10">
        <f>IF(Tank2!$C$23="No control",(SUMIF(Tank2!$B$32:$B$49,$J1325,Tank2!$C$32:$C$49)*Impacts!$F$9),0)</f>
        <v>0</v>
      </c>
      <c r="N1325" s="10">
        <f>IF(Tank3!$C$23="No control",(SUMIF(Tank3!$B$32:$B$49,$J1325,Tank3!$C$32:$C$49)*Impacts!$F$10),0)</f>
        <v>0</v>
      </c>
      <c r="O1325" s="10">
        <f>IF(Tank4!$C$23="No control",(SUMIF(Tank4!$B$32:$B$49,$J1325,Tank4!$C$32:$C$49)*Impacts!$F$11),0)</f>
        <v>0</v>
      </c>
      <c r="P1325" s="10">
        <f>IF(Tank5!$C$23="No control",(SUMIF(Tank5!$B$32:$B$49,$J1325,Tank5!$C$32:$C$49)*Impacts!$F$12),0)</f>
        <v>0</v>
      </c>
      <c r="Q1325" s="10">
        <f>IFERROR(IF(('Loading-drum,tote'!$C$21)="No control",SUMIF(('Loading-drum,tote'!$B$31:$B$48),$J1325,('Loading-drum,tote'!$D$31:$D$48))*Impacts!$F$13,IF(('Loading-drum,tote'!$C$21)&lt;&gt;"No control",SUMIF(('Loading-drum,tote'!$B$31:$B$48),$J1325,('Loading-drum,tote'!$E$31:$E$48))*Impacts!$F$13,0)),0)</f>
        <v>0</v>
      </c>
      <c r="R1325" s="10">
        <f>IFERROR(IF(('Loading-truck'!$C$21)="No control",SUMIF(('Loading-truck'!$B$31:$B$48),$J1325,('Loading-truck'!$D$31:$D$48))*Impacts!$F$14,IF(('Loading-truck'!$C$21)&lt;&gt;"No control",SUMIF(('Loading-truck'!$B$31:$B$48),$J1325,('Loading-truck'!$E$31:$E$48))*Impacts!$F$14,0)),0)</f>
        <v>0</v>
      </c>
      <c r="S1325" s="10">
        <f>IFERROR(IF(('Loading-rail'!$C$21)="No control",SUMIF(('Loading-rail'!$B$31:$B$48),$J1325,('Loading-rail'!$D$31:$D$48))*Impacts!$F$15,IF(('Loading-rail'!$C$21)&lt;&gt;"No control",SUMIF(('Loading-rail'!$B$31:$B$48),$J1325,('Loading-rail'!$E$31:$E$48))*Impacts!$F$15,0)),0)</f>
        <v>0</v>
      </c>
      <c r="T1325" s="10">
        <f>IF(Flare!$C$7="",0,(SUMIF(Flare!$B$46:$B$185,$J1325,Flare!$E$46:$E$185)*Impacts!$F$16))</f>
        <v>0</v>
      </c>
      <c r="U1325" s="10">
        <f>IF(VCU!$C$9="",0,(SUMIF(VCU!$B$51:$B$193,$J1325,VCU!$E$51:$E$193)*Impacts!$F$17))</f>
        <v>0</v>
      </c>
      <c r="V1325" s="10">
        <f>IF(CAS!$C$7="",0,(SUMIF(CAS!$B$31:$B$167,$J1325,CAS!$E$31:$E$167)*Impacts!$F$18))</f>
        <v>0</v>
      </c>
      <c r="W1325" s="10">
        <f t="shared" si="61"/>
        <v>0</v>
      </c>
      <c r="AK1325" s="10" t="str">
        <f t="array" ref="AK1325">IFERROR(INDEX(SelectedSpecies,SMALL(IF(SelectedSpecies=AK$1,ROW(SelectedSpecies)),ROW(1326:1326)),2),"")</f>
        <v/>
      </c>
      <c r="BE1325" s="10"/>
      <c r="BI1325" s="10"/>
    </row>
    <row r="1326" spans="1:61" ht="21" customHeight="1" x14ac:dyDescent="0.25">
      <c r="A1326" s="10"/>
      <c r="B1326" s="10"/>
      <c r="E1326" s="10"/>
      <c r="G1326" s="10"/>
      <c r="I1326" s="436" t="s">
        <v>6804</v>
      </c>
      <c r="J1326" s="26" t="s">
        <v>6803</v>
      </c>
      <c r="K1326" s="10">
        <v>0.5</v>
      </c>
      <c r="L1326" s="73">
        <f>IF(Tank1!$C$23="No control",(SUMIF(Tank1!$B$32:$B$49,$J1326,Tank1!$C$32:$C$49)*Impacts!$F$8),0)</f>
        <v>0</v>
      </c>
      <c r="M1326" s="10">
        <f>IF(Tank2!$C$23="No control",(SUMIF(Tank2!$B$32:$B$49,$J1326,Tank2!$C$32:$C$49)*Impacts!$F$9),0)</f>
        <v>0</v>
      </c>
      <c r="N1326" s="10">
        <f>IF(Tank3!$C$23="No control",(SUMIF(Tank3!$B$32:$B$49,$J1326,Tank3!$C$32:$C$49)*Impacts!$F$10),0)</f>
        <v>0</v>
      </c>
      <c r="O1326" s="10">
        <f>IF(Tank4!$C$23="No control",(SUMIF(Tank4!$B$32:$B$49,$J1326,Tank4!$C$32:$C$49)*Impacts!$F$11),0)</f>
        <v>0</v>
      </c>
      <c r="P1326" s="10">
        <f>IF(Tank5!$C$23="No control",(SUMIF(Tank5!$B$32:$B$49,$J1326,Tank5!$C$32:$C$49)*Impacts!$F$12),0)</f>
        <v>0</v>
      </c>
      <c r="Q1326" s="10">
        <f>IFERROR(IF(('Loading-drum,tote'!$C$21)="No control",SUMIF(('Loading-drum,tote'!$B$31:$B$48),$J1326,('Loading-drum,tote'!$D$31:$D$48))*Impacts!$F$13,IF(('Loading-drum,tote'!$C$21)&lt;&gt;"No control",SUMIF(('Loading-drum,tote'!$B$31:$B$48),$J1326,('Loading-drum,tote'!$E$31:$E$48))*Impacts!$F$13,0)),0)</f>
        <v>0</v>
      </c>
      <c r="R1326" s="10">
        <f>IFERROR(IF(('Loading-truck'!$C$21)="No control",SUMIF(('Loading-truck'!$B$31:$B$48),$J1326,('Loading-truck'!$D$31:$D$48))*Impacts!$F$14,IF(('Loading-truck'!$C$21)&lt;&gt;"No control",SUMIF(('Loading-truck'!$B$31:$B$48),$J1326,('Loading-truck'!$E$31:$E$48))*Impacts!$F$14,0)),0)</f>
        <v>0</v>
      </c>
      <c r="S1326" s="10">
        <f>IFERROR(IF(('Loading-rail'!$C$21)="No control",SUMIF(('Loading-rail'!$B$31:$B$48),$J1326,('Loading-rail'!$D$31:$D$48))*Impacts!$F$15,IF(('Loading-rail'!$C$21)&lt;&gt;"No control",SUMIF(('Loading-rail'!$B$31:$B$48),$J1326,('Loading-rail'!$E$31:$E$48))*Impacts!$F$15,0)),0)</f>
        <v>0</v>
      </c>
      <c r="T1326" s="10">
        <f>IF(Flare!$C$7="",0,(SUMIF(Flare!$B$46:$B$185,$J1326,Flare!$E$46:$E$185)*Impacts!$F$16))</f>
        <v>0</v>
      </c>
      <c r="U1326" s="10">
        <f>IF(VCU!$C$9="",0,(SUMIF(VCU!$B$51:$B$193,$J1326,VCU!$E$51:$E$193)*Impacts!$F$17))</f>
        <v>0</v>
      </c>
      <c r="V1326" s="10">
        <f>IF(CAS!$C$7="",0,(SUMIF(CAS!$B$31:$B$167,$J1326,CAS!$E$31:$E$167)*Impacts!$F$18))</f>
        <v>0</v>
      </c>
      <c r="W1326" s="10">
        <f t="shared" si="61"/>
        <v>0</v>
      </c>
      <c r="AK1326" s="10" t="str">
        <f t="array" ref="AK1326">IFERROR(INDEX(SelectedSpecies,SMALL(IF(SelectedSpecies=AK$1,ROW(SelectedSpecies)),ROW(1327:1327)),2),"")</f>
        <v/>
      </c>
      <c r="BE1326" s="10"/>
      <c r="BI1326" s="10"/>
    </row>
    <row r="1327" spans="1:61" ht="21" customHeight="1" x14ac:dyDescent="0.25">
      <c r="A1327" s="10"/>
      <c r="B1327" s="10"/>
      <c r="E1327" s="10"/>
      <c r="G1327" s="10"/>
      <c r="I1327" s="436" t="s">
        <v>6806</v>
      </c>
      <c r="J1327" s="26" t="s">
        <v>6805</v>
      </c>
      <c r="K1327" s="10">
        <v>0.5</v>
      </c>
      <c r="L1327" s="73">
        <f>IF(Tank1!$C$23="No control",(SUMIF(Tank1!$B$32:$B$49,$J1327,Tank1!$C$32:$C$49)*Impacts!$F$8),0)</f>
        <v>0</v>
      </c>
      <c r="M1327" s="10">
        <f>IF(Tank2!$C$23="No control",(SUMIF(Tank2!$B$32:$B$49,$J1327,Tank2!$C$32:$C$49)*Impacts!$F$9),0)</f>
        <v>0</v>
      </c>
      <c r="N1327" s="10">
        <f>IF(Tank3!$C$23="No control",(SUMIF(Tank3!$B$32:$B$49,$J1327,Tank3!$C$32:$C$49)*Impacts!$F$10),0)</f>
        <v>0</v>
      </c>
      <c r="O1327" s="10">
        <f>IF(Tank4!$C$23="No control",(SUMIF(Tank4!$B$32:$B$49,$J1327,Tank4!$C$32:$C$49)*Impacts!$F$11),0)</f>
        <v>0</v>
      </c>
      <c r="P1327" s="10">
        <f>IF(Tank5!$C$23="No control",(SUMIF(Tank5!$B$32:$B$49,$J1327,Tank5!$C$32:$C$49)*Impacts!$F$12),0)</f>
        <v>0</v>
      </c>
      <c r="Q1327" s="10">
        <f>IFERROR(IF(('Loading-drum,tote'!$C$21)="No control",SUMIF(('Loading-drum,tote'!$B$31:$B$48),$J1327,('Loading-drum,tote'!$D$31:$D$48))*Impacts!$F$13,IF(('Loading-drum,tote'!$C$21)&lt;&gt;"No control",SUMIF(('Loading-drum,tote'!$B$31:$B$48),$J1327,('Loading-drum,tote'!$E$31:$E$48))*Impacts!$F$13,0)),0)</f>
        <v>0</v>
      </c>
      <c r="R1327" s="10">
        <f>IFERROR(IF(('Loading-truck'!$C$21)="No control",SUMIF(('Loading-truck'!$B$31:$B$48),$J1327,('Loading-truck'!$D$31:$D$48))*Impacts!$F$14,IF(('Loading-truck'!$C$21)&lt;&gt;"No control",SUMIF(('Loading-truck'!$B$31:$B$48),$J1327,('Loading-truck'!$E$31:$E$48))*Impacts!$F$14,0)),0)</f>
        <v>0</v>
      </c>
      <c r="S1327" s="10">
        <f>IFERROR(IF(('Loading-rail'!$C$21)="No control",SUMIF(('Loading-rail'!$B$31:$B$48),$J1327,('Loading-rail'!$D$31:$D$48))*Impacts!$F$15,IF(('Loading-rail'!$C$21)&lt;&gt;"No control",SUMIF(('Loading-rail'!$B$31:$B$48),$J1327,('Loading-rail'!$E$31:$E$48))*Impacts!$F$15,0)),0)</f>
        <v>0</v>
      </c>
      <c r="T1327" s="10">
        <f>IF(Flare!$C$7="",0,(SUMIF(Flare!$B$46:$B$185,$J1327,Flare!$E$46:$E$185)*Impacts!$F$16))</f>
        <v>0</v>
      </c>
      <c r="U1327" s="10">
        <f>IF(VCU!$C$9="",0,(SUMIF(VCU!$B$51:$B$193,$J1327,VCU!$E$51:$E$193)*Impacts!$F$17))</f>
        <v>0</v>
      </c>
      <c r="V1327" s="10">
        <f>IF(CAS!$C$7="",0,(SUMIF(CAS!$B$31:$B$167,$J1327,CAS!$E$31:$E$167)*Impacts!$F$18))</f>
        <v>0</v>
      </c>
      <c r="W1327" s="10">
        <f t="shared" si="61"/>
        <v>0</v>
      </c>
      <c r="AK1327" s="10" t="str">
        <f t="array" ref="AK1327">IFERROR(INDEX(SelectedSpecies,SMALL(IF(SelectedSpecies=AK$1,ROW(SelectedSpecies)),ROW(1328:1328)),2),"")</f>
        <v/>
      </c>
      <c r="BE1327" s="10"/>
      <c r="BI1327" s="10"/>
    </row>
    <row r="1328" spans="1:61" ht="21" customHeight="1" x14ac:dyDescent="0.25">
      <c r="A1328" s="10"/>
      <c r="B1328" s="10"/>
      <c r="E1328" s="10"/>
      <c r="G1328" s="10"/>
      <c r="I1328" s="436" t="s">
        <v>888</v>
      </c>
      <c r="J1328" s="26" t="s">
        <v>887</v>
      </c>
      <c r="K1328" s="10">
        <v>45</v>
      </c>
      <c r="L1328" s="73">
        <f>IF(Tank1!$C$23="No control",(SUMIF(Tank1!$B$32:$B$49,$J1328,Tank1!$C$32:$C$49)*Impacts!$F$8),0)</f>
        <v>0</v>
      </c>
      <c r="M1328" s="10">
        <f>IF(Tank2!$C$23="No control",(SUMIF(Tank2!$B$32:$B$49,$J1328,Tank2!$C$32:$C$49)*Impacts!$F$9),0)</f>
        <v>0</v>
      </c>
      <c r="N1328" s="10">
        <f>IF(Tank3!$C$23="No control",(SUMIF(Tank3!$B$32:$B$49,$J1328,Tank3!$C$32:$C$49)*Impacts!$F$10),0)</f>
        <v>0</v>
      </c>
      <c r="O1328" s="10">
        <f>IF(Tank4!$C$23="No control",(SUMIF(Tank4!$B$32:$B$49,$J1328,Tank4!$C$32:$C$49)*Impacts!$F$11),0)</f>
        <v>0</v>
      </c>
      <c r="P1328" s="10">
        <f>IF(Tank5!$C$23="No control",(SUMIF(Tank5!$B$32:$B$49,$J1328,Tank5!$C$32:$C$49)*Impacts!$F$12),0)</f>
        <v>0</v>
      </c>
      <c r="Q1328" s="10">
        <f>IFERROR(IF(('Loading-drum,tote'!$C$21)="No control",SUMIF(('Loading-drum,tote'!$B$31:$B$48),$J1328,('Loading-drum,tote'!$D$31:$D$48))*Impacts!$F$13,IF(('Loading-drum,tote'!$C$21)&lt;&gt;"No control",SUMIF(('Loading-drum,tote'!$B$31:$B$48),$J1328,('Loading-drum,tote'!$E$31:$E$48))*Impacts!$F$13,0)),0)</f>
        <v>0</v>
      </c>
      <c r="R1328" s="10">
        <f>IFERROR(IF(('Loading-truck'!$C$21)="No control",SUMIF(('Loading-truck'!$B$31:$B$48),$J1328,('Loading-truck'!$D$31:$D$48))*Impacts!$F$14,IF(('Loading-truck'!$C$21)&lt;&gt;"No control",SUMIF(('Loading-truck'!$B$31:$B$48),$J1328,('Loading-truck'!$E$31:$E$48))*Impacts!$F$14,0)),0)</f>
        <v>0</v>
      </c>
      <c r="S1328" s="10">
        <f>IFERROR(IF(('Loading-rail'!$C$21)="No control",SUMIF(('Loading-rail'!$B$31:$B$48),$J1328,('Loading-rail'!$D$31:$D$48))*Impacts!$F$15,IF(('Loading-rail'!$C$21)&lt;&gt;"No control",SUMIF(('Loading-rail'!$B$31:$B$48),$J1328,('Loading-rail'!$E$31:$E$48))*Impacts!$F$15,0)),0)</f>
        <v>0</v>
      </c>
      <c r="T1328" s="10">
        <f>IF(Flare!$C$7="",0,(SUMIF(Flare!$B$46:$B$185,$J1328,Flare!$E$46:$E$185)*Impacts!$F$16))</f>
        <v>0</v>
      </c>
      <c r="U1328" s="10">
        <f>IF(VCU!$C$9="",0,(SUMIF(VCU!$B$51:$B$193,$J1328,VCU!$E$51:$E$193)*Impacts!$F$17))</f>
        <v>0</v>
      </c>
      <c r="V1328" s="10">
        <f>IF(CAS!$C$7="",0,(SUMIF(CAS!$B$31:$B$167,$J1328,CAS!$E$31:$E$167)*Impacts!$F$18))</f>
        <v>0</v>
      </c>
      <c r="W1328" s="10">
        <f t="shared" si="61"/>
        <v>0</v>
      </c>
      <c r="AK1328" s="10" t="str">
        <f t="array" ref="AK1328">IFERROR(INDEX(SelectedSpecies,SMALL(IF(SelectedSpecies=AK$1,ROW(SelectedSpecies)),ROW(1329:1329)),2),"")</f>
        <v/>
      </c>
      <c r="BE1328" s="10"/>
      <c r="BI1328" s="10"/>
    </row>
    <row r="1329" spans="1:61" ht="21" customHeight="1" x14ac:dyDescent="0.25">
      <c r="A1329" s="10"/>
      <c r="B1329" s="10"/>
      <c r="E1329" s="10"/>
      <c r="G1329" s="10"/>
      <c r="I1329" s="436" t="s">
        <v>2179</v>
      </c>
      <c r="J1329" s="26" t="s">
        <v>2178</v>
      </c>
      <c r="K1329" s="10">
        <v>15</v>
      </c>
      <c r="L1329" s="73">
        <f>IF(Tank1!$C$23="No control",(SUMIF(Tank1!$B$32:$B$49,$J1329,Tank1!$C$32:$C$49)*Impacts!$F$8),0)</f>
        <v>0</v>
      </c>
      <c r="M1329" s="10">
        <f>IF(Tank2!$C$23="No control",(SUMIF(Tank2!$B$32:$B$49,$J1329,Tank2!$C$32:$C$49)*Impacts!$F$9),0)</f>
        <v>0</v>
      </c>
      <c r="N1329" s="10">
        <f>IF(Tank3!$C$23="No control",(SUMIF(Tank3!$B$32:$B$49,$J1329,Tank3!$C$32:$C$49)*Impacts!$F$10),0)</f>
        <v>0</v>
      </c>
      <c r="O1329" s="10">
        <f>IF(Tank4!$C$23="No control",(SUMIF(Tank4!$B$32:$B$49,$J1329,Tank4!$C$32:$C$49)*Impacts!$F$11),0)</f>
        <v>0</v>
      </c>
      <c r="P1329" s="10">
        <f>IF(Tank5!$C$23="No control",(SUMIF(Tank5!$B$32:$B$49,$J1329,Tank5!$C$32:$C$49)*Impacts!$F$12),0)</f>
        <v>0</v>
      </c>
      <c r="Q1329" s="10">
        <f>IFERROR(IF(('Loading-drum,tote'!$C$21)="No control",SUMIF(('Loading-drum,tote'!$B$31:$B$48),$J1329,('Loading-drum,tote'!$D$31:$D$48))*Impacts!$F$13,IF(('Loading-drum,tote'!$C$21)&lt;&gt;"No control",SUMIF(('Loading-drum,tote'!$B$31:$B$48),$J1329,('Loading-drum,tote'!$E$31:$E$48))*Impacts!$F$13,0)),0)</f>
        <v>0</v>
      </c>
      <c r="R1329" s="10">
        <f>IFERROR(IF(('Loading-truck'!$C$21)="No control",SUMIF(('Loading-truck'!$B$31:$B$48),$J1329,('Loading-truck'!$D$31:$D$48))*Impacts!$F$14,IF(('Loading-truck'!$C$21)&lt;&gt;"No control",SUMIF(('Loading-truck'!$B$31:$B$48),$J1329,('Loading-truck'!$E$31:$E$48))*Impacts!$F$14,0)),0)</f>
        <v>0</v>
      </c>
      <c r="S1329" s="10">
        <f>IFERROR(IF(('Loading-rail'!$C$21)="No control",SUMIF(('Loading-rail'!$B$31:$B$48),$J1329,('Loading-rail'!$D$31:$D$48))*Impacts!$F$15,IF(('Loading-rail'!$C$21)&lt;&gt;"No control",SUMIF(('Loading-rail'!$B$31:$B$48),$J1329,('Loading-rail'!$E$31:$E$48))*Impacts!$F$15,0)),0)</f>
        <v>0</v>
      </c>
      <c r="T1329" s="10">
        <f>IF(Flare!$C$7="",0,(SUMIF(Flare!$B$46:$B$185,$J1329,Flare!$E$46:$E$185)*Impacts!$F$16))</f>
        <v>0</v>
      </c>
      <c r="U1329" s="10">
        <f>IF(VCU!$C$9="",0,(SUMIF(VCU!$B$51:$B$193,$J1329,VCU!$E$51:$E$193)*Impacts!$F$17))</f>
        <v>0</v>
      </c>
      <c r="V1329" s="10">
        <f>IF(CAS!$C$7="",0,(SUMIF(CAS!$B$31:$B$167,$J1329,CAS!$E$31:$E$167)*Impacts!$F$18))</f>
        <v>0</v>
      </c>
      <c r="W1329" s="10">
        <f t="shared" si="61"/>
        <v>0</v>
      </c>
      <c r="AK1329" s="10" t="str">
        <f t="array" ref="AK1329">IFERROR(INDEX(SelectedSpecies,SMALL(IF(SelectedSpecies=AK$1,ROW(SelectedSpecies)),ROW(1330:1330)),2),"")</f>
        <v/>
      </c>
      <c r="BE1329" s="10"/>
      <c r="BI1329" s="10"/>
    </row>
    <row r="1330" spans="1:61" ht="21" customHeight="1" x14ac:dyDescent="0.25">
      <c r="A1330" s="10"/>
      <c r="B1330" s="10"/>
      <c r="E1330" s="10"/>
      <c r="G1330" s="10"/>
      <c r="I1330" s="436" t="s">
        <v>890</v>
      </c>
      <c r="J1330" s="26" t="s">
        <v>889</v>
      </c>
      <c r="K1330" s="10">
        <v>45</v>
      </c>
      <c r="L1330" s="73">
        <f>IF(Tank1!$C$23="No control",(SUMIF(Tank1!$B$32:$B$49,$J1330,Tank1!$C$32:$C$49)*Impacts!$F$8),0)</f>
        <v>0</v>
      </c>
      <c r="M1330" s="10">
        <f>IF(Tank2!$C$23="No control",(SUMIF(Tank2!$B$32:$B$49,$J1330,Tank2!$C$32:$C$49)*Impacts!$F$9),0)</f>
        <v>0</v>
      </c>
      <c r="N1330" s="10">
        <f>IF(Tank3!$C$23="No control",(SUMIF(Tank3!$B$32:$B$49,$J1330,Tank3!$C$32:$C$49)*Impacts!$F$10),0)</f>
        <v>0</v>
      </c>
      <c r="O1330" s="10">
        <f>IF(Tank4!$C$23="No control",(SUMIF(Tank4!$B$32:$B$49,$J1330,Tank4!$C$32:$C$49)*Impacts!$F$11),0)</f>
        <v>0</v>
      </c>
      <c r="P1330" s="10">
        <f>IF(Tank5!$C$23="No control",(SUMIF(Tank5!$B$32:$B$49,$J1330,Tank5!$C$32:$C$49)*Impacts!$F$12),0)</f>
        <v>0</v>
      </c>
      <c r="Q1330" s="10">
        <f>IFERROR(IF(('Loading-drum,tote'!$C$21)="No control",SUMIF(('Loading-drum,tote'!$B$31:$B$48),$J1330,('Loading-drum,tote'!$D$31:$D$48))*Impacts!$F$13,IF(('Loading-drum,tote'!$C$21)&lt;&gt;"No control",SUMIF(('Loading-drum,tote'!$B$31:$B$48),$J1330,('Loading-drum,tote'!$E$31:$E$48))*Impacts!$F$13,0)),0)</f>
        <v>0</v>
      </c>
      <c r="R1330" s="10">
        <f>IFERROR(IF(('Loading-truck'!$C$21)="No control",SUMIF(('Loading-truck'!$B$31:$B$48),$J1330,('Loading-truck'!$D$31:$D$48))*Impacts!$F$14,IF(('Loading-truck'!$C$21)&lt;&gt;"No control",SUMIF(('Loading-truck'!$B$31:$B$48),$J1330,('Loading-truck'!$E$31:$E$48))*Impacts!$F$14,0)),0)</f>
        <v>0</v>
      </c>
      <c r="S1330" s="10">
        <f>IFERROR(IF(('Loading-rail'!$C$21)="No control",SUMIF(('Loading-rail'!$B$31:$B$48),$J1330,('Loading-rail'!$D$31:$D$48))*Impacts!$F$15,IF(('Loading-rail'!$C$21)&lt;&gt;"No control",SUMIF(('Loading-rail'!$B$31:$B$48),$J1330,('Loading-rail'!$E$31:$E$48))*Impacts!$F$15,0)),0)</f>
        <v>0</v>
      </c>
      <c r="T1330" s="10">
        <f>IF(Flare!$C$7="",0,(SUMIF(Flare!$B$46:$B$185,$J1330,Flare!$E$46:$E$185)*Impacts!$F$16))</f>
        <v>0</v>
      </c>
      <c r="U1330" s="10">
        <f>IF(VCU!$C$9="",0,(SUMIF(VCU!$B$51:$B$193,$J1330,VCU!$E$51:$E$193)*Impacts!$F$17))</f>
        <v>0</v>
      </c>
      <c r="V1330" s="10">
        <f>IF(CAS!$C$7="",0,(SUMIF(CAS!$B$31:$B$167,$J1330,CAS!$E$31:$E$167)*Impacts!$F$18))</f>
        <v>0</v>
      </c>
      <c r="W1330" s="10">
        <f t="shared" si="61"/>
        <v>0</v>
      </c>
      <c r="AK1330" s="10" t="str">
        <f t="array" ref="AK1330">IFERROR(INDEX(SelectedSpecies,SMALL(IF(SelectedSpecies=AK$1,ROW(SelectedSpecies)),ROW(1331:1331)),2),"")</f>
        <v/>
      </c>
      <c r="BE1330" s="10"/>
      <c r="BI1330" s="10"/>
    </row>
    <row r="1331" spans="1:61" ht="21" customHeight="1" x14ac:dyDescent="0.25">
      <c r="A1331" s="10"/>
      <c r="B1331" s="10"/>
      <c r="E1331" s="10"/>
      <c r="G1331" s="10"/>
      <c r="I1331" s="436" t="s">
        <v>892</v>
      </c>
      <c r="J1331" s="26" t="s">
        <v>891</v>
      </c>
      <c r="K1331" s="10">
        <v>45</v>
      </c>
      <c r="L1331" s="73">
        <f>IF(Tank1!$C$23="No control",(SUMIF(Tank1!$B$32:$B$49,$J1331,Tank1!$C$32:$C$49)*Impacts!$F$8),0)</f>
        <v>0</v>
      </c>
      <c r="M1331" s="10">
        <f>IF(Tank2!$C$23="No control",(SUMIF(Tank2!$B$32:$B$49,$J1331,Tank2!$C$32:$C$49)*Impacts!$F$9),0)</f>
        <v>0</v>
      </c>
      <c r="N1331" s="10">
        <f>IF(Tank3!$C$23="No control",(SUMIF(Tank3!$B$32:$B$49,$J1331,Tank3!$C$32:$C$49)*Impacts!$F$10),0)</f>
        <v>0</v>
      </c>
      <c r="O1331" s="10">
        <f>IF(Tank4!$C$23="No control",(SUMIF(Tank4!$B$32:$B$49,$J1331,Tank4!$C$32:$C$49)*Impacts!$F$11),0)</f>
        <v>0</v>
      </c>
      <c r="P1331" s="10">
        <f>IF(Tank5!$C$23="No control",(SUMIF(Tank5!$B$32:$B$49,$J1331,Tank5!$C$32:$C$49)*Impacts!$F$12),0)</f>
        <v>0</v>
      </c>
      <c r="Q1331" s="10">
        <f>IFERROR(IF(('Loading-drum,tote'!$C$21)="No control",SUMIF(('Loading-drum,tote'!$B$31:$B$48),$J1331,('Loading-drum,tote'!$D$31:$D$48))*Impacts!$F$13,IF(('Loading-drum,tote'!$C$21)&lt;&gt;"No control",SUMIF(('Loading-drum,tote'!$B$31:$B$48),$J1331,('Loading-drum,tote'!$E$31:$E$48))*Impacts!$F$13,0)),0)</f>
        <v>0</v>
      </c>
      <c r="R1331" s="10">
        <f>IFERROR(IF(('Loading-truck'!$C$21)="No control",SUMIF(('Loading-truck'!$B$31:$B$48),$J1331,('Loading-truck'!$D$31:$D$48))*Impacts!$F$14,IF(('Loading-truck'!$C$21)&lt;&gt;"No control",SUMIF(('Loading-truck'!$B$31:$B$48),$J1331,('Loading-truck'!$E$31:$E$48))*Impacts!$F$14,0)),0)</f>
        <v>0</v>
      </c>
      <c r="S1331" s="10">
        <f>IFERROR(IF(('Loading-rail'!$C$21)="No control",SUMIF(('Loading-rail'!$B$31:$B$48),$J1331,('Loading-rail'!$D$31:$D$48))*Impacts!$F$15,IF(('Loading-rail'!$C$21)&lt;&gt;"No control",SUMIF(('Loading-rail'!$B$31:$B$48),$J1331,('Loading-rail'!$E$31:$E$48))*Impacts!$F$15,0)),0)</f>
        <v>0</v>
      </c>
      <c r="T1331" s="10">
        <f>IF(Flare!$C$7="",0,(SUMIF(Flare!$B$46:$B$185,$J1331,Flare!$E$46:$E$185)*Impacts!$F$16))</f>
        <v>0</v>
      </c>
      <c r="U1331" s="10">
        <f>IF(VCU!$C$9="",0,(SUMIF(VCU!$B$51:$B$193,$J1331,VCU!$E$51:$E$193)*Impacts!$F$17))</f>
        <v>0</v>
      </c>
      <c r="V1331" s="10">
        <f>IF(CAS!$C$7="",0,(SUMIF(CAS!$B$31:$B$167,$J1331,CAS!$E$31:$E$167)*Impacts!$F$18))</f>
        <v>0</v>
      </c>
      <c r="W1331" s="10">
        <f t="shared" si="61"/>
        <v>0</v>
      </c>
      <c r="AK1331" s="10" t="str">
        <f t="array" ref="AK1331">IFERROR(INDEX(SelectedSpecies,SMALL(IF(SelectedSpecies=AK$1,ROW(SelectedSpecies)),ROW(1332:1332)),2),"")</f>
        <v/>
      </c>
      <c r="BE1331" s="10"/>
      <c r="BI1331" s="10"/>
    </row>
    <row r="1332" spans="1:61" ht="21" customHeight="1" x14ac:dyDescent="0.25">
      <c r="A1332" s="10"/>
      <c r="B1332" s="10"/>
      <c r="E1332" s="10"/>
      <c r="G1332" s="10"/>
      <c r="I1332" s="436" t="s">
        <v>894</v>
      </c>
      <c r="J1332" s="26" t="s">
        <v>893</v>
      </c>
      <c r="K1332" s="10">
        <v>45</v>
      </c>
      <c r="L1332" s="73">
        <f>IF(Tank1!$C$23="No control",(SUMIF(Tank1!$B$32:$B$49,$J1332,Tank1!$C$32:$C$49)*Impacts!$F$8),0)</f>
        <v>0</v>
      </c>
      <c r="M1332" s="10">
        <f>IF(Tank2!$C$23="No control",(SUMIF(Tank2!$B$32:$B$49,$J1332,Tank2!$C$32:$C$49)*Impacts!$F$9),0)</f>
        <v>0</v>
      </c>
      <c r="N1332" s="10">
        <f>IF(Tank3!$C$23="No control",(SUMIF(Tank3!$B$32:$B$49,$J1332,Tank3!$C$32:$C$49)*Impacts!$F$10),0)</f>
        <v>0</v>
      </c>
      <c r="O1332" s="10">
        <f>IF(Tank4!$C$23="No control",(SUMIF(Tank4!$B$32:$B$49,$J1332,Tank4!$C$32:$C$49)*Impacts!$F$11),0)</f>
        <v>0</v>
      </c>
      <c r="P1332" s="10">
        <f>IF(Tank5!$C$23="No control",(SUMIF(Tank5!$B$32:$B$49,$J1332,Tank5!$C$32:$C$49)*Impacts!$F$12),0)</f>
        <v>0</v>
      </c>
      <c r="Q1332" s="10">
        <f>IFERROR(IF(('Loading-drum,tote'!$C$21)="No control",SUMIF(('Loading-drum,tote'!$B$31:$B$48),$J1332,('Loading-drum,tote'!$D$31:$D$48))*Impacts!$F$13,IF(('Loading-drum,tote'!$C$21)&lt;&gt;"No control",SUMIF(('Loading-drum,tote'!$B$31:$B$48),$J1332,('Loading-drum,tote'!$E$31:$E$48))*Impacts!$F$13,0)),0)</f>
        <v>0</v>
      </c>
      <c r="R1332" s="10">
        <f>IFERROR(IF(('Loading-truck'!$C$21)="No control",SUMIF(('Loading-truck'!$B$31:$B$48),$J1332,('Loading-truck'!$D$31:$D$48))*Impacts!$F$14,IF(('Loading-truck'!$C$21)&lt;&gt;"No control",SUMIF(('Loading-truck'!$B$31:$B$48),$J1332,('Loading-truck'!$E$31:$E$48))*Impacts!$F$14,0)),0)</f>
        <v>0</v>
      </c>
      <c r="S1332" s="10">
        <f>IFERROR(IF(('Loading-rail'!$C$21)="No control",SUMIF(('Loading-rail'!$B$31:$B$48),$J1332,('Loading-rail'!$D$31:$D$48))*Impacts!$F$15,IF(('Loading-rail'!$C$21)&lt;&gt;"No control",SUMIF(('Loading-rail'!$B$31:$B$48),$J1332,('Loading-rail'!$E$31:$E$48))*Impacts!$F$15,0)),0)</f>
        <v>0</v>
      </c>
      <c r="T1332" s="10">
        <f>IF(Flare!$C$7="",0,(SUMIF(Flare!$B$46:$B$185,$J1332,Flare!$E$46:$E$185)*Impacts!$F$16))</f>
        <v>0</v>
      </c>
      <c r="U1332" s="10">
        <f>IF(VCU!$C$9="",0,(SUMIF(VCU!$B$51:$B$193,$J1332,VCU!$E$51:$E$193)*Impacts!$F$17))</f>
        <v>0</v>
      </c>
      <c r="V1332" s="10">
        <f>IF(CAS!$C$7="",0,(SUMIF(CAS!$B$31:$B$167,$J1332,CAS!$E$31:$E$167)*Impacts!$F$18))</f>
        <v>0</v>
      </c>
      <c r="W1332" s="10">
        <f t="shared" si="61"/>
        <v>0</v>
      </c>
      <c r="AK1332" s="10" t="str">
        <f t="array" ref="AK1332">IFERROR(INDEX(SelectedSpecies,SMALL(IF(SelectedSpecies=AK$1,ROW(SelectedSpecies)),ROW(1333:1333)),2),"")</f>
        <v/>
      </c>
      <c r="BE1332" s="10"/>
      <c r="BI1332" s="10"/>
    </row>
    <row r="1333" spans="1:61" ht="21" customHeight="1" x14ac:dyDescent="0.25">
      <c r="A1333" s="10"/>
      <c r="B1333" s="10"/>
      <c r="E1333" s="10"/>
      <c r="G1333" s="10"/>
      <c r="I1333" s="436" t="s">
        <v>896</v>
      </c>
      <c r="J1333" s="26" t="s">
        <v>895</v>
      </c>
      <c r="K1333" s="10">
        <v>45</v>
      </c>
      <c r="L1333" s="73">
        <f>IF(Tank1!$C$23="No control",(SUMIF(Tank1!$B$32:$B$49,$J1333,Tank1!$C$32:$C$49)*Impacts!$F$8),0)</f>
        <v>0</v>
      </c>
      <c r="M1333" s="10">
        <f>IF(Tank2!$C$23="No control",(SUMIF(Tank2!$B$32:$B$49,$J1333,Tank2!$C$32:$C$49)*Impacts!$F$9),0)</f>
        <v>0</v>
      </c>
      <c r="N1333" s="10">
        <f>IF(Tank3!$C$23="No control",(SUMIF(Tank3!$B$32:$B$49,$J1333,Tank3!$C$32:$C$49)*Impacts!$F$10),0)</f>
        <v>0</v>
      </c>
      <c r="O1333" s="10">
        <f>IF(Tank4!$C$23="No control",(SUMIF(Tank4!$B$32:$B$49,$J1333,Tank4!$C$32:$C$49)*Impacts!$F$11),0)</f>
        <v>0</v>
      </c>
      <c r="P1333" s="10">
        <f>IF(Tank5!$C$23="No control",(SUMIF(Tank5!$B$32:$B$49,$J1333,Tank5!$C$32:$C$49)*Impacts!$F$12),0)</f>
        <v>0</v>
      </c>
      <c r="Q1333" s="10">
        <f>IFERROR(IF(('Loading-drum,tote'!$C$21)="No control",SUMIF(('Loading-drum,tote'!$B$31:$B$48),$J1333,('Loading-drum,tote'!$D$31:$D$48))*Impacts!$F$13,IF(('Loading-drum,tote'!$C$21)&lt;&gt;"No control",SUMIF(('Loading-drum,tote'!$B$31:$B$48),$J1333,('Loading-drum,tote'!$E$31:$E$48))*Impacts!$F$13,0)),0)</f>
        <v>0</v>
      </c>
      <c r="R1333" s="10">
        <f>IFERROR(IF(('Loading-truck'!$C$21)="No control",SUMIF(('Loading-truck'!$B$31:$B$48),$J1333,('Loading-truck'!$D$31:$D$48))*Impacts!$F$14,IF(('Loading-truck'!$C$21)&lt;&gt;"No control",SUMIF(('Loading-truck'!$B$31:$B$48),$J1333,('Loading-truck'!$E$31:$E$48))*Impacts!$F$14,0)),0)</f>
        <v>0</v>
      </c>
      <c r="S1333" s="10">
        <f>IFERROR(IF(('Loading-rail'!$C$21)="No control",SUMIF(('Loading-rail'!$B$31:$B$48),$J1333,('Loading-rail'!$D$31:$D$48))*Impacts!$F$15,IF(('Loading-rail'!$C$21)&lt;&gt;"No control",SUMIF(('Loading-rail'!$B$31:$B$48),$J1333,('Loading-rail'!$E$31:$E$48))*Impacts!$F$15,0)),0)</f>
        <v>0</v>
      </c>
      <c r="T1333" s="10">
        <f>IF(Flare!$C$7="",0,(SUMIF(Flare!$B$46:$B$185,$J1333,Flare!$E$46:$E$185)*Impacts!$F$16))</f>
        <v>0</v>
      </c>
      <c r="U1333" s="10">
        <f>IF(VCU!$C$9="",0,(SUMIF(VCU!$B$51:$B$193,$J1333,VCU!$E$51:$E$193)*Impacts!$F$17))</f>
        <v>0</v>
      </c>
      <c r="V1333" s="10">
        <f>IF(CAS!$C$7="",0,(SUMIF(CAS!$B$31:$B$167,$J1333,CAS!$E$31:$E$167)*Impacts!$F$18))</f>
        <v>0</v>
      </c>
      <c r="W1333" s="10">
        <f t="shared" si="61"/>
        <v>0</v>
      </c>
      <c r="AK1333" s="10" t="str">
        <f t="array" ref="AK1333">IFERROR(INDEX(SelectedSpecies,SMALL(IF(SelectedSpecies=AK$1,ROW(SelectedSpecies)),ROW(1334:1334)),2),"")</f>
        <v/>
      </c>
      <c r="BE1333" s="10"/>
      <c r="BI1333" s="10"/>
    </row>
    <row r="1334" spans="1:61" ht="21" customHeight="1" x14ac:dyDescent="0.25">
      <c r="A1334" s="10"/>
      <c r="B1334" s="10"/>
      <c r="E1334" s="10"/>
      <c r="G1334" s="10"/>
      <c r="I1334" s="436" t="s">
        <v>2787</v>
      </c>
      <c r="J1334" s="26" t="s">
        <v>2786</v>
      </c>
      <c r="K1334" s="10">
        <v>10</v>
      </c>
      <c r="L1334" s="73">
        <f>IF(Tank1!$C$23="No control",(SUMIF(Tank1!$B$32:$B$49,$J1334,Tank1!$C$32:$C$49)*Impacts!$F$8),0)</f>
        <v>0</v>
      </c>
      <c r="M1334" s="10">
        <f>IF(Tank2!$C$23="No control",(SUMIF(Tank2!$B$32:$B$49,$J1334,Tank2!$C$32:$C$49)*Impacts!$F$9),0)</f>
        <v>0</v>
      </c>
      <c r="N1334" s="10">
        <f>IF(Tank3!$C$23="No control",(SUMIF(Tank3!$B$32:$B$49,$J1334,Tank3!$C$32:$C$49)*Impacts!$F$10),0)</f>
        <v>0</v>
      </c>
      <c r="O1334" s="10">
        <f>IF(Tank4!$C$23="No control",(SUMIF(Tank4!$B$32:$B$49,$J1334,Tank4!$C$32:$C$49)*Impacts!$F$11),0)</f>
        <v>0</v>
      </c>
      <c r="P1334" s="10">
        <f>IF(Tank5!$C$23="No control",(SUMIF(Tank5!$B$32:$B$49,$J1334,Tank5!$C$32:$C$49)*Impacts!$F$12),0)</f>
        <v>0</v>
      </c>
      <c r="Q1334" s="10">
        <f>IFERROR(IF(('Loading-drum,tote'!$C$21)="No control",SUMIF(('Loading-drum,tote'!$B$31:$B$48),$J1334,('Loading-drum,tote'!$D$31:$D$48))*Impacts!$F$13,IF(('Loading-drum,tote'!$C$21)&lt;&gt;"No control",SUMIF(('Loading-drum,tote'!$B$31:$B$48),$J1334,('Loading-drum,tote'!$E$31:$E$48))*Impacts!$F$13,0)),0)</f>
        <v>0</v>
      </c>
      <c r="R1334" s="10">
        <f>IFERROR(IF(('Loading-truck'!$C$21)="No control",SUMIF(('Loading-truck'!$B$31:$B$48),$J1334,('Loading-truck'!$D$31:$D$48))*Impacts!$F$14,IF(('Loading-truck'!$C$21)&lt;&gt;"No control",SUMIF(('Loading-truck'!$B$31:$B$48),$J1334,('Loading-truck'!$E$31:$E$48))*Impacts!$F$14,0)),0)</f>
        <v>0</v>
      </c>
      <c r="S1334" s="10">
        <f>IFERROR(IF(('Loading-rail'!$C$21)="No control",SUMIF(('Loading-rail'!$B$31:$B$48),$J1334,('Loading-rail'!$D$31:$D$48))*Impacts!$F$15,IF(('Loading-rail'!$C$21)&lt;&gt;"No control",SUMIF(('Loading-rail'!$B$31:$B$48),$J1334,('Loading-rail'!$E$31:$E$48))*Impacts!$F$15,0)),0)</f>
        <v>0</v>
      </c>
      <c r="T1334" s="10">
        <f>IF(Flare!$C$7="",0,(SUMIF(Flare!$B$46:$B$185,$J1334,Flare!$E$46:$E$185)*Impacts!$F$16))</f>
        <v>0</v>
      </c>
      <c r="U1334" s="10">
        <f>IF(VCU!$C$9="",0,(SUMIF(VCU!$B$51:$B$193,$J1334,VCU!$E$51:$E$193)*Impacts!$F$17))</f>
        <v>0</v>
      </c>
      <c r="V1334" s="10">
        <f>IF(CAS!$C$7="",0,(SUMIF(CAS!$B$31:$B$167,$J1334,CAS!$E$31:$E$167)*Impacts!$F$18))</f>
        <v>0</v>
      </c>
      <c r="W1334" s="10">
        <f t="shared" si="61"/>
        <v>0</v>
      </c>
      <c r="AK1334" s="10" t="str">
        <f t="array" ref="AK1334">IFERROR(INDEX(SelectedSpecies,SMALL(IF(SelectedSpecies=AK$1,ROW(SelectedSpecies)),ROW(1335:1335)),2),"")</f>
        <v/>
      </c>
      <c r="BE1334" s="10"/>
      <c r="BI1334" s="10"/>
    </row>
    <row r="1335" spans="1:61" ht="21" customHeight="1" x14ac:dyDescent="0.25">
      <c r="A1335" s="10"/>
      <c r="B1335" s="10"/>
      <c r="E1335" s="10"/>
      <c r="G1335" s="10"/>
      <c r="I1335" s="436" t="s">
        <v>8258</v>
      </c>
      <c r="J1335" s="26" t="s">
        <v>8257</v>
      </c>
      <c r="K1335" s="10">
        <v>5.000000000000001E-3</v>
      </c>
      <c r="L1335" s="73">
        <f>IF(Tank1!$C$23="No control",(SUMIF(Tank1!$B$32:$B$49,$J1335,Tank1!$C$32:$C$49)*Impacts!$F$8),0)</f>
        <v>0</v>
      </c>
      <c r="M1335" s="10">
        <f>IF(Tank2!$C$23="No control",(SUMIF(Tank2!$B$32:$B$49,$J1335,Tank2!$C$32:$C$49)*Impacts!$F$9),0)</f>
        <v>0</v>
      </c>
      <c r="N1335" s="10">
        <f>IF(Tank3!$C$23="No control",(SUMIF(Tank3!$B$32:$B$49,$J1335,Tank3!$C$32:$C$49)*Impacts!$F$10),0)</f>
        <v>0</v>
      </c>
      <c r="O1335" s="10">
        <f>IF(Tank4!$C$23="No control",(SUMIF(Tank4!$B$32:$B$49,$J1335,Tank4!$C$32:$C$49)*Impacts!$F$11),0)</f>
        <v>0</v>
      </c>
      <c r="P1335" s="10">
        <f>IF(Tank5!$C$23="No control",(SUMIF(Tank5!$B$32:$B$49,$J1335,Tank5!$C$32:$C$49)*Impacts!$F$12),0)</f>
        <v>0</v>
      </c>
      <c r="Q1335" s="10">
        <f>IFERROR(IF(('Loading-drum,tote'!$C$21)="No control",SUMIF(('Loading-drum,tote'!$B$31:$B$48),$J1335,('Loading-drum,tote'!$D$31:$D$48))*Impacts!$F$13,IF(('Loading-drum,tote'!$C$21)&lt;&gt;"No control",SUMIF(('Loading-drum,tote'!$B$31:$B$48),$J1335,('Loading-drum,tote'!$E$31:$E$48))*Impacts!$F$13,0)),0)</f>
        <v>0</v>
      </c>
      <c r="R1335" s="10">
        <f>IFERROR(IF(('Loading-truck'!$C$21)="No control",SUMIF(('Loading-truck'!$B$31:$B$48),$J1335,('Loading-truck'!$D$31:$D$48))*Impacts!$F$14,IF(('Loading-truck'!$C$21)&lt;&gt;"No control",SUMIF(('Loading-truck'!$B$31:$B$48),$J1335,('Loading-truck'!$E$31:$E$48))*Impacts!$F$14,0)),0)</f>
        <v>0</v>
      </c>
      <c r="S1335" s="10">
        <f>IFERROR(IF(('Loading-rail'!$C$21)="No control",SUMIF(('Loading-rail'!$B$31:$B$48),$J1335,('Loading-rail'!$D$31:$D$48))*Impacts!$F$15,IF(('Loading-rail'!$C$21)&lt;&gt;"No control",SUMIF(('Loading-rail'!$B$31:$B$48),$J1335,('Loading-rail'!$E$31:$E$48))*Impacts!$F$15,0)),0)</f>
        <v>0</v>
      </c>
      <c r="T1335" s="10">
        <f>IF(Flare!$C$7="",0,(SUMIF(Flare!$B$46:$B$185,$J1335,Flare!$E$46:$E$185)*Impacts!$F$16))</f>
        <v>0</v>
      </c>
      <c r="U1335" s="10">
        <f>IF(VCU!$C$9="",0,(SUMIF(VCU!$B$51:$B$193,$J1335,VCU!$E$51:$E$193)*Impacts!$F$17))</f>
        <v>0</v>
      </c>
      <c r="V1335" s="10">
        <f>IF(CAS!$C$7="",0,(SUMIF(CAS!$B$31:$B$167,$J1335,CAS!$E$31:$E$167)*Impacts!$F$18))</f>
        <v>0</v>
      </c>
      <c r="W1335" s="10">
        <f t="shared" si="61"/>
        <v>0</v>
      </c>
      <c r="AK1335" s="10" t="str">
        <f t="array" ref="AK1335">IFERROR(INDEX(SelectedSpecies,SMALL(IF(SelectedSpecies=AK$1,ROW(SelectedSpecies)),ROW(1336:1336)),2),"")</f>
        <v/>
      </c>
      <c r="BE1335" s="10"/>
      <c r="BI1335" s="10"/>
    </row>
    <row r="1336" spans="1:61" ht="21" customHeight="1" x14ac:dyDescent="0.25">
      <c r="A1336" s="10"/>
      <c r="B1336" s="10"/>
      <c r="E1336" s="10"/>
      <c r="G1336" s="10"/>
      <c r="I1336" s="436" t="s">
        <v>7720</v>
      </c>
      <c r="J1336" s="26" t="s">
        <v>7719</v>
      </c>
      <c r="K1336" s="10">
        <v>0.1</v>
      </c>
      <c r="L1336" s="73">
        <f>IF(Tank1!$C$23="No control",(SUMIF(Tank1!$B$32:$B$49,$J1336,Tank1!$C$32:$C$49)*Impacts!$F$8),0)</f>
        <v>0</v>
      </c>
      <c r="M1336" s="10">
        <f>IF(Tank2!$C$23="No control",(SUMIF(Tank2!$B$32:$B$49,$J1336,Tank2!$C$32:$C$49)*Impacts!$F$9),0)</f>
        <v>0</v>
      </c>
      <c r="N1336" s="10">
        <f>IF(Tank3!$C$23="No control",(SUMIF(Tank3!$B$32:$B$49,$J1336,Tank3!$C$32:$C$49)*Impacts!$F$10),0)</f>
        <v>0</v>
      </c>
      <c r="O1336" s="10">
        <f>IF(Tank4!$C$23="No control",(SUMIF(Tank4!$B$32:$B$49,$J1336,Tank4!$C$32:$C$49)*Impacts!$F$11),0)</f>
        <v>0</v>
      </c>
      <c r="P1336" s="10">
        <f>IF(Tank5!$C$23="No control",(SUMIF(Tank5!$B$32:$B$49,$J1336,Tank5!$C$32:$C$49)*Impacts!$F$12),0)</f>
        <v>0</v>
      </c>
      <c r="Q1336" s="10">
        <f>IFERROR(IF(('Loading-drum,tote'!$C$21)="No control",SUMIF(('Loading-drum,tote'!$B$31:$B$48),$J1336,('Loading-drum,tote'!$D$31:$D$48))*Impacts!$F$13,IF(('Loading-drum,tote'!$C$21)&lt;&gt;"No control",SUMIF(('Loading-drum,tote'!$B$31:$B$48),$J1336,('Loading-drum,tote'!$E$31:$E$48))*Impacts!$F$13,0)),0)</f>
        <v>0</v>
      </c>
      <c r="R1336" s="10">
        <f>IFERROR(IF(('Loading-truck'!$C$21)="No control",SUMIF(('Loading-truck'!$B$31:$B$48),$J1336,('Loading-truck'!$D$31:$D$48))*Impacts!$F$14,IF(('Loading-truck'!$C$21)&lt;&gt;"No control",SUMIF(('Loading-truck'!$B$31:$B$48),$J1336,('Loading-truck'!$E$31:$E$48))*Impacts!$F$14,0)),0)</f>
        <v>0</v>
      </c>
      <c r="S1336" s="10">
        <f>IFERROR(IF(('Loading-rail'!$C$21)="No control",SUMIF(('Loading-rail'!$B$31:$B$48),$J1336,('Loading-rail'!$D$31:$D$48))*Impacts!$F$15,IF(('Loading-rail'!$C$21)&lt;&gt;"No control",SUMIF(('Loading-rail'!$B$31:$B$48),$J1336,('Loading-rail'!$E$31:$E$48))*Impacts!$F$15,0)),0)</f>
        <v>0</v>
      </c>
      <c r="T1336" s="10">
        <f>IF(Flare!$C$7="",0,(SUMIF(Flare!$B$46:$B$185,$J1336,Flare!$E$46:$E$185)*Impacts!$F$16))</f>
        <v>0</v>
      </c>
      <c r="U1336" s="10">
        <f>IF(VCU!$C$9="",0,(SUMIF(VCU!$B$51:$B$193,$J1336,VCU!$E$51:$E$193)*Impacts!$F$17))</f>
        <v>0</v>
      </c>
      <c r="V1336" s="10">
        <f>IF(CAS!$C$7="",0,(SUMIF(CAS!$B$31:$B$167,$J1336,CAS!$E$31:$E$167)*Impacts!$F$18))</f>
        <v>0</v>
      </c>
      <c r="W1336" s="10">
        <f t="shared" si="61"/>
        <v>0</v>
      </c>
      <c r="AK1336" s="10" t="str">
        <f t="array" ref="AK1336">IFERROR(INDEX(SelectedSpecies,SMALL(IF(SelectedSpecies=AK$1,ROW(SelectedSpecies)),ROW(1337:1337)),2),"")</f>
        <v/>
      </c>
      <c r="BE1336" s="10"/>
      <c r="BI1336" s="10"/>
    </row>
    <row r="1337" spans="1:61" ht="21" customHeight="1" x14ac:dyDescent="0.25">
      <c r="A1337" s="10"/>
      <c r="B1337" s="10"/>
      <c r="E1337" s="10"/>
      <c r="G1337" s="10"/>
      <c r="I1337" s="436" t="s">
        <v>5147</v>
      </c>
      <c r="J1337" s="26" t="s">
        <v>5146</v>
      </c>
      <c r="K1337" s="10">
        <v>2</v>
      </c>
      <c r="L1337" s="73">
        <f>IF(Tank1!$C$23="No control",(SUMIF(Tank1!$B$32:$B$49,$J1337,Tank1!$C$32:$C$49)*Impacts!$F$8),0)</f>
        <v>0</v>
      </c>
      <c r="M1337" s="10">
        <f>IF(Tank2!$C$23="No control",(SUMIF(Tank2!$B$32:$B$49,$J1337,Tank2!$C$32:$C$49)*Impacts!$F$9),0)</f>
        <v>0</v>
      </c>
      <c r="N1337" s="10">
        <f>IF(Tank3!$C$23="No control",(SUMIF(Tank3!$B$32:$B$49,$J1337,Tank3!$C$32:$C$49)*Impacts!$F$10),0)</f>
        <v>0</v>
      </c>
      <c r="O1337" s="10">
        <f>IF(Tank4!$C$23="No control",(SUMIF(Tank4!$B$32:$B$49,$J1337,Tank4!$C$32:$C$49)*Impacts!$F$11),0)</f>
        <v>0</v>
      </c>
      <c r="P1337" s="10">
        <f>IF(Tank5!$C$23="No control",(SUMIF(Tank5!$B$32:$B$49,$J1337,Tank5!$C$32:$C$49)*Impacts!$F$12),0)</f>
        <v>0</v>
      </c>
      <c r="Q1337" s="10">
        <f>IFERROR(IF(('Loading-drum,tote'!$C$21)="No control",SUMIF(('Loading-drum,tote'!$B$31:$B$48),$J1337,('Loading-drum,tote'!$D$31:$D$48))*Impacts!$F$13,IF(('Loading-drum,tote'!$C$21)&lt;&gt;"No control",SUMIF(('Loading-drum,tote'!$B$31:$B$48),$J1337,('Loading-drum,tote'!$E$31:$E$48))*Impacts!$F$13,0)),0)</f>
        <v>0</v>
      </c>
      <c r="R1337" s="10">
        <f>IFERROR(IF(('Loading-truck'!$C$21)="No control",SUMIF(('Loading-truck'!$B$31:$B$48),$J1337,('Loading-truck'!$D$31:$D$48))*Impacts!$F$14,IF(('Loading-truck'!$C$21)&lt;&gt;"No control",SUMIF(('Loading-truck'!$B$31:$B$48),$J1337,('Loading-truck'!$E$31:$E$48))*Impacts!$F$14,0)),0)</f>
        <v>0</v>
      </c>
      <c r="S1337" s="10">
        <f>IFERROR(IF(('Loading-rail'!$C$21)="No control",SUMIF(('Loading-rail'!$B$31:$B$48),$J1337,('Loading-rail'!$D$31:$D$48))*Impacts!$F$15,IF(('Loading-rail'!$C$21)&lt;&gt;"No control",SUMIF(('Loading-rail'!$B$31:$B$48),$J1337,('Loading-rail'!$E$31:$E$48))*Impacts!$F$15,0)),0)</f>
        <v>0</v>
      </c>
      <c r="T1337" s="10">
        <f>IF(Flare!$C$7="",0,(SUMIF(Flare!$B$46:$B$185,$J1337,Flare!$E$46:$E$185)*Impacts!$F$16))</f>
        <v>0</v>
      </c>
      <c r="U1337" s="10">
        <f>IF(VCU!$C$9="",0,(SUMIF(VCU!$B$51:$B$193,$J1337,VCU!$E$51:$E$193)*Impacts!$F$17))</f>
        <v>0</v>
      </c>
      <c r="V1337" s="10">
        <f>IF(CAS!$C$7="",0,(SUMIF(CAS!$B$31:$B$167,$J1337,CAS!$E$31:$E$167)*Impacts!$F$18))</f>
        <v>0</v>
      </c>
      <c r="W1337" s="10">
        <f t="shared" si="61"/>
        <v>0</v>
      </c>
      <c r="AK1337" s="10" t="str">
        <f t="array" ref="AK1337">IFERROR(INDEX(SelectedSpecies,SMALL(IF(SelectedSpecies=AK$1,ROW(SelectedSpecies)),ROW(1338:1338)),2),"")</f>
        <v/>
      </c>
      <c r="BE1337" s="10"/>
      <c r="BI1337" s="10"/>
    </row>
    <row r="1338" spans="1:61" ht="21" customHeight="1" x14ac:dyDescent="0.25">
      <c r="A1338" s="10"/>
      <c r="B1338" s="10"/>
      <c r="E1338" s="10"/>
      <c r="G1338" s="10"/>
      <c r="I1338" s="436" t="s">
        <v>4663</v>
      </c>
      <c r="J1338" s="26" t="s">
        <v>4662</v>
      </c>
      <c r="K1338" s="10">
        <v>3.7</v>
      </c>
      <c r="L1338" s="73">
        <f>IF(Tank1!$C$23="No control",(SUMIF(Tank1!$B$32:$B$49,$J1338,Tank1!$C$32:$C$49)*Impacts!$F$8),0)</f>
        <v>0</v>
      </c>
      <c r="M1338" s="10">
        <f>IF(Tank2!$C$23="No control",(SUMIF(Tank2!$B$32:$B$49,$J1338,Tank2!$C$32:$C$49)*Impacts!$F$9),0)</f>
        <v>0</v>
      </c>
      <c r="N1338" s="10">
        <f>IF(Tank3!$C$23="No control",(SUMIF(Tank3!$B$32:$B$49,$J1338,Tank3!$C$32:$C$49)*Impacts!$F$10),0)</f>
        <v>0</v>
      </c>
      <c r="O1338" s="10">
        <f>IF(Tank4!$C$23="No control",(SUMIF(Tank4!$B$32:$B$49,$J1338,Tank4!$C$32:$C$49)*Impacts!$F$11),0)</f>
        <v>0</v>
      </c>
      <c r="P1338" s="10">
        <f>IF(Tank5!$C$23="No control",(SUMIF(Tank5!$B$32:$B$49,$J1338,Tank5!$C$32:$C$49)*Impacts!$F$12),0)</f>
        <v>0</v>
      </c>
      <c r="Q1338" s="10">
        <f>IFERROR(IF(('Loading-drum,tote'!$C$21)="No control",SUMIF(('Loading-drum,tote'!$B$31:$B$48),$J1338,('Loading-drum,tote'!$D$31:$D$48))*Impacts!$F$13,IF(('Loading-drum,tote'!$C$21)&lt;&gt;"No control",SUMIF(('Loading-drum,tote'!$B$31:$B$48),$J1338,('Loading-drum,tote'!$E$31:$E$48))*Impacts!$F$13,0)),0)</f>
        <v>0</v>
      </c>
      <c r="R1338" s="10">
        <f>IFERROR(IF(('Loading-truck'!$C$21)="No control",SUMIF(('Loading-truck'!$B$31:$B$48),$J1338,('Loading-truck'!$D$31:$D$48))*Impacts!$F$14,IF(('Loading-truck'!$C$21)&lt;&gt;"No control",SUMIF(('Loading-truck'!$B$31:$B$48),$J1338,('Loading-truck'!$E$31:$E$48))*Impacts!$F$14,0)),0)</f>
        <v>0</v>
      </c>
      <c r="S1338" s="10">
        <f>IFERROR(IF(('Loading-rail'!$C$21)="No control",SUMIF(('Loading-rail'!$B$31:$B$48),$J1338,('Loading-rail'!$D$31:$D$48))*Impacts!$F$15,IF(('Loading-rail'!$C$21)&lt;&gt;"No control",SUMIF(('Loading-rail'!$B$31:$B$48),$J1338,('Loading-rail'!$E$31:$E$48))*Impacts!$F$15,0)),0)</f>
        <v>0</v>
      </c>
      <c r="T1338" s="10">
        <f>IF(Flare!$C$7="",0,(SUMIF(Flare!$B$46:$B$185,$J1338,Flare!$E$46:$E$185)*Impacts!$F$16))</f>
        <v>0</v>
      </c>
      <c r="U1338" s="10">
        <f>IF(VCU!$C$9="",0,(SUMIF(VCU!$B$51:$B$193,$J1338,VCU!$E$51:$E$193)*Impacts!$F$17))</f>
        <v>0</v>
      </c>
      <c r="V1338" s="10">
        <f>IF(CAS!$C$7="",0,(SUMIF(CAS!$B$31:$B$167,$J1338,CAS!$E$31:$E$167)*Impacts!$F$18))</f>
        <v>0</v>
      </c>
      <c r="W1338" s="10">
        <f t="shared" si="61"/>
        <v>0</v>
      </c>
      <c r="AK1338" s="10" t="str">
        <f t="array" ref="AK1338">IFERROR(INDEX(SelectedSpecies,SMALL(IF(SelectedSpecies=AK$1,ROW(SelectedSpecies)),ROW(1339:1339)),2),"")</f>
        <v/>
      </c>
      <c r="BE1338" s="10"/>
      <c r="BI1338" s="10"/>
    </row>
    <row r="1339" spans="1:61" ht="21" customHeight="1" x14ac:dyDescent="0.25">
      <c r="A1339" s="10"/>
      <c r="B1339" s="10"/>
      <c r="E1339" s="10"/>
      <c r="G1339" s="10"/>
      <c r="I1339" s="436" t="s">
        <v>7814</v>
      </c>
      <c r="J1339" s="26" t="s">
        <v>7813</v>
      </c>
      <c r="K1339" s="10">
        <v>8.0000000000000016E-2</v>
      </c>
      <c r="L1339" s="73">
        <f>IF(Tank1!$C$23="No control",(SUMIF(Tank1!$B$32:$B$49,$J1339,Tank1!$C$32:$C$49)*Impacts!$F$8),0)</f>
        <v>0</v>
      </c>
      <c r="M1339" s="10">
        <f>IF(Tank2!$C$23="No control",(SUMIF(Tank2!$B$32:$B$49,$J1339,Tank2!$C$32:$C$49)*Impacts!$F$9),0)</f>
        <v>0</v>
      </c>
      <c r="N1339" s="10">
        <f>IF(Tank3!$C$23="No control",(SUMIF(Tank3!$B$32:$B$49,$J1339,Tank3!$C$32:$C$49)*Impacts!$F$10),0)</f>
        <v>0</v>
      </c>
      <c r="O1339" s="10">
        <f>IF(Tank4!$C$23="No control",(SUMIF(Tank4!$B$32:$B$49,$J1339,Tank4!$C$32:$C$49)*Impacts!$F$11),0)</f>
        <v>0</v>
      </c>
      <c r="P1339" s="10">
        <f>IF(Tank5!$C$23="No control",(SUMIF(Tank5!$B$32:$B$49,$J1339,Tank5!$C$32:$C$49)*Impacts!$F$12),0)</f>
        <v>0</v>
      </c>
      <c r="Q1339" s="10">
        <f>IFERROR(IF(('Loading-drum,tote'!$C$21)="No control",SUMIF(('Loading-drum,tote'!$B$31:$B$48),$J1339,('Loading-drum,tote'!$D$31:$D$48))*Impacts!$F$13,IF(('Loading-drum,tote'!$C$21)&lt;&gt;"No control",SUMIF(('Loading-drum,tote'!$B$31:$B$48),$J1339,('Loading-drum,tote'!$E$31:$E$48))*Impacts!$F$13,0)),0)</f>
        <v>0</v>
      </c>
      <c r="R1339" s="10">
        <f>IFERROR(IF(('Loading-truck'!$C$21)="No control",SUMIF(('Loading-truck'!$B$31:$B$48),$J1339,('Loading-truck'!$D$31:$D$48))*Impacts!$F$14,IF(('Loading-truck'!$C$21)&lt;&gt;"No control",SUMIF(('Loading-truck'!$B$31:$B$48),$J1339,('Loading-truck'!$E$31:$E$48))*Impacts!$F$14,0)),0)</f>
        <v>0</v>
      </c>
      <c r="S1339" s="10">
        <f>IFERROR(IF(('Loading-rail'!$C$21)="No control",SUMIF(('Loading-rail'!$B$31:$B$48),$J1339,('Loading-rail'!$D$31:$D$48))*Impacts!$F$15,IF(('Loading-rail'!$C$21)&lt;&gt;"No control",SUMIF(('Loading-rail'!$B$31:$B$48),$J1339,('Loading-rail'!$E$31:$E$48))*Impacts!$F$15,0)),0)</f>
        <v>0</v>
      </c>
      <c r="T1339" s="10">
        <f>IF(Flare!$C$7="",0,(SUMIF(Flare!$B$46:$B$185,$J1339,Flare!$E$46:$E$185)*Impacts!$F$16))</f>
        <v>0</v>
      </c>
      <c r="U1339" s="10">
        <f>IF(VCU!$C$9="",0,(SUMIF(VCU!$B$51:$B$193,$J1339,VCU!$E$51:$E$193)*Impacts!$F$17))</f>
        <v>0</v>
      </c>
      <c r="V1339" s="10">
        <f>IF(CAS!$C$7="",0,(SUMIF(CAS!$B$31:$B$167,$J1339,CAS!$E$31:$E$167)*Impacts!$F$18))</f>
        <v>0</v>
      </c>
      <c r="W1339" s="10">
        <f t="shared" si="61"/>
        <v>0</v>
      </c>
      <c r="AK1339" s="10" t="str">
        <f t="array" ref="AK1339">IFERROR(INDEX(SelectedSpecies,SMALL(IF(SelectedSpecies=AK$1,ROW(SelectedSpecies)),ROW(1340:1340)),2),"")</f>
        <v/>
      </c>
      <c r="BE1339" s="10"/>
      <c r="BI1339" s="10"/>
    </row>
    <row r="1340" spans="1:61" ht="21" customHeight="1" x14ac:dyDescent="0.25">
      <c r="A1340" s="10"/>
      <c r="B1340" s="10"/>
      <c r="E1340" s="10"/>
      <c r="G1340" s="10"/>
      <c r="I1340" s="436" t="s">
        <v>4265</v>
      </c>
      <c r="J1340" s="26" t="s">
        <v>4264</v>
      </c>
      <c r="K1340" s="10">
        <v>5</v>
      </c>
      <c r="L1340" s="73">
        <f>IF(Tank1!$C$23="No control",(SUMIF(Tank1!$B$32:$B$49,$J1340,Tank1!$C$32:$C$49)*Impacts!$F$8),0)</f>
        <v>0</v>
      </c>
      <c r="M1340" s="10">
        <f>IF(Tank2!$C$23="No control",(SUMIF(Tank2!$B$32:$B$49,$J1340,Tank2!$C$32:$C$49)*Impacts!$F$9),0)</f>
        <v>0</v>
      </c>
      <c r="N1340" s="10">
        <f>IF(Tank3!$C$23="No control",(SUMIF(Tank3!$B$32:$B$49,$J1340,Tank3!$C$32:$C$49)*Impacts!$F$10),0)</f>
        <v>0</v>
      </c>
      <c r="O1340" s="10">
        <f>IF(Tank4!$C$23="No control",(SUMIF(Tank4!$B$32:$B$49,$J1340,Tank4!$C$32:$C$49)*Impacts!$F$11),0)</f>
        <v>0</v>
      </c>
      <c r="P1340" s="10">
        <f>IF(Tank5!$C$23="No control",(SUMIF(Tank5!$B$32:$B$49,$J1340,Tank5!$C$32:$C$49)*Impacts!$F$12),0)</f>
        <v>0</v>
      </c>
      <c r="Q1340" s="10">
        <f>IFERROR(IF(('Loading-drum,tote'!$C$21)="No control",SUMIF(('Loading-drum,tote'!$B$31:$B$48),$J1340,('Loading-drum,tote'!$D$31:$D$48))*Impacts!$F$13,IF(('Loading-drum,tote'!$C$21)&lt;&gt;"No control",SUMIF(('Loading-drum,tote'!$B$31:$B$48),$J1340,('Loading-drum,tote'!$E$31:$E$48))*Impacts!$F$13,0)),0)</f>
        <v>0</v>
      </c>
      <c r="R1340" s="10">
        <f>IFERROR(IF(('Loading-truck'!$C$21)="No control",SUMIF(('Loading-truck'!$B$31:$B$48),$J1340,('Loading-truck'!$D$31:$D$48))*Impacts!$F$14,IF(('Loading-truck'!$C$21)&lt;&gt;"No control",SUMIF(('Loading-truck'!$B$31:$B$48),$J1340,('Loading-truck'!$E$31:$E$48))*Impacts!$F$14,0)),0)</f>
        <v>0</v>
      </c>
      <c r="S1340" s="10">
        <f>IFERROR(IF(('Loading-rail'!$C$21)="No control",SUMIF(('Loading-rail'!$B$31:$B$48),$J1340,('Loading-rail'!$D$31:$D$48))*Impacts!$F$15,IF(('Loading-rail'!$C$21)&lt;&gt;"No control",SUMIF(('Loading-rail'!$B$31:$B$48),$J1340,('Loading-rail'!$E$31:$E$48))*Impacts!$F$15,0)),0)</f>
        <v>0</v>
      </c>
      <c r="T1340" s="10">
        <f>IF(Flare!$C$7="",0,(SUMIF(Flare!$B$46:$B$185,$J1340,Flare!$E$46:$E$185)*Impacts!$F$16))</f>
        <v>0</v>
      </c>
      <c r="U1340" s="10">
        <f>IF(VCU!$C$9="",0,(SUMIF(VCU!$B$51:$B$193,$J1340,VCU!$E$51:$E$193)*Impacts!$F$17))</f>
        <v>0</v>
      </c>
      <c r="V1340" s="10">
        <f>IF(CAS!$C$7="",0,(SUMIF(CAS!$B$31:$B$167,$J1340,CAS!$E$31:$E$167)*Impacts!$F$18))</f>
        <v>0</v>
      </c>
      <c r="W1340" s="10">
        <f t="shared" si="61"/>
        <v>0</v>
      </c>
      <c r="AK1340" s="10" t="str">
        <f t="array" ref="AK1340">IFERROR(INDEX(SelectedSpecies,SMALL(IF(SelectedSpecies=AK$1,ROW(SelectedSpecies)),ROW(1341:1341)),2),"")</f>
        <v/>
      </c>
      <c r="BE1340" s="10"/>
      <c r="BI1340" s="10"/>
    </row>
    <row r="1341" spans="1:61" ht="21" customHeight="1" x14ac:dyDescent="0.25">
      <c r="A1341" s="10"/>
      <c r="B1341" s="10"/>
      <c r="E1341" s="10"/>
      <c r="G1341" s="10"/>
      <c r="I1341" s="436" t="s">
        <v>5830</v>
      </c>
      <c r="J1341" s="26" t="s">
        <v>5829</v>
      </c>
      <c r="K1341" s="10">
        <v>1</v>
      </c>
      <c r="L1341" s="73">
        <f>IF(Tank1!$C$23="No control",(SUMIF(Tank1!$B$32:$B$49,$J1341,Tank1!$C$32:$C$49)*Impacts!$F$8),0)</f>
        <v>0</v>
      </c>
      <c r="M1341" s="10">
        <f>IF(Tank2!$C$23="No control",(SUMIF(Tank2!$B$32:$B$49,$J1341,Tank2!$C$32:$C$49)*Impacts!$F$9),0)</f>
        <v>0</v>
      </c>
      <c r="N1341" s="10">
        <f>IF(Tank3!$C$23="No control",(SUMIF(Tank3!$B$32:$B$49,$J1341,Tank3!$C$32:$C$49)*Impacts!$F$10),0)</f>
        <v>0</v>
      </c>
      <c r="O1341" s="10">
        <f>IF(Tank4!$C$23="No control",(SUMIF(Tank4!$B$32:$B$49,$J1341,Tank4!$C$32:$C$49)*Impacts!$F$11),0)</f>
        <v>0</v>
      </c>
      <c r="P1341" s="10">
        <f>IF(Tank5!$C$23="No control",(SUMIF(Tank5!$B$32:$B$49,$J1341,Tank5!$C$32:$C$49)*Impacts!$F$12),0)</f>
        <v>0</v>
      </c>
      <c r="Q1341" s="10">
        <f>IFERROR(IF(('Loading-drum,tote'!$C$21)="No control",SUMIF(('Loading-drum,tote'!$B$31:$B$48),$J1341,('Loading-drum,tote'!$D$31:$D$48))*Impacts!$F$13,IF(('Loading-drum,tote'!$C$21)&lt;&gt;"No control",SUMIF(('Loading-drum,tote'!$B$31:$B$48),$J1341,('Loading-drum,tote'!$E$31:$E$48))*Impacts!$F$13,0)),0)</f>
        <v>0</v>
      </c>
      <c r="R1341" s="10">
        <f>IFERROR(IF(('Loading-truck'!$C$21)="No control",SUMIF(('Loading-truck'!$B$31:$B$48),$J1341,('Loading-truck'!$D$31:$D$48))*Impacts!$F$14,IF(('Loading-truck'!$C$21)&lt;&gt;"No control",SUMIF(('Loading-truck'!$B$31:$B$48),$J1341,('Loading-truck'!$E$31:$E$48))*Impacts!$F$14,0)),0)</f>
        <v>0</v>
      </c>
      <c r="S1341" s="10">
        <f>IFERROR(IF(('Loading-rail'!$C$21)="No control",SUMIF(('Loading-rail'!$B$31:$B$48),$J1341,('Loading-rail'!$D$31:$D$48))*Impacts!$F$15,IF(('Loading-rail'!$C$21)&lt;&gt;"No control",SUMIF(('Loading-rail'!$B$31:$B$48),$J1341,('Loading-rail'!$E$31:$E$48))*Impacts!$F$15,0)),0)</f>
        <v>0</v>
      </c>
      <c r="T1341" s="10">
        <f>IF(Flare!$C$7="",0,(SUMIF(Flare!$B$46:$B$185,$J1341,Flare!$E$46:$E$185)*Impacts!$F$16))</f>
        <v>0</v>
      </c>
      <c r="U1341" s="10">
        <f>IF(VCU!$C$9="",0,(SUMIF(VCU!$B$51:$B$193,$J1341,VCU!$E$51:$E$193)*Impacts!$F$17))</f>
        <v>0</v>
      </c>
      <c r="V1341" s="10">
        <f>IF(CAS!$C$7="",0,(SUMIF(CAS!$B$31:$B$167,$J1341,CAS!$E$31:$E$167)*Impacts!$F$18))</f>
        <v>0</v>
      </c>
      <c r="W1341" s="10">
        <f t="shared" si="61"/>
        <v>0</v>
      </c>
      <c r="AK1341" s="10" t="str">
        <f t="array" ref="AK1341">IFERROR(INDEX(SelectedSpecies,SMALL(IF(SelectedSpecies=AK$1,ROW(SelectedSpecies)),ROW(1342:1342)),2),"")</f>
        <v/>
      </c>
      <c r="BE1341" s="10"/>
      <c r="BI1341" s="10"/>
    </row>
    <row r="1342" spans="1:61" ht="21" customHeight="1" x14ac:dyDescent="0.25">
      <c r="A1342" s="10"/>
      <c r="B1342" s="10"/>
      <c r="E1342" s="10"/>
      <c r="G1342" s="10"/>
      <c r="I1342" s="436" t="s">
        <v>7904</v>
      </c>
      <c r="J1342" s="26" t="s">
        <v>7903</v>
      </c>
      <c r="K1342" s="10">
        <v>0.05</v>
      </c>
      <c r="L1342" s="73">
        <f>IF(Tank1!$C$23="No control",(SUMIF(Tank1!$B$32:$B$49,$J1342,Tank1!$C$32:$C$49)*Impacts!$F$8),0)</f>
        <v>0</v>
      </c>
      <c r="M1342" s="10">
        <f>IF(Tank2!$C$23="No control",(SUMIF(Tank2!$B$32:$B$49,$J1342,Tank2!$C$32:$C$49)*Impacts!$F$9),0)</f>
        <v>0</v>
      </c>
      <c r="N1342" s="10">
        <f>IF(Tank3!$C$23="No control",(SUMIF(Tank3!$B$32:$B$49,$J1342,Tank3!$C$32:$C$49)*Impacts!$F$10),0)</f>
        <v>0</v>
      </c>
      <c r="O1342" s="10">
        <f>IF(Tank4!$C$23="No control",(SUMIF(Tank4!$B$32:$B$49,$J1342,Tank4!$C$32:$C$49)*Impacts!$F$11),0)</f>
        <v>0</v>
      </c>
      <c r="P1342" s="10">
        <f>IF(Tank5!$C$23="No control",(SUMIF(Tank5!$B$32:$B$49,$J1342,Tank5!$C$32:$C$49)*Impacts!$F$12),0)</f>
        <v>0</v>
      </c>
      <c r="Q1342" s="10">
        <f>IFERROR(IF(('Loading-drum,tote'!$C$21)="No control",SUMIF(('Loading-drum,tote'!$B$31:$B$48),$J1342,('Loading-drum,tote'!$D$31:$D$48))*Impacts!$F$13,IF(('Loading-drum,tote'!$C$21)&lt;&gt;"No control",SUMIF(('Loading-drum,tote'!$B$31:$B$48),$J1342,('Loading-drum,tote'!$E$31:$E$48))*Impacts!$F$13,0)),0)</f>
        <v>0</v>
      </c>
      <c r="R1342" s="10">
        <f>IFERROR(IF(('Loading-truck'!$C$21)="No control",SUMIF(('Loading-truck'!$B$31:$B$48),$J1342,('Loading-truck'!$D$31:$D$48))*Impacts!$F$14,IF(('Loading-truck'!$C$21)&lt;&gt;"No control",SUMIF(('Loading-truck'!$B$31:$B$48),$J1342,('Loading-truck'!$E$31:$E$48))*Impacts!$F$14,0)),0)</f>
        <v>0</v>
      </c>
      <c r="S1342" s="10">
        <f>IFERROR(IF(('Loading-rail'!$C$21)="No control",SUMIF(('Loading-rail'!$B$31:$B$48),$J1342,('Loading-rail'!$D$31:$D$48))*Impacts!$F$15,IF(('Loading-rail'!$C$21)&lt;&gt;"No control",SUMIF(('Loading-rail'!$B$31:$B$48),$J1342,('Loading-rail'!$E$31:$E$48))*Impacts!$F$15,0)),0)</f>
        <v>0</v>
      </c>
      <c r="T1342" s="10">
        <f>IF(Flare!$C$7="",0,(SUMIF(Flare!$B$46:$B$185,$J1342,Flare!$E$46:$E$185)*Impacts!$F$16))</f>
        <v>0</v>
      </c>
      <c r="U1342" s="10">
        <f>IF(VCU!$C$9="",0,(SUMIF(VCU!$B$51:$B$193,$J1342,VCU!$E$51:$E$193)*Impacts!$F$17))</f>
        <v>0</v>
      </c>
      <c r="V1342" s="10">
        <f>IF(CAS!$C$7="",0,(SUMIF(CAS!$B$31:$B$167,$J1342,CAS!$E$31:$E$167)*Impacts!$F$18))</f>
        <v>0</v>
      </c>
      <c r="W1342" s="10">
        <f t="shared" si="61"/>
        <v>0</v>
      </c>
      <c r="AK1342" s="10" t="str">
        <f t="array" ref="AK1342">IFERROR(INDEX(SelectedSpecies,SMALL(IF(SelectedSpecies=AK$1,ROW(SelectedSpecies)),ROW(1343:1343)),2),"")</f>
        <v/>
      </c>
      <c r="BE1342" s="10"/>
      <c r="BI1342" s="10"/>
    </row>
    <row r="1343" spans="1:61" ht="21" customHeight="1" x14ac:dyDescent="0.25">
      <c r="A1343" s="10"/>
      <c r="B1343" s="10"/>
      <c r="E1343" s="10"/>
      <c r="G1343" s="10"/>
      <c r="I1343" s="436" t="s">
        <v>8146</v>
      </c>
      <c r="J1343" s="26" t="s">
        <v>8145</v>
      </c>
      <c r="K1343" s="10">
        <v>1.0000000000000002E-2</v>
      </c>
      <c r="L1343" s="73">
        <f>IF(Tank1!$C$23="No control",(SUMIF(Tank1!$B$32:$B$49,$J1343,Tank1!$C$32:$C$49)*Impacts!$F$8),0)</f>
        <v>0</v>
      </c>
      <c r="M1343" s="10">
        <f>IF(Tank2!$C$23="No control",(SUMIF(Tank2!$B$32:$B$49,$J1343,Tank2!$C$32:$C$49)*Impacts!$F$9),0)</f>
        <v>0</v>
      </c>
      <c r="N1343" s="10">
        <f>IF(Tank3!$C$23="No control",(SUMIF(Tank3!$B$32:$B$49,$J1343,Tank3!$C$32:$C$49)*Impacts!$F$10),0)</f>
        <v>0</v>
      </c>
      <c r="O1343" s="10">
        <f>IF(Tank4!$C$23="No control",(SUMIF(Tank4!$B$32:$B$49,$J1343,Tank4!$C$32:$C$49)*Impacts!$F$11),0)</f>
        <v>0</v>
      </c>
      <c r="P1343" s="10">
        <f>IF(Tank5!$C$23="No control",(SUMIF(Tank5!$B$32:$B$49,$J1343,Tank5!$C$32:$C$49)*Impacts!$F$12),0)</f>
        <v>0</v>
      </c>
      <c r="Q1343" s="10">
        <f>IFERROR(IF(('Loading-drum,tote'!$C$21)="No control",SUMIF(('Loading-drum,tote'!$B$31:$B$48),$J1343,('Loading-drum,tote'!$D$31:$D$48))*Impacts!$F$13,IF(('Loading-drum,tote'!$C$21)&lt;&gt;"No control",SUMIF(('Loading-drum,tote'!$B$31:$B$48),$J1343,('Loading-drum,tote'!$E$31:$E$48))*Impacts!$F$13,0)),0)</f>
        <v>0</v>
      </c>
      <c r="R1343" s="10">
        <f>IFERROR(IF(('Loading-truck'!$C$21)="No control",SUMIF(('Loading-truck'!$B$31:$B$48),$J1343,('Loading-truck'!$D$31:$D$48))*Impacts!$F$14,IF(('Loading-truck'!$C$21)&lt;&gt;"No control",SUMIF(('Loading-truck'!$B$31:$B$48),$J1343,('Loading-truck'!$E$31:$E$48))*Impacts!$F$14,0)),0)</f>
        <v>0</v>
      </c>
      <c r="S1343" s="10">
        <f>IFERROR(IF(('Loading-rail'!$C$21)="No control",SUMIF(('Loading-rail'!$B$31:$B$48),$J1343,('Loading-rail'!$D$31:$D$48))*Impacts!$F$15,IF(('Loading-rail'!$C$21)&lt;&gt;"No control",SUMIF(('Loading-rail'!$B$31:$B$48),$J1343,('Loading-rail'!$E$31:$E$48))*Impacts!$F$15,0)),0)</f>
        <v>0</v>
      </c>
      <c r="T1343" s="10">
        <f>IF(Flare!$C$7="",0,(SUMIF(Flare!$B$46:$B$185,$J1343,Flare!$E$46:$E$185)*Impacts!$F$16))</f>
        <v>0</v>
      </c>
      <c r="U1343" s="10">
        <f>IF(VCU!$C$9="",0,(SUMIF(VCU!$B$51:$B$193,$J1343,VCU!$E$51:$E$193)*Impacts!$F$17))</f>
        <v>0</v>
      </c>
      <c r="V1343" s="10">
        <f>IF(CAS!$C$7="",0,(SUMIF(CAS!$B$31:$B$167,$J1343,CAS!$E$31:$E$167)*Impacts!$F$18))</f>
        <v>0</v>
      </c>
      <c r="W1343" s="10">
        <f t="shared" si="61"/>
        <v>0</v>
      </c>
      <c r="AK1343" s="10" t="str">
        <f t="array" ref="AK1343">IFERROR(INDEX(SelectedSpecies,SMALL(IF(SelectedSpecies=AK$1,ROW(SelectedSpecies)),ROW(1344:1344)),2),"")</f>
        <v/>
      </c>
      <c r="BE1343" s="10"/>
      <c r="BI1343" s="10"/>
    </row>
    <row r="1344" spans="1:61" ht="21" customHeight="1" x14ac:dyDescent="0.25">
      <c r="A1344" s="10"/>
      <c r="B1344" s="10"/>
      <c r="E1344" s="10"/>
      <c r="G1344" s="10"/>
      <c r="I1344" s="436" t="s">
        <v>7722</v>
      </c>
      <c r="J1344" s="26" t="s">
        <v>7721</v>
      </c>
      <c r="K1344" s="10">
        <v>0.1</v>
      </c>
      <c r="L1344" s="73">
        <f>IF(Tank1!$C$23="No control",(SUMIF(Tank1!$B$32:$B$49,$J1344,Tank1!$C$32:$C$49)*Impacts!$F$8),0)</f>
        <v>0</v>
      </c>
      <c r="M1344" s="10">
        <f>IF(Tank2!$C$23="No control",(SUMIF(Tank2!$B$32:$B$49,$J1344,Tank2!$C$32:$C$49)*Impacts!$F$9),0)</f>
        <v>0</v>
      </c>
      <c r="N1344" s="10">
        <f>IF(Tank3!$C$23="No control",(SUMIF(Tank3!$B$32:$B$49,$J1344,Tank3!$C$32:$C$49)*Impacts!$F$10),0)</f>
        <v>0</v>
      </c>
      <c r="O1344" s="10">
        <f>IF(Tank4!$C$23="No control",(SUMIF(Tank4!$B$32:$B$49,$J1344,Tank4!$C$32:$C$49)*Impacts!$F$11),0)</f>
        <v>0</v>
      </c>
      <c r="P1344" s="10">
        <f>IF(Tank5!$C$23="No control",(SUMIF(Tank5!$B$32:$B$49,$J1344,Tank5!$C$32:$C$49)*Impacts!$F$12),0)</f>
        <v>0</v>
      </c>
      <c r="Q1344" s="10">
        <f>IFERROR(IF(('Loading-drum,tote'!$C$21)="No control",SUMIF(('Loading-drum,tote'!$B$31:$B$48),$J1344,('Loading-drum,tote'!$D$31:$D$48))*Impacts!$F$13,IF(('Loading-drum,tote'!$C$21)&lt;&gt;"No control",SUMIF(('Loading-drum,tote'!$B$31:$B$48),$J1344,('Loading-drum,tote'!$E$31:$E$48))*Impacts!$F$13,0)),0)</f>
        <v>0</v>
      </c>
      <c r="R1344" s="10">
        <f>IFERROR(IF(('Loading-truck'!$C$21)="No control",SUMIF(('Loading-truck'!$B$31:$B$48),$J1344,('Loading-truck'!$D$31:$D$48))*Impacts!$F$14,IF(('Loading-truck'!$C$21)&lt;&gt;"No control",SUMIF(('Loading-truck'!$B$31:$B$48),$J1344,('Loading-truck'!$E$31:$E$48))*Impacts!$F$14,0)),0)</f>
        <v>0</v>
      </c>
      <c r="S1344" s="10">
        <f>IFERROR(IF(('Loading-rail'!$C$21)="No control",SUMIF(('Loading-rail'!$B$31:$B$48),$J1344,('Loading-rail'!$D$31:$D$48))*Impacts!$F$15,IF(('Loading-rail'!$C$21)&lt;&gt;"No control",SUMIF(('Loading-rail'!$B$31:$B$48),$J1344,('Loading-rail'!$E$31:$E$48))*Impacts!$F$15,0)),0)</f>
        <v>0</v>
      </c>
      <c r="T1344" s="10">
        <f>IF(Flare!$C$7="",0,(SUMIF(Flare!$B$46:$B$185,$J1344,Flare!$E$46:$E$185)*Impacts!$F$16))</f>
        <v>0</v>
      </c>
      <c r="U1344" s="10">
        <f>IF(VCU!$C$9="",0,(SUMIF(VCU!$B$51:$B$193,$J1344,VCU!$E$51:$E$193)*Impacts!$F$17))</f>
        <v>0</v>
      </c>
      <c r="V1344" s="10">
        <f>IF(CAS!$C$7="",0,(SUMIF(CAS!$B$31:$B$167,$J1344,CAS!$E$31:$E$167)*Impacts!$F$18))</f>
        <v>0</v>
      </c>
      <c r="W1344" s="10">
        <f t="shared" si="61"/>
        <v>0</v>
      </c>
      <c r="AK1344" s="10" t="str">
        <f t="array" ref="AK1344">IFERROR(INDEX(SelectedSpecies,SMALL(IF(SelectedSpecies=AK$1,ROW(SelectedSpecies)),ROW(1345:1345)),2),"")</f>
        <v/>
      </c>
      <c r="BE1344" s="10"/>
      <c r="BI1344" s="10"/>
    </row>
    <row r="1345" spans="1:61" ht="21" customHeight="1" x14ac:dyDescent="0.25">
      <c r="A1345" s="10"/>
      <c r="B1345" s="10"/>
      <c r="E1345" s="10"/>
      <c r="G1345" s="10"/>
      <c r="I1345" s="436" t="s">
        <v>3927</v>
      </c>
      <c r="J1345" s="26" t="s">
        <v>3926</v>
      </c>
      <c r="K1345" s="10">
        <v>6</v>
      </c>
      <c r="L1345" s="73">
        <f>IF(Tank1!$C$23="No control",(SUMIF(Tank1!$B$32:$B$49,$J1345,Tank1!$C$32:$C$49)*Impacts!$F$8),0)</f>
        <v>0</v>
      </c>
      <c r="M1345" s="10">
        <f>IF(Tank2!$C$23="No control",(SUMIF(Tank2!$B$32:$B$49,$J1345,Tank2!$C$32:$C$49)*Impacts!$F$9),0)</f>
        <v>0</v>
      </c>
      <c r="N1345" s="10">
        <f>IF(Tank3!$C$23="No control",(SUMIF(Tank3!$B$32:$B$49,$J1345,Tank3!$C$32:$C$49)*Impacts!$F$10),0)</f>
        <v>0</v>
      </c>
      <c r="O1345" s="10">
        <f>IF(Tank4!$C$23="No control",(SUMIF(Tank4!$B$32:$B$49,$J1345,Tank4!$C$32:$C$49)*Impacts!$F$11),0)</f>
        <v>0</v>
      </c>
      <c r="P1345" s="10">
        <f>IF(Tank5!$C$23="No control",(SUMIF(Tank5!$B$32:$B$49,$J1345,Tank5!$C$32:$C$49)*Impacts!$F$12),0)</f>
        <v>0</v>
      </c>
      <c r="Q1345" s="10">
        <f>IFERROR(IF(('Loading-drum,tote'!$C$21)="No control",SUMIF(('Loading-drum,tote'!$B$31:$B$48),$J1345,('Loading-drum,tote'!$D$31:$D$48))*Impacts!$F$13,IF(('Loading-drum,tote'!$C$21)&lt;&gt;"No control",SUMIF(('Loading-drum,tote'!$B$31:$B$48),$J1345,('Loading-drum,tote'!$E$31:$E$48))*Impacts!$F$13,0)),0)</f>
        <v>0</v>
      </c>
      <c r="R1345" s="10">
        <f>IFERROR(IF(('Loading-truck'!$C$21)="No control",SUMIF(('Loading-truck'!$B$31:$B$48),$J1345,('Loading-truck'!$D$31:$D$48))*Impacts!$F$14,IF(('Loading-truck'!$C$21)&lt;&gt;"No control",SUMIF(('Loading-truck'!$B$31:$B$48),$J1345,('Loading-truck'!$E$31:$E$48))*Impacts!$F$14,0)),0)</f>
        <v>0</v>
      </c>
      <c r="S1345" s="10">
        <f>IFERROR(IF(('Loading-rail'!$C$21)="No control",SUMIF(('Loading-rail'!$B$31:$B$48),$J1345,('Loading-rail'!$D$31:$D$48))*Impacts!$F$15,IF(('Loading-rail'!$C$21)&lt;&gt;"No control",SUMIF(('Loading-rail'!$B$31:$B$48),$J1345,('Loading-rail'!$E$31:$E$48))*Impacts!$F$15,0)),0)</f>
        <v>0</v>
      </c>
      <c r="T1345" s="10">
        <f>IF(Flare!$C$7="",0,(SUMIF(Flare!$B$46:$B$185,$J1345,Flare!$E$46:$E$185)*Impacts!$F$16))</f>
        <v>0</v>
      </c>
      <c r="U1345" s="10">
        <f>IF(VCU!$C$9="",0,(SUMIF(VCU!$B$51:$B$193,$J1345,VCU!$E$51:$E$193)*Impacts!$F$17))</f>
        <v>0</v>
      </c>
      <c r="V1345" s="10">
        <f>IF(CAS!$C$7="",0,(SUMIF(CAS!$B$31:$B$167,$J1345,CAS!$E$31:$E$167)*Impacts!$F$18))</f>
        <v>0</v>
      </c>
      <c r="W1345" s="10">
        <f t="shared" si="61"/>
        <v>0</v>
      </c>
      <c r="AK1345" s="10" t="str">
        <f t="array" ref="AK1345">IFERROR(INDEX(SelectedSpecies,SMALL(IF(SelectedSpecies=AK$1,ROW(SelectedSpecies)),ROW(1346:1346)),2),"")</f>
        <v/>
      </c>
      <c r="BE1345" s="10"/>
      <c r="BI1345" s="10"/>
    </row>
    <row r="1346" spans="1:61" ht="21" customHeight="1" x14ac:dyDescent="0.25">
      <c r="A1346" s="10"/>
      <c r="B1346" s="10"/>
      <c r="E1346" s="10"/>
      <c r="G1346" s="10"/>
      <c r="I1346" s="436" t="s">
        <v>3929</v>
      </c>
      <c r="J1346" s="26" t="s">
        <v>3928</v>
      </c>
      <c r="K1346" s="10">
        <v>6</v>
      </c>
      <c r="L1346" s="73">
        <f>IF(Tank1!$C$23="No control",(SUMIF(Tank1!$B$32:$B$49,$J1346,Tank1!$C$32:$C$49)*Impacts!$F$8),0)</f>
        <v>0</v>
      </c>
      <c r="M1346" s="10">
        <f>IF(Tank2!$C$23="No control",(SUMIF(Tank2!$B$32:$B$49,$J1346,Tank2!$C$32:$C$49)*Impacts!$F$9),0)</f>
        <v>0</v>
      </c>
      <c r="N1346" s="10">
        <f>IF(Tank3!$C$23="No control",(SUMIF(Tank3!$B$32:$B$49,$J1346,Tank3!$C$32:$C$49)*Impacts!$F$10),0)</f>
        <v>0</v>
      </c>
      <c r="O1346" s="10">
        <f>IF(Tank4!$C$23="No control",(SUMIF(Tank4!$B$32:$B$49,$J1346,Tank4!$C$32:$C$49)*Impacts!$F$11),0)</f>
        <v>0</v>
      </c>
      <c r="P1346" s="10">
        <f>IF(Tank5!$C$23="No control",(SUMIF(Tank5!$B$32:$B$49,$J1346,Tank5!$C$32:$C$49)*Impacts!$F$12),0)</f>
        <v>0</v>
      </c>
      <c r="Q1346" s="10">
        <f>IFERROR(IF(('Loading-drum,tote'!$C$21)="No control",SUMIF(('Loading-drum,tote'!$B$31:$B$48),$J1346,('Loading-drum,tote'!$D$31:$D$48))*Impacts!$F$13,IF(('Loading-drum,tote'!$C$21)&lt;&gt;"No control",SUMIF(('Loading-drum,tote'!$B$31:$B$48),$J1346,('Loading-drum,tote'!$E$31:$E$48))*Impacts!$F$13,0)),0)</f>
        <v>0</v>
      </c>
      <c r="R1346" s="10">
        <f>IFERROR(IF(('Loading-truck'!$C$21)="No control",SUMIF(('Loading-truck'!$B$31:$B$48),$J1346,('Loading-truck'!$D$31:$D$48))*Impacts!$F$14,IF(('Loading-truck'!$C$21)&lt;&gt;"No control",SUMIF(('Loading-truck'!$B$31:$B$48),$J1346,('Loading-truck'!$E$31:$E$48))*Impacts!$F$14,0)),0)</f>
        <v>0</v>
      </c>
      <c r="S1346" s="10">
        <f>IFERROR(IF(('Loading-rail'!$C$21)="No control",SUMIF(('Loading-rail'!$B$31:$B$48),$J1346,('Loading-rail'!$D$31:$D$48))*Impacts!$F$15,IF(('Loading-rail'!$C$21)&lt;&gt;"No control",SUMIF(('Loading-rail'!$B$31:$B$48),$J1346,('Loading-rail'!$E$31:$E$48))*Impacts!$F$15,0)),0)</f>
        <v>0</v>
      </c>
      <c r="T1346" s="10">
        <f>IF(Flare!$C$7="",0,(SUMIF(Flare!$B$46:$B$185,$J1346,Flare!$E$46:$E$185)*Impacts!$F$16))</f>
        <v>0</v>
      </c>
      <c r="U1346" s="10">
        <f>IF(VCU!$C$9="",0,(SUMIF(VCU!$B$51:$B$193,$J1346,VCU!$E$51:$E$193)*Impacts!$F$17))</f>
        <v>0</v>
      </c>
      <c r="V1346" s="10">
        <f>IF(CAS!$C$7="",0,(SUMIF(CAS!$B$31:$B$167,$J1346,CAS!$E$31:$E$167)*Impacts!$F$18))</f>
        <v>0</v>
      </c>
      <c r="W1346" s="10">
        <f t="shared" si="61"/>
        <v>0</v>
      </c>
      <c r="AK1346" s="10" t="str">
        <f t="array" ref="AK1346">IFERROR(INDEX(SelectedSpecies,SMALL(IF(SelectedSpecies=AK$1,ROW(SelectedSpecies)),ROW(1347:1347)),2),"")</f>
        <v/>
      </c>
      <c r="BE1346" s="10"/>
      <c r="BI1346" s="10"/>
    </row>
    <row r="1347" spans="1:61" ht="21" customHeight="1" x14ac:dyDescent="0.25">
      <c r="A1347" s="10"/>
      <c r="B1347" s="10"/>
      <c r="E1347" s="10"/>
      <c r="G1347" s="10"/>
      <c r="I1347" s="436" t="s">
        <v>7906</v>
      </c>
      <c r="J1347" s="26" t="s">
        <v>7905</v>
      </c>
      <c r="K1347" s="10">
        <v>0.05</v>
      </c>
      <c r="L1347" s="73">
        <f>IF(Tank1!$C$23="No control",(SUMIF(Tank1!$B$32:$B$49,$J1347,Tank1!$C$32:$C$49)*Impacts!$F$8),0)</f>
        <v>0</v>
      </c>
      <c r="M1347" s="10">
        <f>IF(Tank2!$C$23="No control",(SUMIF(Tank2!$B$32:$B$49,$J1347,Tank2!$C$32:$C$49)*Impacts!$F$9),0)</f>
        <v>0</v>
      </c>
      <c r="N1347" s="10">
        <f>IF(Tank3!$C$23="No control",(SUMIF(Tank3!$B$32:$B$49,$J1347,Tank3!$C$32:$C$49)*Impacts!$F$10),0)</f>
        <v>0</v>
      </c>
      <c r="O1347" s="10">
        <f>IF(Tank4!$C$23="No control",(SUMIF(Tank4!$B$32:$B$49,$J1347,Tank4!$C$32:$C$49)*Impacts!$F$11),0)</f>
        <v>0</v>
      </c>
      <c r="P1347" s="10">
        <f>IF(Tank5!$C$23="No control",(SUMIF(Tank5!$B$32:$B$49,$J1347,Tank5!$C$32:$C$49)*Impacts!$F$12),0)</f>
        <v>0</v>
      </c>
      <c r="Q1347" s="10">
        <f>IFERROR(IF(('Loading-drum,tote'!$C$21)="No control",SUMIF(('Loading-drum,tote'!$B$31:$B$48),$J1347,('Loading-drum,tote'!$D$31:$D$48))*Impacts!$F$13,IF(('Loading-drum,tote'!$C$21)&lt;&gt;"No control",SUMIF(('Loading-drum,tote'!$B$31:$B$48),$J1347,('Loading-drum,tote'!$E$31:$E$48))*Impacts!$F$13,0)),0)</f>
        <v>0</v>
      </c>
      <c r="R1347" s="10">
        <f>IFERROR(IF(('Loading-truck'!$C$21)="No control",SUMIF(('Loading-truck'!$B$31:$B$48),$J1347,('Loading-truck'!$D$31:$D$48))*Impacts!$F$14,IF(('Loading-truck'!$C$21)&lt;&gt;"No control",SUMIF(('Loading-truck'!$B$31:$B$48),$J1347,('Loading-truck'!$E$31:$E$48))*Impacts!$F$14,0)),0)</f>
        <v>0</v>
      </c>
      <c r="S1347" s="10">
        <f>IFERROR(IF(('Loading-rail'!$C$21)="No control",SUMIF(('Loading-rail'!$B$31:$B$48),$J1347,('Loading-rail'!$D$31:$D$48))*Impacts!$F$15,IF(('Loading-rail'!$C$21)&lt;&gt;"No control",SUMIF(('Loading-rail'!$B$31:$B$48),$J1347,('Loading-rail'!$E$31:$E$48))*Impacts!$F$15,0)),0)</f>
        <v>0</v>
      </c>
      <c r="T1347" s="10">
        <f>IF(Flare!$C$7="",0,(SUMIF(Flare!$B$46:$B$185,$J1347,Flare!$E$46:$E$185)*Impacts!$F$16))</f>
        <v>0</v>
      </c>
      <c r="U1347" s="10">
        <f>IF(VCU!$C$9="",0,(SUMIF(VCU!$B$51:$B$193,$J1347,VCU!$E$51:$E$193)*Impacts!$F$17))</f>
        <v>0</v>
      </c>
      <c r="V1347" s="10">
        <f>IF(CAS!$C$7="",0,(SUMIF(CAS!$B$31:$B$167,$J1347,CAS!$E$31:$E$167)*Impacts!$F$18))</f>
        <v>0</v>
      </c>
      <c r="W1347" s="10">
        <f t="shared" si="61"/>
        <v>0</v>
      </c>
      <c r="AK1347" s="10" t="str">
        <f t="array" ref="AK1347">IFERROR(INDEX(SelectedSpecies,SMALL(IF(SelectedSpecies=AK$1,ROW(SelectedSpecies)),ROW(1348:1348)),2),"")</f>
        <v/>
      </c>
      <c r="BE1347" s="10"/>
      <c r="BI1347" s="10"/>
    </row>
    <row r="1348" spans="1:61" ht="21" customHeight="1" x14ac:dyDescent="0.25">
      <c r="A1348" s="10"/>
      <c r="B1348" s="10"/>
      <c r="E1348" s="10"/>
      <c r="G1348" s="10"/>
      <c r="I1348" s="436" t="s">
        <v>3647</v>
      </c>
      <c r="J1348" s="26" t="s">
        <v>3646</v>
      </c>
      <c r="K1348" s="10">
        <v>7.2</v>
      </c>
      <c r="L1348" s="73">
        <f>IF(Tank1!$C$23="No control",(SUMIF(Tank1!$B$32:$B$49,$J1348,Tank1!$C$32:$C$49)*Impacts!$F$8),0)</f>
        <v>0</v>
      </c>
      <c r="M1348" s="10">
        <f>IF(Tank2!$C$23="No control",(SUMIF(Tank2!$B$32:$B$49,$J1348,Tank2!$C$32:$C$49)*Impacts!$F$9),0)</f>
        <v>0</v>
      </c>
      <c r="N1348" s="10">
        <f>IF(Tank3!$C$23="No control",(SUMIF(Tank3!$B$32:$B$49,$J1348,Tank3!$C$32:$C$49)*Impacts!$F$10),0)</f>
        <v>0</v>
      </c>
      <c r="O1348" s="10">
        <f>IF(Tank4!$C$23="No control",(SUMIF(Tank4!$B$32:$B$49,$J1348,Tank4!$C$32:$C$49)*Impacts!$F$11),0)</f>
        <v>0</v>
      </c>
      <c r="P1348" s="10">
        <f>IF(Tank5!$C$23="No control",(SUMIF(Tank5!$B$32:$B$49,$J1348,Tank5!$C$32:$C$49)*Impacts!$F$12),0)</f>
        <v>0</v>
      </c>
      <c r="Q1348" s="10">
        <f>IFERROR(IF(('Loading-drum,tote'!$C$21)="No control",SUMIF(('Loading-drum,tote'!$B$31:$B$48),$J1348,('Loading-drum,tote'!$D$31:$D$48))*Impacts!$F$13,IF(('Loading-drum,tote'!$C$21)&lt;&gt;"No control",SUMIF(('Loading-drum,tote'!$B$31:$B$48),$J1348,('Loading-drum,tote'!$E$31:$E$48))*Impacts!$F$13,0)),0)</f>
        <v>0</v>
      </c>
      <c r="R1348" s="10">
        <f>IFERROR(IF(('Loading-truck'!$C$21)="No control",SUMIF(('Loading-truck'!$B$31:$B$48),$J1348,('Loading-truck'!$D$31:$D$48))*Impacts!$F$14,IF(('Loading-truck'!$C$21)&lt;&gt;"No control",SUMIF(('Loading-truck'!$B$31:$B$48),$J1348,('Loading-truck'!$E$31:$E$48))*Impacts!$F$14,0)),0)</f>
        <v>0</v>
      </c>
      <c r="S1348" s="10">
        <f>IFERROR(IF(('Loading-rail'!$C$21)="No control",SUMIF(('Loading-rail'!$B$31:$B$48),$J1348,('Loading-rail'!$D$31:$D$48))*Impacts!$F$15,IF(('Loading-rail'!$C$21)&lt;&gt;"No control",SUMIF(('Loading-rail'!$B$31:$B$48),$J1348,('Loading-rail'!$E$31:$E$48))*Impacts!$F$15,0)),0)</f>
        <v>0</v>
      </c>
      <c r="T1348" s="10">
        <f>IF(Flare!$C$7="",0,(SUMIF(Flare!$B$46:$B$185,$J1348,Flare!$E$46:$E$185)*Impacts!$F$16))</f>
        <v>0</v>
      </c>
      <c r="U1348" s="10">
        <f>IF(VCU!$C$9="",0,(SUMIF(VCU!$B$51:$B$193,$J1348,VCU!$E$51:$E$193)*Impacts!$F$17))</f>
        <v>0</v>
      </c>
      <c r="V1348" s="10">
        <f>IF(CAS!$C$7="",0,(SUMIF(CAS!$B$31:$B$167,$J1348,CAS!$E$31:$E$167)*Impacts!$F$18))</f>
        <v>0</v>
      </c>
      <c r="W1348" s="10">
        <f t="shared" si="61"/>
        <v>0</v>
      </c>
      <c r="AK1348" s="10" t="str">
        <f t="array" ref="AK1348">IFERROR(INDEX(SelectedSpecies,SMALL(IF(SelectedSpecies=AK$1,ROW(SelectedSpecies)),ROW(1349:1349)),2),"")</f>
        <v/>
      </c>
      <c r="BE1348" s="10"/>
      <c r="BI1348" s="10"/>
    </row>
    <row r="1349" spans="1:61" ht="21" customHeight="1" x14ac:dyDescent="0.25">
      <c r="A1349" s="10"/>
      <c r="B1349" s="10"/>
      <c r="E1349" s="10"/>
      <c r="G1349" s="10"/>
      <c r="I1349" s="436" t="s">
        <v>2789</v>
      </c>
      <c r="J1349" s="26" t="s">
        <v>2788</v>
      </c>
      <c r="K1349" s="10">
        <v>10</v>
      </c>
      <c r="L1349" s="73">
        <f>IF(Tank1!$C$23="No control",(SUMIF(Tank1!$B$32:$B$49,$J1349,Tank1!$C$32:$C$49)*Impacts!$F$8),0)</f>
        <v>0</v>
      </c>
      <c r="M1349" s="10">
        <f>IF(Tank2!$C$23="No control",(SUMIF(Tank2!$B$32:$B$49,$J1349,Tank2!$C$32:$C$49)*Impacts!$F$9),0)</f>
        <v>0</v>
      </c>
      <c r="N1349" s="10">
        <f>IF(Tank3!$C$23="No control",(SUMIF(Tank3!$B$32:$B$49,$J1349,Tank3!$C$32:$C$49)*Impacts!$F$10),0)</f>
        <v>0</v>
      </c>
      <c r="O1349" s="10">
        <f>IF(Tank4!$C$23="No control",(SUMIF(Tank4!$B$32:$B$49,$J1349,Tank4!$C$32:$C$49)*Impacts!$F$11),0)</f>
        <v>0</v>
      </c>
      <c r="P1349" s="10">
        <f>IF(Tank5!$C$23="No control",(SUMIF(Tank5!$B$32:$B$49,$J1349,Tank5!$C$32:$C$49)*Impacts!$F$12),0)</f>
        <v>0</v>
      </c>
      <c r="Q1349" s="10">
        <f>IFERROR(IF(('Loading-drum,tote'!$C$21)="No control",SUMIF(('Loading-drum,tote'!$B$31:$B$48),$J1349,('Loading-drum,tote'!$D$31:$D$48))*Impacts!$F$13,IF(('Loading-drum,tote'!$C$21)&lt;&gt;"No control",SUMIF(('Loading-drum,tote'!$B$31:$B$48),$J1349,('Loading-drum,tote'!$E$31:$E$48))*Impacts!$F$13,0)),0)</f>
        <v>0</v>
      </c>
      <c r="R1349" s="10">
        <f>IFERROR(IF(('Loading-truck'!$C$21)="No control",SUMIF(('Loading-truck'!$B$31:$B$48),$J1349,('Loading-truck'!$D$31:$D$48))*Impacts!$F$14,IF(('Loading-truck'!$C$21)&lt;&gt;"No control",SUMIF(('Loading-truck'!$B$31:$B$48),$J1349,('Loading-truck'!$E$31:$E$48))*Impacts!$F$14,0)),0)</f>
        <v>0</v>
      </c>
      <c r="S1349" s="10">
        <f>IFERROR(IF(('Loading-rail'!$C$21)="No control",SUMIF(('Loading-rail'!$B$31:$B$48),$J1349,('Loading-rail'!$D$31:$D$48))*Impacts!$F$15,IF(('Loading-rail'!$C$21)&lt;&gt;"No control",SUMIF(('Loading-rail'!$B$31:$B$48),$J1349,('Loading-rail'!$E$31:$E$48))*Impacts!$F$15,0)),0)</f>
        <v>0</v>
      </c>
      <c r="T1349" s="10">
        <f>IF(Flare!$C$7="",0,(SUMIF(Flare!$B$46:$B$185,$J1349,Flare!$E$46:$E$185)*Impacts!$F$16))</f>
        <v>0</v>
      </c>
      <c r="U1349" s="10">
        <f>IF(VCU!$C$9="",0,(SUMIF(VCU!$B$51:$B$193,$J1349,VCU!$E$51:$E$193)*Impacts!$F$17))</f>
        <v>0</v>
      </c>
      <c r="V1349" s="10">
        <f>IF(CAS!$C$7="",0,(SUMIF(CAS!$B$31:$B$167,$J1349,CAS!$E$31:$E$167)*Impacts!$F$18))</f>
        <v>0</v>
      </c>
      <c r="W1349" s="10">
        <f t="shared" si="61"/>
        <v>0</v>
      </c>
      <c r="AK1349" s="10" t="str">
        <f t="array" ref="AK1349">IFERROR(INDEX(SelectedSpecies,SMALL(IF(SelectedSpecies=AK$1,ROW(SelectedSpecies)),ROW(1350:1350)),2),"")</f>
        <v/>
      </c>
      <c r="BE1349" s="10"/>
      <c r="BI1349" s="10"/>
    </row>
    <row r="1350" spans="1:61" ht="21" customHeight="1" x14ac:dyDescent="0.25">
      <c r="A1350" s="10"/>
      <c r="B1350" s="10"/>
      <c r="E1350" s="10"/>
      <c r="G1350" s="10"/>
      <c r="I1350" s="436" t="s">
        <v>5832</v>
      </c>
      <c r="J1350" s="26" t="s">
        <v>5831</v>
      </c>
      <c r="K1350" s="10">
        <v>1</v>
      </c>
      <c r="L1350" s="73">
        <f>IF(Tank1!$C$23="No control",(SUMIF(Tank1!$B$32:$B$49,$J1350,Tank1!$C$32:$C$49)*Impacts!$F$8),0)</f>
        <v>0</v>
      </c>
      <c r="M1350" s="10">
        <f>IF(Tank2!$C$23="No control",(SUMIF(Tank2!$B$32:$B$49,$J1350,Tank2!$C$32:$C$49)*Impacts!$F$9),0)</f>
        <v>0</v>
      </c>
      <c r="N1350" s="10">
        <f>IF(Tank3!$C$23="No control",(SUMIF(Tank3!$B$32:$B$49,$J1350,Tank3!$C$32:$C$49)*Impacts!$F$10),0)</f>
        <v>0</v>
      </c>
      <c r="O1350" s="10">
        <f>IF(Tank4!$C$23="No control",(SUMIF(Tank4!$B$32:$B$49,$J1350,Tank4!$C$32:$C$49)*Impacts!$F$11),0)</f>
        <v>0</v>
      </c>
      <c r="P1350" s="10">
        <f>IF(Tank5!$C$23="No control",(SUMIF(Tank5!$B$32:$B$49,$J1350,Tank5!$C$32:$C$49)*Impacts!$F$12),0)</f>
        <v>0</v>
      </c>
      <c r="Q1350" s="10">
        <f>IFERROR(IF(('Loading-drum,tote'!$C$21)="No control",SUMIF(('Loading-drum,tote'!$B$31:$B$48),$J1350,('Loading-drum,tote'!$D$31:$D$48))*Impacts!$F$13,IF(('Loading-drum,tote'!$C$21)&lt;&gt;"No control",SUMIF(('Loading-drum,tote'!$B$31:$B$48),$J1350,('Loading-drum,tote'!$E$31:$E$48))*Impacts!$F$13,0)),0)</f>
        <v>0</v>
      </c>
      <c r="R1350" s="10">
        <f>IFERROR(IF(('Loading-truck'!$C$21)="No control",SUMIF(('Loading-truck'!$B$31:$B$48),$J1350,('Loading-truck'!$D$31:$D$48))*Impacts!$F$14,IF(('Loading-truck'!$C$21)&lt;&gt;"No control",SUMIF(('Loading-truck'!$B$31:$B$48),$J1350,('Loading-truck'!$E$31:$E$48))*Impacts!$F$14,0)),0)</f>
        <v>0</v>
      </c>
      <c r="S1350" s="10">
        <f>IFERROR(IF(('Loading-rail'!$C$21)="No control",SUMIF(('Loading-rail'!$B$31:$B$48),$J1350,('Loading-rail'!$D$31:$D$48))*Impacts!$F$15,IF(('Loading-rail'!$C$21)&lt;&gt;"No control",SUMIF(('Loading-rail'!$B$31:$B$48),$J1350,('Loading-rail'!$E$31:$E$48))*Impacts!$F$15,0)),0)</f>
        <v>0</v>
      </c>
      <c r="T1350" s="10">
        <f>IF(Flare!$C$7="",0,(SUMIF(Flare!$B$46:$B$185,$J1350,Flare!$E$46:$E$185)*Impacts!$F$16))</f>
        <v>0</v>
      </c>
      <c r="U1350" s="10">
        <f>IF(VCU!$C$9="",0,(SUMIF(VCU!$B$51:$B$193,$J1350,VCU!$E$51:$E$193)*Impacts!$F$17))</f>
        <v>0</v>
      </c>
      <c r="V1350" s="10">
        <f>IF(CAS!$C$7="",0,(SUMIF(CAS!$B$31:$B$167,$J1350,CAS!$E$31:$E$167)*Impacts!$F$18))</f>
        <v>0</v>
      </c>
      <c r="W1350" s="10">
        <f t="shared" si="61"/>
        <v>0</v>
      </c>
      <c r="AK1350" s="10" t="str">
        <f t="array" ref="AK1350">IFERROR(INDEX(SelectedSpecies,SMALL(IF(SelectedSpecies=AK$1,ROW(SelectedSpecies)),ROW(1351:1351)),2),"")</f>
        <v/>
      </c>
      <c r="BE1350" s="10"/>
      <c r="BI1350" s="10"/>
    </row>
    <row r="1351" spans="1:61" ht="21" customHeight="1" x14ac:dyDescent="0.25">
      <c r="A1351" s="10"/>
      <c r="B1351" s="10"/>
      <c r="E1351" s="10"/>
      <c r="G1351" s="10"/>
      <c r="I1351" s="436" t="s">
        <v>1448</v>
      </c>
      <c r="J1351" s="26" t="s">
        <v>1447</v>
      </c>
      <c r="K1351" s="10">
        <v>30</v>
      </c>
      <c r="L1351" s="73">
        <f>IF(Tank1!$C$23="No control",(SUMIF(Tank1!$B$32:$B$49,$J1351,Tank1!$C$32:$C$49)*Impacts!$F$8),0)</f>
        <v>0</v>
      </c>
      <c r="M1351" s="10">
        <f>IF(Tank2!$C$23="No control",(SUMIF(Tank2!$B$32:$B$49,$J1351,Tank2!$C$32:$C$49)*Impacts!$F$9),0)</f>
        <v>0</v>
      </c>
      <c r="N1351" s="10">
        <f>IF(Tank3!$C$23="No control",(SUMIF(Tank3!$B$32:$B$49,$J1351,Tank3!$C$32:$C$49)*Impacts!$F$10),0)</f>
        <v>0</v>
      </c>
      <c r="O1351" s="10">
        <f>IF(Tank4!$C$23="No control",(SUMIF(Tank4!$B$32:$B$49,$J1351,Tank4!$C$32:$C$49)*Impacts!$F$11),0)</f>
        <v>0</v>
      </c>
      <c r="P1351" s="10">
        <f>IF(Tank5!$C$23="No control",(SUMIF(Tank5!$B$32:$B$49,$J1351,Tank5!$C$32:$C$49)*Impacts!$F$12),0)</f>
        <v>0</v>
      </c>
      <c r="Q1351" s="10">
        <f>IFERROR(IF(('Loading-drum,tote'!$C$21)="No control",SUMIF(('Loading-drum,tote'!$B$31:$B$48),$J1351,('Loading-drum,tote'!$D$31:$D$48))*Impacts!$F$13,IF(('Loading-drum,tote'!$C$21)&lt;&gt;"No control",SUMIF(('Loading-drum,tote'!$B$31:$B$48),$J1351,('Loading-drum,tote'!$E$31:$E$48))*Impacts!$F$13,0)),0)</f>
        <v>0</v>
      </c>
      <c r="R1351" s="10">
        <f>IFERROR(IF(('Loading-truck'!$C$21)="No control",SUMIF(('Loading-truck'!$B$31:$B$48),$J1351,('Loading-truck'!$D$31:$D$48))*Impacts!$F$14,IF(('Loading-truck'!$C$21)&lt;&gt;"No control",SUMIF(('Loading-truck'!$B$31:$B$48),$J1351,('Loading-truck'!$E$31:$E$48))*Impacts!$F$14,0)),0)</f>
        <v>0</v>
      </c>
      <c r="S1351" s="10">
        <f>IFERROR(IF(('Loading-rail'!$C$21)="No control",SUMIF(('Loading-rail'!$B$31:$B$48),$J1351,('Loading-rail'!$D$31:$D$48))*Impacts!$F$15,IF(('Loading-rail'!$C$21)&lt;&gt;"No control",SUMIF(('Loading-rail'!$B$31:$B$48),$J1351,('Loading-rail'!$E$31:$E$48))*Impacts!$F$15,0)),0)</f>
        <v>0</v>
      </c>
      <c r="T1351" s="10">
        <f>IF(Flare!$C$7="",0,(SUMIF(Flare!$B$46:$B$185,$J1351,Flare!$E$46:$E$185)*Impacts!$F$16))</f>
        <v>0</v>
      </c>
      <c r="U1351" s="10">
        <f>IF(VCU!$C$9="",0,(SUMIF(VCU!$B$51:$B$193,$J1351,VCU!$E$51:$E$193)*Impacts!$F$17))</f>
        <v>0</v>
      </c>
      <c r="V1351" s="10">
        <f>IF(CAS!$C$7="",0,(SUMIF(CAS!$B$31:$B$167,$J1351,CAS!$E$31:$E$167)*Impacts!$F$18))</f>
        <v>0</v>
      </c>
      <c r="W1351" s="10">
        <f t="shared" si="61"/>
        <v>0</v>
      </c>
      <c r="AK1351" s="10" t="str">
        <f t="array" ref="AK1351">IFERROR(INDEX(SelectedSpecies,SMALL(IF(SelectedSpecies=AK$1,ROW(SelectedSpecies)),ROW(1352:1352)),2),"")</f>
        <v/>
      </c>
      <c r="BE1351" s="10"/>
      <c r="BI1351" s="10"/>
    </row>
    <row r="1352" spans="1:61" ht="21" customHeight="1" x14ac:dyDescent="0.25">
      <c r="A1352" s="10"/>
      <c r="B1352" s="10"/>
      <c r="E1352" s="10"/>
      <c r="G1352" s="10"/>
      <c r="I1352" s="436" t="s">
        <v>7484</v>
      </c>
      <c r="J1352" s="26" t="s">
        <v>7483</v>
      </c>
      <c r="K1352" s="10">
        <v>0.2</v>
      </c>
      <c r="L1352" s="73">
        <f>IF(Tank1!$C$23="No control",(SUMIF(Tank1!$B$32:$B$49,$J1352,Tank1!$C$32:$C$49)*Impacts!$F$8),0)</f>
        <v>0</v>
      </c>
      <c r="M1352" s="10">
        <f>IF(Tank2!$C$23="No control",(SUMIF(Tank2!$B$32:$B$49,$J1352,Tank2!$C$32:$C$49)*Impacts!$F$9),0)</f>
        <v>0</v>
      </c>
      <c r="N1352" s="10">
        <f>IF(Tank3!$C$23="No control",(SUMIF(Tank3!$B$32:$B$49,$J1352,Tank3!$C$32:$C$49)*Impacts!$F$10),0)</f>
        <v>0</v>
      </c>
      <c r="O1352" s="10">
        <f>IF(Tank4!$C$23="No control",(SUMIF(Tank4!$B$32:$B$49,$J1352,Tank4!$C$32:$C$49)*Impacts!$F$11),0)</f>
        <v>0</v>
      </c>
      <c r="P1352" s="10">
        <f>IF(Tank5!$C$23="No control",(SUMIF(Tank5!$B$32:$B$49,$J1352,Tank5!$C$32:$C$49)*Impacts!$F$12),0)</f>
        <v>0</v>
      </c>
      <c r="Q1352" s="10">
        <f>IFERROR(IF(('Loading-drum,tote'!$C$21)="No control",SUMIF(('Loading-drum,tote'!$B$31:$B$48),$J1352,('Loading-drum,tote'!$D$31:$D$48))*Impacts!$F$13,IF(('Loading-drum,tote'!$C$21)&lt;&gt;"No control",SUMIF(('Loading-drum,tote'!$B$31:$B$48),$J1352,('Loading-drum,tote'!$E$31:$E$48))*Impacts!$F$13,0)),0)</f>
        <v>0</v>
      </c>
      <c r="R1352" s="10">
        <f>IFERROR(IF(('Loading-truck'!$C$21)="No control",SUMIF(('Loading-truck'!$B$31:$B$48),$J1352,('Loading-truck'!$D$31:$D$48))*Impacts!$F$14,IF(('Loading-truck'!$C$21)&lt;&gt;"No control",SUMIF(('Loading-truck'!$B$31:$B$48),$J1352,('Loading-truck'!$E$31:$E$48))*Impacts!$F$14,0)),0)</f>
        <v>0</v>
      </c>
      <c r="S1352" s="10">
        <f>IFERROR(IF(('Loading-rail'!$C$21)="No control",SUMIF(('Loading-rail'!$B$31:$B$48),$J1352,('Loading-rail'!$D$31:$D$48))*Impacts!$F$15,IF(('Loading-rail'!$C$21)&lt;&gt;"No control",SUMIF(('Loading-rail'!$B$31:$B$48),$J1352,('Loading-rail'!$E$31:$E$48))*Impacts!$F$15,0)),0)</f>
        <v>0</v>
      </c>
      <c r="T1352" s="10">
        <f>IF(Flare!$C$7="",0,(SUMIF(Flare!$B$46:$B$185,$J1352,Flare!$E$46:$E$185)*Impacts!$F$16))</f>
        <v>0</v>
      </c>
      <c r="U1352" s="10">
        <f>IF(VCU!$C$9="",0,(SUMIF(VCU!$B$51:$B$193,$J1352,VCU!$E$51:$E$193)*Impacts!$F$17))</f>
        <v>0</v>
      </c>
      <c r="V1352" s="10">
        <f>IF(CAS!$C$7="",0,(SUMIF(CAS!$B$31:$B$167,$J1352,CAS!$E$31:$E$167)*Impacts!$F$18))</f>
        <v>0</v>
      </c>
      <c r="W1352" s="10">
        <f t="shared" si="61"/>
        <v>0</v>
      </c>
      <c r="AK1352" s="10" t="str">
        <f t="array" ref="AK1352">IFERROR(INDEX(SelectedSpecies,SMALL(IF(SelectedSpecies=AK$1,ROW(SelectedSpecies)),ROW(1353:1353)),2),"")</f>
        <v/>
      </c>
      <c r="BE1352" s="10"/>
      <c r="BI1352" s="10"/>
    </row>
    <row r="1353" spans="1:61" ht="21" customHeight="1" x14ac:dyDescent="0.25">
      <c r="A1353" s="10"/>
      <c r="B1353" s="10"/>
      <c r="E1353" s="10"/>
      <c r="G1353" s="10"/>
      <c r="I1353" s="436" t="s">
        <v>3463</v>
      </c>
      <c r="J1353" s="26" t="s">
        <v>3462</v>
      </c>
      <c r="K1353" s="10">
        <v>9.7000000000000011</v>
      </c>
      <c r="L1353" s="73">
        <f>IF(Tank1!$C$23="No control",(SUMIF(Tank1!$B$32:$B$49,$J1353,Tank1!$C$32:$C$49)*Impacts!$F$8),0)</f>
        <v>0</v>
      </c>
      <c r="M1353" s="10">
        <f>IF(Tank2!$C$23="No control",(SUMIF(Tank2!$B$32:$B$49,$J1353,Tank2!$C$32:$C$49)*Impacts!$F$9),0)</f>
        <v>0</v>
      </c>
      <c r="N1353" s="10">
        <f>IF(Tank3!$C$23="No control",(SUMIF(Tank3!$B$32:$B$49,$J1353,Tank3!$C$32:$C$49)*Impacts!$F$10),0)</f>
        <v>0</v>
      </c>
      <c r="O1353" s="10">
        <f>IF(Tank4!$C$23="No control",(SUMIF(Tank4!$B$32:$B$49,$J1353,Tank4!$C$32:$C$49)*Impacts!$F$11),0)</f>
        <v>0</v>
      </c>
      <c r="P1353" s="10">
        <f>IF(Tank5!$C$23="No control",(SUMIF(Tank5!$B$32:$B$49,$J1353,Tank5!$C$32:$C$49)*Impacts!$F$12),0)</f>
        <v>0</v>
      </c>
      <c r="Q1353" s="10">
        <f>IFERROR(IF(('Loading-drum,tote'!$C$21)="No control",SUMIF(('Loading-drum,tote'!$B$31:$B$48),$J1353,('Loading-drum,tote'!$D$31:$D$48))*Impacts!$F$13,IF(('Loading-drum,tote'!$C$21)&lt;&gt;"No control",SUMIF(('Loading-drum,tote'!$B$31:$B$48),$J1353,('Loading-drum,tote'!$E$31:$E$48))*Impacts!$F$13,0)),0)</f>
        <v>0</v>
      </c>
      <c r="R1353" s="10">
        <f>IFERROR(IF(('Loading-truck'!$C$21)="No control",SUMIF(('Loading-truck'!$B$31:$B$48),$J1353,('Loading-truck'!$D$31:$D$48))*Impacts!$F$14,IF(('Loading-truck'!$C$21)&lt;&gt;"No control",SUMIF(('Loading-truck'!$B$31:$B$48),$J1353,('Loading-truck'!$E$31:$E$48))*Impacts!$F$14,0)),0)</f>
        <v>0</v>
      </c>
      <c r="S1353" s="10">
        <f>IFERROR(IF(('Loading-rail'!$C$21)="No control",SUMIF(('Loading-rail'!$B$31:$B$48),$J1353,('Loading-rail'!$D$31:$D$48))*Impacts!$F$15,IF(('Loading-rail'!$C$21)&lt;&gt;"No control",SUMIF(('Loading-rail'!$B$31:$B$48),$J1353,('Loading-rail'!$E$31:$E$48))*Impacts!$F$15,0)),0)</f>
        <v>0</v>
      </c>
      <c r="T1353" s="10">
        <f>IF(Flare!$C$7="",0,(SUMIF(Flare!$B$46:$B$185,$J1353,Flare!$E$46:$E$185)*Impacts!$F$16))</f>
        <v>0</v>
      </c>
      <c r="U1353" s="10">
        <f>IF(VCU!$C$9="",0,(SUMIF(VCU!$B$51:$B$193,$J1353,VCU!$E$51:$E$193)*Impacts!$F$17))</f>
        <v>0</v>
      </c>
      <c r="V1353" s="10">
        <f>IF(CAS!$C$7="",0,(SUMIF(CAS!$B$31:$B$167,$J1353,CAS!$E$31:$E$167)*Impacts!$F$18))</f>
        <v>0</v>
      </c>
      <c r="W1353" s="10">
        <f t="shared" si="61"/>
        <v>0</v>
      </c>
      <c r="AK1353" s="10" t="str">
        <f t="array" ref="AK1353">IFERROR(INDEX(SelectedSpecies,SMALL(IF(SelectedSpecies=AK$1,ROW(SelectedSpecies)),ROW(1354:1354)),2),"")</f>
        <v/>
      </c>
      <c r="BE1353" s="10"/>
      <c r="BI1353" s="10"/>
    </row>
    <row r="1354" spans="1:61" ht="21" customHeight="1" x14ac:dyDescent="0.25">
      <c r="A1354" s="10"/>
      <c r="B1354" s="10"/>
      <c r="E1354" s="10"/>
      <c r="G1354" s="10"/>
      <c r="I1354" s="436" t="s">
        <v>4125</v>
      </c>
      <c r="J1354" s="26" t="s">
        <v>4124</v>
      </c>
      <c r="K1354" s="10">
        <v>5.3000000000000007</v>
      </c>
      <c r="L1354" s="73">
        <f>IF(Tank1!$C$23="No control",(SUMIF(Tank1!$B$32:$B$49,$J1354,Tank1!$C$32:$C$49)*Impacts!$F$8),0)</f>
        <v>0</v>
      </c>
      <c r="M1354" s="10">
        <f>IF(Tank2!$C$23="No control",(SUMIF(Tank2!$B$32:$B$49,$J1354,Tank2!$C$32:$C$49)*Impacts!$F$9),0)</f>
        <v>0</v>
      </c>
      <c r="N1354" s="10">
        <f>IF(Tank3!$C$23="No control",(SUMIF(Tank3!$B$32:$B$49,$J1354,Tank3!$C$32:$C$49)*Impacts!$F$10),0)</f>
        <v>0</v>
      </c>
      <c r="O1354" s="10">
        <f>IF(Tank4!$C$23="No control",(SUMIF(Tank4!$B$32:$B$49,$J1354,Tank4!$C$32:$C$49)*Impacts!$F$11),0)</f>
        <v>0</v>
      </c>
      <c r="P1354" s="10">
        <f>IF(Tank5!$C$23="No control",(SUMIF(Tank5!$B$32:$B$49,$J1354,Tank5!$C$32:$C$49)*Impacts!$F$12),0)</f>
        <v>0</v>
      </c>
      <c r="Q1354" s="10">
        <f>IFERROR(IF(('Loading-drum,tote'!$C$21)="No control",SUMIF(('Loading-drum,tote'!$B$31:$B$48),$J1354,('Loading-drum,tote'!$D$31:$D$48))*Impacts!$F$13,IF(('Loading-drum,tote'!$C$21)&lt;&gt;"No control",SUMIF(('Loading-drum,tote'!$B$31:$B$48),$J1354,('Loading-drum,tote'!$E$31:$E$48))*Impacts!$F$13,0)),0)</f>
        <v>0</v>
      </c>
      <c r="R1354" s="10">
        <f>IFERROR(IF(('Loading-truck'!$C$21)="No control",SUMIF(('Loading-truck'!$B$31:$B$48),$J1354,('Loading-truck'!$D$31:$D$48))*Impacts!$F$14,IF(('Loading-truck'!$C$21)&lt;&gt;"No control",SUMIF(('Loading-truck'!$B$31:$B$48),$J1354,('Loading-truck'!$E$31:$E$48))*Impacts!$F$14,0)),0)</f>
        <v>0</v>
      </c>
      <c r="S1354" s="10">
        <f>IFERROR(IF(('Loading-rail'!$C$21)="No control",SUMIF(('Loading-rail'!$B$31:$B$48),$J1354,('Loading-rail'!$D$31:$D$48))*Impacts!$F$15,IF(('Loading-rail'!$C$21)&lt;&gt;"No control",SUMIF(('Loading-rail'!$B$31:$B$48),$J1354,('Loading-rail'!$E$31:$E$48))*Impacts!$F$15,0)),0)</f>
        <v>0</v>
      </c>
      <c r="T1354" s="10">
        <f>IF(Flare!$C$7="",0,(SUMIF(Flare!$B$46:$B$185,$J1354,Flare!$E$46:$E$185)*Impacts!$F$16))</f>
        <v>0</v>
      </c>
      <c r="U1354" s="10">
        <f>IF(VCU!$C$9="",0,(SUMIF(VCU!$B$51:$B$193,$J1354,VCU!$E$51:$E$193)*Impacts!$F$17))</f>
        <v>0</v>
      </c>
      <c r="V1354" s="10">
        <f>IF(CAS!$C$7="",0,(SUMIF(CAS!$B$31:$B$167,$J1354,CAS!$E$31:$E$167)*Impacts!$F$18))</f>
        <v>0</v>
      </c>
      <c r="W1354" s="10">
        <f t="shared" si="61"/>
        <v>0</v>
      </c>
      <c r="AK1354" s="10" t="str">
        <f t="array" ref="AK1354">IFERROR(INDEX(SelectedSpecies,SMALL(IF(SelectedSpecies=AK$1,ROW(SelectedSpecies)),ROW(1355:1355)),2),"")</f>
        <v/>
      </c>
      <c r="BE1354" s="10"/>
      <c r="BI1354" s="10"/>
    </row>
    <row r="1355" spans="1:61" ht="21" customHeight="1" x14ac:dyDescent="0.25">
      <c r="A1355" s="10"/>
      <c r="B1355" s="10"/>
      <c r="E1355" s="10"/>
      <c r="G1355" s="10"/>
      <c r="I1355" s="436" t="s">
        <v>2791</v>
      </c>
      <c r="J1355" s="26" t="s">
        <v>2790</v>
      </c>
      <c r="K1355" s="10">
        <v>10</v>
      </c>
      <c r="L1355" s="73">
        <f>IF(Tank1!$C$23="No control",(SUMIF(Tank1!$B$32:$B$49,$J1355,Tank1!$C$32:$C$49)*Impacts!$F$8),0)</f>
        <v>0</v>
      </c>
      <c r="M1355" s="10">
        <f>IF(Tank2!$C$23="No control",(SUMIF(Tank2!$B$32:$B$49,$J1355,Tank2!$C$32:$C$49)*Impacts!$F$9),0)</f>
        <v>0</v>
      </c>
      <c r="N1355" s="10">
        <f>IF(Tank3!$C$23="No control",(SUMIF(Tank3!$B$32:$B$49,$J1355,Tank3!$C$32:$C$49)*Impacts!$F$10),0)</f>
        <v>0</v>
      </c>
      <c r="O1355" s="10">
        <f>IF(Tank4!$C$23="No control",(SUMIF(Tank4!$B$32:$B$49,$J1355,Tank4!$C$32:$C$49)*Impacts!$F$11),0)</f>
        <v>0</v>
      </c>
      <c r="P1355" s="10">
        <f>IF(Tank5!$C$23="No control",(SUMIF(Tank5!$B$32:$B$49,$J1355,Tank5!$C$32:$C$49)*Impacts!$F$12),0)</f>
        <v>0</v>
      </c>
      <c r="Q1355" s="10">
        <f>IFERROR(IF(('Loading-drum,tote'!$C$21)="No control",SUMIF(('Loading-drum,tote'!$B$31:$B$48),$J1355,('Loading-drum,tote'!$D$31:$D$48))*Impacts!$F$13,IF(('Loading-drum,tote'!$C$21)&lt;&gt;"No control",SUMIF(('Loading-drum,tote'!$B$31:$B$48),$J1355,('Loading-drum,tote'!$E$31:$E$48))*Impacts!$F$13,0)),0)</f>
        <v>0</v>
      </c>
      <c r="R1355" s="10">
        <f>IFERROR(IF(('Loading-truck'!$C$21)="No control",SUMIF(('Loading-truck'!$B$31:$B$48),$J1355,('Loading-truck'!$D$31:$D$48))*Impacts!$F$14,IF(('Loading-truck'!$C$21)&lt;&gt;"No control",SUMIF(('Loading-truck'!$B$31:$B$48),$J1355,('Loading-truck'!$E$31:$E$48))*Impacts!$F$14,0)),0)</f>
        <v>0</v>
      </c>
      <c r="S1355" s="10">
        <f>IFERROR(IF(('Loading-rail'!$C$21)="No control",SUMIF(('Loading-rail'!$B$31:$B$48),$J1355,('Loading-rail'!$D$31:$D$48))*Impacts!$F$15,IF(('Loading-rail'!$C$21)&lt;&gt;"No control",SUMIF(('Loading-rail'!$B$31:$B$48),$J1355,('Loading-rail'!$E$31:$E$48))*Impacts!$F$15,0)),0)</f>
        <v>0</v>
      </c>
      <c r="T1355" s="10">
        <f>IF(Flare!$C$7="",0,(SUMIF(Flare!$B$46:$B$185,$J1355,Flare!$E$46:$E$185)*Impacts!$F$16))</f>
        <v>0</v>
      </c>
      <c r="U1355" s="10">
        <f>IF(VCU!$C$9="",0,(SUMIF(VCU!$B$51:$B$193,$J1355,VCU!$E$51:$E$193)*Impacts!$F$17))</f>
        <v>0</v>
      </c>
      <c r="V1355" s="10">
        <f>IF(CAS!$C$7="",0,(SUMIF(CAS!$B$31:$B$167,$J1355,CAS!$E$31:$E$167)*Impacts!$F$18))</f>
        <v>0</v>
      </c>
      <c r="W1355" s="10">
        <f t="shared" si="61"/>
        <v>0</v>
      </c>
      <c r="AK1355" s="10" t="str">
        <f t="array" ref="AK1355">IFERROR(INDEX(SelectedSpecies,SMALL(IF(SelectedSpecies=AK$1,ROW(SelectedSpecies)),ROW(1356:1356)),2),"")</f>
        <v/>
      </c>
      <c r="BE1355" s="10"/>
      <c r="BI1355" s="10"/>
    </row>
    <row r="1356" spans="1:61" ht="21" customHeight="1" x14ac:dyDescent="0.25">
      <c r="A1356" s="10"/>
      <c r="B1356" s="10"/>
      <c r="E1356" s="10"/>
      <c r="G1356" s="10"/>
      <c r="I1356" s="436" t="s">
        <v>3649</v>
      </c>
      <c r="J1356" s="26" t="s">
        <v>3648</v>
      </c>
      <c r="K1356" s="10">
        <v>7.2</v>
      </c>
      <c r="L1356" s="73">
        <f>IF(Tank1!$C$23="No control",(SUMIF(Tank1!$B$32:$B$49,$J1356,Tank1!$C$32:$C$49)*Impacts!$F$8),0)</f>
        <v>0</v>
      </c>
      <c r="M1356" s="10">
        <f>IF(Tank2!$C$23="No control",(SUMIF(Tank2!$B$32:$B$49,$J1356,Tank2!$C$32:$C$49)*Impacts!$F$9),0)</f>
        <v>0</v>
      </c>
      <c r="N1356" s="10">
        <f>IF(Tank3!$C$23="No control",(SUMIF(Tank3!$B$32:$B$49,$J1356,Tank3!$C$32:$C$49)*Impacts!$F$10),0)</f>
        <v>0</v>
      </c>
      <c r="O1356" s="10">
        <f>IF(Tank4!$C$23="No control",(SUMIF(Tank4!$B$32:$B$49,$J1356,Tank4!$C$32:$C$49)*Impacts!$F$11),0)</f>
        <v>0</v>
      </c>
      <c r="P1356" s="10">
        <f>IF(Tank5!$C$23="No control",(SUMIF(Tank5!$B$32:$B$49,$J1356,Tank5!$C$32:$C$49)*Impacts!$F$12),0)</f>
        <v>0</v>
      </c>
      <c r="Q1356" s="10">
        <f>IFERROR(IF(('Loading-drum,tote'!$C$21)="No control",SUMIF(('Loading-drum,tote'!$B$31:$B$48),$J1356,('Loading-drum,tote'!$D$31:$D$48))*Impacts!$F$13,IF(('Loading-drum,tote'!$C$21)&lt;&gt;"No control",SUMIF(('Loading-drum,tote'!$B$31:$B$48),$J1356,('Loading-drum,tote'!$E$31:$E$48))*Impacts!$F$13,0)),0)</f>
        <v>0</v>
      </c>
      <c r="R1356" s="10">
        <f>IFERROR(IF(('Loading-truck'!$C$21)="No control",SUMIF(('Loading-truck'!$B$31:$B$48),$J1356,('Loading-truck'!$D$31:$D$48))*Impacts!$F$14,IF(('Loading-truck'!$C$21)&lt;&gt;"No control",SUMIF(('Loading-truck'!$B$31:$B$48),$J1356,('Loading-truck'!$E$31:$E$48))*Impacts!$F$14,0)),0)</f>
        <v>0</v>
      </c>
      <c r="S1356" s="10">
        <f>IFERROR(IF(('Loading-rail'!$C$21)="No control",SUMIF(('Loading-rail'!$B$31:$B$48),$J1356,('Loading-rail'!$D$31:$D$48))*Impacts!$F$15,IF(('Loading-rail'!$C$21)&lt;&gt;"No control",SUMIF(('Loading-rail'!$B$31:$B$48),$J1356,('Loading-rail'!$E$31:$E$48))*Impacts!$F$15,0)),0)</f>
        <v>0</v>
      </c>
      <c r="T1356" s="10">
        <f>IF(Flare!$C$7="",0,(SUMIF(Flare!$B$46:$B$185,$J1356,Flare!$E$46:$E$185)*Impacts!$F$16))</f>
        <v>0</v>
      </c>
      <c r="U1356" s="10">
        <f>IF(VCU!$C$9="",0,(SUMIF(VCU!$B$51:$B$193,$J1356,VCU!$E$51:$E$193)*Impacts!$F$17))</f>
        <v>0</v>
      </c>
      <c r="V1356" s="10">
        <f>IF(CAS!$C$7="",0,(SUMIF(CAS!$B$31:$B$167,$J1356,CAS!$E$31:$E$167)*Impacts!$F$18))</f>
        <v>0</v>
      </c>
      <c r="W1356" s="10">
        <f t="shared" si="61"/>
        <v>0</v>
      </c>
      <c r="AK1356" s="10" t="str">
        <f t="array" ref="AK1356">IFERROR(INDEX(SelectedSpecies,SMALL(IF(SelectedSpecies=AK$1,ROW(SelectedSpecies)),ROW(1357:1357)),2),"")</f>
        <v/>
      </c>
      <c r="BE1356" s="10"/>
      <c r="BI1356" s="10"/>
    </row>
    <row r="1357" spans="1:61" ht="21" customHeight="1" x14ac:dyDescent="0.25">
      <c r="A1357" s="10"/>
      <c r="B1357" s="10"/>
      <c r="E1357" s="10"/>
      <c r="G1357" s="10"/>
      <c r="I1357" s="436" t="s">
        <v>8148</v>
      </c>
      <c r="J1357" s="26" t="s">
        <v>8147</v>
      </c>
      <c r="K1357" s="10">
        <v>1.0000000000000002E-2</v>
      </c>
      <c r="L1357" s="73">
        <f>IF(Tank1!$C$23="No control",(SUMIF(Tank1!$B$32:$B$49,$J1357,Tank1!$C$32:$C$49)*Impacts!$F$8),0)</f>
        <v>0</v>
      </c>
      <c r="M1357" s="10">
        <f>IF(Tank2!$C$23="No control",(SUMIF(Tank2!$B$32:$B$49,$J1357,Tank2!$C$32:$C$49)*Impacts!$F$9),0)</f>
        <v>0</v>
      </c>
      <c r="N1357" s="10">
        <f>IF(Tank3!$C$23="No control",(SUMIF(Tank3!$B$32:$B$49,$J1357,Tank3!$C$32:$C$49)*Impacts!$F$10),0)</f>
        <v>0</v>
      </c>
      <c r="O1357" s="10">
        <f>IF(Tank4!$C$23="No control",(SUMIF(Tank4!$B$32:$B$49,$J1357,Tank4!$C$32:$C$49)*Impacts!$F$11),0)</f>
        <v>0</v>
      </c>
      <c r="P1357" s="10">
        <f>IF(Tank5!$C$23="No control",(SUMIF(Tank5!$B$32:$B$49,$J1357,Tank5!$C$32:$C$49)*Impacts!$F$12),0)</f>
        <v>0</v>
      </c>
      <c r="Q1357" s="10">
        <f>IFERROR(IF(('Loading-drum,tote'!$C$21)="No control",SUMIF(('Loading-drum,tote'!$B$31:$B$48),$J1357,('Loading-drum,tote'!$D$31:$D$48))*Impacts!$F$13,IF(('Loading-drum,tote'!$C$21)&lt;&gt;"No control",SUMIF(('Loading-drum,tote'!$B$31:$B$48),$J1357,('Loading-drum,tote'!$E$31:$E$48))*Impacts!$F$13,0)),0)</f>
        <v>0</v>
      </c>
      <c r="R1357" s="10">
        <f>IFERROR(IF(('Loading-truck'!$C$21)="No control",SUMIF(('Loading-truck'!$B$31:$B$48),$J1357,('Loading-truck'!$D$31:$D$48))*Impacts!$F$14,IF(('Loading-truck'!$C$21)&lt;&gt;"No control",SUMIF(('Loading-truck'!$B$31:$B$48),$J1357,('Loading-truck'!$E$31:$E$48))*Impacts!$F$14,0)),0)</f>
        <v>0</v>
      </c>
      <c r="S1357" s="10">
        <f>IFERROR(IF(('Loading-rail'!$C$21)="No control",SUMIF(('Loading-rail'!$B$31:$B$48),$J1357,('Loading-rail'!$D$31:$D$48))*Impacts!$F$15,IF(('Loading-rail'!$C$21)&lt;&gt;"No control",SUMIF(('Loading-rail'!$B$31:$B$48),$J1357,('Loading-rail'!$E$31:$E$48))*Impacts!$F$15,0)),0)</f>
        <v>0</v>
      </c>
      <c r="T1357" s="10">
        <f>IF(Flare!$C$7="",0,(SUMIF(Flare!$B$46:$B$185,$J1357,Flare!$E$46:$E$185)*Impacts!$F$16))</f>
        <v>0</v>
      </c>
      <c r="U1357" s="10">
        <f>IF(VCU!$C$9="",0,(SUMIF(VCU!$B$51:$B$193,$J1357,VCU!$E$51:$E$193)*Impacts!$F$17))</f>
        <v>0</v>
      </c>
      <c r="V1357" s="10">
        <f>IF(CAS!$C$7="",0,(SUMIF(CAS!$B$31:$B$167,$J1357,CAS!$E$31:$E$167)*Impacts!$F$18))</f>
        <v>0</v>
      </c>
      <c r="W1357" s="10">
        <f t="shared" si="61"/>
        <v>0</v>
      </c>
      <c r="AK1357" s="10" t="str">
        <f t="array" ref="AK1357">IFERROR(INDEX(SelectedSpecies,SMALL(IF(SelectedSpecies=AK$1,ROW(SelectedSpecies)),ROW(1358:1358)),2),"")</f>
        <v/>
      </c>
      <c r="BE1357" s="10"/>
      <c r="BI1357" s="10"/>
    </row>
    <row r="1358" spans="1:61" ht="21" customHeight="1" x14ac:dyDescent="0.25">
      <c r="A1358" s="10"/>
      <c r="B1358" s="10"/>
      <c r="E1358" s="10"/>
      <c r="G1358" s="10"/>
      <c r="I1358" s="436" t="s">
        <v>2461</v>
      </c>
      <c r="J1358" s="26" t="s">
        <v>2460</v>
      </c>
      <c r="K1358" s="10">
        <v>10</v>
      </c>
      <c r="L1358" s="73">
        <f>IF(Tank1!$C$23="No control",(SUMIF(Tank1!$B$32:$B$49,$J1358,Tank1!$C$32:$C$49)*Impacts!$F$8),0)</f>
        <v>0</v>
      </c>
      <c r="M1358" s="10">
        <f>IF(Tank2!$C$23="No control",(SUMIF(Tank2!$B$32:$B$49,$J1358,Tank2!$C$32:$C$49)*Impacts!$F$9),0)</f>
        <v>0</v>
      </c>
      <c r="N1358" s="10">
        <f>IF(Tank3!$C$23="No control",(SUMIF(Tank3!$B$32:$B$49,$J1358,Tank3!$C$32:$C$49)*Impacts!$F$10),0)</f>
        <v>0</v>
      </c>
      <c r="O1358" s="10">
        <f>IF(Tank4!$C$23="No control",(SUMIF(Tank4!$B$32:$B$49,$J1358,Tank4!$C$32:$C$49)*Impacts!$F$11),0)</f>
        <v>0</v>
      </c>
      <c r="P1358" s="10">
        <f>IF(Tank5!$C$23="No control",(SUMIF(Tank5!$B$32:$B$49,$J1358,Tank5!$C$32:$C$49)*Impacts!$F$12),0)</f>
        <v>0</v>
      </c>
      <c r="Q1358" s="10">
        <f>IFERROR(IF(('Loading-drum,tote'!$C$21)="No control",SUMIF(('Loading-drum,tote'!$B$31:$B$48),$J1358,('Loading-drum,tote'!$D$31:$D$48))*Impacts!$F$13,IF(('Loading-drum,tote'!$C$21)&lt;&gt;"No control",SUMIF(('Loading-drum,tote'!$B$31:$B$48),$J1358,('Loading-drum,tote'!$E$31:$E$48))*Impacts!$F$13,0)),0)</f>
        <v>0</v>
      </c>
      <c r="R1358" s="10">
        <f>IFERROR(IF(('Loading-truck'!$C$21)="No control",SUMIF(('Loading-truck'!$B$31:$B$48),$J1358,('Loading-truck'!$D$31:$D$48))*Impacts!$F$14,IF(('Loading-truck'!$C$21)&lt;&gt;"No control",SUMIF(('Loading-truck'!$B$31:$B$48),$J1358,('Loading-truck'!$E$31:$E$48))*Impacts!$F$14,0)),0)</f>
        <v>0</v>
      </c>
      <c r="S1358" s="10">
        <f>IFERROR(IF(('Loading-rail'!$C$21)="No control",SUMIF(('Loading-rail'!$B$31:$B$48),$J1358,('Loading-rail'!$D$31:$D$48))*Impacts!$F$15,IF(('Loading-rail'!$C$21)&lt;&gt;"No control",SUMIF(('Loading-rail'!$B$31:$B$48),$J1358,('Loading-rail'!$E$31:$E$48))*Impacts!$F$15,0)),0)</f>
        <v>0</v>
      </c>
      <c r="T1358" s="10">
        <f>IF(Flare!$C$7="",0,(SUMIF(Flare!$B$46:$B$185,$J1358,Flare!$E$46:$E$185)*Impacts!$F$16))</f>
        <v>0</v>
      </c>
      <c r="U1358" s="10">
        <f>IF(VCU!$C$9="",0,(SUMIF(VCU!$B$51:$B$193,$J1358,VCU!$E$51:$E$193)*Impacts!$F$17))</f>
        <v>0</v>
      </c>
      <c r="V1358" s="10">
        <f>IF(CAS!$C$7="",0,(SUMIF(CAS!$B$31:$B$167,$J1358,CAS!$E$31:$E$167)*Impacts!$F$18))</f>
        <v>0</v>
      </c>
      <c r="W1358" s="10">
        <f t="shared" si="61"/>
        <v>0</v>
      </c>
      <c r="AK1358" s="10" t="str">
        <f t="array" ref="AK1358">IFERROR(INDEX(SelectedSpecies,SMALL(IF(SelectedSpecies=AK$1,ROW(SelectedSpecies)),ROW(1359:1359)),2),"")</f>
        <v/>
      </c>
      <c r="BE1358" s="10"/>
      <c r="BI1358" s="10"/>
    </row>
    <row r="1359" spans="1:61" ht="21" customHeight="1" x14ac:dyDescent="0.25">
      <c r="A1359" s="10"/>
      <c r="B1359" s="10"/>
      <c r="E1359" s="10"/>
      <c r="G1359" s="10"/>
      <c r="I1359" s="436" t="s">
        <v>2793</v>
      </c>
      <c r="J1359" s="26" t="s">
        <v>2792</v>
      </c>
      <c r="K1359" s="10">
        <v>10</v>
      </c>
      <c r="L1359" s="73">
        <f>IF(Tank1!$C$23="No control",(SUMIF(Tank1!$B$32:$B$49,$J1359,Tank1!$C$32:$C$49)*Impacts!$F$8),0)</f>
        <v>0</v>
      </c>
      <c r="M1359" s="10">
        <f>IF(Tank2!$C$23="No control",(SUMIF(Tank2!$B$32:$B$49,$J1359,Tank2!$C$32:$C$49)*Impacts!$F$9),0)</f>
        <v>0</v>
      </c>
      <c r="N1359" s="10">
        <f>IF(Tank3!$C$23="No control",(SUMIF(Tank3!$B$32:$B$49,$J1359,Tank3!$C$32:$C$49)*Impacts!$F$10),0)</f>
        <v>0</v>
      </c>
      <c r="O1359" s="10">
        <f>IF(Tank4!$C$23="No control",(SUMIF(Tank4!$B$32:$B$49,$J1359,Tank4!$C$32:$C$49)*Impacts!$F$11),0)</f>
        <v>0</v>
      </c>
      <c r="P1359" s="10">
        <f>IF(Tank5!$C$23="No control",(SUMIF(Tank5!$B$32:$B$49,$J1359,Tank5!$C$32:$C$49)*Impacts!$F$12),0)</f>
        <v>0</v>
      </c>
      <c r="Q1359" s="10">
        <f>IFERROR(IF(('Loading-drum,tote'!$C$21)="No control",SUMIF(('Loading-drum,tote'!$B$31:$B$48),$J1359,('Loading-drum,tote'!$D$31:$D$48))*Impacts!$F$13,IF(('Loading-drum,tote'!$C$21)&lt;&gt;"No control",SUMIF(('Loading-drum,tote'!$B$31:$B$48),$J1359,('Loading-drum,tote'!$E$31:$E$48))*Impacts!$F$13,0)),0)</f>
        <v>0</v>
      </c>
      <c r="R1359" s="10">
        <f>IFERROR(IF(('Loading-truck'!$C$21)="No control",SUMIF(('Loading-truck'!$B$31:$B$48),$J1359,('Loading-truck'!$D$31:$D$48))*Impacts!$F$14,IF(('Loading-truck'!$C$21)&lt;&gt;"No control",SUMIF(('Loading-truck'!$B$31:$B$48),$J1359,('Loading-truck'!$E$31:$E$48))*Impacts!$F$14,0)),0)</f>
        <v>0</v>
      </c>
      <c r="S1359" s="10">
        <f>IFERROR(IF(('Loading-rail'!$C$21)="No control",SUMIF(('Loading-rail'!$B$31:$B$48),$J1359,('Loading-rail'!$D$31:$D$48))*Impacts!$F$15,IF(('Loading-rail'!$C$21)&lt;&gt;"No control",SUMIF(('Loading-rail'!$B$31:$B$48),$J1359,('Loading-rail'!$E$31:$E$48))*Impacts!$F$15,0)),0)</f>
        <v>0</v>
      </c>
      <c r="T1359" s="10">
        <f>IF(Flare!$C$7="",0,(SUMIF(Flare!$B$46:$B$185,$J1359,Flare!$E$46:$E$185)*Impacts!$F$16))</f>
        <v>0</v>
      </c>
      <c r="U1359" s="10">
        <f>IF(VCU!$C$9="",0,(SUMIF(VCU!$B$51:$B$193,$J1359,VCU!$E$51:$E$193)*Impacts!$F$17))</f>
        <v>0</v>
      </c>
      <c r="V1359" s="10">
        <f>IF(CAS!$C$7="",0,(SUMIF(CAS!$B$31:$B$167,$J1359,CAS!$E$31:$E$167)*Impacts!$F$18))</f>
        <v>0</v>
      </c>
      <c r="W1359" s="10">
        <f t="shared" si="61"/>
        <v>0</v>
      </c>
      <c r="AK1359" s="10" t="str">
        <f t="array" ref="AK1359">IFERROR(INDEX(SelectedSpecies,SMALL(IF(SelectedSpecies=AK$1,ROW(SelectedSpecies)),ROW(1360:1360)),2),"")</f>
        <v/>
      </c>
      <c r="BE1359" s="10"/>
      <c r="BI1359" s="10"/>
    </row>
    <row r="1360" spans="1:61" ht="21" customHeight="1" x14ac:dyDescent="0.25">
      <c r="A1360" s="10"/>
      <c r="B1360" s="10"/>
      <c r="E1360" s="10"/>
      <c r="G1360" s="10"/>
      <c r="I1360" s="436" t="s">
        <v>1614</v>
      </c>
      <c r="J1360" s="26" t="s">
        <v>1613</v>
      </c>
      <c r="K1360" s="10">
        <v>25</v>
      </c>
      <c r="L1360" s="73">
        <f>IF(Tank1!$C$23="No control",(SUMIF(Tank1!$B$32:$B$49,$J1360,Tank1!$C$32:$C$49)*Impacts!$F$8),0)</f>
        <v>0</v>
      </c>
      <c r="M1360" s="10">
        <f>IF(Tank2!$C$23="No control",(SUMIF(Tank2!$B$32:$B$49,$J1360,Tank2!$C$32:$C$49)*Impacts!$F$9),0)</f>
        <v>0</v>
      </c>
      <c r="N1360" s="10">
        <f>IF(Tank3!$C$23="No control",(SUMIF(Tank3!$B$32:$B$49,$J1360,Tank3!$C$32:$C$49)*Impacts!$F$10),0)</f>
        <v>0</v>
      </c>
      <c r="O1360" s="10">
        <f>IF(Tank4!$C$23="No control",(SUMIF(Tank4!$B$32:$B$49,$J1360,Tank4!$C$32:$C$49)*Impacts!$F$11),0)</f>
        <v>0</v>
      </c>
      <c r="P1360" s="10">
        <f>IF(Tank5!$C$23="No control",(SUMIF(Tank5!$B$32:$B$49,$J1360,Tank5!$C$32:$C$49)*Impacts!$F$12),0)</f>
        <v>0</v>
      </c>
      <c r="Q1360" s="10">
        <f>IFERROR(IF(('Loading-drum,tote'!$C$21)="No control",SUMIF(('Loading-drum,tote'!$B$31:$B$48),$J1360,('Loading-drum,tote'!$D$31:$D$48))*Impacts!$F$13,IF(('Loading-drum,tote'!$C$21)&lt;&gt;"No control",SUMIF(('Loading-drum,tote'!$B$31:$B$48),$J1360,('Loading-drum,tote'!$E$31:$E$48))*Impacts!$F$13,0)),0)</f>
        <v>0</v>
      </c>
      <c r="R1360" s="10">
        <f>IFERROR(IF(('Loading-truck'!$C$21)="No control",SUMIF(('Loading-truck'!$B$31:$B$48),$J1360,('Loading-truck'!$D$31:$D$48))*Impacts!$F$14,IF(('Loading-truck'!$C$21)&lt;&gt;"No control",SUMIF(('Loading-truck'!$B$31:$B$48),$J1360,('Loading-truck'!$E$31:$E$48))*Impacts!$F$14,0)),0)</f>
        <v>0</v>
      </c>
      <c r="S1360" s="10">
        <f>IFERROR(IF(('Loading-rail'!$C$21)="No control",SUMIF(('Loading-rail'!$B$31:$B$48),$J1360,('Loading-rail'!$D$31:$D$48))*Impacts!$F$15,IF(('Loading-rail'!$C$21)&lt;&gt;"No control",SUMIF(('Loading-rail'!$B$31:$B$48),$J1360,('Loading-rail'!$E$31:$E$48))*Impacts!$F$15,0)),0)</f>
        <v>0</v>
      </c>
      <c r="T1360" s="10">
        <f>IF(Flare!$C$7="",0,(SUMIF(Flare!$B$46:$B$185,$J1360,Flare!$E$46:$E$185)*Impacts!$F$16))</f>
        <v>0</v>
      </c>
      <c r="U1360" s="10">
        <f>IF(VCU!$C$9="",0,(SUMIF(VCU!$B$51:$B$193,$J1360,VCU!$E$51:$E$193)*Impacts!$F$17))</f>
        <v>0</v>
      </c>
      <c r="V1360" s="10">
        <f>IF(CAS!$C$7="",0,(SUMIF(CAS!$B$31:$B$167,$J1360,CAS!$E$31:$E$167)*Impacts!$F$18))</f>
        <v>0</v>
      </c>
      <c r="W1360" s="10">
        <f t="shared" si="61"/>
        <v>0</v>
      </c>
      <c r="AK1360" s="10" t="str">
        <f t="array" ref="AK1360">IFERROR(INDEX(SelectedSpecies,SMALL(IF(SelectedSpecies=AK$1,ROW(SelectedSpecies)),ROW(1361:1361)),2),"")</f>
        <v/>
      </c>
      <c r="BE1360" s="10"/>
      <c r="BI1360" s="10"/>
    </row>
    <row r="1361" spans="1:61" ht="21" customHeight="1" x14ac:dyDescent="0.25">
      <c r="A1361" s="10"/>
      <c r="B1361" s="10"/>
      <c r="E1361" s="10"/>
      <c r="G1361" s="10"/>
      <c r="I1361" s="436" t="s">
        <v>566</v>
      </c>
      <c r="J1361" s="26" t="s">
        <v>565</v>
      </c>
      <c r="K1361" s="10">
        <v>100</v>
      </c>
      <c r="L1361" s="73">
        <f>IF(Tank1!$C$23="No control",(SUMIF(Tank1!$B$32:$B$49,$J1361,Tank1!$C$32:$C$49)*Impacts!$F$8),0)</f>
        <v>0</v>
      </c>
      <c r="M1361" s="10">
        <f>IF(Tank2!$C$23="No control",(SUMIF(Tank2!$B$32:$B$49,$J1361,Tank2!$C$32:$C$49)*Impacts!$F$9),0)</f>
        <v>0</v>
      </c>
      <c r="N1361" s="10">
        <f>IF(Tank3!$C$23="No control",(SUMIF(Tank3!$B$32:$B$49,$J1361,Tank3!$C$32:$C$49)*Impacts!$F$10),0)</f>
        <v>0</v>
      </c>
      <c r="O1361" s="10">
        <f>IF(Tank4!$C$23="No control",(SUMIF(Tank4!$B$32:$B$49,$J1361,Tank4!$C$32:$C$49)*Impacts!$F$11),0)</f>
        <v>0</v>
      </c>
      <c r="P1361" s="10">
        <f>IF(Tank5!$C$23="No control",(SUMIF(Tank5!$B$32:$B$49,$J1361,Tank5!$C$32:$C$49)*Impacts!$F$12),0)</f>
        <v>0</v>
      </c>
      <c r="Q1361" s="10">
        <f>IFERROR(IF(('Loading-drum,tote'!$C$21)="No control",SUMIF(('Loading-drum,tote'!$B$31:$B$48),$J1361,('Loading-drum,tote'!$D$31:$D$48))*Impacts!$F$13,IF(('Loading-drum,tote'!$C$21)&lt;&gt;"No control",SUMIF(('Loading-drum,tote'!$B$31:$B$48),$J1361,('Loading-drum,tote'!$E$31:$E$48))*Impacts!$F$13,0)),0)</f>
        <v>0</v>
      </c>
      <c r="R1361" s="10">
        <f>IFERROR(IF(('Loading-truck'!$C$21)="No control",SUMIF(('Loading-truck'!$B$31:$B$48),$J1361,('Loading-truck'!$D$31:$D$48))*Impacts!$F$14,IF(('Loading-truck'!$C$21)&lt;&gt;"No control",SUMIF(('Loading-truck'!$B$31:$B$48),$J1361,('Loading-truck'!$E$31:$E$48))*Impacts!$F$14,0)),0)</f>
        <v>0</v>
      </c>
      <c r="S1361" s="10">
        <f>IFERROR(IF(('Loading-rail'!$C$21)="No control",SUMIF(('Loading-rail'!$B$31:$B$48),$J1361,('Loading-rail'!$D$31:$D$48))*Impacts!$F$15,IF(('Loading-rail'!$C$21)&lt;&gt;"No control",SUMIF(('Loading-rail'!$B$31:$B$48),$J1361,('Loading-rail'!$E$31:$E$48))*Impacts!$F$15,0)),0)</f>
        <v>0</v>
      </c>
      <c r="T1361" s="10">
        <f>IF(Flare!$C$7="",0,(SUMIF(Flare!$B$46:$B$185,$J1361,Flare!$E$46:$E$185)*Impacts!$F$16))</f>
        <v>0</v>
      </c>
      <c r="U1361" s="10">
        <f>IF(VCU!$C$9="",0,(SUMIF(VCU!$B$51:$B$193,$J1361,VCU!$E$51:$E$193)*Impacts!$F$17))</f>
        <v>0</v>
      </c>
      <c r="V1361" s="10">
        <f>IF(CAS!$C$7="",0,(SUMIF(CAS!$B$31:$B$167,$J1361,CAS!$E$31:$E$167)*Impacts!$F$18))</f>
        <v>0</v>
      </c>
      <c r="W1361" s="10">
        <f t="shared" si="61"/>
        <v>0</v>
      </c>
      <c r="AK1361" s="10" t="str">
        <f t="array" ref="AK1361">IFERROR(INDEX(SelectedSpecies,SMALL(IF(SelectedSpecies=AK$1,ROW(SelectedSpecies)),ROW(1362:1362)),2),"")</f>
        <v/>
      </c>
      <c r="BE1361" s="10"/>
      <c r="BI1361" s="10"/>
    </row>
    <row r="1362" spans="1:61" ht="21" customHeight="1" x14ac:dyDescent="0.25">
      <c r="A1362" s="10"/>
      <c r="B1362" s="10"/>
      <c r="E1362" s="10"/>
      <c r="G1362" s="10"/>
      <c r="I1362" s="436" t="s">
        <v>4267</v>
      </c>
      <c r="J1362" s="26" t="s">
        <v>4266</v>
      </c>
      <c r="K1362" s="10">
        <v>5</v>
      </c>
      <c r="L1362" s="73">
        <f>IF(Tank1!$C$23="No control",(SUMIF(Tank1!$B$32:$B$49,$J1362,Tank1!$C$32:$C$49)*Impacts!$F$8),0)</f>
        <v>0</v>
      </c>
      <c r="M1362" s="10">
        <f>IF(Tank2!$C$23="No control",(SUMIF(Tank2!$B$32:$B$49,$J1362,Tank2!$C$32:$C$49)*Impacts!$F$9),0)</f>
        <v>0</v>
      </c>
      <c r="N1362" s="10">
        <f>IF(Tank3!$C$23="No control",(SUMIF(Tank3!$B$32:$B$49,$J1362,Tank3!$C$32:$C$49)*Impacts!$F$10),0)</f>
        <v>0</v>
      </c>
      <c r="O1362" s="10">
        <f>IF(Tank4!$C$23="No control",(SUMIF(Tank4!$B$32:$B$49,$J1362,Tank4!$C$32:$C$49)*Impacts!$F$11),0)</f>
        <v>0</v>
      </c>
      <c r="P1362" s="10">
        <f>IF(Tank5!$C$23="No control",(SUMIF(Tank5!$B$32:$B$49,$J1362,Tank5!$C$32:$C$49)*Impacts!$F$12),0)</f>
        <v>0</v>
      </c>
      <c r="Q1362" s="10">
        <f>IFERROR(IF(('Loading-drum,tote'!$C$21)="No control",SUMIF(('Loading-drum,tote'!$B$31:$B$48),$J1362,('Loading-drum,tote'!$D$31:$D$48))*Impacts!$F$13,IF(('Loading-drum,tote'!$C$21)&lt;&gt;"No control",SUMIF(('Loading-drum,tote'!$B$31:$B$48),$J1362,('Loading-drum,tote'!$E$31:$E$48))*Impacts!$F$13,0)),0)</f>
        <v>0</v>
      </c>
      <c r="R1362" s="10">
        <f>IFERROR(IF(('Loading-truck'!$C$21)="No control",SUMIF(('Loading-truck'!$B$31:$B$48),$J1362,('Loading-truck'!$D$31:$D$48))*Impacts!$F$14,IF(('Loading-truck'!$C$21)&lt;&gt;"No control",SUMIF(('Loading-truck'!$B$31:$B$48),$J1362,('Loading-truck'!$E$31:$E$48))*Impacts!$F$14,0)),0)</f>
        <v>0</v>
      </c>
      <c r="S1362" s="10">
        <f>IFERROR(IF(('Loading-rail'!$C$21)="No control",SUMIF(('Loading-rail'!$B$31:$B$48),$J1362,('Loading-rail'!$D$31:$D$48))*Impacts!$F$15,IF(('Loading-rail'!$C$21)&lt;&gt;"No control",SUMIF(('Loading-rail'!$B$31:$B$48),$J1362,('Loading-rail'!$E$31:$E$48))*Impacts!$F$15,0)),0)</f>
        <v>0</v>
      </c>
      <c r="T1362" s="10">
        <f>IF(Flare!$C$7="",0,(SUMIF(Flare!$B$46:$B$185,$J1362,Flare!$E$46:$E$185)*Impacts!$F$16))</f>
        <v>0</v>
      </c>
      <c r="U1362" s="10">
        <f>IF(VCU!$C$9="",0,(SUMIF(VCU!$B$51:$B$193,$J1362,VCU!$E$51:$E$193)*Impacts!$F$17))</f>
        <v>0</v>
      </c>
      <c r="V1362" s="10">
        <f>IF(CAS!$C$7="",0,(SUMIF(CAS!$B$31:$B$167,$J1362,CAS!$E$31:$E$167)*Impacts!$F$18))</f>
        <v>0</v>
      </c>
      <c r="W1362" s="10">
        <f t="shared" si="61"/>
        <v>0</v>
      </c>
      <c r="AK1362" s="10" t="str">
        <f t="array" ref="AK1362">IFERROR(INDEX(SelectedSpecies,SMALL(IF(SelectedSpecies=AK$1,ROW(SelectedSpecies)),ROW(1363:1363)),2),"")</f>
        <v/>
      </c>
      <c r="BE1362" s="10"/>
      <c r="BI1362" s="10"/>
    </row>
    <row r="1363" spans="1:61" ht="21" customHeight="1" x14ac:dyDescent="0.25">
      <c r="A1363" s="10"/>
      <c r="B1363" s="10"/>
      <c r="E1363" s="10"/>
      <c r="G1363" s="10"/>
      <c r="I1363" s="436" t="s">
        <v>4269</v>
      </c>
      <c r="J1363" s="26" t="s">
        <v>4268</v>
      </c>
      <c r="K1363" s="10">
        <v>5</v>
      </c>
      <c r="L1363" s="73">
        <f>IF(Tank1!$C$23="No control",(SUMIF(Tank1!$B$32:$B$49,$J1363,Tank1!$C$32:$C$49)*Impacts!$F$8),0)</f>
        <v>0</v>
      </c>
      <c r="M1363" s="10">
        <f>IF(Tank2!$C$23="No control",(SUMIF(Tank2!$B$32:$B$49,$J1363,Tank2!$C$32:$C$49)*Impacts!$F$9),0)</f>
        <v>0</v>
      </c>
      <c r="N1363" s="10">
        <f>IF(Tank3!$C$23="No control",(SUMIF(Tank3!$B$32:$B$49,$J1363,Tank3!$C$32:$C$49)*Impacts!$F$10),0)</f>
        <v>0</v>
      </c>
      <c r="O1363" s="10">
        <f>IF(Tank4!$C$23="No control",(SUMIF(Tank4!$B$32:$B$49,$J1363,Tank4!$C$32:$C$49)*Impacts!$F$11),0)</f>
        <v>0</v>
      </c>
      <c r="P1363" s="10">
        <f>IF(Tank5!$C$23="No control",(SUMIF(Tank5!$B$32:$B$49,$J1363,Tank5!$C$32:$C$49)*Impacts!$F$12),0)</f>
        <v>0</v>
      </c>
      <c r="Q1363" s="10">
        <f>IFERROR(IF(('Loading-drum,tote'!$C$21)="No control",SUMIF(('Loading-drum,tote'!$B$31:$B$48),$J1363,('Loading-drum,tote'!$D$31:$D$48))*Impacts!$F$13,IF(('Loading-drum,tote'!$C$21)&lt;&gt;"No control",SUMIF(('Loading-drum,tote'!$B$31:$B$48),$J1363,('Loading-drum,tote'!$E$31:$E$48))*Impacts!$F$13,0)),0)</f>
        <v>0</v>
      </c>
      <c r="R1363" s="10">
        <f>IFERROR(IF(('Loading-truck'!$C$21)="No control",SUMIF(('Loading-truck'!$B$31:$B$48),$J1363,('Loading-truck'!$D$31:$D$48))*Impacts!$F$14,IF(('Loading-truck'!$C$21)&lt;&gt;"No control",SUMIF(('Loading-truck'!$B$31:$B$48),$J1363,('Loading-truck'!$E$31:$E$48))*Impacts!$F$14,0)),0)</f>
        <v>0</v>
      </c>
      <c r="S1363" s="10">
        <f>IFERROR(IF(('Loading-rail'!$C$21)="No control",SUMIF(('Loading-rail'!$B$31:$B$48),$J1363,('Loading-rail'!$D$31:$D$48))*Impacts!$F$15,IF(('Loading-rail'!$C$21)&lt;&gt;"No control",SUMIF(('Loading-rail'!$B$31:$B$48),$J1363,('Loading-rail'!$E$31:$E$48))*Impacts!$F$15,0)),0)</f>
        <v>0</v>
      </c>
      <c r="T1363" s="10">
        <f>IF(Flare!$C$7="",0,(SUMIF(Flare!$B$46:$B$185,$J1363,Flare!$E$46:$E$185)*Impacts!$F$16))</f>
        <v>0</v>
      </c>
      <c r="U1363" s="10">
        <f>IF(VCU!$C$9="",0,(SUMIF(VCU!$B$51:$B$193,$J1363,VCU!$E$51:$E$193)*Impacts!$F$17))</f>
        <v>0</v>
      </c>
      <c r="V1363" s="10">
        <f>IF(CAS!$C$7="",0,(SUMIF(CAS!$B$31:$B$167,$J1363,CAS!$E$31:$E$167)*Impacts!$F$18))</f>
        <v>0</v>
      </c>
      <c r="W1363" s="10">
        <f t="shared" si="61"/>
        <v>0</v>
      </c>
      <c r="AK1363" s="10" t="str">
        <f t="array" ref="AK1363">IFERROR(INDEX(SelectedSpecies,SMALL(IF(SelectedSpecies=AK$1,ROW(SelectedSpecies)),ROW(1364:1364)),2),"")</f>
        <v/>
      </c>
      <c r="BE1363" s="10"/>
      <c r="BI1363" s="10"/>
    </row>
    <row r="1364" spans="1:61" ht="21" customHeight="1" x14ac:dyDescent="0.25">
      <c r="A1364" s="10"/>
      <c r="B1364" s="10"/>
      <c r="E1364" s="10"/>
      <c r="G1364" s="10"/>
      <c r="I1364" s="436" t="s">
        <v>4271</v>
      </c>
      <c r="J1364" s="26" t="s">
        <v>4270</v>
      </c>
      <c r="K1364" s="10">
        <v>5</v>
      </c>
      <c r="L1364" s="73">
        <f>IF(Tank1!$C$23="No control",(SUMIF(Tank1!$B$32:$B$49,$J1364,Tank1!$C$32:$C$49)*Impacts!$F$8),0)</f>
        <v>0</v>
      </c>
      <c r="M1364" s="10">
        <f>IF(Tank2!$C$23="No control",(SUMIF(Tank2!$B$32:$B$49,$J1364,Tank2!$C$32:$C$49)*Impacts!$F$9),0)</f>
        <v>0</v>
      </c>
      <c r="N1364" s="10">
        <f>IF(Tank3!$C$23="No control",(SUMIF(Tank3!$B$32:$B$49,$J1364,Tank3!$C$32:$C$49)*Impacts!$F$10),0)</f>
        <v>0</v>
      </c>
      <c r="O1364" s="10">
        <f>IF(Tank4!$C$23="No control",(SUMIF(Tank4!$B$32:$B$49,$J1364,Tank4!$C$32:$C$49)*Impacts!$F$11),0)</f>
        <v>0</v>
      </c>
      <c r="P1364" s="10">
        <f>IF(Tank5!$C$23="No control",(SUMIF(Tank5!$B$32:$B$49,$J1364,Tank5!$C$32:$C$49)*Impacts!$F$12),0)</f>
        <v>0</v>
      </c>
      <c r="Q1364" s="10">
        <f>IFERROR(IF(('Loading-drum,tote'!$C$21)="No control",SUMIF(('Loading-drum,tote'!$B$31:$B$48),$J1364,('Loading-drum,tote'!$D$31:$D$48))*Impacts!$F$13,IF(('Loading-drum,tote'!$C$21)&lt;&gt;"No control",SUMIF(('Loading-drum,tote'!$B$31:$B$48),$J1364,('Loading-drum,tote'!$E$31:$E$48))*Impacts!$F$13,0)),0)</f>
        <v>0</v>
      </c>
      <c r="R1364" s="10">
        <f>IFERROR(IF(('Loading-truck'!$C$21)="No control",SUMIF(('Loading-truck'!$B$31:$B$48),$J1364,('Loading-truck'!$D$31:$D$48))*Impacts!$F$14,IF(('Loading-truck'!$C$21)&lt;&gt;"No control",SUMIF(('Loading-truck'!$B$31:$B$48),$J1364,('Loading-truck'!$E$31:$E$48))*Impacts!$F$14,0)),0)</f>
        <v>0</v>
      </c>
      <c r="S1364" s="10">
        <f>IFERROR(IF(('Loading-rail'!$C$21)="No control",SUMIF(('Loading-rail'!$B$31:$B$48),$J1364,('Loading-rail'!$D$31:$D$48))*Impacts!$F$15,IF(('Loading-rail'!$C$21)&lt;&gt;"No control",SUMIF(('Loading-rail'!$B$31:$B$48),$J1364,('Loading-rail'!$E$31:$E$48))*Impacts!$F$15,0)),0)</f>
        <v>0</v>
      </c>
      <c r="T1364" s="10">
        <f>IF(Flare!$C$7="",0,(SUMIF(Flare!$B$46:$B$185,$J1364,Flare!$E$46:$E$185)*Impacts!$F$16))</f>
        <v>0</v>
      </c>
      <c r="U1364" s="10">
        <f>IF(VCU!$C$9="",0,(SUMIF(VCU!$B$51:$B$193,$J1364,VCU!$E$51:$E$193)*Impacts!$F$17))</f>
        <v>0</v>
      </c>
      <c r="V1364" s="10">
        <f>IF(CAS!$C$7="",0,(SUMIF(CAS!$B$31:$B$167,$J1364,CAS!$E$31:$E$167)*Impacts!$F$18))</f>
        <v>0</v>
      </c>
      <c r="W1364" s="10">
        <f t="shared" si="61"/>
        <v>0</v>
      </c>
      <c r="AK1364" s="10" t="str">
        <f t="array" ref="AK1364">IFERROR(INDEX(SelectedSpecies,SMALL(IF(SelectedSpecies=AK$1,ROW(SelectedSpecies)),ROW(1365:1365)),2),"")</f>
        <v/>
      </c>
      <c r="BE1364" s="10"/>
      <c r="BI1364" s="10"/>
    </row>
    <row r="1365" spans="1:61" ht="21" customHeight="1" x14ac:dyDescent="0.25">
      <c r="A1365" s="10"/>
      <c r="B1365" s="10"/>
      <c r="E1365" s="10"/>
      <c r="G1365" s="10"/>
      <c r="I1365" s="436" t="s">
        <v>2795</v>
      </c>
      <c r="J1365" s="26" t="s">
        <v>2794</v>
      </c>
      <c r="K1365" s="10">
        <v>10</v>
      </c>
      <c r="L1365" s="73">
        <f>IF(Tank1!$C$23="No control",(SUMIF(Tank1!$B$32:$B$49,$J1365,Tank1!$C$32:$C$49)*Impacts!$F$8),0)</f>
        <v>0</v>
      </c>
      <c r="M1365" s="10">
        <f>IF(Tank2!$C$23="No control",(SUMIF(Tank2!$B$32:$B$49,$J1365,Tank2!$C$32:$C$49)*Impacts!$F$9),0)</f>
        <v>0</v>
      </c>
      <c r="N1365" s="10">
        <f>IF(Tank3!$C$23="No control",(SUMIF(Tank3!$B$32:$B$49,$J1365,Tank3!$C$32:$C$49)*Impacts!$F$10),0)</f>
        <v>0</v>
      </c>
      <c r="O1365" s="10">
        <f>IF(Tank4!$C$23="No control",(SUMIF(Tank4!$B$32:$B$49,$J1365,Tank4!$C$32:$C$49)*Impacts!$F$11),0)</f>
        <v>0</v>
      </c>
      <c r="P1365" s="10">
        <f>IF(Tank5!$C$23="No control",(SUMIF(Tank5!$B$32:$B$49,$J1365,Tank5!$C$32:$C$49)*Impacts!$F$12),0)</f>
        <v>0</v>
      </c>
      <c r="Q1365" s="10">
        <f>IFERROR(IF(('Loading-drum,tote'!$C$21)="No control",SUMIF(('Loading-drum,tote'!$B$31:$B$48),$J1365,('Loading-drum,tote'!$D$31:$D$48))*Impacts!$F$13,IF(('Loading-drum,tote'!$C$21)&lt;&gt;"No control",SUMIF(('Loading-drum,tote'!$B$31:$B$48),$J1365,('Loading-drum,tote'!$E$31:$E$48))*Impacts!$F$13,0)),0)</f>
        <v>0</v>
      </c>
      <c r="R1365" s="10">
        <f>IFERROR(IF(('Loading-truck'!$C$21)="No control",SUMIF(('Loading-truck'!$B$31:$B$48),$J1365,('Loading-truck'!$D$31:$D$48))*Impacts!$F$14,IF(('Loading-truck'!$C$21)&lt;&gt;"No control",SUMIF(('Loading-truck'!$B$31:$B$48),$J1365,('Loading-truck'!$E$31:$E$48))*Impacts!$F$14,0)),0)</f>
        <v>0</v>
      </c>
      <c r="S1365" s="10">
        <f>IFERROR(IF(('Loading-rail'!$C$21)="No control",SUMIF(('Loading-rail'!$B$31:$B$48),$J1365,('Loading-rail'!$D$31:$D$48))*Impacts!$F$15,IF(('Loading-rail'!$C$21)&lt;&gt;"No control",SUMIF(('Loading-rail'!$B$31:$B$48),$J1365,('Loading-rail'!$E$31:$E$48))*Impacts!$F$15,0)),0)</f>
        <v>0</v>
      </c>
      <c r="T1365" s="10">
        <f>IF(Flare!$C$7="",0,(SUMIF(Flare!$B$46:$B$185,$J1365,Flare!$E$46:$E$185)*Impacts!$F$16))</f>
        <v>0</v>
      </c>
      <c r="U1365" s="10">
        <f>IF(VCU!$C$9="",0,(SUMIF(VCU!$B$51:$B$193,$J1365,VCU!$E$51:$E$193)*Impacts!$F$17))</f>
        <v>0</v>
      </c>
      <c r="V1365" s="10">
        <f>IF(CAS!$C$7="",0,(SUMIF(CAS!$B$31:$B$167,$J1365,CAS!$E$31:$E$167)*Impacts!$F$18))</f>
        <v>0</v>
      </c>
      <c r="W1365" s="10">
        <f t="shared" si="61"/>
        <v>0</v>
      </c>
      <c r="AK1365" s="10" t="str">
        <f t="array" ref="AK1365">IFERROR(INDEX(SelectedSpecies,SMALL(IF(SelectedSpecies=AK$1,ROW(SelectedSpecies)),ROW(1366:1366)),2),"")</f>
        <v/>
      </c>
      <c r="BE1365" s="10"/>
      <c r="BI1365" s="10"/>
    </row>
    <row r="1366" spans="1:61" ht="21" customHeight="1" x14ac:dyDescent="0.25">
      <c r="A1366" s="10"/>
      <c r="B1366" s="10"/>
      <c r="E1366" s="10"/>
      <c r="G1366" s="10"/>
      <c r="I1366" s="436" t="s">
        <v>7486</v>
      </c>
      <c r="J1366" s="26" t="s">
        <v>7485</v>
      </c>
      <c r="K1366" s="10">
        <v>0.2</v>
      </c>
      <c r="L1366" s="73">
        <f>IF(Tank1!$C$23="No control",(SUMIF(Tank1!$B$32:$B$49,$J1366,Tank1!$C$32:$C$49)*Impacts!$F$8),0)</f>
        <v>0</v>
      </c>
      <c r="M1366" s="10">
        <f>IF(Tank2!$C$23="No control",(SUMIF(Tank2!$B$32:$B$49,$J1366,Tank2!$C$32:$C$49)*Impacts!$F$9),0)</f>
        <v>0</v>
      </c>
      <c r="N1366" s="10">
        <f>IF(Tank3!$C$23="No control",(SUMIF(Tank3!$B$32:$B$49,$J1366,Tank3!$C$32:$C$49)*Impacts!$F$10),0)</f>
        <v>0</v>
      </c>
      <c r="O1366" s="10">
        <f>IF(Tank4!$C$23="No control",(SUMIF(Tank4!$B$32:$B$49,$J1366,Tank4!$C$32:$C$49)*Impacts!$F$11),0)</f>
        <v>0</v>
      </c>
      <c r="P1366" s="10">
        <f>IF(Tank5!$C$23="No control",(SUMIF(Tank5!$B$32:$B$49,$J1366,Tank5!$C$32:$C$49)*Impacts!$F$12),0)</f>
        <v>0</v>
      </c>
      <c r="Q1366" s="10">
        <f>IFERROR(IF(('Loading-drum,tote'!$C$21)="No control",SUMIF(('Loading-drum,tote'!$B$31:$B$48),$J1366,('Loading-drum,tote'!$D$31:$D$48))*Impacts!$F$13,IF(('Loading-drum,tote'!$C$21)&lt;&gt;"No control",SUMIF(('Loading-drum,tote'!$B$31:$B$48),$J1366,('Loading-drum,tote'!$E$31:$E$48))*Impacts!$F$13,0)),0)</f>
        <v>0</v>
      </c>
      <c r="R1366" s="10">
        <f>IFERROR(IF(('Loading-truck'!$C$21)="No control",SUMIF(('Loading-truck'!$B$31:$B$48),$J1366,('Loading-truck'!$D$31:$D$48))*Impacts!$F$14,IF(('Loading-truck'!$C$21)&lt;&gt;"No control",SUMIF(('Loading-truck'!$B$31:$B$48),$J1366,('Loading-truck'!$E$31:$E$48))*Impacts!$F$14,0)),0)</f>
        <v>0</v>
      </c>
      <c r="S1366" s="10">
        <f>IFERROR(IF(('Loading-rail'!$C$21)="No control",SUMIF(('Loading-rail'!$B$31:$B$48),$J1366,('Loading-rail'!$D$31:$D$48))*Impacts!$F$15,IF(('Loading-rail'!$C$21)&lt;&gt;"No control",SUMIF(('Loading-rail'!$B$31:$B$48),$J1366,('Loading-rail'!$E$31:$E$48))*Impacts!$F$15,0)),0)</f>
        <v>0</v>
      </c>
      <c r="T1366" s="10">
        <f>IF(Flare!$C$7="",0,(SUMIF(Flare!$B$46:$B$185,$J1366,Flare!$E$46:$E$185)*Impacts!$F$16))</f>
        <v>0</v>
      </c>
      <c r="U1366" s="10">
        <f>IF(VCU!$C$9="",0,(SUMIF(VCU!$B$51:$B$193,$J1366,VCU!$E$51:$E$193)*Impacts!$F$17))</f>
        <v>0</v>
      </c>
      <c r="V1366" s="10">
        <f>IF(CAS!$C$7="",0,(SUMIF(CAS!$B$31:$B$167,$J1366,CAS!$E$31:$E$167)*Impacts!$F$18))</f>
        <v>0</v>
      </c>
      <c r="W1366" s="10">
        <f t="shared" si="61"/>
        <v>0</v>
      </c>
      <c r="AK1366" s="10" t="str">
        <f t="array" ref="AK1366">IFERROR(INDEX(SelectedSpecies,SMALL(IF(SelectedSpecies=AK$1,ROW(SelectedSpecies)),ROW(1367:1367)),2),"")</f>
        <v/>
      </c>
      <c r="BE1366" s="10"/>
      <c r="BI1366" s="10"/>
    </row>
    <row r="1367" spans="1:61" ht="21" customHeight="1" x14ac:dyDescent="0.25">
      <c r="A1367" s="10"/>
      <c r="B1367" s="10"/>
      <c r="E1367" s="10"/>
      <c r="G1367" s="10"/>
      <c r="I1367" s="436" t="s">
        <v>2797</v>
      </c>
      <c r="J1367" s="26" t="s">
        <v>2796</v>
      </c>
      <c r="K1367" s="10">
        <v>10</v>
      </c>
      <c r="L1367" s="73">
        <f>IF(Tank1!$C$23="No control",(SUMIF(Tank1!$B$32:$B$49,$J1367,Tank1!$C$32:$C$49)*Impacts!$F$8),0)</f>
        <v>0</v>
      </c>
      <c r="M1367" s="10">
        <f>IF(Tank2!$C$23="No control",(SUMIF(Tank2!$B$32:$B$49,$J1367,Tank2!$C$32:$C$49)*Impacts!$F$9),0)</f>
        <v>0</v>
      </c>
      <c r="N1367" s="10">
        <f>IF(Tank3!$C$23="No control",(SUMIF(Tank3!$B$32:$B$49,$J1367,Tank3!$C$32:$C$49)*Impacts!$F$10),0)</f>
        <v>0</v>
      </c>
      <c r="O1367" s="10">
        <f>IF(Tank4!$C$23="No control",(SUMIF(Tank4!$B$32:$B$49,$J1367,Tank4!$C$32:$C$49)*Impacts!$F$11),0)</f>
        <v>0</v>
      </c>
      <c r="P1367" s="10">
        <f>IF(Tank5!$C$23="No control",(SUMIF(Tank5!$B$32:$B$49,$J1367,Tank5!$C$32:$C$49)*Impacts!$F$12),0)</f>
        <v>0</v>
      </c>
      <c r="Q1367" s="10">
        <f>IFERROR(IF(('Loading-drum,tote'!$C$21)="No control",SUMIF(('Loading-drum,tote'!$B$31:$B$48),$J1367,('Loading-drum,tote'!$D$31:$D$48))*Impacts!$F$13,IF(('Loading-drum,tote'!$C$21)&lt;&gt;"No control",SUMIF(('Loading-drum,tote'!$B$31:$B$48),$J1367,('Loading-drum,tote'!$E$31:$E$48))*Impacts!$F$13,0)),0)</f>
        <v>0</v>
      </c>
      <c r="R1367" s="10">
        <f>IFERROR(IF(('Loading-truck'!$C$21)="No control",SUMIF(('Loading-truck'!$B$31:$B$48),$J1367,('Loading-truck'!$D$31:$D$48))*Impacts!$F$14,IF(('Loading-truck'!$C$21)&lt;&gt;"No control",SUMIF(('Loading-truck'!$B$31:$B$48),$J1367,('Loading-truck'!$E$31:$E$48))*Impacts!$F$14,0)),0)</f>
        <v>0</v>
      </c>
      <c r="S1367" s="10">
        <f>IFERROR(IF(('Loading-rail'!$C$21)="No control",SUMIF(('Loading-rail'!$B$31:$B$48),$J1367,('Loading-rail'!$D$31:$D$48))*Impacts!$F$15,IF(('Loading-rail'!$C$21)&lt;&gt;"No control",SUMIF(('Loading-rail'!$B$31:$B$48),$J1367,('Loading-rail'!$E$31:$E$48))*Impacts!$F$15,0)),0)</f>
        <v>0</v>
      </c>
      <c r="T1367" s="10">
        <f>IF(Flare!$C$7="",0,(SUMIF(Flare!$B$46:$B$185,$J1367,Flare!$E$46:$E$185)*Impacts!$F$16))</f>
        <v>0</v>
      </c>
      <c r="U1367" s="10">
        <f>IF(VCU!$C$9="",0,(SUMIF(VCU!$B$51:$B$193,$J1367,VCU!$E$51:$E$193)*Impacts!$F$17))</f>
        <v>0</v>
      </c>
      <c r="V1367" s="10">
        <f>IF(CAS!$C$7="",0,(SUMIF(CAS!$B$31:$B$167,$J1367,CAS!$E$31:$E$167)*Impacts!$F$18))</f>
        <v>0</v>
      </c>
      <c r="W1367" s="10">
        <f t="shared" si="61"/>
        <v>0</v>
      </c>
      <c r="AK1367" s="10" t="str">
        <f t="array" ref="AK1367">IFERROR(INDEX(SelectedSpecies,SMALL(IF(SelectedSpecies=AK$1,ROW(SelectedSpecies)),ROW(1368:1368)),2),"")</f>
        <v/>
      </c>
      <c r="BE1367" s="10"/>
      <c r="BI1367" s="10"/>
    </row>
    <row r="1368" spans="1:61" ht="21" customHeight="1" x14ac:dyDescent="0.25">
      <c r="A1368" s="10"/>
      <c r="B1368" s="10"/>
      <c r="E1368" s="10"/>
      <c r="G1368" s="10"/>
      <c r="I1368" s="436" t="s">
        <v>5834</v>
      </c>
      <c r="J1368" s="26" t="s">
        <v>5833</v>
      </c>
      <c r="K1368" s="10">
        <v>1</v>
      </c>
      <c r="L1368" s="73">
        <f>IF(Tank1!$C$23="No control",(SUMIF(Tank1!$B$32:$B$49,$J1368,Tank1!$C$32:$C$49)*Impacts!$F$8),0)</f>
        <v>0</v>
      </c>
      <c r="M1368" s="10">
        <f>IF(Tank2!$C$23="No control",(SUMIF(Tank2!$B$32:$B$49,$J1368,Tank2!$C$32:$C$49)*Impacts!$F$9),0)</f>
        <v>0</v>
      </c>
      <c r="N1368" s="10">
        <f>IF(Tank3!$C$23="No control",(SUMIF(Tank3!$B$32:$B$49,$J1368,Tank3!$C$32:$C$49)*Impacts!$F$10),0)</f>
        <v>0</v>
      </c>
      <c r="O1368" s="10">
        <f>IF(Tank4!$C$23="No control",(SUMIF(Tank4!$B$32:$B$49,$J1368,Tank4!$C$32:$C$49)*Impacts!$F$11),0)</f>
        <v>0</v>
      </c>
      <c r="P1368" s="10">
        <f>IF(Tank5!$C$23="No control",(SUMIF(Tank5!$B$32:$B$49,$J1368,Tank5!$C$32:$C$49)*Impacts!$F$12),0)</f>
        <v>0</v>
      </c>
      <c r="Q1368" s="10">
        <f>IFERROR(IF(('Loading-drum,tote'!$C$21)="No control",SUMIF(('Loading-drum,tote'!$B$31:$B$48),$J1368,('Loading-drum,tote'!$D$31:$D$48))*Impacts!$F$13,IF(('Loading-drum,tote'!$C$21)&lt;&gt;"No control",SUMIF(('Loading-drum,tote'!$B$31:$B$48),$J1368,('Loading-drum,tote'!$E$31:$E$48))*Impacts!$F$13,0)),0)</f>
        <v>0</v>
      </c>
      <c r="R1368" s="10">
        <f>IFERROR(IF(('Loading-truck'!$C$21)="No control",SUMIF(('Loading-truck'!$B$31:$B$48),$J1368,('Loading-truck'!$D$31:$D$48))*Impacts!$F$14,IF(('Loading-truck'!$C$21)&lt;&gt;"No control",SUMIF(('Loading-truck'!$B$31:$B$48),$J1368,('Loading-truck'!$E$31:$E$48))*Impacts!$F$14,0)),0)</f>
        <v>0</v>
      </c>
      <c r="S1368" s="10">
        <f>IFERROR(IF(('Loading-rail'!$C$21)="No control",SUMIF(('Loading-rail'!$B$31:$B$48),$J1368,('Loading-rail'!$D$31:$D$48))*Impacts!$F$15,IF(('Loading-rail'!$C$21)&lt;&gt;"No control",SUMIF(('Loading-rail'!$B$31:$B$48),$J1368,('Loading-rail'!$E$31:$E$48))*Impacts!$F$15,0)),0)</f>
        <v>0</v>
      </c>
      <c r="T1368" s="10">
        <f>IF(Flare!$C$7="",0,(SUMIF(Flare!$B$46:$B$185,$J1368,Flare!$E$46:$E$185)*Impacts!$F$16))</f>
        <v>0</v>
      </c>
      <c r="U1368" s="10">
        <f>IF(VCU!$C$9="",0,(SUMIF(VCU!$B$51:$B$193,$J1368,VCU!$E$51:$E$193)*Impacts!$F$17))</f>
        <v>0</v>
      </c>
      <c r="V1368" s="10">
        <f>IF(CAS!$C$7="",0,(SUMIF(CAS!$B$31:$B$167,$J1368,CAS!$E$31:$E$167)*Impacts!$F$18))</f>
        <v>0</v>
      </c>
      <c r="W1368" s="10">
        <f t="shared" si="61"/>
        <v>0</v>
      </c>
      <c r="AK1368" s="10" t="str">
        <f t="array" ref="AK1368">IFERROR(INDEX(SelectedSpecies,SMALL(IF(SelectedSpecies=AK$1,ROW(SelectedSpecies)),ROW(1369:1369)),2),"")</f>
        <v/>
      </c>
      <c r="BE1368" s="10"/>
      <c r="BI1368" s="10"/>
    </row>
    <row r="1369" spans="1:61" ht="21" customHeight="1" x14ac:dyDescent="0.25">
      <c r="A1369" s="10"/>
      <c r="B1369" s="10"/>
      <c r="E1369" s="10"/>
      <c r="G1369" s="10"/>
      <c r="I1369" s="436" t="s">
        <v>2799</v>
      </c>
      <c r="J1369" s="26" t="s">
        <v>2798</v>
      </c>
      <c r="K1369" s="10">
        <v>10</v>
      </c>
      <c r="L1369" s="73">
        <f>IF(Tank1!$C$23="No control",(SUMIF(Tank1!$B$32:$B$49,$J1369,Tank1!$C$32:$C$49)*Impacts!$F$8),0)</f>
        <v>0</v>
      </c>
      <c r="M1369" s="10">
        <f>IF(Tank2!$C$23="No control",(SUMIF(Tank2!$B$32:$B$49,$J1369,Tank2!$C$32:$C$49)*Impacts!$F$9),0)</f>
        <v>0</v>
      </c>
      <c r="N1369" s="10">
        <f>IF(Tank3!$C$23="No control",(SUMIF(Tank3!$B$32:$B$49,$J1369,Tank3!$C$32:$C$49)*Impacts!$F$10),0)</f>
        <v>0</v>
      </c>
      <c r="O1369" s="10">
        <f>IF(Tank4!$C$23="No control",(SUMIF(Tank4!$B$32:$B$49,$J1369,Tank4!$C$32:$C$49)*Impacts!$F$11),0)</f>
        <v>0</v>
      </c>
      <c r="P1369" s="10">
        <f>IF(Tank5!$C$23="No control",(SUMIF(Tank5!$B$32:$B$49,$J1369,Tank5!$C$32:$C$49)*Impacts!$F$12),0)</f>
        <v>0</v>
      </c>
      <c r="Q1369" s="10">
        <f>IFERROR(IF(('Loading-drum,tote'!$C$21)="No control",SUMIF(('Loading-drum,tote'!$B$31:$B$48),$J1369,('Loading-drum,tote'!$D$31:$D$48))*Impacts!$F$13,IF(('Loading-drum,tote'!$C$21)&lt;&gt;"No control",SUMIF(('Loading-drum,tote'!$B$31:$B$48),$J1369,('Loading-drum,tote'!$E$31:$E$48))*Impacts!$F$13,0)),0)</f>
        <v>0</v>
      </c>
      <c r="R1369" s="10">
        <f>IFERROR(IF(('Loading-truck'!$C$21)="No control",SUMIF(('Loading-truck'!$B$31:$B$48),$J1369,('Loading-truck'!$D$31:$D$48))*Impacts!$F$14,IF(('Loading-truck'!$C$21)&lt;&gt;"No control",SUMIF(('Loading-truck'!$B$31:$B$48),$J1369,('Loading-truck'!$E$31:$E$48))*Impacts!$F$14,0)),0)</f>
        <v>0</v>
      </c>
      <c r="S1369" s="10">
        <f>IFERROR(IF(('Loading-rail'!$C$21)="No control",SUMIF(('Loading-rail'!$B$31:$B$48),$J1369,('Loading-rail'!$D$31:$D$48))*Impacts!$F$15,IF(('Loading-rail'!$C$21)&lt;&gt;"No control",SUMIF(('Loading-rail'!$B$31:$B$48),$J1369,('Loading-rail'!$E$31:$E$48))*Impacts!$F$15,0)),0)</f>
        <v>0</v>
      </c>
      <c r="T1369" s="10">
        <f>IF(Flare!$C$7="",0,(SUMIF(Flare!$B$46:$B$185,$J1369,Flare!$E$46:$E$185)*Impacts!$F$16))</f>
        <v>0</v>
      </c>
      <c r="U1369" s="10">
        <f>IF(VCU!$C$9="",0,(SUMIF(VCU!$B$51:$B$193,$J1369,VCU!$E$51:$E$193)*Impacts!$F$17))</f>
        <v>0</v>
      </c>
      <c r="V1369" s="10">
        <f>IF(CAS!$C$7="",0,(SUMIF(CAS!$B$31:$B$167,$J1369,CAS!$E$31:$E$167)*Impacts!$F$18))</f>
        <v>0</v>
      </c>
      <c r="W1369" s="10">
        <f t="shared" si="61"/>
        <v>0</v>
      </c>
      <c r="AK1369" s="10" t="str">
        <f t="array" ref="AK1369">IFERROR(INDEX(SelectedSpecies,SMALL(IF(SelectedSpecies=AK$1,ROW(SelectedSpecies)),ROW(1370:1370)),2),"")</f>
        <v/>
      </c>
      <c r="BE1369" s="10"/>
      <c r="BI1369" s="10"/>
    </row>
    <row r="1370" spans="1:61" ht="21" customHeight="1" x14ac:dyDescent="0.25">
      <c r="A1370" s="10"/>
      <c r="B1370" s="10"/>
      <c r="E1370" s="10"/>
      <c r="G1370" s="10"/>
      <c r="I1370" s="436" t="s">
        <v>10369</v>
      </c>
      <c r="J1370" s="26" t="s">
        <v>10370</v>
      </c>
      <c r="K1370" s="10">
        <v>1E-3</v>
      </c>
      <c r="L1370" s="73">
        <f>IF(Tank1!$C$23="No control",(SUMIF(Tank1!$B$32:$B$49,$J1370,Tank1!$C$32:$C$49)*Impacts!$F$8),0)</f>
        <v>0</v>
      </c>
      <c r="M1370" s="10">
        <f>IF(Tank2!$C$23="No control",(SUMIF(Tank2!$B$32:$B$49,$J1370,Tank2!$C$32:$C$49)*Impacts!$F$9),0)</f>
        <v>0</v>
      </c>
      <c r="N1370" s="10">
        <f>IF(Tank3!$C$23="No control",(SUMIF(Tank3!$B$32:$B$49,$J1370,Tank3!$C$32:$C$49)*Impacts!$F$10),0)</f>
        <v>0</v>
      </c>
      <c r="O1370" s="10">
        <f>IF(Tank4!$C$23="No control",(SUMIF(Tank4!$B$32:$B$49,$J1370,Tank4!$C$32:$C$49)*Impacts!$F$11),0)</f>
        <v>0</v>
      </c>
      <c r="P1370" s="10">
        <f>IF(Tank5!$C$23="No control",(SUMIF(Tank5!$B$32:$B$49,$J1370,Tank5!$C$32:$C$49)*Impacts!$F$12),0)</f>
        <v>0</v>
      </c>
      <c r="Q1370" s="10">
        <f>IFERROR(IF(('Loading-drum,tote'!$C$21)="No control",SUMIF(('Loading-drum,tote'!$B$31:$B$48),$J1370,('Loading-drum,tote'!$D$31:$D$48))*Impacts!$F$13,IF(('Loading-drum,tote'!$C$21)&lt;&gt;"No control",SUMIF(('Loading-drum,tote'!$B$31:$B$48),$J1370,('Loading-drum,tote'!$E$31:$E$48))*Impacts!$F$13,0)),0)</f>
        <v>0</v>
      </c>
      <c r="R1370" s="10">
        <f>IFERROR(IF(('Loading-truck'!$C$21)="No control",SUMIF(('Loading-truck'!$B$31:$B$48),$J1370,('Loading-truck'!$D$31:$D$48))*Impacts!$F$14,IF(('Loading-truck'!$C$21)&lt;&gt;"No control",SUMIF(('Loading-truck'!$B$31:$B$48),$J1370,('Loading-truck'!$E$31:$E$48))*Impacts!$F$14,0)),0)</f>
        <v>0</v>
      </c>
      <c r="S1370" s="10">
        <f>IFERROR(IF(('Loading-rail'!$C$21)="No control",SUMIF(('Loading-rail'!$B$31:$B$48),$J1370,('Loading-rail'!$D$31:$D$48))*Impacts!$F$15,IF(('Loading-rail'!$C$21)&lt;&gt;"No control",SUMIF(('Loading-rail'!$B$31:$B$48),$J1370,('Loading-rail'!$E$31:$E$48))*Impacts!$F$15,0)),0)</f>
        <v>0</v>
      </c>
      <c r="T1370" s="10">
        <f>IF(Flare!$C$7="",0,(SUMIF(Flare!$B$46:$B$185,$J1370,Flare!$E$46:$E$185)*Impacts!$F$16))</f>
        <v>0</v>
      </c>
      <c r="U1370" s="10">
        <f>IF(VCU!$C$9="",0,(SUMIF(VCU!$B$51:$B$193,$J1370,VCU!$E$51:$E$193)*Impacts!$F$17))</f>
        <v>0</v>
      </c>
      <c r="V1370" s="10">
        <f>IF(CAS!$C$7="",0,(SUMIF(CAS!$B$31:$B$167,$J1370,CAS!$E$31:$E$167)*Impacts!$F$18))</f>
        <v>0</v>
      </c>
      <c r="W1370" s="10">
        <f t="shared" ref="W1370:W1433" si="62">SUM(L1370:V1370)</f>
        <v>0</v>
      </c>
      <c r="AK1370" s="10" t="str">
        <f t="array" ref="AK1370">IFERROR(INDEX(SelectedSpecies,SMALL(IF(SelectedSpecies=AK$1,ROW(SelectedSpecies)),ROW(1371:1371)),2),"")</f>
        <v/>
      </c>
      <c r="BE1370" s="10"/>
      <c r="BI1370" s="10"/>
    </row>
    <row r="1371" spans="1:61" ht="21" customHeight="1" x14ac:dyDescent="0.25">
      <c r="A1371" s="10"/>
      <c r="B1371" s="10"/>
      <c r="E1371" s="10"/>
      <c r="G1371" s="10"/>
      <c r="I1371" s="436" t="s">
        <v>2463</v>
      </c>
      <c r="J1371" s="26" t="s">
        <v>2462</v>
      </c>
      <c r="K1371" s="10">
        <v>10</v>
      </c>
      <c r="L1371" s="73">
        <f>IF(Tank1!$C$23="No control",(SUMIF(Tank1!$B$32:$B$49,$J1371,Tank1!$C$32:$C$49)*Impacts!$F$8),0)</f>
        <v>0</v>
      </c>
      <c r="M1371" s="10">
        <f>IF(Tank2!$C$23="No control",(SUMIF(Tank2!$B$32:$B$49,$J1371,Tank2!$C$32:$C$49)*Impacts!$F$9),0)</f>
        <v>0</v>
      </c>
      <c r="N1371" s="10">
        <f>IF(Tank3!$C$23="No control",(SUMIF(Tank3!$B$32:$B$49,$J1371,Tank3!$C$32:$C$49)*Impacts!$F$10),0)</f>
        <v>0</v>
      </c>
      <c r="O1371" s="10">
        <f>IF(Tank4!$C$23="No control",(SUMIF(Tank4!$B$32:$B$49,$J1371,Tank4!$C$32:$C$49)*Impacts!$F$11),0)</f>
        <v>0</v>
      </c>
      <c r="P1371" s="10">
        <f>IF(Tank5!$C$23="No control",(SUMIF(Tank5!$B$32:$B$49,$J1371,Tank5!$C$32:$C$49)*Impacts!$F$12),0)</f>
        <v>0</v>
      </c>
      <c r="Q1371" s="10">
        <f>IFERROR(IF(('Loading-drum,tote'!$C$21)="No control",SUMIF(('Loading-drum,tote'!$B$31:$B$48),$J1371,('Loading-drum,tote'!$D$31:$D$48))*Impacts!$F$13,IF(('Loading-drum,tote'!$C$21)&lt;&gt;"No control",SUMIF(('Loading-drum,tote'!$B$31:$B$48),$J1371,('Loading-drum,tote'!$E$31:$E$48))*Impacts!$F$13,0)),0)</f>
        <v>0</v>
      </c>
      <c r="R1371" s="10">
        <f>IFERROR(IF(('Loading-truck'!$C$21)="No control",SUMIF(('Loading-truck'!$B$31:$B$48),$J1371,('Loading-truck'!$D$31:$D$48))*Impacts!$F$14,IF(('Loading-truck'!$C$21)&lt;&gt;"No control",SUMIF(('Loading-truck'!$B$31:$B$48),$J1371,('Loading-truck'!$E$31:$E$48))*Impacts!$F$14,0)),0)</f>
        <v>0</v>
      </c>
      <c r="S1371" s="10">
        <f>IFERROR(IF(('Loading-rail'!$C$21)="No control",SUMIF(('Loading-rail'!$B$31:$B$48),$J1371,('Loading-rail'!$D$31:$D$48))*Impacts!$F$15,IF(('Loading-rail'!$C$21)&lt;&gt;"No control",SUMIF(('Loading-rail'!$B$31:$B$48),$J1371,('Loading-rail'!$E$31:$E$48))*Impacts!$F$15,0)),0)</f>
        <v>0</v>
      </c>
      <c r="T1371" s="10">
        <f>IF(Flare!$C$7="",0,(SUMIF(Flare!$B$46:$B$185,$J1371,Flare!$E$46:$E$185)*Impacts!$F$16))</f>
        <v>0</v>
      </c>
      <c r="U1371" s="10">
        <f>IF(VCU!$C$9="",0,(SUMIF(VCU!$B$51:$B$193,$J1371,VCU!$E$51:$E$193)*Impacts!$F$17))</f>
        <v>0</v>
      </c>
      <c r="V1371" s="10">
        <f>IF(CAS!$C$7="",0,(SUMIF(CAS!$B$31:$B$167,$J1371,CAS!$E$31:$E$167)*Impacts!$F$18))</f>
        <v>0</v>
      </c>
      <c r="W1371" s="10">
        <f t="shared" si="62"/>
        <v>0</v>
      </c>
      <c r="AK1371" s="10" t="str">
        <f t="array" ref="AK1371">IFERROR(INDEX(SelectedSpecies,SMALL(IF(SelectedSpecies=AK$1,ROW(SelectedSpecies)),ROW(1372:1372)),2),"")</f>
        <v/>
      </c>
      <c r="BE1371" s="10"/>
      <c r="BI1371" s="10"/>
    </row>
    <row r="1372" spans="1:61" ht="21" customHeight="1" x14ac:dyDescent="0.25">
      <c r="A1372" s="10"/>
      <c r="B1372" s="10"/>
      <c r="E1372" s="10"/>
      <c r="G1372" s="10"/>
      <c r="I1372" s="436" t="s">
        <v>2801</v>
      </c>
      <c r="J1372" s="26" t="s">
        <v>2800</v>
      </c>
      <c r="K1372" s="10">
        <v>10</v>
      </c>
      <c r="L1372" s="73">
        <f>IF(Tank1!$C$23="No control",(SUMIF(Tank1!$B$32:$B$49,$J1372,Tank1!$C$32:$C$49)*Impacts!$F$8),0)</f>
        <v>0</v>
      </c>
      <c r="M1372" s="10">
        <f>IF(Tank2!$C$23="No control",(SUMIF(Tank2!$B$32:$B$49,$J1372,Tank2!$C$32:$C$49)*Impacts!$F$9),0)</f>
        <v>0</v>
      </c>
      <c r="N1372" s="10">
        <f>IF(Tank3!$C$23="No control",(SUMIF(Tank3!$B$32:$B$49,$J1372,Tank3!$C$32:$C$49)*Impacts!$F$10),0)</f>
        <v>0</v>
      </c>
      <c r="O1372" s="10">
        <f>IF(Tank4!$C$23="No control",(SUMIF(Tank4!$B$32:$B$49,$J1372,Tank4!$C$32:$C$49)*Impacts!$F$11),0)</f>
        <v>0</v>
      </c>
      <c r="P1372" s="10">
        <f>IF(Tank5!$C$23="No control",(SUMIF(Tank5!$B$32:$B$49,$J1372,Tank5!$C$32:$C$49)*Impacts!$F$12),0)</f>
        <v>0</v>
      </c>
      <c r="Q1372" s="10">
        <f>IFERROR(IF(('Loading-drum,tote'!$C$21)="No control",SUMIF(('Loading-drum,tote'!$B$31:$B$48),$J1372,('Loading-drum,tote'!$D$31:$D$48))*Impacts!$F$13,IF(('Loading-drum,tote'!$C$21)&lt;&gt;"No control",SUMIF(('Loading-drum,tote'!$B$31:$B$48),$J1372,('Loading-drum,tote'!$E$31:$E$48))*Impacts!$F$13,0)),0)</f>
        <v>0</v>
      </c>
      <c r="R1372" s="10">
        <f>IFERROR(IF(('Loading-truck'!$C$21)="No control",SUMIF(('Loading-truck'!$B$31:$B$48),$J1372,('Loading-truck'!$D$31:$D$48))*Impacts!$F$14,IF(('Loading-truck'!$C$21)&lt;&gt;"No control",SUMIF(('Loading-truck'!$B$31:$B$48),$J1372,('Loading-truck'!$E$31:$E$48))*Impacts!$F$14,0)),0)</f>
        <v>0</v>
      </c>
      <c r="S1372" s="10">
        <f>IFERROR(IF(('Loading-rail'!$C$21)="No control",SUMIF(('Loading-rail'!$B$31:$B$48),$J1372,('Loading-rail'!$D$31:$D$48))*Impacts!$F$15,IF(('Loading-rail'!$C$21)&lt;&gt;"No control",SUMIF(('Loading-rail'!$B$31:$B$48),$J1372,('Loading-rail'!$E$31:$E$48))*Impacts!$F$15,0)),0)</f>
        <v>0</v>
      </c>
      <c r="T1372" s="10">
        <f>IF(Flare!$C$7="",0,(SUMIF(Flare!$B$46:$B$185,$J1372,Flare!$E$46:$E$185)*Impacts!$F$16))</f>
        <v>0</v>
      </c>
      <c r="U1372" s="10">
        <f>IF(VCU!$C$9="",0,(SUMIF(VCU!$B$51:$B$193,$J1372,VCU!$E$51:$E$193)*Impacts!$F$17))</f>
        <v>0</v>
      </c>
      <c r="V1372" s="10">
        <f>IF(CAS!$C$7="",0,(SUMIF(CAS!$B$31:$B$167,$J1372,CAS!$E$31:$E$167)*Impacts!$F$18))</f>
        <v>0</v>
      </c>
      <c r="W1372" s="10">
        <f t="shared" si="62"/>
        <v>0</v>
      </c>
      <c r="AK1372" s="10" t="str">
        <f t="array" ref="AK1372">IFERROR(INDEX(SelectedSpecies,SMALL(IF(SelectedSpecies=AK$1,ROW(SelectedSpecies)),ROW(1373:1373)),2),"")</f>
        <v/>
      </c>
      <c r="BE1372" s="10"/>
      <c r="BI1372" s="10"/>
    </row>
    <row r="1373" spans="1:61" ht="21" customHeight="1" x14ac:dyDescent="0.25">
      <c r="A1373" s="10"/>
      <c r="B1373" s="10"/>
      <c r="E1373" s="10"/>
      <c r="G1373" s="10"/>
      <c r="I1373" s="436" t="s">
        <v>7256</v>
      </c>
      <c r="J1373" s="26" t="s">
        <v>7255</v>
      </c>
      <c r="K1373" s="10">
        <v>0.30000000000000004</v>
      </c>
      <c r="L1373" s="73">
        <f>IF(Tank1!$C$23="No control",(SUMIF(Tank1!$B$32:$B$49,$J1373,Tank1!$C$32:$C$49)*Impacts!$F$8),0)</f>
        <v>0</v>
      </c>
      <c r="M1373" s="10">
        <f>IF(Tank2!$C$23="No control",(SUMIF(Tank2!$B$32:$B$49,$J1373,Tank2!$C$32:$C$49)*Impacts!$F$9),0)</f>
        <v>0</v>
      </c>
      <c r="N1373" s="10">
        <f>IF(Tank3!$C$23="No control",(SUMIF(Tank3!$B$32:$B$49,$J1373,Tank3!$C$32:$C$49)*Impacts!$F$10),0)</f>
        <v>0</v>
      </c>
      <c r="O1373" s="10">
        <f>IF(Tank4!$C$23="No control",(SUMIF(Tank4!$B$32:$B$49,$J1373,Tank4!$C$32:$C$49)*Impacts!$F$11),0)</f>
        <v>0</v>
      </c>
      <c r="P1373" s="10">
        <f>IF(Tank5!$C$23="No control",(SUMIF(Tank5!$B$32:$B$49,$J1373,Tank5!$C$32:$C$49)*Impacts!$F$12),0)</f>
        <v>0</v>
      </c>
      <c r="Q1373" s="10">
        <f>IFERROR(IF(('Loading-drum,tote'!$C$21)="No control",SUMIF(('Loading-drum,tote'!$B$31:$B$48),$J1373,('Loading-drum,tote'!$D$31:$D$48))*Impacts!$F$13,IF(('Loading-drum,tote'!$C$21)&lt;&gt;"No control",SUMIF(('Loading-drum,tote'!$B$31:$B$48),$J1373,('Loading-drum,tote'!$E$31:$E$48))*Impacts!$F$13,0)),0)</f>
        <v>0</v>
      </c>
      <c r="R1373" s="10">
        <f>IFERROR(IF(('Loading-truck'!$C$21)="No control",SUMIF(('Loading-truck'!$B$31:$B$48),$J1373,('Loading-truck'!$D$31:$D$48))*Impacts!$F$14,IF(('Loading-truck'!$C$21)&lt;&gt;"No control",SUMIF(('Loading-truck'!$B$31:$B$48),$J1373,('Loading-truck'!$E$31:$E$48))*Impacts!$F$14,0)),0)</f>
        <v>0</v>
      </c>
      <c r="S1373" s="10">
        <f>IFERROR(IF(('Loading-rail'!$C$21)="No control",SUMIF(('Loading-rail'!$B$31:$B$48),$J1373,('Loading-rail'!$D$31:$D$48))*Impacts!$F$15,IF(('Loading-rail'!$C$21)&lt;&gt;"No control",SUMIF(('Loading-rail'!$B$31:$B$48),$J1373,('Loading-rail'!$E$31:$E$48))*Impacts!$F$15,0)),0)</f>
        <v>0</v>
      </c>
      <c r="T1373" s="10">
        <f>IF(Flare!$C$7="",0,(SUMIF(Flare!$B$46:$B$185,$J1373,Flare!$E$46:$E$185)*Impacts!$F$16))</f>
        <v>0</v>
      </c>
      <c r="U1373" s="10">
        <f>IF(VCU!$C$9="",0,(SUMIF(VCU!$B$51:$B$193,$J1373,VCU!$E$51:$E$193)*Impacts!$F$17))</f>
        <v>0</v>
      </c>
      <c r="V1373" s="10">
        <f>IF(CAS!$C$7="",0,(SUMIF(CAS!$B$31:$B$167,$J1373,CAS!$E$31:$E$167)*Impacts!$F$18))</f>
        <v>0</v>
      </c>
      <c r="W1373" s="10">
        <f t="shared" si="62"/>
        <v>0</v>
      </c>
      <c r="AK1373" s="10" t="str">
        <f t="array" ref="AK1373">IFERROR(INDEX(SelectedSpecies,SMALL(IF(SelectedSpecies=AK$1,ROW(SelectedSpecies)),ROW(1374:1374)),2),"")</f>
        <v/>
      </c>
      <c r="BE1373" s="10"/>
      <c r="BI1373" s="10"/>
    </row>
    <row r="1374" spans="1:61" ht="21" customHeight="1" x14ac:dyDescent="0.25">
      <c r="A1374" s="10"/>
      <c r="B1374" s="10"/>
      <c r="E1374" s="10"/>
      <c r="G1374" s="10"/>
      <c r="I1374" s="436" t="s">
        <v>365</v>
      </c>
      <c r="J1374" s="26" t="s">
        <v>364</v>
      </c>
      <c r="K1374" s="10">
        <v>370</v>
      </c>
      <c r="L1374" s="73">
        <f>IF(Tank1!$C$23="No control",(SUMIF(Tank1!$B$32:$B$49,$J1374,Tank1!$C$32:$C$49)*Impacts!$F$8),0)</f>
        <v>0</v>
      </c>
      <c r="M1374" s="10">
        <f>IF(Tank2!$C$23="No control",(SUMIF(Tank2!$B$32:$B$49,$J1374,Tank2!$C$32:$C$49)*Impacts!$F$9),0)</f>
        <v>0</v>
      </c>
      <c r="N1374" s="10">
        <f>IF(Tank3!$C$23="No control",(SUMIF(Tank3!$B$32:$B$49,$J1374,Tank3!$C$32:$C$49)*Impacts!$F$10),0)</f>
        <v>0</v>
      </c>
      <c r="O1374" s="10">
        <f>IF(Tank4!$C$23="No control",(SUMIF(Tank4!$B$32:$B$49,$J1374,Tank4!$C$32:$C$49)*Impacts!$F$11),0)</f>
        <v>0</v>
      </c>
      <c r="P1374" s="10">
        <f>IF(Tank5!$C$23="No control",(SUMIF(Tank5!$B$32:$B$49,$J1374,Tank5!$C$32:$C$49)*Impacts!$F$12),0)</f>
        <v>0</v>
      </c>
      <c r="Q1374" s="10">
        <f>IFERROR(IF(('Loading-drum,tote'!$C$21)="No control",SUMIF(('Loading-drum,tote'!$B$31:$B$48),$J1374,('Loading-drum,tote'!$D$31:$D$48))*Impacts!$F$13,IF(('Loading-drum,tote'!$C$21)&lt;&gt;"No control",SUMIF(('Loading-drum,tote'!$B$31:$B$48),$J1374,('Loading-drum,tote'!$E$31:$E$48))*Impacts!$F$13,0)),0)</f>
        <v>0</v>
      </c>
      <c r="R1374" s="10">
        <f>IFERROR(IF(('Loading-truck'!$C$21)="No control",SUMIF(('Loading-truck'!$B$31:$B$48),$J1374,('Loading-truck'!$D$31:$D$48))*Impacts!$F$14,IF(('Loading-truck'!$C$21)&lt;&gt;"No control",SUMIF(('Loading-truck'!$B$31:$B$48),$J1374,('Loading-truck'!$E$31:$E$48))*Impacts!$F$14,0)),0)</f>
        <v>0</v>
      </c>
      <c r="S1374" s="10">
        <f>IFERROR(IF(('Loading-rail'!$C$21)="No control",SUMIF(('Loading-rail'!$B$31:$B$48),$J1374,('Loading-rail'!$D$31:$D$48))*Impacts!$F$15,IF(('Loading-rail'!$C$21)&lt;&gt;"No control",SUMIF(('Loading-rail'!$B$31:$B$48),$J1374,('Loading-rail'!$E$31:$E$48))*Impacts!$F$15,0)),0)</f>
        <v>0</v>
      </c>
      <c r="T1374" s="10">
        <f>IF(Flare!$C$7="",0,(SUMIF(Flare!$B$46:$B$185,$J1374,Flare!$E$46:$E$185)*Impacts!$F$16))</f>
        <v>0</v>
      </c>
      <c r="U1374" s="10">
        <f>IF(VCU!$C$9="",0,(SUMIF(VCU!$B$51:$B$193,$J1374,VCU!$E$51:$E$193)*Impacts!$F$17))</f>
        <v>0</v>
      </c>
      <c r="V1374" s="10">
        <f>IF(CAS!$C$7="",0,(SUMIF(CAS!$B$31:$B$167,$J1374,CAS!$E$31:$E$167)*Impacts!$F$18))</f>
        <v>0</v>
      </c>
      <c r="W1374" s="10">
        <f t="shared" si="62"/>
        <v>0</v>
      </c>
      <c r="AK1374" s="10" t="str">
        <f t="array" ref="AK1374">IFERROR(INDEX(SelectedSpecies,SMALL(IF(SelectedSpecies=AK$1,ROW(SelectedSpecies)),ROW(1375:1375)),2),"")</f>
        <v/>
      </c>
      <c r="BE1374" s="10"/>
      <c r="BI1374" s="10"/>
    </row>
    <row r="1375" spans="1:61" ht="21" customHeight="1" x14ac:dyDescent="0.25">
      <c r="A1375" s="10"/>
      <c r="B1375" s="10"/>
      <c r="E1375" s="10"/>
      <c r="G1375" s="10"/>
      <c r="I1375" s="436" t="s">
        <v>2803</v>
      </c>
      <c r="J1375" s="26" t="s">
        <v>2802</v>
      </c>
      <c r="K1375" s="10">
        <v>10</v>
      </c>
      <c r="L1375" s="73">
        <f>IF(Tank1!$C$23="No control",(SUMIF(Tank1!$B$32:$B$49,$J1375,Tank1!$C$32:$C$49)*Impacts!$F$8),0)</f>
        <v>0</v>
      </c>
      <c r="M1375" s="10">
        <f>IF(Tank2!$C$23="No control",(SUMIF(Tank2!$B$32:$B$49,$J1375,Tank2!$C$32:$C$49)*Impacts!$F$9),0)</f>
        <v>0</v>
      </c>
      <c r="N1375" s="10">
        <f>IF(Tank3!$C$23="No control",(SUMIF(Tank3!$B$32:$B$49,$J1375,Tank3!$C$32:$C$49)*Impacts!$F$10),0)</f>
        <v>0</v>
      </c>
      <c r="O1375" s="10">
        <f>IF(Tank4!$C$23="No control",(SUMIF(Tank4!$B$32:$B$49,$J1375,Tank4!$C$32:$C$49)*Impacts!$F$11),0)</f>
        <v>0</v>
      </c>
      <c r="P1375" s="10">
        <f>IF(Tank5!$C$23="No control",(SUMIF(Tank5!$B$32:$B$49,$J1375,Tank5!$C$32:$C$49)*Impacts!$F$12),0)</f>
        <v>0</v>
      </c>
      <c r="Q1375" s="10">
        <f>IFERROR(IF(('Loading-drum,tote'!$C$21)="No control",SUMIF(('Loading-drum,tote'!$B$31:$B$48),$J1375,('Loading-drum,tote'!$D$31:$D$48))*Impacts!$F$13,IF(('Loading-drum,tote'!$C$21)&lt;&gt;"No control",SUMIF(('Loading-drum,tote'!$B$31:$B$48),$J1375,('Loading-drum,tote'!$E$31:$E$48))*Impacts!$F$13,0)),0)</f>
        <v>0</v>
      </c>
      <c r="R1375" s="10">
        <f>IFERROR(IF(('Loading-truck'!$C$21)="No control",SUMIF(('Loading-truck'!$B$31:$B$48),$J1375,('Loading-truck'!$D$31:$D$48))*Impacts!$F$14,IF(('Loading-truck'!$C$21)&lt;&gt;"No control",SUMIF(('Loading-truck'!$B$31:$B$48),$J1375,('Loading-truck'!$E$31:$E$48))*Impacts!$F$14,0)),0)</f>
        <v>0</v>
      </c>
      <c r="S1375" s="10">
        <f>IFERROR(IF(('Loading-rail'!$C$21)="No control",SUMIF(('Loading-rail'!$B$31:$B$48),$J1375,('Loading-rail'!$D$31:$D$48))*Impacts!$F$15,IF(('Loading-rail'!$C$21)&lt;&gt;"No control",SUMIF(('Loading-rail'!$B$31:$B$48),$J1375,('Loading-rail'!$E$31:$E$48))*Impacts!$F$15,0)),0)</f>
        <v>0</v>
      </c>
      <c r="T1375" s="10">
        <f>IF(Flare!$C$7="",0,(SUMIF(Flare!$B$46:$B$185,$J1375,Flare!$E$46:$E$185)*Impacts!$F$16))</f>
        <v>0</v>
      </c>
      <c r="U1375" s="10">
        <f>IF(VCU!$C$9="",0,(SUMIF(VCU!$B$51:$B$193,$J1375,VCU!$E$51:$E$193)*Impacts!$F$17))</f>
        <v>0</v>
      </c>
      <c r="V1375" s="10">
        <f>IF(CAS!$C$7="",0,(SUMIF(CAS!$B$31:$B$167,$J1375,CAS!$E$31:$E$167)*Impacts!$F$18))</f>
        <v>0</v>
      </c>
      <c r="W1375" s="10">
        <f t="shared" si="62"/>
        <v>0</v>
      </c>
      <c r="AK1375" s="10" t="str">
        <f t="array" ref="AK1375">IFERROR(INDEX(SelectedSpecies,SMALL(IF(SelectedSpecies=AK$1,ROW(SelectedSpecies)),ROW(1376:1376)),2),"")</f>
        <v/>
      </c>
      <c r="BE1375" s="10"/>
      <c r="BI1375" s="10"/>
    </row>
    <row r="1376" spans="1:61" ht="21" customHeight="1" x14ac:dyDescent="0.25">
      <c r="A1376" s="10"/>
      <c r="B1376" s="10"/>
      <c r="E1376" s="10"/>
      <c r="G1376" s="10"/>
      <c r="I1376" s="436" t="s">
        <v>10371</v>
      </c>
      <c r="J1376" s="26" t="s">
        <v>10372</v>
      </c>
      <c r="K1376" s="10">
        <v>1.0000000000000002E-2</v>
      </c>
      <c r="L1376" s="73">
        <f>IF(Tank1!$C$23="No control",(SUMIF(Tank1!$B$32:$B$49,$J1376,Tank1!$C$32:$C$49)*Impacts!$F$8),0)</f>
        <v>0</v>
      </c>
      <c r="M1376" s="10">
        <f>IF(Tank2!$C$23="No control",(SUMIF(Tank2!$B$32:$B$49,$J1376,Tank2!$C$32:$C$49)*Impacts!$F$9),0)</f>
        <v>0</v>
      </c>
      <c r="N1376" s="10">
        <f>IF(Tank3!$C$23="No control",(SUMIF(Tank3!$B$32:$B$49,$J1376,Tank3!$C$32:$C$49)*Impacts!$F$10),0)</f>
        <v>0</v>
      </c>
      <c r="O1376" s="10">
        <f>IF(Tank4!$C$23="No control",(SUMIF(Tank4!$B$32:$B$49,$J1376,Tank4!$C$32:$C$49)*Impacts!$F$11),0)</f>
        <v>0</v>
      </c>
      <c r="P1376" s="10">
        <f>IF(Tank5!$C$23="No control",(SUMIF(Tank5!$B$32:$B$49,$J1376,Tank5!$C$32:$C$49)*Impacts!$F$12),0)</f>
        <v>0</v>
      </c>
      <c r="Q1376" s="10">
        <f>IFERROR(IF(('Loading-drum,tote'!$C$21)="No control",SUMIF(('Loading-drum,tote'!$B$31:$B$48),$J1376,('Loading-drum,tote'!$D$31:$D$48))*Impacts!$F$13,IF(('Loading-drum,tote'!$C$21)&lt;&gt;"No control",SUMIF(('Loading-drum,tote'!$B$31:$B$48),$J1376,('Loading-drum,tote'!$E$31:$E$48))*Impacts!$F$13,0)),0)</f>
        <v>0</v>
      </c>
      <c r="R1376" s="10">
        <f>IFERROR(IF(('Loading-truck'!$C$21)="No control",SUMIF(('Loading-truck'!$B$31:$B$48),$J1376,('Loading-truck'!$D$31:$D$48))*Impacts!$F$14,IF(('Loading-truck'!$C$21)&lt;&gt;"No control",SUMIF(('Loading-truck'!$B$31:$B$48),$J1376,('Loading-truck'!$E$31:$E$48))*Impacts!$F$14,0)),0)</f>
        <v>0</v>
      </c>
      <c r="S1376" s="10">
        <f>IFERROR(IF(('Loading-rail'!$C$21)="No control",SUMIF(('Loading-rail'!$B$31:$B$48),$J1376,('Loading-rail'!$D$31:$D$48))*Impacts!$F$15,IF(('Loading-rail'!$C$21)&lt;&gt;"No control",SUMIF(('Loading-rail'!$B$31:$B$48),$J1376,('Loading-rail'!$E$31:$E$48))*Impacts!$F$15,0)),0)</f>
        <v>0</v>
      </c>
      <c r="T1376" s="10">
        <f>IF(Flare!$C$7="",0,(SUMIF(Flare!$B$46:$B$185,$J1376,Flare!$E$46:$E$185)*Impacts!$F$16))</f>
        <v>0</v>
      </c>
      <c r="U1376" s="10">
        <f>IF(VCU!$C$9="",0,(SUMIF(VCU!$B$51:$B$193,$J1376,VCU!$E$51:$E$193)*Impacts!$F$17))</f>
        <v>0</v>
      </c>
      <c r="V1376" s="10">
        <f>IF(CAS!$C$7="",0,(SUMIF(CAS!$B$31:$B$167,$J1376,CAS!$E$31:$E$167)*Impacts!$F$18))</f>
        <v>0</v>
      </c>
      <c r="W1376" s="10">
        <f t="shared" si="62"/>
        <v>0</v>
      </c>
      <c r="AK1376" s="10" t="str">
        <f t="array" ref="AK1376">IFERROR(INDEX(SelectedSpecies,SMALL(IF(SelectedSpecies=AK$1,ROW(SelectedSpecies)),ROW(1377:1377)),2),"")</f>
        <v/>
      </c>
      <c r="BE1376" s="10"/>
      <c r="BI1376" s="10"/>
    </row>
    <row r="1377" spans="1:61" ht="21" customHeight="1" x14ac:dyDescent="0.25">
      <c r="A1377" s="10"/>
      <c r="B1377" s="10"/>
      <c r="E1377" s="10"/>
      <c r="G1377" s="10"/>
      <c r="I1377" s="436" t="s">
        <v>1540</v>
      </c>
      <c r="J1377" s="26" t="s">
        <v>1539</v>
      </c>
      <c r="K1377" s="10">
        <v>27</v>
      </c>
      <c r="L1377" s="73">
        <f>IF(Tank1!$C$23="No control",(SUMIF(Tank1!$B$32:$B$49,$J1377,Tank1!$C$32:$C$49)*Impacts!$F$8),0)</f>
        <v>0</v>
      </c>
      <c r="M1377" s="10">
        <f>IF(Tank2!$C$23="No control",(SUMIF(Tank2!$B$32:$B$49,$J1377,Tank2!$C$32:$C$49)*Impacts!$F$9),0)</f>
        <v>0</v>
      </c>
      <c r="N1377" s="10">
        <f>IF(Tank3!$C$23="No control",(SUMIF(Tank3!$B$32:$B$49,$J1377,Tank3!$C$32:$C$49)*Impacts!$F$10),0)</f>
        <v>0</v>
      </c>
      <c r="O1377" s="10">
        <f>IF(Tank4!$C$23="No control",(SUMIF(Tank4!$B$32:$B$49,$J1377,Tank4!$C$32:$C$49)*Impacts!$F$11),0)</f>
        <v>0</v>
      </c>
      <c r="P1377" s="10">
        <f>IF(Tank5!$C$23="No control",(SUMIF(Tank5!$B$32:$B$49,$J1377,Tank5!$C$32:$C$49)*Impacts!$F$12),0)</f>
        <v>0</v>
      </c>
      <c r="Q1377" s="10">
        <f>IFERROR(IF(('Loading-drum,tote'!$C$21)="No control",SUMIF(('Loading-drum,tote'!$B$31:$B$48),$J1377,('Loading-drum,tote'!$D$31:$D$48))*Impacts!$F$13,IF(('Loading-drum,tote'!$C$21)&lt;&gt;"No control",SUMIF(('Loading-drum,tote'!$B$31:$B$48),$J1377,('Loading-drum,tote'!$E$31:$E$48))*Impacts!$F$13,0)),0)</f>
        <v>0</v>
      </c>
      <c r="R1377" s="10">
        <f>IFERROR(IF(('Loading-truck'!$C$21)="No control",SUMIF(('Loading-truck'!$B$31:$B$48),$J1377,('Loading-truck'!$D$31:$D$48))*Impacts!$F$14,IF(('Loading-truck'!$C$21)&lt;&gt;"No control",SUMIF(('Loading-truck'!$B$31:$B$48),$J1377,('Loading-truck'!$E$31:$E$48))*Impacts!$F$14,0)),0)</f>
        <v>0</v>
      </c>
      <c r="S1377" s="10">
        <f>IFERROR(IF(('Loading-rail'!$C$21)="No control",SUMIF(('Loading-rail'!$B$31:$B$48),$J1377,('Loading-rail'!$D$31:$D$48))*Impacts!$F$15,IF(('Loading-rail'!$C$21)&lt;&gt;"No control",SUMIF(('Loading-rail'!$B$31:$B$48),$J1377,('Loading-rail'!$E$31:$E$48))*Impacts!$F$15,0)),0)</f>
        <v>0</v>
      </c>
      <c r="T1377" s="10">
        <f>IF(Flare!$C$7="",0,(SUMIF(Flare!$B$46:$B$185,$J1377,Flare!$E$46:$E$185)*Impacts!$F$16))</f>
        <v>0</v>
      </c>
      <c r="U1377" s="10">
        <f>IF(VCU!$C$9="",0,(SUMIF(VCU!$B$51:$B$193,$J1377,VCU!$E$51:$E$193)*Impacts!$F$17))</f>
        <v>0</v>
      </c>
      <c r="V1377" s="10">
        <f>IF(CAS!$C$7="",0,(SUMIF(CAS!$B$31:$B$167,$J1377,CAS!$E$31:$E$167)*Impacts!$F$18))</f>
        <v>0</v>
      </c>
      <c r="W1377" s="10">
        <f t="shared" si="62"/>
        <v>0</v>
      </c>
      <c r="AK1377" s="10" t="str">
        <f t="array" ref="AK1377">IFERROR(INDEX(SelectedSpecies,SMALL(IF(SelectedSpecies=AK$1,ROW(SelectedSpecies)),ROW(1378:1378)),2),"")</f>
        <v/>
      </c>
      <c r="BE1377" s="10"/>
      <c r="BI1377" s="10"/>
    </row>
    <row r="1378" spans="1:61" ht="21" customHeight="1" x14ac:dyDescent="0.25">
      <c r="A1378" s="10"/>
      <c r="B1378" s="10"/>
      <c r="E1378" s="10"/>
      <c r="G1378" s="10"/>
      <c r="I1378" s="436" t="s">
        <v>2117</v>
      </c>
      <c r="J1378" s="26" t="s">
        <v>2116</v>
      </c>
      <c r="K1378" s="10">
        <v>15</v>
      </c>
      <c r="L1378" s="73">
        <f>IF(Tank1!$C$23="No control",(SUMIF(Tank1!$B$32:$B$49,$J1378,Tank1!$C$32:$C$49)*Impacts!$F$8),0)</f>
        <v>0</v>
      </c>
      <c r="M1378" s="10">
        <f>IF(Tank2!$C$23="No control",(SUMIF(Tank2!$B$32:$B$49,$J1378,Tank2!$C$32:$C$49)*Impacts!$F$9),0)</f>
        <v>0</v>
      </c>
      <c r="N1378" s="10">
        <f>IF(Tank3!$C$23="No control",(SUMIF(Tank3!$B$32:$B$49,$J1378,Tank3!$C$32:$C$49)*Impacts!$F$10),0)</f>
        <v>0</v>
      </c>
      <c r="O1378" s="10">
        <f>IF(Tank4!$C$23="No control",(SUMIF(Tank4!$B$32:$B$49,$J1378,Tank4!$C$32:$C$49)*Impacts!$F$11),0)</f>
        <v>0</v>
      </c>
      <c r="P1378" s="10">
        <f>IF(Tank5!$C$23="No control",(SUMIF(Tank5!$B$32:$B$49,$J1378,Tank5!$C$32:$C$49)*Impacts!$F$12),0)</f>
        <v>0</v>
      </c>
      <c r="Q1378" s="10">
        <f>IFERROR(IF(('Loading-drum,tote'!$C$21)="No control",SUMIF(('Loading-drum,tote'!$B$31:$B$48),$J1378,('Loading-drum,tote'!$D$31:$D$48))*Impacts!$F$13,IF(('Loading-drum,tote'!$C$21)&lt;&gt;"No control",SUMIF(('Loading-drum,tote'!$B$31:$B$48),$J1378,('Loading-drum,tote'!$E$31:$E$48))*Impacts!$F$13,0)),0)</f>
        <v>0</v>
      </c>
      <c r="R1378" s="10">
        <f>IFERROR(IF(('Loading-truck'!$C$21)="No control",SUMIF(('Loading-truck'!$B$31:$B$48),$J1378,('Loading-truck'!$D$31:$D$48))*Impacts!$F$14,IF(('Loading-truck'!$C$21)&lt;&gt;"No control",SUMIF(('Loading-truck'!$B$31:$B$48),$J1378,('Loading-truck'!$E$31:$E$48))*Impacts!$F$14,0)),0)</f>
        <v>0</v>
      </c>
      <c r="S1378" s="10">
        <f>IFERROR(IF(('Loading-rail'!$C$21)="No control",SUMIF(('Loading-rail'!$B$31:$B$48),$J1378,('Loading-rail'!$D$31:$D$48))*Impacts!$F$15,IF(('Loading-rail'!$C$21)&lt;&gt;"No control",SUMIF(('Loading-rail'!$B$31:$B$48),$J1378,('Loading-rail'!$E$31:$E$48))*Impacts!$F$15,0)),0)</f>
        <v>0</v>
      </c>
      <c r="T1378" s="10">
        <f>IF(Flare!$C$7="",0,(SUMIF(Flare!$B$46:$B$185,$J1378,Flare!$E$46:$E$185)*Impacts!$F$16))</f>
        <v>0</v>
      </c>
      <c r="U1378" s="10">
        <f>IF(VCU!$C$9="",0,(SUMIF(VCU!$B$51:$B$193,$J1378,VCU!$E$51:$E$193)*Impacts!$F$17))</f>
        <v>0</v>
      </c>
      <c r="V1378" s="10">
        <f>IF(CAS!$C$7="",0,(SUMIF(CAS!$B$31:$B$167,$J1378,CAS!$E$31:$E$167)*Impacts!$F$18))</f>
        <v>0</v>
      </c>
      <c r="W1378" s="10">
        <f t="shared" si="62"/>
        <v>0</v>
      </c>
      <c r="AK1378" s="10" t="str">
        <f t="array" ref="AK1378">IFERROR(INDEX(SelectedSpecies,SMALL(IF(SelectedSpecies=AK$1,ROW(SelectedSpecies)),ROW(1379:1379)),2),"")</f>
        <v/>
      </c>
      <c r="BE1378" s="10"/>
      <c r="BI1378" s="10"/>
    </row>
    <row r="1379" spans="1:61" ht="21" customHeight="1" x14ac:dyDescent="0.25">
      <c r="A1379" s="10"/>
      <c r="B1379" s="10"/>
      <c r="E1379" s="10"/>
      <c r="G1379" s="10"/>
      <c r="I1379" s="436" t="s">
        <v>5515</v>
      </c>
      <c r="J1379" s="26" t="s">
        <v>5514</v>
      </c>
      <c r="K1379" s="10">
        <v>1.25</v>
      </c>
      <c r="L1379" s="73">
        <f>IF(Tank1!$C$23="No control",(SUMIF(Tank1!$B$32:$B$49,$J1379,Tank1!$C$32:$C$49)*Impacts!$F$8),0)</f>
        <v>0</v>
      </c>
      <c r="M1379" s="10">
        <f>IF(Tank2!$C$23="No control",(SUMIF(Tank2!$B$32:$B$49,$J1379,Tank2!$C$32:$C$49)*Impacts!$F$9),0)</f>
        <v>0</v>
      </c>
      <c r="N1379" s="10">
        <f>IF(Tank3!$C$23="No control",(SUMIF(Tank3!$B$32:$B$49,$J1379,Tank3!$C$32:$C$49)*Impacts!$F$10),0)</f>
        <v>0</v>
      </c>
      <c r="O1379" s="10">
        <f>IF(Tank4!$C$23="No control",(SUMIF(Tank4!$B$32:$B$49,$J1379,Tank4!$C$32:$C$49)*Impacts!$F$11),0)</f>
        <v>0</v>
      </c>
      <c r="P1379" s="10">
        <f>IF(Tank5!$C$23="No control",(SUMIF(Tank5!$B$32:$B$49,$J1379,Tank5!$C$32:$C$49)*Impacts!$F$12),0)</f>
        <v>0</v>
      </c>
      <c r="Q1379" s="10">
        <f>IFERROR(IF(('Loading-drum,tote'!$C$21)="No control",SUMIF(('Loading-drum,tote'!$B$31:$B$48),$J1379,('Loading-drum,tote'!$D$31:$D$48))*Impacts!$F$13,IF(('Loading-drum,tote'!$C$21)&lt;&gt;"No control",SUMIF(('Loading-drum,tote'!$B$31:$B$48),$J1379,('Loading-drum,tote'!$E$31:$E$48))*Impacts!$F$13,0)),0)</f>
        <v>0</v>
      </c>
      <c r="R1379" s="10">
        <f>IFERROR(IF(('Loading-truck'!$C$21)="No control",SUMIF(('Loading-truck'!$B$31:$B$48),$J1379,('Loading-truck'!$D$31:$D$48))*Impacts!$F$14,IF(('Loading-truck'!$C$21)&lt;&gt;"No control",SUMIF(('Loading-truck'!$B$31:$B$48),$J1379,('Loading-truck'!$E$31:$E$48))*Impacts!$F$14,0)),0)</f>
        <v>0</v>
      </c>
      <c r="S1379" s="10">
        <f>IFERROR(IF(('Loading-rail'!$C$21)="No control",SUMIF(('Loading-rail'!$B$31:$B$48),$J1379,('Loading-rail'!$D$31:$D$48))*Impacts!$F$15,IF(('Loading-rail'!$C$21)&lt;&gt;"No control",SUMIF(('Loading-rail'!$B$31:$B$48),$J1379,('Loading-rail'!$E$31:$E$48))*Impacts!$F$15,0)),0)</f>
        <v>0</v>
      </c>
      <c r="T1379" s="10">
        <f>IF(Flare!$C$7="",0,(SUMIF(Flare!$B$46:$B$185,$J1379,Flare!$E$46:$E$185)*Impacts!$F$16))</f>
        <v>0</v>
      </c>
      <c r="U1379" s="10">
        <f>IF(VCU!$C$9="",0,(SUMIF(VCU!$B$51:$B$193,$J1379,VCU!$E$51:$E$193)*Impacts!$F$17))</f>
        <v>0</v>
      </c>
      <c r="V1379" s="10">
        <f>IF(CAS!$C$7="",0,(SUMIF(CAS!$B$31:$B$167,$J1379,CAS!$E$31:$E$167)*Impacts!$F$18))</f>
        <v>0</v>
      </c>
      <c r="W1379" s="10">
        <f t="shared" si="62"/>
        <v>0</v>
      </c>
      <c r="AK1379" s="10" t="str">
        <f t="array" ref="AK1379">IFERROR(INDEX(SelectedSpecies,SMALL(IF(SelectedSpecies=AK$1,ROW(SelectedSpecies)),ROW(1380:1380)),2),"")</f>
        <v/>
      </c>
      <c r="BE1379" s="10"/>
      <c r="BI1379" s="10"/>
    </row>
    <row r="1380" spans="1:61" ht="21" customHeight="1" x14ac:dyDescent="0.25">
      <c r="A1380" s="10"/>
      <c r="B1380" s="10"/>
      <c r="E1380" s="10"/>
      <c r="G1380" s="10"/>
      <c r="I1380" s="436" t="s">
        <v>5347</v>
      </c>
      <c r="J1380" s="26" t="s">
        <v>5346</v>
      </c>
      <c r="K1380" s="10">
        <v>1.6</v>
      </c>
      <c r="L1380" s="73">
        <f>IF(Tank1!$C$23="No control",(SUMIF(Tank1!$B$32:$B$49,$J1380,Tank1!$C$32:$C$49)*Impacts!$F$8),0)</f>
        <v>0</v>
      </c>
      <c r="M1380" s="10">
        <f>IF(Tank2!$C$23="No control",(SUMIF(Tank2!$B$32:$B$49,$J1380,Tank2!$C$32:$C$49)*Impacts!$F$9),0)</f>
        <v>0</v>
      </c>
      <c r="N1380" s="10">
        <f>IF(Tank3!$C$23="No control",(SUMIF(Tank3!$B$32:$B$49,$J1380,Tank3!$C$32:$C$49)*Impacts!$F$10),0)</f>
        <v>0</v>
      </c>
      <c r="O1380" s="10">
        <f>IF(Tank4!$C$23="No control",(SUMIF(Tank4!$B$32:$B$49,$J1380,Tank4!$C$32:$C$49)*Impacts!$F$11),0)</f>
        <v>0</v>
      </c>
      <c r="P1380" s="10">
        <f>IF(Tank5!$C$23="No control",(SUMIF(Tank5!$B$32:$B$49,$J1380,Tank5!$C$32:$C$49)*Impacts!$F$12),0)</f>
        <v>0</v>
      </c>
      <c r="Q1380" s="10">
        <f>IFERROR(IF(('Loading-drum,tote'!$C$21)="No control",SUMIF(('Loading-drum,tote'!$B$31:$B$48),$J1380,('Loading-drum,tote'!$D$31:$D$48))*Impacts!$F$13,IF(('Loading-drum,tote'!$C$21)&lt;&gt;"No control",SUMIF(('Loading-drum,tote'!$B$31:$B$48),$J1380,('Loading-drum,tote'!$E$31:$E$48))*Impacts!$F$13,0)),0)</f>
        <v>0</v>
      </c>
      <c r="R1380" s="10">
        <f>IFERROR(IF(('Loading-truck'!$C$21)="No control",SUMIF(('Loading-truck'!$B$31:$B$48),$J1380,('Loading-truck'!$D$31:$D$48))*Impacts!$F$14,IF(('Loading-truck'!$C$21)&lt;&gt;"No control",SUMIF(('Loading-truck'!$B$31:$B$48),$J1380,('Loading-truck'!$E$31:$E$48))*Impacts!$F$14,0)),0)</f>
        <v>0</v>
      </c>
      <c r="S1380" s="10">
        <f>IFERROR(IF(('Loading-rail'!$C$21)="No control",SUMIF(('Loading-rail'!$B$31:$B$48),$J1380,('Loading-rail'!$D$31:$D$48))*Impacts!$F$15,IF(('Loading-rail'!$C$21)&lt;&gt;"No control",SUMIF(('Loading-rail'!$B$31:$B$48),$J1380,('Loading-rail'!$E$31:$E$48))*Impacts!$F$15,0)),0)</f>
        <v>0</v>
      </c>
      <c r="T1380" s="10">
        <f>IF(Flare!$C$7="",0,(SUMIF(Flare!$B$46:$B$185,$J1380,Flare!$E$46:$E$185)*Impacts!$F$16))</f>
        <v>0</v>
      </c>
      <c r="U1380" s="10">
        <f>IF(VCU!$C$9="",0,(SUMIF(VCU!$B$51:$B$193,$J1380,VCU!$E$51:$E$193)*Impacts!$F$17))</f>
        <v>0</v>
      </c>
      <c r="V1380" s="10">
        <f>IF(CAS!$C$7="",0,(SUMIF(CAS!$B$31:$B$167,$J1380,CAS!$E$31:$E$167)*Impacts!$F$18))</f>
        <v>0</v>
      </c>
      <c r="W1380" s="10">
        <f t="shared" si="62"/>
        <v>0</v>
      </c>
      <c r="AK1380" s="10" t="str">
        <f t="array" ref="AK1380">IFERROR(INDEX(SelectedSpecies,SMALL(IF(SelectedSpecies=AK$1,ROW(SelectedSpecies)),ROW(1381:1381)),2),"")</f>
        <v/>
      </c>
      <c r="BE1380" s="10"/>
      <c r="BI1380" s="10"/>
    </row>
    <row r="1381" spans="1:61" ht="21" customHeight="1" x14ac:dyDescent="0.25">
      <c r="A1381" s="10"/>
      <c r="B1381" s="10"/>
      <c r="E1381" s="10"/>
      <c r="G1381" s="10"/>
      <c r="I1381" s="436" t="s">
        <v>5413</v>
      </c>
      <c r="J1381" s="26" t="s">
        <v>5412</v>
      </c>
      <c r="K1381" s="10">
        <v>1.4000000000000001</v>
      </c>
      <c r="L1381" s="73">
        <f>IF(Tank1!$C$23="No control",(SUMIF(Tank1!$B$32:$B$49,$J1381,Tank1!$C$32:$C$49)*Impacts!$F$8),0)</f>
        <v>0</v>
      </c>
      <c r="M1381" s="10">
        <f>IF(Tank2!$C$23="No control",(SUMIF(Tank2!$B$32:$B$49,$J1381,Tank2!$C$32:$C$49)*Impacts!$F$9),0)</f>
        <v>0</v>
      </c>
      <c r="N1381" s="10">
        <f>IF(Tank3!$C$23="No control",(SUMIF(Tank3!$B$32:$B$49,$J1381,Tank3!$C$32:$C$49)*Impacts!$F$10),0)</f>
        <v>0</v>
      </c>
      <c r="O1381" s="10">
        <f>IF(Tank4!$C$23="No control",(SUMIF(Tank4!$B$32:$B$49,$J1381,Tank4!$C$32:$C$49)*Impacts!$F$11),0)</f>
        <v>0</v>
      </c>
      <c r="P1381" s="10">
        <f>IF(Tank5!$C$23="No control",(SUMIF(Tank5!$B$32:$B$49,$J1381,Tank5!$C$32:$C$49)*Impacts!$F$12),0)</f>
        <v>0</v>
      </c>
      <c r="Q1381" s="10">
        <f>IFERROR(IF(('Loading-drum,tote'!$C$21)="No control",SUMIF(('Loading-drum,tote'!$B$31:$B$48),$J1381,('Loading-drum,tote'!$D$31:$D$48))*Impacts!$F$13,IF(('Loading-drum,tote'!$C$21)&lt;&gt;"No control",SUMIF(('Loading-drum,tote'!$B$31:$B$48),$J1381,('Loading-drum,tote'!$E$31:$E$48))*Impacts!$F$13,0)),0)</f>
        <v>0</v>
      </c>
      <c r="R1381" s="10">
        <f>IFERROR(IF(('Loading-truck'!$C$21)="No control",SUMIF(('Loading-truck'!$B$31:$B$48),$J1381,('Loading-truck'!$D$31:$D$48))*Impacts!$F$14,IF(('Loading-truck'!$C$21)&lt;&gt;"No control",SUMIF(('Loading-truck'!$B$31:$B$48),$J1381,('Loading-truck'!$E$31:$E$48))*Impacts!$F$14,0)),0)</f>
        <v>0</v>
      </c>
      <c r="S1381" s="10">
        <f>IFERROR(IF(('Loading-rail'!$C$21)="No control",SUMIF(('Loading-rail'!$B$31:$B$48),$J1381,('Loading-rail'!$D$31:$D$48))*Impacts!$F$15,IF(('Loading-rail'!$C$21)&lt;&gt;"No control",SUMIF(('Loading-rail'!$B$31:$B$48),$J1381,('Loading-rail'!$E$31:$E$48))*Impacts!$F$15,0)),0)</f>
        <v>0</v>
      </c>
      <c r="T1381" s="10">
        <f>IF(Flare!$C$7="",0,(SUMIF(Flare!$B$46:$B$185,$J1381,Flare!$E$46:$E$185)*Impacts!$F$16))</f>
        <v>0</v>
      </c>
      <c r="U1381" s="10">
        <f>IF(VCU!$C$9="",0,(SUMIF(VCU!$B$51:$B$193,$J1381,VCU!$E$51:$E$193)*Impacts!$F$17))</f>
        <v>0</v>
      </c>
      <c r="V1381" s="10">
        <f>IF(CAS!$C$7="",0,(SUMIF(CAS!$B$31:$B$167,$J1381,CAS!$E$31:$E$167)*Impacts!$F$18))</f>
        <v>0</v>
      </c>
      <c r="W1381" s="10">
        <f t="shared" si="62"/>
        <v>0</v>
      </c>
      <c r="AK1381" s="10" t="str">
        <f t="array" ref="AK1381">IFERROR(INDEX(SelectedSpecies,SMALL(IF(SelectedSpecies=AK$1,ROW(SelectedSpecies)),ROW(1382:1382)),2),"")</f>
        <v/>
      </c>
      <c r="BE1381" s="10"/>
      <c r="BI1381" s="10"/>
    </row>
    <row r="1382" spans="1:61" ht="21" customHeight="1" x14ac:dyDescent="0.25">
      <c r="A1382" s="10"/>
      <c r="B1382" s="10"/>
      <c r="E1382" s="10"/>
      <c r="G1382" s="10"/>
      <c r="I1382" s="436" t="s">
        <v>5227</v>
      </c>
      <c r="J1382" s="26" t="s">
        <v>5226</v>
      </c>
      <c r="K1382" s="10">
        <v>1.9000000000000001</v>
      </c>
      <c r="L1382" s="73">
        <f>IF(Tank1!$C$23="No control",(SUMIF(Tank1!$B$32:$B$49,$J1382,Tank1!$C$32:$C$49)*Impacts!$F$8),0)</f>
        <v>0</v>
      </c>
      <c r="M1382" s="10">
        <f>IF(Tank2!$C$23="No control",(SUMIF(Tank2!$B$32:$B$49,$J1382,Tank2!$C$32:$C$49)*Impacts!$F$9),0)</f>
        <v>0</v>
      </c>
      <c r="N1382" s="10">
        <f>IF(Tank3!$C$23="No control",(SUMIF(Tank3!$B$32:$B$49,$J1382,Tank3!$C$32:$C$49)*Impacts!$F$10),0)</f>
        <v>0</v>
      </c>
      <c r="O1382" s="10">
        <f>IF(Tank4!$C$23="No control",(SUMIF(Tank4!$B$32:$B$49,$J1382,Tank4!$C$32:$C$49)*Impacts!$F$11),0)</f>
        <v>0</v>
      </c>
      <c r="P1382" s="10">
        <f>IF(Tank5!$C$23="No control",(SUMIF(Tank5!$B$32:$B$49,$J1382,Tank5!$C$32:$C$49)*Impacts!$F$12),0)</f>
        <v>0</v>
      </c>
      <c r="Q1382" s="10">
        <f>IFERROR(IF(('Loading-drum,tote'!$C$21)="No control",SUMIF(('Loading-drum,tote'!$B$31:$B$48),$J1382,('Loading-drum,tote'!$D$31:$D$48))*Impacts!$F$13,IF(('Loading-drum,tote'!$C$21)&lt;&gt;"No control",SUMIF(('Loading-drum,tote'!$B$31:$B$48),$J1382,('Loading-drum,tote'!$E$31:$E$48))*Impacts!$F$13,0)),0)</f>
        <v>0</v>
      </c>
      <c r="R1382" s="10">
        <f>IFERROR(IF(('Loading-truck'!$C$21)="No control",SUMIF(('Loading-truck'!$B$31:$B$48),$J1382,('Loading-truck'!$D$31:$D$48))*Impacts!$F$14,IF(('Loading-truck'!$C$21)&lt;&gt;"No control",SUMIF(('Loading-truck'!$B$31:$B$48),$J1382,('Loading-truck'!$E$31:$E$48))*Impacts!$F$14,0)),0)</f>
        <v>0</v>
      </c>
      <c r="S1382" s="10">
        <f>IFERROR(IF(('Loading-rail'!$C$21)="No control",SUMIF(('Loading-rail'!$B$31:$B$48),$J1382,('Loading-rail'!$D$31:$D$48))*Impacts!$F$15,IF(('Loading-rail'!$C$21)&lt;&gt;"No control",SUMIF(('Loading-rail'!$B$31:$B$48),$J1382,('Loading-rail'!$E$31:$E$48))*Impacts!$F$15,0)),0)</f>
        <v>0</v>
      </c>
      <c r="T1382" s="10">
        <f>IF(Flare!$C$7="",0,(SUMIF(Flare!$B$46:$B$185,$J1382,Flare!$E$46:$E$185)*Impacts!$F$16))</f>
        <v>0</v>
      </c>
      <c r="U1382" s="10">
        <f>IF(VCU!$C$9="",0,(SUMIF(VCU!$B$51:$B$193,$J1382,VCU!$E$51:$E$193)*Impacts!$F$17))</f>
        <v>0</v>
      </c>
      <c r="V1382" s="10">
        <f>IF(CAS!$C$7="",0,(SUMIF(CAS!$B$31:$B$167,$J1382,CAS!$E$31:$E$167)*Impacts!$F$18))</f>
        <v>0</v>
      </c>
      <c r="W1382" s="10">
        <f t="shared" si="62"/>
        <v>0</v>
      </c>
      <c r="AK1382" s="10" t="str">
        <f t="array" ref="AK1382">IFERROR(INDEX(SelectedSpecies,SMALL(IF(SelectedSpecies=AK$1,ROW(SelectedSpecies)),ROW(1383:1383)),2),"")</f>
        <v/>
      </c>
      <c r="BE1382" s="10"/>
      <c r="BI1382" s="10"/>
    </row>
    <row r="1383" spans="1:61" ht="21" customHeight="1" x14ac:dyDescent="0.25">
      <c r="A1383" s="10"/>
      <c r="B1383" s="10"/>
      <c r="E1383" s="10"/>
      <c r="G1383" s="10"/>
      <c r="I1383" s="436" t="s">
        <v>4063</v>
      </c>
      <c r="J1383" s="26" t="s">
        <v>4062</v>
      </c>
      <c r="K1383" s="10">
        <v>5.8000000000000007</v>
      </c>
      <c r="L1383" s="73">
        <f>IF(Tank1!$C$23="No control",(SUMIF(Tank1!$B$32:$B$49,$J1383,Tank1!$C$32:$C$49)*Impacts!$F$8),0)</f>
        <v>0</v>
      </c>
      <c r="M1383" s="10">
        <f>IF(Tank2!$C$23="No control",(SUMIF(Tank2!$B$32:$B$49,$J1383,Tank2!$C$32:$C$49)*Impacts!$F$9),0)</f>
        <v>0</v>
      </c>
      <c r="N1383" s="10">
        <f>IF(Tank3!$C$23="No control",(SUMIF(Tank3!$B$32:$B$49,$J1383,Tank3!$C$32:$C$49)*Impacts!$F$10),0)</f>
        <v>0</v>
      </c>
      <c r="O1383" s="10">
        <f>IF(Tank4!$C$23="No control",(SUMIF(Tank4!$B$32:$B$49,$J1383,Tank4!$C$32:$C$49)*Impacts!$F$11),0)</f>
        <v>0</v>
      </c>
      <c r="P1383" s="10">
        <f>IF(Tank5!$C$23="No control",(SUMIF(Tank5!$B$32:$B$49,$J1383,Tank5!$C$32:$C$49)*Impacts!$F$12),0)</f>
        <v>0</v>
      </c>
      <c r="Q1383" s="10">
        <f>IFERROR(IF(('Loading-drum,tote'!$C$21)="No control",SUMIF(('Loading-drum,tote'!$B$31:$B$48),$J1383,('Loading-drum,tote'!$D$31:$D$48))*Impacts!$F$13,IF(('Loading-drum,tote'!$C$21)&lt;&gt;"No control",SUMIF(('Loading-drum,tote'!$B$31:$B$48),$J1383,('Loading-drum,tote'!$E$31:$E$48))*Impacts!$F$13,0)),0)</f>
        <v>0</v>
      </c>
      <c r="R1383" s="10">
        <f>IFERROR(IF(('Loading-truck'!$C$21)="No control",SUMIF(('Loading-truck'!$B$31:$B$48),$J1383,('Loading-truck'!$D$31:$D$48))*Impacts!$F$14,IF(('Loading-truck'!$C$21)&lt;&gt;"No control",SUMIF(('Loading-truck'!$B$31:$B$48),$J1383,('Loading-truck'!$E$31:$E$48))*Impacts!$F$14,0)),0)</f>
        <v>0</v>
      </c>
      <c r="S1383" s="10">
        <f>IFERROR(IF(('Loading-rail'!$C$21)="No control",SUMIF(('Loading-rail'!$B$31:$B$48),$J1383,('Loading-rail'!$D$31:$D$48))*Impacts!$F$15,IF(('Loading-rail'!$C$21)&lt;&gt;"No control",SUMIF(('Loading-rail'!$B$31:$B$48),$J1383,('Loading-rail'!$E$31:$E$48))*Impacts!$F$15,0)),0)</f>
        <v>0</v>
      </c>
      <c r="T1383" s="10">
        <f>IF(Flare!$C$7="",0,(SUMIF(Flare!$B$46:$B$185,$J1383,Flare!$E$46:$E$185)*Impacts!$F$16))</f>
        <v>0</v>
      </c>
      <c r="U1383" s="10">
        <f>IF(VCU!$C$9="",0,(SUMIF(VCU!$B$51:$B$193,$J1383,VCU!$E$51:$E$193)*Impacts!$F$17))</f>
        <v>0</v>
      </c>
      <c r="V1383" s="10">
        <f>IF(CAS!$C$7="",0,(SUMIF(CAS!$B$31:$B$167,$J1383,CAS!$E$31:$E$167)*Impacts!$F$18))</f>
        <v>0</v>
      </c>
      <c r="W1383" s="10">
        <f t="shared" si="62"/>
        <v>0</v>
      </c>
      <c r="AK1383" s="10" t="str">
        <f t="array" ref="AK1383">IFERROR(INDEX(SelectedSpecies,SMALL(IF(SelectedSpecies=AK$1,ROW(SelectedSpecies)),ROW(1384:1384)),2),"")</f>
        <v/>
      </c>
      <c r="BE1383" s="10"/>
      <c r="BI1383" s="10"/>
    </row>
    <row r="1384" spans="1:61" ht="21" customHeight="1" x14ac:dyDescent="0.25">
      <c r="A1384" s="10"/>
      <c r="B1384" s="10"/>
      <c r="E1384" s="10"/>
      <c r="G1384" s="10"/>
      <c r="I1384" s="436" t="s">
        <v>684</v>
      </c>
      <c r="J1384" s="26" t="s">
        <v>683</v>
      </c>
      <c r="K1384" s="10">
        <v>57</v>
      </c>
      <c r="L1384" s="73">
        <f>IF(Tank1!$C$23="No control",(SUMIF(Tank1!$B$32:$B$49,$J1384,Tank1!$C$32:$C$49)*Impacts!$F$8),0)</f>
        <v>0</v>
      </c>
      <c r="M1384" s="10">
        <f>IF(Tank2!$C$23="No control",(SUMIF(Tank2!$B$32:$B$49,$J1384,Tank2!$C$32:$C$49)*Impacts!$F$9),0)</f>
        <v>0</v>
      </c>
      <c r="N1384" s="10">
        <f>IF(Tank3!$C$23="No control",(SUMIF(Tank3!$B$32:$B$49,$J1384,Tank3!$C$32:$C$49)*Impacts!$F$10),0)</f>
        <v>0</v>
      </c>
      <c r="O1384" s="10">
        <f>IF(Tank4!$C$23="No control",(SUMIF(Tank4!$B$32:$B$49,$J1384,Tank4!$C$32:$C$49)*Impacts!$F$11),0)</f>
        <v>0</v>
      </c>
      <c r="P1384" s="10">
        <f>IF(Tank5!$C$23="No control",(SUMIF(Tank5!$B$32:$B$49,$J1384,Tank5!$C$32:$C$49)*Impacts!$F$12),0)</f>
        <v>0</v>
      </c>
      <c r="Q1384" s="10">
        <f>IFERROR(IF(('Loading-drum,tote'!$C$21)="No control",SUMIF(('Loading-drum,tote'!$B$31:$B$48),$J1384,('Loading-drum,tote'!$D$31:$D$48))*Impacts!$F$13,IF(('Loading-drum,tote'!$C$21)&lt;&gt;"No control",SUMIF(('Loading-drum,tote'!$B$31:$B$48),$J1384,('Loading-drum,tote'!$E$31:$E$48))*Impacts!$F$13,0)),0)</f>
        <v>0</v>
      </c>
      <c r="R1384" s="10">
        <f>IFERROR(IF(('Loading-truck'!$C$21)="No control",SUMIF(('Loading-truck'!$B$31:$B$48),$J1384,('Loading-truck'!$D$31:$D$48))*Impacts!$F$14,IF(('Loading-truck'!$C$21)&lt;&gt;"No control",SUMIF(('Loading-truck'!$B$31:$B$48),$J1384,('Loading-truck'!$E$31:$E$48))*Impacts!$F$14,0)),0)</f>
        <v>0</v>
      </c>
      <c r="S1384" s="10">
        <f>IFERROR(IF(('Loading-rail'!$C$21)="No control",SUMIF(('Loading-rail'!$B$31:$B$48),$J1384,('Loading-rail'!$D$31:$D$48))*Impacts!$F$15,IF(('Loading-rail'!$C$21)&lt;&gt;"No control",SUMIF(('Loading-rail'!$B$31:$B$48),$J1384,('Loading-rail'!$E$31:$E$48))*Impacts!$F$15,0)),0)</f>
        <v>0</v>
      </c>
      <c r="T1384" s="10">
        <f>IF(Flare!$C$7="",0,(SUMIF(Flare!$B$46:$B$185,$J1384,Flare!$E$46:$E$185)*Impacts!$F$16))</f>
        <v>0</v>
      </c>
      <c r="U1384" s="10">
        <f>IF(VCU!$C$9="",0,(SUMIF(VCU!$B$51:$B$193,$J1384,VCU!$E$51:$E$193)*Impacts!$F$17))</f>
        <v>0</v>
      </c>
      <c r="V1384" s="10">
        <f>IF(CAS!$C$7="",0,(SUMIF(CAS!$B$31:$B$167,$J1384,CAS!$E$31:$E$167)*Impacts!$F$18))</f>
        <v>0</v>
      </c>
      <c r="W1384" s="10">
        <f t="shared" si="62"/>
        <v>0</v>
      </c>
      <c r="AK1384" s="10" t="str">
        <f t="array" ref="AK1384">IFERROR(INDEX(SelectedSpecies,SMALL(IF(SelectedSpecies=AK$1,ROW(SelectedSpecies)),ROW(1385:1385)),2),"")</f>
        <v/>
      </c>
      <c r="BE1384" s="10"/>
      <c r="BI1384" s="10"/>
    </row>
    <row r="1385" spans="1:61" ht="21" customHeight="1" x14ac:dyDescent="0.25">
      <c r="A1385" s="10"/>
      <c r="B1385" s="10"/>
      <c r="E1385" s="10"/>
      <c r="G1385" s="10"/>
      <c r="I1385" s="436" t="s">
        <v>5561</v>
      </c>
      <c r="J1385" s="26" t="s">
        <v>5560</v>
      </c>
      <c r="K1385" s="10">
        <v>1.2000000000000002</v>
      </c>
      <c r="L1385" s="73">
        <f>IF(Tank1!$C$23="No control",(SUMIF(Tank1!$B$32:$B$49,$J1385,Tank1!$C$32:$C$49)*Impacts!$F$8),0)</f>
        <v>0</v>
      </c>
      <c r="M1385" s="10">
        <f>IF(Tank2!$C$23="No control",(SUMIF(Tank2!$B$32:$B$49,$J1385,Tank2!$C$32:$C$49)*Impacts!$F$9),0)</f>
        <v>0</v>
      </c>
      <c r="N1385" s="10">
        <f>IF(Tank3!$C$23="No control",(SUMIF(Tank3!$B$32:$B$49,$J1385,Tank3!$C$32:$C$49)*Impacts!$F$10),0)</f>
        <v>0</v>
      </c>
      <c r="O1385" s="10">
        <f>IF(Tank4!$C$23="No control",(SUMIF(Tank4!$B$32:$B$49,$J1385,Tank4!$C$32:$C$49)*Impacts!$F$11),0)</f>
        <v>0</v>
      </c>
      <c r="P1385" s="10">
        <f>IF(Tank5!$C$23="No control",(SUMIF(Tank5!$B$32:$B$49,$J1385,Tank5!$C$32:$C$49)*Impacts!$F$12),0)</f>
        <v>0</v>
      </c>
      <c r="Q1385" s="10">
        <f>IFERROR(IF(('Loading-drum,tote'!$C$21)="No control",SUMIF(('Loading-drum,tote'!$B$31:$B$48),$J1385,('Loading-drum,tote'!$D$31:$D$48))*Impacts!$F$13,IF(('Loading-drum,tote'!$C$21)&lt;&gt;"No control",SUMIF(('Loading-drum,tote'!$B$31:$B$48),$J1385,('Loading-drum,tote'!$E$31:$E$48))*Impacts!$F$13,0)),0)</f>
        <v>0</v>
      </c>
      <c r="R1385" s="10">
        <f>IFERROR(IF(('Loading-truck'!$C$21)="No control",SUMIF(('Loading-truck'!$B$31:$B$48),$J1385,('Loading-truck'!$D$31:$D$48))*Impacts!$F$14,IF(('Loading-truck'!$C$21)&lt;&gt;"No control",SUMIF(('Loading-truck'!$B$31:$B$48),$J1385,('Loading-truck'!$E$31:$E$48))*Impacts!$F$14,0)),0)</f>
        <v>0</v>
      </c>
      <c r="S1385" s="10">
        <f>IFERROR(IF(('Loading-rail'!$C$21)="No control",SUMIF(('Loading-rail'!$B$31:$B$48),$J1385,('Loading-rail'!$D$31:$D$48))*Impacts!$F$15,IF(('Loading-rail'!$C$21)&lt;&gt;"No control",SUMIF(('Loading-rail'!$B$31:$B$48),$J1385,('Loading-rail'!$E$31:$E$48))*Impacts!$F$15,0)),0)</f>
        <v>0</v>
      </c>
      <c r="T1385" s="10">
        <f>IF(Flare!$C$7="",0,(SUMIF(Flare!$B$46:$B$185,$J1385,Flare!$E$46:$E$185)*Impacts!$F$16))</f>
        <v>0</v>
      </c>
      <c r="U1385" s="10">
        <f>IF(VCU!$C$9="",0,(SUMIF(VCU!$B$51:$B$193,$J1385,VCU!$E$51:$E$193)*Impacts!$F$17))</f>
        <v>0</v>
      </c>
      <c r="V1385" s="10">
        <f>IF(CAS!$C$7="",0,(SUMIF(CAS!$B$31:$B$167,$J1385,CAS!$E$31:$E$167)*Impacts!$F$18))</f>
        <v>0</v>
      </c>
      <c r="W1385" s="10">
        <f t="shared" si="62"/>
        <v>0</v>
      </c>
      <c r="AK1385" s="10" t="str">
        <f t="array" ref="AK1385">IFERROR(INDEX(SelectedSpecies,SMALL(IF(SelectedSpecies=AK$1,ROW(SelectedSpecies)),ROW(1386:1386)),2),"")</f>
        <v/>
      </c>
      <c r="BE1385" s="10"/>
      <c r="BI1385" s="10"/>
    </row>
    <row r="1386" spans="1:61" ht="21" customHeight="1" x14ac:dyDescent="0.25">
      <c r="A1386" s="10"/>
      <c r="B1386" s="10"/>
      <c r="E1386" s="10"/>
      <c r="G1386" s="10"/>
      <c r="I1386" s="436" t="s">
        <v>6304</v>
      </c>
      <c r="J1386" s="26" t="s">
        <v>6303</v>
      </c>
      <c r="K1386" s="10">
        <v>0.9</v>
      </c>
      <c r="L1386" s="73">
        <f>IF(Tank1!$C$23="No control",(SUMIF(Tank1!$B$32:$B$49,$J1386,Tank1!$C$32:$C$49)*Impacts!$F$8),0)</f>
        <v>0</v>
      </c>
      <c r="M1386" s="10">
        <f>IF(Tank2!$C$23="No control",(SUMIF(Tank2!$B$32:$B$49,$J1386,Tank2!$C$32:$C$49)*Impacts!$F$9),0)</f>
        <v>0</v>
      </c>
      <c r="N1386" s="10">
        <f>IF(Tank3!$C$23="No control",(SUMIF(Tank3!$B$32:$B$49,$J1386,Tank3!$C$32:$C$49)*Impacts!$F$10),0)</f>
        <v>0</v>
      </c>
      <c r="O1386" s="10">
        <f>IF(Tank4!$C$23="No control",(SUMIF(Tank4!$B$32:$B$49,$J1386,Tank4!$C$32:$C$49)*Impacts!$F$11),0)</f>
        <v>0</v>
      </c>
      <c r="P1386" s="10">
        <f>IF(Tank5!$C$23="No control",(SUMIF(Tank5!$B$32:$B$49,$J1386,Tank5!$C$32:$C$49)*Impacts!$F$12),0)</f>
        <v>0</v>
      </c>
      <c r="Q1386" s="10">
        <f>IFERROR(IF(('Loading-drum,tote'!$C$21)="No control",SUMIF(('Loading-drum,tote'!$B$31:$B$48),$J1386,('Loading-drum,tote'!$D$31:$D$48))*Impacts!$F$13,IF(('Loading-drum,tote'!$C$21)&lt;&gt;"No control",SUMIF(('Loading-drum,tote'!$B$31:$B$48),$J1386,('Loading-drum,tote'!$E$31:$E$48))*Impacts!$F$13,0)),0)</f>
        <v>0</v>
      </c>
      <c r="R1386" s="10">
        <f>IFERROR(IF(('Loading-truck'!$C$21)="No control",SUMIF(('Loading-truck'!$B$31:$B$48),$J1386,('Loading-truck'!$D$31:$D$48))*Impacts!$F$14,IF(('Loading-truck'!$C$21)&lt;&gt;"No control",SUMIF(('Loading-truck'!$B$31:$B$48),$J1386,('Loading-truck'!$E$31:$E$48))*Impacts!$F$14,0)),0)</f>
        <v>0</v>
      </c>
      <c r="S1386" s="10">
        <f>IFERROR(IF(('Loading-rail'!$C$21)="No control",SUMIF(('Loading-rail'!$B$31:$B$48),$J1386,('Loading-rail'!$D$31:$D$48))*Impacts!$F$15,IF(('Loading-rail'!$C$21)&lt;&gt;"No control",SUMIF(('Loading-rail'!$B$31:$B$48),$J1386,('Loading-rail'!$E$31:$E$48))*Impacts!$F$15,0)),0)</f>
        <v>0</v>
      </c>
      <c r="T1386" s="10">
        <f>IF(Flare!$C$7="",0,(SUMIF(Flare!$B$46:$B$185,$J1386,Flare!$E$46:$E$185)*Impacts!$F$16))</f>
        <v>0</v>
      </c>
      <c r="U1386" s="10">
        <f>IF(VCU!$C$9="",0,(SUMIF(VCU!$B$51:$B$193,$J1386,VCU!$E$51:$E$193)*Impacts!$F$17))</f>
        <v>0</v>
      </c>
      <c r="V1386" s="10">
        <f>IF(CAS!$C$7="",0,(SUMIF(CAS!$B$31:$B$167,$J1386,CAS!$E$31:$E$167)*Impacts!$F$18))</f>
        <v>0</v>
      </c>
      <c r="W1386" s="10">
        <f t="shared" si="62"/>
        <v>0</v>
      </c>
      <c r="AK1386" s="10" t="str">
        <f t="array" ref="AK1386">IFERROR(INDEX(SelectedSpecies,SMALL(IF(SelectedSpecies=AK$1,ROW(SelectedSpecies)),ROW(1387:1387)),2),"")</f>
        <v/>
      </c>
      <c r="BE1386" s="10"/>
      <c r="BI1386" s="10"/>
    </row>
    <row r="1387" spans="1:61" ht="21" customHeight="1" x14ac:dyDescent="0.25">
      <c r="A1387" s="10"/>
      <c r="B1387" s="10"/>
      <c r="E1387" s="10"/>
      <c r="G1387" s="10"/>
      <c r="I1387" s="436" t="s">
        <v>7908</v>
      </c>
      <c r="J1387" s="26" t="s">
        <v>7907</v>
      </c>
      <c r="K1387" s="10">
        <v>0.05</v>
      </c>
      <c r="L1387" s="73">
        <f>IF(Tank1!$C$23="No control",(SUMIF(Tank1!$B$32:$B$49,$J1387,Tank1!$C$32:$C$49)*Impacts!$F$8),0)</f>
        <v>0</v>
      </c>
      <c r="M1387" s="10">
        <f>IF(Tank2!$C$23="No control",(SUMIF(Tank2!$B$32:$B$49,$J1387,Tank2!$C$32:$C$49)*Impacts!$F$9),0)</f>
        <v>0</v>
      </c>
      <c r="N1387" s="10">
        <f>IF(Tank3!$C$23="No control",(SUMIF(Tank3!$B$32:$B$49,$J1387,Tank3!$C$32:$C$49)*Impacts!$F$10),0)</f>
        <v>0</v>
      </c>
      <c r="O1387" s="10">
        <f>IF(Tank4!$C$23="No control",(SUMIF(Tank4!$B$32:$B$49,$J1387,Tank4!$C$32:$C$49)*Impacts!$F$11),0)</f>
        <v>0</v>
      </c>
      <c r="P1387" s="10">
        <f>IF(Tank5!$C$23="No control",(SUMIF(Tank5!$B$32:$B$49,$J1387,Tank5!$C$32:$C$49)*Impacts!$F$12),0)</f>
        <v>0</v>
      </c>
      <c r="Q1387" s="10">
        <f>IFERROR(IF(('Loading-drum,tote'!$C$21)="No control",SUMIF(('Loading-drum,tote'!$B$31:$B$48),$J1387,('Loading-drum,tote'!$D$31:$D$48))*Impacts!$F$13,IF(('Loading-drum,tote'!$C$21)&lt;&gt;"No control",SUMIF(('Loading-drum,tote'!$B$31:$B$48),$J1387,('Loading-drum,tote'!$E$31:$E$48))*Impacts!$F$13,0)),0)</f>
        <v>0</v>
      </c>
      <c r="R1387" s="10">
        <f>IFERROR(IF(('Loading-truck'!$C$21)="No control",SUMIF(('Loading-truck'!$B$31:$B$48),$J1387,('Loading-truck'!$D$31:$D$48))*Impacts!$F$14,IF(('Loading-truck'!$C$21)&lt;&gt;"No control",SUMIF(('Loading-truck'!$B$31:$B$48),$J1387,('Loading-truck'!$E$31:$E$48))*Impacts!$F$14,0)),0)</f>
        <v>0</v>
      </c>
      <c r="S1387" s="10">
        <f>IFERROR(IF(('Loading-rail'!$C$21)="No control",SUMIF(('Loading-rail'!$B$31:$B$48),$J1387,('Loading-rail'!$D$31:$D$48))*Impacts!$F$15,IF(('Loading-rail'!$C$21)&lt;&gt;"No control",SUMIF(('Loading-rail'!$B$31:$B$48),$J1387,('Loading-rail'!$E$31:$E$48))*Impacts!$F$15,0)),0)</f>
        <v>0</v>
      </c>
      <c r="T1387" s="10">
        <f>IF(Flare!$C$7="",0,(SUMIF(Flare!$B$46:$B$185,$J1387,Flare!$E$46:$E$185)*Impacts!$F$16))</f>
        <v>0</v>
      </c>
      <c r="U1387" s="10">
        <f>IF(VCU!$C$9="",0,(SUMIF(VCU!$B$51:$B$193,$J1387,VCU!$E$51:$E$193)*Impacts!$F$17))</f>
        <v>0</v>
      </c>
      <c r="V1387" s="10">
        <f>IF(CAS!$C$7="",0,(SUMIF(CAS!$B$31:$B$167,$J1387,CAS!$E$31:$E$167)*Impacts!$F$18))</f>
        <v>0</v>
      </c>
      <c r="W1387" s="10">
        <f t="shared" si="62"/>
        <v>0</v>
      </c>
      <c r="AK1387" s="10" t="str">
        <f t="array" ref="AK1387">IFERROR(INDEX(SelectedSpecies,SMALL(IF(SelectedSpecies=AK$1,ROW(SelectedSpecies)),ROW(1388:1388)),2),"")</f>
        <v/>
      </c>
      <c r="BE1387" s="10"/>
      <c r="BI1387" s="10"/>
    </row>
    <row r="1388" spans="1:61" ht="21" customHeight="1" x14ac:dyDescent="0.25">
      <c r="A1388" s="10"/>
      <c r="B1388" s="10"/>
      <c r="E1388" s="10"/>
      <c r="G1388" s="10"/>
      <c r="I1388" s="436" t="s">
        <v>8260</v>
      </c>
      <c r="J1388" s="26" t="s">
        <v>8259</v>
      </c>
      <c r="K1388" s="10">
        <v>5.000000000000001E-3</v>
      </c>
      <c r="L1388" s="73">
        <f>IF(Tank1!$C$23="No control",(SUMIF(Tank1!$B$32:$B$49,$J1388,Tank1!$C$32:$C$49)*Impacts!$F$8),0)</f>
        <v>0</v>
      </c>
      <c r="M1388" s="10">
        <f>IF(Tank2!$C$23="No control",(SUMIF(Tank2!$B$32:$B$49,$J1388,Tank2!$C$32:$C$49)*Impacts!$F$9),0)</f>
        <v>0</v>
      </c>
      <c r="N1388" s="10">
        <f>IF(Tank3!$C$23="No control",(SUMIF(Tank3!$B$32:$B$49,$J1388,Tank3!$C$32:$C$49)*Impacts!$F$10),0)</f>
        <v>0</v>
      </c>
      <c r="O1388" s="10">
        <f>IF(Tank4!$C$23="No control",(SUMIF(Tank4!$B$32:$B$49,$J1388,Tank4!$C$32:$C$49)*Impacts!$F$11),0)</f>
        <v>0</v>
      </c>
      <c r="P1388" s="10">
        <f>IF(Tank5!$C$23="No control",(SUMIF(Tank5!$B$32:$B$49,$J1388,Tank5!$C$32:$C$49)*Impacts!$F$12),0)</f>
        <v>0</v>
      </c>
      <c r="Q1388" s="10">
        <f>IFERROR(IF(('Loading-drum,tote'!$C$21)="No control",SUMIF(('Loading-drum,tote'!$B$31:$B$48),$J1388,('Loading-drum,tote'!$D$31:$D$48))*Impacts!$F$13,IF(('Loading-drum,tote'!$C$21)&lt;&gt;"No control",SUMIF(('Loading-drum,tote'!$B$31:$B$48),$J1388,('Loading-drum,tote'!$E$31:$E$48))*Impacts!$F$13,0)),0)</f>
        <v>0</v>
      </c>
      <c r="R1388" s="10">
        <f>IFERROR(IF(('Loading-truck'!$C$21)="No control",SUMIF(('Loading-truck'!$B$31:$B$48),$J1388,('Loading-truck'!$D$31:$D$48))*Impacts!$F$14,IF(('Loading-truck'!$C$21)&lt;&gt;"No control",SUMIF(('Loading-truck'!$B$31:$B$48),$J1388,('Loading-truck'!$E$31:$E$48))*Impacts!$F$14,0)),0)</f>
        <v>0</v>
      </c>
      <c r="S1388" s="10">
        <f>IFERROR(IF(('Loading-rail'!$C$21)="No control",SUMIF(('Loading-rail'!$B$31:$B$48),$J1388,('Loading-rail'!$D$31:$D$48))*Impacts!$F$15,IF(('Loading-rail'!$C$21)&lt;&gt;"No control",SUMIF(('Loading-rail'!$B$31:$B$48),$J1388,('Loading-rail'!$E$31:$E$48))*Impacts!$F$15,0)),0)</f>
        <v>0</v>
      </c>
      <c r="T1388" s="10">
        <f>IF(Flare!$C$7="",0,(SUMIF(Flare!$B$46:$B$185,$J1388,Flare!$E$46:$E$185)*Impacts!$F$16))</f>
        <v>0</v>
      </c>
      <c r="U1388" s="10">
        <f>IF(VCU!$C$9="",0,(SUMIF(VCU!$B$51:$B$193,$J1388,VCU!$E$51:$E$193)*Impacts!$F$17))</f>
        <v>0</v>
      </c>
      <c r="V1388" s="10">
        <f>IF(CAS!$C$7="",0,(SUMIF(CAS!$B$31:$B$167,$J1388,CAS!$E$31:$E$167)*Impacts!$F$18))</f>
        <v>0</v>
      </c>
      <c r="W1388" s="10">
        <f t="shared" si="62"/>
        <v>0</v>
      </c>
      <c r="AK1388" s="10" t="str">
        <f t="array" ref="AK1388">IFERROR(INDEX(SelectedSpecies,SMALL(IF(SelectedSpecies=AK$1,ROW(SelectedSpecies)),ROW(1389:1389)),2),"")</f>
        <v/>
      </c>
      <c r="BE1388" s="10"/>
      <c r="BI1388" s="10"/>
    </row>
    <row r="1389" spans="1:61" ht="21" customHeight="1" x14ac:dyDescent="0.25">
      <c r="A1389" s="10"/>
      <c r="B1389" s="10"/>
      <c r="E1389" s="10"/>
      <c r="G1389" s="10"/>
      <c r="I1389" s="436" t="s">
        <v>5836</v>
      </c>
      <c r="J1389" s="26" t="s">
        <v>5835</v>
      </c>
      <c r="K1389" s="10">
        <v>1</v>
      </c>
      <c r="L1389" s="73">
        <f>IF(Tank1!$C$23="No control",(SUMIF(Tank1!$B$32:$B$49,$J1389,Tank1!$C$32:$C$49)*Impacts!$F$8),0)</f>
        <v>0</v>
      </c>
      <c r="M1389" s="10">
        <f>IF(Tank2!$C$23="No control",(SUMIF(Tank2!$B$32:$B$49,$J1389,Tank2!$C$32:$C$49)*Impacts!$F$9),0)</f>
        <v>0</v>
      </c>
      <c r="N1389" s="10">
        <f>IF(Tank3!$C$23="No control",(SUMIF(Tank3!$B$32:$B$49,$J1389,Tank3!$C$32:$C$49)*Impacts!$F$10),0)</f>
        <v>0</v>
      </c>
      <c r="O1389" s="10">
        <f>IF(Tank4!$C$23="No control",(SUMIF(Tank4!$B$32:$B$49,$J1389,Tank4!$C$32:$C$49)*Impacts!$F$11),0)</f>
        <v>0</v>
      </c>
      <c r="P1389" s="10">
        <f>IF(Tank5!$C$23="No control",(SUMIF(Tank5!$B$32:$B$49,$J1389,Tank5!$C$32:$C$49)*Impacts!$F$12),0)</f>
        <v>0</v>
      </c>
      <c r="Q1389" s="10">
        <f>IFERROR(IF(('Loading-drum,tote'!$C$21)="No control",SUMIF(('Loading-drum,tote'!$B$31:$B$48),$J1389,('Loading-drum,tote'!$D$31:$D$48))*Impacts!$F$13,IF(('Loading-drum,tote'!$C$21)&lt;&gt;"No control",SUMIF(('Loading-drum,tote'!$B$31:$B$48),$J1389,('Loading-drum,tote'!$E$31:$E$48))*Impacts!$F$13,0)),0)</f>
        <v>0</v>
      </c>
      <c r="R1389" s="10">
        <f>IFERROR(IF(('Loading-truck'!$C$21)="No control",SUMIF(('Loading-truck'!$B$31:$B$48),$J1389,('Loading-truck'!$D$31:$D$48))*Impacts!$F$14,IF(('Loading-truck'!$C$21)&lt;&gt;"No control",SUMIF(('Loading-truck'!$B$31:$B$48),$J1389,('Loading-truck'!$E$31:$E$48))*Impacts!$F$14,0)),0)</f>
        <v>0</v>
      </c>
      <c r="S1389" s="10">
        <f>IFERROR(IF(('Loading-rail'!$C$21)="No control",SUMIF(('Loading-rail'!$B$31:$B$48),$J1389,('Loading-rail'!$D$31:$D$48))*Impacts!$F$15,IF(('Loading-rail'!$C$21)&lt;&gt;"No control",SUMIF(('Loading-rail'!$B$31:$B$48),$J1389,('Loading-rail'!$E$31:$E$48))*Impacts!$F$15,0)),0)</f>
        <v>0</v>
      </c>
      <c r="T1389" s="10">
        <f>IF(Flare!$C$7="",0,(SUMIF(Flare!$B$46:$B$185,$J1389,Flare!$E$46:$E$185)*Impacts!$F$16))</f>
        <v>0</v>
      </c>
      <c r="U1389" s="10">
        <f>IF(VCU!$C$9="",0,(SUMIF(VCU!$B$51:$B$193,$J1389,VCU!$E$51:$E$193)*Impacts!$F$17))</f>
        <v>0</v>
      </c>
      <c r="V1389" s="10">
        <f>IF(CAS!$C$7="",0,(SUMIF(CAS!$B$31:$B$167,$J1389,CAS!$E$31:$E$167)*Impacts!$F$18))</f>
        <v>0</v>
      </c>
      <c r="W1389" s="10">
        <f t="shared" si="62"/>
        <v>0</v>
      </c>
      <c r="AK1389" s="10" t="str">
        <f t="array" ref="AK1389">IFERROR(INDEX(SelectedSpecies,SMALL(IF(SelectedSpecies=AK$1,ROW(SelectedSpecies)),ROW(1390:1390)),2),"")</f>
        <v/>
      </c>
      <c r="BE1389" s="10"/>
      <c r="BI1389" s="10"/>
    </row>
    <row r="1390" spans="1:61" ht="21" customHeight="1" x14ac:dyDescent="0.25">
      <c r="A1390" s="10"/>
      <c r="B1390" s="10"/>
      <c r="E1390" s="10"/>
      <c r="G1390" s="10"/>
      <c r="I1390" s="436" t="s">
        <v>7724</v>
      </c>
      <c r="J1390" s="26" t="s">
        <v>7723</v>
      </c>
      <c r="K1390" s="10">
        <v>0.1</v>
      </c>
      <c r="L1390" s="73">
        <f>IF(Tank1!$C$23="No control",(SUMIF(Tank1!$B$32:$B$49,$J1390,Tank1!$C$32:$C$49)*Impacts!$F$8),0)</f>
        <v>0</v>
      </c>
      <c r="M1390" s="10">
        <f>IF(Tank2!$C$23="No control",(SUMIF(Tank2!$B$32:$B$49,$J1390,Tank2!$C$32:$C$49)*Impacts!$F$9),0)</f>
        <v>0</v>
      </c>
      <c r="N1390" s="10">
        <f>IF(Tank3!$C$23="No control",(SUMIF(Tank3!$B$32:$B$49,$J1390,Tank3!$C$32:$C$49)*Impacts!$F$10),0)</f>
        <v>0</v>
      </c>
      <c r="O1390" s="10">
        <f>IF(Tank4!$C$23="No control",(SUMIF(Tank4!$B$32:$B$49,$J1390,Tank4!$C$32:$C$49)*Impacts!$F$11),0)</f>
        <v>0</v>
      </c>
      <c r="P1390" s="10">
        <f>IF(Tank5!$C$23="No control",(SUMIF(Tank5!$B$32:$B$49,$J1390,Tank5!$C$32:$C$49)*Impacts!$F$12),0)</f>
        <v>0</v>
      </c>
      <c r="Q1390" s="10">
        <f>IFERROR(IF(('Loading-drum,tote'!$C$21)="No control",SUMIF(('Loading-drum,tote'!$B$31:$B$48),$J1390,('Loading-drum,tote'!$D$31:$D$48))*Impacts!$F$13,IF(('Loading-drum,tote'!$C$21)&lt;&gt;"No control",SUMIF(('Loading-drum,tote'!$B$31:$B$48),$J1390,('Loading-drum,tote'!$E$31:$E$48))*Impacts!$F$13,0)),0)</f>
        <v>0</v>
      </c>
      <c r="R1390" s="10">
        <f>IFERROR(IF(('Loading-truck'!$C$21)="No control",SUMIF(('Loading-truck'!$B$31:$B$48),$J1390,('Loading-truck'!$D$31:$D$48))*Impacts!$F$14,IF(('Loading-truck'!$C$21)&lt;&gt;"No control",SUMIF(('Loading-truck'!$B$31:$B$48),$J1390,('Loading-truck'!$E$31:$E$48))*Impacts!$F$14,0)),0)</f>
        <v>0</v>
      </c>
      <c r="S1390" s="10">
        <f>IFERROR(IF(('Loading-rail'!$C$21)="No control",SUMIF(('Loading-rail'!$B$31:$B$48),$J1390,('Loading-rail'!$D$31:$D$48))*Impacts!$F$15,IF(('Loading-rail'!$C$21)&lt;&gt;"No control",SUMIF(('Loading-rail'!$B$31:$B$48),$J1390,('Loading-rail'!$E$31:$E$48))*Impacts!$F$15,0)),0)</f>
        <v>0</v>
      </c>
      <c r="T1390" s="10">
        <f>IF(Flare!$C$7="",0,(SUMIF(Flare!$B$46:$B$185,$J1390,Flare!$E$46:$E$185)*Impacts!$F$16))</f>
        <v>0</v>
      </c>
      <c r="U1390" s="10">
        <f>IF(VCU!$C$9="",0,(SUMIF(VCU!$B$51:$B$193,$J1390,VCU!$E$51:$E$193)*Impacts!$F$17))</f>
        <v>0</v>
      </c>
      <c r="V1390" s="10">
        <f>IF(CAS!$C$7="",0,(SUMIF(CAS!$B$31:$B$167,$J1390,CAS!$E$31:$E$167)*Impacts!$F$18))</f>
        <v>0</v>
      </c>
      <c r="W1390" s="10">
        <f t="shared" si="62"/>
        <v>0</v>
      </c>
      <c r="AK1390" s="10" t="str">
        <f t="array" ref="AK1390">IFERROR(INDEX(SelectedSpecies,SMALL(IF(SelectedSpecies=AK$1,ROW(SelectedSpecies)),ROW(1391:1391)),2),"")</f>
        <v/>
      </c>
      <c r="BE1390" s="10"/>
      <c r="BI1390" s="10"/>
    </row>
    <row r="1391" spans="1:61" ht="21" customHeight="1" x14ac:dyDescent="0.25">
      <c r="A1391" s="10"/>
      <c r="B1391" s="10"/>
      <c r="E1391" s="10"/>
      <c r="G1391" s="10"/>
      <c r="I1391" s="436" t="s">
        <v>1212</v>
      </c>
      <c r="J1391" s="26" t="s">
        <v>1211</v>
      </c>
      <c r="K1391" s="10">
        <v>34.4</v>
      </c>
      <c r="L1391" s="73">
        <f>IF(Tank1!$C$23="No control",(SUMIF(Tank1!$B$32:$B$49,$J1391,Tank1!$C$32:$C$49)*Impacts!$F$8),0)</f>
        <v>0</v>
      </c>
      <c r="M1391" s="10">
        <f>IF(Tank2!$C$23="No control",(SUMIF(Tank2!$B$32:$B$49,$J1391,Tank2!$C$32:$C$49)*Impacts!$F$9),0)</f>
        <v>0</v>
      </c>
      <c r="N1391" s="10">
        <f>IF(Tank3!$C$23="No control",(SUMIF(Tank3!$B$32:$B$49,$J1391,Tank3!$C$32:$C$49)*Impacts!$F$10),0)</f>
        <v>0</v>
      </c>
      <c r="O1391" s="10">
        <f>IF(Tank4!$C$23="No control",(SUMIF(Tank4!$B$32:$B$49,$J1391,Tank4!$C$32:$C$49)*Impacts!$F$11),0)</f>
        <v>0</v>
      </c>
      <c r="P1391" s="10">
        <f>IF(Tank5!$C$23="No control",(SUMIF(Tank5!$B$32:$B$49,$J1391,Tank5!$C$32:$C$49)*Impacts!$F$12),0)</f>
        <v>0</v>
      </c>
      <c r="Q1391" s="10">
        <f>IFERROR(IF(('Loading-drum,tote'!$C$21)="No control",SUMIF(('Loading-drum,tote'!$B$31:$B$48),$J1391,('Loading-drum,tote'!$D$31:$D$48))*Impacts!$F$13,IF(('Loading-drum,tote'!$C$21)&lt;&gt;"No control",SUMIF(('Loading-drum,tote'!$B$31:$B$48),$J1391,('Loading-drum,tote'!$E$31:$E$48))*Impacts!$F$13,0)),0)</f>
        <v>0</v>
      </c>
      <c r="R1391" s="10">
        <f>IFERROR(IF(('Loading-truck'!$C$21)="No control",SUMIF(('Loading-truck'!$B$31:$B$48),$J1391,('Loading-truck'!$D$31:$D$48))*Impacts!$F$14,IF(('Loading-truck'!$C$21)&lt;&gt;"No control",SUMIF(('Loading-truck'!$B$31:$B$48),$J1391,('Loading-truck'!$E$31:$E$48))*Impacts!$F$14,0)),0)</f>
        <v>0</v>
      </c>
      <c r="S1391" s="10">
        <f>IFERROR(IF(('Loading-rail'!$C$21)="No control",SUMIF(('Loading-rail'!$B$31:$B$48),$J1391,('Loading-rail'!$D$31:$D$48))*Impacts!$F$15,IF(('Loading-rail'!$C$21)&lt;&gt;"No control",SUMIF(('Loading-rail'!$B$31:$B$48),$J1391,('Loading-rail'!$E$31:$E$48))*Impacts!$F$15,0)),0)</f>
        <v>0</v>
      </c>
      <c r="T1391" s="10">
        <f>IF(Flare!$C$7="",0,(SUMIF(Flare!$B$46:$B$185,$J1391,Flare!$E$46:$E$185)*Impacts!$F$16))</f>
        <v>0</v>
      </c>
      <c r="U1391" s="10">
        <f>IF(VCU!$C$9="",0,(SUMIF(VCU!$B$51:$B$193,$J1391,VCU!$E$51:$E$193)*Impacts!$F$17))</f>
        <v>0</v>
      </c>
      <c r="V1391" s="10">
        <f>IF(CAS!$C$7="",0,(SUMIF(CAS!$B$31:$B$167,$J1391,CAS!$E$31:$E$167)*Impacts!$F$18))</f>
        <v>0</v>
      </c>
      <c r="W1391" s="10">
        <f t="shared" si="62"/>
        <v>0</v>
      </c>
      <c r="AK1391" s="10" t="str">
        <f t="array" ref="AK1391">IFERROR(INDEX(SelectedSpecies,SMALL(IF(SelectedSpecies=AK$1,ROW(SelectedSpecies)),ROW(1392:1392)),2),"")</f>
        <v/>
      </c>
      <c r="BE1391" s="10"/>
      <c r="BI1391" s="10"/>
    </row>
    <row r="1392" spans="1:61" ht="21" customHeight="1" x14ac:dyDescent="0.25">
      <c r="A1392" s="10"/>
      <c r="B1392" s="10"/>
      <c r="E1392" s="10"/>
      <c r="G1392" s="10"/>
      <c r="I1392" s="436" t="s">
        <v>7958</v>
      </c>
      <c r="J1392" s="26" t="s">
        <v>7957</v>
      </c>
      <c r="K1392" s="10">
        <v>4.2000000000000003E-2</v>
      </c>
      <c r="L1392" s="73">
        <f>IF(Tank1!$C$23="No control",(SUMIF(Tank1!$B$32:$B$49,$J1392,Tank1!$C$32:$C$49)*Impacts!$F$8),0)</f>
        <v>0</v>
      </c>
      <c r="M1392" s="10">
        <f>IF(Tank2!$C$23="No control",(SUMIF(Tank2!$B$32:$B$49,$J1392,Tank2!$C$32:$C$49)*Impacts!$F$9),0)</f>
        <v>0</v>
      </c>
      <c r="N1392" s="10">
        <f>IF(Tank3!$C$23="No control",(SUMIF(Tank3!$B$32:$B$49,$J1392,Tank3!$C$32:$C$49)*Impacts!$F$10),0)</f>
        <v>0</v>
      </c>
      <c r="O1392" s="10">
        <f>IF(Tank4!$C$23="No control",(SUMIF(Tank4!$B$32:$B$49,$J1392,Tank4!$C$32:$C$49)*Impacts!$F$11),0)</f>
        <v>0</v>
      </c>
      <c r="P1392" s="10">
        <f>IF(Tank5!$C$23="No control",(SUMIF(Tank5!$B$32:$B$49,$J1392,Tank5!$C$32:$C$49)*Impacts!$F$12),0)</f>
        <v>0</v>
      </c>
      <c r="Q1392" s="10">
        <f>IFERROR(IF(('Loading-drum,tote'!$C$21)="No control",SUMIF(('Loading-drum,tote'!$B$31:$B$48),$J1392,('Loading-drum,tote'!$D$31:$D$48))*Impacts!$F$13,IF(('Loading-drum,tote'!$C$21)&lt;&gt;"No control",SUMIF(('Loading-drum,tote'!$B$31:$B$48),$J1392,('Loading-drum,tote'!$E$31:$E$48))*Impacts!$F$13,0)),0)</f>
        <v>0</v>
      </c>
      <c r="R1392" s="10">
        <f>IFERROR(IF(('Loading-truck'!$C$21)="No control",SUMIF(('Loading-truck'!$B$31:$B$48),$J1392,('Loading-truck'!$D$31:$D$48))*Impacts!$F$14,IF(('Loading-truck'!$C$21)&lt;&gt;"No control",SUMIF(('Loading-truck'!$B$31:$B$48),$J1392,('Loading-truck'!$E$31:$E$48))*Impacts!$F$14,0)),0)</f>
        <v>0</v>
      </c>
      <c r="S1392" s="10">
        <f>IFERROR(IF(('Loading-rail'!$C$21)="No control",SUMIF(('Loading-rail'!$B$31:$B$48),$J1392,('Loading-rail'!$D$31:$D$48))*Impacts!$F$15,IF(('Loading-rail'!$C$21)&lt;&gt;"No control",SUMIF(('Loading-rail'!$B$31:$B$48),$J1392,('Loading-rail'!$E$31:$E$48))*Impacts!$F$15,0)),0)</f>
        <v>0</v>
      </c>
      <c r="T1392" s="10">
        <f>IF(Flare!$C$7="",0,(SUMIF(Flare!$B$46:$B$185,$J1392,Flare!$E$46:$E$185)*Impacts!$F$16))</f>
        <v>0</v>
      </c>
      <c r="U1392" s="10">
        <f>IF(VCU!$C$9="",0,(SUMIF(VCU!$B$51:$B$193,$J1392,VCU!$E$51:$E$193)*Impacts!$F$17))</f>
        <v>0</v>
      </c>
      <c r="V1392" s="10">
        <f>IF(CAS!$C$7="",0,(SUMIF(CAS!$B$31:$B$167,$J1392,CAS!$E$31:$E$167)*Impacts!$F$18))</f>
        <v>0</v>
      </c>
      <c r="W1392" s="10">
        <f t="shared" si="62"/>
        <v>0</v>
      </c>
      <c r="AK1392" s="10" t="str">
        <f t="array" ref="AK1392">IFERROR(INDEX(SelectedSpecies,SMALL(IF(SelectedSpecies=AK$1,ROW(SelectedSpecies)),ROW(1393:1393)),2),"")</f>
        <v/>
      </c>
      <c r="BE1392" s="10"/>
      <c r="BI1392" s="10"/>
    </row>
    <row r="1393" spans="1:61" ht="21" customHeight="1" x14ac:dyDescent="0.25">
      <c r="A1393" s="10"/>
      <c r="B1393" s="10"/>
      <c r="E1393" s="10"/>
      <c r="G1393" s="10"/>
      <c r="I1393" s="436" t="s">
        <v>5563</v>
      </c>
      <c r="J1393" s="26" t="s">
        <v>5562</v>
      </c>
      <c r="K1393" s="10">
        <v>1.2000000000000002</v>
      </c>
      <c r="L1393" s="73">
        <f>IF(Tank1!$C$23="No control",(SUMIF(Tank1!$B$32:$B$49,$J1393,Tank1!$C$32:$C$49)*Impacts!$F$8),0)</f>
        <v>0</v>
      </c>
      <c r="M1393" s="10">
        <f>IF(Tank2!$C$23="No control",(SUMIF(Tank2!$B$32:$B$49,$J1393,Tank2!$C$32:$C$49)*Impacts!$F$9),0)</f>
        <v>0</v>
      </c>
      <c r="N1393" s="10">
        <f>IF(Tank3!$C$23="No control",(SUMIF(Tank3!$B$32:$B$49,$J1393,Tank3!$C$32:$C$49)*Impacts!$F$10),0)</f>
        <v>0</v>
      </c>
      <c r="O1393" s="10">
        <f>IF(Tank4!$C$23="No control",(SUMIF(Tank4!$B$32:$B$49,$J1393,Tank4!$C$32:$C$49)*Impacts!$F$11),0)</f>
        <v>0</v>
      </c>
      <c r="P1393" s="10">
        <f>IF(Tank5!$C$23="No control",(SUMIF(Tank5!$B$32:$B$49,$J1393,Tank5!$C$32:$C$49)*Impacts!$F$12),0)</f>
        <v>0</v>
      </c>
      <c r="Q1393" s="10">
        <f>IFERROR(IF(('Loading-drum,tote'!$C$21)="No control",SUMIF(('Loading-drum,tote'!$B$31:$B$48),$J1393,('Loading-drum,tote'!$D$31:$D$48))*Impacts!$F$13,IF(('Loading-drum,tote'!$C$21)&lt;&gt;"No control",SUMIF(('Loading-drum,tote'!$B$31:$B$48),$J1393,('Loading-drum,tote'!$E$31:$E$48))*Impacts!$F$13,0)),0)</f>
        <v>0</v>
      </c>
      <c r="R1393" s="10">
        <f>IFERROR(IF(('Loading-truck'!$C$21)="No control",SUMIF(('Loading-truck'!$B$31:$B$48),$J1393,('Loading-truck'!$D$31:$D$48))*Impacts!$F$14,IF(('Loading-truck'!$C$21)&lt;&gt;"No control",SUMIF(('Loading-truck'!$B$31:$B$48),$J1393,('Loading-truck'!$E$31:$E$48))*Impacts!$F$14,0)),0)</f>
        <v>0</v>
      </c>
      <c r="S1393" s="10">
        <f>IFERROR(IF(('Loading-rail'!$C$21)="No control",SUMIF(('Loading-rail'!$B$31:$B$48),$J1393,('Loading-rail'!$D$31:$D$48))*Impacts!$F$15,IF(('Loading-rail'!$C$21)&lt;&gt;"No control",SUMIF(('Loading-rail'!$B$31:$B$48),$J1393,('Loading-rail'!$E$31:$E$48))*Impacts!$F$15,0)),0)</f>
        <v>0</v>
      </c>
      <c r="T1393" s="10">
        <f>IF(Flare!$C$7="",0,(SUMIF(Flare!$B$46:$B$185,$J1393,Flare!$E$46:$E$185)*Impacts!$F$16))</f>
        <v>0</v>
      </c>
      <c r="U1393" s="10">
        <f>IF(VCU!$C$9="",0,(SUMIF(VCU!$B$51:$B$193,$J1393,VCU!$E$51:$E$193)*Impacts!$F$17))</f>
        <v>0</v>
      </c>
      <c r="V1393" s="10">
        <f>IF(CAS!$C$7="",0,(SUMIF(CAS!$B$31:$B$167,$J1393,CAS!$E$31:$E$167)*Impacts!$F$18))</f>
        <v>0</v>
      </c>
      <c r="W1393" s="10">
        <f t="shared" si="62"/>
        <v>0</v>
      </c>
      <c r="AK1393" s="10" t="str">
        <f t="array" ref="AK1393">IFERROR(INDEX(SelectedSpecies,SMALL(IF(SelectedSpecies=AK$1,ROW(SelectedSpecies)),ROW(1394:1394)),2),"")</f>
        <v/>
      </c>
      <c r="BE1393" s="10"/>
      <c r="BI1393" s="10"/>
    </row>
    <row r="1394" spans="1:61" ht="21" customHeight="1" x14ac:dyDescent="0.25">
      <c r="A1394" s="10"/>
      <c r="B1394" s="10"/>
      <c r="E1394" s="10"/>
      <c r="G1394" s="10"/>
      <c r="I1394" s="436" t="s">
        <v>5415</v>
      </c>
      <c r="J1394" s="26" t="s">
        <v>5414</v>
      </c>
      <c r="K1394" s="10">
        <v>1.4000000000000001</v>
      </c>
      <c r="L1394" s="73">
        <f>IF(Tank1!$C$23="No control",(SUMIF(Tank1!$B$32:$B$49,$J1394,Tank1!$C$32:$C$49)*Impacts!$F$8),0)</f>
        <v>0</v>
      </c>
      <c r="M1394" s="10">
        <f>IF(Tank2!$C$23="No control",(SUMIF(Tank2!$B$32:$B$49,$J1394,Tank2!$C$32:$C$49)*Impacts!$F$9),0)</f>
        <v>0</v>
      </c>
      <c r="N1394" s="10">
        <f>IF(Tank3!$C$23="No control",(SUMIF(Tank3!$B$32:$B$49,$J1394,Tank3!$C$32:$C$49)*Impacts!$F$10),0)</f>
        <v>0</v>
      </c>
      <c r="O1394" s="10">
        <f>IF(Tank4!$C$23="No control",(SUMIF(Tank4!$B$32:$B$49,$J1394,Tank4!$C$32:$C$49)*Impacts!$F$11),0)</f>
        <v>0</v>
      </c>
      <c r="P1394" s="10">
        <f>IF(Tank5!$C$23="No control",(SUMIF(Tank5!$B$32:$B$49,$J1394,Tank5!$C$32:$C$49)*Impacts!$F$12),0)</f>
        <v>0</v>
      </c>
      <c r="Q1394" s="10">
        <f>IFERROR(IF(('Loading-drum,tote'!$C$21)="No control",SUMIF(('Loading-drum,tote'!$B$31:$B$48),$J1394,('Loading-drum,tote'!$D$31:$D$48))*Impacts!$F$13,IF(('Loading-drum,tote'!$C$21)&lt;&gt;"No control",SUMIF(('Loading-drum,tote'!$B$31:$B$48),$J1394,('Loading-drum,tote'!$E$31:$E$48))*Impacts!$F$13,0)),0)</f>
        <v>0</v>
      </c>
      <c r="R1394" s="10">
        <f>IFERROR(IF(('Loading-truck'!$C$21)="No control",SUMIF(('Loading-truck'!$B$31:$B$48),$J1394,('Loading-truck'!$D$31:$D$48))*Impacts!$F$14,IF(('Loading-truck'!$C$21)&lt;&gt;"No control",SUMIF(('Loading-truck'!$B$31:$B$48),$J1394,('Loading-truck'!$E$31:$E$48))*Impacts!$F$14,0)),0)</f>
        <v>0</v>
      </c>
      <c r="S1394" s="10">
        <f>IFERROR(IF(('Loading-rail'!$C$21)="No control",SUMIF(('Loading-rail'!$B$31:$B$48),$J1394,('Loading-rail'!$D$31:$D$48))*Impacts!$F$15,IF(('Loading-rail'!$C$21)&lt;&gt;"No control",SUMIF(('Loading-rail'!$B$31:$B$48),$J1394,('Loading-rail'!$E$31:$E$48))*Impacts!$F$15,0)),0)</f>
        <v>0</v>
      </c>
      <c r="T1394" s="10">
        <f>IF(Flare!$C$7="",0,(SUMIF(Flare!$B$46:$B$185,$J1394,Flare!$E$46:$E$185)*Impacts!$F$16))</f>
        <v>0</v>
      </c>
      <c r="U1394" s="10">
        <f>IF(VCU!$C$9="",0,(SUMIF(VCU!$B$51:$B$193,$J1394,VCU!$E$51:$E$193)*Impacts!$F$17))</f>
        <v>0</v>
      </c>
      <c r="V1394" s="10">
        <f>IF(CAS!$C$7="",0,(SUMIF(CAS!$B$31:$B$167,$J1394,CAS!$E$31:$E$167)*Impacts!$F$18))</f>
        <v>0</v>
      </c>
      <c r="W1394" s="10">
        <f t="shared" si="62"/>
        <v>0</v>
      </c>
      <c r="AK1394" s="10" t="str">
        <f t="array" ref="AK1394">IFERROR(INDEX(SelectedSpecies,SMALL(IF(SelectedSpecies=AK$1,ROW(SelectedSpecies)),ROW(1395:1395)),2),"")</f>
        <v/>
      </c>
      <c r="BE1394" s="10"/>
      <c r="BI1394" s="10"/>
    </row>
    <row r="1395" spans="1:61" ht="21" customHeight="1" x14ac:dyDescent="0.25">
      <c r="A1395" s="10"/>
      <c r="B1395" s="10"/>
      <c r="E1395" s="10"/>
      <c r="G1395" s="10"/>
      <c r="I1395" s="436" t="s">
        <v>5838</v>
      </c>
      <c r="J1395" s="26" t="s">
        <v>5837</v>
      </c>
      <c r="K1395" s="10">
        <v>1</v>
      </c>
      <c r="L1395" s="73">
        <f>IF(Tank1!$C$23="No control",(SUMIF(Tank1!$B$32:$B$49,$J1395,Tank1!$C$32:$C$49)*Impacts!$F$8),0)</f>
        <v>0</v>
      </c>
      <c r="M1395" s="10">
        <f>IF(Tank2!$C$23="No control",(SUMIF(Tank2!$B$32:$B$49,$J1395,Tank2!$C$32:$C$49)*Impacts!$F$9),0)</f>
        <v>0</v>
      </c>
      <c r="N1395" s="10">
        <f>IF(Tank3!$C$23="No control",(SUMIF(Tank3!$B$32:$B$49,$J1395,Tank3!$C$32:$C$49)*Impacts!$F$10),0)</f>
        <v>0</v>
      </c>
      <c r="O1395" s="10">
        <f>IF(Tank4!$C$23="No control",(SUMIF(Tank4!$B$32:$B$49,$J1395,Tank4!$C$32:$C$49)*Impacts!$F$11),0)</f>
        <v>0</v>
      </c>
      <c r="P1395" s="10">
        <f>IF(Tank5!$C$23="No control",(SUMIF(Tank5!$B$32:$B$49,$J1395,Tank5!$C$32:$C$49)*Impacts!$F$12),0)</f>
        <v>0</v>
      </c>
      <c r="Q1395" s="10">
        <f>IFERROR(IF(('Loading-drum,tote'!$C$21)="No control",SUMIF(('Loading-drum,tote'!$B$31:$B$48),$J1395,('Loading-drum,tote'!$D$31:$D$48))*Impacts!$F$13,IF(('Loading-drum,tote'!$C$21)&lt;&gt;"No control",SUMIF(('Loading-drum,tote'!$B$31:$B$48),$J1395,('Loading-drum,tote'!$E$31:$E$48))*Impacts!$F$13,0)),0)</f>
        <v>0</v>
      </c>
      <c r="R1395" s="10">
        <f>IFERROR(IF(('Loading-truck'!$C$21)="No control",SUMIF(('Loading-truck'!$B$31:$B$48),$J1395,('Loading-truck'!$D$31:$D$48))*Impacts!$F$14,IF(('Loading-truck'!$C$21)&lt;&gt;"No control",SUMIF(('Loading-truck'!$B$31:$B$48),$J1395,('Loading-truck'!$E$31:$E$48))*Impacts!$F$14,0)),0)</f>
        <v>0</v>
      </c>
      <c r="S1395" s="10">
        <f>IFERROR(IF(('Loading-rail'!$C$21)="No control",SUMIF(('Loading-rail'!$B$31:$B$48),$J1395,('Loading-rail'!$D$31:$D$48))*Impacts!$F$15,IF(('Loading-rail'!$C$21)&lt;&gt;"No control",SUMIF(('Loading-rail'!$B$31:$B$48),$J1395,('Loading-rail'!$E$31:$E$48))*Impacts!$F$15,0)),0)</f>
        <v>0</v>
      </c>
      <c r="T1395" s="10">
        <f>IF(Flare!$C$7="",0,(SUMIF(Flare!$B$46:$B$185,$J1395,Flare!$E$46:$E$185)*Impacts!$F$16))</f>
        <v>0</v>
      </c>
      <c r="U1395" s="10">
        <f>IF(VCU!$C$9="",0,(SUMIF(VCU!$B$51:$B$193,$J1395,VCU!$E$51:$E$193)*Impacts!$F$17))</f>
        <v>0</v>
      </c>
      <c r="V1395" s="10">
        <f>IF(CAS!$C$7="",0,(SUMIF(CAS!$B$31:$B$167,$J1395,CAS!$E$31:$E$167)*Impacts!$F$18))</f>
        <v>0</v>
      </c>
      <c r="W1395" s="10">
        <f t="shared" si="62"/>
        <v>0</v>
      </c>
      <c r="AK1395" s="10" t="str">
        <f t="array" ref="AK1395">IFERROR(INDEX(SelectedSpecies,SMALL(IF(SelectedSpecies=AK$1,ROW(SelectedSpecies)),ROW(1396:1396)),2),"")</f>
        <v/>
      </c>
      <c r="BE1395" s="10"/>
      <c r="BI1395" s="10"/>
    </row>
    <row r="1396" spans="1:61" ht="21" customHeight="1" x14ac:dyDescent="0.25">
      <c r="A1396" s="10"/>
      <c r="B1396" s="10"/>
      <c r="E1396" s="10"/>
      <c r="G1396" s="10"/>
      <c r="I1396" s="436" t="s">
        <v>2057</v>
      </c>
      <c r="J1396" s="26" t="s">
        <v>2056</v>
      </c>
      <c r="K1396" s="10">
        <v>15.600000000000001</v>
      </c>
      <c r="L1396" s="73">
        <f>IF(Tank1!$C$23="No control",(SUMIF(Tank1!$B$32:$B$49,$J1396,Tank1!$C$32:$C$49)*Impacts!$F$8),0)</f>
        <v>0</v>
      </c>
      <c r="M1396" s="10">
        <f>IF(Tank2!$C$23="No control",(SUMIF(Tank2!$B$32:$B$49,$J1396,Tank2!$C$32:$C$49)*Impacts!$F$9),0)</f>
        <v>0</v>
      </c>
      <c r="N1396" s="10">
        <f>IF(Tank3!$C$23="No control",(SUMIF(Tank3!$B$32:$B$49,$J1396,Tank3!$C$32:$C$49)*Impacts!$F$10),0)</f>
        <v>0</v>
      </c>
      <c r="O1396" s="10">
        <f>IF(Tank4!$C$23="No control",(SUMIF(Tank4!$B$32:$B$49,$J1396,Tank4!$C$32:$C$49)*Impacts!$F$11),0)</f>
        <v>0</v>
      </c>
      <c r="P1396" s="10">
        <f>IF(Tank5!$C$23="No control",(SUMIF(Tank5!$B$32:$B$49,$J1396,Tank5!$C$32:$C$49)*Impacts!$F$12),0)</f>
        <v>0</v>
      </c>
      <c r="Q1396" s="10">
        <f>IFERROR(IF(('Loading-drum,tote'!$C$21)="No control",SUMIF(('Loading-drum,tote'!$B$31:$B$48),$J1396,('Loading-drum,tote'!$D$31:$D$48))*Impacts!$F$13,IF(('Loading-drum,tote'!$C$21)&lt;&gt;"No control",SUMIF(('Loading-drum,tote'!$B$31:$B$48),$J1396,('Loading-drum,tote'!$E$31:$E$48))*Impacts!$F$13,0)),0)</f>
        <v>0</v>
      </c>
      <c r="R1396" s="10">
        <f>IFERROR(IF(('Loading-truck'!$C$21)="No control",SUMIF(('Loading-truck'!$B$31:$B$48),$J1396,('Loading-truck'!$D$31:$D$48))*Impacts!$F$14,IF(('Loading-truck'!$C$21)&lt;&gt;"No control",SUMIF(('Loading-truck'!$B$31:$B$48),$J1396,('Loading-truck'!$E$31:$E$48))*Impacts!$F$14,0)),0)</f>
        <v>0</v>
      </c>
      <c r="S1396" s="10">
        <f>IFERROR(IF(('Loading-rail'!$C$21)="No control",SUMIF(('Loading-rail'!$B$31:$B$48),$J1396,('Loading-rail'!$D$31:$D$48))*Impacts!$F$15,IF(('Loading-rail'!$C$21)&lt;&gt;"No control",SUMIF(('Loading-rail'!$B$31:$B$48),$J1396,('Loading-rail'!$E$31:$E$48))*Impacts!$F$15,0)),0)</f>
        <v>0</v>
      </c>
      <c r="T1396" s="10">
        <f>IF(Flare!$C$7="",0,(SUMIF(Flare!$B$46:$B$185,$J1396,Flare!$E$46:$E$185)*Impacts!$F$16))</f>
        <v>0</v>
      </c>
      <c r="U1396" s="10">
        <f>IF(VCU!$C$9="",0,(SUMIF(VCU!$B$51:$B$193,$J1396,VCU!$E$51:$E$193)*Impacts!$F$17))</f>
        <v>0</v>
      </c>
      <c r="V1396" s="10">
        <f>IF(CAS!$C$7="",0,(SUMIF(CAS!$B$31:$B$167,$J1396,CAS!$E$31:$E$167)*Impacts!$F$18))</f>
        <v>0</v>
      </c>
      <c r="W1396" s="10">
        <f t="shared" si="62"/>
        <v>0</v>
      </c>
      <c r="AK1396" s="10" t="str">
        <f t="array" ref="AK1396">IFERROR(INDEX(SelectedSpecies,SMALL(IF(SelectedSpecies=AK$1,ROW(SelectedSpecies)),ROW(1397:1397)),2),"")</f>
        <v/>
      </c>
      <c r="BE1396" s="10"/>
      <c r="BI1396" s="10"/>
    </row>
    <row r="1397" spans="1:61" ht="21" customHeight="1" x14ac:dyDescent="0.25">
      <c r="A1397" s="10"/>
      <c r="B1397" s="10"/>
      <c r="E1397" s="10"/>
      <c r="G1397" s="10"/>
      <c r="I1397" s="436" t="s">
        <v>4635</v>
      </c>
      <c r="J1397" s="26" t="s">
        <v>4634</v>
      </c>
      <c r="K1397" s="10">
        <v>4</v>
      </c>
      <c r="L1397" s="73">
        <f>IF(Tank1!$C$23="No control",(SUMIF(Tank1!$B$32:$B$49,$J1397,Tank1!$C$32:$C$49)*Impacts!$F$8),0)</f>
        <v>0</v>
      </c>
      <c r="M1397" s="10">
        <f>IF(Tank2!$C$23="No control",(SUMIF(Tank2!$B$32:$B$49,$J1397,Tank2!$C$32:$C$49)*Impacts!$F$9),0)</f>
        <v>0</v>
      </c>
      <c r="N1397" s="10">
        <f>IF(Tank3!$C$23="No control",(SUMIF(Tank3!$B$32:$B$49,$J1397,Tank3!$C$32:$C$49)*Impacts!$F$10),0)</f>
        <v>0</v>
      </c>
      <c r="O1397" s="10">
        <f>IF(Tank4!$C$23="No control",(SUMIF(Tank4!$B$32:$B$49,$J1397,Tank4!$C$32:$C$49)*Impacts!$F$11),0)</f>
        <v>0</v>
      </c>
      <c r="P1397" s="10">
        <f>IF(Tank5!$C$23="No control",(SUMIF(Tank5!$B$32:$B$49,$J1397,Tank5!$C$32:$C$49)*Impacts!$F$12),0)</f>
        <v>0</v>
      </c>
      <c r="Q1397" s="10">
        <f>IFERROR(IF(('Loading-drum,tote'!$C$21)="No control",SUMIF(('Loading-drum,tote'!$B$31:$B$48),$J1397,('Loading-drum,tote'!$D$31:$D$48))*Impacts!$F$13,IF(('Loading-drum,tote'!$C$21)&lt;&gt;"No control",SUMIF(('Loading-drum,tote'!$B$31:$B$48),$J1397,('Loading-drum,tote'!$E$31:$E$48))*Impacts!$F$13,0)),0)</f>
        <v>0</v>
      </c>
      <c r="R1397" s="10">
        <f>IFERROR(IF(('Loading-truck'!$C$21)="No control",SUMIF(('Loading-truck'!$B$31:$B$48),$J1397,('Loading-truck'!$D$31:$D$48))*Impacts!$F$14,IF(('Loading-truck'!$C$21)&lt;&gt;"No control",SUMIF(('Loading-truck'!$B$31:$B$48),$J1397,('Loading-truck'!$E$31:$E$48))*Impacts!$F$14,0)),0)</f>
        <v>0</v>
      </c>
      <c r="S1397" s="10">
        <f>IFERROR(IF(('Loading-rail'!$C$21)="No control",SUMIF(('Loading-rail'!$B$31:$B$48),$J1397,('Loading-rail'!$D$31:$D$48))*Impacts!$F$15,IF(('Loading-rail'!$C$21)&lt;&gt;"No control",SUMIF(('Loading-rail'!$B$31:$B$48),$J1397,('Loading-rail'!$E$31:$E$48))*Impacts!$F$15,0)),0)</f>
        <v>0</v>
      </c>
      <c r="T1397" s="10">
        <f>IF(Flare!$C$7="",0,(SUMIF(Flare!$B$46:$B$185,$J1397,Flare!$E$46:$E$185)*Impacts!$F$16))</f>
        <v>0</v>
      </c>
      <c r="U1397" s="10">
        <f>IF(VCU!$C$9="",0,(SUMIF(VCU!$B$51:$B$193,$J1397,VCU!$E$51:$E$193)*Impacts!$F$17))</f>
        <v>0</v>
      </c>
      <c r="V1397" s="10">
        <f>IF(CAS!$C$7="",0,(SUMIF(CAS!$B$31:$B$167,$J1397,CAS!$E$31:$E$167)*Impacts!$F$18))</f>
        <v>0</v>
      </c>
      <c r="W1397" s="10">
        <f t="shared" si="62"/>
        <v>0</v>
      </c>
      <c r="AK1397" s="10" t="str">
        <f t="array" ref="AK1397">IFERROR(INDEX(SelectedSpecies,SMALL(IF(SelectedSpecies=AK$1,ROW(SelectedSpecies)),ROW(1398:1398)),2),"")</f>
        <v/>
      </c>
      <c r="BE1397" s="10"/>
      <c r="BI1397" s="10"/>
    </row>
    <row r="1398" spans="1:61" ht="21" customHeight="1" x14ac:dyDescent="0.25">
      <c r="A1398" s="10"/>
      <c r="B1398" s="10"/>
      <c r="E1398" s="10"/>
      <c r="G1398" s="10"/>
      <c r="I1398" s="436" t="s">
        <v>7258</v>
      </c>
      <c r="J1398" s="26" t="s">
        <v>7257</v>
      </c>
      <c r="K1398" s="10">
        <v>0.30000000000000004</v>
      </c>
      <c r="L1398" s="73">
        <f>IF(Tank1!$C$23="No control",(SUMIF(Tank1!$B$32:$B$49,$J1398,Tank1!$C$32:$C$49)*Impacts!$F$8),0)</f>
        <v>0</v>
      </c>
      <c r="M1398" s="10">
        <f>IF(Tank2!$C$23="No control",(SUMIF(Tank2!$B$32:$B$49,$J1398,Tank2!$C$32:$C$49)*Impacts!$F$9),0)</f>
        <v>0</v>
      </c>
      <c r="N1398" s="10">
        <f>IF(Tank3!$C$23="No control",(SUMIF(Tank3!$B$32:$B$49,$J1398,Tank3!$C$32:$C$49)*Impacts!$F$10),0)</f>
        <v>0</v>
      </c>
      <c r="O1398" s="10">
        <f>IF(Tank4!$C$23="No control",(SUMIF(Tank4!$B$32:$B$49,$J1398,Tank4!$C$32:$C$49)*Impacts!$F$11),0)</f>
        <v>0</v>
      </c>
      <c r="P1398" s="10">
        <f>IF(Tank5!$C$23="No control",(SUMIF(Tank5!$B$32:$B$49,$J1398,Tank5!$C$32:$C$49)*Impacts!$F$12),0)</f>
        <v>0</v>
      </c>
      <c r="Q1398" s="10">
        <f>IFERROR(IF(('Loading-drum,tote'!$C$21)="No control",SUMIF(('Loading-drum,tote'!$B$31:$B$48),$J1398,('Loading-drum,tote'!$D$31:$D$48))*Impacts!$F$13,IF(('Loading-drum,tote'!$C$21)&lt;&gt;"No control",SUMIF(('Loading-drum,tote'!$B$31:$B$48),$J1398,('Loading-drum,tote'!$E$31:$E$48))*Impacts!$F$13,0)),0)</f>
        <v>0</v>
      </c>
      <c r="R1398" s="10">
        <f>IFERROR(IF(('Loading-truck'!$C$21)="No control",SUMIF(('Loading-truck'!$B$31:$B$48),$J1398,('Loading-truck'!$D$31:$D$48))*Impacts!$F$14,IF(('Loading-truck'!$C$21)&lt;&gt;"No control",SUMIF(('Loading-truck'!$B$31:$B$48),$J1398,('Loading-truck'!$E$31:$E$48))*Impacts!$F$14,0)),0)</f>
        <v>0</v>
      </c>
      <c r="S1398" s="10">
        <f>IFERROR(IF(('Loading-rail'!$C$21)="No control",SUMIF(('Loading-rail'!$B$31:$B$48),$J1398,('Loading-rail'!$D$31:$D$48))*Impacts!$F$15,IF(('Loading-rail'!$C$21)&lt;&gt;"No control",SUMIF(('Loading-rail'!$B$31:$B$48),$J1398,('Loading-rail'!$E$31:$E$48))*Impacts!$F$15,0)),0)</f>
        <v>0</v>
      </c>
      <c r="T1398" s="10">
        <f>IF(Flare!$C$7="",0,(SUMIF(Flare!$B$46:$B$185,$J1398,Flare!$E$46:$E$185)*Impacts!$F$16))</f>
        <v>0</v>
      </c>
      <c r="U1398" s="10">
        <f>IF(VCU!$C$9="",0,(SUMIF(VCU!$B$51:$B$193,$J1398,VCU!$E$51:$E$193)*Impacts!$F$17))</f>
        <v>0</v>
      </c>
      <c r="V1398" s="10">
        <f>IF(CAS!$C$7="",0,(SUMIF(CAS!$B$31:$B$167,$J1398,CAS!$E$31:$E$167)*Impacts!$F$18))</f>
        <v>0</v>
      </c>
      <c r="W1398" s="10">
        <f t="shared" si="62"/>
        <v>0</v>
      </c>
      <c r="AK1398" s="10" t="str">
        <f t="array" ref="AK1398">IFERROR(INDEX(SelectedSpecies,SMALL(IF(SelectedSpecies=AK$1,ROW(SelectedSpecies)),ROW(1399:1399)),2),"")</f>
        <v/>
      </c>
      <c r="BE1398" s="10"/>
      <c r="BI1398" s="10"/>
    </row>
    <row r="1399" spans="1:61" ht="21" customHeight="1" x14ac:dyDescent="0.25">
      <c r="A1399" s="10"/>
      <c r="B1399" s="10"/>
      <c r="E1399" s="10"/>
      <c r="G1399" s="10"/>
      <c r="I1399" s="436" t="s">
        <v>5485</v>
      </c>
      <c r="J1399" s="26" t="s">
        <v>5484</v>
      </c>
      <c r="K1399" s="10">
        <v>1.3</v>
      </c>
      <c r="L1399" s="73">
        <f>IF(Tank1!$C$23="No control",(SUMIF(Tank1!$B$32:$B$49,$J1399,Tank1!$C$32:$C$49)*Impacts!$F$8),0)</f>
        <v>0</v>
      </c>
      <c r="M1399" s="10">
        <f>IF(Tank2!$C$23="No control",(SUMIF(Tank2!$B$32:$B$49,$J1399,Tank2!$C$32:$C$49)*Impacts!$F$9),0)</f>
        <v>0</v>
      </c>
      <c r="N1399" s="10">
        <f>IF(Tank3!$C$23="No control",(SUMIF(Tank3!$B$32:$B$49,$J1399,Tank3!$C$32:$C$49)*Impacts!$F$10),0)</f>
        <v>0</v>
      </c>
      <c r="O1399" s="10">
        <f>IF(Tank4!$C$23="No control",(SUMIF(Tank4!$B$32:$B$49,$J1399,Tank4!$C$32:$C$49)*Impacts!$F$11),0)</f>
        <v>0</v>
      </c>
      <c r="P1399" s="10">
        <f>IF(Tank5!$C$23="No control",(SUMIF(Tank5!$B$32:$B$49,$J1399,Tank5!$C$32:$C$49)*Impacts!$F$12),0)</f>
        <v>0</v>
      </c>
      <c r="Q1399" s="10">
        <f>IFERROR(IF(('Loading-drum,tote'!$C$21)="No control",SUMIF(('Loading-drum,tote'!$B$31:$B$48),$J1399,('Loading-drum,tote'!$D$31:$D$48))*Impacts!$F$13,IF(('Loading-drum,tote'!$C$21)&lt;&gt;"No control",SUMIF(('Loading-drum,tote'!$B$31:$B$48),$J1399,('Loading-drum,tote'!$E$31:$E$48))*Impacts!$F$13,0)),0)</f>
        <v>0</v>
      </c>
      <c r="R1399" s="10">
        <f>IFERROR(IF(('Loading-truck'!$C$21)="No control",SUMIF(('Loading-truck'!$B$31:$B$48),$J1399,('Loading-truck'!$D$31:$D$48))*Impacts!$F$14,IF(('Loading-truck'!$C$21)&lt;&gt;"No control",SUMIF(('Loading-truck'!$B$31:$B$48),$J1399,('Loading-truck'!$E$31:$E$48))*Impacts!$F$14,0)),0)</f>
        <v>0</v>
      </c>
      <c r="S1399" s="10">
        <f>IFERROR(IF(('Loading-rail'!$C$21)="No control",SUMIF(('Loading-rail'!$B$31:$B$48),$J1399,('Loading-rail'!$D$31:$D$48))*Impacts!$F$15,IF(('Loading-rail'!$C$21)&lt;&gt;"No control",SUMIF(('Loading-rail'!$B$31:$B$48),$J1399,('Loading-rail'!$E$31:$E$48))*Impacts!$F$15,0)),0)</f>
        <v>0</v>
      </c>
      <c r="T1399" s="10">
        <f>IF(Flare!$C$7="",0,(SUMIF(Flare!$B$46:$B$185,$J1399,Flare!$E$46:$E$185)*Impacts!$F$16))</f>
        <v>0</v>
      </c>
      <c r="U1399" s="10">
        <f>IF(VCU!$C$9="",0,(SUMIF(VCU!$B$51:$B$193,$J1399,VCU!$E$51:$E$193)*Impacts!$F$17))</f>
        <v>0</v>
      </c>
      <c r="V1399" s="10">
        <f>IF(CAS!$C$7="",0,(SUMIF(CAS!$B$31:$B$167,$J1399,CAS!$E$31:$E$167)*Impacts!$F$18))</f>
        <v>0</v>
      </c>
      <c r="W1399" s="10">
        <f t="shared" si="62"/>
        <v>0</v>
      </c>
      <c r="AK1399" s="10" t="str">
        <f t="array" ref="AK1399">IFERROR(INDEX(SelectedSpecies,SMALL(IF(SelectedSpecies=AK$1,ROW(SelectedSpecies)),ROW(1400:1400)),2),"")</f>
        <v/>
      </c>
      <c r="BE1399" s="10"/>
      <c r="BI1399" s="10"/>
    </row>
    <row r="1400" spans="1:61" ht="21" customHeight="1" x14ac:dyDescent="0.25">
      <c r="A1400" s="10"/>
      <c r="B1400" s="10"/>
      <c r="E1400" s="10"/>
      <c r="G1400" s="10"/>
      <c r="I1400" s="436" t="s">
        <v>5149</v>
      </c>
      <c r="J1400" s="26" t="s">
        <v>5148</v>
      </c>
      <c r="K1400" s="10">
        <v>2</v>
      </c>
      <c r="L1400" s="73">
        <f>IF(Tank1!$C$23="No control",(SUMIF(Tank1!$B$32:$B$49,$J1400,Tank1!$C$32:$C$49)*Impacts!$F$8),0)</f>
        <v>0</v>
      </c>
      <c r="M1400" s="10">
        <f>IF(Tank2!$C$23="No control",(SUMIF(Tank2!$B$32:$B$49,$J1400,Tank2!$C$32:$C$49)*Impacts!$F$9),0)</f>
        <v>0</v>
      </c>
      <c r="N1400" s="10">
        <f>IF(Tank3!$C$23="No control",(SUMIF(Tank3!$B$32:$B$49,$J1400,Tank3!$C$32:$C$49)*Impacts!$F$10),0)</f>
        <v>0</v>
      </c>
      <c r="O1400" s="10">
        <f>IF(Tank4!$C$23="No control",(SUMIF(Tank4!$B$32:$B$49,$J1400,Tank4!$C$32:$C$49)*Impacts!$F$11),0)</f>
        <v>0</v>
      </c>
      <c r="P1400" s="10">
        <f>IF(Tank5!$C$23="No control",(SUMIF(Tank5!$B$32:$B$49,$J1400,Tank5!$C$32:$C$49)*Impacts!$F$12),0)</f>
        <v>0</v>
      </c>
      <c r="Q1400" s="10">
        <f>IFERROR(IF(('Loading-drum,tote'!$C$21)="No control",SUMIF(('Loading-drum,tote'!$B$31:$B$48),$J1400,('Loading-drum,tote'!$D$31:$D$48))*Impacts!$F$13,IF(('Loading-drum,tote'!$C$21)&lt;&gt;"No control",SUMIF(('Loading-drum,tote'!$B$31:$B$48),$J1400,('Loading-drum,tote'!$E$31:$E$48))*Impacts!$F$13,0)),0)</f>
        <v>0</v>
      </c>
      <c r="R1400" s="10">
        <f>IFERROR(IF(('Loading-truck'!$C$21)="No control",SUMIF(('Loading-truck'!$B$31:$B$48),$J1400,('Loading-truck'!$D$31:$D$48))*Impacts!$F$14,IF(('Loading-truck'!$C$21)&lt;&gt;"No control",SUMIF(('Loading-truck'!$B$31:$B$48),$J1400,('Loading-truck'!$E$31:$E$48))*Impacts!$F$14,0)),0)</f>
        <v>0</v>
      </c>
      <c r="S1400" s="10">
        <f>IFERROR(IF(('Loading-rail'!$C$21)="No control",SUMIF(('Loading-rail'!$B$31:$B$48),$J1400,('Loading-rail'!$D$31:$D$48))*Impacts!$F$15,IF(('Loading-rail'!$C$21)&lt;&gt;"No control",SUMIF(('Loading-rail'!$B$31:$B$48),$J1400,('Loading-rail'!$E$31:$E$48))*Impacts!$F$15,0)),0)</f>
        <v>0</v>
      </c>
      <c r="T1400" s="10">
        <f>IF(Flare!$C$7="",0,(SUMIF(Flare!$B$46:$B$185,$J1400,Flare!$E$46:$E$185)*Impacts!$F$16))</f>
        <v>0</v>
      </c>
      <c r="U1400" s="10">
        <f>IF(VCU!$C$9="",0,(SUMIF(VCU!$B$51:$B$193,$J1400,VCU!$E$51:$E$193)*Impacts!$F$17))</f>
        <v>0</v>
      </c>
      <c r="V1400" s="10">
        <f>IF(CAS!$C$7="",0,(SUMIF(CAS!$B$31:$B$167,$J1400,CAS!$E$31:$E$167)*Impacts!$F$18))</f>
        <v>0</v>
      </c>
      <c r="W1400" s="10">
        <f t="shared" si="62"/>
        <v>0</v>
      </c>
      <c r="AK1400" s="10" t="str">
        <f t="array" ref="AK1400">IFERROR(INDEX(SelectedSpecies,SMALL(IF(SelectedSpecies=AK$1,ROW(SelectedSpecies)),ROW(1401:1401)),2),"")</f>
        <v/>
      </c>
      <c r="BE1400" s="10"/>
      <c r="BI1400" s="10"/>
    </row>
    <row r="1401" spans="1:61" ht="21" customHeight="1" x14ac:dyDescent="0.25">
      <c r="A1401" s="10"/>
      <c r="B1401" s="10"/>
      <c r="E1401" s="10"/>
      <c r="G1401" s="10"/>
      <c r="I1401" s="436" t="s">
        <v>2119</v>
      </c>
      <c r="J1401" s="26" t="s">
        <v>2118</v>
      </c>
      <c r="K1401" s="10">
        <v>15</v>
      </c>
      <c r="L1401" s="73">
        <f>IF(Tank1!$C$23="No control",(SUMIF(Tank1!$B$32:$B$49,$J1401,Tank1!$C$32:$C$49)*Impacts!$F$8),0)</f>
        <v>0</v>
      </c>
      <c r="M1401" s="10">
        <f>IF(Tank2!$C$23="No control",(SUMIF(Tank2!$B$32:$B$49,$J1401,Tank2!$C$32:$C$49)*Impacts!$F$9),0)</f>
        <v>0</v>
      </c>
      <c r="N1401" s="10">
        <f>IF(Tank3!$C$23="No control",(SUMIF(Tank3!$B$32:$B$49,$J1401,Tank3!$C$32:$C$49)*Impacts!$F$10),0)</f>
        <v>0</v>
      </c>
      <c r="O1401" s="10">
        <f>IF(Tank4!$C$23="No control",(SUMIF(Tank4!$B$32:$B$49,$J1401,Tank4!$C$32:$C$49)*Impacts!$F$11),0)</f>
        <v>0</v>
      </c>
      <c r="P1401" s="10">
        <f>IF(Tank5!$C$23="No control",(SUMIF(Tank5!$B$32:$B$49,$J1401,Tank5!$C$32:$C$49)*Impacts!$F$12),0)</f>
        <v>0</v>
      </c>
      <c r="Q1401" s="10">
        <f>IFERROR(IF(('Loading-drum,tote'!$C$21)="No control",SUMIF(('Loading-drum,tote'!$B$31:$B$48),$J1401,('Loading-drum,tote'!$D$31:$D$48))*Impacts!$F$13,IF(('Loading-drum,tote'!$C$21)&lt;&gt;"No control",SUMIF(('Loading-drum,tote'!$B$31:$B$48),$J1401,('Loading-drum,tote'!$E$31:$E$48))*Impacts!$F$13,0)),0)</f>
        <v>0</v>
      </c>
      <c r="R1401" s="10">
        <f>IFERROR(IF(('Loading-truck'!$C$21)="No control",SUMIF(('Loading-truck'!$B$31:$B$48),$J1401,('Loading-truck'!$D$31:$D$48))*Impacts!$F$14,IF(('Loading-truck'!$C$21)&lt;&gt;"No control",SUMIF(('Loading-truck'!$B$31:$B$48),$J1401,('Loading-truck'!$E$31:$E$48))*Impacts!$F$14,0)),0)</f>
        <v>0</v>
      </c>
      <c r="S1401" s="10">
        <f>IFERROR(IF(('Loading-rail'!$C$21)="No control",SUMIF(('Loading-rail'!$B$31:$B$48),$J1401,('Loading-rail'!$D$31:$D$48))*Impacts!$F$15,IF(('Loading-rail'!$C$21)&lt;&gt;"No control",SUMIF(('Loading-rail'!$B$31:$B$48),$J1401,('Loading-rail'!$E$31:$E$48))*Impacts!$F$15,0)),0)</f>
        <v>0</v>
      </c>
      <c r="T1401" s="10">
        <f>IF(Flare!$C$7="",0,(SUMIF(Flare!$B$46:$B$185,$J1401,Flare!$E$46:$E$185)*Impacts!$F$16))</f>
        <v>0</v>
      </c>
      <c r="U1401" s="10">
        <f>IF(VCU!$C$9="",0,(SUMIF(VCU!$B$51:$B$193,$J1401,VCU!$E$51:$E$193)*Impacts!$F$17))</f>
        <v>0</v>
      </c>
      <c r="V1401" s="10">
        <f>IF(CAS!$C$7="",0,(SUMIF(CAS!$B$31:$B$167,$J1401,CAS!$E$31:$E$167)*Impacts!$F$18))</f>
        <v>0</v>
      </c>
      <c r="W1401" s="10">
        <f t="shared" si="62"/>
        <v>0</v>
      </c>
      <c r="AK1401" s="10" t="str">
        <f t="array" ref="AK1401">IFERROR(INDEX(SelectedSpecies,SMALL(IF(SelectedSpecies=AK$1,ROW(SelectedSpecies)),ROW(1402:1402)),2),"")</f>
        <v/>
      </c>
      <c r="BE1401" s="10"/>
      <c r="BI1401" s="10"/>
    </row>
    <row r="1402" spans="1:61" ht="21" customHeight="1" x14ac:dyDescent="0.25">
      <c r="A1402" s="10"/>
      <c r="B1402" s="10"/>
      <c r="E1402" s="10"/>
      <c r="G1402" s="10"/>
      <c r="I1402" s="436" t="s">
        <v>7150</v>
      </c>
      <c r="J1402" s="26" t="s">
        <v>7149</v>
      </c>
      <c r="K1402" s="10">
        <v>0.35000000000000003</v>
      </c>
      <c r="L1402" s="73">
        <f>IF(Tank1!$C$23="No control",(SUMIF(Tank1!$B$32:$B$49,$J1402,Tank1!$C$32:$C$49)*Impacts!$F$8),0)</f>
        <v>0</v>
      </c>
      <c r="M1402" s="10">
        <f>IF(Tank2!$C$23="No control",(SUMIF(Tank2!$B$32:$B$49,$J1402,Tank2!$C$32:$C$49)*Impacts!$F$9),0)</f>
        <v>0</v>
      </c>
      <c r="N1402" s="10">
        <f>IF(Tank3!$C$23="No control",(SUMIF(Tank3!$B$32:$B$49,$J1402,Tank3!$C$32:$C$49)*Impacts!$F$10),0)</f>
        <v>0</v>
      </c>
      <c r="O1402" s="10">
        <f>IF(Tank4!$C$23="No control",(SUMIF(Tank4!$B$32:$B$49,$J1402,Tank4!$C$32:$C$49)*Impacts!$F$11),0)</f>
        <v>0</v>
      </c>
      <c r="P1402" s="10">
        <f>IF(Tank5!$C$23="No control",(SUMIF(Tank5!$B$32:$B$49,$J1402,Tank5!$C$32:$C$49)*Impacts!$F$12),0)</f>
        <v>0</v>
      </c>
      <c r="Q1402" s="10">
        <f>IFERROR(IF(('Loading-drum,tote'!$C$21)="No control",SUMIF(('Loading-drum,tote'!$B$31:$B$48),$J1402,('Loading-drum,tote'!$D$31:$D$48))*Impacts!$F$13,IF(('Loading-drum,tote'!$C$21)&lt;&gt;"No control",SUMIF(('Loading-drum,tote'!$B$31:$B$48),$J1402,('Loading-drum,tote'!$E$31:$E$48))*Impacts!$F$13,0)),0)</f>
        <v>0</v>
      </c>
      <c r="R1402" s="10">
        <f>IFERROR(IF(('Loading-truck'!$C$21)="No control",SUMIF(('Loading-truck'!$B$31:$B$48),$J1402,('Loading-truck'!$D$31:$D$48))*Impacts!$F$14,IF(('Loading-truck'!$C$21)&lt;&gt;"No control",SUMIF(('Loading-truck'!$B$31:$B$48),$J1402,('Loading-truck'!$E$31:$E$48))*Impacts!$F$14,0)),0)</f>
        <v>0</v>
      </c>
      <c r="S1402" s="10">
        <f>IFERROR(IF(('Loading-rail'!$C$21)="No control",SUMIF(('Loading-rail'!$B$31:$B$48),$J1402,('Loading-rail'!$D$31:$D$48))*Impacts!$F$15,IF(('Loading-rail'!$C$21)&lt;&gt;"No control",SUMIF(('Loading-rail'!$B$31:$B$48),$J1402,('Loading-rail'!$E$31:$E$48))*Impacts!$F$15,0)),0)</f>
        <v>0</v>
      </c>
      <c r="T1402" s="10">
        <f>IF(Flare!$C$7="",0,(SUMIF(Flare!$B$46:$B$185,$J1402,Flare!$E$46:$E$185)*Impacts!$F$16))</f>
        <v>0</v>
      </c>
      <c r="U1402" s="10">
        <f>IF(VCU!$C$9="",0,(SUMIF(VCU!$B$51:$B$193,$J1402,VCU!$E$51:$E$193)*Impacts!$F$17))</f>
        <v>0</v>
      </c>
      <c r="V1402" s="10">
        <f>IF(CAS!$C$7="",0,(SUMIF(CAS!$B$31:$B$167,$J1402,CAS!$E$31:$E$167)*Impacts!$F$18))</f>
        <v>0</v>
      </c>
      <c r="W1402" s="10">
        <f t="shared" si="62"/>
        <v>0</v>
      </c>
      <c r="AK1402" s="10" t="str">
        <f t="array" ref="AK1402">IFERROR(INDEX(SelectedSpecies,SMALL(IF(SelectedSpecies=AK$1,ROW(SelectedSpecies)),ROW(1403:1403)),2),"")</f>
        <v/>
      </c>
      <c r="BE1402" s="10"/>
      <c r="BI1402" s="10"/>
    </row>
    <row r="1403" spans="1:61" ht="21" customHeight="1" x14ac:dyDescent="0.25">
      <c r="A1403" s="10"/>
      <c r="B1403" s="10"/>
      <c r="E1403" s="10"/>
      <c r="G1403" s="10"/>
      <c r="I1403" s="436" t="s">
        <v>3793</v>
      </c>
      <c r="J1403" s="26" t="s">
        <v>3792</v>
      </c>
      <c r="K1403" s="10">
        <v>6</v>
      </c>
      <c r="L1403" s="73">
        <f>IF(Tank1!$C$23="No control",(SUMIF(Tank1!$B$32:$B$49,$J1403,Tank1!$C$32:$C$49)*Impacts!$F$8),0)</f>
        <v>0</v>
      </c>
      <c r="M1403" s="10">
        <f>IF(Tank2!$C$23="No control",(SUMIF(Tank2!$B$32:$B$49,$J1403,Tank2!$C$32:$C$49)*Impacts!$F$9),0)</f>
        <v>0</v>
      </c>
      <c r="N1403" s="10">
        <f>IF(Tank3!$C$23="No control",(SUMIF(Tank3!$B$32:$B$49,$J1403,Tank3!$C$32:$C$49)*Impacts!$F$10),0)</f>
        <v>0</v>
      </c>
      <c r="O1403" s="10">
        <f>IF(Tank4!$C$23="No control",(SUMIF(Tank4!$B$32:$B$49,$J1403,Tank4!$C$32:$C$49)*Impacts!$F$11),0)</f>
        <v>0</v>
      </c>
      <c r="P1403" s="10">
        <f>IF(Tank5!$C$23="No control",(SUMIF(Tank5!$B$32:$B$49,$J1403,Tank5!$C$32:$C$49)*Impacts!$F$12),0)</f>
        <v>0</v>
      </c>
      <c r="Q1403" s="10">
        <f>IFERROR(IF(('Loading-drum,tote'!$C$21)="No control",SUMIF(('Loading-drum,tote'!$B$31:$B$48),$J1403,('Loading-drum,tote'!$D$31:$D$48))*Impacts!$F$13,IF(('Loading-drum,tote'!$C$21)&lt;&gt;"No control",SUMIF(('Loading-drum,tote'!$B$31:$B$48),$J1403,('Loading-drum,tote'!$E$31:$E$48))*Impacts!$F$13,0)),0)</f>
        <v>0</v>
      </c>
      <c r="R1403" s="10">
        <f>IFERROR(IF(('Loading-truck'!$C$21)="No control",SUMIF(('Loading-truck'!$B$31:$B$48),$J1403,('Loading-truck'!$D$31:$D$48))*Impacts!$F$14,IF(('Loading-truck'!$C$21)&lt;&gt;"No control",SUMIF(('Loading-truck'!$B$31:$B$48),$J1403,('Loading-truck'!$E$31:$E$48))*Impacts!$F$14,0)),0)</f>
        <v>0</v>
      </c>
      <c r="S1403" s="10">
        <f>IFERROR(IF(('Loading-rail'!$C$21)="No control",SUMIF(('Loading-rail'!$B$31:$B$48),$J1403,('Loading-rail'!$D$31:$D$48))*Impacts!$F$15,IF(('Loading-rail'!$C$21)&lt;&gt;"No control",SUMIF(('Loading-rail'!$B$31:$B$48),$J1403,('Loading-rail'!$E$31:$E$48))*Impacts!$F$15,0)),0)</f>
        <v>0</v>
      </c>
      <c r="T1403" s="10">
        <f>IF(Flare!$C$7="",0,(SUMIF(Flare!$B$46:$B$185,$J1403,Flare!$E$46:$E$185)*Impacts!$F$16))</f>
        <v>0</v>
      </c>
      <c r="U1403" s="10">
        <f>IF(VCU!$C$9="",0,(SUMIF(VCU!$B$51:$B$193,$J1403,VCU!$E$51:$E$193)*Impacts!$F$17))</f>
        <v>0</v>
      </c>
      <c r="V1403" s="10">
        <f>IF(CAS!$C$7="",0,(SUMIF(CAS!$B$31:$B$167,$J1403,CAS!$E$31:$E$167)*Impacts!$F$18))</f>
        <v>0</v>
      </c>
      <c r="W1403" s="10">
        <f t="shared" si="62"/>
        <v>0</v>
      </c>
      <c r="AK1403" s="10" t="str">
        <f t="array" ref="AK1403">IFERROR(INDEX(SelectedSpecies,SMALL(IF(SelectedSpecies=AK$1,ROW(SelectedSpecies)),ROW(1404:1404)),2),"")</f>
        <v/>
      </c>
      <c r="BE1403" s="10"/>
      <c r="BI1403" s="10"/>
    </row>
    <row r="1404" spans="1:61" ht="21" customHeight="1" x14ac:dyDescent="0.25">
      <c r="A1404" s="10"/>
      <c r="B1404" s="10"/>
      <c r="E1404" s="10"/>
      <c r="G1404" s="10"/>
      <c r="I1404" s="436" t="s">
        <v>2465</v>
      </c>
      <c r="J1404" s="26" t="s">
        <v>2464</v>
      </c>
      <c r="K1404" s="10">
        <v>10</v>
      </c>
      <c r="L1404" s="73">
        <f>IF(Tank1!$C$23="No control",(SUMIF(Tank1!$B$32:$B$49,$J1404,Tank1!$C$32:$C$49)*Impacts!$F$8),0)</f>
        <v>0</v>
      </c>
      <c r="M1404" s="10">
        <f>IF(Tank2!$C$23="No control",(SUMIF(Tank2!$B$32:$B$49,$J1404,Tank2!$C$32:$C$49)*Impacts!$F$9),0)</f>
        <v>0</v>
      </c>
      <c r="N1404" s="10">
        <f>IF(Tank3!$C$23="No control",(SUMIF(Tank3!$B$32:$B$49,$J1404,Tank3!$C$32:$C$49)*Impacts!$F$10),0)</f>
        <v>0</v>
      </c>
      <c r="O1404" s="10">
        <f>IF(Tank4!$C$23="No control",(SUMIF(Tank4!$B$32:$B$49,$J1404,Tank4!$C$32:$C$49)*Impacts!$F$11),0)</f>
        <v>0</v>
      </c>
      <c r="P1404" s="10">
        <f>IF(Tank5!$C$23="No control",(SUMIF(Tank5!$B$32:$B$49,$J1404,Tank5!$C$32:$C$49)*Impacts!$F$12),0)</f>
        <v>0</v>
      </c>
      <c r="Q1404" s="10">
        <f>IFERROR(IF(('Loading-drum,tote'!$C$21)="No control",SUMIF(('Loading-drum,tote'!$B$31:$B$48),$J1404,('Loading-drum,tote'!$D$31:$D$48))*Impacts!$F$13,IF(('Loading-drum,tote'!$C$21)&lt;&gt;"No control",SUMIF(('Loading-drum,tote'!$B$31:$B$48),$J1404,('Loading-drum,tote'!$E$31:$E$48))*Impacts!$F$13,0)),0)</f>
        <v>0</v>
      </c>
      <c r="R1404" s="10">
        <f>IFERROR(IF(('Loading-truck'!$C$21)="No control",SUMIF(('Loading-truck'!$B$31:$B$48),$J1404,('Loading-truck'!$D$31:$D$48))*Impacts!$F$14,IF(('Loading-truck'!$C$21)&lt;&gt;"No control",SUMIF(('Loading-truck'!$B$31:$B$48),$J1404,('Loading-truck'!$E$31:$E$48))*Impacts!$F$14,0)),0)</f>
        <v>0</v>
      </c>
      <c r="S1404" s="10">
        <f>IFERROR(IF(('Loading-rail'!$C$21)="No control",SUMIF(('Loading-rail'!$B$31:$B$48),$J1404,('Loading-rail'!$D$31:$D$48))*Impacts!$F$15,IF(('Loading-rail'!$C$21)&lt;&gt;"No control",SUMIF(('Loading-rail'!$B$31:$B$48),$J1404,('Loading-rail'!$E$31:$E$48))*Impacts!$F$15,0)),0)</f>
        <v>0</v>
      </c>
      <c r="T1404" s="10">
        <f>IF(Flare!$C$7="",0,(SUMIF(Flare!$B$46:$B$185,$J1404,Flare!$E$46:$E$185)*Impacts!$F$16))</f>
        <v>0</v>
      </c>
      <c r="U1404" s="10">
        <f>IF(VCU!$C$9="",0,(SUMIF(VCU!$B$51:$B$193,$J1404,VCU!$E$51:$E$193)*Impacts!$F$17))</f>
        <v>0</v>
      </c>
      <c r="V1404" s="10">
        <f>IF(CAS!$C$7="",0,(SUMIF(CAS!$B$31:$B$167,$J1404,CAS!$E$31:$E$167)*Impacts!$F$18))</f>
        <v>0</v>
      </c>
      <c r="W1404" s="10">
        <f t="shared" si="62"/>
        <v>0</v>
      </c>
      <c r="AK1404" s="10" t="str">
        <f t="array" ref="AK1404">IFERROR(INDEX(SelectedSpecies,SMALL(IF(SelectedSpecies=AK$1,ROW(SelectedSpecies)),ROW(1405:1405)),2),"")</f>
        <v/>
      </c>
      <c r="BE1404" s="10"/>
      <c r="BI1404" s="10"/>
    </row>
    <row r="1405" spans="1:61" ht="21" customHeight="1" x14ac:dyDescent="0.25">
      <c r="A1405" s="10"/>
      <c r="B1405" s="10"/>
      <c r="E1405" s="10"/>
      <c r="G1405" s="10"/>
      <c r="I1405" s="436" t="s">
        <v>2467</v>
      </c>
      <c r="J1405" s="26" t="s">
        <v>2466</v>
      </c>
      <c r="K1405" s="10">
        <v>10</v>
      </c>
      <c r="L1405" s="73">
        <f>IF(Tank1!$C$23="No control",(SUMIF(Tank1!$B$32:$B$49,$J1405,Tank1!$C$32:$C$49)*Impacts!$F$8),0)</f>
        <v>0</v>
      </c>
      <c r="M1405" s="10">
        <f>IF(Tank2!$C$23="No control",(SUMIF(Tank2!$B$32:$B$49,$J1405,Tank2!$C$32:$C$49)*Impacts!$F$9),0)</f>
        <v>0</v>
      </c>
      <c r="N1405" s="10">
        <f>IF(Tank3!$C$23="No control",(SUMIF(Tank3!$B$32:$B$49,$J1405,Tank3!$C$32:$C$49)*Impacts!$F$10),0)</f>
        <v>0</v>
      </c>
      <c r="O1405" s="10">
        <f>IF(Tank4!$C$23="No control",(SUMIF(Tank4!$B$32:$B$49,$J1405,Tank4!$C$32:$C$49)*Impacts!$F$11),0)</f>
        <v>0</v>
      </c>
      <c r="P1405" s="10">
        <f>IF(Tank5!$C$23="No control",(SUMIF(Tank5!$B$32:$B$49,$J1405,Tank5!$C$32:$C$49)*Impacts!$F$12),0)</f>
        <v>0</v>
      </c>
      <c r="Q1405" s="10">
        <f>IFERROR(IF(('Loading-drum,tote'!$C$21)="No control",SUMIF(('Loading-drum,tote'!$B$31:$B$48),$J1405,('Loading-drum,tote'!$D$31:$D$48))*Impacts!$F$13,IF(('Loading-drum,tote'!$C$21)&lt;&gt;"No control",SUMIF(('Loading-drum,tote'!$B$31:$B$48),$J1405,('Loading-drum,tote'!$E$31:$E$48))*Impacts!$F$13,0)),0)</f>
        <v>0</v>
      </c>
      <c r="R1405" s="10">
        <f>IFERROR(IF(('Loading-truck'!$C$21)="No control",SUMIF(('Loading-truck'!$B$31:$B$48),$J1405,('Loading-truck'!$D$31:$D$48))*Impacts!$F$14,IF(('Loading-truck'!$C$21)&lt;&gt;"No control",SUMIF(('Loading-truck'!$B$31:$B$48),$J1405,('Loading-truck'!$E$31:$E$48))*Impacts!$F$14,0)),0)</f>
        <v>0</v>
      </c>
      <c r="S1405" s="10">
        <f>IFERROR(IF(('Loading-rail'!$C$21)="No control",SUMIF(('Loading-rail'!$B$31:$B$48),$J1405,('Loading-rail'!$D$31:$D$48))*Impacts!$F$15,IF(('Loading-rail'!$C$21)&lt;&gt;"No control",SUMIF(('Loading-rail'!$B$31:$B$48),$J1405,('Loading-rail'!$E$31:$E$48))*Impacts!$F$15,0)),0)</f>
        <v>0</v>
      </c>
      <c r="T1405" s="10">
        <f>IF(Flare!$C$7="",0,(SUMIF(Flare!$B$46:$B$185,$J1405,Flare!$E$46:$E$185)*Impacts!$F$16))</f>
        <v>0</v>
      </c>
      <c r="U1405" s="10">
        <f>IF(VCU!$C$9="",0,(SUMIF(VCU!$B$51:$B$193,$J1405,VCU!$E$51:$E$193)*Impacts!$F$17))</f>
        <v>0</v>
      </c>
      <c r="V1405" s="10">
        <f>IF(CAS!$C$7="",0,(SUMIF(CAS!$B$31:$B$167,$J1405,CAS!$E$31:$E$167)*Impacts!$F$18))</f>
        <v>0</v>
      </c>
      <c r="W1405" s="10">
        <f t="shared" si="62"/>
        <v>0</v>
      </c>
      <c r="AK1405" s="10" t="str">
        <f t="array" ref="AK1405">IFERROR(INDEX(SelectedSpecies,SMALL(IF(SelectedSpecies=AK$1,ROW(SelectedSpecies)),ROW(1406:1406)),2),"")</f>
        <v/>
      </c>
      <c r="BE1405" s="10"/>
      <c r="BI1405" s="10"/>
    </row>
    <row r="1406" spans="1:61" ht="21" customHeight="1" x14ac:dyDescent="0.25">
      <c r="A1406" s="10"/>
      <c r="B1406" s="10"/>
      <c r="E1406" s="10"/>
      <c r="G1406" s="10"/>
      <c r="I1406" s="436" t="s">
        <v>5597</v>
      </c>
      <c r="J1406" s="26" t="s">
        <v>5596</v>
      </c>
      <c r="K1406" s="10">
        <v>1.1000000000000001</v>
      </c>
      <c r="L1406" s="73">
        <f>IF(Tank1!$C$23="No control",(SUMIF(Tank1!$B$32:$B$49,$J1406,Tank1!$C$32:$C$49)*Impacts!$F$8),0)</f>
        <v>0</v>
      </c>
      <c r="M1406" s="10">
        <f>IF(Tank2!$C$23="No control",(SUMIF(Tank2!$B$32:$B$49,$J1406,Tank2!$C$32:$C$49)*Impacts!$F$9),0)</f>
        <v>0</v>
      </c>
      <c r="N1406" s="10">
        <f>IF(Tank3!$C$23="No control",(SUMIF(Tank3!$B$32:$B$49,$J1406,Tank3!$C$32:$C$49)*Impacts!$F$10),0)</f>
        <v>0</v>
      </c>
      <c r="O1406" s="10">
        <f>IF(Tank4!$C$23="No control",(SUMIF(Tank4!$B$32:$B$49,$J1406,Tank4!$C$32:$C$49)*Impacts!$F$11),0)</f>
        <v>0</v>
      </c>
      <c r="P1406" s="10">
        <f>IF(Tank5!$C$23="No control",(SUMIF(Tank5!$B$32:$B$49,$J1406,Tank5!$C$32:$C$49)*Impacts!$F$12),0)</f>
        <v>0</v>
      </c>
      <c r="Q1406" s="10">
        <f>IFERROR(IF(('Loading-drum,tote'!$C$21)="No control",SUMIF(('Loading-drum,tote'!$B$31:$B$48),$J1406,('Loading-drum,tote'!$D$31:$D$48))*Impacts!$F$13,IF(('Loading-drum,tote'!$C$21)&lt;&gt;"No control",SUMIF(('Loading-drum,tote'!$B$31:$B$48),$J1406,('Loading-drum,tote'!$E$31:$E$48))*Impacts!$F$13,0)),0)</f>
        <v>0</v>
      </c>
      <c r="R1406" s="10">
        <f>IFERROR(IF(('Loading-truck'!$C$21)="No control",SUMIF(('Loading-truck'!$B$31:$B$48),$J1406,('Loading-truck'!$D$31:$D$48))*Impacts!$F$14,IF(('Loading-truck'!$C$21)&lt;&gt;"No control",SUMIF(('Loading-truck'!$B$31:$B$48),$J1406,('Loading-truck'!$E$31:$E$48))*Impacts!$F$14,0)),0)</f>
        <v>0</v>
      </c>
      <c r="S1406" s="10">
        <f>IFERROR(IF(('Loading-rail'!$C$21)="No control",SUMIF(('Loading-rail'!$B$31:$B$48),$J1406,('Loading-rail'!$D$31:$D$48))*Impacts!$F$15,IF(('Loading-rail'!$C$21)&lt;&gt;"No control",SUMIF(('Loading-rail'!$B$31:$B$48),$J1406,('Loading-rail'!$E$31:$E$48))*Impacts!$F$15,0)),0)</f>
        <v>0</v>
      </c>
      <c r="T1406" s="10">
        <f>IF(Flare!$C$7="",0,(SUMIF(Flare!$B$46:$B$185,$J1406,Flare!$E$46:$E$185)*Impacts!$F$16))</f>
        <v>0</v>
      </c>
      <c r="U1406" s="10">
        <f>IF(VCU!$C$9="",0,(SUMIF(VCU!$B$51:$B$193,$J1406,VCU!$E$51:$E$193)*Impacts!$F$17))</f>
        <v>0</v>
      </c>
      <c r="V1406" s="10">
        <f>IF(CAS!$C$7="",0,(SUMIF(CAS!$B$31:$B$167,$J1406,CAS!$E$31:$E$167)*Impacts!$F$18))</f>
        <v>0</v>
      </c>
      <c r="W1406" s="10">
        <f t="shared" si="62"/>
        <v>0</v>
      </c>
      <c r="AK1406" s="10" t="str">
        <f t="array" ref="AK1406">IFERROR(INDEX(SelectedSpecies,SMALL(IF(SelectedSpecies=AK$1,ROW(SelectedSpecies)),ROW(1407:1407)),2),"")</f>
        <v/>
      </c>
      <c r="BE1406" s="10"/>
      <c r="BI1406" s="10"/>
    </row>
    <row r="1407" spans="1:61" ht="21" customHeight="1" x14ac:dyDescent="0.25">
      <c r="A1407" s="10"/>
      <c r="B1407" s="10"/>
      <c r="E1407" s="10"/>
      <c r="G1407" s="10"/>
      <c r="I1407" s="436" t="s">
        <v>1759</v>
      </c>
      <c r="J1407" s="26" t="s">
        <v>1758</v>
      </c>
      <c r="K1407" s="10">
        <v>24.200000000000003</v>
      </c>
      <c r="L1407" s="73">
        <f>IF(Tank1!$C$23="No control",(SUMIF(Tank1!$B$32:$B$49,$J1407,Tank1!$C$32:$C$49)*Impacts!$F$8),0)</f>
        <v>0</v>
      </c>
      <c r="M1407" s="10">
        <f>IF(Tank2!$C$23="No control",(SUMIF(Tank2!$B$32:$B$49,$J1407,Tank2!$C$32:$C$49)*Impacts!$F$9),0)</f>
        <v>0</v>
      </c>
      <c r="N1407" s="10">
        <f>IF(Tank3!$C$23="No control",(SUMIF(Tank3!$B$32:$B$49,$J1407,Tank3!$C$32:$C$49)*Impacts!$F$10),0)</f>
        <v>0</v>
      </c>
      <c r="O1407" s="10">
        <f>IF(Tank4!$C$23="No control",(SUMIF(Tank4!$B$32:$B$49,$J1407,Tank4!$C$32:$C$49)*Impacts!$F$11),0)</f>
        <v>0</v>
      </c>
      <c r="P1407" s="10">
        <f>IF(Tank5!$C$23="No control",(SUMIF(Tank5!$B$32:$B$49,$J1407,Tank5!$C$32:$C$49)*Impacts!$F$12),0)</f>
        <v>0</v>
      </c>
      <c r="Q1407" s="10">
        <f>IFERROR(IF(('Loading-drum,tote'!$C$21)="No control",SUMIF(('Loading-drum,tote'!$B$31:$B$48),$J1407,('Loading-drum,tote'!$D$31:$D$48))*Impacts!$F$13,IF(('Loading-drum,tote'!$C$21)&lt;&gt;"No control",SUMIF(('Loading-drum,tote'!$B$31:$B$48),$J1407,('Loading-drum,tote'!$E$31:$E$48))*Impacts!$F$13,0)),0)</f>
        <v>0</v>
      </c>
      <c r="R1407" s="10">
        <f>IFERROR(IF(('Loading-truck'!$C$21)="No control",SUMIF(('Loading-truck'!$B$31:$B$48),$J1407,('Loading-truck'!$D$31:$D$48))*Impacts!$F$14,IF(('Loading-truck'!$C$21)&lt;&gt;"No control",SUMIF(('Loading-truck'!$B$31:$B$48),$J1407,('Loading-truck'!$E$31:$E$48))*Impacts!$F$14,0)),0)</f>
        <v>0</v>
      </c>
      <c r="S1407" s="10">
        <f>IFERROR(IF(('Loading-rail'!$C$21)="No control",SUMIF(('Loading-rail'!$B$31:$B$48),$J1407,('Loading-rail'!$D$31:$D$48))*Impacts!$F$15,IF(('Loading-rail'!$C$21)&lt;&gt;"No control",SUMIF(('Loading-rail'!$B$31:$B$48),$J1407,('Loading-rail'!$E$31:$E$48))*Impacts!$F$15,0)),0)</f>
        <v>0</v>
      </c>
      <c r="T1407" s="10">
        <f>IF(Flare!$C$7="",0,(SUMIF(Flare!$B$46:$B$185,$J1407,Flare!$E$46:$E$185)*Impacts!$F$16))</f>
        <v>0</v>
      </c>
      <c r="U1407" s="10">
        <f>IF(VCU!$C$9="",0,(SUMIF(VCU!$B$51:$B$193,$J1407,VCU!$E$51:$E$193)*Impacts!$F$17))</f>
        <v>0</v>
      </c>
      <c r="V1407" s="10">
        <f>IF(CAS!$C$7="",0,(SUMIF(CAS!$B$31:$B$167,$J1407,CAS!$E$31:$E$167)*Impacts!$F$18))</f>
        <v>0</v>
      </c>
      <c r="W1407" s="10">
        <f t="shared" si="62"/>
        <v>0</v>
      </c>
      <c r="AK1407" s="10" t="str">
        <f t="array" ref="AK1407">IFERROR(INDEX(SelectedSpecies,SMALL(IF(SelectedSpecies=AK$1,ROW(SelectedSpecies)),ROW(1408:1408)),2),"")</f>
        <v/>
      </c>
      <c r="BE1407" s="10"/>
      <c r="BI1407" s="10"/>
    </row>
    <row r="1408" spans="1:61" ht="21" customHeight="1" x14ac:dyDescent="0.25">
      <c r="A1408" s="10"/>
      <c r="B1408" s="10"/>
      <c r="E1408" s="10"/>
      <c r="G1408" s="10"/>
      <c r="I1408" s="436" t="s">
        <v>2805</v>
      </c>
      <c r="J1408" s="26" t="s">
        <v>2804</v>
      </c>
      <c r="K1408" s="10">
        <v>10</v>
      </c>
      <c r="L1408" s="73">
        <f>IF(Tank1!$C$23="No control",(SUMIF(Tank1!$B$32:$B$49,$J1408,Tank1!$C$32:$C$49)*Impacts!$F$8),0)</f>
        <v>0</v>
      </c>
      <c r="M1408" s="10">
        <f>IF(Tank2!$C$23="No control",(SUMIF(Tank2!$B$32:$B$49,$J1408,Tank2!$C$32:$C$49)*Impacts!$F$9),0)</f>
        <v>0</v>
      </c>
      <c r="N1408" s="10">
        <f>IF(Tank3!$C$23="No control",(SUMIF(Tank3!$B$32:$B$49,$J1408,Tank3!$C$32:$C$49)*Impacts!$F$10),0)</f>
        <v>0</v>
      </c>
      <c r="O1408" s="10">
        <f>IF(Tank4!$C$23="No control",(SUMIF(Tank4!$B$32:$B$49,$J1408,Tank4!$C$32:$C$49)*Impacts!$F$11),0)</f>
        <v>0</v>
      </c>
      <c r="P1408" s="10">
        <f>IF(Tank5!$C$23="No control",(SUMIF(Tank5!$B$32:$B$49,$J1408,Tank5!$C$32:$C$49)*Impacts!$F$12),0)</f>
        <v>0</v>
      </c>
      <c r="Q1408" s="10">
        <f>IFERROR(IF(('Loading-drum,tote'!$C$21)="No control",SUMIF(('Loading-drum,tote'!$B$31:$B$48),$J1408,('Loading-drum,tote'!$D$31:$D$48))*Impacts!$F$13,IF(('Loading-drum,tote'!$C$21)&lt;&gt;"No control",SUMIF(('Loading-drum,tote'!$B$31:$B$48),$J1408,('Loading-drum,tote'!$E$31:$E$48))*Impacts!$F$13,0)),0)</f>
        <v>0</v>
      </c>
      <c r="R1408" s="10">
        <f>IFERROR(IF(('Loading-truck'!$C$21)="No control",SUMIF(('Loading-truck'!$B$31:$B$48),$J1408,('Loading-truck'!$D$31:$D$48))*Impacts!$F$14,IF(('Loading-truck'!$C$21)&lt;&gt;"No control",SUMIF(('Loading-truck'!$B$31:$B$48),$J1408,('Loading-truck'!$E$31:$E$48))*Impacts!$F$14,0)),0)</f>
        <v>0</v>
      </c>
      <c r="S1408" s="10">
        <f>IFERROR(IF(('Loading-rail'!$C$21)="No control",SUMIF(('Loading-rail'!$B$31:$B$48),$J1408,('Loading-rail'!$D$31:$D$48))*Impacts!$F$15,IF(('Loading-rail'!$C$21)&lt;&gt;"No control",SUMIF(('Loading-rail'!$B$31:$B$48),$J1408,('Loading-rail'!$E$31:$E$48))*Impacts!$F$15,0)),0)</f>
        <v>0</v>
      </c>
      <c r="T1408" s="10">
        <f>IF(Flare!$C$7="",0,(SUMIF(Flare!$B$46:$B$185,$J1408,Flare!$E$46:$E$185)*Impacts!$F$16))</f>
        <v>0</v>
      </c>
      <c r="U1408" s="10">
        <f>IF(VCU!$C$9="",0,(SUMIF(VCU!$B$51:$B$193,$J1408,VCU!$E$51:$E$193)*Impacts!$F$17))</f>
        <v>0</v>
      </c>
      <c r="V1408" s="10">
        <f>IF(CAS!$C$7="",0,(SUMIF(CAS!$B$31:$B$167,$J1408,CAS!$E$31:$E$167)*Impacts!$F$18))</f>
        <v>0</v>
      </c>
      <c r="W1408" s="10">
        <f t="shared" si="62"/>
        <v>0</v>
      </c>
      <c r="AK1408" s="10" t="str">
        <f t="array" ref="AK1408">IFERROR(INDEX(SelectedSpecies,SMALL(IF(SelectedSpecies=AK$1,ROW(SelectedSpecies)),ROW(1409:1409)),2),"")</f>
        <v/>
      </c>
      <c r="BE1408" s="10"/>
      <c r="BI1408" s="10"/>
    </row>
    <row r="1409" spans="1:61" ht="21" customHeight="1" x14ac:dyDescent="0.25">
      <c r="A1409" s="10"/>
      <c r="B1409" s="10"/>
      <c r="E1409" s="10"/>
      <c r="G1409" s="10"/>
      <c r="I1409" s="436" t="s">
        <v>6808</v>
      </c>
      <c r="J1409" s="26" t="s">
        <v>6807</v>
      </c>
      <c r="K1409" s="10">
        <v>0.5</v>
      </c>
      <c r="L1409" s="73">
        <f>IF(Tank1!$C$23="No control",(SUMIF(Tank1!$B$32:$B$49,$J1409,Tank1!$C$32:$C$49)*Impacts!$F$8),0)</f>
        <v>0</v>
      </c>
      <c r="M1409" s="10">
        <f>IF(Tank2!$C$23="No control",(SUMIF(Tank2!$B$32:$B$49,$J1409,Tank2!$C$32:$C$49)*Impacts!$F$9),0)</f>
        <v>0</v>
      </c>
      <c r="N1409" s="10">
        <f>IF(Tank3!$C$23="No control",(SUMIF(Tank3!$B$32:$B$49,$J1409,Tank3!$C$32:$C$49)*Impacts!$F$10),0)</f>
        <v>0</v>
      </c>
      <c r="O1409" s="10">
        <f>IF(Tank4!$C$23="No control",(SUMIF(Tank4!$B$32:$B$49,$J1409,Tank4!$C$32:$C$49)*Impacts!$F$11),0)</f>
        <v>0</v>
      </c>
      <c r="P1409" s="10">
        <f>IF(Tank5!$C$23="No control",(SUMIF(Tank5!$B$32:$B$49,$J1409,Tank5!$C$32:$C$49)*Impacts!$F$12),0)</f>
        <v>0</v>
      </c>
      <c r="Q1409" s="10">
        <f>IFERROR(IF(('Loading-drum,tote'!$C$21)="No control",SUMIF(('Loading-drum,tote'!$B$31:$B$48),$J1409,('Loading-drum,tote'!$D$31:$D$48))*Impacts!$F$13,IF(('Loading-drum,tote'!$C$21)&lt;&gt;"No control",SUMIF(('Loading-drum,tote'!$B$31:$B$48),$J1409,('Loading-drum,tote'!$E$31:$E$48))*Impacts!$F$13,0)),0)</f>
        <v>0</v>
      </c>
      <c r="R1409" s="10">
        <f>IFERROR(IF(('Loading-truck'!$C$21)="No control",SUMIF(('Loading-truck'!$B$31:$B$48),$J1409,('Loading-truck'!$D$31:$D$48))*Impacts!$F$14,IF(('Loading-truck'!$C$21)&lt;&gt;"No control",SUMIF(('Loading-truck'!$B$31:$B$48),$J1409,('Loading-truck'!$E$31:$E$48))*Impacts!$F$14,0)),0)</f>
        <v>0</v>
      </c>
      <c r="S1409" s="10">
        <f>IFERROR(IF(('Loading-rail'!$C$21)="No control",SUMIF(('Loading-rail'!$B$31:$B$48),$J1409,('Loading-rail'!$D$31:$D$48))*Impacts!$F$15,IF(('Loading-rail'!$C$21)&lt;&gt;"No control",SUMIF(('Loading-rail'!$B$31:$B$48),$J1409,('Loading-rail'!$E$31:$E$48))*Impacts!$F$15,0)),0)</f>
        <v>0</v>
      </c>
      <c r="T1409" s="10">
        <f>IF(Flare!$C$7="",0,(SUMIF(Flare!$B$46:$B$185,$J1409,Flare!$E$46:$E$185)*Impacts!$F$16))</f>
        <v>0</v>
      </c>
      <c r="U1409" s="10">
        <f>IF(VCU!$C$9="",0,(SUMIF(VCU!$B$51:$B$193,$J1409,VCU!$E$51:$E$193)*Impacts!$F$17))</f>
        <v>0</v>
      </c>
      <c r="V1409" s="10">
        <f>IF(CAS!$C$7="",0,(SUMIF(CAS!$B$31:$B$167,$J1409,CAS!$E$31:$E$167)*Impacts!$F$18))</f>
        <v>0</v>
      </c>
      <c r="W1409" s="10">
        <f t="shared" si="62"/>
        <v>0</v>
      </c>
      <c r="AK1409" s="10" t="str">
        <f t="array" ref="AK1409">IFERROR(INDEX(SelectedSpecies,SMALL(IF(SelectedSpecies=AK$1,ROW(SelectedSpecies)),ROW(1410:1410)),2),"")</f>
        <v/>
      </c>
      <c r="BE1409" s="10"/>
      <c r="BI1409" s="10"/>
    </row>
    <row r="1410" spans="1:61" ht="21" customHeight="1" x14ac:dyDescent="0.25">
      <c r="A1410" s="10"/>
      <c r="B1410" s="10"/>
      <c r="E1410" s="10"/>
      <c r="G1410" s="10"/>
      <c r="I1410" s="436" t="s">
        <v>2807</v>
      </c>
      <c r="J1410" s="26" t="s">
        <v>2806</v>
      </c>
      <c r="K1410" s="10">
        <v>10</v>
      </c>
      <c r="L1410" s="73">
        <f>IF(Tank1!$C$23="No control",(SUMIF(Tank1!$B$32:$B$49,$J1410,Tank1!$C$32:$C$49)*Impacts!$F$8),0)</f>
        <v>0</v>
      </c>
      <c r="M1410" s="10">
        <f>IF(Tank2!$C$23="No control",(SUMIF(Tank2!$B$32:$B$49,$J1410,Tank2!$C$32:$C$49)*Impacts!$F$9),0)</f>
        <v>0</v>
      </c>
      <c r="N1410" s="10">
        <f>IF(Tank3!$C$23="No control",(SUMIF(Tank3!$B$32:$B$49,$J1410,Tank3!$C$32:$C$49)*Impacts!$F$10),0)</f>
        <v>0</v>
      </c>
      <c r="O1410" s="10">
        <f>IF(Tank4!$C$23="No control",(SUMIF(Tank4!$B$32:$B$49,$J1410,Tank4!$C$32:$C$49)*Impacts!$F$11),0)</f>
        <v>0</v>
      </c>
      <c r="P1410" s="10">
        <f>IF(Tank5!$C$23="No control",(SUMIF(Tank5!$B$32:$B$49,$J1410,Tank5!$C$32:$C$49)*Impacts!$F$12),0)</f>
        <v>0</v>
      </c>
      <c r="Q1410" s="10">
        <f>IFERROR(IF(('Loading-drum,tote'!$C$21)="No control",SUMIF(('Loading-drum,tote'!$B$31:$B$48),$J1410,('Loading-drum,tote'!$D$31:$D$48))*Impacts!$F$13,IF(('Loading-drum,tote'!$C$21)&lt;&gt;"No control",SUMIF(('Loading-drum,tote'!$B$31:$B$48),$J1410,('Loading-drum,tote'!$E$31:$E$48))*Impacts!$F$13,0)),0)</f>
        <v>0</v>
      </c>
      <c r="R1410" s="10">
        <f>IFERROR(IF(('Loading-truck'!$C$21)="No control",SUMIF(('Loading-truck'!$B$31:$B$48),$J1410,('Loading-truck'!$D$31:$D$48))*Impacts!$F$14,IF(('Loading-truck'!$C$21)&lt;&gt;"No control",SUMIF(('Loading-truck'!$B$31:$B$48),$J1410,('Loading-truck'!$E$31:$E$48))*Impacts!$F$14,0)),0)</f>
        <v>0</v>
      </c>
      <c r="S1410" s="10">
        <f>IFERROR(IF(('Loading-rail'!$C$21)="No control",SUMIF(('Loading-rail'!$B$31:$B$48),$J1410,('Loading-rail'!$D$31:$D$48))*Impacts!$F$15,IF(('Loading-rail'!$C$21)&lt;&gt;"No control",SUMIF(('Loading-rail'!$B$31:$B$48),$J1410,('Loading-rail'!$E$31:$E$48))*Impacts!$F$15,0)),0)</f>
        <v>0</v>
      </c>
      <c r="T1410" s="10">
        <f>IF(Flare!$C$7="",0,(SUMIF(Flare!$B$46:$B$185,$J1410,Flare!$E$46:$E$185)*Impacts!$F$16))</f>
        <v>0</v>
      </c>
      <c r="U1410" s="10">
        <f>IF(VCU!$C$9="",0,(SUMIF(VCU!$B$51:$B$193,$J1410,VCU!$E$51:$E$193)*Impacts!$F$17))</f>
        <v>0</v>
      </c>
      <c r="V1410" s="10">
        <f>IF(CAS!$C$7="",0,(SUMIF(CAS!$B$31:$B$167,$J1410,CAS!$E$31:$E$167)*Impacts!$F$18))</f>
        <v>0</v>
      </c>
      <c r="W1410" s="10">
        <f t="shared" si="62"/>
        <v>0</v>
      </c>
      <c r="AK1410" s="10" t="str">
        <f t="array" ref="AK1410">IFERROR(INDEX(SelectedSpecies,SMALL(IF(SelectedSpecies=AK$1,ROW(SelectedSpecies)),ROW(1411:1411)),2),"")</f>
        <v/>
      </c>
      <c r="BE1410" s="10"/>
      <c r="BI1410" s="10"/>
    </row>
    <row r="1411" spans="1:61" ht="21" customHeight="1" x14ac:dyDescent="0.25">
      <c r="A1411" s="10"/>
      <c r="B1411" s="10"/>
      <c r="E1411" s="10"/>
      <c r="G1411" s="10"/>
      <c r="I1411" s="436" t="s">
        <v>7260</v>
      </c>
      <c r="J1411" s="26" t="s">
        <v>7259</v>
      </c>
      <c r="K1411" s="10">
        <v>0.30000000000000004</v>
      </c>
      <c r="L1411" s="73">
        <f>IF(Tank1!$C$23="No control",(SUMIF(Tank1!$B$32:$B$49,$J1411,Tank1!$C$32:$C$49)*Impacts!$F$8),0)</f>
        <v>0</v>
      </c>
      <c r="M1411" s="10">
        <f>IF(Tank2!$C$23="No control",(SUMIF(Tank2!$B$32:$B$49,$J1411,Tank2!$C$32:$C$49)*Impacts!$F$9),0)</f>
        <v>0</v>
      </c>
      <c r="N1411" s="10">
        <f>IF(Tank3!$C$23="No control",(SUMIF(Tank3!$B$32:$B$49,$J1411,Tank3!$C$32:$C$49)*Impacts!$F$10),0)</f>
        <v>0</v>
      </c>
      <c r="O1411" s="10">
        <f>IF(Tank4!$C$23="No control",(SUMIF(Tank4!$B$32:$B$49,$J1411,Tank4!$C$32:$C$49)*Impacts!$F$11),0)</f>
        <v>0</v>
      </c>
      <c r="P1411" s="10">
        <f>IF(Tank5!$C$23="No control",(SUMIF(Tank5!$B$32:$B$49,$J1411,Tank5!$C$32:$C$49)*Impacts!$F$12),0)</f>
        <v>0</v>
      </c>
      <c r="Q1411" s="10">
        <f>IFERROR(IF(('Loading-drum,tote'!$C$21)="No control",SUMIF(('Loading-drum,tote'!$B$31:$B$48),$J1411,('Loading-drum,tote'!$D$31:$D$48))*Impacts!$F$13,IF(('Loading-drum,tote'!$C$21)&lt;&gt;"No control",SUMIF(('Loading-drum,tote'!$B$31:$B$48),$J1411,('Loading-drum,tote'!$E$31:$E$48))*Impacts!$F$13,0)),0)</f>
        <v>0</v>
      </c>
      <c r="R1411" s="10">
        <f>IFERROR(IF(('Loading-truck'!$C$21)="No control",SUMIF(('Loading-truck'!$B$31:$B$48),$J1411,('Loading-truck'!$D$31:$D$48))*Impacts!$F$14,IF(('Loading-truck'!$C$21)&lt;&gt;"No control",SUMIF(('Loading-truck'!$B$31:$B$48),$J1411,('Loading-truck'!$E$31:$E$48))*Impacts!$F$14,0)),0)</f>
        <v>0</v>
      </c>
      <c r="S1411" s="10">
        <f>IFERROR(IF(('Loading-rail'!$C$21)="No control",SUMIF(('Loading-rail'!$B$31:$B$48),$J1411,('Loading-rail'!$D$31:$D$48))*Impacts!$F$15,IF(('Loading-rail'!$C$21)&lt;&gt;"No control",SUMIF(('Loading-rail'!$B$31:$B$48),$J1411,('Loading-rail'!$E$31:$E$48))*Impacts!$F$15,0)),0)</f>
        <v>0</v>
      </c>
      <c r="T1411" s="10">
        <f>IF(Flare!$C$7="",0,(SUMIF(Flare!$B$46:$B$185,$J1411,Flare!$E$46:$E$185)*Impacts!$F$16))</f>
        <v>0</v>
      </c>
      <c r="U1411" s="10">
        <f>IF(VCU!$C$9="",0,(SUMIF(VCU!$B$51:$B$193,$J1411,VCU!$E$51:$E$193)*Impacts!$F$17))</f>
        <v>0</v>
      </c>
      <c r="V1411" s="10">
        <f>IF(CAS!$C$7="",0,(SUMIF(CAS!$B$31:$B$167,$J1411,CAS!$E$31:$E$167)*Impacts!$F$18))</f>
        <v>0</v>
      </c>
      <c r="W1411" s="10">
        <f t="shared" si="62"/>
        <v>0</v>
      </c>
      <c r="AK1411" s="10" t="str">
        <f t="array" ref="AK1411">IFERROR(INDEX(SelectedSpecies,SMALL(IF(SelectedSpecies=AK$1,ROW(SelectedSpecies)),ROW(1412:1412)),2),"")</f>
        <v/>
      </c>
      <c r="BE1411" s="10"/>
      <c r="BI1411" s="10"/>
    </row>
    <row r="1412" spans="1:61" ht="21" customHeight="1" x14ac:dyDescent="0.25">
      <c r="A1412" s="10"/>
      <c r="B1412" s="10"/>
      <c r="E1412" s="10"/>
      <c r="G1412" s="10"/>
      <c r="I1412" s="436" t="s">
        <v>7816</v>
      </c>
      <c r="J1412" s="26" t="s">
        <v>7815</v>
      </c>
      <c r="K1412" s="10">
        <v>8.0000000000000016E-2</v>
      </c>
      <c r="L1412" s="73">
        <f>IF(Tank1!$C$23="No control",(SUMIF(Tank1!$B$32:$B$49,$J1412,Tank1!$C$32:$C$49)*Impacts!$F$8),0)</f>
        <v>0</v>
      </c>
      <c r="M1412" s="10">
        <f>IF(Tank2!$C$23="No control",(SUMIF(Tank2!$B$32:$B$49,$J1412,Tank2!$C$32:$C$49)*Impacts!$F$9),0)</f>
        <v>0</v>
      </c>
      <c r="N1412" s="10">
        <f>IF(Tank3!$C$23="No control",(SUMIF(Tank3!$B$32:$B$49,$J1412,Tank3!$C$32:$C$49)*Impacts!$F$10),0)</f>
        <v>0</v>
      </c>
      <c r="O1412" s="10">
        <f>IF(Tank4!$C$23="No control",(SUMIF(Tank4!$B$32:$B$49,$J1412,Tank4!$C$32:$C$49)*Impacts!$F$11),0)</f>
        <v>0</v>
      </c>
      <c r="P1412" s="10">
        <f>IF(Tank5!$C$23="No control",(SUMIF(Tank5!$B$32:$B$49,$J1412,Tank5!$C$32:$C$49)*Impacts!$F$12),0)</f>
        <v>0</v>
      </c>
      <c r="Q1412" s="10">
        <f>IFERROR(IF(('Loading-drum,tote'!$C$21)="No control",SUMIF(('Loading-drum,tote'!$B$31:$B$48),$J1412,('Loading-drum,tote'!$D$31:$D$48))*Impacts!$F$13,IF(('Loading-drum,tote'!$C$21)&lt;&gt;"No control",SUMIF(('Loading-drum,tote'!$B$31:$B$48),$J1412,('Loading-drum,tote'!$E$31:$E$48))*Impacts!$F$13,0)),0)</f>
        <v>0</v>
      </c>
      <c r="R1412" s="10">
        <f>IFERROR(IF(('Loading-truck'!$C$21)="No control",SUMIF(('Loading-truck'!$B$31:$B$48),$J1412,('Loading-truck'!$D$31:$D$48))*Impacts!$F$14,IF(('Loading-truck'!$C$21)&lt;&gt;"No control",SUMIF(('Loading-truck'!$B$31:$B$48),$J1412,('Loading-truck'!$E$31:$E$48))*Impacts!$F$14,0)),0)</f>
        <v>0</v>
      </c>
      <c r="S1412" s="10">
        <f>IFERROR(IF(('Loading-rail'!$C$21)="No control",SUMIF(('Loading-rail'!$B$31:$B$48),$J1412,('Loading-rail'!$D$31:$D$48))*Impacts!$F$15,IF(('Loading-rail'!$C$21)&lt;&gt;"No control",SUMIF(('Loading-rail'!$B$31:$B$48),$J1412,('Loading-rail'!$E$31:$E$48))*Impacts!$F$15,0)),0)</f>
        <v>0</v>
      </c>
      <c r="T1412" s="10">
        <f>IF(Flare!$C$7="",0,(SUMIF(Flare!$B$46:$B$185,$J1412,Flare!$E$46:$E$185)*Impacts!$F$16))</f>
        <v>0</v>
      </c>
      <c r="U1412" s="10">
        <f>IF(VCU!$C$9="",0,(SUMIF(VCU!$B$51:$B$193,$J1412,VCU!$E$51:$E$193)*Impacts!$F$17))</f>
        <v>0</v>
      </c>
      <c r="V1412" s="10">
        <f>IF(CAS!$C$7="",0,(SUMIF(CAS!$B$31:$B$167,$J1412,CAS!$E$31:$E$167)*Impacts!$F$18))</f>
        <v>0</v>
      </c>
      <c r="W1412" s="10">
        <f t="shared" si="62"/>
        <v>0</v>
      </c>
      <c r="AK1412" s="10" t="str">
        <f t="array" ref="AK1412">IFERROR(INDEX(SelectedSpecies,SMALL(IF(SelectedSpecies=AK$1,ROW(SelectedSpecies)),ROW(1413:1413)),2),"")</f>
        <v/>
      </c>
      <c r="BE1412" s="10"/>
      <c r="BI1412" s="10"/>
    </row>
    <row r="1413" spans="1:61" ht="21" customHeight="1" x14ac:dyDescent="0.25">
      <c r="A1413" s="10"/>
      <c r="B1413" s="10"/>
      <c r="E1413" s="10"/>
      <c r="G1413" s="10"/>
      <c r="I1413" s="436" t="s">
        <v>4815</v>
      </c>
      <c r="J1413" s="26" t="s">
        <v>4814</v>
      </c>
      <c r="K1413" s="10">
        <v>3</v>
      </c>
      <c r="L1413" s="73">
        <f>IF(Tank1!$C$23="No control",(SUMIF(Tank1!$B$32:$B$49,$J1413,Tank1!$C$32:$C$49)*Impacts!$F$8),0)</f>
        <v>0</v>
      </c>
      <c r="M1413" s="10">
        <f>IF(Tank2!$C$23="No control",(SUMIF(Tank2!$B$32:$B$49,$J1413,Tank2!$C$32:$C$49)*Impacts!$F$9),0)</f>
        <v>0</v>
      </c>
      <c r="N1413" s="10">
        <f>IF(Tank3!$C$23="No control",(SUMIF(Tank3!$B$32:$B$49,$J1413,Tank3!$C$32:$C$49)*Impacts!$F$10),0)</f>
        <v>0</v>
      </c>
      <c r="O1413" s="10">
        <f>IF(Tank4!$C$23="No control",(SUMIF(Tank4!$B$32:$B$49,$J1413,Tank4!$C$32:$C$49)*Impacts!$F$11),0)</f>
        <v>0</v>
      </c>
      <c r="P1413" s="10">
        <f>IF(Tank5!$C$23="No control",(SUMIF(Tank5!$B$32:$B$49,$J1413,Tank5!$C$32:$C$49)*Impacts!$F$12),0)</f>
        <v>0</v>
      </c>
      <c r="Q1413" s="10">
        <f>IFERROR(IF(('Loading-drum,tote'!$C$21)="No control",SUMIF(('Loading-drum,tote'!$B$31:$B$48),$J1413,('Loading-drum,tote'!$D$31:$D$48))*Impacts!$F$13,IF(('Loading-drum,tote'!$C$21)&lt;&gt;"No control",SUMIF(('Loading-drum,tote'!$B$31:$B$48),$J1413,('Loading-drum,tote'!$E$31:$E$48))*Impacts!$F$13,0)),0)</f>
        <v>0</v>
      </c>
      <c r="R1413" s="10">
        <f>IFERROR(IF(('Loading-truck'!$C$21)="No control",SUMIF(('Loading-truck'!$B$31:$B$48),$J1413,('Loading-truck'!$D$31:$D$48))*Impacts!$F$14,IF(('Loading-truck'!$C$21)&lt;&gt;"No control",SUMIF(('Loading-truck'!$B$31:$B$48),$J1413,('Loading-truck'!$E$31:$E$48))*Impacts!$F$14,0)),0)</f>
        <v>0</v>
      </c>
      <c r="S1413" s="10">
        <f>IFERROR(IF(('Loading-rail'!$C$21)="No control",SUMIF(('Loading-rail'!$B$31:$B$48),$J1413,('Loading-rail'!$D$31:$D$48))*Impacts!$F$15,IF(('Loading-rail'!$C$21)&lt;&gt;"No control",SUMIF(('Loading-rail'!$B$31:$B$48),$J1413,('Loading-rail'!$E$31:$E$48))*Impacts!$F$15,0)),0)</f>
        <v>0</v>
      </c>
      <c r="T1413" s="10">
        <f>IF(Flare!$C$7="",0,(SUMIF(Flare!$B$46:$B$185,$J1413,Flare!$E$46:$E$185)*Impacts!$F$16))</f>
        <v>0</v>
      </c>
      <c r="U1413" s="10">
        <f>IF(VCU!$C$9="",0,(SUMIF(VCU!$B$51:$B$193,$J1413,VCU!$E$51:$E$193)*Impacts!$F$17))</f>
        <v>0</v>
      </c>
      <c r="V1413" s="10">
        <f>IF(CAS!$C$7="",0,(SUMIF(CAS!$B$31:$B$167,$J1413,CAS!$E$31:$E$167)*Impacts!$F$18))</f>
        <v>0</v>
      </c>
      <c r="W1413" s="10">
        <f t="shared" si="62"/>
        <v>0</v>
      </c>
      <c r="AK1413" s="10" t="str">
        <f t="array" ref="AK1413">IFERROR(INDEX(SelectedSpecies,SMALL(IF(SelectedSpecies=AK$1,ROW(SelectedSpecies)),ROW(1414:1414)),2),"")</f>
        <v/>
      </c>
      <c r="BE1413" s="10"/>
      <c r="BI1413" s="10"/>
    </row>
    <row r="1414" spans="1:61" ht="21" customHeight="1" x14ac:dyDescent="0.25">
      <c r="A1414" s="10"/>
      <c r="B1414" s="10"/>
      <c r="E1414" s="10"/>
      <c r="G1414" s="10"/>
      <c r="I1414" s="436" t="s">
        <v>5319</v>
      </c>
      <c r="J1414" s="26" t="s">
        <v>5318</v>
      </c>
      <c r="K1414" s="10">
        <v>1.7000000000000002</v>
      </c>
      <c r="L1414" s="73">
        <f>IF(Tank1!$C$23="No control",(SUMIF(Tank1!$B$32:$B$49,$J1414,Tank1!$C$32:$C$49)*Impacts!$F$8),0)</f>
        <v>0</v>
      </c>
      <c r="M1414" s="10">
        <f>IF(Tank2!$C$23="No control",(SUMIF(Tank2!$B$32:$B$49,$J1414,Tank2!$C$32:$C$49)*Impacts!$F$9),0)</f>
        <v>0</v>
      </c>
      <c r="N1414" s="10">
        <f>IF(Tank3!$C$23="No control",(SUMIF(Tank3!$B$32:$B$49,$J1414,Tank3!$C$32:$C$49)*Impacts!$F$10),0)</f>
        <v>0</v>
      </c>
      <c r="O1414" s="10">
        <f>IF(Tank4!$C$23="No control",(SUMIF(Tank4!$B$32:$B$49,$J1414,Tank4!$C$32:$C$49)*Impacts!$F$11),0)</f>
        <v>0</v>
      </c>
      <c r="P1414" s="10">
        <f>IF(Tank5!$C$23="No control",(SUMIF(Tank5!$B$32:$B$49,$J1414,Tank5!$C$32:$C$49)*Impacts!$F$12),0)</f>
        <v>0</v>
      </c>
      <c r="Q1414" s="10">
        <f>IFERROR(IF(('Loading-drum,tote'!$C$21)="No control",SUMIF(('Loading-drum,tote'!$B$31:$B$48),$J1414,('Loading-drum,tote'!$D$31:$D$48))*Impacts!$F$13,IF(('Loading-drum,tote'!$C$21)&lt;&gt;"No control",SUMIF(('Loading-drum,tote'!$B$31:$B$48),$J1414,('Loading-drum,tote'!$E$31:$E$48))*Impacts!$F$13,0)),0)</f>
        <v>0</v>
      </c>
      <c r="R1414" s="10">
        <f>IFERROR(IF(('Loading-truck'!$C$21)="No control",SUMIF(('Loading-truck'!$B$31:$B$48),$J1414,('Loading-truck'!$D$31:$D$48))*Impacts!$F$14,IF(('Loading-truck'!$C$21)&lt;&gt;"No control",SUMIF(('Loading-truck'!$B$31:$B$48),$J1414,('Loading-truck'!$E$31:$E$48))*Impacts!$F$14,0)),0)</f>
        <v>0</v>
      </c>
      <c r="S1414" s="10">
        <f>IFERROR(IF(('Loading-rail'!$C$21)="No control",SUMIF(('Loading-rail'!$B$31:$B$48),$J1414,('Loading-rail'!$D$31:$D$48))*Impacts!$F$15,IF(('Loading-rail'!$C$21)&lt;&gt;"No control",SUMIF(('Loading-rail'!$B$31:$B$48),$J1414,('Loading-rail'!$E$31:$E$48))*Impacts!$F$15,0)),0)</f>
        <v>0</v>
      </c>
      <c r="T1414" s="10">
        <f>IF(Flare!$C$7="",0,(SUMIF(Flare!$B$46:$B$185,$J1414,Flare!$E$46:$E$185)*Impacts!$F$16))</f>
        <v>0</v>
      </c>
      <c r="U1414" s="10">
        <f>IF(VCU!$C$9="",0,(SUMIF(VCU!$B$51:$B$193,$J1414,VCU!$E$51:$E$193)*Impacts!$F$17))</f>
        <v>0</v>
      </c>
      <c r="V1414" s="10">
        <f>IF(CAS!$C$7="",0,(SUMIF(CAS!$B$31:$B$167,$J1414,CAS!$E$31:$E$167)*Impacts!$F$18))</f>
        <v>0</v>
      </c>
      <c r="W1414" s="10">
        <f t="shared" si="62"/>
        <v>0</v>
      </c>
      <c r="AK1414" s="10" t="str">
        <f t="array" ref="AK1414">IFERROR(INDEX(SelectedSpecies,SMALL(IF(SelectedSpecies=AK$1,ROW(SelectedSpecies)),ROW(1415:1415)),2),"")</f>
        <v/>
      </c>
      <c r="BE1414" s="10"/>
      <c r="BI1414" s="10"/>
    </row>
    <row r="1415" spans="1:61" ht="21" customHeight="1" x14ac:dyDescent="0.25">
      <c r="A1415" s="10"/>
      <c r="B1415" s="10"/>
      <c r="E1415" s="10"/>
      <c r="G1415" s="10"/>
      <c r="I1415" s="436" t="s">
        <v>4273</v>
      </c>
      <c r="J1415" s="26" t="s">
        <v>4272</v>
      </c>
      <c r="K1415" s="10">
        <v>5</v>
      </c>
      <c r="L1415" s="73">
        <f>IF(Tank1!$C$23="No control",(SUMIF(Tank1!$B$32:$B$49,$J1415,Tank1!$C$32:$C$49)*Impacts!$F$8),0)</f>
        <v>0</v>
      </c>
      <c r="M1415" s="10">
        <f>IF(Tank2!$C$23="No control",(SUMIF(Tank2!$B$32:$B$49,$J1415,Tank2!$C$32:$C$49)*Impacts!$F$9),0)</f>
        <v>0</v>
      </c>
      <c r="N1415" s="10">
        <f>IF(Tank3!$C$23="No control",(SUMIF(Tank3!$B$32:$B$49,$J1415,Tank3!$C$32:$C$49)*Impacts!$F$10),0)</f>
        <v>0</v>
      </c>
      <c r="O1415" s="10">
        <f>IF(Tank4!$C$23="No control",(SUMIF(Tank4!$B$32:$B$49,$J1415,Tank4!$C$32:$C$49)*Impacts!$F$11),0)</f>
        <v>0</v>
      </c>
      <c r="P1415" s="10">
        <f>IF(Tank5!$C$23="No control",(SUMIF(Tank5!$B$32:$B$49,$J1415,Tank5!$C$32:$C$49)*Impacts!$F$12),0)</f>
        <v>0</v>
      </c>
      <c r="Q1415" s="10">
        <f>IFERROR(IF(('Loading-drum,tote'!$C$21)="No control",SUMIF(('Loading-drum,tote'!$B$31:$B$48),$J1415,('Loading-drum,tote'!$D$31:$D$48))*Impacts!$F$13,IF(('Loading-drum,tote'!$C$21)&lt;&gt;"No control",SUMIF(('Loading-drum,tote'!$B$31:$B$48),$J1415,('Loading-drum,tote'!$E$31:$E$48))*Impacts!$F$13,0)),0)</f>
        <v>0</v>
      </c>
      <c r="R1415" s="10">
        <f>IFERROR(IF(('Loading-truck'!$C$21)="No control",SUMIF(('Loading-truck'!$B$31:$B$48),$J1415,('Loading-truck'!$D$31:$D$48))*Impacts!$F$14,IF(('Loading-truck'!$C$21)&lt;&gt;"No control",SUMIF(('Loading-truck'!$B$31:$B$48),$J1415,('Loading-truck'!$E$31:$E$48))*Impacts!$F$14,0)),0)</f>
        <v>0</v>
      </c>
      <c r="S1415" s="10">
        <f>IFERROR(IF(('Loading-rail'!$C$21)="No control",SUMIF(('Loading-rail'!$B$31:$B$48),$J1415,('Loading-rail'!$D$31:$D$48))*Impacts!$F$15,IF(('Loading-rail'!$C$21)&lt;&gt;"No control",SUMIF(('Loading-rail'!$B$31:$B$48),$J1415,('Loading-rail'!$E$31:$E$48))*Impacts!$F$15,0)),0)</f>
        <v>0</v>
      </c>
      <c r="T1415" s="10">
        <f>IF(Flare!$C$7="",0,(SUMIF(Flare!$B$46:$B$185,$J1415,Flare!$E$46:$E$185)*Impacts!$F$16))</f>
        <v>0</v>
      </c>
      <c r="U1415" s="10">
        <f>IF(VCU!$C$9="",0,(SUMIF(VCU!$B$51:$B$193,$J1415,VCU!$E$51:$E$193)*Impacts!$F$17))</f>
        <v>0</v>
      </c>
      <c r="V1415" s="10">
        <f>IF(CAS!$C$7="",0,(SUMIF(CAS!$B$31:$B$167,$J1415,CAS!$E$31:$E$167)*Impacts!$F$18))</f>
        <v>0</v>
      </c>
      <c r="W1415" s="10">
        <f t="shared" si="62"/>
        <v>0</v>
      </c>
      <c r="AK1415" s="10" t="str">
        <f t="array" ref="AK1415">IFERROR(INDEX(SelectedSpecies,SMALL(IF(SelectedSpecies=AK$1,ROW(SelectedSpecies)),ROW(1416:1416)),2),"")</f>
        <v/>
      </c>
      <c r="BE1415" s="10"/>
      <c r="BI1415" s="10"/>
    </row>
    <row r="1416" spans="1:61" ht="21" customHeight="1" x14ac:dyDescent="0.25">
      <c r="A1416" s="10"/>
      <c r="B1416" s="10"/>
      <c r="E1416" s="10"/>
      <c r="G1416" s="10"/>
      <c r="I1416" s="436" t="s">
        <v>5840</v>
      </c>
      <c r="J1416" s="26" t="s">
        <v>5839</v>
      </c>
      <c r="K1416" s="10">
        <v>1</v>
      </c>
      <c r="L1416" s="73">
        <f>IF(Tank1!$C$23="No control",(SUMIF(Tank1!$B$32:$B$49,$J1416,Tank1!$C$32:$C$49)*Impacts!$F$8),0)</f>
        <v>0</v>
      </c>
      <c r="M1416" s="10">
        <f>IF(Tank2!$C$23="No control",(SUMIF(Tank2!$B$32:$B$49,$J1416,Tank2!$C$32:$C$49)*Impacts!$F$9),0)</f>
        <v>0</v>
      </c>
      <c r="N1416" s="10">
        <f>IF(Tank3!$C$23="No control",(SUMIF(Tank3!$B$32:$B$49,$J1416,Tank3!$C$32:$C$49)*Impacts!$F$10),0)</f>
        <v>0</v>
      </c>
      <c r="O1416" s="10">
        <f>IF(Tank4!$C$23="No control",(SUMIF(Tank4!$B$32:$B$49,$J1416,Tank4!$C$32:$C$49)*Impacts!$F$11),0)</f>
        <v>0</v>
      </c>
      <c r="P1416" s="10">
        <f>IF(Tank5!$C$23="No control",(SUMIF(Tank5!$B$32:$B$49,$J1416,Tank5!$C$32:$C$49)*Impacts!$F$12),0)</f>
        <v>0</v>
      </c>
      <c r="Q1416" s="10">
        <f>IFERROR(IF(('Loading-drum,tote'!$C$21)="No control",SUMIF(('Loading-drum,tote'!$B$31:$B$48),$J1416,('Loading-drum,tote'!$D$31:$D$48))*Impacts!$F$13,IF(('Loading-drum,tote'!$C$21)&lt;&gt;"No control",SUMIF(('Loading-drum,tote'!$B$31:$B$48),$J1416,('Loading-drum,tote'!$E$31:$E$48))*Impacts!$F$13,0)),0)</f>
        <v>0</v>
      </c>
      <c r="R1416" s="10">
        <f>IFERROR(IF(('Loading-truck'!$C$21)="No control",SUMIF(('Loading-truck'!$B$31:$B$48),$J1416,('Loading-truck'!$D$31:$D$48))*Impacts!$F$14,IF(('Loading-truck'!$C$21)&lt;&gt;"No control",SUMIF(('Loading-truck'!$B$31:$B$48),$J1416,('Loading-truck'!$E$31:$E$48))*Impacts!$F$14,0)),0)</f>
        <v>0</v>
      </c>
      <c r="S1416" s="10">
        <f>IFERROR(IF(('Loading-rail'!$C$21)="No control",SUMIF(('Loading-rail'!$B$31:$B$48),$J1416,('Loading-rail'!$D$31:$D$48))*Impacts!$F$15,IF(('Loading-rail'!$C$21)&lt;&gt;"No control",SUMIF(('Loading-rail'!$B$31:$B$48),$J1416,('Loading-rail'!$E$31:$E$48))*Impacts!$F$15,0)),0)</f>
        <v>0</v>
      </c>
      <c r="T1416" s="10">
        <f>IF(Flare!$C$7="",0,(SUMIF(Flare!$B$46:$B$185,$J1416,Flare!$E$46:$E$185)*Impacts!$F$16))</f>
        <v>0</v>
      </c>
      <c r="U1416" s="10">
        <f>IF(VCU!$C$9="",0,(SUMIF(VCU!$B$51:$B$193,$J1416,VCU!$E$51:$E$193)*Impacts!$F$17))</f>
        <v>0</v>
      </c>
      <c r="V1416" s="10">
        <f>IF(CAS!$C$7="",0,(SUMIF(CAS!$B$31:$B$167,$J1416,CAS!$E$31:$E$167)*Impacts!$F$18))</f>
        <v>0</v>
      </c>
      <c r="W1416" s="10">
        <f t="shared" si="62"/>
        <v>0</v>
      </c>
      <c r="AK1416" s="10" t="str">
        <f t="array" ref="AK1416">IFERROR(INDEX(SelectedSpecies,SMALL(IF(SelectedSpecies=AK$1,ROW(SelectedSpecies)),ROW(1417:1417)),2),"")</f>
        <v/>
      </c>
      <c r="BE1416" s="10"/>
      <c r="BI1416" s="10"/>
    </row>
    <row r="1417" spans="1:61" ht="21" customHeight="1" x14ac:dyDescent="0.25">
      <c r="A1417" s="10"/>
      <c r="B1417" s="10"/>
      <c r="E1417" s="10"/>
      <c r="G1417" s="10"/>
      <c r="I1417" s="436" t="s">
        <v>3747</v>
      </c>
      <c r="J1417" s="26" t="s">
        <v>3746</v>
      </c>
      <c r="K1417" s="10">
        <v>6.1000000000000005</v>
      </c>
      <c r="L1417" s="73">
        <f>IF(Tank1!$C$23="No control",(SUMIF(Tank1!$B$32:$B$49,$J1417,Tank1!$C$32:$C$49)*Impacts!$F$8),0)</f>
        <v>0</v>
      </c>
      <c r="M1417" s="10">
        <f>IF(Tank2!$C$23="No control",(SUMIF(Tank2!$B$32:$B$49,$J1417,Tank2!$C$32:$C$49)*Impacts!$F$9),0)</f>
        <v>0</v>
      </c>
      <c r="N1417" s="10">
        <f>IF(Tank3!$C$23="No control",(SUMIF(Tank3!$B$32:$B$49,$J1417,Tank3!$C$32:$C$49)*Impacts!$F$10),0)</f>
        <v>0</v>
      </c>
      <c r="O1417" s="10">
        <f>IF(Tank4!$C$23="No control",(SUMIF(Tank4!$B$32:$B$49,$J1417,Tank4!$C$32:$C$49)*Impacts!$F$11),0)</f>
        <v>0</v>
      </c>
      <c r="P1417" s="10">
        <f>IF(Tank5!$C$23="No control",(SUMIF(Tank5!$B$32:$B$49,$J1417,Tank5!$C$32:$C$49)*Impacts!$F$12),0)</f>
        <v>0</v>
      </c>
      <c r="Q1417" s="10">
        <f>IFERROR(IF(('Loading-drum,tote'!$C$21)="No control",SUMIF(('Loading-drum,tote'!$B$31:$B$48),$J1417,('Loading-drum,tote'!$D$31:$D$48))*Impacts!$F$13,IF(('Loading-drum,tote'!$C$21)&lt;&gt;"No control",SUMIF(('Loading-drum,tote'!$B$31:$B$48),$J1417,('Loading-drum,tote'!$E$31:$E$48))*Impacts!$F$13,0)),0)</f>
        <v>0</v>
      </c>
      <c r="R1417" s="10">
        <f>IFERROR(IF(('Loading-truck'!$C$21)="No control",SUMIF(('Loading-truck'!$B$31:$B$48),$J1417,('Loading-truck'!$D$31:$D$48))*Impacts!$F$14,IF(('Loading-truck'!$C$21)&lt;&gt;"No control",SUMIF(('Loading-truck'!$B$31:$B$48),$J1417,('Loading-truck'!$E$31:$E$48))*Impacts!$F$14,0)),0)</f>
        <v>0</v>
      </c>
      <c r="S1417" s="10">
        <f>IFERROR(IF(('Loading-rail'!$C$21)="No control",SUMIF(('Loading-rail'!$B$31:$B$48),$J1417,('Loading-rail'!$D$31:$D$48))*Impacts!$F$15,IF(('Loading-rail'!$C$21)&lt;&gt;"No control",SUMIF(('Loading-rail'!$B$31:$B$48),$J1417,('Loading-rail'!$E$31:$E$48))*Impacts!$F$15,0)),0)</f>
        <v>0</v>
      </c>
      <c r="T1417" s="10">
        <f>IF(Flare!$C$7="",0,(SUMIF(Flare!$B$46:$B$185,$J1417,Flare!$E$46:$E$185)*Impacts!$F$16))</f>
        <v>0</v>
      </c>
      <c r="U1417" s="10">
        <f>IF(VCU!$C$9="",0,(SUMIF(VCU!$B$51:$B$193,$J1417,VCU!$E$51:$E$193)*Impacts!$F$17))</f>
        <v>0</v>
      </c>
      <c r="V1417" s="10">
        <f>IF(CAS!$C$7="",0,(SUMIF(CAS!$B$31:$B$167,$J1417,CAS!$E$31:$E$167)*Impacts!$F$18))</f>
        <v>0</v>
      </c>
      <c r="W1417" s="10">
        <f t="shared" si="62"/>
        <v>0</v>
      </c>
      <c r="AK1417" s="10" t="str">
        <f t="array" ref="AK1417">IFERROR(INDEX(SelectedSpecies,SMALL(IF(SelectedSpecies=AK$1,ROW(SelectedSpecies)),ROW(1418:1418)),2),"")</f>
        <v/>
      </c>
      <c r="BE1417" s="10"/>
      <c r="BI1417" s="10"/>
    </row>
    <row r="1418" spans="1:61" ht="21" customHeight="1" x14ac:dyDescent="0.25">
      <c r="A1418" s="10"/>
      <c r="B1418" s="10"/>
      <c r="E1418" s="10"/>
      <c r="G1418" s="10"/>
      <c r="I1418" s="436" t="s">
        <v>3795</v>
      </c>
      <c r="J1418" s="26" t="s">
        <v>3794</v>
      </c>
      <c r="K1418" s="10">
        <v>6</v>
      </c>
      <c r="L1418" s="73">
        <f>IF(Tank1!$C$23="No control",(SUMIF(Tank1!$B$32:$B$49,$J1418,Tank1!$C$32:$C$49)*Impacts!$F$8),0)</f>
        <v>0</v>
      </c>
      <c r="M1418" s="10">
        <f>IF(Tank2!$C$23="No control",(SUMIF(Tank2!$B$32:$B$49,$J1418,Tank2!$C$32:$C$49)*Impacts!$F$9),0)</f>
        <v>0</v>
      </c>
      <c r="N1418" s="10">
        <f>IF(Tank3!$C$23="No control",(SUMIF(Tank3!$B$32:$B$49,$J1418,Tank3!$C$32:$C$49)*Impacts!$F$10),0)</f>
        <v>0</v>
      </c>
      <c r="O1418" s="10">
        <f>IF(Tank4!$C$23="No control",(SUMIF(Tank4!$B$32:$B$49,$J1418,Tank4!$C$32:$C$49)*Impacts!$F$11),0)</f>
        <v>0</v>
      </c>
      <c r="P1418" s="10">
        <f>IF(Tank5!$C$23="No control",(SUMIF(Tank5!$B$32:$B$49,$J1418,Tank5!$C$32:$C$49)*Impacts!$F$12),0)</f>
        <v>0</v>
      </c>
      <c r="Q1418" s="10">
        <f>IFERROR(IF(('Loading-drum,tote'!$C$21)="No control",SUMIF(('Loading-drum,tote'!$B$31:$B$48),$J1418,('Loading-drum,tote'!$D$31:$D$48))*Impacts!$F$13,IF(('Loading-drum,tote'!$C$21)&lt;&gt;"No control",SUMIF(('Loading-drum,tote'!$B$31:$B$48),$J1418,('Loading-drum,tote'!$E$31:$E$48))*Impacts!$F$13,0)),0)</f>
        <v>0</v>
      </c>
      <c r="R1418" s="10">
        <f>IFERROR(IF(('Loading-truck'!$C$21)="No control",SUMIF(('Loading-truck'!$B$31:$B$48),$J1418,('Loading-truck'!$D$31:$D$48))*Impacts!$F$14,IF(('Loading-truck'!$C$21)&lt;&gt;"No control",SUMIF(('Loading-truck'!$B$31:$B$48),$J1418,('Loading-truck'!$E$31:$E$48))*Impacts!$F$14,0)),0)</f>
        <v>0</v>
      </c>
      <c r="S1418" s="10">
        <f>IFERROR(IF(('Loading-rail'!$C$21)="No control",SUMIF(('Loading-rail'!$B$31:$B$48),$J1418,('Loading-rail'!$D$31:$D$48))*Impacts!$F$15,IF(('Loading-rail'!$C$21)&lt;&gt;"No control",SUMIF(('Loading-rail'!$B$31:$B$48),$J1418,('Loading-rail'!$E$31:$E$48))*Impacts!$F$15,0)),0)</f>
        <v>0</v>
      </c>
      <c r="T1418" s="10">
        <f>IF(Flare!$C$7="",0,(SUMIF(Flare!$B$46:$B$185,$J1418,Flare!$E$46:$E$185)*Impacts!$F$16))</f>
        <v>0</v>
      </c>
      <c r="U1418" s="10">
        <f>IF(VCU!$C$9="",0,(SUMIF(VCU!$B$51:$B$193,$J1418,VCU!$E$51:$E$193)*Impacts!$F$17))</f>
        <v>0</v>
      </c>
      <c r="V1418" s="10">
        <f>IF(CAS!$C$7="",0,(SUMIF(CAS!$B$31:$B$167,$J1418,CAS!$E$31:$E$167)*Impacts!$F$18))</f>
        <v>0</v>
      </c>
      <c r="W1418" s="10">
        <f t="shared" si="62"/>
        <v>0</v>
      </c>
      <c r="AK1418" s="10" t="str">
        <f t="array" ref="AK1418">IFERROR(INDEX(SelectedSpecies,SMALL(IF(SelectedSpecies=AK$1,ROW(SelectedSpecies)),ROW(1419:1419)),2),"")</f>
        <v/>
      </c>
      <c r="BE1418" s="10"/>
      <c r="BI1418" s="10"/>
    </row>
    <row r="1419" spans="1:61" ht="21" customHeight="1" x14ac:dyDescent="0.25">
      <c r="A1419" s="10"/>
      <c r="B1419" s="10"/>
      <c r="E1419" s="10"/>
      <c r="G1419" s="10"/>
      <c r="I1419" s="436" t="s">
        <v>4189</v>
      </c>
      <c r="J1419" s="26" t="s">
        <v>4188</v>
      </c>
      <c r="K1419" s="10">
        <v>5</v>
      </c>
      <c r="L1419" s="73">
        <f>IF(Tank1!$C$23="No control",(SUMIF(Tank1!$B$32:$B$49,$J1419,Tank1!$C$32:$C$49)*Impacts!$F$8),0)</f>
        <v>0</v>
      </c>
      <c r="M1419" s="10">
        <f>IF(Tank2!$C$23="No control",(SUMIF(Tank2!$B$32:$B$49,$J1419,Tank2!$C$32:$C$49)*Impacts!$F$9),0)</f>
        <v>0</v>
      </c>
      <c r="N1419" s="10">
        <f>IF(Tank3!$C$23="No control",(SUMIF(Tank3!$B$32:$B$49,$J1419,Tank3!$C$32:$C$49)*Impacts!$F$10),0)</f>
        <v>0</v>
      </c>
      <c r="O1419" s="10">
        <f>IF(Tank4!$C$23="No control",(SUMIF(Tank4!$B$32:$B$49,$J1419,Tank4!$C$32:$C$49)*Impacts!$F$11),0)</f>
        <v>0</v>
      </c>
      <c r="P1419" s="10">
        <f>IF(Tank5!$C$23="No control",(SUMIF(Tank5!$B$32:$B$49,$J1419,Tank5!$C$32:$C$49)*Impacts!$F$12),0)</f>
        <v>0</v>
      </c>
      <c r="Q1419" s="10">
        <f>IFERROR(IF(('Loading-drum,tote'!$C$21)="No control",SUMIF(('Loading-drum,tote'!$B$31:$B$48),$J1419,('Loading-drum,tote'!$D$31:$D$48))*Impacts!$F$13,IF(('Loading-drum,tote'!$C$21)&lt;&gt;"No control",SUMIF(('Loading-drum,tote'!$B$31:$B$48),$J1419,('Loading-drum,tote'!$E$31:$E$48))*Impacts!$F$13,0)),0)</f>
        <v>0</v>
      </c>
      <c r="R1419" s="10">
        <f>IFERROR(IF(('Loading-truck'!$C$21)="No control",SUMIF(('Loading-truck'!$B$31:$B$48),$J1419,('Loading-truck'!$D$31:$D$48))*Impacts!$F$14,IF(('Loading-truck'!$C$21)&lt;&gt;"No control",SUMIF(('Loading-truck'!$B$31:$B$48),$J1419,('Loading-truck'!$E$31:$E$48))*Impacts!$F$14,0)),0)</f>
        <v>0</v>
      </c>
      <c r="S1419" s="10">
        <f>IFERROR(IF(('Loading-rail'!$C$21)="No control",SUMIF(('Loading-rail'!$B$31:$B$48),$J1419,('Loading-rail'!$D$31:$D$48))*Impacts!$F$15,IF(('Loading-rail'!$C$21)&lt;&gt;"No control",SUMIF(('Loading-rail'!$B$31:$B$48),$J1419,('Loading-rail'!$E$31:$E$48))*Impacts!$F$15,0)),0)</f>
        <v>0</v>
      </c>
      <c r="T1419" s="10">
        <f>IF(Flare!$C$7="",0,(SUMIF(Flare!$B$46:$B$185,$J1419,Flare!$E$46:$E$185)*Impacts!$F$16))</f>
        <v>0</v>
      </c>
      <c r="U1419" s="10">
        <f>IF(VCU!$C$9="",0,(SUMIF(VCU!$B$51:$B$193,$J1419,VCU!$E$51:$E$193)*Impacts!$F$17))</f>
        <v>0</v>
      </c>
      <c r="V1419" s="10">
        <f>IF(CAS!$C$7="",0,(SUMIF(CAS!$B$31:$B$167,$J1419,CAS!$E$31:$E$167)*Impacts!$F$18))</f>
        <v>0</v>
      </c>
      <c r="W1419" s="10">
        <f t="shared" si="62"/>
        <v>0</v>
      </c>
      <c r="AK1419" s="10" t="str">
        <f t="array" ref="AK1419">IFERROR(INDEX(SelectedSpecies,SMALL(IF(SelectedSpecies=AK$1,ROW(SelectedSpecies)),ROW(1420:1420)),2),"")</f>
        <v/>
      </c>
      <c r="BE1419" s="10"/>
      <c r="BI1419" s="10"/>
    </row>
    <row r="1420" spans="1:61" ht="21" customHeight="1" x14ac:dyDescent="0.25">
      <c r="A1420" s="10"/>
      <c r="B1420" s="10"/>
      <c r="E1420" s="10"/>
      <c r="G1420" s="10"/>
      <c r="I1420" s="436" t="s">
        <v>3931</v>
      </c>
      <c r="J1420" s="26" t="s">
        <v>3930</v>
      </c>
      <c r="K1420" s="10">
        <v>6</v>
      </c>
      <c r="L1420" s="73">
        <f>IF(Tank1!$C$23="No control",(SUMIF(Tank1!$B$32:$B$49,$J1420,Tank1!$C$32:$C$49)*Impacts!$F$8),0)</f>
        <v>0</v>
      </c>
      <c r="M1420" s="10">
        <f>IF(Tank2!$C$23="No control",(SUMIF(Tank2!$B$32:$B$49,$J1420,Tank2!$C$32:$C$49)*Impacts!$F$9),0)</f>
        <v>0</v>
      </c>
      <c r="N1420" s="10">
        <f>IF(Tank3!$C$23="No control",(SUMIF(Tank3!$B$32:$B$49,$J1420,Tank3!$C$32:$C$49)*Impacts!$F$10),0)</f>
        <v>0</v>
      </c>
      <c r="O1420" s="10">
        <f>IF(Tank4!$C$23="No control",(SUMIF(Tank4!$B$32:$B$49,$J1420,Tank4!$C$32:$C$49)*Impacts!$F$11),0)</f>
        <v>0</v>
      </c>
      <c r="P1420" s="10">
        <f>IF(Tank5!$C$23="No control",(SUMIF(Tank5!$B$32:$B$49,$J1420,Tank5!$C$32:$C$49)*Impacts!$F$12),0)</f>
        <v>0</v>
      </c>
      <c r="Q1420" s="10">
        <f>IFERROR(IF(('Loading-drum,tote'!$C$21)="No control",SUMIF(('Loading-drum,tote'!$B$31:$B$48),$J1420,('Loading-drum,tote'!$D$31:$D$48))*Impacts!$F$13,IF(('Loading-drum,tote'!$C$21)&lt;&gt;"No control",SUMIF(('Loading-drum,tote'!$B$31:$B$48),$J1420,('Loading-drum,tote'!$E$31:$E$48))*Impacts!$F$13,0)),0)</f>
        <v>0</v>
      </c>
      <c r="R1420" s="10">
        <f>IFERROR(IF(('Loading-truck'!$C$21)="No control",SUMIF(('Loading-truck'!$B$31:$B$48),$J1420,('Loading-truck'!$D$31:$D$48))*Impacts!$F$14,IF(('Loading-truck'!$C$21)&lt;&gt;"No control",SUMIF(('Loading-truck'!$B$31:$B$48),$J1420,('Loading-truck'!$E$31:$E$48))*Impacts!$F$14,0)),0)</f>
        <v>0</v>
      </c>
      <c r="S1420" s="10">
        <f>IFERROR(IF(('Loading-rail'!$C$21)="No control",SUMIF(('Loading-rail'!$B$31:$B$48),$J1420,('Loading-rail'!$D$31:$D$48))*Impacts!$F$15,IF(('Loading-rail'!$C$21)&lt;&gt;"No control",SUMIF(('Loading-rail'!$B$31:$B$48),$J1420,('Loading-rail'!$E$31:$E$48))*Impacts!$F$15,0)),0)</f>
        <v>0</v>
      </c>
      <c r="T1420" s="10">
        <f>IF(Flare!$C$7="",0,(SUMIF(Flare!$B$46:$B$185,$J1420,Flare!$E$46:$E$185)*Impacts!$F$16))</f>
        <v>0</v>
      </c>
      <c r="U1420" s="10">
        <f>IF(VCU!$C$9="",0,(SUMIF(VCU!$B$51:$B$193,$J1420,VCU!$E$51:$E$193)*Impacts!$F$17))</f>
        <v>0</v>
      </c>
      <c r="V1420" s="10">
        <f>IF(CAS!$C$7="",0,(SUMIF(CAS!$B$31:$B$167,$J1420,CAS!$E$31:$E$167)*Impacts!$F$18))</f>
        <v>0</v>
      </c>
      <c r="W1420" s="10">
        <f t="shared" si="62"/>
        <v>0</v>
      </c>
      <c r="AK1420" s="10" t="str">
        <f t="array" ref="AK1420">IFERROR(INDEX(SelectedSpecies,SMALL(IF(SelectedSpecies=AK$1,ROW(SelectedSpecies)),ROW(1421:1421)),2),"")</f>
        <v/>
      </c>
      <c r="BE1420" s="10"/>
      <c r="BI1420" s="10"/>
    </row>
    <row r="1421" spans="1:61" ht="21" customHeight="1" x14ac:dyDescent="0.25">
      <c r="A1421" s="10"/>
      <c r="B1421" s="10"/>
      <c r="E1421" s="10"/>
      <c r="G1421" s="10"/>
      <c r="I1421" s="436" t="s">
        <v>1230</v>
      </c>
      <c r="J1421" s="26" t="s">
        <v>1229</v>
      </c>
      <c r="K1421" s="10">
        <v>34</v>
      </c>
      <c r="L1421" s="73">
        <f>IF(Tank1!$C$23="No control",(SUMIF(Tank1!$B$32:$B$49,$J1421,Tank1!$C$32:$C$49)*Impacts!$F$8),0)</f>
        <v>0</v>
      </c>
      <c r="M1421" s="10">
        <f>IF(Tank2!$C$23="No control",(SUMIF(Tank2!$B$32:$B$49,$J1421,Tank2!$C$32:$C$49)*Impacts!$F$9),0)</f>
        <v>0</v>
      </c>
      <c r="N1421" s="10">
        <f>IF(Tank3!$C$23="No control",(SUMIF(Tank3!$B$32:$B$49,$J1421,Tank3!$C$32:$C$49)*Impacts!$F$10),0)</f>
        <v>0</v>
      </c>
      <c r="O1421" s="10">
        <f>IF(Tank4!$C$23="No control",(SUMIF(Tank4!$B$32:$B$49,$J1421,Tank4!$C$32:$C$49)*Impacts!$F$11),0)</f>
        <v>0</v>
      </c>
      <c r="P1421" s="10">
        <f>IF(Tank5!$C$23="No control",(SUMIF(Tank5!$B$32:$B$49,$J1421,Tank5!$C$32:$C$49)*Impacts!$F$12),0)</f>
        <v>0</v>
      </c>
      <c r="Q1421" s="10">
        <f>IFERROR(IF(('Loading-drum,tote'!$C$21)="No control",SUMIF(('Loading-drum,tote'!$B$31:$B$48),$J1421,('Loading-drum,tote'!$D$31:$D$48))*Impacts!$F$13,IF(('Loading-drum,tote'!$C$21)&lt;&gt;"No control",SUMIF(('Loading-drum,tote'!$B$31:$B$48),$J1421,('Loading-drum,tote'!$E$31:$E$48))*Impacts!$F$13,0)),0)</f>
        <v>0</v>
      </c>
      <c r="R1421" s="10">
        <f>IFERROR(IF(('Loading-truck'!$C$21)="No control",SUMIF(('Loading-truck'!$B$31:$B$48),$J1421,('Loading-truck'!$D$31:$D$48))*Impacts!$F$14,IF(('Loading-truck'!$C$21)&lt;&gt;"No control",SUMIF(('Loading-truck'!$B$31:$B$48),$J1421,('Loading-truck'!$E$31:$E$48))*Impacts!$F$14,0)),0)</f>
        <v>0</v>
      </c>
      <c r="S1421" s="10">
        <f>IFERROR(IF(('Loading-rail'!$C$21)="No control",SUMIF(('Loading-rail'!$B$31:$B$48),$J1421,('Loading-rail'!$D$31:$D$48))*Impacts!$F$15,IF(('Loading-rail'!$C$21)&lt;&gt;"No control",SUMIF(('Loading-rail'!$B$31:$B$48),$J1421,('Loading-rail'!$E$31:$E$48))*Impacts!$F$15,0)),0)</f>
        <v>0</v>
      </c>
      <c r="T1421" s="10">
        <f>IF(Flare!$C$7="",0,(SUMIF(Flare!$B$46:$B$185,$J1421,Flare!$E$46:$E$185)*Impacts!$F$16))</f>
        <v>0</v>
      </c>
      <c r="U1421" s="10">
        <f>IF(VCU!$C$9="",0,(SUMIF(VCU!$B$51:$B$193,$J1421,VCU!$E$51:$E$193)*Impacts!$F$17))</f>
        <v>0</v>
      </c>
      <c r="V1421" s="10">
        <f>IF(CAS!$C$7="",0,(SUMIF(CAS!$B$31:$B$167,$J1421,CAS!$E$31:$E$167)*Impacts!$F$18))</f>
        <v>0</v>
      </c>
      <c r="W1421" s="10">
        <f t="shared" si="62"/>
        <v>0</v>
      </c>
      <c r="AK1421" s="10" t="str">
        <f t="array" ref="AK1421">IFERROR(INDEX(SelectedSpecies,SMALL(IF(SelectedSpecies=AK$1,ROW(SelectedSpecies)),ROW(1422:1422)),2),"")</f>
        <v/>
      </c>
      <c r="BE1421" s="10"/>
      <c r="BI1421" s="10"/>
    </row>
    <row r="1422" spans="1:61" ht="21" customHeight="1" x14ac:dyDescent="0.25">
      <c r="A1422" s="10"/>
      <c r="B1422" s="10"/>
      <c r="E1422" s="10"/>
      <c r="G1422" s="10"/>
      <c r="I1422" s="436" t="s">
        <v>5599</v>
      </c>
      <c r="J1422" s="26" t="s">
        <v>5598</v>
      </c>
      <c r="K1422" s="10">
        <v>1.1000000000000001</v>
      </c>
      <c r="L1422" s="73">
        <f>IF(Tank1!$C$23="No control",(SUMIF(Tank1!$B$32:$B$49,$J1422,Tank1!$C$32:$C$49)*Impacts!$F$8),0)</f>
        <v>0</v>
      </c>
      <c r="M1422" s="10">
        <f>IF(Tank2!$C$23="No control",(SUMIF(Tank2!$B$32:$B$49,$J1422,Tank2!$C$32:$C$49)*Impacts!$F$9),0)</f>
        <v>0</v>
      </c>
      <c r="N1422" s="10">
        <f>IF(Tank3!$C$23="No control",(SUMIF(Tank3!$B$32:$B$49,$J1422,Tank3!$C$32:$C$49)*Impacts!$F$10),0)</f>
        <v>0</v>
      </c>
      <c r="O1422" s="10">
        <f>IF(Tank4!$C$23="No control",(SUMIF(Tank4!$B$32:$B$49,$J1422,Tank4!$C$32:$C$49)*Impacts!$F$11),0)</f>
        <v>0</v>
      </c>
      <c r="P1422" s="10">
        <f>IF(Tank5!$C$23="No control",(SUMIF(Tank5!$B$32:$B$49,$J1422,Tank5!$C$32:$C$49)*Impacts!$F$12),0)</f>
        <v>0</v>
      </c>
      <c r="Q1422" s="10">
        <f>IFERROR(IF(('Loading-drum,tote'!$C$21)="No control",SUMIF(('Loading-drum,tote'!$B$31:$B$48),$J1422,('Loading-drum,tote'!$D$31:$D$48))*Impacts!$F$13,IF(('Loading-drum,tote'!$C$21)&lt;&gt;"No control",SUMIF(('Loading-drum,tote'!$B$31:$B$48),$J1422,('Loading-drum,tote'!$E$31:$E$48))*Impacts!$F$13,0)),0)</f>
        <v>0</v>
      </c>
      <c r="R1422" s="10">
        <f>IFERROR(IF(('Loading-truck'!$C$21)="No control",SUMIF(('Loading-truck'!$B$31:$B$48),$J1422,('Loading-truck'!$D$31:$D$48))*Impacts!$F$14,IF(('Loading-truck'!$C$21)&lt;&gt;"No control",SUMIF(('Loading-truck'!$B$31:$B$48),$J1422,('Loading-truck'!$E$31:$E$48))*Impacts!$F$14,0)),0)</f>
        <v>0</v>
      </c>
      <c r="S1422" s="10">
        <f>IFERROR(IF(('Loading-rail'!$C$21)="No control",SUMIF(('Loading-rail'!$B$31:$B$48),$J1422,('Loading-rail'!$D$31:$D$48))*Impacts!$F$15,IF(('Loading-rail'!$C$21)&lt;&gt;"No control",SUMIF(('Loading-rail'!$B$31:$B$48),$J1422,('Loading-rail'!$E$31:$E$48))*Impacts!$F$15,0)),0)</f>
        <v>0</v>
      </c>
      <c r="T1422" s="10">
        <f>IF(Flare!$C$7="",0,(SUMIF(Flare!$B$46:$B$185,$J1422,Flare!$E$46:$E$185)*Impacts!$F$16))</f>
        <v>0</v>
      </c>
      <c r="U1422" s="10">
        <f>IF(VCU!$C$9="",0,(SUMIF(VCU!$B$51:$B$193,$J1422,VCU!$E$51:$E$193)*Impacts!$F$17))</f>
        <v>0</v>
      </c>
      <c r="V1422" s="10">
        <f>IF(CAS!$C$7="",0,(SUMIF(CAS!$B$31:$B$167,$J1422,CAS!$E$31:$E$167)*Impacts!$F$18))</f>
        <v>0</v>
      </c>
      <c r="W1422" s="10">
        <f t="shared" si="62"/>
        <v>0</v>
      </c>
      <c r="AK1422" s="10" t="str">
        <f t="array" ref="AK1422">IFERROR(INDEX(SelectedSpecies,SMALL(IF(SelectedSpecies=AK$1,ROW(SelectedSpecies)),ROW(1423:1423)),2),"")</f>
        <v/>
      </c>
      <c r="BE1422" s="10"/>
      <c r="BI1422" s="10"/>
    </row>
    <row r="1423" spans="1:61" ht="21" customHeight="1" x14ac:dyDescent="0.25">
      <c r="A1423" s="10"/>
      <c r="B1423" s="10"/>
      <c r="E1423" s="10"/>
      <c r="G1423" s="10"/>
      <c r="I1423" s="436" t="s">
        <v>4415</v>
      </c>
      <c r="J1423" s="26" t="s">
        <v>4414</v>
      </c>
      <c r="K1423" s="10">
        <v>4.6000000000000005</v>
      </c>
      <c r="L1423" s="73">
        <f>IF(Tank1!$C$23="No control",(SUMIF(Tank1!$B$32:$B$49,$J1423,Tank1!$C$32:$C$49)*Impacts!$F$8),0)</f>
        <v>0</v>
      </c>
      <c r="M1423" s="10">
        <f>IF(Tank2!$C$23="No control",(SUMIF(Tank2!$B$32:$B$49,$J1423,Tank2!$C$32:$C$49)*Impacts!$F$9),0)</f>
        <v>0</v>
      </c>
      <c r="N1423" s="10">
        <f>IF(Tank3!$C$23="No control",(SUMIF(Tank3!$B$32:$B$49,$J1423,Tank3!$C$32:$C$49)*Impacts!$F$10),0)</f>
        <v>0</v>
      </c>
      <c r="O1423" s="10">
        <f>IF(Tank4!$C$23="No control",(SUMIF(Tank4!$B$32:$B$49,$J1423,Tank4!$C$32:$C$49)*Impacts!$F$11),0)</f>
        <v>0</v>
      </c>
      <c r="P1423" s="10">
        <f>IF(Tank5!$C$23="No control",(SUMIF(Tank5!$B$32:$B$49,$J1423,Tank5!$C$32:$C$49)*Impacts!$F$12),0)</f>
        <v>0</v>
      </c>
      <c r="Q1423" s="10">
        <f>IFERROR(IF(('Loading-drum,tote'!$C$21)="No control",SUMIF(('Loading-drum,tote'!$B$31:$B$48),$J1423,('Loading-drum,tote'!$D$31:$D$48))*Impacts!$F$13,IF(('Loading-drum,tote'!$C$21)&lt;&gt;"No control",SUMIF(('Loading-drum,tote'!$B$31:$B$48),$J1423,('Loading-drum,tote'!$E$31:$E$48))*Impacts!$F$13,0)),0)</f>
        <v>0</v>
      </c>
      <c r="R1423" s="10">
        <f>IFERROR(IF(('Loading-truck'!$C$21)="No control",SUMIF(('Loading-truck'!$B$31:$B$48),$J1423,('Loading-truck'!$D$31:$D$48))*Impacts!$F$14,IF(('Loading-truck'!$C$21)&lt;&gt;"No control",SUMIF(('Loading-truck'!$B$31:$B$48),$J1423,('Loading-truck'!$E$31:$E$48))*Impacts!$F$14,0)),0)</f>
        <v>0</v>
      </c>
      <c r="S1423" s="10">
        <f>IFERROR(IF(('Loading-rail'!$C$21)="No control",SUMIF(('Loading-rail'!$B$31:$B$48),$J1423,('Loading-rail'!$D$31:$D$48))*Impacts!$F$15,IF(('Loading-rail'!$C$21)&lt;&gt;"No control",SUMIF(('Loading-rail'!$B$31:$B$48),$J1423,('Loading-rail'!$E$31:$E$48))*Impacts!$F$15,0)),0)</f>
        <v>0</v>
      </c>
      <c r="T1423" s="10">
        <f>IF(Flare!$C$7="",0,(SUMIF(Flare!$B$46:$B$185,$J1423,Flare!$E$46:$E$185)*Impacts!$F$16))</f>
        <v>0</v>
      </c>
      <c r="U1423" s="10">
        <f>IF(VCU!$C$9="",0,(SUMIF(VCU!$B$51:$B$193,$J1423,VCU!$E$51:$E$193)*Impacts!$F$17))</f>
        <v>0</v>
      </c>
      <c r="V1423" s="10">
        <f>IF(CAS!$C$7="",0,(SUMIF(CAS!$B$31:$B$167,$J1423,CAS!$E$31:$E$167)*Impacts!$F$18))</f>
        <v>0</v>
      </c>
      <c r="W1423" s="10">
        <f t="shared" si="62"/>
        <v>0</v>
      </c>
      <c r="AK1423" s="10" t="str">
        <f t="array" ref="AK1423">IFERROR(INDEX(SelectedSpecies,SMALL(IF(SelectedSpecies=AK$1,ROW(SelectedSpecies)),ROW(1424:1424)),2),"")</f>
        <v/>
      </c>
      <c r="BE1423" s="10"/>
      <c r="BI1423" s="10"/>
    </row>
    <row r="1424" spans="1:61" ht="21" customHeight="1" x14ac:dyDescent="0.25">
      <c r="A1424" s="10"/>
      <c r="B1424" s="10"/>
      <c r="E1424" s="10"/>
      <c r="G1424" s="10"/>
      <c r="I1424" s="436" t="s">
        <v>2225</v>
      </c>
      <c r="J1424" s="26" t="s">
        <v>2224</v>
      </c>
      <c r="K1424" s="10">
        <v>13</v>
      </c>
      <c r="L1424" s="73">
        <f>IF(Tank1!$C$23="No control",(SUMIF(Tank1!$B$32:$B$49,$J1424,Tank1!$C$32:$C$49)*Impacts!$F$8),0)</f>
        <v>0</v>
      </c>
      <c r="M1424" s="10">
        <f>IF(Tank2!$C$23="No control",(SUMIF(Tank2!$B$32:$B$49,$J1424,Tank2!$C$32:$C$49)*Impacts!$F$9),0)</f>
        <v>0</v>
      </c>
      <c r="N1424" s="10">
        <f>IF(Tank3!$C$23="No control",(SUMIF(Tank3!$B$32:$B$49,$J1424,Tank3!$C$32:$C$49)*Impacts!$F$10),0)</f>
        <v>0</v>
      </c>
      <c r="O1424" s="10">
        <f>IF(Tank4!$C$23="No control",(SUMIF(Tank4!$B$32:$B$49,$J1424,Tank4!$C$32:$C$49)*Impacts!$F$11),0)</f>
        <v>0</v>
      </c>
      <c r="P1424" s="10">
        <f>IF(Tank5!$C$23="No control",(SUMIF(Tank5!$B$32:$B$49,$J1424,Tank5!$C$32:$C$49)*Impacts!$F$12),0)</f>
        <v>0</v>
      </c>
      <c r="Q1424" s="10">
        <f>IFERROR(IF(('Loading-drum,tote'!$C$21)="No control",SUMIF(('Loading-drum,tote'!$B$31:$B$48),$J1424,('Loading-drum,tote'!$D$31:$D$48))*Impacts!$F$13,IF(('Loading-drum,tote'!$C$21)&lt;&gt;"No control",SUMIF(('Loading-drum,tote'!$B$31:$B$48),$J1424,('Loading-drum,tote'!$E$31:$E$48))*Impacts!$F$13,0)),0)</f>
        <v>0</v>
      </c>
      <c r="R1424" s="10">
        <f>IFERROR(IF(('Loading-truck'!$C$21)="No control",SUMIF(('Loading-truck'!$B$31:$B$48),$J1424,('Loading-truck'!$D$31:$D$48))*Impacts!$F$14,IF(('Loading-truck'!$C$21)&lt;&gt;"No control",SUMIF(('Loading-truck'!$B$31:$B$48),$J1424,('Loading-truck'!$E$31:$E$48))*Impacts!$F$14,0)),0)</f>
        <v>0</v>
      </c>
      <c r="S1424" s="10">
        <f>IFERROR(IF(('Loading-rail'!$C$21)="No control",SUMIF(('Loading-rail'!$B$31:$B$48),$J1424,('Loading-rail'!$D$31:$D$48))*Impacts!$F$15,IF(('Loading-rail'!$C$21)&lt;&gt;"No control",SUMIF(('Loading-rail'!$B$31:$B$48),$J1424,('Loading-rail'!$E$31:$E$48))*Impacts!$F$15,0)),0)</f>
        <v>0</v>
      </c>
      <c r="T1424" s="10">
        <f>IF(Flare!$C$7="",0,(SUMIF(Flare!$B$46:$B$185,$J1424,Flare!$E$46:$E$185)*Impacts!$F$16))</f>
        <v>0</v>
      </c>
      <c r="U1424" s="10">
        <f>IF(VCU!$C$9="",0,(SUMIF(VCU!$B$51:$B$193,$J1424,VCU!$E$51:$E$193)*Impacts!$F$17))</f>
        <v>0</v>
      </c>
      <c r="V1424" s="10">
        <f>IF(CAS!$C$7="",0,(SUMIF(CAS!$B$31:$B$167,$J1424,CAS!$E$31:$E$167)*Impacts!$F$18))</f>
        <v>0</v>
      </c>
      <c r="W1424" s="10">
        <f t="shared" si="62"/>
        <v>0</v>
      </c>
      <c r="AK1424" s="10" t="str">
        <f t="array" ref="AK1424">IFERROR(INDEX(SelectedSpecies,SMALL(IF(SelectedSpecies=AK$1,ROW(SelectedSpecies)),ROW(1425:1425)),2),"")</f>
        <v/>
      </c>
      <c r="BE1424" s="10"/>
      <c r="BI1424" s="10"/>
    </row>
    <row r="1425" spans="1:61" ht="21" customHeight="1" x14ac:dyDescent="0.25">
      <c r="A1425" s="10"/>
      <c r="B1425" s="10"/>
      <c r="E1425" s="10"/>
      <c r="G1425" s="10"/>
      <c r="I1425" s="436" t="s">
        <v>2809</v>
      </c>
      <c r="J1425" s="26" t="s">
        <v>2808</v>
      </c>
      <c r="K1425" s="10">
        <v>10</v>
      </c>
      <c r="L1425" s="73">
        <f>IF(Tank1!$C$23="No control",(SUMIF(Tank1!$B$32:$B$49,$J1425,Tank1!$C$32:$C$49)*Impacts!$F$8),0)</f>
        <v>0</v>
      </c>
      <c r="M1425" s="10">
        <f>IF(Tank2!$C$23="No control",(SUMIF(Tank2!$B$32:$B$49,$J1425,Tank2!$C$32:$C$49)*Impacts!$F$9),0)</f>
        <v>0</v>
      </c>
      <c r="N1425" s="10">
        <f>IF(Tank3!$C$23="No control",(SUMIF(Tank3!$B$32:$B$49,$J1425,Tank3!$C$32:$C$49)*Impacts!$F$10),0)</f>
        <v>0</v>
      </c>
      <c r="O1425" s="10">
        <f>IF(Tank4!$C$23="No control",(SUMIF(Tank4!$B$32:$B$49,$J1425,Tank4!$C$32:$C$49)*Impacts!$F$11),0)</f>
        <v>0</v>
      </c>
      <c r="P1425" s="10">
        <f>IF(Tank5!$C$23="No control",(SUMIF(Tank5!$B$32:$B$49,$J1425,Tank5!$C$32:$C$49)*Impacts!$F$12),0)</f>
        <v>0</v>
      </c>
      <c r="Q1425" s="10">
        <f>IFERROR(IF(('Loading-drum,tote'!$C$21)="No control",SUMIF(('Loading-drum,tote'!$B$31:$B$48),$J1425,('Loading-drum,tote'!$D$31:$D$48))*Impacts!$F$13,IF(('Loading-drum,tote'!$C$21)&lt;&gt;"No control",SUMIF(('Loading-drum,tote'!$B$31:$B$48),$J1425,('Loading-drum,tote'!$E$31:$E$48))*Impacts!$F$13,0)),0)</f>
        <v>0</v>
      </c>
      <c r="R1425" s="10">
        <f>IFERROR(IF(('Loading-truck'!$C$21)="No control",SUMIF(('Loading-truck'!$B$31:$B$48),$J1425,('Loading-truck'!$D$31:$D$48))*Impacts!$F$14,IF(('Loading-truck'!$C$21)&lt;&gt;"No control",SUMIF(('Loading-truck'!$B$31:$B$48),$J1425,('Loading-truck'!$E$31:$E$48))*Impacts!$F$14,0)),0)</f>
        <v>0</v>
      </c>
      <c r="S1425" s="10">
        <f>IFERROR(IF(('Loading-rail'!$C$21)="No control",SUMIF(('Loading-rail'!$B$31:$B$48),$J1425,('Loading-rail'!$D$31:$D$48))*Impacts!$F$15,IF(('Loading-rail'!$C$21)&lt;&gt;"No control",SUMIF(('Loading-rail'!$B$31:$B$48),$J1425,('Loading-rail'!$E$31:$E$48))*Impacts!$F$15,0)),0)</f>
        <v>0</v>
      </c>
      <c r="T1425" s="10">
        <f>IF(Flare!$C$7="",0,(SUMIF(Flare!$B$46:$B$185,$J1425,Flare!$E$46:$E$185)*Impacts!$F$16))</f>
        <v>0</v>
      </c>
      <c r="U1425" s="10">
        <f>IF(VCU!$C$9="",0,(SUMIF(VCU!$B$51:$B$193,$J1425,VCU!$E$51:$E$193)*Impacts!$F$17))</f>
        <v>0</v>
      </c>
      <c r="V1425" s="10">
        <f>IF(CAS!$C$7="",0,(SUMIF(CAS!$B$31:$B$167,$J1425,CAS!$E$31:$E$167)*Impacts!$F$18))</f>
        <v>0</v>
      </c>
      <c r="W1425" s="10">
        <f t="shared" si="62"/>
        <v>0</v>
      </c>
      <c r="AK1425" s="10" t="str">
        <f t="array" ref="AK1425">IFERROR(INDEX(SelectedSpecies,SMALL(IF(SelectedSpecies=AK$1,ROW(SelectedSpecies)),ROW(1426:1426)),2),"")</f>
        <v/>
      </c>
      <c r="BE1425" s="10"/>
      <c r="BI1425" s="10"/>
    </row>
    <row r="1426" spans="1:61" ht="21" customHeight="1" x14ac:dyDescent="0.25">
      <c r="A1426" s="10"/>
      <c r="B1426" s="10"/>
      <c r="E1426" s="10"/>
      <c r="G1426" s="10"/>
      <c r="I1426" s="436" t="s">
        <v>3671</v>
      </c>
      <c r="J1426" s="26" t="s">
        <v>3670</v>
      </c>
      <c r="K1426" s="10">
        <v>7</v>
      </c>
      <c r="L1426" s="73">
        <f>IF(Tank1!$C$23="No control",(SUMIF(Tank1!$B$32:$B$49,$J1426,Tank1!$C$32:$C$49)*Impacts!$F$8),0)</f>
        <v>0</v>
      </c>
      <c r="M1426" s="10">
        <f>IF(Tank2!$C$23="No control",(SUMIF(Tank2!$B$32:$B$49,$J1426,Tank2!$C$32:$C$49)*Impacts!$F$9),0)</f>
        <v>0</v>
      </c>
      <c r="N1426" s="10">
        <f>IF(Tank3!$C$23="No control",(SUMIF(Tank3!$B$32:$B$49,$J1426,Tank3!$C$32:$C$49)*Impacts!$F$10),0)</f>
        <v>0</v>
      </c>
      <c r="O1426" s="10">
        <f>IF(Tank4!$C$23="No control",(SUMIF(Tank4!$B$32:$B$49,$J1426,Tank4!$C$32:$C$49)*Impacts!$F$11),0)</f>
        <v>0</v>
      </c>
      <c r="P1426" s="10">
        <f>IF(Tank5!$C$23="No control",(SUMIF(Tank5!$B$32:$B$49,$J1426,Tank5!$C$32:$C$49)*Impacts!$F$12),0)</f>
        <v>0</v>
      </c>
      <c r="Q1426" s="10">
        <f>IFERROR(IF(('Loading-drum,tote'!$C$21)="No control",SUMIF(('Loading-drum,tote'!$B$31:$B$48),$J1426,('Loading-drum,tote'!$D$31:$D$48))*Impacts!$F$13,IF(('Loading-drum,tote'!$C$21)&lt;&gt;"No control",SUMIF(('Loading-drum,tote'!$B$31:$B$48),$J1426,('Loading-drum,tote'!$E$31:$E$48))*Impacts!$F$13,0)),0)</f>
        <v>0</v>
      </c>
      <c r="R1426" s="10">
        <f>IFERROR(IF(('Loading-truck'!$C$21)="No control",SUMIF(('Loading-truck'!$B$31:$B$48),$J1426,('Loading-truck'!$D$31:$D$48))*Impacts!$F$14,IF(('Loading-truck'!$C$21)&lt;&gt;"No control",SUMIF(('Loading-truck'!$B$31:$B$48),$J1426,('Loading-truck'!$E$31:$E$48))*Impacts!$F$14,0)),0)</f>
        <v>0</v>
      </c>
      <c r="S1426" s="10">
        <f>IFERROR(IF(('Loading-rail'!$C$21)="No control",SUMIF(('Loading-rail'!$B$31:$B$48),$J1426,('Loading-rail'!$D$31:$D$48))*Impacts!$F$15,IF(('Loading-rail'!$C$21)&lt;&gt;"No control",SUMIF(('Loading-rail'!$B$31:$B$48),$J1426,('Loading-rail'!$E$31:$E$48))*Impacts!$F$15,0)),0)</f>
        <v>0</v>
      </c>
      <c r="T1426" s="10">
        <f>IF(Flare!$C$7="",0,(SUMIF(Flare!$B$46:$B$185,$J1426,Flare!$E$46:$E$185)*Impacts!$F$16))</f>
        <v>0</v>
      </c>
      <c r="U1426" s="10">
        <f>IF(VCU!$C$9="",0,(SUMIF(VCU!$B$51:$B$193,$J1426,VCU!$E$51:$E$193)*Impacts!$F$17))</f>
        <v>0</v>
      </c>
      <c r="V1426" s="10">
        <f>IF(CAS!$C$7="",0,(SUMIF(CAS!$B$31:$B$167,$J1426,CAS!$E$31:$E$167)*Impacts!$F$18))</f>
        <v>0</v>
      </c>
      <c r="W1426" s="10">
        <f t="shared" si="62"/>
        <v>0</v>
      </c>
      <c r="AK1426" s="10" t="str">
        <f t="array" ref="AK1426">IFERROR(INDEX(SelectedSpecies,SMALL(IF(SelectedSpecies=AK$1,ROW(SelectedSpecies)),ROW(1427:1427)),2),"")</f>
        <v/>
      </c>
      <c r="BE1426" s="10"/>
      <c r="BI1426" s="10"/>
    </row>
    <row r="1427" spans="1:61" ht="21" customHeight="1" x14ac:dyDescent="0.25">
      <c r="A1427" s="10"/>
      <c r="B1427" s="10"/>
      <c r="E1427" s="10"/>
      <c r="G1427" s="10"/>
      <c r="I1427" s="436" t="s">
        <v>7262</v>
      </c>
      <c r="J1427" s="26" t="s">
        <v>7261</v>
      </c>
      <c r="K1427" s="10">
        <v>0.30000000000000004</v>
      </c>
      <c r="L1427" s="73">
        <f>IF(Tank1!$C$23="No control",(SUMIF(Tank1!$B$32:$B$49,$J1427,Tank1!$C$32:$C$49)*Impacts!$F$8),0)</f>
        <v>0</v>
      </c>
      <c r="M1427" s="10">
        <f>IF(Tank2!$C$23="No control",(SUMIF(Tank2!$B$32:$B$49,$J1427,Tank2!$C$32:$C$49)*Impacts!$F$9),0)</f>
        <v>0</v>
      </c>
      <c r="N1427" s="10">
        <f>IF(Tank3!$C$23="No control",(SUMIF(Tank3!$B$32:$B$49,$J1427,Tank3!$C$32:$C$49)*Impacts!$F$10),0)</f>
        <v>0</v>
      </c>
      <c r="O1427" s="10">
        <f>IF(Tank4!$C$23="No control",(SUMIF(Tank4!$B$32:$B$49,$J1427,Tank4!$C$32:$C$49)*Impacts!$F$11),0)</f>
        <v>0</v>
      </c>
      <c r="P1427" s="10">
        <f>IF(Tank5!$C$23="No control",(SUMIF(Tank5!$B$32:$B$49,$J1427,Tank5!$C$32:$C$49)*Impacts!$F$12),0)</f>
        <v>0</v>
      </c>
      <c r="Q1427" s="10">
        <f>IFERROR(IF(('Loading-drum,tote'!$C$21)="No control",SUMIF(('Loading-drum,tote'!$B$31:$B$48),$J1427,('Loading-drum,tote'!$D$31:$D$48))*Impacts!$F$13,IF(('Loading-drum,tote'!$C$21)&lt;&gt;"No control",SUMIF(('Loading-drum,tote'!$B$31:$B$48),$J1427,('Loading-drum,tote'!$E$31:$E$48))*Impacts!$F$13,0)),0)</f>
        <v>0</v>
      </c>
      <c r="R1427" s="10">
        <f>IFERROR(IF(('Loading-truck'!$C$21)="No control",SUMIF(('Loading-truck'!$B$31:$B$48),$J1427,('Loading-truck'!$D$31:$D$48))*Impacts!$F$14,IF(('Loading-truck'!$C$21)&lt;&gt;"No control",SUMIF(('Loading-truck'!$B$31:$B$48),$J1427,('Loading-truck'!$E$31:$E$48))*Impacts!$F$14,0)),0)</f>
        <v>0</v>
      </c>
      <c r="S1427" s="10">
        <f>IFERROR(IF(('Loading-rail'!$C$21)="No control",SUMIF(('Loading-rail'!$B$31:$B$48),$J1427,('Loading-rail'!$D$31:$D$48))*Impacts!$F$15,IF(('Loading-rail'!$C$21)&lt;&gt;"No control",SUMIF(('Loading-rail'!$B$31:$B$48),$J1427,('Loading-rail'!$E$31:$E$48))*Impacts!$F$15,0)),0)</f>
        <v>0</v>
      </c>
      <c r="T1427" s="10">
        <f>IF(Flare!$C$7="",0,(SUMIF(Flare!$B$46:$B$185,$J1427,Flare!$E$46:$E$185)*Impacts!$F$16))</f>
        <v>0</v>
      </c>
      <c r="U1427" s="10">
        <f>IF(VCU!$C$9="",0,(SUMIF(VCU!$B$51:$B$193,$J1427,VCU!$E$51:$E$193)*Impacts!$F$17))</f>
        <v>0</v>
      </c>
      <c r="V1427" s="10">
        <f>IF(CAS!$C$7="",0,(SUMIF(CAS!$B$31:$B$167,$J1427,CAS!$E$31:$E$167)*Impacts!$F$18))</f>
        <v>0</v>
      </c>
      <c r="W1427" s="10">
        <f t="shared" si="62"/>
        <v>0</v>
      </c>
      <c r="AK1427" s="10" t="str">
        <f t="array" ref="AK1427">IFERROR(INDEX(SelectedSpecies,SMALL(IF(SelectedSpecies=AK$1,ROW(SelectedSpecies)),ROW(1428:1428)),2),"")</f>
        <v/>
      </c>
      <c r="BE1427" s="10"/>
      <c r="BI1427" s="10"/>
    </row>
    <row r="1428" spans="1:61" ht="21" customHeight="1" x14ac:dyDescent="0.25">
      <c r="A1428" s="10"/>
      <c r="B1428" s="10"/>
      <c r="E1428" s="10"/>
      <c r="G1428" s="10"/>
      <c r="I1428" s="436" t="s">
        <v>6524</v>
      </c>
      <c r="J1428" s="26" t="s">
        <v>6523</v>
      </c>
      <c r="K1428" s="10">
        <v>0.70000000000000007</v>
      </c>
      <c r="L1428" s="73">
        <f>IF(Tank1!$C$23="No control",(SUMIF(Tank1!$B$32:$B$49,$J1428,Tank1!$C$32:$C$49)*Impacts!$F$8),0)</f>
        <v>0</v>
      </c>
      <c r="M1428" s="10">
        <f>IF(Tank2!$C$23="No control",(SUMIF(Tank2!$B$32:$B$49,$J1428,Tank2!$C$32:$C$49)*Impacts!$F$9),0)</f>
        <v>0</v>
      </c>
      <c r="N1428" s="10">
        <f>IF(Tank3!$C$23="No control",(SUMIF(Tank3!$B$32:$B$49,$J1428,Tank3!$C$32:$C$49)*Impacts!$F$10),0)</f>
        <v>0</v>
      </c>
      <c r="O1428" s="10">
        <f>IF(Tank4!$C$23="No control",(SUMIF(Tank4!$B$32:$B$49,$J1428,Tank4!$C$32:$C$49)*Impacts!$F$11),0)</f>
        <v>0</v>
      </c>
      <c r="P1428" s="10">
        <f>IF(Tank5!$C$23="No control",(SUMIF(Tank5!$B$32:$B$49,$J1428,Tank5!$C$32:$C$49)*Impacts!$F$12),0)</f>
        <v>0</v>
      </c>
      <c r="Q1428" s="10">
        <f>IFERROR(IF(('Loading-drum,tote'!$C$21)="No control",SUMIF(('Loading-drum,tote'!$B$31:$B$48),$J1428,('Loading-drum,tote'!$D$31:$D$48))*Impacts!$F$13,IF(('Loading-drum,tote'!$C$21)&lt;&gt;"No control",SUMIF(('Loading-drum,tote'!$B$31:$B$48),$J1428,('Loading-drum,tote'!$E$31:$E$48))*Impacts!$F$13,0)),0)</f>
        <v>0</v>
      </c>
      <c r="R1428" s="10">
        <f>IFERROR(IF(('Loading-truck'!$C$21)="No control",SUMIF(('Loading-truck'!$B$31:$B$48),$J1428,('Loading-truck'!$D$31:$D$48))*Impacts!$F$14,IF(('Loading-truck'!$C$21)&lt;&gt;"No control",SUMIF(('Loading-truck'!$B$31:$B$48),$J1428,('Loading-truck'!$E$31:$E$48))*Impacts!$F$14,0)),0)</f>
        <v>0</v>
      </c>
      <c r="S1428" s="10">
        <f>IFERROR(IF(('Loading-rail'!$C$21)="No control",SUMIF(('Loading-rail'!$B$31:$B$48),$J1428,('Loading-rail'!$D$31:$D$48))*Impacts!$F$15,IF(('Loading-rail'!$C$21)&lt;&gt;"No control",SUMIF(('Loading-rail'!$B$31:$B$48),$J1428,('Loading-rail'!$E$31:$E$48))*Impacts!$F$15,0)),0)</f>
        <v>0</v>
      </c>
      <c r="T1428" s="10">
        <f>IF(Flare!$C$7="",0,(SUMIF(Flare!$B$46:$B$185,$J1428,Flare!$E$46:$E$185)*Impacts!$F$16))</f>
        <v>0</v>
      </c>
      <c r="U1428" s="10">
        <f>IF(VCU!$C$9="",0,(SUMIF(VCU!$B$51:$B$193,$J1428,VCU!$E$51:$E$193)*Impacts!$F$17))</f>
        <v>0</v>
      </c>
      <c r="V1428" s="10">
        <f>IF(CAS!$C$7="",0,(SUMIF(CAS!$B$31:$B$167,$J1428,CAS!$E$31:$E$167)*Impacts!$F$18))</f>
        <v>0</v>
      </c>
      <c r="W1428" s="10">
        <f t="shared" si="62"/>
        <v>0</v>
      </c>
      <c r="AK1428" s="10" t="str">
        <f t="array" ref="AK1428">IFERROR(INDEX(SelectedSpecies,SMALL(IF(SelectedSpecies=AK$1,ROW(SelectedSpecies)),ROW(1429:1429)),2),"")</f>
        <v/>
      </c>
      <c r="BE1428" s="10"/>
      <c r="BI1428" s="10"/>
    </row>
    <row r="1429" spans="1:61" ht="21" customHeight="1" x14ac:dyDescent="0.25">
      <c r="A1429" s="10"/>
      <c r="B1429" s="10"/>
      <c r="E1429" s="10"/>
      <c r="G1429" s="10"/>
      <c r="I1429" s="436" t="s">
        <v>2001</v>
      </c>
      <c r="J1429" s="26" t="s">
        <v>2000</v>
      </c>
      <c r="K1429" s="10">
        <v>17</v>
      </c>
      <c r="L1429" s="73">
        <f>IF(Tank1!$C$23="No control",(SUMIF(Tank1!$B$32:$B$49,$J1429,Tank1!$C$32:$C$49)*Impacts!$F$8),0)</f>
        <v>0</v>
      </c>
      <c r="M1429" s="10">
        <f>IF(Tank2!$C$23="No control",(SUMIF(Tank2!$B$32:$B$49,$J1429,Tank2!$C$32:$C$49)*Impacts!$F$9),0)</f>
        <v>0</v>
      </c>
      <c r="N1429" s="10">
        <f>IF(Tank3!$C$23="No control",(SUMIF(Tank3!$B$32:$B$49,$J1429,Tank3!$C$32:$C$49)*Impacts!$F$10),0)</f>
        <v>0</v>
      </c>
      <c r="O1429" s="10">
        <f>IF(Tank4!$C$23="No control",(SUMIF(Tank4!$B$32:$B$49,$J1429,Tank4!$C$32:$C$49)*Impacts!$F$11),0)</f>
        <v>0</v>
      </c>
      <c r="P1429" s="10">
        <f>IF(Tank5!$C$23="No control",(SUMIF(Tank5!$B$32:$B$49,$J1429,Tank5!$C$32:$C$49)*Impacts!$F$12),0)</f>
        <v>0</v>
      </c>
      <c r="Q1429" s="10">
        <f>IFERROR(IF(('Loading-drum,tote'!$C$21)="No control",SUMIF(('Loading-drum,tote'!$B$31:$B$48),$J1429,('Loading-drum,tote'!$D$31:$D$48))*Impacts!$F$13,IF(('Loading-drum,tote'!$C$21)&lt;&gt;"No control",SUMIF(('Loading-drum,tote'!$B$31:$B$48),$J1429,('Loading-drum,tote'!$E$31:$E$48))*Impacts!$F$13,0)),0)</f>
        <v>0</v>
      </c>
      <c r="R1429" s="10">
        <f>IFERROR(IF(('Loading-truck'!$C$21)="No control",SUMIF(('Loading-truck'!$B$31:$B$48),$J1429,('Loading-truck'!$D$31:$D$48))*Impacts!$F$14,IF(('Loading-truck'!$C$21)&lt;&gt;"No control",SUMIF(('Loading-truck'!$B$31:$B$48),$J1429,('Loading-truck'!$E$31:$E$48))*Impacts!$F$14,0)),0)</f>
        <v>0</v>
      </c>
      <c r="S1429" s="10">
        <f>IFERROR(IF(('Loading-rail'!$C$21)="No control",SUMIF(('Loading-rail'!$B$31:$B$48),$J1429,('Loading-rail'!$D$31:$D$48))*Impacts!$F$15,IF(('Loading-rail'!$C$21)&lt;&gt;"No control",SUMIF(('Loading-rail'!$B$31:$B$48),$J1429,('Loading-rail'!$E$31:$E$48))*Impacts!$F$15,0)),0)</f>
        <v>0</v>
      </c>
      <c r="T1429" s="10">
        <f>IF(Flare!$C$7="",0,(SUMIF(Flare!$B$46:$B$185,$J1429,Flare!$E$46:$E$185)*Impacts!$F$16))</f>
        <v>0</v>
      </c>
      <c r="U1429" s="10">
        <f>IF(VCU!$C$9="",0,(SUMIF(VCU!$B$51:$B$193,$J1429,VCU!$E$51:$E$193)*Impacts!$F$17))</f>
        <v>0</v>
      </c>
      <c r="V1429" s="10">
        <f>IF(CAS!$C$7="",0,(SUMIF(CAS!$B$31:$B$167,$J1429,CAS!$E$31:$E$167)*Impacts!$F$18))</f>
        <v>0</v>
      </c>
      <c r="W1429" s="10">
        <f t="shared" si="62"/>
        <v>0</v>
      </c>
      <c r="AK1429" s="10" t="str">
        <f t="array" ref="AK1429">IFERROR(INDEX(SelectedSpecies,SMALL(IF(SelectedSpecies=AK$1,ROW(SelectedSpecies)),ROW(1430:1430)),2),"")</f>
        <v/>
      </c>
      <c r="BE1429" s="10"/>
      <c r="BI1429" s="10"/>
    </row>
    <row r="1430" spans="1:61" ht="21" customHeight="1" x14ac:dyDescent="0.25">
      <c r="A1430" s="10"/>
      <c r="B1430" s="10"/>
      <c r="E1430" s="10"/>
      <c r="G1430" s="10"/>
      <c r="I1430" s="436" t="s">
        <v>2307</v>
      </c>
      <c r="J1430" s="26" t="s">
        <v>2306</v>
      </c>
      <c r="K1430" s="10">
        <v>12</v>
      </c>
      <c r="L1430" s="73">
        <f>IF(Tank1!$C$23="No control",(SUMIF(Tank1!$B$32:$B$49,$J1430,Tank1!$C$32:$C$49)*Impacts!$F$8),0)</f>
        <v>0</v>
      </c>
      <c r="M1430" s="10">
        <f>IF(Tank2!$C$23="No control",(SUMIF(Tank2!$B$32:$B$49,$J1430,Tank2!$C$32:$C$49)*Impacts!$F$9),0)</f>
        <v>0</v>
      </c>
      <c r="N1430" s="10">
        <f>IF(Tank3!$C$23="No control",(SUMIF(Tank3!$B$32:$B$49,$J1430,Tank3!$C$32:$C$49)*Impacts!$F$10),0)</f>
        <v>0</v>
      </c>
      <c r="O1430" s="10">
        <f>IF(Tank4!$C$23="No control",(SUMIF(Tank4!$B$32:$B$49,$J1430,Tank4!$C$32:$C$49)*Impacts!$F$11),0)</f>
        <v>0</v>
      </c>
      <c r="P1430" s="10">
        <f>IF(Tank5!$C$23="No control",(SUMIF(Tank5!$B$32:$B$49,$J1430,Tank5!$C$32:$C$49)*Impacts!$F$12),0)</f>
        <v>0</v>
      </c>
      <c r="Q1430" s="10">
        <f>IFERROR(IF(('Loading-drum,tote'!$C$21)="No control",SUMIF(('Loading-drum,tote'!$B$31:$B$48),$J1430,('Loading-drum,tote'!$D$31:$D$48))*Impacts!$F$13,IF(('Loading-drum,tote'!$C$21)&lt;&gt;"No control",SUMIF(('Loading-drum,tote'!$B$31:$B$48),$J1430,('Loading-drum,tote'!$E$31:$E$48))*Impacts!$F$13,0)),0)</f>
        <v>0</v>
      </c>
      <c r="R1430" s="10">
        <f>IFERROR(IF(('Loading-truck'!$C$21)="No control",SUMIF(('Loading-truck'!$B$31:$B$48),$J1430,('Loading-truck'!$D$31:$D$48))*Impacts!$F$14,IF(('Loading-truck'!$C$21)&lt;&gt;"No control",SUMIF(('Loading-truck'!$B$31:$B$48),$J1430,('Loading-truck'!$E$31:$E$48))*Impacts!$F$14,0)),0)</f>
        <v>0</v>
      </c>
      <c r="S1430" s="10">
        <f>IFERROR(IF(('Loading-rail'!$C$21)="No control",SUMIF(('Loading-rail'!$B$31:$B$48),$J1430,('Loading-rail'!$D$31:$D$48))*Impacts!$F$15,IF(('Loading-rail'!$C$21)&lt;&gt;"No control",SUMIF(('Loading-rail'!$B$31:$B$48),$J1430,('Loading-rail'!$E$31:$E$48))*Impacts!$F$15,0)),0)</f>
        <v>0</v>
      </c>
      <c r="T1430" s="10">
        <f>IF(Flare!$C$7="",0,(SUMIF(Flare!$B$46:$B$185,$J1430,Flare!$E$46:$E$185)*Impacts!$F$16))</f>
        <v>0</v>
      </c>
      <c r="U1430" s="10">
        <f>IF(VCU!$C$9="",0,(SUMIF(VCU!$B$51:$B$193,$J1430,VCU!$E$51:$E$193)*Impacts!$F$17))</f>
        <v>0</v>
      </c>
      <c r="V1430" s="10">
        <f>IF(CAS!$C$7="",0,(SUMIF(CAS!$B$31:$B$167,$J1430,CAS!$E$31:$E$167)*Impacts!$F$18))</f>
        <v>0</v>
      </c>
      <c r="W1430" s="10">
        <f t="shared" si="62"/>
        <v>0</v>
      </c>
      <c r="AK1430" s="10" t="str">
        <f t="array" ref="AK1430">IFERROR(INDEX(SelectedSpecies,SMALL(IF(SelectedSpecies=AK$1,ROW(SelectedSpecies)),ROW(1431:1431)),2),"")</f>
        <v/>
      </c>
      <c r="BE1430" s="10"/>
      <c r="BI1430" s="10"/>
    </row>
    <row r="1431" spans="1:61" ht="21" customHeight="1" x14ac:dyDescent="0.25">
      <c r="A1431" s="10"/>
      <c r="B1431" s="10"/>
      <c r="E1431" s="10"/>
      <c r="G1431" s="10"/>
      <c r="I1431" s="436" t="s">
        <v>958</v>
      </c>
      <c r="J1431" s="26" t="s">
        <v>957</v>
      </c>
      <c r="K1431" s="10">
        <v>39</v>
      </c>
      <c r="L1431" s="73">
        <f>IF(Tank1!$C$23="No control",(SUMIF(Tank1!$B$32:$B$49,$J1431,Tank1!$C$32:$C$49)*Impacts!$F$8),0)</f>
        <v>0</v>
      </c>
      <c r="M1431" s="10">
        <f>IF(Tank2!$C$23="No control",(SUMIF(Tank2!$B$32:$B$49,$J1431,Tank2!$C$32:$C$49)*Impacts!$F$9),0)</f>
        <v>0</v>
      </c>
      <c r="N1431" s="10">
        <f>IF(Tank3!$C$23="No control",(SUMIF(Tank3!$B$32:$B$49,$J1431,Tank3!$C$32:$C$49)*Impacts!$F$10),0)</f>
        <v>0</v>
      </c>
      <c r="O1431" s="10">
        <f>IF(Tank4!$C$23="No control",(SUMIF(Tank4!$B$32:$B$49,$J1431,Tank4!$C$32:$C$49)*Impacts!$F$11),0)</f>
        <v>0</v>
      </c>
      <c r="P1431" s="10">
        <f>IF(Tank5!$C$23="No control",(SUMIF(Tank5!$B$32:$B$49,$J1431,Tank5!$C$32:$C$49)*Impacts!$F$12),0)</f>
        <v>0</v>
      </c>
      <c r="Q1431" s="10">
        <f>IFERROR(IF(('Loading-drum,tote'!$C$21)="No control",SUMIF(('Loading-drum,tote'!$B$31:$B$48),$J1431,('Loading-drum,tote'!$D$31:$D$48))*Impacts!$F$13,IF(('Loading-drum,tote'!$C$21)&lt;&gt;"No control",SUMIF(('Loading-drum,tote'!$B$31:$B$48),$J1431,('Loading-drum,tote'!$E$31:$E$48))*Impacts!$F$13,0)),0)</f>
        <v>0</v>
      </c>
      <c r="R1431" s="10">
        <f>IFERROR(IF(('Loading-truck'!$C$21)="No control",SUMIF(('Loading-truck'!$B$31:$B$48),$J1431,('Loading-truck'!$D$31:$D$48))*Impacts!$F$14,IF(('Loading-truck'!$C$21)&lt;&gt;"No control",SUMIF(('Loading-truck'!$B$31:$B$48),$J1431,('Loading-truck'!$E$31:$E$48))*Impacts!$F$14,0)),0)</f>
        <v>0</v>
      </c>
      <c r="S1431" s="10">
        <f>IFERROR(IF(('Loading-rail'!$C$21)="No control",SUMIF(('Loading-rail'!$B$31:$B$48),$J1431,('Loading-rail'!$D$31:$D$48))*Impacts!$F$15,IF(('Loading-rail'!$C$21)&lt;&gt;"No control",SUMIF(('Loading-rail'!$B$31:$B$48),$J1431,('Loading-rail'!$E$31:$E$48))*Impacts!$F$15,0)),0)</f>
        <v>0</v>
      </c>
      <c r="T1431" s="10">
        <f>IF(Flare!$C$7="",0,(SUMIF(Flare!$B$46:$B$185,$J1431,Flare!$E$46:$E$185)*Impacts!$F$16))</f>
        <v>0</v>
      </c>
      <c r="U1431" s="10">
        <f>IF(VCU!$C$9="",0,(SUMIF(VCU!$B$51:$B$193,$J1431,VCU!$E$51:$E$193)*Impacts!$F$17))</f>
        <v>0</v>
      </c>
      <c r="V1431" s="10">
        <f>IF(CAS!$C$7="",0,(SUMIF(CAS!$B$31:$B$167,$J1431,CAS!$E$31:$E$167)*Impacts!$F$18))</f>
        <v>0</v>
      </c>
      <c r="W1431" s="10">
        <f t="shared" si="62"/>
        <v>0</v>
      </c>
      <c r="AK1431" s="10" t="str">
        <f t="array" ref="AK1431">IFERROR(INDEX(SelectedSpecies,SMALL(IF(SelectedSpecies=AK$1,ROW(SelectedSpecies)),ROW(1432:1432)),2),"")</f>
        <v/>
      </c>
      <c r="BE1431" s="10"/>
      <c r="BI1431" s="10"/>
    </row>
    <row r="1432" spans="1:61" ht="21" customHeight="1" x14ac:dyDescent="0.25">
      <c r="A1432" s="10"/>
      <c r="B1432" s="10"/>
      <c r="E1432" s="10"/>
      <c r="G1432" s="10"/>
      <c r="I1432" s="436" t="s">
        <v>1684</v>
      </c>
      <c r="J1432" s="26" t="s">
        <v>1683</v>
      </c>
      <c r="K1432" s="10">
        <v>24.5</v>
      </c>
      <c r="L1432" s="73">
        <f>IF(Tank1!$C$23="No control",(SUMIF(Tank1!$B$32:$B$49,$J1432,Tank1!$C$32:$C$49)*Impacts!$F$8),0)</f>
        <v>0</v>
      </c>
      <c r="M1432" s="10">
        <f>IF(Tank2!$C$23="No control",(SUMIF(Tank2!$B$32:$B$49,$J1432,Tank2!$C$32:$C$49)*Impacts!$F$9),0)</f>
        <v>0</v>
      </c>
      <c r="N1432" s="10">
        <f>IF(Tank3!$C$23="No control",(SUMIF(Tank3!$B$32:$B$49,$J1432,Tank3!$C$32:$C$49)*Impacts!$F$10),0)</f>
        <v>0</v>
      </c>
      <c r="O1432" s="10">
        <f>IF(Tank4!$C$23="No control",(SUMIF(Tank4!$B$32:$B$49,$J1432,Tank4!$C$32:$C$49)*Impacts!$F$11),0)</f>
        <v>0</v>
      </c>
      <c r="P1432" s="10">
        <f>IF(Tank5!$C$23="No control",(SUMIF(Tank5!$B$32:$B$49,$J1432,Tank5!$C$32:$C$49)*Impacts!$F$12),0)</f>
        <v>0</v>
      </c>
      <c r="Q1432" s="10">
        <f>IFERROR(IF(('Loading-drum,tote'!$C$21)="No control",SUMIF(('Loading-drum,tote'!$B$31:$B$48),$J1432,('Loading-drum,tote'!$D$31:$D$48))*Impacts!$F$13,IF(('Loading-drum,tote'!$C$21)&lt;&gt;"No control",SUMIF(('Loading-drum,tote'!$B$31:$B$48),$J1432,('Loading-drum,tote'!$E$31:$E$48))*Impacts!$F$13,0)),0)</f>
        <v>0</v>
      </c>
      <c r="R1432" s="10">
        <f>IFERROR(IF(('Loading-truck'!$C$21)="No control",SUMIF(('Loading-truck'!$B$31:$B$48),$J1432,('Loading-truck'!$D$31:$D$48))*Impacts!$F$14,IF(('Loading-truck'!$C$21)&lt;&gt;"No control",SUMIF(('Loading-truck'!$B$31:$B$48),$J1432,('Loading-truck'!$E$31:$E$48))*Impacts!$F$14,0)),0)</f>
        <v>0</v>
      </c>
      <c r="S1432" s="10">
        <f>IFERROR(IF(('Loading-rail'!$C$21)="No control",SUMIF(('Loading-rail'!$B$31:$B$48),$J1432,('Loading-rail'!$D$31:$D$48))*Impacts!$F$15,IF(('Loading-rail'!$C$21)&lt;&gt;"No control",SUMIF(('Loading-rail'!$B$31:$B$48),$J1432,('Loading-rail'!$E$31:$E$48))*Impacts!$F$15,0)),0)</f>
        <v>0</v>
      </c>
      <c r="T1432" s="10">
        <f>IF(Flare!$C$7="",0,(SUMIF(Flare!$B$46:$B$185,$J1432,Flare!$E$46:$E$185)*Impacts!$F$16))</f>
        <v>0</v>
      </c>
      <c r="U1432" s="10">
        <f>IF(VCU!$C$9="",0,(SUMIF(VCU!$B$51:$B$193,$J1432,VCU!$E$51:$E$193)*Impacts!$F$17))</f>
        <v>0</v>
      </c>
      <c r="V1432" s="10">
        <f>IF(CAS!$C$7="",0,(SUMIF(CAS!$B$31:$B$167,$J1432,CAS!$E$31:$E$167)*Impacts!$F$18))</f>
        <v>0</v>
      </c>
      <c r="W1432" s="10">
        <f t="shared" si="62"/>
        <v>0</v>
      </c>
      <c r="AK1432" s="10" t="str">
        <f t="array" ref="AK1432">IFERROR(INDEX(SelectedSpecies,SMALL(IF(SelectedSpecies=AK$1,ROW(SelectedSpecies)),ROW(1433:1433)),2),"")</f>
        <v/>
      </c>
      <c r="BE1432" s="10"/>
      <c r="BI1432" s="10"/>
    </row>
    <row r="1433" spans="1:61" ht="21" customHeight="1" x14ac:dyDescent="0.25">
      <c r="A1433" s="10"/>
      <c r="B1433" s="10"/>
      <c r="E1433" s="10"/>
      <c r="G1433" s="10"/>
      <c r="I1433" s="436" t="s">
        <v>7082</v>
      </c>
      <c r="J1433" s="26" t="s">
        <v>7081</v>
      </c>
      <c r="K1433" s="10">
        <v>0.4</v>
      </c>
      <c r="L1433" s="73">
        <f>IF(Tank1!$C$23="No control",(SUMIF(Tank1!$B$32:$B$49,$J1433,Tank1!$C$32:$C$49)*Impacts!$F$8),0)</f>
        <v>0</v>
      </c>
      <c r="M1433" s="10">
        <f>IF(Tank2!$C$23="No control",(SUMIF(Tank2!$B$32:$B$49,$J1433,Tank2!$C$32:$C$49)*Impacts!$F$9),0)</f>
        <v>0</v>
      </c>
      <c r="N1433" s="10">
        <f>IF(Tank3!$C$23="No control",(SUMIF(Tank3!$B$32:$B$49,$J1433,Tank3!$C$32:$C$49)*Impacts!$F$10),0)</f>
        <v>0</v>
      </c>
      <c r="O1433" s="10">
        <f>IF(Tank4!$C$23="No control",(SUMIF(Tank4!$B$32:$B$49,$J1433,Tank4!$C$32:$C$49)*Impacts!$F$11),0)</f>
        <v>0</v>
      </c>
      <c r="P1433" s="10">
        <f>IF(Tank5!$C$23="No control",(SUMIF(Tank5!$B$32:$B$49,$J1433,Tank5!$C$32:$C$49)*Impacts!$F$12),0)</f>
        <v>0</v>
      </c>
      <c r="Q1433" s="10">
        <f>IFERROR(IF(('Loading-drum,tote'!$C$21)="No control",SUMIF(('Loading-drum,tote'!$B$31:$B$48),$J1433,('Loading-drum,tote'!$D$31:$D$48))*Impacts!$F$13,IF(('Loading-drum,tote'!$C$21)&lt;&gt;"No control",SUMIF(('Loading-drum,tote'!$B$31:$B$48),$J1433,('Loading-drum,tote'!$E$31:$E$48))*Impacts!$F$13,0)),0)</f>
        <v>0</v>
      </c>
      <c r="R1433" s="10">
        <f>IFERROR(IF(('Loading-truck'!$C$21)="No control",SUMIF(('Loading-truck'!$B$31:$B$48),$J1433,('Loading-truck'!$D$31:$D$48))*Impacts!$F$14,IF(('Loading-truck'!$C$21)&lt;&gt;"No control",SUMIF(('Loading-truck'!$B$31:$B$48),$J1433,('Loading-truck'!$E$31:$E$48))*Impacts!$F$14,0)),0)</f>
        <v>0</v>
      </c>
      <c r="S1433" s="10">
        <f>IFERROR(IF(('Loading-rail'!$C$21)="No control",SUMIF(('Loading-rail'!$B$31:$B$48),$J1433,('Loading-rail'!$D$31:$D$48))*Impacts!$F$15,IF(('Loading-rail'!$C$21)&lt;&gt;"No control",SUMIF(('Loading-rail'!$B$31:$B$48),$J1433,('Loading-rail'!$E$31:$E$48))*Impacts!$F$15,0)),0)</f>
        <v>0</v>
      </c>
      <c r="T1433" s="10">
        <f>IF(Flare!$C$7="",0,(SUMIF(Flare!$B$46:$B$185,$J1433,Flare!$E$46:$E$185)*Impacts!$F$16))</f>
        <v>0</v>
      </c>
      <c r="U1433" s="10">
        <f>IF(VCU!$C$9="",0,(SUMIF(VCU!$B$51:$B$193,$J1433,VCU!$E$51:$E$193)*Impacts!$F$17))</f>
        <v>0</v>
      </c>
      <c r="V1433" s="10">
        <f>IF(CAS!$C$7="",0,(SUMIF(CAS!$B$31:$B$167,$J1433,CAS!$E$31:$E$167)*Impacts!$F$18))</f>
        <v>0</v>
      </c>
      <c r="W1433" s="10">
        <f t="shared" si="62"/>
        <v>0</v>
      </c>
      <c r="AK1433" s="10" t="str">
        <f t="array" ref="AK1433">IFERROR(INDEX(SelectedSpecies,SMALL(IF(SelectedSpecies=AK$1,ROW(SelectedSpecies)),ROW(1434:1434)),2),"")</f>
        <v/>
      </c>
      <c r="BE1433" s="10"/>
      <c r="BI1433" s="10"/>
    </row>
    <row r="1434" spans="1:61" ht="21" customHeight="1" x14ac:dyDescent="0.25">
      <c r="A1434" s="10"/>
      <c r="B1434" s="10"/>
      <c r="E1434" s="10"/>
      <c r="G1434" s="10"/>
      <c r="I1434" s="436" t="s">
        <v>3477</v>
      </c>
      <c r="J1434" s="26" t="s">
        <v>3476</v>
      </c>
      <c r="K1434" s="10">
        <v>9.6000000000000014</v>
      </c>
      <c r="L1434" s="73">
        <f>IF(Tank1!$C$23="No control",(SUMIF(Tank1!$B$32:$B$49,$J1434,Tank1!$C$32:$C$49)*Impacts!$F$8),0)</f>
        <v>0</v>
      </c>
      <c r="M1434" s="10">
        <f>IF(Tank2!$C$23="No control",(SUMIF(Tank2!$B$32:$B$49,$J1434,Tank2!$C$32:$C$49)*Impacts!$F$9),0)</f>
        <v>0</v>
      </c>
      <c r="N1434" s="10">
        <f>IF(Tank3!$C$23="No control",(SUMIF(Tank3!$B$32:$B$49,$J1434,Tank3!$C$32:$C$49)*Impacts!$F$10),0)</f>
        <v>0</v>
      </c>
      <c r="O1434" s="10">
        <f>IF(Tank4!$C$23="No control",(SUMIF(Tank4!$B$32:$B$49,$J1434,Tank4!$C$32:$C$49)*Impacts!$F$11),0)</f>
        <v>0</v>
      </c>
      <c r="P1434" s="10">
        <f>IF(Tank5!$C$23="No control",(SUMIF(Tank5!$B$32:$B$49,$J1434,Tank5!$C$32:$C$49)*Impacts!$F$12),0)</f>
        <v>0</v>
      </c>
      <c r="Q1434" s="10">
        <f>IFERROR(IF(('Loading-drum,tote'!$C$21)="No control",SUMIF(('Loading-drum,tote'!$B$31:$B$48),$J1434,('Loading-drum,tote'!$D$31:$D$48))*Impacts!$F$13,IF(('Loading-drum,tote'!$C$21)&lt;&gt;"No control",SUMIF(('Loading-drum,tote'!$B$31:$B$48),$J1434,('Loading-drum,tote'!$E$31:$E$48))*Impacts!$F$13,0)),0)</f>
        <v>0</v>
      </c>
      <c r="R1434" s="10">
        <f>IFERROR(IF(('Loading-truck'!$C$21)="No control",SUMIF(('Loading-truck'!$B$31:$B$48),$J1434,('Loading-truck'!$D$31:$D$48))*Impacts!$F$14,IF(('Loading-truck'!$C$21)&lt;&gt;"No control",SUMIF(('Loading-truck'!$B$31:$B$48),$J1434,('Loading-truck'!$E$31:$E$48))*Impacts!$F$14,0)),0)</f>
        <v>0</v>
      </c>
      <c r="S1434" s="10">
        <f>IFERROR(IF(('Loading-rail'!$C$21)="No control",SUMIF(('Loading-rail'!$B$31:$B$48),$J1434,('Loading-rail'!$D$31:$D$48))*Impacts!$F$15,IF(('Loading-rail'!$C$21)&lt;&gt;"No control",SUMIF(('Loading-rail'!$B$31:$B$48),$J1434,('Loading-rail'!$E$31:$E$48))*Impacts!$F$15,0)),0)</f>
        <v>0</v>
      </c>
      <c r="T1434" s="10">
        <f>IF(Flare!$C$7="",0,(SUMIF(Flare!$B$46:$B$185,$J1434,Flare!$E$46:$E$185)*Impacts!$F$16))</f>
        <v>0</v>
      </c>
      <c r="U1434" s="10">
        <f>IF(VCU!$C$9="",0,(SUMIF(VCU!$B$51:$B$193,$J1434,VCU!$E$51:$E$193)*Impacts!$F$17))</f>
        <v>0</v>
      </c>
      <c r="V1434" s="10">
        <f>IF(CAS!$C$7="",0,(SUMIF(CAS!$B$31:$B$167,$J1434,CAS!$E$31:$E$167)*Impacts!$F$18))</f>
        <v>0</v>
      </c>
      <c r="W1434" s="10">
        <f t="shared" ref="W1434:W1497" si="63">SUM(L1434:V1434)</f>
        <v>0</v>
      </c>
      <c r="AK1434" s="10" t="str">
        <f t="array" ref="AK1434">IFERROR(INDEX(SelectedSpecies,SMALL(IF(SelectedSpecies=AK$1,ROW(SelectedSpecies)),ROW(1435:1435)),2),"")</f>
        <v/>
      </c>
      <c r="BE1434" s="10"/>
      <c r="BI1434" s="10"/>
    </row>
    <row r="1435" spans="1:61" ht="21" customHeight="1" x14ac:dyDescent="0.25">
      <c r="A1435" s="10"/>
      <c r="B1435" s="10"/>
      <c r="E1435" s="10"/>
      <c r="G1435" s="10"/>
      <c r="I1435" s="436" t="s">
        <v>5842</v>
      </c>
      <c r="J1435" s="26" t="s">
        <v>5841</v>
      </c>
      <c r="K1435" s="10">
        <v>1</v>
      </c>
      <c r="L1435" s="73">
        <f>IF(Tank1!$C$23="No control",(SUMIF(Tank1!$B$32:$B$49,$J1435,Tank1!$C$32:$C$49)*Impacts!$F$8),0)</f>
        <v>0</v>
      </c>
      <c r="M1435" s="10">
        <f>IF(Tank2!$C$23="No control",(SUMIF(Tank2!$B$32:$B$49,$J1435,Tank2!$C$32:$C$49)*Impacts!$F$9),0)</f>
        <v>0</v>
      </c>
      <c r="N1435" s="10">
        <f>IF(Tank3!$C$23="No control",(SUMIF(Tank3!$B$32:$B$49,$J1435,Tank3!$C$32:$C$49)*Impacts!$F$10),0)</f>
        <v>0</v>
      </c>
      <c r="O1435" s="10">
        <f>IF(Tank4!$C$23="No control",(SUMIF(Tank4!$B$32:$B$49,$J1435,Tank4!$C$32:$C$49)*Impacts!$F$11),0)</f>
        <v>0</v>
      </c>
      <c r="P1435" s="10">
        <f>IF(Tank5!$C$23="No control",(SUMIF(Tank5!$B$32:$B$49,$J1435,Tank5!$C$32:$C$49)*Impacts!$F$12),0)</f>
        <v>0</v>
      </c>
      <c r="Q1435" s="10">
        <f>IFERROR(IF(('Loading-drum,tote'!$C$21)="No control",SUMIF(('Loading-drum,tote'!$B$31:$B$48),$J1435,('Loading-drum,tote'!$D$31:$D$48))*Impacts!$F$13,IF(('Loading-drum,tote'!$C$21)&lt;&gt;"No control",SUMIF(('Loading-drum,tote'!$B$31:$B$48),$J1435,('Loading-drum,tote'!$E$31:$E$48))*Impacts!$F$13,0)),0)</f>
        <v>0</v>
      </c>
      <c r="R1435" s="10">
        <f>IFERROR(IF(('Loading-truck'!$C$21)="No control",SUMIF(('Loading-truck'!$B$31:$B$48),$J1435,('Loading-truck'!$D$31:$D$48))*Impacts!$F$14,IF(('Loading-truck'!$C$21)&lt;&gt;"No control",SUMIF(('Loading-truck'!$B$31:$B$48),$J1435,('Loading-truck'!$E$31:$E$48))*Impacts!$F$14,0)),0)</f>
        <v>0</v>
      </c>
      <c r="S1435" s="10">
        <f>IFERROR(IF(('Loading-rail'!$C$21)="No control",SUMIF(('Loading-rail'!$B$31:$B$48),$J1435,('Loading-rail'!$D$31:$D$48))*Impacts!$F$15,IF(('Loading-rail'!$C$21)&lt;&gt;"No control",SUMIF(('Loading-rail'!$B$31:$B$48),$J1435,('Loading-rail'!$E$31:$E$48))*Impacts!$F$15,0)),0)</f>
        <v>0</v>
      </c>
      <c r="T1435" s="10">
        <f>IF(Flare!$C$7="",0,(SUMIF(Flare!$B$46:$B$185,$J1435,Flare!$E$46:$E$185)*Impacts!$F$16))</f>
        <v>0</v>
      </c>
      <c r="U1435" s="10">
        <f>IF(VCU!$C$9="",0,(SUMIF(VCU!$B$51:$B$193,$J1435,VCU!$E$51:$E$193)*Impacts!$F$17))</f>
        <v>0</v>
      </c>
      <c r="V1435" s="10">
        <f>IF(CAS!$C$7="",0,(SUMIF(CAS!$B$31:$B$167,$J1435,CAS!$E$31:$E$167)*Impacts!$F$18))</f>
        <v>0</v>
      </c>
      <c r="W1435" s="10">
        <f t="shared" si="63"/>
        <v>0</v>
      </c>
      <c r="AK1435" s="10" t="str">
        <f t="array" ref="AK1435">IFERROR(INDEX(SelectedSpecies,SMALL(IF(SelectedSpecies=AK$1,ROW(SelectedSpecies)),ROW(1436:1436)),2),"")</f>
        <v/>
      </c>
      <c r="BE1435" s="10"/>
      <c r="BI1435" s="10"/>
    </row>
    <row r="1436" spans="1:61" ht="21" customHeight="1" x14ac:dyDescent="0.25">
      <c r="A1436" s="10"/>
      <c r="B1436" s="10"/>
      <c r="E1436" s="10"/>
      <c r="G1436" s="10"/>
      <c r="I1436" s="436" t="s">
        <v>2811</v>
      </c>
      <c r="J1436" s="26" t="s">
        <v>2810</v>
      </c>
      <c r="K1436" s="10">
        <v>10</v>
      </c>
      <c r="L1436" s="73">
        <f>IF(Tank1!$C$23="No control",(SUMIF(Tank1!$B$32:$B$49,$J1436,Tank1!$C$32:$C$49)*Impacts!$F$8),0)</f>
        <v>0</v>
      </c>
      <c r="M1436" s="10">
        <f>IF(Tank2!$C$23="No control",(SUMIF(Tank2!$B$32:$B$49,$J1436,Tank2!$C$32:$C$49)*Impacts!$F$9),0)</f>
        <v>0</v>
      </c>
      <c r="N1436" s="10">
        <f>IF(Tank3!$C$23="No control",(SUMIF(Tank3!$B$32:$B$49,$J1436,Tank3!$C$32:$C$49)*Impacts!$F$10),0)</f>
        <v>0</v>
      </c>
      <c r="O1436" s="10">
        <f>IF(Tank4!$C$23="No control",(SUMIF(Tank4!$B$32:$B$49,$J1436,Tank4!$C$32:$C$49)*Impacts!$F$11),0)</f>
        <v>0</v>
      </c>
      <c r="P1436" s="10">
        <f>IF(Tank5!$C$23="No control",(SUMIF(Tank5!$B$32:$B$49,$J1436,Tank5!$C$32:$C$49)*Impacts!$F$12),0)</f>
        <v>0</v>
      </c>
      <c r="Q1436" s="10">
        <f>IFERROR(IF(('Loading-drum,tote'!$C$21)="No control",SUMIF(('Loading-drum,tote'!$B$31:$B$48),$J1436,('Loading-drum,tote'!$D$31:$D$48))*Impacts!$F$13,IF(('Loading-drum,tote'!$C$21)&lt;&gt;"No control",SUMIF(('Loading-drum,tote'!$B$31:$B$48),$J1436,('Loading-drum,tote'!$E$31:$E$48))*Impacts!$F$13,0)),0)</f>
        <v>0</v>
      </c>
      <c r="R1436" s="10">
        <f>IFERROR(IF(('Loading-truck'!$C$21)="No control",SUMIF(('Loading-truck'!$B$31:$B$48),$J1436,('Loading-truck'!$D$31:$D$48))*Impacts!$F$14,IF(('Loading-truck'!$C$21)&lt;&gt;"No control",SUMIF(('Loading-truck'!$B$31:$B$48),$J1436,('Loading-truck'!$E$31:$E$48))*Impacts!$F$14,0)),0)</f>
        <v>0</v>
      </c>
      <c r="S1436" s="10">
        <f>IFERROR(IF(('Loading-rail'!$C$21)="No control",SUMIF(('Loading-rail'!$B$31:$B$48),$J1436,('Loading-rail'!$D$31:$D$48))*Impacts!$F$15,IF(('Loading-rail'!$C$21)&lt;&gt;"No control",SUMIF(('Loading-rail'!$B$31:$B$48),$J1436,('Loading-rail'!$E$31:$E$48))*Impacts!$F$15,0)),0)</f>
        <v>0</v>
      </c>
      <c r="T1436" s="10">
        <f>IF(Flare!$C$7="",0,(SUMIF(Flare!$B$46:$B$185,$J1436,Flare!$E$46:$E$185)*Impacts!$F$16))</f>
        <v>0</v>
      </c>
      <c r="U1436" s="10">
        <f>IF(VCU!$C$9="",0,(SUMIF(VCU!$B$51:$B$193,$J1436,VCU!$E$51:$E$193)*Impacts!$F$17))</f>
        <v>0</v>
      </c>
      <c r="V1436" s="10">
        <f>IF(CAS!$C$7="",0,(SUMIF(CAS!$B$31:$B$167,$J1436,CAS!$E$31:$E$167)*Impacts!$F$18))</f>
        <v>0</v>
      </c>
      <c r="W1436" s="10">
        <f t="shared" si="63"/>
        <v>0</v>
      </c>
      <c r="AK1436" s="10" t="str">
        <f t="array" ref="AK1436">IFERROR(INDEX(SelectedSpecies,SMALL(IF(SelectedSpecies=AK$1,ROW(SelectedSpecies)),ROW(1437:1437)),2),"")</f>
        <v/>
      </c>
      <c r="BE1436" s="10"/>
      <c r="BI1436" s="10"/>
    </row>
    <row r="1437" spans="1:61" ht="21" customHeight="1" x14ac:dyDescent="0.25">
      <c r="A1437" s="10"/>
      <c r="B1437" s="10"/>
      <c r="E1437" s="10"/>
      <c r="G1437" s="10"/>
      <c r="I1437" s="436" t="s">
        <v>2813</v>
      </c>
      <c r="J1437" s="26" t="s">
        <v>2812</v>
      </c>
      <c r="K1437" s="10">
        <v>10</v>
      </c>
      <c r="L1437" s="73">
        <f>IF(Tank1!$C$23="No control",(SUMIF(Tank1!$B$32:$B$49,$J1437,Tank1!$C$32:$C$49)*Impacts!$F$8),0)</f>
        <v>0</v>
      </c>
      <c r="M1437" s="10">
        <f>IF(Tank2!$C$23="No control",(SUMIF(Tank2!$B$32:$B$49,$J1437,Tank2!$C$32:$C$49)*Impacts!$F$9),0)</f>
        <v>0</v>
      </c>
      <c r="N1437" s="10">
        <f>IF(Tank3!$C$23="No control",(SUMIF(Tank3!$B$32:$B$49,$J1437,Tank3!$C$32:$C$49)*Impacts!$F$10),0)</f>
        <v>0</v>
      </c>
      <c r="O1437" s="10">
        <f>IF(Tank4!$C$23="No control",(SUMIF(Tank4!$B$32:$B$49,$J1437,Tank4!$C$32:$C$49)*Impacts!$F$11),0)</f>
        <v>0</v>
      </c>
      <c r="P1437" s="10">
        <f>IF(Tank5!$C$23="No control",(SUMIF(Tank5!$B$32:$B$49,$J1437,Tank5!$C$32:$C$49)*Impacts!$F$12),0)</f>
        <v>0</v>
      </c>
      <c r="Q1437" s="10">
        <f>IFERROR(IF(('Loading-drum,tote'!$C$21)="No control",SUMIF(('Loading-drum,tote'!$B$31:$B$48),$J1437,('Loading-drum,tote'!$D$31:$D$48))*Impacts!$F$13,IF(('Loading-drum,tote'!$C$21)&lt;&gt;"No control",SUMIF(('Loading-drum,tote'!$B$31:$B$48),$J1437,('Loading-drum,tote'!$E$31:$E$48))*Impacts!$F$13,0)),0)</f>
        <v>0</v>
      </c>
      <c r="R1437" s="10">
        <f>IFERROR(IF(('Loading-truck'!$C$21)="No control",SUMIF(('Loading-truck'!$B$31:$B$48),$J1437,('Loading-truck'!$D$31:$D$48))*Impacts!$F$14,IF(('Loading-truck'!$C$21)&lt;&gt;"No control",SUMIF(('Loading-truck'!$B$31:$B$48),$J1437,('Loading-truck'!$E$31:$E$48))*Impacts!$F$14,0)),0)</f>
        <v>0</v>
      </c>
      <c r="S1437" s="10">
        <f>IFERROR(IF(('Loading-rail'!$C$21)="No control",SUMIF(('Loading-rail'!$B$31:$B$48),$J1437,('Loading-rail'!$D$31:$D$48))*Impacts!$F$15,IF(('Loading-rail'!$C$21)&lt;&gt;"No control",SUMIF(('Loading-rail'!$B$31:$B$48),$J1437,('Loading-rail'!$E$31:$E$48))*Impacts!$F$15,0)),0)</f>
        <v>0</v>
      </c>
      <c r="T1437" s="10">
        <f>IF(Flare!$C$7="",0,(SUMIF(Flare!$B$46:$B$185,$J1437,Flare!$E$46:$E$185)*Impacts!$F$16))</f>
        <v>0</v>
      </c>
      <c r="U1437" s="10">
        <f>IF(VCU!$C$9="",0,(SUMIF(VCU!$B$51:$B$193,$J1437,VCU!$E$51:$E$193)*Impacts!$F$17))</f>
        <v>0</v>
      </c>
      <c r="V1437" s="10">
        <f>IF(CAS!$C$7="",0,(SUMIF(CAS!$B$31:$B$167,$J1437,CAS!$E$31:$E$167)*Impacts!$F$18))</f>
        <v>0</v>
      </c>
      <c r="W1437" s="10">
        <f t="shared" si="63"/>
        <v>0</v>
      </c>
      <c r="AK1437" s="10" t="str">
        <f t="array" ref="AK1437">IFERROR(INDEX(SelectedSpecies,SMALL(IF(SelectedSpecies=AK$1,ROW(SelectedSpecies)),ROW(1438:1438)),2),"")</f>
        <v/>
      </c>
      <c r="BE1437" s="10"/>
      <c r="BI1437" s="10"/>
    </row>
    <row r="1438" spans="1:61" ht="21" customHeight="1" x14ac:dyDescent="0.25">
      <c r="A1438" s="10"/>
      <c r="B1438" s="10"/>
      <c r="E1438" s="10"/>
      <c r="G1438" s="10"/>
      <c r="I1438" s="436" t="s">
        <v>5565</v>
      </c>
      <c r="J1438" s="26" t="s">
        <v>5564</v>
      </c>
      <c r="K1438" s="10">
        <v>1.2000000000000002</v>
      </c>
      <c r="L1438" s="73">
        <f>IF(Tank1!$C$23="No control",(SUMIF(Tank1!$B$32:$B$49,$J1438,Tank1!$C$32:$C$49)*Impacts!$F$8),0)</f>
        <v>0</v>
      </c>
      <c r="M1438" s="10">
        <f>IF(Tank2!$C$23="No control",(SUMIF(Tank2!$B$32:$B$49,$J1438,Tank2!$C$32:$C$49)*Impacts!$F$9),0)</f>
        <v>0</v>
      </c>
      <c r="N1438" s="10">
        <f>IF(Tank3!$C$23="No control",(SUMIF(Tank3!$B$32:$B$49,$J1438,Tank3!$C$32:$C$49)*Impacts!$F$10),0)</f>
        <v>0</v>
      </c>
      <c r="O1438" s="10">
        <f>IF(Tank4!$C$23="No control",(SUMIF(Tank4!$B$32:$B$49,$J1438,Tank4!$C$32:$C$49)*Impacts!$F$11),0)</f>
        <v>0</v>
      </c>
      <c r="P1438" s="10">
        <f>IF(Tank5!$C$23="No control",(SUMIF(Tank5!$B$32:$B$49,$J1438,Tank5!$C$32:$C$49)*Impacts!$F$12),0)</f>
        <v>0</v>
      </c>
      <c r="Q1438" s="10">
        <f>IFERROR(IF(('Loading-drum,tote'!$C$21)="No control",SUMIF(('Loading-drum,tote'!$B$31:$B$48),$J1438,('Loading-drum,tote'!$D$31:$D$48))*Impacts!$F$13,IF(('Loading-drum,tote'!$C$21)&lt;&gt;"No control",SUMIF(('Loading-drum,tote'!$B$31:$B$48),$J1438,('Loading-drum,tote'!$E$31:$E$48))*Impacts!$F$13,0)),0)</f>
        <v>0</v>
      </c>
      <c r="R1438" s="10">
        <f>IFERROR(IF(('Loading-truck'!$C$21)="No control",SUMIF(('Loading-truck'!$B$31:$B$48),$J1438,('Loading-truck'!$D$31:$D$48))*Impacts!$F$14,IF(('Loading-truck'!$C$21)&lt;&gt;"No control",SUMIF(('Loading-truck'!$B$31:$B$48),$J1438,('Loading-truck'!$E$31:$E$48))*Impacts!$F$14,0)),0)</f>
        <v>0</v>
      </c>
      <c r="S1438" s="10">
        <f>IFERROR(IF(('Loading-rail'!$C$21)="No control",SUMIF(('Loading-rail'!$B$31:$B$48),$J1438,('Loading-rail'!$D$31:$D$48))*Impacts!$F$15,IF(('Loading-rail'!$C$21)&lt;&gt;"No control",SUMIF(('Loading-rail'!$B$31:$B$48),$J1438,('Loading-rail'!$E$31:$E$48))*Impacts!$F$15,0)),0)</f>
        <v>0</v>
      </c>
      <c r="T1438" s="10">
        <f>IF(Flare!$C$7="",0,(SUMIF(Flare!$B$46:$B$185,$J1438,Flare!$E$46:$E$185)*Impacts!$F$16))</f>
        <v>0</v>
      </c>
      <c r="U1438" s="10">
        <f>IF(VCU!$C$9="",0,(SUMIF(VCU!$B$51:$B$193,$J1438,VCU!$E$51:$E$193)*Impacts!$F$17))</f>
        <v>0</v>
      </c>
      <c r="V1438" s="10">
        <f>IF(CAS!$C$7="",0,(SUMIF(CAS!$B$31:$B$167,$J1438,CAS!$E$31:$E$167)*Impacts!$F$18))</f>
        <v>0</v>
      </c>
      <c r="W1438" s="10">
        <f t="shared" si="63"/>
        <v>0</v>
      </c>
      <c r="AK1438" s="10" t="str">
        <f t="array" ref="AK1438">IFERROR(INDEX(SelectedSpecies,SMALL(IF(SelectedSpecies=AK$1,ROW(SelectedSpecies)),ROW(1439:1439)),2),"")</f>
        <v/>
      </c>
      <c r="BE1438" s="10"/>
      <c r="BI1438" s="10"/>
    </row>
    <row r="1439" spans="1:61" ht="21" customHeight="1" x14ac:dyDescent="0.25">
      <c r="A1439" s="10"/>
      <c r="B1439" s="10"/>
      <c r="E1439" s="10"/>
      <c r="G1439" s="10"/>
      <c r="I1439" s="436" t="s">
        <v>1686</v>
      </c>
      <c r="J1439" s="26" t="s">
        <v>1685</v>
      </c>
      <c r="K1439" s="10">
        <v>24.5</v>
      </c>
      <c r="L1439" s="73">
        <f>IF(Tank1!$C$23="No control",(SUMIF(Tank1!$B$32:$B$49,$J1439,Tank1!$C$32:$C$49)*Impacts!$F$8),0)</f>
        <v>0</v>
      </c>
      <c r="M1439" s="10">
        <f>IF(Tank2!$C$23="No control",(SUMIF(Tank2!$B$32:$B$49,$J1439,Tank2!$C$32:$C$49)*Impacts!$F$9),0)</f>
        <v>0</v>
      </c>
      <c r="N1439" s="10">
        <f>IF(Tank3!$C$23="No control",(SUMIF(Tank3!$B$32:$B$49,$J1439,Tank3!$C$32:$C$49)*Impacts!$F$10),0)</f>
        <v>0</v>
      </c>
      <c r="O1439" s="10">
        <f>IF(Tank4!$C$23="No control",(SUMIF(Tank4!$B$32:$B$49,$J1439,Tank4!$C$32:$C$49)*Impacts!$F$11),0)</f>
        <v>0</v>
      </c>
      <c r="P1439" s="10">
        <f>IF(Tank5!$C$23="No control",(SUMIF(Tank5!$B$32:$B$49,$J1439,Tank5!$C$32:$C$49)*Impacts!$F$12),0)</f>
        <v>0</v>
      </c>
      <c r="Q1439" s="10">
        <f>IFERROR(IF(('Loading-drum,tote'!$C$21)="No control",SUMIF(('Loading-drum,tote'!$B$31:$B$48),$J1439,('Loading-drum,tote'!$D$31:$D$48))*Impacts!$F$13,IF(('Loading-drum,tote'!$C$21)&lt;&gt;"No control",SUMIF(('Loading-drum,tote'!$B$31:$B$48),$J1439,('Loading-drum,tote'!$E$31:$E$48))*Impacts!$F$13,0)),0)</f>
        <v>0</v>
      </c>
      <c r="R1439" s="10">
        <f>IFERROR(IF(('Loading-truck'!$C$21)="No control",SUMIF(('Loading-truck'!$B$31:$B$48),$J1439,('Loading-truck'!$D$31:$D$48))*Impacts!$F$14,IF(('Loading-truck'!$C$21)&lt;&gt;"No control",SUMIF(('Loading-truck'!$B$31:$B$48),$J1439,('Loading-truck'!$E$31:$E$48))*Impacts!$F$14,0)),0)</f>
        <v>0</v>
      </c>
      <c r="S1439" s="10">
        <f>IFERROR(IF(('Loading-rail'!$C$21)="No control",SUMIF(('Loading-rail'!$B$31:$B$48),$J1439,('Loading-rail'!$D$31:$D$48))*Impacts!$F$15,IF(('Loading-rail'!$C$21)&lt;&gt;"No control",SUMIF(('Loading-rail'!$B$31:$B$48),$J1439,('Loading-rail'!$E$31:$E$48))*Impacts!$F$15,0)),0)</f>
        <v>0</v>
      </c>
      <c r="T1439" s="10">
        <f>IF(Flare!$C$7="",0,(SUMIF(Flare!$B$46:$B$185,$J1439,Flare!$E$46:$E$185)*Impacts!$F$16))</f>
        <v>0</v>
      </c>
      <c r="U1439" s="10">
        <f>IF(VCU!$C$9="",0,(SUMIF(VCU!$B$51:$B$193,$J1439,VCU!$E$51:$E$193)*Impacts!$F$17))</f>
        <v>0</v>
      </c>
      <c r="V1439" s="10">
        <f>IF(CAS!$C$7="",0,(SUMIF(CAS!$B$31:$B$167,$J1439,CAS!$E$31:$E$167)*Impacts!$F$18))</f>
        <v>0</v>
      </c>
      <c r="W1439" s="10">
        <f t="shared" si="63"/>
        <v>0</v>
      </c>
      <c r="AK1439" s="10" t="str">
        <f t="array" ref="AK1439">IFERROR(INDEX(SelectedSpecies,SMALL(IF(SelectedSpecies=AK$1,ROW(SelectedSpecies)),ROW(1440:1440)),2),"")</f>
        <v/>
      </c>
      <c r="BE1439" s="10"/>
      <c r="BI1439" s="10"/>
    </row>
    <row r="1440" spans="1:61" ht="21" customHeight="1" x14ac:dyDescent="0.25">
      <c r="A1440" s="10"/>
      <c r="B1440" s="10"/>
      <c r="E1440" s="10"/>
      <c r="G1440" s="10"/>
      <c r="I1440" s="436" t="s">
        <v>8050</v>
      </c>
      <c r="J1440" s="26" t="s">
        <v>8049</v>
      </c>
      <c r="K1440" s="10">
        <v>2.0000000000000004E-2</v>
      </c>
      <c r="L1440" s="73">
        <f>IF(Tank1!$C$23="No control",(SUMIF(Tank1!$B$32:$B$49,$J1440,Tank1!$C$32:$C$49)*Impacts!$F$8),0)</f>
        <v>0</v>
      </c>
      <c r="M1440" s="10">
        <f>IF(Tank2!$C$23="No control",(SUMIF(Tank2!$B$32:$B$49,$J1440,Tank2!$C$32:$C$49)*Impacts!$F$9),0)</f>
        <v>0</v>
      </c>
      <c r="N1440" s="10">
        <f>IF(Tank3!$C$23="No control",(SUMIF(Tank3!$B$32:$B$49,$J1440,Tank3!$C$32:$C$49)*Impacts!$F$10),0)</f>
        <v>0</v>
      </c>
      <c r="O1440" s="10">
        <f>IF(Tank4!$C$23="No control",(SUMIF(Tank4!$B$32:$B$49,$J1440,Tank4!$C$32:$C$49)*Impacts!$F$11),0)</f>
        <v>0</v>
      </c>
      <c r="P1440" s="10">
        <f>IF(Tank5!$C$23="No control",(SUMIF(Tank5!$B$32:$B$49,$J1440,Tank5!$C$32:$C$49)*Impacts!$F$12),0)</f>
        <v>0</v>
      </c>
      <c r="Q1440" s="10">
        <f>IFERROR(IF(('Loading-drum,tote'!$C$21)="No control",SUMIF(('Loading-drum,tote'!$B$31:$B$48),$J1440,('Loading-drum,tote'!$D$31:$D$48))*Impacts!$F$13,IF(('Loading-drum,tote'!$C$21)&lt;&gt;"No control",SUMIF(('Loading-drum,tote'!$B$31:$B$48),$J1440,('Loading-drum,tote'!$E$31:$E$48))*Impacts!$F$13,0)),0)</f>
        <v>0</v>
      </c>
      <c r="R1440" s="10">
        <f>IFERROR(IF(('Loading-truck'!$C$21)="No control",SUMIF(('Loading-truck'!$B$31:$B$48),$J1440,('Loading-truck'!$D$31:$D$48))*Impacts!$F$14,IF(('Loading-truck'!$C$21)&lt;&gt;"No control",SUMIF(('Loading-truck'!$B$31:$B$48),$J1440,('Loading-truck'!$E$31:$E$48))*Impacts!$F$14,0)),0)</f>
        <v>0</v>
      </c>
      <c r="S1440" s="10">
        <f>IFERROR(IF(('Loading-rail'!$C$21)="No control",SUMIF(('Loading-rail'!$B$31:$B$48),$J1440,('Loading-rail'!$D$31:$D$48))*Impacts!$F$15,IF(('Loading-rail'!$C$21)&lt;&gt;"No control",SUMIF(('Loading-rail'!$B$31:$B$48),$J1440,('Loading-rail'!$E$31:$E$48))*Impacts!$F$15,0)),0)</f>
        <v>0</v>
      </c>
      <c r="T1440" s="10">
        <f>IF(Flare!$C$7="",0,(SUMIF(Flare!$B$46:$B$185,$J1440,Flare!$E$46:$E$185)*Impacts!$F$16))</f>
        <v>0</v>
      </c>
      <c r="U1440" s="10">
        <f>IF(VCU!$C$9="",0,(SUMIF(VCU!$B$51:$B$193,$J1440,VCU!$E$51:$E$193)*Impacts!$F$17))</f>
        <v>0</v>
      </c>
      <c r="V1440" s="10">
        <f>IF(CAS!$C$7="",0,(SUMIF(CAS!$B$31:$B$167,$J1440,CAS!$E$31:$E$167)*Impacts!$F$18))</f>
        <v>0</v>
      </c>
      <c r="W1440" s="10">
        <f t="shared" si="63"/>
        <v>0</v>
      </c>
      <c r="AK1440" s="10" t="str">
        <f t="array" ref="AK1440">IFERROR(INDEX(SelectedSpecies,SMALL(IF(SelectedSpecies=AK$1,ROW(SelectedSpecies)),ROW(1441:1441)),2),"")</f>
        <v/>
      </c>
      <c r="BE1440" s="10"/>
      <c r="BI1440" s="10"/>
    </row>
    <row r="1441" spans="1:61" ht="21" customHeight="1" x14ac:dyDescent="0.25">
      <c r="A1441" s="10"/>
      <c r="B1441" s="10"/>
      <c r="E1441" s="10"/>
      <c r="G1441" s="10"/>
      <c r="I1441" s="436" t="s">
        <v>2051</v>
      </c>
      <c r="J1441" s="26" t="s">
        <v>2050</v>
      </c>
      <c r="K1441" s="10">
        <v>16</v>
      </c>
      <c r="L1441" s="73">
        <f>IF(Tank1!$C$23="No control",(SUMIF(Tank1!$B$32:$B$49,$J1441,Tank1!$C$32:$C$49)*Impacts!$F$8),0)</f>
        <v>0</v>
      </c>
      <c r="M1441" s="10">
        <f>IF(Tank2!$C$23="No control",(SUMIF(Tank2!$B$32:$B$49,$J1441,Tank2!$C$32:$C$49)*Impacts!$F$9),0)</f>
        <v>0</v>
      </c>
      <c r="N1441" s="10">
        <f>IF(Tank3!$C$23="No control",(SUMIF(Tank3!$B$32:$B$49,$J1441,Tank3!$C$32:$C$49)*Impacts!$F$10),0)</f>
        <v>0</v>
      </c>
      <c r="O1441" s="10">
        <f>IF(Tank4!$C$23="No control",(SUMIF(Tank4!$B$32:$B$49,$J1441,Tank4!$C$32:$C$49)*Impacts!$F$11),0)</f>
        <v>0</v>
      </c>
      <c r="P1441" s="10">
        <f>IF(Tank5!$C$23="No control",(SUMIF(Tank5!$B$32:$B$49,$J1441,Tank5!$C$32:$C$49)*Impacts!$F$12),0)</f>
        <v>0</v>
      </c>
      <c r="Q1441" s="10">
        <f>IFERROR(IF(('Loading-drum,tote'!$C$21)="No control",SUMIF(('Loading-drum,tote'!$B$31:$B$48),$J1441,('Loading-drum,tote'!$D$31:$D$48))*Impacts!$F$13,IF(('Loading-drum,tote'!$C$21)&lt;&gt;"No control",SUMIF(('Loading-drum,tote'!$B$31:$B$48),$J1441,('Loading-drum,tote'!$E$31:$E$48))*Impacts!$F$13,0)),0)</f>
        <v>0</v>
      </c>
      <c r="R1441" s="10">
        <f>IFERROR(IF(('Loading-truck'!$C$21)="No control",SUMIF(('Loading-truck'!$B$31:$B$48),$J1441,('Loading-truck'!$D$31:$D$48))*Impacts!$F$14,IF(('Loading-truck'!$C$21)&lt;&gt;"No control",SUMIF(('Loading-truck'!$B$31:$B$48),$J1441,('Loading-truck'!$E$31:$E$48))*Impacts!$F$14,0)),0)</f>
        <v>0</v>
      </c>
      <c r="S1441" s="10">
        <f>IFERROR(IF(('Loading-rail'!$C$21)="No control",SUMIF(('Loading-rail'!$B$31:$B$48),$J1441,('Loading-rail'!$D$31:$D$48))*Impacts!$F$15,IF(('Loading-rail'!$C$21)&lt;&gt;"No control",SUMIF(('Loading-rail'!$B$31:$B$48),$J1441,('Loading-rail'!$E$31:$E$48))*Impacts!$F$15,0)),0)</f>
        <v>0</v>
      </c>
      <c r="T1441" s="10">
        <f>IF(Flare!$C$7="",0,(SUMIF(Flare!$B$46:$B$185,$J1441,Flare!$E$46:$E$185)*Impacts!$F$16))</f>
        <v>0</v>
      </c>
      <c r="U1441" s="10">
        <f>IF(VCU!$C$9="",0,(SUMIF(VCU!$B$51:$B$193,$J1441,VCU!$E$51:$E$193)*Impacts!$F$17))</f>
        <v>0</v>
      </c>
      <c r="V1441" s="10">
        <f>IF(CAS!$C$7="",0,(SUMIF(CAS!$B$31:$B$167,$J1441,CAS!$E$31:$E$167)*Impacts!$F$18))</f>
        <v>0</v>
      </c>
      <c r="W1441" s="10">
        <f t="shared" si="63"/>
        <v>0</v>
      </c>
      <c r="AK1441" s="10" t="str">
        <f t="array" ref="AK1441">IFERROR(INDEX(SelectedSpecies,SMALL(IF(SelectedSpecies=AK$1,ROW(SelectedSpecies)),ROW(1442:1442)),2),"")</f>
        <v/>
      </c>
      <c r="BE1441" s="10"/>
      <c r="BI1441" s="10"/>
    </row>
    <row r="1442" spans="1:61" ht="21" customHeight="1" x14ac:dyDescent="0.25">
      <c r="A1442" s="10"/>
      <c r="B1442" s="10"/>
      <c r="E1442" s="10"/>
      <c r="G1442" s="10"/>
      <c r="I1442" s="436" t="s">
        <v>7388</v>
      </c>
      <c r="J1442" s="26" t="s">
        <v>7387</v>
      </c>
      <c r="K1442" s="10">
        <v>0.24</v>
      </c>
      <c r="L1442" s="73">
        <f>IF(Tank1!$C$23="No control",(SUMIF(Tank1!$B$32:$B$49,$J1442,Tank1!$C$32:$C$49)*Impacts!$F$8),0)</f>
        <v>0</v>
      </c>
      <c r="M1442" s="10">
        <f>IF(Tank2!$C$23="No control",(SUMIF(Tank2!$B$32:$B$49,$J1442,Tank2!$C$32:$C$49)*Impacts!$F$9),0)</f>
        <v>0</v>
      </c>
      <c r="N1442" s="10">
        <f>IF(Tank3!$C$23="No control",(SUMIF(Tank3!$B$32:$B$49,$J1442,Tank3!$C$32:$C$49)*Impacts!$F$10),0)</f>
        <v>0</v>
      </c>
      <c r="O1442" s="10">
        <f>IF(Tank4!$C$23="No control",(SUMIF(Tank4!$B$32:$B$49,$J1442,Tank4!$C$32:$C$49)*Impacts!$F$11),0)</f>
        <v>0</v>
      </c>
      <c r="P1442" s="10">
        <f>IF(Tank5!$C$23="No control",(SUMIF(Tank5!$B$32:$B$49,$J1442,Tank5!$C$32:$C$49)*Impacts!$F$12),0)</f>
        <v>0</v>
      </c>
      <c r="Q1442" s="10">
        <f>IFERROR(IF(('Loading-drum,tote'!$C$21)="No control",SUMIF(('Loading-drum,tote'!$B$31:$B$48),$J1442,('Loading-drum,tote'!$D$31:$D$48))*Impacts!$F$13,IF(('Loading-drum,tote'!$C$21)&lt;&gt;"No control",SUMIF(('Loading-drum,tote'!$B$31:$B$48),$J1442,('Loading-drum,tote'!$E$31:$E$48))*Impacts!$F$13,0)),0)</f>
        <v>0</v>
      </c>
      <c r="R1442" s="10">
        <f>IFERROR(IF(('Loading-truck'!$C$21)="No control",SUMIF(('Loading-truck'!$B$31:$B$48),$J1442,('Loading-truck'!$D$31:$D$48))*Impacts!$F$14,IF(('Loading-truck'!$C$21)&lt;&gt;"No control",SUMIF(('Loading-truck'!$B$31:$B$48),$J1442,('Loading-truck'!$E$31:$E$48))*Impacts!$F$14,0)),0)</f>
        <v>0</v>
      </c>
      <c r="S1442" s="10">
        <f>IFERROR(IF(('Loading-rail'!$C$21)="No control",SUMIF(('Loading-rail'!$B$31:$B$48),$J1442,('Loading-rail'!$D$31:$D$48))*Impacts!$F$15,IF(('Loading-rail'!$C$21)&lt;&gt;"No control",SUMIF(('Loading-rail'!$B$31:$B$48),$J1442,('Loading-rail'!$E$31:$E$48))*Impacts!$F$15,0)),0)</f>
        <v>0</v>
      </c>
      <c r="T1442" s="10">
        <f>IF(Flare!$C$7="",0,(SUMIF(Flare!$B$46:$B$185,$J1442,Flare!$E$46:$E$185)*Impacts!$F$16))</f>
        <v>0</v>
      </c>
      <c r="U1442" s="10">
        <f>IF(VCU!$C$9="",0,(SUMIF(VCU!$B$51:$B$193,$J1442,VCU!$E$51:$E$193)*Impacts!$F$17))</f>
        <v>0</v>
      </c>
      <c r="V1442" s="10">
        <f>IF(CAS!$C$7="",0,(SUMIF(CAS!$B$31:$B$167,$J1442,CAS!$E$31:$E$167)*Impacts!$F$18))</f>
        <v>0</v>
      </c>
      <c r="W1442" s="10">
        <f t="shared" si="63"/>
        <v>0</v>
      </c>
      <c r="AK1442" s="10" t="str">
        <f t="array" ref="AK1442">IFERROR(INDEX(SelectedSpecies,SMALL(IF(SelectedSpecies=AK$1,ROW(SelectedSpecies)),ROW(1443:1443)),2),"")</f>
        <v/>
      </c>
      <c r="BE1442" s="10"/>
      <c r="BI1442" s="10"/>
    </row>
    <row r="1443" spans="1:61" ht="21" customHeight="1" x14ac:dyDescent="0.25">
      <c r="A1443" s="10"/>
      <c r="B1443" s="10"/>
      <c r="E1443" s="10"/>
      <c r="G1443" s="10"/>
      <c r="I1443" s="436" t="s">
        <v>3673</v>
      </c>
      <c r="J1443" s="26" t="s">
        <v>3672</v>
      </c>
      <c r="K1443" s="10">
        <v>7</v>
      </c>
      <c r="L1443" s="73">
        <f>IF(Tank1!$C$23="No control",(SUMIF(Tank1!$B$32:$B$49,$J1443,Tank1!$C$32:$C$49)*Impacts!$F$8),0)</f>
        <v>0</v>
      </c>
      <c r="M1443" s="10">
        <f>IF(Tank2!$C$23="No control",(SUMIF(Tank2!$B$32:$B$49,$J1443,Tank2!$C$32:$C$49)*Impacts!$F$9),0)</f>
        <v>0</v>
      </c>
      <c r="N1443" s="10">
        <f>IF(Tank3!$C$23="No control",(SUMIF(Tank3!$B$32:$B$49,$J1443,Tank3!$C$32:$C$49)*Impacts!$F$10),0)</f>
        <v>0</v>
      </c>
      <c r="O1443" s="10">
        <f>IF(Tank4!$C$23="No control",(SUMIF(Tank4!$B$32:$B$49,$J1443,Tank4!$C$32:$C$49)*Impacts!$F$11),0)</f>
        <v>0</v>
      </c>
      <c r="P1443" s="10">
        <f>IF(Tank5!$C$23="No control",(SUMIF(Tank5!$B$32:$B$49,$J1443,Tank5!$C$32:$C$49)*Impacts!$F$12),0)</f>
        <v>0</v>
      </c>
      <c r="Q1443" s="10">
        <f>IFERROR(IF(('Loading-drum,tote'!$C$21)="No control",SUMIF(('Loading-drum,tote'!$B$31:$B$48),$J1443,('Loading-drum,tote'!$D$31:$D$48))*Impacts!$F$13,IF(('Loading-drum,tote'!$C$21)&lt;&gt;"No control",SUMIF(('Loading-drum,tote'!$B$31:$B$48),$J1443,('Loading-drum,tote'!$E$31:$E$48))*Impacts!$F$13,0)),0)</f>
        <v>0</v>
      </c>
      <c r="R1443" s="10">
        <f>IFERROR(IF(('Loading-truck'!$C$21)="No control",SUMIF(('Loading-truck'!$B$31:$B$48),$J1443,('Loading-truck'!$D$31:$D$48))*Impacts!$F$14,IF(('Loading-truck'!$C$21)&lt;&gt;"No control",SUMIF(('Loading-truck'!$B$31:$B$48),$J1443,('Loading-truck'!$E$31:$E$48))*Impacts!$F$14,0)),0)</f>
        <v>0</v>
      </c>
      <c r="S1443" s="10">
        <f>IFERROR(IF(('Loading-rail'!$C$21)="No control",SUMIF(('Loading-rail'!$B$31:$B$48),$J1443,('Loading-rail'!$D$31:$D$48))*Impacts!$F$15,IF(('Loading-rail'!$C$21)&lt;&gt;"No control",SUMIF(('Loading-rail'!$B$31:$B$48),$J1443,('Loading-rail'!$E$31:$E$48))*Impacts!$F$15,0)),0)</f>
        <v>0</v>
      </c>
      <c r="T1443" s="10">
        <f>IF(Flare!$C$7="",0,(SUMIF(Flare!$B$46:$B$185,$J1443,Flare!$E$46:$E$185)*Impacts!$F$16))</f>
        <v>0</v>
      </c>
      <c r="U1443" s="10">
        <f>IF(VCU!$C$9="",0,(SUMIF(VCU!$B$51:$B$193,$J1443,VCU!$E$51:$E$193)*Impacts!$F$17))</f>
        <v>0</v>
      </c>
      <c r="V1443" s="10">
        <f>IF(CAS!$C$7="",0,(SUMIF(CAS!$B$31:$B$167,$J1443,CAS!$E$31:$E$167)*Impacts!$F$18))</f>
        <v>0</v>
      </c>
      <c r="W1443" s="10">
        <f t="shared" si="63"/>
        <v>0</v>
      </c>
      <c r="AK1443" s="10" t="str">
        <f t="array" ref="AK1443">IFERROR(INDEX(SelectedSpecies,SMALL(IF(SelectedSpecies=AK$1,ROW(SelectedSpecies)),ROW(1444:1444)),2),"")</f>
        <v/>
      </c>
      <c r="BE1443" s="10"/>
      <c r="BI1443" s="10"/>
    </row>
    <row r="1444" spans="1:61" ht="21" customHeight="1" x14ac:dyDescent="0.25">
      <c r="A1444" s="10"/>
      <c r="B1444" s="10"/>
      <c r="E1444" s="10"/>
      <c r="G1444" s="10"/>
      <c r="I1444" s="436" t="s">
        <v>6526</v>
      </c>
      <c r="J1444" s="26" t="s">
        <v>6525</v>
      </c>
      <c r="K1444" s="10">
        <v>0.70000000000000007</v>
      </c>
      <c r="L1444" s="73">
        <f>IF(Tank1!$C$23="No control",(SUMIF(Tank1!$B$32:$B$49,$J1444,Tank1!$C$32:$C$49)*Impacts!$F$8),0)</f>
        <v>0</v>
      </c>
      <c r="M1444" s="10">
        <f>IF(Tank2!$C$23="No control",(SUMIF(Tank2!$B$32:$B$49,$J1444,Tank2!$C$32:$C$49)*Impacts!$F$9),0)</f>
        <v>0</v>
      </c>
      <c r="N1444" s="10">
        <f>IF(Tank3!$C$23="No control",(SUMIF(Tank3!$B$32:$B$49,$J1444,Tank3!$C$32:$C$49)*Impacts!$F$10),0)</f>
        <v>0</v>
      </c>
      <c r="O1444" s="10">
        <f>IF(Tank4!$C$23="No control",(SUMIF(Tank4!$B$32:$B$49,$J1444,Tank4!$C$32:$C$49)*Impacts!$F$11),0)</f>
        <v>0</v>
      </c>
      <c r="P1444" s="10">
        <f>IF(Tank5!$C$23="No control",(SUMIF(Tank5!$B$32:$B$49,$J1444,Tank5!$C$32:$C$49)*Impacts!$F$12),0)</f>
        <v>0</v>
      </c>
      <c r="Q1444" s="10">
        <f>IFERROR(IF(('Loading-drum,tote'!$C$21)="No control",SUMIF(('Loading-drum,tote'!$B$31:$B$48),$J1444,('Loading-drum,tote'!$D$31:$D$48))*Impacts!$F$13,IF(('Loading-drum,tote'!$C$21)&lt;&gt;"No control",SUMIF(('Loading-drum,tote'!$B$31:$B$48),$J1444,('Loading-drum,tote'!$E$31:$E$48))*Impacts!$F$13,0)),0)</f>
        <v>0</v>
      </c>
      <c r="R1444" s="10">
        <f>IFERROR(IF(('Loading-truck'!$C$21)="No control",SUMIF(('Loading-truck'!$B$31:$B$48),$J1444,('Loading-truck'!$D$31:$D$48))*Impacts!$F$14,IF(('Loading-truck'!$C$21)&lt;&gt;"No control",SUMIF(('Loading-truck'!$B$31:$B$48),$J1444,('Loading-truck'!$E$31:$E$48))*Impacts!$F$14,0)),0)</f>
        <v>0</v>
      </c>
      <c r="S1444" s="10">
        <f>IFERROR(IF(('Loading-rail'!$C$21)="No control",SUMIF(('Loading-rail'!$B$31:$B$48),$J1444,('Loading-rail'!$D$31:$D$48))*Impacts!$F$15,IF(('Loading-rail'!$C$21)&lt;&gt;"No control",SUMIF(('Loading-rail'!$B$31:$B$48),$J1444,('Loading-rail'!$E$31:$E$48))*Impacts!$F$15,0)),0)</f>
        <v>0</v>
      </c>
      <c r="T1444" s="10">
        <f>IF(Flare!$C$7="",0,(SUMIF(Flare!$B$46:$B$185,$J1444,Flare!$E$46:$E$185)*Impacts!$F$16))</f>
        <v>0</v>
      </c>
      <c r="U1444" s="10">
        <f>IF(VCU!$C$9="",0,(SUMIF(VCU!$B$51:$B$193,$J1444,VCU!$E$51:$E$193)*Impacts!$F$17))</f>
        <v>0</v>
      </c>
      <c r="V1444" s="10">
        <f>IF(CAS!$C$7="",0,(SUMIF(CAS!$B$31:$B$167,$J1444,CAS!$E$31:$E$167)*Impacts!$F$18))</f>
        <v>0</v>
      </c>
      <c r="W1444" s="10">
        <f t="shared" si="63"/>
        <v>0</v>
      </c>
      <c r="AK1444" s="10" t="str">
        <f t="array" ref="AK1444">IFERROR(INDEX(SelectedSpecies,SMALL(IF(SelectedSpecies=AK$1,ROW(SelectedSpecies)),ROW(1445:1445)),2),"")</f>
        <v/>
      </c>
      <c r="BE1444" s="10"/>
      <c r="BI1444" s="10"/>
    </row>
    <row r="1445" spans="1:61" ht="21" customHeight="1" x14ac:dyDescent="0.25">
      <c r="A1445" s="10"/>
      <c r="B1445" s="10"/>
      <c r="E1445" s="10"/>
      <c r="G1445" s="10"/>
      <c r="I1445" s="436" t="s">
        <v>2815</v>
      </c>
      <c r="J1445" s="26" t="s">
        <v>2814</v>
      </c>
      <c r="K1445" s="10">
        <v>10</v>
      </c>
      <c r="L1445" s="73">
        <f>IF(Tank1!$C$23="No control",(SUMIF(Tank1!$B$32:$B$49,$J1445,Tank1!$C$32:$C$49)*Impacts!$F$8),0)</f>
        <v>0</v>
      </c>
      <c r="M1445" s="10">
        <f>IF(Tank2!$C$23="No control",(SUMIF(Tank2!$B$32:$B$49,$J1445,Tank2!$C$32:$C$49)*Impacts!$F$9),0)</f>
        <v>0</v>
      </c>
      <c r="N1445" s="10">
        <f>IF(Tank3!$C$23="No control",(SUMIF(Tank3!$B$32:$B$49,$J1445,Tank3!$C$32:$C$49)*Impacts!$F$10),0)</f>
        <v>0</v>
      </c>
      <c r="O1445" s="10">
        <f>IF(Tank4!$C$23="No control",(SUMIF(Tank4!$B$32:$B$49,$J1445,Tank4!$C$32:$C$49)*Impacts!$F$11),0)</f>
        <v>0</v>
      </c>
      <c r="P1445" s="10">
        <f>IF(Tank5!$C$23="No control",(SUMIF(Tank5!$B$32:$B$49,$J1445,Tank5!$C$32:$C$49)*Impacts!$F$12),0)</f>
        <v>0</v>
      </c>
      <c r="Q1445" s="10">
        <f>IFERROR(IF(('Loading-drum,tote'!$C$21)="No control",SUMIF(('Loading-drum,tote'!$B$31:$B$48),$J1445,('Loading-drum,tote'!$D$31:$D$48))*Impacts!$F$13,IF(('Loading-drum,tote'!$C$21)&lt;&gt;"No control",SUMIF(('Loading-drum,tote'!$B$31:$B$48),$J1445,('Loading-drum,tote'!$E$31:$E$48))*Impacts!$F$13,0)),0)</f>
        <v>0</v>
      </c>
      <c r="R1445" s="10">
        <f>IFERROR(IF(('Loading-truck'!$C$21)="No control",SUMIF(('Loading-truck'!$B$31:$B$48),$J1445,('Loading-truck'!$D$31:$D$48))*Impacts!$F$14,IF(('Loading-truck'!$C$21)&lt;&gt;"No control",SUMIF(('Loading-truck'!$B$31:$B$48),$J1445,('Loading-truck'!$E$31:$E$48))*Impacts!$F$14,0)),0)</f>
        <v>0</v>
      </c>
      <c r="S1445" s="10">
        <f>IFERROR(IF(('Loading-rail'!$C$21)="No control",SUMIF(('Loading-rail'!$B$31:$B$48),$J1445,('Loading-rail'!$D$31:$D$48))*Impacts!$F$15,IF(('Loading-rail'!$C$21)&lt;&gt;"No control",SUMIF(('Loading-rail'!$B$31:$B$48),$J1445,('Loading-rail'!$E$31:$E$48))*Impacts!$F$15,0)),0)</f>
        <v>0</v>
      </c>
      <c r="T1445" s="10">
        <f>IF(Flare!$C$7="",0,(SUMIF(Flare!$B$46:$B$185,$J1445,Flare!$E$46:$E$185)*Impacts!$F$16))</f>
        <v>0</v>
      </c>
      <c r="U1445" s="10">
        <f>IF(VCU!$C$9="",0,(SUMIF(VCU!$B$51:$B$193,$J1445,VCU!$E$51:$E$193)*Impacts!$F$17))</f>
        <v>0</v>
      </c>
      <c r="V1445" s="10">
        <f>IF(CAS!$C$7="",0,(SUMIF(CAS!$B$31:$B$167,$J1445,CAS!$E$31:$E$167)*Impacts!$F$18))</f>
        <v>0</v>
      </c>
      <c r="W1445" s="10">
        <f t="shared" si="63"/>
        <v>0</v>
      </c>
      <c r="AK1445" s="10" t="str">
        <f t="array" ref="AK1445">IFERROR(INDEX(SelectedSpecies,SMALL(IF(SelectedSpecies=AK$1,ROW(SelectedSpecies)),ROW(1446:1446)),2),"")</f>
        <v/>
      </c>
      <c r="BE1445" s="10"/>
      <c r="BI1445" s="10"/>
    </row>
    <row r="1446" spans="1:61" ht="21" customHeight="1" x14ac:dyDescent="0.25">
      <c r="A1446" s="10"/>
      <c r="B1446" s="10"/>
      <c r="E1446" s="10"/>
      <c r="G1446" s="10"/>
      <c r="I1446" s="436" t="s">
        <v>2817</v>
      </c>
      <c r="J1446" s="26" t="s">
        <v>2816</v>
      </c>
      <c r="K1446" s="10">
        <v>10</v>
      </c>
      <c r="L1446" s="73">
        <f>IF(Tank1!$C$23="No control",(SUMIF(Tank1!$B$32:$B$49,$J1446,Tank1!$C$32:$C$49)*Impacts!$F$8),0)</f>
        <v>0</v>
      </c>
      <c r="M1446" s="10">
        <f>IF(Tank2!$C$23="No control",(SUMIF(Tank2!$B$32:$B$49,$J1446,Tank2!$C$32:$C$49)*Impacts!$F$9),0)</f>
        <v>0</v>
      </c>
      <c r="N1446" s="10">
        <f>IF(Tank3!$C$23="No control",(SUMIF(Tank3!$B$32:$B$49,$J1446,Tank3!$C$32:$C$49)*Impacts!$F$10),0)</f>
        <v>0</v>
      </c>
      <c r="O1446" s="10">
        <f>IF(Tank4!$C$23="No control",(SUMIF(Tank4!$B$32:$B$49,$J1446,Tank4!$C$32:$C$49)*Impacts!$F$11),0)</f>
        <v>0</v>
      </c>
      <c r="P1446" s="10">
        <f>IF(Tank5!$C$23="No control",(SUMIF(Tank5!$B$32:$B$49,$J1446,Tank5!$C$32:$C$49)*Impacts!$F$12),0)</f>
        <v>0</v>
      </c>
      <c r="Q1446" s="10">
        <f>IFERROR(IF(('Loading-drum,tote'!$C$21)="No control",SUMIF(('Loading-drum,tote'!$B$31:$B$48),$J1446,('Loading-drum,tote'!$D$31:$D$48))*Impacts!$F$13,IF(('Loading-drum,tote'!$C$21)&lt;&gt;"No control",SUMIF(('Loading-drum,tote'!$B$31:$B$48),$J1446,('Loading-drum,tote'!$E$31:$E$48))*Impacts!$F$13,0)),0)</f>
        <v>0</v>
      </c>
      <c r="R1446" s="10">
        <f>IFERROR(IF(('Loading-truck'!$C$21)="No control",SUMIF(('Loading-truck'!$B$31:$B$48),$J1446,('Loading-truck'!$D$31:$D$48))*Impacts!$F$14,IF(('Loading-truck'!$C$21)&lt;&gt;"No control",SUMIF(('Loading-truck'!$B$31:$B$48),$J1446,('Loading-truck'!$E$31:$E$48))*Impacts!$F$14,0)),0)</f>
        <v>0</v>
      </c>
      <c r="S1446" s="10">
        <f>IFERROR(IF(('Loading-rail'!$C$21)="No control",SUMIF(('Loading-rail'!$B$31:$B$48),$J1446,('Loading-rail'!$D$31:$D$48))*Impacts!$F$15,IF(('Loading-rail'!$C$21)&lt;&gt;"No control",SUMIF(('Loading-rail'!$B$31:$B$48),$J1446,('Loading-rail'!$E$31:$E$48))*Impacts!$F$15,0)),0)</f>
        <v>0</v>
      </c>
      <c r="T1446" s="10">
        <f>IF(Flare!$C$7="",0,(SUMIF(Flare!$B$46:$B$185,$J1446,Flare!$E$46:$E$185)*Impacts!$F$16))</f>
        <v>0</v>
      </c>
      <c r="U1446" s="10">
        <f>IF(VCU!$C$9="",0,(SUMIF(VCU!$B$51:$B$193,$J1446,VCU!$E$51:$E$193)*Impacts!$F$17))</f>
        <v>0</v>
      </c>
      <c r="V1446" s="10">
        <f>IF(CAS!$C$7="",0,(SUMIF(CAS!$B$31:$B$167,$J1446,CAS!$E$31:$E$167)*Impacts!$F$18))</f>
        <v>0</v>
      </c>
      <c r="W1446" s="10">
        <f t="shared" si="63"/>
        <v>0</v>
      </c>
      <c r="AK1446" s="10" t="str">
        <f t="array" ref="AK1446">IFERROR(INDEX(SelectedSpecies,SMALL(IF(SelectedSpecies=AK$1,ROW(SelectedSpecies)),ROW(1447:1447)),2),"")</f>
        <v/>
      </c>
      <c r="BE1446" s="10"/>
      <c r="BI1446" s="10"/>
    </row>
    <row r="1447" spans="1:61" ht="21" customHeight="1" x14ac:dyDescent="0.25">
      <c r="A1447" s="10"/>
      <c r="B1447" s="10"/>
      <c r="E1447" s="10"/>
      <c r="G1447" s="10"/>
      <c r="I1447" s="436" t="s">
        <v>2819</v>
      </c>
      <c r="J1447" s="26" t="s">
        <v>2818</v>
      </c>
      <c r="K1447" s="10">
        <v>10</v>
      </c>
      <c r="L1447" s="73">
        <f>IF(Tank1!$C$23="No control",(SUMIF(Tank1!$B$32:$B$49,$J1447,Tank1!$C$32:$C$49)*Impacts!$F$8),0)</f>
        <v>0</v>
      </c>
      <c r="M1447" s="10">
        <f>IF(Tank2!$C$23="No control",(SUMIF(Tank2!$B$32:$B$49,$J1447,Tank2!$C$32:$C$49)*Impacts!$F$9),0)</f>
        <v>0</v>
      </c>
      <c r="N1447" s="10">
        <f>IF(Tank3!$C$23="No control",(SUMIF(Tank3!$B$32:$B$49,$J1447,Tank3!$C$32:$C$49)*Impacts!$F$10),0)</f>
        <v>0</v>
      </c>
      <c r="O1447" s="10">
        <f>IF(Tank4!$C$23="No control",(SUMIF(Tank4!$B$32:$B$49,$J1447,Tank4!$C$32:$C$49)*Impacts!$F$11),0)</f>
        <v>0</v>
      </c>
      <c r="P1447" s="10">
        <f>IF(Tank5!$C$23="No control",(SUMIF(Tank5!$B$32:$B$49,$J1447,Tank5!$C$32:$C$49)*Impacts!$F$12),0)</f>
        <v>0</v>
      </c>
      <c r="Q1447" s="10">
        <f>IFERROR(IF(('Loading-drum,tote'!$C$21)="No control",SUMIF(('Loading-drum,tote'!$B$31:$B$48),$J1447,('Loading-drum,tote'!$D$31:$D$48))*Impacts!$F$13,IF(('Loading-drum,tote'!$C$21)&lt;&gt;"No control",SUMIF(('Loading-drum,tote'!$B$31:$B$48),$J1447,('Loading-drum,tote'!$E$31:$E$48))*Impacts!$F$13,0)),0)</f>
        <v>0</v>
      </c>
      <c r="R1447" s="10">
        <f>IFERROR(IF(('Loading-truck'!$C$21)="No control",SUMIF(('Loading-truck'!$B$31:$B$48),$J1447,('Loading-truck'!$D$31:$D$48))*Impacts!$F$14,IF(('Loading-truck'!$C$21)&lt;&gt;"No control",SUMIF(('Loading-truck'!$B$31:$B$48),$J1447,('Loading-truck'!$E$31:$E$48))*Impacts!$F$14,0)),0)</f>
        <v>0</v>
      </c>
      <c r="S1447" s="10">
        <f>IFERROR(IF(('Loading-rail'!$C$21)="No control",SUMIF(('Loading-rail'!$B$31:$B$48),$J1447,('Loading-rail'!$D$31:$D$48))*Impacts!$F$15,IF(('Loading-rail'!$C$21)&lt;&gt;"No control",SUMIF(('Loading-rail'!$B$31:$B$48),$J1447,('Loading-rail'!$E$31:$E$48))*Impacts!$F$15,0)),0)</f>
        <v>0</v>
      </c>
      <c r="T1447" s="10">
        <f>IF(Flare!$C$7="",0,(SUMIF(Flare!$B$46:$B$185,$J1447,Flare!$E$46:$E$185)*Impacts!$F$16))</f>
        <v>0</v>
      </c>
      <c r="U1447" s="10">
        <f>IF(VCU!$C$9="",0,(SUMIF(VCU!$B$51:$B$193,$J1447,VCU!$E$51:$E$193)*Impacts!$F$17))</f>
        <v>0</v>
      </c>
      <c r="V1447" s="10">
        <f>IF(CAS!$C$7="",0,(SUMIF(CAS!$B$31:$B$167,$J1447,CAS!$E$31:$E$167)*Impacts!$F$18))</f>
        <v>0</v>
      </c>
      <c r="W1447" s="10">
        <f t="shared" si="63"/>
        <v>0</v>
      </c>
      <c r="AK1447" s="10" t="str">
        <f t="array" ref="AK1447">IFERROR(INDEX(SelectedSpecies,SMALL(IF(SelectedSpecies=AK$1,ROW(SelectedSpecies)),ROW(1448:1448)),2),"")</f>
        <v/>
      </c>
      <c r="BE1447" s="10"/>
      <c r="BI1447" s="10"/>
    </row>
    <row r="1448" spans="1:61" ht="21" customHeight="1" x14ac:dyDescent="0.25">
      <c r="A1448" s="10"/>
      <c r="B1448" s="10"/>
      <c r="E1448" s="10"/>
      <c r="G1448" s="10"/>
      <c r="I1448" s="436" t="s">
        <v>1016</v>
      </c>
      <c r="J1448" s="26" t="s">
        <v>1015</v>
      </c>
      <c r="K1448" s="10">
        <v>35</v>
      </c>
      <c r="L1448" s="73">
        <f>IF(Tank1!$C$23="No control",(SUMIF(Tank1!$B$32:$B$49,$J1448,Tank1!$C$32:$C$49)*Impacts!$F$8),0)</f>
        <v>0</v>
      </c>
      <c r="M1448" s="10">
        <f>IF(Tank2!$C$23="No control",(SUMIF(Tank2!$B$32:$B$49,$J1448,Tank2!$C$32:$C$49)*Impacts!$F$9),0)</f>
        <v>0</v>
      </c>
      <c r="N1448" s="10">
        <f>IF(Tank3!$C$23="No control",(SUMIF(Tank3!$B$32:$B$49,$J1448,Tank3!$C$32:$C$49)*Impacts!$F$10),0)</f>
        <v>0</v>
      </c>
      <c r="O1448" s="10">
        <f>IF(Tank4!$C$23="No control",(SUMIF(Tank4!$B$32:$B$49,$J1448,Tank4!$C$32:$C$49)*Impacts!$F$11),0)</f>
        <v>0</v>
      </c>
      <c r="P1448" s="10">
        <f>IF(Tank5!$C$23="No control",(SUMIF(Tank5!$B$32:$B$49,$J1448,Tank5!$C$32:$C$49)*Impacts!$F$12),0)</f>
        <v>0</v>
      </c>
      <c r="Q1448" s="10">
        <f>IFERROR(IF(('Loading-drum,tote'!$C$21)="No control",SUMIF(('Loading-drum,tote'!$B$31:$B$48),$J1448,('Loading-drum,tote'!$D$31:$D$48))*Impacts!$F$13,IF(('Loading-drum,tote'!$C$21)&lt;&gt;"No control",SUMIF(('Loading-drum,tote'!$B$31:$B$48),$J1448,('Loading-drum,tote'!$E$31:$E$48))*Impacts!$F$13,0)),0)</f>
        <v>0</v>
      </c>
      <c r="R1448" s="10">
        <f>IFERROR(IF(('Loading-truck'!$C$21)="No control",SUMIF(('Loading-truck'!$B$31:$B$48),$J1448,('Loading-truck'!$D$31:$D$48))*Impacts!$F$14,IF(('Loading-truck'!$C$21)&lt;&gt;"No control",SUMIF(('Loading-truck'!$B$31:$B$48),$J1448,('Loading-truck'!$E$31:$E$48))*Impacts!$F$14,0)),0)</f>
        <v>0</v>
      </c>
      <c r="S1448" s="10">
        <f>IFERROR(IF(('Loading-rail'!$C$21)="No control",SUMIF(('Loading-rail'!$B$31:$B$48),$J1448,('Loading-rail'!$D$31:$D$48))*Impacts!$F$15,IF(('Loading-rail'!$C$21)&lt;&gt;"No control",SUMIF(('Loading-rail'!$B$31:$B$48),$J1448,('Loading-rail'!$E$31:$E$48))*Impacts!$F$15,0)),0)</f>
        <v>0</v>
      </c>
      <c r="T1448" s="10">
        <f>IF(Flare!$C$7="",0,(SUMIF(Flare!$B$46:$B$185,$J1448,Flare!$E$46:$E$185)*Impacts!$F$16))</f>
        <v>0</v>
      </c>
      <c r="U1448" s="10">
        <f>IF(VCU!$C$9="",0,(SUMIF(VCU!$B$51:$B$193,$J1448,VCU!$E$51:$E$193)*Impacts!$F$17))</f>
        <v>0</v>
      </c>
      <c r="V1448" s="10">
        <f>IF(CAS!$C$7="",0,(SUMIF(CAS!$B$31:$B$167,$J1448,CAS!$E$31:$E$167)*Impacts!$F$18))</f>
        <v>0</v>
      </c>
      <c r="W1448" s="10">
        <f t="shared" si="63"/>
        <v>0</v>
      </c>
      <c r="AK1448" s="10" t="str">
        <f t="array" ref="AK1448">IFERROR(INDEX(SelectedSpecies,SMALL(IF(SelectedSpecies=AK$1,ROW(SelectedSpecies)),ROW(1449:1449)),2),"")</f>
        <v/>
      </c>
      <c r="BE1448" s="10"/>
      <c r="BI1448" s="10"/>
    </row>
    <row r="1449" spans="1:61" ht="21" customHeight="1" x14ac:dyDescent="0.25">
      <c r="A1449" s="10"/>
      <c r="B1449" s="10"/>
      <c r="E1449" s="10"/>
      <c r="G1449" s="10"/>
      <c r="I1449" s="436" t="s">
        <v>4369</v>
      </c>
      <c r="J1449" s="26" t="s">
        <v>4368</v>
      </c>
      <c r="K1449" s="10">
        <v>4.8000000000000007</v>
      </c>
      <c r="L1449" s="73">
        <f>IF(Tank1!$C$23="No control",(SUMIF(Tank1!$B$32:$B$49,$J1449,Tank1!$C$32:$C$49)*Impacts!$F$8),0)</f>
        <v>0</v>
      </c>
      <c r="M1449" s="10">
        <f>IF(Tank2!$C$23="No control",(SUMIF(Tank2!$B$32:$B$49,$J1449,Tank2!$C$32:$C$49)*Impacts!$F$9),0)</f>
        <v>0</v>
      </c>
      <c r="N1449" s="10">
        <f>IF(Tank3!$C$23="No control",(SUMIF(Tank3!$B$32:$B$49,$J1449,Tank3!$C$32:$C$49)*Impacts!$F$10),0)</f>
        <v>0</v>
      </c>
      <c r="O1449" s="10">
        <f>IF(Tank4!$C$23="No control",(SUMIF(Tank4!$B$32:$B$49,$J1449,Tank4!$C$32:$C$49)*Impacts!$F$11),0)</f>
        <v>0</v>
      </c>
      <c r="P1449" s="10">
        <f>IF(Tank5!$C$23="No control",(SUMIF(Tank5!$B$32:$B$49,$J1449,Tank5!$C$32:$C$49)*Impacts!$F$12),0)</f>
        <v>0</v>
      </c>
      <c r="Q1449" s="10">
        <f>IFERROR(IF(('Loading-drum,tote'!$C$21)="No control",SUMIF(('Loading-drum,tote'!$B$31:$B$48),$J1449,('Loading-drum,tote'!$D$31:$D$48))*Impacts!$F$13,IF(('Loading-drum,tote'!$C$21)&lt;&gt;"No control",SUMIF(('Loading-drum,tote'!$B$31:$B$48),$J1449,('Loading-drum,tote'!$E$31:$E$48))*Impacts!$F$13,0)),0)</f>
        <v>0</v>
      </c>
      <c r="R1449" s="10">
        <f>IFERROR(IF(('Loading-truck'!$C$21)="No control",SUMIF(('Loading-truck'!$B$31:$B$48),$J1449,('Loading-truck'!$D$31:$D$48))*Impacts!$F$14,IF(('Loading-truck'!$C$21)&lt;&gt;"No control",SUMIF(('Loading-truck'!$B$31:$B$48),$J1449,('Loading-truck'!$E$31:$E$48))*Impacts!$F$14,0)),0)</f>
        <v>0</v>
      </c>
      <c r="S1449" s="10">
        <f>IFERROR(IF(('Loading-rail'!$C$21)="No control",SUMIF(('Loading-rail'!$B$31:$B$48),$J1449,('Loading-rail'!$D$31:$D$48))*Impacts!$F$15,IF(('Loading-rail'!$C$21)&lt;&gt;"No control",SUMIF(('Loading-rail'!$B$31:$B$48),$J1449,('Loading-rail'!$E$31:$E$48))*Impacts!$F$15,0)),0)</f>
        <v>0</v>
      </c>
      <c r="T1449" s="10">
        <f>IF(Flare!$C$7="",0,(SUMIF(Flare!$B$46:$B$185,$J1449,Flare!$E$46:$E$185)*Impacts!$F$16))</f>
        <v>0</v>
      </c>
      <c r="U1449" s="10">
        <f>IF(VCU!$C$9="",0,(SUMIF(VCU!$B$51:$B$193,$J1449,VCU!$E$51:$E$193)*Impacts!$F$17))</f>
        <v>0</v>
      </c>
      <c r="V1449" s="10">
        <f>IF(CAS!$C$7="",0,(SUMIF(CAS!$B$31:$B$167,$J1449,CAS!$E$31:$E$167)*Impacts!$F$18))</f>
        <v>0</v>
      </c>
      <c r="W1449" s="10">
        <f t="shared" si="63"/>
        <v>0</v>
      </c>
      <c r="AK1449" s="10" t="str">
        <f t="array" ref="AK1449">IFERROR(INDEX(SelectedSpecies,SMALL(IF(SelectedSpecies=AK$1,ROW(SelectedSpecies)),ROW(1450:1450)),2),"")</f>
        <v/>
      </c>
      <c r="BE1449" s="10"/>
      <c r="BI1449" s="10"/>
    </row>
    <row r="1450" spans="1:61" ht="21" customHeight="1" x14ac:dyDescent="0.25">
      <c r="A1450" s="10"/>
      <c r="B1450" s="10"/>
      <c r="E1450" s="10"/>
      <c r="G1450" s="10"/>
      <c r="I1450" s="436" t="s">
        <v>4489</v>
      </c>
      <c r="J1450" s="26" t="s">
        <v>4488</v>
      </c>
      <c r="K1450" s="10">
        <v>4.2</v>
      </c>
      <c r="L1450" s="73">
        <f>IF(Tank1!$C$23="No control",(SUMIF(Tank1!$B$32:$B$49,$J1450,Tank1!$C$32:$C$49)*Impacts!$F$8),0)</f>
        <v>0</v>
      </c>
      <c r="M1450" s="10">
        <f>IF(Tank2!$C$23="No control",(SUMIF(Tank2!$B$32:$B$49,$J1450,Tank2!$C$32:$C$49)*Impacts!$F$9),0)</f>
        <v>0</v>
      </c>
      <c r="N1450" s="10">
        <f>IF(Tank3!$C$23="No control",(SUMIF(Tank3!$B$32:$B$49,$J1450,Tank3!$C$32:$C$49)*Impacts!$F$10),0)</f>
        <v>0</v>
      </c>
      <c r="O1450" s="10">
        <f>IF(Tank4!$C$23="No control",(SUMIF(Tank4!$B$32:$B$49,$J1450,Tank4!$C$32:$C$49)*Impacts!$F$11),0)</f>
        <v>0</v>
      </c>
      <c r="P1450" s="10">
        <f>IF(Tank5!$C$23="No control",(SUMIF(Tank5!$B$32:$B$49,$J1450,Tank5!$C$32:$C$49)*Impacts!$F$12),0)</f>
        <v>0</v>
      </c>
      <c r="Q1450" s="10">
        <f>IFERROR(IF(('Loading-drum,tote'!$C$21)="No control",SUMIF(('Loading-drum,tote'!$B$31:$B$48),$J1450,('Loading-drum,tote'!$D$31:$D$48))*Impacts!$F$13,IF(('Loading-drum,tote'!$C$21)&lt;&gt;"No control",SUMIF(('Loading-drum,tote'!$B$31:$B$48),$J1450,('Loading-drum,tote'!$E$31:$E$48))*Impacts!$F$13,0)),0)</f>
        <v>0</v>
      </c>
      <c r="R1450" s="10">
        <f>IFERROR(IF(('Loading-truck'!$C$21)="No control",SUMIF(('Loading-truck'!$B$31:$B$48),$J1450,('Loading-truck'!$D$31:$D$48))*Impacts!$F$14,IF(('Loading-truck'!$C$21)&lt;&gt;"No control",SUMIF(('Loading-truck'!$B$31:$B$48),$J1450,('Loading-truck'!$E$31:$E$48))*Impacts!$F$14,0)),0)</f>
        <v>0</v>
      </c>
      <c r="S1450" s="10">
        <f>IFERROR(IF(('Loading-rail'!$C$21)="No control",SUMIF(('Loading-rail'!$B$31:$B$48),$J1450,('Loading-rail'!$D$31:$D$48))*Impacts!$F$15,IF(('Loading-rail'!$C$21)&lt;&gt;"No control",SUMIF(('Loading-rail'!$B$31:$B$48),$J1450,('Loading-rail'!$E$31:$E$48))*Impacts!$F$15,0)),0)</f>
        <v>0</v>
      </c>
      <c r="T1450" s="10">
        <f>IF(Flare!$C$7="",0,(SUMIF(Flare!$B$46:$B$185,$J1450,Flare!$E$46:$E$185)*Impacts!$F$16))</f>
        <v>0</v>
      </c>
      <c r="U1450" s="10">
        <f>IF(VCU!$C$9="",0,(SUMIF(VCU!$B$51:$B$193,$J1450,VCU!$E$51:$E$193)*Impacts!$F$17))</f>
        <v>0</v>
      </c>
      <c r="V1450" s="10">
        <f>IF(CAS!$C$7="",0,(SUMIF(CAS!$B$31:$B$167,$J1450,CAS!$E$31:$E$167)*Impacts!$F$18))</f>
        <v>0</v>
      </c>
      <c r="W1450" s="10">
        <f t="shared" si="63"/>
        <v>0</v>
      </c>
      <c r="AK1450" s="10" t="str">
        <f t="array" ref="AK1450">IFERROR(INDEX(SelectedSpecies,SMALL(IF(SelectedSpecies=AK$1,ROW(SelectedSpecies)),ROW(1451:1451)),2),"")</f>
        <v/>
      </c>
      <c r="BE1450" s="10"/>
      <c r="BI1450" s="10"/>
    </row>
    <row r="1451" spans="1:61" ht="21" customHeight="1" x14ac:dyDescent="0.25">
      <c r="A1451" s="10"/>
      <c r="B1451" s="10"/>
      <c r="E1451" s="10"/>
      <c r="G1451" s="10"/>
      <c r="I1451" s="436" t="s">
        <v>2121</v>
      </c>
      <c r="J1451" s="26" t="s">
        <v>2120</v>
      </c>
      <c r="K1451" s="10">
        <v>15</v>
      </c>
      <c r="L1451" s="73">
        <f>IF(Tank1!$C$23="No control",(SUMIF(Tank1!$B$32:$B$49,$J1451,Tank1!$C$32:$C$49)*Impacts!$F$8),0)</f>
        <v>0</v>
      </c>
      <c r="M1451" s="10">
        <f>IF(Tank2!$C$23="No control",(SUMIF(Tank2!$B$32:$B$49,$J1451,Tank2!$C$32:$C$49)*Impacts!$F$9),0)</f>
        <v>0</v>
      </c>
      <c r="N1451" s="10">
        <f>IF(Tank3!$C$23="No control",(SUMIF(Tank3!$B$32:$B$49,$J1451,Tank3!$C$32:$C$49)*Impacts!$F$10),0)</f>
        <v>0</v>
      </c>
      <c r="O1451" s="10">
        <f>IF(Tank4!$C$23="No control",(SUMIF(Tank4!$B$32:$B$49,$J1451,Tank4!$C$32:$C$49)*Impacts!$F$11),0)</f>
        <v>0</v>
      </c>
      <c r="P1451" s="10">
        <f>IF(Tank5!$C$23="No control",(SUMIF(Tank5!$B$32:$B$49,$J1451,Tank5!$C$32:$C$49)*Impacts!$F$12),0)</f>
        <v>0</v>
      </c>
      <c r="Q1451" s="10">
        <f>IFERROR(IF(('Loading-drum,tote'!$C$21)="No control",SUMIF(('Loading-drum,tote'!$B$31:$B$48),$J1451,('Loading-drum,tote'!$D$31:$D$48))*Impacts!$F$13,IF(('Loading-drum,tote'!$C$21)&lt;&gt;"No control",SUMIF(('Loading-drum,tote'!$B$31:$B$48),$J1451,('Loading-drum,tote'!$E$31:$E$48))*Impacts!$F$13,0)),0)</f>
        <v>0</v>
      </c>
      <c r="R1451" s="10">
        <f>IFERROR(IF(('Loading-truck'!$C$21)="No control",SUMIF(('Loading-truck'!$B$31:$B$48),$J1451,('Loading-truck'!$D$31:$D$48))*Impacts!$F$14,IF(('Loading-truck'!$C$21)&lt;&gt;"No control",SUMIF(('Loading-truck'!$B$31:$B$48),$J1451,('Loading-truck'!$E$31:$E$48))*Impacts!$F$14,0)),0)</f>
        <v>0</v>
      </c>
      <c r="S1451" s="10">
        <f>IFERROR(IF(('Loading-rail'!$C$21)="No control",SUMIF(('Loading-rail'!$B$31:$B$48),$J1451,('Loading-rail'!$D$31:$D$48))*Impacts!$F$15,IF(('Loading-rail'!$C$21)&lt;&gt;"No control",SUMIF(('Loading-rail'!$B$31:$B$48),$J1451,('Loading-rail'!$E$31:$E$48))*Impacts!$F$15,0)),0)</f>
        <v>0</v>
      </c>
      <c r="T1451" s="10">
        <f>IF(Flare!$C$7="",0,(SUMIF(Flare!$B$46:$B$185,$J1451,Flare!$E$46:$E$185)*Impacts!$F$16))</f>
        <v>0</v>
      </c>
      <c r="U1451" s="10">
        <f>IF(VCU!$C$9="",0,(SUMIF(VCU!$B$51:$B$193,$J1451,VCU!$E$51:$E$193)*Impacts!$F$17))</f>
        <v>0</v>
      </c>
      <c r="V1451" s="10">
        <f>IF(CAS!$C$7="",0,(SUMIF(CAS!$B$31:$B$167,$J1451,CAS!$E$31:$E$167)*Impacts!$F$18))</f>
        <v>0</v>
      </c>
      <c r="W1451" s="10">
        <f t="shared" si="63"/>
        <v>0</v>
      </c>
      <c r="AK1451" s="10" t="str">
        <f t="array" ref="AK1451">IFERROR(INDEX(SelectedSpecies,SMALL(IF(SelectedSpecies=AK$1,ROW(SelectedSpecies)),ROW(1452:1452)),2),"")</f>
        <v/>
      </c>
      <c r="BE1451" s="10"/>
      <c r="BI1451" s="10"/>
    </row>
    <row r="1452" spans="1:61" ht="21" customHeight="1" x14ac:dyDescent="0.25">
      <c r="A1452" s="10"/>
      <c r="B1452" s="10"/>
      <c r="E1452" s="10"/>
      <c r="G1452" s="10"/>
      <c r="I1452" s="436" t="s">
        <v>686</v>
      </c>
      <c r="J1452" s="26" t="s">
        <v>685</v>
      </c>
      <c r="K1452" s="10">
        <v>57</v>
      </c>
      <c r="L1452" s="73">
        <f>IF(Tank1!$C$23="No control",(SUMIF(Tank1!$B$32:$B$49,$J1452,Tank1!$C$32:$C$49)*Impacts!$F$8),0)</f>
        <v>0</v>
      </c>
      <c r="M1452" s="10">
        <f>IF(Tank2!$C$23="No control",(SUMIF(Tank2!$B$32:$B$49,$J1452,Tank2!$C$32:$C$49)*Impacts!$F$9),0)</f>
        <v>0</v>
      </c>
      <c r="N1452" s="10">
        <f>IF(Tank3!$C$23="No control",(SUMIF(Tank3!$B$32:$B$49,$J1452,Tank3!$C$32:$C$49)*Impacts!$F$10),0)</f>
        <v>0</v>
      </c>
      <c r="O1452" s="10">
        <f>IF(Tank4!$C$23="No control",(SUMIF(Tank4!$B$32:$B$49,$J1452,Tank4!$C$32:$C$49)*Impacts!$F$11),0)</f>
        <v>0</v>
      </c>
      <c r="P1452" s="10">
        <f>IF(Tank5!$C$23="No control",(SUMIF(Tank5!$B$32:$B$49,$J1452,Tank5!$C$32:$C$49)*Impacts!$F$12),0)</f>
        <v>0</v>
      </c>
      <c r="Q1452" s="10">
        <f>IFERROR(IF(('Loading-drum,tote'!$C$21)="No control",SUMIF(('Loading-drum,tote'!$B$31:$B$48),$J1452,('Loading-drum,tote'!$D$31:$D$48))*Impacts!$F$13,IF(('Loading-drum,tote'!$C$21)&lt;&gt;"No control",SUMIF(('Loading-drum,tote'!$B$31:$B$48),$J1452,('Loading-drum,tote'!$E$31:$E$48))*Impacts!$F$13,0)),0)</f>
        <v>0</v>
      </c>
      <c r="R1452" s="10">
        <f>IFERROR(IF(('Loading-truck'!$C$21)="No control",SUMIF(('Loading-truck'!$B$31:$B$48),$J1452,('Loading-truck'!$D$31:$D$48))*Impacts!$F$14,IF(('Loading-truck'!$C$21)&lt;&gt;"No control",SUMIF(('Loading-truck'!$B$31:$B$48),$J1452,('Loading-truck'!$E$31:$E$48))*Impacts!$F$14,0)),0)</f>
        <v>0</v>
      </c>
      <c r="S1452" s="10">
        <f>IFERROR(IF(('Loading-rail'!$C$21)="No control",SUMIF(('Loading-rail'!$B$31:$B$48),$J1452,('Loading-rail'!$D$31:$D$48))*Impacts!$F$15,IF(('Loading-rail'!$C$21)&lt;&gt;"No control",SUMIF(('Loading-rail'!$B$31:$B$48),$J1452,('Loading-rail'!$E$31:$E$48))*Impacts!$F$15,0)),0)</f>
        <v>0</v>
      </c>
      <c r="T1452" s="10">
        <f>IF(Flare!$C$7="",0,(SUMIF(Flare!$B$46:$B$185,$J1452,Flare!$E$46:$E$185)*Impacts!$F$16))</f>
        <v>0</v>
      </c>
      <c r="U1452" s="10">
        <f>IF(VCU!$C$9="",0,(SUMIF(VCU!$B$51:$B$193,$J1452,VCU!$E$51:$E$193)*Impacts!$F$17))</f>
        <v>0</v>
      </c>
      <c r="V1452" s="10">
        <f>IF(CAS!$C$7="",0,(SUMIF(CAS!$B$31:$B$167,$J1452,CAS!$E$31:$E$167)*Impacts!$F$18))</f>
        <v>0</v>
      </c>
      <c r="W1452" s="10">
        <f t="shared" si="63"/>
        <v>0</v>
      </c>
      <c r="AK1452" s="10" t="str">
        <f t="array" ref="AK1452">IFERROR(INDEX(SelectedSpecies,SMALL(IF(SelectedSpecies=AK$1,ROW(SelectedSpecies)),ROW(1453:1453)),2),"")</f>
        <v/>
      </c>
      <c r="BE1452" s="10"/>
      <c r="BI1452" s="10"/>
    </row>
    <row r="1453" spans="1:61" ht="21" customHeight="1" x14ac:dyDescent="0.25">
      <c r="A1453" s="10"/>
      <c r="B1453" s="10"/>
      <c r="E1453" s="10"/>
      <c r="G1453" s="10"/>
      <c r="I1453" s="436" t="s">
        <v>1616</v>
      </c>
      <c r="J1453" s="26" t="s">
        <v>1615</v>
      </c>
      <c r="K1453" s="10">
        <v>25</v>
      </c>
      <c r="L1453" s="73">
        <f>IF(Tank1!$C$23="No control",(SUMIF(Tank1!$B$32:$B$49,$J1453,Tank1!$C$32:$C$49)*Impacts!$F$8),0)</f>
        <v>0</v>
      </c>
      <c r="M1453" s="10">
        <f>IF(Tank2!$C$23="No control",(SUMIF(Tank2!$B$32:$B$49,$J1453,Tank2!$C$32:$C$49)*Impacts!$F$9),0)</f>
        <v>0</v>
      </c>
      <c r="N1453" s="10">
        <f>IF(Tank3!$C$23="No control",(SUMIF(Tank3!$B$32:$B$49,$J1453,Tank3!$C$32:$C$49)*Impacts!$F$10),0)</f>
        <v>0</v>
      </c>
      <c r="O1453" s="10">
        <f>IF(Tank4!$C$23="No control",(SUMIF(Tank4!$B$32:$B$49,$J1453,Tank4!$C$32:$C$49)*Impacts!$F$11),0)</f>
        <v>0</v>
      </c>
      <c r="P1453" s="10">
        <f>IF(Tank5!$C$23="No control",(SUMIF(Tank5!$B$32:$B$49,$J1453,Tank5!$C$32:$C$49)*Impacts!$F$12),0)</f>
        <v>0</v>
      </c>
      <c r="Q1453" s="10">
        <f>IFERROR(IF(('Loading-drum,tote'!$C$21)="No control",SUMIF(('Loading-drum,tote'!$B$31:$B$48),$J1453,('Loading-drum,tote'!$D$31:$D$48))*Impacts!$F$13,IF(('Loading-drum,tote'!$C$21)&lt;&gt;"No control",SUMIF(('Loading-drum,tote'!$B$31:$B$48),$J1453,('Loading-drum,tote'!$E$31:$E$48))*Impacts!$F$13,0)),0)</f>
        <v>0</v>
      </c>
      <c r="R1453" s="10">
        <f>IFERROR(IF(('Loading-truck'!$C$21)="No control",SUMIF(('Loading-truck'!$B$31:$B$48),$J1453,('Loading-truck'!$D$31:$D$48))*Impacts!$F$14,IF(('Loading-truck'!$C$21)&lt;&gt;"No control",SUMIF(('Loading-truck'!$B$31:$B$48),$J1453,('Loading-truck'!$E$31:$E$48))*Impacts!$F$14,0)),0)</f>
        <v>0</v>
      </c>
      <c r="S1453" s="10">
        <f>IFERROR(IF(('Loading-rail'!$C$21)="No control",SUMIF(('Loading-rail'!$B$31:$B$48),$J1453,('Loading-rail'!$D$31:$D$48))*Impacts!$F$15,IF(('Loading-rail'!$C$21)&lt;&gt;"No control",SUMIF(('Loading-rail'!$B$31:$B$48),$J1453,('Loading-rail'!$E$31:$E$48))*Impacts!$F$15,0)),0)</f>
        <v>0</v>
      </c>
      <c r="T1453" s="10">
        <f>IF(Flare!$C$7="",0,(SUMIF(Flare!$B$46:$B$185,$J1453,Flare!$E$46:$E$185)*Impacts!$F$16))</f>
        <v>0</v>
      </c>
      <c r="U1453" s="10">
        <f>IF(VCU!$C$9="",0,(SUMIF(VCU!$B$51:$B$193,$J1453,VCU!$E$51:$E$193)*Impacts!$F$17))</f>
        <v>0</v>
      </c>
      <c r="V1453" s="10">
        <f>IF(CAS!$C$7="",0,(SUMIF(CAS!$B$31:$B$167,$J1453,CAS!$E$31:$E$167)*Impacts!$F$18))</f>
        <v>0</v>
      </c>
      <c r="W1453" s="10">
        <f t="shared" si="63"/>
        <v>0</v>
      </c>
      <c r="AK1453" s="10" t="str">
        <f t="array" ref="AK1453">IFERROR(INDEX(SelectedSpecies,SMALL(IF(SelectedSpecies=AK$1,ROW(SelectedSpecies)),ROW(1454:1454)),2),"")</f>
        <v/>
      </c>
      <c r="BE1453" s="10"/>
      <c r="BI1453" s="10"/>
    </row>
    <row r="1454" spans="1:61" ht="21" customHeight="1" x14ac:dyDescent="0.25">
      <c r="A1454" s="10"/>
      <c r="B1454" s="10"/>
      <c r="E1454" s="10"/>
      <c r="G1454" s="10"/>
      <c r="I1454" s="436" t="s">
        <v>7168</v>
      </c>
      <c r="J1454" s="26" t="s">
        <v>7167</v>
      </c>
      <c r="K1454" s="10">
        <v>0.33</v>
      </c>
      <c r="L1454" s="73">
        <f>IF(Tank1!$C$23="No control",(SUMIF(Tank1!$B$32:$B$49,$J1454,Tank1!$C$32:$C$49)*Impacts!$F$8),0)</f>
        <v>0</v>
      </c>
      <c r="M1454" s="10">
        <f>IF(Tank2!$C$23="No control",(SUMIF(Tank2!$B$32:$B$49,$J1454,Tank2!$C$32:$C$49)*Impacts!$F$9),0)</f>
        <v>0</v>
      </c>
      <c r="N1454" s="10">
        <f>IF(Tank3!$C$23="No control",(SUMIF(Tank3!$B$32:$B$49,$J1454,Tank3!$C$32:$C$49)*Impacts!$F$10),0)</f>
        <v>0</v>
      </c>
      <c r="O1454" s="10">
        <f>IF(Tank4!$C$23="No control",(SUMIF(Tank4!$B$32:$B$49,$J1454,Tank4!$C$32:$C$49)*Impacts!$F$11),0)</f>
        <v>0</v>
      </c>
      <c r="P1454" s="10">
        <f>IF(Tank5!$C$23="No control",(SUMIF(Tank5!$B$32:$B$49,$J1454,Tank5!$C$32:$C$49)*Impacts!$F$12),0)</f>
        <v>0</v>
      </c>
      <c r="Q1454" s="10">
        <f>IFERROR(IF(('Loading-drum,tote'!$C$21)="No control",SUMIF(('Loading-drum,tote'!$B$31:$B$48),$J1454,('Loading-drum,tote'!$D$31:$D$48))*Impacts!$F$13,IF(('Loading-drum,tote'!$C$21)&lt;&gt;"No control",SUMIF(('Loading-drum,tote'!$B$31:$B$48),$J1454,('Loading-drum,tote'!$E$31:$E$48))*Impacts!$F$13,0)),0)</f>
        <v>0</v>
      </c>
      <c r="R1454" s="10">
        <f>IFERROR(IF(('Loading-truck'!$C$21)="No control",SUMIF(('Loading-truck'!$B$31:$B$48),$J1454,('Loading-truck'!$D$31:$D$48))*Impacts!$F$14,IF(('Loading-truck'!$C$21)&lt;&gt;"No control",SUMIF(('Loading-truck'!$B$31:$B$48),$J1454,('Loading-truck'!$E$31:$E$48))*Impacts!$F$14,0)),0)</f>
        <v>0</v>
      </c>
      <c r="S1454" s="10">
        <f>IFERROR(IF(('Loading-rail'!$C$21)="No control",SUMIF(('Loading-rail'!$B$31:$B$48),$J1454,('Loading-rail'!$D$31:$D$48))*Impacts!$F$15,IF(('Loading-rail'!$C$21)&lt;&gt;"No control",SUMIF(('Loading-rail'!$B$31:$B$48),$J1454,('Loading-rail'!$E$31:$E$48))*Impacts!$F$15,0)),0)</f>
        <v>0</v>
      </c>
      <c r="T1454" s="10">
        <f>IF(Flare!$C$7="",0,(SUMIF(Flare!$B$46:$B$185,$J1454,Flare!$E$46:$E$185)*Impacts!$F$16))</f>
        <v>0</v>
      </c>
      <c r="U1454" s="10">
        <f>IF(VCU!$C$9="",0,(SUMIF(VCU!$B$51:$B$193,$J1454,VCU!$E$51:$E$193)*Impacts!$F$17))</f>
        <v>0</v>
      </c>
      <c r="V1454" s="10">
        <f>IF(CAS!$C$7="",0,(SUMIF(CAS!$B$31:$B$167,$J1454,CAS!$E$31:$E$167)*Impacts!$F$18))</f>
        <v>0</v>
      </c>
      <c r="W1454" s="10">
        <f t="shared" si="63"/>
        <v>0</v>
      </c>
      <c r="AK1454" s="10" t="str">
        <f t="array" ref="AK1454">IFERROR(INDEX(SelectedSpecies,SMALL(IF(SelectedSpecies=AK$1,ROW(SelectedSpecies)),ROW(1455:1455)),2),"")</f>
        <v/>
      </c>
      <c r="BE1454" s="10"/>
      <c r="BI1454" s="10"/>
    </row>
    <row r="1455" spans="1:61" ht="21" customHeight="1" x14ac:dyDescent="0.25">
      <c r="A1455" s="10"/>
      <c r="B1455" s="10"/>
      <c r="E1455" s="10"/>
      <c r="G1455" s="10"/>
      <c r="I1455" s="436" t="s">
        <v>10373</v>
      </c>
      <c r="J1455" s="26" t="s">
        <v>10374</v>
      </c>
      <c r="K1455" s="10">
        <v>6.3E-3</v>
      </c>
      <c r="L1455" s="73">
        <f>IF(Tank1!$C$23="No control",(SUMIF(Tank1!$B$32:$B$49,$J1455,Tank1!$C$32:$C$49)*Impacts!$F$8),0)</f>
        <v>0</v>
      </c>
      <c r="M1455" s="10">
        <f>IF(Tank2!$C$23="No control",(SUMIF(Tank2!$B$32:$B$49,$J1455,Tank2!$C$32:$C$49)*Impacts!$F$9),0)</f>
        <v>0</v>
      </c>
      <c r="N1455" s="10">
        <f>IF(Tank3!$C$23="No control",(SUMIF(Tank3!$B$32:$B$49,$J1455,Tank3!$C$32:$C$49)*Impacts!$F$10),0)</f>
        <v>0</v>
      </c>
      <c r="O1455" s="10">
        <f>IF(Tank4!$C$23="No control",(SUMIF(Tank4!$B$32:$B$49,$J1455,Tank4!$C$32:$C$49)*Impacts!$F$11),0)</f>
        <v>0</v>
      </c>
      <c r="P1455" s="10">
        <f>IF(Tank5!$C$23="No control",(SUMIF(Tank5!$B$32:$B$49,$J1455,Tank5!$C$32:$C$49)*Impacts!$F$12),0)</f>
        <v>0</v>
      </c>
      <c r="Q1455" s="10">
        <f>IFERROR(IF(('Loading-drum,tote'!$C$21)="No control",SUMIF(('Loading-drum,tote'!$B$31:$B$48),$J1455,('Loading-drum,tote'!$D$31:$D$48))*Impacts!$F$13,IF(('Loading-drum,tote'!$C$21)&lt;&gt;"No control",SUMIF(('Loading-drum,tote'!$B$31:$B$48),$J1455,('Loading-drum,tote'!$E$31:$E$48))*Impacts!$F$13,0)),0)</f>
        <v>0</v>
      </c>
      <c r="R1455" s="10">
        <f>IFERROR(IF(('Loading-truck'!$C$21)="No control",SUMIF(('Loading-truck'!$B$31:$B$48),$J1455,('Loading-truck'!$D$31:$D$48))*Impacts!$F$14,IF(('Loading-truck'!$C$21)&lt;&gt;"No control",SUMIF(('Loading-truck'!$B$31:$B$48),$J1455,('Loading-truck'!$E$31:$E$48))*Impacts!$F$14,0)),0)</f>
        <v>0</v>
      </c>
      <c r="S1455" s="10">
        <f>IFERROR(IF(('Loading-rail'!$C$21)="No control",SUMIF(('Loading-rail'!$B$31:$B$48),$J1455,('Loading-rail'!$D$31:$D$48))*Impacts!$F$15,IF(('Loading-rail'!$C$21)&lt;&gt;"No control",SUMIF(('Loading-rail'!$B$31:$B$48),$J1455,('Loading-rail'!$E$31:$E$48))*Impacts!$F$15,0)),0)</f>
        <v>0</v>
      </c>
      <c r="T1455" s="10">
        <f>IF(Flare!$C$7="",0,(SUMIF(Flare!$B$46:$B$185,$J1455,Flare!$E$46:$E$185)*Impacts!$F$16))</f>
        <v>0</v>
      </c>
      <c r="U1455" s="10">
        <f>IF(VCU!$C$9="",0,(SUMIF(VCU!$B$51:$B$193,$J1455,VCU!$E$51:$E$193)*Impacts!$F$17))</f>
        <v>0</v>
      </c>
      <c r="V1455" s="10">
        <f>IF(CAS!$C$7="",0,(SUMIF(CAS!$B$31:$B$167,$J1455,CAS!$E$31:$E$167)*Impacts!$F$18))</f>
        <v>0</v>
      </c>
      <c r="W1455" s="10">
        <f t="shared" si="63"/>
        <v>0</v>
      </c>
      <c r="AK1455" s="10" t="str">
        <f t="array" ref="AK1455">IFERROR(INDEX(SelectedSpecies,SMALL(IF(SelectedSpecies=AK$1,ROW(SelectedSpecies)),ROW(1456:1456)),2),"")</f>
        <v/>
      </c>
      <c r="BE1455" s="10"/>
      <c r="BI1455" s="10"/>
    </row>
    <row r="1456" spans="1:61" ht="21" customHeight="1" x14ac:dyDescent="0.25">
      <c r="A1456" s="10"/>
      <c r="B1456" s="10"/>
      <c r="E1456" s="10"/>
      <c r="G1456" s="10"/>
      <c r="I1456" s="436" t="s">
        <v>7084</v>
      </c>
      <c r="J1456" s="26" t="s">
        <v>7083</v>
      </c>
      <c r="K1456" s="10">
        <v>0.4</v>
      </c>
      <c r="L1456" s="73">
        <f>IF(Tank1!$C$23="No control",(SUMIF(Tank1!$B$32:$B$49,$J1456,Tank1!$C$32:$C$49)*Impacts!$F$8),0)</f>
        <v>0</v>
      </c>
      <c r="M1456" s="10">
        <f>IF(Tank2!$C$23="No control",(SUMIF(Tank2!$B$32:$B$49,$J1456,Tank2!$C$32:$C$49)*Impacts!$F$9),0)</f>
        <v>0</v>
      </c>
      <c r="N1456" s="10">
        <f>IF(Tank3!$C$23="No control",(SUMIF(Tank3!$B$32:$B$49,$J1456,Tank3!$C$32:$C$49)*Impacts!$F$10),0)</f>
        <v>0</v>
      </c>
      <c r="O1456" s="10">
        <f>IF(Tank4!$C$23="No control",(SUMIF(Tank4!$B$32:$B$49,$J1456,Tank4!$C$32:$C$49)*Impacts!$F$11),0)</f>
        <v>0</v>
      </c>
      <c r="P1456" s="10">
        <f>IF(Tank5!$C$23="No control",(SUMIF(Tank5!$B$32:$B$49,$J1456,Tank5!$C$32:$C$49)*Impacts!$F$12),0)</f>
        <v>0</v>
      </c>
      <c r="Q1456" s="10">
        <f>IFERROR(IF(('Loading-drum,tote'!$C$21)="No control",SUMIF(('Loading-drum,tote'!$B$31:$B$48),$J1456,('Loading-drum,tote'!$D$31:$D$48))*Impacts!$F$13,IF(('Loading-drum,tote'!$C$21)&lt;&gt;"No control",SUMIF(('Loading-drum,tote'!$B$31:$B$48),$J1456,('Loading-drum,tote'!$E$31:$E$48))*Impacts!$F$13,0)),0)</f>
        <v>0</v>
      </c>
      <c r="R1456" s="10">
        <f>IFERROR(IF(('Loading-truck'!$C$21)="No control",SUMIF(('Loading-truck'!$B$31:$B$48),$J1456,('Loading-truck'!$D$31:$D$48))*Impacts!$F$14,IF(('Loading-truck'!$C$21)&lt;&gt;"No control",SUMIF(('Loading-truck'!$B$31:$B$48),$J1456,('Loading-truck'!$E$31:$E$48))*Impacts!$F$14,0)),0)</f>
        <v>0</v>
      </c>
      <c r="S1456" s="10">
        <f>IFERROR(IF(('Loading-rail'!$C$21)="No control",SUMIF(('Loading-rail'!$B$31:$B$48),$J1456,('Loading-rail'!$D$31:$D$48))*Impacts!$F$15,IF(('Loading-rail'!$C$21)&lt;&gt;"No control",SUMIF(('Loading-rail'!$B$31:$B$48),$J1456,('Loading-rail'!$E$31:$E$48))*Impacts!$F$15,0)),0)</f>
        <v>0</v>
      </c>
      <c r="T1456" s="10">
        <f>IF(Flare!$C$7="",0,(SUMIF(Flare!$B$46:$B$185,$J1456,Flare!$E$46:$E$185)*Impacts!$F$16))</f>
        <v>0</v>
      </c>
      <c r="U1456" s="10">
        <f>IF(VCU!$C$9="",0,(SUMIF(VCU!$B$51:$B$193,$J1456,VCU!$E$51:$E$193)*Impacts!$F$17))</f>
        <v>0</v>
      </c>
      <c r="V1456" s="10">
        <f>IF(CAS!$C$7="",0,(SUMIF(CAS!$B$31:$B$167,$J1456,CAS!$E$31:$E$167)*Impacts!$F$18))</f>
        <v>0</v>
      </c>
      <c r="W1456" s="10">
        <f t="shared" si="63"/>
        <v>0</v>
      </c>
      <c r="AK1456" s="10" t="str">
        <f t="array" ref="AK1456">IFERROR(INDEX(SelectedSpecies,SMALL(IF(SelectedSpecies=AK$1,ROW(SelectedSpecies)),ROW(1457:1457)),2),"")</f>
        <v/>
      </c>
      <c r="BE1456" s="10"/>
      <c r="BI1456" s="10"/>
    </row>
    <row r="1457" spans="1:61" ht="21" customHeight="1" x14ac:dyDescent="0.25">
      <c r="A1457" s="10"/>
      <c r="B1457" s="10"/>
      <c r="E1457" s="10"/>
      <c r="G1457" s="10"/>
      <c r="I1457" s="436" t="s">
        <v>1232</v>
      </c>
      <c r="J1457" s="26" t="s">
        <v>1231</v>
      </c>
      <c r="K1457" s="10">
        <v>34</v>
      </c>
      <c r="L1457" s="73">
        <f>IF(Tank1!$C$23="No control",(SUMIF(Tank1!$B$32:$B$49,$J1457,Tank1!$C$32:$C$49)*Impacts!$F$8),0)</f>
        <v>0</v>
      </c>
      <c r="M1457" s="10">
        <f>IF(Tank2!$C$23="No control",(SUMIF(Tank2!$B$32:$B$49,$J1457,Tank2!$C$32:$C$49)*Impacts!$F$9),0)</f>
        <v>0</v>
      </c>
      <c r="N1457" s="10">
        <f>IF(Tank3!$C$23="No control",(SUMIF(Tank3!$B$32:$B$49,$J1457,Tank3!$C$32:$C$49)*Impacts!$F$10),0)</f>
        <v>0</v>
      </c>
      <c r="O1457" s="10">
        <f>IF(Tank4!$C$23="No control",(SUMIF(Tank4!$B$32:$B$49,$J1457,Tank4!$C$32:$C$49)*Impacts!$F$11),0)</f>
        <v>0</v>
      </c>
      <c r="P1457" s="10">
        <f>IF(Tank5!$C$23="No control",(SUMIF(Tank5!$B$32:$B$49,$J1457,Tank5!$C$32:$C$49)*Impacts!$F$12),0)</f>
        <v>0</v>
      </c>
      <c r="Q1457" s="10">
        <f>IFERROR(IF(('Loading-drum,tote'!$C$21)="No control",SUMIF(('Loading-drum,tote'!$B$31:$B$48),$J1457,('Loading-drum,tote'!$D$31:$D$48))*Impacts!$F$13,IF(('Loading-drum,tote'!$C$21)&lt;&gt;"No control",SUMIF(('Loading-drum,tote'!$B$31:$B$48),$J1457,('Loading-drum,tote'!$E$31:$E$48))*Impacts!$F$13,0)),0)</f>
        <v>0</v>
      </c>
      <c r="R1457" s="10">
        <f>IFERROR(IF(('Loading-truck'!$C$21)="No control",SUMIF(('Loading-truck'!$B$31:$B$48),$J1457,('Loading-truck'!$D$31:$D$48))*Impacts!$F$14,IF(('Loading-truck'!$C$21)&lt;&gt;"No control",SUMIF(('Loading-truck'!$B$31:$B$48),$J1457,('Loading-truck'!$E$31:$E$48))*Impacts!$F$14,0)),0)</f>
        <v>0</v>
      </c>
      <c r="S1457" s="10">
        <f>IFERROR(IF(('Loading-rail'!$C$21)="No control",SUMIF(('Loading-rail'!$B$31:$B$48),$J1457,('Loading-rail'!$D$31:$D$48))*Impacts!$F$15,IF(('Loading-rail'!$C$21)&lt;&gt;"No control",SUMIF(('Loading-rail'!$B$31:$B$48),$J1457,('Loading-rail'!$E$31:$E$48))*Impacts!$F$15,0)),0)</f>
        <v>0</v>
      </c>
      <c r="T1457" s="10">
        <f>IF(Flare!$C$7="",0,(SUMIF(Flare!$B$46:$B$185,$J1457,Flare!$E$46:$E$185)*Impacts!$F$16))</f>
        <v>0</v>
      </c>
      <c r="U1457" s="10">
        <f>IF(VCU!$C$9="",0,(SUMIF(VCU!$B$51:$B$193,$J1457,VCU!$E$51:$E$193)*Impacts!$F$17))</f>
        <v>0</v>
      </c>
      <c r="V1457" s="10">
        <f>IF(CAS!$C$7="",0,(SUMIF(CAS!$B$31:$B$167,$J1457,CAS!$E$31:$E$167)*Impacts!$F$18))</f>
        <v>0</v>
      </c>
      <c r="W1457" s="10">
        <f t="shared" si="63"/>
        <v>0</v>
      </c>
      <c r="AK1457" s="10" t="str">
        <f t="array" ref="AK1457">IFERROR(INDEX(SelectedSpecies,SMALL(IF(SelectedSpecies=AK$1,ROW(SelectedSpecies)),ROW(1458:1458)),2),"")</f>
        <v/>
      </c>
      <c r="BE1457" s="10"/>
      <c r="BI1457" s="10"/>
    </row>
    <row r="1458" spans="1:61" ht="21" customHeight="1" x14ac:dyDescent="0.25">
      <c r="A1458" s="10"/>
      <c r="B1458" s="10"/>
      <c r="E1458" s="10"/>
      <c r="G1458" s="10"/>
      <c r="I1458" s="436" t="s">
        <v>688</v>
      </c>
      <c r="J1458" s="26" t="s">
        <v>687</v>
      </c>
      <c r="K1458" s="10">
        <v>57</v>
      </c>
      <c r="L1458" s="73">
        <f>IF(Tank1!$C$23="No control",(SUMIF(Tank1!$B$32:$B$49,$J1458,Tank1!$C$32:$C$49)*Impacts!$F$8),0)</f>
        <v>0</v>
      </c>
      <c r="M1458" s="10">
        <f>IF(Tank2!$C$23="No control",(SUMIF(Tank2!$B$32:$B$49,$J1458,Tank2!$C$32:$C$49)*Impacts!$F$9),0)</f>
        <v>0</v>
      </c>
      <c r="N1458" s="10">
        <f>IF(Tank3!$C$23="No control",(SUMIF(Tank3!$B$32:$B$49,$J1458,Tank3!$C$32:$C$49)*Impacts!$F$10),0)</f>
        <v>0</v>
      </c>
      <c r="O1458" s="10">
        <f>IF(Tank4!$C$23="No control",(SUMIF(Tank4!$B$32:$B$49,$J1458,Tank4!$C$32:$C$49)*Impacts!$F$11),0)</f>
        <v>0</v>
      </c>
      <c r="P1458" s="10">
        <f>IF(Tank5!$C$23="No control",(SUMIF(Tank5!$B$32:$B$49,$J1458,Tank5!$C$32:$C$49)*Impacts!$F$12),0)</f>
        <v>0</v>
      </c>
      <c r="Q1458" s="10">
        <f>IFERROR(IF(('Loading-drum,tote'!$C$21)="No control",SUMIF(('Loading-drum,tote'!$B$31:$B$48),$J1458,('Loading-drum,tote'!$D$31:$D$48))*Impacts!$F$13,IF(('Loading-drum,tote'!$C$21)&lt;&gt;"No control",SUMIF(('Loading-drum,tote'!$B$31:$B$48),$J1458,('Loading-drum,tote'!$E$31:$E$48))*Impacts!$F$13,0)),0)</f>
        <v>0</v>
      </c>
      <c r="R1458" s="10">
        <f>IFERROR(IF(('Loading-truck'!$C$21)="No control",SUMIF(('Loading-truck'!$B$31:$B$48),$J1458,('Loading-truck'!$D$31:$D$48))*Impacts!$F$14,IF(('Loading-truck'!$C$21)&lt;&gt;"No control",SUMIF(('Loading-truck'!$B$31:$B$48),$J1458,('Loading-truck'!$E$31:$E$48))*Impacts!$F$14,0)),0)</f>
        <v>0</v>
      </c>
      <c r="S1458" s="10">
        <f>IFERROR(IF(('Loading-rail'!$C$21)="No control",SUMIF(('Loading-rail'!$B$31:$B$48),$J1458,('Loading-rail'!$D$31:$D$48))*Impacts!$F$15,IF(('Loading-rail'!$C$21)&lt;&gt;"No control",SUMIF(('Loading-rail'!$B$31:$B$48),$J1458,('Loading-rail'!$E$31:$E$48))*Impacts!$F$15,0)),0)</f>
        <v>0</v>
      </c>
      <c r="T1458" s="10">
        <f>IF(Flare!$C$7="",0,(SUMIF(Flare!$B$46:$B$185,$J1458,Flare!$E$46:$E$185)*Impacts!$F$16))</f>
        <v>0</v>
      </c>
      <c r="U1458" s="10">
        <f>IF(VCU!$C$9="",0,(SUMIF(VCU!$B$51:$B$193,$J1458,VCU!$E$51:$E$193)*Impacts!$F$17))</f>
        <v>0</v>
      </c>
      <c r="V1458" s="10">
        <f>IF(CAS!$C$7="",0,(SUMIF(CAS!$B$31:$B$167,$J1458,CAS!$E$31:$E$167)*Impacts!$F$18))</f>
        <v>0</v>
      </c>
      <c r="W1458" s="10">
        <f t="shared" si="63"/>
        <v>0</v>
      </c>
      <c r="AK1458" s="10" t="str">
        <f t="array" ref="AK1458">IFERROR(INDEX(SelectedSpecies,SMALL(IF(SelectedSpecies=AK$1,ROW(SelectedSpecies)),ROW(1459:1459)),2),"")</f>
        <v/>
      </c>
      <c r="BE1458" s="10"/>
      <c r="BI1458" s="10"/>
    </row>
    <row r="1459" spans="1:61" ht="21" customHeight="1" x14ac:dyDescent="0.25">
      <c r="A1459" s="10"/>
      <c r="B1459" s="10"/>
      <c r="E1459" s="10"/>
      <c r="G1459" s="10"/>
      <c r="I1459" s="436" t="s">
        <v>7170</v>
      </c>
      <c r="J1459" s="26" t="s">
        <v>7169</v>
      </c>
      <c r="K1459" s="10">
        <v>0.33</v>
      </c>
      <c r="L1459" s="73">
        <f>IF(Tank1!$C$23="No control",(SUMIF(Tank1!$B$32:$B$49,$J1459,Tank1!$C$32:$C$49)*Impacts!$F$8),0)</f>
        <v>0</v>
      </c>
      <c r="M1459" s="10">
        <f>IF(Tank2!$C$23="No control",(SUMIF(Tank2!$B$32:$B$49,$J1459,Tank2!$C$32:$C$49)*Impacts!$F$9),0)</f>
        <v>0</v>
      </c>
      <c r="N1459" s="10">
        <f>IF(Tank3!$C$23="No control",(SUMIF(Tank3!$B$32:$B$49,$J1459,Tank3!$C$32:$C$49)*Impacts!$F$10),0)</f>
        <v>0</v>
      </c>
      <c r="O1459" s="10">
        <f>IF(Tank4!$C$23="No control",(SUMIF(Tank4!$B$32:$B$49,$J1459,Tank4!$C$32:$C$49)*Impacts!$F$11),0)</f>
        <v>0</v>
      </c>
      <c r="P1459" s="10">
        <f>IF(Tank5!$C$23="No control",(SUMIF(Tank5!$B$32:$B$49,$J1459,Tank5!$C$32:$C$49)*Impacts!$F$12),0)</f>
        <v>0</v>
      </c>
      <c r="Q1459" s="10">
        <f>IFERROR(IF(('Loading-drum,tote'!$C$21)="No control",SUMIF(('Loading-drum,tote'!$B$31:$B$48),$J1459,('Loading-drum,tote'!$D$31:$D$48))*Impacts!$F$13,IF(('Loading-drum,tote'!$C$21)&lt;&gt;"No control",SUMIF(('Loading-drum,tote'!$B$31:$B$48),$J1459,('Loading-drum,tote'!$E$31:$E$48))*Impacts!$F$13,0)),0)</f>
        <v>0</v>
      </c>
      <c r="R1459" s="10">
        <f>IFERROR(IF(('Loading-truck'!$C$21)="No control",SUMIF(('Loading-truck'!$B$31:$B$48),$J1459,('Loading-truck'!$D$31:$D$48))*Impacts!$F$14,IF(('Loading-truck'!$C$21)&lt;&gt;"No control",SUMIF(('Loading-truck'!$B$31:$B$48),$J1459,('Loading-truck'!$E$31:$E$48))*Impacts!$F$14,0)),0)</f>
        <v>0</v>
      </c>
      <c r="S1459" s="10">
        <f>IFERROR(IF(('Loading-rail'!$C$21)="No control",SUMIF(('Loading-rail'!$B$31:$B$48),$J1459,('Loading-rail'!$D$31:$D$48))*Impacts!$F$15,IF(('Loading-rail'!$C$21)&lt;&gt;"No control",SUMIF(('Loading-rail'!$B$31:$B$48),$J1459,('Loading-rail'!$E$31:$E$48))*Impacts!$F$15,0)),0)</f>
        <v>0</v>
      </c>
      <c r="T1459" s="10">
        <f>IF(Flare!$C$7="",0,(SUMIF(Flare!$B$46:$B$185,$J1459,Flare!$E$46:$E$185)*Impacts!$F$16))</f>
        <v>0</v>
      </c>
      <c r="U1459" s="10">
        <f>IF(VCU!$C$9="",0,(SUMIF(VCU!$B$51:$B$193,$J1459,VCU!$E$51:$E$193)*Impacts!$F$17))</f>
        <v>0</v>
      </c>
      <c r="V1459" s="10">
        <f>IF(CAS!$C$7="",0,(SUMIF(CAS!$B$31:$B$167,$J1459,CAS!$E$31:$E$167)*Impacts!$F$18))</f>
        <v>0</v>
      </c>
      <c r="W1459" s="10">
        <f t="shared" si="63"/>
        <v>0</v>
      </c>
      <c r="AK1459" s="10" t="str">
        <f t="array" ref="AK1459">IFERROR(INDEX(SelectedSpecies,SMALL(IF(SelectedSpecies=AK$1,ROW(SelectedSpecies)),ROW(1460:1460)),2),"")</f>
        <v/>
      </c>
      <c r="BE1459" s="10"/>
      <c r="BI1459" s="10"/>
    </row>
    <row r="1460" spans="1:61" ht="21" customHeight="1" x14ac:dyDescent="0.25">
      <c r="A1460" s="10"/>
      <c r="B1460" s="10"/>
      <c r="E1460" s="10"/>
      <c r="G1460" s="10"/>
      <c r="I1460" s="436" t="s">
        <v>1765</v>
      </c>
      <c r="J1460" s="26" t="s">
        <v>1764</v>
      </c>
      <c r="K1460" s="10">
        <v>23.400000000000002</v>
      </c>
      <c r="L1460" s="73">
        <f>IF(Tank1!$C$23="No control",(SUMIF(Tank1!$B$32:$B$49,$J1460,Tank1!$C$32:$C$49)*Impacts!$F$8),0)</f>
        <v>0</v>
      </c>
      <c r="M1460" s="10">
        <f>IF(Tank2!$C$23="No control",(SUMIF(Tank2!$B$32:$B$49,$J1460,Tank2!$C$32:$C$49)*Impacts!$F$9),0)</f>
        <v>0</v>
      </c>
      <c r="N1460" s="10">
        <f>IF(Tank3!$C$23="No control",(SUMIF(Tank3!$B$32:$B$49,$J1460,Tank3!$C$32:$C$49)*Impacts!$F$10),0)</f>
        <v>0</v>
      </c>
      <c r="O1460" s="10">
        <f>IF(Tank4!$C$23="No control",(SUMIF(Tank4!$B$32:$B$49,$J1460,Tank4!$C$32:$C$49)*Impacts!$F$11),0)</f>
        <v>0</v>
      </c>
      <c r="P1460" s="10">
        <f>IF(Tank5!$C$23="No control",(SUMIF(Tank5!$B$32:$B$49,$J1460,Tank5!$C$32:$C$49)*Impacts!$F$12),0)</f>
        <v>0</v>
      </c>
      <c r="Q1460" s="10">
        <f>IFERROR(IF(('Loading-drum,tote'!$C$21)="No control",SUMIF(('Loading-drum,tote'!$B$31:$B$48),$J1460,('Loading-drum,tote'!$D$31:$D$48))*Impacts!$F$13,IF(('Loading-drum,tote'!$C$21)&lt;&gt;"No control",SUMIF(('Loading-drum,tote'!$B$31:$B$48),$J1460,('Loading-drum,tote'!$E$31:$E$48))*Impacts!$F$13,0)),0)</f>
        <v>0</v>
      </c>
      <c r="R1460" s="10">
        <f>IFERROR(IF(('Loading-truck'!$C$21)="No control",SUMIF(('Loading-truck'!$B$31:$B$48),$J1460,('Loading-truck'!$D$31:$D$48))*Impacts!$F$14,IF(('Loading-truck'!$C$21)&lt;&gt;"No control",SUMIF(('Loading-truck'!$B$31:$B$48),$J1460,('Loading-truck'!$E$31:$E$48))*Impacts!$F$14,0)),0)</f>
        <v>0</v>
      </c>
      <c r="S1460" s="10">
        <f>IFERROR(IF(('Loading-rail'!$C$21)="No control",SUMIF(('Loading-rail'!$B$31:$B$48),$J1460,('Loading-rail'!$D$31:$D$48))*Impacts!$F$15,IF(('Loading-rail'!$C$21)&lt;&gt;"No control",SUMIF(('Loading-rail'!$B$31:$B$48),$J1460,('Loading-rail'!$E$31:$E$48))*Impacts!$F$15,0)),0)</f>
        <v>0</v>
      </c>
      <c r="T1460" s="10">
        <f>IF(Flare!$C$7="",0,(SUMIF(Flare!$B$46:$B$185,$J1460,Flare!$E$46:$E$185)*Impacts!$F$16))</f>
        <v>0</v>
      </c>
      <c r="U1460" s="10">
        <f>IF(VCU!$C$9="",0,(SUMIF(VCU!$B$51:$B$193,$J1460,VCU!$E$51:$E$193)*Impacts!$F$17))</f>
        <v>0</v>
      </c>
      <c r="V1460" s="10">
        <f>IF(CAS!$C$7="",0,(SUMIF(CAS!$B$31:$B$167,$J1460,CAS!$E$31:$E$167)*Impacts!$F$18))</f>
        <v>0</v>
      </c>
      <c r="W1460" s="10">
        <f t="shared" si="63"/>
        <v>0</v>
      </c>
      <c r="AK1460" s="10" t="str">
        <f t="array" ref="AK1460">IFERROR(INDEX(SelectedSpecies,SMALL(IF(SelectedSpecies=AK$1,ROW(SelectedSpecies)),ROW(1461:1461)),2),"")</f>
        <v/>
      </c>
      <c r="BE1460" s="10"/>
      <c r="BI1460" s="10"/>
    </row>
    <row r="1461" spans="1:61" ht="21" customHeight="1" x14ac:dyDescent="0.25">
      <c r="A1461" s="10"/>
      <c r="B1461" s="10"/>
      <c r="E1461" s="10"/>
      <c r="G1461" s="10"/>
      <c r="I1461" s="436" t="s">
        <v>2469</v>
      </c>
      <c r="J1461" s="26" t="s">
        <v>2468</v>
      </c>
      <c r="K1461" s="10">
        <v>10</v>
      </c>
      <c r="L1461" s="73">
        <f>IF(Tank1!$C$23="No control",(SUMIF(Tank1!$B$32:$B$49,$J1461,Tank1!$C$32:$C$49)*Impacts!$F$8),0)</f>
        <v>0</v>
      </c>
      <c r="M1461" s="10">
        <f>IF(Tank2!$C$23="No control",(SUMIF(Tank2!$B$32:$B$49,$J1461,Tank2!$C$32:$C$49)*Impacts!$F$9),0)</f>
        <v>0</v>
      </c>
      <c r="N1461" s="10">
        <f>IF(Tank3!$C$23="No control",(SUMIF(Tank3!$B$32:$B$49,$J1461,Tank3!$C$32:$C$49)*Impacts!$F$10),0)</f>
        <v>0</v>
      </c>
      <c r="O1461" s="10">
        <f>IF(Tank4!$C$23="No control",(SUMIF(Tank4!$B$32:$B$49,$J1461,Tank4!$C$32:$C$49)*Impacts!$F$11),0)</f>
        <v>0</v>
      </c>
      <c r="P1461" s="10">
        <f>IF(Tank5!$C$23="No control",(SUMIF(Tank5!$B$32:$B$49,$J1461,Tank5!$C$32:$C$49)*Impacts!$F$12),0)</f>
        <v>0</v>
      </c>
      <c r="Q1461" s="10">
        <f>IFERROR(IF(('Loading-drum,tote'!$C$21)="No control",SUMIF(('Loading-drum,tote'!$B$31:$B$48),$J1461,('Loading-drum,tote'!$D$31:$D$48))*Impacts!$F$13,IF(('Loading-drum,tote'!$C$21)&lt;&gt;"No control",SUMIF(('Loading-drum,tote'!$B$31:$B$48),$J1461,('Loading-drum,tote'!$E$31:$E$48))*Impacts!$F$13,0)),0)</f>
        <v>0</v>
      </c>
      <c r="R1461" s="10">
        <f>IFERROR(IF(('Loading-truck'!$C$21)="No control",SUMIF(('Loading-truck'!$B$31:$B$48),$J1461,('Loading-truck'!$D$31:$D$48))*Impacts!$F$14,IF(('Loading-truck'!$C$21)&lt;&gt;"No control",SUMIF(('Loading-truck'!$B$31:$B$48),$J1461,('Loading-truck'!$E$31:$E$48))*Impacts!$F$14,0)),0)</f>
        <v>0</v>
      </c>
      <c r="S1461" s="10">
        <f>IFERROR(IF(('Loading-rail'!$C$21)="No control",SUMIF(('Loading-rail'!$B$31:$B$48),$J1461,('Loading-rail'!$D$31:$D$48))*Impacts!$F$15,IF(('Loading-rail'!$C$21)&lt;&gt;"No control",SUMIF(('Loading-rail'!$B$31:$B$48),$J1461,('Loading-rail'!$E$31:$E$48))*Impacts!$F$15,0)),0)</f>
        <v>0</v>
      </c>
      <c r="T1461" s="10">
        <f>IF(Flare!$C$7="",0,(SUMIF(Flare!$B$46:$B$185,$J1461,Flare!$E$46:$E$185)*Impacts!$F$16))</f>
        <v>0</v>
      </c>
      <c r="U1461" s="10">
        <f>IF(VCU!$C$9="",0,(SUMIF(VCU!$B$51:$B$193,$J1461,VCU!$E$51:$E$193)*Impacts!$F$17))</f>
        <v>0</v>
      </c>
      <c r="V1461" s="10">
        <f>IF(CAS!$C$7="",0,(SUMIF(CAS!$B$31:$B$167,$J1461,CAS!$E$31:$E$167)*Impacts!$F$18))</f>
        <v>0</v>
      </c>
      <c r="W1461" s="10">
        <f t="shared" si="63"/>
        <v>0</v>
      </c>
      <c r="AK1461" s="10" t="str">
        <f t="array" ref="AK1461">IFERROR(INDEX(SelectedSpecies,SMALL(IF(SelectedSpecies=AK$1,ROW(SelectedSpecies)),ROW(1462:1462)),2),"")</f>
        <v/>
      </c>
      <c r="BE1461" s="10"/>
      <c r="BI1461" s="10"/>
    </row>
    <row r="1462" spans="1:61" ht="21" customHeight="1" x14ac:dyDescent="0.25">
      <c r="A1462" s="10"/>
      <c r="B1462" s="10"/>
      <c r="E1462" s="10"/>
      <c r="G1462" s="10"/>
      <c r="I1462" s="436" t="s">
        <v>2471</v>
      </c>
      <c r="J1462" s="26" t="s">
        <v>2470</v>
      </c>
      <c r="K1462" s="10">
        <v>10</v>
      </c>
      <c r="L1462" s="73">
        <f>IF(Tank1!$C$23="No control",(SUMIF(Tank1!$B$32:$B$49,$J1462,Tank1!$C$32:$C$49)*Impacts!$F$8),0)</f>
        <v>0</v>
      </c>
      <c r="M1462" s="10">
        <f>IF(Tank2!$C$23="No control",(SUMIF(Tank2!$B$32:$B$49,$J1462,Tank2!$C$32:$C$49)*Impacts!$F$9),0)</f>
        <v>0</v>
      </c>
      <c r="N1462" s="10">
        <f>IF(Tank3!$C$23="No control",(SUMIF(Tank3!$B$32:$B$49,$J1462,Tank3!$C$32:$C$49)*Impacts!$F$10),0)</f>
        <v>0</v>
      </c>
      <c r="O1462" s="10">
        <f>IF(Tank4!$C$23="No control",(SUMIF(Tank4!$B$32:$B$49,$J1462,Tank4!$C$32:$C$49)*Impacts!$F$11),0)</f>
        <v>0</v>
      </c>
      <c r="P1462" s="10">
        <f>IF(Tank5!$C$23="No control",(SUMIF(Tank5!$B$32:$B$49,$J1462,Tank5!$C$32:$C$49)*Impacts!$F$12),0)</f>
        <v>0</v>
      </c>
      <c r="Q1462" s="10">
        <f>IFERROR(IF(('Loading-drum,tote'!$C$21)="No control",SUMIF(('Loading-drum,tote'!$B$31:$B$48),$J1462,('Loading-drum,tote'!$D$31:$D$48))*Impacts!$F$13,IF(('Loading-drum,tote'!$C$21)&lt;&gt;"No control",SUMIF(('Loading-drum,tote'!$B$31:$B$48),$J1462,('Loading-drum,tote'!$E$31:$E$48))*Impacts!$F$13,0)),0)</f>
        <v>0</v>
      </c>
      <c r="R1462" s="10">
        <f>IFERROR(IF(('Loading-truck'!$C$21)="No control",SUMIF(('Loading-truck'!$B$31:$B$48),$J1462,('Loading-truck'!$D$31:$D$48))*Impacts!$F$14,IF(('Loading-truck'!$C$21)&lt;&gt;"No control",SUMIF(('Loading-truck'!$B$31:$B$48),$J1462,('Loading-truck'!$E$31:$E$48))*Impacts!$F$14,0)),0)</f>
        <v>0</v>
      </c>
      <c r="S1462" s="10">
        <f>IFERROR(IF(('Loading-rail'!$C$21)="No control",SUMIF(('Loading-rail'!$B$31:$B$48),$J1462,('Loading-rail'!$D$31:$D$48))*Impacts!$F$15,IF(('Loading-rail'!$C$21)&lt;&gt;"No control",SUMIF(('Loading-rail'!$B$31:$B$48),$J1462,('Loading-rail'!$E$31:$E$48))*Impacts!$F$15,0)),0)</f>
        <v>0</v>
      </c>
      <c r="T1462" s="10">
        <f>IF(Flare!$C$7="",0,(SUMIF(Flare!$B$46:$B$185,$J1462,Flare!$E$46:$E$185)*Impacts!$F$16))</f>
        <v>0</v>
      </c>
      <c r="U1462" s="10">
        <f>IF(VCU!$C$9="",0,(SUMIF(VCU!$B$51:$B$193,$J1462,VCU!$E$51:$E$193)*Impacts!$F$17))</f>
        <v>0</v>
      </c>
      <c r="V1462" s="10">
        <f>IF(CAS!$C$7="",0,(SUMIF(CAS!$B$31:$B$167,$J1462,CAS!$E$31:$E$167)*Impacts!$F$18))</f>
        <v>0</v>
      </c>
      <c r="W1462" s="10">
        <f t="shared" si="63"/>
        <v>0</v>
      </c>
      <c r="AK1462" s="10" t="str">
        <f t="array" ref="AK1462">IFERROR(INDEX(SelectedSpecies,SMALL(IF(SelectedSpecies=AK$1,ROW(SelectedSpecies)),ROW(1463:1463)),2),"")</f>
        <v/>
      </c>
      <c r="BE1462" s="10"/>
      <c r="BI1462" s="10"/>
    </row>
    <row r="1463" spans="1:61" ht="21" customHeight="1" x14ac:dyDescent="0.25">
      <c r="A1463" s="10"/>
      <c r="B1463" s="10"/>
      <c r="E1463" s="10"/>
      <c r="G1463" s="10"/>
      <c r="I1463" s="436" t="s">
        <v>2473</v>
      </c>
      <c r="J1463" s="26" t="s">
        <v>2472</v>
      </c>
      <c r="K1463" s="10">
        <v>10</v>
      </c>
      <c r="L1463" s="73">
        <f>IF(Tank1!$C$23="No control",(SUMIF(Tank1!$B$32:$B$49,$J1463,Tank1!$C$32:$C$49)*Impacts!$F$8),0)</f>
        <v>0</v>
      </c>
      <c r="M1463" s="10">
        <f>IF(Tank2!$C$23="No control",(SUMIF(Tank2!$B$32:$B$49,$J1463,Tank2!$C$32:$C$49)*Impacts!$F$9),0)</f>
        <v>0</v>
      </c>
      <c r="N1463" s="10">
        <f>IF(Tank3!$C$23="No control",(SUMIF(Tank3!$B$32:$B$49,$J1463,Tank3!$C$32:$C$49)*Impacts!$F$10),0)</f>
        <v>0</v>
      </c>
      <c r="O1463" s="10">
        <f>IF(Tank4!$C$23="No control",(SUMIF(Tank4!$B$32:$B$49,$J1463,Tank4!$C$32:$C$49)*Impacts!$F$11),0)</f>
        <v>0</v>
      </c>
      <c r="P1463" s="10">
        <f>IF(Tank5!$C$23="No control",(SUMIF(Tank5!$B$32:$B$49,$J1463,Tank5!$C$32:$C$49)*Impacts!$F$12),0)</f>
        <v>0</v>
      </c>
      <c r="Q1463" s="10">
        <f>IFERROR(IF(('Loading-drum,tote'!$C$21)="No control",SUMIF(('Loading-drum,tote'!$B$31:$B$48),$J1463,('Loading-drum,tote'!$D$31:$D$48))*Impacts!$F$13,IF(('Loading-drum,tote'!$C$21)&lt;&gt;"No control",SUMIF(('Loading-drum,tote'!$B$31:$B$48),$J1463,('Loading-drum,tote'!$E$31:$E$48))*Impacts!$F$13,0)),0)</f>
        <v>0</v>
      </c>
      <c r="R1463" s="10">
        <f>IFERROR(IF(('Loading-truck'!$C$21)="No control",SUMIF(('Loading-truck'!$B$31:$B$48),$J1463,('Loading-truck'!$D$31:$D$48))*Impacts!$F$14,IF(('Loading-truck'!$C$21)&lt;&gt;"No control",SUMIF(('Loading-truck'!$B$31:$B$48),$J1463,('Loading-truck'!$E$31:$E$48))*Impacts!$F$14,0)),0)</f>
        <v>0</v>
      </c>
      <c r="S1463" s="10">
        <f>IFERROR(IF(('Loading-rail'!$C$21)="No control",SUMIF(('Loading-rail'!$B$31:$B$48),$J1463,('Loading-rail'!$D$31:$D$48))*Impacts!$F$15,IF(('Loading-rail'!$C$21)&lt;&gt;"No control",SUMIF(('Loading-rail'!$B$31:$B$48),$J1463,('Loading-rail'!$E$31:$E$48))*Impacts!$F$15,0)),0)</f>
        <v>0</v>
      </c>
      <c r="T1463" s="10">
        <f>IF(Flare!$C$7="",0,(SUMIF(Flare!$B$46:$B$185,$J1463,Flare!$E$46:$E$185)*Impacts!$F$16))</f>
        <v>0</v>
      </c>
      <c r="U1463" s="10">
        <f>IF(VCU!$C$9="",0,(SUMIF(VCU!$B$51:$B$193,$J1463,VCU!$E$51:$E$193)*Impacts!$F$17))</f>
        <v>0</v>
      </c>
      <c r="V1463" s="10">
        <f>IF(CAS!$C$7="",0,(SUMIF(CAS!$B$31:$B$167,$J1463,CAS!$E$31:$E$167)*Impacts!$F$18))</f>
        <v>0</v>
      </c>
      <c r="W1463" s="10">
        <f t="shared" si="63"/>
        <v>0</v>
      </c>
      <c r="AK1463" s="10" t="str">
        <f t="array" ref="AK1463">IFERROR(INDEX(SelectedSpecies,SMALL(IF(SelectedSpecies=AK$1,ROW(SelectedSpecies)),ROW(1464:1464)),2),"")</f>
        <v/>
      </c>
      <c r="BE1463" s="10"/>
      <c r="BI1463" s="10"/>
    </row>
    <row r="1464" spans="1:61" ht="21" customHeight="1" x14ac:dyDescent="0.25">
      <c r="A1464" s="10"/>
      <c r="B1464" s="10"/>
      <c r="E1464" s="10"/>
      <c r="G1464" s="10"/>
      <c r="I1464" s="436" t="s">
        <v>2821</v>
      </c>
      <c r="J1464" s="26" t="s">
        <v>2820</v>
      </c>
      <c r="K1464" s="10">
        <v>10</v>
      </c>
      <c r="L1464" s="73">
        <f>IF(Tank1!$C$23="No control",(SUMIF(Tank1!$B$32:$B$49,$J1464,Tank1!$C$32:$C$49)*Impacts!$F$8),0)</f>
        <v>0</v>
      </c>
      <c r="M1464" s="10">
        <f>IF(Tank2!$C$23="No control",(SUMIF(Tank2!$B$32:$B$49,$J1464,Tank2!$C$32:$C$49)*Impacts!$F$9),0)</f>
        <v>0</v>
      </c>
      <c r="N1464" s="10">
        <f>IF(Tank3!$C$23="No control",(SUMIF(Tank3!$B$32:$B$49,$J1464,Tank3!$C$32:$C$49)*Impacts!$F$10),0)</f>
        <v>0</v>
      </c>
      <c r="O1464" s="10">
        <f>IF(Tank4!$C$23="No control",(SUMIF(Tank4!$B$32:$B$49,$J1464,Tank4!$C$32:$C$49)*Impacts!$F$11),0)</f>
        <v>0</v>
      </c>
      <c r="P1464" s="10">
        <f>IF(Tank5!$C$23="No control",(SUMIF(Tank5!$B$32:$B$49,$J1464,Tank5!$C$32:$C$49)*Impacts!$F$12),0)</f>
        <v>0</v>
      </c>
      <c r="Q1464" s="10">
        <f>IFERROR(IF(('Loading-drum,tote'!$C$21)="No control",SUMIF(('Loading-drum,tote'!$B$31:$B$48),$J1464,('Loading-drum,tote'!$D$31:$D$48))*Impacts!$F$13,IF(('Loading-drum,tote'!$C$21)&lt;&gt;"No control",SUMIF(('Loading-drum,tote'!$B$31:$B$48),$J1464,('Loading-drum,tote'!$E$31:$E$48))*Impacts!$F$13,0)),0)</f>
        <v>0</v>
      </c>
      <c r="R1464" s="10">
        <f>IFERROR(IF(('Loading-truck'!$C$21)="No control",SUMIF(('Loading-truck'!$B$31:$B$48),$J1464,('Loading-truck'!$D$31:$D$48))*Impacts!$F$14,IF(('Loading-truck'!$C$21)&lt;&gt;"No control",SUMIF(('Loading-truck'!$B$31:$B$48),$J1464,('Loading-truck'!$E$31:$E$48))*Impacts!$F$14,0)),0)</f>
        <v>0</v>
      </c>
      <c r="S1464" s="10">
        <f>IFERROR(IF(('Loading-rail'!$C$21)="No control",SUMIF(('Loading-rail'!$B$31:$B$48),$J1464,('Loading-rail'!$D$31:$D$48))*Impacts!$F$15,IF(('Loading-rail'!$C$21)&lt;&gt;"No control",SUMIF(('Loading-rail'!$B$31:$B$48),$J1464,('Loading-rail'!$E$31:$E$48))*Impacts!$F$15,0)),0)</f>
        <v>0</v>
      </c>
      <c r="T1464" s="10">
        <f>IF(Flare!$C$7="",0,(SUMIF(Flare!$B$46:$B$185,$J1464,Flare!$E$46:$E$185)*Impacts!$F$16))</f>
        <v>0</v>
      </c>
      <c r="U1464" s="10">
        <f>IF(VCU!$C$9="",0,(SUMIF(VCU!$B$51:$B$193,$J1464,VCU!$E$51:$E$193)*Impacts!$F$17))</f>
        <v>0</v>
      </c>
      <c r="V1464" s="10">
        <f>IF(CAS!$C$7="",0,(SUMIF(CAS!$B$31:$B$167,$J1464,CAS!$E$31:$E$167)*Impacts!$F$18))</f>
        <v>0</v>
      </c>
      <c r="W1464" s="10">
        <f t="shared" si="63"/>
        <v>0</v>
      </c>
      <c r="AK1464" s="10" t="str">
        <f t="array" ref="AK1464">IFERROR(INDEX(SelectedSpecies,SMALL(IF(SelectedSpecies=AK$1,ROW(SelectedSpecies)),ROW(1465:1465)),2),"")</f>
        <v/>
      </c>
      <c r="BE1464" s="10"/>
      <c r="BI1464" s="10"/>
    </row>
    <row r="1465" spans="1:61" ht="21" customHeight="1" x14ac:dyDescent="0.25">
      <c r="A1465" s="10"/>
      <c r="B1465" s="10"/>
      <c r="E1465" s="10"/>
      <c r="G1465" s="10"/>
      <c r="I1465" s="436" t="s">
        <v>4191</v>
      </c>
      <c r="J1465" s="26" t="s">
        <v>4190</v>
      </c>
      <c r="K1465" s="10">
        <v>5</v>
      </c>
      <c r="L1465" s="73">
        <f>IF(Tank1!$C$23="No control",(SUMIF(Tank1!$B$32:$B$49,$J1465,Tank1!$C$32:$C$49)*Impacts!$F$8),0)</f>
        <v>0</v>
      </c>
      <c r="M1465" s="10">
        <f>IF(Tank2!$C$23="No control",(SUMIF(Tank2!$B$32:$B$49,$J1465,Tank2!$C$32:$C$49)*Impacts!$F$9),0)</f>
        <v>0</v>
      </c>
      <c r="N1465" s="10">
        <f>IF(Tank3!$C$23="No control",(SUMIF(Tank3!$B$32:$B$49,$J1465,Tank3!$C$32:$C$49)*Impacts!$F$10),0)</f>
        <v>0</v>
      </c>
      <c r="O1465" s="10">
        <f>IF(Tank4!$C$23="No control",(SUMIF(Tank4!$B$32:$B$49,$J1465,Tank4!$C$32:$C$49)*Impacts!$F$11),0)</f>
        <v>0</v>
      </c>
      <c r="P1465" s="10">
        <f>IF(Tank5!$C$23="No control",(SUMIF(Tank5!$B$32:$B$49,$J1465,Tank5!$C$32:$C$49)*Impacts!$F$12),0)</f>
        <v>0</v>
      </c>
      <c r="Q1465" s="10">
        <f>IFERROR(IF(('Loading-drum,tote'!$C$21)="No control",SUMIF(('Loading-drum,tote'!$B$31:$B$48),$J1465,('Loading-drum,tote'!$D$31:$D$48))*Impacts!$F$13,IF(('Loading-drum,tote'!$C$21)&lt;&gt;"No control",SUMIF(('Loading-drum,tote'!$B$31:$B$48),$J1465,('Loading-drum,tote'!$E$31:$E$48))*Impacts!$F$13,0)),0)</f>
        <v>0</v>
      </c>
      <c r="R1465" s="10">
        <f>IFERROR(IF(('Loading-truck'!$C$21)="No control",SUMIF(('Loading-truck'!$B$31:$B$48),$J1465,('Loading-truck'!$D$31:$D$48))*Impacts!$F$14,IF(('Loading-truck'!$C$21)&lt;&gt;"No control",SUMIF(('Loading-truck'!$B$31:$B$48),$J1465,('Loading-truck'!$E$31:$E$48))*Impacts!$F$14,0)),0)</f>
        <v>0</v>
      </c>
      <c r="S1465" s="10">
        <f>IFERROR(IF(('Loading-rail'!$C$21)="No control",SUMIF(('Loading-rail'!$B$31:$B$48),$J1465,('Loading-rail'!$D$31:$D$48))*Impacts!$F$15,IF(('Loading-rail'!$C$21)&lt;&gt;"No control",SUMIF(('Loading-rail'!$B$31:$B$48),$J1465,('Loading-rail'!$E$31:$E$48))*Impacts!$F$15,0)),0)</f>
        <v>0</v>
      </c>
      <c r="T1465" s="10">
        <f>IF(Flare!$C$7="",0,(SUMIF(Flare!$B$46:$B$185,$J1465,Flare!$E$46:$E$185)*Impacts!$F$16))</f>
        <v>0</v>
      </c>
      <c r="U1465" s="10">
        <f>IF(VCU!$C$9="",0,(SUMIF(VCU!$B$51:$B$193,$J1465,VCU!$E$51:$E$193)*Impacts!$F$17))</f>
        <v>0</v>
      </c>
      <c r="V1465" s="10">
        <f>IF(CAS!$C$7="",0,(SUMIF(CAS!$B$31:$B$167,$J1465,CAS!$E$31:$E$167)*Impacts!$F$18))</f>
        <v>0</v>
      </c>
      <c r="W1465" s="10">
        <f t="shared" si="63"/>
        <v>0</v>
      </c>
      <c r="AK1465" s="10" t="str">
        <f t="array" ref="AK1465">IFERROR(INDEX(SelectedSpecies,SMALL(IF(SelectedSpecies=AK$1,ROW(SelectedSpecies)),ROW(1466:1466)),2),"")</f>
        <v/>
      </c>
      <c r="BE1465" s="10"/>
      <c r="BI1465" s="10"/>
    </row>
    <row r="1466" spans="1:61" ht="21" customHeight="1" x14ac:dyDescent="0.25">
      <c r="A1466" s="10"/>
      <c r="B1466" s="10"/>
      <c r="E1466" s="10"/>
      <c r="G1466" s="10"/>
      <c r="I1466" s="436" t="s">
        <v>323</v>
      </c>
      <c r="J1466" s="26" t="s">
        <v>322</v>
      </c>
      <c r="K1466" s="10">
        <v>600</v>
      </c>
      <c r="L1466" s="73">
        <f>IF(Tank1!$C$23="No control",(SUMIF(Tank1!$B$32:$B$49,$J1466,Tank1!$C$32:$C$49)*Impacts!$F$8),0)</f>
        <v>0</v>
      </c>
      <c r="M1466" s="10">
        <f>IF(Tank2!$C$23="No control",(SUMIF(Tank2!$B$32:$B$49,$J1466,Tank2!$C$32:$C$49)*Impacts!$F$9),0)</f>
        <v>0</v>
      </c>
      <c r="N1466" s="10">
        <f>IF(Tank3!$C$23="No control",(SUMIF(Tank3!$B$32:$B$49,$J1466,Tank3!$C$32:$C$49)*Impacts!$F$10),0)</f>
        <v>0</v>
      </c>
      <c r="O1466" s="10">
        <f>IF(Tank4!$C$23="No control",(SUMIF(Tank4!$B$32:$B$49,$J1466,Tank4!$C$32:$C$49)*Impacts!$F$11),0)</f>
        <v>0</v>
      </c>
      <c r="P1466" s="10">
        <f>IF(Tank5!$C$23="No control",(SUMIF(Tank5!$B$32:$B$49,$J1466,Tank5!$C$32:$C$49)*Impacts!$F$12),0)</f>
        <v>0</v>
      </c>
      <c r="Q1466" s="10">
        <f>IFERROR(IF(('Loading-drum,tote'!$C$21)="No control",SUMIF(('Loading-drum,tote'!$B$31:$B$48),$J1466,('Loading-drum,tote'!$D$31:$D$48))*Impacts!$F$13,IF(('Loading-drum,tote'!$C$21)&lt;&gt;"No control",SUMIF(('Loading-drum,tote'!$B$31:$B$48),$J1466,('Loading-drum,tote'!$E$31:$E$48))*Impacts!$F$13,0)),0)</f>
        <v>0</v>
      </c>
      <c r="R1466" s="10">
        <f>IFERROR(IF(('Loading-truck'!$C$21)="No control",SUMIF(('Loading-truck'!$B$31:$B$48),$J1466,('Loading-truck'!$D$31:$D$48))*Impacts!$F$14,IF(('Loading-truck'!$C$21)&lt;&gt;"No control",SUMIF(('Loading-truck'!$B$31:$B$48),$J1466,('Loading-truck'!$E$31:$E$48))*Impacts!$F$14,0)),0)</f>
        <v>0</v>
      </c>
      <c r="S1466" s="10">
        <f>IFERROR(IF(('Loading-rail'!$C$21)="No control",SUMIF(('Loading-rail'!$B$31:$B$48),$J1466,('Loading-rail'!$D$31:$D$48))*Impacts!$F$15,IF(('Loading-rail'!$C$21)&lt;&gt;"No control",SUMIF(('Loading-rail'!$B$31:$B$48),$J1466,('Loading-rail'!$E$31:$E$48))*Impacts!$F$15,0)),0)</f>
        <v>0</v>
      </c>
      <c r="T1466" s="10">
        <f>IF(Flare!$C$7="",0,(SUMIF(Flare!$B$46:$B$185,$J1466,Flare!$E$46:$E$185)*Impacts!$F$16))</f>
        <v>0</v>
      </c>
      <c r="U1466" s="10">
        <f>IF(VCU!$C$9="",0,(SUMIF(VCU!$B$51:$B$193,$J1466,VCU!$E$51:$E$193)*Impacts!$F$17))</f>
        <v>0</v>
      </c>
      <c r="V1466" s="10">
        <f>IF(CAS!$C$7="",0,(SUMIF(CAS!$B$31:$B$167,$J1466,CAS!$E$31:$E$167)*Impacts!$F$18))</f>
        <v>0</v>
      </c>
      <c r="W1466" s="10">
        <f t="shared" si="63"/>
        <v>0</v>
      </c>
      <c r="AK1466" s="10" t="str">
        <f t="array" ref="AK1466">IFERROR(INDEX(SelectedSpecies,SMALL(IF(SelectedSpecies=AK$1,ROW(SelectedSpecies)),ROW(1467:1467)),2),"")</f>
        <v/>
      </c>
      <c r="BE1466" s="10"/>
      <c r="BI1466" s="10"/>
    </row>
    <row r="1467" spans="1:61" ht="21" customHeight="1" x14ac:dyDescent="0.25">
      <c r="A1467" s="10"/>
      <c r="B1467" s="10"/>
      <c r="E1467" s="10"/>
      <c r="G1467" s="10"/>
      <c r="I1467" s="436" t="s">
        <v>2247</v>
      </c>
      <c r="J1467" s="26" t="s">
        <v>2246</v>
      </c>
      <c r="K1467" s="10">
        <v>12.5</v>
      </c>
      <c r="L1467" s="73">
        <f>IF(Tank1!$C$23="No control",(SUMIF(Tank1!$B$32:$B$49,$J1467,Tank1!$C$32:$C$49)*Impacts!$F$8),0)</f>
        <v>0</v>
      </c>
      <c r="M1467" s="10">
        <f>IF(Tank2!$C$23="No control",(SUMIF(Tank2!$B$32:$B$49,$J1467,Tank2!$C$32:$C$49)*Impacts!$F$9),0)</f>
        <v>0</v>
      </c>
      <c r="N1467" s="10">
        <f>IF(Tank3!$C$23="No control",(SUMIF(Tank3!$B$32:$B$49,$J1467,Tank3!$C$32:$C$49)*Impacts!$F$10),0)</f>
        <v>0</v>
      </c>
      <c r="O1467" s="10">
        <f>IF(Tank4!$C$23="No control",(SUMIF(Tank4!$B$32:$B$49,$J1467,Tank4!$C$32:$C$49)*Impacts!$F$11),0)</f>
        <v>0</v>
      </c>
      <c r="P1467" s="10">
        <f>IF(Tank5!$C$23="No control",(SUMIF(Tank5!$B$32:$B$49,$J1467,Tank5!$C$32:$C$49)*Impacts!$F$12),0)</f>
        <v>0</v>
      </c>
      <c r="Q1467" s="10">
        <f>IFERROR(IF(('Loading-drum,tote'!$C$21)="No control",SUMIF(('Loading-drum,tote'!$B$31:$B$48),$J1467,('Loading-drum,tote'!$D$31:$D$48))*Impacts!$F$13,IF(('Loading-drum,tote'!$C$21)&lt;&gt;"No control",SUMIF(('Loading-drum,tote'!$B$31:$B$48),$J1467,('Loading-drum,tote'!$E$31:$E$48))*Impacts!$F$13,0)),0)</f>
        <v>0</v>
      </c>
      <c r="R1467" s="10">
        <f>IFERROR(IF(('Loading-truck'!$C$21)="No control",SUMIF(('Loading-truck'!$B$31:$B$48),$J1467,('Loading-truck'!$D$31:$D$48))*Impacts!$F$14,IF(('Loading-truck'!$C$21)&lt;&gt;"No control",SUMIF(('Loading-truck'!$B$31:$B$48),$J1467,('Loading-truck'!$E$31:$E$48))*Impacts!$F$14,0)),0)</f>
        <v>0</v>
      </c>
      <c r="S1467" s="10">
        <f>IFERROR(IF(('Loading-rail'!$C$21)="No control",SUMIF(('Loading-rail'!$B$31:$B$48),$J1467,('Loading-rail'!$D$31:$D$48))*Impacts!$F$15,IF(('Loading-rail'!$C$21)&lt;&gt;"No control",SUMIF(('Loading-rail'!$B$31:$B$48),$J1467,('Loading-rail'!$E$31:$E$48))*Impacts!$F$15,0)),0)</f>
        <v>0</v>
      </c>
      <c r="T1467" s="10">
        <f>IF(Flare!$C$7="",0,(SUMIF(Flare!$B$46:$B$185,$J1467,Flare!$E$46:$E$185)*Impacts!$F$16))</f>
        <v>0</v>
      </c>
      <c r="U1467" s="10">
        <f>IF(VCU!$C$9="",0,(SUMIF(VCU!$B$51:$B$193,$J1467,VCU!$E$51:$E$193)*Impacts!$F$17))</f>
        <v>0</v>
      </c>
      <c r="V1467" s="10">
        <f>IF(CAS!$C$7="",0,(SUMIF(CAS!$B$31:$B$167,$J1467,CAS!$E$31:$E$167)*Impacts!$F$18))</f>
        <v>0</v>
      </c>
      <c r="W1467" s="10">
        <f t="shared" si="63"/>
        <v>0</v>
      </c>
      <c r="AK1467" s="10" t="str">
        <f t="array" ref="AK1467">IFERROR(INDEX(SelectedSpecies,SMALL(IF(SelectedSpecies=AK$1,ROW(SelectedSpecies)),ROW(1468:1468)),2),"")</f>
        <v/>
      </c>
      <c r="BE1467" s="10"/>
      <c r="BI1467" s="10"/>
    </row>
    <row r="1468" spans="1:61" ht="21" customHeight="1" x14ac:dyDescent="0.25">
      <c r="A1468" s="10"/>
      <c r="B1468" s="10"/>
      <c r="E1468" s="10"/>
      <c r="G1468" s="10"/>
      <c r="I1468" s="436" t="s">
        <v>8320</v>
      </c>
      <c r="J1468" s="26" t="s">
        <v>8319</v>
      </c>
      <c r="K1468" s="10">
        <v>5.0000000000000001E-4</v>
      </c>
      <c r="L1468" s="73">
        <f>IF(Tank1!$C$23="No control",(SUMIF(Tank1!$B$32:$B$49,$J1468,Tank1!$C$32:$C$49)*Impacts!$F$8),0)</f>
        <v>0</v>
      </c>
      <c r="M1468" s="10">
        <f>IF(Tank2!$C$23="No control",(SUMIF(Tank2!$B$32:$B$49,$J1468,Tank2!$C$32:$C$49)*Impacts!$F$9),0)</f>
        <v>0</v>
      </c>
      <c r="N1468" s="10">
        <f>IF(Tank3!$C$23="No control",(SUMIF(Tank3!$B$32:$B$49,$J1468,Tank3!$C$32:$C$49)*Impacts!$F$10),0)</f>
        <v>0</v>
      </c>
      <c r="O1468" s="10">
        <f>IF(Tank4!$C$23="No control",(SUMIF(Tank4!$B$32:$B$49,$J1468,Tank4!$C$32:$C$49)*Impacts!$F$11),0)</f>
        <v>0</v>
      </c>
      <c r="P1468" s="10">
        <f>IF(Tank5!$C$23="No control",(SUMIF(Tank5!$B$32:$B$49,$J1468,Tank5!$C$32:$C$49)*Impacts!$F$12),0)</f>
        <v>0</v>
      </c>
      <c r="Q1468" s="10">
        <f>IFERROR(IF(('Loading-drum,tote'!$C$21)="No control",SUMIF(('Loading-drum,tote'!$B$31:$B$48),$J1468,('Loading-drum,tote'!$D$31:$D$48))*Impacts!$F$13,IF(('Loading-drum,tote'!$C$21)&lt;&gt;"No control",SUMIF(('Loading-drum,tote'!$B$31:$B$48),$J1468,('Loading-drum,tote'!$E$31:$E$48))*Impacts!$F$13,0)),0)</f>
        <v>0</v>
      </c>
      <c r="R1468" s="10">
        <f>IFERROR(IF(('Loading-truck'!$C$21)="No control",SUMIF(('Loading-truck'!$B$31:$B$48),$J1468,('Loading-truck'!$D$31:$D$48))*Impacts!$F$14,IF(('Loading-truck'!$C$21)&lt;&gt;"No control",SUMIF(('Loading-truck'!$B$31:$B$48),$J1468,('Loading-truck'!$E$31:$E$48))*Impacts!$F$14,0)),0)</f>
        <v>0</v>
      </c>
      <c r="S1468" s="10">
        <f>IFERROR(IF(('Loading-rail'!$C$21)="No control",SUMIF(('Loading-rail'!$B$31:$B$48),$J1468,('Loading-rail'!$D$31:$D$48))*Impacts!$F$15,IF(('Loading-rail'!$C$21)&lt;&gt;"No control",SUMIF(('Loading-rail'!$B$31:$B$48),$J1468,('Loading-rail'!$E$31:$E$48))*Impacts!$F$15,0)),0)</f>
        <v>0</v>
      </c>
      <c r="T1468" s="10">
        <f>IF(Flare!$C$7="",0,(SUMIF(Flare!$B$46:$B$185,$J1468,Flare!$E$46:$E$185)*Impacts!$F$16))</f>
        <v>0</v>
      </c>
      <c r="U1468" s="10">
        <f>IF(VCU!$C$9="",0,(SUMIF(VCU!$B$51:$B$193,$J1468,VCU!$E$51:$E$193)*Impacts!$F$17))</f>
        <v>0</v>
      </c>
      <c r="V1468" s="10">
        <f>IF(CAS!$C$7="",0,(SUMIF(CAS!$B$31:$B$167,$J1468,CAS!$E$31:$E$167)*Impacts!$F$18))</f>
        <v>0</v>
      </c>
      <c r="W1468" s="10">
        <f t="shared" si="63"/>
        <v>0</v>
      </c>
      <c r="AK1468" s="10" t="str">
        <f t="array" ref="AK1468">IFERROR(INDEX(SelectedSpecies,SMALL(IF(SelectedSpecies=AK$1,ROW(SelectedSpecies)),ROW(1469:1469)),2),"")</f>
        <v/>
      </c>
      <c r="BE1468" s="10"/>
      <c r="BI1468" s="10"/>
    </row>
    <row r="1469" spans="1:61" ht="21" customHeight="1" x14ac:dyDescent="0.25">
      <c r="A1469" s="10"/>
      <c r="B1469" s="10"/>
      <c r="E1469" s="10"/>
      <c r="G1469" s="10"/>
      <c r="I1469" s="436" t="s">
        <v>4107</v>
      </c>
      <c r="J1469" s="26" t="s">
        <v>4106</v>
      </c>
      <c r="K1469" s="10">
        <v>5.4</v>
      </c>
      <c r="L1469" s="73">
        <f>IF(Tank1!$C$23="No control",(SUMIF(Tank1!$B$32:$B$49,$J1469,Tank1!$C$32:$C$49)*Impacts!$F$8),0)</f>
        <v>0</v>
      </c>
      <c r="M1469" s="10">
        <f>IF(Tank2!$C$23="No control",(SUMIF(Tank2!$B$32:$B$49,$J1469,Tank2!$C$32:$C$49)*Impacts!$F$9),0)</f>
        <v>0</v>
      </c>
      <c r="N1469" s="10">
        <f>IF(Tank3!$C$23="No control",(SUMIF(Tank3!$B$32:$B$49,$J1469,Tank3!$C$32:$C$49)*Impacts!$F$10),0)</f>
        <v>0</v>
      </c>
      <c r="O1469" s="10">
        <f>IF(Tank4!$C$23="No control",(SUMIF(Tank4!$B$32:$B$49,$J1469,Tank4!$C$32:$C$49)*Impacts!$F$11),0)</f>
        <v>0</v>
      </c>
      <c r="P1469" s="10">
        <f>IF(Tank5!$C$23="No control",(SUMIF(Tank5!$B$32:$B$49,$J1469,Tank5!$C$32:$C$49)*Impacts!$F$12),0)</f>
        <v>0</v>
      </c>
      <c r="Q1469" s="10">
        <f>IFERROR(IF(('Loading-drum,tote'!$C$21)="No control",SUMIF(('Loading-drum,tote'!$B$31:$B$48),$J1469,('Loading-drum,tote'!$D$31:$D$48))*Impacts!$F$13,IF(('Loading-drum,tote'!$C$21)&lt;&gt;"No control",SUMIF(('Loading-drum,tote'!$B$31:$B$48),$J1469,('Loading-drum,tote'!$E$31:$E$48))*Impacts!$F$13,0)),0)</f>
        <v>0</v>
      </c>
      <c r="R1469" s="10">
        <f>IFERROR(IF(('Loading-truck'!$C$21)="No control",SUMIF(('Loading-truck'!$B$31:$B$48),$J1469,('Loading-truck'!$D$31:$D$48))*Impacts!$F$14,IF(('Loading-truck'!$C$21)&lt;&gt;"No control",SUMIF(('Loading-truck'!$B$31:$B$48),$J1469,('Loading-truck'!$E$31:$E$48))*Impacts!$F$14,0)),0)</f>
        <v>0</v>
      </c>
      <c r="S1469" s="10">
        <f>IFERROR(IF(('Loading-rail'!$C$21)="No control",SUMIF(('Loading-rail'!$B$31:$B$48),$J1469,('Loading-rail'!$D$31:$D$48))*Impacts!$F$15,IF(('Loading-rail'!$C$21)&lt;&gt;"No control",SUMIF(('Loading-rail'!$B$31:$B$48),$J1469,('Loading-rail'!$E$31:$E$48))*Impacts!$F$15,0)),0)</f>
        <v>0</v>
      </c>
      <c r="T1469" s="10">
        <f>IF(Flare!$C$7="",0,(SUMIF(Flare!$B$46:$B$185,$J1469,Flare!$E$46:$E$185)*Impacts!$F$16))</f>
        <v>0</v>
      </c>
      <c r="U1469" s="10">
        <f>IF(VCU!$C$9="",0,(SUMIF(VCU!$B$51:$B$193,$J1469,VCU!$E$51:$E$193)*Impacts!$F$17))</f>
        <v>0</v>
      </c>
      <c r="V1469" s="10">
        <f>IF(CAS!$C$7="",0,(SUMIF(CAS!$B$31:$B$167,$J1469,CAS!$E$31:$E$167)*Impacts!$F$18))</f>
        <v>0</v>
      </c>
      <c r="W1469" s="10">
        <f t="shared" si="63"/>
        <v>0</v>
      </c>
      <c r="AK1469" s="10" t="str">
        <f t="array" ref="AK1469">IFERROR(INDEX(SelectedSpecies,SMALL(IF(SelectedSpecies=AK$1,ROW(SelectedSpecies)),ROW(1470:1470)),2),"")</f>
        <v/>
      </c>
      <c r="BE1469" s="10"/>
      <c r="BI1469" s="10"/>
    </row>
    <row r="1470" spans="1:61" ht="21" customHeight="1" x14ac:dyDescent="0.25">
      <c r="A1470" s="10"/>
      <c r="B1470" s="10"/>
      <c r="E1470" s="10"/>
      <c r="G1470" s="10"/>
      <c r="I1470" s="436" t="s">
        <v>8150</v>
      </c>
      <c r="J1470" s="26" t="s">
        <v>8149</v>
      </c>
      <c r="K1470" s="10">
        <v>1.0000000000000002E-2</v>
      </c>
      <c r="L1470" s="73">
        <f>IF(Tank1!$C$23="No control",(SUMIF(Tank1!$B$32:$B$49,$J1470,Tank1!$C$32:$C$49)*Impacts!$F$8),0)</f>
        <v>0</v>
      </c>
      <c r="M1470" s="10">
        <f>IF(Tank2!$C$23="No control",(SUMIF(Tank2!$B$32:$B$49,$J1470,Tank2!$C$32:$C$49)*Impacts!$F$9),0)</f>
        <v>0</v>
      </c>
      <c r="N1470" s="10">
        <f>IF(Tank3!$C$23="No control",(SUMIF(Tank3!$B$32:$B$49,$J1470,Tank3!$C$32:$C$49)*Impacts!$F$10),0)</f>
        <v>0</v>
      </c>
      <c r="O1470" s="10">
        <f>IF(Tank4!$C$23="No control",(SUMIF(Tank4!$B$32:$B$49,$J1470,Tank4!$C$32:$C$49)*Impacts!$F$11),0)</f>
        <v>0</v>
      </c>
      <c r="P1470" s="10">
        <f>IF(Tank5!$C$23="No control",(SUMIF(Tank5!$B$32:$B$49,$J1470,Tank5!$C$32:$C$49)*Impacts!$F$12),0)</f>
        <v>0</v>
      </c>
      <c r="Q1470" s="10">
        <f>IFERROR(IF(('Loading-drum,tote'!$C$21)="No control",SUMIF(('Loading-drum,tote'!$B$31:$B$48),$J1470,('Loading-drum,tote'!$D$31:$D$48))*Impacts!$F$13,IF(('Loading-drum,tote'!$C$21)&lt;&gt;"No control",SUMIF(('Loading-drum,tote'!$B$31:$B$48),$J1470,('Loading-drum,tote'!$E$31:$E$48))*Impacts!$F$13,0)),0)</f>
        <v>0</v>
      </c>
      <c r="R1470" s="10">
        <f>IFERROR(IF(('Loading-truck'!$C$21)="No control",SUMIF(('Loading-truck'!$B$31:$B$48),$J1470,('Loading-truck'!$D$31:$D$48))*Impacts!$F$14,IF(('Loading-truck'!$C$21)&lt;&gt;"No control",SUMIF(('Loading-truck'!$B$31:$B$48),$J1470,('Loading-truck'!$E$31:$E$48))*Impacts!$F$14,0)),0)</f>
        <v>0</v>
      </c>
      <c r="S1470" s="10">
        <f>IFERROR(IF(('Loading-rail'!$C$21)="No control",SUMIF(('Loading-rail'!$B$31:$B$48),$J1470,('Loading-rail'!$D$31:$D$48))*Impacts!$F$15,IF(('Loading-rail'!$C$21)&lt;&gt;"No control",SUMIF(('Loading-rail'!$B$31:$B$48),$J1470,('Loading-rail'!$E$31:$E$48))*Impacts!$F$15,0)),0)</f>
        <v>0</v>
      </c>
      <c r="T1470" s="10">
        <f>IF(Flare!$C$7="",0,(SUMIF(Flare!$B$46:$B$185,$J1470,Flare!$E$46:$E$185)*Impacts!$F$16))</f>
        <v>0</v>
      </c>
      <c r="U1470" s="10">
        <f>IF(VCU!$C$9="",0,(SUMIF(VCU!$B$51:$B$193,$J1470,VCU!$E$51:$E$193)*Impacts!$F$17))</f>
        <v>0</v>
      </c>
      <c r="V1470" s="10">
        <f>IF(CAS!$C$7="",0,(SUMIF(CAS!$B$31:$B$167,$J1470,CAS!$E$31:$E$167)*Impacts!$F$18))</f>
        <v>0</v>
      </c>
      <c r="W1470" s="10">
        <f t="shared" si="63"/>
        <v>0</v>
      </c>
      <c r="AK1470" s="10" t="str">
        <f t="array" ref="AK1470">IFERROR(INDEX(SelectedSpecies,SMALL(IF(SelectedSpecies=AK$1,ROW(SelectedSpecies)),ROW(1471:1471)),2),"")</f>
        <v/>
      </c>
      <c r="BE1470" s="10"/>
      <c r="BI1470" s="10"/>
    </row>
    <row r="1471" spans="1:61" ht="21" customHeight="1" x14ac:dyDescent="0.25">
      <c r="A1471" s="10"/>
      <c r="B1471" s="10"/>
      <c r="E1471" s="10"/>
      <c r="G1471" s="10"/>
      <c r="I1471" s="436" t="s">
        <v>7264</v>
      </c>
      <c r="J1471" s="26" t="s">
        <v>7263</v>
      </c>
      <c r="K1471" s="10">
        <v>0.30000000000000004</v>
      </c>
      <c r="L1471" s="73">
        <f>IF(Tank1!$C$23="No control",(SUMIF(Tank1!$B$32:$B$49,$J1471,Tank1!$C$32:$C$49)*Impacts!$F$8),0)</f>
        <v>0</v>
      </c>
      <c r="M1471" s="10">
        <f>IF(Tank2!$C$23="No control",(SUMIF(Tank2!$B$32:$B$49,$J1471,Tank2!$C$32:$C$49)*Impacts!$F$9),0)</f>
        <v>0</v>
      </c>
      <c r="N1471" s="10">
        <f>IF(Tank3!$C$23="No control",(SUMIF(Tank3!$B$32:$B$49,$J1471,Tank3!$C$32:$C$49)*Impacts!$F$10),0)</f>
        <v>0</v>
      </c>
      <c r="O1471" s="10">
        <f>IF(Tank4!$C$23="No control",(SUMIF(Tank4!$B$32:$B$49,$J1471,Tank4!$C$32:$C$49)*Impacts!$F$11),0)</f>
        <v>0</v>
      </c>
      <c r="P1471" s="10">
        <f>IF(Tank5!$C$23="No control",(SUMIF(Tank5!$B$32:$B$49,$J1471,Tank5!$C$32:$C$49)*Impacts!$F$12),0)</f>
        <v>0</v>
      </c>
      <c r="Q1471" s="10">
        <f>IFERROR(IF(('Loading-drum,tote'!$C$21)="No control",SUMIF(('Loading-drum,tote'!$B$31:$B$48),$J1471,('Loading-drum,tote'!$D$31:$D$48))*Impacts!$F$13,IF(('Loading-drum,tote'!$C$21)&lt;&gt;"No control",SUMIF(('Loading-drum,tote'!$B$31:$B$48),$J1471,('Loading-drum,tote'!$E$31:$E$48))*Impacts!$F$13,0)),0)</f>
        <v>0</v>
      </c>
      <c r="R1471" s="10">
        <f>IFERROR(IF(('Loading-truck'!$C$21)="No control",SUMIF(('Loading-truck'!$B$31:$B$48),$J1471,('Loading-truck'!$D$31:$D$48))*Impacts!$F$14,IF(('Loading-truck'!$C$21)&lt;&gt;"No control",SUMIF(('Loading-truck'!$B$31:$B$48),$J1471,('Loading-truck'!$E$31:$E$48))*Impacts!$F$14,0)),0)</f>
        <v>0</v>
      </c>
      <c r="S1471" s="10">
        <f>IFERROR(IF(('Loading-rail'!$C$21)="No control",SUMIF(('Loading-rail'!$B$31:$B$48),$J1471,('Loading-rail'!$D$31:$D$48))*Impacts!$F$15,IF(('Loading-rail'!$C$21)&lt;&gt;"No control",SUMIF(('Loading-rail'!$B$31:$B$48),$J1471,('Loading-rail'!$E$31:$E$48))*Impacts!$F$15,0)),0)</f>
        <v>0</v>
      </c>
      <c r="T1471" s="10">
        <f>IF(Flare!$C$7="",0,(SUMIF(Flare!$B$46:$B$185,$J1471,Flare!$E$46:$E$185)*Impacts!$F$16))</f>
        <v>0</v>
      </c>
      <c r="U1471" s="10">
        <f>IF(VCU!$C$9="",0,(SUMIF(VCU!$B$51:$B$193,$J1471,VCU!$E$51:$E$193)*Impacts!$F$17))</f>
        <v>0</v>
      </c>
      <c r="V1471" s="10">
        <f>IF(CAS!$C$7="",0,(SUMIF(CAS!$B$31:$B$167,$J1471,CAS!$E$31:$E$167)*Impacts!$F$18))</f>
        <v>0</v>
      </c>
      <c r="W1471" s="10">
        <f t="shared" si="63"/>
        <v>0</v>
      </c>
      <c r="AK1471" s="10" t="str">
        <f t="array" ref="AK1471">IFERROR(INDEX(SelectedSpecies,SMALL(IF(SelectedSpecies=AK$1,ROW(SelectedSpecies)),ROW(1472:1472)),2),"")</f>
        <v/>
      </c>
      <c r="BE1471" s="10"/>
      <c r="BI1471" s="10"/>
    </row>
    <row r="1472" spans="1:61" ht="21" customHeight="1" x14ac:dyDescent="0.25">
      <c r="A1472" s="10"/>
      <c r="B1472" s="10"/>
      <c r="E1472" s="10"/>
      <c r="G1472" s="10"/>
      <c r="I1472" s="436" t="s">
        <v>5844</v>
      </c>
      <c r="J1472" s="26" t="s">
        <v>5843</v>
      </c>
      <c r="K1472" s="10">
        <v>1</v>
      </c>
      <c r="L1472" s="73">
        <f>IF(Tank1!$C$23="No control",(SUMIF(Tank1!$B$32:$B$49,$J1472,Tank1!$C$32:$C$49)*Impacts!$F$8),0)</f>
        <v>0</v>
      </c>
      <c r="M1472" s="10">
        <f>IF(Tank2!$C$23="No control",(SUMIF(Tank2!$B$32:$B$49,$J1472,Tank2!$C$32:$C$49)*Impacts!$F$9),0)</f>
        <v>0</v>
      </c>
      <c r="N1472" s="10">
        <f>IF(Tank3!$C$23="No control",(SUMIF(Tank3!$B$32:$B$49,$J1472,Tank3!$C$32:$C$49)*Impacts!$F$10),0)</f>
        <v>0</v>
      </c>
      <c r="O1472" s="10">
        <f>IF(Tank4!$C$23="No control",(SUMIF(Tank4!$B$32:$B$49,$J1472,Tank4!$C$32:$C$49)*Impacts!$F$11),0)</f>
        <v>0</v>
      </c>
      <c r="P1472" s="10">
        <f>IF(Tank5!$C$23="No control",(SUMIF(Tank5!$B$32:$B$49,$J1472,Tank5!$C$32:$C$49)*Impacts!$F$12),0)</f>
        <v>0</v>
      </c>
      <c r="Q1472" s="10">
        <f>IFERROR(IF(('Loading-drum,tote'!$C$21)="No control",SUMIF(('Loading-drum,tote'!$B$31:$B$48),$J1472,('Loading-drum,tote'!$D$31:$D$48))*Impacts!$F$13,IF(('Loading-drum,tote'!$C$21)&lt;&gt;"No control",SUMIF(('Loading-drum,tote'!$B$31:$B$48),$J1472,('Loading-drum,tote'!$E$31:$E$48))*Impacts!$F$13,0)),0)</f>
        <v>0</v>
      </c>
      <c r="R1472" s="10">
        <f>IFERROR(IF(('Loading-truck'!$C$21)="No control",SUMIF(('Loading-truck'!$B$31:$B$48),$J1472,('Loading-truck'!$D$31:$D$48))*Impacts!$F$14,IF(('Loading-truck'!$C$21)&lt;&gt;"No control",SUMIF(('Loading-truck'!$B$31:$B$48),$J1472,('Loading-truck'!$E$31:$E$48))*Impacts!$F$14,0)),0)</f>
        <v>0</v>
      </c>
      <c r="S1472" s="10">
        <f>IFERROR(IF(('Loading-rail'!$C$21)="No control",SUMIF(('Loading-rail'!$B$31:$B$48),$J1472,('Loading-rail'!$D$31:$D$48))*Impacts!$F$15,IF(('Loading-rail'!$C$21)&lt;&gt;"No control",SUMIF(('Loading-rail'!$B$31:$B$48),$J1472,('Loading-rail'!$E$31:$E$48))*Impacts!$F$15,0)),0)</f>
        <v>0</v>
      </c>
      <c r="T1472" s="10">
        <f>IF(Flare!$C$7="",0,(SUMIF(Flare!$B$46:$B$185,$J1472,Flare!$E$46:$E$185)*Impacts!$F$16))</f>
        <v>0</v>
      </c>
      <c r="U1472" s="10">
        <f>IF(VCU!$C$9="",0,(SUMIF(VCU!$B$51:$B$193,$J1472,VCU!$E$51:$E$193)*Impacts!$F$17))</f>
        <v>0</v>
      </c>
      <c r="V1472" s="10">
        <f>IF(CAS!$C$7="",0,(SUMIF(CAS!$B$31:$B$167,$J1472,CAS!$E$31:$E$167)*Impacts!$F$18))</f>
        <v>0</v>
      </c>
      <c r="W1472" s="10">
        <f t="shared" si="63"/>
        <v>0</v>
      </c>
      <c r="AK1472" s="10" t="str">
        <f t="array" ref="AK1472">IFERROR(INDEX(SelectedSpecies,SMALL(IF(SelectedSpecies=AK$1,ROW(SelectedSpecies)),ROW(1473:1473)),2),"")</f>
        <v/>
      </c>
      <c r="BE1472" s="10"/>
      <c r="BI1472" s="10"/>
    </row>
    <row r="1473" spans="1:61" ht="21" customHeight="1" x14ac:dyDescent="0.25">
      <c r="A1473" s="10"/>
      <c r="B1473" s="10"/>
      <c r="E1473" s="10"/>
      <c r="G1473" s="10"/>
      <c r="I1473" s="436" t="s">
        <v>2823</v>
      </c>
      <c r="J1473" s="26" t="s">
        <v>2822</v>
      </c>
      <c r="K1473" s="10">
        <v>10</v>
      </c>
      <c r="L1473" s="73">
        <f>IF(Tank1!$C$23="No control",(SUMIF(Tank1!$B$32:$B$49,$J1473,Tank1!$C$32:$C$49)*Impacts!$F$8),0)</f>
        <v>0</v>
      </c>
      <c r="M1473" s="10">
        <f>IF(Tank2!$C$23="No control",(SUMIF(Tank2!$B$32:$B$49,$J1473,Tank2!$C$32:$C$49)*Impacts!$F$9),0)</f>
        <v>0</v>
      </c>
      <c r="N1473" s="10">
        <f>IF(Tank3!$C$23="No control",(SUMIF(Tank3!$B$32:$B$49,$J1473,Tank3!$C$32:$C$49)*Impacts!$F$10),0)</f>
        <v>0</v>
      </c>
      <c r="O1473" s="10">
        <f>IF(Tank4!$C$23="No control",(SUMIF(Tank4!$B$32:$B$49,$J1473,Tank4!$C$32:$C$49)*Impacts!$F$11),0)</f>
        <v>0</v>
      </c>
      <c r="P1473" s="10">
        <f>IF(Tank5!$C$23="No control",(SUMIF(Tank5!$B$32:$B$49,$J1473,Tank5!$C$32:$C$49)*Impacts!$F$12),0)</f>
        <v>0</v>
      </c>
      <c r="Q1473" s="10">
        <f>IFERROR(IF(('Loading-drum,tote'!$C$21)="No control",SUMIF(('Loading-drum,tote'!$B$31:$B$48),$J1473,('Loading-drum,tote'!$D$31:$D$48))*Impacts!$F$13,IF(('Loading-drum,tote'!$C$21)&lt;&gt;"No control",SUMIF(('Loading-drum,tote'!$B$31:$B$48),$J1473,('Loading-drum,tote'!$E$31:$E$48))*Impacts!$F$13,0)),0)</f>
        <v>0</v>
      </c>
      <c r="R1473" s="10">
        <f>IFERROR(IF(('Loading-truck'!$C$21)="No control",SUMIF(('Loading-truck'!$B$31:$B$48),$J1473,('Loading-truck'!$D$31:$D$48))*Impacts!$F$14,IF(('Loading-truck'!$C$21)&lt;&gt;"No control",SUMIF(('Loading-truck'!$B$31:$B$48),$J1473,('Loading-truck'!$E$31:$E$48))*Impacts!$F$14,0)),0)</f>
        <v>0</v>
      </c>
      <c r="S1473" s="10">
        <f>IFERROR(IF(('Loading-rail'!$C$21)="No control",SUMIF(('Loading-rail'!$B$31:$B$48),$J1473,('Loading-rail'!$D$31:$D$48))*Impacts!$F$15,IF(('Loading-rail'!$C$21)&lt;&gt;"No control",SUMIF(('Loading-rail'!$B$31:$B$48),$J1473,('Loading-rail'!$E$31:$E$48))*Impacts!$F$15,0)),0)</f>
        <v>0</v>
      </c>
      <c r="T1473" s="10">
        <f>IF(Flare!$C$7="",0,(SUMIF(Flare!$B$46:$B$185,$J1473,Flare!$E$46:$E$185)*Impacts!$F$16))</f>
        <v>0</v>
      </c>
      <c r="U1473" s="10">
        <f>IF(VCU!$C$9="",0,(SUMIF(VCU!$B$51:$B$193,$J1473,VCU!$E$51:$E$193)*Impacts!$F$17))</f>
        <v>0</v>
      </c>
      <c r="V1473" s="10">
        <f>IF(CAS!$C$7="",0,(SUMIF(CAS!$B$31:$B$167,$J1473,CAS!$E$31:$E$167)*Impacts!$F$18))</f>
        <v>0</v>
      </c>
      <c r="W1473" s="10">
        <f t="shared" si="63"/>
        <v>0</v>
      </c>
      <c r="AK1473" s="10" t="str">
        <f t="array" ref="AK1473">IFERROR(INDEX(SelectedSpecies,SMALL(IF(SelectedSpecies=AK$1,ROW(SelectedSpecies)),ROW(1474:1474)),2),"")</f>
        <v/>
      </c>
      <c r="BE1473" s="10"/>
      <c r="BI1473" s="10"/>
    </row>
    <row r="1474" spans="1:61" ht="21" customHeight="1" x14ac:dyDescent="0.25">
      <c r="A1474" s="10"/>
      <c r="B1474" s="10"/>
      <c r="E1474" s="10"/>
      <c r="G1474" s="10"/>
      <c r="I1474" s="436" t="s">
        <v>6810</v>
      </c>
      <c r="J1474" s="26" t="s">
        <v>6809</v>
      </c>
      <c r="K1474" s="10">
        <v>0.5</v>
      </c>
      <c r="L1474" s="73">
        <f>IF(Tank1!$C$23="No control",(SUMIF(Tank1!$B$32:$B$49,$J1474,Tank1!$C$32:$C$49)*Impacts!$F$8),0)</f>
        <v>0</v>
      </c>
      <c r="M1474" s="10">
        <f>IF(Tank2!$C$23="No control",(SUMIF(Tank2!$B$32:$B$49,$J1474,Tank2!$C$32:$C$49)*Impacts!$F$9),0)</f>
        <v>0</v>
      </c>
      <c r="N1474" s="10">
        <f>IF(Tank3!$C$23="No control",(SUMIF(Tank3!$B$32:$B$49,$J1474,Tank3!$C$32:$C$49)*Impacts!$F$10),0)</f>
        <v>0</v>
      </c>
      <c r="O1474" s="10">
        <f>IF(Tank4!$C$23="No control",(SUMIF(Tank4!$B$32:$B$49,$J1474,Tank4!$C$32:$C$49)*Impacts!$F$11),0)</f>
        <v>0</v>
      </c>
      <c r="P1474" s="10">
        <f>IF(Tank5!$C$23="No control",(SUMIF(Tank5!$B$32:$B$49,$J1474,Tank5!$C$32:$C$49)*Impacts!$F$12),0)</f>
        <v>0</v>
      </c>
      <c r="Q1474" s="10">
        <f>IFERROR(IF(('Loading-drum,tote'!$C$21)="No control",SUMIF(('Loading-drum,tote'!$B$31:$B$48),$J1474,('Loading-drum,tote'!$D$31:$D$48))*Impacts!$F$13,IF(('Loading-drum,tote'!$C$21)&lt;&gt;"No control",SUMIF(('Loading-drum,tote'!$B$31:$B$48),$J1474,('Loading-drum,tote'!$E$31:$E$48))*Impacts!$F$13,0)),0)</f>
        <v>0</v>
      </c>
      <c r="R1474" s="10">
        <f>IFERROR(IF(('Loading-truck'!$C$21)="No control",SUMIF(('Loading-truck'!$B$31:$B$48),$J1474,('Loading-truck'!$D$31:$D$48))*Impacts!$F$14,IF(('Loading-truck'!$C$21)&lt;&gt;"No control",SUMIF(('Loading-truck'!$B$31:$B$48),$J1474,('Loading-truck'!$E$31:$E$48))*Impacts!$F$14,0)),0)</f>
        <v>0</v>
      </c>
      <c r="S1474" s="10">
        <f>IFERROR(IF(('Loading-rail'!$C$21)="No control",SUMIF(('Loading-rail'!$B$31:$B$48),$J1474,('Loading-rail'!$D$31:$D$48))*Impacts!$F$15,IF(('Loading-rail'!$C$21)&lt;&gt;"No control",SUMIF(('Loading-rail'!$B$31:$B$48),$J1474,('Loading-rail'!$E$31:$E$48))*Impacts!$F$15,0)),0)</f>
        <v>0</v>
      </c>
      <c r="T1474" s="10">
        <f>IF(Flare!$C$7="",0,(SUMIF(Flare!$B$46:$B$185,$J1474,Flare!$E$46:$E$185)*Impacts!$F$16))</f>
        <v>0</v>
      </c>
      <c r="U1474" s="10">
        <f>IF(VCU!$C$9="",0,(SUMIF(VCU!$B$51:$B$193,$J1474,VCU!$E$51:$E$193)*Impacts!$F$17))</f>
        <v>0</v>
      </c>
      <c r="V1474" s="10">
        <f>IF(CAS!$C$7="",0,(SUMIF(CAS!$B$31:$B$167,$J1474,CAS!$E$31:$E$167)*Impacts!$F$18))</f>
        <v>0</v>
      </c>
      <c r="W1474" s="10">
        <f t="shared" si="63"/>
        <v>0</v>
      </c>
      <c r="AK1474" s="10" t="str">
        <f t="array" ref="AK1474">IFERROR(INDEX(SelectedSpecies,SMALL(IF(SelectedSpecies=AK$1,ROW(SelectedSpecies)),ROW(1475:1475)),2),"")</f>
        <v/>
      </c>
      <c r="BE1474" s="10"/>
      <c r="BI1474" s="10"/>
    </row>
    <row r="1475" spans="1:61" ht="21" customHeight="1" x14ac:dyDescent="0.25">
      <c r="A1475" s="10"/>
      <c r="B1475" s="10"/>
      <c r="E1475" s="10"/>
      <c r="G1475" s="10"/>
      <c r="I1475" s="436" t="s">
        <v>2825</v>
      </c>
      <c r="J1475" s="26" t="s">
        <v>2824</v>
      </c>
      <c r="K1475" s="10">
        <v>10</v>
      </c>
      <c r="L1475" s="73">
        <f>IF(Tank1!$C$23="No control",(SUMIF(Tank1!$B$32:$B$49,$J1475,Tank1!$C$32:$C$49)*Impacts!$F$8),0)</f>
        <v>0</v>
      </c>
      <c r="M1475" s="10">
        <f>IF(Tank2!$C$23="No control",(SUMIF(Tank2!$B$32:$B$49,$J1475,Tank2!$C$32:$C$49)*Impacts!$F$9),0)</f>
        <v>0</v>
      </c>
      <c r="N1475" s="10">
        <f>IF(Tank3!$C$23="No control",(SUMIF(Tank3!$B$32:$B$49,$J1475,Tank3!$C$32:$C$49)*Impacts!$F$10),0)</f>
        <v>0</v>
      </c>
      <c r="O1475" s="10">
        <f>IF(Tank4!$C$23="No control",(SUMIF(Tank4!$B$32:$B$49,$J1475,Tank4!$C$32:$C$49)*Impacts!$F$11),0)</f>
        <v>0</v>
      </c>
      <c r="P1475" s="10">
        <f>IF(Tank5!$C$23="No control",(SUMIF(Tank5!$B$32:$B$49,$J1475,Tank5!$C$32:$C$49)*Impacts!$F$12),0)</f>
        <v>0</v>
      </c>
      <c r="Q1475" s="10">
        <f>IFERROR(IF(('Loading-drum,tote'!$C$21)="No control",SUMIF(('Loading-drum,tote'!$B$31:$B$48),$J1475,('Loading-drum,tote'!$D$31:$D$48))*Impacts!$F$13,IF(('Loading-drum,tote'!$C$21)&lt;&gt;"No control",SUMIF(('Loading-drum,tote'!$B$31:$B$48),$J1475,('Loading-drum,tote'!$E$31:$E$48))*Impacts!$F$13,0)),0)</f>
        <v>0</v>
      </c>
      <c r="R1475" s="10">
        <f>IFERROR(IF(('Loading-truck'!$C$21)="No control",SUMIF(('Loading-truck'!$B$31:$B$48),$J1475,('Loading-truck'!$D$31:$D$48))*Impacts!$F$14,IF(('Loading-truck'!$C$21)&lt;&gt;"No control",SUMIF(('Loading-truck'!$B$31:$B$48),$J1475,('Loading-truck'!$E$31:$E$48))*Impacts!$F$14,0)),0)</f>
        <v>0</v>
      </c>
      <c r="S1475" s="10">
        <f>IFERROR(IF(('Loading-rail'!$C$21)="No control",SUMIF(('Loading-rail'!$B$31:$B$48),$J1475,('Loading-rail'!$D$31:$D$48))*Impacts!$F$15,IF(('Loading-rail'!$C$21)&lt;&gt;"No control",SUMIF(('Loading-rail'!$B$31:$B$48),$J1475,('Loading-rail'!$E$31:$E$48))*Impacts!$F$15,0)),0)</f>
        <v>0</v>
      </c>
      <c r="T1475" s="10">
        <f>IF(Flare!$C$7="",0,(SUMIF(Flare!$B$46:$B$185,$J1475,Flare!$E$46:$E$185)*Impacts!$F$16))</f>
        <v>0</v>
      </c>
      <c r="U1475" s="10">
        <f>IF(VCU!$C$9="",0,(SUMIF(VCU!$B$51:$B$193,$J1475,VCU!$E$51:$E$193)*Impacts!$F$17))</f>
        <v>0</v>
      </c>
      <c r="V1475" s="10">
        <f>IF(CAS!$C$7="",0,(SUMIF(CAS!$B$31:$B$167,$J1475,CAS!$E$31:$E$167)*Impacts!$F$18))</f>
        <v>0</v>
      </c>
      <c r="W1475" s="10">
        <f t="shared" si="63"/>
        <v>0</v>
      </c>
      <c r="AK1475" s="10" t="str">
        <f t="array" ref="AK1475">IFERROR(INDEX(SelectedSpecies,SMALL(IF(SelectedSpecies=AK$1,ROW(SelectedSpecies)),ROW(1476:1476)),2),"")</f>
        <v/>
      </c>
      <c r="BE1475" s="10"/>
      <c r="BI1475" s="10"/>
    </row>
    <row r="1476" spans="1:61" ht="21" customHeight="1" x14ac:dyDescent="0.25">
      <c r="A1476" s="10"/>
      <c r="B1476" s="10"/>
      <c r="E1476" s="10"/>
      <c r="G1476" s="10"/>
      <c r="I1476" s="436" t="s">
        <v>1767</v>
      </c>
      <c r="J1476" s="26" t="s">
        <v>1766</v>
      </c>
      <c r="K1476" s="10">
        <v>23.400000000000002</v>
      </c>
      <c r="L1476" s="73">
        <f>IF(Tank1!$C$23="No control",(SUMIF(Tank1!$B$32:$B$49,$J1476,Tank1!$C$32:$C$49)*Impacts!$F$8),0)</f>
        <v>0</v>
      </c>
      <c r="M1476" s="10">
        <f>IF(Tank2!$C$23="No control",(SUMIF(Tank2!$B$32:$B$49,$J1476,Tank2!$C$32:$C$49)*Impacts!$F$9),0)</f>
        <v>0</v>
      </c>
      <c r="N1476" s="10">
        <f>IF(Tank3!$C$23="No control",(SUMIF(Tank3!$B$32:$B$49,$J1476,Tank3!$C$32:$C$49)*Impacts!$F$10),0)</f>
        <v>0</v>
      </c>
      <c r="O1476" s="10">
        <f>IF(Tank4!$C$23="No control",(SUMIF(Tank4!$B$32:$B$49,$J1476,Tank4!$C$32:$C$49)*Impacts!$F$11),0)</f>
        <v>0</v>
      </c>
      <c r="P1476" s="10">
        <f>IF(Tank5!$C$23="No control",(SUMIF(Tank5!$B$32:$B$49,$J1476,Tank5!$C$32:$C$49)*Impacts!$F$12),0)</f>
        <v>0</v>
      </c>
      <c r="Q1476" s="10">
        <f>IFERROR(IF(('Loading-drum,tote'!$C$21)="No control",SUMIF(('Loading-drum,tote'!$B$31:$B$48),$J1476,('Loading-drum,tote'!$D$31:$D$48))*Impacts!$F$13,IF(('Loading-drum,tote'!$C$21)&lt;&gt;"No control",SUMIF(('Loading-drum,tote'!$B$31:$B$48),$J1476,('Loading-drum,tote'!$E$31:$E$48))*Impacts!$F$13,0)),0)</f>
        <v>0</v>
      </c>
      <c r="R1476" s="10">
        <f>IFERROR(IF(('Loading-truck'!$C$21)="No control",SUMIF(('Loading-truck'!$B$31:$B$48),$J1476,('Loading-truck'!$D$31:$D$48))*Impacts!$F$14,IF(('Loading-truck'!$C$21)&lt;&gt;"No control",SUMIF(('Loading-truck'!$B$31:$B$48),$J1476,('Loading-truck'!$E$31:$E$48))*Impacts!$F$14,0)),0)</f>
        <v>0</v>
      </c>
      <c r="S1476" s="10">
        <f>IFERROR(IF(('Loading-rail'!$C$21)="No control",SUMIF(('Loading-rail'!$B$31:$B$48),$J1476,('Loading-rail'!$D$31:$D$48))*Impacts!$F$15,IF(('Loading-rail'!$C$21)&lt;&gt;"No control",SUMIF(('Loading-rail'!$B$31:$B$48),$J1476,('Loading-rail'!$E$31:$E$48))*Impacts!$F$15,0)),0)</f>
        <v>0</v>
      </c>
      <c r="T1476" s="10">
        <f>IF(Flare!$C$7="",0,(SUMIF(Flare!$B$46:$B$185,$J1476,Flare!$E$46:$E$185)*Impacts!$F$16))</f>
        <v>0</v>
      </c>
      <c r="U1476" s="10">
        <f>IF(VCU!$C$9="",0,(SUMIF(VCU!$B$51:$B$193,$J1476,VCU!$E$51:$E$193)*Impacts!$F$17))</f>
        <v>0</v>
      </c>
      <c r="V1476" s="10">
        <f>IF(CAS!$C$7="",0,(SUMIF(CAS!$B$31:$B$167,$J1476,CAS!$E$31:$E$167)*Impacts!$F$18))</f>
        <v>0</v>
      </c>
      <c r="W1476" s="10">
        <f t="shared" si="63"/>
        <v>0</v>
      </c>
      <c r="AK1476" s="10" t="str">
        <f t="array" ref="AK1476">IFERROR(INDEX(SelectedSpecies,SMALL(IF(SelectedSpecies=AK$1,ROW(SelectedSpecies)),ROW(1477:1477)),2),"")</f>
        <v/>
      </c>
      <c r="BE1476" s="10"/>
      <c r="BI1476" s="10"/>
    </row>
    <row r="1477" spans="1:61" ht="21" customHeight="1" x14ac:dyDescent="0.25">
      <c r="A1477" s="10"/>
      <c r="B1477" s="10"/>
      <c r="E1477" s="10"/>
      <c r="G1477" s="10"/>
      <c r="I1477" s="436" t="s">
        <v>7488</v>
      </c>
      <c r="J1477" s="26" t="s">
        <v>7487</v>
      </c>
      <c r="K1477" s="10">
        <v>0.2</v>
      </c>
      <c r="L1477" s="73">
        <f>IF(Tank1!$C$23="No control",(SUMIF(Tank1!$B$32:$B$49,$J1477,Tank1!$C$32:$C$49)*Impacts!$F$8),0)</f>
        <v>0</v>
      </c>
      <c r="M1477" s="10">
        <f>IF(Tank2!$C$23="No control",(SUMIF(Tank2!$B$32:$B$49,$J1477,Tank2!$C$32:$C$49)*Impacts!$F$9),0)</f>
        <v>0</v>
      </c>
      <c r="N1477" s="10">
        <f>IF(Tank3!$C$23="No control",(SUMIF(Tank3!$B$32:$B$49,$J1477,Tank3!$C$32:$C$49)*Impacts!$F$10),0)</f>
        <v>0</v>
      </c>
      <c r="O1477" s="10">
        <f>IF(Tank4!$C$23="No control",(SUMIF(Tank4!$B$32:$B$49,$J1477,Tank4!$C$32:$C$49)*Impacts!$F$11),0)</f>
        <v>0</v>
      </c>
      <c r="P1477" s="10">
        <f>IF(Tank5!$C$23="No control",(SUMIF(Tank5!$B$32:$B$49,$J1477,Tank5!$C$32:$C$49)*Impacts!$F$12),0)</f>
        <v>0</v>
      </c>
      <c r="Q1477" s="10">
        <f>IFERROR(IF(('Loading-drum,tote'!$C$21)="No control",SUMIF(('Loading-drum,tote'!$B$31:$B$48),$J1477,('Loading-drum,tote'!$D$31:$D$48))*Impacts!$F$13,IF(('Loading-drum,tote'!$C$21)&lt;&gt;"No control",SUMIF(('Loading-drum,tote'!$B$31:$B$48),$J1477,('Loading-drum,tote'!$E$31:$E$48))*Impacts!$F$13,0)),0)</f>
        <v>0</v>
      </c>
      <c r="R1477" s="10">
        <f>IFERROR(IF(('Loading-truck'!$C$21)="No control",SUMIF(('Loading-truck'!$B$31:$B$48),$J1477,('Loading-truck'!$D$31:$D$48))*Impacts!$F$14,IF(('Loading-truck'!$C$21)&lt;&gt;"No control",SUMIF(('Loading-truck'!$B$31:$B$48),$J1477,('Loading-truck'!$E$31:$E$48))*Impacts!$F$14,0)),0)</f>
        <v>0</v>
      </c>
      <c r="S1477" s="10">
        <f>IFERROR(IF(('Loading-rail'!$C$21)="No control",SUMIF(('Loading-rail'!$B$31:$B$48),$J1477,('Loading-rail'!$D$31:$D$48))*Impacts!$F$15,IF(('Loading-rail'!$C$21)&lt;&gt;"No control",SUMIF(('Loading-rail'!$B$31:$B$48),$J1477,('Loading-rail'!$E$31:$E$48))*Impacts!$F$15,0)),0)</f>
        <v>0</v>
      </c>
      <c r="T1477" s="10">
        <f>IF(Flare!$C$7="",0,(SUMIF(Flare!$B$46:$B$185,$J1477,Flare!$E$46:$E$185)*Impacts!$F$16))</f>
        <v>0</v>
      </c>
      <c r="U1477" s="10">
        <f>IF(VCU!$C$9="",0,(SUMIF(VCU!$B$51:$B$193,$J1477,VCU!$E$51:$E$193)*Impacts!$F$17))</f>
        <v>0</v>
      </c>
      <c r="V1477" s="10">
        <f>IF(CAS!$C$7="",0,(SUMIF(CAS!$B$31:$B$167,$J1477,CAS!$E$31:$E$167)*Impacts!$F$18))</f>
        <v>0</v>
      </c>
      <c r="W1477" s="10">
        <f t="shared" si="63"/>
        <v>0</v>
      </c>
      <c r="AK1477" s="10" t="str">
        <f t="array" ref="AK1477">IFERROR(INDEX(SelectedSpecies,SMALL(IF(SelectedSpecies=AK$1,ROW(SelectedSpecies)),ROW(1478:1478)),2),"")</f>
        <v/>
      </c>
      <c r="BE1477" s="10"/>
      <c r="BI1477" s="10"/>
    </row>
    <row r="1478" spans="1:61" ht="21" customHeight="1" x14ac:dyDescent="0.25">
      <c r="A1478" s="10"/>
      <c r="B1478" s="10"/>
      <c r="E1478" s="10"/>
      <c r="G1478" s="10"/>
      <c r="I1478" s="436" t="s">
        <v>4275</v>
      </c>
      <c r="J1478" s="26" t="s">
        <v>4274</v>
      </c>
      <c r="K1478" s="10">
        <v>5</v>
      </c>
      <c r="L1478" s="73">
        <f>IF(Tank1!$C$23="No control",(SUMIF(Tank1!$B$32:$B$49,$J1478,Tank1!$C$32:$C$49)*Impacts!$F$8),0)</f>
        <v>0</v>
      </c>
      <c r="M1478" s="10">
        <f>IF(Tank2!$C$23="No control",(SUMIF(Tank2!$B$32:$B$49,$J1478,Tank2!$C$32:$C$49)*Impacts!$F$9),0)</f>
        <v>0</v>
      </c>
      <c r="N1478" s="10">
        <f>IF(Tank3!$C$23="No control",(SUMIF(Tank3!$B$32:$B$49,$J1478,Tank3!$C$32:$C$49)*Impacts!$F$10),0)</f>
        <v>0</v>
      </c>
      <c r="O1478" s="10">
        <f>IF(Tank4!$C$23="No control",(SUMIF(Tank4!$B$32:$B$49,$J1478,Tank4!$C$32:$C$49)*Impacts!$F$11),0)</f>
        <v>0</v>
      </c>
      <c r="P1478" s="10">
        <f>IF(Tank5!$C$23="No control",(SUMIF(Tank5!$B$32:$B$49,$J1478,Tank5!$C$32:$C$49)*Impacts!$F$12),0)</f>
        <v>0</v>
      </c>
      <c r="Q1478" s="10">
        <f>IFERROR(IF(('Loading-drum,tote'!$C$21)="No control",SUMIF(('Loading-drum,tote'!$B$31:$B$48),$J1478,('Loading-drum,tote'!$D$31:$D$48))*Impacts!$F$13,IF(('Loading-drum,tote'!$C$21)&lt;&gt;"No control",SUMIF(('Loading-drum,tote'!$B$31:$B$48),$J1478,('Loading-drum,tote'!$E$31:$E$48))*Impacts!$F$13,0)),0)</f>
        <v>0</v>
      </c>
      <c r="R1478" s="10">
        <f>IFERROR(IF(('Loading-truck'!$C$21)="No control",SUMIF(('Loading-truck'!$B$31:$B$48),$J1478,('Loading-truck'!$D$31:$D$48))*Impacts!$F$14,IF(('Loading-truck'!$C$21)&lt;&gt;"No control",SUMIF(('Loading-truck'!$B$31:$B$48),$J1478,('Loading-truck'!$E$31:$E$48))*Impacts!$F$14,0)),0)</f>
        <v>0</v>
      </c>
      <c r="S1478" s="10">
        <f>IFERROR(IF(('Loading-rail'!$C$21)="No control",SUMIF(('Loading-rail'!$B$31:$B$48),$J1478,('Loading-rail'!$D$31:$D$48))*Impacts!$F$15,IF(('Loading-rail'!$C$21)&lt;&gt;"No control",SUMIF(('Loading-rail'!$B$31:$B$48),$J1478,('Loading-rail'!$E$31:$E$48))*Impacts!$F$15,0)),0)</f>
        <v>0</v>
      </c>
      <c r="T1478" s="10">
        <f>IF(Flare!$C$7="",0,(SUMIF(Flare!$B$46:$B$185,$J1478,Flare!$E$46:$E$185)*Impacts!$F$16))</f>
        <v>0</v>
      </c>
      <c r="U1478" s="10">
        <f>IF(VCU!$C$9="",0,(SUMIF(VCU!$B$51:$B$193,$J1478,VCU!$E$51:$E$193)*Impacts!$F$17))</f>
        <v>0</v>
      </c>
      <c r="V1478" s="10">
        <f>IF(CAS!$C$7="",0,(SUMIF(CAS!$B$31:$B$167,$J1478,CAS!$E$31:$E$167)*Impacts!$F$18))</f>
        <v>0</v>
      </c>
      <c r="W1478" s="10">
        <f t="shared" si="63"/>
        <v>0</v>
      </c>
      <c r="AK1478" s="10" t="str">
        <f t="array" ref="AK1478">IFERROR(INDEX(SelectedSpecies,SMALL(IF(SelectedSpecies=AK$1,ROW(SelectedSpecies)),ROW(1479:1479)),2),"")</f>
        <v/>
      </c>
      <c r="BE1478" s="10"/>
      <c r="BI1478" s="10"/>
    </row>
    <row r="1479" spans="1:61" ht="21" customHeight="1" x14ac:dyDescent="0.25">
      <c r="A1479" s="10"/>
      <c r="B1479" s="10"/>
      <c r="E1479" s="10"/>
      <c r="G1479" s="10"/>
      <c r="I1479" s="436" t="s">
        <v>7580</v>
      </c>
      <c r="J1479" s="26" t="s">
        <v>7579</v>
      </c>
      <c r="K1479" s="10">
        <v>0.18000000000000002</v>
      </c>
      <c r="L1479" s="73">
        <f>IF(Tank1!$C$23="No control",(SUMIF(Tank1!$B$32:$B$49,$J1479,Tank1!$C$32:$C$49)*Impacts!$F$8),0)</f>
        <v>0</v>
      </c>
      <c r="M1479" s="10">
        <f>IF(Tank2!$C$23="No control",(SUMIF(Tank2!$B$32:$B$49,$J1479,Tank2!$C$32:$C$49)*Impacts!$F$9),0)</f>
        <v>0</v>
      </c>
      <c r="N1479" s="10">
        <f>IF(Tank3!$C$23="No control",(SUMIF(Tank3!$B$32:$B$49,$J1479,Tank3!$C$32:$C$49)*Impacts!$F$10),0)</f>
        <v>0</v>
      </c>
      <c r="O1479" s="10">
        <f>IF(Tank4!$C$23="No control",(SUMIF(Tank4!$B$32:$B$49,$J1479,Tank4!$C$32:$C$49)*Impacts!$F$11),0)</f>
        <v>0</v>
      </c>
      <c r="P1479" s="10">
        <f>IF(Tank5!$C$23="No control",(SUMIF(Tank5!$B$32:$B$49,$J1479,Tank5!$C$32:$C$49)*Impacts!$F$12),0)</f>
        <v>0</v>
      </c>
      <c r="Q1479" s="10">
        <f>IFERROR(IF(('Loading-drum,tote'!$C$21)="No control",SUMIF(('Loading-drum,tote'!$B$31:$B$48),$J1479,('Loading-drum,tote'!$D$31:$D$48))*Impacts!$F$13,IF(('Loading-drum,tote'!$C$21)&lt;&gt;"No control",SUMIF(('Loading-drum,tote'!$B$31:$B$48),$J1479,('Loading-drum,tote'!$E$31:$E$48))*Impacts!$F$13,0)),0)</f>
        <v>0</v>
      </c>
      <c r="R1479" s="10">
        <f>IFERROR(IF(('Loading-truck'!$C$21)="No control",SUMIF(('Loading-truck'!$B$31:$B$48),$J1479,('Loading-truck'!$D$31:$D$48))*Impacts!$F$14,IF(('Loading-truck'!$C$21)&lt;&gt;"No control",SUMIF(('Loading-truck'!$B$31:$B$48),$J1479,('Loading-truck'!$E$31:$E$48))*Impacts!$F$14,0)),0)</f>
        <v>0</v>
      </c>
      <c r="S1479" s="10">
        <f>IFERROR(IF(('Loading-rail'!$C$21)="No control",SUMIF(('Loading-rail'!$B$31:$B$48),$J1479,('Loading-rail'!$D$31:$D$48))*Impacts!$F$15,IF(('Loading-rail'!$C$21)&lt;&gt;"No control",SUMIF(('Loading-rail'!$B$31:$B$48),$J1479,('Loading-rail'!$E$31:$E$48))*Impacts!$F$15,0)),0)</f>
        <v>0</v>
      </c>
      <c r="T1479" s="10">
        <f>IF(Flare!$C$7="",0,(SUMIF(Flare!$B$46:$B$185,$J1479,Flare!$E$46:$E$185)*Impacts!$F$16))</f>
        <v>0</v>
      </c>
      <c r="U1479" s="10">
        <f>IF(VCU!$C$9="",0,(SUMIF(VCU!$B$51:$B$193,$J1479,VCU!$E$51:$E$193)*Impacts!$F$17))</f>
        <v>0</v>
      </c>
      <c r="V1479" s="10">
        <f>IF(CAS!$C$7="",0,(SUMIF(CAS!$B$31:$B$167,$J1479,CAS!$E$31:$E$167)*Impacts!$F$18))</f>
        <v>0</v>
      </c>
      <c r="W1479" s="10">
        <f t="shared" si="63"/>
        <v>0</v>
      </c>
      <c r="AK1479" s="10" t="str">
        <f t="array" ref="AK1479">IFERROR(INDEX(SelectedSpecies,SMALL(IF(SelectedSpecies=AK$1,ROW(SelectedSpecies)),ROW(1480:1480)),2),"")</f>
        <v/>
      </c>
      <c r="BE1479" s="10"/>
      <c r="BI1479" s="10"/>
    </row>
    <row r="1480" spans="1:61" ht="21" customHeight="1" x14ac:dyDescent="0.25">
      <c r="A1480" s="10"/>
      <c r="B1480" s="10"/>
      <c r="E1480" s="10"/>
      <c r="G1480" s="10"/>
      <c r="I1480" s="436" t="s">
        <v>505</v>
      </c>
      <c r="J1480" s="26" t="s">
        <v>504</v>
      </c>
      <c r="K1480" s="10">
        <v>100</v>
      </c>
      <c r="L1480" s="73">
        <f>IF(Tank1!$C$23="No control",(SUMIF(Tank1!$B$32:$B$49,$J1480,Tank1!$C$32:$C$49)*Impacts!$F$8),0)</f>
        <v>0</v>
      </c>
      <c r="M1480" s="10">
        <f>IF(Tank2!$C$23="No control",(SUMIF(Tank2!$B$32:$B$49,$J1480,Tank2!$C$32:$C$49)*Impacts!$F$9),0)</f>
        <v>0</v>
      </c>
      <c r="N1480" s="10">
        <f>IF(Tank3!$C$23="No control",(SUMIF(Tank3!$B$32:$B$49,$J1480,Tank3!$C$32:$C$49)*Impacts!$F$10),0)</f>
        <v>0</v>
      </c>
      <c r="O1480" s="10">
        <f>IF(Tank4!$C$23="No control",(SUMIF(Tank4!$B$32:$B$49,$J1480,Tank4!$C$32:$C$49)*Impacts!$F$11),0)</f>
        <v>0</v>
      </c>
      <c r="P1480" s="10">
        <f>IF(Tank5!$C$23="No control",(SUMIF(Tank5!$B$32:$B$49,$J1480,Tank5!$C$32:$C$49)*Impacts!$F$12),0)</f>
        <v>0</v>
      </c>
      <c r="Q1480" s="10">
        <f>IFERROR(IF(('Loading-drum,tote'!$C$21)="No control",SUMIF(('Loading-drum,tote'!$B$31:$B$48),$J1480,('Loading-drum,tote'!$D$31:$D$48))*Impacts!$F$13,IF(('Loading-drum,tote'!$C$21)&lt;&gt;"No control",SUMIF(('Loading-drum,tote'!$B$31:$B$48),$J1480,('Loading-drum,tote'!$E$31:$E$48))*Impacts!$F$13,0)),0)</f>
        <v>0</v>
      </c>
      <c r="R1480" s="10">
        <f>IFERROR(IF(('Loading-truck'!$C$21)="No control",SUMIF(('Loading-truck'!$B$31:$B$48),$J1480,('Loading-truck'!$D$31:$D$48))*Impacts!$F$14,IF(('Loading-truck'!$C$21)&lt;&gt;"No control",SUMIF(('Loading-truck'!$B$31:$B$48),$J1480,('Loading-truck'!$E$31:$E$48))*Impacts!$F$14,0)),0)</f>
        <v>0</v>
      </c>
      <c r="S1480" s="10">
        <f>IFERROR(IF(('Loading-rail'!$C$21)="No control",SUMIF(('Loading-rail'!$B$31:$B$48),$J1480,('Loading-rail'!$D$31:$D$48))*Impacts!$F$15,IF(('Loading-rail'!$C$21)&lt;&gt;"No control",SUMIF(('Loading-rail'!$B$31:$B$48),$J1480,('Loading-rail'!$E$31:$E$48))*Impacts!$F$15,0)),0)</f>
        <v>0</v>
      </c>
      <c r="T1480" s="10">
        <f>IF(Flare!$C$7="",0,(SUMIF(Flare!$B$46:$B$185,$J1480,Flare!$E$46:$E$185)*Impacts!$F$16))</f>
        <v>0</v>
      </c>
      <c r="U1480" s="10">
        <f>IF(VCU!$C$9="",0,(SUMIF(VCU!$B$51:$B$193,$J1480,VCU!$E$51:$E$193)*Impacts!$F$17))</f>
        <v>0</v>
      </c>
      <c r="V1480" s="10">
        <f>IF(CAS!$C$7="",0,(SUMIF(CAS!$B$31:$B$167,$J1480,CAS!$E$31:$E$167)*Impacts!$F$18))</f>
        <v>0</v>
      </c>
      <c r="W1480" s="10">
        <f t="shared" si="63"/>
        <v>0</v>
      </c>
      <c r="AK1480" s="10" t="str">
        <f t="array" ref="AK1480">IFERROR(INDEX(SelectedSpecies,SMALL(IF(SelectedSpecies=AK$1,ROW(SelectedSpecies)),ROW(1481:1481)),2),"")</f>
        <v/>
      </c>
      <c r="BE1480" s="10"/>
      <c r="BI1480" s="10"/>
    </row>
    <row r="1481" spans="1:61" ht="21" customHeight="1" x14ac:dyDescent="0.25">
      <c r="A1481" s="10"/>
      <c r="B1481" s="10"/>
      <c r="E1481" s="10"/>
      <c r="G1481" s="10"/>
      <c r="I1481" s="436" t="s">
        <v>6812</v>
      </c>
      <c r="J1481" s="26" t="s">
        <v>6811</v>
      </c>
      <c r="K1481" s="10">
        <v>0.5</v>
      </c>
      <c r="L1481" s="73">
        <f>IF(Tank1!$C$23="No control",(SUMIF(Tank1!$B$32:$B$49,$J1481,Tank1!$C$32:$C$49)*Impacts!$F$8),0)</f>
        <v>0</v>
      </c>
      <c r="M1481" s="10">
        <f>IF(Tank2!$C$23="No control",(SUMIF(Tank2!$B$32:$B$49,$J1481,Tank2!$C$32:$C$49)*Impacts!$F$9),0)</f>
        <v>0</v>
      </c>
      <c r="N1481" s="10">
        <f>IF(Tank3!$C$23="No control",(SUMIF(Tank3!$B$32:$B$49,$J1481,Tank3!$C$32:$C$49)*Impacts!$F$10),0)</f>
        <v>0</v>
      </c>
      <c r="O1481" s="10">
        <f>IF(Tank4!$C$23="No control",(SUMIF(Tank4!$B$32:$B$49,$J1481,Tank4!$C$32:$C$49)*Impacts!$F$11),0)</f>
        <v>0</v>
      </c>
      <c r="P1481" s="10">
        <f>IF(Tank5!$C$23="No control",(SUMIF(Tank5!$B$32:$B$49,$J1481,Tank5!$C$32:$C$49)*Impacts!$F$12),0)</f>
        <v>0</v>
      </c>
      <c r="Q1481" s="10">
        <f>IFERROR(IF(('Loading-drum,tote'!$C$21)="No control",SUMIF(('Loading-drum,tote'!$B$31:$B$48),$J1481,('Loading-drum,tote'!$D$31:$D$48))*Impacts!$F$13,IF(('Loading-drum,tote'!$C$21)&lt;&gt;"No control",SUMIF(('Loading-drum,tote'!$B$31:$B$48),$J1481,('Loading-drum,tote'!$E$31:$E$48))*Impacts!$F$13,0)),0)</f>
        <v>0</v>
      </c>
      <c r="R1481" s="10">
        <f>IFERROR(IF(('Loading-truck'!$C$21)="No control",SUMIF(('Loading-truck'!$B$31:$B$48),$J1481,('Loading-truck'!$D$31:$D$48))*Impacts!$F$14,IF(('Loading-truck'!$C$21)&lt;&gt;"No control",SUMIF(('Loading-truck'!$B$31:$B$48),$J1481,('Loading-truck'!$E$31:$E$48))*Impacts!$F$14,0)),0)</f>
        <v>0</v>
      </c>
      <c r="S1481" s="10">
        <f>IFERROR(IF(('Loading-rail'!$C$21)="No control",SUMIF(('Loading-rail'!$B$31:$B$48),$J1481,('Loading-rail'!$D$31:$D$48))*Impacts!$F$15,IF(('Loading-rail'!$C$21)&lt;&gt;"No control",SUMIF(('Loading-rail'!$B$31:$B$48),$J1481,('Loading-rail'!$E$31:$E$48))*Impacts!$F$15,0)),0)</f>
        <v>0</v>
      </c>
      <c r="T1481" s="10">
        <f>IF(Flare!$C$7="",0,(SUMIF(Flare!$B$46:$B$185,$J1481,Flare!$E$46:$E$185)*Impacts!$F$16))</f>
        <v>0</v>
      </c>
      <c r="U1481" s="10">
        <f>IF(VCU!$C$9="",0,(SUMIF(VCU!$B$51:$B$193,$J1481,VCU!$E$51:$E$193)*Impacts!$F$17))</f>
        <v>0</v>
      </c>
      <c r="V1481" s="10">
        <f>IF(CAS!$C$7="",0,(SUMIF(CAS!$B$31:$B$167,$J1481,CAS!$E$31:$E$167)*Impacts!$F$18))</f>
        <v>0</v>
      </c>
      <c r="W1481" s="10">
        <f t="shared" si="63"/>
        <v>0</v>
      </c>
      <c r="AK1481" s="10" t="str">
        <f t="array" ref="AK1481">IFERROR(INDEX(SelectedSpecies,SMALL(IF(SelectedSpecies=AK$1,ROW(SelectedSpecies)),ROW(1482:1482)),2),"")</f>
        <v/>
      </c>
      <c r="BE1481" s="10"/>
      <c r="BI1481" s="10"/>
    </row>
    <row r="1482" spans="1:61" ht="21" customHeight="1" x14ac:dyDescent="0.25">
      <c r="A1482" s="10"/>
      <c r="B1482" s="10"/>
      <c r="E1482" s="10"/>
      <c r="G1482" s="10"/>
      <c r="I1482" s="436" t="s">
        <v>2827</v>
      </c>
      <c r="J1482" s="26" t="s">
        <v>2826</v>
      </c>
      <c r="K1482" s="10">
        <v>10</v>
      </c>
      <c r="L1482" s="73">
        <f>IF(Tank1!$C$23="No control",(SUMIF(Tank1!$B$32:$B$49,$J1482,Tank1!$C$32:$C$49)*Impacts!$F$8),0)</f>
        <v>0</v>
      </c>
      <c r="M1482" s="10">
        <f>IF(Tank2!$C$23="No control",(SUMIF(Tank2!$B$32:$B$49,$J1482,Tank2!$C$32:$C$49)*Impacts!$F$9),0)</f>
        <v>0</v>
      </c>
      <c r="N1482" s="10">
        <f>IF(Tank3!$C$23="No control",(SUMIF(Tank3!$B$32:$B$49,$J1482,Tank3!$C$32:$C$49)*Impacts!$F$10),0)</f>
        <v>0</v>
      </c>
      <c r="O1482" s="10">
        <f>IF(Tank4!$C$23="No control",(SUMIF(Tank4!$B$32:$B$49,$J1482,Tank4!$C$32:$C$49)*Impacts!$F$11),0)</f>
        <v>0</v>
      </c>
      <c r="P1482" s="10">
        <f>IF(Tank5!$C$23="No control",(SUMIF(Tank5!$B$32:$B$49,$J1482,Tank5!$C$32:$C$49)*Impacts!$F$12),0)</f>
        <v>0</v>
      </c>
      <c r="Q1482" s="10">
        <f>IFERROR(IF(('Loading-drum,tote'!$C$21)="No control",SUMIF(('Loading-drum,tote'!$B$31:$B$48),$J1482,('Loading-drum,tote'!$D$31:$D$48))*Impacts!$F$13,IF(('Loading-drum,tote'!$C$21)&lt;&gt;"No control",SUMIF(('Loading-drum,tote'!$B$31:$B$48),$J1482,('Loading-drum,tote'!$E$31:$E$48))*Impacts!$F$13,0)),0)</f>
        <v>0</v>
      </c>
      <c r="R1482" s="10">
        <f>IFERROR(IF(('Loading-truck'!$C$21)="No control",SUMIF(('Loading-truck'!$B$31:$B$48),$J1482,('Loading-truck'!$D$31:$D$48))*Impacts!$F$14,IF(('Loading-truck'!$C$21)&lt;&gt;"No control",SUMIF(('Loading-truck'!$B$31:$B$48),$J1482,('Loading-truck'!$E$31:$E$48))*Impacts!$F$14,0)),0)</f>
        <v>0</v>
      </c>
      <c r="S1482" s="10">
        <f>IFERROR(IF(('Loading-rail'!$C$21)="No control",SUMIF(('Loading-rail'!$B$31:$B$48),$J1482,('Loading-rail'!$D$31:$D$48))*Impacts!$F$15,IF(('Loading-rail'!$C$21)&lt;&gt;"No control",SUMIF(('Loading-rail'!$B$31:$B$48),$J1482,('Loading-rail'!$E$31:$E$48))*Impacts!$F$15,0)),0)</f>
        <v>0</v>
      </c>
      <c r="T1482" s="10">
        <f>IF(Flare!$C$7="",0,(SUMIF(Flare!$B$46:$B$185,$J1482,Flare!$E$46:$E$185)*Impacts!$F$16))</f>
        <v>0</v>
      </c>
      <c r="U1482" s="10">
        <f>IF(VCU!$C$9="",0,(SUMIF(VCU!$B$51:$B$193,$J1482,VCU!$E$51:$E$193)*Impacts!$F$17))</f>
        <v>0</v>
      </c>
      <c r="V1482" s="10">
        <f>IF(CAS!$C$7="",0,(SUMIF(CAS!$B$31:$B$167,$J1482,CAS!$E$31:$E$167)*Impacts!$F$18))</f>
        <v>0</v>
      </c>
      <c r="W1482" s="10">
        <f t="shared" si="63"/>
        <v>0</v>
      </c>
      <c r="AK1482" s="10" t="str">
        <f t="array" ref="AK1482">IFERROR(INDEX(SelectedSpecies,SMALL(IF(SelectedSpecies=AK$1,ROW(SelectedSpecies)),ROW(1483:1483)),2),"")</f>
        <v/>
      </c>
      <c r="BE1482" s="10"/>
      <c r="BI1482" s="10"/>
    </row>
    <row r="1483" spans="1:61" ht="21" customHeight="1" x14ac:dyDescent="0.25">
      <c r="A1483" s="10"/>
      <c r="B1483" s="10"/>
      <c r="E1483" s="10"/>
      <c r="G1483" s="10"/>
      <c r="I1483" s="436" t="s">
        <v>3797</v>
      </c>
      <c r="J1483" s="26" t="s">
        <v>3796</v>
      </c>
      <c r="K1483" s="10">
        <v>6</v>
      </c>
      <c r="L1483" s="73">
        <f>IF(Tank1!$C$23="No control",(SUMIF(Tank1!$B$32:$B$49,$J1483,Tank1!$C$32:$C$49)*Impacts!$F$8),0)</f>
        <v>0</v>
      </c>
      <c r="M1483" s="10">
        <f>IF(Tank2!$C$23="No control",(SUMIF(Tank2!$B$32:$B$49,$J1483,Tank2!$C$32:$C$49)*Impacts!$F$9),0)</f>
        <v>0</v>
      </c>
      <c r="N1483" s="10">
        <f>IF(Tank3!$C$23="No control",(SUMIF(Tank3!$B$32:$B$49,$J1483,Tank3!$C$32:$C$49)*Impacts!$F$10),0)</f>
        <v>0</v>
      </c>
      <c r="O1483" s="10">
        <f>IF(Tank4!$C$23="No control",(SUMIF(Tank4!$B$32:$B$49,$J1483,Tank4!$C$32:$C$49)*Impacts!$F$11),0)</f>
        <v>0</v>
      </c>
      <c r="P1483" s="10">
        <f>IF(Tank5!$C$23="No control",(SUMIF(Tank5!$B$32:$B$49,$J1483,Tank5!$C$32:$C$49)*Impacts!$F$12),0)</f>
        <v>0</v>
      </c>
      <c r="Q1483" s="10">
        <f>IFERROR(IF(('Loading-drum,tote'!$C$21)="No control",SUMIF(('Loading-drum,tote'!$B$31:$B$48),$J1483,('Loading-drum,tote'!$D$31:$D$48))*Impacts!$F$13,IF(('Loading-drum,tote'!$C$21)&lt;&gt;"No control",SUMIF(('Loading-drum,tote'!$B$31:$B$48),$J1483,('Loading-drum,tote'!$E$31:$E$48))*Impacts!$F$13,0)),0)</f>
        <v>0</v>
      </c>
      <c r="R1483" s="10">
        <f>IFERROR(IF(('Loading-truck'!$C$21)="No control",SUMIF(('Loading-truck'!$B$31:$B$48),$J1483,('Loading-truck'!$D$31:$D$48))*Impacts!$F$14,IF(('Loading-truck'!$C$21)&lt;&gt;"No control",SUMIF(('Loading-truck'!$B$31:$B$48),$J1483,('Loading-truck'!$E$31:$E$48))*Impacts!$F$14,0)),0)</f>
        <v>0</v>
      </c>
      <c r="S1483" s="10">
        <f>IFERROR(IF(('Loading-rail'!$C$21)="No control",SUMIF(('Loading-rail'!$B$31:$B$48),$J1483,('Loading-rail'!$D$31:$D$48))*Impacts!$F$15,IF(('Loading-rail'!$C$21)&lt;&gt;"No control",SUMIF(('Loading-rail'!$B$31:$B$48),$J1483,('Loading-rail'!$E$31:$E$48))*Impacts!$F$15,0)),0)</f>
        <v>0</v>
      </c>
      <c r="T1483" s="10">
        <f>IF(Flare!$C$7="",0,(SUMIF(Flare!$B$46:$B$185,$J1483,Flare!$E$46:$E$185)*Impacts!$F$16))</f>
        <v>0</v>
      </c>
      <c r="U1483" s="10">
        <f>IF(VCU!$C$9="",0,(SUMIF(VCU!$B$51:$B$193,$J1483,VCU!$E$51:$E$193)*Impacts!$F$17))</f>
        <v>0</v>
      </c>
      <c r="V1483" s="10">
        <f>IF(CAS!$C$7="",0,(SUMIF(CAS!$B$31:$B$167,$J1483,CAS!$E$31:$E$167)*Impacts!$F$18))</f>
        <v>0</v>
      </c>
      <c r="W1483" s="10">
        <f t="shared" si="63"/>
        <v>0</v>
      </c>
      <c r="AK1483" s="10" t="str">
        <f t="array" ref="AK1483">IFERROR(INDEX(SelectedSpecies,SMALL(IF(SelectedSpecies=AK$1,ROW(SelectedSpecies)),ROW(1484:1484)),2),"")</f>
        <v/>
      </c>
      <c r="BE1483" s="10"/>
      <c r="BI1483" s="10"/>
    </row>
    <row r="1484" spans="1:61" ht="21" customHeight="1" x14ac:dyDescent="0.25">
      <c r="A1484" s="10"/>
      <c r="B1484" s="10"/>
      <c r="E1484" s="10"/>
      <c r="G1484" s="10"/>
      <c r="I1484" s="436" t="s">
        <v>2829</v>
      </c>
      <c r="J1484" s="26" t="s">
        <v>2828</v>
      </c>
      <c r="K1484" s="10">
        <v>10</v>
      </c>
      <c r="L1484" s="73">
        <f>IF(Tank1!$C$23="No control",(SUMIF(Tank1!$B$32:$B$49,$J1484,Tank1!$C$32:$C$49)*Impacts!$F$8),0)</f>
        <v>0</v>
      </c>
      <c r="M1484" s="10">
        <f>IF(Tank2!$C$23="No control",(SUMIF(Tank2!$B$32:$B$49,$J1484,Tank2!$C$32:$C$49)*Impacts!$F$9),0)</f>
        <v>0</v>
      </c>
      <c r="N1484" s="10">
        <f>IF(Tank3!$C$23="No control",(SUMIF(Tank3!$B$32:$B$49,$J1484,Tank3!$C$32:$C$49)*Impacts!$F$10),0)</f>
        <v>0</v>
      </c>
      <c r="O1484" s="10">
        <f>IF(Tank4!$C$23="No control",(SUMIF(Tank4!$B$32:$B$49,$J1484,Tank4!$C$32:$C$49)*Impacts!$F$11),0)</f>
        <v>0</v>
      </c>
      <c r="P1484" s="10">
        <f>IF(Tank5!$C$23="No control",(SUMIF(Tank5!$B$32:$B$49,$J1484,Tank5!$C$32:$C$49)*Impacts!$F$12),0)</f>
        <v>0</v>
      </c>
      <c r="Q1484" s="10">
        <f>IFERROR(IF(('Loading-drum,tote'!$C$21)="No control",SUMIF(('Loading-drum,tote'!$B$31:$B$48),$J1484,('Loading-drum,tote'!$D$31:$D$48))*Impacts!$F$13,IF(('Loading-drum,tote'!$C$21)&lt;&gt;"No control",SUMIF(('Loading-drum,tote'!$B$31:$B$48),$J1484,('Loading-drum,tote'!$E$31:$E$48))*Impacts!$F$13,0)),0)</f>
        <v>0</v>
      </c>
      <c r="R1484" s="10">
        <f>IFERROR(IF(('Loading-truck'!$C$21)="No control",SUMIF(('Loading-truck'!$B$31:$B$48),$J1484,('Loading-truck'!$D$31:$D$48))*Impacts!$F$14,IF(('Loading-truck'!$C$21)&lt;&gt;"No control",SUMIF(('Loading-truck'!$B$31:$B$48),$J1484,('Loading-truck'!$E$31:$E$48))*Impacts!$F$14,0)),0)</f>
        <v>0</v>
      </c>
      <c r="S1484" s="10">
        <f>IFERROR(IF(('Loading-rail'!$C$21)="No control",SUMIF(('Loading-rail'!$B$31:$B$48),$J1484,('Loading-rail'!$D$31:$D$48))*Impacts!$F$15,IF(('Loading-rail'!$C$21)&lt;&gt;"No control",SUMIF(('Loading-rail'!$B$31:$B$48),$J1484,('Loading-rail'!$E$31:$E$48))*Impacts!$F$15,0)),0)</f>
        <v>0</v>
      </c>
      <c r="T1484" s="10">
        <f>IF(Flare!$C$7="",0,(SUMIF(Flare!$B$46:$B$185,$J1484,Flare!$E$46:$E$185)*Impacts!$F$16))</f>
        <v>0</v>
      </c>
      <c r="U1484" s="10">
        <f>IF(VCU!$C$9="",0,(SUMIF(VCU!$B$51:$B$193,$J1484,VCU!$E$51:$E$193)*Impacts!$F$17))</f>
        <v>0</v>
      </c>
      <c r="V1484" s="10">
        <f>IF(CAS!$C$7="",0,(SUMIF(CAS!$B$31:$B$167,$J1484,CAS!$E$31:$E$167)*Impacts!$F$18))</f>
        <v>0</v>
      </c>
      <c r="W1484" s="10">
        <f t="shared" si="63"/>
        <v>0</v>
      </c>
      <c r="AK1484" s="10" t="str">
        <f t="array" ref="AK1484">IFERROR(INDEX(SelectedSpecies,SMALL(IF(SelectedSpecies=AK$1,ROW(SelectedSpecies)),ROW(1485:1485)),2),"")</f>
        <v/>
      </c>
      <c r="BE1484" s="10"/>
      <c r="BI1484" s="10"/>
    </row>
    <row r="1485" spans="1:61" ht="21" customHeight="1" x14ac:dyDescent="0.25">
      <c r="A1485" s="10"/>
      <c r="B1485" s="10"/>
      <c r="E1485" s="10"/>
      <c r="G1485" s="10"/>
      <c r="I1485" s="436" t="s">
        <v>5371</v>
      </c>
      <c r="J1485" s="26" t="s">
        <v>5370</v>
      </c>
      <c r="K1485" s="10">
        <v>1.5</v>
      </c>
      <c r="L1485" s="73">
        <f>IF(Tank1!$C$23="No control",(SUMIF(Tank1!$B$32:$B$49,$J1485,Tank1!$C$32:$C$49)*Impacts!$F$8),0)</f>
        <v>0</v>
      </c>
      <c r="M1485" s="10">
        <f>IF(Tank2!$C$23="No control",(SUMIF(Tank2!$B$32:$B$49,$J1485,Tank2!$C$32:$C$49)*Impacts!$F$9),0)</f>
        <v>0</v>
      </c>
      <c r="N1485" s="10">
        <f>IF(Tank3!$C$23="No control",(SUMIF(Tank3!$B$32:$B$49,$J1485,Tank3!$C$32:$C$49)*Impacts!$F$10),0)</f>
        <v>0</v>
      </c>
      <c r="O1485" s="10">
        <f>IF(Tank4!$C$23="No control",(SUMIF(Tank4!$B$32:$B$49,$J1485,Tank4!$C$32:$C$49)*Impacts!$F$11),0)</f>
        <v>0</v>
      </c>
      <c r="P1485" s="10">
        <f>IF(Tank5!$C$23="No control",(SUMIF(Tank5!$B$32:$B$49,$J1485,Tank5!$C$32:$C$49)*Impacts!$F$12),0)</f>
        <v>0</v>
      </c>
      <c r="Q1485" s="10">
        <f>IFERROR(IF(('Loading-drum,tote'!$C$21)="No control",SUMIF(('Loading-drum,tote'!$B$31:$B$48),$J1485,('Loading-drum,tote'!$D$31:$D$48))*Impacts!$F$13,IF(('Loading-drum,tote'!$C$21)&lt;&gt;"No control",SUMIF(('Loading-drum,tote'!$B$31:$B$48),$J1485,('Loading-drum,tote'!$E$31:$E$48))*Impacts!$F$13,0)),0)</f>
        <v>0</v>
      </c>
      <c r="R1485" s="10">
        <f>IFERROR(IF(('Loading-truck'!$C$21)="No control",SUMIF(('Loading-truck'!$B$31:$B$48),$J1485,('Loading-truck'!$D$31:$D$48))*Impacts!$F$14,IF(('Loading-truck'!$C$21)&lt;&gt;"No control",SUMIF(('Loading-truck'!$B$31:$B$48),$J1485,('Loading-truck'!$E$31:$E$48))*Impacts!$F$14,0)),0)</f>
        <v>0</v>
      </c>
      <c r="S1485" s="10">
        <f>IFERROR(IF(('Loading-rail'!$C$21)="No control",SUMIF(('Loading-rail'!$B$31:$B$48),$J1485,('Loading-rail'!$D$31:$D$48))*Impacts!$F$15,IF(('Loading-rail'!$C$21)&lt;&gt;"No control",SUMIF(('Loading-rail'!$B$31:$B$48),$J1485,('Loading-rail'!$E$31:$E$48))*Impacts!$F$15,0)),0)</f>
        <v>0</v>
      </c>
      <c r="T1485" s="10">
        <f>IF(Flare!$C$7="",0,(SUMIF(Flare!$B$46:$B$185,$J1485,Flare!$E$46:$E$185)*Impacts!$F$16))</f>
        <v>0</v>
      </c>
      <c r="U1485" s="10">
        <f>IF(VCU!$C$9="",0,(SUMIF(VCU!$B$51:$B$193,$J1485,VCU!$E$51:$E$193)*Impacts!$F$17))</f>
        <v>0</v>
      </c>
      <c r="V1485" s="10">
        <f>IF(CAS!$C$7="",0,(SUMIF(CAS!$B$31:$B$167,$J1485,CAS!$E$31:$E$167)*Impacts!$F$18))</f>
        <v>0</v>
      </c>
      <c r="W1485" s="10">
        <f t="shared" si="63"/>
        <v>0</v>
      </c>
      <c r="AK1485" s="10" t="str">
        <f t="array" ref="AK1485">IFERROR(INDEX(SelectedSpecies,SMALL(IF(SelectedSpecies=AK$1,ROW(SelectedSpecies)),ROW(1486:1486)),2),"")</f>
        <v/>
      </c>
      <c r="BE1485" s="10"/>
      <c r="BI1485" s="10"/>
    </row>
    <row r="1486" spans="1:61" ht="21" customHeight="1" x14ac:dyDescent="0.25">
      <c r="A1486" s="10"/>
      <c r="B1486" s="10"/>
      <c r="E1486" s="10"/>
      <c r="G1486" s="10"/>
      <c r="I1486" s="436" t="s">
        <v>3675</v>
      </c>
      <c r="J1486" s="26" t="s">
        <v>3674</v>
      </c>
      <c r="K1486" s="10">
        <v>7</v>
      </c>
      <c r="L1486" s="73">
        <f>IF(Tank1!$C$23="No control",(SUMIF(Tank1!$B$32:$B$49,$J1486,Tank1!$C$32:$C$49)*Impacts!$F$8),0)</f>
        <v>0</v>
      </c>
      <c r="M1486" s="10">
        <f>IF(Tank2!$C$23="No control",(SUMIF(Tank2!$B$32:$B$49,$J1486,Tank2!$C$32:$C$49)*Impacts!$F$9),0)</f>
        <v>0</v>
      </c>
      <c r="N1486" s="10">
        <f>IF(Tank3!$C$23="No control",(SUMIF(Tank3!$B$32:$B$49,$J1486,Tank3!$C$32:$C$49)*Impacts!$F$10),0)</f>
        <v>0</v>
      </c>
      <c r="O1486" s="10">
        <f>IF(Tank4!$C$23="No control",(SUMIF(Tank4!$B$32:$B$49,$J1486,Tank4!$C$32:$C$49)*Impacts!$F$11),0)</f>
        <v>0</v>
      </c>
      <c r="P1486" s="10">
        <f>IF(Tank5!$C$23="No control",(SUMIF(Tank5!$B$32:$B$49,$J1486,Tank5!$C$32:$C$49)*Impacts!$F$12),0)</f>
        <v>0</v>
      </c>
      <c r="Q1486" s="10">
        <f>IFERROR(IF(('Loading-drum,tote'!$C$21)="No control",SUMIF(('Loading-drum,tote'!$B$31:$B$48),$J1486,('Loading-drum,tote'!$D$31:$D$48))*Impacts!$F$13,IF(('Loading-drum,tote'!$C$21)&lt;&gt;"No control",SUMIF(('Loading-drum,tote'!$B$31:$B$48),$J1486,('Loading-drum,tote'!$E$31:$E$48))*Impacts!$F$13,0)),0)</f>
        <v>0</v>
      </c>
      <c r="R1486" s="10">
        <f>IFERROR(IF(('Loading-truck'!$C$21)="No control",SUMIF(('Loading-truck'!$B$31:$B$48),$J1486,('Loading-truck'!$D$31:$D$48))*Impacts!$F$14,IF(('Loading-truck'!$C$21)&lt;&gt;"No control",SUMIF(('Loading-truck'!$B$31:$B$48),$J1486,('Loading-truck'!$E$31:$E$48))*Impacts!$F$14,0)),0)</f>
        <v>0</v>
      </c>
      <c r="S1486" s="10">
        <f>IFERROR(IF(('Loading-rail'!$C$21)="No control",SUMIF(('Loading-rail'!$B$31:$B$48),$J1486,('Loading-rail'!$D$31:$D$48))*Impacts!$F$15,IF(('Loading-rail'!$C$21)&lt;&gt;"No control",SUMIF(('Loading-rail'!$B$31:$B$48),$J1486,('Loading-rail'!$E$31:$E$48))*Impacts!$F$15,0)),0)</f>
        <v>0</v>
      </c>
      <c r="T1486" s="10">
        <f>IF(Flare!$C$7="",0,(SUMIF(Flare!$B$46:$B$185,$J1486,Flare!$E$46:$E$185)*Impacts!$F$16))</f>
        <v>0</v>
      </c>
      <c r="U1486" s="10">
        <f>IF(VCU!$C$9="",0,(SUMIF(VCU!$B$51:$B$193,$J1486,VCU!$E$51:$E$193)*Impacts!$F$17))</f>
        <v>0</v>
      </c>
      <c r="V1486" s="10">
        <f>IF(CAS!$C$7="",0,(SUMIF(CAS!$B$31:$B$167,$J1486,CAS!$E$31:$E$167)*Impacts!$F$18))</f>
        <v>0</v>
      </c>
      <c r="W1486" s="10">
        <f t="shared" si="63"/>
        <v>0</v>
      </c>
      <c r="AK1486" s="10" t="str">
        <f t="array" ref="AK1486">IFERROR(INDEX(SelectedSpecies,SMALL(IF(SelectedSpecies=AK$1,ROW(SelectedSpecies)),ROW(1487:1487)),2),"")</f>
        <v/>
      </c>
      <c r="BE1486" s="10"/>
      <c r="BI1486" s="10"/>
    </row>
    <row r="1487" spans="1:61" ht="21" customHeight="1" x14ac:dyDescent="0.25">
      <c r="A1487" s="10"/>
      <c r="B1487" s="10"/>
      <c r="E1487" s="10"/>
      <c r="G1487" s="10"/>
      <c r="I1487" s="436" t="s">
        <v>1841</v>
      </c>
      <c r="J1487" s="26" t="s">
        <v>1840</v>
      </c>
      <c r="K1487" s="10">
        <v>20</v>
      </c>
      <c r="L1487" s="73">
        <f>IF(Tank1!$C$23="No control",(SUMIF(Tank1!$B$32:$B$49,$J1487,Tank1!$C$32:$C$49)*Impacts!$F$8),0)</f>
        <v>0</v>
      </c>
      <c r="M1487" s="10">
        <f>IF(Tank2!$C$23="No control",(SUMIF(Tank2!$B$32:$B$49,$J1487,Tank2!$C$32:$C$49)*Impacts!$F$9),0)</f>
        <v>0</v>
      </c>
      <c r="N1487" s="10">
        <f>IF(Tank3!$C$23="No control",(SUMIF(Tank3!$B$32:$B$49,$J1487,Tank3!$C$32:$C$49)*Impacts!$F$10),0)</f>
        <v>0</v>
      </c>
      <c r="O1487" s="10">
        <f>IF(Tank4!$C$23="No control",(SUMIF(Tank4!$B$32:$B$49,$J1487,Tank4!$C$32:$C$49)*Impacts!$F$11),0)</f>
        <v>0</v>
      </c>
      <c r="P1487" s="10">
        <f>IF(Tank5!$C$23="No control",(SUMIF(Tank5!$B$32:$B$49,$J1487,Tank5!$C$32:$C$49)*Impacts!$F$12),0)</f>
        <v>0</v>
      </c>
      <c r="Q1487" s="10">
        <f>IFERROR(IF(('Loading-drum,tote'!$C$21)="No control",SUMIF(('Loading-drum,tote'!$B$31:$B$48),$J1487,('Loading-drum,tote'!$D$31:$D$48))*Impacts!$F$13,IF(('Loading-drum,tote'!$C$21)&lt;&gt;"No control",SUMIF(('Loading-drum,tote'!$B$31:$B$48),$J1487,('Loading-drum,tote'!$E$31:$E$48))*Impacts!$F$13,0)),0)</f>
        <v>0</v>
      </c>
      <c r="R1487" s="10">
        <f>IFERROR(IF(('Loading-truck'!$C$21)="No control",SUMIF(('Loading-truck'!$B$31:$B$48),$J1487,('Loading-truck'!$D$31:$D$48))*Impacts!$F$14,IF(('Loading-truck'!$C$21)&lt;&gt;"No control",SUMIF(('Loading-truck'!$B$31:$B$48),$J1487,('Loading-truck'!$E$31:$E$48))*Impacts!$F$14,0)),0)</f>
        <v>0</v>
      </c>
      <c r="S1487" s="10">
        <f>IFERROR(IF(('Loading-rail'!$C$21)="No control",SUMIF(('Loading-rail'!$B$31:$B$48),$J1487,('Loading-rail'!$D$31:$D$48))*Impacts!$F$15,IF(('Loading-rail'!$C$21)&lt;&gt;"No control",SUMIF(('Loading-rail'!$B$31:$B$48),$J1487,('Loading-rail'!$E$31:$E$48))*Impacts!$F$15,0)),0)</f>
        <v>0</v>
      </c>
      <c r="T1487" s="10">
        <f>IF(Flare!$C$7="",0,(SUMIF(Flare!$B$46:$B$185,$J1487,Flare!$E$46:$E$185)*Impacts!$F$16))</f>
        <v>0</v>
      </c>
      <c r="U1487" s="10">
        <f>IF(VCU!$C$9="",0,(SUMIF(VCU!$B$51:$B$193,$J1487,VCU!$E$51:$E$193)*Impacts!$F$17))</f>
        <v>0</v>
      </c>
      <c r="V1487" s="10">
        <f>IF(CAS!$C$7="",0,(SUMIF(CAS!$B$31:$B$167,$J1487,CAS!$E$31:$E$167)*Impacts!$F$18))</f>
        <v>0</v>
      </c>
      <c r="W1487" s="10">
        <f t="shared" si="63"/>
        <v>0</v>
      </c>
      <c r="AK1487" s="10" t="str">
        <f t="array" ref="AK1487">IFERROR(INDEX(SelectedSpecies,SMALL(IF(SelectedSpecies=AK$1,ROW(SelectedSpecies)),ROW(1488:1488)),2),"")</f>
        <v/>
      </c>
      <c r="BE1487" s="10"/>
      <c r="BI1487" s="10"/>
    </row>
    <row r="1488" spans="1:61" ht="21" customHeight="1" x14ac:dyDescent="0.25">
      <c r="A1488" s="10"/>
      <c r="B1488" s="10"/>
      <c r="E1488" s="10"/>
      <c r="G1488" s="10"/>
      <c r="I1488" s="436" t="s">
        <v>5567</v>
      </c>
      <c r="J1488" s="26" t="s">
        <v>5566</v>
      </c>
      <c r="K1488" s="10">
        <v>1.2000000000000002</v>
      </c>
      <c r="L1488" s="73">
        <f>IF(Tank1!$C$23="No control",(SUMIF(Tank1!$B$32:$B$49,$J1488,Tank1!$C$32:$C$49)*Impacts!$F$8),0)</f>
        <v>0</v>
      </c>
      <c r="M1488" s="10">
        <f>IF(Tank2!$C$23="No control",(SUMIF(Tank2!$B$32:$B$49,$J1488,Tank2!$C$32:$C$49)*Impacts!$F$9),0)</f>
        <v>0</v>
      </c>
      <c r="N1488" s="10">
        <f>IF(Tank3!$C$23="No control",(SUMIF(Tank3!$B$32:$B$49,$J1488,Tank3!$C$32:$C$49)*Impacts!$F$10),0)</f>
        <v>0</v>
      </c>
      <c r="O1488" s="10">
        <f>IF(Tank4!$C$23="No control",(SUMIF(Tank4!$B$32:$B$49,$J1488,Tank4!$C$32:$C$49)*Impacts!$F$11),0)</f>
        <v>0</v>
      </c>
      <c r="P1488" s="10">
        <f>IF(Tank5!$C$23="No control",(SUMIF(Tank5!$B$32:$B$49,$J1488,Tank5!$C$32:$C$49)*Impacts!$F$12),0)</f>
        <v>0</v>
      </c>
      <c r="Q1488" s="10">
        <f>IFERROR(IF(('Loading-drum,tote'!$C$21)="No control",SUMIF(('Loading-drum,tote'!$B$31:$B$48),$J1488,('Loading-drum,tote'!$D$31:$D$48))*Impacts!$F$13,IF(('Loading-drum,tote'!$C$21)&lt;&gt;"No control",SUMIF(('Loading-drum,tote'!$B$31:$B$48),$J1488,('Loading-drum,tote'!$E$31:$E$48))*Impacts!$F$13,0)),0)</f>
        <v>0</v>
      </c>
      <c r="R1488" s="10">
        <f>IFERROR(IF(('Loading-truck'!$C$21)="No control",SUMIF(('Loading-truck'!$B$31:$B$48),$J1488,('Loading-truck'!$D$31:$D$48))*Impacts!$F$14,IF(('Loading-truck'!$C$21)&lt;&gt;"No control",SUMIF(('Loading-truck'!$B$31:$B$48),$J1488,('Loading-truck'!$E$31:$E$48))*Impacts!$F$14,0)),0)</f>
        <v>0</v>
      </c>
      <c r="S1488" s="10">
        <f>IFERROR(IF(('Loading-rail'!$C$21)="No control",SUMIF(('Loading-rail'!$B$31:$B$48),$J1488,('Loading-rail'!$D$31:$D$48))*Impacts!$F$15,IF(('Loading-rail'!$C$21)&lt;&gt;"No control",SUMIF(('Loading-rail'!$B$31:$B$48),$J1488,('Loading-rail'!$E$31:$E$48))*Impacts!$F$15,0)),0)</f>
        <v>0</v>
      </c>
      <c r="T1488" s="10">
        <f>IF(Flare!$C$7="",0,(SUMIF(Flare!$B$46:$B$185,$J1488,Flare!$E$46:$E$185)*Impacts!$F$16))</f>
        <v>0</v>
      </c>
      <c r="U1488" s="10">
        <f>IF(VCU!$C$9="",0,(SUMIF(VCU!$B$51:$B$193,$J1488,VCU!$E$51:$E$193)*Impacts!$F$17))</f>
        <v>0</v>
      </c>
      <c r="V1488" s="10">
        <f>IF(CAS!$C$7="",0,(SUMIF(CAS!$B$31:$B$167,$J1488,CAS!$E$31:$E$167)*Impacts!$F$18))</f>
        <v>0</v>
      </c>
      <c r="W1488" s="10">
        <f t="shared" si="63"/>
        <v>0</v>
      </c>
      <c r="AK1488" s="10" t="str">
        <f t="array" ref="AK1488">IFERROR(INDEX(SelectedSpecies,SMALL(IF(SelectedSpecies=AK$1,ROW(SelectedSpecies)),ROW(1489:1489)),2),"")</f>
        <v/>
      </c>
      <c r="BE1488" s="10"/>
      <c r="BI1488" s="10"/>
    </row>
    <row r="1489" spans="1:61" ht="21" customHeight="1" x14ac:dyDescent="0.25">
      <c r="A1489" s="10"/>
      <c r="B1489" s="10"/>
      <c r="E1489" s="10"/>
      <c r="G1489" s="10"/>
      <c r="I1489" s="436" t="s">
        <v>4517</v>
      </c>
      <c r="J1489" s="26" t="s">
        <v>4516</v>
      </c>
      <c r="K1489" s="10">
        <v>4.1000000000000005</v>
      </c>
      <c r="L1489" s="73">
        <f>IF(Tank1!$C$23="No control",(SUMIF(Tank1!$B$32:$B$49,$J1489,Tank1!$C$32:$C$49)*Impacts!$F$8),0)</f>
        <v>0</v>
      </c>
      <c r="M1489" s="10">
        <f>IF(Tank2!$C$23="No control",(SUMIF(Tank2!$B$32:$B$49,$J1489,Tank2!$C$32:$C$49)*Impacts!$F$9),0)</f>
        <v>0</v>
      </c>
      <c r="N1489" s="10">
        <f>IF(Tank3!$C$23="No control",(SUMIF(Tank3!$B$32:$B$49,$J1489,Tank3!$C$32:$C$49)*Impacts!$F$10),0)</f>
        <v>0</v>
      </c>
      <c r="O1489" s="10">
        <f>IF(Tank4!$C$23="No control",(SUMIF(Tank4!$B$32:$B$49,$J1489,Tank4!$C$32:$C$49)*Impacts!$F$11),0)</f>
        <v>0</v>
      </c>
      <c r="P1489" s="10">
        <f>IF(Tank5!$C$23="No control",(SUMIF(Tank5!$B$32:$B$49,$J1489,Tank5!$C$32:$C$49)*Impacts!$F$12),0)</f>
        <v>0</v>
      </c>
      <c r="Q1489" s="10">
        <f>IFERROR(IF(('Loading-drum,tote'!$C$21)="No control",SUMIF(('Loading-drum,tote'!$B$31:$B$48),$J1489,('Loading-drum,tote'!$D$31:$D$48))*Impacts!$F$13,IF(('Loading-drum,tote'!$C$21)&lt;&gt;"No control",SUMIF(('Loading-drum,tote'!$B$31:$B$48),$J1489,('Loading-drum,tote'!$E$31:$E$48))*Impacts!$F$13,0)),0)</f>
        <v>0</v>
      </c>
      <c r="R1489" s="10">
        <f>IFERROR(IF(('Loading-truck'!$C$21)="No control",SUMIF(('Loading-truck'!$B$31:$B$48),$J1489,('Loading-truck'!$D$31:$D$48))*Impacts!$F$14,IF(('Loading-truck'!$C$21)&lt;&gt;"No control",SUMIF(('Loading-truck'!$B$31:$B$48),$J1489,('Loading-truck'!$E$31:$E$48))*Impacts!$F$14,0)),0)</f>
        <v>0</v>
      </c>
      <c r="S1489" s="10">
        <f>IFERROR(IF(('Loading-rail'!$C$21)="No control",SUMIF(('Loading-rail'!$B$31:$B$48),$J1489,('Loading-rail'!$D$31:$D$48))*Impacts!$F$15,IF(('Loading-rail'!$C$21)&lt;&gt;"No control",SUMIF(('Loading-rail'!$B$31:$B$48),$J1489,('Loading-rail'!$E$31:$E$48))*Impacts!$F$15,0)),0)</f>
        <v>0</v>
      </c>
      <c r="T1489" s="10">
        <f>IF(Flare!$C$7="",0,(SUMIF(Flare!$B$46:$B$185,$J1489,Flare!$E$46:$E$185)*Impacts!$F$16))</f>
        <v>0</v>
      </c>
      <c r="U1489" s="10">
        <f>IF(VCU!$C$9="",0,(SUMIF(VCU!$B$51:$B$193,$J1489,VCU!$E$51:$E$193)*Impacts!$F$17))</f>
        <v>0</v>
      </c>
      <c r="V1489" s="10">
        <f>IF(CAS!$C$7="",0,(SUMIF(CAS!$B$31:$B$167,$J1489,CAS!$E$31:$E$167)*Impacts!$F$18))</f>
        <v>0</v>
      </c>
      <c r="W1489" s="10">
        <f t="shared" si="63"/>
        <v>0</v>
      </c>
      <c r="AK1489" s="10" t="str">
        <f t="array" ref="AK1489">IFERROR(INDEX(SelectedSpecies,SMALL(IF(SelectedSpecies=AK$1,ROW(SelectedSpecies)),ROW(1490:1490)),2),"")</f>
        <v/>
      </c>
      <c r="BE1489" s="10"/>
      <c r="BI1489" s="10"/>
    </row>
    <row r="1490" spans="1:61" ht="21" customHeight="1" x14ac:dyDescent="0.25">
      <c r="A1490" s="10"/>
      <c r="B1490" s="10"/>
      <c r="E1490" s="10"/>
      <c r="G1490" s="10"/>
      <c r="I1490" s="436" t="s">
        <v>3933</v>
      </c>
      <c r="J1490" s="26" t="s">
        <v>3932</v>
      </c>
      <c r="K1490" s="10">
        <v>6</v>
      </c>
      <c r="L1490" s="73">
        <f>IF(Tank1!$C$23="No control",(SUMIF(Tank1!$B$32:$B$49,$J1490,Tank1!$C$32:$C$49)*Impacts!$F$8),0)</f>
        <v>0</v>
      </c>
      <c r="M1490" s="10">
        <f>IF(Tank2!$C$23="No control",(SUMIF(Tank2!$B$32:$B$49,$J1490,Tank2!$C$32:$C$49)*Impacts!$F$9),0)</f>
        <v>0</v>
      </c>
      <c r="N1490" s="10">
        <f>IF(Tank3!$C$23="No control",(SUMIF(Tank3!$B$32:$B$49,$J1490,Tank3!$C$32:$C$49)*Impacts!$F$10),0)</f>
        <v>0</v>
      </c>
      <c r="O1490" s="10">
        <f>IF(Tank4!$C$23="No control",(SUMIF(Tank4!$B$32:$B$49,$J1490,Tank4!$C$32:$C$49)*Impacts!$F$11),0)</f>
        <v>0</v>
      </c>
      <c r="P1490" s="10">
        <f>IF(Tank5!$C$23="No control",(SUMIF(Tank5!$B$32:$B$49,$J1490,Tank5!$C$32:$C$49)*Impacts!$F$12),0)</f>
        <v>0</v>
      </c>
      <c r="Q1490" s="10">
        <f>IFERROR(IF(('Loading-drum,tote'!$C$21)="No control",SUMIF(('Loading-drum,tote'!$B$31:$B$48),$J1490,('Loading-drum,tote'!$D$31:$D$48))*Impacts!$F$13,IF(('Loading-drum,tote'!$C$21)&lt;&gt;"No control",SUMIF(('Loading-drum,tote'!$B$31:$B$48),$J1490,('Loading-drum,tote'!$E$31:$E$48))*Impacts!$F$13,0)),0)</f>
        <v>0</v>
      </c>
      <c r="R1490" s="10">
        <f>IFERROR(IF(('Loading-truck'!$C$21)="No control",SUMIF(('Loading-truck'!$B$31:$B$48),$J1490,('Loading-truck'!$D$31:$D$48))*Impacts!$F$14,IF(('Loading-truck'!$C$21)&lt;&gt;"No control",SUMIF(('Loading-truck'!$B$31:$B$48),$J1490,('Loading-truck'!$E$31:$E$48))*Impacts!$F$14,0)),0)</f>
        <v>0</v>
      </c>
      <c r="S1490" s="10">
        <f>IFERROR(IF(('Loading-rail'!$C$21)="No control",SUMIF(('Loading-rail'!$B$31:$B$48),$J1490,('Loading-rail'!$D$31:$D$48))*Impacts!$F$15,IF(('Loading-rail'!$C$21)&lt;&gt;"No control",SUMIF(('Loading-rail'!$B$31:$B$48),$J1490,('Loading-rail'!$E$31:$E$48))*Impacts!$F$15,0)),0)</f>
        <v>0</v>
      </c>
      <c r="T1490" s="10">
        <f>IF(Flare!$C$7="",0,(SUMIF(Flare!$B$46:$B$185,$J1490,Flare!$E$46:$E$185)*Impacts!$F$16))</f>
        <v>0</v>
      </c>
      <c r="U1490" s="10">
        <f>IF(VCU!$C$9="",0,(SUMIF(VCU!$B$51:$B$193,$J1490,VCU!$E$51:$E$193)*Impacts!$F$17))</f>
        <v>0</v>
      </c>
      <c r="V1490" s="10">
        <f>IF(CAS!$C$7="",0,(SUMIF(CAS!$B$31:$B$167,$J1490,CAS!$E$31:$E$167)*Impacts!$F$18))</f>
        <v>0</v>
      </c>
      <c r="W1490" s="10">
        <f t="shared" si="63"/>
        <v>0</v>
      </c>
      <c r="AK1490" s="10" t="str">
        <f t="array" ref="AK1490">IFERROR(INDEX(SelectedSpecies,SMALL(IF(SelectedSpecies=AK$1,ROW(SelectedSpecies)),ROW(1491:1491)),2),"")</f>
        <v/>
      </c>
      <c r="BE1490" s="10"/>
      <c r="BI1490" s="10"/>
    </row>
    <row r="1491" spans="1:61" ht="21" customHeight="1" x14ac:dyDescent="0.25">
      <c r="A1491" s="10"/>
      <c r="B1491" s="10"/>
      <c r="E1491" s="10"/>
      <c r="G1491" s="10"/>
      <c r="I1491" s="436" t="s">
        <v>5846</v>
      </c>
      <c r="J1491" s="26" t="s">
        <v>5845</v>
      </c>
      <c r="K1491" s="10">
        <v>1</v>
      </c>
      <c r="L1491" s="73">
        <f>IF(Tank1!$C$23="No control",(SUMIF(Tank1!$B$32:$B$49,$J1491,Tank1!$C$32:$C$49)*Impacts!$F$8),0)</f>
        <v>0</v>
      </c>
      <c r="M1491" s="10">
        <f>IF(Tank2!$C$23="No control",(SUMIF(Tank2!$B$32:$B$49,$J1491,Tank2!$C$32:$C$49)*Impacts!$F$9),0)</f>
        <v>0</v>
      </c>
      <c r="N1491" s="10">
        <f>IF(Tank3!$C$23="No control",(SUMIF(Tank3!$B$32:$B$49,$J1491,Tank3!$C$32:$C$49)*Impacts!$F$10),0)</f>
        <v>0</v>
      </c>
      <c r="O1491" s="10">
        <f>IF(Tank4!$C$23="No control",(SUMIF(Tank4!$B$32:$B$49,$J1491,Tank4!$C$32:$C$49)*Impacts!$F$11),0)</f>
        <v>0</v>
      </c>
      <c r="P1491" s="10">
        <f>IF(Tank5!$C$23="No control",(SUMIF(Tank5!$B$32:$B$49,$J1491,Tank5!$C$32:$C$49)*Impacts!$F$12),0)</f>
        <v>0</v>
      </c>
      <c r="Q1491" s="10">
        <f>IFERROR(IF(('Loading-drum,tote'!$C$21)="No control",SUMIF(('Loading-drum,tote'!$B$31:$B$48),$J1491,('Loading-drum,tote'!$D$31:$D$48))*Impacts!$F$13,IF(('Loading-drum,tote'!$C$21)&lt;&gt;"No control",SUMIF(('Loading-drum,tote'!$B$31:$B$48),$J1491,('Loading-drum,tote'!$E$31:$E$48))*Impacts!$F$13,0)),0)</f>
        <v>0</v>
      </c>
      <c r="R1491" s="10">
        <f>IFERROR(IF(('Loading-truck'!$C$21)="No control",SUMIF(('Loading-truck'!$B$31:$B$48),$J1491,('Loading-truck'!$D$31:$D$48))*Impacts!$F$14,IF(('Loading-truck'!$C$21)&lt;&gt;"No control",SUMIF(('Loading-truck'!$B$31:$B$48),$J1491,('Loading-truck'!$E$31:$E$48))*Impacts!$F$14,0)),0)</f>
        <v>0</v>
      </c>
      <c r="S1491" s="10">
        <f>IFERROR(IF(('Loading-rail'!$C$21)="No control",SUMIF(('Loading-rail'!$B$31:$B$48),$J1491,('Loading-rail'!$D$31:$D$48))*Impacts!$F$15,IF(('Loading-rail'!$C$21)&lt;&gt;"No control",SUMIF(('Loading-rail'!$B$31:$B$48),$J1491,('Loading-rail'!$E$31:$E$48))*Impacts!$F$15,0)),0)</f>
        <v>0</v>
      </c>
      <c r="T1491" s="10">
        <f>IF(Flare!$C$7="",0,(SUMIF(Flare!$B$46:$B$185,$J1491,Flare!$E$46:$E$185)*Impacts!$F$16))</f>
        <v>0</v>
      </c>
      <c r="U1491" s="10">
        <f>IF(VCU!$C$9="",0,(SUMIF(VCU!$B$51:$B$193,$J1491,VCU!$E$51:$E$193)*Impacts!$F$17))</f>
        <v>0</v>
      </c>
      <c r="V1491" s="10">
        <f>IF(CAS!$C$7="",0,(SUMIF(CAS!$B$31:$B$167,$J1491,CAS!$E$31:$E$167)*Impacts!$F$18))</f>
        <v>0</v>
      </c>
      <c r="W1491" s="10">
        <f t="shared" si="63"/>
        <v>0</v>
      </c>
      <c r="AK1491" s="10" t="str">
        <f t="array" ref="AK1491">IFERROR(INDEX(SelectedSpecies,SMALL(IF(SelectedSpecies=AK$1,ROW(SelectedSpecies)),ROW(1492:1492)),2),"")</f>
        <v/>
      </c>
      <c r="BE1491" s="10"/>
      <c r="BI1491" s="10"/>
    </row>
    <row r="1492" spans="1:61" ht="21" customHeight="1" x14ac:dyDescent="0.25">
      <c r="A1492" s="10"/>
      <c r="B1492" s="10"/>
      <c r="E1492" s="10"/>
      <c r="G1492" s="10"/>
      <c r="I1492" s="436" t="s">
        <v>5848</v>
      </c>
      <c r="J1492" s="26" t="s">
        <v>5847</v>
      </c>
      <c r="K1492" s="10">
        <v>1</v>
      </c>
      <c r="L1492" s="73">
        <f>IF(Tank1!$C$23="No control",(SUMIF(Tank1!$B$32:$B$49,$J1492,Tank1!$C$32:$C$49)*Impacts!$F$8),0)</f>
        <v>0</v>
      </c>
      <c r="M1492" s="10">
        <f>IF(Tank2!$C$23="No control",(SUMIF(Tank2!$B$32:$B$49,$J1492,Tank2!$C$32:$C$49)*Impacts!$F$9),0)</f>
        <v>0</v>
      </c>
      <c r="N1492" s="10">
        <f>IF(Tank3!$C$23="No control",(SUMIF(Tank3!$B$32:$B$49,$J1492,Tank3!$C$32:$C$49)*Impacts!$F$10),0)</f>
        <v>0</v>
      </c>
      <c r="O1492" s="10">
        <f>IF(Tank4!$C$23="No control",(SUMIF(Tank4!$B$32:$B$49,$J1492,Tank4!$C$32:$C$49)*Impacts!$F$11),0)</f>
        <v>0</v>
      </c>
      <c r="P1492" s="10">
        <f>IF(Tank5!$C$23="No control",(SUMIF(Tank5!$B$32:$B$49,$J1492,Tank5!$C$32:$C$49)*Impacts!$F$12),0)</f>
        <v>0</v>
      </c>
      <c r="Q1492" s="10">
        <f>IFERROR(IF(('Loading-drum,tote'!$C$21)="No control",SUMIF(('Loading-drum,tote'!$B$31:$B$48),$J1492,('Loading-drum,tote'!$D$31:$D$48))*Impacts!$F$13,IF(('Loading-drum,tote'!$C$21)&lt;&gt;"No control",SUMIF(('Loading-drum,tote'!$B$31:$B$48),$J1492,('Loading-drum,tote'!$E$31:$E$48))*Impacts!$F$13,0)),0)</f>
        <v>0</v>
      </c>
      <c r="R1492" s="10">
        <f>IFERROR(IF(('Loading-truck'!$C$21)="No control",SUMIF(('Loading-truck'!$B$31:$B$48),$J1492,('Loading-truck'!$D$31:$D$48))*Impacts!$F$14,IF(('Loading-truck'!$C$21)&lt;&gt;"No control",SUMIF(('Loading-truck'!$B$31:$B$48),$J1492,('Loading-truck'!$E$31:$E$48))*Impacts!$F$14,0)),0)</f>
        <v>0</v>
      </c>
      <c r="S1492" s="10">
        <f>IFERROR(IF(('Loading-rail'!$C$21)="No control",SUMIF(('Loading-rail'!$B$31:$B$48),$J1492,('Loading-rail'!$D$31:$D$48))*Impacts!$F$15,IF(('Loading-rail'!$C$21)&lt;&gt;"No control",SUMIF(('Loading-rail'!$B$31:$B$48),$J1492,('Loading-rail'!$E$31:$E$48))*Impacts!$F$15,0)),0)</f>
        <v>0</v>
      </c>
      <c r="T1492" s="10">
        <f>IF(Flare!$C$7="",0,(SUMIF(Flare!$B$46:$B$185,$J1492,Flare!$E$46:$E$185)*Impacts!$F$16))</f>
        <v>0</v>
      </c>
      <c r="U1492" s="10">
        <f>IF(VCU!$C$9="",0,(SUMIF(VCU!$B$51:$B$193,$J1492,VCU!$E$51:$E$193)*Impacts!$F$17))</f>
        <v>0</v>
      </c>
      <c r="V1492" s="10">
        <f>IF(CAS!$C$7="",0,(SUMIF(CAS!$B$31:$B$167,$J1492,CAS!$E$31:$E$167)*Impacts!$F$18))</f>
        <v>0</v>
      </c>
      <c r="W1492" s="10">
        <f t="shared" si="63"/>
        <v>0</v>
      </c>
      <c r="AK1492" s="10" t="str">
        <f t="array" ref="AK1492">IFERROR(INDEX(SelectedSpecies,SMALL(IF(SelectedSpecies=AK$1,ROW(SelectedSpecies)),ROW(1493:1493)),2),"")</f>
        <v/>
      </c>
      <c r="BE1492" s="10"/>
      <c r="BI1492" s="10"/>
    </row>
    <row r="1493" spans="1:61" ht="21" customHeight="1" x14ac:dyDescent="0.25">
      <c r="A1493" s="10"/>
      <c r="B1493" s="10"/>
      <c r="E1493" s="10"/>
      <c r="G1493" s="10"/>
      <c r="I1493" s="436" t="s">
        <v>1018</v>
      </c>
      <c r="J1493" s="26" t="s">
        <v>1017</v>
      </c>
      <c r="K1493" s="10">
        <v>35</v>
      </c>
      <c r="L1493" s="73">
        <f>IF(Tank1!$C$23="No control",(SUMIF(Tank1!$B$32:$B$49,$J1493,Tank1!$C$32:$C$49)*Impacts!$F$8),0)</f>
        <v>0</v>
      </c>
      <c r="M1493" s="10">
        <f>IF(Tank2!$C$23="No control",(SUMIF(Tank2!$B$32:$B$49,$J1493,Tank2!$C$32:$C$49)*Impacts!$F$9),0)</f>
        <v>0</v>
      </c>
      <c r="N1493" s="10">
        <f>IF(Tank3!$C$23="No control",(SUMIF(Tank3!$B$32:$B$49,$J1493,Tank3!$C$32:$C$49)*Impacts!$F$10),0)</f>
        <v>0</v>
      </c>
      <c r="O1493" s="10">
        <f>IF(Tank4!$C$23="No control",(SUMIF(Tank4!$B$32:$B$49,$J1493,Tank4!$C$32:$C$49)*Impacts!$F$11),0)</f>
        <v>0</v>
      </c>
      <c r="P1493" s="10">
        <f>IF(Tank5!$C$23="No control",(SUMIF(Tank5!$B$32:$B$49,$J1493,Tank5!$C$32:$C$49)*Impacts!$F$12),0)</f>
        <v>0</v>
      </c>
      <c r="Q1493" s="10">
        <f>IFERROR(IF(('Loading-drum,tote'!$C$21)="No control",SUMIF(('Loading-drum,tote'!$B$31:$B$48),$J1493,('Loading-drum,tote'!$D$31:$D$48))*Impacts!$F$13,IF(('Loading-drum,tote'!$C$21)&lt;&gt;"No control",SUMIF(('Loading-drum,tote'!$B$31:$B$48),$J1493,('Loading-drum,tote'!$E$31:$E$48))*Impacts!$F$13,0)),0)</f>
        <v>0</v>
      </c>
      <c r="R1493" s="10">
        <f>IFERROR(IF(('Loading-truck'!$C$21)="No control",SUMIF(('Loading-truck'!$B$31:$B$48),$J1493,('Loading-truck'!$D$31:$D$48))*Impacts!$F$14,IF(('Loading-truck'!$C$21)&lt;&gt;"No control",SUMIF(('Loading-truck'!$B$31:$B$48),$J1493,('Loading-truck'!$E$31:$E$48))*Impacts!$F$14,0)),0)</f>
        <v>0</v>
      </c>
      <c r="S1493" s="10">
        <f>IFERROR(IF(('Loading-rail'!$C$21)="No control",SUMIF(('Loading-rail'!$B$31:$B$48),$J1493,('Loading-rail'!$D$31:$D$48))*Impacts!$F$15,IF(('Loading-rail'!$C$21)&lt;&gt;"No control",SUMIF(('Loading-rail'!$B$31:$B$48),$J1493,('Loading-rail'!$E$31:$E$48))*Impacts!$F$15,0)),0)</f>
        <v>0</v>
      </c>
      <c r="T1493" s="10">
        <f>IF(Flare!$C$7="",0,(SUMIF(Flare!$B$46:$B$185,$J1493,Flare!$E$46:$E$185)*Impacts!$F$16))</f>
        <v>0</v>
      </c>
      <c r="U1493" s="10">
        <f>IF(VCU!$C$9="",0,(SUMIF(VCU!$B$51:$B$193,$J1493,VCU!$E$51:$E$193)*Impacts!$F$17))</f>
        <v>0</v>
      </c>
      <c r="V1493" s="10">
        <f>IF(CAS!$C$7="",0,(SUMIF(CAS!$B$31:$B$167,$J1493,CAS!$E$31:$E$167)*Impacts!$F$18))</f>
        <v>0</v>
      </c>
      <c r="W1493" s="10">
        <f t="shared" si="63"/>
        <v>0</v>
      </c>
      <c r="AK1493" s="10" t="str">
        <f t="array" ref="AK1493">IFERROR(INDEX(SelectedSpecies,SMALL(IF(SelectedSpecies=AK$1,ROW(SelectedSpecies)),ROW(1494:1494)),2),"")</f>
        <v/>
      </c>
      <c r="BE1493" s="10"/>
      <c r="BI1493" s="10"/>
    </row>
    <row r="1494" spans="1:61" ht="21" customHeight="1" x14ac:dyDescent="0.25">
      <c r="A1494" s="10"/>
      <c r="B1494" s="10"/>
      <c r="E1494" s="10"/>
      <c r="G1494" s="10"/>
      <c r="I1494" s="436" t="s">
        <v>4277</v>
      </c>
      <c r="J1494" s="26" t="s">
        <v>4276</v>
      </c>
      <c r="K1494" s="10">
        <v>5</v>
      </c>
      <c r="L1494" s="73">
        <f>IF(Tank1!$C$23="No control",(SUMIF(Tank1!$B$32:$B$49,$J1494,Tank1!$C$32:$C$49)*Impacts!$F$8),0)</f>
        <v>0</v>
      </c>
      <c r="M1494" s="10">
        <f>IF(Tank2!$C$23="No control",(SUMIF(Tank2!$B$32:$B$49,$J1494,Tank2!$C$32:$C$49)*Impacts!$F$9),0)</f>
        <v>0</v>
      </c>
      <c r="N1494" s="10">
        <f>IF(Tank3!$C$23="No control",(SUMIF(Tank3!$B$32:$B$49,$J1494,Tank3!$C$32:$C$49)*Impacts!$F$10),0)</f>
        <v>0</v>
      </c>
      <c r="O1494" s="10">
        <f>IF(Tank4!$C$23="No control",(SUMIF(Tank4!$B$32:$B$49,$J1494,Tank4!$C$32:$C$49)*Impacts!$F$11),0)</f>
        <v>0</v>
      </c>
      <c r="P1494" s="10">
        <f>IF(Tank5!$C$23="No control",(SUMIF(Tank5!$B$32:$B$49,$J1494,Tank5!$C$32:$C$49)*Impacts!$F$12),0)</f>
        <v>0</v>
      </c>
      <c r="Q1494" s="10">
        <f>IFERROR(IF(('Loading-drum,tote'!$C$21)="No control",SUMIF(('Loading-drum,tote'!$B$31:$B$48),$J1494,('Loading-drum,tote'!$D$31:$D$48))*Impacts!$F$13,IF(('Loading-drum,tote'!$C$21)&lt;&gt;"No control",SUMIF(('Loading-drum,tote'!$B$31:$B$48),$J1494,('Loading-drum,tote'!$E$31:$E$48))*Impacts!$F$13,0)),0)</f>
        <v>0</v>
      </c>
      <c r="R1494" s="10">
        <f>IFERROR(IF(('Loading-truck'!$C$21)="No control",SUMIF(('Loading-truck'!$B$31:$B$48),$J1494,('Loading-truck'!$D$31:$D$48))*Impacts!$F$14,IF(('Loading-truck'!$C$21)&lt;&gt;"No control",SUMIF(('Loading-truck'!$B$31:$B$48),$J1494,('Loading-truck'!$E$31:$E$48))*Impacts!$F$14,0)),0)</f>
        <v>0</v>
      </c>
      <c r="S1494" s="10">
        <f>IFERROR(IF(('Loading-rail'!$C$21)="No control",SUMIF(('Loading-rail'!$B$31:$B$48),$J1494,('Loading-rail'!$D$31:$D$48))*Impacts!$F$15,IF(('Loading-rail'!$C$21)&lt;&gt;"No control",SUMIF(('Loading-rail'!$B$31:$B$48),$J1494,('Loading-rail'!$E$31:$E$48))*Impacts!$F$15,0)),0)</f>
        <v>0</v>
      </c>
      <c r="T1494" s="10">
        <f>IF(Flare!$C$7="",0,(SUMIF(Flare!$B$46:$B$185,$J1494,Flare!$E$46:$E$185)*Impacts!$F$16))</f>
        <v>0</v>
      </c>
      <c r="U1494" s="10">
        <f>IF(VCU!$C$9="",0,(SUMIF(VCU!$B$51:$B$193,$J1494,VCU!$E$51:$E$193)*Impacts!$F$17))</f>
        <v>0</v>
      </c>
      <c r="V1494" s="10">
        <f>IF(CAS!$C$7="",0,(SUMIF(CAS!$B$31:$B$167,$J1494,CAS!$E$31:$E$167)*Impacts!$F$18))</f>
        <v>0</v>
      </c>
      <c r="W1494" s="10">
        <f t="shared" si="63"/>
        <v>0</v>
      </c>
      <c r="AK1494" s="10" t="str">
        <f t="array" ref="AK1494">IFERROR(INDEX(SelectedSpecies,SMALL(IF(SelectedSpecies=AK$1,ROW(SelectedSpecies)),ROW(1495:1495)),2),"")</f>
        <v/>
      </c>
      <c r="BE1494" s="10"/>
      <c r="BI1494" s="10"/>
    </row>
    <row r="1495" spans="1:61" ht="21" customHeight="1" x14ac:dyDescent="0.25">
      <c r="A1495" s="10"/>
      <c r="B1495" s="10"/>
      <c r="E1495" s="10"/>
      <c r="G1495" s="10"/>
      <c r="I1495" s="436" t="s">
        <v>7086</v>
      </c>
      <c r="J1495" s="26" t="s">
        <v>7085</v>
      </c>
      <c r="K1495" s="10">
        <v>0.4</v>
      </c>
      <c r="L1495" s="73">
        <f>IF(Tank1!$C$23="No control",(SUMIF(Tank1!$B$32:$B$49,$J1495,Tank1!$C$32:$C$49)*Impacts!$F$8),0)</f>
        <v>0</v>
      </c>
      <c r="M1495" s="10">
        <f>IF(Tank2!$C$23="No control",(SUMIF(Tank2!$B$32:$B$49,$J1495,Tank2!$C$32:$C$49)*Impacts!$F$9),0)</f>
        <v>0</v>
      </c>
      <c r="N1495" s="10">
        <f>IF(Tank3!$C$23="No control",(SUMIF(Tank3!$B$32:$B$49,$J1495,Tank3!$C$32:$C$49)*Impacts!$F$10),0)</f>
        <v>0</v>
      </c>
      <c r="O1495" s="10">
        <f>IF(Tank4!$C$23="No control",(SUMIF(Tank4!$B$32:$B$49,$J1495,Tank4!$C$32:$C$49)*Impacts!$F$11),0)</f>
        <v>0</v>
      </c>
      <c r="P1495" s="10">
        <f>IF(Tank5!$C$23="No control",(SUMIF(Tank5!$B$32:$B$49,$J1495,Tank5!$C$32:$C$49)*Impacts!$F$12),0)</f>
        <v>0</v>
      </c>
      <c r="Q1495" s="10">
        <f>IFERROR(IF(('Loading-drum,tote'!$C$21)="No control",SUMIF(('Loading-drum,tote'!$B$31:$B$48),$J1495,('Loading-drum,tote'!$D$31:$D$48))*Impacts!$F$13,IF(('Loading-drum,tote'!$C$21)&lt;&gt;"No control",SUMIF(('Loading-drum,tote'!$B$31:$B$48),$J1495,('Loading-drum,tote'!$E$31:$E$48))*Impacts!$F$13,0)),0)</f>
        <v>0</v>
      </c>
      <c r="R1495" s="10">
        <f>IFERROR(IF(('Loading-truck'!$C$21)="No control",SUMIF(('Loading-truck'!$B$31:$B$48),$J1495,('Loading-truck'!$D$31:$D$48))*Impacts!$F$14,IF(('Loading-truck'!$C$21)&lt;&gt;"No control",SUMIF(('Loading-truck'!$B$31:$B$48),$J1495,('Loading-truck'!$E$31:$E$48))*Impacts!$F$14,0)),0)</f>
        <v>0</v>
      </c>
      <c r="S1495" s="10">
        <f>IFERROR(IF(('Loading-rail'!$C$21)="No control",SUMIF(('Loading-rail'!$B$31:$B$48),$J1495,('Loading-rail'!$D$31:$D$48))*Impacts!$F$15,IF(('Loading-rail'!$C$21)&lt;&gt;"No control",SUMIF(('Loading-rail'!$B$31:$B$48),$J1495,('Loading-rail'!$E$31:$E$48))*Impacts!$F$15,0)),0)</f>
        <v>0</v>
      </c>
      <c r="T1495" s="10">
        <f>IF(Flare!$C$7="",0,(SUMIF(Flare!$B$46:$B$185,$J1495,Flare!$E$46:$E$185)*Impacts!$F$16))</f>
        <v>0</v>
      </c>
      <c r="U1495" s="10">
        <f>IF(VCU!$C$9="",0,(SUMIF(VCU!$B$51:$B$193,$J1495,VCU!$E$51:$E$193)*Impacts!$F$17))</f>
        <v>0</v>
      </c>
      <c r="V1495" s="10">
        <f>IF(CAS!$C$7="",0,(SUMIF(CAS!$B$31:$B$167,$J1495,CAS!$E$31:$E$167)*Impacts!$F$18))</f>
        <v>0</v>
      </c>
      <c r="W1495" s="10">
        <f t="shared" si="63"/>
        <v>0</v>
      </c>
      <c r="AK1495" s="10" t="str">
        <f t="array" ref="AK1495">IFERROR(INDEX(SelectedSpecies,SMALL(IF(SelectedSpecies=AK$1,ROW(SelectedSpecies)),ROW(1496:1496)),2),"")</f>
        <v/>
      </c>
      <c r="BE1495" s="10"/>
      <c r="BI1495" s="10"/>
    </row>
    <row r="1496" spans="1:61" ht="21" customHeight="1" x14ac:dyDescent="0.25">
      <c r="A1496" s="10"/>
      <c r="B1496" s="10"/>
      <c r="E1496" s="10"/>
      <c r="G1496" s="10"/>
      <c r="I1496" s="436" t="s">
        <v>2831</v>
      </c>
      <c r="J1496" s="26" t="s">
        <v>2830</v>
      </c>
      <c r="K1496" s="10">
        <v>10</v>
      </c>
      <c r="L1496" s="73">
        <f>IF(Tank1!$C$23="No control",(SUMIF(Tank1!$B$32:$B$49,$J1496,Tank1!$C$32:$C$49)*Impacts!$F$8),0)</f>
        <v>0</v>
      </c>
      <c r="M1496" s="10">
        <f>IF(Tank2!$C$23="No control",(SUMIF(Tank2!$B$32:$B$49,$J1496,Tank2!$C$32:$C$49)*Impacts!$F$9),0)</f>
        <v>0</v>
      </c>
      <c r="N1496" s="10">
        <f>IF(Tank3!$C$23="No control",(SUMIF(Tank3!$B$32:$B$49,$J1496,Tank3!$C$32:$C$49)*Impacts!$F$10),0)</f>
        <v>0</v>
      </c>
      <c r="O1496" s="10">
        <f>IF(Tank4!$C$23="No control",(SUMIF(Tank4!$B$32:$B$49,$J1496,Tank4!$C$32:$C$49)*Impacts!$F$11),0)</f>
        <v>0</v>
      </c>
      <c r="P1496" s="10">
        <f>IF(Tank5!$C$23="No control",(SUMIF(Tank5!$B$32:$B$49,$J1496,Tank5!$C$32:$C$49)*Impacts!$F$12),0)</f>
        <v>0</v>
      </c>
      <c r="Q1496" s="10">
        <f>IFERROR(IF(('Loading-drum,tote'!$C$21)="No control",SUMIF(('Loading-drum,tote'!$B$31:$B$48),$J1496,('Loading-drum,tote'!$D$31:$D$48))*Impacts!$F$13,IF(('Loading-drum,tote'!$C$21)&lt;&gt;"No control",SUMIF(('Loading-drum,tote'!$B$31:$B$48),$J1496,('Loading-drum,tote'!$E$31:$E$48))*Impacts!$F$13,0)),0)</f>
        <v>0</v>
      </c>
      <c r="R1496" s="10">
        <f>IFERROR(IF(('Loading-truck'!$C$21)="No control",SUMIF(('Loading-truck'!$B$31:$B$48),$J1496,('Loading-truck'!$D$31:$D$48))*Impacts!$F$14,IF(('Loading-truck'!$C$21)&lt;&gt;"No control",SUMIF(('Loading-truck'!$B$31:$B$48),$J1496,('Loading-truck'!$E$31:$E$48))*Impacts!$F$14,0)),0)</f>
        <v>0</v>
      </c>
      <c r="S1496" s="10">
        <f>IFERROR(IF(('Loading-rail'!$C$21)="No control",SUMIF(('Loading-rail'!$B$31:$B$48),$J1496,('Loading-rail'!$D$31:$D$48))*Impacts!$F$15,IF(('Loading-rail'!$C$21)&lt;&gt;"No control",SUMIF(('Loading-rail'!$B$31:$B$48),$J1496,('Loading-rail'!$E$31:$E$48))*Impacts!$F$15,0)),0)</f>
        <v>0</v>
      </c>
      <c r="T1496" s="10">
        <f>IF(Flare!$C$7="",0,(SUMIF(Flare!$B$46:$B$185,$J1496,Flare!$E$46:$E$185)*Impacts!$F$16))</f>
        <v>0</v>
      </c>
      <c r="U1496" s="10">
        <f>IF(VCU!$C$9="",0,(SUMIF(VCU!$B$51:$B$193,$J1496,VCU!$E$51:$E$193)*Impacts!$F$17))</f>
        <v>0</v>
      </c>
      <c r="V1496" s="10">
        <f>IF(CAS!$C$7="",0,(SUMIF(CAS!$B$31:$B$167,$J1496,CAS!$E$31:$E$167)*Impacts!$F$18))</f>
        <v>0</v>
      </c>
      <c r="W1496" s="10">
        <f t="shared" si="63"/>
        <v>0</v>
      </c>
      <c r="AK1496" s="10" t="str">
        <f t="array" ref="AK1496">IFERROR(INDEX(SelectedSpecies,SMALL(IF(SelectedSpecies=AK$1,ROW(SelectedSpecies)),ROW(1497:1497)),2),"")</f>
        <v/>
      </c>
      <c r="BE1496" s="10"/>
      <c r="BI1496" s="10"/>
    </row>
    <row r="1497" spans="1:61" ht="21" customHeight="1" x14ac:dyDescent="0.25">
      <c r="A1497" s="10"/>
      <c r="B1497" s="10"/>
      <c r="E1497" s="10"/>
      <c r="G1497" s="10"/>
      <c r="I1497" s="436" t="s">
        <v>1328</v>
      </c>
      <c r="J1497" s="26" t="s">
        <v>1327</v>
      </c>
      <c r="K1497" s="10">
        <v>33</v>
      </c>
      <c r="L1497" s="73">
        <f>IF(Tank1!$C$23="No control",(SUMIF(Tank1!$B$32:$B$49,$J1497,Tank1!$C$32:$C$49)*Impacts!$F$8),0)</f>
        <v>0</v>
      </c>
      <c r="M1497" s="10">
        <f>IF(Tank2!$C$23="No control",(SUMIF(Tank2!$B$32:$B$49,$J1497,Tank2!$C$32:$C$49)*Impacts!$F$9),0)</f>
        <v>0</v>
      </c>
      <c r="N1497" s="10">
        <f>IF(Tank3!$C$23="No control",(SUMIF(Tank3!$B$32:$B$49,$J1497,Tank3!$C$32:$C$49)*Impacts!$F$10),0)</f>
        <v>0</v>
      </c>
      <c r="O1497" s="10">
        <f>IF(Tank4!$C$23="No control",(SUMIF(Tank4!$B$32:$B$49,$J1497,Tank4!$C$32:$C$49)*Impacts!$F$11),0)</f>
        <v>0</v>
      </c>
      <c r="P1497" s="10">
        <f>IF(Tank5!$C$23="No control",(SUMIF(Tank5!$B$32:$B$49,$J1497,Tank5!$C$32:$C$49)*Impacts!$F$12),0)</f>
        <v>0</v>
      </c>
      <c r="Q1497" s="10">
        <f>IFERROR(IF(('Loading-drum,tote'!$C$21)="No control",SUMIF(('Loading-drum,tote'!$B$31:$B$48),$J1497,('Loading-drum,tote'!$D$31:$D$48))*Impacts!$F$13,IF(('Loading-drum,tote'!$C$21)&lt;&gt;"No control",SUMIF(('Loading-drum,tote'!$B$31:$B$48),$J1497,('Loading-drum,tote'!$E$31:$E$48))*Impacts!$F$13,0)),0)</f>
        <v>0</v>
      </c>
      <c r="R1497" s="10">
        <f>IFERROR(IF(('Loading-truck'!$C$21)="No control",SUMIF(('Loading-truck'!$B$31:$B$48),$J1497,('Loading-truck'!$D$31:$D$48))*Impacts!$F$14,IF(('Loading-truck'!$C$21)&lt;&gt;"No control",SUMIF(('Loading-truck'!$B$31:$B$48),$J1497,('Loading-truck'!$E$31:$E$48))*Impacts!$F$14,0)),0)</f>
        <v>0</v>
      </c>
      <c r="S1497" s="10">
        <f>IFERROR(IF(('Loading-rail'!$C$21)="No control",SUMIF(('Loading-rail'!$B$31:$B$48),$J1497,('Loading-rail'!$D$31:$D$48))*Impacts!$F$15,IF(('Loading-rail'!$C$21)&lt;&gt;"No control",SUMIF(('Loading-rail'!$B$31:$B$48),$J1497,('Loading-rail'!$E$31:$E$48))*Impacts!$F$15,0)),0)</f>
        <v>0</v>
      </c>
      <c r="T1497" s="10">
        <f>IF(Flare!$C$7="",0,(SUMIF(Flare!$B$46:$B$185,$J1497,Flare!$E$46:$E$185)*Impacts!$F$16))</f>
        <v>0</v>
      </c>
      <c r="U1497" s="10">
        <f>IF(VCU!$C$9="",0,(SUMIF(VCU!$B$51:$B$193,$J1497,VCU!$E$51:$E$193)*Impacts!$F$17))</f>
        <v>0</v>
      </c>
      <c r="V1497" s="10">
        <f>IF(CAS!$C$7="",0,(SUMIF(CAS!$B$31:$B$167,$J1497,CAS!$E$31:$E$167)*Impacts!$F$18))</f>
        <v>0</v>
      </c>
      <c r="W1497" s="10">
        <f t="shared" si="63"/>
        <v>0</v>
      </c>
      <c r="AK1497" s="10" t="str">
        <f t="array" ref="AK1497">IFERROR(INDEX(SelectedSpecies,SMALL(IF(SelectedSpecies=AK$1,ROW(SelectedSpecies)),ROW(1498:1498)),2),"")</f>
        <v/>
      </c>
      <c r="BE1497" s="10"/>
      <c r="BI1497" s="10"/>
    </row>
    <row r="1498" spans="1:61" ht="21" customHeight="1" x14ac:dyDescent="0.25">
      <c r="A1498" s="10"/>
      <c r="B1498" s="10"/>
      <c r="E1498" s="10"/>
      <c r="G1498" s="10"/>
      <c r="I1498" s="436" t="s">
        <v>1020</v>
      </c>
      <c r="J1498" s="26" t="s">
        <v>1019</v>
      </c>
      <c r="K1498" s="10">
        <v>35</v>
      </c>
      <c r="L1498" s="73">
        <f>IF(Tank1!$C$23="No control",(SUMIF(Tank1!$B$32:$B$49,$J1498,Tank1!$C$32:$C$49)*Impacts!$F$8),0)</f>
        <v>0</v>
      </c>
      <c r="M1498" s="10">
        <f>IF(Tank2!$C$23="No control",(SUMIF(Tank2!$B$32:$B$49,$J1498,Tank2!$C$32:$C$49)*Impacts!$F$9),0)</f>
        <v>0</v>
      </c>
      <c r="N1498" s="10">
        <f>IF(Tank3!$C$23="No control",(SUMIF(Tank3!$B$32:$B$49,$J1498,Tank3!$C$32:$C$49)*Impacts!$F$10),0)</f>
        <v>0</v>
      </c>
      <c r="O1498" s="10">
        <f>IF(Tank4!$C$23="No control",(SUMIF(Tank4!$B$32:$B$49,$J1498,Tank4!$C$32:$C$49)*Impacts!$F$11),0)</f>
        <v>0</v>
      </c>
      <c r="P1498" s="10">
        <f>IF(Tank5!$C$23="No control",(SUMIF(Tank5!$B$32:$B$49,$J1498,Tank5!$C$32:$C$49)*Impacts!$F$12),0)</f>
        <v>0</v>
      </c>
      <c r="Q1498" s="10">
        <f>IFERROR(IF(('Loading-drum,tote'!$C$21)="No control",SUMIF(('Loading-drum,tote'!$B$31:$B$48),$J1498,('Loading-drum,tote'!$D$31:$D$48))*Impacts!$F$13,IF(('Loading-drum,tote'!$C$21)&lt;&gt;"No control",SUMIF(('Loading-drum,tote'!$B$31:$B$48),$J1498,('Loading-drum,tote'!$E$31:$E$48))*Impacts!$F$13,0)),0)</f>
        <v>0</v>
      </c>
      <c r="R1498" s="10">
        <f>IFERROR(IF(('Loading-truck'!$C$21)="No control",SUMIF(('Loading-truck'!$B$31:$B$48),$J1498,('Loading-truck'!$D$31:$D$48))*Impacts!$F$14,IF(('Loading-truck'!$C$21)&lt;&gt;"No control",SUMIF(('Loading-truck'!$B$31:$B$48),$J1498,('Loading-truck'!$E$31:$E$48))*Impacts!$F$14,0)),0)</f>
        <v>0</v>
      </c>
      <c r="S1498" s="10">
        <f>IFERROR(IF(('Loading-rail'!$C$21)="No control",SUMIF(('Loading-rail'!$B$31:$B$48),$J1498,('Loading-rail'!$D$31:$D$48))*Impacts!$F$15,IF(('Loading-rail'!$C$21)&lt;&gt;"No control",SUMIF(('Loading-rail'!$B$31:$B$48),$J1498,('Loading-rail'!$E$31:$E$48))*Impacts!$F$15,0)),0)</f>
        <v>0</v>
      </c>
      <c r="T1498" s="10">
        <f>IF(Flare!$C$7="",0,(SUMIF(Flare!$B$46:$B$185,$J1498,Flare!$E$46:$E$185)*Impacts!$F$16))</f>
        <v>0</v>
      </c>
      <c r="U1498" s="10">
        <f>IF(VCU!$C$9="",0,(SUMIF(VCU!$B$51:$B$193,$J1498,VCU!$E$51:$E$193)*Impacts!$F$17))</f>
        <v>0</v>
      </c>
      <c r="V1498" s="10">
        <f>IF(CAS!$C$7="",0,(SUMIF(CAS!$B$31:$B$167,$J1498,CAS!$E$31:$E$167)*Impacts!$F$18))</f>
        <v>0</v>
      </c>
      <c r="W1498" s="10">
        <f t="shared" ref="W1498:W1561" si="64">SUM(L1498:V1498)</f>
        <v>0</v>
      </c>
      <c r="AK1498" s="10" t="str">
        <f t="array" ref="AK1498">IFERROR(INDEX(SelectedSpecies,SMALL(IF(SelectedSpecies=AK$1,ROW(SelectedSpecies)),ROW(1499:1499)),2),"")</f>
        <v/>
      </c>
      <c r="BE1498" s="10"/>
      <c r="BI1498" s="10"/>
    </row>
    <row r="1499" spans="1:61" ht="21" customHeight="1" x14ac:dyDescent="0.25">
      <c r="A1499" s="10"/>
      <c r="B1499" s="10"/>
      <c r="E1499" s="10"/>
      <c r="G1499" s="10"/>
      <c r="I1499" s="436" t="s">
        <v>1022</v>
      </c>
      <c r="J1499" s="26" t="s">
        <v>1021</v>
      </c>
      <c r="K1499" s="10">
        <v>35</v>
      </c>
      <c r="L1499" s="73">
        <f>IF(Tank1!$C$23="No control",(SUMIF(Tank1!$B$32:$B$49,$J1499,Tank1!$C$32:$C$49)*Impacts!$F$8),0)</f>
        <v>0</v>
      </c>
      <c r="M1499" s="10">
        <f>IF(Tank2!$C$23="No control",(SUMIF(Tank2!$B$32:$B$49,$J1499,Tank2!$C$32:$C$49)*Impacts!$F$9),0)</f>
        <v>0</v>
      </c>
      <c r="N1499" s="10">
        <f>IF(Tank3!$C$23="No control",(SUMIF(Tank3!$B$32:$B$49,$J1499,Tank3!$C$32:$C$49)*Impacts!$F$10),0)</f>
        <v>0</v>
      </c>
      <c r="O1499" s="10">
        <f>IF(Tank4!$C$23="No control",(SUMIF(Tank4!$B$32:$B$49,$J1499,Tank4!$C$32:$C$49)*Impacts!$F$11),0)</f>
        <v>0</v>
      </c>
      <c r="P1499" s="10">
        <f>IF(Tank5!$C$23="No control",(SUMIF(Tank5!$B$32:$B$49,$J1499,Tank5!$C$32:$C$49)*Impacts!$F$12),0)</f>
        <v>0</v>
      </c>
      <c r="Q1499" s="10">
        <f>IFERROR(IF(('Loading-drum,tote'!$C$21)="No control",SUMIF(('Loading-drum,tote'!$B$31:$B$48),$J1499,('Loading-drum,tote'!$D$31:$D$48))*Impacts!$F$13,IF(('Loading-drum,tote'!$C$21)&lt;&gt;"No control",SUMIF(('Loading-drum,tote'!$B$31:$B$48),$J1499,('Loading-drum,tote'!$E$31:$E$48))*Impacts!$F$13,0)),0)</f>
        <v>0</v>
      </c>
      <c r="R1499" s="10">
        <f>IFERROR(IF(('Loading-truck'!$C$21)="No control",SUMIF(('Loading-truck'!$B$31:$B$48),$J1499,('Loading-truck'!$D$31:$D$48))*Impacts!$F$14,IF(('Loading-truck'!$C$21)&lt;&gt;"No control",SUMIF(('Loading-truck'!$B$31:$B$48),$J1499,('Loading-truck'!$E$31:$E$48))*Impacts!$F$14,0)),0)</f>
        <v>0</v>
      </c>
      <c r="S1499" s="10">
        <f>IFERROR(IF(('Loading-rail'!$C$21)="No control",SUMIF(('Loading-rail'!$B$31:$B$48),$J1499,('Loading-rail'!$D$31:$D$48))*Impacts!$F$15,IF(('Loading-rail'!$C$21)&lt;&gt;"No control",SUMIF(('Loading-rail'!$B$31:$B$48),$J1499,('Loading-rail'!$E$31:$E$48))*Impacts!$F$15,0)),0)</f>
        <v>0</v>
      </c>
      <c r="T1499" s="10">
        <f>IF(Flare!$C$7="",0,(SUMIF(Flare!$B$46:$B$185,$J1499,Flare!$E$46:$E$185)*Impacts!$F$16))</f>
        <v>0</v>
      </c>
      <c r="U1499" s="10">
        <f>IF(VCU!$C$9="",0,(SUMIF(VCU!$B$51:$B$193,$J1499,VCU!$E$51:$E$193)*Impacts!$F$17))</f>
        <v>0</v>
      </c>
      <c r="V1499" s="10">
        <f>IF(CAS!$C$7="",0,(SUMIF(CAS!$B$31:$B$167,$J1499,CAS!$E$31:$E$167)*Impacts!$F$18))</f>
        <v>0</v>
      </c>
      <c r="W1499" s="10">
        <f t="shared" si="64"/>
        <v>0</v>
      </c>
      <c r="AK1499" s="10" t="str">
        <f t="array" ref="AK1499">IFERROR(INDEX(SelectedSpecies,SMALL(IF(SelectedSpecies=AK$1,ROW(SelectedSpecies)),ROW(1500:1500)),2),"")</f>
        <v/>
      </c>
      <c r="BE1499" s="10"/>
      <c r="BI1499" s="10"/>
    </row>
    <row r="1500" spans="1:61" ht="21" customHeight="1" x14ac:dyDescent="0.25">
      <c r="A1500" s="10"/>
      <c r="B1500" s="10"/>
      <c r="E1500" s="10"/>
      <c r="G1500" s="10"/>
      <c r="I1500" s="436" t="s">
        <v>5850</v>
      </c>
      <c r="J1500" s="26" t="s">
        <v>5849</v>
      </c>
      <c r="K1500" s="10">
        <v>1</v>
      </c>
      <c r="L1500" s="73">
        <f>IF(Tank1!$C$23="No control",(SUMIF(Tank1!$B$32:$B$49,$J1500,Tank1!$C$32:$C$49)*Impacts!$F$8),0)</f>
        <v>0</v>
      </c>
      <c r="M1500" s="10">
        <f>IF(Tank2!$C$23="No control",(SUMIF(Tank2!$B$32:$B$49,$J1500,Tank2!$C$32:$C$49)*Impacts!$F$9),0)</f>
        <v>0</v>
      </c>
      <c r="N1500" s="10">
        <f>IF(Tank3!$C$23="No control",(SUMIF(Tank3!$B$32:$B$49,$J1500,Tank3!$C$32:$C$49)*Impacts!$F$10),0)</f>
        <v>0</v>
      </c>
      <c r="O1500" s="10">
        <f>IF(Tank4!$C$23="No control",(SUMIF(Tank4!$B$32:$B$49,$J1500,Tank4!$C$32:$C$49)*Impacts!$F$11),0)</f>
        <v>0</v>
      </c>
      <c r="P1500" s="10">
        <f>IF(Tank5!$C$23="No control",(SUMIF(Tank5!$B$32:$B$49,$J1500,Tank5!$C$32:$C$49)*Impacts!$F$12),0)</f>
        <v>0</v>
      </c>
      <c r="Q1500" s="10">
        <f>IFERROR(IF(('Loading-drum,tote'!$C$21)="No control",SUMIF(('Loading-drum,tote'!$B$31:$B$48),$J1500,('Loading-drum,tote'!$D$31:$D$48))*Impacts!$F$13,IF(('Loading-drum,tote'!$C$21)&lt;&gt;"No control",SUMIF(('Loading-drum,tote'!$B$31:$B$48),$J1500,('Loading-drum,tote'!$E$31:$E$48))*Impacts!$F$13,0)),0)</f>
        <v>0</v>
      </c>
      <c r="R1500" s="10">
        <f>IFERROR(IF(('Loading-truck'!$C$21)="No control",SUMIF(('Loading-truck'!$B$31:$B$48),$J1500,('Loading-truck'!$D$31:$D$48))*Impacts!$F$14,IF(('Loading-truck'!$C$21)&lt;&gt;"No control",SUMIF(('Loading-truck'!$B$31:$B$48),$J1500,('Loading-truck'!$E$31:$E$48))*Impacts!$F$14,0)),0)</f>
        <v>0</v>
      </c>
      <c r="S1500" s="10">
        <f>IFERROR(IF(('Loading-rail'!$C$21)="No control",SUMIF(('Loading-rail'!$B$31:$B$48),$J1500,('Loading-rail'!$D$31:$D$48))*Impacts!$F$15,IF(('Loading-rail'!$C$21)&lt;&gt;"No control",SUMIF(('Loading-rail'!$B$31:$B$48),$J1500,('Loading-rail'!$E$31:$E$48))*Impacts!$F$15,0)),0)</f>
        <v>0</v>
      </c>
      <c r="T1500" s="10">
        <f>IF(Flare!$C$7="",0,(SUMIF(Flare!$B$46:$B$185,$J1500,Flare!$E$46:$E$185)*Impacts!$F$16))</f>
        <v>0</v>
      </c>
      <c r="U1500" s="10">
        <f>IF(VCU!$C$9="",0,(SUMIF(VCU!$B$51:$B$193,$J1500,VCU!$E$51:$E$193)*Impacts!$F$17))</f>
        <v>0</v>
      </c>
      <c r="V1500" s="10">
        <f>IF(CAS!$C$7="",0,(SUMIF(CAS!$B$31:$B$167,$J1500,CAS!$E$31:$E$167)*Impacts!$F$18))</f>
        <v>0</v>
      </c>
      <c r="W1500" s="10">
        <f t="shared" si="64"/>
        <v>0</v>
      </c>
      <c r="AK1500" s="10" t="str">
        <f t="array" ref="AK1500">IFERROR(INDEX(SelectedSpecies,SMALL(IF(SelectedSpecies=AK$1,ROW(SelectedSpecies)),ROW(1501:1501)),2),"")</f>
        <v/>
      </c>
      <c r="BE1500" s="10"/>
      <c r="BI1500" s="10"/>
    </row>
    <row r="1501" spans="1:61" ht="21" customHeight="1" x14ac:dyDescent="0.25">
      <c r="A1501" s="10"/>
      <c r="B1501" s="10"/>
      <c r="E1501" s="10"/>
      <c r="G1501" s="10"/>
      <c r="I1501" s="436" t="s">
        <v>2833</v>
      </c>
      <c r="J1501" s="26" t="s">
        <v>2832</v>
      </c>
      <c r="K1501" s="10">
        <v>10</v>
      </c>
      <c r="L1501" s="73">
        <f>IF(Tank1!$C$23="No control",(SUMIF(Tank1!$B$32:$B$49,$J1501,Tank1!$C$32:$C$49)*Impacts!$F$8),0)</f>
        <v>0</v>
      </c>
      <c r="M1501" s="10">
        <f>IF(Tank2!$C$23="No control",(SUMIF(Tank2!$B$32:$B$49,$J1501,Tank2!$C$32:$C$49)*Impacts!$F$9),0)</f>
        <v>0</v>
      </c>
      <c r="N1501" s="10">
        <f>IF(Tank3!$C$23="No control",(SUMIF(Tank3!$B$32:$B$49,$J1501,Tank3!$C$32:$C$49)*Impacts!$F$10),0)</f>
        <v>0</v>
      </c>
      <c r="O1501" s="10">
        <f>IF(Tank4!$C$23="No control",(SUMIF(Tank4!$B$32:$B$49,$J1501,Tank4!$C$32:$C$49)*Impacts!$F$11),0)</f>
        <v>0</v>
      </c>
      <c r="P1501" s="10">
        <f>IF(Tank5!$C$23="No control",(SUMIF(Tank5!$B$32:$B$49,$J1501,Tank5!$C$32:$C$49)*Impacts!$F$12),0)</f>
        <v>0</v>
      </c>
      <c r="Q1501" s="10">
        <f>IFERROR(IF(('Loading-drum,tote'!$C$21)="No control",SUMIF(('Loading-drum,tote'!$B$31:$B$48),$J1501,('Loading-drum,tote'!$D$31:$D$48))*Impacts!$F$13,IF(('Loading-drum,tote'!$C$21)&lt;&gt;"No control",SUMIF(('Loading-drum,tote'!$B$31:$B$48),$J1501,('Loading-drum,tote'!$E$31:$E$48))*Impacts!$F$13,0)),0)</f>
        <v>0</v>
      </c>
      <c r="R1501" s="10">
        <f>IFERROR(IF(('Loading-truck'!$C$21)="No control",SUMIF(('Loading-truck'!$B$31:$B$48),$J1501,('Loading-truck'!$D$31:$D$48))*Impacts!$F$14,IF(('Loading-truck'!$C$21)&lt;&gt;"No control",SUMIF(('Loading-truck'!$B$31:$B$48),$J1501,('Loading-truck'!$E$31:$E$48))*Impacts!$F$14,0)),0)</f>
        <v>0</v>
      </c>
      <c r="S1501" s="10">
        <f>IFERROR(IF(('Loading-rail'!$C$21)="No control",SUMIF(('Loading-rail'!$B$31:$B$48),$J1501,('Loading-rail'!$D$31:$D$48))*Impacts!$F$15,IF(('Loading-rail'!$C$21)&lt;&gt;"No control",SUMIF(('Loading-rail'!$B$31:$B$48),$J1501,('Loading-rail'!$E$31:$E$48))*Impacts!$F$15,0)),0)</f>
        <v>0</v>
      </c>
      <c r="T1501" s="10">
        <f>IF(Flare!$C$7="",0,(SUMIF(Flare!$B$46:$B$185,$J1501,Flare!$E$46:$E$185)*Impacts!$F$16))</f>
        <v>0</v>
      </c>
      <c r="U1501" s="10">
        <f>IF(VCU!$C$9="",0,(SUMIF(VCU!$B$51:$B$193,$J1501,VCU!$E$51:$E$193)*Impacts!$F$17))</f>
        <v>0</v>
      </c>
      <c r="V1501" s="10">
        <f>IF(CAS!$C$7="",0,(SUMIF(CAS!$B$31:$B$167,$J1501,CAS!$E$31:$E$167)*Impacts!$F$18))</f>
        <v>0</v>
      </c>
      <c r="W1501" s="10">
        <f t="shared" si="64"/>
        <v>0</v>
      </c>
      <c r="AK1501" s="10" t="str">
        <f t="array" ref="AK1501">IFERROR(INDEX(SelectedSpecies,SMALL(IF(SelectedSpecies=AK$1,ROW(SelectedSpecies)),ROW(1502:1502)),2),"")</f>
        <v/>
      </c>
      <c r="BE1501" s="10"/>
      <c r="BI1501" s="10"/>
    </row>
    <row r="1502" spans="1:61" ht="21" customHeight="1" x14ac:dyDescent="0.25">
      <c r="A1502" s="10"/>
      <c r="B1502" s="10"/>
      <c r="E1502" s="10"/>
      <c r="G1502" s="10"/>
      <c r="I1502" s="436" t="s">
        <v>5852</v>
      </c>
      <c r="J1502" s="26" t="s">
        <v>5851</v>
      </c>
      <c r="K1502" s="10">
        <v>1</v>
      </c>
      <c r="L1502" s="73">
        <f>IF(Tank1!$C$23="No control",(SUMIF(Tank1!$B$32:$B$49,$J1502,Tank1!$C$32:$C$49)*Impacts!$F$8),0)</f>
        <v>0</v>
      </c>
      <c r="M1502" s="10">
        <f>IF(Tank2!$C$23="No control",(SUMIF(Tank2!$B$32:$B$49,$J1502,Tank2!$C$32:$C$49)*Impacts!$F$9),0)</f>
        <v>0</v>
      </c>
      <c r="N1502" s="10">
        <f>IF(Tank3!$C$23="No control",(SUMIF(Tank3!$B$32:$B$49,$J1502,Tank3!$C$32:$C$49)*Impacts!$F$10),0)</f>
        <v>0</v>
      </c>
      <c r="O1502" s="10">
        <f>IF(Tank4!$C$23="No control",(SUMIF(Tank4!$B$32:$B$49,$J1502,Tank4!$C$32:$C$49)*Impacts!$F$11),0)</f>
        <v>0</v>
      </c>
      <c r="P1502" s="10">
        <f>IF(Tank5!$C$23="No control",(SUMIF(Tank5!$B$32:$B$49,$J1502,Tank5!$C$32:$C$49)*Impacts!$F$12),0)</f>
        <v>0</v>
      </c>
      <c r="Q1502" s="10">
        <f>IFERROR(IF(('Loading-drum,tote'!$C$21)="No control",SUMIF(('Loading-drum,tote'!$B$31:$B$48),$J1502,('Loading-drum,tote'!$D$31:$D$48))*Impacts!$F$13,IF(('Loading-drum,tote'!$C$21)&lt;&gt;"No control",SUMIF(('Loading-drum,tote'!$B$31:$B$48),$J1502,('Loading-drum,tote'!$E$31:$E$48))*Impacts!$F$13,0)),0)</f>
        <v>0</v>
      </c>
      <c r="R1502" s="10">
        <f>IFERROR(IF(('Loading-truck'!$C$21)="No control",SUMIF(('Loading-truck'!$B$31:$B$48),$J1502,('Loading-truck'!$D$31:$D$48))*Impacts!$F$14,IF(('Loading-truck'!$C$21)&lt;&gt;"No control",SUMIF(('Loading-truck'!$B$31:$B$48),$J1502,('Loading-truck'!$E$31:$E$48))*Impacts!$F$14,0)),0)</f>
        <v>0</v>
      </c>
      <c r="S1502" s="10">
        <f>IFERROR(IF(('Loading-rail'!$C$21)="No control",SUMIF(('Loading-rail'!$B$31:$B$48),$J1502,('Loading-rail'!$D$31:$D$48))*Impacts!$F$15,IF(('Loading-rail'!$C$21)&lt;&gt;"No control",SUMIF(('Loading-rail'!$B$31:$B$48),$J1502,('Loading-rail'!$E$31:$E$48))*Impacts!$F$15,0)),0)</f>
        <v>0</v>
      </c>
      <c r="T1502" s="10">
        <f>IF(Flare!$C$7="",0,(SUMIF(Flare!$B$46:$B$185,$J1502,Flare!$E$46:$E$185)*Impacts!$F$16))</f>
        <v>0</v>
      </c>
      <c r="U1502" s="10">
        <f>IF(VCU!$C$9="",0,(SUMIF(VCU!$B$51:$B$193,$J1502,VCU!$E$51:$E$193)*Impacts!$F$17))</f>
        <v>0</v>
      </c>
      <c r="V1502" s="10">
        <f>IF(CAS!$C$7="",0,(SUMIF(CAS!$B$31:$B$167,$J1502,CAS!$E$31:$E$167)*Impacts!$F$18))</f>
        <v>0</v>
      </c>
      <c r="W1502" s="10">
        <f t="shared" si="64"/>
        <v>0</v>
      </c>
      <c r="AK1502" s="10" t="str">
        <f t="array" ref="AK1502">IFERROR(INDEX(SelectedSpecies,SMALL(IF(SelectedSpecies=AK$1,ROW(SelectedSpecies)),ROW(1503:1503)),2),"")</f>
        <v/>
      </c>
      <c r="BE1502" s="10"/>
      <c r="BI1502" s="10"/>
    </row>
    <row r="1503" spans="1:61" ht="21" customHeight="1" x14ac:dyDescent="0.25">
      <c r="A1503" s="10"/>
      <c r="B1503" s="10"/>
      <c r="E1503" s="10"/>
      <c r="G1503" s="10"/>
      <c r="I1503" s="436" t="s">
        <v>5854</v>
      </c>
      <c r="J1503" s="26" t="s">
        <v>5853</v>
      </c>
      <c r="K1503" s="10">
        <v>1</v>
      </c>
      <c r="L1503" s="73">
        <f>IF(Tank1!$C$23="No control",(SUMIF(Tank1!$B$32:$B$49,$J1503,Tank1!$C$32:$C$49)*Impacts!$F$8),0)</f>
        <v>0</v>
      </c>
      <c r="M1503" s="10">
        <f>IF(Tank2!$C$23="No control",(SUMIF(Tank2!$B$32:$B$49,$J1503,Tank2!$C$32:$C$49)*Impacts!$F$9),0)</f>
        <v>0</v>
      </c>
      <c r="N1503" s="10">
        <f>IF(Tank3!$C$23="No control",(SUMIF(Tank3!$B$32:$B$49,$J1503,Tank3!$C$32:$C$49)*Impacts!$F$10),0)</f>
        <v>0</v>
      </c>
      <c r="O1503" s="10">
        <f>IF(Tank4!$C$23="No control",(SUMIF(Tank4!$B$32:$B$49,$J1503,Tank4!$C$32:$C$49)*Impacts!$F$11),0)</f>
        <v>0</v>
      </c>
      <c r="P1503" s="10">
        <f>IF(Tank5!$C$23="No control",(SUMIF(Tank5!$B$32:$B$49,$J1503,Tank5!$C$32:$C$49)*Impacts!$F$12),0)</f>
        <v>0</v>
      </c>
      <c r="Q1503" s="10">
        <f>IFERROR(IF(('Loading-drum,tote'!$C$21)="No control",SUMIF(('Loading-drum,tote'!$B$31:$B$48),$J1503,('Loading-drum,tote'!$D$31:$D$48))*Impacts!$F$13,IF(('Loading-drum,tote'!$C$21)&lt;&gt;"No control",SUMIF(('Loading-drum,tote'!$B$31:$B$48),$J1503,('Loading-drum,tote'!$E$31:$E$48))*Impacts!$F$13,0)),0)</f>
        <v>0</v>
      </c>
      <c r="R1503" s="10">
        <f>IFERROR(IF(('Loading-truck'!$C$21)="No control",SUMIF(('Loading-truck'!$B$31:$B$48),$J1503,('Loading-truck'!$D$31:$D$48))*Impacts!$F$14,IF(('Loading-truck'!$C$21)&lt;&gt;"No control",SUMIF(('Loading-truck'!$B$31:$B$48),$J1503,('Loading-truck'!$E$31:$E$48))*Impacts!$F$14,0)),0)</f>
        <v>0</v>
      </c>
      <c r="S1503" s="10">
        <f>IFERROR(IF(('Loading-rail'!$C$21)="No control",SUMIF(('Loading-rail'!$B$31:$B$48),$J1503,('Loading-rail'!$D$31:$D$48))*Impacts!$F$15,IF(('Loading-rail'!$C$21)&lt;&gt;"No control",SUMIF(('Loading-rail'!$B$31:$B$48),$J1503,('Loading-rail'!$E$31:$E$48))*Impacts!$F$15,0)),0)</f>
        <v>0</v>
      </c>
      <c r="T1503" s="10">
        <f>IF(Flare!$C$7="",0,(SUMIF(Flare!$B$46:$B$185,$J1503,Flare!$E$46:$E$185)*Impacts!$F$16))</f>
        <v>0</v>
      </c>
      <c r="U1503" s="10">
        <f>IF(VCU!$C$9="",0,(SUMIF(VCU!$B$51:$B$193,$J1503,VCU!$E$51:$E$193)*Impacts!$F$17))</f>
        <v>0</v>
      </c>
      <c r="V1503" s="10">
        <f>IF(CAS!$C$7="",0,(SUMIF(CAS!$B$31:$B$167,$J1503,CAS!$E$31:$E$167)*Impacts!$F$18))</f>
        <v>0</v>
      </c>
      <c r="W1503" s="10">
        <f t="shared" si="64"/>
        <v>0</v>
      </c>
      <c r="AK1503" s="10" t="str">
        <f t="array" ref="AK1503">IFERROR(INDEX(SelectedSpecies,SMALL(IF(SelectedSpecies=AK$1,ROW(SelectedSpecies)),ROW(1504:1504)),2),"")</f>
        <v/>
      </c>
      <c r="BE1503" s="10"/>
      <c r="BI1503" s="10"/>
    </row>
    <row r="1504" spans="1:61" ht="21" customHeight="1" x14ac:dyDescent="0.25">
      <c r="A1504" s="10"/>
      <c r="B1504" s="10"/>
      <c r="E1504" s="10"/>
      <c r="G1504" s="10"/>
      <c r="I1504" s="436" t="s">
        <v>3935</v>
      </c>
      <c r="J1504" s="26" t="s">
        <v>3934</v>
      </c>
      <c r="K1504" s="10">
        <v>6</v>
      </c>
      <c r="L1504" s="73">
        <f>IF(Tank1!$C$23="No control",(SUMIF(Tank1!$B$32:$B$49,$J1504,Tank1!$C$32:$C$49)*Impacts!$F$8),0)</f>
        <v>0</v>
      </c>
      <c r="M1504" s="10">
        <f>IF(Tank2!$C$23="No control",(SUMIF(Tank2!$B$32:$B$49,$J1504,Tank2!$C$32:$C$49)*Impacts!$F$9),0)</f>
        <v>0</v>
      </c>
      <c r="N1504" s="10">
        <f>IF(Tank3!$C$23="No control",(SUMIF(Tank3!$B$32:$B$49,$J1504,Tank3!$C$32:$C$49)*Impacts!$F$10),0)</f>
        <v>0</v>
      </c>
      <c r="O1504" s="10">
        <f>IF(Tank4!$C$23="No control",(SUMIF(Tank4!$B$32:$B$49,$J1504,Tank4!$C$32:$C$49)*Impacts!$F$11),0)</f>
        <v>0</v>
      </c>
      <c r="P1504" s="10">
        <f>IF(Tank5!$C$23="No control",(SUMIF(Tank5!$B$32:$B$49,$J1504,Tank5!$C$32:$C$49)*Impacts!$F$12),0)</f>
        <v>0</v>
      </c>
      <c r="Q1504" s="10">
        <f>IFERROR(IF(('Loading-drum,tote'!$C$21)="No control",SUMIF(('Loading-drum,tote'!$B$31:$B$48),$J1504,('Loading-drum,tote'!$D$31:$D$48))*Impacts!$F$13,IF(('Loading-drum,tote'!$C$21)&lt;&gt;"No control",SUMIF(('Loading-drum,tote'!$B$31:$B$48),$J1504,('Loading-drum,tote'!$E$31:$E$48))*Impacts!$F$13,0)),0)</f>
        <v>0</v>
      </c>
      <c r="R1504" s="10">
        <f>IFERROR(IF(('Loading-truck'!$C$21)="No control",SUMIF(('Loading-truck'!$B$31:$B$48),$J1504,('Loading-truck'!$D$31:$D$48))*Impacts!$F$14,IF(('Loading-truck'!$C$21)&lt;&gt;"No control",SUMIF(('Loading-truck'!$B$31:$B$48),$J1504,('Loading-truck'!$E$31:$E$48))*Impacts!$F$14,0)),0)</f>
        <v>0</v>
      </c>
      <c r="S1504" s="10">
        <f>IFERROR(IF(('Loading-rail'!$C$21)="No control",SUMIF(('Loading-rail'!$B$31:$B$48),$J1504,('Loading-rail'!$D$31:$D$48))*Impacts!$F$15,IF(('Loading-rail'!$C$21)&lt;&gt;"No control",SUMIF(('Loading-rail'!$B$31:$B$48),$J1504,('Loading-rail'!$E$31:$E$48))*Impacts!$F$15,0)),0)</f>
        <v>0</v>
      </c>
      <c r="T1504" s="10">
        <f>IF(Flare!$C$7="",0,(SUMIF(Flare!$B$46:$B$185,$J1504,Flare!$E$46:$E$185)*Impacts!$F$16))</f>
        <v>0</v>
      </c>
      <c r="U1504" s="10">
        <f>IF(VCU!$C$9="",0,(SUMIF(VCU!$B$51:$B$193,$J1504,VCU!$E$51:$E$193)*Impacts!$F$17))</f>
        <v>0</v>
      </c>
      <c r="V1504" s="10">
        <f>IF(CAS!$C$7="",0,(SUMIF(CAS!$B$31:$B$167,$J1504,CAS!$E$31:$E$167)*Impacts!$F$18))</f>
        <v>0</v>
      </c>
      <c r="W1504" s="10">
        <f t="shared" si="64"/>
        <v>0</v>
      </c>
      <c r="AK1504" s="10" t="str">
        <f t="array" ref="AK1504">IFERROR(INDEX(SelectedSpecies,SMALL(IF(SelectedSpecies=AK$1,ROW(SelectedSpecies)),ROW(1505:1505)),2),"")</f>
        <v/>
      </c>
      <c r="BE1504" s="10"/>
      <c r="BI1504" s="10"/>
    </row>
    <row r="1505" spans="1:61" ht="21" customHeight="1" x14ac:dyDescent="0.25">
      <c r="A1505" s="10"/>
      <c r="B1505" s="10"/>
      <c r="E1505" s="10"/>
      <c r="G1505" s="10"/>
      <c r="I1505" s="436" t="s">
        <v>3937</v>
      </c>
      <c r="J1505" s="26" t="s">
        <v>3936</v>
      </c>
      <c r="K1505" s="10">
        <v>6</v>
      </c>
      <c r="L1505" s="73">
        <f>IF(Tank1!$C$23="No control",(SUMIF(Tank1!$B$32:$B$49,$J1505,Tank1!$C$32:$C$49)*Impacts!$F$8),0)</f>
        <v>0</v>
      </c>
      <c r="M1505" s="10">
        <f>IF(Tank2!$C$23="No control",(SUMIF(Tank2!$B$32:$B$49,$J1505,Tank2!$C$32:$C$49)*Impacts!$F$9),0)</f>
        <v>0</v>
      </c>
      <c r="N1505" s="10">
        <f>IF(Tank3!$C$23="No control",(SUMIF(Tank3!$B$32:$B$49,$J1505,Tank3!$C$32:$C$49)*Impacts!$F$10),0)</f>
        <v>0</v>
      </c>
      <c r="O1505" s="10">
        <f>IF(Tank4!$C$23="No control",(SUMIF(Tank4!$B$32:$B$49,$J1505,Tank4!$C$32:$C$49)*Impacts!$F$11),0)</f>
        <v>0</v>
      </c>
      <c r="P1505" s="10">
        <f>IF(Tank5!$C$23="No control",(SUMIF(Tank5!$B$32:$B$49,$J1505,Tank5!$C$32:$C$49)*Impacts!$F$12),0)</f>
        <v>0</v>
      </c>
      <c r="Q1505" s="10">
        <f>IFERROR(IF(('Loading-drum,tote'!$C$21)="No control",SUMIF(('Loading-drum,tote'!$B$31:$B$48),$J1505,('Loading-drum,tote'!$D$31:$D$48))*Impacts!$F$13,IF(('Loading-drum,tote'!$C$21)&lt;&gt;"No control",SUMIF(('Loading-drum,tote'!$B$31:$B$48),$J1505,('Loading-drum,tote'!$E$31:$E$48))*Impacts!$F$13,0)),0)</f>
        <v>0</v>
      </c>
      <c r="R1505" s="10">
        <f>IFERROR(IF(('Loading-truck'!$C$21)="No control",SUMIF(('Loading-truck'!$B$31:$B$48),$J1505,('Loading-truck'!$D$31:$D$48))*Impacts!$F$14,IF(('Loading-truck'!$C$21)&lt;&gt;"No control",SUMIF(('Loading-truck'!$B$31:$B$48),$J1505,('Loading-truck'!$E$31:$E$48))*Impacts!$F$14,0)),0)</f>
        <v>0</v>
      </c>
      <c r="S1505" s="10">
        <f>IFERROR(IF(('Loading-rail'!$C$21)="No control",SUMIF(('Loading-rail'!$B$31:$B$48),$J1505,('Loading-rail'!$D$31:$D$48))*Impacts!$F$15,IF(('Loading-rail'!$C$21)&lt;&gt;"No control",SUMIF(('Loading-rail'!$B$31:$B$48),$J1505,('Loading-rail'!$E$31:$E$48))*Impacts!$F$15,0)),0)</f>
        <v>0</v>
      </c>
      <c r="T1505" s="10">
        <f>IF(Flare!$C$7="",0,(SUMIF(Flare!$B$46:$B$185,$J1505,Flare!$E$46:$E$185)*Impacts!$F$16))</f>
        <v>0</v>
      </c>
      <c r="U1505" s="10">
        <f>IF(VCU!$C$9="",0,(SUMIF(VCU!$B$51:$B$193,$J1505,VCU!$E$51:$E$193)*Impacts!$F$17))</f>
        <v>0</v>
      </c>
      <c r="V1505" s="10">
        <f>IF(CAS!$C$7="",0,(SUMIF(CAS!$B$31:$B$167,$J1505,CAS!$E$31:$E$167)*Impacts!$F$18))</f>
        <v>0</v>
      </c>
      <c r="W1505" s="10">
        <f t="shared" si="64"/>
        <v>0</v>
      </c>
      <c r="AK1505" s="10" t="str">
        <f t="array" ref="AK1505">IFERROR(INDEX(SelectedSpecies,SMALL(IF(SelectedSpecies=AK$1,ROW(SelectedSpecies)),ROW(1506:1506)),2),"")</f>
        <v/>
      </c>
      <c r="BE1505" s="10"/>
      <c r="BI1505" s="10"/>
    </row>
    <row r="1506" spans="1:61" ht="21" customHeight="1" x14ac:dyDescent="0.25">
      <c r="A1506" s="10"/>
      <c r="B1506" s="10"/>
      <c r="E1506" s="10"/>
      <c r="G1506" s="10"/>
      <c r="I1506" s="436" t="s">
        <v>2475</v>
      </c>
      <c r="J1506" s="26" t="s">
        <v>2474</v>
      </c>
      <c r="K1506" s="10">
        <v>10</v>
      </c>
      <c r="L1506" s="73">
        <f>IF(Tank1!$C$23="No control",(SUMIF(Tank1!$B$32:$B$49,$J1506,Tank1!$C$32:$C$49)*Impacts!$F$8),0)</f>
        <v>0</v>
      </c>
      <c r="M1506" s="10">
        <f>IF(Tank2!$C$23="No control",(SUMIF(Tank2!$B$32:$B$49,$J1506,Tank2!$C$32:$C$49)*Impacts!$F$9),0)</f>
        <v>0</v>
      </c>
      <c r="N1506" s="10">
        <f>IF(Tank3!$C$23="No control",(SUMIF(Tank3!$B$32:$B$49,$J1506,Tank3!$C$32:$C$49)*Impacts!$F$10),0)</f>
        <v>0</v>
      </c>
      <c r="O1506" s="10">
        <f>IF(Tank4!$C$23="No control",(SUMIF(Tank4!$B$32:$B$49,$J1506,Tank4!$C$32:$C$49)*Impacts!$F$11),0)</f>
        <v>0</v>
      </c>
      <c r="P1506" s="10">
        <f>IF(Tank5!$C$23="No control",(SUMIF(Tank5!$B$32:$B$49,$J1506,Tank5!$C$32:$C$49)*Impacts!$F$12),0)</f>
        <v>0</v>
      </c>
      <c r="Q1506" s="10">
        <f>IFERROR(IF(('Loading-drum,tote'!$C$21)="No control",SUMIF(('Loading-drum,tote'!$B$31:$B$48),$J1506,('Loading-drum,tote'!$D$31:$D$48))*Impacts!$F$13,IF(('Loading-drum,tote'!$C$21)&lt;&gt;"No control",SUMIF(('Loading-drum,tote'!$B$31:$B$48),$J1506,('Loading-drum,tote'!$E$31:$E$48))*Impacts!$F$13,0)),0)</f>
        <v>0</v>
      </c>
      <c r="R1506" s="10">
        <f>IFERROR(IF(('Loading-truck'!$C$21)="No control",SUMIF(('Loading-truck'!$B$31:$B$48),$J1506,('Loading-truck'!$D$31:$D$48))*Impacts!$F$14,IF(('Loading-truck'!$C$21)&lt;&gt;"No control",SUMIF(('Loading-truck'!$B$31:$B$48),$J1506,('Loading-truck'!$E$31:$E$48))*Impacts!$F$14,0)),0)</f>
        <v>0</v>
      </c>
      <c r="S1506" s="10">
        <f>IFERROR(IF(('Loading-rail'!$C$21)="No control",SUMIF(('Loading-rail'!$B$31:$B$48),$J1506,('Loading-rail'!$D$31:$D$48))*Impacts!$F$15,IF(('Loading-rail'!$C$21)&lt;&gt;"No control",SUMIF(('Loading-rail'!$B$31:$B$48),$J1506,('Loading-rail'!$E$31:$E$48))*Impacts!$F$15,0)),0)</f>
        <v>0</v>
      </c>
      <c r="T1506" s="10">
        <f>IF(Flare!$C$7="",0,(SUMIF(Flare!$B$46:$B$185,$J1506,Flare!$E$46:$E$185)*Impacts!$F$16))</f>
        <v>0</v>
      </c>
      <c r="U1506" s="10">
        <f>IF(VCU!$C$9="",0,(SUMIF(VCU!$B$51:$B$193,$J1506,VCU!$E$51:$E$193)*Impacts!$F$17))</f>
        <v>0</v>
      </c>
      <c r="V1506" s="10">
        <f>IF(CAS!$C$7="",0,(SUMIF(CAS!$B$31:$B$167,$J1506,CAS!$E$31:$E$167)*Impacts!$F$18))</f>
        <v>0</v>
      </c>
      <c r="W1506" s="10">
        <f t="shared" si="64"/>
        <v>0</v>
      </c>
      <c r="AK1506" s="10" t="str">
        <f t="array" ref="AK1506">IFERROR(INDEX(SelectedSpecies,SMALL(IF(SelectedSpecies=AK$1,ROW(SelectedSpecies)),ROW(1507:1507)),2),"")</f>
        <v/>
      </c>
      <c r="BE1506" s="10"/>
      <c r="BI1506" s="10"/>
    </row>
    <row r="1507" spans="1:61" ht="21" customHeight="1" x14ac:dyDescent="0.25">
      <c r="A1507" s="10"/>
      <c r="B1507" s="10"/>
      <c r="E1507" s="10"/>
      <c r="G1507" s="10"/>
      <c r="I1507" s="436" t="s">
        <v>5601</v>
      </c>
      <c r="J1507" s="26" t="s">
        <v>5600</v>
      </c>
      <c r="K1507" s="10">
        <v>1.1000000000000001</v>
      </c>
      <c r="L1507" s="73">
        <f>IF(Tank1!$C$23="No control",(SUMIF(Tank1!$B$32:$B$49,$J1507,Tank1!$C$32:$C$49)*Impacts!$F$8),0)</f>
        <v>0</v>
      </c>
      <c r="M1507" s="10">
        <f>IF(Tank2!$C$23="No control",(SUMIF(Tank2!$B$32:$B$49,$J1507,Tank2!$C$32:$C$49)*Impacts!$F$9),0)</f>
        <v>0</v>
      </c>
      <c r="N1507" s="10">
        <f>IF(Tank3!$C$23="No control",(SUMIF(Tank3!$B$32:$B$49,$J1507,Tank3!$C$32:$C$49)*Impacts!$F$10),0)</f>
        <v>0</v>
      </c>
      <c r="O1507" s="10">
        <f>IF(Tank4!$C$23="No control",(SUMIF(Tank4!$B$32:$B$49,$J1507,Tank4!$C$32:$C$49)*Impacts!$F$11),0)</f>
        <v>0</v>
      </c>
      <c r="P1507" s="10">
        <f>IF(Tank5!$C$23="No control",(SUMIF(Tank5!$B$32:$B$49,$J1507,Tank5!$C$32:$C$49)*Impacts!$F$12),0)</f>
        <v>0</v>
      </c>
      <c r="Q1507" s="10">
        <f>IFERROR(IF(('Loading-drum,tote'!$C$21)="No control",SUMIF(('Loading-drum,tote'!$B$31:$B$48),$J1507,('Loading-drum,tote'!$D$31:$D$48))*Impacts!$F$13,IF(('Loading-drum,tote'!$C$21)&lt;&gt;"No control",SUMIF(('Loading-drum,tote'!$B$31:$B$48),$J1507,('Loading-drum,tote'!$E$31:$E$48))*Impacts!$F$13,0)),0)</f>
        <v>0</v>
      </c>
      <c r="R1507" s="10">
        <f>IFERROR(IF(('Loading-truck'!$C$21)="No control",SUMIF(('Loading-truck'!$B$31:$B$48),$J1507,('Loading-truck'!$D$31:$D$48))*Impacts!$F$14,IF(('Loading-truck'!$C$21)&lt;&gt;"No control",SUMIF(('Loading-truck'!$B$31:$B$48),$J1507,('Loading-truck'!$E$31:$E$48))*Impacts!$F$14,0)),0)</f>
        <v>0</v>
      </c>
      <c r="S1507" s="10">
        <f>IFERROR(IF(('Loading-rail'!$C$21)="No control",SUMIF(('Loading-rail'!$B$31:$B$48),$J1507,('Loading-rail'!$D$31:$D$48))*Impacts!$F$15,IF(('Loading-rail'!$C$21)&lt;&gt;"No control",SUMIF(('Loading-rail'!$B$31:$B$48),$J1507,('Loading-rail'!$E$31:$E$48))*Impacts!$F$15,0)),0)</f>
        <v>0</v>
      </c>
      <c r="T1507" s="10">
        <f>IF(Flare!$C$7="",0,(SUMIF(Flare!$B$46:$B$185,$J1507,Flare!$E$46:$E$185)*Impacts!$F$16))</f>
        <v>0</v>
      </c>
      <c r="U1507" s="10">
        <f>IF(VCU!$C$9="",0,(SUMIF(VCU!$B$51:$B$193,$J1507,VCU!$E$51:$E$193)*Impacts!$F$17))</f>
        <v>0</v>
      </c>
      <c r="V1507" s="10">
        <f>IF(CAS!$C$7="",0,(SUMIF(CAS!$B$31:$B$167,$J1507,CAS!$E$31:$E$167)*Impacts!$F$18))</f>
        <v>0</v>
      </c>
      <c r="W1507" s="10">
        <f t="shared" si="64"/>
        <v>0</v>
      </c>
      <c r="AK1507" s="10" t="str">
        <f t="array" ref="AK1507">IFERROR(INDEX(SelectedSpecies,SMALL(IF(SelectedSpecies=AK$1,ROW(SelectedSpecies)),ROW(1508:1508)),2),"")</f>
        <v/>
      </c>
      <c r="BE1507" s="10"/>
      <c r="BI1507" s="10"/>
    </row>
    <row r="1508" spans="1:61" ht="21" customHeight="1" x14ac:dyDescent="0.25">
      <c r="A1508" s="10"/>
      <c r="B1508" s="10"/>
      <c r="E1508" s="10"/>
      <c r="G1508" s="10"/>
      <c r="I1508" s="436" t="s">
        <v>4555</v>
      </c>
      <c r="J1508" s="26" t="s">
        <v>4554</v>
      </c>
      <c r="K1508" s="10">
        <v>4</v>
      </c>
      <c r="L1508" s="73">
        <f>IF(Tank1!$C$23="No control",(SUMIF(Tank1!$B$32:$B$49,$J1508,Tank1!$C$32:$C$49)*Impacts!$F$8),0)</f>
        <v>0</v>
      </c>
      <c r="M1508" s="10">
        <f>IF(Tank2!$C$23="No control",(SUMIF(Tank2!$B$32:$B$49,$J1508,Tank2!$C$32:$C$49)*Impacts!$F$9),0)</f>
        <v>0</v>
      </c>
      <c r="N1508" s="10">
        <f>IF(Tank3!$C$23="No control",(SUMIF(Tank3!$B$32:$B$49,$J1508,Tank3!$C$32:$C$49)*Impacts!$F$10),0)</f>
        <v>0</v>
      </c>
      <c r="O1508" s="10">
        <f>IF(Tank4!$C$23="No control",(SUMIF(Tank4!$B$32:$B$49,$J1508,Tank4!$C$32:$C$49)*Impacts!$F$11),0)</f>
        <v>0</v>
      </c>
      <c r="P1508" s="10">
        <f>IF(Tank5!$C$23="No control",(SUMIF(Tank5!$B$32:$B$49,$J1508,Tank5!$C$32:$C$49)*Impacts!$F$12),0)</f>
        <v>0</v>
      </c>
      <c r="Q1508" s="10">
        <f>IFERROR(IF(('Loading-drum,tote'!$C$21)="No control",SUMIF(('Loading-drum,tote'!$B$31:$B$48),$J1508,('Loading-drum,tote'!$D$31:$D$48))*Impacts!$F$13,IF(('Loading-drum,tote'!$C$21)&lt;&gt;"No control",SUMIF(('Loading-drum,tote'!$B$31:$B$48),$J1508,('Loading-drum,tote'!$E$31:$E$48))*Impacts!$F$13,0)),0)</f>
        <v>0</v>
      </c>
      <c r="R1508" s="10">
        <f>IFERROR(IF(('Loading-truck'!$C$21)="No control",SUMIF(('Loading-truck'!$B$31:$B$48),$J1508,('Loading-truck'!$D$31:$D$48))*Impacts!$F$14,IF(('Loading-truck'!$C$21)&lt;&gt;"No control",SUMIF(('Loading-truck'!$B$31:$B$48),$J1508,('Loading-truck'!$E$31:$E$48))*Impacts!$F$14,0)),0)</f>
        <v>0</v>
      </c>
      <c r="S1508" s="10">
        <f>IFERROR(IF(('Loading-rail'!$C$21)="No control",SUMIF(('Loading-rail'!$B$31:$B$48),$J1508,('Loading-rail'!$D$31:$D$48))*Impacts!$F$15,IF(('Loading-rail'!$C$21)&lt;&gt;"No control",SUMIF(('Loading-rail'!$B$31:$B$48),$J1508,('Loading-rail'!$E$31:$E$48))*Impacts!$F$15,0)),0)</f>
        <v>0</v>
      </c>
      <c r="T1508" s="10">
        <f>IF(Flare!$C$7="",0,(SUMIF(Flare!$B$46:$B$185,$J1508,Flare!$E$46:$E$185)*Impacts!$F$16))</f>
        <v>0</v>
      </c>
      <c r="U1508" s="10">
        <f>IF(VCU!$C$9="",0,(SUMIF(VCU!$B$51:$B$193,$J1508,VCU!$E$51:$E$193)*Impacts!$F$17))</f>
        <v>0</v>
      </c>
      <c r="V1508" s="10">
        <f>IF(CAS!$C$7="",0,(SUMIF(CAS!$B$31:$B$167,$J1508,CAS!$E$31:$E$167)*Impacts!$F$18))</f>
        <v>0</v>
      </c>
      <c r="W1508" s="10">
        <f t="shared" si="64"/>
        <v>0</v>
      </c>
      <c r="AK1508" s="10" t="str">
        <f t="array" ref="AK1508">IFERROR(INDEX(SelectedSpecies,SMALL(IF(SelectedSpecies=AK$1,ROW(SelectedSpecies)),ROW(1509:1509)),2),"")</f>
        <v/>
      </c>
      <c r="BE1508" s="10"/>
      <c r="BI1508" s="10"/>
    </row>
    <row r="1509" spans="1:61" ht="21" customHeight="1" x14ac:dyDescent="0.25">
      <c r="A1509" s="10"/>
      <c r="B1509" s="10"/>
      <c r="E1509" s="10"/>
      <c r="G1509" s="10"/>
      <c r="I1509" s="436" t="s">
        <v>4721</v>
      </c>
      <c r="J1509" s="26" t="s">
        <v>4720</v>
      </c>
      <c r="K1509" s="10">
        <v>3.5</v>
      </c>
      <c r="L1509" s="73">
        <f>IF(Tank1!$C$23="No control",(SUMIF(Tank1!$B$32:$B$49,$J1509,Tank1!$C$32:$C$49)*Impacts!$F$8),0)</f>
        <v>0</v>
      </c>
      <c r="M1509" s="10">
        <f>IF(Tank2!$C$23="No control",(SUMIF(Tank2!$B$32:$B$49,$J1509,Tank2!$C$32:$C$49)*Impacts!$F$9),0)</f>
        <v>0</v>
      </c>
      <c r="N1509" s="10">
        <f>IF(Tank3!$C$23="No control",(SUMIF(Tank3!$B$32:$B$49,$J1509,Tank3!$C$32:$C$49)*Impacts!$F$10),0)</f>
        <v>0</v>
      </c>
      <c r="O1509" s="10">
        <f>IF(Tank4!$C$23="No control",(SUMIF(Tank4!$B$32:$B$49,$J1509,Tank4!$C$32:$C$49)*Impacts!$F$11),0)</f>
        <v>0</v>
      </c>
      <c r="P1509" s="10">
        <f>IF(Tank5!$C$23="No control",(SUMIF(Tank5!$B$32:$B$49,$J1509,Tank5!$C$32:$C$49)*Impacts!$F$12),0)</f>
        <v>0</v>
      </c>
      <c r="Q1509" s="10">
        <f>IFERROR(IF(('Loading-drum,tote'!$C$21)="No control",SUMIF(('Loading-drum,tote'!$B$31:$B$48),$J1509,('Loading-drum,tote'!$D$31:$D$48))*Impacts!$F$13,IF(('Loading-drum,tote'!$C$21)&lt;&gt;"No control",SUMIF(('Loading-drum,tote'!$B$31:$B$48),$J1509,('Loading-drum,tote'!$E$31:$E$48))*Impacts!$F$13,0)),0)</f>
        <v>0</v>
      </c>
      <c r="R1509" s="10">
        <f>IFERROR(IF(('Loading-truck'!$C$21)="No control",SUMIF(('Loading-truck'!$B$31:$B$48),$J1509,('Loading-truck'!$D$31:$D$48))*Impacts!$F$14,IF(('Loading-truck'!$C$21)&lt;&gt;"No control",SUMIF(('Loading-truck'!$B$31:$B$48),$J1509,('Loading-truck'!$E$31:$E$48))*Impacts!$F$14,0)),0)</f>
        <v>0</v>
      </c>
      <c r="S1509" s="10">
        <f>IFERROR(IF(('Loading-rail'!$C$21)="No control",SUMIF(('Loading-rail'!$B$31:$B$48),$J1509,('Loading-rail'!$D$31:$D$48))*Impacts!$F$15,IF(('Loading-rail'!$C$21)&lt;&gt;"No control",SUMIF(('Loading-rail'!$B$31:$B$48),$J1509,('Loading-rail'!$E$31:$E$48))*Impacts!$F$15,0)),0)</f>
        <v>0</v>
      </c>
      <c r="T1509" s="10">
        <f>IF(Flare!$C$7="",0,(SUMIF(Flare!$B$46:$B$185,$J1509,Flare!$E$46:$E$185)*Impacts!$F$16))</f>
        <v>0</v>
      </c>
      <c r="U1509" s="10">
        <f>IF(VCU!$C$9="",0,(SUMIF(VCU!$B$51:$B$193,$J1509,VCU!$E$51:$E$193)*Impacts!$F$17))</f>
        <v>0</v>
      </c>
      <c r="V1509" s="10">
        <f>IF(CAS!$C$7="",0,(SUMIF(CAS!$B$31:$B$167,$J1509,CAS!$E$31:$E$167)*Impacts!$F$18))</f>
        <v>0</v>
      </c>
      <c r="W1509" s="10">
        <f t="shared" si="64"/>
        <v>0</v>
      </c>
      <c r="AK1509" s="10" t="str">
        <f t="array" ref="AK1509">IFERROR(INDEX(SelectedSpecies,SMALL(IF(SelectedSpecies=AK$1,ROW(SelectedSpecies)),ROW(1510:1510)),2),"")</f>
        <v/>
      </c>
      <c r="BE1509" s="10"/>
      <c r="BI1509" s="10"/>
    </row>
    <row r="1510" spans="1:61" ht="21" customHeight="1" x14ac:dyDescent="0.25">
      <c r="A1510" s="10"/>
      <c r="B1510" s="10"/>
      <c r="E1510" s="10"/>
      <c r="G1510" s="10"/>
      <c r="I1510" s="436" t="s">
        <v>3539</v>
      </c>
      <c r="J1510" s="26" t="s">
        <v>3538</v>
      </c>
      <c r="K1510" s="10">
        <v>8.5</v>
      </c>
      <c r="L1510" s="73">
        <f>IF(Tank1!$C$23="No control",(SUMIF(Tank1!$B$32:$B$49,$J1510,Tank1!$C$32:$C$49)*Impacts!$F$8),0)</f>
        <v>0</v>
      </c>
      <c r="M1510" s="10">
        <f>IF(Tank2!$C$23="No control",(SUMIF(Tank2!$B$32:$B$49,$J1510,Tank2!$C$32:$C$49)*Impacts!$F$9),0)</f>
        <v>0</v>
      </c>
      <c r="N1510" s="10">
        <f>IF(Tank3!$C$23="No control",(SUMIF(Tank3!$B$32:$B$49,$J1510,Tank3!$C$32:$C$49)*Impacts!$F$10),0)</f>
        <v>0</v>
      </c>
      <c r="O1510" s="10">
        <f>IF(Tank4!$C$23="No control",(SUMIF(Tank4!$B$32:$B$49,$J1510,Tank4!$C$32:$C$49)*Impacts!$F$11),0)</f>
        <v>0</v>
      </c>
      <c r="P1510" s="10">
        <f>IF(Tank5!$C$23="No control",(SUMIF(Tank5!$B$32:$B$49,$J1510,Tank5!$C$32:$C$49)*Impacts!$F$12),0)</f>
        <v>0</v>
      </c>
      <c r="Q1510" s="10">
        <f>IFERROR(IF(('Loading-drum,tote'!$C$21)="No control",SUMIF(('Loading-drum,tote'!$B$31:$B$48),$J1510,('Loading-drum,tote'!$D$31:$D$48))*Impacts!$F$13,IF(('Loading-drum,tote'!$C$21)&lt;&gt;"No control",SUMIF(('Loading-drum,tote'!$B$31:$B$48),$J1510,('Loading-drum,tote'!$E$31:$E$48))*Impacts!$F$13,0)),0)</f>
        <v>0</v>
      </c>
      <c r="R1510" s="10">
        <f>IFERROR(IF(('Loading-truck'!$C$21)="No control",SUMIF(('Loading-truck'!$B$31:$B$48),$J1510,('Loading-truck'!$D$31:$D$48))*Impacts!$F$14,IF(('Loading-truck'!$C$21)&lt;&gt;"No control",SUMIF(('Loading-truck'!$B$31:$B$48),$J1510,('Loading-truck'!$E$31:$E$48))*Impacts!$F$14,0)),0)</f>
        <v>0</v>
      </c>
      <c r="S1510" s="10">
        <f>IFERROR(IF(('Loading-rail'!$C$21)="No control",SUMIF(('Loading-rail'!$B$31:$B$48),$J1510,('Loading-rail'!$D$31:$D$48))*Impacts!$F$15,IF(('Loading-rail'!$C$21)&lt;&gt;"No control",SUMIF(('Loading-rail'!$B$31:$B$48),$J1510,('Loading-rail'!$E$31:$E$48))*Impacts!$F$15,0)),0)</f>
        <v>0</v>
      </c>
      <c r="T1510" s="10">
        <f>IF(Flare!$C$7="",0,(SUMIF(Flare!$B$46:$B$185,$J1510,Flare!$E$46:$E$185)*Impacts!$F$16))</f>
        <v>0</v>
      </c>
      <c r="U1510" s="10">
        <f>IF(VCU!$C$9="",0,(SUMIF(VCU!$B$51:$B$193,$J1510,VCU!$E$51:$E$193)*Impacts!$F$17))</f>
        <v>0</v>
      </c>
      <c r="V1510" s="10">
        <f>IF(CAS!$C$7="",0,(SUMIF(CAS!$B$31:$B$167,$J1510,CAS!$E$31:$E$167)*Impacts!$F$18))</f>
        <v>0</v>
      </c>
      <c r="W1510" s="10">
        <f t="shared" si="64"/>
        <v>0</v>
      </c>
      <c r="AK1510" s="10" t="str">
        <f t="array" ref="AK1510">IFERROR(INDEX(SelectedSpecies,SMALL(IF(SelectedSpecies=AK$1,ROW(SelectedSpecies)),ROW(1511:1511)),2),"")</f>
        <v/>
      </c>
      <c r="BE1510" s="10"/>
      <c r="BI1510" s="10"/>
    </row>
    <row r="1511" spans="1:61" ht="21" customHeight="1" x14ac:dyDescent="0.25">
      <c r="A1511" s="10"/>
      <c r="B1511" s="10"/>
      <c r="E1511" s="10"/>
      <c r="G1511" s="10"/>
      <c r="I1511" s="436" t="s">
        <v>5856</v>
      </c>
      <c r="J1511" s="26" t="s">
        <v>5855</v>
      </c>
      <c r="K1511" s="10">
        <v>1</v>
      </c>
      <c r="L1511" s="73">
        <f>IF(Tank1!$C$23="No control",(SUMIF(Tank1!$B$32:$B$49,$J1511,Tank1!$C$32:$C$49)*Impacts!$F$8),0)</f>
        <v>0</v>
      </c>
      <c r="M1511" s="10">
        <f>IF(Tank2!$C$23="No control",(SUMIF(Tank2!$B$32:$B$49,$J1511,Tank2!$C$32:$C$49)*Impacts!$F$9),0)</f>
        <v>0</v>
      </c>
      <c r="N1511" s="10">
        <f>IF(Tank3!$C$23="No control",(SUMIF(Tank3!$B$32:$B$49,$J1511,Tank3!$C$32:$C$49)*Impacts!$F$10),0)</f>
        <v>0</v>
      </c>
      <c r="O1511" s="10">
        <f>IF(Tank4!$C$23="No control",(SUMIF(Tank4!$B$32:$B$49,$J1511,Tank4!$C$32:$C$49)*Impacts!$F$11),0)</f>
        <v>0</v>
      </c>
      <c r="P1511" s="10">
        <f>IF(Tank5!$C$23="No control",(SUMIF(Tank5!$B$32:$B$49,$J1511,Tank5!$C$32:$C$49)*Impacts!$F$12),0)</f>
        <v>0</v>
      </c>
      <c r="Q1511" s="10">
        <f>IFERROR(IF(('Loading-drum,tote'!$C$21)="No control",SUMIF(('Loading-drum,tote'!$B$31:$B$48),$J1511,('Loading-drum,tote'!$D$31:$D$48))*Impacts!$F$13,IF(('Loading-drum,tote'!$C$21)&lt;&gt;"No control",SUMIF(('Loading-drum,tote'!$B$31:$B$48),$J1511,('Loading-drum,tote'!$E$31:$E$48))*Impacts!$F$13,0)),0)</f>
        <v>0</v>
      </c>
      <c r="R1511" s="10">
        <f>IFERROR(IF(('Loading-truck'!$C$21)="No control",SUMIF(('Loading-truck'!$B$31:$B$48),$J1511,('Loading-truck'!$D$31:$D$48))*Impacts!$F$14,IF(('Loading-truck'!$C$21)&lt;&gt;"No control",SUMIF(('Loading-truck'!$B$31:$B$48),$J1511,('Loading-truck'!$E$31:$E$48))*Impacts!$F$14,0)),0)</f>
        <v>0</v>
      </c>
      <c r="S1511" s="10">
        <f>IFERROR(IF(('Loading-rail'!$C$21)="No control",SUMIF(('Loading-rail'!$B$31:$B$48),$J1511,('Loading-rail'!$D$31:$D$48))*Impacts!$F$15,IF(('Loading-rail'!$C$21)&lt;&gt;"No control",SUMIF(('Loading-rail'!$B$31:$B$48),$J1511,('Loading-rail'!$E$31:$E$48))*Impacts!$F$15,0)),0)</f>
        <v>0</v>
      </c>
      <c r="T1511" s="10">
        <f>IF(Flare!$C$7="",0,(SUMIF(Flare!$B$46:$B$185,$J1511,Flare!$E$46:$E$185)*Impacts!$F$16))</f>
        <v>0</v>
      </c>
      <c r="U1511" s="10">
        <f>IF(VCU!$C$9="",0,(SUMIF(VCU!$B$51:$B$193,$J1511,VCU!$E$51:$E$193)*Impacts!$F$17))</f>
        <v>0</v>
      </c>
      <c r="V1511" s="10">
        <f>IF(CAS!$C$7="",0,(SUMIF(CAS!$B$31:$B$167,$J1511,CAS!$E$31:$E$167)*Impacts!$F$18))</f>
        <v>0</v>
      </c>
      <c r="W1511" s="10">
        <f t="shared" si="64"/>
        <v>0</v>
      </c>
      <c r="AK1511" s="10" t="str">
        <f t="array" ref="AK1511">IFERROR(INDEX(SelectedSpecies,SMALL(IF(SelectedSpecies=AK$1,ROW(SelectedSpecies)),ROW(1512:1512)),2),"")</f>
        <v/>
      </c>
      <c r="BE1511" s="10"/>
      <c r="BI1511" s="10"/>
    </row>
    <row r="1512" spans="1:61" ht="21" customHeight="1" x14ac:dyDescent="0.25">
      <c r="A1512" s="10"/>
      <c r="B1512" s="10"/>
      <c r="E1512" s="10"/>
      <c r="G1512" s="10"/>
      <c r="I1512" s="436" t="s">
        <v>4127</v>
      </c>
      <c r="J1512" s="26" t="s">
        <v>4126</v>
      </c>
      <c r="K1512" s="10">
        <v>5.3000000000000007</v>
      </c>
      <c r="L1512" s="73">
        <f>IF(Tank1!$C$23="No control",(SUMIF(Tank1!$B$32:$B$49,$J1512,Tank1!$C$32:$C$49)*Impacts!$F$8),0)</f>
        <v>0</v>
      </c>
      <c r="M1512" s="10">
        <f>IF(Tank2!$C$23="No control",(SUMIF(Tank2!$B$32:$B$49,$J1512,Tank2!$C$32:$C$49)*Impacts!$F$9),0)</f>
        <v>0</v>
      </c>
      <c r="N1512" s="10">
        <f>IF(Tank3!$C$23="No control",(SUMIF(Tank3!$B$32:$B$49,$J1512,Tank3!$C$32:$C$49)*Impacts!$F$10),0)</f>
        <v>0</v>
      </c>
      <c r="O1512" s="10">
        <f>IF(Tank4!$C$23="No control",(SUMIF(Tank4!$B$32:$B$49,$J1512,Tank4!$C$32:$C$49)*Impacts!$F$11),0)</f>
        <v>0</v>
      </c>
      <c r="P1512" s="10">
        <f>IF(Tank5!$C$23="No control",(SUMIF(Tank5!$B$32:$B$49,$J1512,Tank5!$C$32:$C$49)*Impacts!$F$12),0)</f>
        <v>0</v>
      </c>
      <c r="Q1512" s="10">
        <f>IFERROR(IF(('Loading-drum,tote'!$C$21)="No control",SUMIF(('Loading-drum,tote'!$B$31:$B$48),$J1512,('Loading-drum,tote'!$D$31:$D$48))*Impacts!$F$13,IF(('Loading-drum,tote'!$C$21)&lt;&gt;"No control",SUMIF(('Loading-drum,tote'!$B$31:$B$48),$J1512,('Loading-drum,tote'!$E$31:$E$48))*Impacts!$F$13,0)),0)</f>
        <v>0</v>
      </c>
      <c r="R1512" s="10">
        <f>IFERROR(IF(('Loading-truck'!$C$21)="No control",SUMIF(('Loading-truck'!$B$31:$B$48),$J1512,('Loading-truck'!$D$31:$D$48))*Impacts!$F$14,IF(('Loading-truck'!$C$21)&lt;&gt;"No control",SUMIF(('Loading-truck'!$B$31:$B$48),$J1512,('Loading-truck'!$E$31:$E$48))*Impacts!$F$14,0)),0)</f>
        <v>0</v>
      </c>
      <c r="S1512" s="10">
        <f>IFERROR(IF(('Loading-rail'!$C$21)="No control",SUMIF(('Loading-rail'!$B$31:$B$48),$J1512,('Loading-rail'!$D$31:$D$48))*Impacts!$F$15,IF(('Loading-rail'!$C$21)&lt;&gt;"No control",SUMIF(('Loading-rail'!$B$31:$B$48),$J1512,('Loading-rail'!$E$31:$E$48))*Impacts!$F$15,0)),0)</f>
        <v>0</v>
      </c>
      <c r="T1512" s="10">
        <f>IF(Flare!$C$7="",0,(SUMIF(Flare!$B$46:$B$185,$J1512,Flare!$E$46:$E$185)*Impacts!$F$16))</f>
        <v>0</v>
      </c>
      <c r="U1512" s="10">
        <f>IF(VCU!$C$9="",0,(SUMIF(VCU!$B$51:$B$193,$J1512,VCU!$E$51:$E$193)*Impacts!$F$17))</f>
        <v>0</v>
      </c>
      <c r="V1512" s="10">
        <f>IF(CAS!$C$7="",0,(SUMIF(CAS!$B$31:$B$167,$J1512,CAS!$E$31:$E$167)*Impacts!$F$18))</f>
        <v>0</v>
      </c>
      <c r="W1512" s="10">
        <f t="shared" si="64"/>
        <v>0</v>
      </c>
      <c r="AK1512" s="10" t="str">
        <f t="array" ref="AK1512">IFERROR(INDEX(SelectedSpecies,SMALL(IF(SelectedSpecies=AK$1,ROW(SelectedSpecies)),ROW(1513:1513)),2),"")</f>
        <v/>
      </c>
      <c r="BE1512" s="10"/>
      <c r="BI1512" s="10"/>
    </row>
    <row r="1513" spans="1:61" ht="21" customHeight="1" x14ac:dyDescent="0.25">
      <c r="A1513" s="10"/>
      <c r="B1513" s="10"/>
      <c r="E1513" s="10"/>
      <c r="G1513" s="10"/>
      <c r="I1513" s="436" t="s">
        <v>6814</v>
      </c>
      <c r="J1513" s="26" t="s">
        <v>6813</v>
      </c>
      <c r="K1513" s="10">
        <v>0.5</v>
      </c>
      <c r="L1513" s="73">
        <f>IF(Tank1!$C$23="No control",(SUMIF(Tank1!$B$32:$B$49,$J1513,Tank1!$C$32:$C$49)*Impacts!$F$8),0)</f>
        <v>0</v>
      </c>
      <c r="M1513" s="10">
        <f>IF(Tank2!$C$23="No control",(SUMIF(Tank2!$B$32:$B$49,$J1513,Tank2!$C$32:$C$49)*Impacts!$F$9),0)</f>
        <v>0</v>
      </c>
      <c r="N1513" s="10">
        <f>IF(Tank3!$C$23="No control",(SUMIF(Tank3!$B$32:$B$49,$J1513,Tank3!$C$32:$C$49)*Impacts!$F$10),0)</f>
        <v>0</v>
      </c>
      <c r="O1513" s="10">
        <f>IF(Tank4!$C$23="No control",(SUMIF(Tank4!$B$32:$B$49,$J1513,Tank4!$C$32:$C$49)*Impacts!$F$11),0)</f>
        <v>0</v>
      </c>
      <c r="P1513" s="10">
        <f>IF(Tank5!$C$23="No control",(SUMIF(Tank5!$B$32:$B$49,$J1513,Tank5!$C$32:$C$49)*Impacts!$F$12),0)</f>
        <v>0</v>
      </c>
      <c r="Q1513" s="10">
        <f>IFERROR(IF(('Loading-drum,tote'!$C$21)="No control",SUMIF(('Loading-drum,tote'!$B$31:$B$48),$J1513,('Loading-drum,tote'!$D$31:$D$48))*Impacts!$F$13,IF(('Loading-drum,tote'!$C$21)&lt;&gt;"No control",SUMIF(('Loading-drum,tote'!$B$31:$B$48),$J1513,('Loading-drum,tote'!$E$31:$E$48))*Impacts!$F$13,0)),0)</f>
        <v>0</v>
      </c>
      <c r="R1513" s="10">
        <f>IFERROR(IF(('Loading-truck'!$C$21)="No control",SUMIF(('Loading-truck'!$B$31:$B$48),$J1513,('Loading-truck'!$D$31:$D$48))*Impacts!$F$14,IF(('Loading-truck'!$C$21)&lt;&gt;"No control",SUMIF(('Loading-truck'!$B$31:$B$48),$J1513,('Loading-truck'!$E$31:$E$48))*Impacts!$F$14,0)),0)</f>
        <v>0</v>
      </c>
      <c r="S1513" s="10">
        <f>IFERROR(IF(('Loading-rail'!$C$21)="No control",SUMIF(('Loading-rail'!$B$31:$B$48),$J1513,('Loading-rail'!$D$31:$D$48))*Impacts!$F$15,IF(('Loading-rail'!$C$21)&lt;&gt;"No control",SUMIF(('Loading-rail'!$B$31:$B$48),$J1513,('Loading-rail'!$E$31:$E$48))*Impacts!$F$15,0)),0)</f>
        <v>0</v>
      </c>
      <c r="T1513" s="10">
        <f>IF(Flare!$C$7="",0,(SUMIF(Flare!$B$46:$B$185,$J1513,Flare!$E$46:$E$185)*Impacts!$F$16))</f>
        <v>0</v>
      </c>
      <c r="U1513" s="10">
        <f>IF(VCU!$C$9="",0,(SUMIF(VCU!$B$51:$B$193,$J1513,VCU!$E$51:$E$193)*Impacts!$F$17))</f>
        <v>0</v>
      </c>
      <c r="V1513" s="10">
        <f>IF(CAS!$C$7="",0,(SUMIF(CAS!$B$31:$B$167,$J1513,CAS!$E$31:$E$167)*Impacts!$F$18))</f>
        <v>0</v>
      </c>
      <c r="W1513" s="10">
        <f t="shared" si="64"/>
        <v>0</v>
      </c>
      <c r="AK1513" s="10" t="str">
        <f t="array" ref="AK1513">IFERROR(INDEX(SelectedSpecies,SMALL(IF(SelectedSpecies=AK$1,ROW(SelectedSpecies)),ROW(1514:1514)),2),"")</f>
        <v/>
      </c>
      <c r="BE1513" s="10"/>
      <c r="BI1513" s="10"/>
    </row>
    <row r="1514" spans="1:61" ht="21" customHeight="1" x14ac:dyDescent="0.25">
      <c r="A1514" s="10"/>
      <c r="B1514" s="10"/>
      <c r="E1514" s="10"/>
      <c r="G1514" s="10"/>
      <c r="I1514" s="436" t="s">
        <v>8152</v>
      </c>
      <c r="J1514" s="26" t="s">
        <v>8151</v>
      </c>
      <c r="K1514" s="10">
        <v>6.3E-3</v>
      </c>
      <c r="L1514" s="73">
        <f>IF(Tank1!$C$23="No control",(SUMIF(Tank1!$B$32:$B$49,$J1514,Tank1!$C$32:$C$49)*Impacts!$F$8),0)</f>
        <v>0</v>
      </c>
      <c r="M1514" s="10">
        <f>IF(Tank2!$C$23="No control",(SUMIF(Tank2!$B$32:$B$49,$J1514,Tank2!$C$32:$C$49)*Impacts!$F$9),0)</f>
        <v>0</v>
      </c>
      <c r="N1514" s="10">
        <f>IF(Tank3!$C$23="No control",(SUMIF(Tank3!$B$32:$B$49,$J1514,Tank3!$C$32:$C$49)*Impacts!$F$10),0)</f>
        <v>0</v>
      </c>
      <c r="O1514" s="10">
        <f>IF(Tank4!$C$23="No control",(SUMIF(Tank4!$B$32:$B$49,$J1514,Tank4!$C$32:$C$49)*Impacts!$F$11),0)</f>
        <v>0</v>
      </c>
      <c r="P1514" s="10">
        <f>IF(Tank5!$C$23="No control",(SUMIF(Tank5!$B$32:$B$49,$J1514,Tank5!$C$32:$C$49)*Impacts!$F$12),0)</f>
        <v>0</v>
      </c>
      <c r="Q1514" s="10">
        <f>IFERROR(IF(('Loading-drum,tote'!$C$21)="No control",SUMIF(('Loading-drum,tote'!$B$31:$B$48),$J1514,('Loading-drum,tote'!$D$31:$D$48))*Impacts!$F$13,IF(('Loading-drum,tote'!$C$21)&lt;&gt;"No control",SUMIF(('Loading-drum,tote'!$B$31:$B$48),$J1514,('Loading-drum,tote'!$E$31:$E$48))*Impacts!$F$13,0)),0)</f>
        <v>0</v>
      </c>
      <c r="R1514" s="10">
        <f>IFERROR(IF(('Loading-truck'!$C$21)="No control",SUMIF(('Loading-truck'!$B$31:$B$48),$J1514,('Loading-truck'!$D$31:$D$48))*Impacts!$F$14,IF(('Loading-truck'!$C$21)&lt;&gt;"No control",SUMIF(('Loading-truck'!$B$31:$B$48),$J1514,('Loading-truck'!$E$31:$E$48))*Impacts!$F$14,0)),0)</f>
        <v>0</v>
      </c>
      <c r="S1514" s="10">
        <f>IFERROR(IF(('Loading-rail'!$C$21)="No control",SUMIF(('Loading-rail'!$B$31:$B$48),$J1514,('Loading-rail'!$D$31:$D$48))*Impacts!$F$15,IF(('Loading-rail'!$C$21)&lt;&gt;"No control",SUMIF(('Loading-rail'!$B$31:$B$48),$J1514,('Loading-rail'!$E$31:$E$48))*Impacts!$F$15,0)),0)</f>
        <v>0</v>
      </c>
      <c r="T1514" s="10">
        <f>IF(Flare!$C$7="",0,(SUMIF(Flare!$B$46:$B$185,$J1514,Flare!$E$46:$E$185)*Impacts!$F$16))</f>
        <v>0</v>
      </c>
      <c r="U1514" s="10">
        <f>IF(VCU!$C$9="",0,(SUMIF(VCU!$B$51:$B$193,$J1514,VCU!$E$51:$E$193)*Impacts!$F$17))</f>
        <v>0</v>
      </c>
      <c r="V1514" s="10">
        <f>IF(CAS!$C$7="",0,(SUMIF(CAS!$B$31:$B$167,$J1514,CAS!$E$31:$E$167)*Impacts!$F$18))</f>
        <v>0</v>
      </c>
      <c r="W1514" s="10">
        <f t="shared" si="64"/>
        <v>0</v>
      </c>
      <c r="AK1514" s="10" t="str">
        <f t="array" ref="AK1514">IFERROR(INDEX(SelectedSpecies,SMALL(IF(SelectedSpecies=AK$1,ROW(SelectedSpecies)),ROW(1515:1515)),2),"")</f>
        <v/>
      </c>
      <c r="BE1514" s="10"/>
      <c r="BI1514" s="10"/>
    </row>
    <row r="1515" spans="1:61" ht="21" customHeight="1" x14ac:dyDescent="0.25">
      <c r="A1515" s="10"/>
      <c r="B1515" s="10"/>
      <c r="E1515" s="10"/>
      <c r="G1515" s="10"/>
      <c r="I1515" s="436" t="s">
        <v>2835</v>
      </c>
      <c r="J1515" s="26" t="s">
        <v>2834</v>
      </c>
      <c r="K1515" s="10">
        <v>10</v>
      </c>
      <c r="L1515" s="73">
        <f>IF(Tank1!$C$23="No control",(SUMIF(Tank1!$B$32:$B$49,$J1515,Tank1!$C$32:$C$49)*Impacts!$F$8),0)</f>
        <v>0</v>
      </c>
      <c r="M1515" s="10">
        <f>IF(Tank2!$C$23="No control",(SUMIF(Tank2!$B$32:$B$49,$J1515,Tank2!$C$32:$C$49)*Impacts!$F$9),0)</f>
        <v>0</v>
      </c>
      <c r="N1515" s="10">
        <f>IF(Tank3!$C$23="No control",(SUMIF(Tank3!$B$32:$B$49,$J1515,Tank3!$C$32:$C$49)*Impacts!$F$10),0)</f>
        <v>0</v>
      </c>
      <c r="O1515" s="10">
        <f>IF(Tank4!$C$23="No control",(SUMIF(Tank4!$B$32:$B$49,$J1515,Tank4!$C$32:$C$49)*Impacts!$F$11),0)</f>
        <v>0</v>
      </c>
      <c r="P1515" s="10">
        <f>IF(Tank5!$C$23="No control",(SUMIF(Tank5!$B$32:$B$49,$J1515,Tank5!$C$32:$C$49)*Impacts!$F$12),0)</f>
        <v>0</v>
      </c>
      <c r="Q1515" s="10">
        <f>IFERROR(IF(('Loading-drum,tote'!$C$21)="No control",SUMIF(('Loading-drum,tote'!$B$31:$B$48),$J1515,('Loading-drum,tote'!$D$31:$D$48))*Impacts!$F$13,IF(('Loading-drum,tote'!$C$21)&lt;&gt;"No control",SUMIF(('Loading-drum,tote'!$B$31:$B$48),$J1515,('Loading-drum,tote'!$E$31:$E$48))*Impacts!$F$13,0)),0)</f>
        <v>0</v>
      </c>
      <c r="R1515" s="10">
        <f>IFERROR(IF(('Loading-truck'!$C$21)="No control",SUMIF(('Loading-truck'!$B$31:$B$48),$J1515,('Loading-truck'!$D$31:$D$48))*Impacts!$F$14,IF(('Loading-truck'!$C$21)&lt;&gt;"No control",SUMIF(('Loading-truck'!$B$31:$B$48),$J1515,('Loading-truck'!$E$31:$E$48))*Impacts!$F$14,0)),0)</f>
        <v>0</v>
      </c>
      <c r="S1515" s="10">
        <f>IFERROR(IF(('Loading-rail'!$C$21)="No control",SUMIF(('Loading-rail'!$B$31:$B$48),$J1515,('Loading-rail'!$D$31:$D$48))*Impacts!$F$15,IF(('Loading-rail'!$C$21)&lt;&gt;"No control",SUMIF(('Loading-rail'!$B$31:$B$48),$J1515,('Loading-rail'!$E$31:$E$48))*Impacts!$F$15,0)),0)</f>
        <v>0</v>
      </c>
      <c r="T1515" s="10">
        <f>IF(Flare!$C$7="",0,(SUMIF(Flare!$B$46:$B$185,$J1515,Flare!$E$46:$E$185)*Impacts!$F$16))</f>
        <v>0</v>
      </c>
      <c r="U1515" s="10">
        <f>IF(VCU!$C$9="",0,(SUMIF(VCU!$B$51:$B$193,$J1515,VCU!$E$51:$E$193)*Impacts!$F$17))</f>
        <v>0</v>
      </c>
      <c r="V1515" s="10">
        <f>IF(CAS!$C$7="",0,(SUMIF(CAS!$B$31:$B$167,$J1515,CAS!$E$31:$E$167)*Impacts!$F$18))</f>
        <v>0</v>
      </c>
      <c r="W1515" s="10">
        <f t="shared" si="64"/>
        <v>0</v>
      </c>
      <c r="AK1515" s="10" t="str">
        <f t="array" ref="AK1515">IFERROR(INDEX(SelectedSpecies,SMALL(IF(SelectedSpecies=AK$1,ROW(SelectedSpecies)),ROW(1516:1516)),2),"")</f>
        <v/>
      </c>
      <c r="BE1515" s="10"/>
      <c r="BI1515" s="10"/>
    </row>
    <row r="1516" spans="1:61" ht="21" customHeight="1" x14ac:dyDescent="0.25">
      <c r="A1516" s="10"/>
      <c r="B1516" s="10"/>
      <c r="E1516" s="10"/>
      <c r="G1516" s="10"/>
      <c r="I1516" s="436" t="s">
        <v>8154</v>
      </c>
      <c r="J1516" s="26" t="s">
        <v>8153</v>
      </c>
      <c r="K1516" s="10">
        <v>1.0000000000000002E-2</v>
      </c>
      <c r="L1516" s="73">
        <f>IF(Tank1!$C$23="No control",(SUMIF(Tank1!$B$32:$B$49,$J1516,Tank1!$C$32:$C$49)*Impacts!$F$8),0)</f>
        <v>0</v>
      </c>
      <c r="M1516" s="10">
        <f>IF(Tank2!$C$23="No control",(SUMIF(Tank2!$B$32:$B$49,$J1516,Tank2!$C$32:$C$49)*Impacts!$F$9),0)</f>
        <v>0</v>
      </c>
      <c r="N1516" s="10">
        <f>IF(Tank3!$C$23="No control",(SUMIF(Tank3!$B$32:$B$49,$J1516,Tank3!$C$32:$C$49)*Impacts!$F$10),0)</f>
        <v>0</v>
      </c>
      <c r="O1516" s="10">
        <f>IF(Tank4!$C$23="No control",(SUMIF(Tank4!$B$32:$B$49,$J1516,Tank4!$C$32:$C$49)*Impacts!$F$11),0)</f>
        <v>0</v>
      </c>
      <c r="P1516" s="10">
        <f>IF(Tank5!$C$23="No control",(SUMIF(Tank5!$B$32:$B$49,$J1516,Tank5!$C$32:$C$49)*Impacts!$F$12),0)</f>
        <v>0</v>
      </c>
      <c r="Q1516" s="10">
        <f>IFERROR(IF(('Loading-drum,tote'!$C$21)="No control",SUMIF(('Loading-drum,tote'!$B$31:$B$48),$J1516,('Loading-drum,tote'!$D$31:$D$48))*Impacts!$F$13,IF(('Loading-drum,tote'!$C$21)&lt;&gt;"No control",SUMIF(('Loading-drum,tote'!$B$31:$B$48),$J1516,('Loading-drum,tote'!$E$31:$E$48))*Impacts!$F$13,0)),0)</f>
        <v>0</v>
      </c>
      <c r="R1516" s="10">
        <f>IFERROR(IF(('Loading-truck'!$C$21)="No control",SUMIF(('Loading-truck'!$B$31:$B$48),$J1516,('Loading-truck'!$D$31:$D$48))*Impacts!$F$14,IF(('Loading-truck'!$C$21)&lt;&gt;"No control",SUMIF(('Loading-truck'!$B$31:$B$48),$J1516,('Loading-truck'!$E$31:$E$48))*Impacts!$F$14,0)),0)</f>
        <v>0</v>
      </c>
      <c r="S1516" s="10">
        <f>IFERROR(IF(('Loading-rail'!$C$21)="No control",SUMIF(('Loading-rail'!$B$31:$B$48),$J1516,('Loading-rail'!$D$31:$D$48))*Impacts!$F$15,IF(('Loading-rail'!$C$21)&lt;&gt;"No control",SUMIF(('Loading-rail'!$B$31:$B$48),$J1516,('Loading-rail'!$E$31:$E$48))*Impacts!$F$15,0)),0)</f>
        <v>0</v>
      </c>
      <c r="T1516" s="10">
        <f>IF(Flare!$C$7="",0,(SUMIF(Flare!$B$46:$B$185,$J1516,Flare!$E$46:$E$185)*Impacts!$F$16))</f>
        <v>0</v>
      </c>
      <c r="U1516" s="10">
        <f>IF(VCU!$C$9="",0,(SUMIF(VCU!$B$51:$B$193,$J1516,VCU!$E$51:$E$193)*Impacts!$F$17))</f>
        <v>0</v>
      </c>
      <c r="V1516" s="10">
        <f>IF(CAS!$C$7="",0,(SUMIF(CAS!$B$31:$B$167,$J1516,CAS!$E$31:$E$167)*Impacts!$F$18))</f>
        <v>0</v>
      </c>
      <c r="W1516" s="10">
        <f t="shared" si="64"/>
        <v>0</v>
      </c>
      <c r="AK1516" s="10" t="str">
        <f t="array" ref="AK1516">IFERROR(INDEX(SelectedSpecies,SMALL(IF(SelectedSpecies=AK$1,ROW(SelectedSpecies)),ROW(1517:1517)),2),"")</f>
        <v/>
      </c>
      <c r="BE1516" s="10"/>
      <c r="BI1516" s="10"/>
    </row>
    <row r="1517" spans="1:61" ht="21" customHeight="1" x14ac:dyDescent="0.25">
      <c r="A1517" s="10"/>
      <c r="B1517" s="10"/>
      <c r="E1517" s="10"/>
      <c r="G1517" s="10"/>
      <c r="I1517" s="436" t="s">
        <v>4417</v>
      </c>
      <c r="J1517" s="26" t="s">
        <v>4416</v>
      </c>
      <c r="K1517" s="10">
        <v>20</v>
      </c>
      <c r="L1517" s="73">
        <f>IF(Tank1!$C$23="No control",(SUMIF(Tank1!$B$32:$B$49,$J1517,Tank1!$C$32:$C$49)*Impacts!$F$8),0)</f>
        <v>0</v>
      </c>
      <c r="M1517" s="10">
        <f>IF(Tank2!$C$23="No control",(SUMIF(Tank2!$B$32:$B$49,$J1517,Tank2!$C$32:$C$49)*Impacts!$F$9),0)</f>
        <v>0</v>
      </c>
      <c r="N1517" s="10">
        <f>IF(Tank3!$C$23="No control",(SUMIF(Tank3!$B$32:$B$49,$J1517,Tank3!$C$32:$C$49)*Impacts!$F$10),0)</f>
        <v>0</v>
      </c>
      <c r="O1517" s="10">
        <f>IF(Tank4!$C$23="No control",(SUMIF(Tank4!$B$32:$B$49,$J1517,Tank4!$C$32:$C$49)*Impacts!$F$11),0)</f>
        <v>0</v>
      </c>
      <c r="P1517" s="10">
        <f>IF(Tank5!$C$23="No control",(SUMIF(Tank5!$B$32:$B$49,$J1517,Tank5!$C$32:$C$49)*Impacts!$F$12),0)</f>
        <v>0</v>
      </c>
      <c r="Q1517" s="10">
        <f>IFERROR(IF(('Loading-drum,tote'!$C$21)="No control",SUMIF(('Loading-drum,tote'!$B$31:$B$48),$J1517,('Loading-drum,tote'!$D$31:$D$48))*Impacts!$F$13,IF(('Loading-drum,tote'!$C$21)&lt;&gt;"No control",SUMIF(('Loading-drum,tote'!$B$31:$B$48),$J1517,('Loading-drum,tote'!$E$31:$E$48))*Impacts!$F$13,0)),0)</f>
        <v>0</v>
      </c>
      <c r="R1517" s="10">
        <f>IFERROR(IF(('Loading-truck'!$C$21)="No control",SUMIF(('Loading-truck'!$B$31:$B$48),$J1517,('Loading-truck'!$D$31:$D$48))*Impacts!$F$14,IF(('Loading-truck'!$C$21)&lt;&gt;"No control",SUMIF(('Loading-truck'!$B$31:$B$48),$J1517,('Loading-truck'!$E$31:$E$48))*Impacts!$F$14,0)),0)</f>
        <v>0</v>
      </c>
      <c r="S1517" s="10">
        <f>IFERROR(IF(('Loading-rail'!$C$21)="No control",SUMIF(('Loading-rail'!$B$31:$B$48),$J1517,('Loading-rail'!$D$31:$D$48))*Impacts!$F$15,IF(('Loading-rail'!$C$21)&lt;&gt;"No control",SUMIF(('Loading-rail'!$B$31:$B$48),$J1517,('Loading-rail'!$E$31:$E$48))*Impacts!$F$15,0)),0)</f>
        <v>0</v>
      </c>
      <c r="T1517" s="10">
        <f>IF(Flare!$C$7="",0,(SUMIF(Flare!$B$46:$B$185,$J1517,Flare!$E$46:$E$185)*Impacts!$F$16))</f>
        <v>0</v>
      </c>
      <c r="U1517" s="10">
        <f>IF(VCU!$C$9="",0,(SUMIF(VCU!$B$51:$B$193,$J1517,VCU!$E$51:$E$193)*Impacts!$F$17))</f>
        <v>0</v>
      </c>
      <c r="V1517" s="10">
        <f>IF(CAS!$C$7="",0,(SUMIF(CAS!$B$31:$B$167,$J1517,CAS!$E$31:$E$167)*Impacts!$F$18))</f>
        <v>0</v>
      </c>
      <c r="W1517" s="10">
        <f t="shared" si="64"/>
        <v>0</v>
      </c>
      <c r="AK1517" s="10" t="str">
        <f t="array" ref="AK1517">IFERROR(INDEX(SelectedSpecies,SMALL(IF(SelectedSpecies=AK$1,ROW(SelectedSpecies)),ROW(1518:1518)),2),"")</f>
        <v/>
      </c>
      <c r="BE1517" s="10"/>
      <c r="BI1517" s="10"/>
    </row>
    <row r="1518" spans="1:61" ht="21" customHeight="1" x14ac:dyDescent="0.25">
      <c r="A1518" s="10"/>
      <c r="B1518" s="10"/>
      <c r="E1518" s="10"/>
      <c r="G1518" s="10"/>
      <c r="I1518" s="436" t="s">
        <v>2477</v>
      </c>
      <c r="J1518" s="26" t="s">
        <v>2476</v>
      </c>
      <c r="K1518" s="10">
        <v>10</v>
      </c>
      <c r="L1518" s="73">
        <f>IF(Tank1!$C$23="No control",(SUMIF(Tank1!$B$32:$B$49,$J1518,Tank1!$C$32:$C$49)*Impacts!$F$8),0)</f>
        <v>0</v>
      </c>
      <c r="M1518" s="10">
        <f>IF(Tank2!$C$23="No control",(SUMIF(Tank2!$B$32:$B$49,$J1518,Tank2!$C$32:$C$49)*Impacts!$F$9),0)</f>
        <v>0</v>
      </c>
      <c r="N1518" s="10">
        <f>IF(Tank3!$C$23="No control",(SUMIF(Tank3!$B$32:$B$49,$J1518,Tank3!$C$32:$C$49)*Impacts!$F$10),0)</f>
        <v>0</v>
      </c>
      <c r="O1518" s="10">
        <f>IF(Tank4!$C$23="No control",(SUMIF(Tank4!$B$32:$B$49,$J1518,Tank4!$C$32:$C$49)*Impacts!$F$11),0)</f>
        <v>0</v>
      </c>
      <c r="P1518" s="10">
        <f>IF(Tank5!$C$23="No control",(SUMIF(Tank5!$B$32:$B$49,$J1518,Tank5!$C$32:$C$49)*Impacts!$F$12),0)</f>
        <v>0</v>
      </c>
      <c r="Q1518" s="10">
        <f>IFERROR(IF(('Loading-drum,tote'!$C$21)="No control",SUMIF(('Loading-drum,tote'!$B$31:$B$48),$J1518,('Loading-drum,tote'!$D$31:$D$48))*Impacts!$F$13,IF(('Loading-drum,tote'!$C$21)&lt;&gt;"No control",SUMIF(('Loading-drum,tote'!$B$31:$B$48),$J1518,('Loading-drum,tote'!$E$31:$E$48))*Impacts!$F$13,0)),0)</f>
        <v>0</v>
      </c>
      <c r="R1518" s="10">
        <f>IFERROR(IF(('Loading-truck'!$C$21)="No control",SUMIF(('Loading-truck'!$B$31:$B$48),$J1518,('Loading-truck'!$D$31:$D$48))*Impacts!$F$14,IF(('Loading-truck'!$C$21)&lt;&gt;"No control",SUMIF(('Loading-truck'!$B$31:$B$48),$J1518,('Loading-truck'!$E$31:$E$48))*Impacts!$F$14,0)),0)</f>
        <v>0</v>
      </c>
      <c r="S1518" s="10">
        <f>IFERROR(IF(('Loading-rail'!$C$21)="No control",SUMIF(('Loading-rail'!$B$31:$B$48),$J1518,('Loading-rail'!$D$31:$D$48))*Impacts!$F$15,IF(('Loading-rail'!$C$21)&lt;&gt;"No control",SUMIF(('Loading-rail'!$B$31:$B$48),$J1518,('Loading-rail'!$E$31:$E$48))*Impacts!$F$15,0)),0)</f>
        <v>0</v>
      </c>
      <c r="T1518" s="10">
        <f>IF(Flare!$C$7="",0,(SUMIF(Flare!$B$46:$B$185,$J1518,Flare!$E$46:$E$185)*Impacts!$F$16))</f>
        <v>0</v>
      </c>
      <c r="U1518" s="10">
        <f>IF(VCU!$C$9="",0,(SUMIF(VCU!$B$51:$B$193,$J1518,VCU!$E$51:$E$193)*Impacts!$F$17))</f>
        <v>0</v>
      </c>
      <c r="V1518" s="10">
        <f>IF(CAS!$C$7="",0,(SUMIF(CAS!$B$31:$B$167,$J1518,CAS!$E$31:$E$167)*Impacts!$F$18))</f>
        <v>0</v>
      </c>
      <c r="W1518" s="10">
        <f t="shared" si="64"/>
        <v>0</v>
      </c>
      <c r="AK1518" s="10" t="str">
        <f t="array" ref="AK1518">IFERROR(INDEX(SelectedSpecies,SMALL(IF(SelectedSpecies=AK$1,ROW(SelectedSpecies)),ROW(1519:1519)),2),"")</f>
        <v/>
      </c>
      <c r="BE1518" s="10"/>
      <c r="BI1518" s="10"/>
    </row>
    <row r="1519" spans="1:61" ht="21" customHeight="1" x14ac:dyDescent="0.25">
      <c r="A1519" s="10"/>
      <c r="B1519" s="10"/>
      <c r="E1519" s="10"/>
      <c r="G1519" s="10"/>
      <c r="I1519" s="436" t="s">
        <v>5858</v>
      </c>
      <c r="J1519" s="26" t="s">
        <v>5857</v>
      </c>
      <c r="K1519" s="10">
        <v>1</v>
      </c>
      <c r="L1519" s="73">
        <f>IF(Tank1!$C$23="No control",(SUMIF(Tank1!$B$32:$B$49,$J1519,Tank1!$C$32:$C$49)*Impacts!$F$8),0)</f>
        <v>0</v>
      </c>
      <c r="M1519" s="10">
        <f>IF(Tank2!$C$23="No control",(SUMIF(Tank2!$B$32:$B$49,$J1519,Tank2!$C$32:$C$49)*Impacts!$F$9),0)</f>
        <v>0</v>
      </c>
      <c r="N1519" s="10">
        <f>IF(Tank3!$C$23="No control",(SUMIF(Tank3!$B$32:$B$49,$J1519,Tank3!$C$32:$C$49)*Impacts!$F$10),0)</f>
        <v>0</v>
      </c>
      <c r="O1519" s="10">
        <f>IF(Tank4!$C$23="No control",(SUMIF(Tank4!$B$32:$B$49,$J1519,Tank4!$C$32:$C$49)*Impacts!$F$11),0)</f>
        <v>0</v>
      </c>
      <c r="P1519" s="10">
        <f>IF(Tank5!$C$23="No control",(SUMIF(Tank5!$B$32:$B$49,$J1519,Tank5!$C$32:$C$49)*Impacts!$F$12),0)</f>
        <v>0</v>
      </c>
      <c r="Q1519" s="10">
        <f>IFERROR(IF(('Loading-drum,tote'!$C$21)="No control",SUMIF(('Loading-drum,tote'!$B$31:$B$48),$J1519,('Loading-drum,tote'!$D$31:$D$48))*Impacts!$F$13,IF(('Loading-drum,tote'!$C$21)&lt;&gt;"No control",SUMIF(('Loading-drum,tote'!$B$31:$B$48),$J1519,('Loading-drum,tote'!$E$31:$E$48))*Impacts!$F$13,0)),0)</f>
        <v>0</v>
      </c>
      <c r="R1519" s="10">
        <f>IFERROR(IF(('Loading-truck'!$C$21)="No control",SUMIF(('Loading-truck'!$B$31:$B$48),$J1519,('Loading-truck'!$D$31:$D$48))*Impacts!$F$14,IF(('Loading-truck'!$C$21)&lt;&gt;"No control",SUMIF(('Loading-truck'!$B$31:$B$48),$J1519,('Loading-truck'!$E$31:$E$48))*Impacts!$F$14,0)),0)</f>
        <v>0</v>
      </c>
      <c r="S1519" s="10">
        <f>IFERROR(IF(('Loading-rail'!$C$21)="No control",SUMIF(('Loading-rail'!$B$31:$B$48),$J1519,('Loading-rail'!$D$31:$D$48))*Impacts!$F$15,IF(('Loading-rail'!$C$21)&lt;&gt;"No control",SUMIF(('Loading-rail'!$B$31:$B$48),$J1519,('Loading-rail'!$E$31:$E$48))*Impacts!$F$15,0)),0)</f>
        <v>0</v>
      </c>
      <c r="T1519" s="10">
        <f>IF(Flare!$C$7="",0,(SUMIF(Flare!$B$46:$B$185,$J1519,Flare!$E$46:$E$185)*Impacts!$F$16))</f>
        <v>0</v>
      </c>
      <c r="U1519" s="10">
        <f>IF(VCU!$C$9="",0,(SUMIF(VCU!$B$51:$B$193,$J1519,VCU!$E$51:$E$193)*Impacts!$F$17))</f>
        <v>0</v>
      </c>
      <c r="V1519" s="10">
        <f>IF(CAS!$C$7="",0,(SUMIF(CAS!$B$31:$B$167,$J1519,CAS!$E$31:$E$167)*Impacts!$F$18))</f>
        <v>0</v>
      </c>
      <c r="W1519" s="10">
        <f t="shared" si="64"/>
        <v>0</v>
      </c>
      <c r="AK1519" s="10" t="str">
        <f t="array" ref="AK1519">IFERROR(INDEX(SelectedSpecies,SMALL(IF(SelectedSpecies=AK$1,ROW(SelectedSpecies)),ROW(1520:1520)),2),"")</f>
        <v/>
      </c>
      <c r="BE1519" s="10"/>
      <c r="BI1519" s="10"/>
    </row>
    <row r="1520" spans="1:61" ht="21" customHeight="1" x14ac:dyDescent="0.25">
      <c r="A1520" s="10"/>
      <c r="B1520" s="10"/>
      <c r="E1520" s="10"/>
      <c r="G1520" s="10"/>
      <c r="I1520" s="436" t="s">
        <v>3651</v>
      </c>
      <c r="J1520" s="26" t="s">
        <v>3650</v>
      </c>
      <c r="K1520" s="10">
        <v>7.2</v>
      </c>
      <c r="L1520" s="73">
        <f>IF(Tank1!$C$23="No control",(SUMIF(Tank1!$B$32:$B$49,$J1520,Tank1!$C$32:$C$49)*Impacts!$F$8),0)</f>
        <v>0</v>
      </c>
      <c r="M1520" s="10">
        <f>IF(Tank2!$C$23="No control",(SUMIF(Tank2!$B$32:$B$49,$J1520,Tank2!$C$32:$C$49)*Impacts!$F$9),0)</f>
        <v>0</v>
      </c>
      <c r="N1520" s="10">
        <f>IF(Tank3!$C$23="No control",(SUMIF(Tank3!$B$32:$B$49,$J1520,Tank3!$C$32:$C$49)*Impacts!$F$10),0)</f>
        <v>0</v>
      </c>
      <c r="O1520" s="10">
        <f>IF(Tank4!$C$23="No control",(SUMIF(Tank4!$B$32:$B$49,$J1520,Tank4!$C$32:$C$49)*Impacts!$F$11),0)</f>
        <v>0</v>
      </c>
      <c r="P1520" s="10">
        <f>IF(Tank5!$C$23="No control",(SUMIF(Tank5!$B$32:$B$49,$J1520,Tank5!$C$32:$C$49)*Impacts!$F$12),0)</f>
        <v>0</v>
      </c>
      <c r="Q1520" s="10">
        <f>IFERROR(IF(('Loading-drum,tote'!$C$21)="No control",SUMIF(('Loading-drum,tote'!$B$31:$B$48),$J1520,('Loading-drum,tote'!$D$31:$D$48))*Impacts!$F$13,IF(('Loading-drum,tote'!$C$21)&lt;&gt;"No control",SUMIF(('Loading-drum,tote'!$B$31:$B$48),$J1520,('Loading-drum,tote'!$E$31:$E$48))*Impacts!$F$13,0)),0)</f>
        <v>0</v>
      </c>
      <c r="R1520" s="10">
        <f>IFERROR(IF(('Loading-truck'!$C$21)="No control",SUMIF(('Loading-truck'!$B$31:$B$48),$J1520,('Loading-truck'!$D$31:$D$48))*Impacts!$F$14,IF(('Loading-truck'!$C$21)&lt;&gt;"No control",SUMIF(('Loading-truck'!$B$31:$B$48),$J1520,('Loading-truck'!$E$31:$E$48))*Impacts!$F$14,0)),0)</f>
        <v>0</v>
      </c>
      <c r="S1520" s="10">
        <f>IFERROR(IF(('Loading-rail'!$C$21)="No control",SUMIF(('Loading-rail'!$B$31:$B$48),$J1520,('Loading-rail'!$D$31:$D$48))*Impacts!$F$15,IF(('Loading-rail'!$C$21)&lt;&gt;"No control",SUMIF(('Loading-rail'!$B$31:$B$48),$J1520,('Loading-rail'!$E$31:$E$48))*Impacts!$F$15,0)),0)</f>
        <v>0</v>
      </c>
      <c r="T1520" s="10">
        <f>IF(Flare!$C$7="",0,(SUMIF(Flare!$B$46:$B$185,$J1520,Flare!$E$46:$E$185)*Impacts!$F$16))</f>
        <v>0</v>
      </c>
      <c r="U1520" s="10">
        <f>IF(VCU!$C$9="",0,(SUMIF(VCU!$B$51:$B$193,$J1520,VCU!$E$51:$E$193)*Impacts!$F$17))</f>
        <v>0</v>
      </c>
      <c r="V1520" s="10">
        <f>IF(CAS!$C$7="",0,(SUMIF(CAS!$B$31:$B$167,$J1520,CAS!$E$31:$E$167)*Impacts!$F$18))</f>
        <v>0</v>
      </c>
      <c r="W1520" s="10">
        <f t="shared" si="64"/>
        <v>0</v>
      </c>
      <c r="AK1520" s="10" t="str">
        <f t="array" ref="AK1520">IFERROR(INDEX(SelectedSpecies,SMALL(IF(SelectedSpecies=AK$1,ROW(SelectedSpecies)),ROW(1521:1521)),2),"")</f>
        <v/>
      </c>
      <c r="BE1520" s="10"/>
      <c r="BI1520" s="10"/>
    </row>
    <row r="1521" spans="1:61" ht="21" customHeight="1" x14ac:dyDescent="0.25">
      <c r="A1521" s="10"/>
      <c r="B1521" s="10"/>
      <c r="E1521" s="10"/>
      <c r="G1521" s="10"/>
      <c r="I1521" s="436" t="s">
        <v>5321</v>
      </c>
      <c r="J1521" s="26" t="s">
        <v>5320</v>
      </c>
      <c r="K1521" s="10">
        <v>1.7000000000000002</v>
      </c>
      <c r="L1521" s="73">
        <f>IF(Tank1!$C$23="No control",(SUMIF(Tank1!$B$32:$B$49,$J1521,Tank1!$C$32:$C$49)*Impacts!$F$8),0)</f>
        <v>0</v>
      </c>
      <c r="M1521" s="10">
        <f>IF(Tank2!$C$23="No control",(SUMIF(Tank2!$B$32:$B$49,$J1521,Tank2!$C$32:$C$49)*Impacts!$F$9),0)</f>
        <v>0</v>
      </c>
      <c r="N1521" s="10">
        <f>IF(Tank3!$C$23="No control",(SUMIF(Tank3!$B$32:$B$49,$J1521,Tank3!$C$32:$C$49)*Impacts!$F$10),0)</f>
        <v>0</v>
      </c>
      <c r="O1521" s="10">
        <f>IF(Tank4!$C$23="No control",(SUMIF(Tank4!$B$32:$B$49,$J1521,Tank4!$C$32:$C$49)*Impacts!$F$11),0)</f>
        <v>0</v>
      </c>
      <c r="P1521" s="10">
        <f>IF(Tank5!$C$23="No control",(SUMIF(Tank5!$B$32:$B$49,$J1521,Tank5!$C$32:$C$49)*Impacts!$F$12),0)</f>
        <v>0</v>
      </c>
      <c r="Q1521" s="10">
        <f>IFERROR(IF(('Loading-drum,tote'!$C$21)="No control",SUMIF(('Loading-drum,tote'!$B$31:$B$48),$J1521,('Loading-drum,tote'!$D$31:$D$48))*Impacts!$F$13,IF(('Loading-drum,tote'!$C$21)&lt;&gt;"No control",SUMIF(('Loading-drum,tote'!$B$31:$B$48),$J1521,('Loading-drum,tote'!$E$31:$E$48))*Impacts!$F$13,0)),0)</f>
        <v>0</v>
      </c>
      <c r="R1521" s="10">
        <f>IFERROR(IF(('Loading-truck'!$C$21)="No control",SUMIF(('Loading-truck'!$B$31:$B$48),$J1521,('Loading-truck'!$D$31:$D$48))*Impacts!$F$14,IF(('Loading-truck'!$C$21)&lt;&gt;"No control",SUMIF(('Loading-truck'!$B$31:$B$48),$J1521,('Loading-truck'!$E$31:$E$48))*Impacts!$F$14,0)),0)</f>
        <v>0</v>
      </c>
      <c r="S1521" s="10">
        <f>IFERROR(IF(('Loading-rail'!$C$21)="No control",SUMIF(('Loading-rail'!$B$31:$B$48),$J1521,('Loading-rail'!$D$31:$D$48))*Impacts!$F$15,IF(('Loading-rail'!$C$21)&lt;&gt;"No control",SUMIF(('Loading-rail'!$B$31:$B$48),$J1521,('Loading-rail'!$E$31:$E$48))*Impacts!$F$15,0)),0)</f>
        <v>0</v>
      </c>
      <c r="T1521" s="10">
        <f>IF(Flare!$C$7="",0,(SUMIF(Flare!$B$46:$B$185,$J1521,Flare!$E$46:$E$185)*Impacts!$F$16))</f>
        <v>0</v>
      </c>
      <c r="U1521" s="10">
        <f>IF(VCU!$C$9="",0,(SUMIF(VCU!$B$51:$B$193,$J1521,VCU!$E$51:$E$193)*Impacts!$F$17))</f>
        <v>0</v>
      </c>
      <c r="V1521" s="10">
        <f>IF(CAS!$C$7="",0,(SUMIF(CAS!$B$31:$B$167,$J1521,CAS!$E$31:$E$167)*Impacts!$F$18))</f>
        <v>0</v>
      </c>
      <c r="W1521" s="10">
        <f t="shared" si="64"/>
        <v>0</v>
      </c>
      <c r="AK1521" s="10" t="str">
        <f t="array" ref="AK1521">IFERROR(INDEX(SelectedSpecies,SMALL(IF(SelectedSpecies=AK$1,ROW(SelectedSpecies)),ROW(1522:1522)),2),"")</f>
        <v/>
      </c>
      <c r="BE1521" s="10"/>
      <c r="BI1521" s="10"/>
    </row>
    <row r="1522" spans="1:61" ht="21" customHeight="1" x14ac:dyDescent="0.25">
      <c r="A1522" s="10"/>
      <c r="B1522" s="10"/>
      <c r="E1522" s="10"/>
      <c r="G1522" s="10"/>
      <c r="I1522" s="436" t="s">
        <v>6816</v>
      </c>
      <c r="J1522" s="26" t="s">
        <v>6815</v>
      </c>
      <c r="K1522" s="10">
        <v>0.5</v>
      </c>
      <c r="L1522" s="73">
        <f>IF(Tank1!$C$23="No control",(SUMIF(Tank1!$B$32:$B$49,$J1522,Tank1!$C$32:$C$49)*Impacts!$F$8),0)</f>
        <v>0</v>
      </c>
      <c r="M1522" s="10">
        <f>IF(Tank2!$C$23="No control",(SUMIF(Tank2!$B$32:$B$49,$J1522,Tank2!$C$32:$C$49)*Impacts!$F$9),0)</f>
        <v>0</v>
      </c>
      <c r="N1522" s="10">
        <f>IF(Tank3!$C$23="No control",(SUMIF(Tank3!$B$32:$B$49,$J1522,Tank3!$C$32:$C$49)*Impacts!$F$10),0)</f>
        <v>0</v>
      </c>
      <c r="O1522" s="10">
        <f>IF(Tank4!$C$23="No control",(SUMIF(Tank4!$B$32:$B$49,$J1522,Tank4!$C$32:$C$49)*Impacts!$F$11),0)</f>
        <v>0</v>
      </c>
      <c r="P1522" s="10">
        <f>IF(Tank5!$C$23="No control",(SUMIF(Tank5!$B$32:$B$49,$J1522,Tank5!$C$32:$C$49)*Impacts!$F$12),0)</f>
        <v>0</v>
      </c>
      <c r="Q1522" s="10">
        <f>IFERROR(IF(('Loading-drum,tote'!$C$21)="No control",SUMIF(('Loading-drum,tote'!$B$31:$B$48),$J1522,('Loading-drum,tote'!$D$31:$D$48))*Impacts!$F$13,IF(('Loading-drum,tote'!$C$21)&lt;&gt;"No control",SUMIF(('Loading-drum,tote'!$B$31:$B$48),$J1522,('Loading-drum,tote'!$E$31:$E$48))*Impacts!$F$13,0)),0)</f>
        <v>0</v>
      </c>
      <c r="R1522" s="10">
        <f>IFERROR(IF(('Loading-truck'!$C$21)="No control",SUMIF(('Loading-truck'!$B$31:$B$48),$J1522,('Loading-truck'!$D$31:$D$48))*Impacts!$F$14,IF(('Loading-truck'!$C$21)&lt;&gt;"No control",SUMIF(('Loading-truck'!$B$31:$B$48),$J1522,('Loading-truck'!$E$31:$E$48))*Impacts!$F$14,0)),0)</f>
        <v>0</v>
      </c>
      <c r="S1522" s="10">
        <f>IFERROR(IF(('Loading-rail'!$C$21)="No control",SUMIF(('Loading-rail'!$B$31:$B$48),$J1522,('Loading-rail'!$D$31:$D$48))*Impacts!$F$15,IF(('Loading-rail'!$C$21)&lt;&gt;"No control",SUMIF(('Loading-rail'!$B$31:$B$48),$J1522,('Loading-rail'!$E$31:$E$48))*Impacts!$F$15,0)),0)</f>
        <v>0</v>
      </c>
      <c r="T1522" s="10">
        <f>IF(Flare!$C$7="",0,(SUMIF(Flare!$B$46:$B$185,$J1522,Flare!$E$46:$E$185)*Impacts!$F$16))</f>
        <v>0</v>
      </c>
      <c r="U1522" s="10">
        <f>IF(VCU!$C$9="",0,(SUMIF(VCU!$B$51:$B$193,$J1522,VCU!$E$51:$E$193)*Impacts!$F$17))</f>
        <v>0</v>
      </c>
      <c r="V1522" s="10">
        <f>IF(CAS!$C$7="",0,(SUMIF(CAS!$B$31:$B$167,$J1522,CAS!$E$31:$E$167)*Impacts!$F$18))</f>
        <v>0</v>
      </c>
      <c r="W1522" s="10">
        <f t="shared" si="64"/>
        <v>0</v>
      </c>
      <c r="AK1522" s="10" t="str">
        <f t="array" ref="AK1522">IFERROR(INDEX(SelectedSpecies,SMALL(IF(SelectedSpecies=AK$1,ROW(SelectedSpecies)),ROW(1523:1523)),2),"")</f>
        <v/>
      </c>
      <c r="BE1522" s="10"/>
      <c r="BI1522" s="10"/>
    </row>
    <row r="1523" spans="1:61" ht="21" customHeight="1" x14ac:dyDescent="0.25">
      <c r="A1523" s="10"/>
      <c r="B1523" s="10"/>
      <c r="E1523" s="10"/>
      <c r="G1523" s="10"/>
      <c r="I1523" s="436" t="s">
        <v>7088</v>
      </c>
      <c r="J1523" s="26" t="s">
        <v>7087</v>
      </c>
      <c r="K1523" s="10">
        <v>0.4</v>
      </c>
      <c r="L1523" s="73">
        <f>IF(Tank1!$C$23="No control",(SUMIF(Tank1!$B$32:$B$49,$J1523,Tank1!$C$32:$C$49)*Impacts!$F$8),0)</f>
        <v>0</v>
      </c>
      <c r="M1523" s="10">
        <f>IF(Tank2!$C$23="No control",(SUMIF(Tank2!$B$32:$B$49,$J1523,Tank2!$C$32:$C$49)*Impacts!$F$9),0)</f>
        <v>0</v>
      </c>
      <c r="N1523" s="10">
        <f>IF(Tank3!$C$23="No control",(SUMIF(Tank3!$B$32:$B$49,$J1523,Tank3!$C$32:$C$49)*Impacts!$F$10),0)</f>
        <v>0</v>
      </c>
      <c r="O1523" s="10">
        <f>IF(Tank4!$C$23="No control",(SUMIF(Tank4!$B$32:$B$49,$J1523,Tank4!$C$32:$C$49)*Impacts!$F$11),0)</f>
        <v>0</v>
      </c>
      <c r="P1523" s="10">
        <f>IF(Tank5!$C$23="No control",(SUMIF(Tank5!$B$32:$B$49,$J1523,Tank5!$C$32:$C$49)*Impacts!$F$12),0)</f>
        <v>0</v>
      </c>
      <c r="Q1523" s="10">
        <f>IFERROR(IF(('Loading-drum,tote'!$C$21)="No control",SUMIF(('Loading-drum,tote'!$B$31:$B$48),$J1523,('Loading-drum,tote'!$D$31:$D$48))*Impacts!$F$13,IF(('Loading-drum,tote'!$C$21)&lt;&gt;"No control",SUMIF(('Loading-drum,tote'!$B$31:$B$48),$J1523,('Loading-drum,tote'!$E$31:$E$48))*Impacts!$F$13,0)),0)</f>
        <v>0</v>
      </c>
      <c r="R1523" s="10">
        <f>IFERROR(IF(('Loading-truck'!$C$21)="No control",SUMIF(('Loading-truck'!$B$31:$B$48),$J1523,('Loading-truck'!$D$31:$D$48))*Impacts!$F$14,IF(('Loading-truck'!$C$21)&lt;&gt;"No control",SUMIF(('Loading-truck'!$B$31:$B$48),$J1523,('Loading-truck'!$E$31:$E$48))*Impacts!$F$14,0)),0)</f>
        <v>0</v>
      </c>
      <c r="S1523" s="10">
        <f>IFERROR(IF(('Loading-rail'!$C$21)="No control",SUMIF(('Loading-rail'!$B$31:$B$48),$J1523,('Loading-rail'!$D$31:$D$48))*Impacts!$F$15,IF(('Loading-rail'!$C$21)&lt;&gt;"No control",SUMIF(('Loading-rail'!$B$31:$B$48),$J1523,('Loading-rail'!$E$31:$E$48))*Impacts!$F$15,0)),0)</f>
        <v>0</v>
      </c>
      <c r="T1523" s="10">
        <f>IF(Flare!$C$7="",0,(SUMIF(Flare!$B$46:$B$185,$J1523,Flare!$E$46:$E$185)*Impacts!$F$16))</f>
        <v>0</v>
      </c>
      <c r="U1523" s="10">
        <f>IF(VCU!$C$9="",0,(SUMIF(VCU!$B$51:$B$193,$J1523,VCU!$E$51:$E$193)*Impacts!$F$17))</f>
        <v>0</v>
      </c>
      <c r="V1523" s="10">
        <f>IF(CAS!$C$7="",0,(SUMIF(CAS!$B$31:$B$167,$J1523,CAS!$E$31:$E$167)*Impacts!$F$18))</f>
        <v>0</v>
      </c>
      <c r="W1523" s="10">
        <f t="shared" si="64"/>
        <v>0</v>
      </c>
      <c r="AK1523" s="10" t="str">
        <f t="array" ref="AK1523">IFERROR(INDEX(SelectedSpecies,SMALL(IF(SelectedSpecies=AK$1,ROW(SelectedSpecies)),ROW(1524:1524)),2),"")</f>
        <v/>
      </c>
      <c r="BE1523" s="10"/>
      <c r="BI1523" s="10"/>
    </row>
    <row r="1524" spans="1:61" ht="21" customHeight="1" x14ac:dyDescent="0.25">
      <c r="A1524" s="10"/>
      <c r="B1524" s="10"/>
      <c r="E1524" s="10"/>
      <c r="G1524" s="10"/>
      <c r="I1524" s="436" t="s">
        <v>3939</v>
      </c>
      <c r="J1524" s="26" t="s">
        <v>3938</v>
      </c>
      <c r="K1524" s="10">
        <v>6</v>
      </c>
      <c r="L1524" s="73">
        <f>IF(Tank1!$C$23="No control",(SUMIF(Tank1!$B$32:$B$49,$J1524,Tank1!$C$32:$C$49)*Impacts!$F$8),0)</f>
        <v>0</v>
      </c>
      <c r="M1524" s="10">
        <f>IF(Tank2!$C$23="No control",(SUMIF(Tank2!$B$32:$B$49,$J1524,Tank2!$C$32:$C$49)*Impacts!$F$9),0)</f>
        <v>0</v>
      </c>
      <c r="N1524" s="10">
        <f>IF(Tank3!$C$23="No control",(SUMIF(Tank3!$B$32:$B$49,$J1524,Tank3!$C$32:$C$49)*Impacts!$F$10),0)</f>
        <v>0</v>
      </c>
      <c r="O1524" s="10">
        <f>IF(Tank4!$C$23="No control",(SUMIF(Tank4!$B$32:$B$49,$J1524,Tank4!$C$32:$C$49)*Impacts!$F$11),0)</f>
        <v>0</v>
      </c>
      <c r="P1524" s="10">
        <f>IF(Tank5!$C$23="No control",(SUMIF(Tank5!$B$32:$B$49,$J1524,Tank5!$C$32:$C$49)*Impacts!$F$12),0)</f>
        <v>0</v>
      </c>
      <c r="Q1524" s="10">
        <f>IFERROR(IF(('Loading-drum,tote'!$C$21)="No control",SUMIF(('Loading-drum,tote'!$B$31:$B$48),$J1524,('Loading-drum,tote'!$D$31:$D$48))*Impacts!$F$13,IF(('Loading-drum,tote'!$C$21)&lt;&gt;"No control",SUMIF(('Loading-drum,tote'!$B$31:$B$48),$J1524,('Loading-drum,tote'!$E$31:$E$48))*Impacts!$F$13,0)),0)</f>
        <v>0</v>
      </c>
      <c r="R1524" s="10">
        <f>IFERROR(IF(('Loading-truck'!$C$21)="No control",SUMIF(('Loading-truck'!$B$31:$B$48),$J1524,('Loading-truck'!$D$31:$D$48))*Impacts!$F$14,IF(('Loading-truck'!$C$21)&lt;&gt;"No control",SUMIF(('Loading-truck'!$B$31:$B$48),$J1524,('Loading-truck'!$E$31:$E$48))*Impacts!$F$14,0)),0)</f>
        <v>0</v>
      </c>
      <c r="S1524" s="10">
        <f>IFERROR(IF(('Loading-rail'!$C$21)="No control",SUMIF(('Loading-rail'!$B$31:$B$48),$J1524,('Loading-rail'!$D$31:$D$48))*Impacts!$F$15,IF(('Loading-rail'!$C$21)&lt;&gt;"No control",SUMIF(('Loading-rail'!$B$31:$B$48),$J1524,('Loading-rail'!$E$31:$E$48))*Impacts!$F$15,0)),0)</f>
        <v>0</v>
      </c>
      <c r="T1524" s="10">
        <f>IF(Flare!$C$7="",0,(SUMIF(Flare!$B$46:$B$185,$J1524,Flare!$E$46:$E$185)*Impacts!$F$16))</f>
        <v>0</v>
      </c>
      <c r="U1524" s="10">
        <f>IF(VCU!$C$9="",0,(SUMIF(VCU!$B$51:$B$193,$J1524,VCU!$E$51:$E$193)*Impacts!$F$17))</f>
        <v>0</v>
      </c>
      <c r="V1524" s="10">
        <f>IF(CAS!$C$7="",0,(SUMIF(CAS!$B$31:$B$167,$J1524,CAS!$E$31:$E$167)*Impacts!$F$18))</f>
        <v>0</v>
      </c>
      <c r="W1524" s="10">
        <f t="shared" si="64"/>
        <v>0</v>
      </c>
      <c r="AK1524" s="10" t="str">
        <f t="array" ref="AK1524">IFERROR(INDEX(SelectedSpecies,SMALL(IF(SelectedSpecies=AK$1,ROW(SelectedSpecies)),ROW(1525:1525)),2),"")</f>
        <v/>
      </c>
      <c r="BE1524" s="10"/>
      <c r="BI1524" s="10"/>
    </row>
    <row r="1525" spans="1:61" ht="21" customHeight="1" x14ac:dyDescent="0.25">
      <c r="A1525" s="10"/>
      <c r="B1525" s="10"/>
      <c r="E1525" s="10"/>
      <c r="G1525" s="10"/>
      <c r="I1525" s="436" t="s">
        <v>5487</v>
      </c>
      <c r="J1525" s="26" t="s">
        <v>5486</v>
      </c>
      <c r="K1525" s="10">
        <v>1.3</v>
      </c>
      <c r="L1525" s="73">
        <f>IF(Tank1!$C$23="No control",(SUMIF(Tank1!$B$32:$B$49,$J1525,Tank1!$C$32:$C$49)*Impacts!$F$8),0)</f>
        <v>0</v>
      </c>
      <c r="M1525" s="10">
        <f>IF(Tank2!$C$23="No control",(SUMIF(Tank2!$B$32:$B$49,$J1525,Tank2!$C$32:$C$49)*Impacts!$F$9),0)</f>
        <v>0</v>
      </c>
      <c r="N1525" s="10">
        <f>IF(Tank3!$C$23="No control",(SUMIF(Tank3!$B$32:$B$49,$J1525,Tank3!$C$32:$C$49)*Impacts!$F$10),0)</f>
        <v>0</v>
      </c>
      <c r="O1525" s="10">
        <f>IF(Tank4!$C$23="No control",(SUMIF(Tank4!$B$32:$B$49,$J1525,Tank4!$C$32:$C$49)*Impacts!$F$11),0)</f>
        <v>0</v>
      </c>
      <c r="P1525" s="10">
        <f>IF(Tank5!$C$23="No control",(SUMIF(Tank5!$B$32:$B$49,$J1525,Tank5!$C$32:$C$49)*Impacts!$F$12),0)</f>
        <v>0</v>
      </c>
      <c r="Q1525" s="10">
        <f>IFERROR(IF(('Loading-drum,tote'!$C$21)="No control",SUMIF(('Loading-drum,tote'!$B$31:$B$48),$J1525,('Loading-drum,tote'!$D$31:$D$48))*Impacts!$F$13,IF(('Loading-drum,tote'!$C$21)&lt;&gt;"No control",SUMIF(('Loading-drum,tote'!$B$31:$B$48),$J1525,('Loading-drum,tote'!$E$31:$E$48))*Impacts!$F$13,0)),0)</f>
        <v>0</v>
      </c>
      <c r="R1525" s="10">
        <f>IFERROR(IF(('Loading-truck'!$C$21)="No control",SUMIF(('Loading-truck'!$B$31:$B$48),$J1525,('Loading-truck'!$D$31:$D$48))*Impacts!$F$14,IF(('Loading-truck'!$C$21)&lt;&gt;"No control",SUMIF(('Loading-truck'!$B$31:$B$48),$J1525,('Loading-truck'!$E$31:$E$48))*Impacts!$F$14,0)),0)</f>
        <v>0</v>
      </c>
      <c r="S1525" s="10">
        <f>IFERROR(IF(('Loading-rail'!$C$21)="No control",SUMIF(('Loading-rail'!$B$31:$B$48),$J1525,('Loading-rail'!$D$31:$D$48))*Impacts!$F$15,IF(('Loading-rail'!$C$21)&lt;&gt;"No control",SUMIF(('Loading-rail'!$B$31:$B$48),$J1525,('Loading-rail'!$E$31:$E$48))*Impacts!$F$15,0)),0)</f>
        <v>0</v>
      </c>
      <c r="T1525" s="10">
        <f>IF(Flare!$C$7="",0,(SUMIF(Flare!$B$46:$B$185,$J1525,Flare!$E$46:$E$185)*Impacts!$F$16))</f>
        <v>0</v>
      </c>
      <c r="U1525" s="10">
        <f>IF(VCU!$C$9="",0,(SUMIF(VCU!$B$51:$B$193,$J1525,VCU!$E$51:$E$193)*Impacts!$F$17))</f>
        <v>0</v>
      </c>
      <c r="V1525" s="10">
        <f>IF(CAS!$C$7="",0,(SUMIF(CAS!$B$31:$B$167,$J1525,CAS!$E$31:$E$167)*Impacts!$F$18))</f>
        <v>0</v>
      </c>
      <c r="W1525" s="10">
        <f t="shared" si="64"/>
        <v>0</v>
      </c>
      <c r="AK1525" s="10" t="str">
        <f t="array" ref="AK1525">IFERROR(INDEX(SelectedSpecies,SMALL(IF(SelectedSpecies=AK$1,ROW(SelectedSpecies)),ROW(1526:1526)),2),"")</f>
        <v/>
      </c>
      <c r="BE1525" s="10"/>
      <c r="BI1525" s="10"/>
    </row>
    <row r="1526" spans="1:61" ht="21" customHeight="1" x14ac:dyDescent="0.25">
      <c r="A1526" s="10"/>
      <c r="B1526" s="10"/>
      <c r="E1526" s="10"/>
      <c r="G1526" s="10"/>
      <c r="I1526" s="436" t="s">
        <v>7018</v>
      </c>
      <c r="J1526" s="26" t="s">
        <v>7017</v>
      </c>
      <c r="K1526" s="10">
        <v>0.45</v>
      </c>
      <c r="L1526" s="73">
        <f>IF(Tank1!$C$23="No control",(SUMIF(Tank1!$B$32:$B$49,$J1526,Tank1!$C$32:$C$49)*Impacts!$F$8),0)</f>
        <v>0</v>
      </c>
      <c r="M1526" s="10">
        <f>IF(Tank2!$C$23="No control",(SUMIF(Tank2!$B$32:$B$49,$J1526,Tank2!$C$32:$C$49)*Impacts!$F$9),0)</f>
        <v>0</v>
      </c>
      <c r="N1526" s="10">
        <f>IF(Tank3!$C$23="No control",(SUMIF(Tank3!$B$32:$B$49,$J1526,Tank3!$C$32:$C$49)*Impacts!$F$10),0)</f>
        <v>0</v>
      </c>
      <c r="O1526" s="10">
        <f>IF(Tank4!$C$23="No control",(SUMIF(Tank4!$B$32:$B$49,$J1526,Tank4!$C$32:$C$49)*Impacts!$F$11),0)</f>
        <v>0</v>
      </c>
      <c r="P1526" s="10">
        <f>IF(Tank5!$C$23="No control",(SUMIF(Tank5!$B$32:$B$49,$J1526,Tank5!$C$32:$C$49)*Impacts!$F$12),0)</f>
        <v>0</v>
      </c>
      <c r="Q1526" s="10">
        <f>IFERROR(IF(('Loading-drum,tote'!$C$21)="No control",SUMIF(('Loading-drum,tote'!$B$31:$B$48),$J1526,('Loading-drum,tote'!$D$31:$D$48))*Impacts!$F$13,IF(('Loading-drum,tote'!$C$21)&lt;&gt;"No control",SUMIF(('Loading-drum,tote'!$B$31:$B$48),$J1526,('Loading-drum,tote'!$E$31:$E$48))*Impacts!$F$13,0)),0)</f>
        <v>0</v>
      </c>
      <c r="R1526" s="10">
        <f>IFERROR(IF(('Loading-truck'!$C$21)="No control",SUMIF(('Loading-truck'!$B$31:$B$48),$J1526,('Loading-truck'!$D$31:$D$48))*Impacts!$F$14,IF(('Loading-truck'!$C$21)&lt;&gt;"No control",SUMIF(('Loading-truck'!$B$31:$B$48),$J1526,('Loading-truck'!$E$31:$E$48))*Impacts!$F$14,0)),0)</f>
        <v>0</v>
      </c>
      <c r="S1526" s="10">
        <f>IFERROR(IF(('Loading-rail'!$C$21)="No control",SUMIF(('Loading-rail'!$B$31:$B$48),$J1526,('Loading-rail'!$D$31:$D$48))*Impacts!$F$15,IF(('Loading-rail'!$C$21)&lt;&gt;"No control",SUMIF(('Loading-rail'!$B$31:$B$48),$J1526,('Loading-rail'!$E$31:$E$48))*Impacts!$F$15,0)),0)</f>
        <v>0</v>
      </c>
      <c r="T1526" s="10">
        <f>IF(Flare!$C$7="",0,(SUMIF(Flare!$B$46:$B$185,$J1526,Flare!$E$46:$E$185)*Impacts!$F$16))</f>
        <v>0</v>
      </c>
      <c r="U1526" s="10">
        <f>IF(VCU!$C$9="",0,(SUMIF(VCU!$B$51:$B$193,$J1526,VCU!$E$51:$E$193)*Impacts!$F$17))</f>
        <v>0</v>
      </c>
      <c r="V1526" s="10">
        <f>IF(CAS!$C$7="",0,(SUMIF(CAS!$B$31:$B$167,$J1526,CAS!$E$31:$E$167)*Impacts!$F$18))</f>
        <v>0</v>
      </c>
      <c r="W1526" s="10">
        <f t="shared" si="64"/>
        <v>0</v>
      </c>
      <c r="AK1526" s="10" t="str">
        <f t="array" ref="AK1526">IFERROR(INDEX(SelectedSpecies,SMALL(IF(SelectedSpecies=AK$1,ROW(SelectedSpecies)),ROW(1527:1527)),2),"")</f>
        <v/>
      </c>
      <c r="BE1526" s="10"/>
      <c r="BI1526" s="10"/>
    </row>
    <row r="1527" spans="1:61" ht="21" customHeight="1" x14ac:dyDescent="0.25">
      <c r="A1527" s="10"/>
      <c r="B1527" s="10"/>
      <c r="E1527" s="10"/>
      <c r="G1527" s="10"/>
      <c r="I1527" s="436" t="s">
        <v>8322</v>
      </c>
      <c r="J1527" s="26" t="s">
        <v>8321</v>
      </c>
      <c r="K1527" s="10">
        <v>5.0000000000000001E-4</v>
      </c>
      <c r="L1527" s="73">
        <f>IF(Tank1!$C$23="No control",(SUMIF(Tank1!$B$32:$B$49,$J1527,Tank1!$C$32:$C$49)*Impacts!$F$8),0)</f>
        <v>0</v>
      </c>
      <c r="M1527" s="10">
        <f>IF(Tank2!$C$23="No control",(SUMIF(Tank2!$B$32:$B$49,$J1527,Tank2!$C$32:$C$49)*Impacts!$F$9),0)</f>
        <v>0</v>
      </c>
      <c r="N1527" s="10">
        <f>IF(Tank3!$C$23="No control",(SUMIF(Tank3!$B$32:$B$49,$J1527,Tank3!$C$32:$C$49)*Impacts!$F$10),0)</f>
        <v>0</v>
      </c>
      <c r="O1527" s="10">
        <f>IF(Tank4!$C$23="No control",(SUMIF(Tank4!$B$32:$B$49,$J1527,Tank4!$C$32:$C$49)*Impacts!$F$11),0)</f>
        <v>0</v>
      </c>
      <c r="P1527" s="10">
        <f>IF(Tank5!$C$23="No control",(SUMIF(Tank5!$B$32:$B$49,$J1527,Tank5!$C$32:$C$49)*Impacts!$F$12),0)</f>
        <v>0</v>
      </c>
      <c r="Q1527" s="10">
        <f>IFERROR(IF(('Loading-drum,tote'!$C$21)="No control",SUMIF(('Loading-drum,tote'!$B$31:$B$48),$J1527,('Loading-drum,tote'!$D$31:$D$48))*Impacts!$F$13,IF(('Loading-drum,tote'!$C$21)&lt;&gt;"No control",SUMIF(('Loading-drum,tote'!$B$31:$B$48),$J1527,('Loading-drum,tote'!$E$31:$E$48))*Impacts!$F$13,0)),0)</f>
        <v>0</v>
      </c>
      <c r="R1527" s="10">
        <f>IFERROR(IF(('Loading-truck'!$C$21)="No control",SUMIF(('Loading-truck'!$B$31:$B$48),$J1527,('Loading-truck'!$D$31:$D$48))*Impacts!$F$14,IF(('Loading-truck'!$C$21)&lt;&gt;"No control",SUMIF(('Loading-truck'!$B$31:$B$48),$J1527,('Loading-truck'!$E$31:$E$48))*Impacts!$F$14,0)),0)</f>
        <v>0</v>
      </c>
      <c r="S1527" s="10">
        <f>IFERROR(IF(('Loading-rail'!$C$21)="No control",SUMIF(('Loading-rail'!$B$31:$B$48),$J1527,('Loading-rail'!$D$31:$D$48))*Impacts!$F$15,IF(('Loading-rail'!$C$21)&lt;&gt;"No control",SUMIF(('Loading-rail'!$B$31:$B$48),$J1527,('Loading-rail'!$E$31:$E$48))*Impacts!$F$15,0)),0)</f>
        <v>0</v>
      </c>
      <c r="T1527" s="10">
        <f>IF(Flare!$C$7="",0,(SUMIF(Flare!$B$46:$B$185,$J1527,Flare!$E$46:$E$185)*Impacts!$F$16))</f>
        <v>0</v>
      </c>
      <c r="U1527" s="10">
        <f>IF(VCU!$C$9="",0,(SUMIF(VCU!$B$51:$B$193,$J1527,VCU!$E$51:$E$193)*Impacts!$F$17))</f>
        <v>0</v>
      </c>
      <c r="V1527" s="10">
        <f>IF(CAS!$C$7="",0,(SUMIF(CAS!$B$31:$B$167,$J1527,CAS!$E$31:$E$167)*Impacts!$F$18))</f>
        <v>0</v>
      </c>
      <c r="W1527" s="10">
        <f t="shared" si="64"/>
        <v>0</v>
      </c>
      <c r="AK1527" s="10" t="str">
        <f t="array" ref="AK1527">IFERROR(INDEX(SelectedSpecies,SMALL(IF(SelectedSpecies=AK$1,ROW(SelectedSpecies)),ROW(1528:1528)),2),"")</f>
        <v/>
      </c>
      <c r="BE1527" s="10"/>
      <c r="BI1527" s="10"/>
    </row>
    <row r="1528" spans="1:61" ht="21" customHeight="1" x14ac:dyDescent="0.25">
      <c r="A1528" s="10"/>
      <c r="B1528" s="10"/>
      <c r="E1528" s="10"/>
      <c r="G1528" s="10"/>
      <c r="I1528" s="436" t="s">
        <v>8052</v>
      </c>
      <c r="J1528" s="26" t="s">
        <v>8051</v>
      </c>
      <c r="K1528" s="10">
        <v>2.0000000000000004E-2</v>
      </c>
      <c r="L1528" s="73">
        <f>IF(Tank1!$C$23="No control",(SUMIF(Tank1!$B$32:$B$49,$J1528,Tank1!$C$32:$C$49)*Impacts!$F$8),0)</f>
        <v>0</v>
      </c>
      <c r="M1528" s="10">
        <f>IF(Tank2!$C$23="No control",(SUMIF(Tank2!$B$32:$B$49,$J1528,Tank2!$C$32:$C$49)*Impacts!$F$9),0)</f>
        <v>0</v>
      </c>
      <c r="N1528" s="10">
        <f>IF(Tank3!$C$23="No control",(SUMIF(Tank3!$B$32:$B$49,$J1528,Tank3!$C$32:$C$49)*Impacts!$F$10),0)</f>
        <v>0</v>
      </c>
      <c r="O1528" s="10">
        <f>IF(Tank4!$C$23="No control",(SUMIF(Tank4!$B$32:$B$49,$J1528,Tank4!$C$32:$C$49)*Impacts!$F$11),0)</f>
        <v>0</v>
      </c>
      <c r="P1528" s="10">
        <f>IF(Tank5!$C$23="No control",(SUMIF(Tank5!$B$32:$B$49,$J1528,Tank5!$C$32:$C$49)*Impacts!$F$12),0)</f>
        <v>0</v>
      </c>
      <c r="Q1528" s="10">
        <f>IFERROR(IF(('Loading-drum,tote'!$C$21)="No control",SUMIF(('Loading-drum,tote'!$B$31:$B$48),$J1528,('Loading-drum,tote'!$D$31:$D$48))*Impacts!$F$13,IF(('Loading-drum,tote'!$C$21)&lt;&gt;"No control",SUMIF(('Loading-drum,tote'!$B$31:$B$48),$J1528,('Loading-drum,tote'!$E$31:$E$48))*Impacts!$F$13,0)),0)</f>
        <v>0</v>
      </c>
      <c r="R1528" s="10">
        <f>IFERROR(IF(('Loading-truck'!$C$21)="No control",SUMIF(('Loading-truck'!$B$31:$B$48),$J1528,('Loading-truck'!$D$31:$D$48))*Impacts!$F$14,IF(('Loading-truck'!$C$21)&lt;&gt;"No control",SUMIF(('Loading-truck'!$B$31:$B$48),$J1528,('Loading-truck'!$E$31:$E$48))*Impacts!$F$14,0)),0)</f>
        <v>0</v>
      </c>
      <c r="S1528" s="10">
        <f>IFERROR(IF(('Loading-rail'!$C$21)="No control",SUMIF(('Loading-rail'!$B$31:$B$48),$J1528,('Loading-rail'!$D$31:$D$48))*Impacts!$F$15,IF(('Loading-rail'!$C$21)&lt;&gt;"No control",SUMIF(('Loading-rail'!$B$31:$B$48),$J1528,('Loading-rail'!$E$31:$E$48))*Impacts!$F$15,0)),0)</f>
        <v>0</v>
      </c>
      <c r="T1528" s="10">
        <f>IF(Flare!$C$7="",0,(SUMIF(Flare!$B$46:$B$185,$J1528,Flare!$E$46:$E$185)*Impacts!$F$16))</f>
        <v>0</v>
      </c>
      <c r="U1528" s="10">
        <f>IF(VCU!$C$9="",0,(SUMIF(VCU!$B$51:$B$193,$J1528,VCU!$E$51:$E$193)*Impacts!$F$17))</f>
        <v>0</v>
      </c>
      <c r="V1528" s="10">
        <f>IF(CAS!$C$7="",0,(SUMIF(CAS!$B$31:$B$167,$J1528,CAS!$E$31:$E$167)*Impacts!$F$18))</f>
        <v>0</v>
      </c>
      <c r="W1528" s="10">
        <f t="shared" si="64"/>
        <v>0</v>
      </c>
      <c r="AK1528" s="10" t="str">
        <f t="array" ref="AK1528">IFERROR(INDEX(SelectedSpecies,SMALL(IF(SelectedSpecies=AK$1,ROW(SelectedSpecies)),ROW(1529:1529)),2),"")</f>
        <v/>
      </c>
      <c r="BE1528" s="10"/>
      <c r="BI1528" s="10"/>
    </row>
    <row r="1529" spans="1:61" ht="21" customHeight="1" x14ac:dyDescent="0.25">
      <c r="A1529" s="10"/>
      <c r="B1529" s="10"/>
      <c r="E1529" s="10"/>
      <c r="G1529" s="10"/>
      <c r="I1529" s="436" t="s">
        <v>770</v>
      </c>
      <c r="J1529" s="26" t="s">
        <v>769</v>
      </c>
      <c r="K1529" s="10">
        <v>54</v>
      </c>
      <c r="L1529" s="73">
        <f>IF(Tank1!$C$23="No control",(SUMIF(Tank1!$B$32:$B$49,$J1529,Tank1!$C$32:$C$49)*Impacts!$F$8),0)</f>
        <v>0</v>
      </c>
      <c r="M1529" s="10">
        <f>IF(Tank2!$C$23="No control",(SUMIF(Tank2!$B$32:$B$49,$J1529,Tank2!$C$32:$C$49)*Impacts!$F$9),0)</f>
        <v>0</v>
      </c>
      <c r="N1529" s="10">
        <f>IF(Tank3!$C$23="No control",(SUMIF(Tank3!$B$32:$B$49,$J1529,Tank3!$C$32:$C$49)*Impacts!$F$10),0)</f>
        <v>0</v>
      </c>
      <c r="O1529" s="10">
        <f>IF(Tank4!$C$23="No control",(SUMIF(Tank4!$B$32:$B$49,$J1529,Tank4!$C$32:$C$49)*Impacts!$F$11),0)</f>
        <v>0</v>
      </c>
      <c r="P1529" s="10">
        <f>IF(Tank5!$C$23="No control",(SUMIF(Tank5!$B$32:$B$49,$J1529,Tank5!$C$32:$C$49)*Impacts!$F$12),0)</f>
        <v>0</v>
      </c>
      <c r="Q1529" s="10">
        <f>IFERROR(IF(('Loading-drum,tote'!$C$21)="No control",SUMIF(('Loading-drum,tote'!$B$31:$B$48),$J1529,('Loading-drum,tote'!$D$31:$D$48))*Impacts!$F$13,IF(('Loading-drum,tote'!$C$21)&lt;&gt;"No control",SUMIF(('Loading-drum,tote'!$B$31:$B$48),$J1529,('Loading-drum,tote'!$E$31:$E$48))*Impacts!$F$13,0)),0)</f>
        <v>0</v>
      </c>
      <c r="R1529" s="10">
        <f>IFERROR(IF(('Loading-truck'!$C$21)="No control",SUMIF(('Loading-truck'!$B$31:$B$48),$J1529,('Loading-truck'!$D$31:$D$48))*Impacts!$F$14,IF(('Loading-truck'!$C$21)&lt;&gt;"No control",SUMIF(('Loading-truck'!$B$31:$B$48),$J1529,('Loading-truck'!$E$31:$E$48))*Impacts!$F$14,0)),0)</f>
        <v>0</v>
      </c>
      <c r="S1529" s="10">
        <f>IFERROR(IF(('Loading-rail'!$C$21)="No control",SUMIF(('Loading-rail'!$B$31:$B$48),$J1529,('Loading-rail'!$D$31:$D$48))*Impacts!$F$15,IF(('Loading-rail'!$C$21)&lt;&gt;"No control",SUMIF(('Loading-rail'!$B$31:$B$48),$J1529,('Loading-rail'!$E$31:$E$48))*Impacts!$F$15,0)),0)</f>
        <v>0</v>
      </c>
      <c r="T1529" s="10">
        <f>IF(Flare!$C$7="",0,(SUMIF(Flare!$B$46:$B$185,$J1529,Flare!$E$46:$E$185)*Impacts!$F$16))</f>
        <v>0</v>
      </c>
      <c r="U1529" s="10">
        <f>IF(VCU!$C$9="",0,(SUMIF(VCU!$B$51:$B$193,$J1529,VCU!$E$51:$E$193)*Impacts!$F$17))</f>
        <v>0</v>
      </c>
      <c r="V1529" s="10">
        <f>IF(CAS!$C$7="",0,(SUMIF(CAS!$B$31:$B$167,$J1529,CAS!$E$31:$E$167)*Impacts!$F$18))</f>
        <v>0</v>
      </c>
      <c r="W1529" s="10">
        <f t="shared" si="64"/>
        <v>0</v>
      </c>
      <c r="AK1529" s="10" t="str">
        <f t="array" ref="AK1529">IFERROR(INDEX(SelectedSpecies,SMALL(IF(SelectedSpecies=AK$1,ROW(SelectedSpecies)),ROW(1530:1530)),2),"")</f>
        <v/>
      </c>
      <c r="BE1529" s="10"/>
      <c r="BI1529" s="10"/>
    </row>
    <row r="1530" spans="1:61" ht="21" customHeight="1" x14ac:dyDescent="0.25">
      <c r="A1530" s="10"/>
      <c r="B1530" s="10"/>
      <c r="E1530" s="10"/>
      <c r="G1530" s="10"/>
      <c r="I1530" s="436" t="s">
        <v>2837</v>
      </c>
      <c r="J1530" s="26" t="s">
        <v>2836</v>
      </c>
      <c r="K1530" s="10">
        <v>10</v>
      </c>
      <c r="L1530" s="73">
        <f>IF(Tank1!$C$23="No control",(SUMIF(Tank1!$B$32:$B$49,$J1530,Tank1!$C$32:$C$49)*Impacts!$F$8),0)</f>
        <v>0</v>
      </c>
      <c r="M1530" s="10">
        <f>IF(Tank2!$C$23="No control",(SUMIF(Tank2!$B$32:$B$49,$J1530,Tank2!$C$32:$C$49)*Impacts!$F$9),0)</f>
        <v>0</v>
      </c>
      <c r="N1530" s="10">
        <f>IF(Tank3!$C$23="No control",(SUMIF(Tank3!$B$32:$B$49,$J1530,Tank3!$C$32:$C$49)*Impacts!$F$10),0)</f>
        <v>0</v>
      </c>
      <c r="O1530" s="10">
        <f>IF(Tank4!$C$23="No control",(SUMIF(Tank4!$B$32:$B$49,$J1530,Tank4!$C$32:$C$49)*Impacts!$F$11),0)</f>
        <v>0</v>
      </c>
      <c r="P1530" s="10">
        <f>IF(Tank5!$C$23="No control",(SUMIF(Tank5!$B$32:$B$49,$J1530,Tank5!$C$32:$C$49)*Impacts!$F$12),0)</f>
        <v>0</v>
      </c>
      <c r="Q1530" s="10">
        <f>IFERROR(IF(('Loading-drum,tote'!$C$21)="No control",SUMIF(('Loading-drum,tote'!$B$31:$B$48),$J1530,('Loading-drum,tote'!$D$31:$D$48))*Impacts!$F$13,IF(('Loading-drum,tote'!$C$21)&lt;&gt;"No control",SUMIF(('Loading-drum,tote'!$B$31:$B$48),$J1530,('Loading-drum,tote'!$E$31:$E$48))*Impacts!$F$13,0)),0)</f>
        <v>0</v>
      </c>
      <c r="R1530" s="10">
        <f>IFERROR(IF(('Loading-truck'!$C$21)="No control",SUMIF(('Loading-truck'!$B$31:$B$48),$J1530,('Loading-truck'!$D$31:$D$48))*Impacts!$F$14,IF(('Loading-truck'!$C$21)&lt;&gt;"No control",SUMIF(('Loading-truck'!$B$31:$B$48),$J1530,('Loading-truck'!$E$31:$E$48))*Impacts!$F$14,0)),0)</f>
        <v>0</v>
      </c>
      <c r="S1530" s="10">
        <f>IFERROR(IF(('Loading-rail'!$C$21)="No control",SUMIF(('Loading-rail'!$B$31:$B$48),$J1530,('Loading-rail'!$D$31:$D$48))*Impacts!$F$15,IF(('Loading-rail'!$C$21)&lt;&gt;"No control",SUMIF(('Loading-rail'!$B$31:$B$48),$J1530,('Loading-rail'!$E$31:$E$48))*Impacts!$F$15,0)),0)</f>
        <v>0</v>
      </c>
      <c r="T1530" s="10">
        <f>IF(Flare!$C$7="",0,(SUMIF(Flare!$B$46:$B$185,$J1530,Flare!$E$46:$E$185)*Impacts!$F$16))</f>
        <v>0</v>
      </c>
      <c r="U1530" s="10">
        <f>IF(VCU!$C$9="",0,(SUMIF(VCU!$B$51:$B$193,$J1530,VCU!$E$51:$E$193)*Impacts!$F$17))</f>
        <v>0</v>
      </c>
      <c r="V1530" s="10">
        <f>IF(CAS!$C$7="",0,(SUMIF(CAS!$B$31:$B$167,$J1530,CAS!$E$31:$E$167)*Impacts!$F$18))</f>
        <v>0</v>
      </c>
      <c r="W1530" s="10">
        <f t="shared" si="64"/>
        <v>0</v>
      </c>
      <c r="AK1530" s="10" t="str">
        <f t="array" ref="AK1530">IFERROR(INDEX(SelectedSpecies,SMALL(IF(SelectedSpecies=AK$1,ROW(SelectedSpecies)),ROW(1531:1531)),2),"")</f>
        <v/>
      </c>
      <c r="BE1530" s="10"/>
      <c r="BI1530" s="10"/>
    </row>
    <row r="1531" spans="1:61" ht="21" customHeight="1" x14ac:dyDescent="0.25">
      <c r="A1531" s="10"/>
      <c r="B1531" s="10"/>
      <c r="E1531" s="10"/>
      <c r="G1531" s="10"/>
      <c r="I1531" s="436" t="s">
        <v>4419</v>
      </c>
      <c r="J1531" s="26" t="s">
        <v>4418</v>
      </c>
      <c r="K1531" s="10">
        <v>4.6000000000000005</v>
      </c>
      <c r="L1531" s="73">
        <f>IF(Tank1!$C$23="No control",(SUMIF(Tank1!$B$32:$B$49,$J1531,Tank1!$C$32:$C$49)*Impacts!$F$8),0)</f>
        <v>0</v>
      </c>
      <c r="M1531" s="10">
        <f>IF(Tank2!$C$23="No control",(SUMIF(Tank2!$B$32:$B$49,$J1531,Tank2!$C$32:$C$49)*Impacts!$F$9),0)</f>
        <v>0</v>
      </c>
      <c r="N1531" s="10">
        <f>IF(Tank3!$C$23="No control",(SUMIF(Tank3!$B$32:$B$49,$J1531,Tank3!$C$32:$C$49)*Impacts!$F$10),0)</f>
        <v>0</v>
      </c>
      <c r="O1531" s="10">
        <f>IF(Tank4!$C$23="No control",(SUMIF(Tank4!$B$32:$B$49,$J1531,Tank4!$C$32:$C$49)*Impacts!$F$11),0)</f>
        <v>0</v>
      </c>
      <c r="P1531" s="10">
        <f>IF(Tank5!$C$23="No control",(SUMIF(Tank5!$B$32:$B$49,$J1531,Tank5!$C$32:$C$49)*Impacts!$F$12),0)</f>
        <v>0</v>
      </c>
      <c r="Q1531" s="10">
        <f>IFERROR(IF(('Loading-drum,tote'!$C$21)="No control",SUMIF(('Loading-drum,tote'!$B$31:$B$48),$J1531,('Loading-drum,tote'!$D$31:$D$48))*Impacts!$F$13,IF(('Loading-drum,tote'!$C$21)&lt;&gt;"No control",SUMIF(('Loading-drum,tote'!$B$31:$B$48),$J1531,('Loading-drum,tote'!$E$31:$E$48))*Impacts!$F$13,0)),0)</f>
        <v>0</v>
      </c>
      <c r="R1531" s="10">
        <f>IFERROR(IF(('Loading-truck'!$C$21)="No control",SUMIF(('Loading-truck'!$B$31:$B$48),$J1531,('Loading-truck'!$D$31:$D$48))*Impacts!$F$14,IF(('Loading-truck'!$C$21)&lt;&gt;"No control",SUMIF(('Loading-truck'!$B$31:$B$48),$J1531,('Loading-truck'!$E$31:$E$48))*Impacts!$F$14,0)),0)</f>
        <v>0</v>
      </c>
      <c r="S1531" s="10">
        <f>IFERROR(IF(('Loading-rail'!$C$21)="No control",SUMIF(('Loading-rail'!$B$31:$B$48),$J1531,('Loading-rail'!$D$31:$D$48))*Impacts!$F$15,IF(('Loading-rail'!$C$21)&lt;&gt;"No control",SUMIF(('Loading-rail'!$B$31:$B$48),$J1531,('Loading-rail'!$E$31:$E$48))*Impacts!$F$15,0)),0)</f>
        <v>0</v>
      </c>
      <c r="T1531" s="10">
        <f>IF(Flare!$C$7="",0,(SUMIF(Flare!$B$46:$B$185,$J1531,Flare!$E$46:$E$185)*Impacts!$F$16))</f>
        <v>0</v>
      </c>
      <c r="U1531" s="10">
        <f>IF(VCU!$C$9="",0,(SUMIF(VCU!$B$51:$B$193,$J1531,VCU!$E$51:$E$193)*Impacts!$F$17))</f>
        <v>0</v>
      </c>
      <c r="V1531" s="10">
        <f>IF(CAS!$C$7="",0,(SUMIF(CAS!$B$31:$B$167,$J1531,CAS!$E$31:$E$167)*Impacts!$F$18))</f>
        <v>0</v>
      </c>
      <c r="W1531" s="10">
        <f t="shared" si="64"/>
        <v>0</v>
      </c>
      <c r="AK1531" s="10" t="str">
        <f t="array" ref="AK1531">IFERROR(INDEX(SelectedSpecies,SMALL(IF(SelectedSpecies=AK$1,ROW(SelectedSpecies)),ROW(1532:1532)),2),"")</f>
        <v/>
      </c>
      <c r="BE1531" s="10"/>
      <c r="BI1531" s="10"/>
    </row>
    <row r="1532" spans="1:61" ht="21" customHeight="1" x14ac:dyDescent="0.25">
      <c r="A1532" s="10"/>
      <c r="B1532" s="10"/>
      <c r="E1532" s="10"/>
      <c r="G1532" s="10"/>
      <c r="I1532" s="436" t="s">
        <v>5860</v>
      </c>
      <c r="J1532" s="26" t="s">
        <v>5859</v>
      </c>
      <c r="K1532" s="10">
        <v>1</v>
      </c>
      <c r="L1532" s="73">
        <f>IF(Tank1!$C$23="No control",(SUMIF(Tank1!$B$32:$B$49,$J1532,Tank1!$C$32:$C$49)*Impacts!$F$8),0)</f>
        <v>0</v>
      </c>
      <c r="M1532" s="10">
        <f>IF(Tank2!$C$23="No control",(SUMIF(Tank2!$B$32:$B$49,$J1532,Tank2!$C$32:$C$49)*Impacts!$F$9),0)</f>
        <v>0</v>
      </c>
      <c r="N1532" s="10">
        <f>IF(Tank3!$C$23="No control",(SUMIF(Tank3!$B$32:$B$49,$J1532,Tank3!$C$32:$C$49)*Impacts!$F$10),0)</f>
        <v>0</v>
      </c>
      <c r="O1532" s="10">
        <f>IF(Tank4!$C$23="No control",(SUMIF(Tank4!$B$32:$B$49,$J1532,Tank4!$C$32:$C$49)*Impacts!$F$11),0)</f>
        <v>0</v>
      </c>
      <c r="P1532" s="10">
        <f>IF(Tank5!$C$23="No control",(SUMIF(Tank5!$B$32:$B$49,$J1532,Tank5!$C$32:$C$49)*Impacts!$F$12),0)</f>
        <v>0</v>
      </c>
      <c r="Q1532" s="10">
        <f>IFERROR(IF(('Loading-drum,tote'!$C$21)="No control",SUMIF(('Loading-drum,tote'!$B$31:$B$48),$J1532,('Loading-drum,tote'!$D$31:$D$48))*Impacts!$F$13,IF(('Loading-drum,tote'!$C$21)&lt;&gt;"No control",SUMIF(('Loading-drum,tote'!$B$31:$B$48),$J1532,('Loading-drum,tote'!$E$31:$E$48))*Impacts!$F$13,0)),0)</f>
        <v>0</v>
      </c>
      <c r="R1532" s="10">
        <f>IFERROR(IF(('Loading-truck'!$C$21)="No control",SUMIF(('Loading-truck'!$B$31:$B$48),$J1532,('Loading-truck'!$D$31:$D$48))*Impacts!$F$14,IF(('Loading-truck'!$C$21)&lt;&gt;"No control",SUMIF(('Loading-truck'!$B$31:$B$48),$J1532,('Loading-truck'!$E$31:$E$48))*Impacts!$F$14,0)),0)</f>
        <v>0</v>
      </c>
      <c r="S1532" s="10">
        <f>IFERROR(IF(('Loading-rail'!$C$21)="No control",SUMIF(('Loading-rail'!$B$31:$B$48),$J1532,('Loading-rail'!$D$31:$D$48))*Impacts!$F$15,IF(('Loading-rail'!$C$21)&lt;&gt;"No control",SUMIF(('Loading-rail'!$B$31:$B$48),$J1532,('Loading-rail'!$E$31:$E$48))*Impacts!$F$15,0)),0)</f>
        <v>0</v>
      </c>
      <c r="T1532" s="10">
        <f>IF(Flare!$C$7="",0,(SUMIF(Flare!$B$46:$B$185,$J1532,Flare!$E$46:$E$185)*Impacts!$F$16))</f>
        <v>0</v>
      </c>
      <c r="U1532" s="10">
        <f>IF(VCU!$C$9="",0,(SUMIF(VCU!$B$51:$B$193,$J1532,VCU!$E$51:$E$193)*Impacts!$F$17))</f>
        <v>0</v>
      </c>
      <c r="V1532" s="10">
        <f>IF(CAS!$C$7="",0,(SUMIF(CAS!$B$31:$B$167,$J1532,CAS!$E$31:$E$167)*Impacts!$F$18))</f>
        <v>0</v>
      </c>
      <c r="W1532" s="10">
        <f t="shared" si="64"/>
        <v>0</v>
      </c>
      <c r="AK1532" s="10" t="str">
        <f t="array" ref="AK1532">IFERROR(INDEX(SelectedSpecies,SMALL(IF(SelectedSpecies=AK$1,ROW(SelectedSpecies)),ROW(1533:1533)),2),"")</f>
        <v/>
      </c>
      <c r="BE1532" s="10"/>
      <c r="BI1532" s="10"/>
    </row>
    <row r="1533" spans="1:61" ht="21" customHeight="1" x14ac:dyDescent="0.25">
      <c r="A1533" s="10"/>
      <c r="B1533" s="10"/>
      <c r="E1533" s="10"/>
      <c r="G1533" s="10"/>
      <c r="I1533" s="436" t="s">
        <v>1618</v>
      </c>
      <c r="J1533" s="26" t="s">
        <v>1617</v>
      </c>
      <c r="K1533" s="10">
        <v>25</v>
      </c>
      <c r="L1533" s="73">
        <f>IF(Tank1!$C$23="No control",(SUMIF(Tank1!$B$32:$B$49,$J1533,Tank1!$C$32:$C$49)*Impacts!$F$8),0)</f>
        <v>0</v>
      </c>
      <c r="M1533" s="10">
        <f>IF(Tank2!$C$23="No control",(SUMIF(Tank2!$B$32:$B$49,$J1533,Tank2!$C$32:$C$49)*Impacts!$F$9),0)</f>
        <v>0</v>
      </c>
      <c r="N1533" s="10">
        <f>IF(Tank3!$C$23="No control",(SUMIF(Tank3!$B$32:$B$49,$J1533,Tank3!$C$32:$C$49)*Impacts!$F$10),0)</f>
        <v>0</v>
      </c>
      <c r="O1533" s="10">
        <f>IF(Tank4!$C$23="No control",(SUMIF(Tank4!$B$32:$B$49,$J1533,Tank4!$C$32:$C$49)*Impacts!$F$11),0)</f>
        <v>0</v>
      </c>
      <c r="P1533" s="10">
        <f>IF(Tank5!$C$23="No control",(SUMIF(Tank5!$B$32:$B$49,$J1533,Tank5!$C$32:$C$49)*Impacts!$F$12),0)</f>
        <v>0</v>
      </c>
      <c r="Q1533" s="10">
        <f>IFERROR(IF(('Loading-drum,tote'!$C$21)="No control",SUMIF(('Loading-drum,tote'!$B$31:$B$48),$J1533,('Loading-drum,tote'!$D$31:$D$48))*Impacts!$F$13,IF(('Loading-drum,tote'!$C$21)&lt;&gt;"No control",SUMIF(('Loading-drum,tote'!$B$31:$B$48),$J1533,('Loading-drum,tote'!$E$31:$E$48))*Impacts!$F$13,0)),0)</f>
        <v>0</v>
      </c>
      <c r="R1533" s="10">
        <f>IFERROR(IF(('Loading-truck'!$C$21)="No control",SUMIF(('Loading-truck'!$B$31:$B$48),$J1533,('Loading-truck'!$D$31:$D$48))*Impacts!$F$14,IF(('Loading-truck'!$C$21)&lt;&gt;"No control",SUMIF(('Loading-truck'!$B$31:$B$48),$J1533,('Loading-truck'!$E$31:$E$48))*Impacts!$F$14,0)),0)</f>
        <v>0</v>
      </c>
      <c r="S1533" s="10">
        <f>IFERROR(IF(('Loading-rail'!$C$21)="No control",SUMIF(('Loading-rail'!$B$31:$B$48),$J1533,('Loading-rail'!$D$31:$D$48))*Impacts!$F$15,IF(('Loading-rail'!$C$21)&lt;&gt;"No control",SUMIF(('Loading-rail'!$B$31:$B$48),$J1533,('Loading-rail'!$E$31:$E$48))*Impacts!$F$15,0)),0)</f>
        <v>0</v>
      </c>
      <c r="T1533" s="10">
        <f>IF(Flare!$C$7="",0,(SUMIF(Flare!$B$46:$B$185,$J1533,Flare!$E$46:$E$185)*Impacts!$F$16))</f>
        <v>0</v>
      </c>
      <c r="U1533" s="10">
        <f>IF(VCU!$C$9="",0,(SUMIF(VCU!$B$51:$B$193,$J1533,VCU!$E$51:$E$193)*Impacts!$F$17))</f>
        <v>0</v>
      </c>
      <c r="V1533" s="10">
        <f>IF(CAS!$C$7="",0,(SUMIF(CAS!$B$31:$B$167,$J1533,CAS!$E$31:$E$167)*Impacts!$F$18))</f>
        <v>0</v>
      </c>
      <c r="W1533" s="10">
        <f t="shared" si="64"/>
        <v>0</v>
      </c>
      <c r="AK1533" s="10" t="str">
        <f t="array" ref="AK1533">IFERROR(INDEX(SelectedSpecies,SMALL(IF(SelectedSpecies=AK$1,ROW(SelectedSpecies)),ROW(1534:1534)),2),"")</f>
        <v/>
      </c>
      <c r="BE1533" s="10"/>
      <c r="BI1533" s="10"/>
    </row>
    <row r="1534" spans="1:61" ht="21" customHeight="1" x14ac:dyDescent="0.25">
      <c r="A1534" s="10"/>
      <c r="B1534" s="10"/>
      <c r="E1534" s="10"/>
      <c r="G1534" s="10"/>
      <c r="I1534" s="436" t="s">
        <v>808</v>
      </c>
      <c r="J1534" s="26" t="s">
        <v>807</v>
      </c>
      <c r="K1534" s="10">
        <v>50</v>
      </c>
      <c r="L1534" s="73">
        <f>IF(Tank1!$C$23="No control",(SUMIF(Tank1!$B$32:$B$49,$J1534,Tank1!$C$32:$C$49)*Impacts!$F$8),0)</f>
        <v>0</v>
      </c>
      <c r="M1534" s="10">
        <f>IF(Tank2!$C$23="No control",(SUMIF(Tank2!$B$32:$B$49,$J1534,Tank2!$C$32:$C$49)*Impacts!$F$9),0)</f>
        <v>0</v>
      </c>
      <c r="N1534" s="10">
        <f>IF(Tank3!$C$23="No control",(SUMIF(Tank3!$B$32:$B$49,$J1534,Tank3!$C$32:$C$49)*Impacts!$F$10),0)</f>
        <v>0</v>
      </c>
      <c r="O1534" s="10">
        <f>IF(Tank4!$C$23="No control",(SUMIF(Tank4!$B$32:$B$49,$J1534,Tank4!$C$32:$C$49)*Impacts!$F$11),0)</f>
        <v>0</v>
      </c>
      <c r="P1534" s="10">
        <f>IF(Tank5!$C$23="No control",(SUMIF(Tank5!$B$32:$B$49,$J1534,Tank5!$C$32:$C$49)*Impacts!$F$12),0)</f>
        <v>0</v>
      </c>
      <c r="Q1534" s="10">
        <f>IFERROR(IF(('Loading-drum,tote'!$C$21)="No control",SUMIF(('Loading-drum,tote'!$B$31:$B$48),$J1534,('Loading-drum,tote'!$D$31:$D$48))*Impacts!$F$13,IF(('Loading-drum,tote'!$C$21)&lt;&gt;"No control",SUMIF(('Loading-drum,tote'!$B$31:$B$48),$J1534,('Loading-drum,tote'!$E$31:$E$48))*Impacts!$F$13,0)),0)</f>
        <v>0</v>
      </c>
      <c r="R1534" s="10">
        <f>IFERROR(IF(('Loading-truck'!$C$21)="No control",SUMIF(('Loading-truck'!$B$31:$B$48),$J1534,('Loading-truck'!$D$31:$D$48))*Impacts!$F$14,IF(('Loading-truck'!$C$21)&lt;&gt;"No control",SUMIF(('Loading-truck'!$B$31:$B$48),$J1534,('Loading-truck'!$E$31:$E$48))*Impacts!$F$14,0)),0)</f>
        <v>0</v>
      </c>
      <c r="S1534" s="10">
        <f>IFERROR(IF(('Loading-rail'!$C$21)="No control",SUMIF(('Loading-rail'!$B$31:$B$48),$J1534,('Loading-rail'!$D$31:$D$48))*Impacts!$F$15,IF(('Loading-rail'!$C$21)&lt;&gt;"No control",SUMIF(('Loading-rail'!$B$31:$B$48),$J1534,('Loading-rail'!$E$31:$E$48))*Impacts!$F$15,0)),0)</f>
        <v>0</v>
      </c>
      <c r="T1534" s="10">
        <f>IF(Flare!$C$7="",0,(SUMIF(Flare!$B$46:$B$185,$J1534,Flare!$E$46:$E$185)*Impacts!$F$16))</f>
        <v>0</v>
      </c>
      <c r="U1534" s="10">
        <f>IF(VCU!$C$9="",0,(SUMIF(VCU!$B$51:$B$193,$J1534,VCU!$E$51:$E$193)*Impacts!$F$17))</f>
        <v>0</v>
      </c>
      <c r="V1534" s="10">
        <f>IF(CAS!$C$7="",0,(SUMIF(CAS!$B$31:$B$167,$J1534,CAS!$E$31:$E$167)*Impacts!$F$18))</f>
        <v>0</v>
      </c>
      <c r="W1534" s="10">
        <f t="shared" si="64"/>
        <v>0</v>
      </c>
      <c r="AK1534" s="10" t="str">
        <f t="array" ref="AK1534">IFERROR(INDEX(SelectedSpecies,SMALL(IF(SelectedSpecies=AK$1,ROW(SelectedSpecies)),ROW(1535:1535)),2),"")</f>
        <v/>
      </c>
      <c r="BE1534" s="10"/>
      <c r="BI1534" s="10"/>
    </row>
    <row r="1535" spans="1:61" ht="21" customHeight="1" x14ac:dyDescent="0.25">
      <c r="A1535" s="10"/>
      <c r="B1535" s="10"/>
      <c r="E1535" s="10"/>
      <c r="G1535" s="10"/>
      <c r="I1535" s="436" t="s">
        <v>5862</v>
      </c>
      <c r="J1535" s="26" t="s">
        <v>5861</v>
      </c>
      <c r="K1535" s="10">
        <v>1</v>
      </c>
      <c r="L1535" s="73">
        <f>IF(Tank1!$C$23="No control",(SUMIF(Tank1!$B$32:$B$49,$J1535,Tank1!$C$32:$C$49)*Impacts!$F$8),0)</f>
        <v>0</v>
      </c>
      <c r="M1535" s="10">
        <f>IF(Tank2!$C$23="No control",(SUMIF(Tank2!$B$32:$B$49,$J1535,Tank2!$C$32:$C$49)*Impacts!$F$9),0)</f>
        <v>0</v>
      </c>
      <c r="N1535" s="10">
        <f>IF(Tank3!$C$23="No control",(SUMIF(Tank3!$B$32:$B$49,$J1535,Tank3!$C$32:$C$49)*Impacts!$F$10),0)</f>
        <v>0</v>
      </c>
      <c r="O1535" s="10">
        <f>IF(Tank4!$C$23="No control",(SUMIF(Tank4!$B$32:$B$49,$J1535,Tank4!$C$32:$C$49)*Impacts!$F$11),0)</f>
        <v>0</v>
      </c>
      <c r="P1535" s="10">
        <f>IF(Tank5!$C$23="No control",(SUMIF(Tank5!$B$32:$B$49,$J1535,Tank5!$C$32:$C$49)*Impacts!$F$12),0)</f>
        <v>0</v>
      </c>
      <c r="Q1535" s="10">
        <f>IFERROR(IF(('Loading-drum,tote'!$C$21)="No control",SUMIF(('Loading-drum,tote'!$B$31:$B$48),$J1535,('Loading-drum,tote'!$D$31:$D$48))*Impacts!$F$13,IF(('Loading-drum,tote'!$C$21)&lt;&gt;"No control",SUMIF(('Loading-drum,tote'!$B$31:$B$48),$J1535,('Loading-drum,tote'!$E$31:$E$48))*Impacts!$F$13,0)),0)</f>
        <v>0</v>
      </c>
      <c r="R1535" s="10">
        <f>IFERROR(IF(('Loading-truck'!$C$21)="No control",SUMIF(('Loading-truck'!$B$31:$B$48),$J1535,('Loading-truck'!$D$31:$D$48))*Impacts!$F$14,IF(('Loading-truck'!$C$21)&lt;&gt;"No control",SUMIF(('Loading-truck'!$B$31:$B$48),$J1535,('Loading-truck'!$E$31:$E$48))*Impacts!$F$14,0)),0)</f>
        <v>0</v>
      </c>
      <c r="S1535" s="10">
        <f>IFERROR(IF(('Loading-rail'!$C$21)="No control",SUMIF(('Loading-rail'!$B$31:$B$48),$J1535,('Loading-rail'!$D$31:$D$48))*Impacts!$F$15,IF(('Loading-rail'!$C$21)&lt;&gt;"No control",SUMIF(('Loading-rail'!$B$31:$B$48),$J1535,('Loading-rail'!$E$31:$E$48))*Impacts!$F$15,0)),0)</f>
        <v>0</v>
      </c>
      <c r="T1535" s="10">
        <f>IF(Flare!$C$7="",0,(SUMIF(Flare!$B$46:$B$185,$J1535,Flare!$E$46:$E$185)*Impacts!$F$16))</f>
        <v>0</v>
      </c>
      <c r="U1535" s="10">
        <f>IF(VCU!$C$9="",0,(SUMIF(VCU!$B$51:$B$193,$J1535,VCU!$E$51:$E$193)*Impacts!$F$17))</f>
        <v>0</v>
      </c>
      <c r="V1535" s="10">
        <f>IF(CAS!$C$7="",0,(SUMIF(CAS!$B$31:$B$167,$J1535,CAS!$E$31:$E$167)*Impacts!$F$18))</f>
        <v>0</v>
      </c>
      <c r="W1535" s="10">
        <f t="shared" si="64"/>
        <v>0</v>
      </c>
      <c r="AK1535" s="10" t="str">
        <f t="array" ref="AK1535">IFERROR(INDEX(SelectedSpecies,SMALL(IF(SelectedSpecies=AK$1,ROW(SelectedSpecies)),ROW(1536:1536)),2),"")</f>
        <v/>
      </c>
      <c r="BE1535" s="10"/>
      <c r="BI1535" s="10"/>
    </row>
    <row r="1536" spans="1:61" ht="21" customHeight="1" x14ac:dyDescent="0.25">
      <c r="A1536" s="10"/>
      <c r="B1536" s="10"/>
      <c r="E1536" s="10"/>
      <c r="G1536" s="10"/>
      <c r="I1536" s="436" t="s">
        <v>5864</v>
      </c>
      <c r="J1536" s="26" t="s">
        <v>5863</v>
      </c>
      <c r="K1536" s="10">
        <v>1</v>
      </c>
      <c r="L1536" s="73">
        <f>IF(Tank1!$C$23="No control",(SUMIF(Tank1!$B$32:$B$49,$J1536,Tank1!$C$32:$C$49)*Impacts!$F$8),0)</f>
        <v>0</v>
      </c>
      <c r="M1536" s="10">
        <f>IF(Tank2!$C$23="No control",(SUMIF(Tank2!$B$32:$B$49,$J1536,Tank2!$C$32:$C$49)*Impacts!$F$9),0)</f>
        <v>0</v>
      </c>
      <c r="N1536" s="10">
        <f>IF(Tank3!$C$23="No control",(SUMIF(Tank3!$B$32:$B$49,$J1536,Tank3!$C$32:$C$49)*Impacts!$F$10),0)</f>
        <v>0</v>
      </c>
      <c r="O1536" s="10">
        <f>IF(Tank4!$C$23="No control",(SUMIF(Tank4!$B$32:$B$49,$J1536,Tank4!$C$32:$C$49)*Impacts!$F$11),0)</f>
        <v>0</v>
      </c>
      <c r="P1536" s="10">
        <f>IF(Tank5!$C$23="No control",(SUMIF(Tank5!$B$32:$B$49,$J1536,Tank5!$C$32:$C$49)*Impacts!$F$12),0)</f>
        <v>0</v>
      </c>
      <c r="Q1536" s="10">
        <f>IFERROR(IF(('Loading-drum,tote'!$C$21)="No control",SUMIF(('Loading-drum,tote'!$B$31:$B$48),$J1536,('Loading-drum,tote'!$D$31:$D$48))*Impacts!$F$13,IF(('Loading-drum,tote'!$C$21)&lt;&gt;"No control",SUMIF(('Loading-drum,tote'!$B$31:$B$48),$J1536,('Loading-drum,tote'!$E$31:$E$48))*Impacts!$F$13,0)),0)</f>
        <v>0</v>
      </c>
      <c r="R1536" s="10">
        <f>IFERROR(IF(('Loading-truck'!$C$21)="No control",SUMIF(('Loading-truck'!$B$31:$B$48),$J1536,('Loading-truck'!$D$31:$D$48))*Impacts!$F$14,IF(('Loading-truck'!$C$21)&lt;&gt;"No control",SUMIF(('Loading-truck'!$B$31:$B$48),$J1536,('Loading-truck'!$E$31:$E$48))*Impacts!$F$14,0)),0)</f>
        <v>0</v>
      </c>
      <c r="S1536" s="10">
        <f>IFERROR(IF(('Loading-rail'!$C$21)="No control",SUMIF(('Loading-rail'!$B$31:$B$48),$J1536,('Loading-rail'!$D$31:$D$48))*Impacts!$F$15,IF(('Loading-rail'!$C$21)&lt;&gt;"No control",SUMIF(('Loading-rail'!$B$31:$B$48),$J1536,('Loading-rail'!$E$31:$E$48))*Impacts!$F$15,0)),0)</f>
        <v>0</v>
      </c>
      <c r="T1536" s="10">
        <f>IF(Flare!$C$7="",0,(SUMIF(Flare!$B$46:$B$185,$J1536,Flare!$E$46:$E$185)*Impacts!$F$16))</f>
        <v>0</v>
      </c>
      <c r="U1536" s="10">
        <f>IF(VCU!$C$9="",0,(SUMIF(VCU!$B$51:$B$193,$J1536,VCU!$E$51:$E$193)*Impacts!$F$17))</f>
        <v>0</v>
      </c>
      <c r="V1536" s="10">
        <f>IF(CAS!$C$7="",0,(SUMIF(CAS!$B$31:$B$167,$J1536,CAS!$E$31:$E$167)*Impacts!$F$18))</f>
        <v>0</v>
      </c>
      <c r="W1536" s="10">
        <f t="shared" si="64"/>
        <v>0</v>
      </c>
      <c r="AK1536" s="10" t="str">
        <f t="array" ref="AK1536">IFERROR(INDEX(SelectedSpecies,SMALL(IF(SelectedSpecies=AK$1,ROW(SelectedSpecies)),ROW(1537:1537)),2),"")</f>
        <v/>
      </c>
      <c r="BE1536" s="10"/>
      <c r="BI1536" s="10"/>
    </row>
    <row r="1537" spans="1:61" ht="21" customHeight="1" x14ac:dyDescent="0.25">
      <c r="A1537" s="10"/>
      <c r="B1537" s="10"/>
      <c r="E1537" s="10"/>
      <c r="G1537" s="10"/>
      <c r="I1537" s="436" t="s">
        <v>828</v>
      </c>
      <c r="J1537" s="26" t="s">
        <v>827</v>
      </c>
      <c r="K1537" s="10">
        <v>48</v>
      </c>
      <c r="L1537" s="73">
        <f>IF(Tank1!$C$23="No control",(SUMIF(Tank1!$B$32:$B$49,$J1537,Tank1!$C$32:$C$49)*Impacts!$F$8),0)</f>
        <v>0</v>
      </c>
      <c r="M1537" s="10">
        <f>IF(Tank2!$C$23="No control",(SUMIF(Tank2!$B$32:$B$49,$J1537,Tank2!$C$32:$C$49)*Impacts!$F$9),0)</f>
        <v>0</v>
      </c>
      <c r="N1537" s="10">
        <f>IF(Tank3!$C$23="No control",(SUMIF(Tank3!$B$32:$B$49,$J1537,Tank3!$C$32:$C$49)*Impacts!$F$10),0)</f>
        <v>0</v>
      </c>
      <c r="O1537" s="10">
        <f>IF(Tank4!$C$23="No control",(SUMIF(Tank4!$B$32:$B$49,$J1537,Tank4!$C$32:$C$49)*Impacts!$F$11),0)</f>
        <v>0</v>
      </c>
      <c r="P1537" s="10">
        <f>IF(Tank5!$C$23="No control",(SUMIF(Tank5!$B$32:$B$49,$J1537,Tank5!$C$32:$C$49)*Impacts!$F$12),0)</f>
        <v>0</v>
      </c>
      <c r="Q1537" s="10">
        <f>IFERROR(IF(('Loading-drum,tote'!$C$21)="No control",SUMIF(('Loading-drum,tote'!$B$31:$B$48),$J1537,('Loading-drum,tote'!$D$31:$D$48))*Impacts!$F$13,IF(('Loading-drum,tote'!$C$21)&lt;&gt;"No control",SUMIF(('Loading-drum,tote'!$B$31:$B$48),$J1537,('Loading-drum,tote'!$E$31:$E$48))*Impacts!$F$13,0)),0)</f>
        <v>0</v>
      </c>
      <c r="R1537" s="10">
        <f>IFERROR(IF(('Loading-truck'!$C$21)="No control",SUMIF(('Loading-truck'!$B$31:$B$48),$J1537,('Loading-truck'!$D$31:$D$48))*Impacts!$F$14,IF(('Loading-truck'!$C$21)&lt;&gt;"No control",SUMIF(('Loading-truck'!$B$31:$B$48),$J1537,('Loading-truck'!$E$31:$E$48))*Impacts!$F$14,0)),0)</f>
        <v>0</v>
      </c>
      <c r="S1537" s="10">
        <f>IFERROR(IF(('Loading-rail'!$C$21)="No control",SUMIF(('Loading-rail'!$B$31:$B$48),$J1537,('Loading-rail'!$D$31:$D$48))*Impacts!$F$15,IF(('Loading-rail'!$C$21)&lt;&gt;"No control",SUMIF(('Loading-rail'!$B$31:$B$48),$J1537,('Loading-rail'!$E$31:$E$48))*Impacts!$F$15,0)),0)</f>
        <v>0</v>
      </c>
      <c r="T1537" s="10">
        <f>IF(Flare!$C$7="",0,(SUMIF(Flare!$B$46:$B$185,$J1537,Flare!$E$46:$E$185)*Impacts!$F$16))</f>
        <v>0</v>
      </c>
      <c r="U1537" s="10">
        <f>IF(VCU!$C$9="",0,(SUMIF(VCU!$B$51:$B$193,$J1537,VCU!$E$51:$E$193)*Impacts!$F$17))</f>
        <v>0</v>
      </c>
      <c r="V1537" s="10">
        <f>IF(CAS!$C$7="",0,(SUMIF(CAS!$B$31:$B$167,$J1537,CAS!$E$31:$E$167)*Impacts!$F$18))</f>
        <v>0</v>
      </c>
      <c r="W1537" s="10">
        <f t="shared" si="64"/>
        <v>0</v>
      </c>
      <c r="AK1537" s="10" t="str">
        <f t="array" ref="AK1537">IFERROR(INDEX(SelectedSpecies,SMALL(IF(SelectedSpecies=AK$1,ROW(SelectedSpecies)),ROW(1538:1538)),2),"")</f>
        <v/>
      </c>
      <c r="BE1537" s="10"/>
      <c r="BI1537" s="10"/>
    </row>
    <row r="1538" spans="1:61" ht="21" customHeight="1" x14ac:dyDescent="0.25">
      <c r="A1538" s="10"/>
      <c r="B1538" s="10"/>
      <c r="E1538" s="10"/>
      <c r="G1538" s="10"/>
      <c r="I1538" s="436" t="s">
        <v>6818</v>
      </c>
      <c r="J1538" s="26" t="s">
        <v>6817</v>
      </c>
      <c r="K1538" s="10">
        <v>0.5</v>
      </c>
      <c r="L1538" s="73">
        <f>IF(Tank1!$C$23="No control",(SUMIF(Tank1!$B$32:$B$49,$J1538,Tank1!$C$32:$C$49)*Impacts!$F$8),0)</f>
        <v>0</v>
      </c>
      <c r="M1538" s="10">
        <f>IF(Tank2!$C$23="No control",(SUMIF(Tank2!$B$32:$B$49,$J1538,Tank2!$C$32:$C$49)*Impacts!$F$9),0)</f>
        <v>0</v>
      </c>
      <c r="N1538" s="10">
        <f>IF(Tank3!$C$23="No control",(SUMIF(Tank3!$B$32:$B$49,$J1538,Tank3!$C$32:$C$49)*Impacts!$F$10),0)</f>
        <v>0</v>
      </c>
      <c r="O1538" s="10">
        <f>IF(Tank4!$C$23="No control",(SUMIF(Tank4!$B$32:$B$49,$J1538,Tank4!$C$32:$C$49)*Impacts!$F$11),0)</f>
        <v>0</v>
      </c>
      <c r="P1538" s="10">
        <f>IF(Tank5!$C$23="No control",(SUMIF(Tank5!$B$32:$B$49,$J1538,Tank5!$C$32:$C$49)*Impacts!$F$12),0)</f>
        <v>0</v>
      </c>
      <c r="Q1538" s="10">
        <f>IFERROR(IF(('Loading-drum,tote'!$C$21)="No control",SUMIF(('Loading-drum,tote'!$B$31:$B$48),$J1538,('Loading-drum,tote'!$D$31:$D$48))*Impacts!$F$13,IF(('Loading-drum,tote'!$C$21)&lt;&gt;"No control",SUMIF(('Loading-drum,tote'!$B$31:$B$48),$J1538,('Loading-drum,tote'!$E$31:$E$48))*Impacts!$F$13,0)),0)</f>
        <v>0</v>
      </c>
      <c r="R1538" s="10">
        <f>IFERROR(IF(('Loading-truck'!$C$21)="No control",SUMIF(('Loading-truck'!$B$31:$B$48),$J1538,('Loading-truck'!$D$31:$D$48))*Impacts!$F$14,IF(('Loading-truck'!$C$21)&lt;&gt;"No control",SUMIF(('Loading-truck'!$B$31:$B$48),$J1538,('Loading-truck'!$E$31:$E$48))*Impacts!$F$14,0)),0)</f>
        <v>0</v>
      </c>
      <c r="S1538" s="10">
        <f>IFERROR(IF(('Loading-rail'!$C$21)="No control",SUMIF(('Loading-rail'!$B$31:$B$48),$J1538,('Loading-rail'!$D$31:$D$48))*Impacts!$F$15,IF(('Loading-rail'!$C$21)&lt;&gt;"No control",SUMIF(('Loading-rail'!$B$31:$B$48),$J1538,('Loading-rail'!$E$31:$E$48))*Impacts!$F$15,0)),0)</f>
        <v>0</v>
      </c>
      <c r="T1538" s="10">
        <f>IF(Flare!$C$7="",0,(SUMIF(Flare!$B$46:$B$185,$J1538,Flare!$E$46:$E$185)*Impacts!$F$16))</f>
        <v>0</v>
      </c>
      <c r="U1538" s="10">
        <f>IF(VCU!$C$9="",0,(SUMIF(VCU!$B$51:$B$193,$J1538,VCU!$E$51:$E$193)*Impacts!$F$17))</f>
        <v>0</v>
      </c>
      <c r="V1538" s="10">
        <f>IF(CAS!$C$7="",0,(SUMIF(CAS!$B$31:$B$167,$J1538,CAS!$E$31:$E$167)*Impacts!$F$18))</f>
        <v>0</v>
      </c>
      <c r="W1538" s="10">
        <f t="shared" si="64"/>
        <v>0</v>
      </c>
      <c r="AK1538" s="10" t="str">
        <f t="array" ref="AK1538">IFERROR(INDEX(SelectedSpecies,SMALL(IF(SelectedSpecies=AK$1,ROW(SelectedSpecies)),ROW(1539:1539)),2),"")</f>
        <v/>
      </c>
      <c r="BE1538" s="10"/>
      <c r="BI1538" s="10"/>
    </row>
    <row r="1539" spans="1:61" ht="21" customHeight="1" x14ac:dyDescent="0.25">
      <c r="A1539" s="10"/>
      <c r="B1539" s="10"/>
      <c r="E1539" s="10"/>
      <c r="G1539" s="10"/>
      <c r="I1539" s="436" t="s">
        <v>6820</v>
      </c>
      <c r="J1539" s="26" t="s">
        <v>6819</v>
      </c>
      <c r="K1539" s="10">
        <v>0.5</v>
      </c>
      <c r="L1539" s="73">
        <f>IF(Tank1!$C$23="No control",(SUMIF(Tank1!$B$32:$B$49,$J1539,Tank1!$C$32:$C$49)*Impacts!$F$8),0)</f>
        <v>0</v>
      </c>
      <c r="M1539" s="10">
        <f>IF(Tank2!$C$23="No control",(SUMIF(Tank2!$B$32:$B$49,$J1539,Tank2!$C$32:$C$49)*Impacts!$F$9),0)</f>
        <v>0</v>
      </c>
      <c r="N1539" s="10">
        <f>IF(Tank3!$C$23="No control",(SUMIF(Tank3!$B$32:$B$49,$J1539,Tank3!$C$32:$C$49)*Impacts!$F$10),0)</f>
        <v>0</v>
      </c>
      <c r="O1539" s="10">
        <f>IF(Tank4!$C$23="No control",(SUMIF(Tank4!$B$32:$B$49,$J1539,Tank4!$C$32:$C$49)*Impacts!$F$11),0)</f>
        <v>0</v>
      </c>
      <c r="P1539" s="10">
        <f>IF(Tank5!$C$23="No control",(SUMIF(Tank5!$B$32:$B$49,$J1539,Tank5!$C$32:$C$49)*Impacts!$F$12),0)</f>
        <v>0</v>
      </c>
      <c r="Q1539" s="10">
        <f>IFERROR(IF(('Loading-drum,tote'!$C$21)="No control",SUMIF(('Loading-drum,tote'!$B$31:$B$48),$J1539,('Loading-drum,tote'!$D$31:$D$48))*Impacts!$F$13,IF(('Loading-drum,tote'!$C$21)&lt;&gt;"No control",SUMIF(('Loading-drum,tote'!$B$31:$B$48),$J1539,('Loading-drum,tote'!$E$31:$E$48))*Impacts!$F$13,0)),0)</f>
        <v>0</v>
      </c>
      <c r="R1539" s="10">
        <f>IFERROR(IF(('Loading-truck'!$C$21)="No control",SUMIF(('Loading-truck'!$B$31:$B$48),$J1539,('Loading-truck'!$D$31:$D$48))*Impacts!$F$14,IF(('Loading-truck'!$C$21)&lt;&gt;"No control",SUMIF(('Loading-truck'!$B$31:$B$48),$J1539,('Loading-truck'!$E$31:$E$48))*Impacts!$F$14,0)),0)</f>
        <v>0</v>
      </c>
      <c r="S1539" s="10">
        <f>IFERROR(IF(('Loading-rail'!$C$21)="No control",SUMIF(('Loading-rail'!$B$31:$B$48),$J1539,('Loading-rail'!$D$31:$D$48))*Impacts!$F$15,IF(('Loading-rail'!$C$21)&lt;&gt;"No control",SUMIF(('Loading-rail'!$B$31:$B$48),$J1539,('Loading-rail'!$E$31:$E$48))*Impacts!$F$15,0)),0)</f>
        <v>0</v>
      </c>
      <c r="T1539" s="10">
        <f>IF(Flare!$C$7="",0,(SUMIF(Flare!$B$46:$B$185,$J1539,Flare!$E$46:$E$185)*Impacts!$F$16))</f>
        <v>0</v>
      </c>
      <c r="U1539" s="10">
        <f>IF(VCU!$C$9="",0,(SUMIF(VCU!$B$51:$B$193,$J1539,VCU!$E$51:$E$193)*Impacts!$F$17))</f>
        <v>0</v>
      </c>
      <c r="V1539" s="10">
        <f>IF(CAS!$C$7="",0,(SUMIF(CAS!$B$31:$B$167,$J1539,CAS!$E$31:$E$167)*Impacts!$F$18))</f>
        <v>0</v>
      </c>
      <c r="W1539" s="10">
        <f t="shared" si="64"/>
        <v>0</v>
      </c>
      <c r="AK1539" s="10" t="str">
        <f t="array" ref="AK1539">IFERROR(INDEX(SelectedSpecies,SMALL(IF(SelectedSpecies=AK$1,ROW(SelectedSpecies)),ROW(1540:1540)),2),"")</f>
        <v/>
      </c>
      <c r="BE1539" s="10"/>
      <c r="BI1539" s="10"/>
    </row>
    <row r="1540" spans="1:61" ht="21" customHeight="1" x14ac:dyDescent="0.25">
      <c r="A1540" s="10"/>
      <c r="B1540" s="10"/>
      <c r="E1540" s="10"/>
      <c r="G1540" s="10"/>
      <c r="I1540" s="436" t="s">
        <v>7726</v>
      </c>
      <c r="J1540" s="26" t="s">
        <v>7725</v>
      </c>
      <c r="K1540" s="10">
        <v>0.1</v>
      </c>
      <c r="L1540" s="73">
        <f>IF(Tank1!$C$23="No control",(SUMIF(Tank1!$B$32:$B$49,$J1540,Tank1!$C$32:$C$49)*Impacts!$F$8),0)</f>
        <v>0</v>
      </c>
      <c r="M1540" s="10">
        <f>IF(Tank2!$C$23="No control",(SUMIF(Tank2!$B$32:$B$49,$J1540,Tank2!$C$32:$C$49)*Impacts!$F$9),0)</f>
        <v>0</v>
      </c>
      <c r="N1540" s="10">
        <f>IF(Tank3!$C$23="No control",(SUMIF(Tank3!$B$32:$B$49,$J1540,Tank3!$C$32:$C$49)*Impacts!$F$10),0)</f>
        <v>0</v>
      </c>
      <c r="O1540" s="10">
        <f>IF(Tank4!$C$23="No control",(SUMIF(Tank4!$B$32:$B$49,$J1540,Tank4!$C$32:$C$49)*Impacts!$F$11),0)</f>
        <v>0</v>
      </c>
      <c r="P1540" s="10">
        <f>IF(Tank5!$C$23="No control",(SUMIF(Tank5!$B$32:$B$49,$J1540,Tank5!$C$32:$C$49)*Impacts!$F$12),0)</f>
        <v>0</v>
      </c>
      <c r="Q1540" s="10">
        <f>IFERROR(IF(('Loading-drum,tote'!$C$21)="No control",SUMIF(('Loading-drum,tote'!$B$31:$B$48),$J1540,('Loading-drum,tote'!$D$31:$D$48))*Impacts!$F$13,IF(('Loading-drum,tote'!$C$21)&lt;&gt;"No control",SUMIF(('Loading-drum,tote'!$B$31:$B$48),$J1540,('Loading-drum,tote'!$E$31:$E$48))*Impacts!$F$13,0)),0)</f>
        <v>0</v>
      </c>
      <c r="R1540" s="10">
        <f>IFERROR(IF(('Loading-truck'!$C$21)="No control",SUMIF(('Loading-truck'!$B$31:$B$48),$J1540,('Loading-truck'!$D$31:$D$48))*Impacts!$F$14,IF(('Loading-truck'!$C$21)&lt;&gt;"No control",SUMIF(('Loading-truck'!$B$31:$B$48),$J1540,('Loading-truck'!$E$31:$E$48))*Impacts!$F$14,0)),0)</f>
        <v>0</v>
      </c>
      <c r="S1540" s="10">
        <f>IFERROR(IF(('Loading-rail'!$C$21)="No control",SUMIF(('Loading-rail'!$B$31:$B$48),$J1540,('Loading-rail'!$D$31:$D$48))*Impacts!$F$15,IF(('Loading-rail'!$C$21)&lt;&gt;"No control",SUMIF(('Loading-rail'!$B$31:$B$48),$J1540,('Loading-rail'!$E$31:$E$48))*Impacts!$F$15,0)),0)</f>
        <v>0</v>
      </c>
      <c r="T1540" s="10">
        <f>IF(Flare!$C$7="",0,(SUMIF(Flare!$B$46:$B$185,$J1540,Flare!$E$46:$E$185)*Impacts!$F$16))</f>
        <v>0</v>
      </c>
      <c r="U1540" s="10">
        <f>IF(VCU!$C$9="",0,(SUMIF(VCU!$B$51:$B$193,$J1540,VCU!$E$51:$E$193)*Impacts!$F$17))</f>
        <v>0</v>
      </c>
      <c r="V1540" s="10">
        <f>IF(CAS!$C$7="",0,(SUMIF(CAS!$B$31:$B$167,$J1540,CAS!$E$31:$E$167)*Impacts!$F$18))</f>
        <v>0</v>
      </c>
      <c r="W1540" s="10">
        <f t="shared" si="64"/>
        <v>0</v>
      </c>
      <c r="AK1540" s="10" t="str">
        <f t="array" ref="AK1540">IFERROR(INDEX(SelectedSpecies,SMALL(IF(SelectedSpecies=AK$1,ROW(SelectedSpecies)),ROW(1541:1541)),2),"")</f>
        <v/>
      </c>
      <c r="BE1540" s="10"/>
      <c r="BI1540" s="10"/>
    </row>
    <row r="1541" spans="1:61" ht="21" customHeight="1" x14ac:dyDescent="0.25">
      <c r="A1541" s="10"/>
      <c r="B1541" s="10"/>
      <c r="E1541" s="10"/>
      <c r="G1541" s="10"/>
      <c r="I1541" s="436" t="s">
        <v>5323</v>
      </c>
      <c r="J1541" s="26" t="s">
        <v>5322</v>
      </c>
      <c r="K1541" s="10">
        <v>1.7000000000000002</v>
      </c>
      <c r="L1541" s="73">
        <f>IF(Tank1!$C$23="No control",(SUMIF(Tank1!$B$32:$B$49,$J1541,Tank1!$C$32:$C$49)*Impacts!$F$8),0)</f>
        <v>0</v>
      </c>
      <c r="M1541" s="10">
        <f>IF(Tank2!$C$23="No control",(SUMIF(Tank2!$B$32:$B$49,$J1541,Tank2!$C$32:$C$49)*Impacts!$F$9),0)</f>
        <v>0</v>
      </c>
      <c r="N1541" s="10">
        <f>IF(Tank3!$C$23="No control",(SUMIF(Tank3!$B$32:$B$49,$J1541,Tank3!$C$32:$C$49)*Impacts!$F$10),0)</f>
        <v>0</v>
      </c>
      <c r="O1541" s="10">
        <f>IF(Tank4!$C$23="No control",(SUMIF(Tank4!$B$32:$B$49,$J1541,Tank4!$C$32:$C$49)*Impacts!$F$11),0)</f>
        <v>0</v>
      </c>
      <c r="P1541" s="10">
        <f>IF(Tank5!$C$23="No control",(SUMIF(Tank5!$B$32:$B$49,$J1541,Tank5!$C$32:$C$49)*Impacts!$F$12),0)</f>
        <v>0</v>
      </c>
      <c r="Q1541" s="10">
        <f>IFERROR(IF(('Loading-drum,tote'!$C$21)="No control",SUMIF(('Loading-drum,tote'!$B$31:$B$48),$J1541,('Loading-drum,tote'!$D$31:$D$48))*Impacts!$F$13,IF(('Loading-drum,tote'!$C$21)&lt;&gt;"No control",SUMIF(('Loading-drum,tote'!$B$31:$B$48),$J1541,('Loading-drum,tote'!$E$31:$E$48))*Impacts!$F$13,0)),0)</f>
        <v>0</v>
      </c>
      <c r="R1541" s="10">
        <f>IFERROR(IF(('Loading-truck'!$C$21)="No control",SUMIF(('Loading-truck'!$B$31:$B$48),$J1541,('Loading-truck'!$D$31:$D$48))*Impacts!$F$14,IF(('Loading-truck'!$C$21)&lt;&gt;"No control",SUMIF(('Loading-truck'!$B$31:$B$48),$J1541,('Loading-truck'!$E$31:$E$48))*Impacts!$F$14,0)),0)</f>
        <v>0</v>
      </c>
      <c r="S1541" s="10">
        <f>IFERROR(IF(('Loading-rail'!$C$21)="No control",SUMIF(('Loading-rail'!$B$31:$B$48),$J1541,('Loading-rail'!$D$31:$D$48))*Impacts!$F$15,IF(('Loading-rail'!$C$21)&lt;&gt;"No control",SUMIF(('Loading-rail'!$B$31:$B$48),$J1541,('Loading-rail'!$E$31:$E$48))*Impacts!$F$15,0)),0)</f>
        <v>0</v>
      </c>
      <c r="T1541" s="10">
        <f>IF(Flare!$C$7="",0,(SUMIF(Flare!$B$46:$B$185,$J1541,Flare!$E$46:$E$185)*Impacts!$F$16))</f>
        <v>0</v>
      </c>
      <c r="U1541" s="10">
        <f>IF(VCU!$C$9="",0,(SUMIF(VCU!$B$51:$B$193,$J1541,VCU!$E$51:$E$193)*Impacts!$F$17))</f>
        <v>0</v>
      </c>
      <c r="V1541" s="10">
        <f>IF(CAS!$C$7="",0,(SUMIF(CAS!$B$31:$B$167,$J1541,CAS!$E$31:$E$167)*Impacts!$F$18))</f>
        <v>0</v>
      </c>
      <c r="W1541" s="10">
        <f t="shared" si="64"/>
        <v>0</v>
      </c>
      <c r="AK1541" s="10" t="str">
        <f t="array" ref="AK1541">IFERROR(INDEX(SelectedSpecies,SMALL(IF(SelectedSpecies=AK$1,ROW(SelectedSpecies)),ROW(1542:1542)),2),"")</f>
        <v/>
      </c>
      <c r="BE1541" s="10"/>
      <c r="BI1541" s="10"/>
    </row>
    <row r="1542" spans="1:61" ht="21" customHeight="1" x14ac:dyDescent="0.25">
      <c r="A1542" s="10"/>
      <c r="B1542" s="10"/>
      <c r="E1542" s="10"/>
      <c r="G1542" s="10"/>
      <c r="I1542" s="436" t="s">
        <v>3941</v>
      </c>
      <c r="J1542" s="26" t="s">
        <v>3940</v>
      </c>
      <c r="K1542" s="10">
        <v>6</v>
      </c>
      <c r="L1542" s="73">
        <f>IF(Tank1!$C$23="No control",(SUMIF(Tank1!$B$32:$B$49,$J1542,Tank1!$C$32:$C$49)*Impacts!$F$8),0)</f>
        <v>0</v>
      </c>
      <c r="M1542" s="10">
        <f>IF(Tank2!$C$23="No control",(SUMIF(Tank2!$B$32:$B$49,$J1542,Tank2!$C$32:$C$49)*Impacts!$F$9),0)</f>
        <v>0</v>
      </c>
      <c r="N1542" s="10">
        <f>IF(Tank3!$C$23="No control",(SUMIF(Tank3!$B$32:$B$49,$J1542,Tank3!$C$32:$C$49)*Impacts!$F$10),0)</f>
        <v>0</v>
      </c>
      <c r="O1542" s="10">
        <f>IF(Tank4!$C$23="No control",(SUMIF(Tank4!$B$32:$B$49,$J1542,Tank4!$C$32:$C$49)*Impacts!$F$11),0)</f>
        <v>0</v>
      </c>
      <c r="P1542" s="10">
        <f>IF(Tank5!$C$23="No control",(SUMIF(Tank5!$B$32:$B$49,$J1542,Tank5!$C$32:$C$49)*Impacts!$F$12),0)</f>
        <v>0</v>
      </c>
      <c r="Q1542" s="10">
        <f>IFERROR(IF(('Loading-drum,tote'!$C$21)="No control",SUMIF(('Loading-drum,tote'!$B$31:$B$48),$J1542,('Loading-drum,tote'!$D$31:$D$48))*Impacts!$F$13,IF(('Loading-drum,tote'!$C$21)&lt;&gt;"No control",SUMIF(('Loading-drum,tote'!$B$31:$B$48),$J1542,('Loading-drum,tote'!$E$31:$E$48))*Impacts!$F$13,0)),0)</f>
        <v>0</v>
      </c>
      <c r="R1542" s="10">
        <f>IFERROR(IF(('Loading-truck'!$C$21)="No control",SUMIF(('Loading-truck'!$B$31:$B$48),$J1542,('Loading-truck'!$D$31:$D$48))*Impacts!$F$14,IF(('Loading-truck'!$C$21)&lt;&gt;"No control",SUMIF(('Loading-truck'!$B$31:$B$48),$J1542,('Loading-truck'!$E$31:$E$48))*Impacts!$F$14,0)),0)</f>
        <v>0</v>
      </c>
      <c r="S1542" s="10">
        <f>IFERROR(IF(('Loading-rail'!$C$21)="No control",SUMIF(('Loading-rail'!$B$31:$B$48),$J1542,('Loading-rail'!$D$31:$D$48))*Impacts!$F$15,IF(('Loading-rail'!$C$21)&lt;&gt;"No control",SUMIF(('Loading-rail'!$B$31:$B$48),$J1542,('Loading-rail'!$E$31:$E$48))*Impacts!$F$15,0)),0)</f>
        <v>0</v>
      </c>
      <c r="T1542" s="10">
        <f>IF(Flare!$C$7="",0,(SUMIF(Flare!$B$46:$B$185,$J1542,Flare!$E$46:$E$185)*Impacts!$F$16))</f>
        <v>0</v>
      </c>
      <c r="U1542" s="10">
        <f>IF(VCU!$C$9="",0,(SUMIF(VCU!$B$51:$B$193,$J1542,VCU!$E$51:$E$193)*Impacts!$F$17))</f>
        <v>0</v>
      </c>
      <c r="V1542" s="10">
        <f>IF(CAS!$C$7="",0,(SUMIF(CAS!$B$31:$B$167,$J1542,CAS!$E$31:$E$167)*Impacts!$F$18))</f>
        <v>0</v>
      </c>
      <c r="W1542" s="10">
        <f t="shared" si="64"/>
        <v>0</v>
      </c>
      <c r="AK1542" s="10" t="str">
        <f t="array" ref="AK1542">IFERROR(INDEX(SelectedSpecies,SMALL(IF(SelectedSpecies=AK$1,ROW(SelectedSpecies)),ROW(1543:1543)),2),"")</f>
        <v/>
      </c>
      <c r="BE1542" s="10"/>
      <c r="BI1542" s="10"/>
    </row>
    <row r="1543" spans="1:61" ht="21" customHeight="1" x14ac:dyDescent="0.25">
      <c r="A1543" s="10"/>
      <c r="B1543" s="10"/>
      <c r="E1543" s="10"/>
      <c r="G1543" s="10"/>
      <c r="I1543" s="436" t="s">
        <v>6306</v>
      </c>
      <c r="J1543" s="26" t="s">
        <v>6305</v>
      </c>
      <c r="K1543" s="10">
        <v>0.9</v>
      </c>
      <c r="L1543" s="73">
        <f>IF(Tank1!$C$23="No control",(SUMIF(Tank1!$B$32:$B$49,$J1543,Tank1!$C$32:$C$49)*Impacts!$F$8),0)</f>
        <v>0</v>
      </c>
      <c r="M1543" s="10">
        <f>IF(Tank2!$C$23="No control",(SUMIF(Tank2!$B$32:$B$49,$J1543,Tank2!$C$32:$C$49)*Impacts!$F$9),0)</f>
        <v>0</v>
      </c>
      <c r="N1543" s="10">
        <f>IF(Tank3!$C$23="No control",(SUMIF(Tank3!$B$32:$B$49,$J1543,Tank3!$C$32:$C$49)*Impacts!$F$10),0)</f>
        <v>0</v>
      </c>
      <c r="O1543" s="10">
        <f>IF(Tank4!$C$23="No control",(SUMIF(Tank4!$B$32:$B$49,$J1543,Tank4!$C$32:$C$49)*Impacts!$F$11),0)</f>
        <v>0</v>
      </c>
      <c r="P1543" s="10">
        <f>IF(Tank5!$C$23="No control",(SUMIF(Tank5!$B$32:$B$49,$J1543,Tank5!$C$32:$C$49)*Impacts!$F$12),0)</f>
        <v>0</v>
      </c>
      <c r="Q1543" s="10">
        <f>IFERROR(IF(('Loading-drum,tote'!$C$21)="No control",SUMIF(('Loading-drum,tote'!$B$31:$B$48),$J1543,('Loading-drum,tote'!$D$31:$D$48))*Impacts!$F$13,IF(('Loading-drum,tote'!$C$21)&lt;&gt;"No control",SUMIF(('Loading-drum,tote'!$B$31:$B$48),$J1543,('Loading-drum,tote'!$E$31:$E$48))*Impacts!$F$13,0)),0)</f>
        <v>0</v>
      </c>
      <c r="R1543" s="10">
        <f>IFERROR(IF(('Loading-truck'!$C$21)="No control",SUMIF(('Loading-truck'!$B$31:$B$48),$J1543,('Loading-truck'!$D$31:$D$48))*Impacts!$F$14,IF(('Loading-truck'!$C$21)&lt;&gt;"No control",SUMIF(('Loading-truck'!$B$31:$B$48),$J1543,('Loading-truck'!$E$31:$E$48))*Impacts!$F$14,0)),0)</f>
        <v>0</v>
      </c>
      <c r="S1543" s="10">
        <f>IFERROR(IF(('Loading-rail'!$C$21)="No control",SUMIF(('Loading-rail'!$B$31:$B$48),$J1543,('Loading-rail'!$D$31:$D$48))*Impacts!$F$15,IF(('Loading-rail'!$C$21)&lt;&gt;"No control",SUMIF(('Loading-rail'!$B$31:$B$48),$J1543,('Loading-rail'!$E$31:$E$48))*Impacts!$F$15,0)),0)</f>
        <v>0</v>
      </c>
      <c r="T1543" s="10">
        <f>IF(Flare!$C$7="",0,(SUMIF(Flare!$B$46:$B$185,$J1543,Flare!$E$46:$E$185)*Impacts!$F$16))</f>
        <v>0</v>
      </c>
      <c r="U1543" s="10">
        <f>IF(VCU!$C$9="",0,(SUMIF(VCU!$B$51:$B$193,$J1543,VCU!$E$51:$E$193)*Impacts!$F$17))</f>
        <v>0</v>
      </c>
      <c r="V1543" s="10">
        <f>IF(CAS!$C$7="",0,(SUMIF(CAS!$B$31:$B$167,$J1543,CAS!$E$31:$E$167)*Impacts!$F$18))</f>
        <v>0</v>
      </c>
      <c r="W1543" s="10">
        <f t="shared" si="64"/>
        <v>0</v>
      </c>
      <c r="AK1543" s="10" t="str">
        <f t="array" ref="AK1543">IFERROR(INDEX(SelectedSpecies,SMALL(IF(SelectedSpecies=AK$1,ROW(SelectedSpecies)),ROW(1544:1544)),2),"")</f>
        <v/>
      </c>
      <c r="BE1543" s="10"/>
      <c r="BI1543" s="10"/>
    </row>
    <row r="1544" spans="1:61" ht="21" customHeight="1" x14ac:dyDescent="0.25">
      <c r="A1544" s="10"/>
      <c r="B1544" s="10"/>
      <c r="E1544" s="10"/>
      <c r="G1544" s="10"/>
      <c r="I1544" s="436" t="s">
        <v>4491</v>
      </c>
      <c r="J1544" s="26" t="s">
        <v>4490</v>
      </c>
      <c r="K1544" s="10">
        <v>4.2</v>
      </c>
      <c r="L1544" s="73">
        <f>IF(Tank1!$C$23="No control",(SUMIF(Tank1!$B$32:$B$49,$J1544,Tank1!$C$32:$C$49)*Impacts!$F$8),0)</f>
        <v>0</v>
      </c>
      <c r="M1544" s="10">
        <f>IF(Tank2!$C$23="No control",(SUMIF(Tank2!$B$32:$B$49,$J1544,Tank2!$C$32:$C$49)*Impacts!$F$9),0)</f>
        <v>0</v>
      </c>
      <c r="N1544" s="10">
        <f>IF(Tank3!$C$23="No control",(SUMIF(Tank3!$B$32:$B$49,$J1544,Tank3!$C$32:$C$49)*Impacts!$F$10),0)</f>
        <v>0</v>
      </c>
      <c r="O1544" s="10">
        <f>IF(Tank4!$C$23="No control",(SUMIF(Tank4!$B$32:$B$49,$J1544,Tank4!$C$32:$C$49)*Impacts!$F$11),0)</f>
        <v>0</v>
      </c>
      <c r="P1544" s="10">
        <f>IF(Tank5!$C$23="No control",(SUMIF(Tank5!$B$32:$B$49,$J1544,Tank5!$C$32:$C$49)*Impacts!$F$12),0)</f>
        <v>0</v>
      </c>
      <c r="Q1544" s="10">
        <f>IFERROR(IF(('Loading-drum,tote'!$C$21)="No control",SUMIF(('Loading-drum,tote'!$B$31:$B$48),$J1544,('Loading-drum,tote'!$D$31:$D$48))*Impacts!$F$13,IF(('Loading-drum,tote'!$C$21)&lt;&gt;"No control",SUMIF(('Loading-drum,tote'!$B$31:$B$48),$J1544,('Loading-drum,tote'!$E$31:$E$48))*Impacts!$F$13,0)),0)</f>
        <v>0</v>
      </c>
      <c r="R1544" s="10">
        <f>IFERROR(IF(('Loading-truck'!$C$21)="No control",SUMIF(('Loading-truck'!$B$31:$B$48),$J1544,('Loading-truck'!$D$31:$D$48))*Impacts!$F$14,IF(('Loading-truck'!$C$21)&lt;&gt;"No control",SUMIF(('Loading-truck'!$B$31:$B$48),$J1544,('Loading-truck'!$E$31:$E$48))*Impacts!$F$14,0)),0)</f>
        <v>0</v>
      </c>
      <c r="S1544" s="10">
        <f>IFERROR(IF(('Loading-rail'!$C$21)="No control",SUMIF(('Loading-rail'!$B$31:$B$48),$J1544,('Loading-rail'!$D$31:$D$48))*Impacts!$F$15,IF(('Loading-rail'!$C$21)&lt;&gt;"No control",SUMIF(('Loading-rail'!$B$31:$B$48),$J1544,('Loading-rail'!$E$31:$E$48))*Impacts!$F$15,0)),0)</f>
        <v>0</v>
      </c>
      <c r="T1544" s="10">
        <f>IF(Flare!$C$7="",0,(SUMIF(Flare!$B$46:$B$185,$J1544,Flare!$E$46:$E$185)*Impacts!$F$16))</f>
        <v>0</v>
      </c>
      <c r="U1544" s="10">
        <f>IF(VCU!$C$9="",0,(SUMIF(VCU!$B$51:$B$193,$J1544,VCU!$E$51:$E$193)*Impacts!$F$17))</f>
        <v>0</v>
      </c>
      <c r="V1544" s="10">
        <f>IF(CAS!$C$7="",0,(SUMIF(CAS!$B$31:$B$167,$J1544,CAS!$E$31:$E$167)*Impacts!$F$18))</f>
        <v>0</v>
      </c>
      <c r="W1544" s="10">
        <f t="shared" si="64"/>
        <v>0</v>
      </c>
      <c r="AK1544" s="10" t="str">
        <f t="array" ref="AK1544">IFERROR(INDEX(SelectedSpecies,SMALL(IF(SelectedSpecies=AK$1,ROW(SelectedSpecies)),ROW(1545:1545)),2),"")</f>
        <v/>
      </c>
      <c r="BE1544" s="10"/>
      <c r="BI1544" s="10"/>
    </row>
    <row r="1545" spans="1:61" ht="21" customHeight="1" x14ac:dyDescent="0.25">
      <c r="A1545" s="10"/>
      <c r="B1545" s="10"/>
      <c r="E1545" s="10"/>
      <c r="G1545" s="10"/>
      <c r="I1545" s="436" t="s">
        <v>4493</v>
      </c>
      <c r="J1545" s="26" t="s">
        <v>4492</v>
      </c>
      <c r="K1545" s="10">
        <v>4.2</v>
      </c>
      <c r="L1545" s="73">
        <f>IF(Tank1!$C$23="No control",(SUMIF(Tank1!$B$32:$B$49,$J1545,Tank1!$C$32:$C$49)*Impacts!$F$8),0)</f>
        <v>0</v>
      </c>
      <c r="M1545" s="10">
        <f>IF(Tank2!$C$23="No control",(SUMIF(Tank2!$B$32:$B$49,$J1545,Tank2!$C$32:$C$49)*Impacts!$F$9),0)</f>
        <v>0</v>
      </c>
      <c r="N1545" s="10">
        <f>IF(Tank3!$C$23="No control",(SUMIF(Tank3!$B$32:$B$49,$J1545,Tank3!$C$32:$C$49)*Impacts!$F$10),0)</f>
        <v>0</v>
      </c>
      <c r="O1545" s="10">
        <f>IF(Tank4!$C$23="No control",(SUMIF(Tank4!$B$32:$B$49,$J1545,Tank4!$C$32:$C$49)*Impacts!$F$11),0)</f>
        <v>0</v>
      </c>
      <c r="P1545" s="10">
        <f>IF(Tank5!$C$23="No control",(SUMIF(Tank5!$B$32:$B$49,$J1545,Tank5!$C$32:$C$49)*Impacts!$F$12),0)</f>
        <v>0</v>
      </c>
      <c r="Q1545" s="10">
        <f>IFERROR(IF(('Loading-drum,tote'!$C$21)="No control",SUMIF(('Loading-drum,tote'!$B$31:$B$48),$J1545,('Loading-drum,tote'!$D$31:$D$48))*Impacts!$F$13,IF(('Loading-drum,tote'!$C$21)&lt;&gt;"No control",SUMIF(('Loading-drum,tote'!$B$31:$B$48),$J1545,('Loading-drum,tote'!$E$31:$E$48))*Impacts!$F$13,0)),0)</f>
        <v>0</v>
      </c>
      <c r="R1545" s="10">
        <f>IFERROR(IF(('Loading-truck'!$C$21)="No control",SUMIF(('Loading-truck'!$B$31:$B$48),$J1545,('Loading-truck'!$D$31:$D$48))*Impacts!$F$14,IF(('Loading-truck'!$C$21)&lt;&gt;"No control",SUMIF(('Loading-truck'!$B$31:$B$48),$J1545,('Loading-truck'!$E$31:$E$48))*Impacts!$F$14,0)),0)</f>
        <v>0</v>
      </c>
      <c r="S1545" s="10">
        <f>IFERROR(IF(('Loading-rail'!$C$21)="No control",SUMIF(('Loading-rail'!$B$31:$B$48),$J1545,('Loading-rail'!$D$31:$D$48))*Impacts!$F$15,IF(('Loading-rail'!$C$21)&lt;&gt;"No control",SUMIF(('Loading-rail'!$B$31:$B$48),$J1545,('Loading-rail'!$E$31:$E$48))*Impacts!$F$15,0)),0)</f>
        <v>0</v>
      </c>
      <c r="T1545" s="10">
        <f>IF(Flare!$C$7="",0,(SUMIF(Flare!$B$46:$B$185,$J1545,Flare!$E$46:$E$185)*Impacts!$F$16))</f>
        <v>0</v>
      </c>
      <c r="U1545" s="10">
        <f>IF(VCU!$C$9="",0,(SUMIF(VCU!$B$51:$B$193,$J1545,VCU!$E$51:$E$193)*Impacts!$F$17))</f>
        <v>0</v>
      </c>
      <c r="V1545" s="10">
        <f>IF(CAS!$C$7="",0,(SUMIF(CAS!$B$31:$B$167,$J1545,CAS!$E$31:$E$167)*Impacts!$F$18))</f>
        <v>0</v>
      </c>
      <c r="W1545" s="10">
        <f t="shared" si="64"/>
        <v>0</v>
      </c>
      <c r="AK1545" s="10" t="str">
        <f t="array" ref="AK1545">IFERROR(INDEX(SelectedSpecies,SMALL(IF(SelectedSpecies=AK$1,ROW(SelectedSpecies)),ROW(1546:1546)),2),"")</f>
        <v/>
      </c>
      <c r="BE1545" s="10"/>
      <c r="BI1545" s="10"/>
    </row>
    <row r="1546" spans="1:61" ht="21" customHeight="1" x14ac:dyDescent="0.25">
      <c r="A1546" s="10"/>
      <c r="B1546" s="10"/>
      <c r="E1546" s="10"/>
      <c r="G1546" s="10"/>
      <c r="I1546" s="436" t="s">
        <v>2839</v>
      </c>
      <c r="J1546" s="26" t="s">
        <v>2838</v>
      </c>
      <c r="K1546" s="10">
        <v>10</v>
      </c>
      <c r="L1546" s="73">
        <f>IF(Tank1!$C$23="No control",(SUMIF(Tank1!$B$32:$B$49,$J1546,Tank1!$C$32:$C$49)*Impacts!$F$8),0)</f>
        <v>0</v>
      </c>
      <c r="M1546" s="10">
        <f>IF(Tank2!$C$23="No control",(SUMIF(Tank2!$B$32:$B$49,$J1546,Tank2!$C$32:$C$49)*Impacts!$F$9),0)</f>
        <v>0</v>
      </c>
      <c r="N1546" s="10">
        <f>IF(Tank3!$C$23="No control",(SUMIF(Tank3!$B$32:$B$49,$J1546,Tank3!$C$32:$C$49)*Impacts!$F$10),0)</f>
        <v>0</v>
      </c>
      <c r="O1546" s="10">
        <f>IF(Tank4!$C$23="No control",(SUMIF(Tank4!$B$32:$B$49,$J1546,Tank4!$C$32:$C$49)*Impacts!$F$11),0)</f>
        <v>0</v>
      </c>
      <c r="P1546" s="10">
        <f>IF(Tank5!$C$23="No control",(SUMIF(Tank5!$B$32:$B$49,$J1546,Tank5!$C$32:$C$49)*Impacts!$F$12),0)</f>
        <v>0</v>
      </c>
      <c r="Q1546" s="10">
        <f>IFERROR(IF(('Loading-drum,tote'!$C$21)="No control",SUMIF(('Loading-drum,tote'!$B$31:$B$48),$J1546,('Loading-drum,tote'!$D$31:$D$48))*Impacts!$F$13,IF(('Loading-drum,tote'!$C$21)&lt;&gt;"No control",SUMIF(('Loading-drum,tote'!$B$31:$B$48),$J1546,('Loading-drum,tote'!$E$31:$E$48))*Impacts!$F$13,0)),0)</f>
        <v>0</v>
      </c>
      <c r="R1546" s="10">
        <f>IFERROR(IF(('Loading-truck'!$C$21)="No control",SUMIF(('Loading-truck'!$B$31:$B$48),$J1546,('Loading-truck'!$D$31:$D$48))*Impacts!$F$14,IF(('Loading-truck'!$C$21)&lt;&gt;"No control",SUMIF(('Loading-truck'!$B$31:$B$48),$J1546,('Loading-truck'!$E$31:$E$48))*Impacts!$F$14,0)),0)</f>
        <v>0</v>
      </c>
      <c r="S1546" s="10">
        <f>IFERROR(IF(('Loading-rail'!$C$21)="No control",SUMIF(('Loading-rail'!$B$31:$B$48),$J1546,('Loading-rail'!$D$31:$D$48))*Impacts!$F$15,IF(('Loading-rail'!$C$21)&lt;&gt;"No control",SUMIF(('Loading-rail'!$B$31:$B$48),$J1546,('Loading-rail'!$E$31:$E$48))*Impacts!$F$15,0)),0)</f>
        <v>0</v>
      </c>
      <c r="T1546" s="10">
        <f>IF(Flare!$C$7="",0,(SUMIF(Flare!$B$46:$B$185,$J1546,Flare!$E$46:$E$185)*Impacts!$F$16))</f>
        <v>0</v>
      </c>
      <c r="U1546" s="10">
        <f>IF(VCU!$C$9="",0,(SUMIF(VCU!$B$51:$B$193,$J1546,VCU!$E$51:$E$193)*Impacts!$F$17))</f>
        <v>0</v>
      </c>
      <c r="V1546" s="10">
        <f>IF(CAS!$C$7="",0,(SUMIF(CAS!$B$31:$B$167,$J1546,CAS!$E$31:$E$167)*Impacts!$F$18))</f>
        <v>0</v>
      </c>
      <c r="W1546" s="10">
        <f t="shared" si="64"/>
        <v>0</v>
      </c>
      <c r="AK1546" s="10" t="str">
        <f t="array" ref="AK1546">IFERROR(INDEX(SelectedSpecies,SMALL(IF(SelectedSpecies=AK$1,ROW(SelectedSpecies)),ROW(1547:1547)),2),"")</f>
        <v/>
      </c>
      <c r="BE1546" s="10"/>
      <c r="BI1546" s="10"/>
    </row>
    <row r="1547" spans="1:61" ht="21" customHeight="1" x14ac:dyDescent="0.25">
      <c r="A1547" s="10"/>
      <c r="B1547" s="10"/>
      <c r="E1547" s="10"/>
      <c r="G1547" s="10"/>
      <c r="I1547" s="436" t="s">
        <v>4463</v>
      </c>
      <c r="J1547" s="26" t="s">
        <v>4462</v>
      </c>
      <c r="K1547" s="10">
        <v>4.4000000000000004</v>
      </c>
      <c r="L1547" s="73">
        <f>IF(Tank1!$C$23="No control",(SUMIF(Tank1!$B$32:$B$49,$J1547,Tank1!$C$32:$C$49)*Impacts!$F$8),0)</f>
        <v>0</v>
      </c>
      <c r="M1547" s="10">
        <f>IF(Tank2!$C$23="No control",(SUMIF(Tank2!$B$32:$B$49,$J1547,Tank2!$C$32:$C$49)*Impacts!$F$9),0)</f>
        <v>0</v>
      </c>
      <c r="N1547" s="10">
        <f>IF(Tank3!$C$23="No control",(SUMIF(Tank3!$B$32:$B$49,$J1547,Tank3!$C$32:$C$49)*Impacts!$F$10),0)</f>
        <v>0</v>
      </c>
      <c r="O1547" s="10">
        <f>IF(Tank4!$C$23="No control",(SUMIF(Tank4!$B$32:$B$49,$J1547,Tank4!$C$32:$C$49)*Impacts!$F$11),0)</f>
        <v>0</v>
      </c>
      <c r="P1547" s="10">
        <f>IF(Tank5!$C$23="No control",(SUMIF(Tank5!$B$32:$B$49,$J1547,Tank5!$C$32:$C$49)*Impacts!$F$12),0)</f>
        <v>0</v>
      </c>
      <c r="Q1547" s="10">
        <f>IFERROR(IF(('Loading-drum,tote'!$C$21)="No control",SUMIF(('Loading-drum,tote'!$B$31:$B$48),$J1547,('Loading-drum,tote'!$D$31:$D$48))*Impacts!$F$13,IF(('Loading-drum,tote'!$C$21)&lt;&gt;"No control",SUMIF(('Loading-drum,tote'!$B$31:$B$48),$J1547,('Loading-drum,tote'!$E$31:$E$48))*Impacts!$F$13,0)),0)</f>
        <v>0</v>
      </c>
      <c r="R1547" s="10">
        <f>IFERROR(IF(('Loading-truck'!$C$21)="No control",SUMIF(('Loading-truck'!$B$31:$B$48),$J1547,('Loading-truck'!$D$31:$D$48))*Impacts!$F$14,IF(('Loading-truck'!$C$21)&lt;&gt;"No control",SUMIF(('Loading-truck'!$B$31:$B$48),$J1547,('Loading-truck'!$E$31:$E$48))*Impacts!$F$14,0)),0)</f>
        <v>0</v>
      </c>
      <c r="S1547" s="10">
        <f>IFERROR(IF(('Loading-rail'!$C$21)="No control",SUMIF(('Loading-rail'!$B$31:$B$48),$J1547,('Loading-rail'!$D$31:$D$48))*Impacts!$F$15,IF(('Loading-rail'!$C$21)&lt;&gt;"No control",SUMIF(('Loading-rail'!$B$31:$B$48),$J1547,('Loading-rail'!$E$31:$E$48))*Impacts!$F$15,0)),0)</f>
        <v>0</v>
      </c>
      <c r="T1547" s="10">
        <f>IF(Flare!$C$7="",0,(SUMIF(Flare!$B$46:$B$185,$J1547,Flare!$E$46:$E$185)*Impacts!$F$16))</f>
        <v>0</v>
      </c>
      <c r="U1547" s="10">
        <f>IF(VCU!$C$9="",0,(SUMIF(VCU!$B$51:$B$193,$J1547,VCU!$E$51:$E$193)*Impacts!$F$17))</f>
        <v>0</v>
      </c>
      <c r="V1547" s="10">
        <f>IF(CAS!$C$7="",0,(SUMIF(CAS!$B$31:$B$167,$J1547,CAS!$E$31:$E$167)*Impacts!$F$18))</f>
        <v>0</v>
      </c>
      <c r="W1547" s="10">
        <f t="shared" si="64"/>
        <v>0</v>
      </c>
      <c r="AK1547" s="10" t="str">
        <f t="array" ref="AK1547">IFERROR(INDEX(SelectedSpecies,SMALL(IF(SelectedSpecies=AK$1,ROW(SelectedSpecies)),ROW(1548:1548)),2),"")</f>
        <v/>
      </c>
      <c r="BE1547" s="10"/>
      <c r="BI1547" s="10"/>
    </row>
    <row r="1548" spans="1:61" ht="21" customHeight="1" x14ac:dyDescent="0.25">
      <c r="A1548" s="10"/>
      <c r="B1548" s="10"/>
      <c r="E1548" s="10"/>
      <c r="G1548" s="10"/>
      <c r="I1548" s="436" t="s">
        <v>3677</v>
      </c>
      <c r="J1548" s="26" t="s">
        <v>3676</v>
      </c>
      <c r="K1548" s="10">
        <v>7</v>
      </c>
      <c r="L1548" s="73">
        <f>IF(Tank1!$C$23="No control",(SUMIF(Tank1!$B$32:$B$49,$J1548,Tank1!$C$32:$C$49)*Impacts!$F$8),0)</f>
        <v>0</v>
      </c>
      <c r="M1548" s="10">
        <f>IF(Tank2!$C$23="No control",(SUMIF(Tank2!$B$32:$B$49,$J1548,Tank2!$C$32:$C$49)*Impacts!$F$9),0)</f>
        <v>0</v>
      </c>
      <c r="N1548" s="10">
        <f>IF(Tank3!$C$23="No control",(SUMIF(Tank3!$B$32:$B$49,$J1548,Tank3!$C$32:$C$49)*Impacts!$F$10),0)</f>
        <v>0</v>
      </c>
      <c r="O1548" s="10">
        <f>IF(Tank4!$C$23="No control",(SUMIF(Tank4!$B$32:$B$49,$J1548,Tank4!$C$32:$C$49)*Impacts!$F$11),0)</f>
        <v>0</v>
      </c>
      <c r="P1548" s="10">
        <f>IF(Tank5!$C$23="No control",(SUMIF(Tank5!$B$32:$B$49,$J1548,Tank5!$C$32:$C$49)*Impacts!$F$12),0)</f>
        <v>0</v>
      </c>
      <c r="Q1548" s="10">
        <f>IFERROR(IF(('Loading-drum,tote'!$C$21)="No control",SUMIF(('Loading-drum,tote'!$B$31:$B$48),$J1548,('Loading-drum,tote'!$D$31:$D$48))*Impacts!$F$13,IF(('Loading-drum,tote'!$C$21)&lt;&gt;"No control",SUMIF(('Loading-drum,tote'!$B$31:$B$48),$J1548,('Loading-drum,tote'!$E$31:$E$48))*Impacts!$F$13,0)),0)</f>
        <v>0</v>
      </c>
      <c r="R1548" s="10">
        <f>IFERROR(IF(('Loading-truck'!$C$21)="No control",SUMIF(('Loading-truck'!$B$31:$B$48),$J1548,('Loading-truck'!$D$31:$D$48))*Impacts!$F$14,IF(('Loading-truck'!$C$21)&lt;&gt;"No control",SUMIF(('Loading-truck'!$B$31:$B$48),$J1548,('Loading-truck'!$E$31:$E$48))*Impacts!$F$14,0)),0)</f>
        <v>0</v>
      </c>
      <c r="S1548" s="10">
        <f>IFERROR(IF(('Loading-rail'!$C$21)="No control",SUMIF(('Loading-rail'!$B$31:$B$48),$J1548,('Loading-rail'!$D$31:$D$48))*Impacts!$F$15,IF(('Loading-rail'!$C$21)&lt;&gt;"No control",SUMIF(('Loading-rail'!$B$31:$B$48),$J1548,('Loading-rail'!$E$31:$E$48))*Impacts!$F$15,0)),0)</f>
        <v>0</v>
      </c>
      <c r="T1548" s="10">
        <f>IF(Flare!$C$7="",0,(SUMIF(Flare!$B$46:$B$185,$J1548,Flare!$E$46:$E$185)*Impacts!$F$16))</f>
        <v>0</v>
      </c>
      <c r="U1548" s="10">
        <f>IF(VCU!$C$9="",0,(SUMIF(VCU!$B$51:$B$193,$J1548,VCU!$E$51:$E$193)*Impacts!$F$17))</f>
        <v>0</v>
      </c>
      <c r="V1548" s="10">
        <f>IF(CAS!$C$7="",0,(SUMIF(CAS!$B$31:$B$167,$J1548,CAS!$E$31:$E$167)*Impacts!$F$18))</f>
        <v>0</v>
      </c>
      <c r="W1548" s="10">
        <f t="shared" si="64"/>
        <v>0</v>
      </c>
      <c r="AK1548" s="10" t="str">
        <f t="array" ref="AK1548">IFERROR(INDEX(SelectedSpecies,SMALL(IF(SelectedSpecies=AK$1,ROW(SelectedSpecies)),ROW(1549:1549)),2),"")</f>
        <v/>
      </c>
      <c r="BE1548" s="10"/>
      <c r="BI1548" s="10"/>
    </row>
    <row r="1549" spans="1:61" ht="21" customHeight="1" x14ac:dyDescent="0.25">
      <c r="A1549" s="10"/>
      <c r="B1549" s="10"/>
      <c r="E1549" s="10"/>
      <c r="G1549" s="10"/>
      <c r="I1549" s="436" t="s">
        <v>5417</v>
      </c>
      <c r="J1549" s="26" t="s">
        <v>5416</v>
      </c>
      <c r="K1549" s="10">
        <v>1.4000000000000001</v>
      </c>
      <c r="L1549" s="73">
        <f>IF(Tank1!$C$23="No control",(SUMIF(Tank1!$B$32:$B$49,$J1549,Tank1!$C$32:$C$49)*Impacts!$F$8),0)</f>
        <v>0</v>
      </c>
      <c r="M1549" s="10">
        <f>IF(Tank2!$C$23="No control",(SUMIF(Tank2!$B$32:$B$49,$J1549,Tank2!$C$32:$C$49)*Impacts!$F$9),0)</f>
        <v>0</v>
      </c>
      <c r="N1549" s="10">
        <f>IF(Tank3!$C$23="No control",(SUMIF(Tank3!$B$32:$B$49,$J1549,Tank3!$C$32:$C$49)*Impacts!$F$10),0)</f>
        <v>0</v>
      </c>
      <c r="O1549" s="10">
        <f>IF(Tank4!$C$23="No control",(SUMIF(Tank4!$B$32:$B$49,$J1549,Tank4!$C$32:$C$49)*Impacts!$F$11),0)</f>
        <v>0</v>
      </c>
      <c r="P1549" s="10">
        <f>IF(Tank5!$C$23="No control",(SUMIF(Tank5!$B$32:$B$49,$J1549,Tank5!$C$32:$C$49)*Impacts!$F$12),0)</f>
        <v>0</v>
      </c>
      <c r="Q1549" s="10">
        <f>IFERROR(IF(('Loading-drum,tote'!$C$21)="No control",SUMIF(('Loading-drum,tote'!$B$31:$B$48),$J1549,('Loading-drum,tote'!$D$31:$D$48))*Impacts!$F$13,IF(('Loading-drum,tote'!$C$21)&lt;&gt;"No control",SUMIF(('Loading-drum,tote'!$B$31:$B$48),$J1549,('Loading-drum,tote'!$E$31:$E$48))*Impacts!$F$13,0)),0)</f>
        <v>0</v>
      </c>
      <c r="R1549" s="10">
        <f>IFERROR(IF(('Loading-truck'!$C$21)="No control",SUMIF(('Loading-truck'!$B$31:$B$48),$J1549,('Loading-truck'!$D$31:$D$48))*Impacts!$F$14,IF(('Loading-truck'!$C$21)&lt;&gt;"No control",SUMIF(('Loading-truck'!$B$31:$B$48),$J1549,('Loading-truck'!$E$31:$E$48))*Impacts!$F$14,0)),0)</f>
        <v>0</v>
      </c>
      <c r="S1549" s="10">
        <f>IFERROR(IF(('Loading-rail'!$C$21)="No control",SUMIF(('Loading-rail'!$B$31:$B$48),$J1549,('Loading-rail'!$D$31:$D$48))*Impacts!$F$15,IF(('Loading-rail'!$C$21)&lt;&gt;"No control",SUMIF(('Loading-rail'!$B$31:$B$48),$J1549,('Loading-rail'!$E$31:$E$48))*Impacts!$F$15,0)),0)</f>
        <v>0</v>
      </c>
      <c r="T1549" s="10">
        <f>IF(Flare!$C$7="",0,(SUMIF(Flare!$B$46:$B$185,$J1549,Flare!$E$46:$E$185)*Impacts!$F$16))</f>
        <v>0</v>
      </c>
      <c r="U1549" s="10">
        <f>IF(VCU!$C$9="",0,(SUMIF(VCU!$B$51:$B$193,$J1549,VCU!$E$51:$E$193)*Impacts!$F$17))</f>
        <v>0</v>
      </c>
      <c r="V1549" s="10">
        <f>IF(CAS!$C$7="",0,(SUMIF(CAS!$B$31:$B$167,$J1549,CAS!$E$31:$E$167)*Impacts!$F$18))</f>
        <v>0</v>
      </c>
      <c r="W1549" s="10">
        <f t="shared" si="64"/>
        <v>0</v>
      </c>
      <c r="AK1549" s="10" t="str">
        <f t="array" ref="AK1549">IFERROR(INDEX(SelectedSpecies,SMALL(IF(SelectedSpecies=AK$1,ROW(SelectedSpecies)),ROW(1550:1550)),2),"")</f>
        <v/>
      </c>
      <c r="BE1549" s="10"/>
      <c r="BI1549" s="10"/>
    </row>
    <row r="1550" spans="1:61" ht="21" customHeight="1" x14ac:dyDescent="0.25">
      <c r="A1550" s="10"/>
      <c r="B1550" s="10"/>
      <c r="E1550" s="10"/>
      <c r="G1550" s="10"/>
      <c r="I1550" s="436" t="s">
        <v>5517</v>
      </c>
      <c r="J1550" s="26" t="s">
        <v>5516</v>
      </c>
      <c r="K1550" s="10">
        <v>1.25</v>
      </c>
      <c r="L1550" s="73">
        <f>IF(Tank1!$C$23="No control",(SUMIF(Tank1!$B$32:$B$49,$J1550,Tank1!$C$32:$C$49)*Impacts!$F$8),0)</f>
        <v>0</v>
      </c>
      <c r="M1550" s="10">
        <f>IF(Tank2!$C$23="No control",(SUMIF(Tank2!$B$32:$B$49,$J1550,Tank2!$C$32:$C$49)*Impacts!$F$9),0)</f>
        <v>0</v>
      </c>
      <c r="N1550" s="10">
        <f>IF(Tank3!$C$23="No control",(SUMIF(Tank3!$B$32:$B$49,$J1550,Tank3!$C$32:$C$49)*Impacts!$F$10),0)</f>
        <v>0</v>
      </c>
      <c r="O1550" s="10">
        <f>IF(Tank4!$C$23="No control",(SUMIF(Tank4!$B$32:$B$49,$J1550,Tank4!$C$32:$C$49)*Impacts!$F$11),0)</f>
        <v>0</v>
      </c>
      <c r="P1550" s="10">
        <f>IF(Tank5!$C$23="No control",(SUMIF(Tank5!$B$32:$B$49,$J1550,Tank5!$C$32:$C$49)*Impacts!$F$12),0)</f>
        <v>0</v>
      </c>
      <c r="Q1550" s="10">
        <f>IFERROR(IF(('Loading-drum,tote'!$C$21)="No control",SUMIF(('Loading-drum,tote'!$B$31:$B$48),$J1550,('Loading-drum,tote'!$D$31:$D$48))*Impacts!$F$13,IF(('Loading-drum,tote'!$C$21)&lt;&gt;"No control",SUMIF(('Loading-drum,tote'!$B$31:$B$48),$J1550,('Loading-drum,tote'!$E$31:$E$48))*Impacts!$F$13,0)),0)</f>
        <v>0</v>
      </c>
      <c r="R1550" s="10">
        <f>IFERROR(IF(('Loading-truck'!$C$21)="No control",SUMIF(('Loading-truck'!$B$31:$B$48),$J1550,('Loading-truck'!$D$31:$D$48))*Impacts!$F$14,IF(('Loading-truck'!$C$21)&lt;&gt;"No control",SUMIF(('Loading-truck'!$B$31:$B$48),$J1550,('Loading-truck'!$E$31:$E$48))*Impacts!$F$14,0)),0)</f>
        <v>0</v>
      </c>
      <c r="S1550" s="10">
        <f>IFERROR(IF(('Loading-rail'!$C$21)="No control",SUMIF(('Loading-rail'!$B$31:$B$48),$J1550,('Loading-rail'!$D$31:$D$48))*Impacts!$F$15,IF(('Loading-rail'!$C$21)&lt;&gt;"No control",SUMIF(('Loading-rail'!$B$31:$B$48),$J1550,('Loading-rail'!$E$31:$E$48))*Impacts!$F$15,0)),0)</f>
        <v>0</v>
      </c>
      <c r="T1550" s="10">
        <f>IF(Flare!$C$7="",0,(SUMIF(Flare!$B$46:$B$185,$J1550,Flare!$E$46:$E$185)*Impacts!$F$16))</f>
        <v>0</v>
      </c>
      <c r="U1550" s="10">
        <f>IF(VCU!$C$9="",0,(SUMIF(VCU!$B$51:$B$193,$J1550,VCU!$E$51:$E$193)*Impacts!$F$17))</f>
        <v>0</v>
      </c>
      <c r="V1550" s="10">
        <f>IF(CAS!$C$7="",0,(SUMIF(CAS!$B$31:$B$167,$J1550,CAS!$E$31:$E$167)*Impacts!$F$18))</f>
        <v>0</v>
      </c>
      <c r="W1550" s="10">
        <f t="shared" si="64"/>
        <v>0</v>
      </c>
      <c r="AK1550" s="10" t="str">
        <f t="array" ref="AK1550">IFERROR(INDEX(SelectedSpecies,SMALL(IF(SelectedSpecies=AK$1,ROW(SelectedSpecies)),ROW(1551:1551)),2),"")</f>
        <v/>
      </c>
      <c r="BE1550" s="10"/>
      <c r="BI1550" s="10"/>
    </row>
    <row r="1551" spans="1:61" ht="21" customHeight="1" x14ac:dyDescent="0.25">
      <c r="A1551" s="10"/>
      <c r="B1551" s="10"/>
      <c r="E1551" s="10"/>
      <c r="G1551" s="10"/>
      <c r="I1551" s="436" t="s">
        <v>7266</v>
      </c>
      <c r="J1551" s="26" t="s">
        <v>7265</v>
      </c>
      <c r="K1551" s="10">
        <v>0.30000000000000004</v>
      </c>
      <c r="L1551" s="73">
        <f>IF(Tank1!$C$23="No control",(SUMIF(Tank1!$B$32:$B$49,$J1551,Tank1!$C$32:$C$49)*Impacts!$F$8),0)</f>
        <v>0</v>
      </c>
      <c r="M1551" s="10">
        <f>IF(Tank2!$C$23="No control",(SUMIF(Tank2!$B$32:$B$49,$J1551,Tank2!$C$32:$C$49)*Impacts!$F$9),0)</f>
        <v>0</v>
      </c>
      <c r="N1551" s="10">
        <f>IF(Tank3!$C$23="No control",(SUMIF(Tank3!$B$32:$B$49,$J1551,Tank3!$C$32:$C$49)*Impacts!$F$10),0)</f>
        <v>0</v>
      </c>
      <c r="O1551" s="10">
        <f>IF(Tank4!$C$23="No control",(SUMIF(Tank4!$B$32:$B$49,$J1551,Tank4!$C$32:$C$49)*Impacts!$F$11),0)</f>
        <v>0</v>
      </c>
      <c r="P1551" s="10">
        <f>IF(Tank5!$C$23="No control",(SUMIF(Tank5!$B$32:$B$49,$J1551,Tank5!$C$32:$C$49)*Impacts!$F$12),0)</f>
        <v>0</v>
      </c>
      <c r="Q1551" s="10">
        <f>IFERROR(IF(('Loading-drum,tote'!$C$21)="No control",SUMIF(('Loading-drum,tote'!$B$31:$B$48),$J1551,('Loading-drum,tote'!$D$31:$D$48))*Impacts!$F$13,IF(('Loading-drum,tote'!$C$21)&lt;&gt;"No control",SUMIF(('Loading-drum,tote'!$B$31:$B$48),$J1551,('Loading-drum,tote'!$E$31:$E$48))*Impacts!$F$13,0)),0)</f>
        <v>0</v>
      </c>
      <c r="R1551" s="10">
        <f>IFERROR(IF(('Loading-truck'!$C$21)="No control",SUMIF(('Loading-truck'!$B$31:$B$48),$J1551,('Loading-truck'!$D$31:$D$48))*Impacts!$F$14,IF(('Loading-truck'!$C$21)&lt;&gt;"No control",SUMIF(('Loading-truck'!$B$31:$B$48),$J1551,('Loading-truck'!$E$31:$E$48))*Impacts!$F$14,0)),0)</f>
        <v>0</v>
      </c>
      <c r="S1551" s="10">
        <f>IFERROR(IF(('Loading-rail'!$C$21)="No control",SUMIF(('Loading-rail'!$B$31:$B$48),$J1551,('Loading-rail'!$D$31:$D$48))*Impacts!$F$15,IF(('Loading-rail'!$C$21)&lt;&gt;"No control",SUMIF(('Loading-rail'!$B$31:$B$48),$J1551,('Loading-rail'!$E$31:$E$48))*Impacts!$F$15,0)),0)</f>
        <v>0</v>
      </c>
      <c r="T1551" s="10">
        <f>IF(Flare!$C$7="",0,(SUMIF(Flare!$B$46:$B$185,$J1551,Flare!$E$46:$E$185)*Impacts!$F$16))</f>
        <v>0</v>
      </c>
      <c r="U1551" s="10">
        <f>IF(VCU!$C$9="",0,(SUMIF(VCU!$B$51:$B$193,$J1551,VCU!$E$51:$E$193)*Impacts!$F$17))</f>
        <v>0</v>
      </c>
      <c r="V1551" s="10">
        <f>IF(CAS!$C$7="",0,(SUMIF(CAS!$B$31:$B$167,$J1551,CAS!$E$31:$E$167)*Impacts!$F$18))</f>
        <v>0</v>
      </c>
      <c r="W1551" s="10">
        <f t="shared" si="64"/>
        <v>0</v>
      </c>
      <c r="AK1551" s="10" t="str">
        <f t="array" ref="AK1551">IFERROR(INDEX(SelectedSpecies,SMALL(IF(SelectedSpecies=AK$1,ROW(SelectedSpecies)),ROW(1552:1552)),2),"")</f>
        <v/>
      </c>
      <c r="BE1551" s="10"/>
      <c r="BI1551" s="10"/>
    </row>
    <row r="1552" spans="1:61" ht="21" customHeight="1" x14ac:dyDescent="0.25">
      <c r="A1552" s="10"/>
      <c r="B1552" s="10"/>
      <c r="E1552" s="10"/>
      <c r="G1552" s="10"/>
      <c r="I1552" s="436" t="s">
        <v>1542</v>
      </c>
      <c r="J1552" s="26" t="s">
        <v>1541</v>
      </c>
      <c r="K1552" s="10">
        <v>27</v>
      </c>
      <c r="L1552" s="73">
        <f>IF(Tank1!$C$23="No control",(SUMIF(Tank1!$B$32:$B$49,$J1552,Tank1!$C$32:$C$49)*Impacts!$F$8),0)</f>
        <v>0</v>
      </c>
      <c r="M1552" s="10">
        <f>IF(Tank2!$C$23="No control",(SUMIF(Tank2!$B$32:$B$49,$J1552,Tank2!$C$32:$C$49)*Impacts!$F$9),0)</f>
        <v>0</v>
      </c>
      <c r="N1552" s="10">
        <f>IF(Tank3!$C$23="No control",(SUMIF(Tank3!$B$32:$B$49,$J1552,Tank3!$C$32:$C$49)*Impacts!$F$10),0)</f>
        <v>0</v>
      </c>
      <c r="O1552" s="10">
        <f>IF(Tank4!$C$23="No control",(SUMIF(Tank4!$B$32:$B$49,$J1552,Tank4!$C$32:$C$49)*Impacts!$F$11),0)</f>
        <v>0</v>
      </c>
      <c r="P1552" s="10">
        <f>IF(Tank5!$C$23="No control",(SUMIF(Tank5!$B$32:$B$49,$J1552,Tank5!$C$32:$C$49)*Impacts!$F$12),0)</f>
        <v>0</v>
      </c>
      <c r="Q1552" s="10">
        <f>IFERROR(IF(('Loading-drum,tote'!$C$21)="No control",SUMIF(('Loading-drum,tote'!$B$31:$B$48),$J1552,('Loading-drum,tote'!$D$31:$D$48))*Impacts!$F$13,IF(('Loading-drum,tote'!$C$21)&lt;&gt;"No control",SUMIF(('Loading-drum,tote'!$B$31:$B$48),$J1552,('Loading-drum,tote'!$E$31:$E$48))*Impacts!$F$13,0)),0)</f>
        <v>0</v>
      </c>
      <c r="R1552" s="10">
        <f>IFERROR(IF(('Loading-truck'!$C$21)="No control",SUMIF(('Loading-truck'!$B$31:$B$48),$J1552,('Loading-truck'!$D$31:$D$48))*Impacts!$F$14,IF(('Loading-truck'!$C$21)&lt;&gt;"No control",SUMIF(('Loading-truck'!$B$31:$B$48),$J1552,('Loading-truck'!$E$31:$E$48))*Impacts!$F$14,0)),0)</f>
        <v>0</v>
      </c>
      <c r="S1552" s="10">
        <f>IFERROR(IF(('Loading-rail'!$C$21)="No control",SUMIF(('Loading-rail'!$B$31:$B$48),$J1552,('Loading-rail'!$D$31:$D$48))*Impacts!$F$15,IF(('Loading-rail'!$C$21)&lt;&gt;"No control",SUMIF(('Loading-rail'!$B$31:$B$48),$J1552,('Loading-rail'!$E$31:$E$48))*Impacts!$F$15,0)),0)</f>
        <v>0</v>
      </c>
      <c r="T1552" s="10">
        <f>IF(Flare!$C$7="",0,(SUMIF(Flare!$B$46:$B$185,$J1552,Flare!$E$46:$E$185)*Impacts!$F$16))</f>
        <v>0</v>
      </c>
      <c r="U1552" s="10">
        <f>IF(VCU!$C$9="",0,(SUMIF(VCU!$B$51:$B$193,$J1552,VCU!$E$51:$E$193)*Impacts!$F$17))</f>
        <v>0</v>
      </c>
      <c r="V1552" s="10">
        <f>IF(CAS!$C$7="",0,(SUMIF(CAS!$B$31:$B$167,$J1552,CAS!$E$31:$E$167)*Impacts!$F$18))</f>
        <v>0</v>
      </c>
      <c r="W1552" s="10">
        <f t="shared" si="64"/>
        <v>0</v>
      </c>
      <c r="AK1552" s="10" t="str">
        <f t="array" ref="AK1552">IFERROR(INDEX(SelectedSpecies,SMALL(IF(SelectedSpecies=AK$1,ROW(SelectedSpecies)),ROW(1553:1553)),2),"")</f>
        <v/>
      </c>
      <c r="BE1552" s="10"/>
      <c r="BI1552" s="10"/>
    </row>
    <row r="1553" spans="1:61" ht="21" customHeight="1" x14ac:dyDescent="0.25">
      <c r="A1553" s="10"/>
      <c r="B1553" s="10"/>
      <c r="E1553" s="10"/>
      <c r="G1553" s="10"/>
      <c r="I1553" s="436" t="s">
        <v>7020</v>
      </c>
      <c r="J1553" s="26" t="s">
        <v>7019</v>
      </c>
      <c r="K1553" s="10">
        <v>0.45</v>
      </c>
      <c r="L1553" s="73">
        <f>IF(Tank1!$C$23="No control",(SUMIF(Tank1!$B$32:$B$49,$J1553,Tank1!$C$32:$C$49)*Impacts!$F$8),0)</f>
        <v>0</v>
      </c>
      <c r="M1553" s="10">
        <f>IF(Tank2!$C$23="No control",(SUMIF(Tank2!$B$32:$B$49,$J1553,Tank2!$C$32:$C$49)*Impacts!$F$9),0)</f>
        <v>0</v>
      </c>
      <c r="N1553" s="10">
        <f>IF(Tank3!$C$23="No control",(SUMIF(Tank3!$B$32:$B$49,$J1553,Tank3!$C$32:$C$49)*Impacts!$F$10),0)</f>
        <v>0</v>
      </c>
      <c r="O1553" s="10">
        <f>IF(Tank4!$C$23="No control",(SUMIF(Tank4!$B$32:$B$49,$J1553,Tank4!$C$32:$C$49)*Impacts!$F$11),0)</f>
        <v>0</v>
      </c>
      <c r="P1553" s="10">
        <f>IF(Tank5!$C$23="No control",(SUMIF(Tank5!$B$32:$B$49,$J1553,Tank5!$C$32:$C$49)*Impacts!$F$12),0)</f>
        <v>0</v>
      </c>
      <c r="Q1553" s="10">
        <f>IFERROR(IF(('Loading-drum,tote'!$C$21)="No control",SUMIF(('Loading-drum,tote'!$B$31:$B$48),$J1553,('Loading-drum,tote'!$D$31:$D$48))*Impacts!$F$13,IF(('Loading-drum,tote'!$C$21)&lt;&gt;"No control",SUMIF(('Loading-drum,tote'!$B$31:$B$48),$J1553,('Loading-drum,tote'!$E$31:$E$48))*Impacts!$F$13,0)),0)</f>
        <v>0</v>
      </c>
      <c r="R1553" s="10">
        <f>IFERROR(IF(('Loading-truck'!$C$21)="No control",SUMIF(('Loading-truck'!$B$31:$B$48),$J1553,('Loading-truck'!$D$31:$D$48))*Impacts!$F$14,IF(('Loading-truck'!$C$21)&lt;&gt;"No control",SUMIF(('Loading-truck'!$B$31:$B$48),$J1553,('Loading-truck'!$E$31:$E$48))*Impacts!$F$14,0)),0)</f>
        <v>0</v>
      </c>
      <c r="S1553" s="10">
        <f>IFERROR(IF(('Loading-rail'!$C$21)="No control",SUMIF(('Loading-rail'!$B$31:$B$48),$J1553,('Loading-rail'!$D$31:$D$48))*Impacts!$F$15,IF(('Loading-rail'!$C$21)&lt;&gt;"No control",SUMIF(('Loading-rail'!$B$31:$B$48),$J1553,('Loading-rail'!$E$31:$E$48))*Impacts!$F$15,0)),0)</f>
        <v>0</v>
      </c>
      <c r="T1553" s="10">
        <f>IF(Flare!$C$7="",0,(SUMIF(Flare!$B$46:$B$185,$J1553,Flare!$E$46:$E$185)*Impacts!$F$16))</f>
        <v>0</v>
      </c>
      <c r="U1553" s="10">
        <f>IF(VCU!$C$9="",0,(SUMIF(VCU!$B$51:$B$193,$J1553,VCU!$E$51:$E$193)*Impacts!$F$17))</f>
        <v>0</v>
      </c>
      <c r="V1553" s="10">
        <f>IF(CAS!$C$7="",0,(SUMIF(CAS!$B$31:$B$167,$J1553,CAS!$E$31:$E$167)*Impacts!$F$18))</f>
        <v>0</v>
      </c>
      <c r="W1553" s="10">
        <f t="shared" si="64"/>
        <v>0</v>
      </c>
      <c r="AK1553" s="10" t="str">
        <f t="array" ref="AK1553">IFERROR(INDEX(SelectedSpecies,SMALL(IF(SelectedSpecies=AK$1,ROW(SelectedSpecies)),ROW(1554:1554)),2),"")</f>
        <v/>
      </c>
      <c r="BE1553" s="10"/>
      <c r="BI1553" s="10"/>
    </row>
    <row r="1554" spans="1:61" ht="21" customHeight="1" x14ac:dyDescent="0.25">
      <c r="A1554" s="10"/>
      <c r="B1554" s="10"/>
      <c r="E1554" s="10"/>
      <c r="G1554" s="10"/>
      <c r="I1554" s="436" t="s">
        <v>7968</v>
      </c>
      <c r="J1554" s="26" t="s">
        <v>7967</v>
      </c>
      <c r="K1554" s="10">
        <v>4.0000000000000008E-2</v>
      </c>
      <c r="L1554" s="73">
        <f>IF(Tank1!$C$23="No control",(SUMIF(Tank1!$B$32:$B$49,$J1554,Tank1!$C$32:$C$49)*Impacts!$F$8),0)</f>
        <v>0</v>
      </c>
      <c r="M1554" s="10">
        <f>IF(Tank2!$C$23="No control",(SUMIF(Tank2!$B$32:$B$49,$J1554,Tank2!$C$32:$C$49)*Impacts!$F$9),0)</f>
        <v>0</v>
      </c>
      <c r="N1554" s="10">
        <f>IF(Tank3!$C$23="No control",(SUMIF(Tank3!$B$32:$B$49,$J1554,Tank3!$C$32:$C$49)*Impacts!$F$10),0)</f>
        <v>0</v>
      </c>
      <c r="O1554" s="10">
        <f>IF(Tank4!$C$23="No control",(SUMIF(Tank4!$B$32:$B$49,$J1554,Tank4!$C$32:$C$49)*Impacts!$F$11),0)</f>
        <v>0</v>
      </c>
      <c r="P1554" s="10">
        <f>IF(Tank5!$C$23="No control",(SUMIF(Tank5!$B$32:$B$49,$J1554,Tank5!$C$32:$C$49)*Impacts!$F$12),0)</f>
        <v>0</v>
      </c>
      <c r="Q1554" s="10">
        <f>IFERROR(IF(('Loading-drum,tote'!$C$21)="No control",SUMIF(('Loading-drum,tote'!$B$31:$B$48),$J1554,('Loading-drum,tote'!$D$31:$D$48))*Impacts!$F$13,IF(('Loading-drum,tote'!$C$21)&lt;&gt;"No control",SUMIF(('Loading-drum,tote'!$B$31:$B$48),$J1554,('Loading-drum,tote'!$E$31:$E$48))*Impacts!$F$13,0)),0)</f>
        <v>0</v>
      </c>
      <c r="R1554" s="10">
        <f>IFERROR(IF(('Loading-truck'!$C$21)="No control",SUMIF(('Loading-truck'!$B$31:$B$48),$J1554,('Loading-truck'!$D$31:$D$48))*Impacts!$F$14,IF(('Loading-truck'!$C$21)&lt;&gt;"No control",SUMIF(('Loading-truck'!$B$31:$B$48),$J1554,('Loading-truck'!$E$31:$E$48))*Impacts!$F$14,0)),0)</f>
        <v>0</v>
      </c>
      <c r="S1554" s="10">
        <f>IFERROR(IF(('Loading-rail'!$C$21)="No control",SUMIF(('Loading-rail'!$B$31:$B$48),$J1554,('Loading-rail'!$D$31:$D$48))*Impacts!$F$15,IF(('Loading-rail'!$C$21)&lt;&gt;"No control",SUMIF(('Loading-rail'!$B$31:$B$48),$J1554,('Loading-rail'!$E$31:$E$48))*Impacts!$F$15,0)),0)</f>
        <v>0</v>
      </c>
      <c r="T1554" s="10">
        <f>IF(Flare!$C$7="",0,(SUMIF(Flare!$B$46:$B$185,$J1554,Flare!$E$46:$E$185)*Impacts!$F$16))</f>
        <v>0</v>
      </c>
      <c r="U1554" s="10">
        <f>IF(VCU!$C$9="",0,(SUMIF(VCU!$B$51:$B$193,$J1554,VCU!$E$51:$E$193)*Impacts!$F$17))</f>
        <v>0</v>
      </c>
      <c r="V1554" s="10">
        <f>IF(CAS!$C$7="",0,(SUMIF(CAS!$B$31:$B$167,$J1554,CAS!$E$31:$E$167)*Impacts!$F$18))</f>
        <v>0</v>
      </c>
      <c r="W1554" s="10">
        <f t="shared" si="64"/>
        <v>0</v>
      </c>
      <c r="AK1554" s="10" t="str">
        <f t="array" ref="AK1554">IFERROR(INDEX(SelectedSpecies,SMALL(IF(SelectedSpecies=AK$1,ROW(SelectedSpecies)),ROW(1555:1555)),2),"")</f>
        <v/>
      </c>
      <c r="BE1554" s="10"/>
      <c r="BI1554" s="10"/>
    </row>
    <row r="1555" spans="1:61" ht="21" customHeight="1" x14ac:dyDescent="0.25">
      <c r="A1555" s="10"/>
      <c r="B1555" s="10"/>
      <c r="E1555" s="10"/>
      <c r="G1555" s="10"/>
      <c r="I1555" s="436" t="s">
        <v>5109</v>
      </c>
      <c r="J1555" s="26" t="s">
        <v>5108</v>
      </c>
      <c r="K1555" s="10">
        <v>2.1</v>
      </c>
      <c r="L1555" s="73">
        <f>IF(Tank1!$C$23="No control",(SUMIF(Tank1!$B$32:$B$49,$J1555,Tank1!$C$32:$C$49)*Impacts!$F$8),0)</f>
        <v>0</v>
      </c>
      <c r="M1555" s="10">
        <f>IF(Tank2!$C$23="No control",(SUMIF(Tank2!$B$32:$B$49,$J1555,Tank2!$C$32:$C$49)*Impacts!$F$9),0)</f>
        <v>0</v>
      </c>
      <c r="N1555" s="10">
        <f>IF(Tank3!$C$23="No control",(SUMIF(Tank3!$B$32:$B$49,$J1555,Tank3!$C$32:$C$49)*Impacts!$F$10),0)</f>
        <v>0</v>
      </c>
      <c r="O1555" s="10">
        <f>IF(Tank4!$C$23="No control",(SUMIF(Tank4!$B$32:$B$49,$J1555,Tank4!$C$32:$C$49)*Impacts!$F$11),0)</f>
        <v>0</v>
      </c>
      <c r="P1555" s="10">
        <f>IF(Tank5!$C$23="No control",(SUMIF(Tank5!$B$32:$B$49,$J1555,Tank5!$C$32:$C$49)*Impacts!$F$12),0)</f>
        <v>0</v>
      </c>
      <c r="Q1555" s="10">
        <f>IFERROR(IF(('Loading-drum,tote'!$C$21)="No control",SUMIF(('Loading-drum,tote'!$B$31:$B$48),$J1555,('Loading-drum,tote'!$D$31:$D$48))*Impacts!$F$13,IF(('Loading-drum,tote'!$C$21)&lt;&gt;"No control",SUMIF(('Loading-drum,tote'!$B$31:$B$48),$J1555,('Loading-drum,tote'!$E$31:$E$48))*Impacts!$F$13,0)),0)</f>
        <v>0</v>
      </c>
      <c r="R1555" s="10">
        <f>IFERROR(IF(('Loading-truck'!$C$21)="No control",SUMIF(('Loading-truck'!$B$31:$B$48),$J1555,('Loading-truck'!$D$31:$D$48))*Impacts!$F$14,IF(('Loading-truck'!$C$21)&lt;&gt;"No control",SUMIF(('Loading-truck'!$B$31:$B$48),$J1555,('Loading-truck'!$E$31:$E$48))*Impacts!$F$14,0)),0)</f>
        <v>0</v>
      </c>
      <c r="S1555" s="10">
        <f>IFERROR(IF(('Loading-rail'!$C$21)="No control",SUMIF(('Loading-rail'!$B$31:$B$48),$J1555,('Loading-rail'!$D$31:$D$48))*Impacts!$F$15,IF(('Loading-rail'!$C$21)&lt;&gt;"No control",SUMIF(('Loading-rail'!$B$31:$B$48),$J1555,('Loading-rail'!$E$31:$E$48))*Impacts!$F$15,0)),0)</f>
        <v>0</v>
      </c>
      <c r="T1555" s="10">
        <f>IF(Flare!$C$7="",0,(SUMIF(Flare!$B$46:$B$185,$J1555,Flare!$E$46:$E$185)*Impacts!$F$16))</f>
        <v>0</v>
      </c>
      <c r="U1555" s="10">
        <f>IF(VCU!$C$9="",0,(SUMIF(VCU!$B$51:$B$193,$J1555,VCU!$E$51:$E$193)*Impacts!$F$17))</f>
        <v>0</v>
      </c>
      <c r="V1555" s="10">
        <f>IF(CAS!$C$7="",0,(SUMIF(CAS!$B$31:$B$167,$J1555,CAS!$E$31:$E$167)*Impacts!$F$18))</f>
        <v>0</v>
      </c>
      <c r="W1555" s="10">
        <f t="shared" si="64"/>
        <v>0</v>
      </c>
      <c r="AK1555" s="10" t="str">
        <f t="array" ref="AK1555">IFERROR(INDEX(SelectedSpecies,SMALL(IF(SelectedSpecies=AK$1,ROW(SelectedSpecies)),ROW(1556:1556)),2),"")</f>
        <v/>
      </c>
      <c r="BE1555" s="10"/>
      <c r="BI1555" s="10"/>
    </row>
    <row r="1556" spans="1:61" ht="21" customHeight="1" x14ac:dyDescent="0.25">
      <c r="A1556" s="10"/>
      <c r="B1556" s="10"/>
      <c r="E1556" s="10"/>
      <c r="G1556" s="10"/>
      <c r="I1556" s="436" t="s">
        <v>4333</v>
      </c>
      <c r="J1556" s="26" t="s">
        <v>4332</v>
      </c>
      <c r="K1556" s="10">
        <v>4.9000000000000004</v>
      </c>
      <c r="L1556" s="73">
        <f>IF(Tank1!$C$23="No control",(SUMIF(Tank1!$B$32:$B$49,$J1556,Tank1!$C$32:$C$49)*Impacts!$F$8),0)</f>
        <v>0</v>
      </c>
      <c r="M1556" s="10">
        <f>IF(Tank2!$C$23="No control",(SUMIF(Tank2!$B$32:$B$49,$J1556,Tank2!$C$32:$C$49)*Impacts!$F$9),0)</f>
        <v>0</v>
      </c>
      <c r="N1556" s="10">
        <f>IF(Tank3!$C$23="No control",(SUMIF(Tank3!$B$32:$B$49,$J1556,Tank3!$C$32:$C$49)*Impacts!$F$10),0)</f>
        <v>0</v>
      </c>
      <c r="O1556" s="10">
        <f>IF(Tank4!$C$23="No control",(SUMIF(Tank4!$B$32:$B$49,$J1556,Tank4!$C$32:$C$49)*Impacts!$F$11),0)</f>
        <v>0</v>
      </c>
      <c r="P1556" s="10">
        <f>IF(Tank5!$C$23="No control",(SUMIF(Tank5!$B$32:$B$49,$J1556,Tank5!$C$32:$C$49)*Impacts!$F$12),0)</f>
        <v>0</v>
      </c>
      <c r="Q1556" s="10">
        <f>IFERROR(IF(('Loading-drum,tote'!$C$21)="No control",SUMIF(('Loading-drum,tote'!$B$31:$B$48),$J1556,('Loading-drum,tote'!$D$31:$D$48))*Impacts!$F$13,IF(('Loading-drum,tote'!$C$21)&lt;&gt;"No control",SUMIF(('Loading-drum,tote'!$B$31:$B$48),$J1556,('Loading-drum,tote'!$E$31:$E$48))*Impacts!$F$13,0)),0)</f>
        <v>0</v>
      </c>
      <c r="R1556" s="10">
        <f>IFERROR(IF(('Loading-truck'!$C$21)="No control",SUMIF(('Loading-truck'!$B$31:$B$48),$J1556,('Loading-truck'!$D$31:$D$48))*Impacts!$F$14,IF(('Loading-truck'!$C$21)&lt;&gt;"No control",SUMIF(('Loading-truck'!$B$31:$B$48),$J1556,('Loading-truck'!$E$31:$E$48))*Impacts!$F$14,0)),0)</f>
        <v>0</v>
      </c>
      <c r="S1556" s="10">
        <f>IFERROR(IF(('Loading-rail'!$C$21)="No control",SUMIF(('Loading-rail'!$B$31:$B$48),$J1556,('Loading-rail'!$D$31:$D$48))*Impacts!$F$15,IF(('Loading-rail'!$C$21)&lt;&gt;"No control",SUMIF(('Loading-rail'!$B$31:$B$48),$J1556,('Loading-rail'!$E$31:$E$48))*Impacts!$F$15,0)),0)</f>
        <v>0</v>
      </c>
      <c r="T1556" s="10">
        <f>IF(Flare!$C$7="",0,(SUMIF(Flare!$B$46:$B$185,$J1556,Flare!$E$46:$E$185)*Impacts!$F$16))</f>
        <v>0</v>
      </c>
      <c r="U1556" s="10">
        <f>IF(VCU!$C$9="",0,(SUMIF(VCU!$B$51:$B$193,$J1556,VCU!$E$51:$E$193)*Impacts!$F$17))</f>
        <v>0</v>
      </c>
      <c r="V1556" s="10">
        <f>IF(CAS!$C$7="",0,(SUMIF(CAS!$B$31:$B$167,$J1556,CAS!$E$31:$E$167)*Impacts!$F$18))</f>
        <v>0</v>
      </c>
      <c r="W1556" s="10">
        <f t="shared" si="64"/>
        <v>0</v>
      </c>
      <c r="AK1556" s="10" t="str">
        <f t="array" ref="AK1556">IFERROR(INDEX(SelectedSpecies,SMALL(IF(SelectedSpecies=AK$1,ROW(SelectedSpecies)),ROW(1557:1557)),2),"")</f>
        <v/>
      </c>
      <c r="BE1556" s="10"/>
      <c r="BI1556" s="10"/>
    </row>
    <row r="1557" spans="1:61" ht="21" customHeight="1" x14ac:dyDescent="0.25">
      <c r="A1557" s="10"/>
      <c r="B1557" s="10"/>
      <c r="E1557" s="10"/>
      <c r="G1557" s="10"/>
      <c r="I1557" s="436" t="s">
        <v>1688</v>
      </c>
      <c r="J1557" s="26" t="s">
        <v>1687</v>
      </c>
      <c r="K1557" s="10">
        <v>24.5</v>
      </c>
      <c r="L1557" s="73">
        <f>IF(Tank1!$C$23="No control",(SUMIF(Tank1!$B$32:$B$49,$J1557,Tank1!$C$32:$C$49)*Impacts!$F$8),0)</f>
        <v>0</v>
      </c>
      <c r="M1557" s="10">
        <f>IF(Tank2!$C$23="No control",(SUMIF(Tank2!$B$32:$B$49,$J1557,Tank2!$C$32:$C$49)*Impacts!$F$9),0)</f>
        <v>0</v>
      </c>
      <c r="N1557" s="10">
        <f>IF(Tank3!$C$23="No control",(SUMIF(Tank3!$B$32:$B$49,$J1557,Tank3!$C$32:$C$49)*Impacts!$F$10),0)</f>
        <v>0</v>
      </c>
      <c r="O1557" s="10">
        <f>IF(Tank4!$C$23="No control",(SUMIF(Tank4!$B$32:$B$49,$J1557,Tank4!$C$32:$C$49)*Impacts!$F$11),0)</f>
        <v>0</v>
      </c>
      <c r="P1557" s="10">
        <f>IF(Tank5!$C$23="No control",(SUMIF(Tank5!$B$32:$B$49,$J1557,Tank5!$C$32:$C$49)*Impacts!$F$12),0)</f>
        <v>0</v>
      </c>
      <c r="Q1557" s="10">
        <f>IFERROR(IF(('Loading-drum,tote'!$C$21)="No control",SUMIF(('Loading-drum,tote'!$B$31:$B$48),$J1557,('Loading-drum,tote'!$D$31:$D$48))*Impacts!$F$13,IF(('Loading-drum,tote'!$C$21)&lt;&gt;"No control",SUMIF(('Loading-drum,tote'!$B$31:$B$48),$J1557,('Loading-drum,tote'!$E$31:$E$48))*Impacts!$F$13,0)),0)</f>
        <v>0</v>
      </c>
      <c r="R1557" s="10">
        <f>IFERROR(IF(('Loading-truck'!$C$21)="No control",SUMIF(('Loading-truck'!$B$31:$B$48),$J1557,('Loading-truck'!$D$31:$D$48))*Impacts!$F$14,IF(('Loading-truck'!$C$21)&lt;&gt;"No control",SUMIF(('Loading-truck'!$B$31:$B$48),$J1557,('Loading-truck'!$E$31:$E$48))*Impacts!$F$14,0)),0)</f>
        <v>0</v>
      </c>
      <c r="S1557" s="10">
        <f>IFERROR(IF(('Loading-rail'!$C$21)="No control",SUMIF(('Loading-rail'!$B$31:$B$48),$J1557,('Loading-rail'!$D$31:$D$48))*Impacts!$F$15,IF(('Loading-rail'!$C$21)&lt;&gt;"No control",SUMIF(('Loading-rail'!$B$31:$B$48),$J1557,('Loading-rail'!$E$31:$E$48))*Impacts!$F$15,0)),0)</f>
        <v>0</v>
      </c>
      <c r="T1557" s="10">
        <f>IF(Flare!$C$7="",0,(SUMIF(Flare!$B$46:$B$185,$J1557,Flare!$E$46:$E$185)*Impacts!$F$16))</f>
        <v>0</v>
      </c>
      <c r="U1557" s="10">
        <f>IF(VCU!$C$9="",0,(SUMIF(VCU!$B$51:$B$193,$J1557,VCU!$E$51:$E$193)*Impacts!$F$17))</f>
        <v>0</v>
      </c>
      <c r="V1557" s="10">
        <f>IF(CAS!$C$7="",0,(SUMIF(CAS!$B$31:$B$167,$J1557,CAS!$E$31:$E$167)*Impacts!$F$18))</f>
        <v>0</v>
      </c>
      <c r="W1557" s="10">
        <f t="shared" si="64"/>
        <v>0</v>
      </c>
      <c r="AK1557" s="10" t="str">
        <f t="array" ref="AK1557">IFERROR(INDEX(SelectedSpecies,SMALL(IF(SelectedSpecies=AK$1,ROW(SelectedSpecies)),ROW(1558:1558)),2),"")</f>
        <v/>
      </c>
      <c r="BE1557" s="10"/>
      <c r="BI1557" s="10"/>
    </row>
    <row r="1558" spans="1:61" ht="21" customHeight="1" x14ac:dyDescent="0.25">
      <c r="A1558" s="10"/>
      <c r="B1558" s="10"/>
      <c r="E1558" s="10"/>
      <c r="G1558" s="10"/>
      <c r="I1558" s="436" t="s">
        <v>2479</v>
      </c>
      <c r="J1558" s="26" t="s">
        <v>2478</v>
      </c>
      <c r="K1558" s="10">
        <v>10</v>
      </c>
      <c r="L1558" s="73">
        <f>IF(Tank1!$C$23="No control",(SUMIF(Tank1!$B$32:$B$49,$J1558,Tank1!$C$32:$C$49)*Impacts!$F$8),0)</f>
        <v>0</v>
      </c>
      <c r="M1558" s="10">
        <f>IF(Tank2!$C$23="No control",(SUMIF(Tank2!$B$32:$B$49,$J1558,Tank2!$C$32:$C$49)*Impacts!$F$9),0)</f>
        <v>0</v>
      </c>
      <c r="N1558" s="10">
        <f>IF(Tank3!$C$23="No control",(SUMIF(Tank3!$B$32:$B$49,$J1558,Tank3!$C$32:$C$49)*Impacts!$F$10),0)</f>
        <v>0</v>
      </c>
      <c r="O1558" s="10">
        <f>IF(Tank4!$C$23="No control",(SUMIF(Tank4!$B$32:$B$49,$J1558,Tank4!$C$32:$C$49)*Impacts!$F$11),0)</f>
        <v>0</v>
      </c>
      <c r="P1558" s="10">
        <f>IF(Tank5!$C$23="No control",(SUMIF(Tank5!$B$32:$B$49,$J1558,Tank5!$C$32:$C$49)*Impacts!$F$12),0)</f>
        <v>0</v>
      </c>
      <c r="Q1558" s="10">
        <f>IFERROR(IF(('Loading-drum,tote'!$C$21)="No control",SUMIF(('Loading-drum,tote'!$B$31:$B$48),$J1558,('Loading-drum,tote'!$D$31:$D$48))*Impacts!$F$13,IF(('Loading-drum,tote'!$C$21)&lt;&gt;"No control",SUMIF(('Loading-drum,tote'!$B$31:$B$48),$J1558,('Loading-drum,tote'!$E$31:$E$48))*Impacts!$F$13,0)),0)</f>
        <v>0</v>
      </c>
      <c r="R1558" s="10">
        <f>IFERROR(IF(('Loading-truck'!$C$21)="No control",SUMIF(('Loading-truck'!$B$31:$B$48),$J1558,('Loading-truck'!$D$31:$D$48))*Impacts!$F$14,IF(('Loading-truck'!$C$21)&lt;&gt;"No control",SUMIF(('Loading-truck'!$B$31:$B$48),$J1558,('Loading-truck'!$E$31:$E$48))*Impacts!$F$14,0)),0)</f>
        <v>0</v>
      </c>
      <c r="S1558" s="10">
        <f>IFERROR(IF(('Loading-rail'!$C$21)="No control",SUMIF(('Loading-rail'!$B$31:$B$48),$J1558,('Loading-rail'!$D$31:$D$48))*Impacts!$F$15,IF(('Loading-rail'!$C$21)&lt;&gt;"No control",SUMIF(('Loading-rail'!$B$31:$B$48),$J1558,('Loading-rail'!$E$31:$E$48))*Impacts!$F$15,0)),0)</f>
        <v>0</v>
      </c>
      <c r="T1558" s="10">
        <f>IF(Flare!$C$7="",0,(SUMIF(Flare!$B$46:$B$185,$J1558,Flare!$E$46:$E$185)*Impacts!$F$16))</f>
        <v>0</v>
      </c>
      <c r="U1558" s="10">
        <f>IF(VCU!$C$9="",0,(SUMIF(VCU!$B$51:$B$193,$J1558,VCU!$E$51:$E$193)*Impacts!$F$17))</f>
        <v>0</v>
      </c>
      <c r="V1558" s="10">
        <f>IF(CAS!$C$7="",0,(SUMIF(CAS!$B$31:$B$167,$J1558,CAS!$E$31:$E$167)*Impacts!$F$18))</f>
        <v>0</v>
      </c>
      <c r="W1558" s="10">
        <f t="shared" si="64"/>
        <v>0</v>
      </c>
      <c r="AK1558" s="10" t="str">
        <f t="array" ref="AK1558">IFERROR(INDEX(SelectedSpecies,SMALL(IF(SelectedSpecies=AK$1,ROW(SelectedSpecies)),ROW(1559:1559)),2),"")</f>
        <v/>
      </c>
      <c r="BE1558" s="10"/>
      <c r="BI1558" s="10"/>
    </row>
    <row r="1559" spans="1:61" ht="21" customHeight="1" x14ac:dyDescent="0.25">
      <c r="A1559" s="10"/>
      <c r="B1559" s="10"/>
      <c r="E1559" s="10"/>
      <c r="G1559" s="10"/>
      <c r="I1559" s="436" t="s">
        <v>3943</v>
      </c>
      <c r="J1559" s="26" t="s">
        <v>3942</v>
      </c>
      <c r="K1559" s="10">
        <v>6</v>
      </c>
      <c r="L1559" s="73">
        <f>IF(Tank1!$C$23="No control",(SUMIF(Tank1!$B$32:$B$49,$J1559,Tank1!$C$32:$C$49)*Impacts!$F$8),0)</f>
        <v>0</v>
      </c>
      <c r="M1559" s="10">
        <f>IF(Tank2!$C$23="No control",(SUMIF(Tank2!$B$32:$B$49,$J1559,Tank2!$C$32:$C$49)*Impacts!$F$9),0)</f>
        <v>0</v>
      </c>
      <c r="N1559" s="10">
        <f>IF(Tank3!$C$23="No control",(SUMIF(Tank3!$B$32:$B$49,$J1559,Tank3!$C$32:$C$49)*Impacts!$F$10),0)</f>
        <v>0</v>
      </c>
      <c r="O1559" s="10">
        <f>IF(Tank4!$C$23="No control",(SUMIF(Tank4!$B$32:$B$49,$J1559,Tank4!$C$32:$C$49)*Impacts!$F$11),0)</f>
        <v>0</v>
      </c>
      <c r="P1559" s="10">
        <f>IF(Tank5!$C$23="No control",(SUMIF(Tank5!$B$32:$B$49,$J1559,Tank5!$C$32:$C$49)*Impacts!$F$12),0)</f>
        <v>0</v>
      </c>
      <c r="Q1559" s="10">
        <f>IFERROR(IF(('Loading-drum,tote'!$C$21)="No control",SUMIF(('Loading-drum,tote'!$B$31:$B$48),$J1559,('Loading-drum,tote'!$D$31:$D$48))*Impacts!$F$13,IF(('Loading-drum,tote'!$C$21)&lt;&gt;"No control",SUMIF(('Loading-drum,tote'!$B$31:$B$48),$J1559,('Loading-drum,tote'!$E$31:$E$48))*Impacts!$F$13,0)),0)</f>
        <v>0</v>
      </c>
      <c r="R1559" s="10">
        <f>IFERROR(IF(('Loading-truck'!$C$21)="No control",SUMIF(('Loading-truck'!$B$31:$B$48),$J1559,('Loading-truck'!$D$31:$D$48))*Impacts!$F$14,IF(('Loading-truck'!$C$21)&lt;&gt;"No control",SUMIF(('Loading-truck'!$B$31:$B$48),$J1559,('Loading-truck'!$E$31:$E$48))*Impacts!$F$14,0)),0)</f>
        <v>0</v>
      </c>
      <c r="S1559" s="10">
        <f>IFERROR(IF(('Loading-rail'!$C$21)="No control",SUMIF(('Loading-rail'!$B$31:$B$48),$J1559,('Loading-rail'!$D$31:$D$48))*Impacts!$F$15,IF(('Loading-rail'!$C$21)&lt;&gt;"No control",SUMIF(('Loading-rail'!$B$31:$B$48),$J1559,('Loading-rail'!$E$31:$E$48))*Impacts!$F$15,0)),0)</f>
        <v>0</v>
      </c>
      <c r="T1559" s="10">
        <f>IF(Flare!$C$7="",0,(SUMIF(Flare!$B$46:$B$185,$J1559,Flare!$E$46:$E$185)*Impacts!$F$16))</f>
        <v>0</v>
      </c>
      <c r="U1559" s="10">
        <f>IF(VCU!$C$9="",0,(SUMIF(VCU!$B$51:$B$193,$J1559,VCU!$E$51:$E$193)*Impacts!$F$17))</f>
        <v>0</v>
      </c>
      <c r="V1559" s="10">
        <f>IF(CAS!$C$7="",0,(SUMIF(CAS!$B$31:$B$167,$J1559,CAS!$E$31:$E$167)*Impacts!$F$18))</f>
        <v>0</v>
      </c>
      <c r="W1559" s="10">
        <f t="shared" si="64"/>
        <v>0</v>
      </c>
      <c r="AK1559" s="10" t="str">
        <f t="array" ref="AK1559">IFERROR(INDEX(SelectedSpecies,SMALL(IF(SelectedSpecies=AK$1,ROW(SelectedSpecies)),ROW(1560:1560)),2),"")</f>
        <v/>
      </c>
      <c r="BE1559" s="10"/>
      <c r="BI1559" s="10"/>
    </row>
    <row r="1560" spans="1:61" ht="21" customHeight="1" x14ac:dyDescent="0.25">
      <c r="A1560" s="10"/>
      <c r="B1560" s="10"/>
      <c r="E1560" s="10"/>
      <c r="G1560" s="10"/>
      <c r="I1560" s="436" t="s">
        <v>940</v>
      </c>
      <c r="J1560" s="26" t="s">
        <v>939</v>
      </c>
      <c r="K1560" s="10">
        <v>43</v>
      </c>
      <c r="L1560" s="73">
        <f>IF(Tank1!$C$23="No control",(SUMIF(Tank1!$B$32:$B$49,$J1560,Tank1!$C$32:$C$49)*Impacts!$F$8),0)</f>
        <v>0</v>
      </c>
      <c r="M1560" s="10">
        <f>IF(Tank2!$C$23="No control",(SUMIF(Tank2!$B$32:$B$49,$J1560,Tank2!$C$32:$C$49)*Impacts!$F$9),0)</f>
        <v>0</v>
      </c>
      <c r="N1560" s="10">
        <f>IF(Tank3!$C$23="No control",(SUMIF(Tank3!$B$32:$B$49,$J1560,Tank3!$C$32:$C$49)*Impacts!$F$10),0)</f>
        <v>0</v>
      </c>
      <c r="O1560" s="10">
        <f>IF(Tank4!$C$23="No control",(SUMIF(Tank4!$B$32:$B$49,$J1560,Tank4!$C$32:$C$49)*Impacts!$F$11),0)</f>
        <v>0</v>
      </c>
      <c r="P1560" s="10">
        <f>IF(Tank5!$C$23="No control",(SUMIF(Tank5!$B$32:$B$49,$J1560,Tank5!$C$32:$C$49)*Impacts!$F$12),0)</f>
        <v>0</v>
      </c>
      <c r="Q1560" s="10">
        <f>IFERROR(IF(('Loading-drum,tote'!$C$21)="No control",SUMIF(('Loading-drum,tote'!$B$31:$B$48),$J1560,('Loading-drum,tote'!$D$31:$D$48))*Impacts!$F$13,IF(('Loading-drum,tote'!$C$21)&lt;&gt;"No control",SUMIF(('Loading-drum,tote'!$B$31:$B$48),$J1560,('Loading-drum,tote'!$E$31:$E$48))*Impacts!$F$13,0)),0)</f>
        <v>0</v>
      </c>
      <c r="R1560" s="10">
        <f>IFERROR(IF(('Loading-truck'!$C$21)="No control",SUMIF(('Loading-truck'!$B$31:$B$48),$J1560,('Loading-truck'!$D$31:$D$48))*Impacts!$F$14,IF(('Loading-truck'!$C$21)&lt;&gt;"No control",SUMIF(('Loading-truck'!$B$31:$B$48),$J1560,('Loading-truck'!$E$31:$E$48))*Impacts!$F$14,0)),0)</f>
        <v>0</v>
      </c>
      <c r="S1560" s="10">
        <f>IFERROR(IF(('Loading-rail'!$C$21)="No control",SUMIF(('Loading-rail'!$B$31:$B$48),$J1560,('Loading-rail'!$D$31:$D$48))*Impacts!$F$15,IF(('Loading-rail'!$C$21)&lt;&gt;"No control",SUMIF(('Loading-rail'!$B$31:$B$48),$J1560,('Loading-rail'!$E$31:$E$48))*Impacts!$F$15,0)),0)</f>
        <v>0</v>
      </c>
      <c r="T1560" s="10">
        <f>IF(Flare!$C$7="",0,(SUMIF(Flare!$B$46:$B$185,$J1560,Flare!$E$46:$E$185)*Impacts!$F$16))</f>
        <v>0</v>
      </c>
      <c r="U1560" s="10">
        <f>IF(VCU!$C$9="",0,(SUMIF(VCU!$B$51:$B$193,$J1560,VCU!$E$51:$E$193)*Impacts!$F$17))</f>
        <v>0</v>
      </c>
      <c r="V1560" s="10">
        <f>IF(CAS!$C$7="",0,(SUMIF(CAS!$B$31:$B$167,$J1560,CAS!$E$31:$E$167)*Impacts!$F$18))</f>
        <v>0</v>
      </c>
      <c r="W1560" s="10">
        <f t="shared" si="64"/>
        <v>0</v>
      </c>
      <c r="AK1560" s="10" t="str">
        <f t="array" ref="AK1560">IFERROR(INDEX(SelectedSpecies,SMALL(IF(SelectedSpecies=AK$1,ROW(SelectedSpecies)),ROW(1561:1561)),2),"")</f>
        <v/>
      </c>
      <c r="BE1560" s="10"/>
      <c r="BI1560" s="10"/>
    </row>
    <row r="1561" spans="1:61" ht="21" customHeight="1" x14ac:dyDescent="0.25">
      <c r="A1561" s="10"/>
      <c r="B1561" s="10"/>
      <c r="E1561" s="10"/>
      <c r="G1561" s="10"/>
      <c r="I1561" s="436" t="s">
        <v>7172</v>
      </c>
      <c r="J1561" s="26" t="s">
        <v>7171</v>
      </c>
      <c r="K1561" s="10">
        <v>0.33</v>
      </c>
      <c r="L1561" s="73">
        <f>IF(Tank1!$C$23="No control",(SUMIF(Tank1!$B$32:$B$49,$J1561,Tank1!$C$32:$C$49)*Impacts!$F$8),0)</f>
        <v>0</v>
      </c>
      <c r="M1561" s="10">
        <f>IF(Tank2!$C$23="No control",(SUMIF(Tank2!$B$32:$B$49,$J1561,Tank2!$C$32:$C$49)*Impacts!$F$9),0)</f>
        <v>0</v>
      </c>
      <c r="N1561" s="10">
        <f>IF(Tank3!$C$23="No control",(SUMIF(Tank3!$B$32:$B$49,$J1561,Tank3!$C$32:$C$49)*Impacts!$F$10),0)</f>
        <v>0</v>
      </c>
      <c r="O1561" s="10">
        <f>IF(Tank4!$C$23="No control",(SUMIF(Tank4!$B$32:$B$49,$J1561,Tank4!$C$32:$C$49)*Impacts!$F$11),0)</f>
        <v>0</v>
      </c>
      <c r="P1561" s="10">
        <f>IF(Tank5!$C$23="No control",(SUMIF(Tank5!$B$32:$B$49,$J1561,Tank5!$C$32:$C$49)*Impacts!$F$12),0)</f>
        <v>0</v>
      </c>
      <c r="Q1561" s="10">
        <f>IFERROR(IF(('Loading-drum,tote'!$C$21)="No control",SUMIF(('Loading-drum,tote'!$B$31:$B$48),$J1561,('Loading-drum,tote'!$D$31:$D$48))*Impacts!$F$13,IF(('Loading-drum,tote'!$C$21)&lt;&gt;"No control",SUMIF(('Loading-drum,tote'!$B$31:$B$48),$J1561,('Loading-drum,tote'!$E$31:$E$48))*Impacts!$F$13,0)),0)</f>
        <v>0</v>
      </c>
      <c r="R1561" s="10">
        <f>IFERROR(IF(('Loading-truck'!$C$21)="No control",SUMIF(('Loading-truck'!$B$31:$B$48),$J1561,('Loading-truck'!$D$31:$D$48))*Impacts!$F$14,IF(('Loading-truck'!$C$21)&lt;&gt;"No control",SUMIF(('Loading-truck'!$B$31:$B$48),$J1561,('Loading-truck'!$E$31:$E$48))*Impacts!$F$14,0)),0)</f>
        <v>0</v>
      </c>
      <c r="S1561" s="10">
        <f>IFERROR(IF(('Loading-rail'!$C$21)="No control",SUMIF(('Loading-rail'!$B$31:$B$48),$J1561,('Loading-rail'!$D$31:$D$48))*Impacts!$F$15,IF(('Loading-rail'!$C$21)&lt;&gt;"No control",SUMIF(('Loading-rail'!$B$31:$B$48),$J1561,('Loading-rail'!$E$31:$E$48))*Impacts!$F$15,0)),0)</f>
        <v>0</v>
      </c>
      <c r="T1561" s="10">
        <f>IF(Flare!$C$7="",0,(SUMIF(Flare!$B$46:$B$185,$J1561,Flare!$E$46:$E$185)*Impacts!$F$16))</f>
        <v>0</v>
      </c>
      <c r="U1561" s="10">
        <f>IF(VCU!$C$9="",0,(SUMIF(VCU!$B$51:$B$193,$J1561,VCU!$E$51:$E$193)*Impacts!$F$17))</f>
        <v>0</v>
      </c>
      <c r="V1561" s="10">
        <f>IF(CAS!$C$7="",0,(SUMIF(CAS!$B$31:$B$167,$J1561,CAS!$E$31:$E$167)*Impacts!$F$18))</f>
        <v>0</v>
      </c>
      <c r="W1561" s="10">
        <f t="shared" si="64"/>
        <v>0</v>
      </c>
      <c r="AK1561" s="10" t="str">
        <f t="array" ref="AK1561">IFERROR(INDEX(SelectedSpecies,SMALL(IF(SelectedSpecies=AK$1,ROW(SelectedSpecies)),ROW(1562:1562)),2),"")</f>
        <v/>
      </c>
      <c r="BE1561" s="10"/>
      <c r="BI1561" s="10"/>
    </row>
    <row r="1562" spans="1:61" ht="21" customHeight="1" x14ac:dyDescent="0.25">
      <c r="A1562" s="10"/>
      <c r="B1562" s="10"/>
      <c r="E1562" s="10"/>
      <c r="G1562" s="10"/>
      <c r="I1562" s="436" t="s">
        <v>2309</v>
      </c>
      <c r="J1562" s="26" t="s">
        <v>2308</v>
      </c>
      <c r="K1562" s="10">
        <v>12</v>
      </c>
      <c r="L1562" s="73">
        <f>IF(Tank1!$C$23="No control",(SUMIF(Tank1!$B$32:$B$49,$J1562,Tank1!$C$32:$C$49)*Impacts!$F$8),0)</f>
        <v>0</v>
      </c>
      <c r="M1562" s="10">
        <f>IF(Tank2!$C$23="No control",(SUMIF(Tank2!$B$32:$B$49,$J1562,Tank2!$C$32:$C$49)*Impacts!$F$9),0)</f>
        <v>0</v>
      </c>
      <c r="N1562" s="10">
        <f>IF(Tank3!$C$23="No control",(SUMIF(Tank3!$B$32:$B$49,$J1562,Tank3!$C$32:$C$49)*Impacts!$F$10),0)</f>
        <v>0</v>
      </c>
      <c r="O1562" s="10">
        <f>IF(Tank4!$C$23="No control",(SUMIF(Tank4!$B$32:$B$49,$J1562,Tank4!$C$32:$C$49)*Impacts!$F$11),0)</f>
        <v>0</v>
      </c>
      <c r="P1562" s="10">
        <f>IF(Tank5!$C$23="No control",(SUMIF(Tank5!$B$32:$B$49,$J1562,Tank5!$C$32:$C$49)*Impacts!$F$12),0)</f>
        <v>0</v>
      </c>
      <c r="Q1562" s="10">
        <f>IFERROR(IF(('Loading-drum,tote'!$C$21)="No control",SUMIF(('Loading-drum,tote'!$B$31:$B$48),$J1562,('Loading-drum,tote'!$D$31:$D$48))*Impacts!$F$13,IF(('Loading-drum,tote'!$C$21)&lt;&gt;"No control",SUMIF(('Loading-drum,tote'!$B$31:$B$48),$J1562,('Loading-drum,tote'!$E$31:$E$48))*Impacts!$F$13,0)),0)</f>
        <v>0</v>
      </c>
      <c r="R1562" s="10">
        <f>IFERROR(IF(('Loading-truck'!$C$21)="No control",SUMIF(('Loading-truck'!$B$31:$B$48),$J1562,('Loading-truck'!$D$31:$D$48))*Impacts!$F$14,IF(('Loading-truck'!$C$21)&lt;&gt;"No control",SUMIF(('Loading-truck'!$B$31:$B$48),$J1562,('Loading-truck'!$E$31:$E$48))*Impacts!$F$14,0)),0)</f>
        <v>0</v>
      </c>
      <c r="S1562" s="10">
        <f>IFERROR(IF(('Loading-rail'!$C$21)="No control",SUMIF(('Loading-rail'!$B$31:$B$48),$J1562,('Loading-rail'!$D$31:$D$48))*Impacts!$F$15,IF(('Loading-rail'!$C$21)&lt;&gt;"No control",SUMIF(('Loading-rail'!$B$31:$B$48),$J1562,('Loading-rail'!$E$31:$E$48))*Impacts!$F$15,0)),0)</f>
        <v>0</v>
      </c>
      <c r="T1562" s="10">
        <f>IF(Flare!$C$7="",0,(SUMIF(Flare!$B$46:$B$185,$J1562,Flare!$E$46:$E$185)*Impacts!$F$16))</f>
        <v>0</v>
      </c>
      <c r="U1562" s="10">
        <f>IF(VCU!$C$9="",0,(SUMIF(VCU!$B$51:$B$193,$J1562,VCU!$E$51:$E$193)*Impacts!$F$17))</f>
        <v>0</v>
      </c>
      <c r="V1562" s="10">
        <f>IF(CAS!$C$7="",0,(SUMIF(CAS!$B$31:$B$167,$J1562,CAS!$E$31:$E$167)*Impacts!$F$18))</f>
        <v>0</v>
      </c>
      <c r="W1562" s="10">
        <f t="shared" ref="W1562:W1625" si="65">SUM(L1562:V1562)</f>
        <v>0</v>
      </c>
      <c r="AK1562" s="10" t="str">
        <f t="array" ref="AK1562">IFERROR(INDEX(SelectedSpecies,SMALL(IF(SelectedSpecies=AK$1,ROW(SelectedSpecies)),ROW(1563:1563)),2),"")</f>
        <v/>
      </c>
      <c r="BE1562" s="10"/>
      <c r="BI1562" s="10"/>
    </row>
    <row r="1563" spans="1:61" ht="21" customHeight="1" x14ac:dyDescent="0.25">
      <c r="A1563" s="10"/>
      <c r="B1563" s="10"/>
      <c r="E1563" s="10"/>
      <c r="G1563" s="10"/>
      <c r="I1563" s="436" t="s">
        <v>5261</v>
      </c>
      <c r="J1563" s="26" t="s">
        <v>5260</v>
      </c>
      <c r="K1563" s="10">
        <v>1.8</v>
      </c>
      <c r="L1563" s="73">
        <f>IF(Tank1!$C$23="No control",(SUMIF(Tank1!$B$32:$B$49,$J1563,Tank1!$C$32:$C$49)*Impacts!$F$8),0)</f>
        <v>0</v>
      </c>
      <c r="M1563" s="10">
        <f>IF(Tank2!$C$23="No control",(SUMIF(Tank2!$B$32:$B$49,$J1563,Tank2!$C$32:$C$49)*Impacts!$F$9),0)</f>
        <v>0</v>
      </c>
      <c r="N1563" s="10">
        <f>IF(Tank3!$C$23="No control",(SUMIF(Tank3!$B$32:$B$49,$J1563,Tank3!$C$32:$C$49)*Impacts!$F$10),0)</f>
        <v>0</v>
      </c>
      <c r="O1563" s="10">
        <f>IF(Tank4!$C$23="No control",(SUMIF(Tank4!$B$32:$B$49,$J1563,Tank4!$C$32:$C$49)*Impacts!$F$11),0)</f>
        <v>0</v>
      </c>
      <c r="P1563" s="10">
        <f>IF(Tank5!$C$23="No control",(SUMIF(Tank5!$B$32:$B$49,$J1563,Tank5!$C$32:$C$49)*Impacts!$F$12),0)</f>
        <v>0</v>
      </c>
      <c r="Q1563" s="10">
        <f>IFERROR(IF(('Loading-drum,tote'!$C$21)="No control",SUMIF(('Loading-drum,tote'!$B$31:$B$48),$J1563,('Loading-drum,tote'!$D$31:$D$48))*Impacts!$F$13,IF(('Loading-drum,tote'!$C$21)&lt;&gt;"No control",SUMIF(('Loading-drum,tote'!$B$31:$B$48),$J1563,('Loading-drum,tote'!$E$31:$E$48))*Impacts!$F$13,0)),0)</f>
        <v>0</v>
      </c>
      <c r="R1563" s="10">
        <f>IFERROR(IF(('Loading-truck'!$C$21)="No control",SUMIF(('Loading-truck'!$B$31:$B$48),$J1563,('Loading-truck'!$D$31:$D$48))*Impacts!$F$14,IF(('Loading-truck'!$C$21)&lt;&gt;"No control",SUMIF(('Loading-truck'!$B$31:$B$48),$J1563,('Loading-truck'!$E$31:$E$48))*Impacts!$F$14,0)),0)</f>
        <v>0</v>
      </c>
      <c r="S1563" s="10">
        <f>IFERROR(IF(('Loading-rail'!$C$21)="No control",SUMIF(('Loading-rail'!$B$31:$B$48),$J1563,('Loading-rail'!$D$31:$D$48))*Impacts!$F$15,IF(('Loading-rail'!$C$21)&lt;&gt;"No control",SUMIF(('Loading-rail'!$B$31:$B$48),$J1563,('Loading-rail'!$E$31:$E$48))*Impacts!$F$15,0)),0)</f>
        <v>0</v>
      </c>
      <c r="T1563" s="10">
        <f>IF(Flare!$C$7="",0,(SUMIF(Flare!$B$46:$B$185,$J1563,Flare!$E$46:$E$185)*Impacts!$F$16))</f>
        <v>0</v>
      </c>
      <c r="U1563" s="10">
        <f>IF(VCU!$C$9="",0,(SUMIF(VCU!$B$51:$B$193,$J1563,VCU!$E$51:$E$193)*Impacts!$F$17))</f>
        <v>0</v>
      </c>
      <c r="V1563" s="10">
        <f>IF(CAS!$C$7="",0,(SUMIF(CAS!$B$31:$B$167,$J1563,CAS!$E$31:$E$167)*Impacts!$F$18))</f>
        <v>0</v>
      </c>
      <c r="W1563" s="10">
        <f t="shared" si="65"/>
        <v>0</v>
      </c>
      <c r="AK1563" s="10" t="str">
        <f t="array" ref="AK1563">IFERROR(INDEX(SelectedSpecies,SMALL(IF(SelectedSpecies=AK$1,ROW(SelectedSpecies)),ROW(1564:1564)),2),"")</f>
        <v/>
      </c>
      <c r="BE1563" s="10"/>
      <c r="BI1563" s="10"/>
    </row>
    <row r="1564" spans="1:61" ht="21" customHeight="1" x14ac:dyDescent="0.25">
      <c r="A1564" s="10"/>
      <c r="B1564" s="10"/>
      <c r="E1564" s="10"/>
      <c r="G1564" s="10"/>
      <c r="I1564" s="436" t="s">
        <v>5866</v>
      </c>
      <c r="J1564" s="26" t="s">
        <v>5865</v>
      </c>
      <c r="K1564" s="10">
        <v>1</v>
      </c>
      <c r="L1564" s="73">
        <f>IF(Tank1!$C$23="No control",(SUMIF(Tank1!$B$32:$B$49,$J1564,Tank1!$C$32:$C$49)*Impacts!$F$8),0)</f>
        <v>0</v>
      </c>
      <c r="M1564" s="10">
        <f>IF(Tank2!$C$23="No control",(SUMIF(Tank2!$B$32:$B$49,$J1564,Tank2!$C$32:$C$49)*Impacts!$F$9),0)</f>
        <v>0</v>
      </c>
      <c r="N1564" s="10">
        <f>IF(Tank3!$C$23="No control",(SUMIF(Tank3!$B$32:$B$49,$J1564,Tank3!$C$32:$C$49)*Impacts!$F$10),0)</f>
        <v>0</v>
      </c>
      <c r="O1564" s="10">
        <f>IF(Tank4!$C$23="No control",(SUMIF(Tank4!$B$32:$B$49,$J1564,Tank4!$C$32:$C$49)*Impacts!$F$11),0)</f>
        <v>0</v>
      </c>
      <c r="P1564" s="10">
        <f>IF(Tank5!$C$23="No control",(SUMIF(Tank5!$B$32:$B$49,$J1564,Tank5!$C$32:$C$49)*Impacts!$F$12),0)</f>
        <v>0</v>
      </c>
      <c r="Q1564" s="10">
        <f>IFERROR(IF(('Loading-drum,tote'!$C$21)="No control",SUMIF(('Loading-drum,tote'!$B$31:$B$48),$J1564,('Loading-drum,tote'!$D$31:$D$48))*Impacts!$F$13,IF(('Loading-drum,tote'!$C$21)&lt;&gt;"No control",SUMIF(('Loading-drum,tote'!$B$31:$B$48),$J1564,('Loading-drum,tote'!$E$31:$E$48))*Impacts!$F$13,0)),0)</f>
        <v>0</v>
      </c>
      <c r="R1564" s="10">
        <f>IFERROR(IF(('Loading-truck'!$C$21)="No control",SUMIF(('Loading-truck'!$B$31:$B$48),$J1564,('Loading-truck'!$D$31:$D$48))*Impacts!$F$14,IF(('Loading-truck'!$C$21)&lt;&gt;"No control",SUMIF(('Loading-truck'!$B$31:$B$48),$J1564,('Loading-truck'!$E$31:$E$48))*Impacts!$F$14,0)),0)</f>
        <v>0</v>
      </c>
      <c r="S1564" s="10">
        <f>IFERROR(IF(('Loading-rail'!$C$21)="No control",SUMIF(('Loading-rail'!$B$31:$B$48),$J1564,('Loading-rail'!$D$31:$D$48))*Impacts!$F$15,IF(('Loading-rail'!$C$21)&lt;&gt;"No control",SUMIF(('Loading-rail'!$B$31:$B$48),$J1564,('Loading-rail'!$E$31:$E$48))*Impacts!$F$15,0)),0)</f>
        <v>0</v>
      </c>
      <c r="T1564" s="10">
        <f>IF(Flare!$C$7="",0,(SUMIF(Flare!$B$46:$B$185,$J1564,Flare!$E$46:$E$185)*Impacts!$F$16))</f>
        <v>0</v>
      </c>
      <c r="U1564" s="10">
        <f>IF(VCU!$C$9="",0,(SUMIF(VCU!$B$51:$B$193,$J1564,VCU!$E$51:$E$193)*Impacts!$F$17))</f>
        <v>0</v>
      </c>
      <c r="V1564" s="10">
        <f>IF(CAS!$C$7="",0,(SUMIF(CAS!$B$31:$B$167,$J1564,CAS!$E$31:$E$167)*Impacts!$F$18))</f>
        <v>0</v>
      </c>
      <c r="W1564" s="10">
        <f t="shared" si="65"/>
        <v>0</v>
      </c>
      <c r="AK1564" s="10" t="str">
        <f t="array" ref="AK1564">IFERROR(INDEX(SelectedSpecies,SMALL(IF(SelectedSpecies=AK$1,ROW(SelectedSpecies)),ROW(1565:1565)),2),"")</f>
        <v/>
      </c>
      <c r="BE1564" s="10"/>
      <c r="BI1564" s="10"/>
    </row>
    <row r="1565" spans="1:61" ht="21" customHeight="1" x14ac:dyDescent="0.25">
      <c r="A1565" s="10"/>
      <c r="B1565" s="10"/>
      <c r="E1565" s="10"/>
      <c r="G1565" s="10"/>
      <c r="I1565" s="436" t="s">
        <v>690</v>
      </c>
      <c r="J1565" s="26" t="s">
        <v>689</v>
      </c>
      <c r="K1565" s="10">
        <v>57</v>
      </c>
      <c r="L1565" s="73">
        <f>IF(Tank1!$C$23="No control",(SUMIF(Tank1!$B$32:$B$49,$J1565,Tank1!$C$32:$C$49)*Impacts!$F$8),0)</f>
        <v>0</v>
      </c>
      <c r="M1565" s="10">
        <f>IF(Tank2!$C$23="No control",(SUMIF(Tank2!$B$32:$B$49,$J1565,Tank2!$C$32:$C$49)*Impacts!$F$9),0)</f>
        <v>0</v>
      </c>
      <c r="N1565" s="10">
        <f>IF(Tank3!$C$23="No control",(SUMIF(Tank3!$B$32:$B$49,$J1565,Tank3!$C$32:$C$49)*Impacts!$F$10),0)</f>
        <v>0</v>
      </c>
      <c r="O1565" s="10">
        <f>IF(Tank4!$C$23="No control",(SUMIF(Tank4!$B$32:$B$49,$J1565,Tank4!$C$32:$C$49)*Impacts!$F$11),0)</f>
        <v>0</v>
      </c>
      <c r="P1565" s="10">
        <f>IF(Tank5!$C$23="No control",(SUMIF(Tank5!$B$32:$B$49,$J1565,Tank5!$C$32:$C$49)*Impacts!$F$12),0)</f>
        <v>0</v>
      </c>
      <c r="Q1565" s="10">
        <f>IFERROR(IF(('Loading-drum,tote'!$C$21)="No control",SUMIF(('Loading-drum,tote'!$B$31:$B$48),$J1565,('Loading-drum,tote'!$D$31:$D$48))*Impacts!$F$13,IF(('Loading-drum,tote'!$C$21)&lt;&gt;"No control",SUMIF(('Loading-drum,tote'!$B$31:$B$48),$J1565,('Loading-drum,tote'!$E$31:$E$48))*Impacts!$F$13,0)),0)</f>
        <v>0</v>
      </c>
      <c r="R1565" s="10">
        <f>IFERROR(IF(('Loading-truck'!$C$21)="No control",SUMIF(('Loading-truck'!$B$31:$B$48),$J1565,('Loading-truck'!$D$31:$D$48))*Impacts!$F$14,IF(('Loading-truck'!$C$21)&lt;&gt;"No control",SUMIF(('Loading-truck'!$B$31:$B$48),$J1565,('Loading-truck'!$E$31:$E$48))*Impacts!$F$14,0)),0)</f>
        <v>0</v>
      </c>
      <c r="S1565" s="10">
        <f>IFERROR(IF(('Loading-rail'!$C$21)="No control",SUMIF(('Loading-rail'!$B$31:$B$48),$J1565,('Loading-rail'!$D$31:$D$48))*Impacts!$F$15,IF(('Loading-rail'!$C$21)&lt;&gt;"No control",SUMIF(('Loading-rail'!$B$31:$B$48),$J1565,('Loading-rail'!$E$31:$E$48))*Impacts!$F$15,0)),0)</f>
        <v>0</v>
      </c>
      <c r="T1565" s="10">
        <f>IF(Flare!$C$7="",0,(SUMIF(Flare!$B$46:$B$185,$J1565,Flare!$E$46:$E$185)*Impacts!$F$16))</f>
        <v>0</v>
      </c>
      <c r="U1565" s="10">
        <f>IF(VCU!$C$9="",0,(SUMIF(VCU!$B$51:$B$193,$J1565,VCU!$E$51:$E$193)*Impacts!$F$17))</f>
        <v>0</v>
      </c>
      <c r="V1565" s="10">
        <f>IF(CAS!$C$7="",0,(SUMIF(CAS!$B$31:$B$167,$J1565,CAS!$E$31:$E$167)*Impacts!$F$18))</f>
        <v>0</v>
      </c>
      <c r="W1565" s="10">
        <f t="shared" si="65"/>
        <v>0</v>
      </c>
      <c r="AK1565" s="10" t="str">
        <f t="array" ref="AK1565">IFERROR(INDEX(SelectedSpecies,SMALL(IF(SelectedSpecies=AK$1,ROW(SelectedSpecies)),ROW(1566:1566)),2),"")</f>
        <v/>
      </c>
      <c r="BE1565" s="10"/>
      <c r="BI1565" s="10"/>
    </row>
    <row r="1566" spans="1:61" ht="21" customHeight="1" x14ac:dyDescent="0.25">
      <c r="A1566" s="10"/>
      <c r="B1566" s="10"/>
      <c r="E1566" s="10"/>
      <c r="G1566" s="10"/>
      <c r="I1566" s="436" t="s">
        <v>4065</v>
      </c>
      <c r="J1566" s="26" t="s">
        <v>4064</v>
      </c>
      <c r="K1566" s="10">
        <v>5.8000000000000007</v>
      </c>
      <c r="L1566" s="73">
        <f>IF(Tank1!$C$23="No control",(SUMIF(Tank1!$B$32:$B$49,$J1566,Tank1!$C$32:$C$49)*Impacts!$F$8),0)</f>
        <v>0</v>
      </c>
      <c r="M1566" s="10">
        <f>IF(Tank2!$C$23="No control",(SUMIF(Tank2!$B$32:$B$49,$J1566,Tank2!$C$32:$C$49)*Impacts!$F$9),0)</f>
        <v>0</v>
      </c>
      <c r="N1566" s="10">
        <f>IF(Tank3!$C$23="No control",(SUMIF(Tank3!$B$32:$B$49,$J1566,Tank3!$C$32:$C$49)*Impacts!$F$10),0)</f>
        <v>0</v>
      </c>
      <c r="O1566" s="10">
        <f>IF(Tank4!$C$23="No control",(SUMIF(Tank4!$B$32:$B$49,$J1566,Tank4!$C$32:$C$49)*Impacts!$F$11),0)</f>
        <v>0</v>
      </c>
      <c r="P1566" s="10">
        <f>IF(Tank5!$C$23="No control",(SUMIF(Tank5!$B$32:$B$49,$J1566,Tank5!$C$32:$C$49)*Impacts!$F$12),0)</f>
        <v>0</v>
      </c>
      <c r="Q1566" s="10">
        <f>IFERROR(IF(('Loading-drum,tote'!$C$21)="No control",SUMIF(('Loading-drum,tote'!$B$31:$B$48),$J1566,('Loading-drum,tote'!$D$31:$D$48))*Impacts!$F$13,IF(('Loading-drum,tote'!$C$21)&lt;&gt;"No control",SUMIF(('Loading-drum,tote'!$B$31:$B$48),$J1566,('Loading-drum,tote'!$E$31:$E$48))*Impacts!$F$13,0)),0)</f>
        <v>0</v>
      </c>
      <c r="R1566" s="10">
        <f>IFERROR(IF(('Loading-truck'!$C$21)="No control",SUMIF(('Loading-truck'!$B$31:$B$48),$J1566,('Loading-truck'!$D$31:$D$48))*Impacts!$F$14,IF(('Loading-truck'!$C$21)&lt;&gt;"No control",SUMIF(('Loading-truck'!$B$31:$B$48),$J1566,('Loading-truck'!$E$31:$E$48))*Impacts!$F$14,0)),0)</f>
        <v>0</v>
      </c>
      <c r="S1566" s="10">
        <f>IFERROR(IF(('Loading-rail'!$C$21)="No control",SUMIF(('Loading-rail'!$B$31:$B$48),$J1566,('Loading-rail'!$D$31:$D$48))*Impacts!$F$15,IF(('Loading-rail'!$C$21)&lt;&gt;"No control",SUMIF(('Loading-rail'!$B$31:$B$48),$J1566,('Loading-rail'!$E$31:$E$48))*Impacts!$F$15,0)),0)</f>
        <v>0</v>
      </c>
      <c r="T1566" s="10">
        <f>IF(Flare!$C$7="",0,(SUMIF(Flare!$B$46:$B$185,$J1566,Flare!$E$46:$E$185)*Impacts!$F$16))</f>
        <v>0</v>
      </c>
      <c r="U1566" s="10">
        <f>IF(VCU!$C$9="",0,(SUMIF(VCU!$B$51:$B$193,$J1566,VCU!$E$51:$E$193)*Impacts!$F$17))</f>
        <v>0</v>
      </c>
      <c r="V1566" s="10">
        <f>IF(CAS!$C$7="",0,(SUMIF(CAS!$B$31:$B$167,$J1566,CAS!$E$31:$E$167)*Impacts!$F$18))</f>
        <v>0</v>
      </c>
      <c r="W1566" s="10">
        <f t="shared" si="65"/>
        <v>0</v>
      </c>
      <c r="AK1566" s="10" t="str">
        <f t="array" ref="AK1566">IFERROR(INDEX(SelectedSpecies,SMALL(IF(SelectedSpecies=AK$1,ROW(SelectedSpecies)),ROW(1567:1567)),2),"")</f>
        <v/>
      </c>
      <c r="BE1566" s="10"/>
      <c r="BI1566" s="10"/>
    </row>
    <row r="1567" spans="1:61" ht="21" customHeight="1" x14ac:dyDescent="0.25">
      <c r="A1567" s="10"/>
      <c r="B1567" s="10"/>
      <c r="E1567" s="10"/>
      <c r="G1567" s="10"/>
      <c r="I1567" s="436" t="s">
        <v>4761</v>
      </c>
      <c r="J1567" s="26" t="s">
        <v>4760</v>
      </c>
      <c r="K1567" s="10">
        <v>3.4000000000000004</v>
      </c>
      <c r="L1567" s="73">
        <f>IF(Tank1!$C$23="No control",(SUMIF(Tank1!$B$32:$B$49,$J1567,Tank1!$C$32:$C$49)*Impacts!$F$8),0)</f>
        <v>0</v>
      </c>
      <c r="M1567" s="10">
        <f>IF(Tank2!$C$23="No control",(SUMIF(Tank2!$B$32:$B$49,$J1567,Tank2!$C$32:$C$49)*Impacts!$F$9),0)</f>
        <v>0</v>
      </c>
      <c r="N1567" s="10">
        <f>IF(Tank3!$C$23="No control",(SUMIF(Tank3!$B$32:$B$49,$J1567,Tank3!$C$32:$C$49)*Impacts!$F$10),0)</f>
        <v>0</v>
      </c>
      <c r="O1567" s="10">
        <f>IF(Tank4!$C$23="No control",(SUMIF(Tank4!$B$32:$B$49,$J1567,Tank4!$C$32:$C$49)*Impacts!$F$11),0)</f>
        <v>0</v>
      </c>
      <c r="P1567" s="10">
        <f>IF(Tank5!$C$23="No control",(SUMIF(Tank5!$B$32:$B$49,$J1567,Tank5!$C$32:$C$49)*Impacts!$F$12),0)</f>
        <v>0</v>
      </c>
      <c r="Q1567" s="10">
        <f>IFERROR(IF(('Loading-drum,tote'!$C$21)="No control",SUMIF(('Loading-drum,tote'!$B$31:$B$48),$J1567,('Loading-drum,tote'!$D$31:$D$48))*Impacts!$F$13,IF(('Loading-drum,tote'!$C$21)&lt;&gt;"No control",SUMIF(('Loading-drum,tote'!$B$31:$B$48),$J1567,('Loading-drum,tote'!$E$31:$E$48))*Impacts!$F$13,0)),0)</f>
        <v>0</v>
      </c>
      <c r="R1567" s="10">
        <f>IFERROR(IF(('Loading-truck'!$C$21)="No control",SUMIF(('Loading-truck'!$B$31:$B$48),$J1567,('Loading-truck'!$D$31:$D$48))*Impacts!$F$14,IF(('Loading-truck'!$C$21)&lt;&gt;"No control",SUMIF(('Loading-truck'!$B$31:$B$48),$J1567,('Loading-truck'!$E$31:$E$48))*Impacts!$F$14,0)),0)</f>
        <v>0</v>
      </c>
      <c r="S1567" s="10">
        <f>IFERROR(IF(('Loading-rail'!$C$21)="No control",SUMIF(('Loading-rail'!$B$31:$B$48),$J1567,('Loading-rail'!$D$31:$D$48))*Impacts!$F$15,IF(('Loading-rail'!$C$21)&lt;&gt;"No control",SUMIF(('Loading-rail'!$B$31:$B$48),$J1567,('Loading-rail'!$E$31:$E$48))*Impacts!$F$15,0)),0)</f>
        <v>0</v>
      </c>
      <c r="T1567" s="10">
        <f>IF(Flare!$C$7="",0,(SUMIF(Flare!$B$46:$B$185,$J1567,Flare!$E$46:$E$185)*Impacts!$F$16))</f>
        <v>0</v>
      </c>
      <c r="U1567" s="10">
        <f>IF(VCU!$C$9="",0,(SUMIF(VCU!$B$51:$B$193,$J1567,VCU!$E$51:$E$193)*Impacts!$F$17))</f>
        <v>0</v>
      </c>
      <c r="V1567" s="10">
        <f>IF(CAS!$C$7="",0,(SUMIF(CAS!$B$31:$B$167,$J1567,CAS!$E$31:$E$167)*Impacts!$F$18))</f>
        <v>0</v>
      </c>
      <c r="W1567" s="10">
        <f t="shared" si="65"/>
        <v>0</v>
      </c>
      <c r="AK1567" s="10" t="str">
        <f t="array" ref="AK1567">IFERROR(INDEX(SelectedSpecies,SMALL(IF(SelectedSpecies=AK$1,ROW(SelectedSpecies)),ROW(1568:1568)),2),"")</f>
        <v/>
      </c>
      <c r="BE1567" s="10"/>
      <c r="BI1567" s="10"/>
    </row>
    <row r="1568" spans="1:61" ht="21" customHeight="1" x14ac:dyDescent="0.25">
      <c r="A1568" s="10"/>
      <c r="B1568" s="10"/>
      <c r="E1568" s="10"/>
      <c r="G1568" s="10"/>
      <c r="I1568" s="436" t="s">
        <v>3945</v>
      </c>
      <c r="J1568" s="26" t="s">
        <v>3944</v>
      </c>
      <c r="K1568" s="10">
        <v>6</v>
      </c>
      <c r="L1568" s="73">
        <f>IF(Tank1!$C$23="No control",(SUMIF(Tank1!$B$32:$B$49,$J1568,Tank1!$C$32:$C$49)*Impacts!$F$8),0)</f>
        <v>0</v>
      </c>
      <c r="M1568" s="10">
        <f>IF(Tank2!$C$23="No control",(SUMIF(Tank2!$B$32:$B$49,$J1568,Tank2!$C$32:$C$49)*Impacts!$F$9),0)</f>
        <v>0</v>
      </c>
      <c r="N1568" s="10">
        <f>IF(Tank3!$C$23="No control",(SUMIF(Tank3!$B$32:$B$49,$J1568,Tank3!$C$32:$C$49)*Impacts!$F$10),0)</f>
        <v>0</v>
      </c>
      <c r="O1568" s="10">
        <f>IF(Tank4!$C$23="No control",(SUMIF(Tank4!$B$32:$B$49,$J1568,Tank4!$C$32:$C$49)*Impacts!$F$11),0)</f>
        <v>0</v>
      </c>
      <c r="P1568" s="10">
        <f>IF(Tank5!$C$23="No control",(SUMIF(Tank5!$B$32:$B$49,$J1568,Tank5!$C$32:$C$49)*Impacts!$F$12),0)</f>
        <v>0</v>
      </c>
      <c r="Q1568" s="10">
        <f>IFERROR(IF(('Loading-drum,tote'!$C$21)="No control",SUMIF(('Loading-drum,tote'!$B$31:$B$48),$J1568,('Loading-drum,tote'!$D$31:$D$48))*Impacts!$F$13,IF(('Loading-drum,tote'!$C$21)&lt;&gt;"No control",SUMIF(('Loading-drum,tote'!$B$31:$B$48),$J1568,('Loading-drum,tote'!$E$31:$E$48))*Impacts!$F$13,0)),0)</f>
        <v>0</v>
      </c>
      <c r="R1568" s="10">
        <f>IFERROR(IF(('Loading-truck'!$C$21)="No control",SUMIF(('Loading-truck'!$B$31:$B$48),$J1568,('Loading-truck'!$D$31:$D$48))*Impacts!$F$14,IF(('Loading-truck'!$C$21)&lt;&gt;"No control",SUMIF(('Loading-truck'!$B$31:$B$48),$J1568,('Loading-truck'!$E$31:$E$48))*Impacts!$F$14,0)),0)</f>
        <v>0</v>
      </c>
      <c r="S1568" s="10">
        <f>IFERROR(IF(('Loading-rail'!$C$21)="No control",SUMIF(('Loading-rail'!$B$31:$B$48),$J1568,('Loading-rail'!$D$31:$D$48))*Impacts!$F$15,IF(('Loading-rail'!$C$21)&lt;&gt;"No control",SUMIF(('Loading-rail'!$B$31:$B$48),$J1568,('Loading-rail'!$E$31:$E$48))*Impacts!$F$15,0)),0)</f>
        <v>0</v>
      </c>
      <c r="T1568" s="10">
        <f>IF(Flare!$C$7="",0,(SUMIF(Flare!$B$46:$B$185,$J1568,Flare!$E$46:$E$185)*Impacts!$F$16))</f>
        <v>0</v>
      </c>
      <c r="U1568" s="10">
        <f>IF(VCU!$C$9="",0,(SUMIF(VCU!$B$51:$B$193,$J1568,VCU!$E$51:$E$193)*Impacts!$F$17))</f>
        <v>0</v>
      </c>
      <c r="V1568" s="10">
        <f>IF(CAS!$C$7="",0,(SUMIF(CAS!$B$31:$B$167,$J1568,CAS!$E$31:$E$167)*Impacts!$F$18))</f>
        <v>0</v>
      </c>
      <c r="W1568" s="10">
        <f t="shared" si="65"/>
        <v>0</v>
      </c>
      <c r="AK1568" s="10" t="str">
        <f t="array" ref="AK1568">IFERROR(INDEX(SelectedSpecies,SMALL(IF(SelectedSpecies=AK$1,ROW(SelectedSpecies)),ROW(1569:1569)),2),"")</f>
        <v/>
      </c>
      <c r="BE1568" s="10"/>
      <c r="BI1568" s="10"/>
    </row>
    <row r="1569" spans="1:61" ht="21" customHeight="1" x14ac:dyDescent="0.25">
      <c r="A1569" s="10"/>
      <c r="B1569" s="10"/>
      <c r="E1569" s="10"/>
      <c r="G1569" s="10"/>
      <c r="I1569" s="436" t="s">
        <v>507</v>
      </c>
      <c r="J1569" s="26" t="s">
        <v>506</v>
      </c>
      <c r="K1569" s="10">
        <v>100</v>
      </c>
      <c r="L1569" s="73">
        <f>IF(Tank1!$C$23="No control",(SUMIF(Tank1!$B$32:$B$49,$J1569,Tank1!$C$32:$C$49)*Impacts!$F$8),0)</f>
        <v>0</v>
      </c>
      <c r="M1569" s="10">
        <f>IF(Tank2!$C$23="No control",(SUMIF(Tank2!$B$32:$B$49,$J1569,Tank2!$C$32:$C$49)*Impacts!$F$9),0)</f>
        <v>0</v>
      </c>
      <c r="N1569" s="10">
        <f>IF(Tank3!$C$23="No control",(SUMIF(Tank3!$B$32:$B$49,$J1569,Tank3!$C$32:$C$49)*Impacts!$F$10),0)</f>
        <v>0</v>
      </c>
      <c r="O1569" s="10">
        <f>IF(Tank4!$C$23="No control",(SUMIF(Tank4!$B$32:$B$49,$J1569,Tank4!$C$32:$C$49)*Impacts!$F$11),0)</f>
        <v>0</v>
      </c>
      <c r="P1569" s="10">
        <f>IF(Tank5!$C$23="No control",(SUMIF(Tank5!$B$32:$B$49,$J1569,Tank5!$C$32:$C$49)*Impacts!$F$12),0)</f>
        <v>0</v>
      </c>
      <c r="Q1569" s="10">
        <f>IFERROR(IF(('Loading-drum,tote'!$C$21)="No control",SUMIF(('Loading-drum,tote'!$B$31:$B$48),$J1569,('Loading-drum,tote'!$D$31:$D$48))*Impacts!$F$13,IF(('Loading-drum,tote'!$C$21)&lt;&gt;"No control",SUMIF(('Loading-drum,tote'!$B$31:$B$48),$J1569,('Loading-drum,tote'!$E$31:$E$48))*Impacts!$F$13,0)),0)</f>
        <v>0</v>
      </c>
      <c r="R1569" s="10">
        <f>IFERROR(IF(('Loading-truck'!$C$21)="No control",SUMIF(('Loading-truck'!$B$31:$B$48),$J1569,('Loading-truck'!$D$31:$D$48))*Impacts!$F$14,IF(('Loading-truck'!$C$21)&lt;&gt;"No control",SUMIF(('Loading-truck'!$B$31:$B$48),$J1569,('Loading-truck'!$E$31:$E$48))*Impacts!$F$14,0)),0)</f>
        <v>0</v>
      </c>
      <c r="S1569" s="10">
        <f>IFERROR(IF(('Loading-rail'!$C$21)="No control",SUMIF(('Loading-rail'!$B$31:$B$48),$J1569,('Loading-rail'!$D$31:$D$48))*Impacts!$F$15,IF(('Loading-rail'!$C$21)&lt;&gt;"No control",SUMIF(('Loading-rail'!$B$31:$B$48),$J1569,('Loading-rail'!$E$31:$E$48))*Impacts!$F$15,0)),0)</f>
        <v>0</v>
      </c>
      <c r="T1569" s="10">
        <f>IF(Flare!$C$7="",0,(SUMIF(Flare!$B$46:$B$185,$J1569,Flare!$E$46:$E$185)*Impacts!$F$16))</f>
        <v>0</v>
      </c>
      <c r="U1569" s="10">
        <f>IF(VCU!$C$9="",0,(SUMIF(VCU!$B$51:$B$193,$J1569,VCU!$E$51:$E$193)*Impacts!$F$17))</f>
        <v>0</v>
      </c>
      <c r="V1569" s="10">
        <f>IF(CAS!$C$7="",0,(SUMIF(CAS!$B$31:$B$167,$J1569,CAS!$E$31:$E$167)*Impacts!$F$18))</f>
        <v>0</v>
      </c>
      <c r="W1569" s="10">
        <f t="shared" si="65"/>
        <v>0</v>
      </c>
      <c r="AK1569" s="10" t="str">
        <f t="array" ref="AK1569">IFERROR(INDEX(SelectedSpecies,SMALL(IF(SelectedSpecies=AK$1,ROW(SelectedSpecies)),ROW(1570:1570)),2),"")</f>
        <v/>
      </c>
      <c r="BE1569" s="10"/>
      <c r="BI1569" s="10"/>
    </row>
    <row r="1570" spans="1:61" ht="21" customHeight="1" x14ac:dyDescent="0.25">
      <c r="A1570" s="10"/>
      <c r="B1570" s="10"/>
      <c r="E1570" s="10"/>
      <c r="G1570" s="10"/>
      <c r="I1570" s="436" t="s">
        <v>509</v>
      </c>
      <c r="J1570" s="26" t="s">
        <v>508</v>
      </c>
      <c r="K1570" s="10">
        <v>100</v>
      </c>
      <c r="L1570" s="73">
        <f>IF(Tank1!$C$23="No control",(SUMIF(Tank1!$B$32:$B$49,$J1570,Tank1!$C$32:$C$49)*Impacts!$F$8),0)</f>
        <v>0</v>
      </c>
      <c r="M1570" s="10">
        <f>IF(Tank2!$C$23="No control",(SUMIF(Tank2!$B$32:$B$49,$J1570,Tank2!$C$32:$C$49)*Impacts!$F$9),0)</f>
        <v>0</v>
      </c>
      <c r="N1570" s="10">
        <f>IF(Tank3!$C$23="No control",(SUMIF(Tank3!$B$32:$B$49,$J1570,Tank3!$C$32:$C$49)*Impacts!$F$10),0)</f>
        <v>0</v>
      </c>
      <c r="O1570" s="10">
        <f>IF(Tank4!$C$23="No control",(SUMIF(Tank4!$B$32:$B$49,$J1570,Tank4!$C$32:$C$49)*Impacts!$F$11),0)</f>
        <v>0</v>
      </c>
      <c r="P1570" s="10">
        <f>IF(Tank5!$C$23="No control",(SUMIF(Tank5!$B$32:$B$49,$J1570,Tank5!$C$32:$C$49)*Impacts!$F$12),0)</f>
        <v>0</v>
      </c>
      <c r="Q1570" s="10">
        <f>IFERROR(IF(('Loading-drum,tote'!$C$21)="No control",SUMIF(('Loading-drum,tote'!$B$31:$B$48),$J1570,('Loading-drum,tote'!$D$31:$D$48))*Impacts!$F$13,IF(('Loading-drum,tote'!$C$21)&lt;&gt;"No control",SUMIF(('Loading-drum,tote'!$B$31:$B$48),$J1570,('Loading-drum,tote'!$E$31:$E$48))*Impacts!$F$13,0)),0)</f>
        <v>0</v>
      </c>
      <c r="R1570" s="10">
        <f>IFERROR(IF(('Loading-truck'!$C$21)="No control",SUMIF(('Loading-truck'!$B$31:$B$48),$J1570,('Loading-truck'!$D$31:$D$48))*Impacts!$F$14,IF(('Loading-truck'!$C$21)&lt;&gt;"No control",SUMIF(('Loading-truck'!$B$31:$B$48),$J1570,('Loading-truck'!$E$31:$E$48))*Impacts!$F$14,0)),0)</f>
        <v>0</v>
      </c>
      <c r="S1570" s="10">
        <f>IFERROR(IF(('Loading-rail'!$C$21)="No control",SUMIF(('Loading-rail'!$B$31:$B$48),$J1570,('Loading-rail'!$D$31:$D$48))*Impacts!$F$15,IF(('Loading-rail'!$C$21)&lt;&gt;"No control",SUMIF(('Loading-rail'!$B$31:$B$48),$J1570,('Loading-rail'!$E$31:$E$48))*Impacts!$F$15,0)),0)</f>
        <v>0</v>
      </c>
      <c r="T1570" s="10">
        <f>IF(Flare!$C$7="",0,(SUMIF(Flare!$B$46:$B$185,$J1570,Flare!$E$46:$E$185)*Impacts!$F$16))</f>
        <v>0</v>
      </c>
      <c r="U1570" s="10">
        <f>IF(VCU!$C$9="",0,(SUMIF(VCU!$B$51:$B$193,$J1570,VCU!$E$51:$E$193)*Impacts!$F$17))</f>
        <v>0</v>
      </c>
      <c r="V1570" s="10">
        <f>IF(CAS!$C$7="",0,(SUMIF(CAS!$B$31:$B$167,$J1570,CAS!$E$31:$E$167)*Impacts!$F$18))</f>
        <v>0</v>
      </c>
      <c r="W1570" s="10">
        <f t="shared" si="65"/>
        <v>0</v>
      </c>
      <c r="AK1570" s="10" t="str">
        <f t="array" ref="AK1570">IFERROR(INDEX(SelectedSpecies,SMALL(IF(SelectedSpecies=AK$1,ROW(SelectedSpecies)),ROW(1571:1571)),2),"")</f>
        <v/>
      </c>
      <c r="BE1570" s="10"/>
      <c r="BI1570" s="10"/>
    </row>
    <row r="1571" spans="1:61" ht="21" customHeight="1" x14ac:dyDescent="0.25">
      <c r="A1571" s="10"/>
      <c r="B1571" s="10"/>
      <c r="E1571" s="10"/>
      <c r="G1571" s="10"/>
      <c r="I1571" s="436" t="s">
        <v>2841</v>
      </c>
      <c r="J1571" s="26" t="s">
        <v>2840</v>
      </c>
      <c r="K1571" s="10">
        <v>10</v>
      </c>
      <c r="L1571" s="73">
        <f>IF(Tank1!$C$23="No control",(SUMIF(Tank1!$B$32:$B$49,$J1571,Tank1!$C$32:$C$49)*Impacts!$F$8),0)</f>
        <v>0</v>
      </c>
      <c r="M1571" s="10">
        <f>IF(Tank2!$C$23="No control",(SUMIF(Tank2!$B$32:$B$49,$J1571,Tank2!$C$32:$C$49)*Impacts!$F$9),0)</f>
        <v>0</v>
      </c>
      <c r="N1571" s="10">
        <f>IF(Tank3!$C$23="No control",(SUMIF(Tank3!$B$32:$B$49,$J1571,Tank3!$C$32:$C$49)*Impacts!$F$10),0)</f>
        <v>0</v>
      </c>
      <c r="O1571" s="10">
        <f>IF(Tank4!$C$23="No control",(SUMIF(Tank4!$B$32:$B$49,$J1571,Tank4!$C$32:$C$49)*Impacts!$F$11),0)</f>
        <v>0</v>
      </c>
      <c r="P1571" s="10">
        <f>IF(Tank5!$C$23="No control",(SUMIF(Tank5!$B$32:$B$49,$J1571,Tank5!$C$32:$C$49)*Impacts!$F$12),0)</f>
        <v>0</v>
      </c>
      <c r="Q1571" s="10">
        <f>IFERROR(IF(('Loading-drum,tote'!$C$21)="No control",SUMIF(('Loading-drum,tote'!$B$31:$B$48),$J1571,('Loading-drum,tote'!$D$31:$D$48))*Impacts!$F$13,IF(('Loading-drum,tote'!$C$21)&lt;&gt;"No control",SUMIF(('Loading-drum,tote'!$B$31:$B$48),$J1571,('Loading-drum,tote'!$E$31:$E$48))*Impacts!$F$13,0)),0)</f>
        <v>0</v>
      </c>
      <c r="R1571" s="10">
        <f>IFERROR(IF(('Loading-truck'!$C$21)="No control",SUMIF(('Loading-truck'!$B$31:$B$48),$J1571,('Loading-truck'!$D$31:$D$48))*Impacts!$F$14,IF(('Loading-truck'!$C$21)&lt;&gt;"No control",SUMIF(('Loading-truck'!$B$31:$B$48),$J1571,('Loading-truck'!$E$31:$E$48))*Impacts!$F$14,0)),0)</f>
        <v>0</v>
      </c>
      <c r="S1571" s="10">
        <f>IFERROR(IF(('Loading-rail'!$C$21)="No control",SUMIF(('Loading-rail'!$B$31:$B$48),$J1571,('Loading-rail'!$D$31:$D$48))*Impacts!$F$15,IF(('Loading-rail'!$C$21)&lt;&gt;"No control",SUMIF(('Loading-rail'!$B$31:$B$48),$J1571,('Loading-rail'!$E$31:$E$48))*Impacts!$F$15,0)),0)</f>
        <v>0</v>
      </c>
      <c r="T1571" s="10">
        <f>IF(Flare!$C$7="",0,(SUMIF(Flare!$B$46:$B$185,$J1571,Flare!$E$46:$E$185)*Impacts!$F$16))</f>
        <v>0</v>
      </c>
      <c r="U1571" s="10">
        <f>IF(VCU!$C$9="",0,(SUMIF(VCU!$B$51:$B$193,$J1571,VCU!$E$51:$E$193)*Impacts!$F$17))</f>
        <v>0</v>
      </c>
      <c r="V1571" s="10">
        <f>IF(CAS!$C$7="",0,(SUMIF(CAS!$B$31:$B$167,$J1571,CAS!$E$31:$E$167)*Impacts!$F$18))</f>
        <v>0</v>
      </c>
      <c r="W1571" s="10">
        <f t="shared" si="65"/>
        <v>0</v>
      </c>
      <c r="AK1571" s="10" t="str">
        <f t="array" ref="AK1571">IFERROR(INDEX(SelectedSpecies,SMALL(IF(SelectedSpecies=AK$1,ROW(SelectedSpecies)),ROW(1572:1572)),2),"")</f>
        <v/>
      </c>
      <c r="BE1571" s="10"/>
      <c r="BI1571" s="10"/>
    </row>
    <row r="1572" spans="1:61" ht="21" customHeight="1" x14ac:dyDescent="0.25">
      <c r="A1572" s="10"/>
      <c r="B1572" s="10"/>
      <c r="E1572" s="10"/>
      <c r="G1572" s="10"/>
      <c r="I1572" s="436" t="s">
        <v>2843</v>
      </c>
      <c r="J1572" s="26" t="s">
        <v>2842</v>
      </c>
      <c r="K1572" s="10">
        <v>10</v>
      </c>
      <c r="L1572" s="73">
        <f>IF(Tank1!$C$23="No control",(SUMIF(Tank1!$B$32:$B$49,$J1572,Tank1!$C$32:$C$49)*Impacts!$F$8),0)</f>
        <v>0</v>
      </c>
      <c r="M1572" s="10">
        <f>IF(Tank2!$C$23="No control",(SUMIF(Tank2!$B$32:$B$49,$J1572,Tank2!$C$32:$C$49)*Impacts!$F$9),0)</f>
        <v>0</v>
      </c>
      <c r="N1572" s="10">
        <f>IF(Tank3!$C$23="No control",(SUMIF(Tank3!$B$32:$B$49,$J1572,Tank3!$C$32:$C$49)*Impacts!$F$10),0)</f>
        <v>0</v>
      </c>
      <c r="O1572" s="10">
        <f>IF(Tank4!$C$23="No control",(SUMIF(Tank4!$B$32:$B$49,$J1572,Tank4!$C$32:$C$49)*Impacts!$F$11),0)</f>
        <v>0</v>
      </c>
      <c r="P1572" s="10">
        <f>IF(Tank5!$C$23="No control",(SUMIF(Tank5!$B$32:$B$49,$J1572,Tank5!$C$32:$C$49)*Impacts!$F$12),0)</f>
        <v>0</v>
      </c>
      <c r="Q1572" s="10">
        <f>IFERROR(IF(('Loading-drum,tote'!$C$21)="No control",SUMIF(('Loading-drum,tote'!$B$31:$B$48),$J1572,('Loading-drum,tote'!$D$31:$D$48))*Impacts!$F$13,IF(('Loading-drum,tote'!$C$21)&lt;&gt;"No control",SUMIF(('Loading-drum,tote'!$B$31:$B$48),$J1572,('Loading-drum,tote'!$E$31:$E$48))*Impacts!$F$13,0)),0)</f>
        <v>0</v>
      </c>
      <c r="R1572" s="10">
        <f>IFERROR(IF(('Loading-truck'!$C$21)="No control",SUMIF(('Loading-truck'!$B$31:$B$48),$J1572,('Loading-truck'!$D$31:$D$48))*Impacts!$F$14,IF(('Loading-truck'!$C$21)&lt;&gt;"No control",SUMIF(('Loading-truck'!$B$31:$B$48),$J1572,('Loading-truck'!$E$31:$E$48))*Impacts!$F$14,0)),0)</f>
        <v>0</v>
      </c>
      <c r="S1572" s="10">
        <f>IFERROR(IF(('Loading-rail'!$C$21)="No control",SUMIF(('Loading-rail'!$B$31:$B$48),$J1572,('Loading-rail'!$D$31:$D$48))*Impacts!$F$15,IF(('Loading-rail'!$C$21)&lt;&gt;"No control",SUMIF(('Loading-rail'!$B$31:$B$48),$J1572,('Loading-rail'!$E$31:$E$48))*Impacts!$F$15,0)),0)</f>
        <v>0</v>
      </c>
      <c r="T1572" s="10">
        <f>IF(Flare!$C$7="",0,(SUMIF(Flare!$B$46:$B$185,$J1572,Flare!$E$46:$E$185)*Impacts!$F$16))</f>
        <v>0</v>
      </c>
      <c r="U1572" s="10">
        <f>IF(VCU!$C$9="",0,(SUMIF(VCU!$B$51:$B$193,$J1572,VCU!$E$51:$E$193)*Impacts!$F$17))</f>
        <v>0</v>
      </c>
      <c r="V1572" s="10">
        <f>IF(CAS!$C$7="",0,(SUMIF(CAS!$B$31:$B$167,$J1572,CAS!$E$31:$E$167)*Impacts!$F$18))</f>
        <v>0</v>
      </c>
      <c r="W1572" s="10">
        <f t="shared" si="65"/>
        <v>0</v>
      </c>
      <c r="AK1572" s="10" t="str">
        <f t="array" ref="AK1572">IFERROR(INDEX(SelectedSpecies,SMALL(IF(SelectedSpecies=AK$1,ROW(SelectedSpecies)),ROW(1573:1573)),2),"")</f>
        <v/>
      </c>
      <c r="BE1572" s="10"/>
      <c r="BI1572" s="10"/>
    </row>
    <row r="1573" spans="1:61" ht="21" customHeight="1" x14ac:dyDescent="0.25">
      <c r="A1573" s="10"/>
      <c r="B1573" s="10"/>
      <c r="E1573" s="10"/>
      <c r="G1573" s="10"/>
      <c r="I1573" s="436" t="s">
        <v>3947</v>
      </c>
      <c r="J1573" s="26" t="s">
        <v>3946</v>
      </c>
      <c r="K1573" s="10">
        <v>6</v>
      </c>
      <c r="L1573" s="73">
        <f>IF(Tank1!$C$23="No control",(SUMIF(Tank1!$B$32:$B$49,$J1573,Tank1!$C$32:$C$49)*Impacts!$F$8),0)</f>
        <v>0</v>
      </c>
      <c r="M1573" s="10">
        <f>IF(Tank2!$C$23="No control",(SUMIF(Tank2!$B$32:$B$49,$J1573,Tank2!$C$32:$C$49)*Impacts!$F$9),0)</f>
        <v>0</v>
      </c>
      <c r="N1573" s="10">
        <f>IF(Tank3!$C$23="No control",(SUMIF(Tank3!$B$32:$B$49,$J1573,Tank3!$C$32:$C$49)*Impacts!$F$10),0)</f>
        <v>0</v>
      </c>
      <c r="O1573" s="10">
        <f>IF(Tank4!$C$23="No control",(SUMIF(Tank4!$B$32:$B$49,$J1573,Tank4!$C$32:$C$49)*Impacts!$F$11),0)</f>
        <v>0</v>
      </c>
      <c r="P1573" s="10">
        <f>IF(Tank5!$C$23="No control",(SUMIF(Tank5!$B$32:$B$49,$J1573,Tank5!$C$32:$C$49)*Impacts!$F$12),0)</f>
        <v>0</v>
      </c>
      <c r="Q1573" s="10">
        <f>IFERROR(IF(('Loading-drum,tote'!$C$21)="No control",SUMIF(('Loading-drum,tote'!$B$31:$B$48),$J1573,('Loading-drum,tote'!$D$31:$D$48))*Impacts!$F$13,IF(('Loading-drum,tote'!$C$21)&lt;&gt;"No control",SUMIF(('Loading-drum,tote'!$B$31:$B$48),$J1573,('Loading-drum,tote'!$E$31:$E$48))*Impacts!$F$13,0)),0)</f>
        <v>0</v>
      </c>
      <c r="R1573" s="10">
        <f>IFERROR(IF(('Loading-truck'!$C$21)="No control",SUMIF(('Loading-truck'!$B$31:$B$48),$J1573,('Loading-truck'!$D$31:$D$48))*Impacts!$F$14,IF(('Loading-truck'!$C$21)&lt;&gt;"No control",SUMIF(('Loading-truck'!$B$31:$B$48),$J1573,('Loading-truck'!$E$31:$E$48))*Impacts!$F$14,0)),0)</f>
        <v>0</v>
      </c>
      <c r="S1573" s="10">
        <f>IFERROR(IF(('Loading-rail'!$C$21)="No control",SUMIF(('Loading-rail'!$B$31:$B$48),$J1573,('Loading-rail'!$D$31:$D$48))*Impacts!$F$15,IF(('Loading-rail'!$C$21)&lt;&gt;"No control",SUMIF(('Loading-rail'!$B$31:$B$48),$J1573,('Loading-rail'!$E$31:$E$48))*Impacts!$F$15,0)),0)</f>
        <v>0</v>
      </c>
      <c r="T1573" s="10">
        <f>IF(Flare!$C$7="",0,(SUMIF(Flare!$B$46:$B$185,$J1573,Flare!$E$46:$E$185)*Impacts!$F$16))</f>
        <v>0</v>
      </c>
      <c r="U1573" s="10">
        <f>IF(VCU!$C$9="",0,(SUMIF(VCU!$B$51:$B$193,$J1573,VCU!$E$51:$E$193)*Impacts!$F$17))</f>
        <v>0</v>
      </c>
      <c r="V1573" s="10">
        <f>IF(CAS!$C$7="",0,(SUMIF(CAS!$B$31:$B$167,$J1573,CAS!$E$31:$E$167)*Impacts!$F$18))</f>
        <v>0</v>
      </c>
      <c r="W1573" s="10">
        <f t="shared" si="65"/>
        <v>0</v>
      </c>
      <c r="AK1573" s="10" t="str">
        <f t="array" ref="AK1573">IFERROR(INDEX(SelectedSpecies,SMALL(IF(SelectedSpecies=AK$1,ROW(SelectedSpecies)),ROW(1574:1574)),2),"")</f>
        <v/>
      </c>
      <c r="BE1573" s="10"/>
      <c r="BI1573" s="10"/>
    </row>
    <row r="1574" spans="1:61" ht="21" customHeight="1" x14ac:dyDescent="0.25">
      <c r="A1574" s="10"/>
      <c r="B1574" s="10"/>
      <c r="E1574" s="10"/>
      <c r="G1574" s="10"/>
      <c r="I1574" s="436" t="s">
        <v>6822</v>
      </c>
      <c r="J1574" s="26" t="s">
        <v>6821</v>
      </c>
      <c r="K1574" s="10">
        <v>0.5</v>
      </c>
      <c r="L1574" s="73">
        <f>IF(Tank1!$C$23="No control",(SUMIF(Tank1!$B$32:$B$49,$J1574,Tank1!$C$32:$C$49)*Impacts!$F$8),0)</f>
        <v>0</v>
      </c>
      <c r="M1574" s="10">
        <f>IF(Tank2!$C$23="No control",(SUMIF(Tank2!$B$32:$B$49,$J1574,Tank2!$C$32:$C$49)*Impacts!$F$9),0)</f>
        <v>0</v>
      </c>
      <c r="N1574" s="10">
        <f>IF(Tank3!$C$23="No control",(SUMIF(Tank3!$B$32:$B$49,$J1574,Tank3!$C$32:$C$49)*Impacts!$F$10),0)</f>
        <v>0</v>
      </c>
      <c r="O1574" s="10">
        <f>IF(Tank4!$C$23="No control",(SUMIF(Tank4!$B$32:$B$49,$J1574,Tank4!$C$32:$C$49)*Impacts!$F$11),0)</f>
        <v>0</v>
      </c>
      <c r="P1574" s="10">
        <f>IF(Tank5!$C$23="No control",(SUMIF(Tank5!$B$32:$B$49,$J1574,Tank5!$C$32:$C$49)*Impacts!$F$12),0)</f>
        <v>0</v>
      </c>
      <c r="Q1574" s="10">
        <f>IFERROR(IF(('Loading-drum,tote'!$C$21)="No control",SUMIF(('Loading-drum,tote'!$B$31:$B$48),$J1574,('Loading-drum,tote'!$D$31:$D$48))*Impacts!$F$13,IF(('Loading-drum,tote'!$C$21)&lt;&gt;"No control",SUMIF(('Loading-drum,tote'!$B$31:$B$48),$J1574,('Loading-drum,tote'!$E$31:$E$48))*Impacts!$F$13,0)),0)</f>
        <v>0</v>
      </c>
      <c r="R1574" s="10">
        <f>IFERROR(IF(('Loading-truck'!$C$21)="No control",SUMIF(('Loading-truck'!$B$31:$B$48),$J1574,('Loading-truck'!$D$31:$D$48))*Impacts!$F$14,IF(('Loading-truck'!$C$21)&lt;&gt;"No control",SUMIF(('Loading-truck'!$B$31:$B$48),$J1574,('Loading-truck'!$E$31:$E$48))*Impacts!$F$14,0)),0)</f>
        <v>0</v>
      </c>
      <c r="S1574" s="10">
        <f>IFERROR(IF(('Loading-rail'!$C$21)="No control",SUMIF(('Loading-rail'!$B$31:$B$48),$J1574,('Loading-rail'!$D$31:$D$48))*Impacts!$F$15,IF(('Loading-rail'!$C$21)&lt;&gt;"No control",SUMIF(('Loading-rail'!$B$31:$B$48),$J1574,('Loading-rail'!$E$31:$E$48))*Impacts!$F$15,0)),0)</f>
        <v>0</v>
      </c>
      <c r="T1574" s="10">
        <f>IF(Flare!$C$7="",0,(SUMIF(Flare!$B$46:$B$185,$J1574,Flare!$E$46:$E$185)*Impacts!$F$16))</f>
        <v>0</v>
      </c>
      <c r="U1574" s="10">
        <f>IF(VCU!$C$9="",0,(SUMIF(VCU!$B$51:$B$193,$J1574,VCU!$E$51:$E$193)*Impacts!$F$17))</f>
        <v>0</v>
      </c>
      <c r="V1574" s="10">
        <f>IF(CAS!$C$7="",0,(SUMIF(CAS!$B$31:$B$167,$J1574,CAS!$E$31:$E$167)*Impacts!$F$18))</f>
        <v>0</v>
      </c>
      <c r="W1574" s="10">
        <f t="shared" si="65"/>
        <v>0</v>
      </c>
      <c r="AK1574" s="10" t="str">
        <f t="array" ref="AK1574">IFERROR(INDEX(SelectedSpecies,SMALL(IF(SelectedSpecies=AK$1,ROW(SelectedSpecies)),ROW(1575:1575)),2),"")</f>
        <v/>
      </c>
      <c r="BE1574" s="10"/>
      <c r="BI1574" s="10"/>
    </row>
    <row r="1575" spans="1:61" ht="21" customHeight="1" x14ac:dyDescent="0.25">
      <c r="A1575" s="10"/>
      <c r="B1575" s="10"/>
      <c r="E1575" s="10"/>
      <c r="G1575" s="10"/>
      <c r="I1575" s="436" t="s">
        <v>5151</v>
      </c>
      <c r="J1575" s="26" t="s">
        <v>5150</v>
      </c>
      <c r="K1575" s="10">
        <v>2</v>
      </c>
      <c r="L1575" s="73">
        <f>IF(Tank1!$C$23="No control",(SUMIF(Tank1!$B$32:$B$49,$J1575,Tank1!$C$32:$C$49)*Impacts!$F$8),0)</f>
        <v>0</v>
      </c>
      <c r="M1575" s="10">
        <f>IF(Tank2!$C$23="No control",(SUMIF(Tank2!$B$32:$B$49,$J1575,Tank2!$C$32:$C$49)*Impacts!$F$9),0)</f>
        <v>0</v>
      </c>
      <c r="N1575" s="10">
        <f>IF(Tank3!$C$23="No control",(SUMIF(Tank3!$B$32:$B$49,$J1575,Tank3!$C$32:$C$49)*Impacts!$F$10),0)</f>
        <v>0</v>
      </c>
      <c r="O1575" s="10">
        <f>IF(Tank4!$C$23="No control",(SUMIF(Tank4!$B$32:$B$49,$J1575,Tank4!$C$32:$C$49)*Impacts!$F$11),0)</f>
        <v>0</v>
      </c>
      <c r="P1575" s="10">
        <f>IF(Tank5!$C$23="No control",(SUMIF(Tank5!$B$32:$B$49,$J1575,Tank5!$C$32:$C$49)*Impacts!$F$12),0)</f>
        <v>0</v>
      </c>
      <c r="Q1575" s="10">
        <f>IFERROR(IF(('Loading-drum,tote'!$C$21)="No control",SUMIF(('Loading-drum,tote'!$B$31:$B$48),$J1575,('Loading-drum,tote'!$D$31:$D$48))*Impacts!$F$13,IF(('Loading-drum,tote'!$C$21)&lt;&gt;"No control",SUMIF(('Loading-drum,tote'!$B$31:$B$48),$J1575,('Loading-drum,tote'!$E$31:$E$48))*Impacts!$F$13,0)),0)</f>
        <v>0</v>
      </c>
      <c r="R1575" s="10">
        <f>IFERROR(IF(('Loading-truck'!$C$21)="No control",SUMIF(('Loading-truck'!$B$31:$B$48),$J1575,('Loading-truck'!$D$31:$D$48))*Impacts!$F$14,IF(('Loading-truck'!$C$21)&lt;&gt;"No control",SUMIF(('Loading-truck'!$B$31:$B$48),$J1575,('Loading-truck'!$E$31:$E$48))*Impacts!$F$14,0)),0)</f>
        <v>0</v>
      </c>
      <c r="S1575" s="10">
        <f>IFERROR(IF(('Loading-rail'!$C$21)="No control",SUMIF(('Loading-rail'!$B$31:$B$48),$J1575,('Loading-rail'!$D$31:$D$48))*Impacts!$F$15,IF(('Loading-rail'!$C$21)&lt;&gt;"No control",SUMIF(('Loading-rail'!$B$31:$B$48),$J1575,('Loading-rail'!$E$31:$E$48))*Impacts!$F$15,0)),0)</f>
        <v>0</v>
      </c>
      <c r="T1575" s="10">
        <f>IF(Flare!$C$7="",0,(SUMIF(Flare!$B$46:$B$185,$J1575,Flare!$E$46:$E$185)*Impacts!$F$16))</f>
        <v>0</v>
      </c>
      <c r="U1575" s="10">
        <f>IF(VCU!$C$9="",0,(SUMIF(VCU!$B$51:$B$193,$J1575,VCU!$E$51:$E$193)*Impacts!$F$17))</f>
        <v>0</v>
      </c>
      <c r="V1575" s="10">
        <f>IF(CAS!$C$7="",0,(SUMIF(CAS!$B$31:$B$167,$J1575,CAS!$E$31:$E$167)*Impacts!$F$18))</f>
        <v>0</v>
      </c>
      <c r="W1575" s="10">
        <f t="shared" si="65"/>
        <v>0</v>
      </c>
      <c r="AK1575" s="10" t="str">
        <f t="array" ref="AK1575">IFERROR(INDEX(SelectedSpecies,SMALL(IF(SelectedSpecies=AK$1,ROW(SelectedSpecies)),ROW(1576:1576)),2),"")</f>
        <v/>
      </c>
      <c r="BE1575" s="10"/>
      <c r="BI1575" s="10"/>
    </row>
    <row r="1576" spans="1:61" ht="21" customHeight="1" x14ac:dyDescent="0.25">
      <c r="A1576" s="10"/>
      <c r="B1576" s="10"/>
      <c r="E1576" s="10"/>
      <c r="G1576" s="10"/>
      <c r="I1576" s="436" t="s">
        <v>692</v>
      </c>
      <c r="J1576" s="26" t="s">
        <v>691</v>
      </c>
      <c r="K1576" s="10">
        <v>57</v>
      </c>
      <c r="L1576" s="73">
        <f>IF(Tank1!$C$23="No control",(SUMIF(Tank1!$B$32:$B$49,$J1576,Tank1!$C$32:$C$49)*Impacts!$F$8),0)</f>
        <v>0</v>
      </c>
      <c r="M1576" s="10">
        <f>IF(Tank2!$C$23="No control",(SUMIF(Tank2!$B$32:$B$49,$J1576,Tank2!$C$32:$C$49)*Impacts!$F$9),0)</f>
        <v>0</v>
      </c>
      <c r="N1576" s="10">
        <f>IF(Tank3!$C$23="No control",(SUMIF(Tank3!$B$32:$B$49,$J1576,Tank3!$C$32:$C$49)*Impacts!$F$10),0)</f>
        <v>0</v>
      </c>
      <c r="O1576" s="10">
        <f>IF(Tank4!$C$23="No control",(SUMIF(Tank4!$B$32:$B$49,$J1576,Tank4!$C$32:$C$49)*Impacts!$F$11),0)</f>
        <v>0</v>
      </c>
      <c r="P1576" s="10">
        <f>IF(Tank5!$C$23="No control",(SUMIF(Tank5!$B$32:$B$49,$J1576,Tank5!$C$32:$C$49)*Impacts!$F$12),0)</f>
        <v>0</v>
      </c>
      <c r="Q1576" s="10">
        <f>IFERROR(IF(('Loading-drum,tote'!$C$21)="No control",SUMIF(('Loading-drum,tote'!$B$31:$B$48),$J1576,('Loading-drum,tote'!$D$31:$D$48))*Impacts!$F$13,IF(('Loading-drum,tote'!$C$21)&lt;&gt;"No control",SUMIF(('Loading-drum,tote'!$B$31:$B$48),$J1576,('Loading-drum,tote'!$E$31:$E$48))*Impacts!$F$13,0)),0)</f>
        <v>0</v>
      </c>
      <c r="R1576" s="10">
        <f>IFERROR(IF(('Loading-truck'!$C$21)="No control",SUMIF(('Loading-truck'!$B$31:$B$48),$J1576,('Loading-truck'!$D$31:$D$48))*Impacts!$F$14,IF(('Loading-truck'!$C$21)&lt;&gt;"No control",SUMIF(('Loading-truck'!$B$31:$B$48),$J1576,('Loading-truck'!$E$31:$E$48))*Impacts!$F$14,0)),0)</f>
        <v>0</v>
      </c>
      <c r="S1576" s="10">
        <f>IFERROR(IF(('Loading-rail'!$C$21)="No control",SUMIF(('Loading-rail'!$B$31:$B$48),$J1576,('Loading-rail'!$D$31:$D$48))*Impacts!$F$15,IF(('Loading-rail'!$C$21)&lt;&gt;"No control",SUMIF(('Loading-rail'!$B$31:$B$48),$J1576,('Loading-rail'!$E$31:$E$48))*Impacts!$F$15,0)),0)</f>
        <v>0</v>
      </c>
      <c r="T1576" s="10">
        <f>IF(Flare!$C$7="",0,(SUMIF(Flare!$B$46:$B$185,$J1576,Flare!$E$46:$E$185)*Impacts!$F$16))</f>
        <v>0</v>
      </c>
      <c r="U1576" s="10">
        <f>IF(VCU!$C$9="",0,(SUMIF(VCU!$B$51:$B$193,$J1576,VCU!$E$51:$E$193)*Impacts!$F$17))</f>
        <v>0</v>
      </c>
      <c r="V1576" s="10">
        <f>IF(CAS!$C$7="",0,(SUMIF(CAS!$B$31:$B$167,$J1576,CAS!$E$31:$E$167)*Impacts!$F$18))</f>
        <v>0</v>
      </c>
      <c r="W1576" s="10">
        <f t="shared" si="65"/>
        <v>0</v>
      </c>
      <c r="AK1576" s="10" t="str">
        <f t="array" ref="AK1576">IFERROR(INDEX(SelectedSpecies,SMALL(IF(SelectedSpecies=AK$1,ROW(SelectedSpecies)),ROW(1577:1577)),2),"")</f>
        <v/>
      </c>
      <c r="BE1576" s="10"/>
      <c r="BI1576" s="10"/>
    </row>
    <row r="1577" spans="1:61" ht="21" customHeight="1" x14ac:dyDescent="0.25">
      <c r="A1577" s="10"/>
      <c r="B1577" s="10"/>
      <c r="E1577" s="10"/>
      <c r="G1577" s="10"/>
      <c r="I1577" s="436" t="s">
        <v>2123</v>
      </c>
      <c r="J1577" s="26" t="s">
        <v>2122</v>
      </c>
      <c r="K1577" s="10">
        <v>15</v>
      </c>
      <c r="L1577" s="73">
        <f>IF(Tank1!$C$23="No control",(SUMIF(Tank1!$B$32:$B$49,$J1577,Tank1!$C$32:$C$49)*Impacts!$F$8),0)</f>
        <v>0</v>
      </c>
      <c r="M1577" s="10">
        <f>IF(Tank2!$C$23="No control",(SUMIF(Tank2!$B$32:$B$49,$J1577,Tank2!$C$32:$C$49)*Impacts!$F$9),0)</f>
        <v>0</v>
      </c>
      <c r="N1577" s="10">
        <f>IF(Tank3!$C$23="No control",(SUMIF(Tank3!$B$32:$B$49,$J1577,Tank3!$C$32:$C$49)*Impacts!$F$10),0)</f>
        <v>0</v>
      </c>
      <c r="O1577" s="10">
        <f>IF(Tank4!$C$23="No control",(SUMIF(Tank4!$B$32:$B$49,$J1577,Tank4!$C$32:$C$49)*Impacts!$F$11),0)</f>
        <v>0</v>
      </c>
      <c r="P1577" s="10">
        <f>IF(Tank5!$C$23="No control",(SUMIF(Tank5!$B$32:$B$49,$J1577,Tank5!$C$32:$C$49)*Impacts!$F$12),0)</f>
        <v>0</v>
      </c>
      <c r="Q1577" s="10">
        <f>IFERROR(IF(('Loading-drum,tote'!$C$21)="No control",SUMIF(('Loading-drum,tote'!$B$31:$B$48),$J1577,('Loading-drum,tote'!$D$31:$D$48))*Impacts!$F$13,IF(('Loading-drum,tote'!$C$21)&lt;&gt;"No control",SUMIF(('Loading-drum,tote'!$B$31:$B$48),$J1577,('Loading-drum,tote'!$E$31:$E$48))*Impacts!$F$13,0)),0)</f>
        <v>0</v>
      </c>
      <c r="R1577" s="10">
        <f>IFERROR(IF(('Loading-truck'!$C$21)="No control",SUMIF(('Loading-truck'!$B$31:$B$48),$J1577,('Loading-truck'!$D$31:$D$48))*Impacts!$F$14,IF(('Loading-truck'!$C$21)&lt;&gt;"No control",SUMIF(('Loading-truck'!$B$31:$B$48),$J1577,('Loading-truck'!$E$31:$E$48))*Impacts!$F$14,0)),0)</f>
        <v>0</v>
      </c>
      <c r="S1577" s="10">
        <f>IFERROR(IF(('Loading-rail'!$C$21)="No control",SUMIF(('Loading-rail'!$B$31:$B$48),$J1577,('Loading-rail'!$D$31:$D$48))*Impacts!$F$15,IF(('Loading-rail'!$C$21)&lt;&gt;"No control",SUMIF(('Loading-rail'!$B$31:$B$48),$J1577,('Loading-rail'!$E$31:$E$48))*Impacts!$F$15,0)),0)</f>
        <v>0</v>
      </c>
      <c r="T1577" s="10">
        <f>IF(Flare!$C$7="",0,(SUMIF(Flare!$B$46:$B$185,$J1577,Flare!$E$46:$E$185)*Impacts!$F$16))</f>
        <v>0</v>
      </c>
      <c r="U1577" s="10">
        <f>IF(VCU!$C$9="",0,(SUMIF(VCU!$B$51:$B$193,$J1577,VCU!$E$51:$E$193)*Impacts!$F$17))</f>
        <v>0</v>
      </c>
      <c r="V1577" s="10">
        <f>IF(CAS!$C$7="",0,(SUMIF(CAS!$B$31:$B$167,$J1577,CAS!$E$31:$E$167)*Impacts!$F$18))</f>
        <v>0</v>
      </c>
      <c r="W1577" s="10">
        <f t="shared" si="65"/>
        <v>0</v>
      </c>
      <c r="AK1577" s="10" t="str">
        <f t="array" ref="AK1577">IFERROR(INDEX(SelectedSpecies,SMALL(IF(SelectedSpecies=AK$1,ROW(SelectedSpecies)),ROW(1578:1578)),2),"")</f>
        <v/>
      </c>
      <c r="BE1577" s="10"/>
      <c r="BI1577" s="10"/>
    </row>
    <row r="1578" spans="1:61" ht="21" customHeight="1" x14ac:dyDescent="0.25">
      <c r="A1578" s="10"/>
      <c r="B1578" s="10"/>
      <c r="E1578" s="10"/>
      <c r="G1578" s="10"/>
      <c r="I1578" s="436" t="s">
        <v>1544</v>
      </c>
      <c r="J1578" s="26" t="s">
        <v>1543</v>
      </c>
      <c r="K1578" s="10">
        <v>27</v>
      </c>
      <c r="L1578" s="73">
        <f>IF(Tank1!$C$23="No control",(SUMIF(Tank1!$B$32:$B$49,$J1578,Tank1!$C$32:$C$49)*Impacts!$F$8),0)</f>
        <v>0</v>
      </c>
      <c r="M1578" s="10">
        <f>IF(Tank2!$C$23="No control",(SUMIF(Tank2!$B$32:$B$49,$J1578,Tank2!$C$32:$C$49)*Impacts!$F$9),0)</f>
        <v>0</v>
      </c>
      <c r="N1578" s="10">
        <f>IF(Tank3!$C$23="No control",(SUMIF(Tank3!$B$32:$B$49,$J1578,Tank3!$C$32:$C$49)*Impacts!$F$10),0)</f>
        <v>0</v>
      </c>
      <c r="O1578" s="10">
        <f>IF(Tank4!$C$23="No control",(SUMIF(Tank4!$B$32:$B$49,$J1578,Tank4!$C$32:$C$49)*Impacts!$F$11),0)</f>
        <v>0</v>
      </c>
      <c r="P1578" s="10">
        <f>IF(Tank5!$C$23="No control",(SUMIF(Tank5!$B$32:$B$49,$J1578,Tank5!$C$32:$C$49)*Impacts!$F$12),0)</f>
        <v>0</v>
      </c>
      <c r="Q1578" s="10">
        <f>IFERROR(IF(('Loading-drum,tote'!$C$21)="No control",SUMIF(('Loading-drum,tote'!$B$31:$B$48),$J1578,('Loading-drum,tote'!$D$31:$D$48))*Impacts!$F$13,IF(('Loading-drum,tote'!$C$21)&lt;&gt;"No control",SUMIF(('Loading-drum,tote'!$B$31:$B$48),$J1578,('Loading-drum,tote'!$E$31:$E$48))*Impacts!$F$13,0)),0)</f>
        <v>0</v>
      </c>
      <c r="R1578" s="10">
        <f>IFERROR(IF(('Loading-truck'!$C$21)="No control",SUMIF(('Loading-truck'!$B$31:$B$48),$J1578,('Loading-truck'!$D$31:$D$48))*Impacts!$F$14,IF(('Loading-truck'!$C$21)&lt;&gt;"No control",SUMIF(('Loading-truck'!$B$31:$B$48),$J1578,('Loading-truck'!$E$31:$E$48))*Impacts!$F$14,0)),0)</f>
        <v>0</v>
      </c>
      <c r="S1578" s="10">
        <f>IFERROR(IF(('Loading-rail'!$C$21)="No control",SUMIF(('Loading-rail'!$B$31:$B$48),$J1578,('Loading-rail'!$D$31:$D$48))*Impacts!$F$15,IF(('Loading-rail'!$C$21)&lt;&gt;"No control",SUMIF(('Loading-rail'!$B$31:$B$48),$J1578,('Loading-rail'!$E$31:$E$48))*Impacts!$F$15,0)),0)</f>
        <v>0</v>
      </c>
      <c r="T1578" s="10">
        <f>IF(Flare!$C$7="",0,(SUMIF(Flare!$B$46:$B$185,$J1578,Flare!$E$46:$E$185)*Impacts!$F$16))</f>
        <v>0</v>
      </c>
      <c r="U1578" s="10">
        <f>IF(VCU!$C$9="",0,(SUMIF(VCU!$B$51:$B$193,$J1578,VCU!$E$51:$E$193)*Impacts!$F$17))</f>
        <v>0</v>
      </c>
      <c r="V1578" s="10">
        <f>IF(CAS!$C$7="",0,(SUMIF(CAS!$B$31:$B$167,$J1578,CAS!$E$31:$E$167)*Impacts!$F$18))</f>
        <v>0</v>
      </c>
      <c r="W1578" s="10">
        <f t="shared" si="65"/>
        <v>0</v>
      </c>
      <c r="AK1578" s="10" t="str">
        <f t="array" ref="AK1578">IFERROR(INDEX(SelectedSpecies,SMALL(IF(SelectedSpecies=AK$1,ROW(SelectedSpecies)),ROW(1579:1579)),2),"")</f>
        <v/>
      </c>
      <c r="BE1578" s="10"/>
      <c r="BI1578" s="10"/>
    </row>
    <row r="1579" spans="1:61" ht="21" customHeight="1" x14ac:dyDescent="0.25">
      <c r="A1579" s="10"/>
      <c r="B1579" s="10"/>
      <c r="E1579" s="10"/>
      <c r="G1579" s="10"/>
      <c r="I1579" s="436" t="s">
        <v>4855</v>
      </c>
      <c r="J1579" s="26" t="s">
        <v>4854</v>
      </c>
      <c r="K1579" s="10">
        <v>2.8000000000000003</v>
      </c>
      <c r="L1579" s="73">
        <f>IF(Tank1!$C$23="No control",(SUMIF(Tank1!$B$32:$B$49,$J1579,Tank1!$C$32:$C$49)*Impacts!$F$8),0)</f>
        <v>0</v>
      </c>
      <c r="M1579" s="10">
        <f>IF(Tank2!$C$23="No control",(SUMIF(Tank2!$B$32:$B$49,$J1579,Tank2!$C$32:$C$49)*Impacts!$F$9),0)</f>
        <v>0</v>
      </c>
      <c r="N1579" s="10">
        <f>IF(Tank3!$C$23="No control",(SUMIF(Tank3!$B$32:$B$49,$J1579,Tank3!$C$32:$C$49)*Impacts!$F$10),0)</f>
        <v>0</v>
      </c>
      <c r="O1579" s="10">
        <f>IF(Tank4!$C$23="No control",(SUMIF(Tank4!$B$32:$B$49,$J1579,Tank4!$C$32:$C$49)*Impacts!$F$11),0)</f>
        <v>0</v>
      </c>
      <c r="P1579" s="10">
        <f>IF(Tank5!$C$23="No control",(SUMIF(Tank5!$B$32:$B$49,$J1579,Tank5!$C$32:$C$49)*Impacts!$F$12),0)</f>
        <v>0</v>
      </c>
      <c r="Q1579" s="10">
        <f>IFERROR(IF(('Loading-drum,tote'!$C$21)="No control",SUMIF(('Loading-drum,tote'!$B$31:$B$48),$J1579,('Loading-drum,tote'!$D$31:$D$48))*Impacts!$F$13,IF(('Loading-drum,tote'!$C$21)&lt;&gt;"No control",SUMIF(('Loading-drum,tote'!$B$31:$B$48),$J1579,('Loading-drum,tote'!$E$31:$E$48))*Impacts!$F$13,0)),0)</f>
        <v>0</v>
      </c>
      <c r="R1579" s="10">
        <f>IFERROR(IF(('Loading-truck'!$C$21)="No control",SUMIF(('Loading-truck'!$B$31:$B$48),$J1579,('Loading-truck'!$D$31:$D$48))*Impacts!$F$14,IF(('Loading-truck'!$C$21)&lt;&gt;"No control",SUMIF(('Loading-truck'!$B$31:$B$48),$J1579,('Loading-truck'!$E$31:$E$48))*Impacts!$F$14,0)),0)</f>
        <v>0</v>
      </c>
      <c r="S1579" s="10">
        <f>IFERROR(IF(('Loading-rail'!$C$21)="No control",SUMIF(('Loading-rail'!$B$31:$B$48),$J1579,('Loading-rail'!$D$31:$D$48))*Impacts!$F$15,IF(('Loading-rail'!$C$21)&lt;&gt;"No control",SUMIF(('Loading-rail'!$B$31:$B$48),$J1579,('Loading-rail'!$E$31:$E$48))*Impacts!$F$15,0)),0)</f>
        <v>0</v>
      </c>
      <c r="T1579" s="10">
        <f>IF(Flare!$C$7="",0,(SUMIF(Flare!$B$46:$B$185,$J1579,Flare!$E$46:$E$185)*Impacts!$F$16))</f>
        <v>0</v>
      </c>
      <c r="U1579" s="10">
        <f>IF(VCU!$C$9="",0,(SUMIF(VCU!$B$51:$B$193,$J1579,VCU!$E$51:$E$193)*Impacts!$F$17))</f>
        <v>0</v>
      </c>
      <c r="V1579" s="10">
        <f>IF(CAS!$C$7="",0,(SUMIF(CAS!$B$31:$B$167,$J1579,CAS!$E$31:$E$167)*Impacts!$F$18))</f>
        <v>0</v>
      </c>
      <c r="W1579" s="10">
        <f t="shared" si="65"/>
        <v>0</v>
      </c>
      <c r="AK1579" s="10" t="str">
        <f t="array" ref="AK1579">IFERROR(INDEX(SelectedSpecies,SMALL(IF(SelectedSpecies=AK$1,ROW(SelectedSpecies)),ROW(1580:1580)),2),"")</f>
        <v/>
      </c>
      <c r="BE1579" s="10"/>
      <c r="BI1579" s="10"/>
    </row>
    <row r="1580" spans="1:61" ht="21" customHeight="1" x14ac:dyDescent="0.25">
      <c r="A1580" s="10"/>
      <c r="B1580" s="10"/>
      <c r="E1580" s="10"/>
      <c r="G1580" s="10"/>
      <c r="I1580" s="436" t="s">
        <v>4907</v>
      </c>
      <c r="J1580" s="26" t="s">
        <v>4906</v>
      </c>
      <c r="K1580" s="10">
        <v>2.6</v>
      </c>
      <c r="L1580" s="73">
        <f>IF(Tank1!$C$23="No control",(SUMIF(Tank1!$B$32:$B$49,$J1580,Tank1!$C$32:$C$49)*Impacts!$F$8),0)</f>
        <v>0</v>
      </c>
      <c r="M1580" s="10">
        <f>IF(Tank2!$C$23="No control",(SUMIF(Tank2!$B$32:$B$49,$J1580,Tank2!$C$32:$C$49)*Impacts!$F$9),0)</f>
        <v>0</v>
      </c>
      <c r="N1580" s="10">
        <f>IF(Tank3!$C$23="No control",(SUMIF(Tank3!$B$32:$B$49,$J1580,Tank3!$C$32:$C$49)*Impacts!$F$10),0)</f>
        <v>0</v>
      </c>
      <c r="O1580" s="10">
        <f>IF(Tank4!$C$23="No control",(SUMIF(Tank4!$B$32:$B$49,$J1580,Tank4!$C$32:$C$49)*Impacts!$F$11),0)</f>
        <v>0</v>
      </c>
      <c r="P1580" s="10">
        <f>IF(Tank5!$C$23="No control",(SUMIF(Tank5!$B$32:$B$49,$J1580,Tank5!$C$32:$C$49)*Impacts!$F$12),0)</f>
        <v>0</v>
      </c>
      <c r="Q1580" s="10">
        <f>IFERROR(IF(('Loading-drum,tote'!$C$21)="No control",SUMIF(('Loading-drum,tote'!$B$31:$B$48),$J1580,('Loading-drum,tote'!$D$31:$D$48))*Impacts!$F$13,IF(('Loading-drum,tote'!$C$21)&lt;&gt;"No control",SUMIF(('Loading-drum,tote'!$B$31:$B$48),$J1580,('Loading-drum,tote'!$E$31:$E$48))*Impacts!$F$13,0)),0)</f>
        <v>0</v>
      </c>
      <c r="R1580" s="10">
        <f>IFERROR(IF(('Loading-truck'!$C$21)="No control",SUMIF(('Loading-truck'!$B$31:$B$48),$J1580,('Loading-truck'!$D$31:$D$48))*Impacts!$F$14,IF(('Loading-truck'!$C$21)&lt;&gt;"No control",SUMIF(('Loading-truck'!$B$31:$B$48),$J1580,('Loading-truck'!$E$31:$E$48))*Impacts!$F$14,0)),0)</f>
        <v>0</v>
      </c>
      <c r="S1580" s="10">
        <f>IFERROR(IF(('Loading-rail'!$C$21)="No control",SUMIF(('Loading-rail'!$B$31:$B$48),$J1580,('Loading-rail'!$D$31:$D$48))*Impacts!$F$15,IF(('Loading-rail'!$C$21)&lt;&gt;"No control",SUMIF(('Loading-rail'!$B$31:$B$48),$J1580,('Loading-rail'!$E$31:$E$48))*Impacts!$F$15,0)),0)</f>
        <v>0</v>
      </c>
      <c r="T1580" s="10">
        <f>IF(Flare!$C$7="",0,(SUMIF(Flare!$B$46:$B$185,$J1580,Flare!$E$46:$E$185)*Impacts!$F$16))</f>
        <v>0</v>
      </c>
      <c r="U1580" s="10">
        <f>IF(VCU!$C$9="",0,(SUMIF(VCU!$B$51:$B$193,$J1580,VCU!$E$51:$E$193)*Impacts!$F$17))</f>
        <v>0</v>
      </c>
      <c r="V1580" s="10">
        <f>IF(CAS!$C$7="",0,(SUMIF(CAS!$B$31:$B$167,$J1580,CAS!$E$31:$E$167)*Impacts!$F$18))</f>
        <v>0</v>
      </c>
      <c r="W1580" s="10">
        <f t="shared" si="65"/>
        <v>0</v>
      </c>
      <c r="AK1580" s="10" t="str">
        <f t="array" ref="AK1580">IFERROR(INDEX(SelectedSpecies,SMALL(IF(SelectedSpecies=AK$1,ROW(SelectedSpecies)),ROW(1581:1581)),2),"")</f>
        <v/>
      </c>
      <c r="BE1580" s="10"/>
      <c r="BI1580" s="10"/>
    </row>
    <row r="1581" spans="1:61" ht="21" customHeight="1" x14ac:dyDescent="0.25">
      <c r="A1581" s="10"/>
      <c r="B1581" s="10"/>
      <c r="E1581" s="10"/>
      <c r="G1581" s="10"/>
      <c r="I1581" s="436" t="s">
        <v>5349</v>
      </c>
      <c r="J1581" s="26" t="s">
        <v>5348</v>
      </c>
      <c r="K1581" s="10">
        <v>1.6</v>
      </c>
      <c r="L1581" s="73">
        <f>IF(Tank1!$C$23="No control",(SUMIF(Tank1!$B$32:$B$49,$J1581,Tank1!$C$32:$C$49)*Impacts!$F$8),0)</f>
        <v>0</v>
      </c>
      <c r="M1581" s="10">
        <f>IF(Tank2!$C$23="No control",(SUMIF(Tank2!$B$32:$B$49,$J1581,Tank2!$C$32:$C$49)*Impacts!$F$9),0)</f>
        <v>0</v>
      </c>
      <c r="N1581" s="10">
        <f>IF(Tank3!$C$23="No control",(SUMIF(Tank3!$B$32:$B$49,$J1581,Tank3!$C$32:$C$49)*Impacts!$F$10),0)</f>
        <v>0</v>
      </c>
      <c r="O1581" s="10">
        <f>IF(Tank4!$C$23="No control",(SUMIF(Tank4!$B$32:$B$49,$J1581,Tank4!$C$32:$C$49)*Impacts!$F$11),0)</f>
        <v>0</v>
      </c>
      <c r="P1581" s="10">
        <f>IF(Tank5!$C$23="No control",(SUMIF(Tank5!$B$32:$B$49,$J1581,Tank5!$C$32:$C$49)*Impacts!$F$12),0)</f>
        <v>0</v>
      </c>
      <c r="Q1581" s="10">
        <f>IFERROR(IF(('Loading-drum,tote'!$C$21)="No control",SUMIF(('Loading-drum,tote'!$B$31:$B$48),$J1581,('Loading-drum,tote'!$D$31:$D$48))*Impacts!$F$13,IF(('Loading-drum,tote'!$C$21)&lt;&gt;"No control",SUMIF(('Loading-drum,tote'!$B$31:$B$48),$J1581,('Loading-drum,tote'!$E$31:$E$48))*Impacts!$F$13,0)),0)</f>
        <v>0</v>
      </c>
      <c r="R1581" s="10">
        <f>IFERROR(IF(('Loading-truck'!$C$21)="No control",SUMIF(('Loading-truck'!$B$31:$B$48),$J1581,('Loading-truck'!$D$31:$D$48))*Impacts!$F$14,IF(('Loading-truck'!$C$21)&lt;&gt;"No control",SUMIF(('Loading-truck'!$B$31:$B$48),$J1581,('Loading-truck'!$E$31:$E$48))*Impacts!$F$14,0)),0)</f>
        <v>0</v>
      </c>
      <c r="S1581" s="10">
        <f>IFERROR(IF(('Loading-rail'!$C$21)="No control",SUMIF(('Loading-rail'!$B$31:$B$48),$J1581,('Loading-rail'!$D$31:$D$48))*Impacts!$F$15,IF(('Loading-rail'!$C$21)&lt;&gt;"No control",SUMIF(('Loading-rail'!$B$31:$B$48),$J1581,('Loading-rail'!$E$31:$E$48))*Impacts!$F$15,0)),0)</f>
        <v>0</v>
      </c>
      <c r="T1581" s="10">
        <f>IF(Flare!$C$7="",0,(SUMIF(Flare!$B$46:$B$185,$J1581,Flare!$E$46:$E$185)*Impacts!$F$16))</f>
        <v>0</v>
      </c>
      <c r="U1581" s="10">
        <f>IF(VCU!$C$9="",0,(SUMIF(VCU!$B$51:$B$193,$J1581,VCU!$E$51:$E$193)*Impacts!$F$17))</f>
        <v>0</v>
      </c>
      <c r="V1581" s="10">
        <f>IF(CAS!$C$7="",0,(SUMIF(CAS!$B$31:$B$167,$J1581,CAS!$E$31:$E$167)*Impacts!$F$18))</f>
        <v>0</v>
      </c>
      <c r="W1581" s="10">
        <f t="shared" si="65"/>
        <v>0</v>
      </c>
      <c r="AK1581" s="10" t="str">
        <f t="array" ref="AK1581">IFERROR(INDEX(SelectedSpecies,SMALL(IF(SelectedSpecies=AK$1,ROW(SelectedSpecies)),ROW(1582:1582)),2),"")</f>
        <v/>
      </c>
      <c r="BE1581" s="10"/>
      <c r="BI1581" s="10"/>
    </row>
    <row r="1582" spans="1:61" ht="21" customHeight="1" x14ac:dyDescent="0.25">
      <c r="A1582" s="10"/>
      <c r="B1582" s="10"/>
      <c r="E1582" s="10"/>
      <c r="G1582" s="10"/>
      <c r="I1582" s="436" t="s">
        <v>7090</v>
      </c>
      <c r="J1582" s="26" t="s">
        <v>7089</v>
      </c>
      <c r="K1582" s="10">
        <v>0.4</v>
      </c>
      <c r="L1582" s="73">
        <f>IF(Tank1!$C$23="No control",(SUMIF(Tank1!$B$32:$B$49,$J1582,Tank1!$C$32:$C$49)*Impacts!$F$8),0)</f>
        <v>0</v>
      </c>
      <c r="M1582" s="10">
        <f>IF(Tank2!$C$23="No control",(SUMIF(Tank2!$B$32:$B$49,$J1582,Tank2!$C$32:$C$49)*Impacts!$F$9),0)</f>
        <v>0</v>
      </c>
      <c r="N1582" s="10">
        <f>IF(Tank3!$C$23="No control",(SUMIF(Tank3!$B$32:$B$49,$J1582,Tank3!$C$32:$C$49)*Impacts!$F$10),0)</f>
        <v>0</v>
      </c>
      <c r="O1582" s="10">
        <f>IF(Tank4!$C$23="No control",(SUMIF(Tank4!$B$32:$B$49,$J1582,Tank4!$C$32:$C$49)*Impacts!$F$11),0)</f>
        <v>0</v>
      </c>
      <c r="P1582" s="10">
        <f>IF(Tank5!$C$23="No control",(SUMIF(Tank5!$B$32:$B$49,$J1582,Tank5!$C$32:$C$49)*Impacts!$F$12),0)</f>
        <v>0</v>
      </c>
      <c r="Q1582" s="10">
        <f>IFERROR(IF(('Loading-drum,tote'!$C$21)="No control",SUMIF(('Loading-drum,tote'!$B$31:$B$48),$J1582,('Loading-drum,tote'!$D$31:$D$48))*Impacts!$F$13,IF(('Loading-drum,tote'!$C$21)&lt;&gt;"No control",SUMIF(('Loading-drum,tote'!$B$31:$B$48),$J1582,('Loading-drum,tote'!$E$31:$E$48))*Impacts!$F$13,0)),0)</f>
        <v>0</v>
      </c>
      <c r="R1582" s="10">
        <f>IFERROR(IF(('Loading-truck'!$C$21)="No control",SUMIF(('Loading-truck'!$B$31:$B$48),$J1582,('Loading-truck'!$D$31:$D$48))*Impacts!$F$14,IF(('Loading-truck'!$C$21)&lt;&gt;"No control",SUMIF(('Loading-truck'!$B$31:$B$48),$J1582,('Loading-truck'!$E$31:$E$48))*Impacts!$F$14,0)),0)</f>
        <v>0</v>
      </c>
      <c r="S1582" s="10">
        <f>IFERROR(IF(('Loading-rail'!$C$21)="No control",SUMIF(('Loading-rail'!$B$31:$B$48),$J1582,('Loading-rail'!$D$31:$D$48))*Impacts!$F$15,IF(('Loading-rail'!$C$21)&lt;&gt;"No control",SUMIF(('Loading-rail'!$B$31:$B$48),$J1582,('Loading-rail'!$E$31:$E$48))*Impacts!$F$15,0)),0)</f>
        <v>0</v>
      </c>
      <c r="T1582" s="10">
        <f>IF(Flare!$C$7="",0,(SUMIF(Flare!$B$46:$B$185,$J1582,Flare!$E$46:$E$185)*Impacts!$F$16))</f>
        <v>0</v>
      </c>
      <c r="U1582" s="10">
        <f>IF(VCU!$C$9="",0,(SUMIF(VCU!$B$51:$B$193,$J1582,VCU!$E$51:$E$193)*Impacts!$F$17))</f>
        <v>0</v>
      </c>
      <c r="V1582" s="10">
        <f>IF(CAS!$C$7="",0,(SUMIF(CAS!$B$31:$B$167,$J1582,CAS!$E$31:$E$167)*Impacts!$F$18))</f>
        <v>0</v>
      </c>
      <c r="W1582" s="10">
        <f t="shared" si="65"/>
        <v>0</v>
      </c>
      <c r="AK1582" s="10" t="str">
        <f t="array" ref="AK1582">IFERROR(INDEX(SelectedSpecies,SMALL(IF(SelectedSpecies=AK$1,ROW(SelectedSpecies)),ROW(1583:1583)),2),"")</f>
        <v/>
      </c>
      <c r="BE1582" s="10"/>
      <c r="BI1582" s="10"/>
    </row>
    <row r="1583" spans="1:61" ht="21" customHeight="1" x14ac:dyDescent="0.25">
      <c r="A1583" s="10"/>
      <c r="B1583" s="10"/>
      <c r="E1583" s="10"/>
      <c r="G1583" s="10"/>
      <c r="I1583" s="436" t="s">
        <v>4557</v>
      </c>
      <c r="J1583" s="26" t="s">
        <v>4556</v>
      </c>
      <c r="K1583" s="10">
        <v>4</v>
      </c>
      <c r="L1583" s="73">
        <f>IF(Tank1!$C$23="No control",(SUMIF(Tank1!$B$32:$B$49,$J1583,Tank1!$C$32:$C$49)*Impacts!$F$8),0)</f>
        <v>0</v>
      </c>
      <c r="M1583" s="10">
        <f>IF(Tank2!$C$23="No control",(SUMIF(Tank2!$B$32:$B$49,$J1583,Tank2!$C$32:$C$49)*Impacts!$F$9),0)</f>
        <v>0</v>
      </c>
      <c r="N1583" s="10">
        <f>IF(Tank3!$C$23="No control",(SUMIF(Tank3!$B$32:$B$49,$J1583,Tank3!$C$32:$C$49)*Impacts!$F$10),0)</f>
        <v>0</v>
      </c>
      <c r="O1583" s="10">
        <f>IF(Tank4!$C$23="No control",(SUMIF(Tank4!$B$32:$B$49,$J1583,Tank4!$C$32:$C$49)*Impacts!$F$11),0)</f>
        <v>0</v>
      </c>
      <c r="P1583" s="10">
        <f>IF(Tank5!$C$23="No control",(SUMIF(Tank5!$B$32:$B$49,$J1583,Tank5!$C$32:$C$49)*Impacts!$F$12),0)</f>
        <v>0</v>
      </c>
      <c r="Q1583" s="10">
        <f>IFERROR(IF(('Loading-drum,tote'!$C$21)="No control",SUMIF(('Loading-drum,tote'!$B$31:$B$48),$J1583,('Loading-drum,tote'!$D$31:$D$48))*Impacts!$F$13,IF(('Loading-drum,tote'!$C$21)&lt;&gt;"No control",SUMIF(('Loading-drum,tote'!$B$31:$B$48),$J1583,('Loading-drum,tote'!$E$31:$E$48))*Impacts!$F$13,0)),0)</f>
        <v>0</v>
      </c>
      <c r="R1583" s="10">
        <f>IFERROR(IF(('Loading-truck'!$C$21)="No control",SUMIF(('Loading-truck'!$B$31:$B$48),$J1583,('Loading-truck'!$D$31:$D$48))*Impacts!$F$14,IF(('Loading-truck'!$C$21)&lt;&gt;"No control",SUMIF(('Loading-truck'!$B$31:$B$48),$J1583,('Loading-truck'!$E$31:$E$48))*Impacts!$F$14,0)),0)</f>
        <v>0</v>
      </c>
      <c r="S1583" s="10">
        <f>IFERROR(IF(('Loading-rail'!$C$21)="No control",SUMIF(('Loading-rail'!$B$31:$B$48),$J1583,('Loading-rail'!$D$31:$D$48))*Impacts!$F$15,IF(('Loading-rail'!$C$21)&lt;&gt;"No control",SUMIF(('Loading-rail'!$B$31:$B$48),$J1583,('Loading-rail'!$E$31:$E$48))*Impacts!$F$15,0)),0)</f>
        <v>0</v>
      </c>
      <c r="T1583" s="10">
        <f>IF(Flare!$C$7="",0,(SUMIF(Flare!$B$46:$B$185,$J1583,Flare!$E$46:$E$185)*Impacts!$F$16))</f>
        <v>0</v>
      </c>
      <c r="U1583" s="10">
        <f>IF(VCU!$C$9="",0,(SUMIF(VCU!$B$51:$B$193,$J1583,VCU!$E$51:$E$193)*Impacts!$F$17))</f>
        <v>0</v>
      </c>
      <c r="V1583" s="10">
        <f>IF(CAS!$C$7="",0,(SUMIF(CAS!$B$31:$B$167,$J1583,CAS!$E$31:$E$167)*Impacts!$F$18))</f>
        <v>0</v>
      </c>
      <c r="W1583" s="10">
        <f t="shared" si="65"/>
        <v>0</v>
      </c>
      <c r="AK1583" s="10" t="str">
        <f t="array" ref="AK1583">IFERROR(INDEX(SelectedSpecies,SMALL(IF(SelectedSpecies=AK$1,ROW(SelectedSpecies)),ROW(1584:1584)),2),"")</f>
        <v/>
      </c>
      <c r="BE1583" s="10"/>
      <c r="BI1583" s="10"/>
    </row>
    <row r="1584" spans="1:61" ht="21" customHeight="1" x14ac:dyDescent="0.25">
      <c r="A1584" s="10"/>
      <c r="B1584" s="10"/>
      <c r="E1584" s="10"/>
      <c r="G1584" s="10"/>
      <c r="I1584" s="436" t="s">
        <v>1957</v>
      </c>
      <c r="J1584" s="26" t="s">
        <v>1956</v>
      </c>
      <c r="K1584" s="10">
        <v>18</v>
      </c>
      <c r="L1584" s="73">
        <f>IF(Tank1!$C$23="No control",(SUMIF(Tank1!$B$32:$B$49,$J1584,Tank1!$C$32:$C$49)*Impacts!$F$8),0)</f>
        <v>0</v>
      </c>
      <c r="M1584" s="10">
        <f>IF(Tank2!$C$23="No control",(SUMIF(Tank2!$B$32:$B$49,$J1584,Tank2!$C$32:$C$49)*Impacts!$F$9),0)</f>
        <v>0</v>
      </c>
      <c r="N1584" s="10">
        <f>IF(Tank3!$C$23="No control",(SUMIF(Tank3!$B$32:$B$49,$J1584,Tank3!$C$32:$C$49)*Impacts!$F$10),0)</f>
        <v>0</v>
      </c>
      <c r="O1584" s="10">
        <f>IF(Tank4!$C$23="No control",(SUMIF(Tank4!$B$32:$B$49,$J1584,Tank4!$C$32:$C$49)*Impacts!$F$11),0)</f>
        <v>0</v>
      </c>
      <c r="P1584" s="10">
        <f>IF(Tank5!$C$23="No control",(SUMIF(Tank5!$B$32:$B$49,$J1584,Tank5!$C$32:$C$49)*Impacts!$F$12),0)</f>
        <v>0</v>
      </c>
      <c r="Q1584" s="10">
        <f>IFERROR(IF(('Loading-drum,tote'!$C$21)="No control",SUMIF(('Loading-drum,tote'!$B$31:$B$48),$J1584,('Loading-drum,tote'!$D$31:$D$48))*Impacts!$F$13,IF(('Loading-drum,tote'!$C$21)&lt;&gt;"No control",SUMIF(('Loading-drum,tote'!$B$31:$B$48),$J1584,('Loading-drum,tote'!$E$31:$E$48))*Impacts!$F$13,0)),0)</f>
        <v>0</v>
      </c>
      <c r="R1584" s="10">
        <f>IFERROR(IF(('Loading-truck'!$C$21)="No control",SUMIF(('Loading-truck'!$B$31:$B$48),$J1584,('Loading-truck'!$D$31:$D$48))*Impacts!$F$14,IF(('Loading-truck'!$C$21)&lt;&gt;"No control",SUMIF(('Loading-truck'!$B$31:$B$48),$J1584,('Loading-truck'!$E$31:$E$48))*Impacts!$F$14,0)),0)</f>
        <v>0</v>
      </c>
      <c r="S1584" s="10">
        <f>IFERROR(IF(('Loading-rail'!$C$21)="No control",SUMIF(('Loading-rail'!$B$31:$B$48),$J1584,('Loading-rail'!$D$31:$D$48))*Impacts!$F$15,IF(('Loading-rail'!$C$21)&lt;&gt;"No control",SUMIF(('Loading-rail'!$B$31:$B$48),$J1584,('Loading-rail'!$E$31:$E$48))*Impacts!$F$15,0)),0)</f>
        <v>0</v>
      </c>
      <c r="T1584" s="10">
        <f>IF(Flare!$C$7="",0,(SUMIF(Flare!$B$46:$B$185,$J1584,Flare!$E$46:$E$185)*Impacts!$F$16))</f>
        <v>0</v>
      </c>
      <c r="U1584" s="10">
        <f>IF(VCU!$C$9="",0,(SUMIF(VCU!$B$51:$B$193,$J1584,VCU!$E$51:$E$193)*Impacts!$F$17))</f>
        <v>0</v>
      </c>
      <c r="V1584" s="10">
        <f>IF(CAS!$C$7="",0,(SUMIF(CAS!$B$31:$B$167,$J1584,CAS!$E$31:$E$167)*Impacts!$F$18))</f>
        <v>0</v>
      </c>
      <c r="W1584" s="10">
        <f t="shared" si="65"/>
        <v>0</v>
      </c>
      <c r="AK1584" s="10" t="str">
        <f t="array" ref="AK1584">IFERROR(INDEX(SelectedSpecies,SMALL(IF(SelectedSpecies=AK$1,ROW(SelectedSpecies)),ROW(1585:1585)),2),"")</f>
        <v/>
      </c>
      <c r="BE1584" s="10"/>
      <c r="BI1584" s="10"/>
    </row>
    <row r="1585" spans="1:61" ht="21" customHeight="1" x14ac:dyDescent="0.25">
      <c r="A1585" s="10"/>
      <c r="B1585" s="10"/>
      <c r="E1585" s="10"/>
      <c r="G1585" s="10"/>
      <c r="I1585" s="436" t="s">
        <v>5868</v>
      </c>
      <c r="J1585" s="26" t="s">
        <v>5867</v>
      </c>
      <c r="K1585" s="10">
        <v>1</v>
      </c>
      <c r="L1585" s="73">
        <f>IF(Tank1!$C$23="No control",(SUMIF(Tank1!$B$32:$B$49,$J1585,Tank1!$C$32:$C$49)*Impacts!$F$8),0)</f>
        <v>0</v>
      </c>
      <c r="M1585" s="10">
        <f>IF(Tank2!$C$23="No control",(SUMIF(Tank2!$B$32:$B$49,$J1585,Tank2!$C$32:$C$49)*Impacts!$F$9),0)</f>
        <v>0</v>
      </c>
      <c r="N1585" s="10">
        <f>IF(Tank3!$C$23="No control",(SUMIF(Tank3!$B$32:$B$49,$J1585,Tank3!$C$32:$C$49)*Impacts!$F$10),0)</f>
        <v>0</v>
      </c>
      <c r="O1585" s="10">
        <f>IF(Tank4!$C$23="No control",(SUMIF(Tank4!$B$32:$B$49,$J1585,Tank4!$C$32:$C$49)*Impacts!$F$11),0)</f>
        <v>0</v>
      </c>
      <c r="P1585" s="10">
        <f>IF(Tank5!$C$23="No control",(SUMIF(Tank5!$B$32:$B$49,$J1585,Tank5!$C$32:$C$49)*Impacts!$F$12),0)</f>
        <v>0</v>
      </c>
      <c r="Q1585" s="10">
        <f>IFERROR(IF(('Loading-drum,tote'!$C$21)="No control",SUMIF(('Loading-drum,tote'!$B$31:$B$48),$J1585,('Loading-drum,tote'!$D$31:$D$48))*Impacts!$F$13,IF(('Loading-drum,tote'!$C$21)&lt;&gt;"No control",SUMIF(('Loading-drum,tote'!$B$31:$B$48),$J1585,('Loading-drum,tote'!$E$31:$E$48))*Impacts!$F$13,0)),0)</f>
        <v>0</v>
      </c>
      <c r="R1585" s="10">
        <f>IFERROR(IF(('Loading-truck'!$C$21)="No control",SUMIF(('Loading-truck'!$B$31:$B$48),$J1585,('Loading-truck'!$D$31:$D$48))*Impacts!$F$14,IF(('Loading-truck'!$C$21)&lt;&gt;"No control",SUMIF(('Loading-truck'!$B$31:$B$48),$J1585,('Loading-truck'!$E$31:$E$48))*Impacts!$F$14,0)),0)</f>
        <v>0</v>
      </c>
      <c r="S1585" s="10">
        <f>IFERROR(IF(('Loading-rail'!$C$21)="No control",SUMIF(('Loading-rail'!$B$31:$B$48),$J1585,('Loading-rail'!$D$31:$D$48))*Impacts!$F$15,IF(('Loading-rail'!$C$21)&lt;&gt;"No control",SUMIF(('Loading-rail'!$B$31:$B$48),$J1585,('Loading-rail'!$E$31:$E$48))*Impacts!$F$15,0)),0)</f>
        <v>0</v>
      </c>
      <c r="T1585" s="10">
        <f>IF(Flare!$C$7="",0,(SUMIF(Flare!$B$46:$B$185,$J1585,Flare!$E$46:$E$185)*Impacts!$F$16))</f>
        <v>0</v>
      </c>
      <c r="U1585" s="10">
        <f>IF(VCU!$C$9="",0,(SUMIF(VCU!$B$51:$B$193,$J1585,VCU!$E$51:$E$193)*Impacts!$F$17))</f>
        <v>0</v>
      </c>
      <c r="V1585" s="10">
        <f>IF(CAS!$C$7="",0,(SUMIF(CAS!$B$31:$B$167,$J1585,CAS!$E$31:$E$167)*Impacts!$F$18))</f>
        <v>0</v>
      </c>
      <c r="W1585" s="10">
        <f t="shared" si="65"/>
        <v>0</v>
      </c>
      <c r="AK1585" s="10" t="str">
        <f t="array" ref="AK1585">IFERROR(INDEX(SelectedSpecies,SMALL(IF(SelectedSpecies=AK$1,ROW(SelectedSpecies)),ROW(1586:1586)),2),"")</f>
        <v/>
      </c>
      <c r="BE1585" s="10"/>
      <c r="BI1585" s="10"/>
    </row>
    <row r="1586" spans="1:61" ht="21" customHeight="1" x14ac:dyDescent="0.25">
      <c r="A1586" s="10"/>
      <c r="B1586" s="10"/>
      <c r="E1586" s="10"/>
      <c r="G1586" s="10"/>
      <c r="I1586" s="436" t="s">
        <v>6308</v>
      </c>
      <c r="J1586" s="26" t="s">
        <v>6307</v>
      </c>
      <c r="K1586" s="10">
        <v>0.9</v>
      </c>
      <c r="L1586" s="73">
        <f>IF(Tank1!$C$23="No control",(SUMIF(Tank1!$B$32:$B$49,$J1586,Tank1!$C$32:$C$49)*Impacts!$F$8),0)</f>
        <v>0</v>
      </c>
      <c r="M1586" s="10">
        <f>IF(Tank2!$C$23="No control",(SUMIF(Tank2!$B$32:$B$49,$J1586,Tank2!$C$32:$C$49)*Impacts!$F$9),0)</f>
        <v>0</v>
      </c>
      <c r="N1586" s="10">
        <f>IF(Tank3!$C$23="No control",(SUMIF(Tank3!$B$32:$B$49,$J1586,Tank3!$C$32:$C$49)*Impacts!$F$10),0)</f>
        <v>0</v>
      </c>
      <c r="O1586" s="10">
        <f>IF(Tank4!$C$23="No control",(SUMIF(Tank4!$B$32:$B$49,$J1586,Tank4!$C$32:$C$49)*Impacts!$F$11),0)</f>
        <v>0</v>
      </c>
      <c r="P1586" s="10">
        <f>IF(Tank5!$C$23="No control",(SUMIF(Tank5!$B$32:$B$49,$J1586,Tank5!$C$32:$C$49)*Impacts!$F$12),0)</f>
        <v>0</v>
      </c>
      <c r="Q1586" s="10">
        <f>IFERROR(IF(('Loading-drum,tote'!$C$21)="No control",SUMIF(('Loading-drum,tote'!$B$31:$B$48),$J1586,('Loading-drum,tote'!$D$31:$D$48))*Impacts!$F$13,IF(('Loading-drum,tote'!$C$21)&lt;&gt;"No control",SUMIF(('Loading-drum,tote'!$B$31:$B$48),$J1586,('Loading-drum,tote'!$E$31:$E$48))*Impacts!$F$13,0)),0)</f>
        <v>0</v>
      </c>
      <c r="R1586" s="10">
        <f>IFERROR(IF(('Loading-truck'!$C$21)="No control",SUMIF(('Loading-truck'!$B$31:$B$48),$J1586,('Loading-truck'!$D$31:$D$48))*Impacts!$F$14,IF(('Loading-truck'!$C$21)&lt;&gt;"No control",SUMIF(('Loading-truck'!$B$31:$B$48),$J1586,('Loading-truck'!$E$31:$E$48))*Impacts!$F$14,0)),0)</f>
        <v>0</v>
      </c>
      <c r="S1586" s="10">
        <f>IFERROR(IF(('Loading-rail'!$C$21)="No control",SUMIF(('Loading-rail'!$B$31:$B$48),$J1586,('Loading-rail'!$D$31:$D$48))*Impacts!$F$15,IF(('Loading-rail'!$C$21)&lt;&gt;"No control",SUMIF(('Loading-rail'!$B$31:$B$48),$J1586,('Loading-rail'!$E$31:$E$48))*Impacts!$F$15,0)),0)</f>
        <v>0</v>
      </c>
      <c r="T1586" s="10">
        <f>IF(Flare!$C$7="",0,(SUMIF(Flare!$B$46:$B$185,$J1586,Flare!$E$46:$E$185)*Impacts!$F$16))</f>
        <v>0</v>
      </c>
      <c r="U1586" s="10">
        <f>IF(VCU!$C$9="",0,(SUMIF(VCU!$B$51:$B$193,$J1586,VCU!$E$51:$E$193)*Impacts!$F$17))</f>
        <v>0</v>
      </c>
      <c r="V1586" s="10">
        <f>IF(CAS!$C$7="",0,(SUMIF(CAS!$B$31:$B$167,$J1586,CAS!$E$31:$E$167)*Impacts!$F$18))</f>
        <v>0</v>
      </c>
      <c r="W1586" s="10">
        <f t="shared" si="65"/>
        <v>0</v>
      </c>
      <c r="AK1586" s="10" t="str">
        <f t="array" ref="AK1586">IFERROR(INDEX(SelectedSpecies,SMALL(IF(SelectedSpecies=AK$1,ROW(SelectedSpecies)),ROW(1587:1587)),2),"")</f>
        <v/>
      </c>
      <c r="BE1586" s="10"/>
      <c r="BI1586" s="10"/>
    </row>
    <row r="1587" spans="1:61" ht="21" customHeight="1" x14ac:dyDescent="0.25">
      <c r="A1587" s="10"/>
      <c r="B1587" s="10"/>
      <c r="E1587" s="10"/>
      <c r="G1587" s="10"/>
      <c r="I1587" s="436" t="s">
        <v>4129</v>
      </c>
      <c r="J1587" s="26" t="s">
        <v>4128</v>
      </c>
      <c r="K1587" s="10">
        <v>5.3000000000000007</v>
      </c>
      <c r="L1587" s="73">
        <f>IF(Tank1!$C$23="No control",(SUMIF(Tank1!$B$32:$B$49,$J1587,Tank1!$C$32:$C$49)*Impacts!$F$8),0)</f>
        <v>0</v>
      </c>
      <c r="M1587" s="10">
        <f>IF(Tank2!$C$23="No control",(SUMIF(Tank2!$B$32:$B$49,$J1587,Tank2!$C$32:$C$49)*Impacts!$F$9),0)</f>
        <v>0</v>
      </c>
      <c r="N1587" s="10">
        <f>IF(Tank3!$C$23="No control",(SUMIF(Tank3!$B$32:$B$49,$J1587,Tank3!$C$32:$C$49)*Impacts!$F$10),0)</f>
        <v>0</v>
      </c>
      <c r="O1587" s="10">
        <f>IF(Tank4!$C$23="No control",(SUMIF(Tank4!$B$32:$B$49,$J1587,Tank4!$C$32:$C$49)*Impacts!$F$11),0)</f>
        <v>0</v>
      </c>
      <c r="P1587" s="10">
        <f>IF(Tank5!$C$23="No control",(SUMIF(Tank5!$B$32:$B$49,$J1587,Tank5!$C$32:$C$49)*Impacts!$F$12),0)</f>
        <v>0</v>
      </c>
      <c r="Q1587" s="10">
        <f>IFERROR(IF(('Loading-drum,tote'!$C$21)="No control",SUMIF(('Loading-drum,tote'!$B$31:$B$48),$J1587,('Loading-drum,tote'!$D$31:$D$48))*Impacts!$F$13,IF(('Loading-drum,tote'!$C$21)&lt;&gt;"No control",SUMIF(('Loading-drum,tote'!$B$31:$B$48),$J1587,('Loading-drum,tote'!$E$31:$E$48))*Impacts!$F$13,0)),0)</f>
        <v>0</v>
      </c>
      <c r="R1587" s="10">
        <f>IFERROR(IF(('Loading-truck'!$C$21)="No control",SUMIF(('Loading-truck'!$B$31:$B$48),$J1587,('Loading-truck'!$D$31:$D$48))*Impacts!$F$14,IF(('Loading-truck'!$C$21)&lt;&gt;"No control",SUMIF(('Loading-truck'!$B$31:$B$48),$J1587,('Loading-truck'!$E$31:$E$48))*Impacts!$F$14,0)),0)</f>
        <v>0</v>
      </c>
      <c r="S1587" s="10">
        <f>IFERROR(IF(('Loading-rail'!$C$21)="No control",SUMIF(('Loading-rail'!$B$31:$B$48),$J1587,('Loading-rail'!$D$31:$D$48))*Impacts!$F$15,IF(('Loading-rail'!$C$21)&lt;&gt;"No control",SUMIF(('Loading-rail'!$B$31:$B$48),$J1587,('Loading-rail'!$E$31:$E$48))*Impacts!$F$15,0)),0)</f>
        <v>0</v>
      </c>
      <c r="T1587" s="10">
        <f>IF(Flare!$C$7="",0,(SUMIF(Flare!$B$46:$B$185,$J1587,Flare!$E$46:$E$185)*Impacts!$F$16))</f>
        <v>0</v>
      </c>
      <c r="U1587" s="10">
        <f>IF(VCU!$C$9="",0,(SUMIF(VCU!$B$51:$B$193,$J1587,VCU!$E$51:$E$193)*Impacts!$F$17))</f>
        <v>0</v>
      </c>
      <c r="V1587" s="10">
        <f>IF(CAS!$C$7="",0,(SUMIF(CAS!$B$31:$B$167,$J1587,CAS!$E$31:$E$167)*Impacts!$F$18))</f>
        <v>0</v>
      </c>
      <c r="W1587" s="10">
        <f t="shared" si="65"/>
        <v>0</v>
      </c>
      <c r="AK1587" s="10" t="str">
        <f t="array" ref="AK1587">IFERROR(INDEX(SelectedSpecies,SMALL(IF(SelectedSpecies=AK$1,ROW(SelectedSpecies)),ROW(1588:1588)),2),"")</f>
        <v/>
      </c>
      <c r="BE1587" s="10"/>
      <c r="BI1587" s="10"/>
    </row>
    <row r="1588" spans="1:61" ht="21" customHeight="1" x14ac:dyDescent="0.25">
      <c r="A1588" s="10"/>
      <c r="B1588" s="10"/>
      <c r="E1588" s="10"/>
      <c r="G1588" s="10"/>
      <c r="I1588" s="436" t="s">
        <v>5870</v>
      </c>
      <c r="J1588" s="26" t="s">
        <v>5869</v>
      </c>
      <c r="K1588" s="10">
        <v>1</v>
      </c>
      <c r="L1588" s="73">
        <f>IF(Tank1!$C$23="No control",(SUMIF(Tank1!$B$32:$B$49,$J1588,Tank1!$C$32:$C$49)*Impacts!$F$8),0)</f>
        <v>0</v>
      </c>
      <c r="M1588" s="10">
        <f>IF(Tank2!$C$23="No control",(SUMIF(Tank2!$B$32:$B$49,$J1588,Tank2!$C$32:$C$49)*Impacts!$F$9),0)</f>
        <v>0</v>
      </c>
      <c r="N1588" s="10">
        <f>IF(Tank3!$C$23="No control",(SUMIF(Tank3!$B$32:$B$49,$J1588,Tank3!$C$32:$C$49)*Impacts!$F$10),0)</f>
        <v>0</v>
      </c>
      <c r="O1588" s="10">
        <f>IF(Tank4!$C$23="No control",(SUMIF(Tank4!$B$32:$B$49,$J1588,Tank4!$C$32:$C$49)*Impacts!$F$11),0)</f>
        <v>0</v>
      </c>
      <c r="P1588" s="10">
        <f>IF(Tank5!$C$23="No control",(SUMIF(Tank5!$B$32:$B$49,$J1588,Tank5!$C$32:$C$49)*Impacts!$F$12),0)</f>
        <v>0</v>
      </c>
      <c r="Q1588" s="10">
        <f>IFERROR(IF(('Loading-drum,tote'!$C$21)="No control",SUMIF(('Loading-drum,tote'!$B$31:$B$48),$J1588,('Loading-drum,tote'!$D$31:$D$48))*Impacts!$F$13,IF(('Loading-drum,tote'!$C$21)&lt;&gt;"No control",SUMIF(('Loading-drum,tote'!$B$31:$B$48),$J1588,('Loading-drum,tote'!$E$31:$E$48))*Impacts!$F$13,0)),0)</f>
        <v>0</v>
      </c>
      <c r="R1588" s="10">
        <f>IFERROR(IF(('Loading-truck'!$C$21)="No control",SUMIF(('Loading-truck'!$B$31:$B$48),$J1588,('Loading-truck'!$D$31:$D$48))*Impacts!$F$14,IF(('Loading-truck'!$C$21)&lt;&gt;"No control",SUMIF(('Loading-truck'!$B$31:$B$48),$J1588,('Loading-truck'!$E$31:$E$48))*Impacts!$F$14,0)),0)</f>
        <v>0</v>
      </c>
      <c r="S1588" s="10">
        <f>IFERROR(IF(('Loading-rail'!$C$21)="No control",SUMIF(('Loading-rail'!$B$31:$B$48),$J1588,('Loading-rail'!$D$31:$D$48))*Impacts!$F$15,IF(('Loading-rail'!$C$21)&lt;&gt;"No control",SUMIF(('Loading-rail'!$B$31:$B$48),$J1588,('Loading-rail'!$E$31:$E$48))*Impacts!$F$15,0)),0)</f>
        <v>0</v>
      </c>
      <c r="T1588" s="10">
        <f>IF(Flare!$C$7="",0,(SUMIF(Flare!$B$46:$B$185,$J1588,Flare!$E$46:$E$185)*Impacts!$F$16))</f>
        <v>0</v>
      </c>
      <c r="U1588" s="10">
        <f>IF(VCU!$C$9="",0,(SUMIF(VCU!$B$51:$B$193,$J1588,VCU!$E$51:$E$193)*Impacts!$F$17))</f>
        <v>0</v>
      </c>
      <c r="V1588" s="10">
        <f>IF(CAS!$C$7="",0,(SUMIF(CAS!$B$31:$B$167,$J1588,CAS!$E$31:$E$167)*Impacts!$F$18))</f>
        <v>0</v>
      </c>
      <c r="W1588" s="10">
        <f t="shared" si="65"/>
        <v>0</v>
      </c>
      <c r="AK1588" s="10" t="str">
        <f t="array" ref="AK1588">IFERROR(INDEX(SelectedSpecies,SMALL(IF(SelectedSpecies=AK$1,ROW(SelectedSpecies)),ROW(1589:1589)),2),"")</f>
        <v/>
      </c>
      <c r="BE1588" s="10"/>
      <c r="BI1588" s="10"/>
    </row>
    <row r="1589" spans="1:61" ht="21" customHeight="1" x14ac:dyDescent="0.25">
      <c r="A1589" s="10"/>
      <c r="B1589" s="10"/>
      <c r="E1589" s="10"/>
      <c r="G1589" s="10"/>
      <c r="I1589" s="436" t="s">
        <v>942</v>
      </c>
      <c r="J1589" s="26" t="s">
        <v>941</v>
      </c>
      <c r="K1589" s="10">
        <v>43</v>
      </c>
      <c r="L1589" s="73">
        <f>IF(Tank1!$C$23="No control",(SUMIF(Tank1!$B$32:$B$49,$J1589,Tank1!$C$32:$C$49)*Impacts!$F$8),0)</f>
        <v>0</v>
      </c>
      <c r="M1589" s="10">
        <f>IF(Tank2!$C$23="No control",(SUMIF(Tank2!$B$32:$B$49,$J1589,Tank2!$C$32:$C$49)*Impacts!$F$9),0)</f>
        <v>0</v>
      </c>
      <c r="N1589" s="10">
        <f>IF(Tank3!$C$23="No control",(SUMIF(Tank3!$B$32:$B$49,$J1589,Tank3!$C$32:$C$49)*Impacts!$F$10),0)</f>
        <v>0</v>
      </c>
      <c r="O1589" s="10">
        <f>IF(Tank4!$C$23="No control",(SUMIF(Tank4!$B$32:$B$49,$J1589,Tank4!$C$32:$C$49)*Impacts!$F$11),0)</f>
        <v>0</v>
      </c>
      <c r="P1589" s="10">
        <f>IF(Tank5!$C$23="No control",(SUMIF(Tank5!$B$32:$B$49,$J1589,Tank5!$C$32:$C$49)*Impacts!$F$12),0)</f>
        <v>0</v>
      </c>
      <c r="Q1589" s="10">
        <f>IFERROR(IF(('Loading-drum,tote'!$C$21)="No control",SUMIF(('Loading-drum,tote'!$B$31:$B$48),$J1589,('Loading-drum,tote'!$D$31:$D$48))*Impacts!$F$13,IF(('Loading-drum,tote'!$C$21)&lt;&gt;"No control",SUMIF(('Loading-drum,tote'!$B$31:$B$48),$J1589,('Loading-drum,tote'!$E$31:$E$48))*Impacts!$F$13,0)),0)</f>
        <v>0</v>
      </c>
      <c r="R1589" s="10">
        <f>IFERROR(IF(('Loading-truck'!$C$21)="No control",SUMIF(('Loading-truck'!$B$31:$B$48),$J1589,('Loading-truck'!$D$31:$D$48))*Impacts!$F$14,IF(('Loading-truck'!$C$21)&lt;&gt;"No control",SUMIF(('Loading-truck'!$B$31:$B$48),$J1589,('Loading-truck'!$E$31:$E$48))*Impacts!$F$14,0)),0)</f>
        <v>0</v>
      </c>
      <c r="S1589" s="10">
        <f>IFERROR(IF(('Loading-rail'!$C$21)="No control",SUMIF(('Loading-rail'!$B$31:$B$48),$J1589,('Loading-rail'!$D$31:$D$48))*Impacts!$F$15,IF(('Loading-rail'!$C$21)&lt;&gt;"No control",SUMIF(('Loading-rail'!$B$31:$B$48),$J1589,('Loading-rail'!$E$31:$E$48))*Impacts!$F$15,0)),0)</f>
        <v>0</v>
      </c>
      <c r="T1589" s="10">
        <f>IF(Flare!$C$7="",0,(SUMIF(Flare!$B$46:$B$185,$J1589,Flare!$E$46:$E$185)*Impacts!$F$16))</f>
        <v>0</v>
      </c>
      <c r="U1589" s="10">
        <f>IF(VCU!$C$9="",0,(SUMIF(VCU!$B$51:$B$193,$J1589,VCU!$E$51:$E$193)*Impacts!$F$17))</f>
        <v>0</v>
      </c>
      <c r="V1589" s="10">
        <f>IF(CAS!$C$7="",0,(SUMIF(CAS!$B$31:$B$167,$J1589,CAS!$E$31:$E$167)*Impacts!$F$18))</f>
        <v>0</v>
      </c>
      <c r="W1589" s="10">
        <f t="shared" si="65"/>
        <v>0</v>
      </c>
      <c r="AK1589" s="10" t="str">
        <f t="array" ref="AK1589">IFERROR(INDEX(SelectedSpecies,SMALL(IF(SelectedSpecies=AK$1,ROW(SelectedSpecies)),ROW(1590:1590)),2),"")</f>
        <v/>
      </c>
      <c r="BE1589" s="10"/>
      <c r="BI1589" s="10"/>
    </row>
    <row r="1590" spans="1:61" ht="21" customHeight="1" x14ac:dyDescent="0.25">
      <c r="A1590" s="10"/>
      <c r="B1590" s="10"/>
      <c r="E1590" s="10"/>
      <c r="G1590" s="10"/>
      <c r="I1590" s="436" t="s">
        <v>5325</v>
      </c>
      <c r="J1590" s="26" t="s">
        <v>5324</v>
      </c>
      <c r="K1590" s="10">
        <v>1.7000000000000002</v>
      </c>
      <c r="L1590" s="73">
        <f>IF(Tank1!$C$23="No control",(SUMIF(Tank1!$B$32:$B$49,$J1590,Tank1!$C$32:$C$49)*Impacts!$F$8),0)</f>
        <v>0</v>
      </c>
      <c r="M1590" s="10">
        <f>IF(Tank2!$C$23="No control",(SUMIF(Tank2!$B$32:$B$49,$J1590,Tank2!$C$32:$C$49)*Impacts!$F$9),0)</f>
        <v>0</v>
      </c>
      <c r="N1590" s="10">
        <f>IF(Tank3!$C$23="No control",(SUMIF(Tank3!$B$32:$B$49,$J1590,Tank3!$C$32:$C$49)*Impacts!$F$10),0)</f>
        <v>0</v>
      </c>
      <c r="O1590" s="10">
        <f>IF(Tank4!$C$23="No control",(SUMIF(Tank4!$B$32:$B$49,$J1590,Tank4!$C$32:$C$49)*Impacts!$F$11),0)</f>
        <v>0</v>
      </c>
      <c r="P1590" s="10">
        <f>IF(Tank5!$C$23="No control",(SUMIF(Tank5!$B$32:$B$49,$J1590,Tank5!$C$32:$C$49)*Impacts!$F$12),0)</f>
        <v>0</v>
      </c>
      <c r="Q1590" s="10">
        <f>IFERROR(IF(('Loading-drum,tote'!$C$21)="No control",SUMIF(('Loading-drum,tote'!$B$31:$B$48),$J1590,('Loading-drum,tote'!$D$31:$D$48))*Impacts!$F$13,IF(('Loading-drum,tote'!$C$21)&lt;&gt;"No control",SUMIF(('Loading-drum,tote'!$B$31:$B$48),$J1590,('Loading-drum,tote'!$E$31:$E$48))*Impacts!$F$13,0)),0)</f>
        <v>0</v>
      </c>
      <c r="R1590" s="10">
        <f>IFERROR(IF(('Loading-truck'!$C$21)="No control",SUMIF(('Loading-truck'!$B$31:$B$48),$J1590,('Loading-truck'!$D$31:$D$48))*Impacts!$F$14,IF(('Loading-truck'!$C$21)&lt;&gt;"No control",SUMIF(('Loading-truck'!$B$31:$B$48),$J1590,('Loading-truck'!$E$31:$E$48))*Impacts!$F$14,0)),0)</f>
        <v>0</v>
      </c>
      <c r="S1590" s="10">
        <f>IFERROR(IF(('Loading-rail'!$C$21)="No control",SUMIF(('Loading-rail'!$B$31:$B$48),$J1590,('Loading-rail'!$D$31:$D$48))*Impacts!$F$15,IF(('Loading-rail'!$C$21)&lt;&gt;"No control",SUMIF(('Loading-rail'!$B$31:$B$48),$J1590,('Loading-rail'!$E$31:$E$48))*Impacts!$F$15,0)),0)</f>
        <v>0</v>
      </c>
      <c r="T1590" s="10">
        <f>IF(Flare!$C$7="",0,(SUMIF(Flare!$B$46:$B$185,$J1590,Flare!$E$46:$E$185)*Impacts!$F$16))</f>
        <v>0</v>
      </c>
      <c r="U1590" s="10">
        <f>IF(VCU!$C$9="",0,(SUMIF(VCU!$B$51:$B$193,$J1590,VCU!$E$51:$E$193)*Impacts!$F$17))</f>
        <v>0</v>
      </c>
      <c r="V1590" s="10">
        <f>IF(CAS!$C$7="",0,(SUMIF(CAS!$B$31:$B$167,$J1590,CAS!$E$31:$E$167)*Impacts!$F$18))</f>
        <v>0</v>
      </c>
      <c r="W1590" s="10">
        <f t="shared" si="65"/>
        <v>0</v>
      </c>
      <c r="AK1590" s="10" t="str">
        <f t="array" ref="AK1590">IFERROR(INDEX(SelectedSpecies,SMALL(IF(SelectedSpecies=AK$1,ROW(SelectedSpecies)),ROW(1591:1591)),2),"")</f>
        <v/>
      </c>
      <c r="BE1590" s="10"/>
      <c r="BI1590" s="10"/>
    </row>
    <row r="1591" spans="1:61" ht="21" customHeight="1" x14ac:dyDescent="0.25">
      <c r="A1591" s="10"/>
      <c r="B1591" s="10"/>
      <c r="E1591" s="10"/>
      <c r="G1591" s="10"/>
      <c r="I1591" s="436" t="s">
        <v>6630</v>
      </c>
      <c r="J1591" s="26" t="s">
        <v>6629</v>
      </c>
      <c r="K1591" s="10">
        <v>0.60000000000000009</v>
      </c>
      <c r="L1591" s="73">
        <f>IF(Tank1!$C$23="No control",(SUMIF(Tank1!$B$32:$B$49,$J1591,Tank1!$C$32:$C$49)*Impacts!$F$8),0)</f>
        <v>0</v>
      </c>
      <c r="M1591" s="10">
        <f>IF(Tank2!$C$23="No control",(SUMIF(Tank2!$B$32:$B$49,$J1591,Tank2!$C$32:$C$49)*Impacts!$F$9),0)</f>
        <v>0</v>
      </c>
      <c r="N1591" s="10">
        <f>IF(Tank3!$C$23="No control",(SUMIF(Tank3!$B$32:$B$49,$J1591,Tank3!$C$32:$C$49)*Impacts!$F$10),0)</f>
        <v>0</v>
      </c>
      <c r="O1591" s="10">
        <f>IF(Tank4!$C$23="No control",(SUMIF(Tank4!$B$32:$B$49,$J1591,Tank4!$C$32:$C$49)*Impacts!$F$11),0)</f>
        <v>0</v>
      </c>
      <c r="P1591" s="10">
        <f>IF(Tank5!$C$23="No control",(SUMIF(Tank5!$B$32:$B$49,$J1591,Tank5!$C$32:$C$49)*Impacts!$F$12),0)</f>
        <v>0</v>
      </c>
      <c r="Q1591" s="10">
        <f>IFERROR(IF(('Loading-drum,tote'!$C$21)="No control",SUMIF(('Loading-drum,tote'!$B$31:$B$48),$J1591,('Loading-drum,tote'!$D$31:$D$48))*Impacts!$F$13,IF(('Loading-drum,tote'!$C$21)&lt;&gt;"No control",SUMIF(('Loading-drum,tote'!$B$31:$B$48),$J1591,('Loading-drum,tote'!$E$31:$E$48))*Impacts!$F$13,0)),0)</f>
        <v>0</v>
      </c>
      <c r="R1591" s="10">
        <f>IFERROR(IF(('Loading-truck'!$C$21)="No control",SUMIF(('Loading-truck'!$B$31:$B$48),$J1591,('Loading-truck'!$D$31:$D$48))*Impacts!$F$14,IF(('Loading-truck'!$C$21)&lt;&gt;"No control",SUMIF(('Loading-truck'!$B$31:$B$48),$J1591,('Loading-truck'!$E$31:$E$48))*Impacts!$F$14,0)),0)</f>
        <v>0</v>
      </c>
      <c r="S1591" s="10">
        <f>IFERROR(IF(('Loading-rail'!$C$21)="No control",SUMIF(('Loading-rail'!$B$31:$B$48),$J1591,('Loading-rail'!$D$31:$D$48))*Impacts!$F$15,IF(('Loading-rail'!$C$21)&lt;&gt;"No control",SUMIF(('Loading-rail'!$B$31:$B$48),$J1591,('Loading-rail'!$E$31:$E$48))*Impacts!$F$15,0)),0)</f>
        <v>0</v>
      </c>
      <c r="T1591" s="10">
        <f>IF(Flare!$C$7="",0,(SUMIF(Flare!$B$46:$B$185,$J1591,Flare!$E$46:$E$185)*Impacts!$F$16))</f>
        <v>0</v>
      </c>
      <c r="U1591" s="10">
        <f>IF(VCU!$C$9="",0,(SUMIF(VCU!$B$51:$B$193,$J1591,VCU!$E$51:$E$193)*Impacts!$F$17))</f>
        <v>0</v>
      </c>
      <c r="V1591" s="10">
        <f>IF(CAS!$C$7="",0,(SUMIF(CAS!$B$31:$B$167,$J1591,CAS!$E$31:$E$167)*Impacts!$F$18))</f>
        <v>0</v>
      </c>
      <c r="W1591" s="10">
        <f t="shared" si="65"/>
        <v>0</v>
      </c>
      <c r="AK1591" s="10" t="str">
        <f t="array" ref="AK1591">IFERROR(INDEX(SelectedSpecies,SMALL(IF(SelectedSpecies=AK$1,ROW(SelectedSpecies)),ROW(1592:1592)),2),"")</f>
        <v/>
      </c>
      <c r="BE1591" s="10"/>
      <c r="BI1591" s="10"/>
    </row>
    <row r="1592" spans="1:61" ht="21" customHeight="1" x14ac:dyDescent="0.25">
      <c r="A1592" s="10"/>
      <c r="B1592" s="10"/>
      <c r="E1592" s="10"/>
      <c r="G1592" s="10"/>
      <c r="I1592" s="436" t="s">
        <v>3465</v>
      </c>
      <c r="J1592" s="26" t="s">
        <v>3464</v>
      </c>
      <c r="K1592" s="10">
        <v>9.7000000000000011</v>
      </c>
      <c r="L1592" s="73">
        <f>IF(Tank1!$C$23="No control",(SUMIF(Tank1!$B$32:$B$49,$J1592,Tank1!$C$32:$C$49)*Impacts!$F$8),0)</f>
        <v>0</v>
      </c>
      <c r="M1592" s="10">
        <f>IF(Tank2!$C$23="No control",(SUMIF(Tank2!$B$32:$B$49,$J1592,Tank2!$C$32:$C$49)*Impacts!$F$9),0)</f>
        <v>0</v>
      </c>
      <c r="N1592" s="10">
        <f>IF(Tank3!$C$23="No control",(SUMIF(Tank3!$B$32:$B$49,$J1592,Tank3!$C$32:$C$49)*Impacts!$F$10),0)</f>
        <v>0</v>
      </c>
      <c r="O1592" s="10">
        <f>IF(Tank4!$C$23="No control",(SUMIF(Tank4!$B$32:$B$49,$J1592,Tank4!$C$32:$C$49)*Impacts!$F$11),0)</f>
        <v>0</v>
      </c>
      <c r="P1592" s="10">
        <f>IF(Tank5!$C$23="No control",(SUMIF(Tank5!$B$32:$B$49,$J1592,Tank5!$C$32:$C$49)*Impacts!$F$12),0)</f>
        <v>0</v>
      </c>
      <c r="Q1592" s="10">
        <f>IFERROR(IF(('Loading-drum,tote'!$C$21)="No control",SUMIF(('Loading-drum,tote'!$B$31:$B$48),$J1592,('Loading-drum,tote'!$D$31:$D$48))*Impacts!$F$13,IF(('Loading-drum,tote'!$C$21)&lt;&gt;"No control",SUMIF(('Loading-drum,tote'!$B$31:$B$48),$J1592,('Loading-drum,tote'!$E$31:$E$48))*Impacts!$F$13,0)),0)</f>
        <v>0</v>
      </c>
      <c r="R1592" s="10">
        <f>IFERROR(IF(('Loading-truck'!$C$21)="No control",SUMIF(('Loading-truck'!$B$31:$B$48),$J1592,('Loading-truck'!$D$31:$D$48))*Impacts!$F$14,IF(('Loading-truck'!$C$21)&lt;&gt;"No control",SUMIF(('Loading-truck'!$B$31:$B$48),$J1592,('Loading-truck'!$E$31:$E$48))*Impacts!$F$14,0)),0)</f>
        <v>0</v>
      </c>
      <c r="S1592" s="10">
        <f>IFERROR(IF(('Loading-rail'!$C$21)="No control",SUMIF(('Loading-rail'!$B$31:$B$48),$J1592,('Loading-rail'!$D$31:$D$48))*Impacts!$F$15,IF(('Loading-rail'!$C$21)&lt;&gt;"No control",SUMIF(('Loading-rail'!$B$31:$B$48),$J1592,('Loading-rail'!$E$31:$E$48))*Impacts!$F$15,0)),0)</f>
        <v>0</v>
      </c>
      <c r="T1592" s="10">
        <f>IF(Flare!$C$7="",0,(SUMIF(Flare!$B$46:$B$185,$J1592,Flare!$E$46:$E$185)*Impacts!$F$16))</f>
        <v>0</v>
      </c>
      <c r="U1592" s="10">
        <f>IF(VCU!$C$9="",0,(SUMIF(VCU!$B$51:$B$193,$J1592,VCU!$E$51:$E$193)*Impacts!$F$17))</f>
        <v>0</v>
      </c>
      <c r="V1592" s="10">
        <f>IF(CAS!$C$7="",0,(SUMIF(CAS!$B$31:$B$167,$J1592,CAS!$E$31:$E$167)*Impacts!$F$18))</f>
        <v>0</v>
      </c>
      <c r="W1592" s="10">
        <f t="shared" si="65"/>
        <v>0</v>
      </c>
      <c r="AK1592" s="10" t="str">
        <f t="array" ref="AK1592">IFERROR(INDEX(SelectedSpecies,SMALL(IF(SelectedSpecies=AK$1,ROW(SelectedSpecies)),ROW(1593:1593)),2),"")</f>
        <v/>
      </c>
      <c r="BE1592" s="10"/>
      <c r="BI1592" s="10"/>
    </row>
    <row r="1593" spans="1:61" ht="21" customHeight="1" x14ac:dyDescent="0.25">
      <c r="A1593" s="10"/>
      <c r="B1593" s="10"/>
      <c r="E1593" s="10"/>
      <c r="G1593" s="10"/>
      <c r="I1593" s="436" t="s">
        <v>7490</v>
      </c>
      <c r="J1593" s="26" t="s">
        <v>7489</v>
      </c>
      <c r="K1593" s="10">
        <v>0.2</v>
      </c>
      <c r="L1593" s="73">
        <f>IF(Tank1!$C$23="No control",(SUMIF(Tank1!$B$32:$B$49,$J1593,Tank1!$C$32:$C$49)*Impacts!$F$8),0)</f>
        <v>0</v>
      </c>
      <c r="M1593" s="10">
        <f>IF(Tank2!$C$23="No control",(SUMIF(Tank2!$B$32:$B$49,$J1593,Tank2!$C$32:$C$49)*Impacts!$F$9),0)</f>
        <v>0</v>
      </c>
      <c r="N1593" s="10">
        <f>IF(Tank3!$C$23="No control",(SUMIF(Tank3!$B$32:$B$49,$J1593,Tank3!$C$32:$C$49)*Impacts!$F$10),0)</f>
        <v>0</v>
      </c>
      <c r="O1593" s="10">
        <f>IF(Tank4!$C$23="No control",(SUMIF(Tank4!$B$32:$B$49,$J1593,Tank4!$C$32:$C$49)*Impacts!$F$11),0)</f>
        <v>0</v>
      </c>
      <c r="P1593" s="10">
        <f>IF(Tank5!$C$23="No control",(SUMIF(Tank5!$B$32:$B$49,$J1593,Tank5!$C$32:$C$49)*Impacts!$F$12),0)</f>
        <v>0</v>
      </c>
      <c r="Q1593" s="10">
        <f>IFERROR(IF(('Loading-drum,tote'!$C$21)="No control",SUMIF(('Loading-drum,tote'!$B$31:$B$48),$J1593,('Loading-drum,tote'!$D$31:$D$48))*Impacts!$F$13,IF(('Loading-drum,tote'!$C$21)&lt;&gt;"No control",SUMIF(('Loading-drum,tote'!$B$31:$B$48),$J1593,('Loading-drum,tote'!$E$31:$E$48))*Impacts!$F$13,0)),0)</f>
        <v>0</v>
      </c>
      <c r="R1593" s="10">
        <f>IFERROR(IF(('Loading-truck'!$C$21)="No control",SUMIF(('Loading-truck'!$B$31:$B$48),$J1593,('Loading-truck'!$D$31:$D$48))*Impacts!$F$14,IF(('Loading-truck'!$C$21)&lt;&gt;"No control",SUMIF(('Loading-truck'!$B$31:$B$48),$J1593,('Loading-truck'!$E$31:$E$48))*Impacts!$F$14,0)),0)</f>
        <v>0</v>
      </c>
      <c r="S1593" s="10">
        <f>IFERROR(IF(('Loading-rail'!$C$21)="No control",SUMIF(('Loading-rail'!$B$31:$B$48),$J1593,('Loading-rail'!$D$31:$D$48))*Impacts!$F$15,IF(('Loading-rail'!$C$21)&lt;&gt;"No control",SUMIF(('Loading-rail'!$B$31:$B$48),$J1593,('Loading-rail'!$E$31:$E$48))*Impacts!$F$15,0)),0)</f>
        <v>0</v>
      </c>
      <c r="T1593" s="10">
        <f>IF(Flare!$C$7="",0,(SUMIF(Flare!$B$46:$B$185,$J1593,Flare!$E$46:$E$185)*Impacts!$F$16))</f>
        <v>0</v>
      </c>
      <c r="U1593" s="10">
        <f>IF(VCU!$C$9="",0,(SUMIF(VCU!$B$51:$B$193,$J1593,VCU!$E$51:$E$193)*Impacts!$F$17))</f>
        <v>0</v>
      </c>
      <c r="V1593" s="10">
        <f>IF(CAS!$C$7="",0,(SUMIF(CAS!$B$31:$B$167,$J1593,CAS!$E$31:$E$167)*Impacts!$F$18))</f>
        <v>0</v>
      </c>
      <c r="W1593" s="10">
        <f t="shared" si="65"/>
        <v>0</v>
      </c>
      <c r="AK1593" s="10" t="str">
        <f t="array" ref="AK1593">IFERROR(INDEX(SelectedSpecies,SMALL(IF(SelectedSpecies=AK$1,ROW(SelectedSpecies)),ROW(1594:1594)),2),"")</f>
        <v/>
      </c>
      <c r="BE1593" s="10"/>
      <c r="BI1593" s="10"/>
    </row>
    <row r="1594" spans="1:61" ht="21" customHeight="1" x14ac:dyDescent="0.25">
      <c r="A1594" s="10"/>
      <c r="B1594" s="10"/>
      <c r="E1594" s="10"/>
      <c r="G1594" s="10"/>
      <c r="I1594" s="436" t="s">
        <v>6824</v>
      </c>
      <c r="J1594" s="26" t="s">
        <v>6823</v>
      </c>
      <c r="K1594" s="10">
        <v>0.5</v>
      </c>
      <c r="L1594" s="73">
        <f>IF(Tank1!$C$23="No control",(SUMIF(Tank1!$B$32:$B$49,$J1594,Tank1!$C$32:$C$49)*Impacts!$F$8),0)</f>
        <v>0</v>
      </c>
      <c r="M1594" s="10">
        <f>IF(Tank2!$C$23="No control",(SUMIF(Tank2!$B$32:$B$49,$J1594,Tank2!$C$32:$C$49)*Impacts!$F$9),0)</f>
        <v>0</v>
      </c>
      <c r="N1594" s="10">
        <f>IF(Tank3!$C$23="No control",(SUMIF(Tank3!$B$32:$B$49,$J1594,Tank3!$C$32:$C$49)*Impacts!$F$10),0)</f>
        <v>0</v>
      </c>
      <c r="O1594" s="10">
        <f>IF(Tank4!$C$23="No control",(SUMIF(Tank4!$B$32:$B$49,$J1594,Tank4!$C$32:$C$49)*Impacts!$F$11),0)</f>
        <v>0</v>
      </c>
      <c r="P1594" s="10">
        <f>IF(Tank5!$C$23="No control",(SUMIF(Tank5!$B$32:$B$49,$J1594,Tank5!$C$32:$C$49)*Impacts!$F$12),0)</f>
        <v>0</v>
      </c>
      <c r="Q1594" s="10">
        <f>IFERROR(IF(('Loading-drum,tote'!$C$21)="No control",SUMIF(('Loading-drum,tote'!$B$31:$B$48),$J1594,('Loading-drum,tote'!$D$31:$D$48))*Impacts!$F$13,IF(('Loading-drum,tote'!$C$21)&lt;&gt;"No control",SUMIF(('Loading-drum,tote'!$B$31:$B$48),$J1594,('Loading-drum,tote'!$E$31:$E$48))*Impacts!$F$13,0)),0)</f>
        <v>0</v>
      </c>
      <c r="R1594" s="10">
        <f>IFERROR(IF(('Loading-truck'!$C$21)="No control",SUMIF(('Loading-truck'!$B$31:$B$48),$J1594,('Loading-truck'!$D$31:$D$48))*Impacts!$F$14,IF(('Loading-truck'!$C$21)&lt;&gt;"No control",SUMIF(('Loading-truck'!$B$31:$B$48),$J1594,('Loading-truck'!$E$31:$E$48))*Impacts!$F$14,0)),0)</f>
        <v>0</v>
      </c>
      <c r="S1594" s="10">
        <f>IFERROR(IF(('Loading-rail'!$C$21)="No control",SUMIF(('Loading-rail'!$B$31:$B$48),$J1594,('Loading-rail'!$D$31:$D$48))*Impacts!$F$15,IF(('Loading-rail'!$C$21)&lt;&gt;"No control",SUMIF(('Loading-rail'!$B$31:$B$48),$J1594,('Loading-rail'!$E$31:$E$48))*Impacts!$F$15,0)),0)</f>
        <v>0</v>
      </c>
      <c r="T1594" s="10">
        <f>IF(Flare!$C$7="",0,(SUMIF(Flare!$B$46:$B$185,$J1594,Flare!$E$46:$E$185)*Impacts!$F$16))</f>
        <v>0</v>
      </c>
      <c r="U1594" s="10">
        <f>IF(VCU!$C$9="",0,(SUMIF(VCU!$B$51:$B$193,$J1594,VCU!$E$51:$E$193)*Impacts!$F$17))</f>
        <v>0</v>
      </c>
      <c r="V1594" s="10">
        <f>IF(CAS!$C$7="",0,(SUMIF(CAS!$B$31:$B$167,$J1594,CAS!$E$31:$E$167)*Impacts!$F$18))</f>
        <v>0</v>
      </c>
      <c r="W1594" s="10">
        <f t="shared" si="65"/>
        <v>0</v>
      </c>
      <c r="AK1594" s="10" t="str">
        <f t="array" ref="AK1594">IFERROR(INDEX(SelectedSpecies,SMALL(IF(SelectedSpecies=AK$1,ROW(SelectedSpecies)),ROW(1595:1595)),2),"")</f>
        <v/>
      </c>
      <c r="BE1594" s="10"/>
      <c r="BI1594" s="10"/>
    </row>
    <row r="1595" spans="1:61" ht="21" customHeight="1" x14ac:dyDescent="0.25">
      <c r="A1595" s="10"/>
      <c r="B1595" s="10"/>
      <c r="E1595" s="10"/>
      <c r="G1595" s="10"/>
      <c r="I1595" s="436" t="s">
        <v>6576</v>
      </c>
      <c r="J1595" s="26" t="s">
        <v>6575</v>
      </c>
      <c r="K1595" s="10">
        <v>0.66</v>
      </c>
      <c r="L1595" s="73">
        <f>IF(Tank1!$C$23="No control",(SUMIF(Tank1!$B$32:$B$49,$J1595,Tank1!$C$32:$C$49)*Impacts!$F$8),0)</f>
        <v>0</v>
      </c>
      <c r="M1595" s="10">
        <f>IF(Tank2!$C$23="No control",(SUMIF(Tank2!$B$32:$B$49,$J1595,Tank2!$C$32:$C$49)*Impacts!$F$9),0)</f>
        <v>0</v>
      </c>
      <c r="N1595" s="10">
        <f>IF(Tank3!$C$23="No control",(SUMIF(Tank3!$B$32:$B$49,$J1595,Tank3!$C$32:$C$49)*Impacts!$F$10),0)</f>
        <v>0</v>
      </c>
      <c r="O1595" s="10">
        <f>IF(Tank4!$C$23="No control",(SUMIF(Tank4!$B$32:$B$49,$J1595,Tank4!$C$32:$C$49)*Impacts!$F$11),0)</f>
        <v>0</v>
      </c>
      <c r="P1595" s="10">
        <f>IF(Tank5!$C$23="No control",(SUMIF(Tank5!$B$32:$B$49,$J1595,Tank5!$C$32:$C$49)*Impacts!$F$12),0)</f>
        <v>0</v>
      </c>
      <c r="Q1595" s="10">
        <f>IFERROR(IF(('Loading-drum,tote'!$C$21)="No control",SUMIF(('Loading-drum,tote'!$B$31:$B$48),$J1595,('Loading-drum,tote'!$D$31:$D$48))*Impacts!$F$13,IF(('Loading-drum,tote'!$C$21)&lt;&gt;"No control",SUMIF(('Loading-drum,tote'!$B$31:$B$48),$J1595,('Loading-drum,tote'!$E$31:$E$48))*Impacts!$F$13,0)),0)</f>
        <v>0</v>
      </c>
      <c r="R1595" s="10">
        <f>IFERROR(IF(('Loading-truck'!$C$21)="No control",SUMIF(('Loading-truck'!$B$31:$B$48),$J1595,('Loading-truck'!$D$31:$D$48))*Impacts!$F$14,IF(('Loading-truck'!$C$21)&lt;&gt;"No control",SUMIF(('Loading-truck'!$B$31:$B$48),$J1595,('Loading-truck'!$E$31:$E$48))*Impacts!$F$14,0)),0)</f>
        <v>0</v>
      </c>
      <c r="S1595" s="10">
        <f>IFERROR(IF(('Loading-rail'!$C$21)="No control",SUMIF(('Loading-rail'!$B$31:$B$48),$J1595,('Loading-rail'!$D$31:$D$48))*Impacts!$F$15,IF(('Loading-rail'!$C$21)&lt;&gt;"No control",SUMIF(('Loading-rail'!$B$31:$B$48),$J1595,('Loading-rail'!$E$31:$E$48))*Impacts!$F$15,0)),0)</f>
        <v>0</v>
      </c>
      <c r="T1595" s="10">
        <f>IF(Flare!$C$7="",0,(SUMIF(Flare!$B$46:$B$185,$J1595,Flare!$E$46:$E$185)*Impacts!$F$16))</f>
        <v>0</v>
      </c>
      <c r="U1595" s="10">
        <f>IF(VCU!$C$9="",0,(SUMIF(VCU!$B$51:$B$193,$J1595,VCU!$E$51:$E$193)*Impacts!$F$17))</f>
        <v>0</v>
      </c>
      <c r="V1595" s="10">
        <f>IF(CAS!$C$7="",0,(SUMIF(CAS!$B$31:$B$167,$J1595,CAS!$E$31:$E$167)*Impacts!$F$18))</f>
        <v>0</v>
      </c>
      <c r="W1595" s="10">
        <f t="shared" si="65"/>
        <v>0</v>
      </c>
      <c r="AK1595" s="10" t="str">
        <f t="array" ref="AK1595">IFERROR(INDEX(SelectedSpecies,SMALL(IF(SelectedSpecies=AK$1,ROW(SelectedSpecies)),ROW(1596:1596)),2),"")</f>
        <v/>
      </c>
      <c r="BE1595" s="10"/>
      <c r="BI1595" s="10"/>
    </row>
    <row r="1596" spans="1:61" ht="21" customHeight="1" x14ac:dyDescent="0.25">
      <c r="A1596" s="10"/>
      <c r="B1596" s="10"/>
      <c r="E1596" s="10"/>
      <c r="G1596" s="10"/>
      <c r="I1596" s="436" t="s">
        <v>5872</v>
      </c>
      <c r="J1596" s="26" t="s">
        <v>5871</v>
      </c>
      <c r="K1596" s="10">
        <v>1</v>
      </c>
      <c r="L1596" s="73">
        <f>IF(Tank1!$C$23="No control",(SUMIF(Tank1!$B$32:$B$49,$J1596,Tank1!$C$32:$C$49)*Impacts!$F$8),0)</f>
        <v>0</v>
      </c>
      <c r="M1596" s="10">
        <f>IF(Tank2!$C$23="No control",(SUMIF(Tank2!$B$32:$B$49,$J1596,Tank2!$C$32:$C$49)*Impacts!$F$9),0)</f>
        <v>0</v>
      </c>
      <c r="N1596" s="10">
        <f>IF(Tank3!$C$23="No control",(SUMIF(Tank3!$B$32:$B$49,$J1596,Tank3!$C$32:$C$49)*Impacts!$F$10),0)</f>
        <v>0</v>
      </c>
      <c r="O1596" s="10">
        <f>IF(Tank4!$C$23="No control",(SUMIF(Tank4!$B$32:$B$49,$J1596,Tank4!$C$32:$C$49)*Impacts!$F$11),0)</f>
        <v>0</v>
      </c>
      <c r="P1596" s="10">
        <f>IF(Tank5!$C$23="No control",(SUMIF(Tank5!$B$32:$B$49,$J1596,Tank5!$C$32:$C$49)*Impacts!$F$12),0)</f>
        <v>0</v>
      </c>
      <c r="Q1596" s="10">
        <f>IFERROR(IF(('Loading-drum,tote'!$C$21)="No control",SUMIF(('Loading-drum,tote'!$B$31:$B$48),$J1596,('Loading-drum,tote'!$D$31:$D$48))*Impacts!$F$13,IF(('Loading-drum,tote'!$C$21)&lt;&gt;"No control",SUMIF(('Loading-drum,tote'!$B$31:$B$48),$J1596,('Loading-drum,tote'!$E$31:$E$48))*Impacts!$F$13,0)),0)</f>
        <v>0</v>
      </c>
      <c r="R1596" s="10">
        <f>IFERROR(IF(('Loading-truck'!$C$21)="No control",SUMIF(('Loading-truck'!$B$31:$B$48),$J1596,('Loading-truck'!$D$31:$D$48))*Impacts!$F$14,IF(('Loading-truck'!$C$21)&lt;&gt;"No control",SUMIF(('Loading-truck'!$B$31:$B$48),$J1596,('Loading-truck'!$E$31:$E$48))*Impacts!$F$14,0)),0)</f>
        <v>0</v>
      </c>
      <c r="S1596" s="10">
        <f>IFERROR(IF(('Loading-rail'!$C$21)="No control",SUMIF(('Loading-rail'!$B$31:$B$48),$J1596,('Loading-rail'!$D$31:$D$48))*Impacts!$F$15,IF(('Loading-rail'!$C$21)&lt;&gt;"No control",SUMIF(('Loading-rail'!$B$31:$B$48),$J1596,('Loading-rail'!$E$31:$E$48))*Impacts!$F$15,0)),0)</f>
        <v>0</v>
      </c>
      <c r="T1596" s="10">
        <f>IF(Flare!$C$7="",0,(SUMIF(Flare!$B$46:$B$185,$J1596,Flare!$E$46:$E$185)*Impacts!$F$16))</f>
        <v>0</v>
      </c>
      <c r="U1596" s="10">
        <f>IF(VCU!$C$9="",0,(SUMIF(VCU!$B$51:$B$193,$J1596,VCU!$E$51:$E$193)*Impacts!$F$17))</f>
        <v>0</v>
      </c>
      <c r="V1596" s="10">
        <f>IF(CAS!$C$7="",0,(SUMIF(CAS!$B$31:$B$167,$J1596,CAS!$E$31:$E$167)*Impacts!$F$18))</f>
        <v>0</v>
      </c>
      <c r="W1596" s="10">
        <f t="shared" si="65"/>
        <v>0</v>
      </c>
      <c r="AK1596" s="10" t="str">
        <f t="array" ref="AK1596">IFERROR(INDEX(SelectedSpecies,SMALL(IF(SelectedSpecies=AK$1,ROW(SelectedSpecies)),ROW(1597:1597)),2),"")</f>
        <v/>
      </c>
      <c r="BE1596" s="10"/>
      <c r="BI1596" s="10"/>
    </row>
    <row r="1597" spans="1:61" ht="21" customHeight="1" x14ac:dyDescent="0.25">
      <c r="A1597" s="10"/>
      <c r="B1597" s="10"/>
      <c r="E1597" s="10"/>
      <c r="G1597" s="10"/>
      <c r="I1597" s="436" t="s">
        <v>3527</v>
      </c>
      <c r="J1597" s="26" t="s">
        <v>3526</v>
      </c>
      <c r="K1597" s="10">
        <v>8.6</v>
      </c>
      <c r="L1597" s="73">
        <f>IF(Tank1!$C$23="No control",(SUMIF(Tank1!$B$32:$B$49,$J1597,Tank1!$C$32:$C$49)*Impacts!$F$8),0)</f>
        <v>0</v>
      </c>
      <c r="M1597" s="10">
        <f>IF(Tank2!$C$23="No control",(SUMIF(Tank2!$B$32:$B$49,$J1597,Tank2!$C$32:$C$49)*Impacts!$F$9),0)</f>
        <v>0</v>
      </c>
      <c r="N1597" s="10">
        <f>IF(Tank3!$C$23="No control",(SUMIF(Tank3!$B$32:$B$49,$J1597,Tank3!$C$32:$C$49)*Impacts!$F$10),0)</f>
        <v>0</v>
      </c>
      <c r="O1597" s="10">
        <f>IF(Tank4!$C$23="No control",(SUMIF(Tank4!$B$32:$B$49,$J1597,Tank4!$C$32:$C$49)*Impacts!$F$11),0)</f>
        <v>0</v>
      </c>
      <c r="P1597" s="10">
        <f>IF(Tank5!$C$23="No control",(SUMIF(Tank5!$B$32:$B$49,$J1597,Tank5!$C$32:$C$49)*Impacts!$F$12),0)</f>
        <v>0</v>
      </c>
      <c r="Q1597" s="10">
        <f>IFERROR(IF(('Loading-drum,tote'!$C$21)="No control",SUMIF(('Loading-drum,tote'!$B$31:$B$48),$J1597,('Loading-drum,tote'!$D$31:$D$48))*Impacts!$F$13,IF(('Loading-drum,tote'!$C$21)&lt;&gt;"No control",SUMIF(('Loading-drum,tote'!$B$31:$B$48),$J1597,('Loading-drum,tote'!$E$31:$E$48))*Impacts!$F$13,0)),0)</f>
        <v>0</v>
      </c>
      <c r="R1597" s="10">
        <f>IFERROR(IF(('Loading-truck'!$C$21)="No control",SUMIF(('Loading-truck'!$B$31:$B$48),$J1597,('Loading-truck'!$D$31:$D$48))*Impacts!$F$14,IF(('Loading-truck'!$C$21)&lt;&gt;"No control",SUMIF(('Loading-truck'!$B$31:$B$48),$J1597,('Loading-truck'!$E$31:$E$48))*Impacts!$F$14,0)),0)</f>
        <v>0</v>
      </c>
      <c r="S1597" s="10">
        <f>IFERROR(IF(('Loading-rail'!$C$21)="No control",SUMIF(('Loading-rail'!$B$31:$B$48),$J1597,('Loading-rail'!$D$31:$D$48))*Impacts!$F$15,IF(('Loading-rail'!$C$21)&lt;&gt;"No control",SUMIF(('Loading-rail'!$B$31:$B$48),$J1597,('Loading-rail'!$E$31:$E$48))*Impacts!$F$15,0)),0)</f>
        <v>0</v>
      </c>
      <c r="T1597" s="10">
        <f>IF(Flare!$C$7="",0,(SUMIF(Flare!$B$46:$B$185,$J1597,Flare!$E$46:$E$185)*Impacts!$F$16))</f>
        <v>0</v>
      </c>
      <c r="U1597" s="10">
        <f>IF(VCU!$C$9="",0,(SUMIF(VCU!$B$51:$B$193,$J1597,VCU!$E$51:$E$193)*Impacts!$F$17))</f>
        <v>0</v>
      </c>
      <c r="V1597" s="10">
        <f>IF(CAS!$C$7="",0,(SUMIF(CAS!$B$31:$B$167,$J1597,CAS!$E$31:$E$167)*Impacts!$F$18))</f>
        <v>0</v>
      </c>
      <c r="W1597" s="10">
        <f t="shared" si="65"/>
        <v>0</v>
      </c>
      <c r="AK1597" s="10" t="str">
        <f t="array" ref="AK1597">IFERROR(INDEX(SelectedSpecies,SMALL(IF(SelectedSpecies=AK$1,ROW(SelectedSpecies)),ROW(1598:1598)),2),"")</f>
        <v/>
      </c>
      <c r="BE1597" s="10"/>
      <c r="BI1597" s="10"/>
    </row>
    <row r="1598" spans="1:61" ht="21" customHeight="1" x14ac:dyDescent="0.25">
      <c r="A1598" s="10"/>
      <c r="B1598" s="10"/>
      <c r="E1598" s="10"/>
      <c r="G1598" s="10"/>
      <c r="I1598" s="436" t="s">
        <v>2311</v>
      </c>
      <c r="J1598" s="26" t="s">
        <v>2310</v>
      </c>
      <c r="K1598" s="10">
        <v>12</v>
      </c>
      <c r="L1598" s="73">
        <f>IF(Tank1!$C$23="No control",(SUMIF(Tank1!$B$32:$B$49,$J1598,Tank1!$C$32:$C$49)*Impacts!$F$8),0)</f>
        <v>0</v>
      </c>
      <c r="M1598" s="10">
        <f>IF(Tank2!$C$23="No control",(SUMIF(Tank2!$B$32:$B$49,$J1598,Tank2!$C$32:$C$49)*Impacts!$F$9),0)</f>
        <v>0</v>
      </c>
      <c r="N1598" s="10">
        <f>IF(Tank3!$C$23="No control",(SUMIF(Tank3!$B$32:$B$49,$J1598,Tank3!$C$32:$C$49)*Impacts!$F$10),0)</f>
        <v>0</v>
      </c>
      <c r="O1598" s="10">
        <f>IF(Tank4!$C$23="No control",(SUMIF(Tank4!$B$32:$B$49,$J1598,Tank4!$C$32:$C$49)*Impacts!$F$11),0)</f>
        <v>0</v>
      </c>
      <c r="P1598" s="10">
        <f>IF(Tank5!$C$23="No control",(SUMIF(Tank5!$B$32:$B$49,$J1598,Tank5!$C$32:$C$49)*Impacts!$F$12),0)</f>
        <v>0</v>
      </c>
      <c r="Q1598" s="10">
        <f>IFERROR(IF(('Loading-drum,tote'!$C$21)="No control",SUMIF(('Loading-drum,tote'!$B$31:$B$48),$J1598,('Loading-drum,tote'!$D$31:$D$48))*Impacts!$F$13,IF(('Loading-drum,tote'!$C$21)&lt;&gt;"No control",SUMIF(('Loading-drum,tote'!$B$31:$B$48),$J1598,('Loading-drum,tote'!$E$31:$E$48))*Impacts!$F$13,0)),0)</f>
        <v>0</v>
      </c>
      <c r="R1598" s="10">
        <f>IFERROR(IF(('Loading-truck'!$C$21)="No control",SUMIF(('Loading-truck'!$B$31:$B$48),$J1598,('Loading-truck'!$D$31:$D$48))*Impacts!$F$14,IF(('Loading-truck'!$C$21)&lt;&gt;"No control",SUMIF(('Loading-truck'!$B$31:$B$48),$J1598,('Loading-truck'!$E$31:$E$48))*Impacts!$F$14,0)),0)</f>
        <v>0</v>
      </c>
      <c r="S1598" s="10">
        <f>IFERROR(IF(('Loading-rail'!$C$21)="No control",SUMIF(('Loading-rail'!$B$31:$B$48),$J1598,('Loading-rail'!$D$31:$D$48))*Impacts!$F$15,IF(('Loading-rail'!$C$21)&lt;&gt;"No control",SUMIF(('Loading-rail'!$B$31:$B$48),$J1598,('Loading-rail'!$E$31:$E$48))*Impacts!$F$15,0)),0)</f>
        <v>0</v>
      </c>
      <c r="T1598" s="10">
        <f>IF(Flare!$C$7="",0,(SUMIF(Flare!$B$46:$B$185,$J1598,Flare!$E$46:$E$185)*Impacts!$F$16))</f>
        <v>0</v>
      </c>
      <c r="U1598" s="10">
        <f>IF(VCU!$C$9="",0,(SUMIF(VCU!$B$51:$B$193,$J1598,VCU!$E$51:$E$193)*Impacts!$F$17))</f>
        <v>0</v>
      </c>
      <c r="V1598" s="10">
        <f>IF(CAS!$C$7="",0,(SUMIF(CAS!$B$31:$B$167,$J1598,CAS!$E$31:$E$167)*Impacts!$F$18))</f>
        <v>0</v>
      </c>
      <c r="W1598" s="10">
        <f t="shared" si="65"/>
        <v>0</v>
      </c>
      <c r="AK1598" s="10" t="str">
        <f t="array" ref="AK1598">IFERROR(INDEX(SelectedSpecies,SMALL(IF(SelectedSpecies=AK$1,ROW(SelectedSpecies)),ROW(1599:1599)),2),"")</f>
        <v/>
      </c>
      <c r="BE1598" s="10"/>
      <c r="BI1598" s="10"/>
    </row>
    <row r="1599" spans="1:61" ht="21" customHeight="1" x14ac:dyDescent="0.25">
      <c r="A1599" s="10"/>
      <c r="B1599" s="10"/>
      <c r="E1599" s="10"/>
      <c r="G1599" s="10"/>
      <c r="I1599" s="436" t="s">
        <v>1488</v>
      </c>
      <c r="J1599" s="26" t="s">
        <v>1487</v>
      </c>
      <c r="K1599" s="10">
        <v>29</v>
      </c>
      <c r="L1599" s="73">
        <f>IF(Tank1!$C$23="No control",(SUMIF(Tank1!$B$32:$B$49,$J1599,Tank1!$C$32:$C$49)*Impacts!$F$8),0)</f>
        <v>0</v>
      </c>
      <c r="M1599" s="10">
        <f>IF(Tank2!$C$23="No control",(SUMIF(Tank2!$B$32:$B$49,$J1599,Tank2!$C$32:$C$49)*Impacts!$F$9),0)</f>
        <v>0</v>
      </c>
      <c r="N1599" s="10">
        <f>IF(Tank3!$C$23="No control",(SUMIF(Tank3!$B$32:$B$49,$J1599,Tank3!$C$32:$C$49)*Impacts!$F$10),0)</f>
        <v>0</v>
      </c>
      <c r="O1599" s="10">
        <f>IF(Tank4!$C$23="No control",(SUMIF(Tank4!$B$32:$B$49,$J1599,Tank4!$C$32:$C$49)*Impacts!$F$11),0)</f>
        <v>0</v>
      </c>
      <c r="P1599" s="10">
        <f>IF(Tank5!$C$23="No control",(SUMIF(Tank5!$B$32:$B$49,$J1599,Tank5!$C$32:$C$49)*Impacts!$F$12),0)</f>
        <v>0</v>
      </c>
      <c r="Q1599" s="10">
        <f>IFERROR(IF(('Loading-drum,tote'!$C$21)="No control",SUMIF(('Loading-drum,tote'!$B$31:$B$48),$J1599,('Loading-drum,tote'!$D$31:$D$48))*Impacts!$F$13,IF(('Loading-drum,tote'!$C$21)&lt;&gt;"No control",SUMIF(('Loading-drum,tote'!$B$31:$B$48),$J1599,('Loading-drum,tote'!$E$31:$E$48))*Impacts!$F$13,0)),0)</f>
        <v>0</v>
      </c>
      <c r="R1599" s="10">
        <f>IFERROR(IF(('Loading-truck'!$C$21)="No control",SUMIF(('Loading-truck'!$B$31:$B$48),$J1599,('Loading-truck'!$D$31:$D$48))*Impacts!$F$14,IF(('Loading-truck'!$C$21)&lt;&gt;"No control",SUMIF(('Loading-truck'!$B$31:$B$48),$J1599,('Loading-truck'!$E$31:$E$48))*Impacts!$F$14,0)),0)</f>
        <v>0</v>
      </c>
      <c r="S1599" s="10">
        <f>IFERROR(IF(('Loading-rail'!$C$21)="No control",SUMIF(('Loading-rail'!$B$31:$B$48),$J1599,('Loading-rail'!$D$31:$D$48))*Impacts!$F$15,IF(('Loading-rail'!$C$21)&lt;&gt;"No control",SUMIF(('Loading-rail'!$B$31:$B$48),$J1599,('Loading-rail'!$E$31:$E$48))*Impacts!$F$15,0)),0)</f>
        <v>0</v>
      </c>
      <c r="T1599" s="10">
        <f>IF(Flare!$C$7="",0,(SUMIF(Flare!$B$46:$B$185,$J1599,Flare!$E$46:$E$185)*Impacts!$F$16))</f>
        <v>0</v>
      </c>
      <c r="U1599" s="10">
        <f>IF(VCU!$C$9="",0,(SUMIF(VCU!$B$51:$B$193,$J1599,VCU!$E$51:$E$193)*Impacts!$F$17))</f>
        <v>0</v>
      </c>
      <c r="V1599" s="10">
        <f>IF(CAS!$C$7="",0,(SUMIF(CAS!$B$31:$B$167,$J1599,CAS!$E$31:$E$167)*Impacts!$F$18))</f>
        <v>0</v>
      </c>
      <c r="W1599" s="10">
        <f t="shared" si="65"/>
        <v>0</v>
      </c>
      <c r="AK1599" s="10" t="str">
        <f t="array" ref="AK1599">IFERROR(INDEX(SelectedSpecies,SMALL(IF(SelectedSpecies=AK$1,ROW(SelectedSpecies)),ROW(1600:1600)),2),"")</f>
        <v/>
      </c>
      <c r="BE1599" s="10"/>
      <c r="BI1599" s="10"/>
    </row>
    <row r="1600" spans="1:61" ht="21" customHeight="1" x14ac:dyDescent="0.25">
      <c r="A1600" s="10"/>
      <c r="B1600" s="10"/>
      <c r="E1600" s="10"/>
      <c r="G1600" s="10"/>
      <c r="I1600" s="436" t="s">
        <v>1843</v>
      </c>
      <c r="J1600" s="26" t="s">
        <v>1842</v>
      </c>
      <c r="K1600" s="10">
        <v>20</v>
      </c>
      <c r="L1600" s="73">
        <f>IF(Tank1!$C$23="No control",(SUMIF(Tank1!$B$32:$B$49,$J1600,Tank1!$C$32:$C$49)*Impacts!$F$8),0)</f>
        <v>0</v>
      </c>
      <c r="M1600" s="10">
        <f>IF(Tank2!$C$23="No control",(SUMIF(Tank2!$B$32:$B$49,$J1600,Tank2!$C$32:$C$49)*Impacts!$F$9),0)</f>
        <v>0</v>
      </c>
      <c r="N1600" s="10">
        <f>IF(Tank3!$C$23="No control",(SUMIF(Tank3!$B$32:$B$49,$J1600,Tank3!$C$32:$C$49)*Impacts!$F$10),0)</f>
        <v>0</v>
      </c>
      <c r="O1600" s="10">
        <f>IF(Tank4!$C$23="No control",(SUMIF(Tank4!$B$32:$B$49,$J1600,Tank4!$C$32:$C$49)*Impacts!$F$11),0)</f>
        <v>0</v>
      </c>
      <c r="P1600" s="10">
        <f>IF(Tank5!$C$23="No control",(SUMIF(Tank5!$B$32:$B$49,$J1600,Tank5!$C$32:$C$49)*Impacts!$F$12),0)</f>
        <v>0</v>
      </c>
      <c r="Q1600" s="10">
        <f>IFERROR(IF(('Loading-drum,tote'!$C$21)="No control",SUMIF(('Loading-drum,tote'!$B$31:$B$48),$J1600,('Loading-drum,tote'!$D$31:$D$48))*Impacts!$F$13,IF(('Loading-drum,tote'!$C$21)&lt;&gt;"No control",SUMIF(('Loading-drum,tote'!$B$31:$B$48),$J1600,('Loading-drum,tote'!$E$31:$E$48))*Impacts!$F$13,0)),0)</f>
        <v>0</v>
      </c>
      <c r="R1600" s="10">
        <f>IFERROR(IF(('Loading-truck'!$C$21)="No control",SUMIF(('Loading-truck'!$B$31:$B$48),$J1600,('Loading-truck'!$D$31:$D$48))*Impacts!$F$14,IF(('Loading-truck'!$C$21)&lt;&gt;"No control",SUMIF(('Loading-truck'!$B$31:$B$48),$J1600,('Loading-truck'!$E$31:$E$48))*Impacts!$F$14,0)),0)</f>
        <v>0</v>
      </c>
      <c r="S1600" s="10">
        <f>IFERROR(IF(('Loading-rail'!$C$21)="No control",SUMIF(('Loading-rail'!$B$31:$B$48),$J1600,('Loading-rail'!$D$31:$D$48))*Impacts!$F$15,IF(('Loading-rail'!$C$21)&lt;&gt;"No control",SUMIF(('Loading-rail'!$B$31:$B$48),$J1600,('Loading-rail'!$E$31:$E$48))*Impacts!$F$15,0)),0)</f>
        <v>0</v>
      </c>
      <c r="T1600" s="10">
        <f>IF(Flare!$C$7="",0,(SUMIF(Flare!$B$46:$B$185,$J1600,Flare!$E$46:$E$185)*Impacts!$F$16))</f>
        <v>0</v>
      </c>
      <c r="U1600" s="10">
        <f>IF(VCU!$C$9="",0,(SUMIF(VCU!$B$51:$B$193,$J1600,VCU!$E$51:$E$193)*Impacts!$F$17))</f>
        <v>0</v>
      </c>
      <c r="V1600" s="10">
        <f>IF(CAS!$C$7="",0,(SUMIF(CAS!$B$31:$B$167,$J1600,CAS!$E$31:$E$167)*Impacts!$F$18))</f>
        <v>0</v>
      </c>
      <c r="W1600" s="10">
        <f t="shared" si="65"/>
        <v>0</v>
      </c>
      <c r="AK1600" s="10" t="str">
        <f t="array" ref="AK1600">IFERROR(INDEX(SelectedSpecies,SMALL(IF(SelectedSpecies=AK$1,ROW(SelectedSpecies)),ROW(1601:1601)),2),"")</f>
        <v/>
      </c>
      <c r="BE1600" s="10"/>
      <c r="BI1600" s="10"/>
    </row>
    <row r="1601" spans="1:61" ht="21" customHeight="1" x14ac:dyDescent="0.25">
      <c r="A1601" s="10"/>
      <c r="B1601" s="10"/>
      <c r="E1601" s="10"/>
      <c r="G1601" s="10"/>
      <c r="I1601" s="436" t="s">
        <v>5874</v>
      </c>
      <c r="J1601" s="26" t="s">
        <v>5873</v>
      </c>
      <c r="K1601" s="10">
        <v>1</v>
      </c>
      <c r="L1601" s="73">
        <f>IF(Tank1!$C$23="No control",(SUMIF(Tank1!$B$32:$B$49,$J1601,Tank1!$C$32:$C$49)*Impacts!$F$8),0)</f>
        <v>0</v>
      </c>
      <c r="M1601" s="10">
        <f>IF(Tank2!$C$23="No control",(SUMIF(Tank2!$B$32:$B$49,$J1601,Tank2!$C$32:$C$49)*Impacts!$F$9),0)</f>
        <v>0</v>
      </c>
      <c r="N1601" s="10">
        <f>IF(Tank3!$C$23="No control",(SUMIF(Tank3!$B$32:$B$49,$J1601,Tank3!$C$32:$C$49)*Impacts!$F$10),0)</f>
        <v>0</v>
      </c>
      <c r="O1601" s="10">
        <f>IF(Tank4!$C$23="No control",(SUMIF(Tank4!$B$32:$B$49,$J1601,Tank4!$C$32:$C$49)*Impacts!$F$11),0)</f>
        <v>0</v>
      </c>
      <c r="P1601" s="10">
        <f>IF(Tank5!$C$23="No control",(SUMIF(Tank5!$B$32:$B$49,$J1601,Tank5!$C$32:$C$49)*Impacts!$F$12),0)</f>
        <v>0</v>
      </c>
      <c r="Q1601" s="10">
        <f>IFERROR(IF(('Loading-drum,tote'!$C$21)="No control",SUMIF(('Loading-drum,tote'!$B$31:$B$48),$J1601,('Loading-drum,tote'!$D$31:$D$48))*Impacts!$F$13,IF(('Loading-drum,tote'!$C$21)&lt;&gt;"No control",SUMIF(('Loading-drum,tote'!$B$31:$B$48),$J1601,('Loading-drum,tote'!$E$31:$E$48))*Impacts!$F$13,0)),0)</f>
        <v>0</v>
      </c>
      <c r="R1601" s="10">
        <f>IFERROR(IF(('Loading-truck'!$C$21)="No control",SUMIF(('Loading-truck'!$B$31:$B$48),$J1601,('Loading-truck'!$D$31:$D$48))*Impacts!$F$14,IF(('Loading-truck'!$C$21)&lt;&gt;"No control",SUMIF(('Loading-truck'!$B$31:$B$48),$J1601,('Loading-truck'!$E$31:$E$48))*Impacts!$F$14,0)),0)</f>
        <v>0</v>
      </c>
      <c r="S1601" s="10">
        <f>IFERROR(IF(('Loading-rail'!$C$21)="No control",SUMIF(('Loading-rail'!$B$31:$B$48),$J1601,('Loading-rail'!$D$31:$D$48))*Impacts!$F$15,IF(('Loading-rail'!$C$21)&lt;&gt;"No control",SUMIF(('Loading-rail'!$B$31:$B$48),$J1601,('Loading-rail'!$E$31:$E$48))*Impacts!$F$15,0)),0)</f>
        <v>0</v>
      </c>
      <c r="T1601" s="10">
        <f>IF(Flare!$C$7="",0,(SUMIF(Flare!$B$46:$B$185,$J1601,Flare!$E$46:$E$185)*Impacts!$F$16))</f>
        <v>0</v>
      </c>
      <c r="U1601" s="10">
        <f>IF(VCU!$C$9="",0,(SUMIF(VCU!$B$51:$B$193,$J1601,VCU!$E$51:$E$193)*Impacts!$F$17))</f>
        <v>0</v>
      </c>
      <c r="V1601" s="10">
        <f>IF(CAS!$C$7="",0,(SUMIF(CAS!$B$31:$B$167,$J1601,CAS!$E$31:$E$167)*Impacts!$F$18))</f>
        <v>0</v>
      </c>
      <c r="W1601" s="10">
        <f t="shared" si="65"/>
        <v>0</v>
      </c>
      <c r="AK1601" s="10" t="str">
        <f t="array" ref="AK1601">IFERROR(INDEX(SelectedSpecies,SMALL(IF(SelectedSpecies=AK$1,ROW(SelectedSpecies)),ROW(1602:1602)),2),"")</f>
        <v/>
      </c>
      <c r="BE1601" s="10"/>
      <c r="BI1601" s="10"/>
    </row>
    <row r="1602" spans="1:61" ht="21" customHeight="1" x14ac:dyDescent="0.25">
      <c r="A1602" s="10"/>
      <c r="B1602" s="10"/>
      <c r="E1602" s="10"/>
      <c r="G1602" s="10"/>
      <c r="I1602" s="436" t="s">
        <v>4879</v>
      </c>
      <c r="J1602" s="26" t="s">
        <v>4878</v>
      </c>
      <c r="K1602" s="10">
        <v>2.7</v>
      </c>
      <c r="L1602" s="73">
        <f>IF(Tank1!$C$23="No control",(SUMIF(Tank1!$B$32:$B$49,$J1602,Tank1!$C$32:$C$49)*Impacts!$F$8),0)</f>
        <v>0</v>
      </c>
      <c r="M1602" s="10">
        <f>IF(Tank2!$C$23="No control",(SUMIF(Tank2!$B$32:$B$49,$J1602,Tank2!$C$32:$C$49)*Impacts!$F$9),0)</f>
        <v>0</v>
      </c>
      <c r="N1602" s="10">
        <f>IF(Tank3!$C$23="No control",(SUMIF(Tank3!$B$32:$B$49,$J1602,Tank3!$C$32:$C$49)*Impacts!$F$10),0)</f>
        <v>0</v>
      </c>
      <c r="O1602" s="10">
        <f>IF(Tank4!$C$23="No control",(SUMIF(Tank4!$B$32:$B$49,$J1602,Tank4!$C$32:$C$49)*Impacts!$F$11),0)</f>
        <v>0</v>
      </c>
      <c r="P1602" s="10">
        <f>IF(Tank5!$C$23="No control",(SUMIF(Tank5!$B$32:$B$49,$J1602,Tank5!$C$32:$C$49)*Impacts!$F$12),0)</f>
        <v>0</v>
      </c>
      <c r="Q1602" s="10">
        <f>IFERROR(IF(('Loading-drum,tote'!$C$21)="No control",SUMIF(('Loading-drum,tote'!$B$31:$B$48),$J1602,('Loading-drum,tote'!$D$31:$D$48))*Impacts!$F$13,IF(('Loading-drum,tote'!$C$21)&lt;&gt;"No control",SUMIF(('Loading-drum,tote'!$B$31:$B$48),$J1602,('Loading-drum,tote'!$E$31:$E$48))*Impacts!$F$13,0)),0)</f>
        <v>0</v>
      </c>
      <c r="R1602" s="10">
        <f>IFERROR(IF(('Loading-truck'!$C$21)="No control",SUMIF(('Loading-truck'!$B$31:$B$48),$J1602,('Loading-truck'!$D$31:$D$48))*Impacts!$F$14,IF(('Loading-truck'!$C$21)&lt;&gt;"No control",SUMIF(('Loading-truck'!$B$31:$B$48),$J1602,('Loading-truck'!$E$31:$E$48))*Impacts!$F$14,0)),0)</f>
        <v>0</v>
      </c>
      <c r="S1602" s="10">
        <f>IFERROR(IF(('Loading-rail'!$C$21)="No control",SUMIF(('Loading-rail'!$B$31:$B$48),$J1602,('Loading-rail'!$D$31:$D$48))*Impacts!$F$15,IF(('Loading-rail'!$C$21)&lt;&gt;"No control",SUMIF(('Loading-rail'!$B$31:$B$48),$J1602,('Loading-rail'!$E$31:$E$48))*Impacts!$F$15,0)),0)</f>
        <v>0</v>
      </c>
      <c r="T1602" s="10">
        <f>IF(Flare!$C$7="",0,(SUMIF(Flare!$B$46:$B$185,$J1602,Flare!$E$46:$E$185)*Impacts!$F$16))</f>
        <v>0</v>
      </c>
      <c r="U1602" s="10">
        <f>IF(VCU!$C$9="",0,(SUMIF(VCU!$B$51:$B$193,$J1602,VCU!$E$51:$E$193)*Impacts!$F$17))</f>
        <v>0</v>
      </c>
      <c r="V1602" s="10">
        <f>IF(CAS!$C$7="",0,(SUMIF(CAS!$B$31:$B$167,$J1602,CAS!$E$31:$E$167)*Impacts!$F$18))</f>
        <v>0</v>
      </c>
      <c r="W1602" s="10">
        <f t="shared" si="65"/>
        <v>0</v>
      </c>
      <c r="AK1602" s="10" t="str">
        <f t="array" ref="AK1602">IFERROR(INDEX(SelectedSpecies,SMALL(IF(SelectedSpecies=AK$1,ROW(SelectedSpecies)),ROW(1603:1603)),2),"")</f>
        <v/>
      </c>
      <c r="BE1602" s="10"/>
      <c r="BI1602" s="10"/>
    </row>
    <row r="1603" spans="1:61" ht="21" customHeight="1" x14ac:dyDescent="0.25">
      <c r="A1603" s="10"/>
      <c r="B1603" s="10"/>
      <c r="E1603" s="10"/>
      <c r="G1603" s="10"/>
      <c r="I1603" s="436" t="s">
        <v>5229</v>
      </c>
      <c r="J1603" s="26" t="s">
        <v>5228</v>
      </c>
      <c r="K1603" s="10">
        <v>1.9000000000000001</v>
      </c>
      <c r="L1603" s="73">
        <f>IF(Tank1!$C$23="No control",(SUMIF(Tank1!$B$32:$B$49,$J1603,Tank1!$C$32:$C$49)*Impacts!$F$8),0)</f>
        <v>0</v>
      </c>
      <c r="M1603" s="10">
        <f>IF(Tank2!$C$23="No control",(SUMIF(Tank2!$B$32:$B$49,$J1603,Tank2!$C$32:$C$49)*Impacts!$F$9),0)</f>
        <v>0</v>
      </c>
      <c r="N1603" s="10">
        <f>IF(Tank3!$C$23="No control",(SUMIF(Tank3!$B$32:$B$49,$J1603,Tank3!$C$32:$C$49)*Impacts!$F$10),0)</f>
        <v>0</v>
      </c>
      <c r="O1603" s="10">
        <f>IF(Tank4!$C$23="No control",(SUMIF(Tank4!$B$32:$B$49,$J1603,Tank4!$C$32:$C$49)*Impacts!$F$11),0)</f>
        <v>0</v>
      </c>
      <c r="P1603" s="10">
        <f>IF(Tank5!$C$23="No control",(SUMIF(Tank5!$B$32:$B$49,$J1603,Tank5!$C$32:$C$49)*Impacts!$F$12),0)</f>
        <v>0</v>
      </c>
      <c r="Q1603" s="10">
        <f>IFERROR(IF(('Loading-drum,tote'!$C$21)="No control",SUMIF(('Loading-drum,tote'!$B$31:$B$48),$J1603,('Loading-drum,tote'!$D$31:$D$48))*Impacts!$F$13,IF(('Loading-drum,tote'!$C$21)&lt;&gt;"No control",SUMIF(('Loading-drum,tote'!$B$31:$B$48),$J1603,('Loading-drum,tote'!$E$31:$E$48))*Impacts!$F$13,0)),0)</f>
        <v>0</v>
      </c>
      <c r="R1603" s="10">
        <f>IFERROR(IF(('Loading-truck'!$C$21)="No control",SUMIF(('Loading-truck'!$B$31:$B$48),$J1603,('Loading-truck'!$D$31:$D$48))*Impacts!$F$14,IF(('Loading-truck'!$C$21)&lt;&gt;"No control",SUMIF(('Loading-truck'!$B$31:$B$48),$J1603,('Loading-truck'!$E$31:$E$48))*Impacts!$F$14,0)),0)</f>
        <v>0</v>
      </c>
      <c r="S1603" s="10">
        <f>IFERROR(IF(('Loading-rail'!$C$21)="No control",SUMIF(('Loading-rail'!$B$31:$B$48),$J1603,('Loading-rail'!$D$31:$D$48))*Impacts!$F$15,IF(('Loading-rail'!$C$21)&lt;&gt;"No control",SUMIF(('Loading-rail'!$B$31:$B$48),$J1603,('Loading-rail'!$E$31:$E$48))*Impacts!$F$15,0)),0)</f>
        <v>0</v>
      </c>
      <c r="T1603" s="10">
        <f>IF(Flare!$C$7="",0,(SUMIF(Flare!$B$46:$B$185,$J1603,Flare!$E$46:$E$185)*Impacts!$F$16))</f>
        <v>0</v>
      </c>
      <c r="U1603" s="10">
        <f>IF(VCU!$C$9="",0,(SUMIF(VCU!$B$51:$B$193,$J1603,VCU!$E$51:$E$193)*Impacts!$F$17))</f>
        <v>0</v>
      </c>
      <c r="V1603" s="10">
        <f>IF(CAS!$C$7="",0,(SUMIF(CAS!$B$31:$B$167,$J1603,CAS!$E$31:$E$167)*Impacts!$F$18))</f>
        <v>0</v>
      </c>
      <c r="W1603" s="10">
        <f t="shared" si="65"/>
        <v>0</v>
      </c>
      <c r="AK1603" s="10" t="str">
        <f t="array" ref="AK1603">IFERROR(INDEX(SelectedSpecies,SMALL(IF(SelectedSpecies=AK$1,ROW(SelectedSpecies)),ROW(1604:1604)),2),"")</f>
        <v/>
      </c>
      <c r="BE1603" s="10"/>
      <c r="BI1603" s="10"/>
    </row>
    <row r="1604" spans="1:61" ht="21" customHeight="1" x14ac:dyDescent="0.25">
      <c r="A1604" s="10"/>
      <c r="B1604" s="10"/>
      <c r="E1604" s="10"/>
      <c r="G1604" s="10"/>
      <c r="I1604" s="436" t="s">
        <v>511</v>
      </c>
      <c r="J1604" s="26" t="s">
        <v>510</v>
      </c>
      <c r="K1604" s="10">
        <v>100</v>
      </c>
      <c r="L1604" s="73">
        <f>IF(Tank1!$C$23="No control",(SUMIF(Tank1!$B$32:$B$49,$J1604,Tank1!$C$32:$C$49)*Impacts!$F$8),0)</f>
        <v>0</v>
      </c>
      <c r="M1604" s="10">
        <f>IF(Tank2!$C$23="No control",(SUMIF(Tank2!$B$32:$B$49,$J1604,Tank2!$C$32:$C$49)*Impacts!$F$9),0)</f>
        <v>0</v>
      </c>
      <c r="N1604" s="10">
        <f>IF(Tank3!$C$23="No control",(SUMIF(Tank3!$B$32:$B$49,$J1604,Tank3!$C$32:$C$49)*Impacts!$F$10),0)</f>
        <v>0</v>
      </c>
      <c r="O1604" s="10">
        <f>IF(Tank4!$C$23="No control",(SUMIF(Tank4!$B$32:$B$49,$J1604,Tank4!$C$32:$C$49)*Impacts!$F$11),0)</f>
        <v>0</v>
      </c>
      <c r="P1604" s="10">
        <f>IF(Tank5!$C$23="No control",(SUMIF(Tank5!$B$32:$B$49,$J1604,Tank5!$C$32:$C$49)*Impacts!$F$12),0)</f>
        <v>0</v>
      </c>
      <c r="Q1604" s="10">
        <f>IFERROR(IF(('Loading-drum,tote'!$C$21)="No control",SUMIF(('Loading-drum,tote'!$B$31:$B$48),$J1604,('Loading-drum,tote'!$D$31:$D$48))*Impacts!$F$13,IF(('Loading-drum,tote'!$C$21)&lt;&gt;"No control",SUMIF(('Loading-drum,tote'!$B$31:$B$48),$J1604,('Loading-drum,tote'!$E$31:$E$48))*Impacts!$F$13,0)),0)</f>
        <v>0</v>
      </c>
      <c r="R1604" s="10">
        <f>IFERROR(IF(('Loading-truck'!$C$21)="No control",SUMIF(('Loading-truck'!$B$31:$B$48),$J1604,('Loading-truck'!$D$31:$D$48))*Impacts!$F$14,IF(('Loading-truck'!$C$21)&lt;&gt;"No control",SUMIF(('Loading-truck'!$B$31:$B$48),$J1604,('Loading-truck'!$E$31:$E$48))*Impacts!$F$14,0)),0)</f>
        <v>0</v>
      </c>
      <c r="S1604" s="10">
        <f>IFERROR(IF(('Loading-rail'!$C$21)="No control",SUMIF(('Loading-rail'!$B$31:$B$48),$J1604,('Loading-rail'!$D$31:$D$48))*Impacts!$F$15,IF(('Loading-rail'!$C$21)&lt;&gt;"No control",SUMIF(('Loading-rail'!$B$31:$B$48),$J1604,('Loading-rail'!$E$31:$E$48))*Impacts!$F$15,0)),0)</f>
        <v>0</v>
      </c>
      <c r="T1604" s="10">
        <f>IF(Flare!$C$7="",0,(SUMIF(Flare!$B$46:$B$185,$J1604,Flare!$E$46:$E$185)*Impacts!$F$16))</f>
        <v>0</v>
      </c>
      <c r="U1604" s="10">
        <f>IF(VCU!$C$9="",0,(SUMIF(VCU!$B$51:$B$193,$J1604,VCU!$E$51:$E$193)*Impacts!$F$17))</f>
        <v>0</v>
      </c>
      <c r="V1604" s="10">
        <f>IF(CAS!$C$7="",0,(SUMIF(CAS!$B$31:$B$167,$J1604,CAS!$E$31:$E$167)*Impacts!$F$18))</f>
        <v>0</v>
      </c>
      <c r="W1604" s="10">
        <f t="shared" si="65"/>
        <v>0</v>
      </c>
      <c r="AK1604" s="10" t="str">
        <f t="array" ref="AK1604">IFERROR(INDEX(SelectedSpecies,SMALL(IF(SelectedSpecies=AK$1,ROW(SelectedSpecies)),ROW(1605:1605)),2),"")</f>
        <v/>
      </c>
      <c r="BE1604" s="10"/>
      <c r="BI1604" s="10"/>
    </row>
    <row r="1605" spans="1:61" ht="21" customHeight="1" x14ac:dyDescent="0.25">
      <c r="A1605" s="10"/>
      <c r="B1605" s="10"/>
      <c r="E1605" s="10"/>
      <c r="G1605" s="10"/>
      <c r="I1605" s="436" t="s">
        <v>3949</v>
      </c>
      <c r="J1605" s="26" t="s">
        <v>3948</v>
      </c>
      <c r="K1605" s="10">
        <v>6</v>
      </c>
      <c r="L1605" s="73">
        <f>IF(Tank1!$C$23="No control",(SUMIF(Tank1!$B$32:$B$49,$J1605,Tank1!$C$32:$C$49)*Impacts!$F$8),0)</f>
        <v>0</v>
      </c>
      <c r="M1605" s="10">
        <f>IF(Tank2!$C$23="No control",(SUMIF(Tank2!$B$32:$B$49,$J1605,Tank2!$C$32:$C$49)*Impacts!$F$9),0)</f>
        <v>0</v>
      </c>
      <c r="N1605" s="10">
        <f>IF(Tank3!$C$23="No control",(SUMIF(Tank3!$B$32:$B$49,$J1605,Tank3!$C$32:$C$49)*Impacts!$F$10),0)</f>
        <v>0</v>
      </c>
      <c r="O1605" s="10">
        <f>IF(Tank4!$C$23="No control",(SUMIF(Tank4!$B$32:$B$49,$J1605,Tank4!$C$32:$C$49)*Impacts!$F$11),0)</f>
        <v>0</v>
      </c>
      <c r="P1605" s="10">
        <f>IF(Tank5!$C$23="No control",(SUMIF(Tank5!$B$32:$B$49,$J1605,Tank5!$C$32:$C$49)*Impacts!$F$12),0)</f>
        <v>0</v>
      </c>
      <c r="Q1605" s="10">
        <f>IFERROR(IF(('Loading-drum,tote'!$C$21)="No control",SUMIF(('Loading-drum,tote'!$B$31:$B$48),$J1605,('Loading-drum,tote'!$D$31:$D$48))*Impacts!$F$13,IF(('Loading-drum,tote'!$C$21)&lt;&gt;"No control",SUMIF(('Loading-drum,tote'!$B$31:$B$48),$J1605,('Loading-drum,tote'!$E$31:$E$48))*Impacts!$F$13,0)),0)</f>
        <v>0</v>
      </c>
      <c r="R1605" s="10">
        <f>IFERROR(IF(('Loading-truck'!$C$21)="No control",SUMIF(('Loading-truck'!$B$31:$B$48),$J1605,('Loading-truck'!$D$31:$D$48))*Impacts!$F$14,IF(('Loading-truck'!$C$21)&lt;&gt;"No control",SUMIF(('Loading-truck'!$B$31:$B$48),$J1605,('Loading-truck'!$E$31:$E$48))*Impacts!$F$14,0)),0)</f>
        <v>0</v>
      </c>
      <c r="S1605" s="10">
        <f>IFERROR(IF(('Loading-rail'!$C$21)="No control",SUMIF(('Loading-rail'!$B$31:$B$48),$J1605,('Loading-rail'!$D$31:$D$48))*Impacts!$F$15,IF(('Loading-rail'!$C$21)&lt;&gt;"No control",SUMIF(('Loading-rail'!$B$31:$B$48),$J1605,('Loading-rail'!$E$31:$E$48))*Impacts!$F$15,0)),0)</f>
        <v>0</v>
      </c>
      <c r="T1605" s="10">
        <f>IF(Flare!$C$7="",0,(SUMIF(Flare!$B$46:$B$185,$J1605,Flare!$E$46:$E$185)*Impacts!$F$16))</f>
        <v>0</v>
      </c>
      <c r="U1605" s="10">
        <f>IF(VCU!$C$9="",0,(SUMIF(VCU!$B$51:$B$193,$J1605,VCU!$E$51:$E$193)*Impacts!$F$17))</f>
        <v>0</v>
      </c>
      <c r="V1605" s="10">
        <f>IF(CAS!$C$7="",0,(SUMIF(CAS!$B$31:$B$167,$J1605,CAS!$E$31:$E$167)*Impacts!$F$18))</f>
        <v>0</v>
      </c>
      <c r="W1605" s="10">
        <f t="shared" si="65"/>
        <v>0</v>
      </c>
      <c r="AK1605" s="10" t="str">
        <f t="array" ref="AK1605">IFERROR(INDEX(SelectedSpecies,SMALL(IF(SelectedSpecies=AK$1,ROW(SelectedSpecies)),ROW(1606:1606)),2),"")</f>
        <v/>
      </c>
      <c r="BE1605" s="10"/>
      <c r="BI1605" s="10"/>
    </row>
    <row r="1606" spans="1:61" ht="21" customHeight="1" x14ac:dyDescent="0.25">
      <c r="A1606" s="10"/>
      <c r="B1606" s="10"/>
      <c r="E1606" s="10"/>
      <c r="G1606" s="10"/>
      <c r="I1606" s="436" t="s">
        <v>4651</v>
      </c>
      <c r="J1606" s="26" t="s">
        <v>4650</v>
      </c>
      <c r="K1606" s="10">
        <v>3.8000000000000003</v>
      </c>
      <c r="L1606" s="73">
        <f>IF(Tank1!$C$23="No control",(SUMIF(Tank1!$B$32:$B$49,$J1606,Tank1!$C$32:$C$49)*Impacts!$F$8),0)</f>
        <v>0</v>
      </c>
      <c r="M1606" s="10">
        <f>IF(Tank2!$C$23="No control",(SUMIF(Tank2!$B$32:$B$49,$J1606,Tank2!$C$32:$C$49)*Impacts!$F$9),0)</f>
        <v>0</v>
      </c>
      <c r="N1606" s="10">
        <f>IF(Tank3!$C$23="No control",(SUMIF(Tank3!$B$32:$B$49,$J1606,Tank3!$C$32:$C$49)*Impacts!$F$10),0)</f>
        <v>0</v>
      </c>
      <c r="O1606" s="10">
        <f>IF(Tank4!$C$23="No control",(SUMIF(Tank4!$B$32:$B$49,$J1606,Tank4!$C$32:$C$49)*Impacts!$F$11),0)</f>
        <v>0</v>
      </c>
      <c r="P1606" s="10">
        <f>IF(Tank5!$C$23="No control",(SUMIF(Tank5!$B$32:$B$49,$J1606,Tank5!$C$32:$C$49)*Impacts!$F$12),0)</f>
        <v>0</v>
      </c>
      <c r="Q1606" s="10">
        <f>IFERROR(IF(('Loading-drum,tote'!$C$21)="No control",SUMIF(('Loading-drum,tote'!$B$31:$B$48),$J1606,('Loading-drum,tote'!$D$31:$D$48))*Impacts!$F$13,IF(('Loading-drum,tote'!$C$21)&lt;&gt;"No control",SUMIF(('Loading-drum,tote'!$B$31:$B$48),$J1606,('Loading-drum,tote'!$E$31:$E$48))*Impacts!$F$13,0)),0)</f>
        <v>0</v>
      </c>
      <c r="R1606" s="10">
        <f>IFERROR(IF(('Loading-truck'!$C$21)="No control",SUMIF(('Loading-truck'!$B$31:$B$48),$J1606,('Loading-truck'!$D$31:$D$48))*Impacts!$F$14,IF(('Loading-truck'!$C$21)&lt;&gt;"No control",SUMIF(('Loading-truck'!$B$31:$B$48),$J1606,('Loading-truck'!$E$31:$E$48))*Impacts!$F$14,0)),0)</f>
        <v>0</v>
      </c>
      <c r="S1606" s="10">
        <f>IFERROR(IF(('Loading-rail'!$C$21)="No control",SUMIF(('Loading-rail'!$B$31:$B$48),$J1606,('Loading-rail'!$D$31:$D$48))*Impacts!$F$15,IF(('Loading-rail'!$C$21)&lt;&gt;"No control",SUMIF(('Loading-rail'!$B$31:$B$48),$J1606,('Loading-rail'!$E$31:$E$48))*Impacts!$F$15,0)),0)</f>
        <v>0</v>
      </c>
      <c r="T1606" s="10">
        <f>IF(Flare!$C$7="",0,(SUMIF(Flare!$B$46:$B$185,$J1606,Flare!$E$46:$E$185)*Impacts!$F$16))</f>
        <v>0</v>
      </c>
      <c r="U1606" s="10">
        <f>IF(VCU!$C$9="",0,(SUMIF(VCU!$B$51:$B$193,$J1606,VCU!$E$51:$E$193)*Impacts!$F$17))</f>
        <v>0</v>
      </c>
      <c r="V1606" s="10">
        <f>IF(CAS!$C$7="",0,(SUMIF(CAS!$B$31:$B$167,$J1606,CAS!$E$31:$E$167)*Impacts!$F$18))</f>
        <v>0</v>
      </c>
      <c r="W1606" s="10">
        <f t="shared" si="65"/>
        <v>0</v>
      </c>
      <c r="AK1606" s="10" t="str">
        <f t="array" ref="AK1606">IFERROR(INDEX(SelectedSpecies,SMALL(IF(SelectedSpecies=AK$1,ROW(SelectedSpecies)),ROW(1607:1607)),2),"")</f>
        <v/>
      </c>
      <c r="BE1606" s="10"/>
      <c r="BI1606" s="10"/>
    </row>
    <row r="1607" spans="1:61" ht="21" customHeight="1" x14ac:dyDescent="0.25">
      <c r="A1607" s="10"/>
      <c r="B1607" s="10"/>
      <c r="E1607" s="10"/>
      <c r="G1607" s="10"/>
      <c r="I1607" s="436" t="s">
        <v>1845</v>
      </c>
      <c r="J1607" s="26" t="s">
        <v>1844</v>
      </c>
      <c r="K1607" s="10">
        <v>20</v>
      </c>
      <c r="L1607" s="73">
        <f>IF(Tank1!$C$23="No control",(SUMIF(Tank1!$B$32:$B$49,$J1607,Tank1!$C$32:$C$49)*Impacts!$F$8),0)</f>
        <v>0</v>
      </c>
      <c r="M1607" s="10">
        <f>IF(Tank2!$C$23="No control",(SUMIF(Tank2!$B$32:$B$49,$J1607,Tank2!$C$32:$C$49)*Impacts!$F$9),0)</f>
        <v>0</v>
      </c>
      <c r="N1607" s="10">
        <f>IF(Tank3!$C$23="No control",(SUMIF(Tank3!$B$32:$B$49,$J1607,Tank3!$C$32:$C$49)*Impacts!$F$10),0)</f>
        <v>0</v>
      </c>
      <c r="O1607" s="10">
        <f>IF(Tank4!$C$23="No control",(SUMIF(Tank4!$B$32:$B$49,$J1607,Tank4!$C$32:$C$49)*Impacts!$F$11),0)</f>
        <v>0</v>
      </c>
      <c r="P1607" s="10">
        <f>IF(Tank5!$C$23="No control",(SUMIF(Tank5!$B$32:$B$49,$J1607,Tank5!$C$32:$C$49)*Impacts!$F$12),0)</f>
        <v>0</v>
      </c>
      <c r="Q1607" s="10">
        <f>IFERROR(IF(('Loading-drum,tote'!$C$21)="No control",SUMIF(('Loading-drum,tote'!$B$31:$B$48),$J1607,('Loading-drum,tote'!$D$31:$D$48))*Impacts!$F$13,IF(('Loading-drum,tote'!$C$21)&lt;&gt;"No control",SUMIF(('Loading-drum,tote'!$B$31:$B$48),$J1607,('Loading-drum,tote'!$E$31:$E$48))*Impacts!$F$13,0)),0)</f>
        <v>0</v>
      </c>
      <c r="R1607" s="10">
        <f>IFERROR(IF(('Loading-truck'!$C$21)="No control",SUMIF(('Loading-truck'!$B$31:$B$48),$J1607,('Loading-truck'!$D$31:$D$48))*Impacts!$F$14,IF(('Loading-truck'!$C$21)&lt;&gt;"No control",SUMIF(('Loading-truck'!$B$31:$B$48),$J1607,('Loading-truck'!$E$31:$E$48))*Impacts!$F$14,0)),0)</f>
        <v>0</v>
      </c>
      <c r="S1607" s="10">
        <f>IFERROR(IF(('Loading-rail'!$C$21)="No control",SUMIF(('Loading-rail'!$B$31:$B$48),$J1607,('Loading-rail'!$D$31:$D$48))*Impacts!$F$15,IF(('Loading-rail'!$C$21)&lt;&gt;"No control",SUMIF(('Loading-rail'!$B$31:$B$48),$J1607,('Loading-rail'!$E$31:$E$48))*Impacts!$F$15,0)),0)</f>
        <v>0</v>
      </c>
      <c r="T1607" s="10">
        <f>IF(Flare!$C$7="",0,(SUMIF(Flare!$B$46:$B$185,$J1607,Flare!$E$46:$E$185)*Impacts!$F$16))</f>
        <v>0</v>
      </c>
      <c r="U1607" s="10">
        <f>IF(VCU!$C$9="",0,(SUMIF(VCU!$B$51:$B$193,$J1607,VCU!$E$51:$E$193)*Impacts!$F$17))</f>
        <v>0</v>
      </c>
      <c r="V1607" s="10">
        <f>IF(CAS!$C$7="",0,(SUMIF(CAS!$B$31:$B$167,$J1607,CAS!$E$31:$E$167)*Impacts!$F$18))</f>
        <v>0</v>
      </c>
      <c r="W1607" s="10">
        <f t="shared" si="65"/>
        <v>0</v>
      </c>
      <c r="AK1607" s="10" t="str">
        <f t="array" ref="AK1607">IFERROR(INDEX(SelectedSpecies,SMALL(IF(SelectedSpecies=AK$1,ROW(SelectedSpecies)),ROW(1608:1608)),2),"")</f>
        <v/>
      </c>
      <c r="BE1607" s="10"/>
      <c r="BI1607" s="10"/>
    </row>
    <row r="1608" spans="1:61" ht="21" customHeight="1" x14ac:dyDescent="0.25">
      <c r="A1608" s="10"/>
      <c r="B1608" s="10"/>
      <c r="E1608" s="10"/>
      <c r="G1608" s="10"/>
      <c r="I1608" s="436" t="s">
        <v>6826</v>
      </c>
      <c r="J1608" s="26" t="s">
        <v>6825</v>
      </c>
      <c r="K1608" s="10">
        <v>0.5</v>
      </c>
      <c r="L1608" s="73">
        <f>IF(Tank1!$C$23="No control",(SUMIF(Tank1!$B$32:$B$49,$J1608,Tank1!$C$32:$C$49)*Impacts!$F$8),0)</f>
        <v>0</v>
      </c>
      <c r="M1608" s="10">
        <f>IF(Tank2!$C$23="No control",(SUMIF(Tank2!$B$32:$B$49,$J1608,Tank2!$C$32:$C$49)*Impacts!$F$9),0)</f>
        <v>0</v>
      </c>
      <c r="N1608" s="10">
        <f>IF(Tank3!$C$23="No control",(SUMIF(Tank3!$B$32:$B$49,$J1608,Tank3!$C$32:$C$49)*Impacts!$F$10),0)</f>
        <v>0</v>
      </c>
      <c r="O1608" s="10">
        <f>IF(Tank4!$C$23="No control",(SUMIF(Tank4!$B$32:$B$49,$J1608,Tank4!$C$32:$C$49)*Impacts!$F$11),0)</f>
        <v>0</v>
      </c>
      <c r="P1608" s="10">
        <f>IF(Tank5!$C$23="No control",(SUMIF(Tank5!$B$32:$B$49,$J1608,Tank5!$C$32:$C$49)*Impacts!$F$12),0)</f>
        <v>0</v>
      </c>
      <c r="Q1608" s="10">
        <f>IFERROR(IF(('Loading-drum,tote'!$C$21)="No control",SUMIF(('Loading-drum,tote'!$B$31:$B$48),$J1608,('Loading-drum,tote'!$D$31:$D$48))*Impacts!$F$13,IF(('Loading-drum,tote'!$C$21)&lt;&gt;"No control",SUMIF(('Loading-drum,tote'!$B$31:$B$48),$J1608,('Loading-drum,tote'!$E$31:$E$48))*Impacts!$F$13,0)),0)</f>
        <v>0</v>
      </c>
      <c r="R1608" s="10">
        <f>IFERROR(IF(('Loading-truck'!$C$21)="No control",SUMIF(('Loading-truck'!$B$31:$B$48),$J1608,('Loading-truck'!$D$31:$D$48))*Impacts!$F$14,IF(('Loading-truck'!$C$21)&lt;&gt;"No control",SUMIF(('Loading-truck'!$B$31:$B$48),$J1608,('Loading-truck'!$E$31:$E$48))*Impacts!$F$14,0)),0)</f>
        <v>0</v>
      </c>
      <c r="S1608" s="10">
        <f>IFERROR(IF(('Loading-rail'!$C$21)="No control",SUMIF(('Loading-rail'!$B$31:$B$48),$J1608,('Loading-rail'!$D$31:$D$48))*Impacts!$F$15,IF(('Loading-rail'!$C$21)&lt;&gt;"No control",SUMIF(('Loading-rail'!$B$31:$B$48),$J1608,('Loading-rail'!$E$31:$E$48))*Impacts!$F$15,0)),0)</f>
        <v>0</v>
      </c>
      <c r="T1608" s="10">
        <f>IF(Flare!$C$7="",0,(SUMIF(Flare!$B$46:$B$185,$J1608,Flare!$E$46:$E$185)*Impacts!$F$16))</f>
        <v>0</v>
      </c>
      <c r="U1608" s="10">
        <f>IF(VCU!$C$9="",0,(SUMIF(VCU!$B$51:$B$193,$J1608,VCU!$E$51:$E$193)*Impacts!$F$17))</f>
        <v>0</v>
      </c>
      <c r="V1608" s="10">
        <f>IF(CAS!$C$7="",0,(SUMIF(CAS!$B$31:$B$167,$J1608,CAS!$E$31:$E$167)*Impacts!$F$18))</f>
        <v>0</v>
      </c>
      <c r="W1608" s="10">
        <f t="shared" si="65"/>
        <v>0</v>
      </c>
      <c r="AK1608" s="10" t="str">
        <f t="array" ref="AK1608">IFERROR(INDEX(SelectedSpecies,SMALL(IF(SelectedSpecies=AK$1,ROW(SelectedSpecies)),ROW(1609:1609)),2),"")</f>
        <v/>
      </c>
      <c r="BE1608" s="10"/>
      <c r="BI1608" s="10"/>
    </row>
    <row r="1609" spans="1:61" ht="21" customHeight="1" x14ac:dyDescent="0.25">
      <c r="A1609" s="10"/>
      <c r="B1609" s="10"/>
      <c r="E1609" s="10"/>
      <c r="G1609" s="10"/>
      <c r="I1609" s="436" t="s">
        <v>3703</v>
      </c>
      <c r="J1609" s="26" t="s">
        <v>3702</v>
      </c>
      <c r="K1609" s="10">
        <v>6.8000000000000007</v>
      </c>
      <c r="L1609" s="73">
        <f>IF(Tank1!$C$23="No control",(SUMIF(Tank1!$B$32:$B$49,$J1609,Tank1!$C$32:$C$49)*Impacts!$F$8),0)</f>
        <v>0</v>
      </c>
      <c r="M1609" s="10">
        <f>IF(Tank2!$C$23="No control",(SUMIF(Tank2!$B$32:$B$49,$J1609,Tank2!$C$32:$C$49)*Impacts!$F$9),0)</f>
        <v>0</v>
      </c>
      <c r="N1609" s="10">
        <f>IF(Tank3!$C$23="No control",(SUMIF(Tank3!$B$32:$B$49,$J1609,Tank3!$C$32:$C$49)*Impacts!$F$10),0)</f>
        <v>0</v>
      </c>
      <c r="O1609" s="10">
        <f>IF(Tank4!$C$23="No control",(SUMIF(Tank4!$B$32:$B$49,$J1609,Tank4!$C$32:$C$49)*Impacts!$F$11),0)</f>
        <v>0</v>
      </c>
      <c r="P1609" s="10">
        <f>IF(Tank5!$C$23="No control",(SUMIF(Tank5!$B$32:$B$49,$J1609,Tank5!$C$32:$C$49)*Impacts!$F$12),0)</f>
        <v>0</v>
      </c>
      <c r="Q1609" s="10">
        <f>IFERROR(IF(('Loading-drum,tote'!$C$21)="No control",SUMIF(('Loading-drum,tote'!$B$31:$B$48),$J1609,('Loading-drum,tote'!$D$31:$D$48))*Impacts!$F$13,IF(('Loading-drum,tote'!$C$21)&lt;&gt;"No control",SUMIF(('Loading-drum,tote'!$B$31:$B$48),$J1609,('Loading-drum,tote'!$E$31:$E$48))*Impacts!$F$13,0)),0)</f>
        <v>0</v>
      </c>
      <c r="R1609" s="10">
        <f>IFERROR(IF(('Loading-truck'!$C$21)="No control",SUMIF(('Loading-truck'!$B$31:$B$48),$J1609,('Loading-truck'!$D$31:$D$48))*Impacts!$F$14,IF(('Loading-truck'!$C$21)&lt;&gt;"No control",SUMIF(('Loading-truck'!$B$31:$B$48),$J1609,('Loading-truck'!$E$31:$E$48))*Impacts!$F$14,0)),0)</f>
        <v>0</v>
      </c>
      <c r="S1609" s="10">
        <f>IFERROR(IF(('Loading-rail'!$C$21)="No control",SUMIF(('Loading-rail'!$B$31:$B$48),$J1609,('Loading-rail'!$D$31:$D$48))*Impacts!$F$15,IF(('Loading-rail'!$C$21)&lt;&gt;"No control",SUMIF(('Loading-rail'!$B$31:$B$48),$J1609,('Loading-rail'!$E$31:$E$48))*Impacts!$F$15,0)),0)</f>
        <v>0</v>
      </c>
      <c r="T1609" s="10">
        <f>IF(Flare!$C$7="",0,(SUMIF(Flare!$B$46:$B$185,$J1609,Flare!$E$46:$E$185)*Impacts!$F$16))</f>
        <v>0</v>
      </c>
      <c r="U1609" s="10">
        <f>IF(VCU!$C$9="",0,(SUMIF(VCU!$B$51:$B$193,$J1609,VCU!$E$51:$E$193)*Impacts!$F$17))</f>
        <v>0</v>
      </c>
      <c r="V1609" s="10">
        <f>IF(CAS!$C$7="",0,(SUMIF(CAS!$B$31:$B$167,$J1609,CAS!$E$31:$E$167)*Impacts!$F$18))</f>
        <v>0</v>
      </c>
      <c r="W1609" s="10">
        <f t="shared" si="65"/>
        <v>0</v>
      </c>
      <c r="AK1609" s="10" t="str">
        <f t="array" ref="AK1609">IFERROR(INDEX(SelectedSpecies,SMALL(IF(SelectedSpecies=AK$1,ROW(SelectedSpecies)),ROW(1610:1610)),2),"")</f>
        <v/>
      </c>
      <c r="BE1609" s="10"/>
      <c r="BI1609" s="10"/>
    </row>
    <row r="1610" spans="1:61" ht="21" customHeight="1" x14ac:dyDescent="0.25">
      <c r="A1610" s="10"/>
      <c r="B1610" s="10"/>
      <c r="E1610" s="10"/>
      <c r="G1610" s="10"/>
      <c r="I1610" s="436" t="s">
        <v>7640</v>
      </c>
      <c r="J1610" s="26" t="s">
        <v>7639</v>
      </c>
      <c r="K1610" s="10">
        <v>0.13</v>
      </c>
      <c r="L1610" s="73">
        <f>IF(Tank1!$C$23="No control",(SUMIF(Tank1!$B$32:$B$49,$J1610,Tank1!$C$32:$C$49)*Impacts!$F$8),0)</f>
        <v>0</v>
      </c>
      <c r="M1610" s="10">
        <f>IF(Tank2!$C$23="No control",(SUMIF(Tank2!$B$32:$B$49,$J1610,Tank2!$C$32:$C$49)*Impacts!$F$9),0)</f>
        <v>0</v>
      </c>
      <c r="N1610" s="10">
        <f>IF(Tank3!$C$23="No control",(SUMIF(Tank3!$B$32:$B$49,$J1610,Tank3!$C$32:$C$49)*Impacts!$F$10),0)</f>
        <v>0</v>
      </c>
      <c r="O1610" s="10">
        <f>IF(Tank4!$C$23="No control",(SUMIF(Tank4!$B$32:$B$49,$J1610,Tank4!$C$32:$C$49)*Impacts!$F$11),0)</f>
        <v>0</v>
      </c>
      <c r="P1610" s="10">
        <f>IF(Tank5!$C$23="No control",(SUMIF(Tank5!$B$32:$B$49,$J1610,Tank5!$C$32:$C$49)*Impacts!$F$12),0)</f>
        <v>0</v>
      </c>
      <c r="Q1610" s="10">
        <f>IFERROR(IF(('Loading-drum,tote'!$C$21)="No control",SUMIF(('Loading-drum,tote'!$B$31:$B$48),$J1610,('Loading-drum,tote'!$D$31:$D$48))*Impacts!$F$13,IF(('Loading-drum,tote'!$C$21)&lt;&gt;"No control",SUMIF(('Loading-drum,tote'!$B$31:$B$48),$J1610,('Loading-drum,tote'!$E$31:$E$48))*Impacts!$F$13,0)),0)</f>
        <v>0</v>
      </c>
      <c r="R1610" s="10">
        <f>IFERROR(IF(('Loading-truck'!$C$21)="No control",SUMIF(('Loading-truck'!$B$31:$B$48),$J1610,('Loading-truck'!$D$31:$D$48))*Impacts!$F$14,IF(('Loading-truck'!$C$21)&lt;&gt;"No control",SUMIF(('Loading-truck'!$B$31:$B$48),$J1610,('Loading-truck'!$E$31:$E$48))*Impacts!$F$14,0)),0)</f>
        <v>0</v>
      </c>
      <c r="S1610" s="10">
        <f>IFERROR(IF(('Loading-rail'!$C$21)="No control",SUMIF(('Loading-rail'!$B$31:$B$48),$J1610,('Loading-rail'!$D$31:$D$48))*Impacts!$F$15,IF(('Loading-rail'!$C$21)&lt;&gt;"No control",SUMIF(('Loading-rail'!$B$31:$B$48),$J1610,('Loading-rail'!$E$31:$E$48))*Impacts!$F$15,0)),0)</f>
        <v>0</v>
      </c>
      <c r="T1610" s="10">
        <f>IF(Flare!$C$7="",0,(SUMIF(Flare!$B$46:$B$185,$J1610,Flare!$E$46:$E$185)*Impacts!$F$16))</f>
        <v>0</v>
      </c>
      <c r="U1610" s="10">
        <f>IF(VCU!$C$9="",0,(SUMIF(VCU!$B$51:$B$193,$J1610,VCU!$E$51:$E$193)*Impacts!$F$17))</f>
        <v>0</v>
      </c>
      <c r="V1610" s="10">
        <f>IF(CAS!$C$7="",0,(SUMIF(CAS!$B$31:$B$167,$J1610,CAS!$E$31:$E$167)*Impacts!$F$18))</f>
        <v>0</v>
      </c>
      <c r="W1610" s="10">
        <f t="shared" si="65"/>
        <v>0</v>
      </c>
      <c r="AK1610" s="10" t="str">
        <f t="array" ref="AK1610">IFERROR(INDEX(SelectedSpecies,SMALL(IF(SelectedSpecies=AK$1,ROW(SelectedSpecies)),ROW(1611:1611)),2),"")</f>
        <v/>
      </c>
      <c r="BE1610" s="10"/>
      <c r="BI1610" s="10"/>
    </row>
    <row r="1611" spans="1:61" ht="21" customHeight="1" x14ac:dyDescent="0.25">
      <c r="A1611" s="10"/>
      <c r="B1611" s="10"/>
      <c r="E1611" s="10"/>
      <c r="G1611" s="10"/>
      <c r="I1611" s="436" t="s">
        <v>5153</v>
      </c>
      <c r="J1611" s="26" t="s">
        <v>5152</v>
      </c>
      <c r="K1611" s="10">
        <v>2</v>
      </c>
      <c r="L1611" s="73">
        <f>IF(Tank1!$C$23="No control",(SUMIF(Tank1!$B$32:$B$49,$J1611,Tank1!$C$32:$C$49)*Impacts!$F$8),0)</f>
        <v>0</v>
      </c>
      <c r="M1611" s="10">
        <f>IF(Tank2!$C$23="No control",(SUMIF(Tank2!$B$32:$B$49,$J1611,Tank2!$C$32:$C$49)*Impacts!$F$9),0)</f>
        <v>0</v>
      </c>
      <c r="N1611" s="10">
        <f>IF(Tank3!$C$23="No control",(SUMIF(Tank3!$B$32:$B$49,$J1611,Tank3!$C$32:$C$49)*Impacts!$F$10),0)</f>
        <v>0</v>
      </c>
      <c r="O1611" s="10">
        <f>IF(Tank4!$C$23="No control",(SUMIF(Tank4!$B$32:$B$49,$J1611,Tank4!$C$32:$C$49)*Impacts!$F$11),0)</f>
        <v>0</v>
      </c>
      <c r="P1611" s="10">
        <f>IF(Tank5!$C$23="No control",(SUMIF(Tank5!$B$32:$B$49,$J1611,Tank5!$C$32:$C$49)*Impacts!$F$12),0)</f>
        <v>0</v>
      </c>
      <c r="Q1611" s="10">
        <f>IFERROR(IF(('Loading-drum,tote'!$C$21)="No control",SUMIF(('Loading-drum,tote'!$B$31:$B$48),$J1611,('Loading-drum,tote'!$D$31:$D$48))*Impacts!$F$13,IF(('Loading-drum,tote'!$C$21)&lt;&gt;"No control",SUMIF(('Loading-drum,tote'!$B$31:$B$48),$J1611,('Loading-drum,tote'!$E$31:$E$48))*Impacts!$F$13,0)),0)</f>
        <v>0</v>
      </c>
      <c r="R1611" s="10">
        <f>IFERROR(IF(('Loading-truck'!$C$21)="No control",SUMIF(('Loading-truck'!$B$31:$B$48),$J1611,('Loading-truck'!$D$31:$D$48))*Impacts!$F$14,IF(('Loading-truck'!$C$21)&lt;&gt;"No control",SUMIF(('Loading-truck'!$B$31:$B$48),$J1611,('Loading-truck'!$E$31:$E$48))*Impacts!$F$14,0)),0)</f>
        <v>0</v>
      </c>
      <c r="S1611" s="10">
        <f>IFERROR(IF(('Loading-rail'!$C$21)="No control",SUMIF(('Loading-rail'!$B$31:$B$48),$J1611,('Loading-rail'!$D$31:$D$48))*Impacts!$F$15,IF(('Loading-rail'!$C$21)&lt;&gt;"No control",SUMIF(('Loading-rail'!$B$31:$B$48),$J1611,('Loading-rail'!$E$31:$E$48))*Impacts!$F$15,0)),0)</f>
        <v>0</v>
      </c>
      <c r="T1611" s="10">
        <f>IF(Flare!$C$7="",0,(SUMIF(Flare!$B$46:$B$185,$J1611,Flare!$E$46:$E$185)*Impacts!$F$16))</f>
        <v>0</v>
      </c>
      <c r="U1611" s="10">
        <f>IF(VCU!$C$9="",0,(SUMIF(VCU!$B$51:$B$193,$J1611,VCU!$E$51:$E$193)*Impacts!$F$17))</f>
        <v>0</v>
      </c>
      <c r="V1611" s="10">
        <f>IF(CAS!$C$7="",0,(SUMIF(CAS!$B$31:$B$167,$J1611,CAS!$E$31:$E$167)*Impacts!$F$18))</f>
        <v>0</v>
      </c>
      <c r="W1611" s="10">
        <f t="shared" si="65"/>
        <v>0</v>
      </c>
      <c r="AK1611" s="10" t="str">
        <f t="array" ref="AK1611">IFERROR(INDEX(SelectedSpecies,SMALL(IF(SelectedSpecies=AK$1,ROW(SelectedSpecies)),ROW(1612:1612)),2),"")</f>
        <v/>
      </c>
      <c r="BE1611" s="10"/>
      <c r="BI1611" s="10"/>
    </row>
    <row r="1612" spans="1:61" ht="21" customHeight="1" x14ac:dyDescent="0.25">
      <c r="A1612" s="10"/>
      <c r="B1612" s="10"/>
      <c r="E1612" s="10"/>
      <c r="G1612" s="10"/>
      <c r="I1612" s="436" t="s">
        <v>1592</v>
      </c>
      <c r="J1612" s="26" t="s">
        <v>1591</v>
      </c>
      <c r="K1612" s="10">
        <v>25.6</v>
      </c>
      <c r="L1612" s="73">
        <f>IF(Tank1!$C$23="No control",(SUMIF(Tank1!$B$32:$B$49,$J1612,Tank1!$C$32:$C$49)*Impacts!$F$8),0)</f>
        <v>0</v>
      </c>
      <c r="M1612" s="10">
        <f>IF(Tank2!$C$23="No control",(SUMIF(Tank2!$B$32:$B$49,$J1612,Tank2!$C$32:$C$49)*Impacts!$F$9),0)</f>
        <v>0</v>
      </c>
      <c r="N1612" s="10">
        <f>IF(Tank3!$C$23="No control",(SUMIF(Tank3!$B$32:$B$49,$J1612,Tank3!$C$32:$C$49)*Impacts!$F$10),0)</f>
        <v>0</v>
      </c>
      <c r="O1612" s="10">
        <f>IF(Tank4!$C$23="No control",(SUMIF(Tank4!$B$32:$B$49,$J1612,Tank4!$C$32:$C$49)*Impacts!$F$11),0)</f>
        <v>0</v>
      </c>
      <c r="P1612" s="10">
        <f>IF(Tank5!$C$23="No control",(SUMIF(Tank5!$B$32:$B$49,$J1612,Tank5!$C$32:$C$49)*Impacts!$F$12),0)</f>
        <v>0</v>
      </c>
      <c r="Q1612" s="10">
        <f>IFERROR(IF(('Loading-drum,tote'!$C$21)="No control",SUMIF(('Loading-drum,tote'!$B$31:$B$48),$J1612,('Loading-drum,tote'!$D$31:$D$48))*Impacts!$F$13,IF(('Loading-drum,tote'!$C$21)&lt;&gt;"No control",SUMIF(('Loading-drum,tote'!$B$31:$B$48),$J1612,('Loading-drum,tote'!$E$31:$E$48))*Impacts!$F$13,0)),0)</f>
        <v>0</v>
      </c>
      <c r="R1612" s="10">
        <f>IFERROR(IF(('Loading-truck'!$C$21)="No control",SUMIF(('Loading-truck'!$B$31:$B$48),$J1612,('Loading-truck'!$D$31:$D$48))*Impacts!$F$14,IF(('Loading-truck'!$C$21)&lt;&gt;"No control",SUMIF(('Loading-truck'!$B$31:$B$48),$J1612,('Loading-truck'!$E$31:$E$48))*Impacts!$F$14,0)),0)</f>
        <v>0</v>
      </c>
      <c r="S1612" s="10">
        <f>IFERROR(IF(('Loading-rail'!$C$21)="No control",SUMIF(('Loading-rail'!$B$31:$B$48),$J1612,('Loading-rail'!$D$31:$D$48))*Impacts!$F$15,IF(('Loading-rail'!$C$21)&lt;&gt;"No control",SUMIF(('Loading-rail'!$B$31:$B$48),$J1612,('Loading-rail'!$E$31:$E$48))*Impacts!$F$15,0)),0)</f>
        <v>0</v>
      </c>
      <c r="T1612" s="10">
        <f>IF(Flare!$C$7="",0,(SUMIF(Flare!$B$46:$B$185,$J1612,Flare!$E$46:$E$185)*Impacts!$F$16))</f>
        <v>0</v>
      </c>
      <c r="U1612" s="10">
        <f>IF(VCU!$C$9="",0,(SUMIF(VCU!$B$51:$B$193,$J1612,VCU!$E$51:$E$193)*Impacts!$F$17))</f>
        <v>0</v>
      </c>
      <c r="V1612" s="10">
        <f>IF(CAS!$C$7="",0,(SUMIF(CAS!$B$31:$B$167,$J1612,CAS!$E$31:$E$167)*Impacts!$F$18))</f>
        <v>0</v>
      </c>
      <c r="W1612" s="10">
        <f t="shared" si="65"/>
        <v>0</v>
      </c>
      <c r="AK1612" s="10" t="str">
        <f t="array" ref="AK1612">IFERROR(INDEX(SelectedSpecies,SMALL(IF(SelectedSpecies=AK$1,ROW(SelectedSpecies)),ROW(1613:1613)),2),"")</f>
        <v/>
      </c>
      <c r="BE1612" s="10"/>
      <c r="BI1612" s="10"/>
    </row>
    <row r="1613" spans="1:61" ht="21" customHeight="1" x14ac:dyDescent="0.25">
      <c r="A1613" s="10"/>
      <c r="B1613" s="10"/>
      <c r="E1613" s="10"/>
      <c r="G1613" s="10"/>
      <c r="I1613" s="436" t="s">
        <v>435</v>
      </c>
      <c r="J1613" s="26" t="s">
        <v>434</v>
      </c>
      <c r="K1613" s="10">
        <v>170</v>
      </c>
      <c r="L1613" s="73">
        <f>IF(Tank1!$C$23="No control",(SUMIF(Tank1!$B$32:$B$49,$J1613,Tank1!$C$32:$C$49)*Impacts!$F$8),0)</f>
        <v>0</v>
      </c>
      <c r="M1613" s="10">
        <f>IF(Tank2!$C$23="No control",(SUMIF(Tank2!$B$32:$B$49,$J1613,Tank2!$C$32:$C$49)*Impacts!$F$9),0)</f>
        <v>0</v>
      </c>
      <c r="N1613" s="10">
        <f>IF(Tank3!$C$23="No control",(SUMIF(Tank3!$B$32:$B$49,$J1613,Tank3!$C$32:$C$49)*Impacts!$F$10),0)</f>
        <v>0</v>
      </c>
      <c r="O1613" s="10">
        <f>IF(Tank4!$C$23="No control",(SUMIF(Tank4!$B$32:$B$49,$J1613,Tank4!$C$32:$C$49)*Impacts!$F$11),0)</f>
        <v>0</v>
      </c>
      <c r="P1613" s="10">
        <f>IF(Tank5!$C$23="No control",(SUMIF(Tank5!$B$32:$B$49,$J1613,Tank5!$C$32:$C$49)*Impacts!$F$12),0)</f>
        <v>0</v>
      </c>
      <c r="Q1613" s="10">
        <f>IFERROR(IF(('Loading-drum,tote'!$C$21)="No control",SUMIF(('Loading-drum,tote'!$B$31:$B$48),$J1613,('Loading-drum,tote'!$D$31:$D$48))*Impacts!$F$13,IF(('Loading-drum,tote'!$C$21)&lt;&gt;"No control",SUMIF(('Loading-drum,tote'!$B$31:$B$48),$J1613,('Loading-drum,tote'!$E$31:$E$48))*Impacts!$F$13,0)),0)</f>
        <v>0</v>
      </c>
      <c r="R1613" s="10">
        <f>IFERROR(IF(('Loading-truck'!$C$21)="No control",SUMIF(('Loading-truck'!$B$31:$B$48),$J1613,('Loading-truck'!$D$31:$D$48))*Impacts!$F$14,IF(('Loading-truck'!$C$21)&lt;&gt;"No control",SUMIF(('Loading-truck'!$B$31:$B$48),$J1613,('Loading-truck'!$E$31:$E$48))*Impacts!$F$14,0)),0)</f>
        <v>0</v>
      </c>
      <c r="S1613" s="10">
        <f>IFERROR(IF(('Loading-rail'!$C$21)="No control",SUMIF(('Loading-rail'!$B$31:$B$48),$J1613,('Loading-rail'!$D$31:$D$48))*Impacts!$F$15,IF(('Loading-rail'!$C$21)&lt;&gt;"No control",SUMIF(('Loading-rail'!$B$31:$B$48),$J1613,('Loading-rail'!$E$31:$E$48))*Impacts!$F$15,0)),0)</f>
        <v>0</v>
      </c>
      <c r="T1613" s="10">
        <f>IF(Flare!$C$7="",0,(SUMIF(Flare!$B$46:$B$185,$J1613,Flare!$E$46:$E$185)*Impacts!$F$16))</f>
        <v>0</v>
      </c>
      <c r="U1613" s="10">
        <f>IF(VCU!$C$9="",0,(SUMIF(VCU!$B$51:$B$193,$J1613,VCU!$E$51:$E$193)*Impacts!$F$17))</f>
        <v>0</v>
      </c>
      <c r="V1613" s="10">
        <f>IF(CAS!$C$7="",0,(SUMIF(CAS!$B$31:$B$167,$J1613,CAS!$E$31:$E$167)*Impacts!$F$18))</f>
        <v>0</v>
      </c>
      <c r="W1613" s="10">
        <f t="shared" si="65"/>
        <v>0</v>
      </c>
      <c r="AK1613" s="10" t="str">
        <f t="array" ref="AK1613">IFERROR(INDEX(SelectedSpecies,SMALL(IF(SelectedSpecies=AK$1,ROW(SelectedSpecies)),ROW(1614:1614)),2),"")</f>
        <v/>
      </c>
      <c r="BE1613" s="10"/>
      <c r="BI1613" s="10"/>
    </row>
    <row r="1614" spans="1:61" ht="21" customHeight="1" x14ac:dyDescent="0.25">
      <c r="A1614" s="10"/>
      <c r="B1614" s="10"/>
      <c r="E1614" s="10"/>
      <c r="G1614" s="10"/>
      <c r="I1614" s="436" t="s">
        <v>4723</v>
      </c>
      <c r="J1614" s="26" t="s">
        <v>4722</v>
      </c>
      <c r="K1614" s="10">
        <v>3.5</v>
      </c>
      <c r="L1614" s="73">
        <f>IF(Tank1!$C$23="No control",(SUMIF(Tank1!$B$32:$B$49,$J1614,Tank1!$C$32:$C$49)*Impacts!$F$8),0)</f>
        <v>0</v>
      </c>
      <c r="M1614" s="10">
        <f>IF(Tank2!$C$23="No control",(SUMIF(Tank2!$B$32:$B$49,$J1614,Tank2!$C$32:$C$49)*Impacts!$F$9),0)</f>
        <v>0</v>
      </c>
      <c r="N1614" s="10">
        <f>IF(Tank3!$C$23="No control",(SUMIF(Tank3!$B$32:$B$49,$J1614,Tank3!$C$32:$C$49)*Impacts!$F$10),0)</f>
        <v>0</v>
      </c>
      <c r="O1614" s="10">
        <f>IF(Tank4!$C$23="No control",(SUMIF(Tank4!$B$32:$B$49,$J1614,Tank4!$C$32:$C$49)*Impacts!$F$11),0)</f>
        <v>0</v>
      </c>
      <c r="P1614" s="10">
        <f>IF(Tank5!$C$23="No control",(SUMIF(Tank5!$B$32:$B$49,$J1614,Tank5!$C$32:$C$49)*Impacts!$F$12),0)</f>
        <v>0</v>
      </c>
      <c r="Q1614" s="10">
        <f>IFERROR(IF(('Loading-drum,tote'!$C$21)="No control",SUMIF(('Loading-drum,tote'!$B$31:$B$48),$J1614,('Loading-drum,tote'!$D$31:$D$48))*Impacts!$F$13,IF(('Loading-drum,tote'!$C$21)&lt;&gt;"No control",SUMIF(('Loading-drum,tote'!$B$31:$B$48),$J1614,('Loading-drum,tote'!$E$31:$E$48))*Impacts!$F$13,0)),0)</f>
        <v>0</v>
      </c>
      <c r="R1614" s="10">
        <f>IFERROR(IF(('Loading-truck'!$C$21)="No control",SUMIF(('Loading-truck'!$B$31:$B$48),$J1614,('Loading-truck'!$D$31:$D$48))*Impacts!$F$14,IF(('Loading-truck'!$C$21)&lt;&gt;"No control",SUMIF(('Loading-truck'!$B$31:$B$48),$J1614,('Loading-truck'!$E$31:$E$48))*Impacts!$F$14,0)),0)</f>
        <v>0</v>
      </c>
      <c r="S1614" s="10">
        <f>IFERROR(IF(('Loading-rail'!$C$21)="No control",SUMIF(('Loading-rail'!$B$31:$B$48),$J1614,('Loading-rail'!$D$31:$D$48))*Impacts!$F$15,IF(('Loading-rail'!$C$21)&lt;&gt;"No control",SUMIF(('Loading-rail'!$B$31:$B$48),$J1614,('Loading-rail'!$E$31:$E$48))*Impacts!$F$15,0)),0)</f>
        <v>0</v>
      </c>
      <c r="T1614" s="10">
        <f>IF(Flare!$C$7="",0,(SUMIF(Flare!$B$46:$B$185,$J1614,Flare!$E$46:$E$185)*Impacts!$F$16))</f>
        <v>0</v>
      </c>
      <c r="U1614" s="10">
        <f>IF(VCU!$C$9="",0,(SUMIF(VCU!$B$51:$B$193,$J1614,VCU!$E$51:$E$193)*Impacts!$F$17))</f>
        <v>0</v>
      </c>
      <c r="V1614" s="10">
        <f>IF(CAS!$C$7="",0,(SUMIF(CAS!$B$31:$B$167,$J1614,CAS!$E$31:$E$167)*Impacts!$F$18))</f>
        <v>0</v>
      </c>
      <c r="W1614" s="10">
        <f t="shared" si="65"/>
        <v>0</v>
      </c>
      <c r="AK1614" s="10" t="str">
        <f t="array" ref="AK1614">IFERROR(INDEX(SelectedSpecies,SMALL(IF(SelectedSpecies=AK$1,ROW(SelectedSpecies)),ROW(1615:1615)),2),"")</f>
        <v/>
      </c>
      <c r="BE1614" s="10"/>
      <c r="BI1614" s="10"/>
    </row>
    <row r="1615" spans="1:61" ht="21" customHeight="1" x14ac:dyDescent="0.25">
      <c r="A1615" s="10"/>
      <c r="B1615" s="10"/>
      <c r="E1615" s="10"/>
      <c r="G1615" s="10"/>
      <c r="I1615" s="436" t="s">
        <v>5017</v>
      </c>
      <c r="J1615" s="26" t="s">
        <v>5016</v>
      </c>
      <c r="K1615" s="10">
        <v>2.4000000000000004</v>
      </c>
      <c r="L1615" s="73">
        <f>IF(Tank1!$C$23="No control",(SUMIF(Tank1!$B$32:$B$49,$J1615,Tank1!$C$32:$C$49)*Impacts!$F$8),0)</f>
        <v>0</v>
      </c>
      <c r="M1615" s="10">
        <f>IF(Tank2!$C$23="No control",(SUMIF(Tank2!$B$32:$B$49,$J1615,Tank2!$C$32:$C$49)*Impacts!$F$9),0)</f>
        <v>0</v>
      </c>
      <c r="N1615" s="10">
        <f>IF(Tank3!$C$23="No control",(SUMIF(Tank3!$B$32:$B$49,$J1615,Tank3!$C$32:$C$49)*Impacts!$F$10),0)</f>
        <v>0</v>
      </c>
      <c r="O1615" s="10">
        <f>IF(Tank4!$C$23="No control",(SUMIF(Tank4!$B$32:$B$49,$J1615,Tank4!$C$32:$C$49)*Impacts!$F$11),0)</f>
        <v>0</v>
      </c>
      <c r="P1615" s="10">
        <f>IF(Tank5!$C$23="No control",(SUMIF(Tank5!$B$32:$B$49,$J1615,Tank5!$C$32:$C$49)*Impacts!$F$12),0)</f>
        <v>0</v>
      </c>
      <c r="Q1615" s="10">
        <f>IFERROR(IF(('Loading-drum,tote'!$C$21)="No control",SUMIF(('Loading-drum,tote'!$B$31:$B$48),$J1615,('Loading-drum,tote'!$D$31:$D$48))*Impacts!$F$13,IF(('Loading-drum,tote'!$C$21)&lt;&gt;"No control",SUMIF(('Loading-drum,tote'!$B$31:$B$48),$J1615,('Loading-drum,tote'!$E$31:$E$48))*Impacts!$F$13,0)),0)</f>
        <v>0</v>
      </c>
      <c r="R1615" s="10">
        <f>IFERROR(IF(('Loading-truck'!$C$21)="No control",SUMIF(('Loading-truck'!$B$31:$B$48),$J1615,('Loading-truck'!$D$31:$D$48))*Impacts!$F$14,IF(('Loading-truck'!$C$21)&lt;&gt;"No control",SUMIF(('Loading-truck'!$B$31:$B$48),$J1615,('Loading-truck'!$E$31:$E$48))*Impacts!$F$14,0)),0)</f>
        <v>0</v>
      </c>
      <c r="S1615" s="10">
        <f>IFERROR(IF(('Loading-rail'!$C$21)="No control",SUMIF(('Loading-rail'!$B$31:$B$48),$J1615,('Loading-rail'!$D$31:$D$48))*Impacts!$F$15,IF(('Loading-rail'!$C$21)&lt;&gt;"No control",SUMIF(('Loading-rail'!$B$31:$B$48),$J1615,('Loading-rail'!$E$31:$E$48))*Impacts!$F$15,0)),0)</f>
        <v>0</v>
      </c>
      <c r="T1615" s="10">
        <f>IF(Flare!$C$7="",0,(SUMIF(Flare!$B$46:$B$185,$J1615,Flare!$E$46:$E$185)*Impacts!$F$16))</f>
        <v>0</v>
      </c>
      <c r="U1615" s="10">
        <f>IF(VCU!$C$9="",0,(SUMIF(VCU!$B$51:$B$193,$J1615,VCU!$E$51:$E$193)*Impacts!$F$17))</f>
        <v>0</v>
      </c>
      <c r="V1615" s="10">
        <f>IF(CAS!$C$7="",0,(SUMIF(CAS!$B$31:$B$167,$J1615,CAS!$E$31:$E$167)*Impacts!$F$18))</f>
        <v>0</v>
      </c>
      <c r="W1615" s="10">
        <f t="shared" si="65"/>
        <v>0</v>
      </c>
      <c r="AK1615" s="10" t="str">
        <f t="array" ref="AK1615">IFERROR(INDEX(SelectedSpecies,SMALL(IF(SelectedSpecies=AK$1,ROW(SelectedSpecies)),ROW(1616:1616)),2),"")</f>
        <v/>
      </c>
      <c r="BE1615" s="10"/>
      <c r="BI1615" s="10"/>
    </row>
    <row r="1616" spans="1:61" ht="21" customHeight="1" x14ac:dyDescent="0.25">
      <c r="A1616" s="10"/>
      <c r="B1616" s="10"/>
      <c r="E1616" s="10"/>
      <c r="G1616" s="10"/>
      <c r="I1616" s="436" t="s">
        <v>437</v>
      </c>
      <c r="J1616" s="26" t="s">
        <v>436</v>
      </c>
      <c r="K1616" s="10">
        <v>170</v>
      </c>
      <c r="L1616" s="73">
        <f>IF(Tank1!$C$23="No control",(SUMIF(Tank1!$B$32:$B$49,$J1616,Tank1!$C$32:$C$49)*Impacts!$F$8),0)</f>
        <v>0</v>
      </c>
      <c r="M1616" s="10">
        <f>IF(Tank2!$C$23="No control",(SUMIF(Tank2!$B$32:$B$49,$J1616,Tank2!$C$32:$C$49)*Impacts!$F$9),0)</f>
        <v>0</v>
      </c>
      <c r="N1616" s="10">
        <f>IF(Tank3!$C$23="No control",(SUMIF(Tank3!$B$32:$B$49,$J1616,Tank3!$C$32:$C$49)*Impacts!$F$10),0)</f>
        <v>0</v>
      </c>
      <c r="O1616" s="10">
        <f>IF(Tank4!$C$23="No control",(SUMIF(Tank4!$B$32:$B$49,$J1616,Tank4!$C$32:$C$49)*Impacts!$F$11),0)</f>
        <v>0</v>
      </c>
      <c r="P1616" s="10">
        <f>IF(Tank5!$C$23="No control",(SUMIF(Tank5!$B$32:$B$49,$J1616,Tank5!$C$32:$C$49)*Impacts!$F$12),0)</f>
        <v>0</v>
      </c>
      <c r="Q1616" s="10">
        <f>IFERROR(IF(('Loading-drum,tote'!$C$21)="No control",SUMIF(('Loading-drum,tote'!$B$31:$B$48),$J1616,('Loading-drum,tote'!$D$31:$D$48))*Impacts!$F$13,IF(('Loading-drum,tote'!$C$21)&lt;&gt;"No control",SUMIF(('Loading-drum,tote'!$B$31:$B$48),$J1616,('Loading-drum,tote'!$E$31:$E$48))*Impacts!$F$13,0)),0)</f>
        <v>0</v>
      </c>
      <c r="R1616" s="10">
        <f>IFERROR(IF(('Loading-truck'!$C$21)="No control",SUMIF(('Loading-truck'!$B$31:$B$48),$J1616,('Loading-truck'!$D$31:$D$48))*Impacts!$F$14,IF(('Loading-truck'!$C$21)&lt;&gt;"No control",SUMIF(('Loading-truck'!$B$31:$B$48),$J1616,('Loading-truck'!$E$31:$E$48))*Impacts!$F$14,0)),0)</f>
        <v>0</v>
      </c>
      <c r="S1616" s="10">
        <f>IFERROR(IF(('Loading-rail'!$C$21)="No control",SUMIF(('Loading-rail'!$B$31:$B$48),$J1616,('Loading-rail'!$D$31:$D$48))*Impacts!$F$15,IF(('Loading-rail'!$C$21)&lt;&gt;"No control",SUMIF(('Loading-rail'!$B$31:$B$48),$J1616,('Loading-rail'!$E$31:$E$48))*Impacts!$F$15,0)),0)</f>
        <v>0</v>
      </c>
      <c r="T1616" s="10">
        <f>IF(Flare!$C$7="",0,(SUMIF(Flare!$B$46:$B$185,$J1616,Flare!$E$46:$E$185)*Impacts!$F$16))</f>
        <v>0</v>
      </c>
      <c r="U1616" s="10">
        <f>IF(VCU!$C$9="",0,(SUMIF(VCU!$B$51:$B$193,$J1616,VCU!$E$51:$E$193)*Impacts!$F$17))</f>
        <v>0</v>
      </c>
      <c r="V1616" s="10">
        <f>IF(CAS!$C$7="",0,(SUMIF(CAS!$B$31:$B$167,$J1616,CAS!$E$31:$E$167)*Impacts!$F$18))</f>
        <v>0</v>
      </c>
      <c r="W1616" s="10">
        <f t="shared" si="65"/>
        <v>0</v>
      </c>
      <c r="AK1616" s="10" t="str">
        <f t="array" ref="AK1616">IFERROR(INDEX(SelectedSpecies,SMALL(IF(SelectedSpecies=AK$1,ROW(SelectedSpecies)),ROW(1617:1617)),2),"")</f>
        <v/>
      </c>
      <c r="BE1616" s="10"/>
      <c r="BI1616" s="10"/>
    </row>
    <row r="1617" spans="1:61" ht="21" customHeight="1" x14ac:dyDescent="0.25">
      <c r="A1617" s="10"/>
      <c r="B1617" s="10"/>
      <c r="E1617" s="10"/>
      <c r="G1617" s="10"/>
      <c r="I1617" s="436" t="s">
        <v>5155</v>
      </c>
      <c r="J1617" s="26" t="s">
        <v>5154</v>
      </c>
      <c r="K1617" s="10">
        <v>2</v>
      </c>
      <c r="L1617" s="73">
        <f>IF(Tank1!$C$23="No control",(SUMIF(Tank1!$B$32:$B$49,$J1617,Tank1!$C$32:$C$49)*Impacts!$F$8),0)</f>
        <v>0</v>
      </c>
      <c r="M1617" s="10">
        <f>IF(Tank2!$C$23="No control",(SUMIF(Tank2!$B$32:$B$49,$J1617,Tank2!$C$32:$C$49)*Impacts!$F$9),0)</f>
        <v>0</v>
      </c>
      <c r="N1617" s="10">
        <f>IF(Tank3!$C$23="No control",(SUMIF(Tank3!$B$32:$B$49,$J1617,Tank3!$C$32:$C$49)*Impacts!$F$10),0)</f>
        <v>0</v>
      </c>
      <c r="O1617" s="10">
        <f>IF(Tank4!$C$23="No control",(SUMIF(Tank4!$B$32:$B$49,$J1617,Tank4!$C$32:$C$49)*Impacts!$F$11),0)</f>
        <v>0</v>
      </c>
      <c r="P1617" s="10">
        <f>IF(Tank5!$C$23="No control",(SUMIF(Tank5!$B$32:$B$49,$J1617,Tank5!$C$32:$C$49)*Impacts!$F$12),0)</f>
        <v>0</v>
      </c>
      <c r="Q1617" s="10">
        <f>IFERROR(IF(('Loading-drum,tote'!$C$21)="No control",SUMIF(('Loading-drum,tote'!$B$31:$B$48),$J1617,('Loading-drum,tote'!$D$31:$D$48))*Impacts!$F$13,IF(('Loading-drum,tote'!$C$21)&lt;&gt;"No control",SUMIF(('Loading-drum,tote'!$B$31:$B$48),$J1617,('Loading-drum,tote'!$E$31:$E$48))*Impacts!$F$13,0)),0)</f>
        <v>0</v>
      </c>
      <c r="R1617" s="10">
        <f>IFERROR(IF(('Loading-truck'!$C$21)="No control",SUMIF(('Loading-truck'!$B$31:$B$48),$J1617,('Loading-truck'!$D$31:$D$48))*Impacts!$F$14,IF(('Loading-truck'!$C$21)&lt;&gt;"No control",SUMIF(('Loading-truck'!$B$31:$B$48),$J1617,('Loading-truck'!$E$31:$E$48))*Impacts!$F$14,0)),0)</f>
        <v>0</v>
      </c>
      <c r="S1617" s="10">
        <f>IFERROR(IF(('Loading-rail'!$C$21)="No control",SUMIF(('Loading-rail'!$B$31:$B$48),$J1617,('Loading-rail'!$D$31:$D$48))*Impacts!$F$15,IF(('Loading-rail'!$C$21)&lt;&gt;"No control",SUMIF(('Loading-rail'!$B$31:$B$48),$J1617,('Loading-rail'!$E$31:$E$48))*Impacts!$F$15,0)),0)</f>
        <v>0</v>
      </c>
      <c r="T1617" s="10">
        <f>IF(Flare!$C$7="",0,(SUMIF(Flare!$B$46:$B$185,$J1617,Flare!$E$46:$E$185)*Impacts!$F$16))</f>
        <v>0</v>
      </c>
      <c r="U1617" s="10">
        <f>IF(VCU!$C$9="",0,(SUMIF(VCU!$B$51:$B$193,$J1617,VCU!$E$51:$E$193)*Impacts!$F$17))</f>
        <v>0</v>
      </c>
      <c r="V1617" s="10">
        <f>IF(CAS!$C$7="",0,(SUMIF(CAS!$B$31:$B$167,$J1617,CAS!$E$31:$E$167)*Impacts!$F$18))</f>
        <v>0</v>
      </c>
      <c r="W1617" s="10">
        <f t="shared" si="65"/>
        <v>0</v>
      </c>
      <c r="AK1617" s="10" t="str">
        <f t="array" ref="AK1617">IFERROR(INDEX(SelectedSpecies,SMALL(IF(SelectedSpecies=AK$1,ROW(SelectedSpecies)),ROW(1618:1618)),2),"")</f>
        <v/>
      </c>
      <c r="BE1617" s="10"/>
      <c r="BI1617" s="10"/>
    </row>
    <row r="1618" spans="1:61" ht="21" customHeight="1" x14ac:dyDescent="0.25">
      <c r="A1618" s="10"/>
      <c r="B1618" s="10"/>
      <c r="E1618" s="10"/>
      <c r="G1618" s="10"/>
      <c r="I1618" s="436" t="s">
        <v>6230</v>
      </c>
      <c r="J1618" s="26" t="s">
        <v>6229</v>
      </c>
      <c r="K1618" s="10">
        <v>1</v>
      </c>
      <c r="L1618" s="73">
        <f>IF(Tank1!$C$23="No control",(SUMIF(Tank1!$B$32:$B$49,$J1618,Tank1!$C$32:$C$49)*Impacts!$F$8),0)</f>
        <v>0</v>
      </c>
      <c r="M1618" s="10">
        <f>IF(Tank2!$C$23="No control",(SUMIF(Tank2!$B$32:$B$49,$J1618,Tank2!$C$32:$C$49)*Impacts!$F$9),0)</f>
        <v>0</v>
      </c>
      <c r="N1618" s="10">
        <f>IF(Tank3!$C$23="No control",(SUMIF(Tank3!$B$32:$B$49,$J1618,Tank3!$C$32:$C$49)*Impacts!$F$10),0)</f>
        <v>0</v>
      </c>
      <c r="O1618" s="10">
        <f>IF(Tank4!$C$23="No control",(SUMIF(Tank4!$B$32:$B$49,$J1618,Tank4!$C$32:$C$49)*Impacts!$F$11),0)</f>
        <v>0</v>
      </c>
      <c r="P1618" s="10">
        <f>IF(Tank5!$C$23="No control",(SUMIF(Tank5!$B$32:$B$49,$J1618,Tank5!$C$32:$C$49)*Impacts!$F$12),0)</f>
        <v>0</v>
      </c>
      <c r="Q1618" s="10">
        <f>IFERROR(IF(('Loading-drum,tote'!$C$21)="No control",SUMIF(('Loading-drum,tote'!$B$31:$B$48),$J1618,('Loading-drum,tote'!$D$31:$D$48))*Impacts!$F$13,IF(('Loading-drum,tote'!$C$21)&lt;&gt;"No control",SUMIF(('Loading-drum,tote'!$B$31:$B$48),$J1618,('Loading-drum,tote'!$E$31:$E$48))*Impacts!$F$13,0)),0)</f>
        <v>0</v>
      </c>
      <c r="R1618" s="10">
        <f>IFERROR(IF(('Loading-truck'!$C$21)="No control",SUMIF(('Loading-truck'!$B$31:$B$48),$J1618,('Loading-truck'!$D$31:$D$48))*Impacts!$F$14,IF(('Loading-truck'!$C$21)&lt;&gt;"No control",SUMIF(('Loading-truck'!$B$31:$B$48),$J1618,('Loading-truck'!$E$31:$E$48))*Impacts!$F$14,0)),0)</f>
        <v>0</v>
      </c>
      <c r="S1618" s="10">
        <f>IFERROR(IF(('Loading-rail'!$C$21)="No control",SUMIF(('Loading-rail'!$B$31:$B$48),$J1618,('Loading-rail'!$D$31:$D$48))*Impacts!$F$15,IF(('Loading-rail'!$C$21)&lt;&gt;"No control",SUMIF(('Loading-rail'!$B$31:$B$48),$J1618,('Loading-rail'!$E$31:$E$48))*Impacts!$F$15,0)),0)</f>
        <v>0</v>
      </c>
      <c r="T1618" s="10">
        <f>IF(Flare!$C$7="",0,(SUMIF(Flare!$B$46:$B$185,$J1618,Flare!$E$46:$E$185)*Impacts!$F$16))</f>
        <v>0</v>
      </c>
      <c r="U1618" s="10">
        <f>IF(VCU!$C$9="",0,(SUMIF(VCU!$B$51:$B$193,$J1618,VCU!$E$51:$E$193)*Impacts!$F$17))</f>
        <v>0</v>
      </c>
      <c r="V1618" s="10">
        <f>IF(CAS!$C$7="",0,(SUMIF(CAS!$B$31:$B$167,$J1618,CAS!$E$31:$E$167)*Impacts!$F$18))</f>
        <v>0</v>
      </c>
      <c r="W1618" s="10">
        <f t="shared" si="65"/>
        <v>0</v>
      </c>
      <c r="AK1618" s="10" t="str">
        <f t="array" ref="AK1618">IFERROR(INDEX(SelectedSpecies,SMALL(IF(SelectedSpecies=AK$1,ROW(SelectedSpecies)),ROW(1619:1619)),2),"")</f>
        <v/>
      </c>
      <c r="BE1618" s="10"/>
      <c r="BI1618" s="10"/>
    </row>
    <row r="1619" spans="1:61" ht="21" customHeight="1" x14ac:dyDescent="0.25">
      <c r="A1619" s="10"/>
      <c r="B1619" s="10"/>
      <c r="E1619" s="10"/>
      <c r="G1619" s="10"/>
      <c r="I1619" s="436" t="s">
        <v>6232</v>
      </c>
      <c r="J1619" s="26" t="s">
        <v>6231</v>
      </c>
      <c r="K1619" s="10">
        <v>1</v>
      </c>
      <c r="L1619" s="73">
        <f>IF(Tank1!$C$23="No control",(SUMIF(Tank1!$B$32:$B$49,$J1619,Tank1!$C$32:$C$49)*Impacts!$F$8),0)</f>
        <v>0</v>
      </c>
      <c r="M1619" s="10">
        <f>IF(Tank2!$C$23="No control",(SUMIF(Tank2!$B$32:$B$49,$J1619,Tank2!$C$32:$C$49)*Impacts!$F$9),0)</f>
        <v>0</v>
      </c>
      <c r="N1619" s="10">
        <f>IF(Tank3!$C$23="No control",(SUMIF(Tank3!$B$32:$B$49,$J1619,Tank3!$C$32:$C$49)*Impacts!$F$10),0)</f>
        <v>0</v>
      </c>
      <c r="O1619" s="10">
        <f>IF(Tank4!$C$23="No control",(SUMIF(Tank4!$B$32:$B$49,$J1619,Tank4!$C$32:$C$49)*Impacts!$F$11),0)</f>
        <v>0</v>
      </c>
      <c r="P1619" s="10">
        <f>IF(Tank5!$C$23="No control",(SUMIF(Tank5!$B$32:$B$49,$J1619,Tank5!$C$32:$C$49)*Impacts!$F$12),0)</f>
        <v>0</v>
      </c>
      <c r="Q1619" s="10">
        <f>IFERROR(IF(('Loading-drum,tote'!$C$21)="No control",SUMIF(('Loading-drum,tote'!$B$31:$B$48),$J1619,('Loading-drum,tote'!$D$31:$D$48))*Impacts!$F$13,IF(('Loading-drum,tote'!$C$21)&lt;&gt;"No control",SUMIF(('Loading-drum,tote'!$B$31:$B$48),$J1619,('Loading-drum,tote'!$E$31:$E$48))*Impacts!$F$13,0)),0)</f>
        <v>0</v>
      </c>
      <c r="R1619" s="10">
        <f>IFERROR(IF(('Loading-truck'!$C$21)="No control",SUMIF(('Loading-truck'!$B$31:$B$48),$J1619,('Loading-truck'!$D$31:$D$48))*Impacts!$F$14,IF(('Loading-truck'!$C$21)&lt;&gt;"No control",SUMIF(('Loading-truck'!$B$31:$B$48),$J1619,('Loading-truck'!$E$31:$E$48))*Impacts!$F$14,0)),0)</f>
        <v>0</v>
      </c>
      <c r="S1619" s="10">
        <f>IFERROR(IF(('Loading-rail'!$C$21)="No control",SUMIF(('Loading-rail'!$B$31:$B$48),$J1619,('Loading-rail'!$D$31:$D$48))*Impacts!$F$15,IF(('Loading-rail'!$C$21)&lt;&gt;"No control",SUMIF(('Loading-rail'!$B$31:$B$48),$J1619,('Loading-rail'!$E$31:$E$48))*Impacts!$F$15,0)),0)</f>
        <v>0</v>
      </c>
      <c r="T1619" s="10">
        <f>IF(Flare!$C$7="",0,(SUMIF(Flare!$B$46:$B$185,$J1619,Flare!$E$46:$E$185)*Impacts!$F$16))</f>
        <v>0</v>
      </c>
      <c r="U1619" s="10">
        <f>IF(VCU!$C$9="",0,(SUMIF(VCU!$B$51:$B$193,$J1619,VCU!$E$51:$E$193)*Impacts!$F$17))</f>
        <v>0</v>
      </c>
      <c r="V1619" s="10">
        <f>IF(CAS!$C$7="",0,(SUMIF(CAS!$B$31:$B$167,$J1619,CAS!$E$31:$E$167)*Impacts!$F$18))</f>
        <v>0</v>
      </c>
      <c r="W1619" s="10">
        <f t="shared" si="65"/>
        <v>0</v>
      </c>
      <c r="AK1619" s="10" t="str">
        <f t="array" ref="AK1619">IFERROR(INDEX(SelectedSpecies,SMALL(IF(SelectedSpecies=AK$1,ROW(SelectedSpecies)),ROW(1620:1620)),2),"")</f>
        <v/>
      </c>
      <c r="BE1619" s="10"/>
      <c r="BI1619" s="10"/>
    </row>
    <row r="1620" spans="1:61" ht="21" customHeight="1" x14ac:dyDescent="0.25">
      <c r="A1620" s="10"/>
      <c r="B1620" s="10"/>
      <c r="E1620" s="10"/>
      <c r="G1620" s="10"/>
      <c r="I1620" s="436" t="s">
        <v>6234</v>
      </c>
      <c r="J1620" s="26" t="s">
        <v>6233</v>
      </c>
      <c r="K1620" s="10">
        <v>1</v>
      </c>
      <c r="L1620" s="73">
        <f>IF(Tank1!$C$23="No control",(SUMIF(Tank1!$B$32:$B$49,$J1620,Tank1!$C$32:$C$49)*Impacts!$F$8),0)</f>
        <v>0</v>
      </c>
      <c r="M1620" s="10">
        <f>IF(Tank2!$C$23="No control",(SUMIF(Tank2!$B$32:$B$49,$J1620,Tank2!$C$32:$C$49)*Impacts!$F$9),0)</f>
        <v>0</v>
      </c>
      <c r="N1620" s="10">
        <f>IF(Tank3!$C$23="No control",(SUMIF(Tank3!$B$32:$B$49,$J1620,Tank3!$C$32:$C$49)*Impacts!$F$10),0)</f>
        <v>0</v>
      </c>
      <c r="O1620" s="10">
        <f>IF(Tank4!$C$23="No control",(SUMIF(Tank4!$B$32:$B$49,$J1620,Tank4!$C$32:$C$49)*Impacts!$F$11),0)</f>
        <v>0</v>
      </c>
      <c r="P1620" s="10">
        <f>IF(Tank5!$C$23="No control",(SUMIF(Tank5!$B$32:$B$49,$J1620,Tank5!$C$32:$C$49)*Impacts!$F$12),0)</f>
        <v>0</v>
      </c>
      <c r="Q1620" s="10">
        <f>IFERROR(IF(('Loading-drum,tote'!$C$21)="No control",SUMIF(('Loading-drum,tote'!$B$31:$B$48),$J1620,('Loading-drum,tote'!$D$31:$D$48))*Impacts!$F$13,IF(('Loading-drum,tote'!$C$21)&lt;&gt;"No control",SUMIF(('Loading-drum,tote'!$B$31:$B$48),$J1620,('Loading-drum,tote'!$E$31:$E$48))*Impacts!$F$13,0)),0)</f>
        <v>0</v>
      </c>
      <c r="R1620" s="10">
        <f>IFERROR(IF(('Loading-truck'!$C$21)="No control",SUMIF(('Loading-truck'!$B$31:$B$48),$J1620,('Loading-truck'!$D$31:$D$48))*Impacts!$F$14,IF(('Loading-truck'!$C$21)&lt;&gt;"No control",SUMIF(('Loading-truck'!$B$31:$B$48),$J1620,('Loading-truck'!$E$31:$E$48))*Impacts!$F$14,0)),0)</f>
        <v>0</v>
      </c>
      <c r="S1620" s="10">
        <f>IFERROR(IF(('Loading-rail'!$C$21)="No control",SUMIF(('Loading-rail'!$B$31:$B$48),$J1620,('Loading-rail'!$D$31:$D$48))*Impacts!$F$15,IF(('Loading-rail'!$C$21)&lt;&gt;"No control",SUMIF(('Loading-rail'!$B$31:$B$48),$J1620,('Loading-rail'!$E$31:$E$48))*Impacts!$F$15,0)),0)</f>
        <v>0</v>
      </c>
      <c r="T1620" s="10">
        <f>IF(Flare!$C$7="",0,(SUMIF(Flare!$B$46:$B$185,$J1620,Flare!$E$46:$E$185)*Impacts!$F$16))</f>
        <v>0</v>
      </c>
      <c r="U1620" s="10">
        <f>IF(VCU!$C$9="",0,(SUMIF(VCU!$B$51:$B$193,$J1620,VCU!$E$51:$E$193)*Impacts!$F$17))</f>
        <v>0</v>
      </c>
      <c r="V1620" s="10">
        <f>IF(CAS!$C$7="",0,(SUMIF(CAS!$B$31:$B$167,$J1620,CAS!$E$31:$E$167)*Impacts!$F$18))</f>
        <v>0</v>
      </c>
      <c r="W1620" s="10">
        <f t="shared" si="65"/>
        <v>0</v>
      </c>
      <c r="AK1620" s="10" t="str">
        <f t="array" ref="AK1620">IFERROR(INDEX(SelectedSpecies,SMALL(IF(SelectedSpecies=AK$1,ROW(SelectedSpecies)),ROW(1621:1621)),2),"")</f>
        <v/>
      </c>
      <c r="BE1620" s="10"/>
      <c r="BI1620" s="10"/>
    </row>
    <row r="1621" spans="1:61" ht="21" customHeight="1" x14ac:dyDescent="0.25">
      <c r="A1621" s="10"/>
      <c r="B1621" s="10"/>
      <c r="E1621" s="10"/>
      <c r="G1621" s="10"/>
      <c r="I1621" s="436" t="s">
        <v>6236</v>
      </c>
      <c r="J1621" s="26" t="s">
        <v>6235</v>
      </c>
      <c r="K1621" s="10">
        <v>1</v>
      </c>
      <c r="L1621" s="73">
        <f>IF(Tank1!$C$23="No control",(SUMIF(Tank1!$B$32:$B$49,$J1621,Tank1!$C$32:$C$49)*Impacts!$F$8),0)</f>
        <v>0</v>
      </c>
      <c r="M1621" s="10">
        <f>IF(Tank2!$C$23="No control",(SUMIF(Tank2!$B$32:$B$49,$J1621,Tank2!$C$32:$C$49)*Impacts!$F$9),0)</f>
        <v>0</v>
      </c>
      <c r="N1621" s="10">
        <f>IF(Tank3!$C$23="No control",(SUMIF(Tank3!$B$32:$B$49,$J1621,Tank3!$C$32:$C$49)*Impacts!$F$10),0)</f>
        <v>0</v>
      </c>
      <c r="O1621" s="10">
        <f>IF(Tank4!$C$23="No control",(SUMIF(Tank4!$B$32:$B$49,$J1621,Tank4!$C$32:$C$49)*Impacts!$F$11),0)</f>
        <v>0</v>
      </c>
      <c r="P1621" s="10">
        <f>IF(Tank5!$C$23="No control",(SUMIF(Tank5!$B$32:$B$49,$J1621,Tank5!$C$32:$C$49)*Impacts!$F$12),0)</f>
        <v>0</v>
      </c>
      <c r="Q1621" s="10">
        <f>IFERROR(IF(('Loading-drum,tote'!$C$21)="No control",SUMIF(('Loading-drum,tote'!$B$31:$B$48),$J1621,('Loading-drum,tote'!$D$31:$D$48))*Impacts!$F$13,IF(('Loading-drum,tote'!$C$21)&lt;&gt;"No control",SUMIF(('Loading-drum,tote'!$B$31:$B$48),$J1621,('Loading-drum,tote'!$E$31:$E$48))*Impacts!$F$13,0)),0)</f>
        <v>0</v>
      </c>
      <c r="R1621" s="10">
        <f>IFERROR(IF(('Loading-truck'!$C$21)="No control",SUMIF(('Loading-truck'!$B$31:$B$48),$J1621,('Loading-truck'!$D$31:$D$48))*Impacts!$F$14,IF(('Loading-truck'!$C$21)&lt;&gt;"No control",SUMIF(('Loading-truck'!$B$31:$B$48),$J1621,('Loading-truck'!$E$31:$E$48))*Impacts!$F$14,0)),0)</f>
        <v>0</v>
      </c>
      <c r="S1621" s="10">
        <f>IFERROR(IF(('Loading-rail'!$C$21)="No control",SUMIF(('Loading-rail'!$B$31:$B$48),$J1621,('Loading-rail'!$D$31:$D$48))*Impacts!$F$15,IF(('Loading-rail'!$C$21)&lt;&gt;"No control",SUMIF(('Loading-rail'!$B$31:$B$48),$J1621,('Loading-rail'!$E$31:$E$48))*Impacts!$F$15,0)),0)</f>
        <v>0</v>
      </c>
      <c r="T1621" s="10">
        <f>IF(Flare!$C$7="",0,(SUMIF(Flare!$B$46:$B$185,$J1621,Flare!$E$46:$E$185)*Impacts!$F$16))</f>
        <v>0</v>
      </c>
      <c r="U1621" s="10">
        <f>IF(VCU!$C$9="",0,(SUMIF(VCU!$B$51:$B$193,$J1621,VCU!$E$51:$E$193)*Impacts!$F$17))</f>
        <v>0</v>
      </c>
      <c r="V1621" s="10">
        <f>IF(CAS!$C$7="",0,(SUMIF(CAS!$B$31:$B$167,$J1621,CAS!$E$31:$E$167)*Impacts!$F$18))</f>
        <v>0</v>
      </c>
      <c r="W1621" s="10">
        <f t="shared" si="65"/>
        <v>0</v>
      </c>
      <c r="AK1621" s="10" t="str">
        <f t="array" ref="AK1621">IFERROR(INDEX(SelectedSpecies,SMALL(IF(SelectedSpecies=AK$1,ROW(SelectedSpecies)),ROW(1622:1622)),2),"")</f>
        <v/>
      </c>
      <c r="BE1621" s="10"/>
      <c r="BI1621" s="10"/>
    </row>
    <row r="1622" spans="1:61" ht="21" customHeight="1" x14ac:dyDescent="0.25">
      <c r="A1622" s="10"/>
      <c r="B1622" s="10"/>
      <c r="E1622" s="10"/>
      <c r="G1622" s="10"/>
      <c r="I1622" s="436" t="s">
        <v>5519</v>
      </c>
      <c r="J1622" s="26" t="s">
        <v>5518</v>
      </c>
      <c r="K1622" s="10">
        <v>1.25</v>
      </c>
      <c r="L1622" s="73">
        <f>IF(Tank1!$C$23="No control",(SUMIF(Tank1!$B$32:$B$49,$J1622,Tank1!$C$32:$C$49)*Impacts!$F$8),0)</f>
        <v>0</v>
      </c>
      <c r="M1622" s="10">
        <f>IF(Tank2!$C$23="No control",(SUMIF(Tank2!$B$32:$B$49,$J1622,Tank2!$C$32:$C$49)*Impacts!$F$9),0)</f>
        <v>0</v>
      </c>
      <c r="N1622" s="10">
        <f>IF(Tank3!$C$23="No control",(SUMIF(Tank3!$B$32:$B$49,$J1622,Tank3!$C$32:$C$49)*Impacts!$F$10),0)</f>
        <v>0</v>
      </c>
      <c r="O1622" s="10">
        <f>IF(Tank4!$C$23="No control",(SUMIF(Tank4!$B$32:$B$49,$J1622,Tank4!$C$32:$C$49)*Impacts!$F$11),0)</f>
        <v>0</v>
      </c>
      <c r="P1622" s="10">
        <f>IF(Tank5!$C$23="No control",(SUMIF(Tank5!$B$32:$B$49,$J1622,Tank5!$C$32:$C$49)*Impacts!$F$12),0)</f>
        <v>0</v>
      </c>
      <c r="Q1622" s="10">
        <f>IFERROR(IF(('Loading-drum,tote'!$C$21)="No control",SUMIF(('Loading-drum,tote'!$B$31:$B$48),$J1622,('Loading-drum,tote'!$D$31:$D$48))*Impacts!$F$13,IF(('Loading-drum,tote'!$C$21)&lt;&gt;"No control",SUMIF(('Loading-drum,tote'!$B$31:$B$48),$J1622,('Loading-drum,tote'!$E$31:$E$48))*Impacts!$F$13,0)),0)</f>
        <v>0</v>
      </c>
      <c r="R1622" s="10">
        <f>IFERROR(IF(('Loading-truck'!$C$21)="No control",SUMIF(('Loading-truck'!$B$31:$B$48),$J1622,('Loading-truck'!$D$31:$D$48))*Impacts!$F$14,IF(('Loading-truck'!$C$21)&lt;&gt;"No control",SUMIF(('Loading-truck'!$B$31:$B$48),$J1622,('Loading-truck'!$E$31:$E$48))*Impacts!$F$14,0)),0)</f>
        <v>0</v>
      </c>
      <c r="S1622" s="10">
        <f>IFERROR(IF(('Loading-rail'!$C$21)="No control",SUMIF(('Loading-rail'!$B$31:$B$48),$J1622,('Loading-rail'!$D$31:$D$48))*Impacts!$F$15,IF(('Loading-rail'!$C$21)&lt;&gt;"No control",SUMIF(('Loading-rail'!$B$31:$B$48),$J1622,('Loading-rail'!$E$31:$E$48))*Impacts!$F$15,0)),0)</f>
        <v>0</v>
      </c>
      <c r="T1622" s="10">
        <f>IF(Flare!$C$7="",0,(SUMIF(Flare!$B$46:$B$185,$J1622,Flare!$E$46:$E$185)*Impacts!$F$16))</f>
        <v>0</v>
      </c>
      <c r="U1622" s="10">
        <f>IF(VCU!$C$9="",0,(SUMIF(VCU!$B$51:$B$193,$J1622,VCU!$E$51:$E$193)*Impacts!$F$17))</f>
        <v>0</v>
      </c>
      <c r="V1622" s="10">
        <f>IF(CAS!$C$7="",0,(SUMIF(CAS!$B$31:$B$167,$J1622,CAS!$E$31:$E$167)*Impacts!$F$18))</f>
        <v>0</v>
      </c>
      <c r="W1622" s="10">
        <f t="shared" si="65"/>
        <v>0</v>
      </c>
      <c r="AK1622" s="10" t="str">
        <f t="array" ref="AK1622">IFERROR(INDEX(SelectedSpecies,SMALL(IF(SelectedSpecies=AK$1,ROW(SelectedSpecies)),ROW(1623:1623)),2),"")</f>
        <v/>
      </c>
      <c r="BE1622" s="10"/>
      <c r="BI1622" s="10"/>
    </row>
    <row r="1623" spans="1:61" ht="21" customHeight="1" x14ac:dyDescent="0.25">
      <c r="A1623" s="10"/>
      <c r="B1623" s="10"/>
      <c r="E1623" s="10"/>
      <c r="G1623" s="10"/>
      <c r="I1623" s="436" t="s">
        <v>6632</v>
      </c>
      <c r="J1623" s="26" t="s">
        <v>6631</v>
      </c>
      <c r="K1623" s="10">
        <v>0.60000000000000009</v>
      </c>
      <c r="L1623" s="73">
        <f>IF(Tank1!$C$23="No control",(SUMIF(Tank1!$B$32:$B$49,$J1623,Tank1!$C$32:$C$49)*Impacts!$F$8),0)</f>
        <v>0</v>
      </c>
      <c r="M1623" s="10">
        <f>IF(Tank2!$C$23="No control",(SUMIF(Tank2!$B$32:$B$49,$J1623,Tank2!$C$32:$C$49)*Impacts!$F$9),0)</f>
        <v>0</v>
      </c>
      <c r="N1623" s="10">
        <f>IF(Tank3!$C$23="No control",(SUMIF(Tank3!$B$32:$B$49,$J1623,Tank3!$C$32:$C$49)*Impacts!$F$10),0)</f>
        <v>0</v>
      </c>
      <c r="O1623" s="10">
        <f>IF(Tank4!$C$23="No control",(SUMIF(Tank4!$B$32:$B$49,$J1623,Tank4!$C$32:$C$49)*Impacts!$F$11),0)</f>
        <v>0</v>
      </c>
      <c r="P1623" s="10">
        <f>IF(Tank5!$C$23="No control",(SUMIF(Tank5!$B$32:$B$49,$J1623,Tank5!$C$32:$C$49)*Impacts!$F$12),0)</f>
        <v>0</v>
      </c>
      <c r="Q1623" s="10">
        <f>IFERROR(IF(('Loading-drum,tote'!$C$21)="No control",SUMIF(('Loading-drum,tote'!$B$31:$B$48),$J1623,('Loading-drum,tote'!$D$31:$D$48))*Impacts!$F$13,IF(('Loading-drum,tote'!$C$21)&lt;&gt;"No control",SUMIF(('Loading-drum,tote'!$B$31:$B$48),$J1623,('Loading-drum,tote'!$E$31:$E$48))*Impacts!$F$13,0)),0)</f>
        <v>0</v>
      </c>
      <c r="R1623" s="10">
        <f>IFERROR(IF(('Loading-truck'!$C$21)="No control",SUMIF(('Loading-truck'!$B$31:$B$48),$J1623,('Loading-truck'!$D$31:$D$48))*Impacts!$F$14,IF(('Loading-truck'!$C$21)&lt;&gt;"No control",SUMIF(('Loading-truck'!$B$31:$B$48),$J1623,('Loading-truck'!$E$31:$E$48))*Impacts!$F$14,0)),0)</f>
        <v>0</v>
      </c>
      <c r="S1623" s="10">
        <f>IFERROR(IF(('Loading-rail'!$C$21)="No control",SUMIF(('Loading-rail'!$B$31:$B$48),$J1623,('Loading-rail'!$D$31:$D$48))*Impacts!$F$15,IF(('Loading-rail'!$C$21)&lt;&gt;"No control",SUMIF(('Loading-rail'!$B$31:$B$48),$J1623,('Loading-rail'!$E$31:$E$48))*Impacts!$F$15,0)),0)</f>
        <v>0</v>
      </c>
      <c r="T1623" s="10">
        <f>IF(Flare!$C$7="",0,(SUMIF(Flare!$B$46:$B$185,$J1623,Flare!$E$46:$E$185)*Impacts!$F$16))</f>
        <v>0</v>
      </c>
      <c r="U1623" s="10">
        <f>IF(VCU!$C$9="",0,(SUMIF(VCU!$B$51:$B$193,$J1623,VCU!$E$51:$E$193)*Impacts!$F$17))</f>
        <v>0</v>
      </c>
      <c r="V1623" s="10">
        <f>IF(CAS!$C$7="",0,(SUMIF(CAS!$B$31:$B$167,$J1623,CAS!$E$31:$E$167)*Impacts!$F$18))</f>
        <v>0</v>
      </c>
      <c r="W1623" s="10">
        <f t="shared" si="65"/>
        <v>0</v>
      </c>
      <c r="AK1623" s="10" t="str">
        <f t="array" ref="AK1623">IFERROR(INDEX(SelectedSpecies,SMALL(IF(SelectedSpecies=AK$1,ROW(SelectedSpecies)),ROW(1624:1624)),2),"")</f>
        <v/>
      </c>
      <c r="BE1623" s="10"/>
      <c r="BI1623" s="10"/>
    </row>
    <row r="1624" spans="1:61" ht="21" customHeight="1" x14ac:dyDescent="0.25">
      <c r="A1624" s="10"/>
      <c r="B1624" s="10"/>
      <c r="E1624" s="10"/>
      <c r="G1624" s="10"/>
      <c r="I1624" s="436" t="s">
        <v>2845</v>
      </c>
      <c r="J1624" s="26" t="s">
        <v>2844</v>
      </c>
      <c r="K1624" s="10">
        <v>10</v>
      </c>
      <c r="L1624" s="73">
        <f>IF(Tank1!$C$23="No control",(SUMIF(Tank1!$B$32:$B$49,$J1624,Tank1!$C$32:$C$49)*Impacts!$F$8),0)</f>
        <v>0</v>
      </c>
      <c r="M1624" s="10">
        <f>IF(Tank2!$C$23="No control",(SUMIF(Tank2!$B$32:$B$49,$J1624,Tank2!$C$32:$C$49)*Impacts!$F$9),0)</f>
        <v>0</v>
      </c>
      <c r="N1624" s="10">
        <f>IF(Tank3!$C$23="No control",(SUMIF(Tank3!$B$32:$B$49,$J1624,Tank3!$C$32:$C$49)*Impacts!$F$10),0)</f>
        <v>0</v>
      </c>
      <c r="O1624" s="10">
        <f>IF(Tank4!$C$23="No control",(SUMIF(Tank4!$B$32:$B$49,$J1624,Tank4!$C$32:$C$49)*Impacts!$F$11),0)</f>
        <v>0</v>
      </c>
      <c r="P1624" s="10">
        <f>IF(Tank5!$C$23="No control",(SUMIF(Tank5!$B$32:$B$49,$J1624,Tank5!$C$32:$C$49)*Impacts!$F$12),0)</f>
        <v>0</v>
      </c>
      <c r="Q1624" s="10">
        <f>IFERROR(IF(('Loading-drum,tote'!$C$21)="No control",SUMIF(('Loading-drum,tote'!$B$31:$B$48),$J1624,('Loading-drum,tote'!$D$31:$D$48))*Impacts!$F$13,IF(('Loading-drum,tote'!$C$21)&lt;&gt;"No control",SUMIF(('Loading-drum,tote'!$B$31:$B$48),$J1624,('Loading-drum,tote'!$E$31:$E$48))*Impacts!$F$13,0)),0)</f>
        <v>0</v>
      </c>
      <c r="R1624" s="10">
        <f>IFERROR(IF(('Loading-truck'!$C$21)="No control",SUMIF(('Loading-truck'!$B$31:$B$48),$J1624,('Loading-truck'!$D$31:$D$48))*Impacts!$F$14,IF(('Loading-truck'!$C$21)&lt;&gt;"No control",SUMIF(('Loading-truck'!$B$31:$B$48),$J1624,('Loading-truck'!$E$31:$E$48))*Impacts!$F$14,0)),0)</f>
        <v>0</v>
      </c>
      <c r="S1624" s="10">
        <f>IFERROR(IF(('Loading-rail'!$C$21)="No control",SUMIF(('Loading-rail'!$B$31:$B$48),$J1624,('Loading-rail'!$D$31:$D$48))*Impacts!$F$15,IF(('Loading-rail'!$C$21)&lt;&gt;"No control",SUMIF(('Loading-rail'!$B$31:$B$48),$J1624,('Loading-rail'!$E$31:$E$48))*Impacts!$F$15,0)),0)</f>
        <v>0</v>
      </c>
      <c r="T1624" s="10">
        <f>IF(Flare!$C$7="",0,(SUMIF(Flare!$B$46:$B$185,$J1624,Flare!$E$46:$E$185)*Impacts!$F$16))</f>
        <v>0</v>
      </c>
      <c r="U1624" s="10">
        <f>IF(VCU!$C$9="",0,(SUMIF(VCU!$B$51:$B$193,$J1624,VCU!$E$51:$E$193)*Impacts!$F$17))</f>
        <v>0</v>
      </c>
      <c r="V1624" s="10">
        <f>IF(CAS!$C$7="",0,(SUMIF(CAS!$B$31:$B$167,$J1624,CAS!$E$31:$E$167)*Impacts!$F$18))</f>
        <v>0</v>
      </c>
      <c r="W1624" s="10">
        <f t="shared" si="65"/>
        <v>0</v>
      </c>
      <c r="AK1624" s="10" t="str">
        <f t="array" ref="AK1624">IFERROR(INDEX(SelectedSpecies,SMALL(IF(SelectedSpecies=AK$1,ROW(SelectedSpecies)),ROW(1625:1625)),2),"")</f>
        <v/>
      </c>
      <c r="BE1624" s="10"/>
      <c r="BI1624" s="10"/>
    </row>
    <row r="1625" spans="1:61" ht="21" customHeight="1" x14ac:dyDescent="0.25">
      <c r="A1625" s="10"/>
      <c r="B1625" s="10"/>
      <c r="E1625" s="10"/>
      <c r="G1625" s="10"/>
      <c r="I1625" s="436" t="s">
        <v>6828</v>
      </c>
      <c r="J1625" s="26" t="s">
        <v>6827</v>
      </c>
      <c r="K1625" s="10">
        <v>0.5</v>
      </c>
      <c r="L1625" s="73">
        <f>IF(Tank1!$C$23="No control",(SUMIF(Tank1!$B$32:$B$49,$J1625,Tank1!$C$32:$C$49)*Impacts!$F$8),0)</f>
        <v>0</v>
      </c>
      <c r="M1625" s="10">
        <f>IF(Tank2!$C$23="No control",(SUMIF(Tank2!$B$32:$B$49,$J1625,Tank2!$C$32:$C$49)*Impacts!$F$9),0)</f>
        <v>0</v>
      </c>
      <c r="N1625" s="10">
        <f>IF(Tank3!$C$23="No control",(SUMIF(Tank3!$B$32:$B$49,$J1625,Tank3!$C$32:$C$49)*Impacts!$F$10),0)</f>
        <v>0</v>
      </c>
      <c r="O1625" s="10">
        <f>IF(Tank4!$C$23="No control",(SUMIF(Tank4!$B$32:$B$49,$J1625,Tank4!$C$32:$C$49)*Impacts!$F$11),0)</f>
        <v>0</v>
      </c>
      <c r="P1625" s="10">
        <f>IF(Tank5!$C$23="No control",(SUMIF(Tank5!$B$32:$B$49,$J1625,Tank5!$C$32:$C$49)*Impacts!$F$12),0)</f>
        <v>0</v>
      </c>
      <c r="Q1625" s="10">
        <f>IFERROR(IF(('Loading-drum,tote'!$C$21)="No control",SUMIF(('Loading-drum,tote'!$B$31:$B$48),$J1625,('Loading-drum,tote'!$D$31:$D$48))*Impacts!$F$13,IF(('Loading-drum,tote'!$C$21)&lt;&gt;"No control",SUMIF(('Loading-drum,tote'!$B$31:$B$48),$J1625,('Loading-drum,tote'!$E$31:$E$48))*Impacts!$F$13,0)),0)</f>
        <v>0</v>
      </c>
      <c r="R1625" s="10">
        <f>IFERROR(IF(('Loading-truck'!$C$21)="No control",SUMIF(('Loading-truck'!$B$31:$B$48),$J1625,('Loading-truck'!$D$31:$D$48))*Impacts!$F$14,IF(('Loading-truck'!$C$21)&lt;&gt;"No control",SUMIF(('Loading-truck'!$B$31:$B$48),$J1625,('Loading-truck'!$E$31:$E$48))*Impacts!$F$14,0)),0)</f>
        <v>0</v>
      </c>
      <c r="S1625" s="10">
        <f>IFERROR(IF(('Loading-rail'!$C$21)="No control",SUMIF(('Loading-rail'!$B$31:$B$48),$J1625,('Loading-rail'!$D$31:$D$48))*Impacts!$F$15,IF(('Loading-rail'!$C$21)&lt;&gt;"No control",SUMIF(('Loading-rail'!$B$31:$B$48),$J1625,('Loading-rail'!$E$31:$E$48))*Impacts!$F$15,0)),0)</f>
        <v>0</v>
      </c>
      <c r="T1625" s="10">
        <f>IF(Flare!$C$7="",0,(SUMIF(Flare!$B$46:$B$185,$J1625,Flare!$E$46:$E$185)*Impacts!$F$16))</f>
        <v>0</v>
      </c>
      <c r="U1625" s="10">
        <f>IF(VCU!$C$9="",0,(SUMIF(VCU!$B$51:$B$193,$J1625,VCU!$E$51:$E$193)*Impacts!$F$17))</f>
        <v>0</v>
      </c>
      <c r="V1625" s="10">
        <f>IF(CAS!$C$7="",0,(SUMIF(CAS!$B$31:$B$167,$J1625,CAS!$E$31:$E$167)*Impacts!$F$18))</f>
        <v>0</v>
      </c>
      <c r="W1625" s="10">
        <f t="shared" si="65"/>
        <v>0</v>
      </c>
      <c r="AK1625" s="10" t="str">
        <f t="array" ref="AK1625">IFERROR(INDEX(SelectedSpecies,SMALL(IF(SelectedSpecies=AK$1,ROW(SelectedSpecies)),ROW(1626:1626)),2),"")</f>
        <v/>
      </c>
      <c r="BE1625" s="10"/>
      <c r="BI1625" s="10"/>
    </row>
    <row r="1626" spans="1:61" ht="21" customHeight="1" x14ac:dyDescent="0.25">
      <c r="A1626" s="10"/>
      <c r="B1626" s="10"/>
      <c r="E1626" s="10"/>
      <c r="G1626" s="10"/>
      <c r="I1626" s="436" t="s">
        <v>7728</v>
      </c>
      <c r="J1626" s="26" t="s">
        <v>7727</v>
      </c>
      <c r="K1626" s="10">
        <v>0.1</v>
      </c>
      <c r="L1626" s="73">
        <f>IF(Tank1!$C$23="No control",(SUMIF(Tank1!$B$32:$B$49,$J1626,Tank1!$C$32:$C$49)*Impacts!$F$8),0)</f>
        <v>0</v>
      </c>
      <c r="M1626" s="10">
        <f>IF(Tank2!$C$23="No control",(SUMIF(Tank2!$B$32:$B$49,$J1626,Tank2!$C$32:$C$49)*Impacts!$F$9),0)</f>
        <v>0</v>
      </c>
      <c r="N1626" s="10">
        <f>IF(Tank3!$C$23="No control",(SUMIF(Tank3!$B$32:$B$49,$J1626,Tank3!$C$32:$C$49)*Impacts!$F$10),0)</f>
        <v>0</v>
      </c>
      <c r="O1626" s="10">
        <f>IF(Tank4!$C$23="No control",(SUMIF(Tank4!$B$32:$B$49,$J1626,Tank4!$C$32:$C$49)*Impacts!$F$11),0)</f>
        <v>0</v>
      </c>
      <c r="P1626" s="10">
        <f>IF(Tank5!$C$23="No control",(SUMIF(Tank5!$B$32:$B$49,$J1626,Tank5!$C$32:$C$49)*Impacts!$F$12),0)</f>
        <v>0</v>
      </c>
      <c r="Q1626" s="10">
        <f>IFERROR(IF(('Loading-drum,tote'!$C$21)="No control",SUMIF(('Loading-drum,tote'!$B$31:$B$48),$J1626,('Loading-drum,tote'!$D$31:$D$48))*Impacts!$F$13,IF(('Loading-drum,tote'!$C$21)&lt;&gt;"No control",SUMIF(('Loading-drum,tote'!$B$31:$B$48),$J1626,('Loading-drum,tote'!$E$31:$E$48))*Impacts!$F$13,0)),0)</f>
        <v>0</v>
      </c>
      <c r="R1626" s="10">
        <f>IFERROR(IF(('Loading-truck'!$C$21)="No control",SUMIF(('Loading-truck'!$B$31:$B$48),$J1626,('Loading-truck'!$D$31:$D$48))*Impacts!$F$14,IF(('Loading-truck'!$C$21)&lt;&gt;"No control",SUMIF(('Loading-truck'!$B$31:$B$48),$J1626,('Loading-truck'!$E$31:$E$48))*Impacts!$F$14,0)),0)</f>
        <v>0</v>
      </c>
      <c r="S1626" s="10">
        <f>IFERROR(IF(('Loading-rail'!$C$21)="No control",SUMIF(('Loading-rail'!$B$31:$B$48),$J1626,('Loading-rail'!$D$31:$D$48))*Impacts!$F$15,IF(('Loading-rail'!$C$21)&lt;&gt;"No control",SUMIF(('Loading-rail'!$B$31:$B$48),$J1626,('Loading-rail'!$E$31:$E$48))*Impacts!$F$15,0)),0)</f>
        <v>0</v>
      </c>
      <c r="T1626" s="10">
        <f>IF(Flare!$C$7="",0,(SUMIF(Flare!$B$46:$B$185,$J1626,Flare!$E$46:$E$185)*Impacts!$F$16))</f>
        <v>0</v>
      </c>
      <c r="U1626" s="10">
        <f>IF(VCU!$C$9="",0,(SUMIF(VCU!$B$51:$B$193,$J1626,VCU!$E$51:$E$193)*Impacts!$F$17))</f>
        <v>0</v>
      </c>
      <c r="V1626" s="10">
        <f>IF(CAS!$C$7="",0,(SUMIF(CAS!$B$31:$B$167,$J1626,CAS!$E$31:$E$167)*Impacts!$F$18))</f>
        <v>0</v>
      </c>
      <c r="W1626" s="10">
        <f t="shared" ref="W1626:W1689" si="66">SUM(L1626:V1626)</f>
        <v>0</v>
      </c>
      <c r="AK1626" s="10" t="str">
        <f t="array" ref="AK1626">IFERROR(INDEX(SelectedSpecies,SMALL(IF(SelectedSpecies=AK$1,ROW(SelectedSpecies)),ROW(1627:1627)),2),"")</f>
        <v/>
      </c>
      <c r="BE1626" s="10"/>
      <c r="BI1626" s="10"/>
    </row>
    <row r="1627" spans="1:61" ht="21" customHeight="1" x14ac:dyDescent="0.25">
      <c r="A1627" s="10"/>
      <c r="B1627" s="10"/>
      <c r="E1627" s="10"/>
      <c r="G1627" s="10"/>
      <c r="I1627" s="436" t="s">
        <v>4909</v>
      </c>
      <c r="J1627" s="26" t="s">
        <v>4908</v>
      </c>
      <c r="K1627" s="10">
        <v>2.6</v>
      </c>
      <c r="L1627" s="73">
        <f>IF(Tank1!$C$23="No control",(SUMIF(Tank1!$B$32:$B$49,$J1627,Tank1!$C$32:$C$49)*Impacts!$F$8),0)</f>
        <v>0</v>
      </c>
      <c r="M1627" s="10">
        <f>IF(Tank2!$C$23="No control",(SUMIF(Tank2!$B$32:$B$49,$J1627,Tank2!$C$32:$C$49)*Impacts!$F$9),0)</f>
        <v>0</v>
      </c>
      <c r="N1627" s="10">
        <f>IF(Tank3!$C$23="No control",(SUMIF(Tank3!$B$32:$B$49,$J1627,Tank3!$C$32:$C$49)*Impacts!$F$10),0)</f>
        <v>0</v>
      </c>
      <c r="O1627" s="10">
        <f>IF(Tank4!$C$23="No control",(SUMIF(Tank4!$B$32:$B$49,$J1627,Tank4!$C$32:$C$49)*Impacts!$F$11),0)</f>
        <v>0</v>
      </c>
      <c r="P1627" s="10">
        <f>IF(Tank5!$C$23="No control",(SUMIF(Tank5!$B$32:$B$49,$J1627,Tank5!$C$32:$C$49)*Impacts!$F$12),0)</f>
        <v>0</v>
      </c>
      <c r="Q1627" s="10">
        <f>IFERROR(IF(('Loading-drum,tote'!$C$21)="No control",SUMIF(('Loading-drum,tote'!$B$31:$B$48),$J1627,('Loading-drum,tote'!$D$31:$D$48))*Impacts!$F$13,IF(('Loading-drum,tote'!$C$21)&lt;&gt;"No control",SUMIF(('Loading-drum,tote'!$B$31:$B$48),$J1627,('Loading-drum,tote'!$E$31:$E$48))*Impacts!$F$13,0)),0)</f>
        <v>0</v>
      </c>
      <c r="R1627" s="10">
        <f>IFERROR(IF(('Loading-truck'!$C$21)="No control",SUMIF(('Loading-truck'!$B$31:$B$48),$J1627,('Loading-truck'!$D$31:$D$48))*Impacts!$F$14,IF(('Loading-truck'!$C$21)&lt;&gt;"No control",SUMIF(('Loading-truck'!$B$31:$B$48),$J1627,('Loading-truck'!$E$31:$E$48))*Impacts!$F$14,0)),0)</f>
        <v>0</v>
      </c>
      <c r="S1627" s="10">
        <f>IFERROR(IF(('Loading-rail'!$C$21)="No control",SUMIF(('Loading-rail'!$B$31:$B$48),$J1627,('Loading-rail'!$D$31:$D$48))*Impacts!$F$15,IF(('Loading-rail'!$C$21)&lt;&gt;"No control",SUMIF(('Loading-rail'!$B$31:$B$48),$J1627,('Loading-rail'!$E$31:$E$48))*Impacts!$F$15,0)),0)</f>
        <v>0</v>
      </c>
      <c r="T1627" s="10">
        <f>IF(Flare!$C$7="",0,(SUMIF(Flare!$B$46:$B$185,$J1627,Flare!$E$46:$E$185)*Impacts!$F$16))</f>
        <v>0</v>
      </c>
      <c r="U1627" s="10">
        <f>IF(VCU!$C$9="",0,(SUMIF(VCU!$B$51:$B$193,$J1627,VCU!$E$51:$E$193)*Impacts!$F$17))</f>
        <v>0</v>
      </c>
      <c r="V1627" s="10">
        <f>IF(CAS!$C$7="",0,(SUMIF(CAS!$B$31:$B$167,$J1627,CAS!$E$31:$E$167)*Impacts!$F$18))</f>
        <v>0</v>
      </c>
      <c r="W1627" s="10">
        <f t="shared" si="66"/>
        <v>0</v>
      </c>
      <c r="AK1627" s="10" t="str">
        <f t="array" ref="AK1627">IFERROR(INDEX(SelectedSpecies,SMALL(IF(SelectedSpecies=AK$1,ROW(SelectedSpecies)),ROW(1628:1628)),2),"")</f>
        <v/>
      </c>
      <c r="BE1627" s="10"/>
      <c r="BI1627" s="10"/>
    </row>
    <row r="1628" spans="1:61" ht="21" customHeight="1" x14ac:dyDescent="0.25">
      <c r="A1628" s="10"/>
      <c r="B1628" s="10"/>
      <c r="E1628" s="10"/>
      <c r="G1628" s="10"/>
      <c r="I1628" s="436" t="s">
        <v>1024</v>
      </c>
      <c r="J1628" s="26" t="s">
        <v>1023</v>
      </c>
      <c r="K1628" s="10">
        <v>35</v>
      </c>
      <c r="L1628" s="73">
        <f>IF(Tank1!$C$23="No control",(SUMIF(Tank1!$B$32:$B$49,$J1628,Tank1!$C$32:$C$49)*Impacts!$F$8),0)</f>
        <v>0</v>
      </c>
      <c r="M1628" s="10">
        <f>IF(Tank2!$C$23="No control",(SUMIF(Tank2!$B$32:$B$49,$J1628,Tank2!$C$32:$C$49)*Impacts!$F$9),0)</f>
        <v>0</v>
      </c>
      <c r="N1628" s="10">
        <f>IF(Tank3!$C$23="No control",(SUMIF(Tank3!$B$32:$B$49,$J1628,Tank3!$C$32:$C$49)*Impacts!$F$10),0)</f>
        <v>0</v>
      </c>
      <c r="O1628" s="10">
        <f>IF(Tank4!$C$23="No control",(SUMIF(Tank4!$B$32:$B$49,$J1628,Tank4!$C$32:$C$49)*Impacts!$F$11),0)</f>
        <v>0</v>
      </c>
      <c r="P1628" s="10">
        <f>IF(Tank5!$C$23="No control",(SUMIF(Tank5!$B$32:$B$49,$J1628,Tank5!$C$32:$C$49)*Impacts!$F$12),0)</f>
        <v>0</v>
      </c>
      <c r="Q1628" s="10">
        <f>IFERROR(IF(('Loading-drum,tote'!$C$21)="No control",SUMIF(('Loading-drum,tote'!$B$31:$B$48),$J1628,('Loading-drum,tote'!$D$31:$D$48))*Impacts!$F$13,IF(('Loading-drum,tote'!$C$21)&lt;&gt;"No control",SUMIF(('Loading-drum,tote'!$B$31:$B$48),$J1628,('Loading-drum,tote'!$E$31:$E$48))*Impacts!$F$13,0)),0)</f>
        <v>0</v>
      </c>
      <c r="R1628" s="10">
        <f>IFERROR(IF(('Loading-truck'!$C$21)="No control",SUMIF(('Loading-truck'!$B$31:$B$48),$J1628,('Loading-truck'!$D$31:$D$48))*Impacts!$F$14,IF(('Loading-truck'!$C$21)&lt;&gt;"No control",SUMIF(('Loading-truck'!$B$31:$B$48),$J1628,('Loading-truck'!$E$31:$E$48))*Impacts!$F$14,0)),0)</f>
        <v>0</v>
      </c>
      <c r="S1628" s="10">
        <f>IFERROR(IF(('Loading-rail'!$C$21)="No control",SUMIF(('Loading-rail'!$B$31:$B$48),$J1628,('Loading-rail'!$D$31:$D$48))*Impacts!$F$15,IF(('Loading-rail'!$C$21)&lt;&gt;"No control",SUMIF(('Loading-rail'!$B$31:$B$48),$J1628,('Loading-rail'!$E$31:$E$48))*Impacts!$F$15,0)),0)</f>
        <v>0</v>
      </c>
      <c r="T1628" s="10">
        <f>IF(Flare!$C$7="",0,(SUMIF(Flare!$B$46:$B$185,$J1628,Flare!$E$46:$E$185)*Impacts!$F$16))</f>
        <v>0</v>
      </c>
      <c r="U1628" s="10">
        <f>IF(VCU!$C$9="",0,(SUMIF(VCU!$B$51:$B$193,$J1628,VCU!$E$51:$E$193)*Impacts!$F$17))</f>
        <v>0</v>
      </c>
      <c r="V1628" s="10">
        <f>IF(CAS!$C$7="",0,(SUMIF(CAS!$B$31:$B$167,$J1628,CAS!$E$31:$E$167)*Impacts!$F$18))</f>
        <v>0</v>
      </c>
      <c r="W1628" s="10">
        <f t="shared" si="66"/>
        <v>0</v>
      </c>
      <c r="AK1628" s="10" t="str">
        <f t="array" ref="AK1628">IFERROR(INDEX(SelectedSpecies,SMALL(IF(SelectedSpecies=AK$1,ROW(SelectedSpecies)),ROW(1629:1629)),2),"")</f>
        <v/>
      </c>
      <c r="BE1628" s="10"/>
      <c r="BI1628" s="10"/>
    </row>
    <row r="1629" spans="1:61" ht="21" customHeight="1" x14ac:dyDescent="0.25">
      <c r="A1629" s="10"/>
      <c r="B1629" s="10"/>
      <c r="E1629" s="10"/>
      <c r="G1629" s="10"/>
      <c r="I1629" s="436" t="s">
        <v>1026</v>
      </c>
      <c r="J1629" s="26" t="s">
        <v>1025</v>
      </c>
      <c r="K1629" s="10">
        <v>35</v>
      </c>
      <c r="L1629" s="73">
        <f>IF(Tank1!$C$23="No control",(SUMIF(Tank1!$B$32:$B$49,$J1629,Tank1!$C$32:$C$49)*Impacts!$F$8),0)</f>
        <v>0</v>
      </c>
      <c r="M1629" s="10">
        <f>IF(Tank2!$C$23="No control",(SUMIF(Tank2!$B$32:$B$49,$J1629,Tank2!$C$32:$C$49)*Impacts!$F$9),0)</f>
        <v>0</v>
      </c>
      <c r="N1629" s="10">
        <f>IF(Tank3!$C$23="No control",(SUMIF(Tank3!$B$32:$B$49,$J1629,Tank3!$C$32:$C$49)*Impacts!$F$10),0)</f>
        <v>0</v>
      </c>
      <c r="O1629" s="10">
        <f>IF(Tank4!$C$23="No control",(SUMIF(Tank4!$B$32:$B$49,$J1629,Tank4!$C$32:$C$49)*Impacts!$F$11),0)</f>
        <v>0</v>
      </c>
      <c r="P1629" s="10">
        <f>IF(Tank5!$C$23="No control",(SUMIF(Tank5!$B$32:$B$49,$J1629,Tank5!$C$32:$C$49)*Impacts!$F$12),0)</f>
        <v>0</v>
      </c>
      <c r="Q1629" s="10">
        <f>IFERROR(IF(('Loading-drum,tote'!$C$21)="No control",SUMIF(('Loading-drum,tote'!$B$31:$B$48),$J1629,('Loading-drum,tote'!$D$31:$D$48))*Impacts!$F$13,IF(('Loading-drum,tote'!$C$21)&lt;&gt;"No control",SUMIF(('Loading-drum,tote'!$B$31:$B$48),$J1629,('Loading-drum,tote'!$E$31:$E$48))*Impacts!$F$13,0)),0)</f>
        <v>0</v>
      </c>
      <c r="R1629" s="10">
        <f>IFERROR(IF(('Loading-truck'!$C$21)="No control",SUMIF(('Loading-truck'!$B$31:$B$48),$J1629,('Loading-truck'!$D$31:$D$48))*Impacts!$F$14,IF(('Loading-truck'!$C$21)&lt;&gt;"No control",SUMIF(('Loading-truck'!$B$31:$B$48),$J1629,('Loading-truck'!$E$31:$E$48))*Impacts!$F$14,0)),0)</f>
        <v>0</v>
      </c>
      <c r="S1629" s="10">
        <f>IFERROR(IF(('Loading-rail'!$C$21)="No control",SUMIF(('Loading-rail'!$B$31:$B$48),$J1629,('Loading-rail'!$D$31:$D$48))*Impacts!$F$15,IF(('Loading-rail'!$C$21)&lt;&gt;"No control",SUMIF(('Loading-rail'!$B$31:$B$48),$J1629,('Loading-rail'!$E$31:$E$48))*Impacts!$F$15,0)),0)</f>
        <v>0</v>
      </c>
      <c r="T1629" s="10">
        <f>IF(Flare!$C$7="",0,(SUMIF(Flare!$B$46:$B$185,$J1629,Flare!$E$46:$E$185)*Impacts!$F$16))</f>
        <v>0</v>
      </c>
      <c r="U1629" s="10">
        <f>IF(VCU!$C$9="",0,(SUMIF(VCU!$B$51:$B$193,$J1629,VCU!$E$51:$E$193)*Impacts!$F$17))</f>
        <v>0</v>
      </c>
      <c r="V1629" s="10">
        <f>IF(CAS!$C$7="",0,(SUMIF(CAS!$B$31:$B$167,$J1629,CAS!$E$31:$E$167)*Impacts!$F$18))</f>
        <v>0</v>
      </c>
      <c r="W1629" s="10">
        <f t="shared" si="66"/>
        <v>0</v>
      </c>
      <c r="AK1629" s="10" t="str">
        <f t="array" ref="AK1629">IFERROR(INDEX(SelectedSpecies,SMALL(IF(SelectedSpecies=AK$1,ROW(SelectedSpecies)),ROW(1630:1630)),2),"")</f>
        <v/>
      </c>
      <c r="BE1629" s="10"/>
      <c r="BI1629" s="10"/>
    </row>
    <row r="1630" spans="1:61" ht="21" customHeight="1" x14ac:dyDescent="0.25">
      <c r="A1630" s="10"/>
      <c r="B1630" s="10"/>
      <c r="E1630" s="10"/>
      <c r="G1630" s="10"/>
      <c r="I1630" s="436" t="s">
        <v>2847</v>
      </c>
      <c r="J1630" s="26" t="s">
        <v>2846</v>
      </c>
      <c r="K1630" s="10">
        <v>10</v>
      </c>
      <c r="L1630" s="73">
        <f>IF(Tank1!$C$23="No control",(SUMIF(Tank1!$B$32:$B$49,$J1630,Tank1!$C$32:$C$49)*Impacts!$F$8),0)</f>
        <v>0</v>
      </c>
      <c r="M1630" s="10">
        <f>IF(Tank2!$C$23="No control",(SUMIF(Tank2!$B$32:$B$49,$J1630,Tank2!$C$32:$C$49)*Impacts!$F$9),0)</f>
        <v>0</v>
      </c>
      <c r="N1630" s="10">
        <f>IF(Tank3!$C$23="No control",(SUMIF(Tank3!$B$32:$B$49,$J1630,Tank3!$C$32:$C$49)*Impacts!$F$10),0)</f>
        <v>0</v>
      </c>
      <c r="O1630" s="10">
        <f>IF(Tank4!$C$23="No control",(SUMIF(Tank4!$B$32:$B$49,$J1630,Tank4!$C$32:$C$49)*Impacts!$F$11),0)</f>
        <v>0</v>
      </c>
      <c r="P1630" s="10">
        <f>IF(Tank5!$C$23="No control",(SUMIF(Tank5!$B$32:$B$49,$J1630,Tank5!$C$32:$C$49)*Impacts!$F$12),0)</f>
        <v>0</v>
      </c>
      <c r="Q1630" s="10">
        <f>IFERROR(IF(('Loading-drum,tote'!$C$21)="No control",SUMIF(('Loading-drum,tote'!$B$31:$B$48),$J1630,('Loading-drum,tote'!$D$31:$D$48))*Impacts!$F$13,IF(('Loading-drum,tote'!$C$21)&lt;&gt;"No control",SUMIF(('Loading-drum,tote'!$B$31:$B$48),$J1630,('Loading-drum,tote'!$E$31:$E$48))*Impacts!$F$13,0)),0)</f>
        <v>0</v>
      </c>
      <c r="R1630" s="10">
        <f>IFERROR(IF(('Loading-truck'!$C$21)="No control",SUMIF(('Loading-truck'!$B$31:$B$48),$J1630,('Loading-truck'!$D$31:$D$48))*Impacts!$F$14,IF(('Loading-truck'!$C$21)&lt;&gt;"No control",SUMIF(('Loading-truck'!$B$31:$B$48),$J1630,('Loading-truck'!$E$31:$E$48))*Impacts!$F$14,0)),0)</f>
        <v>0</v>
      </c>
      <c r="S1630" s="10">
        <f>IFERROR(IF(('Loading-rail'!$C$21)="No control",SUMIF(('Loading-rail'!$B$31:$B$48),$J1630,('Loading-rail'!$D$31:$D$48))*Impacts!$F$15,IF(('Loading-rail'!$C$21)&lt;&gt;"No control",SUMIF(('Loading-rail'!$B$31:$B$48),$J1630,('Loading-rail'!$E$31:$E$48))*Impacts!$F$15,0)),0)</f>
        <v>0</v>
      </c>
      <c r="T1630" s="10">
        <f>IF(Flare!$C$7="",0,(SUMIF(Flare!$B$46:$B$185,$J1630,Flare!$E$46:$E$185)*Impacts!$F$16))</f>
        <v>0</v>
      </c>
      <c r="U1630" s="10">
        <f>IF(VCU!$C$9="",0,(SUMIF(VCU!$B$51:$B$193,$J1630,VCU!$E$51:$E$193)*Impacts!$F$17))</f>
        <v>0</v>
      </c>
      <c r="V1630" s="10">
        <f>IF(CAS!$C$7="",0,(SUMIF(CAS!$B$31:$B$167,$J1630,CAS!$E$31:$E$167)*Impacts!$F$18))</f>
        <v>0</v>
      </c>
      <c r="W1630" s="10">
        <f t="shared" si="66"/>
        <v>0</v>
      </c>
      <c r="AK1630" s="10" t="str">
        <f t="array" ref="AK1630">IFERROR(INDEX(SelectedSpecies,SMALL(IF(SelectedSpecies=AK$1,ROW(SelectedSpecies)),ROW(1631:1631)),2),"")</f>
        <v/>
      </c>
      <c r="BE1630" s="10"/>
      <c r="BI1630" s="10"/>
    </row>
    <row r="1631" spans="1:61" ht="21" customHeight="1" x14ac:dyDescent="0.25">
      <c r="A1631" s="10"/>
      <c r="B1631" s="10"/>
      <c r="E1631" s="10"/>
      <c r="G1631" s="10"/>
      <c r="I1631" s="436" t="s">
        <v>3799</v>
      </c>
      <c r="J1631" s="26" t="s">
        <v>3798</v>
      </c>
      <c r="K1631" s="10">
        <v>6</v>
      </c>
      <c r="L1631" s="73">
        <f>IF(Tank1!$C$23="No control",(SUMIF(Tank1!$B$32:$B$49,$J1631,Tank1!$C$32:$C$49)*Impacts!$F$8),0)</f>
        <v>0</v>
      </c>
      <c r="M1631" s="10">
        <f>IF(Tank2!$C$23="No control",(SUMIF(Tank2!$B$32:$B$49,$J1631,Tank2!$C$32:$C$49)*Impacts!$F$9),0)</f>
        <v>0</v>
      </c>
      <c r="N1631" s="10">
        <f>IF(Tank3!$C$23="No control",(SUMIF(Tank3!$B$32:$B$49,$J1631,Tank3!$C$32:$C$49)*Impacts!$F$10),0)</f>
        <v>0</v>
      </c>
      <c r="O1631" s="10">
        <f>IF(Tank4!$C$23="No control",(SUMIF(Tank4!$B$32:$B$49,$J1631,Tank4!$C$32:$C$49)*Impacts!$F$11),0)</f>
        <v>0</v>
      </c>
      <c r="P1631" s="10">
        <f>IF(Tank5!$C$23="No control",(SUMIF(Tank5!$B$32:$B$49,$J1631,Tank5!$C$32:$C$49)*Impacts!$F$12),0)</f>
        <v>0</v>
      </c>
      <c r="Q1631" s="10">
        <f>IFERROR(IF(('Loading-drum,tote'!$C$21)="No control",SUMIF(('Loading-drum,tote'!$B$31:$B$48),$J1631,('Loading-drum,tote'!$D$31:$D$48))*Impacts!$F$13,IF(('Loading-drum,tote'!$C$21)&lt;&gt;"No control",SUMIF(('Loading-drum,tote'!$B$31:$B$48),$J1631,('Loading-drum,tote'!$E$31:$E$48))*Impacts!$F$13,0)),0)</f>
        <v>0</v>
      </c>
      <c r="R1631" s="10">
        <f>IFERROR(IF(('Loading-truck'!$C$21)="No control",SUMIF(('Loading-truck'!$B$31:$B$48),$J1631,('Loading-truck'!$D$31:$D$48))*Impacts!$F$14,IF(('Loading-truck'!$C$21)&lt;&gt;"No control",SUMIF(('Loading-truck'!$B$31:$B$48),$J1631,('Loading-truck'!$E$31:$E$48))*Impacts!$F$14,0)),0)</f>
        <v>0</v>
      </c>
      <c r="S1631" s="10">
        <f>IFERROR(IF(('Loading-rail'!$C$21)="No control",SUMIF(('Loading-rail'!$B$31:$B$48),$J1631,('Loading-rail'!$D$31:$D$48))*Impacts!$F$15,IF(('Loading-rail'!$C$21)&lt;&gt;"No control",SUMIF(('Loading-rail'!$B$31:$B$48),$J1631,('Loading-rail'!$E$31:$E$48))*Impacts!$F$15,0)),0)</f>
        <v>0</v>
      </c>
      <c r="T1631" s="10">
        <f>IF(Flare!$C$7="",0,(SUMIF(Flare!$B$46:$B$185,$J1631,Flare!$E$46:$E$185)*Impacts!$F$16))</f>
        <v>0</v>
      </c>
      <c r="U1631" s="10">
        <f>IF(VCU!$C$9="",0,(SUMIF(VCU!$B$51:$B$193,$J1631,VCU!$E$51:$E$193)*Impacts!$F$17))</f>
        <v>0</v>
      </c>
      <c r="V1631" s="10">
        <f>IF(CAS!$C$7="",0,(SUMIF(CAS!$B$31:$B$167,$J1631,CAS!$E$31:$E$167)*Impacts!$F$18))</f>
        <v>0</v>
      </c>
      <c r="W1631" s="10">
        <f t="shared" si="66"/>
        <v>0</v>
      </c>
      <c r="AK1631" s="10" t="str">
        <f t="array" ref="AK1631">IFERROR(INDEX(SelectedSpecies,SMALL(IF(SelectedSpecies=AK$1,ROW(SelectedSpecies)),ROW(1632:1632)),2),"")</f>
        <v/>
      </c>
      <c r="BE1631" s="10"/>
      <c r="BI1631" s="10"/>
    </row>
    <row r="1632" spans="1:61" ht="21" customHeight="1" x14ac:dyDescent="0.25">
      <c r="A1632" s="10"/>
      <c r="B1632" s="10"/>
      <c r="E1632" s="10"/>
      <c r="G1632" s="10"/>
      <c r="I1632" s="436" t="s">
        <v>5876</v>
      </c>
      <c r="J1632" s="26" t="s">
        <v>5875</v>
      </c>
      <c r="K1632" s="10">
        <v>1</v>
      </c>
      <c r="L1632" s="73">
        <f>IF(Tank1!$C$23="No control",(SUMIF(Tank1!$B$32:$B$49,$J1632,Tank1!$C$32:$C$49)*Impacts!$F$8),0)</f>
        <v>0</v>
      </c>
      <c r="M1632" s="10">
        <f>IF(Tank2!$C$23="No control",(SUMIF(Tank2!$B$32:$B$49,$J1632,Tank2!$C$32:$C$49)*Impacts!$F$9),0)</f>
        <v>0</v>
      </c>
      <c r="N1632" s="10">
        <f>IF(Tank3!$C$23="No control",(SUMIF(Tank3!$B$32:$B$49,$J1632,Tank3!$C$32:$C$49)*Impacts!$F$10),0)</f>
        <v>0</v>
      </c>
      <c r="O1632" s="10">
        <f>IF(Tank4!$C$23="No control",(SUMIF(Tank4!$B$32:$B$49,$J1632,Tank4!$C$32:$C$49)*Impacts!$F$11),0)</f>
        <v>0</v>
      </c>
      <c r="P1632" s="10">
        <f>IF(Tank5!$C$23="No control",(SUMIF(Tank5!$B$32:$B$49,$J1632,Tank5!$C$32:$C$49)*Impacts!$F$12),0)</f>
        <v>0</v>
      </c>
      <c r="Q1632" s="10">
        <f>IFERROR(IF(('Loading-drum,tote'!$C$21)="No control",SUMIF(('Loading-drum,tote'!$B$31:$B$48),$J1632,('Loading-drum,tote'!$D$31:$D$48))*Impacts!$F$13,IF(('Loading-drum,tote'!$C$21)&lt;&gt;"No control",SUMIF(('Loading-drum,tote'!$B$31:$B$48),$J1632,('Loading-drum,tote'!$E$31:$E$48))*Impacts!$F$13,0)),0)</f>
        <v>0</v>
      </c>
      <c r="R1632" s="10">
        <f>IFERROR(IF(('Loading-truck'!$C$21)="No control",SUMIF(('Loading-truck'!$B$31:$B$48),$J1632,('Loading-truck'!$D$31:$D$48))*Impacts!$F$14,IF(('Loading-truck'!$C$21)&lt;&gt;"No control",SUMIF(('Loading-truck'!$B$31:$B$48),$J1632,('Loading-truck'!$E$31:$E$48))*Impacts!$F$14,0)),0)</f>
        <v>0</v>
      </c>
      <c r="S1632" s="10">
        <f>IFERROR(IF(('Loading-rail'!$C$21)="No control",SUMIF(('Loading-rail'!$B$31:$B$48),$J1632,('Loading-rail'!$D$31:$D$48))*Impacts!$F$15,IF(('Loading-rail'!$C$21)&lt;&gt;"No control",SUMIF(('Loading-rail'!$B$31:$B$48),$J1632,('Loading-rail'!$E$31:$E$48))*Impacts!$F$15,0)),0)</f>
        <v>0</v>
      </c>
      <c r="T1632" s="10">
        <f>IF(Flare!$C$7="",0,(SUMIF(Flare!$B$46:$B$185,$J1632,Flare!$E$46:$E$185)*Impacts!$F$16))</f>
        <v>0</v>
      </c>
      <c r="U1632" s="10">
        <f>IF(VCU!$C$9="",0,(SUMIF(VCU!$B$51:$B$193,$J1632,VCU!$E$51:$E$193)*Impacts!$F$17))</f>
        <v>0</v>
      </c>
      <c r="V1632" s="10">
        <f>IF(CAS!$C$7="",0,(SUMIF(CAS!$B$31:$B$167,$J1632,CAS!$E$31:$E$167)*Impacts!$F$18))</f>
        <v>0</v>
      </c>
      <c r="W1632" s="10">
        <f t="shared" si="66"/>
        <v>0</v>
      </c>
      <c r="AK1632" s="10" t="str">
        <f t="array" ref="AK1632">IFERROR(INDEX(SelectedSpecies,SMALL(IF(SelectedSpecies=AK$1,ROW(SelectedSpecies)),ROW(1633:1633)),2),"")</f>
        <v/>
      </c>
      <c r="BE1632" s="10"/>
      <c r="BI1632" s="10"/>
    </row>
    <row r="1633" spans="1:61" ht="21" customHeight="1" x14ac:dyDescent="0.25">
      <c r="A1633" s="10"/>
      <c r="B1633" s="10"/>
      <c r="E1633" s="10"/>
      <c r="G1633" s="10"/>
      <c r="I1633" s="436" t="s">
        <v>4397</v>
      </c>
      <c r="J1633" s="26" t="s">
        <v>4396</v>
      </c>
      <c r="K1633" s="10">
        <v>4.7</v>
      </c>
      <c r="L1633" s="73">
        <f>IF(Tank1!$C$23="No control",(SUMIF(Tank1!$B$32:$B$49,$J1633,Tank1!$C$32:$C$49)*Impacts!$F$8),0)</f>
        <v>0</v>
      </c>
      <c r="M1633" s="10">
        <f>IF(Tank2!$C$23="No control",(SUMIF(Tank2!$B$32:$B$49,$J1633,Tank2!$C$32:$C$49)*Impacts!$F$9),0)</f>
        <v>0</v>
      </c>
      <c r="N1633" s="10">
        <f>IF(Tank3!$C$23="No control",(SUMIF(Tank3!$B$32:$B$49,$J1633,Tank3!$C$32:$C$49)*Impacts!$F$10),0)</f>
        <v>0</v>
      </c>
      <c r="O1633" s="10">
        <f>IF(Tank4!$C$23="No control",(SUMIF(Tank4!$B$32:$B$49,$J1633,Tank4!$C$32:$C$49)*Impacts!$F$11),0)</f>
        <v>0</v>
      </c>
      <c r="P1633" s="10">
        <f>IF(Tank5!$C$23="No control",(SUMIF(Tank5!$B$32:$B$49,$J1633,Tank5!$C$32:$C$49)*Impacts!$F$12),0)</f>
        <v>0</v>
      </c>
      <c r="Q1633" s="10">
        <f>IFERROR(IF(('Loading-drum,tote'!$C$21)="No control",SUMIF(('Loading-drum,tote'!$B$31:$B$48),$J1633,('Loading-drum,tote'!$D$31:$D$48))*Impacts!$F$13,IF(('Loading-drum,tote'!$C$21)&lt;&gt;"No control",SUMIF(('Loading-drum,tote'!$B$31:$B$48),$J1633,('Loading-drum,tote'!$E$31:$E$48))*Impacts!$F$13,0)),0)</f>
        <v>0</v>
      </c>
      <c r="R1633" s="10">
        <f>IFERROR(IF(('Loading-truck'!$C$21)="No control",SUMIF(('Loading-truck'!$B$31:$B$48),$J1633,('Loading-truck'!$D$31:$D$48))*Impacts!$F$14,IF(('Loading-truck'!$C$21)&lt;&gt;"No control",SUMIF(('Loading-truck'!$B$31:$B$48),$J1633,('Loading-truck'!$E$31:$E$48))*Impacts!$F$14,0)),0)</f>
        <v>0</v>
      </c>
      <c r="S1633" s="10">
        <f>IFERROR(IF(('Loading-rail'!$C$21)="No control",SUMIF(('Loading-rail'!$B$31:$B$48),$J1633,('Loading-rail'!$D$31:$D$48))*Impacts!$F$15,IF(('Loading-rail'!$C$21)&lt;&gt;"No control",SUMIF(('Loading-rail'!$B$31:$B$48),$J1633,('Loading-rail'!$E$31:$E$48))*Impacts!$F$15,0)),0)</f>
        <v>0</v>
      </c>
      <c r="T1633" s="10">
        <f>IF(Flare!$C$7="",0,(SUMIF(Flare!$B$46:$B$185,$J1633,Flare!$E$46:$E$185)*Impacts!$F$16))</f>
        <v>0</v>
      </c>
      <c r="U1633" s="10">
        <f>IF(VCU!$C$9="",0,(SUMIF(VCU!$B$51:$B$193,$J1633,VCU!$E$51:$E$193)*Impacts!$F$17))</f>
        <v>0</v>
      </c>
      <c r="V1633" s="10">
        <f>IF(CAS!$C$7="",0,(SUMIF(CAS!$B$31:$B$167,$J1633,CAS!$E$31:$E$167)*Impacts!$F$18))</f>
        <v>0</v>
      </c>
      <c r="W1633" s="10">
        <f t="shared" si="66"/>
        <v>0</v>
      </c>
      <c r="AK1633" s="10" t="str">
        <f t="array" ref="AK1633">IFERROR(INDEX(SelectedSpecies,SMALL(IF(SelectedSpecies=AK$1,ROW(SelectedSpecies)),ROW(1634:1634)),2),"")</f>
        <v/>
      </c>
      <c r="BE1633" s="10"/>
      <c r="BI1633" s="10"/>
    </row>
    <row r="1634" spans="1:61" ht="21" customHeight="1" x14ac:dyDescent="0.25">
      <c r="A1634" s="10"/>
      <c r="B1634" s="10"/>
      <c r="E1634" s="10"/>
      <c r="G1634" s="10"/>
      <c r="I1634" s="436" t="s">
        <v>3951</v>
      </c>
      <c r="J1634" s="26" t="s">
        <v>3950</v>
      </c>
      <c r="K1634" s="10">
        <v>6</v>
      </c>
      <c r="L1634" s="73">
        <f>IF(Tank1!$C$23="No control",(SUMIF(Tank1!$B$32:$B$49,$J1634,Tank1!$C$32:$C$49)*Impacts!$F$8),0)</f>
        <v>0</v>
      </c>
      <c r="M1634" s="10">
        <f>IF(Tank2!$C$23="No control",(SUMIF(Tank2!$B$32:$B$49,$J1634,Tank2!$C$32:$C$49)*Impacts!$F$9),0)</f>
        <v>0</v>
      </c>
      <c r="N1634" s="10">
        <f>IF(Tank3!$C$23="No control",(SUMIF(Tank3!$B$32:$B$49,$J1634,Tank3!$C$32:$C$49)*Impacts!$F$10),0)</f>
        <v>0</v>
      </c>
      <c r="O1634" s="10">
        <f>IF(Tank4!$C$23="No control",(SUMIF(Tank4!$B$32:$B$49,$J1634,Tank4!$C$32:$C$49)*Impacts!$F$11),0)</f>
        <v>0</v>
      </c>
      <c r="P1634" s="10">
        <f>IF(Tank5!$C$23="No control",(SUMIF(Tank5!$B$32:$B$49,$J1634,Tank5!$C$32:$C$49)*Impacts!$F$12),0)</f>
        <v>0</v>
      </c>
      <c r="Q1634" s="10">
        <f>IFERROR(IF(('Loading-drum,tote'!$C$21)="No control",SUMIF(('Loading-drum,tote'!$B$31:$B$48),$J1634,('Loading-drum,tote'!$D$31:$D$48))*Impacts!$F$13,IF(('Loading-drum,tote'!$C$21)&lt;&gt;"No control",SUMIF(('Loading-drum,tote'!$B$31:$B$48),$J1634,('Loading-drum,tote'!$E$31:$E$48))*Impacts!$F$13,0)),0)</f>
        <v>0</v>
      </c>
      <c r="R1634" s="10">
        <f>IFERROR(IF(('Loading-truck'!$C$21)="No control",SUMIF(('Loading-truck'!$B$31:$B$48),$J1634,('Loading-truck'!$D$31:$D$48))*Impacts!$F$14,IF(('Loading-truck'!$C$21)&lt;&gt;"No control",SUMIF(('Loading-truck'!$B$31:$B$48),$J1634,('Loading-truck'!$E$31:$E$48))*Impacts!$F$14,0)),0)</f>
        <v>0</v>
      </c>
      <c r="S1634" s="10">
        <f>IFERROR(IF(('Loading-rail'!$C$21)="No control",SUMIF(('Loading-rail'!$B$31:$B$48),$J1634,('Loading-rail'!$D$31:$D$48))*Impacts!$F$15,IF(('Loading-rail'!$C$21)&lt;&gt;"No control",SUMIF(('Loading-rail'!$B$31:$B$48),$J1634,('Loading-rail'!$E$31:$E$48))*Impacts!$F$15,0)),0)</f>
        <v>0</v>
      </c>
      <c r="T1634" s="10">
        <f>IF(Flare!$C$7="",0,(SUMIF(Flare!$B$46:$B$185,$J1634,Flare!$E$46:$E$185)*Impacts!$F$16))</f>
        <v>0</v>
      </c>
      <c r="U1634" s="10">
        <f>IF(VCU!$C$9="",0,(SUMIF(VCU!$B$51:$B$193,$J1634,VCU!$E$51:$E$193)*Impacts!$F$17))</f>
        <v>0</v>
      </c>
      <c r="V1634" s="10">
        <f>IF(CAS!$C$7="",0,(SUMIF(CAS!$B$31:$B$167,$J1634,CAS!$E$31:$E$167)*Impacts!$F$18))</f>
        <v>0</v>
      </c>
      <c r="W1634" s="10">
        <f t="shared" si="66"/>
        <v>0</v>
      </c>
      <c r="AK1634" s="10" t="str">
        <f t="array" ref="AK1634">IFERROR(INDEX(SelectedSpecies,SMALL(IF(SelectedSpecies=AK$1,ROW(SelectedSpecies)),ROW(1635:1635)),2),"")</f>
        <v/>
      </c>
      <c r="BE1634" s="10"/>
      <c r="BI1634" s="10"/>
    </row>
    <row r="1635" spans="1:61" ht="21" customHeight="1" x14ac:dyDescent="0.25">
      <c r="A1635" s="10"/>
      <c r="B1635" s="10"/>
      <c r="E1635" s="10"/>
      <c r="G1635" s="10"/>
      <c r="I1635" s="436" t="s">
        <v>2849</v>
      </c>
      <c r="J1635" s="26" t="s">
        <v>2848</v>
      </c>
      <c r="K1635" s="10">
        <v>10</v>
      </c>
      <c r="L1635" s="73">
        <f>IF(Tank1!$C$23="No control",(SUMIF(Tank1!$B$32:$B$49,$J1635,Tank1!$C$32:$C$49)*Impacts!$F$8),0)</f>
        <v>0</v>
      </c>
      <c r="M1635" s="10">
        <f>IF(Tank2!$C$23="No control",(SUMIF(Tank2!$B$32:$B$49,$J1635,Tank2!$C$32:$C$49)*Impacts!$F$9),0)</f>
        <v>0</v>
      </c>
      <c r="N1635" s="10">
        <f>IF(Tank3!$C$23="No control",(SUMIF(Tank3!$B$32:$B$49,$J1635,Tank3!$C$32:$C$49)*Impacts!$F$10),0)</f>
        <v>0</v>
      </c>
      <c r="O1635" s="10">
        <f>IF(Tank4!$C$23="No control",(SUMIF(Tank4!$B$32:$B$49,$J1635,Tank4!$C$32:$C$49)*Impacts!$F$11),0)</f>
        <v>0</v>
      </c>
      <c r="P1635" s="10">
        <f>IF(Tank5!$C$23="No control",(SUMIF(Tank5!$B$32:$B$49,$J1635,Tank5!$C$32:$C$49)*Impacts!$F$12),0)</f>
        <v>0</v>
      </c>
      <c r="Q1635" s="10">
        <f>IFERROR(IF(('Loading-drum,tote'!$C$21)="No control",SUMIF(('Loading-drum,tote'!$B$31:$B$48),$J1635,('Loading-drum,tote'!$D$31:$D$48))*Impacts!$F$13,IF(('Loading-drum,tote'!$C$21)&lt;&gt;"No control",SUMIF(('Loading-drum,tote'!$B$31:$B$48),$J1635,('Loading-drum,tote'!$E$31:$E$48))*Impacts!$F$13,0)),0)</f>
        <v>0</v>
      </c>
      <c r="R1635" s="10">
        <f>IFERROR(IF(('Loading-truck'!$C$21)="No control",SUMIF(('Loading-truck'!$B$31:$B$48),$J1635,('Loading-truck'!$D$31:$D$48))*Impacts!$F$14,IF(('Loading-truck'!$C$21)&lt;&gt;"No control",SUMIF(('Loading-truck'!$B$31:$B$48),$J1635,('Loading-truck'!$E$31:$E$48))*Impacts!$F$14,0)),0)</f>
        <v>0</v>
      </c>
      <c r="S1635" s="10">
        <f>IFERROR(IF(('Loading-rail'!$C$21)="No control",SUMIF(('Loading-rail'!$B$31:$B$48),$J1635,('Loading-rail'!$D$31:$D$48))*Impacts!$F$15,IF(('Loading-rail'!$C$21)&lt;&gt;"No control",SUMIF(('Loading-rail'!$B$31:$B$48),$J1635,('Loading-rail'!$E$31:$E$48))*Impacts!$F$15,0)),0)</f>
        <v>0</v>
      </c>
      <c r="T1635" s="10">
        <f>IF(Flare!$C$7="",0,(SUMIF(Flare!$B$46:$B$185,$J1635,Flare!$E$46:$E$185)*Impacts!$F$16))</f>
        <v>0</v>
      </c>
      <c r="U1635" s="10">
        <f>IF(VCU!$C$9="",0,(SUMIF(VCU!$B$51:$B$193,$J1635,VCU!$E$51:$E$193)*Impacts!$F$17))</f>
        <v>0</v>
      </c>
      <c r="V1635" s="10">
        <f>IF(CAS!$C$7="",0,(SUMIF(CAS!$B$31:$B$167,$J1635,CAS!$E$31:$E$167)*Impacts!$F$18))</f>
        <v>0</v>
      </c>
      <c r="W1635" s="10">
        <f t="shared" si="66"/>
        <v>0</v>
      </c>
      <c r="AK1635" s="10" t="str">
        <f t="array" ref="AK1635">IFERROR(INDEX(SelectedSpecies,SMALL(IF(SelectedSpecies=AK$1,ROW(SelectedSpecies)),ROW(1636:1636)),2),"")</f>
        <v/>
      </c>
      <c r="BE1635" s="10"/>
      <c r="BI1635" s="10"/>
    </row>
    <row r="1636" spans="1:61" ht="21" customHeight="1" x14ac:dyDescent="0.25">
      <c r="A1636" s="10"/>
      <c r="B1636" s="10"/>
      <c r="E1636" s="10"/>
      <c r="G1636" s="10"/>
      <c r="I1636" s="436" t="s">
        <v>512</v>
      </c>
      <c r="J1636" s="26" t="s">
        <v>498</v>
      </c>
      <c r="K1636" s="10">
        <v>100</v>
      </c>
      <c r="L1636" s="73">
        <f>IF(Tank1!$C$23="No control",(SUMIF(Tank1!$B$32:$B$49,$J1636,Tank1!$C$32:$C$49)*Impacts!$F$8),0)</f>
        <v>0</v>
      </c>
      <c r="M1636" s="10">
        <f>IF(Tank2!$C$23="No control",(SUMIF(Tank2!$B$32:$B$49,$J1636,Tank2!$C$32:$C$49)*Impacts!$F$9),0)</f>
        <v>0</v>
      </c>
      <c r="N1636" s="10">
        <f>IF(Tank3!$C$23="No control",(SUMIF(Tank3!$B$32:$B$49,$J1636,Tank3!$C$32:$C$49)*Impacts!$F$10),0)</f>
        <v>0</v>
      </c>
      <c r="O1636" s="10">
        <f>IF(Tank4!$C$23="No control",(SUMIF(Tank4!$B$32:$B$49,$J1636,Tank4!$C$32:$C$49)*Impacts!$F$11),0)</f>
        <v>0</v>
      </c>
      <c r="P1636" s="10">
        <f>IF(Tank5!$C$23="No control",(SUMIF(Tank5!$B$32:$B$49,$J1636,Tank5!$C$32:$C$49)*Impacts!$F$12),0)</f>
        <v>0</v>
      </c>
      <c r="Q1636" s="10">
        <f>IFERROR(IF(('Loading-drum,tote'!$C$21)="No control",SUMIF(('Loading-drum,tote'!$B$31:$B$48),$J1636,('Loading-drum,tote'!$D$31:$D$48))*Impacts!$F$13,IF(('Loading-drum,tote'!$C$21)&lt;&gt;"No control",SUMIF(('Loading-drum,tote'!$B$31:$B$48),$J1636,('Loading-drum,tote'!$E$31:$E$48))*Impacts!$F$13,0)),0)</f>
        <v>0</v>
      </c>
      <c r="R1636" s="10">
        <f>IFERROR(IF(('Loading-truck'!$C$21)="No control",SUMIF(('Loading-truck'!$B$31:$B$48),$J1636,('Loading-truck'!$D$31:$D$48))*Impacts!$F$14,IF(('Loading-truck'!$C$21)&lt;&gt;"No control",SUMIF(('Loading-truck'!$B$31:$B$48),$J1636,('Loading-truck'!$E$31:$E$48))*Impacts!$F$14,0)),0)</f>
        <v>0</v>
      </c>
      <c r="S1636" s="10">
        <f>IFERROR(IF(('Loading-rail'!$C$21)="No control",SUMIF(('Loading-rail'!$B$31:$B$48),$J1636,('Loading-rail'!$D$31:$D$48))*Impacts!$F$15,IF(('Loading-rail'!$C$21)&lt;&gt;"No control",SUMIF(('Loading-rail'!$B$31:$B$48),$J1636,('Loading-rail'!$E$31:$E$48))*Impacts!$F$15,0)),0)</f>
        <v>0</v>
      </c>
      <c r="T1636" s="10">
        <f>IF(Flare!$C$7="",0,(SUMIF(Flare!$B$46:$B$185,$J1636,Flare!$E$46:$E$185)*Impacts!$F$16))</f>
        <v>0</v>
      </c>
      <c r="U1636" s="10">
        <f>IF(VCU!$C$9="",0,(SUMIF(VCU!$B$51:$B$193,$J1636,VCU!$E$51:$E$193)*Impacts!$F$17))</f>
        <v>0</v>
      </c>
      <c r="V1636" s="10">
        <f>IF(CAS!$C$7="",0,(SUMIF(CAS!$B$31:$B$167,$J1636,CAS!$E$31:$E$167)*Impacts!$F$18))</f>
        <v>0</v>
      </c>
      <c r="W1636" s="10">
        <f t="shared" si="66"/>
        <v>0</v>
      </c>
      <c r="AK1636" s="10" t="str">
        <f t="array" ref="AK1636">IFERROR(INDEX(SelectedSpecies,SMALL(IF(SelectedSpecies=AK$1,ROW(SelectedSpecies)),ROW(1637:1637)),2),"")</f>
        <v/>
      </c>
      <c r="BE1636" s="10"/>
      <c r="BI1636" s="10"/>
    </row>
    <row r="1637" spans="1:61" ht="21" customHeight="1" x14ac:dyDescent="0.25">
      <c r="A1637" s="10"/>
      <c r="B1637" s="10"/>
      <c r="E1637" s="10"/>
      <c r="G1637" s="10"/>
      <c r="I1637" s="436" t="s">
        <v>5878</v>
      </c>
      <c r="J1637" s="26" t="s">
        <v>5877</v>
      </c>
      <c r="K1637" s="10">
        <v>1</v>
      </c>
      <c r="L1637" s="73">
        <f>IF(Tank1!$C$23="No control",(SUMIF(Tank1!$B$32:$B$49,$J1637,Tank1!$C$32:$C$49)*Impacts!$F$8),0)</f>
        <v>0</v>
      </c>
      <c r="M1637" s="10">
        <f>IF(Tank2!$C$23="No control",(SUMIF(Tank2!$B$32:$B$49,$J1637,Tank2!$C$32:$C$49)*Impacts!$F$9),0)</f>
        <v>0</v>
      </c>
      <c r="N1637" s="10">
        <f>IF(Tank3!$C$23="No control",(SUMIF(Tank3!$B$32:$B$49,$J1637,Tank3!$C$32:$C$49)*Impacts!$F$10),0)</f>
        <v>0</v>
      </c>
      <c r="O1637" s="10">
        <f>IF(Tank4!$C$23="No control",(SUMIF(Tank4!$B$32:$B$49,$J1637,Tank4!$C$32:$C$49)*Impacts!$F$11),0)</f>
        <v>0</v>
      </c>
      <c r="P1637" s="10">
        <f>IF(Tank5!$C$23="No control",(SUMIF(Tank5!$B$32:$B$49,$J1637,Tank5!$C$32:$C$49)*Impacts!$F$12),0)</f>
        <v>0</v>
      </c>
      <c r="Q1637" s="10">
        <f>IFERROR(IF(('Loading-drum,tote'!$C$21)="No control",SUMIF(('Loading-drum,tote'!$B$31:$B$48),$J1637,('Loading-drum,tote'!$D$31:$D$48))*Impacts!$F$13,IF(('Loading-drum,tote'!$C$21)&lt;&gt;"No control",SUMIF(('Loading-drum,tote'!$B$31:$B$48),$J1637,('Loading-drum,tote'!$E$31:$E$48))*Impacts!$F$13,0)),0)</f>
        <v>0</v>
      </c>
      <c r="R1637" s="10">
        <f>IFERROR(IF(('Loading-truck'!$C$21)="No control",SUMIF(('Loading-truck'!$B$31:$B$48),$J1637,('Loading-truck'!$D$31:$D$48))*Impacts!$F$14,IF(('Loading-truck'!$C$21)&lt;&gt;"No control",SUMIF(('Loading-truck'!$B$31:$B$48),$J1637,('Loading-truck'!$E$31:$E$48))*Impacts!$F$14,0)),0)</f>
        <v>0</v>
      </c>
      <c r="S1637" s="10">
        <f>IFERROR(IF(('Loading-rail'!$C$21)="No control",SUMIF(('Loading-rail'!$B$31:$B$48),$J1637,('Loading-rail'!$D$31:$D$48))*Impacts!$F$15,IF(('Loading-rail'!$C$21)&lt;&gt;"No control",SUMIF(('Loading-rail'!$B$31:$B$48),$J1637,('Loading-rail'!$E$31:$E$48))*Impacts!$F$15,0)),0)</f>
        <v>0</v>
      </c>
      <c r="T1637" s="10">
        <f>IF(Flare!$C$7="",0,(SUMIF(Flare!$B$46:$B$185,$J1637,Flare!$E$46:$E$185)*Impacts!$F$16))</f>
        <v>0</v>
      </c>
      <c r="U1637" s="10">
        <f>IF(VCU!$C$9="",0,(SUMIF(VCU!$B$51:$B$193,$J1637,VCU!$E$51:$E$193)*Impacts!$F$17))</f>
        <v>0</v>
      </c>
      <c r="V1637" s="10">
        <f>IF(CAS!$C$7="",0,(SUMIF(CAS!$B$31:$B$167,$J1637,CAS!$E$31:$E$167)*Impacts!$F$18))</f>
        <v>0</v>
      </c>
      <c r="W1637" s="10">
        <f t="shared" si="66"/>
        <v>0</v>
      </c>
      <c r="AK1637" s="10" t="str">
        <f t="array" ref="AK1637">IFERROR(INDEX(SelectedSpecies,SMALL(IF(SelectedSpecies=AK$1,ROW(SelectedSpecies)),ROW(1638:1638)),2),"")</f>
        <v/>
      </c>
      <c r="BE1637" s="10"/>
      <c r="BI1637" s="10"/>
    </row>
    <row r="1638" spans="1:61" ht="21" customHeight="1" x14ac:dyDescent="0.25">
      <c r="A1638" s="10"/>
      <c r="B1638" s="10"/>
      <c r="E1638" s="10"/>
      <c r="G1638" s="10"/>
      <c r="I1638" s="436" t="s">
        <v>1234</v>
      </c>
      <c r="J1638" s="26" t="s">
        <v>1233</v>
      </c>
      <c r="K1638" s="10">
        <v>270</v>
      </c>
      <c r="L1638" s="73">
        <f>IF(Tank1!$C$23="No control",(SUMIF(Tank1!$B$32:$B$49,$J1638,Tank1!$C$32:$C$49)*Impacts!$F$8),0)</f>
        <v>0</v>
      </c>
      <c r="M1638" s="10">
        <f>IF(Tank2!$C$23="No control",(SUMIF(Tank2!$B$32:$B$49,$J1638,Tank2!$C$32:$C$49)*Impacts!$F$9),0)</f>
        <v>0</v>
      </c>
      <c r="N1638" s="10">
        <f>IF(Tank3!$C$23="No control",(SUMIF(Tank3!$B$32:$B$49,$J1638,Tank3!$C$32:$C$49)*Impacts!$F$10),0)</f>
        <v>0</v>
      </c>
      <c r="O1638" s="10">
        <f>IF(Tank4!$C$23="No control",(SUMIF(Tank4!$B$32:$B$49,$J1638,Tank4!$C$32:$C$49)*Impacts!$F$11),0)</f>
        <v>0</v>
      </c>
      <c r="P1638" s="10">
        <f>IF(Tank5!$C$23="No control",(SUMIF(Tank5!$B$32:$B$49,$J1638,Tank5!$C$32:$C$49)*Impacts!$F$12),0)</f>
        <v>0</v>
      </c>
      <c r="Q1638" s="10">
        <f>IFERROR(IF(('Loading-drum,tote'!$C$21)="No control",SUMIF(('Loading-drum,tote'!$B$31:$B$48),$J1638,('Loading-drum,tote'!$D$31:$D$48))*Impacts!$F$13,IF(('Loading-drum,tote'!$C$21)&lt;&gt;"No control",SUMIF(('Loading-drum,tote'!$B$31:$B$48),$J1638,('Loading-drum,tote'!$E$31:$E$48))*Impacts!$F$13,0)),0)</f>
        <v>0</v>
      </c>
      <c r="R1638" s="10">
        <f>IFERROR(IF(('Loading-truck'!$C$21)="No control",SUMIF(('Loading-truck'!$B$31:$B$48),$J1638,('Loading-truck'!$D$31:$D$48))*Impacts!$F$14,IF(('Loading-truck'!$C$21)&lt;&gt;"No control",SUMIF(('Loading-truck'!$B$31:$B$48),$J1638,('Loading-truck'!$E$31:$E$48))*Impacts!$F$14,0)),0)</f>
        <v>0</v>
      </c>
      <c r="S1638" s="10">
        <f>IFERROR(IF(('Loading-rail'!$C$21)="No control",SUMIF(('Loading-rail'!$B$31:$B$48),$J1638,('Loading-rail'!$D$31:$D$48))*Impacts!$F$15,IF(('Loading-rail'!$C$21)&lt;&gt;"No control",SUMIF(('Loading-rail'!$B$31:$B$48),$J1638,('Loading-rail'!$E$31:$E$48))*Impacts!$F$15,0)),0)</f>
        <v>0</v>
      </c>
      <c r="T1638" s="10">
        <f>IF(Flare!$C$7="",0,(SUMIF(Flare!$B$46:$B$185,$J1638,Flare!$E$46:$E$185)*Impacts!$F$16))</f>
        <v>0</v>
      </c>
      <c r="U1638" s="10">
        <f>IF(VCU!$C$9="",0,(SUMIF(VCU!$B$51:$B$193,$J1638,VCU!$E$51:$E$193)*Impacts!$F$17))</f>
        <v>0</v>
      </c>
      <c r="V1638" s="10">
        <f>IF(CAS!$C$7="",0,(SUMIF(CAS!$B$31:$B$167,$J1638,CAS!$E$31:$E$167)*Impacts!$F$18))</f>
        <v>0</v>
      </c>
      <c r="W1638" s="10">
        <f t="shared" si="66"/>
        <v>0</v>
      </c>
      <c r="AK1638" s="10" t="str">
        <f t="array" ref="AK1638">IFERROR(INDEX(SelectedSpecies,SMALL(IF(SelectedSpecies=AK$1,ROW(SelectedSpecies)),ROW(1639:1639)),2),"")</f>
        <v/>
      </c>
      <c r="BE1638" s="10"/>
      <c r="BI1638" s="10"/>
    </row>
    <row r="1639" spans="1:61" ht="21" customHeight="1" x14ac:dyDescent="0.25">
      <c r="A1639" s="10"/>
      <c r="B1639" s="10"/>
      <c r="E1639" s="10"/>
      <c r="G1639" s="10"/>
      <c r="I1639" s="436" t="s">
        <v>5521</v>
      </c>
      <c r="J1639" s="26" t="s">
        <v>5520</v>
      </c>
      <c r="K1639" s="10">
        <v>1.25</v>
      </c>
      <c r="L1639" s="73">
        <f>IF(Tank1!$C$23="No control",(SUMIF(Tank1!$B$32:$B$49,$J1639,Tank1!$C$32:$C$49)*Impacts!$F$8),0)</f>
        <v>0</v>
      </c>
      <c r="M1639" s="10">
        <f>IF(Tank2!$C$23="No control",(SUMIF(Tank2!$B$32:$B$49,$J1639,Tank2!$C$32:$C$49)*Impacts!$F$9),0)</f>
        <v>0</v>
      </c>
      <c r="N1639" s="10">
        <f>IF(Tank3!$C$23="No control",(SUMIF(Tank3!$B$32:$B$49,$J1639,Tank3!$C$32:$C$49)*Impacts!$F$10),0)</f>
        <v>0</v>
      </c>
      <c r="O1639" s="10">
        <f>IF(Tank4!$C$23="No control",(SUMIF(Tank4!$B$32:$B$49,$J1639,Tank4!$C$32:$C$49)*Impacts!$F$11),0)</f>
        <v>0</v>
      </c>
      <c r="P1639" s="10">
        <f>IF(Tank5!$C$23="No control",(SUMIF(Tank5!$B$32:$B$49,$J1639,Tank5!$C$32:$C$49)*Impacts!$F$12),0)</f>
        <v>0</v>
      </c>
      <c r="Q1639" s="10">
        <f>IFERROR(IF(('Loading-drum,tote'!$C$21)="No control",SUMIF(('Loading-drum,tote'!$B$31:$B$48),$J1639,('Loading-drum,tote'!$D$31:$D$48))*Impacts!$F$13,IF(('Loading-drum,tote'!$C$21)&lt;&gt;"No control",SUMIF(('Loading-drum,tote'!$B$31:$B$48),$J1639,('Loading-drum,tote'!$E$31:$E$48))*Impacts!$F$13,0)),0)</f>
        <v>0</v>
      </c>
      <c r="R1639" s="10">
        <f>IFERROR(IF(('Loading-truck'!$C$21)="No control",SUMIF(('Loading-truck'!$B$31:$B$48),$J1639,('Loading-truck'!$D$31:$D$48))*Impacts!$F$14,IF(('Loading-truck'!$C$21)&lt;&gt;"No control",SUMIF(('Loading-truck'!$B$31:$B$48),$J1639,('Loading-truck'!$E$31:$E$48))*Impacts!$F$14,0)),0)</f>
        <v>0</v>
      </c>
      <c r="S1639" s="10">
        <f>IFERROR(IF(('Loading-rail'!$C$21)="No control",SUMIF(('Loading-rail'!$B$31:$B$48),$J1639,('Loading-rail'!$D$31:$D$48))*Impacts!$F$15,IF(('Loading-rail'!$C$21)&lt;&gt;"No control",SUMIF(('Loading-rail'!$B$31:$B$48),$J1639,('Loading-rail'!$E$31:$E$48))*Impacts!$F$15,0)),0)</f>
        <v>0</v>
      </c>
      <c r="T1639" s="10">
        <f>IF(Flare!$C$7="",0,(SUMIF(Flare!$B$46:$B$185,$J1639,Flare!$E$46:$E$185)*Impacts!$F$16))</f>
        <v>0</v>
      </c>
      <c r="U1639" s="10">
        <f>IF(VCU!$C$9="",0,(SUMIF(VCU!$B$51:$B$193,$J1639,VCU!$E$51:$E$193)*Impacts!$F$17))</f>
        <v>0</v>
      </c>
      <c r="V1639" s="10">
        <f>IF(CAS!$C$7="",0,(SUMIF(CAS!$B$31:$B$167,$J1639,CAS!$E$31:$E$167)*Impacts!$F$18))</f>
        <v>0</v>
      </c>
      <c r="W1639" s="10">
        <f t="shared" si="66"/>
        <v>0</v>
      </c>
      <c r="AK1639" s="10" t="str">
        <f t="array" ref="AK1639">IFERROR(INDEX(SelectedSpecies,SMALL(IF(SelectedSpecies=AK$1,ROW(SelectedSpecies)),ROW(1640:1640)),2),"")</f>
        <v/>
      </c>
      <c r="BE1639" s="10"/>
      <c r="BI1639" s="10"/>
    </row>
    <row r="1640" spans="1:61" ht="21" customHeight="1" x14ac:dyDescent="0.25">
      <c r="A1640" s="10"/>
      <c r="B1640" s="10"/>
      <c r="E1640" s="10"/>
      <c r="G1640" s="10"/>
      <c r="I1640" s="436" t="s">
        <v>6830</v>
      </c>
      <c r="J1640" s="26" t="s">
        <v>6829</v>
      </c>
      <c r="K1640" s="10">
        <v>0.5</v>
      </c>
      <c r="L1640" s="73">
        <f>IF(Tank1!$C$23="No control",(SUMIF(Tank1!$B$32:$B$49,$J1640,Tank1!$C$32:$C$49)*Impacts!$F$8),0)</f>
        <v>0</v>
      </c>
      <c r="M1640" s="10">
        <f>IF(Tank2!$C$23="No control",(SUMIF(Tank2!$B$32:$B$49,$J1640,Tank2!$C$32:$C$49)*Impacts!$F$9),0)</f>
        <v>0</v>
      </c>
      <c r="N1640" s="10">
        <f>IF(Tank3!$C$23="No control",(SUMIF(Tank3!$B$32:$B$49,$J1640,Tank3!$C$32:$C$49)*Impacts!$F$10),0)</f>
        <v>0</v>
      </c>
      <c r="O1640" s="10">
        <f>IF(Tank4!$C$23="No control",(SUMIF(Tank4!$B$32:$B$49,$J1640,Tank4!$C$32:$C$49)*Impacts!$F$11),0)</f>
        <v>0</v>
      </c>
      <c r="P1640" s="10">
        <f>IF(Tank5!$C$23="No control",(SUMIF(Tank5!$B$32:$B$49,$J1640,Tank5!$C$32:$C$49)*Impacts!$F$12),0)</f>
        <v>0</v>
      </c>
      <c r="Q1640" s="10">
        <f>IFERROR(IF(('Loading-drum,tote'!$C$21)="No control",SUMIF(('Loading-drum,tote'!$B$31:$B$48),$J1640,('Loading-drum,tote'!$D$31:$D$48))*Impacts!$F$13,IF(('Loading-drum,tote'!$C$21)&lt;&gt;"No control",SUMIF(('Loading-drum,tote'!$B$31:$B$48),$J1640,('Loading-drum,tote'!$E$31:$E$48))*Impacts!$F$13,0)),0)</f>
        <v>0</v>
      </c>
      <c r="R1640" s="10">
        <f>IFERROR(IF(('Loading-truck'!$C$21)="No control",SUMIF(('Loading-truck'!$B$31:$B$48),$J1640,('Loading-truck'!$D$31:$D$48))*Impacts!$F$14,IF(('Loading-truck'!$C$21)&lt;&gt;"No control",SUMIF(('Loading-truck'!$B$31:$B$48),$J1640,('Loading-truck'!$E$31:$E$48))*Impacts!$F$14,0)),0)</f>
        <v>0</v>
      </c>
      <c r="S1640" s="10">
        <f>IFERROR(IF(('Loading-rail'!$C$21)="No control",SUMIF(('Loading-rail'!$B$31:$B$48),$J1640,('Loading-rail'!$D$31:$D$48))*Impacts!$F$15,IF(('Loading-rail'!$C$21)&lt;&gt;"No control",SUMIF(('Loading-rail'!$B$31:$B$48),$J1640,('Loading-rail'!$E$31:$E$48))*Impacts!$F$15,0)),0)</f>
        <v>0</v>
      </c>
      <c r="T1640" s="10">
        <f>IF(Flare!$C$7="",0,(SUMIF(Flare!$B$46:$B$185,$J1640,Flare!$E$46:$E$185)*Impacts!$F$16))</f>
        <v>0</v>
      </c>
      <c r="U1640" s="10">
        <f>IF(VCU!$C$9="",0,(SUMIF(VCU!$B$51:$B$193,$J1640,VCU!$E$51:$E$193)*Impacts!$F$17))</f>
        <v>0</v>
      </c>
      <c r="V1640" s="10">
        <f>IF(CAS!$C$7="",0,(SUMIF(CAS!$B$31:$B$167,$J1640,CAS!$E$31:$E$167)*Impacts!$F$18))</f>
        <v>0</v>
      </c>
      <c r="W1640" s="10">
        <f t="shared" si="66"/>
        <v>0</v>
      </c>
      <c r="AK1640" s="10" t="str">
        <f t="array" ref="AK1640">IFERROR(INDEX(SelectedSpecies,SMALL(IF(SelectedSpecies=AK$1,ROW(SelectedSpecies)),ROW(1641:1641)),2),"")</f>
        <v/>
      </c>
      <c r="BE1640" s="10"/>
      <c r="BI1640" s="10"/>
    </row>
    <row r="1641" spans="1:61" ht="21" customHeight="1" x14ac:dyDescent="0.25">
      <c r="A1641" s="10"/>
      <c r="B1641" s="10"/>
      <c r="E1641" s="10"/>
      <c r="G1641" s="10"/>
      <c r="I1641" s="436" t="s">
        <v>8156</v>
      </c>
      <c r="J1641" s="26" t="s">
        <v>8155</v>
      </c>
      <c r="K1641" s="10">
        <v>1.0000000000000002E-2</v>
      </c>
      <c r="L1641" s="73">
        <f>IF(Tank1!$C$23="No control",(SUMIF(Tank1!$B$32:$B$49,$J1641,Tank1!$C$32:$C$49)*Impacts!$F$8),0)</f>
        <v>0</v>
      </c>
      <c r="M1641" s="10">
        <f>IF(Tank2!$C$23="No control",(SUMIF(Tank2!$B$32:$B$49,$J1641,Tank2!$C$32:$C$49)*Impacts!$F$9),0)</f>
        <v>0</v>
      </c>
      <c r="N1641" s="10">
        <f>IF(Tank3!$C$23="No control",(SUMIF(Tank3!$B$32:$B$49,$J1641,Tank3!$C$32:$C$49)*Impacts!$F$10),0)</f>
        <v>0</v>
      </c>
      <c r="O1641" s="10">
        <f>IF(Tank4!$C$23="No control",(SUMIF(Tank4!$B$32:$B$49,$J1641,Tank4!$C$32:$C$49)*Impacts!$F$11),0)</f>
        <v>0</v>
      </c>
      <c r="P1641" s="10">
        <f>IF(Tank5!$C$23="No control",(SUMIF(Tank5!$B$32:$B$49,$J1641,Tank5!$C$32:$C$49)*Impacts!$F$12),0)</f>
        <v>0</v>
      </c>
      <c r="Q1641" s="10">
        <f>IFERROR(IF(('Loading-drum,tote'!$C$21)="No control",SUMIF(('Loading-drum,tote'!$B$31:$B$48),$J1641,('Loading-drum,tote'!$D$31:$D$48))*Impacts!$F$13,IF(('Loading-drum,tote'!$C$21)&lt;&gt;"No control",SUMIF(('Loading-drum,tote'!$B$31:$B$48),$J1641,('Loading-drum,tote'!$E$31:$E$48))*Impacts!$F$13,0)),0)</f>
        <v>0</v>
      </c>
      <c r="R1641" s="10">
        <f>IFERROR(IF(('Loading-truck'!$C$21)="No control",SUMIF(('Loading-truck'!$B$31:$B$48),$J1641,('Loading-truck'!$D$31:$D$48))*Impacts!$F$14,IF(('Loading-truck'!$C$21)&lt;&gt;"No control",SUMIF(('Loading-truck'!$B$31:$B$48),$J1641,('Loading-truck'!$E$31:$E$48))*Impacts!$F$14,0)),0)</f>
        <v>0</v>
      </c>
      <c r="S1641" s="10">
        <f>IFERROR(IF(('Loading-rail'!$C$21)="No control",SUMIF(('Loading-rail'!$B$31:$B$48),$J1641,('Loading-rail'!$D$31:$D$48))*Impacts!$F$15,IF(('Loading-rail'!$C$21)&lt;&gt;"No control",SUMIF(('Loading-rail'!$B$31:$B$48),$J1641,('Loading-rail'!$E$31:$E$48))*Impacts!$F$15,0)),0)</f>
        <v>0</v>
      </c>
      <c r="T1641" s="10">
        <f>IF(Flare!$C$7="",0,(SUMIF(Flare!$B$46:$B$185,$J1641,Flare!$E$46:$E$185)*Impacts!$F$16))</f>
        <v>0</v>
      </c>
      <c r="U1641" s="10">
        <f>IF(VCU!$C$9="",0,(SUMIF(VCU!$B$51:$B$193,$J1641,VCU!$E$51:$E$193)*Impacts!$F$17))</f>
        <v>0</v>
      </c>
      <c r="V1641" s="10">
        <f>IF(CAS!$C$7="",0,(SUMIF(CAS!$B$31:$B$167,$J1641,CAS!$E$31:$E$167)*Impacts!$F$18))</f>
        <v>0</v>
      </c>
      <c r="W1641" s="10">
        <f t="shared" si="66"/>
        <v>0</v>
      </c>
      <c r="AK1641" s="10" t="str">
        <f t="array" ref="AK1641">IFERROR(INDEX(SelectedSpecies,SMALL(IF(SelectedSpecies=AK$1,ROW(SelectedSpecies)),ROW(1642:1642)),2),"")</f>
        <v/>
      </c>
      <c r="BE1641" s="10"/>
      <c r="BI1641" s="10"/>
    </row>
    <row r="1642" spans="1:61" ht="21" customHeight="1" x14ac:dyDescent="0.25">
      <c r="A1642" s="10"/>
      <c r="B1642" s="10"/>
      <c r="E1642" s="10"/>
      <c r="G1642" s="10"/>
      <c r="I1642" s="436" t="s">
        <v>4193</v>
      </c>
      <c r="J1642" s="26" t="s">
        <v>4192</v>
      </c>
      <c r="K1642" s="10">
        <v>5</v>
      </c>
      <c r="L1642" s="73">
        <f>IF(Tank1!$C$23="No control",(SUMIF(Tank1!$B$32:$B$49,$J1642,Tank1!$C$32:$C$49)*Impacts!$F$8),0)</f>
        <v>0</v>
      </c>
      <c r="M1642" s="10">
        <f>IF(Tank2!$C$23="No control",(SUMIF(Tank2!$B$32:$B$49,$J1642,Tank2!$C$32:$C$49)*Impacts!$F$9),0)</f>
        <v>0</v>
      </c>
      <c r="N1642" s="10">
        <f>IF(Tank3!$C$23="No control",(SUMIF(Tank3!$B$32:$B$49,$J1642,Tank3!$C$32:$C$49)*Impacts!$F$10),0)</f>
        <v>0</v>
      </c>
      <c r="O1642" s="10">
        <f>IF(Tank4!$C$23="No control",(SUMIF(Tank4!$B$32:$B$49,$J1642,Tank4!$C$32:$C$49)*Impacts!$F$11),0)</f>
        <v>0</v>
      </c>
      <c r="P1642" s="10">
        <f>IF(Tank5!$C$23="No control",(SUMIF(Tank5!$B$32:$B$49,$J1642,Tank5!$C$32:$C$49)*Impacts!$F$12),0)</f>
        <v>0</v>
      </c>
      <c r="Q1642" s="10">
        <f>IFERROR(IF(('Loading-drum,tote'!$C$21)="No control",SUMIF(('Loading-drum,tote'!$B$31:$B$48),$J1642,('Loading-drum,tote'!$D$31:$D$48))*Impacts!$F$13,IF(('Loading-drum,tote'!$C$21)&lt;&gt;"No control",SUMIF(('Loading-drum,tote'!$B$31:$B$48),$J1642,('Loading-drum,tote'!$E$31:$E$48))*Impacts!$F$13,0)),0)</f>
        <v>0</v>
      </c>
      <c r="R1642" s="10">
        <f>IFERROR(IF(('Loading-truck'!$C$21)="No control",SUMIF(('Loading-truck'!$B$31:$B$48),$J1642,('Loading-truck'!$D$31:$D$48))*Impacts!$F$14,IF(('Loading-truck'!$C$21)&lt;&gt;"No control",SUMIF(('Loading-truck'!$B$31:$B$48),$J1642,('Loading-truck'!$E$31:$E$48))*Impacts!$F$14,0)),0)</f>
        <v>0</v>
      </c>
      <c r="S1642" s="10">
        <f>IFERROR(IF(('Loading-rail'!$C$21)="No control",SUMIF(('Loading-rail'!$B$31:$B$48),$J1642,('Loading-rail'!$D$31:$D$48))*Impacts!$F$15,IF(('Loading-rail'!$C$21)&lt;&gt;"No control",SUMIF(('Loading-rail'!$B$31:$B$48),$J1642,('Loading-rail'!$E$31:$E$48))*Impacts!$F$15,0)),0)</f>
        <v>0</v>
      </c>
      <c r="T1642" s="10">
        <f>IF(Flare!$C$7="",0,(SUMIF(Flare!$B$46:$B$185,$J1642,Flare!$E$46:$E$185)*Impacts!$F$16))</f>
        <v>0</v>
      </c>
      <c r="U1642" s="10">
        <f>IF(VCU!$C$9="",0,(SUMIF(VCU!$B$51:$B$193,$J1642,VCU!$E$51:$E$193)*Impacts!$F$17))</f>
        <v>0</v>
      </c>
      <c r="V1642" s="10">
        <f>IF(CAS!$C$7="",0,(SUMIF(CAS!$B$31:$B$167,$J1642,CAS!$E$31:$E$167)*Impacts!$F$18))</f>
        <v>0</v>
      </c>
      <c r="W1642" s="10">
        <f t="shared" si="66"/>
        <v>0</v>
      </c>
      <c r="AK1642" s="10" t="str">
        <f t="array" ref="AK1642">IFERROR(INDEX(SelectedSpecies,SMALL(IF(SelectedSpecies=AK$1,ROW(SelectedSpecies)),ROW(1643:1643)),2),"")</f>
        <v/>
      </c>
      <c r="BE1642" s="10"/>
      <c r="BI1642" s="10"/>
    </row>
    <row r="1643" spans="1:61" ht="21" customHeight="1" x14ac:dyDescent="0.25">
      <c r="A1643" s="10"/>
      <c r="B1643" s="10"/>
      <c r="E1643" s="10"/>
      <c r="G1643" s="10"/>
      <c r="I1643" s="436" t="s">
        <v>7642</v>
      </c>
      <c r="J1643" s="26" t="s">
        <v>7641</v>
      </c>
      <c r="K1643" s="10">
        <v>0.13</v>
      </c>
      <c r="L1643" s="73">
        <f>IF(Tank1!$C$23="No control",(SUMIF(Tank1!$B$32:$B$49,$J1643,Tank1!$C$32:$C$49)*Impacts!$F$8),0)</f>
        <v>0</v>
      </c>
      <c r="M1643" s="10">
        <f>IF(Tank2!$C$23="No control",(SUMIF(Tank2!$B$32:$B$49,$J1643,Tank2!$C$32:$C$49)*Impacts!$F$9),0)</f>
        <v>0</v>
      </c>
      <c r="N1643" s="10">
        <f>IF(Tank3!$C$23="No control",(SUMIF(Tank3!$B$32:$B$49,$J1643,Tank3!$C$32:$C$49)*Impacts!$F$10),0)</f>
        <v>0</v>
      </c>
      <c r="O1643" s="10">
        <f>IF(Tank4!$C$23="No control",(SUMIF(Tank4!$B$32:$B$49,$J1643,Tank4!$C$32:$C$49)*Impacts!$F$11),0)</f>
        <v>0</v>
      </c>
      <c r="P1643" s="10">
        <f>IF(Tank5!$C$23="No control",(SUMIF(Tank5!$B$32:$B$49,$J1643,Tank5!$C$32:$C$49)*Impacts!$F$12),0)</f>
        <v>0</v>
      </c>
      <c r="Q1643" s="10">
        <f>IFERROR(IF(('Loading-drum,tote'!$C$21)="No control",SUMIF(('Loading-drum,tote'!$B$31:$B$48),$J1643,('Loading-drum,tote'!$D$31:$D$48))*Impacts!$F$13,IF(('Loading-drum,tote'!$C$21)&lt;&gt;"No control",SUMIF(('Loading-drum,tote'!$B$31:$B$48),$J1643,('Loading-drum,tote'!$E$31:$E$48))*Impacts!$F$13,0)),0)</f>
        <v>0</v>
      </c>
      <c r="R1643" s="10">
        <f>IFERROR(IF(('Loading-truck'!$C$21)="No control",SUMIF(('Loading-truck'!$B$31:$B$48),$J1643,('Loading-truck'!$D$31:$D$48))*Impacts!$F$14,IF(('Loading-truck'!$C$21)&lt;&gt;"No control",SUMIF(('Loading-truck'!$B$31:$B$48),$J1643,('Loading-truck'!$E$31:$E$48))*Impacts!$F$14,0)),0)</f>
        <v>0</v>
      </c>
      <c r="S1643" s="10">
        <f>IFERROR(IF(('Loading-rail'!$C$21)="No control",SUMIF(('Loading-rail'!$B$31:$B$48),$J1643,('Loading-rail'!$D$31:$D$48))*Impacts!$F$15,IF(('Loading-rail'!$C$21)&lt;&gt;"No control",SUMIF(('Loading-rail'!$B$31:$B$48),$J1643,('Loading-rail'!$E$31:$E$48))*Impacts!$F$15,0)),0)</f>
        <v>0</v>
      </c>
      <c r="T1643" s="10">
        <f>IF(Flare!$C$7="",0,(SUMIF(Flare!$B$46:$B$185,$J1643,Flare!$E$46:$E$185)*Impacts!$F$16))</f>
        <v>0</v>
      </c>
      <c r="U1643" s="10">
        <f>IF(VCU!$C$9="",0,(SUMIF(VCU!$B$51:$B$193,$J1643,VCU!$E$51:$E$193)*Impacts!$F$17))</f>
        <v>0</v>
      </c>
      <c r="V1643" s="10">
        <f>IF(CAS!$C$7="",0,(SUMIF(CAS!$B$31:$B$167,$J1643,CAS!$E$31:$E$167)*Impacts!$F$18))</f>
        <v>0</v>
      </c>
      <c r="W1643" s="10">
        <f t="shared" si="66"/>
        <v>0</v>
      </c>
      <c r="AK1643" s="10" t="str">
        <f t="array" ref="AK1643">IFERROR(INDEX(SelectedSpecies,SMALL(IF(SelectedSpecies=AK$1,ROW(SelectedSpecies)),ROW(1644:1644)),2),"")</f>
        <v/>
      </c>
      <c r="BE1643" s="10"/>
      <c r="BI1643" s="10"/>
    </row>
    <row r="1644" spans="1:61" ht="21" customHeight="1" x14ac:dyDescent="0.25">
      <c r="A1644" s="10"/>
      <c r="B1644" s="10"/>
      <c r="E1644" s="10"/>
      <c r="G1644" s="10"/>
      <c r="I1644" s="436" t="s">
        <v>4279</v>
      </c>
      <c r="J1644" s="26" t="s">
        <v>4278</v>
      </c>
      <c r="K1644" s="10">
        <v>5</v>
      </c>
      <c r="L1644" s="73">
        <f>IF(Tank1!$C$23="No control",(SUMIF(Tank1!$B$32:$B$49,$J1644,Tank1!$C$32:$C$49)*Impacts!$F$8),0)</f>
        <v>0</v>
      </c>
      <c r="M1644" s="10">
        <f>IF(Tank2!$C$23="No control",(SUMIF(Tank2!$B$32:$B$49,$J1644,Tank2!$C$32:$C$49)*Impacts!$F$9),0)</f>
        <v>0</v>
      </c>
      <c r="N1644" s="10">
        <f>IF(Tank3!$C$23="No control",(SUMIF(Tank3!$B$32:$B$49,$J1644,Tank3!$C$32:$C$49)*Impacts!$F$10),0)</f>
        <v>0</v>
      </c>
      <c r="O1644" s="10">
        <f>IF(Tank4!$C$23="No control",(SUMIF(Tank4!$B$32:$B$49,$J1644,Tank4!$C$32:$C$49)*Impacts!$F$11),0)</f>
        <v>0</v>
      </c>
      <c r="P1644" s="10">
        <f>IF(Tank5!$C$23="No control",(SUMIF(Tank5!$B$32:$B$49,$J1644,Tank5!$C$32:$C$49)*Impacts!$F$12),0)</f>
        <v>0</v>
      </c>
      <c r="Q1644" s="10">
        <f>IFERROR(IF(('Loading-drum,tote'!$C$21)="No control",SUMIF(('Loading-drum,tote'!$B$31:$B$48),$J1644,('Loading-drum,tote'!$D$31:$D$48))*Impacts!$F$13,IF(('Loading-drum,tote'!$C$21)&lt;&gt;"No control",SUMIF(('Loading-drum,tote'!$B$31:$B$48),$J1644,('Loading-drum,tote'!$E$31:$E$48))*Impacts!$F$13,0)),0)</f>
        <v>0</v>
      </c>
      <c r="R1644" s="10">
        <f>IFERROR(IF(('Loading-truck'!$C$21)="No control",SUMIF(('Loading-truck'!$B$31:$B$48),$J1644,('Loading-truck'!$D$31:$D$48))*Impacts!$F$14,IF(('Loading-truck'!$C$21)&lt;&gt;"No control",SUMIF(('Loading-truck'!$B$31:$B$48),$J1644,('Loading-truck'!$E$31:$E$48))*Impacts!$F$14,0)),0)</f>
        <v>0</v>
      </c>
      <c r="S1644" s="10">
        <f>IFERROR(IF(('Loading-rail'!$C$21)="No control",SUMIF(('Loading-rail'!$B$31:$B$48),$J1644,('Loading-rail'!$D$31:$D$48))*Impacts!$F$15,IF(('Loading-rail'!$C$21)&lt;&gt;"No control",SUMIF(('Loading-rail'!$B$31:$B$48),$J1644,('Loading-rail'!$E$31:$E$48))*Impacts!$F$15,0)),0)</f>
        <v>0</v>
      </c>
      <c r="T1644" s="10">
        <f>IF(Flare!$C$7="",0,(SUMIF(Flare!$B$46:$B$185,$J1644,Flare!$E$46:$E$185)*Impacts!$F$16))</f>
        <v>0</v>
      </c>
      <c r="U1644" s="10">
        <f>IF(VCU!$C$9="",0,(SUMIF(VCU!$B$51:$B$193,$J1644,VCU!$E$51:$E$193)*Impacts!$F$17))</f>
        <v>0</v>
      </c>
      <c r="V1644" s="10">
        <f>IF(CAS!$C$7="",0,(SUMIF(CAS!$B$31:$B$167,$J1644,CAS!$E$31:$E$167)*Impacts!$F$18))</f>
        <v>0</v>
      </c>
      <c r="W1644" s="10">
        <f t="shared" si="66"/>
        <v>0</v>
      </c>
      <c r="AK1644" s="10" t="str">
        <f t="array" ref="AK1644">IFERROR(INDEX(SelectedSpecies,SMALL(IF(SelectedSpecies=AK$1,ROW(SelectedSpecies)),ROW(1645:1645)),2),"")</f>
        <v/>
      </c>
      <c r="BE1644" s="10"/>
      <c r="BI1644" s="10"/>
    </row>
    <row r="1645" spans="1:61" ht="21" customHeight="1" x14ac:dyDescent="0.25">
      <c r="A1645" s="10"/>
      <c r="B1645" s="10"/>
      <c r="E1645" s="10"/>
      <c r="G1645" s="10"/>
      <c r="I1645" s="436" t="s">
        <v>1028</v>
      </c>
      <c r="J1645" s="26" t="s">
        <v>1027</v>
      </c>
      <c r="K1645" s="10">
        <v>35</v>
      </c>
      <c r="L1645" s="73">
        <f>IF(Tank1!$C$23="No control",(SUMIF(Tank1!$B$32:$B$49,$J1645,Tank1!$C$32:$C$49)*Impacts!$F$8),0)</f>
        <v>0</v>
      </c>
      <c r="M1645" s="10">
        <f>IF(Tank2!$C$23="No control",(SUMIF(Tank2!$B$32:$B$49,$J1645,Tank2!$C$32:$C$49)*Impacts!$F$9),0)</f>
        <v>0</v>
      </c>
      <c r="N1645" s="10">
        <f>IF(Tank3!$C$23="No control",(SUMIF(Tank3!$B$32:$B$49,$J1645,Tank3!$C$32:$C$49)*Impacts!$F$10),0)</f>
        <v>0</v>
      </c>
      <c r="O1645" s="10">
        <f>IF(Tank4!$C$23="No control",(SUMIF(Tank4!$B$32:$B$49,$J1645,Tank4!$C$32:$C$49)*Impacts!$F$11),0)</f>
        <v>0</v>
      </c>
      <c r="P1645" s="10">
        <f>IF(Tank5!$C$23="No control",(SUMIF(Tank5!$B$32:$B$49,$J1645,Tank5!$C$32:$C$49)*Impacts!$F$12),0)</f>
        <v>0</v>
      </c>
      <c r="Q1645" s="10">
        <f>IFERROR(IF(('Loading-drum,tote'!$C$21)="No control",SUMIF(('Loading-drum,tote'!$B$31:$B$48),$J1645,('Loading-drum,tote'!$D$31:$D$48))*Impacts!$F$13,IF(('Loading-drum,tote'!$C$21)&lt;&gt;"No control",SUMIF(('Loading-drum,tote'!$B$31:$B$48),$J1645,('Loading-drum,tote'!$E$31:$E$48))*Impacts!$F$13,0)),0)</f>
        <v>0</v>
      </c>
      <c r="R1645" s="10">
        <f>IFERROR(IF(('Loading-truck'!$C$21)="No control",SUMIF(('Loading-truck'!$B$31:$B$48),$J1645,('Loading-truck'!$D$31:$D$48))*Impacts!$F$14,IF(('Loading-truck'!$C$21)&lt;&gt;"No control",SUMIF(('Loading-truck'!$B$31:$B$48),$J1645,('Loading-truck'!$E$31:$E$48))*Impacts!$F$14,0)),0)</f>
        <v>0</v>
      </c>
      <c r="S1645" s="10">
        <f>IFERROR(IF(('Loading-rail'!$C$21)="No control",SUMIF(('Loading-rail'!$B$31:$B$48),$J1645,('Loading-rail'!$D$31:$D$48))*Impacts!$F$15,IF(('Loading-rail'!$C$21)&lt;&gt;"No control",SUMIF(('Loading-rail'!$B$31:$B$48),$J1645,('Loading-rail'!$E$31:$E$48))*Impacts!$F$15,0)),0)</f>
        <v>0</v>
      </c>
      <c r="T1645" s="10">
        <f>IF(Flare!$C$7="",0,(SUMIF(Flare!$B$46:$B$185,$J1645,Flare!$E$46:$E$185)*Impacts!$F$16))</f>
        <v>0</v>
      </c>
      <c r="U1645" s="10">
        <f>IF(VCU!$C$9="",0,(SUMIF(VCU!$B$51:$B$193,$J1645,VCU!$E$51:$E$193)*Impacts!$F$17))</f>
        <v>0</v>
      </c>
      <c r="V1645" s="10">
        <f>IF(CAS!$C$7="",0,(SUMIF(CAS!$B$31:$B$167,$J1645,CAS!$E$31:$E$167)*Impacts!$F$18))</f>
        <v>0</v>
      </c>
      <c r="W1645" s="10">
        <f t="shared" si="66"/>
        <v>0</v>
      </c>
      <c r="AK1645" s="10" t="str">
        <f t="array" ref="AK1645">IFERROR(INDEX(SelectedSpecies,SMALL(IF(SelectedSpecies=AK$1,ROW(SelectedSpecies)),ROW(1646:1646)),2),"")</f>
        <v/>
      </c>
      <c r="BE1645" s="10"/>
      <c r="BI1645" s="10"/>
    </row>
    <row r="1646" spans="1:61" ht="21" customHeight="1" x14ac:dyDescent="0.25">
      <c r="A1646" s="10"/>
      <c r="B1646" s="10"/>
      <c r="E1646" s="10"/>
      <c r="G1646" s="10"/>
      <c r="I1646" s="436" t="s">
        <v>2181</v>
      </c>
      <c r="J1646" s="26" t="s">
        <v>2180</v>
      </c>
      <c r="K1646" s="10">
        <v>15</v>
      </c>
      <c r="L1646" s="73">
        <f>IF(Tank1!$C$23="No control",(SUMIF(Tank1!$B$32:$B$49,$J1646,Tank1!$C$32:$C$49)*Impacts!$F$8),0)</f>
        <v>0</v>
      </c>
      <c r="M1646" s="10">
        <f>IF(Tank2!$C$23="No control",(SUMIF(Tank2!$B$32:$B$49,$J1646,Tank2!$C$32:$C$49)*Impacts!$F$9),0)</f>
        <v>0</v>
      </c>
      <c r="N1646" s="10">
        <f>IF(Tank3!$C$23="No control",(SUMIF(Tank3!$B$32:$B$49,$J1646,Tank3!$C$32:$C$49)*Impacts!$F$10),0)</f>
        <v>0</v>
      </c>
      <c r="O1646" s="10">
        <f>IF(Tank4!$C$23="No control",(SUMIF(Tank4!$B$32:$B$49,$J1646,Tank4!$C$32:$C$49)*Impacts!$F$11),0)</f>
        <v>0</v>
      </c>
      <c r="P1646" s="10">
        <f>IF(Tank5!$C$23="No control",(SUMIF(Tank5!$B$32:$B$49,$J1646,Tank5!$C$32:$C$49)*Impacts!$F$12),0)</f>
        <v>0</v>
      </c>
      <c r="Q1646" s="10">
        <f>IFERROR(IF(('Loading-drum,tote'!$C$21)="No control",SUMIF(('Loading-drum,tote'!$B$31:$B$48),$J1646,('Loading-drum,tote'!$D$31:$D$48))*Impacts!$F$13,IF(('Loading-drum,tote'!$C$21)&lt;&gt;"No control",SUMIF(('Loading-drum,tote'!$B$31:$B$48),$J1646,('Loading-drum,tote'!$E$31:$E$48))*Impacts!$F$13,0)),0)</f>
        <v>0</v>
      </c>
      <c r="R1646" s="10">
        <f>IFERROR(IF(('Loading-truck'!$C$21)="No control",SUMIF(('Loading-truck'!$B$31:$B$48),$J1646,('Loading-truck'!$D$31:$D$48))*Impacts!$F$14,IF(('Loading-truck'!$C$21)&lt;&gt;"No control",SUMIF(('Loading-truck'!$B$31:$B$48),$J1646,('Loading-truck'!$E$31:$E$48))*Impacts!$F$14,0)),0)</f>
        <v>0</v>
      </c>
      <c r="S1646" s="10">
        <f>IFERROR(IF(('Loading-rail'!$C$21)="No control",SUMIF(('Loading-rail'!$B$31:$B$48),$J1646,('Loading-rail'!$D$31:$D$48))*Impacts!$F$15,IF(('Loading-rail'!$C$21)&lt;&gt;"No control",SUMIF(('Loading-rail'!$B$31:$B$48),$J1646,('Loading-rail'!$E$31:$E$48))*Impacts!$F$15,0)),0)</f>
        <v>0</v>
      </c>
      <c r="T1646" s="10">
        <f>IF(Flare!$C$7="",0,(SUMIF(Flare!$B$46:$B$185,$J1646,Flare!$E$46:$E$185)*Impacts!$F$16))</f>
        <v>0</v>
      </c>
      <c r="U1646" s="10">
        <f>IF(VCU!$C$9="",0,(SUMIF(VCU!$B$51:$B$193,$J1646,VCU!$E$51:$E$193)*Impacts!$F$17))</f>
        <v>0</v>
      </c>
      <c r="V1646" s="10">
        <f>IF(CAS!$C$7="",0,(SUMIF(CAS!$B$31:$B$167,$J1646,CAS!$E$31:$E$167)*Impacts!$F$18))</f>
        <v>0</v>
      </c>
      <c r="W1646" s="10">
        <f t="shared" si="66"/>
        <v>0</v>
      </c>
      <c r="AK1646" s="10" t="str">
        <f t="array" ref="AK1646">IFERROR(INDEX(SelectedSpecies,SMALL(IF(SelectedSpecies=AK$1,ROW(SelectedSpecies)),ROW(1647:1647)),2),"")</f>
        <v/>
      </c>
      <c r="BE1646" s="10"/>
      <c r="BI1646" s="10"/>
    </row>
    <row r="1647" spans="1:61" ht="21" customHeight="1" x14ac:dyDescent="0.25">
      <c r="A1647" s="10"/>
      <c r="B1647" s="10"/>
      <c r="E1647" s="10"/>
      <c r="G1647" s="10"/>
      <c r="I1647" s="436" t="s">
        <v>5419</v>
      </c>
      <c r="J1647" s="26" t="s">
        <v>5418</v>
      </c>
      <c r="K1647" s="10">
        <v>1.4000000000000001</v>
      </c>
      <c r="L1647" s="73">
        <f>IF(Tank1!$C$23="No control",(SUMIF(Tank1!$B$32:$B$49,$J1647,Tank1!$C$32:$C$49)*Impacts!$F$8),0)</f>
        <v>0</v>
      </c>
      <c r="M1647" s="10">
        <f>IF(Tank2!$C$23="No control",(SUMIF(Tank2!$B$32:$B$49,$J1647,Tank2!$C$32:$C$49)*Impacts!$F$9),0)</f>
        <v>0</v>
      </c>
      <c r="N1647" s="10">
        <f>IF(Tank3!$C$23="No control",(SUMIF(Tank3!$B$32:$B$49,$J1647,Tank3!$C$32:$C$49)*Impacts!$F$10),0)</f>
        <v>0</v>
      </c>
      <c r="O1647" s="10">
        <f>IF(Tank4!$C$23="No control",(SUMIF(Tank4!$B$32:$B$49,$J1647,Tank4!$C$32:$C$49)*Impacts!$F$11),0)</f>
        <v>0</v>
      </c>
      <c r="P1647" s="10">
        <f>IF(Tank5!$C$23="No control",(SUMIF(Tank5!$B$32:$B$49,$J1647,Tank5!$C$32:$C$49)*Impacts!$F$12),0)</f>
        <v>0</v>
      </c>
      <c r="Q1647" s="10">
        <f>IFERROR(IF(('Loading-drum,tote'!$C$21)="No control",SUMIF(('Loading-drum,tote'!$B$31:$B$48),$J1647,('Loading-drum,tote'!$D$31:$D$48))*Impacts!$F$13,IF(('Loading-drum,tote'!$C$21)&lt;&gt;"No control",SUMIF(('Loading-drum,tote'!$B$31:$B$48),$J1647,('Loading-drum,tote'!$E$31:$E$48))*Impacts!$F$13,0)),0)</f>
        <v>0</v>
      </c>
      <c r="R1647" s="10">
        <f>IFERROR(IF(('Loading-truck'!$C$21)="No control",SUMIF(('Loading-truck'!$B$31:$B$48),$J1647,('Loading-truck'!$D$31:$D$48))*Impacts!$F$14,IF(('Loading-truck'!$C$21)&lt;&gt;"No control",SUMIF(('Loading-truck'!$B$31:$B$48),$J1647,('Loading-truck'!$E$31:$E$48))*Impacts!$F$14,0)),0)</f>
        <v>0</v>
      </c>
      <c r="S1647" s="10">
        <f>IFERROR(IF(('Loading-rail'!$C$21)="No control",SUMIF(('Loading-rail'!$B$31:$B$48),$J1647,('Loading-rail'!$D$31:$D$48))*Impacts!$F$15,IF(('Loading-rail'!$C$21)&lt;&gt;"No control",SUMIF(('Loading-rail'!$B$31:$B$48),$J1647,('Loading-rail'!$E$31:$E$48))*Impacts!$F$15,0)),0)</f>
        <v>0</v>
      </c>
      <c r="T1647" s="10">
        <f>IF(Flare!$C$7="",0,(SUMIF(Flare!$B$46:$B$185,$J1647,Flare!$E$46:$E$185)*Impacts!$F$16))</f>
        <v>0</v>
      </c>
      <c r="U1647" s="10">
        <f>IF(VCU!$C$9="",0,(SUMIF(VCU!$B$51:$B$193,$J1647,VCU!$E$51:$E$193)*Impacts!$F$17))</f>
        <v>0</v>
      </c>
      <c r="V1647" s="10">
        <f>IF(CAS!$C$7="",0,(SUMIF(CAS!$B$31:$B$167,$J1647,CAS!$E$31:$E$167)*Impacts!$F$18))</f>
        <v>0</v>
      </c>
      <c r="W1647" s="10">
        <f t="shared" si="66"/>
        <v>0</v>
      </c>
      <c r="AK1647" s="10" t="str">
        <f t="array" ref="AK1647">IFERROR(INDEX(SelectedSpecies,SMALL(IF(SelectedSpecies=AK$1,ROW(SelectedSpecies)),ROW(1648:1648)),2),"")</f>
        <v/>
      </c>
      <c r="BE1647" s="10"/>
      <c r="BI1647" s="10"/>
    </row>
    <row r="1648" spans="1:61" ht="21" customHeight="1" x14ac:dyDescent="0.25">
      <c r="A1648" s="10"/>
      <c r="B1648" s="10"/>
      <c r="E1648" s="10"/>
      <c r="G1648" s="10"/>
      <c r="I1648" s="436" t="s">
        <v>7092</v>
      </c>
      <c r="J1648" s="26" t="s">
        <v>7091</v>
      </c>
      <c r="K1648" s="10">
        <v>0.4</v>
      </c>
      <c r="L1648" s="73">
        <f>IF(Tank1!$C$23="No control",(SUMIF(Tank1!$B$32:$B$49,$J1648,Tank1!$C$32:$C$49)*Impacts!$F$8),0)</f>
        <v>0</v>
      </c>
      <c r="M1648" s="10">
        <f>IF(Tank2!$C$23="No control",(SUMIF(Tank2!$B$32:$B$49,$J1648,Tank2!$C$32:$C$49)*Impacts!$F$9),0)</f>
        <v>0</v>
      </c>
      <c r="N1648" s="10">
        <f>IF(Tank3!$C$23="No control",(SUMIF(Tank3!$B$32:$B$49,$J1648,Tank3!$C$32:$C$49)*Impacts!$F$10),0)</f>
        <v>0</v>
      </c>
      <c r="O1648" s="10">
        <f>IF(Tank4!$C$23="No control",(SUMIF(Tank4!$B$32:$B$49,$J1648,Tank4!$C$32:$C$49)*Impacts!$F$11),0)</f>
        <v>0</v>
      </c>
      <c r="P1648" s="10">
        <f>IF(Tank5!$C$23="No control",(SUMIF(Tank5!$B$32:$B$49,$J1648,Tank5!$C$32:$C$49)*Impacts!$F$12),0)</f>
        <v>0</v>
      </c>
      <c r="Q1648" s="10">
        <f>IFERROR(IF(('Loading-drum,tote'!$C$21)="No control",SUMIF(('Loading-drum,tote'!$B$31:$B$48),$J1648,('Loading-drum,tote'!$D$31:$D$48))*Impacts!$F$13,IF(('Loading-drum,tote'!$C$21)&lt;&gt;"No control",SUMIF(('Loading-drum,tote'!$B$31:$B$48),$J1648,('Loading-drum,tote'!$E$31:$E$48))*Impacts!$F$13,0)),0)</f>
        <v>0</v>
      </c>
      <c r="R1648" s="10">
        <f>IFERROR(IF(('Loading-truck'!$C$21)="No control",SUMIF(('Loading-truck'!$B$31:$B$48),$J1648,('Loading-truck'!$D$31:$D$48))*Impacts!$F$14,IF(('Loading-truck'!$C$21)&lt;&gt;"No control",SUMIF(('Loading-truck'!$B$31:$B$48),$J1648,('Loading-truck'!$E$31:$E$48))*Impacts!$F$14,0)),0)</f>
        <v>0</v>
      </c>
      <c r="S1648" s="10">
        <f>IFERROR(IF(('Loading-rail'!$C$21)="No control",SUMIF(('Loading-rail'!$B$31:$B$48),$J1648,('Loading-rail'!$D$31:$D$48))*Impacts!$F$15,IF(('Loading-rail'!$C$21)&lt;&gt;"No control",SUMIF(('Loading-rail'!$B$31:$B$48),$J1648,('Loading-rail'!$E$31:$E$48))*Impacts!$F$15,0)),0)</f>
        <v>0</v>
      </c>
      <c r="T1648" s="10">
        <f>IF(Flare!$C$7="",0,(SUMIF(Flare!$B$46:$B$185,$J1648,Flare!$E$46:$E$185)*Impacts!$F$16))</f>
        <v>0</v>
      </c>
      <c r="U1648" s="10">
        <f>IF(VCU!$C$9="",0,(SUMIF(VCU!$B$51:$B$193,$J1648,VCU!$E$51:$E$193)*Impacts!$F$17))</f>
        <v>0</v>
      </c>
      <c r="V1648" s="10">
        <f>IF(CAS!$C$7="",0,(SUMIF(CAS!$B$31:$B$167,$J1648,CAS!$E$31:$E$167)*Impacts!$F$18))</f>
        <v>0</v>
      </c>
      <c r="W1648" s="10">
        <f t="shared" si="66"/>
        <v>0</v>
      </c>
      <c r="AK1648" s="10" t="str">
        <f t="array" ref="AK1648">IFERROR(INDEX(SelectedSpecies,SMALL(IF(SelectedSpecies=AK$1,ROW(SelectedSpecies)),ROW(1649:1649)),2),"")</f>
        <v/>
      </c>
      <c r="BE1648" s="10"/>
      <c r="BI1648" s="10"/>
    </row>
    <row r="1649" spans="1:61" ht="21" customHeight="1" x14ac:dyDescent="0.25">
      <c r="A1649" s="10"/>
      <c r="B1649" s="10"/>
      <c r="E1649" s="10"/>
      <c r="G1649" s="10"/>
      <c r="I1649" s="436" t="s">
        <v>2481</v>
      </c>
      <c r="J1649" s="26" t="s">
        <v>2480</v>
      </c>
      <c r="K1649" s="10">
        <v>10</v>
      </c>
      <c r="L1649" s="73">
        <f>IF(Tank1!$C$23="No control",(SUMIF(Tank1!$B$32:$B$49,$J1649,Tank1!$C$32:$C$49)*Impacts!$F$8),0)</f>
        <v>0</v>
      </c>
      <c r="M1649" s="10">
        <f>IF(Tank2!$C$23="No control",(SUMIF(Tank2!$B$32:$B$49,$J1649,Tank2!$C$32:$C$49)*Impacts!$F$9),0)</f>
        <v>0</v>
      </c>
      <c r="N1649" s="10">
        <f>IF(Tank3!$C$23="No control",(SUMIF(Tank3!$B$32:$B$49,$J1649,Tank3!$C$32:$C$49)*Impacts!$F$10),0)</f>
        <v>0</v>
      </c>
      <c r="O1649" s="10">
        <f>IF(Tank4!$C$23="No control",(SUMIF(Tank4!$B$32:$B$49,$J1649,Tank4!$C$32:$C$49)*Impacts!$F$11),0)</f>
        <v>0</v>
      </c>
      <c r="P1649" s="10">
        <f>IF(Tank5!$C$23="No control",(SUMIF(Tank5!$B$32:$B$49,$J1649,Tank5!$C$32:$C$49)*Impacts!$F$12),0)</f>
        <v>0</v>
      </c>
      <c r="Q1649" s="10">
        <f>IFERROR(IF(('Loading-drum,tote'!$C$21)="No control",SUMIF(('Loading-drum,tote'!$B$31:$B$48),$J1649,('Loading-drum,tote'!$D$31:$D$48))*Impacts!$F$13,IF(('Loading-drum,tote'!$C$21)&lt;&gt;"No control",SUMIF(('Loading-drum,tote'!$B$31:$B$48),$J1649,('Loading-drum,tote'!$E$31:$E$48))*Impacts!$F$13,0)),0)</f>
        <v>0</v>
      </c>
      <c r="R1649" s="10">
        <f>IFERROR(IF(('Loading-truck'!$C$21)="No control",SUMIF(('Loading-truck'!$B$31:$B$48),$J1649,('Loading-truck'!$D$31:$D$48))*Impacts!$F$14,IF(('Loading-truck'!$C$21)&lt;&gt;"No control",SUMIF(('Loading-truck'!$B$31:$B$48),$J1649,('Loading-truck'!$E$31:$E$48))*Impacts!$F$14,0)),0)</f>
        <v>0</v>
      </c>
      <c r="S1649" s="10">
        <f>IFERROR(IF(('Loading-rail'!$C$21)="No control",SUMIF(('Loading-rail'!$B$31:$B$48),$J1649,('Loading-rail'!$D$31:$D$48))*Impacts!$F$15,IF(('Loading-rail'!$C$21)&lt;&gt;"No control",SUMIF(('Loading-rail'!$B$31:$B$48),$J1649,('Loading-rail'!$E$31:$E$48))*Impacts!$F$15,0)),0)</f>
        <v>0</v>
      </c>
      <c r="T1649" s="10">
        <f>IF(Flare!$C$7="",0,(SUMIF(Flare!$B$46:$B$185,$J1649,Flare!$E$46:$E$185)*Impacts!$F$16))</f>
        <v>0</v>
      </c>
      <c r="U1649" s="10">
        <f>IF(VCU!$C$9="",0,(SUMIF(VCU!$B$51:$B$193,$J1649,VCU!$E$51:$E$193)*Impacts!$F$17))</f>
        <v>0</v>
      </c>
      <c r="V1649" s="10">
        <f>IF(CAS!$C$7="",0,(SUMIF(CAS!$B$31:$B$167,$J1649,CAS!$E$31:$E$167)*Impacts!$F$18))</f>
        <v>0</v>
      </c>
      <c r="W1649" s="10">
        <f t="shared" si="66"/>
        <v>0</v>
      </c>
      <c r="AK1649" s="10" t="str">
        <f t="array" ref="AK1649">IFERROR(INDEX(SelectedSpecies,SMALL(IF(SelectedSpecies=AK$1,ROW(SelectedSpecies)),ROW(1650:1650)),2),"")</f>
        <v/>
      </c>
      <c r="BE1649" s="10"/>
      <c r="BI1649" s="10"/>
    </row>
    <row r="1650" spans="1:61" ht="21" customHeight="1" x14ac:dyDescent="0.25">
      <c r="A1650" s="10"/>
      <c r="B1650" s="10"/>
      <c r="E1650" s="10"/>
      <c r="G1650" s="10"/>
      <c r="I1650" s="436" t="s">
        <v>1030</v>
      </c>
      <c r="J1650" s="26" t="s">
        <v>1029</v>
      </c>
      <c r="K1650" s="10">
        <v>35</v>
      </c>
      <c r="L1650" s="73">
        <f>IF(Tank1!$C$23="No control",(SUMIF(Tank1!$B$32:$B$49,$J1650,Tank1!$C$32:$C$49)*Impacts!$F$8),0)</f>
        <v>0</v>
      </c>
      <c r="M1650" s="10">
        <f>IF(Tank2!$C$23="No control",(SUMIF(Tank2!$B$32:$B$49,$J1650,Tank2!$C$32:$C$49)*Impacts!$F$9),0)</f>
        <v>0</v>
      </c>
      <c r="N1650" s="10">
        <f>IF(Tank3!$C$23="No control",(SUMIF(Tank3!$B$32:$B$49,$J1650,Tank3!$C$32:$C$49)*Impacts!$F$10),0)</f>
        <v>0</v>
      </c>
      <c r="O1650" s="10">
        <f>IF(Tank4!$C$23="No control",(SUMIF(Tank4!$B$32:$B$49,$J1650,Tank4!$C$32:$C$49)*Impacts!$F$11),0)</f>
        <v>0</v>
      </c>
      <c r="P1650" s="10">
        <f>IF(Tank5!$C$23="No control",(SUMIF(Tank5!$B$32:$B$49,$J1650,Tank5!$C$32:$C$49)*Impacts!$F$12),0)</f>
        <v>0</v>
      </c>
      <c r="Q1650" s="10">
        <f>IFERROR(IF(('Loading-drum,tote'!$C$21)="No control",SUMIF(('Loading-drum,tote'!$B$31:$B$48),$J1650,('Loading-drum,tote'!$D$31:$D$48))*Impacts!$F$13,IF(('Loading-drum,tote'!$C$21)&lt;&gt;"No control",SUMIF(('Loading-drum,tote'!$B$31:$B$48),$J1650,('Loading-drum,tote'!$E$31:$E$48))*Impacts!$F$13,0)),0)</f>
        <v>0</v>
      </c>
      <c r="R1650" s="10">
        <f>IFERROR(IF(('Loading-truck'!$C$21)="No control",SUMIF(('Loading-truck'!$B$31:$B$48),$J1650,('Loading-truck'!$D$31:$D$48))*Impacts!$F$14,IF(('Loading-truck'!$C$21)&lt;&gt;"No control",SUMIF(('Loading-truck'!$B$31:$B$48),$J1650,('Loading-truck'!$E$31:$E$48))*Impacts!$F$14,0)),0)</f>
        <v>0</v>
      </c>
      <c r="S1650" s="10">
        <f>IFERROR(IF(('Loading-rail'!$C$21)="No control",SUMIF(('Loading-rail'!$B$31:$B$48),$J1650,('Loading-rail'!$D$31:$D$48))*Impacts!$F$15,IF(('Loading-rail'!$C$21)&lt;&gt;"No control",SUMIF(('Loading-rail'!$B$31:$B$48),$J1650,('Loading-rail'!$E$31:$E$48))*Impacts!$F$15,0)),0)</f>
        <v>0</v>
      </c>
      <c r="T1650" s="10">
        <f>IF(Flare!$C$7="",0,(SUMIF(Flare!$B$46:$B$185,$J1650,Flare!$E$46:$E$185)*Impacts!$F$16))</f>
        <v>0</v>
      </c>
      <c r="U1650" s="10">
        <f>IF(VCU!$C$9="",0,(SUMIF(VCU!$B$51:$B$193,$J1650,VCU!$E$51:$E$193)*Impacts!$F$17))</f>
        <v>0</v>
      </c>
      <c r="V1650" s="10">
        <f>IF(CAS!$C$7="",0,(SUMIF(CAS!$B$31:$B$167,$J1650,CAS!$E$31:$E$167)*Impacts!$F$18))</f>
        <v>0</v>
      </c>
      <c r="W1650" s="10">
        <f t="shared" si="66"/>
        <v>0</v>
      </c>
      <c r="AK1650" s="10" t="str">
        <f t="array" ref="AK1650">IFERROR(INDEX(SelectedSpecies,SMALL(IF(SelectedSpecies=AK$1,ROW(SelectedSpecies)),ROW(1651:1651)),2),"")</f>
        <v/>
      </c>
      <c r="BE1650" s="10"/>
      <c r="BI1650" s="10"/>
    </row>
    <row r="1651" spans="1:61" ht="21" customHeight="1" x14ac:dyDescent="0.25">
      <c r="A1651" s="10"/>
      <c r="B1651" s="10"/>
      <c r="E1651" s="10"/>
      <c r="G1651" s="10"/>
      <c r="I1651" s="436" t="s">
        <v>3953</v>
      </c>
      <c r="J1651" s="26" t="s">
        <v>3952</v>
      </c>
      <c r="K1651" s="10">
        <v>6</v>
      </c>
      <c r="L1651" s="73">
        <f>IF(Tank1!$C$23="No control",(SUMIF(Tank1!$B$32:$B$49,$J1651,Tank1!$C$32:$C$49)*Impacts!$F$8),0)</f>
        <v>0</v>
      </c>
      <c r="M1651" s="10">
        <f>IF(Tank2!$C$23="No control",(SUMIF(Tank2!$B$32:$B$49,$J1651,Tank2!$C$32:$C$49)*Impacts!$F$9),0)</f>
        <v>0</v>
      </c>
      <c r="N1651" s="10">
        <f>IF(Tank3!$C$23="No control",(SUMIF(Tank3!$B$32:$B$49,$J1651,Tank3!$C$32:$C$49)*Impacts!$F$10),0)</f>
        <v>0</v>
      </c>
      <c r="O1651" s="10">
        <f>IF(Tank4!$C$23="No control",(SUMIF(Tank4!$B$32:$B$49,$J1651,Tank4!$C$32:$C$49)*Impacts!$F$11),0)</f>
        <v>0</v>
      </c>
      <c r="P1651" s="10">
        <f>IF(Tank5!$C$23="No control",(SUMIF(Tank5!$B$32:$B$49,$J1651,Tank5!$C$32:$C$49)*Impacts!$F$12),0)</f>
        <v>0</v>
      </c>
      <c r="Q1651" s="10">
        <f>IFERROR(IF(('Loading-drum,tote'!$C$21)="No control",SUMIF(('Loading-drum,tote'!$B$31:$B$48),$J1651,('Loading-drum,tote'!$D$31:$D$48))*Impacts!$F$13,IF(('Loading-drum,tote'!$C$21)&lt;&gt;"No control",SUMIF(('Loading-drum,tote'!$B$31:$B$48),$J1651,('Loading-drum,tote'!$E$31:$E$48))*Impacts!$F$13,0)),0)</f>
        <v>0</v>
      </c>
      <c r="R1651" s="10">
        <f>IFERROR(IF(('Loading-truck'!$C$21)="No control",SUMIF(('Loading-truck'!$B$31:$B$48),$J1651,('Loading-truck'!$D$31:$D$48))*Impacts!$F$14,IF(('Loading-truck'!$C$21)&lt;&gt;"No control",SUMIF(('Loading-truck'!$B$31:$B$48),$J1651,('Loading-truck'!$E$31:$E$48))*Impacts!$F$14,0)),0)</f>
        <v>0</v>
      </c>
      <c r="S1651" s="10">
        <f>IFERROR(IF(('Loading-rail'!$C$21)="No control",SUMIF(('Loading-rail'!$B$31:$B$48),$J1651,('Loading-rail'!$D$31:$D$48))*Impacts!$F$15,IF(('Loading-rail'!$C$21)&lt;&gt;"No control",SUMIF(('Loading-rail'!$B$31:$B$48),$J1651,('Loading-rail'!$E$31:$E$48))*Impacts!$F$15,0)),0)</f>
        <v>0</v>
      </c>
      <c r="T1651" s="10">
        <f>IF(Flare!$C$7="",0,(SUMIF(Flare!$B$46:$B$185,$J1651,Flare!$E$46:$E$185)*Impacts!$F$16))</f>
        <v>0</v>
      </c>
      <c r="U1651" s="10">
        <f>IF(VCU!$C$9="",0,(SUMIF(VCU!$B$51:$B$193,$J1651,VCU!$E$51:$E$193)*Impacts!$F$17))</f>
        <v>0</v>
      </c>
      <c r="V1651" s="10">
        <f>IF(CAS!$C$7="",0,(SUMIF(CAS!$B$31:$B$167,$J1651,CAS!$E$31:$E$167)*Impacts!$F$18))</f>
        <v>0</v>
      </c>
      <c r="W1651" s="10">
        <f t="shared" si="66"/>
        <v>0</v>
      </c>
      <c r="AK1651" s="10" t="str">
        <f t="array" ref="AK1651">IFERROR(INDEX(SelectedSpecies,SMALL(IF(SelectedSpecies=AK$1,ROW(SelectedSpecies)),ROW(1652:1652)),2),"")</f>
        <v/>
      </c>
      <c r="BE1651" s="10"/>
      <c r="BI1651" s="10"/>
    </row>
    <row r="1652" spans="1:61" ht="21" customHeight="1" x14ac:dyDescent="0.25">
      <c r="A1652" s="10"/>
      <c r="B1652" s="10"/>
      <c r="E1652" s="10"/>
      <c r="G1652" s="10"/>
      <c r="I1652" s="436" t="s">
        <v>2851</v>
      </c>
      <c r="J1652" s="26" t="s">
        <v>2850</v>
      </c>
      <c r="K1652" s="10">
        <v>10</v>
      </c>
      <c r="L1652" s="73">
        <f>IF(Tank1!$C$23="No control",(SUMIF(Tank1!$B$32:$B$49,$J1652,Tank1!$C$32:$C$49)*Impacts!$F$8),0)</f>
        <v>0</v>
      </c>
      <c r="M1652" s="10">
        <f>IF(Tank2!$C$23="No control",(SUMIF(Tank2!$B$32:$B$49,$J1652,Tank2!$C$32:$C$49)*Impacts!$F$9),0)</f>
        <v>0</v>
      </c>
      <c r="N1652" s="10">
        <f>IF(Tank3!$C$23="No control",(SUMIF(Tank3!$B$32:$B$49,$J1652,Tank3!$C$32:$C$49)*Impacts!$F$10),0)</f>
        <v>0</v>
      </c>
      <c r="O1652" s="10">
        <f>IF(Tank4!$C$23="No control",(SUMIF(Tank4!$B$32:$B$49,$J1652,Tank4!$C$32:$C$49)*Impacts!$F$11),0)</f>
        <v>0</v>
      </c>
      <c r="P1652" s="10">
        <f>IF(Tank5!$C$23="No control",(SUMIF(Tank5!$B$32:$B$49,$J1652,Tank5!$C$32:$C$49)*Impacts!$F$12),0)</f>
        <v>0</v>
      </c>
      <c r="Q1652" s="10">
        <f>IFERROR(IF(('Loading-drum,tote'!$C$21)="No control",SUMIF(('Loading-drum,tote'!$B$31:$B$48),$J1652,('Loading-drum,tote'!$D$31:$D$48))*Impacts!$F$13,IF(('Loading-drum,tote'!$C$21)&lt;&gt;"No control",SUMIF(('Loading-drum,tote'!$B$31:$B$48),$J1652,('Loading-drum,tote'!$E$31:$E$48))*Impacts!$F$13,0)),0)</f>
        <v>0</v>
      </c>
      <c r="R1652" s="10">
        <f>IFERROR(IF(('Loading-truck'!$C$21)="No control",SUMIF(('Loading-truck'!$B$31:$B$48),$J1652,('Loading-truck'!$D$31:$D$48))*Impacts!$F$14,IF(('Loading-truck'!$C$21)&lt;&gt;"No control",SUMIF(('Loading-truck'!$B$31:$B$48),$J1652,('Loading-truck'!$E$31:$E$48))*Impacts!$F$14,0)),0)</f>
        <v>0</v>
      </c>
      <c r="S1652" s="10">
        <f>IFERROR(IF(('Loading-rail'!$C$21)="No control",SUMIF(('Loading-rail'!$B$31:$B$48),$J1652,('Loading-rail'!$D$31:$D$48))*Impacts!$F$15,IF(('Loading-rail'!$C$21)&lt;&gt;"No control",SUMIF(('Loading-rail'!$B$31:$B$48),$J1652,('Loading-rail'!$E$31:$E$48))*Impacts!$F$15,0)),0)</f>
        <v>0</v>
      </c>
      <c r="T1652" s="10">
        <f>IF(Flare!$C$7="",0,(SUMIF(Flare!$B$46:$B$185,$J1652,Flare!$E$46:$E$185)*Impacts!$F$16))</f>
        <v>0</v>
      </c>
      <c r="U1652" s="10">
        <f>IF(VCU!$C$9="",0,(SUMIF(VCU!$B$51:$B$193,$J1652,VCU!$E$51:$E$193)*Impacts!$F$17))</f>
        <v>0</v>
      </c>
      <c r="V1652" s="10">
        <f>IF(CAS!$C$7="",0,(SUMIF(CAS!$B$31:$B$167,$J1652,CAS!$E$31:$E$167)*Impacts!$F$18))</f>
        <v>0</v>
      </c>
      <c r="W1652" s="10">
        <f t="shared" si="66"/>
        <v>0</v>
      </c>
      <c r="AK1652" s="10" t="str">
        <f t="array" ref="AK1652">IFERROR(INDEX(SelectedSpecies,SMALL(IF(SelectedSpecies=AK$1,ROW(SelectedSpecies)),ROW(1653:1653)),2),"")</f>
        <v/>
      </c>
      <c r="BE1652" s="10"/>
      <c r="BI1652" s="10"/>
    </row>
    <row r="1653" spans="1:61" ht="21" customHeight="1" x14ac:dyDescent="0.25">
      <c r="A1653" s="10"/>
      <c r="B1653" s="10"/>
      <c r="E1653" s="10"/>
      <c r="G1653" s="10"/>
      <c r="I1653" s="436" t="s">
        <v>1032</v>
      </c>
      <c r="J1653" s="26" t="s">
        <v>1031</v>
      </c>
      <c r="K1653" s="10">
        <v>35</v>
      </c>
      <c r="L1653" s="73">
        <f>IF(Tank1!$C$23="No control",(SUMIF(Tank1!$B$32:$B$49,$J1653,Tank1!$C$32:$C$49)*Impacts!$F$8),0)</f>
        <v>0</v>
      </c>
      <c r="M1653" s="10">
        <f>IF(Tank2!$C$23="No control",(SUMIF(Tank2!$B$32:$B$49,$J1653,Tank2!$C$32:$C$49)*Impacts!$F$9),0)</f>
        <v>0</v>
      </c>
      <c r="N1653" s="10">
        <f>IF(Tank3!$C$23="No control",(SUMIF(Tank3!$B$32:$B$49,$J1653,Tank3!$C$32:$C$49)*Impacts!$F$10),0)</f>
        <v>0</v>
      </c>
      <c r="O1653" s="10">
        <f>IF(Tank4!$C$23="No control",(SUMIF(Tank4!$B$32:$B$49,$J1653,Tank4!$C$32:$C$49)*Impacts!$F$11),0)</f>
        <v>0</v>
      </c>
      <c r="P1653" s="10">
        <f>IF(Tank5!$C$23="No control",(SUMIF(Tank5!$B$32:$B$49,$J1653,Tank5!$C$32:$C$49)*Impacts!$F$12),0)</f>
        <v>0</v>
      </c>
      <c r="Q1653" s="10">
        <f>IFERROR(IF(('Loading-drum,tote'!$C$21)="No control",SUMIF(('Loading-drum,tote'!$B$31:$B$48),$J1653,('Loading-drum,tote'!$D$31:$D$48))*Impacts!$F$13,IF(('Loading-drum,tote'!$C$21)&lt;&gt;"No control",SUMIF(('Loading-drum,tote'!$B$31:$B$48),$J1653,('Loading-drum,tote'!$E$31:$E$48))*Impacts!$F$13,0)),0)</f>
        <v>0</v>
      </c>
      <c r="R1653" s="10">
        <f>IFERROR(IF(('Loading-truck'!$C$21)="No control",SUMIF(('Loading-truck'!$B$31:$B$48),$J1653,('Loading-truck'!$D$31:$D$48))*Impacts!$F$14,IF(('Loading-truck'!$C$21)&lt;&gt;"No control",SUMIF(('Loading-truck'!$B$31:$B$48),$J1653,('Loading-truck'!$E$31:$E$48))*Impacts!$F$14,0)),0)</f>
        <v>0</v>
      </c>
      <c r="S1653" s="10">
        <f>IFERROR(IF(('Loading-rail'!$C$21)="No control",SUMIF(('Loading-rail'!$B$31:$B$48),$J1653,('Loading-rail'!$D$31:$D$48))*Impacts!$F$15,IF(('Loading-rail'!$C$21)&lt;&gt;"No control",SUMIF(('Loading-rail'!$B$31:$B$48),$J1653,('Loading-rail'!$E$31:$E$48))*Impacts!$F$15,0)),0)</f>
        <v>0</v>
      </c>
      <c r="T1653" s="10">
        <f>IF(Flare!$C$7="",0,(SUMIF(Flare!$B$46:$B$185,$J1653,Flare!$E$46:$E$185)*Impacts!$F$16))</f>
        <v>0</v>
      </c>
      <c r="U1653" s="10">
        <f>IF(VCU!$C$9="",0,(SUMIF(VCU!$B$51:$B$193,$J1653,VCU!$E$51:$E$193)*Impacts!$F$17))</f>
        <v>0</v>
      </c>
      <c r="V1653" s="10">
        <f>IF(CAS!$C$7="",0,(SUMIF(CAS!$B$31:$B$167,$J1653,CAS!$E$31:$E$167)*Impacts!$F$18))</f>
        <v>0</v>
      </c>
      <c r="W1653" s="10">
        <f t="shared" si="66"/>
        <v>0</v>
      </c>
      <c r="AK1653" s="10" t="str">
        <f t="array" ref="AK1653">IFERROR(INDEX(SelectedSpecies,SMALL(IF(SelectedSpecies=AK$1,ROW(SelectedSpecies)),ROW(1654:1654)),2),"")</f>
        <v/>
      </c>
      <c r="BE1653" s="10"/>
      <c r="BI1653" s="10"/>
    </row>
    <row r="1654" spans="1:61" ht="21" customHeight="1" x14ac:dyDescent="0.25">
      <c r="A1654" s="10"/>
      <c r="B1654" s="10"/>
      <c r="E1654" s="10"/>
      <c r="G1654" s="10"/>
      <c r="I1654" s="436" t="s">
        <v>7492</v>
      </c>
      <c r="J1654" s="26" t="s">
        <v>7491</v>
      </c>
      <c r="K1654" s="10">
        <v>0.2</v>
      </c>
      <c r="L1654" s="73">
        <f>IF(Tank1!$C$23="No control",(SUMIF(Tank1!$B$32:$B$49,$J1654,Tank1!$C$32:$C$49)*Impacts!$F$8),0)</f>
        <v>0</v>
      </c>
      <c r="M1654" s="10">
        <f>IF(Tank2!$C$23="No control",(SUMIF(Tank2!$B$32:$B$49,$J1654,Tank2!$C$32:$C$49)*Impacts!$F$9),0)</f>
        <v>0</v>
      </c>
      <c r="N1654" s="10">
        <f>IF(Tank3!$C$23="No control",(SUMIF(Tank3!$B$32:$B$49,$J1654,Tank3!$C$32:$C$49)*Impacts!$F$10),0)</f>
        <v>0</v>
      </c>
      <c r="O1654" s="10">
        <f>IF(Tank4!$C$23="No control",(SUMIF(Tank4!$B$32:$B$49,$J1654,Tank4!$C$32:$C$49)*Impacts!$F$11),0)</f>
        <v>0</v>
      </c>
      <c r="P1654" s="10">
        <f>IF(Tank5!$C$23="No control",(SUMIF(Tank5!$B$32:$B$49,$J1654,Tank5!$C$32:$C$49)*Impacts!$F$12),0)</f>
        <v>0</v>
      </c>
      <c r="Q1654" s="10">
        <f>IFERROR(IF(('Loading-drum,tote'!$C$21)="No control",SUMIF(('Loading-drum,tote'!$B$31:$B$48),$J1654,('Loading-drum,tote'!$D$31:$D$48))*Impacts!$F$13,IF(('Loading-drum,tote'!$C$21)&lt;&gt;"No control",SUMIF(('Loading-drum,tote'!$B$31:$B$48),$J1654,('Loading-drum,tote'!$E$31:$E$48))*Impacts!$F$13,0)),0)</f>
        <v>0</v>
      </c>
      <c r="R1654" s="10">
        <f>IFERROR(IF(('Loading-truck'!$C$21)="No control",SUMIF(('Loading-truck'!$B$31:$B$48),$J1654,('Loading-truck'!$D$31:$D$48))*Impacts!$F$14,IF(('Loading-truck'!$C$21)&lt;&gt;"No control",SUMIF(('Loading-truck'!$B$31:$B$48),$J1654,('Loading-truck'!$E$31:$E$48))*Impacts!$F$14,0)),0)</f>
        <v>0</v>
      </c>
      <c r="S1654" s="10">
        <f>IFERROR(IF(('Loading-rail'!$C$21)="No control",SUMIF(('Loading-rail'!$B$31:$B$48),$J1654,('Loading-rail'!$D$31:$D$48))*Impacts!$F$15,IF(('Loading-rail'!$C$21)&lt;&gt;"No control",SUMIF(('Loading-rail'!$B$31:$B$48),$J1654,('Loading-rail'!$E$31:$E$48))*Impacts!$F$15,0)),0)</f>
        <v>0</v>
      </c>
      <c r="T1654" s="10">
        <f>IF(Flare!$C$7="",0,(SUMIF(Flare!$B$46:$B$185,$J1654,Flare!$E$46:$E$185)*Impacts!$F$16))</f>
        <v>0</v>
      </c>
      <c r="U1654" s="10">
        <f>IF(VCU!$C$9="",0,(SUMIF(VCU!$B$51:$B$193,$J1654,VCU!$E$51:$E$193)*Impacts!$F$17))</f>
        <v>0</v>
      </c>
      <c r="V1654" s="10">
        <f>IF(CAS!$C$7="",0,(SUMIF(CAS!$B$31:$B$167,$J1654,CAS!$E$31:$E$167)*Impacts!$F$18))</f>
        <v>0</v>
      </c>
      <c r="W1654" s="10">
        <f t="shared" si="66"/>
        <v>0</v>
      </c>
      <c r="AK1654" s="10" t="str">
        <f t="array" ref="AK1654">IFERROR(INDEX(SelectedSpecies,SMALL(IF(SelectedSpecies=AK$1,ROW(SelectedSpecies)),ROW(1655:1655)),2),"")</f>
        <v/>
      </c>
      <c r="BE1654" s="10"/>
      <c r="BI1654" s="10"/>
    </row>
    <row r="1655" spans="1:61" ht="21" customHeight="1" x14ac:dyDescent="0.25">
      <c r="A1655" s="10"/>
      <c r="B1655" s="10"/>
      <c r="E1655" s="10"/>
      <c r="G1655" s="10"/>
      <c r="I1655" s="436" t="s">
        <v>5327</v>
      </c>
      <c r="J1655" s="26" t="s">
        <v>5326</v>
      </c>
      <c r="K1655" s="10">
        <v>1.7000000000000002</v>
      </c>
      <c r="L1655" s="73">
        <f>IF(Tank1!$C$23="No control",(SUMIF(Tank1!$B$32:$B$49,$J1655,Tank1!$C$32:$C$49)*Impacts!$F$8),0)</f>
        <v>0</v>
      </c>
      <c r="M1655" s="10">
        <f>IF(Tank2!$C$23="No control",(SUMIF(Tank2!$B$32:$B$49,$J1655,Tank2!$C$32:$C$49)*Impacts!$F$9),0)</f>
        <v>0</v>
      </c>
      <c r="N1655" s="10">
        <f>IF(Tank3!$C$23="No control",(SUMIF(Tank3!$B$32:$B$49,$J1655,Tank3!$C$32:$C$49)*Impacts!$F$10),0)</f>
        <v>0</v>
      </c>
      <c r="O1655" s="10">
        <f>IF(Tank4!$C$23="No control",(SUMIF(Tank4!$B$32:$B$49,$J1655,Tank4!$C$32:$C$49)*Impacts!$F$11),0)</f>
        <v>0</v>
      </c>
      <c r="P1655" s="10">
        <f>IF(Tank5!$C$23="No control",(SUMIF(Tank5!$B$32:$B$49,$J1655,Tank5!$C$32:$C$49)*Impacts!$F$12),0)</f>
        <v>0</v>
      </c>
      <c r="Q1655" s="10">
        <f>IFERROR(IF(('Loading-drum,tote'!$C$21)="No control",SUMIF(('Loading-drum,tote'!$B$31:$B$48),$J1655,('Loading-drum,tote'!$D$31:$D$48))*Impacts!$F$13,IF(('Loading-drum,tote'!$C$21)&lt;&gt;"No control",SUMIF(('Loading-drum,tote'!$B$31:$B$48),$J1655,('Loading-drum,tote'!$E$31:$E$48))*Impacts!$F$13,0)),0)</f>
        <v>0</v>
      </c>
      <c r="R1655" s="10">
        <f>IFERROR(IF(('Loading-truck'!$C$21)="No control",SUMIF(('Loading-truck'!$B$31:$B$48),$J1655,('Loading-truck'!$D$31:$D$48))*Impacts!$F$14,IF(('Loading-truck'!$C$21)&lt;&gt;"No control",SUMIF(('Loading-truck'!$B$31:$B$48),$J1655,('Loading-truck'!$E$31:$E$48))*Impacts!$F$14,0)),0)</f>
        <v>0</v>
      </c>
      <c r="S1655" s="10">
        <f>IFERROR(IF(('Loading-rail'!$C$21)="No control",SUMIF(('Loading-rail'!$B$31:$B$48),$J1655,('Loading-rail'!$D$31:$D$48))*Impacts!$F$15,IF(('Loading-rail'!$C$21)&lt;&gt;"No control",SUMIF(('Loading-rail'!$B$31:$B$48),$J1655,('Loading-rail'!$E$31:$E$48))*Impacts!$F$15,0)),0)</f>
        <v>0</v>
      </c>
      <c r="T1655" s="10">
        <f>IF(Flare!$C$7="",0,(SUMIF(Flare!$B$46:$B$185,$J1655,Flare!$E$46:$E$185)*Impacts!$F$16))</f>
        <v>0</v>
      </c>
      <c r="U1655" s="10">
        <f>IF(VCU!$C$9="",0,(SUMIF(VCU!$B$51:$B$193,$J1655,VCU!$E$51:$E$193)*Impacts!$F$17))</f>
        <v>0</v>
      </c>
      <c r="V1655" s="10">
        <f>IF(CAS!$C$7="",0,(SUMIF(CAS!$B$31:$B$167,$J1655,CAS!$E$31:$E$167)*Impacts!$F$18))</f>
        <v>0</v>
      </c>
      <c r="W1655" s="10">
        <f t="shared" si="66"/>
        <v>0</v>
      </c>
      <c r="AK1655" s="10" t="str">
        <f t="array" ref="AK1655">IFERROR(INDEX(SelectedSpecies,SMALL(IF(SelectedSpecies=AK$1,ROW(SelectedSpecies)),ROW(1656:1656)),2),"")</f>
        <v/>
      </c>
      <c r="BE1655" s="10"/>
      <c r="BI1655" s="10"/>
    </row>
    <row r="1656" spans="1:61" ht="21" customHeight="1" x14ac:dyDescent="0.25">
      <c r="A1656" s="10"/>
      <c r="B1656" s="10"/>
      <c r="E1656" s="10"/>
      <c r="G1656" s="10"/>
      <c r="I1656" s="436" t="s">
        <v>4653</v>
      </c>
      <c r="J1656" s="26" t="s">
        <v>4652</v>
      </c>
      <c r="K1656" s="10">
        <v>3.8000000000000003</v>
      </c>
      <c r="L1656" s="73">
        <f>IF(Tank1!$C$23="No control",(SUMIF(Tank1!$B$32:$B$49,$J1656,Tank1!$C$32:$C$49)*Impacts!$F$8),0)</f>
        <v>0</v>
      </c>
      <c r="M1656" s="10">
        <f>IF(Tank2!$C$23="No control",(SUMIF(Tank2!$B$32:$B$49,$J1656,Tank2!$C$32:$C$49)*Impacts!$F$9),0)</f>
        <v>0</v>
      </c>
      <c r="N1656" s="10">
        <f>IF(Tank3!$C$23="No control",(SUMIF(Tank3!$B$32:$B$49,$J1656,Tank3!$C$32:$C$49)*Impacts!$F$10),0)</f>
        <v>0</v>
      </c>
      <c r="O1656" s="10">
        <f>IF(Tank4!$C$23="No control",(SUMIF(Tank4!$B$32:$B$49,$J1656,Tank4!$C$32:$C$49)*Impacts!$F$11),0)</f>
        <v>0</v>
      </c>
      <c r="P1656" s="10">
        <f>IF(Tank5!$C$23="No control",(SUMIF(Tank5!$B$32:$B$49,$J1656,Tank5!$C$32:$C$49)*Impacts!$F$12),0)</f>
        <v>0</v>
      </c>
      <c r="Q1656" s="10">
        <f>IFERROR(IF(('Loading-drum,tote'!$C$21)="No control",SUMIF(('Loading-drum,tote'!$B$31:$B$48),$J1656,('Loading-drum,tote'!$D$31:$D$48))*Impacts!$F$13,IF(('Loading-drum,tote'!$C$21)&lt;&gt;"No control",SUMIF(('Loading-drum,tote'!$B$31:$B$48),$J1656,('Loading-drum,tote'!$E$31:$E$48))*Impacts!$F$13,0)),0)</f>
        <v>0</v>
      </c>
      <c r="R1656" s="10">
        <f>IFERROR(IF(('Loading-truck'!$C$21)="No control",SUMIF(('Loading-truck'!$B$31:$B$48),$J1656,('Loading-truck'!$D$31:$D$48))*Impacts!$F$14,IF(('Loading-truck'!$C$21)&lt;&gt;"No control",SUMIF(('Loading-truck'!$B$31:$B$48),$J1656,('Loading-truck'!$E$31:$E$48))*Impacts!$F$14,0)),0)</f>
        <v>0</v>
      </c>
      <c r="S1656" s="10">
        <f>IFERROR(IF(('Loading-rail'!$C$21)="No control",SUMIF(('Loading-rail'!$B$31:$B$48),$J1656,('Loading-rail'!$D$31:$D$48))*Impacts!$F$15,IF(('Loading-rail'!$C$21)&lt;&gt;"No control",SUMIF(('Loading-rail'!$B$31:$B$48),$J1656,('Loading-rail'!$E$31:$E$48))*Impacts!$F$15,0)),0)</f>
        <v>0</v>
      </c>
      <c r="T1656" s="10">
        <f>IF(Flare!$C$7="",0,(SUMIF(Flare!$B$46:$B$185,$J1656,Flare!$E$46:$E$185)*Impacts!$F$16))</f>
        <v>0</v>
      </c>
      <c r="U1656" s="10">
        <f>IF(VCU!$C$9="",0,(SUMIF(VCU!$B$51:$B$193,$J1656,VCU!$E$51:$E$193)*Impacts!$F$17))</f>
        <v>0</v>
      </c>
      <c r="V1656" s="10">
        <f>IF(CAS!$C$7="",0,(SUMIF(CAS!$B$31:$B$167,$J1656,CAS!$E$31:$E$167)*Impacts!$F$18))</f>
        <v>0</v>
      </c>
      <c r="W1656" s="10">
        <f t="shared" si="66"/>
        <v>0</v>
      </c>
      <c r="AK1656" s="10" t="str">
        <f t="array" ref="AK1656">IFERROR(INDEX(SelectedSpecies,SMALL(IF(SelectedSpecies=AK$1,ROW(SelectedSpecies)),ROW(1657:1657)),2),"")</f>
        <v/>
      </c>
      <c r="BE1656" s="10"/>
      <c r="BI1656" s="10"/>
    </row>
    <row r="1657" spans="1:61" ht="21" customHeight="1" x14ac:dyDescent="0.25">
      <c r="A1657" s="10"/>
      <c r="B1657" s="10"/>
      <c r="E1657" s="10"/>
      <c r="G1657" s="10"/>
      <c r="I1657" s="436" t="s">
        <v>5157</v>
      </c>
      <c r="J1657" s="26" t="s">
        <v>5156</v>
      </c>
      <c r="K1657" s="10">
        <v>2</v>
      </c>
      <c r="L1657" s="73">
        <f>IF(Tank1!$C$23="No control",(SUMIF(Tank1!$B$32:$B$49,$J1657,Tank1!$C$32:$C$49)*Impacts!$F$8),0)</f>
        <v>0</v>
      </c>
      <c r="M1657" s="10">
        <f>IF(Tank2!$C$23="No control",(SUMIF(Tank2!$B$32:$B$49,$J1657,Tank2!$C$32:$C$49)*Impacts!$F$9),0)</f>
        <v>0</v>
      </c>
      <c r="N1657" s="10">
        <f>IF(Tank3!$C$23="No control",(SUMIF(Tank3!$B$32:$B$49,$J1657,Tank3!$C$32:$C$49)*Impacts!$F$10),0)</f>
        <v>0</v>
      </c>
      <c r="O1657" s="10">
        <f>IF(Tank4!$C$23="No control",(SUMIF(Tank4!$B$32:$B$49,$J1657,Tank4!$C$32:$C$49)*Impacts!$F$11),0)</f>
        <v>0</v>
      </c>
      <c r="P1657" s="10">
        <f>IF(Tank5!$C$23="No control",(SUMIF(Tank5!$B$32:$B$49,$J1657,Tank5!$C$32:$C$49)*Impacts!$F$12),0)</f>
        <v>0</v>
      </c>
      <c r="Q1657" s="10">
        <f>IFERROR(IF(('Loading-drum,tote'!$C$21)="No control",SUMIF(('Loading-drum,tote'!$B$31:$B$48),$J1657,('Loading-drum,tote'!$D$31:$D$48))*Impacts!$F$13,IF(('Loading-drum,tote'!$C$21)&lt;&gt;"No control",SUMIF(('Loading-drum,tote'!$B$31:$B$48),$J1657,('Loading-drum,tote'!$E$31:$E$48))*Impacts!$F$13,0)),0)</f>
        <v>0</v>
      </c>
      <c r="R1657" s="10">
        <f>IFERROR(IF(('Loading-truck'!$C$21)="No control",SUMIF(('Loading-truck'!$B$31:$B$48),$J1657,('Loading-truck'!$D$31:$D$48))*Impacts!$F$14,IF(('Loading-truck'!$C$21)&lt;&gt;"No control",SUMIF(('Loading-truck'!$B$31:$B$48),$J1657,('Loading-truck'!$E$31:$E$48))*Impacts!$F$14,0)),0)</f>
        <v>0</v>
      </c>
      <c r="S1657" s="10">
        <f>IFERROR(IF(('Loading-rail'!$C$21)="No control",SUMIF(('Loading-rail'!$B$31:$B$48),$J1657,('Loading-rail'!$D$31:$D$48))*Impacts!$F$15,IF(('Loading-rail'!$C$21)&lt;&gt;"No control",SUMIF(('Loading-rail'!$B$31:$B$48),$J1657,('Loading-rail'!$E$31:$E$48))*Impacts!$F$15,0)),0)</f>
        <v>0</v>
      </c>
      <c r="T1657" s="10">
        <f>IF(Flare!$C$7="",0,(SUMIF(Flare!$B$46:$B$185,$J1657,Flare!$E$46:$E$185)*Impacts!$F$16))</f>
        <v>0</v>
      </c>
      <c r="U1657" s="10">
        <f>IF(VCU!$C$9="",0,(SUMIF(VCU!$B$51:$B$193,$J1657,VCU!$E$51:$E$193)*Impacts!$F$17))</f>
        <v>0</v>
      </c>
      <c r="V1657" s="10">
        <f>IF(CAS!$C$7="",0,(SUMIF(CAS!$B$31:$B$167,$J1657,CAS!$E$31:$E$167)*Impacts!$F$18))</f>
        <v>0</v>
      </c>
      <c r="W1657" s="10">
        <f t="shared" si="66"/>
        <v>0</v>
      </c>
      <c r="AK1657" s="10" t="str">
        <f t="array" ref="AK1657">IFERROR(INDEX(SelectedSpecies,SMALL(IF(SelectedSpecies=AK$1,ROW(SelectedSpecies)),ROW(1658:1658)),2),"")</f>
        <v/>
      </c>
      <c r="BE1657" s="10"/>
      <c r="BI1657" s="10"/>
    </row>
    <row r="1658" spans="1:61" ht="21" customHeight="1" x14ac:dyDescent="0.25">
      <c r="A1658" s="10"/>
      <c r="B1658" s="10"/>
      <c r="E1658" s="10"/>
      <c r="G1658" s="10"/>
      <c r="I1658" s="436" t="s">
        <v>7622</v>
      </c>
      <c r="J1658" s="26" t="s">
        <v>7621</v>
      </c>
      <c r="K1658" s="10">
        <v>0.13999999999999999</v>
      </c>
      <c r="L1658" s="73">
        <f>IF(Tank1!$C$23="No control",(SUMIF(Tank1!$B$32:$B$49,$J1658,Tank1!$C$32:$C$49)*Impacts!$F$8),0)</f>
        <v>0</v>
      </c>
      <c r="M1658" s="10">
        <f>IF(Tank2!$C$23="No control",(SUMIF(Tank2!$B$32:$B$49,$J1658,Tank2!$C$32:$C$49)*Impacts!$F$9),0)</f>
        <v>0</v>
      </c>
      <c r="N1658" s="10">
        <f>IF(Tank3!$C$23="No control",(SUMIF(Tank3!$B$32:$B$49,$J1658,Tank3!$C$32:$C$49)*Impacts!$F$10),0)</f>
        <v>0</v>
      </c>
      <c r="O1658" s="10">
        <f>IF(Tank4!$C$23="No control",(SUMIF(Tank4!$B$32:$B$49,$J1658,Tank4!$C$32:$C$49)*Impacts!$F$11),0)</f>
        <v>0</v>
      </c>
      <c r="P1658" s="10">
        <f>IF(Tank5!$C$23="No control",(SUMIF(Tank5!$B$32:$B$49,$J1658,Tank5!$C$32:$C$49)*Impacts!$F$12),0)</f>
        <v>0</v>
      </c>
      <c r="Q1658" s="10">
        <f>IFERROR(IF(('Loading-drum,tote'!$C$21)="No control",SUMIF(('Loading-drum,tote'!$B$31:$B$48),$J1658,('Loading-drum,tote'!$D$31:$D$48))*Impacts!$F$13,IF(('Loading-drum,tote'!$C$21)&lt;&gt;"No control",SUMIF(('Loading-drum,tote'!$B$31:$B$48),$J1658,('Loading-drum,tote'!$E$31:$E$48))*Impacts!$F$13,0)),0)</f>
        <v>0</v>
      </c>
      <c r="R1658" s="10">
        <f>IFERROR(IF(('Loading-truck'!$C$21)="No control",SUMIF(('Loading-truck'!$B$31:$B$48),$J1658,('Loading-truck'!$D$31:$D$48))*Impacts!$F$14,IF(('Loading-truck'!$C$21)&lt;&gt;"No control",SUMIF(('Loading-truck'!$B$31:$B$48),$J1658,('Loading-truck'!$E$31:$E$48))*Impacts!$F$14,0)),0)</f>
        <v>0</v>
      </c>
      <c r="S1658" s="10">
        <f>IFERROR(IF(('Loading-rail'!$C$21)="No control",SUMIF(('Loading-rail'!$B$31:$B$48),$J1658,('Loading-rail'!$D$31:$D$48))*Impacts!$F$15,IF(('Loading-rail'!$C$21)&lt;&gt;"No control",SUMIF(('Loading-rail'!$B$31:$B$48),$J1658,('Loading-rail'!$E$31:$E$48))*Impacts!$F$15,0)),0)</f>
        <v>0</v>
      </c>
      <c r="T1658" s="10">
        <f>IF(Flare!$C$7="",0,(SUMIF(Flare!$B$46:$B$185,$J1658,Flare!$E$46:$E$185)*Impacts!$F$16))</f>
        <v>0</v>
      </c>
      <c r="U1658" s="10">
        <f>IF(VCU!$C$9="",0,(SUMIF(VCU!$B$51:$B$193,$J1658,VCU!$E$51:$E$193)*Impacts!$F$17))</f>
        <v>0</v>
      </c>
      <c r="V1658" s="10">
        <f>IF(CAS!$C$7="",0,(SUMIF(CAS!$B$31:$B$167,$J1658,CAS!$E$31:$E$167)*Impacts!$F$18))</f>
        <v>0</v>
      </c>
      <c r="W1658" s="10">
        <f t="shared" si="66"/>
        <v>0</v>
      </c>
      <c r="AK1658" s="10" t="str">
        <f t="array" ref="AK1658">IFERROR(INDEX(SelectedSpecies,SMALL(IF(SelectedSpecies=AK$1,ROW(SelectedSpecies)),ROW(1659:1659)),2),"")</f>
        <v/>
      </c>
      <c r="BE1658" s="10"/>
      <c r="BI1658" s="10"/>
    </row>
    <row r="1659" spans="1:61" ht="21" customHeight="1" x14ac:dyDescent="0.25">
      <c r="A1659" s="10"/>
      <c r="B1659" s="10"/>
      <c r="E1659" s="10"/>
      <c r="G1659" s="10"/>
      <c r="I1659" s="436" t="s">
        <v>8054</v>
      </c>
      <c r="J1659" s="26" t="s">
        <v>8053</v>
      </c>
      <c r="K1659" s="10">
        <v>2.0000000000000004E-2</v>
      </c>
      <c r="L1659" s="73">
        <f>IF(Tank1!$C$23="No control",(SUMIF(Tank1!$B$32:$B$49,$J1659,Tank1!$C$32:$C$49)*Impacts!$F$8),0)</f>
        <v>0</v>
      </c>
      <c r="M1659" s="10">
        <f>IF(Tank2!$C$23="No control",(SUMIF(Tank2!$B$32:$B$49,$J1659,Tank2!$C$32:$C$49)*Impacts!$F$9),0)</f>
        <v>0</v>
      </c>
      <c r="N1659" s="10">
        <f>IF(Tank3!$C$23="No control",(SUMIF(Tank3!$B$32:$B$49,$J1659,Tank3!$C$32:$C$49)*Impacts!$F$10),0)</f>
        <v>0</v>
      </c>
      <c r="O1659" s="10">
        <f>IF(Tank4!$C$23="No control",(SUMIF(Tank4!$B$32:$B$49,$J1659,Tank4!$C$32:$C$49)*Impacts!$F$11),0)</f>
        <v>0</v>
      </c>
      <c r="P1659" s="10">
        <f>IF(Tank5!$C$23="No control",(SUMIF(Tank5!$B$32:$B$49,$J1659,Tank5!$C$32:$C$49)*Impacts!$F$12),0)</f>
        <v>0</v>
      </c>
      <c r="Q1659" s="10">
        <f>IFERROR(IF(('Loading-drum,tote'!$C$21)="No control",SUMIF(('Loading-drum,tote'!$B$31:$B$48),$J1659,('Loading-drum,tote'!$D$31:$D$48))*Impacts!$F$13,IF(('Loading-drum,tote'!$C$21)&lt;&gt;"No control",SUMIF(('Loading-drum,tote'!$B$31:$B$48),$J1659,('Loading-drum,tote'!$E$31:$E$48))*Impacts!$F$13,0)),0)</f>
        <v>0</v>
      </c>
      <c r="R1659" s="10">
        <f>IFERROR(IF(('Loading-truck'!$C$21)="No control",SUMIF(('Loading-truck'!$B$31:$B$48),$J1659,('Loading-truck'!$D$31:$D$48))*Impacts!$F$14,IF(('Loading-truck'!$C$21)&lt;&gt;"No control",SUMIF(('Loading-truck'!$B$31:$B$48),$J1659,('Loading-truck'!$E$31:$E$48))*Impacts!$F$14,0)),0)</f>
        <v>0</v>
      </c>
      <c r="S1659" s="10">
        <f>IFERROR(IF(('Loading-rail'!$C$21)="No control",SUMIF(('Loading-rail'!$B$31:$B$48),$J1659,('Loading-rail'!$D$31:$D$48))*Impacts!$F$15,IF(('Loading-rail'!$C$21)&lt;&gt;"No control",SUMIF(('Loading-rail'!$B$31:$B$48),$J1659,('Loading-rail'!$E$31:$E$48))*Impacts!$F$15,0)),0)</f>
        <v>0</v>
      </c>
      <c r="T1659" s="10">
        <f>IF(Flare!$C$7="",0,(SUMIF(Flare!$B$46:$B$185,$J1659,Flare!$E$46:$E$185)*Impacts!$F$16))</f>
        <v>0</v>
      </c>
      <c r="U1659" s="10">
        <f>IF(VCU!$C$9="",0,(SUMIF(VCU!$B$51:$B$193,$J1659,VCU!$E$51:$E$193)*Impacts!$F$17))</f>
        <v>0</v>
      </c>
      <c r="V1659" s="10">
        <f>IF(CAS!$C$7="",0,(SUMIF(CAS!$B$31:$B$167,$J1659,CAS!$E$31:$E$167)*Impacts!$F$18))</f>
        <v>0</v>
      </c>
      <c r="W1659" s="10">
        <f t="shared" si="66"/>
        <v>0</v>
      </c>
      <c r="AK1659" s="10" t="str">
        <f t="array" ref="AK1659">IFERROR(INDEX(SelectedSpecies,SMALL(IF(SelectedSpecies=AK$1,ROW(SelectedSpecies)),ROW(1660:1660)),2),"")</f>
        <v/>
      </c>
      <c r="BE1659" s="10"/>
      <c r="BI1659" s="10"/>
    </row>
    <row r="1660" spans="1:61" ht="21" customHeight="1" x14ac:dyDescent="0.25">
      <c r="A1660" s="10"/>
      <c r="B1660" s="10"/>
      <c r="E1660" s="10"/>
      <c r="G1660" s="10"/>
      <c r="I1660" s="436" t="s">
        <v>8262</v>
      </c>
      <c r="J1660" s="26" t="s">
        <v>8261</v>
      </c>
      <c r="K1660" s="10">
        <v>5.000000000000001E-3</v>
      </c>
      <c r="L1660" s="73">
        <f>IF(Tank1!$C$23="No control",(SUMIF(Tank1!$B$32:$B$49,$J1660,Tank1!$C$32:$C$49)*Impacts!$F$8),0)</f>
        <v>0</v>
      </c>
      <c r="M1660" s="10">
        <f>IF(Tank2!$C$23="No control",(SUMIF(Tank2!$B$32:$B$49,$J1660,Tank2!$C$32:$C$49)*Impacts!$F$9),0)</f>
        <v>0</v>
      </c>
      <c r="N1660" s="10">
        <f>IF(Tank3!$C$23="No control",(SUMIF(Tank3!$B$32:$B$49,$J1660,Tank3!$C$32:$C$49)*Impacts!$F$10),0)</f>
        <v>0</v>
      </c>
      <c r="O1660" s="10">
        <f>IF(Tank4!$C$23="No control",(SUMIF(Tank4!$B$32:$B$49,$J1660,Tank4!$C$32:$C$49)*Impacts!$F$11),0)</f>
        <v>0</v>
      </c>
      <c r="P1660" s="10">
        <f>IF(Tank5!$C$23="No control",(SUMIF(Tank5!$B$32:$B$49,$J1660,Tank5!$C$32:$C$49)*Impacts!$F$12),0)</f>
        <v>0</v>
      </c>
      <c r="Q1660" s="10">
        <f>IFERROR(IF(('Loading-drum,tote'!$C$21)="No control",SUMIF(('Loading-drum,tote'!$B$31:$B$48),$J1660,('Loading-drum,tote'!$D$31:$D$48))*Impacts!$F$13,IF(('Loading-drum,tote'!$C$21)&lt;&gt;"No control",SUMIF(('Loading-drum,tote'!$B$31:$B$48),$J1660,('Loading-drum,tote'!$E$31:$E$48))*Impacts!$F$13,0)),0)</f>
        <v>0</v>
      </c>
      <c r="R1660" s="10">
        <f>IFERROR(IF(('Loading-truck'!$C$21)="No control",SUMIF(('Loading-truck'!$B$31:$B$48),$J1660,('Loading-truck'!$D$31:$D$48))*Impacts!$F$14,IF(('Loading-truck'!$C$21)&lt;&gt;"No control",SUMIF(('Loading-truck'!$B$31:$B$48),$J1660,('Loading-truck'!$E$31:$E$48))*Impacts!$F$14,0)),0)</f>
        <v>0</v>
      </c>
      <c r="S1660" s="10">
        <f>IFERROR(IF(('Loading-rail'!$C$21)="No control",SUMIF(('Loading-rail'!$B$31:$B$48),$J1660,('Loading-rail'!$D$31:$D$48))*Impacts!$F$15,IF(('Loading-rail'!$C$21)&lt;&gt;"No control",SUMIF(('Loading-rail'!$B$31:$B$48),$J1660,('Loading-rail'!$E$31:$E$48))*Impacts!$F$15,0)),0)</f>
        <v>0</v>
      </c>
      <c r="T1660" s="10">
        <f>IF(Flare!$C$7="",0,(SUMIF(Flare!$B$46:$B$185,$J1660,Flare!$E$46:$E$185)*Impacts!$F$16))</f>
        <v>0</v>
      </c>
      <c r="U1660" s="10">
        <f>IF(VCU!$C$9="",0,(SUMIF(VCU!$B$51:$B$193,$J1660,VCU!$E$51:$E$193)*Impacts!$F$17))</f>
        <v>0</v>
      </c>
      <c r="V1660" s="10">
        <f>IF(CAS!$C$7="",0,(SUMIF(CAS!$B$31:$B$167,$J1660,CAS!$E$31:$E$167)*Impacts!$F$18))</f>
        <v>0</v>
      </c>
      <c r="W1660" s="10">
        <f t="shared" si="66"/>
        <v>0</v>
      </c>
      <c r="AK1660" s="10" t="str">
        <f t="array" ref="AK1660">IFERROR(INDEX(SelectedSpecies,SMALL(IF(SelectedSpecies=AK$1,ROW(SelectedSpecies)),ROW(1661:1661)),2),"")</f>
        <v/>
      </c>
      <c r="BE1660" s="10"/>
      <c r="BI1660" s="10"/>
    </row>
    <row r="1661" spans="1:61" ht="21" customHeight="1" x14ac:dyDescent="0.25">
      <c r="A1661" s="10"/>
      <c r="B1661" s="10"/>
      <c r="E1661" s="10"/>
      <c r="G1661" s="10"/>
      <c r="I1661" s="436" t="s">
        <v>5421</v>
      </c>
      <c r="J1661" s="26" t="s">
        <v>5420</v>
      </c>
      <c r="K1661" s="10">
        <v>1.4000000000000001</v>
      </c>
      <c r="L1661" s="73">
        <f>IF(Tank1!$C$23="No control",(SUMIF(Tank1!$B$32:$B$49,$J1661,Tank1!$C$32:$C$49)*Impacts!$F$8),0)</f>
        <v>0</v>
      </c>
      <c r="M1661" s="10">
        <f>IF(Tank2!$C$23="No control",(SUMIF(Tank2!$B$32:$B$49,$J1661,Tank2!$C$32:$C$49)*Impacts!$F$9),0)</f>
        <v>0</v>
      </c>
      <c r="N1661" s="10">
        <f>IF(Tank3!$C$23="No control",(SUMIF(Tank3!$B$32:$B$49,$J1661,Tank3!$C$32:$C$49)*Impacts!$F$10),0)</f>
        <v>0</v>
      </c>
      <c r="O1661" s="10">
        <f>IF(Tank4!$C$23="No control",(SUMIF(Tank4!$B$32:$B$49,$J1661,Tank4!$C$32:$C$49)*Impacts!$F$11),0)</f>
        <v>0</v>
      </c>
      <c r="P1661" s="10">
        <f>IF(Tank5!$C$23="No control",(SUMIF(Tank5!$B$32:$B$49,$J1661,Tank5!$C$32:$C$49)*Impacts!$F$12),0)</f>
        <v>0</v>
      </c>
      <c r="Q1661" s="10">
        <f>IFERROR(IF(('Loading-drum,tote'!$C$21)="No control",SUMIF(('Loading-drum,tote'!$B$31:$B$48),$J1661,('Loading-drum,tote'!$D$31:$D$48))*Impacts!$F$13,IF(('Loading-drum,tote'!$C$21)&lt;&gt;"No control",SUMIF(('Loading-drum,tote'!$B$31:$B$48),$J1661,('Loading-drum,tote'!$E$31:$E$48))*Impacts!$F$13,0)),0)</f>
        <v>0</v>
      </c>
      <c r="R1661" s="10">
        <f>IFERROR(IF(('Loading-truck'!$C$21)="No control",SUMIF(('Loading-truck'!$B$31:$B$48),$J1661,('Loading-truck'!$D$31:$D$48))*Impacts!$F$14,IF(('Loading-truck'!$C$21)&lt;&gt;"No control",SUMIF(('Loading-truck'!$B$31:$B$48),$J1661,('Loading-truck'!$E$31:$E$48))*Impacts!$F$14,0)),0)</f>
        <v>0</v>
      </c>
      <c r="S1661" s="10">
        <f>IFERROR(IF(('Loading-rail'!$C$21)="No control",SUMIF(('Loading-rail'!$B$31:$B$48),$J1661,('Loading-rail'!$D$31:$D$48))*Impacts!$F$15,IF(('Loading-rail'!$C$21)&lt;&gt;"No control",SUMIF(('Loading-rail'!$B$31:$B$48),$J1661,('Loading-rail'!$E$31:$E$48))*Impacts!$F$15,0)),0)</f>
        <v>0</v>
      </c>
      <c r="T1661" s="10">
        <f>IF(Flare!$C$7="",0,(SUMIF(Flare!$B$46:$B$185,$J1661,Flare!$E$46:$E$185)*Impacts!$F$16))</f>
        <v>0</v>
      </c>
      <c r="U1661" s="10">
        <f>IF(VCU!$C$9="",0,(SUMIF(VCU!$B$51:$B$193,$J1661,VCU!$E$51:$E$193)*Impacts!$F$17))</f>
        <v>0</v>
      </c>
      <c r="V1661" s="10">
        <f>IF(CAS!$C$7="",0,(SUMIF(CAS!$B$31:$B$167,$J1661,CAS!$E$31:$E$167)*Impacts!$F$18))</f>
        <v>0</v>
      </c>
      <c r="W1661" s="10">
        <f t="shared" si="66"/>
        <v>0</v>
      </c>
      <c r="AK1661" s="10" t="str">
        <f t="array" ref="AK1661">IFERROR(INDEX(SelectedSpecies,SMALL(IF(SelectedSpecies=AK$1,ROW(SelectedSpecies)),ROW(1662:1662)),2),"")</f>
        <v/>
      </c>
      <c r="BE1661" s="10"/>
      <c r="BI1661" s="10"/>
    </row>
    <row r="1662" spans="1:61" ht="21" customHeight="1" x14ac:dyDescent="0.25">
      <c r="A1662" s="10"/>
      <c r="B1662" s="10"/>
      <c r="E1662" s="10"/>
      <c r="G1662" s="10"/>
      <c r="I1662" s="436" t="s">
        <v>694</v>
      </c>
      <c r="J1662" s="26" t="s">
        <v>693</v>
      </c>
      <c r="K1662" s="10">
        <v>57</v>
      </c>
      <c r="L1662" s="73">
        <f>IF(Tank1!$C$23="No control",(SUMIF(Tank1!$B$32:$B$49,$J1662,Tank1!$C$32:$C$49)*Impacts!$F$8),0)</f>
        <v>0</v>
      </c>
      <c r="M1662" s="10">
        <f>IF(Tank2!$C$23="No control",(SUMIF(Tank2!$B$32:$B$49,$J1662,Tank2!$C$32:$C$49)*Impacts!$F$9),0)</f>
        <v>0</v>
      </c>
      <c r="N1662" s="10">
        <f>IF(Tank3!$C$23="No control",(SUMIF(Tank3!$B$32:$B$49,$J1662,Tank3!$C$32:$C$49)*Impacts!$F$10),0)</f>
        <v>0</v>
      </c>
      <c r="O1662" s="10">
        <f>IF(Tank4!$C$23="No control",(SUMIF(Tank4!$B$32:$B$49,$J1662,Tank4!$C$32:$C$49)*Impacts!$F$11),0)</f>
        <v>0</v>
      </c>
      <c r="P1662" s="10">
        <f>IF(Tank5!$C$23="No control",(SUMIF(Tank5!$B$32:$B$49,$J1662,Tank5!$C$32:$C$49)*Impacts!$F$12),0)</f>
        <v>0</v>
      </c>
      <c r="Q1662" s="10">
        <f>IFERROR(IF(('Loading-drum,tote'!$C$21)="No control",SUMIF(('Loading-drum,tote'!$B$31:$B$48),$J1662,('Loading-drum,tote'!$D$31:$D$48))*Impacts!$F$13,IF(('Loading-drum,tote'!$C$21)&lt;&gt;"No control",SUMIF(('Loading-drum,tote'!$B$31:$B$48),$J1662,('Loading-drum,tote'!$E$31:$E$48))*Impacts!$F$13,0)),0)</f>
        <v>0</v>
      </c>
      <c r="R1662" s="10">
        <f>IFERROR(IF(('Loading-truck'!$C$21)="No control",SUMIF(('Loading-truck'!$B$31:$B$48),$J1662,('Loading-truck'!$D$31:$D$48))*Impacts!$F$14,IF(('Loading-truck'!$C$21)&lt;&gt;"No control",SUMIF(('Loading-truck'!$B$31:$B$48),$J1662,('Loading-truck'!$E$31:$E$48))*Impacts!$F$14,0)),0)</f>
        <v>0</v>
      </c>
      <c r="S1662" s="10">
        <f>IFERROR(IF(('Loading-rail'!$C$21)="No control",SUMIF(('Loading-rail'!$B$31:$B$48),$J1662,('Loading-rail'!$D$31:$D$48))*Impacts!$F$15,IF(('Loading-rail'!$C$21)&lt;&gt;"No control",SUMIF(('Loading-rail'!$B$31:$B$48),$J1662,('Loading-rail'!$E$31:$E$48))*Impacts!$F$15,0)),0)</f>
        <v>0</v>
      </c>
      <c r="T1662" s="10">
        <f>IF(Flare!$C$7="",0,(SUMIF(Flare!$B$46:$B$185,$J1662,Flare!$E$46:$E$185)*Impacts!$F$16))</f>
        <v>0</v>
      </c>
      <c r="U1662" s="10">
        <f>IF(VCU!$C$9="",0,(SUMIF(VCU!$B$51:$B$193,$J1662,VCU!$E$51:$E$193)*Impacts!$F$17))</f>
        <v>0</v>
      </c>
      <c r="V1662" s="10">
        <f>IF(CAS!$C$7="",0,(SUMIF(CAS!$B$31:$B$167,$J1662,CAS!$E$31:$E$167)*Impacts!$F$18))</f>
        <v>0</v>
      </c>
      <c r="W1662" s="10">
        <f t="shared" si="66"/>
        <v>0</v>
      </c>
      <c r="AK1662" s="10" t="str">
        <f t="array" ref="AK1662">IFERROR(INDEX(SelectedSpecies,SMALL(IF(SelectedSpecies=AK$1,ROW(SelectedSpecies)),ROW(1663:1663)),2),"")</f>
        <v/>
      </c>
      <c r="BE1662" s="10"/>
      <c r="BI1662" s="10"/>
    </row>
    <row r="1663" spans="1:61" ht="21" customHeight="1" x14ac:dyDescent="0.25">
      <c r="A1663" s="10"/>
      <c r="B1663" s="10"/>
      <c r="E1663" s="10"/>
      <c r="G1663" s="10"/>
      <c r="I1663" s="436" t="s">
        <v>5880</v>
      </c>
      <c r="J1663" s="26" t="s">
        <v>5879</v>
      </c>
      <c r="K1663" s="10">
        <v>1</v>
      </c>
      <c r="L1663" s="73">
        <f>IF(Tank1!$C$23="No control",(SUMIF(Tank1!$B$32:$B$49,$J1663,Tank1!$C$32:$C$49)*Impacts!$F$8),0)</f>
        <v>0</v>
      </c>
      <c r="M1663" s="10">
        <f>IF(Tank2!$C$23="No control",(SUMIF(Tank2!$B$32:$B$49,$J1663,Tank2!$C$32:$C$49)*Impacts!$F$9),0)</f>
        <v>0</v>
      </c>
      <c r="N1663" s="10">
        <f>IF(Tank3!$C$23="No control",(SUMIF(Tank3!$B$32:$B$49,$J1663,Tank3!$C$32:$C$49)*Impacts!$F$10),0)</f>
        <v>0</v>
      </c>
      <c r="O1663" s="10">
        <f>IF(Tank4!$C$23="No control",(SUMIF(Tank4!$B$32:$B$49,$J1663,Tank4!$C$32:$C$49)*Impacts!$F$11),0)</f>
        <v>0</v>
      </c>
      <c r="P1663" s="10">
        <f>IF(Tank5!$C$23="No control",(SUMIF(Tank5!$B$32:$B$49,$J1663,Tank5!$C$32:$C$49)*Impacts!$F$12),0)</f>
        <v>0</v>
      </c>
      <c r="Q1663" s="10">
        <f>IFERROR(IF(('Loading-drum,tote'!$C$21)="No control",SUMIF(('Loading-drum,tote'!$B$31:$B$48),$J1663,('Loading-drum,tote'!$D$31:$D$48))*Impacts!$F$13,IF(('Loading-drum,tote'!$C$21)&lt;&gt;"No control",SUMIF(('Loading-drum,tote'!$B$31:$B$48),$J1663,('Loading-drum,tote'!$E$31:$E$48))*Impacts!$F$13,0)),0)</f>
        <v>0</v>
      </c>
      <c r="R1663" s="10">
        <f>IFERROR(IF(('Loading-truck'!$C$21)="No control",SUMIF(('Loading-truck'!$B$31:$B$48),$J1663,('Loading-truck'!$D$31:$D$48))*Impacts!$F$14,IF(('Loading-truck'!$C$21)&lt;&gt;"No control",SUMIF(('Loading-truck'!$B$31:$B$48),$J1663,('Loading-truck'!$E$31:$E$48))*Impacts!$F$14,0)),0)</f>
        <v>0</v>
      </c>
      <c r="S1663" s="10">
        <f>IFERROR(IF(('Loading-rail'!$C$21)="No control",SUMIF(('Loading-rail'!$B$31:$B$48),$J1663,('Loading-rail'!$D$31:$D$48))*Impacts!$F$15,IF(('Loading-rail'!$C$21)&lt;&gt;"No control",SUMIF(('Loading-rail'!$B$31:$B$48),$J1663,('Loading-rail'!$E$31:$E$48))*Impacts!$F$15,0)),0)</f>
        <v>0</v>
      </c>
      <c r="T1663" s="10">
        <f>IF(Flare!$C$7="",0,(SUMIF(Flare!$B$46:$B$185,$J1663,Flare!$E$46:$E$185)*Impacts!$F$16))</f>
        <v>0</v>
      </c>
      <c r="U1663" s="10">
        <f>IF(VCU!$C$9="",0,(SUMIF(VCU!$B$51:$B$193,$J1663,VCU!$E$51:$E$193)*Impacts!$F$17))</f>
        <v>0</v>
      </c>
      <c r="V1663" s="10">
        <f>IF(CAS!$C$7="",0,(SUMIF(CAS!$B$31:$B$167,$J1663,CAS!$E$31:$E$167)*Impacts!$F$18))</f>
        <v>0</v>
      </c>
      <c r="W1663" s="10">
        <f t="shared" si="66"/>
        <v>0</v>
      </c>
      <c r="AK1663" s="10" t="str">
        <f t="array" ref="AK1663">IFERROR(INDEX(SelectedSpecies,SMALL(IF(SelectedSpecies=AK$1,ROW(SelectedSpecies)),ROW(1664:1664)),2),"")</f>
        <v/>
      </c>
      <c r="BE1663" s="10"/>
      <c r="BI1663" s="10"/>
    </row>
    <row r="1664" spans="1:61" ht="21" customHeight="1" x14ac:dyDescent="0.25">
      <c r="A1664" s="10"/>
      <c r="B1664" s="10"/>
      <c r="E1664" s="10"/>
      <c r="G1664" s="10"/>
      <c r="I1664" s="436" t="s">
        <v>6484</v>
      </c>
      <c r="J1664" s="26" t="s">
        <v>6483</v>
      </c>
      <c r="K1664" s="10">
        <v>0.75</v>
      </c>
      <c r="L1664" s="73">
        <f>IF(Tank1!$C$23="No control",(SUMIF(Tank1!$B$32:$B$49,$J1664,Tank1!$C$32:$C$49)*Impacts!$F$8),0)</f>
        <v>0</v>
      </c>
      <c r="M1664" s="10">
        <f>IF(Tank2!$C$23="No control",(SUMIF(Tank2!$B$32:$B$49,$J1664,Tank2!$C$32:$C$49)*Impacts!$F$9),0)</f>
        <v>0</v>
      </c>
      <c r="N1664" s="10">
        <f>IF(Tank3!$C$23="No control",(SUMIF(Tank3!$B$32:$B$49,$J1664,Tank3!$C$32:$C$49)*Impacts!$F$10),0)</f>
        <v>0</v>
      </c>
      <c r="O1664" s="10">
        <f>IF(Tank4!$C$23="No control",(SUMIF(Tank4!$B$32:$B$49,$J1664,Tank4!$C$32:$C$49)*Impacts!$F$11),0)</f>
        <v>0</v>
      </c>
      <c r="P1664" s="10">
        <f>IF(Tank5!$C$23="No control",(SUMIF(Tank5!$B$32:$B$49,$J1664,Tank5!$C$32:$C$49)*Impacts!$F$12),0)</f>
        <v>0</v>
      </c>
      <c r="Q1664" s="10">
        <f>IFERROR(IF(('Loading-drum,tote'!$C$21)="No control",SUMIF(('Loading-drum,tote'!$B$31:$B$48),$J1664,('Loading-drum,tote'!$D$31:$D$48))*Impacts!$F$13,IF(('Loading-drum,tote'!$C$21)&lt;&gt;"No control",SUMIF(('Loading-drum,tote'!$B$31:$B$48),$J1664,('Loading-drum,tote'!$E$31:$E$48))*Impacts!$F$13,0)),0)</f>
        <v>0</v>
      </c>
      <c r="R1664" s="10">
        <f>IFERROR(IF(('Loading-truck'!$C$21)="No control",SUMIF(('Loading-truck'!$B$31:$B$48),$J1664,('Loading-truck'!$D$31:$D$48))*Impacts!$F$14,IF(('Loading-truck'!$C$21)&lt;&gt;"No control",SUMIF(('Loading-truck'!$B$31:$B$48),$J1664,('Loading-truck'!$E$31:$E$48))*Impacts!$F$14,0)),0)</f>
        <v>0</v>
      </c>
      <c r="S1664" s="10">
        <f>IFERROR(IF(('Loading-rail'!$C$21)="No control",SUMIF(('Loading-rail'!$B$31:$B$48),$J1664,('Loading-rail'!$D$31:$D$48))*Impacts!$F$15,IF(('Loading-rail'!$C$21)&lt;&gt;"No control",SUMIF(('Loading-rail'!$B$31:$B$48),$J1664,('Loading-rail'!$E$31:$E$48))*Impacts!$F$15,0)),0)</f>
        <v>0</v>
      </c>
      <c r="T1664" s="10">
        <f>IF(Flare!$C$7="",0,(SUMIF(Flare!$B$46:$B$185,$J1664,Flare!$E$46:$E$185)*Impacts!$F$16))</f>
        <v>0</v>
      </c>
      <c r="U1664" s="10">
        <f>IF(VCU!$C$9="",0,(SUMIF(VCU!$B$51:$B$193,$J1664,VCU!$E$51:$E$193)*Impacts!$F$17))</f>
        <v>0</v>
      </c>
      <c r="V1664" s="10">
        <f>IF(CAS!$C$7="",0,(SUMIF(CAS!$B$31:$B$167,$J1664,CAS!$E$31:$E$167)*Impacts!$F$18))</f>
        <v>0</v>
      </c>
      <c r="W1664" s="10">
        <f t="shared" si="66"/>
        <v>0</v>
      </c>
      <c r="AK1664" s="10" t="str">
        <f t="array" ref="AK1664">IFERROR(INDEX(SelectedSpecies,SMALL(IF(SelectedSpecies=AK$1,ROW(SelectedSpecies)),ROW(1665:1665)),2),"")</f>
        <v/>
      </c>
      <c r="BE1664" s="10"/>
      <c r="BI1664" s="10"/>
    </row>
    <row r="1665" spans="1:61" ht="21" customHeight="1" x14ac:dyDescent="0.25">
      <c r="A1665" s="10"/>
      <c r="B1665" s="10"/>
      <c r="E1665" s="10"/>
      <c r="G1665" s="10"/>
      <c r="I1665" s="436" t="s">
        <v>6528</v>
      </c>
      <c r="J1665" s="26" t="s">
        <v>6527</v>
      </c>
      <c r="K1665" s="10">
        <v>0.70000000000000007</v>
      </c>
      <c r="L1665" s="73">
        <f>IF(Tank1!$C$23="No control",(SUMIF(Tank1!$B$32:$B$49,$J1665,Tank1!$C$32:$C$49)*Impacts!$F$8),0)</f>
        <v>0</v>
      </c>
      <c r="M1665" s="10">
        <f>IF(Tank2!$C$23="No control",(SUMIF(Tank2!$B$32:$B$49,$J1665,Tank2!$C$32:$C$49)*Impacts!$F$9),0)</f>
        <v>0</v>
      </c>
      <c r="N1665" s="10">
        <f>IF(Tank3!$C$23="No control",(SUMIF(Tank3!$B$32:$B$49,$J1665,Tank3!$C$32:$C$49)*Impacts!$F$10),0)</f>
        <v>0</v>
      </c>
      <c r="O1665" s="10">
        <f>IF(Tank4!$C$23="No control",(SUMIF(Tank4!$B$32:$B$49,$J1665,Tank4!$C$32:$C$49)*Impacts!$F$11),0)</f>
        <v>0</v>
      </c>
      <c r="P1665" s="10">
        <f>IF(Tank5!$C$23="No control",(SUMIF(Tank5!$B$32:$B$49,$J1665,Tank5!$C$32:$C$49)*Impacts!$F$12),0)</f>
        <v>0</v>
      </c>
      <c r="Q1665" s="10">
        <f>IFERROR(IF(('Loading-drum,tote'!$C$21)="No control",SUMIF(('Loading-drum,tote'!$B$31:$B$48),$J1665,('Loading-drum,tote'!$D$31:$D$48))*Impacts!$F$13,IF(('Loading-drum,tote'!$C$21)&lt;&gt;"No control",SUMIF(('Loading-drum,tote'!$B$31:$B$48),$J1665,('Loading-drum,tote'!$E$31:$E$48))*Impacts!$F$13,0)),0)</f>
        <v>0</v>
      </c>
      <c r="R1665" s="10">
        <f>IFERROR(IF(('Loading-truck'!$C$21)="No control",SUMIF(('Loading-truck'!$B$31:$B$48),$J1665,('Loading-truck'!$D$31:$D$48))*Impacts!$F$14,IF(('Loading-truck'!$C$21)&lt;&gt;"No control",SUMIF(('Loading-truck'!$B$31:$B$48),$J1665,('Loading-truck'!$E$31:$E$48))*Impacts!$F$14,0)),0)</f>
        <v>0</v>
      </c>
      <c r="S1665" s="10">
        <f>IFERROR(IF(('Loading-rail'!$C$21)="No control",SUMIF(('Loading-rail'!$B$31:$B$48),$J1665,('Loading-rail'!$D$31:$D$48))*Impacts!$F$15,IF(('Loading-rail'!$C$21)&lt;&gt;"No control",SUMIF(('Loading-rail'!$B$31:$B$48),$J1665,('Loading-rail'!$E$31:$E$48))*Impacts!$F$15,0)),0)</f>
        <v>0</v>
      </c>
      <c r="T1665" s="10">
        <f>IF(Flare!$C$7="",0,(SUMIF(Flare!$B$46:$B$185,$J1665,Flare!$E$46:$E$185)*Impacts!$F$16))</f>
        <v>0</v>
      </c>
      <c r="U1665" s="10">
        <f>IF(VCU!$C$9="",0,(SUMIF(VCU!$B$51:$B$193,$J1665,VCU!$E$51:$E$193)*Impacts!$F$17))</f>
        <v>0</v>
      </c>
      <c r="V1665" s="10">
        <f>IF(CAS!$C$7="",0,(SUMIF(CAS!$B$31:$B$167,$J1665,CAS!$E$31:$E$167)*Impacts!$F$18))</f>
        <v>0</v>
      </c>
      <c r="W1665" s="10">
        <f t="shared" si="66"/>
        <v>0</v>
      </c>
      <c r="AK1665" s="10" t="str">
        <f t="array" ref="AK1665">IFERROR(INDEX(SelectedSpecies,SMALL(IF(SelectedSpecies=AK$1,ROW(SelectedSpecies)),ROW(1666:1666)),2),"")</f>
        <v/>
      </c>
      <c r="BE1665" s="10"/>
      <c r="BI1665" s="10"/>
    </row>
    <row r="1666" spans="1:61" ht="21" customHeight="1" x14ac:dyDescent="0.25">
      <c r="A1666" s="10"/>
      <c r="B1666" s="10"/>
      <c r="E1666" s="10"/>
      <c r="G1666" s="10"/>
      <c r="I1666" s="436" t="s">
        <v>2853</v>
      </c>
      <c r="J1666" s="26" t="s">
        <v>2852</v>
      </c>
      <c r="K1666" s="10">
        <v>10</v>
      </c>
      <c r="L1666" s="73">
        <f>IF(Tank1!$C$23="No control",(SUMIF(Tank1!$B$32:$B$49,$J1666,Tank1!$C$32:$C$49)*Impacts!$F$8),0)</f>
        <v>0</v>
      </c>
      <c r="M1666" s="10">
        <f>IF(Tank2!$C$23="No control",(SUMIF(Tank2!$B$32:$B$49,$J1666,Tank2!$C$32:$C$49)*Impacts!$F$9),0)</f>
        <v>0</v>
      </c>
      <c r="N1666" s="10">
        <f>IF(Tank3!$C$23="No control",(SUMIF(Tank3!$B$32:$B$49,$J1666,Tank3!$C$32:$C$49)*Impacts!$F$10),0)</f>
        <v>0</v>
      </c>
      <c r="O1666" s="10">
        <f>IF(Tank4!$C$23="No control",(SUMIF(Tank4!$B$32:$B$49,$J1666,Tank4!$C$32:$C$49)*Impacts!$F$11),0)</f>
        <v>0</v>
      </c>
      <c r="P1666" s="10">
        <f>IF(Tank5!$C$23="No control",(SUMIF(Tank5!$B$32:$B$49,$J1666,Tank5!$C$32:$C$49)*Impacts!$F$12),0)</f>
        <v>0</v>
      </c>
      <c r="Q1666" s="10">
        <f>IFERROR(IF(('Loading-drum,tote'!$C$21)="No control",SUMIF(('Loading-drum,tote'!$B$31:$B$48),$J1666,('Loading-drum,tote'!$D$31:$D$48))*Impacts!$F$13,IF(('Loading-drum,tote'!$C$21)&lt;&gt;"No control",SUMIF(('Loading-drum,tote'!$B$31:$B$48),$J1666,('Loading-drum,tote'!$E$31:$E$48))*Impacts!$F$13,0)),0)</f>
        <v>0</v>
      </c>
      <c r="R1666" s="10">
        <f>IFERROR(IF(('Loading-truck'!$C$21)="No control",SUMIF(('Loading-truck'!$B$31:$B$48),$J1666,('Loading-truck'!$D$31:$D$48))*Impacts!$F$14,IF(('Loading-truck'!$C$21)&lt;&gt;"No control",SUMIF(('Loading-truck'!$B$31:$B$48),$J1666,('Loading-truck'!$E$31:$E$48))*Impacts!$F$14,0)),0)</f>
        <v>0</v>
      </c>
      <c r="S1666" s="10">
        <f>IFERROR(IF(('Loading-rail'!$C$21)="No control",SUMIF(('Loading-rail'!$B$31:$B$48),$J1666,('Loading-rail'!$D$31:$D$48))*Impacts!$F$15,IF(('Loading-rail'!$C$21)&lt;&gt;"No control",SUMIF(('Loading-rail'!$B$31:$B$48),$J1666,('Loading-rail'!$E$31:$E$48))*Impacts!$F$15,0)),0)</f>
        <v>0</v>
      </c>
      <c r="T1666" s="10">
        <f>IF(Flare!$C$7="",0,(SUMIF(Flare!$B$46:$B$185,$J1666,Flare!$E$46:$E$185)*Impacts!$F$16))</f>
        <v>0</v>
      </c>
      <c r="U1666" s="10">
        <f>IF(VCU!$C$9="",0,(SUMIF(VCU!$B$51:$B$193,$J1666,VCU!$E$51:$E$193)*Impacts!$F$17))</f>
        <v>0</v>
      </c>
      <c r="V1666" s="10">
        <f>IF(CAS!$C$7="",0,(SUMIF(CAS!$B$31:$B$167,$J1666,CAS!$E$31:$E$167)*Impacts!$F$18))</f>
        <v>0</v>
      </c>
      <c r="W1666" s="10">
        <f t="shared" si="66"/>
        <v>0</v>
      </c>
      <c r="AK1666" s="10" t="str">
        <f t="array" ref="AK1666">IFERROR(INDEX(SelectedSpecies,SMALL(IF(SelectedSpecies=AK$1,ROW(SelectedSpecies)),ROW(1667:1667)),2),"")</f>
        <v/>
      </c>
      <c r="BE1666" s="10"/>
      <c r="BI1666" s="10"/>
    </row>
    <row r="1667" spans="1:61" ht="21" customHeight="1" x14ac:dyDescent="0.25">
      <c r="A1667" s="10"/>
      <c r="B1667" s="10"/>
      <c r="E1667" s="10"/>
      <c r="G1667" s="10"/>
      <c r="I1667" s="436" t="s">
        <v>2855</v>
      </c>
      <c r="J1667" s="26" t="s">
        <v>2854</v>
      </c>
      <c r="K1667" s="10">
        <v>10</v>
      </c>
      <c r="L1667" s="73">
        <f>IF(Tank1!$C$23="No control",(SUMIF(Tank1!$B$32:$B$49,$J1667,Tank1!$C$32:$C$49)*Impacts!$F$8),0)</f>
        <v>0</v>
      </c>
      <c r="M1667" s="10">
        <f>IF(Tank2!$C$23="No control",(SUMIF(Tank2!$B$32:$B$49,$J1667,Tank2!$C$32:$C$49)*Impacts!$F$9),0)</f>
        <v>0</v>
      </c>
      <c r="N1667" s="10">
        <f>IF(Tank3!$C$23="No control",(SUMIF(Tank3!$B$32:$B$49,$J1667,Tank3!$C$32:$C$49)*Impacts!$F$10),0)</f>
        <v>0</v>
      </c>
      <c r="O1667" s="10">
        <f>IF(Tank4!$C$23="No control",(SUMIF(Tank4!$B$32:$B$49,$J1667,Tank4!$C$32:$C$49)*Impacts!$F$11),0)</f>
        <v>0</v>
      </c>
      <c r="P1667" s="10">
        <f>IF(Tank5!$C$23="No control",(SUMIF(Tank5!$B$32:$B$49,$J1667,Tank5!$C$32:$C$49)*Impacts!$F$12),0)</f>
        <v>0</v>
      </c>
      <c r="Q1667" s="10">
        <f>IFERROR(IF(('Loading-drum,tote'!$C$21)="No control",SUMIF(('Loading-drum,tote'!$B$31:$B$48),$J1667,('Loading-drum,tote'!$D$31:$D$48))*Impacts!$F$13,IF(('Loading-drum,tote'!$C$21)&lt;&gt;"No control",SUMIF(('Loading-drum,tote'!$B$31:$B$48),$J1667,('Loading-drum,tote'!$E$31:$E$48))*Impacts!$F$13,0)),0)</f>
        <v>0</v>
      </c>
      <c r="R1667" s="10">
        <f>IFERROR(IF(('Loading-truck'!$C$21)="No control",SUMIF(('Loading-truck'!$B$31:$B$48),$J1667,('Loading-truck'!$D$31:$D$48))*Impacts!$F$14,IF(('Loading-truck'!$C$21)&lt;&gt;"No control",SUMIF(('Loading-truck'!$B$31:$B$48),$J1667,('Loading-truck'!$E$31:$E$48))*Impacts!$F$14,0)),0)</f>
        <v>0</v>
      </c>
      <c r="S1667" s="10">
        <f>IFERROR(IF(('Loading-rail'!$C$21)="No control",SUMIF(('Loading-rail'!$B$31:$B$48),$J1667,('Loading-rail'!$D$31:$D$48))*Impacts!$F$15,IF(('Loading-rail'!$C$21)&lt;&gt;"No control",SUMIF(('Loading-rail'!$B$31:$B$48),$J1667,('Loading-rail'!$E$31:$E$48))*Impacts!$F$15,0)),0)</f>
        <v>0</v>
      </c>
      <c r="T1667" s="10">
        <f>IF(Flare!$C$7="",0,(SUMIF(Flare!$B$46:$B$185,$J1667,Flare!$E$46:$E$185)*Impacts!$F$16))</f>
        <v>0</v>
      </c>
      <c r="U1667" s="10">
        <f>IF(VCU!$C$9="",0,(SUMIF(VCU!$B$51:$B$193,$J1667,VCU!$E$51:$E$193)*Impacts!$F$17))</f>
        <v>0</v>
      </c>
      <c r="V1667" s="10">
        <f>IF(CAS!$C$7="",0,(SUMIF(CAS!$B$31:$B$167,$J1667,CAS!$E$31:$E$167)*Impacts!$F$18))</f>
        <v>0</v>
      </c>
      <c r="W1667" s="10">
        <f t="shared" si="66"/>
        <v>0</v>
      </c>
      <c r="AK1667" s="10" t="str">
        <f t="array" ref="AK1667">IFERROR(INDEX(SelectedSpecies,SMALL(IF(SelectedSpecies=AK$1,ROW(SelectedSpecies)),ROW(1668:1668)),2),"")</f>
        <v/>
      </c>
      <c r="BE1667" s="10"/>
      <c r="BI1667" s="10"/>
    </row>
    <row r="1668" spans="1:61" ht="21" customHeight="1" x14ac:dyDescent="0.25">
      <c r="A1668" s="10"/>
      <c r="B1668" s="10"/>
      <c r="E1668" s="10"/>
      <c r="G1668" s="10"/>
      <c r="I1668" s="436" t="s">
        <v>6390</v>
      </c>
      <c r="J1668" s="26" t="s">
        <v>6389</v>
      </c>
      <c r="K1668" s="10">
        <v>0.81</v>
      </c>
      <c r="L1668" s="73">
        <f>IF(Tank1!$C$23="No control",(SUMIF(Tank1!$B$32:$B$49,$J1668,Tank1!$C$32:$C$49)*Impacts!$F$8),0)</f>
        <v>0</v>
      </c>
      <c r="M1668" s="10">
        <f>IF(Tank2!$C$23="No control",(SUMIF(Tank2!$B$32:$B$49,$J1668,Tank2!$C$32:$C$49)*Impacts!$F$9),0)</f>
        <v>0</v>
      </c>
      <c r="N1668" s="10">
        <f>IF(Tank3!$C$23="No control",(SUMIF(Tank3!$B$32:$B$49,$J1668,Tank3!$C$32:$C$49)*Impacts!$F$10),0)</f>
        <v>0</v>
      </c>
      <c r="O1668" s="10">
        <f>IF(Tank4!$C$23="No control",(SUMIF(Tank4!$B$32:$B$49,$J1668,Tank4!$C$32:$C$49)*Impacts!$F$11),0)</f>
        <v>0</v>
      </c>
      <c r="P1668" s="10">
        <f>IF(Tank5!$C$23="No control",(SUMIF(Tank5!$B$32:$B$49,$J1668,Tank5!$C$32:$C$49)*Impacts!$F$12),0)</f>
        <v>0</v>
      </c>
      <c r="Q1668" s="10">
        <f>IFERROR(IF(('Loading-drum,tote'!$C$21)="No control",SUMIF(('Loading-drum,tote'!$B$31:$B$48),$J1668,('Loading-drum,tote'!$D$31:$D$48))*Impacts!$F$13,IF(('Loading-drum,tote'!$C$21)&lt;&gt;"No control",SUMIF(('Loading-drum,tote'!$B$31:$B$48),$J1668,('Loading-drum,tote'!$E$31:$E$48))*Impacts!$F$13,0)),0)</f>
        <v>0</v>
      </c>
      <c r="R1668" s="10">
        <f>IFERROR(IF(('Loading-truck'!$C$21)="No control",SUMIF(('Loading-truck'!$B$31:$B$48),$J1668,('Loading-truck'!$D$31:$D$48))*Impacts!$F$14,IF(('Loading-truck'!$C$21)&lt;&gt;"No control",SUMIF(('Loading-truck'!$B$31:$B$48),$J1668,('Loading-truck'!$E$31:$E$48))*Impacts!$F$14,0)),0)</f>
        <v>0</v>
      </c>
      <c r="S1668" s="10">
        <f>IFERROR(IF(('Loading-rail'!$C$21)="No control",SUMIF(('Loading-rail'!$B$31:$B$48),$J1668,('Loading-rail'!$D$31:$D$48))*Impacts!$F$15,IF(('Loading-rail'!$C$21)&lt;&gt;"No control",SUMIF(('Loading-rail'!$B$31:$B$48),$J1668,('Loading-rail'!$E$31:$E$48))*Impacts!$F$15,0)),0)</f>
        <v>0</v>
      </c>
      <c r="T1668" s="10">
        <f>IF(Flare!$C$7="",0,(SUMIF(Flare!$B$46:$B$185,$J1668,Flare!$E$46:$E$185)*Impacts!$F$16))</f>
        <v>0</v>
      </c>
      <c r="U1668" s="10">
        <f>IF(VCU!$C$9="",0,(SUMIF(VCU!$B$51:$B$193,$J1668,VCU!$E$51:$E$193)*Impacts!$F$17))</f>
        <v>0</v>
      </c>
      <c r="V1668" s="10">
        <f>IF(CAS!$C$7="",0,(SUMIF(CAS!$B$31:$B$167,$J1668,CAS!$E$31:$E$167)*Impacts!$F$18))</f>
        <v>0</v>
      </c>
      <c r="W1668" s="10">
        <f t="shared" si="66"/>
        <v>0</v>
      </c>
      <c r="AK1668" s="10" t="str">
        <f t="array" ref="AK1668">IFERROR(INDEX(SelectedSpecies,SMALL(IF(SelectedSpecies=AK$1,ROW(SelectedSpecies)),ROW(1669:1669)),2),"")</f>
        <v/>
      </c>
      <c r="BE1668" s="10"/>
      <c r="BI1668" s="10"/>
    </row>
    <row r="1669" spans="1:61" ht="21" customHeight="1" x14ac:dyDescent="0.25">
      <c r="A1669" s="10"/>
      <c r="B1669" s="10"/>
      <c r="E1669" s="10"/>
      <c r="G1669" s="10"/>
      <c r="I1669" s="436" t="s">
        <v>6390</v>
      </c>
      <c r="J1669" s="26" t="s">
        <v>10375</v>
      </c>
      <c r="K1669" s="10">
        <v>5.6999999999999995E-2</v>
      </c>
      <c r="L1669" s="73">
        <f>IF(Tank1!$C$23="No control",(SUMIF(Tank1!$B$32:$B$49,$J1669,Tank1!$C$32:$C$49)*Impacts!$F$8),0)</f>
        <v>0</v>
      </c>
      <c r="M1669" s="10">
        <f>IF(Tank2!$C$23="No control",(SUMIF(Tank2!$B$32:$B$49,$J1669,Tank2!$C$32:$C$49)*Impacts!$F$9),0)</f>
        <v>0</v>
      </c>
      <c r="N1669" s="10">
        <f>IF(Tank3!$C$23="No control",(SUMIF(Tank3!$B$32:$B$49,$J1669,Tank3!$C$32:$C$49)*Impacts!$F$10),0)</f>
        <v>0</v>
      </c>
      <c r="O1669" s="10">
        <f>IF(Tank4!$C$23="No control",(SUMIF(Tank4!$B$32:$B$49,$J1669,Tank4!$C$32:$C$49)*Impacts!$F$11),0)</f>
        <v>0</v>
      </c>
      <c r="P1669" s="10">
        <f>IF(Tank5!$C$23="No control",(SUMIF(Tank5!$B$32:$B$49,$J1669,Tank5!$C$32:$C$49)*Impacts!$F$12),0)</f>
        <v>0</v>
      </c>
      <c r="Q1669" s="10">
        <f>IFERROR(IF(('Loading-drum,tote'!$C$21)="No control",SUMIF(('Loading-drum,tote'!$B$31:$B$48),$J1669,('Loading-drum,tote'!$D$31:$D$48))*Impacts!$F$13,IF(('Loading-drum,tote'!$C$21)&lt;&gt;"No control",SUMIF(('Loading-drum,tote'!$B$31:$B$48),$J1669,('Loading-drum,tote'!$E$31:$E$48))*Impacts!$F$13,0)),0)</f>
        <v>0</v>
      </c>
      <c r="R1669" s="10">
        <f>IFERROR(IF(('Loading-truck'!$C$21)="No control",SUMIF(('Loading-truck'!$B$31:$B$48),$J1669,('Loading-truck'!$D$31:$D$48))*Impacts!$F$14,IF(('Loading-truck'!$C$21)&lt;&gt;"No control",SUMIF(('Loading-truck'!$B$31:$B$48),$J1669,('Loading-truck'!$E$31:$E$48))*Impacts!$F$14,0)),0)</f>
        <v>0</v>
      </c>
      <c r="S1669" s="10">
        <f>IFERROR(IF(('Loading-rail'!$C$21)="No control",SUMIF(('Loading-rail'!$B$31:$B$48),$J1669,('Loading-rail'!$D$31:$D$48))*Impacts!$F$15,IF(('Loading-rail'!$C$21)&lt;&gt;"No control",SUMIF(('Loading-rail'!$B$31:$B$48),$J1669,('Loading-rail'!$E$31:$E$48))*Impacts!$F$15,0)),0)</f>
        <v>0</v>
      </c>
      <c r="T1669" s="10">
        <f>IF(Flare!$C$7="",0,(SUMIF(Flare!$B$46:$B$185,$J1669,Flare!$E$46:$E$185)*Impacts!$F$16))</f>
        <v>0</v>
      </c>
      <c r="U1669" s="10">
        <f>IF(VCU!$C$9="",0,(SUMIF(VCU!$B$51:$B$193,$J1669,VCU!$E$51:$E$193)*Impacts!$F$17))</f>
        <v>0</v>
      </c>
      <c r="V1669" s="10">
        <f>IF(CAS!$C$7="",0,(SUMIF(CAS!$B$31:$B$167,$J1669,CAS!$E$31:$E$167)*Impacts!$F$18))</f>
        <v>0</v>
      </c>
      <c r="W1669" s="10">
        <f t="shared" si="66"/>
        <v>0</v>
      </c>
      <c r="AK1669" s="10" t="str">
        <f t="array" ref="AK1669">IFERROR(INDEX(SelectedSpecies,SMALL(IF(SelectedSpecies=AK$1,ROW(SelectedSpecies)),ROW(1670:1670)),2),"")</f>
        <v/>
      </c>
      <c r="BE1669" s="10"/>
      <c r="BI1669" s="10"/>
    </row>
    <row r="1670" spans="1:61" ht="21" customHeight="1" x14ac:dyDescent="0.25">
      <c r="A1670" s="10"/>
      <c r="B1670" s="10"/>
      <c r="E1670" s="10"/>
      <c r="G1670" s="10"/>
      <c r="I1670" s="436" t="s">
        <v>6390</v>
      </c>
      <c r="J1670" s="26" t="s">
        <v>10376</v>
      </c>
      <c r="K1670" s="10">
        <v>7.0999999999999994E-2</v>
      </c>
      <c r="L1670" s="73">
        <f>IF(Tank1!$C$23="No control",(SUMIF(Tank1!$B$32:$B$49,$J1670,Tank1!$C$32:$C$49)*Impacts!$F$8),0)</f>
        <v>0</v>
      </c>
      <c r="M1670" s="10">
        <f>IF(Tank2!$C$23="No control",(SUMIF(Tank2!$B$32:$B$49,$J1670,Tank2!$C$32:$C$49)*Impacts!$F$9),0)</f>
        <v>0</v>
      </c>
      <c r="N1670" s="10">
        <f>IF(Tank3!$C$23="No control",(SUMIF(Tank3!$B$32:$B$49,$J1670,Tank3!$C$32:$C$49)*Impacts!$F$10),0)</f>
        <v>0</v>
      </c>
      <c r="O1670" s="10">
        <f>IF(Tank4!$C$23="No control",(SUMIF(Tank4!$B$32:$B$49,$J1670,Tank4!$C$32:$C$49)*Impacts!$F$11),0)</f>
        <v>0</v>
      </c>
      <c r="P1670" s="10">
        <f>IF(Tank5!$C$23="No control",(SUMIF(Tank5!$B$32:$B$49,$J1670,Tank5!$C$32:$C$49)*Impacts!$F$12),0)</f>
        <v>0</v>
      </c>
      <c r="Q1670" s="10">
        <f>IFERROR(IF(('Loading-drum,tote'!$C$21)="No control",SUMIF(('Loading-drum,tote'!$B$31:$B$48),$J1670,('Loading-drum,tote'!$D$31:$D$48))*Impacts!$F$13,IF(('Loading-drum,tote'!$C$21)&lt;&gt;"No control",SUMIF(('Loading-drum,tote'!$B$31:$B$48),$J1670,('Loading-drum,tote'!$E$31:$E$48))*Impacts!$F$13,0)),0)</f>
        <v>0</v>
      </c>
      <c r="R1670" s="10">
        <f>IFERROR(IF(('Loading-truck'!$C$21)="No control",SUMIF(('Loading-truck'!$B$31:$B$48),$J1670,('Loading-truck'!$D$31:$D$48))*Impacts!$F$14,IF(('Loading-truck'!$C$21)&lt;&gt;"No control",SUMIF(('Loading-truck'!$B$31:$B$48),$J1670,('Loading-truck'!$E$31:$E$48))*Impacts!$F$14,0)),0)</f>
        <v>0</v>
      </c>
      <c r="S1670" s="10">
        <f>IFERROR(IF(('Loading-rail'!$C$21)="No control",SUMIF(('Loading-rail'!$B$31:$B$48),$J1670,('Loading-rail'!$D$31:$D$48))*Impacts!$F$15,IF(('Loading-rail'!$C$21)&lt;&gt;"No control",SUMIF(('Loading-rail'!$B$31:$B$48),$J1670,('Loading-rail'!$E$31:$E$48))*Impacts!$F$15,0)),0)</f>
        <v>0</v>
      </c>
      <c r="T1670" s="10">
        <f>IF(Flare!$C$7="",0,(SUMIF(Flare!$B$46:$B$185,$J1670,Flare!$E$46:$E$185)*Impacts!$F$16))</f>
        <v>0</v>
      </c>
      <c r="U1670" s="10">
        <f>IF(VCU!$C$9="",0,(SUMIF(VCU!$B$51:$B$193,$J1670,VCU!$E$51:$E$193)*Impacts!$F$17))</f>
        <v>0</v>
      </c>
      <c r="V1670" s="10">
        <f>IF(CAS!$C$7="",0,(SUMIF(CAS!$B$31:$B$167,$J1670,CAS!$E$31:$E$167)*Impacts!$F$18))</f>
        <v>0</v>
      </c>
      <c r="W1670" s="10">
        <f t="shared" si="66"/>
        <v>0</v>
      </c>
      <c r="AK1670" s="10" t="str">
        <f t="array" ref="AK1670">IFERROR(INDEX(SelectedSpecies,SMALL(IF(SelectedSpecies=AK$1,ROW(SelectedSpecies)),ROW(1671:1671)),2),"")</f>
        <v/>
      </c>
      <c r="BE1670" s="10"/>
      <c r="BI1670" s="10"/>
    </row>
    <row r="1671" spans="1:61" ht="21" customHeight="1" x14ac:dyDescent="0.25">
      <c r="A1671" s="10"/>
      <c r="B1671" s="10"/>
      <c r="E1671" s="10"/>
      <c r="G1671" s="10"/>
      <c r="I1671" s="436" t="s">
        <v>608</v>
      </c>
      <c r="J1671" s="26" t="s">
        <v>607</v>
      </c>
      <c r="K1671" s="10">
        <v>80</v>
      </c>
      <c r="L1671" s="73">
        <f>IF(Tank1!$C$23="No control",(SUMIF(Tank1!$B$32:$B$49,$J1671,Tank1!$C$32:$C$49)*Impacts!$F$8),0)</f>
        <v>0</v>
      </c>
      <c r="M1671" s="10">
        <f>IF(Tank2!$C$23="No control",(SUMIF(Tank2!$B$32:$B$49,$J1671,Tank2!$C$32:$C$49)*Impacts!$F$9),0)</f>
        <v>0</v>
      </c>
      <c r="N1671" s="10">
        <f>IF(Tank3!$C$23="No control",(SUMIF(Tank3!$B$32:$B$49,$J1671,Tank3!$C$32:$C$49)*Impacts!$F$10),0)</f>
        <v>0</v>
      </c>
      <c r="O1671" s="10">
        <f>IF(Tank4!$C$23="No control",(SUMIF(Tank4!$B$32:$B$49,$J1671,Tank4!$C$32:$C$49)*Impacts!$F$11),0)</f>
        <v>0</v>
      </c>
      <c r="P1671" s="10">
        <f>IF(Tank5!$C$23="No control",(SUMIF(Tank5!$B$32:$B$49,$J1671,Tank5!$C$32:$C$49)*Impacts!$F$12),0)</f>
        <v>0</v>
      </c>
      <c r="Q1671" s="10">
        <f>IFERROR(IF(('Loading-drum,tote'!$C$21)="No control",SUMIF(('Loading-drum,tote'!$B$31:$B$48),$J1671,('Loading-drum,tote'!$D$31:$D$48))*Impacts!$F$13,IF(('Loading-drum,tote'!$C$21)&lt;&gt;"No control",SUMIF(('Loading-drum,tote'!$B$31:$B$48),$J1671,('Loading-drum,tote'!$E$31:$E$48))*Impacts!$F$13,0)),0)</f>
        <v>0</v>
      </c>
      <c r="R1671" s="10">
        <f>IFERROR(IF(('Loading-truck'!$C$21)="No control",SUMIF(('Loading-truck'!$B$31:$B$48),$J1671,('Loading-truck'!$D$31:$D$48))*Impacts!$F$14,IF(('Loading-truck'!$C$21)&lt;&gt;"No control",SUMIF(('Loading-truck'!$B$31:$B$48),$J1671,('Loading-truck'!$E$31:$E$48))*Impacts!$F$14,0)),0)</f>
        <v>0</v>
      </c>
      <c r="S1671" s="10">
        <f>IFERROR(IF(('Loading-rail'!$C$21)="No control",SUMIF(('Loading-rail'!$B$31:$B$48),$J1671,('Loading-rail'!$D$31:$D$48))*Impacts!$F$15,IF(('Loading-rail'!$C$21)&lt;&gt;"No control",SUMIF(('Loading-rail'!$B$31:$B$48),$J1671,('Loading-rail'!$E$31:$E$48))*Impacts!$F$15,0)),0)</f>
        <v>0</v>
      </c>
      <c r="T1671" s="10">
        <f>IF(Flare!$C$7="",0,(SUMIF(Flare!$B$46:$B$185,$J1671,Flare!$E$46:$E$185)*Impacts!$F$16))</f>
        <v>0</v>
      </c>
      <c r="U1671" s="10">
        <f>IF(VCU!$C$9="",0,(SUMIF(VCU!$B$51:$B$193,$J1671,VCU!$E$51:$E$193)*Impacts!$F$17))</f>
        <v>0</v>
      </c>
      <c r="V1671" s="10">
        <f>IF(CAS!$C$7="",0,(SUMIF(CAS!$B$31:$B$167,$J1671,CAS!$E$31:$E$167)*Impacts!$F$18))</f>
        <v>0</v>
      </c>
      <c r="W1671" s="10">
        <f t="shared" si="66"/>
        <v>0</v>
      </c>
      <c r="AK1671" s="10" t="str">
        <f t="array" ref="AK1671">IFERROR(INDEX(SelectedSpecies,SMALL(IF(SelectedSpecies=AK$1,ROW(SelectedSpecies)),ROW(1672:1672)),2),"")</f>
        <v/>
      </c>
      <c r="BE1671" s="10"/>
      <c r="BI1671" s="10"/>
    </row>
    <row r="1672" spans="1:61" ht="21" customHeight="1" x14ac:dyDescent="0.25">
      <c r="A1672" s="10"/>
      <c r="B1672" s="10"/>
      <c r="E1672" s="10"/>
      <c r="G1672" s="10"/>
      <c r="I1672" s="436" t="s">
        <v>4335</v>
      </c>
      <c r="J1672" s="26" t="s">
        <v>4334</v>
      </c>
      <c r="K1672" s="10">
        <v>20</v>
      </c>
      <c r="L1672" s="73">
        <f>IF(Tank1!$C$23="No control",(SUMIF(Tank1!$B$32:$B$49,$J1672,Tank1!$C$32:$C$49)*Impacts!$F$8),0)</f>
        <v>0</v>
      </c>
      <c r="M1672" s="10">
        <f>IF(Tank2!$C$23="No control",(SUMIF(Tank2!$B$32:$B$49,$J1672,Tank2!$C$32:$C$49)*Impacts!$F$9),0)</f>
        <v>0</v>
      </c>
      <c r="N1672" s="10">
        <f>IF(Tank3!$C$23="No control",(SUMIF(Tank3!$B$32:$B$49,$J1672,Tank3!$C$32:$C$49)*Impacts!$F$10),0)</f>
        <v>0</v>
      </c>
      <c r="O1672" s="10">
        <f>IF(Tank4!$C$23="No control",(SUMIF(Tank4!$B$32:$B$49,$J1672,Tank4!$C$32:$C$49)*Impacts!$F$11),0)</f>
        <v>0</v>
      </c>
      <c r="P1672" s="10">
        <f>IF(Tank5!$C$23="No control",(SUMIF(Tank5!$B$32:$B$49,$J1672,Tank5!$C$32:$C$49)*Impacts!$F$12),0)</f>
        <v>0</v>
      </c>
      <c r="Q1672" s="10">
        <f>IFERROR(IF(('Loading-drum,tote'!$C$21)="No control",SUMIF(('Loading-drum,tote'!$B$31:$B$48),$J1672,('Loading-drum,tote'!$D$31:$D$48))*Impacts!$F$13,IF(('Loading-drum,tote'!$C$21)&lt;&gt;"No control",SUMIF(('Loading-drum,tote'!$B$31:$B$48),$J1672,('Loading-drum,tote'!$E$31:$E$48))*Impacts!$F$13,0)),0)</f>
        <v>0</v>
      </c>
      <c r="R1672" s="10">
        <f>IFERROR(IF(('Loading-truck'!$C$21)="No control",SUMIF(('Loading-truck'!$B$31:$B$48),$J1672,('Loading-truck'!$D$31:$D$48))*Impacts!$F$14,IF(('Loading-truck'!$C$21)&lt;&gt;"No control",SUMIF(('Loading-truck'!$B$31:$B$48),$J1672,('Loading-truck'!$E$31:$E$48))*Impacts!$F$14,0)),0)</f>
        <v>0</v>
      </c>
      <c r="S1672" s="10">
        <f>IFERROR(IF(('Loading-rail'!$C$21)="No control",SUMIF(('Loading-rail'!$B$31:$B$48),$J1672,('Loading-rail'!$D$31:$D$48))*Impacts!$F$15,IF(('Loading-rail'!$C$21)&lt;&gt;"No control",SUMIF(('Loading-rail'!$B$31:$B$48),$J1672,('Loading-rail'!$E$31:$E$48))*Impacts!$F$15,0)),0)</f>
        <v>0</v>
      </c>
      <c r="T1672" s="10">
        <f>IF(Flare!$C$7="",0,(SUMIF(Flare!$B$46:$B$185,$J1672,Flare!$E$46:$E$185)*Impacts!$F$16))</f>
        <v>0</v>
      </c>
      <c r="U1672" s="10">
        <f>IF(VCU!$C$9="",0,(SUMIF(VCU!$B$51:$B$193,$J1672,VCU!$E$51:$E$193)*Impacts!$F$17))</f>
        <v>0</v>
      </c>
      <c r="V1672" s="10">
        <f>IF(CAS!$C$7="",0,(SUMIF(CAS!$B$31:$B$167,$J1672,CAS!$E$31:$E$167)*Impacts!$F$18))</f>
        <v>0</v>
      </c>
      <c r="W1672" s="10">
        <f t="shared" si="66"/>
        <v>0</v>
      </c>
      <c r="AK1672" s="10" t="str">
        <f t="array" ref="AK1672">IFERROR(INDEX(SelectedSpecies,SMALL(IF(SelectedSpecies=AK$1,ROW(SelectedSpecies)),ROW(1673:1673)),2),"")</f>
        <v/>
      </c>
      <c r="BE1672" s="10"/>
      <c r="BI1672" s="10"/>
    </row>
    <row r="1673" spans="1:61" ht="21" customHeight="1" x14ac:dyDescent="0.25">
      <c r="A1673" s="10"/>
      <c r="B1673" s="10"/>
      <c r="E1673" s="10"/>
      <c r="G1673" s="10"/>
      <c r="I1673" s="436" t="s">
        <v>2857</v>
      </c>
      <c r="J1673" s="26" t="s">
        <v>2856</v>
      </c>
      <c r="K1673" s="10">
        <v>10</v>
      </c>
      <c r="L1673" s="73">
        <f>IF(Tank1!$C$23="No control",(SUMIF(Tank1!$B$32:$B$49,$J1673,Tank1!$C$32:$C$49)*Impacts!$F$8),0)</f>
        <v>0</v>
      </c>
      <c r="M1673" s="10">
        <f>IF(Tank2!$C$23="No control",(SUMIF(Tank2!$B$32:$B$49,$J1673,Tank2!$C$32:$C$49)*Impacts!$F$9),0)</f>
        <v>0</v>
      </c>
      <c r="N1673" s="10">
        <f>IF(Tank3!$C$23="No control",(SUMIF(Tank3!$B$32:$B$49,$J1673,Tank3!$C$32:$C$49)*Impacts!$F$10),0)</f>
        <v>0</v>
      </c>
      <c r="O1673" s="10">
        <f>IF(Tank4!$C$23="No control",(SUMIF(Tank4!$B$32:$B$49,$J1673,Tank4!$C$32:$C$49)*Impacts!$F$11),0)</f>
        <v>0</v>
      </c>
      <c r="P1673" s="10">
        <f>IF(Tank5!$C$23="No control",(SUMIF(Tank5!$B$32:$B$49,$J1673,Tank5!$C$32:$C$49)*Impacts!$F$12),0)</f>
        <v>0</v>
      </c>
      <c r="Q1673" s="10">
        <f>IFERROR(IF(('Loading-drum,tote'!$C$21)="No control",SUMIF(('Loading-drum,tote'!$B$31:$B$48),$J1673,('Loading-drum,tote'!$D$31:$D$48))*Impacts!$F$13,IF(('Loading-drum,tote'!$C$21)&lt;&gt;"No control",SUMIF(('Loading-drum,tote'!$B$31:$B$48),$J1673,('Loading-drum,tote'!$E$31:$E$48))*Impacts!$F$13,0)),0)</f>
        <v>0</v>
      </c>
      <c r="R1673" s="10">
        <f>IFERROR(IF(('Loading-truck'!$C$21)="No control",SUMIF(('Loading-truck'!$B$31:$B$48),$J1673,('Loading-truck'!$D$31:$D$48))*Impacts!$F$14,IF(('Loading-truck'!$C$21)&lt;&gt;"No control",SUMIF(('Loading-truck'!$B$31:$B$48),$J1673,('Loading-truck'!$E$31:$E$48))*Impacts!$F$14,0)),0)</f>
        <v>0</v>
      </c>
      <c r="S1673" s="10">
        <f>IFERROR(IF(('Loading-rail'!$C$21)="No control",SUMIF(('Loading-rail'!$B$31:$B$48),$J1673,('Loading-rail'!$D$31:$D$48))*Impacts!$F$15,IF(('Loading-rail'!$C$21)&lt;&gt;"No control",SUMIF(('Loading-rail'!$B$31:$B$48),$J1673,('Loading-rail'!$E$31:$E$48))*Impacts!$F$15,0)),0)</f>
        <v>0</v>
      </c>
      <c r="T1673" s="10">
        <f>IF(Flare!$C$7="",0,(SUMIF(Flare!$B$46:$B$185,$J1673,Flare!$E$46:$E$185)*Impacts!$F$16))</f>
        <v>0</v>
      </c>
      <c r="U1673" s="10">
        <f>IF(VCU!$C$9="",0,(SUMIF(VCU!$B$51:$B$193,$J1673,VCU!$E$51:$E$193)*Impacts!$F$17))</f>
        <v>0</v>
      </c>
      <c r="V1673" s="10">
        <f>IF(CAS!$C$7="",0,(SUMIF(CAS!$B$31:$B$167,$J1673,CAS!$E$31:$E$167)*Impacts!$F$18))</f>
        <v>0</v>
      </c>
      <c r="W1673" s="10">
        <f t="shared" si="66"/>
        <v>0</v>
      </c>
      <c r="AK1673" s="10" t="str">
        <f t="array" ref="AK1673">IFERROR(INDEX(SelectedSpecies,SMALL(IF(SelectedSpecies=AK$1,ROW(SelectedSpecies)),ROW(1674:1674)),2),"")</f>
        <v/>
      </c>
      <c r="BE1673" s="10"/>
      <c r="BI1673" s="10"/>
    </row>
    <row r="1674" spans="1:61" ht="21" customHeight="1" x14ac:dyDescent="0.25">
      <c r="A1674" s="10"/>
      <c r="B1674" s="10"/>
      <c r="E1674" s="10"/>
      <c r="G1674" s="10"/>
      <c r="I1674" s="436" t="s">
        <v>3563</v>
      </c>
      <c r="J1674" s="26" t="s">
        <v>3562</v>
      </c>
      <c r="K1674" s="10">
        <v>8.3000000000000007</v>
      </c>
      <c r="L1674" s="73">
        <f>IF(Tank1!$C$23="No control",(SUMIF(Tank1!$B$32:$B$49,$J1674,Tank1!$C$32:$C$49)*Impacts!$F$8),0)</f>
        <v>0</v>
      </c>
      <c r="M1674" s="10">
        <f>IF(Tank2!$C$23="No control",(SUMIF(Tank2!$B$32:$B$49,$J1674,Tank2!$C$32:$C$49)*Impacts!$F$9),0)</f>
        <v>0</v>
      </c>
      <c r="N1674" s="10">
        <f>IF(Tank3!$C$23="No control",(SUMIF(Tank3!$B$32:$B$49,$J1674,Tank3!$C$32:$C$49)*Impacts!$F$10),0)</f>
        <v>0</v>
      </c>
      <c r="O1674" s="10">
        <f>IF(Tank4!$C$23="No control",(SUMIF(Tank4!$B$32:$B$49,$J1674,Tank4!$C$32:$C$49)*Impacts!$F$11),0)</f>
        <v>0</v>
      </c>
      <c r="P1674" s="10">
        <f>IF(Tank5!$C$23="No control",(SUMIF(Tank5!$B$32:$B$49,$J1674,Tank5!$C$32:$C$49)*Impacts!$F$12),0)</f>
        <v>0</v>
      </c>
      <c r="Q1674" s="10">
        <f>IFERROR(IF(('Loading-drum,tote'!$C$21)="No control",SUMIF(('Loading-drum,tote'!$B$31:$B$48),$J1674,('Loading-drum,tote'!$D$31:$D$48))*Impacts!$F$13,IF(('Loading-drum,tote'!$C$21)&lt;&gt;"No control",SUMIF(('Loading-drum,tote'!$B$31:$B$48),$J1674,('Loading-drum,tote'!$E$31:$E$48))*Impacts!$F$13,0)),0)</f>
        <v>0</v>
      </c>
      <c r="R1674" s="10">
        <f>IFERROR(IF(('Loading-truck'!$C$21)="No control",SUMIF(('Loading-truck'!$B$31:$B$48),$J1674,('Loading-truck'!$D$31:$D$48))*Impacts!$F$14,IF(('Loading-truck'!$C$21)&lt;&gt;"No control",SUMIF(('Loading-truck'!$B$31:$B$48),$J1674,('Loading-truck'!$E$31:$E$48))*Impacts!$F$14,0)),0)</f>
        <v>0</v>
      </c>
      <c r="S1674" s="10">
        <f>IFERROR(IF(('Loading-rail'!$C$21)="No control",SUMIF(('Loading-rail'!$B$31:$B$48),$J1674,('Loading-rail'!$D$31:$D$48))*Impacts!$F$15,IF(('Loading-rail'!$C$21)&lt;&gt;"No control",SUMIF(('Loading-rail'!$B$31:$B$48),$J1674,('Loading-rail'!$E$31:$E$48))*Impacts!$F$15,0)),0)</f>
        <v>0</v>
      </c>
      <c r="T1674" s="10">
        <f>IF(Flare!$C$7="",0,(SUMIF(Flare!$B$46:$B$185,$J1674,Flare!$E$46:$E$185)*Impacts!$F$16))</f>
        <v>0</v>
      </c>
      <c r="U1674" s="10">
        <f>IF(VCU!$C$9="",0,(SUMIF(VCU!$B$51:$B$193,$J1674,VCU!$E$51:$E$193)*Impacts!$F$17))</f>
        <v>0</v>
      </c>
      <c r="V1674" s="10">
        <f>IF(CAS!$C$7="",0,(SUMIF(CAS!$B$31:$B$167,$J1674,CAS!$E$31:$E$167)*Impacts!$F$18))</f>
        <v>0</v>
      </c>
      <c r="W1674" s="10">
        <f t="shared" si="66"/>
        <v>0</v>
      </c>
      <c r="AK1674" s="10" t="str">
        <f t="array" ref="AK1674">IFERROR(INDEX(SelectedSpecies,SMALL(IF(SelectedSpecies=AK$1,ROW(SelectedSpecies)),ROW(1675:1675)),2),"")</f>
        <v/>
      </c>
      <c r="BE1674" s="10"/>
      <c r="BI1674" s="10"/>
    </row>
    <row r="1675" spans="1:61" ht="21" customHeight="1" x14ac:dyDescent="0.25">
      <c r="A1675" s="10"/>
      <c r="B1675" s="10"/>
      <c r="E1675" s="10"/>
      <c r="G1675" s="10"/>
      <c r="I1675" s="436" t="s">
        <v>4059</v>
      </c>
      <c r="J1675" s="26" t="s">
        <v>4058</v>
      </c>
      <c r="K1675" s="10">
        <v>9</v>
      </c>
      <c r="L1675" s="73">
        <f>IF(Tank1!$C$23="No control",(SUMIF(Tank1!$B$32:$B$49,$J1675,Tank1!$C$32:$C$49)*Impacts!$F$8),0)</f>
        <v>0</v>
      </c>
      <c r="M1675" s="10">
        <f>IF(Tank2!$C$23="No control",(SUMIF(Tank2!$B$32:$B$49,$J1675,Tank2!$C$32:$C$49)*Impacts!$F$9),0)</f>
        <v>0</v>
      </c>
      <c r="N1675" s="10">
        <f>IF(Tank3!$C$23="No control",(SUMIF(Tank3!$B$32:$B$49,$J1675,Tank3!$C$32:$C$49)*Impacts!$F$10),0)</f>
        <v>0</v>
      </c>
      <c r="O1675" s="10">
        <f>IF(Tank4!$C$23="No control",(SUMIF(Tank4!$B$32:$B$49,$J1675,Tank4!$C$32:$C$49)*Impacts!$F$11),0)</f>
        <v>0</v>
      </c>
      <c r="P1675" s="10">
        <f>IF(Tank5!$C$23="No control",(SUMIF(Tank5!$B$32:$B$49,$J1675,Tank5!$C$32:$C$49)*Impacts!$F$12),0)</f>
        <v>0</v>
      </c>
      <c r="Q1675" s="10">
        <f>IFERROR(IF(('Loading-drum,tote'!$C$21)="No control",SUMIF(('Loading-drum,tote'!$B$31:$B$48),$J1675,('Loading-drum,tote'!$D$31:$D$48))*Impacts!$F$13,IF(('Loading-drum,tote'!$C$21)&lt;&gt;"No control",SUMIF(('Loading-drum,tote'!$B$31:$B$48),$J1675,('Loading-drum,tote'!$E$31:$E$48))*Impacts!$F$13,0)),0)</f>
        <v>0</v>
      </c>
      <c r="R1675" s="10">
        <f>IFERROR(IF(('Loading-truck'!$C$21)="No control",SUMIF(('Loading-truck'!$B$31:$B$48),$J1675,('Loading-truck'!$D$31:$D$48))*Impacts!$F$14,IF(('Loading-truck'!$C$21)&lt;&gt;"No control",SUMIF(('Loading-truck'!$B$31:$B$48),$J1675,('Loading-truck'!$E$31:$E$48))*Impacts!$F$14,0)),0)</f>
        <v>0</v>
      </c>
      <c r="S1675" s="10">
        <f>IFERROR(IF(('Loading-rail'!$C$21)="No control",SUMIF(('Loading-rail'!$B$31:$B$48),$J1675,('Loading-rail'!$D$31:$D$48))*Impacts!$F$15,IF(('Loading-rail'!$C$21)&lt;&gt;"No control",SUMIF(('Loading-rail'!$B$31:$B$48),$J1675,('Loading-rail'!$E$31:$E$48))*Impacts!$F$15,0)),0)</f>
        <v>0</v>
      </c>
      <c r="T1675" s="10">
        <f>IF(Flare!$C$7="",0,(SUMIF(Flare!$B$46:$B$185,$J1675,Flare!$E$46:$E$185)*Impacts!$F$16))</f>
        <v>0</v>
      </c>
      <c r="U1675" s="10">
        <f>IF(VCU!$C$9="",0,(SUMIF(VCU!$B$51:$B$193,$J1675,VCU!$E$51:$E$193)*Impacts!$F$17))</f>
        <v>0</v>
      </c>
      <c r="V1675" s="10">
        <f>IF(CAS!$C$7="",0,(SUMIF(CAS!$B$31:$B$167,$J1675,CAS!$E$31:$E$167)*Impacts!$F$18))</f>
        <v>0</v>
      </c>
      <c r="W1675" s="10">
        <f t="shared" si="66"/>
        <v>0</v>
      </c>
      <c r="AK1675" s="10" t="str">
        <f t="array" ref="AK1675">IFERROR(INDEX(SelectedSpecies,SMALL(IF(SelectedSpecies=AK$1,ROW(SelectedSpecies)),ROW(1676:1676)),2),"")</f>
        <v/>
      </c>
      <c r="BE1675" s="10"/>
      <c r="BI1675" s="10"/>
    </row>
    <row r="1676" spans="1:61" ht="21" customHeight="1" x14ac:dyDescent="0.25">
      <c r="A1676" s="10"/>
      <c r="B1676" s="10"/>
      <c r="E1676" s="10"/>
      <c r="G1676" s="10"/>
      <c r="I1676" s="436" t="s">
        <v>5882</v>
      </c>
      <c r="J1676" s="26" t="s">
        <v>5881</v>
      </c>
      <c r="K1676" s="10">
        <v>1</v>
      </c>
      <c r="L1676" s="73">
        <f>IF(Tank1!$C$23="No control",(SUMIF(Tank1!$B$32:$B$49,$J1676,Tank1!$C$32:$C$49)*Impacts!$F$8),0)</f>
        <v>0</v>
      </c>
      <c r="M1676" s="10">
        <f>IF(Tank2!$C$23="No control",(SUMIF(Tank2!$B$32:$B$49,$J1676,Tank2!$C$32:$C$49)*Impacts!$F$9),0)</f>
        <v>0</v>
      </c>
      <c r="N1676" s="10">
        <f>IF(Tank3!$C$23="No control",(SUMIF(Tank3!$B$32:$B$49,$J1676,Tank3!$C$32:$C$49)*Impacts!$F$10),0)</f>
        <v>0</v>
      </c>
      <c r="O1676" s="10">
        <f>IF(Tank4!$C$23="No control",(SUMIF(Tank4!$B$32:$B$49,$J1676,Tank4!$C$32:$C$49)*Impacts!$F$11),0)</f>
        <v>0</v>
      </c>
      <c r="P1676" s="10">
        <f>IF(Tank5!$C$23="No control",(SUMIF(Tank5!$B$32:$B$49,$J1676,Tank5!$C$32:$C$49)*Impacts!$F$12),0)</f>
        <v>0</v>
      </c>
      <c r="Q1676" s="10">
        <f>IFERROR(IF(('Loading-drum,tote'!$C$21)="No control",SUMIF(('Loading-drum,tote'!$B$31:$B$48),$J1676,('Loading-drum,tote'!$D$31:$D$48))*Impacts!$F$13,IF(('Loading-drum,tote'!$C$21)&lt;&gt;"No control",SUMIF(('Loading-drum,tote'!$B$31:$B$48),$J1676,('Loading-drum,tote'!$E$31:$E$48))*Impacts!$F$13,0)),0)</f>
        <v>0</v>
      </c>
      <c r="R1676" s="10">
        <f>IFERROR(IF(('Loading-truck'!$C$21)="No control",SUMIF(('Loading-truck'!$B$31:$B$48),$J1676,('Loading-truck'!$D$31:$D$48))*Impacts!$F$14,IF(('Loading-truck'!$C$21)&lt;&gt;"No control",SUMIF(('Loading-truck'!$B$31:$B$48),$J1676,('Loading-truck'!$E$31:$E$48))*Impacts!$F$14,0)),0)</f>
        <v>0</v>
      </c>
      <c r="S1676" s="10">
        <f>IFERROR(IF(('Loading-rail'!$C$21)="No control",SUMIF(('Loading-rail'!$B$31:$B$48),$J1676,('Loading-rail'!$D$31:$D$48))*Impacts!$F$15,IF(('Loading-rail'!$C$21)&lt;&gt;"No control",SUMIF(('Loading-rail'!$B$31:$B$48),$J1676,('Loading-rail'!$E$31:$E$48))*Impacts!$F$15,0)),0)</f>
        <v>0</v>
      </c>
      <c r="T1676" s="10">
        <f>IF(Flare!$C$7="",0,(SUMIF(Flare!$B$46:$B$185,$J1676,Flare!$E$46:$E$185)*Impacts!$F$16))</f>
        <v>0</v>
      </c>
      <c r="U1676" s="10">
        <f>IF(VCU!$C$9="",0,(SUMIF(VCU!$B$51:$B$193,$J1676,VCU!$E$51:$E$193)*Impacts!$F$17))</f>
        <v>0</v>
      </c>
      <c r="V1676" s="10">
        <f>IF(CAS!$C$7="",0,(SUMIF(CAS!$B$31:$B$167,$J1676,CAS!$E$31:$E$167)*Impacts!$F$18))</f>
        <v>0</v>
      </c>
      <c r="W1676" s="10">
        <f t="shared" si="66"/>
        <v>0</v>
      </c>
      <c r="AK1676" s="10" t="str">
        <f t="array" ref="AK1676">IFERROR(INDEX(SelectedSpecies,SMALL(IF(SelectedSpecies=AK$1,ROW(SelectedSpecies)),ROW(1677:1677)),2),"")</f>
        <v/>
      </c>
      <c r="BE1676" s="10"/>
      <c r="BI1676" s="10"/>
    </row>
    <row r="1677" spans="1:61" ht="21" customHeight="1" x14ac:dyDescent="0.25">
      <c r="A1677" s="10"/>
      <c r="B1677" s="10"/>
      <c r="E1677" s="10"/>
      <c r="G1677" s="10"/>
      <c r="I1677" s="436" t="s">
        <v>5884</v>
      </c>
      <c r="J1677" s="26" t="s">
        <v>5883</v>
      </c>
      <c r="K1677" s="10">
        <v>1</v>
      </c>
      <c r="L1677" s="73">
        <f>IF(Tank1!$C$23="No control",(SUMIF(Tank1!$B$32:$B$49,$J1677,Tank1!$C$32:$C$49)*Impacts!$F$8),0)</f>
        <v>0</v>
      </c>
      <c r="M1677" s="10">
        <f>IF(Tank2!$C$23="No control",(SUMIF(Tank2!$B$32:$B$49,$J1677,Tank2!$C$32:$C$49)*Impacts!$F$9),0)</f>
        <v>0</v>
      </c>
      <c r="N1677" s="10">
        <f>IF(Tank3!$C$23="No control",(SUMIF(Tank3!$B$32:$B$49,$J1677,Tank3!$C$32:$C$49)*Impacts!$F$10),0)</f>
        <v>0</v>
      </c>
      <c r="O1677" s="10">
        <f>IF(Tank4!$C$23="No control",(SUMIF(Tank4!$B$32:$B$49,$J1677,Tank4!$C$32:$C$49)*Impacts!$F$11),0)</f>
        <v>0</v>
      </c>
      <c r="P1677" s="10">
        <f>IF(Tank5!$C$23="No control",(SUMIF(Tank5!$B$32:$B$49,$J1677,Tank5!$C$32:$C$49)*Impacts!$F$12),0)</f>
        <v>0</v>
      </c>
      <c r="Q1677" s="10">
        <f>IFERROR(IF(('Loading-drum,tote'!$C$21)="No control",SUMIF(('Loading-drum,tote'!$B$31:$B$48),$J1677,('Loading-drum,tote'!$D$31:$D$48))*Impacts!$F$13,IF(('Loading-drum,tote'!$C$21)&lt;&gt;"No control",SUMIF(('Loading-drum,tote'!$B$31:$B$48),$J1677,('Loading-drum,tote'!$E$31:$E$48))*Impacts!$F$13,0)),0)</f>
        <v>0</v>
      </c>
      <c r="R1677" s="10">
        <f>IFERROR(IF(('Loading-truck'!$C$21)="No control",SUMIF(('Loading-truck'!$B$31:$B$48),$J1677,('Loading-truck'!$D$31:$D$48))*Impacts!$F$14,IF(('Loading-truck'!$C$21)&lt;&gt;"No control",SUMIF(('Loading-truck'!$B$31:$B$48),$J1677,('Loading-truck'!$E$31:$E$48))*Impacts!$F$14,0)),0)</f>
        <v>0</v>
      </c>
      <c r="S1677" s="10">
        <f>IFERROR(IF(('Loading-rail'!$C$21)="No control",SUMIF(('Loading-rail'!$B$31:$B$48),$J1677,('Loading-rail'!$D$31:$D$48))*Impacts!$F$15,IF(('Loading-rail'!$C$21)&lt;&gt;"No control",SUMIF(('Loading-rail'!$B$31:$B$48),$J1677,('Loading-rail'!$E$31:$E$48))*Impacts!$F$15,0)),0)</f>
        <v>0</v>
      </c>
      <c r="T1677" s="10">
        <f>IF(Flare!$C$7="",0,(SUMIF(Flare!$B$46:$B$185,$J1677,Flare!$E$46:$E$185)*Impacts!$F$16))</f>
        <v>0</v>
      </c>
      <c r="U1677" s="10">
        <f>IF(VCU!$C$9="",0,(SUMIF(VCU!$B$51:$B$193,$J1677,VCU!$E$51:$E$193)*Impacts!$F$17))</f>
        <v>0</v>
      </c>
      <c r="V1677" s="10">
        <f>IF(CAS!$C$7="",0,(SUMIF(CAS!$B$31:$B$167,$J1677,CAS!$E$31:$E$167)*Impacts!$F$18))</f>
        <v>0</v>
      </c>
      <c r="W1677" s="10">
        <f t="shared" si="66"/>
        <v>0</v>
      </c>
      <c r="AK1677" s="10" t="str">
        <f t="array" ref="AK1677">IFERROR(INDEX(SelectedSpecies,SMALL(IF(SelectedSpecies=AK$1,ROW(SelectedSpecies)),ROW(1678:1678)),2),"")</f>
        <v/>
      </c>
      <c r="BE1677" s="10"/>
      <c r="BI1677" s="10"/>
    </row>
    <row r="1678" spans="1:61" ht="21" customHeight="1" x14ac:dyDescent="0.25">
      <c r="A1678" s="10"/>
      <c r="B1678" s="10"/>
      <c r="E1678" s="10"/>
      <c r="G1678" s="10"/>
      <c r="I1678" s="436" t="s">
        <v>7730</v>
      </c>
      <c r="J1678" s="26" t="s">
        <v>7729</v>
      </c>
      <c r="K1678" s="10">
        <v>0.1</v>
      </c>
      <c r="L1678" s="73">
        <f>IF(Tank1!$C$23="No control",(SUMIF(Tank1!$B$32:$B$49,$J1678,Tank1!$C$32:$C$49)*Impacts!$F$8),0)</f>
        <v>0</v>
      </c>
      <c r="M1678" s="10">
        <f>IF(Tank2!$C$23="No control",(SUMIF(Tank2!$B$32:$B$49,$J1678,Tank2!$C$32:$C$49)*Impacts!$F$9),0)</f>
        <v>0</v>
      </c>
      <c r="N1678" s="10">
        <f>IF(Tank3!$C$23="No control",(SUMIF(Tank3!$B$32:$B$49,$J1678,Tank3!$C$32:$C$49)*Impacts!$F$10),0)</f>
        <v>0</v>
      </c>
      <c r="O1678" s="10">
        <f>IF(Tank4!$C$23="No control",(SUMIF(Tank4!$B$32:$B$49,$J1678,Tank4!$C$32:$C$49)*Impacts!$F$11),0)</f>
        <v>0</v>
      </c>
      <c r="P1678" s="10">
        <f>IF(Tank5!$C$23="No control",(SUMIF(Tank5!$B$32:$B$49,$J1678,Tank5!$C$32:$C$49)*Impacts!$F$12),0)</f>
        <v>0</v>
      </c>
      <c r="Q1678" s="10">
        <f>IFERROR(IF(('Loading-drum,tote'!$C$21)="No control",SUMIF(('Loading-drum,tote'!$B$31:$B$48),$J1678,('Loading-drum,tote'!$D$31:$D$48))*Impacts!$F$13,IF(('Loading-drum,tote'!$C$21)&lt;&gt;"No control",SUMIF(('Loading-drum,tote'!$B$31:$B$48),$J1678,('Loading-drum,tote'!$E$31:$E$48))*Impacts!$F$13,0)),0)</f>
        <v>0</v>
      </c>
      <c r="R1678" s="10">
        <f>IFERROR(IF(('Loading-truck'!$C$21)="No control",SUMIF(('Loading-truck'!$B$31:$B$48),$J1678,('Loading-truck'!$D$31:$D$48))*Impacts!$F$14,IF(('Loading-truck'!$C$21)&lt;&gt;"No control",SUMIF(('Loading-truck'!$B$31:$B$48),$J1678,('Loading-truck'!$E$31:$E$48))*Impacts!$F$14,0)),0)</f>
        <v>0</v>
      </c>
      <c r="S1678" s="10">
        <f>IFERROR(IF(('Loading-rail'!$C$21)="No control",SUMIF(('Loading-rail'!$B$31:$B$48),$J1678,('Loading-rail'!$D$31:$D$48))*Impacts!$F$15,IF(('Loading-rail'!$C$21)&lt;&gt;"No control",SUMIF(('Loading-rail'!$B$31:$B$48),$J1678,('Loading-rail'!$E$31:$E$48))*Impacts!$F$15,0)),0)</f>
        <v>0</v>
      </c>
      <c r="T1678" s="10">
        <f>IF(Flare!$C$7="",0,(SUMIF(Flare!$B$46:$B$185,$J1678,Flare!$E$46:$E$185)*Impacts!$F$16))</f>
        <v>0</v>
      </c>
      <c r="U1678" s="10">
        <f>IF(VCU!$C$9="",0,(SUMIF(VCU!$B$51:$B$193,$J1678,VCU!$E$51:$E$193)*Impacts!$F$17))</f>
        <v>0</v>
      </c>
      <c r="V1678" s="10">
        <f>IF(CAS!$C$7="",0,(SUMIF(CAS!$B$31:$B$167,$J1678,CAS!$E$31:$E$167)*Impacts!$F$18))</f>
        <v>0</v>
      </c>
      <c r="W1678" s="10">
        <f t="shared" si="66"/>
        <v>0</v>
      </c>
      <c r="AK1678" s="10" t="str">
        <f t="array" ref="AK1678">IFERROR(INDEX(SelectedSpecies,SMALL(IF(SelectedSpecies=AK$1,ROW(SelectedSpecies)),ROW(1679:1679)),2),"")</f>
        <v/>
      </c>
      <c r="BE1678" s="10"/>
      <c r="BI1678" s="10"/>
    </row>
    <row r="1679" spans="1:61" ht="21" customHeight="1" x14ac:dyDescent="0.25">
      <c r="A1679" s="10"/>
      <c r="B1679" s="10"/>
      <c r="E1679" s="10"/>
      <c r="G1679" s="10"/>
      <c r="I1679" s="436" t="s">
        <v>5886</v>
      </c>
      <c r="J1679" s="26" t="s">
        <v>5885</v>
      </c>
      <c r="K1679" s="10">
        <v>1</v>
      </c>
      <c r="L1679" s="73">
        <f>IF(Tank1!$C$23="No control",(SUMIF(Tank1!$B$32:$B$49,$J1679,Tank1!$C$32:$C$49)*Impacts!$F$8),0)</f>
        <v>0</v>
      </c>
      <c r="M1679" s="10">
        <f>IF(Tank2!$C$23="No control",(SUMIF(Tank2!$B$32:$B$49,$J1679,Tank2!$C$32:$C$49)*Impacts!$F$9),0)</f>
        <v>0</v>
      </c>
      <c r="N1679" s="10">
        <f>IF(Tank3!$C$23="No control",(SUMIF(Tank3!$B$32:$B$49,$J1679,Tank3!$C$32:$C$49)*Impacts!$F$10),0)</f>
        <v>0</v>
      </c>
      <c r="O1679" s="10">
        <f>IF(Tank4!$C$23="No control",(SUMIF(Tank4!$B$32:$B$49,$J1679,Tank4!$C$32:$C$49)*Impacts!$F$11),0)</f>
        <v>0</v>
      </c>
      <c r="P1679" s="10">
        <f>IF(Tank5!$C$23="No control",(SUMIF(Tank5!$B$32:$B$49,$J1679,Tank5!$C$32:$C$49)*Impacts!$F$12),0)</f>
        <v>0</v>
      </c>
      <c r="Q1679" s="10">
        <f>IFERROR(IF(('Loading-drum,tote'!$C$21)="No control",SUMIF(('Loading-drum,tote'!$B$31:$B$48),$J1679,('Loading-drum,tote'!$D$31:$D$48))*Impacts!$F$13,IF(('Loading-drum,tote'!$C$21)&lt;&gt;"No control",SUMIF(('Loading-drum,tote'!$B$31:$B$48),$J1679,('Loading-drum,tote'!$E$31:$E$48))*Impacts!$F$13,0)),0)</f>
        <v>0</v>
      </c>
      <c r="R1679" s="10">
        <f>IFERROR(IF(('Loading-truck'!$C$21)="No control",SUMIF(('Loading-truck'!$B$31:$B$48),$J1679,('Loading-truck'!$D$31:$D$48))*Impacts!$F$14,IF(('Loading-truck'!$C$21)&lt;&gt;"No control",SUMIF(('Loading-truck'!$B$31:$B$48),$J1679,('Loading-truck'!$E$31:$E$48))*Impacts!$F$14,0)),0)</f>
        <v>0</v>
      </c>
      <c r="S1679" s="10">
        <f>IFERROR(IF(('Loading-rail'!$C$21)="No control",SUMIF(('Loading-rail'!$B$31:$B$48),$J1679,('Loading-rail'!$D$31:$D$48))*Impacts!$F$15,IF(('Loading-rail'!$C$21)&lt;&gt;"No control",SUMIF(('Loading-rail'!$B$31:$B$48),$J1679,('Loading-rail'!$E$31:$E$48))*Impacts!$F$15,0)),0)</f>
        <v>0</v>
      </c>
      <c r="T1679" s="10">
        <f>IF(Flare!$C$7="",0,(SUMIF(Flare!$B$46:$B$185,$J1679,Flare!$E$46:$E$185)*Impacts!$F$16))</f>
        <v>0</v>
      </c>
      <c r="U1679" s="10">
        <f>IF(VCU!$C$9="",0,(SUMIF(VCU!$B$51:$B$193,$J1679,VCU!$E$51:$E$193)*Impacts!$F$17))</f>
        <v>0</v>
      </c>
      <c r="V1679" s="10">
        <f>IF(CAS!$C$7="",0,(SUMIF(CAS!$B$31:$B$167,$J1679,CAS!$E$31:$E$167)*Impacts!$F$18))</f>
        <v>0</v>
      </c>
      <c r="W1679" s="10">
        <f t="shared" si="66"/>
        <v>0</v>
      </c>
      <c r="AK1679" s="10" t="str">
        <f t="array" ref="AK1679">IFERROR(INDEX(SelectedSpecies,SMALL(IF(SelectedSpecies=AK$1,ROW(SelectedSpecies)),ROW(1680:1680)),2),"")</f>
        <v/>
      </c>
      <c r="BE1679" s="10"/>
      <c r="BI1679" s="10"/>
    </row>
    <row r="1680" spans="1:61" ht="21" customHeight="1" x14ac:dyDescent="0.25">
      <c r="A1680" s="10"/>
      <c r="B1680" s="10"/>
      <c r="E1680" s="10"/>
      <c r="G1680" s="10"/>
      <c r="I1680" s="436" t="s">
        <v>2859</v>
      </c>
      <c r="J1680" s="26" t="s">
        <v>2858</v>
      </c>
      <c r="K1680" s="10">
        <v>10</v>
      </c>
      <c r="L1680" s="73">
        <f>IF(Tank1!$C$23="No control",(SUMIF(Tank1!$B$32:$B$49,$J1680,Tank1!$C$32:$C$49)*Impacts!$F$8),0)</f>
        <v>0</v>
      </c>
      <c r="M1680" s="10">
        <f>IF(Tank2!$C$23="No control",(SUMIF(Tank2!$B$32:$B$49,$J1680,Tank2!$C$32:$C$49)*Impacts!$F$9),0)</f>
        <v>0</v>
      </c>
      <c r="N1680" s="10">
        <f>IF(Tank3!$C$23="No control",(SUMIF(Tank3!$B$32:$B$49,$J1680,Tank3!$C$32:$C$49)*Impacts!$F$10),0)</f>
        <v>0</v>
      </c>
      <c r="O1680" s="10">
        <f>IF(Tank4!$C$23="No control",(SUMIF(Tank4!$B$32:$B$49,$J1680,Tank4!$C$32:$C$49)*Impacts!$F$11),0)</f>
        <v>0</v>
      </c>
      <c r="P1680" s="10">
        <f>IF(Tank5!$C$23="No control",(SUMIF(Tank5!$B$32:$B$49,$J1680,Tank5!$C$32:$C$49)*Impacts!$F$12),0)</f>
        <v>0</v>
      </c>
      <c r="Q1680" s="10">
        <f>IFERROR(IF(('Loading-drum,tote'!$C$21)="No control",SUMIF(('Loading-drum,tote'!$B$31:$B$48),$J1680,('Loading-drum,tote'!$D$31:$D$48))*Impacts!$F$13,IF(('Loading-drum,tote'!$C$21)&lt;&gt;"No control",SUMIF(('Loading-drum,tote'!$B$31:$B$48),$J1680,('Loading-drum,tote'!$E$31:$E$48))*Impacts!$F$13,0)),0)</f>
        <v>0</v>
      </c>
      <c r="R1680" s="10">
        <f>IFERROR(IF(('Loading-truck'!$C$21)="No control",SUMIF(('Loading-truck'!$B$31:$B$48),$J1680,('Loading-truck'!$D$31:$D$48))*Impacts!$F$14,IF(('Loading-truck'!$C$21)&lt;&gt;"No control",SUMIF(('Loading-truck'!$B$31:$B$48),$J1680,('Loading-truck'!$E$31:$E$48))*Impacts!$F$14,0)),0)</f>
        <v>0</v>
      </c>
      <c r="S1680" s="10">
        <f>IFERROR(IF(('Loading-rail'!$C$21)="No control",SUMIF(('Loading-rail'!$B$31:$B$48),$J1680,('Loading-rail'!$D$31:$D$48))*Impacts!$F$15,IF(('Loading-rail'!$C$21)&lt;&gt;"No control",SUMIF(('Loading-rail'!$B$31:$B$48),$J1680,('Loading-rail'!$E$31:$E$48))*Impacts!$F$15,0)),0)</f>
        <v>0</v>
      </c>
      <c r="T1680" s="10">
        <f>IF(Flare!$C$7="",0,(SUMIF(Flare!$B$46:$B$185,$J1680,Flare!$E$46:$E$185)*Impacts!$F$16))</f>
        <v>0</v>
      </c>
      <c r="U1680" s="10">
        <f>IF(VCU!$C$9="",0,(SUMIF(VCU!$B$51:$B$193,$J1680,VCU!$E$51:$E$193)*Impacts!$F$17))</f>
        <v>0</v>
      </c>
      <c r="V1680" s="10">
        <f>IF(CAS!$C$7="",0,(SUMIF(CAS!$B$31:$B$167,$J1680,CAS!$E$31:$E$167)*Impacts!$F$18))</f>
        <v>0</v>
      </c>
      <c r="W1680" s="10">
        <f t="shared" si="66"/>
        <v>0</v>
      </c>
      <c r="AK1680" s="10" t="str">
        <f t="array" ref="AK1680">IFERROR(INDEX(SelectedSpecies,SMALL(IF(SelectedSpecies=AK$1,ROW(SelectedSpecies)),ROW(1681:1681)),2),"")</f>
        <v/>
      </c>
      <c r="BE1680" s="10"/>
      <c r="BI1680" s="10"/>
    </row>
    <row r="1681" spans="1:61" ht="21" customHeight="1" x14ac:dyDescent="0.25">
      <c r="A1681" s="10"/>
      <c r="B1681" s="10"/>
      <c r="E1681" s="10"/>
      <c r="G1681" s="10"/>
      <c r="I1681" s="436" t="s">
        <v>4109</v>
      </c>
      <c r="J1681" s="26" t="s">
        <v>4108</v>
      </c>
      <c r="K1681" s="10">
        <v>5.4</v>
      </c>
      <c r="L1681" s="73">
        <f>IF(Tank1!$C$23="No control",(SUMIF(Tank1!$B$32:$B$49,$J1681,Tank1!$C$32:$C$49)*Impacts!$F$8),0)</f>
        <v>0</v>
      </c>
      <c r="M1681" s="10">
        <f>IF(Tank2!$C$23="No control",(SUMIF(Tank2!$B$32:$B$49,$J1681,Tank2!$C$32:$C$49)*Impacts!$F$9),0)</f>
        <v>0</v>
      </c>
      <c r="N1681" s="10">
        <f>IF(Tank3!$C$23="No control",(SUMIF(Tank3!$B$32:$B$49,$J1681,Tank3!$C$32:$C$49)*Impacts!$F$10),0)</f>
        <v>0</v>
      </c>
      <c r="O1681" s="10">
        <f>IF(Tank4!$C$23="No control",(SUMIF(Tank4!$B$32:$B$49,$J1681,Tank4!$C$32:$C$49)*Impacts!$F$11),0)</f>
        <v>0</v>
      </c>
      <c r="P1681" s="10">
        <f>IF(Tank5!$C$23="No control",(SUMIF(Tank5!$B$32:$B$49,$J1681,Tank5!$C$32:$C$49)*Impacts!$F$12),0)</f>
        <v>0</v>
      </c>
      <c r="Q1681" s="10">
        <f>IFERROR(IF(('Loading-drum,tote'!$C$21)="No control",SUMIF(('Loading-drum,tote'!$B$31:$B$48),$J1681,('Loading-drum,tote'!$D$31:$D$48))*Impacts!$F$13,IF(('Loading-drum,tote'!$C$21)&lt;&gt;"No control",SUMIF(('Loading-drum,tote'!$B$31:$B$48),$J1681,('Loading-drum,tote'!$E$31:$E$48))*Impacts!$F$13,0)),0)</f>
        <v>0</v>
      </c>
      <c r="R1681" s="10">
        <f>IFERROR(IF(('Loading-truck'!$C$21)="No control",SUMIF(('Loading-truck'!$B$31:$B$48),$J1681,('Loading-truck'!$D$31:$D$48))*Impacts!$F$14,IF(('Loading-truck'!$C$21)&lt;&gt;"No control",SUMIF(('Loading-truck'!$B$31:$B$48),$J1681,('Loading-truck'!$E$31:$E$48))*Impacts!$F$14,0)),0)</f>
        <v>0</v>
      </c>
      <c r="S1681" s="10">
        <f>IFERROR(IF(('Loading-rail'!$C$21)="No control",SUMIF(('Loading-rail'!$B$31:$B$48),$J1681,('Loading-rail'!$D$31:$D$48))*Impacts!$F$15,IF(('Loading-rail'!$C$21)&lt;&gt;"No control",SUMIF(('Loading-rail'!$B$31:$B$48),$J1681,('Loading-rail'!$E$31:$E$48))*Impacts!$F$15,0)),0)</f>
        <v>0</v>
      </c>
      <c r="T1681" s="10">
        <f>IF(Flare!$C$7="",0,(SUMIF(Flare!$B$46:$B$185,$J1681,Flare!$E$46:$E$185)*Impacts!$F$16))</f>
        <v>0</v>
      </c>
      <c r="U1681" s="10">
        <f>IF(VCU!$C$9="",0,(SUMIF(VCU!$B$51:$B$193,$J1681,VCU!$E$51:$E$193)*Impacts!$F$17))</f>
        <v>0</v>
      </c>
      <c r="V1681" s="10">
        <f>IF(CAS!$C$7="",0,(SUMIF(CAS!$B$31:$B$167,$J1681,CAS!$E$31:$E$167)*Impacts!$F$18))</f>
        <v>0</v>
      </c>
      <c r="W1681" s="10">
        <f t="shared" si="66"/>
        <v>0</v>
      </c>
      <c r="AK1681" s="10" t="str">
        <f t="array" ref="AK1681">IFERROR(INDEX(SelectedSpecies,SMALL(IF(SelectedSpecies=AK$1,ROW(SelectedSpecies)),ROW(1682:1682)),2),"")</f>
        <v/>
      </c>
      <c r="BE1681" s="10"/>
      <c r="BI1681" s="10"/>
    </row>
    <row r="1682" spans="1:61" ht="21" customHeight="1" x14ac:dyDescent="0.25">
      <c r="A1682" s="10"/>
      <c r="B1682" s="10"/>
      <c r="E1682" s="10"/>
      <c r="G1682" s="10"/>
      <c r="I1682" s="436" t="s">
        <v>7174</v>
      </c>
      <c r="J1682" s="26" t="s">
        <v>7173</v>
      </c>
      <c r="K1682" s="10">
        <v>0.33</v>
      </c>
      <c r="L1682" s="73">
        <f>IF(Tank1!$C$23="No control",(SUMIF(Tank1!$B$32:$B$49,$J1682,Tank1!$C$32:$C$49)*Impacts!$F$8),0)</f>
        <v>0</v>
      </c>
      <c r="M1682" s="10">
        <f>IF(Tank2!$C$23="No control",(SUMIF(Tank2!$B$32:$B$49,$J1682,Tank2!$C$32:$C$49)*Impacts!$F$9),0)</f>
        <v>0</v>
      </c>
      <c r="N1682" s="10">
        <f>IF(Tank3!$C$23="No control",(SUMIF(Tank3!$B$32:$B$49,$J1682,Tank3!$C$32:$C$49)*Impacts!$F$10),0)</f>
        <v>0</v>
      </c>
      <c r="O1682" s="10">
        <f>IF(Tank4!$C$23="No control",(SUMIF(Tank4!$B$32:$B$49,$J1682,Tank4!$C$32:$C$49)*Impacts!$F$11),0)</f>
        <v>0</v>
      </c>
      <c r="P1682" s="10">
        <f>IF(Tank5!$C$23="No control",(SUMIF(Tank5!$B$32:$B$49,$J1682,Tank5!$C$32:$C$49)*Impacts!$F$12),0)</f>
        <v>0</v>
      </c>
      <c r="Q1682" s="10">
        <f>IFERROR(IF(('Loading-drum,tote'!$C$21)="No control",SUMIF(('Loading-drum,tote'!$B$31:$B$48),$J1682,('Loading-drum,tote'!$D$31:$D$48))*Impacts!$F$13,IF(('Loading-drum,tote'!$C$21)&lt;&gt;"No control",SUMIF(('Loading-drum,tote'!$B$31:$B$48),$J1682,('Loading-drum,tote'!$E$31:$E$48))*Impacts!$F$13,0)),0)</f>
        <v>0</v>
      </c>
      <c r="R1682" s="10">
        <f>IFERROR(IF(('Loading-truck'!$C$21)="No control",SUMIF(('Loading-truck'!$B$31:$B$48),$J1682,('Loading-truck'!$D$31:$D$48))*Impacts!$F$14,IF(('Loading-truck'!$C$21)&lt;&gt;"No control",SUMIF(('Loading-truck'!$B$31:$B$48),$J1682,('Loading-truck'!$E$31:$E$48))*Impacts!$F$14,0)),0)</f>
        <v>0</v>
      </c>
      <c r="S1682" s="10">
        <f>IFERROR(IF(('Loading-rail'!$C$21)="No control",SUMIF(('Loading-rail'!$B$31:$B$48),$J1682,('Loading-rail'!$D$31:$D$48))*Impacts!$F$15,IF(('Loading-rail'!$C$21)&lt;&gt;"No control",SUMIF(('Loading-rail'!$B$31:$B$48),$J1682,('Loading-rail'!$E$31:$E$48))*Impacts!$F$15,0)),0)</f>
        <v>0</v>
      </c>
      <c r="T1682" s="10">
        <f>IF(Flare!$C$7="",0,(SUMIF(Flare!$B$46:$B$185,$J1682,Flare!$E$46:$E$185)*Impacts!$F$16))</f>
        <v>0</v>
      </c>
      <c r="U1682" s="10">
        <f>IF(VCU!$C$9="",0,(SUMIF(VCU!$B$51:$B$193,$J1682,VCU!$E$51:$E$193)*Impacts!$F$17))</f>
        <v>0</v>
      </c>
      <c r="V1682" s="10">
        <f>IF(CAS!$C$7="",0,(SUMIF(CAS!$B$31:$B$167,$J1682,CAS!$E$31:$E$167)*Impacts!$F$18))</f>
        <v>0</v>
      </c>
      <c r="W1682" s="10">
        <f t="shared" si="66"/>
        <v>0</v>
      </c>
      <c r="AK1682" s="10" t="str">
        <f t="array" ref="AK1682">IFERROR(INDEX(SelectedSpecies,SMALL(IF(SelectedSpecies=AK$1,ROW(SelectedSpecies)),ROW(1683:1683)),2),"")</f>
        <v/>
      </c>
      <c r="BE1682" s="10"/>
      <c r="BI1682" s="10"/>
    </row>
    <row r="1683" spans="1:61" ht="21" customHeight="1" x14ac:dyDescent="0.25">
      <c r="A1683" s="10"/>
      <c r="B1683" s="10"/>
      <c r="E1683" s="10"/>
      <c r="G1683" s="10"/>
      <c r="I1683" s="436" t="s">
        <v>8302</v>
      </c>
      <c r="J1683" s="26" t="s">
        <v>8301</v>
      </c>
      <c r="K1683" s="10">
        <v>1.2999999999999999E-3</v>
      </c>
      <c r="L1683" s="73">
        <f>IF(Tank1!$C$23="No control",(SUMIF(Tank1!$B$32:$B$49,$J1683,Tank1!$C$32:$C$49)*Impacts!$F$8),0)</f>
        <v>0</v>
      </c>
      <c r="M1683" s="10">
        <f>IF(Tank2!$C$23="No control",(SUMIF(Tank2!$B$32:$B$49,$J1683,Tank2!$C$32:$C$49)*Impacts!$F$9),0)</f>
        <v>0</v>
      </c>
      <c r="N1683" s="10">
        <f>IF(Tank3!$C$23="No control",(SUMIF(Tank3!$B$32:$B$49,$J1683,Tank3!$C$32:$C$49)*Impacts!$F$10),0)</f>
        <v>0</v>
      </c>
      <c r="O1683" s="10">
        <f>IF(Tank4!$C$23="No control",(SUMIF(Tank4!$B$32:$B$49,$J1683,Tank4!$C$32:$C$49)*Impacts!$F$11),0)</f>
        <v>0</v>
      </c>
      <c r="P1683" s="10">
        <f>IF(Tank5!$C$23="No control",(SUMIF(Tank5!$B$32:$B$49,$J1683,Tank5!$C$32:$C$49)*Impacts!$F$12),0)</f>
        <v>0</v>
      </c>
      <c r="Q1683" s="10">
        <f>IFERROR(IF(('Loading-drum,tote'!$C$21)="No control",SUMIF(('Loading-drum,tote'!$B$31:$B$48),$J1683,('Loading-drum,tote'!$D$31:$D$48))*Impacts!$F$13,IF(('Loading-drum,tote'!$C$21)&lt;&gt;"No control",SUMIF(('Loading-drum,tote'!$B$31:$B$48),$J1683,('Loading-drum,tote'!$E$31:$E$48))*Impacts!$F$13,0)),0)</f>
        <v>0</v>
      </c>
      <c r="R1683" s="10">
        <f>IFERROR(IF(('Loading-truck'!$C$21)="No control",SUMIF(('Loading-truck'!$B$31:$B$48),$J1683,('Loading-truck'!$D$31:$D$48))*Impacts!$F$14,IF(('Loading-truck'!$C$21)&lt;&gt;"No control",SUMIF(('Loading-truck'!$B$31:$B$48),$J1683,('Loading-truck'!$E$31:$E$48))*Impacts!$F$14,0)),0)</f>
        <v>0</v>
      </c>
      <c r="S1683" s="10">
        <f>IFERROR(IF(('Loading-rail'!$C$21)="No control",SUMIF(('Loading-rail'!$B$31:$B$48),$J1683,('Loading-rail'!$D$31:$D$48))*Impacts!$F$15,IF(('Loading-rail'!$C$21)&lt;&gt;"No control",SUMIF(('Loading-rail'!$B$31:$B$48),$J1683,('Loading-rail'!$E$31:$E$48))*Impacts!$F$15,0)),0)</f>
        <v>0</v>
      </c>
      <c r="T1683" s="10">
        <f>IF(Flare!$C$7="",0,(SUMIF(Flare!$B$46:$B$185,$J1683,Flare!$E$46:$E$185)*Impacts!$F$16))</f>
        <v>0</v>
      </c>
      <c r="U1683" s="10">
        <f>IF(VCU!$C$9="",0,(SUMIF(VCU!$B$51:$B$193,$J1683,VCU!$E$51:$E$193)*Impacts!$F$17))</f>
        <v>0</v>
      </c>
      <c r="V1683" s="10">
        <f>IF(CAS!$C$7="",0,(SUMIF(CAS!$B$31:$B$167,$J1683,CAS!$E$31:$E$167)*Impacts!$F$18))</f>
        <v>0</v>
      </c>
      <c r="W1683" s="10">
        <f t="shared" si="66"/>
        <v>0</v>
      </c>
      <c r="AK1683" s="10" t="str">
        <f t="array" ref="AK1683">IFERROR(INDEX(SelectedSpecies,SMALL(IF(SelectedSpecies=AK$1,ROW(SelectedSpecies)),ROW(1684:1684)),2),"")</f>
        <v/>
      </c>
      <c r="BE1683" s="10"/>
      <c r="BI1683" s="10"/>
    </row>
    <row r="1684" spans="1:61" ht="21" customHeight="1" x14ac:dyDescent="0.25">
      <c r="A1684" s="10"/>
      <c r="B1684" s="10"/>
      <c r="E1684" s="10"/>
      <c r="G1684" s="10"/>
      <c r="I1684" s="436" t="s">
        <v>2125</v>
      </c>
      <c r="J1684" s="26" t="s">
        <v>2124</v>
      </c>
      <c r="K1684" s="10">
        <v>15</v>
      </c>
      <c r="L1684" s="73">
        <f>IF(Tank1!$C$23="No control",(SUMIF(Tank1!$B$32:$B$49,$J1684,Tank1!$C$32:$C$49)*Impacts!$F$8),0)</f>
        <v>0</v>
      </c>
      <c r="M1684" s="10">
        <f>IF(Tank2!$C$23="No control",(SUMIF(Tank2!$B$32:$B$49,$J1684,Tank2!$C$32:$C$49)*Impacts!$F$9),0)</f>
        <v>0</v>
      </c>
      <c r="N1684" s="10">
        <f>IF(Tank3!$C$23="No control",(SUMIF(Tank3!$B$32:$B$49,$J1684,Tank3!$C$32:$C$49)*Impacts!$F$10),0)</f>
        <v>0</v>
      </c>
      <c r="O1684" s="10">
        <f>IF(Tank4!$C$23="No control",(SUMIF(Tank4!$B$32:$B$49,$J1684,Tank4!$C$32:$C$49)*Impacts!$F$11),0)</f>
        <v>0</v>
      </c>
      <c r="P1684" s="10">
        <f>IF(Tank5!$C$23="No control",(SUMIF(Tank5!$B$32:$B$49,$J1684,Tank5!$C$32:$C$49)*Impacts!$F$12),0)</f>
        <v>0</v>
      </c>
      <c r="Q1684" s="10">
        <f>IFERROR(IF(('Loading-drum,tote'!$C$21)="No control",SUMIF(('Loading-drum,tote'!$B$31:$B$48),$J1684,('Loading-drum,tote'!$D$31:$D$48))*Impacts!$F$13,IF(('Loading-drum,tote'!$C$21)&lt;&gt;"No control",SUMIF(('Loading-drum,tote'!$B$31:$B$48),$J1684,('Loading-drum,tote'!$E$31:$E$48))*Impacts!$F$13,0)),0)</f>
        <v>0</v>
      </c>
      <c r="R1684" s="10">
        <f>IFERROR(IF(('Loading-truck'!$C$21)="No control",SUMIF(('Loading-truck'!$B$31:$B$48),$J1684,('Loading-truck'!$D$31:$D$48))*Impacts!$F$14,IF(('Loading-truck'!$C$21)&lt;&gt;"No control",SUMIF(('Loading-truck'!$B$31:$B$48),$J1684,('Loading-truck'!$E$31:$E$48))*Impacts!$F$14,0)),0)</f>
        <v>0</v>
      </c>
      <c r="S1684" s="10">
        <f>IFERROR(IF(('Loading-rail'!$C$21)="No control",SUMIF(('Loading-rail'!$B$31:$B$48),$J1684,('Loading-rail'!$D$31:$D$48))*Impacts!$F$15,IF(('Loading-rail'!$C$21)&lt;&gt;"No control",SUMIF(('Loading-rail'!$B$31:$B$48),$J1684,('Loading-rail'!$E$31:$E$48))*Impacts!$F$15,0)),0)</f>
        <v>0</v>
      </c>
      <c r="T1684" s="10">
        <f>IF(Flare!$C$7="",0,(SUMIF(Flare!$B$46:$B$185,$J1684,Flare!$E$46:$E$185)*Impacts!$F$16))</f>
        <v>0</v>
      </c>
      <c r="U1684" s="10">
        <f>IF(VCU!$C$9="",0,(SUMIF(VCU!$B$51:$B$193,$J1684,VCU!$E$51:$E$193)*Impacts!$F$17))</f>
        <v>0</v>
      </c>
      <c r="V1684" s="10">
        <f>IF(CAS!$C$7="",0,(SUMIF(CAS!$B$31:$B$167,$J1684,CAS!$E$31:$E$167)*Impacts!$F$18))</f>
        <v>0</v>
      </c>
      <c r="W1684" s="10">
        <f t="shared" si="66"/>
        <v>0</v>
      </c>
      <c r="AK1684" s="10" t="str">
        <f t="array" ref="AK1684">IFERROR(INDEX(SelectedSpecies,SMALL(IF(SelectedSpecies=AK$1,ROW(SelectedSpecies)),ROW(1685:1685)),2),"")</f>
        <v/>
      </c>
      <c r="BE1684" s="10"/>
      <c r="BI1684" s="10"/>
    </row>
    <row r="1685" spans="1:61" ht="21" customHeight="1" x14ac:dyDescent="0.25">
      <c r="A1685" s="10"/>
      <c r="B1685" s="10"/>
      <c r="E1685" s="10"/>
      <c r="G1685" s="10"/>
      <c r="I1685" s="436" t="s">
        <v>5888</v>
      </c>
      <c r="J1685" s="26" t="s">
        <v>5887</v>
      </c>
      <c r="K1685" s="10">
        <v>1</v>
      </c>
      <c r="L1685" s="73">
        <f>IF(Tank1!$C$23="No control",(SUMIF(Tank1!$B$32:$B$49,$J1685,Tank1!$C$32:$C$49)*Impacts!$F$8),0)</f>
        <v>0</v>
      </c>
      <c r="M1685" s="10">
        <f>IF(Tank2!$C$23="No control",(SUMIF(Tank2!$B$32:$B$49,$J1685,Tank2!$C$32:$C$49)*Impacts!$F$9),0)</f>
        <v>0</v>
      </c>
      <c r="N1685" s="10">
        <f>IF(Tank3!$C$23="No control",(SUMIF(Tank3!$B$32:$B$49,$J1685,Tank3!$C$32:$C$49)*Impacts!$F$10),0)</f>
        <v>0</v>
      </c>
      <c r="O1685" s="10">
        <f>IF(Tank4!$C$23="No control",(SUMIF(Tank4!$B$32:$B$49,$J1685,Tank4!$C$32:$C$49)*Impacts!$F$11),0)</f>
        <v>0</v>
      </c>
      <c r="P1685" s="10">
        <f>IF(Tank5!$C$23="No control",(SUMIF(Tank5!$B$32:$B$49,$J1685,Tank5!$C$32:$C$49)*Impacts!$F$12),0)</f>
        <v>0</v>
      </c>
      <c r="Q1685" s="10">
        <f>IFERROR(IF(('Loading-drum,tote'!$C$21)="No control",SUMIF(('Loading-drum,tote'!$B$31:$B$48),$J1685,('Loading-drum,tote'!$D$31:$D$48))*Impacts!$F$13,IF(('Loading-drum,tote'!$C$21)&lt;&gt;"No control",SUMIF(('Loading-drum,tote'!$B$31:$B$48),$J1685,('Loading-drum,tote'!$E$31:$E$48))*Impacts!$F$13,0)),0)</f>
        <v>0</v>
      </c>
      <c r="R1685" s="10">
        <f>IFERROR(IF(('Loading-truck'!$C$21)="No control",SUMIF(('Loading-truck'!$B$31:$B$48),$J1685,('Loading-truck'!$D$31:$D$48))*Impacts!$F$14,IF(('Loading-truck'!$C$21)&lt;&gt;"No control",SUMIF(('Loading-truck'!$B$31:$B$48),$J1685,('Loading-truck'!$E$31:$E$48))*Impacts!$F$14,0)),0)</f>
        <v>0</v>
      </c>
      <c r="S1685" s="10">
        <f>IFERROR(IF(('Loading-rail'!$C$21)="No control",SUMIF(('Loading-rail'!$B$31:$B$48),$J1685,('Loading-rail'!$D$31:$D$48))*Impacts!$F$15,IF(('Loading-rail'!$C$21)&lt;&gt;"No control",SUMIF(('Loading-rail'!$B$31:$B$48),$J1685,('Loading-rail'!$E$31:$E$48))*Impacts!$F$15,0)),0)</f>
        <v>0</v>
      </c>
      <c r="T1685" s="10">
        <f>IF(Flare!$C$7="",0,(SUMIF(Flare!$B$46:$B$185,$J1685,Flare!$E$46:$E$185)*Impacts!$F$16))</f>
        <v>0</v>
      </c>
      <c r="U1685" s="10">
        <f>IF(VCU!$C$9="",0,(SUMIF(VCU!$B$51:$B$193,$J1685,VCU!$E$51:$E$193)*Impacts!$F$17))</f>
        <v>0</v>
      </c>
      <c r="V1685" s="10">
        <f>IF(CAS!$C$7="",0,(SUMIF(CAS!$B$31:$B$167,$J1685,CAS!$E$31:$E$167)*Impacts!$F$18))</f>
        <v>0</v>
      </c>
      <c r="W1685" s="10">
        <f t="shared" si="66"/>
        <v>0</v>
      </c>
      <c r="AK1685" s="10" t="str">
        <f t="array" ref="AK1685">IFERROR(INDEX(SelectedSpecies,SMALL(IF(SelectedSpecies=AK$1,ROW(SelectedSpecies)),ROW(1686:1686)),2),"")</f>
        <v/>
      </c>
      <c r="BE1685" s="10"/>
      <c r="BI1685" s="10"/>
    </row>
    <row r="1686" spans="1:61" ht="21" customHeight="1" x14ac:dyDescent="0.25">
      <c r="A1686" s="10"/>
      <c r="B1686" s="10"/>
      <c r="E1686" s="10"/>
      <c r="G1686" s="10"/>
      <c r="I1686" s="436" t="s">
        <v>7052</v>
      </c>
      <c r="J1686" s="26" t="s">
        <v>7051</v>
      </c>
      <c r="K1686" s="10">
        <v>0.42000000000000004</v>
      </c>
      <c r="L1686" s="73">
        <f>IF(Tank1!$C$23="No control",(SUMIF(Tank1!$B$32:$B$49,$J1686,Tank1!$C$32:$C$49)*Impacts!$F$8),0)</f>
        <v>0</v>
      </c>
      <c r="M1686" s="10">
        <f>IF(Tank2!$C$23="No control",(SUMIF(Tank2!$B$32:$B$49,$J1686,Tank2!$C$32:$C$49)*Impacts!$F$9),0)</f>
        <v>0</v>
      </c>
      <c r="N1686" s="10">
        <f>IF(Tank3!$C$23="No control",(SUMIF(Tank3!$B$32:$B$49,$J1686,Tank3!$C$32:$C$49)*Impacts!$F$10),0)</f>
        <v>0</v>
      </c>
      <c r="O1686" s="10">
        <f>IF(Tank4!$C$23="No control",(SUMIF(Tank4!$B$32:$B$49,$J1686,Tank4!$C$32:$C$49)*Impacts!$F$11),0)</f>
        <v>0</v>
      </c>
      <c r="P1686" s="10">
        <f>IF(Tank5!$C$23="No control",(SUMIF(Tank5!$B$32:$B$49,$J1686,Tank5!$C$32:$C$49)*Impacts!$F$12),0)</f>
        <v>0</v>
      </c>
      <c r="Q1686" s="10">
        <f>IFERROR(IF(('Loading-drum,tote'!$C$21)="No control",SUMIF(('Loading-drum,tote'!$B$31:$B$48),$J1686,('Loading-drum,tote'!$D$31:$D$48))*Impacts!$F$13,IF(('Loading-drum,tote'!$C$21)&lt;&gt;"No control",SUMIF(('Loading-drum,tote'!$B$31:$B$48),$J1686,('Loading-drum,tote'!$E$31:$E$48))*Impacts!$F$13,0)),0)</f>
        <v>0</v>
      </c>
      <c r="R1686" s="10">
        <f>IFERROR(IF(('Loading-truck'!$C$21)="No control",SUMIF(('Loading-truck'!$B$31:$B$48),$J1686,('Loading-truck'!$D$31:$D$48))*Impacts!$F$14,IF(('Loading-truck'!$C$21)&lt;&gt;"No control",SUMIF(('Loading-truck'!$B$31:$B$48),$J1686,('Loading-truck'!$E$31:$E$48))*Impacts!$F$14,0)),0)</f>
        <v>0</v>
      </c>
      <c r="S1686" s="10">
        <f>IFERROR(IF(('Loading-rail'!$C$21)="No control",SUMIF(('Loading-rail'!$B$31:$B$48),$J1686,('Loading-rail'!$D$31:$D$48))*Impacts!$F$15,IF(('Loading-rail'!$C$21)&lt;&gt;"No control",SUMIF(('Loading-rail'!$B$31:$B$48),$J1686,('Loading-rail'!$E$31:$E$48))*Impacts!$F$15,0)),0)</f>
        <v>0</v>
      </c>
      <c r="T1686" s="10">
        <f>IF(Flare!$C$7="",0,(SUMIF(Flare!$B$46:$B$185,$J1686,Flare!$E$46:$E$185)*Impacts!$F$16))</f>
        <v>0</v>
      </c>
      <c r="U1686" s="10">
        <f>IF(VCU!$C$9="",0,(SUMIF(VCU!$B$51:$B$193,$J1686,VCU!$E$51:$E$193)*Impacts!$F$17))</f>
        <v>0</v>
      </c>
      <c r="V1686" s="10">
        <f>IF(CAS!$C$7="",0,(SUMIF(CAS!$B$31:$B$167,$J1686,CAS!$E$31:$E$167)*Impacts!$F$18))</f>
        <v>0</v>
      </c>
      <c r="W1686" s="10">
        <f t="shared" si="66"/>
        <v>0</v>
      </c>
      <c r="AK1686" s="10" t="str">
        <f t="array" ref="AK1686">IFERROR(INDEX(SelectedSpecies,SMALL(IF(SelectedSpecies=AK$1,ROW(SelectedSpecies)),ROW(1687:1687)),2),"")</f>
        <v/>
      </c>
      <c r="BE1686" s="10"/>
      <c r="BI1686" s="10"/>
    </row>
    <row r="1687" spans="1:61" ht="21" customHeight="1" x14ac:dyDescent="0.25">
      <c r="A1687" s="10"/>
      <c r="B1687" s="10"/>
      <c r="E1687" s="10"/>
      <c r="G1687" s="10"/>
      <c r="I1687" s="436" t="s">
        <v>5159</v>
      </c>
      <c r="J1687" s="26" t="s">
        <v>5158</v>
      </c>
      <c r="K1687" s="10">
        <v>2</v>
      </c>
      <c r="L1687" s="73">
        <f>IF(Tank1!$C$23="No control",(SUMIF(Tank1!$B$32:$B$49,$J1687,Tank1!$C$32:$C$49)*Impacts!$F$8),0)</f>
        <v>0</v>
      </c>
      <c r="M1687" s="10">
        <f>IF(Tank2!$C$23="No control",(SUMIF(Tank2!$B$32:$B$49,$J1687,Tank2!$C$32:$C$49)*Impacts!$F$9),0)</f>
        <v>0</v>
      </c>
      <c r="N1687" s="10">
        <f>IF(Tank3!$C$23="No control",(SUMIF(Tank3!$B$32:$B$49,$J1687,Tank3!$C$32:$C$49)*Impacts!$F$10),0)</f>
        <v>0</v>
      </c>
      <c r="O1687" s="10">
        <f>IF(Tank4!$C$23="No control",(SUMIF(Tank4!$B$32:$B$49,$J1687,Tank4!$C$32:$C$49)*Impacts!$F$11),0)</f>
        <v>0</v>
      </c>
      <c r="P1687" s="10">
        <f>IF(Tank5!$C$23="No control",(SUMIF(Tank5!$B$32:$B$49,$J1687,Tank5!$C$32:$C$49)*Impacts!$F$12),0)</f>
        <v>0</v>
      </c>
      <c r="Q1687" s="10">
        <f>IFERROR(IF(('Loading-drum,tote'!$C$21)="No control",SUMIF(('Loading-drum,tote'!$B$31:$B$48),$J1687,('Loading-drum,tote'!$D$31:$D$48))*Impacts!$F$13,IF(('Loading-drum,tote'!$C$21)&lt;&gt;"No control",SUMIF(('Loading-drum,tote'!$B$31:$B$48),$J1687,('Loading-drum,tote'!$E$31:$E$48))*Impacts!$F$13,0)),0)</f>
        <v>0</v>
      </c>
      <c r="R1687" s="10">
        <f>IFERROR(IF(('Loading-truck'!$C$21)="No control",SUMIF(('Loading-truck'!$B$31:$B$48),$J1687,('Loading-truck'!$D$31:$D$48))*Impacts!$F$14,IF(('Loading-truck'!$C$21)&lt;&gt;"No control",SUMIF(('Loading-truck'!$B$31:$B$48),$J1687,('Loading-truck'!$E$31:$E$48))*Impacts!$F$14,0)),0)</f>
        <v>0</v>
      </c>
      <c r="S1687" s="10">
        <f>IFERROR(IF(('Loading-rail'!$C$21)="No control",SUMIF(('Loading-rail'!$B$31:$B$48),$J1687,('Loading-rail'!$D$31:$D$48))*Impacts!$F$15,IF(('Loading-rail'!$C$21)&lt;&gt;"No control",SUMIF(('Loading-rail'!$B$31:$B$48),$J1687,('Loading-rail'!$E$31:$E$48))*Impacts!$F$15,0)),0)</f>
        <v>0</v>
      </c>
      <c r="T1687" s="10">
        <f>IF(Flare!$C$7="",0,(SUMIF(Flare!$B$46:$B$185,$J1687,Flare!$E$46:$E$185)*Impacts!$F$16))</f>
        <v>0</v>
      </c>
      <c r="U1687" s="10">
        <f>IF(VCU!$C$9="",0,(SUMIF(VCU!$B$51:$B$193,$J1687,VCU!$E$51:$E$193)*Impacts!$F$17))</f>
        <v>0</v>
      </c>
      <c r="V1687" s="10">
        <f>IF(CAS!$C$7="",0,(SUMIF(CAS!$B$31:$B$167,$J1687,CAS!$E$31:$E$167)*Impacts!$F$18))</f>
        <v>0</v>
      </c>
      <c r="W1687" s="10">
        <f t="shared" si="66"/>
        <v>0</v>
      </c>
      <c r="AK1687" s="10" t="str">
        <f t="array" ref="AK1687">IFERROR(INDEX(SelectedSpecies,SMALL(IF(SelectedSpecies=AK$1,ROW(SelectedSpecies)),ROW(1688:1688)),2),"")</f>
        <v/>
      </c>
      <c r="BE1687" s="10"/>
      <c r="BI1687" s="10"/>
    </row>
    <row r="1688" spans="1:61" ht="21" customHeight="1" x14ac:dyDescent="0.25">
      <c r="A1688" s="10"/>
      <c r="B1688" s="10"/>
      <c r="E1688" s="10"/>
      <c r="G1688" s="10"/>
      <c r="I1688" s="436" t="s">
        <v>7268</v>
      </c>
      <c r="J1688" s="26" t="s">
        <v>7267</v>
      </c>
      <c r="K1688" s="10">
        <v>0.30000000000000004</v>
      </c>
      <c r="L1688" s="73">
        <f>IF(Tank1!$C$23="No control",(SUMIF(Tank1!$B$32:$B$49,$J1688,Tank1!$C$32:$C$49)*Impacts!$F$8),0)</f>
        <v>0</v>
      </c>
      <c r="M1688" s="10">
        <f>IF(Tank2!$C$23="No control",(SUMIF(Tank2!$B$32:$B$49,$J1688,Tank2!$C$32:$C$49)*Impacts!$F$9),0)</f>
        <v>0</v>
      </c>
      <c r="N1688" s="10">
        <f>IF(Tank3!$C$23="No control",(SUMIF(Tank3!$B$32:$B$49,$J1688,Tank3!$C$32:$C$49)*Impacts!$F$10),0)</f>
        <v>0</v>
      </c>
      <c r="O1688" s="10">
        <f>IF(Tank4!$C$23="No control",(SUMIF(Tank4!$B$32:$B$49,$J1688,Tank4!$C$32:$C$49)*Impacts!$F$11),0)</f>
        <v>0</v>
      </c>
      <c r="P1688" s="10">
        <f>IF(Tank5!$C$23="No control",(SUMIF(Tank5!$B$32:$B$49,$J1688,Tank5!$C$32:$C$49)*Impacts!$F$12),0)</f>
        <v>0</v>
      </c>
      <c r="Q1688" s="10">
        <f>IFERROR(IF(('Loading-drum,tote'!$C$21)="No control",SUMIF(('Loading-drum,tote'!$B$31:$B$48),$J1688,('Loading-drum,tote'!$D$31:$D$48))*Impacts!$F$13,IF(('Loading-drum,tote'!$C$21)&lt;&gt;"No control",SUMIF(('Loading-drum,tote'!$B$31:$B$48),$J1688,('Loading-drum,tote'!$E$31:$E$48))*Impacts!$F$13,0)),0)</f>
        <v>0</v>
      </c>
      <c r="R1688" s="10">
        <f>IFERROR(IF(('Loading-truck'!$C$21)="No control",SUMIF(('Loading-truck'!$B$31:$B$48),$J1688,('Loading-truck'!$D$31:$D$48))*Impacts!$F$14,IF(('Loading-truck'!$C$21)&lt;&gt;"No control",SUMIF(('Loading-truck'!$B$31:$B$48),$J1688,('Loading-truck'!$E$31:$E$48))*Impacts!$F$14,0)),0)</f>
        <v>0</v>
      </c>
      <c r="S1688" s="10">
        <f>IFERROR(IF(('Loading-rail'!$C$21)="No control",SUMIF(('Loading-rail'!$B$31:$B$48),$J1688,('Loading-rail'!$D$31:$D$48))*Impacts!$F$15,IF(('Loading-rail'!$C$21)&lt;&gt;"No control",SUMIF(('Loading-rail'!$B$31:$B$48),$J1688,('Loading-rail'!$E$31:$E$48))*Impacts!$F$15,0)),0)</f>
        <v>0</v>
      </c>
      <c r="T1688" s="10">
        <f>IF(Flare!$C$7="",0,(SUMIF(Flare!$B$46:$B$185,$J1688,Flare!$E$46:$E$185)*Impacts!$F$16))</f>
        <v>0</v>
      </c>
      <c r="U1688" s="10">
        <f>IF(VCU!$C$9="",0,(SUMIF(VCU!$B$51:$B$193,$J1688,VCU!$E$51:$E$193)*Impacts!$F$17))</f>
        <v>0</v>
      </c>
      <c r="V1688" s="10">
        <f>IF(CAS!$C$7="",0,(SUMIF(CAS!$B$31:$B$167,$J1688,CAS!$E$31:$E$167)*Impacts!$F$18))</f>
        <v>0</v>
      </c>
      <c r="W1688" s="10">
        <f t="shared" si="66"/>
        <v>0</v>
      </c>
      <c r="AK1688" s="10" t="str">
        <f t="array" ref="AK1688">IFERROR(INDEX(SelectedSpecies,SMALL(IF(SelectedSpecies=AK$1,ROW(SelectedSpecies)),ROW(1689:1689)),2),"")</f>
        <v/>
      </c>
      <c r="BE1688" s="10"/>
      <c r="BI1688" s="10"/>
    </row>
    <row r="1689" spans="1:61" ht="21" customHeight="1" x14ac:dyDescent="0.25">
      <c r="A1689" s="10"/>
      <c r="B1689" s="10"/>
      <c r="E1689" s="10"/>
      <c r="G1689" s="10"/>
      <c r="I1689" s="436" t="s">
        <v>7980</v>
      </c>
      <c r="J1689" s="26" t="s">
        <v>7979</v>
      </c>
      <c r="K1689" s="10">
        <v>3.3000000000000002E-2</v>
      </c>
      <c r="L1689" s="73">
        <f>IF(Tank1!$C$23="No control",(SUMIF(Tank1!$B$32:$B$49,$J1689,Tank1!$C$32:$C$49)*Impacts!$F$8),0)</f>
        <v>0</v>
      </c>
      <c r="M1689" s="10">
        <f>IF(Tank2!$C$23="No control",(SUMIF(Tank2!$B$32:$B$49,$J1689,Tank2!$C$32:$C$49)*Impacts!$F$9),0)</f>
        <v>0</v>
      </c>
      <c r="N1689" s="10">
        <f>IF(Tank3!$C$23="No control",(SUMIF(Tank3!$B$32:$B$49,$J1689,Tank3!$C$32:$C$49)*Impacts!$F$10),0)</f>
        <v>0</v>
      </c>
      <c r="O1689" s="10">
        <f>IF(Tank4!$C$23="No control",(SUMIF(Tank4!$B$32:$B$49,$J1689,Tank4!$C$32:$C$49)*Impacts!$F$11),0)</f>
        <v>0</v>
      </c>
      <c r="P1689" s="10">
        <f>IF(Tank5!$C$23="No control",(SUMIF(Tank5!$B$32:$B$49,$J1689,Tank5!$C$32:$C$49)*Impacts!$F$12),0)</f>
        <v>0</v>
      </c>
      <c r="Q1689" s="10">
        <f>IFERROR(IF(('Loading-drum,tote'!$C$21)="No control",SUMIF(('Loading-drum,tote'!$B$31:$B$48),$J1689,('Loading-drum,tote'!$D$31:$D$48))*Impacts!$F$13,IF(('Loading-drum,tote'!$C$21)&lt;&gt;"No control",SUMIF(('Loading-drum,tote'!$B$31:$B$48),$J1689,('Loading-drum,tote'!$E$31:$E$48))*Impacts!$F$13,0)),0)</f>
        <v>0</v>
      </c>
      <c r="R1689" s="10">
        <f>IFERROR(IF(('Loading-truck'!$C$21)="No control",SUMIF(('Loading-truck'!$B$31:$B$48),$J1689,('Loading-truck'!$D$31:$D$48))*Impacts!$F$14,IF(('Loading-truck'!$C$21)&lt;&gt;"No control",SUMIF(('Loading-truck'!$B$31:$B$48),$J1689,('Loading-truck'!$E$31:$E$48))*Impacts!$F$14,0)),0)</f>
        <v>0</v>
      </c>
      <c r="S1689" s="10">
        <f>IFERROR(IF(('Loading-rail'!$C$21)="No control",SUMIF(('Loading-rail'!$B$31:$B$48),$J1689,('Loading-rail'!$D$31:$D$48))*Impacts!$F$15,IF(('Loading-rail'!$C$21)&lt;&gt;"No control",SUMIF(('Loading-rail'!$B$31:$B$48),$J1689,('Loading-rail'!$E$31:$E$48))*Impacts!$F$15,0)),0)</f>
        <v>0</v>
      </c>
      <c r="T1689" s="10">
        <f>IF(Flare!$C$7="",0,(SUMIF(Flare!$B$46:$B$185,$J1689,Flare!$E$46:$E$185)*Impacts!$F$16))</f>
        <v>0</v>
      </c>
      <c r="U1689" s="10">
        <f>IF(VCU!$C$9="",0,(SUMIF(VCU!$B$51:$B$193,$J1689,VCU!$E$51:$E$193)*Impacts!$F$17))</f>
        <v>0</v>
      </c>
      <c r="V1689" s="10">
        <f>IF(CAS!$C$7="",0,(SUMIF(CAS!$B$31:$B$167,$J1689,CAS!$E$31:$E$167)*Impacts!$F$18))</f>
        <v>0</v>
      </c>
      <c r="W1689" s="10">
        <f t="shared" si="66"/>
        <v>0</v>
      </c>
      <c r="AK1689" s="10" t="str">
        <f t="array" ref="AK1689">IFERROR(INDEX(SelectedSpecies,SMALL(IF(SelectedSpecies=AK$1,ROW(SelectedSpecies)),ROW(1690:1690)),2),"")</f>
        <v/>
      </c>
      <c r="BE1689" s="10"/>
      <c r="BI1689" s="10"/>
    </row>
    <row r="1690" spans="1:61" ht="21" customHeight="1" x14ac:dyDescent="0.25">
      <c r="A1690" s="10"/>
      <c r="B1690" s="10"/>
      <c r="E1690" s="10"/>
      <c r="G1690" s="10"/>
      <c r="I1690" s="436" t="s">
        <v>4067</v>
      </c>
      <c r="J1690" s="26" t="s">
        <v>4066</v>
      </c>
      <c r="K1690" s="10">
        <v>5.8000000000000007</v>
      </c>
      <c r="L1690" s="73">
        <f>IF(Tank1!$C$23="No control",(SUMIF(Tank1!$B$32:$B$49,$J1690,Tank1!$C$32:$C$49)*Impacts!$F$8),0)</f>
        <v>0</v>
      </c>
      <c r="M1690" s="10">
        <f>IF(Tank2!$C$23="No control",(SUMIF(Tank2!$B$32:$B$49,$J1690,Tank2!$C$32:$C$49)*Impacts!$F$9),0)</f>
        <v>0</v>
      </c>
      <c r="N1690" s="10">
        <f>IF(Tank3!$C$23="No control",(SUMIF(Tank3!$B$32:$B$49,$J1690,Tank3!$C$32:$C$49)*Impacts!$F$10),0)</f>
        <v>0</v>
      </c>
      <c r="O1690" s="10">
        <f>IF(Tank4!$C$23="No control",(SUMIF(Tank4!$B$32:$B$49,$J1690,Tank4!$C$32:$C$49)*Impacts!$F$11),0)</f>
        <v>0</v>
      </c>
      <c r="P1690" s="10">
        <f>IF(Tank5!$C$23="No control",(SUMIF(Tank5!$B$32:$B$49,$J1690,Tank5!$C$32:$C$49)*Impacts!$F$12),0)</f>
        <v>0</v>
      </c>
      <c r="Q1690" s="10">
        <f>IFERROR(IF(('Loading-drum,tote'!$C$21)="No control",SUMIF(('Loading-drum,tote'!$B$31:$B$48),$J1690,('Loading-drum,tote'!$D$31:$D$48))*Impacts!$F$13,IF(('Loading-drum,tote'!$C$21)&lt;&gt;"No control",SUMIF(('Loading-drum,tote'!$B$31:$B$48),$J1690,('Loading-drum,tote'!$E$31:$E$48))*Impacts!$F$13,0)),0)</f>
        <v>0</v>
      </c>
      <c r="R1690" s="10">
        <f>IFERROR(IF(('Loading-truck'!$C$21)="No control",SUMIF(('Loading-truck'!$B$31:$B$48),$J1690,('Loading-truck'!$D$31:$D$48))*Impacts!$F$14,IF(('Loading-truck'!$C$21)&lt;&gt;"No control",SUMIF(('Loading-truck'!$B$31:$B$48),$J1690,('Loading-truck'!$E$31:$E$48))*Impacts!$F$14,0)),0)</f>
        <v>0</v>
      </c>
      <c r="S1690" s="10">
        <f>IFERROR(IF(('Loading-rail'!$C$21)="No control",SUMIF(('Loading-rail'!$B$31:$B$48),$J1690,('Loading-rail'!$D$31:$D$48))*Impacts!$F$15,IF(('Loading-rail'!$C$21)&lt;&gt;"No control",SUMIF(('Loading-rail'!$B$31:$B$48),$J1690,('Loading-rail'!$E$31:$E$48))*Impacts!$F$15,0)),0)</f>
        <v>0</v>
      </c>
      <c r="T1690" s="10">
        <f>IF(Flare!$C$7="",0,(SUMIF(Flare!$B$46:$B$185,$J1690,Flare!$E$46:$E$185)*Impacts!$F$16))</f>
        <v>0</v>
      </c>
      <c r="U1690" s="10">
        <f>IF(VCU!$C$9="",0,(SUMIF(VCU!$B$51:$B$193,$J1690,VCU!$E$51:$E$193)*Impacts!$F$17))</f>
        <v>0</v>
      </c>
      <c r="V1690" s="10">
        <f>IF(CAS!$C$7="",0,(SUMIF(CAS!$B$31:$B$167,$J1690,CAS!$E$31:$E$167)*Impacts!$F$18))</f>
        <v>0</v>
      </c>
      <c r="W1690" s="10">
        <f t="shared" ref="W1690:W1753" si="67">SUM(L1690:V1690)</f>
        <v>0</v>
      </c>
      <c r="AK1690" s="10" t="str">
        <f t="array" ref="AK1690">IFERROR(INDEX(SelectedSpecies,SMALL(IF(SelectedSpecies=AK$1,ROW(SelectedSpecies)),ROW(1691:1691)),2),"")</f>
        <v/>
      </c>
      <c r="BE1690" s="10"/>
      <c r="BI1690" s="10"/>
    </row>
    <row r="1691" spans="1:61" ht="21" customHeight="1" x14ac:dyDescent="0.25">
      <c r="A1691" s="10"/>
      <c r="B1691" s="10"/>
      <c r="E1691" s="10"/>
      <c r="G1691" s="10"/>
      <c r="I1691" s="436" t="s">
        <v>4481</v>
      </c>
      <c r="J1691" s="26" t="s">
        <v>4480</v>
      </c>
      <c r="K1691" s="10">
        <v>4.3</v>
      </c>
      <c r="L1691" s="73">
        <f>IF(Tank1!$C$23="No control",(SUMIF(Tank1!$B$32:$B$49,$J1691,Tank1!$C$32:$C$49)*Impacts!$F$8),0)</f>
        <v>0</v>
      </c>
      <c r="M1691" s="10">
        <f>IF(Tank2!$C$23="No control",(SUMIF(Tank2!$B$32:$B$49,$J1691,Tank2!$C$32:$C$49)*Impacts!$F$9),0)</f>
        <v>0</v>
      </c>
      <c r="N1691" s="10">
        <f>IF(Tank3!$C$23="No control",(SUMIF(Tank3!$B$32:$B$49,$J1691,Tank3!$C$32:$C$49)*Impacts!$F$10),0)</f>
        <v>0</v>
      </c>
      <c r="O1691" s="10">
        <f>IF(Tank4!$C$23="No control",(SUMIF(Tank4!$B$32:$B$49,$J1691,Tank4!$C$32:$C$49)*Impacts!$F$11),0)</f>
        <v>0</v>
      </c>
      <c r="P1691" s="10">
        <f>IF(Tank5!$C$23="No control",(SUMIF(Tank5!$B$32:$B$49,$J1691,Tank5!$C$32:$C$49)*Impacts!$F$12),0)</f>
        <v>0</v>
      </c>
      <c r="Q1691" s="10">
        <f>IFERROR(IF(('Loading-drum,tote'!$C$21)="No control",SUMIF(('Loading-drum,tote'!$B$31:$B$48),$J1691,('Loading-drum,tote'!$D$31:$D$48))*Impacts!$F$13,IF(('Loading-drum,tote'!$C$21)&lt;&gt;"No control",SUMIF(('Loading-drum,tote'!$B$31:$B$48),$J1691,('Loading-drum,tote'!$E$31:$E$48))*Impacts!$F$13,0)),0)</f>
        <v>0</v>
      </c>
      <c r="R1691" s="10">
        <f>IFERROR(IF(('Loading-truck'!$C$21)="No control",SUMIF(('Loading-truck'!$B$31:$B$48),$J1691,('Loading-truck'!$D$31:$D$48))*Impacts!$F$14,IF(('Loading-truck'!$C$21)&lt;&gt;"No control",SUMIF(('Loading-truck'!$B$31:$B$48),$J1691,('Loading-truck'!$E$31:$E$48))*Impacts!$F$14,0)),0)</f>
        <v>0</v>
      </c>
      <c r="S1691" s="10">
        <f>IFERROR(IF(('Loading-rail'!$C$21)="No control",SUMIF(('Loading-rail'!$B$31:$B$48),$J1691,('Loading-rail'!$D$31:$D$48))*Impacts!$F$15,IF(('Loading-rail'!$C$21)&lt;&gt;"No control",SUMIF(('Loading-rail'!$B$31:$B$48),$J1691,('Loading-rail'!$E$31:$E$48))*Impacts!$F$15,0)),0)</f>
        <v>0</v>
      </c>
      <c r="T1691" s="10">
        <f>IF(Flare!$C$7="",0,(SUMIF(Flare!$B$46:$B$185,$J1691,Flare!$E$46:$E$185)*Impacts!$F$16))</f>
        <v>0</v>
      </c>
      <c r="U1691" s="10">
        <f>IF(VCU!$C$9="",0,(SUMIF(VCU!$B$51:$B$193,$J1691,VCU!$E$51:$E$193)*Impacts!$F$17))</f>
        <v>0</v>
      </c>
      <c r="V1691" s="10">
        <f>IF(CAS!$C$7="",0,(SUMIF(CAS!$B$31:$B$167,$J1691,CAS!$E$31:$E$167)*Impacts!$F$18))</f>
        <v>0</v>
      </c>
      <c r="W1691" s="10">
        <f t="shared" si="67"/>
        <v>0</v>
      </c>
      <c r="AK1691" s="10" t="str">
        <f t="array" ref="AK1691">IFERROR(INDEX(SelectedSpecies,SMALL(IF(SelectedSpecies=AK$1,ROW(SelectedSpecies)),ROW(1692:1692)),2),"")</f>
        <v/>
      </c>
      <c r="BE1691" s="10"/>
      <c r="BI1691" s="10"/>
    </row>
    <row r="1692" spans="1:61" ht="21" customHeight="1" x14ac:dyDescent="0.25">
      <c r="A1692" s="10"/>
      <c r="B1692" s="10"/>
      <c r="E1692" s="10"/>
      <c r="G1692" s="10"/>
      <c r="I1692" s="436" t="s">
        <v>1847</v>
      </c>
      <c r="J1692" s="26" t="s">
        <v>1846</v>
      </c>
      <c r="K1692" s="10">
        <v>20</v>
      </c>
      <c r="L1692" s="73">
        <f>IF(Tank1!$C$23="No control",(SUMIF(Tank1!$B$32:$B$49,$J1692,Tank1!$C$32:$C$49)*Impacts!$F$8),0)</f>
        <v>0</v>
      </c>
      <c r="M1692" s="10">
        <f>IF(Tank2!$C$23="No control",(SUMIF(Tank2!$B$32:$B$49,$J1692,Tank2!$C$32:$C$49)*Impacts!$F$9),0)</f>
        <v>0</v>
      </c>
      <c r="N1692" s="10">
        <f>IF(Tank3!$C$23="No control",(SUMIF(Tank3!$B$32:$B$49,$J1692,Tank3!$C$32:$C$49)*Impacts!$F$10),0)</f>
        <v>0</v>
      </c>
      <c r="O1692" s="10">
        <f>IF(Tank4!$C$23="No control",(SUMIF(Tank4!$B$32:$B$49,$J1692,Tank4!$C$32:$C$49)*Impacts!$F$11),0)</f>
        <v>0</v>
      </c>
      <c r="P1692" s="10">
        <f>IF(Tank5!$C$23="No control",(SUMIF(Tank5!$B$32:$B$49,$J1692,Tank5!$C$32:$C$49)*Impacts!$F$12),0)</f>
        <v>0</v>
      </c>
      <c r="Q1692" s="10">
        <f>IFERROR(IF(('Loading-drum,tote'!$C$21)="No control",SUMIF(('Loading-drum,tote'!$B$31:$B$48),$J1692,('Loading-drum,tote'!$D$31:$D$48))*Impacts!$F$13,IF(('Loading-drum,tote'!$C$21)&lt;&gt;"No control",SUMIF(('Loading-drum,tote'!$B$31:$B$48),$J1692,('Loading-drum,tote'!$E$31:$E$48))*Impacts!$F$13,0)),0)</f>
        <v>0</v>
      </c>
      <c r="R1692" s="10">
        <f>IFERROR(IF(('Loading-truck'!$C$21)="No control",SUMIF(('Loading-truck'!$B$31:$B$48),$J1692,('Loading-truck'!$D$31:$D$48))*Impacts!$F$14,IF(('Loading-truck'!$C$21)&lt;&gt;"No control",SUMIF(('Loading-truck'!$B$31:$B$48),$J1692,('Loading-truck'!$E$31:$E$48))*Impacts!$F$14,0)),0)</f>
        <v>0</v>
      </c>
      <c r="S1692" s="10">
        <f>IFERROR(IF(('Loading-rail'!$C$21)="No control",SUMIF(('Loading-rail'!$B$31:$B$48),$J1692,('Loading-rail'!$D$31:$D$48))*Impacts!$F$15,IF(('Loading-rail'!$C$21)&lt;&gt;"No control",SUMIF(('Loading-rail'!$B$31:$B$48),$J1692,('Loading-rail'!$E$31:$E$48))*Impacts!$F$15,0)),0)</f>
        <v>0</v>
      </c>
      <c r="T1692" s="10">
        <f>IF(Flare!$C$7="",0,(SUMIF(Flare!$B$46:$B$185,$J1692,Flare!$E$46:$E$185)*Impacts!$F$16))</f>
        <v>0</v>
      </c>
      <c r="U1692" s="10">
        <f>IF(VCU!$C$9="",0,(SUMIF(VCU!$B$51:$B$193,$J1692,VCU!$E$51:$E$193)*Impacts!$F$17))</f>
        <v>0</v>
      </c>
      <c r="V1692" s="10">
        <f>IF(CAS!$C$7="",0,(SUMIF(CAS!$B$31:$B$167,$J1692,CAS!$E$31:$E$167)*Impacts!$F$18))</f>
        <v>0</v>
      </c>
      <c r="W1692" s="10">
        <f t="shared" si="67"/>
        <v>0</v>
      </c>
      <c r="AK1692" s="10" t="str">
        <f t="array" ref="AK1692">IFERROR(INDEX(SelectedSpecies,SMALL(IF(SelectedSpecies=AK$1,ROW(SelectedSpecies)),ROW(1693:1693)),2),"")</f>
        <v/>
      </c>
      <c r="BE1692" s="10"/>
      <c r="BI1692" s="10"/>
    </row>
    <row r="1693" spans="1:61" ht="21" customHeight="1" x14ac:dyDescent="0.25">
      <c r="A1693" s="10"/>
      <c r="B1693" s="10"/>
      <c r="E1693" s="10"/>
      <c r="G1693" s="10"/>
      <c r="I1693" s="436" t="s">
        <v>6832</v>
      </c>
      <c r="J1693" s="26" t="s">
        <v>6831</v>
      </c>
      <c r="K1693" s="10">
        <v>0.5</v>
      </c>
      <c r="L1693" s="73">
        <f>IF(Tank1!$C$23="No control",(SUMIF(Tank1!$B$32:$B$49,$J1693,Tank1!$C$32:$C$49)*Impacts!$F$8),0)</f>
        <v>0</v>
      </c>
      <c r="M1693" s="10">
        <f>IF(Tank2!$C$23="No control",(SUMIF(Tank2!$B$32:$B$49,$J1693,Tank2!$C$32:$C$49)*Impacts!$F$9),0)</f>
        <v>0</v>
      </c>
      <c r="N1693" s="10">
        <f>IF(Tank3!$C$23="No control",(SUMIF(Tank3!$B$32:$B$49,$J1693,Tank3!$C$32:$C$49)*Impacts!$F$10),0)</f>
        <v>0</v>
      </c>
      <c r="O1693" s="10">
        <f>IF(Tank4!$C$23="No control",(SUMIF(Tank4!$B$32:$B$49,$J1693,Tank4!$C$32:$C$49)*Impacts!$F$11),0)</f>
        <v>0</v>
      </c>
      <c r="P1693" s="10">
        <f>IF(Tank5!$C$23="No control",(SUMIF(Tank5!$B$32:$B$49,$J1693,Tank5!$C$32:$C$49)*Impacts!$F$12),0)</f>
        <v>0</v>
      </c>
      <c r="Q1693" s="10">
        <f>IFERROR(IF(('Loading-drum,tote'!$C$21)="No control",SUMIF(('Loading-drum,tote'!$B$31:$B$48),$J1693,('Loading-drum,tote'!$D$31:$D$48))*Impacts!$F$13,IF(('Loading-drum,tote'!$C$21)&lt;&gt;"No control",SUMIF(('Loading-drum,tote'!$B$31:$B$48),$J1693,('Loading-drum,tote'!$E$31:$E$48))*Impacts!$F$13,0)),0)</f>
        <v>0</v>
      </c>
      <c r="R1693" s="10">
        <f>IFERROR(IF(('Loading-truck'!$C$21)="No control",SUMIF(('Loading-truck'!$B$31:$B$48),$J1693,('Loading-truck'!$D$31:$D$48))*Impacts!$F$14,IF(('Loading-truck'!$C$21)&lt;&gt;"No control",SUMIF(('Loading-truck'!$B$31:$B$48),$J1693,('Loading-truck'!$E$31:$E$48))*Impacts!$F$14,0)),0)</f>
        <v>0</v>
      </c>
      <c r="S1693" s="10">
        <f>IFERROR(IF(('Loading-rail'!$C$21)="No control",SUMIF(('Loading-rail'!$B$31:$B$48),$J1693,('Loading-rail'!$D$31:$D$48))*Impacts!$F$15,IF(('Loading-rail'!$C$21)&lt;&gt;"No control",SUMIF(('Loading-rail'!$B$31:$B$48),$J1693,('Loading-rail'!$E$31:$E$48))*Impacts!$F$15,0)),0)</f>
        <v>0</v>
      </c>
      <c r="T1693" s="10">
        <f>IF(Flare!$C$7="",0,(SUMIF(Flare!$B$46:$B$185,$J1693,Flare!$E$46:$E$185)*Impacts!$F$16))</f>
        <v>0</v>
      </c>
      <c r="U1693" s="10">
        <f>IF(VCU!$C$9="",0,(SUMIF(VCU!$B$51:$B$193,$J1693,VCU!$E$51:$E$193)*Impacts!$F$17))</f>
        <v>0</v>
      </c>
      <c r="V1693" s="10">
        <f>IF(CAS!$C$7="",0,(SUMIF(CAS!$B$31:$B$167,$J1693,CAS!$E$31:$E$167)*Impacts!$F$18))</f>
        <v>0</v>
      </c>
      <c r="W1693" s="10">
        <f t="shared" si="67"/>
        <v>0</v>
      </c>
      <c r="AK1693" s="10" t="str">
        <f t="array" ref="AK1693">IFERROR(INDEX(SelectedSpecies,SMALL(IF(SelectedSpecies=AK$1,ROW(SelectedSpecies)),ROW(1694:1694)),2),"")</f>
        <v/>
      </c>
      <c r="BE1693" s="10"/>
      <c r="BI1693" s="10"/>
    </row>
    <row r="1694" spans="1:61" ht="21" customHeight="1" x14ac:dyDescent="0.25">
      <c r="A1694" s="10"/>
      <c r="B1694" s="10"/>
      <c r="E1694" s="10"/>
      <c r="G1694" s="10"/>
      <c r="I1694" s="436" t="s">
        <v>6634</v>
      </c>
      <c r="J1694" s="26" t="s">
        <v>6633</v>
      </c>
      <c r="K1694" s="10">
        <v>0.60000000000000009</v>
      </c>
      <c r="L1694" s="73">
        <f>IF(Tank1!$C$23="No control",(SUMIF(Tank1!$B$32:$B$49,$J1694,Tank1!$C$32:$C$49)*Impacts!$F$8),0)</f>
        <v>0</v>
      </c>
      <c r="M1694" s="10">
        <f>IF(Tank2!$C$23="No control",(SUMIF(Tank2!$B$32:$B$49,$J1694,Tank2!$C$32:$C$49)*Impacts!$F$9),0)</f>
        <v>0</v>
      </c>
      <c r="N1694" s="10">
        <f>IF(Tank3!$C$23="No control",(SUMIF(Tank3!$B$32:$B$49,$J1694,Tank3!$C$32:$C$49)*Impacts!$F$10),0)</f>
        <v>0</v>
      </c>
      <c r="O1694" s="10">
        <f>IF(Tank4!$C$23="No control",(SUMIF(Tank4!$B$32:$B$49,$J1694,Tank4!$C$32:$C$49)*Impacts!$F$11),0)</f>
        <v>0</v>
      </c>
      <c r="P1694" s="10">
        <f>IF(Tank5!$C$23="No control",(SUMIF(Tank5!$B$32:$B$49,$J1694,Tank5!$C$32:$C$49)*Impacts!$F$12),0)</f>
        <v>0</v>
      </c>
      <c r="Q1694" s="10">
        <f>IFERROR(IF(('Loading-drum,tote'!$C$21)="No control",SUMIF(('Loading-drum,tote'!$B$31:$B$48),$J1694,('Loading-drum,tote'!$D$31:$D$48))*Impacts!$F$13,IF(('Loading-drum,tote'!$C$21)&lt;&gt;"No control",SUMIF(('Loading-drum,tote'!$B$31:$B$48),$J1694,('Loading-drum,tote'!$E$31:$E$48))*Impacts!$F$13,0)),0)</f>
        <v>0</v>
      </c>
      <c r="R1694" s="10">
        <f>IFERROR(IF(('Loading-truck'!$C$21)="No control",SUMIF(('Loading-truck'!$B$31:$B$48),$J1694,('Loading-truck'!$D$31:$D$48))*Impacts!$F$14,IF(('Loading-truck'!$C$21)&lt;&gt;"No control",SUMIF(('Loading-truck'!$B$31:$B$48),$J1694,('Loading-truck'!$E$31:$E$48))*Impacts!$F$14,0)),0)</f>
        <v>0</v>
      </c>
      <c r="S1694" s="10">
        <f>IFERROR(IF(('Loading-rail'!$C$21)="No control",SUMIF(('Loading-rail'!$B$31:$B$48),$J1694,('Loading-rail'!$D$31:$D$48))*Impacts!$F$15,IF(('Loading-rail'!$C$21)&lt;&gt;"No control",SUMIF(('Loading-rail'!$B$31:$B$48),$J1694,('Loading-rail'!$E$31:$E$48))*Impacts!$F$15,0)),0)</f>
        <v>0</v>
      </c>
      <c r="T1694" s="10">
        <f>IF(Flare!$C$7="",0,(SUMIF(Flare!$B$46:$B$185,$J1694,Flare!$E$46:$E$185)*Impacts!$F$16))</f>
        <v>0</v>
      </c>
      <c r="U1694" s="10">
        <f>IF(VCU!$C$9="",0,(SUMIF(VCU!$B$51:$B$193,$J1694,VCU!$E$51:$E$193)*Impacts!$F$17))</f>
        <v>0</v>
      </c>
      <c r="V1694" s="10">
        <f>IF(CAS!$C$7="",0,(SUMIF(CAS!$B$31:$B$167,$J1694,CAS!$E$31:$E$167)*Impacts!$F$18))</f>
        <v>0</v>
      </c>
      <c r="W1694" s="10">
        <f t="shared" si="67"/>
        <v>0</v>
      </c>
      <c r="AK1694" s="10" t="str">
        <f t="array" ref="AK1694">IFERROR(INDEX(SelectedSpecies,SMALL(IF(SelectedSpecies=AK$1,ROW(SelectedSpecies)),ROW(1695:1695)),2),"")</f>
        <v/>
      </c>
      <c r="BE1694" s="10"/>
      <c r="BI1694" s="10"/>
    </row>
    <row r="1695" spans="1:61" ht="21" customHeight="1" x14ac:dyDescent="0.25">
      <c r="A1695" s="10"/>
      <c r="B1695" s="10"/>
      <c r="E1695" s="10"/>
      <c r="G1695" s="10"/>
      <c r="I1695" s="436" t="s">
        <v>6834</v>
      </c>
      <c r="J1695" s="26" t="s">
        <v>6833</v>
      </c>
      <c r="K1695" s="10">
        <v>0.5</v>
      </c>
      <c r="L1695" s="73">
        <f>IF(Tank1!$C$23="No control",(SUMIF(Tank1!$B$32:$B$49,$J1695,Tank1!$C$32:$C$49)*Impacts!$F$8),0)</f>
        <v>0</v>
      </c>
      <c r="M1695" s="10">
        <f>IF(Tank2!$C$23="No control",(SUMIF(Tank2!$B$32:$B$49,$J1695,Tank2!$C$32:$C$49)*Impacts!$F$9),0)</f>
        <v>0</v>
      </c>
      <c r="N1695" s="10">
        <f>IF(Tank3!$C$23="No control",(SUMIF(Tank3!$B$32:$B$49,$J1695,Tank3!$C$32:$C$49)*Impacts!$F$10),0)</f>
        <v>0</v>
      </c>
      <c r="O1695" s="10">
        <f>IF(Tank4!$C$23="No control",(SUMIF(Tank4!$B$32:$B$49,$J1695,Tank4!$C$32:$C$49)*Impacts!$F$11),0)</f>
        <v>0</v>
      </c>
      <c r="P1695" s="10">
        <f>IF(Tank5!$C$23="No control",(SUMIF(Tank5!$B$32:$B$49,$J1695,Tank5!$C$32:$C$49)*Impacts!$F$12),0)</f>
        <v>0</v>
      </c>
      <c r="Q1695" s="10">
        <f>IFERROR(IF(('Loading-drum,tote'!$C$21)="No control",SUMIF(('Loading-drum,tote'!$B$31:$B$48),$J1695,('Loading-drum,tote'!$D$31:$D$48))*Impacts!$F$13,IF(('Loading-drum,tote'!$C$21)&lt;&gt;"No control",SUMIF(('Loading-drum,tote'!$B$31:$B$48),$J1695,('Loading-drum,tote'!$E$31:$E$48))*Impacts!$F$13,0)),0)</f>
        <v>0</v>
      </c>
      <c r="R1695" s="10">
        <f>IFERROR(IF(('Loading-truck'!$C$21)="No control",SUMIF(('Loading-truck'!$B$31:$B$48),$J1695,('Loading-truck'!$D$31:$D$48))*Impacts!$F$14,IF(('Loading-truck'!$C$21)&lt;&gt;"No control",SUMIF(('Loading-truck'!$B$31:$B$48),$J1695,('Loading-truck'!$E$31:$E$48))*Impacts!$F$14,0)),0)</f>
        <v>0</v>
      </c>
      <c r="S1695" s="10">
        <f>IFERROR(IF(('Loading-rail'!$C$21)="No control",SUMIF(('Loading-rail'!$B$31:$B$48),$J1695,('Loading-rail'!$D$31:$D$48))*Impacts!$F$15,IF(('Loading-rail'!$C$21)&lt;&gt;"No control",SUMIF(('Loading-rail'!$B$31:$B$48),$J1695,('Loading-rail'!$E$31:$E$48))*Impacts!$F$15,0)),0)</f>
        <v>0</v>
      </c>
      <c r="T1695" s="10">
        <f>IF(Flare!$C$7="",0,(SUMIF(Flare!$B$46:$B$185,$J1695,Flare!$E$46:$E$185)*Impacts!$F$16))</f>
        <v>0</v>
      </c>
      <c r="U1695" s="10">
        <f>IF(VCU!$C$9="",0,(SUMIF(VCU!$B$51:$B$193,$J1695,VCU!$E$51:$E$193)*Impacts!$F$17))</f>
        <v>0</v>
      </c>
      <c r="V1695" s="10">
        <f>IF(CAS!$C$7="",0,(SUMIF(CAS!$B$31:$B$167,$J1695,CAS!$E$31:$E$167)*Impacts!$F$18))</f>
        <v>0</v>
      </c>
      <c r="W1695" s="10">
        <f t="shared" si="67"/>
        <v>0</v>
      </c>
      <c r="AK1695" s="10" t="str">
        <f t="array" ref="AK1695">IFERROR(INDEX(SelectedSpecies,SMALL(IF(SelectedSpecies=AK$1,ROW(SelectedSpecies)),ROW(1696:1696)),2),"")</f>
        <v/>
      </c>
      <c r="BE1695" s="10"/>
      <c r="BI1695" s="10"/>
    </row>
    <row r="1696" spans="1:61" ht="21" customHeight="1" x14ac:dyDescent="0.25">
      <c r="A1696" s="10"/>
      <c r="B1696" s="10"/>
      <c r="E1696" s="10"/>
      <c r="G1696" s="10"/>
      <c r="I1696" s="436" t="s">
        <v>7494</v>
      </c>
      <c r="J1696" s="26" t="s">
        <v>7493</v>
      </c>
      <c r="K1696" s="10">
        <v>0.2</v>
      </c>
      <c r="L1696" s="73">
        <f>IF(Tank1!$C$23="No control",(SUMIF(Tank1!$B$32:$B$49,$J1696,Tank1!$C$32:$C$49)*Impacts!$F$8),0)</f>
        <v>0</v>
      </c>
      <c r="M1696" s="10">
        <f>IF(Tank2!$C$23="No control",(SUMIF(Tank2!$B$32:$B$49,$J1696,Tank2!$C$32:$C$49)*Impacts!$F$9),0)</f>
        <v>0</v>
      </c>
      <c r="N1696" s="10">
        <f>IF(Tank3!$C$23="No control",(SUMIF(Tank3!$B$32:$B$49,$J1696,Tank3!$C$32:$C$49)*Impacts!$F$10),0)</f>
        <v>0</v>
      </c>
      <c r="O1696" s="10">
        <f>IF(Tank4!$C$23="No control",(SUMIF(Tank4!$B$32:$B$49,$J1696,Tank4!$C$32:$C$49)*Impacts!$F$11),0)</f>
        <v>0</v>
      </c>
      <c r="P1696" s="10">
        <f>IF(Tank5!$C$23="No control",(SUMIF(Tank5!$B$32:$B$49,$J1696,Tank5!$C$32:$C$49)*Impacts!$F$12),0)</f>
        <v>0</v>
      </c>
      <c r="Q1696" s="10">
        <f>IFERROR(IF(('Loading-drum,tote'!$C$21)="No control",SUMIF(('Loading-drum,tote'!$B$31:$B$48),$J1696,('Loading-drum,tote'!$D$31:$D$48))*Impacts!$F$13,IF(('Loading-drum,tote'!$C$21)&lt;&gt;"No control",SUMIF(('Loading-drum,tote'!$B$31:$B$48),$J1696,('Loading-drum,tote'!$E$31:$E$48))*Impacts!$F$13,0)),0)</f>
        <v>0</v>
      </c>
      <c r="R1696" s="10">
        <f>IFERROR(IF(('Loading-truck'!$C$21)="No control",SUMIF(('Loading-truck'!$B$31:$B$48),$J1696,('Loading-truck'!$D$31:$D$48))*Impacts!$F$14,IF(('Loading-truck'!$C$21)&lt;&gt;"No control",SUMIF(('Loading-truck'!$B$31:$B$48),$J1696,('Loading-truck'!$E$31:$E$48))*Impacts!$F$14,0)),0)</f>
        <v>0</v>
      </c>
      <c r="S1696" s="10">
        <f>IFERROR(IF(('Loading-rail'!$C$21)="No control",SUMIF(('Loading-rail'!$B$31:$B$48),$J1696,('Loading-rail'!$D$31:$D$48))*Impacts!$F$15,IF(('Loading-rail'!$C$21)&lt;&gt;"No control",SUMIF(('Loading-rail'!$B$31:$B$48),$J1696,('Loading-rail'!$E$31:$E$48))*Impacts!$F$15,0)),0)</f>
        <v>0</v>
      </c>
      <c r="T1696" s="10">
        <f>IF(Flare!$C$7="",0,(SUMIF(Flare!$B$46:$B$185,$J1696,Flare!$E$46:$E$185)*Impacts!$F$16))</f>
        <v>0</v>
      </c>
      <c r="U1696" s="10">
        <f>IF(VCU!$C$9="",0,(SUMIF(VCU!$B$51:$B$193,$J1696,VCU!$E$51:$E$193)*Impacts!$F$17))</f>
        <v>0</v>
      </c>
      <c r="V1696" s="10">
        <f>IF(CAS!$C$7="",0,(SUMIF(CAS!$B$31:$B$167,$J1696,CAS!$E$31:$E$167)*Impacts!$F$18))</f>
        <v>0</v>
      </c>
      <c r="W1696" s="10">
        <f t="shared" si="67"/>
        <v>0</v>
      </c>
      <c r="AK1696" s="10" t="str">
        <f t="array" ref="AK1696">IFERROR(INDEX(SelectedSpecies,SMALL(IF(SelectedSpecies=AK$1,ROW(SelectedSpecies)),ROW(1697:1697)),2),"")</f>
        <v/>
      </c>
      <c r="BE1696" s="10"/>
      <c r="BI1696" s="10"/>
    </row>
    <row r="1697" spans="1:61" ht="21" customHeight="1" x14ac:dyDescent="0.25">
      <c r="A1697" s="10"/>
      <c r="B1697" s="10"/>
      <c r="E1697" s="10"/>
      <c r="G1697" s="10"/>
      <c r="I1697" s="436" t="s">
        <v>5263</v>
      </c>
      <c r="J1697" s="26" t="s">
        <v>5262</v>
      </c>
      <c r="K1697" s="10">
        <v>1.8</v>
      </c>
      <c r="L1697" s="73">
        <f>IF(Tank1!$C$23="No control",(SUMIF(Tank1!$B$32:$B$49,$J1697,Tank1!$C$32:$C$49)*Impacts!$F$8),0)</f>
        <v>0</v>
      </c>
      <c r="M1697" s="10">
        <f>IF(Tank2!$C$23="No control",(SUMIF(Tank2!$B$32:$B$49,$J1697,Tank2!$C$32:$C$49)*Impacts!$F$9),0)</f>
        <v>0</v>
      </c>
      <c r="N1697" s="10">
        <f>IF(Tank3!$C$23="No control",(SUMIF(Tank3!$B$32:$B$49,$J1697,Tank3!$C$32:$C$49)*Impacts!$F$10),0)</f>
        <v>0</v>
      </c>
      <c r="O1697" s="10">
        <f>IF(Tank4!$C$23="No control",(SUMIF(Tank4!$B$32:$B$49,$J1697,Tank4!$C$32:$C$49)*Impacts!$F$11),0)</f>
        <v>0</v>
      </c>
      <c r="P1697" s="10">
        <f>IF(Tank5!$C$23="No control",(SUMIF(Tank5!$B$32:$B$49,$J1697,Tank5!$C$32:$C$49)*Impacts!$F$12),0)</f>
        <v>0</v>
      </c>
      <c r="Q1697" s="10">
        <f>IFERROR(IF(('Loading-drum,tote'!$C$21)="No control",SUMIF(('Loading-drum,tote'!$B$31:$B$48),$J1697,('Loading-drum,tote'!$D$31:$D$48))*Impacts!$F$13,IF(('Loading-drum,tote'!$C$21)&lt;&gt;"No control",SUMIF(('Loading-drum,tote'!$B$31:$B$48),$J1697,('Loading-drum,tote'!$E$31:$E$48))*Impacts!$F$13,0)),0)</f>
        <v>0</v>
      </c>
      <c r="R1697" s="10">
        <f>IFERROR(IF(('Loading-truck'!$C$21)="No control",SUMIF(('Loading-truck'!$B$31:$B$48),$J1697,('Loading-truck'!$D$31:$D$48))*Impacts!$F$14,IF(('Loading-truck'!$C$21)&lt;&gt;"No control",SUMIF(('Loading-truck'!$B$31:$B$48),$J1697,('Loading-truck'!$E$31:$E$48))*Impacts!$F$14,0)),0)</f>
        <v>0</v>
      </c>
      <c r="S1697" s="10">
        <f>IFERROR(IF(('Loading-rail'!$C$21)="No control",SUMIF(('Loading-rail'!$B$31:$B$48),$J1697,('Loading-rail'!$D$31:$D$48))*Impacts!$F$15,IF(('Loading-rail'!$C$21)&lt;&gt;"No control",SUMIF(('Loading-rail'!$B$31:$B$48),$J1697,('Loading-rail'!$E$31:$E$48))*Impacts!$F$15,0)),0)</f>
        <v>0</v>
      </c>
      <c r="T1697" s="10">
        <f>IF(Flare!$C$7="",0,(SUMIF(Flare!$B$46:$B$185,$J1697,Flare!$E$46:$E$185)*Impacts!$F$16))</f>
        <v>0</v>
      </c>
      <c r="U1697" s="10">
        <f>IF(VCU!$C$9="",0,(SUMIF(VCU!$B$51:$B$193,$J1697,VCU!$E$51:$E$193)*Impacts!$F$17))</f>
        <v>0</v>
      </c>
      <c r="V1697" s="10">
        <f>IF(CAS!$C$7="",0,(SUMIF(CAS!$B$31:$B$167,$J1697,CAS!$E$31:$E$167)*Impacts!$F$18))</f>
        <v>0</v>
      </c>
      <c r="W1697" s="10">
        <f t="shared" si="67"/>
        <v>0</v>
      </c>
      <c r="AK1697" s="10" t="str">
        <f t="array" ref="AK1697">IFERROR(INDEX(SelectedSpecies,SMALL(IF(SelectedSpecies=AK$1,ROW(SelectedSpecies)),ROW(1698:1698)),2),"")</f>
        <v/>
      </c>
      <c r="BE1697" s="10"/>
      <c r="BI1697" s="10"/>
    </row>
    <row r="1698" spans="1:61" ht="21" customHeight="1" x14ac:dyDescent="0.25">
      <c r="A1698" s="10"/>
      <c r="B1698" s="10"/>
      <c r="E1698" s="10"/>
      <c r="G1698" s="10"/>
      <c r="I1698" s="436" t="s">
        <v>2227</v>
      </c>
      <c r="J1698" s="26" t="s">
        <v>2226</v>
      </c>
      <c r="K1698" s="10">
        <v>13</v>
      </c>
      <c r="L1698" s="73">
        <f>IF(Tank1!$C$23="No control",(SUMIF(Tank1!$B$32:$B$49,$J1698,Tank1!$C$32:$C$49)*Impacts!$F$8),0)</f>
        <v>0</v>
      </c>
      <c r="M1698" s="10">
        <f>IF(Tank2!$C$23="No control",(SUMIF(Tank2!$B$32:$B$49,$J1698,Tank2!$C$32:$C$49)*Impacts!$F$9),0)</f>
        <v>0</v>
      </c>
      <c r="N1698" s="10">
        <f>IF(Tank3!$C$23="No control",(SUMIF(Tank3!$B$32:$B$49,$J1698,Tank3!$C$32:$C$49)*Impacts!$F$10),0)</f>
        <v>0</v>
      </c>
      <c r="O1698" s="10">
        <f>IF(Tank4!$C$23="No control",(SUMIF(Tank4!$B$32:$B$49,$J1698,Tank4!$C$32:$C$49)*Impacts!$F$11),0)</f>
        <v>0</v>
      </c>
      <c r="P1698" s="10">
        <f>IF(Tank5!$C$23="No control",(SUMIF(Tank5!$B$32:$B$49,$J1698,Tank5!$C$32:$C$49)*Impacts!$F$12),0)</f>
        <v>0</v>
      </c>
      <c r="Q1698" s="10">
        <f>IFERROR(IF(('Loading-drum,tote'!$C$21)="No control",SUMIF(('Loading-drum,tote'!$B$31:$B$48),$J1698,('Loading-drum,tote'!$D$31:$D$48))*Impacts!$F$13,IF(('Loading-drum,tote'!$C$21)&lt;&gt;"No control",SUMIF(('Loading-drum,tote'!$B$31:$B$48),$J1698,('Loading-drum,tote'!$E$31:$E$48))*Impacts!$F$13,0)),0)</f>
        <v>0</v>
      </c>
      <c r="R1698" s="10">
        <f>IFERROR(IF(('Loading-truck'!$C$21)="No control",SUMIF(('Loading-truck'!$B$31:$B$48),$J1698,('Loading-truck'!$D$31:$D$48))*Impacts!$F$14,IF(('Loading-truck'!$C$21)&lt;&gt;"No control",SUMIF(('Loading-truck'!$B$31:$B$48),$J1698,('Loading-truck'!$E$31:$E$48))*Impacts!$F$14,0)),0)</f>
        <v>0</v>
      </c>
      <c r="S1698" s="10">
        <f>IFERROR(IF(('Loading-rail'!$C$21)="No control",SUMIF(('Loading-rail'!$B$31:$B$48),$J1698,('Loading-rail'!$D$31:$D$48))*Impacts!$F$15,IF(('Loading-rail'!$C$21)&lt;&gt;"No control",SUMIF(('Loading-rail'!$B$31:$B$48),$J1698,('Loading-rail'!$E$31:$E$48))*Impacts!$F$15,0)),0)</f>
        <v>0</v>
      </c>
      <c r="T1698" s="10">
        <f>IF(Flare!$C$7="",0,(SUMIF(Flare!$B$46:$B$185,$J1698,Flare!$E$46:$E$185)*Impacts!$F$16))</f>
        <v>0</v>
      </c>
      <c r="U1698" s="10">
        <f>IF(VCU!$C$9="",0,(SUMIF(VCU!$B$51:$B$193,$J1698,VCU!$E$51:$E$193)*Impacts!$F$17))</f>
        <v>0</v>
      </c>
      <c r="V1698" s="10">
        <f>IF(CAS!$C$7="",0,(SUMIF(CAS!$B$31:$B$167,$J1698,CAS!$E$31:$E$167)*Impacts!$F$18))</f>
        <v>0</v>
      </c>
      <c r="W1698" s="10">
        <f t="shared" si="67"/>
        <v>0</v>
      </c>
      <c r="AK1698" s="10" t="str">
        <f t="array" ref="AK1698">IFERROR(INDEX(SelectedSpecies,SMALL(IF(SelectedSpecies=AK$1,ROW(SelectedSpecies)),ROW(1699:1699)),2),"")</f>
        <v/>
      </c>
      <c r="BE1698" s="10"/>
      <c r="BI1698" s="10"/>
    </row>
    <row r="1699" spans="1:61" ht="21" customHeight="1" x14ac:dyDescent="0.25">
      <c r="A1699" s="10"/>
      <c r="B1699" s="10"/>
      <c r="E1699" s="10"/>
      <c r="G1699" s="10"/>
      <c r="I1699" s="436" t="s">
        <v>1408</v>
      </c>
      <c r="J1699" s="26" t="s">
        <v>1407</v>
      </c>
      <c r="K1699" s="10">
        <v>31</v>
      </c>
      <c r="L1699" s="73">
        <f>IF(Tank1!$C$23="No control",(SUMIF(Tank1!$B$32:$B$49,$J1699,Tank1!$C$32:$C$49)*Impacts!$F$8),0)</f>
        <v>0</v>
      </c>
      <c r="M1699" s="10">
        <f>IF(Tank2!$C$23="No control",(SUMIF(Tank2!$B$32:$B$49,$J1699,Tank2!$C$32:$C$49)*Impacts!$F$9),0)</f>
        <v>0</v>
      </c>
      <c r="N1699" s="10">
        <f>IF(Tank3!$C$23="No control",(SUMIF(Tank3!$B$32:$B$49,$J1699,Tank3!$C$32:$C$49)*Impacts!$F$10),0)</f>
        <v>0</v>
      </c>
      <c r="O1699" s="10">
        <f>IF(Tank4!$C$23="No control",(SUMIF(Tank4!$B$32:$B$49,$J1699,Tank4!$C$32:$C$49)*Impacts!$F$11),0)</f>
        <v>0</v>
      </c>
      <c r="P1699" s="10">
        <f>IF(Tank5!$C$23="No control",(SUMIF(Tank5!$B$32:$B$49,$J1699,Tank5!$C$32:$C$49)*Impacts!$F$12),0)</f>
        <v>0</v>
      </c>
      <c r="Q1699" s="10">
        <f>IFERROR(IF(('Loading-drum,tote'!$C$21)="No control",SUMIF(('Loading-drum,tote'!$B$31:$B$48),$J1699,('Loading-drum,tote'!$D$31:$D$48))*Impacts!$F$13,IF(('Loading-drum,tote'!$C$21)&lt;&gt;"No control",SUMIF(('Loading-drum,tote'!$B$31:$B$48),$J1699,('Loading-drum,tote'!$E$31:$E$48))*Impacts!$F$13,0)),0)</f>
        <v>0</v>
      </c>
      <c r="R1699" s="10">
        <f>IFERROR(IF(('Loading-truck'!$C$21)="No control",SUMIF(('Loading-truck'!$B$31:$B$48),$J1699,('Loading-truck'!$D$31:$D$48))*Impacts!$F$14,IF(('Loading-truck'!$C$21)&lt;&gt;"No control",SUMIF(('Loading-truck'!$B$31:$B$48),$J1699,('Loading-truck'!$E$31:$E$48))*Impacts!$F$14,0)),0)</f>
        <v>0</v>
      </c>
      <c r="S1699" s="10">
        <f>IFERROR(IF(('Loading-rail'!$C$21)="No control",SUMIF(('Loading-rail'!$B$31:$B$48),$J1699,('Loading-rail'!$D$31:$D$48))*Impacts!$F$15,IF(('Loading-rail'!$C$21)&lt;&gt;"No control",SUMIF(('Loading-rail'!$B$31:$B$48),$J1699,('Loading-rail'!$E$31:$E$48))*Impacts!$F$15,0)),0)</f>
        <v>0</v>
      </c>
      <c r="T1699" s="10">
        <f>IF(Flare!$C$7="",0,(SUMIF(Flare!$B$46:$B$185,$J1699,Flare!$E$46:$E$185)*Impacts!$F$16))</f>
        <v>0</v>
      </c>
      <c r="U1699" s="10">
        <f>IF(VCU!$C$9="",0,(SUMIF(VCU!$B$51:$B$193,$J1699,VCU!$E$51:$E$193)*Impacts!$F$17))</f>
        <v>0</v>
      </c>
      <c r="V1699" s="10">
        <f>IF(CAS!$C$7="",0,(SUMIF(CAS!$B$31:$B$167,$J1699,CAS!$E$31:$E$167)*Impacts!$F$18))</f>
        <v>0</v>
      </c>
      <c r="W1699" s="10">
        <f t="shared" si="67"/>
        <v>0</v>
      </c>
      <c r="AK1699" s="10" t="str">
        <f t="array" ref="AK1699">IFERROR(INDEX(SelectedSpecies,SMALL(IF(SelectedSpecies=AK$1,ROW(SelectedSpecies)),ROW(1700:1700)),2),"")</f>
        <v/>
      </c>
      <c r="BE1699" s="10"/>
      <c r="BI1699" s="10"/>
    </row>
    <row r="1700" spans="1:61" ht="21" customHeight="1" x14ac:dyDescent="0.25">
      <c r="A1700" s="10"/>
      <c r="B1700" s="10"/>
      <c r="E1700" s="10"/>
      <c r="G1700" s="10"/>
      <c r="I1700" s="436" t="s">
        <v>1799</v>
      </c>
      <c r="J1700" s="26" t="s">
        <v>1798</v>
      </c>
      <c r="K1700" s="10">
        <v>22</v>
      </c>
      <c r="L1700" s="73">
        <f>IF(Tank1!$C$23="No control",(SUMIF(Tank1!$B$32:$B$49,$J1700,Tank1!$C$32:$C$49)*Impacts!$F$8),0)</f>
        <v>0</v>
      </c>
      <c r="M1700" s="10">
        <f>IF(Tank2!$C$23="No control",(SUMIF(Tank2!$B$32:$B$49,$J1700,Tank2!$C$32:$C$49)*Impacts!$F$9),0)</f>
        <v>0</v>
      </c>
      <c r="N1700" s="10">
        <f>IF(Tank3!$C$23="No control",(SUMIF(Tank3!$B$32:$B$49,$J1700,Tank3!$C$32:$C$49)*Impacts!$F$10),0)</f>
        <v>0</v>
      </c>
      <c r="O1700" s="10">
        <f>IF(Tank4!$C$23="No control",(SUMIF(Tank4!$B$32:$B$49,$J1700,Tank4!$C$32:$C$49)*Impacts!$F$11),0)</f>
        <v>0</v>
      </c>
      <c r="P1700" s="10">
        <f>IF(Tank5!$C$23="No control",(SUMIF(Tank5!$B$32:$B$49,$J1700,Tank5!$C$32:$C$49)*Impacts!$F$12),0)</f>
        <v>0</v>
      </c>
      <c r="Q1700" s="10">
        <f>IFERROR(IF(('Loading-drum,tote'!$C$21)="No control",SUMIF(('Loading-drum,tote'!$B$31:$B$48),$J1700,('Loading-drum,tote'!$D$31:$D$48))*Impacts!$F$13,IF(('Loading-drum,tote'!$C$21)&lt;&gt;"No control",SUMIF(('Loading-drum,tote'!$B$31:$B$48),$J1700,('Loading-drum,tote'!$E$31:$E$48))*Impacts!$F$13,0)),0)</f>
        <v>0</v>
      </c>
      <c r="R1700" s="10">
        <f>IFERROR(IF(('Loading-truck'!$C$21)="No control",SUMIF(('Loading-truck'!$B$31:$B$48),$J1700,('Loading-truck'!$D$31:$D$48))*Impacts!$F$14,IF(('Loading-truck'!$C$21)&lt;&gt;"No control",SUMIF(('Loading-truck'!$B$31:$B$48),$J1700,('Loading-truck'!$E$31:$E$48))*Impacts!$F$14,0)),0)</f>
        <v>0</v>
      </c>
      <c r="S1700" s="10">
        <f>IFERROR(IF(('Loading-rail'!$C$21)="No control",SUMIF(('Loading-rail'!$B$31:$B$48),$J1700,('Loading-rail'!$D$31:$D$48))*Impacts!$F$15,IF(('Loading-rail'!$C$21)&lt;&gt;"No control",SUMIF(('Loading-rail'!$B$31:$B$48),$J1700,('Loading-rail'!$E$31:$E$48))*Impacts!$F$15,0)),0)</f>
        <v>0</v>
      </c>
      <c r="T1700" s="10">
        <f>IF(Flare!$C$7="",0,(SUMIF(Flare!$B$46:$B$185,$J1700,Flare!$E$46:$E$185)*Impacts!$F$16))</f>
        <v>0</v>
      </c>
      <c r="U1700" s="10">
        <f>IF(VCU!$C$9="",0,(SUMIF(VCU!$B$51:$B$193,$J1700,VCU!$E$51:$E$193)*Impacts!$F$17))</f>
        <v>0</v>
      </c>
      <c r="V1700" s="10">
        <f>IF(CAS!$C$7="",0,(SUMIF(CAS!$B$31:$B$167,$J1700,CAS!$E$31:$E$167)*Impacts!$F$18))</f>
        <v>0</v>
      </c>
      <c r="W1700" s="10">
        <f t="shared" si="67"/>
        <v>0</v>
      </c>
      <c r="AK1700" s="10" t="str">
        <f t="array" ref="AK1700">IFERROR(INDEX(SelectedSpecies,SMALL(IF(SelectedSpecies=AK$1,ROW(SelectedSpecies)),ROW(1701:1701)),2),"")</f>
        <v/>
      </c>
      <c r="BE1700" s="10"/>
      <c r="BI1700" s="10"/>
    </row>
    <row r="1701" spans="1:61" ht="21" customHeight="1" x14ac:dyDescent="0.25">
      <c r="A1701" s="10"/>
      <c r="B1701" s="10"/>
      <c r="E1701" s="10"/>
      <c r="G1701" s="10"/>
      <c r="I1701" s="436" t="s">
        <v>5890</v>
      </c>
      <c r="J1701" s="26" t="s">
        <v>5889</v>
      </c>
      <c r="K1701" s="10">
        <v>1</v>
      </c>
      <c r="L1701" s="73">
        <f>IF(Tank1!$C$23="No control",(SUMIF(Tank1!$B$32:$B$49,$J1701,Tank1!$C$32:$C$49)*Impacts!$F$8),0)</f>
        <v>0</v>
      </c>
      <c r="M1701" s="10">
        <f>IF(Tank2!$C$23="No control",(SUMIF(Tank2!$B$32:$B$49,$J1701,Tank2!$C$32:$C$49)*Impacts!$F$9),0)</f>
        <v>0</v>
      </c>
      <c r="N1701" s="10">
        <f>IF(Tank3!$C$23="No control",(SUMIF(Tank3!$B$32:$B$49,$J1701,Tank3!$C$32:$C$49)*Impacts!$F$10),0)</f>
        <v>0</v>
      </c>
      <c r="O1701" s="10">
        <f>IF(Tank4!$C$23="No control",(SUMIF(Tank4!$B$32:$B$49,$J1701,Tank4!$C$32:$C$49)*Impacts!$F$11),0)</f>
        <v>0</v>
      </c>
      <c r="P1701" s="10">
        <f>IF(Tank5!$C$23="No control",(SUMIF(Tank5!$B$32:$B$49,$J1701,Tank5!$C$32:$C$49)*Impacts!$F$12),0)</f>
        <v>0</v>
      </c>
      <c r="Q1701" s="10">
        <f>IFERROR(IF(('Loading-drum,tote'!$C$21)="No control",SUMIF(('Loading-drum,tote'!$B$31:$B$48),$J1701,('Loading-drum,tote'!$D$31:$D$48))*Impacts!$F$13,IF(('Loading-drum,tote'!$C$21)&lt;&gt;"No control",SUMIF(('Loading-drum,tote'!$B$31:$B$48),$J1701,('Loading-drum,tote'!$E$31:$E$48))*Impacts!$F$13,0)),0)</f>
        <v>0</v>
      </c>
      <c r="R1701" s="10">
        <f>IFERROR(IF(('Loading-truck'!$C$21)="No control",SUMIF(('Loading-truck'!$B$31:$B$48),$J1701,('Loading-truck'!$D$31:$D$48))*Impacts!$F$14,IF(('Loading-truck'!$C$21)&lt;&gt;"No control",SUMIF(('Loading-truck'!$B$31:$B$48),$J1701,('Loading-truck'!$E$31:$E$48))*Impacts!$F$14,0)),0)</f>
        <v>0</v>
      </c>
      <c r="S1701" s="10">
        <f>IFERROR(IF(('Loading-rail'!$C$21)="No control",SUMIF(('Loading-rail'!$B$31:$B$48),$J1701,('Loading-rail'!$D$31:$D$48))*Impacts!$F$15,IF(('Loading-rail'!$C$21)&lt;&gt;"No control",SUMIF(('Loading-rail'!$B$31:$B$48),$J1701,('Loading-rail'!$E$31:$E$48))*Impacts!$F$15,0)),0)</f>
        <v>0</v>
      </c>
      <c r="T1701" s="10">
        <f>IF(Flare!$C$7="",0,(SUMIF(Flare!$B$46:$B$185,$J1701,Flare!$E$46:$E$185)*Impacts!$F$16))</f>
        <v>0</v>
      </c>
      <c r="U1701" s="10">
        <f>IF(VCU!$C$9="",0,(SUMIF(VCU!$B$51:$B$193,$J1701,VCU!$E$51:$E$193)*Impacts!$F$17))</f>
        <v>0</v>
      </c>
      <c r="V1701" s="10">
        <f>IF(CAS!$C$7="",0,(SUMIF(CAS!$B$31:$B$167,$J1701,CAS!$E$31:$E$167)*Impacts!$F$18))</f>
        <v>0</v>
      </c>
      <c r="W1701" s="10">
        <f t="shared" si="67"/>
        <v>0</v>
      </c>
      <c r="AK1701" s="10" t="str">
        <f t="array" ref="AK1701">IFERROR(INDEX(SelectedSpecies,SMALL(IF(SelectedSpecies=AK$1,ROW(SelectedSpecies)),ROW(1702:1702)),2),"")</f>
        <v/>
      </c>
      <c r="BE1701" s="10"/>
      <c r="BI1701" s="10"/>
    </row>
    <row r="1702" spans="1:61" ht="21" customHeight="1" x14ac:dyDescent="0.25">
      <c r="A1702" s="10"/>
      <c r="B1702" s="10"/>
      <c r="E1702" s="10"/>
      <c r="G1702" s="10"/>
      <c r="I1702" s="436" t="s">
        <v>1034</v>
      </c>
      <c r="J1702" s="26" t="s">
        <v>1033</v>
      </c>
      <c r="K1702" s="10">
        <v>35</v>
      </c>
      <c r="L1702" s="73">
        <f>IF(Tank1!$C$23="No control",(SUMIF(Tank1!$B$32:$B$49,$J1702,Tank1!$C$32:$C$49)*Impacts!$F$8),0)</f>
        <v>0</v>
      </c>
      <c r="M1702" s="10">
        <f>IF(Tank2!$C$23="No control",(SUMIF(Tank2!$B$32:$B$49,$J1702,Tank2!$C$32:$C$49)*Impacts!$F$9),0)</f>
        <v>0</v>
      </c>
      <c r="N1702" s="10">
        <f>IF(Tank3!$C$23="No control",(SUMIF(Tank3!$B$32:$B$49,$J1702,Tank3!$C$32:$C$49)*Impacts!$F$10),0)</f>
        <v>0</v>
      </c>
      <c r="O1702" s="10">
        <f>IF(Tank4!$C$23="No control",(SUMIF(Tank4!$B$32:$B$49,$J1702,Tank4!$C$32:$C$49)*Impacts!$F$11),0)</f>
        <v>0</v>
      </c>
      <c r="P1702" s="10">
        <f>IF(Tank5!$C$23="No control",(SUMIF(Tank5!$B$32:$B$49,$J1702,Tank5!$C$32:$C$49)*Impacts!$F$12),0)</f>
        <v>0</v>
      </c>
      <c r="Q1702" s="10">
        <f>IFERROR(IF(('Loading-drum,tote'!$C$21)="No control",SUMIF(('Loading-drum,tote'!$B$31:$B$48),$J1702,('Loading-drum,tote'!$D$31:$D$48))*Impacts!$F$13,IF(('Loading-drum,tote'!$C$21)&lt;&gt;"No control",SUMIF(('Loading-drum,tote'!$B$31:$B$48),$J1702,('Loading-drum,tote'!$E$31:$E$48))*Impacts!$F$13,0)),0)</f>
        <v>0</v>
      </c>
      <c r="R1702" s="10">
        <f>IFERROR(IF(('Loading-truck'!$C$21)="No control",SUMIF(('Loading-truck'!$B$31:$B$48),$J1702,('Loading-truck'!$D$31:$D$48))*Impacts!$F$14,IF(('Loading-truck'!$C$21)&lt;&gt;"No control",SUMIF(('Loading-truck'!$B$31:$B$48),$J1702,('Loading-truck'!$E$31:$E$48))*Impacts!$F$14,0)),0)</f>
        <v>0</v>
      </c>
      <c r="S1702" s="10">
        <f>IFERROR(IF(('Loading-rail'!$C$21)="No control",SUMIF(('Loading-rail'!$B$31:$B$48),$J1702,('Loading-rail'!$D$31:$D$48))*Impacts!$F$15,IF(('Loading-rail'!$C$21)&lt;&gt;"No control",SUMIF(('Loading-rail'!$B$31:$B$48),$J1702,('Loading-rail'!$E$31:$E$48))*Impacts!$F$15,0)),0)</f>
        <v>0</v>
      </c>
      <c r="T1702" s="10">
        <f>IF(Flare!$C$7="",0,(SUMIF(Flare!$B$46:$B$185,$J1702,Flare!$E$46:$E$185)*Impacts!$F$16))</f>
        <v>0</v>
      </c>
      <c r="U1702" s="10">
        <f>IF(VCU!$C$9="",0,(SUMIF(VCU!$B$51:$B$193,$J1702,VCU!$E$51:$E$193)*Impacts!$F$17))</f>
        <v>0</v>
      </c>
      <c r="V1702" s="10">
        <f>IF(CAS!$C$7="",0,(SUMIF(CAS!$B$31:$B$167,$J1702,CAS!$E$31:$E$167)*Impacts!$F$18))</f>
        <v>0</v>
      </c>
      <c r="W1702" s="10">
        <f t="shared" si="67"/>
        <v>0</v>
      </c>
      <c r="AK1702" s="10" t="str">
        <f t="array" ref="AK1702">IFERROR(INDEX(SelectedSpecies,SMALL(IF(SelectedSpecies=AK$1,ROW(SelectedSpecies)),ROW(1703:1703)),2),"")</f>
        <v/>
      </c>
      <c r="BE1702" s="10"/>
      <c r="BI1702" s="10"/>
    </row>
    <row r="1703" spans="1:61" ht="21" customHeight="1" x14ac:dyDescent="0.25">
      <c r="A1703" s="10"/>
      <c r="B1703" s="10"/>
      <c r="E1703" s="10"/>
      <c r="G1703" s="10"/>
      <c r="I1703" s="436" t="s">
        <v>898</v>
      </c>
      <c r="J1703" s="26" t="s">
        <v>897</v>
      </c>
      <c r="K1703" s="10">
        <v>45</v>
      </c>
      <c r="L1703" s="73">
        <f>IF(Tank1!$C$23="No control",(SUMIF(Tank1!$B$32:$B$49,$J1703,Tank1!$C$32:$C$49)*Impacts!$F$8),0)</f>
        <v>0</v>
      </c>
      <c r="M1703" s="10">
        <f>IF(Tank2!$C$23="No control",(SUMIF(Tank2!$B$32:$B$49,$J1703,Tank2!$C$32:$C$49)*Impacts!$F$9),0)</f>
        <v>0</v>
      </c>
      <c r="N1703" s="10">
        <f>IF(Tank3!$C$23="No control",(SUMIF(Tank3!$B$32:$B$49,$J1703,Tank3!$C$32:$C$49)*Impacts!$F$10),0)</f>
        <v>0</v>
      </c>
      <c r="O1703" s="10">
        <f>IF(Tank4!$C$23="No control",(SUMIF(Tank4!$B$32:$B$49,$J1703,Tank4!$C$32:$C$49)*Impacts!$F$11),0)</f>
        <v>0</v>
      </c>
      <c r="P1703" s="10">
        <f>IF(Tank5!$C$23="No control",(SUMIF(Tank5!$B$32:$B$49,$J1703,Tank5!$C$32:$C$49)*Impacts!$F$12),0)</f>
        <v>0</v>
      </c>
      <c r="Q1703" s="10">
        <f>IFERROR(IF(('Loading-drum,tote'!$C$21)="No control",SUMIF(('Loading-drum,tote'!$B$31:$B$48),$J1703,('Loading-drum,tote'!$D$31:$D$48))*Impacts!$F$13,IF(('Loading-drum,tote'!$C$21)&lt;&gt;"No control",SUMIF(('Loading-drum,tote'!$B$31:$B$48),$J1703,('Loading-drum,tote'!$E$31:$E$48))*Impacts!$F$13,0)),0)</f>
        <v>0</v>
      </c>
      <c r="R1703" s="10">
        <f>IFERROR(IF(('Loading-truck'!$C$21)="No control",SUMIF(('Loading-truck'!$B$31:$B$48),$J1703,('Loading-truck'!$D$31:$D$48))*Impacts!$F$14,IF(('Loading-truck'!$C$21)&lt;&gt;"No control",SUMIF(('Loading-truck'!$B$31:$B$48),$J1703,('Loading-truck'!$E$31:$E$48))*Impacts!$F$14,0)),0)</f>
        <v>0</v>
      </c>
      <c r="S1703" s="10">
        <f>IFERROR(IF(('Loading-rail'!$C$21)="No control",SUMIF(('Loading-rail'!$B$31:$B$48),$J1703,('Loading-rail'!$D$31:$D$48))*Impacts!$F$15,IF(('Loading-rail'!$C$21)&lt;&gt;"No control",SUMIF(('Loading-rail'!$B$31:$B$48),$J1703,('Loading-rail'!$E$31:$E$48))*Impacts!$F$15,0)),0)</f>
        <v>0</v>
      </c>
      <c r="T1703" s="10">
        <f>IF(Flare!$C$7="",0,(SUMIF(Flare!$B$46:$B$185,$J1703,Flare!$E$46:$E$185)*Impacts!$F$16))</f>
        <v>0</v>
      </c>
      <c r="U1703" s="10">
        <f>IF(VCU!$C$9="",0,(SUMIF(VCU!$B$51:$B$193,$J1703,VCU!$E$51:$E$193)*Impacts!$F$17))</f>
        <v>0</v>
      </c>
      <c r="V1703" s="10">
        <f>IF(CAS!$C$7="",0,(SUMIF(CAS!$B$31:$B$167,$J1703,CAS!$E$31:$E$167)*Impacts!$F$18))</f>
        <v>0</v>
      </c>
      <c r="W1703" s="10">
        <f t="shared" si="67"/>
        <v>0</v>
      </c>
      <c r="AK1703" s="10" t="str">
        <f t="array" ref="AK1703">IFERROR(INDEX(SelectedSpecies,SMALL(IF(SelectedSpecies=AK$1,ROW(SelectedSpecies)),ROW(1704:1704)),2),"")</f>
        <v/>
      </c>
      <c r="BE1703" s="10"/>
      <c r="BI1703" s="10"/>
    </row>
    <row r="1704" spans="1:61" ht="21" customHeight="1" x14ac:dyDescent="0.25">
      <c r="A1704" s="10"/>
      <c r="B1704" s="10"/>
      <c r="E1704" s="10"/>
      <c r="G1704" s="10"/>
      <c r="I1704" s="436" t="s">
        <v>900</v>
      </c>
      <c r="J1704" s="26" t="s">
        <v>899</v>
      </c>
      <c r="K1704" s="10">
        <v>45</v>
      </c>
      <c r="L1704" s="73">
        <f>IF(Tank1!$C$23="No control",(SUMIF(Tank1!$B$32:$B$49,$J1704,Tank1!$C$32:$C$49)*Impacts!$F$8),0)</f>
        <v>0</v>
      </c>
      <c r="M1704" s="10">
        <f>IF(Tank2!$C$23="No control",(SUMIF(Tank2!$B$32:$B$49,$J1704,Tank2!$C$32:$C$49)*Impacts!$F$9),0)</f>
        <v>0</v>
      </c>
      <c r="N1704" s="10">
        <f>IF(Tank3!$C$23="No control",(SUMIF(Tank3!$B$32:$B$49,$J1704,Tank3!$C$32:$C$49)*Impacts!$F$10),0)</f>
        <v>0</v>
      </c>
      <c r="O1704" s="10">
        <f>IF(Tank4!$C$23="No control",(SUMIF(Tank4!$B$32:$B$49,$J1704,Tank4!$C$32:$C$49)*Impacts!$F$11),0)</f>
        <v>0</v>
      </c>
      <c r="P1704" s="10">
        <f>IF(Tank5!$C$23="No control",(SUMIF(Tank5!$B$32:$B$49,$J1704,Tank5!$C$32:$C$49)*Impacts!$F$12),0)</f>
        <v>0</v>
      </c>
      <c r="Q1704" s="10">
        <f>IFERROR(IF(('Loading-drum,tote'!$C$21)="No control",SUMIF(('Loading-drum,tote'!$B$31:$B$48),$J1704,('Loading-drum,tote'!$D$31:$D$48))*Impacts!$F$13,IF(('Loading-drum,tote'!$C$21)&lt;&gt;"No control",SUMIF(('Loading-drum,tote'!$B$31:$B$48),$J1704,('Loading-drum,tote'!$E$31:$E$48))*Impacts!$F$13,0)),0)</f>
        <v>0</v>
      </c>
      <c r="R1704" s="10">
        <f>IFERROR(IF(('Loading-truck'!$C$21)="No control",SUMIF(('Loading-truck'!$B$31:$B$48),$J1704,('Loading-truck'!$D$31:$D$48))*Impacts!$F$14,IF(('Loading-truck'!$C$21)&lt;&gt;"No control",SUMIF(('Loading-truck'!$B$31:$B$48),$J1704,('Loading-truck'!$E$31:$E$48))*Impacts!$F$14,0)),0)</f>
        <v>0</v>
      </c>
      <c r="S1704" s="10">
        <f>IFERROR(IF(('Loading-rail'!$C$21)="No control",SUMIF(('Loading-rail'!$B$31:$B$48),$J1704,('Loading-rail'!$D$31:$D$48))*Impacts!$F$15,IF(('Loading-rail'!$C$21)&lt;&gt;"No control",SUMIF(('Loading-rail'!$B$31:$B$48),$J1704,('Loading-rail'!$E$31:$E$48))*Impacts!$F$15,0)),0)</f>
        <v>0</v>
      </c>
      <c r="T1704" s="10">
        <f>IF(Flare!$C$7="",0,(SUMIF(Flare!$B$46:$B$185,$J1704,Flare!$E$46:$E$185)*Impacts!$F$16))</f>
        <v>0</v>
      </c>
      <c r="U1704" s="10">
        <f>IF(VCU!$C$9="",0,(SUMIF(VCU!$B$51:$B$193,$J1704,VCU!$E$51:$E$193)*Impacts!$F$17))</f>
        <v>0</v>
      </c>
      <c r="V1704" s="10">
        <f>IF(CAS!$C$7="",0,(SUMIF(CAS!$B$31:$B$167,$J1704,CAS!$E$31:$E$167)*Impacts!$F$18))</f>
        <v>0</v>
      </c>
      <c r="W1704" s="10">
        <f t="shared" si="67"/>
        <v>0</v>
      </c>
      <c r="AK1704" s="10" t="str">
        <f t="array" ref="AK1704">IFERROR(INDEX(SelectedSpecies,SMALL(IF(SelectedSpecies=AK$1,ROW(SelectedSpecies)),ROW(1705:1705)),2),"")</f>
        <v/>
      </c>
      <c r="BE1704" s="10"/>
      <c r="BI1704" s="10"/>
    </row>
    <row r="1705" spans="1:61" ht="21" customHeight="1" x14ac:dyDescent="0.25">
      <c r="A1705" s="10"/>
      <c r="B1705" s="10"/>
      <c r="E1705" s="10"/>
      <c r="G1705" s="10"/>
      <c r="I1705" s="436" t="s">
        <v>902</v>
      </c>
      <c r="J1705" s="26" t="s">
        <v>901</v>
      </c>
      <c r="K1705" s="10">
        <v>45</v>
      </c>
      <c r="L1705" s="73">
        <f>IF(Tank1!$C$23="No control",(SUMIF(Tank1!$B$32:$B$49,$J1705,Tank1!$C$32:$C$49)*Impacts!$F$8),0)</f>
        <v>0</v>
      </c>
      <c r="M1705" s="10">
        <f>IF(Tank2!$C$23="No control",(SUMIF(Tank2!$B$32:$B$49,$J1705,Tank2!$C$32:$C$49)*Impacts!$F$9),0)</f>
        <v>0</v>
      </c>
      <c r="N1705" s="10">
        <f>IF(Tank3!$C$23="No control",(SUMIF(Tank3!$B$32:$B$49,$J1705,Tank3!$C$32:$C$49)*Impacts!$F$10),0)</f>
        <v>0</v>
      </c>
      <c r="O1705" s="10">
        <f>IF(Tank4!$C$23="No control",(SUMIF(Tank4!$B$32:$B$49,$J1705,Tank4!$C$32:$C$49)*Impacts!$F$11),0)</f>
        <v>0</v>
      </c>
      <c r="P1705" s="10">
        <f>IF(Tank5!$C$23="No control",(SUMIF(Tank5!$B$32:$B$49,$J1705,Tank5!$C$32:$C$49)*Impacts!$F$12),0)</f>
        <v>0</v>
      </c>
      <c r="Q1705" s="10">
        <f>IFERROR(IF(('Loading-drum,tote'!$C$21)="No control",SUMIF(('Loading-drum,tote'!$B$31:$B$48),$J1705,('Loading-drum,tote'!$D$31:$D$48))*Impacts!$F$13,IF(('Loading-drum,tote'!$C$21)&lt;&gt;"No control",SUMIF(('Loading-drum,tote'!$B$31:$B$48),$J1705,('Loading-drum,tote'!$E$31:$E$48))*Impacts!$F$13,0)),0)</f>
        <v>0</v>
      </c>
      <c r="R1705" s="10">
        <f>IFERROR(IF(('Loading-truck'!$C$21)="No control",SUMIF(('Loading-truck'!$B$31:$B$48),$J1705,('Loading-truck'!$D$31:$D$48))*Impacts!$F$14,IF(('Loading-truck'!$C$21)&lt;&gt;"No control",SUMIF(('Loading-truck'!$B$31:$B$48),$J1705,('Loading-truck'!$E$31:$E$48))*Impacts!$F$14,0)),0)</f>
        <v>0</v>
      </c>
      <c r="S1705" s="10">
        <f>IFERROR(IF(('Loading-rail'!$C$21)="No control",SUMIF(('Loading-rail'!$B$31:$B$48),$J1705,('Loading-rail'!$D$31:$D$48))*Impacts!$F$15,IF(('Loading-rail'!$C$21)&lt;&gt;"No control",SUMIF(('Loading-rail'!$B$31:$B$48),$J1705,('Loading-rail'!$E$31:$E$48))*Impacts!$F$15,0)),0)</f>
        <v>0</v>
      </c>
      <c r="T1705" s="10">
        <f>IF(Flare!$C$7="",0,(SUMIF(Flare!$B$46:$B$185,$J1705,Flare!$E$46:$E$185)*Impacts!$F$16))</f>
        <v>0</v>
      </c>
      <c r="U1705" s="10">
        <f>IF(VCU!$C$9="",0,(SUMIF(VCU!$B$51:$B$193,$J1705,VCU!$E$51:$E$193)*Impacts!$F$17))</f>
        <v>0</v>
      </c>
      <c r="V1705" s="10">
        <f>IF(CAS!$C$7="",0,(SUMIF(CAS!$B$31:$B$167,$J1705,CAS!$E$31:$E$167)*Impacts!$F$18))</f>
        <v>0</v>
      </c>
      <c r="W1705" s="10">
        <f t="shared" si="67"/>
        <v>0</v>
      </c>
      <c r="AK1705" s="10" t="str">
        <f t="array" ref="AK1705">IFERROR(INDEX(SelectedSpecies,SMALL(IF(SelectedSpecies=AK$1,ROW(SelectedSpecies)),ROW(1706:1706)),2),"")</f>
        <v/>
      </c>
      <c r="BE1705" s="10"/>
      <c r="BI1705" s="10"/>
    </row>
    <row r="1706" spans="1:61" ht="21" customHeight="1" x14ac:dyDescent="0.25">
      <c r="A1706" s="10"/>
      <c r="B1706" s="10"/>
      <c r="E1706" s="10"/>
      <c r="G1706" s="10"/>
      <c r="I1706" s="436" t="s">
        <v>904</v>
      </c>
      <c r="J1706" s="26" t="s">
        <v>903</v>
      </c>
      <c r="K1706" s="10">
        <v>45</v>
      </c>
      <c r="L1706" s="73">
        <f>IF(Tank1!$C$23="No control",(SUMIF(Tank1!$B$32:$B$49,$J1706,Tank1!$C$32:$C$49)*Impacts!$F$8),0)</f>
        <v>0</v>
      </c>
      <c r="M1706" s="10">
        <f>IF(Tank2!$C$23="No control",(SUMIF(Tank2!$B$32:$B$49,$J1706,Tank2!$C$32:$C$49)*Impacts!$F$9),0)</f>
        <v>0</v>
      </c>
      <c r="N1706" s="10">
        <f>IF(Tank3!$C$23="No control",(SUMIF(Tank3!$B$32:$B$49,$J1706,Tank3!$C$32:$C$49)*Impacts!$F$10),0)</f>
        <v>0</v>
      </c>
      <c r="O1706" s="10">
        <f>IF(Tank4!$C$23="No control",(SUMIF(Tank4!$B$32:$B$49,$J1706,Tank4!$C$32:$C$49)*Impacts!$F$11),0)</f>
        <v>0</v>
      </c>
      <c r="P1706" s="10">
        <f>IF(Tank5!$C$23="No control",(SUMIF(Tank5!$B$32:$B$49,$J1706,Tank5!$C$32:$C$49)*Impacts!$F$12),0)</f>
        <v>0</v>
      </c>
      <c r="Q1706" s="10">
        <f>IFERROR(IF(('Loading-drum,tote'!$C$21)="No control",SUMIF(('Loading-drum,tote'!$B$31:$B$48),$J1706,('Loading-drum,tote'!$D$31:$D$48))*Impacts!$F$13,IF(('Loading-drum,tote'!$C$21)&lt;&gt;"No control",SUMIF(('Loading-drum,tote'!$B$31:$B$48),$J1706,('Loading-drum,tote'!$E$31:$E$48))*Impacts!$F$13,0)),0)</f>
        <v>0</v>
      </c>
      <c r="R1706" s="10">
        <f>IFERROR(IF(('Loading-truck'!$C$21)="No control",SUMIF(('Loading-truck'!$B$31:$B$48),$J1706,('Loading-truck'!$D$31:$D$48))*Impacts!$F$14,IF(('Loading-truck'!$C$21)&lt;&gt;"No control",SUMIF(('Loading-truck'!$B$31:$B$48),$J1706,('Loading-truck'!$E$31:$E$48))*Impacts!$F$14,0)),0)</f>
        <v>0</v>
      </c>
      <c r="S1706" s="10">
        <f>IFERROR(IF(('Loading-rail'!$C$21)="No control",SUMIF(('Loading-rail'!$B$31:$B$48),$J1706,('Loading-rail'!$D$31:$D$48))*Impacts!$F$15,IF(('Loading-rail'!$C$21)&lt;&gt;"No control",SUMIF(('Loading-rail'!$B$31:$B$48),$J1706,('Loading-rail'!$E$31:$E$48))*Impacts!$F$15,0)),0)</f>
        <v>0</v>
      </c>
      <c r="T1706" s="10">
        <f>IF(Flare!$C$7="",0,(SUMIF(Flare!$B$46:$B$185,$J1706,Flare!$E$46:$E$185)*Impacts!$F$16))</f>
        <v>0</v>
      </c>
      <c r="U1706" s="10">
        <f>IF(VCU!$C$9="",0,(SUMIF(VCU!$B$51:$B$193,$J1706,VCU!$E$51:$E$193)*Impacts!$F$17))</f>
        <v>0</v>
      </c>
      <c r="V1706" s="10">
        <f>IF(CAS!$C$7="",0,(SUMIF(CAS!$B$31:$B$167,$J1706,CAS!$E$31:$E$167)*Impacts!$F$18))</f>
        <v>0</v>
      </c>
      <c r="W1706" s="10">
        <f t="shared" si="67"/>
        <v>0</v>
      </c>
      <c r="AK1706" s="10" t="str">
        <f t="array" ref="AK1706">IFERROR(INDEX(SelectedSpecies,SMALL(IF(SelectedSpecies=AK$1,ROW(SelectedSpecies)),ROW(1707:1707)),2),"")</f>
        <v/>
      </c>
      <c r="BE1706" s="10"/>
      <c r="BI1706" s="10"/>
    </row>
    <row r="1707" spans="1:61" ht="21" customHeight="1" x14ac:dyDescent="0.25">
      <c r="A1707" s="10"/>
      <c r="B1707" s="10"/>
      <c r="E1707" s="10"/>
      <c r="G1707" s="10"/>
      <c r="I1707" s="436" t="s">
        <v>696</v>
      </c>
      <c r="J1707" s="26" t="s">
        <v>695</v>
      </c>
      <c r="K1707" s="10">
        <v>57</v>
      </c>
      <c r="L1707" s="73">
        <f>IF(Tank1!$C$23="No control",(SUMIF(Tank1!$B$32:$B$49,$J1707,Tank1!$C$32:$C$49)*Impacts!$F$8),0)</f>
        <v>0</v>
      </c>
      <c r="M1707" s="10">
        <f>IF(Tank2!$C$23="No control",(SUMIF(Tank2!$B$32:$B$49,$J1707,Tank2!$C$32:$C$49)*Impacts!$F$9),0)</f>
        <v>0</v>
      </c>
      <c r="N1707" s="10">
        <f>IF(Tank3!$C$23="No control",(SUMIF(Tank3!$B$32:$B$49,$J1707,Tank3!$C$32:$C$49)*Impacts!$F$10),0)</f>
        <v>0</v>
      </c>
      <c r="O1707" s="10">
        <f>IF(Tank4!$C$23="No control",(SUMIF(Tank4!$B$32:$B$49,$J1707,Tank4!$C$32:$C$49)*Impacts!$F$11),0)</f>
        <v>0</v>
      </c>
      <c r="P1707" s="10">
        <f>IF(Tank5!$C$23="No control",(SUMIF(Tank5!$B$32:$B$49,$J1707,Tank5!$C$32:$C$49)*Impacts!$F$12),0)</f>
        <v>0</v>
      </c>
      <c r="Q1707" s="10">
        <f>IFERROR(IF(('Loading-drum,tote'!$C$21)="No control",SUMIF(('Loading-drum,tote'!$B$31:$B$48),$J1707,('Loading-drum,tote'!$D$31:$D$48))*Impacts!$F$13,IF(('Loading-drum,tote'!$C$21)&lt;&gt;"No control",SUMIF(('Loading-drum,tote'!$B$31:$B$48),$J1707,('Loading-drum,tote'!$E$31:$E$48))*Impacts!$F$13,0)),0)</f>
        <v>0</v>
      </c>
      <c r="R1707" s="10">
        <f>IFERROR(IF(('Loading-truck'!$C$21)="No control",SUMIF(('Loading-truck'!$B$31:$B$48),$J1707,('Loading-truck'!$D$31:$D$48))*Impacts!$F$14,IF(('Loading-truck'!$C$21)&lt;&gt;"No control",SUMIF(('Loading-truck'!$B$31:$B$48),$J1707,('Loading-truck'!$E$31:$E$48))*Impacts!$F$14,0)),0)</f>
        <v>0</v>
      </c>
      <c r="S1707" s="10">
        <f>IFERROR(IF(('Loading-rail'!$C$21)="No control",SUMIF(('Loading-rail'!$B$31:$B$48),$J1707,('Loading-rail'!$D$31:$D$48))*Impacts!$F$15,IF(('Loading-rail'!$C$21)&lt;&gt;"No control",SUMIF(('Loading-rail'!$B$31:$B$48),$J1707,('Loading-rail'!$E$31:$E$48))*Impacts!$F$15,0)),0)</f>
        <v>0</v>
      </c>
      <c r="T1707" s="10">
        <f>IF(Flare!$C$7="",0,(SUMIF(Flare!$B$46:$B$185,$J1707,Flare!$E$46:$E$185)*Impacts!$F$16))</f>
        <v>0</v>
      </c>
      <c r="U1707" s="10">
        <f>IF(VCU!$C$9="",0,(SUMIF(VCU!$B$51:$B$193,$J1707,VCU!$E$51:$E$193)*Impacts!$F$17))</f>
        <v>0</v>
      </c>
      <c r="V1707" s="10">
        <f>IF(CAS!$C$7="",0,(SUMIF(CAS!$B$31:$B$167,$J1707,CAS!$E$31:$E$167)*Impacts!$F$18))</f>
        <v>0</v>
      </c>
      <c r="W1707" s="10">
        <f t="shared" si="67"/>
        <v>0</v>
      </c>
      <c r="AK1707" s="10" t="str">
        <f t="array" ref="AK1707">IFERROR(INDEX(SelectedSpecies,SMALL(IF(SelectedSpecies=AK$1,ROW(SelectedSpecies)),ROW(1708:1708)),2),"")</f>
        <v/>
      </c>
      <c r="BE1707" s="10"/>
      <c r="BI1707" s="10"/>
    </row>
    <row r="1708" spans="1:61" ht="21" customHeight="1" x14ac:dyDescent="0.25">
      <c r="A1708" s="10"/>
      <c r="B1708" s="10"/>
      <c r="E1708" s="10"/>
      <c r="G1708" s="10"/>
      <c r="I1708" s="436" t="s">
        <v>4867</v>
      </c>
      <c r="J1708" s="26" t="s">
        <v>4866</v>
      </c>
      <c r="K1708" s="10">
        <v>2.8000000000000003</v>
      </c>
      <c r="L1708" s="73">
        <f>IF(Tank1!$C$23="No control",(SUMIF(Tank1!$B$32:$B$49,$J1708,Tank1!$C$32:$C$49)*Impacts!$F$8),0)</f>
        <v>0</v>
      </c>
      <c r="M1708" s="10">
        <f>IF(Tank2!$C$23="No control",(SUMIF(Tank2!$B$32:$B$49,$J1708,Tank2!$C$32:$C$49)*Impacts!$F$9),0)</f>
        <v>0</v>
      </c>
      <c r="N1708" s="10">
        <f>IF(Tank3!$C$23="No control",(SUMIF(Tank3!$B$32:$B$49,$J1708,Tank3!$C$32:$C$49)*Impacts!$F$10),0)</f>
        <v>0</v>
      </c>
      <c r="O1708" s="10">
        <f>IF(Tank4!$C$23="No control",(SUMIF(Tank4!$B$32:$B$49,$J1708,Tank4!$C$32:$C$49)*Impacts!$F$11),0)</f>
        <v>0</v>
      </c>
      <c r="P1708" s="10">
        <f>IF(Tank5!$C$23="No control",(SUMIF(Tank5!$B$32:$B$49,$J1708,Tank5!$C$32:$C$49)*Impacts!$F$12),0)</f>
        <v>0</v>
      </c>
      <c r="Q1708" s="10">
        <f>IFERROR(IF(('Loading-drum,tote'!$C$21)="No control",SUMIF(('Loading-drum,tote'!$B$31:$B$48),$J1708,('Loading-drum,tote'!$D$31:$D$48))*Impacts!$F$13,IF(('Loading-drum,tote'!$C$21)&lt;&gt;"No control",SUMIF(('Loading-drum,tote'!$B$31:$B$48),$J1708,('Loading-drum,tote'!$E$31:$E$48))*Impacts!$F$13,0)),0)</f>
        <v>0</v>
      </c>
      <c r="R1708" s="10">
        <f>IFERROR(IF(('Loading-truck'!$C$21)="No control",SUMIF(('Loading-truck'!$B$31:$B$48),$J1708,('Loading-truck'!$D$31:$D$48))*Impacts!$F$14,IF(('Loading-truck'!$C$21)&lt;&gt;"No control",SUMIF(('Loading-truck'!$B$31:$B$48),$J1708,('Loading-truck'!$E$31:$E$48))*Impacts!$F$14,0)),0)</f>
        <v>0</v>
      </c>
      <c r="S1708" s="10">
        <f>IFERROR(IF(('Loading-rail'!$C$21)="No control",SUMIF(('Loading-rail'!$B$31:$B$48),$J1708,('Loading-rail'!$D$31:$D$48))*Impacts!$F$15,IF(('Loading-rail'!$C$21)&lt;&gt;"No control",SUMIF(('Loading-rail'!$B$31:$B$48),$J1708,('Loading-rail'!$E$31:$E$48))*Impacts!$F$15,0)),0)</f>
        <v>0</v>
      </c>
      <c r="T1708" s="10">
        <f>IF(Flare!$C$7="",0,(SUMIF(Flare!$B$46:$B$185,$J1708,Flare!$E$46:$E$185)*Impacts!$F$16))</f>
        <v>0</v>
      </c>
      <c r="U1708" s="10">
        <f>IF(VCU!$C$9="",0,(SUMIF(VCU!$B$51:$B$193,$J1708,VCU!$E$51:$E$193)*Impacts!$F$17))</f>
        <v>0</v>
      </c>
      <c r="V1708" s="10">
        <f>IF(CAS!$C$7="",0,(SUMIF(CAS!$B$31:$B$167,$J1708,CAS!$E$31:$E$167)*Impacts!$F$18))</f>
        <v>0</v>
      </c>
      <c r="W1708" s="10">
        <f t="shared" si="67"/>
        <v>0</v>
      </c>
      <c r="AK1708" s="10" t="str">
        <f t="array" ref="AK1708">IFERROR(INDEX(SelectedSpecies,SMALL(IF(SelectedSpecies=AK$1,ROW(SelectedSpecies)),ROW(1709:1709)),2),"")</f>
        <v/>
      </c>
      <c r="BE1708" s="10"/>
      <c r="BI1708" s="10"/>
    </row>
    <row r="1709" spans="1:61" ht="21" customHeight="1" x14ac:dyDescent="0.25">
      <c r="A1709" s="10"/>
      <c r="B1709" s="10"/>
      <c r="E1709" s="10"/>
      <c r="G1709" s="10"/>
      <c r="I1709" s="436" t="s">
        <v>4869</v>
      </c>
      <c r="J1709" s="26" t="s">
        <v>4868</v>
      </c>
      <c r="K1709" s="10">
        <v>2.8000000000000003</v>
      </c>
      <c r="L1709" s="73">
        <f>IF(Tank1!$C$23="No control",(SUMIF(Tank1!$B$32:$B$49,$J1709,Tank1!$C$32:$C$49)*Impacts!$F$8),0)</f>
        <v>0</v>
      </c>
      <c r="M1709" s="10">
        <f>IF(Tank2!$C$23="No control",(SUMIF(Tank2!$B$32:$B$49,$J1709,Tank2!$C$32:$C$49)*Impacts!$F$9),0)</f>
        <v>0</v>
      </c>
      <c r="N1709" s="10">
        <f>IF(Tank3!$C$23="No control",(SUMIF(Tank3!$B$32:$B$49,$J1709,Tank3!$C$32:$C$49)*Impacts!$F$10),0)</f>
        <v>0</v>
      </c>
      <c r="O1709" s="10">
        <f>IF(Tank4!$C$23="No control",(SUMIF(Tank4!$B$32:$B$49,$J1709,Tank4!$C$32:$C$49)*Impacts!$F$11),0)</f>
        <v>0</v>
      </c>
      <c r="P1709" s="10">
        <f>IF(Tank5!$C$23="No control",(SUMIF(Tank5!$B$32:$B$49,$J1709,Tank5!$C$32:$C$49)*Impacts!$F$12),0)</f>
        <v>0</v>
      </c>
      <c r="Q1709" s="10">
        <f>IFERROR(IF(('Loading-drum,tote'!$C$21)="No control",SUMIF(('Loading-drum,tote'!$B$31:$B$48),$J1709,('Loading-drum,tote'!$D$31:$D$48))*Impacts!$F$13,IF(('Loading-drum,tote'!$C$21)&lt;&gt;"No control",SUMIF(('Loading-drum,tote'!$B$31:$B$48),$J1709,('Loading-drum,tote'!$E$31:$E$48))*Impacts!$F$13,0)),0)</f>
        <v>0</v>
      </c>
      <c r="R1709" s="10">
        <f>IFERROR(IF(('Loading-truck'!$C$21)="No control",SUMIF(('Loading-truck'!$B$31:$B$48),$J1709,('Loading-truck'!$D$31:$D$48))*Impacts!$F$14,IF(('Loading-truck'!$C$21)&lt;&gt;"No control",SUMIF(('Loading-truck'!$B$31:$B$48),$J1709,('Loading-truck'!$E$31:$E$48))*Impacts!$F$14,0)),0)</f>
        <v>0</v>
      </c>
      <c r="S1709" s="10">
        <f>IFERROR(IF(('Loading-rail'!$C$21)="No control",SUMIF(('Loading-rail'!$B$31:$B$48),$J1709,('Loading-rail'!$D$31:$D$48))*Impacts!$F$15,IF(('Loading-rail'!$C$21)&lt;&gt;"No control",SUMIF(('Loading-rail'!$B$31:$B$48),$J1709,('Loading-rail'!$E$31:$E$48))*Impacts!$F$15,0)),0)</f>
        <v>0</v>
      </c>
      <c r="T1709" s="10">
        <f>IF(Flare!$C$7="",0,(SUMIF(Flare!$B$46:$B$185,$J1709,Flare!$E$46:$E$185)*Impacts!$F$16))</f>
        <v>0</v>
      </c>
      <c r="U1709" s="10">
        <f>IF(VCU!$C$9="",0,(SUMIF(VCU!$B$51:$B$193,$J1709,VCU!$E$51:$E$193)*Impacts!$F$17))</f>
        <v>0</v>
      </c>
      <c r="V1709" s="10">
        <f>IF(CAS!$C$7="",0,(SUMIF(CAS!$B$31:$B$167,$J1709,CAS!$E$31:$E$167)*Impacts!$F$18))</f>
        <v>0</v>
      </c>
      <c r="W1709" s="10">
        <f t="shared" si="67"/>
        <v>0</v>
      </c>
      <c r="AK1709" s="10" t="str">
        <f t="array" ref="AK1709">IFERROR(INDEX(SelectedSpecies,SMALL(IF(SelectedSpecies=AK$1,ROW(SelectedSpecies)),ROW(1710:1710)),2),"")</f>
        <v/>
      </c>
      <c r="BE1709" s="10"/>
      <c r="BI1709" s="10"/>
    </row>
    <row r="1710" spans="1:61" ht="21" customHeight="1" x14ac:dyDescent="0.25">
      <c r="A1710" s="10"/>
      <c r="B1710" s="10"/>
      <c r="E1710" s="10"/>
      <c r="G1710" s="10"/>
      <c r="I1710" s="436" t="s">
        <v>6530</v>
      </c>
      <c r="J1710" s="26" t="s">
        <v>6529</v>
      </c>
      <c r="K1710" s="10">
        <v>0.70000000000000007</v>
      </c>
      <c r="L1710" s="73">
        <f>IF(Tank1!$C$23="No control",(SUMIF(Tank1!$B$32:$B$49,$J1710,Tank1!$C$32:$C$49)*Impacts!$F$8),0)</f>
        <v>0</v>
      </c>
      <c r="M1710" s="10">
        <f>IF(Tank2!$C$23="No control",(SUMIF(Tank2!$B$32:$B$49,$J1710,Tank2!$C$32:$C$49)*Impacts!$F$9),0)</f>
        <v>0</v>
      </c>
      <c r="N1710" s="10">
        <f>IF(Tank3!$C$23="No control",(SUMIF(Tank3!$B$32:$B$49,$J1710,Tank3!$C$32:$C$49)*Impacts!$F$10),0)</f>
        <v>0</v>
      </c>
      <c r="O1710" s="10">
        <f>IF(Tank4!$C$23="No control",(SUMIF(Tank4!$B$32:$B$49,$J1710,Tank4!$C$32:$C$49)*Impacts!$F$11),0)</f>
        <v>0</v>
      </c>
      <c r="P1710" s="10">
        <f>IF(Tank5!$C$23="No control",(SUMIF(Tank5!$B$32:$B$49,$J1710,Tank5!$C$32:$C$49)*Impacts!$F$12),0)</f>
        <v>0</v>
      </c>
      <c r="Q1710" s="10">
        <f>IFERROR(IF(('Loading-drum,tote'!$C$21)="No control",SUMIF(('Loading-drum,tote'!$B$31:$B$48),$J1710,('Loading-drum,tote'!$D$31:$D$48))*Impacts!$F$13,IF(('Loading-drum,tote'!$C$21)&lt;&gt;"No control",SUMIF(('Loading-drum,tote'!$B$31:$B$48),$J1710,('Loading-drum,tote'!$E$31:$E$48))*Impacts!$F$13,0)),0)</f>
        <v>0</v>
      </c>
      <c r="R1710" s="10">
        <f>IFERROR(IF(('Loading-truck'!$C$21)="No control",SUMIF(('Loading-truck'!$B$31:$B$48),$J1710,('Loading-truck'!$D$31:$D$48))*Impacts!$F$14,IF(('Loading-truck'!$C$21)&lt;&gt;"No control",SUMIF(('Loading-truck'!$B$31:$B$48),$J1710,('Loading-truck'!$E$31:$E$48))*Impacts!$F$14,0)),0)</f>
        <v>0</v>
      </c>
      <c r="S1710" s="10">
        <f>IFERROR(IF(('Loading-rail'!$C$21)="No control",SUMIF(('Loading-rail'!$B$31:$B$48),$J1710,('Loading-rail'!$D$31:$D$48))*Impacts!$F$15,IF(('Loading-rail'!$C$21)&lt;&gt;"No control",SUMIF(('Loading-rail'!$B$31:$B$48),$J1710,('Loading-rail'!$E$31:$E$48))*Impacts!$F$15,0)),0)</f>
        <v>0</v>
      </c>
      <c r="T1710" s="10">
        <f>IF(Flare!$C$7="",0,(SUMIF(Flare!$B$46:$B$185,$J1710,Flare!$E$46:$E$185)*Impacts!$F$16))</f>
        <v>0</v>
      </c>
      <c r="U1710" s="10">
        <f>IF(VCU!$C$9="",0,(SUMIF(VCU!$B$51:$B$193,$J1710,VCU!$E$51:$E$193)*Impacts!$F$17))</f>
        <v>0</v>
      </c>
      <c r="V1710" s="10">
        <f>IF(CAS!$C$7="",0,(SUMIF(CAS!$B$31:$B$167,$J1710,CAS!$E$31:$E$167)*Impacts!$F$18))</f>
        <v>0</v>
      </c>
      <c r="W1710" s="10">
        <f t="shared" si="67"/>
        <v>0</v>
      </c>
      <c r="AK1710" s="10" t="str">
        <f t="array" ref="AK1710">IFERROR(INDEX(SelectedSpecies,SMALL(IF(SelectedSpecies=AK$1,ROW(SelectedSpecies)),ROW(1711:1711)),2),"")</f>
        <v/>
      </c>
      <c r="BE1710" s="10"/>
      <c r="BI1710" s="10"/>
    </row>
    <row r="1711" spans="1:61" ht="21" customHeight="1" x14ac:dyDescent="0.25">
      <c r="A1711" s="10"/>
      <c r="B1711" s="10"/>
      <c r="E1711" s="10"/>
      <c r="G1711" s="10"/>
      <c r="I1711" s="436" t="s">
        <v>367</v>
      </c>
      <c r="J1711" s="26" t="s">
        <v>366</v>
      </c>
      <c r="K1711" s="10">
        <v>370</v>
      </c>
      <c r="L1711" s="73">
        <f>IF(Tank1!$C$23="No control",(SUMIF(Tank1!$B$32:$B$49,$J1711,Tank1!$C$32:$C$49)*Impacts!$F$8),0)</f>
        <v>0</v>
      </c>
      <c r="M1711" s="10">
        <f>IF(Tank2!$C$23="No control",(SUMIF(Tank2!$B$32:$B$49,$J1711,Tank2!$C$32:$C$49)*Impacts!$F$9),0)</f>
        <v>0</v>
      </c>
      <c r="N1711" s="10">
        <f>IF(Tank3!$C$23="No control",(SUMIF(Tank3!$B$32:$B$49,$J1711,Tank3!$C$32:$C$49)*Impacts!$F$10),0)</f>
        <v>0</v>
      </c>
      <c r="O1711" s="10">
        <f>IF(Tank4!$C$23="No control",(SUMIF(Tank4!$B$32:$B$49,$J1711,Tank4!$C$32:$C$49)*Impacts!$F$11),0)</f>
        <v>0</v>
      </c>
      <c r="P1711" s="10">
        <f>IF(Tank5!$C$23="No control",(SUMIF(Tank5!$B$32:$B$49,$J1711,Tank5!$C$32:$C$49)*Impacts!$F$12),0)</f>
        <v>0</v>
      </c>
      <c r="Q1711" s="10">
        <f>IFERROR(IF(('Loading-drum,tote'!$C$21)="No control",SUMIF(('Loading-drum,tote'!$B$31:$B$48),$J1711,('Loading-drum,tote'!$D$31:$D$48))*Impacts!$F$13,IF(('Loading-drum,tote'!$C$21)&lt;&gt;"No control",SUMIF(('Loading-drum,tote'!$B$31:$B$48),$J1711,('Loading-drum,tote'!$E$31:$E$48))*Impacts!$F$13,0)),0)</f>
        <v>0</v>
      </c>
      <c r="R1711" s="10">
        <f>IFERROR(IF(('Loading-truck'!$C$21)="No control",SUMIF(('Loading-truck'!$B$31:$B$48),$J1711,('Loading-truck'!$D$31:$D$48))*Impacts!$F$14,IF(('Loading-truck'!$C$21)&lt;&gt;"No control",SUMIF(('Loading-truck'!$B$31:$B$48),$J1711,('Loading-truck'!$E$31:$E$48))*Impacts!$F$14,0)),0)</f>
        <v>0</v>
      </c>
      <c r="S1711" s="10">
        <f>IFERROR(IF(('Loading-rail'!$C$21)="No control",SUMIF(('Loading-rail'!$B$31:$B$48),$J1711,('Loading-rail'!$D$31:$D$48))*Impacts!$F$15,IF(('Loading-rail'!$C$21)&lt;&gt;"No control",SUMIF(('Loading-rail'!$B$31:$B$48),$J1711,('Loading-rail'!$E$31:$E$48))*Impacts!$F$15,0)),0)</f>
        <v>0</v>
      </c>
      <c r="T1711" s="10">
        <f>IF(Flare!$C$7="",0,(SUMIF(Flare!$B$46:$B$185,$J1711,Flare!$E$46:$E$185)*Impacts!$F$16))</f>
        <v>0</v>
      </c>
      <c r="U1711" s="10">
        <f>IF(VCU!$C$9="",0,(SUMIF(VCU!$B$51:$B$193,$J1711,VCU!$E$51:$E$193)*Impacts!$F$17))</f>
        <v>0</v>
      </c>
      <c r="V1711" s="10">
        <f>IF(CAS!$C$7="",0,(SUMIF(CAS!$B$31:$B$167,$J1711,CAS!$E$31:$E$167)*Impacts!$F$18))</f>
        <v>0</v>
      </c>
      <c r="W1711" s="10">
        <f t="shared" si="67"/>
        <v>0</v>
      </c>
      <c r="AK1711" s="10" t="str">
        <f t="array" ref="AK1711">IFERROR(INDEX(SelectedSpecies,SMALL(IF(SelectedSpecies=AK$1,ROW(SelectedSpecies)),ROW(1712:1712)),2),"")</f>
        <v/>
      </c>
      <c r="BE1711" s="10"/>
      <c r="BI1711" s="10"/>
    </row>
    <row r="1712" spans="1:61" ht="21" customHeight="1" x14ac:dyDescent="0.25">
      <c r="A1712" s="10"/>
      <c r="B1712" s="10"/>
      <c r="E1712" s="10"/>
      <c r="G1712" s="10"/>
      <c r="I1712" s="436" t="s">
        <v>3623</v>
      </c>
      <c r="J1712" s="26" t="s">
        <v>3622</v>
      </c>
      <c r="K1712" s="10">
        <v>7.3000000000000007</v>
      </c>
      <c r="L1712" s="73">
        <f>IF(Tank1!$C$23="No control",(SUMIF(Tank1!$B$32:$B$49,$J1712,Tank1!$C$32:$C$49)*Impacts!$F$8),0)</f>
        <v>0</v>
      </c>
      <c r="M1712" s="10">
        <f>IF(Tank2!$C$23="No control",(SUMIF(Tank2!$B$32:$B$49,$J1712,Tank2!$C$32:$C$49)*Impacts!$F$9),0)</f>
        <v>0</v>
      </c>
      <c r="N1712" s="10">
        <f>IF(Tank3!$C$23="No control",(SUMIF(Tank3!$B$32:$B$49,$J1712,Tank3!$C$32:$C$49)*Impacts!$F$10),0)</f>
        <v>0</v>
      </c>
      <c r="O1712" s="10">
        <f>IF(Tank4!$C$23="No control",(SUMIF(Tank4!$B$32:$B$49,$J1712,Tank4!$C$32:$C$49)*Impacts!$F$11),0)</f>
        <v>0</v>
      </c>
      <c r="P1712" s="10">
        <f>IF(Tank5!$C$23="No control",(SUMIF(Tank5!$B$32:$B$49,$J1712,Tank5!$C$32:$C$49)*Impacts!$F$12),0)</f>
        <v>0</v>
      </c>
      <c r="Q1712" s="10">
        <f>IFERROR(IF(('Loading-drum,tote'!$C$21)="No control",SUMIF(('Loading-drum,tote'!$B$31:$B$48),$J1712,('Loading-drum,tote'!$D$31:$D$48))*Impacts!$F$13,IF(('Loading-drum,tote'!$C$21)&lt;&gt;"No control",SUMIF(('Loading-drum,tote'!$B$31:$B$48),$J1712,('Loading-drum,tote'!$E$31:$E$48))*Impacts!$F$13,0)),0)</f>
        <v>0</v>
      </c>
      <c r="R1712" s="10">
        <f>IFERROR(IF(('Loading-truck'!$C$21)="No control",SUMIF(('Loading-truck'!$B$31:$B$48),$J1712,('Loading-truck'!$D$31:$D$48))*Impacts!$F$14,IF(('Loading-truck'!$C$21)&lt;&gt;"No control",SUMIF(('Loading-truck'!$B$31:$B$48),$J1712,('Loading-truck'!$E$31:$E$48))*Impacts!$F$14,0)),0)</f>
        <v>0</v>
      </c>
      <c r="S1712" s="10">
        <f>IFERROR(IF(('Loading-rail'!$C$21)="No control",SUMIF(('Loading-rail'!$B$31:$B$48),$J1712,('Loading-rail'!$D$31:$D$48))*Impacts!$F$15,IF(('Loading-rail'!$C$21)&lt;&gt;"No control",SUMIF(('Loading-rail'!$B$31:$B$48),$J1712,('Loading-rail'!$E$31:$E$48))*Impacts!$F$15,0)),0)</f>
        <v>0</v>
      </c>
      <c r="T1712" s="10">
        <f>IF(Flare!$C$7="",0,(SUMIF(Flare!$B$46:$B$185,$J1712,Flare!$E$46:$E$185)*Impacts!$F$16))</f>
        <v>0</v>
      </c>
      <c r="U1712" s="10">
        <f>IF(VCU!$C$9="",0,(SUMIF(VCU!$B$51:$B$193,$J1712,VCU!$E$51:$E$193)*Impacts!$F$17))</f>
        <v>0</v>
      </c>
      <c r="V1712" s="10">
        <f>IF(CAS!$C$7="",0,(SUMIF(CAS!$B$31:$B$167,$J1712,CAS!$E$31:$E$167)*Impacts!$F$18))</f>
        <v>0</v>
      </c>
      <c r="W1712" s="10">
        <f t="shared" si="67"/>
        <v>0</v>
      </c>
      <c r="AK1712" s="10" t="str">
        <f t="array" ref="AK1712">IFERROR(INDEX(SelectedSpecies,SMALL(IF(SelectedSpecies=AK$1,ROW(SelectedSpecies)),ROW(1713:1713)),2),"")</f>
        <v/>
      </c>
      <c r="BE1712" s="10"/>
      <c r="BI1712" s="10"/>
    </row>
    <row r="1713" spans="1:61" ht="21" customHeight="1" x14ac:dyDescent="0.25">
      <c r="A1713" s="10"/>
      <c r="B1713" s="10"/>
      <c r="E1713" s="10"/>
      <c r="G1713" s="10"/>
      <c r="I1713" s="436" t="s">
        <v>3801</v>
      </c>
      <c r="J1713" s="26" t="s">
        <v>3800</v>
      </c>
      <c r="K1713" s="10">
        <v>6</v>
      </c>
      <c r="L1713" s="73">
        <f>IF(Tank1!$C$23="No control",(SUMIF(Tank1!$B$32:$B$49,$J1713,Tank1!$C$32:$C$49)*Impacts!$F$8),0)</f>
        <v>0</v>
      </c>
      <c r="M1713" s="10">
        <f>IF(Tank2!$C$23="No control",(SUMIF(Tank2!$B$32:$B$49,$J1713,Tank2!$C$32:$C$49)*Impacts!$F$9),0)</f>
        <v>0</v>
      </c>
      <c r="N1713" s="10">
        <f>IF(Tank3!$C$23="No control",(SUMIF(Tank3!$B$32:$B$49,$J1713,Tank3!$C$32:$C$49)*Impacts!$F$10),0)</f>
        <v>0</v>
      </c>
      <c r="O1713" s="10">
        <f>IF(Tank4!$C$23="No control",(SUMIF(Tank4!$B$32:$B$49,$J1713,Tank4!$C$32:$C$49)*Impacts!$F$11),0)</f>
        <v>0</v>
      </c>
      <c r="P1713" s="10">
        <f>IF(Tank5!$C$23="No control",(SUMIF(Tank5!$B$32:$B$49,$J1713,Tank5!$C$32:$C$49)*Impacts!$F$12),0)</f>
        <v>0</v>
      </c>
      <c r="Q1713" s="10">
        <f>IFERROR(IF(('Loading-drum,tote'!$C$21)="No control",SUMIF(('Loading-drum,tote'!$B$31:$B$48),$J1713,('Loading-drum,tote'!$D$31:$D$48))*Impacts!$F$13,IF(('Loading-drum,tote'!$C$21)&lt;&gt;"No control",SUMIF(('Loading-drum,tote'!$B$31:$B$48),$J1713,('Loading-drum,tote'!$E$31:$E$48))*Impacts!$F$13,0)),0)</f>
        <v>0</v>
      </c>
      <c r="R1713" s="10">
        <f>IFERROR(IF(('Loading-truck'!$C$21)="No control",SUMIF(('Loading-truck'!$B$31:$B$48),$J1713,('Loading-truck'!$D$31:$D$48))*Impacts!$F$14,IF(('Loading-truck'!$C$21)&lt;&gt;"No control",SUMIF(('Loading-truck'!$B$31:$B$48),$J1713,('Loading-truck'!$E$31:$E$48))*Impacts!$F$14,0)),0)</f>
        <v>0</v>
      </c>
      <c r="S1713" s="10">
        <f>IFERROR(IF(('Loading-rail'!$C$21)="No control",SUMIF(('Loading-rail'!$B$31:$B$48),$J1713,('Loading-rail'!$D$31:$D$48))*Impacts!$F$15,IF(('Loading-rail'!$C$21)&lt;&gt;"No control",SUMIF(('Loading-rail'!$B$31:$B$48),$J1713,('Loading-rail'!$E$31:$E$48))*Impacts!$F$15,0)),0)</f>
        <v>0</v>
      </c>
      <c r="T1713" s="10">
        <f>IF(Flare!$C$7="",0,(SUMIF(Flare!$B$46:$B$185,$J1713,Flare!$E$46:$E$185)*Impacts!$F$16))</f>
        <v>0</v>
      </c>
      <c r="U1713" s="10">
        <f>IF(VCU!$C$9="",0,(SUMIF(VCU!$B$51:$B$193,$J1713,VCU!$E$51:$E$193)*Impacts!$F$17))</f>
        <v>0</v>
      </c>
      <c r="V1713" s="10">
        <f>IF(CAS!$C$7="",0,(SUMIF(CAS!$B$31:$B$167,$J1713,CAS!$E$31:$E$167)*Impacts!$F$18))</f>
        <v>0</v>
      </c>
      <c r="W1713" s="10">
        <f t="shared" si="67"/>
        <v>0</v>
      </c>
      <c r="AK1713" s="10" t="str">
        <f t="array" ref="AK1713">IFERROR(INDEX(SelectedSpecies,SMALL(IF(SelectedSpecies=AK$1,ROW(SelectedSpecies)),ROW(1714:1714)),2),"")</f>
        <v/>
      </c>
      <c r="BE1713" s="10"/>
      <c r="BI1713" s="10"/>
    </row>
    <row r="1714" spans="1:61" ht="21" customHeight="1" x14ac:dyDescent="0.25">
      <c r="A1714" s="10"/>
      <c r="B1714" s="10"/>
      <c r="E1714" s="10"/>
      <c r="G1714" s="10"/>
      <c r="I1714" s="436" t="s">
        <v>2861</v>
      </c>
      <c r="J1714" s="26" t="s">
        <v>2860</v>
      </c>
      <c r="K1714" s="10">
        <v>10</v>
      </c>
      <c r="L1714" s="73">
        <f>IF(Tank1!$C$23="No control",(SUMIF(Tank1!$B$32:$B$49,$J1714,Tank1!$C$32:$C$49)*Impacts!$F$8),0)</f>
        <v>0</v>
      </c>
      <c r="M1714" s="10">
        <f>IF(Tank2!$C$23="No control",(SUMIF(Tank2!$B$32:$B$49,$J1714,Tank2!$C$32:$C$49)*Impacts!$F$9),0)</f>
        <v>0</v>
      </c>
      <c r="N1714" s="10">
        <f>IF(Tank3!$C$23="No control",(SUMIF(Tank3!$B$32:$B$49,$J1714,Tank3!$C$32:$C$49)*Impacts!$F$10),0)</f>
        <v>0</v>
      </c>
      <c r="O1714" s="10">
        <f>IF(Tank4!$C$23="No control",(SUMIF(Tank4!$B$32:$B$49,$J1714,Tank4!$C$32:$C$49)*Impacts!$F$11),0)</f>
        <v>0</v>
      </c>
      <c r="P1714" s="10">
        <f>IF(Tank5!$C$23="No control",(SUMIF(Tank5!$B$32:$B$49,$J1714,Tank5!$C$32:$C$49)*Impacts!$F$12),0)</f>
        <v>0</v>
      </c>
      <c r="Q1714" s="10">
        <f>IFERROR(IF(('Loading-drum,tote'!$C$21)="No control",SUMIF(('Loading-drum,tote'!$B$31:$B$48),$J1714,('Loading-drum,tote'!$D$31:$D$48))*Impacts!$F$13,IF(('Loading-drum,tote'!$C$21)&lt;&gt;"No control",SUMIF(('Loading-drum,tote'!$B$31:$B$48),$J1714,('Loading-drum,tote'!$E$31:$E$48))*Impacts!$F$13,0)),0)</f>
        <v>0</v>
      </c>
      <c r="R1714" s="10">
        <f>IFERROR(IF(('Loading-truck'!$C$21)="No control",SUMIF(('Loading-truck'!$B$31:$B$48),$J1714,('Loading-truck'!$D$31:$D$48))*Impacts!$F$14,IF(('Loading-truck'!$C$21)&lt;&gt;"No control",SUMIF(('Loading-truck'!$B$31:$B$48),$J1714,('Loading-truck'!$E$31:$E$48))*Impacts!$F$14,0)),0)</f>
        <v>0</v>
      </c>
      <c r="S1714" s="10">
        <f>IFERROR(IF(('Loading-rail'!$C$21)="No control",SUMIF(('Loading-rail'!$B$31:$B$48),$J1714,('Loading-rail'!$D$31:$D$48))*Impacts!$F$15,IF(('Loading-rail'!$C$21)&lt;&gt;"No control",SUMIF(('Loading-rail'!$B$31:$B$48),$J1714,('Loading-rail'!$E$31:$E$48))*Impacts!$F$15,0)),0)</f>
        <v>0</v>
      </c>
      <c r="T1714" s="10">
        <f>IF(Flare!$C$7="",0,(SUMIF(Flare!$B$46:$B$185,$J1714,Flare!$E$46:$E$185)*Impacts!$F$16))</f>
        <v>0</v>
      </c>
      <c r="U1714" s="10">
        <f>IF(VCU!$C$9="",0,(SUMIF(VCU!$B$51:$B$193,$J1714,VCU!$E$51:$E$193)*Impacts!$F$17))</f>
        <v>0</v>
      </c>
      <c r="V1714" s="10">
        <f>IF(CAS!$C$7="",0,(SUMIF(CAS!$B$31:$B$167,$J1714,CAS!$E$31:$E$167)*Impacts!$F$18))</f>
        <v>0</v>
      </c>
      <c r="W1714" s="10">
        <f t="shared" si="67"/>
        <v>0</v>
      </c>
      <c r="AK1714" s="10" t="str">
        <f t="array" ref="AK1714">IFERROR(INDEX(SelectedSpecies,SMALL(IF(SelectedSpecies=AK$1,ROW(SelectedSpecies)),ROW(1715:1715)),2),"")</f>
        <v/>
      </c>
      <c r="BE1714" s="10"/>
      <c r="BI1714" s="10"/>
    </row>
    <row r="1715" spans="1:61" ht="21" customHeight="1" x14ac:dyDescent="0.25">
      <c r="A1715" s="10"/>
      <c r="B1715" s="10"/>
      <c r="E1715" s="10"/>
      <c r="G1715" s="10"/>
      <c r="I1715" s="436" t="s">
        <v>2863</v>
      </c>
      <c r="J1715" s="26" t="s">
        <v>2862</v>
      </c>
      <c r="K1715" s="10">
        <v>10</v>
      </c>
      <c r="L1715" s="73">
        <f>IF(Tank1!$C$23="No control",(SUMIF(Tank1!$B$32:$B$49,$J1715,Tank1!$C$32:$C$49)*Impacts!$F$8),0)</f>
        <v>0</v>
      </c>
      <c r="M1715" s="10">
        <f>IF(Tank2!$C$23="No control",(SUMIF(Tank2!$B$32:$B$49,$J1715,Tank2!$C$32:$C$49)*Impacts!$F$9),0)</f>
        <v>0</v>
      </c>
      <c r="N1715" s="10">
        <f>IF(Tank3!$C$23="No control",(SUMIF(Tank3!$B$32:$B$49,$J1715,Tank3!$C$32:$C$49)*Impacts!$F$10),0)</f>
        <v>0</v>
      </c>
      <c r="O1715" s="10">
        <f>IF(Tank4!$C$23="No control",(SUMIF(Tank4!$B$32:$B$49,$J1715,Tank4!$C$32:$C$49)*Impacts!$F$11),0)</f>
        <v>0</v>
      </c>
      <c r="P1715" s="10">
        <f>IF(Tank5!$C$23="No control",(SUMIF(Tank5!$B$32:$B$49,$J1715,Tank5!$C$32:$C$49)*Impacts!$F$12),0)</f>
        <v>0</v>
      </c>
      <c r="Q1715" s="10">
        <f>IFERROR(IF(('Loading-drum,tote'!$C$21)="No control",SUMIF(('Loading-drum,tote'!$B$31:$B$48),$J1715,('Loading-drum,tote'!$D$31:$D$48))*Impacts!$F$13,IF(('Loading-drum,tote'!$C$21)&lt;&gt;"No control",SUMIF(('Loading-drum,tote'!$B$31:$B$48),$J1715,('Loading-drum,tote'!$E$31:$E$48))*Impacts!$F$13,0)),0)</f>
        <v>0</v>
      </c>
      <c r="R1715" s="10">
        <f>IFERROR(IF(('Loading-truck'!$C$21)="No control",SUMIF(('Loading-truck'!$B$31:$B$48),$J1715,('Loading-truck'!$D$31:$D$48))*Impacts!$F$14,IF(('Loading-truck'!$C$21)&lt;&gt;"No control",SUMIF(('Loading-truck'!$B$31:$B$48),$J1715,('Loading-truck'!$E$31:$E$48))*Impacts!$F$14,0)),0)</f>
        <v>0</v>
      </c>
      <c r="S1715" s="10">
        <f>IFERROR(IF(('Loading-rail'!$C$21)="No control",SUMIF(('Loading-rail'!$B$31:$B$48),$J1715,('Loading-rail'!$D$31:$D$48))*Impacts!$F$15,IF(('Loading-rail'!$C$21)&lt;&gt;"No control",SUMIF(('Loading-rail'!$B$31:$B$48),$J1715,('Loading-rail'!$E$31:$E$48))*Impacts!$F$15,0)),0)</f>
        <v>0</v>
      </c>
      <c r="T1715" s="10">
        <f>IF(Flare!$C$7="",0,(SUMIF(Flare!$B$46:$B$185,$J1715,Flare!$E$46:$E$185)*Impacts!$F$16))</f>
        <v>0</v>
      </c>
      <c r="U1715" s="10">
        <f>IF(VCU!$C$9="",0,(SUMIF(VCU!$B$51:$B$193,$J1715,VCU!$E$51:$E$193)*Impacts!$F$17))</f>
        <v>0</v>
      </c>
      <c r="V1715" s="10">
        <f>IF(CAS!$C$7="",0,(SUMIF(CAS!$B$31:$B$167,$J1715,CAS!$E$31:$E$167)*Impacts!$F$18))</f>
        <v>0</v>
      </c>
      <c r="W1715" s="10">
        <f t="shared" si="67"/>
        <v>0</v>
      </c>
      <c r="AK1715" s="10" t="str">
        <f t="array" ref="AK1715">IFERROR(INDEX(SelectedSpecies,SMALL(IF(SelectedSpecies=AK$1,ROW(SelectedSpecies)),ROW(1716:1716)),2),"")</f>
        <v/>
      </c>
      <c r="BE1715" s="10"/>
      <c r="BI1715" s="10"/>
    </row>
    <row r="1716" spans="1:61" ht="21" customHeight="1" x14ac:dyDescent="0.25">
      <c r="A1716" s="10"/>
      <c r="B1716" s="10"/>
      <c r="E1716" s="10"/>
      <c r="G1716" s="10"/>
      <c r="I1716" s="436" t="s">
        <v>5892</v>
      </c>
      <c r="J1716" s="26" t="s">
        <v>5891</v>
      </c>
      <c r="K1716" s="10">
        <v>1</v>
      </c>
      <c r="L1716" s="73">
        <f>IF(Tank1!$C$23="No control",(SUMIF(Tank1!$B$32:$B$49,$J1716,Tank1!$C$32:$C$49)*Impacts!$F$8),0)</f>
        <v>0</v>
      </c>
      <c r="M1716" s="10">
        <f>IF(Tank2!$C$23="No control",(SUMIF(Tank2!$B$32:$B$49,$J1716,Tank2!$C$32:$C$49)*Impacts!$F$9),0)</f>
        <v>0</v>
      </c>
      <c r="N1716" s="10">
        <f>IF(Tank3!$C$23="No control",(SUMIF(Tank3!$B$32:$B$49,$J1716,Tank3!$C$32:$C$49)*Impacts!$F$10),0)</f>
        <v>0</v>
      </c>
      <c r="O1716" s="10">
        <f>IF(Tank4!$C$23="No control",(SUMIF(Tank4!$B$32:$B$49,$J1716,Tank4!$C$32:$C$49)*Impacts!$F$11),0)</f>
        <v>0</v>
      </c>
      <c r="P1716" s="10">
        <f>IF(Tank5!$C$23="No control",(SUMIF(Tank5!$B$32:$B$49,$J1716,Tank5!$C$32:$C$49)*Impacts!$F$12),0)</f>
        <v>0</v>
      </c>
      <c r="Q1716" s="10">
        <f>IFERROR(IF(('Loading-drum,tote'!$C$21)="No control",SUMIF(('Loading-drum,tote'!$B$31:$B$48),$J1716,('Loading-drum,tote'!$D$31:$D$48))*Impacts!$F$13,IF(('Loading-drum,tote'!$C$21)&lt;&gt;"No control",SUMIF(('Loading-drum,tote'!$B$31:$B$48),$J1716,('Loading-drum,tote'!$E$31:$E$48))*Impacts!$F$13,0)),0)</f>
        <v>0</v>
      </c>
      <c r="R1716" s="10">
        <f>IFERROR(IF(('Loading-truck'!$C$21)="No control",SUMIF(('Loading-truck'!$B$31:$B$48),$J1716,('Loading-truck'!$D$31:$D$48))*Impacts!$F$14,IF(('Loading-truck'!$C$21)&lt;&gt;"No control",SUMIF(('Loading-truck'!$B$31:$B$48),$J1716,('Loading-truck'!$E$31:$E$48))*Impacts!$F$14,0)),0)</f>
        <v>0</v>
      </c>
      <c r="S1716" s="10">
        <f>IFERROR(IF(('Loading-rail'!$C$21)="No control",SUMIF(('Loading-rail'!$B$31:$B$48),$J1716,('Loading-rail'!$D$31:$D$48))*Impacts!$F$15,IF(('Loading-rail'!$C$21)&lt;&gt;"No control",SUMIF(('Loading-rail'!$B$31:$B$48),$J1716,('Loading-rail'!$E$31:$E$48))*Impacts!$F$15,0)),0)</f>
        <v>0</v>
      </c>
      <c r="T1716" s="10">
        <f>IF(Flare!$C$7="",0,(SUMIF(Flare!$B$46:$B$185,$J1716,Flare!$E$46:$E$185)*Impacts!$F$16))</f>
        <v>0</v>
      </c>
      <c r="U1716" s="10">
        <f>IF(VCU!$C$9="",0,(SUMIF(VCU!$B$51:$B$193,$J1716,VCU!$E$51:$E$193)*Impacts!$F$17))</f>
        <v>0</v>
      </c>
      <c r="V1716" s="10">
        <f>IF(CAS!$C$7="",0,(SUMIF(CAS!$B$31:$B$167,$J1716,CAS!$E$31:$E$167)*Impacts!$F$18))</f>
        <v>0</v>
      </c>
      <c r="W1716" s="10">
        <f t="shared" si="67"/>
        <v>0</v>
      </c>
      <c r="AK1716" s="10" t="str">
        <f t="array" ref="AK1716">IFERROR(INDEX(SelectedSpecies,SMALL(IF(SelectedSpecies=AK$1,ROW(SelectedSpecies)),ROW(1717:1717)),2),"")</f>
        <v/>
      </c>
      <c r="BE1716" s="10"/>
      <c r="BI1716" s="10"/>
    </row>
    <row r="1717" spans="1:61" ht="21" customHeight="1" x14ac:dyDescent="0.25">
      <c r="A1717" s="10"/>
      <c r="B1717" s="10"/>
      <c r="E1717" s="10"/>
      <c r="G1717" s="10"/>
      <c r="I1717" s="436" t="s">
        <v>1036</v>
      </c>
      <c r="J1717" s="26" t="s">
        <v>1035</v>
      </c>
      <c r="K1717" s="10">
        <v>35</v>
      </c>
      <c r="L1717" s="73">
        <f>IF(Tank1!$C$23="No control",(SUMIF(Tank1!$B$32:$B$49,$J1717,Tank1!$C$32:$C$49)*Impacts!$F$8),0)</f>
        <v>0</v>
      </c>
      <c r="M1717" s="10">
        <f>IF(Tank2!$C$23="No control",(SUMIF(Tank2!$B$32:$B$49,$J1717,Tank2!$C$32:$C$49)*Impacts!$F$9),0)</f>
        <v>0</v>
      </c>
      <c r="N1717" s="10">
        <f>IF(Tank3!$C$23="No control",(SUMIF(Tank3!$B$32:$B$49,$J1717,Tank3!$C$32:$C$49)*Impacts!$F$10),0)</f>
        <v>0</v>
      </c>
      <c r="O1717" s="10">
        <f>IF(Tank4!$C$23="No control",(SUMIF(Tank4!$B$32:$B$49,$J1717,Tank4!$C$32:$C$49)*Impacts!$F$11),0)</f>
        <v>0</v>
      </c>
      <c r="P1717" s="10">
        <f>IF(Tank5!$C$23="No control",(SUMIF(Tank5!$B$32:$B$49,$J1717,Tank5!$C$32:$C$49)*Impacts!$F$12),0)</f>
        <v>0</v>
      </c>
      <c r="Q1717" s="10">
        <f>IFERROR(IF(('Loading-drum,tote'!$C$21)="No control",SUMIF(('Loading-drum,tote'!$B$31:$B$48),$J1717,('Loading-drum,tote'!$D$31:$D$48))*Impacts!$F$13,IF(('Loading-drum,tote'!$C$21)&lt;&gt;"No control",SUMIF(('Loading-drum,tote'!$B$31:$B$48),$J1717,('Loading-drum,tote'!$E$31:$E$48))*Impacts!$F$13,0)),0)</f>
        <v>0</v>
      </c>
      <c r="R1717" s="10">
        <f>IFERROR(IF(('Loading-truck'!$C$21)="No control",SUMIF(('Loading-truck'!$B$31:$B$48),$J1717,('Loading-truck'!$D$31:$D$48))*Impacts!$F$14,IF(('Loading-truck'!$C$21)&lt;&gt;"No control",SUMIF(('Loading-truck'!$B$31:$B$48),$J1717,('Loading-truck'!$E$31:$E$48))*Impacts!$F$14,0)),0)</f>
        <v>0</v>
      </c>
      <c r="S1717" s="10">
        <f>IFERROR(IF(('Loading-rail'!$C$21)="No control",SUMIF(('Loading-rail'!$B$31:$B$48),$J1717,('Loading-rail'!$D$31:$D$48))*Impacts!$F$15,IF(('Loading-rail'!$C$21)&lt;&gt;"No control",SUMIF(('Loading-rail'!$B$31:$B$48),$J1717,('Loading-rail'!$E$31:$E$48))*Impacts!$F$15,0)),0)</f>
        <v>0</v>
      </c>
      <c r="T1717" s="10">
        <f>IF(Flare!$C$7="",0,(SUMIF(Flare!$B$46:$B$185,$J1717,Flare!$E$46:$E$185)*Impacts!$F$16))</f>
        <v>0</v>
      </c>
      <c r="U1717" s="10">
        <f>IF(VCU!$C$9="",0,(SUMIF(VCU!$B$51:$B$193,$J1717,VCU!$E$51:$E$193)*Impacts!$F$17))</f>
        <v>0</v>
      </c>
      <c r="V1717" s="10">
        <f>IF(CAS!$C$7="",0,(SUMIF(CAS!$B$31:$B$167,$J1717,CAS!$E$31:$E$167)*Impacts!$F$18))</f>
        <v>0</v>
      </c>
      <c r="W1717" s="10">
        <f t="shared" si="67"/>
        <v>0</v>
      </c>
      <c r="AK1717" s="10" t="str">
        <f t="array" ref="AK1717">IFERROR(INDEX(SelectedSpecies,SMALL(IF(SelectedSpecies=AK$1,ROW(SelectedSpecies)),ROW(1718:1718)),2),"")</f>
        <v/>
      </c>
      <c r="BE1717" s="10"/>
      <c r="BI1717" s="10"/>
    </row>
    <row r="1718" spans="1:61" ht="21" customHeight="1" x14ac:dyDescent="0.25">
      <c r="A1718" s="10"/>
      <c r="B1718" s="10"/>
      <c r="E1718" s="10"/>
      <c r="G1718" s="10"/>
      <c r="I1718" s="436" t="s">
        <v>698</v>
      </c>
      <c r="J1718" s="26" t="s">
        <v>697</v>
      </c>
      <c r="K1718" s="10">
        <v>57</v>
      </c>
      <c r="L1718" s="73">
        <f>IF(Tank1!$C$23="No control",(SUMIF(Tank1!$B$32:$B$49,$J1718,Tank1!$C$32:$C$49)*Impacts!$F$8),0)</f>
        <v>0</v>
      </c>
      <c r="M1718" s="10">
        <f>IF(Tank2!$C$23="No control",(SUMIF(Tank2!$B$32:$B$49,$J1718,Tank2!$C$32:$C$49)*Impacts!$F$9),0)</f>
        <v>0</v>
      </c>
      <c r="N1718" s="10">
        <f>IF(Tank3!$C$23="No control",(SUMIF(Tank3!$B$32:$B$49,$J1718,Tank3!$C$32:$C$49)*Impacts!$F$10),0)</f>
        <v>0</v>
      </c>
      <c r="O1718" s="10">
        <f>IF(Tank4!$C$23="No control",(SUMIF(Tank4!$B$32:$B$49,$J1718,Tank4!$C$32:$C$49)*Impacts!$F$11),0)</f>
        <v>0</v>
      </c>
      <c r="P1718" s="10">
        <f>IF(Tank5!$C$23="No control",(SUMIF(Tank5!$B$32:$B$49,$J1718,Tank5!$C$32:$C$49)*Impacts!$F$12),0)</f>
        <v>0</v>
      </c>
      <c r="Q1718" s="10">
        <f>IFERROR(IF(('Loading-drum,tote'!$C$21)="No control",SUMIF(('Loading-drum,tote'!$B$31:$B$48),$J1718,('Loading-drum,tote'!$D$31:$D$48))*Impacts!$F$13,IF(('Loading-drum,tote'!$C$21)&lt;&gt;"No control",SUMIF(('Loading-drum,tote'!$B$31:$B$48),$J1718,('Loading-drum,tote'!$E$31:$E$48))*Impacts!$F$13,0)),0)</f>
        <v>0</v>
      </c>
      <c r="R1718" s="10">
        <f>IFERROR(IF(('Loading-truck'!$C$21)="No control",SUMIF(('Loading-truck'!$B$31:$B$48),$J1718,('Loading-truck'!$D$31:$D$48))*Impacts!$F$14,IF(('Loading-truck'!$C$21)&lt;&gt;"No control",SUMIF(('Loading-truck'!$B$31:$B$48),$J1718,('Loading-truck'!$E$31:$E$48))*Impacts!$F$14,0)),0)</f>
        <v>0</v>
      </c>
      <c r="S1718" s="10">
        <f>IFERROR(IF(('Loading-rail'!$C$21)="No control",SUMIF(('Loading-rail'!$B$31:$B$48),$J1718,('Loading-rail'!$D$31:$D$48))*Impacts!$F$15,IF(('Loading-rail'!$C$21)&lt;&gt;"No control",SUMIF(('Loading-rail'!$B$31:$B$48),$J1718,('Loading-rail'!$E$31:$E$48))*Impacts!$F$15,0)),0)</f>
        <v>0</v>
      </c>
      <c r="T1718" s="10">
        <f>IF(Flare!$C$7="",0,(SUMIF(Flare!$B$46:$B$185,$J1718,Flare!$E$46:$E$185)*Impacts!$F$16))</f>
        <v>0</v>
      </c>
      <c r="U1718" s="10">
        <f>IF(VCU!$C$9="",0,(SUMIF(VCU!$B$51:$B$193,$J1718,VCU!$E$51:$E$193)*Impacts!$F$17))</f>
        <v>0</v>
      </c>
      <c r="V1718" s="10">
        <f>IF(CAS!$C$7="",0,(SUMIF(CAS!$B$31:$B$167,$J1718,CAS!$E$31:$E$167)*Impacts!$F$18))</f>
        <v>0</v>
      </c>
      <c r="W1718" s="10">
        <f t="shared" si="67"/>
        <v>0</v>
      </c>
      <c r="AK1718" s="10" t="str">
        <f t="array" ref="AK1718">IFERROR(INDEX(SelectedSpecies,SMALL(IF(SelectedSpecies=AK$1,ROW(SelectedSpecies)),ROW(1719:1719)),2),"")</f>
        <v/>
      </c>
      <c r="BE1718" s="10"/>
      <c r="BI1718" s="10"/>
    </row>
    <row r="1719" spans="1:61" ht="21" customHeight="1" x14ac:dyDescent="0.25">
      <c r="A1719" s="10"/>
      <c r="B1719" s="10"/>
      <c r="E1719" s="10"/>
      <c r="G1719" s="10"/>
      <c r="I1719" s="436" t="s">
        <v>7910</v>
      </c>
      <c r="J1719" s="26" t="s">
        <v>7909</v>
      </c>
      <c r="K1719" s="10">
        <v>0.05</v>
      </c>
      <c r="L1719" s="73">
        <f>IF(Tank1!$C$23="No control",(SUMIF(Tank1!$B$32:$B$49,$J1719,Tank1!$C$32:$C$49)*Impacts!$F$8),0)</f>
        <v>0</v>
      </c>
      <c r="M1719" s="10">
        <f>IF(Tank2!$C$23="No control",(SUMIF(Tank2!$B$32:$B$49,$J1719,Tank2!$C$32:$C$49)*Impacts!$F$9),0)</f>
        <v>0</v>
      </c>
      <c r="N1719" s="10">
        <f>IF(Tank3!$C$23="No control",(SUMIF(Tank3!$B$32:$B$49,$J1719,Tank3!$C$32:$C$49)*Impacts!$F$10),0)</f>
        <v>0</v>
      </c>
      <c r="O1719" s="10">
        <f>IF(Tank4!$C$23="No control",(SUMIF(Tank4!$B$32:$B$49,$J1719,Tank4!$C$32:$C$49)*Impacts!$F$11),0)</f>
        <v>0</v>
      </c>
      <c r="P1719" s="10">
        <f>IF(Tank5!$C$23="No control",(SUMIF(Tank5!$B$32:$B$49,$J1719,Tank5!$C$32:$C$49)*Impacts!$F$12),0)</f>
        <v>0</v>
      </c>
      <c r="Q1719" s="10">
        <f>IFERROR(IF(('Loading-drum,tote'!$C$21)="No control",SUMIF(('Loading-drum,tote'!$B$31:$B$48),$J1719,('Loading-drum,tote'!$D$31:$D$48))*Impacts!$F$13,IF(('Loading-drum,tote'!$C$21)&lt;&gt;"No control",SUMIF(('Loading-drum,tote'!$B$31:$B$48),$J1719,('Loading-drum,tote'!$E$31:$E$48))*Impacts!$F$13,0)),0)</f>
        <v>0</v>
      </c>
      <c r="R1719" s="10">
        <f>IFERROR(IF(('Loading-truck'!$C$21)="No control",SUMIF(('Loading-truck'!$B$31:$B$48),$J1719,('Loading-truck'!$D$31:$D$48))*Impacts!$F$14,IF(('Loading-truck'!$C$21)&lt;&gt;"No control",SUMIF(('Loading-truck'!$B$31:$B$48),$J1719,('Loading-truck'!$E$31:$E$48))*Impacts!$F$14,0)),0)</f>
        <v>0</v>
      </c>
      <c r="S1719" s="10">
        <f>IFERROR(IF(('Loading-rail'!$C$21)="No control",SUMIF(('Loading-rail'!$B$31:$B$48),$J1719,('Loading-rail'!$D$31:$D$48))*Impacts!$F$15,IF(('Loading-rail'!$C$21)&lt;&gt;"No control",SUMIF(('Loading-rail'!$B$31:$B$48),$J1719,('Loading-rail'!$E$31:$E$48))*Impacts!$F$15,0)),0)</f>
        <v>0</v>
      </c>
      <c r="T1719" s="10">
        <f>IF(Flare!$C$7="",0,(SUMIF(Flare!$B$46:$B$185,$J1719,Flare!$E$46:$E$185)*Impacts!$F$16))</f>
        <v>0</v>
      </c>
      <c r="U1719" s="10">
        <f>IF(VCU!$C$9="",0,(SUMIF(VCU!$B$51:$B$193,$J1719,VCU!$E$51:$E$193)*Impacts!$F$17))</f>
        <v>0</v>
      </c>
      <c r="V1719" s="10">
        <f>IF(CAS!$C$7="",0,(SUMIF(CAS!$B$31:$B$167,$J1719,CAS!$E$31:$E$167)*Impacts!$F$18))</f>
        <v>0</v>
      </c>
      <c r="W1719" s="10">
        <f t="shared" si="67"/>
        <v>0</v>
      </c>
      <c r="AK1719" s="10" t="str">
        <f t="array" ref="AK1719">IFERROR(INDEX(SelectedSpecies,SMALL(IF(SelectedSpecies=AK$1,ROW(SelectedSpecies)),ROW(1720:1720)),2),"")</f>
        <v/>
      </c>
      <c r="BE1719" s="10"/>
      <c r="BI1719" s="10"/>
    </row>
    <row r="1720" spans="1:61" ht="21" customHeight="1" x14ac:dyDescent="0.25">
      <c r="A1720" s="10"/>
      <c r="B1720" s="10"/>
      <c r="E1720" s="10"/>
      <c r="G1720" s="10"/>
      <c r="I1720" s="436" t="s">
        <v>7176</v>
      </c>
      <c r="J1720" s="26" t="s">
        <v>7175</v>
      </c>
      <c r="K1720" s="10">
        <v>0.33</v>
      </c>
      <c r="L1720" s="73">
        <f>IF(Tank1!$C$23="No control",(SUMIF(Tank1!$B$32:$B$49,$J1720,Tank1!$C$32:$C$49)*Impacts!$F$8),0)</f>
        <v>0</v>
      </c>
      <c r="M1720" s="10">
        <f>IF(Tank2!$C$23="No control",(SUMIF(Tank2!$B$32:$B$49,$J1720,Tank2!$C$32:$C$49)*Impacts!$F$9),0)</f>
        <v>0</v>
      </c>
      <c r="N1720" s="10">
        <f>IF(Tank3!$C$23="No control",(SUMIF(Tank3!$B$32:$B$49,$J1720,Tank3!$C$32:$C$49)*Impacts!$F$10),0)</f>
        <v>0</v>
      </c>
      <c r="O1720" s="10">
        <f>IF(Tank4!$C$23="No control",(SUMIF(Tank4!$B$32:$B$49,$J1720,Tank4!$C$32:$C$49)*Impacts!$F$11),0)</f>
        <v>0</v>
      </c>
      <c r="P1720" s="10">
        <f>IF(Tank5!$C$23="No control",(SUMIF(Tank5!$B$32:$B$49,$J1720,Tank5!$C$32:$C$49)*Impacts!$F$12),0)</f>
        <v>0</v>
      </c>
      <c r="Q1720" s="10">
        <f>IFERROR(IF(('Loading-drum,tote'!$C$21)="No control",SUMIF(('Loading-drum,tote'!$B$31:$B$48),$J1720,('Loading-drum,tote'!$D$31:$D$48))*Impacts!$F$13,IF(('Loading-drum,tote'!$C$21)&lt;&gt;"No control",SUMIF(('Loading-drum,tote'!$B$31:$B$48),$J1720,('Loading-drum,tote'!$E$31:$E$48))*Impacts!$F$13,0)),0)</f>
        <v>0</v>
      </c>
      <c r="R1720" s="10">
        <f>IFERROR(IF(('Loading-truck'!$C$21)="No control",SUMIF(('Loading-truck'!$B$31:$B$48),$J1720,('Loading-truck'!$D$31:$D$48))*Impacts!$F$14,IF(('Loading-truck'!$C$21)&lt;&gt;"No control",SUMIF(('Loading-truck'!$B$31:$B$48),$J1720,('Loading-truck'!$E$31:$E$48))*Impacts!$F$14,0)),0)</f>
        <v>0</v>
      </c>
      <c r="S1720" s="10">
        <f>IFERROR(IF(('Loading-rail'!$C$21)="No control",SUMIF(('Loading-rail'!$B$31:$B$48),$J1720,('Loading-rail'!$D$31:$D$48))*Impacts!$F$15,IF(('Loading-rail'!$C$21)&lt;&gt;"No control",SUMIF(('Loading-rail'!$B$31:$B$48),$J1720,('Loading-rail'!$E$31:$E$48))*Impacts!$F$15,0)),0)</f>
        <v>0</v>
      </c>
      <c r="T1720" s="10">
        <f>IF(Flare!$C$7="",0,(SUMIF(Flare!$B$46:$B$185,$J1720,Flare!$E$46:$E$185)*Impacts!$F$16))</f>
        <v>0</v>
      </c>
      <c r="U1720" s="10">
        <f>IF(VCU!$C$9="",0,(SUMIF(VCU!$B$51:$B$193,$J1720,VCU!$E$51:$E$193)*Impacts!$F$17))</f>
        <v>0</v>
      </c>
      <c r="V1720" s="10">
        <f>IF(CAS!$C$7="",0,(SUMIF(CAS!$B$31:$B$167,$J1720,CAS!$E$31:$E$167)*Impacts!$F$18))</f>
        <v>0</v>
      </c>
      <c r="W1720" s="10">
        <f t="shared" si="67"/>
        <v>0</v>
      </c>
      <c r="AK1720" s="10" t="str">
        <f t="array" ref="AK1720">IFERROR(INDEX(SelectedSpecies,SMALL(IF(SelectedSpecies=AK$1,ROW(SelectedSpecies)),ROW(1721:1721)),2),"")</f>
        <v/>
      </c>
      <c r="BE1720" s="10"/>
      <c r="BI1720" s="10"/>
    </row>
    <row r="1721" spans="1:61" ht="21" customHeight="1" x14ac:dyDescent="0.25">
      <c r="A1721" s="10"/>
      <c r="B1721" s="10"/>
      <c r="E1721" s="10"/>
      <c r="G1721" s="10"/>
      <c r="I1721" s="436" t="s">
        <v>3749</v>
      </c>
      <c r="J1721" s="26" t="s">
        <v>3748</v>
      </c>
      <c r="K1721" s="10">
        <v>6.1000000000000005</v>
      </c>
      <c r="L1721" s="73">
        <f>IF(Tank1!$C$23="No control",(SUMIF(Tank1!$B$32:$B$49,$J1721,Tank1!$C$32:$C$49)*Impacts!$F$8),0)</f>
        <v>0</v>
      </c>
      <c r="M1721" s="10">
        <f>IF(Tank2!$C$23="No control",(SUMIF(Tank2!$B$32:$B$49,$J1721,Tank2!$C$32:$C$49)*Impacts!$F$9),0)</f>
        <v>0</v>
      </c>
      <c r="N1721" s="10">
        <f>IF(Tank3!$C$23="No control",(SUMIF(Tank3!$B$32:$B$49,$J1721,Tank3!$C$32:$C$49)*Impacts!$F$10),0)</f>
        <v>0</v>
      </c>
      <c r="O1721" s="10">
        <f>IF(Tank4!$C$23="No control",(SUMIF(Tank4!$B$32:$B$49,$J1721,Tank4!$C$32:$C$49)*Impacts!$F$11),0)</f>
        <v>0</v>
      </c>
      <c r="P1721" s="10">
        <f>IF(Tank5!$C$23="No control",(SUMIF(Tank5!$B$32:$B$49,$J1721,Tank5!$C$32:$C$49)*Impacts!$F$12),0)</f>
        <v>0</v>
      </c>
      <c r="Q1721" s="10">
        <f>IFERROR(IF(('Loading-drum,tote'!$C$21)="No control",SUMIF(('Loading-drum,tote'!$B$31:$B$48),$J1721,('Loading-drum,tote'!$D$31:$D$48))*Impacts!$F$13,IF(('Loading-drum,tote'!$C$21)&lt;&gt;"No control",SUMIF(('Loading-drum,tote'!$B$31:$B$48),$J1721,('Loading-drum,tote'!$E$31:$E$48))*Impacts!$F$13,0)),0)</f>
        <v>0</v>
      </c>
      <c r="R1721" s="10">
        <f>IFERROR(IF(('Loading-truck'!$C$21)="No control",SUMIF(('Loading-truck'!$B$31:$B$48),$J1721,('Loading-truck'!$D$31:$D$48))*Impacts!$F$14,IF(('Loading-truck'!$C$21)&lt;&gt;"No control",SUMIF(('Loading-truck'!$B$31:$B$48),$J1721,('Loading-truck'!$E$31:$E$48))*Impacts!$F$14,0)),0)</f>
        <v>0</v>
      </c>
      <c r="S1721" s="10">
        <f>IFERROR(IF(('Loading-rail'!$C$21)="No control",SUMIF(('Loading-rail'!$B$31:$B$48),$J1721,('Loading-rail'!$D$31:$D$48))*Impacts!$F$15,IF(('Loading-rail'!$C$21)&lt;&gt;"No control",SUMIF(('Loading-rail'!$B$31:$B$48),$J1721,('Loading-rail'!$E$31:$E$48))*Impacts!$F$15,0)),0)</f>
        <v>0</v>
      </c>
      <c r="T1721" s="10">
        <f>IF(Flare!$C$7="",0,(SUMIF(Flare!$B$46:$B$185,$J1721,Flare!$E$46:$E$185)*Impacts!$F$16))</f>
        <v>0</v>
      </c>
      <c r="U1721" s="10">
        <f>IF(VCU!$C$9="",0,(SUMIF(VCU!$B$51:$B$193,$J1721,VCU!$E$51:$E$193)*Impacts!$F$17))</f>
        <v>0</v>
      </c>
      <c r="V1721" s="10">
        <f>IF(CAS!$C$7="",0,(SUMIF(CAS!$B$31:$B$167,$J1721,CAS!$E$31:$E$167)*Impacts!$F$18))</f>
        <v>0</v>
      </c>
      <c r="W1721" s="10">
        <f t="shared" si="67"/>
        <v>0</v>
      </c>
      <c r="AK1721" s="10" t="str">
        <f t="array" ref="AK1721">IFERROR(INDEX(SelectedSpecies,SMALL(IF(SelectedSpecies=AK$1,ROW(SelectedSpecies)),ROW(1722:1722)),2),"")</f>
        <v/>
      </c>
      <c r="BE1721" s="10"/>
      <c r="BI1721" s="10"/>
    </row>
    <row r="1722" spans="1:61" ht="21" customHeight="1" x14ac:dyDescent="0.25">
      <c r="A1722" s="10"/>
      <c r="B1722" s="10"/>
      <c r="E1722" s="10"/>
      <c r="G1722" s="10"/>
      <c r="I1722" s="436" t="s">
        <v>5231</v>
      </c>
      <c r="J1722" s="26" t="s">
        <v>5230</v>
      </c>
      <c r="K1722" s="10">
        <v>1.9000000000000001</v>
      </c>
      <c r="L1722" s="73">
        <f>IF(Tank1!$C$23="No control",(SUMIF(Tank1!$B$32:$B$49,$J1722,Tank1!$C$32:$C$49)*Impacts!$F$8),0)</f>
        <v>0</v>
      </c>
      <c r="M1722" s="10">
        <f>IF(Tank2!$C$23="No control",(SUMIF(Tank2!$B$32:$B$49,$J1722,Tank2!$C$32:$C$49)*Impacts!$F$9),0)</f>
        <v>0</v>
      </c>
      <c r="N1722" s="10">
        <f>IF(Tank3!$C$23="No control",(SUMIF(Tank3!$B$32:$B$49,$J1722,Tank3!$C$32:$C$49)*Impacts!$F$10),0)</f>
        <v>0</v>
      </c>
      <c r="O1722" s="10">
        <f>IF(Tank4!$C$23="No control",(SUMIF(Tank4!$B$32:$B$49,$J1722,Tank4!$C$32:$C$49)*Impacts!$F$11),0)</f>
        <v>0</v>
      </c>
      <c r="P1722" s="10">
        <f>IF(Tank5!$C$23="No control",(SUMIF(Tank5!$B$32:$B$49,$J1722,Tank5!$C$32:$C$49)*Impacts!$F$12),0)</f>
        <v>0</v>
      </c>
      <c r="Q1722" s="10">
        <f>IFERROR(IF(('Loading-drum,tote'!$C$21)="No control",SUMIF(('Loading-drum,tote'!$B$31:$B$48),$J1722,('Loading-drum,tote'!$D$31:$D$48))*Impacts!$F$13,IF(('Loading-drum,tote'!$C$21)&lt;&gt;"No control",SUMIF(('Loading-drum,tote'!$B$31:$B$48),$J1722,('Loading-drum,tote'!$E$31:$E$48))*Impacts!$F$13,0)),0)</f>
        <v>0</v>
      </c>
      <c r="R1722" s="10">
        <f>IFERROR(IF(('Loading-truck'!$C$21)="No control",SUMIF(('Loading-truck'!$B$31:$B$48),$J1722,('Loading-truck'!$D$31:$D$48))*Impacts!$F$14,IF(('Loading-truck'!$C$21)&lt;&gt;"No control",SUMIF(('Loading-truck'!$B$31:$B$48),$J1722,('Loading-truck'!$E$31:$E$48))*Impacts!$F$14,0)),0)</f>
        <v>0</v>
      </c>
      <c r="S1722" s="10">
        <f>IFERROR(IF(('Loading-rail'!$C$21)="No control",SUMIF(('Loading-rail'!$B$31:$B$48),$J1722,('Loading-rail'!$D$31:$D$48))*Impacts!$F$15,IF(('Loading-rail'!$C$21)&lt;&gt;"No control",SUMIF(('Loading-rail'!$B$31:$B$48),$J1722,('Loading-rail'!$E$31:$E$48))*Impacts!$F$15,0)),0)</f>
        <v>0</v>
      </c>
      <c r="T1722" s="10">
        <f>IF(Flare!$C$7="",0,(SUMIF(Flare!$B$46:$B$185,$J1722,Flare!$E$46:$E$185)*Impacts!$F$16))</f>
        <v>0</v>
      </c>
      <c r="U1722" s="10">
        <f>IF(VCU!$C$9="",0,(SUMIF(VCU!$B$51:$B$193,$J1722,VCU!$E$51:$E$193)*Impacts!$F$17))</f>
        <v>0</v>
      </c>
      <c r="V1722" s="10">
        <f>IF(CAS!$C$7="",0,(SUMIF(CAS!$B$31:$B$167,$J1722,CAS!$E$31:$E$167)*Impacts!$F$18))</f>
        <v>0</v>
      </c>
      <c r="W1722" s="10">
        <f t="shared" si="67"/>
        <v>0</v>
      </c>
      <c r="AK1722" s="10" t="str">
        <f t="array" ref="AK1722">IFERROR(INDEX(SelectedSpecies,SMALL(IF(SelectedSpecies=AK$1,ROW(SelectedSpecies)),ROW(1723:1723)),2),"")</f>
        <v/>
      </c>
      <c r="BE1722" s="10"/>
      <c r="BI1722" s="10"/>
    </row>
    <row r="1723" spans="1:61" ht="21" customHeight="1" x14ac:dyDescent="0.25">
      <c r="A1723" s="10"/>
      <c r="B1723" s="10"/>
      <c r="E1723" s="10"/>
      <c r="G1723" s="10"/>
      <c r="I1723" s="436" t="s">
        <v>5894</v>
      </c>
      <c r="J1723" s="26" t="s">
        <v>5893</v>
      </c>
      <c r="K1723" s="10">
        <v>1</v>
      </c>
      <c r="L1723" s="73">
        <f>IF(Tank1!$C$23="No control",(SUMIF(Tank1!$B$32:$B$49,$J1723,Tank1!$C$32:$C$49)*Impacts!$F$8),0)</f>
        <v>0</v>
      </c>
      <c r="M1723" s="10">
        <f>IF(Tank2!$C$23="No control",(SUMIF(Tank2!$B$32:$B$49,$J1723,Tank2!$C$32:$C$49)*Impacts!$F$9),0)</f>
        <v>0</v>
      </c>
      <c r="N1723" s="10">
        <f>IF(Tank3!$C$23="No control",(SUMIF(Tank3!$B$32:$B$49,$J1723,Tank3!$C$32:$C$49)*Impacts!$F$10),0)</f>
        <v>0</v>
      </c>
      <c r="O1723" s="10">
        <f>IF(Tank4!$C$23="No control",(SUMIF(Tank4!$B$32:$B$49,$J1723,Tank4!$C$32:$C$49)*Impacts!$F$11),0)</f>
        <v>0</v>
      </c>
      <c r="P1723" s="10">
        <f>IF(Tank5!$C$23="No control",(SUMIF(Tank5!$B$32:$B$49,$J1723,Tank5!$C$32:$C$49)*Impacts!$F$12),0)</f>
        <v>0</v>
      </c>
      <c r="Q1723" s="10">
        <f>IFERROR(IF(('Loading-drum,tote'!$C$21)="No control",SUMIF(('Loading-drum,tote'!$B$31:$B$48),$J1723,('Loading-drum,tote'!$D$31:$D$48))*Impacts!$F$13,IF(('Loading-drum,tote'!$C$21)&lt;&gt;"No control",SUMIF(('Loading-drum,tote'!$B$31:$B$48),$J1723,('Loading-drum,tote'!$E$31:$E$48))*Impacts!$F$13,0)),0)</f>
        <v>0</v>
      </c>
      <c r="R1723" s="10">
        <f>IFERROR(IF(('Loading-truck'!$C$21)="No control",SUMIF(('Loading-truck'!$B$31:$B$48),$J1723,('Loading-truck'!$D$31:$D$48))*Impacts!$F$14,IF(('Loading-truck'!$C$21)&lt;&gt;"No control",SUMIF(('Loading-truck'!$B$31:$B$48),$J1723,('Loading-truck'!$E$31:$E$48))*Impacts!$F$14,0)),0)</f>
        <v>0</v>
      </c>
      <c r="S1723" s="10">
        <f>IFERROR(IF(('Loading-rail'!$C$21)="No control",SUMIF(('Loading-rail'!$B$31:$B$48),$J1723,('Loading-rail'!$D$31:$D$48))*Impacts!$F$15,IF(('Loading-rail'!$C$21)&lt;&gt;"No control",SUMIF(('Loading-rail'!$B$31:$B$48),$J1723,('Loading-rail'!$E$31:$E$48))*Impacts!$F$15,0)),0)</f>
        <v>0</v>
      </c>
      <c r="T1723" s="10">
        <f>IF(Flare!$C$7="",0,(SUMIF(Flare!$B$46:$B$185,$J1723,Flare!$E$46:$E$185)*Impacts!$F$16))</f>
        <v>0</v>
      </c>
      <c r="U1723" s="10">
        <f>IF(VCU!$C$9="",0,(SUMIF(VCU!$B$51:$B$193,$J1723,VCU!$E$51:$E$193)*Impacts!$F$17))</f>
        <v>0</v>
      </c>
      <c r="V1723" s="10">
        <f>IF(CAS!$C$7="",0,(SUMIF(CAS!$B$31:$B$167,$J1723,CAS!$E$31:$E$167)*Impacts!$F$18))</f>
        <v>0</v>
      </c>
      <c r="W1723" s="10">
        <f t="shared" si="67"/>
        <v>0</v>
      </c>
      <c r="AK1723" s="10" t="str">
        <f t="array" ref="AK1723">IFERROR(INDEX(SelectedSpecies,SMALL(IF(SelectedSpecies=AK$1,ROW(SelectedSpecies)),ROW(1724:1724)),2),"")</f>
        <v/>
      </c>
      <c r="BE1723" s="10"/>
      <c r="BI1723" s="10"/>
    </row>
    <row r="1724" spans="1:61" ht="21" customHeight="1" x14ac:dyDescent="0.25">
      <c r="A1724" s="10"/>
      <c r="B1724" s="10"/>
      <c r="E1724" s="10"/>
      <c r="G1724" s="10"/>
      <c r="I1724" s="436" t="s">
        <v>1038</v>
      </c>
      <c r="J1724" s="26" t="s">
        <v>1037</v>
      </c>
      <c r="K1724" s="10">
        <v>35</v>
      </c>
      <c r="L1724" s="73">
        <f>IF(Tank1!$C$23="No control",(SUMIF(Tank1!$B$32:$B$49,$J1724,Tank1!$C$32:$C$49)*Impacts!$F$8),0)</f>
        <v>0</v>
      </c>
      <c r="M1724" s="10">
        <f>IF(Tank2!$C$23="No control",(SUMIF(Tank2!$B$32:$B$49,$J1724,Tank2!$C$32:$C$49)*Impacts!$F$9),0)</f>
        <v>0</v>
      </c>
      <c r="N1724" s="10">
        <f>IF(Tank3!$C$23="No control",(SUMIF(Tank3!$B$32:$B$49,$J1724,Tank3!$C$32:$C$49)*Impacts!$F$10),0)</f>
        <v>0</v>
      </c>
      <c r="O1724" s="10">
        <f>IF(Tank4!$C$23="No control",(SUMIF(Tank4!$B$32:$B$49,$J1724,Tank4!$C$32:$C$49)*Impacts!$F$11),0)</f>
        <v>0</v>
      </c>
      <c r="P1724" s="10">
        <f>IF(Tank5!$C$23="No control",(SUMIF(Tank5!$B$32:$B$49,$J1724,Tank5!$C$32:$C$49)*Impacts!$F$12),0)</f>
        <v>0</v>
      </c>
      <c r="Q1724" s="10">
        <f>IFERROR(IF(('Loading-drum,tote'!$C$21)="No control",SUMIF(('Loading-drum,tote'!$B$31:$B$48),$J1724,('Loading-drum,tote'!$D$31:$D$48))*Impacts!$F$13,IF(('Loading-drum,tote'!$C$21)&lt;&gt;"No control",SUMIF(('Loading-drum,tote'!$B$31:$B$48),$J1724,('Loading-drum,tote'!$E$31:$E$48))*Impacts!$F$13,0)),0)</f>
        <v>0</v>
      </c>
      <c r="R1724" s="10">
        <f>IFERROR(IF(('Loading-truck'!$C$21)="No control",SUMIF(('Loading-truck'!$B$31:$B$48),$J1724,('Loading-truck'!$D$31:$D$48))*Impacts!$F$14,IF(('Loading-truck'!$C$21)&lt;&gt;"No control",SUMIF(('Loading-truck'!$B$31:$B$48),$J1724,('Loading-truck'!$E$31:$E$48))*Impacts!$F$14,0)),0)</f>
        <v>0</v>
      </c>
      <c r="S1724" s="10">
        <f>IFERROR(IF(('Loading-rail'!$C$21)="No control",SUMIF(('Loading-rail'!$B$31:$B$48),$J1724,('Loading-rail'!$D$31:$D$48))*Impacts!$F$15,IF(('Loading-rail'!$C$21)&lt;&gt;"No control",SUMIF(('Loading-rail'!$B$31:$B$48),$J1724,('Loading-rail'!$E$31:$E$48))*Impacts!$F$15,0)),0)</f>
        <v>0</v>
      </c>
      <c r="T1724" s="10">
        <f>IF(Flare!$C$7="",0,(SUMIF(Flare!$B$46:$B$185,$J1724,Flare!$E$46:$E$185)*Impacts!$F$16))</f>
        <v>0</v>
      </c>
      <c r="U1724" s="10">
        <f>IF(VCU!$C$9="",0,(SUMIF(VCU!$B$51:$B$193,$J1724,VCU!$E$51:$E$193)*Impacts!$F$17))</f>
        <v>0</v>
      </c>
      <c r="V1724" s="10">
        <f>IF(CAS!$C$7="",0,(SUMIF(CAS!$B$31:$B$167,$J1724,CAS!$E$31:$E$167)*Impacts!$F$18))</f>
        <v>0</v>
      </c>
      <c r="W1724" s="10">
        <f t="shared" si="67"/>
        <v>0</v>
      </c>
      <c r="AK1724" s="10" t="str">
        <f t="array" ref="AK1724">IFERROR(INDEX(SelectedSpecies,SMALL(IF(SelectedSpecies=AK$1,ROW(SelectedSpecies)),ROW(1725:1725)),2),"")</f>
        <v/>
      </c>
      <c r="BE1724" s="10"/>
      <c r="BI1724" s="10"/>
    </row>
    <row r="1725" spans="1:61" ht="21" customHeight="1" x14ac:dyDescent="0.25">
      <c r="A1725" s="10"/>
      <c r="B1725" s="10"/>
      <c r="E1725" s="10"/>
      <c r="G1725" s="10"/>
      <c r="I1725" s="436" t="s">
        <v>2127</v>
      </c>
      <c r="J1725" s="26" t="s">
        <v>2126</v>
      </c>
      <c r="K1725" s="10">
        <v>15</v>
      </c>
      <c r="L1725" s="73">
        <f>IF(Tank1!$C$23="No control",(SUMIF(Tank1!$B$32:$B$49,$J1725,Tank1!$C$32:$C$49)*Impacts!$F$8),0)</f>
        <v>0</v>
      </c>
      <c r="M1725" s="10">
        <f>IF(Tank2!$C$23="No control",(SUMIF(Tank2!$B$32:$B$49,$J1725,Tank2!$C$32:$C$49)*Impacts!$F$9),0)</f>
        <v>0</v>
      </c>
      <c r="N1725" s="10">
        <f>IF(Tank3!$C$23="No control",(SUMIF(Tank3!$B$32:$B$49,$J1725,Tank3!$C$32:$C$49)*Impacts!$F$10),0)</f>
        <v>0</v>
      </c>
      <c r="O1725" s="10">
        <f>IF(Tank4!$C$23="No control",(SUMIF(Tank4!$B$32:$B$49,$J1725,Tank4!$C$32:$C$49)*Impacts!$F$11),0)</f>
        <v>0</v>
      </c>
      <c r="P1725" s="10">
        <f>IF(Tank5!$C$23="No control",(SUMIF(Tank5!$B$32:$B$49,$J1725,Tank5!$C$32:$C$49)*Impacts!$F$12),0)</f>
        <v>0</v>
      </c>
      <c r="Q1725" s="10">
        <f>IFERROR(IF(('Loading-drum,tote'!$C$21)="No control",SUMIF(('Loading-drum,tote'!$B$31:$B$48),$J1725,('Loading-drum,tote'!$D$31:$D$48))*Impacts!$F$13,IF(('Loading-drum,tote'!$C$21)&lt;&gt;"No control",SUMIF(('Loading-drum,tote'!$B$31:$B$48),$J1725,('Loading-drum,tote'!$E$31:$E$48))*Impacts!$F$13,0)),0)</f>
        <v>0</v>
      </c>
      <c r="R1725" s="10">
        <f>IFERROR(IF(('Loading-truck'!$C$21)="No control",SUMIF(('Loading-truck'!$B$31:$B$48),$J1725,('Loading-truck'!$D$31:$D$48))*Impacts!$F$14,IF(('Loading-truck'!$C$21)&lt;&gt;"No control",SUMIF(('Loading-truck'!$B$31:$B$48),$J1725,('Loading-truck'!$E$31:$E$48))*Impacts!$F$14,0)),0)</f>
        <v>0</v>
      </c>
      <c r="S1725" s="10">
        <f>IFERROR(IF(('Loading-rail'!$C$21)="No control",SUMIF(('Loading-rail'!$B$31:$B$48),$J1725,('Loading-rail'!$D$31:$D$48))*Impacts!$F$15,IF(('Loading-rail'!$C$21)&lt;&gt;"No control",SUMIF(('Loading-rail'!$B$31:$B$48),$J1725,('Loading-rail'!$E$31:$E$48))*Impacts!$F$15,0)),0)</f>
        <v>0</v>
      </c>
      <c r="T1725" s="10">
        <f>IF(Flare!$C$7="",0,(SUMIF(Flare!$B$46:$B$185,$J1725,Flare!$E$46:$E$185)*Impacts!$F$16))</f>
        <v>0</v>
      </c>
      <c r="U1725" s="10">
        <f>IF(VCU!$C$9="",0,(SUMIF(VCU!$B$51:$B$193,$J1725,VCU!$E$51:$E$193)*Impacts!$F$17))</f>
        <v>0</v>
      </c>
      <c r="V1725" s="10">
        <f>IF(CAS!$C$7="",0,(SUMIF(CAS!$B$31:$B$167,$J1725,CAS!$E$31:$E$167)*Impacts!$F$18))</f>
        <v>0</v>
      </c>
      <c r="W1725" s="10">
        <f t="shared" si="67"/>
        <v>0</v>
      </c>
      <c r="AK1725" s="10" t="str">
        <f t="array" ref="AK1725">IFERROR(INDEX(SelectedSpecies,SMALL(IF(SelectedSpecies=AK$1,ROW(SelectedSpecies)),ROW(1726:1726)),2),"")</f>
        <v/>
      </c>
      <c r="BE1725" s="10"/>
      <c r="BI1725" s="10"/>
    </row>
    <row r="1726" spans="1:61" ht="21" customHeight="1" x14ac:dyDescent="0.25">
      <c r="A1726" s="10"/>
      <c r="B1726" s="10"/>
      <c r="E1726" s="10"/>
      <c r="G1726" s="10"/>
      <c r="I1726" s="436" t="s">
        <v>5896</v>
      </c>
      <c r="J1726" s="26" t="s">
        <v>5895</v>
      </c>
      <c r="K1726" s="10">
        <v>1</v>
      </c>
      <c r="L1726" s="73">
        <f>IF(Tank1!$C$23="No control",(SUMIF(Tank1!$B$32:$B$49,$J1726,Tank1!$C$32:$C$49)*Impacts!$F$8),0)</f>
        <v>0</v>
      </c>
      <c r="M1726" s="10">
        <f>IF(Tank2!$C$23="No control",(SUMIF(Tank2!$B$32:$B$49,$J1726,Tank2!$C$32:$C$49)*Impacts!$F$9),0)</f>
        <v>0</v>
      </c>
      <c r="N1726" s="10">
        <f>IF(Tank3!$C$23="No control",(SUMIF(Tank3!$B$32:$B$49,$J1726,Tank3!$C$32:$C$49)*Impacts!$F$10),0)</f>
        <v>0</v>
      </c>
      <c r="O1726" s="10">
        <f>IF(Tank4!$C$23="No control",(SUMIF(Tank4!$B$32:$B$49,$J1726,Tank4!$C$32:$C$49)*Impacts!$F$11),0)</f>
        <v>0</v>
      </c>
      <c r="P1726" s="10">
        <f>IF(Tank5!$C$23="No control",(SUMIF(Tank5!$B$32:$B$49,$J1726,Tank5!$C$32:$C$49)*Impacts!$F$12),0)</f>
        <v>0</v>
      </c>
      <c r="Q1726" s="10">
        <f>IFERROR(IF(('Loading-drum,tote'!$C$21)="No control",SUMIF(('Loading-drum,tote'!$B$31:$B$48),$J1726,('Loading-drum,tote'!$D$31:$D$48))*Impacts!$F$13,IF(('Loading-drum,tote'!$C$21)&lt;&gt;"No control",SUMIF(('Loading-drum,tote'!$B$31:$B$48),$J1726,('Loading-drum,tote'!$E$31:$E$48))*Impacts!$F$13,0)),0)</f>
        <v>0</v>
      </c>
      <c r="R1726" s="10">
        <f>IFERROR(IF(('Loading-truck'!$C$21)="No control",SUMIF(('Loading-truck'!$B$31:$B$48),$J1726,('Loading-truck'!$D$31:$D$48))*Impacts!$F$14,IF(('Loading-truck'!$C$21)&lt;&gt;"No control",SUMIF(('Loading-truck'!$B$31:$B$48),$J1726,('Loading-truck'!$E$31:$E$48))*Impacts!$F$14,0)),0)</f>
        <v>0</v>
      </c>
      <c r="S1726" s="10">
        <f>IFERROR(IF(('Loading-rail'!$C$21)="No control",SUMIF(('Loading-rail'!$B$31:$B$48),$J1726,('Loading-rail'!$D$31:$D$48))*Impacts!$F$15,IF(('Loading-rail'!$C$21)&lt;&gt;"No control",SUMIF(('Loading-rail'!$B$31:$B$48),$J1726,('Loading-rail'!$E$31:$E$48))*Impacts!$F$15,0)),0)</f>
        <v>0</v>
      </c>
      <c r="T1726" s="10">
        <f>IF(Flare!$C$7="",0,(SUMIF(Flare!$B$46:$B$185,$J1726,Flare!$E$46:$E$185)*Impacts!$F$16))</f>
        <v>0</v>
      </c>
      <c r="U1726" s="10">
        <f>IF(VCU!$C$9="",0,(SUMIF(VCU!$B$51:$B$193,$J1726,VCU!$E$51:$E$193)*Impacts!$F$17))</f>
        <v>0</v>
      </c>
      <c r="V1726" s="10">
        <f>IF(CAS!$C$7="",0,(SUMIF(CAS!$B$31:$B$167,$J1726,CAS!$E$31:$E$167)*Impacts!$F$18))</f>
        <v>0</v>
      </c>
      <c r="W1726" s="10">
        <f t="shared" si="67"/>
        <v>0</v>
      </c>
      <c r="AK1726" s="10" t="str">
        <f t="array" ref="AK1726">IFERROR(INDEX(SelectedSpecies,SMALL(IF(SelectedSpecies=AK$1,ROW(SelectedSpecies)),ROW(1727:1727)),2),"")</f>
        <v/>
      </c>
      <c r="BE1726" s="10"/>
      <c r="BI1726" s="10"/>
    </row>
    <row r="1727" spans="1:61" ht="21" customHeight="1" x14ac:dyDescent="0.25">
      <c r="A1727" s="10"/>
      <c r="B1727" s="10"/>
      <c r="E1727" s="10"/>
      <c r="G1727" s="10"/>
      <c r="I1727" s="436" t="s">
        <v>7912</v>
      </c>
      <c r="J1727" s="26" t="s">
        <v>7911</v>
      </c>
      <c r="K1727" s="10">
        <v>0.05</v>
      </c>
      <c r="L1727" s="73">
        <f>IF(Tank1!$C$23="No control",(SUMIF(Tank1!$B$32:$B$49,$J1727,Tank1!$C$32:$C$49)*Impacts!$F$8),0)</f>
        <v>0</v>
      </c>
      <c r="M1727" s="10">
        <f>IF(Tank2!$C$23="No control",(SUMIF(Tank2!$B$32:$B$49,$J1727,Tank2!$C$32:$C$49)*Impacts!$F$9),0)</f>
        <v>0</v>
      </c>
      <c r="N1727" s="10">
        <f>IF(Tank3!$C$23="No control",(SUMIF(Tank3!$B$32:$B$49,$J1727,Tank3!$C$32:$C$49)*Impacts!$F$10),0)</f>
        <v>0</v>
      </c>
      <c r="O1727" s="10">
        <f>IF(Tank4!$C$23="No control",(SUMIF(Tank4!$B$32:$B$49,$J1727,Tank4!$C$32:$C$49)*Impacts!$F$11),0)</f>
        <v>0</v>
      </c>
      <c r="P1727" s="10">
        <f>IF(Tank5!$C$23="No control",(SUMIF(Tank5!$B$32:$B$49,$J1727,Tank5!$C$32:$C$49)*Impacts!$F$12),0)</f>
        <v>0</v>
      </c>
      <c r="Q1727" s="10">
        <f>IFERROR(IF(('Loading-drum,tote'!$C$21)="No control",SUMIF(('Loading-drum,tote'!$B$31:$B$48),$J1727,('Loading-drum,tote'!$D$31:$D$48))*Impacts!$F$13,IF(('Loading-drum,tote'!$C$21)&lt;&gt;"No control",SUMIF(('Loading-drum,tote'!$B$31:$B$48),$J1727,('Loading-drum,tote'!$E$31:$E$48))*Impacts!$F$13,0)),0)</f>
        <v>0</v>
      </c>
      <c r="R1727" s="10">
        <f>IFERROR(IF(('Loading-truck'!$C$21)="No control",SUMIF(('Loading-truck'!$B$31:$B$48),$J1727,('Loading-truck'!$D$31:$D$48))*Impacts!$F$14,IF(('Loading-truck'!$C$21)&lt;&gt;"No control",SUMIF(('Loading-truck'!$B$31:$B$48),$J1727,('Loading-truck'!$E$31:$E$48))*Impacts!$F$14,0)),0)</f>
        <v>0</v>
      </c>
      <c r="S1727" s="10">
        <f>IFERROR(IF(('Loading-rail'!$C$21)="No control",SUMIF(('Loading-rail'!$B$31:$B$48),$J1727,('Loading-rail'!$D$31:$D$48))*Impacts!$F$15,IF(('Loading-rail'!$C$21)&lt;&gt;"No control",SUMIF(('Loading-rail'!$B$31:$B$48),$J1727,('Loading-rail'!$E$31:$E$48))*Impacts!$F$15,0)),0)</f>
        <v>0</v>
      </c>
      <c r="T1727" s="10">
        <f>IF(Flare!$C$7="",0,(SUMIF(Flare!$B$46:$B$185,$J1727,Flare!$E$46:$E$185)*Impacts!$F$16))</f>
        <v>0</v>
      </c>
      <c r="U1727" s="10">
        <f>IF(VCU!$C$9="",0,(SUMIF(VCU!$B$51:$B$193,$J1727,VCU!$E$51:$E$193)*Impacts!$F$17))</f>
        <v>0</v>
      </c>
      <c r="V1727" s="10">
        <f>IF(CAS!$C$7="",0,(SUMIF(CAS!$B$31:$B$167,$J1727,CAS!$E$31:$E$167)*Impacts!$F$18))</f>
        <v>0</v>
      </c>
      <c r="W1727" s="10">
        <f t="shared" si="67"/>
        <v>0</v>
      </c>
      <c r="AK1727" s="10" t="str">
        <f t="array" ref="AK1727">IFERROR(INDEX(SelectedSpecies,SMALL(IF(SelectedSpecies=AK$1,ROW(SelectedSpecies)),ROW(1728:1728)),2),"")</f>
        <v/>
      </c>
      <c r="BE1727" s="10"/>
      <c r="BI1727" s="10"/>
    </row>
    <row r="1728" spans="1:61" ht="21" customHeight="1" x14ac:dyDescent="0.25">
      <c r="A1728" s="10"/>
      <c r="B1728" s="10"/>
      <c r="E1728" s="10"/>
      <c r="G1728" s="10"/>
      <c r="I1728" s="436" t="s">
        <v>5898</v>
      </c>
      <c r="J1728" s="26" t="s">
        <v>5897</v>
      </c>
      <c r="K1728" s="10">
        <v>1</v>
      </c>
      <c r="L1728" s="73">
        <f>IF(Tank1!$C$23="No control",(SUMIF(Tank1!$B$32:$B$49,$J1728,Tank1!$C$32:$C$49)*Impacts!$F$8),0)</f>
        <v>0</v>
      </c>
      <c r="M1728" s="10">
        <f>IF(Tank2!$C$23="No control",(SUMIF(Tank2!$B$32:$B$49,$J1728,Tank2!$C$32:$C$49)*Impacts!$F$9),0)</f>
        <v>0</v>
      </c>
      <c r="N1728" s="10">
        <f>IF(Tank3!$C$23="No control",(SUMIF(Tank3!$B$32:$B$49,$J1728,Tank3!$C$32:$C$49)*Impacts!$F$10),0)</f>
        <v>0</v>
      </c>
      <c r="O1728" s="10">
        <f>IF(Tank4!$C$23="No control",(SUMIF(Tank4!$B$32:$B$49,$J1728,Tank4!$C$32:$C$49)*Impacts!$F$11),0)</f>
        <v>0</v>
      </c>
      <c r="P1728" s="10">
        <f>IF(Tank5!$C$23="No control",(SUMIF(Tank5!$B$32:$B$49,$J1728,Tank5!$C$32:$C$49)*Impacts!$F$12),0)</f>
        <v>0</v>
      </c>
      <c r="Q1728" s="10">
        <f>IFERROR(IF(('Loading-drum,tote'!$C$21)="No control",SUMIF(('Loading-drum,tote'!$B$31:$B$48),$J1728,('Loading-drum,tote'!$D$31:$D$48))*Impacts!$F$13,IF(('Loading-drum,tote'!$C$21)&lt;&gt;"No control",SUMIF(('Loading-drum,tote'!$B$31:$B$48),$J1728,('Loading-drum,tote'!$E$31:$E$48))*Impacts!$F$13,0)),0)</f>
        <v>0</v>
      </c>
      <c r="R1728" s="10">
        <f>IFERROR(IF(('Loading-truck'!$C$21)="No control",SUMIF(('Loading-truck'!$B$31:$B$48),$J1728,('Loading-truck'!$D$31:$D$48))*Impacts!$F$14,IF(('Loading-truck'!$C$21)&lt;&gt;"No control",SUMIF(('Loading-truck'!$B$31:$B$48),$J1728,('Loading-truck'!$E$31:$E$48))*Impacts!$F$14,0)),0)</f>
        <v>0</v>
      </c>
      <c r="S1728" s="10">
        <f>IFERROR(IF(('Loading-rail'!$C$21)="No control",SUMIF(('Loading-rail'!$B$31:$B$48),$J1728,('Loading-rail'!$D$31:$D$48))*Impacts!$F$15,IF(('Loading-rail'!$C$21)&lt;&gt;"No control",SUMIF(('Loading-rail'!$B$31:$B$48),$J1728,('Loading-rail'!$E$31:$E$48))*Impacts!$F$15,0)),0)</f>
        <v>0</v>
      </c>
      <c r="T1728" s="10">
        <f>IF(Flare!$C$7="",0,(SUMIF(Flare!$B$46:$B$185,$J1728,Flare!$E$46:$E$185)*Impacts!$F$16))</f>
        <v>0</v>
      </c>
      <c r="U1728" s="10">
        <f>IF(VCU!$C$9="",0,(SUMIF(VCU!$B$51:$B$193,$J1728,VCU!$E$51:$E$193)*Impacts!$F$17))</f>
        <v>0</v>
      </c>
      <c r="V1728" s="10">
        <f>IF(CAS!$C$7="",0,(SUMIF(CAS!$B$31:$B$167,$J1728,CAS!$E$31:$E$167)*Impacts!$F$18))</f>
        <v>0</v>
      </c>
      <c r="W1728" s="10">
        <f t="shared" si="67"/>
        <v>0</v>
      </c>
      <c r="AK1728" s="10" t="str">
        <f t="array" ref="AK1728">IFERROR(INDEX(SelectedSpecies,SMALL(IF(SelectedSpecies=AK$1,ROW(SelectedSpecies)),ROW(1729:1729)),2),"")</f>
        <v/>
      </c>
      <c r="BE1728" s="10"/>
      <c r="BI1728" s="10"/>
    </row>
    <row r="1729" spans="1:61" ht="21" customHeight="1" x14ac:dyDescent="0.25">
      <c r="A1729" s="10"/>
      <c r="B1729" s="10"/>
      <c r="E1729" s="10"/>
      <c r="G1729" s="10"/>
      <c r="I1729" s="436" t="s">
        <v>5900</v>
      </c>
      <c r="J1729" s="26" t="s">
        <v>5899</v>
      </c>
      <c r="K1729" s="10">
        <v>1</v>
      </c>
      <c r="L1729" s="73">
        <f>IF(Tank1!$C$23="No control",(SUMIF(Tank1!$B$32:$B$49,$J1729,Tank1!$C$32:$C$49)*Impacts!$F$8),0)</f>
        <v>0</v>
      </c>
      <c r="M1729" s="10">
        <f>IF(Tank2!$C$23="No control",(SUMIF(Tank2!$B$32:$B$49,$J1729,Tank2!$C$32:$C$49)*Impacts!$F$9),0)</f>
        <v>0</v>
      </c>
      <c r="N1729" s="10">
        <f>IF(Tank3!$C$23="No control",(SUMIF(Tank3!$B$32:$B$49,$J1729,Tank3!$C$32:$C$49)*Impacts!$F$10),0)</f>
        <v>0</v>
      </c>
      <c r="O1729" s="10">
        <f>IF(Tank4!$C$23="No control",(SUMIF(Tank4!$B$32:$B$49,$J1729,Tank4!$C$32:$C$49)*Impacts!$F$11),0)</f>
        <v>0</v>
      </c>
      <c r="P1729" s="10">
        <f>IF(Tank5!$C$23="No control",(SUMIF(Tank5!$B$32:$B$49,$J1729,Tank5!$C$32:$C$49)*Impacts!$F$12),0)</f>
        <v>0</v>
      </c>
      <c r="Q1729" s="10">
        <f>IFERROR(IF(('Loading-drum,tote'!$C$21)="No control",SUMIF(('Loading-drum,tote'!$B$31:$B$48),$J1729,('Loading-drum,tote'!$D$31:$D$48))*Impacts!$F$13,IF(('Loading-drum,tote'!$C$21)&lt;&gt;"No control",SUMIF(('Loading-drum,tote'!$B$31:$B$48),$J1729,('Loading-drum,tote'!$E$31:$E$48))*Impacts!$F$13,0)),0)</f>
        <v>0</v>
      </c>
      <c r="R1729" s="10">
        <f>IFERROR(IF(('Loading-truck'!$C$21)="No control",SUMIF(('Loading-truck'!$B$31:$B$48),$J1729,('Loading-truck'!$D$31:$D$48))*Impacts!$F$14,IF(('Loading-truck'!$C$21)&lt;&gt;"No control",SUMIF(('Loading-truck'!$B$31:$B$48),$J1729,('Loading-truck'!$E$31:$E$48))*Impacts!$F$14,0)),0)</f>
        <v>0</v>
      </c>
      <c r="S1729" s="10">
        <f>IFERROR(IF(('Loading-rail'!$C$21)="No control",SUMIF(('Loading-rail'!$B$31:$B$48),$J1729,('Loading-rail'!$D$31:$D$48))*Impacts!$F$15,IF(('Loading-rail'!$C$21)&lt;&gt;"No control",SUMIF(('Loading-rail'!$B$31:$B$48),$J1729,('Loading-rail'!$E$31:$E$48))*Impacts!$F$15,0)),0)</f>
        <v>0</v>
      </c>
      <c r="T1729" s="10">
        <f>IF(Flare!$C$7="",0,(SUMIF(Flare!$B$46:$B$185,$J1729,Flare!$E$46:$E$185)*Impacts!$F$16))</f>
        <v>0</v>
      </c>
      <c r="U1729" s="10">
        <f>IF(VCU!$C$9="",0,(SUMIF(VCU!$B$51:$B$193,$J1729,VCU!$E$51:$E$193)*Impacts!$F$17))</f>
        <v>0</v>
      </c>
      <c r="V1729" s="10">
        <f>IF(CAS!$C$7="",0,(SUMIF(CAS!$B$31:$B$167,$J1729,CAS!$E$31:$E$167)*Impacts!$F$18))</f>
        <v>0</v>
      </c>
      <c r="W1729" s="10">
        <f t="shared" si="67"/>
        <v>0</v>
      </c>
      <c r="AK1729" s="10" t="str">
        <f t="array" ref="AK1729">IFERROR(INDEX(SelectedSpecies,SMALL(IF(SelectedSpecies=AK$1,ROW(SelectedSpecies)),ROW(1730:1730)),2),"")</f>
        <v/>
      </c>
      <c r="BE1729" s="10"/>
      <c r="BI1729" s="10"/>
    </row>
    <row r="1730" spans="1:61" ht="21" customHeight="1" x14ac:dyDescent="0.25">
      <c r="A1730" s="10"/>
      <c r="B1730" s="10"/>
      <c r="E1730" s="10"/>
      <c r="G1730" s="10"/>
      <c r="I1730" s="436" t="s">
        <v>2865</v>
      </c>
      <c r="J1730" s="26" t="s">
        <v>2864</v>
      </c>
      <c r="K1730" s="10">
        <v>10</v>
      </c>
      <c r="L1730" s="73">
        <f>IF(Tank1!$C$23="No control",(SUMIF(Tank1!$B$32:$B$49,$J1730,Tank1!$C$32:$C$49)*Impacts!$F$8),0)</f>
        <v>0</v>
      </c>
      <c r="M1730" s="10">
        <f>IF(Tank2!$C$23="No control",(SUMIF(Tank2!$B$32:$B$49,$J1730,Tank2!$C$32:$C$49)*Impacts!$F$9),0)</f>
        <v>0</v>
      </c>
      <c r="N1730" s="10">
        <f>IF(Tank3!$C$23="No control",(SUMIF(Tank3!$B$32:$B$49,$J1730,Tank3!$C$32:$C$49)*Impacts!$F$10),0)</f>
        <v>0</v>
      </c>
      <c r="O1730" s="10">
        <f>IF(Tank4!$C$23="No control",(SUMIF(Tank4!$B$32:$B$49,$J1730,Tank4!$C$32:$C$49)*Impacts!$F$11),0)</f>
        <v>0</v>
      </c>
      <c r="P1730" s="10">
        <f>IF(Tank5!$C$23="No control",(SUMIF(Tank5!$B$32:$B$49,$J1730,Tank5!$C$32:$C$49)*Impacts!$F$12),0)</f>
        <v>0</v>
      </c>
      <c r="Q1730" s="10">
        <f>IFERROR(IF(('Loading-drum,tote'!$C$21)="No control",SUMIF(('Loading-drum,tote'!$B$31:$B$48),$J1730,('Loading-drum,tote'!$D$31:$D$48))*Impacts!$F$13,IF(('Loading-drum,tote'!$C$21)&lt;&gt;"No control",SUMIF(('Loading-drum,tote'!$B$31:$B$48),$J1730,('Loading-drum,tote'!$E$31:$E$48))*Impacts!$F$13,0)),0)</f>
        <v>0</v>
      </c>
      <c r="R1730" s="10">
        <f>IFERROR(IF(('Loading-truck'!$C$21)="No control",SUMIF(('Loading-truck'!$B$31:$B$48),$J1730,('Loading-truck'!$D$31:$D$48))*Impacts!$F$14,IF(('Loading-truck'!$C$21)&lt;&gt;"No control",SUMIF(('Loading-truck'!$B$31:$B$48),$J1730,('Loading-truck'!$E$31:$E$48))*Impacts!$F$14,0)),0)</f>
        <v>0</v>
      </c>
      <c r="S1730" s="10">
        <f>IFERROR(IF(('Loading-rail'!$C$21)="No control",SUMIF(('Loading-rail'!$B$31:$B$48),$J1730,('Loading-rail'!$D$31:$D$48))*Impacts!$F$15,IF(('Loading-rail'!$C$21)&lt;&gt;"No control",SUMIF(('Loading-rail'!$B$31:$B$48),$J1730,('Loading-rail'!$E$31:$E$48))*Impacts!$F$15,0)),0)</f>
        <v>0</v>
      </c>
      <c r="T1730" s="10">
        <f>IF(Flare!$C$7="",0,(SUMIF(Flare!$B$46:$B$185,$J1730,Flare!$E$46:$E$185)*Impacts!$F$16))</f>
        <v>0</v>
      </c>
      <c r="U1730" s="10">
        <f>IF(VCU!$C$9="",0,(SUMIF(VCU!$B$51:$B$193,$J1730,VCU!$E$51:$E$193)*Impacts!$F$17))</f>
        <v>0</v>
      </c>
      <c r="V1730" s="10">
        <f>IF(CAS!$C$7="",0,(SUMIF(CAS!$B$31:$B$167,$J1730,CAS!$E$31:$E$167)*Impacts!$F$18))</f>
        <v>0</v>
      </c>
      <c r="W1730" s="10">
        <f t="shared" si="67"/>
        <v>0</v>
      </c>
      <c r="AK1730" s="10" t="str">
        <f t="array" ref="AK1730">IFERROR(INDEX(SelectedSpecies,SMALL(IF(SelectedSpecies=AK$1,ROW(SelectedSpecies)),ROW(1731:1731)),2),"")</f>
        <v/>
      </c>
      <c r="BE1730" s="10"/>
      <c r="BI1730" s="10"/>
    </row>
    <row r="1731" spans="1:61" ht="21" customHeight="1" x14ac:dyDescent="0.25">
      <c r="A1731" s="10"/>
      <c r="B1731" s="10"/>
      <c r="E1731" s="10"/>
      <c r="G1731" s="10"/>
      <c r="I1731" s="436" t="s">
        <v>8158</v>
      </c>
      <c r="J1731" s="26" t="s">
        <v>8157</v>
      </c>
      <c r="K1731" s="10">
        <v>1.0000000000000002E-2</v>
      </c>
      <c r="L1731" s="73">
        <f>IF(Tank1!$C$23="No control",(SUMIF(Tank1!$B$32:$B$49,$J1731,Tank1!$C$32:$C$49)*Impacts!$F$8),0)</f>
        <v>0</v>
      </c>
      <c r="M1731" s="10">
        <f>IF(Tank2!$C$23="No control",(SUMIF(Tank2!$B$32:$B$49,$J1731,Tank2!$C$32:$C$49)*Impacts!$F$9),0)</f>
        <v>0</v>
      </c>
      <c r="N1731" s="10">
        <f>IF(Tank3!$C$23="No control",(SUMIF(Tank3!$B$32:$B$49,$J1731,Tank3!$C$32:$C$49)*Impacts!$F$10),0)</f>
        <v>0</v>
      </c>
      <c r="O1731" s="10">
        <f>IF(Tank4!$C$23="No control",(SUMIF(Tank4!$B$32:$B$49,$J1731,Tank4!$C$32:$C$49)*Impacts!$F$11),0)</f>
        <v>0</v>
      </c>
      <c r="P1731" s="10">
        <f>IF(Tank5!$C$23="No control",(SUMIF(Tank5!$B$32:$B$49,$J1731,Tank5!$C$32:$C$49)*Impacts!$F$12),0)</f>
        <v>0</v>
      </c>
      <c r="Q1731" s="10">
        <f>IFERROR(IF(('Loading-drum,tote'!$C$21)="No control",SUMIF(('Loading-drum,tote'!$B$31:$B$48),$J1731,('Loading-drum,tote'!$D$31:$D$48))*Impacts!$F$13,IF(('Loading-drum,tote'!$C$21)&lt;&gt;"No control",SUMIF(('Loading-drum,tote'!$B$31:$B$48),$J1731,('Loading-drum,tote'!$E$31:$E$48))*Impacts!$F$13,0)),0)</f>
        <v>0</v>
      </c>
      <c r="R1731" s="10">
        <f>IFERROR(IF(('Loading-truck'!$C$21)="No control",SUMIF(('Loading-truck'!$B$31:$B$48),$J1731,('Loading-truck'!$D$31:$D$48))*Impacts!$F$14,IF(('Loading-truck'!$C$21)&lt;&gt;"No control",SUMIF(('Loading-truck'!$B$31:$B$48),$J1731,('Loading-truck'!$E$31:$E$48))*Impacts!$F$14,0)),0)</f>
        <v>0</v>
      </c>
      <c r="S1731" s="10">
        <f>IFERROR(IF(('Loading-rail'!$C$21)="No control",SUMIF(('Loading-rail'!$B$31:$B$48),$J1731,('Loading-rail'!$D$31:$D$48))*Impacts!$F$15,IF(('Loading-rail'!$C$21)&lt;&gt;"No control",SUMIF(('Loading-rail'!$B$31:$B$48),$J1731,('Loading-rail'!$E$31:$E$48))*Impacts!$F$15,0)),0)</f>
        <v>0</v>
      </c>
      <c r="T1731" s="10">
        <f>IF(Flare!$C$7="",0,(SUMIF(Flare!$B$46:$B$185,$J1731,Flare!$E$46:$E$185)*Impacts!$F$16))</f>
        <v>0</v>
      </c>
      <c r="U1731" s="10">
        <f>IF(VCU!$C$9="",0,(SUMIF(VCU!$B$51:$B$193,$J1731,VCU!$E$51:$E$193)*Impacts!$F$17))</f>
        <v>0</v>
      </c>
      <c r="V1731" s="10">
        <f>IF(CAS!$C$7="",0,(SUMIF(CAS!$B$31:$B$167,$J1731,CAS!$E$31:$E$167)*Impacts!$F$18))</f>
        <v>0</v>
      </c>
      <c r="W1731" s="10">
        <f t="shared" si="67"/>
        <v>0</v>
      </c>
      <c r="AK1731" s="10" t="str">
        <f t="array" ref="AK1731">IFERROR(INDEX(SelectedSpecies,SMALL(IF(SelectedSpecies=AK$1,ROW(SelectedSpecies)),ROW(1732:1732)),2),"")</f>
        <v/>
      </c>
      <c r="BE1731" s="10"/>
      <c r="BI1731" s="10"/>
    </row>
    <row r="1732" spans="1:61" ht="21" customHeight="1" x14ac:dyDescent="0.25">
      <c r="A1732" s="10"/>
      <c r="B1732" s="10"/>
      <c r="E1732" s="10"/>
      <c r="G1732" s="10"/>
      <c r="I1732" s="436" t="s">
        <v>8160</v>
      </c>
      <c r="J1732" s="26" t="s">
        <v>8159</v>
      </c>
      <c r="K1732" s="10">
        <v>1.0000000000000002E-2</v>
      </c>
      <c r="L1732" s="73">
        <f>IF(Tank1!$C$23="No control",(SUMIF(Tank1!$B$32:$B$49,$J1732,Tank1!$C$32:$C$49)*Impacts!$F$8),0)</f>
        <v>0</v>
      </c>
      <c r="M1732" s="10">
        <f>IF(Tank2!$C$23="No control",(SUMIF(Tank2!$B$32:$B$49,$J1732,Tank2!$C$32:$C$49)*Impacts!$F$9),0)</f>
        <v>0</v>
      </c>
      <c r="N1732" s="10">
        <f>IF(Tank3!$C$23="No control",(SUMIF(Tank3!$B$32:$B$49,$J1732,Tank3!$C$32:$C$49)*Impacts!$F$10),0)</f>
        <v>0</v>
      </c>
      <c r="O1732" s="10">
        <f>IF(Tank4!$C$23="No control",(SUMIF(Tank4!$B$32:$B$49,$J1732,Tank4!$C$32:$C$49)*Impacts!$F$11),0)</f>
        <v>0</v>
      </c>
      <c r="P1732" s="10">
        <f>IF(Tank5!$C$23="No control",(SUMIF(Tank5!$B$32:$B$49,$J1732,Tank5!$C$32:$C$49)*Impacts!$F$12),0)</f>
        <v>0</v>
      </c>
      <c r="Q1732" s="10">
        <f>IFERROR(IF(('Loading-drum,tote'!$C$21)="No control",SUMIF(('Loading-drum,tote'!$B$31:$B$48),$J1732,('Loading-drum,tote'!$D$31:$D$48))*Impacts!$F$13,IF(('Loading-drum,tote'!$C$21)&lt;&gt;"No control",SUMIF(('Loading-drum,tote'!$B$31:$B$48),$J1732,('Loading-drum,tote'!$E$31:$E$48))*Impacts!$F$13,0)),0)</f>
        <v>0</v>
      </c>
      <c r="R1732" s="10">
        <f>IFERROR(IF(('Loading-truck'!$C$21)="No control",SUMIF(('Loading-truck'!$B$31:$B$48),$J1732,('Loading-truck'!$D$31:$D$48))*Impacts!$F$14,IF(('Loading-truck'!$C$21)&lt;&gt;"No control",SUMIF(('Loading-truck'!$B$31:$B$48),$J1732,('Loading-truck'!$E$31:$E$48))*Impacts!$F$14,0)),0)</f>
        <v>0</v>
      </c>
      <c r="S1732" s="10">
        <f>IFERROR(IF(('Loading-rail'!$C$21)="No control",SUMIF(('Loading-rail'!$B$31:$B$48),$J1732,('Loading-rail'!$D$31:$D$48))*Impacts!$F$15,IF(('Loading-rail'!$C$21)&lt;&gt;"No control",SUMIF(('Loading-rail'!$B$31:$B$48),$J1732,('Loading-rail'!$E$31:$E$48))*Impacts!$F$15,0)),0)</f>
        <v>0</v>
      </c>
      <c r="T1732" s="10">
        <f>IF(Flare!$C$7="",0,(SUMIF(Flare!$B$46:$B$185,$J1732,Flare!$E$46:$E$185)*Impacts!$F$16))</f>
        <v>0</v>
      </c>
      <c r="U1732" s="10">
        <f>IF(VCU!$C$9="",0,(SUMIF(VCU!$B$51:$B$193,$J1732,VCU!$E$51:$E$193)*Impacts!$F$17))</f>
        <v>0</v>
      </c>
      <c r="V1732" s="10">
        <f>IF(CAS!$C$7="",0,(SUMIF(CAS!$B$31:$B$167,$J1732,CAS!$E$31:$E$167)*Impacts!$F$18))</f>
        <v>0</v>
      </c>
      <c r="W1732" s="10">
        <f t="shared" si="67"/>
        <v>0</v>
      </c>
      <c r="AK1732" s="10" t="str">
        <f t="array" ref="AK1732">IFERROR(INDEX(SelectedSpecies,SMALL(IF(SelectedSpecies=AK$1,ROW(SelectedSpecies)),ROW(1733:1733)),2),"")</f>
        <v/>
      </c>
      <c r="BE1732" s="10"/>
      <c r="BI1732" s="10"/>
    </row>
    <row r="1733" spans="1:61" ht="21" customHeight="1" x14ac:dyDescent="0.25">
      <c r="A1733" s="10"/>
      <c r="B1733" s="10"/>
      <c r="E1733" s="10"/>
      <c r="G1733" s="10"/>
      <c r="I1733" s="436" t="s">
        <v>1330</v>
      </c>
      <c r="J1733" s="26" t="s">
        <v>1329</v>
      </c>
      <c r="K1733" s="10">
        <v>33</v>
      </c>
      <c r="L1733" s="73">
        <f>IF(Tank1!$C$23="No control",(SUMIF(Tank1!$B$32:$B$49,$J1733,Tank1!$C$32:$C$49)*Impacts!$F$8),0)</f>
        <v>0</v>
      </c>
      <c r="M1733" s="10">
        <f>IF(Tank2!$C$23="No control",(SUMIF(Tank2!$B$32:$B$49,$J1733,Tank2!$C$32:$C$49)*Impacts!$F$9),0)</f>
        <v>0</v>
      </c>
      <c r="N1733" s="10">
        <f>IF(Tank3!$C$23="No control",(SUMIF(Tank3!$B$32:$B$49,$J1733,Tank3!$C$32:$C$49)*Impacts!$F$10),0)</f>
        <v>0</v>
      </c>
      <c r="O1733" s="10">
        <f>IF(Tank4!$C$23="No control",(SUMIF(Tank4!$B$32:$B$49,$J1733,Tank4!$C$32:$C$49)*Impacts!$F$11),0)</f>
        <v>0</v>
      </c>
      <c r="P1733" s="10">
        <f>IF(Tank5!$C$23="No control",(SUMIF(Tank5!$B$32:$B$49,$J1733,Tank5!$C$32:$C$49)*Impacts!$F$12),0)</f>
        <v>0</v>
      </c>
      <c r="Q1733" s="10">
        <f>IFERROR(IF(('Loading-drum,tote'!$C$21)="No control",SUMIF(('Loading-drum,tote'!$B$31:$B$48),$J1733,('Loading-drum,tote'!$D$31:$D$48))*Impacts!$F$13,IF(('Loading-drum,tote'!$C$21)&lt;&gt;"No control",SUMIF(('Loading-drum,tote'!$B$31:$B$48),$J1733,('Loading-drum,tote'!$E$31:$E$48))*Impacts!$F$13,0)),0)</f>
        <v>0</v>
      </c>
      <c r="R1733" s="10">
        <f>IFERROR(IF(('Loading-truck'!$C$21)="No control",SUMIF(('Loading-truck'!$B$31:$B$48),$J1733,('Loading-truck'!$D$31:$D$48))*Impacts!$F$14,IF(('Loading-truck'!$C$21)&lt;&gt;"No control",SUMIF(('Loading-truck'!$B$31:$B$48),$J1733,('Loading-truck'!$E$31:$E$48))*Impacts!$F$14,0)),0)</f>
        <v>0</v>
      </c>
      <c r="S1733" s="10">
        <f>IFERROR(IF(('Loading-rail'!$C$21)="No control",SUMIF(('Loading-rail'!$B$31:$B$48),$J1733,('Loading-rail'!$D$31:$D$48))*Impacts!$F$15,IF(('Loading-rail'!$C$21)&lt;&gt;"No control",SUMIF(('Loading-rail'!$B$31:$B$48),$J1733,('Loading-rail'!$E$31:$E$48))*Impacts!$F$15,0)),0)</f>
        <v>0</v>
      </c>
      <c r="T1733" s="10">
        <f>IF(Flare!$C$7="",0,(SUMIF(Flare!$B$46:$B$185,$J1733,Flare!$E$46:$E$185)*Impacts!$F$16))</f>
        <v>0</v>
      </c>
      <c r="U1733" s="10">
        <f>IF(VCU!$C$9="",0,(SUMIF(VCU!$B$51:$B$193,$J1733,VCU!$E$51:$E$193)*Impacts!$F$17))</f>
        <v>0</v>
      </c>
      <c r="V1733" s="10">
        <f>IF(CAS!$C$7="",0,(SUMIF(CAS!$B$31:$B$167,$J1733,CAS!$E$31:$E$167)*Impacts!$F$18))</f>
        <v>0</v>
      </c>
      <c r="W1733" s="10">
        <f t="shared" si="67"/>
        <v>0</v>
      </c>
      <c r="AK1733" s="10" t="str">
        <f t="array" ref="AK1733">IFERROR(INDEX(SelectedSpecies,SMALL(IF(SelectedSpecies=AK$1,ROW(SelectedSpecies)),ROW(1734:1734)),2),"")</f>
        <v/>
      </c>
      <c r="BE1733" s="10"/>
      <c r="BI1733" s="10"/>
    </row>
    <row r="1734" spans="1:61" ht="21" customHeight="1" x14ac:dyDescent="0.25">
      <c r="A1734" s="10"/>
      <c r="B1734" s="10"/>
      <c r="E1734" s="10"/>
      <c r="G1734" s="10"/>
      <c r="I1734" s="436" t="s">
        <v>3609</v>
      </c>
      <c r="J1734" s="26" t="s">
        <v>3608</v>
      </c>
      <c r="K1734" s="10">
        <v>7.5</v>
      </c>
      <c r="L1734" s="73">
        <f>IF(Tank1!$C$23="No control",(SUMIF(Tank1!$B$32:$B$49,$J1734,Tank1!$C$32:$C$49)*Impacts!$F$8),0)</f>
        <v>0</v>
      </c>
      <c r="M1734" s="10">
        <f>IF(Tank2!$C$23="No control",(SUMIF(Tank2!$B$32:$B$49,$J1734,Tank2!$C$32:$C$49)*Impacts!$F$9),0)</f>
        <v>0</v>
      </c>
      <c r="N1734" s="10">
        <f>IF(Tank3!$C$23="No control",(SUMIF(Tank3!$B$32:$B$49,$J1734,Tank3!$C$32:$C$49)*Impacts!$F$10),0)</f>
        <v>0</v>
      </c>
      <c r="O1734" s="10">
        <f>IF(Tank4!$C$23="No control",(SUMIF(Tank4!$B$32:$B$49,$J1734,Tank4!$C$32:$C$49)*Impacts!$F$11),0)</f>
        <v>0</v>
      </c>
      <c r="P1734" s="10">
        <f>IF(Tank5!$C$23="No control",(SUMIF(Tank5!$B$32:$B$49,$J1734,Tank5!$C$32:$C$49)*Impacts!$F$12),0)</f>
        <v>0</v>
      </c>
      <c r="Q1734" s="10">
        <f>IFERROR(IF(('Loading-drum,tote'!$C$21)="No control",SUMIF(('Loading-drum,tote'!$B$31:$B$48),$J1734,('Loading-drum,tote'!$D$31:$D$48))*Impacts!$F$13,IF(('Loading-drum,tote'!$C$21)&lt;&gt;"No control",SUMIF(('Loading-drum,tote'!$B$31:$B$48),$J1734,('Loading-drum,tote'!$E$31:$E$48))*Impacts!$F$13,0)),0)</f>
        <v>0</v>
      </c>
      <c r="R1734" s="10">
        <f>IFERROR(IF(('Loading-truck'!$C$21)="No control",SUMIF(('Loading-truck'!$B$31:$B$48),$J1734,('Loading-truck'!$D$31:$D$48))*Impacts!$F$14,IF(('Loading-truck'!$C$21)&lt;&gt;"No control",SUMIF(('Loading-truck'!$B$31:$B$48),$J1734,('Loading-truck'!$E$31:$E$48))*Impacts!$F$14,0)),0)</f>
        <v>0</v>
      </c>
      <c r="S1734" s="10">
        <f>IFERROR(IF(('Loading-rail'!$C$21)="No control",SUMIF(('Loading-rail'!$B$31:$B$48),$J1734,('Loading-rail'!$D$31:$D$48))*Impacts!$F$15,IF(('Loading-rail'!$C$21)&lt;&gt;"No control",SUMIF(('Loading-rail'!$B$31:$B$48),$J1734,('Loading-rail'!$E$31:$E$48))*Impacts!$F$15,0)),0)</f>
        <v>0</v>
      </c>
      <c r="T1734" s="10">
        <f>IF(Flare!$C$7="",0,(SUMIF(Flare!$B$46:$B$185,$J1734,Flare!$E$46:$E$185)*Impacts!$F$16))</f>
        <v>0</v>
      </c>
      <c r="U1734" s="10">
        <f>IF(VCU!$C$9="",0,(SUMIF(VCU!$B$51:$B$193,$J1734,VCU!$E$51:$E$193)*Impacts!$F$17))</f>
        <v>0</v>
      </c>
      <c r="V1734" s="10">
        <f>IF(CAS!$C$7="",0,(SUMIF(CAS!$B$31:$B$167,$J1734,CAS!$E$31:$E$167)*Impacts!$F$18))</f>
        <v>0</v>
      </c>
      <c r="W1734" s="10">
        <f t="shared" si="67"/>
        <v>0</v>
      </c>
      <c r="AK1734" s="10" t="str">
        <f t="array" ref="AK1734">IFERROR(INDEX(SelectedSpecies,SMALL(IF(SelectedSpecies=AK$1,ROW(SelectedSpecies)),ROW(1735:1735)),2),"")</f>
        <v/>
      </c>
      <c r="BE1734" s="10"/>
      <c r="BI1734" s="10"/>
    </row>
    <row r="1735" spans="1:61" ht="21" customHeight="1" x14ac:dyDescent="0.25">
      <c r="A1735" s="10"/>
      <c r="B1735" s="10"/>
      <c r="E1735" s="10"/>
      <c r="G1735" s="10"/>
      <c r="I1735" s="436" t="s">
        <v>4093</v>
      </c>
      <c r="J1735" s="26" t="s">
        <v>4092</v>
      </c>
      <c r="K1735" s="10">
        <v>5.5</v>
      </c>
      <c r="L1735" s="73">
        <f>IF(Tank1!$C$23="No control",(SUMIF(Tank1!$B$32:$B$49,$J1735,Tank1!$C$32:$C$49)*Impacts!$F$8),0)</f>
        <v>0</v>
      </c>
      <c r="M1735" s="10">
        <f>IF(Tank2!$C$23="No control",(SUMIF(Tank2!$B$32:$B$49,$J1735,Tank2!$C$32:$C$49)*Impacts!$F$9),0)</f>
        <v>0</v>
      </c>
      <c r="N1735" s="10">
        <f>IF(Tank3!$C$23="No control",(SUMIF(Tank3!$B$32:$B$49,$J1735,Tank3!$C$32:$C$49)*Impacts!$F$10),0)</f>
        <v>0</v>
      </c>
      <c r="O1735" s="10">
        <f>IF(Tank4!$C$23="No control",(SUMIF(Tank4!$B$32:$B$49,$J1735,Tank4!$C$32:$C$49)*Impacts!$F$11),0)</f>
        <v>0</v>
      </c>
      <c r="P1735" s="10">
        <f>IF(Tank5!$C$23="No control",(SUMIF(Tank5!$B$32:$B$49,$J1735,Tank5!$C$32:$C$49)*Impacts!$F$12),0)</f>
        <v>0</v>
      </c>
      <c r="Q1735" s="10">
        <f>IFERROR(IF(('Loading-drum,tote'!$C$21)="No control",SUMIF(('Loading-drum,tote'!$B$31:$B$48),$J1735,('Loading-drum,tote'!$D$31:$D$48))*Impacts!$F$13,IF(('Loading-drum,tote'!$C$21)&lt;&gt;"No control",SUMIF(('Loading-drum,tote'!$B$31:$B$48),$J1735,('Loading-drum,tote'!$E$31:$E$48))*Impacts!$F$13,0)),0)</f>
        <v>0</v>
      </c>
      <c r="R1735" s="10">
        <f>IFERROR(IF(('Loading-truck'!$C$21)="No control",SUMIF(('Loading-truck'!$B$31:$B$48),$J1735,('Loading-truck'!$D$31:$D$48))*Impacts!$F$14,IF(('Loading-truck'!$C$21)&lt;&gt;"No control",SUMIF(('Loading-truck'!$B$31:$B$48),$J1735,('Loading-truck'!$E$31:$E$48))*Impacts!$F$14,0)),0)</f>
        <v>0</v>
      </c>
      <c r="S1735" s="10">
        <f>IFERROR(IF(('Loading-rail'!$C$21)="No control",SUMIF(('Loading-rail'!$B$31:$B$48),$J1735,('Loading-rail'!$D$31:$D$48))*Impacts!$F$15,IF(('Loading-rail'!$C$21)&lt;&gt;"No control",SUMIF(('Loading-rail'!$B$31:$B$48),$J1735,('Loading-rail'!$E$31:$E$48))*Impacts!$F$15,0)),0)</f>
        <v>0</v>
      </c>
      <c r="T1735" s="10">
        <f>IF(Flare!$C$7="",0,(SUMIF(Flare!$B$46:$B$185,$J1735,Flare!$E$46:$E$185)*Impacts!$F$16))</f>
        <v>0</v>
      </c>
      <c r="U1735" s="10">
        <f>IF(VCU!$C$9="",0,(SUMIF(VCU!$B$51:$B$193,$J1735,VCU!$E$51:$E$193)*Impacts!$F$17))</f>
        <v>0</v>
      </c>
      <c r="V1735" s="10">
        <f>IF(CAS!$C$7="",0,(SUMIF(CAS!$B$31:$B$167,$J1735,CAS!$E$31:$E$167)*Impacts!$F$18))</f>
        <v>0</v>
      </c>
      <c r="W1735" s="10">
        <f t="shared" si="67"/>
        <v>0</v>
      </c>
      <c r="AK1735" s="10" t="str">
        <f t="array" ref="AK1735">IFERROR(INDEX(SelectedSpecies,SMALL(IF(SelectedSpecies=AK$1,ROW(SelectedSpecies)),ROW(1736:1736)),2),"")</f>
        <v/>
      </c>
      <c r="BE1735" s="10"/>
      <c r="BI1735" s="10"/>
    </row>
    <row r="1736" spans="1:61" ht="21" customHeight="1" x14ac:dyDescent="0.25">
      <c r="A1736" s="10"/>
      <c r="B1736" s="10"/>
      <c r="E1736" s="10"/>
      <c r="G1736" s="10"/>
      <c r="I1736" s="436" t="s">
        <v>7914</v>
      </c>
      <c r="J1736" s="26" t="s">
        <v>7913</v>
      </c>
      <c r="K1736" s="10">
        <v>0.05</v>
      </c>
      <c r="L1736" s="73">
        <f>IF(Tank1!$C$23="No control",(SUMIF(Tank1!$B$32:$B$49,$J1736,Tank1!$C$32:$C$49)*Impacts!$F$8),0)</f>
        <v>0</v>
      </c>
      <c r="M1736" s="10">
        <f>IF(Tank2!$C$23="No control",(SUMIF(Tank2!$B$32:$B$49,$J1736,Tank2!$C$32:$C$49)*Impacts!$F$9),0)</f>
        <v>0</v>
      </c>
      <c r="N1736" s="10">
        <f>IF(Tank3!$C$23="No control",(SUMIF(Tank3!$B$32:$B$49,$J1736,Tank3!$C$32:$C$49)*Impacts!$F$10),0)</f>
        <v>0</v>
      </c>
      <c r="O1736" s="10">
        <f>IF(Tank4!$C$23="No control",(SUMIF(Tank4!$B$32:$B$49,$J1736,Tank4!$C$32:$C$49)*Impacts!$F$11),0)</f>
        <v>0</v>
      </c>
      <c r="P1736" s="10">
        <f>IF(Tank5!$C$23="No control",(SUMIF(Tank5!$B$32:$B$49,$J1736,Tank5!$C$32:$C$49)*Impacts!$F$12),0)</f>
        <v>0</v>
      </c>
      <c r="Q1736" s="10">
        <f>IFERROR(IF(('Loading-drum,tote'!$C$21)="No control",SUMIF(('Loading-drum,tote'!$B$31:$B$48),$J1736,('Loading-drum,tote'!$D$31:$D$48))*Impacts!$F$13,IF(('Loading-drum,tote'!$C$21)&lt;&gt;"No control",SUMIF(('Loading-drum,tote'!$B$31:$B$48),$J1736,('Loading-drum,tote'!$E$31:$E$48))*Impacts!$F$13,0)),0)</f>
        <v>0</v>
      </c>
      <c r="R1736" s="10">
        <f>IFERROR(IF(('Loading-truck'!$C$21)="No control",SUMIF(('Loading-truck'!$B$31:$B$48),$J1736,('Loading-truck'!$D$31:$D$48))*Impacts!$F$14,IF(('Loading-truck'!$C$21)&lt;&gt;"No control",SUMIF(('Loading-truck'!$B$31:$B$48),$J1736,('Loading-truck'!$E$31:$E$48))*Impacts!$F$14,0)),0)</f>
        <v>0</v>
      </c>
      <c r="S1736" s="10">
        <f>IFERROR(IF(('Loading-rail'!$C$21)="No control",SUMIF(('Loading-rail'!$B$31:$B$48),$J1736,('Loading-rail'!$D$31:$D$48))*Impacts!$F$15,IF(('Loading-rail'!$C$21)&lt;&gt;"No control",SUMIF(('Loading-rail'!$B$31:$B$48),$J1736,('Loading-rail'!$E$31:$E$48))*Impacts!$F$15,0)),0)</f>
        <v>0</v>
      </c>
      <c r="T1736" s="10">
        <f>IF(Flare!$C$7="",0,(SUMIF(Flare!$B$46:$B$185,$J1736,Flare!$E$46:$E$185)*Impacts!$F$16))</f>
        <v>0</v>
      </c>
      <c r="U1736" s="10">
        <f>IF(VCU!$C$9="",0,(SUMIF(VCU!$B$51:$B$193,$J1736,VCU!$E$51:$E$193)*Impacts!$F$17))</f>
        <v>0</v>
      </c>
      <c r="V1736" s="10">
        <f>IF(CAS!$C$7="",0,(SUMIF(CAS!$B$31:$B$167,$J1736,CAS!$E$31:$E$167)*Impacts!$F$18))</f>
        <v>0</v>
      </c>
      <c r="W1736" s="10">
        <f t="shared" si="67"/>
        <v>0</v>
      </c>
      <c r="AK1736" s="10" t="str">
        <f t="array" ref="AK1736">IFERROR(INDEX(SelectedSpecies,SMALL(IF(SelectedSpecies=AK$1,ROW(SelectedSpecies)),ROW(1737:1737)),2),"")</f>
        <v/>
      </c>
      <c r="BE1736" s="10"/>
      <c r="BI1736" s="10"/>
    </row>
    <row r="1737" spans="1:61" ht="21" customHeight="1" x14ac:dyDescent="0.25">
      <c r="A1737" s="10"/>
      <c r="B1737" s="10"/>
      <c r="E1737" s="10"/>
      <c r="G1737" s="10"/>
      <c r="I1737" s="436" t="s">
        <v>5019</v>
      </c>
      <c r="J1737" s="26" t="s">
        <v>5018</v>
      </c>
      <c r="K1737" s="10">
        <v>2.4000000000000004</v>
      </c>
      <c r="L1737" s="73">
        <f>IF(Tank1!$C$23="No control",(SUMIF(Tank1!$B$32:$B$49,$J1737,Tank1!$C$32:$C$49)*Impacts!$F$8),0)</f>
        <v>0</v>
      </c>
      <c r="M1737" s="10">
        <f>IF(Tank2!$C$23="No control",(SUMIF(Tank2!$B$32:$B$49,$J1737,Tank2!$C$32:$C$49)*Impacts!$F$9),0)</f>
        <v>0</v>
      </c>
      <c r="N1737" s="10">
        <f>IF(Tank3!$C$23="No control",(SUMIF(Tank3!$B$32:$B$49,$J1737,Tank3!$C$32:$C$49)*Impacts!$F$10),0)</f>
        <v>0</v>
      </c>
      <c r="O1737" s="10">
        <f>IF(Tank4!$C$23="No control",(SUMIF(Tank4!$B$32:$B$49,$J1737,Tank4!$C$32:$C$49)*Impacts!$F$11),0)</f>
        <v>0</v>
      </c>
      <c r="P1737" s="10">
        <f>IF(Tank5!$C$23="No control",(SUMIF(Tank5!$B$32:$B$49,$J1737,Tank5!$C$32:$C$49)*Impacts!$F$12),0)</f>
        <v>0</v>
      </c>
      <c r="Q1737" s="10">
        <f>IFERROR(IF(('Loading-drum,tote'!$C$21)="No control",SUMIF(('Loading-drum,tote'!$B$31:$B$48),$J1737,('Loading-drum,tote'!$D$31:$D$48))*Impacts!$F$13,IF(('Loading-drum,tote'!$C$21)&lt;&gt;"No control",SUMIF(('Loading-drum,tote'!$B$31:$B$48),$J1737,('Loading-drum,tote'!$E$31:$E$48))*Impacts!$F$13,0)),0)</f>
        <v>0</v>
      </c>
      <c r="R1737" s="10">
        <f>IFERROR(IF(('Loading-truck'!$C$21)="No control",SUMIF(('Loading-truck'!$B$31:$B$48),$J1737,('Loading-truck'!$D$31:$D$48))*Impacts!$F$14,IF(('Loading-truck'!$C$21)&lt;&gt;"No control",SUMIF(('Loading-truck'!$B$31:$B$48),$J1737,('Loading-truck'!$E$31:$E$48))*Impacts!$F$14,0)),0)</f>
        <v>0</v>
      </c>
      <c r="S1737" s="10">
        <f>IFERROR(IF(('Loading-rail'!$C$21)="No control",SUMIF(('Loading-rail'!$B$31:$B$48),$J1737,('Loading-rail'!$D$31:$D$48))*Impacts!$F$15,IF(('Loading-rail'!$C$21)&lt;&gt;"No control",SUMIF(('Loading-rail'!$B$31:$B$48),$J1737,('Loading-rail'!$E$31:$E$48))*Impacts!$F$15,0)),0)</f>
        <v>0</v>
      </c>
      <c r="T1737" s="10">
        <f>IF(Flare!$C$7="",0,(SUMIF(Flare!$B$46:$B$185,$J1737,Flare!$E$46:$E$185)*Impacts!$F$16))</f>
        <v>0</v>
      </c>
      <c r="U1737" s="10">
        <f>IF(VCU!$C$9="",0,(SUMIF(VCU!$B$51:$B$193,$J1737,VCU!$E$51:$E$193)*Impacts!$F$17))</f>
        <v>0</v>
      </c>
      <c r="V1737" s="10">
        <f>IF(CAS!$C$7="",0,(SUMIF(CAS!$B$31:$B$167,$J1737,CAS!$E$31:$E$167)*Impacts!$F$18))</f>
        <v>0</v>
      </c>
      <c r="W1737" s="10">
        <f t="shared" si="67"/>
        <v>0</v>
      </c>
      <c r="AK1737" s="10" t="str">
        <f t="array" ref="AK1737">IFERROR(INDEX(SelectedSpecies,SMALL(IF(SelectedSpecies=AK$1,ROW(SelectedSpecies)),ROW(1738:1738)),2),"")</f>
        <v/>
      </c>
      <c r="BE1737" s="10"/>
      <c r="BI1737" s="10"/>
    </row>
    <row r="1738" spans="1:61" ht="21" customHeight="1" x14ac:dyDescent="0.25">
      <c r="A1738" s="10"/>
      <c r="B1738" s="10"/>
      <c r="E1738" s="10"/>
      <c r="G1738" s="10"/>
      <c r="I1738" s="436" t="s">
        <v>7800</v>
      </c>
      <c r="J1738" s="26" t="s">
        <v>7799</v>
      </c>
      <c r="K1738" s="10">
        <v>9.0000000000000011E-2</v>
      </c>
      <c r="L1738" s="73">
        <f>IF(Tank1!$C$23="No control",(SUMIF(Tank1!$B$32:$B$49,$J1738,Tank1!$C$32:$C$49)*Impacts!$F$8),0)</f>
        <v>0</v>
      </c>
      <c r="M1738" s="10">
        <f>IF(Tank2!$C$23="No control",(SUMIF(Tank2!$B$32:$B$49,$J1738,Tank2!$C$32:$C$49)*Impacts!$F$9),0)</f>
        <v>0</v>
      </c>
      <c r="N1738" s="10">
        <f>IF(Tank3!$C$23="No control",(SUMIF(Tank3!$B$32:$B$49,$J1738,Tank3!$C$32:$C$49)*Impacts!$F$10),0)</f>
        <v>0</v>
      </c>
      <c r="O1738" s="10">
        <f>IF(Tank4!$C$23="No control",(SUMIF(Tank4!$B$32:$B$49,$J1738,Tank4!$C$32:$C$49)*Impacts!$F$11),0)</f>
        <v>0</v>
      </c>
      <c r="P1738" s="10">
        <f>IF(Tank5!$C$23="No control",(SUMIF(Tank5!$B$32:$B$49,$J1738,Tank5!$C$32:$C$49)*Impacts!$F$12),0)</f>
        <v>0</v>
      </c>
      <c r="Q1738" s="10">
        <f>IFERROR(IF(('Loading-drum,tote'!$C$21)="No control",SUMIF(('Loading-drum,tote'!$B$31:$B$48),$J1738,('Loading-drum,tote'!$D$31:$D$48))*Impacts!$F$13,IF(('Loading-drum,tote'!$C$21)&lt;&gt;"No control",SUMIF(('Loading-drum,tote'!$B$31:$B$48),$J1738,('Loading-drum,tote'!$E$31:$E$48))*Impacts!$F$13,0)),0)</f>
        <v>0</v>
      </c>
      <c r="R1738" s="10">
        <f>IFERROR(IF(('Loading-truck'!$C$21)="No control",SUMIF(('Loading-truck'!$B$31:$B$48),$J1738,('Loading-truck'!$D$31:$D$48))*Impacts!$F$14,IF(('Loading-truck'!$C$21)&lt;&gt;"No control",SUMIF(('Loading-truck'!$B$31:$B$48),$J1738,('Loading-truck'!$E$31:$E$48))*Impacts!$F$14,0)),0)</f>
        <v>0</v>
      </c>
      <c r="S1738" s="10">
        <f>IFERROR(IF(('Loading-rail'!$C$21)="No control",SUMIF(('Loading-rail'!$B$31:$B$48),$J1738,('Loading-rail'!$D$31:$D$48))*Impacts!$F$15,IF(('Loading-rail'!$C$21)&lt;&gt;"No control",SUMIF(('Loading-rail'!$B$31:$B$48),$J1738,('Loading-rail'!$E$31:$E$48))*Impacts!$F$15,0)),0)</f>
        <v>0</v>
      </c>
      <c r="T1738" s="10">
        <f>IF(Flare!$C$7="",0,(SUMIF(Flare!$B$46:$B$185,$J1738,Flare!$E$46:$E$185)*Impacts!$F$16))</f>
        <v>0</v>
      </c>
      <c r="U1738" s="10">
        <f>IF(VCU!$C$9="",0,(SUMIF(VCU!$B$51:$B$193,$J1738,VCU!$E$51:$E$193)*Impacts!$F$17))</f>
        <v>0</v>
      </c>
      <c r="V1738" s="10">
        <f>IF(CAS!$C$7="",0,(SUMIF(CAS!$B$31:$B$167,$J1738,CAS!$E$31:$E$167)*Impacts!$F$18))</f>
        <v>0</v>
      </c>
      <c r="W1738" s="10">
        <f t="shared" si="67"/>
        <v>0</v>
      </c>
      <c r="AK1738" s="10" t="str">
        <f t="array" ref="AK1738">IFERROR(INDEX(SelectedSpecies,SMALL(IF(SelectedSpecies=AK$1,ROW(SelectedSpecies)),ROW(1739:1739)),2),"")</f>
        <v/>
      </c>
      <c r="BE1738" s="10"/>
      <c r="BI1738" s="10"/>
    </row>
    <row r="1739" spans="1:61" ht="21" customHeight="1" x14ac:dyDescent="0.25">
      <c r="A1739" s="10"/>
      <c r="B1739" s="10"/>
      <c r="E1739" s="10"/>
      <c r="G1739" s="10"/>
      <c r="I1739" s="436" t="s">
        <v>906</v>
      </c>
      <c r="J1739" s="26" t="s">
        <v>905</v>
      </c>
      <c r="K1739" s="10">
        <v>45</v>
      </c>
      <c r="L1739" s="73">
        <f>IF(Tank1!$C$23="No control",(SUMIF(Tank1!$B$32:$B$49,$J1739,Tank1!$C$32:$C$49)*Impacts!$F$8),0)</f>
        <v>0</v>
      </c>
      <c r="M1739" s="10">
        <f>IF(Tank2!$C$23="No control",(SUMIF(Tank2!$B$32:$B$49,$J1739,Tank2!$C$32:$C$49)*Impacts!$F$9),0)</f>
        <v>0</v>
      </c>
      <c r="N1739" s="10">
        <f>IF(Tank3!$C$23="No control",(SUMIF(Tank3!$B$32:$B$49,$J1739,Tank3!$C$32:$C$49)*Impacts!$F$10),0)</f>
        <v>0</v>
      </c>
      <c r="O1739" s="10">
        <f>IF(Tank4!$C$23="No control",(SUMIF(Tank4!$B$32:$B$49,$J1739,Tank4!$C$32:$C$49)*Impacts!$F$11),0)</f>
        <v>0</v>
      </c>
      <c r="P1739" s="10">
        <f>IF(Tank5!$C$23="No control",(SUMIF(Tank5!$B$32:$B$49,$J1739,Tank5!$C$32:$C$49)*Impacts!$F$12),0)</f>
        <v>0</v>
      </c>
      <c r="Q1739" s="10">
        <f>IFERROR(IF(('Loading-drum,tote'!$C$21)="No control",SUMIF(('Loading-drum,tote'!$B$31:$B$48),$J1739,('Loading-drum,tote'!$D$31:$D$48))*Impacts!$F$13,IF(('Loading-drum,tote'!$C$21)&lt;&gt;"No control",SUMIF(('Loading-drum,tote'!$B$31:$B$48),$J1739,('Loading-drum,tote'!$E$31:$E$48))*Impacts!$F$13,0)),0)</f>
        <v>0</v>
      </c>
      <c r="R1739" s="10">
        <f>IFERROR(IF(('Loading-truck'!$C$21)="No control",SUMIF(('Loading-truck'!$B$31:$B$48),$J1739,('Loading-truck'!$D$31:$D$48))*Impacts!$F$14,IF(('Loading-truck'!$C$21)&lt;&gt;"No control",SUMIF(('Loading-truck'!$B$31:$B$48),$J1739,('Loading-truck'!$E$31:$E$48))*Impacts!$F$14,0)),0)</f>
        <v>0</v>
      </c>
      <c r="S1739" s="10">
        <f>IFERROR(IF(('Loading-rail'!$C$21)="No control",SUMIF(('Loading-rail'!$B$31:$B$48),$J1739,('Loading-rail'!$D$31:$D$48))*Impacts!$F$15,IF(('Loading-rail'!$C$21)&lt;&gt;"No control",SUMIF(('Loading-rail'!$B$31:$B$48),$J1739,('Loading-rail'!$E$31:$E$48))*Impacts!$F$15,0)),0)</f>
        <v>0</v>
      </c>
      <c r="T1739" s="10">
        <f>IF(Flare!$C$7="",0,(SUMIF(Flare!$B$46:$B$185,$J1739,Flare!$E$46:$E$185)*Impacts!$F$16))</f>
        <v>0</v>
      </c>
      <c r="U1739" s="10">
        <f>IF(VCU!$C$9="",0,(SUMIF(VCU!$B$51:$B$193,$J1739,VCU!$E$51:$E$193)*Impacts!$F$17))</f>
        <v>0</v>
      </c>
      <c r="V1739" s="10">
        <f>IF(CAS!$C$7="",0,(SUMIF(CAS!$B$31:$B$167,$J1739,CAS!$E$31:$E$167)*Impacts!$F$18))</f>
        <v>0</v>
      </c>
      <c r="W1739" s="10">
        <f t="shared" si="67"/>
        <v>0</v>
      </c>
      <c r="AK1739" s="10" t="str">
        <f t="array" ref="AK1739">IFERROR(INDEX(SelectedSpecies,SMALL(IF(SelectedSpecies=AK$1,ROW(SelectedSpecies)),ROW(1740:1740)),2),"")</f>
        <v/>
      </c>
      <c r="BE1739" s="10"/>
      <c r="BI1739" s="10"/>
    </row>
    <row r="1740" spans="1:61" ht="21" customHeight="1" x14ac:dyDescent="0.25">
      <c r="A1740" s="10"/>
      <c r="B1740" s="10"/>
      <c r="E1740" s="10"/>
      <c r="G1740" s="10"/>
      <c r="I1740" s="436" t="s">
        <v>1901</v>
      </c>
      <c r="J1740" s="26" t="s">
        <v>1900</v>
      </c>
      <c r="K1740" s="10">
        <v>20</v>
      </c>
      <c r="L1740" s="73">
        <f>IF(Tank1!$C$23="No control",(SUMIF(Tank1!$B$32:$B$49,$J1740,Tank1!$C$32:$C$49)*Impacts!$F$8),0)</f>
        <v>0</v>
      </c>
      <c r="M1740" s="10">
        <f>IF(Tank2!$C$23="No control",(SUMIF(Tank2!$B$32:$B$49,$J1740,Tank2!$C$32:$C$49)*Impacts!$F$9),0)</f>
        <v>0</v>
      </c>
      <c r="N1740" s="10">
        <f>IF(Tank3!$C$23="No control",(SUMIF(Tank3!$B$32:$B$49,$J1740,Tank3!$C$32:$C$49)*Impacts!$F$10),0)</f>
        <v>0</v>
      </c>
      <c r="O1740" s="10">
        <f>IF(Tank4!$C$23="No control",(SUMIF(Tank4!$B$32:$B$49,$J1740,Tank4!$C$32:$C$49)*Impacts!$F$11),0)</f>
        <v>0</v>
      </c>
      <c r="P1740" s="10">
        <f>IF(Tank5!$C$23="No control",(SUMIF(Tank5!$B$32:$B$49,$J1740,Tank5!$C$32:$C$49)*Impacts!$F$12),0)</f>
        <v>0</v>
      </c>
      <c r="Q1740" s="10">
        <f>IFERROR(IF(('Loading-drum,tote'!$C$21)="No control",SUMIF(('Loading-drum,tote'!$B$31:$B$48),$J1740,('Loading-drum,tote'!$D$31:$D$48))*Impacts!$F$13,IF(('Loading-drum,tote'!$C$21)&lt;&gt;"No control",SUMIF(('Loading-drum,tote'!$B$31:$B$48),$J1740,('Loading-drum,tote'!$E$31:$E$48))*Impacts!$F$13,0)),0)</f>
        <v>0</v>
      </c>
      <c r="R1740" s="10">
        <f>IFERROR(IF(('Loading-truck'!$C$21)="No control",SUMIF(('Loading-truck'!$B$31:$B$48),$J1740,('Loading-truck'!$D$31:$D$48))*Impacts!$F$14,IF(('Loading-truck'!$C$21)&lt;&gt;"No control",SUMIF(('Loading-truck'!$B$31:$B$48),$J1740,('Loading-truck'!$E$31:$E$48))*Impacts!$F$14,0)),0)</f>
        <v>0</v>
      </c>
      <c r="S1740" s="10">
        <f>IFERROR(IF(('Loading-rail'!$C$21)="No control",SUMIF(('Loading-rail'!$B$31:$B$48),$J1740,('Loading-rail'!$D$31:$D$48))*Impacts!$F$15,IF(('Loading-rail'!$C$21)&lt;&gt;"No control",SUMIF(('Loading-rail'!$B$31:$B$48),$J1740,('Loading-rail'!$E$31:$E$48))*Impacts!$F$15,0)),0)</f>
        <v>0</v>
      </c>
      <c r="T1740" s="10">
        <f>IF(Flare!$C$7="",0,(SUMIF(Flare!$B$46:$B$185,$J1740,Flare!$E$46:$E$185)*Impacts!$F$16))</f>
        <v>0</v>
      </c>
      <c r="U1740" s="10">
        <f>IF(VCU!$C$9="",0,(SUMIF(VCU!$B$51:$B$193,$J1740,VCU!$E$51:$E$193)*Impacts!$F$17))</f>
        <v>0</v>
      </c>
      <c r="V1740" s="10">
        <f>IF(CAS!$C$7="",0,(SUMIF(CAS!$B$31:$B$167,$J1740,CAS!$E$31:$E$167)*Impacts!$F$18))</f>
        <v>0</v>
      </c>
      <c r="W1740" s="10">
        <f t="shared" si="67"/>
        <v>0</v>
      </c>
      <c r="AK1740" s="10" t="str">
        <f t="array" ref="AK1740">IFERROR(INDEX(SelectedSpecies,SMALL(IF(SelectedSpecies=AK$1,ROW(SelectedSpecies)),ROW(1741:1741)),2),"")</f>
        <v/>
      </c>
      <c r="BE1740" s="10"/>
      <c r="BI1740" s="10"/>
    </row>
    <row r="1741" spans="1:61" ht="21" customHeight="1" x14ac:dyDescent="0.25">
      <c r="A1741" s="10"/>
      <c r="B1741" s="10"/>
      <c r="E1741" s="10"/>
      <c r="G1741" s="10"/>
      <c r="I1741" s="436" t="s">
        <v>4195</v>
      </c>
      <c r="J1741" s="26" t="s">
        <v>4194</v>
      </c>
      <c r="K1741" s="10">
        <v>5</v>
      </c>
      <c r="L1741" s="73">
        <f>IF(Tank1!$C$23="No control",(SUMIF(Tank1!$B$32:$B$49,$J1741,Tank1!$C$32:$C$49)*Impacts!$F$8),0)</f>
        <v>0</v>
      </c>
      <c r="M1741" s="10">
        <f>IF(Tank2!$C$23="No control",(SUMIF(Tank2!$B$32:$B$49,$J1741,Tank2!$C$32:$C$49)*Impacts!$F$9),0)</f>
        <v>0</v>
      </c>
      <c r="N1741" s="10">
        <f>IF(Tank3!$C$23="No control",(SUMIF(Tank3!$B$32:$B$49,$J1741,Tank3!$C$32:$C$49)*Impacts!$F$10),0)</f>
        <v>0</v>
      </c>
      <c r="O1741" s="10">
        <f>IF(Tank4!$C$23="No control",(SUMIF(Tank4!$B$32:$B$49,$J1741,Tank4!$C$32:$C$49)*Impacts!$F$11),0)</f>
        <v>0</v>
      </c>
      <c r="P1741" s="10">
        <f>IF(Tank5!$C$23="No control",(SUMIF(Tank5!$B$32:$B$49,$J1741,Tank5!$C$32:$C$49)*Impacts!$F$12),0)</f>
        <v>0</v>
      </c>
      <c r="Q1741" s="10">
        <f>IFERROR(IF(('Loading-drum,tote'!$C$21)="No control",SUMIF(('Loading-drum,tote'!$B$31:$B$48),$J1741,('Loading-drum,tote'!$D$31:$D$48))*Impacts!$F$13,IF(('Loading-drum,tote'!$C$21)&lt;&gt;"No control",SUMIF(('Loading-drum,tote'!$B$31:$B$48),$J1741,('Loading-drum,tote'!$E$31:$E$48))*Impacts!$F$13,0)),0)</f>
        <v>0</v>
      </c>
      <c r="R1741" s="10">
        <f>IFERROR(IF(('Loading-truck'!$C$21)="No control",SUMIF(('Loading-truck'!$B$31:$B$48),$J1741,('Loading-truck'!$D$31:$D$48))*Impacts!$F$14,IF(('Loading-truck'!$C$21)&lt;&gt;"No control",SUMIF(('Loading-truck'!$B$31:$B$48),$J1741,('Loading-truck'!$E$31:$E$48))*Impacts!$F$14,0)),0)</f>
        <v>0</v>
      </c>
      <c r="S1741" s="10">
        <f>IFERROR(IF(('Loading-rail'!$C$21)="No control",SUMIF(('Loading-rail'!$B$31:$B$48),$J1741,('Loading-rail'!$D$31:$D$48))*Impacts!$F$15,IF(('Loading-rail'!$C$21)&lt;&gt;"No control",SUMIF(('Loading-rail'!$B$31:$B$48),$J1741,('Loading-rail'!$E$31:$E$48))*Impacts!$F$15,0)),0)</f>
        <v>0</v>
      </c>
      <c r="T1741" s="10">
        <f>IF(Flare!$C$7="",0,(SUMIF(Flare!$B$46:$B$185,$J1741,Flare!$E$46:$E$185)*Impacts!$F$16))</f>
        <v>0</v>
      </c>
      <c r="U1741" s="10">
        <f>IF(VCU!$C$9="",0,(SUMIF(VCU!$B$51:$B$193,$J1741,VCU!$E$51:$E$193)*Impacts!$F$17))</f>
        <v>0</v>
      </c>
      <c r="V1741" s="10">
        <f>IF(CAS!$C$7="",0,(SUMIF(CAS!$B$31:$B$167,$J1741,CAS!$E$31:$E$167)*Impacts!$F$18))</f>
        <v>0</v>
      </c>
      <c r="W1741" s="10">
        <f t="shared" si="67"/>
        <v>0</v>
      </c>
      <c r="AK1741" s="10" t="str">
        <f t="array" ref="AK1741">IFERROR(INDEX(SelectedSpecies,SMALL(IF(SelectedSpecies=AK$1,ROW(SelectedSpecies)),ROW(1742:1742)),2),"")</f>
        <v/>
      </c>
      <c r="BE1741" s="10"/>
      <c r="BI1741" s="10"/>
    </row>
    <row r="1742" spans="1:61" ht="21" customHeight="1" x14ac:dyDescent="0.25">
      <c r="A1742" s="10"/>
      <c r="B1742" s="10"/>
      <c r="E1742" s="10"/>
      <c r="G1742" s="10"/>
      <c r="I1742" s="436" t="s">
        <v>5233</v>
      </c>
      <c r="J1742" s="26" t="s">
        <v>5232</v>
      </c>
      <c r="K1742" s="10">
        <v>1.9000000000000001</v>
      </c>
      <c r="L1742" s="73">
        <f>IF(Tank1!$C$23="No control",(SUMIF(Tank1!$B$32:$B$49,$J1742,Tank1!$C$32:$C$49)*Impacts!$F$8),0)</f>
        <v>0</v>
      </c>
      <c r="M1742" s="10">
        <f>IF(Tank2!$C$23="No control",(SUMIF(Tank2!$B$32:$B$49,$J1742,Tank2!$C$32:$C$49)*Impacts!$F$9),0)</f>
        <v>0</v>
      </c>
      <c r="N1742" s="10">
        <f>IF(Tank3!$C$23="No control",(SUMIF(Tank3!$B$32:$B$49,$J1742,Tank3!$C$32:$C$49)*Impacts!$F$10),0)</f>
        <v>0</v>
      </c>
      <c r="O1742" s="10">
        <f>IF(Tank4!$C$23="No control",(SUMIF(Tank4!$B$32:$B$49,$J1742,Tank4!$C$32:$C$49)*Impacts!$F$11),0)</f>
        <v>0</v>
      </c>
      <c r="P1742" s="10">
        <f>IF(Tank5!$C$23="No control",(SUMIF(Tank5!$B$32:$B$49,$J1742,Tank5!$C$32:$C$49)*Impacts!$F$12),0)</f>
        <v>0</v>
      </c>
      <c r="Q1742" s="10">
        <f>IFERROR(IF(('Loading-drum,tote'!$C$21)="No control",SUMIF(('Loading-drum,tote'!$B$31:$B$48),$J1742,('Loading-drum,tote'!$D$31:$D$48))*Impacts!$F$13,IF(('Loading-drum,tote'!$C$21)&lt;&gt;"No control",SUMIF(('Loading-drum,tote'!$B$31:$B$48),$J1742,('Loading-drum,tote'!$E$31:$E$48))*Impacts!$F$13,0)),0)</f>
        <v>0</v>
      </c>
      <c r="R1742" s="10">
        <f>IFERROR(IF(('Loading-truck'!$C$21)="No control",SUMIF(('Loading-truck'!$B$31:$B$48),$J1742,('Loading-truck'!$D$31:$D$48))*Impacts!$F$14,IF(('Loading-truck'!$C$21)&lt;&gt;"No control",SUMIF(('Loading-truck'!$B$31:$B$48),$J1742,('Loading-truck'!$E$31:$E$48))*Impacts!$F$14,0)),0)</f>
        <v>0</v>
      </c>
      <c r="S1742" s="10">
        <f>IFERROR(IF(('Loading-rail'!$C$21)="No control",SUMIF(('Loading-rail'!$B$31:$B$48),$J1742,('Loading-rail'!$D$31:$D$48))*Impacts!$F$15,IF(('Loading-rail'!$C$21)&lt;&gt;"No control",SUMIF(('Loading-rail'!$B$31:$B$48),$J1742,('Loading-rail'!$E$31:$E$48))*Impacts!$F$15,0)),0)</f>
        <v>0</v>
      </c>
      <c r="T1742" s="10">
        <f>IF(Flare!$C$7="",0,(SUMIF(Flare!$B$46:$B$185,$J1742,Flare!$E$46:$E$185)*Impacts!$F$16))</f>
        <v>0</v>
      </c>
      <c r="U1742" s="10">
        <f>IF(VCU!$C$9="",0,(SUMIF(VCU!$B$51:$B$193,$J1742,VCU!$E$51:$E$193)*Impacts!$F$17))</f>
        <v>0</v>
      </c>
      <c r="V1742" s="10">
        <f>IF(CAS!$C$7="",0,(SUMIF(CAS!$B$31:$B$167,$J1742,CAS!$E$31:$E$167)*Impacts!$F$18))</f>
        <v>0</v>
      </c>
      <c r="W1742" s="10">
        <f t="shared" si="67"/>
        <v>0</v>
      </c>
      <c r="AK1742" s="10" t="str">
        <f t="array" ref="AK1742">IFERROR(INDEX(SelectedSpecies,SMALL(IF(SelectedSpecies=AK$1,ROW(SelectedSpecies)),ROW(1743:1743)),2),"")</f>
        <v/>
      </c>
      <c r="BE1742" s="10"/>
      <c r="BI1742" s="10"/>
    </row>
    <row r="1743" spans="1:61" ht="21" customHeight="1" x14ac:dyDescent="0.25">
      <c r="A1743" s="10"/>
      <c r="B1743" s="10"/>
      <c r="E1743" s="10"/>
      <c r="G1743" s="10"/>
      <c r="I1743" s="436" t="s">
        <v>2483</v>
      </c>
      <c r="J1743" s="26" t="s">
        <v>2482</v>
      </c>
      <c r="K1743" s="10">
        <v>10</v>
      </c>
      <c r="L1743" s="73">
        <f>IF(Tank1!$C$23="No control",(SUMIF(Tank1!$B$32:$B$49,$J1743,Tank1!$C$32:$C$49)*Impacts!$F$8),0)</f>
        <v>0</v>
      </c>
      <c r="M1743" s="10">
        <f>IF(Tank2!$C$23="No control",(SUMIF(Tank2!$B$32:$B$49,$J1743,Tank2!$C$32:$C$49)*Impacts!$F$9),0)</f>
        <v>0</v>
      </c>
      <c r="N1743" s="10">
        <f>IF(Tank3!$C$23="No control",(SUMIF(Tank3!$B$32:$B$49,$J1743,Tank3!$C$32:$C$49)*Impacts!$F$10),0)</f>
        <v>0</v>
      </c>
      <c r="O1743" s="10">
        <f>IF(Tank4!$C$23="No control",(SUMIF(Tank4!$B$32:$B$49,$J1743,Tank4!$C$32:$C$49)*Impacts!$F$11),0)</f>
        <v>0</v>
      </c>
      <c r="P1743" s="10">
        <f>IF(Tank5!$C$23="No control",(SUMIF(Tank5!$B$32:$B$49,$J1743,Tank5!$C$32:$C$49)*Impacts!$F$12),0)</f>
        <v>0</v>
      </c>
      <c r="Q1743" s="10">
        <f>IFERROR(IF(('Loading-drum,tote'!$C$21)="No control",SUMIF(('Loading-drum,tote'!$B$31:$B$48),$J1743,('Loading-drum,tote'!$D$31:$D$48))*Impacts!$F$13,IF(('Loading-drum,tote'!$C$21)&lt;&gt;"No control",SUMIF(('Loading-drum,tote'!$B$31:$B$48),$J1743,('Loading-drum,tote'!$E$31:$E$48))*Impacts!$F$13,0)),0)</f>
        <v>0</v>
      </c>
      <c r="R1743" s="10">
        <f>IFERROR(IF(('Loading-truck'!$C$21)="No control",SUMIF(('Loading-truck'!$B$31:$B$48),$J1743,('Loading-truck'!$D$31:$D$48))*Impacts!$F$14,IF(('Loading-truck'!$C$21)&lt;&gt;"No control",SUMIF(('Loading-truck'!$B$31:$B$48),$J1743,('Loading-truck'!$E$31:$E$48))*Impacts!$F$14,0)),0)</f>
        <v>0</v>
      </c>
      <c r="S1743" s="10">
        <f>IFERROR(IF(('Loading-rail'!$C$21)="No control",SUMIF(('Loading-rail'!$B$31:$B$48),$J1743,('Loading-rail'!$D$31:$D$48))*Impacts!$F$15,IF(('Loading-rail'!$C$21)&lt;&gt;"No control",SUMIF(('Loading-rail'!$B$31:$B$48),$J1743,('Loading-rail'!$E$31:$E$48))*Impacts!$F$15,0)),0)</f>
        <v>0</v>
      </c>
      <c r="T1743" s="10">
        <f>IF(Flare!$C$7="",0,(SUMIF(Flare!$B$46:$B$185,$J1743,Flare!$E$46:$E$185)*Impacts!$F$16))</f>
        <v>0</v>
      </c>
      <c r="U1743" s="10">
        <f>IF(VCU!$C$9="",0,(SUMIF(VCU!$B$51:$B$193,$J1743,VCU!$E$51:$E$193)*Impacts!$F$17))</f>
        <v>0</v>
      </c>
      <c r="V1743" s="10">
        <f>IF(CAS!$C$7="",0,(SUMIF(CAS!$B$31:$B$167,$J1743,CAS!$E$31:$E$167)*Impacts!$F$18))</f>
        <v>0</v>
      </c>
      <c r="W1743" s="10">
        <f t="shared" si="67"/>
        <v>0</v>
      </c>
      <c r="AK1743" s="10" t="str">
        <f t="array" ref="AK1743">IFERROR(INDEX(SelectedSpecies,SMALL(IF(SelectedSpecies=AK$1,ROW(SelectedSpecies)),ROW(1744:1744)),2),"")</f>
        <v/>
      </c>
      <c r="BE1743" s="10"/>
      <c r="BI1743" s="10"/>
    </row>
    <row r="1744" spans="1:61" ht="21" customHeight="1" x14ac:dyDescent="0.25">
      <c r="A1744" s="10"/>
      <c r="B1744" s="10"/>
      <c r="E1744" s="10"/>
      <c r="G1744" s="10"/>
      <c r="I1744" s="436" t="s">
        <v>7178</v>
      </c>
      <c r="J1744" s="26" t="s">
        <v>7177</v>
      </c>
      <c r="K1744" s="10">
        <v>0.33</v>
      </c>
      <c r="L1744" s="73">
        <f>IF(Tank1!$C$23="No control",(SUMIF(Tank1!$B$32:$B$49,$J1744,Tank1!$C$32:$C$49)*Impacts!$F$8),0)</f>
        <v>0</v>
      </c>
      <c r="M1744" s="10">
        <f>IF(Tank2!$C$23="No control",(SUMIF(Tank2!$B$32:$B$49,$J1744,Tank2!$C$32:$C$49)*Impacts!$F$9),0)</f>
        <v>0</v>
      </c>
      <c r="N1744" s="10">
        <f>IF(Tank3!$C$23="No control",(SUMIF(Tank3!$B$32:$B$49,$J1744,Tank3!$C$32:$C$49)*Impacts!$F$10),0)</f>
        <v>0</v>
      </c>
      <c r="O1744" s="10">
        <f>IF(Tank4!$C$23="No control",(SUMIF(Tank4!$B$32:$B$49,$J1744,Tank4!$C$32:$C$49)*Impacts!$F$11),0)</f>
        <v>0</v>
      </c>
      <c r="P1744" s="10">
        <f>IF(Tank5!$C$23="No control",(SUMIF(Tank5!$B$32:$B$49,$J1744,Tank5!$C$32:$C$49)*Impacts!$F$12),0)</f>
        <v>0</v>
      </c>
      <c r="Q1744" s="10">
        <f>IFERROR(IF(('Loading-drum,tote'!$C$21)="No control",SUMIF(('Loading-drum,tote'!$B$31:$B$48),$J1744,('Loading-drum,tote'!$D$31:$D$48))*Impacts!$F$13,IF(('Loading-drum,tote'!$C$21)&lt;&gt;"No control",SUMIF(('Loading-drum,tote'!$B$31:$B$48),$J1744,('Loading-drum,tote'!$E$31:$E$48))*Impacts!$F$13,0)),0)</f>
        <v>0</v>
      </c>
      <c r="R1744" s="10">
        <f>IFERROR(IF(('Loading-truck'!$C$21)="No control",SUMIF(('Loading-truck'!$B$31:$B$48),$J1744,('Loading-truck'!$D$31:$D$48))*Impacts!$F$14,IF(('Loading-truck'!$C$21)&lt;&gt;"No control",SUMIF(('Loading-truck'!$B$31:$B$48),$J1744,('Loading-truck'!$E$31:$E$48))*Impacts!$F$14,0)),0)</f>
        <v>0</v>
      </c>
      <c r="S1744" s="10">
        <f>IFERROR(IF(('Loading-rail'!$C$21)="No control",SUMIF(('Loading-rail'!$B$31:$B$48),$J1744,('Loading-rail'!$D$31:$D$48))*Impacts!$F$15,IF(('Loading-rail'!$C$21)&lt;&gt;"No control",SUMIF(('Loading-rail'!$B$31:$B$48),$J1744,('Loading-rail'!$E$31:$E$48))*Impacts!$F$15,0)),0)</f>
        <v>0</v>
      </c>
      <c r="T1744" s="10">
        <f>IF(Flare!$C$7="",0,(SUMIF(Flare!$B$46:$B$185,$J1744,Flare!$E$46:$E$185)*Impacts!$F$16))</f>
        <v>0</v>
      </c>
      <c r="U1744" s="10">
        <f>IF(VCU!$C$9="",0,(SUMIF(VCU!$B$51:$B$193,$J1744,VCU!$E$51:$E$193)*Impacts!$F$17))</f>
        <v>0</v>
      </c>
      <c r="V1744" s="10">
        <f>IF(CAS!$C$7="",0,(SUMIF(CAS!$B$31:$B$167,$J1744,CAS!$E$31:$E$167)*Impacts!$F$18))</f>
        <v>0</v>
      </c>
      <c r="W1744" s="10">
        <f t="shared" si="67"/>
        <v>0</v>
      </c>
      <c r="AK1744" s="10" t="str">
        <f t="array" ref="AK1744">IFERROR(INDEX(SelectedSpecies,SMALL(IF(SelectedSpecies=AK$1,ROW(SelectedSpecies)),ROW(1745:1745)),2),"")</f>
        <v/>
      </c>
      <c r="BE1744" s="10"/>
      <c r="BI1744" s="10"/>
    </row>
    <row r="1745" spans="1:61" ht="21" customHeight="1" x14ac:dyDescent="0.25">
      <c r="A1745" s="10"/>
      <c r="B1745" s="10"/>
      <c r="E1745" s="10"/>
      <c r="G1745" s="10"/>
      <c r="I1745" s="436" t="s">
        <v>7916</v>
      </c>
      <c r="J1745" s="26" t="s">
        <v>7915</v>
      </c>
      <c r="K1745" s="10">
        <v>0.05</v>
      </c>
      <c r="L1745" s="73">
        <f>IF(Tank1!$C$23="No control",(SUMIF(Tank1!$B$32:$B$49,$J1745,Tank1!$C$32:$C$49)*Impacts!$F$8),0)</f>
        <v>0</v>
      </c>
      <c r="M1745" s="10">
        <f>IF(Tank2!$C$23="No control",(SUMIF(Tank2!$B$32:$B$49,$J1745,Tank2!$C$32:$C$49)*Impacts!$F$9),0)</f>
        <v>0</v>
      </c>
      <c r="N1745" s="10">
        <f>IF(Tank3!$C$23="No control",(SUMIF(Tank3!$B$32:$B$49,$J1745,Tank3!$C$32:$C$49)*Impacts!$F$10),0)</f>
        <v>0</v>
      </c>
      <c r="O1745" s="10">
        <f>IF(Tank4!$C$23="No control",(SUMIF(Tank4!$B$32:$B$49,$J1745,Tank4!$C$32:$C$49)*Impacts!$F$11),0)</f>
        <v>0</v>
      </c>
      <c r="P1745" s="10">
        <f>IF(Tank5!$C$23="No control",(SUMIF(Tank5!$B$32:$B$49,$J1745,Tank5!$C$32:$C$49)*Impacts!$F$12),0)</f>
        <v>0</v>
      </c>
      <c r="Q1745" s="10">
        <f>IFERROR(IF(('Loading-drum,tote'!$C$21)="No control",SUMIF(('Loading-drum,tote'!$B$31:$B$48),$J1745,('Loading-drum,tote'!$D$31:$D$48))*Impacts!$F$13,IF(('Loading-drum,tote'!$C$21)&lt;&gt;"No control",SUMIF(('Loading-drum,tote'!$B$31:$B$48),$J1745,('Loading-drum,tote'!$E$31:$E$48))*Impacts!$F$13,0)),0)</f>
        <v>0</v>
      </c>
      <c r="R1745" s="10">
        <f>IFERROR(IF(('Loading-truck'!$C$21)="No control",SUMIF(('Loading-truck'!$B$31:$B$48),$J1745,('Loading-truck'!$D$31:$D$48))*Impacts!$F$14,IF(('Loading-truck'!$C$21)&lt;&gt;"No control",SUMIF(('Loading-truck'!$B$31:$B$48),$J1745,('Loading-truck'!$E$31:$E$48))*Impacts!$F$14,0)),0)</f>
        <v>0</v>
      </c>
      <c r="S1745" s="10">
        <f>IFERROR(IF(('Loading-rail'!$C$21)="No control",SUMIF(('Loading-rail'!$B$31:$B$48),$J1745,('Loading-rail'!$D$31:$D$48))*Impacts!$F$15,IF(('Loading-rail'!$C$21)&lt;&gt;"No control",SUMIF(('Loading-rail'!$B$31:$B$48),$J1745,('Loading-rail'!$E$31:$E$48))*Impacts!$F$15,0)),0)</f>
        <v>0</v>
      </c>
      <c r="T1745" s="10">
        <f>IF(Flare!$C$7="",0,(SUMIF(Flare!$B$46:$B$185,$J1745,Flare!$E$46:$E$185)*Impacts!$F$16))</f>
        <v>0</v>
      </c>
      <c r="U1745" s="10">
        <f>IF(VCU!$C$9="",0,(SUMIF(VCU!$B$51:$B$193,$J1745,VCU!$E$51:$E$193)*Impacts!$F$17))</f>
        <v>0</v>
      </c>
      <c r="V1745" s="10">
        <f>IF(CAS!$C$7="",0,(SUMIF(CAS!$B$31:$B$167,$J1745,CAS!$E$31:$E$167)*Impacts!$F$18))</f>
        <v>0</v>
      </c>
      <c r="W1745" s="10">
        <f t="shared" si="67"/>
        <v>0</v>
      </c>
      <c r="AK1745" s="10" t="str">
        <f t="array" ref="AK1745">IFERROR(INDEX(SelectedSpecies,SMALL(IF(SelectedSpecies=AK$1,ROW(SelectedSpecies)),ROW(1746:1746)),2),"")</f>
        <v/>
      </c>
      <c r="BE1745" s="10"/>
      <c r="BI1745" s="10"/>
    </row>
    <row r="1746" spans="1:61" ht="21" customHeight="1" x14ac:dyDescent="0.25">
      <c r="A1746" s="10"/>
      <c r="B1746" s="10"/>
      <c r="E1746" s="10"/>
      <c r="G1746" s="10"/>
      <c r="I1746" s="436" t="s">
        <v>2867</v>
      </c>
      <c r="J1746" s="26" t="s">
        <v>2866</v>
      </c>
      <c r="K1746" s="10">
        <v>10</v>
      </c>
      <c r="L1746" s="73">
        <f>IF(Tank1!$C$23="No control",(SUMIF(Tank1!$B$32:$B$49,$J1746,Tank1!$C$32:$C$49)*Impacts!$F$8),0)</f>
        <v>0</v>
      </c>
      <c r="M1746" s="10">
        <f>IF(Tank2!$C$23="No control",(SUMIF(Tank2!$B$32:$B$49,$J1746,Tank2!$C$32:$C$49)*Impacts!$F$9),0)</f>
        <v>0</v>
      </c>
      <c r="N1746" s="10">
        <f>IF(Tank3!$C$23="No control",(SUMIF(Tank3!$B$32:$B$49,$J1746,Tank3!$C$32:$C$49)*Impacts!$F$10),0)</f>
        <v>0</v>
      </c>
      <c r="O1746" s="10">
        <f>IF(Tank4!$C$23="No control",(SUMIF(Tank4!$B$32:$B$49,$J1746,Tank4!$C$32:$C$49)*Impacts!$F$11),0)</f>
        <v>0</v>
      </c>
      <c r="P1746" s="10">
        <f>IF(Tank5!$C$23="No control",(SUMIF(Tank5!$B$32:$B$49,$J1746,Tank5!$C$32:$C$49)*Impacts!$F$12),0)</f>
        <v>0</v>
      </c>
      <c r="Q1746" s="10">
        <f>IFERROR(IF(('Loading-drum,tote'!$C$21)="No control",SUMIF(('Loading-drum,tote'!$B$31:$B$48),$J1746,('Loading-drum,tote'!$D$31:$D$48))*Impacts!$F$13,IF(('Loading-drum,tote'!$C$21)&lt;&gt;"No control",SUMIF(('Loading-drum,tote'!$B$31:$B$48),$J1746,('Loading-drum,tote'!$E$31:$E$48))*Impacts!$F$13,0)),0)</f>
        <v>0</v>
      </c>
      <c r="R1746" s="10">
        <f>IFERROR(IF(('Loading-truck'!$C$21)="No control",SUMIF(('Loading-truck'!$B$31:$B$48),$J1746,('Loading-truck'!$D$31:$D$48))*Impacts!$F$14,IF(('Loading-truck'!$C$21)&lt;&gt;"No control",SUMIF(('Loading-truck'!$B$31:$B$48),$J1746,('Loading-truck'!$E$31:$E$48))*Impacts!$F$14,0)),0)</f>
        <v>0</v>
      </c>
      <c r="S1746" s="10">
        <f>IFERROR(IF(('Loading-rail'!$C$21)="No control",SUMIF(('Loading-rail'!$B$31:$B$48),$J1746,('Loading-rail'!$D$31:$D$48))*Impacts!$F$15,IF(('Loading-rail'!$C$21)&lt;&gt;"No control",SUMIF(('Loading-rail'!$B$31:$B$48),$J1746,('Loading-rail'!$E$31:$E$48))*Impacts!$F$15,0)),0)</f>
        <v>0</v>
      </c>
      <c r="T1746" s="10">
        <f>IF(Flare!$C$7="",0,(SUMIF(Flare!$B$46:$B$185,$J1746,Flare!$E$46:$E$185)*Impacts!$F$16))</f>
        <v>0</v>
      </c>
      <c r="U1746" s="10">
        <f>IF(VCU!$C$9="",0,(SUMIF(VCU!$B$51:$B$193,$J1746,VCU!$E$51:$E$193)*Impacts!$F$17))</f>
        <v>0</v>
      </c>
      <c r="V1746" s="10">
        <f>IF(CAS!$C$7="",0,(SUMIF(CAS!$B$31:$B$167,$J1746,CAS!$E$31:$E$167)*Impacts!$F$18))</f>
        <v>0</v>
      </c>
      <c r="W1746" s="10">
        <f t="shared" si="67"/>
        <v>0</v>
      </c>
      <c r="AK1746" s="10" t="str">
        <f t="array" ref="AK1746">IFERROR(INDEX(SelectedSpecies,SMALL(IF(SelectedSpecies=AK$1,ROW(SelectedSpecies)),ROW(1747:1747)),2),"")</f>
        <v/>
      </c>
      <c r="BE1746" s="10"/>
      <c r="BI1746" s="10"/>
    </row>
    <row r="1747" spans="1:61" ht="21" customHeight="1" x14ac:dyDescent="0.25">
      <c r="A1747" s="10"/>
      <c r="B1747" s="10"/>
      <c r="E1747" s="10"/>
      <c r="G1747" s="10"/>
      <c r="I1747" s="436" t="s">
        <v>8056</v>
      </c>
      <c r="J1747" s="26" t="s">
        <v>8055</v>
      </c>
      <c r="K1747" s="10">
        <v>2.0000000000000004E-2</v>
      </c>
      <c r="L1747" s="73">
        <f>IF(Tank1!$C$23="No control",(SUMIF(Tank1!$B$32:$B$49,$J1747,Tank1!$C$32:$C$49)*Impacts!$F$8),0)</f>
        <v>0</v>
      </c>
      <c r="M1747" s="10">
        <f>IF(Tank2!$C$23="No control",(SUMIF(Tank2!$B$32:$B$49,$J1747,Tank2!$C$32:$C$49)*Impacts!$F$9),0)</f>
        <v>0</v>
      </c>
      <c r="N1747" s="10">
        <f>IF(Tank3!$C$23="No control",(SUMIF(Tank3!$B$32:$B$49,$J1747,Tank3!$C$32:$C$49)*Impacts!$F$10),0)</f>
        <v>0</v>
      </c>
      <c r="O1747" s="10">
        <f>IF(Tank4!$C$23="No control",(SUMIF(Tank4!$B$32:$B$49,$J1747,Tank4!$C$32:$C$49)*Impacts!$F$11),0)</f>
        <v>0</v>
      </c>
      <c r="P1747" s="10">
        <f>IF(Tank5!$C$23="No control",(SUMIF(Tank5!$B$32:$B$49,$J1747,Tank5!$C$32:$C$49)*Impacts!$F$12),0)</f>
        <v>0</v>
      </c>
      <c r="Q1747" s="10">
        <f>IFERROR(IF(('Loading-drum,tote'!$C$21)="No control",SUMIF(('Loading-drum,tote'!$B$31:$B$48),$J1747,('Loading-drum,tote'!$D$31:$D$48))*Impacts!$F$13,IF(('Loading-drum,tote'!$C$21)&lt;&gt;"No control",SUMIF(('Loading-drum,tote'!$B$31:$B$48),$J1747,('Loading-drum,tote'!$E$31:$E$48))*Impacts!$F$13,0)),0)</f>
        <v>0</v>
      </c>
      <c r="R1747" s="10">
        <f>IFERROR(IF(('Loading-truck'!$C$21)="No control",SUMIF(('Loading-truck'!$B$31:$B$48),$J1747,('Loading-truck'!$D$31:$D$48))*Impacts!$F$14,IF(('Loading-truck'!$C$21)&lt;&gt;"No control",SUMIF(('Loading-truck'!$B$31:$B$48),$J1747,('Loading-truck'!$E$31:$E$48))*Impacts!$F$14,0)),0)</f>
        <v>0</v>
      </c>
      <c r="S1747" s="10">
        <f>IFERROR(IF(('Loading-rail'!$C$21)="No control",SUMIF(('Loading-rail'!$B$31:$B$48),$J1747,('Loading-rail'!$D$31:$D$48))*Impacts!$F$15,IF(('Loading-rail'!$C$21)&lt;&gt;"No control",SUMIF(('Loading-rail'!$B$31:$B$48),$J1747,('Loading-rail'!$E$31:$E$48))*Impacts!$F$15,0)),0)</f>
        <v>0</v>
      </c>
      <c r="T1747" s="10">
        <f>IF(Flare!$C$7="",0,(SUMIF(Flare!$B$46:$B$185,$J1747,Flare!$E$46:$E$185)*Impacts!$F$16))</f>
        <v>0</v>
      </c>
      <c r="U1747" s="10">
        <f>IF(VCU!$C$9="",0,(SUMIF(VCU!$B$51:$B$193,$J1747,VCU!$E$51:$E$193)*Impacts!$F$17))</f>
        <v>0</v>
      </c>
      <c r="V1747" s="10">
        <f>IF(CAS!$C$7="",0,(SUMIF(CAS!$B$31:$B$167,$J1747,CAS!$E$31:$E$167)*Impacts!$F$18))</f>
        <v>0</v>
      </c>
      <c r="W1747" s="10">
        <f t="shared" si="67"/>
        <v>0</v>
      </c>
      <c r="AK1747" s="10" t="str">
        <f t="array" ref="AK1747">IFERROR(INDEX(SelectedSpecies,SMALL(IF(SelectedSpecies=AK$1,ROW(SelectedSpecies)),ROW(1748:1748)),2),"")</f>
        <v/>
      </c>
      <c r="BE1747" s="10"/>
      <c r="BI1747" s="10"/>
    </row>
    <row r="1748" spans="1:61" ht="21" customHeight="1" x14ac:dyDescent="0.25">
      <c r="A1748" s="10"/>
      <c r="B1748" s="10"/>
      <c r="E1748" s="10"/>
      <c r="G1748" s="10"/>
      <c r="I1748" s="436" t="s">
        <v>5085</v>
      </c>
      <c r="J1748" s="26" t="s">
        <v>5084</v>
      </c>
      <c r="K1748" s="10">
        <v>2.2000000000000002</v>
      </c>
      <c r="L1748" s="73">
        <f>IF(Tank1!$C$23="No control",(SUMIF(Tank1!$B$32:$B$49,$J1748,Tank1!$C$32:$C$49)*Impacts!$F$8),0)</f>
        <v>0</v>
      </c>
      <c r="M1748" s="10">
        <f>IF(Tank2!$C$23="No control",(SUMIF(Tank2!$B$32:$B$49,$J1748,Tank2!$C$32:$C$49)*Impacts!$F$9),0)</f>
        <v>0</v>
      </c>
      <c r="N1748" s="10">
        <f>IF(Tank3!$C$23="No control",(SUMIF(Tank3!$B$32:$B$49,$J1748,Tank3!$C$32:$C$49)*Impacts!$F$10),0)</f>
        <v>0</v>
      </c>
      <c r="O1748" s="10">
        <f>IF(Tank4!$C$23="No control",(SUMIF(Tank4!$B$32:$B$49,$J1748,Tank4!$C$32:$C$49)*Impacts!$F$11),0)</f>
        <v>0</v>
      </c>
      <c r="P1748" s="10">
        <f>IF(Tank5!$C$23="No control",(SUMIF(Tank5!$B$32:$B$49,$J1748,Tank5!$C$32:$C$49)*Impacts!$F$12),0)</f>
        <v>0</v>
      </c>
      <c r="Q1748" s="10">
        <f>IFERROR(IF(('Loading-drum,tote'!$C$21)="No control",SUMIF(('Loading-drum,tote'!$B$31:$B$48),$J1748,('Loading-drum,tote'!$D$31:$D$48))*Impacts!$F$13,IF(('Loading-drum,tote'!$C$21)&lt;&gt;"No control",SUMIF(('Loading-drum,tote'!$B$31:$B$48),$J1748,('Loading-drum,tote'!$E$31:$E$48))*Impacts!$F$13,0)),0)</f>
        <v>0</v>
      </c>
      <c r="R1748" s="10">
        <f>IFERROR(IF(('Loading-truck'!$C$21)="No control",SUMIF(('Loading-truck'!$B$31:$B$48),$J1748,('Loading-truck'!$D$31:$D$48))*Impacts!$F$14,IF(('Loading-truck'!$C$21)&lt;&gt;"No control",SUMIF(('Loading-truck'!$B$31:$B$48),$J1748,('Loading-truck'!$E$31:$E$48))*Impacts!$F$14,0)),0)</f>
        <v>0</v>
      </c>
      <c r="S1748" s="10">
        <f>IFERROR(IF(('Loading-rail'!$C$21)="No control",SUMIF(('Loading-rail'!$B$31:$B$48),$J1748,('Loading-rail'!$D$31:$D$48))*Impacts!$F$15,IF(('Loading-rail'!$C$21)&lt;&gt;"No control",SUMIF(('Loading-rail'!$B$31:$B$48),$J1748,('Loading-rail'!$E$31:$E$48))*Impacts!$F$15,0)),0)</f>
        <v>0</v>
      </c>
      <c r="T1748" s="10">
        <f>IF(Flare!$C$7="",0,(SUMIF(Flare!$B$46:$B$185,$J1748,Flare!$E$46:$E$185)*Impacts!$F$16))</f>
        <v>0</v>
      </c>
      <c r="U1748" s="10">
        <f>IF(VCU!$C$9="",0,(SUMIF(VCU!$B$51:$B$193,$J1748,VCU!$E$51:$E$193)*Impacts!$F$17))</f>
        <v>0</v>
      </c>
      <c r="V1748" s="10">
        <f>IF(CAS!$C$7="",0,(SUMIF(CAS!$B$31:$B$167,$J1748,CAS!$E$31:$E$167)*Impacts!$F$18))</f>
        <v>0</v>
      </c>
      <c r="W1748" s="10">
        <f t="shared" si="67"/>
        <v>0</v>
      </c>
      <c r="AK1748" s="10" t="str">
        <f t="array" ref="AK1748">IFERROR(INDEX(SelectedSpecies,SMALL(IF(SelectedSpecies=AK$1,ROW(SelectedSpecies)),ROW(1749:1749)),2),"")</f>
        <v/>
      </c>
      <c r="BE1748" s="10"/>
      <c r="BI1748" s="10"/>
    </row>
    <row r="1749" spans="1:61" ht="21" customHeight="1" x14ac:dyDescent="0.25">
      <c r="A1749" s="10"/>
      <c r="B1749" s="10"/>
      <c r="E1749" s="10"/>
      <c r="G1749" s="10"/>
      <c r="I1749" s="436" t="s">
        <v>6348</v>
      </c>
      <c r="J1749" s="26" t="s">
        <v>6347</v>
      </c>
      <c r="K1749" s="10">
        <v>0.89000000000000012</v>
      </c>
      <c r="L1749" s="73">
        <f>IF(Tank1!$C$23="No control",(SUMIF(Tank1!$B$32:$B$49,$J1749,Tank1!$C$32:$C$49)*Impacts!$F$8),0)</f>
        <v>0</v>
      </c>
      <c r="M1749" s="10">
        <f>IF(Tank2!$C$23="No control",(SUMIF(Tank2!$B$32:$B$49,$J1749,Tank2!$C$32:$C$49)*Impacts!$F$9),0)</f>
        <v>0</v>
      </c>
      <c r="N1749" s="10">
        <f>IF(Tank3!$C$23="No control",(SUMIF(Tank3!$B$32:$B$49,$J1749,Tank3!$C$32:$C$49)*Impacts!$F$10),0)</f>
        <v>0</v>
      </c>
      <c r="O1749" s="10">
        <f>IF(Tank4!$C$23="No control",(SUMIF(Tank4!$B$32:$B$49,$J1749,Tank4!$C$32:$C$49)*Impacts!$F$11),0)</f>
        <v>0</v>
      </c>
      <c r="P1749" s="10">
        <f>IF(Tank5!$C$23="No control",(SUMIF(Tank5!$B$32:$B$49,$J1749,Tank5!$C$32:$C$49)*Impacts!$F$12),0)</f>
        <v>0</v>
      </c>
      <c r="Q1749" s="10">
        <f>IFERROR(IF(('Loading-drum,tote'!$C$21)="No control",SUMIF(('Loading-drum,tote'!$B$31:$B$48),$J1749,('Loading-drum,tote'!$D$31:$D$48))*Impacts!$F$13,IF(('Loading-drum,tote'!$C$21)&lt;&gt;"No control",SUMIF(('Loading-drum,tote'!$B$31:$B$48),$J1749,('Loading-drum,tote'!$E$31:$E$48))*Impacts!$F$13,0)),0)</f>
        <v>0</v>
      </c>
      <c r="R1749" s="10">
        <f>IFERROR(IF(('Loading-truck'!$C$21)="No control",SUMIF(('Loading-truck'!$B$31:$B$48),$J1749,('Loading-truck'!$D$31:$D$48))*Impacts!$F$14,IF(('Loading-truck'!$C$21)&lt;&gt;"No control",SUMIF(('Loading-truck'!$B$31:$B$48),$J1749,('Loading-truck'!$E$31:$E$48))*Impacts!$F$14,0)),0)</f>
        <v>0</v>
      </c>
      <c r="S1749" s="10">
        <f>IFERROR(IF(('Loading-rail'!$C$21)="No control",SUMIF(('Loading-rail'!$B$31:$B$48),$J1749,('Loading-rail'!$D$31:$D$48))*Impacts!$F$15,IF(('Loading-rail'!$C$21)&lt;&gt;"No control",SUMIF(('Loading-rail'!$B$31:$B$48),$J1749,('Loading-rail'!$E$31:$E$48))*Impacts!$F$15,0)),0)</f>
        <v>0</v>
      </c>
      <c r="T1749" s="10">
        <f>IF(Flare!$C$7="",0,(SUMIF(Flare!$B$46:$B$185,$J1749,Flare!$E$46:$E$185)*Impacts!$F$16))</f>
        <v>0</v>
      </c>
      <c r="U1749" s="10">
        <f>IF(VCU!$C$9="",0,(SUMIF(VCU!$B$51:$B$193,$J1749,VCU!$E$51:$E$193)*Impacts!$F$17))</f>
        <v>0</v>
      </c>
      <c r="V1749" s="10">
        <f>IF(CAS!$C$7="",0,(SUMIF(CAS!$B$31:$B$167,$J1749,CAS!$E$31:$E$167)*Impacts!$F$18))</f>
        <v>0</v>
      </c>
      <c r="W1749" s="10">
        <f t="shared" si="67"/>
        <v>0</v>
      </c>
      <c r="AK1749" s="10" t="str">
        <f t="array" ref="AK1749">IFERROR(INDEX(SelectedSpecies,SMALL(IF(SelectedSpecies=AK$1,ROW(SelectedSpecies)),ROW(1750:1750)),2),"")</f>
        <v/>
      </c>
      <c r="BE1749" s="10"/>
      <c r="BI1749" s="10"/>
    </row>
    <row r="1750" spans="1:61" ht="21" customHeight="1" x14ac:dyDescent="0.25">
      <c r="A1750" s="10"/>
      <c r="B1750" s="10"/>
      <c r="E1750" s="10"/>
      <c r="G1750" s="10"/>
      <c r="I1750" s="436" t="s">
        <v>7094</v>
      </c>
      <c r="J1750" s="26" t="s">
        <v>7093</v>
      </c>
      <c r="K1750" s="10">
        <v>0.4</v>
      </c>
      <c r="L1750" s="73">
        <f>IF(Tank1!$C$23="No control",(SUMIF(Tank1!$B$32:$B$49,$J1750,Tank1!$C$32:$C$49)*Impacts!$F$8),0)</f>
        <v>0</v>
      </c>
      <c r="M1750" s="10">
        <f>IF(Tank2!$C$23="No control",(SUMIF(Tank2!$B$32:$B$49,$J1750,Tank2!$C$32:$C$49)*Impacts!$F$9),0)</f>
        <v>0</v>
      </c>
      <c r="N1750" s="10">
        <f>IF(Tank3!$C$23="No control",(SUMIF(Tank3!$B$32:$B$49,$J1750,Tank3!$C$32:$C$49)*Impacts!$F$10),0)</f>
        <v>0</v>
      </c>
      <c r="O1750" s="10">
        <f>IF(Tank4!$C$23="No control",(SUMIF(Tank4!$B$32:$B$49,$J1750,Tank4!$C$32:$C$49)*Impacts!$F$11),0)</f>
        <v>0</v>
      </c>
      <c r="P1750" s="10">
        <f>IF(Tank5!$C$23="No control",(SUMIF(Tank5!$B$32:$B$49,$J1750,Tank5!$C$32:$C$49)*Impacts!$F$12),0)</f>
        <v>0</v>
      </c>
      <c r="Q1750" s="10">
        <f>IFERROR(IF(('Loading-drum,tote'!$C$21)="No control",SUMIF(('Loading-drum,tote'!$B$31:$B$48),$J1750,('Loading-drum,tote'!$D$31:$D$48))*Impacts!$F$13,IF(('Loading-drum,tote'!$C$21)&lt;&gt;"No control",SUMIF(('Loading-drum,tote'!$B$31:$B$48),$J1750,('Loading-drum,tote'!$E$31:$E$48))*Impacts!$F$13,0)),0)</f>
        <v>0</v>
      </c>
      <c r="R1750" s="10">
        <f>IFERROR(IF(('Loading-truck'!$C$21)="No control",SUMIF(('Loading-truck'!$B$31:$B$48),$J1750,('Loading-truck'!$D$31:$D$48))*Impacts!$F$14,IF(('Loading-truck'!$C$21)&lt;&gt;"No control",SUMIF(('Loading-truck'!$B$31:$B$48),$J1750,('Loading-truck'!$E$31:$E$48))*Impacts!$F$14,0)),0)</f>
        <v>0</v>
      </c>
      <c r="S1750" s="10">
        <f>IFERROR(IF(('Loading-rail'!$C$21)="No control",SUMIF(('Loading-rail'!$B$31:$B$48),$J1750,('Loading-rail'!$D$31:$D$48))*Impacts!$F$15,IF(('Loading-rail'!$C$21)&lt;&gt;"No control",SUMIF(('Loading-rail'!$B$31:$B$48),$J1750,('Loading-rail'!$E$31:$E$48))*Impacts!$F$15,0)),0)</f>
        <v>0</v>
      </c>
      <c r="T1750" s="10">
        <f>IF(Flare!$C$7="",0,(SUMIF(Flare!$B$46:$B$185,$J1750,Flare!$E$46:$E$185)*Impacts!$F$16))</f>
        <v>0</v>
      </c>
      <c r="U1750" s="10">
        <f>IF(VCU!$C$9="",0,(SUMIF(VCU!$B$51:$B$193,$J1750,VCU!$E$51:$E$193)*Impacts!$F$17))</f>
        <v>0</v>
      </c>
      <c r="V1750" s="10">
        <f>IF(CAS!$C$7="",0,(SUMIF(CAS!$B$31:$B$167,$J1750,CAS!$E$31:$E$167)*Impacts!$F$18))</f>
        <v>0</v>
      </c>
      <c r="W1750" s="10">
        <f t="shared" si="67"/>
        <v>0</v>
      </c>
      <c r="AK1750" s="10" t="str">
        <f t="array" ref="AK1750">IFERROR(INDEX(SelectedSpecies,SMALL(IF(SelectedSpecies=AK$1,ROW(SelectedSpecies)),ROW(1751:1751)),2),"")</f>
        <v/>
      </c>
      <c r="BE1750" s="10"/>
      <c r="BI1750" s="10"/>
    </row>
    <row r="1751" spans="1:61" ht="21" customHeight="1" x14ac:dyDescent="0.25">
      <c r="A1751" s="10"/>
      <c r="B1751" s="10"/>
      <c r="E1751" s="10"/>
      <c r="G1751" s="10"/>
      <c r="I1751" s="436" t="s">
        <v>2485</v>
      </c>
      <c r="J1751" s="26" t="s">
        <v>2484</v>
      </c>
      <c r="K1751" s="10">
        <v>10</v>
      </c>
      <c r="L1751" s="73">
        <f>IF(Tank1!$C$23="No control",(SUMIF(Tank1!$B$32:$B$49,$J1751,Tank1!$C$32:$C$49)*Impacts!$F$8),0)</f>
        <v>0</v>
      </c>
      <c r="M1751" s="10">
        <f>IF(Tank2!$C$23="No control",(SUMIF(Tank2!$B$32:$B$49,$J1751,Tank2!$C$32:$C$49)*Impacts!$F$9),0)</f>
        <v>0</v>
      </c>
      <c r="N1751" s="10">
        <f>IF(Tank3!$C$23="No control",(SUMIF(Tank3!$B$32:$B$49,$J1751,Tank3!$C$32:$C$49)*Impacts!$F$10),0)</f>
        <v>0</v>
      </c>
      <c r="O1751" s="10">
        <f>IF(Tank4!$C$23="No control",(SUMIF(Tank4!$B$32:$B$49,$J1751,Tank4!$C$32:$C$49)*Impacts!$F$11),0)</f>
        <v>0</v>
      </c>
      <c r="P1751" s="10">
        <f>IF(Tank5!$C$23="No control",(SUMIF(Tank5!$B$32:$B$49,$J1751,Tank5!$C$32:$C$49)*Impacts!$F$12),0)</f>
        <v>0</v>
      </c>
      <c r="Q1751" s="10">
        <f>IFERROR(IF(('Loading-drum,tote'!$C$21)="No control",SUMIF(('Loading-drum,tote'!$B$31:$B$48),$J1751,('Loading-drum,tote'!$D$31:$D$48))*Impacts!$F$13,IF(('Loading-drum,tote'!$C$21)&lt;&gt;"No control",SUMIF(('Loading-drum,tote'!$B$31:$B$48),$J1751,('Loading-drum,tote'!$E$31:$E$48))*Impacts!$F$13,0)),0)</f>
        <v>0</v>
      </c>
      <c r="R1751" s="10">
        <f>IFERROR(IF(('Loading-truck'!$C$21)="No control",SUMIF(('Loading-truck'!$B$31:$B$48),$J1751,('Loading-truck'!$D$31:$D$48))*Impacts!$F$14,IF(('Loading-truck'!$C$21)&lt;&gt;"No control",SUMIF(('Loading-truck'!$B$31:$B$48),$J1751,('Loading-truck'!$E$31:$E$48))*Impacts!$F$14,0)),0)</f>
        <v>0</v>
      </c>
      <c r="S1751" s="10">
        <f>IFERROR(IF(('Loading-rail'!$C$21)="No control",SUMIF(('Loading-rail'!$B$31:$B$48),$J1751,('Loading-rail'!$D$31:$D$48))*Impacts!$F$15,IF(('Loading-rail'!$C$21)&lt;&gt;"No control",SUMIF(('Loading-rail'!$B$31:$B$48),$J1751,('Loading-rail'!$E$31:$E$48))*Impacts!$F$15,0)),0)</f>
        <v>0</v>
      </c>
      <c r="T1751" s="10">
        <f>IF(Flare!$C$7="",0,(SUMIF(Flare!$B$46:$B$185,$J1751,Flare!$E$46:$E$185)*Impacts!$F$16))</f>
        <v>0</v>
      </c>
      <c r="U1751" s="10">
        <f>IF(VCU!$C$9="",0,(SUMIF(VCU!$B$51:$B$193,$J1751,VCU!$E$51:$E$193)*Impacts!$F$17))</f>
        <v>0</v>
      </c>
      <c r="V1751" s="10">
        <f>IF(CAS!$C$7="",0,(SUMIF(CAS!$B$31:$B$167,$J1751,CAS!$E$31:$E$167)*Impacts!$F$18))</f>
        <v>0</v>
      </c>
      <c r="W1751" s="10">
        <f t="shared" si="67"/>
        <v>0</v>
      </c>
      <c r="AK1751" s="10" t="str">
        <f t="array" ref="AK1751">IFERROR(INDEX(SelectedSpecies,SMALL(IF(SelectedSpecies=AK$1,ROW(SelectedSpecies)),ROW(1752:1752)),2),"")</f>
        <v/>
      </c>
      <c r="BE1751" s="10"/>
      <c r="BI1751" s="10"/>
    </row>
    <row r="1752" spans="1:61" ht="21" customHeight="1" x14ac:dyDescent="0.25">
      <c r="A1752" s="10"/>
      <c r="B1752" s="10"/>
      <c r="E1752" s="10"/>
      <c r="G1752" s="10"/>
      <c r="I1752" s="436" t="s">
        <v>3727</v>
      </c>
      <c r="J1752" s="26" t="s">
        <v>3726</v>
      </c>
      <c r="K1752" s="10">
        <v>6.4</v>
      </c>
      <c r="L1752" s="73">
        <f>IF(Tank1!$C$23="No control",(SUMIF(Tank1!$B$32:$B$49,$J1752,Tank1!$C$32:$C$49)*Impacts!$F$8),0)</f>
        <v>0</v>
      </c>
      <c r="M1752" s="10">
        <f>IF(Tank2!$C$23="No control",(SUMIF(Tank2!$B$32:$B$49,$J1752,Tank2!$C$32:$C$49)*Impacts!$F$9),0)</f>
        <v>0</v>
      </c>
      <c r="N1752" s="10">
        <f>IF(Tank3!$C$23="No control",(SUMIF(Tank3!$B$32:$B$49,$J1752,Tank3!$C$32:$C$49)*Impacts!$F$10),0)</f>
        <v>0</v>
      </c>
      <c r="O1752" s="10">
        <f>IF(Tank4!$C$23="No control",(SUMIF(Tank4!$B$32:$B$49,$J1752,Tank4!$C$32:$C$49)*Impacts!$F$11),0)</f>
        <v>0</v>
      </c>
      <c r="P1752" s="10">
        <f>IF(Tank5!$C$23="No control",(SUMIF(Tank5!$B$32:$B$49,$J1752,Tank5!$C$32:$C$49)*Impacts!$F$12),0)</f>
        <v>0</v>
      </c>
      <c r="Q1752" s="10">
        <f>IFERROR(IF(('Loading-drum,tote'!$C$21)="No control",SUMIF(('Loading-drum,tote'!$B$31:$B$48),$J1752,('Loading-drum,tote'!$D$31:$D$48))*Impacts!$F$13,IF(('Loading-drum,tote'!$C$21)&lt;&gt;"No control",SUMIF(('Loading-drum,tote'!$B$31:$B$48),$J1752,('Loading-drum,tote'!$E$31:$E$48))*Impacts!$F$13,0)),0)</f>
        <v>0</v>
      </c>
      <c r="R1752" s="10">
        <f>IFERROR(IF(('Loading-truck'!$C$21)="No control",SUMIF(('Loading-truck'!$B$31:$B$48),$J1752,('Loading-truck'!$D$31:$D$48))*Impacts!$F$14,IF(('Loading-truck'!$C$21)&lt;&gt;"No control",SUMIF(('Loading-truck'!$B$31:$B$48),$J1752,('Loading-truck'!$E$31:$E$48))*Impacts!$F$14,0)),0)</f>
        <v>0</v>
      </c>
      <c r="S1752" s="10">
        <f>IFERROR(IF(('Loading-rail'!$C$21)="No control",SUMIF(('Loading-rail'!$B$31:$B$48),$J1752,('Loading-rail'!$D$31:$D$48))*Impacts!$F$15,IF(('Loading-rail'!$C$21)&lt;&gt;"No control",SUMIF(('Loading-rail'!$B$31:$B$48),$J1752,('Loading-rail'!$E$31:$E$48))*Impacts!$F$15,0)),0)</f>
        <v>0</v>
      </c>
      <c r="T1752" s="10">
        <f>IF(Flare!$C$7="",0,(SUMIF(Flare!$B$46:$B$185,$J1752,Flare!$E$46:$E$185)*Impacts!$F$16))</f>
        <v>0</v>
      </c>
      <c r="U1752" s="10">
        <f>IF(VCU!$C$9="",0,(SUMIF(VCU!$B$51:$B$193,$J1752,VCU!$E$51:$E$193)*Impacts!$F$17))</f>
        <v>0</v>
      </c>
      <c r="V1752" s="10">
        <f>IF(CAS!$C$7="",0,(SUMIF(CAS!$B$31:$B$167,$J1752,CAS!$E$31:$E$167)*Impacts!$F$18))</f>
        <v>0</v>
      </c>
      <c r="W1752" s="10">
        <f t="shared" si="67"/>
        <v>0</v>
      </c>
      <c r="AK1752" s="10" t="str">
        <f t="array" ref="AK1752">IFERROR(INDEX(SelectedSpecies,SMALL(IF(SelectedSpecies=AK$1,ROW(SelectedSpecies)),ROW(1753:1753)),2),"")</f>
        <v/>
      </c>
      <c r="BE1752" s="10"/>
      <c r="BI1752" s="10"/>
    </row>
    <row r="1753" spans="1:61" ht="21" customHeight="1" x14ac:dyDescent="0.25">
      <c r="A1753" s="10"/>
      <c r="B1753" s="10"/>
      <c r="E1753" s="10"/>
      <c r="G1753" s="10"/>
      <c r="I1753" s="436" t="s">
        <v>1040</v>
      </c>
      <c r="J1753" s="26" t="s">
        <v>1039</v>
      </c>
      <c r="K1753" s="10">
        <v>35</v>
      </c>
      <c r="L1753" s="73">
        <f>IF(Tank1!$C$23="No control",(SUMIF(Tank1!$B$32:$B$49,$J1753,Tank1!$C$32:$C$49)*Impacts!$F$8),0)</f>
        <v>0</v>
      </c>
      <c r="M1753" s="10">
        <f>IF(Tank2!$C$23="No control",(SUMIF(Tank2!$B$32:$B$49,$J1753,Tank2!$C$32:$C$49)*Impacts!$F$9),0)</f>
        <v>0</v>
      </c>
      <c r="N1753" s="10">
        <f>IF(Tank3!$C$23="No control",(SUMIF(Tank3!$B$32:$B$49,$J1753,Tank3!$C$32:$C$49)*Impacts!$F$10),0)</f>
        <v>0</v>
      </c>
      <c r="O1753" s="10">
        <f>IF(Tank4!$C$23="No control",(SUMIF(Tank4!$B$32:$B$49,$J1753,Tank4!$C$32:$C$49)*Impacts!$F$11),0)</f>
        <v>0</v>
      </c>
      <c r="P1753" s="10">
        <f>IF(Tank5!$C$23="No control",(SUMIF(Tank5!$B$32:$B$49,$J1753,Tank5!$C$32:$C$49)*Impacts!$F$12),0)</f>
        <v>0</v>
      </c>
      <c r="Q1753" s="10">
        <f>IFERROR(IF(('Loading-drum,tote'!$C$21)="No control",SUMIF(('Loading-drum,tote'!$B$31:$B$48),$J1753,('Loading-drum,tote'!$D$31:$D$48))*Impacts!$F$13,IF(('Loading-drum,tote'!$C$21)&lt;&gt;"No control",SUMIF(('Loading-drum,tote'!$B$31:$B$48),$J1753,('Loading-drum,tote'!$E$31:$E$48))*Impacts!$F$13,0)),0)</f>
        <v>0</v>
      </c>
      <c r="R1753" s="10">
        <f>IFERROR(IF(('Loading-truck'!$C$21)="No control",SUMIF(('Loading-truck'!$B$31:$B$48),$J1753,('Loading-truck'!$D$31:$D$48))*Impacts!$F$14,IF(('Loading-truck'!$C$21)&lt;&gt;"No control",SUMIF(('Loading-truck'!$B$31:$B$48),$J1753,('Loading-truck'!$E$31:$E$48))*Impacts!$F$14,0)),0)</f>
        <v>0</v>
      </c>
      <c r="S1753" s="10">
        <f>IFERROR(IF(('Loading-rail'!$C$21)="No control",SUMIF(('Loading-rail'!$B$31:$B$48),$J1753,('Loading-rail'!$D$31:$D$48))*Impacts!$F$15,IF(('Loading-rail'!$C$21)&lt;&gt;"No control",SUMIF(('Loading-rail'!$B$31:$B$48),$J1753,('Loading-rail'!$E$31:$E$48))*Impacts!$F$15,0)),0)</f>
        <v>0</v>
      </c>
      <c r="T1753" s="10">
        <f>IF(Flare!$C$7="",0,(SUMIF(Flare!$B$46:$B$185,$J1753,Flare!$E$46:$E$185)*Impacts!$F$16))</f>
        <v>0</v>
      </c>
      <c r="U1753" s="10">
        <f>IF(VCU!$C$9="",0,(SUMIF(VCU!$B$51:$B$193,$J1753,VCU!$E$51:$E$193)*Impacts!$F$17))</f>
        <v>0</v>
      </c>
      <c r="V1753" s="10">
        <f>IF(CAS!$C$7="",0,(SUMIF(CAS!$B$31:$B$167,$J1753,CAS!$E$31:$E$167)*Impacts!$F$18))</f>
        <v>0</v>
      </c>
      <c r="W1753" s="10">
        <f t="shared" si="67"/>
        <v>0</v>
      </c>
      <c r="AK1753" s="10" t="str">
        <f t="array" ref="AK1753">IFERROR(INDEX(SelectedSpecies,SMALL(IF(SelectedSpecies=AK$1,ROW(SelectedSpecies)),ROW(1754:1754)),2),"")</f>
        <v/>
      </c>
      <c r="BE1753" s="10"/>
      <c r="BI1753" s="10"/>
    </row>
    <row r="1754" spans="1:61" ht="21" customHeight="1" x14ac:dyDescent="0.25">
      <c r="A1754" s="10"/>
      <c r="B1754" s="10"/>
      <c r="E1754" s="10"/>
      <c r="G1754" s="10"/>
      <c r="I1754" s="436" t="s">
        <v>4131</v>
      </c>
      <c r="J1754" s="26" t="s">
        <v>4130</v>
      </c>
      <c r="K1754" s="10">
        <v>5.3000000000000007</v>
      </c>
      <c r="L1754" s="73">
        <f>IF(Tank1!$C$23="No control",(SUMIF(Tank1!$B$32:$B$49,$J1754,Tank1!$C$32:$C$49)*Impacts!$F$8),0)</f>
        <v>0</v>
      </c>
      <c r="M1754" s="10">
        <f>IF(Tank2!$C$23="No control",(SUMIF(Tank2!$B$32:$B$49,$J1754,Tank2!$C$32:$C$49)*Impacts!$F$9),0)</f>
        <v>0</v>
      </c>
      <c r="N1754" s="10">
        <f>IF(Tank3!$C$23="No control",(SUMIF(Tank3!$B$32:$B$49,$J1754,Tank3!$C$32:$C$49)*Impacts!$F$10),0)</f>
        <v>0</v>
      </c>
      <c r="O1754" s="10">
        <f>IF(Tank4!$C$23="No control",(SUMIF(Tank4!$B$32:$B$49,$J1754,Tank4!$C$32:$C$49)*Impacts!$F$11),0)</f>
        <v>0</v>
      </c>
      <c r="P1754" s="10">
        <f>IF(Tank5!$C$23="No control",(SUMIF(Tank5!$B$32:$B$49,$J1754,Tank5!$C$32:$C$49)*Impacts!$F$12),0)</f>
        <v>0</v>
      </c>
      <c r="Q1754" s="10">
        <f>IFERROR(IF(('Loading-drum,tote'!$C$21)="No control",SUMIF(('Loading-drum,tote'!$B$31:$B$48),$J1754,('Loading-drum,tote'!$D$31:$D$48))*Impacts!$F$13,IF(('Loading-drum,tote'!$C$21)&lt;&gt;"No control",SUMIF(('Loading-drum,tote'!$B$31:$B$48),$J1754,('Loading-drum,tote'!$E$31:$E$48))*Impacts!$F$13,0)),0)</f>
        <v>0</v>
      </c>
      <c r="R1754" s="10">
        <f>IFERROR(IF(('Loading-truck'!$C$21)="No control",SUMIF(('Loading-truck'!$B$31:$B$48),$J1754,('Loading-truck'!$D$31:$D$48))*Impacts!$F$14,IF(('Loading-truck'!$C$21)&lt;&gt;"No control",SUMIF(('Loading-truck'!$B$31:$B$48),$J1754,('Loading-truck'!$E$31:$E$48))*Impacts!$F$14,0)),0)</f>
        <v>0</v>
      </c>
      <c r="S1754" s="10">
        <f>IFERROR(IF(('Loading-rail'!$C$21)="No control",SUMIF(('Loading-rail'!$B$31:$B$48),$J1754,('Loading-rail'!$D$31:$D$48))*Impacts!$F$15,IF(('Loading-rail'!$C$21)&lt;&gt;"No control",SUMIF(('Loading-rail'!$B$31:$B$48),$J1754,('Loading-rail'!$E$31:$E$48))*Impacts!$F$15,0)),0)</f>
        <v>0</v>
      </c>
      <c r="T1754" s="10">
        <f>IF(Flare!$C$7="",0,(SUMIF(Flare!$B$46:$B$185,$J1754,Flare!$E$46:$E$185)*Impacts!$F$16))</f>
        <v>0</v>
      </c>
      <c r="U1754" s="10">
        <f>IF(VCU!$C$9="",0,(SUMIF(VCU!$B$51:$B$193,$J1754,VCU!$E$51:$E$193)*Impacts!$F$17))</f>
        <v>0</v>
      </c>
      <c r="V1754" s="10">
        <f>IF(CAS!$C$7="",0,(SUMIF(CAS!$B$31:$B$167,$J1754,CAS!$E$31:$E$167)*Impacts!$F$18))</f>
        <v>0</v>
      </c>
      <c r="W1754" s="10">
        <f t="shared" ref="W1754:W1817" si="68">SUM(L1754:V1754)</f>
        <v>0</v>
      </c>
      <c r="AK1754" s="10" t="str">
        <f t="array" ref="AK1754">IFERROR(INDEX(SelectedSpecies,SMALL(IF(SelectedSpecies=AK$1,ROW(SelectedSpecies)),ROW(1755:1755)),2),"")</f>
        <v/>
      </c>
      <c r="BE1754" s="10"/>
      <c r="BI1754" s="10"/>
    </row>
    <row r="1755" spans="1:61" ht="21" customHeight="1" x14ac:dyDescent="0.25">
      <c r="A1755" s="10"/>
      <c r="B1755" s="10"/>
      <c r="E1755" s="10"/>
      <c r="G1755" s="10"/>
      <c r="I1755" s="436" t="s">
        <v>6434</v>
      </c>
      <c r="J1755" s="26" t="s">
        <v>6433</v>
      </c>
      <c r="K1755" s="10">
        <v>0.8</v>
      </c>
      <c r="L1755" s="73">
        <f>IF(Tank1!$C$23="No control",(SUMIF(Tank1!$B$32:$B$49,$J1755,Tank1!$C$32:$C$49)*Impacts!$F$8),0)</f>
        <v>0</v>
      </c>
      <c r="M1755" s="10">
        <f>IF(Tank2!$C$23="No control",(SUMIF(Tank2!$B$32:$B$49,$J1755,Tank2!$C$32:$C$49)*Impacts!$F$9),0)</f>
        <v>0</v>
      </c>
      <c r="N1755" s="10">
        <f>IF(Tank3!$C$23="No control",(SUMIF(Tank3!$B$32:$B$49,$J1755,Tank3!$C$32:$C$49)*Impacts!$F$10),0)</f>
        <v>0</v>
      </c>
      <c r="O1755" s="10">
        <f>IF(Tank4!$C$23="No control",(SUMIF(Tank4!$B$32:$B$49,$J1755,Tank4!$C$32:$C$49)*Impacts!$F$11),0)</f>
        <v>0</v>
      </c>
      <c r="P1755" s="10">
        <f>IF(Tank5!$C$23="No control",(SUMIF(Tank5!$B$32:$B$49,$J1755,Tank5!$C$32:$C$49)*Impacts!$F$12),0)</f>
        <v>0</v>
      </c>
      <c r="Q1755" s="10">
        <f>IFERROR(IF(('Loading-drum,tote'!$C$21)="No control",SUMIF(('Loading-drum,tote'!$B$31:$B$48),$J1755,('Loading-drum,tote'!$D$31:$D$48))*Impacts!$F$13,IF(('Loading-drum,tote'!$C$21)&lt;&gt;"No control",SUMIF(('Loading-drum,tote'!$B$31:$B$48),$J1755,('Loading-drum,tote'!$E$31:$E$48))*Impacts!$F$13,0)),0)</f>
        <v>0</v>
      </c>
      <c r="R1755" s="10">
        <f>IFERROR(IF(('Loading-truck'!$C$21)="No control",SUMIF(('Loading-truck'!$B$31:$B$48),$J1755,('Loading-truck'!$D$31:$D$48))*Impacts!$F$14,IF(('Loading-truck'!$C$21)&lt;&gt;"No control",SUMIF(('Loading-truck'!$B$31:$B$48),$J1755,('Loading-truck'!$E$31:$E$48))*Impacts!$F$14,0)),0)</f>
        <v>0</v>
      </c>
      <c r="S1755" s="10">
        <f>IFERROR(IF(('Loading-rail'!$C$21)="No control",SUMIF(('Loading-rail'!$B$31:$B$48),$J1755,('Loading-rail'!$D$31:$D$48))*Impacts!$F$15,IF(('Loading-rail'!$C$21)&lt;&gt;"No control",SUMIF(('Loading-rail'!$B$31:$B$48),$J1755,('Loading-rail'!$E$31:$E$48))*Impacts!$F$15,0)),0)</f>
        <v>0</v>
      </c>
      <c r="T1755" s="10">
        <f>IF(Flare!$C$7="",0,(SUMIF(Flare!$B$46:$B$185,$J1755,Flare!$E$46:$E$185)*Impacts!$F$16))</f>
        <v>0</v>
      </c>
      <c r="U1755" s="10">
        <f>IF(VCU!$C$9="",0,(SUMIF(VCU!$B$51:$B$193,$J1755,VCU!$E$51:$E$193)*Impacts!$F$17))</f>
        <v>0</v>
      </c>
      <c r="V1755" s="10">
        <f>IF(CAS!$C$7="",0,(SUMIF(CAS!$B$31:$B$167,$J1755,CAS!$E$31:$E$167)*Impacts!$F$18))</f>
        <v>0</v>
      </c>
      <c r="W1755" s="10">
        <f t="shared" si="68"/>
        <v>0</v>
      </c>
      <c r="AK1755" s="10" t="str">
        <f t="array" ref="AK1755">IFERROR(INDEX(SelectedSpecies,SMALL(IF(SelectedSpecies=AK$1,ROW(SelectedSpecies)),ROW(1756:1756)),2),"")</f>
        <v/>
      </c>
      <c r="BE1755" s="10"/>
      <c r="BI1755" s="10"/>
    </row>
    <row r="1756" spans="1:61" ht="21" customHeight="1" x14ac:dyDescent="0.25">
      <c r="A1756" s="10"/>
      <c r="B1756" s="10"/>
      <c r="E1756" s="10"/>
      <c r="G1756" s="10"/>
      <c r="I1756" s="436" t="s">
        <v>5007</v>
      </c>
      <c r="J1756" s="26" t="s">
        <v>5006</v>
      </c>
      <c r="K1756" s="10">
        <v>2.5</v>
      </c>
      <c r="L1756" s="73">
        <f>IF(Tank1!$C$23="No control",(SUMIF(Tank1!$B$32:$B$49,$J1756,Tank1!$C$32:$C$49)*Impacts!$F$8),0)</f>
        <v>0</v>
      </c>
      <c r="M1756" s="10">
        <f>IF(Tank2!$C$23="No control",(SUMIF(Tank2!$B$32:$B$49,$J1756,Tank2!$C$32:$C$49)*Impacts!$F$9),0)</f>
        <v>0</v>
      </c>
      <c r="N1756" s="10">
        <f>IF(Tank3!$C$23="No control",(SUMIF(Tank3!$B$32:$B$49,$J1756,Tank3!$C$32:$C$49)*Impacts!$F$10),0)</f>
        <v>0</v>
      </c>
      <c r="O1756" s="10">
        <f>IF(Tank4!$C$23="No control",(SUMIF(Tank4!$B$32:$B$49,$J1756,Tank4!$C$32:$C$49)*Impacts!$F$11),0)</f>
        <v>0</v>
      </c>
      <c r="P1756" s="10">
        <f>IF(Tank5!$C$23="No control",(SUMIF(Tank5!$B$32:$B$49,$J1756,Tank5!$C$32:$C$49)*Impacts!$F$12),0)</f>
        <v>0</v>
      </c>
      <c r="Q1756" s="10">
        <f>IFERROR(IF(('Loading-drum,tote'!$C$21)="No control",SUMIF(('Loading-drum,tote'!$B$31:$B$48),$J1756,('Loading-drum,tote'!$D$31:$D$48))*Impacts!$F$13,IF(('Loading-drum,tote'!$C$21)&lt;&gt;"No control",SUMIF(('Loading-drum,tote'!$B$31:$B$48),$J1756,('Loading-drum,tote'!$E$31:$E$48))*Impacts!$F$13,0)),0)</f>
        <v>0</v>
      </c>
      <c r="R1756" s="10">
        <f>IFERROR(IF(('Loading-truck'!$C$21)="No control",SUMIF(('Loading-truck'!$B$31:$B$48),$J1756,('Loading-truck'!$D$31:$D$48))*Impacts!$F$14,IF(('Loading-truck'!$C$21)&lt;&gt;"No control",SUMIF(('Loading-truck'!$B$31:$B$48),$J1756,('Loading-truck'!$E$31:$E$48))*Impacts!$F$14,0)),0)</f>
        <v>0</v>
      </c>
      <c r="S1756" s="10">
        <f>IFERROR(IF(('Loading-rail'!$C$21)="No control",SUMIF(('Loading-rail'!$B$31:$B$48),$J1756,('Loading-rail'!$D$31:$D$48))*Impacts!$F$15,IF(('Loading-rail'!$C$21)&lt;&gt;"No control",SUMIF(('Loading-rail'!$B$31:$B$48),$J1756,('Loading-rail'!$E$31:$E$48))*Impacts!$F$15,0)),0)</f>
        <v>0</v>
      </c>
      <c r="T1756" s="10">
        <f>IF(Flare!$C$7="",0,(SUMIF(Flare!$B$46:$B$185,$J1756,Flare!$E$46:$E$185)*Impacts!$F$16))</f>
        <v>0</v>
      </c>
      <c r="U1756" s="10">
        <f>IF(VCU!$C$9="",0,(SUMIF(VCU!$B$51:$B$193,$J1756,VCU!$E$51:$E$193)*Impacts!$F$17))</f>
        <v>0</v>
      </c>
      <c r="V1756" s="10">
        <f>IF(CAS!$C$7="",0,(SUMIF(CAS!$B$31:$B$167,$J1756,CAS!$E$31:$E$167)*Impacts!$F$18))</f>
        <v>0</v>
      </c>
      <c r="W1756" s="10">
        <f t="shared" si="68"/>
        <v>0</v>
      </c>
      <c r="AK1756" s="10" t="str">
        <f t="array" ref="AK1756">IFERROR(INDEX(SelectedSpecies,SMALL(IF(SelectedSpecies=AK$1,ROW(SelectedSpecies)),ROW(1757:1757)),2),"")</f>
        <v/>
      </c>
      <c r="BE1756" s="10"/>
      <c r="BI1756" s="10"/>
    </row>
    <row r="1757" spans="1:61" ht="21" customHeight="1" x14ac:dyDescent="0.25">
      <c r="A1757" s="10"/>
      <c r="B1757" s="10"/>
      <c r="E1757" s="10"/>
      <c r="G1757" s="10"/>
      <c r="I1757" s="436" t="s">
        <v>5161</v>
      </c>
      <c r="J1757" s="26" t="s">
        <v>5160</v>
      </c>
      <c r="K1757" s="10">
        <v>2</v>
      </c>
      <c r="L1757" s="73">
        <f>IF(Tank1!$C$23="No control",(SUMIF(Tank1!$B$32:$B$49,$J1757,Tank1!$C$32:$C$49)*Impacts!$F$8),0)</f>
        <v>0</v>
      </c>
      <c r="M1757" s="10">
        <f>IF(Tank2!$C$23="No control",(SUMIF(Tank2!$B$32:$B$49,$J1757,Tank2!$C$32:$C$49)*Impacts!$F$9),0)</f>
        <v>0</v>
      </c>
      <c r="N1757" s="10">
        <f>IF(Tank3!$C$23="No control",(SUMIF(Tank3!$B$32:$B$49,$J1757,Tank3!$C$32:$C$49)*Impacts!$F$10),0)</f>
        <v>0</v>
      </c>
      <c r="O1757" s="10">
        <f>IF(Tank4!$C$23="No control",(SUMIF(Tank4!$B$32:$B$49,$J1757,Tank4!$C$32:$C$49)*Impacts!$F$11),0)</f>
        <v>0</v>
      </c>
      <c r="P1757" s="10">
        <f>IF(Tank5!$C$23="No control",(SUMIF(Tank5!$B$32:$B$49,$J1757,Tank5!$C$32:$C$49)*Impacts!$F$12),0)</f>
        <v>0</v>
      </c>
      <c r="Q1757" s="10">
        <f>IFERROR(IF(('Loading-drum,tote'!$C$21)="No control",SUMIF(('Loading-drum,tote'!$B$31:$B$48),$J1757,('Loading-drum,tote'!$D$31:$D$48))*Impacts!$F$13,IF(('Loading-drum,tote'!$C$21)&lt;&gt;"No control",SUMIF(('Loading-drum,tote'!$B$31:$B$48),$J1757,('Loading-drum,tote'!$E$31:$E$48))*Impacts!$F$13,0)),0)</f>
        <v>0</v>
      </c>
      <c r="R1757" s="10">
        <f>IFERROR(IF(('Loading-truck'!$C$21)="No control",SUMIF(('Loading-truck'!$B$31:$B$48),$J1757,('Loading-truck'!$D$31:$D$48))*Impacts!$F$14,IF(('Loading-truck'!$C$21)&lt;&gt;"No control",SUMIF(('Loading-truck'!$B$31:$B$48),$J1757,('Loading-truck'!$E$31:$E$48))*Impacts!$F$14,0)),0)</f>
        <v>0</v>
      </c>
      <c r="S1757" s="10">
        <f>IFERROR(IF(('Loading-rail'!$C$21)="No control",SUMIF(('Loading-rail'!$B$31:$B$48),$J1757,('Loading-rail'!$D$31:$D$48))*Impacts!$F$15,IF(('Loading-rail'!$C$21)&lt;&gt;"No control",SUMIF(('Loading-rail'!$B$31:$B$48),$J1757,('Loading-rail'!$E$31:$E$48))*Impacts!$F$15,0)),0)</f>
        <v>0</v>
      </c>
      <c r="T1757" s="10">
        <f>IF(Flare!$C$7="",0,(SUMIF(Flare!$B$46:$B$185,$J1757,Flare!$E$46:$E$185)*Impacts!$F$16))</f>
        <v>0</v>
      </c>
      <c r="U1757" s="10">
        <f>IF(VCU!$C$9="",0,(SUMIF(VCU!$B$51:$B$193,$J1757,VCU!$E$51:$E$193)*Impacts!$F$17))</f>
        <v>0</v>
      </c>
      <c r="V1757" s="10">
        <f>IF(CAS!$C$7="",0,(SUMIF(CAS!$B$31:$B$167,$J1757,CAS!$E$31:$E$167)*Impacts!$F$18))</f>
        <v>0</v>
      </c>
      <c r="W1757" s="10">
        <f t="shared" si="68"/>
        <v>0</v>
      </c>
      <c r="AK1757" s="10" t="str">
        <f t="array" ref="AK1757">IFERROR(INDEX(SelectedSpecies,SMALL(IF(SelectedSpecies=AK$1,ROW(SelectedSpecies)),ROW(1758:1758)),2),"")</f>
        <v/>
      </c>
      <c r="BE1757" s="10"/>
      <c r="BI1757" s="10"/>
    </row>
    <row r="1758" spans="1:61" ht="21" customHeight="1" x14ac:dyDescent="0.25">
      <c r="A1758" s="10"/>
      <c r="B1758" s="10"/>
      <c r="E1758" s="10"/>
      <c r="G1758" s="10"/>
      <c r="I1758" s="436" t="s">
        <v>5163</v>
      </c>
      <c r="J1758" s="26" t="s">
        <v>5162</v>
      </c>
      <c r="K1758" s="10">
        <v>2</v>
      </c>
      <c r="L1758" s="73">
        <f>IF(Tank1!$C$23="No control",(SUMIF(Tank1!$B$32:$B$49,$J1758,Tank1!$C$32:$C$49)*Impacts!$F$8),0)</f>
        <v>0</v>
      </c>
      <c r="M1758" s="10">
        <f>IF(Tank2!$C$23="No control",(SUMIF(Tank2!$B$32:$B$49,$J1758,Tank2!$C$32:$C$49)*Impacts!$F$9),0)</f>
        <v>0</v>
      </c>
      <c r="N1758" s="10">
        <f>IF(Tank3!$C$23="No control",(SUMIF(Tank3!$B$32:$B$49,$J1758,Tank3!$C$32:$C$49)*Impacts!$F$10),0)</f>
        <v>0</v>
      </c>
      <c r="O1758" s="10">
        <f>IF(Tank4!$C$23="No control",(SUMIF(Tank4!$B$32:$B$49,$J1758,Tank4!$C$32:$C$49)*Impacts!$F$11),0)</f>
        <v>0</v>
      </c>
      <c r="P1758" s="10">
        <f>IF(Tank5!$C$23="No control",(SUMIF(Tank5!$B$32:$B$49,$J1758,Tank5!$C$32:$C$49)*Impacts!$F$12),0)</f>
        <v>0</v>
      </c>
      <c r="Q1758" s="10">
        <f>IFERROR(IF(('Loading-drum,tote'!$C$21)="No control",SUMIF(('Loading-drum,tote'!$B$31:$B$48),$J1758,('Loading-drum,tote'!$D$31:$D$48))*Impacts!$F$13,IF(('Loading-drum,tote'!$C$21)&lt;&gt;"No control",SUMIF(('Loading-drum,tote'!$B$31:$B$48),$J1758,('Loading-drum,tote'!$E$31:$E$48))*Impacts!$F$13,0)),0)</f>
        <v>0</v>
      </c>
      <c r="R1758" s="10">
        <f>IFERROR(IF(('Loading-truck'!$C$21)="No control",SUMIF(('Loading-truck'!$B$31:$B$48),$J1758,('Loading-truck'!$D$31:$D$48))*Impacts!$F$14,IF(('Loading-truck'!$C$21)&lt;&gt;"No control",SUMIF(('Loading-truck'!$B$31:$B$48),$J1758,('Loading-truck'!$E$31:$E$48))*Impacts!$F$14,0)),0)</f>
        <v>0</v>
      </c>
      <c r="S1758" s="10">
        <f>IFERROR(IF(('Loading-rail'!$C$21)="No control",SUMIF(('Loading-rail'!$B$31:$B$48),$J1758,('Loading-rail'!$D$31:$D$48))*Impacts!$F$15,IF(('Loading-rail'!$C$21)&lt;&gt;"No control",SUMIF(('Loading-rail'!$B$31:$B$48),$J1758,('Loading-rail'!$E$31:$E$48))*Impacts!$F$15,0)),0)</f>
        <v>0</v>
      </c>
      <c r="T1758" s="10">
        <f>IF(Flare!$C$7="",0,(SUMIF(Flare!$B$46:$B$185,$J1758,Flare!$E$46:$E$185)*Impacts!$F$16))</f>
        <v>0</v>
      </c>
      <c r="U1758" s="10">
        <f>IF(VCU!$C$9="",0,(SUMIF(VCU!$B$51:$B$193,$J1758,VCU!$E$51:$E$193)*Impacts!$F$17))</f>
        <v>0</v>
      </c>
      <c r="V1758" s="10">
        <f>IF(CAS!$C$7="",0,(SUMIF(CAS!$B$31:$B$167,$J1758,CAS!$E$31:$E$167)*Impacts!$F$18))</f>
        <v>0</v>
      </c>
      <c r="W1758" s="10">
        <f t="shared" si="68"/>
        <v>0</v>
      </c>
      <c r="AK1758" s="10" t="str">
        <f t="array" ref="AK1758">IFERROR(INDEX(SelectedSpecies,SMALL(IF(SelectedSpecies=AK$1,ROW(SelectedSpecies)),ROW(1759:1759)),2),"")</f>
        <v/>
      </c>
      <c r="BE1758" s="10"/>
      <c r="BI1758" s="10"/>
    </row>
    <row r="1759" spans="1:61" ht="21" customHeight="1" x14ac:dyDescent="0.25">
      <c r="A1759" s="10"/>
      <c r="B1759" s="10"/>
      <c r="E1759" s="10"/>
      <c r="G1759" s="10"/>
      <c r="I1759" s="436" t="s">
        <v>7054</v>
      </c>
      <c r="J1759" s="26" t="s">
        <v>7053</v>
      </c>
      <c r="K1759" s="10">
        <v>0.42000000000000004</v>
      </c>
      <c r="L1759" s="73">
        <f>IF(Tank1!$C$23="No control",(SUMIF(Tank1!$B$32:$B$49,$J1759,Tank1!$C$32:$C$49)*Impacts!$F$8),0)</f>
        <v>0</v>
      </c>
      <c r="M1759" s="10">
        <f>IF(Tank2!$C$23="No control",(SUMIF(Tank2!$B$32:$B$49,$J1759,Tank2!$C$32:$C$49)*Impacts!$F$9),0)</f>
        <v>0</v>
      </c>
      <c r="N1759" s="10">
        <f>IF(Tank3!$C$23="No control",(SUMIF(Tank3!$B$32:$B$49,$J1759,Tank3!$C$32:$C$49)*Impacts!$F$10),0)</f>
        <v>0</v>
      </c>
      <c r="O1759" s="10">
        <f>IF(Tank4!$C$23="No control",(SUMIF(Tank4!$B$32:$B$49,$J1759,Tank4!$C$32:$C$49)*Impacts!$F$11),0)</f>
        <v>0</v>
      </c>
      <c r="P1759" s="10">
        <f>IF(Tank5!$C$23="No control",(SUMIF(Tank5!$B$32:$B$49,$J1759,Tank5!$C$32:$C$49)*Impacts!$F$12),0)</f>
        <v>0</v>
      </c>
      <c r="Q1759" s="10">
        <f>IFERROR(IF(('Loading-drum,tote'!$C$21)="No control",SUMIF(('Loading-drum,tote'!$B$31:$B$48),$J1759,('Loading-drum,tote'!$D$31:$D$48))*Impacts!$F$13,IF(('Loading-drum,tote'!$C$21)&lt;&gt;"No control",SUMIF(('Loading-drum,tote'!$B$31:$B$48),$J1759,('Loading-drum,tote'!$E$31:$E$48))*Impacts!$F$13,0)),0)</f>
        <v>0</v>
      </c>
      <c r="R1759" s="10">
        <f>IFERROR(IF(('Loading-truck'!$C$21)="No control",SUMIF(('Loading-truck'!$B$31:$B$48),$J1759,('Loading-truck'!$D$31:$D$48))*Impacts!$F$14,IF(('Loading-truck'!$C$21)&lt;&gt;"No control",SUMIF(('Loading-truck'!$B$31:$B$48),$J1759,('Loading-truck'!$E$31:$E$48))*Impacts!$F$14,0)),0)</f>
        <v>0</v>
      </c>
      <c r="S1759" s="10">
        <f>IFERROR(IF(('Loading-rail'!$C$21)="No control",SUMIF(('Loading-rail'!$B$31:$B$48),$J1759,('Loading-rail'!$D$31:$D$48))*Impacts!$F$15,IF(('Loading-rail'!$C$21)&lt;&gt;"No control",SUMIF(('Loading-rail'!$B$31:$B$48),$J1759,('Loading-rail'!$E$31:$E$48))*Impacts!$F$15,0)),0)</f>
        <v>0</v>
      </c>
      <c r="T1759" s="10">
        <f>IF(Flare!$C$7="",0,(SUMIF(Flare!$B$46:$B$185,$J1759,Flare!$E$46:$E$185)*Impacts!$F$16))</f>
        <v>0</v>
      </c>
      <c r="U1759" s="10">
        <f>IF(VCU!$C$9="",0,(SUMIF(VCU!$B$51:$B$193,$J1759,VCU!$E$51:$E$193)*Impacts!$F$17))</f>
        <v>0</v>
      </c>
      <c r="V1759" s="10">
        <f>IF(CAS!$C$7="",0,(SUMIF(CAS!$B$31:$B$167,$J1759,CAS!$E$31:$E$167)*Impacts!$F$18))</f>
        <v>0</v>
      </c>
      <c r="W1759" s="10">
        <f t="shared" si="68"/>
        <v>0</v>
      </c>
      <c r="AK1759" s="10" t="str">
        <f t="array" ref="AK1759">IFERROR(INDEX(SelectedSpecies,SMALL(IF(SelectedSpecies=AK$1,ROW(SelectedSpecies)),ROW(1760:1760)),2),"")</f>
        <v/>
      </c>
      <c r="BE1759" s="10"/>
      <c r="BI1759" s="10"/>
    </row>
    <row r="1760" spans="1:61" ht="21" customHeight="1" x14ac:dyDescent="0.25">
      <c r="A1760" s="10"/>
      <c r="B1760" s="10"/>
      <c r="E1760" s="10"/>
      <c r="G1760" s="10"/>
      <c r="I1760" s="436" t="s">
        <v>7270</v>
      </c>
      <c r="J1760" s="26" t="s">
        <v>7269</v>
      </c>
      <c r="K1760" s="10">
        <v>0.30000000000000004</v>
      </c>
      <c r="L1760" s="73">
        <f>IF(Tank1!$C$23="No control",(SUMIF(Tank1!$B$32:$B$49,$J1760,Tank1!$C$32:$C$49)*Impacts!$F$8),0)</f>
        <v>0</v>
      </c>
      <c r="M1760" s="10">
        <f>IF(Tank2!$C$23="No control",(SUMIF(Tank2!$B$32:$B$49,$J1760,Tank2!$C$32:$C$49)*Impacts!$F$9),0)</f>
        <v>0</v>
      </c>
      <c r="N1760" s="10">
        <f>IF(Tank3!$C$23="No control",(SUMIF(Tank3!$B$32:$B$49,$J1760,Tank3!$C$32:$C$49)*Impacts!$F$10),0)</f>
        <v>0</v>
      </c>
      <c r="O1760" s="10">
        <f>IF(Tank4!$C$23="No control",(SUMIF(Tank4!$B$32:$B$49,$J1760,Tank4!$C$32:$C$49)*Impacts!$F$11),0)</f>
        <v>0</v>
      </c>
      <c r="P1760" s="10">
        <f>IF(Tank5!$C$23="No control",(SUMIF(Tank5!$B$32:$B$49,$J1760,Tank5!$C$32:$C$49)*Impacts!$F$12),0)</f>
        <v>0</v>
      </c>
      <c r="Q1760" s="10">
        <f>IFERROR(IF(('Loading-drum,tote'!$C$21)="No control",SUMIF(('Loading-drum,tote'!$B$31:$B$48),$J1760,('Loading-drum,tote'!$D$31:$D$48))*Impacts!$F$13,IF(('Loading-drum,tote'!$C$21)&lt;&gt;"No control",SUMIF(('Loading-drum,tote'!$B$31:$B$48),$J1760,('Loading-drum,tote'!$E$31:$E$48))*Impacts!$F$13,0)),0)</f>
        <v>0</v>
      </c>
      <c r="R1760" s="10">
        <f>IFERROR(IF(('Loading-truck'!$C$21)="No control",SUMIF(('Loading-truck'!$B$31:$B$48),$J1760,('Loading-truck'!$D$31:$D$48))*Impacts!$F$14,IF(('Loading-truck'!$C$21)&lt;&gt;"No control",SUMIF(('Loading-truck'!$B$31:$B$48),$J1760,('Loading-truck'!$E$31:$E$48))*Impacts!$F$14,0)),0)</f>
        <v>0</v>
      </c>
      <c r="S1760" s="10">
        <f>IFERROR(IF(('Loading-rail'!$C$21)="No control",SUMIF(('Loading-rail'!$B$31:$B$48),$J1760,('Loading-rail'!$D$31:$D$48))*Impacts!$F$15,IF(('Loading-rail'!$C$21)&lt;&gt;"No control",SUMIF(('Loading-rail'!$B$31:$B$48),$J1760,('Loading-rail'!$E$31:$E$48))*Impacts!$F$15,0)),0)</f>
        <v>0</v>
      </c>
      <c r="T1760" s="10">
        <f>IF(Flare!$C$7="",0,(SUMIF(Flare!$B$46:$B$185,$J1760,Flare!$E$46:$E$185)*Impacts!$F$16))</f>
        <v>0</v>
      </c>
      <c r="U1760" s="10">
        <f>IF(VCU!$C$9="",0,(SUMIF(VCU!$B$51:$B$193,$J1760,VCU!$E$51:$E$193)*Impacts!$F$17))</f>
        <v>0</v>
      </c>
      <c r="V1760" s="10">
        <f>IF(CAS!$C$7="",0,(SUMIF(CAS!$B$31:$B$167,$J1760,CAS!$E$31:$E$167)*Impacts!$F$18))</f>
        <v>0</v>
      </c>
      <c r="W1760" s="10">
        <f t="shared" si="68"/>
        <v>0</v>
      </c>
      <c r="AK1760" s="10" t="str">
        <f t="array" ref="AK1760">IFERROR(INDEX(SelectedSpecies,SMALL(IF(SelectedSpecies=AK$1,ROW(SelectedSpecies)),ROW(1761:1761)),2),"")</f>
        <v/>
      </c>
      <c r="BE1760" s="10"/>
      <c r="BI1760" s="10"/>
    </row>
    <row r="1761" spans="1:61" ht="21" customHeight="1" x14ac:dyDescent="0.25">
      <c r="A1761" s="10"/>
      <c r="B1761" s="10"/>
      <c r="E1761" s="10"/>
      <c r="G1761" s="10"/>
      <c r="I1761" s="436" t="s">
        <v>5902</v>
      </c>
      <c r="J1761" s="26" t="s">
        <v>5901</v>
      </c>
      <c r="K1761" s="10">
        <v>1</v>
      </c>
      <c r="L1761" s="73">
        <f>IF(Tank1!$C$23="No control",(SUMIF(Tank1!$B$32:$B$49,$J1761,Tank1!$C$32:$C$49)*Impacts!$F$8),0)</f>
        <v>0</v>
      </c>
      <c r="M1761" s="10">
        <f>IF(Tank2!$C$23="No control",(SUMIF(Tank2!$B$32:$B$49,$J1761,Tank2!$C$32:$C$49)*Impacts!$F$9),0)</f>
        <v>0</v>
      </c>
      <c r="N1761" s="10">
        <f>IF(Tank3!$C$23="No control",(SUMIF(Tank3!$B$32:$B$49,$J1761,Tank3!$C$32:$C$49)*Impacts!$F$10),0)</f>
        <v>0</v>
      </c>
      <c r="O1761" s="10">
        <f>IF(Tank4!$C$23="No control",(SUMIF(Tank4!$B$32:$B$49,$J1761,Tank4!$C$32:$C$49)*Impacts!$F$11),0)</f>
        <v>0</v>
      </c>
      <c r="P1761" s="10">
        <f>IF(Tank5!$C$23="No control",(SUMIF(Tank5!$B$32:$B$49,$J1761,Tank5!$C$32:$C$49)*Impacts!$F$12),0)</f>
        <v>0</v>
      </c>
      <c r="Q1761" s="10">
        <f>IFERROR(IF(('Loading-drum,tote'!$C$21)="No control",SUMIF(('Loading-drum,tote'!$B$31:$B$48),$J1761,('Loading-drum,tote'!$D$31:$D$48))*Impacts!$F$13,IF(('Loading-drum,tote'!$C$21)&lt;&gt;"No control",SUMIF(('Loading-drum,tote'!$B$31:$B$48),$J1761,('Loading-drum,tote'!$E$31:$E$48))*Impacts!$F$13,0)),0)</f>
        <v>0</v>
      </c>
      <c r="R1761" s="10">
        <f>IFERROR(IF(('Loading-truck'!$C$21)="No control",SUMIF(('Loading-truck'!$B$31:$B$48),$J1761,('Loading-truck'!$D$31:$D$48))*Impacts!$F$14,IF(('Loading-truck'!$C$21)&lt;&gt;"No control",SUMIF(('Loading-truck'!$B$31:$B$48),$J1761,('Loading-truck'!$E$31:$E$48))*Impacts!$F$14,0)),0)</f>
        <v>0</v>
      </c>
      <c r="S1761" s="10">
        <f>IFERROR(IF(('Loading-rail'!$C$21)="No control",SUMIF(('Loading-rail'!$B$31:$B$48),$J1761,('Loading-rail'!$D$31:$D$48))*Impacts!$F$15,IF(('Loading-rail'!$C$21)&lt;&gt;"No control",SUMIF(('Loading-rail'!$B$31:$B$48),$J1761,('Loading-rail'!$E$31:$E$48))*Impacts!$F$15,0)),0)</f>
        <v>0</v>
      </c>
      <c r="T1761" s="10">
        <f>IF(Flare!$C$7="",0,(SUMIF(Flare!$B$46:$B$185,$J1761,Flare!$E$46:$E$185)*Impacts!$F$16))</f>
        <v>0</v>
      </c>
      <c r="U1761" s="10">
        <f>IF(VCU!$C$9="",0,(SUMIF(VCU!$B$51:$B$193,$J1761,VCU!$E$51:$E$193)*Impacts!$F$17))</f>
        <v>0</v>
      </c>
      <c r="V1761" s="10">
        <f>IF(CAS!$C$7="",0,(SUMIF(CAS!$B$31:$B$167,$J1761,CAS!$E$31:$E$167)*Impacts!$F$18))</f>
        <v>0</v>
      </c>
      <c r="W1761" s="10">
        <f t="shared" si="68"/>
        <v>0</v>
      </c>
      <c r="AK1761" s="10" t="str">
        <f t="array" ref="AK1761">IFERROR(INDEX(SelectedSpecies,SMALL(IF(SelectedSpecies=AK$1,ROW(SelectedSpecies)),ROW(1762:1762)),2),"")</f>
        <v/>
      </c>
      <c r="BE1761" s="10"/>
      <c r="BI1761" s="10"/>
    </row>
    <row r="1762" spans="1:61" ht="21" customHeight="1" x14ac:dyDescent="0.25">
      <c r="A1762" s="10"/>
      <c r="B1762" s="10"/>
      <c r="E1762" s="10"/>
      <c r="G1762" s="10"/>
      <c r="I1762" s="436" t="s">
        <v>2869</v>
      </c>
      <c r="J1762" s="26" t="s">
        <v>2868</v>
      </c>
      <c r="K1762" s="10">
        <v>9</v>
      </c>
      <c r="L1762" s="73">
        <f>IF(Tank1!$C$23="No control",(SUMIF(Tank1!$B$32:$B$49,$J1762,Tank1!$C$32:$C$49)*Impacts!$F$8),0)</f>
        <v>0</v>
      </c>
      <c r="M1762" s="10">
        <f>IF(Tank2!$C$23="No control",(SUMIF(Tank2!$B$32:$B$49,$J1762,Tank2!$C$32:$C$49)*Impacts!$F$9),0)</f>
        <v>0</v>
      </c>
      <c r="N1762" s="10">
        <f>IF(Tank3!$C$23="No control",(SUMIF(Tank3!$B$32:$B$49,$J1762,Tank3!$C$32:$C$49)*Impacts!$F$10),0)</f>
        <v>0</v>
      </c>
      <c r="O1762" s="10">
        <f>IF(Tank4!$C$23="No control",(SUMIF(Tank4!$B$32:$B$49,$J1762,Tank4!$C$32:$C$49)*Impacts!$F$11),0)</f>
        <v>0</v>
      </c>
      <c r="P1762" s="10">
        <f>IF(Tank5!$C$23="No control",(SUMIF(Tank5!$B$32:$B$49,$J1762,Tank5!$C$32:$C$49)*Impacts!$F$12),0)</f>
        <v>0</v>
      </c>
      <c r="Q1762" s="10">
        <f>IFERROR(IF(('Loading-drum,tote'!$C$21)="No control",SUMIF(('Loading-drum,tote'!$B$31:$B$48),$J1762,('Loading-drum,tote'!$D$31:$D$48))*Impacts!$F$13,IF(('Loading-drum,tote'!$C$21)&lt;&gt;"No control",SUMIF(('Loading-drum,tote'!$B$31:$B$48),$J1762,('Loading-drum,tote'!$E$31:$E$48))*Impacts!$F$13,0)),0)</f>
        <v>0</v>
      </c>
      <c r="R1762" s="10">
        <f>IFERROR(IF(('Loading-truck'!$C$21)="No control",SUMIF(('Loading-truck'!$B$31:$B$48),$J1762,('Loading-truck'!$D$31:$D$48))*Impacts!$F$14,IF(('Loading-truck'!$C$21)&lt;&gt;"No control",SUMIF(('Loading-truck'!$B$31:$B$48),$J1762,('Loading-truck'!$E$31:$E$48))*Impacts!$F$14,0)),0)</f>
        <v>0</v>
      </c>
      <c r="S1762" s="10">
        <f>IFERROR(IF(('Loading-rail'!$C$21)="No control",SUMIF(('Loading-rail'!$B$31:$B$48),$J1762,('Loading-rail'!$D$31:$D$48))*Impacts!$F$15,IF(('Loading-rail'!$C$21)&lt;&gt;"No control",SUMIF(('Loading-rail'!$B$31:$B$48),$J1762,('Loading-rail'!$E$31:$E$48))*Impacts!$F$15,0)),0)</f>
        <v>0</v>
      </c>
      <c r="T1762" s="10">
        <f>IF(Flare!$C$7="",0,(SUMIF(Flare!$B$46:$B$185,$J1762,Flare!$E$46:$E$185)*Impacts!$F$16))</f>
        <v>0</v>
      </c>
      <c r="U1762" s="10">
        <f>IF(VCU!$C$9="",0,(SUMIF(VCU!$B$51:$B$193,$J1762,VCU!$E$51:$E$193)*Impacts!$F$17))</f>
        <v>0</v>
      </c>
      <c r="V1762" s="10">
        <f>IF(CAS!$C$7="",0,(SUMIF(CAS!$B$31:$B$167,$J1762,CAS!$E$31:$E$167)*Impacts!$F$18))</f>
        <v>0</v>
      </c>
      <c r="W1762" s="10">
        <f t="shared" si="68"/>
        <v>0</v>
      </c>
      <c r="AK1762" s="10" t="str">
        <f t="array" ref="AK1762">IFERROR(INDEX(SelectedSpecies,SMALL(IF(SelectedSpecies=AK$1,ROW(SelectedSpecies)),ROW(1763:1763)),2),"")</f>
        <v/>
      </c>
      <c r="BE1762" s="10"/>
      <c r="BI1762" s="10"/>
    </row>
    <row r="1763" spans="1:61" ht="21" customHeight="1" x14ac:dyDescent="0.25">
      <c r="A1763" s="10"/>
      <c r="B1763" s="10"/>
      <c r="E1763" s="10"/>
      <c r="G1763" s="10"/>
      <c r="I1763" s="436" t="s">
        <v>2869</v>
      </c>
      <c r="J1763" s="26" t="s">
        <v>2868</v>
      </c>
      <c r="K1763" s="10">
        <v>10</v>
      </c>
      <c r="L1763" s="73">
        <f>IF(Tank1!$C$23="No control",(SUMIF(Tank1!$B$32:$B$49,$J1763,Tank1!$C$32:$C$49)*Impacts!$F$8),0)</f>
        <v>0</v>
      </c>
      <c r="M1763" s="10">
        <f>IF(Tank2!$C$23="No control",(SUMIF(Tank2!$B$32:$B$49,$J1763,Tank2!$C$32:$C$49)*Impacts!$F$9),0)</f>
        <v>0</v>
      </c>
      <c r="N1763" s="10">
        <f>IF(Tank3!$C$23="No control",(SUMIF(Tank3!$B$32:$B$49,$J1763,Tank3!$C$32:$C$49)*Impacts!$F$10),0)</f>
        <v>0</v>
      </c>
      <c r="O1763" s="10">
        <f>IF(Tank4!$C$23="No control",(SUMIF(Tank4!$B$32:$B$49,$J1763,Tank4!$C$32:$C$49)*Impacts!$F$11),0)</f>
        <v>0</v>
      </c>
      <c r="P1763" s="10">
        <f>IF(Tank5!$C$23="No control",(SUMIF(Tank5!$B$32:$B$49,$J1763,Tank5!$C$32:$C$49)*Impacts!$F$12),0)</f>
        <v>0</v>
      </c>
      <c r="Q1763" s="10">
        <f>IFERROR(IF(('Loading-drum,tote'!$C$21)="No control",SUMIF(('Loading-drum,tote'!$B$31:$B$48),$J1763,('Loading-drum,tote'!$D$31:$D$48))*Impacts!$F$13,IF(('Loading-drum,tote'!$C$21)&lt;&gt;"No control",SUMIF(('Loading-drum,tote'!$B$31:$B$48),$J1763,('Loading-drum,tote'!$E$31:$E$48))*Impacts!$F$13,0)),0)</f>
        <v>0</v>
      </c>
      <c r="R1763" s="10">
        <f>IFERROR(IF(('Loading-truck'!$C$21)="No control",SUMIF(('Loading-truck'!$B$31:$B$48),$J1763,('Loading-truck'!$D$31:$D$48))*Impacts!$F$14,IF(('Loading-truck'!$C$21)&lt;&gt;"No control",SUMIF(('Loading-truck'!$B$31:$B$48),$J1763,('Loading-truck'!$E$31:$E$48))*Impacts!$F$14,0)),0)</f>
        <v>0</v>
      </c>
      <c r="S1763" s="10">
        <f>IFERROR(IF(('Loading-rail'!$C$21)="No control",SUMIF(('Loading-rail'!$B$31:$B$48),$J1763,('Loading-rail'!$D$31:$D$48))*Impacts!$F$15,IF(('Loading-rail'!$C$21)&lt;&gt;"No control",SUMIF(('Loading-rail'!$B$31:$B$48),$J1763,('Loading-rail'!$E$31:$E$48))*Impacts!$F$15,0)),0)</f>
        <v>0</v>
      </c>
      <c r="T1763" s="10">
        <f>IF(Flare!$C$7="",0,(SUMIF(Flare!$B$46:$B$185,$J1763,Flare!$E$46:$E$185)*Impacts!$F$16))</f>
        <v>0</v>
      </c>
      <c r="U1763" s="10">
        <f>IF(VCU!$C$9="",0,(SUMIF(VCU!$B$51:$B$193,$J1763,VCU!$E$51:$E$193)*Impacts!$F$17))</f>
        <v>0</v>
      </c>
      <c r="V1763" s="10">
        <f>IF(CAS!$C$7="",0,(SUMIF(CAS!$B$31:$B$167,$J1763,CAS!$E$31:$E$167)*Impacts!$F$18))</f>
        <v>0</v>
      </c>
      <c r="W1763" s="10">
        <f t="shared" si="68"/>
        <v>0</v>
      </c>
      <c r="AK1763" s="10" t="str">
        <f t="array" ref="AK1763">IFERROR(INDEX(SelectedSpecies,SMALL(IF(SelectedSpecies=AK$1,ROW(SelectedSpecies)),ROW(1764:1764)),2),"")</f>
        <v/>
      </c>
      <c r="BE1763" s="10"/>
      <c r="BI1763" s="10"/>
    </row>
    <row r="1764" spans="1:61" ht="21" customHeight="1" x14ac:dyDescent="0.25">
      <c r="A1764" s="10"/>
      <c r="B1764" s="10"/>
      <c r="E1764" s="10"/>
      <c r="G1764" s="10"/>
      <c r="I1764" s="436" t="s">
        <v>7978</v>
      </c>
      <c r="J1764" s="26" t="s">
        <v>7977</v>
      </c>
      <c r="K1764" s="10">
        <v>3.4000000000000002E-2</v>
      </c>
      <c r="L1764" s="73">
        <f>IF(Tank1!$C$23="No control",(SUMIF(Tank1!$B$32:$B$49,$J1764,Tank1!$C$32:$C$49)*Impacts!$F$8),0)</f>
        <v>0</v>
      </c>
      <c r="M1764" s="10">
        <f>IF(Tank2!$C$23="No control",(SUMIF(Tank2!$B$32:$B$49,$J1764,Tank2!$C$32:$C$49)*Impacts!$F$9),0)</f>
        <v>0</v>
      </c>
      <c r="N1764" s="10">
        <f>IF(Tank3!$C$23="No control",(SUMIF(Tank3!$B$32:$B$49,$J1764,Tank3!$C$32:$C$49)*Impacts!$F$10),0)</f>
        <v>0</v>
      </c>
      <c r="O1764" s="10">
        <f>IF(Tank4!$C$23="No control",(SUMIF(Tank4!$B$32:$B$49,$J1764,Tank4!$C$32:$C$49)*Impacts!$F$11),0)</f>
        <v>0</v>
      </c>
      <c r="P1764" s="10">
        <f>IF(Tank5!$C$23="No control",(SUMIF(Tank5!$B$32:$B$49,$J1764,Tank5!$C$32:$C$49)*Impacts!$F$12),0)</f>
        <v>0</v>
      </c>
      <c r="Q1764" s="10">
        <f>IFERROR(IF(('Loading-drum,tote'!$C$21)="No control",SUMIF(('Loading-drum,tote'!$B$31:$B$48),$J1764,('Loading-drum,tote'!$D$31:$D$48))*Impacts!$F$13,IF(('Loading-drum,tote'!$C$21)&lt;&gt;"No control",SUMIF(('Loading-drum,tote'!$B$31:$B$48),$J1764,('Loading-drum,tote'!$E$31:$E$48))*Impacts!$F$13,0)),0)</f>
        <v>0</v>
      </c>
      <c r="R1764" s="10">
        <f>IFERROR(IF(('Loading-truck'!$C$21)="No control",SUMIF(('Loading-truck'!$B$31:$B$48),$J1764,('Loading-truck'!$D$31:$D$48))*Impacts!$F$14,IF(('Loading-truck'!$C$21)&lt;&gt;"No control",SUMIF(('Loading-truck'!$B$31:$B$48),$J1764,('Loading-truck'!$E$31:$E$48))*Impacts!$F$14,0)),0)</f>
        <v>0</v>
      </c>
      <c r="S1764" s="10">
        <f>IFERROR(IF(('Loading-rail'!$C$21)="No control",SUMIF(('Loading-rail'!$B$31:$B$48),$J1764,('Loading-rail'!$D$31:$D$48))*Impacts!$F$15,IF(('Loading-rail'!$C$21)&lt;&gt;"No control",SUMIF(('Loading-rail'!$B$31:$B$48),$J1764,('Loading-rail'!$E$31:$E$48))*Impacts!$F$15,0)),0)</f>
        <v>0</v>
      </c>
      <c r="T1764" s="10">
        <f>IF(Flare!$C$7="",0,(SUMIF(Flare!$B$46:$B$185,$J1764,Flare!$E$46:$E$185)*Impacts!$F$16))</f>
        <v>0</v>
      </c>
      <c r="U1764" s="10">
        <f>IF(VCU!$C$9="",0,(SUMIF(VCU!$B$51:$B$193,$J1764,VCU!$E$51:$E$193)*Impacts!$F$17))</f>
        <v>0</v>
      </c>
      <c r="V1764" s="10">
        <f>IF(CAS!$C$7="",0,(SUMIF(CAS!$B$31:$B$167,$J1764,CAS!$E$31:$E$167)*Impacts!$F$18))</f>
        <v>0</v>
      </c>
      <c r="W1764" s="10">
        <f t="shared" si="68"/>
        <v>0</v>
      </c>
      <c r="AK1764" s="10" t="str">
        <f t="array" ref="AK1764">IFERROR(INDEX(SelectedSpecies,SMALL(IF(SelectedSpecies=AK$1,ROW(SelectedSpecies)),ROW(1765:1765)),2),"")</f>
        <v/>
      </c>
      <c r="BE1764" s="10"/>
      <c r="BI1764" s="10"/>
    </row>
    <row r="1765" spans="1:61" ht="21" customHeight="1" x14ac:dyDescent="0.25">
      <c r="A1765" s="10"/>
      <c r="B1765" s="10"/>
      <c r="E1765" s="10"/>
      <c r="G1765" s="10"/>
      <c r="I1765" s="436" t="s">
        <v>8324</v>
      </c>
      <c r="J1765" s="26" t="s">
        <v>8323</v>
      </c>
      <c r="K1765" s="10">
        <v>5.0000000000000001E-4</v>
      </c>
      <c r="L1765" s="73">
        <f>IF(Tank1!$C$23="No control",(SUMIF(Tank1!$B$32:$B$49,$J1765,Tank1!$C$32:$C$49)*Impacts!$F$8),0)</f>
        <v>0</v>
      </c>
      <c r="M1765" s="10">
        <f>IF(Tank2!$C$23="No control",(SUMIF(Tank2!$B$32:$B$49,$J1765,Tank2!$C$32:$C$49)*Impacts!$F$9),0)</f>
        <v>0</v>
      </c>
      <c r="N1765" s="10">
        <f>IF(Tank3!$C$23="No control",(SUMIF(Tank3!$B$32:$B$49,$J1765,Tank3!$C$32:$C$49)*Impacts!$F$10),0)</f>
        <v>0</v>
      </c>
      <c r="O1765" s="10">
        <f>IF(Tank4!$C$23="No control",(SUMIF(Tank4!$B$32:$B$49,$J1765,Tank4!$C$32:$C$49)*Impacts!$F$11),0)</f>
        <v>0</v>
      </c>
      <c r="P1765" s="10">
        <f>IF(Tank5!$C$23="No control",(SUMIF(Tank5!$B$32:$B$49,$J1765,Tank5!$C$32:$C$49)*Impacts!$F$12),0)</f>
        <v>0</v>
      </c>
      <c r="Q1765" s="10">
        <f>IFERROR(IF(('Loading-drum,tote'!$C$21)="No control",SUMIF(('Loading-drum,tote'!$B$31:$B$48),$J1765,('Loading-drum,tote'!$D$31:$D$48))*Impacts!$F$13,IF(('Loading-drum,tote'!$C$21)&lt;&gt;"No control",SUMIF(('Loading-drum,tote'!$B$31:$B$48),$J1765,('Loading-drum,tote'!$E$31:$E$48))*Impacts!$F$13,0)),0)</f>
        <v>0</v>
      </c>
      <c r="R1765" s="10">
        <f>IFERROR(IF(('Loading-truck'!$C$21)="No control",SUMIF(('Loading-truck'!$B$31:$B$48),$J1765,('Loading-truck'!$D$31:$D$48))*Impacts!$F$14,IF(('Loading-truck'!$C$21)&lt;&gt;"No control",SUMIF(('Loading-truck'!$B$31:$B$48),$J1765,('Loading-truck'!$E$31:$E$48))*Impacts!$F$14,0)),0)</f>
        <v>0</v>
      </c>
      <c r="S1765" s="10">
        <f>IFERROR(IF(('Loading-rail'!$C$21)="No control",SUMIF(('Loading-rail'!$B$31:$B$48),$J1765,('Loading-rail'!$D$31:$D$48))*Impacts!$F$15,IF(('Loading-rail'!$C$21)&lt;&gt;"No control",SUMIF(('Loading-rail'!$B$31:$B$48),$J1765,('Loading-rail'!$E$31:$E$48))*Impacts!$F$15,0)),0)</f>
        <v>0</v>
      </c>
      <c r="T1765" s="10">
        <f>IF(Flare!$C$7="",0,(SUMIF(Flare!$B$46:$B$185,$J1765,Flare!$E$46:$E$185)*Impacts!$F$16))</f>
        <v>0</v>
      </c>
      <c r="U1765" s="10">
        <f>IF(VCU!$C$9="",0,(SUMIF(VCU!$B$51:$B$193,$J1765,VCU!$E$51:$E$193)*Impacts!$F$17))</f>
        <v>0</v>
      </c>
      <c r="V1765" s="10">
        <f>IF(CAS!$C$7="",0,(SUMIF(CAS!$B$31:$B$167,$J1765,CAS!$E$31:$E$167)*Impacts!$F$18))</f>
        <v>0</v>
      </c>
      <c r="W1765" s="10">
        <f t="shared" si="68"/>
        <v>0</v>
      </c>
      <c r="AK1765" s="10" t="str">
        <f t="array" ref="AK1765">IFERROR(INDEX(SelectedSpecies,SMALL(IF(SelectedSpecies=AK$1,ROW(SelectedSpecies)),ROW(1766:1766)),2),"")</f>
        <v/>
      </c>
      <c r="BE1765" s="10"/>
      <c r="BI1765" s="10"/>
    </row>
    <row r="1766" spans="1:61" ht="21" customHeight="1" x14ac:dyDescent="0.25">
      <c r="A1766" s="10"/>
      <c r="B1766" s="10"/>
      <c r="E1766" s="10"/>
      <c r="G1766" s="10"/>
      <c r="I1766" s="436" t="s">
        <v>944</v>
      </c>
      <c r="J1766" s="26" t="s">
        <v>943</v>
      </c>
      <c r="K1766" s="10">
        <v>43</v>
      </c>
      <c r="L1766" s="73">
        <f>IF(Tank1!$C$23="No control",(SUMIF(Tank1!$B$32:$B$49,$J1766,Tank1!$C$32:$C$49)*Impacts!$F$8),0)</f>
        <v>0</v>
      </c>
      <c r="M1766" s="10">
        <f>IF(Tank2!$C$23="No control",(SUMIF(Tank2!$B$32:$B$49,$J1766,Tank2!$C$32:$C$49)*Impacts!$F$9),0)</f>
        <v>0</v>
      </c>
      <c r="N1766" s="10">
        <f>IF(Tank3!$C$23="No control",(SUMIF(Tank3!$B$32:$B$49,$J1766,Tank3!$C$32:$C$49)*Impacts!$F$10),0)</f>
        <v>0</v>
      </c>
      <c r="O1766" s="10">
        <f>IF(Tank4!$C$23="No control",(SUMIF(Tank4!$B$32:$B$49,$J1766,Tank4!$C$32:$C$49)*Impacts!$F$11),0)</f>
        <v>0</v>
      </c>
      <c r="P1766" s="10">
        <f>IF(Tank5!$C$23="No control",(SUMIF(Tank5!$B$32:$B$49,$J1766,Tank5!$C$32:$C$49)*Impacts!$F$12),0)</f>
        <v>0</v>
      </c>
      <c r="Q1766" s="10">
        <f>IFERROR(IF(('Loading-drum,tote'!$C$21)="No control",SUMIF(('Loading-drum,tote'!$B$31:$B$48),$J1766,('Loading-drum,tote'!$D$31:$D$48))*Impacts!$F$13,IF(('Loading-drum,tote'!$C$21)&lt;&gt;"No control",SUMIF(('Loading-drum,tote'!$B$31:$B$48),$J1766,('Loading-drum,tote'!$E$31:$E$48))*Impacts!$F$13,0)),0)</f>
        <v>0</v>
      </c>
      <c r="R1766" s="10">
        <f>IFERROR(IF(('Loading-truck'!$C$21)="No control",SUMIF(('Loading-truck'!$B$31:$B$48),$J1766,('Loading-truck'!$D$31:$D$48))*Impacts!$F$14,IF(('Loading-truck'!$C$21)&lt;&gt;"No control",SUMIF(('Loading-truck'!$B$31:$B$48),$J1766,('Loading-truck'!$E$31:$E$48))*Impacts!$F$14,0)),0)</f>
        <v>0</v>
      </c>
      <c r="S1766" s="10">
        <f>IFERROR(IF(('Loading-rail'!$C$21)="No control",SUMIF(('Loading-rail'!$B$31:$B$48),$J1766,('Loading-rail'!$D$31:$D$48))*Impacts!$F$15,IF(('Loading-rail'!$C$21)&lt;&gt;"No control",SUMIF(('Loading-rail'!$B$31:$B$48),$J1766,('Loading-rail'!$E$31:$E$48))*Impacts!$F$15,0)),0)</f>
        <v>0</v>
      </c>
      <c r="T1766" s="10">
        <f>IF(Flare!$C$7="",0,(SUMIF(Flare!$B$46:$B$185,$J1766,Flare!$E$46:$E$185)*Impacts!$F$16))</f>
        <v>0</v>
      </c>
      <c r="U1766" s="10">
        <f>IF(VCU!$C$9="",0,(SUMIF(VCU!$B$51:$B$193,$J1766,VCU!$E$51:$E$193)*Impacts!$F$17))</f>
        <v>0</v>
      </c>
      <c r="V1766" s="10">
        <f>IF(CAS!$C$7="",0,(SUMIF(CAS!$B$31:$B$167,$J1766,CAS!$E$31:$E$167)*Impacts!$F$18))</f>
        <v>0</v>
      </c>
      <c r="W1766" s="10">
        <f t="shared" si="68"/>
        <v>0</v>
      </c>
      <c r="AK1766" s="10" t="str">
        <f t="array" ref="AK1766">IFERROR(INDEX(SelectedSpecies,SMALL(IF(SelectedSpecies=AK$1,ROW(SelectedSpecies)),ROW(1767:1767)),2),"")</f>
        <v/>
      </c>
      <c r="BE1766" s="10"/>
      <c r="BI1766" s="10"/>
    </row>
    <row r="1767" spans="1:61" ht="21" customHeight="1" x14ac:dyDescent="0.25">
      <c r="A1767" s="10"/>
      <c r="B1767" s="10"/>
      <c r="E1767" s="10"/>
      <c r="G1767" s="10"/>
      <c r="I1767" s="436" t="s">
        <v>6994</v>
      </c>
      <c r="J1767" s="26" t="s">
        <v>6993</v>
      </c>
      <c r="K1767" s="10">
        <v>0.45999999999999996</v>
      </c>
      <c r="L1767" s="73">
        <f>IF(Tank1!$C$23="No control",(SUMIF(Tank1!$B$32:$B$49,$J1767,Tank1!$C$32:$C$49)*Impacts!$F$8),0)</f>
        <v>0</v>
      </c>
      <c r="M1767" s="10">
        <f>IF(Tank2!$C$23="No control",(SUMIF(Tank2!$B$32:$B$49,$J1767,Tank2!$C$32:$C$49)*Impacts!$F$9),0)</f>
        <v>0</v>
      </c>
      <c r="N1767" s="10">
        <f>IF(Tank3!$C$23="No control",(SUMIF(Tank3!$B$32:$B$49,$J1767,Tank3!$C$32:$C$49)*Impacts!$F$10),0)</f>
        <v>0</v>
      </c>
      <c r="O1767" s="10">
        <f>IF(Tank4!$C$23="No control",(SUMIF(Tank4!$B$32:$B$49,$J1767,Tank4!$C$32:$C$49)*Impacts!$F$11),0)</f>
        <v>0</v>
      </c>
      <c r="P1767" s="10">
        <f>IF(Tank5!$C$23="No control",(SUMIF(Tank5!$B$32:$B$49,$J1767,Tank5!$C$32:$C$49)*Impacts!$F$12),0)</f>
        <v>0</v>
      </c>
      <c r="Q1767" s="10">
        <f>IFERROR(IF(('Loading-drum,tote'!$C$21)="No control",SUMIF(('Loading-drum,tote'!$B$31:$B$48),$J1767,('Loading-drum,tote'!$D$31:$D$48))*Impacts!$F$13,IF(('Loading-drum,tote'!$C$21)&lt;&gt;"No control",SUMIF(('Loading-drum,tote'!$B$31:$B$48),$J1767,('Loading-drum,tote'!$E$31:$E$48))*Impacts!$F$13,0)),0)</f>
        <v>0</v>
      </c>
      <c r="R1767" s="10">
        <f>IFERROR(IF(('Loading-truck'!$C$21)="No control",SUMIF(('Loading-truck'!$B$31:$B$48),$J1767,('Loading-truck'!$D$31:$D$48))*Impacts!$F$14,IF(('Loading-truck'!$C$21)&lt;&gt;"No control",SUMIF(('Loading-truck'!$B$31:$B$48),$J1767,('Loading-truck'!$E$31:$E$48))*Impacts!$F$14,0)),0)</f>
        <v>0</v>
      </c>
      <c r="S1767" s="10">
        <f>IFERROR(IF(('Loading-rail'!$C$21)="No control",SUMIF(('Loading-rail'!$B$31:$B$48),$J1767,('Loading-rail'!$D$31:$D$48))*Impacts!$F$15,IF(('Loading-rail'!$C$21)&lt;&gt;"No control",SUMIF(('Loading-rail'!$B$31:$B$48),$J1767,('Loading-rail'!$E$31:$E$48))*Impacts!$F$15,0)),0)</f>
        <v>0</v>
      </c>
      <c r="T1767" s="10">
        <f>IF(Flare!$C$7="",0,(SUMIF(Flare!$B$46:$B$185,$J1767,Flare!$E$46:$E$185)*Impacts!$F$16))</f>
        <v>0</v>
      </c>
      <c r="U1767" s="10">
        <f>IF(VCU!$C$9="",0,(SUMIF(VCU!$B$51:$B$193,$J1767,VCU!$E$51:$E$193)*Impacts!$F$17))</f>
        <v>0</v>
      </c>
      <c r="V1767" s="10">
        <f>IF(CAS!$C$7="",0,(SUMIF(CAS!$B$31:$B$167,$J1767,CAS!$E$31:$E$167)*Impacts!$F$18))</f>
        <v>0</v>
      </c>
      <c r="W1767" s="10">
        <f t="shared" si="68"/>
        <v>0</v>
      </c>
      <c r="AK1767" s="10" t="str">
        <f t="array" ref="AK1767">IFERROR(INDEX(SelectedSpecies,SMALL(IF(SelectedSpecies=AK$1,ROW(SelectedSpecies)),ROW(1768:1768)),2),"")</f>
        <v/>
      </c>
      <c r="BE1767" s="10"/>
      <c r="BI1767" s="10"/>
    </row>
    <row r="1768" spans="1:61" ht="21" customHeight="1" x14ac:dyDescent="0.25">
      <c r="A1768" s="10"/>
      <c r="B1768" s="10"/>
      <c r="E1768" s="10"/>
      <c r="G1768" s="10"/>
      <c r="I1768" s="436" t="s">
        <v>2205</v>
      </c>
      <c r="J1768" s="26" t="s">
        <v>2204</v>
      </c>
      <c r="K1768" s="10">
        <v>14</v>
      </c>
      <c r="L1768" s="73">
        <f>IF(Tank1!$C$23="No control",(SUMIF(Tank1!$B$32:$B$49,$J1768,Tank1!$C$32:$C$49)*Impacts!$F$8),0)</f>
        <v>0</v>
      </c>
      <c r="M1768" s="10">
        <f>IF(Tank2!$C$23="No control",(SUMIF(Tank2!$B$32:$B$49,$J1768,Tank2!$C$32:$C$49)*Impacts!$F$9),0)</f>
        <v>0</v>
      </c>
      <c r="N1768" s="10">
        <f>IF(Tank3!$C$23="No control",(SUMIF(Tank3!$B$32:$B$49,$J1768,Tank3!$C$32:$C$49)*Impacts!$F$10),0)</f>
        <v>0</v>
      </c>
      <c r="O1768" s="10">
        <f>IF(Tank4!$C$23="No control",(SUMIF(Tank4!$B$32:$B$49,$J1768,Tank4!$C$32:$C$49)*Impacts!$F$11),0)</f>
        <v>0</v>
      </c>
      <c r="P1768" s="10">
        <f>IF(Tank5!$C$23="No control",(SUMIF(Tank5!$B$32:$B$49,$J1768,Tank5!$C$32:$C$49)*Impacts!$F$12),0)</f>
        <v>0</v>
      </c>
      <c r="Q1768" s="10">
        <f>IFERROR(IF(('Loading-drum,tote'!$C$21)="No control",SUMIF(('Loading-drum,tote'!$B$31:$B$48),$J1768,('Loading-drum,tote'!$D$31:$D$48))*Impacts!$F$13,IF(('Loading-drum,tote'!$C$21)&lt;&gt;"No control",SUMIF(('Loading-drum,tote'!$B$31:$B$48),$J1768,('Loading-drum,tote'!$E$31:$E$48))*Impacts!$F$13,0)),0)</f>
        <v>0</v>
      </c>
      <c r="R1768" s="10">
        <f>IFERROR(IF(('Loading-truck'!$C$21)="No control",SUMIF(('Loading-truck'!$B$31:$B$48),$J1768,('Loading-truck'!$D$31:$D$48))*Impacts!$F$14,IF(('Loading-truck'!$C$21)&lt;&gt;"No control",SUMIF(('Loading-truck'!$B$31:$B$48),$J1768,('Loading-truck'!$E$31:$E$48))*Impacts!$F$14,0)),0)</f>
        <v>0</v>
      </c>
      <c r="S1768" s="10">
        <f>IFERROR(IF(('Loading-rail'!$C$21)="No control",SUMIF(('Loading-rail'!$B$31:$B$48),$J1768,('Loading-rail'!$D$31:$D$48))*Impacts!$F$15,IF(('Loading-rail'!$C$21)&lt;&gt;"No control",SUMIF(('Loading-rail'!$B$31:$B$48),$J1768,('Loading-rail'!$E$31:$E$48))*Impacts!$F$15,0)),0)</f>
        <v>0</v>
      </c>
      <c r="T1768" s="10">
        <f>IF(Flare!$C$7="",0,(SUMIF(Flare!$B$46:$B$185,$J1768,Flare!$E$46:$E$185)*Impacts!$F$16))</f>
        <v>0</v>
      </c>
      <c r="U1768" s="10">
        <f>IF(VCU!$C$9="",0,(SUMIF(VCU!$B$51:$B$193,$J1768,VCU!$E$51:$E$193)*Impacts!$F$17))</f>
        <v>0</v>
      </c>
      <c r="V1768" s="10">
        <f>IF(CAS!$C$7="",0,(SUMIF(CAS!$B$31:$B$167,$J1768,CAS!$E$31:$E$167)*Impacts!$F$18))</f>
        <v>0</v>
      </c>
      <c r="W1768" s="10">
        <f t="shared" si="68"/>
        <v>0</v>
      </c>
      <c r="AK1768" s="10" t="str">
        <f t="array" ref="AK1768">IFERROR(INDEX(SelectedSpecies,SMALL(IF(SelectedSpecies=AK$1,ROW(SelectedSpecies)),ROW(1769:1769)),2),"")</f>
        <v/>
      </c>
      <c r="BE1768" s="10"/>
      <c r="BI1768" s="10"/>
    </row>
    <row r="1769" spans="1:61" ht="21" customHeight="1" x14ac:dyDescent="0.25">
      <c r="A1769" s="10"/>
      <c r="B1769" s="10"/>
      <c r="E1769" s="10"/>
      <c r="G1769" s="10"/>
      <c r="I1769" s="436" t="s">
        <v>4281</v>
      </c>
      <c r="J1769" s="26" t="s">
        <v>4280</v>
      </c>
      <c r="K1769" s="10">
        <v>5</v>
      </c>
      <c r="L1769" s="73">
        <f>IF(Tank1!$C$23="No control",(SUMIF(Tank1!$B$32:$B$49,$J1769,Tank1!$C$32:$C$49)*Impacts!$F$8),0)</f>
        <v>0</v>
      </c>
      <c r="M1769" s="10">
        <f>IF(Tank2!$C$23="No control",(SUMIF(Tank2!$B$32:$B$49,$J1769,Tank2!$C$32:$C$49)*Impacts!$F$9),0)</f>
        <v>0</v>
      </c>
      <c r="N1769" s="10">
        <f>IF(Tank3!$C$23="No control",(SUMIF(Tank3!$B$32:$B$49,$J1769,Tank3!$C$32:$C$49)*Impacts!$F$10),0)</f>
        <v>0</v>
      </c>
      <c r="O1769" s="10">
        <f>IF(Tank4!$C$23="No control",(SUMIF(Tank4!$B$32:$B$49,$J1769,Tank4!$C$32:$C$49)*Impacts!$F$11),0)</f>
        <v>0</v>
      </c>
      <c r="P1769" s="10">
        <f>IF(Tank5!$C$23="No control",(SUMIF(Tank5!$B$32:$B$49,$J1769,Tank5!$C$32:$C$49)*Impacts!$F$12),0)</f>
        <v>0</v>
      </c>
      <c r="Q1769" s="10">
        <f>IFERROR(IF(('Loading-drum,tote'!$C$21)="No control",SUMIF(('Loading-drum,tote'!$B$31:$B$48),$J1769,('Loading-drum,tote'!$D$31:$D$48))*Impacts!$F$13,IF(('Loading-drum,tote'!$C$21)&lt;&gt;"No control",SUMIF(('Loading-drum,tote'!$B$31:$B$48),$J1769,('Loading-drum,tote'!$E$31:$E$48))*Impacts!$F$13,0)),0)</f>
        <v>0</v>
      </c>
      <c r="R1769" s="10">
        <f>IFERROR(IF(('Loading-truck'!$C$21)="No control",SUMIF(('Loading-truck'!$B$31:$B$48),$J1769,('Loading-truck'!$D$31:$D$48))*Impacts!$F$14,IF(('Loading-truck'!$C$21)&lt;&gt;"No control",SUMIF(('Loading-truck'!$B$31:$B$48),$J1769,('Loading-truck'!$E$31:$E$48))*Impacts!$F$14,0)),0)</f>
        <v>0</v>
      </c>
      <c r="S1769" s="10">
        <f>IFERROR(IF(('Loading-rail'!$C$21)="No control",SUMIF(('Loading-rail'!$B$31:$B$48),$J1769,('Loading-rail'!$D$31:$D$48))*Impacts!$F$15,IF(('Loading-rail'!$C$21)&lt;&gt;"No control",SUMIF(('Loading-rail'!$B$31:$B$48),$J1769,('Loading-rail'!$E$31:$E$48))*Impacts!$F$15,0)),0)</f>
        <v>0</v>
      </c>
      <c r="T1769" s="10">
        <f>IF(Flare!$C$7="",0,(SUMIF(Flare!$B$46:$B$185,$J1769,Flare!$E$46:$E$185)*Impacts!$F$16))</f>
        <v>0</v>
      </c>
      <c r="U1769" s="10">
        <f>IF(VCU!$C$9="",0,(SUMIF(VCU!$B$51:$B$193,$J1769,VCU!$E$51:$E$193)*Impacts!$F$17))</f>
        <v>0</v>
      </c>
      <c r="V1769" s="10">
        <f>IF(CAS!$C$7="",0,(SUMIF(CAS!$B$31:$B$167,$J1769,CAS!$E$31:$E$167)*Impacts!$F$18))</f>
        <v>0</v>
      </c>
      <c r="W1769" s="10">
        <f t="shared" si="68"/>
        <v>0</v>
      </c>
      <c r="AK1769" s="10" t="str">
        <f t="array" ref="AK1769">IFERROR(INDEX(SelectedSpecies,SMALL(IF(SelectedSpecies=AK$1,ROW(SelectedSpecies)),ROW(1770:1770)),2),"")</f>
        <v/>
      </c>
      <c r="BE1769" s="10"/>
      <c r="BI1769" s="10"/>
    </row>
    <row r="1770" spans="1:61" ht="21" customHeight="1" x14ac:dyDescent="0.25">
      <c r="A1770" s="10"/>
      <c r="B1770" s="10"/>
      <c r="E1770" s="10"/>
      <c r="G1770" s="10"/>
      <c r="I1770" s="436" t="s">
        <v>514</v>
      </c>
      <c r="J1770" s="26" t="s">
        <v>513</v>
      </c>
      <c r="K1770" s="10">
        <v>100</v>
      </c>
      <c r="L1770" s="73">
        <f>IF(Tank1!$C$23="No control",(SUMIF(Tank1!$B$32:$B$49,$J1770,Tank1!$C$32:$C$49)*Impacts!$F$8),0)</f>
        <v>0</v>
      </c>
      <c r="M1770" s="10">
        <f>IF(Tank2!$C$23="No control",(SUMIF(Tank2!$B$32:$B$49,$J1770,Tank2!$C$32:$C$49)*Impacts!$F$9),0)</f>
        <v>0</v>
      </c>
      <c r="N1770" s="10">
        <f>IF(Tank3!$C$23="No control",(SUMIF(Tank3!$B$32:$B$49,$J1770,Tank3!$C$32:$C$49)*Impacts!$F$10),0)</f>
        <v>0</v>
      </c>
      <c r="O1770" s="10">
        <f>IF(Tank4!$C$23="No control",(SUMIF(Tank4!$B$32:$B$49,$J1770,Tank4!$C$32:$C$49)*Impacts!$F$11),0)</f>
        <v>0</v>
      </c>
      <c r="P1770" s="10">
        <f>IF(Tank5!$C$23="No control",(SUMIF(Tank5!$B$32:$B$49,$J1770,Tank5!$C$32:$C$49)*Impacts!$F$12),0)</f>
        <v>0</v>
      </c>
      <c r="Q1770" s="10">
        <f>IFERROR(IF(('Loading-drum,tote'!$C$21)="No control",SUMIF(('Loading-drum,tote'!$B$31:$B$48),$J1770,('Loading-drum,tote'!$D$31:$D$48))*Impacts!$F$13,IF(('Loading-drum,tote'!$C$21)&lt;&gt;"No control",SUMIF(('Loading-drum,tote'!$B$31:$B$48),$J1770,('Loading-drum,tote'!$E$31:$E$48))*Impacts!$F$13,0)),0)</f>
        <v>0</v>
      </c>
      <c r="R1770" s="10">
        <f>IFERROR(IF(('Loading-truck'!$C$21)="No control",SUMIF(('Loading-truck'!$B$31:$B$48),$J1770,('Loading-truck'!$D$31:$D$48))*Impacts!$F$14,IF(('Loading-truck'!$C$21)&lt;&gt;"No control",SUMIF(('Loading-truck'!$B$31:$B$48),$J1770,('Loading-truck'!$E$31:$E$48))*Impacts!$F$14,0)),0)</f>
        <v>0</v>
      </c>
      <c r="S1770" s="10">
        <f>IFERROR(IF(('Loading-rail'!$C$21)="No control",SUMIF(('Loading-rail'!$B$31:$B$48),$J1770,('Loading-rail'!$D$31:$D$48))*Impacts!$F$15,IF(('Loading-rail'!$C$21)&lt;&gt;"No control",SUMIF(('Loading-rail'!$B$31:$B$48),$J1770,('Loading-rail'!$E$31:$E$48))*Impacts!$F$15,0)),0)</f>
        <v>0</v>
      </c>
      <c r="T1770" s="10">
        <f>IF(Flare!$C$7="",0,(SUMIF(Flare!$B$46:$B$185,$J1770,Flare!$E$46:$E$185)*Impacts!$F$16))</f>
        <v>0</v>
      </c>
      <c r="U1770" s="10">
        <f>IF(VCU!$C$9="",0,(SUMIF(VCU!$B$51:$B$193,$J1770,VCU!$E$51:$E$193)*Impacts!$F$17))</f>
        <v>0</v>
      </c>
      <c r="V1770" s="10">
        <f>IF(CAS!$C$7="",0,(SUMIF(CAS!$B$31:$B$167,$J1770,CAS!$E$31:$E$167)*Impacts!$F$18))</f>
        <v>0</v>
      </c>
      <c r="W1770" s="10">
        <f t="shared" si="68"/>
        <v>0</v>
      </c>
      <c r="AK1770" s="10" t="str">
        <f t="array" ref="AK1770">IFERROR(INDEX(SelectedSpecies,SMALL(IF(SelectedSpecies=AK$1,ROW(SelectedSpecies)),ROW(1771:1771)),2),"")</f>
        <v/>
      </c>
      <c r="BE1770" s="10"/>
      <c r="BI1770" s="10"/>
    </row>
    <row r="1771" spans="1:61" ht="21" customHeight="1" x14ac:dyDescent="0.25">
      <c r="A1771" s="10"/>
      <c r="B1771" s="10"/>
      <c r="E1771" s="10"/>
      <c r="G1771" s="10"/>
      <c r="I1771" s="436" t="s">
        <v>2871</v>
      </c>
      <c r="J1771" s="26" t="s">
        <v>2870</v>
      </c>
      <c r="K1771" s="10">
        <v>10</v>
      </c>
      <c r="L1771" s="73">
        <f>IF(Tank1!$C$23="No control",(SUMIF(Tank1!$B$32:$B$49,$J1771,Tank1!$C$32:$C$49)*Impacts!$F$8),0)</f>
        <v>0</v>
      </c>
      <c r="M1771" s="10">
        <f>IF(Tank2!$C$23="No control",(SUMIF(Tank2!$B$32:$B$49,$J1771,Tank2!$C$32:$C$49)*Impacts!$F$9),0)</f>
        <v>0</v>
      </c>
      <c r="N1771" s="10">
        <f>IF(Tank3!$C$23="No control",(SUMIF(Tank3!$B$32:$B$49,$J1771,Tank3!$C$32:$C$49)*Impacts!$F$10),0)</f>
        <v>0</v>
      </c>
      <c r="O1771" s="10">
        <f>IF(Tank4!$C$23="No control",(SUMIF(Tank4!$B$32:$B$49,$J1771,Tank4!$C$32:$C$49)*Impacts!$F$11),0)</f>
        <v>0</v>
      </c>
      <c r="P1771" s="10">
        <f>IF(Tank5!$C$23="No control",(SUMIF(Tank5!$B$32:$B$49,$J1771,Tank5!$C$32:$C$49)*Impacts!$F$12),0)</f>
        <v>0</v>
      </c>
      <c r="Q1771" s="10">
        <f>IFERROR(IF(('Loading-drum,tote'!$C$21)="No control",SUMIF(('Loading-drum,tote'!$B$31:$B$48),$J1771,('Loading-drum,tote'!$D$31:$D$48))*Impacts!$F$13,IF(('Loading-drum,tote'!$C$21)&lt;&gt;"No control",SUMIF(('Loading-drum,tote'!$B$31:$B$48),$J1771,('Loading-drum,tote'!$E$31:$E$48))*Impacts!$F$13,0)),0)</f>
        <v>0</v>
      </c>
      <c r="R1771" s="10">
        <f>IFERROR(IF(('Loading-truck'!$C$21)="No control",SUMIF(('Loading-truck'!$B$31:$B$48),$J1771,('Loading-truck'!$D$31:$D$48))*Impacts!$F$14,IF(('Loading-truck'!$C$21)&lt;&gt;"No control",SUMIF(('Loading-truck'!$B$31:$B$48),$J1771,('Loading-truck'!$E$31:$E$48))*Impacts!$F$14,0)),0)</f>
        <v>0</v>
      </c>
      <c r="S1771" s="10">
        <f>IFERROR(IF(('Loading-rail'!$C$21)="No control",SUMIF(('Loading-rail'!$B$31:$B$48),$J1771,('Loading-rail'!$D$31:$D$48))*Impacts!$F$15,IF(('Loading-rail'!$C$21)&lt;&gt;"No control",SUMIF(('Loading-rail'!$B$31:$B$48),$J1771,('Loading-rail'!$E$31:$E$48))*Impacts!$F$15,0)),0)</f>
        <v>0</v>
      </c>
      <c r="T1771" s="10">
        <f>IF(Flare!$C$7="",0,(SUMIF(Flare!$B$46:$B$185,$J1771,Flare!$E$46:$E$185)*Impacts!$F$16))</f>
        <v>0</v>
      </c>
      <c r="U1771" s="10">
        <f>IF(VCU!$C$9="",0,(SUMIF(VCU!$B$51:$B$193,$J1771,VCU!$E$51:$E$193)*Impacts!$F$17))</f>
        <v>0</v>
      </c>
      <c r="V1771" s="10">
        <f>IF(CAS!$C$7="",0,(SUMIF(CAS!$B$31:$B$167,$J1771,CAS!$E$31:$E$167)*Impacts!$F$18))</f>
        <v>0</v>
      </c>
      <c r="W1771" s="10">
        <f t="shared" si="68"/>
        <v>0</v>
      </c>
      <c r="AK1771" s="10" t="str">
        <f t="array" ref="AK1771">IFERROR(INDEX(SelectedSpecies,SMALL(IF(SelectedSpecies=AK$1,ROW(SelectedSpecies)),ROW(1772:1772)),2),"")</f>
        <v/>
      </c>
      <c r="BE1771" s="10"/>
      <c r="BI1771" s="10"/>
    </row>
    <row r="1772" spans="1:61" ht="21" customHeight="1" x14ac:dyDescent="0.25">
      <c r="A1772" s="10"/>
      <c r="B1772" s="10"/>
      <c r="E1772" s="10"/>
      <c r="G1772" s="10"/>
      <c r="I1772" s="436" t="s">
        <v>5165</v>
      </c>
      <c r="J1772" s="26" t="s">
        <v>5164</v>
      </c>
      <c r="K1772" s="10">
        <v>2</v>
      </c>
      <c r="L1772" s="73">
        <f>IF(Tank1!$C$23="No control",(SUMIF(Tank1!$B$32:$B$49,$J1772,Tank1!$C$32:$C$49)*Impacts!$F$8),0)</f>
        <v>0</v>
      </c>
      <c r="M1772" s="10">
        <f>IF(Tank2!$C$23="No control",(SUMIF(Tank2!$B$32:$B$49,$J1772,Tank2!$C$32:$C$49)*Impacts!$F$9),0)</f>
        <v>0</v>
      </c>
      <c r="N1772" s="10">
        <f>IF(Tank3!$C$23="No control",(SUMIF(Tank3!$B$32:$B$49,$J1772,Tank3!$C$32:$C$49)*Impacts!$F$10),0)</f>
        <v>0</v>
      </c>
      <c r="O1772" s="10">
        <f>IF(Tank4!$C$23="No control",(SUMIF(Tank4!$B$32:$B$49,$J1772,Tank4!$C$32:$C$49)*Impacts!$F$11),0)</f>
        <v>0</v>
      </c>
      <c r="P1772" s="10">
        <f>IF(Tank5!$C$23="No control",(SUMIF(Tank5!$B$32:$B$49,$J1772,Tank5!$C$32:$C$49)*Impacts!$F$12),0)</f>
        <v>0</v>
      </c>
      <c r="Q1772" s="10">
        <f>IFERROR(IF(('Loading-drum,tote'!$C$21)="No control",SUMIF(('Loading-drum,tote'!$B$31:$B$48),$J1772,('Loading-drum,tote'!$D$31:$D$48))*Impacts!$F$13,IF(('Loading-drum,tote'!$C$21)&lt;&gt;"No control",SUMIF(('Loading-drum,tote'!$B$31:$B$48),$J1772,('Loading-drum,tote'!$E$31:$E$48))*Impacts!$F$13,0)),0)</f>
        <v>0</v>
      </c>
      <c r="R1772" s="10">
        <f>IFERROR(IF(('Loading-truck'!$C$21)="No control",SUMIF(('Loading-truck'!$B$31:$B$48),$J1772,('Loading-truck'!$D$31:$D$48))*Impacts!$F$14,IF(('Loading-truck'!$C$21)&lt;&gt;"No control",SUMIF(('Loading-truck'!$B$31:$B$48),$J1772,('Loading-truck'!$E$31:$E$48))*Impacts!$F$14,0)),0)</f>
        <v>0</v>
      </c>
      <c r="S1772" s="10">
        <f>IFERROR(IF(('Loading-rail'!$C$21)="No control",SUMIF(('Loading-rail'!$B$31:$B$48),$J1772,('Loading-rail'!$D$31:$D$48))*Impacts!$F$15,IF(('Loading-rail'!$C$21)&lt;&gt;"No control",SUMIF(('Loading-rail'!$B$31:$B$48),$J1772,('Loading-rail'!$E$31:$E$48))*Impacts!$F$15,0)),0)</f>
        <v>0</v>
      </c>
      <c r="T1772" s="10">
        <f>IF(Flare!$C$7="",0,(SUMIF(Flare!$B$46:$B$185,$J1772,Flare!$E$46:$E$185)*Impacts!$F$16))</f>
        <v>0</v>
      </c>
      <c r="U1772" s="10">
        <f>IF(VCU!$C$9="",0,(SUMIF(VCU!$B$51:$B$193,$J1772,VCU!$E$51:$E$193)*Impacts!$F$17))</f>
        <v>0</v>
      </c>
      <c r="V1772" s="10">
        <f>IF(CAS!$C$7="",0,(SUMIF(CAS!$B$31:$B$167,$J1772,CAS!$E$31:$E$167)*Impacts!$F$18))</f>
        <v>0</v>
      </c>
      <c r="W1772" s="10">
        <f t="shared" si="68"/>
        <v>0</v>
      </c>
      <c r="AK1772" s="10" t="str">
        <f t="array" ref="AK1772">IFERROR(INDEX(SelectedSpecies,SMALL(IF(SelectedSpecies=AK$1,ROW(SelectedSpecies)),ROW(1773:1773)),2),"")</f>
        <v/>
      </c>
      <c r="BE1772" s="10"/>
      <c r="BI1772" s="10"/>
    </row>
    <row r="1773" spans="1:61" ht="21" customHeight="1" x14ac:dyDescent="0.25">
      <c r="A1773" s="10"/>
      <c r="B1773" s="10"/>
      <c r="E1773" s="10"/>
      <c r="G1773" s="10"/>
      <c r="I1773" s="436" t="s">
        <v>6690</v>
      </c>
      <c r="J1773" s="26" t="s">
        <v>6689</v>
      </c>
      <c r="K1773" s="10">
        <v>0.54</v>
      </c>
      <c r="L1773" s="73">
        <f>IF(Tank1!$C$23="No control",(SUMIF(Tank1!$B$32:$B$49,$J1773,Tank1!$C$32:$C$49)*Impacts!$F$8),0)</f>
        <v>0</v>
      </c>
      <c r="M1773" s="10">
        <f>IF(Tank2!$C$23="No control",(SUMIF(Tank2!$B$32:$B$49,$J1773,Tank2!$C$32:$C$49)*Impacts!$F$9),0)</f>
        <v>0</v>
      </c>
      <c r="N1773" s="10">
        <f>IF(Tank3!$C$23="No control",(SUMIF(Tank3!$B$32:$B$49,$J1773,Tank3!$C$32:$C$49)*Impacts!$F$10),0)</f>
        <v>0</v>
      </c>
      <c r="O1773" s="10">
        <f>IF(Tank4!$C$23="No control",(SUMIF(Tank4!$B$32:$B$49,$J1773,Tank4!$C$32:$C$49)*Impacts!$F$11),0)</f>
        <v>0</v>
      </c>
      <c r="P1773" s="10">
        <f>IF(Tank5!$C$23="No control",(SUMIF(Tank5!$B$32:$B$49,$J1773,Tank5!$C$32:$C$49)*Impacts!$F$12),0)</f>
        <v>0</v>
      </c>
      <c r="Q1773" s="10">
        <f>IFERROR(IF(('Loading-drum,tote'!$C$21)="No control",SUMIF(('Loading-drum,tote'!$B$31:$B$48),$J1773,('Loading-drum,tote'!$D$31:$D$48))*Impacts!$F$13,IF(('Loading-drum,tote'!$C$21)&lt;&gt;"No control",SUMIF(('Loading-drum,tote'!$B$31:$B$48),$J1773,('Loading-drum,tote'!$E$31:$E$48))*Impacts!$F$13,0)),0)</f>
        <v>0</v>
      </c>
      <c r="R1773" s="10">
        <f>IFERROR(IF(('Loading-truck'!$C$21)="No control",SUMIF(('Loading-truck'!$B$31:$B$48),$J1773,('Loading-truck'!$D$31:$D$48))*Impacts!$F$14,IF(('Loading-truck'!$C$21)&lt;&gt;"No control",SUMIF(('Loading-truck'!$B$31:$B$48),$J1773,('Loading-truck'!$E$31:$E$48))*Impacts!$F$14,0)),0)</f>
        <v>0</v>
      </c>
      <c r="S1773" s="10">
        <f>IFERROR(IF(('Loading-rail'!$C$21)="No control",SUMIF(('Loading-rail'!$B$31:$B$48),$J1773,('Loading-rail'!$D$31:$D$48))*Impacts!$F$15,IF(('Loading-rail'!$C$21)&lt;&gt;"No control",SUMIF(('Loading-rail'!$B$31:$B$48),$J1773,('Loading-rail'!$E$31:$E$48))*Impacts!$F$15,0)),0)</f>
        <v>0</v>
      </c>
      <c r="T1773" s="10">
        <f>IF(Flare!$C$7="",0,(SUMIF(Flare!$B$46:$B$185,$J1773,Flare!$E$46:$E$185)*Impacts!$F$16))</f>
        <v>0</v>
      </c>
      <c r="U1773" s="10">
        <f>IF(VCU!$C$9="",0,(SUMIF(VCU!$B$51:$B$193,$J1773,VCU!$E$51:$E$193)*Impacts!$F$17))</f>
        <v>0</v>
      </c>
      <c r="V1773" s="10">
        <f>IF(CAS!$C$7="",0,(SUMIF(CAS!$B$31:$B$167,$J1773,CAS!$E$31:$E$167)*Impacts!$F$18))</f>
        <v>0</v>
      </c>
      <c r="W1773" s="10">
        <f t="shared" si="68"/>
        <v>0</v>
      </c>
      <c r="AK1773" s="10" t="str">
        <f t="array" ref="AK1773">IFERROR(INDEX(SelectedSpecies,SMALL(IF(SelectedSpecies=AK$1,ROW(SelectedSpecies)),ROW(1774:1774)),2),"")</f>
        <v/>
      </c>
      <c r="BE1773" s="10"/>
      <c r="BI1773" s="10"/>
    </row>
    <row r="1774" spans="1:61" ht="21" customHeight="1" x14ac:dyDescent="0.25">
      <c r="A1774" s="10"/>
      <c r="B1774" s="10"/>
      <c r="E1774" s="10"/>
      <c r="G1774" s="10"/>
      <c r="I1774" s="436" t="s">
        <v>8326</v>
      </c>
      <c r="J1774" s="26" t="s">
        <v>8325</v>
      </c>
      <c r="K1774" s="10">
        <v>5.0000000000000001E-4</v>
      </c>
      <c r="L1774" s="73">
        <f>IF(Tank1!$C$23="No control",(SUMIF(Tank1!$B$32:$B$49,$J1774,Tank1!$C$32:$C$49)*Impacts!$F$8),0)</f>
        <v>0</v>
      </c>
      <c r="M1774" s="10">
        <f>IF(Tank2!$C$23="No control",(SUMIF(Tank2!$B$32:$B$49,$J1774,Tank2!$C$32:$C$49)*Impacts!$F$9),0)</f>
        <v>0</v>
      </c>
      <c r="N1774" s="10">
        <f>IF(Tank3!$C$23="No control",(SUMIF(Tank3!$B$32:$B$49,$J1774,Tank3!$C$32:$C$49)*Impacts!$F$10),0)</f>
        <v>0</v>
      </c>
      <c r="O1774" s="10">
        <f>IF(Tank4!$C$23="No control",(SUMIF(Tank4!$B$32:$B$49,$J1774,Tank4!$C$32:$C$49)*Impacts!$F$11),0)</f>
        <v>0</v>
      </c>
      <c r="P1774" s="10">
        <f>IF(Tank5!$C$23="No control",(SUMIF(Tank5!$B$32:$B$49,$J1774,Tank5!$C$32:$C$49)*Impacts!$F$12),0)</f>
        <v>0</v>
      </c>
      <c r="Q1774" s="10">
        <f>IFERROR(IF(('Loading-drum,tote'!$C$21)="No control",SUMIF(('Loading-drum,tote'!$B$31:$B$48),$J1774,('Loading-drum,tote'!$D$31:$D$48))*Impacts!$F$13,IF(('Loading-drum,tote'!$C$21)&lt;&gt;"No control",SUMIF(('Loading-drum,tote'!$B$31:$B$48),$J1774,('Loading-drum,tote'!$E$31:$E$48))*Impacts!$F$13,0)),0)</f>
        <v>0</v>
      </c>
      <c r="R1774" s="10">
        <f>IFERROR(IF(('Loading-truck'!$C$21)="No control",SUMIF(('Loading-truck'!$B$31:$B$48),$J1774,('Loading-truck'!$D$31:$D$48))*Impacts!$F$14,IF(('Loading-truck'!$C$21)&lt;&gt;"No control",SUMIF(('Loading-truck'!$B$31:$B$48),$J1774,('Loading-truck'!$E$31:$E$48))*Impacts!$F$14,0)),0)</f>
        <v>0</v>
      </c>
      <c r="S1774" s="10">
        <f>IFERROR(IF(('Loading-rail'!$C$21)="No control",SUMIF(('Loading-rail'!$B$31:$B$48),$J1774,('Loading-rail'!$D$31:$D$48))*Impacts!$F$15,IF(('Loading-rail'!$C$21)&lt;&gt;"No control",SUMIF(('Loading-rail'!$B$31:$B$48),$J1774,('Loading-rail'!$E$31:$E$48))*Impacts!$F$15,0)),0)</f>
        <v>0</v>
      </c>
      <c r="T1774" s="10">
        <f>IF(Flare!$C$7="",0,(SUMIF(Flare!$B$46:$B$185,$J1774,Flare!$E$46:$E$185)*Impacts!$F$16))</f>
        <v>0</v>
      </c>
      <c r="U1774" s="10">
        <f>IF(VCU!$C$9="",0,(SUMIF(VCU!$B$51:$B$193,$J1774,VCU!$E$51:$E$193)*Impacts!$F$17))</f>
        <v>0</v>
      </c>
      <c r="V1774" s="10">
        <f>IF(CAS!$C$7="",0,(SUMIF(CAS!$B$31:$B$167,$J1774,CAS!$E$31:$E$167)*Impacts!$F$18))</f>
        <v>0</v>
      </c>
      <c r="W1774" s="10">
        <f t="shared" si="68"/>
        <v>0</v>
      </c>
      <c r="AK1774" s="10" t="str">
        <f t="array" ref="AK1774">IFERROR(INDEX(SelectedSpecies,SMALL(IF(SelectedSpecies=AK$1,ROW(SelectedSpecies)),ROW(1775:1775)),2),"")</f>
        <v/>
      </c>
      <c r="BE1774" s="10"/>
      <c r="BI1774" s="10"/>
    </row>
    <row r="1775" spans="1:61" ht="21" customHeight="1" x14ac:dyDescent="0.25">
      <c r="A1775" s="10"/>
      <c r="B1775" s="10"/>
      <c r="E1775" s="10"/>
      <c r="G1775" s="10"/>
      <c r="I1775" s="436" t="s">
        <v>5904</v>
      </c>
      <c r="J1775" s="26" t="s">
        <v>5903</v>
      </c>
      <c r="K1775" s="10">
        <v>1</v>
      </c>
      <c r="L1775" s="73">
        <f>IF(Tank1!$C$23="No control",(SUMIF(Tank1!$B$32:$B$49,$J1775,Tank1!$C$32:$C$49)*Impacts!$F$8),0)</f>
        <v>0</v>
      </c>
      <c r="M1775" s="10">
        <f>IF(Tank2!$C$23="No control",(SUMIF(Tank2!$B$32:$B$49,$J1775,Tank2!$C$32:$C$49)*Impacts!$F$9),0)</f>
        <v>0</v>
      </c>
      <c r="N1775" s="10">
        <f>IF(Tank3!$C$23="No control",(SUMIF(Tank3!$B$32:$B$49,$J1775,Tank3!$C$32:$C$49)*Impacts!$F$10),0)</f>
        <v>0</v>
      </c>
      <c r="O1775" s="10">
        <f>IF(Tank4!$C$23="No control",(SUMIF(Tank4!$B$32:$B$49,$J1775,Tank4!$C$32:$C$49)*Impacts!$F$11),0)</f>
        <v>0</v>
      </c>
      <c r="P1775" s="10">
        <f>IF(Tank5!$C$23="No control",(SUMIF(Tank5!$B$32:$B$49,$J1775,Tank5!$C$32:$C$49)*Impacts!$F$12),0)</f>
        <v>0</v>
      </c>
      <c r="Q1775" s="10">
        <f>IFERROR(IF(('Loading-drum,tote'!$C$21)="No control",SUMIF(('Loading-drum,tote'!$B$31:$B$48),$J1775,('Loading-drum,tote'!$D$31:$D$48))*Impacts!$F$13,IF(('Loading-drum,tote'!$C$21)&lt;&gt;"No control",SUMIF(('Loading-drum,tote'!$B$31:$B$48),$J1775,('Loading-drum,tote'!$E$31:$E$48))*Impacts!$F$13,0)),0)</f>
        <v>0</v>
      </c>
      <c r="R1775" s="10">
        <f>IFERROR(IF(('Loading-truck'!$C$21)="No control",SUMIF(('Loading-truck'!$B$31:$B$48),$J1775,('Loading-truck'!$D$31:$D$48))*Impacts!$F$14,IF(('Loading-truck'!$C$21)&lt;&gt;"No control",SUMIF(('Loading-truck'!$B$31:$B$48),$J1775,('Loading-truck'!$E$31:$E$48))*Impacts!$F$14,0)),0)</f>
        <v>0</v>
      </c>
      <c r="S1775" s="10">
        <f>IFERROR(IF(('Loading-rail'!$C$21)="No control",SUMIF(('Loading-rail'!$B$31:$B$48),$J1775,('Loading-rail'!$D$31:$D$48))*Impacts!$F$15,IF(('Loading-rail'!$C$21)&lt;&gt;"No control",SUMIF(('Loading-rail'!$B$31:$B$48),$J1775,('Loading-rail'!$E$31:$E$48))*Impacts!$F$15,0)),0)</f>
        <v>0</v>
      </c>
      <c r="T1775" s="10">
        <f>IF(Flare!$C$7="",0,(SUMIF(Flare!$B$46:$B$185,$J1775,Flare!$E$46:$E$185)*Impacts!$F$16))</f>
        <v>0</v>
      </c>
      <c r="U1775" s="10">
        <f>IF(VCU!$C$9="",0,(SUMIF(VCU!$B$51:$B$193,$J1775,VCU!$E$51:$E$193)*Impacts!$F$17))</f>
        <v>0</v>
      </c>
      <c r="V1775" s="10">
        <f>IF(CAS!$C$7="",0,(SUMIF(CAS!$B$31:$B$167,$J1775,CAS!$E$31:$E$167)*Impacts!$F$18))</f>
        <v>0</v>
      </c>
      <c r="W1775" s="10">
        <f t="shared" si="68"/>
        <v>0</v>
      </c>
      <c r="AK1775" s="10" t="str">
        <f t="array" ref="AK1775">IFERROR(INDEX(SelectedSpecies,SMALL(IF(SelectedSpecies=AK$1,ROW(SelectedSpecies)),ROW(1776:1776)),2),"")</f>
        <v/>
      </c>
      <c r="BE1775" s="10"/>
      <c r="BI1775" s="10"/>
    </row>
    <row r="1776" spans="1:61" ht="21" customHeight="1" x14ac:dyDescent="0.25">
      <c r="A1776" s="10"/>
      <c r="B1776" s="10"/>
      <c r="E1776" s="10"/>
      <c r="G1776" s="10"/>
      <c r="I1776" s="436" t="s">
        <v>5087</v>
      </c>
      <c r="J1776" s="26" t="s">
        <v>5086</v>
      </c>
      <c r="K1776" s="10">
        <v>2.2000000000000002</v>
      </c>
      <c r="L1776" s="73">
        <f>IF(Tank1!$C$23="No control",(SUMIF(Tank1!$B$32:$B$49,$J1776,Tank1!$C$32:$C$49)*Impacts!$F$8),0)</f>
        <v>0</v>
      </c>
      <c r="M1776" s="10">
        <f>IF(Tank2!$C$23="No control",(SUMIF(Tank2!$B$32:$B$49,$J1776,Tank2!$C$32:$C$49)*Impacts!$F$9),0)</f>
        <v>0</v>
      </c>
      <c r="N1776" s="10">
        <f>IF(Tank3!$C$23="No control",(SUMIF(Tank3!$B$32:$B$49,$J1776,Tank3!$C$32:$C$49)*Impacts!$F$10),0)</f>
        <v>0</v>
      </c>
      <c r="O1776" s="10">
        <f>IF(Tank4!$C$23="No control",(SUMIF(Tank4!$B$32:$B$49,$J1776,Tank4!$C$32:$C$49)*Impacts!$F$11),0)</f>
        <v>0</v>
      </c>
      <c r="P1776" s="10">
        <f>IF(Tank5!$C$23="No control",(SUMIF(Tank5!$B$32:$B$49,$J1776,Tank5!$C$32:$C$49)*Impacts!$F$12),0)</f>
        <v>0</v>
      </c>
      <c r="Q1776" s="10">
        <f>IFERROR(IF(('Loading-drum,tote'!$C$21)="No control",SUMIF(('Loading-drum,tote'!$B$31:$B$48),$J1776,('Loading-drum,tote'!$D$31:$D$48))*Impacts!$F$13,IF(('Loading-drum,tote'!$C$21)&lt;&gt;"No control",SUMIF(('Loading-drum,tote'!$B$31:$B$48),$J1776,('Loading-drum,tote'!$E$31:$E$48))*Impacts!$F$13,0)),0)</f>
        <v>0</v>
      </c>
      <c r="R1776" s="10">
        <f>IFERROR(IF(('Loading-truck'!$C$21)="No control",SUMIF(('Loading-truck'!$B$31:$B$48),$J1776,('Loading-truck'!$D$31:$D$48))*Impacts!$F$14,IF(('Loading-truck'!$C$21)&lt;&gt;"No control",SUMIF(('Loading-truck'!$B$31:$B$48),$J1776,('Loading-truck'!$E$31:$E$48))*Impacts!$F$14,0)),0)</f>
        <v>0</v>
      </c>
      <c r="S1776" s="10">
        <f>IFERROR(IF(('Loading-rail'!$C$21)="No control",SUMIF(('Loading-rail'!$B$31:$B$48),$J1776,('Loading-rail'!$D$31:$D$48))*Impacts!$F$15,IF(('Loading-rail'!$C$21)&lt;&gt;"No control",SUMIF(('Loading-rail'!$B$31:$B$48),$J1776,('Loading-rail'!$E$31:$E$48))*Impacts!$F$15,0)),0)</f>
        <v>0</v>
      </c>
      <c r="T1776" s="10">
        <f>IF(Flare!$C$7="",0,(SUMIF(Flare!$B$46:$B$185,$J1776,Flare!$E$46:$E$185)*Impacts!$F$16))</f>
        <v>0</v>
      </c>
      <c r="U1776" s="10">
        <f>IF(VCU!$C$9="",0,(SUMIF(VCU!$B$51:$B$193,$J1776,VCU!$E$51:$E$193)*Impacts!$F$17))</f>
        <v>0</v>
      </c>
      <c r="V1776" s="10">
        <f>IF(CAS!$C$7="",0,(SUMIF(CAS!$B$31:$B$167,$J1776,CAS!$E$31:$E$167)*Impacts!$F$18))</f>
        <v>0</v>
      </c>
      <c r="W1776" s="10">
        <f t="shared" si="68"/>
        <v>0</v>
      </c>
      <c r="AK1776" s="10" t="str">
        <f t="array" ref="AK1776">IFERROR(INDEX(SelectedSpecies,SMALL(IF(SelectedSpecies=AK$1,ROW(SelectedSpecies)),ROW(1777:1777)),2),"")</f>
        <v/>
      </c>
      <c r="BE1776" s="10"/>
      <c r="BI1776" s="10"/>
    </row>
    <row r="1777" spans="1:61" ht="21" customHeight="1" x14ac:dyDescent="0.25">
      <c r="A1777" s="10"/>
      <c r="B1777" s="10"/>
      <c r="E1777" s="10"/>
      <c r="G1777" s="10"/>
      <c r="I1777" s="436" t="s">
        <v>5373</v>
      </c>
      <c r="J1777" s="26" t="s">
        <v>5372</v>
      </c>
      <c r="K1777" s="10">
        <v>1.5</v>
      </c>
      <c r="L1777" s="73">
        <f>IF(Tank1!$C$23="No control",(SUMIF(Tank1!$B$32:$B$49,$J1777,Tank1!$C$32:$C$49)*Impacts!$F$8),0)</f>
        <v>0</v>
      </c>
      <c r="M1777" s="10">
        <f>IF(Tank2!$C$23="No control",(SUMIF(Tank2!$B$32:$B$49,$J1777,Tank2!$C$32:$C$49)*Impacts!$F$9),0)</f>
        <v>0</v>
      </c>
      <c r="N1777" s="10">
        <f>IF(Tank3!$C$23="No control",(SUMIF(Tank3!$B$32:$B$49,$J1777,Tank3!$C$32:$C$49)*Impacts!$F$10),0)</f>
        <v>0</v>
      </c>
      <c r="O1777" s="10">
        <f>IF(Tank4!$C$23="No control",(SUMIF(Tank4!$B$32:$B$49,$J1777,Tank4!$C$32:$C$49)*Impacts!$F$11),0)</f>
        <v>0</v>
      </c>
      <c r="P1777" s="10">
        <f>IF(Tank5!$C$23="No control",(SUMIF(Tank5!$B$32:$B$49,$J1777,Tank5!$C$32:$C$49)*Impacts!$F$12),0)</f>
        <v>0</v>
      </c>
      <c r="Q1777" s="10">
        <f>IFERROR(IF(('Loading-drum,tote'!$C$21)="No control",SUMIF(('Loading-drum,tote'!$B$31:$B$48),$J1777,('Loading-drum,tote'!$D$31:$D$48))*Impacts!$F$13,IF(('Loading-drum,tote'!$C$21)&lt;&gt;"No control",SUMIF(('Loading-drum,tote'!$B$31:$B$48),$J1777,('Loading-drum,tote'!$E$31:$E$48))*Impacts!$F$13,0)),0)</f>
        <v>0</v>
      </c>
      <c r="R1777" s="10">
        <f>IFERROR(IF(('Loading-truck'!$C$21)="No control",SUMIF(('Loading-truck'!$B$31:$B$48),$J1777,('Loading-truck'!$D$31:$D$48))*Impacts!$F$14,IF(('Loading-truck'!$C$21)&lt;&gt;"No control",SUMIF(('Loading-truck'!$B$31:$B$48),$J1777,('Loading-truck'!$E$31:$E$48))*Impacts!$F$14,0)),0)</f>
        <v>0</v>
      </c>
      <c r="S1777" s="10">
        <f>IFERROR(IF(('Loading-rail'!$C$21)="No control",SUMIF(('Loading-rail'!$B$31:$B$48),$J1777,('Loading-rail'!$D$31:$D$48))*Impacts!$F$15,IF(('Loading-rail'!$C$21)&lt;&gt;"No control",SUMIF(('Loading-rail'!$B$31:$B$48),$J1777,('Loading-rail'!$E$31:$E$48))*Impacts!$F$15,0)),0)</f>
        <v>0</v>
      </c>
      <c r="T1777" s="10">
        <f>IF(Flare!$C$7="",0,(SUMIF(Flare!$B$46:$B$185,$J1777,Flare!$E$46:$E$185)*Impacts!$F$16))</f>
        <v>0</v>
      </c>
      <c r="U1777" s="10">
        <f>IF(VCU!$C$9="",0,(SUMIF(VCU!$B$51:$B$193,$J1777,VCU!$E$51:$E$193)*Impacts!$F$17))</f>
        <v>0</v>
      </c>
      <c r="V1777" s="10">
        <f>IF(CAS!$C$7="",0,(SUMIF(CAS!$B$31:$B$167,$J1777,CAS!$E$31:$E$167)*Impacts!$F$18))</f>
        <v>0</v>
      </c>
      <c r="W1777" s="10">
        <f t="shared" si="68"/>
        <v>0</v>
      </c>
      <c r="AK1777" s="10" t="str">
        <f t="array" ref="AK1777">IFERROR(INDEX(SelectedSpecies,SMALL(IF(SelectedSpecies=AK$1,ROW(SelectedSpecies)),ROW(1778:1778)),2),"")</f>
        <v/>
      </c>
      <c r="BE1777" s="10"/>
      <c r="BI1777" s="10"/>
    </row>
    <row r="1778" spans="1:61" ht="21" customHeight="1" x14ac:dyDescent="0.25">
      <c r="A1778" s="10"/>
      <c r="B1778" s="10"/>
      <c r="E1778" s="10"/>
      <c r="G1778" s="10"/>
      <c r="I1778" s="436" t="s">
        <v>5423</v>
      </c>
      <c r="J1778" s="26" t="s">
        <v>5422</v>
      </c>
      <c r="K1778" s="10">
        <v>1.4000000000000001</v>
      </c>
      <c r="L1778" s="73">
        <f>IF(Tank1!$C$23="No control",(SUMIF(Tank1!$B$32:$B$49,$J1778,Tank1!$C$32:$C$49)*Impacts!$F$8),0)</f>
        <v>0</v>
      </c>
      <c r="M1778" s="10">
        <f>IF(Tank2!$C$23="No control",(SUMIF(Tank2!$B$32:$B$49,$J1778,Tank2!$C$32:$C$49)*Impacts!$F$9),0)</f>
        <v>0</v>
      </c>
      <c r="N1778" s="10">
        <f>IF(Tank3!$C$23="No control",(SUMIF(Tank3!$B$32:$B$49,$J1778,Tank3!$C$32:$C$49)*Impacts!$F$10),0)</f>
        <v>0</v>
      </c>
      <c r="O1778" s="10">
        <f>IF(Tank4!$C$23="No control",(SUMIF(Tank4!$B$32:$B$49,$J1778,Tank4!$C$32:$C$49)*Impacts!$F$11),0)</f>
        <v>0</v>
      </c>
      <c r="P1778" s="10">
        <f>IF(Tank5!$C$23="No control",(SUMIF(Tank5!$B$32:$B$49,$J1778,Tank5!$C$32:$C$49)*Impacts!$F$12),0)</f>
        <v>0</v>
      </c>
      <c r="Q1778" s="10">
        <f>IFERROR(IF(('Loading-drum,tote'!$C$21)="No control",SUMIF(('Loading-drum,tote'!$B$31:$B$48),$J1778,('Loading-drum,tote'!$D$31:$D$48))*Impacts!$F$13,IF(('Loading-drum,tote'!$C$21)&lt;&gt;"No control",SUMIF(('Loading-drum,tote'!$B$31:$B$48),$J1778,('Loading-drum,tote'!$E$31:$E$48))*Impacts!$F$13,0)),0)</f>
        <v>0</v>
      </c>
      <c r="R1778" s="10">
        <f>IFERROR(IF(('Loading-truck'!$C$21)="No control",SUMIF(('Loading-truck'!$B$31:$B$48),$J1778,('Loading-truck'!$D$31:$D$48))*Impacts!$F$14,IF(('Loading-truck'!$C$21)&lt;&gt;"No control",SUMIF(('Loading-truck'!$B$31:$B$48),$J1778,('Loading-truck'!$E$31:$E$48))*Impacts!$F$14,0)),0)</f>
        <v>0</v>
      </c>
      <c r="S1778" s="10">
        <f>IFERROR(IF(('Loading-rail'!$C$21)="No control",SUMIF(('Loading-rail'!$B$31:$B$48),$J1778,('Loading-rail'!$D$31:$D$48))*Impacts!$F$15,IF(('Loading-rail'!$C$21)&lt;&gt;"No control",SUMIF(('Loading-rail'!$B$31:$B$48),$J1778,('Loading-rail'!$E$31:$E$48))*Impacts!$F$15,0)),0)</f>
        <v>0</v>
      </c>
      <c r="T1778" s="10">
        <f>IF(Flare!$C$7="",0,(SUMIF(Flare!$B$46:$B$185,$J1778,Flare!$E$46:$E$185)*Impacts!$F$16))</f>
        <v>0</v>
      </c>
      <c r="U1778" s="10">
        <f>IF(VCU!$C$9="",0,(SUMIF(VCU!$B$51:$B$193,$J1778,VCU!$E$51:$E$193)*Impacts!$F$17))</f>
        <v>0</v>
      </c>
      <c r="V1778" s="10">
        <f>IF(CAS!$C$7="",0,(SUMIF(CAS!$B$31:$B$167,$J1778,CAS!$E$31:$E$167)*Impacts!$F$18))</f>
        <v>0</v>
      </c>
      <c r="W1778" s="10">
        <f t="shared" si="68"/>
        <v>0</v>
      </c>
      <c r="AK1778" s="10" t="str">
        <f t="array" ref="AK1778">IFERROR(INDEX(SelectedSpecies,SMALL(IF(SelectedSpecies=AK$1,ROW(SelectedSpecies)),ROW(1779:1779)),2),"")</f>
        <v/>
      </c>
      <c r="BE1778" s="10"/>
      <c r="BI1778" s="10"/>
    </row>
    <row r="1779" spans="1:61" ht="21" customHeight="1" x14ac:dyDescent="0.25">
      <c r="A1779" s="10"/>
      <c r="B1779" s="10"/>
      <c r="E1779" s="10"/>
      <c r="G1779" s="10"/>
      <c r="I1779" s="436" t="s">
        <v>5489</v>
      </c>
      <c r="J1779" s="26" t="s">
        <v>5488</v>
      </c>
      <c r="K1779" s="10">
        <v>1.3</v>
      </c>
      <c r="L1779" s="73">
        <f>IF(Tank1!$C$23="No control",(SUMIF(Tank1!$B$32:$B$49,$J1779,Tank1!$C$32:$C$49)*Impacts!$F$8),0)</f>
        <v>0</v>
      </c>
      <c r="M1779" s="10">
        <f>IF(Tank2!$C$23="No control",(SUMIF(Tank2!$B$32:$B$49,$J1779,Tank2!$C$32:$C$49)*Impacts!$F$9),0)</f>
        <v>0</v>
      </c>
      <c r="N1779" s="10">
        <f>IF(Tank3!$C$23="No control",(SUMIF(Tank3!$B$32:$B$49,$J1779,Tank3!$C$32:$C$49)*Impacts!$F$10),0)</f>
        <v>0</v>
      </c>
      <c r="O1779" s="10">
        <f>IF(Tank4!$C$23="No control",(SUMIF(Tank4!$B$32:$B$49,$J1779,Tank4!$C$32:$C$49)*Impacts!$F$11),0)</f>
        <v>0</v>
      </c>
      <c r="P1779" s="10">
        <f>IF(Tank5!$C$23="No control",(SUMIF(Tank5!$B$32:$B$49,$J1779,Tank5!$C$32:$C$49)*Impacts!$F$12),0)</f>
        <v>0</v>
      </c>
      <c r="Q1779" s="10">
        <f>IFERROR(IF(('Loading-drum,tote'!$C$21)="No control",SUMIF(('Loading-drum,tote'!$B$31:$B$48),$J1779,('Loading-drum,tote'!$D$31:$D$48))*Impacts!$F$13,IF(('Loading-drum,tote'!$C$21)&lt;&gt;"No control",SUMIF(('Loading-drum,tote'!$B$31:$B$48),$J1779,('Loading-drum,tote'!$E$31:$E$48))*Impacts!$F$13,0)),0)</f>
        <v>0</v>
      </c>
      <c r="R1779" s="10">
        <f>IFERROR(IF(('Loading-truck'!$C$21)="No control",SUMIF(('Loading-truck'!$B$31:$B$48),$J1779,('Loading-truck'!$D$31:$D$48))*Impacts!$F$14,IF(('Loading-truck'!$C$21)&lt;&gt;"No control",SUMIF(('Loading-truck'!$B$31:$B$48),$J1779,('Loading-truck'!$E$31:$E$48))*Impacts!$F$14,0)),0)</f>
        <v>0</v>
      </c>
      <c r="S1779" s="10">
        <f>IFERROR(IF(('Loading-rail'!$C$21)="No control",SUMIF(('Loading-rail'!$B$31:$B$48),$J1779,('Loading-rail'!$D$31:$D$48))*Impacts!$F$15,IF(('Loading-rail'!$C$21)&lt;&gt;"No control",SUMIF(('Loading-rail'!$B$31:$B$48),$J1779,('Loading-rail'!$E$31:$E$48))*Impacts!$F$15,0)),0)</f>
        <v>0</v>
      </c>
      <c r="T1779" s="10">
        <f>IF(Flare!$C$7="",0,(SUMIF(Flare!$B$46:$B$185,$J1779,Flare!$E$46:$E$185)*Impacts!$F$16))</f>
        <v>0</v>
      </c>
      <c r="U1779" s="10">
        <f>IF(VCU!$C$9="",0,(SUMIF(VCU!$B$51:$B$193,$J1779,VCU!$E$51:$E$193)*Impacts!$F$17))</f>
        <v>0</v>
      </c>
      <c r="V1779" s="10">
        <f>IF(CAS!$C$7="",0,(SUMIF(CAS!$B$31:$B$167,$J1779,CAS!$E$31:$E$167)*Impacts!$F$18))</f>
        <v>0</v>
      </c>
      <c r="W1779" s="10">
        <f t="shared" si="68"/>
        <v>0</v>
      </c>
      <c r="AK1779" s="10" t="str">
        <f t="array" ref="AK1779">IFERROR(INDEX(SelectedSpecies,SMALL(IF(SelectedSpecies=AK$1,ROW(SelectedSpecies)),ROW(1780:1780)),2),"")</f>
        <v/>
      </c>
      <c r="BE1779" s="10"/>
      <c r="BI1779" s="10"/>
    </row>
    <row r="1780" spans="1:61" ht="21" customHeight="1" x14ac:dyDescent="0.25">
      <c r="A1780" s="10"/>
      <c r="B1780" s="10"/>
      <c r="E1780" s="10"/>
      <c r="G1780" s="10"/>
      <c r="I1780" s="436" t="s">
        <v>2873</v>
      </c>
      <c r="J1780" s="26" t="s">
        <v>2872</v>
      </c>
      <c r="K1780" s="10">
        <v>10</v>
      </c>
      <c r="L1780" s="73">
        <f>IF(Tank1!$C$23="No control",(SUMIF(Tank1!$B$32:$B$49,$J1780,Tank1!$C$32:$C$49)*Impacts!$F$8),0)</f>
        <v>0</v>
      </c>
      <c r="M1780" s="10">
        <f>IF(Tank2!$C$23="No control",(SUMIF(Tank2!$B$32:$B$49,$J1780,Tank2!$C$32:$C$49)*Impacts!$F$9),0)</f>
        <v>0</v>
      </c>
      <c r="N1780" s="10">
        <f>IF(Tank3!$C$23="No control",(SUMIF(Tank3!$B$32:$B$49,$J1780,Tank3!$C$32:$C$49)*Impacts!$F$10),0)</f>
        <v>0</v>
      </c>
      <c r="O1780" s="10">
        <f>IF(Tank4!$C$23="No control",(SUMIF(Tank4!$B$32:$B$49,$J1780,Tank4!$C$32:$C$49)*Impacts!$F$11),0)</f>
        <v>0</v>
      </c>
      <c r="P1780" s="10">
        <f>IF(Tank5!$C$23="No control",(SUMIF(Tank5!$B$32:$B$49,$J1780,Tank5!$C$32:$C$49)*Impacts!$F$12),0)</f>
        <v>0</v>
      </c>
      <c r="Q1780" s="10">
        <f>IFERROR(IF(('Loading-drum,tote'!$C$21)="No control",SUMIF(('Loading-drum,tote'!$B$31:$B$48),$J1780,('Loading-drum,tote'!$D$31:$D$48))*Impacts!$F$13,IF(('Loading-drum,tote'!$C$21)&lt;&gt;"No control",SUMIF(('Loading-drum,tote'!$B$31:$B$48),$J1780,('Loading-drum,tote'!$E$31:$E$48))*Impacts!$F$13,0)),0)</f>
        <v>0</v>
      </c>
      <c r="R1780" s="10">
        <f>IFERROR(IF(('Loading-truck'!$C$21)="No control",SUMIF(('Loading-truck'!$B$31:$B$48),$J1780,('Loading-truck'!$D$31:$D$48))*Impacts!$F$14,IF(('Loading-truck'!$C$21)&lt;&gt;"No control",SUMIF(('Loading-truck'!$B$31:$B$48),$J1780,('Loading-truck'!$E$31:$E$48))*Impacts!$F$14,0)),0)</f>
        <v>0</v>
      </c>
      <c r="S1780" s="10">
        <f>IFERROR(IF(('Loading-rail'!$C$21)="No control",SUMIF(('Loading-rail'!$B$31:$B$48),$J1780,('Loading-rail'!$D$31:$D$48))*Impacts!$F$15,IF(('Loading-rail'!$C$21)&lt;&gt;"No control",SUMIF(('Loading-rail'!$B$31:$B$48),$J1780,('Loading-rail'!$E$31:$E$48))*Impacts!$F$15,0)),0)</f>
        <v>0</v>
      </c>
      <c r="T1780" s="10">
        <f>IF(Flare!$C$7="",0,(SUMIF(Flare!$B$46:$B$185,$J1780,Flare!$E$46:$E$185)*Impacts!$F$16))</f>
        <v>0</v>
      </c>
      <c r="U1780" s="10">
        <f>IF(VCU!$C$9="",0,(SUMIF(VCU!$B$51:$B$193,$J1780,VCU!$E$51:$E$193)*Impacts!$F$17))</f>
        <v>0</v>
      </c>
      <c r="V1780" s="10">
        <f>IF(CAS!$C$7="",0,(SUMIF(CAS!$B$31:$B$167,$J1780,CAS!$E$31:$E$167)*Impacts!$F$18))</f>
        <v>0</v>
      </c>
      <c r="W1780" s="10">
        <f t="shared" si="68"/>
        <v>0</v>
      </c>
      <c r="AK1780" s="10" t="str">
        <f t="array" ref="AK1780">IFERROR(INDEX(SelectedSpecies,SMALL(IF(SelectedSpecies=AK$1,ROW(SelectedSpecies)),ROW(1781:1781)),2),"")</f>
        <v/>
      </c>
      <c r="BE1780" s="10"/>
      <c r="BI1780" s="10"/>
    </row>
    <row r="1781" spans="1:61" ht="21" customHeight="1" x14ac:dyDescent="0.25">
      <c r="A1781" s="10"/>
      <c r="B1781" s="10"/>
      <c r="E1781" s="10"/>
      <c r="G1781" s="10"/>
      <c r="I1781" s="436" t="s">
        <v>924</v>
      </c>
      <c r="J1781" s="26" t="s">
        <v>923</v>
      </c>
      <c r="K1781" s="10">
        <v>44</v>
      </c>
      <c r="L1781" s="73">
        <f>IF(Tank1!$C$23="No control",(SUMIF(Tank1!$B$32:$B$49,$J1781,Tank1!$C$32:$C$49)*Impacts!$F$8),0)</f>
        <v>0</v>
      </c>
      <c r="M1781" s="10">
        <f>IF(Tank2!$C$23="No control",(SUMIF(Tank2!$B$32:$B$49,$J1781,Tank2!$C$32:$C$49)*Impacts!$F$9),0)</f>
        <v>0</v>
      </c>
      <c r="N1781" s="10">
        <f>IF(Tank3!$C$23="No control",(SUMIF(Tank3!$B$32:$B$49,$J1781,Tank3!$C$32:$C$49)*Impacts!$F$10),0)</f>
        <v>0</v>
      </c>
      <c r="O1781" s="10">
        <f>IF(Tank4!$C$23="No control",(SUMIF(Tank4!$B$32:$B$49,$J1781,Tank4!$C$32:$C$49)*Impacts!$F$11),0)</f>
        <v>0</v>
      </c>
      <c r="P1781" s="10">
        <f>IF(Tank5!$C$23="No control",(SUMIF(Tank5!$B$32:$B$49,$J1781,Tank5!$C$32:$C$49)*Impacts!$F$12),0)</f>
        <v>0</v>
      </c>
      <c r="Q1781" s="10">
        <f>IFERROR(IF(('Loading-drum,tote'!$C$21)="No control",SUMIF(('Loading-drum,tote'!$B$31:$B$48),$J1781,('Loading-drum,tote'!$D$31:$D$48))*Impacts!$F$13,IF(('Loading-drum,tote'!$C$21)&lt;&gt;"No control",SUMIF(('Loading-drum,tote'!$B$31:$B$48),$J1781,('Loading-drum,tote'!$E$31:$E$48))*Impacts!$F$13,0)),0)</f>
        <v>0</v>
      </c>
      <c r="R1781" s="10">
        <f>IFERROR(IF(('Loading-truck'!$C$21)="No control",SUMIF(('Loading-truck'!$B$31:$B$48),$J1781,('Loading-truck'!$D$31:$D$48))*Impacts!$F$14,IF(('Loading-truck'!$C$21)&lt;&gt;"No control",SUMIF(('Loading-truck'!$B$31:$B$48),$J1781,('Loading-truck'!$E$31:$E$48))*Impacts!$F$14,0)),0)</f>
        <v>0</v>
      </c>
      <c r="S1781" s="10">
        <f>IFERROR(IF(('Loading-rail'!$C$21)="No control",SUMIF(('Loading-rail'!$B$31:$B$48),$J1781,('Loading-rail'!$D$31:$D$48))*Impacts!$F$15,IF(('Loading-rail'!$C$21)&lt;&gt;"No control",SUMIF(('Loading-rail'!$B$31:$B$48),$J1781,('Loading-rail'!$E$31:$E$48))*Impacts!$F$15,0)),0)</f>
        <v>0</v>
      </c>
      <c r="T1781" s="10">
        <f>IF(Flare!$C$7="",0,(SUMIF(Flare!$B$46:$B$185,$J1781,Flare!$E$46:$E$185)*Impacts!$F$16))</f>
        <v>0</v>
      </c>
      <c r="U1781" s="10">
        <f>IF(VCU!$C$9="",0,(SUMIF(VCU!$B$51:$B$193,$J1781,VCU!$E$51:$E$193)*Impacts!$F$17))</f>
        <v>0</v>
      </c>
      <c r="V1781" s="10">
        <f>IF(CAS!$C$7="",0,(SUMIF(CAS!$B$31:$B$167,$J1781,CAS!$E$31:$E$167)*Impacts!$F$18))</f>
        <v>0</v>
      </c>
      <c r="W1781" s="10">
        <f t="shared" si="68"/>
        <v>0</v>
      </c>
      <c r="AK1781" s="10" t="str">
        <f t="array" ref="AK1781">IFERROR(INDEX(SelectedSpecies,SMALL(IF(SelectedSpecies=AK$1,ROW(SelectedSpecies)),ROW(1782:1782)),2),"")</f>
        <v/>
      </c>
      <c r="BE1781" s="10"/>
      <c r="BI1781" s="10"/>
    </row>
    <row r="1782" spans="1:61" ht="21" customHeight="1" x14ac:dyDescent="0.25">
      <c r="A1782" s="10"/>
      <c r="B1782" s="10"/>
      <c r="E1782" s="10"/>
      <c r="G1782" s="10"/>
      <c r="I1782" s="436" t="s">
        <v>4283</v>
      </c>
      <c r="J1782" s="26" t="s">
        <v>4282</v>
      </c>
      <c r="K1782" s="10">
        <v>5</v>
      </c>
      <c r="L1782" s="73">
        <f>IF(Tank1!$C$23="No control",(SUMIF(Tank1!$B$32:$B$49,$J1782,Tank1!$C$32:$C$49)*Impacts!$F$8),0)</f>
        <v>0</v>
      </c>
      <c r="M1782" s="10">
        <f>IF(Tank2!$C$23="No control",(SUMIF(Tank2!$B$32:$B$49,$J1782,Tank2!$C$32:$C$49)*Impacts!$F$9),0)</f>
        <v>0</v>
      </c>
      <c r="N1782" s="10">
        <f>IF(Tank3!$C$23="No control",(SUMIF(Tank3!$B$32:$B$49,$J1782,Tank3!$C$32:$C$49)*Impacts!$F$10),0)</f>
        <v>0</v>
      </c>
      <c r="O1782" s="10">
        <f>IF(Tank4!$C$23="No control",(SUMIF(Tank4!$B$32:$B$49,$J1782,Tank4!$C$32:$C$49)*Impacts!$F$11),0)</f>
        <v>0</v>
      </c>
      <c r="P1782" s="10">
        <f>IF(Tank5!$C$23="No control",(SUMIF(Tank5!$B$32:$B$49,$J1782,Tank5!$C$32:$C$49)*Impacts!$F$12),0)</f>
        <v>0</v>
      </c>
      <c r="Q1782" s="10">
        <f>IFERROR(IF(('Loading-drum,tote'!$C$21)="No control",SUMIF(('Loading-drum,tote'!$B$31:$B$48),$J1782,('Loading-drum,tote'!$D$31:$D$48))*Impacts!$F$13,IF(('Loading-drum,tote'!$C$21)&lt;&gt;"No control",SUMIF(('Loading-drum,tote'!$B$31:$B$48),$J1782,('Loading-drum,tote'!$E$31:$E$48))*Impacts!$F$13,0)),0)</f>
        <v>0</v>
      </c>
      <c r="R1782" s="10">
        <f>IFERROR(IF(('Loading-truck'!$C$21)="No control",SUMIF(('Loading-truck'!$B$31:$B$48),$J1782,('Loading-truck'!$D$31:$D$48))*Impacts!$F$14,IF(('Loading-truck'!$C$21)&lt;&gt;"No control",SUMIF(('Loading-truck'!$B$31:$B$48),$J1782,('Loading-truck'!$E$31:$E$48))*Impacts!$F$14,0)),0)</f>
        <v>0</v>
      </c>
      <c r="S1782" s="10">
        <f>IFERROR(IF(('Loading-rail'!$C$21)="No control",SUMIF(('Loading-rail'!$B$31:$B$48),$J1782,('Loading-rail'!$D$31:$D$48))*Impacts!$F$15,IF(('Loading-rail'!$C$21)&lt;&gt;"No control",SUMIF(('Loading-rail'!$B$31:$B$48),$J1782,('Loading-rail'!$E$31:$E$48))*Impacts!$F$15,0)),0)</f>
        <v>0</v>
      </c>
      <c r="T1782" s="10">
        <f>IF(Flare!$C$7="",0,(SUMIF(Flare!$B$46:$B$185,$J1782,Flare!$E$46:$E$185)*Impacts!$F$16))</f>
        <v>0</v>
      </c>
      <c r="U1782" s="10">
        <f>IF(VCU!$C$9="",0,(SUMIF(VCU!$B$51:$B$193,$J1782,VCU!$E$51:$E$193)*Impacts!$F$17))</f>
        <v>0</v>
      </c>
      <c r="V1782" s="10">
        <f>IF(CAS!$C$7="",0,(SUMIF(CAS!$B$31:$B$167,$J1782,CAS!$E$31:$E$167)*Impacts!$F$18))</f>
        <v>0</v>
      </c>
      <c r="W1782" s="10">
        <f t="shared" si="68"/>
        <v>0</v>
      </c>
      <c r="AK1782" s="10" t="str">
        <f t="array" ref="AK1782">IFERROR(INDEX(SelectedSpecies,SMALL(IF(SelectedSpecies=AK$1,ROW(SelectedSpecies)),ROW(1783:1783)),2),"")</f>
        <v/>
      </c>
      <c r="BE1782" s="10"/>
      <c r="BI1782" s="10"/>
    </row>
    <row r="1783" spans="1:61" ht="21" customHeight="1" x14ac:dyDescent="0.25">
      <c r="A1783" s="10"/>
      <c r="B1783" s="10"/>
      <c r="E1783" s="10"/>
      <c r="G1783" s="10"/>
      <c r="I1783" s="436" t="s">
        <v>4495</v>
      </c>
      <c r="J1783" s="26" t="s">
        <v>4494</v>
      </c>
      <c r="K1783" s="10">
        <v>4.2</v>
      </c>
      <c r="L1783" s="73">
        <f>IF(Tank1!$C$23="No control",(SUMIF(Tank1!$B$32:$B$49,$J1783,Tank1!$C$32:$C$49)*Impacts!$F$8),0)</f>
        <v>0</v>
      </c>
      <c r="M1783" s="10">
        <f>IF(Tank2!$C$23="No control",(SUMIF(Tank2!$B$32:$B$49,$J1783,Tank2!$C$32:$C$49)*Impacts!$F$9),0)</f>
        <v>0</v>
      </c>
      <c r="N1783" s="10">
        <f>IF(Tank3!$C$23="No control",(SUMIF(Tank3!$B$32:$B$49,$J1783,Tank3!$C$32:$C$49)*Impacts!$F$10),0)</f>
        <v>0</v>
      </c>
      <c r="O1783" s="10">
        <f>IF(Tank4!$C$23="No control",(SUMIF(Tank4!$B$32:$B$49,$J1783,Tank4!$C$32:$C$49)*Impacts!$F$11),0)</f>
        <v>0</v>
      </c>
      <c r="P1783" s="10">
        <f>IF(Tank5!$C$23="No control",(SUMIF(Tank5!$B$32:$B$49,$J1783,Tank5!$C$32:$C$49)*Impacts!$F$12),0)</f>
        <v>0</v>
      </c>
      <c r="Q1783" s="10">
        <f>IFERROR(IF(('Loading-drum,tote'!$C$21)="No control",SUMIF(('Loading-drum,tote'!$B$31:$B$48),$J1783,('Loading-drum,tote'!$D$31:$D$48))*Impacts!$F$13,IF(('Loading-drum,tote'!$C$21)&lt;&gt;"No control",SUMIF(('Loading-drum,tote'!$B$31:$B$48),$J1783,('Loading-drum,tote'!$E$31:$E$48))*Impacts!$F$13,0)),0)</f>
        <v>0</v>
      </c>
      <c r="R1783" s="10">
        <f>IFERROR(IF(('Loading-truck'!$C$21)="No control",SUMIF(('Loading-truck'!$B$31:$B$48),$J1783,('Loading-truck'!$D$31:$D$48))*Impacts!$F$14,IF(('Loading-truck'!$C$21)&lt;&gt;"No control",SUMIF(('Loading-truck'!$B$31:$B$48),$J1783,('Loading-truck'!$E$31:$E$48))*Impacts!$F$14,0)),0)</f>
        <v>0</v>
      </c>
      <c r="S1783" s="10">
        <f>IFERROR(IF(('Loading-rail'!$C$21)="No control",SUMIF(('Loading-rail'!$B$31:$B$48),$J1783,('Loading-rail'!$D$31:$D$48))*Impacts!$F$15,IF(('Loading-rail'!$C$21)&lt;&gt;"No control",SUMIF(('Loading-rail'!$B$31:$B$48),$J1783,('Loading-rail'!$E$31:$E$48))*Impacts!$F$15,0)),0)</f>
        <v>0</v>
      </c>
      <c r="T1783" s="10">
        <f>IF(Flare!$C$7="",0,(SUMIF(Flare!$B$46:$B$185,$J1783,Flare!$E$46:$E$185)*Impacts!$F$16))</f>
        <v>0</v>
      </c>
      <c r="U1783" s="10">
        <f>IF(VCU!$C$9="",0,(SUMIF(VCU!$B$51:$B$193,$J1783,VCU!$E$51:$E$193)*Impacts!$F$17))</f>
        <v>0</v>
      </c>
      <c r="V1783" s="10">
        <f>IF(CAS!$C$7="",0,(SUMIF(CAS!$B$31:$B$167,$J1783,CAS!$E$31:$E$167)*Impacts!$F$18))</f>
        <v>0</v>
      </c>
      <c r="W1783" s="10">
        <f t="shared" si="68"/>
        <v>0</v>
      </c>
      <c r="AK1783" s="10" t="str">
        <f t="array" ref="AK1783">IFERROR(INDEX(SelectedSpecies,SMALL(IF(SelectedSpecies=AK$1,ROW(SelectedSpecies)),ROW(1784:1784)),2),"")</f>
        <v/>
      </c>
      <c r="BE1783" s="10"/>
      <c r="BI1783" s="10"/>
    </row>
    <row r="1784" spans="1:61" ht="21" customHeight="1" x14ac:dyDescent="0.25">
      <c r="A1784" s="10"/>
      <c r="B1784" s="10"/>
      <c r="E1784" s="10"/>
      <c r="G1784" s="10"/>
      <c r="I1784" s="436" t="s">
        <v>2129</v>
      </c>
      <c r="J1784" s="26" t="s">
        <v>2128</v>
      </c>
      <c r="K1784" s="10">
        <v>15</v>
      </c>
      <c r="L1784" s="73">
        <f>IF(Tank1!$C$23="No control",(SUMIF(Tank1!$B$32:$B$49,$J1784,Tank1!$C$32:$C$49)*Impacts!$F$8),0)</f>
        <v>0</v>
      </c>
      <c r="M1784" s="10">
        <f>IF(Tank2!$C$23="No control",(SUMIF(Tank2!$B$32:$B$49,$J1784,Tank2!$C$32:$C$49)*Impacts!$F$9),0)</f>
        <v>0</v>
      </c>
      <c r="N1784" s="10">
        <f>IF(Tank3!$C$23="No control",(SUMIF(Tank3!$B$32:$B$49,$J1784,Tank3!$C$32:$C$49)*Impacts!$F$10),0)</f>
        <v>0</v>
      </c>
      <c r="O1784" s="10">
        <f>IF(Tank4!$C$23="No control",(SUMIF(Tank4!$B$32:$B$49,$J1784,Tank4!$C$32:$C$49)*Impacts!$F$11),0)</f>
        <v>0</v>
      </c>
      <c r="P1784" s="10">
        <f>IF(Tank5!$C$23="No control",(SUMIF(Tank5!$B$32:$B$49,$J1784,Tank5!$C$32:$C$49)*Impacts!$F$12),0)</f>
        <v>0</v>
      </c>
      <c r="Q1784" s="10">
        <f>IFERROR(IF(('Loading-drum,tote'!$C$21)="No control",SUMIF(('Loading-drum,tote'!$B$31:$B$48),$J1784,('Loading-drum,tote'!$D$31:$D$48))*Impacts!$F$13,IF(('Loading-drum,tote'!$C$21)&lt;&gt;"No control",SUMIF(('Loading-drum,tote'!$B$31:$B$48),$J1784,('Loading-drum,tote'!$E$31:$E$48))*Impacts!$F$13,0)),0)</f>
        <v>0</v>
      </c>
      <c r="R1784" s="10">
        <f>IFERROR(IF(('Loading-truck'!$C$21)="No control",SUMIF(('Loading-truck'!$B$31:$B$48),$J1784,('Loading-truck'!$D$31:$D$48))*Impacts!$F$14,IF(('Loading-truck'!$C$21)&lt;&gt;"No control",SUMIF(('Loading-truck'!$B$31:$B$48),$J1784,('Loading-truck'!$E$31:$E$48))*Impacts!$F$14,0)),0)</f>
        <v>0</v>
      </c>
      <c r="S1784" s="10">
        <f>IFERROR(IF(('Loading-rail'!$C$21)="No control",SUMIF(('Loading-rail'!$B$31:$B$48),$J1784,('Loading-rail'!$D$31:$D$48))*Impacts!$F$15,IF(('Loading-rail'!$C$21)&lt;&gt;"No control",SUMIF(('Loading-rail'!$B$31:$B$48),$J1784,('Loading-rail'!$E$31:$E$48))*Impacts!$F$15,0)),0)</f>
        <v>0</v>
      </c>
      <c r="T1784" s="10">
        <f>IF(Flare!$C$7="",0,(SUMIF(Flare!$B$46:$B$185,$J1784,Flare!$E$46:$E$185)*Impacts!$F$16))</f>
        <v>0</v>
      </c>
      <c r="U1784" s="10">
        <f>IF(VCU!$C$9="",0,(SUMIF(VCU!$B$51:$B$193,$J1784,VCU!$E$51:$E$193)*Impacts!$F$17))</f>
        <v>0</v>
      </c>
      <c r="V1784" s="10">
        <f>IF(CAS!$C$7="",0,(SUMIF(CAS!$B$31:$B$167,$J1784,CAS!$E$31:$E$167)*Impacts!$F$18))</f>
        <v>0</v>
      </c>
      <c r="W1784" s="10">
        <f t="shared" si="68"/>
        <v>0</v>
      </c>
      <c r="AK1784" s="10" t="str">
        <f t="array" ref="AK1784">IFERROR(INDEX(SelectedSpecies,SMALL(IF(SelectedSpecies=AK$1,ROW(SelectedSpecies)),ROW(1785:1785)),2),"")</f>
        <v/>
      </c>
      <c r="BE1784" s="10"/>
      <c r="BI1784" s="10"/>
    </row>
    <row r="1785" spans="1:61" ht="21" customHeight="1" x14ac:dyDescent="0.25">
      <c r="A1785" s="10"/>
      <c r="B1785" s="10"/>
      <c r="E1785" s="10"/>
      <c r="G1785" s="10"/>
      <c r="I1785" s="436" t="s">
        <v>1042</v>
      </c>
      <c r="J1785" s="26" t="s">
        <v>1041</v>
      </c>
      <c r="K1785" s="10">
        <v>35</v>
      </c>
      <c r="L1785" s="73">
        <f>IF(Tank1!$C$23="No control",(SUMIF(Tank1!$B$32:$B$49,$J1785,Tank1!$C$32:$C$49)*Impacts!$F$8),0)</f>
        <v>0</v>
      </c>
      <c r="M1785" s="10">
        <f>IF(Tank2!$C$23="No control",(SUMIF(Tank2!$B$32:$B$49,$J1785,Tank2!$C$32:$C$49)*Impacts!$F$9),0)</f>
        <v>0</v>
      </c>
      <c r="N1785" s="10">
        <f>IF(Tank3!$C$23="No control",(SUMIF(Tank3!$B$32:$B$49,$J1785,Tank3!$C$32:$C$49)*Impacts!$F$10),0)</f>
        <v>0</v>
      </c>
      <c r="O1785" s="10">
        <f>IF(Tank4!$C$23="No control",(SUMIF(Tank4!$B$32:$B$49,$J1785,Tank4!$C$32:$C$49)*Impacts!$F$11),0)</f>
        <v>0</v>
      </c>
      <c r="P1785" s="10">
        <f>IF(Tank5!$C$23="No control",(SUMIF(Tank5!$B$32:$B$49,$J1785,Tank5!$C$32:$C$49)*Impacts!$F$12),0)</f>
        <v>0</v>
      </c>
      <c r="Q1785" s="10">
        <f>IFERROR(IF(('Loading-drum,tote'!$C$21)="No control",SUMIF(('Loading-drum,tote'!$B$31:$B$48),$J1785,('Loading-drum,tote'!$D$31:$D$48))*Impacts!$F$13,IF(('Loading-drum,tote'!$C$21)&lt;&gt;"No control",SUMIF(('Loading-drum,tote'!$B$31:$B$48),$J1785,('Loading-drum,tote'!$E$31:$E$48))*Impacts!$F$13,0)),0)</f>
        <v>0</v>
      </c>
      <c r="R1785" s="10">
        <f>IFERROR(IF(('Loading-truck'!$C$21)="No control",SUMIF(('Loading-truck'!$B$31:$B$48),$J1785,('Loading-truck'!$D$31:$D$48))*Impacts!$F$14,IF(('Loading-truck'!$C$21)&lt;&gt;"No control",SUMIF(('Loading-truck'!$B$31:$B$48),$J1785,('Loading-truck'!$E$31:$E$48))*Impacts!$F$14,0)),0)</f>
        <v>0</v>
      </c>
      <c r="S1785" s="10">
        <f>IFERROR(IF(('Loading-rail'!$C$21)="No control",SUMIF(('Loading-rail'!$B$31:$B$48),$J1785,('Loading-rail'!$D$31:$D$48))*Impacts!$F$15,IF(('Loading-rail'!$C$21)&lt;&gt;"No control",SUMIF(('Loading-rail'!$B$31:$B$48),$J1785,('Loading-rail'!$E$31:$E$48))*Impacts!$F$15,0)),0)</f>
        <v>0</v>
      </c>
      <c r="T1785" s="10">
        <f>IF(Flare!$C$7="",0,(SUMIF(Flare!$B$46:$B$185,$J1785,Flare!$E$46:$E$185)*Impacts!$F$16))</f>
        <v>0</v>
      </c>
      <c r="U1785" s="10">
        <f>IF(VCU!$C$9="",0,(SUMIF(VCU!$B$51:$B$193,$J1785,VCU!$E$51:$E$193)*Impacts!$F$17))</f>
        <v>0</v>
      </c>
      <c r="V1785" s="10">
        <f>IF(CAS!$C$7="",0,(SUMIF(CAS!$B$31:$B$167,$J1785,CAS!$E$31:$E$167)*Impacts!$F$18))</f>
        <v>0</v>
      </c>
      <c r="W1785" s="10">
        <f t="shared" si="68"/>
        <v>0</v>
      </c>
      <c r="AK1785" s="10" t="str">
        <f t="array" ref="AK1785">IFERROR(INDEX(SelectedSpecies,SMALL(IF(SelectedSpecies=AK$1,ROW(SelectedSpecies)),ROW(1786:1786)),2),"")</f>
        <v/>
      </c>
      <c r="BE1785" s="10"/>
      <c r="BI1785" s="10"/>
    </row>
    <row r="1786" spans="1:61" ht="21" customHeight="1" x14ac:dyDescent="0.25">
      <c r="A1786" s="10"/>
      <c r="B1786" s="10"/>
      <c r="E1786" s="10"/>
      <c r="G1786" s="10"/>
      <c r="I1786" s="436" t="s">
        <v>700</v>
      </c>
      <c r="J1786" s="26" t="s">
        <v>699</v>
      </c>
      <c r="K1786" s="10">
        <v>57</v>
      </c>
      <c r="L1786" s="73">
        <f>IF(Tank1!$C$23="No control",(SUMIF(Tank1!$B$32:$B$49,$J1786,Tank1!$C$32:$C$49)*Impacts!$F$8),0)</f>
        <v>0</v>
      </c>
      <c r="M1786" s="10">
        <f>IF(Tank2!$C$23="No control",(SUMIF(Tank2!$B$32:$B$49,$J1786,Tank2!$C$32:$C$49)*Impacts!$F$9),0)</f>
        <v>0</v>
      </c>
      <c r="N1786" s="10">
        <f>IF(Tank3!$C$23="No control",(SUMIF(Tank3!$B$32:$B$49,$J1786,Tank3!$C$32:$C$49)*Impacts!$F$10),0)</f>
        <v>0</v>
      </c>
      <c r="O1786" s="10">
        <f>IF(Tank4!$C$23="No control",(SUMIF(Tank4!$B$32:$B$49,$J1786,Tank4!$C$32:$C$49)*Impacts!$F$11),0)</f>
        <v>0</v>
      </c>
      <c r="P1786" s="10">
        <f>IF(Tank5!$C$23="No control",(SUMIF(Tank5!$B$32:$B$49,$J1786,Tank5!$C$32:$C$49)*Impacts!$F$12),0)</f>
        <v>0</v>
      </c>
      <c r="Q1786" s="10">
        <f>IFERROR(IF(('Loading-drum,tote'!$C$21)="No control",SUMIF(('Loading-drum,tote'!$B$31:$B$48),$J1786,('Loading-drum,tote'!$D$31:$D$48))*Impacts!$F$13,IF(('Loading-drum,tote'!$C$21)&lt;&gt;"No control",SUMIF(('Loading-drum,tote'!$B$31:$B$48),$J1786,('Loading-drum,tote'!$E$31:$E$48))*Impacts!$F$13,0)),0)</f>
        <v>0</v>
      </c>
      <c r="R1786" s="10">
        <f>IFERROR(IF(('Loading-truck'!$C$21)="No control",SUMIF(('Loading-truck'!$B$31:$B$48),$J1786,('Loading-truck'!$D$31:$D$48))*Impacts!$F$14,IF(('Loading-truck'!$C$21)&lt;&gt;"No control",SUMIF(('Loading-truck'!$B$31:$B$48),$J1786,('Loading-truck'!$E$31:$E$48))*Impacts!$F$14,0)),0)</f>
        <v>0</v>
      </c>
      <c r="S1786" s="10">
        <f>IFERROR(IF(('Loading-rail'!$C$21)="No control",SUMIF(('Loading-rail'!$B$31:$B$48),$J1786,('Loading-rail'!$D$31:$D$48))*Impacts!$F$15,IF(('Loading-rail'!$C$21)&lt;&gt;"No control",SUMIF(('Loading-rail'!$B$31:$B$48),$J1786,('Loading-rail'!$E$31:$E$48))*Impacts!$F$15,0)),0)</f>
        <v>0</v>
      </c>
      <c r="T1786" s="10">
        <f>IF(Flare!$C$7="",0,(SUMIF(Flare!$B$46:$B$185,$J1786,Flare!$E$46:$E$185)*Impacts!$F$16))</f>
        <v>0</v>
      </c>
      <c r="U1786" s="10">
        <f>IF(VCU!$C$9="",0,(SUMIF(VCU!$B$51:$B$193,$J1786,VCU!$E$51:$E$193)*Impacts!$F$17))</f>
        <v>0</v>
      </c>
      <c r="V1786" s="10">
        <f>IF(CAS!$C$7="",0,(SUMIF(CAS!$B$31:$B$167,$J1786,CAS!$E$31:$E$167)*Impacts!$F$18))</f>
        <v>0</v>
      </c>
      <c r="W1786" s="10">
        <f t="shared" si="68"/>
        <v>0</v>
      </c>
      <c r="AK1786" s="10" t="str">
        <f t="array" ref="AK1786">IFERROR(INDEX(SelectedSpecies,SMALL(IF(SelectedSpecies=AK$1,ROW(SelectedSpecies)),ROW(1787:1787)),2),"")</f>
        <v/>
      </c>
      <c r="BE1786" s="10"/>
      <c r="BI1786" s="10"/>
    </row>
    <row r="1787" spans="1:61" ht="21" customHeight="1" x14ac:dyDescent="0.25">
      <c r="A1787" s="10"/>
      <c r="B1787" s="10"/>
      <c r="E1787" s="10"/>
      <c r="G1787" s="10"/>
      <c r="I1787" s="436" t="s">
        <v>443</v>
      </c>
      <c r="J1787" s="26" t="s">
        <v>442</v>
      </c>
      <c r="K1787" s="10">
        <v>164</v>
      </c>
      <c r="L1787" s="73">
        <f>IF(Tank1!$C$23="No control",(SUMIF(Tank1!$B$32:$B$49,$J1787,Tank1!$C$32:$C$49)*Impacts!$F$8),0)</f>
        <v>0</v>
      </c>
      <c r="M1787" s="10">
        <f>IF(Tank2!$C$23="No control",(SUMIF(Tank2!$B$32:$B$49,$J1787,Tank2!$C$32:$C$49)*Impacts!$F$9),0)</f>
        <v>0</v>
      </c>
      <c r="N1787" s="10">
        <f>IF(Tank3!$C$23="No control",(SUMIF(Tank3!$B$32:$B$49,$J1787,Tank3!$C$32:$C$49)*Impacts!$F$10),0)</f>
        <v>0</v>
      </c>
      <c r="O1787" s="10">
        <f>IF(Tank4!$C$23="No control",(SUMIF(Tank4!$B$32:$B$49,$J1787,Tank4!$C$32:$C$49)*Impacts!$F$11),0)</f>
        <v>0</v>
      </c>
      <c r="P1787" s="10">
        <f>IF(Tank5!$C$23="No control",(SUMIF(Tank5!$B$32:$B$49,$J1787,Tank5!$C$32:$C$49)*Impacts!$F$12),0)</f>
        <v>0</v>
      </c>
      <c r="Q1787" s="10">
        <f>IFERROR(IF(('Loading-drum,tote'!$C$21)="No control",SUMIF(('Loading-drum,tote'!$B$31:$B$48),$J1787,('Loading-drum,tote'!$D$31:$D$48))*Impacts!$F$13,IF(('Loading-drum,tote'!$C$21)&lt;&gt;"No control",SUMIF(('Loading-drum,tote'!$B$31:$B$48),$J1787,('Loading-drum,tote'!$E$31:$E$48))*Impacts!$F$13,0)),0)</f>
        <v>0</v>
      </c>
      <c r="R1787" s="10">
        <f>IFERROR(IF(('Loading-truck'!$C$21)="No control",SUMIF(('Loading-truck'!$B$31:$B$48),$J1787,('Loading-truck'!$D$31:$D$48))*Impacts!$F$14,IF(('Loading-truck'!$C$21)&lt;&gt;"No control",SUMIF(('Loading-truck'!$B$31:$B$48),$J1787,('Loading-truck'!$E$31:$E$48))*Impacts!$F$14,0)),0)</f>
        <v>0</v>
      </c>
      <c r="S1787" s="10">
        <f>IFERROR(IF(('Loading-rail'!$C$21)="No control",SUMIF(('Loading-rail'!$B$31:$B$48),$J1787,('Loading-rail'!$D$31:$D$48))*Impacts!$F$15,IF(('Loading-rail'!$C$21)&lt;&gt;"No control",SUMIF(('Loading-rail'!$B$31:$B$48),$J1787,('Loading-rail'!$E$31:$E$48))*Impacts!$F$15,0)),0)</f>
        <v>0</v>
      </c>
      <c r="T1787" s="10">
        <f>IF(Flare!$C$7="",0,(SUMIF(Flare!$B$46:$B$185,$J1787,Flare!$E$46:$E$185)*Impacts!$F$16))</f>
        <v>0</v>
      </c>
      <c r="U1787" s="10">
        <f>IF(VCU!$C$9="",0,(SUMIF(VCU!$B$51:$B$193,$J1787,VCU!$E$51:$E$193)*Impacts!$F$17))</f>
        <v>0</v>
      </c>
      <c r="V1787" s="10">
        <f>IF(CAS!$C$7="",0,(SUMIF(CAS!$B$31:$B$167,$J1787,CAS!$E$31:$E$167)*Impacts!$F$18))</f>
        <v>0</v>
      </c>
      <c r="W1787" s="10">
        <f t="shared" si="68"/>
        <v>0</v>
      </c>
      <c r="AK1787" s="10" t="str">
        <f t="array" ref="AK1787">IFERROR(INDEX(SelectedSpecies,SMALL(IF(SelectedSpecies=AK$1,ROW(SelectedSpecies)),ROW(1788:1788)),2),"")</f>
        <v/>
      </c>
      <c r="BE1787" s="10"/>
      <c r="BI1787" s="10"/>
    </row>
    <row r="1788" spans="1:61" ht="21" customHeight="1" x14ac:dyDescent="0.25">
      <c r="A1788" s="10"/>
      <c r="B1788" s="10"/>
      <c r="E1788" s="10"/>
      <c r="G1788" s="10"/>
      <c r="I1788" s="436" t="s">
        <v>5375</v>
      </c>
      <c r="J1788" s="26" t="s">
        <v>5374</v>
      </c>
      <c r="K1788" s="10">
        <v>1.5</v>
      </c>
      <c r="L1788" s="73">
        <f>IF(Tank1!$C$23="No control",(SUMIF(Tank1!$B$32:$B$49,$J1788,Tank1!$C$32:$C$49)*Impacts!$F$8),0)</f>
        <v>0</v>
      </c>
      <c r="M1788" s="10">
        <f>IF(Tank2!$C$23="No control",(SUMIF(Tank2!$B$32:$B$49,$J1788,Tank2!$C$32:$C$49)*Impacts!$F$9),0)</f>
        <v>0</v>
      </c>
      <c r="N1788" s="10">
        <f>IF(Tank3!$C$23="No control",(SUMIF(Tank3!$B$32:$B$49,$J1788,Tank3!$C$32:$C$49)*Impacts!$F$10),0)</f>
        <v>0</v>
      </c>
      <c r="O1788" s="10">
        <f>IF(Tank4!$C$23="No control",(SUMIF(Tank4!$B$32:$B$49,$J1788,Tank4!$C$32:$C$49)*Impacts!$F$11),0)</f>
        <v>0</v>
      </c>
      <c r="P1788" s="10">
        <f>IF(Tank5!$C$23="No control",(SUMIF(Tank5!$B$32:$B$49,$J1788,Tank5!$C$32:$C$49)*Impacts!$F$12),0)</f>
        <v>0</v>
      </c>
      <c r="Q1788" s="10">
        <f>IFERROR(IF(('Loading-drum,tote'!$C$21)="No control",SUMIF(('Loading-drum,tote'!$B$31:$B$48),$J1788,('Loading-drum,tote'!$D$31:$D$48))*Impacts!$F$13,IF(('Loading-drum,tote'!$C$21)&lt;&gt;"No control",SUMIF(('Loading-drum,tote'!$B$31:$B$48),$J1788,('Loading-drum,tote'!$E$31:$E$48))*Impacts!$F$13,0)),0)</f>
        <v>0</v>
      </c>
      <c r="R1788" s="10">
        <f>IFERROR(IF(('Loading-truck'!$C$21)="No control",SUMIF(('Loading-truck'!$B$31:$B$48),$J1788,('Loading-truck'!$D$31:$D$48))*Impacts!$F$14,IF(('Loading-truck'!$C$21)&lt;&gt;"No control",SUMIF(('Loading-truck'!$B$31:$B$48),$J1788,('Loading-truck'!$E$31:$E$48))*Impacts!$F$14,0)),0)</f>
        <v>0</v>
      </c>
      <c r="S1788" s="10">
        <f>IFERROR(IF(('Loading-rail'!$C$21)="No control",SUMIF(('Loading-rail'!$B$31:$B$48),$J1788,('Loading-rail'!$D$31:$D$48))*Impacts!$F$15,IF(('Loading-rail'!$C$21)&lt;&gt;"No control",SUMIF(('Loading-rail'!$B$31:$B$48),$J1788,('Loading-rail'!$E$31:$E$48))*Impacts!$F$15,0)),0)</f>
        <v>0</v>
      </c>
      <c r="T1788" s="10">
        <f>IF(Flare!$C$7="",0,(SUMIF(Flare!$B$46:$B$185,$J1788,Flare!$E$46:$E$185)*Impacts!$F$16))</f>
        <v>0</v>
      </c>
      <c r="U1788" s="10">
        <f>IF(VCU!$C$9="",0,(SUMIF(VCU!$B$51:$B$193,$J1788,VCU!$E$51:$E$193)*Impacts!$F$17))</f>
        <v>0</v>
      </c>
      <c r="V1788" s="10">
        <f>IF(CAS!$C$7="",0,(SUMIF(CAS!$B$31:$B$167,$J1788,CAS!$E$31:$E$167)*Impacts!$F$18))</f>
        <v>0</v>
      </c>
      <c r="W1788" s="10">
        <f t="shared" si="68"/>
        <v>0</v>
      </c>
      <c r="AK1788" s="10" t="str">
        <f t="array" ref="AK1788">IFERROR(INDEX(SelectedSpecies,SMALL(IF(SelectedSpecies=AK$1,ROW(SelectedSpecies)),ROW(1789:1789)),2),"")</f>
        <v/>
      </c>
      <c r="BE1788" s="10"/>
      <c r="BI1788" s="10"/>
    </row>
    <row r="1789" spans="1:61" ht="21" customHeight="1" x14ac:dyDescent="0.25">
      <c r="A1789" s="10"/>
      <c r="B1789" s="10"/>
      <c r="E1789" s="10"/>
      <c r="G1789" s="10"/>
      <c r="I1789" s="436" t="s">
        <v>1410</v>
      </c>
      <c r="J1789" s="26" t="s">
        <v>1409</v>
      </c>
      <c r="K1789" s="10">
        <v>31</v>
      </c>
      <c r="L1789" s="73">
        <f>IF(Tank1!$C$23="No control",(SUMIF(Tank1!$B$32:$B$49,$J1789,Tank1!$C$32:$C$49)*Impacts!$F$8),0)</f>
        <v>0</v>
      </c>
      <c r="M1789" s="10">
        <f>IF(Tank2!$C$23="No control",(SUMIF(Tank2!$B$32:$B$49,$J1789,Tank2!$C$32:$C$49)*Impacts!$F$9),0)</f>
        <v>0</v>
      </c>
      <c r="N1789" s="10">
        <f>IF(Tank3!$C$23="No control",(SUMIF(Tank3!$B$32:$B$49,$J1789,Tank3!$C$32:$C$49)*Impacts!$F$10),0)</f>
        <v>0</v>
      </c>
      <c r="O1789" s="10">
        <f>IF(Tank4!$C$23="No control",(SUMIF(Tank4!$B$32:$B$49,$J1789,Tank4!$C$32:$C$49)*Impacts!$F$11),0)</f>
        <v>0</v>
      </c>
      <c r="P1789" s="10">
        <f>IF(Tank5!$C$23="No control",(SUMIF(Tank5!$B$32:$B$49,$J1789,Tank5!$C$32:$C$49)*Impacts!$F$12),0)</f>
        <v>0</v>
      </c>
      <c r="Q1789" s="10">
        <f>IFERROR(IF(('Loading-drum,tote'!$C$21)="No control",SUMIF(('Loading-drum,tote'!$B$31:$B$48),$J1789,('Loading-drum,tote'!$D$31:$D$48))*Impacts!$F$13,IF(('Loading-drum,tote'!$C$21)&lt;&gt;"No control",SUMIF(('Loading-drum,tote'!$B$31:$B$48),$J1789,('Loading-drum,tote'!$E$31:$E$48))*Impacts!$F$13,0)),0)</f>
        <v>0</v>
      </c>
      <c r="R1789" s="10">
        <f>IFERROR(IF(('Loading-truck'!$C$21)="No control",SUMIF(('Loading-truck'!$B$31:$B$48),$J1789,('Loading-truck'!$D$31:$D$48))*Impacts!$F$14,IF(('Loading-truck'!$C$21)&lt;&gt;"No control",SUMIF(('Loading-truck'!$B$31:$B$48),$J1789,('Loading-truck'!$E$31:$E$48))*Impacts!$F$14,0)),0)</f>
        <v>0</v>
      </c>
      <c r="S1789" s="10">
        <f>IFERROR(IF(('Loading-rail'!$C$21)="No control",SUMIF(('Loading-rail'!$B$31:$B$48),$J1789,('Loading-rail'!$D$31:$D$48))*Impacts!$F$15,IF(('Loading-rail'!$C$21)&lt;&gt;"No control",SUMIF(('Loading-rail'!$B$31:$B$48),$J1789,('Loading-rail'!$E$31:$E$48))*Impacts!$F$15,0)),0)</f>
        <v>0</v>
      </c>
      <c r="T1789" s="10">
        <f>IF(Flare!$C$7="",0,(SUMIF(Flare!$B$46:$B$185,$J1789,Flare!$E$46:$E$185)*Impacts!$F$16))</f>
        <v>0</v>
      </c>
      <c r="U1789" s="10">
        <f>IF(VCU!$C$9="",0,(SUMIF(VCU!$B$51:$B$193,$J1789,VCU!$E$51:$E$193)*Impacts!$F$17))</f>
        <v>0</v>
      </c>
      <c r="V1789" s="10">
        <f>IF(CAS!$C$7="",0,(SUMIF(CAS!$B$31:$B$167,$J1789,CAS!$E$31:$E$167)*Impacts!$F$18))</f>
        <v>0</v>
      </c>
      <c r="W1789" s="10">
        <f t="shared" si="68"/>
        <v>0</v>
      </c>
      <c r="AK1789" s="10" t="str">
        <f t="array" ref="AK1789">IFERROR(INDEX(SelectedSpecies,SMALL(IF(SelectedSpecies=AK$1,ROW(SelectedSpecies)),ROW(1790:1790)),2),"")</f>
        <v/>
      </c>
      <c r="BE1789" s="10"/>
      <c r="BI1789" s="10"/>
    </row>
    <row r="1790" spans="1:61" ht="21" customHeight="1" x14ac:dyDescent="0.25">
      <c r="A1790" s="10"/>
      <c r="B1790" s="10"/>
      <c r="E1790" s="10"/>
      <c r="G1790" s="10"/>
      <c r="I1790" s="436" t="s">
        <v>5906</v>
      </c>
      <c r="J1790" s="26" t="s">
        <v>5905</v>
      </c>
      <c r="K1790" s="10">
        <v>1</v>
      </c>
      <c r="L1790" s="73">
        <f>IF(Tank1!$C$23="No control",(SUMIF(Tank1!$B$32:$B$49,$J1790,Tank1!$C$32:$C$49)*Impacts!$F$8),0)</f>
        <v>0</v>
      </c>
      <c r="M1790" s="10">
        <f>IF(Tank2!$C$23="No control",(SUMIF(Tank2!$B$32:$B$49,$J1790,Tank2!$C$32:$C$49)*Impacts!$F$9),0)</f>
        <v>0</v>
      </c>
      <c r="N1790" s="10">
        <f>IF(Tank3!$C$23="No control",(SUMIF(Tank3!$B$32:$B$49,$J1790,Tank3!$C$32:$C$49)*Impacts!$F$10),0)</f>
        <v>0</v>
      </c>
      <c r="O1790" s="10">
        <f>IF(Tank4!$C$23="No control",(SUMIF(Tank4!$B$32:$B$49,$J1790,Tank4!$C$32:$C$49)*Impacts!$F$11),0)</f>
        <v>0</v>
      </c>
      <c r="P1790" s="10">
        <f>IF(Tank5!$C$23="No control",(SUMIF(Tank5!$B$32:$B$49,$J1790,Tank5!$C$32:$C$49)*Impacts!$F$12),0)</f>
        <v>0</v>
      </c>
      <c r="Q1790" s="10">
        <f>IFERROR(IF(('Loading-drum,tote'!$C$21)="No control",SUMIF(('Loading-drum,tote'!$B$31:$B$48),$J1790,('Loading-drum,tote'!$D$31:$D$48))*Impacts!$F$13,IF(('Loading-drum,tote'!$C$21)&lt;&gt;"No control",SUMIF(('Loading-drum,tote'!$B$31:$B$48),$J1790,('Loading-drum,tote'!$E$31:$E$48))*Impacts!$F$13,0)),0)</f>
        <v>0</v>
      </c>
      <c r="R1790" s="10">
        <f>IFERROR(IF(('Loading-truck'!$C$21)="No control",SUMIF(('Loading-truck'!$B$31:$B$48),$J1790,('Loading-truck'!$D$31:$D$48))*Impacts!$F$14,IF(('Loading-truck'!$C$21)&lt;&gt;"No control",SUMIF(('Loading-truck'!$B$31:$B$48),$J1790,('Loading-truck'!$E$31:$E$48))*Impacts!$F$14,0)),0)</f>
        <v>0</v>
      </c>
      <c r="S1790" s="10">
        <f>IFERROR(IF(('Loading-rail'!$C$21)="No control",SUMIF(('Loading-rail'!$B$31:$B$48),$J1790,('Loading-rail'!$D$31:$D$48))*Impacts!$F$15,IF(('Loading-rail'!$C$21)&lt;&gt;"No control",SUMIF(('Loading-rail'!$B$31:$B$48),$J1790,('Loading-rail'!$E$31:$E$48))*Impacts!$F$15,0)),0)</f>
        <v>0</v>
      </c>
      <c r="T1790" s="10">
        <f>IF(Flare!$C$7="",0,(SUMIF(Flare!$B$46:$B$185,$J1790,Flare!$E$46:$E$185)*Impacts!$F$16))</f>
        <v>0</v>
      </c>
      <c r="U1790" s="10">
        <f>IF(VCU!$C$9="",0,(SUMIF(VCU!$B$51:$B$193,$J1790,VCU!$E$51:$E$193)*Impacts!$F$17))</f>
        <v>0</v>
      </c>
      <c r="V1790" s="10">
        <f>IF(CAS!$C$7="",0,(SUMIF(CAS!$B$31:$B$167,$J1790,CAS!$E$31:$E$167)*Impacts!$F$18))</f>
        <v>0</v>
      </c>
      <c r="W1790" s="10">
        <f t="shared" si="68"/>
        <v>0</v>
      </c>
      <c r="AK1790" s="10" t="str">
        <f t="array" ref="AK1790">IFERROR(INDEX(SelectedSpecies,SMALL(IF(SelectedSpecies=AK$1,ROW(SelectedSpecies)),ROW(1791:1791)),2),"")</f>
        <v/>
      </c>
      <c r="BE1790" s="10"/>
      <c r="BI1790" s="10"/>
    </row>
    <row r="1791" spans="1:61" ht="21" customHeight="1" x14ac:dyDescent="0.25">
      <c r="A1791" s="10"/>
      <c r="B1791" s="10"/>
      <c r="E1791" s="10"/>
      <c r="G1791" s="10"/>
      <c r="I1791" s="436" t="s">
        <v>6836</v>
      </c>
      <c r="J1791" s="26" t="s">
        <v>6835</v>
      </c>
      <c r="K1791" s="10">
        <v>0.5</v>
      </c>
      <c r="L1791" s="73">
        <f>IF(Tank1!$C$23="No control",(SUMIF(Tank1!$B$32:$B$49,$J1791,Tank1!$C$32:$C$49)*Impacts!$F$8),0)</f>
        <v>0</v>
      </c>
      <c r="M1791" s="10">
        <f>IF(Tank2!$C$23="No control",(SUMIF(Tank2!$B$32:$B$49,$J1791,Tank2!$C$32:$C$49)*Impacts!$F$9),0)</f>
        <v>0</v>
      </c>
      <c r="N1791" s="10">
        <f>IF(Tank3!$C$23="No control",(SUMIF(Tank3!$B$32:$B$49,$J1791,Tank3!$C$32:$C$49)*Impacts!$F$10),0)</f>
        <v>0</v>
      </c>
      <c r="O1791" s="10">
        <f>IF(Tank4!$C$23="No control",(SUMIF(Tank4!$B$32:$B$49,$J1791,Tank4!$C$32:$C$49)*Impacts!$F$11),0)</f>
        <v>0</v>
      </c>
      <c r="P1791" s="10">
        <f>IF(Tank5!$C$23="No control",(SUMIF(Tank5!$B$32:$B$49,$J1791,Tank5!$C$32:$C$49)*Impacts!$F$12),0)</f>
        <v>0</v>
      </c>
      <c r="Q1791" s="10">
        <f>IFERROR(IF(('Loading-drum,tote'!$C$21)="No control",SUMIF(('Loading-drum,tote'!$B$31:$B$48),$J1791,('Loading-drum,tote'!$D$31:$D$48))*Impacts!$F$13,IF(('Loading-drum,tote'!$C$21)&lt;&gt;"No control",SUMIF(('Loading-drum,tote'!$B$31:$B$48),$J1791,('Loading-drum,tote'!$E$31:$E$48))*Impacts!$F$13,0)),0)</f>
        <v>0</v>
      </c>
      <c r="R1791" s="10">
        <f>IFERROR(IF(('Loading-truck'!$C$21)="No control",SUMIF(('Loading-truck'!$B$31:$B$48),$J1791,('Loading-truck'!$D$31:$D$48))*Impacts!$F$14,IF(('Loading-truck'!$C$21)&lt;&gt;"No control",SUMIF(('Loading-truck'!$B$31:$B$48),$J1791,('Loading-truck'!$E$31:$E$48))*Impacts!$F$14,0)),0)</f>
        <v>0</v>
      </c>
      <c r="S1791" s="10">
        <f>IFERROR(IF(('Loading-rail'!$C$21)="No control",SUMIF(('Loading-rail'!$B$31:$B$48),$J1791,('Loading-rail'!$D$31:$D$48))*Impacts!$F$15,IF(('Loading-rail'!$C$21)&lt;&gt;"No control",SUMIF(('Loading-rail'!$B$31:$B$48),$J1791,('Loading-rail'!$E$31:$E$48))*Impacts!$F$15,0)),0)</f>
        <v>0</v>
      </c>
      <c r="T1791" s="10">
        <f>IF(Flare!$C$7="",0,(SUMIF(Flare!$B$46:$B$185,$J1791,Flare!$E$46:$E$185)*Impacts!$F$16))</f>
        <v>0</v>
      </c>
      <c r="U1791" s="10">
        <f>IF(VCU!$C$9="",0,(SUMIF(VCU!$B$51:$B$193,$J1791,VCU!$E$51:$E$193)*Impacts!$F$17))</f>
        <v>0</v>
      </c>
      <c r="V1791" s="10">
        <f>IF(CAS!$C$7="",0,(SUMIF(CAS!$B$31:$B$167,$J1791,CAS!$E$31:$E$167)*Impacts!$F$18))</f>
        <v>0</v>
      </c>
      <c r="W1791" s="10">
        <f t="shared" si="68"/>
        <v>0</v>
      </c>
      <c r="AK1791" s="10" t="str">
        <f t="array" ref="AK1791">IFERROR(INDEX(SelectedSpecies,SMALL(IF(SelectedSpecies=AK$1,ROW(SelectedSpecies)),ROW(1792:1792)),2),"")</f>
        <v/>
      </c>
      <c r="BE1791" s="10"/>
      <c r="BI1791" s="10"/>
    </row>
    <row r="1792" spans="1:61" ht="21" customHeight="1" x14ac:dyDescent="0.25">
      <c r="A1792" s="10"/>
      <c r="B1792" s="10"/>
      <c r="E1792" s="10"/>
      <c r="G1792" s="10"/>
      <c r="I1792" s="436" t="s">
        <v>6838</v>
      </c>
      <c r="J1792" s="26" t="s">
        <v>6837</v>
      </c>
      <c r="K1792" s="10">
        <v>0.5</v>
      </c>
      <c r="L1792" s="73">
        <f>IF(Tank1!$C$23="No control",(SUMIF(Tank1!$B$32:$B$49,$J1792,Tank1!$C$32:$C$49)*Impacts!$F$8),0)</f>
        <v>0</v>
      </c>
      <c r="M1792" s="10">
        <f>IF(Tank2!$C$23="No control",(SUMIF(Tank2!$B$32:$B$49,$J1792,Tank2!$C$32:$C$49)*Impacts!$F$9),0)</f>
        <v>0</v>
      </c>
      <c r="N1792" s="10">
        <f>IF(Tank3!$C$23="No control",(SUMIF(Tank3!$B$32:$B$49,$J1792,Tank3!$C$32:$C$49)*Impacts!$F$10),0)</f>
        <v>0</v>
      </c>
      <c r="O1792" s="10">
        <f>IF(Tank4!$C$23="No control",(SUMIF(Tank4!$B$32:$B$49,$J1792,Tank4!$C$32:$C$49)*Impacts!$F$11),0)</f>
        <v>0</v>
      </c>
      <c r="P1792" s="10">
        <f>IF(Tank5!$C$23="No control",(SUMIF(Tank5!$B$32:$B$49,$J1792,Tank5!$C$32:$C$49)*Impacts!$F$12),0)</f>
        <v>0</v>
      </c>
      <c r="Q1792" s="10">
        <f>IFERROR(IF(('Loading-drum,tote'!$C$21)="No control",SUMIF(('Loading-drum,tote'!$B$31:$B$48),$J1792,('Loading-drum,tote'!$D$31:$D$48))*Impacts!$F$13,IF(('Loading-drum,tote'!$C$21)&lt;&gt;"No control",SUMIF(('Loading-drum,tote'!$B$31:$B$48),$J1792,('Loading-drum,tote'!$E$31:$E$48))*Impacts!$F$13,0)),0)</f>
        <v>0</v>
      </c>
      <c r="R1792" s="10">
        <f>IFERROR(IF(('Loading-truck'!$C$21)="No control",SUMIF(('Loading-truck'!$B$31:$B$48),$J1792,('Loading-truck'!$D$31:$D$48))*Impacts!$F$14,IF(('Loading-truck'!$C$21)&lt;&gt;"No control",SUMIF(('Loading-truck'!$B$31:$B$48),$J1792,('Loading-truck'!$E$31:$E$48))*Impacts!$F$14,0)),0)</f>
        <v>0</v>
      </c>
      <c r="S1792" s="10">
        <f>IFERROR(IF(('Loading-rail'!$C$21)="No control",SUMIF(('Loading-rail'!$B$31:$B$48),$J1792,('Loading-rail'!$D$31:$D$48))*Impacts!$F$15,IF(('Loading-rail'!$C$21)&lt;&gt;"No control",SUMIF(('Loading-rail'!$B$31:$B$48),$J1792,('Loading-rail'!$E$31:$E$48))*Impacts!$F$15,0)),0)</f>
        <v>0</v>
      </c>
      <c r="T1792" s="10">
        <f>IF(Flare!$C$7="",0,(SUMIF(Flare!$B$46:$B$185,$J1792,Flare!$E$46:$E$185)*Impacts!$F$16))</f>
        <v>0</v>
      </c>
      <c r="U1792" s="10">
        <f>IF(VCU!$C$9="",0,(SUMIF(VCU!$B$51:$B$193,$J1792,VCU!$E$51:$E$193)*Impacts!$F$17))</f>
        <v>0</v>
      </c>
      <c r="V1792" s="10">
        <f>IF(CAS!$C$7="",0,(SUMIF(CAS!$B$31:$B$167,$J1792,CAS!$E$31:$E$167)*Impacts!$F$18))</f>
        <v>0</v>
      </c>
      <c r="W1792" s="10">
        <f t="shared" si="68"/>
        <v>0</v>
      </c>
      <c r="AK1792" s="10" t="str">
        <f t="array" ref="AK1792">IFERROR(INDEX(SelectedSpecies,SMALL(IF(SelectedSpecies=AK$1,ROW(SelectedSpecies)),ROW(1793:1793)),2),"")</f>
        <v/>
      </c>
      <c r="BE1792" s="10"/>
      <c r="BI1792" s="10"/>
    </row>
    <row r="1793" spans="1:61" ht="21" customHeight="1" x14ac:dyDescent="0.25">
      <c r="A1793" s="10"/>
      <c r="B1793" s="10"/>
      <c r="E1793" s="10"/>
      <c r="G1793" s="10"/>
      <c r="I1793" s="436" t="s">
        <v>1420</v>
      </c>
      <c r="J1793" s="26" t="s">
        <v>1419</v>
      </c>
      <c r="K1793" s="10">
        <v>30.3</v>
      </c>
      <c r="L1793" s="73">
        <f>IF(Tank1!$C$23="No control",(SUMIF(Tank1!$B$32:$B$49,$J1793,Tank1!$C$32:$C$49)*Impacts!$F$8),0)</f>
        <v>0</v>
      </c>
      <c r="M1793" s="10">
        <f>IF(Tank2!$C$23="No control",(SUMIF(Tank2!$B$32:$B$49,$J1793,Tank2!$C$32:$C$49)*Impacts!$F$9),0)</f>
        <v>0</v>
      </c>
      <c r="N1793" s="10">
        <f>IF(Tank3!$C$23="No control",(SUMIF(Tank3!$B$32:$B$49,$J1793,Tank3!$C$32:$C$49)*Impacts!$F$10),0)</f>
        <v>0</v>
      </c>
      <c r="O1793" s="10">
        <f>IF(Tank4!$C$23="No control",(SUMIF(Tank4!$B$32:$B$49,$J1793,Tank4!$C$32:$C$49)*Impacts!$F$11),0)</f>
        <v>0</v>
      </c>
      <c r="P1793" s="10">
        <f>IF(Tank5!$C$23="No control",(SUMIF(Tank5!$B$32:$B$49,$J1793,Tank5!$C$32:$C$49)*Impacts!$F$12),0)</f>
        <v>0</v>
      </c>
      <c r="Q1793" s="10">
        <f>IFERROR(IF(('Loading-drum,tote'!$C$21)="No control",SUMIF(('Loading-drum,tote'!$B$31:$B$48),$J1793,('Loading-drum,tote'!$D$31:$D$48))*Impacts!$F$13,IF(('Loading-drum,tote'!$C$21)&lt;&gt;"No control",SUMIF(('Loading-drum,tote'!$B$31:$B$48),$J1793,('Loading-drum,tote'!$E$31:$E$48))*Impacts!$F$13,0)),0)</f>
        <v>0</v>
      </c>
      <c r="R1793" s="10">
        <f>IFERROR(IF(('Loading-truck'!$C$21)="No control",SUMIF(('Loading-truck'!$B$31:$B$48),$J1793,('Loading-truck'!$D$31:$D$48))*Impacts!$F$14,IF(('Loading-truck'!$C$21)&lt;&gt;"No control",SUMIF(('Loading-truck'!$B$31:$B$48),$J1793,('Loading-truck'!$E$31:$E$48))*Impacts!$F$14,0)),0)</f>
        <v>0</v>
      </c>
      <c r="S1793" s="10">
        <f>IFERROR(IF(('Loading-rail'!$C$21)="No control",SUMIF(('Loading-rail'!$B$31:$B$48),$J1793,('Loading-rail'!$D$31:$D$48))*Impacts!$F$15,IF(('Loading-rail'!$C$21)&lt;&gt;"No control",SUMIF(('Loading-rail'!$B$31:$B$48),$J1793,('Loading-rail'!$E$31:$E$48))*Impacts!$F$15,0)),0)</f>
        <v>0</v>
      </c>
      <c r="T1793" s="10">
        <f>IF(Flare!$C$7="",0,(SUMIF(Flare!$B$46:$B$185,$J1793,Flare!$E$46:$E$185)*Impacts!$F$16))</f>
        <v>0</v>
      </c>
      <c r="U1793" s="10">
        <f>IF(VCU!$C$9="",0,(SUMIF(VCU!$B$51:$B$193,$J1793,VCU!$E$51:$E$193)*Impacts!$F$17))</f>
        <v>0</v>
      </c>
      <c r="V1793" s="10">
        <f>IF(CAS!$C$7="",0,(SUMIF(CAS!$B$31:$B$167,$J1793,CAS!$E$31:$E$167)*Impacts!$F$18))</f>
        <v>0</v>
      </c>
      <c r="W1793" s="10">
        <f t="shared" si="68"/>
        <v>0</v>
      </c>
      <c r="AK1793" s="10" t="str">
        <f t="array" ref="AK1793">IFERROR(INDEX(SelectedSpecies,SMALL(IF(SelectedSpecies=AK$1,ROW(SelectedSpecies)),ROW(1794:1794)),2),"")</f>
        <v/>
      </c>
      <c r="BE1793" s="10"/>
      <c r="BI1793" s="10"/>
    </row>
    <row r="1794" spans="1:61" ht="21" customHeight="1" x14ac:dyDescent="0.25">
      <c r="A1794" s="10"/>
      <c r="B1794" s="10"/>
      <c r="E1794" s="10"/>
      <c r="G1794" s="10"/>
      <c r="I1794" s="436" t="s">
        <v>7496</v>
      </c>
      <c r="J1794" s="26" t="s">
        <v>7495</v>
      </c>
      <c r="K1794" s="10">
        <v>0.2</v>
      </c>
      <c r="L1794" s="73">
        <f>IF(Tank1!$C$23="No control",(SUMIF(Tank1!$B$32:$B$49,$J1794,Tank1!$C$32:$C$49)*Impacts!$F$8),0)</f>
        <v>0</v>
      </c>
      <c r="M1794" s="10">
        <f>IF(Tank2!$C$23="No control",(SUMIF(Tank2!$B$32:$B$49,$J1794,Tank2!$C$32:$C$49)*Impacts!$F$9),0)</f>
        <v>0</v>
      </c>
      <c r="N1794" s="10">
        <f>IF(Tank3!$C$23="No control",(SUMIF(Tank3!$B$32:$B$49,$J1794,Tank3!$C$32:$C$49)*Impacts!$F$10),0)</f>
        <v>0</v>
      </c>
      <c r="O1794" s="10">
        <f>IF(Tank4!$C$23="No control",(SUMIF(Tank4!$B$32:$B$49,$J1794,Tank4!$C$32:$C$49)*Impacts!$F$11),0)</f>
        <v>0</v>
      </c>
      <c r="P1794" s="10">
        <f>IF(Tank5!$C$23="No control",(SUMIF(Tank5!$B$32:$B$49,$J1794,Tank5!$C$32:$C$49)*Impacts!$F$12),0)</f>
        <v>0</v>
      </c>
      <c r="Q1794" s="10">
        <f>IFERROR(IF(('Loading-drum,tote'!$C$21)="No control",SUMIF(('Loading-drum,tote'!$B$31:$B$48),$J1794,('Loading-drum,tote'!$D$31:$D$48))*Impacts!$F$13,IF(('Loading-drum,tote'!$C$21)&lt;&gt;"No control",SUMIF(('Loading-drum,tote'!$B$31:$B$48),$J1794,('Loading-drum,tote'!$E$31:$E$48))*Impacts!$F$13,0)),0)</f>
        <v>0</v>
      </c>
      <c r="R1794" s="10">
        <f>IFERROR(IF(('Loading-truck'!$C$21)="No control",SUMIF(('Loading-truck'!$B$31:$B$48),$J1794,('Loading-truck'!$D$31:$D$48))*Impacts!$F$14,IF(('Loading-truck'!$C$21)&lt;&gt;"No control",SUMIF(('Loading-truck'!$B$31:$B$48),$J1794,('Loading-truck'!$E$31:$E$48))*Impacts!$F$14,0)),0)</f>
        <v>0</v>
      </c>
      <c r="S1794" s="10">
        <f>IFERROR(IF(('Loading-rail'!$C$21)="No control",SUMIF(('Loading-rail'!$B$31:$B$48),$J1794,('Loading-rail'!$D$31:$D$48))*Impacts!$F$15,IF(('Loading-rail'!$C$21)&lt;&gt;"No control",SUMIF(('Loading-rail'!$B$31:$B$48),$J1794,('Loading-rail'!$E$31:$E$48))*Impacts!$F$15,0)),0)</f>
        <v>0</v>
      </c>
      <c r="T1794" s="10">
        <f>IF(Flare!$C$7="",0,(SUMIF(Flare!$B$46:$B$185,$J1794,Flare!$E$46:$E$185)*Impacts!$F$16))</f>
        <v>0</v>
      </c>
      <c r="U1794" s="10">
        <f>IF(VCU!$C$9="",0,(SUMIF(VCU!$B$51:$B$193,$J1794,VCU!$E$51:$E$193)*Impacts!$F$17))</f>
        <v>0</v>
      </c>
      <c r="V1794" s="10">
        <f>IF(CAS!$C$7="",0,(SUMIF(CAS!$B$31:$B$167,$J1794,CAS!$E$31:$E$167)*Impacts!$F$18))</f>
        <v>0</v>
      </c>
      <c r="W1794" s="10">
        <f t="shared" si="68"/>
        <v>0</v>
      </c>
      <c r="AK1794" s="10" t="str">
        <f t="array" ref="AK1794">IFERROR(INDEX(SelectedSpecies,SMALL(IF(SelectedSpecies=AK$1,ROW(SelectedSpecies)),ROW(1795:1795)),2),"")</f>
        <v/>
      </c>
      <c r="BE1794" s="10"/>
      <c r="BI1794" s="10"/>
    </row>
    <row r="1795" spans="1:61" ht="21" customHeight="1" x14ac:dyDescent="0.25">
      <c r="A1795" s="10"/>
      <c r="B1795" s="10"/>
      <c r="E1795" s="10"/>
      <c r="G1795" s="10"/>
      <c r="I1795" s="436" t="s">
        <v>4965</v>
      </c>
      <c r="J1795" s="26" t="s">
        <v>4964</v>
      </c>
      <c r="K1795" s="10">
        <v>2.5</v>
      </c>
      <c r="L1795" s="73">
        <f>IF(Tank1!$C$23="No control",(SUMIF(Tank1!$B$32:$B$49,$J1795,Tank1!$C$32:$C$49)*Impacts!$F$8),0)</f>
        <v>0</v>
      </c>
      <c r="M1795" s="10">
        <f>IF(Tank2!$C$23="No control",(SUMIF(Tank2!$B$32:$B$49,$J1795,Tank2!$C$32:$C$49)*Impacts!$F$9),0)</f>
        <v>0</v>
      </c>
      <c r="N1795" s="10">
        <f>IF(Tank3!$C$23="No control",(SUMIF(Tank3!$B$32:$B$49,$J1795,Tank3!$C$32:$C$49)*Impacts!$F$10),0)</f>
        <v>0</v>
      </c>
      <c r="O1795" s="10">
        <f>IF(Tank4!$C$23="No control",(SUMIF(Tank4!$B$32:$B$49,$J1795,Tank4!$C$32:$C$49)*Impacts!$F$11),0)</f>
        <v>0</v>
      </c>
      <c r="P1795" s="10">
        <f>IF(Tank5!$C$23="No control",(SUMIF(Tank5!$B$32:$B$49,$J1795,Tank5!$C$32:$C$49)*Impacts!$F$12),0)</f>
        <v>0</v>
      </c>
      <c r="Q1795" s="10">
        <f>IFERROR(IF(('Loading-drum,tote'!$C$21)="No control",SUMIF(('Loading-drum,tote'!$B$31:$B$48),$J1795,('Loading-drum,tote'!$D$31:$D$48))*Impacts!$F$13,IF(('Loading-drum,tote'!$C$21)&lt;&gt;"No control",SUMIF(('Loading-drum,tote'!$B$31:$B$48),$J1795,('Loading-drum,tote'!$E$31:$E$48))*Impacts!$F$13,0)),0)</f>
        <v>0</v>
      </c>
      <c r="R1795" s="10">
        <f>IFERROR(IF(('Loading-truck'!$C$21)="No control",SUMIF(('Loading-truck'!$B$31:$B$48),$J1795,('Loading-truck'!$D$31:$D$48))*Impacts!$F$14,IF(('Loading-truck'!$C$21)&lt;&gt;"No control",SUMIF(('Loading-truck'!$B$31:$B$48),$J1795,('Loading-truck'!$E$31:$E$48))*Impacts!$F$14,0)),0)</f>
        <v>0</v>
      </c>
      <c r="S1795" s="10">
        <f>IFERROR(IF(('Loading-rail'!$C$21)="No control",SUMIF(('Loading-rail'!$B$31:$B$48),$J1795,('Loading-rail'!$D$31:$D$48))*Impacts!$F$15,IF(('Loading-rail'!$C$21)&lt;&gt;"No control",SUMIF(('Loading-rail'!$B$31:$B$48),$J1795,('Loading-rail'!$E$31:$E$48))*Impacts!$F$15,0)),0)</f>
        <v>0</v>
      </c>
      <c r="T1795" s="10">
        <f>IF(Flare!$C$7="",0,(SUMIF(Flare!$B$46:$B$185,$J1795,Flare!$E$46:$E$185)*Impacts!$F$16))</f>
        <v>0</v>
      </c>
      <c r="U1795" s="10">
        <f>IF(VCU!$C$9="",0,(SUMIF(VCU!$B$51:$B$193,$J1795,VCU!$E$51:$E$193)*Impacts!$F$17))</f>
        <v>0</v>
      </c>
      <c r="V1795" s="10">
        <f>IF(CAS!$C$7="",0,(SUMIF(CAS!$B$31:$B$167,$J1795,CAS!$E$31:$E$167)*Impacts!$F$18))</f>
        <v>0</v>
      </c>
      <c r="W1795" s="10">
        <f t="shared" si="68"/>
        <v>0</v>
      </c>
      <c r="AK1795" s="10" t="str">
        <f t="array" ref="AK1795">IFERROR(INDEX(SelectedSpecies,SMALL(IF(SelectedSpecies=AK$1,ROW(SelectedSpecies)),ROW(1796:1796)),2),"")</f>
        <v/>
      </c>
      <c r="BE1795" s="10"/>
      <c r="BI1795" s="10"/>
    </row>
    <row r="1796" spans="1:61" ht="21" customHeight="1" x14ac:dyDescent="0.25">
      <c r="A1796" s="10"/>
      <c r="B1796" s="10"/>
      <c r="E1796" s="10"/>
      <c r="G1796" s="10"/>
      <c r="I1796" s="436" t="s">
        <v>4285</v>
      </c>
      <c r="J1796" s="26" t="s">
        <v>4284</v>
      </c>
      <c r="K1796" s="10">
        <v>5</v>
      </c>
      <c r="L1796" s="73">
        <f>IF(Tank1!$C$23="No control",(SUMIF(Tank1!$B$32:$B$49,$J1796,Tank1!$C$32:$C$49)*Impacts!$F$8),0)</f>
        <v>0</v>
      </c>
      <c r="M1796" s="10">
        <f>IF(Tank2!$C$23="No control",(SUMIF(Tank2!$B$32:$B$49,$J1796,Tank2!$C$32:$C$49)*Impacts!$F$9),0)</f>
        <v>0</v>
      </c>
      <c r="N1796" s="10">
        <f>IF(Tank3!$C$23="No control",(SUMIF(Tank3!$B$32:$B$49,$J1796,Tank3!$C$32:$C$49)*Impacts!$F$10),0)</f>
        <v>0</v>
      </c>
      <c r="O1796" s="10">
        <f>IF(Tank4!$C$23="No control",(SUMIF(Tank4!$B$32:$B$49,$J1796,Tank4!$C$32:$C$49)*Impacts!$F$11),0)</f>
        <v>0</v>
      </c>
      <c r="P1796" s="10">
        <f>IF(Tank5!$C$23="No control",(SUMIF(Tank5!$B$32:$B$49,$J1796,Tank5!$C$32:$C$49)*Impacts!$F$12),0)</f>
        <v>0</v>
      </c>
      <c r="Q1796" s="10">
        <f>IFERROR(IF(('Loading-drum,tote'!$C$21)="No control",SUMIF(('Loading-drum,tote'!$B$31:$B$48),$J1796,('Loading-drum,tote'!$D$31:$D$48))*Impacts!$F$13,IF(('Loading-drum,tote'!$C$21)&lt;&gt;"No control",SUMIF(('Loading-drum,tote'!$B$31:$B$48),$J1796,('Loading-drum,tote'!$E$31:$E$48))*Impacts!$F$13,0)),0)</f>
        <v>0</v>
      </c>
      <c r="R1796" s="10">
        <f>IFERROR(IF(('Loading-truck'!$C$21)="No control",SUMIF(('Loading-truck'!$B$31:$B$48),$J1796,('Loading-truck'!$D$31:$D$48))*Impacts!$F$14,IF(('Loading-truck'!$C$21)&lt;&gt;"No control",SUMIF(('Loading-truck'!$B$31:$B$48),$J1796,('Loading-truck'!$E$31:$E$48))*Impacts!$F$14,0)),0)</f>
        <v>0</v>
      </c>
      <c r="S1796" s="10">
        <f>IFERROR(IF(('Loading-rail'!$C$21)="No control",SUMIF(('Loading-rail'!$B$31:$B$48),$J1796,('Loading-rail'!$D$31:$D$48))*Impacts!$F$15,IF(('Loading-rail'!$C$21)&lt;&gt;"No control",SUMIF(('Loading-rail'!$B$31:$B$48),$J1796,('Loading-rail'!$E$31:$E$48))*Impacts!$F$15,0)),0)</f>
        <v>0</v>
      </c>
      <c r="T1796" s="10">
        <f>IF(Flare!$C$7="",0,(SUMIF(Flare!$B$46:$B$185,$J1796,Flare!$E$46:$E$185)*Impacts!$F$16))</f>
        <v>0</v>
      </c>
      <c r="U1796" s="10">
        <f>IF(VCU!$C$9="",0,(SUMIF(VCU!$B$51:$B$193,$J1796,VCU!$E$51:$E$193)*Impacts!$F$17))</f>
        <v>0</v>
      </c>
      <c r="V1796" s="10">
        <f>IF(CAS!$C$7="",0,(SUMIF(CAS!$B$31:$B$167,$J1796,CAS!$E$31:$E$167)*Impacts!$F$18))</f>
        <v>0</v>
      </c>
      <c r="W1796" s="10">
        <f t="shared" si="68"/>
        <v>0</v>
      </c>
      <c r="AK1796" s="10" t="str">
        <f t="array" ref="AK1796">IFERROR(INDEX(SelectedSpecies,SMALL(IF(SelectedSpecies=AK$1,ROW(SelectedSpecies)),ROW(1797:1797)),2),"")</f>
        <v/>
      </c>
      <c r="BE1796" s="10"/>
      <c r="BI1796" s="10"/>
    </row>
    <row r="1797" spans="1:61" ht="21" customHeight="1" x14ac:dyDescent="0.25">
      <c r="A1797" s="10"/>
      <c r="B1797" s="10"/>
      <c r="E1797" s="10"/>
      <c r="G1797" s="10"/>
      <c r="I1797" s="436" t="s">
        <v>7390</v>
      </c>
      <c r="J1797" s="26" t="s">
        <v>7389</v>
      </c>
      <c r="K1797" s="10">
        <v>0.24</v>
      </c>
      <c r="L1797" s="73">
        <f>IF(Tank1!$C$23="No control",(SUMIF(Tank1!$B$32:$B$49,$J1797,Tank1!$C$32:$C$49)*Impacts!$F$8),0)</f>
        <v>0</v>
      </c>
      <c r="M1797" s="10">
        <f>IF(Tank2!$C$23="No control",(SUMIF(Tank2!$B$32:$B$49,$J1797,Tank2!$C$32:$C$49)*Impacts!$F$9),0)</f>
        <v>0</v>
      </c>
      <c r="N1797" s="10">
        <f>IF(Tank3!$C$23="No control",(SUMIF(Tank3!$B$32:$B$49,$J1797,Tank3!$C$32:$C$49)*Impacts!$F$10),0)</f>
        <v>0</v>
      </c>
      <c r="O1797" s="10">
        <f>IF(Tank4!$C$23="No control",(SUMIF(Tank4!$B$32:$B$49,$J1797,Tank4!$C$32:$C$49)*Impacts!$F$11),0)</f>
        <v>0</v>
      </c>
      <c r="P1797" s="10">
        <f>IF(Tank5!$C$23="No control",(SUMIF(Tank5!$B$32:$B$49,$J1797,Tank5!$C$32:$C$49)*Impacts!$F$12),0)</f>
        <v>0</v>
      </c>
      <c r="Q1797" s="10">
        <f>IFERROR(IF(('Loading-drum,tote'!$C$21)="No control",SUMIF(('Loading-drum,tote'!$B$31:$B$48),$J1797,('Loading-drum,tote'!$D$31:$D$48))*Impacts!$F$13,IF(('Loading-drum,tote'!$C$21)&lt;&gt;"No control",SUMIF(('Loading-drum,tote'!$B$31:$B$48),$J1797,('Loading-drum,tote'!$E$31:$E$48))*Impacts!$F$13,0)),0)</f>
        <v>0</v>
      </c>
      <c r="R1797" s="10">
        <f>IFERROR(IF(('Loading-truck'!$C$21)="No control",SUMIF(('Loading-truck'!$B$31:$B$48),$J1797,('Loading-truck'!$D$31:$D$48))*Impacts!$F$14,IF(('Loading-truck'!$C$21)&lt;&gt;"No control",SUMIF(('Loading-truck'!$B$31:$B$48),$J1797,('Loading-truck'!$E$31:$E$48))*Impacts!$F$14,0)),0)</f>
        <v>0</v>
      </c>
      <c r="S1797" s="10">
        <f>IFERROR(IF(('Loading-rail'!$C$21)="No control",SUMIF(('Loading-rail'!$B$31:$B$48),$J1797,('Loading-rail'!$D$31:$D$48))*Impacts!$F$15,IF(('Loading-rail'!$C$21)&lt;&gt;"No control",SUMIF(('Loading-rail'!$B$31:$B$48),$J1797,('Loading-rail'!$E$31:$E$48))*Impacts!$F$15,0)),0)</f>
        <v>0</v>
      </c>
      <c r="T1797" s="10">
        <f>IF(Flare!$C$7="",0,(SUMIF(Flare!$B$46:$B$185,$J1797,Flare!$E$46:$E$185)*Impacts!$F$16))</f>
        <v>0</v>
      </c>
      <c r="U1797" s="10">
        <f>IF(VCU!$C$9="",0,(SUMIF(VCU!$B$51:$B$193,$J1797,VCU!$E$51:$E$193)*Impacts!$F$17))</f>
        <v>0</v>
      </c>
      <c r="V1797" s="10">
        <f>IF(CAS!$C$7="",0,(SUMIF(CAS!$B$31:$B$167,$J1797,CAS!$E$31:$E$167)*Impacts!$F$18))</f>
        <v>0</v>
      </c>
      <c r="W1797" s="10">
        <f t="shared" si="68"/>
        <v>0</v>
      </c>
      <c r="AK1797" s="10" t="str">
        <f t="array" ref="AK1797">IFERROR(INDEX(SelectedSpecies,SMALL(IF(SelectedSpecies=AK$1,ROW(SelectedSpecies)),ROW(1798:1798)),2),"")</f>
        <v/>
      </c>
      <c r="BE1797" s="10"/>
      <c r="BI1797" s="10"/>
    </row>
    <row r="1798" spans="1:61" ht="21" customHeight="1" x14ac:dyDescent="0.25">
      <c r="A1798" s="10"/>
      <c r="B1798" s="10"/>
      <c r="E1798" s="10"/>
      <c r="G1798" s="10"/>
      <c r="I1798" s="436" t="s">
        <v>5908</v>
      </c>
      <c r="J1798" s="26" t="s">
        <v>5907</v>
      </c>
      <c r="K1798" s="10">
        <v>1</v>
      </c>
      <c r="L1798" s="73">
        <f>IF(Tank1!$C$23="No control",(SUMIF(Tank1!$B$32:$B$49,$J1798,Tank1!$C$32:$C$49)*Impacts!$F$8),0)</f>
        <v>0</v>
      </c>
      <c r="M1798" s="10">
        <f>IF(Tank2!$C$23="No control",(SUMIF(Tank2!$B$32:$B$49,$J1798,Tank2!$C$32:$C$49)*Impacts!$F$9),0)</f>
        <v>0</v>
      </c>
      <c r="N1798" s="10">
        <f>IF(Tank3!$C$23="No control",(SUMIF(Tank3!$B$32:$B$49,$J1798,Tank3!$C$32:$C$49)*Impacts!$F$10),0)</f>
        <v>0</v>
      </c>
      <c r="O1798" s="10">
        <f>IF(Tank4!$C$23="No control",(SUMIF(Tank4!$B$32:$B$49,$J1798,Tank4!$C$32:$C$49)*Impacts!$F$11),0)</f>
        <v>0</v>
      </c>
      <c r="P1798" s="10">
        <f>IF(Tank5!$C$23="No control",(SUMIF(Tank5!$B$32:$B$49,$J1798,Tank5!$C$32:$C$49)*Impacts!$F$12),0)</f>
        <v>0</v>
      </c>
      <c r="Q1798" s="10">
        <f>IFERROR(IF(('Loading-drum,tote'!$C$21)="No control",SUMIF(('Loading-drum,tote'!$B$31:$B$48),$J1798,('Loading-drum,tote'!$D$31:$D$48))*Impacts!$F$13,IF(('Loading-drum,tote'!$C$21)&lt;&gt;"No control",SUMIF(('Loading-drum,tote'!$B$31:$B$48),$J1798,('Loading-drum,tote'!$E$31:$E$48))*Impacts!$F$13,0)),0)</f>
        <v>0</v>
      </c>
      <c r="R1798" s="10">
        <f>IFERROR(IF(('Loading-truck'!$C$21)="No control",SUMIF(('Loading-truck'!$B$31:$B$48),$J1798,('Loading-truck'!$D$31:$D$48))*Impacts!$F$14,IF(('Loading-truck'!$C$21)&lt;&gt;"No control",SUMIF(('Loading-truck'!$B$31:$B$48),$J1798,('Loading-truck'!$E$31:$E$48))*Impacts!$F$14,0)),0)</f>
        <v>0</v>
      </c>
      <c r="S1798" s="10">
        <f>IFERROR(IF(('Loading-rail'!$C$21)="No control",SUMIF(('Loading-rail'!$B$31:$B$48),$J1798,('Loading-rail'!$D$31:$D$48))*Impacts!$F$15,IF(('Loading-rail'!$C$21)&lt;&gt;"No control",SUMIF(('Loading-rail'!$B$31:$B$48),$J1798,('Loading-rail'!$E$31:$E$48))*Impacts!$F$15,0)),0)</f>
        <v>0</v>
      </c>
      <c r="T1798" s="10">
        <f>IF(Flare!$C$7="",0,(SUMIF(Flare!$B$46:$B$185,$J1798,Flare!$E$46:$E$185)*Impacts!$F$16))</f>
        <v>0</v>
      </c>
      <c r="U1798" s="10">
        <f>IF(VCU!$C$9="",0,(SUMIF(VCU!$B$51:$B$193,$J1798,VCU!$E$51:$E$193)*Impacts!$F$17))</f>
        <v>0</v>
      </c>
      <c r="V1798" s="10">
        <f>IF(CAS!$C$7="",0,(SUMIF(CAS!$B$31:$B$167,$J1798,CAS!$E$31:$E$167)*Impacts!$F$18))</f>
        <v>0</v>
      </c>
      <c r="W1798" s="10">
        <f t="shared" si="68"/>
        <v>0</v>
      </c>
      <c r="AK1798" s="10" t="str">
        <f t="array" ref="AK1798">IFERROR(INDEX(SelectedSpecies,SMALL(IF(SelectedSpecies=AK$1,ROW(SelectedSpecies)),ROW(1799:1799)),2),"")</f>
        <v/>
      </c>
      <c r="BE1798" s="10"/>
      <c r="BI1798" s="10"/>
    </row>
    <row r="1799" spans="1:61" ht="21" customHeight="1" x14ac:dyDescent="0.25">
      <c r="A1799" s="10"/>
      <c r="B1799" s="10"/>
      <c r="E1799" s="10"/>
      <c r="G1799" s="10"/>
      <c r="I1799" s="436" t="s">
        <v>908</v>
      </c>
      <c r="J1799" s="26" t="s">
        <v>907</v>
      </c>
      <c r="K1799" s="10">
        <v>45</v>
      </c>
      <c r="L1799" s="73">
        <f>IF(Tank1!$C$23="No control",(SUMIF(Tank1!$B$32:$B$49,$J1799,Tank1!$C$32:$C$49)*Impacts!$F$8),0)</f>
        <v>0</v>
      </c>
      <c r="M1799" s="10">
        <f>IF(Tank2!$C$23="No control",(SUMIF(Tank2!$B$32:$B$49,$J1799,Tank2!$C$32:$C$49)*Impacts!$F$9),0)</f>
        <v>0</v>
      </c>
      <c r="N1799" s="10">
        <f>IF(Tank3!$C$23="No control",(SUMIF(Tank3!$B$32:$B$49,$J1799,Tank3!$C$32:$C$49)*Impacts!$F$10),0)</f>
        <v>0</v>
      </c>
      <c r="O1799" s="10">
        <f>IF(Tank4!$C$23="No control",(SUMIF(Tank4!$B$32:$B$49,$J1799,Tank4!$C$32:$C$49)*Impacts!$F$11),0)</f>
        <v>0</v>
      </c>
      <c r="P1799" s="10">
        <f>IF(Tank5!$C$23="No control",(SUMIF(Tank5!$B$32:$B$49,$J1799,Tank5!$C$32:$C$49)*Impacts!$F$12),0)</f>
        <v>0</v>
      </c>
      <c r="Q1799" s="10">
        <f>IFERROR(IF(('Loading-drum,tote'!$C$21)="No control",SUMIF(('Loading-drum,tote'!$B$31:$B$48),$J1799,('Loading-drum,tote'!$D$31:$D$48))*Impacts!$F$13,IF(('Loading-drum,tote'!$C$21)&lt;&gt;"No control",SUMIF(('Loading-drum,tote'!$B$31:$B$48),$J1799,('Loading-drum,tote'!$E$31:$E$48))*Impacts!$F$13,0)),0)</f>
        <v>0</v>
      </c>
      <c r="R1799" s="10">
        <f>IFERROR(IF(('Loading-truck'!$C$21)="No control",SUMIF(('Loading-truck'!$B$31:$B$48),$J1799,('Loading-truck'!$D$31:$D$48))*Impacts!$F$14,IF(('Loading-truck'!$C$21)&lt;&gt;"No control",SUMIF(('Loading-truck'!$B$31:$B$48),$J1799,('Loading-truck'!$E$31:$E$48))*Impacts!$F$14,0)),0)</f>
        <v>0</v>
      </c>
      <c r="S1799" s="10">
        <f>IFERROR(IF(('Loading-rail'!$C$21)="No control",SUMIF(('Loading-rail'!$B$31:$B$48),$J1799,('Loading-rail'!$D$31:$D$48))*Impacts!$F$15,IF(('Loading-rail'!$C$21)&lt;&gt;"No control",SUMIF(('Loading-rail'!$B$31:$B$48),$J1799,('Loading-rail'!$E$31:$E$48))*Impacts!$F$15,0)),0)</f>
        <v>0</v>
      </c>
      <c r="T1799" s="10">
        <f>IF(Flare!$C$7="",0,(SUMIF(Flare!$B$46:$B$185,$J1799,Flare!$E$46:$E$185)*Impacts!$F$16))</f>
        <v>0</v>
      </c>
      <c r="U1799" s="10">
        <f>IF(VCU!$C$9="",0,(SUMIF(VCU!$B$51:$B$193,$J1799,VCU!$E$51:$E$193)*Impacts!$F$17))</f>
        <v>0</v>
      </c>
      <c r="V1799" s="10">
        <f>IF(CAS!$C$7="",0,(SUMIF(CAS!$B$31:$B$167,$J1799,CAS!$E$31:$E$167)*Impacts!$F$18))</f>
        <v>0</v>
      </c>
      <c r="W1799" s="10">
        <f t="shared" si="68"/>
        <v>0</v>
      </c>
      <c r="AK1799" s="10" t="str">
        <f t="array" ref="AK1799">IFERROR(INDEX(SelectedSpecies,SMALL(IF(SelectedSpecies=AK$1,ROW(SelectedSpecies)),ROW(1800:1800)),2),"")</f>
        <v/>
      </c>
      <c r="BE1799" s="10"/>
      <c r="BI1799" s="10"/>
    </row>
    <row r="1800" spans="1:61" ht="21" customHeight="1" x14ac:dyDescent="0.25">
      <c r="A1800" s="10"/>
      <c r="B1800" s="10"/>
      <c r="E1800" s="10"/>
      <c r="G1800" s="10"/>
      <c r="I1800" s="436" t="s">
        <v>7732</v>
      </c>
      <c r="J1800" s="26" t="s">
        <v>7731</v>
      </c>
      <c r="K1800" s="10">
        <v>0.1</v>
      </c>
      <c r="L1800" s="73">
        <f>IF(Tank1!$C$23="No control",(SUMIF(Tank1!$B$32:$B$49,$J1800,Tank1!$C$32:$C$49)*Impacts!$F$8),0)</f>
        <v>0</v>
      </c>
      <c r="M1800" s="10">
        <f>IF(Tank2!$C$23="No control",(SUMIF(Tank2!$B$32:$B$49,$J1800,Tank2!$C$32:$C$49)*Impacts!$F$9),0)</f>
        <v>0</v>
      </c>
      <c r="N1800" s="10">
        <f>IF(Tank3!$C$23="No control",(SUMIF(Tank3!$B$32:$B$49,$J1800,Tank3!$C$32:$C$49)*Impacts!$F$10),0)</f>
        <v>0</v>
      </c>
      <c r="O1800" s="10">
        <f>IF(Tank4!$C$23="No control",(SUMIF(Tank4!$B$32:$B$49,$J1800,Tank4!$C$32:$C$49)*Impacts!$F$11),0)</f>
        <v>0</v>
      </c>
      <c r="P1800" s="10">
        <f>IF(Tank5!$C$23="No control",(SUMIF(Tank5!$B$32:$B$49,$J1800,Tank5!$C$32:$C$49)*Impacts!$F$12),0)</f>
        <v>0</v>
      </c>
      <c r="Q1800" s="10">
        <f>IFERROR(IF(('Loading-drum,tote'!$C$21)="No control",SUMIF(('Loading-drum,tote'!$B$31:$B$48),$J1800,('Loading-drum,tote'!$D$31:$D$48))*Impacts!$F$13,IF(('Loading-drum,tote'!$C$21)&lt;&gt;"No control",SUMIF(('Loading-drum,tote'!$B$31:$B$48),$J1800,('Loading-drum,tote'!$E$31:$E$48))*Impacts!$F$13,0)),0)</f>
        <v>0</v>
      </c>
      <c r="R1800" s="10">
        <f>IFERROR(IF(('Loading-truck'!$C$21)="No control",SUMIF(('Loading-truck'!$B$31:$B$48),$J1800,('Loading-truck'!$D$31:$D$48))*Impacts!$F$14,IF(('Loading-truck'!$C$21)&lt;&gt;"No control",SUMIF(('Loading-truck'!$B$31:$B$48),$J1800,('Loading-truck'!$E$31:$E$48))*Impacts!$F$14,0)),0)</f>
        <v>0</v>
      </c>
      <c r="S1800" s="10">
        <f>IFERROR(IF(('Loading-rail'!$C$21)="No control",SUMIF(('Loading-rail'!$B$31:$B$48),$J1800,('Loading-rail'!$D$31:$D$48))*Impacts!$F$15,IF(('Loading-rail'!$C$21)&lt;&gt;"No control",SUMIF(('Loading-rail'!$B$31:$B$48),$J1800,('Loading-rail'!$E$31:$E$48))*Impacts!$F$15,0)),0)</f>
        <v>0</v>
      </c>
      <c r="T1800" s="10">
        <f>IF(Flare!$C$7="",0,(SUMIF(Flare!$B$46:$B$185,$J1800,Flare!$E$46:$E$185)*Impacts!$F$16))</f>
        <v>0</v>
      </c>
      <c r="U1800" s="10">
        <f>IF(VCU!$C$9="",0,(SUMIF(VCU!$B$51:$B$193,$J1800,VCU!$E$51:$E$193)*Impacts!$F$17))</f>
        <v>0</v>
      </c>
      <c r="V1800" s="10">
        <f>IF(CAS!$C$7="",0,(SUMIF(CAS!$B$31:$B$167,$J1800,CAS!$E$31:$E$167)*Impacts!$F$18))</f>
        <v>0</v>
      </c>
      <c r="W1800" s="10">
        <f t="shared" si="68"/>
        <v>0</v>
      </c>
      <c r="AK1800" s="10" t="str">
        <f t="array" ref="AK1800">IFERROR(INDEX(SelectedSpecies,SMALL(IF(SelectedSpecies=AK$1,ROW(SelectedSpecies)),ROW(1801:1801)),2),"")</f>
        <v/>
      </c>
      <c r="BE1800" s="10"/>
      <c r="BI1800" s="10"/>
    </row>
    <row r="1801" spans="1:61" ht="21" customHeight="1" x14ac:dyDescent="0.25">
      <c r="A1801" s="10"/>
      <c r="B1801" s="10"/>
      <c r="E1801" s="10"/>
      <c r="G1801" s="10"/>
      <c r="I1801" s="436" t="s">
        <v>3803</v>
      </c>
      <c r="J1801" s="26" t="s">
        <v>3802</v>
      </c>
      <c r="K1801" s="10">
        <v>6</v>
      </c>
      <c r="L1801" s="73">
        <f>IF(Tank1!$C$23="No control",(SUMIF(Tank1!$B$32:$B$49,$J1801,Tank1!$C$32:$C$49)*Impacts!$F$8),0)</f>
        <v>0</v>
      </c>
      <c r="M1801" s="10">
        <f>IF(Tank2!$C$23="No control",(SUMIF(Tank2!$B$32:$B$49,$J1801,Tank2!$C$32:$C$49)*Impacts!$F$9),0)</f>
        <v>0</v>
      </c>
      <c r="N1801" s="10">
        <f>IF(Tank3!$C$23="No control",(SUMIF(Tank3!$B$32:$B$49,$J1801,Tank3!$C$32:$C$49)*Impacts!$F$10),0)</f>
        <v>0</v>
      </c>
      <c r="O1801" s="10">
        <f>IF(Tank4!$C$23="No control",(SUMIF(Tank4!$B$32:$B$49,$J1801,Tank4!$C$32:$C$49)*Impacts!$F$11),0)</f>
        <v>0</v>
      </c>
      <c r="P1801" s="10">
        <f>IF(Tank5!$C$23="No control",(SUMIF(Tank5!$B$32:$B$49,$J1801,Tank5!$C$32:$C$49)*Impacts!$F$12),0)</f>
        <v>0</v>
      </c>
      <c r="Q1801" s="10">
        <f>IFERROR(IF(('Loading-drum,tote'!$C$21)="No control",SUMIF(('Loading-drum,tote'!$B$31:$B$48),$J1801,('Loading-drum,tote'!$D$31:$D$48))*Impacts!$F$13,IF(('Loading-drum,tote'!$C$21)&lt;&gt;"No control",SUMIF(('Loading-drum,tote'!$B$31:$B$48),$J1801,('Loading-drum,tote'!$E$31:$E$48))*Impacts!$F$13,0)),0)</f>
        <v>0</v>
      </c>
      <c r="R1801" s="10">
        <f>IFERROR(IF(('Loading-truck'!$C$21)="No control",SUMIF(('Loading-truck'!$B$31:$B$48),$J1801,('Loading-truck'!$D$31:$D$48))*Impacts!$F$14,IF(('Loading-truck'!$C$21)&lt;&gt;"No control",SUMIF(('Loading-truck'!$B$31:$B$48),$J1801,('Loading-truck'!$E$31:$E$48))*Impacts!$F$14,0)),0)</f>
        <v>0</v>
      </c>
      <c r="S1801" s="10">
        <f>IFERROR(IF(('Loading-rail'!$C$21)="No control",SUMIF(('Loading-rail'!$B$31:$B$48),$J1801,('Loading-rail'!$D$31:$D$48))*Impacts!$F$15,IF(('Loading-rail'!$C$21)&lt;&gt;"No control",SUMIF(('Loading-rail'!$B$31:$B$48),$J1801,('Loading-rail'!$E$31:$E$48))*Impacts!$F$15,0)),0)</f>
        <v>0</v>
      </c>
      <c r="T1801" s="10">
        <f>IF(Flare!$C$7="",0,(SUMIF(Flare!$B$46:$B$185,$J1801,Flare!$E$46:$E$185)*Impacts!$F$16))</f>
        <v>0</v>
      </c>
      <c r="U1801" s="10">
        <f>IF(VCU!$C$9="",0,(SUMIF(VCU!$B$51:$B$193,$J1801,VCU!$E$51:$E$193)*Impacts!$F$17))</f>
        <v>0</v>
      </c>
      <c r="V1801" s="10">
        <f>IF(CAS!$C$7="",0,(SUMIF(CAS!$B$31:$B$167,$J1801,CAS!$E$31:$E$167)*Impacts!$F$18))</f>
        <v>0</v>
      </c>
      <c r="W1801" s="10">
        <f t="shared" si="68"/>
        <v>0</v>
      </c>
      <c r="AK1801" s="10" t="str">
        <f t="array" ref="AK1801">IFERROR(INDEX(SelectedSpecies,SMALL(IF(SelectedSpecies=AK$1,ROW(SelectedSpecies)),ROW(1802:1802)),2),"")</f>
        <v/>
      </c>
      <c r="BE1801" s="10"/>
      <c r="BI1801" s="10"/>
    </row>
    <row r="1802" spans="1:61" ht="21" customHeight="1" x14ac:dyDescent="0.25">
      <c r="A1802" s="10"/>
      <c r="B1802" s="10"/>
      <c r="E1802" s="10"/>
      <c r="G1802" s="10"/>
      <c r="I1802" s="436" t="s">
        <v>5425</v>
      </c>
      <c r="J1802" s="26" t="s">
        <v>5424</v>
      </c>
      <c r="K1802" s="10">
        <v>1.4000000000000001</v>
      </c>
      <c r="L1802" s="73">
        <f>IF(Tank1!$C$23="No control",(SUMIF(Tank1!$B$32:$B$49,$J1802,Tank1!$C$32:$C$49)*Impacts!$F$8),0)</f>
        <v>0</v>
      </c>
      <c r="M1802" s="10">
        <f>IF(Tank2!$C$23="No control",(SUMIF(Tank2!$B$32:$B$49,$J1802,Tank2!$C$32:$C$49)*Impacts!$F$9),0)</f>
        <v>0</v>
      </c>
      <c r="N1802" s="10">
        <f>IF(Tank3!$C$23="No control",(SUMIF(Tank3!$B$32:$B$49,$J1802,Tank3!$C$32:$C$49)*Impacts!$F$10),0)</f>
        <v>0</v>
      </c>
      <c r="O1802" s="10">
        <f>IF(Tank4!$C$23="No control",(SUMIF(Tank4!$B$32:$B$49,$J1802,Tank4!$C$32:$C$49)*Impacts!$F$11),0)</f>
        <v>0</v>
      </c>
      <c r="P1802" s="10">
        <f>IF(Tank5!$C$23="No control",(SUMIF(Tank5!$B$32:$B$49,$J1802,Tank5!$C$32:$C$49)*Impacts!$F$12),0)</f>
        <v>0</v>
      </c>
      <c r="Q1802" s="10">
        <f>IFERROR(IF(('Loading-drum,tote'!$C$21)="No control",SUMIF(('Loading-drum,tote'!$B$31:$B$48),$J1802,('Loading-drum,tote'!$D$31:$D$48))*Impacts!$F$13,IF(('Loading-drum,tote'!$C$21)&lt;&gt;"No control",SUMIF(('Loading-drum,tote'!$B$31:$B$48),$J1802,('Loading-drum,tote'!$E$31:$E$48))*Impacts!$F$13,0)),0)</f>
        <v>0</v>
      </c>
      <c r="R1802" s="10">
        <f>IFERROR(IF(('Loading-truck'!$C$21)="No control",SUMIF(('Loading-truck'!$B$31:$B$48),$J1802,('Loading-truck'!$D$31:$D$48))*Impacts!$F$14,IF(('Loading-truck'!$C$21)&lt;&gt;"No control",SUMIF(('Loading-truck'!$B$31:$B$48),$J1802,('Loading-truck'!$E$31:$E$48))*Impacts!$F$14,0)),0)</f>
        <v>0</v>
      </c>
      <c r="S1802" s="10">
        <f>IFERROR(IF(('Loading-rail'!$C$21)="No control",SUMIF(('Loading-rail'!$B$31:$B$48),$J1802,('Loading-rail'!$D$31:$D$48))*Impacts!$F$15,IF(('Loading-rail'!$C$21)&lt;&gt;"No control",SUMIF(('Loading-rail'!$B$31:$B$48),$J1802,('Loading-rail'!$E$31:$E$48))*Impacts!$F$15,0)),0)</f>
        <v>0</v>
      </c>
      <c r="T1802" s="10">
        <f>IF(Flare!$C$7="",0,(SUMIF(Flare!$B$46:$B$185,$J1802,Flare!$E$46:$E$185)*Impacts!$F$16))</f>
        <v>0</v>
      </c>
      <c r="U1802" s="10">
        <f>IF(VCU!$C$9="",0,(SUMIF(VCU!$B$51:$B$193,$J1802,VCU!$E$51:$E$193)*Impacts!$F$17))</f>
        <v>0</v>
      </c>
      <c r="V1802" s="10">
        <f>IF(CAS!$C$7="",0,(SUMIF(CAS!$B$31:$B$167,$J1802,CAS!$E$31:$E$167)*Impacts!$F$18))</f>
        <v>0</v>
      </c>
      <c r="W1802" s="10">
        <f t="shared" si="68"/>
        <v>0</v>
      </c>
      <c r="AK1802" s="10" t="str">
        <f t="array" ref="AK1802">IFERROR(INDEX(SelectedSpecies,SMALL(IF(SelectedSpecies=AK$1,ROW(SelectedSpecies)),ROW(1803:1803)),2),"")</f>
        <v/>
      </c>
      <c r="BE1802" s="10"/>
      <c r="BI1802" s="10"/>
    </row>
    <row r="1803" spans="1:61" ht="21" customHeight="1" x14ac:dyDescent="0.25">
      <c r="A1803" s="10"/>
      <c r="B1803" s="10"/>
      <c r="E1803" s="10"/>
      <c r="G1803" s="10"/>
      <c r="I1803" s="436" t="s">
        <v>516</v>
      </c>
      <c r="J1803" s="26" t="s">
        <v>515</v>
      </c>
      <c r="K1803" s="10">
        <v>100</v>
      </c>
      <c r="L1803" s="73">
        <f>IF(Tank1!$C$23="No control",(SUMIF(Tank1!$B$32:$B$49,$J1803,Tank1!$C$32:$C$49)*Impacts!$F$8),0)</f>
        <v>0</v>
      </c>
      <c r="M1803" s="10">
        <f>IF(Tank2!$C$23="No control",(SUMIF(Tank2!$B$32:$B$49,$J1803,Tank2!$C$32:$C$49)*Impacts!$F$9),0)</f>
        <v>0</v>
      </c>
      <c r="N1803" s="10">
        <f>IF(Tank3!$C$23="No control",(SUMIF(Tank3!$B$32:$B$49,$J1803,Tank3!$C$32:$C$49)*Impacts!$F$10),0)</f>
        <v>0</v>
      </c>
      <c r="O1803" s="10">
        <f>IF(Tank4!$C$23="No control",(SUMIF(Tank4!$B$32:$B$49,$J1803,Tank4!$C$32:$C$49)*Impacts!$F$11),0)</f>
        <v>0</v>
      </c>
      <c r="P1803" s="10">
        <f>IF(Tank5!$C$23="No control",(SUMIF(Tank5!$B$32:$B$49,$J1803,Tank5!$C$32:$C$49)*Impacts!$F$12),0)</f>
        <v>0</v>
      </c>
      <c r="Q1803" s="10">
        <f>IFERROR(IF(('Loading-drum,tote'!$C$21)="No control",SUMIF(('Loading-drum,tote'!$B$31:$B$48),$J1803,('Loading-drum,tote'!$D$31:$D$48))*Impacts!$F$13,IF(('Loading-drum,tote'!$C$21)&lt;&gt;"No control",SUMIF(('Loading-drum,tote'!$B$31:$B$48),$J1803,('Loading-drum,tote'!$E$31:$E$48))*Impacts!$F$13,0)),0)</f>
        <v>0</v>
      </c>
      <c r="R1803" s="10">
        <f>IFERROR(IF(('Loading-truck'!$C$21)="No control",SUMIF(('Loading-truck'!$B$31:$B$48),$J1803,('Loading-truck'!$D$31:$D$48))*Impacts!$F$14,IF(('Loading-truck'!$C$21)&lt;&gt;"No control",SUMIF(('Loading-truck'!$B$31:$B$48),$J1803,('Loading-truck'!$E$31:$E$48))*Impacts!$F$14,0)),0)</f>
        <v>0</v>
      </c>
      <c r="S1803" s="10">
        <f>IFERROR(IF(('Loading-rail'!$C$21)="No control",SUMIF(('Loading-rail'!$B$31:$B$48),$J1803,('Loading-rail'!$D$31:$D$48))*Impacts!$F$15,IF(('Loading-rail'!$C$21)&lt;&gt;"No control",SUMIF(('Loading-rail'!$B$31:$B$48),$J1803,('Loading-rail'!$E$31:$E$48))*Impacts!$F$15,0)),0)</f>
        <v>0</v>
      </c>
      <c r="T1803" s="10">
        <f>IF(Flare!$C$7="",0,(SUMIF(Flare!$B$46:$B$185,$J1803,Flare!$E$46:$E$185)*Impacts!$F$16))</f>
        <v>0</v>
      </c>
      <c r="U1803" s="10">
        <f>IF(VCU!$C$9="",0,(SUMIF(VCU!$B$51:$B$193,$J1803,VCU!$E$51:$E$193)*Impacts!$F$17))</f>
        <v>0</v>
      </c>
      <c r="V1803" s="10">
        <f>IF(CAS!$C$7="",0,(SUMIF(CAS!$B$31:$B$167,$J1803,CAS!$E$31:$E$167)*Impacts!$F$18))</f>
        <v>0</v>
      </c>
      <c r="W1803" s="10">
        <f t="shared" si="68"/>
        <v>0</v>
      </c>
      <c r="AK1803" s="10" t="str">
        <f t="array" ref="AK1803">IFERROR(INDEX(SelectedSpecies,SMALL(IF(SelectedSpecies=AK$1,ROW(SelectedSpecies)),ROW(1804:1804)),2),"")</f>
        <v/>
      </c>
      <c r="BE1803" s="10"/>
      <c r="BI1803" s="10"/>
    </row>
    <row r="1804" spans="1:61" ht="21" customHeight="1" x14ac:dyDescent="0.25">
      <c r="A1804" s="10"/>
      <c r="B1804" s="10"/>
      <c r="E1804" s="10"/>
      <c r="G1804" s="10"/>
      <c r="I1804" s="436" t="s">
        <v>6392</v>
      </c>
      <c r="J1804" s="26" t="s">
        <v>6391</v>
      </c>
      <c r="K1804" s="10">
        <v>0.81</v>
      </c>
      <c r="L1804" s="73">
        <f>IF(Tank1!$C$23="No control",(SUMIF(Tank1!$B$32:$B$49,$J1804,Tank1!$C$32:$C$49)*Impacts!$F$8),0)</f>
        <v>0</v>
      </c>
      <c r="M1804" s="10">
        <f>IF(Tank2!$C$23="No control",(SUMIF(Tank2!$B$32:$B$49,$J1804,Tank2!$C$32:$C$49)*Impacts!$F$9),0)</f>
        <v>0</v>
      </c>
      <c r="N1804" s="10">
        <f>IF(Tank3!$C$23="No control",(SUMIF(Tank3!$B$32:$B$49,$J1804,Tank3!$C$32:$C$49)*Impacts!$F$10),0)</f>
        <v>0</v>
      </c>
      <c r="O1804" s="10">
        <f>IF(Tank4!$C$23="No control",(SUMIF(Tank4!$B$32:$B$49,$J1804,Tank4!$C$32:$C$49)*Impacts!$F$11),0)</f>
        <v>0</v>
      </c>
      <c r="P1804" s="10">
        <f>IF(Tank5!$C$23="No control",(SUMIF(Tank5!$B$32:$B$49,$J1804,Tank5!$C$32:$C$49)*Impacts!$F$12),0)</f>
        <v>0</v>
      </c>
      <c r="Q1804" s="10">
        <f>IFERROR(IF(('Loading-drum,tote'!$C$21)="No control",SUMIF(('Loading-drum,tote'!$B$31:$B$48),$J1804,('Loading-drum,tote'!$D$31:$D$48))*Impacts!$F$13,IF(('Loading-drum,tote'!$C$21)&lt;&gt;"No control",SUMIF(('Loading-drum,tote'!$B$31:$B$48),$J1804,('Loading-drum,tote'!$E$31:$E$48))*Impacts!$F$13,0)),0)</f>
        <v>0</v>
      </c>
      <c r="R1804" s="10">
        <f>IFERROR(IF(('Loading-truck'!$C$21)="No control",SUMIF(('Loading-truck'!$B$31:$B$48),$J1804,('Loading-truck'!$D$31:$D$48))*Impacts!$F$14,IF(('Loading-truck'!$C$21)&lt;&gt;"No control",SUMIF(('Loading-truck'!$B$31:$B$48),$J1804,('Loading-truck'!$E$31:$E$48))*Impacts!$F$14,0)),0)</f>
        <v>0</v>
      </c>
      <c r="S1804" s="10">
        <f>IFERROR(IF(('Loading-rail'!$C$21)="No control",SUMIF(('Loading-rail'!$B$31:$B$48),$J1804,('Loading-rail'!$D$31:$D$48))*Impacts!$F$15,IF(('Loading-rail'!$C$21)&lt;&gt;"No control",SUMIF(('Loading-rail'!$B$31:$B$48),$J1804,('Loading-rail'!$E$31:$E$48))*Impacts!$F$15,0)),0)</f>
        <v>0</v>
      </c>
      <c r="T1804" s="10">
        <f>IF(Flare!$C$7="",0,(SUMIF(Flare!$B$46:$B$185,$J1804,Flare!$E$46:$E$185)*Impacts!$F$16))</f>
        <v>0</v>
      </c>
      <c r="U1804" s="10">
        <f>IF(VCU!$C$9="",0,(SUMIF(VCU!$B$51:$B$193,$J1804,VCU!$E$51:$E$193)*Impacts!$F$17))</f>
        <v>0</v>
      </c>
      <c r="V1804" s="10">
        <f>IF(CAS!$C$7="",0,(SUMIF(CAS!$B$31:$B$167,$J1804,CAS!$E$31:$E$167)*Impacts!$F$18))</f>
        <v>0</v>
      </c>
      <c r="W1804" s="10">
        <f t="shared" si="68"/>
        <v>0</v>
      </c>
      <c r="AK1804" s="10" t="str">
        <f t="array" ref="AK1804">IFERROR(INDEX(SelectedSpecies,SMALL(IF(SelectedSpecies=AK$1,ROW(SelectedSpecies)),ROW(1805:1805)),2),"")</f>
        <v/>
      </c>
      <c r="BE1804" s="10"/>
      <c r="BI1804" s="10"/>
    </row>
    <row r="1805" spans="1:61" ht="21" customHeight="1" x14ac:dyDescent="0.25">
      <c r="A1805" s="10"/>
      <c r="B1805" s="10"/>
      <c r="E1805" s="10"/>
      <c r="G1805" s="10"/>
      <c r="I1805" s="436" t="s">
        <v>6392</v>
      </c>
      <c r="J1805" s="26" t="s">
        <v>10377</v>
      </c>
      <c r="K1805" s="10">
        <v>5.6999999999999995E-2</v>
      </c>
      <c r="L1805" s="73">
        <f>IF(Tank1!$C$23="No control",(SUMIF(Tank1!$B$32:$B$49,$J1805,Tank1!$C$32:$C$49)*Impacts!$F$8),0)</f>
        <v>0</v>
      </c>
      <c r="M1805" s="10">
        <f>IF(Tank2!$C$23="No control",(SUMIF(Tank2!$B$32:$B$49,$J1805,Tank2!$C$32:$C$49)*Impacts!$F$9),0)</f>
        <v>0</v>
      </c>
      <c r="N1805" s="10">
        <f>IF(Tank3!$C$23="No control",(SUMIF(Tank3!$B$32:$B$49,$J1805,Tank3!$C$32:$C$49)*Impacts!$F$10),0)</f>
        <v>0</v>
      </c>
      <c r="O1805" s="10">
        <f>IF(Tank4!$C$23="No control",(SUMIF(Tank4!$B$32:$B$49,$J1805,Tank4!$C$32:$C$49)*Impacts!$F$11),0)</f>
        <v>0</v>
      </c>
      <c r="P1805" s="10">
        <f>IF(Tank5!$C$23="No control",(SUMIF(Tank5!$B$32:$B$49,$J1805,Tank5!$C$32:$C$49)*Impacts!$F$12),0)</f>
        <v>0</v>
      </c>
      <c r="Q1805" s="10">
        <f>IFERROR(IF(('Loading-drum,tote'!$C$21)="No control",SUMIF(('Loading-drum,tote'!$B$31:$B$48),$J1805,('Loading-drum,tote'!$D$31:$D$48))*Impacts!$F$13,IF(('Loading-drum,tote'!$C$21)&lt;&gt;"No control",SUMIF(('Loading-drum,tote'!$B$31:$B$48),$J1805,('Loading-drum,tote'!$E$31:$E$48))*Impacts!$F$13,0)),0)</f>
        <v>0</v>
      </c>
      <c r="R1805" s="10">
        <f>IFERROR(IF(('Loading-truck'!$C$21)="No control",SUMIF(('Loading-truck'!$B$31:$B$48),$J1805,('Loading-truck'!$D$31:$D$48))*Impacts!$F$14,IF(('Loading-truck'!$C$21)&lt;&gt;"No control",SUMIF(('Loading-truck'!$B$31:$B$48),$J1805,('Loading-truck'!$E$31:$E$48))*Impacts!$F$14,0)),0)</f>
        <v>0</v>
      </c>
      <c r="S1805" s="10">
        <f>IFERROR(IF(('Loading-rail'!$C$21)="No control",SUMIF(('Loading-rail'!$B$31:$B$48),$J1805,('Loading-rail'!$D$31:$D$48))*Impacts!$F$15,IF(('Loading-rail'!$C$21)&lt;&gt;"No control",SUMIF(('Loading-rail'!$B$31:$B$48),$J1805,('Loading-rail'!$E$31:$E$48))*Impacts!$F$15,0)),0)</f>
        <v>0</v>
      </c>
      <c r="T1805" s="10">
        <f>IF(Flare!$C$7="",0,(SUMIF(Flare!$B$46:$B$185,$J1805,Flare!$E$46:$E$185)*Impacts!$F$16))</f>
        <v>0</v>
      </c>
      <c r="U1805" s="10">
        <f>IF(VCU!$C$9="",0,(SUMIF(VCU!$B$51:$B$193,$J1805,VCU!$E$51:$E$193)*Impacts!$F$17))</f>
        <v>0</v>
      </c>
      <c r="V1805" s="10">
        <f>IF(CAS!$C$7="",0,(SUMIF(CAS!$B$31:$B$167,$J1805,CAS!$E$31:$E$167)*Impacts!$F$18))</f>
        <v>0</v>
      </c>
      <c r="W1805" s="10">
        <f t="shared" si="68"/>
        <v>0</v>
      </c>
      <c r="AK1805" s="10" t="str">
        <f t="array" ref="AK1805">IFERROR(INDEX(SelectedSpecies,SMALL(IF(SelectedSpecies=AK$1,ROW(SelectedSpecies)),ROW(1806:1806)),2),"")</f>
        <v/>
      </c>
      <c r="BE1805" s="10"/>
      <c r="BI1805" s="10"/>
    </row>
    <row r="1806" spans="1:61" ht="21" customHeight="1" x14ac:dyDescent="0.25">
      <c r="A1806" s="10"/>
      <c r="B1806" s="10"/>
      <c r="E1806" s="10"/>
      <c r="G1806" s="10"/>
      <c r="I1806" s="436" t="s">
        <v>6392</v>
      </c>
      <c r="J1806" s="26" t="s">
        <v>10378</v>
      </c>
      <c r="K1806" s="10">
        <v>7.0999999999999994E-2</v>
      </c>
      <c r="L1806" s="73">
        <f>IF(Tank1!$C$23="No control",(SUMIF(Tank1!$B$32:$B$49,$J1806,Tank1!$C$32:$C$49)*Impacts!$F$8),0)</f>
        <v>0</v>
      </c>
      <c r="M1806" s="10">
        <f>IF(Tank2!$C$23="No control",(SUMIF(Tank2!$B$32:$B$49,$J1806,Tank2!$C$32:$C$49)*Impacts!$F$9),0)</f>
        <v>0</v>
      </c>
      <c r="N1806" s="10">
        <f>IF(Tank3!$C$23="No control",(SUMIF(Tank3!$B$32:$B$49,$J1806,Tank3!$C$32:$C$49)*Impacts!$F$10),0)</f>
        <v>0</v>
      </c>
      <c r="O1806" s="10">
        <f>IF(Tank4!$C$23="No control",(SUMIF(Tank4!$B$32:$B$49,$J1806,Tank4!$C$32:$C$49)*Impacts!$F$11),0)</f>
        <v>0</v>
      </c>
      <c r="P1806" s="10">
        <f>IF(Tank5!$C$23="No control",(SUMIF(Tank5!$B$32:$B$49,$J1806,Tank5!$C$32:$C$49)*Impacts!$F$12),0)</f>
        <v>0</v>
      </c>
      <c r="Q1806" s="10">
        <f>IFERROR(IF(('Loading-drum,tote'!$C$21)="No control",SUMIF(('Loading-drum,tote'!$B$31:$B$48),$J1806,('Loading-drum,tote'!$D$31:$D$48))*Impacts!$F$13,IF(('Loading-drum,tote'!$C$21)&lt;&gt;"No control",SUMIF(('Loading-drum,tote'!$B$31:$B$48),$J1806,('Loading-drum,tote'!$E$31:$E$48))*Impacts!$F$13,0)),0)</f>
        <v>0</v>
      </c>
      <c r="R1806" s="10">
        <f>IFERROR(IF(('Loading-truck'!$C$21)="No control",SUMIF(('Loading-truck'!$B$31:$B$48),$J1806,('Loading-truck'!$D$31:$D$48))*Impacts!$F$14,IF(('Loading-truck'!$C$21)&lt;&gt;"No control",SUMIF(('Loading-truck'!$B$31:$B$48),$J1806,('Loading-truck'!$E$31:$E$48))*Impacts!$F$14,0)),0)</f>
        <v>0</v>
      </c>
      <c r="S1806" s="10">
        <f>IFERROR(IF(('Loading-rail'!$C$21)="No control",SUMIF(('Loading-rail'!$B$31:$B$48),$J1806,('Loading-rail'!$D$31:$D$48))*Impacts!$F$15,IF(('Loading-rail'!$C$21)&lt;&gt;"No control",SUMIF(('Loading-rail'!$B$31:$B$48),$J1806,('Loading-rail'!$E$31:$E$48))*Impacts!$F$15,0)),0)</f>
        <v>0</v>
      </c>
      <c r="T1806" s="10">
        <f>IF(Flare!$C$7="",0,(SUMIF(Flare!$B$46:$B$185,$J1806,Flare!$E$46:$E$185)*Impacts!$F$16))</f>
        <v>0</v>
      </c>
      <c r="U1806" s="10">
        <f>IF(VCU!$C$9="",0,(SUMIF(VCU!$B$51:$B$193,$J1806,VCU!$E$51:$E$193)*Impacts!$F$17))</f>
        <v>0</v>
      </c>
      <c r="V1806" s="10">
        <f>IF(CAS!$C$7="",0,(SUMIF(CAS!$B$31:$B$167,$J1806,CAS!$E$31:$E$167)*Impacts!$F$18))</f>
        <v>0</v>
      </c>
      <c r="W1806" s="10">
        <f t="shared" si="68"/>
        <v>0</v>
      </c>
      <c r="AK1806" s="10" t="str">
        <f t="array" ref="AK1806">IFERROR(INDEX(SelectedSpecies,SMALL(IF(SelectedSpecies=AK$1,ROW(SelectedSpecies)),ROW(1807:1807)),2),"")</f>
        <v/>
      </c>
      <c r="BE1806" s="10"/>
      <c r="BI1806" s="10"/>
    </row>
    <row r="1807" spans="1:61" ht="21" customHeight="1" x14ac:dyDescent="0.25">
      <c r="A1807" s="10"/>
      <c r="B1807" s="10"/>
      <c r="E1807" s="10"/>
      <c r="G1807" s="10"/>
      <c r="I1807" s="436" t="s">
        <v>7734</v>
      </c>
      <c r="J1807" s="26" t="s">
        <v>7733</v>
      </c>
      <c r="K1807" s="10">
        <v>0.1</v>
      </c>
      <c r="L1807" s="73">
        <f>IF(Tank1!$C$23="No control",(SUMIF(Tank1!$B$32:$B$49,$J1807,Tank1!$C$32:$C$49)*Impacts!$F$8),0)</f>
        <v>0</v>
      </c>
      <c r="M1807" s="10">
        <f>IF(Tank2!$C$23="No control",(SUMIF(Tank2!$B$32:$B$49,$J1807,Tank2!$C$32:$C$49)*Impacts!$F$9),0)</f>
        <v>0</v>
      </c>
      <c r="N1807" s="10">
        <f>IF(Tank3!$C$23="No control",(SUMIF(Tank3!$B$32:$B$49,$J1807,Tank3!$C$32:$C$49)*Impacts!$F$10),0)</f>
        <v>0</v>
      </c>
      <c r="O1807" s="10">
        <f>IF(Tank4!$C$23="No control",(SUMIF(Tank4!$B$32:$B$49,$J1807,Tank4!$C$32:$C$49)*Impacts!$F$11),0)</f>
        <v>0</v>
      </c>
      <c r="P1807" s="10">
        <f>IF(Tank5!$C$23="No control",(SUMIF(Tank5!$B$32:$B$49,$J1807,Tank5!$C$32:$C$49)*Impacts!$F$12),0)</f>
        <v>0</v>
      </c>
      <c r="Q1807" s="10">
        <f>IFERROR(IF(('Loading-drum,tote'!$C$21)="No control",SUMIF(('Loading-drum,tote'!$B$31:$B$48),$J1807,('Loading-drum,tote'!$D$31:$D$48))*Impacts!$F$13,IF(('Loading-drum,tote'!$C$21)&lt;&gt;"No control",SUMIF(('Loading-drum,tote'!$B$31:$B$48),$J1807,('Loading-drum,tote'!$E$31:$E$48))*Impacts!$F$13,0)),0)</f>
        <v>0</v>
      </c>
      <c r="R1807" s="10">
        <f>IFERROR(IF(('Loading-truck'!$C$21)="No control",SUMIF(('Loading-truck'!$B$31:$B$48),$J1807,('Loading-truck'!$D$31:$D$48))*Impacts!$F$14,IF(('Loading-truck'!$C$21)&lt;&gt;"No control",SUMIF(('Loading-truck'!$B$31:$B$48),$J1807,('Loading-truck'!$E$31:$E$48))*Impacts!$F$14,0)),0)</f>
        <v>0</v>
      </c>
      <c r="S1807" s="10">
        <f>IFERROR(IF(('Loading-rail'!$C$21)="No control",SUMIF(('Loading-rail'!$B$31:$B$48),$J1807,('Loading-rail'!$D$31:$D$48))*Impacts!$F$15,IF(('Loading-rail'!$C$21)&lt;&gt;"No control",SUMIF(('Loading-rail'!$B$31:$B$48),$J1807,('Loading-rail'!$E$31:$E$48))*Impacts!$F$15,0)),0)</f>
        <v>0</v>
      </c>
      <c r="T1807" s="10">
        <f>IF(Flare!$C$7="",0,(SUMIF(Flare!$B$46:$B$185,$J1807,Flare!$E$46:$E$185)*Impacts!$F$16))</f>
        <v>0</v>
      </c>
      <c r="U1807" s="10">
        <f>IF(VCU!$C$9="",0,(SUMIF(VCU!$B$51:$B$193,$J1807,VCU!$E$51:$E$193)*Impacts!$F$17))</f>
        <v>0</v>
      </c>
      <c r="V1807" s="10">
        <f>IF(CAS!$C$7="",0,(SUMIF(CAS!$B$31:$B$167,$J1807,CAS!$E$31:$E$167)*Impacts!$F$18))</f>
        <v>0</v>
      </c>
      <c r="W1807" s="10">
        <f t="shared" si="68"/>
        <v>0</v>
      </c>
      <c r="AK1807" s="10" t="str">
        <f t="array" ref="AK1807">IFERROR(INDEX(SelectedSpecies,SMALL(IF(SelectedSpecies=AK$1,ROW(SelectedSpecies)),ROW(1808:1808)),2),"")</f>
        <v/>
      </c>
      <c r="BE1807" s="10"/>
      <c r="BI1807" s="10"/>
    </row>
    <row r="1808" spans="1:61" ht="21" customHeight="1" x14ac:dyDescent="0.25">
      <c r="A1808" s="10"/>
      <c r="B1808" s="10"/>
      <c r="E1808" s="10"/>
      <c r="G1808" s="10"/>
      <c r="I1808" s="436" t="s">
        <v>518</v>
      </c>
      <c r="J1808" s="26" t="s">
        <v>517</v>
      </c>
      <c r="K1808" s="10">
        <v>100</v>
      </c>
      <c r="L1808" s="73">
        <f>IF(Tank1!$C$23="No control",(SUMIF(Tank1!$B$32:$B$49,$J1808,Tank1!$C$32:$C$49)*Impacts!$F$8),0)</f>
        <v>0</v>
      </c>
      <c r="M1808" s="10">
        <f>IF(Tank2!$C$23="No control",(SUMIF(Tank2!$B$32:$B$49,$J1808,Tank2!$C$32:$C$49)*Impacts!$F$9),0)</f>
        <v>0</v>
      </c>
      <c r="N1808" s="10">
        <f>IF(Tank3!$C$23="No control",(SUMIF(Tank3!$B$32:$B$49,$J1808,Tank3!$C$32:$C$49)*Impacts!$F$10),0)</f>
        <v>0</v>
      </c>
      <c r="O1808" s="10">
        <f>IF(Tank4!$C$23="No control",(SUMIF(Tank4!$B$32:$B$49,$J1808,Tank4!$C$32:$C$49)*Impacts!$F$11),0)</f>
        <v>0</v>
      </c>
      <c r="P1808" s="10">
        <f>IF(Tank5!$C$23="No control",(SUMIF(Tank5!$B$32:$B$49,$J1808,Tank5!$C$32:$C$49)*Impacts!$F$12),0)</f>
        <v>0</v>
      </c>
      <c r="Q1808" s="10">
        <f>IFERROR(IF(('Loading-drum,tote'!$C$21)="No control",SUMIF(('Loading-drum,tote'!$B$31:$B$48),$J1808,('Loading-drum,tote'!$D$31:$D$48))*Impacts!$F$13,IF(('Loading-drum,tote'!$C$21)&lt;&gt;"No control",SUMIF(('Loading-drum,tote'!$B$31:$B$48),$J1808,('Loading-drum,tote'!$E$31:$E$48))*Impacts!$F$13,0)),0)</f>
        <v>0</v>
      </c>
      <c r="R1808" s="10">
        <f>IFERROR(IF(('Loading-truck'!$C$21)="No control",SUMIF(('Loading-truck'!$B$31:$B$48),$J1808,('Loading-truck'!$D$31:$D$48))*Impacts!$F$14,IF(('Loading-truck'!$C$21)&lt;&gt;"No control",SUMIF(('Loading-truck'!$B$31:$B$48),$J1808,('Loading-truck'!$E$31:$E$48))*Impacts!$F$14,0)),0)</f>
        <v>0</v>
      </c>
      <c r="S1808" s="10">
        <f>IFERROR(IF(('Loading-rail'!$C$21)="No control",SUMIF(('Loading-rail'!$B$31:$B$48),$J1808,('Loading-rail'!$D$31:$D$48))*Impacts!$F$15,IF(('Loading-rail'!$C$21)&lt;&gt;"No control",SUMIF(('Loading-rail'!$B$31:$B$48),$J1808,('Loading-rail'!$E$31:$E$48))*Impacts!$F$15,0)),0)</f>
        <v>0</v>
      </c>
      <c r="T1808" s="10">
        <f>IF(Flare!$C$7="",0,(SUMIF(Flare!$B$46:$B$185,$J1808,Flare!$E$46:$E$185)*Impacts!$F$16))</f>
        <v>0</v>
      </c>
      <c r="U1808" s="10">
        <f>IF(VCU!$C$9="",0,(SUMIF(VCU!$B$51:$B$193,$J1808,VCU!$E$51:$E$193)*Impacts!$F$17))</f>
        <v>0</v>
      </c>
      <c r="V1808" s="10">
        <f>IF(CAS!$C$7="",0,(SUMIF(CAS!$B$31:$B$167,$J1808,CAS!$E$31:$E$167)*Impacts!$F$18))</f>
        <v>0</v>
      </c>
      <c r="W1808" s="10">
        <f t="shared" si="68"/>
        <v>0</v>
      </c>
      <c r="AK1808" s="10" t="str">
        <f t="array" ref="AK1808">IFERROR(INDEX(SelectedSpecies,SMALL(IF(SelectedSpecies=AK$1,ROW(SelectedSpecies)),ROW(1809:1809)),2),"")</f>
        <v/>
      </c>
      <c r="BE1808" s="10"/>
      <c r="BI1808" s="10"/>
    </row>
    <row r="1809" spans="1:61" ht="21" customHeight="1" x14ac:dyDescent="0.25">
      <c r="A1809" s="10"/>
      <c r="B1809" s="10"/>
      <c r="E1809" s="10"/>
      <c r="G1809" s="10"/>
      <c r="I1809" s="436" t="s">
        <v>327</v>
      </c>
      <c r="J1809" s="26" t="s">
        <v>326</v>
      </c>
      <c r="K1809" s="10">
        <v>500</v>
      </c>
      <c r="L1809" s="73">
        <f>IF(Tank1!$C$23="No control",(SUMIF(Tank1!$B$32:$B$49,$J1809,Tank1!$C$32:$C$49)*Impacts!$F$8),0)</f>
        <v>0</v>
      </c>
      <c r="M1809" s="10">
        <f>IF(Tank2!$C$23="No control",(SUMIF(Tank2!$B$32:$B$49,$J1809,Tank2!$C$32:$C$49)*Impacts!$F$9),0)</f>
        <v>0</v>
      </c>
      <c r="N1809" s="10">
        <f>IF(Tank3!$C$23="No control",(SUMIF(Tank3!$B$32:$B$49,$J1809,Tank3!$C$32:$C$49)*Impacts!$F$10),0)</f>
        <v>0</v>
      </c>
      <c r="O1809" s="10">
        <f>IF(Tank4!$C$23="No control",(SUMIF(Tank4!$B$32:$B$49,$J1809,Tank4!$C$32:$C$49)*Impacts!$F$11),0)</f>
        <v>0</v>
      </c>
      <c r="P1809" s="10">
        <f>IF(Tank5!$C$23="No control",(SUMIF(Tank5!$B$32:$B$49,$J1809,Tank5!$C$32:$C$49)*Impacts!$F$12),0)</f>
        <v>0</v>
      </c>
      <c r="Q1809" s="10">
        <f>IFERROR(IF(('Loading-drum,tote'!$C$21)="No control",SUMIF(('Loading-drum,tote'!$B$31:$B$48),$J1809,('Loading-drum,tote'!$D$31:$D$48))*Impacts!$F$13,IF(('Loading-drum,tote'!$C$21)&lt;&gt;"No control",SUMIF(('Loading-drum,tote'!$B$31:$B$48),$J1809,('Loading-drum,tote'!$E$31:$E$48))*Impacts!$F$13,0)),0)</f>
        <v>0</v>
      </c>
      <c r="R1809" s="10">
        <f>IFERROR(IF(('Loading-truck'!$C$21)="No control",SUMIF(('Loading-truck'!$B$31:$B$48),$J1809,('Loading-truck'!$D$31:$D$48))*Impacts!$F$14,IF(('Loading-truck'!$C$21)&lt;&gt;"No control",SUMIF(('Loading-truck'!$B$31:$B$48),$J1809,('Loading-truck'!$E$31:$E$48))*Impacts!$F$14,0)),0)</f>
        <v>0</v>
      </c>
      <c r="S1809" s="10">
        <f>IFERROR(IF(('Loading-rail'!$C$21)="No control",SUMIF(('Loading-rail'!$B$31:$B$48),$J1809,('Loading-rail'!$D$31:$D$48))*Impacts!$F$15,IF(('Loading-rail'!$C$21)&lt;&gt;"No control",SUMIF(('Loading-rail'!$B$31:$B$48),$J1809,('Loading-rail'!$E$31:$E$48))*Impacts!$F$15,0)),0)</f>
        <v>0</v>
      </c>
      <c r="T1809" s="10">
        <f>IF(Flare!$C$7="",0,(SUMIF(Flare!$B$46:$B$185,$J1809,Flare!$E$46:$E$185)*Impacts!$F$16))</f>
        <v>0</v>
      </c>
      <c r="U1809" s="10">
        <f>IF(VCU!$C$9="",0,(SUMIF(VCU!$B$51:$B$193,$J1809,VCU!$E$51:$E$193)*Impacts!$F$17))</f>
        <v>0</v>
      </c>
      <c r="V1809" s="10">
        <f>IF(CAS!$C$7="",0,(SUMIF(CAS!$B$31:$B$167,$J1809,CAS!$E$31:$E$167)*Impacts!$F$18))</f>
        <v>0</v>
      </c>
      <c r="W1809" s="10">
        <f t="shared" si="68"/>
        <v>0</v>
      </c>
      <c r="AK1809" s="10" t="str">
        <f t="array" ref="AK1809">IFERROR(INDEX(SelectedSpecies,SMALL(IF(SelectedSpecies=AK$1,ROW(SelectedSpecies)),ROW(1810:1810)),2),"")</f>
        <v/>
      </c>
      <c r="BE1809" s="10"/>
      <c r="BI1809" s="10"/>
    </row>
    <row r="1810" spans="1:61" ht="21" customHeight="1" x14ac:dyDescent="0.25">
      <c r="A1810" s="10"/>
      <c r="B1810" s="10"/>
      <c r="E1810" s="10"/>
      <c r="G1810" s="10"/>
      <c r="I1810" s="436" t="s">
        <v>4559</v>
      </c>
      <c r="J1810" s="26" t="s">
        <v>4558</v>
      </c>
      <c r="K1810" s="10">
        <v>4</v>
      </c>
      <c r="L1810" s="73">
        <f>IF(Tank1!$C$23="No control",(SUMIF(Tank1!$B$32:$B$49,$J1810,Tank1!$C$32:$C$49)*Impacts!$F$8),0)</f>
        <v>0</v>
      </c>
      <c r="M1810" s="10">
        <f>IF(Tank2!$C$23="No control",(SUMIF(Tank2!$B$32:$B$49,$J1810,Tank2!$C$32:$C$49)*Impacts!$F$9),0)</f>
        <v>0</v>
      </c>
      <c r="N1810" s="10">
        <f>IF(Tank3!$C$23="No control",(SUMIF(Tank3!$B$32:$B$49,$J1810,Tank3!$C$32:$C$49)*Impacts!$F$10),0)</f>
        <v>0</v>
      </c>
      <c r="O1810" s="10">
        <f>IF(Tank4!$C$23="No control",(SUMIF(Tank4!$B$32:$B$49,$J1810,Tank4!$C$32:$C$49)*Impacts!$F$11),0)</f>
        <v>0</v>
      </c>
      <c r="P1810" s="10">
        <f>IF(Tank5!$C$23="No control",(SUMIF(Tank5!$B$32:$B$49,$J1810,Tank5!$C$32:$C$49)*Impacts!$F$12),0)</f>
        <v>0</v>
      </c>
      <c r="Q1810" s="10">
        <f>IFERROR(IF(('Loading-drum,tote'!$C$21)="No control",SUMIF(('Loading-drum,tote'!$B$31:$B$48),$J1810,('Loading-drum,tote'!$D$31:$D$48))*Impacts!$F$13,IF(('Loading-drum,tote'!$C$21)&lt;&gt;"No control",SUMIF(('Loading-drum,tote'!$B$31:$B$48),$J1810,('Loading-drum,tote'!$E$31:$E$48))*Impacts!$F$13,0)),0)</f>
        <v>0</v>
      </c>
      <c r="R1810" s="10">
        <f>IFERROR(IF(('Loading-truck'!$C$21)="No control",SUMIF(('Loading-truck'!$B$31:$B$48),$J1810,('Loading-truck'!$D$31:$D$48))*Impacts!$F$14,IF(('Loading-truck'!$C$21)&lt;&gt;"No control",SUMIF(('Loading-truck'!$B$31:$B$48),$J1810,('Loading-truck'!$E$31:$E$48))*Impacts!$F$14,0)),0)</f>
        <v>0</v>
      </c>
      <c r="S1810" s="10">
        <f>IFERROR(IF(('Loading-rail'!$C$21)="No control",SUMIF(('Loading-rail'!$B$31:$B$48),$J1810,('Loading-rail'!$D$31:$D$48))*Impacts!$F$15,IF(('Loading-rail'!$C$21)&lt;&gt;"No control",SUMIF(('Loading-rail'!$B$31:$B$48),$J1810,('Loading-rail'!$E$31:$E$48))*Impacts!$F$15,0)),0)</f>
        <v>0</v>
      </c>
      <c r="T1810" s="10">
        <f>IF(Flare!$C$7="",0,(SUMIF(Flare!$B$46:$B$185,$J1810,Flare!$E$46:$E$185)*Impacts!$F$16))</f>
        <v>0</v>
      </c>
      <c r="U1810" s="10">
        <f>IF(VCU!$C$9="",0,(SUMIF(VCU!$B$51:$B$193,$J1810,VCU!$E$51:$E$193)*Impacts!$F$17))</f>
        <v>0</v>
      </c>
      <c r="V1810" s="10">
        <f>IF(CAS!$C$7="",0,(SUMIF(CAS!$B$31:$B$167,$J1810,CAS!$E$31:$E$167)*Impacts!$F$18))</f>
        <v>0</v>
      </c>
      <c r="W1810" s="10">
        <f t="shared" si="68"/>
        <v>0</v>
      </c>
      <c r="AK1810" s="10" t="str">
        <f t="array" ref="AK1810">IFERROR(INDEX(SelectedSpecies,SMALL(IF(SelectedSpecies=AK$1,ROW(SelectedSpecies)),ROW(1811:1811)),2),"")</f>
        <v/>
      </c>
      <c r="BE1810" s="10"/>
      <c r="BI1810" s="10"/>
    </row>
    <row r="1811" spans="1:61" ht="21" customHeight="1" x14ac:dyDescent="0.25">
      <c r="A1811" s="10"/>
      <c r="B1811" s="10"/>
      <c r="E1811" s="10"/>
      <c r="G1811" s="10"/>
      <c r="I1811" s="436" t="s">
        <v>520</v>
      </c>
      <c r="J1811" s="26" t="s">
        <v>519</v>
      </c>
      <c r="K1811" s="10">
        <v>100</v>
      </c>
      <c r="L1811" s="73">
        <f>IF(Tank1!$C$23="No control",(SUMIF(Tank1!$B$32:$B$49,$J1811,Tank1!$C$32:$C$49)*Impacts!$F$8),0)</f>
        <v>0</v>
      </c>
      <c r="M1811" s="10">
        <f>IF(Tank2!$C$23="No control",(SUMIF(Tank2!$B$32:$B$49,$J1811,Tank2!$C$32:$C$49)*Impacts!$F$9),0)</f>
        <v>0</v>
      </c>
      <c r="N1811" s="10">
        <f>IF(Tank3!$C$23="No control",(SUMIF(Tank3!$B$32:$B$49,$J1811,Tank3!$C$32:$C$49)*Impacts!$F$10),0)</f>
        <v>0</v>
      </c>
      <c r="O1811" s="10">
        <f>IF(Tank4!$C$23="No control",(SUMIF(Tank4!$B$32:$B$49,$J1811,Tank4!$C$32:$C$49)*Impacts!$F$11),0)</f>
        <v>0</v>
      </c>
      <c r="P1811" s="10">
        <f>IF(Tank5!$C$23="No control",(SUMIF(Tank5!$B$32:$B$49,$J1811,Tank5!$C$32:$C$49)*Impacts!$F$12),0)</f>
        <v>0</v>
      </c>
      <c r="Q1811" s="10">
        <f>IFERROR(IF(('Loading-drum,tote'!$C$21)="No control",SUMIF(('Loading-drum,tote'!$B$31:$B$48),$J1811,('Loading-drum,tote'!$D$31:$D$48))*Impacts!$F$13,IF(('Loading-drum,tote'!$C$21)&lt;&gt;"No control",SUMIF(('Loading-drum,tote'!$B$31:$B$48),$J1811,('Loading-drum,tote'!$E$31:$E$48))*Impacts!$F$13,0)),0)</f>
        <v>0</v>
      </c>
      <c r="R1811" s="10">
        <f>IFERROR(IF(('Loading-truck'!$C$21)="No control",SUMIF(('Loading-truck'!$B$31:$B$48),$J1811,('Loading-truck'!$D$31:$D$48))*Impacts!$F$14,IF(('Loading-truck'!$C$21)&lt;&gt;"No control",SUMIF(('Loading-truck'!$B$31:$B$48),$J1811,('Loading-truck'!$E$31:$E$48))*Impacts!$F$14,0)),0)</f>
        <v>0</v>
      </c>
      <c r="S1811" s="10">
        <f>IFERROR(IF(('Loading-rail'!$C$21)="No control",SUMIF(('Loading-rail'!$B$31:$B$48),$J1811,('Loading-rail'!$D$31:$D$48))*Impacts!$F$15,IF(('Loading-rail'!$C$21)&lt;&gt;"No control",SUMIF(('Loading-rail'!$B$31:$B$48),$J1811,('Loading-rail'!$E$31:$E$48))*Impacts!$F$15,0)),0)</f>
        <v>0</v>
      </c>
      <c r="T1811" s="10">
        <f>IF(Flare!$C$7="",0,(SUMIF(Flare!$B$46:$B$185,$J1811,Flare!$E$46:$E$185)*Impacts!$F$16))</f>
        <v>0</v>
      </c>
      <c r="U1811" s="10">
        <f>IF(VCU!$C$9="",0,(SUMIF(VCU!$B$51:$B$193,$J1811,VCU!$E$51:$E$193)*Impacts!$F$17))</f>
        <v>0</v>
      </c>
      <c r="V1811" s="10">
        <f>IF(CAS!$C$7="",0,(SUMIF(CAS!$B$31:$B$167,$J1811,CAS!$E$31:$E$167)*Impacts!$F$18))</f>
        <v>0</v>
      </c>
      <c r="W1811" s="10">
        <f t="shared" si="68"/>
        <v>0</v>
      </c>
      <c r="AK1811" s="10" t="str">
        <f t="array" ref="AK1811">IFERROR(INDEX(SelectedSpecies,SMALL(IF(SelectedSpecies=AK$1,ROW(SelectedSpecies)),ROW(1812:1812)),2),"")</f>
        <v/>
      </c>
      <c r="BE1811" s="10"/>
      <c r="BI1811" s="10"/>
    </row>
    <row r="1812" spans="1:61" ht="21" customHeight="1" x14ac:dyDescent="0.25">
      <c r="A1812" s="10"/>
      <c r="B1812" s="10"/>
      <c r="E1812" s="10"/>
      <c r="G1812" s="10"/>
      <c r="I1812" s="436" t="s">
        <v>5427</v>
      </c>
      <c r="J1812" s="26" t="s">
        <v>5426</v>
      </c>
      <c r="K1812" s="10">
        <v>1.4000000000000001</v>
      </c>
      <c r="L1812" s="73">
        <f>IF(Tank1!$C$23="No control",(SUMIF(Tank1!$B$32:$B$49,$J1812,Tank1!$C$32:$C$49)*Impacts!$F$8),0)</f>
        <v>0</v>
      </c>
      <c r="M1812" s="10">
        <f>IF(Tank2!$C$23="No control",(SUMIF(Tank2!$B$32:$B$49,$J1812,Tank2!$C$32:$C$49)*Impacts!$F$9),0)</f>
        <v>0</v>
      </c>
      <c r="N1812" s="10">
        <f>IF(Tank3!$C$23="No control",(SUMIF(Tank3!$B$32:$B$49,$J1812,Tank3!$C$32:$C$49)*Impacts!$F$10),0)</f>
        <v>0</v>
      </c>
      <c r="O1812" s="10">
        <f>IF(Tank4!$C$23="No control",(SUMIF(Tank4!$B$32:$B$49,$J1812,Tank4!$C$32:$C$49)*Impacts!$F$11),0)</f>
        <v>0</v>
      </c>
      <c r="P1812" s="10">
        <f>IF(Tank5!$C$23="No control",(SUMIF(Tank5!$B$32:$B$49,$J1812,Tank5!$C$32:$C$49)*Impacts!$F$12),0)</f>
        <v>0</v>
      </c>
      <c r="Q1812" s="10">
        <f>IFERROR(IF(('Loading-drum,tote'!$C$21)="No control",SUMIF(('Loading-drum,tote'!$B$31:$B$48),$J1812,('Loading-drum,tote'!$D$31:$D$48))*Impacts!$F$13,IF(('Loading-drum,tote'!$C$21)&lt;&gt;"No control",SUMIF(('Loading-drum,tote'!$B$31:$B$48),$J1812,('Loading-drum,tote'!$E$31:$E$48))*Impacts!$F$13,0)),0)</f>
        <v>0</v>
      </c>
      <c r="R1812" s="10">
        <f>IFERROR(IF(('Loading-truck'!$C$21)="No control",SUMIF(('Loading-truck'!$B$31:$B$48),$J1812,('Loading-truck'!$D$31:$D$48))*Impacts!$F$14,IF(('Loading-truck'!$C$21)&lt;&gt;"No control",SUMIF(('Loading-truck'!$B$31:$B$48),$J1812,('Loading-truck'!$E$31:$E$48))*Impacts!$F$14,0)),0)</f>
        <v>0</v>
      </c>
      <c r="S1812" s="10">
        <f>IFERROR(IF(('Loading-rail'!$C$21)="No control",SUMIF(('Loading-rail'!$B$31:$B$48),$J1812,('Loading-rail'!$D$31:$D$48))*Impacts!$F$15,IF(('Loading-rail'!$C$21)&lt;&gt;"No control",SUMIF(('Loading-rail'!$B$31:$B$48),$J1812,('Loading-rail'!$E$31:$E$48))*Impacts!$F$15,0)),0)</f>
        <v>0</v>
      </c>
      <c r="T1812" s="10">
        <f>IF(Flare!$C$7="",0,(SUMIF(Flare!$B$46:$B$185,$J1812,Flare!$E$46:$E$185)*Impacts!$F$16))</f>
        <v>0</v>
      </c>
      <c r="U1812" s="10">
        <f>IF(VCU!$C$9="",0,(SUMIF(VCU!$B$51:$B$193,$J1812,VCU!$E$51:$E$193)*Impacts!$F$17))</f>
        <v>0</v>
      </c>
      <c r="V1812" s="10">
        <f>IF(CAS!$C$7="",0,(SUMIF(CAS!$B$31:$B$167,$J1812,CAS!$E$31:$E$167)*Impacts!$F$18))</f>
        <v>0</v>
      </c>
      <c r="W1812" s="10">
        <f t="shared" si="68"/>
        <v>0</v>
      </c>
      <c r="AK1812" s="10" t="str">
        <f t="array" ref="AK1812">IFERROR(INDEX(SelectedSpecies,SMALL(IF(SelectedSpecies=AK$1,ROW(SelectedSpecies)),ROW(1813:1813)),2),"")</f>
        <v/>
      </c>
      <c r="BE1812" s="10"/>
      <c r="BI1812" s="10"/>
    </row>
    <row r="1813" spans="1:61" ht="21" customHeight="1" x14ac:dyDescent="0.25">
      <c r="A1813" s="10"/>
      <c r="B1813" s="10"/>
      <c r="E1813" s="10"/>
      <c r="G1813" s="10"/>
      <c r="I1813" s="436" t="s">
        <v>522</v>
      </c>
      <c r="J1813" s="26" t="s">
        <v>521</v>
      </c>
      <c r="K1813" s="10">
        <v>100</v>
      </c>
      <c r="L1813" s="73">
        <f>IF(Tank1!$C$23="No control",(SUMIF(Tank1!$B$32:$B$49,$J1813,Tank1!$C$32:$C$49)*Impacts!$F$8),0)</f>
        <v>0</v>
      </c>
      <c r="M1813" s="10">
        <f>IF(Tank2!$C$23="No control",(SUMIF(Tank2!$B$32:$B$49,$J1813,Tank2!$C$32:$C$49)*Impacts!$F$9),0)</f>
        <v>0</v>
      </c>
      <c r="N1813" s="10">
        <f>IF(Tank3!$C$23="No control",(SUMIF(Tank3!$B$32:$B$49,$J1813,Tank3!$C$32:$C$49)*Impacts!$F$10),0)</f>
        <v>0</v>
      </c>
      <c r="O1813" s="10">
        <f>IF(Tank4!$C$23="No control",(SUMIF(Tank4!$B$32:$B$49,$J1813,Tank4!$C$32:$C$49)*Impacts!$F$11),0)</f>
        <v>0</v>
      </c>
      <c r="P1813" s="10">
        <f>IF(Tank5!$C$23="No control",(SUMIF(Tank5!$B$32:$B$49,$J1813,Tank5!$C$32:$C$49)*Impacts!$F$12),0)</f>
        <v>0</v>
      </c>
      <c r="Q1813" s="10">
        <f>IFERROR(IF(('Loading-drum,tote'!$C$21)="No control",SUMIF(('Loading-drum,tote'!$B$31:$B$48),$J1813,('Loading-drum,tote'!$D$31:$D$48))*Impacts!$F$13,IF(('Loading-drum,tote'!$C$21)&lt;&gt;"No control",SUMIF(('Loading-drum,tote'!$B$31:$B$48),$J1813,('Loading-drum,tote'!$E$31:$E$48))*Impacts!$F$13,0)),0)</f>
        <v>0</v>
      </c>
      <c r="R1813" s="10">
        <f>IFERROR(IF(('Loading-truck'!$C$21)="No control",SUMIF(('Loading-truck'!$B$31:$B$48),$J1813,('Loading-truck'!$D$31:$D$48))*Impacts!$F$14,IF(('Loading-truck'!$C$21)&lt;&gt;"No control",SUMIF(('Loading-truck'!$B$31:$B$48),$J1813,('Loading-truck'!$E$31:$E$48))*Impacts!$F$14,0)),0)</f>
        <v>0</v>
      </c>
      <c r="S1813" s="10">
        <f>IFERROR(IF(('Loading-rail'!$C$21)="No control",SUMIF(('Loading-rail'!$B$31:$B$48),$J1813,('Loading-rail'!$D$31:$D$48))*Impacts!$F$15,IF(('Loading-rail'!$C$21)&lt;&gt;"No control",SUMIF(('Loading-rail'!$B$31:$B$48),$J1813,('Loading-rail'!$E$31:$E$48))*Impacts!$F$15,0)),0)</f>
        <v>0</v>
      </c>
      <c r="T1813" s="10">
        <f>IF(Flare!$C$7="",0,(SUMIF(Flare!$B$46:$B$185,$J1813,Flare!$E$46:$E$185)*Impacts!$F$16))</f>
        <v>0</v>
      </c>
      <c r="U1813" s="10">
        <f>IF(VCU!$C$9="",0,(SUMIF(VCU!$B$51:$B$193,$J1813,VCU!$E$51:$E$193)*Impacts!$F$17))</f>
        <v>0</v>
      </c>
      <c r="V1813" s="10">
        <f>IF(CAS!$C$7="",0,(SUMIF(CAS!$B$31:$B$167,$J1813,CAS!$E$31:$E$167)*Impacts!$F$18))</f>
        <v>0</v>
      </c>
      <c r="W1813" s="10">
        <f t="shared" si="68"/>
        <v>0</v>
      </c>
      <c r="AK1813" s="10" t="str">
        <f t="array" ref="AK1813">IFERROR(INDEX(SelectedSpecies,SMALL(IF(SelectedSpecies=AK$1,ROW(SelectedSpecies)),ROW(1814:1814)),2),"")</f>
        <v/>
      </c>
      <c r="BE1813" s="10"/>
      <c r="BI1813" s="10"/>
    </row>
    <row r="1814" spans="1:61" ht="21" customHeight="1" x14ac:dyDescent="0.25">
      <c r="A1814" s="10"/>
      <c r="B1814" s="10"/>
      <c r="E1814" s="10"/>
      <c r="G1814" s="10"/>
      <c r="I1814" s="436" t="s">
        <v>524</v>
      </c>
      <c r="J1814" s="26" t="s">
        <v>523</v>
      </c>
      <c r="K1814" s="10">
        <v>100</v>
      </c>
      <c r="L1814" s="73">
        <f>IF(Tank1!$C$23="No control",(SUMIF(Tank1!$B$32:$B$49,$J1814,Tank1!$C$32:$C$49)*Impacts!$F$8),0)</f>
        <v>0</v>
      </c>
      <c r="M1814" s="10">
        <f>IF(Tank2!$C$23="No control",(SUMIF(Tank2!$B$32:$B$49,$J1814,Tank2!$C$32:$C$49)*Impacts!$F$9),0)</f>
        <v>0</v>
      </c>
      <c r="N1814" s="10">
        <f>IF(Tank3!$C$23="No control",(SUMIF(Tank3!$B$32:$B$49,$J1814,Tank3!$C$32:$C$49)*Impacts!$F$10),0)</f>
        <v>0</v>
      </c>
      <c r="O1814" s="10">
        <f>IF(Tank4!$C$23="No control",(SUMIF(Tank4!$B$32:$B$49,$J1814,Tank4!$C$32:$C$49)*Impacts!$F$11),0)</f>
        <v>0</v>
      </c>
      <c r="P1814" s="10">
        <f>IF(Tank5!$C$23="No control",(SUMIF(Tank5!$B$32:$B$49,$J1814,Tank5!$C$32:$C$49)*Impacts!$F$12),0)</f>
        <v>0</v>
      </c>
      <c r="Q1814" s="10">
        <f>IFERROR(IF(('Loading-drum,tote'!$C$21)="No control",SUMIF(('Loading-drum,tote'!$B$31:$B$48),$J1814,('Loading-drum,tote'!$D$31:$D$48))*Impacts!$F$13,IF(('Loading-drum,tote'!$C$21)&lt;&gt;"No control",SUMIF(('Loading-drum,tote'!$B$31:$B$48),$J1814,('Loading-drum,tote'!$E$31:$E$48))*Impacts!$F$13,0)),0)</f>
        <v>0</v>
      </c>
      <c r="R1814" s="10">
        <f>IFERROR(IF(('Loading-truck'!$C$21)="No control",SUMIF(('Loading-truck'!$B$31:$B$48),$J1814,('Loading-truck'!$D$31:$D$48))*Impacts!$F$14,IF(('Loading-truck'!$C$21)&lt;&gt;"No control",SUMIF(('Loading-truck'!$B$31:$B$48),$J1814,('Loading-truck'!$E$31:$E$48))*Impacts!$F$14,0)),0)</f>
        <v>0</v>
      </c>
      <c r="S1814" s="10">
        <f>IFERROR(IF(('Loading-rail'!$C$21)="No control",SUMIF(('Loading-rail'!$B$31:$B$48),$J1814,('Loading-rail'!$D$31:$D$48))*Impacts!$F$15,IF(('Loading-rail'!$C$21)&lt;&gt;"No control",SUMIF(('Loading-rail'!$B$31:$B$48),$J1814,('Loading-rail'!$E$31:$E$48))*Impacts!$F$15,0)),0)</f>
        <v>0</v>
      </c>
      <c r="T1814" s="10">
        <f>IF(Flare!$C$7="",0,(SUMIF(Flare!$B$46:$B$185,$J1814,Flare!$E$46:$E$185)*Impacts!$F$16))</f>
        <v>0</v>
      </c>
      <c r="U1814" s="10">
        <f>IF(VCU!$C$9="",0,(SUMIF(VCU!$B$51:$B$193,$J1814,VCU!$E$51:$E$193)*Impacts!$F$17))</f>
        <v>0</v>
      </c>
      <c r="V1814" s="10">
        <f>IF(CAS!$C$7="",0,(SUMIF(CAS!$B$31:$B$167,$J1814,CAS!$E$31:$E$167)*Impacts!$F$18))</f>
        <v>0</v>
      </c>
      <c r="W1814" s="10">
        <f t="shared" si="68"/>
        <v>0</v>
      </c>
      <c r="AK1814" s="10" t="str">
        <f t="array" ref="AK1814">IFERROR(INDEX(SelectedSpecies,SMALL(IF(SelectedSpecies=AK$1,ROW(SelectedSpecies)),ROW(1815:1815)),2),"")</f>
        <v/>
      </c>
      <c r="BE1814" s="10"/>
      <c r="BI1814" s="10"/>
    </row>
    <row r="1815" spans="1:61" ht="21" customHeight="1" x14ac:dyDescent="0.25">
      <c r="A1815" s="10"/>
      <c r="B1815" s="10"/>
      <c r="E1815" s="10"/>
      <c r="G1815" s="10"/>
      <c r="I1815" s="436" t="s">
        <v>526</v>
      </c>
      <c r="J1815" s="26" t="s">
        <v>525</v>
      </c>
      <c r="K1815" s="10">
        <v>100</v>
      </c>
      <c r="L1815" s="73">
        <f>IF(Tank1!$C$23="No control",(SUMIF(Tank1!$B$32:$B$49,$J1815,Tank1!$C$32:$C$49)*Impacts!$F$8),0)</f>
        <v>0</v>
      </c>
      <c r="M1815" s="10">
        <f>IF(Tank2!$C$23="No control",(SUMIF(Tank2!$B$32:$B$49,$J1815,Tank2!$C$32:$C$49)*Impacts!$F$9),0)</f>
        <v>0</v>
      </c>
      <c r="N1815" s="10">
        <f>IF(Tank3!$C$23="No control",(SUMIF(Tank3!$B$32:$B$49,$J1815,Tank3!$C$32:$C$49)*Impacts!$F$10),0)</f>
        <v>0</v>
      </c>
      <c r="O1815" s="10">
        <f>IF(Tank4!$C$23="No control",(SUMIF(Tank4!$B$32:$B$49,$J1815,Tank4!$C$32:$C$49)*Impacts!$F$11),0)</f>
        <v>0</v>
      </c>
      <c r="P1815" s="10">
        <f>IF(Tank5!$C$23="No control",(SUMIF(Tank5!$B$32:$B$49,$J1815,Tank5!$C$32:$C$49)*Impacts!$F$12),0)</f>
        <v>0</v>
      </c>
      <c r="Q1815" s="10">
        <f>IFERROR(IF(('Loading-drum,tote'!$C$21)="No control",SUMIF(('Loading-drum,tote'!$B$31:$B$48),$J1815,('Loading-drum,tote'!$D$31:$D$48))*Impacts!$F$13,IF(('Loading-drum,tote'!$C$21)&lt;&gt;"No control",SUMIF(('Loading-drum,tote'!$B$31:$B$48),$J1815,('Loading-drum,tote'!$E$31:$E$48))*Impacts!$F$13,0)),0)</f>
        <v>0</v>
      </c>
      <c r="R1815" s="10">
        <f>IFERROR(IF(('Loading-truck'!$C$21)="No control",SUMIF(('Loading-truck'!$B$31:$B$48),$J1815,('Loading-truck'!$D$31:$D$48))*Impacts!$F$14,IF(('Loading-truck'!$C$21)&lt;&gt;"No control",SUMIF(('Loading-truck'!$B$31:$B$48),$J1815,('Loading-truck'!$E$31:$E$48))*Impacts!$F$14,0)),0)</f>
        <v>0</v>
      </c>
      <c r="S1815" s="10">
        <f>IFERROR(IF(('Loading-rail'!$C$21)="No control",SUMIF(('Loading-rail'!$B$31:$B$48),$J1815,('Loading-rail'!$D$31:$D$48))*Impacts!$F$15,IF(('Loading-rail'!$C$21)&lt;&gt;"No control",SUMIF(('Loading-rail'!$B$31:$B$48),$J1815,('Loading-rail'!$E$31:$E$48))*Impacts!$F$15,0)),0)</f>
        <v>0</v>
      </c>
      <c r="T1815" s="10">
        <f>IF(Flare!$C$7="",0,(SUMIF(Flare!$B$46:$B$185,$J1815,Flare!$E$46:$E$185)*Impacts!$F$16))</f>
        <v>0</v>
      </c>
      <c r="U1815" s="10">
        <f>IF(VCU!$C$9="",0,(SUMIF(VCU!$B$51:$B$193,$J1815,VCU!$E$51:$E$193)*Impacts!$F$17))</f>
        <v>0</v>
      </c>
      <c r="V1815" s="10">
        <f>IF(CAS!$C$7="",0,(SUMIF(CAS!$B$31:$B$167,$J1815,CAS!$E$31:$E$167)*Impacts!$F$18))</f>
        <v>0</v>
      </c>
      <c r="W1815" s="10">
        <f t="shared" si="68"/>
        <v>0</v>
      </c>
      <c r="AK1815" s="10" t="str">
        <f t="array" ref="AK1815">IFERROR(INDEX(SelectedSpecies,SMALL(IF(SelectedSpecies=AK$1,ROW(SelectedSpecies)),ROW(1816:1816)),2),"")</f>
        <v/>
      </c>
      <c r="BE1815" s="10"/>
      <c r="BI1815" s="10"/>
    </row>
    <row r="1816" spans="1:61" ht="21" customHeight="1" x14ac:dyDescent="0.25">
      <c r="A1816" s="10"/>
      <c r="B1816" s="10"/>
      <c r="E1816" s="10"/>
      <c r="G1816" s="10"/>
      <c r="I1816" s="436" t="s">
        <v>2875</v>
      </c>
      <c r="J1816" s="26" t="s">
        <v>2874</v>
      </c>
      <c r="K1816" s="10">
        <v>10</v>
      </c>
      <c r="L1816" s="73">
        <f>IF(Tank1!$C$23="No control",(SUMIF(Tank1!$B$32:$B$49,$J1816,Tank1!$C$32:$C$49)*Impacts!$F$8),0)</f>
        <v>0</v>
      </c>
      <c r="M1816" s="10">
        <f>IF(Tank2!$C$23="No control",(SUMIF(Tank2!$B$32:$B$49,$J1816,Tank2!$C$32:$C$49)*Impacts!$F$9),0)</f>
        <v>0</v>
      </c>
      <c r="N1816" s="10">
        <f>IF(Tank3!$C$23="No control",(SUMIF(Tank3!$B$32:$B$49,$J1816,Tank3!$C$32:$C$49)*Impacts!$F$10),0)</f>
        <v>0</v>
      </c>
      <c r="O1816" s="10">
        <f>IF(Tank4!$C$23="No control",(SUMIF(Tank4!$B$32:$B$49,$J1816,Tank4!$C$32:$C$49)*Impacts!$F$11),0)</f>
        <v>0</v>
      </c>
      <c r="P1816" s="10">
        <f>IF(Tank5!$C$23="No control",(SUMIF(Tank5!$B$32:$B$49,$J1816,Tank5!$C$32:$C$49)*Impacts!$F$12),0)</f>
        <v>0</v>
      </c>
      <c r="Q1816" s="10">
        <f>IFERROR(IF(('Loading-drum,tote'!$C$21)="No control",SUMIF(('Loading-drum,tote'!$B$31:$B$48),$J1816,('Loading-drum,tote'!$D$31:$D$48))*Impacts!$F$13,IF(('Loading-drum,tote'!$C$21)&lt;&gt;"No control",SUMIF(('Loading-drum,tote'!$B$31:$B$48),$J1816,('Loading-drum,tote'!$E$31:$E$48))*Impacts!$F$13,0)),0)</f>
        <v>0</v>
      </c>
      <c r="R1816" s="10">
        <f>IFERROR(IF(('Loading-truck'!$C$21)="No control",SUMIF(('Loading-truck'!$B$31:$B$48),$J1816,('Loading-truck'!$D$31:$D$48))*Impacts!$F$14,IF(('Loading-truck'!$C$21)&lt;&gt;"No control",SUMIF(('Loading-truck'!$B$31:$B$48),$J1816,('Loading-truck'!$E$31:$E$48))*Impacts!$F$14,0)),0)</f>
        <v>0</v>
      </c>
      <c r="S1816" s="10">
        <f>IFERROR(IF(('Loading-rail'!$C$21)="No control",SUMIF(('Loading-rail'!$B$31:$B$48),$J1816,('Loading-rail'!$D$31:$D$48))*Impacts!$F$15,IF(('Loading-rail'!$C$21)&lt;&gt;"No control",SUMIF(('Loading-rail'!$B$31:$B$48),$J1816,('Loading-rail'!$E$31:$E$48))*Impacts!$F$15,0)),0)</f>
        <v>0</v>
      </c>
      <c r="T1816" s="10">
        <f>IF(Flare!$C$7="",0,(SUMIF(Flare!$B$46:$B$185,$J1816,Flare!$E$46:$E$185)*Impacts!$F$16))</f>
        <v>0</v>
      </c>
      <c r="U1816" s="10">
        <f>IF(VCU!$C$9="",0,(SUMIF(VCU!$B$51:$B$193,$J1816,VCU!$E$51:$E$193)*Impacts!$F$17))</f>
        <v>0</v>
      </c>
      <c r="V1816" s="10">
        <f>IF(CAS!$C$7="",0,(SUMIF(CAS!$B$31:$B$167,$J1816,CAS!$E$31:$E$167)*Impacts!$F$18))</f>
        <v>0</v>
      </c>
      <c r="W1816" s="10">
        <f t="shared" si="68"/>
        <v>0</v>
      </c>
      <c r="AK1816" s="10" t="str">
        <f t="array" ref="AK1816">IFERROR(INDEX(SelectedSpecies,SMALL(IF(SelectedSpecies=AK$1,ROW(SelectedSpecies)),ROW(1817:1817)),2),"")</f>
        <v/>
      </c>
      <c r="BE1816" s="10"/>
      <c r="BI1816" s="10"/>
    </row>
    <row r="1817" spans="1:61" ht="21" customHeight="1" x14ac:dyDescent="0.25">
      <c r="A1817" s="10"/>
      <c r="B1817" s="10"/>
      <c r="E1817" s="10"/>
      <c r="G1817" s="10"/>
      <c r="I1817" s="436" t="s">
        <v>1769</v>
      </c>
      <c r="J1817" s="26" t="s">
        <v>1768</v>
      </c>
      <c r="K1817" s="10">
        <v>23.400000000000002</v>
      </c>
      <c r="L1817" s="73">
        <f>IF(Tank1!$C$23="No control",(SUMIF(Tank1!$B$32:$B$49,$J1817,Tank1!$C$32:$C$49)*Impacts!$F$8),0)</f>
        <v>0</v>
      </c>
      <c r="M1817" s="10">
        <f>IF(Tank2!$C$23="No control",(SUMIF(Tank2!$B$32:$B$49,$J1817,Tank2!$C$32:$C$49)*Impacts!$F$9),0)</f>
        <v>0</v>
      </c>
      <c r="N1817" s="10">
        <f>IF(Tank3!$C$23="No control",(SUMIF(Tank3!$B$32:$B$49,$J1817,Tank3!$C$32:$C$49)*Impacts!$F$10),0)</f>
        <v>0</v>
      </c>
      <c r="O1817" s="10">
        <f>IF(Tank4!$C$23="No control",(SUMIF(Tank4!$B$32:$B$49,$J1817,Tank4!$C$32:$C$49)*Impacts!$F$11),0)</f>
        <v>0</v>
      </c>
      <c r="P1817" s="10">
        <f>IF(Tank5!$C$23="No control",(SUMIF(Tank5!$B$32:$B$49,$J1817,Tank5!$C$32:$C$49)*Impacts!$F$12),0)</f>
        <v>0</v>
      </c>
      <c r="Q1817" s="10">
        <f>IFERROR(IF(('Loading-drum,tote'!$C$21)="No control",SUMIF(('Loading-drum,tote'!$B$31:$B$48),$J1817,('Loading-drum,tote'!$D$31:$D$48))*Impacts!$F$13,IF(('Loading-drum,tote'!$C$21)&lt;&gt;"No control",SUMIF(('Loading-drum,tote'!$B$31:$B$48),$J1817,('Loading-drum,tote'!$E$31:$E$48))*Impacts!$F$13,0)),0)</f>
        <v>0</v>
      </c>
      <c r="R1817" s="10">
        <f>IFERROR(IF(('Loading-truck'!$C$21)="No control",SUMIF(('Loading-truck'!$B$31:$B$48),$J1817,('Loading-truck'!$D$31:$D$48))*Impacts!$F$14,IF(('Loading-truck'!$C$21)&lt;&gt;"No control",SUMIF(('Loading-truck'!$B$31:$B$48),$J1817,('Loading-truck'!$E$31:$E$48))*Impacts!$F$14,0)),0)</f>
        <v>0</v>
      </c>
      <c r="S1817" s="10">
        <f>IFERROR(IF(('Loading-rail'!$C$21)="No control",SUMIF(('Loading-rail'!$B$31:$B$48),$J1817,('Loading-rail'!$D$31:$D$48))*Impacts!$F$15,IF(('Loading-rail'!$C$21)&lt;&gt;"No control",SUMIF(('Loading-rail'!$B$31:$B$48),$J1817,('Loading-rail'!$E$31:$E$48))*Impacts!$F$15,0)),0)</f>
        <v>0</v>
      </c>
      <c r="T1817" s="10">
        <f>IF(Flare!$C$7="",0,(SUMIF(Flare!$B$46:$B$185,$J1817,Flare!$E$46:$E$185)*Impacts!$F$16))</f>
        <v>0</v>
      </c>
      <c r="U1817" s="10">
        <f>IF(VCU!$C$9="",0,(SUMIF(VCU!$B$51:$B$193,$J1817,VCU!$E$51:$E$193)*Impacts!$F$17))</f>
        <v>0</v>
      </c>
      <c r="V1817" s="10">
        <f>IF(CAS!$C$7="",0,(SUMIF(CAS!$B$31:$B$167,$J1817,CAS!$E$31:$E$167)*Impacts!$F$18))</f>
        <v>0</v>
      </c>
      <c r="W1817" s="10">
        <f t="shared" si="68"/>
        <v>0</v>
      </c>
      <c r="AK1817" s="10" t="str">
        <f t="array" ref="AK1817">IFERROR(INDEX(SelectedSpecies,SMALL(IF(SelectedSpecies=AK$1,ROW(SelectedSpecies)),ROW(1818:1818)),2),"")</f>
        <v/>
      </c>
      <c r="BE1817" s="10"/>
      <c r="BI1817" s="10"/>
    </row>
    <row r="1818" spans="1:61" ht="21" customHeight="1" x14ac:dyDescent="0.25">
      <c r="A1818" s="10"/>
      <c r="B1818" s="10"/>
      <c r="E1818" s="10"/>
      <c r="G1818" s="10"/>
      <c r="I1818" s="436" t="s">
        <v>528</v>
      </c>
      <c r="J1818" s="26" t="s">
        <v>527</v>
      </c>
      <c r="K1818" s="10">
        <v>100</v>
      </c>
      <c r="L1818" s="73">
        <f>IF(Tank1!$C$23="No control",(SUMIF(Tank1!$B$32:$B$49,$J1818,Tank1!$C$32:$C$49)*Impacts!$F$8),0)</f>
        <v>0</v>
      </c>
      <c r="M1818" s="10">
        <f>IF(Tank2!$C$23="No control",(SUMIF(Tank2!$B$32:$B$49,$J1818,Tank2!$C$32:$C$49)*Impacts!$F$9),0)</f>
        <v>0</v>
      </c>
      <c r="N1818" s="10">
        <f>IF(Tank3!$C$23="No control",(SUMIF(Tank3!$B$32:$B$49,$J1818,Tank3!$C$32:$C$49)*Impacts!$F$10),0)</f>
        <v>0</v>
      </c>
      <c r="O1818" s="10">
        <f>IF(Tank4!$C$23="No control",(SUMIF(Tank4!$B$32:$B$49,$J1818,Tank4!$C$32:$C$49)*Impacts!$F$11),0)</f>
        <v>0</v>
      </c>
      <c r="P1818" s="10">
        <f>IF(Tank5!$C$23="No control",(SUMIF(Tank5!$B$32:$B$49,$J1818,Tank5!$C$32:$C$49)*Impacts!$F$12),0)</f>
        <v>0</v>
      </c>
      <c r="Q1818" s="10">
        <f>IFERROR(IF(('Loading-drum,tote'!$C$21)="No control",SUMIF(('Loading-drum,tote'!$B$31:$B$48),$J1818,('Loading-drum,tote'!$D$31:$D$48))*Impacts!$F$13,IF(('Loading-drum,tote'!$C$21)&lt;&gt;"No control",SUMIF(('Loading-drum,tote'!$B$31:$B$48),$J1818,('Loading-drum,tote'!$E$31:$E$48))*Impacts!$F$13,0)),0)</f>
        <v>0</v>
      </c>
      <c r="R1818" s="10">
        <f>IFERROR(IF(('Loading-truck'!$C$21)="No control",SUMIF(('Loading-truck'!$B$31:$B$48),$J1818,('Loading-truck'!$D$31:$D$48))*Impacts!$F$14,IF(('Loading-truck'!$C$21)&lt;&gt;"No control",SUMIF(('Loading-truck'!$B$31:$B$48),$J1818,('Loading-truck'!$E$31:$E$48))*Impacts!$F$14,0)),0)</f>
        <v>0</v>
      </c>
      <c r="S1818" s="10">
        <f>IFERROR(IF(('Loading-rail'!$C$21)="No control",SUMIF(('Loading-rail'!$B$31:$B$48),$J1818,('Loading-rail'!$D$31:$D$48))*Impacts!$F$15,IF(('Loading-rail'!$C$21)&lt;&gt;"No control",SUMIF(('Loading-rail'!$B$31:$B$48),$J1818,('Loading-rail'!$E$31:$E$48))*Impacts!$F$15,0)),0)</f>
        <v>0</v>
      </c>
      <c r="T1818" s="10">
        <f>IF(Flare!$C$7="",0,(SUMIF(Flare!$B$46:$B$185,$J1818,Flare!$E$46:$E$185)*Impacts!$F$16))</f>
        <v>0</v>
      </c>
      <c r="U1818" s="10">
        <f>IF(VCU!$C$9="",0,(SUMIF(VCU!$B$51:$B$193,$J1818,VCU!$E$51:$E$193)*Impacts!$F$17))</f>
        <v>0</v>
      </c>
      <c r="V1818" s="10">
        <f>IF(CAS!$C$7="",0,(SUMIF(CAS!$B$31:$B$167,$J1818,CAS!$E$31:$E$167)*Impacts!$F$18))</f>
        <v>0</v>
      </c>
      <c r="W1818" s="10">
        <f t="shared" ref="W1818:W1881" si="69">SUM(L1818:V1818)</f>
        <v>0</v>
      </c>
      <c r="AK1818" s="10" t="str">
        <f t="array" ref="AK1818">IFERROR(INDEX(SelectedSpecies,SMALL(IF(SelectedSpecies=AK$1,ROW(SelectedSpecies)),ROW(1819:1819)),2),"")</f>
        <v/>
      </c>
      <c r="BE1818" s="10"/>
      <c r="BI1818" s="10"/>
    </row>
    <row r="1819" spans="1:61" ht="21" customHeight="1" x14ac:dyDescent="0.25">
      <c r="A1819" s="10"/>
      <c r="B1819" s="10"/>
      <c r="E1819" s="10"/>
      <c r="G1819" s="10"/>
      <c r="I1819" s="436" t="s">
        <v>5910</v>
      </c>
      <c r="J1819" s="26" t="s">
        <v>5909</v>
      </c>
      <c r="K1819" s="10">
        <v>1</v>
      </c>
      <c r="L1819" s="73">
        <f>IF(Tank1!$C$23="No control",(SUMIF(Tank1!$B$32:$B$49,$J1819,Tank1!$C$32:$C$49)*Impacts!$F$8),0)</f>
        <v>0</v>
      </c>
      <c r="M1819" s="10">
        <f>IF(Tank2!$C$23="No control",(SUMIF(Tank2!$B$32:$B$49,$J1819,Tank2!$C$32:$C$49)*Impacts!$F$9),0)</f>
        <v>0</v>
      </c>
      <c r="N1819" s="10">
        <f>IF(Tank3!$C$23="No control",(SUMIF(Tank3!$B$32:$B$49,$J1819,Tank3!$C$32:$C$49)*Impacts!$F$10),0)</f>
        <v>0</v>
      </c>
      <c r="O1819" s="10">
        <f>IF(Tank4!$C$23="No control",(SUMIF(Tank4!$B$32:$B$49,$J1819,Tank4!$C$32:$C$49)*Impacts!$F$11),0)</f>
        <v>0</v>
      </c>
      <c r="P1819" s="10">
        <f>IF(Tank5!$C$23="No control",(SUMIF(Tank5!$B$32:$B$49,$J1819,Tank5!$C$32:$C$49)*Impacts!$F$12),0)</f>
        <v>0</v>
      </c>
      <c r="Q1819" s="10">
        <f>IFERROR(IF(('Loading-drum,tote'!$C$21)="No control",SUMIF(('Loading-drum,tote'!$B$31:$B$48),$J1819,('Loading-drum,tote'!$D$31:$D$48))*Impacts!$F$13,IF(('Loading-drum,tote'!$C$21)&lt;&gt;"No control",SUMIF(('Loading-drum,tote'!$B$31:$B$48),$J1819,('Loading-drum,tote'!$E$31:$E$48))*Impacts!$F$13,0)),0)</f>
        <v>0</v>
      </c>
      <c r="R1819" s="10">
        <f>IFERROR(IF(('Loading-truck'!$C$21)="No control",SUMIF(('Loading-truck'!$B$31:$B$48),$J1819,('Loading-truck'!$D$31:$D$48))*Impacts!$F$14,IF(('Loading-truck'!$C$21)&lt;&gt;"No control",SUMIF(('Loading-truck'!$B$31:$B$48),$J1819,('Loading-truck'!$E$31:$E$48))*Impacts!$F$14,0)),0)</f>
        <v>0</v>
      </c>
      <c r="S1819" s="10">
        <f>IFERROR(IF(('Loading-rail'!$C$21)="No control",SUMIF(('Loading-rail'!$B$31:$B$48),$J1819,('Loading-rail'!$D$31:$D$48))*Impacts!$F$15,IF(('Loading-rail'!$C$21)&lt;&gt;"No control",SUMIF(('Loading-rail'!$B$31:$B$48),$J1819,('Loading-rail'!$E$31:$E$48))*Impacts!$F$15,0)),0)</f>
        <v>0</v>
      </c>
      <c r="T1819" s="10">
        <f>IF(Flare!$C$7="",0,(SUMIF(Flare!$B$46:$B$185,$J1819,Flare!$E$46:$E$185)*Impacts!$F$16))</f>
        <v>0</v>
      </c>
      <c r="U1819" s="10">
        <f>IF(VCU!$C$9="",0,(SUMIF(VCU!$B$51:$B$193,$J1819,VCU!$E$51:$E$193)*Impacts!$F$17))</f>
        <v>0</v>
      </c>
      <c r="V1819" s="10">
        <f>IF(CAS!$C$7="",0,(SUMIF(CAS!$B$31:$B$167,$J1819,CAS!$E$31:$E$167)*Impacts!$F$18))</f>
        <v>0</v>
      </c>
      <c r="W1819" s="10">
        <f t="shared" si="69"/>
        <v>0</v>
      </c>
      <c r="AK1819" s="10" t="str">
        <f t="array" ref="AK1819">IFERROR(INDEX(SelectedSpecies,SMALL(IF(SelectedSpecies=AK$1,ROW(SelectedSpecies)),ROW(1820:1820)),2),"")</f>
        <v/>
      </c>
      <c r="BE1819" s="10"/>
      <c r="BI1819" s="10"/>
    </row>
    <row r="1820" spans="1:61" ht="21" customHeight="1" x14ac:dyDescent="0.25">
      <c r="A1820" s="10"/>
      <c r="B1820" s="10"/>
      <c r="E1820" s="10"/>
      <c r="G1820" s="10"/>
      <c r="I1820" s="436" t="s">
        <v>7498</v>
      </c>
      <c r="J1820" s="26" t="s">
        <v>7497</v>
      </c>
      <c r="K1820" s="10">
        <v>0.2</v>
      </c>
      <c r="L1820" s="73">
        <f>IF(Tank1!$C$23="No control",(SUMIF(Tank1!$B$32:$B$49,$J1820,Tank1!$C$32:$C$49)*Impacts!$F$8),0)</f>
        <v>0</v>
      </c>
      <c r="M1820" s="10">
        <f>IF(Tank2!$C$23="No control",(SUMIF(Tank2!$B$32:$B$49,$J1820,Tank2!$C$32:$C$49)*Impacts!$F$9),0)</f>
        <v>0</v>
      </c>
      <c r="N1820" s="10">
        <f>IF(Tank3!$C$23="No control",(SUMIF(Tank3!$B$32:$B$49,$J1820,Tank3!$C$32:$C$49)*Impacts!$F$10),0)</f>
        <v>0</v>
      </c>
      <c r="O1820" s="10">
        <f>IF(Tank4!$C$23="No control",(SUMIF(Tank4!$B$32:$B$49,$J1820,Tank4!$C$32:$C$49)*Impacts!$F$11),0)</f>
        <v>0</v>
      </c>
      <c r="P1820" s="10">
        <f>IF(Tank5!$C$23="No control",(SUMIF(Tank5!$B$32:$B$49,$J1820,Tank5!$C$32:$C$49)*Impacts!$F$12),0)</f>
        <v>0</v>
      </c>
      <c r="Q1820" s="10">
        <f>IFERROR(IF(('Loading-drum,tote'!$C$21)="No control",SUMIF(('Loading-drum,tote'!$B$31:$B$48),$J1820,('Loading-drum,tote'!$D$31:$D$48))*Impacts!$F$13,IF(('Loading-drum,tote'!$C$21)&lt;&gt;"No control",SUMIF(('Loading-drum,tote'!$B$31:$B$48),$J1820,('Loading-drum,tote'!$E$31:$E$48))*Impacts!$F$13,0)),0)</f>
        <v>0</v>
      </c>
      <c r="R1820" s="10">
        <f>IFERROR(IF(('Loading-truck'!$C$21)="No control",SUMIF(('Loading-truck'!$B$31:$B$48),$J1820,('Loading-truck'!$D$31:$D$48))*Impacts!$F$14,IF(('Loading-truck'!$C$21)&lt;&gt;"No control",SUMIF(('Loading-truck'!$B$31:$B$48),$J1820,('Loading-truck'!$E$31:$E$48))*Impacts!$F$14,0)),0)</f>
        <v>0</v>
      </c>
      <c r="S1820" s="10">
        <f>IFERROR(IF(('Loading-rail'!$C$21)="No control",SUMIF(('Loading-rail'!$B$31:$B$48),$J1820,('Loading-rail'!$D$31:$D$48))*Impacts!$F$15,IF(('Loading-rail'!$C$21)&lt;&gt;"No control",SUMIF(('Loading-rail'!$B$31:$B$48),$J1820,('Loading-rail'!$E$31:$E$48))*Impacts!$F$15,0)),0)</f>
        <v>0</v>
      </c>
      <c r="T1820" s="10">
        <f>IF(Flare!$C$7="",0,(SUMIF(Flare!$B$46:$B$185,$J1820,Flare!$E$46:$E$185)*Impacts!$F$16))</f>
        <v>0</v>
      </c>
      <c r="U1820" s="10">
        <f>IF(VCU!$C$9="",0,(SUMIF(VCU!$B$51:$B$193,$J1820,VCU!$E$51:$E$193)*Impacts!$F$17))</f>
        <v>0</v>
      </c>
      <c r="V1820" s="10">
        <f>IF(CAS!$C$7="",0,(SUMIF(CAS!$B$31:$B$167,$J1820,CAS!$E$31:$E$167)*Impacts!$F$18))</f>
        <v>0</v>
      </c>
      <c r="W1820" s="10">
        <f t="shared" si="69"/>
        <v>0</v>
      </c>
      <c r="AK1820" s="10" t="str">
        <f t="array" ref="AK1820">IFERROR(INDEX(SelectedSpecies,SMALL(IF(SelectedSpecies=AK$1,ROW(SelectedSpecies)),ROW(1821:1821)),2),"")</f>
        <v/>
      </c>
      <c r="BE1820" s="10"/>
      <c r="BI1820" s="10"/>
    </row>
    <row r="1821" spans="1:61" ht="21" customHeight="1" x14ac:dyDescent="0.25">
      <c r="A1821" s="10"/>
      <c r="B1821" s="10"/>
      <c r="E1821" s="10"/>
      <c r="G1821" s="10"/>
      <c r="I1821" s="436" t="s">
        <v>7096</v>
      </c>
      <c r="J1821" s="26" t="s">
        <v>7095</v>
      </c>
      <c r="K1821" s="10">
        <v>0.4</v>
      </c>
      <c r="L1821" s="73">
        <f>IF(Tank1!$C$23="No control",(SUMIF(Tank1!$B$32:$B$49,$J1821,Tank1!$C$32:$C$49)*Impacts!$F$8),0)</f>
        <v>0</v>
      </c>
      <c r="M1821" s="10">
        <f>IF(Tank2!$C$23="No control",(SUMIF(Tank2!$B$32:$B$49,$J1821,Tank2!$C$32:$C$49)*Impacts!$F$9),0)</f>
        <v>0</v>
      </c>
      <c r="N1821" s="10">
        <f>IF(Tank3!$C$23="No control",(SUMIF(Tank3!$B$32:$B$49,$J1821,Tank3!$C$32:$C$49)*Impacts!$F$10),0)</f>
        <v>0</v>
      </c>
      <c r="O1821" s="10">
        <f>IF(Tank4!$C$23="No control",(SUMIF(Tank4!$B$32:$B$49,$J1821,Tank4!$C$32:$C$49)*Impacts!$F$11),0)</f>
        <v>0</v>
      </c>
      <c r="P1821" s="10">
        <f>IF(Tank5!$C$23="No control",(SUMIF(Tank5!$B$32:$B$49,$J1821,Tank5!$C$32:$C$49)*Impacts!$F$12),0)</f>
        <v>0</v>
      </c>
      <c r="Q1821" s="10">
        <f>IFERROR(IF(('Loading-drum,tote'!$C$21)="No control",SUMIF(('Loading-drum,tote'!$B$31:$B$48),$J1821,('Loading-drum,tote'!$D$31:$D$48))*Impacts!$F$13,IF(('Loading-drum,tote'!$C$21)&lt;&gt;"No control",SUMIF(('Loading-drum,tote'!$B$31:$B$48),$J1821,('Loading-drum,tote'!$E$31:$E$48))*Impacts!$F$13,0)),0)</f>
        <v>0</v>
      </c>
      <c r="R1821" s="10">
        <f>IFERROR(IF(('Loading-truck'!$C$21)="No control",SUMIF(('Loading-truck'!$B$31:$B$48),$J1821,('Loading-truck'!$D$31:$D$48))*Impacts!$F$14,IF(('Loading-truck'!$C$21)&lt;&gt;"No control",SUMIF(('Loading-truck'!$B$31:$B$48),$J1821,('Loading-truck'!$E$31:$E$48))*Impacts!$F$14,0)),0)</f>
        <v>0</v>
      </c>
      <c r="S1821" s="10">
        <f>IFERROR(IF(('Loading-rail'!$C$21)="No control",SUMIF(('Loading-rail'!$B$31:$B$48),$J1821,('Loading-rail'!$D$31:$D$48))*Impacts!$F$15,IF(('Loading-rail'!$C$21)&lt;&gt;"No control",SUMIF(('Loading-rail'!$B$31:$B$48),$J1821,('Loading-rail'!$E$31:$E$48))*Impacts!$F$15,0)),0)</f>
        <v>0</v>
      </c>
      <c r="T1821" s="10">
        <f>IF(Flare!$C$7="",0,(SUMIF(Flare!$B$46:$B$185,$J1821,Flare!$E$46:$E$185)*Impacts!$F$16))</f>
        <v>0</v>
      </c>
      <c r="U1821" s="10">
        <f>IF(VCU!$C$9="",0,(SUMIF(VCU!$B$51:$B$193,$J1821,VCU!$E$51:$E$193)*Impacts!$F$17))</f>
        <v>0</v>
      </c>
      <c r="V1821" s="10">
        <f>IF(CAS!$C$7="",0,(SUMIF(CAS!$B$31:$B$167,$J1821,CAS!$E$31:$E$167)*Impacts!$F$18))</f>
        <v>0</v>
      </c>
      <c r="W1821" s="10">
        <f t="shared" si="69"/>
        <v>0</v>
      </c>
      <c r="AK1821" s="10" t="str">
        <f t="array" ref="AK1821">IFERROR(INDEX(SelectedSpecies,SMALL(IF(SelectedSpecies=AK$1,ROW(SelectedSpecies)),ROW(1822:1822)),2),"")</f>
        <v/>
      </c>
      <c r="BE1821" s="10"/>
      <c r="BI1821" s="10"/>
    </row>
    <row r="1822" spans="1:61" ht="21" customHeight="1" x14ac:dyDescent="0.25">
      <c r="A1822" s="10"/>
      <c r="B1822" s="10"/>
      <c r="E1822" s="10"/>
      <c r="G1822" s="10"/>
      <c r="I1822" s="436" t="s">
        <v>5523</v>
      </c>
      <c r="J1822" s="26" t="s">
        <v>5522</v>
      </c>
      <c r="K1822" s="10">
        <v>1.25</v>
      </c>
      <c r="L1822" s="73">
        <f>IF(Tank1!$C$23="No control",(SUMIF(Tank1!$B$32:$B$49,$J1822,Tank1!$C$32:$C$49)*Impacts!$F$8),0)</f>
        <v>0</v>
      </c>
      <c r="M1822" s="10">
        <f>IF(Tank2!$C$23="No control",(SUMIF(Tank2!$B$32:$B$49,$J1822,Tank2!$C$32:$C$49)*Impacts!$F$9),0)</f>
        <v>0</v>
      </c>
      <c r="N1822" s="10">
        <f>IF(Tank3!$C$23="No control",(SUMIF(Tank3!$B$32:$B$49,$J1822,Tank3!$C$32:$C$49)*Impacts!$F$10),0)</f>
        <v>0</v>
      </c>
      <c r="O1822" s="10">
        <f>IF(Tank4!$C$23="No control",(SUMIF(Tank4!$B$32:$B$49,$J1822,Tank4!$C$32:$C$49)*Impacts!$F$11),0)</f>
        <v>0</v>
      </c>
      <c r="P1822" s="10">
        <f>IF(Tank5!$C$23="No control",(SUMIF(Tank5!$B$32:$B$49,$J1822,Tank5!$C$32:$C$49)*Impacts!$F$12),0)</f>
        <v>0</v>
      </c>
      <c r="Q1822" s="10">
        <f>IFERROR(IF(('Loading-drum,tote'!$C$21)="No control",SUMIF(('Loading-drum,tote'!$B$31:$B$48),$J1822,('Loading-drum,tote'!$D$31:$D$48))*Impacts!$F$13,IF(('Loading-drum,tote'!$C$21)&lt;&gt;"No control",SUMIF(('Loading-drum,tote'!$B$31:$B$48),$J1822,('Loading-drum,tote'!$E$31:$E$48))*Impacts!$F$13,0)),0)</f>
        <v>0</v>
      </c>
      <c r="R1822" s="10">
        <f>IFERROR(IF(('Loading-truck'!$C$21)="No control",SUMIF(('Loading-truck'!$B$31:$B$48),$J1822,('Loading-truck'!$D$31:$D$48))*Impacts!$F$14,IF(('Loading-truck'!$C$21)&lt;&gt;"No control",SUMIF(('Loading-truck'!$B$31:$B$48),$J1822,('Loading-truck'!$E$31:$E$48))*Impacts!$F$14,0)),0)</f>
        <v>0</v>
      </c>
      <c r="S1822" s="10">
        <f>IFERROR(IF(('Loading-rail'!$C$21)="No control",SUMIF(('Loading-rail'!$B$31:$B$48),$J1822,('Loading-rail'!$D$31:$D$48))*Impacts!$F$15,IF(('Loading-rail'!$C$21)&lt;&gt;"No control",SUMIF(('Loading-rail'!$B$31:$B$48),$J1822,('Loading-rail'!$E$31:$E$48))*Impacts!$F$15,0)),0)</f>
        <v>0</v>
      </c>
      <c r="T1822" s="10">
        <f>IF(Flare!$C$7="",0,(SUMIF(Flare!$B$46:$B$185,$J1822,Flare!$E$46:$E$185)*Impacts!$F$16))</f>
        <v>0</v>
      </c>
      <c r="U1822" s="10">
        <f>IF(VCU!$C$9="",0,(SUMIF(VCU!$B$51:$B$193,$J1822,VCU!$E$51:$E$193)*Impacts!$F$17))</f>
        <v>0</v>
      </c>
      <c r="V1822" s="10">
        <f>IF(CAS!$C$7="",0,(SUMIF(CAS!$B$31:$B$167,$J1822,CAS!$E$31:$E$167)*Impacts!$F$18))</f>
        <v>0</v>
      </c>
      <c r="W1822" s="10">
        <f t="shared" si="69"/>
        <v>0</v>
      </c>
      <c r="AK1822" s="10" t="str">
        <f t="array" ref="AK1822">IFERROR(INDEX(SelectedSpecies,SMALL(IF(SelectedSpecies=AK$1,ROW(SelectedSpecies)),ROW(1823:1823)),2),"")</f>
        <v/>
      </c>
      <c r="BE1822" s="10"/>
      <c r="BI1822" s="10"/>
    </row>
    <row r="1823" spans="1:61" ht="21" customHeight="1" x14ac:dyDescent="0.25">
      <c r="A1823" s="10"/>
      <c r="B1823" s="10"/>
      <c r="E1823" s="10"/>
      <c r="G1823" s="10"/>
      <c r="I1823" s="436" t="s">
        <v>2877</v>
      </c>
      <c r="J1823" s="26" t="s">
        <v>2876</v>
      </c>
      <c r="K1823" s="10">
        <v>10</v>
      </c>
      <c r="L1823" s="73">
        <f>IF(Tank1!$C$23="No control",(SUMIF(Tank1!$B$32:$B$49,$J1823,Tank1!$C$32:$C$49)*Impacts!$F$8),0)</f>
        <v>0</v>
      </c>
      <c r="M1823" s="10">
        <f>IF(Tank2!$C$23="No control",(SUMIF(Tank2!$B$32:$B$49,$J1823,Tank2!$C$32:$C$49)*Impacts!$F$9),0)</f>
        <v>0</v>
      </c>
      <c r="N1823" s="10">
        <f>IF(Tank3!$C$23="No control",(SUMIF(Tank3!$B$32:$B$49,$J1823,Tank3!$C$32:$C$49)*Impacts!$F$10),0)</f>
        <v>0</v>
      </c>
      <c r="O1823" s="10">
        <f>IF(Tank4!$C$23="No control",(SUMIF(Tank4!$B$32:$B$49,$J1823,Tank4!$C$32:$C$49)*Impacts!$F$11),0)</f>
        <v>0</v>
      </c>
      <c r="P1823" s="10">
        <f>IF(Tank5!$C$23="No control",(SUMIF(Tank5!$B$32:$B$49,$J1823,Tank5!$C$32:$C$49)*Impacts!$F$12),0)</f>
        <v>0</v>
      </c>
      <c r="Q1823" s="10">
        <f>IFERROR(IF(('Loading-drum,tote'!$C$21)="No control",SUMIF(('Loading-drum,tote'!$B$31:$B$48),$J1823,('Loading-drum,tote'!$D$31:$D$48))*Impacts!$F$13,IF(('Loading-drum,tote'!$C$21)&lt;&gt;"No control",SUMIF(('Loading-drum,tote'!$B$31:$B$48),$J1823,('Loading-drum,tote'!$E$31:$E$48))*Impacts!$F$13,0)),0)</f>
        <v>0</v>
      </c>
      <c r="R1823" s="10">
        <f>IFERROR(IF(('Loading-truck'!$C$21)="No control",SUMIF(('Loading-truck'!$B$31:$B$48),$J1823,('Loading-truck'!$D$31:$D$48))*Impacts!$F$14,IF(('Loading-truck'!$C$21)&lt;&gt;"No control",SUMIF(('Loading-truck'!$B$31:$B$48),$J1823,('Loading-truck'!$E$31:$E$48))*Impacts!$F$14,0)),0)</f>
        <v>0</v>
      </c>
      <c r="S1823" s="10">
        <f>IFERROR(IF(('Loading-rail'!$C$21)="No control",SUMIF(('Loading-rail'!$B$31:$B$48),$J1823,('Loading-rail'!$D$31:$D$48))*Impacts!$F$15,IF(('Loading-rail'!$C$21)&lt;&gt;"No control",SUMIF(('Loading-rail'!$B$31:$B$48),$J1823,('Loading-rail'!$E$31:$E$48))*Impacts!$F$15,0)),0)</f>
        <v>0</v>
      </c>
      <c r="T1823" s="10">
        <f>IF(Flare!$C$7="",0,(SUMIF(Flare!$B$46:$B$185,$J1823,Flare!$E$46:$E$185)*Impacts!$F$16))</f>
        <v>0</v>
      </c>
      <c r="U1823" s="10">
        <f>IF(VCU!$C$9="",0,(SUMIF(VCU!$B$51:$B$193,$J1823,VCU!$E$51:$E$193)*Impacts!$F$17))</f>
        <v>0</v>
      </c>
      <c r="V1823" s="10">
        <f>IF(CAS!$C$7="",0,(SUMIF(CAS!$B$31:$B$167,$J1823,CAS!$E$31:$E$167)*Impacts!$F$18))</f>
        <v>0</v>
      </c>
      <c r="W1823" s="10">
        <f t="shared" si="69"/>
        <v>0</v>
      </c>
      <c r="AK1823" s="10" t="str">
        <f t="array" ref="AK1823">IFERROR(INDEX(SelectedSpecies,SMALL(IF(SelectedSpecies=AK$1,ROW(SelectedSpecies)),ROW(1824:1824)),2),"")</f>
        <v/>
      </c>
      <c r="BE1823" s="10"/>
      <c r="BI1823" s="10"/>
    </row>
    <row r="1824" spans="1:61" ht="21" customHeight="1" x14ac:dyDescent="0.25">
      <c r="A1824" s="10"/>
      <c r="B1824" s="10"/>
      <c r="E1824" s="10"/>
      <c r="G1824" s="10"/>
      <c r="I1824" s="436" t="s">
        <v>8058</v>
      </c>
      <c r="J1824" s="26" t="s">
        <v>8057</v>
      </c>
      <c r="K1824" s="10">
        <v>2.0000000000000004E-2</v>
      </c>
      <c r="L1824" s="73">
        <f>IF(Tank1!$C$23="No control",(SUMIF(Tank1!$B$32:$B$49,$J1824,Tank1!$C$32:$C$49)*Impacts!$F$8),0)</f>
        <v>0</v>
      </c>
      <c r="M1824" s="10">
        <f>IF(Tank2!$C$23="No control",(SUMIF(Tank2!$B$32:$B$49,$J1824,Tank2!$C$32:$C$49)*Impacts!$F$9),0)</f>
        <v>0</v>
      </c>
      <c r="N1824" s="10">
        <f>IF(Tank3!$C$23="No control",(SUMIF(Tank3!$B$32:$B$49,$J1824,Tank3!$C$32:$C$49)*Impacts!$F$10),0)</f>
        <v>0</v>
      </c>
      <c r="O1824" s="10">
        <f>IF(Tank4!$C$23="No control",(SUMIF(Tank4!$B$32:$B$49,$J1824,Tank4!$C$32:$C$49)*Impacts!$F$11),0)</f>
        <v>0</v>
      </c>
      <c r="P1824" s="10">
        <f>IF(Tank5!$C$23="No control",(SUMIF(Tank5!$B$32:$B$49,$J1824,Tank5!$C$32:$C$49)*Impacts!$F$12),0)</f>
        <v>0</v>
      </c>
      <c r="Q1824" s="10">
        <f>IFERROR(IF(('Loading-drum,tote'!$C$21)="No control",SUMIF(('Loading-drum,tote'!$B$31:$B$48),$J1824,('Loading-drum,tote'!$D$31:$D$48))*Impacts!$F$13,IF(('Loading-drum,tote'!$C$21)&lt;&gt;"No control",SUMIF(('Loading-drum,tote'!$B$31:$B$48),$J1824,('Loading-drum,tote'!$E$31:$E$48))*Impacts!$F$13,0)),0)</f>
        <v>0</v>
      </c>
      <c r="R1824" s="10">
        <f>IFERROR(IF(('Loading-truck'!$C$21)="No control",SUMIF(('Loading-truck'!$B$31:$B$48),$J1824,('Loading-truck'!$D$31:$D$48))*Impacts!$F$14,IF(('Loading-truck'!$C$21)&lt;&gt;"No control",SUMIF(('Loading-truck'!$B$31:$B$48),$J1824,('Loading-truck'!$E$31:$E$48))*Impacts!$F$14,0)),0)</f>
        <v>0</v>
      </c>
      <c r="S1824" s="10">
        <f>IFERROR(IF(('Loading-rail'!$C$21)="No control",SUMIF(('Loading-rail'!$B$31:$B$48),$J1824,('Loading-rail'!$D$31:$D$48))*Impacts!$F$15,IF(('Loading-rail'!$C$21)&lt;&gt;"No control",SUMIF(('Loading-rail'!$B$31:$B$48),$J1824,('Loading-rail'!$E$31:$E$48))*Impacts!$F$15,0)),0)</f>
        <v>0</v>
      </c>
      <c r="T1824" s="10">
        <f>IF(Flare!$C$7="",0,(SUMIF(Flare!$B$46:$B$185,$J1824,Flare!$E$46:$E$185)*Impacts!$F$16))</f>
        <v>0</v>
      </c>
      <c r="U1824" s="10">
        <f>IF(VCU!$C$9="",0,(SUMIF(VCU!$B$51:$B$193,$J1824,VCU!$E$51:$E$193)*Impacts!$F$17))</f>
        <v>0</v>
      </c>
      <c r="V1824" s="10">
        <f>IF(CAS!$C$7="",0,(SUMIF(CAS!$B$31:$B$167,$J1824,CAS!$E$31:$E$167)*Impacts!$F$18))</f>
        <v>0</v>
      </c>
      <c r="W1824" s="10">
        <f t="shared" si="69"/>
        <v>0</v>
      </c>
      <c r="AK1824" s="10" t="str">
        <f t="array" ref="AK1824">IFERROR(INDEX(SelectedSpecies,SMALL(IF(SelectedSpecies=AK$1,ROW(SelectedSpecies)),ROW(1825:1825)),2),"")</f>
        <v/>
      </c>
      <c r="BE1824" s="10"/>
      <c r="BI1824" s="10"/>
    </row>
    <row r="1825" spans="1:61" ht="21" customHeight="1" x14ac:dyDescent="0.25">
      <c r="A1825" s="10"/>
      <c r="B1825" s="10"/>
      <c r="E1825" s="10"/>
      <c r="G1825" s="10"/>
      <c r="I1825" s="436" t="s">
        <v>7736</v>
      </c>
      <c r="J1825" s="26" t="s">
        <v>7735</v>
      </c>
      <c r="K1825" s="10">
        <v>0.1</v>
      </c>
      <c r="L1825" s="73">
        <f>IF(Tank1!$C$23="No control",(SUMIF(Tank1!$B$32:$B$49,$J1825,Tank1!$C$32:$C$49)*Impacts!$F$8),0)</f>
        <v>0</v>
      </c>
      <c r="M1825" s="10">
        <f>IF(Tank2!$C$23="No control",(SUMIF(Tank2!$B$32:$B$49,$J1825,Tank2!$C$32:$C$49)*Impacts!$F$9),0)</f>
        <v>0</v>
      </c>
      <c r="N1825" s="10">
        <f>IF(Tank3!$C$23="No control",(SUMIF(Tank3!$B$32:$B$49,$J1825,Tank3!$C$32:$C$49)*Impacts!$F$10),0)</f>
        <v>0</v>
      </c>
      <c r="O1825" s="10">
        <f>IF(Tank4!$C$23="No control",(SUMIF(Tank4!$B$32:$B$49,$J1825,Tank4!$C$32:$C$49)*Impacts!$F$11),0)</f>
        <v>0</v>
      </c>
      <c r="P1825" s="10">
        <f>IF(Tank5!$C$23="No control",(SUMIF(Tank5!$B$32:$B$49,$J1825,Tank5!$C$32:$C$49)*Impacts!$F$12),0)</f>
        <v>0</v>
      </c>
      <c r="Q1825" s="10">
        <f>IFERROR(IF(('Loading-drum,tote'!$C$21)="No control",SUMIF(('Loading-drum,tote'!$B$31:$B$48),$J1825,('Loading-drum,tote'!$D$31:$D$48))*Impacts!$F$13,IF(('Loading-drum,tote'!$C$21)&lt;&gt;"No control",SUMIF(('Loading-drum,tote'!$B$31:$B$48),$J1825,('Loading-drum,tote'!$E$31:$E$48))*Impacts!$F$13,0)),0)</f>
        <v>0</v>
      </c>
      <c r="R1825" s="10">
        <f>IFERROR(IF(('Loading-truck'!$C$21)="No control",SUMIF(('Loading-truck'!$B$31:$B$48),$J1825,('Loading-truck'!$D$31:$D$48))*Impacts!$F$14,IF(('Loading-truck'!$C$21)&lt;&gt;"No control",SUMIF(('Loading-truck'!$B$31:$B$48),$J1825,('Loading-truck'!$E$31:$E$48))*Impacts!$F$14,0)),0)</f>
        <v>0</v>
      </c>
      <c r="S1825" s="10">
        <f>IFERROR(IF(('Loading-rail'!$C$21)="No control",SUMIF(('Loading-rail'!$B$31:$B$48),$J1825,('Loading-rail'!$D$31:$D$48))*Impacts!$F$15,IF(('Loading-rail'!$C$21)&lt;&gt;"No control",SUMIF(('Loading-rail'!$B$31:$B$48),$J1825,('Loading-rail'!$E$31:$E$48))*Impacts!$F$15,0)),0)</f>
        <v>0</v>
      </c>
      <c r="T1825" s="10">
        <f>IF(Flare!$C$7="",0,(SUMIF(Flare!$B$46:$B$185,$J1825,Flare!$E$46:$E$185)*Impacts!$F$16))</f>
        <v>0</v>
      </c>
      <c r="U1825" s="10">
        <f>IF(VCU!$C$9="",0,(SUMIF(VCU!$B$51:$B$193,$J1825,VCU!$E$51:$E$193)*Impacts!$F$17))</f>
        <v>0</v>
      </c>
      <c r="V1825" s="10">
        <f>IF(CAS!$C$7="",0,(SUMIF(CAS!$B$31:$B$167,$J1825,CAS!$E$31:$E$167)*Impacts!$F$18))</f>
        <v>0</v>
      </c>
      <c r="W1825" s="10">
        <f t="shared" si="69"/>
        <v>0</v>
      </c>
      <c r="AK1825" s="10" t="str">
        <f t="array" ref="AK1825">IFERROR(INDEX(SelectedSpecies,SMALL(IF(SelectedSpecies=AK$1,ROW(SelectedSpecies)),ROW(1826:1826)),2),"")</f>
        <v/>
      </c>
      <c r="BE1825" s="10"/>
      <c r="BI1825" s="10"/>
    </row>
    <row r="1826" spans="1:61" ht="21" customHeight="1" x14ac:dyDescent="0.25">
      <c r="A1826" s="10"/>
      <c r="B1826" s="10"/>
      <c r="E1826" s="10"/>
      <c r="G1826" s="10"/>
      <c r="I1826" s="436" t="s">
        <v>5111</v>
      </c>
      <c r="J1826" s="26" t="s">
        <v>5110</v>
      </c>
      <c r="K1826" s="10">
        <v>2.1</v>
      </c>
      <c r="L1826" s="73">
        <f>IF(Tank1!$C$23="No control",(SUMIF(Tank1!$B$32:$B$49,$J1826,Tank1!$C$32:$C$49)*Impacts!$F$8),0)</f>
        <v>0</v>
      </c>
      <c r="M1826" s="10">
        <f>IF(Tank2!$C$23="No control",(SUMIF(Tank2!$B$32:$B$49,$J1826,Tank2!$C$32:$C$49)*Impacts!$F$9),0)</f>
        <v>0</v>
      </c>
      <c r="N1826" s="10">
        <f>IF(Tank3!$C$23="No control",(SUMIF(Tank3!$B$32:$B$49,$J1826,Tank3!$C$32:$C$49)*Impacts!$F$10),0)</f>
        <v>0</v>
      </c>
      <c r="O1826" s="10">
        <f>IF(Tank4!$C$23="No control",(SUMIF(Tank4!$B$32:$B$49,$J1826,Tank4!$C$32:$C$49)*Impacts!$F$11),0)</f>
        <v>0</v>
      </c>
      <c r="P1826" s="10">
        <f>IF(Tank5!$C$23="No control",(SUMIF(Tank5!$B$32:$B$49,$J1826,Tank5!$C$32:$C$49)*Impacts!$F$12),0)</f>
        <v>0</v>
      </c>
      <c r="Q1826" s="10">
        <f>IFERROR(IF(('Loading-drum,tote'!$C$21)="No control",SUMIF(('Loading-drum,tote'!$B$31:$B$48),$J1826,('Loading-drum,tote'!$D$31:$D$48))*Impacts!$F$13,IF(('Loading-drum,tote'!$C$21)&lt;&gt;"No control",SUMIF(('Loading-drum,tote'!$B$31:$B$48),$J1826,('Loading-drum,tote'!$E$31:$E$48))*Impacts!$F$13,0)),0)</f>
        <v>0</v>
      </c>
      <c r="R1826" s="10">
        <f>IFERROR(IF(('Loading-truck'!$C$21)="No control",SUMIF(('Loading-truck'!$B$31:$B$48),$J1826,('Loading-truck'!$D$31:$D$48))*Impacts!$F$14,IF(('Loading-truck'!$C$21)&lt;&gt;"No control",SUMIF(('Loading-truck'!$B$31:$B$48),$J1826,('Loading-truck'!$E$31:$E$48))*Impacts!$F$14,0)),0)</f>
        <v>0</v>
      </c>
      <c r="S1826" s="10">
        <f>IFERROR(IF(('Loading-rail'!$C$21)="No control",SUMIF(('Loading-rail'!$B$31:$B$48),$J1826,('Loading-rail'!$D$31:$D$48))*Impacts!$F$15,IF(('Loading-rail'!$C$21)&lt;&gt;"No control",SUMIF(('Loading-rail'!$B$31:$B$48),$J1826,('Loading-rail'!$E$31:$E$48))*Impacts!$F$15,0)),0)</f>
        <v>0</v>
      </c>
      <c r="T1826" s="10">
        <f>IF(Flare!$C$7="",0,(SUMIF(Flare!$B$46:$B$185,$J1826,Flare!$E$46:$E$185)*Impacts!$F$16))</f>
        <v>0</v>
      </c>
      <c r="U1826" s="10">
        <f>IF(VCU!$C$9="",0,(SUMIF(VCU!$B$51:$B$193,$J1826,VCU!$E$51:$E$193)*Impacts!$F$17))</f>
        <v>0</v>
      </c>
      <c r="V1826" s="10">
        <f>IF(CAS!$C$7="",0,(SUMIF(CAS!$B$31:$B$167,$J1826,CAS!$E$31:$E$167)*Impacts!$F$18))</f>
        <v>0</v>
      </c>
      <c r="W1826" s="10">
        <f t="shared" si="69"/>
        <v>0</v>
      </c>
      <c r="AK1826" s="10" t="str">
        <f t="array" ref="AK1826">IFERROR(INDEX(SelectedSpecies,SMALL(IF(SelectedSpecies=AK$1,ROW(SelectedSpecies)),ROW(1827:1827)),2),"")</f>
        <v/>
      </c>
      <c r="BE1826" s="10"/>
      <c r="BI1826" s="10"/>
    </row>
    <row r="1827" spans="1:61" ht="21" customHeight="1" x14ac:dyDescent="0.25">
      <c r="A1827" s="10"/>
      <c r="B1827" s="10"/>
      <c r="E1827" s="10"/>
      <c r="G1827" s="10"/>
      <c r="I1827" s="436" t="s">
        <v>5049</v>
      </c>
      <c r="J1827" s="26" t="s">
        <v>5048</v>
      </c>
      <c r="K1827" s="10">
        <v>2.3000000000000003</v>
      </c>
      <c r="L1827" s="73">
        <f>IF(Tank1!$C$23="No control",(SUMIF(Tank1!$B$32:$B$49,$J1827,Tank1!$C$32:$C$49)*Impacts!$F$8),0)</f>
        <v>0</v>
      </c>
      <c r="M1827" s="10">
        <f>IF(Tank2!$C$23="No control",(SUMIF(Tank2!$B$32:$B$49,$J1827,Tank2!$C$32:$C$49)*Impacts!$F$9),0)</f>
        <v>0</v>
      </c>
      <c r="N1827" s="10">
        <f>IF(Tank3!$C$23="No control",(SUMIF(Tank3!$B$32:$B$49,$J1827,Tank3!$C$32:$C$49)*Impacts!$F$10),0)</f>
        <v>0</v>
      </c>
      <c r="O1827" s="10">
        <f>IF(Tank4!$C$23="No control",(SUMIF(Tank4!$B$32:$B$49,$J1827,Tank4!$C$32:$C$49)*Impacts!$F$11),0)</f>
        <v>0</v>
      </c>
      <c r="P1827" s="10">
        <f>IF(Tank5!$C$23="No control",(SUMIF(Tank5!$B$32:$B$49,$J1827,Tank5!$C$32:$C$49)*Impacts!$F$12),0)</f>
        <v>0</v>
      </c>
      <c r="Q1827" s="10">
        <f>IFERROR(IF(('Loading-drum,tote'!$C$21)="No control",SUMIF(('Loading-drum,tote'!$B$31:$B$48),$J1827,('Loading-drum,tote'!$D$31:$D$48))*Impacts!$F$13,IF(('Loading-drum,tote'!$C$21)&lt;&gt;"No control",SUMIF(('Loading-drum,tote'!$B$31:$B$48),$J1827,('Loading-drum,tote'!$E$31:$E$48))*Impacts!$F$13,0)),0)</f>
        <v>0</v>
      </c>
      <c r="R1827" s="10">
        <f>IFERROR(IF(('Loading-truck'!$C$21)="No control",SUMIF(('Loading-truck'!$B$31:$B$48),$J1827,('Loading-truck'!$D$31:$D$48))*Impacts!$F$14,IF(('Loading-truck'!$C$21)&lt;&gt;"No control",SUMIF(('Loading-truck'!$B$31:$B$48),$J1827,('Loading-truck'!$E$31:$E$48))*Impacts!$F$14,0)),0)</f>
        <v>0</v>
      </c>
      <c r="S1827" s="10">
        <f>IFERROR(IF(('Loading-rail'!$C$21)="No control",SUMIF(('Loading-rail'!$B$31:$B$48),$J1827,('Loading-rail'!$D$31:$D$48))*Impacts!$F$15,IF(('Loading-rail'!$C$21)&lt;&gt;"No control",SUMIF(('Loading-rail'!$B$31:$B$48),$J1827,('Loading-rail'!$E$31:$E$48))*Impacts!$F$15,0)),0)</f>
        <v>0</v>
      </c>
      <c r="T1827" s="10">
        <f>IF(Flare!$C$7="",0,(SUMIF(Flare!$B$46:$B$185,$J1827,Flare!$E$46:$E$185)*Impacts!$F$16))</f>
        <v>0</v>
      </c>
      <c r="U1827" s="10">
        <f>IF(VCU!$C$9="",0,(SUMIF(VCU!$B$51:$B$193,$J1827,VCU!$E$51:$E$193)*Impacts!$F$17))</f>
        <v>0</v>
      </c>
      <c r="V1827" s="10">
        <f>IF(CAS!$C$7="",0,(SUMIF(CAS!$B$31:$B$167,$J1827,CAS!$E$31:$E$167)*Impacts!$F$18))</f>
        <v>0</v>
      </c>
      <c r="W1827" s="10">
        <f t="shared" si="69"/>
        <v>0</v>
      </c>
      <c r="AK1827" s="10" t="str">
        <f t="array" ref="AK1827">IFERROR(INDEX(SelectedSpecies,SMALL(IF(SelectedSpecies=AK$1,ROW(SelectedSpecies)),ROW(1828:1828)),2),"")</f>
        <v/>
      </c>
      <c r="BE1827" s="10"/>
      <c r="BI1827" s="10"/>
    </row>
    <row r="1828" spans="1:61" ht="21" customHeight="1" x14ac:dyDescent="0.25">
      <c r="A1828" s="10"/>
      <c r="B1828" s="10"/>
      <c r="E1828" s="10"/>
      <c r="G1828" s="10"/>
      <c r="I1828" s="436" t="s">
        <v>2131</v>
      </c>
      <c r="J1828" s="26" t="s">
        <v>2130</v>
      </c>
      <c r="K1828" s="10">
        <v>15</v>
      </c>
      <c r="L1828" s="73">
        <f>IF(Tank1!$C$23="No control",(SUMIF(Tank1!$B$32:$B$49,$J1828,Tank1!$C$32:$C$49)*Impacts!$F$8),0)</f>
        <v>0</v>
      </c>
      <c r="M1828" s="10">
        <f>IF(Tank2!$C$23="No control",(SUMIF(Tank2!$B$32:$B$49,$J1828,Tank2!$C$32:$C$49)*Impacts!$F$9),0)</f>
        <v>0</v>
      </c>
      <c r="N1828" s="10">
        <f>IF(Tank3!$C$23="No control",(SUMIF(Tank3!$B$32:$B$49,$J1828,Tank3!$C$32:$C$49)*Impacts!$F$10),0)</f>
        <v>0</v>
      </c>
      <c r="O1828" s="10">
        <f>IF(Tank4!$C$23="No control",(SUMIF(Tank4!$B$32:$B$49,$J1828,Tank4!$C$32:$C$49)*Impacts!$F$11),0)</f>
        <v>0</v>
      </c>
      <c r="P1828" s="10">
        <f>IF(Tank5!$C$23="No control",(SUMIF(Tank5!$B$32:$B$49,$J1828,Tank5!$C$32:$C$49)*Impacts!$F$12),0)</f>
        <v>0</v>
      </c>
      <c r="Q1828" s="10">
        <f>IFERROR(IF(('Loading-drum,tote'!$C$21)="No control",SUMIF(('Loading-drum,tote'!$B$31:$B$48),$J1828,('Loading-drum,tote'!$D$31:$D$48))*Impacts!$F$13,IF(('Loading-drum,tote'!$C$21)&lt;&gt;"No control",SUMIF(('Loading-drum,tote'!$B$31:$B$48),$J1828,('Loading-drum,tote'!$E$31:$E$48))*Impacts!$F$13,0)),0)</f>
        <v>0</v>
      </c>
      <c r="R1828" s="10">
        <f>IFERROR(IF(('Loading-truck'!$C$21)="No control",SUMIF(('Loading-truck'!$B$31:$B$48),$J1828,('Loading-truck'!$D$31:$D$48))*Impacts!$F$14,IF(('Loading-truck'!$C$21)&lt;&gt;"No control",SUMIF(('Loading-truck'!$B$31:$B$48),$J1828,('Loading-truck'!$E$31:$E$48))*Impacts!$F$14,0)),0)</f>
        <v>0</v>
      </c>
      <c r="S1828" s="10">
        <f>IFERROR(IF(('Loading-rail'!$C$21)="No control",SUMIF(('Loading-rail'!$B$31:$B$48),$J1828,('Loading-rail'!$D$31:$D$48))*Impacts!$F$15,IF(('Loading-rail'!$C$21)&lt;&gt;"No control",SUMIF(('Loading-rail'!$B$31:$B$48),$J1828,('Loading-rail'!$E$31:$E$48))*Impacts!$F$15,0)),0)</f>
        <v>0</v>
      </c>
      <c r="T1828" s="10">
        <f>IF(Flare!$C$7="",0,(SUMIF(Flare!$B$46:$B$185,$J1828,Flare!$E$46:$E$185)*Impacts!$F$16))</f>
        <v>0</v>
      </c>
      <c r="U1828" s="10">
        <f>IF(VCU!$C$9="",0,(SUMIF(VCU!$B$51:$B$193,$J1828,VCU!$E$51:$E$193)*Impacts!$F$17))</f>
        <v>0</v>
      </c>
      <c r="V1828" s="10">
        <f>IF(CAS!$C$7="",0,(SUMIF(CAS!$B$31:$B$167,$J1828,CAS!$E$31:$E$167)*Impacts!$F$18))</f>
        <v>0</v>
      </c>
      <c r="W1828" s="10">
        <f t="shared" si="69"/>
        <v>0</v>
      </c>
      <c r="AK1828" s="10" t="str">
        <f t="array" ref="AK1828">IFERROR(INDEX(SelectedSpecies,SMALL(IF(SelectedSpecies=AK$1,ROW(SelectedSpecies)),ROW(1829:1829)),2),"")</f>
        <v/>
      </c>
      <c r="BE1828" s="10"/>
      <c r="BI1828" s="10"/>
    </row>
    <row r="1829" spans="1:61" ht="21" customHeight="1" x14ac:dyDescent="0.25">
      <c r="A1829" s="10"/>
      <c r="B1829" s="10"/>
      <c r="E1829" s="10"/>
      <c r="G1829" s="10"/>
      <c r="I1829" s="436" t="s">
        <v>3585</v>
      </c>
      <c r="J1829" s="26" t="s">
        <v>3584</v>
      </c>
      <c r="K1829" s="10">
        <v>8</v>
      </c>
      <c r="L1829" s="73">
        <f>IF(Tank1!$C$23="No control",(SUMIF(Tank1!$B$32:$B$49,$J1829,Tank1!$C$32:$C$49)*Impacts!$F$8),0)</f>
        <v>0</v>
      </c>
      <c r="M1829" s="10">
        <f>IF(Tank2!$C$23="No control",(SUMIF(Tank2!$B$32:$B$49,$J1829,Tank2!$C$32:$C$49)*Impacts!$F$9),0)</f>
        <v>0</v>
      </c>
      <c r="N1829" s="10">
        <f>IF(Tank3!$C$23="No control",(SUMIF(Tank3!$B$32:$B$49,$J1829,Tank3!$C$32:$C$49)*Impacts!$F$10),0)</f>
        <v>0</v>
      </c>
      <c r="O1829" s="10">
        <f>IF(Tank4!$C$23="No control",(SUMIF(Tank4!$B$32:$B$49,$J1829,Tank4!$C$32:$C$49)*Impacts!$F$11),0)</f>
        <v>0</v>
      </c>
      <c r="P1829" s="10">
        <f>IF(Tank5!$C$23="No control",(SUMIF(Tank5!$B$32:$B$49,$J1829,Tank5!$C$32:$C$49)*Impacts!$F$12),0)</f>
        <v>0</v>
      </c>
      <c r="Q1829" s="10">
        <f>IFERROR(IF(('Loading-drum,tote'!$C$21)="No control",SUMIF(('Loading-drum,tote'!$B$31:$B$48),$J1829,('Loading-drum,tote'!$D$31:$D$48))*Impacts!$F$13,IF(('Loading-drum,tote'!$C$21)&lt;&gt;"No control",SUMIF(('Loading-drum,tote'!$B$31:$B$48),$J1829,('Loading-drum,tote'!$E$31:$E$48))*Impacts!$F$13,0)),0)</f>
        <v>0</v>
      </c>
      <c r="R1829" s="10">
        <f>IFERROR(IF(('Loading-truck'!$C$21)="No control",SUMIF(('Loading-truck'!$B$31:$B$48),$J1829,('Loading-truck'!$D$31:$D$48))*Impacts!$F$14,IF(('Loading-truck'!$C$21)&lt;&gt;"No control",SUMIF(('Loading-truck'!$B$31:$B$48),$J1829,('Loading-truck'!$E$31:$E$48))*Impacts!$F$14,0)),0)</f>
        <v>0</v>
      </c>
      <c r="S1829" s="10">
        <f>IFERROR(IF(('Loading-rail'!$C$21)="No control",SUMIF(('Loading-rail'!$B$31:$B$48),$J1829,('Loading-rail'!$D$31:$D$48))*Impacts!$F$15,IF(('Loading-rail'!$C$21)&lt;&gt;"No control",SUMIF(('Loading-rail'!$B$31:$B$48),$J1829,('Loading-rail'!$E$31:$E$48))*Impacts!$F$15,0)),0)</f>
        <v>0</v>
      </c>
      <c r="T1829" s="10">
        <f>IF(Flare!$C$7="",0,(SUMIF(Flare!$B$46:$B$185,$J1829,Flare!$E$46:$E$185)*Impacts!$F$16))</f>
        <v>0</v>
      </c>
      <c r="U1829" s="10">
        <f>IF(VCU!$C$9="",0,(SUMIF(VCU!$B$51:$B$193,$J1829,VCU!$E$51:$E$193)*Impacts!$F$17))</f>
        <v>0</v>
      </c>
      <c r="V1829" s="10">
        <f>IF(CAS!$C$7="",0,(SUMIF(CAS!$B$31:$B$167,$J1829,CAS!$E$31:$E$167)*Impacts!$F$18))</f>
        <v>0</v>
      </c>
      <c r="W1829" s="10">
        <f t="shared" si="69"/>
        <v>0</v>
      </c>
      <c r="AK1829" s="10" t="str">
        <f t="array" ref="AK1829">IFERROR(INDEX(SelectedSpecies,SMALL(IF(SelectedSpecies=AK$1,ROW(SelectedSpecies)),ROW(1830:1830)),2),"")</f>
        <v/>
      </c>
      <c r="BE1829" s="10"/>
      <c r="BI1829" s="10"/>
    </row>
    <row r="1830" spans="1:61" ht="21" customHeight="1" x14ac:dyDescent="0.25">
      <c r="A1830" s="10"/>
      <c r="B1830" s="10"/>
      <c r="E1830" s="10"/>
      <c r="G1830" s="10"/>
      <c r="I1830" s="436" t="s">
        <v>5265</v>
      </c>
      <c r="J1830" s="26" t="s">
        <v>5264</v>
      </c>
      <c r="K1830" s="10">
        <v>1.8</v>
      </c>
      <c r="L1830" s="73">
        <f>IF(Tank1!$C$23="No control",(SUMIF(Tank1!$B$32:$B$49,$J1830,Tank1!$C$32:$C$49)*Impacts!$F$8),0)</f>
        <v>0</v>
      </c>
      <c r="M1830" s="10">
        <f>IF(Tank2!$C$23="No control",(SUMIF(Tank2!$B$32:$B$49,$J1830,Tank2!$C$32:$C$49)*Impacts!$F$9),0)</f>
        <v>0</v>
      </c>
      <c r="N1830" s="10">
        <f>IF(Tank3!$C$23="No control",(SUMIF(Tank3!$B$32:$B$49,$J1830,Tank3!$C$32:$C$49)*Impacts!$F$10),0)</f>
        <v>0</v>
      </c>
      <c r="O1830" s="10">
        <f>IF(Tank4!$C$23="No control",(SUMIF(Tank4!$B$32:$B$49,$J1830,Tank4!$C$32:$C$49)*Impacts!$F$11),0)</f>
        <v>0</v>
      </c>
      <c r="P1830" s="10">
        <f>IF(Tank5!$C$23="No control",(SUMIF(Tank5!$B$32:$B$49,$J1830,Tank5!$C$32:$C$49)*Impacts!$F$12),0)</f>
        <v>0</v>
      </c>
      <c r="Q1830" s="10">
        <f>IFERROR(IF(('Loading-drum,tote'!$C$21)="No control",SUMIF(('Loading-drum,tote'!$B$31:$B$48),$J1830,('Loading-drum,tote'!$D$31:$D$48))*Impacts!$F$13,IF(('Loading-drum,tote'!$C$21)&lt;&gt;"No control",SUMIF(('Loading-drum,tote'!$B$31:$B$48),$J1830,('Loading-drum,tote'!$E$31:$E$48))*Impacts!$F$13,0)),0)</f>
        <v>0</v>
      </c>
      <c r="R1830" s="10">
        <f>IFERROR(IF(('Loading-truck'!$C$21)="No control",SUMIF(('Loading-truck'!$B$31:$B$48),$J1830,('Loading-truck'!$D$31:$D$48))*Impacts!$F$14,IF(('Loading-truck'!$C$21)&lt;&gt;"No control",SUMIF(('Loading-truck'!$B$31:$B$48),$J1830,('Loading-truck'!$E$31:$E$48))*Impacts!$F$14,0)),0)</f>
        <v>0</v>
      </c>
      <c r="S1830" s="10">
        <f>IFERROR(IF(('Loading-rail'!$C$21)="No control",SUMIF(('Loading-rail'!$B$31:$B$48),$J1830,('Loading-rail'!$D$31:$D$48))*Impacts!$F$15,IF(('Loading-rail'!$C$21)&lt;&gt;"No control",SUMIF(('Loading-rail'!$B$31:$B$48),$J1830,('Loading-rail'!$E$31:$E$48))*Impacts!$F$15,0)),0)</f>
        <v>0</v>
      </c>
      <c r="T1830" s="10">
        <f>IF(Flare!$C$7="",0,(SUMIF(Flare!$B$46:$B$185,$J1830,Flare!$E$46:$E$185)*Impacts!$F$16))</f>
        <v>0</v>
      </c>
      <c r="U1830" s="10">
        <f>IF(VCU!$C$9="",0,(SUMIF(VCU!$B$51:$B$193,$J1830,VCU!$E$51:$E$193)*Impacts!$F$17))</f>
        <v>0</v>
      </c>
      <c r="V1830" s="10">
        <f>IF(CAS!$C$7="",0,(SUMIF(CAS!$B$31:$B$167,$J1830,CAS!$E$31:$E$167)*Impacts!$F$18))</f>
        <v>0</v>
      </c>
      <c r="W1830" s="10">
        <f t="shared" si="69"/>
        <v>0</v>
      </c>
      <c r="AK1830" s="10" t="str">
        <f t="array" ref="AK1830">IFERROR(INDEX(SelectedSpecies,SMALL(IF(SelectedSpecies=AK$1,ROW(SelectedSpecies)),ROW(1831:1831)),2),"")</f>
        <v/>
      </c>
      <c r="BE1830" s="10"/>
      <c r="BI1830" s="10"/>
    </row>
    <row r="1831" spans="1:61" ht="21" customHeight="1" x14ac:dyDescent="0.25">
      <c r="A1831" s="10"/>
      <c r="B1831" s="10"/>
      <c r="E1831" s="10"/>
      <c r="G1831" s="10"/>
      <c r="I1831" s="436" t="s">
        <v>5267</v>
      </c>
      <c r="J1831" s="26" t="s">
        <v>5266</v>
      </c>
      <c r="K1831" s="10">
        <v>1.8</v>
      </c>
      <c r="L1831" s="73">
        <f>IF(Tank1!$C$23="No control",(SUMIF(Tank1!$B$32:$B$49,$J1831,Tank1!$C$32:$C$49)*Impacts!$F$8),0)</f>
        <v>0</v>
      </c>
      <c r="M1831" s="10">
        <f>IF(Tank2!$C$23="No control",(SUMIF(Tank2!$B$32:$B$49,$J1831,Tank2!$C$32:$C$49)*Impacts!$F$9),0)</f>
        <v>0</v>
      </c>
      <c r="N1831" s="10">
        <f>IF(Tank3!$C$23="No control",(SUMIF(Tank3!$B$32:$B$49,$J1831,Tank3!$C$32:$C$49)*Impacts!$F$10),0)</f>
        <v>0</v>
      </c>
      <c r="O1831" s="10">
        <f>IF(Tank4!$C$23="No control",(SUMIF(Tank4!$B$32:$B$49,$J1831,Tank4!$C$32:$C$49)*Impacts!$F$11),0)</f>
        <v>0</v>
      </c>
      <c r="P1831" s="10">
        <f>IF(Tank5!$C$23="No control",(SUMIF(Tank5!$B$32:$B$49,$J1831,Tank5!$C$32:$C$49)*Impacts!$F$12),0)</f>
        <v>0</v>
      </c>
      <c r="Q1831" s="10">
        <f>IFERROR(IF(('Loading-drum,tote'!$C$21)="No control",SUMIF(('Loading-drum,tote'!$B$31:$B$48),$J1831,('Loading-drum,tote'!$D$31:$D$48))*Impacts!$F$13,IF(('Loading-drum,tote'!$C$21)&lt;&gt;"No control",SUMIF(('Loading-drum,tote'!$B$31:$B$48),$J1831,('Loading-drum,tote'!$E$31:$E$48))*Impacts!$F$13,0)),0)</f>
        <v>0</v>
      </c>
      <c r="R1831" s="10">
        <f>IFERROR(IF(('Loading-truck'!$C$21)="No control",SUMIF(('Loading-truck'!$B$31:$B$48),$J1831,('Loading-truck'!$D$31:$D$48))*Impacts!$F$14,IF(('Loading-truck'!$C$21)&lt;&gt;"No control",SUMIF(('Loading-truck'!$B$31:$B$48),$J1831,('Loading-truck'!$E$31:$E$48))*Impacts!$F$14,0)),0)</f>
        <v>0</v>
      </c>
      <c r="S1831" s="10">
        <f>IFERROR(IF(('Loading-rail'!$C$21)="No control",SUMIF(('Loading-rail'!$B$31:$B$48),$J1831,('Loading-rail'!$D$31:$D$48))*Impacts!$F$15,IF(('Loading-rail'!$C$21)&lt;&gt;"No control",SUMIF(('Loading-rail'!$B$31:$B$48),$J1831,('Loading-rail'!$E$31:$E$48))*Impacts!$F$15,0)),0)</f>
        <v>0</v>
      </c>
      <c r="T1831" s="10">
        <f>IF(Flare!$C$7="",0,(SUMIF(Flare!$B$46:$B$185,$J1831,Flare!$E$46:$E$185)*Impacts!$F$16))</f>
        <v>0</v>
      </c>
      <c r="U1831" s="10">
        <f>IF(VCU!$C$9="",0,(SUMIF(VCU!$B$51:$B$193,$J1831,VCU!$E$51:$E$193)*Impacts!$F$17))</f>
        <v>0</v>
      </c>
      <c r="V1831" s="10">
        <f>IF(CAS!$C$7="",0,(SUMIF(CAS!$B$31:$B$167,$J1831,CAS!$E$31:$E$167)*Impacts!$F$18))</f>
        <v>0</v>
      </c>
      <c r="W1831" s="10">
        <f t="shared" si="69"/>
        <v>0</v>
      </c>
      <c r="AK1831" s="10" t="str">
        <f t="array" ref="AK1831">IFERROR(INDEX(SelectedSpecies,SMALL(IF(SelectedSpecies=AK$1,ROW(SelectedSpecies)),ROW(1832:1832)),2),"")</f>
        <v/>
      </c>
      <c r="BE1831" s="10"/>
      <c r="BI1831" s="10"/>
    </row>
    <row r="1832" spans="1:61" ht="21" customHeight="1" x14ac:dyDescent="0.25">
      <c r="A1832" s="10"/>
      <c r="B1832" s="10"/>
      <c r="E1832" s="10"/>
      <c r="G1832" s="10"/>
      <c r="I1832" s="436" t="s">
        <v>926</v>
      </c>
      <c r="J1832" s="26" t="s">
        <v>925</v>
      </c>
      <c r="K1832" s="10">
        <v>44</v>
      </c>
      <c r="L1832" s="73">
        <f>IF(Tank1!$C$23="No control",(SUMIF(Tank1!$B$32:$B$49,$J1832,Tank1!$C$32:$C$49)*Impacts!$F$8),0)</f>
        <v>0</v>
      </c>
      <c r="M1832" s="10">
        <f>IF(Tank2!$C$23="No control",(SUMIF(Tank2!$B$32:$B$49,$J1832,Tank2!$C$32:$C$49)*Impacts!$F$9),0)</f>
        <v>0</v>
      </c>
      <c r="N1832" s="10">
        <f>IF(Tank3!$C$23="No control",(SUMIF(Tank3!$B$32:$B$49,$J1832,Tank3!$C$32:$C$49)*Impacts!$F$10),0)</f>
        <v>0</v>
      </c>
      <c r="O1832" s="10">
        <f>IF(Tank4!$C$23="No control",(SUMIF(Tank4!$B$32:$B$49,$J1832,Tank4!$C$32:$C$49)*Impacts!$F$11),0)</f>
        <v>0</v>
      </c>
      <c r="P1832" s="10">
        <f>IF(Tank5!$C$23="No control",(SUMIF(Tank5!$B$32:$B$49,$J1832,Tank5!$C$32:$C$49)*Impacts!$F$12),0)</f>
        <v>0</v>
      </c>
      <c r="Q1832" s="10">
        <f>IFERROR(IF(('Loading-drum,tote'!$C$21)="No control",SUMIF(('Loading-drum,tote'!$B$31:$B$48),$J1832,('Loading-drum,tote'!$D$31:$D$48))*Impacts!$F$13,IF(('Loading-drum,tote'!$C$21)&lt;&gt;"No control",SUMIF(('Loading-drum,tote'!$B$31:$B$48),$J1832,('Loading-drum,tote'!$E$31:$E$48))*Impacts!$F$13,0)),0)</f>
        <v>0</v>
      </c>
      <c r="R1832" s="10">
        <f>IFERROR(IF(('Loading-truck'!$C$21)="No control",SUMIF(('Loading-truck'!$B$31:$B$48),$J1832,('Loading-truck'!$D$31:$D$48))*Impacts!$F$14,IF(('Loading-truck'!$C$21)&lt;&gt;"No control",SUMIF(('Loading-truck'!$B$31:$B$48),$J1832,('Loading-truck'!$E$31:$E$48))*Impacts!$F$14,0)),0)</f>
        <v>0</v>
      </c>
      <c r="S1832" s="10">
        <f>IFERROR(IF(('Loading-rail'!$C$21)="No control",SUMIF(('Loading-rail'!$B$31:$B$48),$J1832,('Loading-rail'!$D$31:$D$48))*Impacts!$F$15,IF(('Loading-rail'!$C$21)&lt;&gt;"No control",SUMIF(('Loading-rail'!$B$31:$B$48),$J1832,('Loading-rail'!$E$31:$E$48))*Impacts!$F$15,0)),0)</f>
        <v>0</v>
      </c>
      <c r="T1832" s="10">
        <f>IF(Flare!$C$7="",0,(SUMIF(Flare!$B$46:$B$185,$J1832,Flare!$E$46:$E$185)*Impacts!$F$16))</f>
        <v>0</v>
      </c>
      <c r="U1832" s="10">
        <f>IF(VCU!$C$9="",0,(SUMIF(VCU!$B$51:$B$193,$J1832,VCU!$E$51:$E$193)*Impacts!$F$17))</f>
        <v>0</v>
      </c>
      <c r="V1832" s="10">
        <f>IF(CAS!$C$7="",0,(SUMIF(CAS!$B$31:$B$167,$J1832,CAS!$E$31:$E$167)*Impacts!$F$18))</f>
        <v>0</v>
      </c>
      <c r="W1832" s="10">
        <f t="shared" si="69"/>
        <v>0</v>
      </c>
      <c r="AK1832" s="10" t="str">
        <f t="array" ref="AK1832">IFERROR(INDEX(SelectedSpecies,SMALL(IF(SelectedSpecies=AK$1,ROW(SelectedSpecies)),ROW(1833:1833)),2),"")</f>
        <v/>
      </c>
      <c r="BE1832" s="10"/>
      <c r="BI1832" s="10"/>
    </row>
    <row r="1833" spans="1:61" ht="21" customHeight="1" x14ac:dyDescent="0.25">
      <c r="A1833" s="10"/>
      <c r="B1833" s="10"/>
      <c r="E1833" s="10"/>
      <c r="G1833" s="10"/>
      <c r="I1833" s="436" t="s">
        <v>2879</v>
      </c>
      <c r="J1833" s="26" t="s">
        <v>2878</v>
      </c>
      <c r="K1833" s="10">
        <v>10</v>
      </c>
      <c r="L1833" s="73">
        <f>IF(Tank1!$C$23="No control",(SUMIF(Tank1!$B$32:$B$49,$J1833,Tank1!$C$32:$C$49)*Impacts!$F$8),0)</f>
        <v>0</v>
      </c>
      <c r="M1833" s="10">
        <f>IF(Tank2!$C$23="No control",(SUMIF(Tank2!$B$32:$B$49,$J1833,Tank2!$C$32:$C$49)*Impacts!$F$9),0)</f>
        <v>0</v>
      </c>
      <c r="N1833" s="10">
        <f>IF(Tank3!$C$23="No control",(SUMIF(Tank3!$B$32:$B$49,$J1833,Tank3!$C$32:$C$49)*Impacts!$F$10),0)</f>
        <v>0</v>
      </c>
      <c r="O1833" s="10">
        <f>IF(Tank4!$C$23="No control",(SUMIF(Tank4!$B$32:$B$49,$J1833,Tank4!$C$32:$C$49)*Impacts!$F$11),0)</f>
        <v>0</v>
      </c>
      <c r="P1833" s="10">
        <f>IF(Tank5!$C$23="No control",(SUMIF(Tank5!$B$32:$B$49,$J1833,Tank5!$C$32:$C$49)*Impacts!$F$12),0)</f>
        <v>0</v>
      </c>
      <c r="Q1833" s="10">
        <f>IFERROR(IF(('Loading-drum,tote'!$C$21)="No control",SUMIF(('Loading-drum,tote'!$B$31:$B$48),$J1833,('Loading-drum,tote'!$D$31:$D$48))*Impacts!$F$13,IF(('Loading-drum,tote'!$C$21)&lt;&gt;"No control",SUMIF(('Loading-drum,tote'!$B$31:$B$48),$J1833,('Loading-drum,tote'!$E$31:$E$48))*Impacts!$F$13,0)),0)</f>
        <v>0</v>
      </c>
      <c r="R1833" s="10">
        <f>IFERROR(IF(('Loading-truck'!$C$21)="No control",SUMIF(('Loading-truck'!$B$31:$B$48),$J1833,('Loading-truck'!$D$31:$D$48))*Impacts!$F$14,IF(('Loading-truck'!$C$21)&lt;&gt;"No control",SUMIF(('Loading-truck'!$B$31:$B$48),$J1833,('Loading-truck'!$E$31:$E$48))*Impacts!$F$14,0)),0)</f>
        <v>0</v>
      </c>
      <c r="S1833" s="10">
        <f>IFERROR(IF(('Loading-rail'!$C$21)="No control",SUMIF(('Loading-rail'!$B$31:$B$48),$J1833,('Loading-rail'!$D$31:$D$48))*Impacts!$F$15,IF(('Loading-rail'!$C$21)&lt;&gt;"No control",SUMIF(('Loading-rail'!$B$31:$B$48),$J1833,('Loading-rail'!$E$31:$E$48))*Impacts!$F$15,0)),0)</f>
        <v>0</v>
      </c>
      <c r="T1833" s="10">
        <f>IF(Flare!$C$7="",0,(SUMIF(Flare!$B$46:$B$185,$J1833,Flare!$E$46:$E$185)*Impacts!$F$16))</f>
        <v>0</v>
      </c>
      <c r="U1833" s="10">
        <f>IF(VCU!$C$9="",0,(SUMIF(VCU!$B$51:$B$193,$J1833,VCU!$E$51:$E$193)*Impacts!$F$17))</f>
        <v>0</v>
      </c>
      <c r="V1833" s="10">
        <f>IF(CAS!$C$7="",0,(SUMIF(CAS!$B$31:$B$167,$J1833,CAS!$E$31:$E$167)*Impacts!$F$18))</f>
        <v>0</v>
      </c>
      <c r="W1833" s="10">
        <f t="shared" si="69"/>
        <v>0</v>
      </c>
      <c r="AK1833" s="10" t="str">
        <f t="array" ref="AK1833">IFERROR(INDEX(SelectedSpecies,SMALL(IF(SelectedSpecies=AK$1,ROW(SelectedSpecies)),ROW(1834:1834)),2),"")</f>
        <v/>
      </c>
      <c r="BE1833" s="10"/>
      <c r="BI1833" s="10"/>
    </row>
    <row r="1834" spans="1:61" ht="21" customHeight="1" x14ac:dyDescent="0.25">
      <c r="A1834" s="10"/>
      <c r="B1834" s="10"/>
      <c r="E1834" s="10"/>
      <c r="G1834" s="10"/>
      <c r="I1834" s="436" t="s">
        <v>5912</v>
      </c>
      <c r="J1834" s="26" t="s">
        <v>5911</v>
      </c>
      <c r="K1834" s="10">
        <v>1</v>
      </c>
      <c r="L1834" s="73">
        <f>IF(Tank1!$C$23="No control",(SUMIF(Tank1!$B$32:$B$49,$J1834,Tank1!$C$32:$C$49)*Impacts!$F$8),0)</f>
        <v>0</v>
      </c>
      <c r="M1834" s="10">
        <f>IF(Tank2!$C$23="No control",(SUMIF(Tank2!$B$32:$B$49,$J1834,Tank2!$C$32:$C$49)*Impacts!$F$9),0)</f>
        <v>0</v>
      </c>
      <c r="N1834" s="10">
        <f>IF(Tank3!$C$23="No control",(SUMIF(Tank3!$B$32:$B$49,$J1834,Tank3!$C$32:$C$49)*Impacts!$F$10),0)</f>
        <v>0</v>
      </c>
      <c r="O1834" s="10">
        <f>IF(Tank4!$C$23="No control",(SUMIF(Tank4!$B$32:$B$49,$J1834,Tank4!$C$32:$C$49)*Impacts!$F$11),0)</f>
        <v>0</v>
      </c>
      <c r="P1834" s="10">
        <f>IF(Tank5!$C$23="No control",(SUMIF(Tank5!$B$32:$B$49,$J1834,Tank5!$C$32:$C$49)*Impacts!$F$12),0)</f>
        <v>0</v>
      </c>
      <c r="Q1834" s="10">
        <f>IFERROR(IF(('Loading-drum,tote'!$C$21)="No control",SUMIF(('Loading-drum,tote'!$B$31:$B$48),$J1834,('Loading-drum,tote'!$D$31:$D$48))*Impacts!$F$13,IF(('Loading-drum,tote'!$C$21)&lt;&gt;"No control",SUMIF(('Loading-drum,tote'!$B$31:$B$48),$J1834,('Loading-drum,tote'!$E$31:$E$48))*Impacts!$F$13,0)),0)</f>
        <v>0</v>
      </c>
      <c r="R1834" s="10">
        <f>IFERROR(IF(('Loading-truck'!$C$21)="No control",SUMIF(('Loading-truck'!$B$31:$B$48),$J1834,('Loading-truck'!$D$31:$D$48))*Impacts!$F$14,IF(('Loading-truck'!$C$21)&lt;&gt;"No control",SUMIF(('Loading-truck'!$B$31:$B$48),$J1834,('Loading-truck'!$E$31:$E$48))*Impacts!$F$14,0)),0)</f>
        <v>0</v>
      </c>
      <c r="S1834" s="10">
        <f>IFERROR(IF(('Loading-rail'!$C$21)="No control",SUMIF(('Loading-rail'!$B$31:$B$48),$J1834,('Loading-rail'!$D$31:$D$48))*Impacts!$F$15,IF(('Loading-rail'!$C$21)&lt;&gt;"No control",SUMIF(('Loading-rail'!$B$31:$B$48),$J1834,('Loading-rail'!$E$31:$E$48))*Impacts!$F$15,0)),0)</f>
        <v>0</v>
      </c>
      <c r="T1834" s="10">
        <f>IF(Flare!$C$7="",0,(SUMIF(Flare!$B$46:$B$185,$J1834,Flare!$E$46:$E$185)*Impacts!$F$16))</f>
        <v>0</v>
      </c>
      <c r="U1834" s="10">
        <f>IF(VCU!$C$9="",0,(SUMIF(VCU!$B$51:$B$193,$J1834,VCU!$E$51:$E$193)*Impacts!$F$17))</f>
        <v>0</v>
      </c>
      <c r="V1834" s="10">
        <f>IF(CAS!$C$7="",0,(SUMIF(CAS!$B$31:$B$167,$J1834,CAS!$E$31:$E$167)*Impacts!$F$18))</f>
        <v>0</v>
      </c>
      <c r="W1834" s="10">
        <f t="shared" si="69"/>
        <v>0</v>
      </c>
      <c r="AK1834" s="10" t="str">
        <f t="array" ref="AK1834">IFERROR(INDEX(SelectedSpecies,SMALL(IF(SelectedSpecies=AK$1,ROW(SelectedSpecies)),ROW(1835:1835)),2),"")</f>
        <v/>
      </c>
      <c r="BE1834" s="10"/>
      <c r="BI1834" s="10"/>
    </row>
    <row r="1835" spans="1:61" ht="21" customHeight="1" x14ac:dyDescent="0.25">
      <c r="A1835" s="10"/>
      <c r="B1835" s="10"/>
      <c r="E1835" s="10"/>
      <c r="G1835" s="10"/>
      <c r="I1835" s="436" t="s">
        <v>6840</v>
      </c>
      <c r="J1835" s="26" t="s">
        <v>6839</v>
      </c>
      <c r="K1835" s="10">
        <v>0.5</v>
      </c>
      <c r="L1835" s="73">
        <f>IF(Tank1!$C$23="No control",(SUMIF(Tank1!$B$32:$B$49,$J1835,Tank1!$C$32:$C$49)*Impacts!$F$8),0)</f>
        <v>0</v>
      </c>
      <c r="M1835" s="10">
        <f>IF(Tank2!$C$23="No control",(SUMIF(Tank2!$B$32:$B$49,$J1835,Tank2!$C$32:$C$49)*Impacts!$F$9),0)</f>
        <v>0</v>
      </c>
      <c r="N1835" s="10">
        <f>IF(Tank3!$C$23="No control",(SUMIF(Tank3!$B$32:$B$49,$J1835,Tank3!$C$32:$C$49)*Impacts!$F$10),0)</f>
        <v>0</v>
      </c>
      <c r="O1835" s="10">
        <f>IF(Tank4!$C$23="No control",(SUMIF(Tank4!$B$32:$B$49,$J1835,Tank4!$C$32:$C$49)*Impacts!$F$11),0)</f>
        <v>0</v>
      </c>
      <c r="P1835" s="10">
        <f>IF(Tank5!$C$23="No control",(SUMIF(Tank5!$B$32:$B$49,$J1835,Tank5!$C$32:$C$49)*Impacts!$F$12),0)</f>
        <v>0</v>
      </c>
      <c r="Q1835" s="10">
        <f>IFERROR(IF(('Loading-drum,tote'!$C$21)="No control",SUMIF(('Loading-drum,tote'!$B$31:$B$48),$J1835,('Loading-drum,tote'!$D$31:$D$48))*Impacts!$F$13,IF(('Loading-drum,tote'!$C$21)&lt;&gt;"No control",SUMIF(('Loading-drum,tote'!$B$31:$B$48),$J1835,('Loading-drum,tote'!$E$31:$E$48))*Impacts!$F$13,0)),0)</f>
        <v>0</v>
      </c>
      <c r="R1835" s="10">
        <f>IFERROR(IF(('Loading-truck'!$C$21)="No control",SUMIF(('Loading-truck'!$B$31:$B$48),$J1835,('Loading-truck'!$D$31:$D$48))*Impacts!$F$14,IF(('Loading-truck'!$C$21)&lt;&gt;"No control",SUMIF(('Loading-truck'!$B$31:$B$48),$J1835,('Loading-truck'!$E$31:$E$48))*Impacts!$F$14,0)),0)</f>
        <v>0</v>
      </c>
      <c r="S1835" s="10">
        <f>IFERROR(IF(('Loading-rail'!$C$21)="No control",SUMIF(('Loading-rail'!$B$31:$B$48),$J1835,('Loading-rail'!$D$31:$D$48))*Impacts!$F$15,IF(('Loading-rail'!$C$21)&lt;&gt;"No control",SUMIF(('Loading-rail'!$B$31:$B$48),$J1835,('Loading-rail'!$E$31:$E$48))*Impacts!$F$15,0)),0)</f>
        <v>0</v>
      </c>
      <c r="T1835" s="10">
        <f>IF(Flare!$C$7="",0,(SUMIF(Flare!$B$46:$B$185,$J1835,Flare!$E$46:$E$185)*Impacts!$F$16))</f>
        <v>0</v>
      </c>
      <c r="U1835" s="10">
        <f>IF(VCU!$C$9="",0,(SUMIF(VCU!$B$51:$B$193,$J1835,VCU!$E$51:$E$193)*Impacts!$F$17))</f>
        <v>0</v>
      </c>
      <c r="V1835" s="10">
        <f>IF(CAS!$C$7="",0,(SUMIF(CAS!$B$31:$B$167,$J1835,CAS!$E$31:$E$167)*Impacts!$F$18))</f>
        <v>0</v>
      </c>
      <c r="W1835" s="10">
        <f t="shared" si="69"/>
        <v>0</v>
      </c>
      <c r="AK1835" s="10" t="str">
        <f t="array" ref="AK1835">IFERROR(INDEX(SelectedSpecies,SMALL(IF(SelectedSpecies=AK$1,ROW(SelectedSpecies)),ROW(1836:1836)),2),"")</f>
        <v/>
      </c>
      <c r="BE1835" s="10"/>
      <c r="BI1835" s="10"/>
    </row>
    <row r="1836" spans="1:61" ht="21" customHeight="1" x14ac:dyDescent="0.25">
      <c r="A1836" s="10"/>
      <c r="B1836" s="10"/>
      <c r="E1836" s="10"/>
      <c r="G1836" s="10"/>
      <c r="I1836" s="436" t="s">
        <v>5914</v>
      </c>
      <c r="J1836" s="26" t="s">
        <v>5913</v>
      </c>
      <c r="K1836" s="10">
        <v>1</v>
      </c>
      <c r="L1836" s="73">
        <f>IF(Tank1!$C$23="No control",(SUMIF(Tank1!$B$32:$B$49,$J1836,Tank1!$C$32:$C$49)*Impacts!$F$8),0)</f>
        <v>0</v>
      </c>
      <c r="M1836" s="10">
        <f>IF(Tank2!$C$23="No control",(SUMIF(Tank2!$B$32:$B$49,$J1836,Tank2!$C$32:$C$49)*Impacts!$F$9),0)</f>
        <v>0</v>
      </c>
      <c r="N1836" s="10">
        <f>IF(Tank3!$C$23="No control",(SUMIF(Tank3!$B$32:$B$49,$J1836,Tank3!$C$32:$C$49)*Impacts!$F$10),0)</f>
        <v>0</v>
      </c>
      <c r="O1836" s="10">
        <f>IF(Tank4!$C$23="No control",(SUMIF(Tank4!$B$32:$B$49,$J1836,Tank4!$C$32:$C$49)*Impacts!$F$11),0)</f>
        <v>0</v>
      </c>
      <c r="P1836" s="10">
        <f>IF(Tank5!$C$23="No control",(SUMIF(Tank5!$B$32:$B$49,$J1836,Tank5!$C$32:$C$49)*Impacts!$F$12),0)</f>
        <v>0</v>
      </c>
      <c r="Q1836" s="10">
        <f>IFERROR(IF(('Loading-drum,tote'!$C$21)="No control",SUMIF(('Loading-drum,tote'!$B$31:$B$48),$J1836,('Loading-drum,tote'!$D$31:$D$48))*Impacts!$F$13,IF(('Loading-drum,tote'!$C$21)&lt;&gt;"No control",SUMIF(('Loading-drum,tote'!$B$31:$B$48),$J1836,('Loading-drum,tote'!$E$31:$E$48))*Impacts!$F$13,0)),0)</f>
        <v>0</v>
      </c>
      <c r="R1836" s="10">
        <f>IFERROR(IF(('Loading-truck'!$C$21)="No control",SUMIF(('Loading-truck'!$B$31:$B$48),$J1836,('Loading-truck'!$D$31:$D$48))*Impacts!$F$14,IF(('Loading-truck'!$C$21)&lt;&gt;"No control",SUMIF(('Loading-truck'!$B$31:$B$48),$J1836,('Loading-truck'!$E$31:$E$48))*Impacts!$F$14,0)),0)</f>
        <v>0</v>
      </c>
      <c r="S1836" s="10">
        <f>IFERROR(IF(('Loading-rail'!$C$21)="No control",SUMIF(('Loading-rail'!$B$31:$B$48),$J1836,('Loading-rail'!$D$31:$D$48))*Impacts!$F$15,IF(('Loading-rail'!$C$21)&lt;&gt;"No control",SUMIF(('Loading-rail'!$B$31:$B$48),$J1836,('Loading-rail'!$E$31:$E$48))*Impacts!$F$15,0)),0)</f>
        <v>0</v>
      </c>
      <c r="T1836" s="10">
        <f>IF(Flare!$C$7="",0,(SUMIF(Flare!$B$46:$B$185,$J1836,Flare!$E$46:$E$185)*Impacts!$F$16))</f>
        <v>0</v>
      </c>
      <c r="U1836" s="10">
        <f>IF(VCU!$C$9="",0,(SUMIF(VCU!$B$51:$B$193,$J1836,VCU!$E$51:$E$193)*Impacts!$F$17))</f>
        <v>0</v>
      </c>
      <c r="V1836" s="10">
        <f>IF(CAS!$C$7="",0,(SUMIF(CAS!$B$31:$B$167,$J1836,CAS!$E$31:$E$167)*Impacts!$F$18))</f>
        <v>0</v>
      </c>
      <c r="W1836" s="10">
        <f t="shared" si="69"/>
        <v>0</v>
      </c>
      <c r="AK1836" s="10" t="str">
        <f t="array" ref="AK1836">IFERROR(INDEX(SelectedSpecies,SMALL(IF(SelectedSpecies=AK$1,ROW(SelectedSpecies)),ROW(1837:1837)),2),"")</f>
        <v/>
      </c>
      <c r="BE1836" s="10"/>
      <c r="BI1836" s="10"/>
    </row>
    <row r="1837" spans="1:61" ht="21" customHeight="1" x14ac:dyDescent="0.25">
      <c r="A1837" s="10"/>
      <c r="B1837" s="10"/>
      <c r="E1837" s="10"/>
      <c r="G1837" s="10"/>
      <c r="I1837" s="436" t="s">
        <v>7272</v>
      </c>
      <c r="J1837" s="26" t="s">
        <v>7271</v>
      </c>
      <c r="K1837" s="10">
        <v>0.30000000000000004</v>
      </c>
      <c r="L1837" s="73">
        <f>IF(Tank1!$C$23="No control",(SUMIF(Tank1!$B$32:$B$49,$J1837,Tank1!$C$32:$C$49)*Impacts!$F$8),0)</f>
        <v>0</v>
      </c>
      <c r="M1837" s="10">
        <f>IF(Tank2!$C$23="No control",(SUMIF(Tank2!$B$32:$B$49,$J1837,Tank2!$C$32:$C$49)*Impacts!$F$9),0)</f>
        <v>0</v>
      </c>
      <c r="N1837" s="10">
        <f>IF(Tank3!$C$23="No control",(SUMIF(Tank3!$B$32:$B$49,$J1837,Tank3!$C$32:$C$49)*Impacts!$F$10),0)</f>
        <v>0</v>
      </c>
      <c r="O1837" s="10">
        <f>IF(Tank4!$C$23="No control",(SUMIF(Tank4!$B$32:$B$49,$J1837,Tank4!$C$32:$C$49)*Impacts!$F$11),0)</f>
        <v>0</v>
      </c>
      <c r="P1837" s="10">
        <f>IF(Tank5!$C$23="No control",(SUMIF(Tank5!$B$32:$B$49,$J1837,Tank5!$C$32:$C$49)*Impacts!$F$12),0)</f>
        <v>0</v>
      </c>
      <c r="Q1837" s="10">
        <f>IFERROR(IF(('Loading-drum,tote'!$C$21)="No control",SUMIF(('Loading-drum,tote'!$B$31:$B$48),$J1837,('Loading-drum,tote'!$D$31:$D$48))*Impacts!$F$13,IF(('Loading-drum,tote'!$C$21)&lt;&gt;"No control",SUMIF(('Loading-drum,tote'!$B$31:$B$48),$J1837,('Loading-drum,tote'!$E$31:$E$48))*Impacts!$F$13,0)),0)</f>
        <v>0</v>
      </c>
      <c r="R1837" s="10">
        <f>IFERROR(IF(('Loading-truck'!$C$21)="No control",SUMIF(('Loading-truck'!$B$31:$B$48),$J1837,('Loading-truck'!$D$31:$D$48))*Impacts!$F$14,IF(('Loading-truck'!$C$21)&lt;&gt;"No control",SUMIF(('Loading-truck'!$B$31:$B$48),$J1837,('Loading-truck'!$E$31:$E$48))*Impacts!$F$14,0)),0)</f>
        <v>0</v>
      </c>
      <c r="S1837" s="10">
        <f>IFERROR(IF(('Loading-rail'!$C$21)="No control",SUMIF(('Loading-rail'!$B$31:$B$48),$J1837,('Loading-rail'!$D$31:$D$48))*Impacts!$F$15,IF(('Loading-rail'!$C$21)&lt;&gt;"No control",SUMIF(('Loading-rail'!$B$31:$B$48),$J1837,('Loading-rail'!$E$31:$E$48))*Impacts!$F$15,0)),0)</f>
        <v>0</v>
      </c>
      <c r="T1837" s="10">
        <f>IF(Flare!$C$7="",0,(SUMIF(Flare!$B$46:$B$185,$J1837,Flare!$E$46:$E$185)*Impacts!$F$16))</f>
        <v>0</v>
      </c>
      <c r="U1837" s="10">
        <f>IF(VCU!$C$9="",0,(SUMIF(VCU!$B$51:$B$193,$J1837,VCU!$E$51:$E$193)*Impacts!$F$17))</f>
        <v>0</v>
      </c>
      <c r="V1837" s="10">
        <f>IF(CAS!$C$7="",0,(SUMIF(CAS!$B$31:$B$167,$J1837,CAS!$E$31:$E$167)*Impacts!$F$18))</f>
        <v>0</v>
      </c>
      <c r="W1837" s="10">
        <f t="shared" si="69"/>
        <v>0</v>
      </c>
      <c r="AK1837" s="10" t="str">
        <f t="array" ref="AK1837">IFERROR(INDEX(SelectedSpecies,SMALL(IF(SelectedSpecies=AK$1,ROW(SelectedSpecies)),ROW(1838:1838)),2),"")</f>
        <v/>
      </c>
      <c r="BE1837" s="10"/>
      <c r="BI1837" s="10"/>
    </row>
    <row r="1838" spans="1:61" ht="21" customHeight="1" x14ac:dyDescent="0.25">
      <c r="A1838" s="10"/>
      <c r="B1838" s="10"/>
      <c r="E1838" s="10"/>
      <c r="G1838" s="10"/>
      <c r="I1838" s="436" t="s">
        <v>2133</v>
      </c>
      <c r="J1838" s="26" t="s">
        <v>2132</v>
      </c>
      <c r="K1838" s="10">
        <v>15</v>
      </c>
      <c r="L1838" s="73">
        <f>IF(Tank1!$C$23="No control",(SUMIF(Tank1!$B$32:$B$49,$J1838,Tank1!$C$32:$C$49)*Impacts!$F$8),0)</f>
        <v>0</v>
      </c>
      <c r="M1838" s="10">
        <f>IF(Tank2!$C$23="No control",(SUMIF(Tank2!$B$32:$B$49,$J1838,Tank2!$C$32:$C$49)*Impacts!$F$9),0)</f>
        <v>0</v>
      </c>
      <c r="N1838" s="10">
        <f>IF(Tank3!$C$23="No control",(SUMIF(Tank3!$B$32:$B$49,$J1838,Tank3!$C$32:$C$49)*Impacts!$F$10),0)</f>
        <v>0</v>
      </c>
      <c r="O1838" s="10">
        <f>IF(Tank4!$C$23="No control",(SUMIF(Tank4!$B$32:$B$49,$J1838,Tank4!$C$32:$C$49)*Impacts!$F$11),0)</f>
        <v>0</v>
      </c>
      <c r="P1838" s="10">
        <f>IF(Tank5!$C$23="No control",(SUMIF(Tank5!$B$32:$B$49,$J1838,Tank5!$C$32:$C$49)*Impacts!$F$12),0)</f>
        <v>0</v>
      </c>
      <c r="Q1838" s="10">
        <f>IFERROR(IF(('Loading-drum,tote'!$C$21)="No control",SUMIF(('Loading-drum,tote'!$B$31:$B$48),$J1838,('Loading-drum,tote'!$D$31:$D$48))*Impacts!$F$13,IF(('Loading-drum,tote'!$C$21)&lt;&gt;"No control",SUMIF(('Loading-drum,tote'!$B$31:$B$48),$J1838,('Loading-drum,tote'!$E$31:$E$48))*Impacts!$F$13,0)),0)</f>
        <v>0</v>
      </c>
      <c r="R1838" s="10">
        <f>IFERROR(IF(('Loading-truck'!$C$21)="No control",SUMIF(('Loading-truck'!$B$31:$B$48),$J1838,('Loading-truck'!$D$31:$D$48))*Impacts!$F$14,IF(('Loading-truck'!$C$21)&lt;&gt;"No control",SUMIF(('Loading-truck'!$B$31:$B$48),$J1838,('Loading-truck'!$E$31:$E$48))*Impacts!$F$14,0)),0)</f>
        <v>0</v>
      </c>
      <c r="S1838" s="10">
        <f>IFERROR(IF(('Loading-rail'!$C$21)="No control",SUMIF(('Loading-rail'!$B$31:$B$48),$J1838,('Loading-rail'!$D$31:$D$48))*Impacts!$F$15,IF(('Loading-rail'!$C$21)&lt;&gt;"No control",SUMIF(('Loading-rail'!$B$31:$B$48),$J1838,('Loading-rail'!$E$31:$E$48))*Impacts!$F$15,0)),0)</f>
        <v>0</v>
      </c>
      <c r="T1838" s="10">
        <f>IF(Flare!$C$7="",0,(SUMIF(Flare!$B$46:$B$185,$J1838,Flare!$E$46:$E$185)*Impacts!$F$16))</f>
        <v>0</v>
      </c>
      <c r="U1838" s="10">
        <f>IF(VCU!$C$9="",0,(SUMIF(VCU!$B$51:$B$193,$J1838,VCU!$E$51:$E$193)*Impacts!$F$17))</f>
        <v>0</v>
      </c>
      <c r="V1838" s="10">
        <f>IF(CAS!$C$7="",0,(SUMIF(CAS!$B$31:$B$167,$J1838,CAS!$E$31:$E$167)*Impacts!$F$18))</f>
        <v>0</v>
      </c>
      <c r="W1838" s="10">
        <f t="shared" si="69"/>
        <v>0</v>
      </c>
      <c r="AK1838" s="10" t="str">
        <f t="array" ref="AK1838">IFERROR(INDEX(SelectedSpecies,SMALL(IF(SelectedSpecies=AK$1,ROW(SelectedSpecies)),ROW(1839:1839)),2),"")</f>
        <v/>
      </c>
      <c r="BE1838" s="10"/>
      <c r="BI1838" s="10"/>
    </row>
    <row r="1839" spans="1:61" ht="21" customHeight="1" x14ac:dyDescent="0.25">
      <c r="A1839" s="10"/>
      <c r="B1839" s="10"/>
      <c r="E1839" s="10"/>
      <c r="G1839" s="10"/>
      <c r="I1839" s="436" t="s">
        <v>6996</v>
      </c>
      <c r="J1839" s="26" t="s">
        <v>6995</v>
      </c>
      <c r="K1839" s="10">
        <v>0.45999999999999996</v>
      </c>
      <c r="L1839" s="73">
        <f>IF(Tank1!$C$23="No control",(SUMIF(Tank1!$B$32:$B$49,$J1839,Tank1!$C$32:$C$49)*Impacts!$F$8),0)</f>
        <v>0</v>
      </c>
      <c r="M1839" s="10">
        <f>IF(Tank2!$C$23="No control",(SUMIF(Tank2!$B$32:$B$49,$J1839,Tank2!$C$32:$C$49)*Impacts!$F$9),0)</f>
        <v>0</v>
      </c>
      <c r="N1839" s="10">
        <f>IF(Tank3!$C$23="No control",(SUMIF(Tank3!$B$32:$B$49,$J1839,Tank3!$C$32:$C$49)*Impacts!$F$10),0)</f>
        <v>0</v>
      </c>
      <c r="O1839" s="10">
        <f>IF(Tank4!$C$23="No control",(SUMIF(Tank4!$B$32:$B$49,$J1839,Tank4!$C$32:$C$49)*Impacts!$F$11),0)</f>
        <v>0</v>
      </c>
      <c r="P1839" s="10">
        <f>IF(Tank5!$C$23="No control",(SUMIF(Tank5!$B$32:$B$49,$J1839,Tank5!$C$32:$C$49)*Impacts!$F$12),0)</f>
        <v>0</v>
      </c>
      <c r="Q1839" s="10">
        <f>IFERROR(IF(('Loading-drum,tote'!$C$21)="No control",SUMIF(('Loading-drum,tote'!$B$31:$B$48),$J1839,('Loading-drum,tote'!$D$31:$D$48))*Impacts!$F$13,IF(('Loading-drum,tote'!$C$21)&lt;&gt;"No control",SUMIF(('Loading-drum,tote'!$B$31:$B$48),$J1839,('Loading-drum,tote'!$E$31:$E$48))*Impacts!$F$13,0)),0)</f>
        <v>0</v>
      </c>
      <c r="R1839" s="10">
        <f>IFERROR(IF(('Loading-truck'!$C$21)="No control",SUMIF(('Loading-truck'!$B$31:$B$48),$J1839,('Loading-truck'!$D$31:$D$48))*Impacts!$F$14,IF(('Loading-truck'!$C$21)&lt;&gt;"No control",SUMIF(('Loading-truck'!$B$31:$B$48),$J1839,('Loading-truck'!$E$31:$E$48))*Impacts!$F$14,0)),0)</f>
        <v>0</v>
      </c>
      <c r="S1839" s="10">
        <f>IFERROR(IF(('Loading-rail'!$C$21)="No control",SUMIF(('Loading-rail'!$B$31:$B$48),$J1839,('Loading-rail'!$D$31:$D$48))*Impacts!$F$15,IF(('Loading-rail'!$C$21)&lt;&gt;"No control",SUMIF(('Loading-rail'!$B$31:$B$48),$J1839,('Loading-rail'!$E$31:$E$48))*Impacts!$F$15,0)),0)</f>
        <v>0</v>
      </c>
      <c r="T1839" s="10">
        <f>IF(Flare!$C$7="",0,(SUMIF(Flare!$B$46:$B$185,$J1839,Flare!$E$46:$E$185)*Impacts!$F$16))</f>
        <v>0</v>
      </c>
      <c r="U1839" s="10">
        <f>IF(VCU!$C$9="",0,(SUMIF(VCU!$B$51:$B$193,$J1839,VCU!$E$51:$E$193)*Impacts!$F$17))</f>
        <v>0</v>
      </c>
      <c r="V1839" s="10">
        <f>IF(CAS!$C$7="",0,(SUMIF(CAS!$B$31:$B$167,$J1839,CAS!$E$31:$E$167)*Impacts!$F$18))</f>
        <v>0</v>
      </c>
      <c r="W1839" s="10">
        <f t="shared" si="69"/>
        <v>0</v>
      </c>
      <c r="AK1839" s="10" t="str">
        <f t="array" ref="AK1839">IFERROR(INDEX(SelectedSpecies,SMALL(IF(SelectedSpecies=AK$1,ROW(SelectedSpecies)),ROW(1840:1840)),2),"")</f>
        <v/>
      </c>
      <c r="BE1839" s="10"/>
      <c r="BI1839" s="10"/>
    </row>
    <row r="1840" spans="1:61" ht="21" customHeight="1" x14ac:dyDescent="0.25">
      <c r="A1840" s="10"/>
      <c r="B1840" s="10"/>
      <c r="E1840" s="10"/>
      <c r="G1840" s="10"/>
      <c r="I1840" s="436" t="s">
        <v>6464</v>
      </c>
      <c r="J1840" s="26" t="s">
        <v>6463</v>
      </c>
      <c r="K1840" s="10">
        <v>0.79</v>
      </c>
      <c r="L1840" s="73">
        <f>IF(Tank1!$C$23="No control",(SUMIF(Tank1!$B$32:$B$49,$J1840,Tank1!$C$32:$C$49)*Impacts!$F$8),0)</f>
        <v>0</v>
      </c>
      <c r="M1840" s="10">
        <f>IF(Tank2!$C$23="No control",(SUMIF(Tank2!$B$32:$B$49,$J1840,Tank2!$C$32:$C$49)*Impacts!$F$9),0)</f>
        <v>0</v>
      </c>
      <c r="N1840" s="10">
        <f>IF(Tank3!$C$23="No control",(SUMIF(Tank3!$B$32:$B$49,$J1840,Tank3!$C$32:$C$49)*Impacts!$F$10),0)</f>
        <v>0</v>
      </c>
      <c r="O1840" s="10">
        <f>IF(Tank4!$C$23="No control",(SUMIF(Tank4!$B$32:$B$49,$J1840,Tank4!$C$32:$C$49)*Impacts!$F$11),0)</f>
        <v>0</v>
      </c>
      <c r="P1840" s="10">
        <f>IF(Tank5!$C$23="No control",(SUMIF(Tank5!$B$32:$B$49,$J1840,Tank5!$C$32:$C$49)*Impacts!$F$12),0)</f>
        <v>0</v>
      </c>
      <c r="Q1840" s="10">
        <f>IFERROR(IF(('Loading-drum,tote'!$C$21)="No control",SUMIF(('Loading-drum,tote'!$B$31:$B$48),$J1840,('Loading-drum,tote'!$D$31:$D$48))*Impacts!$F$13,IF(('Loading-drum,tote'!$C$21)&lt;&gt;"No control",SUMIF(('Loading-drum,tote'!$B$31:$B$48),$J1840,('Loading-drum,tote'!$E$31:$E$48))*Impacts!$F$13,0)),0)</f>
        <v>0</v>
      </c>
      <c r="R1840" s="10">
        <f>IFERROR(IF(('Loading-truck'!$C$21)="No control",SUMIF(('Loading-truck'!$B$31:$B$48),$J1840,('Loading-truck'!$D$31:$D$48))*Impacts!$F$14,IF(('Loading-truck'!$C$21)&lt;&gt;"No control",SUMIF(('Loading-truck'!$B$31:$B$48),$J1840,('Loading-truck'!$E$31:$E$48))*Impacts!$F$14,0)),0)</f>
        <v>0</v>
      </c>
      <c r="S1840" s="10">
        <f>IFERROR(IF(('Loading-rail'!$C$21)="No control",SUMIF(('Loading-rail'!$B$31:$B$48),$J1840,('Loading-rail'!$D$31:$D$48))*Impacts!$F$15,IF(('Loading-rail'!$C$21)&lt;&gt;"No control",SUMIF(('Loading-rail'!$B$31:$B$48),$J1840,('Loading-rail'!$E$31:$E$48))*Impacts!$F$15,0)),0)</f>
        <v>0</v>
      </c>
      <c r="T1840" s="10">
        <f>IF(Flare!$C$7="",0,(SUMIF(Flare!$B$46:$B$185,$J1840,Flare!$E$46:$E$185)*Impacts!$F$16))</f>
        <v>0</v>
      </c>
      <c r="U1840" s="10">
        <f>IF(VCU!$C$9="",0,(SUMIF(VCU!$B$51:$B$193,$J1840,VCU!$E$51:$E$193)*Impacts!$F$17))</f>
        <v>0</v>
      </c>
      <c r="V1840" s="10">
        <f>IF(CAS!$C$7="",0,(SUMIF(CAS!$B$31:$B$167,$J1840,CAS!$E$31:$E$167)*Impacts!$F$18))</f>
        <v>0</v>
      </c>
      <c r="W1840" s="10">
        <f t="shared" si="69"/>
        <v>0</v>
      </c>
      <c r="AK1840" s="10" t="str">
        <f t="array" ref="AK1840">IFERROR(INDEX(SelectedSpecies,SMALL(IF(SelectedSpecies=AK$1,ROW(SelectedSpecies)),ROW(1841:1841)),2),"")</f>
        <v/>
      </c>
      <c r="BE1840" s="10"/>
      <c r="BI1840" s="10"/>
    </row>
    <row r="1841" spans="1:61" ht="21" customHeight="1" x14ac:dyDescent="0.25">
      <c r="A1841" s="10"/>
      <c r="B1841" s="10"/>
      <c r="E1841" s="10"/>
      <c r="G1841" s="10"/>
      <c r="I1841" s="436" t="s">
        <v>4967</v>
      </c>
      <c r="J1841" s="26" t="s">
        <v>4966</v>
      </c>
      <c r="K1841" s="10">
        <v>2.5</v>
      </c>
      <c r="L1841" s="73">
        <f>IF(Tank1!$C$23="No control",(SUMIF(Tank1!$B$32:$B$49,$J1841,Tank1!$C$32:$C$49)*Impacts!$F$8),0)</f>
        <v>0</v>
      </c>
      <c r="M1841" s="10">
        <f>IF(Tank2!$C$23="No control",(SUMIF(Tank2!$B$32:$B$49,$J1841,Tank2!$C$32:$C$49)*Impacts!$F$9),0)</f>
        <v>0</v>
      </c>
      <c r="N1841" s="10">
        <f>IF(Tank3!$C$23="No control",(SUMIF(Tank3!$B$32:$B$49,$J1841,Tank3!$C$32:$C$49)*Impacts!$F$10),0)</f>
        <v>0</v>
      </c>
      <c r="O1841" s="10">
        <f>IF(Tank4!$C$23="No control",(SUMIF(Tank4!$B$32:$B$49,$J1841,Tank4!$C$32:$C$49)*Impacts!$F$11),0)</f>
        <v>0</v>
      </c>
      <c r="P1841" s="10">
        <f>IF(Tank5!$C$23="No control",(SUMIF(Tank5!$B$32:$B$49,$J1841,Tank5!$C$32:$C$49)*Impacts!$F$12),0)</f>
        <v>0</v>
      </c>
      <c r="Q1841" s="10">
        <f>IFERROR(IF(('Loading-drum,tote'!$C$21)="No control",SUMIF(('Loading-drum,tote'!$B$31:$B$48),$J1841,('Loading-drum,tote'!$D$31:$D$48))*Impacts!$F$13,IF(('Loading-drum,tote'!$C$21)&lt;&gt;"No control",SUMIF(('Loading-drum,tote'!$B$31:$B$48),$J1841,('Loading-drum,tote'!$E$31:$E$48))*Impacts!$F$13,0)),0)</f>
        <v>0</v>
      </c>
      <c r="R1841" s="10">
        <f>IFERROR(IF(('Loading-truck'!$C$21)="No control",SUMIF(('Loading-truck'!$B$31:$B$48),$J1841,('Loading-truck'!$D$31:$D$48))*Impacts!$F$14,IF(('Loading-truck'!$C$21)&lt;&gt;"No control",SUMIF(('Loading-truck'!$B$31:$B$48),$J1841,('Loading-truck'!$E$31:$E$48))*Impacts!$F$14,0)),0)</f>
        <v>0</v>
      </c>
      <c r="S1841" s="10">
        <f>IFERROR(IF(('Loading-rail'!$C$21)="No control",SUMIF(('Loading-rail'!$B$31:$B$48),$J1841,('Loading-rail'!$D$31:$D$48))*Impacts!$F$15,IF(('Loading-rail'!$C$21)&lt;&gt;"No control",SUMIF(('Loading-rail'!$B$31:$B$48),$J1841,('Loading-rail'!$E$31:$E$48))*Impacts!$F$15,0)),0)</f>
        <v>0</v>
      </c>
      <c r="T1841" s="10">
        <f>IF(Flare!$C$7="",0,(SUMIF(Flare!$B$46:$B$185,$J1841,Flare!$E$46:$E$185)*Impacts!$F$16))</f>
        <v>0</v>
      </c>
      <c r="U1841" s="10">
        <f>IF(VCU!$C$9="",0,(SUMIF(VCU!$B$51:$B$193,$J1841,VCU!$E$51:$E$193)*Impacts!$F$17))</f>
        <v>0</v>
      </c>
      <c r="V1841" s="10">
        <f>IF(CAS!$C$7="",0,(SUMIF(CAS!$B$31:$B$167,$J1841,CAS!$E$31:$E$167)*Impacts!$F$18))</f>
        <v>0</v>
      </c>
      <c r="W1841" s="10">
        <f t="shared" si="69"/>
        <v>0</v>
      </c>
      <c r="AK1841" s="10" t="str">
        <f t="array" ref="AK1841">IFERROR(INDEX(SelectedSpecies,SMALL(IF(SelectedSpecies=AK$1,ROW(SelectedSpecies)),ROW(1842:1842)),2),"")</f>
        <v/>
      </c>
      <c r="BE1841" s="10"/>
      <c r="BI1841" s="10"/>
    </row>
    <row r="1842" spans="1:61" ht="21" customHeight="1" x14ac:dyDescent="0.25">
      <c r="A1842" s="10"/>
      <c r="B1842" s="10"/>
      <c r="E1842" s="10"/>
      <c r="G1842" s="10"/>
      <c r="I1842" s="436" t="s">
        <v>2487</v>
      </c>
      <c r="J1842" s="26" t="s">
        <v>2486</v>
      </c>
      <c r="K1842" s="10">
        <v>10</v>
      </c>
      <c r="L1842" s="73">
        <f>IF(Tank1!$C$23="No control",(SUMIF(Tank1!$B$32:$B$49,$J1842,Tank1!$C$32:$C$49)*Impacts!$F$8),0)</f>
        <v>0</v>
      </c>
      <c r="M1842" s="10">
        <f>IF(Tank2!$C$23="No control",(SUMIF(Tank2!$B$32:$B$49,$J1842,Tank2!$C$32:$C$49)*Impacts!$F$9),0)</f>
        <v>0</v>
      </c>
      <c r="N1842" s="10">
        <f>IF(Tank3!$C$23="No control",(SUMIF(Tank3!$B$32:$B$49,$J1842,Tank3!$C$32:$C$49)*Impacts!$F$10),0)</f>
        <v>0</v>
      </c>
      <c r="O1842" s="10">
        <f>IF(Tank4!$C$23="No control",(SUMIF(Tank4!$B$32:$B$49,$J1842,Tank4!$C$32:$C$49)*Impacts!$F$11),0)</f>
        <v>0</v>
      </c>
      <c r="P1842" s="10">
        <f>IF(Tank5!$C$23="No control",(SUMIF(Tank5!$B$32:$B$49,$J1842,Tank5!$C$32:$C$49)*Impacts!$F$12),0)</f>
        <v>0</v>
      </c>
      <c r="Q1842" s="10">
        <f>IFERROR(IF(('Loading-drum,tote'!$C$21)="No control",SUMIF(('Loading-drum,tote'!$B$31:$B$48),$J1842,('Loading-drum,tote'!$D$31:$D$48))*Impacts!$F$13,IF(('Loading-drum,tote'!$C$21)&lt;&gt;"No control",SUMIF(('Loading-drum,tote'!$B$31:$B$48),$J1842,('Loading-drum,tote'!$E$31:$E$48))*Impacts!$F$13,0)),0)</f>
        <v>0</v>
      </c>
      <c r="R1842" s="10">
        <f>IFERROR(IF(('Loading-truck'!$C$21)="No control",SUMIF(('Loading-truck'!$B$31:$B$48),$J1842,('Loading-truck'!$D$31:$D$48))*Impacts!$F$14,IF(('Loading-truck'!$C$21)&lt;&gt;"No control",SUMIF(('Loading-truck'!$B$31:$B$48),$J1842,('Loading-truck'!$E$31:$E$48))*Impacts!$F$14,0)),0)</f>
        <v>0</v>
      </c>
      <c r="S1842" s="10">
        <f>IFERROR(IF(('Loading-rail'!$C$21)="No control",SUMIF(('Loading-rail'!$B$31:$B$48),$J1842,('Loading-rail'!$D$31:$D$48))*Impacts!$F$15,IF(('Loading-rail'!$C$21)&lt;&gt;"No control",SUMIF(('Loading-rail'!$B$31:$B$48),$J1842,('Loading-rail'!$E$31:$E$48))*Impacts!$F$15,0)),0)</f>
        <v>0</v>
      </c>
      <c r="T1842" s="10">
        <f>IF(Flare!$C$7="",0,(SUMIF(Flare!$B$46:$B$185,$J1842,Flare!$E$46:$E$185)*Impacts!$F$16))</f>
        <v>0</v>
      </c>
      <c r="U1842" s="10">
        <f>IF(VCU!$C$9="",0,(SUMIF(VCU!$B$51:$B$193,$J1842,VCU!$E$51:$E$193)*Impacts!$F$17))</f>
        <v>0</v>
      </c>
      <c r="V1842" s="10">
        <f>IF(CAS!$C$7="",0,(SUMIF(CAS!$B$31:$B$167,$J1842,CAS!$E$31:$E$167)*Impacts!$F$18))</f>
        <v>0</v>
      </c>
      <c r="W1842" s="10">
        <f t="shared" si="69"/>
        <v>0</v>
      </c>
      <c r="AK1842" s="10" t="str">
        <f t="array" ref="AK1842">IFERROR(INDEX(SelectedSpecies,SMALL(IF(SelectedSpecies=AK$1,ROW(SelectedSpecies)),ROW(1843:1843)),2),"")</f>
        <v/>
      </c>
      <c r="BE1842" s="10"/>
      <c r="BI1842" s="10"/>
    </row>
    <row r="1843" spans="1:61" ht="21" customHeight="1" x14ac:dyDescent="0.25">
      <c r="A1843" s="10"/>
      <c r="B1843" s="10"/>
      <c r="E1843" s="10"/>
      <c r="G1843" s="10"/>
      <c r="I1843" s="436" t="s">
        <v>7644</v>
      </c>
      <c r="J1843" s="26" t="s">
        <v>7643</v>
      </c>
      <c r="K1843" s="10">
        <v>0.13</v>
      </c>
      <c r="L1843" s="73">
        <f>IF(Tank1!$C$23="No control",(SUMIF(Tank1!$B$32:$B$49,$J1843,Tank1!$C$32:$C$49)*Impacts!$F$8),0)</f>
        <v>0</v>
      </c>
      <c r="M1843" s="10">
        <f>IF(Tank2!$C$23="No control",(SUMIF(Tank2!$B$32:$B$49,$J1843,Tank2!$C$32:$C$49)*Impacts!$F$9),0)</f>
        <v>0</v>
      </c>
      <c r="N1843" s="10">
        <f>IF(Tank3!$C$23="No control",(SUMIF(Tank3!$B$32:$B$49,$J1843,Tank3!$C$32:$C$49)*Impacts!$F$10),0)</f>
        <v>0</v>
      </c>
      <c r="O1843" s="10">
        <f>IF(Tank4!$C$23="No control",(SUMIF(Tank4!$B$32:$B$49,$J1843,Tank4!$C$32:$C$49)*Impacts!$F$11),0)</f>
        <v>0</v>
      </c>
      <c r="P1843" s="10">
        <f>IF(Tank5!$C$23="No control",(SUMIF(Tank5!$B$32:$B$49,$J1843,Tank5!$C$32:$C$49)*Impacts!$F$12),0)</f>
        <v>0</v>
      </c>
      <c r="Q1843" s="10">
        <f>IFERROR(IF(('Loading-drum,tote'!$C$21)="No control",SUMIF(('Loading-drum,tote'!$B$31:$B$48),$J1843,('Loading-drum,tote'!$D$31:$D$48))*Impacts!$F$13,IF(('Loading-drum,tote'!$C$21)&lt;&gt;"No control",SUMIF(('Loading-drum,tote'!$B$31:$B$48),$J1843,('Loading-drum,tote'!$E$31:$E$48))*Impacts!$F$13,0)),0)</f>
        <v>0</v>
      </c>
      <c r="R1843" s="10">
        <f>IFERROR(IF(('Loading-truck'!$C$21)="No control",SUMIF(('Loading-truck'!$B$31:$B$48),$J1843,('Loading-truck'!$D$31:$D$48))*Impacts!$F$14,IF(('Loading-truck'!$C$21)&lt;&gt;"No control",SUMIF(('Loading-truck'!$B$31:$B$48),$J1843,('Loading-truck'!$E$31:$E$48))*Impacts!$F$14,0)),0)</f>
        <v>0</v>
      </c>
      <c r="S1843" s="10">
        <f>IFERROR(IF(('Loading-rail'!$C$21)="No control",SUMIF(('Loading-rail'!$B$31:$B$48),$J1843,('Loading-rail'!$D$31:$D$48))*Impacts!$F$15,IF(('Loading-rail'!$C$21)&lt;&gt;"No control",SUMIF(('Loading-rail'!$B$31:$B$48),$J1843,('Loading-rail'!$E$31:$E$48))*Impacts!$F$15,0)),0)</f>
        <v>0</v>
      </c>
      <c r="T1843" s="10">
        <f>IF(Flare!$C$7="",0,(SUMIF(Flare!$B$46:$B$185,$J1843,Flare!$E$46:$E$185)*Impacts!$F$16))</f>
        <v>0</v>
      </c>
      <c r="U1843" s="10">
        <f>IF(VCU!$C$9="",0,(SUMIF(VCU!$B$51:$B$193,$J1843,VCU!$E$51:$E$193)*Impacts!$F$17))</f>
        <v>0</v>
      </c>
      <c r="V1843" s="10">
        <f>IF(CAS!$C$7="",0,(SUMIF(CAS!$B$31:$B$167,$J1843,CAS!$E$31:$E$167)*Impacts!$F$18))</f>
        <v>0</v>
      </c>
      <c r="W1843" s="10">
        <f t="shared" si="69"/>
        <v>0</v>
      </c>
      <c r="AK1843" s="10" t="str">
        <f t="array" ref="AK1843">IFERROR(INDEX(SelectedSpecies,SMALL(IF(SelectedSpecies=AK$1,ROW(SelectedSpecies)),ROW(1844:1844)),2),"")</f>
        <v/>
      </c>
      <c r="BE1843" s="10"/>
      <c r="BI1843" s="10"/>
    </row>
    <row r="1844" spans="1:61" ht="21" customHeight="1" x14ac:dyDescent="0.25">
      <c r="A1844" s="10"/>
      <c r="B1844" s="10"/>
      <c r="E1844" s="10"/>
      <c r="G1844" s="10"/>
      <c r="I1844" s="436" t="s">
        <v>8060</v>
      </c>
      <c r="J1844" s="26" t="s">
        <v>8059</v>
      </c>
      <c r="K1844" s="10">
        <v>2.0000000000000004E-2</v>
      </c>
      <c r="L1844" s="73">
        <f>IF(Tank1!$C$23="No control",(SUMIF(Tank1!$B$32:$B$49,$J1844,Tank1!$C$32:$C$49)*Impacts!$F$8),0)</f>
        <v>0</v>
      </c>
      <c r="M1844" s="10">
        <f>IF(Tank2!$C$23="No control",(SUMIF(Tank2!$B$32:$B$49,$J1844,Tank2!$C$32:$C$49)*Impacts!$F$9),0)</f>
        <v>0</v>
      </c>
      <c r="N1844" s="10">
        <f>IF(Tank3!$C$23="No control",(SUMIF(Tank3!$B$32:$B$49,$J1844,Tank3!$C$32:$C$49)*Impacts!$F$10),0)</f>
        <v>0</v>
      </c>
      <c r="O1844" s="10">
        <f>IF(Tank4!$C$23="No control",(SUMIF(Tank4!$B$32:$B$49,$J1844,Tank4!$C$32:$C$49)*Impacts!$F$11),0)</f>
        <v>0</v>
      </c>
      <c r="P1844" s="10">
        <f>IF(Tank5!$C$23="No control",(SUMIF(Tank5!$B$32:$B$49,$J1844,Tank5!$C$32:$C$49)*Impacts!$F$12),0)</f>
        <v>0</v>
      </c>
      <c r="Q1844" s="10">
        <f>IFERROR(IF(('Loading-drum,tote'!$C$21)="No control",SUMIF(('Loading-drum,tote'!$B$31:$B$48),$J1844,('Loading-drum,tote'!$D$31:$D$48))*Impacts!$F$13,IF(('Loading-drum,tote'!$C$21)&lt;&gt;"No control",SUMIF(('Loading-drum,tote'!$B$31:$B$48),$J1844,('Loading-drum,tote'!$E$31:$E$48))*Impacts!$F$13,0)),0)</f>
        <v>0</v>
      </c>
      <c r="R1844" s="10">
        <f>IFERROR(IF(('Loading-truck'!$C$21)="No control",SUMIF(('Loading-truck'!$B$31:$B$48),$J1844,('Loading-truck'!$D$31:$D$48))*Impacts!$F$14,IF(('Loading-truck'!$C$21)&lt;&gt;"No control",SUMIF(('Loading-truck'!$B$31:$B$48),$J1844,('Loading-truck'!$E$31:$E$48))*Impacts!$F$14,0)),0)</f>
        <v>0</v>
      </c>
      <c r="S1844" s="10">
        <f>IFERROR(IF(('Loading-rail'!$C$21)="No control",SUMIF(('Loading-rail'!$B$31:$B$48),$J1844,('Loading-rail'!$D$31:$D$48))*Impacts!$F$15,IF(('Loading-rail'!$C$21)&lt;&gt;"No control",SUMIF(('Loading-rail'!$B$31:$B$48),$J1844,('Loading-rail'!$E$31:$E$48))*Impacts!$F$15,0)),0)</f>
        <v>0</v>
      </c>
      <c r="T1844" s="10">
        <f>IF(Flare!$C$7="",0,(SUMIF(Flare!$B$46:$B$185,$J1844,Flare!$E$46:$E$185)*Impacts!$F$16))</f>
        <v>0</v>
      </c>
      <c r="U1844" s="10">
        <f>IF(VCU!$C$9="",0,(SUMIF(VCU!$B$51:$B$193,$J1844,VCU!$E$51:$E$193)*Impacts!$F$17))</f>
        <v>0</v>
      </c>
      <c r="V1844" s="10">
        <f>IF(CAS!$C$7="",0,(SUMIF(CAS!$B$31:$B$167,$J1844,CAS!$E$31:$E$167)*Impacts!$F$18))</f>
        <v>0</v>
      </c>
      <c r="W1844" s="10">
        <f t="shared" si="69"/>
        <v>0</v>
      </c>
      <c r="AK1844" s="10" t="str">
        <f t="array" ref="AK1844">IFERROR(INDEX(SelectedSpecies,SMALL(IF(SelectedSpecies=AK$1,ROW(SelectedSpecies)),ROW(1845:1845)),2),"")</f>
        <v/>
      </c>
      <c r="BE1844" s="10"/>
      <c r="BI1844" s="10"/>
    </row>
    <row r="1845" spans="1:61" ht="21" customHeight="1" x14ac:dyDescent="0.25">
      <c r="A1845" s="10"/>
      <c r="B1845" s="10"/>
      <c r="E1845" s="10"/>
      <c r="G1845" s="10"/>
      <c r="I1845" s="436" t="s">
        <v>5916</v>
      </c>
      <c r="J1845" s="26" t="s">
        <v>5915</v>
      </c>
      <c r="K1845" s="10">
        <v>1</v>
      </c>
      <c r="L1845" s="73">
        <f>IF(Tank1!$C$23="No control",(SUMIF(Tank1!$B$32:$B$49,$J1845,Tank1!$C$32:$C$49)*Impacts!$F$8),0)</f>
        <v>0</v>
      </c>
      <c r="M1845" s="10">
        <f>IF(Tank2!$C$23="No control",(SUMIF(Tank2!$B$32:$B$49,$J1845,Tank2!$C$32:$C$49)*Impacts!$F$9),0)</f>
        <v>0</v>
      </c>
      <c r="N1845" s="10">
        <f>IF(Tank3!$C$23="No control",(SUMIF(Tank3!$B$32:$B$49,$J1845,Tank3!$C$32:$C$49)*Impacts!$F$10),0)</f>
        <v>0</v>
      </c>
      <c r="O1845" s="10">
        <f>IF(Tank4!$C$23="No control",(SUMIF(Tank4!$B$32:$B$49,$J1845,Tank4!$C$32:$C$49)*Impacts!$F$11),0)</f>
        <v>0</v>
      </c>
      <c r="P1845" s="10">
        <f>IF(Tank5!$C$23="No control",(SUMIF(Tank5!$B$32:$B$49,$J1845,Tank5!$C$32:$C$49)*Impacts!$F$12),0)</f>
        <v>0</v>
      </c>
      <c r="Q1845" s="10">
        <f>IFERROR(IF(('Loading-drum,tote'!$C$21)="No control",SUMIF(('Loading-drum,tote'!$B$31:$B$48),$J1845,('Loading-drum,tote'!$D$31:$D$48))*Impacts!$F$13,IF(('Loading-drum,tote'!$C$21)&lt;&gt;"No control",SUMIF(('Loading-drum,tote'!$B$31:$B$48),$J1845,('Loading-drum,tote'!$E$31:$E$48))*Impacts!$F$13,0)),0)</f>
        <v>0</v>
      </c>
      <c r="R1845" s="10">
        <f>IFERROR(IF(('Loading-truck'!$C$21)="No control",SUMIF(('Loading-truck'!$B$31:$B$48),$J1845,('Loading-truck'!$D$31:$D$48))*Impacts!$F$14,IF(('Loading-truck'!$C$21)&lt;&gt;"No control",SUMIF(('Loading-truck'!$B$31:$B$48),$J1845,('Loading-truck'!$E$31:$E$48))*Impacts!$F$14,0)),0)</f>
        <v>0</v>
      </c>
      <c r="S1845" s="10">
        <f>IFERROR(IF(('Loading-rail'!$C$21)="No control",SUMIF(('Loading-rail'!$B$31:$B$48),$J1845,('Loading-rail'!$D$31:$D$48))*Impacts!$F$15,IF(('Loading-rail'!$C$21)&lt;&gt;"No control",SUMIF(('Loading-rail'!$B$31:$B$48),$J1845,('Loading-rail'!$E$31:$E$48))*Impacts!$F$15,0)),0)</f>
        <v>0</v>
      </c>
      <c r="T1845" s="10">
        <f>IF(Flare!$C$7="",0,(SUMIF(Flare!$B$46:$B$185,$J1845,Flare!$E$46:$E$185)*Impacts!$F$16))</f>
        <v>0</v>
      </c>
      <c r="U1845" s="10">
        <f>IF(VCU!$C$9="",0,(SUMIF(VCU!$B$51:$B$193,$J1845,VCU!$E$51:$E$193)*Impacts!$F$17))</f>
        <v>0</v>
      </c>
      <c r="V1845" s="10">
        <f>IF(CAS!$C$7="",0,(SUMIF(CAS!$B$31:$B$167,$J1845,CAS!$E$31:$E$167)*Impacts!$F$18))</f>
        <v>0</v>
      </c>
      <c r="W1845" s="10">
        <f t="shared" si="69"/>
        <v>0</v>
      </c>
      <c r="AK1845" s="10" t="str">
        <f t="array" ref="AK1845">IFERROR(INDEX(SelectedSpecies,SMALL(IF(SelectedSpecies=AK$1,ROW(SelectedSpecies)),ROW(1846:1846)),2),"")</f>
        <v/>
      </c>
      <c r="BE1845" s="10"/>
      <c r="BI1845" s="10"/>
    </row>
    <row r="1846" spans="1:61" ht="21" customHeight="1" x14ac:dyDescent="0.25">
      <c r="A1846" s="10"/>
      <c r="B1846" s="10"/>
      <c r="E1846" s="10"/>
      <c r="G1846" s="10"/>
      <c r="I1846" s="436" t="s">
        <v>5429</v>
      </c>
      <c r="J1846" s="26" t="s">
        <v>5428</v>
      </c>
      <c r="K1846" s="10">
        <v>1.4000000000000001</v>
      </c>
      <c r="L1846" s="73">
        <f>IF(Tank1!$C$23="No control",(SUMIF(Tank1!$B$32:$B$49,$J1846,Tank1!$C$32:$C$49)*Impacts!$F$8),0)</f>
        <v>0</v>
      </c>
      <c r="M1846" s="10">
        <f>IF(Tank2!$C$23="No control",(SUMIF(Tank2!$B$32:$B$49,$J1846,Tank2!$C$32:$C$49)*Impacts!$F$9),0)</f>
        <v>0</v>
      </c>
      <c r="N1846" s="10">
        <f>IF(Tank3!$C$23="No control",(SUMIF(Tank3!$B$32:$B$49,$J1846,Tank3!$C$32:$C$49)*Impacts!$F$10),0)</f>
        <v>0</v>
      </c>
      <c r="O1846" s="10">
        <f>IF(Tank4!$C$23="No control",(SUMIF(Tank4!$B$32:$B$49,$J1846,Tank4!$C$32:$C$49)*Impacts!$F$11),0)</f>
        <v>0</v>
      </c>
      <c r="P1846" s="10">
        <f>IF(Tank5!$C$23="No control",(SUMIF(Tank5!$B$32:$B$49,$J1846,Tank5!$C$32:$C$49)*Impacts!$F$12),0)</f>
        <v>0</v>
      </c>
      <c r="Q1846" s="10">
        <f>IFERROR(IF(('Loading-drum,tote'!$C$21)="No control",SUMIF(('Loading-drum,tote'!$B$31:$B$48),$J1846,('Loading-drum,tote'!$D$31:$D$48))*Impacts!$F$13,IF(('Loading-drum,tote'!$C$21)&lt;&gt;"No control",SUMIF(('Loading-drum,tote'!$B$31:$B$48),$J1846,('Loading-drum,tote'!$E$31:$E$48))*Impacts!$F$13,0)),0)</f>
        <v>0</v>
      </c>
      <c r="R1846" s="10">
        <f>IFERROR(IF(('Loading-truck'!$C$21)="No control",SUMIF(('Loading-truck'!$B$31:$B$48),$J1846,('Loading-truck'!$D$31:$D$48))*Impacts!$F$14,IF(('Loading-truck'!$C$21)&lt;&gt;"No control",SUMIF(('Loading-truck'!$B$31:$B$48),$J1846,('Loading-truck'!$E$31:$E$48))*Impacts!$F$14,0)),0)</f>
        <v>0</v>
      </c>
      <c r="S1846" s="10">
        <f>IFERROR(IF(('Loading-rail'!$C$21)="No control",SUMIF(('Loading-rail'!$B$31:$B$48),$J1846,('Loading-rail'!$D$31:$D$48))*Impacts!$F$15,IF(('Loading-rail'!$C$21)&lt;&gt;"No control",SUMIF(('Loading-rail'!$B$31:$B$48),$J1846,('Loading-rail'!$E$31:$E$48))*Impacts!$F$15,0)),0)</f>
        <v>0</v>
      </c>
      <c r="T1846" s="10">
        <f>IF(Flare!$C$7="",0,(SUMIF(Flare!$B$46:$B$185,$J1846,Flare!$E$46:$E$185)*Impacts!$F$16))</f>
        <v>0</v>
      </c>
      <c r="U1846" s="10">
        <f>IF(VCU!$C$9="",0,(SUMIF(VCU!$B$51:$B$193,$J1846,VCU!$E$51:$E$193)*Impacts!$F$17))</f>
        <v>0</v>
      </c>
      <c r="V1846" s="10">
        <f>IF(CAS!$C$7="",0,(SUMIF(CAS!$B$31:$B$167,$J1846,CAS!$E$31:$E$167)*Impacts!$F$18))</f>
        <v>0</v>
      </c>
      <c r="W1846" s="10">
        <f t="shared" si="69"/>
        <v>0</v>
      </c>
      <c r="AK1846" s="10" t="str">
        <f t="array" ref="AK1846">IFERROR(INDEX(SelectedSpecies,SMALL(IF(SelectedSpecies=AK$1,ROW(SelectedSpecies)),ROW(1847:1847)),2),"")</f>
        <v/>
      </c>
      <c r="BE1846" s="10"/>
      <c r="BI1846" s="10"/>
    </row>
    <row r="1847" spans="1:61" ht="21" customHeight="1" x14ac:dyDescent="0.25">
      <c r="A1847" s="10"/>
      <c r="B1847" s="10"/>
      <c r="E1847" s="10"/>
      <c r="G1847" s="10"/>
      <c r="I1847" s="436" t="s">
        <v>5431</v>
      </c>
      <c r="J1847" s="26" t="s">
        <v>5430</v>
      </c>
      <c r="K1847" s="10">
        <v>1.4000000000000001</v>
      </c>
      <c r="L1847" s="73">
        <f>IF(Tank1!$C$23="No control",(SUMIF(Tank1!$B$32:$B$49,$J1847,Tank1!$C$32:$C$49)*Impacts!$F$8),0)</f>
        <v>0</v>
      </c>
      <c r="M1847" s="10">
        <f>IF(Tank2!$C$23="No control",(SUMIF(Tank2!$B$32:$B$49,$J1847,Tank2!$C$32:$C$49)*Impacts!$F$9),0)</f>
        <v>0</v>
      </c>
      <c r="N1847" s="10">
        <f>IF(Tank3!$C$23="No control",(SUMIF(Tank3!$B$32:$B$49,$J1847,Tank3!$C$32:$C$49)*Impacts!$F$10),0)</f>
        <v>0</v>
      </c>
      <c r="O1847" s="10">
        <f>IF(Tank4!$C$23="No control",(SUMIF(Tank4!$B$32:$B$49,$J1847,Tank4!$C$32:$C$49)*Impacts!$F$11),0)</f>
        <v>0</v>
      </c>
      <c r="P1847" s="10">
        <f>IF(Tank5!$C$23="No control",(SUMIF(Tank5!$B$32:$B$49,$J1847,Tank5!$C$32:$C$49)*Impacts!$F$12),0)</f>
        <v>0</v>
      </c>
      <c r="Q1847" s="10">
        <f>IFERROR(IF(('Loading-drum,tote'!$C$21)="No control",SUMIF(('Loading-drum,tote'!$B$31:$B$48),$J1847,('Loading-drum,tote'!$D$31:$D$48))*Impacts!$F$13,IF(('Loading-drum,tote'!$C$21)&lt;&gt;"No control",SUMIF(('Loading-drum,tote'!$B$31:$B$48),$J1847,('Loading-drum,tote'!$E$31:$E$48))*Impacts!$F$13,0)),0)</f>
        <v>0</v>
      </c>
      <c r="R1847" s="10">
        <f>IFERROR(IF(('Loading-truck'!$C$21)="No control",SUMIF(('Loading-truck'!$B$31:$B$48),$J1847,('Loading-truck'!$D$31:$D$48))*Impacts!$F$14,IF(('Loading-truck'!$C$21)&lt;&gt;"No control",SUMIF(('Loading-truck'!$B$31:$B$48),$J1847,('Loading-truck'!$E$31:$E$48))*Impacts!$F$14,0)),0)</f>
        <v>0</v>
      </c>
      <c r="S1847" s="10">
        <f>IFERROR(IF(('Loading-rail'!$C$21)="No control",SUMIF(('Loading-rail'!$B$31:$B$48),$J1847,('Loading-rail'!$D$31:$D$48))*Impacts!$F$15,IF(('Loading-rail'!$C$21)&lt;&gt;"No control",SUMIF(('Loading-rail'!$B$31:$B$48),$J1847,('Loading-rail'!$E$31:$E$48))*Impacts!$F$15,0)),0)</f>
        <v>0</v>
      </c>
      <c r="T1847" s="10">
        <f>IF(Flare!$C$7="",0,(SUMIF(Flare!$B$46:$B$185,$J1847,Flare!$E$46:$E$185)*Impacts!$F$16))</f>
        <v>0</v>
      </c>
      <c r="U1847" s="10">
        <f>IF(VCU!$C$9="",0,(SUMIF(VCU!$B$51:$B$193,$J1847,VCU!$E$51:$E$193)*Impacts!$F$17))</f>
        <v>0</v>
      </c>
      <c r="V1847" s="10">
        <f>IF(CAS!$C$7="",0,(SUMIF(CAS!$B$31:$B$167,$J1847,CAS!$E$31:$E$167)*Impacts!$F$18))</f>
        <v>0</v>
      </c>
      <c r="W1847" s="10">
        <f t="shared" si="69"/>
        <v>0</v>
      </c>
      <c r="AK1847" s="10" t="str">
        <f t="array" ref="AK1847">IFERROR(INDEX(SelectedSpecies,SMALL(IF(SelectedSpecies=AK$1,ROW(SelectedSpecies)),ROW(1848:1848)),2),"")</f>
        <v/>
      </c>
      <c r="BE1847" s="10"/>
      <c r="BI1847" s="10"/>
    </row>
    <row r="1848" spans="1:61" ht="21" customHeight="1" x14ac:dyDescent="0.25">
      <c r="A1848" s="10"/>
      <c r="B1848" s="10"/>
      <c r="E1848" s="10"/>
      <c r="G1848" s="10"/>
      <c r="I1848" s="436" t="s">
        <v>6842</v>
      </c>
      <c r="J1848" s="26" t="s">
        <v>6841</v>
      </c>
      <c r="K1848" s="10">
        <v>0.5</v>
      </c>
      <c r="L1848" s="73">
        <f>IF(Tank1!$C$23="No control",(SUMIF(Tank1!$B$32:$B$49,$J1848,Tank1!$C$32:$C$49)*Impacts!$F$8),0)</f>
        <v>0</v>
      </c>
      <c r="M1848" s="10">
        <f>IF(Tank2!$C$23="No control",(SUMIF(Tank2!$B$32:$B$49,$J1848,Tank2!$C$32:$C$49)*Impacts!$F$9),0)</f>
        <v>0</v>
      </c>
      <c r="N1848" s="10">
        <f>IF(Tank3!$C$23="No control",(SUMIF(Tank3!$B$32:$B$49,$J1848,Tank3!$C$32:$C$49)*Impacts!$F$10),0)</f>
        <v>0</v>
      </c>
      <c r="O1848" s="10">
        <f>IF(Tank4!$C$23="No control",(SUMIF(Tank4!$B$32:$B$49,$J1848,Tank4!$C$32:$C$49)*Impacts!$F$11),0)</f>
        <v>0</v>
      </c>
      <c r="P1848" s="10">
        <f>IF(Tank5!$C$23="No control",(SUMIF(Tank5!$B$32:$B$49,$J1848,Tank5!$C$32:$C$49)*Impacts!$F$12),0)</f>
        <v>0</v>
      </c>
      <c r="Q1848" s="10">
        <f>IFERROR(IF(('Loading-drum,tote'!$C$21)="No control",SUMIF(('Loading-drum,tote'!$B$31:$B$48),$J1848,('Loading-drum,tote'!$D$31:$D$48))*Impacts!$F$13,IF(('Loading-drum,tote'!$C$21)&lt;&gt;"No control",SUMIF(('Loading-drum,tote'!$B$31:$B$48),$J1848,('Loading-drum,tote'!$E$31:$E$48))*Impacts!$F$13,0)),0)</f>
        <v>0</v>
      </c>
      <c r="R1848" s="10">
        <f>IFERROR(IF(('Loading-truck'!$C$21)="No control",SUMIF(('Loading-truck'!$B$31:$B$48),$J1848,('Loading-truck'!$D$31:$D$48))*Impacts!$F$14,IF(('Loading-truck'!$C$21)&lt;&gt;"No control",SUMIF(('Loading-truck'!$B$31:$B$48),$J1848,('Loading-truck'!$E$31:$E$48))*Impacts!$F$14,0)),0)</f>
        <v>0</v>
      </c>
      <c r="S1848" s="10">
        <f>IFERROR(IF(('Loading-rail'!$C$21)="No control",SUMIF(('Loading-rail'!$B$31:$B$48),$J1848,('Loading-rail'!$D$31:$D$48))*Impacts!$F$15,IF(('Loading-rail'!$C$21)&lt;&gt;"No control",SUMIF(('Loading-rail'!$B$31:$B$48),$J1848,('Loading-rail'!$E$31:$E$48))*Impacts!$F$15,0)),0)</f>
        <v>0</v>
      </c>
      <c r="T1848" s="10">
        <f>IF(Flare!$C$7="",0,(SUMIF(Flare!$B$46:$B$185,$J1848,Flare!$E$46:$E$185)*Impacts!$F$16))</f>
        <v>0</v>
      </c>
      <c r="U1848" s="10">
        <f>IF(VCU!$C$9="",0,(SUMIF(VCU!$B$51:$B$193,$J1848,VCU!$E$51:$E$193)*Impacts!$F$17))</f>
        <v>0</v>
      </c>
      <c r="V1848" s="10">
        <f>IF(CAS!$C$7="",0,(SUMIF(CAS!$B$31:$B$167,$J1848,CAS!$E$31:$E$167)*Impacts!$F$18))</f>
        <v>0</v>
      </c>
      <c r="W1848" s="10">
        <f t="shared" si="69"/>
        <v>0</v>
      </c>
      <c r="AK1848" s="10" t="str">
        <f t="array" ref="AK1848">IFERROR(INDEX(SelectedSpecies,SMALL(IF(SelectedSpecies=AK$1,ROW(SelectedSpecies)),ROW(1849:1849)),2),"")</f>
        <v/>
      </c>
      <c r="BE1848" s="10"/>
      <c r="BI1848" s="10"/>
    </row>
    <row r="1849" spans="1:61" ht="21" customHeight="1" x14ac:dyDescent="0.25">
      <c r="A1849" s="10"/>
      <c r="B1849" s="10"/>
      <c r="E1849" s="10"/>
      <c r="G1849" s="10"/>
      <c r="I1849" s="436" t="s">
        <v>5918</v>
      </c>
      <c r="J1849" s="26" t="s">
        <v>5917</v>
      </c>
      <c r="K1849" s="10">
        <v>1</v>
      </c>
      <c r="L1849" s="73">
        <f>IF(Tank1!$C$23="No control",(SUMIF(Tank1!$B$32:$B$49,$J1849,Tank1!$C$32:$C$49)*Impacts!$F$8),0)</f>
        <v>0</v>
      </c>
      <c r="M1849" s="10">
        <f>IF(Tank2!$C$23="No control",(SUMIF(Tank2!$B$32:$B$49,$J1849,Tank2!$C$32:$C$49)*Impacts!$F$9),0)</f>
        <v>0</v>
      </c>
      <c r="N1849" s="10">
        <f>IF(Tank3!$C$23="No control",(SUMIF(Tank3!$B$32:$B$49,$J1849,Tank3!$C$32:$C$49)*Impacts!$F$10),0)</f>
        <v>0</v>
      </c>
      <c r="O1849" s="10">
        <f>IF(Tank4!$C$23="No control",(SUMIF(Tank4!$B$32:$B$49,$J1849,Tank4!$C$32:$C$49)*Impacts!$F$11),0)</f>
        <v>0</v>
      </c>
      <c r="P1849" s="10">
        <f>IF(Tank5!$C$23="No control",(SUMIF(Tank5!$B$32:$B$49,$J1849,Tank5!$C$32:$C$49)*Impacts!$F$12),0)</f>
        <v>0</v>
      </c>
      <c r="Q1849" s="10">
        <f>IFERROR(IF(('Loading-drum,tote'!$C$21)="No control",SUMIF(('Loading-drum,tote'!$B$31:$B$48),$J1849,('Loading-drum,tote'!$D$31:$D$48))*Impacts!$F$13,IF(('Loading-drum,tote'!$C$21)&lt;&gt;"No control",SUMIF(('Loading-drum,tote'!$B$31:$B$48),$J1849,('Loading-drum,tote'!$E$31:$E$48))*Impacts!$F$13,0)),0)</f>
        <v>0</v>
      </c>
      <c r="R1849" s="10">
        <f>IFERROR(IF(('Loading-truck'!$C$21)="No control",SUMIF(('Loading-truck'!$B$31:$B$48),$J1849,('Loading-truck'!$D$31:$D$48))*Impacts!$F$14,IF(('Loading-truck'!$C$21)&lt;&gt;"No control",SUMIF(('Loading-truck'!$B$31:$B$48),$J1849,('Loading-truck'!$E$31:$E$48))*Impacts!$F$14,0)),0)</f>
        <v>0</v>
      </c>
      <c r="S1849" s="10">
        <f>IFERROR(IF(('Loading-rail'!$C$21)="No control",SUMIF(('Loading-rail'!$B$31:$B$48),$J1849,('Loading-rail'!$D$31:$D$48))*Impacts!$F$15,IF(('Loading-rail'!$C$21)&lt;&gt;"No control",SUMIF(('Loading-rail'!$B$31:$B$48),$J1849,('Loading-rail'!$E$31:$E$48))*Impacts!$F$15,0)),0)</f>
        <v>0</v>
      </c>
      <c r="T1849" s="10">
        <f>IF(Flare!$C$7="",0,(SUMIF(Flare!$B$46:$B$185,$J1849,Flare!$E$46:$E$185)*Impacts!$F$16))</f>
        <v>0</v>
      </c>
      <c r="U1849" s="10">
        <f>IF(VCU!$C$9="",0,(SUMIF(VCU!$B$51:$B$193,$J1849,VCU!$E$51:$E$193)*Impacts!$F$17))</f>
        <v>0</v>
      </c>
      <c r="V1849" s="10">
        <f>IF(CAS!$C$7="",0,(SUMIF(CAS!$B$31:$B$167,$J1849,CAS!$E$31:$E$167)*Impacts!$F$18))</f>
        <v>0</v>
      </c>
      <c r="W1849" s="10">
        <f t="shared" si="69"/>
        <v>0</v>
      </c>
      <c r="AK1849" s="10" t="str">
        <f t="array" ref="AK1849">IFERROR(INDEX(SelectedSpecies,SMALL(IF(SelectedSpecies=AK$1,ROW(SelectedSpecies)),ROW(1850:1850)),2),"")</f>
        <v/>
      </c>
      <c r="BE1849" s="10"/>
      <c r="BI1849" s="10"/>
    </row>
    <row r="1850" spans="1:61" ht="21" customHeight="1" x14ac:dyDescent="0.25">
      <c r="A1850" s="10"/>
      <c r="B1850" s="10"/>
      <c r="E1850" s="10"/>
      <c r="G1850" s="10"/>
      <c r="I1850" s="436" t="s">
        <v>4763</v>
      </c>
      <c r="J1850" s="26" t="s">
        <v>4762</v>
      </c>
      <c r="K1850" s="10">
        <v>20</v>
      </c>
      <c r="L1850" s="73">
        <f>IF(Tank1!$C$23="No control",(SUMIF(Tank1!$B$32:$B$49,$J1850,Tank1!$C$32:$C$49)*Impacts!$F$8),0)</f>
        <v>0</v>
      </c>
      <c r="M1850" s="10">
        <f>IF(Tank2!$C$23="No control",(SUMIF(Tank2!$B$32:$B$49,$J1850,Tank2!$C$32:$C$49)*Impacts!$F$9),0)</f>
        <v>0</v>
      </c>
      <c r="N1850" s="10">
        <f>IF(Tank3!$C$23="No control",(SUMIF(Tank3!$B$32:$B$49,$J1850,Tank3!$C$32:$C$49)*Impacts!$F$10),0)</f>
        <v>0</v>
      </c>
      <c r="O1850" s="10">
        <f>IF(Tank4!$C$23="No control",(SUMIF(Tank4!$B$32:$B$49,$J1850,Tank4!$C$32:$C$49)*Impacts!$F$11),0)</f>
        <v>0</v>
      </c>
      <c r="P1850" s="10">
        <f>IF(Tank5!$C$23="No control",(SUMIF(Tank5!$B$32:$B$49,$J1850,Tank5!$C$32:$C$49)*Impacts!$F$12),0)</f>
        <v>0</v>
      </c>
      <c r="Q1850" s="10">
        <f>IFERROR(IF(('Loading-drum,tote'!$C$21)="No control",SUMIF(('Loading-drum,tote'!$B$31:$B$48),$J1850,('Loading-drum,tote'!$D$31:$D$48))*Impacts!$F$13,IF(('Loading-drum,tote'!$C$21)&lt;&gt;"No control",SUMIF(('Loading-drum,tote'!$B$31:$B$48),$J1850,('Loading-drum,tote'!$E$31:$E$48))*Impacts!$F$13,0)),0)</f>
        <v>0</v>
      </c>
      <c r="R1850" s="10">
        <f>IFERROR(IF(('Loading-truck'!$C$21)="No control",SUMIF(('Loading-truck'!$B$31:$B$48),$J1850,('Loading-truck'!$D$31:$D$48))*Impacts!$F$14,IF(('Loading-truck'!$C$21)&lt;&gt;"No control",SUMIF(('Loading-truck'!$B$31:$B$48),$J1850,('Loading-truck'!$E$31:$E$48))*Impacts!$F$14,0)),0)</f>
        <v>0</v>
      </c>
      <c r="S1850" s="10">
        <f>IFERROR(IF(('Loading-rail'!$C$21)="No control",SUMIF(('Loading-rail'!$B$31:$B$48),$J1850,('Loading-rail'!$D$31:$D$48))*Impacts!$F$15,IF(('Loading-rail'!$C$21)&lt;&gt;"No control",SUMIF(('Loading-rail'!$B$31:$B$48),$J1850,('Loading-rail'!$E$31:$E$48))*Impacts!$F$15,0)),0)</f>
        <v>0</v>
      </c>
      <c r="T1850" s="10">
        <f>IF(Flare!$C$7="",0,(SUMIF(Flare!$B$46:$B$185,$J1850,Flare!$E$46:$E$185)*Impacts!$F$16))</f>
        <v>0</v>
      </c>
      <c r="U1850" s="10">
        <f>IF(VCU!$C$9="",0,(SUMIF(VCU!$B$51:$B$193,$J1850,VCU!$E$51:$E$193)*Impacts!$F$17))</f>
        <v>0</v>
      </c>
      <c r="V1850" s="10">
        <f>IF(CAS!$C$7="",0,(SUMIF(CAS!$B$31:$B$167,$J1850,CAS!$E$31:$E$167)*Impacts!$F$18))</f>
        <v>0</v>
      </c>
      <c r="W1850" s="10">
        <f t="shared" si="69"/>
        <v>0</v>
      </c>
      <c r="AK1850" s="10" t="str">
        <f t="array" ref="AK1850">IFERROR(INDEX(SelectedSpecies,SMALL(IF(SelectedSpecies=AK$1,ROW(SelectedSpecies)),ROW(1851:1851)),2),"")</f>
        <v/>
      </c>
      <c r="BE1850" s="10"/>
      <c r="BI1850" s="10"/>
    </row>
    <row r="1851" spans="1:61" ht="21" customHeight="1" x14ac:dyDescent="0.25">
      <c r="A1851" s="10"/>
      <c r="B1851" s="10"/>
      <c r="E1851" s="10"/>
      <c r="G1851" s="10"/>
      <c r="I1851" s="436" t="s">
        <v>4561</v>
      </c>
      <c r="J1851" s="26" t="s">
        <v>4560</v>
      </c>
      <c r="K1851" s="10">
        <v>4</v>
      </c>
      <c r="L1851" s="73">
        <f>IF(Tank1!$C$23="No control",(SUMIF(Tank1!$B$32:$B$49,$J1851,Tank1!$C$32:$C$49)*Impacts!$F$8),0)</f>
        <v>0</v>
      </c>
      <c r="M1851" s="10">
        <f>IF(Tank2!$C$23="No control",(SUMIF(Tank2!$B$32:$B$49,$J1851,Tank2!$C$32:$C$49)*Impacts!$F$9),0)</f>
        <v>0</v>
      </c>
      <c r="N1851" s="10">
        <f>IF(Tank3!$C$23="No control",(SUMIF(Tank3!$B$32:$B$49,$J1851,Tank3!$C$32:$C$49)*Impacts!$F$10),0)</f>
        <v>0</v>
      </c>
      <c r="O1851" s="10">
        <f>IF(Tank4!$C$23="No control",(SUMIF(Tank4!$B$32:$B$49,$J1851,Tank4!$C$32:$C$49)*Impacts!$F$11),0)</f>
        <v>0</v>
      </c>
      <c r="P1851" s="10">
        <f>IF(Tank5!$C$23="No control",(SUMIF(Tank5!$B$32:$B$49,$J1851,Tank5!$C$32:$C$49)*Impacts!$F$12),0)</f>
        <v>0</v>
      </c>
      <c r="Q1851" s="10">
        <f>IFERROR(IF(('Loading-drum,tote'!$C$21)="No control",SUMIF(('Loading-drum,tote'!$B$31:$B$48),$J1851,('Loading-drum,tote'!$D$31:$D$48))*Impacts!$F$13,IF(('Loading-drum,tote'!$C$21)&lt;&gt;"No control",SUMIF(('Loading-drum,tote'!$B$31:$B$48),$J1851,('Loading-drum,tote'!$E$31:$E$48))*Impacts!$F$13,0)),0)</f>
        <v>0</v>
      </c>
      <c r="R1851" s="10">
        <f>IFERROR(IF(('Loading-truck'!$C$21)="No control",SUMIF(('Loading-truck'!$B$31:$B$48),$J1851,('Loading-truck'!$D$31:$D$48))*Impacts!$F$14,IF(('Loading-truck'!$C$21)&lt;&gt;"No control",SUMIF(('Loading-truck'!$B$31:$B$48),$J1851,('Loading-truck'!$E$31:$E$48))*Impacts!$F$14,0)),0)</f>
        <v>0</v>
      </c>
      <c r="S1851" s="10">
        <f>IFERROR(IF(('Loading-rail'!$C$21)="No control",SUMIF(('Loading-rail'!$B$31:$B$48),$J1851,('Loading-rail'!$D$31:$D$48))*Impacts!$F$15,IF(('Loading-rail'!$C$21)&lt;&gt;"No control",SUMIF(('Loading-rail'!$B$31:$B$48),$J1851,('Loading-rail'!$E$31:$E$48))*Impacts!$F$15,0)),0)</f>
        <v>0</v>
      </c>
      <c r="T1851" s="10">
        <f>IF(Flare!$C$7="",0,(SUMIF(Flare!$B$46:$B$185,$J1851,Flare!$E$46:$E$185)*Impacts!$F$16))</f>
        <v>0</v>
      </c>
      <c r="U1851" s="10">
        <f>IF(VCU!$C$9="",0,(SUMIF(VCU!$B$51:$B$193,$J1851,VCU!$E$51:$E$193)*Impacts!$F$17))</f>
        <v>0</v>
      </c>
      <c r="V1851" s="10">
        <f>IF(CAS!$C$7="",0,(SUMIF(CAS!$B$31:$B$167,$J1851,CAS!$E$31:$E$167)*Impacts!$F$18))</f>
        <v>0</v>
      </c>
      <c r="W1851" s="10">
        <f t="shared" si="69"/>
        <v>0</v>
      </c>
      <c r="AK1851" s="10" t="str">
        <f t="array" ref="AK1851">IFERROR(INDEX(SelectedSpecies,SMALL(IF(SelectedSpecies=AK$1,ROW(SelectedSpecies)),ROW(1852:1852)),2),"")</f>
        <v/>
      </c>
      <c r="BE1851" s="10"/>
      <c r="BI1851" s="10"/>
    </row>
    <row r="1852" spans="1:61" ht="21" customHeight="1" x14ac:dyDescent="0.25">
      <c r="A1852" s="10"/>
      <c r="B1852" s="10"/>
      <c r="E1852" s="10"/>
      <c r="G1852" s="10"/>
      <c r="I1852" s="436" t="s">
        <v>3955</v>
      </c>
      <c r="J1852" s="26" t="s">
        <v>3954</v>
      </c>
      <c r="K1852" s="10">
        <v>6</v>
      </c>
      <c r="L1852" s="73">
        <f>IF(Tank1!$C$23="No control",(SUMIF(Tank1!$B$32:$B$49,$J1852,Tank1!$C$32:$C$49)*Impacts!$F$8),0)</f>
        <v>0</v>
      </c>
      <c r="M1852" s="10">
        <f>IF(Tank2!$C$23="No control",(SUMIF(Tank2!$B$32:$B$49,$J1852,Tank2!$C$32:$C$49)*Impacts!$F$9),0)</f>
        <v>0</v>
      </c>
      <c r="N1852" s="10">
        <f>IF(Tank3!$C$23="No control",(SUMIF(Tank3!$B$32:$B$49,$J1852,Tank3!$C$32:$C$49)*Impacts!$F$10),0)</f>
        <v>0</v>
      </c>
      <c r="O1852" s="10">
        <f>IF(Tank4!$C$23="No control",(SUMIF(Tank4!$B$32:$B$49,$J1852,Tank4!$C$32:$C$49)*Impacts!$F$11),0)</f>
        <v>0</v>
      </c>
      <c r="P1852" s="10">
        <f>IF(Tank5!$C$23="No control",(SUMIF(Tank5!$B$32:$B$49,$J1852,Tank5!$C$32:$C$49)*Impacts!$F$12),0)</f>
        <v>0</v>
      </c>
      <c r="Q1852" s="10">
        <f>IFERROR(IF(('Loading-drum,tote'!$C$21)="No control",SUMIF(('Loading-drum,tote'!$B$31:$B$48),$J1852,('Loading-drum,tote'!$D$31:$D$48))*Impacts!$F$13,IF(('Loading-drum,tote'!$C$21)&lt;&gt;"No control",SUMIF(('Loading-drum,tote'!$B$31:$B$48),$J1852,('Loading-drum,tote'!$E$31:$E$48))*Impacts!$F$13,0)),0)</f>
        <v>0</v>
      </c>
      <c r="R1852" s="10">
        <f>IFERROR(IF(('Loading-truck'!$C$21)="No control",SUMIF(('Loading-truck'!$B$31:$B$48),$J1852,('Loading-truck'!$D$31:$D$48))*Impacts!$F$14,IF(('Loading-truck'!$C$21)&lt;&gt;"No control",SUMIF(('Loading-truck'!$B$31:$B$48),$J1852,('Loading-truck'!$E$31:$E$48))*Impacts!$F$14,0)),0)</f>
        <v>0</v>
      </c>
      <c r="S1852" s="10">
        <f>IFERROR(IF(('Loading-rail'!$C$21)="No control",SUMIF(('Loading-rail'!$B$31:$B$48),$J1852,('Loading-rail'!$D$31:$D$48))*Impacts!$F$15,IF(('Loading-rail'!$C$21)&lt;&gt;"No control",SUMIF(('Loading-rail'!$B$31:$B$48),$J1852,('Loading-rail'!$E$31:$E$48))*Impacts!$F$15,0)),0)</f>
        <v>0</v>
      </c>
      <c r="T1852" s="10">
        <f>IF(Flare!$C$7="",0,(SUMIF(Flare!$B$46:$B$185,$J1852,Flare!$E$46:$E$185)*Impacts!$F$16))</f>
        <v>0</v>
      </c>
      <c r="U1852" s="10">
        <f>IF(VCU!$C$9="",0,(SUMIF(VCU!$B$51:$B$193,$J1852,VCU!$E$51:$E$193)*Impacts!$F$17))</f>
        <v>0</v>
      </c>
      <c r="V1852" s="10">
        <f>IF(CAS!$C$7="",0,(SUMIF(CAS!$B$31:$B$167,$J1852,CAS!$E$31:$E$167)*Impacts!$F$18))</f>
        <v>0</v>
      </c>
      <c r="W1852" s="10">
        <f t="shared" si="69"/>
        <v>0</v>
      </c>
      <c r="AK1852" s="10" t="str">
        <f t="array" ref="AK1852">IFERROR(INDEX(SelectedSpecies,SMALL(IF(SelectedSpecies=AK$1,ROW(SelectedSpecies)),ROW(1853:1853)),2),"")</f>
        <v/>
      </c>
      <c r="BE1852" s="10"/>
      <c r="BI1852" s="10"/>
    </row>
    <row r="1853" spans="1:61" ht="21" customHeight="1" x14ac:dyDescent="0.25">
      <c r="A1853" s="10"/>
      <c r="B1853" s="10"/>
      <c r="E1853" s="10"/>
      <c r="G1853" s="10"/>
      <c r="I1853" s="436" t="s">
        <v>4677</v>
      </c>
      <c r="J1853" s="26" t="s">
        <v>4676</v>
      </c>
      <c r="K1853" s="10">
        <v>3.6</v>
      </c>
      <c r="L1853" s="73">
        <f>IF(Tank1!$C$23="No control",(SUMIF(Tank1!$B$32:$B$49,$J1853,Tank1!$C$32:$C$49)*Impacts!$F$8),0)</f>
        <v>0</v>
      </c>
      <c r="M1853" s="10">
        <f>IF(Tank2!$C$23="No control",(SUMIF(Tank2!$B$32:$B$49,$J1853,Tank2!$C$32:$C$49)*Impacts!$F$9),0)</f>
        <v>0</v>
      </c>
      <c r="N1853" s="10">
        <f>IF(Tank3!$C$23="No control",(SUMIF(Tank3!$B$32:$B$49,$J1853,Tank3!$C$32:$C$49)*Impacts!$F$10),0)</f>
        <v>0</v>
      </c>
      <c r="O1853" s="10">
        <f>IF(Tank4!$C$23="No control",(SUMIF(Tank4!$B$32:$B$49,$J1853,Tank4!$C$32:$C$49)*Impacts!$F$11),0)</f>
        <v>0</v>
      </c>
      <c r="P1853" s="10">
        <f>IF(Tank5!$C$23="No control",(SUMIF(Tank5!$B$32:$B$49,$J1853,Tank5!$C$32:$C$49)*Impacts!$F$12),0)</f>
        <v>0</v>
      </c>
      <c r="Q1853" s="10">
        <f>IFERROR(IF(('Loading-drum,tote'!$C$21)="No control",SUMIF(('Loading-drum,tote'!$B$31:$B$48),$J1853,('Loading-drum,tote'!$D$31:$D$48))*Impacts!$F$13,IF(('Loading-drum,tote'!$C$21)&lt;&gt;"No control",SUMIF(('Loading-drum,tote'!$B$31:$B$48),$J1853,('Loading-drum,tote'!$E$31:$E$48))*Impacts!$F$13,0)),0)</f>
        <v>0</v>
      </c>
      <c r="R1853" s="10">
        <f>IFERROR(IF(('Loading-truck'!$C$21)="No control",SUMIF(('Loading-truck'!$B$31:$B$48),$J1853,('Loading-truck'!$D$31:$D$48))*Impacts!$F$14,IF(('Loading-truck'!$C$21)&lt;&gt;"No control",SUMIF(('Loading-truck'!$B$31:$B$48),$J1853,('Loading-truck'!$E$31:$E$48))*Impacts!$F$14,0)),0)</f>
        <v>0</v>
      </c>
      <c r="S1853" s="10">
        <f>IFERROR(IF(('Loading-rail'!$C$21)="No control",SUMIF(('Loading-rail'!$B$31:$B$48),$J1853,('Loading-rail'!$D$31:$D$48))*Impacts!$F$15,IF(('Loading-rail'!$C$21)&lt;&gt;"No control",SUMIF(('Loading-rail'!$B$31:$B$48),$J1853,('Loading-rail'!$E$31:$E$48))*Impacts!$F$15,0)),0)</f>
        <v>0</v>
      </c>
      <c r="T1853" s="10">
        <f>IF(Flare!$C$7="",0,(SUMIF(Flare!$B$46:$B$185,$J1853,Flare!$E$46:$E$185)*Impacts!$F$16))</f>
        <v>0</v>
      </c>
      <c r="U1853" s="10">
        <f>IF(VCU!$C$9="",0,(SUMIF(VCU!$B$51:$B$193,$J1853,VCU!$E$51:$E$193)*Impacts!$F$17))</f>
        <v>0</v>
      </c>
      <c r="V1853" s="10">
        <f>IF(CAS!$C$7="",0,(SUMIF(CAS!$B$31:$B$167,$J1853,CAS!$E$31:$E$167)*Impacts!$F$18))</f>
        <v>0</v>
      </c>
      <c r="W1853" s="10">
        <f t="shared" si="69"/>
        <v>0</v>
      </c>
      <c r="AK1853" s="10" t="str">
        <f t="array" ref="AK1853">IFERROR(INDEX(SelectedSpecies,SMALL(IF(SelectedSpecies=AK$1,ROW(SelectedSpecies)),ROW(1854:1854)),2),"")</f>
        <v/>
      </c>
      <c r="BE1853" s="10"/>
      <c r="BI1853" s="10"/>
    </row>
    <row r="1854" spans="1:61" ht="21" customHeight="1" x14ac:dyDescent="0.25">
      <c r="A1854" s="10"/>
      <c r="B1854" s="10"/>
      <c r="E1854" s="10"/>
      <c r="G1854" s="10"/>
      <c r="I1854" s="436" t="s">
        <v>6360</v>
      </c>
      <c r="J1854" s="26" t="s">
        <v>6359</v>
      </c>
      <c r="K1854" s="10">
        <v>0.83000000000000007</v>
      </c>
      <c r="L1854" s="73">
        <f>IF(Tank1!$C$23="No control",(SUMIF(Tank1!$B$32:$B$49,$J1854,Tank1!$C$32:$C$49)*Impacts!$F$8),0)</f>
        <v>0</v>
      </c>
      <c r="M1854" s="10">
        <f>IF(Tank2!$C$23="No control",(SUMIF(Tank2!$B$32:$B$49,$J1854,Tank2!$C$32:$C$49)*Impacts!$F$9),0)</f>
        <v>0</v>
      </c>
      <c r="N1854" s="10">
        <f>IF(Tank3!$C$23="No control",(SUMIF(Tank3!$B$32:$B$49,$J1854,Tank3!$C$32:$C$49)*Impacts!$F$10),0)</f>
        <v>0</v>
      </c>
      <c r="O1854" s="10">
        <f>IF(Tank4!$C$23="No control",(SUMIF(Tank4!$B$32:$B$49,$J1854,Tank4!$C$32:$C$49)*Impacts!$F$11),0)</f>
        <v>0</v>
      </c>
      <c r="P1854" s="10">
        <f>IF(Tank5!$C$23="No control",(SUMIF(Tank5!$B$32:$B$49,$J1854,Tank5!$C$32:$C$49)*Impacts!$F$12),0)</f>
        <v>0</v>
      </c>
      <c r="Q1854" s="10">
        <f>IFERROR(IF(('Loading-drum,tote'!$C$21)="No control",SUMIF(('Loading-drum,tote'!$B$31:$B$48),$J1854,('Loading-drum,tote'!$D$31:$D$48))*Impacts!$F$13,IF(('Loading-drum,tote'!$C$21)&lt;&gt;"No control",SUMIF(('Loading-drum,tote'!$B$31:$B$48),$J1854,('Loading-drum,tote'!$E$31:$E$48))*Impacts!$F$13,0)),0)</f>
        <v>0</v>
      </c>
      <c r="R1854" s="10">
        <f>IFERROR(IF(('Loading-truck'!$C$21)="No control",SUMIF(('Loading-truck'!$B$31:$B$48),$J1854,('Loading-truck'!$D$31:$D$48))*Impacts!$F$14,IF(('Loading-truck'!$C$21)&lt;&gt;"No control",SUMIF(('Loading-truck'!$B$31:$B$48),$J1854,('Loading-truck'!$E$31:$E$48))*Impacts!$F$14,0)),0)</f>
        <v>0</v>
      </c>
      <c r="S1854" s="10">
        <f>IFERROR(IF(('Loading-rail'!$C$21)="No control",SUMIF(('Loading-rail'!$B$31:$B$48),$J1854,('Loading-rail'!$D$31:$D$48))*Impacts!$F$15,IF(('Loading-rail'!$C$21)&lt;&gt;"No control",SUMIF(('Loading-rail'!$B$31:$B$48),$J1854,('Loading-rail'!$E$31:$E$48))*Impacts!$F$15,0)),0)</f>
        <v>0</v>
      </c>
      <c r="T1854" s="10">
        <f>IF(Flare!$C$7="",0,(SUMIF(Flare!$B$46:$B$185,$J1854,Flare!$E$46:$E$185)*Impacts!$F$16))</f>
        <v>0</v>
      </c>
      <c r="U1854" s="10">
        <f>IF(VCU!$C$9="",0,(SUMIF(VCU!$B$51:$B$193,$J1854,VCU!$E$51:$E$193)*Impacts!$F$17))</f>
        <v>0</v>
      </c>
      <c r="V1854" s="10">
        <f>IF(CAS!$C$7="",0,(SUMIF(CAS!$B$31:$B$167,$J1854,CAS!$E$31:$E$167)*Impacts!$F$18))</f>
        <v>0</v>
      </c>
      <c r="W1854" s="10">
        <f t="shared" si="69"/>
        <v>0</v>
      </c>
      <c r="AK1854" s="10" t="str">
        <f t="array" ref="AK1854">IFERROR(INDEX(SelectedSpecies,SMALL(IF(SelectedSpecies=AK$1,ROW(SelectedSpecies)),ROW(1855:1855)),2),"")</f>
        <v/>
      </c>
      <c r="BE1854" s="10"/>
      <c r="BI1854" s="10"/>
    </row>
    <row r="1855" spans="1:61" ht="21" customHeight="1" x14ac:dyDescent="0.25">
      <c r="A1855" s="10"/>
      <c r="B1855" s="10"/>
      <c r="E1855" s="10"/>
      <c r="G1855" s="10"/>
      <c r="I1855" s="436" t="s">
        <v>5920</v>
      </c>
      <c r="J1855" s="26" t="s">
        <v>5919</v>
      </c>
      <c r="K1855" s="10">
        <v>1</v>
      </c>
      <c r="L1855" s="73">
        <f>IF(Tank1!$C$23="No control",(SUMIF(Tank1!$B$32:$B$49,$J1855,Tank1!$C$32:$C$49)*Impacts!$F$8),0)</f>
        <v>0</v>
      </c>
      <c r="M1855" s="10">
        <f>IF(Tank2!$C$23="No control",(SUMIF(Tank2!$B$32:$B$49,$J1855,Tank2!$C$32:$C$49)*Impacts!$F$9),0)</f>
        <v>0</v>
      </c>
      <c r="N1855" s="10">
        <f>IF(Tank3!$C$23="No control",(SUMIF(Tank3!$B$32:$B$49,$J1855,Tank3!$C$32:$C$49)*Impacts!$F$10),0)</f>
        <v>0</v>
      </c>
      <c r="O1855" s="10">
        <f>IF(Tank4!$C$23="No control",(SUMIF(Tank4!$B$32:$B$49,$J1855,Tank4!$C$32:$C$49)*Impacts!$F$11),0)</f>
        <v>0</v>
      </c>
      <c r="P1855" s="10">
        <f>IF(Tank5!$C$23="No control",(SUMIF(Tank5!$B$32:$B$49,$J1855,Tank5!$C$32:$C$49)*Impacts!$F$12),0)</f>
        <v>0</v>
      </c>
      <c r="Q1855" s="10">
        <f>IFERROR(IF(('Loading-drum,tote'!$C$21)="No control",SUMIF(('Loading-drum,tote'!$B$31:$B$48),$J1855,('Loading-drum,tote'!$D$31:$D$48))*Impacts!$F$13,IF(('Loading-drum,tote'!$C$21)&lt;&gt;"No control",SUMIF(('Loading-drum,tote'!$B$31:$B$48),$J1855,('Loading-drum,tote'!$E$31:$E$48))*Impacts!$F$13,0)),0)</f>
        <v>0</v>
      </c>
      <c r="R1855" s="10">
        <f>IFERROR(IF(('Loading-truck'!$C$21)="No control",SUMIF(('Loading-truck'!$B$31:$B$48),$J1855,('Loading-truck'!$D$31:$D$48))*Impacts!$F$14,IF(('Loading-truck'!$C$21)&lt;&gt;"No control",SUMIF(('Loading-truck'!$B$31:$B$48),$J1855,('Loading-truck'!$E$31:$E$48))*Impacts!$F$14,0)),0)</f>
        <v>0</v>
      </c>
      <c r="S1855" s="10">
        <f>IFERROR(IF(('Loading-rail'!$C$21)="No control",SUMIF(('Loading-rail'!$B$31:$B$48),$J1855,('Loading-rail'!$D$31:$D$48))*Impacts!$F$15,IF(('Loading-rail'!$C$21)&lt;&gt;"No control",SUMIF(('Loading-rail'!$B$31:$B$48),$J1855,('Loading-rail'!$E$31:$E$48))*Impacts!$F$15,0)),0)</f>
        <v>0</v>
      </c>
      <c r="T1855" s="10">
        <f>IF(Flare!$C$7="",0,(SUMIF(Flare!$B$46:$B$185,$J1855,Flare!$E$46:$E$185)*Impacts!$F$16))</f>
        <v>0</v>
      </c>
      <c r="U1855" s="10">
        <f>IF(VCU!$C$9="",0,(SUMIF(VCU!$B$51:$B$193,$J1855,VCU!$E$51:$E$193)*Impacts!$F$17))</f>
        <v>0</v>
      </c>
      <c r="V1855" s="10">
        <f>IF(CAS!$C$7="",0,(SUMIF(CAS!$B$31:$B$167,$J1855,CAS!$E$31:$E$167)*Impacts!$F$18))</f>
        <v>0</v>
      </c>
      <c r="W1855" s="10">
        <f t="shared" si="69"/>
        <v>0</v>
      </c>
      <c r="AK1855" s="10" t="str">
        <f t="array" ref="AK1855">IFERROR(INDEX(SelectedSpecies,SMALL(IF(SelectedSpecies=AK$1,ROW(SelectedSpecies)),ROW(1856:1856)),2),"")</f>
        <v/>
      </c>
      <c r="BE1855" s="10"/>
      <c r="BI1855" s="10"/>
    </row>
    <row r="1856" spans="1:61" ht="21" customHeight="1" x14ac:dyDescent="0.25">
      <c r="A1856" s="10"/>
      <c r="B1856" s="10"/>
      <c r="E1856" s="10"/>
      <c r="G1856" s="10"/>
      <c r="I1856" s="436" t="s">
        <v>4287</v>
      </c>
      <c r="J1856" s="26" t="s">
        <v>4286</v>
      </c>
      <c r="K1856" s="10">
        <v>5</v>
      </c>
      <c r="L1856" s="73">
        <f>IF(Tank1!$C$23="No control",(SUMIF(Tank1!$B$32:$B$49,$J1856,Tank1!$C$32:$C$49)*Impacts!$F$8),0)</f>
        <v>0</v>
      </c>
      <c r="M1856" s="10">
        <f>IF(Tank2!$C$23="No control",(SUMIF(Tank2!$B$32:$B$49,$J1856,Tank2!$C$32:$C$49)*Impacts!$F$9),0)</f>
        <v>0</v>
      </c>
      <c r="N1856" s="10">
        <f>IF(Tank3!$C$23="No control",(SUMIF(Tank3!$B$32:$B$49,$J1856,Tank3!$C$32:$C$49)*Impacts!$F$10),0)</f>
        <v>0</v>
      </c>
      <c r="O1856" s="10">
        <f>IF(Tank4!$C$23="No control",(SUMIF(Tank4!$B$32:$B$49,$J1856,Tank4!$C$32:$C$49)*Impacts!$F$11),0)</f>
        <v>0</v>
      </c>
      <c r="P1856" s="10">
        <f>IF(Tank5!$C$23="No control",(SUMIF(Tank5!$B$32:$B$49,$J1856,Tank5!$C$32:$C$49)*Impacts!$F$12),0)</f>
        <v>0</v>
      </c>
      <c r="Q1856" s="10">
        <f>IFERROR(IF(('Loading-drum,tote'!$C$21)="No control",SUMIF(('Loading-drum,tote'!$B$31:$B$48),$J1856,('Loading-drum,tote'!$D$31:$D$48))*Impacts!$F$13,IF(('Loading-drum,tote'!$C$21)&lt;&gt;"No control",SUMIF(('Loading-drum,tote'!$B$31:$B$48),$J1856,('Loading-drum,tote'!$E$31:$E$48))*Impacts!$F$13,0)),0)</f>
        <v>0</v>
      </c>
      <c r="R1856" s="10">
        <f>IFERROR(IF(('Loading-truck'!$C$21)="No control",SUMIF(('Loading-truck'!$B$31:$B$48),$J1856,('Loading-truck'!$D$31:$D$48))*Impacts!$F$14,IF(('Loading-truck'!$C$21)&lt;&gt;"No control",SUMIF(('Loading-truck'!$B$31:$B$48),$J1856,('Loading-truck'!$E$31:$E$48))*Impacts!$F$14,0)),0)</f>
        <v>0</v>
      </c>
      <c r="S1856" s="10">
        <f>IFERROR(IF(('Loading-rail'!$C$21)="No control",SUMIF(('Loading-rail'!$B$31:$B$48),$J1856,('Loading-rail'!$D$31:$D$48))*Impacts!$F$15,IF(('Loading-rail'!$C$21)&lt;&gt;"No control",SUMIF(('Loading-rail'!$B$31:$B$48),$J1856,('Loading-rail'!$E$31:$E$48))*Impacts!$F$15,0)),0)</f>
        <v>0</v>
      </c>
      <c r="T1856" s="10">
        <f>IF(Flare!$C$7="",0,(SUMIF(Flare!$B$46:$B$185,$J1856,Flare!$E$46:$E$185)*Impacts!$F$16))</f>
        <v>0</v>
      </c>
      <c r="U1856" s="10">
        <f>IF(VCU!$C$9="",0,(SUMIF(VCU!$B$51:$B$193,$J1856,VCU!$E$51:$E$193)*Impacts!$F$17))</f>
        <v>0</v>
      </c>
      <c r="V1856" s="10">
        <f>IF(CAS!$C$7="",0,(SUMIF(CAS!$B$31:$B$167,$J1856,CAS!$E$31:$E$167)*Impacts!$F$18))</f>
        <v>0</v>
      </c>
      <c r="W1856" s="10">
        <f t="shared" si="69"/>
        <v>0</v>
      </c>
      <c r="AK1856" s="10" t="str">
        <f t="array" ref="AK1856">IFERROR(INDEX(SelectedSpecies,SMALL(IF(SelectedSpecies=AK$1,ROW(SelectedSpecies)),ROW(1857:1857)),2),"")</f>
        <v/>
      </c>
      <c r="BE1856" s="10"/>
      <c r="BI1856" s="10"/>
    </row>
    <row r="1857" spans="1:61" ht="21" customHeight="1" x14ac:dyDescent="0.25">
      <c r="A1857" s="10"/>
      <c r="B1857" s="10"/>
      <c r="E1857" s="10"/>
      <c r="G1857" s="10"/>
      <c r="I1857" s="436" t="s">
        <v>5922</v>
      </c>
      <c r="J1857" s="26" t="s">
        <v>5921</v>
      </c>
      <c r="K1857" s="10">
        <v>1</v>
      </c>
      <c r="L1857" s="73">
        <f>IF(Tank1!$C$23="No control",(SUMIF(Tank1!$B$32:$B$49,$J1857,Tank1!$C$32:$C$49)*Impacts!$F$8),0)</f>
        <v>0</v>
      </c>
      <c r="M1857" s="10">
        <f>IF(Tank2!$C$23="No control",(SUMIF(Tank2!$B$32:$B$49,$J1857,Tank2!$C$32:$C$49)*Impacts!$F$9),0)</f>
        <v>0</v>
      </c>
      <c r="N1857" s="10">
        <f>IF(Tank3!$C$23="No control",(SUMIF(Tank3!$B$32:$B$49,$J1857,Tank3!$C$32:$C$49)*Impacts!$F$10),0)</f>
        <v>0</v>
      </c>
      <c r="O1857" s="10">
        <f>IF(Tank4!$C$23="No control",(SUMIF(Tank4!$B$32:$B$49,$J1857,Tank4!$C$32:$C$49)*Impacts!$F$11),0)</f>
        <v>0</v>
      </c>
      <c r="P1857" s="10">
        <f>IF(Tank5!$C$23="No control",(SUMIF(Tank5!$B$32:$B$49,$J1857,Tank5!$C$32:$C$49)*Impacts!$F$12),0)</f>
        <v>0</v>
      </c>
      <c r="Q1857" s="10">
        <f>IFERROR(IF(('Loading-drum,tote'!$C$21)="No control",SUMIF(('Loading-drum,tote'!$B$31:$B$48),$J1857,('Loading-drum,tote'!$D$31:$D$48))*Impacts!$F$13,IF(('Loading-drum,tote'!$C$21)&lt;&gt;"No control",SUMIF(('Loading-drum,tote'!$B$31:$B$48),$J1857,('Loading-drum,tote'!$E$31:$E$48))*Impacts!$F$13,0)),0)</f>
        <v>0</v>
      </c>
      <c r="R1857" s="10">
        <f>IFERROR(IF(('Loading-truck'!$C$21)="No control",SUMIF(('Loading-truck'!$B$31:$B$48),$J1857,('Loading-truck'!$D$31:$D$48))*Impacts!$F$14,IF(('Loading-truck'!$C$21)&lt;&gt;"No control",SUMIF(('Loading-truck'!$B$31:$B$48),$J1857,('Loading-truck'!$E$31:$E$48))*Impacts!$F$14,0)),0)</f>
        <v>0</v>
      </c>
      <c r="S1857" s="10">
        <f>IFERROR(IF(('Loading-rail'!$C$21)="No control",SUMIF(('Loading-rail'!$B$31:$B$48),$J1857,('Loading-rail'!$D$31:$D$48))*Impacts!$F$15,IF(('Loading-rail'!$C$21)&lt;&gt;"No control",SUMIF(('Loading-rail'!$B$31:$B$48),$J1857,('Loading-rail'!$E$31:$E$48))*Impacts!$F$15,0)),0)</f>
        <v>0</v>
      </c>
      <c r="T1857" s="10">
        <f>IF(Flare!$C$7="",0,(SUMIF(Flare!$B$46:$B$185,$J1857,Flare!$E$46:$E$185)*Impacts!$F$16))</f>
        <v>0</v>
      </c>
      <c r="U1857" s="10">
        <f>IF(VCU!$C$9="",0,(SUMIF(VCU!$B$51:$B$193,$J1857,VCU!$E$51:$E$193)*Impacts!$F$17))</f>
        <v>0</v>
      </c>
      <c r="V1857" s="10">
        <f>IF(CAS!$C$7="",0,(SUMIF(CAS!$B$31:$B$167,$J1857,CAS!$E$31:$E$167)*Impacts!$F$18))</f>
        <v>0</v>
      </c>
      <c r="W1857" s="10">
        <f t="shared" si="69"/>
        <v>0</v>
      </c>
      <c r="AK1857" s="10" t="str">
        <f t="array" ref="AK1857">IFERROR(INDEX(SelectedSpecies,SMALL(IF(SelectedSpecies=AK$1,ROW(SelectedSpecies)),ROW(1858:1858)),2),"")</f>
        <v/>
      </c>
      <c r="BE1857" s="10"/>
      <c r="BI1857" s="10"/>
    </row>
    <row r="1858" spans="1:61" ht="21" customHeight="1" x14ac:dyDescent="0.25">
      <c r="A1858" s="10"/>
      <c r="B1858" s="10"/>
      <c r="E1858" s="10"/>
      <c r="G1858" s="10"/>
      <c r="I1858" s="436" t="s">
        <v>6998</v>
      </c>
      <c r="J1858" s="26" t="s">
        <v>6997</v>
      </c>
      <c r="K1858" s="10">
        <v>0.45999999999999996</v>
      </c>
      <c r="L1858" s="73">
        <f>IF(Tank1!$C$23="No control",(SUMIF(Tank1!$B$32:$B$49,$J1858,Tank1!$C$32:$C$49)*Impacts!$F$8),0)</f>
        <v>0</v>
      </c>
      <c r="M1858" s="10">
        <f>IF(Tank2!$C$23="No control",(SUMIF(Tank2!$B$32:$B$49,$J1858,Tank2!$C$32:$C$49)*Impacts!$F$9),0)</f>
        <v>0</v>
      </c>
      <c r="N1858" s="10">
        <f>IF(Tank3!$C$23="No control",(SUMIF(Tank3!$B$32:$B$49,$J1858,Tank3!$C$32:$C$49)*Impacts!$F$10),0)</f>
        <v>0</v>
      </c>
      <c r="O1858" s="10">
        <f>IF(Tank4!$C$23="No control",(SUMIF(Tank4!$B$32:$B$49,$J1858,Tank4!$C$32:$C$49)*Impacts!$F$11),0)</f>
        <v>0</v>
      </c>
      <c r="P1858" s="10">
        <f>IF(Tank5!$C$23="No control",(SUMIF(Tank5!$B$32:$B$49,$J1858,Tank5!$C$32:$C$49)*Impacts!$F$12),0)</f>
        <v>0</v>
      </c>
      <c r="Q1858" s="10">
        <f>IFERROR(IF(('Loading-drum,tote'!$C$21)="No control",SUMIF(('Loading-drum,tote'!$B$31:$B$48),$J1858,('Loading-drum,tote'!$D$31:$D$48))*Impacts!$F$13,IF(('Loading-drum,tote'!$C$21)&lt;&gt;"No control",SUMIF(('Loading-drum,tote'!$B$31:$B$48),$J1858,('Loading-drum,tote'!$E$31:$E$48))*Impacts!$F$13,0)),0)</f>
        <v>0</v>
      </c>
      <c r="R1858" s="10">
        <f>IFERROR(IF(('Loading-truck'!$C$21)="No control",SUMIF(('Loading-truck'!$B$31:$B$48),$J1858,('Loading-truck'!$D$31:$D$48))*Impacts!$F$14,IF(('Loading-truck'!$C$21)&lt;&gt;"No control",SUMIF(('Loading-truck'!$B$31:$B$48),$J1858,('Loading-truck'!$E$31:$E$48))*Impacts!$F$14,0)),0)</f>
        <v>0</v>
      </c>
      <c r="S1858" s="10">
        <f>IFERROR(IF(('Loading-rail'!$C$21)="No control",SUMIF(('Loading-rail'!$B$31:$B$48),$J1858,('Loading-rail'!$D$31:$D$48))*Impacts!$F$15,IF(('Loading-rail'!$C$21)&lt;&gt;"No control",SUMIF(('Loading-rail'!$B$31:$B$48),$J1858,('Loading-rail'!$E$31:$E$48))*Impacts!$F$15,0)),0)</f>
        <v>0</v>
      </c>
      <c r="T1858" s="10">
        <f>IF(Flare!$C$7="",0,(SUMIF(Flare!$B$46:$B$185,$J1858,Flare!$E$46:$E$185)*Impacts!$F$16))</f>
        <v>0</v>
      </c>
      <c r="U1858" s="10">
        <f>IF(VCU!$C$9="",0,(SUMIF(VCU!$B$51:$B$193,$J1858,VCU!$E$51:$E$193)*Impacts!$F$17))</f>
        <v>0</v>
      </c>
      <c r="V1858" s="10">
        <f>IF(CAS!$C$7="",0,(SUMIF(CAS!$B$31:$B$167,$J1858,CAS!$E$31:$E$167)*Impacts!$F$18))</f>
        <v>0</v>
      </c>
      <c r="W1858" s="10">
        <f t="shared" si="69"/>
        <v>0</v>
      </c>
      <c r="AK1858" s="10" t="str">
        <f t="array" ref="AK1858">IFERROR(INDEX(SelectedSpecies,SMALL(IF(SelectedSpecies=AK$1,ROW(SelectedSpecies)),ROW(1859:1859)),2),"")</f>
        <v/>
      </c>
      <c r="BE1858" s="10"/>
      <c r="BI1858" s="10"/>
    </row>
    <row r="1859" spans="1:61" ht="21" customHeight="1" x14ac:dyDescent="0.25">
      <c r="A1859" s="10"/>
      <c r="B1859" s="10"/>
      <c r="E1859" s="10"/>
      <c r="G1859" s="10"/>
      <c r="I1859" s="436" t="s">
        <v>5377</v>
      </c>
      <c r="J1859" s="26" t="s">
        <v>5376</v>
      </c>
      <c r="K1859" s="10">
        <v>1.5</v>
      </c>
      <c r="L1859" s="73">
        <f>IF(Tank1!$C$23="No control",(SUMIF(Tank1!$B$32:$B$49,$J1859,Tank1!$C$32:$C$49)*Impacts!$F$8),0)</f>
        <v>0</v>
      </c>
      <c r="M1859" s="10">
        <f>IF(Tank2!$C$23="No control",(SUMIF(Tank2!$B$32:$B$49,$J1859,Tank2!$C$32:$C$49)*Impacts!$F$9),0)</f>
        <v>0</v>
      </c>
      <c r="N1859" s="10">
        <f>IF(Tank3!$C$23="No control",(SUMIF(Tank3!$B$32:$B$49,$J1859,Tank3!$C$32:$C$49)*Impacts!$F$10),0)</f>
        <v>0</v>
      </c>
      <c r="O1859" s="10">
        <f>IF(Tank4!$C$23="No control",(SUMIF(Tank4!$B$32:$B$49,$J1859,Tank4!$C$32:$C$49)*Impacts!$F$11),0)</f>
        <v>0</v>
      </c>
      <c r="P1859" s="10">
        <f>IF(Tank5!$C$23="No control",(SUMIF(Tank5!$B$32:$B$49,$J1859,Tank5!$C$32:$C$49)*Impacts!$F$12),0)</f>
        <v>0</v>
      </c>
      <c r="Q1859" s="10">
        <f>IFERROR(IF(('Loading-drum,tote'!$C$21)="No control",SUMIF(('Loading-drum,tote'!$B$31:$B$48),$J1859,('Loading-drum,tote'!$D$31:$D$48))*Impacts!$F$13,IF(('Loading-drum,tote'!$C$21)&lt;&gt;"No control",SUMIF(('Loading-drum,tote'!$B$31:$B$48),$J1859,('Loading-drum,tote'!$E$31:$E$48))*Impacts!$F$13,0)),0)</f>
        <v>0</v>
      </c>
      <c r="R1859" s="10">
        <f>IFERROR(IF(('Loading-truck'!$C$21)="No control",SUMIF(('Loading-truck'!$B$31:$B$48),$J1859,('Loading-truck'!$D$31:$D$48))*Impacts!$F$14,IF(('Loading-truck'!$C$21)&lt;&gt;"No control",SUMIF(('Loading-truck'!$B$31:$B$48),$J1859,('Loading-truck'!$E$31:$E$48))*Impacts!$F$14,0)),0)</f>
        <v>0</v>
      </c>
      <c r="S1859" s="10">
        <f>IFERROR(IF(('Loading-rail'!$C$21)="No control",SUMIF(('Loading-rail'!$B$31:$B$48),$J1859,('Loading-rail'!$D$31:$D$48))*Impacts!$F$15,IF(('Loading-rail'!$C$21)&lt;&gt;"No control",SUMIF(('Loading-rail'!$B$31:$B$48),$J1859,('Loading-rail'!$E$31:$E$48))*Impacts!$F$15,0)),0)</f>
        <v>0</v>
      </c>
      <c r="T1859" s="10">
        <f>IF(Flare!$C$7="",0,(SUMIF(Flare!$B$46:$B$185,$J1859,Flare!$E$46:$E$185)*Impacts!$F$16))</f>
        <v>0</v>
      </c>
      <c r="U1859" s="10">
        <f>IF(VCU!$C$9="",0,(SUMIF(VCU!$B$51:$B$193,$J1859,VCU!$E$51:$E$193)*Impacts!$F$17))</f>
        <v>0</v>
      </c>
      <c r="V1859" s="10">
        <f>IF(CAS!$C$7="",0,(SUMIF(CAS!$B$31:$B$167,$J1859,CAS!$E$31:$E$167)*Impacts!$F$18))</f>
        <v>0</v>
      </c>
      <c r="W1859" s="10">
        <f t="shared" si="69"/>
        <v>0</v>
      </c>
      <c r="AK1859" s="10" t="str">
        <f t="array" ref="AK1859">IFERROR(INDEX(SelectedSpecies,SMALL(IF(SelectedSpecies=AK$1,ROW(SelectedSpecies)),ROW(1860:1860)),2),"")</f>
        <v/>
      </c>
      <c r="BE1859" s="10"/>
      <c r="BI1859" s="10"/>
    </row>
    <row r="1860" spans="1:61" ht="21" customHeight="1" x14ac:dyDescent="0.25">
      <c r="A1860" s="10"/>
      <c r="B1860" s="10"/>
      <c r="E1860" s="10"/>
      <c r="G1860" s="10"/>
      <c r="I1860" s="436" t="s">
        <v>5269</v>
      </c>
      <c r="J1860" s="26" t="s">
        <v>5268</v>
      </c>
      <c r="K1860" s="10">
        <v>1.8</v>
      </c>
      <c r="L1860" s="73">
        <f>IF(Tank1!$C$23="No control",(SUMIF(Tank1!$B$32:$B$49,$J1860,Tank1!$C$32:$C$49)*Impacts!$F$8),0)</f>
        <v>0</v>
      </c>
      <c r="M1860" s="10">
        <f>IF(Tank2!$C$23="No control",(SUMIF(Tank2!$B$32:$B$49,$J1860,Tank2!$C$32:$C$49)*Impacts!$F$9),0)</f>
        <v>0</v>
      </c>
      <c r="N1860" s="10">
        <f>IF(Tank3!$C$23="No control",(SUMIF(Tank3!$B$32:$B$49,$J1860,Tank3!$C$32:$C$49)*Impacts!$F$10),0)</f>
        <v>0</v>
      </c>
      <c r="O1860" s="10">
        <f>IF(Tank4!$C$23="No control",(SUMIF(Tank4!$B$32:$B$49,$J1860,Tank4!$C$32:$C$49)*Impacts!$F$11),0)</f>
        <v>0</v>
      </c>
      <c r="P1860" s="10">
        <f>IF(Tank5!$C$23="No control",(SUMIF(Tank5!$B$32:$B$49,$J1860,Tank5!$C$32:$C$49)*Impacts!$F$12),0)</f>
        <v>0</v>
      </c>
      <c r="Q1860" s="10">
        <f>IFERROR(IF(('Loading-drum,tote'!$C$21)="No control",SUMIF(('Loading-drum,tote'!$B$31:$B$48),$J1860,('Loading-drum,tote'!$D$31:$D$48))*Impacts!$F$13,IF(('Loading-drum,tote'!$C$21)&lt;&gt;"No control",SUMIF(('Loading-drum,tote'!$B$31:$B$48),$J1860,('Loading-drum,tote'!$E$31:$E$48))*Impacts!$F$13,0)),0)</f>
        <v>0</v>
      </c>
      <c r="R1860" s="10">
        <f>IFERROR(IF(('Loading-truck'!$C$21)="No control",SUMIF(('Loading-truck'!$B$31:$B$48),$J1860,('Loading-truck'!$D$31:$D$48))*Impacts!$F$14,IF(('Loading-truck'!$C$21)&lt;&gt;"No control",SUMIF(('Loading-truck'!$B$31:$B$48),$J1860,('Loading-truck'!$E$31:$E$48))*Impacts!$F$14,0)),0)</f>
        <v>0</v>
      </c>
      <c r="S1860" s="10">
        <f>IFERROR(IF(('Loading-rail'!$C$21)="No control",SUMIF(('Loading-rail'!$B$31:$B$48),$J1860,('Loading-rail'!$D$31:$D$48))*Impacts!$F$15,IF(('Loading-rail'!$C$21)&lt;&gt;"No control",SUMIF(('Loading-rail'!$B$31:$B$48),$J1860,('Loading-rail'!$E$31:$E$48))*Impacts!$F$15,0)),0)</f>
        <v>0</v>
      </c>
      <c r="T1860" s="10">
        <f>IF(Flare!$C$7="",0,(SUMIF(Flare!$B$46:$B$185,$J1860,Flare!$E$46:$E$185)*Impacts!$F$16))</f>
        <v>0</v>
      </c>
      <c r="U1860" s="10">
        <f>IF(VCU!$C$9="",0,(SUMIF(VCU!$B$51:$B$193,$J1860,VCU!$E$51:$E$193)*Impacts!$F$17))</f>
        <v>0</v>
      </c>
      <c r="V1860" s="10">
        <f>IF(CAS!$C$7="",0,(SUMIF(CAS!$B$31:$B$167,$J1860,CAS!$E$31:$E$167)*Impacts!$F$18))</f>
        <v>0</v>
      </c>
      <c r="W1860" s="10">
        <f t="shared" si="69"/>
        <v>0</v>
      </c>
      <c r="AK1860" s="10" t="str">
        <f t="array" ref="AK1860">IFERROR(INDEX(SelectedSpecies,SMALL(IF(SelectedSpecies=AK$1,ROW(SelectedSpecies)),ROW(1861:1861)),2),"")</f>
        <v/>
      </c>
      <c r="BE1860" s="10"/>
      <c r="BI1860" s="10"/>
    </row>
    <row r="1861" spans="1:61" ht="21" customHeight="1" x14ac:dyDescent="0.25">
      <c r="A1861" s="10"/>
      <c r="B1861" s="10"/>
      <c r="E1861" s="10"/>
      <c r="G1861" s="10"/>
      <c r="I1861" s="436" t="s">
        <v>2881</v>
      </c>
      <c r="J1861" s="26" t="s">
        <v>2880</v>
      </c>
      <c r="K1861" s="10">
        <v>10</v>
      </c>
      <c r="L1861" s="73">
        <f>IF(Tank1!$C$23="No control",(SUMIF(Tank1!$B$32:$B$49,$J1861,Tank1!$C$32:$C$49)*Impacts!$F$8),0)</f>
        <v>0</v>
      </c>
      <c r="M1861" s="10">
        <f>IF(Tank2!$C$23="No control",(SUMIF(Tank2!$B$32:$B$49,$J1861,Tank2!$C$32:$C$49)*Impacts!$F$9),0)</f>
        <v>0</v>
      </c>
      <c r="N1861" s="10">
        <f>IF(Tank3!$C$23="No control",(SUMIF(Tank3!$B$32:$B$49,$J1861,Tank3!$C$32:$C$49)*Impacts!$F$10),0)</f>
        <v>0</v>
      </c>
      <c r="O1861" s="10">
        <f>IF(Tank4!$C$23="No control",(SUMIF(Tank4!$B$32:$B$49,$J1861,Tank4!$C$32:$C$49)*Impacts!$F$11),0)</f>
        <v>0</v>
      </c>
      <c r="P1861" s="10">
        <f>IF(Tank5!$C$23="No control",(SUMIF(Tank5!$B$32:$B$49,$J1861,Tank5!$C$32:$C$49)*Impacts!$F$12),0)</f>
        <v>0</v>
      </c>
      <c r="Q1861" s="10">
        <f>IFERROR(IF(('Loading-drum,tote'!$C$21)="No control",SUMIF(('Loading-drum,tote'!$B$31:$B$48),$J1861,('Loading-drum,tote'!$D$31:$D$48))*Impacts!$F$13,IF(('Loading-drum,tote'!$C$21)&lt;&gt;"No control",SUMIF(('Loading-drum,tote'!$B$31:$B$48),$J1861,('Loading-drum,tote'!$E$31:$E$48))*Impacts!$F$13,0)),0)</f>
        <v>0</v>
      </c>
      <c r="R1861" s="10">
        <f>IFERROR(IF(('Loading-truck'!$C$21)="No control",SUMIF(('Loading-truck'!$B$31:$B$48),$J1861,('Loading-truck'!$D$31:$D$48))*Impacts!$F$14,IF(('Loading-truck'!$C$21)&lt;&gt;"No control",SUMIF(('Loading-truck'!$B$31:$B$48),$J1861,('Loading-truck'!$E$31:$E$48))*Impacts!$F$14,0)),0)</f>
        <v>0</v>
      </c>
      <c r="S1861" s="10">
        <f>IFERROR(IF(('Loading-rail'!$C$21)="No control",SUMIF(('Loading-rail'!$B$31:$B$48),$J1861,('Loading-rail'!$D$31:$D$48))*Impacts!$F$15,IF(('Loading-rail'!$C$21)&lt;&gt;"No control",SUMIF(('Loading-rail'!$B$31:$B$48),$J1861,('Loading-rail'!$E$31:$E$48))*Impacts!$F$15,0)),0)</f>
        <v>0</v>
      </c>
      <c r="T1861" s="10">
        <f>IF(Flare!$C$7="",0,(SUMIF(Flare!$B$46:$B$185,$J1861,Flare!$E$46:$E$185)*Impacts!$F$16))</f>
        <v>0</v>
      </c>
      <c r="U1861" s="10">
        <f>IF(VCU!$C$9="",0,(SUMIF(VCU!$B$51:$B$193,$J1861,VCU!$E$51:$E$193)*Impacts!$F$17))</f>
        <v>0</v>
      </c>
      <c r="V1861" s="10">
        <f>IF(CAS!$C$7="",0,(SUMIF(CAS!$B$31:$B$167,$J1861,CAS!$E$31:$E$167)*Impacts!$F$18))</f>
        <v>0</v>
      </c>
      <c r="W1861" s="10">
        <f t="shared" si="69"/>
        <v>0</v>
      </c>
      <c r="AK1861" s="10" t="str">
        <f t="array" ref="AK1861">IFERROR(INDEX(SelectedSpecies,SMALL(IF(SelectedSpecies=AK$1,ROW(SelectedSpecies)),ROW(1862:1862)),2),"")</f>
        <v/>
      </c>
      <c r="BE1861" s="10"/>
      <c r="BI1861" s="10"/>
    </row>
    <row r="1862" spans="1:61" ht="21" customHeight="1" x14ac:dyDescent="0.25">
      <c r="A1862" s="10"/>
      <c r="B1862" s="10"/>
      <c r="E1862" s="10"/>
      <c r="G1862" s="10"/>
      <c r="I1862" s="436" t="s">
        <v>2883</v>
      </c>
      <c r="J1862" s="26" t="s">
        <v>2882</v>
      </c>
      <c r="K1862" s="10">
        <v>10</v>
      </c>
      <c r="L1862" s="73">
        <f>IF(Tank1!$C$23="No control",(SUMIF(Tank1!$B$32:$B$49,$J1862,Tank1!$C$32:$C$49)*Impacts!$F$8),0)</f>
        <v>0</v>
      </c>
      <c r="M1862" s="10">
        <f>IF(Tank2!$C$23="No control",(SUMIF(Tank2!$B$32:$B$49,$J1862,Tank2!$C$32:$C$49)*Impacts!$F$9),0)</f>
        <v>0</v>
      </c>
      <c r="N1862" s="10">
        <f>IF(Tank3!$C$23="No control",(SUMIF(Tank3!$B$32:$B$49,$J1862,Tank3!$C$32:$C$49)*Impacts!$F$10),0)</f>
        <v>0</v>
      </c>
      <c r="O1862" s="10">
        <f>IF(Tank4!$C$23="No control",(SUMIF(Tank4!$B$32:$B$49,$J1862,Tank4!$C$32:$C$49)*Impacts!$F$11),0)</f>
        <v>0</v>
      </c>
      <c r="P1862" s="10">
        <f>IF(Tank5!$C$23="No control",(SUMIF(Tank5!$B$32:$B$49,$J1862,Tank5!$C$32:$C$49)*Impacts!$F$12),0)</f>
        <v>0</v>
      </c>
      <c r="Q1862" s="10">
        <f>IFERROR(IF(('Loading-drum,tote'!$C$21)="No control",SUMIF(('Loading-drum,tote'!$B$31:$B$48),$J1862,('Loading-drum,tote'!$D$31:$D$48))*Impacts!$F$13,IF(('Loading-drum,tote'!$C$21)&lt;&gt;"No control",SUMIF(('Loading-drum,tote'!$B$31:$B$48),$J1862,('Loading-drum,tote'!$E$31:$E$48))*Impacts!$F$13,0)),0)</f>
        <v>0</v>
      </c>
      <c r="R1862" s="10">
        <f>IFERROR(IF(('Loading-truck'!$C$21)="No control",SUMIF(('Loading-truck'!$B$31:$B$48),$J1862,('Loading-truck'!$D$31:$D$48))*Impacts!$F$14,IF(('Loading-truck'!$C$21)&lt;&gt;"No control",SUMIF(('Loading-truck'!$B$31:$B$48),$J1862,('Loading-truck'!$E$31:$E$48))*Impacts!$F$14,0)),0)</f>
        <v>0</v>
      </c>
      <c r="S1862" s="10">
        <f>IFERROR(IF(('Loading-rail'!$C$21)="No control",SUMIF(('Loading-rail'!$B$31:$B$48),$J1862,('Loading-rail'!$D$31:$D$48))*Impacts!$F$15,IF(('Loading-rail'!$C$21)&lt;&gt;"No control",SUMIF(('Loading-rail'!$B$31:$B$48),$J1862,('Loading-rail'!$E$31:$E$48))*Impacts!$F$15,0)),0)</f>
        <v>0</v>
      </c>
      <c r="T1862" s="10">
        <f>IF(Flare!$C$7="",0,(SUMIF(Flare!$B$46:$B$185,$J1862,Flare!$E$46:$E$185)*Impacts!$F$16))</f>
        <v>0</v>
      </c>
      <c r="U1862" s="10">
        <f>IF(VCU!$C$9="",0,(SUMIF(VCU!$B$51:$B$193,$J1862,VCU!$E$51:$E$193)*Impacts!$F$17))</f>
        <v>0</v>
      </c>
      <c r="V1862" s="10">
        <f>IF(CAS!$C$7="",0,(SUMIF(CAS!$B$31:$B$167,$J1862,CAS!$E$31:$E$167)*Impacts!$F$18))</f>
        <v>0</v>
      </c>
      <c r="W1862" s="10">
        <f t="shared" si="69"/>
        <v>0</v>
      </c>
      <c r="AK1862" s="10" t="str">
        <f t="array" ref="AK1862">IFERROR(INDEX(SelectedSpecies,SMALL(IF(SelectedSpecies=AK$1,ROW(SelectedSpecies)),ROW(1863:1863)),2),"")</f>
        <v/>
      </c>
      <c r="BE1862" s="10"/>
      <c r="BI1862" s="10"/>
    </row>
    <row r="1863" spans="1:61" ht="21" customHeight="1" x14ac:dyDescent="0.25">
      <c r="A1863" s="10"/>
      <c r="B1863" s="10"/>
      <c r="E1863" s="10"/>
      <c r="G1863" s="10"/>
      <c r="I1863" s="436" t="s">
        <v>2885</v>
      </c>
      <c r="J1863" s="26" t="s">
        <v>2884</v>
      </c>
      <c r="K1863" s="10">
        <v>10</v>
      </c>
      <c r="L1863" s="73">
        <f>IF(Tank1!$C$23="No control",(SUMIF(Tank1!$B$32:$B$49,$J1863,Tank1!$C$32:$C$49)*Impacts!$F$8),0)</f>
        <v>0</v>
      </c>
      <c r="M1863" s="10">
        <f>IF(Tank2!$C$23="No control",(SUMIF(Tank2!$B$32:$B$49,$J1863,Tank2!$C$32:$C$49)*Impacts!$F$9),0)</f>
        <v>0</v>
      </c>
      <c r="N1863" s="10">
        <f>IF(Tank3!$C$23="No control",(SUMIF(Tank3!$B$32:$B$49,$J1863,Tank3!$C$32:$C$49)*Impacts!$F$10),0)</f>
        <v>0</v>
      </c>
      <c r="O1863" s="10">
        <f>IF(Tank4!$C$23="No control",(SUMIF(Tank4!$B$32:$B$49,$J1863,Tank4!$C$32:$C$49)*Impacts!$F$11),0)</f>
        <v>0</v>
      </c>
      <c r="P1863" s="10">
        <f>IF(Tank5!$C$23="No control",(SUMIF(Tank5!$B$32:$B$49,$J1863,Tank5!$C$32:$C$49)*Impacts!$F$12),0)</f>
        <v>0</v>
      </c>
      <c r="Q1863" s="10">
        <f>IFERROR(IF(('Loading-drum,tote'!$C$21)="No control",SUMIF(('Loading-drum,tote'!$B$31:$B$48),$J1863,('Loading-drum,tote'!$D$31:$D$48))*Impacts!$F$13,IF(('Loading-drum,tote'!$C$21)&lt;&gt;"No control",SUMIF(('Loading-drum,tote'!$B$31:$B$48),$J1863,('Loading-drum,tote'!$E$31:$E$48))*Impacts!$F$13,0)),0)</f>
        <v>0</v>
      </c>
      <c r="R1863" s="10">
        <f>IFERROR(IF(('Loading-truck'!$C$21)="No control",SUMIF(('Loading-truck'!$B$31:$B$48),$J1863,('Loading-truck'!$D$31:$D$48))*Impacts!$F$14,IF(('Loading-truck'!$C$21)&lt;&gt;"No control",SUMIF(('Loading-truck'!$B$31:$B$48),$J1863,('Loading-truck'!$E$31:$E$48))*Impacts!$F$14,0)),0)</f>
        <v>0</v>
      </c>
      <c r="S1863" s="10">
        <f>IFERROR(IF(('Loading-rail'!$C$21)="No control",SUMIF(('Loading-rail'!$B$31:$B$48),$J1863,('Loading-rail'!$D$31:$D$48))*Impacts!$F$15,IF(('Loading-rail'!$C$21)&lt;&gt;"No control",SUMIF(('Loading-rail'!$B$31:$B$48),$J1863,('Loading-rail'!$E$31:$E$48))*Impacts!$F$15,0)),0)</f>
        <v>0</v>
      </c>
      <c r="T1863" s="10">
        <f>IF(Flare!$C$7="",0,(SUMIF(Flare!$B$46:$B$185,$J1863,Flare!$E$46:$E$185)*Impacts!$F$16))</f>
        <v>0</v>
      </c>
      <c r="U1863" s="10">
        <f>IF(VCU!$C$9="",0,(SUMIF(VCU!$B$51:$B$193,$J1863,VCU!$E$51:$E$193)*Impacts!$F$17))</f>
        <v>0</v>
      </c>
      <c r="V1863" s="10">
        <f>IF(CAS!$C$7="",0,(SUMIF(CAS!$B$31:$B$167,$J1863,CAS!$E$31:$E$167)*Impacts!$F$18))</f>
        <v>0</v>
      </c>
      <c r="W1863" s="10">
        <f t="shared" si="69"/>
        <v>0</v>
      </c>
      <c r="AK1863" s="10" t="str">
        <f t="array" ref="AK1863">IFERROR(INDEX(SelectedSpecies,SMALL(IF(SelectedSpecies=AK$1,ROW(SelectedSpecies)),ROW(1864:1864)),2),"")</f>
        <v/>
      </c>
      <c r="BE1863" s="10"/>
      <c r="BI1863" s="10"/>
    </row>
    <row r="1864" spans="1:61" ht="21" customHeight="1" x14ac:dyDescent="0.25">
      <c r="A1864" s="10"/>
      <c r="B1864" s="10"/>
      <c r="E1864" s="10"/>
      <c r="G1864" s="10"/>
      <c r="I1864" s="436" t="s">
        <v>5924</v>
      </c>
      <c r="J1864" s="26" t="s">
        <v>5923</v>
      </c>
      <c r="K1864" s="10">
        <v>1</v>
      </c>
      <c r="L1864" s="73">
        <f>IF(Tank1!$C$23="No control",(SUMIF(Tank1!$B$32:$B$49,$J1864,Tank1!$C$32:$C$49)*Impacts!$F$8),0)</f>
        <v>0</v>
      </c>
      <c r="M1864" s="10">
        <f>IF(Tank2!$C$23="No control",(SUMIF(Tank2!$B$32:$B$49,$J1864,Tank2!$C$32:$C$49)*Impacts!$F$9),0)</f>
        <v>0</v>
      </c>
      <c r="N1864" s="10">
        <f>IF(Tank3!$C$23="No control",(SUMIF(Tank3!$B$32:$B$49,$J1864,Tank3!$C$32:$C$49)*Impacts!$F$10),0)</f>
        <v>0</v>
      </c>
      <c r="O1864" s="10">
        <f>IF(Tank4!$C$23="No control",(SUMIF(Tank4!$B$32:$B$49,$J1864,Tank4!$C$32:$C$49)*Impacts!$F$11),0)</f>
        <v>0</v>
      </c>
      <c r="P1864" s="10">
        <f>IF(Tank5!$C$23="No control",(SUMIF(Tank5!$B$32:$B$49,$J1864,Tank5!$C$32:$C$49)*Impacts!$F$12),0)</f>
        <v>0</v>
      </c>
      <c r="Q1864" s="10">
        <f>IFERROR(IF(('Loading-drum,tote'!$C$21)="No control",SUMIF(('Loading-drum,tote'!$B$31:$B$48),$J1864,('Loading-drum,tote'!$D$31:$D$48))*Impacts!$F$13,IF(('Loading-drum,tote'!$C$21)&lt;&gt;"No control",SUMIF(('Loading-drum,tote'!$B$31:$B$48),$J1864,('Loading-drum,tote'!$E$31:$E$48))*Impacts!$F$13,0)),0)</f>
        <v>0</v>
      </c>
      <c r="R1864" s="10">
        <f>IFERROR(IF(('Loading-truck'!$C$21)="No control",SUMIF(('Loading-truck'!$B$31:$B$48),$J1864,('Loading-truck'!$D$31:$D$48))*Impacts!$F$14,IF(('Loading-truck'!$C$21)&lt;&gt;"No control",SUMIF(('Loading-truck'!$B$31:$B$48),$J1864,('Loading-truck'!$E$31:$E$48))*Impacts!$F$14,0)),0)</f>
        <v>0</v>
      </c>
      <c r="S1864" s="10">
        <f>IFERROR(IF(('Loading-rail'!$C$21)="No control",SUMIF(('Loading-rail'!$B$31:$B$48),$J1864,('Loading-rail'!$D$31:$D$48))*Impacts!$F$15,IF(('Loading-rail'!$C$21)&lt;&gt;"No control",SUMIF(('Loading-rail'!$B$31:$B$48),$J1864,('Loading-rail'!$E$31:$E$48))*Impacts!$F$15,0)),0)</f>
        <v>0</v>
      </c>
      <c r="T1864" s="10">
        <f>IF(Flare!$C$7="",0,(SUMIF(Flare!$B$46:$B$185,$J1864,Flare!$E$46:$E$185)*Impacts!$F$16))</f>
        <v>0</v>
      </c>
      <c r="U1864" s="10">
        <f>IF(VCU!$C$9="",0,(SUMIF(VCU!$B$51:$B$193,$J1864,VCU!$E$51:$E$193)*Impacts!$F$17))</f>
        <v>0</v>
      </c>
      <c r="V1864" s="10">
        <f>IF(CAS!$C$7="",0,(SUMIF(CAS!$B$31:$B$167,$J1864,CAS!$E$31:$E$167)*Impacts!$F$18))</f>
        <v>0</v>
      </c>
      <c r="W1864" s="10">
        <f t="shared" si="69"/>
        <v>0</v>
      </c>
      <c r="AK1864" s="10" t="str">
        <f t="array" ref="AK1864">IFERROR(INDEX(SelectedSpecies,SMALL(IF(SelectedSpecies=AK$1,ROW(SelectedSpecies)),ROW(1865:1865)),2),"")</f>
        <v/>
      </c>
      <c r="BE1864" s="10"/>
      <c r="BI1864" s="10"/>
    </row>
    <row r="1865" spans="1:61" ht="21" customHeight="1" x14ac:dyDescent="0.25">
      <c r="A1865" s="10"/>
      <c r="B1865" s="10"/>
      <c r="E1865" s="10"/>
      <c r="G1865" s="10"/>
      <c r="I1865" s="436" t="s">
        <v>590</v>
      </c>
      <c r="J1865" s="26" t="s">
        <v>589</v>
      </c>
      <c r="K1865" s="10">
        <v>82</v>
      </c>
      <c r="L1865" s="73">
        <f>IF(Tank1!$C$23="No control",(SUMIF(Tank1!$B$32:$B$49,$J1865,Tank1!$C$32:$C$49)*Impacts!$F$8),0)</f>
        <v>0</v>
      </c>
      <c r="M1865" s="10">
        <f>IF(Tank2!$C$23="No control",(SUMIF(Tank2!$B$32:$B$49,$J1865,Tank2!$C$32:$C$49)*Impacts!$F$9),0)</f>
        <v>0</v>
      </c>
      <c r="N1865" s="10">
        <f>IF(Tank3!$C$23="No control",(SUMIF(Tank3!$B$32:$B$49,$J1865,Tank3!$C$32:$C$49)*Impacts!$F$10),0)</f>
        <v>0</v>
      </c>
      <c r="O1865" s="10">
        <f>IF(Tank4!$C$23="No control",(SUMIF(Tank4!$B$32:$B$49,$J1865,Tank4!$C$32:$C$49)*Impacts!$F$11),0)</f>
        <v>0</v>
      </c>
      <c r="P1865" s="10">
        <f>IF(Tank5!$C$23="No control",(SUMIF(Tank5!$B$32:$B$49,$J1865,Tank5!$C$32:$C$49)*Impacts!$F$12),0)</f>
        <v>0</v>
      </c>
      <c r="Q1865" s="10">
        <f>IFERROR(IF(('Loading-drum,tote'!$C$21)="No control",SUMIF(('Loading-drum,tote'!$B$31:$B$48),$J1865,('Loading-drum,tote'!$D$31:$D$48))*Impacts!$F$13,IF(('Loading-drum,tote'!$C$21)&lt;&gt;"No control",SUMIF(('Loading-drum,tote'!$B$31:$B$48),$J1865,('Loading-drum,tote'!$E$31:$E$48))*Impacts!$F$13,0)),0)</f>
        <v>0</v>
      </c>
      <c r="R1865" s="10">
        <f>IFERROR(IF(('Loading-truck'!$C$21)="No control",SUMIF(('Loading-truck'!$B$31:$B$48),$J1865,('Loading-truck'!$D$31:$D$48))*Impacts!$F$14,IF(('Loading-truck'!$C$21)&lt;&gt;"No control",SUMIF(('Loading-truck'!$B$31:$B$48),$J1865,('Loading-truck'!$E$31:$E$48))*Impacts!$F$14,0)),0)</f>
        <v>0</v>
      </c>
      <c r="S1865" s="10">
        <f>IFERROR(IF(('Loading-rail'!$C$21)="No control",SUMIF(('Loading-rail'!$B$31:$B$48),$J1865,('Loading-rail'!$D$31:$D$48))*Impacts!$F$15,IF(('Loading-rail'!$C$21)&lt;&gt;"No control",SUMIF(('Loading-rail'!$B$31:$B$48),$J1865,('Loading-rail'!$E$31:$E$48))*Impacts!$F$15,0)),0)</f>
        <v>0</v>
      </c>
      <c r="T1865" s="10">
        <f>IF(Flare!$C$7="",0,(SUMIF(Flare!$B$46:$B$185,$J1865,Flare!$E$46:$E$185)*Impacts!$F$16))</f>
        <v>0</v>
      </c>
      <c r="U1865" s="10">
        <f>IF(VCU!$C$9="",0,(SUMIF(VCU!$B$51:$B$193,$J1865,VCU!$E$51:$E$193)*Impacts!$F$17))</f>
        <v>0</v>
      </c>
      <c r="V1865" s="10">
        <f>IF(CAS!$C$7="",0,(SUMIF(CAS!$B$31:$B$167,$J1865,CAS!$E$31:$E$167)*Impacts!$F$18))</f>
        <v>0</v>
      </c>
      <c r="W1865" s="10">
        <f t="shared" si="69"/>
        <v>0</v>
      </c>
      <c r="AK1865" s="10" t="str">
        <f t="array" ref="AK1865">IFERROR(INDEX(SelectedSpecies,SMALL(IF(SelectedSpecies=AK$1,ROW(SelectedSpecies)),ROW(1866:1866)),2),"")</f>
        <v/>
      </c>
      <c r="BE1865" s="10"/>
      <c r="BI1865" s="10"/>
    </row>
    <row r="1866" spans="1:61" ht="21" customHeight="1" x14ac:dyDescent="0.25">
      <c r="A1866" s="10"/>
      <c r="B1866" s="10"/>
      <c r="E1866" s="10"/>
      <c r="G1866" s="10"/>
      <c r="I1866" s="436" t="s">
        <v>311</v>
      </c>
      <c r="J1866" s="26" t="s">
        <v>310</v>
      </c>
      <c r="K1866" s="10">
        <v>700</v>
      </c>
      <c r="L1866" s="73">
        <f>IF(Tank1!$C$23="No control",(SUMIF(Tank1!$B$32:$B$49,$J1866,Tank1!$C$32:$C$49)*Impacts!$F$8),0)</f>
        <v>0</v>
      </c>
      <c r="M1866" s="10">
        <f>IF(Tank2!$C$23="No control",(SUMIF(Tank2!$B$32:$B$49,$J1866,Tank2!$C$32:$C$49)*Impacts!$F$9),0)</f>
        <v>0</v>
      </c>
      <c r="N1866" s="10">
        <f>IF(Tank3!$C$23="No control",(SUMIF(Tank3!$B$32:$B$49,$J1866,Tank3!$C$32:$C$49)*Impacts!$F$10),0)</f>
        <v>0</v>
      </c>
      <c r="O1866" s="10">
        <f>IF(Tank4!$C$23="No control",(SUMIF(Tank4!$B$32:$B$49,$J1866,Tank4!$C$32:$C$49)*Impacts!$F$11),0)</f>
        <v>0</v>
      </c>
      <c r="P1866" s="10">
        <f>IF(Tank5!$C$23="No control",(SUMIF(Tank5!$B$32:$B$49,$J1866,Tank5!$C$32:$C$49)*Impacts!$F$12),0)</f>
        <v>0</v>
      </c>
      <c r="Q1866" s="10">
        <f>IFERROR(IF(('Loading-drum,tote'!$C$21)="No control",SUMIF(('Loading-drum,tote'!$B$31:$B$48),$J1866,('Loading-drum,tote'!$D$31:$D$48))*Impacts!$F$13,IF(('Loading-drum,tote'!$C$21)&lt;&gt;"No control",SUMIF(('Loading-drum,tote'!$B$31:$B$48),$J1866,('Loading-drum,tote'!$E$31:$E$48))*Impacts!$F$13,0)),0)</f>
        <v>0</v>
      </c>
      <c r="R1866" s="10">
        <f>IFERROR(IF(('Loading-truck'!$C$21)="No control",SUMIF(('Loading-truck'!$B$31:$B$48),$J1866,('Loading-truck'!$D$31:$D$48))*Impacts!$F$14,IF(('Loading-truck'!$C$21)&lt;&gt;"No control",SUMIF(('Loading-truck'!$B$31:$B$48),$J1866,('Loading-truck'!$E$31:$E$48))*Impacts!$F$14,0)),0)</f>
        <v>0</v>
      </c>
      <c r="S1866" s="10">
        <f>IFERROR(IF(('Loading-rail'!$C$21)="No control",SUMIF(('Loading-rail'!$B$31:$B$48),$J1866,('Loading-rail'!$D$31:$D$48))*Impacts!$F$15,IF(('Loading-rail'!$C$21)&lt;&gt;"No control",SUMIF(('Loading-rail'!$B$31:$B$48),$J1866,('Loading-rail'!$E$31:$E$48))*Impacts!$F$15,0)),0)</f>
        <v>0</v>
      </c>
      <c r="T1866" s="10">
        <f>IF(Flare!$C$7="",0,(SUMIF(Flare!$B$46:$B$185,$J1866,Flare!$E$46:$E$185)*Impacts!$F$16))</f>
        <v>0</v>
      </c>
      <c r="U1866" s="10">
        <f>IF(VCU!$C$9="",0,(SUMIF(VCU!$B$51:$B$193,$J1866,VCU!$E$51:$E$193)*Impacts!$F$17))</f>
        <v>0</v>
      </c>
      <c r="V1866" s="10">
        <f>IF(CAS!$C$7="",0,(SUMIF(CAS!$B$31:$B$167,$J1866,CAS!$E$31:$E$167)*Impacts!$F$18))</f>
        <v>0</v>
      </c>
      <c r="W1866" s="10">
        <f t="shared" si="69"/>
        <v>0</v>
      </c>
      <c r="AK1866" s="10" t="str">
        <f t="array" ref="AK1866">IFERROR(INDEX(SelectedSpecies,SMALL(IF(SelectedSpecies=AK$1,ROW(SelectedSpecies)),ROW(1867:1867)),2),"")</f>
        <v/>
      </c>
      <c r="BE1866" s="10"/>
      <c r="BI1866" s="10"/>
    </row>
    <row r="1867" spans="1:61" ht="21" customHeight="1" x14ac:dyDescent="0.25">
      <c r="A1867" s="10"/>
      <c r="B1867" s="10"/>
      <c r="E1867" s="10"/>
      <c r="G1867" s="10"/>
      <c r="I1867" s="436" t="s">
        <v>4421</v>
      </c>
      <c r="J1867" s="26" t="s">
        <v>4420</v>
      </c>
      <c r="K1867" s="10">
        <v>4.6000000000000005</v>
      </c>
      <c r="L1867" s="73">
        <f>IF(Tank1!$C$23="No control",(SUMIF(Tank1!$B$32:$B$49,$J1867,Tank1!$C$32:$C$49)*Impacts!$F$8),0)</f>
        <v>0</v>
      </c>
      <c r="M1867" s="10">
        <f>IF(Tank2!$C$23="No control",(SUMIF(Tank2!$B$32:$B$49,$J1867,Tank2!$C$32:$C$49)*Impacts!$F$9),0)</f>
        <v>0</v>
      </c>
      <c r="N1867" s="10">
        <f>IF(Tank3!$C$23="No control",(SUMIF(Tank3!$B$32:$B$49,$J1867,Tank3!$C$32:$C$49)*Impacts!$F$10),0)</f>
        <v>0</v>
      </c>
      <c r="O1867" s="10">
        <f>IF(Tank4!$C$23="No control",(SUMIF(Tank4!$B$32:$B$49,$J1867,Tank4!$C$32:$C$49)*Impacts!$F$11),0)</f>
        <v>0</v>
      </c>
      <c r="P1867" s="10">
        <f>IF(Tank5!$C$23="No control",(SUMIF(Tank5!$B$32:$B$49,$J1867,Tank5!$C$32:$C$49)*Impacts!$F$12),0)</f>
        <v>0</v>
      </c>
      <c r="Q1867" s="10">
        <f>IFERROR(IF(('Loading-drum,tote'!$C$21)="No control",SUMIF(('Loading-drum,tote'!$B$31:$B$48),$J1867,('Loading-drum,tote'!$D$31:$D$48))*Impacts!$F$13,IF(('Loading-drum,tote'!$C$21)&lt;&gt;"No control",SUMIF(('Loading-drum,tote'!$B$31:$B$48),$J1867,('Loading-drum,tote'!$E$31:$E$48))*Impacts!$F$13,0)),0)</f>
        <v>0</v>
      </c>
      <c r="R1867" s="10">
        <f>IFERROR(IF(('Loading-truck'!$C$21)="No control",SUMIF(('Loading-truck'!$B$31:$B$48),$J1867,('Loading-truck'!$D$31:$D$48))*Impacts!$F$14,IF(('Loading-truck'!$C$21)&lt;&gt;"No control",SUMIF(('Loading-truck'!$B$31:$B$48),$J1867,('Loading-truck'!$E$31:$E$48))*Impacts!$F$14,0)),0)</f>
        <v>0</v>
      </c>
      <c r="S1867" s="10">
        <f>IFERROR(IF(('Loading-rail'!$C$21)="No control",SUMIF(('Loading-rail'!$B$31:$B$48),$J1867,('Loading-rail'!$D$31:$D$48))*Impacts!$F$15,IF(('Loading-rail'!$C$21)&lt;&gt;"No control",SUMIF(('Loading-rail'!$B$31:$B$48),$J1867,('Loading-rail'!$E$31:$E$48))*Impacts!$F$15,0)),0)</f>
        <v>0</v>
      </c>
      <c r="T1867" s="10">
        <f>IF(Flare!$C$7="",0,(SUMIF(Flare!$B$46:$B$185,$J1867,Flare!$E$46:$E$185)*Impacts!$F$16))</f>
        <v>0</v>
      </c>
      <c r="U1867" s="10">
        <f>IF(VCU!$C$9="",0,(SUMIF(VCU!$B$51:$B$193,$J1867,VCU!$E$51:$E$193)*Impacts!$F$17))</f>
        <v>0</v>
      </c>
      <c r="V1867" s="10">
        <f>IF(CAS!$C$7="",0,(SUMIF(CAS!$B$31:$B$167,$J1867,CAS!$E$31:$E$167)*Impacts!$F$18))</f>
        <v>0</v>
      </c>
      <c r="W1867" s="10">
        <f t="shared" si="69"/>
        <v>0</v>
      </c>
      <c r="AK1867" s="10" t="str">
        <f t="array" ref="AK1867">IFERROR(INDEX(SelectedSpecies,SMALL(IF(SelectedSpecies=AK$1,ROW(SelectedSpecies)),ROW(1868:1868)),2),"")</f>
        <v/>
      </c>
      <c r="BE1867" s="10"/>
      <c r="BI1867" s="10"/>
    </row>
    <row r="1868" spans="1:61" ht="21" customHeight="1" x14ac:dyDescent="0.25">
      <c r="A1868" s="10"/>
      <c r="B1868" s="10"/>
      <c r="E1868" s="10"/>
      <c r="G1868" s="10"/>
      <c r="I1868" s="436" t="s">
        <v>1690</v>
      </c>
      <c r="J1868" s="26" t="s">
        <v>1689</v>
      </c>
      <c r="K1868" s="10">
        <v>24.5</v>
      </c>
      <c r="L1868" s="73">
        <f>IF(Tank1!$C$23="No control",(SUMIF(Tank1!$B$32:$B$49,$J1868,Tank1!$C$32:$C$49)*Impacts!$F$8),0)</f>
        <v>0</v>
      </c>
      <c r="M1868" s="10">
        <f>IF(Tank2!$C$23="No control",(SUMIF(Tank2!$B$32:$B$49,$J1868,Tank2!$C$32:$C$49)*Impacts!$F$9),0)</f>
        <v>0</v>
      </c>
      <c r="N1868" s="10">
        <f>IF(Tank3!$C$23="No control",(SUMIF(Tank3!$B$32:$B$49,$J1868,Tank3!$C$32:$C$49)*Impacts!$F$10),0)</f>
        <v>0</v>
      </c>
      <c r="O1868" s="10">
        <f>IF(Tank4!$C$23="No control",(SUMIF(Tank4!$B$32:$B$49,$J1868,Tank4!$C$32:$C$49)*Impacts!$F$11),0)</f>
        <v>0</v>
      </c>
      <c r="P1868" s="10">
        <f>IF(Tank5!$C$23="No control",(SUMIF(Tank5!$B$32:$B$49,$J1868,Tank5!$C$32:$C$49)*Impacts!$F$12),0)</f>
        <v>0</v>
      </c>
      <c r="Q1868" s="10">
        <f>IFERROR(IF(('Loading-drum,tote'!$C$21)="No control",SUMIF(('Loading-drum,tote'!$B$31:$B$48),$J1868,('Loading-drum,tote'!$D$31:$D$48))*Impacts!$F$13,IF(('Loading-drum,tote'!$C$21)&lt;&gt;"No control",SUMIF(('Loading-drum,tote'!$B$31:$B$48),$J1868,('Loading-drum,tote'!$E$31:$E$48))*Impacts!$F$13,0)),0)</f>
        <v>0</v>
      </c>
      <c r="R1868" s="10">
        <f>IFERROR(IF(('Loading-truck'!$C$21)="No control",SUMIF(('Loading-truck'!$B$31:$B$48),$J1868,('Loading-truck'!$D$31:$D$48))*Impacts!$F$14,IF(('Loading-truck'!$C$21)&lt;&gt;"No control",SUMIF(('Loading-truck'!$B$31:$B$48),$J1868,('Loading-truck'!$E$31:$E$48))*Impacts!$F$14,0)),0)</f>
        <v>0</v>
      </c>
      <c r="S1868" s="10">
        <f>IFERROR(IF(('Loading-rail'!$C$21)="No control",SUMIF(('Loading-rail'!$B$31:$B$48),$J1868,('Loading-rail'!$D$31:$D$48))*Impacts!$F$15,IF(('Loading-rail'!$C$21)&lt;&gt;"No control",SUMIF(('Loading-rail'!$B$31:$B$48),$J1868,('Loading-rail'!$E$31:$E$48))*Impacts!$F$15,0)),0)</f>
        <v>0</v>
      </c>
      <c r="T1868" s="10">
        <f>IF(Flare!$C$7="",0,(SUMIF(Flare!$B$46:$B$185,$J1868,Flare!$E$46:$E$185)*Impacts!$F$16))</f>
        <v>0</v>
      </c>
      <c r="U1868" s="10">
        <f>IF(VCU!$C$9="",0,(SUMIF(VCU!$B$51:$B$193,$J1868,VCU!$E$51:$E$193)*Impacts!$F$17))</f>
        <v>0</v>
      </c>
      <c r="V1868" s="10">
        <f>IF(CAS!$C$7="",0,(SUMIF(CAS!$B$31:$B$167,$J1868,CAS!$E$31:$E$167)*Impacts!$F$18))</f>
        <v>0</v>
      </c>
      <c r="W1868" s="10">
        <f t="shared" si="69"/>
        <v>0</v>
      </c>
      <c r="AK1868" s="10" t="str">
        <f t="array" ref="AK1868">IFERROR(INDEX(SelectedSpecies,SMALL(IF(SelectedSpecies=AK$1,ROW(SelectedSpecies)),ROW(1869:1869)),2),"")</f>
        <v/>
      </c>
      <c r="BE1868" s="10"/>
      <c r="BI1868" s="10"/>
    </row>
    <row r="1869" spans="1:61" ht="21" customHeight="1" x14ac:dyDescent="0.25">
      <c r="A1869" s="10"/>
      <c r="B1869" s="10"/>
      <c r="E1869" s="10"/>
      <c r="G1869" s="10"/>
      <c r="I1869" s="436" t="s">
        <v>1849</v>
      </c>
      <c r="J1869" s="26" t="s">
        <v>1848</v>
      </c>
      <c r="K1869" s="10">
        <v>20</v>
      </c>
      <c r="L1869" s="73">
        <f>IF(Tank1!$C$23="No control",(SUMIF(Tank1!$B$32:$B$49,$J1869,Tank1!$C$32:$C$49)*Impacts!$F$8),0)</f>
        <v>0</v>
      </c>
      <c r="M1869" s="10">
        <f>IF(Tank2!$C$23="No control",(SUMIF(Tank2!$B$32:$B$49,$J1869,Tank2!$C$32:$C$49)*Impacts!$F$9),0)</f>
        <v>0</v>
      </c>
      <c r="N1869" s="10">
        <f>IF(Tank3!$C$23="No control",(SUMIF(Tank3!$B$32:$B$49,$J1869,Tank3!$C$32:$C$49)*Impacts!$F$10),0)</f>
        <v>0</v>
      </c>
      <c r="O1869" s="10">
        <f>IF(Tank4!$C$23="No control",(SUMIF(Tank4!$B$32:$B$49,$J1869,Tank4!$C$32:$C$49)*Impacts!$F$11),0)</f>
        <v>0</v>
      </c>
      <c r="P1869" s="10">
        <f>IF(Tank5!$C$23="No control",(SUMIF(Tank5!$B$32:$B$49,$J1869,Tank5!$C$32:$C$49)*Impacts!$F$12),0)</f>
        <v>0</v>
      </c>
      <c r="Q1869" s="10">
        <f>IFERROR(IF(('Loading-drum,tote'!$C$21)="No control",SUMIF(('Loading-drum,tote'!$B$31:$B$48),$J1869,('Loading-drum,tote'!$D$31:$D$48))*Impacts!$F$13,IF(('Loading-drum,tote'!$C$21)&lt;&gt;"No control",SUMIF(('Loading-drum,tote'!$B$31:$B$48),$J1869,('Loading-drum,tote'!$E$31:$E$48))*Impacts!$F$13,0)),0)</f>
        <v>0</v>
      </c>
      <c r="R1869" s="10">
        <f>IFERROR(IF(('Loading-truck'!$C$21)="No control",SUMIF(('Loading-truck'!$B$31:$B$48),$J1869,('Loading-truck'!$D$31:$D$48))*Impacts!$F$14,IF(('Loading-truck'!$C$21)&lt;&gt;"No control",SUMIF(('Loading-truck'!$B$31:$B$48),$J1869,('Loading-truck'!$E$31:$E$48))*Impacts!$F$14,0)),0)</f>
        <v>0</v>
      </c>
      <c r="S1869" s="10">
        <f>IFERROR(IF(('Loading-rail'!$C$21)="No control",SUMIF(('Loading-rail'!$B$31:$B$48),$J1869,('Loading-rail'!$D$31:$D$48))*Impacts!$F$15,IF(('Loading-rail'!$C$21)&lt;&gt;"No control",SUMIF(('Loading-rail'!$B$31:$B$48),$J1869,('Loading-rail'!$E$31:$E$48))*Impacts!$F$15,0)),0)</f>
        <v>0</v>
      </c>
      <c r="T1869" s="10">
        <f>IF(Flare!$C$7="",0,(SUMIF(Flare!$B$46:$B$185,$J1869,Flare!$E$46:$E$185)*Impacts!$F$16))</f>
        <v>0</v>
      </c>
      <c r="U1869" s="10">
        <f>IF(VCU!$C$9="",0,(SUMIF(VCU!$B$51:$B$193,$J1869,VCU!$E$51:$E$193)*Impacts!$F$17))</f>
        <v>0</v>
      </c>
      <c r="V1869" s="10">
        <f>IF(CAS!$C$7="",0,(SUMIF(CAS!$B$31:$B$167,$J1869,CAS!$E$31:$E$167)*Impacts!$F$18))</f>
        <v>0</v>
      </c>
      <c r="W1869" s="10">
        <f t="shared" si="69"/>
        <v>0</v>
      </c>
      <c r="AK1869" s="10" t="str">
        <f t="array" ref="AK1869">IFERROR(INDEX(SelectedSpecies,SMALL(IF(SelectedSpecies=AK$1,ROW(SelectedSpecies)),ROW(1870:1870)),2),"")</f>
        <v/>
      </c>
      <c r="BE1869" s="10"/>
      <c r="BI1869" s="10"/>
    </row>
    <row r="1870" spans="1:61" ht="21" customHeight="1" x14ac:dyDescent="0.25">
      <c r="A1870" s="10"/>
      <c r="B1870" s="10"/>
      <c r="E1870" s="10"/>
      <c r="G1870" s="10"/>
      <c r="I1870" s="436" t="s">
        <v>702</v>
      </c>
      <c r="J1870" s="26" t="s">
        <v>701</v>
      </c>
      <c r="K1870" s="10">
        <v>57</v>
      </c>
      <c r="L1870" s="73">
        <f>IF(Tank1!$C$23="No control",(SUMIF(Tank1!$B$32:$B$49,$J1870,Tank1!$C$32:$C$49)*Impacts!$F$8),0)</f>
        <v>0</v>
      </c>
      <c r="M1870" s="10">
        <f>IF(Tank2!$C$23="No control",(SUMIF(Tank2!$B$32:$B$49,$J1870,Tank2!$C$32:$C$49)*Impacts!$F$9),0)</f>
        <v>0</v>
      </c>
      <c r="N1870" s="10">
        <f>IF(Tank3!$C$23="No control",(SUMIF(Tank3!$B$32:$B$49,$J1870,Tank3!$C$32:$C$49)*Impacts!$F$10),0)</f>
        <v>0</v>
      </c>
      <c r="O1870" s="10">
        <f>IF(Tank4!$C$23="No control",(SUMIF(Tank4!$B$32:$B$49,$J1870,Tank4!$C$32:$C$49)*Impacts!$F$11),0)</f>
        <v>0</v>
      </c>
      <c r="P1870" s="10">
        <f>IF(Tank5!$C$23="No control",(SUMIF(Tank5!$B$32:$B$49,$J1870,Tank5!$C$32:$C$49)*Impacts!$F$12),0)</f>
        <v>0</v>
      </c>
      <c r="Q1870" s="10">
        <f>IFERROR(IF(('Loading-drum,tote'!$C$21)="No control",SUMIF(('Loading-drum,tote'!$B$31:$B$48),$J1870,('Loading-drum,tote'!$D$31:$D$48))*Impacts!$F$13,IF(('Loading-drum,tote'!$C$21)&lt;&gt;"No control",SUMIF(('Loading-drum,tote'!$B$31:$B$48),$J1870,('Loading-drum,tote'!$E$31:$E$48))*Impacts!$F$13,0)),0)</f>
        <v>0</v>
      </c>
      <c r="R1870" s="10">
        <f>IFERROR(IF(('Loading-truck'!$C$21)="No control",SUMIF(('Loading-truck'!$B$31:$B$48),$J1870,('Loading-truck'!$D$31:$D$48))*Impacts!$F$14,IF(('Loading-truck'!$C$21)&lt;&gt;"No control",SUMIF(('Loading-truck'!$B$31:$B$48),$J1870,('Loading-truck'!$E$31:$E$48))*Impacts!$F$14,0)),0)</f>
        <v>0</v>
      </c>
      <c r="S1870" s="10">
        <f>IFERROR(IF(('Loading-rail'!$C$21)="No control",SUMIF(('Loading-rail'!$B$31:$B$48),$J1870,('Loading-rail'!$D$31:$D$48))*Impacts!$F$15,IF(('Loading-rail'!$C$21)&lt;&gt;"No control",SUMIF(('Loading-rail'!$B$31:$B$48),$J1870,('Loading-rail'!$E$31:$E$48))*Impacts!$F$15,0)),0)</f>
        <v>0</v>
      </c>
      <c r="T1870" s="10">
        <f>IF(Flare!$C$7="",0,(SUMIF(Flare!$B$46:$B$185,$J1870,Flare!$E$46:$E$185)*Impacts!$F$16))</f>
        <v>0</v>
      </c>
      <c r="U1870" s="10">
        <f>IF(VCU!$C$9="",0,(SUMIF(VCU!$B$51:$B$193,$J1870,VCU!$E$51:$E$193)*Impacts!$F$17))</f>
        <v>0</v>
      </c>
      <c r="V1870" s="10">
        <f>IF(CAS!$C$7="",0,(SUMIF(CAS!$B$31:$B$167,$J1870,CAS!$E$31:$E$167)*Impacts!$F$18))</f>
        <v>0</v>
      </c>
      <c r="W1870" s="10">
        <f t="shared" si="69"/>
        <v>0</v>
      </c>
      <c r="AK1870" s="10" t="str">
        <f t="array" ref="AK1870">IFERROR(INDEX(SelectedSpecies,SMALL(IF(SelectedSpecies=AK$1,ROW(SelectedSpecies)),ROW(1871:1871)),2),"")</f>
        <v/>
      </c>
      <c r="BE1870" s="10"/>
      <c r="BI1870" s="10"/>
    </row>
    <row r="1871" spans="1:61" ht="21" customHeight="1" x14ac:dyDescent="0.25">
      <c r="A1871" s="10"/>
      <c r="B1871" s="10"/>
      <c r="E1871" s="10"/>
      <c r="G1871" s="10"/>
      <c r="I1871" s="436" t="s">
        <v>3733</v>
      </c>
      <c r="J1871" s="26" t="s">
        <v>3732</v>
      </c>
      <c r="K1871" s="10">
        <v>6.2</v>
      </c>
      <c r="L1871" s="73">
        <f>IF(Tank1!$C$23="No control",(SUMIF(Tank1!$B$32:$B$49,$J1871,Tank1!$C$32:$C$49)*Impacts!$F$8),0)</f>
        <v>0</v>
      </c>
      <c r="M1871" s="10">
        <f>IF(Tank2!$C$23="No control",(SUMIF(Tank2!$B$32:$B$49,$J1871,Tank2!$C$32:$C$49)*Impacts!$F$9),0)</f>
        <v>0</v>
      </c>
      <c r="N1871" s="10">
        <f>IF(Tank3!$C$23="No control",(SUMIF(Tank3!$B$32:$B$49,$J1871,Tank3!$C$32:$C$49)*Impacts!$F$10),0)</f>
        <v>0</v>
      </c>
      <c r="O1871" s="10">
        <f>IF(Tank4!$C$23="No control",(SUMIF(Tank4!$B$32:$B$49,$J1871,Tank4!$C$32:$C$49)*Impacts!$F$11),0)</f>
        <v>0</v>
      </c>
      <c r="P1871" s="10">
        <f>IF(Tank5!$C$23="No control",(SUMIF(Tank5!$B$32:$B$49,$J1871,Tank5!$C$32:$C$49)*Impacts!$F$12),0)</f>
        <v>0</v>
      </c>
      <c r="Q1871" s="10">
        <f>IFERROR(IF(('Loading-drum,tote'!$C$21)="No control",SUMIF(('Loading-drum,tote'!$B$31:$B$48),$J1871,('Loading-drum,tote'!$D$31:$D$48))*Impacts!$F$13,IF(('Loading-drum,tote'!$C$21)&lt;&gt;"No control",SUMIF(('Loading-drum,tote'!$B$31:$B$48),$J1871,('Loading-drum,tote'!$E$31:$E$48))*Impacts!$F$13,0)),0)</f>
        <v>0</v>
      </c>
      <c r="R1871" s="10">
        <f>IFERROR(IF(('Loading-truck'!$C$21)="No control",SUMIF(('Loading-truck'!$B$31:$B$48),$J1871,('Loading-truck'!$D$31:$D$48))*Impacts!$F$14,IF(('Loading-truck'!$C$21)&lt;&gt;"No control",SUMIF(('Loading-truck'!$B$31:$B$48),$J1871,('Loading-truck'!$E$31:$E$48))*Impacts!$F$14,0)),0)</f>
        <v>0</v>
      </c>
      <c r="S1871" s="10">
        <f>IFERROR(IF(('Loading-rail'!$C$21)="No control",SUMIF(('Loading-rail'!$B$31:$B$48),$J1871,('Loading-rail'!$D$31:$D$48))*Impacts!$F$15,IF(('Loading-rail'!$C$21)&lt;&gt;"No control",SUMIF(('Loading-rail'!$B$31:$B$48),$J1871,('Loading-rail'!$E$31:$E$48))*Impacts!$F$15,0)),0)</f>
        <v>0</v>
      </c>
      <c r="T1871" s="10">
        <f>IF(Flare!$C$7="",0,(SUMIF(Flare!$B$46:$B$185,$J1871,Flare!$E$46:$E$185)*Impacts!$F$16))</f>
        <v>0</v>
      </c>
      <c r="U1871" s="10">
        <f>IF(VCU!$C$9="",0,(SUMIF(VCU!$B$51:$B$193,$J1871,VCU!$E$51:$E$193)*Impacts!$F$17))</f>
        <v>0</v>
      </c>
      <c r="V1871" s="10">
        <f>IF(CAS!$C$7="",0,(SUMIF(CAS!$B$31:$B$167,$J1871,CAS!$E$31:$E$167)*Impacts!$F$18))</f>
        <v>0</v>
      </c>
      <c r="W1871" s="10">
        <f t="shared" si="69"/>
        <v>0</v>
      </c>
      <c r="AK1871" s="10" t="str">
        <f t="array" ref="AK1871">IFERROR(INDEX(SelectedSpecies,SMALL(IF(SelectedSpecies=AK$1,ROW(SelectedSpecies)),ROW(1872:1872)),2),"")</f>
        <v/>
      </c>
      <c r="BE1871" s="10"/>
      <c r="BI1871" s="10"/>
    </row>
    <row r="1872" spans="1:61" ht="21" customHeight="1" x14ac:dyDescent="0.25">
      <c r="A1872" s="10"/>
      <c r="B1872" s="10"/>
      <c r="E1872" s="10"/>
      <c r="G1872" s="10"/>
      <c r="I1872" s="436" t="s">
        <v>6844</v>
      </c>
      <c r="J1872" s="26" t="s">
        <v>6843</v>
      </c>
      <c r="K1872" s="10">
        <v>0.5</v>
      </c>
      <c r="L1872" s="73">
        <f>IF(Tank1!$C$23="No control",(SUMIF(Tank1!$B$32:$B$49,$J1872,Tank1!$C$32:$C$49)*Impacts!$F$8),0)</f>
        <v>0</v>
      </c>
      <c r="M1872" s="10">
        <f>IF(Tank2!$C$23="No control",(SUMIF(Tank2!$B$32:$B$49,$J1872,Tank2!$C$32:$C$49)*Impacts!$F$9),0)</f>
        <v>0</v>
      </c>
      <c r="N1872" s="10">
        <f>IF(Tank3!$C$23="No control",(SUMIF(Tank3!$B$32:$B$49,$J1872,Tank3!$C$32:$C$49)*Impacts!$F$10),0)</f>
        <v>0</v>
      </c>
      <c r="O1872" s="10">
        <f>IF(Tank4!$C$23="No control",(SUMIF(Tank4!$B$32:$B$49,$J1872,Tank4!$C$32:$C$49)*Impacts!$F$11),0)</f>
        <v>0</v>
      </c>
      <c r="P1872" s="10">
        <f>IF(Tank5!$C$23="No control",(SUMIF(Tank5!$B$32:$B$49,$J1872,Tank5!$C$32:$C$49)*Impacts!$F$12),0)</f>
        <v>0</v>
      </c>
      <c r="Q1872" s="10">
        <f>IFERROR(IF(('Loading-drum,tote'!$C$21)="No control",SUMIF(('Loading-drum,tote'!$B$31:$B$48),$J1872,('Loading-drum,tote'!$D$31:$D$48))*Impacts!$F$13,IF(('Loading-drum,tote'!$C$21)&lt;&gt;"No control",SUMIF(('Loading-drum,tote'!$B$31:$B$48),$J1872,('Loading-drum,tote'!$E$31:$E$48))*Impacts!$F$13,0)),0)</f>
        <v>0</v>
      </c>
      <c r="R1872" s="10">
        <f>IFERROR(IF(('Loading-truck'!$C$21)="No control",SUMIF(('Loading-truck'!$B$31:$B$48),$J1872,('Loading-truck'!$D$31:$D$48))*Impacts!$F$14,IF(('Loading-truck'!$C$21)&lt;&gt;"No control",SUMIF(('Loading-truck'!$B$31:$B$48),$J1872,('Loading-truck'!$E$31:$E$48))*Impacts!$F$14,0)),0)</f>
        <v>0</v>
      </c>
      <c r="S1872" s="10">
        <f>IFERROR(IF(('Loading-rail'!$C$21)="No control",SUMIF(('Loading-rail'!$B$31:$B$48),$J1872,('Loading-rail'!$D$31:$D$48))*Impacts!$F$15,IF(('Loading-rail'!$C$21)&lt;&gt;"No control",SUMIF(('Loading-rail'!$B$31:$B$48),$J1872,('Loading-rail'!$E$31:$E$48))*Impacts!$F$15,0)),0)</f>
        <v>0</v>
      </c>
      <c r="T1872" s="10">
        <f>IF(Flare!$C$7="",0,(SUMIF(Flare!$B$46:$B$185,$J1872,Flare!$E$46:$E$185)*Impacts!$F$16))</f>
        <v>0</v>
      </c>
      <c r="U1872" s="10">
        <f>IF(VCU!$C$9="",0,(SUMIF(VCU!$B$51:$B$193,$J1872,VCU!$E$51:$E$193)*Impacts!$F$17))</f>
        <v>0</v>
      </c>
      <c r="V1872" s="10">
        <f>IF(CAS!$C$7="",0,(SUMIF(CAS!$B$31:$B$167,$J1872,CAS!$E$31:$E$167)*Impacts!$F$18))</f>
        <v>0</v>
      </c>
      <c r="W1872" s="10">
        <f t="shared" si="69"/>
        <v>0</v>
      </c>
      <c r="AK1872" s="10" t="str">
        <f t="array" ref="AK1872">IFERROR(INDEX(SelectedSpecies,SMALL(IF(SelectedSpecies=AK$1,ROW(SelectedSpecies)),ROW(1873:1873)),2),"")</f>
        <v/>
      </c>
      <c r="BE1872" s="10"/>
      <c r="BI1872" s="10"/>
    </row>
    <row r="1873" spans="1:61" ht="21" customHeight="1" x14ac:dyDescent="0.25">
      <c r="A1873" s="10"/>
      <c r="B1873" s="10"/>
      <c r="E1873" s="10"/>
      <c r="G1873" s="10"/>
      <c r="I1873" s="436" t="s">
        <v>8078</v>
      </c>
      <c r="J1873" s="26" t="s">
        <v>8077</v>
      </c>
      <c r="K1873" s="10">
        <v>1.7999999999999999E-2</v>
      </c>
      <c r="L1873" s="73">
        <f>IF(Tank1!$C$23="No control",(SUMIF(Tank1!$B$32:$B$49,$J1873,Tank1!$C$32:$C$49)*Impacts!$F$8),0)</f>
        <v>0</v>
      </c>
      <c r="M1873" s="10">
        <f>IF(Tank2!$C$23="No control",(SUMIF(Tank2!$B$32:$B$49,$J1873,Tank2!$C$32:$C$49)*Impacts!$F$9),0)</f>
        <v>0</v>
      </c>
      <c r="N1873" s="10">
        <f>IF(Tank3!$C$23="No control",(SUMIF(Tank3!$B$32:$B$49,$J1873,Tank3!$C$32:$C$49)*Impacts!$F$10),0)</f>
        <v>0</v>
      </c>
      <c r="O1873" s="10">
        <f>IF(Tank4!$C$23="No control",(SUMIF(Tank4!$B$32:$B$49,$J1873,Tank4!$C$32:$C$49)*Impacts!$F$11),0)</f>
        <v>0</v>
      </c>
      <c r="P1873" s="10">
        <f>IF(Tank5!$C$23="No control",(SUMIF(Tank5!$B$32:$B$49,$J1873,Tank5!$C$32:$C$49)*Impacts!$F$12),0)</f>
        <v>0</v>
      </c>
      <c r="Q1873" s="10">
        <f>IFERROR(IF(('Loading-drum,tote'!$C$21)="No control",SUMIF(('Loading-drum,tote'!$B$31:$B$48),$J1873,('Loading-drum,tote'!$D$31:$D$48))*Impacts!$F$13,IF(('Loading-drum,tote'!$C$21)&lt;&gt;"No control",SUMIF(('Loading-drum,tote'!$B$31:$B$48),$J1873,('Loading-drum,tote'!$E$31:$E$48))*Impacts!$F$13,0)),0)</f>
        <v>0</v>
      </c>
      <c r="R1873" s="10">
        <f>IFERROR(IF(('Loading-truck'!$C$21)="No control",SUMIF(('Loading-truck'!$B$31:$B$48),$J1873,('Loading-truck'!$D$31:$D$48))*Impacts!$F$14,IF(('Loading-truck'!$C$21)&lt;&gt;"No control",SUMIF(('Loading-truck'!$B$31:$B$48),$J1873,('Loading-truck'!$E$31:$E$48))*Impacts!$F$14,0)),0)</f>
        <v>0</v>
      </c>
      <c r="S1873" s="10">
        <f>IFERROR(IF(('Loading-rail'!$C$21)="No control",SUMIF(('Loading-rail'!$B$31:$B$48),$J1873,('Loading-rail'!$D$31:$D$48))*Impacts!$F$15,IF(('Loading-rail'!$C$21)&lt;&gt;"No control",SUMIF(('Loading-rail'!$B$31:$B$48),$J1873,('Loading-rail'!$E$31:$E$48))*Impacts!$F$15,0)),0)</f>
        <v>0</v>
      </c>
      <c r="T1873" s="10">
        <f>IF(Flare!$C$7="",0,(SUMIF(Flare!$B$46:$B$185,$J1873,Flare!$E$46:$E$185)*Impacts!$F$16))</f>
        <v>0</v>
      </c>
      <c r="U1873" s="10">
        <f>IF(VCU!$C$9="",0,(SUMIF(VCU!$B$51:$B$193,$J1873,VCU!$E$51:$E$193)*Impacts!$F$17))</f>
        <v>0</v>
      </c>
      <c r="V1873" s="10">
        <f>IF(CAS!$C$7="",0,(SUMIF(CAS!$B$31:$B$167,$J1873,CAS!$E$31:$E$167)*Impacts!$F$18))</f>
        <v>0</v>
      </c>
      <c r="W1873" s="10">
        <f t="shared" si="69"/>
        <v>0</v>
      </c>
      <c r="AK1873" s="10" t="str">
        <f t="array" ref="AK1873">IFERROR(INDEX(SelectedSpecies,SMALL(IF(SelectedSpecies=AK$1,ROW(SelectedSpecies)),ROW(1874:1874)),2),"")</f>
        <v/>
      </c>
      <c r="BE1873" s="10"/>
      <c r="BI1873" s="10"/>
    </row>
    <row r="1874" spans="1:61" ht="21" customHeight="1" x14ac:dyDescent="0.25">
      <c r="A1874" s="10"/>
      <c r="B1874" s="10"/>
      <c r="E1874" s="10"/>
      <c r="G1874" s="10"/>
      <c r="I1874" s="436" t="s">
        <v>4289</v>
      </c>
      <c r="J1874" s="26" t="s">
        <v>4288</v>
      </c>
      <c r="K1874" s="10">
        <v>5</v>
      </c>
      <c r="L1874" s="73">
        <f>IF(Tank1!$C$23="No control",(SUMIF(Tank1!$B$32:$B$49,$J1874,Tank1!$C$32:$C$49)*Impacts!$F$8),0)</f>
        <v>0</v>
      </c>
      <c r="M1874" s="10">
        <f>IF(Tank2!$C$23="No control",(SUMIF(Tank2!$B$32:$B$49,$J1874,Tank2!$C$32:$C$49)*Impacts!$F$9),0)</f>
        <v>0</v>
      </c>
      <c r="N1874" s="10">
        <f>IF(Tank3!$C$23="No control",(SUMIF(Tank3!$B$32:$B$49,$J1874,Tank3!$C$32:$C$49)*Impacts!$F$10),0)</f>
        <v>0</v>
      </c>
      <c r="O1874" s="10">
        <f>IF(Tank4!$C$23="No control",(SUMIF(Tank4!$B$32:$B$49,$J1874,Tank4!$C$32:$C$49)*Impacts!$F$11),0)</f>
        <v>0</v>
      </c>
      <c r="P1874" s="10">
        <f>IF(Tank5!$C$23="No control",(SUMIF(Tank5!$B$32:$B$49,$J1874,Tank5!$C$32:$C$49)*Impacts!$F$12),0)</f>
        <v>0</v>
      </c>
      <c r="Q1874" s="10">
        <f>IFERROR(IF(('Loading-drum,tote'!$C$21)="No control",SUMIF(('Loading-drum,tote'!$B$31:$B$48),$J1874,('Loading-drum,tote'!$D$31:$D$48))*Impacts!$F$13,IF(('Loading-drum,tote'!$C$21)&lt;&gt;"No control",SUMIF(('Loading-drum,tote'!$B$31:$B$48),$J1874,('Loading-drum,tote'!$E$31:$E$48))*Impacts!$F$13,0)),0)</f>
        <v>0</v>
      </c>
      <c r="R1874" s="10">
        <f>IFERROR(IF(('Loading-truck'!$C$21)="No control",SUMIF(('Loading-truck'!$B$31:$B$48),$J1874,('Loading-truck'!$D$31:$D$48))*Impacts!$F$14,IF(('Loading-truck'!$C$21)&lt;&gt;"No control",SUMIF(('Loading-truck'!$B$31:$B$48),$J1874,('Loading-truck'!$E$31:$E$48))*Impacts!$F$14,0)),0)</f>
        <v>0</v>
      </c>
      <c r="S1874" s="10">
        <f>IFERROR(IF(('Loading-rail'!$C$21)="No control",SUMIF(('Loading-rail'!$B$31:$B$48),$J1874,('Loading-rail'!$D$31:$D$48))*Impacts!$F$15,IF(('Loading-rail'!$C$21)&lt;&gt;"No control",SUMIF(('Loading-rail'!$B$31:$B$48),$J1874,('Loading-rail'!$E$31:$E$48))*Impacts!$F$15,0)),0)</f>
        <v>0</v>
      </c>
      <c r="T1874" s="10">
        <f>IF(Flare!$C$7="",0,(SUMIF(Flare!$B$46:$B$185,$J1874,Flare!$E$46:$E$185)*Impacts!$F$16))</f>
        <v>0</v>
      </c>
      <c r="U1874" s="10">
        <f>IF(VCU!$C$9="",0,(SUMIF(VCU!$B$51:$B$193,$J1874,VCU!$E$51:$E$193)*Impacts!$F$17))</f>
        <v>0</v>
      </c>
      <c r="V1874" s="10">
        <f>IF(CAS!$C$7="",0,(SUMIF(CAS!$B$31:$B$167,$J1874,CAS!$E$31:$E$167)*Impacts!$F$18))</f>
        <v>0</v>
      </c>
      <c r="W1874" s="10">
        <f t="shared" si="69"/>
        <v>0</v>
      </c>
      <c r="AK1874" s="10" t="str">
        <f t="array" ref="AK1874">IFERROR(INDEX(SelectedSpecies,SMALL(IF(SelectedSpecies=AK$1,ROW(SelectedSpecies)),ROW(1875:1875)),2),"")</f>
        <v/>
      </c>
      <c r="BE1874" s="10"/>
      <c r="BI1874" s="10"/>
    </row>
    <row r="1875" spans="1:61" ht="21" customHeight="1" x14ac:dyDescent="0.25">
      <c r="A1875" s="10"/>
      <c r="B1875" s="10"/>
      <c r="E1875" s="10"/>
      <c r="G1875" s="10"/>
      <c r="I1875" s="436" t="s">
        <v>7500</v>
      </c>
      <c r="J1875" s="26" t="s">
        <v>7499</v>
      </c>
      <c r="K1875" s="10">
        <v>0.2</v>
      </c>
      <c r="L1875" s="73">
        <f>IF(Tank1!$C$23="No control",(SUMIF(Tank1!$B$32:$B$49,$J1875,Tank1!$C$32:$C$49)*Impacts!$F$8),0)</f>
        <v>0</v>
      </c>
      <c r="M1875" s="10">
        <f>IF(Tank2!$C$23="No control",(SUMIF(Tank2!$B$32:$B$49,$J1875,Tank2!$C$32:$C$49)*Impacts!$F$9),0)</f>
        <v>0</v>
      </c>
      <c r="N1875" s="10">
        <f>IF(Tank3!$C$23="No control",(SUMIF(Tank3!$B$32:$B$49,$J1875,Tank3!$C$32:$C$49)*Impacts!$F$10),0)</f>
        <v>0</v>
      </c>
      <c r="O1875" s="10">
        <f>IF(Tank4!$C$23="No control",(SUMIF(Tank4!$B$32:$B$49,$J1875,Tank4!$C$32:$C$49)*Impacts!$F$11),0)</f>
        <v>0</v>
      </c>
      <c r="P1875" s="10">
        <f>IF(Tank5!$C$23="No control",(SUMIF(Tank5!$B$32:$B$49,$J1875,Tank5!$C$32:$C$49)*Impacts!$F$12),0)</f>
        <v>0</v>
      </c>
      <c r="Q1875" s="10">
        <f>IFERROR(IF(('Loading-drum,tote'!$C$21)="No control",SUMIF(('Loading-drum,tote'!$B$31:$B$48),$J1875,('Loading-drum,tote'!$D$31:$D$48))*Impacts!$F$13,IF(('Loading-drum,tote'!$C$21)&lt;&gt;"No control",SUMIF(('Loading-drum,tote'!$B$31:$B$48),$J1875,('Loading-drum,tote'!$E$31:$E$48))*Impacts!$F$13,0)),0)</f>
        <v>0</v>
      </c>
      <c r="R1875" s="10">
        <f>IFERROR(IF(('Loading-truck'!$C$21)="No control",SUMIF(('Loading-truck'!$B$31:$B$48),$J1875,('Loading-truck'!$D$31:$D$48))*Impacts!$F$14,IF(('Loading-truck'!$C$21)&lt;&gt;"No control",SUMIF(('Loading-truck'!$B$31:$B$48),$J1875,('Loading-truck'!$E$31:$E$48))*Impacts!$F$14,0)),0)</f>
        <v>0</v>
      </c>
      <c r="S1875" s="10">
        <f>IFERROR(IF(('Loading-rail'!$C$21)="No control",SUMIF(('Loading-rail'!$B$31:$B$48),$J1875,('Loading-rail'!$D$31:$D$48))*Impacts!$F$15,IF(('Loading-rail'!$C$21)&lt;&gt;"No control",SUMIF(('Loading-rail'!$B$31:$B$48),$J1875,('Loading-rail'!$E$31:$E$48))*Impacts!$F$15,0)),0)</f>
        <v>0</v>
      </c>
      <c r="T1875" s="10">
        <f>IF(Flare!$C$7="",0,(SUMIF(Flare!$B$46:$B$185,$J1875,Flare!$E$46:$E$185)*Impacts!$F$16))</f>
        <v>0</v>
      </c>
      <c r="U1875" s="10">
        <f>IF(VCU!$C$9="",0,(SUMIF(VCU!$B$51:$B$193,$J1875,VCU!$E$51:$E$193)*Impacts!$F$17))</f>
        <v>0</v>
      </c>
      <c r="V1875" s="10">
        <f>IF(CAS!$C$7="",0,(SUMIF(CAS!$B$31:$B$167,$J1875,CAS!$E$31:$E$167)*Impacts!$F$18))</f>
        <v>0</v>
      </c>
      <c r="W1875" s="10">
        <f t="shared" si="69"/>
        <v>0</v>
      </c>
      <c r="AK1875" s="10" t="str">
        <f t="array" ref="AK1875">IFERROR(INDEX(SelectedSpecies,SMALL(IF(SelectedSpecies=AK$1,ROW(SelectedSpecies)),ROW(1876:1876)),2),"")</f>
        <v/>
      </c>
      <c r="BE1875" s="10"/>
      <c r="BI1875" s="10"/>
    </row>
    <row r="1876" spans="1:61" ht="21" customHeight="1" x14ac:dyDescent="0.25">
      <c r="A1876" s="10"/>
      <c r="B1876" s="10"/>
      <c r="E1876" s="10"/>
      <c r="G1876" s="10"/>
      <c r="I1876" s="436" t="s">
        <v>3587</v>
      </c>
      <c r="J1876" s="26" t="s">
        <v>3586</v>
      </c>
      <c r="K1876" s="10">
        <v>8</v>
      </c>
      <c r="L1876" s="73">
        <f>IF(Tank1!$C$23="No control",(SUMIF(Tank1!$B$32:$B$49,$J1876,Tank1!$C$32:$C$49)*Impacts!$F$8),0)</f>
        <v>0</v>
      </c>
      <c r="M1876" s="10">
        <f>IF(Tank2!$C$23="No control",(SUMIF(Tank2!$B$32:$B$49,$J1876,Tank2!$C$32:$C$49)*Impacts!$F$9),0)</f>
        <v>0</v>
      </c>
      <c r="N1876" s="10">
        <f>IF(Tank3!$C$23="No control",(SUMIF(Tank3!$B$32:$B$49,$J1876,Tank3!$C$32:$C$49)*Impacts!$F$10),0)</f>
        <v>0</v>
      </c>
      <c r="O1876" s="10">
        <f>IF(Tank4!$C$23="No control",(SUMIF(Tank4!$B$32:$B$49,$J1876,Tank4!$C$32:$C$49)*Impacts!$F$11),0)</f>
        <v>0</v>
      </c>
      <c r="P1876" s="10">
        <f>IF(Tank5!$C$23="No control",(SUMIF(Tank5!$B$32:$B$49,$J1876,Tank5!$C$32:$C$49)*Impacts!$F$12),0)</f>
        <v>0</v>
      </c>
      <c r="Q1876" s="10">
        <f>IFERROR(IF(('Loading-drum,tote'!$C$21)="No control",SUMIF(('Loading-drum,tote'!$B$31:$B$48),$J1876,('Loading-drum,tote'!$D$31:$D$48))*Impacts!$F$13,IF(('Loading-drum,tote'!$C$21)&lt;&gt;"No control",SUMIF(('Loading-drum,tote'!$B$31:$B$48),$J1876,('Loading-drum,tote'!$E$31:$E$48))*Impacts!$F$13,0)),0)</f>
        <v>0</v>
      </c>
      <c r="R1876" s="10">
        <f>IFERROR(IF(('Loading-truck'!$C$21)="No control",SUMIF(('Loading-truck'!$B$31:$B$48),$J1876,('Loading-truck'!$D$31:$D$48))*Impacts!$F$14,IF(('Loading-truck'!$C$21)&lt;&gt;"No control",SUMIF(('Loading-truck'!$B$31:$B$48),$J1876,('Loading-truck'!$E$31:$E$48))*Impacts!$F$14,0)),0)</f>
        <v>0</v>
      </c>
      <c r="S1876" s="10">
        <f>IFERROR(IF(('Loading-rail'!$C$21)="No control",SUMIF(('Loading-rail'!$B$31:$B$48),$J1876,('Loading-rail'!$D$31:$D$48))*Impacts!$F$15,IF(('Loading-rail'!$C$21)&lt;&gt;"No control",SUMIF(('Loading-rail'!$B$31:$B$48),$J1876,('Loading-rail'!$E$31:$E$48))*Impacts!$F$15,0)),0)</f>
        <v>0</v>
      </c>
      <c r="T1876" s="10">
        <f>IF(Flare!$C$7="",0,(SUMIF(Flare!$B$46:$B$185,$J1876,Flare!$E$46:$E$185)*Impacts!$F$16))</f>
        <v>0</v>
      </c>
      <c r="U1876" s="10">
        <f>IF(VCU!$C$9="",0,(SUMIF(VCU!$B$51:$B$193,$J1876,VCU!$E$51:$E$193)*Impacts!$F$17))</f>
        <v>0</v>
      </c>
      <c r="V1876" s="10">
        <f>IF(CAS!$C$7="",0,(SUMIF(CAS!$B$31:$B$167,$J1876,CAS!$E$31:$E$167)*Impacts!$F$18))</f>
        <v>0</v>
      </c>
      <c r="W1876" s="10">
        <f t="shared" si="69"/>
        <v>0</v>
      </c>
      <c r="AK1876" s="10" t="str">
        <f t="array" ref="AK1876">IFERROR(INDEX(SelectedSpecies,SMALL(IF(SelectedSpecies=AK$1,ROW(SelectedSpecies)),ROW(1877:1877)),2),"")</f>
        <v/>
      </c>
      <c r="BE1876" s="10"/>
      <c r="BI1876" s="10"/>
    </row>
    <row r="1877" spans="1:61" ht="21" customHeight="1" x14ac:dyDescent="0.25">
      <c r="A1877" s="10"/>
      <c r="B1877" s="10"/>
      <c r="E1877" s="10"/>
      <c r="G1877" s="10"/>
      <c r="I1877" s="436" t="s">
        <v>8244</v>
      </c>
      <c r="J1877" s="26" t="s">
        <v>8243</v>
      </c>
      <c r="K1877" s="10">
        <v>8.0000000000000002E-3</v>
      </c>
      <c r="L1877" s="73">
        <f>IF(Tank1!$C$23="No control",(SUMIF(Tank1!$B$32:$B$49,$J1877,Tank1!$C$32:$C$49)*Impacts!$F$8),0)</f>
        <v>0</v>
      </c>
      <c r="M1877" s="10">
        <f>IF(Tank2!$C$23="No control",(SUMIF(Tank2!$B$32:$B$49,$J1877,Tank2!$C$32:$C$49)*Impacts!$F$9),0)</f>
        <v>0</v>
      </c>
      <c r="N1877" s="10">
        <f>IF(Tank3!$C$23="No control",(SUMIF(Tank3!$B$32:$B$49,$J1877,Tank3!$C$32:$C$49)*Impacts!$F$10),0)</f>
        <v>0</v>
      </c>
      <c r="O1877" s="10">
        <f>IF(Tank4!$C$23="No control",(SUMIF(Tank4!$B$32:$B$49,$J1877,Tank4!$C$32:$C$49)*Impacts!$F$11),0)</f>
        <v>0</v>
      </c>
      <c r="P1877" s="10">
        <f>IF(Tank5!$C$23="No control",(SUMIF(Tank5!$B$32:$B$49,$J1877,Tank5!$C$32:$C$49)*Impacts!$F$12),0)</f>
        <v>0</v>
      </c>
      <c r="Q1877" s="10">
        <f>IFERROR(IF(('Loading-drum,tote'!$C$21)="No control",SUMIF(('Loading-drum,tote'!$B$31:$B$48),$J1877,('Loading-drum,tote'!$D$31:$D$48))*Impacts!$F$13,IF(('Loading-drum,tote'!$C$21)&lt;&gt;"No control",SUMIF(('Loading-drum,tote'!$B$31:$B$48),$J1877,('Loading-drum,tote'!$E$31:$E$48))*Impacts!$F$13,0)),0)</f>
        <v>0</v>
      </c>
      <c r="R1877" s="10">
        <f>IFERROR(IF(('Loading-truck'!$C$21)="No control",SUMIF(('Loading-truck'!$B$31:$B$48),$J1877,('Loading-truck'!$D$31:$D$48))*Impacts!$F$14,IF(('Loading-truck'!$C$21)&lt;&gt;"No control",SUMIF(('Loading-truck'!$B$31:$B$48),$J1877,('Loading-truck'!$E$31:$E$48))*Impacts!$F$14,0)),0)</f>
        <v>0</v>
      </c>
      <c r="S1877" s="10">
        <f>IFERROR(IF(('Loading-rail'!$C$21)="No control",SUMIF(('Loading-rail'!$B$31:$B$48),$J1877,('Loading-rail'!$D$31:$D$48))*Impacts!$F$15,IF(('Loading-rail'!$C$21)&lt;&gt;"No control",SUMIF(('Loading-rail'!$B$31:$B$48),$J1877,('Loading-rail'!$E$31:$E$48))*Impacts!$F$15,0)),0)</f>
        <v>0</v>
      </c>
      <c r="T1877" s="10">
        <f>IF(Flare!$C$7="",0,(SUMIF(Flare!$B$46:$B$185,$J1877,Flare!$E$46:$E$185)*Impacts!$F$16))</f>
        <v>0</v>
      </c>
      <c r="U1877" s="10">
        <f>IF(VCU!$C$9="",0,(SUMIF(VCU!$B$51:$B$193,$J1877,VCU!$E$51:$E$193)*Impacts!$F$17))</f>
        <v>0</v>
      </c>
      <c r="V1877" s="10">
        <f>IF(CAS!$C$7="",0,(SUMIF(CAS!$B$31:$B$167,$J1877,CAS!$E$31:$E$167)*Impacts!$F$18))</f>
        <v>0</v>
      </c>
      <c r="W1877" s="10">
        <f t="shared" si="69"/>
        <v>0</v>
      </c>
      <c r="AK1877" s="10" t="str">
        <f t="array" ref="AK1877">IFERROR(INDEX(SelectedSpecies,SMALL(IF(SelectedSpecies=AK$1,ROW(SelectedSpecies)),ROW(1878:1878)),2),"")</f>
        <v/>
      </c>
      <c r="BE1877" s="10"/>
      <c r="BI1877" s="10"/>
    </row>
    <row r="1878" spans="1:61" ht="21" customHeight="1" x14ac:dyDescent="0.25">
      <c r="A1878" s="10"/>
      <c r="B1878" s="10"/>
      <c r="E1878" s="10"/>
      <c r="G1878" s="10"/>
      <c r="I1878" s="436" t="s">
        <v>6846</v>
      </c>
      <c r="J1878" s="26" t="s">
        <v>6845</v>
      </c>
      <c r="K1878" s="10">
        <v>0.5</v>
      </c>
      <c r="L1878" s="73">
        <f>IF(Tank1!$C$23="No control",(SUMIF(Tank1!$B$32:$B$49,$J1878,Tank1!$C$32:$C$49)*Impacts!$F$8),0)</f>
        <v>0</v>
      </c>
      <c r="M1878" s="10">
        <f>IF(Tank2!$C$23="No control",(SUMIF(Tank2!$B$32:$B$49,$J1878,Tank2!$C$32:$C$49)*Impacts!$F$9),0)</f>
        <v>0</v>
      </c>
      <c r="N1878" s="10">
        <f>IF(Tank3!$C$23="No control",(SUMIF(Tank3!$B$32:$B$49,$J1878,Tank3!$C$32:$C$49)*Impacts!$F$10),0)</f>
        <v>0</v>
      </c>
      <c r="O1878" s="10">
        <f>IF(Tank4!$C$23="No control",(SUMIF(Tank4!$B$32:$B$49,$J1878,Tank4!$C$32:$C$49)*Impacts!$F$11),0)</f>
        <v>0</v>
      </c>
      <c r="P1878" s="10">
        <f>IF(Tank5!$C$23="No control",(SUMIF(Tank5!$B$32:$B$49,$J1878,Tank5!$C$32:$C$49)*Impacts!$F$12),0)</f>
        <v>0</v>
      </c>
      <c r="Q1878" s="10">
        <f>IFERROR(IF(('Loading-drum,tote'!$C$21)="No control",SUMIF(('Loading-drum,tote'!$B$31:$B$48),$J1878,('Loading-drum,tote'!$D$31:$D$48))*Impacts!$F$13,IF(('Loading-drum,tote'!$C$21)&lt;&gt;"No control",SUMIF(('Loading-drum,tote'!$B$31:$B$48),$J1878,('Loading-drum,tote'!$E$31:$E$48))*Impacts!$F$13,0)),0)</f>
        <v>0</v>
      </c>
      <c r="R1878" s="10">
        <f>IFERROR(IF(('Loading-truck'!$C$21)="No control",SUMIF(('Loading-truck'!$B$31:$B$48),$J1878,('Loading-truck'!$D$31:$D$48))*Impacts!$F$14,IF(('Loading-truck'!$C$21)&lt;&gt;"No control",SUMIF(('Loading-truck'!$B$31:$B$48),$J1878,('Loading-truck'!$E$31:$E$48))*Impacts!$F$14,0)),0)</f>
        <v>0</v>
      </c>
      <c r="S1878" s="10">
        <f>IFERROR(IF(('Loading-rail'!$C$21)="No control",SUMIF(('Loading-rail'!$B$31:$B$48),$J1878,('Loading-rail'!$D$31:$D$48))*Impacts!$F$15,IF(('Loading-rail'!$C$21)&lt;&gt;"No control",SUMIF(('Loading-rail'!$B$31:$B$48),$J1878,('Loading-rail'!$E$31:$E$48))*Impacts!$F$15,0)),0)</f>
        <v>0</v>
      </c>
      <c r="T1878" s="10">
        <f>IF(Flare!$C$7="",0,(SUMIF(Flare!$B$46:$B$185,$J1878,Flare!$E$46:$E$185)*Impacts!$F$16))</f>
        <v>0</v>
      </c>
      <c r="U1878" s="10">
        <f>IF(VCU!$C$9="",0,(SUMIF(VCU!$B$51:$B$193,$J1878,VCU!$E$51:$E$193)*Impacts!$F$17))</f>
        <v>0</v>
      </c>
      <c r="V1878" s="10">
        <f>IF(CAS!$C$7="",0,(SUMIF(CAS!$B$31:$B$167,$J1878,CAS!$E$31:$E$167)*Impacts!$F$18))</f>
        <v>0</v>
      </c>
      <c r="W1878" s="10">
        <f t="shared" si="69"/>
        <v>0</v>
      </c>
      <c r="AK1878" s="10" t="str">
        <f t="array" ref="AK1878">IFERROR(INDEX(SelectedSpecies,SMALL(IF(SelectedSpecies=AK$1,ROW(SelectedSpecies)),ROW(1879:1879)),2),"")</f>
        <v/>
      </c>
      <c r="BE1878" s="10"/>
      <c r="BI1878" s="10"/>
    </row>
    <row r="1879" spans="1:61" ht="21" customHeight="1" x14ac:dyDescent="0.25">
      <c r="A1879" s="10"/>
      <c r="B1879" s="10"/>
      <c r="E1879" s="10"/>
      <c r="G1879" s="10"/>
      <c r="I1879" s="436" t="s">
        <v>5433</v>
      </c>
      <c r="J1879" s="26" t="s">
        <v>5432</v>
      </c>
      <c r="K1879" s="10">
        <v>1.4000000000000001</v>
      </c>
      <c r="L1879" s="73">
        <f>IF(Tank1!$C$23="No control",(SUMIF(Tank1!$B$32:$B$49,$J1879,Tank1!$C$32:$C$49)*Impacts!$F$8),0)</f>
        <v>0</v>
      </c>
      <c r="M1879" s="10">
        <f>IF(Tank2!$C$23="No control",(SUMIF(Tank2!$B$32:$B$49,$J1879,Tank2!$C$32:$C$49)*Impacts!$F$9),0)</f>
        <v>0</v>
      </c>
      <c r="N1879" s="10">
        <f>IF(Tank3!$C$23="No control",(SUMIF(Tank3!$B$32:$B$49,$J1879,Tank3!$C$32:$C$49)*Impacts!$F$10),0)</f>
        <v>0</v>
      </c>
      <c r="O1879" s="10">
        <f>IF(Tank4!$C$23="No control",(SUMIF(Tank4!$B$32:$B$49,$J1879,Tank4!$C$32:$C$49)*Impacts!$F$11),0)</f>
        <v>0</v>
      </c>
      <c r="P1879" s="10">
        <f>IF(Tank5!$C$23="No control",(SUMIF(Tank5!$B$32:$B$49,$J1879,Tank5!$C$32:$C$49)*Impacts!$F$12),0)</f>
        <v>0</v>
      </c>
      <c r="Q1879" s="10">
        <f>IFERROR(IF(('Loading-drum,tote'!$C$21)="No control",SUMIF(('Loading-drum,tote'!$B$31:$B$48),$J1879,('Loading-drum,tote'!$D$31:$D$48))*Impacts!$F$13,IF(('Loading-drum,tote'!$C$21)&lt;&gt;"No control",SUMIF(('Loading-drum,tote'!$B$31:$B$48),$J1879,('Loading-drum,tote'!$E$31:$E$48))*Impacts!$F$13,0)),0)</f>
        <v>0</v>
      </c>
      <c r="R1879" s="10">
        <f>IFERROR(IF(('Loading-truck'!$C$21)="No control",SUMIF(('Loading-truck'!$B$31:$B$48),$J1879,('Loading-truck'!$D$31:$D$48))*Impacts!$F$14,IF(('Loading-truck'!$C$21)&lt;&gt;"No control",SUMIF(('Loading-truck'!$B$31:$B$48),$J1879,('Loading-truck'!$E$31:$E$48))*Impacts!$F$14,0)),0)</f>
        <v>0</v>
      </c>
      <c r="S1879" s="10">
        <f>IFERROR(IF(('Loading-rail'!$C$21)="No control",SUMIF(('Loading-rail'!$B$31:$B$48),$J1879,('Loading-rail'!$D$31:$D$48))*Impacts!$F$15,IF(('Loading-rail'!$C$21)&lt;&gt;"No control",SUMIF(('Loading-rail'!$B$31:$B$48),$J1879,('Loading-rail'!$E$31:$E$48))*Impacts!$F$15,0)),0)</f>
        <v>0</v>
      </c>
      <c r="T1879" s="10">
        <f>IF(Flare!$C$7="",0,(SUMIF(Flare!$B$46:$B$185,$J1879,Flare!$E$46:$E$185)*Impacts!$F$16))</f>
        <v>0</v>
      </c>
      <c r="U1879" s="10">
        <f>IF(VCU!$C$9="",0,(SUMIF(VCU!$B$51:$B$193,$J1879,VCU!$E$51:$E$193)*Impacts!$F$17))</f>
        <v>0</v>
      </c>
      <c r="V1879" s="10">
        <f>IF(CAS!$C$7="",0,(SUMIF(CAS!$B$31:$B$167,$J1879,CAS!$E$31:$E$167)*Impacts!$F$18))</f>
        <v>0</v>
      </c>
      <c r="W1879" s="10">
        <f t="shared" si="69"/>
        <v>0</v>
      </c>
      <c r="AK1879" s="10" t="str">
        <f t="array" ref="AK1879">IFERROR(INDEX(SelectedSpecies,SMALL(IF(SelectedSpecies=AK$1,ROW(SelectedSpecies)),ROW(1880:1880)),2),"")</f>
        <v/>
      </c>
      <c r="BE1879" s="10"/>
      <c r="BI1879" s="10"/>
    </row>
    <row r="1880" spans="1:61" ht="21" customHeight="1" x14ac:dyDescent="0.25">
      <c r="A1880" s="10"/>
      <c r="B1880" s="10"/>
      <c r="E1880" s="10"/>
      <c r="G1880" s="10"/>
      <c r="I1880" s="436" t="s">
        <v>5926</v>
      </c>
      <c r="J1880" s="26" t="s">
        <v>5925</v>
      </c>
      <c r="K1880" s="10">
        <v>1</v>
      </c>
      <c r="L1880" s="73">
        <f>IF(Tank1!$C$23="No control",(SUMIF(Tank1!$B$32:$B$49,$J1880,Tank1!$C$32:$C$49)*Impacts!$F$8),0)</f>
        <v>0</v>
      </c>
      <c r="M1880" s="10">
        <f>IF(Tank2!$C$23="No control",(SUMIF(Tank2!$B$32:$B$49,$J1880,Tank2!$C$32:$C$49)*Impacts!$F$9),0)</f>
        <v>0</v>
      </c>
      <c r="N1880" s="10">
        <f>IF(Tank3!$C$23="No control",(SUMIF(Tank3!$B$32:$B$49,$J1880,Tank3!$C$32:$C$49)*Impacts!$F$10),0)</f>
        <v>0</v>
      </c>
      <c r="O1880" s="10">
        <f>IF(Tank4!$C$23="No control",(SUMIF(Tank4!$B$32:$B$49,$J1880,Tank4!$C$32:$C$49)*Impacts!$F$11),0)</f>
        <v>0</v>
      </c>
      <c r="P1880" s="10">
        <f>IF(Tank5!$C$23="No control",(SUMIF(Tank5!$B$32:$B$49,$J1880,Tank5!$C$32:$C$49)*Impacts!$F$12),0)</f>
        <v>0</v>
      </c>
      <c r="Q1880" s="10">
        <f>IFERROR(IF(('Loading-drum,tote'!$C$21)="No control",SUMIF(('Loading-drum,tote'!$B$31:$B$48),$J1880,('Loading-drum,tote'!$D$31:$D$48))*Impacts!$F$13,IF(('Loading-drum,tote'!$C$21)&lt;&gt;"No control",SUMIF(('Loading-drum,tote'!$B$31:$B$48),$J1880,('Loading-drum,tote'!$E$31:$E$48))*Impacts!$F$13,0)),0)</f>
        <v>0</v>
      </c>
      <c r="R1880" s="10">
        <f>IFERROR(IF(('Loading-truck'!$C$21)="No control",SUMIF(('Loading-truck'!$B$31:$B$48),$J1880,('Loading-truck'!$D$31:$D$48))*Impacts!$F$14,IF(('Loading-truck'!$C$21)&lt;&gt;"No control",SUMIF(('Loading-truck'!$B$31:$B$48),$J1880,('Loading-truck'!$E$31:$E$48))*Impacts!$F$14,0)),0)</f>
        <v>0</v>
      </c>
      <c r="S1880" s="10">
        <f>IFERROR(IF(('Loading-rail'!$C$21)="No control",SUMIF(('Loading-rail'!$B$31:$B$48),$J1880,('Loading-rail'!$D$31:$D$48))*Impacts!$F$15,IF(('Loading-rail'!$C$21)&lt;&gt;"No control",SUMIF(('Loading-rail'!$B$31:$B$48),$J1880,('Loading-rail'!$E$31:$E$48))*Impacts!$F$15,0)),0)</f>
        <v>0</v>
      </c>
      <c r="T1880" s="10">
        <f>IF(Flare!$C$7="",0,(SUMIF(Flare!$B$46:$B$185,$J1880,Flare!$E$46:$E$185)*Impacts!$F$16))</f>
        <v>0</v>
      </c>
      <c r="U1880" s="10">
        <f>IF(VCU!$C$9="",0,(SUMIF(VCU!$B$51:$B$193,$J1880,VCU!$E$51:$E$193)*Impacts!$F$17))</f>
        <v>0</v>
      </c>
      <c r="V1880" s="10">
        <f>IF(CAS!$C$7="",0,(SUMIF(CAS!$B$31:$B$167,$J1880,CAS!$E$31:$E$167)*Impacts!$F$18))</f>
        <v>0</v>
      </c>
      <c r="W1880" s="10">
        <f t="shared" si="69"/>
        <v>0</v>
      </c>
      <c r="AK1880" s="10" t="str">
        <f t="array" ref="AK1880">IFERROR(INDEX(SelectedSpecies,SMALL(IF(SelectedSpecies=AK$1,ROW(SelectedSpecies)),ROW(1881:1881)),2),"")</f>
        <v/>
      </c>
      <c r="BE1880" s="10"/>
      <c r="BI1880" s="10"/>
    </row>
    <row r="1881" spans="1:61" ht="21" customHeight="1" x14ac:dyDescent="0.25">
      <c r="A1881" s="10"/>
      <c r="B1881" s="10"/>
      <c r="E1881" s="10"/>
      <c r="G1881" s="10"/>
      <c r="I1881" s="436" t="s">
        <v>2313</v>
      </c>
      <c r="J1881" s="26" t="s">
        <v>2312</v>
      </c>
      <c r="K1881" s="10">
        <v>12</v>
      </c>
      <c r="L1881" s="73">
        <f>IF(Tank1!$C$23="No control",(SUMIF(Tank1!$B$32:$B$49,$J1881,Tank1!$C$32:$C$49)*Impacts!$F$8),0)</f>
        <v>0</v>
      </c>
      <c r="M1881" s="10">
        <f>IF(Tank2!$C$23="No control",(SUMIF(Tank2!$B$32:$B$49,$J1881,Tank2!$C$32:$C$49)*Impacts!$F$9),0)</f>
        <v>0</v>
      </c>
      <c r="N1881" s="10">
        <f>IF(Tank3!$C$23="No control",(SUMIF(Tank3!$B$32:$B$49,$J1881,Tank3!$C$32:$C$49)*Impacts!$F$10),0)</f>
        <v>0</v>
      </c>
      <c r="O1881" s="10">
        <f>IF(Tank4!$C$23="No control",(SUMIF(Tank4!$B$32:$B$49,$J1881,Tank4!$C$32:$C$49)*Impacts!$F$11),0)</f>
        <v>0</v>
      </c>
      <c r="P1881" s="10">
        <f>IF(Tank5!$C$23="No control",(SUMIF(Tank5!$B$32:$B$49,$J1881,Tank5!$C$32:$C$49)*Impacts!$F$12),0)</f>
        <v>0</v>
      </c>
      <c r="Q1881" s="10">
        <f>IFERROR(IF(('Loading-drum,tote'!$C$21)="No control",SUMIF(('Loading-drum,tote'!$B$31:$B$48),$J1881,('Loading-drum,tote'!$D$31:$D$48))*Impacts!$F$13,IF(('Loading-drum,tote'!$C$21)&lt;&gt;"No control",SUMIF(('Loading-drum,tote'!$B$31:$B$48),$J1881,('Loading-drum,tote'!$E$31:$E$48))*Impacts!$F$13,0)),0)</f>
        <v>0</v>
      </c>
      <c r="R1881" s="10">
        <f>IFERROR(IF(('Loading-truck'!$C$21)="No control",SUMIF(('Loading-truck'!$B$31:$B$48),$J1881,('Loading-truck'!$D$31:$D$48))*Impacts!$F$14,IF(('Loading-truck'!$C$21)&lt;&gt;"No control",SUMIF(('Loading-truck'!$B$31:$B$48),$J1881,('Loading-truck'!$E$31:$E$48))*Impacts!$F$14,0)),0)</f>
        <v>0</v>
      </c>
      <c r="S1881" s="10">
        <f>IFERROR(IF(('Loading-rail'!$C$21)="No control",SUMIF(('Loading-rail'!$B$31:$B$48),$J1881,('Loading-rail'!$D$31:$D$48))*Impacts!$F$15,IF(('Loading-rail'!$C$21)&lt;&gt;"No control",SUMIF(('Loading-rail'!$B$31:$B$48),$J1881,('Loading-rail'!$E$31:$E$48))*Impacts!$F$15,0)),0)</f>
        <v>0</v>
      </c>
      <c r="T1881" s="10">
        <f>IF(Flare!$C$7="",0,(SUMIF(Flare!$B$46:$B$185,$J1881,Flare!$E$46:$E$185)*Impacts!$F$16))</f>
        <v>0</v>
      </c>
      <c r="U1881" s="10">
        <f>IF(VCU!$C$9="",0,(SUMIF(VCU!$B$51:$B$193,$J1881,VCU!$E$51:$E$193)*Impacts!$F$17))</f>
        <v>0</v>
      </c>
      <c r="V1881" s="10">
        <f>IF(CAS!$C$7="",0,(SUMIF(CAS!$B$31:$B$167,$J1881,CAS!$E$31:$E$167)*Impacts!$F$18))</f>
        <v>0</v>
      </c>
      <c r="W1881" s="10">
        <f t="shared" si="69"/>
        <v>0</v>
      </c>
      <c r="AK1881" s="10" t="str">
        <f t="array" ref="AK1881">IFERROR(INDEX(SelectedSpecies,SMALL(IF(SelectedSpecies=AK$1,ROW(SelectedSpecies)),ROW(1882:1882)),2),"")</f>
        <v/>
      </c>
      <c r="BE1881" s="10"/>
      <c r="BI1881" s="10"/>
    </row>
    <row r="1882" spans="1:61" ht="21" customHeight="1" x14ac:dyDescent="0.25">
      <c r="A1882" s="10"/>
      <c r="B1882" s="10"/>
      <c r="E1882" s="10"/>
      <c r="G1882" s="10"/>
      <c r="I1882" s="436" t="s">
        <v>7738</v>
      </c>
      <c r="J1882" s="26" t="s">
        <v>7737</v>
      </c>
      <c r="K1882" s="10">
        <v>0.1</v>
      </c>
      <c r="L1882" s="73">
        <f>IF(Tank1!$C$23="No control",(SUMIF(Tank1!$B$32:$B$49,$J1882,Tank1!$C$32:$C$49)*Impacts!$F$8),0)</f>
        <v>0</v>
      </c>
      <c r="M1882" s="10">
        <f>IF(Tank2!$C$23="No control",(SUMIF(Tank2!$B$32:$B$49,$J1882,Tank2!$C$32:$C$49)*Impacts!$F$9),0)</f>
        <v>0</v>
      </c>
      <c r="N1882" s="10">
        <f>IF(Tank3!$C$23="No control",(SUMIF(Tank3!$B$32:$B$49,$J1882,Tank3!$C$32:$C$49)*Impacts!$F$10),0)</f>
        <v>0</v>
      </c>
      <c r="O1882" s="10">
        <f>IF(Tank4!$C$23="No control",(SUMIF(Tank4!$B$32:$B$49,$J1882,Tank4!$C$32:$C$49)*Impacts!$F$11),0)</f>
        <v>0</v>
      </c>
      <c r="P1882" s="10">
        <f>IF(Tank5!$C$23="No control",(SUMIF(Tank5!$B$32:$B$49,$J1882,Tank5!$C$32:$C$49)*Impacts!$F$12),0)</f>
        <v>0</v>
      </c>
      <c r="Q1882" s="10">
        <f>IFERROR(IF(('Loading-drum,tote'!$C$21)="No control",SUMIF(('Loading-drum,tote'!$B$31:$B$48),$J1882,('Loading-drum,tote'!$D$31:$D$48))*Impacts!$F$13,IF(('Loading-drum,tote'!$C$21)&lt;&gt;"No control",SUMIF(('Loading-drum,tote'!$B$31:$B$48),$J1882,('Loading-drum,tote'!$E$31:$E$48))*Impacts!$F$13,0)),0)</f>
        <v>0</v>
      </c>
      <c r="R1882" s="10">
        <f>IFERROR(IF(('Loading-truck'!$C$21)="No control",SUMIF(('Loading-truck'!$B$31:$B$48),$J1882,('Loading-truck'!$D$31:$D$48))*Impacts!$F$14,IF(('Loading-truck'!$C$21)&lt;&gt;"No control",SUMIF(('Loading-truck'!$B$31:$B$48),$J1882,('Loading-truck'!$E$31:$E$48))*Impacts!$F$14,0)),0)</f>
        <v>0</v>
      </c>
      <c r="S1882" s="10">
        <f>IFERROR(IF(('Loading-rail'!$C$21)="No control",SUMIF(('Loading-rail'!$B$31:$B$48),$J1882,('Loading-rail'!$D$31:$D$48))*Impacts!$F$15,IF(('Loading-rail'!$C$21)&lt;&gt;"No control",SUMIF(('Loading-rail'!$B$31:$B$48),$J1882,('Loading-rail'!$E$31:$E$48))*Impacts!$F$15,0)),0)</f>
        <v>0</v>
      </c>
      <c r="T1882" s="10">
        <f>IF(Flare!$C$7="",0,(SUMIF(Flare!$B$46:$B$185,$J1882,Flare!$E$46:$E$185)*Impacts!$F$16))</f>
        <v>0</v>
      </c>
      <c r="U1882" s="10">
        <f>IF(VCU!$C$9="",0,(SUMIF(VCU!$B$51:$B$193,$J1882,VCU!$E$51:$E$193)*Impacts!$F$17))</f>
        <v>0</v>
      </c>
      <c r="V1882" s="10">
        <f>IF(CAS!$C$7="",0,(SUMIF(CAS!$B$31:$B$167,$J1882,CAS!$E$31:$E$167)*Impacts!$F$18))</f>
        <v>0</v>
      </c>
      <c r="W1882" s="10">
        <f t="shared" ref="W1882:W1945" si="70">SUM(L1882:V1882)</f>
        <v>0</v>
      </c>
      <c r="AK1882" s="10" t="str">
        <f t="array" ref="AK1882">IFERROR(INDEX(SelectedSpecies,SMALL(IF(SelectedSpecies=AK$1,ROW(SelectedSpecies)),ROW(1883:1883)),2),"")</f>
        <v/>
      </c>
      <c r="BE1882" s="10"/>
      <c r="BI1882" s="10"/>
    </row>
    <row r="1883" spans="1:61" ht="21" customHeight="1" x14ac:dyDescent="0.25">
      <c r="A1883" s="10"/>
      <c r="B1883" s="10"/>
      <c r="E1883" s="10"/>
      <c r="G1883" s="10"/>
      <c r="I1883" s="436" t="s">
        <v>1044</v>
      </c>
      <c r="J1883" s="26" t="s">
        <v>1043</v>
      </c>
      <c r="K1883" s="10">
        <v>35</v>
      </c>
      <c r="L1883" s="73">
        <f>IF(Tank1!$C$23="No control",(SUMIF(Tank1!$B$32:$B$49,$J1883,Tank1!$C$32:$C$49)*Impacts!$F$8),0)</f>
        <v>0</v>
      </c>
      <c r="M1883" s="10">
        <f>IF(Tank2!$C$23="No control",(SUMIF(Tank2!$B$32:$B$49,$J1883,Tank2!$C$32:$C$49)*Impacts!$F$9),0)</f>
        <v>0</v>
      </c>
      <c r="N1883" s="10">
        <f>IF(Tank3!$C$23="No control",(SUMIF(Tank3!$B$32:$B$49,$J1883,Tank3!$C$32:$C$49)*Impacts!$F$10),0)</f>
        <v>0</v>
      </c>
      <c r="O1883" s="10">
        <f>IF(Tank4!$C$23="No control",(SUMIF(Tank4!$B$32:$B$49,$J1883,Tank4!$C$32:$C$49)*Impacts!$F$11),0)</f>
        <v>0</v>
      </c>
      <c r="P1883" s="10">
        <f>IF(Tank5!$C$23="No control",(SUMIF(Tank5!$B$32:$B$49,$J1883,Tank5!$C$32:$C$49)*Impacts!$F$12),0)</f>
        <v>0</v>
      </c>
      <c r="Q1883" s="10">
        <f>IFERROR(IF(('Loading-drum,tote'!$C$21)="No control",SUMIF(('Loading-drum,tote'!$B$31:$B$48),$J1883,('Loading-drum,tote'!$D$31:$D$48))*Impacts!$F$13,IF(('Loading-drum,tote'!$C$21)&lt;&gt;"No control",SUMIF(('Loading-drum,tote'!$B$31:$B$48),$J1883,('Loading-drum,tote'!$E$31:$E$48))*Impacts!$F$13,0)),0)</f>
        <v>0</v>
      </c>
      <c r="R1883" s="10">
        <f>IFERROR(IF(('Loading-truck'!$C$21)="No control",SUMIF(('Loading-truck'!$B$31:$B$48),$J1883,('Loading-truck'!$D$31:$D$48))*Impacts!$F$14,IF(('Loading-truck'!$C$21)&lt;&gt;"No control",SUMIF(('Loading-truck'!$B$31:$B$48),$J1883,('Loading-truck'!$E$31:$E$48))*Impacts!$F$14,0)),0)</f>
        <v>0</v>
      </c>
      <c r="S1883" s="10">
        <f>IFERROR(IF(('Loading-rail'!$C$21)="No control",SUMIF(('Loading-rail'!$B$31:$B$48),$J1883,('Loading-rail'!$D$31:$D$48))*Impacts!$F$15,IF(('Loading-rail'!$C$21)&lt;&gt;"No control",SUMIF(('Loading-rail'!$B$31:$B$48),$J1883,('Loading-rail'!$E$31:$E$48))*Impacts!$F$15,0)),0)</f>
        <v>0</v>
      </c>
      <c r="T1883" s="10">
        <f>IF(Flare!$C$7="",0,(SUMIF(Flare!$B$46:$B$185,$J1883,Flare!$E$46:$E$185)*Impacts!$F$16))</f>
        <v>0</v>
      </c>
      <c r="U1883" s="10">
        <f>IF(VCU!$C$9="",0,(SUMIF(VCU!$B$51:$B$193,$J1883,VCU!$E$51:$E$193)*Impacts!$F$17))</f>
        <v>0</v>
      </c>
      <c r="V1883" s="10">
        <f>IF(CAS!$C$7="",0,(SUMIF(CAS!$B$31:$B$167,$J1883,CAS!$E$31:$E$167)*Impacts!$F$18))</f>
        <v>0</v>
      </c>
      <c r="W1883" s="10">
        <f t="shared" si="70"/>
        <v>0</v>
      </c>
      <c r="AK1883" s="10" t="str">
        <f t="array" ref="AK1883">IFERROR(INDEX(SelectedSpecies,SMALL(IF(SelectedSpecies=AK$1,ROW(SelectedSpecies)),ROW(1884:1884)),2),"")</f>
        <v/>
      </c>
      <c r="BE1883" s="10"/>
      <c r="BI1883" s="10"/>
    </row>
    <row r="1884" spans="1:61" ht="21" customHeight="1" x14ac:dyDescent="0.25">
      <c r="A1884" s="10"/>
      <c r="B1884" s="10"/>
      <c r="E1884" s="10"/>
      <c r="G1884" s="10"/>
      <c r="I1884" s="436" t="s">
        <v>3479</v>
      </c>
      <c r="J1884" s="26" t="s">
        <v>3478</v>
      </c>
      <c r="K1884" s="10">
        <v>9.6000000000000014</v>
      </c>
      <c r="L1884" s="73">
        <f>IF(Tank1!$C$23="No control",(SUMIF(Tank1!$B$32:$B$49,$J1884,Tank1!$C$32:$C$49)*Impacts!$F$8),0)</f>
        <v>0</v>
      </c>
      <c r="M1884" s="10">
        <f>IF(Tank2!$C$23="No control",(SUMIF(Tank2!$B$32:$B$49,$J1884,Tank2!$C$32:$C$49)*Impacts!$F$9),0)</f>
        <v>0</v>
      </c>
      <c r="N1884" s="10">
        <f>IF(Tank3!$C$23="No control",(SUMIF(Tank3!$B$32:$B$49,$J1884,Tank3!$C$32:$C$49)*Impacts!$F$10),0)</f>
        <v>0</v>
      </c>
      <c r="O1884" s="10">
        <f>IF(Tank4!$C$23="No control",(SUMIF(Tank4!$B$32:$B$49,$J1884,Tank4!$C$32:$C$49)*Impacts!$F$11),0)</f>
        <v>0</v>
      </c>
      <c r="P1884" s="10">
        <f>IF(Tank5!$C$23="No control",(SUMIF(Tank5!$B$32:$B$49,$J1884,Tank5!$C$32:$C$49)*Impacts!$F$12),0)</f>
        <v>0</v>
      </c>
      <c r="Q1884" s="10">
        <f>IFERROR(IF(('Loading-drum,tote'!$C$21)="No control",SUMIF(('Loading-drum,tote'!$B$31:$B$48),$J1884,('Loading-drum,tote'!$D$31:$D$48))*Impacts!$F$13,IF(('Loading-drum,tote'!$C$21)&lt;&gt;"No control",SUMIF(('Loading-drum,tote'!$B$31:$B$48),$J1884,('Loading-drum,tote'!$E$31:$E$48))*Impacts!$F$13,0)),0)</f>
        <v>0</v>
      </c>
      <c r="R1884" s="10">
        <f>IFERROR(IF(('Loading-truck'!$C$21)="No control",SUMIF(('Loading-truck'!$B$31:$B$48),$J1884,('Loading-truck'!$D$31:$D$48))*Impacts!$F$14,IF(('Loading-truck'!$C$21)&lt;&gt;"No control",SUMIF(('Loading-truck'!$B$31:$B$48),$J1884,('Loading-truck'!$E$31:$E$48))*Impacts!$F$14,0)),0)</f>
        <v>0</v>
      </c>
      <c r="S1884" s="10">
        <f>IFERROR(IF(('Loading-rail'!$C$21)="No control",SUMIF(('Loading-rail'!$B$31:$B$48),$J1884,('Loading-rail'!$D$31:$D$48))*Impacts!$F$15,IF(('Loading-rail'!$C$21)&lt;&gt;"No control",SUMIF(('Loading-rail'!$B$31:$B$48),$J1884,('Loading-rail'!$E$31:$E$48))*Impacts!$F$15,0)),0)</f>
        <v>0</v>
      </c>
      <c r="T1884" s="10">
        <f>IF(Flare!$C$7="",0,(SUMIF(Flare!$B$46:$B$185,$J1884,Flare!$E$46:$E$185)*Impacts!$F$16))</f>
        <v>0</v>
      </c>
      <c r="U1884" s="10">
        <f>IF(VCU!$C$9="",0,(SUMIF(VCU!$B$51:$B$193,$J1884,VCU!$E$51:$E$193)*Impacts!$F$17))</f>
        <v>0</v>
      </c>
      <c r="V1884" s="10">
        <f>IF(CAS!$C$7="",0,(SUMIF(CAS!$B$31:$B$167,$J1884,CAS!$E$31:$E$167)*Impacts!$F$18))</f>
        <v>0</v>
      </c>
      <c r="W1884" s="10">
        <f t="shared" si="70"/>
        <v>0</v>
      </c>
      <c r="AK1884" s="10" t="str">
        <f t="array" ref="AK1884">IFERROR(INDEX(SelectedSpecies,SMALL(IF(SelectedSpecies=AK$1,ROW(SelectedSpecies)),ROW(1885:1885)),2),"")</f>
        <v/>
      </c>
      <c r="BE1884" s="10"/>
      <c r="BI1884" s="10"/>
    </row>
    <row r="1885" spans="1:61" ht="21" customHeight="1" x14ac:dyDescent="0.25">
      <c r="A1885" s="10"/>
      <c r="B1885" s="10"/>
      <c r="E1885" s="10"/>
      <c r="G1885" s="10"/>
      <c r="I1885" s="436" t="s">
        <v>4337</v>
      </c>
      <c r="J1885" s="26" t="s">
        <v>4336</v>
      </c>
      <c r="K1885" s="10">
        <v>4.9000000000000004</v>
      </c>
      <c r="L1885" s="73">
        <f>IF(Tank1!$C$23="No control",(SUMIF(Tank1!$B$32:$B$49,$J1885,Tank1!$C$32:$C$49)*Impacts!$F$8),0)</f>
        <v>0</v>
      </c>
      <c r="M1885" s="10">
        <f>IF(Tank2!$C$23="No control",(SUMIF(Tank2!$B$32:$B$49,$J1885,Tank2!$C$32:$C$49)*Impacts!$F$9),0)</f>
        <v>0</v>
      </c>
      <c r="N1885" s="10">
        <f>IF(Tank3!$C$23="No control",(SUMIF(Tank3!$B$32:$B$49,$J1885,Tank3!$C$32:$C$49)*Impacts!$F$10),0)</f>
        <v>0</v>
      </c>
      <c r="O1885" s="10">
        <f>IF(Tank4!$C$23="No control",(SUMIF(Tank4!$B$32:$B$49,$J1885,Tank4!$C$32:$C$49)*Impacts!$F$11),0)</f>
        <v>0</v>
      </c>
      <c r="P1885" s="10">
        <f>IF(Tank5!$C$23="No control",(SUMIF(Tank5!$B$32:$B$49,$J1885,Tank5!$C$32:$C$49)*Impacts!$F$12),0)</f>
        <v>0</v>
      </c>
      <c r="Q1885" s="10">
        <f>IFERROR(IF(('Loading-drum,tote'!$C$21)="No control",SUMIF(('Loading-drum,tote'!$B$31:$B$48),$J1885,('Loading-drum,tote'!$D$31:$D$48))*Impacts!$F$13,IF(('Loading-drum,tote'!$C$21)&lt;&gt;"No control",SUMIF(('Loading-drum,tote'!$B$31:$B$48),$J1885,('Loading-drum,tote'!$E$31:$E$48))*Impacts!$F$13,0)),0)</f>
        <v>0</v>
      </c>
      <c r="R1885" s="10">
        <f>IFERROR(IF(('Loading-truck'!$C$21)="No control",SUMIF(('Loading-truck'!$B$31:$B$48),$J1885,('Loading-truck'!$D$31:$D$48))*Impacts!$F$14,IF(('Loading-truck'!$C$21)&lt;&gt;"No control",SUMIF(('Loading-truck'!$B$31:$B$48),$J1885,('Loading-truck'!$E$31:$E$48))*Impacts!$F$14,0)),0)</f>
        <v>0</v>
      </c>
      <c r="S1885" s="10">
        <f>IFERROR(IF(('Loading-rail'!$C$21)="No control",SUMIF(('Loading-rail'!$B$31:$B$48),$J1885,('Loading-rail'!$D$31:$D$48))*Impacts!$F$15,IF(('Loading-rail'!$C$21)&lt;&gt;"No control",SUMIF(('Loading-rail'!$B$31:$B$48),$J1885,('Loading-rail'!$E$31:$E$48))*Impacts!$F$15,0)),0)</f>
        <v>0</v>
      </c>
      <c r="T1885" s="10">
        <f>IF(Flare!$C$7="",0,(SUMIF(Flare!$B$46:$B$185,$J1885,Flare!$E$46:$E$185)*Impacts!$F$16))</f>
        <v>0</v>
      </c>
      <c r="U1885" s="10">
        <f>IF(VCU!$C$9="",0,(SUMIF(VCU!$B$51:$B$193,$J1885,VCU!$E$51:$E$193)*Impacts!$F$17))</f>
        <v>0</v>
      </c>
      <c r="V1885" s="10">
        <f>IF(CAS!$C$7="",0,(SUMIF(CAS!$B$31:$B$167,$J1885,CAS!$E$31:$E$167)*Impacts!$F$18))</f>
        <v>0</v>
      </c>
      <c r="W1885" s="10">
        <f t="shared" si="70"/>
        <v>0</v>
      </c>
      <c r="AK1885" s="10" t="str">
        <f t="array" ref="AK1885">IFERROR(INDEX(SelectedSpecies,SMALL(IF(SelectedSpecies=AK$1,ROW(SelectedSpecies)),ROW(1886:1886)),2),"")</f>
        <v/>
      </c>
      <c r="BE1885" s="10"/>
      <c r="BI1885" s="10"/>
    </row>
    <row r="1886" spans="1:61" ht="21" customHeight="1" x14ac:dyDescent="0.25">
      <c r="A1886" s="10"/>
      <c r="B1886" s="10"/>
      <c r="E1886" s="10"/>
      <c r="G1886" s="10"/>
      <c r="I1886" s="436" t="s">
        <v>1046</v>
      </c>
      <c r="J1886" s="26" t="s">
        <v>1045</v>
      </c>
      <c r="K1886" s="10">
        <v>35</v>
      </c>
      <c r="L1886" s="73">
        <f>IF(Tank1!$C$23="No control",(SUMIF(Tank1!$B$32:$B$49,$J1886,Tank1!$C$32:$C$49)*Impacts!$F$8),0)</f>
        <v>0</v>
      </c>
      <c r="M1886" s="10">
        <f>IF(Tank2!$C$23="No control",(SUMIF(Tank2!$B$32:$B$49,$J1886,Tank2!$C$32:$C$49)*Impacts!$F$9),0)</f>
        <v>0</v>
      </c>
      <c r="N1886" s="10">
        <f>IF(Tank3!$C$23="No control",(SUMIF(Tank3!$B$32:$B$49,$J1886,Tank3!$C$32:$C$49)*Impacts!$F$10),0)</f>
        <v>0</v>
      </c>
      <c r="O1886" s="10">
        <f>IF(Tank4!$C$23="No control",(SUMIF(Tank4!$B$32:$B$49,$J1886,Tank4!$C$32:$C$49)*Impacts!$F$11),0)</f>
        <v>0</v>
      </c>
      <c r="P1886" s="10">
        <f>IF(Tank5!$C$23="No control",(SUMIF(Tank5!$B$32:$B$49,$J1886,Tank5!$C$32:$C$49)*Impacts!$F$12),0)</f>
        <v>0</v>
      </c>
      <c r="Q1886" s="10">
        <f>IFERROR(IF(('Loading-drum,tote'!$C$21)="No control",SUMIF(('Loading-drum,tote'!$B$31:$B$48),$J1886,('Loading-drum,tote'!$D$31:$D$48))*Impacts!$F$13,IF(('Loading-drum,tote'!$C$21)&lt;&gt;"No control",SUMIF(('Loading-drum,tote'!$B$31:$B$48),$J1886,('Loading-drum,tote'!$E$31:$E$48))*Impacts!$F$13,0)),0)</f>
        <v>0</v>
      </c>
      <c r="R1886" s="10">
        <f>IFERROR(IF(('Loading-truck'!$C$21)="No control",SUMIF(('Loading-truck'!$B$31:$B$48),$J1886,('Loading-truck'!$D$31:$D$48))*Impacts!$F$14,IF(('Loading-truck'!$C$21)&lt;&gt;"No control",SUMIF(('Loading-truck'!$B$31:$B$48),$J1886,('Loading-truck'!$E$31:$E$48))*Impacts!$F$14,0)),0)</f>
        <v>0</v>
      </c>
      <c r="S1886" s="10">
        <f>IFERROR(IF(('Loading-rail'!$C$21)="No control",SUMIF(('Loading-rail'!$B$31:$B$48),$J1886,('Loading-rail'!$D$31:$D$48))*Impacts!$F$15,IF(('Loading-rail'!$C$21)&lt;&gt;"No control",SUMIF(('Loading-rail'!$B$31:$B$48),$J1886,('Loading-rail'!$E$31:$E$48))*Impacts!$F$15,0)),0)</f>
        <v>0</v>
      </c>
      <c r="T1886" s="10">
        <f>IF(Flare!$C$7="",0,(SUMIF(Flare!$B$46:$B$185,$J1886,Flare!$E$46:$E$185)*Impacts!$F$16))</f>
        <v>0</v>
      </c>
      <c r="U1886" s="10">
        <f>IF(VCU!$C$9="",0,(SUMIF(VCU!$B$51:$B$193,$J1886,VCU!$E$51:$E$193)*Impacts!$F$17))</f>
        <v>0</v>
      </c>
      <c r="V1886" s="10">
        <f>IF(CAS!$C$7="",0,(SUMIF(CAS!$B$31:$B$167,$J1886,CAS!$E$31:$E$167)*Impacts!$F$18))</f>
        <v>0</v>
      </c>
      <c r="W1886" s="10">
        <f t="shared" si="70"/>
        <v>0</v>
      </c>
      <c r="AK1886" s="10" t="str">
        <f t="array" ref="AK1886">IFERROR(INDEX(SelectedSpecies,SMALL(IF(SelectedSpecies=AK$1,ROW(SelectedSpecies)),ROW(1887:1887)),2),"")</f>
        <v/>
      </c>
      <c r="BE1886" s="10"/>
      <c r="BI1886" s="10"/>
    </row>
    <row r="1887" spans="1:61" ht="21" customHeight="1" x14ac:dyDescent="0.25">
      <c r="A1887" s="10"/>
      <c r="B1887" s="10"/>
      <c r="E1887" s="10"/>
      <c r="G1887" s="10"/>
      <c r="I1887" s="436" t="s">
        <v>6636</v>
      </c>
      <c r="J1887" s="26" t="s">
        <v>6635</v>
      </c>
      <c r="K1887" s="10">
        <v>0.60000000000000009</v>
      </c>
      <c r="L1887" s="73">
        <f>IF(Tank1!$C$23="No control",(SUMIF(Tank1!$B$32:$B$49,$J1887,Tank1!$C$32:$C$49)*Impacts!$F$8),0)</f>
        <v>0</v>
      </c>
      <c r="M1887" s="10">
        <f>IF(Tank2!$C$23="No control",(SUMIF(Tank2!$B$32:$B$49,$J1887,Tank2!$C$32:$C$49)*Impacts!$F$9),0)</f>
        <v>0</v>
      </c>
      <c r="N1887" s="10">
        <f>IF(Tank3!$C$23="No control",(SUMIF(Tank3!$B$32:$B$49,$J1887,Tank3!$C$32:$C$49)*Impacts!$F$10),0)</f>
        <v>0</v>
      </c>
      <c r="O1887" s="10">
        <f>IF(Tank4!$C$23="No control",(SUMIF(Tank4!$B$32:$B$49,$J1887,Tank4!$C$32:$C$49)*Impacts!$F$11),0)</f>
        <v>0</v>
      </c>
      <c r="P1887" s="10">
        <f>IF(Tank5!$C$23="No control",(SUMIF(Tank5!$B$32:$B$49,$J1887,Tank5!$C$32:$C$49)*Impacts!$F$12),0)</f>
        <v>0</v>
      </c>
      <c r="Q1887" s="10">
        <f>IFERROR(IF(('Loading-drum,tote'!$C$21)="No control",SUMIF(('Loading-drum,tote'!$B$31:$B$48),$J1887,('Loading-drum,tote'!$D$31:$D$48))*Impacts!$F$13,IF(('Loading-drum,tote'!$C$21)&lt;&gt;"No control",SUMIF(('Loading-drum,tote'!$B$31:$B$48),$J1887,('Loading-drum,tote'!$E$31:$E$48))*Impacts!$F$13,0)),0)</f>
        <v>0</v>
      </c>
      <c r="R1887" s="10">
        <f>IFERROR(IF(('Loading-truck'!$C$21)="No control",SUMIF(('Loading-truck'!$B$31:$B$48),$J1887,('Loading-truck'!$D$31:$D$48))*Impacts!$F$14,IF(('Loading-truck'!$C$21)&lt;&gt;"No control",SUMIF(('Loading-truck'!$B$31:$B$48),$J1887,('Loading-truck'!$E$31:$E$48))*Impacts!$F$14,0)),0)</f>
        <v>0</v>
      </c>
      <c r="S1887" s="10">
        <f>IFERROR(IF(('Loading-rail'!$C$21)="No control",SUMIF(('Loading-rail'!$B$31:$B$48),$J1887,('Loading-rail'!$D$31:$D$48))*Impacts!$F$15,IF(('Loading-rail'!$C$21)&lt;&gt;"No control",SUMIF(('Loading-rail'!$B$31:$B$48),$J1887,('Loading-rail'!$E$31:$E$48))*Impacts!$F$15,0)),0)</f>
        <v>0</v>
      </c>
      <c r="T1887" s="10">
        <f>IF(Flare!$C$7="",0,(SUMIF(Flare!$B$46:$B$185,$J1887,Flare!$E$46:$E$185)*Impacts!$F$16))</f>
        <v>0</v>
      </c>
      <c r="U1887" s="10">
        <f>IF(VCU!$C$9="",0,(SUMIF(VCU!$B$51:$B$193,$J1887,VCU!$E$51:$E$193)*Impacts!$F$17))</f>
        <v>0</v>
      </c>
      <c r="V1887" s="10">
        <f>IF(CAS!$C$7="",0,(SUMIF(CAS!$B$31:$B$167,$J1887,CAS!$E$31:$E$167)*Impacts!$F$18))</f>
        <v>0</v>
      </c>
      <c r="W1887" s="10">
        <f t="shared" si="70"/>
        <v>0</v>
      </c>
      <c r="AK1887" s="10" t="str">
        <f t="array" ref="AK1887">IFERROR(INDEX(SelectedSpecies,SMALL(IF(SelectedSpecies=AK$1,ROW(SelectedSpecies)),ROW(1888:1888)),2),"")</f>
        <v/>
      </c>
      <c r="BE1887" s="10"/>
      <c r="BI1887" s="10"/>
    </row>
    <row r="1888" spans="1:61" ht="21" customHeight="1" x14ac:dyDescent="0.25">
      <c r="A1888" s="10"/>
      <c r="B1888" s="10"/>
      <c r="E1888" s="10"/>
      <c r="G1888" s="10"/>
      <c r="I1888" s="436" t="s">
        <v>4291</v>
      </c>
      <c r="J1888" s="26" t="s">
        <v>4290</v>
      </c>
      <c r="K1888" s="10">
        <v>5</v>
      </c>
      <c r="L1888" s="73">
        <f>IF(Tank1!$C$23="No control",(SUMIF(Tank1!$B$32:$B$49,$J1888,Tank1!$C$32:$C$49)*Impacts!$F$8),0)</f>
        <v>0</v>
      </c>
      <c r="M1888" s="10">
        <f>IF(Tank2!$C$23="No control",(SUMIF(Tank2!$B$32:$B$49,$J1888,Tank2!$C$32:$C$49)*Impacts!$F$9),0)</f>
        <v>0</v>
      </c>
      <c r="N1888" s="10">
        <f>IF(Tank3!$C$23="No control",(SUMIF(Tank3!$B$32:$B$49,$J1888,Tank3!$C$32:$C$49)*Impacts!$F$10),0)</f>
        <v>0</v>
      </c>
      <c r="O1888" s="10">
        <f>IF(Tank4!$C$23="No control",(SUMIF(Tank4!$B$32:$B$49,$J1888,Tank4!$C$32:$C$49)*Impacts!$F$11),0)</f>
        <v>0</v>
      </c>
      <c r="P1888" s="10">
        <f>IF(Tank5!$C$23="No control",(SUMIF(Tank5!$B$32:$B$49,$J1888,Tank5!$C$32:$C$49)*Impacts!$F$12),0)</f>
        <v>0</v>
      </c>
      <c r="Q1888" s="10">
        <f>IFERROR(IF(('Loading-drum,tote'!$C$21)="No control",SUMIF(('Loading-drum,tote'!$B$31:$B$48),$J1888,('Loading-drum,tote'!$D$31:$D$48))*Impacts!$F$13,IF(('Loading-drum,tote'!$C$21)&lt;&gt;"No control",SUMIF(('Loading-drum,tote'!$B$31:$B$48),$J1888,('Loading-drum,tote'!$E$31:$E$48))*Impacts!$F$13,0)),0)</f>
        <v>0</v>
      </c>
      <c r="R1888" s="10">
        <f>IFERROR(IF(('Loading-truck'!$C$21)="No control",SUMIF(('Loading-truck'!$B$31:$B$48),$J1888,('Loading-truck'!$D$31:$D$48))*Impacts!$F$14,IF(('Loading-truck'!$C$21)&lt;&gt;"No control",SUMIF(('Loading-truck'!$B$31:$B$48),$J1888,('Loading-truck'!$E$31:$E$48))*Impacts!$F$14,0)),0)</f>
        <v>0</v>
      </c>
      <c r="S1888" s="10">
        <f>IFERROR(IF(('Loading-rail'!$C$21)="No control",SUMIF(('Loading-rail'!$B$31:$B$48),$J1888,('Loading-rail'!$D$31:$D$48))*Impacts!$F$15,IF(('Loading-rail'!$C$21)&lt;&gt;"No control",SUMIF(('Loading-rail'!$B$31:$B$48),$J1888,('Loading-rail'!$E$31:$E$48))*Impacts!$F$15,0)),0)</f>
        <v>0</v>
      </c>
      <c r="T1888" s="10">
        <f>IF(Flare!$C$7="",0,(SUMIF(Flare!$B$46:$B$185,$J1888,Flare!$E$46:$E$185)*Impacts!$F$16))</f>
        <v>0</v>
      </c>
      <c r="U1888" s="10">
        <f>IF(VCU!$C$9="",0,(SUMIF(VCU!$B$51:$B$193,$J1888,VCU!$E$51:$E$193)*Impacts!$F$17))</f>
        <v>0</v>
      </c>
      <c r="V1888" s="10">
        <f>IF(CAS!$C$7="",0,(SUMIF(CAS!$B$31:$B$167,$J1888,CAS!$E$31:$E$167)*Impacts!$F$18))</f>
        <v>0</v>
      </c>
      <c r="W1888" s="10">
        <f t="shared" si="70"/>
        <v>0</v>
      </c>
      <c r="AK1888" s="10" t="str">
        <f t="array" ref="AK1888">IFERROR(INDEX(SelectedSpecies,SMALL(IF(SelectedSpecies=AK$1,ROW(SelectedSpecies)),ROW(1889:1889)),2),"")</f>
        <v/>
      </c>
      <c r="BE1888" s="10"/>
      <c r="BI1888" s="10"/>
    </row>
    <row r="1889" spans="1:61" ht="21" customHeight="1" x14ac:dyDescent="0.25">
      <c r="A1889" s="10"/>
      <c r="B1889" s="10"/>
      <c r="E1889" s="10"/>
      <c r="G1889" s="10"/>
      <c r="I1889" s="436" t="s">
        <v>5928</v>
      </c>
      <c r="J1889" s="26" t="s">
        <v>5927</v>
      </c>
      <c r="K1889" s="10">
        <v>1</v>
      </c>
      <c r="L1889" s="73">
        <f>IF(Tank1!$C$23="No control",(SUMIF(Tank1!$B$32:$B$49,$J1889,Tank1!$C$32:$C$49)*Impacts!$F$8),0)</f>
        <v>0</v>
      </c>
      <c r="M1889" s="10">
        <f>IF(Tank2!$C$23="No control",(SUMIF(Tank2!$B$32:$B$49,$J1889,Tank2!$C$32:$C$49)*Impacts!$F$9),0)</f>
        <v>0</v>
      </c>
      <c r="N1889" s="10">
        <f>IF(Tank3!$C$23="No control",(SUMIF(Tank3!$B$32:$B$49,$J1889,Tank3!$C$32:$C$49)*Impacts!$F$10),0)</f>
        <v>0</v>
      </c>
      <c r="O1889" s="10">
        <f>IF(Tank4!$C$23="No control",(SUMIF(Tank4!$B$32:$B$49,$J1889,Tank4!$C$32:$C$49)*Impacts!$F$11),0)</f>
        <v>0</v>
      </c>
      <c r="P1889" s="10">
        <f>IF(Tank5!$C$23="No control",(SUMIF(Tank5!$B$32:$B$49,$J1889,Tank5!$C$32:$C$49)*Impacts!$F$12),0)</f>
        <v>0</v>
      </c>
      <c r="Q1889" s="10">
        <f>IFERROR(IF(('Loading-drum,tote'!$C$21)="No control",SUMIF(('Loading-drum,tote'!$B$31:$B$48),$J1889,('Loading-drum,tote'!$D$31:$D$48))*Impacts!$F$13,IF(('Loading-drum,tote'!$C$21)&lt;&gt;"No control",SUMIF(('Loading-drum,tote'!$B$31:$B$48),$J1889,('Loading-drum,tote'!$E$31:$E$48))*Impacts!$F$13,0)),0)</f>
        <v>0</v>
      </c>
      <c r="R1889" s="10">
        <f>IFERROR(IF(('Loading-truck'!$C$21)="No control",SUMIF(('Loading-truck'!$B$31:$B$48),$J1889,('Loading-truck'!$D$31:$D$48))*Impacts!$F$14,IF(('Loading-truck'!$C$21)&lt;&gt;"No control",SUMIF(('Loading-truck'!$B$31:$B$48),$J1889,('Loading-truck'!$E$31:$E$48))*Impacts!$F$14,0)),0)</f>
        <v>0</v>
      </c>
      <c r="S1889" s="10">
        <f>IFERROR(IF(('Loading-rail'!$C$21)="No control",SUMIF(('Loading-rail'!$B$31:$B$48),$J1889,('Loading-rail'!$D$31:$D$48))*Impacts!$F$15,IF(('Loading-rail'!$C$21)&lt;&gt;"No control",SUMIF(('Loading-rail'!$B$31:$B$48),$J1889,('Loading-rail'!$E$31:$E$48))*Impacts!$F$15,0)),0)</f>
        <v>0</v>
      </c>
      <c r="T1889" s="10">
        <f>IF(Flare!$C$7="",0,(SUMIF(Flare!$B$46:$B$185,$J1889,Flare!$E$46:$E$185)*Impacts!$F$16))</f>
        <v>0</v>
      </c>
      <c r="U1889" s="10">
        <f>IF(VCU!$C$9="",0,(SUMIF(VCU!$B$51:$B$193,$J1889,VCU!$E$51:$E$193)*Impacts!$F$17))</f>
        <v>0</v>
      </c>
      <c r="V1889" s="10">
        <f>IF(CAS!$C$7="",0,(SUMIF(CAS!$B$31:$B$167,$J1889,CAS!$E$31:$E$167)*Impacts!$F$18))</f>
        <v>0</v>
      </c>
      <c r="W1889" s="10">
        <f t="shared" si="70"/>
        <v>0</v>
      </c>
      <c r="AK1889" s="10" t="str">
        <f t="array" ref="AK1889">IFERROR(INDEX(SelectedSpecies,SMALL(IF(SelectedSpecies=AK$1,ROW(SelectedSpecies)),ROW(1890:1890)),2),"")</f>
        <v/>
      </c>
      <c r="BE1889" s="10"/>
      <c r="BI1889" s="10"/>
    </row>
    <row r="1890" spans="1:61" ht="21" customHeight="1" x14ac:dyDescent="0.25">
      <c r="A1890" s="10"/>
      <c r="B1890" s="10"/>
      <c r="E1890" s="10"/>
      <c r="G1890" s="10"/>
      <c r="I1890" s="436" t="s">
        <v>1546</v>
      </c>
      <c r="J1890" s="26" t="s">
        <v>1545</v>
      </c>
      <c r="K1890" s="10">
        <v>27</v>
      </c>
      <c r="L1890" s="73">
        <f>IF(Tank1!$C$23="No control",(SUMIF(Tank1!$B$32:$B$49,$J1890,Tank1!$C$32:$C$49)*Impacts!$F$8),0)</f>
        <v>0</v>
      </c>
      <c r="M1890" s="10">
        <f>IF(Tank2!$C$23="No control",(SUMIF(Tank2!$B$32:$B$49,$J1890,Tank2!$C$32:$C$49)*Impacts!$F$9),0)</f>
        <v>0</v>
      </c>
      <c r="N1890" s="10">
        <f>IF(Tank3!$C$23="No control",(SUMIF(Tank3!$B$32:$B$49,$J1890,Tank3!$C$32:$C$49)*Impacts!$F$10),0)</f>
        <v>0</v>
      </c>
      <c r="O1890" s="10">
        <f>IF(Tank4!$C$23="No control",(SUMIF(Tank4!$B$32:$B$49,$J1890,Tank4!$C$32:$C$49)*Impacts!$F$11),0)</f>
        <v>0</v>
      </c>
      <c r="P1890" s="10">
        <f>IF(Tank5!$C$23="No control",(SUMIF(Tank5!$B$32:$B$49,$J1890,Tank5!$C$32:$C$49)*Impacts!$F$12),0)</f>
        <v>0</v>
      </c>
      <c r="Q1890" s="10">
        <f>IFERROR(IF(('Loading-drum,tote'!$C$21)="No control",SUMIF(('Loading-drum,tote'!$B$31:$B$48),$J1890,('Loading-drum,tote'!$D$31:$D$48))*Impacts!$F$13,IF(('Loading-drum,tote'!$C$21)&lt;&gt;"No control",SUMIF(('Loading-drum,tote'!$B$31:$B$48),$J1890,('Loading-drum,tote'!$E$31:$E$48))*Impacts!$F$13,0)),0)</f>
        <v>0</v>
      </c>
      <c r="R1890" s="10">
        <f>IFERROR(IF(('Loading-truck'!$C$21)="No control",SUMIF(('Loading-truck'!$B$31:$B$48),$J1890,('Loading-truck'!$D$31:$D$48))*Impacts!$F$14,IF(('Loading-truck'!$C$21)&lt;&gt;"No control",SUMIF(('Loading-truck'!$B$31:$B$48),$J1890,('Loading-truck'!$E$31:$E$48))*Impacts!$F$14,0)),0)</f>
        <v>0</v>
      </c>
      <c r="S1890" s="10">
        <f>IFERROR(IF(('Loading-rail'!$C$21)="No control",SUMIF(('Loading-rail'!$B$31:$B$48),$J1890,('Loading-rail'!$D$31:$D$48))*Impacts!$F$15,IF(('Loading-rail'!$C$21)&lt;&gt;"No control",SUMIF(('Loading-rail'!$B$31:$B$48),$J1890,('Loading-rail'!$E$31:$E$48))*Impacts!$F$15,0)),0)</f>
        <v>0</v>
      </c>
      <c r="T1890" s="10">
        <f>IF(Flare!$C$7="",0,(SUMIF(Flare!$B$46:$B$185,$J1890,Flare!$E$46:$E$185)*Impacts!$F$16))</f>
        <v>0</v>
      </c>
      <c r="U1890" s="10">
        <f>IF(VCU!$C$9="",0,(SUMIF(VCU!$B$51:$B$193,$J1890,VCU!$E$51:$E$193)*Impacts!$F$17))</f>
        <v>0</v>
      </c>
      <c r="V1890" s="10">
        <f>IF(CAS!$C$7="",0,(SUMIF(CAS!$B$31:$B$167,$J1890,CAS!$E$31:$E$167)*Impacts!$F$18))</f>
        <v>0</v>
      </c>
      <c r="W1890" s="10">
        <f t="shared" si="70"/>
        <v>0</v>
      </c>
      <c r="AK1890" s="10" t="str">
        <f t="array" ref="AK1890">IFERROR(INDEX(SelectedSpecies,SMALL(IF(SelectedSpecies=AK$1,ROW(SelectedSpecies)),ROW(1891:1891)),2),"")</f>
        <v/>
      </c>
      <c r="BE1890" s="10"/>
      <c r="BI1890" s="10"/>
    </row>
    <row r="1891" spans="1:61" ht="21" customHeight="1" x14ac:dyDescent="0.25">
      <c r="A1891" s="10"/>
      <c r="B1891" s="10"/>
      <c r="E1891" s="10"/>
      <c r="G1891" s="10"/>
      <c r="I1891" s="436" t="s">
        <v>7818</v>
      </c>
      <c r="J1891" s="26" t="s">
        <v>7817</v>
      </c>
      <c r="K1891" s="10">
        <v>8.0000000000000016E-2</v>
      </c>
      <c r="L1891" s="73">
        <f>IF(Tank1!$C$23="No control",(SUMIF(Tank1!$B$32:$B$49,$J1891,Tank1!$C$32:$C$49)*Impacts!$F$8),0)</f>
        <v>0</v>
      </c>
      <c r="M1891" s="10">
        <f>IF(Tank2!$C$23="No control",(SUMIF(Tank2!$B$32:$B$49,$J1891,Tank2!$C$32:$C$49)*Impacts!$F$9),0)</f>
        <v>0</v>
      </c>
      <c r="N1891" s="10">
        <f>IF(Tank3!$C$23="No control",(SUMIF(Tank3!$B$32:$B$49,$J1891,Tank3!$C$32:$C$49)*Impacts!$F$10),0)</f>
        <v>0</v>
      </c>
      <c r="O1891" s="10">
        <f>IF(Tank4!$C$23="No control",(SUMIF(Tank4!$B$32:$B$49,$J1891,Tank4!$C$32:$C$49)*Impacts!$F$11),0)</f>
        <v>0</v>
      </c>
      <c r="P1891" s="10">
        <f>IF(Tank5!$C$23="No control",(SUMIF(Tank5!$B$32:$B$49,$J1891,Tank5!$C$32:$C$49)*Impacts!$F$12),0)</f>
        <v>0</v>
      </c>
      <c r="Q1891" s="10">
        <f>IFERROR(IF(('Loading-drum,tote'!$C$21)="No control",SUMIF(('Loading-drum,tote'!$B$31:$B$48),$J1891,('Loading-drum,tote'!$D$31:$D$48))*Impacts!$F$13,IF(('Loading-drum,tote'!$C$21)&lt;&gt;"No control",SUMIF(('Loading-drum,tote'!$B$31:$B$48),$J1891,('Loading-drum,tote'!$E$31:$E$48))*Impacts!$F$13,0)),0)</f>
        <v>0</v>
      </c>
      <c r="R1891" s="10">
        <f>IFERROR(IF(('Loading-truck'!$C$21)="No control",SUMIF(('Loading-truck'!$B$31:$B$48),$J1891,('Loading-truck'!$D$31:$D$48))*Impacts!$F$14,IF(('Loading-truck'!$C$21)&lt;&gt;"No control",SUMIF(('Loading-truck'!$B$31:$B$48),$J1891,('Loading-truck'!$E$31:$E$48))*Impacts!$F$14,0)),0)</f>
        <v>0</v>
      </c>
      <c r="S1891" s="10">
        <f>IFERROR(IF(('Loading-rail'!$C$21)="No control",SUMIF(('Loading-rail'!$B$31:$B$48),$J1891,('Loading-rail'!$D$31:$D$48))*Impacts!$F$15,IF(('Loading-rail'!$C$21)&lt;&gt;"No control",SUMIF(('Loading-rail'!$B$31:$B$48),$J1891,('Loading-rail'!$E$31:$E$48))*Impacts!$F$15,0)),0)</f>
        <v>0</v>
      </c>
      <c r="T1891" s="10">
        <f>IF(Flare!$C$7="",0,(SUMIF(Flare!$B$46:$B$185,$J1891,Flare!$E$46:$E$185)*Impacts!$F$16))</f>
        <v>0</v>
      </c>
      <c r="U1891" s="10">
        <f>IF(VCU!$C$9="",0,(SUMIF(VCU!$B$51:$B$193,$J1891,VCU!$E$51:$E$193)*Impacts!$F$17))</f>
        <v>0</v>
      </c>
      <c r="V1891" s="10">
        <f>IF(CAS!$C$7="",0,(SUMIF(CAS!$B$31:$B$167,$J1891,CAS!$E$31:$E$167)*Impacts!$F$18))</f>
        <v>0</v>
      </c>
      <c r="W1891" s="10">
        <f t="shared" si="70"/>
        <v>0</v>
      </c>
      <c r="AK1891" s="10" t="str">
        <f t="array" ref="AK1891">IFERROR(INDEX(SelectedSpecies,SMALL(IF(SelectedSpecies=AK$1,ROW(SelectedSpecies)),ROW(1892:1892)),2),"")</f>
        <v/>
      </c>
      <c r="BE1891" s="10"/>
      <c r="BI1891" s="10"/>
    </row>
    <row r="1892" spans="1:61" ht="21" customHeight="1" x14ac:dyDescent="0.25">
      <c r="A1892" s="10"/>
      <c r="B1892" s="10"/>
      <c r="E1892" s="10"/>
      <c r="G1892" s="10"/>
      <c r="I1892" s="436" t="s">
        <v>5930</v>
      </c>
      <c r="J1892" s="26" t="s">
        <v>5929</v>
      </c>
      <c r="K1892" s="10">
        <v>1</v>
      </c>
      <c r="L1892" s="73">
        <f>IF(Tank1!$C$23="No control",(SUMIF(Tank1!$B$32:$B$49,$J1892,Tank1!$C$32:$C$49)*Impacts!$F$8),0)</f>
        <v>0</v>
      </c>
      <c r="M1892" s="10">
        <f>IF(Tank2!$C$23="No control",(SUMIF(Tank2!$B$32:$B$49,$J1892,Tank2!$C$32:$C$49)*Impacts!$F$9),0)</f>
        <v>0</v>
      </c>
      <c r="N1892" s="10">
        <f>IF(Tank3!$C$23="No control",(SUMIF(Tank3!$B$32:$B$49,$J1892,Tank3!$C$32:$C$49)*Impacts!$F$10),0)</f>
        <v>0</v>
      </c>
      <c r="O1892" s="10">
        <f>IF(Tank4!$C$23="No control",(SUMIF(Tank4!$B$32:$B$49,$J1892,Tank4!$C$32:$C$49)*Impacts!$F$11),0)</f>
        <v>0</v>
      </c>
      <c r="P1892" s="10">
        <f>IF(Tank5!$C$23="No control",(SUMIF(Tank5!$B$32:$B$49,$J1892,Tank5!$C$32:$C$49)*Impacts!$F$12),0)</f>
        <v>0</v>
      </c>
      <c r="Q1892" s="10">
        <f>IFERROR(IF(('Loading-drum,tote'!$C$21)="No control",SUMIF(('Loading-drum,tote'!$B$31:$B$48),$J1892,('Loading-drum,tote'!$D$31:$D$48))*Impacts!$F$13,IF(('Loading-drum,tote'!$C$21)&lt;&gt;"No control",SUMIF(('Loading-drum,tote'!$B$31:$B$48),$J1892,('Loading-drum,tote'!$E$31:$E$48))*Impacts!$F$13,0)),0)</f>
        <v>0</v>
      </c>
      <c r="R1892" s="10">
        <f>IFERROR(IF(('Loading-truck'!$C$21)="No control",SUMIF(('Loading-truck'!$B$31:$B$48),$J1892,('Loading-truck'!$D$31:$D$48))*Impacts!$F$14,IF(('Loading-truck'!$C$21)&lt;&gt;"No control",SUMIF(('Loading-truck'!$B$31:$B$48),$J1892,('Loading-truck'!$E$31:$E$48))*Impacts!$F$14,0)),0)</f>
        <v>0</v>
      </c>
      <c r="S1892" s="10">
        <f>IFERROR(IF(('Loading-rail'!$C$21)="No control",SUMIF(('Loading-rail'!$B$31:$B$48),$J1892,('Loading-rail'!$D$31:$D$48))*Impacts!$F$15,IF(('Loading-rail'!$C$21)&lt;&gt;"No control",SUMIF(('Loading-rail'!$B$31:$B$48),$J1892,('Loading-rail'!$E$31:$E$48))*Impacts!$F$15,0)),0)</f>
        <v>0</v>
      </c>
      <c r="T1892" s="10">
        <f>IF(Flare!$C$7="",0,(SUMIF(Flare!$B$46:$B$185,$J1892,Flare!$E$46:$E$185)*Impacts!$F$16))</f>
        <v>0</v>
      </c>
      <c r="U1892" s="10">
        <f>IF(VCU!$C$9="",0,(SUMIF(VCU!$B$51:$B$193,$J1892,VCU!$E$51:$E$193)*Impacts!$F$17))</f>
        <v>0</v>
      </c>
      <c r="V1892" s="10">
        <f>IF(CAS!$C$7="",0,(SUMIF(CAS!$B$31:$B$167,$J1892,CAS!$E$31:$E$167)*Impacts!$F$18))</f>
        <v>0</v>
      </c>
      <c r="W1892" s="10">
        <f t="shared" si="70"/>
        <v>0</v>
      </c>
      <c r="AK1892" s="10" t="str">
        <f t="array" ref="AK1892">IFERROR(INDEX(SelectedSpecies,SMALL(IF(SelectedSpecies=AK$1,ROW(SelectedSpecies)),ROW(1893:1893)),2),"")</f>
        <v/>
      </c>
      <c r="BE1892" s="10"/>
      <c r="BI1892" s="10"/>
    </row>
    <row r="1893" spans="1:61" ht="21" customHeight="1" x14ac:dyDescent="0.25">
      <c r="A1893" s="10"/>
      <c r="B1893" s="10"/>
      <c r="E1893" s="10"/>
      <c r="G1893" s="10"/>
      <c r="I1893" s="436" t="s">
        <v>2489</v>
      </c>
      <c r="J1893" s="26" t="s">
        <v>2488</v>
      </c>
      <c r="K1893" s="10">
        <v>10</v>
      </c>
      <c r="L1893" s="73">
        <f>IF(Tank1!$C$23="No control",(SUMIF(Tank1!$B$32:$B$49,$J1893,Tank1!$C$32:$C$49)*Impacts!$F$8),0)</f>
        <v>0</v>
      </c>
      <c r="M1893" s="10">
        <f>IF(Tank2!$C$23="No control",(SUMIF(Tank2!$B$32:$B$49,$J1893,Tank2!$C$32:$C$49)*Impacts!$F$9),0)</f>
        <v>0</v>
      </c>
      <c r="N1893" s="10">
        <f>IF(Tank3!$C$23="No control",(SUMIF(Tank3!$B$32:$B$49,$J1893,Tank3!$C$32:$C$49)*Impacts!$F$10),0)</f>
        <v>0</v>
      </c>
      <c r="O1893" s="10">
        <f>IF(Tank4!$C$23="No control",(SUMIF(Tank4!$B$32:$B$49,$J1893,Tank4!$C$32:$C$49)*Impacts!$F$11),0)</f>
        <v>0</v>
      </c>
      <c r="P1893" s="10">
        <f>IF(Tank5!$C$23="No control",(SUMIF(Tank5!$B$32:$B$49,$J1893,Tank5!$C$32:$C$49)*Impacts!$F$12),0)</f>
        <v>0</v>
      </c>
      <c r="Q1893" s="10">
        <f>IFERROR(IF(('Loading-drum,tote'!$C$21)="No control",SUMIF(('Loading-drum,tote'!$B$31:$B$48),$J1893,('Loading-drum,tote'!$D$31:$D$48))*Impacts!$F$13,IF(('Loading-drum,tote'!$C$21)&lt;&gt;"No control",SUMIF(('Loading-drum,tote'!$B$31:$B$48),$J1893,('Loading-drum,tote'!$E$31:$E$48))*Impacts!$F$13,0)),0)</f>
        <v>0</v>
      </c>
      <c r="R1893" s="10">
        <f>IFERROR(IF(('Loading-truck'!$C$21)="No control",SUMIF(('Loading-truck'!$B$31:$B$48),$J1893,('Loading-truck'!$D$31:$D$48))*Impacts!$F$14,IF(('Loading-truck'!$C$21)&lt;&gt;"No control",SUMIF(('Loading-truck'!$B$31:$B$48),$J1893,('Loading-truck'!$E$31:$E$48))*Impacts!$F$14,0)),0)</f>
        <v>0</v>
      </c>
      <c r="S1893" s="10">
        <f>IFERROR(IF(('Loading-rail'!$C$21)="No control",SUMIF(('Loading-rail'!$B$31:$B$48),$J1893,('Loading-rail'!$D$31:$D$48))*Impacts!$F$15,IF(('Loading-rail'!$C$21)&lt;&gt;"No control",SUMIF(('Loading-rail'!$B$31:$B$48),$J1893,('Loading-rail'!$E$31:$E$48))*Impacts!$F$15,0)),0)</f>
        <v>0</v>
      </c>
      <c r="T1893" s="10">
        <f>IF(Flare!$C$7="",0,(SUMIF(Flare!$B$46:$B$185,$J1893,Flare!$E$46:$E$185)*Impacts!$F$16))</f>
        <v>0</v>
      </c>
      <c r="U1893" s="10">
        <f>IF(VCU!$C$9="",0,(SUMIF(VCU!$B$51:$B$193,$J1893,VCU!$E$51:$E$193)*Impacts!$F$17))</f>
        <v>0</v>
      </c>
      <c r="V1893" s="10">
        <f>IF(CAS!$C$7="",0,(SUMIF(CAS!$B$31:$B$167,$J1893,CAS!$E$31:$E$167)*Impacts!$F$18))</f>
        <v>0</v>
      </c>
      <c r="W1893" s="10">
        <f t="shared" si="70"/>
        <v>0</v>
      </c>
      <c r="AK1893" s="10" t="str">
        <f t="array" ref="AK1893">IFERROR(INDEX(SelectedSpecies,SMALL(IF(SelectedSpecies=AK$1,ROW(SelectedSpecies)),ROW(1894:1894)),2),"")</f>
        <v/>
      </c>
      <c r="BE1893" s="10"/>
      <c r="BI1893" s="10"/>
    </row>
    <row r="1894" spans="1:61" ht="21" customHeight="1" x14ac:dyDescent="0.25">
      <c r="A1894" s="10"/>
      <c r="B1894" s="10"/>
      <c r="E1894" s="10"/>
      <c r="G1894" s="10"/>
      <c r="I1894" s="436" t="s">
        <v>6848</v>
      </c>
      <c r="J1894" s="26" t="s">
        <v>6847</v>
      </c>
      <c r="K1894" s="10">
        <v>0.5</v>
      </c>
      <c r="L1894" s="73">
        <f>IF(Tank1!$C$23="No control",(SUMIF(Tank1!$B$32:$B$49,$J1894,Tank1!$C$32:$C$49)*Impacts!$F$8),0)</f>
        <v>0</v>
      </c>
      <c r="M1894" s="10">
        <f>IF(Tank2!$C$23="No control",(SUMIF(Tank2!$B$32:$B$49,$J1894,Tank2!$C$32:$C$49)*Impacts!$F$9),0)</f>
        <v>0</v>
      </c>
      <c r="N1894" s="10">
        <f>IF(Tank3!$C$23="No control",(SUMIF(Tank3!$B$32:$B$49,$J1894,Tank3!$C$32:$C$49)*Impacts!$F$10),0)</f>
        <v>0</v>
      </c>
      <c r="O1894" s="10">
        <f>IF(Tank4!$C$23="No control",(SUMIF(Tank4!$B$32:$B$49,$J1894,Tank4!$C$32:$C$49)*Impacts!$F$11),0)</f>
        <v>0</v>
      </c>
      <c r="P1894" s="10">
        <f>IF(Tank5!$C$23="No control",(SUMIF(Tank5!$B$32:$B$49,$J1894,Tank5!$C$32:$C$49)*Impacts!$F$12),0)</f>
        <v>0</v>
      </c>
      <c r="Q1894" s="10">
        <f>IFERROR(IF(('Loading-drum,tote'!$C$21)="No control",SUMIF(('Loading-drum,tote'!$B$31:$B$48),$J1894,('Loading-drum,tote'!$D$31:$D$48))*Impacts!$F$13,IF(('Loading-drum,tote'!$C$21)&lt;&gt;"No control",SUMIF(('Loading-drum,tote'!$B$31:$B$48),$J1894,('Loading-drum,tote'!$E$31:$E$48))*Impacts!$F$13,0)),0)</f>
        <v>0</v>
      </c>
      <c r="R1894" s="10">
        <f>IFERROR(IF(('Loading-truck'!$C$21)="No control",SUMIF(('Loading-truck'!$B$31:$B$48),$J1894,('Loading-truck'!$D$31:$D$48))*Impacts!$F$14,IF(('Loading-truck'!$C$21)&lt;&gt;"No control",SUMIF(('Loading-truck'!$B$31:$B$48),$J1894,('Loading-truck'!$E$31:$E$48))*Impacts!$F$14,0)),0)</f>
        <v>0</v>
      </c>
      <c r="S1894" s="10">
        <f>IFERROR(IF(('Loading-rail'!$C$21)="No control",SUMIF(('Loading-rail'!$B$31:$B$48),$J1894,('Loading-rail'!$D$31:$D$48))*Impacts!$F$15,IF(('Loading-rail'!$C$21)&lt;&gt;"No control",SUMIF(('Loading-rail'!$B$31:$B$48),$J1894,('Loading-rail'!$E$31:$E$48))*Impacts!$F$15,0)),0)</f>
        <v>0</v>
      </c>
      <c r="T1894" s="10">
        <f>IF(Flare!$C$7="",0,(SUMIF(Flare!$B$46:$B$185,$J1894,Flare!$E$46:$E$185)*Impacts!$F$16))</f>
        <v>0</v>
      </c>
      <c r="U1894" s="10">
        <f>IF(VCU!$C$9="",0,(SUMIF(VCU!$B$51:$B$193,$J1894,VCU!$E$51:$E$193)*Impacts!$F$17))</f>
        <v>0</v>
      </c>
      <c r="V1894" s="10">
        <f>IF(CAS!$C$7="",0,(SUMIF(CAS!$B$31:$B$167,$J1894,CAS!$E$31:$E$167)*Impacts!$F$18))</f>
        <v>0</v>
      </c>
      <c r="W1894" s="10">
        <f t="shared" si="70"/>
        <v>0</v>
      </c>
      <c r="AK1894" s="10" t="str">
        <f t="array" ref="AK1894">IFERROR(INDEX(SelectedSpecies,SMALL(IF(SelectedSpecies=AK$1,ROW(SelectedSpecies)),ROW(1895:1895)),2),"")</f>
        <v/>
      </c>
      <c r="BE1894" s="10"/>
      <c r="BI1894" s="10"/>
    </row>
    <row r="1895" spans="1:61" ht="21" customHeight="1" x14ac:dyDescent="0.25">
      <c r="A1895" s="10"/>
      <c r="B1895" s="10"/>
      <c r="E1895" s="10"/>
      <c r="G1895" s="10"/>
      <c r="I1895" s="436" t="s">
        <v>3957</v>
      </c>
      <c r="J1895" s="26" t="s">
        <v>3956</v>
      </c>
      <c r="K1895" s="10">
        <v>6</v>
      </c>
      <c r="L1895" s="73">
        <f>IF(Tank1!$C$23="No control",(SUMIF(Tank1!$B$32:$B$49,$J1895,Tank1!$C$32:$C$49)*Impacts!$F$8),0)</f>
        <v>0</v>
      </c>
      <c r="M1895" s="10">
        <f>IF(Tank2!$C$23="No control",(SUMIF(Tank2!$B$32:$B$49,$J1895,Tank2!$C$32:$C$49)*Impacts!$F$9),0)</f>
        <v>0</v>
      </c>
      <c r="N1895" s="10">
        <f>IF(Tank3!$C$23="No control",(SUMIF(Tank3!$B$32:$B$49,$J1895,Tank3!$C$32:$C$49)*Impacts!$F$10),0)</f>
        <v>0</v>
      </c>
      <c r="O1895" s="10">
        <f>IF(Tank4!$C$23="No control",(SUMIF(Tank4!$B$32:$B$49,$J1895,Tank4!$C$32:$C$49)*Impacts!$F$11),0)</f>
        <v>0</v>
      </c>
      <c r="P1895" s="10">
        <f>IF(Tank5!$C$23="No control",(SUMIF(Tank5!$B$32:$B$49,$J1895,Tank5!$C$32:$C$49)*Impacts!$F$12),0)</f>
        <v>0</v>
      </c>
      <c r="Q1895" s="10">
        <f>IFERROR(IF(('Loading-drum,tote'!$C$21)="No control",SUMIF(('Loading-drum,tote'!$B$31:$B$48),$J1895,('Loading-drum,tote'!$D$31:$D$48))*Impacts!$F$13,IF(('Loading-drum,tote'!$C$21)&lt;&gt;"No control",SUMIF(('Loading-drum,tote'!$B$31:$B$48),$J1895,('Loading-drum,tote'!$E$31:$E$48))*Impacts!$F$13,0)),0)</f>
        <v>0</v>
      </c>
      <c r="R1895" s="10">
        <f>IFERROR(IF(('Loading-truck'!$C$21)="No control",SUMIF(('Loading-truck'!$B$31:$B$48),$J1895,('Loading-truck'!$D$31:$D$48))*Impacts!$F$14,IF(('Loading-truck'!$C$21)&lt;&gt;"No control",SUMIF(('Loading-truck'!$B$31:$B$48),$J1895,('Loading-truck'!$E$31:$E$48))*Impacts!$F$14,0)),0)</f>
        <v>0</v>
      </c>
      <c r="S1895" s="10">
        <f>IFERROR(IF(('Loading-rail'!$C$21)="No control",SUMIF(('Loading-rail'!$B$31:$B$48),$J1895,('Loading-rail'!$D$31:$D$48))*Impacts!$F$15,IF(('Loading-rail'!$C$21)&lt;&gt;"No control",SUMIF(('Loading-rail'!$B$31:$B$48),$J1895,('Loading-rail'!$E$31:$E$48))*Impacts!$F$15,0)),0)</f>
        <v>0</v>
      </c>
      <c r="T1895" s="10">
        <f>IF(Flare!$C$7="",0,(SUMIF(Flare!$B$46:$B$185,$J1895,Flare!$E$46:$E$185)*Impacts!$F$16))</f>
        <v>0</v>
      </c>
      <c r="U1895" s="10">
        <f>IF(VCU!$C$9="",0,(SUMIF(VCU!$B$51:$B$193,$J1895,VCU!$E$51:$E$193)*Impacts!$F$17))</f>
        <v>0</v>
      </c>
      <c r="V1895" s="10">
        <f>IF(CAS!$C$7="",0,(SUMIF(CAS!$B$31:$B$167,$J1895,CAS!$E$31:$E$167)*Impacts!$F$18))</f>
        <v>0</v>
      </c>
      <c r="W1895" s="10">
        <f t="shared" si="70"/>
        <v>0</v>
      </c>
      <c r="AK1895" s="10" t="str">
        <f t="array" ref="AK1895">IFERROR(INDEX(SelectedSpecies,SMALL(IF(SelectedSpecies=AK$1,ROW(SelectedSpecies)),ROW(1896:1896)),2),"")</f>
        <v/>
      </c>
      <c r="BE1895" s="10"/>
      <c r="BI1895" s="10"/>
    </row>
    <row r="1896" spans="1:61" ht="21" customHeight="1" x14ac:dyDescent="0.25">
      <c r="A1896" s="10"/>
      <c r="B1896" s="10"/>
      <c r="E1896" s="10"/>
      <c r="G1896" s="10"/>
      <c r="I1896" s="436" t="s">
        <v>6394</v>
      </c>
      <c r="J1896" s="26" t="s">
        <v>6393</v>
      </c>
      <c r="K1896" s="10">
        <v>0.81</v>
      </c>
      <c r="L1896" s="73">
        <f>IF(Tank1!$C$23="No control",(SUMIF(Tank1!$B$32:$B$49,$J1896,Tank1!$C$32:$C$49)*Impacts!$F$8),0)</f>
        <v>0</v>
      </c>
      <c r="M1896" s="10">
        <f>IF(Tank2!$C$23="No control",(SUMIF(Tank2!$B$32:$B$49,$J1896,Tank2!$C$32:$C$49)*Impacts!$F$9),0)</f>
        <v>0</v>
      </c>
      <c r="N1896" s="10">
        <f>IF(Tank3!$C$23="No control",(SUMIF(Tank3!$B$32:$B$49,$J1896,Tank3!$C$32:$C$49)*Impacts!$F$10),0)</f>
        <v>0</v>
      </c>
      <c r="O1896" s="10">
        <f>IF(Tank4!$C$23="No control",(SUMIF(Tank4!$B$32:$B$49,$J1896,Tank4!$C$32:$C$49)*Impacts!$F$11),0)</f>
        <v>0</v>
      </c>
      <c r="P1896" s="10">
        <f>IF(Tank5!$C$23="No control",(SUMIF(Tank5!$B$32:$B$49,$J1896,Tank5!$C$32:$C$49)*Impacts!$F$12),0)</f>
        <v>0</v>
      </c>
      <c r="Q1896" s="10">
        <f>IFERROR(IF(('Loading-drum,tote'!$C$21)="No control",SUMIF(('Loading-drum,tote'!$B$31:$B$48),$J1896,('Loading-drum,tote'!$D$31:$D$48))*Impacts!$F$13,IF(('Loading-drum,tote'!$C$21)&lt;&gt;"No control",SUMIF(('Loading-drum,tote'!$B$31:$B$48),$J1896,('Loading-drum,tote'!$E$31:$E$48))*Impacts!$F$13,0)),0)</f>
        <v>0</v>
      </c>
      <c r="R1896" s="10">
        <f>IFERROR(IF(('Loading-truck'!$C$21)="No control",SUMIF(('Loading-truck'!$B$31:$B$48),$J1896,('Loading-truck'!$D$31:$D$48))*Impacts!$F$14,IF(('Loading-truck'!$C$21)&lt;&gt;"No control",SUMIF(('Loading-truck'!$B$31:$B$48),$J1896,('Loading-truck'!$E$31:$E$48))*Impacts!$F$14,0)),0)</f>
        <v>0</v>
      </c>
      <c r="S1896" s="10">
        <f>IFERROR(IF(('Loading-rail'!$C$21)="No control",SUMIF(('Loading-rail'!$B$31:$B$48),$J1896,('Loading-rail'!$D$31:$D$48))*Impacts!$F$15,IF(('Loading-rail'!$C$21)&lt;&gt;"No control",SUMIF(('Loading-rail'!$B$31:$B$48),$J1896,('Loading-rail'!$E$31:$E$48))*Impacts!$F$15,0)),0)</f>
        <v>0</v>
      </c>
      <c r="T1896" s="10">
        <f>IF(Flare!$C$7="",0,(SUMIF(Flare!$B$46:$B$185,$J1896,Flare!$E$46:$E$185)*Impacts!$F$16))</f>
        <v>0</v>
      </c>
      <c r="U1896" s="10">
        <f>IF(VCU!$C$9="",0,(SUMIF(VCU!$B$51:$B$193,$J1896,VCU!$E$51:$E$193)*Impacts!$F$17))</f>
        <v>0</v>
      </c>
      <c r="V1896" s="10">
        <f>IF(CAS!$C$7="",0,(SUMIF(CAS!$B$31:$B$167,$J1896,CAS!$E$31:$E$167)*Impacts!$F$18))</f>
        <v>0</v>
      </c>
      <c r="W1896" s="10">
        <f t="shared" si="70"/>
        <v>0</v>
      </c>
      <c r="AK1896" s="10" t="str">
        <f t="array" ref="AK1896">IFERROR(INDEX(SelectedSpecies,SMALL(IF(SelectedSpecies=AK$1,ROW(SelectedSpecies)),ROW(1897:1897)),2),"")</f>
        <v/>
      </c>
      <c r="BE1896" s="10"/>
      <c r="BI1896" s="10"/>
    </row>
    <row r="1897" spans="1:61" ht="21" customHeight="1" x14ac:dyDescent="0.25">
      <c r="A1897" s="10"/>
      <c r="B1897" s="10"/>
      <c r="E1897" s="10"/>
      <c r="G1897" s="10"/>
      <c r="I1897" s="436" t="s">
        <v>6394</v>
      </c>
      <c r="J1897" s="26" t="s">
        <v>10379</v>
      </c>
      <c r="K1897" s="10">
        <v>5.6999999999999995E-2</v>
      </c>
      <c r="L1897" s="73">
        <f>IF(Tank1!$C$23="No control",(SUMIF(Tank1!$B$32:$B$49,$J1897,Tank1!$C$32:$C$49)*Impacts!$F$8),0)</f>
        <v>0</v>
      </c>
      <c r="M1897" s="10">
        <f>IF(Tank2!$C$23="No control",(SUMIF(Tank2!$B$32:$B$49,$J1897,Tank2!$C$32:$C$49)*Impacts!$F$9),0)</f>
        <v>0</v>
      </c>
      <c r="N1897" s="10">
        <f>IF(Tank3!$C$23="No control",(SUMIF(Tank3!$B$32:$B$49,$J1897,Tank3!$C$32:$C$49)*Impacts!$F$10),0)</f>
        <v>0</v>
      </c>
      <c r="O1897" s="10">
        <f>IF(Tank4!$C$23="No control",(SUMIF(Tank4!$B$32:$B$49,$J1897,Tank4!$C$32:$C$49)*Impacts!$F$11),0)</f>
        <v>0</v>
      </c>
      <c r="P1897" s="10">
        <f>IF(Tank5!$C$23="No control",(SUMIF(Tank5!$B$32:$B$49,$J1897,Tank5!$C$32:$C$49)*Impacts!$F$12),0)</f>
        <v>0</v>
      </c>
      <c r="Q1897" s="10">
        <f>IFERROR(IF(('Loading-drum,tote'!$C$21)="No control",SUMIF(('Loading-drum,tote'!$B$31:$B$48),$J1897,('Loading-drum,tote'!$D$31:$D$48))*Impacts!$F$13,IF(('Loading-drum,tote'!$C$21)&lt;&gt;"No control",SUMIF(('Loading-drum,tote'!$B$31:$B$48),$J1897,('Loading-drum,tote'!$E$31:$E$48))*Impacts!$F$13,0)),0)</f>
        <v>0</v>
      </c>
      <c r="R1897" s="10">
        <f>IFERROR(IF(('Loading-truck'!$C$21)="No control",SUMIF(('Loading-truck'!$B$31:$B$48),$J1897,('Loading-truck'!$D$31:$D$48))*Impacts!$F$14,IF(('Loading-truck'!$C$21)&lt;&gt;"No control",SUMIF(('Loading-truck'!$B$31:$B$48),$J1897,('Loading-truck'!$E$31:$E$48))*Impacts!$F$14,0)),0)</f>
        <v>0</v>
      </c>
      <c r="S1897" s="10">
        <f>IFERROR(IF(('Loading-rail'!$C$21)="No control",SUMIF(('Loading-rail'!$B$31:$B$48),$J1897,('Loading-rail'!$D$31:$D$48))*Impacts!$F$15,IF(('Loading-rail'!$C$21)&lt;&gt;"No control",SUMIF(('Loading-rail'!$B$31:$B$48),$J1897,('Loading-rail'!$E$31:$E$48))*Impacts!$F$15,0)),0)</f>
        <v>0</v>
      </c>
      <c r="T1897" s="10">
        <f>IF(Flare!$C$7="",0,(SUMIF(Flare!$B$46:$B$185,$J1897,Flare!$E$46:$E$185)*Impacts!$F$16))</f>
        <v>0</v>
      </c>
      <c r="U1897" s="10">
        <f>IF(VCU!$C$9="",0,(SUMIF(VCU!$B$51:$B$193,$J1897,VCU!$E$51:$E$193)*Impacts!$F$17))</f>
        <v>0</v>
      </c>
      <c r="V1897" s="10">
        <f>IF(CAS!$C$7="",0,(SUMIF(CAS!$B$31:$B$167,$J1897,CAS!$E$31:$E$167)*Impacts!$F$18))</f>
        <v>0</v>
      </c>
      <c r="W1897" s="10">
        <f t="shared" si="70"/>
        <v>0</v>
      </c>
      <c r="AK1897" s="10" t="str">
        <f t="array" ref="AK1897">IFERROR(INDEX(SelectedSpecies,SMALL(IF(SelectedSpecies=AK$1,ROW(SelectedSpecies)),ROW(1898:1898)),2),"")</f>
        <v/>
      </c>
      <c r="BE1897" s="10"/>
      <c r="BI1897" s="10"/>
    </row>
    <row r="1898" spans="1:61" ht="21" customHeight="1" x14ac:dyDescent="0.25">
      <c r="A1898" s="10"/>
      <c r="B1898" s="10"/>
      <c r="E1898" s="10"/>
      <c r="G1898" s="10"/>
      <c r="I1898" s="436" t="s">
        <v>6394</v>
      </c>
      <c r="J1898" s="26" t="s">
        <v>10380</v>
      </c>
      <c r="K1898" s="10">
        <v>7.0999999999999994E-2</v>
      </c>
      <c r="L1898" s="73">
        <f>IF(Tank1!$C$23="No control",(SUMIF(Tank1!$B$32:$B$49,$J1898,Tank1!$C$32:$C$49)*Impacts!$F$8),0)</f>
        <v>0</v>
      </c>
      <c r="M1898" s="10">
        <f>IF(Tank2!$C$23="No control",(SUMIF(Tank2!$B$32:$B$49,$J1898,Tank2!$C$32:$C$49)*Impacts!$F$9),0)</f>
        <v>0</v>
      </c>
      <c r="N1898" s="10">
        <f>IF(Tank3!$C$23="No control",(SUMIF(Tank3!$B$32:$B$49,$J1898,Tank3!$C$32:$C$49)*Impacts!$F$10),0)</f>
        <v>0</v>
      </c>
      <c r="O1898" s="10">
        <f>IF(Tank4!$C$23="No control",(SUMIF(Tank4!$B$32:$B$49,$J1898,Tank4!$C$32:$C$49)*Impacts!$F$11),0)</f>
        <v>0</v>
      </c>
      <c r="P1898" s="10">
        <f>IF(Tank5!$C$23="No control",(SUMIF(Tank5!$B$32:$B$49,$J1898,Tank5!$C$32:$C$49)*Impacts!$F$12),0)</f>
        <v>0</v>
      </c>
      <c r="Q1898" s="10">
        <f>IFERROR(IF(('Loading-drum,tote'!$C$21)="No control",SUMIF(('Loading-drum,tote'!$B$31:$B$48),$J1898,('Loading-drum,tote'!$D$31:$D$48))*Impacts!$F$13,IF(('Loading-drum,tote'!$C$21)&lt;&gt;"No control",SUMIF(('Loading-drum,tote'!$B$31:$B$48),$J1898,('Loading-drum,tote'!$E$31:$E$48))*Impacts!$F$13,0)),0)</f>
        <v>0</v>
      </c>
      <c r="R1898" s="10">
        <f>IFERROR(IF(('Loading-truck'!$C$21)="No control",SUMIF(('Loading-truck'!$B$31:$B$48),$J1898,('Loading-truck'!$D$31:$D$48))*Impacts!$F$14,IF(('Loading-truck'!$C$21)&lt;&gt;"No control",SUMIF(('Loading-truck'!$B$31:$B$48),$J1898,('Loading-truck'!$E$31:$E$48))*Impacts!$F$14,0)),0)</f>
        <v>0</v>
      </c>
      <c r="S1898" s="10">
        <f>IFERROR(IF(('Loading-rail'!$C$21)="No control",SUMIF(('Loading-rail'!$B$31:$B$48),$J1898,('Loading-rail'!$D$31:$D$48))*Impacts!$F$15,IF(('Loading-rail'!$C$21)&lt;&gt;"No control",SUMIF(('Loading-rail'!$B$31:$B$48),$J1898,('Loading-rail'!$E$31:$E$48))*Impacts!$F$15,0)),0)</f>
        <v>0</v>
      </c>
      <c r="T1898" s="10">
        <f>IF(Flare!$C$7="",0,(SUMIF(Flare!$B$46:$B$185,$J1898,Flare!$E$46:$E$185)*Impacts!$F$16))</f>
        <v>0</v>
      </c>
      <c r="U1898" s="10">
        <f>IF(VCU!$C$9="",0,(SUMIF(VCU!$B$51:$B$193,$J1898,VCU!$E$51:$E$193)*Impacts!$F$17))</f>
        <v>0</v>
      </c>
      <c r="V1898" s="10">
        <f>IF(CAS!$C$7="",0,(SUMIF(CAS!$B$31:$B$167,$J1898,CAS!$E$31:$E$167)*Impacts!$F$18))</f>
        <v>0</v>
      </c>
      <c r="W1898" s="10">
        <f t="shared" si="70"/>
        <v>0</v>
      </c>
      <c r="AK1898" s="10" t="str">
        <f t="array" ref="AK1898">IFERROR(INDEX(SelectedSpecies,SMALL(IF(SelectedSpecies=AK$1,ROW(SelectedSpecies)),ROW(1899:1899)),2),"")</f>
        <v/>
      </c>
      <c r="BE1898" s="10"/>
      <c r="BI1898" s="10"/>
    </row>
    <row r="1899" spans="1:61" ht="21" customHeight="1" x14ac:dyDescent="0.25">
      <c r="A1899" s="10"/>
      <c r="B1899" s="10"/>
      <c r="E1899" s="10"/>
      <c r="G1899" s="10"/>
      <c r="I1899" s="436" t="s">
        <v>2887</v>
      </c>
      <c r="J1899" s="26" t="s">
        <v>2886</v>
      </c>
      <c r="K1899" s="10">
        <v>10</v>
      </c>
      <c r="L1899" s="73">
        <f>IF(Tank1!$C$23="No control",(SUMIF(Tank1!$B$32:$B$49,$J1899,Tank1!$C$32:$C$49)*Impacts!$F$8),0)</f>
        <v>0</v>
      </c>
      <c r="M1899" s="10">
        <f>IF(Tank2!$C$23="No control",(SUMIF(Tank2!$B$32:$B$49,$J1899,Tank2!$C$32:$C$49)*Impacts!$F$9),0)</f>
        <v>0</v>
      </c>
      <c r="N1899" s="10">
        <f>IF(Tank3!$C$23="No control",(SUMIF(Tank3!$B$32:$B$49,$J1899,Tank3!$C$32:$C$49)*Impacts!$F$10),0)</f>
        <v>0</v>
      </c>
      <c r="O1899" s="10">
        <f>IF(Tank4!$C$23="No control",(SUMIF(Tank4!$B$32:$B$49,$J1899,Tank4!$C$32:$C$49)*Impacts!$F$11),0)</f>
        <v>0</v>
      </c>
      <c r="P1899" s="10">
        <f>IF(Tank5!$C$23="No control",(SUMIF(Tank5!$B$32:$B$49,$J1899,Tank5!$C$32:$C$49)*Impacts!$F$12),0)</f>
        <v>0</v>
      </c>
      <c r="Q1899" s="10">
        <f>IFERROR(IF(('Loading-drum,tote'!$C$21)="No control",SUMIF(('Loading-drum,tote'!$B$31:$B$48),$J1899,('Loading-drum,tote'!$D$31:$D$48))*Impacts!$F$13,IF(('Loading-drum,tote'!$C$21)&lt;&gt;"No control",SUMIF(('Loading-drum,tote'!$B$31:$B$48),$J1899,('Loading-drum,tote'!$E$31:$E$48))*Impacts!$F$13,0)),0)</f>
        <v>0</v>
      </c>
      <c r="R1899" s="10">
        <f>IFERROR(IF(('Loading-truck'!$C$21)="No control",SUMIF(('Loading-truck'!$B$31:$B$48),$J1899,('Loading-truck'!$D$31:$D$48))*Impacts!$F$14,IF(('Loading-truck'!$C$21)&lt;&gt;"No control",SUMIF(('Loading-truck'!$B$31:$B$48),$J1899,('Loading-truck'!$E$31:$E$48))*Impacts!$F$14,0)),0)</f>
        <v>0</v>
      </c>
      <c r="S1899" s="10">
        <f>IFERROR(IF(('Loading-rail'!$C$21)="No control",SUMIF(('Loading-rail'!$B$31:$B$48),$J1899,('Loading-rail'!$D$31:$D$48))*Impacts!$F$15,IF(('Loading-rail'!$C$21)&lt;&gt;"No control",SUMIF(('Loading-rail'!$B$31:$B$48),$J1899,('Loading-rail'!$E$31:$E$48))*Impacts!$F$15,0)),0)</f>
        <v>0</v>
      </c>
      <c r="T1899" s="10">
        <f>IF(Flare!$C$7="",0,(SUMIF(Flare!$B$46:$B$185,$J1899,Flare!$E$46:$E$185)*Impacts!$F$16))</f>
        <v>0</v>
      </c>
      <c r="U1899" s="10">
        <f>IF(VCU!$C$9="",0,(SUMIF(VCU!$B$51:$B$193,$J1899,VCU!$E$51:$E$193)*Impacts!$F$17))</f>
        <v>0</v>
      </c>
      <c r="V1899" s="10">
        <f>IF(CAS!$C$7="",0,(SUMIF(CAS!$B$31:$B$167,$J1899,CAS!$E$31:$E$167)*Impacts!$F$18))</f>
        <v>0</v>
      </c>
      <c r="W1899" s="10">
        <f t="shared" si="70"/>
        <v>0</v>
      </c>
      <c r="AK1899" s="10" t="str">
        <f t="array" ref="AK1899">IFERROR(INDEX(SelectedSpecies,SMALL(IF(SelectedSpecies=AK$1,ROW(SelectedSpecies)),ROW(1900:1900)),2),"")</f>
        <v/>
      </c>
      <c r="BE1899" s="10"/>
      <c r="BI1899" s="10"/>
    </row>
    <row r="1900" spans="1:61" ht="21" customHeight="1" x14ac:dyDescent="0.25">
      <c r="A1900" s="10"/>
      <c r="B1900" s="10"/>
      <c r="E1900" s="10"/>
      <c r="G1900" s="10"/>
      <c r="I1900" s="436" t="s">
        <v>2889</v>
      </c>
      <c r="J1900" s="26" t="s">
        <v>2888</v>
      </c>
      <c r="K1900" s="10">
        <v>10</v>
      </c>
      <c r="L1900" s="73">
        <f>IF(Tank1!$C$23="No control",(SUMIF(Tank1!$B$32:$B$49,$J1900,Tank1!$C$32:$C$49)*Impacts!$F$8),0)</f>
        <v>0</v>
      </c>
      <c r="M1900" s="10">
        <f>IF(Tank2!$C$23="No control",(SUMIF(Tank2!$B$32:$B$49,$J1900,Tank2!$C$32:$C$49)*Impacts!$F$9),0)</f>
        <v>0</v>
      </c>
      <c r="N1900" s="10">
        <f>IF(Tank3!$C$23="No control",(SUMIF(Tank3!$B$32:$B$49,$J1900,Tank3!$C$32:$C$49)*Impacts!$F$10),0)</f>
        <v>0</v>
      </c>
      <c r="O1900" s="10">
        <f>IF(Tank4!$C$23="No control",(SUMIF(Tank4!$B$32:$B$49,$J1900,Tank4!$C$32:$C$49)*Impacts!$F$11),0)</f>
        <v>0</v>
      </c>
      <c r="P1900" s="10">
        <f>IF(Tank5!$C$23="No control",(SUMIF(Tank5!$B$32:$B$49,$J1900,Tank5!$C$32:$C$49)*Impacts!$F$12),0)</f>
        <v>0</v>
      </c>
      <c r="Q1900" s="10">
        <f>IFERROR(IF(('Loading-drum,tote'!$C$21)="No control",SUMIF(('Loading-drum,tote'!$B$31:$B$48),$J1900,('Loading-drum,tote'!$D$31:$D$48))*Impacts!$F$13,IF(('Loading-drum,tote'!$C$21)&lt;&gt;"No control",SUMIF(('Loading-drum,tote'!$B$31:$B$48),$J1900,('Loading-drum,tote'!$E$31:$E$48))*Impacts!$F$13,0)),0)</f>
        <v>0</v>
      </c>
      <c r="R1900" s="10">
        <f>IFERROR(IF(('Loading-truck'!$C$21)="No control",SUMIF(('Loading-truck'!$B$31:$B$48),$J1900,('Loading-truck'!$D$31:$D$48))*Impacts!$F$14,IF(('Loading-truck'!$C$21)&lt;&gt;"No control",SUMIF(('Loading-truck'!$B$31:$B$48),$J1900,('Loading-truck'!$E$31:$E$48))*Impacts!$F$14,0)),0)</f>
        <v>0</v>
      </c>
      <c r="S1900" s="10">
        <f>IFERROR(IF(('Loading-rail'!$C$21)="No control",SUMIF(('Loading-rail'!$B$31:$B$48),$J1900,('Loading-rail'!$D$31:$D$48))*Impacts!$F$15,IF(('Loading-rail'!$C$21)&lt;&gt;"No control",SUMIF(('Loading-rail'!$B$31:$B$48),$J1900,('Loading-rail'!$E$31:$E$48))*Impacts!$F$15,0)),0)</f>
        <v>0</v>
      </c>
      <c r="T1900" s="10">
        <f>IF(Flare!$C$7="",0,(SUMIF(Flare!$B$46:$B$185,$J1900,Flare!$E$46:$E$185)*Impacts!$F$16))</f>
        <v>0</v>
      </c>
      <c r="U1900" s="10">
        <f>IF(VCU!$C$9="",0,(SUMIF(VCU!$B$51:$B$193,$J1900,VCU!$E$51:$E$193)*Impacts!$F$17))</f>
        <v>0</v>
      </c>
      <c r="V1900" s="10">
        <f>IF(CAS!$C$7="",0,(SUMIF(CAS!$B$31:$B$167,$J1900,CAS!$E$31:$E$167)*Impacts!$F$18))</f>
        <v>0</v>
      </c>
      <c r="W1900" s="10">
        <f t="shared" si="70"/>
        <v>0</v>
      </c>
      <c r="AK1900" s="10" t="str">
        <f t="array" ref="AK1900">IFERROR(INDEX(SelectedSpecies,SMALL(IF(SelectedSpecies=AK$1,ROW(SelectedSpecies)),ROW(1901:1901)),2),"")</f>
        <v/>
      </c>
      <c r="BE1900" s="10"/>
      <c r="BI1900" s="10"/>
    </row>
    <row r="1901" spans="1:61" ht="21" customHeight="1" x14ac:dyDescent="0.25">
      <c r="A1901" s="10"/>
      <c r="B1901" s="10"/>
      <c r="E1901" s="10"/>
      <c r="G1901" s="10"/>
      <c r="I1901" s="436" t="s">
        <v>5271</v>
      </c>
      <c r="J1901" s="26" t="s">
        <v>5270</v>
      </c>
      <c r="K1901" s="10">
        <v>1.8</v>
      </c>
      <c r="L1901" s="73">
        <f>IF(Tank1!$C$23="No control",(SUMIF(Tank1!$B$32:$B$49,$J1901,Tank1!$C$32:$C$49)*Impacts!$F$8),0)</f>
        <v>0</v>
      </c>
      <c r="M1901" s="10">
        <f>IF(Tank2!$C$23="No control",(SUMIF(Tank2!$B$32:$B$49,$J1901,Tank2!$C$32:$C$49)*Impacts!$F$9),0)</f>
        <v>0</v>
      </c>
      <c r="N1901" s="10">
        <f>IF(Tank3!$C$23="No control",(SUMIF(Tank3!$B$32:$B$49,$J1901,Tank3!$C$32:$C$49)*Impacts!$F$10),0)</f>
        <v>0</v>
      </c>
      <c r="O1901" s="10">
        <f>IF(Tank4!$C$23="No control",(SUMIF(Tank4!$B$32:$B$49,$J1901,Tank4!$C$32:$C$49)*Impacts!$F$11),0)</f>
        <v>0</v>
      </c>
      <c r="P1901" s="10">
        <f>IF(Tank5!$C$23="No control",(SUMIF(Tank5!$B$32:$B$49,$J1901,Tank5!$C$32:$C$49)*Impacts!$F$12),0)</f>
        <v>0</v>
      </c>
      <c r="Q1901" s="10">
        <f>IFERROR(IF(('Loading-drum,tote'!$C$21)="No control",SUMIF(('Loading-drum,tote'!$B$31:$B$48),$J1901,('Loading-drum,tote'!$D$31:$D$48))*Impacts!$F$13,IF(('Loading-drum,tote'!$C$21)&lt;&gt;"No control",SUMIF(('Loading-drum,tote'!$B$31:$B$48),$J1901,('Loading-drum,tote'!$E$31:$E$48))*Impacts!$F$13,0)),0)</f>
        <v>0</v>
      </c>
      <c r="R1901" s="10">
        <f>IFERROR(IF(('Loading-truck'!$C$21)="No control",SUMIF(('Loading-truck'!$B$31:$B$48),$J1901,('Loading-truck'!$D$31:$D$48))*Impacts!$F$14,IF(('Loading-truck'!$C$21)&lt;&gt;"No control",SUMIF(('Loading-truck'!$B$31:$B$48),$J1901,('Loading-truck'!$E$31:$E$48))*Impacts!$F$14,0)),0)</f>
        <v>0</v>
      </c>
      <c r="S1901" s="10">
        <f>IFERROR(IF(('Loading-rail'!$C$21)="No control",SUMIF(('Loading-rail'!$B$31:$B$48),$J1901,('Loading-rail'!$D$31:$D$48))*Impacts!$F$15,IF(('Loading-rail'!$C$21)&lt;&gt;"No control",SUMIF(('Loading-rail'!$B$31:$B$48),$J1901,('Loading-rail'!$E$31:$E$48))*Impacts!$F$15,0)),0)</f>
        <v>0</v>
      </c>
      <c r="T1901" s="10">
        <f>IF(Flare!$C$7="",0,(SUMIF(Flare!$B$46:$B$185,$J1901,Flare!$E$46:$E$185)*Impacts!$F$16))</f>
        <v>0</v>
      </c>
      <c r="U1901" s="10">
        <f>IF(VCU!$C$9="",0,(SUMIF(VCU!$B$51:$B$193,$J1901,VCU!$E$51:$E$193)*Impacts!$F$17))</f>
        <v>0</v>
      </c>
      <c r="V1901" s="10">
        <f>IF(CAS!$C$7="",0,(SUMIF(CAS!$B$31:$B$167,$J1901,CAS!$E$31:$E$167)*Impacts!$F$18))</f>
        <v>0</v>
      </c>
      <c r="W1901" s="10">
        <f t="shared" si="70"/>
        <v>0</v>
      </c>
      <c r="AK1901" s="10" t="str">
        <f t="array" ref="AK1901">IFERROR(INDEX(SelectedSpecies,SMALL(IF(SelectedSpecies=AK$1,ROW(SelectedSpecies)),ROW(1902:1902)),2),"")</f>
        <v/>
      </c>
      <c r="BE1901" s="10"/>
      <c r="BI1901" s="10"/>
    </row>
    <row r="1902" spans="1:61" ht="21" customHeight="1" x14ac:dyDescent="0.25">
      <c r="A1902" s="10"/>
      <c r="B1902" s="10"/>
      <c r="E1902" s="10"/>
      <c r="G1902" s="10"/>
      <c r="I1902" s="436" t="s">
        <v>3959</v>
      </c>
      <c r="J1902" s="26" t="s">
        <v>3958</v>
      </c>
      <c r="K1902" s="10">
        <v>6</v>
      </c>
      <c r="L1902" s="73">
        <f>IF(Tank1!$C$23="No control",(SUMIF(Tank1!$B$32:$B$49,$J1902,Tank1!$C$32:$C$49)*Impacts!$F$8),0)</f>
        <v>0</v>
      </c>
      <c r="M1902" s="10">
        <f>IF(Tank2!$C$23="No control",(SUMIF(Tank2!$B$32:$B$49,$J1902,Tank2!$C$32:$C$49)*Impacts!$F$9),0)</f>
        <v>0</v>
      </c>
      <c r="N1902" s="10">
        <f>IF(Tank3!$C$23="No control",(SUMIF(Tank3!$B$32:$B$49,$J1902,Tank3!$C$32:$C$49)*Impacts!$F$10),0)</f>
        <v>0</v>
      </c>
      <c r="O1902" s="10">
        <f>IF(Tank4!$C$23="No control",(SUMIF(Tank4!$B$32:$B$49,$J1902,Tank4!$C$32:$C$49)*Impacts!$F$11),0)</f>
        <v>0</v>
      </c>
      <c r="P1902" s="10">
        <f>IF(Tank5!$C$23="No control",(SUMIF(Tank5!$B$32:$B$49,$J1902,Tank5!$C$32:$C$49)*Impacts!$F$12),0)</f>
        <v>0</v>
      </c>
      <c r="Q1902" s="10">
        <f>IFERROR(IF(('Loading-drum,tote'!$C$21)="No control",SUMIF(('Loading-drum,tote'!$B$31:$B$48),$J1902,('Loading-drum,tote'!$D$31:$D$48))*Impacts!$F$13,IF(('Loading-drum,tote'!$C$21)&lt;&gt;"No control",SUMIF(('Loading-drum,tote'!$B$31:$B$48),$J1902,('Loading-drum,tote'!$E$31:$E$48))*Impacts!$F$13,0)),0)</f>
        <v>0</v>
      </c>
      <c r="R1902" s="10">
        <f>IFERROR(IF(('Loading-truck'!$C$21)="No control",SUMIF(('Loading-truck'!$B$31:$B$48),$J1902,('Loading-truck'!$D$31:$D$48))*Impacts!$F$14,IF(('Loading-truck'!$C$21)&lt;&gt;"No control",SUMIF(('Loading-truck'!$B$31:$B$48),$J1902,('Loading-truck'!$E$31:$E$48))*Impacts!$F$14,0)),0)</f>
        <v>0</v>
      </c>
      <c r="S1902" s="10">
        <f>IFERROR(IF(('Loading-rail'!$C$21)="No control",SUMIF(('Loading-rail'!$B$31:$B$48),$J1902,('Loading-rail'!$D$31:$D$48))*Impacts!$F$15,IF(('Loading-rail'!$C$21)&lt;&gt;"No control",SUMIF(('Loading-rail'!$B$31:$B$48),$J1902,('Loading-rail'!$E$31:$E$48))*Impacts!$F$15,0)),0)</f>
        <v>0</v>
      </c>
      <c r="T1902" s="10">
        <f>IF(Flare!$C$7="",0,(SUMIF(Flare!$B$46:$B$185,$J1902,Flare!$E$46:$E$185)*Impacts!$F$16))</f>
        <v>0</v>
      </c>
      <c r="U1902" s="10">
        <f>IF(VCU!$C$9="",0,(SUMIF(VCU!$B$51:$B$193,$J1902,VCU!$E$51:$E$193)*Impacts!$F$17))</f>
        <v>0</v>
      </c>
      <c r="V1902" s="10">
        <f>IF(CAS!$C$7="",0,(SUMIF(CAS!$B$31:$B$167,$J1902,CAS!$E$31:$E$167)*Impacts!$F$18))</f>
        <v>0</v>
      </c>
      <c r="W1902" s="10">
        <f t="shared" si="70"/>
        <v>0</v>
      </c>
      <c r="AK1902" s="10" t="str">
        <f t="array" ref="AK1902">IFERROR(INDEX(SelectedSpecies,SMALL(IF(SelectedSpecies=AK$1,ROW(SelectedSpecies)),ROW(1903:1903)),2),"")</f>
        <v/>
      </c>
      <c r="BE1902" s="10"/>
      <c r="BI1902" s="10"/>
    </row>
    <row r="1903" spans="1:61" ht="21" customHeight="1" x14ac:dyDescent="0.25">
      <c r="A1903" s="10"/>
      <c r="B1903" s="10"/>
      <c r="E1903" s="10"/>
      <c r="G1903" s="10"/>
      <c r="I1903" s="436" t="s">
        <v>6310</v>
      </c>
      <c r="J1903" s="26" t="s">
        <v>6309</v>
      </c>
      <c r="K1903" s="10">
        <v>0.9</v>
      </c>
      <c r="L1903" s="73">
        <f>IF(Tank1!$C$23="No control",(SUMIF(Tank1!$B$32:$B$49,$J1903,Tank1!$C$32:$C$49)*Impacts!$F$8),0)</f>
        <v>0</v>
      </c>
      <c r="M1903" s="10">
        <f>IF(Tank2!$C$23="No control",(SUMIF(Tank2!$B$32:$B$49,$J1903,Tank2!$C$32:$C$49)*Impacts!$F$9),0)</f>
        <v>0</v>
      </c>
      <c r="N1903" s="10">
        <f>IF(Tank3!$C$23="No control",(SUMIF(Tank3!$B$32:$B$49,$J1903,Tank3!$C$32:$C$49)*Impacts!$F$10),0)</f>
        <v>0</v>
      </c>
      <c r="O1903" s="10">
        <f>IF(Tank4!$C$23="No control",(SUMIF(Tank4!$B$32:$B$49,$J1903,Tank4!$C$32:$C$49)*Impacts!$F$11),0)</f>
        <v>0</v>
      </c>
      <c r="P1903" s="10">
        <f>IF(Tank5!$C$23="No control",(SUMIF(Tank5!$B$32:$B$49,$J1903,Tank5!$C$32:$C$49)*Impacts!$F$12),0)</f>
        <v>0</v>
      </c>
      <c r="Q1903" s="10">
        <f>IFERROR(IF(('Loading-drum,tote'!$C$21)="No control",SUMIF(('Loading-drum,tote'!$B$31:$B$48),$J1903,('Loading-drum,tote'!$D$31:$D$48))*Impacts!$F$13,IF(('Loading-drum,tote'!$C$21)&lt;&gt;"No control",SUMIF(('Loading-drum,tote'!$B$31:$B$48),$J1903,('Loading-drum,tote'!$E$31:$E$48))*Impacts!$F$13,0)),0)</f>
        <v>0</v>
      </c>
      <c r="R1903" s="10">
        <f>IFERROR(IF(('Loading-truck'!$C$21)="No control",SUMIF(('Loading-truck'!$B$31:$B$48),$J1903,('Loading-truck'!$D$31:$D$48))*Impacts!$F$14,IF(('Loading-truck'!$C$21)&lt;&gt;"No control",SUMIF(('Loading-truck'!$B$31:$B$48),$J1903,('Loading-truck'!$E$31:$E$48))*Impacts!$F$14,0)),0)</f>
        <v>0</v>
      </c>
      <c r="S1903" s="10">
        <f>IFERROR(IF(('Loading-rail'!$C$21)="No control",SUMIF(('Loading-rail'!$B$31:$B$48),$J1903,('Loading-rail'!$D$31:$D$48))*Impacts!$F$15,IF(('Loading-rail'!$C$21)&lt;&gt;"No control",SUMIF(('Loading-rail'!$B$31:$B$48),$J1903,('Loading-rail'!$E$31:$E$48))*Impacts!$F$15,0)),0)</f>
        <v>0</v>
      </c>
      <c r="T1903" s="10">
        <f>IF(Flare!$C$7="",0,(SUMIF(Flare!$B$46:$B$185,$J1903,Flare!$E$46:$E$185)*Impacts!$F$16))</f>
        <v>0</v>
      </c>
      <c r="U1903" s="10">
        <f>IF(VCU!$C$9="",0,(SUMIF(VCU!$B$51:$B$193,$J1903,VCU!$E$51:$E$193)*Impacts!$F$17))</f>
        <v>0</v>
      </c>
      <c r="V1903" s="10">
        <f>IF(CAS!$C$7="",0,(SUMIF(CAS!$B$31:$B$167,$J1903,CAS!$E$31:$E$167)*Impacts!$F$18))</f>
        <v>0</v>
      </c>
      <c r="W1903" s="10">
        <f t="shared" si="70"/>
        <v>0</v>
      </c>
      <c r="AK1903" s="10" t="str">
        <f t="array" ref="AK1903">IFERROR(INDEX(SelectedSpecies,SMALL(IF(SelectedSpecies=AK$1,ROW(SelectedSpecies)),ROW(1904:1904)),2),"")</f>
        <v/>
      </c>
      <c r="BE1903" s="10"/>
      <c r="BI1903" s="10"/>
    </row>
    <row r="1904" spans="1:61" ht="21" customHeight="1" x14ac:dyDescent="0.25">
      <c r="A1904" s="10"/>
      <c r="B1904" s="10"/>
      <c r="E1904" s="10"/>
      <c r="G1904" s="10"/>
      <c r="I1904" s="436" t="s">
        <v>2249</v>
      </c>
      <c r="J1904" s="26" t="s">
        <v>2248</v>
      </c>
      <c r="K1904" s="10">
        <v>12.5</v>
      </c>
      <c r="L1904" s="73">
        <f>IF(Tank1!$C$23="No control",(SUMIF(Tank1!$B$32:$B$49,$J1904,Tank1!$C$32:$C$49)*Impacts!$F$8),0)</f>
        <v>0</v>
      </c>
      <c r="M1904" s="10">
        <f>IF(Tank2!$C$23="No control",(SUMIF(Tank2!$B$32:$B$49,$J1904,Tank2!$C$32:$C$49)*Impacts!$F$9),0)</f>
        <v>0</v>
      </c>
      <c r="N1904" s="10">
        <f>IF(Tank3!$C$23="No control",(SUMIF(Tank3!$B$32:$B$49,$J1904,Tank3!$C$32:$C$49)*Impacts!$F$10),0)</f>
        <v>0</v>
      </c>
      <c r="O1904" s="10">
        <f>IF(Tank4!$C$23="No control",(SUMIF(Tank4!$B$32:$B$49,$J1904,Tank4!$C$32:$C$49)*Impacts!$F$11),0)</f>
        <v>0</v>
      </c>
      <c r="P1904" s="10">
        <f>IF(Tank5!$C$23="No control",(SUMIF(Tank5!$B$32:$B$49,$J1904,Tank5!$C$32:$C$49)*Impacts!$F$12),0)</f>
        <v>0</v>
      </c>
      <c r="Q1904" s="10">
        <f>IFERROR(IF(('Loading-drum,tote'!$C$21)="No control",SUMIF(('Loading-drum,tote'!$B$31:$B$48),$J1904,('Loading-drum,tote'!$D$31:$D$48))*Impacts!$F$13,IF(('Loading-drum,tote'!$C$21)&lt;&gt;"No control",SUMIF(('Loading-drum,tote'!$B$31:$B$48),$J1904,('Loading-drum,tote'!$E$31:$E$48))*Impacts!$F$13,0)),0)</f>
        <v>0</v>
      </c>
      <c r="R1904" s="10">
        <f>IFERROR(IF(('Loading-truck'!$C$21)="No control",SUMIF(('Loading-truck'!$B$31:$B$48),$J1904,('Loading-truck'!$D$31:$D$48))*Impacts!$F$14,IF(('Loading-truck'!$C$21)&lt;&gt;"No control",SUMIF(('Loading-truck'!$B$31:$B$48),$J1904,('Loading-truck'!$E$31:$E$48))*Impacts!$F$14,0)),0)</f>
        <v>0</v>
      </c>
      <c r="S1904" s="10">
        <f>IFERROR(IF(('Loading-rail'!$C$21)="No control",SUMIF(('Loading-rail'!$B$31:$B$48),$J1904,('Loading-rail'!$D$31:$D$48))*Impacts!$F$15,IF(('Loading-rail'!$C$21)&lt;&gt;"No control",SUMIF(('Loading-rail'!$B$31:$B$48),$J1904,('Loading-rail'!$E$31:$E$48))*Impacts!$F$15,0)),0)</f>
        <v>0</v>
      </c>
      <c r="T1904" s="10">
        <f>IF(Flare!$C$7="",0,(SUMIF(Flare!$B$46:$B$185,$J1904,Flare!$E$46:$E$185)*Impacts!$F$16))</f>
        <v>0</v>
      </c>
      <c r="U1904" s="10">
        <f>IF(VCU!$C$9="",0,(SUMIF(VCU!$B$51:$B$193,$J1904,VCU!$E$51:$E$193)*Impacts!$F$17))</f>
        <v>0</v>
      </c>
      <c r="V1904" s="10">
        <f>IF(CAS!$C$7="",0,(SUMIF(CAS!$B$31:$B$167,$J1904,CAS!$E$31:$E$167)*Impacts!$F$18))</f>
        <v>0</v>
      </c>
      <c r="W1904" s="10">
        <f t="shared" si="70"/>
        <v>0</v>
      </c>
      <c r="AK1904" s="10" t="str">
        <f t="array" ref="AK1904">IFERROR(INDEX(SelectedSpecies,SMALL(IF(SelectedSpecies=AK$1,ROW(SelectedSpecies)),ROW(1905:1905)),2),"")</f>
        <v/>
      </c>
      <c r="BE1904" s="10"/>
      <c r="BI1904" s="10"/>
    </row>
    <row r="1905" spans="1:61" ht="21" customHeight="1" x14ac:dyDescent="0.25">
      <c r="A1905" s="10"/>
      <c r="B1905" s="10"/>
      <c r="E1905" s="10"/>
      <c r="G1905" s="10"/>
      <c r="I1905" s="436" t="s">
        <v>704</v>
      </c>
      <c r="J1905" s="26" t="s">
        <v>703</v>
      </c>
      <c r="K1905" s="10">
        <v>34</v>
      </c>
      <c r="L1905" s="73">
        <f>IF(Tank1!$C$23="No control",(SUMIF(Tank1!$B$32:$B$49,$J1905,Tank1!$C$32:$C$49)*Impacts!$F$8),0)</f>
        <v>0</v>
      </c>
      <c r="M1905" s="10">
        <f>IF(Tank2!$C$23="No control",(SUMIF(Tank2!$B$32:$B$49,$J1905,Tank2!$C$32:$C$49)*Impacts!$F$9),0)</f>
        <v>0</v>
      </c>
      <c r="N1905" s="10">
        <f>IF(Tank3!$C$23="No control",(SUMIF(Tank3!$B$32:$B$49,$J1905,Tank3!$C$32:$C$49)*Impacts!$F$10),0)</f>
        <v>0</v>
      </c>
      <c r="O1905" s="10">
        <f>IF(Tank4!$C$23="No control",(SUMIF(Tank4!$B$32:$B$49,$J1905,Tank4!$C$32:$C$49)*Impacts!$F$11),0)</f>
        <v>0</v>
      </c>
      <c r="P1905" s="10">
        <f>IF(Tank5!$C$23="No control",(SUMIF(Tank5!$B$32:$B$49,$J1905,Tank5!$C$32:$C$49)*Impacts!$F$12),0)</f>
        <v>0</v>
      </c>
      <c r="Q1905" s="10">
        <f>IFERROR(IF(('Loading-drum,tote'!$C$21)="No control",SUMIF(('Loading-drum,tote'!$B$31:$B$48),$J1905,('Loading-drum,tote'!$D$31:$D$48))*Impacts!$F$13,IF(('Loading-drum,tote'!$C$21)&lt;&gt;"No control",SUMIF(('Loading-drum,tote'!$B$31:$B$48),$J1905,('Loading-drum,tote'!$E$31:$E$48))*Impacts!$F$13,0)),0)</f>
        <v>0</v>
      </c>
      <c r="R1905" s="10">
        <f>IFERROR(IF(('Loading-truck'!$C$21)="No control",SUMIF(('Loading-truck'!$B$31:$B$48),$J1905,('Loading-truck'!$D$31:$D$48))*Impacts!$F$14,IF(('Loading-truck'!$C$21)&lt;&gt;"No control",SUMIF(('Loading-truck'!$B$31:$B$48),$J1905,('Loading-truck'!$E$31:$E$48))*Impacts!$F$14,0)),0)</f>
        <v>0</v>
      </c>
      <c r="S1905" s="10">
        <f>IFERROR(IF(('Loading-rail'!$C$21)="No control",SUMIF(('Loading-rail'!$B$31:$B$48),$J1905,('Loading-rail'!$D$31:$D$48))*Impacts!$F$15,IF(('Loading-rail'!$C$21)&lt;&gt;"No control",SUMIF(('Loading-rail'!$B$31:$B$48),$J1905,('Loading-rail'!$E$31:$E$48))*Impacts!$F$15,0)),0)</f>
        <v>0</v>
      </c>
      <c r="T1905" s="10">
        <f>IF(Flare!$C$7="",0,(SUMIF(Flare!$B$46:$B$185,$J1905,Flare!$E$46:$E$185)*Impacts!$F$16))</f>
        <v>0</v>
      </c>
      <c r="U1905" s="10">
        <f>IF(VCU!$C$9="",0,(SUMIF(VCU!$B$51:$B$193,$J1905,VCU!$E$51:$E$193)*Impacts!$F$17))</f>
        <v>0</v>
      </c>
      <c r="V1905" s="10">
        <f>IF(CAS!$C$7="",0,(SUMIF(CAS!$B$31:$B$167,$J1905,CAS!$E$31:$E$167)*Impacts!$F$18))</f>
        <v>0</v>
      </c>
      <c r="W1905" s="10">
        <f t="shared" si="70"/>
        <v>0</v>
      </c>
      <c r="AK1905" s="10" t="str">
        <f t="array" ref="AK1905">IFERROR(INDEX(SelectedSpecies,SMALL(IF(SelectedSpecies=AK$1,ROW(SelectedSpecies)),ROW(1906:1906)),2),"")</f>
        <v/>
      </c>
      <c r="BE1905" s="10"/>
      <c r="BI1905" s="10"/>
    </row>
    <row r="1906" spans="1:61" ht="21" customHeight="1" x14ac:dyDescent="0.25">
      <c r="A1906" s="10"/>
      <c r="B1906" s="10"/>
      <c r="E1906" s="10"/>
      <c r="G1906" s="10"/>
      <c r="I1906" s="436" t="s">
        <v>5932</v>
      </c>
      <c r="J1906" s="26" t="s">
        <v>5931</v>
      </c>
      <c r="K1906" s="10">
        <v>1</v>
      </c>
      <c r="L1906" s="73">
        <f>IF(Tank1!$C$23="No control",(SUMIF(Tank1!$B$32:$B$49,$J1906,Tank1!$C$32:$C$49)*Impacts!$F$8),0)</f>
        <v>0</v>
      </c>
      <c r="M1906" s="10">
        <f>IF(Tank2!$C$23="No control",(SUMIF(Tank2!$B$32:$B$49,$J1906,Tank2!$C$32:$C$49)*Impacts!$F$9),0)</f>
        <v>0</v>
      </c>
      <c r="N1906" s="10">
        <f>IF(Tank3!$C$23="No control",(SUMIF(Tank3!$B$32:$B$49,$J1906,Tank3!$C$32:$C$49)*Impacts!$F$10),0)</f>
        <v>0</v>
      </c>
      <c r="O1906" s="10">
        <f>IF(Tank4!$C$23="No control",(SUMIF(Tank4!$B$32:$B$49,$J1906,Tank4!$C$32:$C$49)*Impacts!$F$11),0)</f>
        <v>0</v>
      </c>
      <c r="P1906" s="10">
        <f>IF(Tank5!$C$23="No control",(SUMIF(Tank5!$B$32:$B$49,$J1906,Tank5!$C$32:$C$49)*Impacts!$F$12),0)</f>
        <v>0</v>
      </c>
      <c r="Q1906" s="10">
        <f>IFERROR(IF(('Loading-drum,tote'!$C$21)="No control",SUMIF(('Loading-drum,tote'!$B$31:$B$48),$J1906,('Loading-drum,tote'!$D$31:$D$48))*Impacts!$F$13,IF(('Loading-drum,tote'!$C$21)&lt;&gt;"No control",SUMIF(('Loading-drum,tote'!$B$31:$B$48),$J1906,('Loading-drum,tote'!$E$31:$E$48))*Impacts!$F$13,0)),0)</f>
        <v>0</v>
      </c>
      <c r="R1906" s="10">
        <f>IFERROR(IF(('Loading-truck'!$C$21)="No control",SUMIF(('Loading-truck'!$B$31:$B$48),$J1906,('Loading-truck'!$D$31:$D$48))*Impacts!$F$14,IF(('Loading-truck'!$C$21)&lt;&gt;"No control",SUMIF(('Loading-truck'!$B$31:$B$48),$J1906,('Loading-truck'!$E$31:$E$48))*Impacts!$F$14,0)),0)</f>
        <v>0</v>
      </c>
      <c r="S1906" s="10">
        <f>IFERROR(IF(('Loading-rail'!$C$21)="No control",SUMIF(('Loading-rail'!$B$31:$B$48),$J1906,('Loading-rail'!$D$31:$D$48))*Impacts!$F$15,IF(('Loading-rail'!$C$21)&lt;&gt;"No control",SUMIF(('Loading-rail'!$B$31:$B$48),$J1906,('Loading-rail'!$E$31:$E$48))*Impacts!$F$15,0)),0)</f>
        <v>0</v>
      </c>
      <c r="T1906" s="10">
        <f>IF(Flare!$C$7="",0,(SUMIF(Flare!$B$46:$B$185,$J1906,Flare!$E$46:$E$185)*Impacts!$F$16))</f>
        <v>0</v>
      </c>
      <c r="U1906" s="10">
        <f>IF(VCU!$C$9="",0,(SUMIF(VCU!$B$51:$B$193,$J1906,VCU!$E$51:$E$193)*Impacts!$F$17))</f>
        <v>0</v>
      </c>
      <c r="V1906" s="10">
        <f>IF(CAS!$C$7="",0,(SUMIF(CAS!$B$31:$B$167,$J1906,CAS!$E$31:$E$167)*Impacts!$F$18))</f>
        <v>0</v>
      </c>
      <c r="W1906" s="10">
        <f t="shared" si="70"/>
        <v>0</v>
      </c>
      <c r="AK1906" s="10" t="str">
        <f t="array" ref="AK1906">IFERROR(INDEX(SelectedSpecies,SMALL(IF(SelectedSpecies=AK$1,ROW(SelectedSpecies)),ROW(1907:1907)),2),"")</f>
        <v/>
      </c>
      <c r="BE1906" s="10"/>
      <c r="BI1906" s="10"/>
    </row>
    <row r="1907" spans="1:61" ht="21" customHeight="1" x14ac:dyDescent="0.25">
      <c r="A1907" s="10"/>
      <c r="B1907" s="10"/>
      <c r="E1907" s="10"/>
      <c r="G1907" s="10"/>
      <c r="I1907" s="436" t="s">
        <v>7274</v>
      </c>
      <c r="J1907" s="26" t="s">
        <v>7273</v>
      </c>
      <c r="K1907" s="10">
        <v>0.30000000000000004</v>
      </c>
      <c r="L1907" s="73">
        <f>IF(Tank1!$C$23="No control",(SUMIF(Tank1!$B$32:$B$49,$J1907,Tank1!$C$32:$C$49)*Impacts!$F$8),0)</f>
        <v>0</v>
      </c>
      <c r="M1907" s="10">
        <f>IF(Tank2!$C$23="No control",(SUMIF(Tank2!$B$32:$B$49,$J1907,Tank2!$C$32:$C$49)*Impacts!$F$9),0)</f>
        <v>0</v>
      </c>
      <c r="N1907" s="10">
        <f>IF(Tank3!$C$23="No control",(SUMIF(Tank3!$B$32:$B$49,$J1907,Tank3!$C$32:$C$49)*Impacts!$F$10),0)</f>
        <v>0</v>
      </c>
      <c r="O1907" s="10">
        <f>IF(Tank4!$C$23="No control",(SUMIF(Tank4!$B$32:$B$49,$J1907,Tank4!$C$32:$C$49)*Impacts!$F$11),0)</f>
        <v>0</v>
      </c>
      <c r="P1907" s="10">
        <f>IF(Tank5!$C$23="No control",(SUMIF(Tank5!$B$32:$B$49,$J1907,Tank5!$C$32:$C$49)*Impacts!$F$12),0)</f>
        <v>0</v>
      </c>
      <c r="Q1907" s="10">
        <f>IFERROR(IF(('Loading-drum,tote'!$C$21)="No control",SUMIF(('Loading-drum,tote'!$B$31:$B$48),$J1907,('Loading-drum,tote'!$D$31:$D$48))*Impacts!$F$13,IF(('Loading-drum,tote'!$C$21)&lt;&gt;"No control",SUMIF(('Loading-drum,tote'!$B$31:$B$48),$J1907,('Loading-drum,tote'!$E$31:$E$48))*Impacts!$F$13,0)),0)</f>
        <v>0</v>
      </c>
      <c r="R1907" s="10">
        <f>IFERROR(IF(('Loading-truck'!$C$21)="No control",SUMIF(('Loading-truck'!$B$31:$B$48),$J1907,('Loading-truck'!$D$31:$D$48))*Impacts!$F$14,IF(('Loading-truck'!$C$21)&lt;&gt;"No control",SUMIF(('Loading-truck'!$B$31:$B$48),$J1907,('Loading-truck'!$E$31:$E$48))*Impacts!$F$14,0)),0)</f>
        <v>0</v>
      </c>
      <c r="S1907" s="10">
        <f>IFERROR(IF(('Loading-rail'!$C$21)="No control",SUMIF(('Loading-rail'!$B$31:$B$48),$J1907,('Loading-rail'!$D$31:$D$48))*Impacts!$F$15,IF(('Loading-rail'!$C$21)&lt;&gt;"No control",SUMIF(('Loading-rail'!$B$31:$B$48),$J1907,('Loading-rail'!$E$31:$E$48))*Impacts!$F$15,0)),0)</f>
        <v>0</v>
      </c>
      <c r="T1907" s="10">
        <f>IF(Flare!$C$7="",0,(SUMIF(Flare!$B$46:$B$185,$J1907,Flare!$E$46:$E$185)*Impacts!$F$16))</f>
        <v>0</v>
      </c>
      <c r="U1907" s="10">
        <f>IF(VCU!$C$9="",0,(SUMIF(VCU!$B$51:$B$193,$J1907,VCU!$E$51:$E$193)*Impacts!$F$17))</f>
        <v>0</v>
      </c>
      <c r="V1907" s="10">
        <f>IF(CAS!$C$7="",0,(SUMIF(CAS!$B$31:$B$167,$J1907,CAS!$E$31:$E$167)*Impacts!$F$18))</f>
        <v>0</v>
      </c>
      <c r="W1907" s="10">
        <f t="shared" si="70"/>
        <v>0</v>
      </c>
      <c r="AK1907" s="10" t="str">
        <f t="array" ref="AK1907">IFERROR(INDEX(SelectedSpecies,SMALL(IF(SelectedSpecies=AK$1,ROW(SelectedSpecies)),ROW(1908:1908)),2),"")</f>
        <v/>
      </c>
      <c r="BE1907" s="10"/>
      <c r="BI1907" s="10"/>
    </row>
    <row r="1908" spans="1:61" ht="21" customHeight="1" x14ac:dyDescent="0.25">
      <c r="A1908" s="10"/>
      <c r="B1908" s="10"/>
      <c r="E1908" s="10"/>
      <c r="G1908" s="10"/>
      <c r="I1908" s="436" t="s">
        <v>4465</v>
      </c>
      <c r="J1908" s="26" t="s">
        <v>4464</v>
      </c>
      <c r="K1908" s="10">
        <v>4.4000000000000004</v>
      </c>
      <c r="L1908" s="73">
        <f>IF(Tank1!$C$23="No control",(SUMIF(Tank1!$B$32:$B$49,$J1908,Tank1!$C$32:$C$49)*Impacts!$F$8),0)</f>
        <v>0</v>
      </c>
      <c r="M1908" s="10">
        <f>IF(Tank2!$C$23="No control",(SUMIF(Tank2!$B$32:$B$49,$J1908,Tank2!$C$32:$C$49)*Impacts!$F$9),0)</f>
        <v>0</v>
      </c>
      <c r="N1908" s="10">
        <f>IF(Tank3!$C$23="No control",(SUMIF(Tank3!$B$32:$B$49,$J1908,Tank3!$C$32:$C$49)*Impacts!$F$10),0)</f>
        <v>0</v>
      </c>
      <c r="O1908" s="10">
        <f>IF(Tank4!$C$23="No control",(SUMIF(Tank4!$B$32:$B$49,$J1908,Tank4!$C$32:$C$49)*Impacts!$F$11),0)</f>
        <v>0</v>
      </c>
      <c r="P1908" s="10">
        <f>IF(Tank5!$C$23="No control",(SUMIF(Tank5!$B$32:$B$49,$J1908,Tank5!$C$32:$C$49)*Impacts!$F$12),0)</f>
        <v>0</v>
      </c>
      <c r="Q1908" s="10">
        <f>IFERROR(IF(('Loading-drum,tote'!$C$21)="No control",SUMIF(('Loading-drum,tote'!$B$31:$B$48),$J1908,('Loading-drum,tote'!$D$31:$D$48))*Impacts!$F$13,IF(('Loading-drum,tote'!$C$21)&lt;&gt;"No control",SUMIF(('Loading-drum,tote'!$B$31:$B$48),$J1908,('Loading-drum,tote'!$E$31:$E$48))*Impacts!$F$13,0)),0)</f>
        <v>0</v>
      </c>
      <c r="R1908" s="10">
        <f>IFERROR(IF(('Loading-truck'!$C$21)="No control",SUMIF(('Loading-truck'!$B$31:$B$48),$J1908,('Loading-truck'!$D$31:$D$48))*Impacts!$F$14,IF(('Loading-truck'!$C$21)&lt;&gt;"No control",SUMIF(('Loading-truck'!$B$31:$B$48),$J1908,('Loading-truck'!$E$31:$E$48))*Impacts!$F$14,0)),0)</f>
        <v>0</v>
      </c>
      <c r="S1908" s="10">
        <f>IFERROR(IF(('Loading-rail'!$C$21)="No control",SUMIF(('Loading-rail'!$B$31:$B$48),$J1908,('Loading-rail'!$D$31:$D$48))*Impacts!$F$15,IF(('Loading-rail'!$C$21)&lt;&gt;"No control",SUMIF(('Loading-rail'!$B$31:$B$48),$J1908,('Loading-rail'!$E$31:$E$48))*Impacts!$F$15,0)),0)</f>
        <v>0</v>
      </c>
      <c r="T1908" s="10">
        <f>IF(Flare!$C$7="",0,(SUMIF(Flare!$B$46:$B$185,$J1908,Flare!$E$46:$E$185)*Impacts!$F$16))</f>
        <v>0</v>
      </c>
      <c r="U1908" s="10">
        <f>IF(VCU!$C$9="",0,(SUMIF(VCU!$B$51:$B$193,$J1908,VCU!$E$51:$E$193)*Impacts!$F$17))</f>
        <v>0</v>
      </c>
      <c r="V1908" s="10">
        <f>IF(CAS!$C$7="",0,(SUMIF(CAS!$B$31:$B$167,$J1908,CAS!$E$31:$E$167)*Impacts!$F$18))</f>
        <v>0</v>
      </c>
      <c r="W1908" s="10">
        <f t="shared" si="70"/>
        <v>0</v>
      </c>
      <c r="AK1908" s="10" t="str">
        <f t="array" ref="AK1908">IFERROR(INDEX(SelectedSpecies,SMALL(IF(SelectedSpecies=AK$1,ROW(SelectedSpecies)),ROW(1909:1909)),2),"")</f>
        <v/>
      </c>
      <c r="BE1908" s="10"/>
      <c r="BI1908" s="10"/>
    </row>
    <row r="1909" spans="1:61" ht="21" customHeight="1" x14ac:dyDescent="0.25">
      <c r="A1909" s="10"/>
      <c r="B1909" s="10"/>
      <c r="E1909" s="10"/>
      <c r="G1909" s="10"/>
      <c r="I1909" s="436" t="s">
        <v>1761</v>
      </c>
      <c r="J1909" s="26" t="s">
        <v>1760</v>
      </c>
      <c r="K1909" s="10">
        <v>24</v>
      </c>
      <c r="L1909" s="73">
        <f>IF(Tank1!$C$23="No control",(SUMIF(Tank1!$B$32:$B$49,$J1909,Tank1!$C$32:$C$49)*Impacts!$F$8),0)</f>
        <v>0</v>
      </c>
      <c r="M1909" s="10">
        <f>IF(Tank2!$C$23="No control",(SUMIF(Tank2!$B$32:$B$49,$J1909,Tank2!$C$32:$C$49)*Impacts!$F$9),0)</f>
        <v>0</v>
      </c>
      <c r="N1909" s="10">
        <f>IF(Tank3!$C$23="No control",(SUMIF(Tank3!$B$32:$B$49,$J1909,Tank3!$C$32:$C$49)*Impacts!$F$10),0)</f>
        <v>0</v>
      </c>
      <c r="O1909" s="10">
        <f>IF(Tank4!$C$23="No control",(SUMIF(Tank4!$B$32:$B$49,$J1909,Tank4!$C$32:$C$49)*Impacts!$F$11),0)</f>
        <v>0</v>
      </c>
      <c r="P1909" s="10">
        <f>IF(Tank5!$C$23="No control",(SUMIF(Tank5!$B$32:$B$49,$J1909,Tank5!$C$32:$C$49)*Impacts!$F$12),0)</f>
        <v>0</v>
      </c>
      <c r="Q1909" s="10">
        <f>IFERROR(IF(('Loading-drum,tote'!$C$21)="No control",SUMIF(('Loading-drum,tote'!$B$31:$B$48),$J1909,('Loading-drum,tote'!$D$31:$D$48))*Impacts!$F$13,IF(('Loading-drum,tote'!$C$21)&lt;&gt;"No control",SUMIF(('Loading-drum,tote'!$B$31:$B$48),$J1909,('Loading-drum,tote'!$E$31:$E$48))*Impacts!$F$13,0)),0)</f>
        <v>0</v>
      </c>
      <c r="R1909" s="10">
        <f>IFERROR(IF(('Loading-truck'!$C$21)="No control",SUMIF(('Loading-truck'!$B$31:$B$48),$J1909,('Loading-truck'!$D$31:$D$48))*Impacts!$F$14,IF(('Loading-truck'!$C$21)&lt;&gt;"No control",SUMIF(('Loading-truck'!$B$31:$B$48),$J1909,('Loading-truck'!$E$31:$E$48))*Impacts!$F$14,0)),0)</f>
        <v>0</v>
      </c>
      <c r="S1909" s="10">
        <f>IFERROR(IF(('Loading-rail'!$C$21)="No control",SUMIF(('Loading-rail'!$B$31:$B$48),$J1909,('Loading-rail'!$D$31:$D$48))*Impacts!$F$15,IF(('Loading-rail'!$C$21)&lt;&gt;"No control",SUMIF(('Loading-rail'!$B$31:$B$48),$J1909,('Loading-rail'!$E$31:$E$48))*Impacts!$F$15,0)),0)</f>
        <v>0</v>
      </c>
      <c r="T1909" s="10">
        <f>IF(Flare!$C$7="",0,(SUMIF(Flare!$B$46:$B$185,$J1909,Flare!$E$46:$E$185)*Impacts!$F$16))</f>
        <v>0</v>
      </c>
      <c r="U1909" s="10">
        <f>IF(VCU!$C$9="",0,(SUMIF(VCU!$B$51:$B$193,$J1909,VCU!$E$51:$E$193)*Impacts!$F$17))</f>
        <v>0</v>
      </c>
      <c r="V1909" s="10">
        <f>IF(CAS!$C$7="",0,(SUMIF(CAS!$B$31:$B$167,$J1909,CAS!$E$31:$E$167)*Impacts!$F$18))</f>
        <v>0</v>
      </c>
      <c r="W1909" s="10">
        <f t="shared" si="70"/>
        <v>0</v>
      </c>
      <c r="AK1909" s="10" t="str">
        <f t="array" ref="AK1909">IFERROR(INDEX(SelectedSpecies,SMALL(IF(SelectedSpecies=AK$1,ROW(SelectedSpecies)),ROW(1910:1910)),2),"")</f>
        <v/>
      </c>
      <c r="BE1909" s="10"/>
      <c r="BI1909" s="10"/>
    </row>
    <row r="1910" spans="1:61" ht="21" customHeight="1" x14ac:dyDescent="0.25">
      <c r="A1910" s="10"/>
      <c r="B1910" s="10"/>
      <c r="E1910" s="10"/>
      <c r="G1910" s="10"/>
      <c r="I1910" s="436" t="s">
        <v>5525</v>
      </c>
      <c r="J1910" s="26" t="s">
        <v>5524</v>
      </c>
      <c r="K1910" s="10">
        <v>1.25</v>
      </c>
      <c r="L1910" s="73">
        <f>IF(Tank1!$C$23="No control",(SUMIF(Tank1!$B$32:$B$49,$J1910,Tank1!$C$32:$C$49)*Impacts!$F$8),0)</f>
        <v>0</v>
      </c>
      <c r="M1910" s="10">
        <f>IF(Tank2!$C$23="No control",(SUMIF(Tank2!$B$32:$B$49,$J1910,Tank2!$C$32:$C$49)*Impacts!$F$9),0)</f>
        <v>0</v>
      </c>
      <c r="N1910" s="10">
        <f>IF(Tank3!$C$23="No control",(SUMIF(Tank3!$B$32:$B$49,$J1910,Tank3!$C$32:$C$49)*Impacts!$F$10),0)</f>
        <v>0</v>
      </c>
      <c r="O1910" s="10">
        <f>IF(Tank4!$C$23="No control",(SUMIF(Tank4!$B$32:$B$49,$J1910,Tank4!$C$32:$C$49)*Impacts!$F$11),0)</f>
        <v>0</v>
      </c>
      <c r="P1910" s="10">
        <f>IF(Tank5!$C$23="No control",(SUMIF(Tank5!$B$32:$B$49,$J1910,Tank5!$C$32:$C$49)*Impacts!$F$12),0)</f>
        <v>0</v>
      </c>
      <c r="Q1910" s="10">
        <f>IFERROR(IF(('Loading-drum,tote'!$C$21)="No control",SUMIF(('Loading-drum,tote'!$B$31:$B$48),$J1910,('Loading-drum,tote'!$D$31:$D$48))*Impacts!$F$13,IF(('Loading-drum,tote'!$C$21)&lt;&gt;"No control",SUMIF(('Loading-drum,tote'!$B$31:$B$48),$J1910,('Loading-drum,tote'!$E$31:$E$48))*Impacts!$F$13,0)),0)</f>
        <v>0</v>
      </c>
      <c r="R1910" s="10">
        <f>IFERROR(IF(('Loading-truck'!$C$21)="No control",SUMIF(('Loading-truck'!$B$31:$B$48),$J1910,('Loading-truck'!$D$31:$D$48))*Impacts!$F$14,IF(('Loading-truck'!$C$21)&lt;&gt;"No control",SUMIF(('Loading-truck'!$B$31:$B$48),$J1910,('Loading-truck'!$E$31:$E$48))*Impacts!$F$14,0)),0)</f>
        <v>0</v>
      </c>
      <c r="S1910" s="10">
        <f>IFERROR(IF(('Loading-rail'!$C$21)="No control",SUMIF(('Loading-rail'!$B$31:$B$48),$J1910,('Loading-rail'!$D$31:$D$48))*Impacts!$F$15,IF(('Loading-rail'!$C$21)&lt;&gt;"No control",SUMIF(('Loading-rail'!$B$31:$B$48),$J1910,('Loading-rail'!$E$31:$E$48))*Impacts!$F$15,0)),0)</f>
        <v>0</v>
      </c>
      <c r="T1910" s="10">
        <f>IF(Flare!$C$7="",0,(SUMIF(Flare!$B$46:$B$185,$J1910,Flare!$E$46:$E$185)*Impacts!$F$16))</f>
        <v>0</v>
      </c>
      <c r="U1910" s="10">
        <f>IF(VCU!$C$9="",0,(SUMIF(VCU!$B$51:$B$193,$J1910,VCU!$E$51:$E$193)*Impacts!$F$17))</f>
        <v>0</v>
      </c>
      <c r="V1910" s="10">
        <f>IF(CAS!$C$7="",0,(SUMIF(CAS!$B$31:$B$167,$J1910,CAS!$E$31:$E$167)*Impacts!$F$18))</f>
        <v>0</v>
      </c>
      <c r="W1910" s="10">
        <f t="shared" si="70"/>
        <v>0</v>
      </c>
      <c r="AK1910" s="10" t="str">
        <f t="array" ref="AK1910">IFERROR(INDEX(SelectedSpecies,SMALL(IF(SelectedSpecies=AK$1,ROW(SelectedSpecies)),ROW(1911:1911)),2),"")</f>
        <v/>
      </c>
      <c r="BE1910" s="10"/>
      <c r="BI1910" s="10"/>
    </row>
    <row r="1911" spans="1:61" ht="21" customHeight="1" x14ac:dyDescent="0.25">
      <c r="A1911" s="10"/>
      <c r="B1911" s="10"/>
      <c r="E1911" s="10"/>
      <c r="G1911" s="10"/>
      <c r="I1911" s="436" t="s">
        <v>5273</v>
      </c>
      <c r="J1911" s="26" t="s">
        <v>5272</v>
      </c>
      <c r="K1911" s="10">
        <v>1.8</v>
      </c>
      <c r="L1911" s="73">
        <f>IF(Tank1!$C$23="No control",(SUMIF(Tank1!$B$32:$B$49,$J1911,Tank1!$C$32:$C$49)*Impacts!$F$8),0)</f>
        <v>0</v>
      </c>
      <c r="M1911" s="10">
        <f>IF(Tank2!$C$23="No control",(SUMIF(Tank2!$B$32:$B$49,$J1911,Tank2!$C$32:$C$49)*Impacts!$F$9),0)</f>
        <v>0</v>
      </c>
      <c r="N1911" s="10">
        <f>IF(Tank3!$C$23="No control",(SUMIF(Tank3!$B$32:$B$49,$J1911,Tank3!$C$32:$C$49)*Impacts!$F$10),0)</f>
        <v>0</v>
      </c>
      <c r="O1911" s="10">
        <f>IF(Tank4!$C$23="No control",(SUMIF(Tank4!$B$32:$B$49,$J1911,Tank4!$C$32:$C$49)*Impacts!$F$11),0)</f>
        <v>0</v>
      </c>
      <c r="P1911" s="10">
        <f>IF(Tank5!$C$23="No control",(SUMIF(Tank5!$B$32:$B$49,$J1911,Tank5!$C$32:$C$49)*Impacts!$F$12),0)</f>
        <v>0</v>
      </c>
      <c r="Q1911" s="10">
        <f>IFERROR(IF(('Loading-drum,tote'!$C$21)="No control",SUMIF(('Loading-drum,tote'!$B$31:$B$48),$J1911,('Loading-drum,tote'!$D$31:$D$48))*Impacts!$F$13,IF(('Loading-drum,tote'!$C$21)&lt;&gt;"No control",SUMIF(('Loading-drum,tote'!$B$31:$B$48),$J1911,('Loading-drum,tote'!$E$31:$E$48))*Impacts!$F$13,0)),0)</f>
        <v>0</v>
      </c>
      <c r="R1911" s="10">
        <f>IFERROR(IF(('Loading-truck'!$C$21)="No control",SUMIF(('Loading-truck'!$B$31:$B$48),$J1911,('Loading-truck'!$D$31:$D$48))*Impacts!$F$14,IF(('Loading-truck'!$C$21)&lt;&gt;"No control",SUMIF(('Loading-truck'!$B$31:$B$48),$J1911,('Loading-truck'!$E$31:$E$48))*Impacts!$F$14,0)),0)</f>
        <v>0</v>
      </c>
      <c r="S1911" s="10">
        <f>IFERROR(IF(('Loading-rail'!$C$21)="No control",SUMIF(('Loading-rail'!$B$31:$B$48),$J1911,('Loading-rail'!$D$31:$D$48))*Impacts!$F$15,IF(('Loading-rail'!$C$21)&lt;&gt;"No control",SUMIF(('Loading-rail'!$B$31:$B$48),$J1911,('Loading-rail'!$E$31:$E$48))*Impacts!$F$15,0)),0)</f>
        <v>0</v>
      </c>
      <c r="T1911" s="10">
        <f>IF(Flare!$C$7="",0,(SUMIF(Flare!$B$46:$B$185,$J1911,Flare!$E$46:$E$185)*Impacts!$F$16))</f>
        <v>0</v>
      </c>
      <c r="U1911" s="10">
        <f>IF(VCU!$C$9="",0,(SUMIF(VCU!$B$51:$B$193,$J1911,VCU!$E$51:$E$193)*Impacts!$F$17))</f>
        <v>0</v>
      </c>
      <c r="V1911" s="10">
        <f>IF(CAS!$C$7="",0,(SUMIF(CAS!$B$31:$B$167,$J1911,CAS!$E$31:$E$167)*Impacts!$F$18))</f>
        <v>0</v>
      </c>
      <c r="W1911" s="10">
        <f t="shared" si="70"/>
        <v>0</v>
      </c>
      <c r="AK1911" s="10" t="str">
        <f t="array" ref="AK1911">IFERROR(INDEX(SelectedSpecies,SMALL(IF(SelectedSpecies=AK$1,ROW(SelectedSpecies)),ROW(1912:1912)),2),"")</f>
        <v/>
      </c>
      <c r="BE1911" s="10"/>
      <c r="BI1911" s="10"/>
    </row>
    <row r="1912" spans="1:61" ht="21" customHeight="1" x14ac:dyDescent="0.25">
      <c r="A1912" s="10"/>
      <c r="B1912" s="10"/>
      <c r="E1912" s="10"/>
      <c r="G1912" s="10"/>
      <c r="I1912" s="436" t="s">
        <v>910</v>
      </c>
      <c r="J1912" s="26" t="s">
        <v>909</v>
      </c>
      <c r="K1912" s="10">
        <v>45</v>
      </c>
      <c r="L1912" s="73">
        <f>IF(Tank1!$C$23="No control",(SUMIF(Tank1!$B$32:$B$49,$J1912,Tank1!$C$32:$C$49)*Impacts!$F$8),0)</f>
        <v>0</v>
      </c>
      <c r="M1912" s="10">
        <f>IF(Tank2!$C$23="No control",(SUMIF(Tank2!$B$32:$B$49,$J1912,Tank2!$C$32:$C$49)*Impacts!$F$9),0)</f>
        <v>0</v>
      </c>
      <c r="N1912" s="10">
        <f>IF(Tank3!$C$23="No control",(SUMIF(Tank3!$B$32:$B$49,$J1912,Tank3!$C$32:$C$49)*Impacts!$F$10),0)</f>
        <v>0</v>
      </c>
      <c r="O1912" s="10">
        <f>IF(Tank4!$C$23="No control",(SUMIF(Tank4!$B$32:$B$49,$J1912,Tank4!$C$32:$C$49)*Impacts!$F$11),0)</f>
        <v>0</v>
      </c>
      <c r="P1912" s="10">
        <f>IF(Tank5!$C$23="No control",(SUMIF(Tank5!$B$32:$B$49,$J1912,Tank5!$C$32:$C$49)*Impacts!$F$12),0)</f>
        <v>0</v>
      </c>
      <c r="Q1912" s="10">
        <f>IFERROR(IF(('Loading-drum,tote'!$C$21)="No control",SUMIF(('Loading-drum,tote'!$B$31:$B$48),$J1912,('Loading-drum,tote'!$D$31:$D$48))*Impacts!$F$13,IF(('Loading-drum,tote'!$C$21)&lt;&gt;"No control",SUMIF(('Loading-drum,tote'!$B$31:$B$48),$J1912,('Loading-drum,tote'!$E$31:$E$48))*Impacts!$F$13,0)),0)</f>
        <v>0</v>
      </c>
      <c r="R1912" s="10">
        <f>IFERROR(IF(('Loading-truck'!$C$21)="No control",SUMIF(('Loading-truck'!$B$31:$B$48),$J1912,('Loading-truck'!$D$31:$D$48))*Impacts!$F$14,IF(('Loading-truck'!$C$21)&lt;&gt;"No control",SUMIF(('Loading-truck'!$B$31:$B$48),$J1912,('Loading-truck'!$E$31:$E$48))*Impacts!$F$14,0)),0)</f>
        <v>0</v>
      </c>
      <c r="S1912" s="10">
        <f>IFERROR(IF(('Loading-rail'!$C$21)="No control",SUMIF(('Loading-rail'!$B$31:$B$48),$J1912,('Loading-rail'!$D$31:$D$48))*Impacts!$F$15,IF(('Loading-rail'!$C$21)&lt;&gt;"No control",SUMIF(('Loading-rail'!$B$31:$B$48),$J1912,('Loading-rail'!$E$31:$E$48))*Impacts!$F$15,0)),0)</f>
        <v>0</v>
      </c>
      <c r="T1912" s="10">
        <f>IF(Flare!$C$7="",0,(SUMIF(Flare!$B$46:$B$185,$J1912,Flare!$E$46:$E$185)*Impacts!$F$16))</f>
        <v>0</v>
      </c>
      <c r="U1912" s="10">
        <f>IF(VCU!$C$9="",0,(SUMIF(VCU!$B$51:$B$193,$J1912,VCU!$E$51:$E$193)*Impacts!$F$17))</f>
        <v>0</v>
      </c>
      <c r="V1912" s="10">
        <f>IF(CAS!$C$7="",0,(SUMIF(CAS!$B$31:$B$167,$J1912,CAS!$E$31:$E$167)*Impacts!$F$18))</f>
        <v>0</v>
      </c>
      <c r="W1912" s="10">
        <f t="shared" si="70"/>
        <v>0</v>
      </c>
      <c r="AK1912" s="10" t="str">
        <f t="array" ref="AK1912">IFERROR(INDEX(SelectedSpecies,SMALL(IF(SelectedSpecies=AK$1,ROW(SelectedSpecies)),ROW(1913:1913)),2),"")</f>
        <v/>
      </c>
      <c r="BE1912" s="10"/>
      <c r="BI1912" s="10"/>
    </row>
    <row r="1913" spans="1:61" ht="21" customHeight="1" x14ac:dyDescent="0.25">
      <c r="A1913" s="10"/>
      <c r="B1913" s="10"/>
      <c r="E1913" s="10"/>
      <c r="G1913" s="10"/>
      <c r="I1913" s="436" t="s">
        <v>1332</v>
      </c>
      <c r="J1913" s="26" t="s">
        <v>1331</v>
      </c>
      <c r="K1913" s="10">
        <v>33</v>
      </c>
      <c r="L1913" s="73">
        <f>IF(Tank1!$C$23="No control",(SUMIF(Tank1!$B$32:$B$49,$J1913,Tank1!$C$32:$C$49)*Impacts!$F$8),0)</f>
        <v>0</v>
      </c>
      <c r="M1913" s="10">
        <f>IF(Tank2!$C$23="No control",(SUMIF(Tank2!$B$32:$B$49,$J1913,Tank2!$C$32:$C$49)*Impacts!$F$9),0)</f>
        <v>0</v>
      </c>
      <c r="N1913" s="10">
        <f>IF(Tank3!$C$23="No control",(SUMIF(Tank3!$B$32:$B$49,$J1913,Tank3!$C$32:$C$49)*Impacts!$F$10),0)</f>
        <v>0</v>
      </c>
      <c r="O1913" s="10">
        <f>IF(Tank4!$C$23="No control",(SUMIF(Tank4!$B$32:$B$49,$J1913,Tank4!$C$32:$C$49)*Impacts!$F$11),0)</f>
        <v>0</v>
      </c>
      <c r="P1913" s="10">
        <f>IF(Tank5!$C$23="No control",(SUMIF(Tank5!$B$32:$B$49,$J1913,Tank5!$C$32:$C$49)*Impacts!$F$12),0)</f>
        <v>0</v>
      </c>
      <c r="Q1913" s="10">
        <f>IFERROR(IF(('Loading-drum,tote'!$C$21)="No control",SUMIF(('Loading-drum,tote'!$B$31:$B$48),$J1913,('Loading-drum,tote'!$D$31:$D$48))*Impacts!$F$13,IF(('Loading-drum,tote'!$C$21)&lt;&gt;"No control",SUMIF(('Loading-drum,tote'!$B$31:$B$48),$J1913,('Loading-drum,tote'!$E$31:$E$48))*Impacts!$F$13,0)),0)</f>
        <v>0</v>
      </c>
      <c r="R1913" s="10">
        <f>IFERROR(IF(('Loading-truck'!$C$21)="No control",SUMIF(('Loading-truck'!$B$31:$B$48),$J1913,('Loading-truck'!$D$31:$D$48))*Impacts!$F$14,IF(('Loading-truck'!$C$21)&lt;&gt;"No control",SUMIF(('Loading-truck'!$B$31:$B$48),$J1913,('Loading-truck'!$E$31:$E$48))*Impacts!$F$14,0)),0)</f>
        <v>0</v>
      </c>
      <c r="S1913" s="10">
        <f>IFERROR(IF(('Loading-rail'!$C$21)="No control",SUMIF(('Loading-rail'!$B$31:$B$48),$J1913,('Loading-rail'!$D$31:$D$48))*Impacts!$F$15,IF(('Loading-rail'!$C$21)&lt;&gt;"No control",SUMIF(('Loading-rail'!$B$31:$B$48),$J1913,('Loading-rail'!$E$31:$E$48))*Impacts!$F$15,0)),0)</f>
        <v>0</v>
      </c>
      <c r="T1913" s="10">
        <f>IF(Flare!$C$7="",0,(SUMIF(Flare!$B$46:$B$185,$J1913,Flare!$E$46:$E$185)*Impacts!$F$16))</f>
        <v>0</v>
      </c>
      <c r="U1913" s="10">
        <f>IF(VCU!$C$9="",0,(SUMIF(VCU!$B$51:$B$193,$J1913,VCU!$E$51:$E$193)*Impacts!$F$17))</f>
        <v>0</v>
      </c>
      <c r="V1913" s="10">
        <f>IF(CAS!$C$7="",0,(SUMIF(CAS!$B$31:$B$167,$J1913,CAS!$E$31:$E$167)*Impacts!$F$18))</f>
        <v>0</v>
      </c>
      <c r="W1913" s="10">
        <f t="shared" si="70"/>
        <v>0</v>
      </c>
      <c r="AK1913" s="10" t="str">
        <f t="array" ref="AK1913">IFERROR(INDEX(SelectedSpecies,SMALL(IF(SelectedSpecies=AK$1,ROW(SelectedSpecies)),ROW(1914:1914)),2),"")</f>
        <v/>
      </c>
      <c r="BE1913" s="10"/>
      <c r="BI1913" s="10"/>
    </row>
    <row r="1914" spans="1:61" ht="21" customHeight="1" x14ac:dyDescent="0.25">
      <c r="A1914" s="10"/>
      <c r="B1914" s="10"/>
      <c r="E1914" s="10"/>
      <c r="G1914" s="10"/>
      <c r="I1914" s="436" t="s">
        <v>1334</v>
      </c>
      <c r="J1914" s="26" t="s">
        <v>1333</v>
      </c>
      <c r="K1914" s="10">
        <v>33</v>
      </c>
      <c r="L1914" s="73">
        <f>IF(Tank1!$C$23="No control",(SUMIF(Tank1!$B$32:$B$49,$J1914,Tank1!$C$32:$C$49)*Impacts!$F$8),0)</f>
        <v>0</v>
      </c>
      <c r="M1914" s="10">
        <f>IF(Tank2!$C$23="No control",(SUMIF(Tank2!$B$32:$B$49,$J1914,Tank2!$C$32:$C$49)*Impacts!$F$9),0)</f>
        <v>0</v>
      </c>
      <c r="N1914" s="10">
        <f>IF(Tank3!$C$23="No control",(SUMIF(Tank3!$B$32:$B$49,$J1914,Tank3!$C$32:$C$49)*Impacts!$F$10),0)</f>
        <v>0</v>
      </c>
      <c r="O1914" s="10">
        <f>IF(Tank4!$C$23="No control",(SUMIF(Tank4!$B$32:$B$49,$J1914,Tank4!$C$32:$C$49)*Impacts!$F$11),0)</f>
        <v>0</v>
      </c>
      <c r="P1914" s="10">
        <f>IF(Tank5!$C$23="No control",(SUMIF(Tank5!$B$32:$B$49,$J1914,Tank5!$C$32:$C$49)*Impacts!$F$12),0)</f>
        <v>0</v>
      </c>
      <c r="Q1914" s="10">
        <f>IFERROR(IF(('Loading-drum,tote'!$C$21)="No control",SUMIF(('Loading-drum,tote'!$B$31:$B$48),$J1914,('Loading-drum,tote'!$D$31:$D$48))*Impacts!$F$13,IF(('Loading-drum,tote'!$C$21)&lt;&gt;"No control",SUMIF(('Loading-drum,tote'!$B$31:$B$48),$J1914,('Loading-drum,tote'!$E$31:$E$48))*Impacts!$F$13,0)),0)</f>
        <v>0</v>
      </c>
      <c r="R1914" s="10">
        <f>IFERROR(IF(('Loading-truck'!$C$21)="No control",SUMIF(('Loading-truck'!$B$31:$B$48),$J1914,('Loading-truck'!$D$31:$D$48))*Impacts!$F$14,IF(('Loading-truck'!$C$21)&lt;&gt;"No control",SUMIF(('Loading-truck'!$B$31:$B$48),$J1914,('Loading-truck'!$E$31:$E$48))*Impacts!$F$14,0)),0)</f>
        <v>0</v>
      </c>
      <c r="S1914" s="10">
        <f>IFERROR(IF(('Loading-rail'!$C$21)="No control",SUMIF(('Loading-rail'!$B$31:$B$48),$J1914,('Loading-rail'!$D$31:$D$48))*Impacts!$F$15,IF(('Loading-rail'!$C$21)&lt;&gt;"No control",SUMIF(('Loading-rail'!$B$31:$B$48),$J1914,('Loading-rail'!$E$31:$E$48))*Impacts!$F$15,0)),0)</f>
        <v>0</v>
      </c>
      <c r="T1914" s="10">
        <f>IF(Flare!$C$7="",0,(SUMIF(Flare!$B$46:$B$185,$J1914,Flare!$E$46:$E$185)*Impacts!$F$16))</f>
        <v>0</v>
      </c>
      <c r="U1914" s="10">
        <f>IF(VCU!$C$9="",0,(SUMIF(VCU!$B$51:$B$193,$J1914,VCU!$E$51:$E$193)*Impacts!$F$17))</f>
        <v>0</v>
      </c>
      <c r="V1914" s="10">
        <f>IF(CAS!$C$7="",0,(SUMIF(CAS!$B$31:$B$167,$J1914,CAS!$E$31:$E$167)*Impacts!$F$18))</f>
        <v>0</v>
      </c>
      <c r="W1914" s="10">
        <f t="shared" si="70"/>
        <v>0</v>
      </c>
      <c r="AK1914" s="10" t="str">
        <f t="array" ref="AK1914">IFERROR(INDEX(SelectedSpecies,SMALL(IF(SelectedSpecies=AK$1,ROW(SelectedSpecies)),ROW(1915:1915)),2),"")</f>
        <v/>
      </c>
      <c r="BE1914" s="10"/>
      <c r="BI1914" s="10"/>
    </row>
    <row r="1915" spans="1:61" ht="21" customHeight="1" x14ac:dyDescent="0.25">
      <c r="A1915" s="10"/>
      <c r="B1915" s="10"/>
      <c r="E1915" s="10"/>
      <c r="G1915" s="10"/>
      <c r="I1915" s="436" t="s">
        <v>1336</v>
      </c>
      <c r="J1915" s="26" t="s">
        <v>1335</v>
      </c>
      <c r="K1915" s="10">
        <v>33</v>
      </c>
      <c r="L1915" s="73">
        <f>IF(Tank1!$C$23="No control",(SUMIF(Tank1!$B$32:$B$49,$J1915,Tank1!$C$32:$C$49)*Impacts!$F$8),0)</f>
        <v>0</v>
      </c>
      <c r="M1915" s="10">
        <f>IF(Tank2!$C$23="No control",(SUMIF(Tank2!$B$32:$B$49,$J1915,Tank2!$C$32:$C$49)*Impacts!$F$9),0)</f>
        <v>0</v>
      </c>
      <c r="N1915" s="10">
        <f>IF(Tank3!$C$23="No control",(SUMIF(Tank3!$B$32:$B$49,$J1915,Tank3!$C$32:$C$49)*Impacts!$F$10),0)</f>
        <v>0</v>
      </c>
      <c r="O1915" s="10">
        <f>IF(Tank4!$C$23="No control",(SUMIF(Tank4!$B$32:$B$49,$J1915,Tank4!$C$32:$C$49)*Impacts!$F$11),0)</f>
        <v>0</v>
      </c>
      <c r="P1915" s="10">
        <f>IF(Tank5!$C$23="No control",(SUMIF(Tank5!$B$32:$B$49,$J1915,Tank5!$C$32:$C$49)*Impacts!$F$12),0)</f>
        <v>0</v>
      </c>
      <c r="Q1915" s="10">
        <f>IFERROR(IF(('Loading-drum,tote'!$C$21)="No control",SUMIF(('Loading-drum,tote'!$B$31:$B$48),$J1915,('Loading-drum,tote'!$D$31:$D$48))*Impacts!$F$13,IF(('Loading-drum,tote'!$C$21)&lt;&gt;"No control",SUMIF(('Loading-drum,tote'!$B$31:$B$48),$J1915,('Loading-drum,tote'!$E$31:$E$48))*Impacts!$F$13,0)),0)</f>
        <v>0</v>
      </c>
      <c r="R1915" s="10">
        <f>IFERROR(IF(('Loading-truck'!$C$21)="No control",SUMIF(('Loading-truck'!$B$31:$B$48),$J1915,('Loading-truck'!$D$31:$D$48))*Impacts!$F$14,IF(('Loading-truck'!$C$21)&lt;&gt;"No control",SUMIF(('Loading-truck'!$B$31:$B$48),$J1915,('Loading-truck'!$E$31:$E$48))*Impacts!$F$14,0)),0)</f>
        <v>0</v>
      </c>
      <c r="S1915" s="10">
        <f>IFERROR(IF(('Loading-rail'!$C$21)="No control",SUMIF(('Loading-rail'!$B$31:$B$48),$J1915,('Loading-rail'!$D$31:$D$48))*Impacts!$F$15,IF(('Loading-rail'!$C$21)&lt;&gt;"No control",SUMIF(('Loading-rail'!$B$31:$B$48),$J1915,('Loading-rail'!$E$31:$E$48))*Impacts!$F$15,0)),0)</f>
        <v>0</v>
      </c>
      <c r="T1915" s="10">
        <f>IF(Flare!$C$7="",0,(SUMIF(Flare!$B$46:$B$185,$J1915,Flare!$E$46:$E$185)*Impacts!$F$16))</f>
        <v>0</v>
      </c>
      <c r="U1915" s="10">
        <f>IF(VCU!$C$9="",0,(SUMIF(VCU!$B$51:$B$193,$J1915,VCU!$E$51:$E$193)*Impacts!$F$17))</f>
        <v>0</v>
      </c>
      <c r="V1915" s="10">
        <f>IF(CAS!$C$7="",0,(SUMIF(CAS!$B$31:$B$167,$J1915,CAS!$E$31:$E$167)*Impacts!$F$18))</f>
        <v>0</v>
      </c>
      <c r="W1915" s="10">
        <f t="shared" si="70"/>
        <v>0</v>
      </c>
      <c r="AK1915" s="10" t="str">
        <f t="array" ref="AK1915">IFERROR(INDEX(SelectedSpecies,SMALL(IF(SelectedSpecies=AK$1,ROW(SelectedSpecies)),ROW(1916:1916)),2),"")</f>
        <v/>
      </c>
      <c r="BE1915" s="10"/>
      <c r="BI1915" s="10"/>
    </row>
    <row r="1916" spans="1:61" ht="21" customHeight="1" x14ac:dyDescent="0.25">
      <c r="A1916" s="10"/>
      <c r="B1916" s="10"/>
      <c r="E1916" s="10"/>
      <c r="G1916" s="10"/>
      <c r="I1916" s="436" t="s">
        <v>2891</v>
      </c>
      <c r="J1916" s="26" t="s">
        <v>2890</v>
      </c>
      <c r="K1916" s="10">
        <v>10</v>
      </c>
      <c r="L1916" s="73">
        <f>IF(Tank1!$C$23="No control",(SUMIF(Tank1!$B$32:$B$49,$J1916,Tank1!$C$32:$C$49)*Impacts!$F$8),0)</f>
        <v>0</v>
      </c>
      <c r="M1916" s="10">
        <f>IF(Tank2!$C$23="No control",(SUMIF(Tank2!$B$32:$B$49,$J1916,Tank2!$C$32:$C$49)*Impacts!$F$9),0)</f>
        <v>0</v>
      </c>
      <c r="N1916" s="10">
        <f>IF(Tank3!$C$23="No control",(SUMIF(Tank3!$B$32:$B$49,$J1916,Tank3!$C$32:$C$49)*Impacts!$F$10),0)</f>
        <v>0</v>
      </c>
      <c r="O1916" s="10">
        <f>IF(Tank4!$C$23="No control",(SUMIF(Tank4!$B$32:$B$49,$J1916,Tank4!$C$32:$C$49)*Impacts!$F$11),0)</f>
        <v>0</v>
      </c>
      <c r="P1916" s="10">
        <f>IF(Tank5!$C$23="No control",(SUMIF(Tank5!$B$32:$B$49,$J1916,Tank5!$C$32:$C$49)*Impacts!$F$12),0)</f>
        <v>0</v>
      </c>
      <c r="Q1916" s="10">
        <f>IFERROR(IF(('Loading-drum,tote'!$C$21)="No control",SUMIF(('Loading-drum,tote'!$B$31:$B$48),$J1916,('Loading-drum,tote'!$D$31:$D$48))*Impacts!$F$13,IF(('Loading-drum,tote'!$C$21)&lt;&gt;"No control",SUMIF(('Loading-drum,tote'!$B$31:$B$48),$J1916,('Loading-drum,tote'!$E$31:$E$48))*Impacts!$F$13,0)),0)</f>
        <v>0</v>
      </c>
      <c r="R1916" s="10">
        <f>IFERROR(IF(('Loading-truck'!$C$21)="No control",SUMIF(('Loading-truck'!$B$31:$B$48),$J1916,('Loading-truck'!$D$31:$D$48))*Impacts!$F$14,IF(('Loading-truck'!$C$21)&lt;&gt;"No control",SUMIF(('Loading-truck'!$B$31:$B$48),$J1916,('Loading-truck'!$E$31:$E$48))*Impacts!$F$14,0)),0)</f>
        <v>0</v>
      </c>
      <c r="S1916" s="10">
        <f>IFERROR(IF(('Loading-rail'!$C$21)="No control",SUMIF(('Loading-rail'!$B$31:$B$48),$J1916,('Loading-rail'!$D$31:$D$48))*Impacts!$F$15,IF(('Loading-rail'!$C$21)&lt;&gt;"No control",SUMIF(('Loading-rail'!$B$31:$B$48),$J1916,('Loading-rail'!$E$31:$E$48))*Impacts!$F$15,0)),0)</f>
        <v>0</v>
      </c>
      <c r="T1916" s="10">
        <f>IF(Flare!$C$7="",0,(SUMIF(Flare!$B$46:$B$185,$J1916,Flare!$E$46:$E$185)*Impacts!$F$16))</f>
        <v>0</v>
      </c>
      <c r="U1916" s="10">
        <f>IF(VCU!$C$9="",0,(SUMIF(VCU!$B$51:$B$193,$J1916,VCU!$E$51:$E$193)*Impacts!$F$17))</f>
        <v>0</v>
      </c>
      <c r="V1916" s="10">
        <f>IF(CAS!$C$7="",0,(SUMIF(CAS!$B$31:$B$167,$J1916,CAS!$E$31:$E$167)*Impacts!$F$18))</f>
        <v>0</v>
      </c>
      <c r="W1916" s="10">
        <f t="shared" si="70"/>
        <v>0</v>
      </c>
      <c r="AK1916" s="10" t="str">
        <f t="array" ref="AK1916">IFERROR(INDEX(SelectedSpecies,SMALL(IF(SelectedSpecies=AK$1,ROW(SelectedSpecies)),ROW(1917:1917)),2),"")</f>
        <v/>
      </c>
      <c r="BE1916" s="10"/>
      <c r="BI1916" s="10"/>
    </row>
    <row r="1917" spans="1:61" ht="21" customHeight="1" x14ac:dyDescent="0.25">
      <c r="A1917" s="10"/>
      <c r="B1917" s="10"/>
      <c r="E1917" s="10"/>
      <c r="G1917" s="10"/>
      <c r="I1917" s="436" t="s">
        <v>2003</v>
      </c>
      <c r="J1917" s="26" t="s">
        <v>2002</v>
      </c>
      <c r="K1917" s="10">
        <v>17</v>
      </c>
      <c r="L1917" s="73">
        <f>IF(Tank1!$C$23="No control",(SUMIF(Tank1!$B$32:$B$49,$J1917,Tank1!$C$32:$C$49)*Impacts!$F$8),0)</f>
        <v>0</v>
      </c>
      <c r="M1917" s="10">
        <f>IF(Tank2!$C$23="No control",(SUMIF(Tank2!$B$32:$B$49,$J1917,Tank2!$C$32:$C$49)*Impacts!$F$9),0)</f>
        <v>0</v>
      </c>
      <c r="N1917" s="10">
        <f>IF(Tank3!$C$23="No control",(SUMIF(Tank3!$B$32:$B$49,$J1917,Tank3!$C$32:$C$49)*Impacts!$F$10),0)</f>
        <v>0</v>
      </c>
      <c r="O1917" s="10">
        <f>IF(Tank4!$C$23="No control",(SUMIF(Tank4!$B$32:$B$49,$J1917,Tank4!$C$32:$C$49)*Impacts!$F$11),0)</f>
        <v>0</v>
      </c>
      <c r="P1917" s="10">
        <f>IF(Tank5!$C$23="No control",(SUMIF(Tank5!$B$32:$B$49,$J1917,Tank5!$C$32:$C$49)*Impacts!$F$12),0)</f>
        <v>0</v>
      </c>
      <c r="Q1917" s="10">
        <f>IFERROR(IF(('Loading-drum,tote'!$C$21)="No control",SUMIF(('Loading-drum,tote'!$B$31:$B$48),$J1917,('Loading-drum,tote'!$D$31:$D$48))*Impacts!$F$13,IF(('Loading-drum,tote'!$C$21)&lt;&gt;"No control",SUMIF(('Loading-drum,tote'!$B$31:$B$48),$J1917,('Loading-drum,tote'!$E$31:$E$48))*Impacts!$F$13,0)),0)</f>
        <v>0</v>
      </c>
      <c r="R1917" s="10">
        <f>IFERROR(IF(('Loading-truck'!$C$21)="No control",SUMIF(('Loading-truck'!$B$31:$B$48),$J1917,('Loading-truck'!$D$31:$D$48))*Impacts!$F$14,IF(('Loading-truck'!$C$21)&lt;&gt;"No control",SUMIF(('Loading-truck'!$B$31:$B$48),$J1917,('Loading-truck'!$E$31:$E$48))*Impacts!$F$14,0)),0)</f>
        <v>0</v>
      </c>
      <c r="S1917" s="10">
        <f>IFERROR(IF(('Loading-rail'!$C$21)="No control",SUMIF(('Loading-rail'!$B$31:$B$48),$J1917,('Loading-rail'!$D$31:$D$48))*Impacts!$F$15,IF(('Loading-rail'!$C$21)&lt;&gt;"No control",SUMIF(('Loading-rail'!$B$31:$B$48),$J1917,('Loading-rail'!$E$31:$E$48))*Impacts!$F$15,0)),0)</f>
        <v>0</v>
      </c>
      <c r="T1917" s="10">
        <f>IF(Flare!$C$7="",0,(SUMIF(Flare!$B$46:$B$185,$J1917,Flare!$E$46:$E$185)*Impacts!$F$16))</f>
        <v>0</v>
      </c>
      <c r="U1917" s="10">
        <f>IF(VCU!$C$9="",0,(SUMIF(VCU!$B$51:$B$193,$J1917,VCU!$E$51:$E$193)*Impacts!$F$17))</f>
        <v>0</v>
      </c>
      <c r="V1917" s="10">
        <f>IF(CAS!$C$7="",0,(SUMIF(CAS!$B$31:$B$167,$J1917,CAS!$E$31:$E$167)*Impacts!$F$18))</f>
        <v>0</v>
      </c>
      <c r="W1917" s="10">
        <f t="shared" si="70"/>
        <v>0</v>
      </c>
      <c r="AK1917" s="10" t="str">
        <f t="array" ref="AK1917">IFERROR(INDEX(SelectedSpecies,SMALL(IF(SelectedSpecies=AK$1,ROW(SelectedSpecies)),ROW(1918:1918)),2),"")</f>
        <v/>
      </c>
      <c r="BE1917" s="10"/>
      <c r="BI1917" s="10"/>
    </row>
    <row r="1918" spans="1:61" ht="21" customHeight="1" x14ac:dyDescent="0.25">
      <c r="A1918" s="10"/>
      <c r="B1918" s="10"/>
      <c r="E1918" s="10"/>
      <c r="G1918" s="10"/>
      <c r="I1918" s="436" t="s">
        <v>4725</v>
      </c>
      <c r="J1918" s="26" t="s">
        <v>4724</v>
      </c>
      <c r="K1918" s="10">
        <v>3.5</v>
      </c>
      <c r="L1918" s="73">
        <f>IF(Tank1!$C$23="No control",(SUMIF(Tank1!$B$32:$B$49,$J1918,Tank1!$C$32:$C$49)*Impacts!$F$8),0)</f>
        <v>0</v>
      </c>
      <c r="M1918" s="10">
        <f>IF(Tank2!$C$23="No control",(SUMIF(Tank2!$B$32:$B$49,$J1918,Tank2!$C$32:$C$49)*Impacts!$F$9),0)</f>
        <v>0</v>
      </c>
      <c r="N1918" s="10">
        <f>IF(Tank3!$C$23="No control",(SUMIF(Tank3!$B$32:$B$49,$J1918,Tank3!$C$32:$C$49)*Impacts!$F$10),0)</f>
        <v>0</v>
      </c>
      <c r="O1918" s="10">
        <f>IF(Tank4!$C$23="No control",(SUMIF(Tank4!$B$32:$B$49,$J1918,Tank4!$C$32:$C$49)*Impacts!$F$11),0)</f>
        <v>0</v>
      </c>
      <c r="P1918" s="10">
        <f>IF(Tank5!$C$23="No control",(SUMIF(Tank5!$B$32:$B$49,$J1918,Tank5!$C$32:$C$49)*Impacts!$F$12),0)</f>
        <v>0</v>
      </c>
      <c r="Q1918" s="10">
        <f>IFERROR(IF(('Loading-drum,tote'!$C$21)="No control",SUMIF(('Loading-drum,tote'!$B$31:$B$48),$J1918,('Loading-drum,tote'!$D$31:$D$48))*Impacts!$F$13,IF(('Loading-drum,tote'!$C$21)&lt;&gt;"No control",SUMIF(('Loading-drum,tote'!$B$31:$B$48),$J1918,('Loading-drum,tote'!$E$31:$E$48))*Impacts!$F$13,0)),0)</f>
        <v>0</v>
      </c>
      <c r="R1918" s="10">
        <f>IFERROR(IF(('Loading-truck'!$C$21)="No control",SUMIF(('Loading-truck'!$B$31:$B$48),$J1918,('Loading-truck'!$D$31:$D$48))*Impacts!$F$14,IF(('Loading-truck'!$C$21)&lt;&gt;"No control",SUMIF(('Loading-truck'!$B$31:$B$48),$J1918,('Loading-truck'!$E$31:$E$48))*Impacts!$F$14,0)),0)</f>
        <v>0</v>
      </c>
      <c r="S1918" s="10">
        <f>IFERROR(IF(('Loading-rail'!$C$21)="No control",SUMIF(('Loading-rail'!$B$31:$B$48),$J1918,('Loading-rail'!$D$31:$D$48))*Impacts!$F$15,IF(('Loading-rail'!$C$21)&lt;&gt;"No control",SUMIF(('Loading-rail'!$B$31:$B$48),$J1918,('Loading-rail'!$E$31:$E$48))*Impacts!$F$15,0)),0)</f>
        <v>0</v>
      </c>
      <c r="T1918" s="10">
        <f>IF(Flare!$C$7="",0,(SUMIF(Flare!$B$46:$B$185,$J1918,Flare!$E$46:$E$185)*Impacts!$F$16))</f>
        <v>0</v>
      </c>
      <c r="U1918" s="10">
        <f>IF(VCU!$C$9="",0,(SUMIF(VCU!$B$51:$B$193,$J1918,VCU!$E$51:$E$193)*Impacts!$F$17))</f>
        <v>0</v>
      </c>
      <c r="V1918" s="10">
        <f>IF(CAS!$C$7="",0,(SUMIF(CAS!$B$31:$B$167,$J1918,CAS!$E$31:$E$167)*Impacts!$F$18))</f>
        <v>0</v>
      </c>
      <c r="W1918" s="10">
        <f t="shared" si="70"/>
        <v>0</v>
      </c>
      <c r="AK1918" s="10" t="str">
        <f t="array" ref="AK1918">IFERROR(INDEX(SelectedSpecies,SMALL(IF(SelectedSpecies=AK$1,ROW(SelectedSpecies)),ROW(1919:1919)),2),"")</f>
        <v/>
      </c>
      <c r="BE1918" s="10"/>
      <c r="BI1918" s="10"/>
    </row>
    <row r="1919" spans="1:61" ht="21" customHeight="1" x14ac:dyDescent="0.25">
      <c r="A1919" s="10"/>
      <c r="B1919" s="10"/>
      <c r="E1919" s="10"/>
      <c r="G1919" s="10"/>
      <c r="I1919" s="436" t="s">
        <v>706</v>
      </c>
      <c r="J1919" s="26" t="s">
        <v>705</v>
      </c>
      <c r="K1919" s="10">
        <v>57</v>
      </c>
      <c r="L1919" s="73">
        <f>IF(Tank1!$C$23="No control",(SUMIF(Tank1!$B$32:$B$49,$J1919,Tank1!$C$32:$C$49)*Impacts!$F$8),0)</f>
        <v>0</v>
      </c>
      <c r="M1919" s="10">
        <f>IF(Tank2!$C$23="No control",(SUMIF(Tank2!$B$32:$B$49,$J1919,Tank2!$C$32:$C$49)*Impacts!$F$9),0)</f>
        <v>0</v>
      </c>
      <c r="N1919" s="10">
        <f>IF(Tank3!$C$23="No control",(SUMIF(Tank3!$B$32:$B$49,$J1919,Tank3!$C$32:$C$49)*Impacts!$F$10),0)</f>
        <v>0</v>
      </c>
      <c r="O1919" s="10">
        <f>IF(Tank4!$C$23="No control",(SUMIF(Tank4!$B$32:$B$49,$J1919,Tank4!$C$32:$C$49)*Impacts!$F$11),0)</f>
        <v>0</v>
      </c>
      <c r="P1919" s="10">
        <f>IF(Tank5!$C$23="No control",(SUMIF(Tank5!$B$32:$B$49,$J1919,Tank5!$C$32:$C$49)*Impacts!$F$12),0)</f>
        <v>0</v>
      </c>
      <c r="Q1919" s="10">
        <f>IFERROR(IF(('Loading-drum,tote'!$C$21)="No control",SUMIF(('Loading-drum,tote'!$B$31:$B$48),$J1919,('Loading-drum,tote'!$D$31:$D$48))*Impacts!$F$13,IF(('Loading-drum,tote'!$C$21)&lt;&gt;"No control",SUMIF(('Loading-drum,tote'!$B$31:$B$48),$J1919,('Loading-drum,tote'!$E$31:$E$48))*Impacts!$F$13,0)),0)</f>
        <v>0</v>
      </c>
      <c r="R1919" s="10">
        <f>IFERROR(IF(('Loading-truck'!$C$21)="No control",SUMIF(('Loading-truck'!$B$31:$B$48),$J1919,('Loading-truck'!$D$31:$D$48))*Impacts!$F$14,IF(('Loading-truck'!$C$21)&lt;&gt;"No control",SUMIF(('Loading-truck'!$B$31:$B$48),$J1919,('Loading-truck'!$E$31:$E$48))*Impacts!$F$14,0)),0)</f>
        <v>0</v>
      </c>
      <c r="S1919" s="10">
        <f>IFERROR(IF(('Loading-rail'!$C$21)="No control",SUMIF(('Loading-rail'!$B$31:$B$48),$J1919,('Loading-rail'!$D$31:$D$48))*Impacts!$F$15,IF(('Loading-rail'!$C$21)&lt;&gt;"No control",SUMIF(('Loading-rail'!$B$31:$B$48),$J1919,('Loading-rail'!$E$31:$E$48))*Impacts!$F$15,0)),0)</f>
        <v>0</v>
      </c>
      <c r="T1919" s="10">
        <f>IF(Flare!$C$7="",0,(SUMIF(Flare!$B$46:$B$185,$J1919,Flare!$E$46:$E$185)*Impacts!$F$16))</f>
        <v>0</v>
      </c>
      <c r="U1919" s="10">
        <f>IF(VCU!$C$9="",0,(SUMIF(VCU!$B$51:$B$193,$J1919,VCU!$E$51:$E$193)*Impacts!$F$17))</f>
        <v>0</v>
      </c>
      <c r="V1919" s="10">
        <f>IF(CAS!$C$7="",0,(SUMIF(CAS!$B$31:$B$167,$J1919,CAS!$E$31:$E$167)*Impacts!$F$18))</f>
        <v>0</v>
      </c>
      <c r="W1919" s="10">
        <f t="shared" si="70"/>
        <v>0</v>
      </c>
      <c r="AK1919" s="10" t="str">
        <f t="array" ref="AK1919">IFERROR(INDEX(SelectedSpecies,SMALL(IF(SelectedSpecies=AK$1,ROW(SelectedSpecies)),ROW(1920:1920)),2),"")</f>
        <v/>
      </c>
      <c r="BE1919" s="10"/>
      <c r="BI1919" s="10"/>
    </row>
    <row r="1920" spans="1:61" ht="21" customHeight="1" x14ac:dyDescent="0.25">
      <c r="A1920" s="10"/>
      <c r="B1920" s="10"/>
      <c r="E1920" s="10"/>
      <c r="G1920" s="10"/>
      <c r="I1920" s="436" t="s">
        <v>2005</v>
      </c>
      <c r="J1920" s="26" t="s">
        <v>2004</v>
      </c>
      <c r="K1920" s="10">
        <v>17</v>
      </c>
      <c r="L1920" s="73">
        <f>IF(Tank1!$C$23="No control",(SUMIF(Tank1!$B$32:$B$49,$J1920,Tank1!$C$32:$C$49)*Impacts!$F$8),0)</f>
        <v>0</v>
      </c>
      <c r="M1920" s="10">
        <f>IF(Tank2!$C$23="No control",(SUMIF(Tank2!$B$32:$B$49,$J1920,Tank2!$C$32:$C$49)*Impacts!$F$9),0)</f>
        <v>0</v>
      </c>
      <c r="N1920" s="10">
        <f>IF(Tank3!$C$23="No control",(SUMIF(Tank3!$B$32:$B$49,$J1920,Tank3!$C$32:$C$49)*Impacts!$F$10),0)</f>
        <v>0</v>
      </c>
      <c r="O1920" s="10">
        <f>IF(Tank4!$C$23="No control",(SUMIF(Tank4!$B$32:$B$49,$J1920,Tank4!$C$32:$C$49)*Impacts!$F$11),0)</f>
        <v>0</v>
      </c>
      <c r="P1920" s="10">
        <f>IF(Tank5!$C$23="No control",(SUMIF(Tank5!$B$32:$B$49,$J1920,Tank5!$C$32:$C$49)*Impacts!$F$12),0)</f>
        <v>0</v>
      </c>
      <c r="Q1920" s="10">
        <f>IFERROR(IF(('Loading-drum,tote'!$C$21)="No control",SUMIF(('Loading-drum,tote'!$B$31:$B$48),$J1920,('Loading-drum,tote'!$D$31:$D$48))*Impacts!$F$13,IF(('Loading-drum,tote'!$C$21)&lt;&gt;"No control",SUMIF(('Loading-drum,tote'!$B$31:$B$48),$J1920,('Loading-drum,tote'!$E$31:$E$48))*Impacts!$F$13,0)),0)</f>
        <v>0</v>
      </c>
      <c r="R1920" s="10">
        <f>IFERROR(IF(('Loading-truck'!$C$21)="No control",SUMIF(('Loading-truck'!$B$31:$B$48),$J1920,('Loading-truck'!$D$31:$D$48))*Impacts!$F$14,IF(('Loading-truck'!$C$21)&lt;&gt;"No control",SUMIF(('Loading-truck'!$B$31:$B$48),$J1920,('Loading-truck'!$E$31:$E$48))*Impacts!$F$14,0)),0)</f>
        <v>0</v>
      </c>
      <c r="S1920" s="10">
        <f>IFERROR(IF(('Loading-rail'!$C$21)="No control",SUMIF(('Loading-rail'!$B$31:$B$48),$J1920,('Loading-rail'!$D$31:$D$48))*Impacts!$F$15,IF(('Loading-rail'!$C$21)&lt;&gt;"No control",SUMIF(('Loading-rail'!$B$31:$B$48),$J1920,('Loading-rail'!$E$31:$E$48))*Impacts!$F$15,0)),0)</f>
        <v>0</v>
      </c>
      <c r="T1920" s="10">
        <f>IF(Flare!$C$7="",0,(SUMIF(Flare!$B$46:$B$185,$J1920,Flare!$E$46:$E$185)*Impacts!$F$16))</f>
        <v>0</v>
      </c>
      <c r="U1920" s="10">
        <f>IF(VCU!$C$9="",0,(SUMIF(VCU!$B$51:$B$193,$J1920,VCU!$E$51:$E$193)*Impacts!$F$17))</f>
        <v>0</v>
      </c>
      <c r="V1920" s="10">
        <f>IF(CAS!$C$7="",0,(SUMIF(CAS!$B$31:$B$167,$J1920,CAS!$E$31:$E$167)*Impacts!$F$18))</f>
        <v>0</v>
      </c>
      <c r="W1920" s="10">
        <f t="shared" si="70"/>
        <v>0</v>
      </c>
      <c r="AK1920" s="10" t="str">
        <f t="array" ref="AK1920">IFERROR(INDEX(SelectedSpecies,SMALL(IF(SelectedSpecies=AK$1,ROW(SelectedSpecies)),ROW(1921:1921)),2),"")</f>
        <v/>
      </c>
      <c r="BE1920" s="10"/>
      <c r="BI1920" s="10"/>
    </row>
    <row r="1921" spans="1:61" ht="21" customHeight="1" x14ac:dyDescent="0.25">
      <c r="A1921" s="10"/>
      <c r="B1921" s="10"/>
      <c r="E1921" s="10"/>
      <c r="G1921" s="10"/>
      <c r="I1921" s="436" t="s">
        <v>4197</v>
      </c>
      <c r="J1921" s="26" t="s">
        <v>4196</v>
      </c>
      <c r="K1921" s="10">
        <v>5</v>
      </c>
      <c r="L1921" s="73">
        <f>IF(Tank1!$C$23="No control",(SUMIF(Tank1!$B$32:$B$49,$J1921,Tank1!$C$32:$C$49)*Impacts!$F$8),0)</f>
        <v>0</v>
      </c>
      <c r="M1921" s="10">
        <f>IF(Tank2!$C$23="No control",(SUMIF(Tank2!$B$32:$B$49,$J1921,Tank2!$C$32:$C$49)*Impacts!$F$9),0)</f>
        <v>0</v>
      </c>
      <c r="N1921" s="10">
        <f>IF(Tank3!$C$23="No control",(SUMIF(Tank3!$B$32:$B$49,$J1921,Tank3!$C$32:$C$49)*Impacts!$F$10),0)</f>
        <v>0</v>
      </c>
      <c r="O1921" s="10">
        <f>IF(Tank4!$C$23="No control",(SUMIF(Tank4!$B$32:$B$49,$J1921,Tank4!$C$32:$C$49)*Impacts!$F$11),0)</f>
        <v>0</v>
      </c>
      <c r="P1921" s="10">
        <f>IF(Tank5!$C$23="No control",(SUMIF(Tank5!$B$32:$B$49,$J1921,Tank5!$C$32:$C$49)*Impacts!$F$12),0)</f>
        <v>0</v>
      </c>
      <c r="Q1921" s="10">
        <f>IFERROR(IF(('Loading-drum,tote'!$C$21)="No control",SUMIF(('Loading-drum,tote'!$B$31:$B$48),$J1921,('Loading-drum,tote'!$D$31:$D$48))*Impacts!$F$13,IF(('Loading-drum,tote'!$C$21)&lt;&gt;"No control",SUMIF(('Loading-drum,tote'!$B$31:$B$48),$J1921,('Loading-drum,tote'!$E$31:$E$48))*Impacts!$F$13,0)),0)</f>
        <v>0</v>
      </c>
      <c r="R1921" s="10">
        <f>IFERROR(IF(('Loading-truck'!$C$21)="No control",SUMIF(('Loading-truck'!$B$31:$B$48),$J1921,('Loading-truck'!$D$31:$D$48))*Impacts!$F$14,IF(('Loading-truck'!$C$21)&lt;&gt;"No control",SUMIF(('Loading-truck'!$B$31:$B$48),$J1921,('Loading-truck'!$E$31:$E$48))*Impacts!$F$14,0)),0)</f>
        <v>0</v>
      </c>
      <c r="S1921" s="10">
        <f>IFERROR(IF(('Loading-rail'!$C$21)="No control",SUMIF(('Loading-rail'!$B$31:$B$48),$J1921,('Loading-rail'!$D$31:$D$48))*Impacts!$F$15,IF(('Loading-rail'!$C$21)&lt;&gt;"No control",SUMIF(('Loading-rail'!$B$31:$B$48),$J1921,('Loading-rail'!$E$31:$E$48))*Impacts!$F$15,0)),0)</f>
        <v>0</v>
      </c>
      <c r="T1921" s="10">
        <f>IF(Flare!$C$7="",0,(SUMIF(Flare!$B$46:$B$185,$J1921,Flare!$E$46:$E$185)*Impacts!$F$16))</f>
        <v>0</v>
      </c>
      <c r="U1921" s="10">
        <f>IF(VCU!$C$9="",0,(SUMIF(VCU!$B$51:$B$193,$J1921,VCU!$E$51:$E$193)*Impacts!$F$17))</f>
        <v>0</v>
      </c>
      <c r="V1921" s="10">
        <f>IF(CAS!$C$7="",0,(SUMIF(CAS!$B$31:$B$167,$J1921,CAS!$E$31:$E$167)*Impacts!$F$18))</f>
        <v>0</v>
      </c>
      <c r="W1921" s="10">
        <f t="shared" si="70"/>
        <v>0</v>
      </c>
      <c r="AK1921" s="10" t="str">
        <f t="array" ref="AK1921">IFERROR(INDEX(SelectedSpecies,SMALL(IF(SelectedSpecies=AK$1,ROW(SelectedSpecies)),ROW(1922:1922)),2),"")</f>
        <v/>
      </c>
      <c r="BE1921" s="10"/>
      <c r="BI1921" s="10"/>
    </row>
    <row r="1922" spans="1:61" ht="21" customHeight="1" x14ac:dyDescent="0.25">
      <c r="A1922" s="10"/>
      <c r="B1922" s="10"/>
      <c r="E1922" s="10"/>
      <c r="G1922" s="10"/>
      <c r="I1922" s="436" t="s">
        <v>530</v>
      </c>
      <c r="J1922" s="26" t="s">
        <v>529</v>
      </c>
      <c r="K1922" s="10">
        <v>100</v>
      </c>
      <c r="L1922" s="73">
        <f>IF(Tank1!$C$23="No control",(SUMIF(Tank1!$B$32:$B$49,$J1922,Tank1!$C$32:$C$49)*Impacts!$F$8),0)</f>
        <v>0</v>
      </c>
      <c r="M1922" s="10">
        <f>IF(Tank2!$C$23="No control",(SUMIF(Tank2!$B$32:$B$49,$J1922,Tank2!$C$32:$C$49)*Impacts!$F$9),0)</f>
        <v>0</v>
      </c>
      <c r="N1922" s="10">
        <f>IF(Tank3!$C$23="No control",(SUMIF(Tank3!$B$32:$B$49,$J1922,Tank3!$C$32:$C$49)*Impacts!$F$10),0)</f>
        <v>0</v>
      </c>
      <c r="O1922" s="10">
        <f>IF(Tank4!$C$23="No control",(SUMIF(Tank4!$B$32:$B$49,$J1922,Tank4!$C$32:$C$49)*Impacts!$F$11),0)</f>
        <v>0</v>
      </c>
      <c r="P1922" s="10">
        <f>IF(Tank5!$C$23="No control",(SUMIF(Tank5!$B$32:$B$49,$J1922,Tank5!$C$32:$C$49)*Impacts!$F$12),0)</f>
        <v>0</v>
      </c>
      <c r="Q1922" s="10">
        <f>IFERROR(IF(('Loading-drum,tote'!$C$21)="No control",SUMIF(('Loading-drum,tote'!$B$31:$B$48),$J1922,('Loading-drum,tote'!$D$31:$D$48))*Impacts!$F$13,IF(('Loading-drum,tote'!$C$21)&lt;&gt;"No control",SUMIF(('Loading-drum,tote'!$B$31:$B$48),$J1922,('Loading-drum,tote'!$E$31:$E$48))*Impacts!$F$13,0)),0)</f>
        <v>0</v>
      </c>
      <c r="R1922" s="10">
        <f>IFERROR(IF(('Loading-truck'!$C$21)="No control",SUMIF(('Loading-truck'!$B$31:$B$48),$J1922,('Loading-truck'!$D$31:$D$48))*Impacts!$F$14,IF(('Loading-truck'!$C$21)&lt;&gt;"No control",SUMIF(('Loading-truck'!$B$31:$B$48),$J1922,('Loading-truck'!$E$31:$E$48))*Impacts!$F$14,0)),0)</f>
        <v>0</v>
      </c>
      <c r="S1922" s="10">
        <f>IFERROR(IF(('Loading-rail'!$C$21)="No control",SUMIF(('Loading-rail'!$B$31:$B$48),$J1922,('Loading-rail'!$D$31:$D$48))*Impacts!$F$15,IF(('Loading-rail'!$C$21)&lt;&gt;"No control",SUMIF(('Loading-rail'!$B$31:$B$48),$J1922,('Loading-rail'!$E$31:$E$48))*Impacts!$F$15,0)),0)</f>
        <v>0</v>
      </c>
      <c r="T1922" s="10">
        <f>IF(Flare!$C$7="",0,(SUMIF(Flare!$B$46:$B$185,$J1922,Flare!$E$46:$E$185)*Impacts!$F$16))</f>
        <v>0</v>
      </c>
      <c r="U1922" s="10">
        <f>IF(VCU!$C$9="",0,(SUMIF(VCU!$B$51:$B$193,$J1922,VCU!$E$51:$E$193)*Impacts!$F$17))</f>
        <v>0</v>
      </c>
      <c r="V1922" s="10">
        <f>IF(CAS!$C$7="",0,(SUMIF(CAS!$B$31:$B$167,$J1922,CAS!$E$31:$E$167)*Impacts!$F$18))</f>
        <v>0</v>
      </c>
      <c r="W1922" s="10">
        <f t="shared" si="70"/>
        <v>0</v>
      </c>
      <c r="AK1922" s="10" t="str">
        <f t="array" ref="AK1922">IFERROR(INDEX(SelectedSpecies,SMALL(IF(SelectedSpecies=AK$1,ROW(SelectedSpecies)),ROW(1923:1923)),2),"")</f>
        <v/>
      </c>
      <c r="BE1922" s="10"/>
      <c r="BI1922" s="10"/>
    </row>
    <row r="1923" spans="1:61" ht="21" customHeight="1" x14ac:dyDescent="0.25">
      <c r="A1923" s="10"/>
      <c r="B1923" s="10"/>
      <c r="E1923" s="10"/>
      <c r="G1923" s="10"/>
      <c r="I1923" s="436" t="s">
        <v>3731</v>
      </c>
      <c r="J1923" s="26" t="s">
        <v>3730</v>
      </c>
      <c r="K1923" s="10">
        <v>6.3000000000000007</v>
      </c>
      <c r="L1923" s="73">
        <f>IF(Tank1!$C$23="No control",(SUMIF(Tank1!$B$32:$B$49,$J1923,Tank1!$C$32:$C$49)*Impacts!$F$8),0)</f>
        <v>0</v>
      </c>
      <c r="M1923" s="10">
        <f>IF(Tank2!$C$23="No control",(SUMIF(Tank2!$B$32:$B$49,$J1923,Tank2!$C$32:$C$49)*Impacts!$F$9),0)</f>
        <v>0</v>
      </c>
      <c r="N1923" s="10">
        <f>IF(Tank3!$C$23="No control",(SUMIF(Tank3!$B$32:$B$49,$J1923,Tank3!$C$32:$C$49)*Impacts!$F$10),0)</f>
        <v>0</v>
      </c>
      <c r="O1923" s="10">
        <f>IF(Tank4!$C$23="No control",(SUMIF(Tank4!$B$32:$B$49,$J1923,Tank4!$C$32:$C$49)*Impacts!$F$11),0)</f>
        <v>0</v>
      </c>
      <c r="P1923" s="10">
        <f>IF(Tank5!$C$23="No control",(SUMIF(Tank5!$B$32:$B$49,$J1923,Tank5!$C$32:$C$49)*Impacts!$F$12),0)</f>
        <v>0</v>
      </c>
      <c r="Q1923" s="10">
        <f>IFERROR(IF(('Loading-drum,tote'!$C$21)="No control",SUMIF(('Loading-drum,tote'!$B$31:$B$48),$J1923,('Loading-drum,tote'!$D$31:$D$48))*Impacts!$F$13,IF(('Loading-drum,tote'!$C$21)&lt;&gt;"No control",SUMIF(('Loading-drum,tote'!$B$31:$B$48),$J1923,('Loading-drum,tote'!$E$31:$E$48))*Impacts!$F$13,0)),0)</f>
        <v>0</v>
      </c>
      <c r="R1923" s="10">
        <f>IFERROR(IF(('Loading-truck'!$C$21)="No control",SUMIF(('Loading-truck'!$B$31:$B$48),$J1923,('Loading-truck'!$D$31:$D$48))*Impacts!$F$14,IF(('Loading-truck'!$C$21)&lt;&gt;"No control",SUMIF(('Loading-truck'!$B$31:$B$48),$J1923,('Loading-truck'!$E$31:$E$48))*Impacts!$F$14,0)),0)</f>
        <v>0</v>
      </c>
      <c r="S1923" s="10">
        <f>IFERROR(IF(('Loading-rail'!$C$21)="No control",SUMIF(('Loading-rail'!$B$31:$B$48),$J1923,('Loading-rail'!$D$31:$D$48))*Impacts!$F$15,IF(('Loading-rail'!$C$21)&lt;&gt;"No control",SUMIF(('Loading-rail'!$B$31:$B$48),$J1923,('Loading-rail'!$E$31:$E$48))*Impacts!$F$15,0)),0)</f>
        <v>0</v>
      </c>
      <c r="T1923" s="10">
        <f>IF(Flare!$C$7="",0,(SUMIF(Flare!$B$46:$B$185,$J1923,Flare!$E$46:$E$185)*Impacts!$F$16))</f>
        <v>0</v>
      </c>
      <c r="U1923" s="10">
        <f>IF(VCU!$C$9="",0,(SUMIF(VCU!$B$51:$B$193,$J1923,VCU!$E$51:$E$193)*Impacts!$F$17))</f>
        <v>0</v>
      </c>
      <c r="V1923" s="10">
        <f>IF(CAS!$C$7="",0,(SUMIF(CAS!$B$31:$B$167,$J1923,CAS!$E$31:$E$167)*Impacts!$F$18))</f>
        <v>0</v>
      </c>
      <c r="W1923" s="10">
        <f t="shared" si="70"/>
        <v>0</v>
      </c>
      <c r="AK1923" s="10" t="str">
        <f t="array" ref="AK1923">IFERROR(INDEX(SelectedSpecies,SMALL(IF(SelectedSpecies=AK$1,ROW(SelectedSpecies)),ROW(1924:1924)),2),"")</f>
        <v/>
      </c>
      <c r="BE1923" s="10"/>
      <c r="BI1923" s="10"/>
    </row>
    <row r="1924" spans="1:61" ht="21" customHeight="1" x14ac:dyDescent="0.25">
      <c r="A1924" s="10"/>
      <c r="B1924" s="10"/>
      <c r="E1924" s="10"/>
      <c r="G1924" s="10"/>
      <c r="I1924" s="436" t="s">
        <v>5934</v>
      </c>
      <c r="J1924" s="26" t="s">
        <v>5933</v>
      </c>
      <c r="K1924" s="10">
        <v>1</v>
      </c>
      <c r="L1924" s="73">
        <f>IF(Tank1!$C$23="No control",(SUMIF(Tank1!$B$32:$B$49,$J1924,Tank1!$C$32:$C$49)*Impacts!$F$8),0)</f>
        <v>0</v>
      </c>
      <c r="M1924" s="10">
        <f>IF(Tank2!$C$23="No control",(SUMIF(Tank2!$B$32:$B$49,$J1924,Tank2!$C$32:$C$49)*Impacts!$F$9),0)</f>
        <v>0</v>
      </c>
      <c r="N1924" s="10">
        <f>IF(Tank3!$C$23="No control",(SUMIF(Tank3!$B$32:$B$49,$J1924,Tank3!$C$32:$C$49)*Impacts!$F$10),0)</f>
        <v>0</v>
      </c>
      <c r="O1924" s="10">
        <f>IF(Tank4!$C$23="No control",(SUMIF(Tank4!$B$32:$B$49,$J1924,Tank4!$C$32:$C$49)*Impacts!$F$11),0)</f>
        <v>0</v>
      </c>
      <c r="P1924" s="10">
        <f>IF(Tank5!$C$23="No control",(SUMIF(Tank5!$B$32:$B$49,$J1924,Tank5!$C$32:$C$49)*Impacts!$F$12),0)</f>
        <v>0</v>
      </c>
      <c r="Q1924" s="10">
        <f>IFERROR(IF(('Loading-drum,tote'!$C$21)="No control",SUMIF(('Loading-drum,tote'!$B$31:$B$48),$J1924,('Loading-drum,tote'!$D$31:$D$48))*Impacts!$F$13,IF(('Loading-drum,tote'!$C$21)&lt;&gt;"No control",SUMIF(('Loading-drum,tote'!$B$31:$B$48),$J1924,('Loading-drum,tote'!$E$31:$E$48))*Impacts!$F$13,0)),0)</f>
        <v>0</v>
      </c>
      <c r="R1924" s="10">
        <f>IFERROR(IF(('Loading-truck'!$C$21)="No control",SUMIF(('Loading-truck'!$B$31:$B$48),$J1924,('Loading-truck'!$D$31:$D$48))*Impacts!$F$14,IF(('Loading-truck'!$C$21)&lt;&gt;"No control",SUMIF(('Loading-truck'!$B$31:$B$48),$J1924,('Loading-truck'!$E$31:$E$48))*Impacts!$F$14,0)),0)</f>
        <v>0</v>
      </c>
      <c r="S1924" s="10">
        <f>IFERROR(IF(('Loading-rail'!$C$21)="No control",SUMIF(('Loading-rail'!$B$31:$B$48),$J1924,('Loading-rail'!$D$31:$D$48))*Impacts!$F$15,IF(('Loading-rail'!$C$21)&lt;&gt;"No control",SUMIF(('Loading-rail'!$B$31:$B$48),$J1924,('Loading-rail'!$E$31:$E$48))*Impacts!$F$15,0)),0)</f>
        <v>0</v>
      </c>
      <c r="T1924" s="10">
        <f>IF(Flare!$C$7="",0,(SUMIF(Flare!$B$46:$B$185,$J1924,Flare!$E$46:$E$185)*Impacts!$F$16))</f>
        <v>0</v>
      </c>
      <c r="U1924" s="10">
        <f>IF(VCU!$C$9="",0,(SUMIF(VCU!$B$51:$B$193,$J1924,VCU!$E$51:$E$193)*Impacts!$F$17))</f>
        <v>0</v>
      </c>
      <c r="V1924" s="10">
        <f>IF(CAS!$C$7="",0,(SUMIF(CAS!$B$31:$B$167,$J1924,CAS!$E$31:$E$167)*Impacts!$F$18))</f>
        <v>0</v>
      </c>
      <c r="W1924" s="10">
        <f t="shared" si="70"/>
        <v>0</v>
      </c>
      <c r="AK1924" s="10" t="str">
        <f t="array" ref="AK1924">IFERROR(INDEX(SelectedSpecies,SMALL(IF(SelectedSpecies=AK$1,ROW(SelectedSpecies)),ROW(1925:1925)),2),"")</f>
        <v/>
      </c>
      <c r="BE1924" s="10"/>
      <c r="BI1924" s="10"/>
    </row>
    <row r="1925" spans="1:61" ht="21" customHeight="1" x14ac:dyDescent="0.25">
      <c r="A1925" s="10"/>
      <c r="B1925" s="10"/>
      <c r="E1925" s="10"/>
      <c r="G1925" s="10"/>
      <c r="I1925" s="436" t="s">
        <v>8162</v>
      </c>
      <c r="J1925" s="26" t="s">
        <v>8161</v>
      </c>
      <c r="K1925" s="10">
        <v>1.0000000000000002E-2</v>
      </c>
      <c r="L1925" s="73">
        <f>IF(Tank1!$C$23="No control",(SUMIF(Tank1!$B$32:$B$49,$J1925,Tank1!$C$32:$C$49)*Impacts!$F$8),0)</f>
        <v>0</v>
      </c>
      <c r="M1925" s="10">
        <f>IF(Tank2!$C$23="No control",(SUMIF(Tank2!$B$32:$B$49,$J1925,Tank2!$C$32:$C$49)*Impacts!$F$9),0)</f>
        <v>0</v>
      </c>
      <c r="N1925" s="10">
        <f>IF(Tank3!$C$23="No control",(SUMIF(Tank3!$B$32:$B$49,$J1925,Tank3!$C$32:$C$49)*Impacts!$F$10),0)</f>
        <v>0</v>
      </c>
      <c r="O1925" s="10">
        <f>IF(Tank4!$C$23="No control",(SUMIF(Tank4!$B$32:$B$49,$J1925,Tank4!$C$32:$C$49)*Impacts!$F$11),0)</f>
        <v>0</v>
      </c>
      <c r="P1925" s="10">
        <f>IF(Tank5!$C$23="No control",(SUMIF(Tank5!$B$32:$B$49,$J1925,Tank5!$C$32:$C$49)*Impacts!$F$12),0)</f>
        <v>0</v>
      </c>
      <c r="Q1925" s="10">
        <f>IFERROR(IF(('Loading-drum,tote'!$C$21)="No control",SUMIF(('Loading-drum,tote'!$B$31:$B$48),$J1925,('Loading-drum,tote'!$D$31:$D$48))*Impacts!$F$13,IF(('Loading-drum,tote'!$C$21)&lt;&gt;"No control",SUMIF(('Loading-drum,tote'!$B$31:$B$48),$J1925,('Loading-drum,tote'!$E$31:$E$48))*Impacts!$F$13,0)),0)</f>
        <v>0</v>
      </c>
      <c r="R1925" s="10">
        <f>IFERROR(IF(('Loading-truck'!$C$21)="No control",SUMIF(('Loading-truck'!$B$31:$B$48),$J1925,('Loading-truck'!$D$31:$D$48))*Impacts!$F$14,IF(('Loading-truck'!$C$21)&lt;&gt;"No control",SUMIF(('Loading-truck'!$B$31:$B$48),$J1925,('Loading-truck'!$E$31:$E$48))*Impacts!$F$14,0)),0)</f>
        <v>0</v>
      </c>
      <c r="S1925" s="10">
        <f>IFERROR(IF(('Loading-rail'!$C$21)="No control",SUMIF(('Loading-rail'!$B$31:$B$48),$J1925,('Loading-rail'!$D$31:$D$48))*Impacts!$F$15,IF(('Loading-rail'!$C$21)&lt;&gt;"No control",SUMIF(('Loading-rail'!$B$31:$B$48),$J1925,('Loading-rail'!$E$31:$E$48))*Impacts!$F$15,0)),0)</f>
        <v>0</v>
      </c>
      <c r="T1925" s="10">
        <f>IF(Flare!$C$7="",0,(SUMIF(Flare!$B$46:$B$185,$J1925,Flare!$E$46:$E$185)*Impacts!$F$16))</f>
        <v>0</v>
      </c>
      <c r="U1925" s="10">
        <f>IF(VCU!$C$9="",0,(SUMIF(VCU!$B$51:$B$193,$J1925,VCU!$E$51:$E$193)*Impacts!$F$17))</f>
        <v>0</v>
      </c>
      <c r="V1925" s="10">
        <f>IF(CAS!$C$7="",0,(SUMIF(CAS!$B$31:$B$167,$J1925,CAS!$E$31:$E$167)*Impacts!$F$18))</f>
        <v>0</v>
      </c>
      <c r="W1925" s="10">
        <f t="shared" si="70"/>
        <v>0</v>
      </c>
      <c r="AK1925" s="10" t="str">
        <f t="array" ref="AK1925">IFERROR(INDEX(SelectedSpecies,SMALL(IF(SelectedSpecies=AK$1,ROW(SelectedSpecies)),ROW(1926:1926)),2),"")</f>
        <v/>
      </c>
      <c r="BE1925" s="10"/>
      <c r="BI1925" s="10"/>
    </row>
    <row r="1926" spans="1:61" ht="21" customHeight="1" x14ac:dyDescent="0.25">
      <c r="A1926" s="10"/>
      <c r="B1926" s="10"/>
      <c r="E1926" s="10"/>
      <c r="G1926" s="10"/>
      <c r="I1926" s="436" t="s">
        <v>5235</v>
      </c>
      <c r="J1926" s="26" t="s">
        <v>5234</v>
      </c>
      <c r="K1926" s="10">
        <v>1.9000000000000001</v>
      </c>
      <c r="L1926" s="73">
        <f>IF(Tank1!$C$23="No control",(SUMIF(Tank1!$B$32:$B$49,$J1926,Tank1!$C$32:$C$49)*Impacts!$F$8),0)</f>
        <v>0</v>
      </c>
      <c r="M1926" s="10">
        <f>IF(Tank2!$C$23="No control",(SUMIF(Tank2!$B$32:$B$49,$J1926,Tank2!$C$32:$C$49)*Impacts!$F$9),0)</f>
        <v>0</v>
      </c>
      <c r="N1926" s="10">
        <f>IF(Tank3!$C$23="No control",(SUMIF(Tank3!$B$32:$B$49,$J1926,Tank3!$C$32:$C$49)*Impacts!$F$10),0)</f>
        <v>0</v>
      </c>
      <c r="O1926" s="10">
        <f>IF(Tank4!$C$23="No control",(SUMIF(Tank4!$B$32:$B$49,$J1926,Tank4!$C$32:$C$49)*Impacts!$F$11),0)</f>
        <v>0</v>
      </c>
      <c r="P1926" s="10">
        <f>IF(Tank5!$C$23="No control",(SUMIF(Tank5!$B$32:$B$49,$J1926,Tank5!$C$32:$C$49)*Impacts!$F$12),0)</f>
        <v>0</v>
      </c>
      <c r="Q1926" s="10">
        <f>IFERROR(IF(('Loading-drum,tote'!$C$21)="No control",SUMIF(('Loading-drum,tote'!$B$31:$B$48),$J1926,('Loading-drum,tote'!$D$31:$D$48))*Impacts!$F$13,IF(('Loading-drum,tote'!$C$21)&lt;&gt;"No control",SUMIF(('Loading-drum,tote'!$B$31:$B$48),$J1926,('Loading-drum,tote'!$E$31:$E$48))*Impacts!$F$13,0)),0)</f>
        <v>0</v>
      </c>
      <c r="R1926" s="10">
        <f>IFERROR(IF(('Loading-truck'!$C$21)="No control",SUMIF(('Loading-truck'!$B$31:$B$48),$J1926,('Loading-truck'!$D$31:$D$48))*Impacts!$F$14,IF(('Loading-truck'!$C$21)&lt;&gt;"No control",SUMIF(('Loading-truck'!$B$31:$B$48),$J1926,('Loading-truck'!$E$31:$E$48))*Impacts!$F$14,0)),0)</f>
        <v>0</v>
      </c>
      <c r="S1926" s="10">
        <f>IFERROR(IF(('Loading-rail'!$C$21)="No control",SUMIF(('Loading-rail'!$B$31:$B$48),$J1926,('Loading-rail'!$D$31:$D$48))*Impacts!$F$15,IF(('Loading-rail'!$C$21)&lt;&gt;"No control",SUMIF(('Loading-rail'!$B$31:$B$48),$J1926,('Loading-rail'!$E$31:$E$48))*Impacts!$F$15,0)),0)</f>
        <v>0</v>
      </c>
      <c r="T1926" s="10">
        <f>IF(Flare!$C$7="",0,(SUMIF(Flare!$B$46:$B$185,$J1926,Flare!$E$46:$E$185)*Impacts!$F$16))</f>
        <v>0</v>
      </c>
      <c r="U1926" s="10">
        <f>IF(VCU!$C$9="",0,(SUMIF(VCU!$B$51:$B$193,$J1926,VCU!$E$51:$E$193)*Impacts!$F$17))</f>
        <v>0</v>
      </c>
      <c r="V1926" s="10">
        <f>IF(CAS!$C$7="",0,(SUMIF(CAS!$B$31:$B$167,$J1926,CAS!$E$31:$E$167)*Impacts!$F$18))</f>
        <v>0</v>
      </c>
      <c r="W1926" s="10">
        <f t="shared" si="70"/>
        <v>0</v>
      </c>
      <c r="AK1926" s="10" t="str">
        <f t="array" ref="AK1926">IFERROR(INDEX(SelectedSpecies,SMALL(IF(SelectedSpecies=AK$1,ROW(SelectedSpecies)),ROW(1927:1927)),2),"")</f>
        <v/>
      </c>
      <c r="BE1926" s="10"/>
      <c r="BI1926" s="10"/>
    </row>
    <row r="1927" spans="1:61" ht="21" customHeight="1" x14ac:dyDescent="0.25">
      <c r="A1927" s="10"/>
      <c r="B1927" s="10"/>
      <c r="E1927" s="10"/>
      <c r="G1927" s="10"/>
      <c r="I1927" s="436" t="s">
        <v>5936</v>
      </c>
      <c r="J1927" s="26" t="s">
        <v>5935</v>
      </c>
      <c r="K1927" s="10">
        <v>1</v>
      </c>
      <c r="L1927" s="73">
        <f>IF(Tank1!$C$23="No control",(SUMIF(Tank1!$B$32:$B$49,$J1927,Tank1!$C$32:$C$49)*Impacts!$F$8),0)</f>
        <v>0</v>
      </c>
      <c r="M1927" s="10">
        <f>IF(Tank2!$C$23="No control",(SUMIF(Tank2!$B$32:$B$49,$J1927,Tank2!$C$32:$C$49)*Impacts!$F$9),0)</f>
        <v>0</v>
      </c>
      <c r="N1927" s="10">
        <f>IF(Tank3!$C$23="No control",(SUMIF(Tank3!$B$32:$B$49,$J1927,Tank3!$C$32:$C$49)*Impacts!$F$10),0)</f>
        <v>0</v>
      </c>
      <c r="O1927" s="10">
        <f>IF(Tank4!$C$23="No control",(SUMIF(Tank4!$B$32:$B$49,$J1927,Tank4!$C$32:$C$49)*Impacts!$F$11),0)</f>
        <v>0</v>
      </c>
      <c r="P1927" s="10">
        <f>IF(Tank5!$C$23="No control",(SUMIF(Tank5!$B$32:$B$49,$J1927,Tank5!$C$32:$C$49)*Impacts!$F$12),0)</f>
        <v>0</v>
      </c>
      <c r="Q1927" s="10">
        <f>IFERROR(IF(('Loading-drum,tote'!$C$21)="No control",SUMIF(('Loading-drum,tote'!$B$31:$B$48),$J1927,('Loading-drum,tote'!$D$31:$D$48))*Impacts!$F$13,IF(('Loading-drum,tote'!$C$21)&lt;&gt;"No control",SUMIF(('Loading-drum,tote'!$B$31:$B$48),$J1927,('Loading-drum,tote'!$E$31:$E$48))*Impacts!$F$13,0)),0)</f>
        <v>0</v>
      </c>
      <c r="R1927" s="10">
        <f>IFERROR(IF(('Loading-truck'!$C$21)="No control",SUMIF(('Loading-truck'!$B$31:$B$48),$J1927,('Loading-truck'!$D$31:$D$48))*Impacts!$F$14,IF(('Loading-truck'!$C$21)&lt;&gt;"No control",SUMIF(('Loading-truck'!$B$31:$B$48),$J1927,('Loading-truck'!$E$31:$E$48))*Impacts!$F$14,0)),0)</f>
        <v>0</v>
      </c>
      <c r="S1927" s="10">
        <f>IFERROR(IF(('Loading-rail'!$C$21)="No control",SUMIF(('Loading-rail'!$B$31:$B$48),$J1927,('Loading-rail'!$D$31:$D$48))*Impacts!$F$15,IF(('Loading-rail'!$C$21)&lt;&gt;"No control",SUMIF(('Loading-rail'!$B$31:$B$48),$J1927,('Loading-rail'!$E$31:$E$48))*Impacts!$F$15,0)),0)</f>
        <v>0</v>
      </c>
      <c r="T1927" s="10">
        <f>IF(Flare!$C$7="",0,(SUMIF(Flare!$B$46:$B$185,$J1927,Flare!$E$46:$E$185)*Impacts!$F$16))</f>
        <v>0</v>
      </c>
      <c r="U1927" s="10">
        <f>IF(VCU!$C$9="",0,(SUMIF(VCU!$B$51:$B$193,$J1927,VCU!$E$51:$E$193)*Impacts!$F$17))</f>
        <v>0</v>
      </c>
      <c r="V1927" s="10">
        <f>IF(CAS!$C$7="",0,(SUMIF(CAS!$B$31:$B$167,$J1927,CAS!$E$31:$E$167)*Impacts!$F$18))</f>
        <v>0</v>
      </c>
      <c r="W1927" s="10">
        <f t="shared" si="70"/>
        <v>0</v>
      </c>
      <c r="AK1927" s="10" t="str">
        <f t="array" ref="AK1927">IFERROR(INDEX(SelectedSpecies,SMALL(IF(SelectedSpecies=AK$1,ROW(SelectedSpecies)),ROW(1928:1928)),2),"")</f>
        <v/>
      </c>
      <c r="BE1927" s="10"/>
      <c r="BI1927" s="10"/>
    </row>
    <row r="1928" spans="1:61" ht="21" customHeight="1" x14ac:dyDescent="0.25">
      <c r="A1928" s="10"/>
      <c r="B1928" s="10"/>
      <c r="E1928" s="10"/>
      <c r="G1928" s="10"/>
      <c r="I1928" s="436" t="s">
        <v>8164</v>
      </c>
      <c r="J1928" s="26" t="s">
        <v>8163</v>
      </c>
      <c r="K1928" s="10">
        <v>6.3E-3</v>
      </c>
      <c r="L1928" s="73">
        <f>IF(Tank1!$C$23="No control",(SUMIF(Tank1!$B$32:$B$49,$J1928,Tank1!$C$32:$C$49)*Impacts!$F$8),0)</f>
        <v>0</v>
      </c>
      <c r="M1928" s="10">
        <f>IF(Tank2!$C$23="No control",(SUMIF(Tank2!$B$32:$B$49,$J1928,Tank2!$C$32:$C$49)*Impacts!$F$9),0)</f>
        <v>0</v>
      </c>
      <c r="N1928" s="10">
        <f>IF(Tank3!$C$23="No control",(SUMIF(Tank3!$B$32:$B$49,$J1928,Tank3!$C$32:$C$49)*Impacts!$F$10),0)</f>
        <v>0</v>
      </c>
      <c r="O1928" s="10">
        <f>IF(Tank4!$C$23="No control",(SUMIF(Tank4!$B$32:$B$49,$J1928,Tank4!$C$32:$C$49)*Impacts!$F$11),0)</f>
        <v>0</v>
      </c>
      <c r="P1928" s="10">
        <f>IF(Tank5!$C$23="No control",(SUMIF(Tank5!$B$32:$B$49,$J1928,Tank5!$C$32:$C$49)*Impacts!$F$12),0)</f>
        <v>0</v>
      </c>
      <c r="Q1928" s="10">
        <f>IFERROR(IF(('Loading-drum,tote'!$C$21)="No control",SUMIF(('Loading-drum,tote'!$B$31:$B$48),$J1928,('Loading-drum,tote'!$D$31:$D$48))*Impacts!$F$13,IF(('Loading-drum,tote'!$C$21)&lt;&gt;"No control",SUMIF(('Loading-drum,tote'!$B$31:$B$48),$J1928,('Loading-drum,tote'!$E$31:$E$48))*Impacts!$F$13,0)),0)</f>
        <v>0</v>
      </c>
      <c r="R1928" s="10">
        <f>IFERROR(IF(('Loading-truck'!$C$21)="No control",SUMIF(('Loading-truck'!$B$31:$B$48),$J1928,('Loading-truck'!$D$31:$D$48))*Impacts!$F$14,IF(('Loading-truck'!$C$21)&lt;&gt;"No control",SUMIF(('Loading-truck'!$B$31:$B$48),$J1928,('Loading-truck'!$E$31:$E$48))*Impacts!$F$14,0)),0)</f>
        <v>0</v>
      </c>
      <c r="S1928" s="10">
        <f>IFERROR(IF(('Loading-rail'!$C$21)="No control",SUMIF(('Loading-rail'!$B$31:$B$48),$J1928,('Loading-rail'!$D$31:$D$48))*Impacts!$F$15,IF(('Loading-rail'!$C$21)&lt;&gt;"No control",SUMIF(('Loading-rail'!$B$31:$B$48),$J1928,('Loading-rail'!$E$31:$E$48))*Impacts!$F$15,0)),0)</f>
        <v>0</v>
      </c>
      <c r="T1928" s="10">
        <f>IF(Flare!$C$7="",0,(SUMIF(Flare!$B$46:$B$185,$J1928,Flare!$E$46:$E$185)*Impacts!$F$16))</f>
        <v>0</v>
      </c>
      <c r="U1928" s="10">
        <f>IF(VCU!$C$9="",0,(SUMIF(VCU!$B$51:$B$193,$J1928,VCU!$E$51:$E$193)*Impacts!$F$17))</f>
        <v>0</v>
      </c>
      <c r="V1928" s="10">
        <f>IF(CAS!$C$7="",0,(SUMIF(CAS!$B$31:$B$167,$J1928,CAS!$E$31:$E$167)*Impacts!$F$18))</f>
        <v>0</v>
      </c>
      <c r="W1928" s="10">
        <f t="shared" si="70"/>
        <v>0</v>
      </c>
      <c r="AK1928" s="10" t="str">
        <f t="array" ref="AK1928">IFERROR(INDEX(SelectedSpecies,SMALL(IF(SelectedSpecies=AK$1,ROW(SelectedSpecies)),ROW(1929:1929)),2),"")</f>
        <v/>
      </c>
      <c r="BE1928" s="10"/>
      <c r="BI1928" s="10"/>
    </row>
    <row r="1929" spans="1:61" ht="21" customHeight="1" x14ac:dyDescent="0.25">
      <c r="A1929" s="10"/>
      <c r="B1929" s="10"/>
      <c r="E1929" s="10"/>
      <c r="G1929" s="10"/>
      <c r="I1929" s="436" t="s">
        <v>1959</v>
      </c>
      <c r="J1929" s="26" t="s">
        <v>1958</v>
      </c>
      <c r="K1929" s="10">
        <v>18</v>
      </c>
      <c r="L1929" s="73">
        <f>IF(Tank1!$C$23="No control",(SUMIF(Tank1!$B$32:$B$49,$J1929,Tank1!$C$32:$C$49)*Impacts!$F$8),0)</f>
        <v>0</v>
      </c>
      <c r="M1929" s="10">
        <f>IF(Tank2!$C$23="No control",(SUMIF(Tank2!$B$32:$B$49,$J1929,Tank2!$C$32:$C$49)*Impacts!$F$9),0)</f>
        <v>0</v>
      </c>
      <c r="N1929" s="10">
        <f>IF(Tank3!$C$23="No control",(SUMIF(Tank3!$B$32:$B$49,$J1929,Tank3!$C$32:$C$49)*Impacts!$F$10),0)</f>
        <v>0</v>
      </c>
      <c r="O1929" s="10">
        <f>IF(Tank4!$C$23="No control",(SUMIF(Tank4!$B$32:$B$49,$J1929,Tank4!$C$32:$C$49)*Impacts!$F$11),0)</f>
        <v>0</v>
      </c>
      <c r="P1929" s="10">
        <f>IF(Tank5!$C$23="No control",(SUMIF(Tank5!$B$32:$B$49,$J1929,Tank5!$C$32:$C$49)*Impacts!$F$12),0)</f>
        <v>0</v>
      </c>
      <c r="Q1929" s="10">
        <f>IFERROR(IF(('Loading-drum,tote'!$C$21)="No control",SUMIF(('Loading-drum,tote'!$B$31:$B$48),$J1929,('Loading-drum,tote'!$D$31:$D$48))*Impacts!$F$13,IF(('Loading-drum,tote'!$C$21)&lt;&gt;"No control",SUMIF(('Loading-drum,tote'!$B$31:$B$48),$J1929,('Loading-drum,tote'!$E$31:$E$48))*Impacts!$F$13,0)),0)</f>
        <v>0</v>
      </c>
      <c r="R1929" s="10">
        <f>IFERROR(IF(('Loading-truck'!$C$21)="No control",SUMIF(('Loading-truck'!$B$31:$B$48),$J1929,('Loading-truck'!$D$31:$D$48))*Impacts!$F$14,IF(('Loading-truck'!$C$21)&lt;&gt;"No control",SUMIF(('Loading-truck'!$B$31:$B$48),$J1929,('Loading-truck'!$E$31:$E$48))*Impacts!$F$14,0)),0)</f>
        <v>0</v>
      </c>
      <c r="S1929" s="10">
        <f>IFERROR(IF(('Loading-rail'!$C$21)="No control",SUMIF(('Loading-rail'!$B$31:$B$48),$J1929,('Loading-rail'!$D$31:$D$48))*Impacts!$F$15,IF(('Loading-rail'!$C$21)&lt;&gt;"No control",SUMIF(('Loading-rail'!$B$31:$B$48),$J1929,('Loading-rail'!$E$31:$E$48))*Impacts!$F$15,0)),0)</f>
        <v>0</v>
      </c>
      <c r="T1929" s="10">
        <f>IF(Flare!$C$7="",0,(SUMIF(Flare!$B$46:$B$185,$J1929,Flare!$E$46:$E$185)*Impacts!$F$16))</f>
        <v>0</v>
      </c>
      <c r="U1929" s="10">
        <f>IF(VCU!$C$9="",0,(SUMIF(VCU!$B$51:$B$193,$J1929,VCU!$E$51:$E$193)*Impacts!$F$17))</f>
        <v>0</v>
      </c>
      <c r="V1929" s="10">
        <f>IF(CAS!$C$7="",0,(SUMIF(CAS!$B$31:$B$167,$J1929,CAS!$E$31:$E$167)*Impacts!$F$18))</f>
        <v>0</v>
      </c>
      <c r="W1929" s="10">
        <f t="shared" si="70"/>
        <v>0</v>
      </c>
      <c r="AK1929" s="10" t="str">
        <f t="array" ref="AK1929">IFERROR(INDEX(SelectedSpecies,SMALL(IF(SelectedSpecies=AK$1,ROW(SelectedSpecies)),ROW(1930:1930)),2),"")</f>
        <v/>
      </c>
      <c r="BE1929" s="10"/>
      <c r="BI1929" s="10"/>
    </row>
    <row r="1930" spans="1:61" ht="21" customHeight="1" x14ac:dyDescent="0.25">
      <c r="A1930" s="10"/>
      <c r="B1930" s="10"/>
      <c r="E1930" s="10"/>
      <c r="G1930" s="10"/>
      <c r="I1930" s="436" t="s">
        <v>7996</v>
      </c>
      <c r="J1930" s="26" t="s">
        <v>7995</v>
      </c>
      <c r="K1930" s="10">
        <v>0.03</v>
      </c>
      <c r="L1930" s="73">
        <f>IF(Tank1!$C$23="No control",(SUMIF(Tank1!$B$32:$B$49,$J1930,Tank1!$C$32:$C$49)*Impacts!$F$8),0)</f>
        <v>0</v>
      </c>
      <c r="M1930" s="10">
        <f>IF(Tank2!$C$23="No control",(SUMIF(Tank2!$B$32:$B$49,$J1930,Tank2!$C$32:$C$49)*Impacts!$F$9),0)</f>
        <v>0</v>
      </c>
      <c r="N1930" s="10">
        <f>IF(Tank3!$C$23="No control",(SUMIF(Tank3!$B$32:$B$49,$J1930,Tank3!$C$32:$C$49)*Impacts!$F$10),0)</f>
        <v>0</v>
      </c>
      <c r="O1930" s="10">
        <f>IF(Tank4!$C$23="No control",(SUMIF(Tank4!$B$32:$B$49,$J1930,Tank4!$C$32:$C$49)*Impacts!$F$11),0)</f>
        <v>0</v>
      </c>
      <c r="P1930" s="10">
        <f>IF(Tank5!$C$23="No control",(SUMIF(Tank5!$B$32:$B$49,$J1930,Tank5!$C$32:$C$49)*Impacts!$F$12),0)</f>
        <v>0</v>
      </c>
      <c r="Q1930" s="10">
        <f>IFERROR(IF(('Loading-drum,tote'!$C$21)="No control",SUMIF(('Loading-drum,tote'!$B$31:$B$48),$J1930,('Loading-drum,tote'!$D$31:$D$48))*Impacts!$F$13,IF(('Loading-drum,tote'!$C$21)&lt;&gt;"No control",SUMIF(('Loading-drum,tote'!$B$31:$B$48),$J1930,('Loading-drum,tote'!$E$31:$E$48))*Impacts!$F$13,0)),0)</f>
        <v>0</v>
      </c>
      <c r="R1930" s="10">
        <f>IFERROR(IF(('Loading-truck'!$C$21)="No control",SUMIF(('Loading-truck'!$B$31:$B$48),$J1930,('Loading-truck'!$D$31:$D$48))*Impacts!$F$14,IF(('Loading-truck'!$C$21)&lt;&gt;"No control",SUMIF(('Loading-truck'!$B$31:$B$48),$J1930,('Loading-truck'!$E$31:$E$48))*Impacts!$F$14,0)),0)</f>
        <v>0</v>
      </c>
      <c r="S1930" s="10">
        <f>IFERROR(IF(('Loading-rail'!$C$21)="No control",SUMIF(('Loading-rail'!$B$31:$B$48),$J1930,('Loading-rail'!$D$31:$D$48))*Impacts!$F$15,IF(('Loading-rail'!$C$21)&lt;&gt;"No control",SUMIF(('Loading-rail'!$B$31:$B$48),$J1930,('Loading-rail'!$E$31:$E$48))*Impacts!$F$15,0)),0)</f>
        <v>0</v>
      </c>
      <c r="T1930" s="10">
        <f>IF(Flare!$C$7="",0,(SUMIF(Flare!$B$46:$B$185,$J1930,Flare!$E$46:$E$185)*Impacts!$F$16))</f>
        <v>0</v>
      </c>
      <c r="U1930" s="10">
        <f>IF(VCU!$C$9="",0,(SUMIF(VCU!$B$51:$B$193,$J1930,VCU!$E$51:$E$193)*Impacts!$F$17))</f>
        <v>0</v>
      </c>
      <c r="V1930" s="10">
        <f>IF(CAS!$C$7="",0,(SUMIF(CAS!$B$31:$B$167,$J1930,CAS!$E$31:$E$167)*Impacts!$F$18))</f>
        <v>0</v>
      </c>
      <c r="W1930" s="10">
        <f t="shared" si="70"/>
        <v>0</v>
      </c>
      <c r="AK1930" s="10" t="str">
        <f t="array" ref="AK1930">IFERROR(INDEX(SelectedSpecies,SMALL(IF(SelectedSpecies=AK$1,ROW(SelectedSpecies)),ROW(1931:1931)),2),"")</f>
        <v/>
      </c>
      <c r="BE1930" s="10"/>
      <c r="BI1930" s="10"/>
    </row>
    <row r="1931" spans="1:61" ht="21" customHeight="1" x14ac:dyDescent="0.25">
      <c r="A1931" s="10"/>
      <c r="B1931" s="10"/>
      <c r="E1931" s="10"/>
      <c r="G1931" s="10"/>
      <c r="I1931" s="436" t="s">
        <v>1338</v>
      </c>
      <c r="J1931" s="26" t="s">
        <v>1337</v>
      </c>
      <c r="K1931" s="10">
        <v>33</v>
      </c>
      <c r="L1931" s="73">
        <f>IF(Tank1!$C$23="No control",(SUMIF(Tank1!$B$32:$B$49,$J1931,Tank1!$C$32:$C$49)*Impacts!$F$8),0)</f>
        <v>0</v>
      </c>
      <c r="M1931" s="10">
        <f>IF(Tank2!$C$23="No control",(SUMIF(Tank2!$B$32:$B$49,$J1931,Tank2!$C$32:$C$49)*Impacts!$F$9),0)</f>
        <v>0</v>
      </c>
      <c r="N1931" s="10">
        <f>IF(Tank3!$C$23="No control",(SUMIF(Tank3!$B$32:$B$49,$J1931,Tank3!$C$32:$C$49)*Impacts!$F$10),0)</f>
        <v>0</v>
      </c>
      <c r="O1931" s="10">
        <f>IF(Tank4!$C$23="No control",(SUMIF(Tank4!$B$32:$B$49,$J1931,Tank4!$C$32:$C$49)*Impacts!$F$11),0)</f>
        <v>0</v>
      </c>
      <c r="P1931" s="10">
        <f>IF(Tank5!$C$23="No control",(SUMIF(Tank5!$B$32:$B$49,$J1931,Tank5!$C$32:$C$49)*Impacts!$F$12),0)</f>
        <v>0</v>
      </c>
      <c r="Q1931" s="10">
        <f>IFERROR(IF(('Loading-drum,tote'!$C$21)="No control",SUMIF(('Loading-drum,tote'!$B$31:$B$48),$J1931,('Loading-drum,tote'!$D$31:$D$48))*Impacts!$F$13,IF(('Loading-drum,tote'!$C$21)&lt;&gt;"No control",SUMIF(('Loading-drum,tote'!$B$31:$B$48),$J1931,('Loading-drum,tote'!$E$31:$E$48))*Impacts!$F$13,0)),0)</f>
        <v>0</v>
      </c>
      <c r="R1931" s="10">
        <f>IFERROR(IF(('Loading-truck'!$C$21)="No control",SUMIF(('Loading-truck'!$B$31:$B$48),$J1931,('Loading-truck'!$D$31:$D$48))*Impacts!$F$14,IF(('Loading-truck'!$C$21)&lt;&gt;"No control",SUMIF(('Loading-truck'!$B$31:$B$48),$J1931,('Loading-truck'!$E$31:$E$48))*Impacts!$F$14,0)),0)</f>
        <v>0</v>
      </c>
      <c r="S1931" s="10">
        <f>IFERROR(IF(('Loading-rail'!$C$21)="No control",SUMIF(('Loading-rail'!$B$31:$B$48),$J1931,('Loading-rail'!$D$31:$D$48))*Impacts!$F$15,IF(('Loading-rail'!$C$21)&lt;&gt;"No control",SUMIF(('Loading-rail'!$B$31:$B$48),$J1931,('Loading-rail'!$E$31:$E$48))*Impacts!$F$15,0)),0)</f>
        <v>0</v>
      </c>
      <c r="T1931" s="10">
        <f>IF(Flare!$C$7="",0,(SUMIF(Flare!$B$46:$B$185,$J1931,Flare!$E$46:$E$185)*Impacts!$F$16))</f>
        <v>0</v>
      </c>
      <c r="U1931" s="10">
        <f>IF(VCU!$C$9="",0,(SUMIF(VCU!$B$51:$B$193,$J1931,VCU!$E$51:$E$193)*Impacts!$F$17))</f>
        <v>0</v>
      </c>
      <c r="V1931" s="10">
        <f>IF(CAS!$C$7="",0,(SUMIF(CAS!$B$31:$B$167,$J1931,CAS!$E$31:$E$167)*Impacts!$F$18))</f>
        <v>0</v>
      </c>
      <c r="W1931" s="10">
        <f t="shared" si="70"/>
        <v>0</v>
      </c>
      <c r="AK1931" s="10" t="str">
        <f t="array" ref="AK1931">IFERROR(INDEX(SelectedSpecies,SMALL(IF(SelectedSpecies=AK$1,ROW(SelectedSpecies)),ROW(1932:1932)),2),"")</f>
        <v/>
      </c>
      <c r="BE1931" s="10"/>
      <c r="BI1931" s="10"/>
    </row>
    <row r="1932" spans="1:61" ht="21" customHeight="1" x14ac:dyDescent="0.25">
      <c r="A1932" s="10"/>
      <c r="B1932" s="10"/>
      <c r="E1932" s="10"/>
      <c r="G1932" s="10"/>
      <c r="I1932" s="436" t="s">
        <v>5938</v>
      </c>
      <c r="J1932" s="26" t="s">
        <v>5937</v>
      </c>
      <c r="K1932" s="10">
        <v>1</v>
      </c>
      <c r="L1932" s="73">
        <f>IF(Tank1!$C$23="No control",(SUMIF(Tank1!$B$32:$B$49,$J1932,Tank1!$C$32:$C$49)*Impacts!$F$8),0)</f>
        <v>0</v>
      </c>
      <c r="M1932" s="10">
        <f>IF(Tank2!$C$23="No control",(SUMIF(Tank2!$B$32:$B$49,$J1932,Tank2!$C$32:$C$49)*Impacts!$F$9),0)</f>
        <v>0</v>
      </c>
      <c r="N1932" s="10">
        <f>IF(Tank3!$C$23="No control",(SUMIF(Tank3!$B$32:$B$49,$J1932,Tank3!$C$32:$C$49)*Impacts!$F$10),0)</f>
        <v>0</v>
      </c>
      <c r="O1932" s="10">
        <f>IF(Tank4!$C$23="No control",(SUMIF(Tank4!$B$32:$B$49,$J1932,Tank4!$C$32:$C$49)*Impacts!$F$11),0)</f>
        <v>0</v>
      </c>
      <c r="P1932" s="10">
        <f>IF(Tank5!$C$23="No control",(SUMIF(Tank5!$B$32:$B$49,$J1932,Tank5!$C$32:$C$49)*Impacts!$F$12),0)</f>
        <v>0</v>
      </c>
      <c r="Q1932" s="10">
        <f>IFERROR(IF(('Loading-drum,tote'!$C$21)="No control",SUMIF(('Loading-drum,tote'!$B$31:$B$48),$J1932,('Loading-drum,tote'!$D$31:$D$48))*Impacts!$F$13,IF(('Loading-drum,tote'!$C$21)&lt;&gt;"No control",SUMIF(('Loading-drum,tote'!$B$31:$B$48),$J1932,('Loading-drum,tote'!$E$31:$E$48))*Impacts!$F$13,0)),0)</f>
        <v>0</v>
      </c>
      <c r="R1932" s="10">
        <f>IFERROR(IF(('Loading-truck'!$C$21)="No control",SUMIF(('Loading-truck'!$B$31:$B$48),$J1932,('Loading-truck'!$D$31:$D$48))*Impacts!$F$14,IF(('Loading-truck'!$C$21)&lt;&gt;"No control",SUMIF(('Loading-truck'!$B$31:$B$48),$J1932,('Loading-truck'!$E$31:$E$48))*Impacts!$F$14,0)),0)</f>
        <v>0</v>
      </c>
      <c r="S1932" s="10">
        <f>IFERROR(IF(('Loading-rail'!$C$21)="No control",SUMIF(('Loading-rail'!$B$31:$B$48),$J1932,('Loading-rail'!$D$31:$D$48))*Impacts!$F$15,IF(('Loading-rail'!$C$21)&lt;&gt;"No control",SUMIF(('Loading-rail'!$B$31:$B$48),$J1932,('Loading-rail'!$E$31:$E$48))*Impacts!$F$15,0)),0)</f>
        <v>0</v>
      </c>
      <c r="T1932" s="10">
        <f>IF(Flare!$C$7="",0,(SUMIF(Flare!$B$46:$B$185,$J1932,Flare!$E$46:$E$185)*Impacts!$F$16))</f>
        <v>0</v>
      </c>
      <c r="U1932" s="10">
        <f>IF(VCU!$C$9="",0,(SUMIF(VCU!$B$51:$B$193,$J1932,VCU!$E$51:$E$193)*Impacts!$F$17))</f>
        <v>0</v>
      </c>
      <c r="V1932" s="10">
        <f>IF(CAS!$C$7="",0,(SUMIF(CAS!$B$31:$B$167,$J1932,CAS!$E$31:$E$167)*Impacts!$F$18))</f>
        <v>0</v>
      </c>
      <c r="W1932" s="10">
        <f t="shared" si="70"/>
        <v>0</v>
      </c>
      <c r="AK1932" s="10" t="str">
        <f t="array" ref="AK1932">IFERROR(INDEX(SelectedSpecies,SMALL(IF(SelectedSpecies=AK$1,ROW(SelectedSpecies)),ROW(1933:1933)),2),"")</f>
        <v/>
      </c>
      <c r="BE1932" s="10"/>
      <c r="BI1932" s="10"/>
    </row>
    <row r="1933" spans="1:61" ht="21" customHeight="1" x14ac:dyDescent="0.25">
      <c r="A1933" s="10"/>
      <c r="B1933" s="10"/>
      <c r="E1933" s="10"/>
      <c r="G1933" s="10"/>
      <c r="I1933" s="436" t="s">
        <v>2893</v>
      </c>
      <c r="J1933" s="26" t="s">
        <v>2892</v>
      </c>
      <c r="K1933" s="10">
        <v>10</v>
      </c>
      <c r="L1933" s="73">
        <f>IF(Tank1!$C$23="No control",(SUMIF(Tank1!$B$32:$B$49,$J1933,Tank1!$C$32:$C$49)*Impacts!$F$8),0)</f>
        <v>0</v>
      </c>
      <c r="M1933" s="10">
        <f>IF(Tank2!$C$23="No control",(SUMIF(Tank2!$B$32:$B$49,$J1933,Tank2!$C$32:$C$49)*Impacts!$F$9),0)</f>
        <v>0</v>
      </c>
      <c r="N1933" s="10">
        <f>IF(Tank3!$C$23="No control",(SUMIF(Tank3!$B$32:$B$49,$J1933,Tank3!$C$32:$C$49)*Impacts!$F$10),0)</f>
        <v>0</v>
      </c>
      <c r="O1933" s="10">
        <f>IF(Tank4!$C$23="No control",(SUMIF(Tank4!$B$32:$B$49,$J1933,Tank4!$C$32:$C$49)*Impacts!$F$11),0)</f>
        <v>0</v>
      </c>
      <c r="P1933" s="10">
        <f>IF(Tank5!$C$23="No control",(SUMIF(Tank5!$B$32:$B$49,$J1933,Tank5!$C$32:$C$49)*Impacts!$F$12),0)</f>
        <v>0</v>
      </c>
      <c r="Q1933" s="10">
        <f>IFERROR(IF(('Loading-drum,tote'!$C$21)="No control",SUMIF(('Loading-drum,tote'!$B$31:$B$48),$J1933,('Loading-drum,tote'!$D$31:$D$48))*Impacts!$F$13,IF(('Loading-drum,tote'!$C$21)&lt;&gt;"No control",SUMIF(('Loading-drum,tote'!$B$31:$B$48),$J1933,('Loading-drum,tote'!$E$31:$E$48))*Impacts!$F$13,0)),0)</f>
        <v>0</v>
      </c>
      <c r="R1933" s="10">
        <f>IFERROR(IF(('Loading-truck'!$C$21)="No control",SUMIF(('Loading-truck'!$B$31:$B$48),$J1933,('Loading-truck'!$D$31:$D$48))*Impacts!$F$14,IF(('Loading-truck'!$C$21)&lt;&gt;"No control",SUMIF(('Loading-truck'!$B$31:$B$48),$J1933,('Loading-truck'!$E$31:$E$48))*Impacts!$F$14,0)),0)</f>
        <v>0</v>
      </c>
      <c r="S1933" s="10">
        <f>IFERROR(IF(('Loading-rail'!$C$21)="No control",SUMIF(('Loading-rail'!$B$31:$B$48),$J1933,('Loading-rail'!$D$31:$D$48))*Impacts!$F$15,IF(('Loading-rail'!$C$21)&lt;&gt;"No control",SUMIF(('Loading-rail'!$B$31:$B$48),$J1933,('Loading-rail'!$E$31:$E$48))*Impacts!$F$15,0)),0)</f>
        <v>0</v>
      </c>
      <c r="T1933" s="10">
        <f>IF(Flare!$C$7="",0,(SUMIF(Flare!$B$46:$B$185,$J1933,Flare!$E$46:$E$185)*Impacts!$F$16))</f>
        <v>0</v>
      </c>
      <c r="U1933" s="10">
        <f>IF(VCU!$C$9="",0,(SUMIF(VCU!$B$51:$B$193,$J1933,VCU!$E$51:$E$193)*Impacts!$F$17))</f>
        <v>0</v>
      </c>
      <c r="V1933" s="10">
        <f>IF(CAS!$C$7="",0,(SUMIF(CAS!$B$31:$B$167,$J1933,CAS!$E$31:$E$167)*Impacts!$F$18))</f>
        <v>0</v>
      </c>
      <c r="W1933" s="10">
        <f t="shared" si="70"/>
        <v>0</v>
      </c>
      <c r="AK1933" s="10" t="str">
        <f t="array" ref="AK1933">IFERROR(INDEX(SelectedSpecies,SMALL(IF(SelectedSpecies=AK$1,ROW(SelectedSpecies)),ROW(1934:1934)),2),"")</f>
        <v/>
      </c>
      <c r="BE1933" s="10"/>
      <c r="BI1933" s="10"/>
    </row>
    <row r="1934" spans="1:61" ht="21" customHeight="1" x14ac:dyDescent="0.25">
      <c r="A1934" s="10"/>
      <c r="B1934" s="10"/>
      <c r="E1934" s="10"/>
      <c r="G1934" s="10"/>
      <c r="I1934" s="436" t="s">
        <v>1913</v>
      </c>
      <c r="J1934" s="26" t="s">
        <v>1912</v>
      </c>
      <c r="K1934" s="10">
        <v>18.600000000000001</v>
      </c>
      <c r="L1934" s="73">
        <f>IF(Tank1!$C$23="No control",(SUMIF(Tank1!$B$32:$B$49,$J1934,Tank1!$C$32:$C$49)*Impacts!$F$8),0)</f>
        <v>0</v>
      </c>
      <c r="M1934" s="10">
        <f>IF(Tank2!$C$23="No control",(SUMIF(Tank2!$B$32:$B$49,$J1934,Tank2!$C$32:$C$49)*Impacts!$F$9),0)</f>
        <v>0</v>
      </c>
      <c r="N1934" s="10">
        <f>IF(Tank3!$C$23="No control",(SUMIF(Tank3!$B$32:$B$49,$J1934,Tank3!$C$32:$C$49)*Impacts!$F$10),0)</f>
        <v>0</v>
      </c>
      <c r="O1934" s="10">
        <f>IF(Tank4!$C$23="No control",(SUMIF(Tank4!$B$32:$B$49,$J1934,Tank4!$C$32:$C$49)*Impacts!$F$11),0)</f>
        <v>0</v>
      </c>
      <c r="P1934" s="10">
        <f>IF(Tank5!$C$23="No control",(SUMIF(Tank5!$B$32:$B$49,$J1934,Tank5!$C$32:$C$49)*Impacts!$F$12),0)</f>
        <v>0</v>
      </c>
      <c r="Q1934" s="10">
        <f>IFERROR(IF(('Loading-drum,tote'!$C$21)="No control",SUMIF(('Loading-drum,tote'!$B$31:$B$48),$J1934,('Loading-drum,tote'!$D$31:$D$48))*Impacts!$F$13,IF(('Loading-drum,tote'!$C$21)&lt;&gt;"No control",SUMIF(('Loading-drum,tote'!$B$31:$B$48),$J1934,('Loading-drum,tote'!$E$31:$E$48))*Impacts!$F$13,0)),0)</f>
        <v>0</v>
      </c>
      <c r="R1934" s="10">
        <f>IFERROR(IF(('Loading-truck'!$C$21)="No control",SUMIF(('Loading-truck'!$B$31:$B$48),$J1934,('Loading-truck'!$D$31:$D$48))*Impacts!$F$14,IF(('Loading-truck'!$C$21)&lt;&gt;"No control",SUMIF(('Loading-truck'!$B$31:$B$48),$J1934,('Loading-truck'!$E$31:$E$48))*Impacts!$F$14,0)),0)</f>
        <v>0</v>
      </c>
      <c r="S1934" s="10">
        <f>IFERROR(IF(('Loading-rail'!$C$21)="No control",SUMIF(('Loading-rail'!$B$31:$B$48),$J1934,('Loading-rail'!$D$31:$D$48))*Impacts!$F$15,IF(('Loading-rail'!$C$21)&lt;&gt;"No control",SUMIF(('Loading-rail'!$B$31:$B$48),$J1934,('Loading-rail'!$E$31:$E$48))*Impacts!$F$15,0)),0)</f>
        <v>0</v>
      </c>
      <c r="T1934" s="10">
        <f>IF(Flare!$C$7="",0,(SUMIF(Flare!$B$46:$B$185,$J1934,Flare!$E$46:$E$185)*Impacts!$F$16))</f>
        <v>0</v>
      </c>
      <c r="U1934" s="10">
        <f>IF(VCU!$C$9="",0,(SUMIF(VCU!$B$51:$B$193,$J1934,VCU!$E$51:$E$193)*Impacts!$F$17))</f>
        <v>0</v>
      </c>
      <c r="V1934" s="10">
        <f>IF(CAS!$C$7="",0,(SUMIF(CAS!$B$31:$B$167,$J1934,CAS!$E$31:$E$167)*Impacts!$F$18))</f>
        <v>0</v>
      </c>
      <c r="W1934" s="10">
        <f t="shared" si="70"/>
        <v>0</v>
      </c>
      <c r="AK1934" s="10" t="str">
        <f t="array" ref="AK1934">IFERROR(INDEX(SelectedSpecies,SMALL(IF(SelectedSpecies=AK$1,ROW(SelectedSpecies)),ROW(1935:1935)),2),"")</f>
        <v/>
      </c>
      <c r="BE1934" s="10"/>
      <c r="BI1934" s="10"/>
    </row>
    <row r="1935" spans="1:61" ht="21" customHeight="1" x14ac:dyDescent="0.25">
      <c r="A1935" s="10"/>
      <c r="B1935" s="10"/>
      <c r="E1935" s="10"/>
      <c r="G1935" s="10"/>
      <c r="I1935" s="436" t="s">
        <v>7360</v>
      </c>
      <c r="J1935" s="26" t="s">
        <v>7359</v>
      </c>
      <c r="K1935" s="10">
        <v>0.25</v>
      </c>
      <c r="L1935" s="73">
        <f>IF(Tank1!$C$23="No control",(SUMIF(Tank1!$B$32:$B$49,$J1935,Tank1!$C$32:$C$49)*Impacts!$F$8),0)</f>
        <v>0</v>
      </c>
      <c r="M1935" s="10">
        <f>IF(Tank2!$C$23="No control",(SUMIF(Tank2!$B$32:$B$49,$J1935,Tank2!$C$32:$C$49)*Impacts!$F$9),0)</f>
        <v>0</v>
      </c>
      <c r="N1935" s="10">
        <f>IF(Tank3!$C$23="No control",(SUMIF(Tank3!$B$32:$B$49,$J1935,Tank3!$C$32:$C$49)*Impacts!$F$10),0)</f>
        <v>0</v>
      </c>
      <c r="O1935" s="10">
        <f>IF(Tank4!$C$23="No control",(SUMIF(Tank4!$B$32:$B$49,$J1935,Tank4!$C$32:$C$49)*Impacts!$F$11),0)</f>
        <v>0</v>
      </c>
      <c r="P1935" s="10">
        <f>IF(Tank5!$C$23="No control",(SUMIF(Tank5!$B$32:$B$49,$J1935,Tank5!$C$32:$C$49)*Impacts!$F$12),0)</f>
        <v>0</v>
      </c>
      <c r="Q1935" s="10">
        <f>IFERROR(IF(('Loading-drum,tote'!$C$21)="No control",SUMIF(('Loading-drum,tote'!$B$31:$B$48),$J1935,('Loading-drum,tote'!$D$31:$D$48))*Impacts!$F$13,IF(('Loading-drum,tote'!$C$21)&lt;&gt;"No control",SUMIF(('Loading-drum,tote'!$B$31:$B$48),$J1935,('Loading-drum,tote'!$E$31:$E$48))*Impacts!$F$13,0)),0)</f>
        <v>0</v>
      </c>
      <c r="R1935" s="10">
        <f>IFERROR(IF(('Loading-truck'!$C$21)="No control",SUMIF(('Loading-truck'!$B$31:$B$48),$J1935,('Loading-truck'!$D$31:$D$48))*Impacts!$F$14,IF(('Loading-truck'!$C$21)&lt;&gt;"No control",SUMIF(('Loading-truck'!$B$31:$B$48),$J1935,('Loading-truck'!$E$31:$E$48))*Impacts!$F$14,0)),0)</f>
        <v>0</v>
      </c>
      <c r="S1935" s="10">
        <f>IFERROR(IF(('Loading-rail'!$C$21)="No control",SUMIF(('Loading-rail'!$B$31:$B$48),$J1935,('Loading-rail'!$D$31:$D$48))*Impacts!$F$15,IF(('Loading-rail'!$C$21)&lt;&gt;"No control",SUMIF(('Loading-rail'!$B$31:$B$48),$J1935,('Loading-rail'!$E$31:$E$48))*Impacts!$F$15,0)),0)</f>
        <v>0</v>
      </c>
      <c r="T1935" s="10">
        <f>IF(Flare!$C$7="",0,(SUMIF(Flare!$B$46:$B$185,$J1935,Flare!$E$46:$E$185)*Impacts!$F$16))</f>
        <v>0</v>
      </c>
      <c r="U1935" s="10">
        <f>IF(VCU!$C$9="",0,(SUMIF(VCU!$B$51:$B$193,$J1935,VCU!$E$51:$E$193)*Impacts!$F$17))</f>
        <v>0</v>
      </c>
      <c r="V1935" s="10">
        <f>IF(CAS!$C$7="",0,(SUMIF(CAS!$B$31:$B$167,$J1935,CAS!$E$31:$E$167)*Impacts!$F$18))</f>
        <v>0</v>
      </c>
      <c r="W1935" s="10">
        <f t="shared" si="70"/>
        <v>0</v>
      </c>
      <c r="AK1935" s="10" t="str">
        <f t="array" ref="AK1935">IFERROR(INDEX(SelectedSpecies,SMALL(IF(SelectedSpecies=AK$1,ROW(SelectedSpecies)),ROW(1936:1936)),2),"")</f>
        <v/>
      </c>
      <c r="BE1935" s="10"/>
      <c r="BI1935" s="10"/>
    </row>
    <row r="1936" spans="1:61" ht="21" customHeight="1" x14ac:dyDescent="0.25">
      <c r="A1936" s="10"/>
      <c r="B1936" s="10"/>
      <c r="E1936" s="10"/>
      <c r="G1936" s="10"/>
      <c r="I1936" s="436" t="s">
        <v>7918</v>
      </c>
      <c r="J1936" s="26" t="s">
        <v>7917</v>
      </c>
      <c r="K1936" s="10">
        <v>0.05</v>
      </c>
      <c r="L1936" s="73">
        <f>IF(Tank1!$C$23="No control",(SUMIF(Tank1!$B$32:$B$49,$J1936,Tank1!$C$32:$C$49)*Impacts!$F$8),0)</f>
        <v>0</v>
      </c>
      <c r="M1936" s="10">
        <f>IF(Tank2!$C$23="No control",(SUMIF(Tank2!$B$32:$B$49,$J1936,Tank2!$C$32:$C$49)*Impacts!$F$9),0)</f>
        <v>0</v>
      </c>
      <c r="N1936" s="10">
        <f>IF(Tank3!$C$23="No control",(SUMIF(Tank3!$B$32:$B$49,$J1936,Tank3!$C$32:$C$49)*Impacts!$F$10),0)</f>
        <v>0</v>
      </c>
      <c r="O1936" s="10">
        <f>IF(Tank4!$C$23="No control",(SUMIF(Tank4!$B$32:$B$49,$J1936,Tank4!$C$32:$C$49)*Impacts!$F$11),0)</f>
        <v>0</v>
      </c>
      <c r="P1936" s="10">
        <f>IF(Tank5!$C$23="No control",(SUMIF(Tank5!$B$32:$B$49,$J1936,Tank5!$C$32:$C$49)*Impacts!$F$12),0)</f>
        <v>0</v>
      </c>
      <c r="Q1936" s="10">
        <f>IFERROR(IF(('Loading-drum,tote'!$C$21)="No control",SUMIF(('Loading-drum,tote'!$B$31:$B$48),$J1936,('Loading-drum,tote'!$D$31:$D$48))*Impacts!$F$13,IF(('Loading-drum,tote'!$C$21)&lt;&gt;"No control",SUMIF(('Loading-drum,tote'!$B$31:$B$48),$J1936,('Loading-drum,tote'!$E$31:$E$48))*Impacts!$F$13,0)),0)</f>
        <v>0</v>
      </c>
      <c r="R1936" s="10">
        <f>IFERROR(IF(('Loading-truck'!$C$21)="No control",SUMIF(('Loading-truck'!$B$31:$B$48),$J1936,('Loading-truck'!$D$31:$D$48))*Impacts!$F$14,IF(('Loading-truck'!$C$21)&lt;&gt;"No control",SUMIF(('Loading-truck'!$B$31:$B$48),$J1936,('Loading-truck'!$E$31:$E$48))*Impacts!$F$14,0)),0)</f>
        <v>0</v>
      </c>
      <c r="S1936" s="10">
        <f>IFERROR(IF(('Loading-rail'!$C$21)="No control",SUMIF(('Loading-rail'!$B$31:$B$48),$J1936,('Loading-rail'!$D$31:$D$48))*Impacts!$F$15,IF(('Loading-rail'!$C$21)&lt;&gt;"No control",SUMIF(('Loading-rail'!$B$31:$B$48),$J1936,('Loading-rail'!$E$31:$E$48))*Impacts!$F$15,0)),0)</f>
        <v>0</v>
      </c>
      <c r="T1936" s="10">
        <f>IF(Flare!$C$7="",0,(SUMIF(Flare!$B$46:$B$185,$J1936,Flare!$E$46:$E$185)*Impacts!$F$16))</f>
        <v>0</v>
      </c>
      <c r="U1936" s="10">
        <f>IF(VCU!$C$9="",0,(SUMIF(VCU!$B$51:$B$193,$J1936,VCU!$E$51:$E$193)*Impacts!$F$17))</f>
        <v>0</v>
      </c>
      <c r="V1936" s="10">
        <f>IF(CAS!$C$7="",0,(SUMIF(CAS!$B$31:$B$167,$J1936,CAS!$E$31:$E$167)*Impacts!$F$18))</f>
        <v>0</v>
      </c>
      <c r="W1936" s="10">
        <f t="shared" si="70"/>
        <v>0</v>
      </c>
      <c r="AK1936" s="10" t="str">
        <f t="array" ref="AK1936">IFERROR(INDEX(SelectedSpecies,SMALL(IF(SelectedSpecies=AK$1,ROW(SelectedSpecies)),ROW(1937:1937)),2),"")</f>
        <v/>
      </c>
      <c r="BE1936" s="10"/>
      <c r="BI1936" s="10"/>
    </row>
    <row r="1937" spans="1:61" ht="21" customHeight="1" x14ac:dyDescent="0.25">
      <c r="A1937" s="10"/>
      <c r="B1937" s="10"/>
      <c r="E1937" s="10"/>
      <c r="G1937" s="10"/>
      <c r="I1937" s="436" t="s">
        <v>5435</v>
      </c>
      <c r="J1937" s="26" t="s">
        <v>5434</v>
      </c>
      <c r="K1937" s="10">
        <v>1.4000000000000001</v>
      </c>
      <c r="L1937" s="73">
        <f>IF(Tank1!$C$23="No control",(SUMIF(Tank1!$B$32:$B$49,$J1937,Tank1!$C$32:$C$49)*Impacts!$F$8),0)</f>
        <v>0</v>
      </c>
      <c r="M1937" s="10">
        <f>IF(Tank2!$C$23="No control",(SUMIF(Tank2!$B$32:$B$49,$J1937,Tank2!$C$32:$C$49)*Impacts!$F$9),0)</f>
        <v>0</v>
      </c>
      <c r="N1937" s="10">
        <f>IF(Tank3!$C$23="No control",(SUMIF(Tank3!$B$32:$B$49,$J1937,Tank3!$C$32:$C$49)*Impacts!$F$10),0)</f>
        <v>0</v>
      </c>
      <c r="O1937" s="10">
        <f>IF(Tank4!$C$23="No control",(SUMIF(Tank4!$B$32:$B$49,$J1937,Tank4!$C$32:$C$49)*Impacts!$F$11),0)</f>
        <v>0</v>
      </c>
      <c r="P1937" s="10">
        <f>IF(Tank5!$C$23="No control",(SUMIF(Tank5!$B$32:$B$49,$J1937,Tank5!$C$32:$C$49)*Impacts!$F$12),0)</f>
        <v>0</v>
      </c>
      <c r="Q1937" s="10">
        <f>IFERROR(IF(('Loading-drum,tote'!$C$21)="No control",SUMIF(('Loading-drum,tote'!$B$31:$B$48),$J1937,('Loading-drum,tote'!$D$31:$D$48))*Impacts!$F$13,IF(('Loading-drum,tote'!$C$21)&lt;&gt;"No control",SUMIF(('Loading-drum,tote'!$B$31:$B$48),$J1937,('Loading-drum,tote'!$E$31:$E$48))*Impacts!$F$13,0)),0)</f>
        <v>0</v>
      </c>
      <c r="R1937" s="10">
        <f>IFERROR(IF(('Loading-truck'!$C$21)="No control",SUMIF(('Loading-truck'!$B$31:$B$48),$J1937,('Loading-truck'!$D$31:$D$48))*Impacts!$F$14,IF(('Loading-truck'!$C$21)&lt;&gt;"No control",SUMIF(('Loading-truck'!$B$31:$B$48),$J1937,('Loading-truck'!$E$31:$E$48))*Impacts!$F$14,0)),0)</f>
        <v>0</v>
      </c>
      <c r="S1937" s="10">
        <f>IFERROR(IF(('Loading-rail'!$C$21)="No control",SUMIF(('Loading-rail'!$B$31:$B$48),$J1937,('Loading-rail'!$D$31:$D$48))*Impacts!$F$15,IF(('Loading-rail'!$C$21)&lt;&gt;"No control",SUMIF(('Loading-rail'!$B$31:$B$48),$J1937,('Loading-rail'!$E$31:$E$48))*Impacts!$F$15,0)),0)</f>
        <v>0</v>
      </c>
      <c r="T1937" s="10">
        <f>IF(Flare!$C$7="",0,(SUMIF(Flare!$B$46:$B$185,$J1937,Flare!$E$46:$E$185)*Impacts!$F$16))</f>
        <v>0</v>
      </c>
      <c r="U1937" s="10">
        <f>IF(VCU!$C$9="",0,(SUMIF(VCU!$B$51:$B$193,$J1937,VCU!$E$51:$E$193)*Impacts!$F$17))</f>
        <v>0</v>
      </c>
      <c r="V1937" s="10">
        <f>IF(CAS!$C$7="",0,(SUMIF(CAS!$B$31:$B$167,$J1937,CAS!$E$31:$E$167)*Impacts!$F$18))</f>
        <v>0</v>
      </c>
      <c r="W1937" s="10">
        <f t="shared" si="70"/>
        <v>0</v>
      </c>
      <c r="AK1937" s="10" t="str">
        <f t="array" ref="AK1937">IFERROR(INDEX(SelectedSpecies,SMALL(IF(SelectedSpecies=AK$1,ROW(SelectedSpecies)),ROW(1938:1938)),2),"")</f>
        <v/>
      </c>
      <c r="BE1937" s="10"/>
      <c r="BI1937" s="10"/>
    </row>
    <row r="1938" spans="1:61" ht="21" customHeight="1" x14ac:dyDescent="0.25">
      <c r="A1938" s="10"/>
      <c r="B1938" s="10"/>
      <c r="E1938" s="10"/>
      <c r="G1938" s="10"/>
      <c r="I1938" s="436" t="s">
        <v>377</v>
      </c>
      <c r="J1938" s="26" t="s">
        <v>376</v>
      </c>
      <c r="K1938" s="10">
        <v>340</v>
      </c>
      <c r="L1938" s="73">
        <f>IF(Tank1!$C$23="No control",(SUMIF(Tank1!$B$32:$B$49,$J1938,Tank1!$C$32:$C$49)*Impacts!$F$8),0)</f>
        <v>0</v>
      </c>
      <c r="M1938" s="10">
        <f>IF(Tank2!$C$23="No control",(SUMIF(Tank2!$B$32:$B$49,$J1938,Tank2!$C$32:$C$49)*Impacts!$F$9),0)</f>
        <v>0</v>
      </c>
      <c r="N1938" s="10">
        <f>IF(Tank3!$C$23="No control",(SUMIF(Tank3!$B$32:$B$49,$J1938,Tank3!$C$32:$C$49)*Impacts!$F$10),0)</f>
        <v>0</v>
      </c>
      <c r="O1938" s="10">
        <f>IF(Tank4!$C$23="No control",(SUMIF(Tank4!$B$32:$B$49,$J1938,Tank4!$C$32:$C$49)*Impacts!$F$11),0)</f>
        <v>0</v>
      </c>
      <c r="P1938" s="10">
        <f>IF(Tank5!$C$23="No control",(SUMIF(Tank5!$B$32:$B$49,$J1938,Tank5!$C$32:$C$49)*Impacts!$F$12),0)</f>
        <v>0</v>
      </c>
      <c r="Q1938" s="10">
        <f>IFERROR(IF(('Loading-drum,tote'!$C$21)="No control",SUMIF(('Loading-drum,tote'!$B$31:$B$48),$J1938,('Loading-drum,tote'!$D$31:$D$48))*Impacts!$F$13,IF(('Loading-drum,tote'!$C$21)&lt;&gt;"No control",SUMIF(('Loading-drum,tote'!$B$31:$B$48),$J1938,('Loading-drum,tote'!$E$31:$E$48))*Impacts!$F$13,0)),0)</f>
        <v>0</v>
      </c>
      <c r="R1938" s="10">
        <f>IFERROR(IF(('Loading-truck'!$C$21)="No control",SUMIF(('Loading-truck'!$B$31:$B$48),$J1938,('Loading-truck'!$D$31:$D$48))*Impacts!$F$14,IF(('Loading-truck'!$C$21)&lt;&gt;"No control",SUMIF(('Loading-truck'!$B$31:$B$48),$J1938,('Loading-truck'!$E$31:$E$48))*Impacts!$F$14,0)),0)</f>
        <v>0</v>
      </c>
      <c r="S1938" s="10">
        <f>IFERROR(IF(('Loading-rail'!$C$21)="No control",SUMIF(('Loading-rail'!$B$31:$B$48),$J1938,('Loading-rail'!$D$31:$D$48))*Impacts!$F$15,IF(('Loading-rail'!$C$21)&lt;&gt;"No control",SUMIF(('Loading-rail'!$B$31:$B$48),$J1938,('Loading-rail'!$E$31:$E$48))*Impacts!$F$15,0)),0)</f>
        <v>0</v>
      </c>
      <c r="T1938" s="10">
        <f>IF(Flare!$C$7="",0,(SUMIF(Flare!$B$46:$B$185,$J1938,Flare!$E$46:$E$185)*Impacts!$F$16))</f>
        <v>0</v>
      </c>
      <c r="U1938" s="10">
        <f>IF(VCU!$C$9="",0,(SUMIF(VCU!$B$51:$B$193,$J1938,VCU!$E$51:$E$193)*Impacts!$F$17))</f>
        <v>0</v>
      </c>
      <c r="V1938" s="10">
        <f>IF(CAS!$C$7="",0,(SUMIF(CAS!$B$31:$B$167,$J1938,CAS!$E$31:$E$167)*Impacts!$F$18))</f>
        <v>0</v>
      </c>
      <c r="W1938" s="10">
        <f t="shared" si="70"/>
        <v>0</v>
      </c>
      <c r="AK1938" s="10" t="str">
        <f t="array" ref="AK1938">IFERROR(INDEX(SelectedSpecies,SMALL(IF(SelectedSpecies=AK$1,ROW(SelectedSpecies)),ROW(1939:1939)),2),"")</f>
        <v/>
      </c>
      <c r="BE1938" s="10"/>
      <c r="BI1938" s="10"/>
    </row>
    <row r="1939" spans="1:61" ht="21" customHeight="1" x14ac:dyDescent="0.25">
      <c r="A1939" s="10"/>
      <c r="B1939" s="10"/>
      <c r="E1939" s="10"/>
      <c r="G1939" s="10"/>
      <c r="I1939" s="436" t="s">
        <v>532</v>
      </c>
      <c r="J1939" s="26" t="s">
        <v>531</v>
      </c>
      <c r="K1939" s="10">
        <v>100</v>
      </c>
      <c r="L1939" s="73">
        <f>IF(Tank1!$C$23="No control",(SUMIF(Tank1!$B$32:$B$49,$J1939,Tank1!$C$32:$C$49)*Impacts!$F$8),0)</f>
        <v>0</v>
      </c>
      <c r="M1939" s="10">
        <f>IF(Tank2!$C$23="No control",(SUMIF(Tank2!$B$32:$B$49,$J1939,Tank2!$C$32:$C$49)*Impacts!$F$9),0)</f>
        <v>0</v>
      </c>
      <c r="N1939" s="10">
        <f>IF(Tank3!$C$23="No control",(SUMIF(Tank3!$B$32:$B$49,$J1939,Tank3!$C$32:$C$49)*Impacts!$F$10),0)</f>
        <v>0</v>
      </c>
      <c r="O1939" s="10">
        <f>IF(Tank4!$C$23="No control",(SUMIF(Tank4!$B$32:$B$49,$J1939,Tank4!$C$32:$C$49)*Impacts!$F$11),0)</f>
        <v>0</v>
      </c>
      <c r="P1939" s="10">
        <f>IF(Tank5!$C$23="No control",(SUMIF(Tank5!$B$32:$B$49,$J1939,Tank5!$C$32:$C$49)*Impacts!$F$12),0)</f>
        <v>0</v>
      </c>
      <c r="Q1939" s="10">
        <f>IFERROR(IF(('Loading-drum,tote'!$C$21)="No control",SUMIF(('Loading-drum,tote'!$B$31:$B$48),$J1939,('Loading-drum,tote'!$D$31:$D$48))*Impacts!$F$13,IF(('Loading-drum,tote'!$C$21)&lt;&gt;"No control",SUMIF(('Loading-drum,tote'!$B$31:$B$48),$J1939,('Loading-drum,tote'!$E$31:$E$48))*Impacts!$F$13,0)),0)</f>
        <v>0</v>
      </c>
      <c r="R1939" s="10">
        <f>IFERROR(IF(('Loading-truck'!$C$21)="No control",SUMIF(('Loading-truck'!$B$31:$B$48),$J1939,('Loading-truck'!$D$31:$D$48))*Impacts!$F$14,IF(('Loading-truck'!$C$21)&lt;&gt;"No control",SUMIF(('Loading-truck'!$B$31:$B$48),$J1939,('Loading-truck'!$E$31:$E$48))*Impacts!$F$14,0)),0)</f>
        <v>0</v>
      </c>
      <c r="S1939" s="10">
        <f>IFERROR(IF(('Loading-rail'!$C$21)="No control",SUMIF(('Loading-rail'!$B$31:$B$48),$J1939,('Loading-rail'!$D$31:$D$48))*Impacts!$F$15,IF(('Loading-rail'!$C$21)&lt;&gt;"No control",SUMIF(('Loading-rail'!$B$31:$B$48),$J1939,('Loading-rail'!$E$31:$E$48))*Impacts!$F$15,0)),0)</f>
        <v>0</v>
      </c>
      <c r="T1939" s="10">
        <f>IF(Flare!$C$7="",0,(SUMIF(Flare!$B$46:$B$185,$J1939,Flare!$E$46:$E$185)*Impacts!$F$16))</f>
        <v>0</v>
      </c>
      <c r="U1939" s="10">
        <f>IF(VCU!$C$9="",0,(SUMIF(VCU!$B$51:$B$193,$J1939,VCU!$E$51:$E$193)*Impacts!$F$17))</f>
        <v>0</v>
      </c>
      <c r="V1939" s="10">
        <f>IF(CAS!$C$7="",0,(SUMIF(CAS!$B$31:$B$167,$J1939,CAS!$E$31:$E$167)*Impacts!$F$18))</f>
        <v>0</v>
      </c>
      <c r="W1939" s="10">
        <f t="shared" si="70"/>
        <v>0</v>
      </c>
      <c r="AK1939" s="10" t="str">
        <f t="array" ref="AK1939">IFERROR(INDEX(SelectedSpecies,SMALL(IF(SelectedSpecies=AK$1,ROW(SelectedSpecies)),ROW(1940:1940)),2),"")</f>
        <v/>
      </c>
      <c r="BE1939" s="10"/>
      <c r="BI1939" s="10"/>
    </row>
    <row r="1940" spans="1:61" ht="21" customHeight="1" x14ac:dyDescent="0.25">
      <c r="A1940" s="10"/>
      <c r="B1940" s="10"/>
      <c r="E1940" s="10"/>
      <c r="G1940" s="10"/>
      <c r="I1940" s="436" t="s">
        <v>319</v>
      </c>
      <c r="J1940" s="26" t="s">
        <v>318</v>
      </c>
      <c r="K1940" s="10">
        <v>610</v>
      </c>
      <c r="L1940" s="73">
        <f>IF(Tank1!$C$23="No control",(SUMIF(Tank1!$B$32:$B$49,$J1940,Tank1!$C$32:$C$49)*Impacts!$F$8),0)</f>
        <v>0</v>
      </c>
      <c r="M1940" s="10">
        <f>IF(Tank2!$C$23="No control",(SUMIF(Tank2!$B$32:$B$49,$J1940,Tank2!$C$32:$C$49)*Impacts!$F$9),0)</f>
        <v>0</v>
      </c>
      <c r="N1940" s="10">
        <f>IF(Tank3!$C$23="No control",(SUMIF(Tank3!$B$32:$B$49,$J1940,Tank3!$C$32:$C$49)*Impacts!$F$10),0)</f>
        <v>0</v>
      </c>
      <c r="O1940" s="10">
        <f>IF(Tank4!$C$23="No control",(SUMIF(Tank4!$B$32:$B$49,$J1940,Tank4!$C$32:$C$49)*Impacts!$F$11),0)</f>
        <v>0</v>
      </c>
      <c r="P1940" s="10">
        <f>IF(Tank5!$C$23="No control",(SUMIF(Tank5!$B$32:$B$49,$J1940,Tank5!$C$32:$C$49)*Impacts!$F$12),0)</f>
        <v>0</v>
      </c>
      <c r="Q1940" s="10">
        <f>IFERROR(IF(('Loading-drum,tote'!$C$21)="No control",SUMIF(('Loading-drum,tote'!$B$31:$B$48),$J1940,('Loading-drum,tote'!$D$31:$D$48))*Impacts!$F$13,IF(('Loading-drum,tote'!$C$21)&lt;&gt;"No control",SUMIF(('Loading-drum,tote'!$B$31:$B$48),$J1940,('Loading-drum,tote'!$E$31:$E$48))*Impacts!$F$13,0)),0)</f>
        <v>0</v>
      </c>
      <c r="R1940" s="10">
        <f>IFERROR(IF(('Loading-truck'!$C$21)="No control",SUMIF(('Loading-truck'!$B$31:$B$48),$J1940,('Loading-truck'!$D$31:$D$48))*Impacts!$F$14,IF(('Loading-truck'!$C$21)&lt;&gt;"No control",SUMIF(('Loading-truck'!$B$31:$B$48),$J1940,('Loading-truck'!$E$31:$E$48))*Impacts!$F$14,0)),0)</f>
        <v>0</v>
      </c>
      <c r="S1940" s="10">
        <f>IFERROR(IF(('Loading-rail'!$C$21)="No control",SUMIF(('Loading-rail'!$B$31:$B$48),$J1940,('Loading-rail'!$D$31:$D$48))*Impacts!$F$15,IF(('Loading-rail'!$C$21)&lt;&gt;"No control",SUMIF(('Loading-rail'!$B$31:$B$48),$J1940,('Loading-rail'!$E$31:$E$48))*Impacts!$F$15,0)),0)</f>
        <v>0</v>
      </c>
      <c r="T1940" s="10">
        <f>IF(Flare!$C$7="",0,(SUMIF(Flare!$B$46:$B$185,$J1940,Flare!$E$46:$E$185)*Impacts!$F$16))</f>
        <v>0</v>
      </c>
      <c r="U1940" s="10">
        <f>IF(VCU!$C$9="",0,(SUMIF(VCU!$B$51:$B$193,$J1940,VCU!$E$51:$E$193)*Impacts!$F$17))</f>
        <v>0</v>
      </c>
      <c r="V1940" s="10">
        <f>IF(CAS!$C$7="",0,(SUMIF(CAS!$B$31:$B$167,$J1940,CAS!$E$31:$E$167)*Impacts!$F$18))</f>
        <v>0</v>
      </c>
      <c r="W1940" s="10">
        <f t="shared" si="70"/>
        <v>0</v>
      </c>
      <c r="AK1940" s="10" t="str">
        <f t="array" ref="AK1940">IFERROR(INDEX(SelectedSpecies,SMALL(IF(SelectedSpecies=AK$1,ROW(SelectedSpecies)),ROW(1941:1941)),2),"")</f>
        <v/>
      </c>
      <c r="BE1940" s="10"/>
      <c r="BI1940" s="10"/>
    </row>
    <row r="1941" spans="1:61" ht="21" customHeight="1" x14ac:dyDescent="0.25">
      <c r="A1941" s="10"/>
      <c r="B1941" s="10"/>
      <c r="E1941" s="10"/>
      <c r="G1941" s="10"/>
      <c r="I1941" s="436" t="s">
        <v>534</v>
      </c>
      <c r="J1941" s="26" t="s">
        <v>533</v>
      </c>
      <c r="K1941" s="10">
        <v>100</v>
      </c>
      <c r="L1941" s="73">
        <f>IF(Tank1!$C$23="No control",(SUMIF(Tank1!$B$32:$B$49,$J1941,Tank1!$C$32:$C$49)*Impacts!$F$8),0)</f>
        <v>0</v>
      </c>
      <c r="M1941" s="10">
        <f>IF(Tank2!$C$23="No control",(SUMIF(Tank2!$B$32:$B$49,$J1941,Tank2!$C$32:$C$49)*Impacts!$F$9),0)</f>
        <v>0</v>
      </c>
      <c r="N1941" s="10">
        <f>IF(Tank3!$C$23="No control",(SUMIF(Tank3!$B$32:$B$49,$J1941,Tank3!$C$32:$C$49)*Impacts!$F$10),0)</f>
        <v>0</v>
      </c>
      <c r="O1941" s="10">
        <f>IF(Tank4!$C$23="No control",(SUMIF(Tank4!$B$32:$B$49,$J1941,Tank4!$C$32:$C$49)*Impacts!$F$11),0)</f>
        <v>0</v>
      </c>
      <c r="P1941" s="10">
        <f>IF(Tank5!$C$23="No control",(SUMIF(Tank5!$B$32:$B$49,$J1941,Tank5!$C$32:$C$49)*Impacts!$F$12),0)</f>
        <v>0</v>
      </c>
      <c r="Q1941" s="10">
        <f>IFERROR(IF(('Loading-drum,tote'!$C$21)="No control",SUMIF(('Loading-drum,tote'!$B$31:$B$48),$J1941,('Loading-drum,tote'!$D$31:$D$48))*Impacts!$F$13,IF(('Loading-drum,tote'!$C$21)&lt;&gt;"No control",SUMIF(('Loading-drum,tote'!$B$31:$B$48),$J1941,('Loading-drum,tote'!$E$31:$E$48))*Impacts!$F$13,0)),0)</f>
        <v>0</v>
      </c>
      <c r="R1941" s="10">
        <f>IFERROR(IF(('Loading-truck'!$C$21)="No control",SUMIF(('Loading-truck'!$B$31:$B$48),$J1941,('Loading-truck'!$D$31:$D$48))*Impacts!$F$14,IF(('Loading-truck'!$C$21)&lt;&gt;"No control",SUMIF(('Loading-truck'!$B$31:$B$48),$J1941,('Loading-truck'!$E$31:$E$48))*Impacts!$F$14,0)),0)</f>
        <v>0</v>
      </c>
      <c r="S1941" s="10">
        <f>IFERROR(IF(('Loading-rail'!$C$21)="No control",SUMIF(('Loading-rail'!$B$31:$B$48),$J1941,('Loading-rail'!$D$31:$D$48))*Impacts!$F$15,IF(('Loading-rail'!$C$21)&lt;&gt;"No control",SUMIF(('Loading-rail'!$B$31:$B$48),$J1941,('Loading-rail'!$E$31:$E$48))*Impacts!$F$15,0)),0)</f>
        <v>0</v>
      </c>
      <c r="T1941" s="10">
        <f>IF(Flare!$C$7="",0,(SUMIF(Flare!$B$46:$B$185,$J1941,Flare!$E$46:$E$185)*Impacts!$F$16))</f>
        <v>0</v>
      </c>
      <c r="U1941" s="10">
        <f>IF(VCU!$C$9="",0,(SUMIF(VCU!$B$51:$B$193,$J1941,VCU!$E$51:$E$193)*Impacts!$F$17))</f>
        <v>0</v>
      </c>
      <c r="V1941" s="10">
        <f>IF(CAS!$C$7="",0,(SUMIF(CAS!$B$31:$B$167,$J1941,CAS!$E$31:$E$167)*Impacts!$F$18))</f>
        <v>0</v>
      </c>
      <c r="W1941" s="10">
        <f t="shared" si="70"/>
        <v>0</v>
      </c>
      <c r="AK1941" s="10" t="str">
        <f t="array" ref="AK1941">IFERROR(INDEX(SelectedSpecies,SMALL(IF(SelectedSpecies=AK$1,ROW(SelectedSpecies)),ROW(1942:1942)),2),"")</f>
        <v/>
      </c>
      <c r="BE1941" s="10"/>
      <c r="BI1941" s="10"/>
    </row>
    <row r="1942" spans="1:61" ht="21" customHeight="1" x14ac:dyDescent="0.25">
      <c r="A1942" s="10"/>
      <c r="B1942" s="10"/>
      <c r="E1942" s="10"/>
      <c r="G1942" s="10"/>
      <c r="I1942" s="436" t="s">
        <v>536</v>
      </c>
      <c r="J1942" s="26" t="s">
        <v>535</v>
      </c>
      <c r="K1942" s="10">
        <v>100</v>
      </c>
      <c r="L1942" s="73">
        <f>IF(Tank1!$C$23="No control",(SUMIF(Tank1!$B$32:$B$49,$J1942,Tank1!$C$32:$C$49)*Impacts!$F$8),0)</f>
        <v>0</v>
      </c>
      <c r="M1942" s="10">
        <f>IF(Tank2!$C$23="No control",(SUMIF(Tank2!$B$32:$B$49,$J1942,Tank2!$C$32:$C$49)*Impacts!$F$9),0)</f>
        <v>0</v>
      </c>
      <c r="N1942" s="10">
        <f>IF(Tank3!$C$23="No control",(SUMIF(Tank3!$B$32:$B$49,$J1942,Tank3!$C$32:$C$49)*Impacts!$F$10),0)</f>
        <v>0</v>
      </c>
      <c r="O1942" s="10">
        <f>IF(Tank4!$C$23="No control",(SUMIF(Tank4!$B$32:$B$49,$J1942,Tank4!$C$32:$C$49)*Impacts!$F$11),0)</f>
        <v>0</v>
      </c>
      <c r="P1942" s="10">
        <f>IF(Tank5!$C$23="No control",(SUMIF(Tank5!$B$32:$B$49,$J1942,Tank5!$C$32:$C$49)*Impacts!$F$12),0)</f>
        <v>0</v>
      </c>
      <c r="Q1942" s="10">
        <f>IFERROR(IF(('Loading-drum,tote'!$C$21)="No control",SUMIF(('Loading-drum,tote'!$B$31:$B$48),$J1942,('Loading-drum,tote'!$D$31:$D$48))*Impacts!$F$13,IF(('Loading-drum,tote'!$C$21)&lt;&gt;"No control",SUMIF(('Loading-drum,tote'!$B$31:$B$48),$J1942,('Loading-drum,tote'!$E$31:$E$48))*Impacts!$F$13,0)),0)</f>
        <v>0</v>
      </c>
      <c r="R1942" s="10">
        <f>IFERROR(IF(('Loading-truck'!$C$21)="No control",SUMIF(('Loading-truck'!$B$31:$B$48),$J1942,('Loading-truck'!$D$31:$D$48))*Impacts!$F$14,IF(('Loading-truck'!$C$21)&lt;&gt;"No control",SUMIF(('Loading-truck'!$B$31:$B$48),$J1942,('Loading-truck'!$E$31:$E$48))*Impacts!$F$14,0)),0)</f>
        <v>0</v>
      </c>
      <c r="S1942" s="10">
        <f>IFERROR(IF(('Loading-rail'!$C$21)="No control",SUMIF(('Loading-rail'!$B$31:$B$48),$J1942,('Loading-rail'!$D$31:$D$48))*Impacts!$F$15,IF(('Loading-rail'!$C$21)&lt;&gt;"No control",SUMIF(('Loading-rail'!$B$31:$B$48),$J1942,('Loading-rail'!$E$31:$E$48))*Impacts!$F$15,0)),0)</f>
        <v>0</v>
      </c>
      <c r="T1942" s="10">
        <f>IF(Flare!$C$7="",0,(SUMIF(Flare!$B$46:$B$185,$J1942,Flare!$E$46:$E$185)*Impacts!$F$16))</f>
        <v>0</v>
      </c>
      <c r="U1942" s="10">
        <f>IF(VCU!$C$9="",0,(SUMIF(VCU!$B$51:$B$193,$J1942,VCU!$E$51:$E$193)*Impacts!$F$17))</f>
        <v>0</v>
      </c>
      <c r="V1942" s="10">
        <f>IF(CAS!$C$7="",0,(SUMIF(CAS!$B$31:$B$167,$J1942,CAS!$E$31:$E$167)*Impacts!$F$18))</f>
        <v>0</v>
      </c>
      <c r="W1942" s="10">
        <f t="shared" si="70"/>
        <v>0</v>
      </c>
      <c r="AK1942" s="10" t="str">
        <f t="array" ref="AK1942">IFERROR(INDEX(SelectedSpecies,SMALL(IF(SelectedSpecies=AK$1,ROW(SelectedSpecies)),ROW(1943:1943)),2),"")</f>
        <v/>
      </c>
      <c r="BE1942" s="10"/>
      <c r="BI1942" s="10"/>
    </row>
    <row r="1943" spans="1:61" ht="21" customHeight="1" x14ac:dyDescent="0.25">
      <c r="A1943" s="10"/>
      <c r="B1943" s="10"/>
      <c r="E1943" s="10"/>
      <c r="G1943" s="10"/>
      <c r="I1943" s="436" t="s">
        <v>5940</v>
      </c>
      <c r="J1943" s="26" t="s">
        <v>5939</v>
      </c>
      <c r="K1943" s="10">
        <v>1</v>
      </c>
      <c r="L1943" s="73">
        <f>IF(Tank1!$C$23="No control",(SUMIF(Tank1!$B$32:$B$49,$J1943,Tank1!$C$32:$C$49)*Impacts!$F$8),0)</f>
        <v>0</v>
      </c>
      <c r="M1943" s="10">
        <f>IF(Tank2!$C$23="No control",(SUMIF(Tank2!$B$32:$B$49,$J1943,Tank2!$C$32:$C$49)*Impacts!$F$9),0)</f>
        <v>0</v>
      </c>
      <c r="N1943" s="10">
        <f>IF(Tank3!$C$23="No control",(SUMIF(Tank3!$B$32:$B$49,$J1943,Tank3!$C$32:$C$49)*Impacts!$F$10),0)</f>
        <v>0</v>
      </c>
      <c r="O1943" s="10">
        <f>IF(Tank4!$C$23="No control",(SUMIF(Tank4!$B$32:$B$49,$J1943,Tank4!$C$32:$C$49)*Impacts!$F$11),0)</f>
        <v>0</v>
      </c>
      <c r="P1943" s="10">
        <f>IF(Tank5!$C$23="No control",(SUMIF(Tank5!$B$32:$B$49,$J1943,Tank5!$C$32:$C$49)*Impacts!$F$12),0)</f>
        <v>0</v>
      </c>
      <c r="Q1943" s="10">
        <f>IFERROR(IF(('Loading-drum,tote'!$C$21)="No control",SUMIF(('Loading-drum,tote'!$B$31:$B$48),$J1943,('Loading-drum,tote'!$D$31:$D$48))*Impacts!$F$13,IF(('Loading-drum,tote'!$C$21)&lt;&gt;"No control",SUMIF(('Loading-drum,tote'!$B$31:$B$48),$J1943,('Loading-drum,tote'!$E$31:$E$48))*Impacts!$F$13,0)),0)</f>
        <v>0</v>
      </c>
      <c r="R1943" s="10">
        <f>IFERROR(IF(('Loading-truck'!$C$21)="No control",SUMIF(('Loading-truck'!$B$31:$B$48),$J1943,('Loading-truck'!$D$31:$D$48))*Impacts!$F$14,IF(('Loading-truck'!$C$21)&lt;&gt;"No control",SUMIF(('Loading-truck'!$B$31:$B$48),$J1943,('Loading-truck'!$E$31:$E$48))*Impacts!$F$14,0)),0)</f>
        <v>0</v>
      </c>
      <c r="S1943" s="10">
        <f>IFERROR(IF(('Loading-rail'!$C$21)="No control",SUMIF(('Loading-rail'!$B$31:$B$48),$J1943,('Loading-rail'!$D$31:$D$48))*Impacts!$F$15,IF(('Loading-rail'!$C$21)&lt;&gt;"No control",SUMIF(('Loading-rail'!$B$31:$B$48),$J1943,('Loading-rail'!$E$31:$E$48))*Impacts!$F$15,0)),0)</f>
        <v>0</v>
      </c>
      <c r="T1943" s="10">
        <f>IF(Flare!$C$7="",0,(SUMIF(Flare!$B$46:$B$185,$J1943,Flare!$E$46:$E$185)*Impacts!$F$16))</f>
        <v>0</v>
      </c>
      <c r="U1943" s="10">
        <f>IF(VCU!$C$9="",0,(SUMIF(VCU!$B$51:$B$193,$J1943,VCU!$E$51:$E$193)*Impacts!$F$17))</f>
        <v>0</v>
      </c>
      <c r="V1943" s="10">
        <f>IF(CAS!$C$7="",0,(SUMIF(CAS!$B$31:$B$167,$J1943,CAS!$E$31:$E$167)*Impacts!$F$18))</f>
        <v>0</v>
      </c>
      <c r="W1943" s="10">
        <f t="shared" si="70"/>
        <v>0</v>
      </c>
      <c r="AK1943" s="10" t="str">
        <f t="array" ref="AK1943">IFERROR(INDEX(SelectedSpecies,SMALL(IF(SelectedSpecies=AK$1,ROW(SelectedSpecies)),ROW(1944:1944)),2),"")</f>
        <v/>
      </c>
      <c r="BE1943" s="10"/>
      <c r="BI1943" s="10"/>
    </row>
    <row r="1944" spans="1:61" ht="21" customHeight="1" x14ac:dyDescent="0.25">
      <c r="A1944" s="10"/>
      <c r="B1944" s="10"/>
      <c r="E1944" s="10"/>
      <c r="G1944" s="10"/>
      <c r="I1944" s="436" t="s">
        <v>1909</v>
      </c>
      <c r="J1944" s="26" t="s">
        <v>1908</v>
      </c>
      <c r="K1944" s="10">
        <v>19</v>
      </c>
      <c r="L1944" s="73">
        <f>IF(Tank1!$C$23="No control",(SUMIF(Tank1!$B$32:$B$49,$J1944,Tank1!$C$32:$C$49)*Impacts!$F$8),0)</f>
        <v>0</v>
      </c>
      <c r="M1944" s="10">
        <f>IF(Tank2!$C$23="No control",(SUMIF(Tank2!$B$32:$B$49,$J1944,Tank2!$C$32:$C$49)*Impacts!$F$9),0)</f>
        <v>0</v>
      </c>
      <c r="N1944" s="10">
        <f>IF(Tank3!$C$23="No control",(SUMIF(Tank3!$B$32:$B$49,$J1944,Tank3!$C$32:$C$49)*Impacts!$F$10),0)</f>
        <v>0</v>
      </c>
      <c r="O1944" s="10">
        <f>IF(Tank4!$C$23="No control",(SUMIF(Tank4!$B$32:$B$49,$J1944,Tank4!$C$32:$C$49)*Impacts!$F$11),0)</f>
        <v>0</v>
      </c>
      <c r="P1944" s="10">
        <f>IF(Tank5!$C$23="No control",(SUMIF(Tank5!$B$32:$B$49,$J1944,Tank5!$C$32:$C$49)*Impacts!$F$12),0)</f>
        <v>0</v>
      </c>
      <c r="Q1944" s="10">
        <f>IFERROR(IF(('Loading-drum,tote'!$C$21)="No control",SUMIF(('Loading-drum,tote'!$B$31:$B$48),$J1944,('Loading-drum,tote'!$D$31:$D$48))*Impacts!$F$13,IF(('Loading-drum,tote'!$C$21)&lt;&gt;"No control",SUMIF(('Loading-drum,tote'!$B$31:$B$48),$J1944,('Loading-drum,tote'!$E$31:$E$48))*Impacts!$F$13,0)),0)</f>
        <v>0</v>
      </c>
      <c r="R1944" s="10">
        <f>IFERROR(IF(('Loading-truck'!$C$21)="No control",SUMIF(('Loading-truck'!$B$31:$B$48),$J1944,('Loading-truck'!$D$31:$D$48))*Impacts!$F$14,IF(('Loading-truck'!$C$21)&lt;&gt;"No control",SUMIF(('Loading-truck'!$B$31:$B$48),$J1944,('Loading-truck'!$E$31:$E$48))*Impacts!$F$14,0)),0)</f>
        <v>0</v>
      </c>
      <c r="S1944" s="10">
        <f>IFERROR(IF(('Loading-rail'!$C$21)="No control",SUMIF(('Loading-rail'!$B$31:$B$48),$J1944,('Loading-rail'!$D$31:$D$48))*Impacts!$F$15,IF(('Loading-rail'!$C$21)&lt;&gt;"No control",SUMIF(('Loading-rail'!$B$31:$B$48),$J1944,('Loading-rail'!$E$31:$E$48))*Impacts!$F$15,0)),0)</f>
        <v>0</v>
      </c>
      <c r="T1944" s="10">
        <f>IF(Flare!$C$7="",0,(SUMIF(Flare!$B$46:$B$185,$J1944,Flare!$E$46:$E$185)*Impacts!$F$16))</f>
        <v>0</v>
      </c>
      <c r="U1944" s="10">
        <f>IF(VCU!$C$9="",0,(SUMIF(VCU!$B$51:$B$193,$J1944,VCU!$E$51:$E$193)*Impacts!$F$17))</f>
        <v>0</v>
      </c>
      <c r="V1944" s="10">
        <f>IF(CAS!$C$7="",0,(SUMIF(CAS!$B$31:$B$167,$J1944,CAS!$E$31:$E$167)*Impacts!$F$18))</f>
        <v>0</v>
      </c>
      <c r="W1944" s="10">
        <f t="shared" si="70"/>
        <v>0</v>
      </c>
      <c r="AK1944" s="10" t="str">
        <f t="array" ref="AK1944">IFERROR(INDEX(SelectedSpecies,SMALL(IF(SelectedSpecies=AK$1,ROW(SelectedSpecies)),ROW(1945:1945)),2),"")</f>
        <v/>
      </c>
      <c r="BE1944" s="10"/>
      <c r="BI1944" s="10"/>
    </row>
    <row r="1945" spans="1:61" ht="21" customHeight="1" x14ac:dyDescent="0.25">
      <c r="A1945" s="10"/>
      <c r="B1945" s="10"/>
      <c r="E1945" s="10"/>
      <c r="G1945" s="10"/>
      <c r="I1945" s="436" t="s">
        <v>538</v>
      </c>
      <c r="J1945" s="26" t="s">
        <v>537</v>
      </c>
      <c r="K1945" s="10">
        <v>100</v>
      </c>
      <c r="L1945" s="73">
        <f>IF(Tank1!$C$23="No control",(SUMIF(Tank1!$B$32:$B$49,$J1945,Tank1!$C$32:$C$49)*Impacts!$F$8),0)</f>
        <v>0</v>
      </c>
      <c r="M1945" s="10">
        <f>IF(Tank2!$C$23="No control",(SUMIF(Tank2!$B$32:$B$49,$J1945,Tank2!$C$32:$C$49)*Impacts!$F$9),0)</f>
        <v>0</v>
      </c>
      <c r="N1945" s="10">
        <f>IF(Tank3!$C$23="No control",(SUMIF(Tank3!$B$32:$B$49,$J1945,Tank3!$C$32:$C$49)*Impacts!$F$10),0)</f>
        <v>0</v>
      </c>
      <c r="O1945" s="10">
        <f>IF(Tank4!$C$23="No control",(SUMIF(Tank4!$B$32:$B$49,$J1945,Tank4!$C$32:$C$49)*Impacts!$F$11),0)</f>
        <v>0</v>
      </c>
      <c r="P1945" s="10">
        <f>IF(Tank5!$C$23="No control",(SUMIF(Tank5!$B$32:$B$49,$J1945,Tank5!$C$32:$C$49)*Impacts!$F$12),0)</f>
        <v>0</v>
      </c>
      <c r="Q1945" s="10">
        <f>IFERROR(IF(('Loading-drum,tote'!$C$21)="No control",SUMIF(('Loading-drum,tote'!$B$31:$B$48),$J1945,('Loading-drum,tote'!$D$31:$D$48))*Impacts!$F$13,IF(('Loading-drum,tote'!$C$21)&lt;&gt;"No control",SUMIF(('Loading-drum,tote'!$B$31:$B$48),$J1945,('Loading-drum,tote'!$E$31:$E$48))*Impacts!$F$13,0)),0)</f>
        <v>0</v>
      </c>
      <c r="R1945" s="10">
        <f>IFERROR(IF(('Loading-truck'!$C$21)="No control",SUMIF(('Loading-truck'!$B$31:$B$48),$J1945,('Loading-truck'!$D$31:$D$48))*Impacts!$F$14,IF(('Loading-truck'!$C$21)&lt;&gt;"No control",SUMIF(('Loading-truck'!$B$31:$B$48),$J1945,('Loading-truck'!$E$31:$E$48))*Impacts!$F$14,0)),0)</f>
        <v>0</v>
      </c>
      <c r="S1945" s="10">
        <f>IFERROR(IF(('Loading-rail'!$C$21)="No control",SUMIF(('Loading-rail'!$B$31:$B$48),$J1945,('Loading-rail'!$D$31:$D$48))*Impacts!$F$15,IF(('Loading-rail'!$C$21)&lt;&gt;"No control",SUMIF(('Loading-rail'!$B$31:$B$48),$J1945,('Loading-rail'!$E$31:$E$48))*Impacts!$F$15,0)),0)</f>
        <v>0</v>
      </c>
      <c r="T1945" s="10">
        <f>IF(Flare!$C$7="",0,(SUMIF(Flare!$B$46:$B$185,$J1945,Flare!$E$46:$E$185)*Impacts!$F$16))</f>
        <v>0</v>
      </c>
      <c r="U1945" s="10">
        <f>IF(VCU!$C$9="",0,(SUMIF(VCU!$B$51:$B$193,$J1945,VCU!$E$51:$E$193)*Impacts!$F$17))</f>
        <v>0</v>
      </c>
      <c r="V1945" s="10">
        <f>IF(CAS!$C$7="",0,(SUMIF(CAS!$B$31:$B$167,$J1945,CAS!$E$31:$E$167)*Impacts!$F$18))</f>
        <v>0</v>
      </c>
      <c r="W1945" s="10">
        <f t="shared" si="70"/>
        <v>0</v>
      </c>
      <c r="AK1945" s="10" t="str">
        <f t="array" ref="AK1945">IFERROR(INDEX(SelectedSpecies,SMALL(IF(SelectedSpecies=AK$1,ROW(SelectedSpecies)),ROW(1946:1946)),2),"")</f>
        <v/>
      </c>
      <c r="BE1945" s="10"/>
      <c r="BI1945" s="10"/>
    </row>
    <row r="1946" spans="1:61" ht="21" customHeight="1" x14ac:dyDescent="0.25">
      <c r="A1946" s="10"/>
      <c r="B1946" s="10"/>
      <c r="E1946" s="10"/>
      <c r="G1946" s="10"/>
      <c r="I1946" s="436" t="s">
        <v>2491</v>
      </c>
      <c r="J1946" s="26" t="s">
        <v>2490</v>
      </c>
      <c r="K1946" s="10">
        <v>10</v>
      </c>
      <c r="L1946" s="73">
        <f>IF(Tank1!$C$23="No control",(SUMIF(Tank1!$B$32:$B$49,$J1946,Tank1!$C$32:$C$49)*Impacts!$F$8),0)</f>
        <v>0</v>
      </c>
      <c r="M1946" s="10">
        <f>IF(Tank2!$C$23="No control",(SUMIF(Tank2!$B$32:$B$49,$J1946,Tank2!$C$32:$C$49)*Impacts!$F$9),0)</f>
        <v>0</v>
      </c>
      <c r="N1946" s="10">
        <f>IF(Tank3!$C$23="No control",(SUMIF(Tank3!$B$32:$B$49,$J1946,Tank3!$C$32:$C$49)*Impacts!$F$10),0)</f>
        <v>0</v>
      </c>
      <c r="O1946" s="10">
        <f>IF(Tank4!$C$23="No control",(SUMIF(Tank4!$B$32:$B$49,$J1946,Tank4!$C$32:$C$49)*Impacts!$F$11),0)</f>
        <v>0</v>
      </c>
      <c r="P1946" s="10">
        <f>IF(Tank5!$C$23="No control",(SUMIF(Tank5!$B$32:$B$49,$J1946,Tank5!$C$32:$C$49)*Impacts!$F$12),0)</f>
        <v>0</v>
      </c>
      <c r="Q1946" s="10">
        <f>IFERROR(IF(('Loading-drum,tote'!$C$21)="No control",SUMIF(('Loading-drum,tote'!$B$31:$B$48),$J1946,('Loading-drum,tote'!$D$31:$D$48))*Impacts!$F$13,IF(('Loading-drum,tote'!$C$21)&lt;&gt;"No control",SUMIF(('Loading-drum,tote'!$B$31:$B$48),$J1946,('Loading-drum,tote'!$E$31:$E$48))*Impacts!$F$13,0)),0)</f>
        <v>0</v>
      </c>
      <c r="R1946" s="10">
        <f>IFERROR(IF(('Loading-truck'!$C$21)="No control",SUMIF(('Loading-truck'!$B$31:$B$48),$J1946,('Loading-truck'!$D$31:$D$48))*Impacts!$F$14,IF(('Loading-truck'!$C$21)&lt;&gt;"No control",SUMIF(('Loading-truck'!$B$31:$B$48),$J1946,('Loading-truck'!$E$31:$E$48))*Impacts!$F$14,0)),0)</f>
        <v>0</v>
      </c>
      <c r="S1946" s="10">
        <f>IFERROR(IF(('Loading-rail'!$C$21)="No control",SUMIF(('Loading-rail'!$B$31:$B$48),$J1946,('Loading-rail'!$D$31:$D$48))*Impacts!$F$15,IF(('Loading-rail'!$C$21)&lt;&gt;"No control",SUMIF(('Loading-rail'!$B$31:$B$48),$J1946,('Loading-rail'!$E$31:$E$48))*Impacts!$F$15,0)),0)</f>
        <v>0</v>
      </c>
      <c r="T1946" s="10">
        <f>IF(Flare!$C$7="",0,(SUMIF(Flare!$B$46:$B$185,$J1946,Flare!$E$46:$E$185)*Impacts!$F$16))</f>
        <v>0</v>
      </c>
      <c r="U1946" s="10">
        <f>IF(VCU!$C$9="",0,(SUMIF(VCU!$B$51:$B$193,$J1946,VCU!$E$51:$E$193)*Impacts!$F$17))</f>
        <v>0</v>
      </c>
      <c r="V1946" s="10">
        <f>IF(CAS!$C$7="",0,(SUMIF(CAS!$B$31:$B$167,$J1946,CAS!$E$31:$E$167)*Impacts!$F$18))</f>
        <v>0</v>
      </c>
      <c r="W1946" s="10">
        <f t="shared" ref="W1946:W2009" si="71">SUM(L1946:V1946)</f>
        <v>0</v>
      </c>
      <c r="AK1946" s="10" t="str">
        <f t="array" ref="AK1946">IFERROR(INDEX(SelectedSpecies,SMALL(IF(SelectedSpecies=AK$1,ROW(SelectedSpecies)),ROW(1947:1947)),2),"")</f>
        <v/>
      </c>
      <c r="BE1946" s="10"/>
      <c r="BI1946" s="10"/>
    </row>
    <row r="1947" spans="1:61" ht="21" customHeight="1" x14ac:dyDescent="0.25">
      <c r="A1947" s="10"/>
      <c r="B1947" s="10"/>
      <c r="E1947" s="10"/>
      <c r="G1947" s="10"/>
      <c r="I1947" s="436" t="s">
        <v>2895</v>
      </c>
      <c r="J1947" s="26" t="s">
        <v>2894</v>
      </c>
      <c r="K1947" s="10">
        <v>10</v>
      </c>
      <c r="L1947" s="73">
        <f>IF(Tank1!$C$23="No control",(SUMIF(Tank1!$B$32:$B$49,$J1947,Tank1!$C$32:$C$49)*Impacts!$F$8),0)</f>
        <v>0</v>
      </c>
      <c r="M1947" s="10">
        <f>IF(Tank2!$C$23="No control",(SUMIF(Tank2!$B$32:$B$49,$J1947,Tank2!$C$32:$C$49)*Impacts!$F$9),0)</f>
        <v>0</v>
      </c>
      <c r="N1947" s="10">
        <f>IF(Tank3!$C$23="No control",(SUMIF(Tank3!$B$32:$B$49,$J1947,Tank3!$C$32:$C$49)*Impacts!$F$10),0)</f>
        <v>0</v>
      </c>
      <c r="O1947" s="10">
        <f>IF(Tank4!$C$23="No control",(SUMIF(Tank4!$B$32:$B$49,$J1947,Tank4!$C$32:$C$49)*Impacts!$F$11),0)</f>
        <v>0</v>
      </c>
      <c r="P1947" s="10">
        <f>IF(Tank5!$C$23="No control",(SUMIF(Tank5!$B$32:$B$49,$J1947,Tank5!$C$32:$C$49)*Impacts!$F$12),0)</f>
        <v>0</v>
      </c>
      <c r="Q1947" s="10">
        <f>IFERROR(IF(('Loading-drum,tote'!$C$21)="No control",SUMIF(('Loading-drum,tote'!$B$31:$B$48),$J1947,('Loading-drum,tote'!$D$31:$D$48))*Impacts!$F$13,IF(('Loading-drum,tote'!$C$21)&lt;&gt;"No control",SUMIF(('Loading-drum,tote'!$B$31:$B$48),$J1947,('Loading-drum,tote'!$E$31:$E$48))*Impacts!$F$13,0)),0)</f>
        <v>0</v>
      </c>
      <c r="R1947" s="10">
        <f>IFERROR(IF(('Loading-truck'!$C$21)="No control",SUMIF(('Loading-truck'!$B$31:$B$48),$J1947,('Loading-truck'!$D$31:$D$48))*Impacts!$F$14,IF(('Loading-truck'!$C$21)&lt;&gt;"No control",SUMIF(('Loading-truck'!$B$31:$B$48),$J1947,('Loading-truck'!$E$31:$E$48))*Impacts!$F$14,0)),0)</f>
        <v>0</v>
      </c>
      <c r="S1947" s="10">
        <f>IFERROR(IF(('Loading-rail'!$C$21)="No control",SUMIF(('Loading-rail'!$B$31:$B$48),$J1947,('Loading-rail'!$D$31:$D$48))*Impacts!$F$15,IF(('Loading-rail'!$C$21)&lt;&gt;"No control",SUMIF(('Loading-rail'!$B$31:$B$48),$J1947,('Loading-rail'!$E$31:$E$48))*Impacts!$F$15,0)),0)</f>
        <v>0</v>
      </c>
      <c r="T1947" s="10">
        <f>IF(Flare!$C$7="",0,(SUMIF(Flare!$B$46:$B$185,$J1947,Flare!$E$46:$E$185)*Impacts!$F$16))</f>
        <v>0</v>
      </c>
      <c r="U1947" s="10">
        <f>IF(VCU!$C$9="",0,(SUMIF(VCU!$B$51:$B$193,$J1947,VCU!$E$51:$E$193)*Impacts!$F$17))</f>
        <v>0</v>
      </c>
      <c r="V1947" s="10">
        <f>IF(CAS!$C$7="",0,(SUMIF(CAS!$B$31:$B$167,$J1947,CAS!$E$31:$E$167)*Impacts!$F$18))</f>
        <v>0</v>
      </c>
      <c r="W1947" s="10">
        <f t="shared" si="71"/>
        <v>0</v>
      </c>
      <c r="AK1947" s="10" t="str">
        <f t="array" ref="AK1947">IFERROR(INDEX(SelectedSpecies,SMALL(IF(SelectedSpecies=AK$1,ROW(SelectedSpecies)),ROW(1948:1948)),2),"")</f>
        <v/>
      </c>
      <c r="BE1947" s="10"/>
      <c r="BI1947" s="10"/>
    </row>
    <row r="1948" spans="1:61" ht="21" customHeight="1" x14ac:dyDescent="0.25">
      <c r="A1948" s="10"/>
      <c r="B1948" s="10"/>
      <c r="E1948" s="10"/>
      <c r="G1948" s="10"/>
      <c r="I1948" s="436" t="s">
        <v>5437</v>
      </c>
      <c r="J1948" s="26" t="s">
        <v>5436</v>
      </c>
      <c r="K1948" s="10">
        <v>1.4000000000000001</v>
      </c>
      <c r="L1948" s="73">
        <f>IF(Tank1!$C$23="No control",(SUMIF(Tank1!$B$32:$B$49,$J1948,Tank1!$C$32:$C$49)*Impacts!$F$8),0)</f>
        <v>0</v>
      </c>
      <c r="M1948" s="10">
        <f>IF(Tank2!$C$23="No control",(SUMIF(Tank2!$B$32:$B$49,$J1948,Tank2!$C$32:$C$49)*Impacts!$F$9),0)</f>
        <v>0</v>
      </c>
      <c r="N1948" s="10">
        <f>IF(Tank3!$C$23="No control",(SUMIF(Tank3!$B$32:$B$49,$J1948,Tank3!$C$32:$C$49)*Impacts!$F$10),0)</f>
        <v>0</v>
      </c>
      <c r="O1948" s="10">
        <f>IF(Tank4!$C$23="No control",(SUMIF(Tank4!$B$32:$B$49,$J1948,Tank4!$C$32:$C$49)*Impacts!$F$11),0)</f>
        <v>0</v>
      </c>
      <c r="P1948" s="10">
        <f>IF(Tank5!$C$23="No control",(SUMIF(Tank5!$B$32:$B$49,$J1948,Tank5!$C$32:$C$49)*Impacts!$F$12),0)</f>
        <v>0</v>
      </c>
      <c r="Q1948" s="10">
        <f>IFERROR(IF(('Loading-drum,tote'!$C$21)="No control",SUMIF(('Loading-drum,tote'!$B$31:$B$48),$J1948,('Loading-drum,tote'!$D$31:$D$48))*Impacts!$F$13,IF(('Loading-drum,tote'!$C$21)&lt;&gt;"No control",SUMIF(('Loading-drum,tote'!$B$31:$B$48),$J1948,('Loading-drum,tote'!$E$31:$E$48))*Impacts!$F$13,0)),0)</f>
        <v>0</v>
      </c>
      <c r="R1948" s="10">
        <f>IFERROR(IF(('Loading-truck'!$C$21)="No control",SUMIF(('Loading-truck'!$B$31:$B$48),$J1948,('Loading-truck'!$D$31:$D$48))*Impacts!$F$14,IF(('Loading-truck'!$C$21)&lt;&gt;"No control",SUMIF(('Loading-truck'!$B$31:$B$48),$J1948,('Loading-truck'!$E$31:$E$48))*Impacts!$F$14,0)),0)</f>
        <v>0</v>
      </c>
      <c r="S1948" s="10">
        <f>IFERROR(IF(('Loading-rail'!$C$21)="No control",SUMIF(('Loading-rail'!$B$31:$B$48),$J1948,('Loading-rail'!$D$31:$D$48))*Impacts!$F$15,IF(('Loading-rail'!$C$21)&lt;&gt;"No control",SUMIF(('Loading-rail'!$B$31:$B$48),$J1948,('Loading-rail'!$E$31:$E$48))*Impacts!$F$15,0)),0)</f>
        <v>0</v>
      </c>
      <c r="T1948" s="10">
        <f>IF(Flare!$C$7="",0,(SUMIF(Flare!$B$46:$B$185,$J1948,Flare!$E$46:$E$185)*Impacts!$F$16))</f>
        <v>0</v>
      </c>
      <c r="U1948" s="10">
        <f>IF(VCU!$C$9="",0,(SUMIF(VCU!$B$51:$B$193,$J1948,VCU!$E$51:$E$193)*Impacts!$F$17))</f>
        <v>0</v>
      </c>
      <c r="V1948" s="10">
        <f>IF(CAS!$C$7="",0,(SUMIF(CAS!$B$31:$B$167,$J1948,CAS!$E$31:$E$167)*Impacts!$F$18))</f>
        <v>0</v>
      </c>
      <c r="W1948" s="10">
        <f t="shared" si="71"/>
        <v>0</v>
      </c>
      <c r="AK1948" s="10" t="str">
        <f t="array" ref="AK1948">IFERROR(INDEX(SelectedSpecies,SMALL(IF(SelectedSpecies=AK$1,ROW(SelectedSpecies)),ROW(1949:1949)),2),"")</f>
        <v/>
      </c>
      <c r="BE1948" s="10"/>
      <c r="BI1948" s="10"/>
    </row>
    <row r="1949" spans="1:61" ht="21" customHeight="1" x14ac:dyDescent="0.25">
      <c r="A1949" s="10"/>
      <c r="B1949" s="10"/>
      <c r="E1949" s="10"/>
      <c r="G1949" s="10"/>
      <c r="I1949" s="436" t="s">
        <v>1048</v>
      </c>
      <c r="J1949" s="26" t="s">
        <v>1047</v>
      </c>
      <c r="K1949" s="10">
        <v>35</v>
      </c>
      <c r="L1949" s="73">
        <f>IF(Tank1!$C$23="No control",(SUMIF(Tank1!$B$32:$B$49,$J1949,Tank1!$C$32:$C$49)*Impacts!$F$8),0)</f>
        <v>0</v>
      </c>
      <c r="M1949" s="10">
        <f>IF(Tank2!$C$23="No control",(SUMIF(Tank2!$B$32:$B$49,$J1949,Tank2!$C$32:$C$49)*Impacts!$F$9),0)</f>
        <v>0</v>
      </c>
      <c r="N1949" s="10">
        <f>IF(Tank3!$C$23="No control",(SUMIF(Tank3!$B$32:$B$49,$J1949,Tank3!$C$32:$C$49)*Impacts!$F$10),0)</f>
        <v>0</v>
      </c>
      <c r="O1949" s="10">
        <f>IF(Tank4!$C$23="No control",(SUMIF(Tank4!$B$32:$B$49,$J1949,Tank4!$C$32:$C$49)*Impacts!$F$11),0)</f>
        <v>0</v>
      </c>
      <c r="P1949" s="10">
        <f>IF(Tank5!$C$23="No control",(SUMIF(Tank5!$B$32:$B$49,$J1949,Tank5!$C$32:$C$49)*Impacts!$F$12),0)</f>
        <v>0</v>
      </c>
      <c r="Q1949" s="10">
        <f>IFERROR(IF(('Loading-drum,tote'!$C$21)="No control",SUMIF(('Loading-drum,tote'!$B$31:$B$48),$J1949,('Loading-drum,tote'!$D$31:$D$48))*Impacts!$F$13,IF(('Loading-drum,tote'!$C$21)&lt;&gt;"No control",SUMIF(('Loading-drum,tote'!$B$31:$B$48),$J1949,('Loading-drum,tote'!$E$31:$E$48))*Impacts!$F$13,0)),0)</f>
        <v>0</v>
      </c>
      <c r="R1949" s="10">
        <f>IFERROR(IF(('Loading-truck'!$C$21)="No control",SUMIF(('Loading-truck'!$B$31:$B$48),$J1949,('Loading-truck'!$D$31:$D$48))*Impacts!$F$14,IF(('Loading-truck'!$C$21)&lt;&gt;"No control",SUMIF(('Loading-truck'!$B$31:$B$48),$J1949,('Loading-truck'!$E$31:$E$48))*Impacts!$F$14,0)),0)</f>
        <v>0</v>
      </c>
      <c r="S1949" s="10">
        <f>IFERROR(IF(('Loading-rail'!$C$21)="No control",SUMIF(('Loading-rail'!$B$31:$B$48),$J1949,('Loading-rail'!$D$31:$D$48))*Impacts!$F$15,IF(('Loading-rail'!$C$21)&lt;&gt;"No control",SUMIF(('Loading-rail'!$B$31:$B$48),$J1949,('Loading-rail'!$E$31:$E$48))*Impacts!$F$15,0)),0)</f>
        <v>0</v>
      </c>
      <c r="T1949" s="10">
        <f>IF(Flare!$C$7="",0,(SUMIF(Flare!$B$46:$B$185,$J1949,Flare!$E$46:$E$185)*Impacts!$F$16))</f>
        <v>0</v>
      </c>
      <c r="U1949" s="10">
        <f>IF(VCU!$C$9="",0,(SUMIF(VCU!$B$51:$B$193,$J1949,VCU!$E$51:$E$193)*Impacts!$F$17))</f>
        <v>0</v>
      </c>
      <c r="V1949" s="10">
        <f>IF(CAS!$C$7="",0,(SUMIF(CAS!$B$31:$B$167,$J1949,CAS!$E$31:$E$167)*Impacts!$F$18))</f>
        <v>0</v>
      </c>
      <c r="W1949" s="10">
        <f t="shared" si="71"/>
        <v>0</v>
      </c>
      <c r="AK1949" s="10" t="str">
        <f t="array" ref="AK1949">IFERROR(INDEX(SelectedSpecies,SMALL(IF(SelectedSpecies=AK$1,ROW(SelectedSpecies)),ROW(1950:1950)),2),"")</f>
        <v/>
      </c>
      <c r="BE1949" s="10"/>
      <c r="BI1949" s="10"/>
    </row>
    <row r="1950" spans="1:61" ht="21" customHeight="1" x14ac:dyDescent="0.25">
      <c r="A1950" s="10"/>
      <c r="B1950" s="10"/>
      <c r="E1950" s="10"/>
      <c r="G1950" s="10"/>
      <c r="I1950" s="436" t="s">
        <v>2183</v>
      </c>
      <c r="J1950" s="26" t="s">
        <v>2182</v>
      </c>
      <c r="K1950" s="10">
        <v>15</v>
      </c>
      <c r="L1950" s="73">
        <f>IF(Tank1!$C$23="No control",(SUMIF(Tank1!$B$32:$B$49,$J1950,Tank1!$C$32:$C$49)*Impacts!$F$8),0)</f>
        <v>0</v>
      </c>
      <c r="M1950" s="10">
        <f>IF(Tank2!$C$23="No control",(SUMIF(Tank2!$B$32:$B$49,$J1950,Tank2!$C$32:$C$49)*Impacts!$F$9),0)</f>
        <v>0</v>
      </c>
      <c r="N1950" s="10">
        <f>IF(Tank3!$C$23="No control",(SUMIF(Tank3!$B$32:$B$49,$J1950,Tank3!$C$32:$C$49)*Impacts!$F$10),0)</f>
        <v>0</v>
      </c>
      <c r="O1950" s="10">
        <f>IF(Tank4!$C$23="No control",(SUMIF(Tank4!$B$32:$B$49,$J1950,Tank4!$C$32:$C$49)*Impacts!$F$11),0)</f>
        <v>0</v>
      </c>
      <c r="P1950" s="10">
        <f>IF(Tank5!$C$23="No control",(SUMIF(Tank5!$B$32:$B$49,$J1950,Tank5!$C$32:$C$49)*Impacts!$F$12),0)</f>
        <v>0</v>
      </c>
      <c r="Q1950" s="10">
        <f>IFERROR(IF(('Loading-drum,tote'!$C$21)="No control",SUMIF(('Loading-drum,tote'!$B$31:$B$48),$J1950,('Loading-drum,tote'!$D$31:$D$48))*Impacts!$F$13,IF(('Loading-drum,tote'!$C$21)&lt;&gt;"No control",SUMIF(('Loading-drum,tote'!$B$31:$B$48),$J1950,('Loading-drum,tote'!$E$31:$E$48))*Impacts!$F$13,0)),0)</f>
        <v>0</v>
      </c>
      <c r="R1950" s="10">
        <f>IFERROR(IF(('Loading-truck'!$C$21)="No control",SUMIF(('Loading-truck'!$B$31:$B$48),$J1950,('Loading-truck'!$D$31:$D$48))*Impacts!$F$14,IF(('Loading-truck'!$C$21)&lt;&gt;"No control",SUMIF(('Loading-truck'!$B$31:$B$48),$J1950,('Loading-truck'!$E$31:$E$48))*Impacts!$F$14,0)),0)</f>
        <v>0</v>
      </c>
      <c r="S1950" s="10">
        <f>IFERROR(IF(('Loading-rail'!$C$21)="No control",SUMIF(('Loading-rail'!$B$31:$B$48),$J1950,('Loading-rail'!$D$31:$D$48))*Impacts!$F$15,IF(('Loading-rail'!$C$21)&lt;&gt;"No control",SUMIF(('Loading-rail'!$B$31:$B$48),$J1950,('Loading-rail'!$E$31:$E$48))*Impacts!$F$15,0)),0)</f>
        <v>0</v>
      </c>
      <c r="T1950" s="10">
        <f>IF(Flare!$C$7="",0,(SUMIF(Flare!$B$46:$B$185,$J1950,Flare!$E$46:$E$185)*Impacts!$F$16))</f>
        <v>0</v>
      </c>
      <c r="U1950" s="10">
        <f>IF(VCU!$C$9="",0,(SUMIF(VCU!$B$51:$B$193,$J1950,VCU!$E$51:$E$193)*Impacts!$F$17))</f>
        <v>0</v>
      </c>
      <c r="V1950" s="10">
        <f>IF(CAS!$C$7="",0,(SUMIF(CAS!$B$31:$B$167,$J1950,CAS!$E$31:$E$167)*Impacts!$F$18))</f>
        <v>0</v>
      </c>
      <c r="W1950" s="10">
        <f t="shared" si="71"/>
        <v>0</v>
      </c>
      <c r="AK1950" s="10" t="str">
        <f t="array" ref="AK1950">IFERROR(INDEX(SelectedSpecies,SMALL(IF(SelectedSpecies=AK$1,ROW(SelectedSpecies)),ROW(1951:1951)),2),"")</f>
        <v/>
      </c>
      <c r="BE1950" s="10"/>
      <c r="BI1950" s="10"/>
    </row>
    <row r="1951" spans="1:61" ht="21" customHeight="1" x14ac:dyDescent="0.25">
      <c r="A1951" s="10"/>
      <c r="B1951" s="10"/>
      <c r="E1951" s="10"/>
      <c r="G1951" s="10"/>
      <c r="I1951" s="436" t="s">
        <v>3961</v>
      </c>
      <c r="J1951" s="26" t="s">
        <v>3960</v>
      </c>
      <c r="K1951" s="10">
        <v>6</v>
      </c>
      <c r="L1951" s="73">
        <f>IF(Tank1!$C$23="No control",(SUMIF(Tank1!$B$32:$B$49,$J1951,Tank1!$C$32:$C$49)*Impacts!$F$8),0)</f>
        <v>0</v>
      </c>
      <c r="M1951" s="10">
        <f>IF(Tank2!$C$23="No control",(SUMIF(Tank2!$B$32:$B$49,$J1951,Tank2!$C$32:$C$49)*Impacts!$F$9),0)</f>
        <v>0</v>
      </c>
      <c r="N1951" s="10">
        <f>IF(Tank3!$C$23="No control",(SUMIF(Tank3!$B$32:$B$49,$J1951,Tank3!$C$32:$C$49)*Impacts!$F$10),0)</f>
        <v>0</v>
      </c>
      <c r="O1951" s="10">
        <f>IF(Tank4!$C$23="No control",(SUMIF(Tank4!$B$32:$B$49,$J1951,Tank4!$C$32:$C$49)*Impacts!$F$11),0)</f>
        <v>0</v>
      </c>
      <c r="P1951" s="10">
        <f>IF(Tank5!$C$23="No control",(SUMIF(Tank5!$B$32:$B$49,$J1951,Tank5!$C$32:$C$49)*Impacts!$F$12),0)</f>
        <v>0</v>
      </c>
      <c r="Q1951" s="10">
        <f>IFERROR(IF(('Loading-drum,tote'!$C$21)="No control",SUMIF(('Loading-drum,tote'!$B$31:$B$48),$J1951,('Loading-drum,tote'!$D$31:$D$48))*Impacts!$F$13,IF(('Loading-drum,tote'!$C$21)&lt;&gt;"No control",SUMIF(('Loading-drum,tote'!$B$31:$B$48),$J1951,('Loading-drum,tote'!$E$31:$E$48))*Impacts!$F$13,0)),0)</f>
        <v>0</v>
      </c>
      <c r="R1951" s="10">
        <f>IFERROR(IF(('Loading-truck'!$C$21)="No control",SUMIF(('Loading-truck'!$B$31:$B$48),$J1951,('Loading-truck'!$D$31:$D$48))*Impacts!$F$14,IF(('Loading-truck'!$C$21)&lt;&gt;"No control",SUMIF(('Loading-truck'!$B$31:$B$48),$J1951,('Loading-truck'!$E$31:$E$48))*Impacts!$F$14,0)),0)</f>
        <v>0</v>
      </c>
      <c r="S1951" s="10">
        <f>IFERROR(IF(('Loading-rail'!$C$21)="No control",SUMIF(('Loading-rail'!$B$31:$B$48),$J1951,('Loading-rail'!$D$31:$D$48))*Impacts!$F$15,IF(('Loading-rail'!$C$21)&lt;&gt;"No control",SUMIF(('Loading-rail'!$B$31:$B$48),$J1951,('Loading-rail'!$E$31:$E$48))*Impacts!$F$15,0)),0)</f>
        <v>0</v>
      </c>
      <c r="T1951" s="10">
        <f>IF(Flare!$C$7="",0,(SUMIF(Flare!$B$46:$B$185,$J1951,Flare!$E$46:$E$185)*Impacts!$F$16))</f>
        <v>0</v>
      </c>
      <c r="U1951" s="10">
        <f>IF(VCU!$C$9="",0,(SUMIF(VCU!$B$51:$B$193,$J1951,VCU!$E$51:$E$193)*Impacts!$F$17))</f>
        <v>0</v>
      </c>
      <c r="V1951" s="10">
        <f>IF(CAS!$C$7="",0,(SUMIF(CAS!$B$31:$B$167,$J1951,CAS!$E$31:$E$167)*Impacts!$F$18))</f>
        <v>0</v>
      </c>
      <c r="W1951" s="10">
        <f t="shared" si="71"/>
        <v>0</v>
      </c>
      <c r="AK1951" s="10" t="str">
        <f t="array" ref="AK1951">IFERROR(INDEX(SelectedSpecies,SMALL(IF(SelectedSpecies=AK$1,ROW(SelectedSpecies)),ROW(1952:1952)),2),"")</f>
        <v/>
      </c>
      <c r="BE1951" s="10"/>
      <c r="BI1951" s="10"/>
    </row>
    <row r="1952" spans="1:61" ht="21" customHeight="1" x14ac:dyDescent="0.25">
      <c r="A1952" s="10"/>
      <c r="B1952" s="10"/>
      <c r="E1952" s="10"/>
      <c r="G1952" s="10"/>
      <c r="I1952" s="436" t="s">
        <v>391</v>
      </c>
      <c r="J1952" s="26" t="s">
        <v>390</v>
      </c>
      <c r="K1952" s="10">
        <v>270</v>
      </c>
      <c r="L1952" s="73">
        <f>IF(Tank1!$C$23="No control",(SUMIF(Tank1!$B$32:$B$49,$J1952,Tank1!$C$32:$C$49)*Impacts!$F$8),0)</f>
        <v>0</v>
      </c>
      <c r="M1952" s="10">
        <f>IF(Tank2!$C$23="No control",(SUMIF(Tank2!$B$32:$B$49,$J1952,Tank2!$C$32:$C$49)*Impacts!$F$9),0)</f>
        <v>0</v>
      </c>
      <c r="N1952" s="10">
        <f>IF(Tank3!$C$23="No control",(SUMIF(Tank3!$B$32:$B$49,$J1952,Tank3!$C$32:$C$49)*Impacts!$F$10),0)</f>
        <v>0</v>
      </c>
      <c r="O1952" s="10">
        <f>IF(Tank4!$C$23="No control",(SUMIF(Tank4!$B$32:$B$49,$J1952,Tank4!$C$32:$C$49)*Impacts!$F$11),0)</f>
        <v>0</v>
      </c>
      <c r="P1952" s="10">
        <f>IF(Tank5!$C$23="No control",(SUMIF(Tank5!$B$32:$B$49,$J1952,Tank5!$C$32:$C$49)*Impacts!$F$12),0)</f>
        <v>0</v>
      </c>
      <c r="Q1952" s="10">
        <f>IFERROR(IF(('Loading-drum,tote'!$C$21)="No control",SUMIF(('Loading-drum,tote'!$B$31:$B$48),$J1952,('Loading-drum,tote'!$D$31:$D$48))*Impacts!$F$13,IF(('Loading-drum,tote'!$C$21)&lt;&gt;"No control",SUMIF(('Loading-drum,tote'!$B$31:$B$48),$J1952,('Loading-drum,tote'!$E$31:$E$48))*Impacts!$F$13,0)),0)</f>
        <v>0</v>
      </c>
      <c r="R1952" s="10">
        <f>IFERROR(IF(('Loading-truck'!$C$21)="No control",SUMIF(('Loading-truck'!$B$31:$B$48),$J1952,('Loading-truck'!$D$31:$D$48))*Impacts!$F$14,IF(('Loading-truck'!$C$21)&lt;&gt;"No control",SUMIF(('Loading-truck'!$B$31:$B$48),$J1952,('Loading-truck'!$E$31:$E$48))*Impacts!$F$14,0)),0)</f>
        <v>0</v>
      </c>
      <c r="S1952" s="10">
        <f>IFERROR(IF(('Loading-rail'!$C$21)="No control",SUMIF(('Loading-rail'!$B$31:$B$48),$J1952,('Loading-rail'!$D$31:$D$48))*Impacts!$F$15,IF(('Loading-rail'!$C$21)&lt;&gt;"No control",SUMIF(('Loading-rail'!$B$31:$B$48),$J1952,('Loading-rail'!$E$31:$E$48))*Impacts!$F$15,0)),0)</f>
        <v>0</v>
      </c>
      <c r="T1952" s="10">
        <f>IF(Flare!$C$7="",0,(SUMIF(Flare!$B$46:$B$185,$J1952,Flare!$E$46:$E$185)*Impacts!$F$16))</f>
        <v>0</v>
      </c>
      <c r="U1952" s="10">
        <f>IF(VCU!$C$9="",0,(SUMIF(VCU!$B$51:$B$193,$J1952,VCU!$E$51:$E$193)*Impacts!$F$17))</f>
        <v>0</v>
      </c>
      <c r="V1952" s="10">
        <f>IF(CAS!$C$7="",0,(SUMIF(CAS!$B$31:$B$167,$J1952,CAS!$E$31:$E$167)*Impacts!$F$18))</f>
        <v>0</v>
      </c>
      <c r="W1952" s="10">
        <f t="shared" si="71"/>
        <v>0</v>
      </c>
      <c r="AK1952" s="10" t="str">
        <f t="array" ref="AK1952">IFERROR(INDEX(SelectedSpecies,SMALL(IF(SelectedSpecies=AK$1,ROW(SelectedSpecies)),ROW(1953:1953)),2),"")</f>
        <v/>
      </c>
      <c r="BE1952" s="10"/>
      <c r="BI1952" s="10"/>
    </row>
    <row r="1953" spans="1:61" ht="21" customHeight="1" x14ac:dyDescent="0.25">
      <c r="A1953" s="10"/>
      <c r="B1953" s="10"/>
      <c r="E1953" s="10"/>
      <c r="G1953" s="10"/>
      <c r="I1953" s="436" t="s">
        <v>5942</v>
      </c>
      <c r="J1953" s="26" t="s">
        <v>5941</v>
      </c>
      <c r="K1953" s="10">
        <v>1</v>
      </c>
      <c r="L1953" s="73">
        <f>IF(Tank1!$C$23="No control",(SUMIF(Tank1!$B$32:$B$49,$J1953,Tank1!$C$32:$C$49)*Impacts!$F$8),0)</f>
        <v>0</v>
      </c>
      <c r="M1953" s="10">
        <f>IF(Tank2!$C$23="No control",(SUMIF(Tank2!$B$32:$B$49,$J1953,Tank2!$C$32:$C$49)*Impacts!$F$9),0)</f>
        <v>0</v>
      </c>
      <c r="N1953" s="10">
        <f>IF(Tank3!$C$23="No control",(SUMIF(Tank3!$B$32:$B$49,$J1953,Tank3!$C$32:$C$49)*Impacts!$F$10),0)</f>
        <v>0</v>
      </c>
      <c r="O1953" s="10">
        <f>IF(Tank4!$C$23="No control",(SUMIF(Tank4!$B$32:$B$49,$J1953,Tank4!$C$32:$C$49)*Impacts!$F$11),0)</f>
        <v>0</v>
      </c>
      <c r="P1953" s="10">
        <f>IF(Tank5!$C$23="No control",(SUMIF(Tank5!$B$32:$B$49,$J1953,Tank5!$C$32:$C$49)*Impacts!$F$12),0)</f>
        <v>0</v>
      </c>
      <c r="Q1953" s="10">
        <f>IFERROR(IF(('Loading-drum,tote'!$C$21)="No control",SUMIF(('Loading-drum,tote'!$B$31:$B$48),$J1953,('Loading-drum,tote'!$D$31:$D$48))*Impacts!$F$13,IF(('Loading-drum,tote'!$C$21)&lt;&gt;"No control",SUMIF(('Loading-drum,tote'!$B$31:$B$48),$J1953,('Loading-drum,tote'!$E$31:$E$48))*Impacts!$F$13,0)),0)</f>
        <v>0</v>
      </c>
      <c r="R1953" s="10">
        <f>IFERROR(IF(('Loading-truck'!$C$21)="No control",SUMIF(('Loading-truck'!$B$31:$B$48),$J1953,('Loading-truck'!$D$31:$D$48))*Impacts!$F$14,IF(('Loading-truck'!$C$21)&lt;&gt;"No control",SUMIF(('Loading-truck'!$B$31:$B$48),$J1953,('Loading-truck'!$E$31:$E$48))*Impacts!$F$14,0)),0)</f>
        <v>0</v>
      </c>
      <c r="S1953" s="10">
        <f>IFERROR(IF(('Loading-rail'!$C$21)="No control",SUMIF(('Loading-rail'!$B$31:$B$48),$J1953,('Loading-rail'!$D$31:$D$48))*Impacts!$F$15,IF(('Loading-rail'!$C$21)&lt;&gt;"No control",SUMIF(('Loading-rail'!$B$31:$B$48),$J1953,('Loading-rail'!$E$31:$E$48))*Impacts!$F$15,0)),0)</f>
        <v>0</v>
      </c>
      <c r="T1953" s="10">
        <f>IF(Flare!$C$7="",0,(SUMIF(Flare!$B$46:$B$185,$J1953,Flare!$E$46:$E$185)*Impacts!$F$16))</f>
        <v>0</v>
      </c>
      <c r="U1953" s="10">
        <f>IF(VCU!$C$9="",0,(SUMIF(VCU!$B$51:$B$193,$J1953,VCU!$E$51:$E$193)*Impacts!$F$17))</f>
        <v>0</v>
      </c>
      <c r="V1953" s="10">
        <f>IF(CAS!$C$7="",0,(SUMIF(CAS!$B$31:$B$167,$J1953,CAS!$E$31:$E$167)*Impacts!$F$18))</f>
        <v>0</v>
      </c>
      <c r="W1953" s="10">
        <f t="shared" si="71"/>
        <v>0</v>
      </c>
      <c r="AK1953" s="10" t="str">
        <f t="array" ref="AK1953">IFERROR(INDEX(SelectedSpecies,SMALL(IF(SelectedSpecies=AK$1,ROW(SelectedSpecies)),ROW(1954:1954)),2),"")</f>
        <v/>
      </c>
      <c r="BE1953" s="10"/>
      <c r="BI1953" s="10"/>
    </row>
    <row r="1954" spans="1:61" ht="21" customHeight="1" x14ac:dyDescent="0.25">
      <c r="A1954" s="10"/>
      <c r="B1954" s="10"/>
      <c r="E1954" s="10"/>
      <c r="G1954" s="10"/>
      <c r="I1954" s="436" t="s">
        <v>7998</v>
      </c>
      <c r="J1954" s="26" t="s">
        <v>7997</v>
      </c>
      <c r="K1954" s="10">
        <v>0.03</v>
      </c>
      <c r="L1954" s="73">
        <f>IF(Tank1!$C$23="No control",(SUMIF(Tank1!$B$32:$B$49,$J1954,Tank1!$C$32:$C$49)*Impacts!$F$8),0)</f>
        <v>0</v>
      </c>
      <c r="M1954" s="10">
        <f>IF(Tank2!$C$23="No control",(SUMIF(Tank2!$B$32:$B$49,$J1954,Tank2!$C$32:$C$49)*Impacts!$F$9),0)</f>
        <v>0</v>
      </c>
      <c r="N1954" s="10">
        <f>IF(Tank3!$C$23="No control",(SUMIF(Tank3!$B$32:$B$49,$J1954,Tank3!$C$32:$C$49)*Impacts!$F$10),0)</f>
        <v>0</v>
      </c>
      <c r="O1954" s="10">
        <f>IF(Tank4!$C$23="No control",(SUMIF(Tank4!$B$32:$B$49,$J1954,Tank4!$C$32:$C$49)*Impacts!$F$11),0)</f>
        <v>0</v>
      </c>
      <c r="P1954" s="10">
        <f>IF(Tank5!$C$23="No control",(SUMIF(Tank5!$B$32:$B$49,$J1954,Tank5!$C$32:$C$49)*Impacts!$F$12),0)</f>
        <v>0</v>
      </c>
      <c r="Q1954" s="10">
        <f>IFERROR(IF(('Loading-drum,tote'!$C$21)="No control",SUMIF(('Loading-drum,tote'!$B$31:$B$48),$J1954,('Loading-drum,tote'!$D$31:$D$48))*Impacts!$F$13,IF(('Loading-drum,tote'!$C$21)&lt;&gt;"No control",SUMIF(('Loading-drum,tote'!$B$31:$B$48),$J1954,('Loading-drum,tote'!$E$31:$E$48))*Impacts!$F$13,0)),0)</f>
        <v>0</v>
      </c>
      <c r="R1954" s="10">
        <f>IFERROR(IF(('Loading-truck'!$C$21)="No control",SUMIF(('Loading-truck'!$B$31:$B$48),$J1954,('Loading-truck'!$D$31:$D$48))*Impacts!$F$14,IF(('Loading-truck'!$C$21)&lt;&gt;"No control",SUMIF(('Loading-truck'!$B$31:$B$48),$J1954,('Loading-truck'!$E$31:$E$48))*Impacts!$F$14,0)),0)</f>
        <v>0</v>
      </c>
      <c r="S1954" s="10">
        <f>IFERROR(IF(('Loading-rail'!$C$21)="No control",SUMIF(('Loading-rail'!$B$31:$B$48),$J1954,('Loading-rail'!$D$31:$D$48))*Impacts!$F$15,IF(('Loading-rail'!$C$21)&lt;&gt;"No control",SUMIF(('Loading-rail'!$B$31:$B$48),$J1954,('Loading-rail'!$E$31:$E$48))*Impacts!$F$15,0)),0)</f>
        <v>0</v>
      </c>
      <c r="T1954" s="10">
        <f>IF(Flare!$C$7="",0,(SUMIF(Flare!$B$46:$B$185,$J1954,Flare!$E$46:$E$185)*Impacts!$F$16))</f>
        <v>0</v>
      </c>
      <c r="U1954" s="10">
        <f>IF(VCU!$C$9="",0,(SUMIF(VCU!$B$51:$B$193,$J1954,VCU!$E$51:$E$193)*Impacts!$F$17))</f>
        <v>0</v>
      </c>
      <c r="V1954" s="10">
        <f>IF(CAS!$C$7="",0,(SUMIF(CAS!$B$31:$B$167,$J1954,CAS!$E$31:$E$167)*Impacts!$F$18))</f>
        <v>0</v>
      </c>
      <c r="W1954" s="10">
        <f t="shared" si="71"/>
        <v>0</v>
      </c>
      <c r="AK1954" s="10" t="str">
        <f t="array" ref="AK1954">IFERROR(INDEX(SelectedSpecies,SMALL(IF(SelectedSpecies=AK$1,ROW(SelectedSpecies)),ROW(1955:1955)),2),"")</f>
        <v/>
      </c>
      <c r="BE1954" s="10"/>
      <c r="BI1954" s="10"/>
    </row>
    <row r="1955" spans="1:61" ht="21" customHeight="1" x14ac:dyDescent="0.25">
      <c r="A1955" s="10"/>
      <c r="B1955" s="10"/>
      <c r="E1955" s="10"/>
      <c r="G1955" s="10"/>
      <c r="I1955" s="436" t="s">
        <v>7740</v>
      </c>
      <c r="J1955" s="26" t="s">
        <v>7739</v>
      </c>
      <c r="K1955" s="10">
        <v>0.1</v>
      </c>
      <c r="L1955" s="73">
        <f>IF(Tank1!$C$23="No control",(SUMIF(Tank1!$B$32:$B$49,$J1955,Tank1!$C$32:$C$49)*Impacts!$F$8),0)</f>
        <v>0</v>
      </c>
      <c r="M1955" s="10">
        <f>IF(Tank2!$C$23="No control",(SUMIF(Tank2!$B$32:$B$49,$J1955,Tank2!$C$32:$C$49)*Impacts!$F$9),0)</f>
        <v>0</v>
      </c>
      <c r="N1955" s="10">
        <f>IF(Tank3!$C$23="No control",(SUMIF(Tank3!$B$32:$B$49,$J1955,Tank3!$C$32:$C$49)*Impacts!$F$10),0)</f>
        <v>0</v>
      </c>
      <c r="O1955" s="10">
        <f>IF(Tank4!$C$23="No control",(SUMIF(Tank4!$B$32:$B$49,$J1955,Tank4!$C$32:$C$49)*Impacts!$F$11),0)</f>
        <v>0</v>
      </c>
      <c r="P1955" s="10">
        <f>IF(Tank5!$C$23="No control",(SUMIF(Tank5!$B$32:$B$49,$J1955,Tank5!$C$32:$C$49)*Impacts!$F$12),0)</f>
        <v>0</v>
      </c>
      <c r="Q1955" s="10">
        <f>IFERROR(IF(('Loading-drum,tote'!$C$21)="No control",SUMIF(('Loading-drum,tote'!$B$31:$B$48),$J1955,('Loading-drum,tote'!$D$31:$D$48))*Impacts!$F$13,IF(('Loading-drum,tote'!$C$21)&lt;&gt;"No control",SUMIF(('Loading-drum,tote'!$B$31:$B$48),$J1955,('Loading-drum,tote'!$E$31:$E$48))*Impacts!$F$13,0)),0)</f>
        <v>0</v>
      </c>
      <c r="R1955" s="10">
        <f>IFERROR(IF(('Loading-truck'!$C$21)="No control",SUMIF(('Loading-truck'!$B$31:$B$48),$J1955,('Loading-truck'!$D$31:$D$48))*Impacts!$F$14,IF(('Loading-truck'!$C$21)&lt;&gt;"No control",SUMIF(('Loading-truck'!$B$31:$B$48),$J1955,('Loading-truck'!$E$31:$E$48))*Impacts!$F$14,0)),0)</f>
        <v>0</v>
      </c>
      <c r="S1955" s="10">
        <f>IFERROR(IF(('Loading-rail'!$C$21)="No control",SUMIF(('Loading-rail'!$B$31:$B$48),$J1955,('Loading-rail'!$D$31:$D$48))*Impacts!$F$15,IF(('Loading-rail'!$C$21)&lt;&gt;"No control",SUMIF(('Loading-rail'!$B$31:$B$48),$J1955,('Loading-rail'!$E$31:$E$48))*Impacts!$F$15,0)),0)</f>
        <v>0</v>
      </c>
      <c r="T1955" s="10">
        <f>IF(Flare!$C$7="",0,(SUMIF(Flare!$B$46:$B$185,$J1955,Flare!$E$46:$E$185)*Impacts!$F$16))</f>
        <v>0</v>
      </c>
      <c r="U1955" s="10">
        <f>IF(VCU!$C$9="",0,(SUMIF(VCU!$B$51:$B$193,$J1955,VCU!$E$51:$E$193)*Impacts!$F$17))</f>
        <v>0</v>
      </c>
      <c r="V1955" s="10">
        <f>IF(CAS!$C$7="",0,(SUMIF(CAS!$B$31:$B$167,$J1955,CAS!$E$31:$E$167)*Impacts!$F$18))</f>
        <v>0</v>
      </c>
      <c r="W1955" s="10">
        <f t="shared" si="71"/>
        <v>0</v>
      </c>
      <c r="AK1955" s="10" t="str">
        <f t="array" ref="AK1955">IFERROR(INDEX(SelectedSpecies,SMALL(IF(SelectedSpecies=AK$1,ROW(SelectedSpecies)),ROW(1956:1956)),2),"")</f>
        <v/>
      </c>
      <c r="BE1955" s="10"/>
      <c r="BI1955" s="10"/>
    </row>
    <row r="1956" spans="1:61" ht="21" customHeight="1" x14ac:dyDescent="0.25">
      <c r="A1956" s="10"/>
      <c r="B1956" s="10"/>
      <c r="E1956" s="10"/>
      <c r="G1956" s="10"/>
      <c r="I1956" s="436" t="s">
        <v>1050</v>
      </c>
      <c r="J1956" s="26" t="s">
        <v>1049</v>
      </c>
      <c r="K1956" s="10">
        <v>35</v>
      </c>
      <c r="L1956" s="73">
        <f>IF(Tank1!$C$23="No control",(SUMIF(Tank1!$B$32:$B$49,$J1956,Tank1!$C$32:$C$49)*Impacts!$F$8),0)</f>
        <v>0</v>
      </c>
      <c r="M1956" s="10">
        <f>IF(Tank2!$C$23="No control",(SUMIF(Tank2!$B$32:$B$49,$J1956,Tank2!$C$32:$C$49)*Impacts!$F$9),0)</f>
        <v>0</v>
      </c>
      <c r="N1956" s="10">
        <f>IF(Tank3!$C$23="No control",(SUMIF(Tank3!$B$32:$B$49,$J1956,Tank3!$C$32:$C$49)*Impacts!$F$10),0)</f>
        <v>0</v>
      </c>
      <c r="O1956" s="10">
        <f>IF(Tank4!$C$23="No control",(SUMIF(Tank4!$B$32:$B$49,$J1956,Tank4!$C$32:$C$49)*Impacts!$F$11),0)</f>
        <v>0</v>
      </c>
      <c r="P1956" s="10">
        <f>IF(Tank5!$C$23="No control",(SUMIF(Tank5!$B$32:$B$49,$J1956,Tank5!$C$32:$C$49)*Impacts!$F$12),0)</f>
        <v>0</v>
      </c>
      <c r="Q1956" s="10">
        <f>IFERROR(IF(('Loading-drum,tote'!$C$21)="No control",SUMIF(('Loading-drum,tote'!$B$31:$B$48),$J1956,('Loading-drum,tote'!$D$31:$D$48))*Impacts!$F$13,IF(('Loading-drum,tote'!$C$21)&lt;&gt;"No control",SUMIF(('Loading-drum,tote'!$B$31:$B$48),$J1956,('Loading-drum,tote'!$E$31:$E$48))*Impacts!$F$13,0)),0)</f>
        <v>0</v>
      </c>
      <c r="R1956" s="10">
        <f>IFERROR(IF(('Loading-truck'!$C$21)="No control",SUMIF(('Loading-truck'!$B$31:$B$48),$J1956,('Loading-truck'!$D$31:$D$48))*Impacts!$F$14,IF(('Loading-truck'!$C$21)&lt;&gt;"No control",SUMIF(('Loading-truck'!$B$31:$B$48),$J1956,('Loading-truck'!$E$31:$E$48))*Impacts!$F$14,0)),0)</f>
        <v>0</v>
      </c>
      <c r="S1956" s="10">
        <f>IFERROR(IF(('Loading-rail'!$C$21)="No control",SUMIF(('Loading-rail'!$B$31:$B$48),$J1956,('Loading-rail'!$D$31:$D$48))*Impacts!$F$15,IF(('Loading-rail'!$C$21)&lt;&gt;"No control",SUMIF(('Loading-rail'!$B$31:$B$48),$J1956,('Loading-rail'!$E$31:$E$48))*Impacts!$F$15,0)),0)</f>
        <v>0</v>
      </c>
      <c r="T1956" s="10">
        <f>IF(Flare!$C$7="",0,(SUMIF(Flare!$B$46:$B$185,$J1956,Flare!$E$46:$E$185)*Impacts!$F$16))</f>
        <v>0</v>
      </c>
      <c r="U1956" s="10">
        <f>IF(VCU!$C$9="",0,(SUMIF(VCU!$B$51:$B$193,$J1956,VCU!$E$51:$E$193)*Impacts!$F$17))</f>
        <v>0</v>
      </c>
      <c r="V1956" s="10">
        <f>IF(CAS!$C$7="",0,(SUMIF(CAS!$B$31:$B$167,$J1956,CAS!$E$31:$E$167)*Impacts!$F$18))</f>
        <v>0</v>
      </c>
      <c r="W1956" s="10">
        <f t="shared" si="71"/>
        <v>0</v>
      </c>
      <c r="AK1956" s="10" t="str">
        <f t="array" ref="AK1956">IFERROR(INDEX(SelectedSpecies,SMALL(IF(SelectedSpecies=AK$1,ROW(SelectedSpecies)),ROW(1957:1957)),2),"")</f>
        <v/>
      </c>
      <c r="BE1956" s="10"/>
      <c r="BI1956" s="10"/>
    </row>
    <row r="1957" spans="1:61" ht="21" customHeight="1" x14ac:dyDescent="0.25">
      <c r="A1957" s="10"/>
      <c r="B1957" s="10"/>
      <c r="E1957" s="10"/>
      <c r="G1957" s="10"/>
      <c r="I1957" s="436" t="s">
        <v>1052</v>
      </c>
      <c r="J1957" s="26" t="s">
        <v>1051</v>
      </c>
      <c r="K1957" s="10">
        <v>35</v>
      </c>
      <c r="L1957" s="73">
        <f>IF(Tank1!$C$23="No control",(SUMIF(Tank1!$B$32:$B$49,$J1957,Tank1!$C$32:$C$49)*Impacts!$F$8),0)</f>
        <v>0</v>
      </c>
      <c r="M1957" s="10">
        <f>IF(Tank2!$C$23="No control",(SUMIF(Tank2!$B$32:$B$49,$J1957,Tank2!$C$32:$C$49)*Impacts!$F$9),0)</f>
        <v>0</v>
      </c>
      <c r="N1957" s="10">
        <f>IF(Tank3!$C$23="No control",(SUMIF(Tank3!$B$32:$B$49,$J1957,Tank3!$C$32:$C$49)*Impacts!$F$10),0)</f>
        <v>0</v>
      </c>
      <c r="O1957" s="10">
        <f>IF(Tank4!$C$23="No control",(SUMIF(Tank4!$B$32:$B$49,$J1957,Tank4!$C$32:$C$49)*Impacts!$F$11),0)</f>
        <v>0</v>
      </c>
      <c r="P1957" s="10">
        <f>IF(Tank5!$C$23="No control",(SUMIF(Tank5!$B$32:$B$49,$J1957,Tank5!$C$32:$C$49)*Impacts!$F$12),0)</f>
        <v>0</v>
      </c>
      <c r="Q1957" s="10">
        <f>IFERROR(IF(('Loading-drum,tote'!$C$21)="No control",SUMIF(('Loading-drum,tote'!$B$31:$B$48),$J1957,('Loading-drum,tote'!$D$31:$D$48))*Impacts!$F$13,IF(('Loading-drum,tote'!$C$21)&lt;&gt;"No control",SUMIF(('Loading-drum,tote'!$B$31:$B$48),$J1957,('Loading-drum,tote'!$E$31:$E$48))*Impacts!$F$13,0)),0)</f>
        <v>0</v>
      </c>
      <c r="R1957" s="10">
        <f>IFERROR(IF(('Loading-truck'!$C$21)="No control",SUMIF(('Loading-truck'!$B$31:$B$48),$J1957,('Loading-truck'!$D$31:$D$48))*Impacts!$F$14,IF(('Loading-truck'!$C$21)&lt;&gt;"No control",SUMIF(('Loading-truck'!$B$31:$B$48),$J1957,('Loading-truck'!$E$31:$E$48))*Impacts!$F$14,0)),0)</f>
        <v>0</v>
      </c>
      <c r="S1957" s="10">
        <f>IFERROR(IF(('Loading-rail'!$C$21)="No control",SUMIF(('Loading-rail'!$B$31:$B$48),$J1957,('Loading-rail'!$D$31:$D$48))*Impacts!$F$15,IF(('Loading-rail'!$C$21)&lt;&gt;"No control",SUMIF(('Loading-rail'!$B$31:$B$48),$J1957,('Loading-rail'!$E$31:$E$48))*Impacts!$F$15,0)),0)</f>
        <v>0</v>
      </c>
      <c r="T1957" s="10">
        <f>IF(Flare!$C$7="",0,(SUMIF(Flare!$B$46:$B$185,$J1957,Flare!$E$46:$E$185)*Impacts!$F$16))</f>
        <v>0</v>
      </c>
      <c r="U1957" s="10">
        <f>IF(VCU!$C$9="",0,(SUMIF(VCU!$B$51:$B$193,$J1957,VCU!$E$51:$E$193)*Impacts!$F$17))</f>
        <v>0</v>
      </c>
      <c r="V1957" s="10">
        <f>IF(CAS!$C$7="",0,(SUMIF(CAS!$B$31:$B$167,$J1957,CAS!$E$31:$E$167)*Impacts!$F$18))</f>
        <v>0</v>
      </c>
      <c r="W1957" s="10">
        <f t="shared" si="71"/>
        <v>0</v>
      </c>
      <c r="AK1957" s="10" t="str">
        <f t="array" ref="AK1957">IFERROR(INDEX(SelectedSpecies,SMALL(IF(SelectedSpecies=AK$1,ROW(SelectedSpecies)),ROW(1958:1958)),2),"")</f>
        <v/>
      </c>
      <c r="BE1957" s="10"/>
      <c r="BI1957" s="10"/>
    </row>
    <row r="1958" spans="1:61" ht="21" customHeight="1" x14ac:dyDescent="0.25">
      <c r="A1958" s="10"/>
      <c r="B1958" s="10"/>
      <c r="E1958" s="10"/>
      <c r="G1958" s="10"/>
      <c r="I1958" s="436" t="s">
        <v>2897</v>
      </c>
      <c r="J1958" s="26" t="s">
        <v>2896</v>
      </c>
      <c r="K1958" s="10">
        <v>10</v>
      </c>
      <c r="L1958" s="73">
        <f>IF(Tank1!$C$23="No control",(SUMIF(Tank1!$B$32:$B$49,$J1958,Tank1!$C$32:$C$49)*Impacts!$F$8),0)</f>
        <v>0</v>
      </c>
      <c r="M1958" s="10">
        <f>IF(Tank2!$C$23="No control",(SUMIF(Tank2!$B$32:$B$49,$J1958,Tank2!$C$32:$C$49)*Impacts!$F$9),0)</f>
        <v>0</v>
      </c>
      <c r="N1958" s="10">
        <f>IF(Tank3!$C$23="No control",(SUMIF(Tank3!$B$32:$B$49,$J1958,Tank3!$C$32:$C$49)*Impacts!$F$10),0)</f>
        <v>0</v>
      </c>
      <c r="O1958" s="10">
        <f>IF(Tank4!$C$23="No control",(SUMIF(Tank4!$B$32:$B$49,$J1958,Tank4!$C$32:$C$49)*Impacts!$F$11),0)</f>
        <v>0</v>
      </c>
      <c r="P1958" s="10">
        <f>IF(Tank5!$C$23="No control",(SUMIF(Tank5!$B$32:$B$49,$J1958,Tank5!$C$32:$C$49)*Impacts!$F$12),0)</f>
        <v>0</v>
      </c>
      <c r="Q1958" s="10">
        <f>IFERROR(IF(('Loading-drum,tote'!$C$21)="No control",SUMIF(('Loading-drum,tote'!$B$31:$B$48),$J1958,('Loading-drum,tote'!$D$31:$D$48))*Impacts!$F$13,IF(('Loading-drum,tote'!$C$21)&lt;&gt;"No control",SUMIF(('Loading-drum,tote'!$B$31:$B$48),$J1958,('Loading-drum,tote'!$E$31:$E$48))*Impacts!$F$13,0)),0)</f>
        <v>0</v>
      </c>
      <c r="R1958" s="10">
        <f>IFERROR(IF(('Loading-truck'!$C$21)="No control",SUMIF(('Loading-truck'!$B$31:$B$48),$J1958,('Loading-truck'!$D$31:$D$48))*Impacts!$F$14,IF(('Loading-truck'!$C$21)&lt;&gt;"No control",SUMIF(('Loading-truck'!$B$31:$B$48),$J1958,('Loading-truck'!$E$31:$E$48))*Impacts!$F$14,0)),0)</f>
        <v>0</v>
      </c>
      <c r="S1958" s="10">
        <f>IFERROR(IF(('Loading-rail'!$C$21)="No control",SUMIF(('Loading-rail'!$B$31:$B$48),$J1958,('Loading-rail'!$D$31:$D$48))*Impacts!$F$15,IF(('Loading-rail'!$C$21)&lt;&gt;"No control",SUMIF(('Loading-rail'!$B$31:$B$48),$J1958,('Loading-rail'!$E$31:$E$48))*Impacts!$F$15,0)),0)</f>
        <v>0</v>
      </c>
      <c r="T1958" s="10">
        <f>IF(Flare!$C$7="",0,(SUMIF(Flare!$B$46:$B$185,$J1958,Flare!$E$46:$E$185)*Impacts!$F$16))</f>
        <v>0</v>
      </c>
      <c r="U1958" s="10">
        <f>IF(VCU!$C$9="",0,(SUMIF(VCU!$B$51:$B$193,$J1958,VCU!$E$51:$E$193)*Impacts!$F$17))</f>
        <v>0</v>
      </c>
      <c r="V1958" s="10">
        <f>IF(CAS!$C$7="",0,(SUMIF(CAS!$B$31:$B$167,$J1958,CAS!$E$31:$E$167)*Impacts!$F$18))</f>
        <v>0</v>
      </c>
      <c r="W1958" s="10">
        <f t="shared" si="71"/>
        <v>0</v>
      </c>
      <c r="AK1958" s="10" t="str">
        <f t="array" ref="AK1958">IFERROR(INDEX(SelectedSpecies,SMALL(IF(SelectedSpecies=AK$1,ROW(SelectedSpecies)),ROW(1959:1959)),2),"")</f>
        <v/>
      </c>
      <c r="BE1958" s="10"/>
      <c r="BI1958" s="10"/>
    </row>
    <row r="1959" spans="1:61" ht="21" customHeight="1" x14ac:dyDescent="0.25">
      <c r="A1959" s="10"/>
      <c r="B1959" s="10"/>
      <c r="E1959" s="10"/>
      <c r="G1959" s="10"/>
      <c r="I1959" s="436" t="s">
        <v>7742</v>
      </c>
      <c r="J1959" s="26" t="s">
        <v>7741</v>
      </c>
      <c r="K1959" s="10">
        <v>0.1</v>
      </c>
      <c r="L1959" s="73">
        <f>IF(Tank1!$C$23="No control",(SUMIF(Tank1!$B$32:$B$49,$J1959,Tank1!$C$32:$C$49)*Impacts!$F$8),0)</f>
        <v>0</v>
      </c>
      <c r="M1959" s="10">
        <f>IF(Tank2!$C$23="No control",(SUMIF(Tank2!$B$32:$B$49,$J1959,Tank2!$C$32:$C$49)*Impacts!$F$9),0)</f>
        <v>0</v>
      </c>
      <c r="N1959" s="10">
        <f>IF(Tank3!$C$23="No control",(SUMIF(Tank3!$B$32:$B$49,$J1959,Tank3!$C$32:$C$49)*Impacts!$F$10),0)</f>
        <v>0</v>
      </c>
      <c r="O1959" s="10">
        <f>IF(Tank4!$C$23="No control",(SUMIF(Tank4!$B$32:$B$49,$J1959,Tank4!$C$32:$C$49)*Impacts!$F$11),0)</f>
        <v>0</v>
      </c>
      <c r="P1959" s="10">
        <f>IF(Tank5!$C$23="No control",(SUMIF(Tank5!$B$32:$B$49,$J1959,Tank5!$C$32:$C$49)*Impacts!$F$12),0)</f>
        <v>0</v>
      </c>
      <c r="Q1959" s="10">
        <f>IFERROR(IF(('Loading-drum,tote'!$C$21)="No control",SUMIF(('Loading-drum,tote'!$B$31:$B$48),$J1959,('Loading-drum,tote'!$D$31:$D$48))*Impacts!$F$13,IF(('Loading-drum,tote'!$C$21)&lt;&gt;"No control",SUMIF(('Loading-drum,tote'!$B$31:$B$48),$J1959,('Loading-drum,tote'!$E$31:$E$48))*Impacts!$F$13,0)),0)</f>
        <v>0</v>
      </c>
      <c r="R1959" s="10">
        <f>IFERROR(IF(('Loading-truck'!$C$21)="No control",SUMIF(('Loading-truck'!$B$31:$B$48),$J1959,('Loading-truck'!$D$31:$D$48))*Impacts!$F$14,IF(('Loading-truck'!$C$21)&lt;&gt;"No control",SUMIF(('Loading-truck'!$B$31:$B$48),$J1959,('Loading-truck'!$E$31:$E$48))*Impacts!$F$14,0)),0)</f>
        <v>0</v>
      </c>
      <c r="S1959" s="10">
        <f>IFERROR(IF(('Loading-rail'!$C$21)="No control",SUMIF(('Loading-rail'!$B$31:$B$48),$J1959,('Loading-rail'!$D$31:$D$48))*Impacts!$F$15,IF(('Loading-rail'!$C$21)&lt;&gt;"No control",SUMIF(('Loading-rail'!$B$31:$B$48),$J1959,('Loading-rail'!$E$31:$E$48))*Impacts!$F$15,0)),0)</f>
        <v>0</v>
      </c>
      <c r="T1959" s="10">
        <f>IF(Flare!$C$7="",0,(SUMIF(Flare!$B$46:$B$185,$J1959,Flare!$E$46:$E$185)*Impacts!$F$16))</f>
        <v>0</v>
      </c>
      <c r="U1959" s="10">
        <f>IF(VCU!$C$9="",0,(SUMIF(VCU!$B$51:$B$193,$J1959,VCU!$E$51:$E$193)*Impacts!$F$17))</f>
        <v>0</v>
      </c>
      <c r="V1959" s="10">
        <f>IF(CAS!$C$7="",0,(SUMIF(CAS!$B$31:$B$167,$J1959,CAS!$E$31:$E$167)*Impacts!$F$18))</f>
        <v>0</v>
      </c>
      <c r="W1959" s="10">
        <f t="shared" si="71"/>
        <v>0</v>
      </c>
      <c r="AK1959" s="10" t="str">
        <f t="array" ref="AK1959">IFERROR(INDEX(SelectedSpecies,SMALL(IF(SelectedSpecies=AK$1,ROW(SelectedSpecies)),ROW(1960:1960)),2),"")</f>
        <v/>
      </c>
      <c r="BE1959" s="10"/>
      <c r="BI1959" s="10"/>
    </row>
    <row r="1960" spans="1:61" ht="21" customHeight="1" x14ac:dyDescent="0.25">
      <c r="A1960" s="10"/>
      <c r="B1960" s="10"/>
      <c r="E1960" s="10"/>
      <c r="G1960" s="10"/>
      <c r="I1960" s="436" t="s">
        <v>7180</v>
      </c>
      <c r="J1960" s="26" t="s">
        <v>7179</v>
      </c>
      <c r="K1960" s="10">
        <v>0.33</v>
      </c>
      <c r="L1960" s="73">
        <f>IF(Tank1!$C$23="No control",(SUMIF(Tank1!$B$32:$B$49,$J1960,Tank1!$C$32:$C$49)*Impacts!$F$8),0)</f>
        <v>0</v>
      </c>
      <c r="M1960" s="10">
        <f>IF(Tank2!$C$23="No control",(SUMIF(Tank2!$B$32:$B$49,$J1960,Tank2!$C$32:$C$49)*Impacts!$F$9),0)</f>
        <v>0</v>
      </c>
      <c r="N1960" s="10">
        <f>IF(Tank3!$C$23="No control",(SUMIF(Tank3!$B$32:$B$49,$J1960,Tank3!$C$32:$C$49)*Impacts!$F$10),0)</f>
        <v>0</v>
      </c>
      <c r="O1960" s="10">
        <f>IF(Tank4!$C$23="No control",(SUMIF(Tank4!$B$32:$B$49,$J1960,Tank4!$C$32:$C$49)*Impacts!$F$11),0)</f>
        <v>0</v>
      </c>
      <c r="P1960" s="10">
        <f>IF(Tank5!$C$23="No control",(SUMIF(Tank5!$B$32:$B$49,$J1960,Tank5!$C$32:$C$49)*Impacts!$F$12),0)</f>
        <v>0</v>
      </c>
      <c r="Q1960" s="10">
        <f>IFERROR(IF(('Loading-drum,tote'!$C$21)="No control",SUMIF(('Loading-drum,tote'!$B$31:$B$48),$J1960,('Loading-drum,tote'!$D$31:$D$48))*Impacts!$F$13,IF(('Loading-drum,tote'!$C$21)&lt;&gt;"No control",SUMIF(('Loading-drum,tote'!$B$31:$B$48),$J1960,('Loading-drum,tote'!$E$31:$E$48))*Impacts!$F$13,0)),0)</f>
        <v>0</v>
      </c>
      <c r="R1960" s="10">
        <f>IFERROR(IF(('Loading-truck'!$C$21)="No control",SUMIF(('Loading-truck'!$B$31:$B$48),$J1960,('Loading-truck'!$D$31:$D$48))*Impacts!$F$14,IF(('Loading-truck'!$C$21)&lt;&gt;"No control",SUMIF(('Loading-truck'!$B$31:$B$48),$J1960,('Loading-truck'!$E$31:$E$48))*Impacts!$F$14,0)),0)</f>
        <v>0</v>
      </c>
      <c r="S1960" s="10">
        <f>IFERROR(IF(('Loading-rail'!$C$21)="No control",SUMIF(('Loading-rail'!$B$31:$B$48),$J1960,('Loading-rail'!$D$31:$D$48))*Impacts!$F$15,IF(('Loading-rail'!$C$21)&lt;&gt;"No control",SUMIF(('Loading-rail'!$B$31:$B$48),$J1960,('Loading-rail'!$E$31:$E$48))*Impacts!$F$15,0)),0)</f>
        <v>0</v>
      </c>
      <c r="T1960" s="10">
        <f>IF(Flare!$C$7="",0,(SUMIF(Flare!$B$46:$B$185,$J1960,Flare!$E$46:$E$185)*Impacts!$F$16))</f>
        <v>0</v>
      </c>
      <c r="U1960" s="10">
        <f>IF(VCU!$C$9="",0,(SUMIF(VCU!$B$51:$B$193,$J1960,VCU!$E$51:$E$193)*Impacts!$F$17))</f>
        <v>0</v>
      </c>
      <c r="V1960" s="10">
        <f>IF(CAS!$C$7="",0,(SUMIF(CAS!$B$31:$B$167,$J1960,CAS!$E$31:$E$167)*Impacts!$F$18))</f>
        <v>0</v>
      </c>
      <c r="W1960" s="10">
        <f t="shared" si="71"/>
        <v>0</v>
      </c>
      <c r="AK1960" s="10" t="str">
        <f t="array" ref="AK1960">IFERROR(INDEX(SelectedSpecies,SMALL(IF(SelectedSpecies=AK$1,ROW(SelectedSpecies)),ROW(1961:1961)),2),"")</f>
        <v/>
      </c>
      <c r="BE1960" s="10"/>
      <c r="BI1960" s="10"/>
    </row>
    <row r="1961" spans="1:61" ht="21" customHeight="1" x14ac:dyDescent="0.25">
      <c r="A1961" s="10"/>
      <c r="B1961" s="10"/>
      <c r="E1961" s="10"/>
      <c r="G1961" s="10"/>
      <c r="I1961" s="436" t="s">
        <v>540</v>
      </c>
      <c r="J1961" s="26" t="s">
        <v>539</v>
      </c>
      <c r="K1961" s="10">
        <v>100</v>
      </c>
      <c r="L1961" s="73">
        <f>IF(Tank1!$C$23="No control",(SUMIF(Tank1!$B$32:$B$49,$J1961,Tank1!$C$32:$C$49)*Impacts!$F$8),0)</f>
        <v>0</v>
      </c>
      <c r="M1961" s="10">
        <f>IF(Tank2!$C$23="No control",(SUMIF(Tank2!$B$32:$B$49,$J1961,Tank2!$C$32:$C$49)*Impacts!$F$9),0)</f>
        <v>0</v>
      </c>
      <c r="N1961" s="10">
        <f>IF(Tank3!$C$23="No control",(SUMIF(Tank3!$B$32:$B$49,$J1961,Tank3!$C$32:$C$49)*Impacts!$F$10),0)</f>
        <v>0</v>
      </c>
      <c r="O1961" s="10">
        <f>IF(Tank4!$C$23="No control",(SUMIF(Tank4!$B$32:$B$49,$J1961,Tank4!$C$32:$C$49)*Impacts!$F$11),0)</f>
        <v>0</v>
      </c>
      <c r="P1961" s="10">
        <f>IF(Tank5!$C$23="No control",(SUMIF(Tank5!$B$32:$B$49,$J1961,Tank5!$C$32:$C$49)*Impacts!$F$12),0)</f>
        <v>0</v>
      </c>
      <c r="Q1961" s="10">
        <f>IFERROR(IF(('Loading-drum,tote'!$C$21)="No control",SUMIF(('Loading-drum,tote'!$B$31:$B$48),$J1961,('Loading-drum,tote'!$D$31:$D$48))*Impacts!$F$13,IF(('Loading-drum,tote'!$C$21)&lt;&gt;"No control",SUMIF(('Loading-drum,tote'!$B$31:$B$48),$J1961,('Loading-drum,tote'!$E$31:$E$48))*Impacts!$F$13,0)),0)</f>
        <v>0</v>
      </c>
      <c r="R1961" s="10">
        <f>IFERROR(IF(('Loading-truck'!$C$21)="No control",SUMIF(('Loading-truck'!$B$31:$B$48),$J1961,('Loading-truck'!$D$31:$D$48))*Impacts!$F$14,IF(('Loading-truck'!$C$21)&lt;&gt;"No control",SUMIF(('Loading-truck'!$B$31:$B$48),$J1961,('Loading-truck'!$E$31:$E$48))*Impacts!$F$14,0)),0)</f>
        <v>0</v>
      </c>
      <c r="S1961" s="10">
        <f>IFERROR(IF(('Loading-rail'!$C$21)="No control",SUMIF(('Loading-rail'!$B$31:$B$48),$J1961,('Loading-rail'!$D$31:$D$48))*Impacts!$F$15,IF(('Loading-rail'!$C$21)&lt;&gt;"No control",SUMIF(('Loading-rail'!$B$31:$B$48),$J1961,('Loading-rail'!$E$31:$E$48))*Impacts!$F$15,0)),0)</f>
        <v>0</v>
      </c>
      <c r="T1961" s="10">
        <f>IF(Flare!$C$7="",0,(SUMIF(Flare!$B$46:$B$185,$J1961,Flare!$E$46:$E$185)*Impacts!$F$16))</f>
        <v>0</v>
      </c>
      <c r="U1961" s="10">
        <f>IF(VCU!$C$9="",0,(SUMIF(VCU!$B$51:$B$193,$J1961,VCU!$E$51:$E$193)*Impacts!$F$17))</f>
        <v>0</v>
      </c>
      <c r="V1961" s="10">
        <f>IF(CAS!$C$7="",0,(SUMIF(CAS!$B$31:$B$167,$J1961,CAS!$E$31:$E$167)*Impacts!$F$18))</f>
        <v>0</v>
      </c>
      <c r="W1961" s="10">
        <f t="shared" si="71"/>
        <v>0</v>
      </c>
      <c r="AK1961" s="10" t="str">
        <f t="array" ref="AK1961">IFERROR(INDEX(SelectedSpecies,SMALL(IF(SelectedSpecies=AK$1,ROW(SelectedSpecies)),ROW(1962:1962)),2),"")</f>
        <v/>
      </c>
      <c r="BE1961" s="10"/>
      <c r="BI1961" s="10"/>
    </row>
    <row r="1962" spans="1:61" ht="21" customHeight="1" x14ac:dyDescent="0.25">
      <c r="A1962" s="10"/>
      <c r="B1962" s="10"/>
      <c r="E1962" s="10"/>
      <c r="G1962" s="10"/>
      <c r="I1962" s="436" t="s">
        <v>345</v>
      </c>
      <c r="J1962" s="26" t="s">
        <v>344</v>
      </c>
      <c r="K1962" s="10">
        <v>380</v>
      </c>
      <c r="L1962" s="73">
        <f>IF(Tank1!$C$23="No control",(SUMIF(Tank1!$B$32:$B$49,$J1962,Tank1!$C$32:$C$49)*Impacts!$F$8),0)</f>
        <v>0</v>
      </c>
      <c r="M1962" s="10">
        <f>IF(Tank2!$C$23="No control",(SUMIF(Tank2!$B$32:$B$49,$J1962,Tank2!$C$32:$C$49)*Impacts!$F$9),0)</f>
        <v>0</v>
      </c>
      <c r="N1962" s="10">
        <f>IF(Tank3!$C$23="No control",(SUMIF(Tank3!$B$32:$B$49,$J1962,Tank3!$C$32:$C$49)*Impacts!$F$10),0)</f>
        <v>0</v>
      </c>
      <c r="O1962" s="10">
        <f>IF(Tank4!$C$23="No control",(SUMIF(Tank4!$B$32:$B$49,$J1962,Tank4!$C$32:$C$49)*Impacts!$F$11),0)</f>
        <v>0</v>
      </c>
      <c r="P1962" s="10">
        <f>IF(Tank5!$C$23="No control",(SUMIF(Tank5!$B$32:$B$49,$J1962,Tank5!$C$32:$C$49)*Impacts!$F$12),0)</f>
        <v>0</v>
      </c>
      <c r="Q1962" s="10">
        <f>IFERROR(IF(('Loading-drum,tote'!$C$21)="No control",SUMIF(('Loading-drum,tote'!$B$31:$B$48),$J1962,('Loading-drum,tote'!$D$31:$D$48))*Impacts!$F$13,IF(('Loading-drum,tote'!$C$21)&lt;&gt;"No control",SUMIF(('Loading-drum,tote'!$B$31:$B$48),$J1962,('Loading-drum,tote'!$E$31:$E$48))*Impacts!$F$13,0)),0)</f>
        <v>0</v>
      </c>
      <c r="R1962" s="10">
        <f>IFERROR(IF(('Loading-truck'!$C$21)="No control",SUMIF(('Loading-truck'!$B$31:$B$48),$J1962,('Loading-truck'!$D$31:$D$48))*Impacts!$F$14,IF(('Loading-truck'!$C$21)&lt;&gt;"No control",SUMIF(('Loading-truck'!$B$31:$B$48),$J1962,('Loading-truck'!$E$31:$E$48))*Impacts!$F$14,0)),0)</f>
        <v>0</v>
      </c>
      <c r="S1962" s="10">
        <f>IFERROR(IF(('Loading-rail'!$C$21)="No control",SUMIF(('Loading-rail'!$B$31:$B$48),$J1962,('Loading-rail'!$D$31:$D$48))*Impacts!$F$15,IF(('Loading-rail'!$C$21)&lt;&gt;"No control",SUMIF(('Loading-rail'!$B$31:$B$48),$J1962,('Loading-rail'!$E$31:$E$48))*Impacts!$F$15,0)),0)</f>
        <v>0</v>
      </c>
      <c r="T1962" s="10">
        <f>IF(Flare!$C$7="",0,(SUMIF(Flare!$B$46:$B$185,$J1962,Flare!$E$46:$E$185)*Impacts!$F$16))</f>
        <v>0</v>
      </c>
      <c r="U1962" s="10">
        <f>IF(VCU!$C$9="",0,(SUMIF(VCU!$B$51:$B$193,$J1962,VCU!$E$51:$E$193)*Impacts!$F$17))</f>
        <v>0</v>
      </c>
      <c r="V1962" s="10">
        <f>IF(CAS!$C$7="",0,(SUMIF(CAS!$B$31:$B$167,$J1962,CAS!$E$31:$E$167)*Impacts!$F$18))</f>
        <v>0</v>
      </c>
      <c r="W1962" s="10">
        <f t="shared" si="71"/>
        <v>0</v>
      </c>
      <c r="AK1962" s="10" t="str">
        <f t="array" ref="AK1962">IFERROR(INDEX(SelectedSpecies,SMALL(IF(SelectedSpecies=AK$1,ROW(SelectedSpecies)),ROW(1963:1963)),2),"")</f>
        <v/>
      </c>
      <c r="BE1962" s="10"/>
      <c r="BI1962" s="10"/>
    </row>
    <row r="1963" spans="1:61" ht="21" customHeight="1" x14ac:dyDescent="0.25">
      <c r="A1963" s="10"/>
      <c r="B1963" s="10"/>
      <c r="E1963" s="10"/>
      <c r="G1963" s="10"/>
      <c r="I1963" s="436" t="s">
        <v>1054</v>
      </c>
      <c r="J1963" s="26" t="s">
        <v>1053</v>
      </c>
      <c r="K1963" s="10">
        <v>35</v>
      </c>
      <c r="L1963" s="73">
        <f>IF(Tank1!$C$23="No control",(SUMIF(Tank1!$B$32:$B$49,$J1963,Tank1!$C$32:$C$49)*Impacts!$F$8),0)</f>
        <v>0</v>
      </c>
      <c r="M1963" s="10">
        <f>IF(Tank2!$C$23="No control",(SUMIF(Tank2!$B$32:$B$49,$J1963,Tank2!$C$32:$C$49)*Impacts!$F$9),0)</f>
        <v>0</v>
      </c>
      <c r="N1963" s="10">
        <f>IF(Tank3!$C$23="No control",(SUMIF(Tank3!$B$32:$B$49,$J1963,Tank3!$C$32:$C$49)*Impacts!$F$10),0)</f>
        <v>0</v>
      </c>
      <c r="O1963" s="10">
        <f>IF(Tank4!$C$23="No control",(SUMIF(Tank4!$B$32:$B$49,$J1963,Tank4!$C$32:$C$49)*Impacts!$F$11),0)</f>
        <v>0</v>
      </c>
      <c r="P1963" s="10">
        <f>IF(Tank5!$C$23="No control",(SUMIF(Tank5!$B$32:$B$49,$J1963,Tank5!$C$32:$C$49)*Impacts!$F$12),0)</f>
        <v>0</v>
      </c>
      <c r="Q1963" s="10">
        <f>IFERROR(IF(('Loading-drum,tote'!$C$21)="No control",SUMIF(('Loading-drum,tote'!$B$31:$B$48),$J1963,('Loading-drum,tote'!$D$31:$D$48))*Impacts!$F$13,IF(('Loading-drum,tote'!$C$21)&lt;&gt;"No control",SUMIF(('Loading-drum,tote'!$B$31:$B$48),$J1963,('Loading-drum,tote'!$E$31:$E$48))*Impacts!$F$13,0)),0)</f>
        <v>0</v>
      </c>
      <c r="R1963" s="10">
        <f>IFERROR(IF(('Loading-truck'!$C$21)="No control",SUMIF(('Loading-truck'!$B$31:$B$48),$J1963,('Loading-truck'!$D$31:$D$48))*Impacts!$F$14,IF(('Loading-truck'!$C$21)&lt;&gt;"No control",SUMIF(('Loading-truck'!$B$31:$B$48),$J1963,('Loading-truck'!$E$31:$E$48))*Impacts!$F$14,0)),0)</f>
        <v>0</v>
      </c>
      <c r="S1963" s="10">
        <f>IFERROR(IF(('Loading-rail'!$C$21)="No control",SUMIF(('Loading-rail'!$B$31:$B$48),$J1963,('Loading-rail'!$D$31:$D$48))*Impacts!$F$15,IF(('Loading-rail'!$C$21)&lt;&gt;"No control",SUMIF(('Loading-rail'!$B$31:$B$48),$J1963,('Loading-rail'!$E$31:$E$48))*Impacts!$F$15,0)),0)</f>
        <v>0</v>
      </c>
      <c r="T1963" s="10">
        <f>IF(Flare!$C$7="",0,(SUMIF(Flare!$B$46:$B$185,$J1963,Flare!$E$46:$E$185)*Impacts!$F$16))</f>
        <v>0</v>
      </c>
      <c r="U1963" s="10">
        <f>IF(VCU!$C$9="",0,(SUMIF(VCU!$B$51:$B$193,$J1963,VCU!$E$51:$E$193)*Impacts!$F$17))</f>
        <v>0</v>
      </c>
      <c r="V1963" s="10">
        <f>IF(CAS!$C$7="",0,(SUMIF(CAS!$B$31:$B$167,$J1963,CAS!$E$31:$E$167)*Impacts!$F$18))</f>
        <v>0</v>
      </c>
      <c r="W1963" s="10">
        <f t="shared" si="71"/>
        <v>0</v>
      </c>
      <c r="AK1963" s="10" t="str">
        <f t="array" ref="AK1963">IFERROR(INDEX(SelectedSpecies,SMALL(IF(SelectedSpecies=AK$1,ROW(SelectedSpecies)),ROW(1964:1964)),2),"")</f>
        <v/>
      </c>
      <c r="BE1963" s="10"/>
      <c r="BI1963" s="10"/>
    </row>
    <row r="1964" spans="1:61" ht="21" customHeight="1" x14ac:dyDescent="0.25">
      <c r="A1964" s="10"/>
      <c r="B1964" s="10"/>
      <c r="E1964" s="10"/>
      <c r="G1964" s="10"/>
      <c r="I1964" s="436" t="s">
        <v>542</v>
      </c>
      <c r="J1964" s="26" t="s">
        <v>541</v>
      </c>
      <c r="K1964" s="10">
        <v>100</v>
      </c>
      <c r="L1964" s="73">
        <f>IF(Tank1!$C$23="No control",(SUMIF(Tank1!$B$32:$B$49,$J1964,Tank1!$C$32:$C$49)*Impacts!$F$8),0)</f>
        <v>0</v>
      </c>
      <c r="M1964" s="10">
        <f>IF(Tank2!$C$23="No control",(SUMIF(Tank2!$B$32:$B$49,$J1964,Tank2!$C$32:$C$49)*Impacts!$F$9),0)</f>
        <v>0</v>
      </c>
      <c r="N1964" s="10">
        <f>IF(Tank3!$C$23="No control",(SUMIF(Tank3!$B$32:$B$49,$J1964,Tank3!$C$32:$C$49)*Impacts!$F$10),0)</f>
        <v>0</v>
      </c>
      <c r="O1964" s="10">
        <f>IF(Tank4!$C$23="No control",(SUMIF(Tank4!$B$32:$B$49,$J1964,Tank4!$C$32:$C$49)*Impacts!$F$11),0)</f>
        <v>0</v>
      </c>
      <c r="P1964" s="10">
        <f>IF(Tank5!$C$23="No control",(SUMIF(Tank5!$B$32:$B$49,$J1964,Tank5!$C$32:$C$49)*Impacts!$F$12),0)</f>
        <v>0</v>
      </c>
      <c r="Q1964" s="10">
        <f>IFERROR(IF(('Loading-drum,tote'!$C$21)="No control",SUMIF(('Loading-drum,tote'!$B$31:$B$48),$J1964,('Loading-drum,tote'!$D$31:$D$48))*Impacts!$F$13,IF(('Loading-drum,tote'!$C$21)&lt;&gt;"No control",SUMIF(('Loading-drum,tote'!$B$31:$B$48),$J1964,('Loading-drum,tote'!$E$31:$E$48))*Impacts!$F$13,0)),0)</f>
        <v>0</v>
      </c>
      <c r="R1964" s="10">
        <f>IFERROR(IF(('Loading-truck'!$C$21)="No control",SUMIF(('Loading-truck'!$B$31:$B$48),$J1964,('Loading-truck'!$D$31:$D$48))*Impacts!$F$14,IF(('Loading-truck'!$C$21)&lt;&gt;"No control",SUMIF(('Loading-truck'!$B$31:$B$48),$J1964,('Loading-truck'!$E$31:$E$48))*Impacts!$F$14,0)),0)</f>
        <v>0</v>
      </c>
      <c r="S1964" s="10">
        <f>IFERROR(IF(('Loading-rail'!$C$21)="No control",SUMIF(('Loading-rail'!$B$31:$B$48),$J1964,('Loading-rail'!$D$31:$D$48))*Impacts!$F$15,IF(('Loading-rail'!$C$21)&lt;&gt;"No control",SUMIF(('Loading-rail'!$B$31:$B$48),$J1964,('Loading-rail'!$E$31:$E$48))*Impacts!$F$15,0)),0)</f>
        <v>0</v>
      </c>
      <c r="T1964" s="10">
        <f>IF(Flare!$C$7="",0,(SUMIF(Flare!$B$46:$B$185,$J1964,Flare!$E$46:$E$185)*Impacts!$F$16))</f>
        <v>0</v>
      </c>
      <c r="U1964" s="10">
        <f>IF(VCU!$C$9="",0,(SUMIF(VCU!$B$51:$B$193,$J1964,VCU!$E$51:$E$193)*Impacts!$F$17))</f>
        <v>0</v>
      </c>
      <c r="V1964" s="10">
        <f>IF(CAS!$C$7="",0,(SUMIF(CAS!$B$31:$B$167,$J1964,CAS!$E$31:$E$167)*Impacts!$F$18))</f>
        <v>0</v>
      </c>
      <c r="W1964" s="10">
        <f t="shared" si="71"/>
        <v>0</v>
      </c>
      <c r="AK1964" s="10" t="str">
        <f t="array" ref="AK1964">IFERROR(INDEX(SelectedSpecies,SMALL(IF(SelectedSpecies=AK$1,ROW(SelectedSpecies)),ROW(1965:1965)),2),"")</f>
        <v/>
      </c>
      <c r="BE1964" s="10"/>
      <c r="BI1964" s="10"/>
    </row>
    <row r="1965" spans="1:61" ht="21" customHeight="1" x14ac:dyDescent="0.25">
      <c r="A1965" s="10"/>
      <c r="B1965" s="10"/>
      <c r="E1965" s="10"/>
      <c r="G1965" s="10"/>
      <c r="I1965" s="436" t="s">
        <v>3963</v>
      </c>
      <c r="J1965" s="26" t="s">
        <v>3962</v>
      </c>
      <c r="K1965" s="10">
        <v>6</v>
      </c>
      <c r="L1965" s="73">
        <f>IF(Tank1!$C$23="No control",(SUMIF(Tank1!$B$32:$B$49,$J1965,Tank1!$C$32:$C$49)*Impacts!$F$8),0)</f>
        <v>0</v>
      </c>
      <c r="M1965" s="10">
        <f>IF(Tank2!$C$23="No control",(SUMIF(Tank2!$B$32:$B$49,$J1965,Tank2!$C$32:$C$49)*Impacts!$F$9),0)</f>
        <v>0</v>
      </c>
      <c r="N1965" s="10">
        <f>IF(Tank3!$C$23="No control",(SUMIF(Tank3!$B$32:$B$49,$J1965,Tank3!$C$32:$C$49)*Impacts!$F$10),0)</f>
        <v>0</v>
      </c>
      <c r="O1965" s="10">
        <f>IF(Tank4!$C$23="No control",(SUMIF(Tank4!$B$32:$B$49,$J1965,Tank4!$C$32:$C$49)*Impacts!$F$11),0)</f>
        <v>0</v>
      </c>
      <c r="P1965" s="10">
        <f>IF(Tank5!$C$23="No control",(SUMIF(Tank5!$B$32:$B$49,$J1965,Tank5!$C$32:$C$49)*Impacts!$F$12),0)</f>
        <v>0</v>
      </c>
      <c r="Q1965" s="10">
        <f>IFERROR(IF(('Loading-drum,tote'!$C$21)="No control",SUMIF(('Loading-drum,tote'!$B$31:$B$48),$J1965,('Loading-drum,tote'!$D$31:$D$48))*Impacts!$F$13,IF(('Loading-drum,tote'!$C$21)&lt;&gt;"No control",SUMIF(('Loading-drum,tote'!$B$31:$B$48),$J1965,('Loading-drum,tote'!$E$31:$E$48))*Impacts!$F$13,0)),0)</f>
        <v>0</v>
      </c>
      <c r="R1965" s="10">
        <f>IFERROR(IF(('Loading-truck'!$C$21)="No control",SUMIF(('Loading-truck'!$B$31:$B$48),$J1965,('Loading-truck'!$D$31:$D$48))*Impacts!$F$14,IF(('Loading-truck'!$C$21)&lt;&gt;"No control",SUMIF(('Loading-truck'!$B$31:$B$48),$J1965,('Loading-truck'!$E$31:$E$48))*Impacts!$F$14,0)),0)</f>
        <v>0</v>
      </c>
      <c r="S1965" s="10">
        <f>IFERROR(IF(('Loading-rail'!$C$21)="No control",SUMIF(('Loading-rail'!$B$31:$B$48),$J1965,('Loading-rail'!$D$31:$D$48))*Impacts!$F$15,IF(('Loading-rail'!$C$21)&lt;&gt;"No control",SUMIF(('Loading-rail'!$B$31:$B$48),$J1965,('Loading-rail'!$E$31:$E$48))*Impacts!$F$15,0)),0)</f>
        <v>0</v>
      </c>
      <c r="T1965" s="10">
        <f>IF(Flare!$C$7="",0,(SUMIF(Flare!$B$46:$B$185,$J1965,Flare!$E$46:$E$185)*Impacts!$F$16))</f>
        <v>0</v>
      </c>
      <c r="U1965" s="10">
        <f>IF(VCU!$C$9="",0,(SUMIF(VCU!$B$51:$B$193,$J1965,VCU!$E$51:$E$193)*Impacts!$F$17))</f>
        <v>0</v>
      </c>
      <c r="V1965" s="10">
        <f>IF(CAS!$C$7="",0,(SUMIF(CAS!$B$31:$B$167,$J1965,CAS!$E$31:$E$167)*Impacts!$F$18))</f>
        <v>0</v>
      </c>
      <c r="W1965" s="10">
        <f t="shared" si="71"/>
        <v>0</v>
      </c>
      <c r="AK1965" s="10" t="str">
        <f t="array" ref="AK1965">IFERROR(INDEX(SelectedSpecies,SMALL(IF(SelectedSpecies=AK$1,ROW(SelectedSpecies)),ROW(1966:1966)),2),"")</f>
        <v/>
      </c>
      <c r="BE1965" s="10"/>
      <c r="BI1965" s="10"/>
    </row>
    <row r="1966" spans="1:61" ht="21" customHeight="1" x14ac:dyDescent="0.25">
      <c r="A1966" s="10"/>
      <c r="B1966" s="10"/>
      <c r="E1966" s="10"/>
      <c r="G1966" s="10"/>
      <c r="I1966" s="436" t="s">
        <v>1450</v>
      </c>
      <c r="J1966" s="26" t="s">
        <v>1449</v>
      </c>
      <c r="K1966" s="10">
        <v>30</v>
      </c>
      <c r="L1966" s="73">
        <f>IF(Tank1!$C$23="No control",(SUMIF(Tank1!$B$32:$B$49,$J1966,Tank1!$C$32:$C$49)*Impacts!$F$8),0)</f>
        <v>0</v>
      </c>
      <c r="M1966" s="10">
        <f>IF(Tank2!$C$23="No control",(SUMIF(Tank2!$B$32:$B$49,$J1966,Tank2!$C$32:$C$49)*Impacts!$F$9),0)</f>
        <v>0</v>
      </c>
      <c r="N1966" s="10">
        <f>IF(Tank3!$C$23="No control",(SUMIF(Tank3!$B$32:$B$49,$J1966,Tank3!$C$32:$C$49)*Impacts!$F$10),0)</f>
        <v>0</v>
      </c>
      <c r="O1966" s="10">
        <f>IF(Tank4!$C$23="No control",(SUMIF(Tank4!$B$32:$B$49,$J1966,Tank4!$C$32:$C$49)*Impacts!$F$11),0)</f>
        <v>0</v>
      </c>
      <c r="P1966" s="10">
        <f>IF(Tank5!$C$23="No control",(SUMIF(Tank5!$B$32:$B$49,$J1966,Tank5!$C$32:$C$49)*Impacts!$F$12),0)</f>
        <v>0</v>
      </c>
      <c r="Q1966" s="10">
        <f>IFERROR(IF(('Loading-drum,tote'!$C$21)="No control",SUMIF(('Loading-drum,tote'!$B$31:$B$48),$J1966,('Loading-drum,tote'!$D$31:$D$48))*Impacts!$F$13,IF(('Loading-drum,tote'!$C$21)&lt;&gt;"No control",SUMIF(('Loading-drum,tote'!$B$31:$B$48),$J1966,('Loading-drum,tote'!$E$31:$E$48))*Impacts!$F$13,0)),0)</f>
        <v>0</v>
      </c>
      <c r="R1966" s="10">
        <f>IFERROR(IF(('Loading-truck'!$C$21)="No control",SUMIF(('Loading-truck'!$B$31:$B$48),$J1966,('Loading-truck'!$D$31:$D$48))*Impacts!$F$14,IF(('Loading-truck'!$C$21)&lt;&gt;"No control",SUMIF(('Loading-truck'!$B$31:$B$48),$J1966,('Loading-truck'!$E$31:$E$48))*Impacts!$F$14,0)),0)</f>
        <v>0</v>
      </c>
      <c r="S1966" s="10">
        <f>IFERROR(IF(('Loading-rail'!$C$21)="No control",SUMIF(('Loading-rail'!$B$31:$B$48),$J1966,('Loading-rail'!$D$31:$D$48))*Impacts!$F$15,IF(('Loading-rail'!$C$21)&lt;&gt;"No control",SUMIF(('Loading-rail'!$B$31:$B$48),$J1966,('Loading-rail'!$E$31:$E$48))*Impacts!$F$15,0)),0)</f>
        <v>0</v>
      </c>
      <c r="T1966" s="10">
        <f>IF(Flare!$C$7="",0,(SUMIF(Flare!$B$46:$B$185,$J1966,Flare!$E$46:$E$185)*Impacts!$F$16))</f>
        <v>0</v>
      </c>
      <c r="U1966" s="10">
        <f>IF(VCU!$C$9="",0,(SUMIF(VCU!$B$51:$B$193,$J1966,VCU!$E$51:$E$193)*Impacts!$F$17))</f>
        <v>0</v>
      </c>
      <c r="V1966" s="10">
        <f>IF(CAS!$C$7="",0,(SUMIF(CAS!$B$31:$B$167,$J1966,CAS!$E$31:$E$167)*Impacts!$F$18))</f>
        <v>0</v>
      </c>
      <c r="W1966" s="10">
        <f t="shared" si="71"/>
        <v>0</v>
      </c>
      <c r="AK1966" s="10" t="str">
        <f t="array" ref="AK1966">IFERROR(INDEX(SelectedSpecies,SMALL(IF(SelectedSpecies=AK$1,ROW(SelectedSpecies)),ROW(1967:1967)),2),"")</f>
        <v/>
      </c>
      <c r="BE1966" s="10"/>
      <c r="BI1966" s="10"/>
    </row>
    <row r="1967" spans="1:61" ht="21" customHeight="1" x14ac:dyDescent="0.25">
      <c r="A1967" s="10"/>
      <c r="B1967" s="10"/>
      <c r="E1967" s="10"/>
      <c r="G1967" s="10"/>
      <c r="I1967" s="436" t="s">
        <v>6850</v>
      </c>
      <c r="J1967" s="26" t="s">
        <v>6849</v>
      </c>
      <c r="K1967" s="10">
        <v>0.5</v>
      </c>
      <c r="L1967" s="73">
        <f>IF(Tank1!$C$23="No control",(SUMIF(Tank1!$B$32:$B$49,$J1967,Tank1!$C$32:$C$49)*Impacts!$F$8),0)</f>
        <v>0</v>
      </c>
      <c r="M1967" s="10">
        <f>IF(Tank2!$C$23="No control",(SUMIF(Tank2!$B$32:$B$49,$J1967,Tank2!$C$32:$C$49)*Impacts!$F$9),0)</f>
        <v>0</v>
      </c>
      <c r="N1967" s="10">
        <f>IF(Tank3!$C$23="No control",(SUMIF(Tank3!$B$32:$B$49,$J1967,Tank3!$C$32:$C$49)*Impacts!$F$10),0)</f>
        <v>0</v>
      </c>
      <c r="O1967" s="10">
        <f>IF(Tank4!$C$23="No control",(SUMIF(Tank4!$B$32:$B$49,$J1967,Tank4!$C$32:$C$49)*Impacts!$F$11),0)</f>
        <v>0</v>
      </c>
      <c r="P1967" s="10">
        <f>IF(Tank5!$C$23="No control",(SUMIF(Tank5!$B$32:$B$49,$J1967,Tank5!$C$32:$C$49)*Impacts!$F$12),0)</f>
        <v>0</v>
      </c>
      <c r="Q1967" s="10">
        <f>IFERROR(IF(('Loading-drum,tote'!$C$21)="No control",SUMIF(('Loading-drum,tote'!$B$31:$B$48),$J1967,('Loading-drum,tote'!$D$31:$D$48))*Impacts!$F$13,IF(('Loading-drum,tote'!$C$21)&lt;&gt;"No control",SUMIF(('Loading-drum,tote'!$B$31:$B$48),$J1967,('Loading-drum,tote'!$E$31:$E$48))*Impacts!$F$13,0)),0)</f>
        <v>0</v>
      </c>
      <c r="R1967" s="10">
        <f>IFERROR(IF(('Loading-truck'!$C$21)="No control",SUMIF(('Loading-truck'!$B$31:$B$48),$J1967,('Loading-truck'!$D$31:$D$48))*Impacts!$F$14,IF(('Loading-truck'!$C$21)&lt;&gt;"No control",SUMIF(('Loading-truck'!$B$31:$B$48),$J1967,('Loading-truck'!$E$31:$E$48))*Impacts!$F$14,0)),0)</f>
        <v>0</v>
      </c>
      <c r="S1967" s="10">
        <f>IFERROR(IF(('Loading-rail'!$C$21)="No control",SUMIF(('Loading-rail'!$B$31:$B$48),$J1967,('Loading-rail'!$D$31:$D$48))*Impacts!$F$15,IF(('Loading-rail'!$C$21)&lt;&gt;"No control",SUMIF(('Loading-rail'!$B$31:$B$48),$J1967,('Loading-rail'!$E$31:$E$48))*Impacts!$F$15,0)),0)</f>
        <v>0</v>
      </c>
      <c r="T1967" s="10">
        <f>IF(Flare!$C$7="",0,(SUMIF(Flare!$B$46:$B$185,$J1967,Flare!$E$46:$E$185)*Impacts!$F$16))</f>
        <v>0</v>
      </c>
      <c r="U1967" s="10">
        <f>IF(VCU!$C$9="",0,(SUMIF(VCU!$B$51:$B$193,$J1967,VCU!$E$51:$E$193)*Impacts!$F$17))</f>
        <v>0</v>
      </c>
      <c r="V1967" s="10">
        <f>IF(CAS!$C$7="",0,(SUMIF(CAS!$B$31:$B$167,$J1967,CAS!$E$31:$E$167)*Impacts!$F$18))</f>
        <v>0</v>
      </c>
      <c r="W1967" s="10">
        <f t="shared" si="71"/>
        <v>0</v>
      </c>
      <c r="AK1967" s="10" t="str">
        <f t="array" ref="AK1967">IFERROR(INDEX(SelectedSpecies,SMALL(IF(SelectedSpecies=AK$1,ROW(SelectedSpecies)),ROW(1968:1968)),2),"")</f>
        <v/>
      </c>
      <c r="BE1967" s="10"/>
      <c r="BI1967" s="10"/>
    </row>
    <row r="1968" spans="1:61" ht="21" customHeight="1" x14ac:dyDescent="0.25">
      <c r="A1968" s="10"/>
      <c r="B1968" s="10"/>
      <c r="E1968" s="10"/>
      <c r="G1968" s="10"/>
      <c r="I1968" s="436" t="s">
        <v>5021</v>
      </c>
      <c r="J1968" s="26" t="s">
        <v>5020</v>
      </c>
      <c r="K1968" s="10">
        <v>2.4000000000000004</v>
      </c>
      <c r="L1968" s="73">
        <f>IF(Tank1!$C$23="No control",(SUMIF(Tank1!$B$32:$B$49,$J1968,Tank1!$C$32:$C$49)*Impacts!$F$8),0)</f>
        <v>0</v>
      </c>
      <c r="M1968" s="10">
        <f>IF(Tank2!$C$23="No control",(SUMIF(Tank2!$B$32:$B$49,$J1968,Tank2!$C$32:$C$49)*Impacts!$F$9),0)</f>
        <v>0</v>
      </c>
      <c r="N1968" s="10">
        <f>IF(Tank3!$C$23="No control",(SUMIF(Tank3!$B$32:$B$49,$J1968,Tank3!$C$32:$C$49)*Impacts!$F$10),0)</f>
        <v>0</v>
      </c>
      <c r="O1968" s="10">
        <f>IF(Tank4!$C$23="No control",(SUMIF(Tank4!$B$32:$B$49,$J1968,Tank4!$C$32:$C$49)*Impacts!$F$11),0)</f>
        <v>0</v>
      </c>
      <c r="P1968" s="10">
        <f>IF(Tank5!$C$23="No control",(SUMIF(Tank5!$B$32:$B$49,$J1968,Tank5!$C$32:$C$49)*Impacts!$F$12),0)</f>
        <v>0</v>
      </c>
      <c r="Q1968" s="10">
        <f>IFERROR(IF(('Loading-drum,tote'!$C$21)="No control",SUMIF(('Loading-drum,tote'!$B$31:$B$48),$J1968,('Loading-drum,tote'!$D$31:$D$48))*Impacts!$F$13,IF(('Loading-drum,tote'!$C$21)&lt;&gt;"No control",SUMIF(('Loading-drum,tote'!$B$31:$B$48),$J1968,('Loading-drum,tote'!$E$31:$E$48))*Impacts!$F$13,0)),0)</f>
        <v>0</v>
      </c>
      <c r="R1968" s="10">
        <f>IFERROR(IF(('Loading-truck'!$C$21)="No control",SUMIF(('Loading-truck'!$B$31:$B$48),$J1968,('Loading-truck'!$D$31:$D$48))*Impacts!$F$14,IF(('Loading-truck'!$C$21)&lt;&gt;"No control",SUMIF(('Loading-truck'!$B$31:$B$48),$J1968,('Loading-truck'!$E$31:$E$48))*Impacts!$F$14,0)),0)</f>
        <v>0</v>
      </c>
      <c r="S1968" s="10">
        <f>IFERROR(IF(('Loading-rail'!$C$21)="No control",SUMIF(('Loading-rail'!$B$31:$B$48),$J1968,('Loading-rail'!$D$31:$D$48))*Impacts!$F$15,IF(('Loading-rail'!$C$21)&lt;&gt;"No control",SUMIF(('Loading-rail'!$B$31:$B$48),$J1968,('Loading-rail'!$E$31:$E$48))*Impacts!$F$15,0)),0)</f>
        <v>0</v>
      </c>
      <c r="T1968" s="10">
        <f>IF(Flare!$C$7="",0,(SUMIF(Flare!$B$46:$B$185,$J1968,Flare!$E$46:$E$185)*Impacts!$F$16))</f>
        <v>0</v>
      </c>
      <c r="U1968" s="10">
        <f>IF(VCU!$C$9="",0,(SUMIF(VCU!$B$51:$B$193,$J1968,VCU!$E$51:$E$193)*Impacts!$F$17))</f>
        <v>0</v>
      </c>
      <c r="V1968" s="10">
        <f>IF(CAS!$C$7="",0,(SUMIF(CAS!$B$31:$B$167,$J1968,CAS!$E$31:$E$167)*Impacts!$F$18))</f>
        <v>0</v>
      </c>
      <c r="W1968" s="10">
        <f t="shared" si="71"/>
        <v>0</v>
      </c>
      <c r="AK1968" s="10" t="str">
        <f t="array" ref="AK1968">IFERROR(INDEX(SelectedSpecies,SMALL(IF(SelectedSpecies=AK$1,ROW(SelectedSpecies)),ROW(1969:1969)),2),"")</f>
        <v/>
      </c>
      <c r="BE1968" s="10"/>
      <c r="BI1968" s="10"/>
    </row>
    <row r="1969" spans="1:61" ht="21" customHeight="1" x14ac:dyDescent="0.25">
      <c r="A1969" s="10"/>
      <c r="B1969" s="10"/>
      <c r="E1969" s="10"/>
      <c r="G1969" s="10"/>
      <c r="I1969" s="436" t="s">
        <v>3589</v>
      </c>
      <c r="J1969" s="26" t="s">
        <v>3588</v>
      </c>
      <c r="K1969" s="10">
        <v>8</v>
      </c>
      <c r="L1969" s="73">
        <f>IF(Tank1!$C$23="No control",(SUMIF(Tank1!$B$32:$B$49,$J1969,Tank1!$C$32:$C$49)*Impacts!$F$8),0)</f>
        <v>0</v>
      </c>
      <c r="M1969" s="10">
        <f>IF(Tank2!$C$23="No control",(SUMIF(Tank2!$B$32:$B$49,$J1969,Tank2!$C$32:$C$49)*Impacts!$F$9),0)</f>
        <v>0</v>
      </c>
      <c r="N1969" s="10">
        <f>IF(Tank3!$C$23="No control",(SUMIF(Tank3!$B$32:$B$49,$J1969,Tank3!$C$32:$C$49)*Impacts!$F$10),0)</f>
        <v>0</v>
      </c>
      <c r="O1969" s="10">
        <f>IF(Tank4!$C$23="No control",(SUMIF(Tank4!$B$32:$B$49,$J1969,Tank4!$C$32:$C$49)*Impacts!$F$11),0)</f>
        <v>0</v>
      </c>
      <c r="P1969" s="10">
        <f>IF(Tank5!$C$23="No control",(SUMIF(Tank5!$B$32:$B$49,$J1969,Tank5!$C$32:$C$49)*Impacts!$F$12),0)</f>
        <v>0</v>
      </c>
      <c r="Q1969" s="10">
        <f>IFERROR(IF(('Loading-drum,tote'!$C$21)="No control",SUMIF(('Loading-drum,tote'!$B$31:$B$48),$J1969,('Loading-drum,tote'!$D$31:$D$48))*Impacts!$F$13,IF(('Loading-drum,tote'!$C$21)&lt;&gt;"No control",SUMIF(('Loading-drum,tote'!$B$31:$B$48),$J1969,('Loading-drum,tote'!$E$31:$E$48))*Impacts!$F$13,0)),0)</f>
        <v>0</v>
      </c>
      <c r="R1969" s="10">
        <f>IFERROR(IF(('Loading-truck'!$C$21)="No control",SUMIF(('Loading-truck'!$B$31:$B$48),$J1969,('Loading-truck'!$D$31:$D$48))*Impacts!$F$14,IF(('Loading-truck'!$C$21)&lt;&gt;"No control",SUMIF(('Loading-truck'!$B$31:$B$48),$J1969,('Loading-truck'!$E$31:$E$48))*Impacts!$F$14,0)),0)</f>
        <v>0</v>
      </c>
      <c r="S1969" s="10">
        <f>IFERROR(IF(('Loading-rail'!$C$21)="No control",SUMIF(('Loading-rail'!$B$31:$B$48),$J1969,('Loading-rail'!$D$31:$D$48))*Impacts!$F$15,IF(('Loading-rail'!$C$21)&lt;&gt;"No control",SUMIF(('Loading-rail'!$B$31:$B$48),$J1969,('Loading-rail'!$E$31:$E$48))*Impacts!$F$15,0)),0)</f>
        <v>0</v>
      </c>
      <c r="T1969" s="10">
        <f>IF(Flare!$C$7="",0,(SUMIF(Flare!$B$46:$B$185,$J1969,Flare!$E$46:$E$185)*Impacts!$F$16))</f>
        <v>0</v>
      </c>
      <c r="U1969" s="10">
        <f>IF(VCU!$C$9="",0,(SUMIF(VCU!$B$51:$B$193,$J1969,VCU!$E$51:$E$193)*Impacts!$F$17))</f>
        <v>0</v>
      </c>
      <c r="V1969" s="10">
        <f>IF(CAS!$C$7="",0,(SUMIF(CAS!$B$31:$B$167,$J1969,CAS!$E$31:$E$167)*Impacts!$F$18))</f>
        <v>0</v>
      </c>
      <c r="W1969" s="10">
        <f t="shared" si="71"/>
        <v>0</v>
      </c>
      <c r="AK1969" s="10" t="str">
        <f t="array" ref="AK1969">IFERROR(INDEX(SelectedSpecies,SMALL(IF(SelectedSpecies=AK$1,ROW(SelectedSpecies)),ROW(1970:1970)),2),"")</f>
        <v/>
      </c>
      <c r="BE1969" s="10"/>
      <c r="BI1969" s="10"/>
    </row>
    <row r="1970" spans="1:61" ht="21" customHeight="1" x14ac:dyDescent="0.25">
      <c r="A1970" s="10"/>
      <c r="B1970" s="10"/>
      <c r="E1970" s="10"/>
      <c r="G1970" s="10"/>
      <c r="I1970" s="436" t="s">
        <v>5237</v>
      </c>
      <c r="J1970" s="26" t="s">
        <v>5236</v>
      </c>
      <c r="K1970" s="10">
        <v>1.9000000000000001</v>
      </c>
      <c r="L1970" s="73">
        <f>IF(Tank1!$C$23="No control",(SUMIF(Tank1!$B$32:$B$49,$J1970,Tank1!$C$32:$C$49)*Impacts!$F$8),0)</f>
        <v>0</v>
      </c>
      <c r="M1970" s="10">
        <f>IF(Tank2!$C$23="No control",(SUMIF(Tank2!$B$32:$B$49,$J1970,Tank2!$C$32:$C$49)*Impacts!$F$9),0)</f>
        <v>0</v>
      </c>
      <c r="N1970" s="10">
        <f>IF(Tank3!$C$23="No control",(SUMIF(Tank3!$B$32:$B$49,$J1970,Tank3!$C$32:$C$49)*Impacts!$F$10),0)</f>
        <v>0</v>
      </c>
      <c r="O1970" s="10">
        <f>IF(Tank4!$C$23="No control",(SUMIF(Tank4!$B$32:$B$49,$J1970,Tank4!$C$32:$C$49)*Impacts!$F$11),0)</f>
        <v>0</v>
      </c>
      <c r="P1970" s="10">
        <f>IF(Tank5!$C$23="No control",(SUMIF(Tank5!$B$32:$B$49,$J1970,Tank5!$C$32:$C$49)*Impacts!$F$12),0)</f>
        <v>0</v>
      </c>
      <c r="Q1970" s="10">
        <f>IFERROR(IF(('Loading-drum,tote'!$C$21)="No control",SUMIF(('Loading-drum,tote'!$B$31:$B$48),$J1970,('Loading-drum,tote'!$D$31:$D$48))*Impacts!$F$13,IF(('Loading-drum,tote'!$C$21)&lt;&gt;"No control",SUMIF(('Loading-drum,tote'!$B$31:$B$48),$J1970,('Loading-drum,tote'!$E$31:$E$48))*Impacts!$F$13,0)),0)</f>
        <v>0</v>
      </c>
      <c r="R1970" s="10">
        <f>IFERROR(IF(('Loading-truck'!$C$21)="No control",SUMIF(('Loading-truck'!$B$31:$B$48),$J1970,('Loading-truck'!$D$31:$D$48))*Impacts!$F$14,IF(('Loading-truck'!$C$21)&lt;&gt;"No control",SUMIF(('Loading-truck'!$B$31:$B$48),$J1970,('Loading-truck'!$E$31:$E$48))*Impacts!$F$14,0)),0)</f>
        <v>0</v>
      </c>
      <c r="S1970" s="10">
        <f>IFERROR(IF(('Loading-rail'!$C$21)="No control",SUMIF(('Loading-rail'!$B$31:$B$48),$J1970,('Loading-rail'!$D$31:$D$48))*Impacts!$F$15,IF(('Loading-rail'!$C$21)&lt;&gt;"No control",SUMIF(('Loading-rail'!$B$31:$B$48),$J1970,('Loading-rail'!$E$31:$E$48))*Impacts!$F$15,0)),0)</f>
        <v>0</v>
      </c>
      <c r="T1970" s="10">
        <f>IF(Flare!$C$7="",0,(SUMIF(Flare!$B$46:$B$185,$J1970,Flare!$E$46:$E$185)*Impacts!$F$16))</f>
        <v>0</v>
      </c>
      <c r="U1970" s="10">
        <f>IF(VCU!$C$9="",0,(SUMIF(VCU!$B$51:$B$193,$J1970,VCU!$E$51:$E$193)*Impacts!$F$17))</f>
        <v>0</v>
      </c>
      <c r="V1970" s="10">
        <f>IF(CAS!$C$7="",0,(SUMIF(CAS!$B$31:$B$167,$J1970,CAS!$E$31:$E$167)*Impacts!$F$18))</f>
        <v>0</v>
      </c>
      <c r="W1970" s="10">
        <f t="shared" si="71"/>
        <v>0</v>
      </c>
      <c r="AK1970" s="10" t="str">
        <f t="array" ref="AK1970">IFERROR(INDEX(SelectedSpecies,SMALL(IF(SelectedSpecies=AK$1,ROW(SelectedSpecies)),ROW(1971:1971)),2),"")</f>
        <v/>
      </c>
      <c r="BE1970" s="10"/>
      <c r="BI1970" s="10"/>
    </row>
    <row r="1971" spans="1:61" ht="21" customHeight="1" x14ac:dyDescent="0.25">
      <c r="A1971" s="10"/>
      <c r="B1971" s="10"/>
      <c r="E1971" s="10"/>
      <c r="G1971" s="10"/>
      <c r="I1971" s="436" t="s">
        <v>2899</v>
      </c>
      <c r="J1971" s="26" t="s">
        <v>2898</v>
      </c>
      <c r="K1971" s="10">
        <v>10</v>
      </c>
      <c r="L1971" s="73">
        <f>IF(Tank1!$C$23="No control",(SUMIF(Tank1!$B$32:$B$49,$J1971,Tank1!$C$32:$C$49)*Impacts!$F$8),0)</f>
        <v>0</v>
      </c>
      <c r="M1971" s="10">
        <f>IF(Tank2!$C$23="No control",(SUMIF(Tank2!$B$32:$B$49,$J1971,Tank2!$C$32:$C$49)*Impacts!$F$9),0)</f>
        <v>0</v>
      </c>
      <c r="N1971" s="10">
        <f>IF(Tank3!$C$23="No control",(SUMIF(Tank3!$B$32:$B$49,$J1971,Tank3!$C$32:$C$49)*Impacts!$F$10),0)</f>
        <v>0</v>
      </c>
      <c r="O1971" s="10">
        <f>IF(Tank4!$C$23="No control",(SUMIF(Tank4!$B$32:$B$49,$J1971,Tank4!$C$32:$C$49)*Impacts!$F$11),0)</f>
        <v>0</v>
      </c>
      <c r="P1971" s="10">
        <f>IF(Tank5!$C$23="No control",(SUMIF(Tank5!$B$32:$B$49,$J1971,Tank5!$C$32:$C$49)*Impacts!$F$12),0)</f>
        <v>0</v>
      </c>
      <c r="Q1971" s="10">
        <f>IFERROR(IF(('Loading-drum,tote'!$C$21)="No control",SUMIF(('Loading-drum,tote'!$B$31:$B$48),$J1971,('Loading-drum,tote'!$D$31:$D$48))*Impacts!$F$13,IF(('Loading-drum,tote'!$C$21)&lt;&gt;"No control",SUMIF(('Loading-drum,tote'!$B$31:$B$48),$J1971,('Loading-drum,tote'!$E$31:$E$48))*Impacts!$F$13,0)),0)</f>
        <v>0</v>
      </c>
      <c r="R1971" s="10">
        <f>IFERROR(IF(('Loading-truck'!$C$21)="No control",SUMIF(('Loading-truck'!$B$31:$B$48),$J1971,('Loading-truck'!$D$31:$D$48))*Impacts!$F$14,IF(('Loading-truck'!$C$21)&lt;&gt;"No control",SUMIF(('Loading-truck'!$B$31:$B$48),$J1971,('Loading-truck'!$E$31:$E$48))*Impacts!$F$14,0)),0)</f>
        <v>0</v>
      </c>
      <c r="S1971" s="10">
        <f>IFERROR(IF(('Loading-rail'!$C$21)="No control",SUMIF(('Loading-rail'!$B$31:$B$48),$J1971,('Loading-rail'!$D$31:$D$48))*Impacts!$F$15,IF(('Loading-rail'!$C$21)&lt;&gt;"No control",SUMIF(('Loading-rail'!$B$31:$B$48),$J1971,('Loading-rail'!$E$31:$E$48))*Impacts!$F$15,0)),0)</f>
        <v>0</v>
      </c>
      <c r="T1971" s="10">
        <f>IF(Flare!$C$7="",0,(SUMIF(Flare!$B$46:$B$185,$J1971,Flare!$E$46:$E$185)*Impacts!$F$16))</f>
        <v>0</v>
      </c>
      <c r="U1971" s="10">
        <f>IF(VCU!$C$9="",0,(SUMIF(VCU!$B$51:$B$193,$J1971,VCU!$E$51:$E$193)*Impacts!$F$17))</f>
        <v>0</v>
      </c>
      <c r="V1971" s="10">
        <f>IF(CAS!$C$7="",0,(SUMIF(CAS!$B$31:$B$167,$J1971,CAS!$E$31:$E$167)*Impacts!$F$18))</f>
        <v>0</v>
      </c>
      <c r="W1971" s="10">
        <f t="shared" si="71"/>
        <v>0</v>
      </c>
      <c r="AK1971" s="10" t="str">
        <f t="array" ref="AK1971">IFERROR(INDEX(SelectedSpecies,SMALL(IF(SelectedSpecies=AK$1,ROW(SelectedSpecies)),ROW(1972:1972)),2),"")</f>
        <v/>
      </c>
      <c r="BE1971" s="10"/>
      <c r="BI1971" s="10"/>
    </row>
    <row r="1972" spans="1:61" ht="21" customHeight="1" x14ac:dyDescent="0.25">
      <c r="A1972" s="10"/>
      <c r="B1972" s="10"/>
      <c r="E1972" s="10"/>
      <c r="G1972" s="10"/>
      <c r="I1972" s="436" t="s">
        <v>4293</v>
      </c>
      <c r="J1972" s="26" t="s">
        <v>4292</v>
      </c>
      <c r="K1972" s="10">
        <v>5</v>
      </c>
      <c r="L1972" s="73">
        <f>IF(Tank1!$C$23="No control",(SUMIF(Tank1!$B$32:$B$49,$J1972,Tank1!$C$32:$C$49)*Impacts!$F$8),0)</f>
        <v>0</v>
      </c>
      <c r="M1972" s="10">
        <f>IF(Tank2!$C$23="No control",(SUMIF(Tank2!$B$32:$B$49,$J1972,Tank2!$C$32:$C$49)*Impacts!$F$9),0)</f>
        <v>0</v>
      </c>
      <c r="N1972" s="10">
        <f>IF(Tank3!$C$23="No control",(SUMIF(Tank3!$B$32:$B$49,$J1972,Tank3!$C$32:$C$49)*Impacts!$F$10),0)</f>
        <v>0</v>
      </c>
      <c r="O1972" s="10">
        <f>IF(Tank4!$C$23="No control",(SUMIF(Tank4!$B$32:$B$49,$J1972,Tank4!$C$32:$C$49)*Impacts!$F$11),0)</f>
        <v>0</v>
      </c>
      <c r="P1972" s="10">
        <f>IF(Tank5!$C$23="No control",(SUMIF(Tank5!$B$32:$B$49,$J1972,Tank5!$C$32:$C$49)*Impacts!$F$12),0)</f>
        <v>0</v>
      </c>
      <c r="Q1972" s="10">
        <f>IFERROR(IF(('Loading-drum,tote'!$C$21)="No control",SUMIF(('Loading-drum,tote'!$B$31:$B$48),$J1972,('Loading-drum,tote'!$D$31:$D$48))*Impacts!$F$13,IF(('Loading-drum,tote'!$C$21)&lt;&gt;"No control",SUMIF(('Loading-drum,tote'!$B$31:$B$48),$J1972,('Loading-drum,tote'!$E$31:$E$48))*Impacts!$F$13,0)),0)</f>
        <v>0</v>
      </c>
      <c r="R1972" s="10">
        <f>IFERROR(IF(('Loading-truck'!$C$21)="No control",SUMIF(('Loading-truck'!$B$31:$B$48),$J1972,('Loading-truck'!$D$31:$D$48))*Impacts!$F$14,IF(('Loading-truck'!$C$21)&lt;&gt;"No control",SUMIF(('Loading-truck'!$B$31:$B$48),$J1972,('Loading-truck'!$E$31:$E$48))*Impacts!$F$14,0)),0)</f>
        <v>0</v>
      </c>
      <c r="S1972" s="10">
        <f>IFERROR(IF(('Loading-rail'!$C$21)="No control",SUMIF(('Loading-rail'!$B$31:$B$48),$J1972,('Loading-rail'!$D$31:$D$48))*Impacts!$F$15,IF(('Loading-rail'!$C$21)&lt;&gt;"No control",SUMIF(('Loading-rail'!$B$31:$B$48),$J1972,('Loading-rail'!$E$31:$E$48))*Impacts!$F$15,0)),0)</f>
        <v>0</v>
      </c>
      <c r="T1972" s="10">
        <f>IF(Flare!$C$7="",0,(SUMIF(Flare!$B$46:$B$185,$J1972,Flare!$E$46:$E$185)*Impacts!$F$16))</f>
        <v>0</v>
      </c>
      <c r="U1972" s="10">
        <f>IF(VCU!$C$9="",0,(SUMIF(VCU!$B$51:$B$193,$J1972,VCU!$E$51:$E$193)*Impacts!$F$17))</f>
        <v>0</v>
      </c>
      <c r="V1972" s="10">
        <f>IF(CAS!$C$7="",0,(SUMIF(CAS!$B$31:$B$167,$J1972,CAS!$E$31:$E$167)*Impacts!$F$18))</f>
        <v>0</v>
      </c>
      <c r="W1972" s="10">
        <f t="shared" si="71"/>
        <v>0</v>
      </c>
      <c r="AK1972" s="10" t="str">
        <f t="array" ref="AK1972">IFERROR(INDEX(SelectedSpecies,SMALL(IF(SelectedSpecies=AK$1,ROW(SelectedSpecies)),ROW(1973:1973)),2),"")</f>
        <v/>
      </c>
      <c r="BE1972" s="10"/>
      <c r="BI1972" s="10"/>
    </row>
    <row r="1973" spans="1:61" ht="21" customHeight="1" x14ac:dyDescent="0.25">
      <c r="A1973" s="10"/>
      <c r="B1973" s="10"/>
      <c r="E1973" s="10"/>
      <c r="G1973" s="10"/>
      <c r="I1973" s="436" t="s">
        <v>2493</v>
      </c>
      <c r="J1973" s="26" t="s">
        <v>2492</v>
      </c>
      <c r="K1973" s="10">
        <v>10</v>
      </c>
      <c r="L1973" s="73">
        <f>IF(Tank1!$C$23="No control",(SUMIF(Tank1!$B$32:$B$49,$J1973,Tank1!$C$32:$C$49)*Impacts!$F$8),0)</f>
        <v>0</v>
      </c>
      <c r="M1973" s="10">
        <f>IF(Tank2!$C$23="No control",(SUMIF(Tank2!$B$32:$B$49,$J1973,Tank2!$C$32:$C$49)*Impacts!$F$9),0)</f>
        <v>0</v>
      </c>
      <c r="N1973" s="10">
        <f>IF(Tank3!$C$23="No control",(SUMIF(Tank3!$B$32:$B$49,$J1973,Tank3!$C$32:$C$49)*Impacts!$F$10),0)</f>
        <v>0</v>
      </c>
      <c r="O1973" s="10">
        <f>IF(Tank4!$C$23="No control",(SUMIF(Tank4!$B$32:$B$49,$J1973,Tank4!$C$32:$C$49)*Impacts!$F$11),0)</f>
        <v>0</v>
      </c>
      <c r="P1973" s="10">
        <f>IF(Tank5!$C$23="No control",(SUMIF(Tank5!$B$32:$B$49,$J1973,Tank5!$C$32:$C$49)*Impacts!$F$12),0)</f>
        <v>0</v>
      </c>
      <c r="Q1973" s="10">
        <f>IFERROR(IF(('Loading-drum,tote'!$C$21)="No control",SUMIF(('Loading-drum,tote'!$B$31:$B$48),$J1973,('Loading-drum,tote'!$D$31:$D$48))*Impacts!$F$13,IF(('Loading-drum,tote'!$C$21)&lt;&gt;"No control",SUMIF(('Loading-drum,tote'!$B$31:$B$48),$J1973,('Loading-drum,tote'!$E$31:$E$48))*Impacts!$F$13,0)),0)</f>
        <v>0</v>
      </c>
      <c r="R1973" s="10">
        <f>IFERROR(IF(('Loading-truck'!$C$21)="No control",SUMIF(('Loading-truck'!$B$31:$B$48),$J1973,('Loading-truck'!$D$31:$D$48))*Impacts!$F$14,IF(('Loading-truck'!$C$21)&lt;&gt;"No control",SUMIF(('Loading-truck'!$B$31:$B$48),$J1973,('Loading-truck'!$E$31:$E$48))*Impacts!$F$14,0)),0)</f>
        <v>0</v>
      </c>
      <c r="S1973" s="10">
        <f>IFERROR(IF(('Loading-rail'!$C$21)="No control",SUMIF(('Loading-rail'!$B$31:$B$48),$J1973,('Loading-rail'!$D$31:$D$48))*Impacts!$F$15,IF(('Loading-rail'!$C$21)&lt;&gt;"No control",SUMIF(('Loading-rail'!$B$31:$B$48),$J1973,('Loading-rail'!$E$31:$E$48))*Impacts!$F$15,0)),0)</f>
        <v>0</v>
      </c>
      <c r="T1973" s="10">
        <f>IF(Flare!$C$7="",0,(SUMIF(Flare!$B$46:$B$185,$J1973,Flare!$E$46:$E$185)*Impacts!$F$16))</f>
        <v>0</v>
      </c>
      <c r="U1973" s="10">
        <f>IF(VCU!$C$9="",0,(SUMIF(VCU!$B$51:$B$193,$J1973,VCU!$E$51:$E$193)*Impacts!$F$17))</f>
        <v>0</v>
      </c>
      <c r="V1973" s="10">
        <f>IF(CAS!$C$7="",0,(SUMIF(CAS!$B$31:$B$167,$J1973,CAS!$E$31:$E$167)*Impacts!$F$18))</f>
        <v>0</v>
      </c>
      <c r="W1973" s="10">
        <f t="shared" si="71"/>
        <v>0</v>
      </c>
      <c r="AK1973" s="10" t="str">
        <f t="array" ref="AK1973">IFERROR(INDEX(SelectedSpecies,SMALL(IF(SelectedSpecies=AK$1,ROW(SelectedSpecies)),ROW(1974:1974)),2),"")</f>
        <v/>
      </c>
      <c r="BE1973" s="10"/>
      <c r="BI1973" s="10"/>
    </row>
    <row r="1974" spans="1:61" ht="21" customHeight="1" x14ac:dyDescent="0.25">
      <c r="A1974" s="10"/>
      <c r="B1974" s="10"/>
      <c r="E1974" s="10"/>
      <c r="G1974" s="10"/>
      <c r="I1974" s="436" t="s">
        <v>2315</v>
      </c>
      <c r="J1974" s="26" t="s">
        <v>2314</v>
      </c>
      <c r="K1974" s="10">
        <v>12</v>
      </c>
      <c r="L1974" s="73">
        <f>IF(Tank1!$C$23="No control",(SUMIF(Tank1!$B$32:$B$49,$J1974,Tank1!$C$32:$C$49)*Impacts!$F$8),0)</f>
        <v>0</v>
      </c>
      <c r="M1974" s="10">
        <f>IF(Tank2!$C$23="No control",(SUMIF(Tank2!$B$32:$B$49,$J1974,Tank2!$C$32:$C$49)*Impacts!$F$9),0)</f>
        <v>0</v>
      </c>
      <c r="N1974" s="10">
        <f>IF(Tank3!$C$23="No control",(SUMIF(Tank3!$B$32:$B$49,$J1974,Tank3!$C$32:$C$49)*Impacts!$F$10),0)</f>
        <v>0</v>
      </c>
      <c r="O1974" s="10">
        <f>IF(Tank4!$C$23="No control",(SUMIF(Tank4!$B$32:$B$49,$J1974,Tank4!$C$32:$C$49)*Impacts!$F$11),0)</f>
        <v>0</v>
      </c>
      <c r="P1974" s="10">
        <f>IF(Tank5!$C$23="No control",(SUMIF(Tank5!$B$32:$B$49,$J1974,Tank5!$C$32:$C$49)*Impacts!$F$12),0)</f>
        <v>0</v>
      </c>
      <c r="Q1974" s="10">
        <f>IFERROR(IF(('Loading-drum,tote'!$C$21)="No control",SUMIF(('Loading-drum,tote'!$B$31:$B$48),$J1974,('Loading-drum,tote'!$D$31:$D$48))*Impacts!$F$13,IF(('Loading-drum,tote'!$C$21)&lt;&gt;"No control",SUMIF(('Loading-drum,tote'!$B$31:$B$48),$J1974,('Loading-drum,tote'!$E$31:$E$48))*Impacts!$F$13,0)),0)</f>
        <v>0</v>
      </c>
      <c r="R1974" s="10">
        <f>IFERROR(IF(('Loading-truck'!$C$21)="No control",SUMIF(('Loading-truck'!$B$31:$B$48),$J1974,('Loading-truck'!$D$31:$D$48))*Impacts!$F$14,IF(('Loading-truck'!$C$21)&lt;&gt;"No control",SUMIF(('Loading-truck'!$B$31:$B$48),$J1974,('Loading-truck'!$E$31:$E$48))*Impacts!$F$14,0)),0)</f>
        <v>0</v>
      </c>
      <c r="S1974" s="10">
        <f>IFERROR(IF(('Loading-rail'!$C$21)="No control",SUMIF(('Loading-rail'!$B$31:$B$48),$J1974,('Loading-rail'!$D$31:$D$48))*Impacts!$F$15,IF(('Loading-rail'!$C$21)&lt;&gt;"No control",SUMIF(('Loading-rail'!$B$31:$B$48),$J1974,('Loading-rail'!$E$31:$E$48))*Impacts!$F$15,0)),0)</f>
        <v>0</v>
      </c>
      <c r="T1974" s="10">
        <f>IF(Flare!$C$7="",0,(SUMIF(Flare!$B$46:$B$185,$J1974,Flare!$E$46:$E$185)*Impacts!$F$16))</f>
        <v>0</v>
      </c>
      <c r="U1974" s="10">
        <f>IF(VCU!$C$9="",0,(SUMIF(VCU!$B$51:$B$193,$J1974,VCU!$E$51:$E$193)*Impacts!$F$17))</f>
        <v>0</v>
      </c>
      <c r="V1974" s="10">
        <f>IF(CAS!$C$7="",0,(SUMIF(CAS!$B$31:$B$167,$J1974,CAS!$E$31:$E$167)*Impacts!$F$18))</f>
        <v>0</v>
      </c>
      <c r="W1974" s="10">
        <f t="shared" si="71"/>
        <v>0</v>
      </c>
      <c r="AK1974" s="10" t="str">
        <f t="array" ref="AK1974">IFERROR(INDEX(SelectedSpecies,SMALL(IF(SelectedSpecies=AK$1,ROW(SelectedSpecies)),ROW(1975:1975)),2),"")</f>
        <v/>
      </c>
      <c r="BE1974" s="10"/>
      <c r="BI1974" s="10"/>
    </row>
    <row r="1975" spans="1:61" ht="21" customHeight="1" x14ac:dyDescent="0.25">
      <c r="A1975" s="10"/>
      <c r="B1975" s="10"/>
      <c r="E1975" s="10"/>
      <c r="G1975" s="10"/>
      <c r="I1975" s="436" t="s">
        <v>369</v>
      </c>
      <c r="J1975" s="26" t="s">
        <v>368</v>
      </c>
      <c r="K1975" s="10">
        <v>370</v>
      </c>
      <c r="L1975" s="73">
        <f>IF(Tank1!$C$23="No control",(SUMIF(Tank1!$B$32:$B$49,$J1975,Tank1!$C$32:$C$49)*Impacts!$F$8),0)</f>
        <v>0</v>
      </c>
      <c r="M1975" s="10">
        <f>IF(Tank2!$C$23="No control",(SUMIF(Tank2!$B$32:$B$49,$J1975,Tank2!$C$32:$C$49)*Impacts!$F$9),0)</f>
        <v>0</v>
      </c>
      <c r="N1975" s="10">
        <f>IF(Tank3!$C$23="No control",(SUMIF(Tank3!$B$32:$B$49,$J1975,Tank3!$C$32:$C$49)*Impacts!$F$10),0)</f>
        <v>0</v>
      </c>
      <c r="O1975" s="10">
        <f>IF(Tank4!$C$23="No control",(SUMIF(Tank4!$B$32:$B$49,$J1975,Tank4!$C$32:$C$49)*Impacts!$F$11),0)</f>
        <v>0</v>
      </c>
      <c r="P1975" s="10">
        <f>IF(Tank5!$C$23="No control",(SUMIF(Tank5!$B$32:$B$49,$J1975,Tank5!$C$32:$C$49)*Impacts!$F$12),0)</f>
        <v>0</v>
      </c>
      <c r="Q1975" s="10">
        <f>IFERROR(IF(('Loading-drum,tote'!$C$21)="No control",SUMIF(('Loading-drum,tote'!$B$31:$B$48),$J1975,('Loading-drum,tote'!$D$31:$D$48))*Impacts!$F$13,IF(('Loading-drum,tote'!$C$21)&lt;&gt;"No control",SUMIF(('Loading-drum,tote'!$B$31:$B$48),$J1975,('Loading-drum,tote'!$E$31:$E$48))*Impacts!$F$13,0)),0)</f>
        <v>0</v>
      </c>
      <c r="R1975" s="10">
        <f>IFERROR(IF(('Loading-truck'!$C$21)="No control",SUMIF(('Loading-truck'!$B$31:$B$48),$J1975,('Loading-truck'!$D$31:$D$48))*Impacts!$F$14,IF(('Loading-truck'!$C$21)&lt;&gt;"No control",SUMIF(('Loading-truck'!$B$31:$B$48),$J1975,('Loading-truck'!$E$31:$E$48))*Impacts!$F$14,0)),0)</f>
        <v>0</v>
      </c>
      <c r="S1975" s="10">
        <f>IFERROR(IF(('Loading-rail'!$C$21)="No control",SUMIF(('Loading-rail'!$B$31:$B$48),$J1975,('Loading-rail'!$D$31:$D$48))*Impacts!$F$15,IF(('Loading-rail'!$C$21)&lt;&gt;"No control",SUMIF(('Loading-rail'!$B$31:$B$48),$J1975,('Loading-rail'!$E$31:$E$48))*Impacts!$F$15,0)),0)</f>
        <v>0</v>
      </c>
      <c r="T1975" s="10">
        <f>IF(Flare!$C$7="",0,(SUMIF(Flare!$B$46:$B$185,$J1975,Flare!$E$46:$E$185)*Impacts!$F$16))</f>
        <v>0</v>
      </c>
      <c r="U1975" s="10">
        <f>IF(VCU!$C$9="",0,(SUMIF(VCU!$B$51:$B$193,$J1975,VCU!$E$51:$E$193)*Impacts!$F$17))</f>
        <v>0</v>
      </c>
      <c r="V1975" s="10">
        <f>IF(CAS!$C$7="",0,(SUMIF(CAS!$B$31:$B$167,$J1975,CAS!$E$31:$E$167)*Impacts!$F$18))</f>
        <v>0</v>
      </c>
      <c r="W1975" s="10">
        <f t="shared" si="71"/>
        <v>0</v>
      </c>
      <c r="AK1975" s="10" t="str">
        <f t="array" ref="AK1975">IFERROR(INDEX(SelectedSpecies,SMALL(IF(SelectedSpecies=AK$1,ROW(SelectedSpecies)),ROW(1976:1976)),2),"")</f>
        <v/>
      </c>
      <c r="BE1975" s="10"/>
      <c r="BI1975" s="10"/>
    </row>
    <row r="1976" spans="1:61" ht="21" customHeight="1" x14ac:dyDescent="0.25">
      <c r="A1976" s="10"/>
      <c r="B1976" s="10"/>
      <c r="E1976" s="10"/>
      <c r="G1976" s="10"/>
      <c r="I1976" s="436" t="s">
        <v>5023</v>
      </c>
      <c r="J1976" s="26" t="s">
        <v>5022</v>
      </c>
      <c r="K1976" s="10">
        <v>2.4000000000000004</v>
      </c>
      <c r="L1976" s="73">
        <f>IF(Tank1!$C$23="No control",(SUMIF(Tank1!$B$32:$B$49,$J1976,Tank1!$C$32:$C$49)*Impacts!$F$8),0)</f>
        <v>0</v>
      </c>
      <c r="M1976" s="10">
        <f>IF(Tank2!$C$23="No control",(SUMIF(Tank2!$B$32:$B$49,$J1976,Tank2!$C$32:$C$49)*Impacts!$F$9),0)</f>
        <v>0</v>
      </c>
      <c r="N1976" s="10">
        <f>IF(Tank3!$C$23="No control",(SUMIF(Tank3!$B$32:$B$49,$J1976,Tank3!$C$32:$C$49)*Impacts!$F$10),0)</f>
        <v>0</v>
      </c>
      <c r="O1976" s="10">
        <f>IF(Tank4!$C$23="No control",(SUMIF(Tank4!$B$32:$B$49,$J1976,Tank4!$C$32:$C$49)*Impacts!$F$11),0)</f>
        <v>0</v>
      </c>
      <c r="P1976" s="10">
        <f>IF(Tank5!$C$23="No control",(SUMIF(Tank5!$B$32:$B$49,$J1976,Tank5!$C$32:$C$49)*Impacts!$F$12),0)</f>
        <v>0</v>
      </c>
      <c r="Q1976" s="10">
        <f>IFERROR(IF(('Loading-drum,tote'!$C$21)="No control",SUMIF(('Loading-drum,tote'!$B$31:$B$48),$J1976,('Loading-drum,tote'!$D$31:$D$48))*Impacts!$F$13,IF(('Loading-drum,tote'!$C$21)&lt;&gt;"No control",SUMIF(('Loading-drum,tote'!$B$31:$B$48),$J1976,('Loading-drum,tote'!$E$31:$E$48))*Impacts!$F$13,0)),0)</f>
        <v>0</v>
      </c>
      <c r="R1976" s="10">
        <f>IFERROR(IF(('Loading-truck'!$C$21)="No control",SUMIF(('Loading-truck'!$B$31:$B$48),$J1976,('Loading-truck'!$D$31:$D$48))*Impacts!$F$14,IF(('Loading-truck'!$C$21)&lt;&gt;"No control",SUMIF(('Loading-truck'!$B$31:$B$48),$J1976,('Loading-truck'!$E$31:$E$48))*Impacts!$F$14,0)),0)</f>
        <v>0</v>
      </c>
      <c r="S1976" s="10">
        <f>IFERROR(IF(('Loading-rail'!$C$21)="No control",SUMIF(('Loading-rail'!$B$31:$B$48),$J1976,('Loading-rail'!$D$31:$D$48))*Impacts!$F$15,IF(('Loading-rail'!$C$21)&lt;&gt;"No control",SUMIF(('Loading-rail'!$B$31:$B$48),$J1976,('Loading-rail'!$E$31:$E$48))*Impacts!$F$15,0)),0)</f>
        <v>0</v>
      </c>
      <c r="T1976" s="10">
        <f>IF(Flare!$C$7="",0,(SUMIF(Flare!$B$46:$B$185,$J1976,Flare!$E$46:$E$185)*Impacts!$F$16))</f>
        <v>0</v>
      </c>
      <c r="U1976" s="10">
        <f>IF(VCU!$C$9="",0,(SUMIF(VCU!$B$51:$B$193,$J1976,VCU!$E$51:$E$193)*Impacts!$F$17))</f>
        <v>0</v>
      </c>
      <c r="V1976" s="10">
        <f>IF(CAS!$C$7="",0,(SUMIF(CAS!$B$31:$B$167,$J1976,CAS!$E$31:$E$167)*Impacts!$F$18))</f>
        <v>0</v>
      </c>
      <c r="W1976" s="10">
        <f t="shared" si="71"/>
        <v>0</v>
      </c>
      <c r="AK1976" s="10" t="str">
        <f t="array" ref="AK1976">IFERROR(INDEX(SelectedSpecies,SMALL(IF(SelectedSpecies=AK$1,ROW(SelectedSpecies)),ROW(1977:1977)),2),"")</f>
        <v/>
      </c>
      <c r="BE1976" s="10"/>
      <c r="BI1976" s="10"/>
    </row>
    <row r="1977" spans="1:61" ht="21" customHeight="1" x14ac:dyDescent="0.25">
      <c r="A1977" s="10"/>
      <c r="B1977" s="10"/>
      <c r="E1977" s="10"/>
      <c r="G1977" s="10"/>
      <c r="I1977" s="436" t="s">
        <v>4199</v>
      </c>
      <c r="J1977" s="26" t="s">
        <v>4198</v>
      </c>
      <c r="K1977" s="10">
        <v>5</v>
      </c>
      <c r="L1977" s="73">
        <f>IF(Tank1!$C$23="No control",(SUMIF(Tank1!$B$32:$B$49,$J1977,Tank1!$C$32:$C$49)*Impacts!$F$8),0)</f>
        <v>0</v>
      </c>
      <c r="M1977" s="10">
        <f>IF(Tank2!$C$23="No control",(SUMIF(Tank2!$B$32:$B$49,$J1977,Tank2!$C$32:$C$49)*Impacts!$F$9),0)</f>
        <v>0</v>
      </c>
      <c r="N1977" s="10">
        <f>IF(Tank3!$C$23="No control",(SUMIF(Tank3!$B$32:$B$49,$J1977,Tank3!$C$32:$C$49)*Impacts!$F$10),0)</f>
        <v>0</v>
      </c>
      <c r="O1977" s="10">
        <f>IF(Tank4!$C$23="No control",(SUMIF(Tank4!$B$32:$B$49,$J1977,Tank4!$C$32:$C$49)*Impacts!$F$11),0)</f>
        <v>0</v>
      </c>
      <c r="P1977" s="10">
        <f>IF(Tank5!$C$23="No control",(SUMIF(Tank5!$B$32:$B$49,$J1977,Tank5!$C$32:$C$49)*Impacts!$F$12),0)</f>
        <v>0</v>
      </c>
      <c r="Q1977" s="10">
        <f>IFERROR(IF(('Loading-drum,tote'!$C$21)="No control",SUMIF(('Loading-drum,tote'!$B$31:$B$48),$J1977,('Loading-drum,tote'!$D$31:$D$48))*Impacts!$F$13,IF(('Loading-drum,tote'!$C$21)&lt;&gt;"No control",SUMIF(('Loading-drum,tote'!$B$31:$B$48),$J1977,('Loading-drum,tote'!$E$31:$E$48))*Impacts!$F$13,0)),0)</f>
        <v>0</v>
      </c>
      <c r="R1977" s="10">
        <f>IFERROR(IF(('Loading-truck'!$C$21)="No control",SUMIF(('Loading-truck'!$B$31:$B$48),$J1977,('Loading-truck'!$D$31:$D$48))*Impacts!$F$14,IF(('Loading-truck'!$C$21)&lt;&gt;"No control",SUMIF(('Loading-truck'!$B$31:$B$48),$J1977,('Loading-truck'!$E$31:$E$48))*Impacts!$F$14,0)),0)</f>
        <v>0</v>
      </c>
      <c r="S1977" s="10">
        <f>IFERROR(IF(('Loading-rail'!$C$21)="No control",SUMIF(('Loading-rail'!$B$31:$B$48),$J1977,('Loading-rail'!$D$31:$D$48))*Impacts!$F$15,IF(('Loading-rail'!$C$21)&lt;&gt;"No control",SUMIF(('Loading-rail'!$B$31:$B$48),$J1977,('Loading-rail'!$E$31:$E$48))*Impacts!$F$15,0)),0)</f>
        <v>0</v>
      </c>
      <c r="T1977" s="10">
        <f>IF(Flare!$C$7="",0,(SUMIF(Flare!$B$46:$B$185,$J1977,Flare!$E$46:$E$185)*Impacts!$F$16))</f>
        <v>0</v>
      </c>
      <c r="U1977" s="10">
        <f>IF(VCU!$C$9="",0,(SUMIF(VCU!$B$51:$B$193,$J1977,VCU!$E$51:$E$193)*Impacts!$F$17))</f>
        <v>0</v>
      </c>
      <c r="V1977" s="10">
        <f>IF(CAS!$C$7="",0,(SUMIF(CAS!$B$31:$B$167,$J1977,CAS!$E$31:$E$167)*Impacts!$F$18))</f>
        <v>0</v>
      </c>
      <c r="W1977" s="10">
        <f t="shared" si="71"/>
        <v>0</v>
      </c>
      <c r="AK1977" s="10" t="str">
        <f t="array" ref="AK1977">IFERROR(INDEX(SelectedSpecies,SMALL(IF(SelectedSpecies=AK$1,ROW(SelectedSpecies)),ROW(1978:1978)),2),"")</f>
        <v/>
      </c>
      <c r="BE1977" s="10"/>
      <c r="BI1977" s="10"/>
    </row>
    <row r="1978" spans="1:61" ht="21" customHeight="1" x14ac:dyDescent="0.25">
      <c r="A1978" s="10"/>
      <c r="B1978" s="10"/>
      <c r="E1978" s="10"/>
      <c r="G1978" s="10"/>
      <c r="I1978" s="436" t="s">
        <v>2317</v>
      </c>
      <c r="J1978" s="26" t="s">
        <v>2316</v>
      </c>
      <c r="K1978" s="10">
        <v>12</v>
      </c>
      <c r="L1978" s="73">
        <f>IF(Tank1!$C$23="No control",(SUMIF(Tank1!$B$32:$B$49,$J1978,Tank1!$C$32:$C$49)*Impacts!$F$8),0)</f>
        <v>0</v>
      </c>
      <c r="M1978" s="10">
        <f>IF(Tank2!$C$23="No control",(SUMIF(Tank2!$B$32:$B$49,$J1978,Tank2!$C$32:$C$49)*Impacts!$F$9),0)</f>
        <v>0</v>
      </c>
      <c r="N1978" s="10">
        <f>IF(Tank3!$C$23="No control",(SUMIF(Tank3!$B$32:$B$49,$J1978,Tank3!$C$32:$C$49)*Impacts!$F$10),0)</f>
        <v>0</v>
      </c>
      <c r="O1978" s="10">
        <f>IF(Tank4!$C$23="No control",(SUMIF(Tank4!$B$32:$B$49,$J1978,Tank4!$C$32:$C$49)*Impacts!$F$11),0)</f>
        <v>0</v>
      </c>
      <c r="P1978" s="10">
        <f>IF(Tank5!$C$23="No control",(SUMIF(Tank5!$B$32:$B$49,$J1978,Tank5!$C$32:$C$49)*Impacts!$F$12),0)</f>
        <v>0</v>
      </c>
      <c r="Q1978" s="10">
        <f>IFERROR(IF(('Loading-drum,tote'!$C$21)="No control",SUMIF(('Loading-drum,tote'!$B$31:$B$48),$J1978,('Loading-drum,tote'!$D$31:$D$48))*Impacts!$F$13,IF(('Loading-drum,tote'!$C$21)&lt;&gt;"No control",SUMIF(('Loading-drum,tote'!$B$31:$B$48),$J1978,('Loading-drum,tote'!$E$31:$E$48))*Impacts!$F$13,0)),0)</f>
        <v>0</v>
      </c>
      <c r="R1978" s="10">
        <f>IFERROR(IF(('Loading-truck'!$C$21)="No control",SUMIF(('Loading-truck'!$B$31:$B$48),$J1978,('Loading-truck'!$D$31:$D$48))*Impacts!$F$14,IF(('Loading-truck'!$C$21)&lt;&gt;"No control",SUMIF(('Loading-truck'!$B$31:$B$48),$J1978,('Loading-truck'!$E$31:$E$48))*Impacts!$F$14,0)),0)</f>
        <v>0</v>
      </c>
      <c r="S1978" s="10">
        <f>IFERROR(IF(('Loading-rail'!$C$21)="No control",SUMIF(('Loading-rail'!$B$31:$B$48),$J1978,('Loading-rail'!$D$31:$D$48))*Impacts!$F$15,IF(('Loading-rail'!$C$21)&lt;&gt;"No control",SUMIF(('Loading-rail'!$B$31:$B$48),$J1978,('Loading-rail'!$E$31:$E$48))*Impacts!$F$15,0)),0)</f>
        <v>0</v>
      </c>
      <c r="T1978" s="10">
        <f>IF(Flare!$C$7="",0,(SUMIF(Flare!$B$46:$B$185,$J1978,Flare!$E$46:$E$185)*Impacts!$F$16))</f>
        <v>0</v>
      </c>
      <c r="U1978" s="10">
        <f>IF(VCU!$C$9="",0,(SUMIF(VCU!$B$51:$B$193,$J1978,VCU!$E$51:$E$193)*Impacts!$F$17))</f>
        <v>0</v>
      </c>
      <c r="V1978" s="10">
        <f>IF(CAS!$C$7="",0,(SUMIF(CAS!$B$31:$B$167,$J1978,CAS!$E$31:$E$167)*Impacts!$F$18))</f>
        <v>0</v>
      </c>
      <c r="W1978" s="10">
        <f t="shared" si="71"/>
        <v>0</v>
      </c>
      <c r="AK1978" s="10" t="str">
        <f t="array" ref="AK1978">IFERROR(INDEX(SelectedSpecies,SMALL(IF(SelectedSpecies=AK$1,ROW(SelectedSpecies)),ROW(1979:1979)),2),"")</f>
        <v/>
      </c>
      <c r="BE1978" s="10"/>
      <c r="BI1978" s="10"/>
    </row>
    <row r="1979" spans="1:61" ht="21" customHeight="1" x14ac:dyDescent="0.25">
      <c r="A1979" s="10"/>
      <c r="B1979" s="10"/>
      <c r="E1979" s="10"/>
      <c r="G1979" s="10"/>
      <c r="I1979" s="436" t="s">
        <v>708</v>
      </c>
      <c r="J1979" s="26" t="s">
        <v>707</v>
      </c>
      <c r="K1979" s="10">
        <v>17</v>
      </c>
      <c r="L1979" s="73">
        <f>IF(Tank1!$C$23="No control",(SUMIF(Tank1!$B$32:$B$49,$J1979,Tank1!$C$32:$C$49)*Impacts!$F$8),0)</f>
        <v>0</v>
      </c>
      <c r="M1979" s="10">
        <f>IF(Tank2!$C$23="No control",(SUMIF(Tank2!$B$32:$B$49,$J1979,Tank2!$C$32:$C$49)*Impacts!$F$9),0)</f>
        <v>0</v>
      </c>
      <c r="N1979" s="10">
        <f>IF(Tank3!$C$23="No control",(SUMIF(Tank3!$B$32:$B$49,$J1979,Tank3!$C$32:$C$49)*Impacts!$F$10),0)</f>
        <v>0</v>
      </c>
      <c r="O1979" s="10">
        <f>IF(Tank4!$C$23="No control",(SUMIF(Tank4!$B$32:$B$49,$J1979,Tank4!$C$32:$C$49)*Impacts!$F$11),0)</f>
        <v>0</v>
      </c>
      <c r="P1979" s="10">
        <f>IF(Tank5!$C$23="No control",(SUMIF(Tank5!$B$32:$B$49,$J1979,Tank5!$C$32:$C$49)*Impacts!$F$12),0)</f>
        <v>0</v>
      </c>
      <c r="Q1979" s="10">
        <f>IFERROR(IF(('Loading-drum,tote'!$C$21)="No control",SUMIF(('Loading-drum,tote'!$B$31:$B$48),$J1979,('Loading-drum,tote'!$D$31:$D$48))*Impacts!$F$13,IF(('Loading-drum,tote'!$C$21)&lt;&gt;"No control",SUMIF(('Loading-drum,tote'!$B$31:$B$48),$J1979,('Loading-drum,tote'!$E$31:$E$48))*Impacts!$F$13,0)),0)</f>
        <v>0</v>
      </c>
      <c r="R1979" s="10">
        <f>IFERROR(IF(('Loading-truck'!$C$21)="No control",SUMIF(('Loading-truck'!$B$31:$B$48),$J1979,('Loading-truck'!$D$31:$D$48))*Impacts!$F$14,IF(('Loading-truck'!$C$21)&lt;&gt;"No control",SUMIF(('Loading-truck'!$B$31:$B$48),$J1979,('Loading-truck'!$E$31:$E$48))*Impacts!$F$14,0)),0)</f>
        <v>0</v>
      </c>
      <c r="S1979" s="10">
        <f>IFERROR(IF(('Loading-rail'!$C$21)="No control",SUMIF(('Loading-rail'!$B$31:$B$48),$J1979,('Loading-rail'!$D$31:$D$48))*Impacts!$F$15,IF(('Loading-rail'!$C$21)&lt;&gt;"No control",SUMIF(('Loading-rail'!$B$31:$B$48),$J1979,('Loading-rail'!$E$31:$E$48))*Impacts!$F$15,0)),0)</f>
        <v>0</v>
      </c>
      <c r="T1979" s="10">
        <f>IF(Flare!$C$7="",0,(SUMIF(Flare!$B$46:$B$185,$J1979,Flare!$E$46:$E$185)*Impacts!$F$16))</f>
        <v>0</v>
      </c>
      <c r="U1979" s="10">
        <f>IF(VCU!$C$9="",0,(SUMIF(VCU!$B$51:$B$193,$J1979,VCU!$E$51:$E$193)*Impacts!$F$17))</f>
        <v>0</v>
      </c>
      <c r="V1979" s="10">
        <f>IF(CAS!$C$7="",0,(SUMIF(CAS!$B$31:$B$167,$J1979,CAS!$E$31:$E$167)*Impacts!$F$18))</f>
        <v>0</v>
      </c>
      <c r="W1979" s="10">
        <f t="shared" si="71"/>
        <v>0</v>
      </c>
      <c r="AK1979" s="10" t="str">
        <f t="array" ref="AK1979">IFERROR(INDEX(SelectedSpecies,SMALL(IF(SelectedSpecies=AK$1,ROW(SelectedSpecies)),ROW(1980:1980)),2),"")</f>
        <v/>
      </c>
      <c r="BE1979" s="10"/>
      <c r="BI1979" s="10"/>
    </row>
    <row r="1980" spans="1:61" ht="21" customHeight="1" x14ac:dyDescent="0.25">
      <c r="A1980" s="10"/>
      <c r="B1980" s="10"/>
      <c r="E1980" s="10"/>
      <c r="G1980" s="10"/>
      <c r="I1980" s="436" t="s">
        <v>1422</v>
      </c>
      <c r="J1980" s="26" t="s">
        <v>1421</v>
      </c>
      <c r="K1980" s="10">
        <v>30.3</v>
      </c>
      <c r="L1980" s="73">
        <f>IF(Tank1!$C$23="No control",(SUMIF(Tank1!$B$32:$B$49,$J1980,Tank1!$C$32:$C$49)*Impacts!$F$8),0)</f>
        <v>0</v>
      </c>
      <c r="M1980" s="10">
        <f>IF(Tank2!$C$23="No control",(SUMIF(Tank2!$B$32:$B$49,$J1980,Tank2!$C$32:$C$49)*Impacts!$F$9),0)</f>
        <v>0</v>
      </c>
      <c r="N1980" s="10">
        <f>IF(Tank3!$C$23="No control",(SUMIF(Tank3!$B$32:$B$49,$J1980,Tank3!$C$32:$C$49)*Impacts!$F$10),0)</f>
        <v>0</v>
      </c>
      <c r="O1980" s="10">
        <f>IF(Tank4!$C$23="No control",(SUMIF(Tank4!$B$32:$B$49,$J1980,Tank4!$C$32:$C$49)*Impacts!$F$11),0)</f>
        <v>0</v>
      </c>
      <c r="P1980" s="10">
        <f>IF(Tank5!$C$23="No control",(SUMIF(Tank5!$B$32:$B$49,$J1980,Tank5!$C$32:$C$49)*Impacts!$F$12),0)</f>
        <v>0</v>
      </c>
      <c r="Q1980" s="10">
        <f>IFERROR(IF(('Loading-drum,tote'!$C$21)="No control",SUMIF(('Loading-drum,tote'!$B$31:$B$48),$J1980,('Loading-drum,tote'!$D$31:$D$48))*Impacts!$F$13,IF(('Loading-drum,tote'!$C$21)&lt;&gt;"No control",SUMIF(('Loading-drum,tote'!$B$31:$B$48),$J1980,('Loading-drum,tote'!$E$31:$E$48))*Impacts!$F$13,0)),0)</f>
        <v>0</v>
      </c>
      <c r="R1980" s="10">
        <f>IFERROR(IF(('Loading-truck'!$C$21)="No control",SUMIF(('Loading-truck'!$B$31:$B$48),$J1980,('Loading-truck'!$D$31:$D$48))*Impacts!$F$14,IF(('Loading-truck'!$C$21)&lt;&gt;"No control",SUMIF(('Loading-truck'!$B$31:$B$48),$J1980,('Loading-truck'!$E$31:$E$48))*Impacts!$F$14,0)),0)</f>
        <v>0</v>
      </c>
      <c r="S1980" s="10">
        <f>IFERROR(IF(('Loading-rail'!$C$21)="No control",SUMIF(('Loading-rail'!$B$31:$B$48),$J1980,('Loading-rail'!$D$31:$D$48))*Impacts!$F$15,IF(('Loading-rail'!$C$21)&lt;&gt;"No control",SUMIF(('Loading-rail'!$B$31:$B$48),$J1980,('Loading-rail'!$E$31:$E$48))*Impacts!$F$15,0)),0)</f>
        <v>0</v>
      </c>
      <c r="T1980" s="10">
        <f>IF(Flare!$C$7="",0,(SUMIF(Flare!$B$46:$B$185,$J1980,Flare!$E$46:$E$185)*Impacts!$F$16))</f>
        <v>0</v>
      </c>
      <c r="U1980" s="10">
        <f>IF(VCU!$C$9="",0,(SUMIF(VCU!$B$51:$B$193,$J1980,VCU!$E$51:$E$193)*Impacts!$F$17))</f>
        <v>0</v>
      </c>
      <c r="V1980" s="10">
        <f>IF(CAS!$C$7="",0,(SUMIF(CAS!$B$31:$B$167,$J1980,CAS!$E$31:$E$167)*Impacts!$F$18))</f>
        <v>0</v>
      </c>
      <c r="W1980" s="10">
        <f t="shared" si="71"/>
        <v>0</v>
      </c>
      <c r="AK1980" s="10" t="str">
        <f t="array" ref="AK1980">IFERROR(INDEX(SelectedSpecies,SMALL(IF(SelectedSpecies=AK$1,ROW(SelectedSpecies)),ROW(1981:1981)),2),"")</f>
        <v/>
      </c>
      <c r="BE1980" s="10"/>
      <c r="BI1980" s="10"/>
    </row>
    <row r="1981" spans="1:61" ht="21" customHeight="1" x14ac:dyDescent="0.25">
      <c r="A1981" s="10"/>
      <c r="B1981" s="10"/>
      <c r="E1981" s="10"/>
      <c r="G1981" s="10"/>
      <c r="I1981" s="436" t="s">
        <v>4881</v>
      </c>
      <c r="J1981" s="26" t="s">
        <v>4880</v>
      </c>
      <c r="K1981" s="10">
        <v>2.7</v>
      </c>
      <c r="L1981" s="73">
        <f>IF(Tank1!$C$23="No control",(SUMIF(Tank1!$B$32:$B$49,$J1981,Tank1!$C$32:$C$49)*Impacts!$F$8),0)</f>
        <v>0</v>
      </c>
      <c r="M1981" s="10">
        <f>IF(Tank2!$C$23="No control",(SUMIF(Tank2!$B$32:$B$49,$J1981,Tank2!$C$32:$C$49)*Impacts!$F$9),0)</f>
        <v>0</v>
      </c>
      <c r="N1981" s="10">
        <f>IF(Tank3!$C$23="No control",(SUMIF(Tank3!$B$32:$B$49,$J1981,Tank3!$C$32:$C$49)*Impacts!$F$10),0)</f>
        <v>0</v>
      </c>
      <c r="O1981" s="10">
        <f>IF(Tank4!$C$23="No control",(SUMIF(Tank4!$B$32:$B$49,$J1981,Tank4!$C$32:$C$49)*Impacts!$F$11),0)</f>
        <v>0</v>
      </c>
      <c r="P1981" s="10">
        <f>IF(Tank5!$C$23="No control",(SUMIF(Tank5!$B$32:$B$49,$J1981,Tank5!$C$32:$C$49)*Impacts!$F$12),0)</f>
        <v>0</v>
      </c>
      <c r="Q1981" s="10">
        <f>IFERROR(IF(('Loading-drum,tote'!$C$21)="No control",SUMIF(('Loading-drum,tote'!$B$31:$B$48),$J1981,('Loading-drum,tote'!$D$31:$D$48))*Impacts!$F$13,IF(('Loading-drum,tote'!$C$21)&lt;&gt;"No control",SUMIF(('Loading-drum,tote'!$B$31:$B$48),$J1981,('Loading-drum,tote'!$E$31:$E$48))*Impacts!$F$13,0)),0)</f>
        <v>0</v>
      </c>
      <c r="R1981" s="10">
        <f>IFERROR(IF(('Loading-truck'!$C$21)="No control",SUMIF(('Loading-truck'!$B$31:$B$48),$J1981,('Loading-truck'!$D$31:$D$48))*Impacts!$F$14,IF(('Loading-truck'!$C$21)&lt;&gt;"No control",SUMIF(('Loading-truck'!$B$31:$B$48),$J1981,('Loading-truck'!$E$31:$E$48))*Impacts!$F$14,0)),0)</f>
        <v>0</v>
      </c>
      <c r="S1981" s="10">
        <f>IFERROR(IF(('Loading-rail'!$C$21)="No control",SUMIF(('Loading-rail'!$B$31:$B$48),$J1981,('Loading-rail'!$D$31:$D$48))*Impacts!$F$15,IF(('Loading-rail'!$C$21)&lt;&gt;"No control",SUMIF(('Loading-rail'!$B$31:$B$48),$J1981,('Loading-rail'!$E$31:$E$48))*Impacts!$F$15,0)),0)</f>
        <v>0</v>
      </c>
      <c r="T1981" s="10">
        <f>IF(Flare!$C$7="",0,(SUMIF(Flare!$B$46:$B$185,$J1981,Flare!$E$46:$E$185)*Impacts!$F$16))</f>
        <v>0</v>
      </c>
      <c r="U1981" s="10">
        <f>IF(VCU!$C$9="",0,(SUMIF(VCU!$B$51:$B$193,$J1981,VCU!$E$51:$E$193)*Impacts!$F$17))</f>
        <v>0</v>
      </c>
      <c r="V1981" s="10">
        <f>IF(CAS!$C$7="",0,(SUMIF(CAS!$B$31:$B$167,$J1981,CAS!$E$31:$E$167)*Impacts!$F$18))</f>
        <v>0</v>
      </c>
      <c r="W1981" s="10">
        <f t="shared" si="71"/>
        <v>0</v>
      </c>
      <c r="AK1981" s="10" t="str">
        <f t="array" ref="AK1981">IFERROR(INDEX(SelectedSpecies,SMALL(IF(SelectedSpecies=AK$1,ROW(SelectedSpecies)),ROW(1982:1982)),2),"")</f>
        <v/>
      </c>
      <c r="BE1981" s="10"/>
      <c r="BI1981" s="10"/>
    </row>
    <row r="1982" spans="1:61" ht="21" customHeight="1" x14ac:dyDescent="0.25">
      <c r="A1982" s="10"/>
      <c r="B1982" s="10"/>
      <c r="E1982" s="10"/>
      <c r="G1982" s="10"/>
      <c r="I1982" s="436" t="s">
        <v>5944</v>
      </c>
      <c r="J1982" s="26" t="s">
        <v>5943</v>
      </c>
      <c r="K1982" s="10">
        <v>1</v>
      </c>
      <c r="L1982" s="73">
        <f>IF(Tank1!$C$23="No control",(SUMIF(Tank1!$B$32:$B$49,$J1982,Tank1!$C$32:$C$49)*Impacts!$F$8),0)</f>
        <v>0</v>
      </c>
      <c r="M1982" s="10">
        <f>IF(Tank2!$C$23="No control",(SUMIF(Tank2!$B$32:$B$49,$J1982,Tank2!$C$32:$C$49)*Impacts!$F$9),0)</f>
        <v>0</v>
      </c>
      <c r="N1982" s="10">
        <f>IF(Tank3!$C$23="No control",(SUMIF(Tank3!$B$32:$B$49,$J1982,Tank3!$C$32:$C$49)*Impacts!$F$10),0)</f>
        <v>0</v>
      </c>
      <c r="O1982" s="10">
        <f>IF(Tank4!$C$23="No control",(SUMIF(Tank4!$B$32:$B$49,$J1982,Tank4!$C$32:$C$49)*Impacts!$F$11),0)</f>
        <v>0</v>
      </c>
      <c r="P1982" s="10">
        <f>IF(Tank5!$C$23="No control",(SUMIF(Tank5!$B$32:$B$49,$J1982,Tank5!$C$32:$C$49)*Impacts!$F$12),0)</f>
        <v>0</v>
      </c>
      <c r="Q1982" s="10">
        <f>IFERROR(IF(('Loading-drum,tote'!$C$21)="No control",SUMIF(('Loading-drum,tote'!$B$31:$B$48),$J1982,('Loading-drum,tote'!$D$31:$D$48))*Impacts!$F$13,IF(('Loading-drum,tote'!$C$21)&lt;&gt;"No control",SUMIF(('Loading-drum,tote'!$B$31:$B$48),$J1982,('Loading-drum,tote'!$E$31:$E$48))*Impacts!$F$13,0)),0)</f>
        <v>0</v>
      </c>
      <c r="R1982" s="10">
        <f>IFERROR(IF(('Loading-truck'!$C$21)="No control",SUMIF(('Loading-truck'!$B$31:$B$48),$J1982,('Loading-truck'!$D$31:$D$48))*Impacts!$F$14,IF(('Loading-truck'!$C$21)&lt;&gt;"No control",SUMIF(('Loading-truck'!$B$31:$B$48),$J1982,('Loading-truck'!$E$31:$E$48))*Impacts!$F$14,0)),0)</f>
        <v>0</v>
      </c>
      <c r="S1982" s="10">
        <f>IFERROR(IF(('Loading-rail'!$C$21)="No control",SUMIF(('Loading-rail'!$B$31:$B$48),$J1982,('Loading-rail'!$D$31:$D$48))*Impacts!$F$15,IF(('Loading-rail'!$C$21)&lt;&gt;"No control",SUMIF(('Loading-rail'!$B$31:$B$48),$J1982,('Loading-rail'!$E$31:$E$48))*Impacts!$F$15,0)),0)</f>
        <v>0</v>
      </c>
      <c r="T1982" s="10">
        <f>IF(Flare!$C$7="",0,(SUMIF(Flare!$B$46:$B$185,$J1982,Flare!$E$46:$E$185)*Impacts!$F$16))</f>
        <v>0</v>
      </c>
      <c r="U1982" s="10">
        <f>IF(VCU!$C$9="",0,(SUMIF(VCU!$B$51:$B$193,$J1982,VCU!$E$51:$E$193)*Impacts!$F$17))</f>
        <v>0</v>
      </c>
      <c r="V1982" s="10">
        <f>IF(CAS!$C$7="",0,(SUMIF(CAS!$B$31:$B$167,$J1982,CAS!$E$31:$E$167)*Impacts!$F$18))</f>
        <v>0</v>
      </c>
      <c r="W1982" s="10">
        <f t="shared" si="71"/>
        <v>0</v>
      </c>
      <c r="AK1982" s="10" t="str">
        <f t="array" ref="AK1982">IFERROR(INDEX(SelectedSpecies,SMALL(IF(SelectedSpecies=AK$1,ROW(SelectedSpecies)),ROW(1983:1983)),2),"")</f>
        <v/>
      </c>
      <c r="BE1982" s="10"/>
      <c r="BI1982" s="10"/>
    </row>
    <row r="1983" spans="1:61" ht="21" customHeight="1" x14ac:dyDescent="0.25">
      <c r="A1983" s="10"/>
      <c r="B1983" s="10"/>
      <c r="E1983" s="10"/>
      <c r="G1983" s="10"/>
      <c r="I1983" s="436" t="s">
        <v>5946</v>
      </c>
      <c r="J1983" s="26" t="s">
        <v>5945</v>
      </c>
      <c r="K1983" s="10">
        <v>1</v>
      </c>
      <c r="L1983" s="73">
        <f>IF(Tank1!$C$23="No control",(SUMIF(Tank1!$B$32:$B$49,$J1983,Tank1!$C$32:$C$49)*Impacts!$F$8),0)</f>
        <v>0</v>
      </c>
      <c r="M1983" s="10">
        <f>IF(Tank2!$C$23="No control",(SUMIF(Tank2!$B$32:$B$49,$J1983,Tank2!$C$32:$C$49)*Impacts!$F$9),0)</f>
        <v>0</v>
      </c>
      <c r="N1983" s="10">
        <f>IF(Tank3!$C$23="No control",(SUMIF(Tank3!$B$32:$B$49,$J1983,Tank3!$C$32:$C$49)*Impacts!$F$10),0)</f>
        <v>0</v>
      </c>
      <c r="O1983" s="10">
        <f>IF(Tank4!$C$23="No control",(SUMIF(Tank4!$B$32:$B$49,$J1983,Tank4!$C$32:$C$49)*Impacts!$F$11),0)</f>
        <v>0</v>
      </c>
      <c r="P1983" s="10">
        <f>IF(Tank5!$C$23="No control",(SUMIF(Tank5!$B$32:$B$49,$J1983,Tank5!$C$32:$C$49)*Impacts!$F$12),0)</f>
        <v>0</v>
      </c>
      <c r="Q1983" s="10">
        <f>IFERROR(IF(('Loading-drum,tote'!$C$21)="No control",SUMIF(('Loading-drum,tote'!$B$31:$B$48),$J1983,('Loading-drum,tote'!$D$31:$D$48))*Impacts!$F$13,IF(('Loading-drum,tote'!$C$21)&lt;&gt;"No control",SUMIF(('Loading-drum,tote'!$B$31:$B$48),$J1983,('Loading-drum,tote'!$E$31:$E$48))*Impacts!$F$13,0)),0)</f>
        <v>0</v>
      </c>
      <c r="R1983" s="10">
        <f>IFERROR(IF(('Loading-truck'!$C$21)="No control",SUMIF(('Loading-truck'!$B$31:$B$48),$J1983,('Loading-truck'!$D$31:$D$48))*Impacts!$F$14,IF(('Loading-truck'!$C$21)&lt;&gt;"No control",SUMIF(('Loading-truck'!$B$31:$B$48),$J1983,('Loading-truck'!$E$31:$E$48))*Impacts!$F$14,0)),0)</f>
        <v>0</v>
      </c>
      <c r="S1983" s="10">
        <f>IFERROR(IF(('Loading-rail'!$C$21)="No control",SUMIF(('Loading-rail'!$B$31:$B$48),$J1983,('Loading-rail'!$D$31:$D$48))*Impacts!$F$15,IF(('Loading-rail'!$C$21)&lt;&gt;"No control",SUMIF(('Loading-rail'!$B$31:$B$48),$J1983,('Loading-rail'!$E$31:$E$48))*Impacts!$F$15,0)),0)</f>
        <v>0</v>
      </c>
      <c r="T1983" s="10">
        <f>IF(Flare!$C$7="",0,(SUMIF(Flare!$B$46:$B$185,$J1983,Flare!$E$46:$E$185)*Impacts!$F$16))</f>
        <v>0</v>
      </c>
      <c r="U1983" s="10">
        <f>IF(VCU!$C$9="",0,(SUMIF(VCU!$B$51:$B$193,$J1983,VCU!$E$51:$E$193)*Impacts!$F$17))</f>
        <v>0</v>
      </c>
      <c r="V1983" s="10">
        <f>IF(CAS!$C$7="",0,(SUMIF(CAS!$B$31:$B$167,$J1983,CAS!$E$31:$E$167)*Impacts!$F$18))</f>
        <v>0</v>
      </c>
      <c r="W1983" s="10">
        <f t="shared" si="71"/>
        <v>0</v>
      </c>
      <c r="AK1983" s="10" t="str">
        <f t="array" ref="AK1983">IFERROR(INDEX(SelectedSpecies,SMALL(IF(SelectedSpecies=AK$1,ROW(SelectedSpecies)),ROW(1984:1984)),2),"")</f>
        <v/>
      </c>
      <c r="BE1983" s="10"/>
      <c r="BI1983" s="10"/>
    </row>
    <row r="1984" spans="1:61" ht="21" customHeight="1" x14ac:dyDescent="0.25">
      <c r="A1984" s="10"/>
      <c r="B1984" s="10"/>
      <c r="E1984" s="10"/>
      <c r="G1984" s="10"/>
      <c r="I1984" s="436" t="s">
        <v>1056</v>
      </c>
      <c r="J1984" s="26" t="s">
        <v>1055</v>
      </c>
      <c r="K1984" s="10">
        <v>35</v>
      </c>
      <c r="L1984" s="73">
        <f>IF(Tank1!$C$23="No control",(SUMIF(Tank1!$B$32:$B$49,$J1984,Tank1!$C$32:$C$49)*Impacts!$F$8),0)</f>
        <v>0</v>
      </c>
      <c r="M1984" s="10">
        <f>IF(Tank2!$C$23="No control",(SUMIF(Tank2!$B$32:$B$49,$J1984,Tank2!$C$32:$C$49)*Impacts!$F$9),0)</f>
        <v>0</v>
      </c>
      <c r="N1984" s="10">
        <f>IF(Tank3!$C$23="No control",(SUMIF(Tank3!$B$32:$B$49,$J1984,Tank3!$C$32:$C$49)*Impacts!$F$10),0)</f>
        <v>0</v>
      </c>
      <c r="O1984" s="10">
        <f>IF(Tank4!$C$23="No control",(SUMIF(Tank4!$B$32:$B$49,$J1984,Tank4!$C$32:$C$49)*Impacts!$F$11),0)</f>
        <v>0</v>
      </c>
      <c r="P1984" s="10">
        <f>IF(Tank5!$C$23="No control",(SUMIF(Tank5!$B$32:$B$49,$J1984,Tank5!$C$32:$C$49)*Impacts!$F$12),0)</f>
        <v>0</v>
      </c>
      <c r="Q1984" s="10">
        <f>IFERROR(IF(('Loading-drum,tote'!$C$21)="No control",SUMIF(('Loading-drum,tote'!$B$31:$B$48),$J1984,('Loading-drum,tote'!$D$31:$D$48))*Impacts!$F$13,IF(('Loading-drum,tote'!$C$21)&lt;&gt;"No control",SUMIF(('Loading-drum,tote'!$B$31:$B$48),$J1984,('Loading-drum,tote'!$E$31:$E$48))*Impacts!$F$13,0)),0)</f>
        <v>0</v>
      </c>
      <c r="R1984" s="10">
        <f>IFERROR(IF(('Loading-truck'!$C$21)="No control",SUMIF(('Loading-truck'!$B$31:$B$48),$J1984,('Loading-truck'!$D$31:$D$48))*Impacts!$F$14,IF(('Loading-truck'!$C$21)&lt;&gt;"No control",SUMIF(('Loading-truck'!$B$31:$B$48),$J1984,('Loading-truck'!$E$31:$E$48))*Impacts!$F$14,0)),0)</f>
        <v>0</v>
      </c>
      <c r="S1984" s="10">
        <f>IFERROR(IF(('Loading-rail'!$C$21)="No control",SUMIF(('Loading-rail'!$B$31:$B$48),$J1984,('Loading-rail'!$D$31:$D$48))*Impacts!$F$15,IF(('Loading-rail'!$C$21)&lt;&gt;"No control",SUMIF(('Loading-rail'!$B$31:$B$48),$J1984,('Loading-rail'!$E$31:$E$48))*Impacts!$F$15,0)),0)</f>
        <v>0</v>
      </c>
      <c r="T1984" s="10">
        <f>IF(Flare!$C$7="",0,(SUMIF(Flare!$B$46:$B$185,$J1984,Flare!$E$46:$E$185)*Impacts!$F$16))</f>
        <v>0</v>
      </c>
      <c r="U1984" s="10">
        <f>IF(VCU!$C$9="",0,(SUMIF(VCU!$B$51:$B$193,$J1984,VCU!$E$51:$E$193)*Impacts!$F$17))</f>
        <v>0</v>
      </c>
      <c r="V1984" s="10">
        <f>IF(CAS!$C$7="",0,(SUMIF(CAS!$B$31:$B$167,$J1984,CAS!$E$31:$E$167)*Impacts!$F$18))</f>
        <v>0</v>
      </c>
      <c r="W1984" s="10">
        <f t="shared" si="71"/>
        <v>0</v>
      </c>
      <c r="AK1984" s="10" t="str">
        <f t="array" ref="AK1984">IFERROR(INDEX(SelectedSpecies,SMALL(IF(SelectedSpecies=AK$1,ROW(SelectedSpecies)),ROW(1985:1985)),2),"")</f>
        <v/>
      </c>
      <c r="BE1984" s="10"/>
      <c r="BI1984" s="10"/>
    </row>
    <row r="1985" spans="1:61" ht="21" customHeight="1" x14ac:dyDescent="0.25">
      <c r="A1985" s="10"/>
      <c r="B1985" s="10"/>
      <c r="E1985" s="10"/>
      <c r="G1985" s="10"/>
      <c r="I1985" s="436" t="s">
        <v>1058</v>
      </c>
      <c r="J1985" s="26" t="s">
        <v>1057</v>
      </c>
      <c r="K1985" s="10">
        <v>35</v>
      </c>
      <c r="L1985" s="73">
        <f>IF(Tank1!$C$23="No control",(SUMIF(Tank1!$B$32:$B$49,$J1985,Tank1!$C$32:$C$49)*Impacts!$F$8),0)</f>
        <v>0</v>
      </c>
      <c r="M1985" s="10">
        <f>IF(Tank2!$C$23="No control",(SUMIF(Tank2!$B$32:$B$49,$J1985,Tank2!$C$32:$C$49)*Impacts!$F$9),0)</f>
        <v>0</v>
      </c>
      <c r="N1985" s="10">
        <f>IF(Tank3!$C$23="No control",(SUMIF(Tank3!$B$32:$B$49,$J1985,Tank3!$C$32:$C$49)*Impacts!$F$10),0)</f>
        <v>0</v>
      </c>
      <c r="O1985" s="10">
        <f>IF(Tank4!$C$23="No control",(SUMIF(Tank4!$B$32:$B$49,$J1985,Tank4!$C$32:$C$49)*Impacts!$F$11),0)</f>
        <v>0</v>
      </c>
      <c r="P1985" s="10">
        <f>IF(Tank5!$C$23="No control",(SUMIF(Tank5!$B$32:$B$49,$J1985,Tank5!$C$32:$C$49)*Impacts!$F$12),0)</f>
        <v>0</v>
      </c>
      <c r="Q1985" s="10">
        <f>IFERROR(IF(('Loading-drum,tote'!$C$21)="No control",SUMIF(('Loading-drum,tote'!$B$31:$B$48),$J1985,('Loading-drum,tote'!$D$31:$D$48))*Impacts!$F$13,IF(('Loading-drum,tote'!$C$21)&lt;&gt;"No control",SUMIF(('Loading-drum,tote'!$B$31:$B$48),$J1985,('Loading-drum,tote'!$E$31:$E$48))*Impacts!$F$13,0)),0)</f>
        <v>0</v>
      </c>
      <c r="R1985" s="10">
        <f>IFERROR(IF(('Loading-truck'!$C$21)="No control",SUMIF(('Loading-truck'!$B$31:$B$48),$J1985,('Loading-truck'!$D$31:$D$48))*Impacts!$F$14,IF(('Loading-truck'!$C$21)&lt;&gt;"No control",SUMIF(('Loading-truck'!$B$31:$B$48),$J1985,('Loading-truck'!$E$31:$E$48))*Impacts!$F$14,0)),0)</f>
        <v>0</v>
      </c>
      <c r="S1985" s="10">
        <f>IFERROR(IF(('Loading-rail'!$C$21)="No control",SUMIF(('Loading-rail'!$B$31:$B$48),$J1985,('Loading-rail'!$D$31:$D$48))*Impacts!$F$15,IF(('Loading-rail'!$C$21)&lt;&gt;"No control",SUMIF(('Loading-rail'!$B$31:$B$48),$J1985,('Loading-rail'!$E$31:$E$48))*Impacts!$F$15,0)),0)</f>
        <v>0</v>
      </c>
      <c r="T1985" s="10">
        <f>IF(Flare!$C$7="",0,(SUMIF(Flare!$B$46:$B$185,$J1985,Flare!$E$46:$E$185)*Impacts!$F$16))</f>
        <v>0</v>
      </c>
      <c r="U1985" s="10">
        <f>IF(VCU!$C$9="",0,(SUMIF(VCU!$B$51:$B$193,$J1985,VCU!$E$51:$E$193)*Impacts!$F$17))</f>
        <v>0</v>
      </c>
      <c r="V1985" s="10">
        <f>IF(CAS!$C$7="",0,(SUMIF(CAS!$B$31:$B$167,$J1985,CAS!$E$31:$E$167)*Impacts!$F$18))</f>
        <v>0</v>
      </c>
      <c r="W1985" s="10">
        <f t="shared" si="71"/>
        <v>0</v>
      </c>
      <c r="AK1985" s="10" t="str">
        <f t="array" ref="AK1985">IFERROR(INDEX(SelectedSpecies,SMALL(IF(SelectedSpecies=AK$1,ROW(SelectedSpecies)),ROW(1986:1986)),2),"")</f>
        <v/>
      </c>
      <c r="BE1985" s="10"/>
      <c r="BI1985" s="10"/>
    </row>
    <row r="1986" spans="1:61" ht="21" customHeight="1" x14ac:dyDescent="0.25">
      <c r="A1986" s="10"/>
      <c r="B1986" s="10"/>
      <c r="E1986" s="10"/>
      <c r="G1986" s="10"/>
      <c r="I1986" s="436" t="s">
        <v>5948</v>
      </c>
      <c r="J1986" s="26" t="s">
        <v>5947</v>
      </c>
      <c r="K1986" s="10">
        <v>1</v>
      </c>
      <c r="L1986" s="73">
        <f>IF(Tank1!$C$23="No control",(SUMIF(Tank1!$B$32:$B$49,$J1986,Tank1!$C$32:$C$49)*Impacts!$F$8),0)</f>
        <v>0</v>
      </c>
      <c r="M1986" s="10">
        <f>IF(Tank2!$C$23="No control",(SUMIF(Tank2!$B$32:$B$49,$J1986,Tank2!$C$32:$C$49)*Impacts!$F$9),0)</f>
        <v>0</v>
      </c>
      <c r="N1986" s="10">
        <f>IF(Tank3!$C$23="No control",(SUMIF(Tank3!$B$32:$B$49,$J1986,Tank3!$C$32:$C$49)*Impacts!$F$10),0)</f>
        <v>0</v>
      </c>
      <c r="O1986" s="10">
        <f>IF(Tank4!$C$23="No control",(SUMIF(Tank4!$B$32:$B$49,$J1986,Tank4!$C$32:$C$49)*Impacts!$F$11),0)</f>
        <v>0</v>
      </c>
      <c r="P1986" s="10">
        <f>IF(Tank5!$C$23="No control",(SUMIF(Tank5!$B$32:$B$49,$J1986,Tank5!$C$32:$C$49)*Impacts!$F$12),0)</f>
        <v>0</v>
      </c>
      <c r="Q1986" s="10">
        <f>IFERROR(IF(('Loading-drum,tote'!$C$21)="No control",SUMIF(('Loading-drum,tote'!$B$31:$B$48),$J1986,('Loading-drum,tote'!$D$31:$D$48))*Impacts!$F$13,IF(('Loading-drum,tote'!$C$21)&lt;&gt;"No control",SUMIF(('Loading-drum,tote'!$B$31:$B$48),$J1986,('Loading-drum,tote'!$E$31:$E$48))*Impacts!$F$13,0)),0)</f>
        <v>0</v>
      </c>
      <c r="R1986" s="10">
        <f>IFERROR(IF(('Loading-truck'!$C$21)="No control",SUMIF(('Loading-truck'!$B$31:$B$48),$J1986,('Loading-truck'!$D$31:$D$48))*Impacts!$F$14,IF(('Loading-truck'!$C$21)&lt;&gt;"No control",SUMIF(('Loading-truck'!$B$31:$B$48),$J1986,('Loading-truck'!$E$31:$E$48))*Impacts!$F$14,0)),0)</f>
        <v>0</v>
      </c>
      <c r="S1986" s="10">
        <f>IFERROR(IF(('Loading-rail'!$C$21)="No control",SUMIF(('Loading-rail'!$B$31:$B$48),$J1986,('Loading-rail'!$D$31:$D$48))*Impacts!$F$15,IF(('Loading-rail'!$C$21)&lt;&gt;"No control",SUMIF(('Loading-rail'!$B$31:$B$48),$J1986,('Loading-rail'!$E$31:$E$48))*Impacts!$F$15,0)),0)</f>
        <v>0</v>
      </c>
      <c r="T1986" s="10">
        <f>IF(Flare!$C$7="",0,(SUMIF(Flare!$B$46:$B$185,$J1986,Flare!$E$46:$E$185)*Impacts!$F$16))</f>
        <v>0</v>
      </c>
      <c r="U1986" s="10">
        <f>IF(VCU!$C$9="",0,(SUMIF(VCU!$B$51:$B$193,$J1986,VCU!$E$51:$E$193)*Impacts!$F$17))</f>
        <v>0</v>
      </c>
      <c r="V1986" s="10">
        <f>IF(CAS!$C$7="",0,(SUMIF(CAS!$B$31:$B$167,$J1986,CAS!$E$31:$E$167)*Impacts!$F$18))</f>
        <v>0</v>
      </c>
      <c r="W1986" s="10">
        <f t="shared" si="71"/>
        <v>0</v>
      </c>
      <c r="AK1986" s="10" t="str">
        <f t="array" ref="AK1986">IFERROR(INDEX(SelectedSpecies,SMALL(IF(SelectedSpecies=AK$1,ROW(SelectedSpecies)),ROW(1987:1987)),2),"")</f>
        <v/>
      </c>
      <c r="BE1986" s="10"/>
      <c r="BI1986" s="10"/>
    </row>
    <row r="1987" spans="1:61" ht="21" customHeight="1" x14ac:dyDescent="0.25">
      <c r="A1987" s="10"/>
      <c r="B1987" s="10"/>
      <c r="E1987" s="10"/>
      <c r="G1987" s="10"/>
      <c r="I1987" s="436" t="s">
        <v>4371</v>
      </c>
      <c r="J1987" s="26" t="s">
        <v>4370</v>
      </c>
      <c r="K1987" s="10">
        <v>4.8000000000000007</v>
      </c>
      <c r="L1987" s="73">
        <f>IF(Tank1!$C$23="No control",(SUMIF(Tank1!$B$32:$B$49,$J1987,Tank1!$C$32:$C$49)*Impacts!$F$8),0)</f>
        <v>0</v>
      </c>
      <c r="M1987" s="10">
        <f>IF(Tank2!$C$23="No control",(SUMIF(Tank2!$B$32:$B$49,$J1987,Tank2!$C$32:$C$49)*Impacts!$F$9),0)</f>
        <v>0</v>
      </c>
      <c r="N1987" s="10">
        <f>IF(Tank3!$C$23="No control",(SUMIF(Tank3!$B$32:$B$49,$J1987,Tank3!$C$32:$C$49)*Impacts!$F$10),0)</f>
        <v>0</v>
      </c>
      <c r="O1987" s="10">
        <f>IF(Tank4!$C$23="No control",(SUMIF(Tank4!$B$32:$B$49,$J1987,Tank4!$C$32:$C$49)*Impacts!$F$11),0)</f>
        <v>0</v>
      </c>
      <c r="P1987" s="10">
        <f>IF(Tank5!$C$23="No control",(SUMIF(Tank5!$B$32:$B$49,$J1987,Tank5!$C$32:$C$49)*Impacts!$F$12),0)</f>
        <v>0</v>
      </c>
      <c r="Q1987" s="10">
        <f>IFERROR(IF(('Loading-drum,tote'!$C$21)="No control",SUMIF(('Loading-drum,tote'!$B$31:$B$48),$J1987,('Loading-drum,tote'!$D$31:$D$48))*Impacts!$F$13,IF(('Loading-drum,tote'!$C$21)&lt;&gt;"No control",SUMIF(('Loading-drum,tote'!$B$31:$B$48),$J1987,('Loading-drum,tote'!$E$31:$E$48))*Impacts!$F$13,0)),0)</f>
        <v>0</v>
      </c>
      <c r="R1987" s="10">
        <f>IFERROR(IF(('Loading-truck'!$C$21)="No control",SUMIF(('Loading-truck'!$B$31:$B$48),$J1987,('Loading-truck'!$D$31:$D$48))*Impacts!$F$14,IF(('Loading-truck'!$C$21)&lt;&gt;"No control",SUMIF(('Loading-truck'!$B$31:$B$48),$J1987,('Loading-truck'!$E$31:$E$48))*Impacts!$F$14,0)),0)</f>
        <v>0</v>
      </c>
      <c r="S1987" s="10">
        <f>IFERROR(IF(('Loading-rail'!$C$21)="No control",SUMIF(('Loading-rail'!$B$31:$B$48),$J1987,('Loading-rail'!$D$31:$D$48))*Impacts!$F$15,IF(('Loading-rail'!$C$21)&lt;&gt;"No control",SUMIF(('Loading-rail'!$B$31:$B$48),$J1987,('Loading-rail'!$E$31:$E$48))*Impacts!$F$15,0)),0)</f>
        <v>0</v>
      </c>
      <c r="T1987" s="10">
        <f>IF(Flare!$C$7="",0,(SUMIF(Flare!$B$46:$B$185,$J1987,Flare!$E$46:$E$185)*Impacts!$F$16))</f>
        <v>0</v>
      </c>
      <c r="U1987" s="10">
        <f>IF(VCU!$C$9="",0,(SUMIF(VCU!$B$51:$B$193,$J1987,VCU!$E$51:$E$193)*Impacts!$F$17))</f>
        <v>0</v>
      </c>
      <c r="V1987" s="10">
        <f>IF(CAS!$C$7="",0,(SUMIF(CAS!$B$31:$B$167,$J1987,CAS!$E$31:$E$167)*Impacts!$F$18))</f>
        <v>0</v>
      </c>
      <c r="W1987" s="10">
        <f t="shared" si="71"/>
        <v>0</v>
      </c>
      <c r="AK1987" s="10" t="str">
        <f t="array" ref="AK1987">IFERROR(INDEX(SelectedSpecies,SMALL(IF(SelectedSpecies=AK$1,ROW(SelectedSpecies)),ROW(1988:1988)),2),"")</f>
        <v/>
      </c>
      <c r="BE1987" s="10"/>
      <c r="BI1987" s="10"/>
    </row>
    <row r="1988" spans="1:61" ht="21" customHeight="1" x14ac:dyDescent="0.25">
      <c r="A1988" s="10"/>
      <c r="B1988" s="10"/>
      <c r="E1988" s="10"/>
      <c r="G1988" s="10"/>
      <c r="I1988" s="436" t="s">
        <v>371</v>
      </c>
      <c r="J1988" s="26" t="s">
        <v>370</v>
      </c>
      <c r="K1988" s="10">
        <v>370</v>
      </c>
      <c r="L1988" s="73">
        <f>IF(Tank1!$C$23="No control",(SUMIF(Tank1!$B$32:$B$49,$J1988,Tank1!$C$32:$C$49)*Impacts!$F$8),0)</f>
        <v>0</v>
      </c>
      <c r="M1988" s="10">
        <f>IF(Tank2!$C$23="No control",(SUMIF(Tank2!$B$32:$B$49,$J1988,Tank2!$C$32:$C$49)*Impacts!$F$9),0)</f>
        <v>0</v>
      </c>
      <c r="N1988" s="10">
        <f>IF(Tank3!$C$23="No control",(SUMIF(Tank3!$B$32:$B$49,$J1988,Tank3!$C$32:$C$49)*Impacts!$F$10),0)</f>
        <v>0</v>
      </c>
      <c r="O1988" s="10">
        <f>IF(Tank4!$C$23="No control",(SUMIF(Tank4!$B$32:$B$49,$J1988,Tank4!$C$32:$C$49)*Impacts!$F$11),0)</f>
        <v>0</v>
      </c>
      <c r="P1988" s="10">
        <f>IF(Tank5!$C$23="No control",(SUMIF(Tank5!$B$32:$B$49,$J1988,Tank5!$C$32:$C$49)*Impacts!$F$12),0)</f>
        <v>0</v>
      </c>
      <c r="Q1988" s="10">
        <f>IFERROR(IF(('Loading-drum,tote'!$C$21)="No control",SUMIF(('Loading-drum,tote'!$B$31:$B$48),$J1988,('Loading-drum,tote'!$D$31:$D$48))*Impacts!$F$13,IF(('Loading-drum,tote'!$C$21)&lt;&gt;"No control",SUMIF(('Loading-drum,tote'!$B$31:$B$48),$J1988,('Loading-drum,tote'!$E$31:$E$48))*Impacts!$F$13,0)),0)</f>
        <v>0</v>
      </c>
      <c r="R1988" s="10">
        <f>IFERROR(IF(('Loading-truck'!$C$21)="No control",SUMIF(('Loading-truck'!$B$31:$B$48),$J1988,('Loading-truck'!$D$31:$D$48))*Impacts!$F$14,IF(('Loading-truck'!$C$21)&lt;&gt;"No control",SUMIF(('Loading-truck'!$B$31:$B$48),$J1988,('Loading-truck'!$E$31:$E$48))*Impacts!$F$14,0)),0)</f>
        <v>0</v>
      </c>
      <c r="S1988" s="10">
        <f>IFERROR(IF(('Loading-rail'!$C$21)="No control",SUMIF(('Loading-rail'!$B$31:$B$48),$J1988,('Loading-rail'!$D$31:$D$48))*Impacts!$F$15,IF(('Loading-rail'!$C$21)&lt;&gt;"No control",SUMIF(('Loading-rail'!$B$31:$B$48),$J1988,('Loading-rail'!$E$31:$E$48))*Impacts!$F$15,0)),0)</f>
        <v>0</v>
      </c>
      <c r="T1988" s="10">
        <f>IF(Flare!$C$7="",0,(SUMIF(Flare!$B$46:$B$185,$J1988,Flare!$E$46:$E$185)*Impacts!$F$16))</f>
        <v>0</v>
      </c>
      <c r="U1988" s="10">
        <f>IF(VCU!$C$9="",0,(SUMIF(VCU!$B$51:$B$193,$J1988,VCU!$E$51:$E$193)*Impacts!$F$17))</f>
        <v>0</v>
      </c>
      <c r="V1988" s="10">
        <f>IF(CAS!$C$7="",0,(SUMIF(CAS!$B$31:$B$167,$J1988,CAS!$E$31:$E$167)*Impacts!$F$18))</f>
        <v>0</v>
      </c>
      <c r="W1988" s="10">
        <f t="shared" si="71"/>
        <v>0</v>
      </c>
      <c r="AK1988" s="10" t="str">
        <f t="array" ref="AK1988">IFERROR(INDEX(SelectedSpecies,SMALL(IF(SelectedSpecies=AK$1,ROW(SelectedSpecies)),ROW(1989:1989)),2),"")</f>
        <v/>
      </c>
      <c r="BE1988" s="10"/>
      <c r="BI1988" s="10"/>
    </row>
    <row r="1989" spans="1:61" ht="21" customHeight="1" x14ac:dyDescent="0.25">
      <c r="A1989" s="10"/>
      <c r="B1989" s="10"/>
      <c r="E1989" s="10"/>
      <c r="G1989" s="10"/>
      <c r="I1989" s="436" t="s">
        <v>2007</v>
      </c>
      <c r="J1989" s="26" t="s">
        <v>2006</v>
      </c>
      <c r="K1989" s="10">
        <v>17</v>
      </c>
      <c r="L1989" s="73">
        <f>IF(Tank1!$C$23="No control",(SUMIF(Tank1!$B$32:$B$49,$J1989,Tank1!$C$32:$C$49)*Impacts!$F$8),0)</f>
        <v>0</v>
      </c>
      <c r="M1989" s="10">
        <f>IF(Tank2!$C$23="No control",(SUMIF(Tank2!$B$32:$B$49,$J1989,Tank2!$C$32:$C$49)*Impacts!$F$9),0)</f>
        <v>0</v>
      </c>
      <c r="N1989" s="10">
        <f>IF(Tank3!$C$23="No control",(SUMIF(Tank3!$B$32:$B$49,$J1989,Tank3!$C$32:$C$49)*Impacts!$F$10),0)</f>
        <v>0</v>
      </c>
      <c r="O1989" s="10">
        <f>IF(Tank4!$C$23="No control",(SUMIF(Tank4!$B$32:$B$49,$J1989,Tank4!$C$32:$C$49)*Impacts!$F$11),0)</f>
        <v>0</v>
      </c>
      <c r="P1989" s="10">
        <f>IF(Tank5!$C$23="No control",(SUMIF(Tank5!$B$32:$B$49,$J1989,Tank5!$C$32:$C$49)*Impacts!$F$12),0)</f>
        <v>0</v>
      </c>
      <c r="Q1989" s="10">
        <f>IFERROR(IF(('Loading-drum,tote'!$C$21)="No control",SUMIF(('Loading-drum,tote'!$B$31:$B$48),$J1989,('Loading-drum,tote'!$D$31:$D$48))*Impacts!$F$13,IF(('Loading-drum,tote'!$C$21)&lt;&gt;"No control",SUMIF(('Loading-drum,tote'!$B$31:$B$48),$J1989,('Loading-drum,tote'!$E$31:$E$48))*Impacts!$F$13,0)),0)</f>
        <v>0</v>
      </c>
      <c r="R1989" s="10">
        <f>IFERROR(IF(('Loading-truck'!$C$21)="No control",SUMIF(('Loading-truck'!$B$31:$B$48),$J1989,('Loading-truck'!$D$31:$D$48))*Impacts!$F$14,IF(('Loading-truck'!$C$21)&lt;&gt;"No control",SUMIF(('Loading-truck'!$B$31:$B$48),$J1989,('Loading-truck'!$E$31:$E$48))*Impacts!$F$14,0)),0)</f>
        <v>0</v>
      </c>
      <c r="S1989" s="10">
        <f>IFERROR(IF(('Loading-rail'!$C$21)="No control",SUMIF(('Loading-rail'!$B$31:$B$48),$J1989,('Loading-rail'!$D$31:$D$48))*Impacts!$F$15,IF(('Loading-rail'!$C$21)&lt;&gt;"No control",SUMIF(('Loading-rail'!$B$31:$B$48),$J1989,('Loading-rail'!$E$31:$E$48))*Impacts!$F$15,0)),0)</f>
        <v>0</v>
      </c>
      <c r="T1989" s="10">
        <f>IF(Flare!$C$7="",0,(SUMIF(Flare!$B$46:$B$185,$J1989,Flare!$E$46:$E$185)*Impacts!$F$16))</f>
        <v>0</v>
      </c>
      <c r="U1989" s="10">
        <f>IF(VCU!$C$9="",0,(SUMIF(VCU!$B$51:$B$193,$J1989,VCU!$E$51:$E$193)*Impacts!$F$17))</f>
        <v>0</v>
      </c>
      <c r="V1989" s="10">
        <f>IF(CAS!$C$7="",0,(SUMIF(CAS!$B$31:$B$167,$J1989,CAS!$E$31:$E$167)*Impacts!$F$18))</f>
        <v>0</v>
      </c>
      <c r="W1989" s="10">
        <f t="shared" si="71"/>
        <v>0</v>
      </c>
      <c r="AK1989" s="10" t="str">
        <f t="array" ref="AK1989">IFERROR(INDEX(SelectedSpecies,SMALL(IF(SelectedSpecies=AK$1,ROW(SelectedSpecies)),ROW(1990:1990)),2),"")</f>
        <v/>
      </c>
      <c r="BE1989" s="10"/>
      <c r="BI1989" s="10"/>
    </row>
    <row r="1990" spans="1:61" ht="21" customHeight="1" x14ac:dyDescent="0.25">
      <c r="A1990" s="10"/>
      <c r="B1990" s="10"/>
      <c r="E1990" s="10"/>
      <c r="G1990" s="10"/>
      <c r="I1990" s="436" t="s">
        <v>2495</v>
      </c>
      <c r="J1990" s="26" t="s">
        <v>2494</v>
      </c>
      <c r="K1990" s="10">
        <v>10</v>
      </c>
      <c r="L1990" s="73">
        <f>IF(Tank1!$C$23="No control",(SUMIF(Tank1!$B$32:$B$49,$J1990,Tank1!$C$32:$C$49)*Impacts!$F$8),0)</f>
        <v>0</v>
      </c>
      <c r="M1990" s="10">
        <f>IF(Tank2!$C$23="No control",(SUMIF(Tank2!$B$32:$B$49,$J1990,Tank2!$C$32:$C$49)*Impacts!$F$9),0)</f>
        <v>0</v>
      </c>
      <c r="N1990" s="10">
        <f>IF(Tank3!$C$23="No control",(SUMIF(Tank3!$B$32:$B$49,$J1990,Tank3!$C$32:$C$49)*Impacts!$F$10),0)</f>
        <v>0</v>
      </c>
      <c r="O1990" s="10">
        <f>IF(Tank4!$C$23="No control",(SUMIF(Tank4!$B$32:$B$49,$J1990,Tank4!$C$32:$C$49)*Impacts!$F$11),0)</f>
        <v>0</v>
      </c>
      <c r="P1990" s="10">
        <f>IF(Tank5!$C$23="No control",(SUMIF(Tank5!$B$32:$B$49,$J1990,Tank5!$C$32:$C$49)*Impacts!$F$12),0)</f>
        <v>0</v>
      </c>
      <c r="Q1990" s="10">
        <f>IFERROR(IF(('Loading-drum,tote'!$C$21)="No control",SUMIF(('Loading-drum,tote'!$B$31:$B$48),$J1990,('Loading-drum,tote'!$D$31:$D$48))*Impacts!$F$13,IF(('Loading-drum,tote'!$C$21)&lt;&gt;"No control",SUMIF(('Loading-drum,tote'!$B$31:$B$48),$J1990,('Loading-drum,tote'!$E$31:$E$48))*Impacts!$F$13,0)),0)</f>
        <v>0</v>
      </c>
      <c r="R1990" s="10">
        <f>IFERROR(IF(('Loading-truck'!$C$21)="No control",SUMIF(('Loading-truck'!$B$31:$B$48),$J1990,('Loading-truck'!$D$31:$D$48))*Impacts!$F$14,IF(('Loading-truck'!$C$21)&lt;&gt;"No control",SUMIF(('Loading-truck'!$B$31:$B$48),$J1990,('Loading-truck'!$E$31:$E$48))*Impacts!$F$14,0)),0)</f>
        <v>0</v>
      </c>
      <c r="S1990" s="10">
        <f>IFERROR(IF(('Loading-rail'!$C$21)="No control",SUMIF(('Loading-rail'!$B$31:$B$48),$J1990,('Loading-rail'!$D$31:$D$48))*Impacts!$F$15,IF(('Loading-rail'!$C$21)&lt;&gt;"No control",SUMIF(('Loading-rail'!$B$31:$B$48),$J1990,('Loading-rail'!$E$31:$E$48))*Impacts!$F$15,0)),0)</f>
        <v>0</v>
      </c>
      <c r="T1990" s="10">
        <f>IF(Flare!$C$7="",0,(SUMIF(Flare!$B$46:$B$185,$J1990,Flare!$E$46:$E$185)*Impacts!$F$16))</f>
        <v>0</v>
      </c>
      <c r="U1990" s="10">
        <f>IF(VCU!$C$9="",0,(SUMIF(VCU!$B$51:$B$193,$J1990,VCU!$E$51:$E$193)*Impacts!$F$17))</f>
        <v>0</v>
      </c>
      <c r="V1990" s="10">
        <f>IF(CAS!$C$7="",0,(SUMIF(CAS!$B$31:$B$167,$J1990,CAS!$E$31:$E$167)*Impacts!$F$18))</f>
        <v>0</v>
      </c>
      <c r="W1990" s="10">
        <f t="shared" si="71"/>
        <v>0</v>
      </c>
      <c r="AK1990" s="10" t="str">
        <f t="array" ref="AK1990">IFERROR(INDEX(SelectedSpecies,SMALL(IF(SelectedSpecies=AK$1,ROW(SelectedSpecies)),ROW(1991:1991)),2),"")</f>
        <v/>
      </c>
      <c r="BE1990" s="10"/>
      <c r="BI1990" s="10"/>
    </row>
    <row r="1991" spans="1:61" ht="21" customHeight="1" x14ac:dyDescent="0.25">
      <c r="A1991" s="10"/>
      <c r="B1991" s="10"/>
      <c r="E1991" s="10"/>
      <c r="G1991" s="10"/>
      <c r="I1991" s="436" t="s">
        <v>7820</v>
      </c>
      <c r="J1991" s="26" t="s">
        <v>7819</v>
      </c>
      <c r="K1991" s="10">
        <v>8.0000000000000016E-2</v>
      </c>
      <c r="L1991" s="73">
        <f>IF(Tank1!$C$23="No control",(SUMIF(Tank1!$B$32:$B$49,$J1991,Tank1!$C$32:$C$49)*Impacts!$F$8),0)</f>
        <v>0</v>
      </c>
      <c r="M1991" s="10">
        <f>IF(Tank2!$C$23="No control",(SUMIF(Tank2!$B$32:$B$49,$J1991,Tank2!$C$32:$C$49)*Impacts!$F$9),0)</f>
        <v>0</v>
      </c>
      <c r="N1991" s="10">
        <f>IF(Tank3!$C$23="No control",(SUMIF(Tank3!$B$32:$B$49,$J1991,Tank3!$C$32:$C$49)*Impacts!$F$10),0)</f>
        <v>0</v>
      </c>
      <c r="O1991" s="10">
        <f>IF(Tank4!$C$23="No control",(SUMIF(Tank4!$B$32:$B$49,$J1991,Tank4!$C$32:$C$49)*Impacts!$F$11),0)</f>
        <v>0</v>
      </c>
      <c r="P1991" s="10">
        <f>IF(Tank5!$C$23="No control",(SUMIF(Tank5!$B$32:$B$49,$J1991,Tank5!$C$32:$C$49)*Impacts!$F$12),0)</f>
        <v>0</v>
      </c>
      <c r="Q1991" s="10">
        <f>IFERROR(IF(('Loading-drum,tote'!$C$21)="No control",SUMIF(('Loading-drum,tote'!$B$31:$B$48),$J1991,('Loading-drum,tote'!$D$31:$D$48))*Impacts!$F$13,IF(('Loading-drum,tote'!$C$21)&lt;&gt;"No control",SUMIF(('Loading-drum,tote'!$B$31:$B$48),$J1991,('Loading-drum,tote'!$E$31:$E$48))*Impacts!$F$13,0)),0)</f>
        <v>0</v>
      </c>
      <c r="R1991" s="10">
        <f>IFERROR(IF(('Loading-truck'!$C$21)="No control",SUMIF(('Loading-truck'!$B$31:$B$48),$J1991,('Loading-truck'!$D$31:$D$48))*Impacts!$F$14,IF(('Loading-truck'!$C$21)&lt;&gt;"No control",SUMIF(('Loading-truck'!$B$31:$B$48),$J1991,('Loading-truck'!$E$31:$E$48))*Impacts!$F$14,0)),0)</f>
        <v>0</v>
      </c>
      <c r="S1991" s="10">
        <f>IFERROR(IF(('Loading-rail'!$C$21)="No control",SUMIF(('Loading-rail'!$B$31:$B$48),$J1991,('Loading-rail'!$D$31:$D$48))*Impacts!$F$15,IF(('Loading-rail'!$C$21)&lt;&gt;"No control",SUMIF(('Loading-rail'!$B$31:$B$48),$J1991,('Loading-rail'!$E$31:$E$48))*Impacts!$F$15,0)),0)</f>
        <v>0</v>
      </c>
      <c r="T1991" s="10">
        <f>IF(Flare!$C$7="",0,(SUMIF(Flare!$B$46:$B$185,$J1991,Flare!$E$46:$E$185)*Impacts!$F$16))</f>
        <v>0</v>
      </c>
      <c r="U1991" s="10">
        <f>IF(VCU!$C$9="",0,(SUMIF(VCU!$B$51:$B$193,$J1991,VCU!$E$51:$E$193)*Impacts!$F$17))</f>
        <v>0</v>
      </c>
      <c r="V1991" s="10">
        <f>IF(CAS!$C$7="",0,(SUMIF(CAS!$B$31:$B$167,$J1991,CAS!$E$31:$E$167)*Impacts!$F$18))</f>
        <v>0</v>
      </c>
      <c r="W1991" s="10">
        <f t="shared" si="71"/>
        <v>0</v>
      </c>
      <c r="AK1991" s="10" t="str">
        <f t="array" ref="AK1991">IFERROR(INDEX(SelectedSpecies,SMALL(IF(SelectedSpecies=AK$1,ROW(SelectedSpecies)),ROW(1992:1992)),2),"")</f>
        <v/>
      </c>
      <c r="BE1991" s="10"/>
      <c r="BI1991" s="10"/>
    </row>
    <row r="1992" spans="1:61" ht="21" customHeight="1" x14ac:dyDescent="0.25">
      <c r="A1992" s="10"/>
      <c r="B1992" s="10"/>
      <c r="E1992" s="10"/>
      <c r="G1992" s="10"/>
      <c r="I1992" s="436" t="s">
        <v>6436</v>
      </c>
      <c r="J1992" s="26" t="s">
        <v>6435</v>
      </c>
      <c r="K1992" s="10">
        <v>0.8</v>
      </c>
      <c r="L1992" s="73">
        <f>IF(Tank1!$C$23="No control",(SUMIF(Tank1!$B$32:$B$49,$J1992,Tank1!$C$32:$C$49)*Impacts!$F$8),0)</f>
        <v>0</v>
      </c>
      <c r="M1992" s="10">
        <f>IF(Tank2!$C$23="No control",(SUMIF(Tank2!$B$32:$B$49,$J1992,Tank2!$C$32:$C$49)*Impacts!$F$9),0)</f>
        <v>0</v>
      </c>
      <c r="N1992" s="10">
        <f>IF(Tank3!$C$23="No control",(SUMIF(Tank3!$B$32:$B$49,$J1992,Tank3!$C$32:$C$49)*Impacts!$F$10),0)</f>
        <v>0</v>
      </c>
      <c r="O1992" s="10">
        <f>IF(Tank4!$C$23="No control",(SUMIF(Tank4!$B$32:$B$49,$J1992,Tank4!$C$32:$C$49)*Impacts!$F$11),0)</f>
        <v>0</v>
      </c>
      <c r="P1992" s="10">
        <f>IF(Tank5!$C$23="No control",(SUMIF(Tank5!$B$32:$B$49,$J1992,Tank5!$C$32:$C$49)*Impacts!$F$12),0)</f>
        <v>0</v>
      </c>
      <c r="Q1992" s="10">
        <f>IFERROR(IF(('Loading-drum,tote'!$C$21)="No control",SUMIF(('Loading-drum,tote'!$B$31:$B$48),$J1992,('Loading-drum,tote'!$D$31:$D$48))*Impacts!$F$13,IF(('Loading-drum,tote'!$C$21)&lt;&gt;"No control",SUMIF(('Loading-drum,tote'!$B$31:$B$48),$J1992,('Loading-drum,tote'!$E$31:$E$48))*Impacts!$F$13,0)),0)</f>
        <v>0</v>
      </c>
      <c r="R1992" s="10">
        <f>IFERROR(IF(('Loading-truck'!$C$21)="No control",SUMIF(('Loading-truck'!$B$31:$B$48),$J1992,('Loading-truck'!$D$31:$D$48))*Impacts!$F$14,IF(('Loading-truck'!$C$21)&lt;&gt;"No control",SUMIF(('Loading-truck'!$B$31:$B$48),$J1992,('Loading-truck'!$E$31:$E$48))*Impacts!$F$14,0)),0)</f>
        <v>0</v>
      </c>
      <c r="S1992" s="10">
        <f>IFERROR(IF(('Loading-rail'!$C$21)="No control",SUMIF(('Loading-rail'!$B$31:$B$48),$J1992,('Loading-rail'!$D$31:$D$48))*Impacts!$F$15,IF(('Loading-rail'!$C$21)&lt;&gt;"No control",SUMIF(('Loading-rail'!$B$31:$B$48),$J1992,('Loading-rail'!$E$31:$E$48))*Impacts!$F$15,0)),0)</f>
        <v>0</v>
      </c>
      <c r="T1992" s="10">
        <f>IF(Flare!$C$7="",0,(SUMIF(Flare!$B$46:$B$185,$J1992,Flare!$E$46:$E$185)*Impacts!$F$16))</f>
        <v>0</v>
      </c>
      <c r="U1992" s="10">
        <f>IF(VCU!$C$9="",0,(SUMIF(VCU!$B$51:$B$193,$J1992,VCU!$E$51:$E$193)*Impacts!$F$17))</f>
        <v>0</v>
      </c>
      <c r="V1992" s="10">
        <f>IF(CAS!$C$7="",0,(SUMIF(CAS!$B$31:$B$167,$J1992,CAS!$E$31:$E$167)*Impacts!$F$18))</f>
        <v>0</v>
      </c>
      <c r="W1992" s="10">
        <f t="shared" si="71"/>
        <v>0</v>
      </c>
      <c r="AK1992" s="10" t="str">
        <f t="array" ref="AK1992">IFERROR(INDEX(SelectedSpecies,SMALL(IF(SelectedSpecies=AK$1,ROW(SelectedSpecies)),ROW(1993:1993)),2),"")</f>
        <v/>
      </c>
      <c r="BE1992" s="10"/>
      <c r="BI1992" s="10"/>
    </row>
    <row r="1993" spans="1:61" ht="21" customHeight="1" x14ac:dyDescent="0.25">
      <c r="A1993" s="10"/>
      <c r="B1993" s="10"/>
      <c r="E1993" s="10"/>
      <c r="G1993" s="10"/>
      <c r="I1993" s="436" t="s">
        <v>6670</v>
      </c>
      <c r="J1993" s="26" t="s">
        <v>6669</v>
      </c>
      <c r="K1993" s="10">
        <v>0.57999999999999996</v>
      </c>
      <c r="L1993" s="73">
        <f>IF(Tank1!$C$23="No control",(SUMIF(Tank1!$B$32:$B$49,$J1993,Tank1!$C$32:$C$49)*Impacts!$F$8),0)</f>
        <v>0</v>
      </c>
      <c r="M1993" s="10">
        <f>IF(Tank2!$C$23="No control",(SUMIF(Tank2!$B$32:$B$49,$J1993,Tank2!$C$32:$C$49)*Impacts!$F$9),0)</f>
        <v>0</v>
      </c>
      <c r="N1993" s="10">
        <f>IF(Tank3!$C$23="No control",(SUMIF(Tank3!$B$32:$B$49,$J1993,Tank3!$C$32:$C$49)*Impacts!$F$10),0)</f>
        <v>0</v>
      </c>
      <c r="O1993" s="10">
        <f>IF(Tank4!$C$23="No control",(SUMIF(Tank4!$B$32:$B$49,$J1993,Tank4!$C$32:$C$49)*Impacts!$F$11),0)</f>
        <v>0</v>
      </c>
      <c r="P1993" s="10">
        <f>IF(Tank5!$C$23="No control",(SUMIF(Tank5!$B$32:$B$49,$J1993,Tank5!$C$32:$C$49)*Impacts!$F$12),0)</f>
        <v>0</v>
      </c>
      <c r="Q1993" s="10">
        <f>IFERROR(IF(('Loading-drum,tote'!$C$21)="No control",SUMIF(('Loading-drum,tote'!$B$31:$B$48),$J1993,('Loading-drum,tote'!$D$31:$D$48))*Impacts!$F$13,IF(('Loading-drum,tote'!$C$21)&lt;&gt;"No control",SUMIF(('Loading-drum,tote'!$B$31:$B$48),$J1993,('Loading-drum,tote'!$E$31:$E$48))*Impacts!$F$13,0)),0)</f>
        <v>0</v>
      </c>
      <c r="R1993" s="10">
        <f>IFERROR(IF(('Loading-truck'!$C$21)="No control",SUMIF(('Loading-truck'!$B$31:$B$48),$J1993,('Loading-truck'!$D$31:$D$48))*Impacts!$F$14,IF(('Loading-truck'!$C$21)&lt;&gt;"No control",SUMIF(('Loading-truck'!$B$31:$B$48),$J1993,('Loading-truck'!$E$31:$E$48))*Impacts!$F$14,0)),0)</f>
        <v>0</v>
      </c>
      <c r="S1993" s="10">
        <f>IFERROR(IF(('Loading-rail'!$C$21)="No control",SUMIF(('Loading-rail'!$B$31:$B$48),$J1993,('Loading-rail'!$D$31:$D$48))*Impacts!$F$15,IF(('Loading-rail'!$C$21)&lt;&gt;"No control",SUMIF(('Loading-rail'!$B$31:$B$48),$J1993,('Loading-rail'!$E$31:$E$48))*Impacts!$F$15,0)),0)</f>
        <v>0</v>
      </c>
      <c r="T1993" s="10">
        <f>IF(Flare!$C$7="",0,(SUMIF(Flare!$B$46:$B$185,$J1993,Flare!$E$46:$E$185)*Impacts!$F$16))</f>
        <v>0</v>
      </c>
      <c r="U1993" s="10">
        <f>IF(VCU!$C$9="",0,(SUMIF(VCU!$B$51:$B$193,$J1993,VCU!$E$51:$E$193)*Impacts!$F$17))</f>
        <v>0</v>
      </c>
      <c r="V1993" s="10">
        <f>IF(CAS!$C$7="",0,(SUMIF(CAS!$B$31:$B$167,$J1993,CAS!$E$31:$E$167)*Impacts!$F$18))</f>
        <v>0</v>
      </c>
      <c r="W1993" s="10">
        <f t="shared" si="71"/>
        <v>0</v>
      </c>
      <c r="AK1993" s="10" t="str">
        <f t="array" ref="AK1993">IFERROR(INDEX(SelectedSpecies,SMALL(IF(SelectedSpecies=AK$1,ROW(SelectedSpecies)),ROW(1994:1994)),2),"")</f>
        <v/>
      </c>
      <c r="BE1993" s="10"/>
      <c r="BI1993" s="10"/>
    </row>
    <row r="1994" spans="1:61" ht="21" customHeight="1" x14ac:dyDescent="0.25">
      <c r="A1994" s="10"/>
      <c r="B1994" s="10"/>
      <c r="E1994" s="10"/>
      <c r="G1994" s="10"/>
      <c r="I1994" s="436" t="s">
        <v>2135</v>
      </c>
      <c r="J1994" s="26" t="s">
        <v>2134</v>
      </c>
      <c r="K1994" s="10">
        <v>15</v>
      </c>
      <c r="L1994" s="73">
        <f>IF(Tank1!$C$23="No control",(SUMIF(Tank1!$B$32:$B$49,$J1994,Tank1!$C$32:$C$49)*Impacts!$F$8),0)</f>
        <v>0</v>
      </c>
      <c r="M1994" s="10">
        <f>IF(Tank2!$C$23="No control",(SUMIF(Tank2!$B$32:$B$49,$J1994,Tank2!$C$32:$C$49)*Impacts!$F$9),0)</f>
        <v>0</v>
      </c>
      <c r="N1994" s="10">
        <f>IF(Tank3!$C$23="No control",(SUMIF(Tank3!$B$32:$B$49,$J1994,Tank3!$C$32:$C$49)*Impacts!$F$10),0)</f>
        <v>0</v>
      </c>
      <c r="O1994" s="10">
        <f>IF(Tank4!$C$23="No control",(SUMIF(Tank4!$B$32:$B$49,$J1994,Tank4!$C$32:$C$49)*Impacts!$F$11),0)</f>
        <v>0</v>
      </c>
      <c r="P1994" s="10">
        <f>IF(Tank5!$C$23="No control",(SUMIF(Tank5!$B$32:$B$49,$J1994,Tank5!$C$32:$C$49)*Impacts!$F$12),0)</f>
        <v>0</v>
      </c>
      <c r="Q1994" s="10">
        <f>IFERROR(IF(('Loading-drum,tote'!$C$21)="No control",SUMIF(('Loading-drum,tote'!$B$31:$B$48),$J1994,('Loading-drum,tote'!$D$31:$D$48))*Impacts!$F$13,IF(('Loading-drum,tote'!$C$21)&lt;&gt;"No control",SUMIF(('Loading-drum,tote'!$B$31:$B$48),$J1994,('Loading-drum,tote'!$E$31:$E$48))*Impacts!$F$13,0)),0)</f>
        <v>0</v>
      </c>
      <c r="R1994" s="10">
        <f>IFERROR(IF(('Loading-truck'!$C$21)="No control",SUMIF(('Loading-truck'!$B$31:$B$48),$J1994,('Loading-truck'!$D$31:$D$48))*Impacts!$F$14,IF(('Loading-truck'!$C$21)&lt;&gt;"No control",SUMIF(('Loading-truck'!$B$31:$B$48),$J1994,('Loading-truck'!$E$31:$E$48))*Impacts!$F$14,0)),0)</f>
        <v>0</v>
      </c>
      <c r="S1994" s="10">
        <f>IFERROR(IF(('Loading-rail'!$C$21)="No control",SUMIF(('Loading-rail'!$B$31:$B$48),$J1994,('Loading-rail'!$D$31:$D$48))*Impacts!$F$15,IF(('Loading-rail'!$C$21)&lt;&gt;"No control",SUMIF(('Loading-rail'!$B$31:$B$48),$J1994,('Loading-rail'!$E$31:$E$48))*Impacts!$F$15,0)),0)</f>
        <v>0</v>
      </c>
      <c r="T1994" s="10">
        <f>IF(Flare!$C$7="",0,(SUMIF(Flare!$B$46:$B$185,$J1994,Flare!$E$46:$E$185)*Impacts!$F$16))</f>
        <v>0</v>
      </c>
      <c r="U1994" s="10">
        <f>IF(VCU!$C$9="",0,(SUMIF(VCU!$B$51:$B$193,$J1994,VCU!$E$51:$E$193)*Impacts!$F$17))</f>
        <v>0</v>
      </c>
      <c r="V1994" s="10">
        <f>IF(CAS!$C$7="",0,(SUMIF(CAS!$B$31:$B$167,$J1994,CAS!$E$31:$E$167)*Impacts!$F$18))</f>
        <v>0</v>
      </c>
      <c r="W1994" s="10">
        <f t="shared" si="71"/>
        <v>0</v>
      </c>
      <c r="AK1994" s="10" t="str">
        <f t="array" ref="AK1994">IFERROR(INDEX(SelectedSpecies,SMALL(IF(SelectedSpecies=AK$1,ROW(SelectedSpecies)),ROW(1995:1995)),2),"")</f>
        <v/>
      </c>
      <c r="BE1994" s="10"/>
      <c r="BI1994" s="10"/>
    </row>
    <row r="1995" spans="1:61" ht="21" customHeight="1" x14ac:dyDescent="0.25">
      <c r="A1995" s="10"/>
      <c r="B1995" s="10"/>
      <c r="E1995" s="10"/>
      <c r="G1995" s="10"/>
      <c r="I1995" s="436" t="s">
        <v>5603</v>
      </c>
      <c r="J1995" s="26" t="s">
        <v>5602</v>
      </c>
      <c r="K1995" s="10">
        <v>1.1000000000000001</v>
      </c>
      <c r="L1995" s="73">
        <f>IF(Tank1!$C$23="No control",(SUMIF(Tank1!$B$32:$B$49,$J1995,Tank1!$C$32:$C$49)*Impacts!$F$8),0)</f>
        <v>0</v>
      </c>
      <c r="M1995" s="10">
        <f>IF(Tank2!$C$23="No control",(SUMIF(Tank2!$B$32:$B$49,$J1995,Tank2!$C$32:$C$49)*Impacts!$F$9),0)</f>
        <v>0</v>
      </c>
      <c r="N1995" s="10">
        <f>IF(Tank3!$C$23="No control",(SUMIF(Tank3!$B$32:$B$49,$J1995,Tank3!$C$32:$C$49)*Impacts!$F$10),0)</f>
        <v>0</v>
      </c>
      <c r="O1995" s="10">
        <f>IF(Tank4!$C$23="No control",(SUMIF(Tank4!$B$32:$B$49,$J1995,Tank4!$C$32:$C$49)*Impacts!$F$11),0)</f>
        <v>0</v>
      </c>
      <c r="P1995" s="10">
        <f>IF(Tank5!$C$23="No control",(SUMIF(Tank5!$B$32:$B$49,$J1995,Tank5!$C$32:$C$49)*Impacts!$F$12),0)</f>
        <v>0</v>
      </c>
      <c r="Q1995" s="10">
        <f>IFERROR(IF(('Loading-drum,tote'!$C$21)="No control",SUMIF(('Loading-drum,tote'!$B$31:$B$48),$J1995,('Loading-drum,tote'!$D$31:$D$48))*Impacts!$F$13,IF(('Loading-drum,tote'!$C$21)&lt;&gt;"No control",SUMIF(('Loading-drum,tote'!$B$31:$B$48),$J1995,('Loading-drum,tote'!$E$31:$E$48))*Impacts!$F$13,0)),0)</f>
        <v>0</v>
      </c>
      <c r="R1995" s="10">
        <f>IFERROR(IF(('Loading-truck'!$C$21)="No control",SUMIF(('Loading-truck'!$B$31:$B$48),$J1995,('Loading-truck'!$D$31:$D$48))*Impacts!$F$14,IF(('Loading-truck'!$C$21)&lt;&gt;"No control",SUMIF(('Loading-truck'!$B$31:$B$48),$J1995,('Loading-truck'!$E$31:$E$48))*Impacts!$F$14,0)),0)</f>
        <v>0</v>
      </c>
      <c r="S1995" s="10">
        <f>IFERROR(IF(('Loading-rail'!$C$21)="No control",SUMIF(('Loading-rail'!$B$31:$B$48),$J1995,('Loading-rail'!$D$31:$D$48))*Impacts!$F$15,IF(('Loading-rail'!$C$21)&lt;&gt;"No control",SUMIF(('Loading-rail'!$B$31:$B$48),$J1995,('Loading-rail'!$E$31:$E$48))*Impacts!$F$15,0)),0)</f>
        <v>0</v>
      </c>
      <c r="T1995" s="10">
        <f>IF(Flare!$C$7="",0,(SUMIF(Flare!$B$46:$B$185,$J1995,Flare!$E$46:$E$185)*Impacts!$F$16))</f>
        <v>0</v>
      </c>
      <c r="U1995" s="10">
        <f>IF(VCU!$C$9="",0,(SUMIF(VCU!$B$51:$B$193,$J1995,VCU!$E$51:$E$193)*Impacts!$F$17))</f>
        <v>0</v>
      </c>
      <c r="V1995" s="10">
        <f>IF(CAS!$C$7="",0,(SUMIF(CAS!$B$31:$B$167,$J1995,CAS!$E$31:$E$167)*Impacts!$F$18))</f>
        <v>0</v>
      </c>
      <c r="W1995" s="10">
        <f t="shared" si="71"/>
        <v>0</v>
      </c>
      <c r="AK1995" s="10" t="str">
        <f t="array" ref="AK1995">IFERROR(INDEX(SelectedSpecies,SMALL(IF(SelectedSpecies=AK$1,ROW(SelectedSpecies)),ROW(1996:1996)),2),"")</f>
        <v/>
      </c>
      <c r="BE1995" s="10"/>
      <c r="BI1995" s="10"/>
    </row>
    <row r="1996" spans="1:61" ht="21" customHeight="1" x14ac:dyDescent="0.25">
      <c r="A1996" s="10"/>
      <c r="B1996" s="10"/>
      <c r="E1996" s="10"/>
      <c r="G1996" s="10"/>
      <c r="I1996" s="436" t="s">
        <v>544</v>
      </c>
      <c r="J1996" s="26" t="s">
        <v>543</v>
      </c>
      <c r="K1996" s="10">
        <v>100</v>
      </c>
      <c r="L1996" s="73">
        <f>IF(Tank1!$C$23="No control",(SUMIF(Tank1!$B$32:$B$49,$J1996,Tank1!$C$32:$C$49)*Impacts!$F$8),0)</f>
        <v>0</v>
      </c>
      <c r="M1996" s="10">
        <f>IF(Tank2!$C$23="No control",(SUMIF(Tank2!$B$32:$B$49,$J1996,Tank2!$C$32:$C$49)*Impacts!$F$9),0)</f>
        <v>0</v>
      </c>
      <c r="N1996" s="10">
        <f>IF(Tank3!$C$23="No control",(SUMIF(Tank3!$B$32:$B$49,$J1996,Tank3!$C$32:$C$49)*Impacts!$F$10),0)</f>
        <v>0</v>
      </c>
      <c r="O1996" s="10">
        <f>IF(Tank4!$C$23="No control",(SUMIF(Tank4!$B$32:$B$49,$J1996,Tank4!$C$32:$C$49)*Impacts!$F$11),0)</f>
        <v>0</v>
      </c>
      <c r="P1996" s="10">
        <f>IF(Tank5!$C$23="No control",(SUMIF(Tank5!$B$32:$B$49,$J1996,Tank5!$C$32:$C$49)*Impacts!$F$12),0)</f>
        <v>0</v>
      </c>
      <c r="Q1996" s="10">
        <f>IFERROR(IF(('Loading-drum,tote'!$C$21)="No control",SUMIF(('Loading-drum,tote'!$B$31:$B$48),$J1996,('Loading-drum,tote'!$D$31:$D$48))*Impacts!$F$13,IF(('Loading-drum,tote'!$C$21)&lt;&gt;"No control",SUMIF(('Loading-drum,tote'!$B$31:$B$48),$J1996,('Loading-drum,tote'!$E$31:$E$48))*Impacts!$F$13,0)),0)</f>
        <v>0</v>
      </c>
      <c r="R1996" s="10">
        <f>IFERROR(IF(('Loading-truck'!$C$21)="No control",SUMIF(('Loading-truck'!$B$31:$B$48),$J1996,('Loading-truck'!$D$31:$D$48))*Impacts!$F$14,IF(('Loading-truck'!$C$21)&lt;&gt;"No control",SUMIF(('Loading-truck'!$B$31:$B$48),$J1996,('Loading-truck'!$E$31:$E$48))*Impacts!$F$14,0)),0)</f>
        <v>0</v>
      </c>
      <c r="S1996" s="10">
        <f>IFERROR(IF(('Loading-rail'!$C$21)="No control",SUMIF(('Loading-rail'!$B$31:$B$48),$J1996,('Loading-rail'!$D$31:$D$48))*Impacts!$F$15,IF(('Loading-rail'!$C$21)&lt;&gt;"No control",SUMIF(('Loading-rail'!$B$31:$B$48),$J1996,('Loading-rail'!$E$31:$E$48))*Impacts!$F$15,0)),0)</f>
        <v>0</v>
      </c>
      <c r="T1996" s="10">
        <f>IF(Flare!$C$7="",0,(SUMIF(Flare!$B$46:$B$185,$J1996,Flare!$E$46:$E$185)*Impacts!$F$16))</f>
        <v>0</v>
      </c>
      <c r="U1996" s="10">
        <f>IF(VCU!$C$9="",0,(SUMIF(VCU!$B$51:$B$193,$J1996,VCU!$E$51:$E$193)*Impacts!$F$17))</f>
        <v>0</v>
      </c>
      <c r="V1996" s="10">
        <f>IF(CAS!$C$7="",0,(SUMIF(CAS!$B$31:$B$167,$J1996,CAS!$E$31:$E$167)*Impacts!$F$18))</f>
        <v>0</v>
      </c>
      <c r="W1996" s="10">
        <f t="shared" si="71"/>
        <v>0</v>
      </c>
      <c r="AK1996" s="10" t="str">
        <f t="array" ref="AK1996">IFERROR(INDEX(SelectedSpecies,SMALL(IF(SelectedSpecies=AK$1,ROW(SelectedSpecies)),ROW(1997:1997)),2),"")</f>
        <v/>
      </c>
      <c r="BE1996" s="10"/>
      <c r="BI1996" s="10"/>
    </row>
    <row r="1997" spans="1:61" ht="21" customHeight="1" x14ac:dyDescent="0.25">
      <c r="A1997" s="10"/>
      <c r="B1997" s="10"/>
      <c r="E1997" s="10"/>
      <c r="G1997" s="10"/>
      <c r="I1997" s="436" t="s">
        <v>546</v>
      </c>
      <c r="J1997" s="26" t="s">
        <v>545</v>
      </c>
      <c r="K1997" s="10">
        <v>100</v>
      </c>
      <c r="L1997" s="73">
        <f>IF(Tank1!$C$23="No control",(SUMIF(Tank1!$B$32:$B$49,$J1997,Tank1!$C$32:$C$49)*Impacts!$F$8),0)</f>
        <v>0</v>
      </c>
      <c r="M1997" s="10">
        <f>IF(Tank2!$C$23="No control",(SUMIF(Tank2!$B$32:$B$49,$J1997,Tank2!$C$32:$C$49)*Impacts!$F$9),0)</f>
        <v>0</v>
      </c>
      <c r="N1997" s="10">
        <f>IF(Tank3!$C$23="No control",(SUMIF(Tank3!$B$32:$B$49,$J1997,Tank3!$C$32:$C$49)*Impacts!$F$10),0)</f>
        <v>0</v>
      </c>
      <c r="O1997" s="10">
        <f>IF(Tank4!$C$23="No control",(SUMIF(Tank4!$B$32:$B$49,$J1997,Tank4!$C$32:$C$49)*Impacts!$F$11),0)</f>
        <v>0</v>
      </c>
      <c r="P1997" s="10">
        <f>IF(Tank5!$C$23="No control",(SUMIF(Tank5!$B$32:$B$49,$J1997,Tank5!$C$32:$C$49)*Impacts!$F$12),0)</f>
        <v>0</v>
      </c>
      <c r="Q1997" s="10">
        <f>IFERROR(IF(('Loading-drum,tote'!$C$21)="No control",SUMIF(('Loading-drum,tote'!$B$31:$B$48),$J1997,('Loading-drum,tote'!$D$31:$D$48))*Impacts!$F$13,IF(('Loading-drum,tote'!$C$21)&lt;&gt;"No control",SUMIF(('Loading-drum,tote'!$B$31:$B$48),$J1997,('Loading-drum,tote'!$E$31:$E$48))*Impacts!$F$13,0)),0)</f>
        <v>0</v>
      </c>
      <c r="R1997" s="10">
        <f>IFERROR(IF(('Loading-truck'!$C$21)="No control",SUMIF(('Loading-truck'!$B$31:$B$48),$J1997,('Loading-truck'!$D$31:$D$48))*Impacts!$F$14,IF(('Loading-truck'!$C$21)&lt;&gt;"No control",SUMIF(('Loading-truck'!$B$31:$B$48),$J1997,('Loading-truck'!$E$31:$E$48))*Impacts!$F$14,0)),0)</f>
        <v>0</v>
      </c>
      <c r="S1997" s="10">
        <f>IFERROR(IF(('Loading-rail'!$C$21)="No control",SUMIF(('Loading-rail'!$B$31:$B$48),$J1997,('Loading-rail'!$D$31:$D$48))*Impacts!$F$15,IF(('Loading-rail'!$C$21)&lt;&gt;"No control",SUMIF(('Loading-rail'!$B$31:$B$48),$J1997,('Loading-rail'!$E$31:$E$48))*Impacts!$F$15,0)),0)</f>
        <v>0</v>
      </c>
      <c r="T1997" s="10">
        <f>IF(Flare!$C$7="",0,(SUMIF(Flare!$B$46:$B$185,$J1997,Flare!$E$46:$E$185)*Impacts!$F$16))</f>
        <v>0</v>
      </c>
      <c r="U1997" s="10">
        <f>IF(VCU!$C$9="",0,(SUMIF(VCU!$B$51:$B$193,$J1997,VCU!$E$51:$E$193)*Impacts!$F$17))</f>
        <v>0</v>
      </c>
      <c r="V1997" s="10">
        <f>IF(CAS!$C$7="",0,(SUMIF(CAS!$B$31:$B$167,$J1997,CAS!$E$31:$E$167)*Impacts!$F$18))</f>
        <v>0</v>
      </c>
      <c r="W1997" s="10">
        <f t="shared" si="71"/>
        <v>0</v>
      </c>
      <c r="AK1997" s="10" t="str">
        <f t="array" ref="AK1997">IFERROR(INDEX(SelectedSpecies,SMALL(IF(SelectedSpecies=AK$1,ROW(SelectedSpecies)),ROW(1998:1998)),2),"")</f>
        <v/>
      </c>
      <c r="BE1997" s="10"/>
      <c r="BI1997" s="10"/>
    </row>
    <row r="1998" spans="1:61" ht="21" customHeight="1" x14ac:dyDescent="0.25">
      <c r="A1998" s="10"/>
      <c r="B1998" s="10"/>
      <c r="E1998" s="10"/>
      <c r="G1998" s="10"/>
      <c r="I1998" s="436" t="s">
        <v>445</v>
      </c>
      <c r="J1998" s="26" t="s">
        <v>444</v>
      </c>
      <c r="K1998" s="10">
        <v>164</v>
      </c>
      <c r="L1998" s="73">
        <f>IF(Tank1!$C$23="No control",(SUMIF(Tank1!$B$32:$B$49,$J1998,Tank1!$C$32:$C$49)*Impacts!$F$8),0)</f>
        <v>0</v>
      </c>
      <c r="M1998" s="10">
        <f>IF(Tank2!$C$23="No control",(SUMIF(Tank2!$B$32:$B$49,$J1998,Tank2!$C$32:$C$49)*Impacts!$F$9),0)</f>
        <v>0</v>
      </c>
      <c r="N1998" s="10">
        <f>IF(Tank3!$C$23="No control",(SUMIF(Tank3!$B$32:$B$49,$J1998,Tank3!$C$32:$C$49)*Impacts!$F$10),0)</f>
        <v>0</v>
      </c>
      <c r="O1998" s="10">
        <f>IF(Tank4!$C$23="No control",(SUMIF(Tank4!$B$32:$B$49,$J1998,Tank4!$C$32:$C$49)*Impacts!$F$11),0)</f>
        <v>0</v>
      </c>
      <c r="P1998" s="10">
        <f>IF(Tank5!$C$23="No control",(SUMIF(Tank5!$B$32:$B$49,$J1998,Tank5!$C$32:$C$49)*Impacts!$F$12),0)</f>
        <v>0</v>
      </c>
      <c r="Q1998" s="10">
        <f>IFERROR(IF(('Loading-drum,tote'!$C$21)="No control",SUMIF(('Loading-drum,tote'!$B$31:$B$48),$J1998,('Loading-drum,tote'!$D$31:$D$48))*Impacts!$F$13,IF(('Loading-drum,tote'!$C$21)&lt;&gt;"No control",SUMIF(('Loading-drum,tote'!$B$31:$B$48),$J1998,('Loading-drum,tote'!$E$31:$E$48))*Impacts!$F$13,0)),0)</f>
        <v>0</v>
      </c>
      <c r="R1998" s="10">
        <f>IFERROR(IF(('Loading-truck'!$C$21)="No control",SUMIF(('Loading-truck'!$B$31:$B$48),$J1998,('Loading-truck'!$D$31:$D$48))*Impacts!$F$14,IF(('Loading-truck'!$C$21)&lt;&gt;"No control",SUMIF(('Loading-truck'!$B$31:$B$48),$J1998,('Loading-truck'!$E$31:$E$48))*Impacts!$F$14,0)),0)</f>
        <v>0</v>
      </c>
      <c r="S1998" s="10">
        <f>IFERROR(IF(('Loading-rail'!$C$21)="No control",SUMIF(('Loading-rail'!$B$31:$B$48),$J1998,('Loading-rail'!$D$31:$D$48))*Impacts!$F$15,IF(('Loading-rail'!$C$21)&lt;&gt;"No control",SUMIF(('Loading-rail'!$B$31:$B$48),$J1998,('Loading-rail'!$E$31:$E$48))*Impacts!$F$15,0)),0)</f>
        <v>0</v>
      </c>
      <c r="T1998" s="10">
        <f>IF(Flare!$C$7="",0,(SUMIF(Flare!$B$46:$B$185,$J1998,Flare!$E$46:$E$185)*Impacts!$F$16))</f>
        <v>0</v>
      </c>
      <c r="U1998" s="10">
        <f>IF(VCU!$C$9="",0,(SUMIF(VCU!$B$51:$B$193,$J1998,VCU!$E$51:$E$193)*Impacts!$F$17))</f>
        <v>0</v>
      </c>
      <c r="V1998" s="10">
        <f>IF(CAS!$C$7="",0,(SUMIF(CAS!$B$31:$B$167,$J1998,CAS!$E$31:$E$167)*Impacts!$F$18))</f>
        <v>0</v>
      </c>
      <c r="W1998" s="10">
        <f t="shared" si="71"/>
        <v>0</v>
      </c>
      <c r="AK1998" s="10" t="str">
        <f t="array" ref="AK1998">IFERROR(INDEX(SelectedSpecies,SMALL(IF(SelectedSpecies=AK$1,ROW(SelectedSpecies)),ROW(1999:1999)),2),"")</f>
        <v/>
      </c>
      <c r="BE1998" s="10"/>
      <c r="BI1998" s="10"/>
    </row>
    <row r="1999" spans="1:61" ht="21" customHeight="1" x14ac:dyDescent="0.25">
      <c r="A1999" s="10"/>
      <c r="B1999" s="10"/>
      <c r="E1999" s="10"/>
      <c r="G1999" s="10"/>
      <c r="I1999" s="436" t="s">
        <v>4645</v>
      </c>
      <c r="J1999" s="26" t="s">
        <v>4644</v>
      </c>
      <c r="K1999" s="10">
        <v>3.9000000000000004</v>
      </c>
      <c r="L1999" s="73">
        <f>IF(Tank1!$C$23="No control",(SUMIF(Tank1!$B$32:$B$49,$J1999,Tank1!$C$32:$C$49)*Impacts!$F$8),0)</f>
        <v>0</v>
      </c>
      <c r="M1999" s="10">
        <f>IF(Tank2!$C$23="No control",(SUMIF(Tank2!$B$32:$B$49,$J1999,Tank2!$C$32:$C$49)*Impacts!$F$9),0)</f>
        <v>0</v>
      </c>
      <c r="N1999" s="10">
        <f>IF(Tank3!$C$23="No control",(SUMIF(Tank3!$B$32:$B$49,$J1999,Tank3!$C$32:$C$49)*Impacts!$F$10),0)</f>
        <v>0</v>
      </c>
      <c r="O1999" s="10">
        <f>IF(Tank4!$C$23="No control",(SUMIF(Tank4!$B$32:$B$49,$J1999,Tank4!$C$32:$C$49)*Impacts!$F$11),0)</f>
        <v>0</v>
      </c>
      <c r="P1999" s="10">
        <f>IF(Tank5!$C$23="No control",(SUMIF(Tank5!$B$32:$B$49,$J1999,Tank5!$C$32:$C$49)*Impacts!$F$12),0)</f>
        <v>0</v>
      </c>
      <c r="Q1999" s="10">
        <f>IFERROR(IF(('Loading-drum,tote'!$C$21)="No control",SUMIF(('Loading-drum,tote'!$B$31:$B$48),$J1999,('Loading-drum,tote'!$D$31:$D$48))*Impacts!$F$13,IF(('Loading-drum,tote'!$C$21)&lt;&gt;"No control",SUMIF(('Loading-drum,tote'!$B$31:$B$48),$J1999,('Loading-drum,tote'!$E$31:$E$48))*Impacts!$F$13,0)),0)</f>
        <v>0</v>
      </c>
      <c r="R1999" s="10">
        <f>IFERROR(IF(('Loading-truck'!$C$21)="No control",SUMIF(('Loading-truck'!$B$31:$B$48),$J1999,('Loading-truck'!$D$31:$D$48))*Impacts!$F$14,IF(('Loading-truck'!$C$21)&lt;&gt;"No control",SUMIF(('Loading-truck'!$B$31:$B$48),$J1999,('Loading-truck'!$E$31:$E$48))*Impacts!$F$14,0)),0)</f>
        <v>0</v>
      </c>
      <c r="S1999" s="10">
        <f>IFERROR(IF(('Loading-rail'!$C$21)="No control",SUMIF(('Loading-rail'!$B$31:$B$48),$J1999,('Loading-rail'!$D$31:$D$48))*Impacts!$F$15,IF(('Loading-rail'!$C$21)&lt;&gt;"No control",SUMIF(('Loading-rail'!$B$31:$B$48),$J1999,('Loading-rail'!$E$31:$E$48))*Impacts!$F$15,0)),0)</f>
        <v>0</v>
      </c>
      <c r="T1999" s="10">
        <f>IF(Flare!$C$7="",0,(SUMIF(Flare!$B$46:$B$185,$J1999,Flare!$E$46:$E$185)*Impacts!$F$16))</f>
        <v>0</v>
      </c>
      <c r="U1999" s="10">
        <f>IF(VCU!$C$9="",0,(SUMIF(VCU!$B$51:$B$193,$J1999,VCU!$E$51:$E$193)*Impacts!$F$17))</f>
        <v>0</v>
      </c>
      <c r="V1999" s="10">
        <f>IF(CAS!$C$7="",0,(SUMIF(CAS!$B$31:$B$167,$J1999,CAS!$E$31:$E$167)*Impacts!$F$18))</f>
        <v>0</v>
      </c>
      <c r="W1999" s="10">
        <f t="shared" si="71"/>
        <v>0</v>
      </c>
      <c r="AK1999" s="10" t="str">
        <f t="array" ref="AK1999">IFERROR(INDEX(SelectedSpecies,SMALL(IF(SelectedSpecies=AK$1,ROW(SelectedSpecies)),ROW(2000:2000)),2),"")</f>
        <v/>
      </c>
      <c r="BE1999" s="10"/>
      <c r="BI1999" s="10"/>
    </row>
    <row r="2000" spans="1:61" ht="21" customHeight="1" x14ac:dyDescent="0.25">
      <c r="A2000" s="10"/>
      <c r="B2000" s="10"/>
      <c r="E2000" s="10"/>
      <c r="G2000" s="10"/>
      <c r="I2000" s="436" t="s">
        <v>7610</v>
      </c>
      <c r="J2000" s="26" t="s">
        <v>7609</v>
      </c>
      <c r="K2000" s="10">
        <v>0.15000000000000002</v>
      </c>
      <c r="L2000" s="73">
        <f>IF(Tank1!$C$23="No control",(SUMIF(Tank1!$B$32:$B$49,$J2000,Tank1!$C$32:$C$49)*Impacts!$F$8),0)</f>
        <v>0</v>
      </c>
      <c r="M2000" s="10">
        <f>IF(Tank2!$C$23="No control",(SUMIF(Tank2!$B$32:$B$49,$J2000,Tank2!$C$32:$C$49)*Impacts!$F$9),0)</f>
        <v>0</v>
      </c>
      <c r="N2000" s="10">
        <f>IF(Tank3!$C$23="No control",(SUMIF(Tank3!$B$32:$B$49,$J2000,Tank3!$C$32:$C$49)*Impacts!$F$10),0)</f>
        <v>0</v>
      </c>
      <c r="O2000" s="10">
        <f>IF(Tank4!$C$23="No control",(SUMIF(Tank4!$B$32:$B$49,$J2000,Tank4!$C$32:$C$49)*Impacts!$F$11),0)</f>
        <v>0</v>
      </c>
      <c r="P2000" s="10">
        <f>IF(Tank5!$C$23="No control",(SUMIF(Tank5!$B$32:$B$49,$J2000,Tank5!$C$32:$C$49)*Impacts!$F$12),0)</f>
        <v>0</v>
      </c>
      <c r="Q2000" s="10">
        <f>IFERROR(IF(('Loading-drum,tote'!$C$21)="No control",SUMIF(('Loading-drum,tote'!$B$31:$B$48),$J2000,('Loading-drum,tote'!$D$31:$D$48))*Impacts!$F$13,IF(('Loading-drum,tote'!$C$21)&lt;&gt;"No control",SUMIF(('Loading-drum,tote'!$B$31:$B$48),$J2000,('Loading-drum,tote'!$E$31:$E$48))*Impacts!$F$13,0)),0)</f>
        <v>0</v>
      </c>
      <c r="R2000" s="10">
        <f>IFERROR(IF(('Loading-truck'!$C$21)="No control",SUMIF(('Loading-truck'!$B$31:$B$48),$J2000,('Loading-truck'!$D$31:$D$48))*Impacts!$F$14,IF(('Loading-truck'!$C$21)&lt;&gt;"No control",SUMIF(('Loading-truck'!$B$31:$B$48),$J2000,('Loading-truck'!$E$31:$E$48))*Impacts!$F$14,0)),0)</f>
        <v>0</v>
      </c>
      <c r="S2000" s="10">
        <f>IFERROR(IF(('Loading-rail'!$C$21)="No control",SUMIF(('Loading-rail'!$B$31:$B$48),$J2000,('Loading-rail'!$D$31:$D$48))*Impacts!$F$15,IF(('Loading-rail'!$C$21)&lt;&gt;"No control",SUMIF(('Loading-rail'!$B$31:$B$48),$J2000,('Loading-rail'!$E$31:$E$48))*Impacts!$F$15,0)),0)</f>
        <v>0</v>
      </c>
      <c r="T2000" s="10">
        <f>IF(Flare!$C$7="",0,(SUMIF(Flare!$B$46:$B$185,$J2000,Flare!$E$46:$E$185)*Impacts!$F$16))</f>
        <v>0</v>
      </c>
      <c r="U2000" s="10">
        <f>IF(VCU!$C$9="",0,(SUMIF(VCU!$B$51:$B$193,$J2000,VCU!$E$51:$E$193)*Impacts!$F$17))</f>
        <v>0</v>
      </c>
      <c r="V2000" s="10">
        <f>IF(CAS!$C$7="",0,(SUMIF(CAS!$B$31:$B$167,$J2000,CAS!$E$31:$E$167)*Impacts!$F$18))</f>
        <v>0</v>
      </c>
      <c r="W2000" s="10">
        <f t="shared" si="71"/>
        <v>0</v>
      </c>
      <c r="AK2000" s="10" t="str">
        <f t="array" ref="AK2000">IFERROR(INDEX(SelectedSpecies,SMALL(IF(SelectedSpecies=AK$1,ROW(SelectedSpecies)),ROW(2001:2001)),2),"")</f>
        <v/>
      </c>
      <c r="BE2000" s="10"/>
      <c r="BI2000" s="10"/>
    </row>
    <row r="2001" spans="1:61" ht="21" customHeight="1" x14ac:dyDescent="0.25">
      <c r="A2001" s="10"/>
      <c r="B2001" s="10"/>
      <c r="E2001" s="10"/>
      <c r="G2001" s="10"/>
      <c r="I2001" s="436" t="s">
        <v>5167</v>
      </c>
      <c r="J2001" s="26" t="s">
        <v>5166</v>
      </c>
      <c r="K2001" s="10">
        <v>2</v>
      </c>
      <c r="L2001" s="73">
        <f>IF(Tank1!$C$23="No control",(SUMIF(Tank1!$B$32:$B$49,$J2001,Tank1!$C$32:$C$49)*Impacts!$F$8),0)</f>
        <v>0</v>
      </c>
      <c r="M2001" s="10">
        <f>IF(Tank2!$C$23="No control",(SUMIF(Tank2!$B$32:$B$49,$J2001,Tank2!$C$32:$C$49)*Impacts!$F$9),0)</f>
        <v>0</v>
      </c>
      <c r="N2001" s="10">
        <f>IF(Tank3!$C$23="No control",(SUMIF(Tank3!$B$32:$B$49,$J2001,Tank3!$C$32:$C$49)*Impacts!$F$10),0)</f>
        <v>0</v>
      </c>
      <c r="O2001" s="10">
        <f>IF(Tank4!$C$23="No control",(SUMIF(Tank4!$B$32:$B$49,$J2001,Tank4!$C$32:$C$49)*Impacts!$F$11),0)</f>
        <v>0</v>
      </c>
      <c r="P2001" s="10">
        <f>IF(Tank5!$C$23="No control",(SUMIF(Tank5!$B$32:$B$49,$J2001,Tank5!$C$32:$C$49)*Impacts!$F$12),0)</f>
        <v>0</v>
      </c>
      <c r="Q2001" s="10">
        <f>IFERROR(IF(('Loading-drum,tote'!$C$21)="No control",SUMIF(('Loading-drum,tote'!$B$31:$B$48),$J2001,('Loading-drum,tote'!$D$31:$D$48))*Impacts!$F$13,IF(('Loading-drum,tote'!$C$21)&lt;&gt;"No control",SUMIF(('Loading-drum,tote'!$B$31:$B$48),$J2001,('Loading-drum,tote'!$E$31:$E$48))*Impacts!$F$13,0)),0)</f>
        <v>0</v>
      </c>
      <c r="R2001" s="10">
        <f>IFERROR(IF(('Loading-truck'!$C$21)="No control",SUMIF(('Loading-truck'!$B$31:$B$48),$J2001,('Loading-truck'!$D$31:$D$48))*Impacts!$F$14,IF(('Loading-truck'!$C$21)&lt;&gt;"No control",SUMIF(('Loading-truck'!$B$31:$B$48),$J2001,('Loading-truck'!$E$31:$E$48))*Impacts!$F$14,0)),0)</f>
        <v>0</v>
      </c>
      <c r="S2001" s="10">
        <f>IFERROR(IF(('Loading-rail'!$C$21)="No control",SUMIF(('Loading-rail'!$B$31:$B$48),$J2001,('Loading-rail'!$D$31:$D$48))*Impacts!$F$15,IF(('Loading-rail'!$C$21)&lt;&gt;"No control",SUMIF(('Loading-rail'!$B$31:$B$48),$J2001,('Loading-rail'!$E$31:$E$48))*Impacts!$F$15,0)),0)</f>
        <v>0</v>
      </c>
      <c r="T2001" s="10">
        <f>IF(Flare!$C$7="",0,(SUMIF(Flare!$B$46:$B$185,$J2001,Flare!$E$46:$E$185)*Impacts!$F$16))</f>
        <v>0</v>
      </c>
      <c r="U2001" s="10">
        <f>IF(VCU!$C$9="",0,(SUMIF(VCU!$B$51:$B$193,$J2001,VCU!$E$51:$E$193)*Impacts!$F$17))</f>
        <v>0</v>
      </c>
      <c r="V2001" s="10">
        <f>IF(CAS!$C$7="",0,(SUMIF(CAS!$B$31:$B$167,$J2001,CAS!$E$31:$E$167)*Impacts!$F$18))</f>
        <v>0</v>
      </c>
      <c r="W2001" s="10">
        <f t="shared" si="71"/>
        <v>0</v>
      </c>
      <c r="AK2001" s="10" t="str">
        <f t="array" ref="AK2001">IFERROR(INDEX(SelectedSpecies,SMALL(IF(SelectedSpecies=AK$1,ROW(SelectedSpecies)),ROW(2002:2002)),2),"")</f>
        <v/>
      </c>
      <c r="BE2001" s="10"/>
      <c r="BI2001" s="10"/>
    </row>
    <row r="2002" spans="1:61" ht="21" customHeight="1" x14ac:dyDescent="0.25">
      <c r="A2002" s="10"/>
      <c r="B2002" s="10"/>
      <c r="E2002" s="10"/>
      <c r="G2002" s="10"/>
      <c r="I2002" s="436" t="s">
        <v>2497</v>
      </c>
      <c r="J2002" s="26" t="s">
        <v>2496</v>
      </c>
      <c r="K2002" s="10">
        <v>10</v>
      </c>
      <c r="L2002" s="73">
        <f>IF(Tank1!$C$23="No control",(SUMIF(Tank1!$B$32:$B$49,$J2002,Tank1!$C$32:$C$49)*Impacts!$F$8),0)</f>
        <v>0</v>
      </c>
      <c r="M2002" s="10">
        <f>IF(Tank2!$C$23="No control",(SUMIF(Tank2!$B$32:$B$49,$J2002,Tank2!$C$32:$C$49)*Impacts!$F$9),0)</f>
        <v>0</v>
      </c>
      <c r="N2002" s="10">
        <f>IF(Tank3!$C$23="No control",(SUMIF(Tank3!$B$32:$B$49,$J2002,Tank3!$C$32:$C$49)*Impacts!$F$10),0)</f>
        <v>0</v>
      </c>
      <c r="O2002" s="10">
        <f>IF(Tank4!$C$23="No control",(SUMIF(Tank4!$B$32:$B$49,$J2002,Tank4!$C$32:$C$49)*Impacts!$F$11),0)</f>
        <v>0</v>
      </c>
      <c r="P2002" s="10">
        <f>IF(Tank5!$C$23="No control",(SUMIF(Tank5!$B$32:$B$49,$J2002,Tank5!$C$32:$C$49)*Impacts!$F$12),0)</f>
        <v>0</v>
      </c>
      <c r="Q2002" s="10">
        <f>IFERROR(IF(('Loading-drum,tote'!$C$21)="No control",SUMIF(('Loading-drum,tote'!$B$31:$B$48),$J2002,('Loading-drum,tote'!$D$31:$D$48))*Impacts!$F$13,IF(('Loading-drum,tote'!$C$21)&lt;&gt;"No control",SUMIF(('Loading-drum,tote'!$B$31:$B$48),$J2002,('Loading-drum,tote'!$E$31:$E$48))*Impacts!$F$13,0)),0)</f>
        <v>0</v>
      </c>
      <c r="R2002" s="10">
        <f>IFERROR(IF(('Loading-truck'!$C$21)="No control",SUMIF(('Loading-truck'!$B$31:$B$48),$J2002,('Loading-truck'!$D$31:$D$48))*Impacts!$F$14,IF(('Loading-truck'!$C$21)&lt;&gt;"No control",SUMIF(('Loading-truck'!$B$31:$B$48),$J2002,('Loading-truck'!$E$31:$E$48))*Impacts!$F$14,0)),0)</f>
        <v>0</v>
      </c>
      <c r="S2002" s="10">
        <f>IFERROR(IF(('Loading-rail'!$C$21)="No control",SUMIF(('Loading-rail'!$B$31:$B$48),$J2002,('Loading-rail'!$D$31:$D$48))*Impacts!$F$15,IF(('Loading-rail'!$C$21)&lt;&gt;"No control",SUMIF(('Loading-rail'!$B$31:$B$48),$J2002,('Loading-rail'!$E$31:$E$48))*Impacts!$F$15,0)),0)</f>
        <v>0</v>
      </c>
      <c r="T2002" s="10">
        <f>IF(Flare!$C$7="",0,(SUMIF(Flare!$B$46:$B$185,$J2002,Flare!$E$46:$E$185)*Impacts!$F$16))</f>
        <v>0</v>
      </c>
      <c r="U2002" s="10">
        <f>IF(VCU!$C$9="",0,(SUMIF(VCU!$B$51:$B$193,$J2002,VCU!$E$51:$E$193)*Impacts!$F$17))</f>
        <v>0</v>
      </c>
      <c r="V2002" s="10">
        <f>IF(CAS!$C$7="",0,(SUMIF(CAS!$B$31:$B$167,$J2002,CAS!$E$31:$E$167)*Impacts!$F$18))</f>
        <v>0</v>
      </c>
      <c r="W2002" s="10">
        <f t="shared" si="71"/>
        <v>0</v>
      </c>
      <c r="AK2002" s="10" t="str">
        <f t="array" ref="AK2002">IFERROR(INDEX(SelectedSpecies,SMALL(IF(SelectedSpecies=AK$1,ROW(SelectedSpecies)),ROW(2003:2003)),2),"")</f>
        <v/>
      </c>
      <c r="BE2002" s="10"/>
      <c r="BI2002" s="10"/>
    </row>
    <row r="2003" spans="1:61" ht="21" customHeight="1" x14ac:dyDescent="0.25">
      <c r="A2003" s="10"/>
      <c r="B2003" s="10"/>
      <c r="E2003" s="10"/>
      <c r="G2003" s="10"/>
      <c r="I2003" s="436" t="s">
        <v>6250</v>
      </c>
      <c r="J2003" s="26" t="s">
        <v>6249</v>
      </c>
      <c r="K2003" s="10">
        <v>0.9900000000000001</v>
      </c>
      <c r="L2003" s="73">
        <f>IF(Tank1!$C$23="No control",(SUMIF(Tank1!$B$32:$B$49,$J2003,Tank1!$C$32:$C$49)*Impacts!$F$8),0)</f>
        <v>0</v>
      </c>
      <c r="M2003" s="10">
        <f>IF(Tank2!$C$23="No control",(SUMIF(Tank2!$B$32:$B$49,$J2003,Tank2!$C$32:$C$49)*Impacts!$F$9),0)</f>
        <v>0</v>
      </c>
      <c r="N2003" s="10">
        <f>IF(Tank3!$C$23="No control",(SUMIF(Tank3!$B$32:$B$49,$J2003,Tank3!$C$32:$C$49)*Impacts!$F$10),0)</f>
        <v>0</v>
      </c>
      <c r="O2003" s="10">
        <f>IF(Tank4!$C$23="No control",(SUMIF(Tank4!$B$32:$B$49,$J2003,Tank4!$C$32:$C$49)*Impacts!$F$11),0)</f>
        <v>0</v>
      </c>
      <c r="P2003" s="10">
        <f>IF(Tank5!$C$23="No control",(SUMIF(Tank5!$B$32:$B$49,$J2003,Tank5!$C$32:$C$49)*Impacts!$F$12),0)</f>
        <v>0</v>
      </c>
      <c r="Q2003" s="10">
        <f>IFERROR(IF(('Loading-drum,tote'!$C$21)="No control",SUMIF(('Loading-drum,tote'!$B$31:$B$48),$J2003,('Loading-drum,tote'!$D$31:$D$48))*Impacts!$F$13,IF(('Loading-drum,tote'!$C$21)&lt;&gt;"No control",SUMIF(('Loading-drum,tote'!$B$31:$B$48),$J2003,('Loading-drum,tote'!$E$31:$E$48))*Impacts!$F$13,0)),0)</f>
        <v>0</v>
      </c>
      <c r="R2003" s="10">
        <f>IFERROR(IF(('Loading-truck'!$C$21)="No control",SUMIF(('Loading-truck'!$B$31:$B$48),$J2003,('Loading-truck'!$D$31:$D$48))*Impacts!$F$14,IF(('Loading-truck'!$C$21)&lt;&gt;"No control",SUMIF(('Loading-truck'!$B$31:$B$48),$J2003,('Loading-truck'!$E$31:$E$48))*Impacts!$F$14,0)),0)</f>
        <v>0</v>
      </c>
      <c r="S2003" s="10">
        <f>IFERROR(IF(('Loading-rail'!$C$21)="No control",SUMIF(('Loading-rail'!$B$31:$B$48),$J2003,('Loading-rail'!$D$31:$D$48))*Impacts!$F$15,IF(('Loading-rail'!$C$21)&lt;&gt;"No control",SUMIF(('Loading-rail'!$B$31:$B$48),$J2003,('Loading-rail'!$E$31:$E$48))*Impacts!$F$15,0)),0)</f>
        <v>0</v>
      </c>
      <c r="T2003" s="10">
        <f>IF(Flare!$C$7="",0,(SUMIF(Flare!$B$46:$B$185,$J2003,Flare!$E$46:$E$185)*Impacts!$F$16))</f>
        <v>0</v>
      </c>
      <c r="U2003" s="10">
        <f>IF(VCU!$C$9="",0,(SUMIF(VCU!$B$51:$B$193,$J2003,VCU!$E$51:$E$193)*Impacts!$F$17))</f>
        <v>0</v>
      </c>
      <c r="V2003" s="10">
        <f>IF(CAS!$C$7="",0,(SUMIF(CAS!$B$31:$B$167,$J2003,CAS!$E$31:$E$167)*Impacts!$F$18))</f>
        <v>0</v>
      </c>
      <c r="W2003" s="10">
        <f t="shared" si="71"/>
        <v>0</v>
      </c>
      <c r="AK2003" s="10" t="str">
        <f t="array" ref="AK2003">IFERROR(INDEX(SelectedSpecies,SMALL(IF(SelectedSpecies=AK$1,ROW(SelectedSpecies)),ROW(2004:2004)),2),"")</f>
        <v/>
      </c>
      <c r="BE2003" s="10"/>
      <c r="BI2003" s="10"/>
    </row>
    <row r="2004" spans="1:61" ht="21" customHeight="1" x14ac:dyDescent="0.25">
      <c r="A2004" s="10"/>
      <c r="B2004" s="10"/>
      <c r="E2004" s="10"/>
      <c r="G2004" s="10"/>
      <c r="I2004" s="436" t="s">
        <v>7744</v>
      </c>
      <c r="J2004" s="26" t="s">
        <v>7743</v>
      </c>
      <c r="K2004" s="10">
        <v>0.1</v>
      </c>
      <c r="L2004" s="73">
        <f>IF(Tank1!$C$23="No control",(SUMIF(Tank1!$B$32:$B$49,$J2004,Tank1!$C$32:$C$49)*Impacts!$F$8),0)</f>
        <v>0</v>
      </c>
      <c r="M2004" s="10">
        <f>IF(Tank2!$C$23="No control",(SUMIF(Tank2!$B$32:$B$49,$J2004,Tank2!$C$32:$C$49)*Impacts!$F$9),0)</f>
        <v>0</v>
      </c>
      <c r="N2004" s="10">
        <f>IF(Tank3!$C$23="No control",(SUMIF(Tank3!$B$32:$B$49,$J2004,Tank3!$C$32:$C$49)*Impacts!$F$10),0)</f>
        <v>0</v>
      </c>
      <c r="O2004" s="10">
        <f>IF(Tank4!$C$23="No control",(SUMIF(Tank4!$B$32:$B$49,$J2004,Tank4!$C$32:$C$49)*Impacts!$F$11),0)</f>
        <v>0</v>
      </c>
      <c r="P2004" s="10">
        <f>IF(Tank5!$C$23="No control",(SUMIF(Tank5!$B$32:$B$49,$J2004,Tank5!$C$32:$C$49)*Impacts!$F$12),0)</f>
        <v>0</v>
      </c>
      <c r="Q2004" s="10">
        <f>IFERROR(IF(('Loading-drum,tote'!$C$21)="No control",SUMIF(('Loading-drum,tote'!$B$31:$B$48),$J2004,('Loading-drum,tote'!$D$31:$D$48))*Impacts!$F$13,IF(('Loading-drum,tote'!$C$21)&lt;&gt;"No control",SUMIF(('Loading-drum,tote'!$B$31:$B$48),$J2004,('Loading-drum,tote'!$E$31:$E$48))*Impacts!$F$13,0)),0)</f>
        <v>0</v>
      </c>
      <c r="R2004" s="10">
        <f>IFERROR(IF(('Loading-truck'!$C$21)="No control",SUMIF(('Loading-truck'!$B$31:$B$48),$J2004,('Loading-truck'!$D$31:$D$48))*Impacts!$F$14,IF(('Loading-truck'!$C$21)&lt;&gt;"No control",SUMIF(('Loading-truck'!$B$31:$B$48),$J2004,('Loading-truck'!$E$31:$E$48))*Impacts!$F$14,0)),0)</f>
        <v>0</v>
      </c>
      <c r="S2004" s="10">
        <f>IFERROR(IF(('Loading-rail'!$C$21)="No control",SUMIF(('Loading-rail'!$B$31:$B$48),$J2004,('Loading-rail'!$D$31:$D$48))*Impacts!$F$15,IF(('Loading-rail'!$C$21)&lt;&gt;"No control",SUMIF(('Loading-rail'!$B$31:$B$48),$J2004,('Loading-rail'!$E$31:$E$48))*Impacts!$F$15,0)),0)</f>
        <v>0</v>
      </c>
      <c r="T2004" s="10">
        <f>IF(Flare!$C$7="",0,(SUMIF(Flare!$B$46:$B$185,$J2004,Flare!$E$46:$E$185)*Impacts!$F$16))</f>
        <v>0</v>
      </c>
      <c r="U2004" s="10">
        <f>IF(VCU!$C$9="",0,(SUMIF(VCU!$B$51:$B$193,$J2004,VCU!$E$51:$E$193)*Impacts!$F$17))</f>
        <v>0</v>
      </c>
      <c r="V2004" s="10">
        <f>IF(CAS!$C$7="",0,(SUMIF(CAS!$B$31:$B$167,$J2004,CAS!$E$31:$E$167)*Impacts!$F$18))</f>
        <v>0</v>
      </c>
      <c r="W2004" s="10">
        <f t="shared" si="71"/>
        <v>0</v>
      </c>
      <c r="AK2004" s="10" t="str">
        <f t="array" ref="AK2004">IFERROR(INDEX(SelectedSpecies,SMALL(IF(SelectedSpecies=AK$1,ROW(SelectedSpecies)),ROW(2005:2005)),2),"")</f>
        <v/>
      </c>
      <c r="BE2004" s="10"/>
      <c r="BI2004" s="10"/>
    </row>
    <row r="2005" spans="1:61" ht="21" customHeight="1" x14ac:dyDescent="0.25">
      <c r="A2005" s="10"/>
      <c r="B2005" s="10"/>
      <c r="E2005" s="10"/>
      <c r="G2005" s="10"/>
      <c r="I2005" s="436" t="s">
        <v>7334</v>
      </c>
      <c r="J2005" s="26" t="s">
        <v>7333</v>
      </c>
      <c r="K2005" s="10">
        <v>0.26</v>
      </c>
      <c r="L2005" s="73">
        <f>IF(Tank1!$C$23="No control",(SUMIF(Tank1!$B$32:$B$49,$J2005,Tank1!$C$32:$C$49)*Impacts!$F$8),0)</f>
        <v>0</v>
      </c>
      <c r="M2005" s="10">
        <f>IF(Tank2!$C$23="No control",(SUMIF(Tank2!$B$32:$B$49,$J2005,Tank2!$C$32:$C$49)*Impacts!$F$9),0)</f>
        <v>0</v>
      </c>
      <c r="N2005" s="10">
        <f>IF(Tank3!$C$23="No control",(SUMIF(Tank3!$B$32:$B$49,$J2005,Tank3!$C$32:$C$49)*Impacts!$F$10),0)</f>
        <v>0</v>
      </c>
      <c r="O2005" s="10">
        <f>IF(Tank4!$C$23="No control",(SUMIF(Tank4!$B$32:$B$49,$J2005,Tank4!$C$32:$C$49)*Impacts!$F$11),0)</f>
        <v>0</v>
      </c>
      <c r="P2005" s="10">
        <f>IF(Tank5!$C$23="No control",(SUMIF(Tank5!$B$32:$B$49,$J2005,Tank5!$C$32:$C$49)*Impacts!$F$12),0)</f>
        <v>0</v>
      </c>
      <c r="Q2005" s="10">
        <f>IFERROR(IF(('Loading-drum,tote'!$C$21)="No control",SUMIF(('Loading-drum,tote'!$B$31:$B$48),$J2005,('Loading-drum,tote'!$D$31:$D$48))*Impacts!$F$13,IF(('Loading-drum,tote'!$C$21)&lt;&gt;"No control",SUMIF(('Loading-drum,tote'!$B$31:$B$48),$J2005,('Loading-drum,tote'!$E$31:$E$48))*Impacts!$F$13,0)),0)</f>
        <v>0</v>
      </c>
      <c r="R2005" s="10">
        <f>IFERROR(IF(('Loading-truck'!$C$21)="No control",SUMIF(('Loading-truck'!$B$31:$B$48),$J2005,('Loading-truck'!$D$31:$D$48))*Impacts!$F$14,IF(('Loading-truck'!$C$21)&lt;&gt;"No control",SUMIF(('Loading-truck'!$B$31:$B$48),$J2005,('Loading-truck'!$E$31:$E$48))*Impacts!$F$14,0)),0)</f>
        <v>0</v>
      </c>
      <c r="S2005" s="10">
        <f>IFERROR(IF(('Loading-rail'!$C$21)="No control",SUMIF(('Loading-rail'!$B$31:$B$48),$J2005,('Loading-rail'!$D$31:$D$48))*Impacts!$F$15,IF(('Loading-rail'!$C$21)&lt;&gt;"No control",SUMIF(('Loading-rail'!$B$31:$B$48),$J2005,('Loading-rail'!$E$31:$E$48))*Impacts!$F$15,0)),0)</f>
        <v>0</v>
      </c>
      <c r="T2005" s="10">
        <f>IF(Flare!$C$7="",0,(SUMIF(Flare!$B$46:$B$185,$J2005,Flare!$E$46:$E$185)*Impacts!$F$16))</f>
        <v>0</v>
      </c>
      <c r="U2005" s="10">
        <f>IF(VCU!$C$9="",0,(SUMIF(VCU!$B$51:$B$193,$J2005,VCU!$E$51:$E$193)*Impacts!$F$17))</f>
        <v>0</v>
      </c>
      <c r="V2005" s="10">
        <f>IF(CAS!$C$7="",0,(SUMIF(CAS!$B$31:$B$167,$J2005,CAS!$E$31:$E$167)*Impacts!$F$18))</f>
        <v>0</v>
      </c>
      <c r="W2005" s="10">
        <f t="shared" si="71"/>
        <v>0</v>
      </c>
      <c r="AK2005" s="10" t="str">
        <f t="array" ref="AK2005">IFERROR(INDEX(SelectedSpecies,SMALL(IF(SelectedSpecies=AK$1,ROW(SelectedSpecies)),ROW(2006:2006)),2),"")</f>
        <v/>
      </c>
      <c r="BE2005" s="10"/>
      <c r="BI2005" s="10"/>
    </row>
    <row r="2006" spans="1:61" ht="21" customHeight="1" x14ac:dyDescent="0.25">
      <c r="A2006" s="10"/>
      <c r="B2006" s="10"/>
      <c r="E2006" s="10"/>
      <c r="G2006" s="10"/>
      <c r="I2006" s="436" t="s">
        <v>5569</v>
      </c>
      <c r="J2006" s="26" t="s">
        <v>5568</v>
      </c>
      <c r="K2006" s="10">
        <v>1.2000000000000002</v>
      </c>
      <c r="L2006" s="73">
        <f>IF(Tank1!$C$23="No control",(SUMIF(Tank1!$B$32:$B$49,$J2006,Tank1!$C$32:$C$49)*Impacts!$F$8),0)</f>
        <v>0</v>
      </c>
      <c r="M2006" s="10">
        <f>IF(Tank2!$C$23="No control",(SUMIF(Tank2!$B$32:$B$49,$J2006,Tank2!$C$32:$C$49)*Impacts!$F$9),0)</f>
        <v>0</v>
      </c>
      <c r="N2006" s="10">
        <f>IF(Tank3!$C$23="No control",(SUMIF(Tank3!$B$32:$B$49,$J2006,Tank3!$C$32:$C$49)*Impacts!$F$10),0)</f>
        <v>0</v>
      </c>
      <c r="O2006" s="10">
        <f>IF(Tank4!$C$23="No control",(SUMIF(Tank4!$B$32:$B$49,$J2006,Tank4!$C$32:$C$49)*Impacts!$F$11),0)</f>
        <v>0</v>
      </c>
      <c r="P2006" s="10">
        <f>IF(Tank5!$C$23="No control",(SUMIF(Tank5!$B$32:$B$49,$J2006,Tank5!$C$32:$C$49)*Impacts!$F$12),0)</f>
        <v>0</v>
      </c>
      <c r="Q2006" s="10">
        <f>IFERROR(IF(('Loading-drum,tote'!$C$21)="No control",SUMIF(('Loading-drum,tote'!$B$31:$B$48),$J2006,('Loading-drum,tote'!$D$31:$D$48))*Impacts!$F$13,IF(('Loading-drum,tote'!$C$21)&lt;&gt;"No control",SUMIF(('Loading-drum,tote'!$B$31:$B$48),$J2006,('Loading-drum,tote'!$E$31:$E$48))*Impacts!$F$13,0)),0)</f>
        <v>0</v>
      </c>
      <c r="R2006" s="10">
        <f>IFERROR(IF(('Loading-truck'!$C$21)="No control",SUMIF(('Loading-truck'!$B$31:$B$48),$J2006,('Loading-truck'!$D$31:$D$48))*Impacts!$F$14,IF(('Loading-truck'!$C$21)&lt;&gt;"No control",SUMIF(('Loading-truck'!$B$31:$B$48),$J2006,('Loading-truck'!$E$31:$E$48))*Impacts!$F$14,0)),0)</f>
        <v>0</v>
      </c>
      <c r="S2006" s="10">
        <f>IFERROR(IF(('Loading-rail'!$C$21)="No control",SUMIF(('Loading-rail'!$B$31:$B$48),$J2006,('Loading-rail'!$D$31:$D$48))*Impacts!$F$15,IF(('Loading-rail'!$C$21)&lt;&gt;"No control",SUMIF(('Loading-rail'!$B$31:$B$48),$J2006,('Loading-rail'!$E$31:$E$48))*Impacts!$F$15,0)),0)</f>
        <v>0</v>
      </c>
      <c r="T2006" s="10">
        <f>IF(Flare!$C$7="",0,(SUMIF(Flare!$B$46:$B$185,$J2006,Flare!$E$46:$E$185)*Impacts!$F$16))</f>
        <v>0</v>
      </c>
      <c r="U2006" s="10">
        <f>IF(VCU!$C$9="",0,(SUMIF(VCU!$B$51:$B$193,$J2006,VCU!$E$51:$E$193)*Impacts!$F$17))</f>
        <v>0</v>
      </c>
      <c r="V2006" s="10">
        <f>IF(CAS!$C$7="",0,(SUMIF(CAS!$B$31:$B$167,$J2006,CAS!$E$31:$E$167)*Impacts!$F$18))</f>
        <v>0</v>
      </c>
      <c r="W2006" s="10">
        <f t="shared" si="71"/>
        <v>0</v>
      </c>
      <c r="AK2006" s="10" t="str">
        <f t="array" ref="AK2006">IFERROR(INDEX(SelectedSpecies,SMALL(IF(SelectedSpecies=AK$1,ROW(SelectedSpecies)),ROW(2007:2007)),2),"")</f>
        <v/>
      </c>
      <c r="BE2006" s="10"/>
      <c r="BI2006" s="10"/>
    </row>
    <row r="2007" spans="1:61" ht="21" customHeight="1" x14ac:dyDescent="0.25">
      <c r="A2007" s="10"/>
      <c r="B2007" s="10"/>
      <c r="E2007" s="10"/>
      <c r="G2007" s="10"/>
      <c r="I2007" s="436" t="s">
        <v>7746</v>
      </c>
      <c r="J2007" s="26" t="s">
        <v>7745</v>
      </c>
      <c r="K2007" s="10">
        <v>0.1</v>
      </c>
      <c r="L2007" s="73">
        <f>IF(Tank1!$C$23="No control",(SUMIF(Tank1!$B$32:$B$49,$J2007,Tank1!$C$32:$C$49)*Impacts!$F$8),0)</f>
        <v>0</v>
      </c>
      <c r="M2007" s="10">
        <f>IF(Tank2!$C$23="No control",(SUMIF(Tank2!$B$32:$B$49,$J2007,Tank2!$C$32:$C$49)*Impacts!$F$9),0)</f>
        <v>0</v>
      </c>
      <c r="N2007" s="10">
        <f>IF(Tank3!$C$23="No control",(SUMIF(Tank3!$B$32:$B$49,$J2007,Tank3!$C$32:$C$49)*Impacts!$F$10),0)</f>
        <v>0</v>
      </c>
      <c r="O2007" s="10">
        <f>IF(Tank4!$C$23="No control",(SUMIF(Tank4!$B$32:$B$49,$J2007,Tank4!$C$32:$C$49)*Impacts!$F$11),0)</f>
        <v>0</v>
      </c>
      <c r="P2007" s="10">
        <f>IF(Tank5!$C$23="No control",(SUMIF(Tank5!$B$32:$B$49,$J2007,Tank5!$C$32:$C$49)*Impacts!$F$12),0)</f>
        <v>0</v>
      </c>
      <c r="Q2007" s="10">
        <f>IFERROR(IF(('Loading-drum,tote'!$C$21)="No control",SUMIF(('Loading-drum,tote'!$B$31:$B$48),$J2007,('Loading-drum,tote'!$D$31:$D$48))*Impacts!$F$13,IF(('Loading-drum,tote'!$C$21)&lt;&gt;"No control",SUMIF(('Loading-drum,tote'!$B$31:$B$48),$J2007,('Loading-drum,tote'!$E$31:$E$48))*Impacts!$F$13,0)),0)</f>
        <v>0</v>
      </c>
      <c r="R2007" s="10">
        <f>IFERROR(IF(('Loading-truck'!$C$21)="No control",SUMIF(('Loading-truck'!$B$31:$B$48),$J2007,('Loading-truck'!$D$31:$D$48))*Impacts!$F$14,IF(('Loading-truck'!$C$21)&lt;&gt;"No control",SUMIF(('Loading-truck'!$B$31:$B$48),$J2007,('Loading-truck'!$E$31:$E$48))*Impacts!$F$14,0)),0)</f>
        <v>0</v>
      </c>
      <c r="S2007" s="10">
        <f>IFERROR(IF(('Loading-rail'!$C$21)="No control",SUMIF(('Loading-rail'!$B$31:$B$48),$J2007,('Loading-rail'!$D$31:$D$48))*Impacts!$F$15,IF(('Loading-rail'!$C$21)&lt;&gt;"No control",SUMIF(('Loading-rail'!$B$31:$B$48),$J2007,('Loading-rail'!$E$31:$E$48))*Impacts!$F$15,0)),0)</f>
        <v>0</v>
      </c>
      <c r="T2007" s="10">
        <f>IF(Flare!$C$7="",0,(SUMIF(Flare!$B$46:$B$185,$J2007,Flare!$E$46:$E$185)*Impacts!$F$16))</f>
        <v>0</v>
      </c>
      <c r="U2007" s="10">
        <f>IF(VCU!$C$9="",0,(SUMIF(VCU!$B$51:$B$193,$J2007,VCU!$E$51:$E$193)*Impacts!$F$17))</f>
        <v>0</v>
      </c>
      <c r="V2007" s="10">
        <f>IF(CAS!$C$7="",0,(SUMIF(CAS!$B$31:$B$167,$J2007,CAS!$E$31:$E$167)*Impacts!$F$18))</f>
        <v>0</v>
      </c>
      <c r="W2007" s="10">
        <f t="shared" si="71"/>
        <v>0</v>
      </c>
      <c r="AK2007" s="10" t="str">
        <f t="array" ref="AK2007">IFERROR(INDEX(SelectedSpecies,SMALL(IF(SelectedSpecies=AK$1,ROW(SelectedSpecies)),ROW(2008:2008)),2),"")</f>
        <v/>
      </c>
      <c r="BE2007" s="10"/>
      <c r="BI2007" s="10"/>
    </row>
    <row r="2008" spans="1:61" ht="21" customHeight="1" x14ac:dyDescent="0.25">
      <c r="A2008" s="10"/>
      <c r="B2008" s="10"/>
      <c r="E2008" s="10"/>
      <c r="G2008" s="10"/>
      <c r="I2008" s="436" t="s">
        <v>299</v>
      </c>
      <c r="J2008" s="26" t="s">
        <v>298</v>
      </c>
      <c r="K2008" s="10">
        <v>710</v>
      </c>
      <c r="L2008" s="73">
        <f>IF(Tank1!$C$23="No control",(SUMIF(Tank1!$B$32:$B$49,$J2008,Tank1!$C$32:$C$49)*Impacts!$F$8),0)</f>
        <v>0</v>
      </c>
      <c r="M2008" s="10">
        <f>IF(Tank2!$C$23="No control",(SUMIF(Tank2!$B$32:$B$49,$J2008,Tank2!$C$32:$C$49)*Impacts!$F$9),0)</f>
        <v>0</v>
      </c>
      <c r="N2008" s="10">
        <f>IF(Tank3!$C$23="No control",(SUMIF(Tank3!$B$32:$B$49,$J2008,Tank3!$C$32:$C$49)*Impacts!$F$10),0)</f>
        <v>0</v>
      </c>
      <c r="O2008" s="10">
        <f>IF(Tank4!$C$23="No control",(SUMIF(Tank4!$B$32:$B$49,$J2008,Tank4!$C$32:$C$49)*Impacts!$F$11),0)</f>
        <v>0</v>
      </c>
      <c r="P2008" s="10">
        <f>IF(Tank5!$C$23="No control",(SUMIF(Tank5!$B$32:$B$49,$J2008,Tank5!$C$32:$C$49)*Impacts!$F$12),0)</f>
        <v>0</v>
      </c>
      <c r="Q2008" s="10">
        <f>IFERROR(IF(('Loading-drum,tote'!$C$21)="No control",SUMIF(('Loading-drum,tote'!$B$31:$B$48),$J2008,('Loading-drum,tote'!$D$31:$D$48))*Impacts!$F$13,IF(('Loading-drum,tote'!$C$21)&lt;&gt;"No control",SUMIF(('Loading-drum,tote'!$B$31:$B$48),$J2008,('Loading-drum,tote'!$E$31:$E$48))*Impacts!$F$13,0)),0)</f>
        <v>0</v>
      </c>
      <c r="R2008" s="10">
        <f>IFERROR(IF(('Loading-truck'!$C$21)="No control",SUMIF(('Loading-truck'!$B$31:$B$48),$J2008,('Loading-truck'!$D$31:$D$48))*Impacts!$F$14,IF(('Loading-truck'!$C$21)&lt;&gt;"No control",SUMIF(('Loading-truck'!$B$31:$B$48),$J2008,('Loading-truck'!$E$31:$E$48))*Impacts!$F$14,0)),0)</f>
        <v>0</v>
      </c>
      <c r="S2008" s="10">
        <f>IFERROR(IF(('Loading-rail'!$C$21)="No control",SUMIF(('Loading-rail'!$B$31:$B$48),$J2008,('Loading-rail'!$D$31:$D$48))*Impacts!$F$15,IF(('Loading-rail'!$C$21)&lt;&gt;"No control",SUMIF(('Loading-rail'!$B$31:$B$48),$J2008,('Loading-rail'!$E$31:$E$48))*Impacts!$F$15,0)),0)</f>
        <v>0</v>
      </c>
      <c r="T2008" s="10">
        <f>IF(Flare!$C$7="",0,(SUMIF(Flare!$B$46:$B$185,$J2008,Flare!$E$46:$E$185)*Impacts!$F$16))</f>
        <v>0</v>
      </c>
      <c r="U2008" s="10">
        <f>IF(VCU!$C$9="",0,(SUMIF(VCU!$B$51:$B$193,$J2008,VCU!$E$51:$E$193)*Impacts!$F$17))</f>
        <v>0</v>
      </c>
      <c r="V2008" s="10">
        <f>IF(CAS!$C$7="",0,(SUMIF(CAS!$B$31:$B$167,$J2008,CAS!$E$31:$E$167)*Impacts!$F$18))</f>
        <v>0</v>
      </c>
      <c r="W2008" s="10">
        <f t="shared" si="71"/>
        <v>0</v>
      </c>
      <c r="AK2008" s="10" t="str">
        <f t="array" ref="AK2008">IFERROR(INDEX(SelectedSpecies,SMALL(IF(SelectedSpecies=AK$1,ROW(SelectedSpecies)),ROW(2009:2009)),2),"")</f>
        <v/>
      </c>
      <c r="BE2008" s="10"/>
      <c r="BI2008" s="10"/>
    </row>
    <row r="2009" spans="1:61" ht="21" customHeight="1" x14ac:dyDescent="0.25">
      <c r="A2009" s="10"/>
      <c r="B2009" s="10"/>
      <c r="E2009" s="10"/>
      <c r="G2009" s="10"/>
      <c r="I2009" s="436" t="s">
        <v>393</v>
      </c>
      <c r="J2009" s="26" t="s">
        <v>392</v>
      </c>
      <c r="K2009" s="10">
        <v>270</v>
      </c>
      <c r="L2009" s="73">
        <f>IF(Tank1!$C$23="No control",(SUMIF(Tank1!$B$32:$B$49,$J2009,Tank1!$C$32:$C$49)*Impacts!$F$8),0)</f>
        <v>0</v>
      </c>
      <c r="M2009" s="10">
        <f>IF(Tank2!$C$23="No control",(SUMIF(Tank2!$B$32:$B$49,$J2009,Tank2!$C$32:$C$49)*Impacts!$F$9),0)</f>
        <v>0</v>
      </c>
      <c r="N2009" s="10">
        <f>IF(Tank3!$C$23="No control",(SUMIF(Tank3!$B$32:$B$49,$J2009,Tank3!$C$32:$C$49)*Impacts!$F$10),0)</f>
        <v>0</v>
      </c>
      <c r="O2009" s="10">
        <f>IF(Tank4!$C$23="No control",(SUMIF(Tank4!$B$32:$B$49,$J2009,Tank4!$C$32:$C$49)*Impacts!$F$11),0)</f>
        <v>0</v>
      </c>
      <c r="P2009" s="10">
        <f>IF(Tank5!$C$23="No control",(SUMIF(Tank5!$B$32:$B$49,$J2009,Tank5!$C$32:$C$49)*Impacts!$F$12),0)</f>
        <v>0</v>
      </c>
      <c r="Q2009" s="10">
        <f>IFERROR(IF(('Loading-drum,tote'!$C$21)="No control",SUMIF(('Loading-drum,tote'!$B$31:$B$48),$J2009,('Loading-drum,tote'!$D$31:$D$48))*Impacts!$F$13,IF(('Loading-drum,tote'!$C$21)&lt;&gt;"No control",SUMIF(('Loading-drum,tote'!$B$31:$B$48),$J2009,('Loading-drum,tote'!$E$31:$E$48))*Impacts!$F$13,0)),0)</f>
        <v>0</v>
      </c>
      <c r="R2009" s="10">
        <f>IFERROR(IF(('Loading-truck'!$C$21)="No control",SUMIF(('Loading-truck'!$B$31:$B$48),$J2009,('Loading-truck'!$D$31:$D$48))*Impacts!$F$14,IF(('Loading-truck'!$C$21)&lt;&gt;"No control",SUMIF(('Loading-truck'!$B$31:$B$48),$J2009,('Loading-truck'!$E$31:$E$48))*Impacts!$F$14,0)),0)</f>
        <v>0</v>
      </c>
      <c r="S2009" s="10">
        <f>IFERROR(IF(('Loading-rail'!$C$21)="No control",SUMIF(('Loading-rail'!$B$31:$B$48),$J2009,('Loading-rail'!$D$31:$D$48))*Impacts!$F$15,IF(('Loading-rail'!$C$21)&lt;&gt;"No control",SUMIF(('Loading-rail'!$B$31:$B$48),$J2009,('Loading-rail'!$E$31:$E$48))*Impacts!$F$15,0)),0)</f>
        <v>0</v>
      </c>
      <c r="T2009" s="10">
        <f>IF(Flare!$C$7="",0,(SUMIF(Flare!$B$46:$B$185,$J2009,Flare!$E$46:$E$185)*Impacts!$F$16))</f>
        <v>0</v>
      </c>
      <c r="U2009" s="10">
        <f>IF(VCU!$C$9="",0,(SUMIF(VCU!$B$51:$B$193,$J2009,VCU!$E$51:$E$193)*Impacts!$F$17))</f>
        <v>0</v>
      </c>
      <c r="V2009" s="10">
        <f>IF(CAS!$C$7="",0,(SUMIF(CAS!$B$31:$B$167,$J2009,CAS!$E$31:$E$167)*Impacts!$F$18))</f>
        <v>0</v>
      </c>
      <c r="W2009" s="10">
        <f t="shared" si="71"/>
        <v>0</v>
      </c>
      <c r="AK2009" s="10" t="str">
        <f t="array" ref="AK2009">IFERROR(INDEX(SelectedSpecies,SMALL(IF(SelectedSpecies=AK$1,ROW(SelectedSpecies)),ROW(2010:2010)),2),"")</f>
        <v/>
      </c>
      <c r="BE2009" s="10"/>
      <c r="BI2009" s="10"/>
    </row>
    <row r="2010" spans="1:61" ht="21" customHeight="1" x14ac:dyDescent="0.25">
      <c r="A2010" s="10"/>
      <c r="B2010" s="10"/>
      <c r="E2010" s="10"/>
      <c r="G2010" s="10"/>
      <c r="I2010" s="436" t="s">
        <v>7748</v>
      </c>
      <c r="J2010" s="26" t="s">
        <v>7747</v>
      </c>
      <c r="K2010" s="10">
        <v>0.1</v>
      </c>
      <c r="L2010" s="73">
        <f>IF(Tank1!$C$23="No control",(SUMIF(Tank1!$B$32:$B$49,$J2010,Tank1!$C$32:$C$49)*Impacts!$F$8),0)</f>
        <v>0</v>
      </c>
      <c r="M2010" s="10">
        <f>IF(Tank2!$C$23="No control",(SUMIF(Tank2!$B$32:$B$49,$J2010,Tank2!$C$32:$C$49)*Impacts!$F$9),0)</f>
        <v>0</v>
      </c>
      <c r="N2010" s="10">
        <f>IF(Tank3!$C$23="No control",(SUMIF(Tank3!$B$32:$B$49,$J2010,Tank3!$C$32:$C$49)*Impacts!$F$10),0)</f>
        <v>0</v>
      </c>
      <c r="O2010" s="10">
        <f>IF(Tank4!$C$23="No control",(SUMIF(Tank4!$B$32:$B$49,$J2010,Tank4!$C$32:$C$49)*Impacts!$F$11),0)</f>
        <v>0</v>
      </c>
      <c r="P2010" s="10">
        <f>IF(Tank5!$C$23="No control",(SUMIF(Tank5!$B$32:$B$49,$J2010,Tank5!$C$32:$C$49)*Impacts!$F$12),0)</f>
        <v>0</v>
      </c>
      <c r="Q2010" s="10">
        <f>IFERROR(IF(('Loading-drum,tote'!$C$21)="No control",SUMIF(('Loading-drum,tote'!$B$31:$B$48),$J2010,('Loading-drum,tote'!$D$31:$D$48))*Impacts!$F$13,IF(('Loading-drum,tote'!$C$21)&lt;&gt;"No control",SUMIF(('Loading-drum,tote'!$B$31:$B$48),$J2010,('Loading-drum,tote'!$E$31:$E$48))*Impacts!$F$13,0)),0)</f>
        <v>0</v>
      </c>
      <c r="R2010" s="10">
        <f>IFERROR(IF(('Loading-truck'!$C$21)="No control",SUMIF(('Loading-truck'!$B$31:$B$48),$J2010,('Loading-truck'!$D$31:$D$48))*Impacts!$F$14,IF(('Loading-truck'!$C$21)&lt;&gt;"No control",SUMIF(('Loading-truck'!$B$31:$B$48),$J2010,('Loading-truck'!$E$31:$E$48))*Impacts!$F$14,0)),0)</f>
        <v>0</v>
      </c>
      <c r="S2010" s="10">
        <f>IFERROR(IF(('Loading-rail'!$C$21)="No control",SUMIF(('Loading-rail'!$B$31:$B$48),$J2010,('Loading-rail'!$D$31:$D$48))*Impacts!$F$15,IF(('Loading-rail'!$C$21)&lt;&gt;"No control",SUMIF(('Loading-rail'!$B$31:$B$48),$J2010,('Loading-rail'!$E$31:$E$48))*Impacts!$F$15,0)),0)</f>
        <v>0</v>
      </c>
      <c r="T2010" s="10">
        <f>IF(Flare!$C$7="",0,(SUMIF(Flare!$B$46:$B$185,$J2010,Flare!$E$46:$E$185)*Impacts!$F$16))</f>
        <v>0</v>
      </c>
      <c r="U2010" s="10">
        <f>IF(VCU!$C$9="",0,(SUMIF(VCU!$B$51:$B$193,$J2010,VCU!$E$51:$E$193)*Impacts!$F$17))</f>
        <v>0</v>
      </c>
      <c r="V2010" s="10">
        <f>IF(CAS!$C$7="",0,(SUMIF(CAS!$B$31:$B$167,$J2010,CAS!$E$31:$E$167)*Impacts!$F$18))</f>
        <v>0</v>
      </c>
      <c r="W2010" s="10">
        <f t="shared" ref="W2010:W2073" si="72">SUM(L2010:V2010)</f>
        <v>0</v>
      </c>
      <c r="AK2010" s="10" t="str">
        <f t="array" ref="AK2010">IFERROR(INDEX(SelectedSpecies,SMALL(IF(SelectedSpecies=AK$1,ROW(SelectedSpecies)),ROW(2011:2011)),2),"")</f>
        <v/>
      </c>
      <c r="BE2010" s="10"/>
      <c r="BI2010" s="10"/>
    </row>
    <row r="2011" spans="1:61" ht="21" customHeight="1" x14ac:dyDescent="0.25">
      <c r="A2011" s="10"/>
      <c r="B2011" s="10"/>
      <c r="E2011" s="10"/>
      <c r="G2011" s="10"/>
      <c r="I2011" s="436" t="s">
        <v>5950</v>
      </c>
      <c r="J2011" s="26" t="s">
        <v>5949</v>
      </c>
      <c r="K2011" s="10">
        <v>1</v>
      </c>
      <c r="L2011" s="73">
        <f>IF(Tank1!$C$23="No control",(SUMIF(Tank1!$B$32:$B$49,$J2011,Tank1!$C$32:$C$49)*Impacts!$F$8),0)</f>
        <v>0</v>
      </c>
      <c r="M2011" s="10">
        <f>IF(Tank2!$C$23="No control",(SUMIF(Tank2!$B$32:$B$49,$J2011,Tank2!$C$32:$C$49)*Impacts!$F$9),0)</f>
        <v>0</v>
      </c>
      <c r="N2011" s="10">
        <f>IF(Tank3!$C$23="No control",(SUMIF(Tank3!$B$32:$B$49,$J2011,Tank3!$C$32:$C$49)*Impacts!$F$10),0)</f>
        <v>0</v>
      </c>
      <c r="O2011" s="10">
        <f>IF(Tank4!$C$23="No control",(SUMIF(Tank4!$B$32:$B$49,$J2011,Tank4!$C$32:$C$49)*Impacts!$F$11),0)</f>
        <v>0</v>
      </c>
      <c r="P2011" s="10">
        <f>IF(Tank5!$C$23="No control",(SUMIF(Tank5!$B$32:$B$49,$J2011,Tank5!$C$32:$C$49)*Impacts!$F$12),0)</f>
        <v>0</v>
      </c>
      <c r="Q2011" s="10">
        <f>IFERROR(IF(('Loading-drum,tote'!$C$21)="No control",SUMIF(('Loading-drum,tote'!$B$31:$B$48),$J2011,('Loading-drum,tote'!$D$31:$D$48))*Impacts!$F$13,IF(('Loading-drum,tote'!$C$21)&lt;&gt;"No control",SUMIF(('Loading-drum,tote'!$B$31:$B$48),$J2011,('Loading-drum,tote'!$E$31:$E$48))*Impacts!$F$13,0)),0)</f>
        <v>0</v>
      </c>
      <c r="R2011" s="10">
        <f>IFERROR(IF(('Loading-truck'!$C$21)="No control",SUMIF(('Loading-truck'!$B$31:$B$48),$J2011,('Loading-truck'!$D$31:$D$48))*Impacts!$F$14,IF(('Loading-truck'!$C$21)&lt;&gt;"No control",SUMIF(('Loading-truck'!$B$31:$B$48),$J2011,('Loading-truck'!$E$31:$E$48))*Impacts!$F$14,0)),0)</f>
        <v>0</v>
      </c>
      <c r="S2011" s="10">
        <f>IFERROR(IF(('Loading-rail'!$C$21)="No control",SUMIF(('Loading-rail'!$B$31:$B$48),$J2011,('Loading-rail'!$D$31:$D$48))*Impacts!$F$15,IF(('Loading-rail'!$C$21)&lt;&gt;"No control",SUMIF(('Loading-rail'!$B$31:$B$48),$J2011,('Loading-rail'!$E$31:$E$48))*Impacts!$F$15,0)),0)</f>
        <v>0</v>
      </c>
      <c r="T2011" s="10">
        <f>IF(Flare!$C$7="",0,(SUMIF(Flare!$B$46:$B$185,$J2011,Flare!$E$46:$E$185)*Impacts!$F$16))</f>
        <v>0</v>
      </c>
      <c r="U2011" s="10">
        <f>IF(VCU!$C$9="",0,(SUMIF(VCU!$B$51:$B$193,$J2011,VCU!$E$51:$E$193)*Impacts!$F$17))</f>
        <v>0</v>
      </c>
      <c r="V2011" s="10">
        <f>IF(CAS!$C$7="",0,(SUMIF(CAS!$B$31:$B$167,$J2011,CAS!$E$31:$E$167)*Impacts!$F$18))</f>
        <v>0</v>
      </c>
      <c r="W2011" s="10">
        <f t="shared" si="72"/>
        <v>0</v>
      </c>
      <c r="AK2011" s="10" t="str">
        <f t="array" ref="AK2011">IFERROR(INDEX(SelectedSpecies,SMALL(IF(SelectedSpecies=AK$1,ROW(SelectedSpecies)),ROW(2012:2012)),2),"")</f>
        <v/>
      </c>
      <c r="BE2011" s="10"/>
      <c r="BI2011" s="10"/>
    </row>
    <row r="2012" spans="1:61" ht="21" customHeight="1" x14ac:dyDescent="0.25">
      <c r="A2012" s="10"/>
      <c r="B2012" s="10"/>
      <c r="E2012" s="10"/>
      <c r="G2012" s="10"/>
      <c r="I2012" s="436" t="s">
        <v>5491</v>
      </c>
      <c r="J2012" s="26" t="s">
        <v>5490</v>
      </c>
      <c r="K2012" s="10">
        <v>1.3</v>
      </c>
      <c r="L2012" s="73">
        <f>IF(Tank1!$C$23="No control",(SUMIF(Tank1!$B$32:$B$49,$J2012,Tank1!$C$32:$C$49)*Impacts!$F$8),0)</f>
        <v>0</v>
      </c>
      <c r="M2012" s="10">
        <f>IF(Tank2!$C$23="No control",(SUMIF(Tank2!$B$32:$B$49,$J2012,Tank2!$C$32:$C$49)*Impacts!$F$9),0)</f>
        <v>0</v>
      </c>
      <c r="N2012" s="10">
        <f>IF(Tank3!$C$23="No control",(SUMIF(Tank3!$B$32:$B$49,$J2012,Tank3!$C$32:$C$49)*Impacts!$F$10),0)</f>
        <v>0</v>
      </c>
      <c r="O2012" s="10">
        <f>IF(Tank4!$C$23="No control",(SUMIF(Tank4!$B$32:$B$49,$J2012,Tank4!$C$32:$C$49)*Impacts!$F$11),0)</f>
        <v>0</v>
      </c>
      <c r="P2012" s="10">
        <f>IF(Tank5!$C$23="No control",(SUMIF(Tank5!$B$32:$B$49,$J2012,Tank5!$C$32:$C$49)*Impacts!$F$12),0)</f>
        <v>0</v>
      </c>
      <c r="Q2012" s="10">
        <f>IFERROR(IF(('Loading-drum,tote'!$C$21)="No control",SUMIF(('Loading-drum,tote'!$B$31:$B$48),$J2012,('Loading-drum,tote'!$D$31:$D$48))*Impacts!$F$13,IF(('Loading-drum,tote'!$C$21)&lt;&gt;"No control",SUMIF(('Loading-drum,tote'!$B$31:$B$48),$J2012,('Loading-drum,tote'!$E$31:$E$48))*Impacts!$F$13,0)),0)</f>
        <v>0</v>
      </c>
      <c r="R2012" s="10">
        <f>IFERROR(IF(('Loading-truck'!$C$21)="No control",SUMIF(('Loading-truck'!$B$31:$B$48),$J2012,('Loading-truck'!$D$31:$D$48))*Impacts!$F$14,IF(('Loading-truck'!$C$21)&lt;&gt;"No control",SUMIF(('Loading-truck'!$B$31:$B$48),$J2012,('Loading-truck'!$E$31:$E$48))*Impacts!$F$14,0)),0)</f>
        <v>0</v>
      </c>
      <c r="S2012" s="10">
        <f>IFERROR(IF(('Loading-rail'!$C$21)="No control",SUMIF(('Loading-rail'!$B$31:$B$48),$J2012,('Loading-rail'!$D$31:$D$48))*Impacts!$F$15,IF(('Loading-rail'!$C$21)&lt;&gt;"No control",SUMIF(('Loading-rail'!$B$31:$B$48),$J2012,('Loading-rail'!$E$31:$E$48))*Impacts!$F$15,0)),0)</f>
        <v>0</v>
      </c>
      <c r="T2012" s="10">
        <f>IF(Flare!$C$7="",0,(SUMIF(Flare!$B$46:$B$185,$J2012,Flare!$E$46:$E$185)*Impacts!$F$16))</f>
        <v>0</v>
      </c>
      <c r="U2012" s="10">
        <f>IF(VCU!$C$9="",0,(SUMIF(VCU!$B$51:$B$193,$J2012,VCU!$E$51:$E$193)*Impacts!$F$17))</f>
        <v>0</v>
      </c>
      <c r="V2012" s="10">
        <f>IF(CAS!$C$7="",0,(SUMIF(CAS!$B$31:$B$167,$J2012,CAS!$E$31:$E$167)*Impacts!$F$18))</f>
        <v>0</v>
      </c>
      <c r="W2012" s="10">
        <f t="shared" si="72"/>
        <v>0</v>
      </c>
      <c r="AK2012" s="10" t="str">
        <f t="array" ref="AK2012">IFERROR(INDEX(SelectedSpecies,SMALL(IF(SelectedSpecies=AK$1,ROW(SelectedSpecies)),ROW(2013:2013)),2),"")</f>
        <v/>
      </c>
      <c r="BE2012" s="10"/>
      <c r="BI2012" s="10"/>
    </row>
    <row r="2013" spans="1:61" ht="21" customHeight="1" x14ac:dyDescent="0.25">
      <c r="A2013" s="10"/>
      <c r="B2013" s="10"/>
      <c r="E2013" s="10"/>
      <c r="G2013" s="10"/>
      <c r="I2013" s="436" t="s">
        <v>7982</v>
      </c>
      <c r="J2013" s="26" t="s">
        <v>7981</v>
      </c>
      <c r="K2013" s="10">
        <v>3.2000000000000001E-2</v>
      </c>
      <c r="L2013" s="73">
        <f>IF(Tank1!$C$23="No control",(SUMIF(Tank1!$B$32:$B$49,$J2013,Tank1!$C$32:$C$49)*Impacts!$F$8),0)</f>
        <v>0</v>
      </c>
      <c r="M2013" s="10">
        <f>IF(Tank2!$C$23="No control",(SUMIF(Tank2!$B$32:$B$49,$J2013,Tank2!$C$32:$C$49)*Impacts!$F$9),0)</f>
        <v>0</v>
      </c>
      <c r="N2013" s="10">
        <f>IF(Tank3!$C$23="No control",(SUMIF(Tank3!$B$32:$B$49,$J2013,Tank3!$C$32:$C$49)*Impacts!$F$10),0)</f>
        <v>0</v>
      </c>
      <c r="O2013" s="10">
        <f>IF(Tank4!$C$23="No control",(SUMIF(Tank4!$B$32:$B$49,$J2013,Tank4!$C$32:$C$49)*Impacts!$F$11),0)</f>
        <v>0</v>
      </c>
      <c r="P2013" s="10">
        <f>IF(Tank5!$C$23="No control",(SUMIF(Tank5!$B$32:$B$49,$J2013,Tank5!$C$32:$C$49)*Impacts!$F$12),0)</f>
        <v>0</v>
      </c>
      <c r="Q2013" s="10">
        <f>IFERROR(IF(('Loading-drum,tote'!$C$21)="No control",SUMIF(('Loading-drum,tote'!$B$31:$B$48),$J2013,('Loading-drum,tote'!$D$31:$D$48))*Impacts!$F$13,IF(('Loading-drum,tote'!$C$21)&lt;&gt;"No control",SUMIF(('Loading-drum,tote'!$B$31:$B$48),$J2013,('Loading-drum,tote'!$E$31:$E$48))*Impacts!$F$13,0)),0)</f>
        <v>0</v>
      </c>
      <c r="R2013" s="10">
        <f>IFERROR(IF(('Loading-truck'!$C$21)="No control",SUMIF(('Loading-truck'!$B$31:$B$48),$J2013,('Loading-truck'!$D$31:$D$48))*Impacts!$F$14,IF(('Loading-truck'!$C$21)&lt;&gt;"No control",SUMIF(('Loading-truck'!$B$31:$B$48),$J2013,('Loading-truck'!$E$31:$E$48))*Impacts!$F$14,0)),0)</f>
        <v>0</v>
      </c>
      <c r="S2013" s="10">
        <f>IFERROR(IF(('Loading-rail'!$C$21)="No control",SUMIF(('Loading-rail'!$B$31:$B$48),$J2013,('Loading-rail'!$D$31:$D$48))*Impacts!$F$15,IF(('Loading-rail'!$C$21)&lt;&gt;"No control",SUMIF(('Loading-rail'!$B$31:$B$48),$J2013,('Loading-rail'!$E$31:$E$48))*Impacts!$F$15,0)),0)</f>
        <v>0</v>
      </c>
      <c r="T2013" s="10">
        <f>IF(Flare!$C$7="",0,(SUMIF(Flare!$B$46:$B$185,$J2013,Flare!$E$46:$E$185)*Impacts!$F$16))</f>
        <v>0</v>
      </c>
      <c r="U2013" s="10">
        <f>IF(VCU!$C$9="",0,(SUMIF(VCU!$B$51:$B$193,$J2013,VCU!$E$51:$E$193)*Impacts!$F$17))</f>
        <v>0</v>
      </c>
      <c r="V2013" s="10">
        <f>IF(CAS!$C$7="",0,(SUMIF(CAS!$B$31:$B$167,$J2013,CAS!$E$31:$E$167)*Impacts!$F$18))</f>
        <v>0</v>
      </c>
      <c r="W2013" s="10">
        <f t="shared" si="72"/>
        <v>0</v>
      </c>
      <c r="AK2013" s="10" t="str">
        <f t="array" ref="AK2013">IFERROR(INDEX(SelectedSpecies,SMALL(IF(SelectedSpecies=AK$1,ROW(SelectedSpecies)),ROW(2014:2014)),2),"")</f>
        <v/>
      </c>
      <c r="BE2013" s="10"/>
      <c r="BI2013" s="10"/>
    </row>
    <row r="2014" spans="1:61" ht="21" customHeight="1" x14ac:dyDescent="0.25">
      <c r="A2014" s="10"/>
      <c r="B2014" s="10"/>
      <c r="E2014" s="10"/>
      <c r="G2014" s="10"/>
      <c r="I2014" s="436" t="s">
        <v>8166</v>
      </c>
      <c r="J2014" s="26" t="s">
        <v>8165</v>
      </c>
      <c r="K2014" s="10">
        <v>1.0000000000000002E-2</v>
      </c>
      <c r="L2014" s="73">
        <f>IF(Tank1!$C$23="No control",(SUMIF(Tank1!$B$32:$B$49,$J2014,Tank1!$C$32:$C$49)*Impacts!$F$8),0)</f>
        <v>0</v>
      </c>
      <c r="M2014" s="10">
        <f>IF(Tank2!$C$23="No control",(SUMIF(Tank2!$B$32:$B$49,$J2014,Tank2!$C$32:$C$49)*Impacts!$F$9),0)</f>
        <v>0</v>
      </c>
      <c r="N2014" s="10">
        <f>IF(Tank3!$C$23="No control",(SUMIF(Tank3!$B$32:$B$49,$J2014,Tank3!$C$32:$C$49)*Impacts!$F$10),0)</f>
        <v>0</v>
      </c>
      <c r="O2014" s="10">
        <f>IF(Tank4!$C$23="No control",(SUMIF(Tank4!$B$32:$B$49,$J2014,Tank4!$C$32:$C$49)*Impacts!$F$11),0)</f>
        <v>0</v>
      </c>
      <c r="P2014" s="10">
        <f>IF(Tank5!$C$23="No control",(SUMIF(Tank5!$B$32:$B$49,$J2014,Tank5!$C$32:$C$49)*Impacts!$F$12),0)</f>
        <v>0</v>
      </c>
      <c r="Q2014" s="10">
        <f>IFERROR(IF(('Loading-drum,tote'!$C$21)="No control",SUMIF(('Loading-drum,tote'!$B$31:$B$48),$J2014,('Loading-drum,tote'!$D$31:$D$48))*Impacts!$F$13,IF(('Loading-drum,tote'!$C$21)&lt;&gt;"No control",SUMIF(('Loading-drum,tote'!$B$31:$B$48),$J2014,('Loading-drum,tote'!$E$31:$E$48))*Impacts!$F$13,0)),0)</f>
        <v>0</v>
      </c>
      <c r="R2014" s="10">
        <f>IFERROR(IF(('Loading-truck'!$C$21)="No control",SUMIF(('Loading-truck'!$B$31:$B$48),$J2014,('Loading-truck'!$D$31:$D$48))*Impacts!$F$14,IF(('Loading-truck'!$C$21)&lt;&gt;"No control",SUMIF(('Loading-truck'!$B$31:$B$48),$J2014,('Loading-truck'!$E$31:$E$48))*Impacts!$F$14,0)),0)</f>
        <v>0</v>
      </c>
      <c r="S2014" s="10">
        <f>IFERROR(IF(('Loading-rail'!$C$21)="No control",SUMIF(('Loading-rail'!$B$31:$B$48),$J2014,('Loading-rail'!$D$31:$D$48))*Impacts!$F$15,IF(('Loading-rail'!$C$21)&lt;&gt;"No control",SUMIF(('Loading-rail'!$B$31:$B$48),$J2014,('Loading-rail'!$E$31:$E$48))*Impacts!$F$15,0)),0)</f>
        <v>0</v>
      </c>
      <c r="T2014" s="10">
        <f>IF(Flare!$C$7="",0,(SUMIF(Flare!$B$46:$B$185,$J2014,Flare!$E$46:$E$185)*Impacts!$F$16))</f>
        <v>0</v>
      </c>
      <c r="U2014" s="10">
        <f>IF(VCU!$C$9="",0,(SUMIF(VCU!$B$51:$B$193,$J2014,VCU!$E$51:$E$193)*Impacts!$F$17))</f>
        <v>0</v>
      </c>
      <c r="V2014" s="10">
        <f>IF(CAS!$C$7="",0,(SUMIF(CAS!$B$31:$B$167,$J2014,CAS!$E$31:$E$167)*Impacts!$F$18))</f>
        <v>0</v>
      </c>
      <c r="W2014" s="10">
        <f t="shared" si="72"/>
        <v>0</v>
      </c>
      <c r="AK2014" s="10" t="str">
        <f t="array" ref="AK2014">IFERROR(INDEX(SelectedSpecies,SMALL(IF(SelectedSpecies=AK$1,ROW(SelectedSpecies)),ROW(2015:2015)),2),"")</f>
        <v/>
      </c>
      <c r="BE2014" s="10"/>
      <c r="BI2014" s="10"/>
    </row>
    <row r="2015" spans="1:61" ht="21" customHeight="1" x14ac:dyDescent="0.25">
      <c r="A2015" s="10"/>
      <c r="B2015" s="10"/>
      <c r="E2015" s="10"/>
      <c r="G2015" s="10"/>
      <c r="I2015" s="436" t="s">
        <v>2901</v>
      </c>
      <c r="J2015" s="26" t="s">
        <v>2900</v>
      </c>
      <c r="K2015" s="10">
        <v>10</v>
      </c>
      <c r="L2015" s="73">
        <f>IF(Tank1!$C$23="No control",(SUMIF(Tank1!$B$32:$B$49,$J2015,Tank1!$C$32:$C$49)*Impacts!$F$8),0)</f>
        <v>0</v>
      </c>
      <c r="M2015" s="10">
        <f>IF(Tank2!$C$23="No control",(SUMIF(Tank2!$B$32:$B$49,$J2015,Tank2!$C$32:$C$49)*Impacts!$F$9),0)</f>
        <v>0</v>
      </c>
      <c r="N2015" s="10">
        <f>IF(Tank3!$C$23="No control",(SUMIF(Tank3!$B$32:$B$49,$J2015,Tank3!$C$32:$C$49)*Impacts!$F$10),0)</f>
        <v>0</v>
      </c>
      <c r="O2015" s="10">
        <f>IF(Tank4!$C$23="No control",(SUMIF(Tank4!$B$32:$B$49,$J2015,Tank4!$C$32:$C$49)*Impacts!$F$11),0)</f>
        <v>0</v>
      </c>
      <c r="P2015" s="10">
        <f>IF(Tank5!$C$23="No control",(SUMIF(Tank5!$B$32:$B$49,$J2015,Tank5!$C$32:$C$49)*Impacts!$F$12),0)</f>
        <v>0</v>
      </c>
      <c r="Q2015" s="10">
        <f>IFERROR(IF(('Loading-drum,tote'!$C$21)="No control",SUMIF(('Loading-drum,tote'!$B$31:$B$48),$J2015,('Loading-drum,tote'!$D$31:$D$48))*Impacts!$F$13,IF(('Loading-drum,tote'!$C$21)&lt;&gt;"No control",SUMIF(('Loading-drum,tote'!$B$31:$B$48),$J2015,('Loading-drum,tote'!$E$31:$E$48))*Impacts!$F$13,0)),0)</f>
        <v>0</v>
      </c>
      <c r="R2015" s="10">
        <f>IFERROR(IF(('Loading-truck'!$C$21)="No control",SUMIF(('Loading-truck'!$B$31:$B$48),$J2015,('Loading-truck'!$D$31:$D$48))*Impacts!$F$14,IF(('Loading-truck'!$C$21)&lt;&gt;"No control",SUMIF(('Loading-truck'!$B$31:$B$48),$J2015,('Loading-truck'!$E$31:$E$48))*Impacts!$F$14,0)),0)</f>
        <v>0</v>
      </c>
      <c r="S2015" s="10">
        <f>IFERROR(IF(('Loading-rail'!$C$21)="No control",SUMIF(('Loading-rail'!$B$31:$B$48),$J2015,('Loading-rail'!$D$31:$D$48))*Impacts!$F$15,IF(('Loading-rail'!$C$21)&lt;&gt;"No control",SUMIF(('Loading-rail'!$B$31:$B$48),$J2015,('Loading-rail'!$E$31:$E$48))*Impacts!$F$15,0)),0)</f>
        <v>0</v>
      </c>
      <c r="T2015" s="10">
        <f>IF(Flare!$C$7="",0,(SUMIF(Flare!$B$46:$B$185,$J2015,Flare!$E$46:$E$185)*Impacts!$F$16))</f>
        <v>0</v>
      </c>
      <c r="U2015" s="10">
        <f>IF(VCU!$C$9="",0,(SUMIF(VCU!$B$51:$B$193,$J2015,VCU!$E$51:$E$193)*Impacts!$F$17))</f>
        <v>0</v>
      </c>
      <c r="V2015" s="10">
        <f>IF(CAS!$C$7="",0,(SUMIF(CAS!$B$31:$B$167,$J2015,CAS!$E$31:$E$167)*Impacts!$F$18))</f>
        <v>0</v>
      </c>
      <c r="W2015" s="10">
        <f t="shared" si="72"/>
        <v>0</v>
      </c>
      <c r="AK2015" s="10" t="str">
        <f t="array" ref="AK2015">IFERROR(INDEX(SelectedSpecies,SMALL(IF(SelectedSpecies=AK$1,ROW(SelectedSpecies)),ROW(2016:2016)),2),"")</f>
        <v/>
      </c>
      <c r="BE2015" s="10"/>
      <c r="BI2015" s="10"/>
    </row>
    <row r="2016" spans="1:61" ht="21" customHeight="1" x14ac:dyDescent="0.25">
      <c r="A2016" s="10"/>
      <c r="B2016" s="10"/>
      <c r="E2016" s="10"/>
      <c r="G2016" s="10"/>
      <c r="I2016" s="436" t="s">
        <v>4201</v>
      </c>
      <c r="J2016" s="26" t="s">
        <v>4200</v>
      </c>
      <c r="K2016" s="10">
        <v>5</v>
      </c>
      <c r="L2016" s="73">
        <f>IF(Tank1!$C$23="No control",(SUMIF(Tank1!$B$32:$B$49,$J2016,Tank1!$C$32:$C$49)*Impacts!$F$8),0)</f>
        <v>0</v>
      </c>
      <c r="M2016" s="10">
        <f>IF(Tank2!$C$23="No control",(SUMIF(Tank2!$B$32:$B$49,$J2016,Tank2!$C$32:$C$49)*Impacts!$F$9),0)</f>
        <v>0</v>
      </c>
      <c r="N2016" s="10">
        <f>IF(Tank3!$C$23="No control",(SUMIF(Tank3!$B$32:$B$49,$J2016,Tank3!$C$32:$C$49)*Impacts!$F$10),0)</f>
        <v>0</v>
      </c>
      <c r="O2016" s="10">
        <f>IF(Tank4!$C$23="No control",(SUMIF(Tank4!$B$32:$B$49,$J2016,Tank4!$C$32:$C$49)*Impacts!$F$11),0)</f>
        <v>0</v>
      </c>
      <c r="P2016" s="10">
        <f>IF(Tank5!$C$23="No control",(SUMIF(Tank5!$B$32:$B$49,$J2016,Tank5!$C$32:$C$49)*Impacts!$F$12),0)</f>
        <v>0</v>
      </c>
      <c r="Q2016" s="10">
        <f>IFERROR(IF(('Loading-drum,tote'!$C$21)="No control",SUMIF(('Loading-drum,tote'!$B$31:$B$48),$J2016,('Loading-drum,tote'!$D$31:$D$48))*Impacts!$F$13,IF(('Loading-drum,tote'!$C$21)&lt;&gt;"No control",SUMIF(('Loading-drum,tote'!$B$31:$B$48),$J2016,('Loading-drum,tote'!$E$31:$E$48))*Impacts!$F$13,0)),0)</f>
        <v>0</v>
      </c>
      <c r="R2016" s="10">
        <f>IFERROR(IF(('Loading-truck'!$C$21)="No control",SUMIF(('Loading-truck'!$B$31:$B$48),$J2016,('Loading-truck'!$D$31:$D$48))*Impacts!$F$14,IF(('Loading-truck'!$C$21)&lt;&gt;"No control",SUMIF(('Loading-truck'!$B$31:$B$48),$J2016,('Loading-truck'!$E$31:$E$48))*Impacts!$F$14,0)),0)</f>
        <v>0</v>
      </c>
      <c r="S2016" s="10">
        <f>IFERROR(IF(('Loading-rail'!$C$21)="No control",SUMIF(('Loading-rail'!$B$31:$B$48),$J2016,('Loading-rail'!$D$31:$D$48))*Impacts!$F$15,IF(('Loading-rail'!$C$21)&lt;&gt;"No control",SUMIF(('Loading-rail'!$B$31:$B$48),$J2016,('Loading-rail'!$E$31:$E$48))*Impacts!$F$15,0)),0)</f>
        <v>0</v>
      </c>
      <c r="T2016" s="10">
        <f>IF(Flare!$C$7="",0,(SUMIF(Flare!$B$46:$B$185,$J2016,Flare!$E$46:$E$185)*Impacts!$F$16))</f>
        <v>0</v>
      </c>
      <c r="U2016" s="10">
        <f>IF(VCU!$C$9="",0,(SUMIF(VCU!$B$51:$B$193,$J2016,VCU!$E$51:$E$193)*Impacts!$F$17))</f>
        <v>0</v>
      </c>
      <c r="V2016" s="10">
        <f>IF(CAS!$C$7="",0,(SUMIF(CAS!$B$31:$B$167,$J2016,CAS!$E$31:$E$167)*Impacts!$F$18))</f>
        <v>0</v>
      </c>
      <c r="W2016" s="10">
        <f t="shared" si="72"/>
        <v>0</v>
      </c>
      <c r="AK2016" s="10" t="str">
        <f t="array" ref="AK2016">IFERROR(INDEX(SelectedSpecies,SMALL(IF(SelectedSpecies=AK$1,ROW(SelectedSpecies)),ROW(2017:2017)),2),"")</f>
        <v/>
      </c>
      <c r="BE2016" s="10"/>
      <c r="BI2016" s="10"/>
    </row>
    <row r="2017" spans="1:61" ht="21" customHeight="1" x14ac:dyDescent="0.25">
      <c r="A2017" s="10"/>
      <c r="B2017" s="10"/>
      <c r="E2017" s="10"/>
      <c r="G2017" s="10"/>
      <c r="I2017" s="436" t="s">
        <v>5605</v>
      </c>
      <c r="J2017" s="26" t="s">
        <v>5604</v>
      </c>
      <c r="K2017" s="10">
        <v>1.1000000000000001</v>
      </c>
      <c r="L2017" s="73">
        <f>IF(Tank1!$C$23="No control",(SUMIF(Tank1!$B$32:$B$49,$J2017,Tank1!$C$32:$C$49)*Impacts!$F$8),0)</f>
        <v>0</v>
      </c>
      <c r="M2017" s="10">
        <f>IF(Tank2!$C$23="No control",(SUMIF(Tank2!$B$32:$B$49,$J2017,Tank2!$C$32:$C$49)*Impacts!$F$9),0)</f>
        <v>0</v>
      </c>
      <c r="N2017" s="10">
        <f>IF(Tank3!$C$23="No control",(SUMIF(Tank3!$B$32:$B$49,$J2017,Tank3!$C$32:$C$49)*Impacts!$F$10),0)</f>
        <v>0</v>
      </c>
      <c r="O2017" s="10">
        <f>IF(Tank4!$C$23="No control",(SUMIF(Tank4!$B$32:$B$49,$J2017,Tank4!$C$32:$C$49)*Impacts!$F$11),0)</f>
        <v>0</v>
      </c>
      <c r="P2017" s="10">
        <f>IF(Tank5!$C$23="No control",(SUMIF(Tank5!$B$32:$B$49,$J2017,Tank5!$C$32:$C$49)*Impacts!$F$12),0)</f>
        <v>0</v>
      </c>
      <c r="Q2017" s="10">
        <f>IFERROR(IF(('Loading-drum,tote'!$C$21)="No control",SUMIF(('Loading-drum,tote'!$B$31:$B$48),$J2017,('Loading-drum,tote'!$D$31:$D$48))*Impacts!$F$13,IF(('Loading-drum,tote'!$C$21)&lt;&gt;"No control",SUMIF(('Loading-drum,tote'!$B$31:$B$48),$J2017,('Loading-drum,tote'!$E$31:$E$48))*Impacts!$F$13,0)),0)</f>
        <v>0</v>
      </c>
      <c r="R2017" s="10">
        <f>IFERROR(IF(('Loading-truck'!$C$21)="No control",SUMIF(('Loading-truck'!$B$31:$B$48),$J2017,('Loading-truck'!$D$31:$D$48))*Impacts!$F$14,IF(('Loading-truck'!$C$21)&lt;&gt;"No control",SUMIF(('Loading-truck'!$B$31:$B$48),$J2017,('Loading-truck'!$E$31:$E$48))*Impacts!$F$14,0)),0)</f>
        <v>0</v>
      </c>
      <c r="S2017" s="10">
        <f>IFERROR(IF(('Loading-rail'!$C$21)="No control",SUMIF(('Loading-rail'!$B$31:$B$48),$J2017,('Loading-rail'!$D$31:$D$48))*Impacts!$F$15,IF(('Loading-rail'!$C$21)&lt;&gt;"No control",SUMIF(('Loading-rail'!$B$31:$B$48),$J2017,('Loading-rail'!$E$31:$E$48))*Impacts!$F$15,0)),0)</f>
        <v>0</v>
      </c>
      <c r="T2017" s="10">
        <f>IF(Flare!$C$7="",0,(SUMIF(Flare!$B$46:$B$185,$J2017,Flare!$E$46:$E$185)*Impacts!$F$16))</f>
        <v>0</v>
      </c>
      <c r="U2017" s="10">
        <f>IF(VCU!$C$9="",0,(SUMIF(VCU!$B$51:$B$193,$J2017,VCU!$E$51:$E$193)*Impacts!$F$17))</f>
        <v>0</v>
      </c>
      <c r="V2017" s="10">
        <f>IF(CAS!$C$7="",0,(SUMIF(CAS!$B$31:$B$167,$J2017,CAS!$E$31:$E$167)*Impacts!$F$18))</f>
        <v>0</v>
      </c>
      <c r="W2017" s="10">
        <f t="shared" si="72"/>
        <v>0</v>
      </c>
      <c r="AK2017" s="10" t="str">
        <f t="array" ref="AK2017">IFERROR(INDEX(SelectedSpecies,SMALL(IF(SelectedSpecies=AK$1,ROW(SelectedSpecies)),ROW(2018:2018)),2),"")</f>
        <v/>
      </c>
      <c r="BE2017" s="10"/>
      <c r="BI2017" s="10"/>
    </row>
    <row r="2018" spans="1:61" ht="21" customHeight="1" x14ac:dyDescent="0.25">
      <c r="A2018" s="10"/>
      <c r="B2018" s="10"/>
      <c r="E2018" s="10"/>
      <c r="G2018" s="10"/>
      <c r="I2018" s="436" t="s">
        <v>2903</v>
      </c>
      <c r="J2018" s="26" t="s">
        <v>2902</v>
      </c>
      <c r="K2018" s="10">
        <v>10</v>
      </c>
      <c r="L2018" s="73">
        <f>IF(Tank1!$C$23="No control",(SUMIF(Tank1!$B$32:$B$49,$J2018,Tank1!$C$32:$C$49)*Impacts!$F$8),0)</f>
        <v>0</v>
      </c>
      <c r="M2018" s="10">
        <f>IF(Tank2!$C$23="No control",(SUMIF(Tank2!$B$32:$B$49,$J2018,Tank2!$C$32:$C$49)*Impacts!$F$9),0)</f>
        <v>0</v>
      </c>
      <c r="N2018" s="10">
        <f>IF(Tank3!$C$23="No control",(SUMIF(Tank3!$B$32:$B$49,$J2018,Tank3!$C$32:$C$49)*Impacts!$F$10),0)</f>
        <v>0</v>
      </c>
      <c r="O2018" s="10">
        <f>IF(Tank4!$C$23="No control",(SUMIF(Tank4!$B$32:$B$49,$J2018,Tank4!$C$32:$C$49)*Impacts!$F$11),0)</f>
        <v>0</v>
      </c>
      <c r="P2018" s="10">
        <f>IF(Tank5!$C$23="No control",(SUMIF(Tank5!$B$32:$B$49,$J2018,Tank5!$C$32:$C$49)*Impacts!$F$12),0)</f>
        <v>0</v>
      </c>
      <c r="Q2018" s="10">
        <f>IFERROR(IF(('Loading-drum,tote'!$C$21)="No control",SUMIF(('Loading-drum,tote'!$B$31:$B$48),$J2018,('Loading-drum,tote'!$D$31:$D$48))*Impacts!$F$13,IF(('Loading-drum,tote'!$C$21)&lt;&gt;"No control",SUMIF(('Loading-drum,tote'!$B$31:$B$48),$J2018,('Loading-drum,tote'!$E$31:$E$48))*Impacts!$F$13,0)),0)</f>
        <v>0</v>
      </c>
      <c r="R2018" s="10">
        <f>IFERROR(IF(('Loading-truck'!$C$21)="No control",SUMIF(('Loading-truck'!$B$31:$B$48),$J2018,('Loading-truck'!$D$31:$D$48))*Impacts!$F$14,IF(('Loading-truck'!$C$21)&lt;&gt;"No control",SUMIF(('Loading-truck'!$B$31:$B$48),$J2018,('Loading-truck'!$E$31:$E$48))*Impacts!$F$14,0)),0)</f>
        <v>0</v>
      </c>
      <c r="S2018" s="10">
        <f>IFERROR(IF(('Loading-rail'!$C$21)="No control",SUMIF(('Loading-rail'!$B$31:$B$48),$J2018,('Loading-rail'!$D$31:$D$48))*Impacts!$F$15,IF(('Loading-rail'!$C$21)&lt;&gt;"No control",SUMIF(('Loading-rail'!$B$31:$B$48),$J2018,('Loading-rail'!$E$31:$E$48))*Impacts!$F$15,0)),0)</f>
        <v>0</v>
      </c>
      <c r="T2018" s="10">
        <f>IF(Flare!$C$7="",0,(SUMIF(Flare!$B$46:$B$185,$J2018,Flare!$E$46:$E$185)*Impacts!$F$16))</f>
        <v>0</v>
      </c>
      <c r="U2018" s="10">
        <f>IF(VCU!$C$9="",0,(SUMIF(VCU!$B$51:$B$193,$J2018,VCU!$E$51:$E$193)*Impacts!$F$17))</f>
        <v>0</v>
      </c>
      <c r="V2018" s="10">
        <f>IF(CAS!$C$7="",0,(SUMIF(CAS!$B$31:$B$167,$J2018,CAS!$E$31:$E$167)*Impacts!$F$18))</f>
        <v>0</v>
      </c>
      <c r="W2018" s="10">
        <f t="shared" si="72"/>
        <v>0</v>
      </c>
      <c r="AK2018" s="10" t="str">
        <f t="array" ref="AK2018">IFERROR(INDEX(SelectedSpecies,SMALL(IF(SelectedSpecies=AK$1,ROW(SelectedSpecies)),ROW(2019:2019)),2),"")</f>
        <v/>
      </c>
      <c r="BE2018" s="10"/>
      <c r="BI2018" s="10"/>
    </row>
    <row r="2019" spans="1:61" ht="21" customHeight="1" x14ac:dyDescent="0.25">
      <c r="A2019" s="10"/>
      <c r="B2019" s="10"/>
      <c r="E2019" s="10"/>
      <c r="G2019" s="10"/>
      <c r="I2019" s="436" t="s">
        <v>5952</v>
      </c>
      <c r="J2019" s="26" t="s">
        <v>5951</v>
      </c>
      <c r="K2019" s="10">
        <v>1</v>
      </c>
      <c r="L2019" s="73">
        <f>IF(Tank1!$C$23="No control",(SUMIF(Tank1!$B$32:$B$49,$J2019,Tank1!$C$32:$C$49)*Impacts!$F$8),0)</f>
        <v>0</v>
      </c>
      <c r="M2019" s="10">
        <f>IF(Tank2!$C$23="No control",(SUMIF(Tank2!$B$32:$B$49,$J2019,Tank2!$C$32:$C$49)*Impacts!$F$9),0)</f>
        <v>0</v>
      </c>
      <c r="N2019" s="10">
        <f>IF(Tank3!$C$23="No control",(SUMIF(Tank3!$B$32:$B$49,$J2019,Tank3!$C$32:$C$49)*Impacts!$F$10),0)</f>
        <v>0</v>
      </c>
      <c r="O2019" s="10">
        <f>IF(Tank4!$C$23="No control",(SUMIF(Tank4!$B$32:$B$49,$J2019,Tank4!$C$32:$C$49)*Impacts!$F$11),0)</f>
        <v>0</v>
      </c>
      <c r="P2019" s="10">
        <f>IF(Tank5!$C$23="No control",(SUMIF(Tank5!$B$32:$B$49,$J2019,Tank5!$C$32:$C$49)*Impacts!$F$12),0)</f>
        <v>0</v>
      </c>
      <c r="Q2019" s="10">
        <f>IFERROR(IF(('Loading-drum,tote'!$C$21)="No control",SUMIF(('Loading-drum,tote'!$B$31:$B$48),$J2019,('Loading-drum,tote'!$D$31:$D$48))*Impacts!$F$13,IF(('Loading-drum,tote'!$C$21)&lt;&gt;"No control",SUMIF(('Loading-drum,tote'!$B$31:$B$48),$J2019,('Loading-drum,tote'!$E$31:$E$48))*Impacts!$F$13,0)),0)</f>
        <v>0</v>
      </c>
      <c r="R2019" s="10">
        <f>IFERROR(IF(('Loading-truck'!$C$21)="No control",SUMIF(('Loading-truck'!$B$31:$B$48),$J2019,('Loading-truck'!$D$31:$D$48))*Impacts!$F$14,IF(('Loading-truck'!$C$21)&lt;&gt;"No control",SUMIF(('Loading-truck'!$B$31:$B$48),$J2019,('Loading-truck'!$E$31:$E$48))*Impacts!$F$14,0)),0)</f>
        <v>0</v>
      </c>
      <c r="S2019" s="10">
        <f>IFERROR(IF(('Loading-rail'!$C$21)="No control",SUMIF(('Loading-rail'!$B$31:$B$48),$J2019,('Loading-rail'!$D$31:$D$48))*Impacts!$F$15,IF(('Loading-rail'!$C$21)&lt;&gt;"No control",SUMIF(('Loading-rail'!$B$31:$B$48),$J2019,('Loading-rail'!$E$31:$E$48))*Impacts!$F$15,0)),0)</f>
        <v>0</v>
      </c>
      <c r="T2019" s="10">
        <f>IF(Flare!$C$7="",0,(SUMIF(Flare!$B$46:$B$185,$J2019,Flare!$E$46:$E$185)*Impacts!$F$16))</f>
        <v>0</v>
      </c>
      <c r="U2019" s="10">
        <f>IF(VCU!$C$9="",0,(SUMIF(VCU!$B$51:$B$193,$J2019,VCU!$E$51:$E$193)*Impacts!$F$17))</f>
        <v>0</v>
      </c>
      <c r="V2019" s="10">
        <f>IF(CAS!$C$7="",0,(SUMIF(CAS!$B$31:$B$167,$J2019,CAS!$E$31:$E$167)*Impacts!$F$18))</f>
        <v>0</v>
      </c>
      <c r="W2019" s="10">
        <f t="shared" si="72"/>
        <v>0</v>
      </c>
      <c r="AK2019" s="10" t="str">
        <f t="array" ref="AK2019">IFERROR(INDEX(SelectedSpecies,SMALL(IF(SelectedSpecies=AK$1,ROW(SelectedSpecies)),ROW(2020:2020)),2),"")</f>
        <v/>
      </c>
      <c r="BE2019" s="10"/>
      <c r="BI2019" s="10"/>
    </row>
    <row r="2020" spans="1:61" ht="21" customHeight="1" x14ac:dyDescent="0.25">
      <c r="A2020" s="10"/>
      <c r="B2020" s="10"/>
      <c r="E2020" s="10"/>
      <c r="G2020" s="10"/>
      <c r="I2020" s="436" t="s">
        <v>3805</v>
      </c>
      <c r="J2020" s="26" t="s">
        <v>3804</v>
      </c>
      <c r="K2020" s="10">
        <v>6</v>
      </c>
      <c r="L2020" s="73">
        <f>IF(Tank1!$C$23="No control",(SUMIF(Tank1!$B$32:$B$49,$J2020,Tank1!$C$32:$C$49)*Impacts!$F$8),0)</f>
        <v>0</v>
      </c>
      <c r="M2020" s="10">
        <f>IF(Tank2!$C$23="No control",(SUMIF(Tank2!$B$32:$B$49,$J2020,Tank2!$C$32:$C$49)*Impacts!$F$9),0)</f>
        <v>0</v>
      </c>
      <c r="N2020" s="10">
        <f>IF(Tank3!$C$23="No control",(SUMIF(Tank3!$B$32:$B$49,$J2020,Tank3!$C$32:$C$49)*Impacts!$F$10),0)</f>
        <v>0</v>
      </c>
      <c r="O2020" s="10">
        <f>IF(Tank4!$C$23="No control",(SUMIF(Tank4!$B$32:$B$49,$J2020,Tank4!$C$32:$C$49)*Impacts!$F$11),0)</f>
        <v>0</v>
      </c>
      <c r="P2020" s="10">
        <f>IF(Tank5!$C$23="No control",(SUMIF(Tank5!$B$32:$B$49,$J2020,Tank5!$C$32:$C$49)*Impacts!$F$12),0)</f>
        <v>0</v>
      </c>
      <c r="Q2020" s="10">
        <f>IFERROR(IF(('Loading-drum,tote'!$C$21)="No control",SUMIF(('Loading-drum,tote'!$B$31:$B$48),$J2020,('Loading-drum,tote'!$D$31:$D$48))*Impacts!$F$13,IF(('Loading-drum,tote'!$C$21)&lt;&gt;"No control",SUMIF(('Loading-drum,tote'!$B$31:$B$48),$J2020,('Loading-drum,tote'!$E$31:$E$48))*Impacts!$F$13,0)),0)</f>
        <v>0</v>
      </c>
      <c r="R2020" s="10">
        <f>IFERROR(IF(('Loading-truck'!$C$21)="No control",SUMIF(('Loading-truck'!$B$31:$B$48),$J2020,('Loading-truck'!$D$31:$D$48))*Impacts!$F$14,IF(('Loading-truck'!$C$21)&lt;&gt;"No control",SUMIF(('Loading-truck'!$B$31:$B$48),$J2020,('Loading-truck'!$E$31:$E$48))*Impacts!$F$14,0)),0)</f>
        <v>0</v>
      </c>
      <c r="S2020" s="10">
        <f>IFERROR(IF(('Loading-rail'!$C$21)="No control",SUMIF(('Loading-rail'!$B$31:$B$48),$J2020,('Loading-rail'!$D$31:$D$48))*Impacts!$F$15,IF(('Loading-rail'!$C$21)&lt;&gt;"No control",SUMIF(('Loading-rail'!$B$31:$B$48),$J2020,('Loading-rail'!$E$31:$E$48))*Impacts!$F$15,0)),0)</f>
        <v>0</v>
      </c>
      <c r="T2020" s="10">
        <f>IF(Flare!$C$7="",0,(SUMIF(Flare!$B$46:$B$185,$J2020,Flare!$E$46:$E$185)*Impacts!$F$16))</f>
        <v>0</v>
      </c>
      <c r="U2020" s="10">
        <f>IF(VCU!$C$9="",0,(SUMIF(VCU!$B$51:$B$193,$J2020,VCU!$E$51:$E$193)*Impacts!$F$17))</f>
        <v>0</v>
      </c>
      <c r="V2020" s="10">
        <f>IF(CAS!$C$7="",0,(SUMIF(CAS!$B$31:$B$167,$J2020,CAS!$E$31:$E$167)*Impacts!$F$18))</f>
        <v>0</v>
      </c>
      <c r="W2020" s="10">
        <f t="shared" si="72"/>
        <v>0</v>
      </c>
      <c r="AK2020" s="10" t="str">
        <f t="array" ref="AK2020">IFERROR(INDEX(SelectedSpecies,SMALL(IF(SelectedSpecies=AK$1,ROW(SelectedSpecies)),ROW(2021:2021)),2),"")</f>
        <v/>
      </c>
      <c r="BE2020" s="10"/>
      <c r="BI2020" s="10"/>
    </row>
    <row r="2021" spans="1:61" ht="21" customHeight="1" x14ac:dyDescent="0.25">
      <c r="A2021" s="10"/>
      <c r="B2021" s="10"/>
      <c r="E2021" s="10"/>
      <c r="G2021" s="10"/>
      <c r="I2021" s="436" t="s">
        <v>2905</v>
      </c>
      <c r="J2021" s="26" t="s">
        <v>2904</v>
      </c>
      <c r="K2021" s="10">
        <v>10</v>
      </c>
      <c r="L2021" s="73">
        <f>IF(Tank1!$C$23="No control",(SUMIF(Tank1!$B$32:$B$49,$J2021,Tank1!$C$32:$C$49)*Impacts!$F$8),0)</f>
        <v>0</v>
      </c>
      <c r="M2021" s="10">
        <f>IF(Tank2!$C$23="No control",(SUMIF(Tank2!$B$32:$B$49,$J2021,Tank2!$C$32:$C$49)*Impacts!$F$9),0)</f>
        <v>0</v>
      </c>
      <c r="N2021" s="10">
        <f>IF(Tank3!$C$23="No control",(SUMIF(Tank3!$B$32:$B$49,$J2021,Tank3!$C$32:$C$49)*Impacts!$F$10),0)</f>
        <v>0</v>
      </c>
      <c r="O2021" s="10">
        <f>IF(Tank4!$C$23="No control",(SUMIF(Tank4!$B$32:$B$49,$J2021,Tank4!$C$32:$C$49)*Impacts!$F$11),0)</f>
        <v>0</v>
      </c>
      <c r="P2021" s="10">
        <f>IF(Tank5!$C$23="No control",(SUMIF(Tank5!$B$32:$B$49,$J2021,Tank5!$C$32:$C$49)*Impacts!$F$12),0)</f>
        <v>0</v>
      </c>
      <c r="Q2021" s="10">
        <f>IFERROR(IF(('Loading-drum,tote'!$C$21)="No control",SUMIF(('Loading-drum,tote'!$B$31:$B$48),$J2021,('Loading-drum,tote'!$D$31:$D$48))*Impacts!$F$13,IF(('Loading-drum,tote'!$C$21)&lt;&gt;"No control",SUMIF(('Loading-drum,tote'!$B$31:$B$48),$J2021,('Loading-drum,tote'!$E$31:$E$48))*Impacts!$F$13,0)),0)</f>
        <v>0</v>
      </c>
      <c r="R2021" s="10">
        <f>IFERROR(IF(('Loading-truck'!$C$21)="No control",SUMIF(('Loading-truck'!$B$31:$B$48),$J2021,('Loading-truck'!$D$31:$D$48))*Impacts!$F$14,IF(('Loading-truck'!$C$21)&lt;&gt;"No control",SUMIF(('Loading-truck'!$B$31:$B$48),$J2021,('Loading-truck'!$E$31:$E$48))*Impacts!$F$14,0)),0)</f>
        <v>0</v>
      </c>
      <c r="S2021" s="10">
        <f>IFERROR(IF(('Loading-rail'!$C$21)="No control",SUMIF(('Loading-rail'!$B$31:$B$48),$J2021,('Loading-rail'!$D$31:$D$48))*Impacts!$F$15,IF(('Loading-rail'!$C$21)&lt;&gt;"No control",SUMIF(('Loading-rail'!$B$31:$B$48),$J2021,('Loading-rail'!$E$31:$E$48))*Impacts!$F$15,0)),0)</f>
        <v>0</v>
      </c>
      <c r="T2021" s="10">
        <f>IF(Flare!$C$7="",0,(SUMIF(Flare!$B$46:$B$185,$J2021,Flare!$E$46:$E$185)*Impacts!$F$16))</f>
        <v>0</v>
      </c>
      <c r="U2021" s="10">
        <f>IF(VCU!$C$9="",0,(SUMIF(VCU!$B$51:$B$193,$J2021,VCU!$E$51:$E$193)*Impacts!$F$17))</f>
        <v>0</v>
      </c>
      <c r="V2021" s="10">
        <f>IF(CAS!$C$7="",0,(SUMIF(CAS!$B$31:$B$167,$J2021,CAS!$E$31:$E$167)*Impacts!$F$18))</f>
        <v>0</v>
      </c>
      <c r="W2021" s="10">
        <f t="shared" si="72"/>
        <v>0</v>
      </c>
      <c r="AK2021" s="10" t="str">
        <f t="array" ref="AK2021">IFERROR(INDEX(SelectedSpecies,SMALL(IF(SelectedSpecies=AK$1,ROW(SelectedSpecies)),ROW(2022:2022)),2),"")</f>
        <v/>
      </c>
      <c r="BE2021" s="10"/>
      <c r="BI2021" s="10"/>
    </row>
    <row r="2022" spans="1:61" ht="21" customHeight="1" x14ac:dyDescent="0.25">
      <c r="A2022" s="10"/>
      <c r="B2022" s="10"/>
      <c r="E2022" s="10"/>
      <c r="G2022" s="10"/>
      <c r="I2022" s="436" t="s">
        <v>7612</v>
      </c>
      <c r="J2022" s="26" t="s">
        <v>7611</v>
      </c>
      <c r="K2022" s="10">
        <v>0.15000000000000002</v>
      </c>
      <c r="L2022" s="73">
        <f>IF(Tank1!$C$23="No control",(SUMIF(Tank1!$B$32:$B$49,$J2022,Tank1!$C$32:$C$49)*Impacts!$F$8),0)</f>
        <v>0</v>
      </c>
      <c r="M2022" s="10">
        <f>IF(Tank2!$C$23="No control",(SUMIF(Tank2!$B$32:$B$49,$J2022,Tank2!$C$32:$C$49)*Impacts!$F$9),0)</f>
        <v>0</v>
      </c>
      <c r="N2022" s="10">
        <f>IF(Tank3!$C$23="No control",(SUMIF(Tank3!$B$32:$B$49,$J2022,Tank3!$C$32:$C$49)*Impacts!$F$10),0)</f>
        <v>0</v>
      </c>
      <c r="O2022" s="10">
        <f>IF(Tank4!$C$23="No control",(SUMIF(Tank4!$B$32:$B$49,$J2022,Tank4!$C$32:$C$49)*Impacts!$F$11),0)</f>
        <v>0</v>
      </c>
      <c r="P2022" s="10">
        <f>IF(Tank5!$C$23="No control",(SUMIF(Tank5!$B$32:$B$49,$J2022,Tank5!$C$32:$C$49)*Impacts!$F$12),0)</f>
        <v>0</v>
      </c>
      <c r="Q2022" s="10">
        <f>IFERROR(IF(('Loading-drum,tote'!$C$21)="No control",SUMIF(('Loading-drum,tote'!$B$31:$B$48),$J2022,('Loading-drum,tote'!$D$31:$D$48))*Impacts!$F$13,IF(('Loading-drum,tote'!$C$21)&lt;&gt;"No control",SUMIF(('Loading-drum,tote'!$B$31:$B$48),$J2022,('Loading-drum,tote'!$E$31:$E$48))*Impacts!$F$13,0)),0)</f>
        <v>0</v>
      </c>
      <c r="R2022" s="10">
        <f>IFERROR(IF(('Loading-truck'!$C$21)="No control",SUMIF(('Loading-truck'!$B$31:$B$48),$J2022,('Loading-truck'!$D$31:$D$48))*Impacts!$F$14,IF(('Loading-truck'!$C$21)&lt;&gt;"No control",SUMIF(('Loading-truck'!$B$31:$B$48),$J2022,('Loading-truck'!$E$31:$E$48))*Impacts!$F$14,0)),0)</f>
        <v>0</v>
      </c>
      <c r="S2022" s="10">
        <f>IFERROR(IF(('Loading-rail'!$C$21)="No control",SUMIF(('Loading-rail'!$B$31:$B$48),$J2022,('Loading-rail'!$D$31:$D$48))*Impacts!$F$15,IF(('Loading-rail'!$C$21)&lt;&gt;"No control",SUMIF(('Loading-rail'!$B$31:$B$48),$J2022,('Loading-rail'!$E$31:$E$48))*Impacts!$F$15,0)),0)</f>
        <v>0</v>
      </c>
      <c r="T2022" s="10">
        <f>IF(Flare!$C$7="",0,(SUMIF(Flare!$B$46:$B$185,$J2022,Flare!$E$46:$E$185)*Impacts!$F$16))</f>
        <v>0</v>
      </c>
      <c r="U2022" s="10">
        <f>IF(VCU!$C$9="",0,(SUMIF(VCU!$B$51:$B$193,$J2022,VCU!$E$51:$E$193)*Impacts!$F$17))</f>
        <v>0</v>
      </c>
      <c r="V2022" s="10">
        <f>IF(CAS!$C$7="",0,(SUMIF(CAS!$B$31:$B$167,$J2022,CAS!$E$31:$E$167)*Impacts!$F$18))</f>
        <v>0</v>
      </c>
      <c r="W2022" s="10">
        <f t="shared" si="72"/>
        <v>0</v>
      </c>
      <c r="AK2022" s="10" t="str">
        <f t="array" ref="AK2022">IFERROR(INDEX(SelectedSpecies,SMALL(IF(SelectedSpecies=AK$1,ROW(SelectedSpecies)),ROW(2023:2023)),2),"")</f>
        <v/>
      </c>
      <c r="BE2022" s="10"/>
      <c r="BI2022" s="10"/>
    </row>
    <row r="2023" spans="1:61" ht="21" customHeight="1" x14ac:dyDescent="0.25">
      <c r="A2023" s="10"/>
      <c r="B2023" s="10"/>
      <c r="E2023" s="10"/>
      <c r="G2023" s="10"/>
      <c r="I2023" s="436" t="s">
        <v>7582</v>
      </c>
      <c r="J2023" s="26" t="s">
        <v>7581</v>
      </c>
      <c r="K2023" s="10">
        <v>0.18000000000000002</v>
      </c>
      <c r="L2023" s="73">
        <f>IF(Tank1!$C$23="No control",(SUMIF(Tank1!$B$32:$B$49,$J2023,Tank1!$C$32:$C$49)*Impacts!$F$8),0)</f>
        <v>0</v>
      </c>
      <c r="M2023" s="10">
        <f>IF(Tank2!$C$23="No control",(SUMIF(Tank2!$B$32:$B$49,$J2023,Tank2!$C$32:$C$49)*Impacts!$F$9),0)</f>
        <v>0</v>
      </c>
      <c r="N2023" s="10">
        <f>IF(Tank3!$C$23="No control",(SUMIF(Tank3!$B$32:$B$49,$J2023,Tank3!$C$32:$C$49)*Impacts!$F$10),0)</f>
        <v>0</v>
      </c>
      <c r="O2023" s="10">
        <f>IF(Tank4!$C$23="No control",(SUMIF(Tank4!$B$32:$B$49,$J2023,Tank4!$C$32:$C$49)*Impacts!$F$11),0)</f>
        <v>0</v>
      </c>
      <c r="P2023" s="10">
        <f>IF(Tank5!$C$23="No control",(SUMIF(Tank5!$B$32:$B$49,$J2023,Tank5!$C$32:$C$49)*Impacts!$F$12),0)</f>
        <v>0</v>
      </c>
      <c r="Q2023" s="10">
        <f>IFERROR(IF(('Loading-drum,tote'!$C$21)="No control",SUMIF(('Loading-drum,tote'!$B$31:$B$48),$J2023,('Loading-drum,tote'!$D$31:$D$48))*Impacts!$F$13,IF(('Loading-drum,tote'!$C$21)&lt;&gt;"No control",SUMIF(('Loading-drum,tote'!$B$31:$B$48),$J2023,('Loading-drum,tote'!$E$31:$E$48))*Impacts!$F$13,0)),0)</f>
        <v>0</v>
      </c>
      <c r="R2023" s="10">
        <f>IFERROR(IF(('Loading-truck'!$C$21)="No control",SUMIF(('Loading-truck'!$B$31:$B$48),$J2023,('Loading-truck'!$D$31:$D$48))*Impacts!$F$14,IF(('Loading-truck'!$C$21)&lt;&gt;"No control",SUMIF(('Loading-truck'!$B$31:$B$48),$J2023,('Loading-truck'!$E$31:$E$48))*Impacts!$F$14,0)),0)</f>
        <v>0</v>
      </c>
      <c r="S2023" s="10">
        <f>IFERROR(IF(('Loading-rail'!$C$21)="No control",SUMIF(('Loading-rail'!$B$31:$B$48),$J2023,('Loading-rail'!$D$31:$D$48))*Impacts!$F$15,IF(('Loading-rail'!$C$21)&lt;&gt;"No control",SUMIF(('Loading-rail'!$B$31:$B$48),$J2023,('Loading-rail'!$E$31:$E$48))*Impacts!$F$15,0)),0)</f>
        <v>0</v>
      </c>
      <c r="T2023" s="10">
        <f>IF(Flare!$C$7="",0,(SUMIF(Flare!$B$46:$B$185,$J2023,Flare!$E$46:$E$185)*Impacts!$F$16))</f>
        <v>0</v>
      </c>
      <c r="U2023" s="10">
        <f>IF(VCU!$C$9="",0,(SUMIF(VCU!$B$51:$B$193,$J2023,VCU!$E$51:$E$193)*Impacts!$F$17))</f>
        <v>0</v>
      </c>
      <c r="V2023" s="10">
        <f>IF(CAS!$C$7="",0,(SUMIF(CAS!$B$31:$B$167,$J2023,CAS!$E$31:$E$167)*Impacts!$F$18))</f>
        <v>0</v>
      </c>
      <c r="W2023" s="10">
        <f t="shared" si="72"/>
        <v>0</v>
      </c>
      <c r="AK2023" s="10" t="str">
        <f t="array" ref="AK2023">IFERROR(INDEX(SelectedSpecies,SMALL(IF(SelectedSpecies=AK$1,ROW(SelectedSpecies)),ROW(2024:2024)),2),"")</f>
        <v/>
      </c>
      <c r="BE2023" s="10"/>
      <c r="BI2023" s="10"/>
    </row>
    <row r="2024" spans="1:61" ht="21" customHeight="1" x14ac:dyDescent="0.25">
      <c r="A2024" s="10"/>
      <c r="B2024" s="10"/>
      <c r="E2024" s="10"/>
      <c r="G2024" s="10"/>
      <c r="I2024" s="436" t="s">
        <v>7750</v>
      </c>
      <c r="J2024" s="26" t="s">
        <v>7749</v>
      </c>
      <c r="K2024" s="10">
        <v>0.1</v>
      </c>
      <c r="L2024" s="73">
        <f>IF(Tank1!$C$23="No control",(SUMIF(Tank1!$B$32:$B$49,$J2024,Tank1!$C$32:$C$49)*Impacts!$F$8),0)</f>
        <v>0</v>
      </c>
      <c r="M2024" s="10">
        <f>IF(Tank2!$C$23="No control",(SUMIF(Tank2!$B$32:$B$49,$J2024,Tank2!$C$32:$C$49)*Impacts!$F$9),0)</f>
        <v>0</v>
      </c>
      <c r="N2024" s="10">
        <f>IF(Tank3!$C$23="No control",(SUMIF(Tank3!$B$32:$B$49,$J2024,Tank3!$C$32:$C$49)*Impacts!$F$10),0)</f>
        <v>0</v>
      </c>
      <c r="O2024" s="10">
        <f>IF(Tank4!$C$23="No control",(SUMIF(Tank4!$B$32:$B$49,$J2024,Tank4!$C$32:$C$49)*Impacts!$F$11),0)</f>
        <v>0</v>
      </c>
      <c r="P2024" s="10">
        <f>IF(Tank5!$C$23="No control",(SUMIF(Tank5!$B$32:$B$49,$J2024,Tank5!$C$32:$C$49)*Impacts!$F$12),0)</f>
        <v>0</v>
      </c>
      <c r="Q2024" s="10">
        <f>IFERROR(IF(('Loading-drum,tote'!$C$21)="No control",SUMIF(('Loading-drum,tote'!$B$31:$B$48),$J2024,('Loading-drum,tote'!$D$31:$D$48))*Impacts!$F$13,IF(('Loading-drum,tote'!$C$21)&lt;&gt;"No control",SUMIF(('Loading-drum,tote'!$B$31:$B$48),$J2024,('Loading-drum,tote'!$E$31:$E$48))*Impacts!$F$13,0)),0)</f>
        <v>0</v>
      </c>
      <c r="R2024" s="10">
        <f>IFERROR(IF(('Loading-truck'!$C$21)="No control",SUMIF(('Loading-truck'!$B$31:$B$48),$J2024,('Loading-truck'!$D$31:$D$48))*Impacts!$F$14,IF(('Loading-truck'!$C$21)&lt;&gt;"No control",SUMIF(('Loading-truck'!$B$31:$B$48),$J2024,('Loading-truck'!$E$31:$E$48))*Impacts!$F$14,0)),0)</f>
        <v>0</v>
      </c>
      <c r="S2024" s="10">
        <f>IFERROR(IF(('Loading-rail'!$C$21)="No control",SUMIF(('Loading-rail'!$B$31:$B$48),$J2024,('Loading-rail'!$D$31:$D$48))*Impacts!$F$15,IF(('Loading-rail'!$C$21)&lt;&gt;"No control",SUMIF(('Loading-rail'!$B$31:$B$48),$J2024,('Loading-rail'!$E$31:$E$48))*Impacts!$F$15,0)),0)</f>
        <v>0</v>
      </c>
      <c r="T2024" s="10">
        <f>IF(Flare!$C$7="",0,(SUMIF(Flare!$B$46:$B$185,$J2024,Flare!$E$46:$E$185)*Impacts!$F$16))</f>
        <v>0</v>
      </c>
      <c r="U2024" s="10">
        <f>IF(VCU!$C$9="",0,(SUMIF(VCU!$B$51:$B$193,$J2024,VCU!$E$51:$E$193)*Impacts!$F$17))</f>
        <v>0</v>
      </c>
      <c r="V2024" s="10">
        <f>IF(CAS!$C$7="",0,(SUMIF(CAS!$B$31:$B$167,$J2024,CAS!$E$31:$E$167)*Impacts!$F$18))</f>
        <v>0</v>
      </c>
      <c r="W2024" s="10">
        <f t="shared" si="72"/>
        <v>0</v>
      </c>
      <c r="AK2024" s="10" t="str">
        <f t="array" ref="AK2024">IFERROR(INDEX(SelectedSpecies,SMALL(IF(SelectedSpecies=AK$1,ROW(SelectedSpecies)),ROW(2025:2025)),2),"")</f>
        <v/>
      </c>
      <c r="BE2024" s="10"/>
      <c r="BI2024" s="10"/>
    </row>
    <row r="2025" spans="1:61" ht="21" customHeight="1" x14ac:dyDescent="0.25">
      <c r="A2025" s="10"/>
      <c r="B2025" s="10"/>
      <c r="E2025" s="10"/>
      <c r="G2025" s="10"/>
      <c r="I2025" s="436" t="s">
        <v>2251</v>
      </c>
      <c r="J2025" s="26" t="s">
        <v>2250</v>
      </c>
      <c r="K2025" s="10">
        <v>12.5</v>
      </c>
      <c r="L2025" s="73">
        <f>IF(Tank1!$C$23="No control",(SUMIF(Tank1!$B$32:$B$49,$J2025,Tank1!$C$32:$C$49)*Impacts!$F$8),0)</f>
        <v>0</v>
      </c>
      <c r="M2025" s="10">
        <f>IF(Tank2!$C$23="No control",(SUMIF(Tank2!$B$32:$B$49,$J2025,Tank2!$C$32:$C$49)*Impacts!$F$9),0)</f>
        <v>0</v>
      </c>
      <c r="N2025" s="10">
        <f>IF(Tank3!$C$23="No control",(SUMIF(Tank3!$B$32:$B$49,$J2025,Tank3!$C$32:$C$49)*Impacts!$F$10),0)</f>
        <v>0</v>
      </c>
      <c r="O2025" s="10">
        <f>IF(Tank4!$C$23="No control",(SUMIF(Tank4!$B$32:$B$49,$J2025,Tank4!$C$32:$C$49)*Impacts!$F$11),0)</f>
        <v>0</v>
      </c>
      <c r="P2025" s="10">
        <f>IF(Tank5!$C$23="No control",(SUMIF(Tank5!$B$32:$B$49,$J2025,Tank5!$C$32:$C$49)*Impacts!$F$12),0)</f>
        <v>0</v>
      </c>
      <c r="Q2025" s="10">
        <f>IFERROR(IF(('Loading-drum,tote'!$C$21)="No control",SUMIF(('Loading-drum,tote'!$B$31:$B$48),$J2025,('Loading-drum,tote'!$D$31:$D$48))*Impacts!$F$13,IF(('Loading-drum,tote'!$C$21)&lt;&gt;"No control",SUMIF(('Loading-drum,tote'!$B$31:$B$48),$J2025,('Loading-drum,tote'!$E$31:$E$48))*Impacts!$F$13,0)),0)</f>
        <v>0</v>
      </c>
      <c r="R2025" s="10">
        <f>IFERROR(IF(('Loading-truck'!$C$21)="No control",SUMIF(('Loading-truck'!$B$31:$B$48),$J2025,('Loading-truck'!$D$31:$D$48))*Impacts!$F$14,IF(('Loading-truck'!$C$21)&lt;&gt;"No control",SUMIF(('Loading-truck'!$B$31:$B$48),$J2025,('Loading-truck'!$E$31:$E$48))*Impacts!$F$14,0)),0)</f>
        <v>0</v>
      </c>
      <c r="S2025" s="10">
        <f>IFERROR(IF(('Loading-rail'!$C$21)="No control",SUMIF(('Loading-rail'!$B$31:$B$48),$J2025,('Loading-rail'!$D$31:$D$48))*Impacts!$F$15,IF(('Loading-rail'!$C$21)&lt;&gt;"No control",SUMIF(('Loading-rail'!$B$31:$B$48),$J2025,('Loading-rail'!$E$31:$E$48))*Impacts!$F$15,0)),0)</f>
        <v>0</v>
      </c>
      <c r="T2025" s="10">
        <f>IF(Flare!$C$7="",0,(SUMIF(Flare!$B$46:$B$185,$J2025,Flare!$E$46:$E$185)*Impacts!$F$16))</f>
        <v>0</v>
      </c>
      <c r="U2025" s="10">
        <f>IF(VCU!$C$9="",0,(SUMIF(VCU!$B$51:$B$193,$J2025,VCU!$E$51:$E$193)*Impacts!$F$17))</f>
        <v>0</v>
      </c>
      <c r="V2025" s="10">
        <f>IF(CAS!$C$7="",0,(SUMIF(CAS!$B$31:$B$167,$J2025,CAS!$E$31:$E$167)*Impacts!$F$18))</f>
        <v>0</v>
      </c>
      <c r="W2025" s="10">
        <f t="shared" si="72"/>
        <v>0</v>
      </c>
      <c r="AK2025" s="10" t="str">
        <f t="array" ref="AK2025">IFERROR(INDEX(SelectedSpecies,SMALL(IF(SelectedSpecies=AK$1,ROW(SelectedSpecies)),ROW(2026:2026)),2),"")</f>
        <v/>
      </c>
      <c r="BE2025" s="10"/>
      <c r="BI2025" s="10"/>
    </row>
    <row r="2026" spans="1:61" ht="21" customHeight="1" x14ac:dyDescent="0.25">
      <c r="A2026" s="10"/>
      <c r="B2026" s="10"/>
      <c r="E2026" s="10"/>
      <c r="G2026" s="10"/>
      <c r="I2026" s="436" t="s">
        <v>1060</v>
      </c>
      <c r="J2026" s="26" t="s">
        <v>1059</v>
      </c>
      <c r="K2026" s="10">
        <v>35</v>
      </c>
      <c r="L2026" s="73">
        <f>IF(Tank1!$C$23="No control",(SUMIF(Tank1!$B$32:$B$49,$J2026,Tank1!$C$32:$C$49)*Impacts!$F$8),0)</f>
        <v>0</v>
      </c>
      <c r="M2026" s="10">
        <f>IF(Tank2!$C$23="No control",(SUMIF(Tank2!$B$32:$B$49,$J2026,Tank2!$C$32:$C$49)*Impacts!$F$9),0)</f>
        <v>0</v>
      </c>
      <c r="N2026" s="10">
        <f>IF(Tank3!$C$23="No control",(SUMIF(Tank3!$B$32:$B$49,$J2026,Tank3!$C$32:$C$49)*Impacts!$F$10),0)</f>
        <v>0</v>
      </c>
      <c r="O2026" s="10">
        <f>IF(Tank4!$C$23="No control",(SUMIF(Tank4!$B$32:$B$49,$J2026,Tank4!$C$32:$C$49)*Impacts!$F$11),0)</f>
        <v>0</v>
      </c>
      <c r="P2026" s="10">
        <f>IF(Tank5!$C$23="No control",(SUMIF(Tank5!$B$32:$B$49,$J2026,Tank5!$C$32:$C$49)*Impacts!$F$12),0)</f>
        <v>0</v>
      </c>
      <c r="Q2026" s="10">
        <f>IFERROR(IF(('Loading-drum,tote'!$C$21)="No control",SUMIF(('Loading-drum,tote'!$B$31:$B$48),$J2026,('Loading-drum,tote'!$D$31:$D$48))*Impacts!$F$13,IF(('Loading-drum,tote'!$C$21)&lt;&gt;"No control",SUMIF(('Loading-drum,tote'!$B$31:$B$48),$J2026,('Loading-drum,tote'!$E$31:$E$48))*Impacts!$F$13,0)),0)</f>
        <v>0</v>
      </c>
      <c r="R2026" s="10">
        <f>IFERROR(IF(('Loading-truck'!$C$21)="No control",SUMIF(('Loading-truck'!$B$31:$B$48),$J2026,('Loading-truck'!$D$31:$D$48))*Impacts!$F$14,IF(('Loading-truck'!$C$21)&lt;&gt;"No control",SUMIF(('Loading-truck'!$B$31:$B$48),$J2026,('Loading-truck'!$E$31:$E$48))*Impacts!$F$14,0)),0)</f>
        <v>0</v>
      </c>
      <c r="S2026" s="10">
        <f>IFERROR(IF(('Loading-rail'!$C$21)="No control",SUMIF(('Loading-rail'!$B$31:$B$48),$J2026,('Loading-rail'!$D$31:$D$48))*Impacts!$F$15,IF(('Loading-rail'!$C$21)&lt;&gt;"No control",SUMIF(('Loading-rail'!$B$31:$B$48),$J2026,('Loading-rail'!$E$31:$E$48))*Impacts!$F$15,0)),0)</f>
        <v>0</v>
      </c>
      <c r="T2026" s="10">
        <f>IF(Flare!$C$7="",0,(SUMIF(Flare!$B$46:$B$185,$J2026,Flare!$E$46:$E$185)*Impacts!$F$16))</f>
        <v>0</v>
      </c>
      <c r="U2026" s="10">
        <f>IF(VCU!$C$9="",0,(SUMIF(VCU!$B$51:$B$193,$J2026,VCU!$E$51:$E$193)*Impacts!$F$17))</f>
        <v>0</v>
      </c>
      <c r="V2026" s="10">
        <f>IF(CAS!$C$7="",0,(SUMIF(CAS!$B$31:$B$167,$J2026,CAS!$E$31:$E$167)*Impacts!$F$18))</f>
        <v>0</v>
      </c>
      <c r="W2026" s="10">
        <f t="shared" si="72"/>
        <v>0</v>
      </c>
      <c r="AK2026" s="10" t="str">
        <f t="array" ref="AK2026">IFERROR(INDEX(SelectedSpecies,SMALL(IF(SelectedSpecies=AK$1,ROW(SelectedSpecies)),ROW(2027:2027)),2),"")</f>
        <v/>
      </c>
      <c r="BE2026" s="10"/>
      <c r="BI2026" s="10"/>
    </row>
    <row r="2027" spans="1:61" ht="21" customHeight="1" x14ac:dyDescent="0.25">
      <c r="A2027" s="10"/>
      <c r="B2027" s="10"/>
      <c r="E2027" s="10"/>
      <c r="G2027" s="10"/>
      <c r="I2027" s="436" t="s">
        <v>4679</v>
      </c>
      <c r="J2027" s="26" t="s">
        <v>4678</v>
      </c>
      <c r="K2027" s="10">
        <v>3.6</v>
      </c>
      <c r="L2027" s="73">
        <f>IF(Tank1!$C$23="No control",(SUMIF(Tank1!$B$32:$B$49,$J2027,Tank1!$C$32:$C$49)*Impacts!$F$8),0)</f>
        <v>0</v>
      </c>
      <c r="M2027" s="10">
        <f>IF(Tank2!$C$23="No control",(SUMIF(Tank2!$B$32:$B$49,$J2027,Tank2!$C$32:$C$49)*Impacts!$F$9),0)</f>
        <v>0</v>
      </c>
      <c r="N2027" s="10">
        <f>IF(Tank3!$C$23="No control",(SUMIF(Tank3!$B$32:$B$49,$J2027,Tank3!$C$32:$C$49)*Impacts!$F$10),0)</f>
        <v>0</v>
      </c>
      <c r="O2027" s="10">
        <f>IF(Tank4!$C$23="No control",(SUMIF(Tank4!$B$32:$B$49,$J2027,Tank4!$C$32:$C$49)*Impacts!$F$11),0)</f>
        <v>0</v>
      </c>
      <c r="P2027" s="10">
        <f>IF(Tank5!$C$23="No control",(SUMIF(Tank5!$B$32:$B$49,$J2027,Tank5!$C$32:$C$49)*Impacts!$F$12),0)</f>
        <v>0</v>
      </c>
      <c r="Q2027" s="10">
        <f>IFERROR(IF(('Loading-drum,tote'!$C$21)="No control",SUMIF(('Loading-drum,tote'!$B$31:$B$48),$J2027,('Loading-drum,tote'!$D$31:$D$48))*Impacts!$F$13,IF(('Loading-drum,tote'!$C$21)&lt;&gt;"No control",SUMIF(('Loading-drum,tote'!$B$31:$B$48),$J2027,('Loading-drum,tote'!$E$31:$E$48))*Impacts!$F$13,0)),0)</f>
        <v>0</v>
      </c>
      <c r="R2027" s="10">
        <f>IFERROR(IF(('Loading-truck'!$C$21)="No control",SUMIF(('Loading-truck'!$B$31:$B$48),$J2027,('Loading-truck'!$D$31:$D$48))*Impacts!$F$14,IF(('Loading-truck'!$C$21)&lt;&gt;"No control",SUMIF(('Loading-truck'!$B$31:$B$48),$J2027,('Loading-truck'!$E$31:$E$48))*Impacts!$F$14,0)),0)</f>
        <v>0</v>
      </c>
      <c r="S2027" s="10">
        <f>IFERROR(IF(('Loading-rail'!$C$21)="No control",SUMIF(('Loading-rail'!$B$31:$B$48),$J2027,('Loading-rail'!$D$31:$D$48))*Impacts!$F$15,IF(('Loading-rail'!$C$21)&lt;&gt;"No control",SUMIF(('Loading-rail'!$B$31:$B$48),$J2027,('Loading-rail'!$E$31:$E$48))*Impacts!$F$15,0)),0)</f>
        <v>0</v>
      </c>
      <c r="T2027" s="10">
        <f>IF(Flare!$C$7="",0,(SUMIF(Flare!$B$46:$B$185,$J2027,Flare!$E$46:$E$185)*Impacts!$F$16))</f>
        <v>0</v>
      </c>
      <c r="U2027" s="10">
        <f>IF(VCU!$C$9="",0,(SUMIF(VCU!$B$51:$B$193,$J2027,VCU!$E$51:$E$193)*Impacts!$F$17))</f>
        <v>0</v>
      </c>
      <c r="V2027" s="10">
        <f>IF(CAS!$C$7="",0,(SUMIF(CAS!$B$31:$B$167,$J2027,CAS!$E$31:$E$167)*Impacts!$F$18))</f>
        <v>0</v>
      </c>
      <c r="W2027" s="10">
        <f t="shared" si="72"/>
        <v>0</v>
      </c>
      <c r="AK2027" s="10" t="str">
        <f t="array" ref="AK2027">IFERROR(INDEX(SelectedSpecies,SMALL(IF(SelectedSpecies=AK$1,ROW(SelectedSpecies)),ROW(2028:2028)),2),"")</f>
        <v/>
      </c>
      <c r="BE2027" s="10"/>
      <c r="BI2027" s="10"/>
    </row>
    <row r="2028" spans="1:61" ht="21" customHeight="1" x14ac:dyDescent="0.25">
      <c r="A2028" s="10"/>
      <c r="B2028" s="10"/>
      <c r="E2028" s="10"/>
      <c r="G2028" s="10"/>
      <c r="I2028" s="436" t="s">
        <v>1692</v>
      </c>
      <c r="J2028" s="26" t="s">
        <v>1691</v>
      </c>
      <c r="K2028" s="10">
        <v>24.5</v>
      </c>
      <c r="L2028" s="73">
        <f>IF(Tank1!$C$23="No control",(SUMIF(Tank1!$B$32:$B$49,$J2028,Tank1!$C$32:$C$49)*Impacts!$F$8),0)</f>
        <v>0</v>
      </c>
      <c r="M2028" s="10">
        <f>IF(Tank2!$C$23="No control",(SUMIF(Tank2!$B$32:$B$49,$J2028,Tank2!$C$32:$C$49)*Impacts!$F$9),0)</f>
        <v>0</v>
      </c>
      <c r="N2028" s="10">
        <f>IF(Tank3!$C$23="No control",(SUMIF(Tank3!$B$32:$B$49,$J2028,Tank3!$C$32:$C$49)*Impacts!$F$10),0)</f>
        <v>0</v>
      </c>
      <c r="O2028" s="10">
        <f>IF(Tank4!$C$23="No control",(SUMIF(Tank4!$B$32:$B$49,$J2028,Tank4!$C$32:$C$49)*Impacts!$F$11),0)</f>
        <v>0</v>
      </c>
      <c r="P2028" s="10">
        <f>IF(Tank5!$C$23="No control",(SUMIF(Tank5!$B$32:$B$49,$J2028,Tank5!$C$32:$C$49)*Impacts!$F$12),0)</f>
        <v>0</v>
      </c>
      <c r="Q2028" s="10">
        <f>IFERROR(IF(('Loading-drum,tote'!$C$21)="No control",SUMIF(('Loading-drum,tote'!$B$31:$B$48),$J2028,('Loading-drum,tote'!$D$31:$D$48))*Impacts!$F$13,IF(('Loading-drum,tote'!$C$21)&lt;&gt;"No control",SUMIF(('Loading-drum,tote'!$B$31:$B$48),$J2028,('Loading-drum,tote'!$E$31:$E$48))*Impacts!$F$13,0)),0)</f>
        <v>0</v>
      </c>
      <c r="R2028" s="10">
        <f>IFERROR(IF(('Loading-truck'!$C$21)="No control",SUMIF(('Loading-truck'!$B$31:$B$48),$J2028,('Loading-truck'!$D$31:$D$48))*Impacts!$F$14,IF(('Loading-truck'!$C$21)&lt;&gt;"No control",SUMIF(('Loading-truck'!$B$31:$B$48),$J2028,('Loading-truck'!$E$31:$E$48))*Impacts!$F$14,0)),0)</f>
        <v>0</v>
      </c>
      <c r="S2028" s="10">
        <f>IFERROR(IF(('Loading-rail'!$C$21)="No control",SUMIF(('Loading-rail'!$B$31:$B$48),$J2028,('Loading-rail'!$D$31:$D$48))*Impacts!$F$15,IF(('Loading-rail'!$C$21)&lt;&gt;"No control",SUMIF(('Loading-rail'!$B$31:$B$48),$J2028,('Loading-rail'!$E$31:$E$48))*Impacts!$F$15,0)),0)</f>
        <v>0</v>
      </c>
      <c r="T2028" s="10">
        <f>IF(Flare!$C$7="",0,(SUMIF(Flare!$B$46:$B$185,$J2028,Flare!$E$46:$E$185)*Impacts!$F$16))</f>
        <v>0</v>
      </c>
      <c r="U2028" s="10">
        <f>IF(VCU!$C$9="",0,(SUMIF(VCU!$B$51:$B$193,$J2028,VCU!$E$51:$E$193)*Impacts!$F$17))</f>
        <v>0</v>
      </c>
      <c r="V2028" s="10">
        <f>IF(CAS!$C$7="",0,(SUMIF(CAS!$B$31:$B$167,$J2028,CAS!$E$31:$E$167)*Impacts!$F$18))</f>
        <v>0</v>
      </c>
      <c r="W2028" s="10">
        <f t="shared" si="72"/>
        <v>0</v>
      </c>
      <c r="AK2028" s="10" t="str">
        <f t="array" ref="AK2028">IFERROR(INDEX(SelectedSpecies,SMALL(IF(SelectedSpecies=AK$1,ROW(SelectedSpecies)),ROW(2029:2029)),2),"")</f>
        <v/>
      </c>
      <c r="BE2028" s="10"/>
      <c r="BI2028" s="10"/>
    </row>
    <row r="2029" spans="1:61" ht="21" customHeight="1" x14ac:dyDescent="0.25">
      <c r="A2029" s="10"/>
      <c r="B2029" s="10"/>
      <c r="E2029" s="10"/>
      <c r="G2029" s="10"/>
      <c r="I2029" s="436" t="s">
        <v>4339</v>
      </c>
      <c r="J2029" s="26" t="s">
        <v>4338</v>
      </c>
      <c r="K2029" s="10">
        <v>4.9000000000000004</v>
      </c>
      <c r="L2029" s="73">
        <f>IF(Tank1!$C$23="No control",(SUMIF(Tank1!$B$32:$B$49,$J2029,Tank1!$C$32:$C$49)*Impacts!$F$8),0)</f>
        <v>0</v>
      </c>
      <c r="M2029" s="10">
        <f>IF(Tank2!$C$23="No control",(SUMIF(Tank2!$B$32:$B$49,$J2029,Tank2!$C$32:$C$49)*Impacts!$F$9),0)</f>
        <v>0</v>
      </c>
      <c r="N2029" s="10">
        <f>IF(Tank3!$C$23="No control",(SUMIF(Tank3!$B$32:$B$49,$J2029,Tank3!$C$32:$C$49)*Impacts!$F$10),0)</f>
        <v>0</v>
      </c>
      <c r="O2029" s="10">
        <f>IF(Tank4!$C$23="No control",(SUMIF(Tank4!$B$32:$B$49,$J2029,Tank4!$C$32:$C$49)*Impacts!$F$11),0)</f>
        <v>0</v>
      </c>
      <c r="P2029" s="10">
        <f>IF(Tank5!$C$23="No control",(SUMIF(Tank5!$B$32:$B$49,$J2029,Tank5!$C$32:$C$49)*Impacts!$F$12),0)</f>
        <v>0</v>
      </c>
      <c r="Q2029" s="10">
        <f>IFERROR(IF(('Loading-drum,tote'!$C$21)="No control",SUMIF(('Loading-drum,tote'!$B$31:$B$48),$J2029,('Loading-drum,tote'!$D$31:$D$48))*Impacts!$F$13,IF(('Loading-drum,tote'!$C$21)&lt;&gt;"No control",SUMIF(('Loading-drum,tote'!$B$31:$B$48),$J2029,('Loading-drum,tote'!$E$31:$E$48))*Impacts!$F$13,0)),0)</f>
        <v>0</v>
      </c>
      <c r="R2029" s="10">
        <f>IFERROR(IF(('Loading-truck'!$C$21)="No control",SUMIF(('Loading-truck'!$B$31:$B$48),$J2029,('Loading-truck'!$D$31:$D$48))*Impacts!$F$14,IF(('Loading-truck'!$C$21)&lt;&gt;"No control",SUMIF(('Loading-truck'!$B$31:$B$48),$J2029,('Loading-truck'!$E$31:$E$48))*Impacts!$F$14,0)),0)</f>
        <v>0</v>
      </c>
      <c r="S2029" s="10">
        <f>IFERROR(IF(('Loading-rail'!$C$21)="No control",SUMIF(('Loading-rail'!$B$31:$B$48),$J2029,('Loading-rail'!$D$31:$D$48))*Impacts!$F$15,IF(('Loading-rail'!$C$21)&lt;&gt;"No control",SUMIF(('Loading-rail'!$B$31:$B$48),$J2029,('Loading-rail'!$E$31:$E$48))*Impacts!$F$15,0)),0)</f>
        <v>0</v>
      </c>
      <c r="T2029" s="10">
        <f>IF(Flare!$C$7="",0,(SUMIF(Flare!$B$46:$B$185,$J2029,Flare!$E$46:$E$185)*Impacts!$F$16))</f>
        <v>0</v>
      </c>
      <c r="U2029" s="10">
        <f>IF(VCU!$C$9="",0,(SUMIF(VCU!$B$51:$B$193,$J2029,VCU!$E$51:$E$193)*Impacts!$F$17))</f>
        <v>0</v>
      </c>
      <c r="V2029" s="10">
        <f>IF(CAS!$C$7="",0,(SUMIF(CAS!$B$31:$B$167,$J2029,CAS!$E$31:$E$167)*Impacts!$F$18))</f>
        <v>0</v>
      </c>
      <c r="W2029" s="10">
        <f t="shared" si="72"/>
        <v>0</v>
      </c>
      <c r="AK2029" s="10" t="str">
        <f t="array" ref="AK2029">IFERROR(INDEX(SelectedSpecies,SMALL(IF(SelectedSpecies=AK$1,ROW(SelectedSpecies)),ROW(2030:2030)),2),"")</f>
        <v/>
      </c>
      <c r="BE2029" s="10"/>
      <c r="BI2029" s="10"/>
    </row>
    <row r="2030" spans="1:61" ht="21" customHeight="1" x14ac:dyDescent="0.25">
      <c r="A2030" s="10"/>
      <c r="B2030" s="10"/>
      <c r="E2030" s="10"/>
      <c r="G2030" s="10"/>
      <c r="I2030" s="436" t="s">
        <v>4911</v>
      </c>
      <c r="J2030" s="26" t="s">
        <v>4910</v>
      </c>
      <c r="K2030" s="10">
        <v>2.6</v>
      </c>
      <c r="L2030" s="73">
        <f>IF(Tank1!$C$23="No control",(SUMIF(Tank1!$B$32:$B$49,$J2030,Tank1!$C$32:$C$49)*Impacts!$F$8),0)</f>
        <v>0</v>
      </c>
      <c r="M2030" s="10">
        <f>IF(Tank2!$C$23="No control",(SUMIF(Tank2!$B$32:$B$49,$J2030,Tank2!$C$32:$C$49)*Impacts!$F$9),0)</f>
        <v>0</v>
      </c>
      <c r="N2030" s="10">
        <f>IF(Tank3!$C$23="No control",(SUMIF(Tank3!$B$32:$B$49,$J2030,Tank3!$C$32:$C$49)*Impacts!$F$10),0)</f>
        <v>0</v>
      </c>
      <c r="O2030" s="10">
        <f>IF(Tank4!$C$23="No control",(SUMIF(Tank4!$B$32:$B$49,$J2030,Tank4!$C$32:$C$49)*Impacts!$F$11),0)</f>
        <v>0</v>
      </c>
      <c r="P2030" s="10">
        <f>IF(Tank5!$C$23="No control",(SUMIF(Tank5!$B$32:$B$49,$J2030,Tank5!$C$32:$C$49)*Impacts!$F$12),0)</f>
        <v>0</v>
      </c>
      <c r="Q2030" s="10">
        <f>IFERROR(IF(('Loading-drum,tote'!$C$21)="No control",SUMIF(('Loading-drum,tote'!$B$31:$B$48),$J2030,('Loading-drum,tote'!$D$31:$D$48))*Impacts!$F$13,IF(('Loading-drum,tote'!$C$21)&lt;&gt;"No control",SUMIF(('Loading-drum,tote'!$B$31:$B$48),$J2030,('Loading-drum,tote'!$E$31:$E$48))*Impacts!$F$13,0)),0)</f>
        <v>0</v>
      </c>
      <c r="R2030" s="10">
        <f>IFERROR(IF(('Loading-truck'!$C$21)="No control",SUMIF(('Loading-truck'!$B$31:$B$48),$J2030,('Loading-truck'!$D$31:$D$48))*Impacts!$F$14,IF(('Loading-truck'!$C$21)&lt;&gt;"No control",SUMIF(('Loading-truck'!$B$31:$B$48),$J2030,('Loading-truck'!$E$31:$E$48))*Impacts!$F$14,0)),0)</f>
        <v>0</v>
      </c>
      <c r="S2030" s="10">
        <f>IFERROR(IF(('Loading-rail'!$C$21)="No control",SUMIF(('Loading-rail'!$B$31:$B$48),$J2030,('Loading-rail'!$D$31:$D$48))*Impacts!$F$15,IF(('Loading-rail'!$C$21)&lt;&gt;"No control",SUMIF(('Loading-rail'!$B$31:$B$48),$J2030,('Loading-rail'!$E$31:$E$48))*Impacts!$F$15,0)),0)</f>
        <v>0</v>
      </c>
      <c r="T2030" s="10">
        <f>IF(Flare!$C$7="",0,(SUMIF(Flare!$B$46:$B$185,$J2030,Flare!$E$46:$E$185)*Impacts!$F$16))</f>
        <v>0</v>
      </c>
      <c r="U2030" s="10">
        <f>IF(VCU!$C$9="",0,(SUMIF(VCU!$B$51:$B$193,$J2030,VCU!$E$51:$E$193)*Impacts!$F$17))</f>
        <v>0</v>
      </c>
      <c r="V2030" s="10">
        <f>IF(CAS!$C$7="",0,(SUMIF(CAS!$B$31:$B$167,$J2030,CAS!$E$31:$E$167)*Impacts!$F$18))</f>
        <v>0</v>
      </c>
      <c r="W2030" s="10">
        <f t="shared" si="72"/>
        <v>0</v>
      </c>
      <c r="AK2030" s="10" t="str">
        <f t="array" ref="AK2030">IFERROR(INDEX(SelectedSpecies,SMALL(IF(SelectedSpecies=AK$1,ROW(SelectedSpecies)),ROW(2031:2031)),2),"")</f>
        <v/>
      </c>
      <c r="BE2030" s="10"/>
      <c r="BI2030" s="10"/>
    </row>
    <row r="2031" spans="1:61" ht="21" customHeight="1" x14ac:dyDescent="0.25">
      <c r="A2031" s="10"/>
      <c r="B2031" s="10"/>
      <c r="E2031" s="10"/>
      <c r="G2031" s="10"/>
      <c r="I2031" s="436" t="s">
        <v>2009</v>
      </c>
      <c r="J2031" s="26" t="s">
        <v>2008</v>
      </c>
      <c r="K2031" s="10">
        <v>17</v>
      </c>
      <c r="L2031" s="73">
        <f>IF(Tank1!$C$23="No control",(SUMIF(Tank1!$B$32:$B$49,$J2031,Tank1!$C$32:$C$49)*Impacts!$F$8),0)</f>
        <v>0</v>
      </c>
      <c r="M2031" s="10">
        <f>IF(Tank2!$C$23="No control",(SUMIF(Tank2!$B$32:$B$49,$J2031,Tank2!$C$32:$C$49)*Impacts!$F$9),0)</f>
        <v>0</v>
      </c>
      <c r="N2031" s="10">
        <f>IF(Tank3!$C$23="No control",(SUMIF(Tank3!$B$32:$B$49,$J2031,Tank3!$C$32:$C$49)*Impacts!$F$10),0)</f>
        <v>0</v>
      </c>
      <c r="O2031" s="10">
        <f>IF(Tank4!$C$23="No control",(SUMIF(Tank4!$B$32:$B$49,$J2031,Tank4!$C$32:$C$49)*Impacts!$F$11),0)</f>
        <v>0</v>
      </c>
      <c r="P2031" s="10">
        <f>IF(Tank5!$C$23="No control",(SUMIF(Tank5!$B$32:$B$49,$J2031,Tank5!$C$32:$C$49)*Impacts!$F$12),0)</f>
        <v>0</v>
      </c>
      <c r="Q2031" s="10">
        <f>IFERROR(IF(('Loading-drum,tote'!$C$21)="No control",SUMIF(('Loading-drum,tote'!$B$31:$B$48),$J2031,('Loading-drum,tote'!$D$31:$D$48))*Impacts!$F$13,IF(('Loading-drum,tote'!$C$21)&lt;&gt;"No control",SUMIF(('Loading-drum,tote'!$B$31:$B$48),$J2031,('Loading-drum,tote'!$E$31:$E$48))*Impacts!$F$13,0)),0)</f>
        <v>0</v>
      </c>
      <c r="R2031" s="10">
        <f>IFERROR(IF(('Loading-truck'!$C$21)="No control",SUMIF(('Loading-truck'!$B$31:$B$48),$J2031,('Loading-truck'!$D$31:$D$48))*Impacts!$F$14,IF(('Loading-truck'!$C$21)&lt;&gt;"No control",SUMIF(('Loading-truck'!$B$31:$B$48),$J2031,('Loading-truck'!$E$31:$E$48))*Impacts!$F$14,0)),0)</f>
        <v>0</v>
      </c>
      <c r="S2031" s="10">
        <f>IFERROR(IF(('Loading-rail'!$C$21)="No control",SUMIF(('Loading-rail'!$B$31:$B$48),$J2031,('Loading-rail'!$D$31:$D$48))*Impacts!$F$15,IF(('Loading-rail'!$C$21)&lt;&gt;"No control",SUMIF(('Loading-rail'!$B$31:$B$48),$J2031,('Loading-rail'!$E$31:$E$48))*Impacts!$F$15,0)),0)</f>
        <v>0</v>
      </c>
      <c r="T2031" s="10">
        <f>IF(Flare!$C$7="",0,(SUMIF(Flare!$B$46:$B$185,$J2031,Flare!$E$46:$E$185)*Impacts!$F$16))</f>
        <v>0</v>
      </c>
      <c r="U2031" s="10">
        <f>IF(VCU!$C$9="",0,(SUMIF(VCU!$B$51:$B$193,$J2031,VCU!$E$51:$E$193)*Impacts!$F$17))</f>
        <v>0</v>
      </c>
      <c r="V2031" s="10">
        <f>IF(CAS!$C$7="",0,(SUMIF(CAS!$B$31:$B$167,$J2031,CAS!$E$31:$E$167)*Impacts!$F$18))</f>
        <v>0</v>
      </c>
      <c r="W2031" s="10">
        <f t="shared" si="72"/>
        <v>0</v>
      </c>
      <c r="AK2031" s="10" t="str">
        <f t="array" ref="AK2031">IFERROR(INDEX(SelectedSpecies,SMALL(IF(SelectedSpecies=AK$1,ROW(SelectedSpecies)),ROW(2032:2032)),2),"")</f>
        <v/>
      </c>
      <c r="BE2031" s="10"/>
      <c r="BI2031" s="10"/>
    </row>
    <row r="2032" spans="1:61" ht="21" customHeight="1" x14ac:dyDescent="0.25">
      <c r="A2032" s="10"/>
      <c r="B2032" s="10"/>
      <c r="E2032" s="10"/>
      <c r="G2032" s="10"/>
      <c r="I2032" s="436" t="s">
        <v>4655</v>
      </c>
      <c r="J2032" s="26" t="s">
        <v>4654</v>
      </c>
      <c r="K2032" s="10">
        <v>3.8000000000000003</v>
      </c>
      <c r="L2032" s="73">
        <f>IF(Tank1!$C$23="No control",(SUMIF(Tank1!$B$32:$B$49,$J2032,Tank1!$C$32:$C$49)*Impacts!$F$8),0)</f>
        <v>0</v>
      </c>
      <c r="M2032" s="10">
        <f>IF(Tank2!$C$23="No control",(SUMIF(Tank2!$B$32:$B$49,$J2032,Tank2!$C$32:$C$49)*Impacts!$F$9),0)</f>
        <v>0</v>
      </c>
      <c r="N2032" s="10">
        <f>IF(Tank3!$C$23="No control",(SUMIF(Tank3!$B$32:$B$49,$J2032,Tank3!$C$32:$C$49)*Impacts!$F$10),0)</f>
        <v>0</v>
      </c>
      <c r="O2032" s="10">
        <f>IF(Tank4!$C$23="No control",(SUMIF(Tank4!$B$32:$B$49,$J2032,Tank4!$C$32:$C$49)*Impacts!$F$11),0)</f>
        <v>0</v>
      </c>
      <c r="P2032" s="10">
        <f>IF(Tank5!$C$23="No control",(SUMIF(Tank5!$B$32:$B$49,$J2032,Tank5!$C$32:$C$49)*Impacts!$F$12),0)</f>
        <v>0</v>
      </c>
      <c r="Q2032" s="10">
        <f>IFERROR(IF(('Loading-drum,tote'!$C$21)="No control",SUMIF(('Loading-drum,tote'!$B$31:$B$48),$J2032,('Loading-drum,tote'!$D$31:$D$48))*Impacts!$F$13,IF(('Loading-drum,tote'!$C$21)&lt;&gt;"No control",SUMIF(('Loading-drum,tote'!$B$31:$B$48),$J2032,('Loading-drum,tote'!$E$31:$E$48))*Impacts!$F$13,0)),0)</f>
        <v>0</v>
      </c>
      <c r="R2032" s="10">
        <f>IFERROR(IF(('Loading-truck'!$C$21)="No control",SUMIF(('Loading-truck'!$B$31:$B$48),$J2032,('Loading-truck'!$D$31:$D$48))*Impacts!$F$14,IF(('Loading-truck'!$C$21)&lt;&gt;"No control",SUMIF(('Loading-truck'!$B$31:$B$48),$J2032,('Loading-truck'!$E$31:$E$48))*Impacts!$F$14,0)),0)</f>
        <v>0</v>
      </c>
      <c r="S2032" s="10">
        <f>IFERROR(IF(('Loading-rail'!$C$21)="No control",SUMIF(('Loading-rail'!$B$31:$B$48),$J2032,('Loading-rail'!$D$31:$D$48))*Impacts!$F$15,IF(('Loading-rail'!$C$21)&lt;&gt;"No control",SUMIF(('Loading-rail'!$B$31:$B$48),$J2032,('Loading-rail'!$E$31:$E$48))*Impacts!$F$15,0)),0)</f>
        <v>0</v>
      </c>
      <c r="T2032" s="10">
        <f>IF(Flare!$C$7="",0,(SUMIF(Flare!$B$46:$B$185,$J2032,Flare!$E$46:$E$185)*Impacts!$F$16))</f>
        <v>0</v>
      </c>
      <c r="U2032" s="10">
        <f>IF(VCU!$C$9="",0,(SUMIF(VCU!$B$51:$B$193,$J2032,VCU!$E$51:$E$193)*Impacts!$F$17))</f>
        <v>0</v>
      </c>
      <c r="V2032" s="10">
        <f>IF(CAS!$C$7="",0,(SUMIF(CAS!$B$31:$B$167,$J2032,CAS!$E$31:$E$167)*Impacts!$F$18))</f>
        <v>0</v>
      </c>
      <c r="W2032" s="10">
        <f t="shared" si="72"/>
        <v>0</v>
      </c>
      <c r="AK2032" s="10" t="str">
        <f t="array" ref="AK2032">IFERROR(INDEX(SelectedSpecies,SMALL(IF(SelectedSpecies=AK$1,ROW(SelectedSpecies)),ROW(2033:2033)),2),"")</f>
        <v/>
      </c>
      <c r="BE2032" s="10"/>
      <c r="BI2032" s="10"/>
    </row>
    <row r="2033" spans="1:61" ht="21" customHeight="1" x14ac:dyDescent="0.25">
      <c r="A2033" s="10"/>
      <c r="B2033" s="10"/>
      <c r="E2033" s="10"/>
      <c r="G2033" s="10"/>
      <c r="I2033" s="436" t="s">
        <v>4681</v>
      </c>
      <c r="J2033" s="26" t="s">
        <v>4680</v>
      </c>
      <c r="K2033" s="10">
        <v>3.6</v>
      </c>
      <c r="L2033" s="73">
        <f>IF(Tank1!$C$23="No control",(SUMIF(Tank1!$B$32:$B$49,$J2033,Tank1!$C$32:$C$49)*Impacts!$F$8),0)</f>
        <v>0</v>
      </c>
      <c r="M2033" s="10">
        <f>IF(Tank2!$C$23="No control",(SUMIF(Tank2!$B$32:$B$49,$J2033,Tank2!$C$32:$C$49)*Impacts!$F$9),0)</f>
        <v>0</v>
      </c>
      <c r="N2033" s="10">
        <f>IF(Tank3!$C$23="No control",(SUMIF(Tank3!$B$32:$B$49,$J2033,Tank3!$C$32:$C$49)*Impacts!$F$10),0)</f>
        <v>0</v>
      </c>
      <c r="O2033" s="10">
        <f>IF(Tank4!$C$23="No control",(SUMIF(Tank4!$B$32:$B$49,$J2033,Tank4!$C$32:$C$49)*Impacts!$F$11),0)</f>
        <v>0</v>
      </c>
      <c r="P2033" s="10">
        <f>IF(Tank5!$C$23="No control",(SUMIF(Tank5!$B$32:$B$49,$J2033,Tank5!$C$32:$C$49)*Impacts!$F$12),0)</f>
        <v>0</v>
      </c>
      <c r="Q2033" s="10">
        <f>IFERROR(IF(('Loading-drum,tote'!$C$21)="No control",SUMIF(('Loading-drum,tote'!$B$31:$B$48),$J2033,('Loading-drum,tote'!$D$31:$D$48))*Impacts!$F$13,IF(('Loading-drum,tote'!$C$21)&lt;&gt;"No control",SUMIF(('Loading-drum,tote'!$B$31:$B$48),$J2033,('Loading-drum,tote'!$E$31:$E$48))*Impacts!$F$13,0)),0)</f>
        <v>0</v>
      </c>
      <c r="R2033" s="10">
        <f>IFERROR(IF(('Loading-truck'!$C$21)="No control",SUMIF(('Loading-truck'!$B$31:$B$48),$J2033,('Loading-truck'!$D$31:$D$48))*Impacts!$F$14,IF(('Loading-truck'!$C$21)&lt;&gt;"No control",SUMIF(('Loading-truck'!$B$31:$B$48),$J2033,('Loading-truck'!$E$31:$E$48))*Impacts!$F$14,0)),0)</f>
        <v>0</v>
      </c>
      <c r="S2033" s="10">
        <f>IFERROR(IF(('Loading-rail'!$C$21)="No control",SUMIF(('Loading-rail'!$B$31:$B$48),$J2033,('Loading-rail'!$D$31:$D$48))*Impacts!$F$15,IF(('Loading-rail'!$C$21)&lt;&gt;"No control",SUMIF(('Loading-rail'!$B$31:$B$48),$J2033,('Loading-rail'!$E$31:$E$48))*Impacts!$F$15,0)),0)</f>
        <v>0</v>
      </c>
      <c r="T2033" s="10">
        <f>IF(Flare!$C$7="",0,(SUMIF(Flare!$B$46:$B$185,$J2033,Flare!$E$46:$E$185)*Impacts!$F$16))</f>
        <v>0</v>
      </c>
      <c r="U2033" s="10">
        <f>IF(VCU!$C$9="",0,(SUMIF(VCU!$B$51:$B$193,$J2033,VCU!$E$51:$E$193)*Impacts!$F$17))</f>
        <v>0</v>
      </c>
      <c r="V2033" s="10">
        <f>IF(CAS!$C$7="",0,(SUMIF(CAS!$B$31:$B$167,$J2033,CAS!$E$31:$E$167)*Impacts!$F$18))</f>
        <v>0</v>
      </c>
      <c r="W2033" s="10">
        <f t="shared" si="72"/>
        <v>0</v>
      </c>
      <c r="AK2033" s="10" t="str">
        <f t="array" ref="AK2033">IFERROR(INDEX(SelectedSpecies,SMALL(IF(SelectedSpecies=AK$1,ROW(SelectedSpecies)),ROW(2034:2034)),2),"")</f>
        <v/>
      </c>
      <c r="BE2033" s="10"/>
      <c r="BI2033" s="10"/>
    </row>
    <row r="2034" spans="1:61" ht="21" customHeight="1" x14ac:dyDescent="0.25">
      <c r="A2034" s="10"/>
      <c r="B2034" s="10"/>
      <c r="E2034" s="10"/>
      <c r="G2034" s="10"/>
      <c r="I2034" s="436" t="s">
        <v>4683</v>
      </c>
      <c r="J2034" s="26" t="s">
        <v>4682</v>
      </c>
      <c r="K2034" s="10">
        <v>3.6</v>
      </c>
      <c r="L2034" s="73">
        <f>IF(Tank1!$C$23="No control",(SUMIF(Tank1!$B$32:$B$49,$J2034,Tank1!$C$32:$C$49)*Impacts!$F$8),0)</f>
        <v>0</v>
      </c>
      <c r="M2034" s="10">
        <f>IF(Tank2!$C$23="No control",(SUMIF(Tank2!$B$32:$B$49,$J2034,Tank2!$C$32:$C$49)*Impacts!$F$9),0)</f>
        <v>0</v>
      </c>
      <c r="N2034" s="10">
        <f>IF(Tank3!$C$23="No control",(SUMIF(Tank3!$B$32:$B$49,$J2034,Tank3!$C$32:$C$49)*Impacts!$F$10),0)</f>
        <v>0</v>
      </c>
      <c r="O2034" s="10">
        <f>IF(Tank4!$C$23="No control",(SUMIF(Tank4!$B$32:$B$49,$J2034,Tank4!$C$32:$C$49)*Impacts!$F$11),0)</f>
        <v>0</v>
      </c>
      <c r="P2034" s="10">
        <f>IF(Tank5!$C$23="No control",(SUMIF(Tank5!$B$32:$B$49,$J2034,Tank5!$C$32:$C$49)*Impacts!$F$12),0)</f>
        <v>0</v>
      </c>
      <c r="Q2034" s="10">
        <f>IFERROR(IF(('Loading-drum,tote'!$C$21)="No control",SUMIF(('Loading-drum,tote'!$B$31:$B$48),$J2034,('Loading-drum,tote'!$D$31:$D$48))*Impacts!$F$13,IF(('Loading-drum,tote'!$C$21)&lt;&gt;"No control",SUMIF(('Loading-drum,tote'!$B$31:$B$48),$J2034,('Loading-drum,tote'!$E$31:$E$48))*Impacts!$F$13,0)),0)</f>
        <v>0</v>
      </c>
      <c r="R2034" s="10">
        <f>IFERROR(IF(('Loading-truck'!$C$21)="No control",SUMIF(('Loading-truck'!$B$31:$B$48),$J2034,('Loading-truck'!$D$31:$D$48))*Impacts!$F$14,IF(('Loading-truck'!$C$21)&lt;&gt;"No control",SUMIF(('Loading-truck'!$B$31:$B$48),$J2034,('Loading-truck'!$E$31:$E$48))*Impacts!$F$14,0)),0)</f>
        <v>0</v>
      </c>
      <c r="S2034" s="10">
        <f>IFERROR(IF(('Loading-rail'!$C$21)="No control",SUMIF(('Loading-rail'!$B$31:$B$48),$J2034,('Loading-rail'!$D$31:$D$48))*Impacts!$F$15,IF(('Loading-rail'!$C$21)&lt;&gt;"No control",SUMIF(('Loading-rail'!$B$31:$B$48),$J2034,('Loading-rail'!$E$31:$E$48))*Impacts!$F$15,0)),0)</f>
        <v>0</v>
      </c>
      <c r="T2034" s="10">
        <f>IF(Flare!$C$7="",0,(SUMIF(Flare!$B$46:$B$185,$J2034,Flare!$E$46:$E$185)*Impacts!$F$16))</f>
        <v>0</v>
      </c>
      <c r="U2034" s="10">
        <f>IF(VCU!$C$9="",0,(SUMIF(VCU!$B$51:$B$193,$J2034,VCU!$E$51:$E$193)*Impacts!$F$17))</f>
        <v>0</v>
      </c>
      <c r="V2034" s="10">
        <f>IF(CAS!$C$7="",0,(SUMIF(CAS!$B$31:$B$167,$J2034,CAS!$E$31:$E$167)*Impacts!$F$18))</f>
        <v>0</v>
      </c>
      <c r="W2034" s="10">
        <f t="shared" si="72"/>
        <v>0</v>
      </c>
      <c r="AK2034" s="10" t="str">
        <f t="array" ref="AK2034">IFERROR(INDEX(SelectedSpecies,SMALL(IF(SelectedSpecies=AK$1,ROW(SelectedSpecies)),ROW(2035:2035)),2),"")</f>
        <v/>
      </c>
      <c r="BE2034" s="10"/>
      <c r="BI2034" s="10"/>
    </row>
    <row r="2035" spans="1:61" ht="21" customHeight="1" x14ac:dyDescent="0.25">
      <c r="A2035" s="10"/>
      <c r="B2035" s="10"/>
      <c r="E2035" s="10"/>
      <c r="G2035" s="10"/>
      <c r="I2035" s="436" t="s">
        <v>4373</v>
      </c>
      <c r="J2035" s="26" t="s">
        <v>4372</v>
      </c>
      <c r="K2035" s="10">
        <v>4.8000000000000007</v>
      </c>
      <c r="L2035" s="73">
        <f>IF(Tank1!$C$23="No control",(SUMIF(Tank1!$B$32:$B$49,$J2035,Tank1!$C$32:$C$49)*Impacts!$F$8),0)</f>
        <v>0</v>
      </c>
      <c r="M2035" s="10">
        <f>IF(Tank2!$C$23="No control",(SUMIF(Tank2!$B$32:$B$49,$J2035,Tank2!$C$32:$C$49)*Impacts!$F$9),0)</f>
        <v>0</v>
      </c>
      <c r="N2035" s="10">
        <f>IF(Tank3!$C$23="No control",(SUMIF(Tank3!$B$32:$B$49,$J2035,Tank3!$C$32:$C$49)*Impacts!$F$10),0)</f>
        <v>0</v>
      </c>
      <c r="O2035" s="10">
        <f>IF(Tank4!$C$23="No control",(SUMIF(Tank4!$B$32:$B$49,$J2035,Tank4!$C$32:$C$49)*Impacts!$F$11),0)</f>
        <v>0</v>
      </c>
      <c r="P2035" s="10">
        <f>IF(Tank5!$C$23="No control",(SUMIF(Tank5!$B$32:$B$49,$J2035,Tank5!$C$32:$C$49)*Impacts!$F$12),0)</f>
        <v>0</v>
      </c>
      <c r="Q2035" s="10">
        <f>IFERROR(IF(('Loading-drum,tote'!$C$21)="No control",SUMIF(('Loading-drum,tote'!$B$31:$B$48),$J2035,('Loading-drum,tote'!$D$31:$D$48))*Impacts!$F$13,IF(('Loading-drum,tote'!$C$21)&lt;&gt;"No control",SUMIF(('Loading-drum,tote'!$B$31:$B$48),$J2035,('Loading-drum,tote'!$E$31:$E$48))*Impacts!$F$13,0)),0)</f>
        <v>0</v>
      </c>
      <c r="R2035" s="10">
        <f>IFERROR(IF(('Loading-truck'!$C$21)="No control",SUMIF(('Loading-truck'!$B$31:$B$48),$J2035,('Loading-truck'!$D$31:$D$48))*Impacts!$F$14,IF(('Loading-truck'!$C$21)&lt;&gt;"No control",SUMIF(('Loading-truck'!$B$31:$B$48),$J2035,('Loading-truck'!$E$31:$E$48))*Impacts!$F$14,0)),0)</f>
        <v>0</v>
      </c>
      <c r="S2035" s="10">
        <f>IFERROR(IF(('Loading-rail'!$C$21)="No control",SUMIF(('Loading-rail'!$B$31:$B$48),$J2035,('Loading-rail'!$D$31:$D$48))*Impacts!$F$15,IF(('Loading-rail'!$C$21)&lt;&gt;"No control",SUMIF(('Loading-rail'!$B$31:$B$48),$J2035,('Loading-rail'!$E$31:$E$48))*Impacts!$F$15,0)),0)</f>
        <v>0</v>
      </c>
      <c r="T2035" s="10">
        <f>IF(Flare!$C$7="",0,(SUMIF(Flare!$B$46:$B$185,$J2035,Flare!$E$46:$E$185)*Impacts!$F$16))</f>
        <v>0</v>
      </c>
      <c r="U2035" s="10">
        <f>IF(VCU!$C$9="",0,(SUMIF(VCU!$B$51:$B$193,$J2035,VCU!$E$51:$E$193)*Impacts!$F$17))</f>
        <v>0</v>
      </c>
      <c r="V2035" s="10">
        <f>IF(CAS!$C$7="",0,(SUMIF(CAS!$B$31:$B$167,$J2035,CAS!$E$31:$E$167)*Impacts!$F$18))</f>
        <v>0</v>
      </c>
      <c r="W2035" s="10">
        <f t="shared" si="72"/>
        <v>0</v>
      </c>
      <c r="AK2035" s="10" t="str">
        <f t="array" ref="AK2035">IFERROR(INDEX(SelectedSpecies,SMALL(IF(SelectedSpecies=AK$1,ROW(SelectedSpecies)),ROW(2036:2036)),2),"")</f>
        <v/>
      </c>
      <c r="BE2035" s="10"/>
      <c r="BI2035" s="10"/>
    </row>
    <row r="2036" spans="1:61" ht="21" customHeight="1" x14ac:dyDescent="0.25">
      <c r="A2036" s="10"/>
      <c r="B2036" s="10"/>
      <c r="E2036" s="10"/>
      <c r="G2036" s="10"/>
      <c r="I2036" s="436" t="s">
        <v>6312</v>
      </c>
      <c r="J2036" s="26" t="s">
        <v>6311</v>
      </c>
      <c r="K2036" s="10">
        <v>0.9</v>
      </c>
      <c r="L2036" s="73">
        <f>IF(Tank1!$C$23="No control",(SUMIF(Tank1!$B$32:$B$49,$J2036,Tank1!$C$32:$C$49)*Impacts!$F$8),0)</f>
        <v>0</v>
      </c>
      <c r="M2036" s="10">
        <f>IF(Tank2!$C$23="No control",(SUMIF(Tank2!$B$32:$B$49,$J2036,Tank2!$C$32:$C$49)*Impacts!$F$9),0)</f>
        <v>0</v>
      </c>
      <c r="N2036" s="10">
        <f>IF(Tank3!$C$23="No control",(SUMIF(Tank3!$B$32:$B$49,$J2036,Tank3!$C$32:$C$49)*Impacts!$F$10),0)</f>
        <v>0</v>
      </c>
      <c r="O2036" s="10">
        <f>IF(Tank4!$C$23="No control",(SUMIF(Tank4!$B$32:$B$49,$J2036,Tank4!$C$32:$C$49)*Impacts!$F$11),0)</f>
        <v>0</v>
      </c>
      <c r="P2036" s="10">
        <f>IF(Tank5!$C$23="No control",(SUMIF(Tank5!$B$32:$B$49,$J2036,Tank5!$C$32:$C$49)*Impacts!$F$12),0)</f>
        <v>0</v>
      </c>
      <c r="Q2036" s="10">
        <f>IFERROR(IF(('Loading-drum,tote'!$C$21)="No control",SUMIF(('Loading-drum,tote'!$B$31:$B$48),$J2036,('Loading-drum,tote'!$D$31:$D$48))*Impacts!$F$13,IF(('Loading-drum,tote'!$C$21)&lt;&gt;"No control",SUMIF(('Loading-drum,tote'!$B$31:$B$48),$J2036,('Loading-drum,tote'!$E$31:$E$48))*Impacts!$F$13,0)),0)</f>
        <v>0</v>
      </c>
      <c r="R2036" s="10">
        <f>IFERROR(IF(('Loading-truck'!$C$21)="No control",SUMIF(('Loading-truck'!$B$31:$B$48),$J2036,('Loading-truck'!$D$31:$D$48))*Impacts!$F$14,IF(('Loading-truck'!$C$21)&lt;&gt;"No control",SUMIF(('Loading-truck'!$B$31:$B$48),$J2036,('Loading-truck'!$E$31:$E$48))*Impacts!$F$14,0)),0)</f>
        <v>0</v>
      </c>
      <c r="S2036" s="10">
        <f>IFERROR(IF(('Loading-rail'!$C$21)="No control",SUMIF(('Loading-rail'!$B$31:$B$48),$J2036,('Loading-rail'!$D$31:$D$48))*Impacts!$F$15,IF(('Loading-rail'!$C$21)&lt;&gt;"No control",SUMIF(('Loading-rail'!$B$31:$B$48),$J2036,('Loading-rail'!$E$31:$E$48))*Impacts!$F$15,0)),0)</f>
        <v>0</v>
      </c>
      <c r="T2036" s="10">
        <f>IF(Flare!$C$7="",0,(SUMIF(Flare!$B$46:$B$185,$J2036,Flare!$E$46:$E$185)*Impacts!$F$16))</f>
        <v>0</v>
      </c>
      <c r="U2036" s="10">
        <f>IF(VCU!$C$9="",0,(SUMIF(VCU!$B$51:$B$193,$J2036,VCU!$E$51:$E$193)*Impacts!$F$17))</f>
        <v>0</v>
      </c>
      <c r="V2036" s="10">
        <f>IF(CAS!$C$7="",0,(SUMIF(CAS!$B$31:$B$167,$J2036,CAS!$E$31:$E$167)*Impacts!$F$18))</f>
        <v>0</v>
      </c>
      <c r="W2036" s="10">
        <f t="shared" si="72"/>
        <v>0</v>
      </c>
      <c r="AK2036" s="10" t="str">
        <f t="array" ref="AK2036">IFERROR(INDEX(SelectedSpecies,SMALL(IF(SelectedSpecies=AK$1,ROW(SelectedSpecies)),ROW(2037:2037)),2),"")</f>
        <v/>
      </c>
      <c r="BE2036" s="10"/>
      <c r="BI2036" s="10"/>
    </row>
    <row r="2037" spans="1:61" ht="21" customHeight="1" x14ac:dyDescent="0.25">
      <c r="A2037" s="10"/>
      <c r="B2037" s="10"/>
      <c r="E2037" s="10"/>
      <c r="G2037" s="10"/>
      <c r="I2037" s="436" t="s">
        <v>7022</v>
      </c>
      <c r="J2037" s="26" t="s">
        <v>7021</v>
      </c>
      <c r="K2037" s="10">
        <v>0.45</v>
      </c>
      <c r="L2037" s="73">
        <f>IF(Tank1!$C$23="No control",(SUMIF(Tank1!$B$32:$B$49,$J2037,Tank1!$C$32:$C$49)*Impacts!$F$8),0)</f>
        <v>0</v>
      </c>
      <c r="M2037" s="10">
        <f>IF(Tank2!$C$23="No control",(SUMIF(Tank2!$B$32:$B$49,$J2037,Tank2!$C$32:$C$49)*Impacts!$F$9),0)</f>
        <v>0</v>
      </c>
      <c r="N2037" s="10">
        <f>IF(Tank3!$C$23="No control",(SUMIF(Tank3!$B$32:$B$49,$J2037,Tank3!$C$32:$C$49)*Impacts!$F$10),0)</f>
        <v>0</v>
      </c>
      <c r="O2037" s="10">
        <f>IF(Tank4!$C$23="No control",(SUMIF(Tank4!$B$32:$B$49,$J2037,Tank4!$C$32:$C$49)*Impacts!$F$11),0)</f>
        <v>0</v>
      </c>
      <c r="P2037" s="10">
        <f>IF(Tank5!$C$23="No control",(SUMIF(Tank5!$B$32:$B$49,$J2037,Tank5!$C$32:$C$49)*Impacts!$F$12),0)</f>
        <v>0</v>
      </c>
      <c r="Q2037" s="10">
        <f>IFERROR(IF(('Loading-drum,tote'!$C$21)="No control",SUMIF(('Loading-drum,tote'!$B$31:$B$48),$J2037,('Loading-drum,tote'!$D$31:$D$48))*Impacts!$F$13,IF(('Loading-drum,tote'!$C$21)&lt;&gt;"No control",SUMIF(('Loading-drum,tote'!$B$31:$B$48),$J2037,('Loading-drum,tote'!$E$31:$E$48))*Impacts!$F$13,0)),0)</f>
        <v>0</v>
      </c>
      <c r="R2037" s="10">
        <f>IFERROR(IF(('Loading-truck'!$C$21)="No control",SUMIF(('Loading-truck'!$B$31:$B$48),$J2037,('Loading-truck'!$D$31:$D$48))*Impacts!$F$14,IF(('Loading-truck'!$C$21)&lt;&gt;"No control",SUMIF(('Loading-truck'!$B$31:$B$48),$J2037,('Loading-truck'!$E$31:$E$48))*Impacts!$F$14,0)),0)</f>
        <v>0</v>
      </c>
      <c r="S2037" s="10">
        <f>IFERROR(IF(('Loading-rail'!$C$21)="No control",SUMIF(('Loading-rail'!$B$31:$B$48),$J2037,('Loading-rail'!$D$31:$D$48))*Impacts!$F$15,IF(('Loading-rail'!$C$21)&lt;&gt;"No control",SUMIF(('Loading-rail'!$B$31:$B$48),$J2037,('Loading-rail'!$E$31:$E$48))*Impacts!$F$15,0)),0)</f>
        <v>0</v>
      </c>
      <c r="T2037" s="10">
        <f>IF(Flare!$C$7="",0,(SUMIF(Flare!$B$46:$B$185,$J2037,Flare!$E$46:$E$185)*Impacts!$F$16))</f>
        <v>0</v>
      </c>
      <c r="U2037" s="10">
        <f>IF(VCU!$C$9="",0,(SUMIF(VCU!$B$51:$B$193,$J2037,VCU!$E$51:$E$193)*Impacts!$F$17))</f>
        <v>0</v>
      </c>
      <c r="V2037" s="10">
        <f>IF(CAS!$C$7="",0,(SUMIF(CAS!$B$31:$B$167,$J2037,CAS!$E$31:$E$167)*Impacts!$F$18))</f>
        <v>0</v>
      </c>
      <c r="W2037" s="10">
        <f t="shared" si="72"/>
        <v>0</v>
      </c>
      <c r="AK2037" s="10" t="str">
        <f t="array" ref="AK2037">IFERROR(INDEX(SelectedSpecies,SMALL(IF(SelectedSpecies=AK$1,ROW(SelectedSpecies)),ROW(2038:2038)),2),"")</f>
        <v/>
      </c>
      <c r="BE2037" s="10"/>
      <c r="BI2037" s="10"/>
    </row>
    <row r="2038" spans="1:61" ht="21" customHeight="1" x14ac:dyDescent="0.25">
      <c r="A2038" s="10"/>
      <c r="B2038" s="10"/>
      <c r="E2038" s="10"/>
      <c r="G2038" s="10"/>
      <c r="I2038" s="436" t="s">
        <v>3807</v>
      </c>
      <c r="J2038" s="26" t="s">
        <v>3806</v>
      </c>
      <c r="K2038" s="10">
        <v>6</v>
      </c>
      <c r="L2038" s="73">
        <f>IF(Tank1!$C$23="No control",(SUMIF(Tank1!$B$32:$B$49,$J2038,Tank1!$C$32:$C$49)*Impacts!$F$8),0)</f>
        <v>0</v>
      </c>
      <c r="M2038" s="10">
        <f>IF(Tank2!$C$23="No control",(SUMIF(Tank2!$B$32:$B$49,$J2038,Tank2!$C$32:$C$49)*Impacts!$F$9),0)</f>
        <v>0</v>
      </c>
      <c r="N2038" s="10">
        <f>IF(Tank3!$C$23="No control",(SUMIF(Tank3!$B$32:$B$49,$J2038,Tank3!$C$32:$C$49)*Impacts!$F$10),0)</f>
        <v>0</v>
      </c>
      <c r="O2038" s="10">
        <f>IF(Tank4!$C$23="No control",(SUMIF(Tank4!$B$32:$B$49,$J2038,Tank4!$C$32:$C$49)*Impacts!$F$11),0)</f>
        <v>0</v>
      </c>
      <c r="P2038" s="10">
        <f>IF(Tank5!$C$23="No control",(SUMIF(Tank5!$B$32:$B$49,$J2038,Tank5!$C$32:$C$49)*Impacts!$F$12),0)</f>
        <v>0</v>
      </c>
      <c r="Q2038" s="10">
        <f>IFERROR(IF(('Loading-drum,tote'!$C$21)="No control",SUMIF(('Loading-drum,tote'!$B$31:$B$48),$J2038,('Loading-drum,tote'!$D$31:$D$48))*Impacts!$F$13,IF(('Loading-drum,tote'!$C$21)&lt;&gt;"No control",SUMIF(('Loading-drum,tote'!$B$31:$B$48),$J2038,('Loading-drum,tote'!$E$31:$E$48))*Impacts!$F$13,0)),0)</f>
        <v>0</v>
      </c>
      <c r="R2038" s="10">
        <f>IFERROR(IF(('Loading-truck'!$C$21)="No control",SUMIF(('Loading-truck'!$B$31:$B$48),$J2038,('Loading-truck'!$D$31:$D$48))*Impacts!$F$14,IF(('Loading-truck'!$C$21)&lt;&gt;"No control",SUMIF(('Loading-truck'!$B$31:$B$48),$J2038,('Loading-truck'!$E$31:$E$48))*Impacts!$F$14,0)),0)</f>
        <v>0</v>
      </c>
      <c r="S2038" s="10">
        <f>IFERROR(IF(('Loading-rail'!$C$21)="No control",SUMIF(('Loading-rail'!$B$31:$B$48),$J2038,('Loading-rail'!$D$31:$D$48))*Impacts!$F$15,IF(('Loading-rail'!$C$21)&lt;&gt;"No control",SUMIF(('Loading-rail'!$B$31:$B$48),$J2038,('Loading-rail'!$E$31:$E$48))*Impacts!$F$15,0)),0)</f>
        <v>0</v>
      </c>
      <c r="T2038" s="10">
        <f>IF(Flare!$C$7="",0,(SUMIF(Flare!$B$46:$B$185,$J2038,Flare!$E$46:$E$185)*Impacts!$F$16))</f>
        <v>0</v>
      </c>
      <c r="U2038" s="10">
        <f>IF(VCU!$C$9="",0,(SUMIF(VCU!$B$51:$B$193,$J2038,VCU!$E$51:$E$193)*Impacts!$F$17))</f>
        <v>0</v>
      </c>
      <c r="V2038" s="10">
        <f>IF(CAS!$C$7="",0,(SUMIF(CAS!$B$31:$B$167,$J2038,CAS!$E$31:$E$167)*Impacts!$F$18))</f>
        <v>0</v>
      </c>
      <c r="W2038" s="10">
        <f t="shared" si="72"/>
        <v>0</v>
      </c>
      <c r="AK2038" s="10" t="str">
        <f t="array" ref="AK2038">IFERROR(INDEX(SelectedSpecies,SMALL(IF(SelectedSpecies=AK$1,ROW(SelectedSpecies)),ROW(2039:2039)),2),"")</f>
        <v/>
      </c>
      <c r="BE2038" s="10"/>
      <c r="BI2038" s="10"/>
    </row>
    <row r="2039" spans="1:61" ht="21" customHeight="1" x14ac:dyDescent="0.25">
      <c r="A2039" s="10"/>
      <c r="B2039" s="10"/>
      <c r="E2039" s="10"/>
      <c r="G2039" s="10"/>
      <c r="I2039" s="436" t="s">
        <v>2319</v>
      </c>
      <c r="J2039" s="26" t="s">
        <v>2318</v>
      </c>
      <c r="K2039" s="10">
        <v>12</v>
      </c>
      <c r="L2039" s="73">
        <f>IF(Tank1!$C$23="No control",(SUMIF(Tank1!$B$32:$B$49,$J2039,Tank1!$C$32:$C$49)*Impacts!$F$8),0)</f>
        <v>0</v>
      </c>
      <c r="M2039" s="10">
        <f>IF(Tank2!$C$23="No control",(SUMIF(Tank2!$B$32:$B$49,$J2039,Tank2!$C$32:$C$49)*Impacts!$F$9),0)</f>
        <v>0</v>
      </c>
      <c r="N2039" s="10">
        <f>IF(Tank3!$C$23="No control",(SUMIF(Tank3!$B$32:$B$49,$J2039,Tank3!$C$32:$C$49)*Impacts!$F$10),0)</f>
        <v>0</v>
      </c>
      <c r="O2039" s="10">
        <f>IF(Tank4!$C$23="No control",(SUMIF(Tank4!$B$32:$B$49,$J2039,Tank4!$C$32:$C$49)*Impacts!$F$11),0)</f>
        <v>0</v>
      </c>
      <c r="P2039" s="10">
        <f>IF(Tank5!$C$23="No control",(SUMIF(Tank5!$B$32:$B$49,$J2039,Tank5!$C$32:$C$49)*Impacts!$F$12),0)</f>
        <v>0</v>
      </c>
      <c r="Q2039" s="10">
        <f>IFERROR(IF(('Loading-drum,tote'!$C$21)="No control",SUMIF(('Loading-drum,tote'!$B$31:$B$48),$J2039,('Loading-drum,tote'!$D$31:$D$48))*Impacts!$F$13,IF(('Loading-drum,tote'!$C$21)&lt;&gt;"No control",SUMIF(('Loading-drum,tote'!$B$31:$B$48),$J2039,('Loading-drum,tote'!$E$31:$E$48))*Impacts!$F$13,0)),0)</f>
        <v>0</v>
      </c>
      <c r="R2039" s="10">
        <f>IFERROR(IF(('Loading-truck'!$C$21)="No control",SUMIF(('Loading-truck'!$B$31:$B$48),$J2039,('Loading-truck'!$D$31:$D$48))*Impacts!$F$14,IF(('Loading-truck'!$C$21)&lt;&gt;"No control",SUMIF(('Loading-truck'!$B$31:$B$48),$J2039,('Loading-truck'!$E$31:$E$48))*Impacts!$F$14,0)),0)</f>
        <v>0</v>
      </c>
      <c r="S2039" s="10">
        <f>IFERROR(IF(('Loading-rail'!$C$21)="No control",SUMIF(('Loading-rail'!$B$31:$B$48),$J2039,('Loading-rail'!$D$31:$D$48))*Impacts!$F$15,IF(('Loading-rail'!$C$21)&lt;&gt;"No control",SUMIF(('Loading-rail'!$B$31:$B$48),$J2039,('Loading-rail'!$E$31:$E$48))*Impacts!$F$15,0)),0)</f>
        <v>0</v>
      </c>
      <c r="T2039" s="10">
        <f>IF(Flare!$C$7="",0,(SUMIF(Flare!$B$46:$B$185,$J2039,Flare!$E$46:$E$185)*Impacts!$F$16))</f>
        <v>0</v>
      </c>
      <c r="U2039" s="10">
        <f>IF(VCU!$C$9="",0,(SUMIF(VCU!$B$51:$B$193,$J2039,VCU!$E$51:$E$193)*Impacts!$F$17))</f>
        <v>0</v>
      </c>
      <c r="V2039" s="10">
        <f>IF(CAS!$C$7="",0,(SUMIF(CAS!$B$31:$B$167,$J2039,CAS!$E$31:$E$167)*Impacts!$F$18))</f>
        <v>0</v>
      </c>
      <c r="W2039" s="10">
        <f t="shared" si="72"/>
        <v>0</v>
      </c>
      <c r="AK2039" s="10" t="str">
        <f t="array" ref="AK2039">IFERROR(INDEX(SelectedSpecies,SMALL(IF(SelectedSpecies=AK$1,ROW(SelectedSpecies)),ROW(2040:2040)),2),"")</f>
        <v/>
      </c>
      <c r="BE2039" s="10"/>
      <c r="BI2039" s="10"/>
    </row>
    <row r="2040" spans="1:61" ht="21" customHeight="1" x14ac:dyDescent="0.25">
      <c r="A2040" s="10"/>
      <c r="B2040" s="10"/>
      <c r="E2040" s="10"/>
      <c r="G2040" s="10"/>
      <c r="I2040" s="436" t="s">
        <v>6638</v>
      </c>
      <c r="J2040" s="26" t="s">
        <v>6637</v>
      </c>
      <c r="K2040" s="10">
        <v>0.60000000000000009</v>
      </c>
      <c r="L2040" s="73">
        <f>IF(Tank1!$C$23="No control",(SUMIF(Tank1!$B$32:$B$49,$J2040,Tank1!$C$32:$C$49)*Impacts!$F$8),0)</f>
        <v>0</v>
      </c>
      <c r="M2040" s="10">
        <f>IF(Tank2!$C$23="No control",(SUMIF(Tank2!$B$32:$B$49,$J2040,Tank2!$C$32:$C$49)*Impacts!$F$9),0)</f>
        <v>0</v>
      </c>
      <c r="N2040" s="10">
        <f>IF(Tank3!$C$23="No control",(SUMIF(Tank3!$B$32:$B$49,$J2040,Tank3!$C$32:$C$49)*Impacts!$F$10),0)</f>
        <v>0</v>
      </c>
      <c r="O2040" s="10">
        <f>IF(Tank4!$C$23="No control",(SUMIF(Tank4!$B$32:$B$49,$J2040,Tank4!$C$32:$C$49)*Impacts!$F$11),0)</f>
        <v>0</v>
      </c>
      <c r="P2040" s="10">
        <f>IF(Tank5!$C$23="No control",(SUMIF(Tank5!$B$32:$B$49,$J2040,Tank5!$C$32:$C$49)*Impacts!$F$12),0)</f>
        <v>0</v>
      </c>
      <c r="Q2040" s="10">
        <f>IFERROR(IF(('Loading-drum,tote'!$C$21)="No control",SUMIF(('Loading-drum,tote'!$B$31:$B$48),$J2040,('Loading-drum,tote'!$D$31:$D$48))*Impacts!$F$13,IF(('Loading-drum,tote'!$C$21)&lt;&gt;"No control",SUMIF(('Loading-drum,tote'!$B$31:$B$48),$J2040,('Loading-drum,tote'!$E$31:$E$48))*Impacts!$F$13,0)),0)</f>
        <v>0</v>
      </c>
      <c r="R2040" s="10">
        <f>IFERROR(IF(('Loading-truck'!$C$21)="No control",SUMIF(('Loading-truck'!$B$31:$B$48),$J2040,('Loading-truck'!$D$31:$D$48))*Impacts!$F$14,IF(('Loading-truck'!$C$21)&lt;&gt;"No control",SUMIF(('Loading-truck'!$B$31:$B$48),$J2040,('Loading-truck'!$E$31:$E$48))*Impacts!$F$14,0)),0)</f>
        <v>0</v>
      </c>
      <c r="S2040" s="10">
        <f>IFERROR(IF(('Loading-rail'!$C$21)="No control",SUMIF(('Loading-rail'!$B$31:$B$48),$J2040,('Loading-rail'!$D$31:$D$48))*Impacts!$F$15,IF(('Loading-rail'!$C$21)&lt;&gt;"No control",SUMIF(('Loading-rail'!$B$31:$B$48),$J2040,('Loading-rail'!$E$31:$E$48))*Impacts!$F$15,0)),0)</f>
        <v>0</v>
      </c>
      <c r="T2040" s="10">
        <f>IF(Flare!$C$7="",0,(SUMIF(Flare!$B$46:$B$185,$J2040,Flare!$E$46:$E$185)*Impacts!$F$16))</f>
        <v>0</v>
      </c>
      <c r="U2040" s="10">
        <f>IF(VCU!$C$9="",0,(SUMIF(VCU!$B$51:$B$193,$J2040,VCU!$E$51:$E$193)*Impacts!$F$17))</f>
        <v>0</v>
      </c>
      <c r="V2040" s="10">
        <f>IF(CAS!$C$7="",0,(SUMIF(CAS!$B$31:$B$167,$J2040,CAS!$E$31:$E$167)*Impacts!$F$18))</f>
        <v>0</v>
      </c>
      <c r="W2040" s="10">
        <f t="shared" si="72"/>
        <v>0</v>
      </c>
      <c r="AK2040" s="10" t="str">
        <f t="array" ref="AK2040">IFERROR(INDEX(SelectedSpecies,SMALL(IF(SelectedSpecies=AK$1,ROW(SelectedSpecies)),ROW(2041:2041)),2),"")</f>
        <v/>
      </c>
      <c r="BE2040" s="10"/>
      <c r="BI2040" s="10"/>
    </row>
    <row r="2041" spans="1:61" ht="21" customHeight="1" x14ac:dyDescent="0.25">
      <c r="A2041" s="10"/>
      <c r="B2041" s="10"/>
      <c r="E2041" s="10"/>
      <c r="G2041" s="10"/>
      <c r="I2041" s="436" t="s">
        <v>5954</v>
      </c>
      <c r="J2041" s="26" t="s">
        <v>5953</v>
      </c>
      <c r="K2041" s="10">
        <v>1</v>
      </c>
      <c r="L2041" s="73">
        <f>IF(Tank1!$C$23="No control",(SUMIF(Tank1!$B$32:$B$49,$J2041,Tank1!$C$32:$C$49)*Impacts!$F$8),0)</f>
        <v>0</v>
      </c>
      <c r="M2041" s="10">
        <f>IF(Tank2!$C$23="No control",(SUMIF(Tank2!$B$32:$B$49,$J2041,Tank2!$C$32:$C$49)*Impacts!$F$9),0)</f>
        <v>0</v>
      </c>
      <c r="N2041" s="10">
        <f>IF(Tank3!$C$23="No control",(SUMIF(Tank3!$B$32:$B$49,$J2041,Tank3!$C$32:$C$49)*Impacts!$F$10),0)</f>
        <v>0</v>
      </c>
      <c r="O2041" s="10">
        <f>IF(Tank4!$C$23="No control",(SUMIF(Tank4!$B$32:$B$49,$J2041,Tank4!$C$32:$C$49)*Impacts!$F$11),0)</f>
        <v>0</v>
      </c>
      <c r="P2041" s="10">
        <f>IF(Tank5!$C$23="No control",(SUMIF(Tank5!$B$32:$B$49,$J2041,Tank5!$C$32:$C$49)*Impacts!$F$12),0)</f>
        <v>0</v>
      </c>
      <c r="Q2041" s="10">
        <f>IFERROR(IF(('Loading-drum,tote'!$C$21)="No control",SUMIF(('Loading-drum,tote'!$B$31:$B$48),$J2041,('Loading-drum,tote'!$D$31:$D$48))*Impacts!$F$13,IF(('Loading-drum,tote'!$C$21)&lt;&gt;"No control",SUMIF(('Loading-drum,tote'!$B$31:$B$48),$J2041,('Loading-drum,tote'!$E$31:$E$48))*Impacts!$F$13,0)),0)</f>
        <v>0</v>
      </c>
      <c r="R2041" s="10">
        <f>IFERROR(IF(('Loading-truck'!$C$21)="No control",SUMIF(('Loading-truck'!$B$31:$B$48),$J2041,('Loading-truck'!$D$31:$D$48))*Impacts!$F$14,IF(('Loading-truck'!$C$21)&lt;&gt;"No control",SUMIF(('Loading-truck'!$B$31:$B$48),$J2041,('Loading-truck'!$E$31:$E$48))*Impacts!$F$14,0)),0)</f>
        <v>0</v>
      </c>
      <c r="S2041" s="10">
        <f>IFERROR(IF(('Loading-rail'!$C$21)="No control",SUMIF(('Loading-rail'!$B$31:$B$48),$J2041,('Loading-rail'!$D$31:$D$48))*Impacts!$F$15,IF(('Loading-rail'!$C$21)&lt;&gt;"No control",SUMIF(('Loading-rail'!$B$31:$B$48),$J2041,('Loading-rail'!$E$31:$E$48))*Impacts!$F$15,0)),0)</f>
        <v>0</v>
      </c>
      <c r="T2041" s="10">
        <f>IF(Flare!$C$7="",0,(SUMIF(Flare!$B$46:$B$185,$J2041,Flare!$E$46:$E$185)*Impacts!$F$16))</f>
        <v>0</v>
      </c>
      <c r="U2041" s="10">
        <f>IF(VCU!$C$9="",0,(SUMIF(VCU!$B$51:$B$193,$J2041,VCU!$E$51:$E$193)*Impacts!$F$17))</f>
        <v>0</v>
      </c>
      <c r="V2041" s="10">
        <f>IF(CAS!$C$7="",0,(SUMIF(CAS!$B$31:$B$167,$J2041,CAS!$E$31:$E$167)*Impacts!$F$18))</f>
        <v>0</v>
      </c>
      <c r="W2041" s="10">
        <f t="shared" si="72"/>
        <v>0</v>
      </c>
      <c r="AK2041" s="10" t="str">
        <f t="array" ref="AK2041">IFERROR(INDEX(SelectedSpecies,SMALL(IF(SelectedSpecies=AK$1,ROW(SelectedSpecies)),ROW(2042:2042)),2),"")</f>
        <v/>
      </c>
      <c r="BE2041" s="10"/>
      <c r="BI2041" s="10"/>
    </row>
    <row r="2042" spans="1:61" ht="21" customHeight="1" x14ac:dyDescent="0.25">
      <c r="A2042" s="10"/>
      <c r="B2042" s="10"/>
      <c r="E2042" s="10"/>
      <c r="G2042" s="10"/>
      <c r="I2042" s="436" t="s">
        <v>7752</v>
      </c>
      <c r="J2042" s="26" t="s">
        <v>7751</v>
      </c>
      <c r="K2042" s="10">
        <v>0.1</v>
      </c>
      <c r="L2042" s="73">
        <f>IF(Tank1!$C$23="No control",(SUMIF(Tank1!$B$32:$B$49,$J2042,Tank1!$C$32:$C$49)*Impacts!$F$8),0)</f>
        <v>0</v>
      </c>
      <c r="M2042" s="10">
        <f>IF(Tank2!$C$23="No control",(SUMIF(Tank2!$B$32:$B$49,$J2042,Tank2!$C$32:$C$49)*Impacts!$F$9),0)</f>
        <v>0</v>
      </c>
      <c r="N2042" s="10">
        <f>IF(Tank3!$C$23="No control",(SUMIF(Tank3!$B$32:$B$49,$J2042,Tank3!$C$32:$C$49)*Impacts!$F$10),0)</f>
        <v>0</v>
      </c>
      <c r="O2042" s="10">
        <f>IF(Tank4!$C$23="No control",(SUMIF(Tank4!$B$32:$B$49,$J2042,Tank4!$C$32:$C$49)*Impacts!$F$11),0)</f>
        <v>0</v>
      </c>
      <c r="P2042" s="10">
        <f>IF(Tank5!$C$23="No control",(SUMIF(Tank5!$B$32:$B$49,$J2042,Tank5!$C$32:$C$49)*Impacts!$F$12),0)</f>
        <v>0</v>
      </c>
      <c r="Q2042" s="10">
        <f>IFERROR(IF(('Loading-drum,tote'!$C$21)="No control",SUMIF(('Loading-drum,tote'!$B$31:$B$48),$J2042,('Loading-drum,tote'!$D$31:$D$48))*Impacts!$F$13,IF(('Loading-drum,tote'!$C$21)&lt;&gt;"No control",SUMIF(('Loading-drum,tote'!$B$31:$B$48),$J2042,('Loading-drum,tote'!$E$31:$E$48))*Impacts!$F$13,0)),0)</f>
        <v>0</v>
      </c>
      <c r="R2042" s="10">
        <f>IFERROR(IF(('Loading-truck'!$C$21)="No control",SUMIF(('Loading-truck'!$B$31:$B$48),$J2042,('Loading-truck'!$D$31:$D$48))*Impacts!$F$14,IF(('Loading-truck'!$C$21)&lt;&gt;"No control",SUMIF(('Loading-truck'!$B$31:$B$48),$J2042,('Loading-truck'!$E$31:$E$48))*Impacts!$F$14,0)),0)</f>
        <v>0</v>
      </c>
      <c r="S2042" s="10">
        <f>IFERROR(IF(('Loading-rail'!$C$21)="No control",SUMIF(('Loading-rail'!$B$31:$B$48),$J2042,('Loading-rail'!$D$31:$D$48))*Impacts!$F$15,IF(('Loading-rail'!$C$21)&lt;&gt;"No control",SUMIF(('Loading-rail'!$B$31:$B$48),$J2042,('Loading-rail'!$E$31:$E$48))*Impacts!$F$15,0)),0)</f>
        <v>0</v>
      </c>
      <c r="T2042" s="10">
        <f>IF(Flare!$C$7="",0,(SUMIF(Flare!$B$46:$B$185,$J2042,Flare!$E$46:$E$185)*Impacts!$F$16))</f>
        <v>0</v>
      </c>
      <c r="U2042" s="10">
        <f>IF(VCU!$C$9="",0,(SUMIF(VCU!$B$51:$B$193,$J2042,VCU!$E$51:$E$193)*Impacts!$F$17))</f>
        <v>0</v>
      </c>
      <c r="V2042" s="10">
        <f>IF(CAS!$C$7="",0,(SUMIF(CAS!$B$31:$B$167,$J2042,CAS!$E$31:$E$167)*Impacts!$F$18))</f>
        <v>0</v>
      </c>
      <c r="W2042" s="10">
        <f t="shared" si="72"/>
        <v>0</v>
      </c>
      <c r="AK2042" s="10" t="str">
        <f t="array" ref="AK2042">IFERROR(INDEX(SelectedSpecies,SMALL(IF(SelectedSpecies=AK$1,ROW(SelectedSpecies)),ROW(2043:2043)),2),"")</f>
        <v/>
      </c>
      <c r="BE2042" s="10"/>
      <c r="BI2042" s="10"/>
    </row>
    <row r="2043" spans="1:61" ht="21" customHeight="1" x14ac:dyDescent="0.25">
      <c r="A2043" s="10"/>
      <c r="B2043" s="10"/>
      <c r="E2043" s="10"/>
      <c r="G2043" s="10"/>
      <c r="I2043" s="436" t="s">
        <v>4437</v>
      </c>
      <c r="J2043" s="26" t="s">
        <v>4436</v>
      </c>
      <c r="K2043" s="10">
        <v>4.5</v>
      </c>
      <c r="L2043" s="73">
        <f>IF(Tank1!$C$23="No control",(SUMIF(Tank1!$B$32:$B$49,$J2043,Tank1!$C$32:$C$49)*Impacts!$F$8),0)</f>
        <v>0</v>
      </c>
      <c r="M2043" s="10">
        <f>IF(Tank2!$C$23="No control",(SUMIF(Tank2!$B$32:$B$49,$J2043,Tank2!$C$32:$C$49)*Impacts!$F$9),0)</f>
        <v>0</v>
      </c>
      <c r="N2043" s="10">
        <f>IF(Tank3!$C$23="No control",(SUMIF(Tank3!$B$32:$B$49,$J2043,Tank3!$C$32:$C$49)*Impacts!$F$10),0)</f>
        <v>0</v>
      </c>
      <c r="O2043" s="10">
        <f>IF(Tank4!$C$23="No control",(SUMIF(Tank4!$B$32:$B$49,$J2043,Tank4!$C$32:$C$49)*Impacts!$F$11),0)</f>
        <v>0</v>
      </c>
      <c r="P2043" s="10">
        <f>IF(Tank5!$C$23="No control",(SUMIF(Tank5!$B$32:$B$49,$J2043,Tank5!$C$32:$C$49)*Impacts!$F$12),0)</f>
        <v>0</v>
      </c>
      <c r="Q2043" s="10">
        <f>IFERROR(IF(('Loading-drum,tote'!$C$21)="No control",SUMIF(('Loading-drum,tote'!$B$31:$B$48),$J2043,('Loading-drum,tote'!$D$31:$D$48))*Impacts!$F$13,IF(('Loading-drum,tote'!$C$21)&lt;&gt;"No control",SUMIF(('Loading-drum,tote'!$B$31:$B$48),$J2043,('Loading-drum,tote'!$E$31:$E$48))*Impacts!$F$13,0)),0)</f>
        <v>0</v>
      </c>
      <c r="R2043" s="10">
        <f>IFERROR(IF(('Loading-truck'!$C$21)="No control",SUMIF(('Loading-truck'!$B$31:$B$48),$J2043,('Loading-truck'!$D$31:$D$48))*Impacts!$F$14,IF(('Loading-truck'!$C$21)&lt;&gt;"No control",SUMIF(('Loading-truck'!$B$31:$B$48),$J2043,('Loading-truck'!$E$31:$E$48))*Impacts!$F$14,0)),0)</f>
        <v>0</v>
      </c>
      <c r="S2043" s="10">
        <f>IFERROR(IF(('Loading-rail'!$C$21)="No control",SUMIF(('Loading-rail'!$B$31:$B$48),$J2043,('Loading-rail'!$D$31:$D$48))*Impacts!$F$15,IF(('Loading-rail'!$C$21)&lt;&gt;"No control",SUMIF(('Loading-rail'!$B$31:$B$48),$J2043,('Loading-rail'!$E$31:$E$48))*Impacts!$F$15,0)),0)</f>
        <v>0</v>
      </c>
      <c r="T2043" s="10">
        <f>IF(Flare!$C$7="",0,(SUMIF(Flare!$B$46:$B$185,$J2043,Flare!$E$46:$E$185)*Impacts!$F$16))</f>
        <v>0</v>
      </c>
      <c r="U2043" s="10">
        <f>IF(VCU!$C$9="",0,(SUMIF(VCU!$B$51:$B$193,$J2043,VCU!$E$51:$E$193)*Impacts!$F$17))</f>
        <v>0</v>
      </c>
      <c r="V2043" s="10">
        <f>IF(CAS!$C$7="",0,(SUMIF(CAS!$B$31:$B$167,$J2043,CAS!$E$31:$E$167)*Impacts!$F$18))</f>
        <v>0</v>
      </c>
      <c r="W2043" s="10">
        <f t="shared" si="72"/>
        <v>0</v>
      </c>
      <c r="AK2043" s="10" t="str">
        <f t="array" ref="AK2043">IFERROR(INDEX(SelectedSpecies,SMALL(IF(SelectedSpecies=AK$1,ROW(SelectedSpecies)),ROW(2044:2044)),2),"")</f>
        <v/>
      </c>
      <c r="BE2043" s="10"/>
      <c r="BI2043" s="10"/>
    </row>
    <row r="2044" spans="1:61" ht="21" customHeight="1" x14ac:dyDescent="0.25">
      <c r="A2044" s="10"/>
      <c r="B2044" s="10"/>
      <c r="E2044" s="10"/>
      <c r="G2044" s="10"/>
      <c r="I2044" s="436" t="s">
        <v>5956</v>
      </c>
      <c r="J2044" s="26" t="s">
        <v>5955</v>
      </c>
      <c r="K2044" s="10">
        <v>1</v>
      </c>
      <c r="L2044" s="73">
        <f>IF(Tank1!$C$23="No control",(SUMIF(Tank1!$B$32:$B$49,$J2044,Tank1!$C$32:$C$49)*Impacts!$F$8),0)</f>
        <v>0</v>
      </c>
      <c r="M2044" s="10">
        <f>IF(Tank2!$C$23="No control",(SUMIF(Tank2!$B$32:$B$49,$J2044,Tank2!$C$32:$C$49)*Impacts!$F$9),0)</f>
        <v>0</v>
      </c>
      <c r="N2044" s="10">
        <f>IF(Tank3!$C$23="No control",(SUMIF(Tank3!$B$32:$B$49,$J2044,Tank3!$C$32:$C$49)*Impacts!$F$10),0)</f>
        <v>0</v>
      </c>
      <c r="O2044" s="10">
        <f>IF(Tank4!$C$23="No control",(SUMIF(Tank4!$B$32:$B$49,$J2044,Tank4!$C$32:$C$49)*Impacts!$F$11),0)</f>
        <v>0</v>
      </c>
      <c r="P2044" s="10">
        <f>IF(Tank5!$C$23="No control",(SUMIF(Tank5!$B$32:$B$49,$J2044,Tank5!$C$32:$C$49)*Impacts!$F$12),0)</f>
        <v>0</v>
      </c>
      <c r="Q2044" s="10">
        <f>IFERROR(IF(('Loading-drum,tote'!$C$21)="No control",SUMIF(('Loading-drum,tote'!$B$31:$B$48),$J2044,('Loading-drum,tote'!$D$31:$D$48))*Impacts!$F$13,IF(('Loading-drum,tote'!$C$21)&lt;&gt;"No control",SUMIF(('Loading-drum,tote'!$B$31:$B$48),$J2044,('Loading-drum,tote'!$E$31:$E$48))*Impacts!$F$13,0)),0)</f>
        <v>0</v>
      </c>
      <c r="R2044" s="10">
        <f>IFERROR(IF(('Loading-truck'!$C$21)="No control",SUMIF(('Loading-truck'!$B$31:$B$48),$J2044,('Loading-truck'!$D$31:$D$48))*Impacts!$F$14,IF(('Loading-truck'!$C$21)&lt;&gt;"No control",SUMIF(('Loading-truck'!$B$31:$B$48),$J2044,('Loading-truck'!$E$31:$E$48))*Impacts!$F$14,0)),0)</f>
        <v>0</v>
      </c>
      <c r="S2044" s="10">
        <f>IFERROR(IF(('Loading-rail'!$C$21)="No control",SUMIF(('Loading-rail'!$B$31:$B$48),$J2044,('Loading-rail'!$D$31:$D$48))*Impacts!$F$15,IF(('Loading-rail'!$C$21)&lt;&gt;"No control",SUMIF(('Loading-rail'!$B$31:$B$48),$J2044,('Loading-rail'!$E$31:$E$48))*Impacts!$F$15,0)),0)</f>
        <v>0</v>
      </c>
      <c r="T2044" s="10">
        <f>IF(Flare!$C$7="",0,(SUMIF(Flare!$B$46:$B$185,$J2044,Flare!$E$46:$E$185)*Impacts!$F$16))</f>
        <v>0</v>
      </c>
      <c r="U2044" s="10">
        <f>IF(VCU!$C$9="",0,(SUMIF(VCU!$B$51:$B$193,$J2044,VCU!$E$51:$E$193)*Impacts!$F$17))</f>
        <v>0</v>
      </c>
      <c r="V2044" s="10">
        <f>IF(CAS!$C$7="",0,(SUMIF(CAS!$B$31:$B$167,$J2044,CAS!$E$31:$E$167)*Impacts!$F$18))</f>
        <v>0</v>
      </c>
      <c r="W2044" s="10">
        <f t="shared" si="72"/>
        <v>0</v>
      </c>
      <c r="AK2044" s="10" t="str">
        <f t="array" ref="AK2044">IFERROR(INDEX(SelectedSpecies,SMALL(IF(SelectedSpecies=AK$1,ROW(SelectedSpecies)),ROW(2045:2045)),2),"")</f>
        <v/>
      </c>
      <c r="BE2044" s="10"/>
      <c r="BI2044" s="10"/>
    </row>
    <row r="2045" spans="1:61" ht="21" customHeight="1" x14ac:dyDescent="0.25">
      <c r="A2045" s="10"/>
      <c r="B2045" s="10"/>
      <c r="E2045" s="10"/>
      <c r="G2045" s="10"/>
      <c r="I2045" s="436" t="s">
        <v>7182</v>
      </c>
      <c r="J2045" s="26" t="s">
        <v>7181</v>
      </c>
      <c r="K2045" s="10">
        <v>0.33</v>
      </c>
      <c r="L2045" s="73">
        <f>IF(Tank1!$C$23="No control",(SUMIF(Tank1!$B$32:$B$49,$J2045,Tank1!$C$32:$C$49)*Impacts!$F$8),0)</f>
        <v>0</v>
      </c>
      <c r="M2045" s="10">
        <f>IF(Tank2!$C$23="No control",(SUMIF(Tank2!$B$32:$B$49,$J2045,Tank2!$C$32:$C$49)*Impacts!$F$9),0)</f>
        <v>0</v>
      </c>
      <c r="N2045" s="10">
        <f>IF(Tank3!$C$23="No control",(SUMIF(Tank3!$B$32:$B$49,$J2045,Tank3!$C$32:$C$49)*Impacts!$F$10),0)</f>
        <v>0</v>
      </c>
      <c r="O2045" s="10">
        <f>IF(Tank4!$C$23="No control",(SUMIF(Tank4!$B$32:$B$49,$J2045,Tank4!$C$32:$C$49)*Impacts!$F$11),0)</f>
        <v>0</v>
      </c>
      <c r="P2045" s="10">
        <f>IF(Tank5!$C$23="No control",(SUMIF(Tank5!$B$32:$B$49,$J2045,Tank5!$C$32:$C$49)*Impacts!$F$12),0)</f>
        <v>0</v>
      </c>
      <c r="Q2045" s="10">
        <f>IFERROR(IF(('Loading-drum,tote'!$C$21)="No control",SUMIF(('Loading-drum,tote'!$B$31:$B$48),$J2045,('Loading-drum,tote'!$D$31:$D$48))*Impacts!$F$13,IF(('Loading-drum,tote'!$C$21)&lt;&gt;"No control",SUMIF(('Loading-drum,tote'!$B$31:$B$48),$J2045,('Loading-drum,tote'!$E$31:$E$48))*Impacts!$F$13,0)),0)</f>
        <v>0</v>
      </c>
      <c r="R2045" s="10">
        <f>IFERROR(IF(('Loading-truck'!$C$21)="No control",SUMIF(('Loading-truck'!$B$31:$B$48),$J2045,('Loading-truck'!$D$31:$D$48))*Impacts!$F$14,IF(('Loading-truck'!$C$21)&lt;&gt;"No control",SUMIF(('Loading-truck'!$B$31:$B$48),$J2045,('Loading-truck'!$E$31:$E$48))*Impacts!$F$14,0)),0)</f>
        <v>0</v>
      </c>
      <c r="S2045" s="10">
        <f>IFERROR(IF(('Loading-rail'!$C$21)="No control",SUMIF(('Loading-rail'!$B$31:$B$48),$J2045,('Loading-rail'!$D$31:$D$48))*Impacts!$F$15,IF(('Loading-rail'!$C$21)&lt;&gt;"No control",SUMIF(('Loading-rail'!$B$31:$B$48),$J2045,('Loading-rail'!$E$31:$E$48))*Impacts!$F$15,0)),0)</f>
        <v>0</v>
      </c>
      <c r="T2045" s="10">
        <f>IF(Flare!$C$7="",0,(SUMIF(Flare!$B$46:$B$185,$J2045,Flare!$E$46:$E$185)*Impacts!$F$16))</f>
        <v>0</v>
      </c>
      <c r="U2045" s="10">
        <f>IF(VCU!$C$9="",0,(SUMIF(VCU!$B$51:$B$193,$J2045,VCU!$E$51:$E$193)*Impacts!$F$17))</f>
        <v>0</v>
      </c>
      <c r="V2045" s="10">
        <f>IF(CAS!$C$7="",0,(SUMIF(CAS!$B$31:$B$167,$J2045,CAS!$E$31:$E$167)*Impacts!$F$18))</f>
        <v>0</v>
      </c>
      <c r="W2045" s="10">
        <f t="shared" si="72"/>
        <v>0</v>
      </c>
      <c r="AK2045" s="10" t="str">
        <f t="array" ref="AK2045">IFERROR(INDEX(SelectedSpecies,SMALL(IF(SelectedSpecies=AK$1,ROW(SelectedSpecies)),ROW(2046:2046)),2),"")</f>
        <v/>
      </c>
      <c r="BE2045" s="10"/>
      <c r="BI2045" s="10"/>
    </row>
    <row r="2046" spans="1:61" ht="21" customHeight="1" x14ac:dyDescent="0.25">
      <c r="A2046" s="10"/>
      <c r="B2046" s="10"/>
      <c r="E2046" s="10"/>
      <c r="G2046" s="10"/>
      <c r="I2046" s="436" t="s">
        <v>4341</v>
      </c>
      <c r="J2046" s="26" t="s">
        <v>4340</v>
      </c>
      <c r="K2046" s="10">
        <v>9.4</v>
      </c>
      <c r="L2046" s="73">
        <f>IF(Tank1!$C$23="No control",(SUMIF(Tank1!$B$32:$B$49,$J2046,Tank1!$C$32:$C$49)*Impacts!$F$8),0)</f>
        <v>0</v>
      </c>
      <c r="M2046" s="10">
        <f>IF(Tank2!$C$23="No control",(SUMIF(Tank2!$B$32:$B$49,$J2046,Tank2!$C$32:$C$49)*Impacts!$F$9),0)</f>
        <v>0</v>
      </c>
      <c r="N2046" s="10">
        <f>IF(Tank3!$C$23="No control",(SUMIF(Tank3!$B$32:$B$49,$J2046,Tank3!$C$32:$C$49)*Impacts!$F$10),0)</f>
        <v>0</v>
      </c>
      <c r="O2046" s="10">
        <f>IF(Tank4!$C$23="No control",(SUMIF(Tank4!$B$32:$B$49,$J2046,Tank4!$C$32:$C$49)*Impacts!$F$11),0)</f>
        <v>0</v>
      </c>
      <c r="P2046" s="10">
        <f>IF(Tank5!$C$23="No control",(SUMIF(Tank5!$B$32:$B$49,$J2046,Tank5!$C$32:$C$49)*Impacts!$F$12),0)</f>
        <v>0</v>
      </c>
      <c r="Q2046" s="10">
        <f>IFERROR(IF(('Loading-drum,tote'!$C$21)="No control",SUMIF(('Loading-drum,tote'!$B$31:$B$48),$J2046,('Loading-drum,tote'!$D$31:$D$48))*Impacts!$F$13,IF(('Loading-drum,tote'!$C$21)&lt;&gt;"No control",SUMIF(('Loading-drum,tote'!$B$31:$B$48),$J2046,('Loading-drum,tote'!$E$31:$E$48))*Impacts!$F$13,0)),0)</f>
        <v>0</v>
      </c>
      <c r="R2046" s="10">
        <f>IFERROR(IF(('Loading-truck'!$C$21)="No control",SUMIF(('Loading-truck'!$B$31:$B$48),$J2046,('Loading-truck'!$D$31:$D$48))*Impacts!$F$14,IF(('Loading-truck'!$C$21)&lt;&gt;"No control",SUMIF(('Loading-truck'!$B$31:$B$48),$J2046,('Loading-truck'!$E$31:$E$48))*Impacts!$F$14,0)),0)</f>
        <v>0</v>
      </c>
      <c r="S2046" s="10">
        <f>IFERROR(IF(('Loading-rail'!$C$21)="No control",SUMIF(('Loading-rail'!$B$31:$B$48),$J2046,('Loading-rail'!$D$31:$D$48))*Impacts!$F$15,IF(('Loading-rail'!$C$21)&lt;&gt;"No control",SUMIF(('Loading-rail'!$B$31:$B$48),$J2046,('Loading-rail'!$E$31:$E$48))*Impacts!$F$15,0)),0)</f>
        <v>0</v>
      </c>
      <c r="T2046" s="10">
        <f>IF(Flare!$C$7="",0,(SUMIF(Flare!$B$46:$B$185,$J2046,Flare!$E$46:$E$185)*Impacts!$F$16))</f>
        <v>0</v>
      </c>
      <c r="U2046" s="10">
        <f>IF(VCU!$C$9="",0,(SUMIF(VCU!$B$51:$B$193,$J2046,VCU!$E$51:$E$193)*Impacts!$F$17))</f>
        <v>0</v>
      </c>
      <c r="V2046" s="10">
        <f>IF(CAS!$C$7="",0,(SUMIF(CAS!$B$31:$B$167,$J2046,CAS!$E$31:$E$167)*Impacts!$F$18))</f>
        <v>0</v>
      </c>
      <c r="W2046" s="10">
        <f t="shared" si="72"/>
        <v>0</v>
      </c>
      <c r="AK2046" s="10" t="str">
        <f t="array" ref="AK2046">IFERROR(INDEX(SelectedSpecies,SMALL(IF(SelectedSpecies=AK$1,ROW(SelectedSpecies)),ROW(2047:2047)),2),"")</f>
        <v/>
      </c>
      <c r="BE2046" s="10"/>
      <c r="BI2046" s="10"/>
    </row>
    <row r="2047" spans="1:61" ht="21" customHeight="1" x14ac:dyDescent="0.25">
      <c r="A2047" s="10"/>
      <c r="B2047" s="10"/>
      <c r="E2047" s="10"/>
      <c r="G2047" s="10"/>
      <c r="I2047" s="436" t="s">
        <v>4727</v>
      </c>
      <c r="J2047" s="26" t="s">
        <v>4726</v>
      </c>
      <c r="K2047" s="10">
        <v>3.5</v>
      </c>
      <c r="L2047" s="73">
        <f>IF(Tank1!$C$23="No control",(SUMIF(Tank1!$B$32:$B$49,$J2047,Tank1!$C$32:$C$49)*Impacts!$F$8),0)</f>
        <v>0</v>
      </c>
      <c r="M2047" s="10">
        <f>IF(Tank2!$C$23="No control",(SUMIF(Tank2!$B$32:$B$49,$J2047,Tank2!$C$32:$C$49)*Impacts!$F$9),0)</f>
        <v>0</v>
      </c>
      <c r="N2047" s="10">
        <f>IF(Tank3!$C$23="No control",(SUMIF(Tank3!$B$32:$B$49,$J2047,Tank3!$C$32:$C$49)*Impacts!$F$10),0)</f>
        <v>0</v>
      </c>
      <c r="O2047" s="10">
        <f>IF(Tank4!$C$23="No control",(SUMIF(Tank4!$B$32:$B$49,$J2047,Tank4!$C$32:$C$49)*Impacts!$F$11),0)</f>
        <v>0</v>
      </c>
      <c r="P2047" s="10">
        <f>IF(Tank5!$C$23="No control",(SUMIF(Tank5!$B$32:$B$49,$J2047,Tank5!$C$32:$C$49)*Impacts!$F$12),0)</f>
        <v>0</v>
      </c>
      <c r="Q2047" s="10">
        <f>IFERROR(IF(('Loading-drum,tote'!$C$21)="No control",SUMIF(('Loading-drum,tote'!$B$31:$B$48),$J2047,('Loading-drum,tote'!$D$31:$D$48))*Impacts!$F$13,IF(('Loading-drum,tote'!$C$21)&lt;&gt;"No control",SUMIF(('Loading-drum,tote'!$B$31:$B$48),$J2047,('Loading-drum,tote'!$E$31:$E$48))*Impacts!$F$13,0)),0)</f>
        <v>0</v>
      </c>
      <c r="R2047" s="10">
        <f>IFERROR(IF(('Loading-truck'!$C$21)="No control",SUMIF(('Loading-truck'!$B$31:$B$48),$J2047,('Loading-truck'!$D$31:$D$48))*Impacts!$F$14,IF(('Loading-truck'!$C$21)&lt;&gt;"No control",SUMIF(('Loading-truck'!$B$31:$B$48),$J2047,('Loading-truck'!$E$31:$E$48))*Impacts!$F$14,0)),0)</f>
        <v>0</v>
      </c>
      <c r="S2047" s="10">
        <f>IFERROR(IF(('Loading-rail'!$C$21)="No control",SUMIF(('Loading-rail'!$B$31:$B$48),$J2047,('Loading-rail'!$D$31:$D$48))*Impacts!$F$15,IF(('Loading-rail'!$C$21)&lt;&gt;"No control",SUMIF(('Loading-rail'!$B$31:$B$48),$J2047,('Loading-rail'!$E$31:$E$48))*Impacts!$F$15,0)),0)</f>
        <v>0</v>
      </c>
      <c r="T2047" s="10">
        <f>IF(Flare!$C$7="",0,(SUMIF(Flare!$B$46:$B$185,$J2047,Flare!$E$46:$E$185)*Impacts!$F$16))</f>
        <v>0</v>
      </c>
      <c r="U2047" s="10">
        <f>IF(VCU!$C$9="",0,(SUMIF(VCU!$B$51:$B$193,$J2047,VCU!$E$51:$E$193)*Impacts!$F$17))</f>
        <v>0</v>
      </c>
      <c r="V2047" s="10">
        <f>IF(CAS!$C$7="",0,(SUMIF(CAS!$B$31:$B$167,$J2047,CAS!$E$31:$E$167)*Impacts!$F$18))</f>
        <v>0</v>
      </c>
      <c r="W2047" s="10">
        <f t="shared" si="72"/>
        <v>0</v>
      </c>
      <c r="AK2047" s="10" t="str">
        <f t="array" ref="AK2047">IFERROR(INDEX(SelectedSpecies,SMALL(IF(SelectedSpecies=AK$1,ROW(SelectedSpecies)),ROW(2048:2048)),2),"")</f>
        <v/>
      </c>
      <c r="BE2047" s="10"/>
      <c r="BI2047" s="10"/>
    </row>
    <row r="2048" spans="1:61" ht="21" customHeight="1" x14ac:dyDescent="0.25">
      <c r="A2048" s="10"/>
      <c r="B2048" s="10"/>
      <c r="E2048" s="10"/>
      <c r="G2048" s="10"/>
      <c r="I2048" s="436" t="s">
        <v>2907</v>
      </c>
      <c r="J2048" s="26" t="s">
        <v>2906</v>
      </c>
      <c r="K2048" s="10">
        <v>10</v>
      </c>
      <c r="L2048" s="73">
        <f>IF(Tank1!$C$23="No control",(SUMIF(Tank1!$B$32:$B$49,$J2048,Tank1!$C$32:$C$49)*Impacts!$F$8),0)</f>
        <v>0</v>
      </c>
      <c r="M2048" s="10">
        <f>IF(Tank2!$C$23="No control",(SUMIF(Tank2!$B$32:$B$49,$J2048,Tank2!$C$32:$C$49)*Impacts!$F$9),0)</f>
        <v>0</v>
      </c>
      <c r="N2048" s="10">
        <f>IF(Tank3!$C$23="No control",(SUMIF(Tank3!$B$32:$B$49,$J2048,Tank3!$C$32:$C$49)*Impacts!$F$10),0)</f>
        <v>0</v>
      </c>
      <c r="O2048" s="10">
        <f>IF(Tank4!$C$23="No control",(SUMIF(Tank4!$B$32:$B$49,$J2048,Tank4!$C$32:$C$49)*Impacts!$F$11),0)</f>
        <v>0</v>
      </c>
      <c r="P2048" s="10">
        <f>IF(Tank5!$C$23="No control",(SUMIF(Tank5!$B$32:$B$49,$J2048,Tank5!$C$32:$C$49)*Impacts!$F$12),0)</f>
        <v>0</v>
      </c>
      <c r="Q2048" s="10">
        <f>IFERROR(IF(('Loading-drum,tote'!$C$21)="No control",SUMIF(('Loading-drum,tote'!$B$31:$B$48),$J2048,('Loading-drum,tote'!$D$31:$D$48))*Impacts!$F$13,IF(('Loading-drum,tote'!$C$21)&lt;&gt;"No control",SUMIF(('Loading-drum,tote'!$B$31:$B$48),$J2048,('Loading-drum,tote'!$E$31:$E$48))*Impacts!$F$13,0)),0)</f>
        <v>0</v>
      </c>
      <c r="R2048" s="10">
        <f>IFERROR(IF(('Loading-truck'!$C$21)="No control",SUMIF(('Loading-truck'!$B$31:$B$48),$J2048,('Loading-truck'!$D$31:$D$48))*Impacts!$F$14,IF(('Loading-truck'!$C$21)&lt;&gt;"No control",SUMIF(('Loading-truck'!$B$31:$B$48),$J2048,('Loading-truck'!$E$31:$E$48))*Impacts!$F$14,0)),0)</f>
        <v>0</v>
      </c>
      <c r="S2048" s="10">
        <f>IFERROR(IF(('Loading-rail'!$C$21)="No control",SUMIF(('Loading-rail'!$B$31:$B$48),$J2048,('Loading-rail'!$D$31:$D$48))*Impacts!$F$15,IF(('Loading-rail'!$C$21)&lt;&gt;"No control",SUMIF(('Loading-rail'!$B$31:$B$48),$J2048,('Loading-rail'!$E$31:$E$48))*Impacts!$F$15,0)),0)</f>
        <v>0</v>
      </c>
      <c r="T2048" s="10">
        <f>IF(Flare!$C$7="",0,(SUMIF(Flare!$B$46:$B$185,$J2048,Flare!$E$46:$E$185)*Impacts!$F$16))</f>
        <v>0</v>
      </c>
      <c r="U2048" s="10">
        <f>IF(VCU!$C$9="",0,(SUMIF(VCU!$B$51:$B$193,$J2048,VCU!$E$51:$E$193)*Impacts!$F$17))</f>
        <v>0</v>
      </c>
      <c r="V2048" s="10">
        <f>IF(CAS!$C$7="",0,(SUMIF(CAS!$B$31:$B$167,$J2048,CAS!$E$31:$E$167)*Impacts!$F$18))</f>
        <v>0</v>
      </c>
      <c r="W2048" s="10">
        <f t="shared" si="72"/>
        <v>0</v>
      </c>
      <c r="AK2048" s="10" t="str">
        <f t="array" ref="AK2048">IFERROR(INDEX(SelectedSpecies,SMALL(IF(SelectedSpecies=AK$1,ROW(SelectedSpecies)),ROW(2049:2049)),2),"")</f>
        <v/>
      </c>
      <c r="BE2048" s="10"/>
      <c r="BI2048" s="10"/>
    </row>
    <row r="2049" spans="1:61" ht="21" customHeight="1" x14ac:dyDescent="0.25">
      <c r="A2049" s="10"/>
      <c r="B2049" s="10"/>
      <c r="E2049" s="10"/>
      <c r="G2049" s="10"/>
      <c r="I2049" s="436" t="s">
        <v>1801</v>
      </c>
      <c r="J2049" s="26" t="s">
        <v>1800</v>
      </c>
      <c r="K2049" s="10">
        <v>22</v>
      </c>
      <c r="L2049" s="73">
        <f>IF(Tank1!$C$23="No control",(SUMIF(Tank1!$B$32:$B$49,$J2049,Tank1!$C$32:$C$49)*Impacts!$F$8),0)</f>
        <v>0</v>
      </c>
      <c r="M2049" s="10">
        <f>IF(Tank2!$C$23="No control",(SUMIF(Tank2!$B$32:$B$49,$J2049,Tank2!$C$32:$C$49)*Impacts!$F$9),0)</f>
        <v>0</v>
      </c>
      <c r="N2049" s="10">
        <f>IF(Tank3!$C$23="No control",(SUMIF(Tank3!$B$32:$B$49,$J2049,Tank3!$C$32:$C$49)*Impacts!$F$10),0)</f>
        <v>0</v>
      </c>
      <c r="O2049" s="10">
        <f>IF(Tank4!$C$23="No control",(SUMIF(Tank4!$B$32:$B$49,$J2049,Tank4!$C$32:$C$49)*Impacts!$F$11),0)</f>
        <v>0</v>
      </c>
      <c r="P2049" s="10">
        <f>IF(Tank5!$C$23="No control",(SUMIF(Tank5!$B$32:$B$49,$J2049,Tank5!$C$32:$C$49)*Impacts!$F$12),0)</f>
        <v>0</v>
      </c>
      <c r="Q2049" s="10">
        <f>IFERROR(IF(('Loading-drum,tote'!$C$21)="No control",SUMIF(('Loading-drum,tote'!$B$31:$B$48),$J2049,('Loading-drum,tote'!$D$31:$D$48))*Impacts!$F$13,IF(('Loading-drum,tote'!$C$21)&lt;&gt;"No control",SUMIF(('Loading-drum,tote'!$B$31:$B$48),$J2049,('Loading-drum,tote'!$E$31:$E$48))*Impacts!$F$13,0)),0)</f>
        <v>0</v>
      </c>
      <c r="R2049" s="10">
        <f>IFERROR(IF(('Loading-truck'!$C$21)="No control",SUMIF(('Loading-truck'!$B$31:$B$48),$J2049,('Loading-truck'!$D$31:$D$48))*Impacts!$F$14,IF(('Loading-truck'!$C$21)&lt;&gt;"No control",SUMIF(('Loading-truck'!$B$31:$B$48),$J2049,('Loading-truck'!$E$31:$E$48))*Impacts!$F$14,0)),0)</f>
        <v>0</v>
      </c>
      <c r="S2049" s="10">
        <f>IFERROR(IF(('Loading-rail'!$C$21)="No control",SUMIF(('Loading-rail'!$B$31:$B$48),$J2049,('Loading-rail'!$D$31:$D$48))*Impacts!$F$15,IF(('Loading-rail'!$C$21)&lt;&gt;"No control",SUMIF(('Loading-rail'!$B$31:$B$48),$J2049,('Loading-rail'!$E$31:$E$48))*Impacts!$F$15,0)),0)</f>
        <v>0</v>
      </c>
      <c r="T2049" s="10">
        <f>IF(Flare!$C$7="",0,(SUMIF(Flare!$B$46:$B$185,$J2049,Flare!$E$46:$E$185)*Impacts!$F$16))</f>
        <v>0</v>
      </c>
      <c r="U2049" s="10">
        <f>IF(VCU!$C$9="",0,(SUMIF(VCU!$B$51:$B$193,$J2049,VCU!$E$51:$E$193)*Impacts!$F$17))</f>
        <v>0</v>
      </c>
      <c r="V2049" s="10">
        <f>IF(CAS!$C$7="",0,(SUMIF(CAS!$B$31:$B$167,$J2049,CAS!$E$31:$E$167)*Impacts!$F$18))</f>
        <v>0</v>
      </c>
      <c r="W2049" s="10">
        <f t="shared" si="72"/>
        <v>0</v>
      </c>
      <c r="AK2049" s="10" t="str">
        <f t="array" ref="AK2049">IFERROR(INDEX(SelectedSpecies,SMALL(IF(SelectedSpecies=AK$1,ROW(SelectedSpecies)),ROW(2050:2050)),2),"")</f>
        <v/>
      </c>
      <c r="BE2049" s="10"/>
      <c r="BI2049" s="10"/>
    </row>
    <row r="2050" spans="1:61" ht="21" customHeight="1" x14ac:dyDescent="0.25">
      <c r="A2050" s="10"/>
      <c r="B2050" s="10"/>
      <c r="E2050" s="10"/>
      <c r="G2050" s="10"/>
      <c r="I2050" s="436" t="s">
        <v>2193</v>
      </c>
      <c r="J2050" s="26" t="s">
        <v>2192</v>
      </c>
      <c r="K2050" s="10">
        <v>14.5</v>
      </c>
      <c r="L2050" s="73">
        <f>IF(Tank1!$C$23="No control",(SUMIF(Tank1!$B$32:$B$49,$J2050,Tank1!$C$32:$C$49)*Impacts!$F$8),0)</f>
        <v>0</v>
      </c>
      <c r="M2050" s="10">
        <f>IF(Tank2!$C$23="No control",(SUMIF(Tank2!$B$32:$B$49,$J2050,Tank2!$C$32:$C$49)*Impacts!$F$9),0)</f>
        <v>0</v>
      </c>
      <c r="N2050" s="10">
        <f>IF(Tank3!$C$23="No control",(SUMIF(Tank3!$B$32:$B$49,$J2050,Tank3!$C$32:$C$49)*Impacts!$F$10),0)</f>
        <v>0</v>
      </c>
      <c r="O2050" s="10">
        <f>IF(Tank4!$C$23="No control",(SUMIF(Tank4!$B$32:$B$49,$J2050,Tank4!$C$32:$C$49)*Impacts!$F$11),0)</f>
        <v>0</v>
      </c>
      <c r="P2050" s="10">
        <f>IF(Tank5!$C$23="No control",(SUMIF(Tank5!$B$32:$B$49,$J2050,Tank5!$C$32:$C$49)*Impacts!$F$12),0)</f>
        <v>0</v>
      </c>
      <c r="Q2050" s="10">
        <f>IFERROR(IF(('Loading-drum,tote'!$C$21)="No control",SUMIF(('Loading-drum,tote'!$B$31:$B$48),$J2050,('Loading-drum,tote'!$D$31:$D$48))*Impacts!$F$13,IF(('Loading-drum,tote'!$C$21)&lt;&gt;"No control",SUMIF(('Loading-drum,tote'!$B$31:$B$48),$J2050,('Loading-drum,tote'!$E$31:$E$48))*Impacts!$F$13,0)),0)</f>
        <v>0</v>
      </c>
      <c r="R2050" s="10">
        <f>IFERROR(IF(('Loading-truck'!$C$21)="No control",SUMIF(('Loading-truck'!$B$31:$B$48),$J2050,('Loading-truck'!$D$31:$D$48))*Impacts!$F$14,IF(('Loading-truck'!$C$21)&lt;&gt;"No control",SUMIF(('Loading-truck'!$B$31:$B$48),$J2050,('Loading-truck'!$E$31:$E$48))*Impacts!$F$14,0)),0)</f>
        <v>0</v>
      </c>
      <c r="S2050" s="10">
        <f>IFERROR(IF(('Loading-rail'!$C$21)="No control",SUMIF(('Loading-rail'!$B$31:$B$48),$J2050,('Loading-rail'!$D$31:$D$48))*Impacts!$F$15,IF(('Loading-rail'!$C$21)&lt;&gt;"No control",SUMIF(('Loading-rail'!$B$31:$B$48),$J2050,('Loading-rail'!$E$31:$E$48))*Impacts!$F$15,0)),0)</f>
        <v>0</v>
      </c>
      <c r="T2050" s="10">
        <f>IF(Flare!$C$7="",0,(SUMIF(Flare!$B$46:$B$185,$J2050,Flare!$E$46:$E$185)*Impacts!$F$16))</f>
        <v>0</v>
      </c>
      <c r="U2050" s="10">
        <f>IF(VCU!$C$9="",0,(SUMIF(VCU!$B$51:$B$193,$J2050,VCU!$E$51:$E$193)*Impacts!$F$17))</f>
        <v>0</v>
      </c>
      <c r="V2050" s="10">
        <f>IF(CAS!$C$7="",0,(SUMIF(CAS!$B$31:$B$167,$J2050,CAS!$E$31:$E$167)*Impacts!$F$18))</f>
        <v>0</v>
      </c>
      <c r="W2050" s="10">
        <f t="shared" si="72"/>
        <v>0</v>
      </c>
      <c r="AK2050" s="10" t="str">
        <f t="array" ref="AK2050">IFERROR(INDEX(SelectedSpecies,SMALL(IF(SelectedSpecies=AK$1,ROW(SelectedSpecies)),ROW(2051:2051)),2),"")</f>
        <v/>
      </c>
      <c r="BE2050" s="10"/>
      <c r="BI2050" s="10"/>
    </row>
    <row r="2051" spans="1:61" ht="21" customHeight="1" x14ac:dyDescent="0.25">
      <c r="A2051" s="10"/>
      <c r="B2051" s="10"/>
      <c r="E2051" s="10"/>
      <c r="G2051" s="10"/>
      <c r="I2051" s="436" t="s">
        <v>4765</v>
      </c>
      <c r="J2051" s="26" t="s">
        <v>4764</v>
      </c>
      <c r="K2051" s="10">
        <v>3.4000000000000004</v>
      </c>
      <c r="L2051" s="73">
        <f>IF(Tank1!$C$23="No control",(SUMIF(Tank1!$B$32:$B$49,$J2051,Tank1!$C$32:$C$49)*Impacts!$F$8),0)</f>
        <v>0</v>
      </c>
      <c r="M2051" s="10">
        <f>IF(Tank2!$C$23="No control",(SUMIF(Tank2!$B$32:$B$49,$J2051,Tank2!$C$32:$C$49)*Impacts!$F$9),0)</f>
        <v>0</v>
      </c>
      <c r="N2051" s="10">
        <f>IF(Tank3!$C$23="No control",(SUMIF(Tank3!$B$32:$B$49,$J2051,Tank3!$C$32:$C$49)*Impacts!$F$10),0)</f>
        <v>0</v>
      </c>
      <c r="O2051" s="10">
        <f>IF(Tank4!$C$23="No control",(SUMIF(Tank4!$B$32:$B$49,$J2051,Tank4!$C$32:$C$49)*Impacts!$F$11),0)</f>
        <v>0</v>
      </c>
      <c r="P2051" s="10">
        <f>IF(Tank5!$C$23="No control",(SUMIF(Tank5!$B$32:$B$49,$J2051,Tank5!$C$32:$C$49)*Impacts!$F$12),0)</f>
        <v>0</v>
      </c>
      <c r="Q2051" s="10">
        <f>IFERROR(IF(('Loading-drum,tote'!$C$21)="No control",SUMIF(('Loading-drum,tote'!$B$31:$B$48),$J2051,('Loading-drum,tote'!$D$31:$D$48))*Impacts!$F$13,IF(('Loading-drum,tote'!$C$21)&lt;&gt;"No control",SUMIF(('Loading-drum,tote'!$B$31:$B$48),$J2051,('Loading-drum,tote'!$E$31:$E$48))*Impacts!$F$13,0)),0)</f>
        <v>0</v>
      </c>
      <c r="R2051" s="10">
        <f>IFERROR(IF(('Loading-truck'!$C$21)="No control",SUMIF(('Loading-truck'!$B$31:$B$48),$J2051,('Loading-truck'!$D$31:$D$48))*Impacts!$F$14,IF(('Loading-truck'!$C$21)&lt;&gt;"No control",SUMIF(('Loading-truck'!$B$31:$B$48),$J2051,('Loading-truck'!$E$31:$E$48))*Impacts!$F$14,0)),0)</f>
        <v>0</v>
      </c>
      <c r="S2051" s="10">
        <f>IFERROR(IF(('Loading-rail'!$C$21)="No control",SUMIF(('Loading-rail'!$B$31:$B$48),$J2051,('Loading-rail'!$D$31:$D$48))*Impacts!$F$15,IF(('Loading-rail'!$C$21)&lt;&gt;"No control",SUMIF(('Loading-rail'!$B$31:$B$48),$J2051,('Loading-rail'!$E$31:$E$48))*Impacts!$F$15,0)),0)</f>
        <v>0</v>
      </c>
      <c r="T2051" s="10">
        <f>IF(Flare!$C$7="",0,(SUMIF(Flare!$B$46:$B$185,$J2051,Flare!$E$46:$E$185)*Impacts!$F$16))</f>
        <v>0</v>
      </c>
      <c r="U2051" s="10">
        <f>IF(VCU!$C$9="",0,(SUMIF(VCU!$B$51:$B$193,$J2051,VCU!$E$51:$E$193)*Impacts!$F$17))</f>
        <v>0</v>
      </c>
      <c r="V2051" s="10">
        <f>IF(CAS!$C$7="",0,(SUMIF(CAS!$B$31:$B$167,$J2051,CAS!$E$31:$E$167)*Impacts!$F$18))</f>
        <v>0</v>
      </c>
      <c r="W2051" s="10">
        <f t="shared" si="72"/>
        <v>0</v>
      </c>
      <c r="AK2051" s="10" t="str">
        <f t="array" ref="AK2051">IFERROR(INDEX(SelectedSpecies,SMALL(IF(SelectedSpecies=AK$1,ROW(SelectedSpecies)),ROW(2052:2052)),2),"")</f>
        <v/>
      </c>
      <c r="BE2051" s="10"/>
      <c r="BI2051" s="10"/>
    </row>
    <row r="2052" spans="1:61" ht="21" customHeight="1" x14ac:dyDescent="0.25">
      <c r="A2052" s="10"/>
      <c r="B2052" s="10"/>
      <c r="E2052" s="10"/>
      <c r="G2052" s="10"/>
      <c r="I2052" s="436" t="s">
        <v>10381</v>
      </c>
      <c r="J2052" s="26" t="s">
        <v>10382</v>
      </c>
      <c r="K2052" s="10">
        <v>57</v>
      </c>
      <c r="L2052" s="73">
        <f>IF(Tank1!$C$23="No control",(SUMIF(Tank1!$B$32:$B$49,$J2052,Tank1!$C$32:$C$49)*Impacts!$F$8),0)</f>
        <v>0</v>
      </c>
      <c r="M2052" s="10">
        <f>IF(Tank2!$C$23="No control",(SUMIF(Tank2!$B$32:$B$49,$J2052,Tank2!$C$32:$C$49)*Impacts!$F$9),0)</f>
        <v>0</v>
      </c>
      <c r="N2052" s="10">
        <f>IF(Tank3!$C$23="No control",(SUMIF(Tank3!$B$32:$B$49,$J2052,Tank3!$C$32:$C$49)*Impacts!$F$10),0)</f>
        <v>0</v>
      </c>
      <c r="O2052" s="10">
        <f>IF(Tank4!$C$23="No control",(SUMIF(Tank4!$B$32:$B$49,$J2052,Tank4!$C$32:$C$49)*Impacts!$F$11),0)</f>
        <v>0</v>
      </c>
      <c r="P2052" s="10">
        <f>IF(Tank5!$C$23="No control",(SUMIF(Tank5!$B$32:$B$49,$J2052,Tank5!$C$32:$C$49)*Impacts!$F$12),0)</f>
        <v>0</v>
      </c>
      <c r="Q2052" s="10">
        <f>IFERROR(IF(('Loading-drum,tote'!$C$21)="No control",SUMIF(('Loading-drum,tote'!$B$31:$B$48),$J2052,('Loading-drum,tote'!$D$31:$D$48))*Impacts!$F$13,IF(('Loading-drum,tote'!$C$21)&lt;&gt;"No control",SUMIF(('Loading-drum,tote'!$B$31:$B$48),$J2052,('Loading-drum,tote'!$E$31:$E$48))*Impacts!$F$13,0)),0)</f>
        <v>0</v>
      </c>
      <c r="R2052" s="10">
        <f>IFERROR(IF(('Loading-truck'!$C$21)="No control",SUMIF(('Loading-truck'!$B$31:$B$48),$J2052,('Loading-truck'!$D$31:$D$48))*Impacts!$F$14,IF(('Loading-truck'!$C$21)&lt;&gt;"No control",SUMIF(('Loading-truck'!$B$31:$B$48),$J2052,('Loading-truck'!$E$31:$E$48))*Impacts!$F$14,0)),0)</f>
        <v>0</v>
      </c>
      <c r="S2052" s="10">
        <f>IFERROR(IF(('Loading-rail'!$C$21)="No control",SUMIF(('Loading-rail'!$B$31:$B$48),$J2052,('Loading-rail'!$D$31:$D$48))*Impacts!$F$15,IF(('Loading-rail'!$C$21)&lt;&gt;"No control",SUMIF(('Loading-rail'!$B$31:$B$48),$J2052,('Loading-rail'!$E$31:$E$48))*Impacts!$F$15,0)),0)</f>
        <v>0</v>
      </c>
      <c r="T2052" s="10">
        <f>IF(Flare!$C$7="",0,(SUMIF(Flare!$B$46:$B$185,$J2052,Flare!$E$46:$E$185)*Impacts!$F$16))</f>
        <v>0</v>
      </c>
      <c r="U2052" s="10">
        <f>IF(VCU!$C$9="",0,(SUMIF(VCU!$B$51:$B$193,$J2052,VCU!$E$51:$E$193)*Impacts!$F$17))</f>
        <v>0</v>
      </c>
      <c r="V2052" s="10">
        <f>IF(CAS!$C$7="",0,(SUMIF(CAS!$B$31:$B$167,$J2052,CAS!$E$31:$E$167)*Impacts!$F$18))</f>
        <v>0</v>
      </c>
      <c r="W2052" s="10">
        <f t="shared" si="72"/>
        <v>0</v>
      </c>
      <c r="AK2052" s="10" t="str">
        <f t="array" ref="AK2052">IFERROR(INDEX(SelectedSpecies,SMALL(IF(SelectedSpecies=AK$1,ROW(SelectedSpecies)),ROW(2053:2053)),2),"")</f>
        <v/>
      </c>
      <c r="BE2052" s="10"/>
      <c r="BI2052" s="10"/>
    </row>
    <row r="2053" spans="1:61" ht="21" customHeight="1" x14ac:dyDescent="0.25">
      <c r="A2053" s="10"/>
      <c r="B2053" s="10"/>
      <c r="E2053" s="10"/>
      <c r="G2053" s="10"/>
      <c r="I2053" s="436" t="s">
        <v>4203</v>
      </c>
      <c r="J2053" s="26" t="s">
        <v>4202</v>
      </c>
      <c r="K2053" s="10">
        <v>5</v>
      </c>
      <c r="L2053" s="73">
        <f>IF(Tank1!$C$23="No control",(SUMIF(Tank1!$B$32:$B$49,$J2053,Tank1!$C$32:$C$49)*Impacts!$F$8),0)</f>
        <v>0</v>
      </c>
      <c r="M2053" s="10">
        <f>IF(Tank2!$C$23="No control",(SUMIF(Tank2!$B$32:$B$49,$J2053,Tank2!$C$32:$C$49)*Impacts!$F$9),0)</f>
        <v>0</v>
      </c>
      <c r="N2053" s="10">
        <f>IF(Tank3!$C$23="No control",(SUMIF(Tank3!$B$32:$B$49,$J2053,Tank3!$C$32:$C$49)*Impacts!$F$10),0)</f>
        <v>0</v>
      </c>
      <c r="O2053" s="10">
        <f>IF(Tank4!$C$23="No control",(SUMIF(Tank4!$B$32:$B$49,$J2053,Tank4!$C$32:$C$49)*Impacts!$F$11),0)</f>
        <v>0</v>
      </c>
      <c r="P2053" s="10">
        <f>IF(Tank5!$C$23="No control",(SUMIF(Tank5!$B$32:$B$49,$J2053,Tank5!$C$32:$C$49)*Impacts!$F$12),0)</f>
        <v>0</v>
      </c>
      <c r="Q2053" s="10">
        <f>IFERROR(IF(('Loading-drum,tote'!$C$21)="No control",SUMIF(('Loading-drum,tote'!$B$31:$B$48),$J2053,('Loading-drum,tote'!$D$31:$D$48))*Impacts!$F$13,IF(('Loading-drum,tote'!$C$21)&lt;&gt;"No control",SUMIF(('Loading-drum,tote'!$B$31:$B$48),$J2053,('Loading-drum,tote'!$E$31:$E$48))*Impacts!$F$13,0)),0)</f>
        <v>0</v>
      </c>
      <c r="R2053" s="10">
        <f>IFERROR(IF(('Loading-truck'!$C$21)="No control",SUMIF(('Loading-truck'!$B$31:$B$48),$J2053,('Loading-truck'!$D$31:$D$48))*Impacts!$F$14,IF(('Loading-truck'!$C$21)&lt;&gt;"No control",SUMIF(('Loading-truck'!$B$31:$B$48),$J2053,('Loading-truck'!$E$31:$E$48))*Impacts!$F$14,0)),0)</f>
        <v>0</v>
      </c>
      <c r="S2053" s="10">
        <f>IFERROR(IF(('Loading-rail'!$C$21)="No control",SUMIF(('Loading-rail'!$B$31:$B$48),$J2053,('Loading-rail'!$D$31:$D$48))*Impacts!$F$15,IF(('Loading-rail'!$C$21)&lt;&gt;"No control",SUMIF(('Loading-rail'!$B$31:$B$48),$J2053,('Loading-rail'!$E$31:$E$48))*Impacts!$F$15,0)),0)</f>
        <v>0</v>
      </c>
      <c r="T2053" s="10">
        <f>IF(Flare!$C$7="",0,(SUMIF(Flare!$B$46:$B$185,$J2053,Flare!$E$46:$E$185)*Impacts!$F$16))</f>
        <v>0</v>
      </c>
      <c r="U2053" s="10">
        <f>IF(VCU!$C$9="",0,(SUMIF(VCU!$B$51:$B$193,$J2053,VCU!$E$51:$E$193)*Impacts!$F$17))</f>
        <v>0</v>
      </c>
      <c r="V2053" s="10">
        <f>IF(CAS!$C$7="",0,(SUMIF(CAS!$B$31:$B$167,$J2053,CAS!$E$31:$E$167)*Impacts!$F$18))</f>
        <v>0</v>
      </c>
      <c r="W2053" s="10">
        <f t="shared" si="72"/>
        <v>0</v>
      </c>
      <c r="AK2053" s="10" t="str">
        <f t="array" ref="AK2053">IFERROR(INDEX(SelectedSpecies,SMALL(IF(SelectedSpecies=AK$1,ROW(SelectedSpecies)),ROW(2054:2054)),2),"")</f>
        <v/>
      </c>
      <c r="BE2053" s="10"/>
      <c r="BI2053" s="10"/>
    </row>
    <row r="2054" spans="1:61" ht="21" customHeight="1" x14ac:dyDescent="0.25">
      <c r="A2054" s="10"/>
      <c r="B2054" s="10"/>
      <c r="E2054" s="10"/>
      <c r="G2054" s="10"/>
      <c r="I2054" s="436" t="s">
        <v>447</v>
      </c>
      <c r="J2054" s="26" t="s">
        <v>446</v>
      </c>
      <c r="K2054" s="10">
        <v>164</v>
      </c>
      <c r="L2054" s="73">
        <f>IF(Tank1!$C$23="No control",(SUMIF(Tank1!$B$32:$B$49,$J2054,Tank1!$C$32:$C$49)*Impacts!$F$8),0)</f>
        <v>0</v>
      </c>
      <c r="M2054" s="10">
        <f>IF(Tank2!$C$23="No control",(SUMIF(Tank2!$B$32:$B$49,$J2054,Tank2!$C$32:$C$49)*Impacts!$F$9),0)</f>
        <v>0</v>
      </c>
      <c r="N2054" s="10">
        <f>IF(Tank3!$C$23="No control",(SUMIF(Tank3!$B$32:$B$49,$J2054,Tank3!$C$32:$C$49)*Impacts!$F$10),0)</f>
        <v>0</v>
      </c>
      <c r="O2054" s="10">
        <f>IF(Tank4!$C$23="No control",(SUMIF(Tank4!$B$32:$B$49,$J2054,Tank4!$C$32:$C$49)*Impacts!$F$11),0)</f>
        <v>0</v>
      </c>
      <c r="P2054" s="10">
        <f>IF(Tank5!$C$23="No control",(SUMIF(Tank5!$B$32:$B$49,$J2054,Tank5!$C$32:$C$49)*Impacts!$F$12),0)</f>
        <v>0</v>
      </c>
      <c r="Q2054" s="10">
        <f>IFERROR(IF(('Loading-drum,tote'!$C$21)="No control",SUMIF(('Loading-drum,tote'!$B$31:$B$48),$J2054,('Loading-drum,tote'!$D$31:$D$48))*Impacts!$F$13,IF(('Loading-drum,tote'!$C$21)&lt;&gt;"No control",SUMIF(('Loading-drum,tote'!$B$31:$B$48),$J2054,('Loading-drum,tote'!$E$31:$E$48))*Impacts!$F$13,0)),0)</f>
        <v>0</v>
      </c>
      <c r="R2054" s="10">
        <f>IFERROR(IF(('Loading-truck'!$C$21)="No control",SUMIF(('Loading-truck'!$B$31:$B$48),$J2054,('Loading-truck'!$D$31:$D$48))*Impacts!$F$14,IF(('Loading-truck'!$C$21)&lt;&gt;"No control",SUMIF(('Loading-truck'!$B$31:$B$48),$J2054,('Loading-truck'!$E$31:$E$48))*Impacts!$F$14,0)),0)</f>
        <v>0</v>
      </c>
      <c r="S2054" s="10">
        <f>IFERROR(IF(('Loading-rail'!$C$21)="No control",SUMIF(('Loading-rail'!$B$31:$B$48),$J2054,('Loading-rail'!$D$31:$D$48))*Impacts!$F$15,IF(('Loading-rail'!$C$21)&lt;&gt;"No control",SUMIF(('Loading-rail'!$B$31:$B$48),$J2054,('Loading-rail'!$E$31:$E$48))*Impacts!$F$15,0)),0)</f>
        <v>0</v>
      </c>
      <c r="T2054" s="10">
        <f>IF(Flare!$C$7="",0,(SUMIF(Flare!$B$46:$B$185,$J2054,Flare!$E$46:$E$185)*Impacts!$F$16))</f>
        <v>0</v>
      </c>
      <c r="U2054" s="10">
        <f>IF(VCU!$C$9="",0,(SUMIF(VCU!$B$51:$B$193,$J2054,VCU!$E$51:$E$193)*Impacts!$F$17))</f>
        <v>0</v>
      </c>
      <c r="V2054" s="10">
        <f>IF(CAS!$C$7="",0,(SUMIF(CAS!$B$31:$B$167,$J2054,CAS!$E$31:$E$167)*Impacts!$F$18))</f>
        <v>0</v>
      </c>
      <c r="W2054" s="10">
        <f t="shared" si="72"/>
        <v>0</v>
      </c>
      <c r="AK2054" s="10" t="str">
        <f t="array" ref="AK2054">IFERROR(INDEX(SelectedSpecies,SMALL(IF(SelectedSpecies=AK$1,ROW(SelectedSpecies)),ROW(2055:2055)),2),"")</f>
        <v/>
      </c>
      <c r="BE2054" s="10"/>
      <c r="BI2054" s="10"/>
    </row>
    <row r="2055" spans="1:61" ht="21" customHeight="1" x14ac:dyDescent="0.25">
      <c r="A2055" s="10"/>
      <c r="B2055" s="10"/>
      <c r="E2055" s="10"/>
      <c r="G2055" s="10"/>
      <c r="I2055" s="436" t="s">
        <v>6314</v>
      </c>
      <c r="J2055" s="26" t="s">
        <v>6313</v>
      </c>
      <c r="K2055" s="10">
        <v>0.9</v>
      </c>
      <c r="L2055" s="73">
        <f>IF(Tank1!$C$23="No control",(SUMIF(Tank1!$B$32:$B$49,$J2055,Tank1!$C$32:$C$49)*Impacts!$F$8),0)</f>
        <v>0</v>
      </c>
      <c r="M2055" s="10">
        <f>IF(Tank2!$C$23="No control",(SUMIF(Tank2!$B$32:$B$49,$J2055,Tank2!$C$32:$C$49)*Impacts!$F$9),0)</f>
        <v>0</v>
      </c>
      <c r="N2055" s="10">
        <f>IF(Tank3!$C$23="No control",(SUMIF(Tank3!$B$32:$B$49,$J2055,Tank3!$C$32:$C$49)*Impacts!$F$10),0)</f>
        <v>0</v>
      </c>
      <c r="O2055" s="10">
        <f>IF(Tank4!$C$23="No control",(SUMIF(Tank4!$B$32:$B$49,$J2055,Tank4!$C$32:$C$49)*Impacts!$F$11),0)</f>
        <v>0</v>
      </c>
      <c r="P2055" s="10">
        <f>IF(Tank5!$C$23="No control",(SUMIF(Tank5!$B$32:$B$49,$J2055,Tank5!$C$32:$C$49)*Impacts!$F$12),0)</f>
        <v>0</v>
      </c>
      <c r="Q2055" s="10">
        <f>IFERROR(IF(('Loading-drum,tote'!$C$21)="No control",SUMIF(('Loading-drum,tote'!$B$31:$B$48),$J2055,('Loading-drum,tote'!$D$31:$D$48))*Impacts!$F$13,IF(('Loading-drum,tote'!$C$21)&lt;&gt;"No control",SUMIF(('Loading-drum,tote'!$B$31:$B$48),$J2055,('Loading-drum,tote'!$E$31:$E$48))*Impacts!$F$13,0)),0)</f>
        <v>0</v>
      </c>
      <c r="R2055" s="10">
        <f>IFERROR(IF(('Loading-truck'!$C$21)="No control",SUMIF(('Loading-truck'!$B$31:$B$48),$J2055,('Loading-truck'!$D$31:$D$48))*Impacts!$F$14,IF(('Loading-truck'!$C$21)&lt;&gt;"No control",SUMIF(('Loading-truck'!$B$31:$B$48),$J2055,('Loading-truck'!$E$31:$E$48))*Impacts!$F$14,0)),0)</f>
        <v>0</v>
      </c>
      <c r="S2055" s="10">
        <f>IFERROR(IF(('Loading-rail'!$C$21)="No control",SUMIF(('Loading-rail'!$B$31:$B$48),$J2055,('Loading-rail'!$D$31:$D$48))*Impacts!$F$15,IF(('Loading-rail'!$C$21)&lt;&gt;"No control",SUMIF(('Loading-rail'!$B$31:$B$48),$J2055,('Loading-rail'!$E$31:$E$48))*Impacts!$F$15,0)),0)</f>
        <v>0</v>
      </c>
      <c r="T2055" s="10">
        <f>IF(Flare!$C$7="",0,(SUMIF(Flare!$B$46:$B$185,$J2055,Flare!$E$46:$E$185)*Impacts!$F$16))</f>
        <v>0</v>
      </c>
      <c r="U2055" s="10">
        <f>IF(VCU!$C$9="",0,(SUMIF(VCU!$B$51:$B$193,$J2055,VCU!$E$51:$E$193)*Impacts!$F$17))</f>
        <v>0</v>
      </c>
      <c r="V2055" s="10">
        <f>IF(CAS!$C$7="",0,(SUMIF(CAS!$B$31:$B$167,$J2055,CAS!$E$31:$E$167)*Impacts!$F$18))</f>
        <v>0</v>
      </c>
      <c r="W2055" s="10">
        <f t="shared" si="72"/>
        <v>0</v>
      </c>
      <c r="AK2055" s="10" t="str">
        <f t="array" ref="AK2055">IFERROR(INDEX(SelectedSpecies,SMALL(IF(SelectedSpecies=AK$1,ROW(SelectedSpecies)),ROW(2056:2056)),2),"")</f>
        <v/>
      </c>
      <c r="BE2055" s="10"/>
      <c r="BI2055" s="10"/>
    </row>
    <row r="2056" spans="1:61" ht="21" customHeight="1" x14ac:dyDescent="0.25">
      <c r="A2056" s="10"/>
      <c r="B2056" s="10"/>
      <c r="E2056" s="10"/>
      <c r="G2056" s="10"/>
      <c r="I2056" s="436" t="s">
        <v>4375</v>
      </c>
      <c r="J2056" s="26" t="s">
        <v>4374</v>
      </c>
      <c r="K2056" s="10">
        <v>4.8000000000000007</v>
      </c>
      <c r="L2056" s="73">
        <f>IF(Tank1!$C$23="No control",(SUMIF(Tank1!$B$32:$B$49,$J2056,Tank1!$C$32:$C$49)*Impacts!$F$8),0)</f>
        <v>0</v>
      </c>
      <c r="M2056" s="10">
        <f>IF(Tank2!$C$23="No control",(SUMIF(Tank2!$B$32:$B$49,$J2056,Tank2!$C$32:$C$49)*Impacts!$F$9),0)</f>
        <v>0</v>
      </c>
      <c r="N2056" s="10">
        <f>IF(Tank3!$C$23="No control",(SUMIF(Tank3!$B$32:$B$49,$J2056,Tank3!$C$32:$C$49)*Impacts!$F$10),0)</f>
        <v>0</v>
      </c>
      <c r="O2056" s="10">
        <f>IF(Tank4!$C$23="No control",(SUMIF(Tank4!$B$32:$B$49,$J2056,Tank4!$C$32:$C$49)*Impacts!$F$11),0)</f>
        <v>0</v>
      </c>
      <c r="P2056" s="10">
        <f>IF(Tank5!$C$23="No control",(SUMIF(Tank5!$B$32:$B$49,$J2056,Tank5!$C$32:$C$49)*Impacts!$F$12),0)</f>
        <v>0</v>
      </c>
      <c r="Q2056" s="10">
        <f>IFERROR(IF(('Loading-drum,tote'!$C$21)="No control",SUMIF(('Loading-drum,tote'!$B$31:$B$48),$J2056,('Loading-drum,tote'!$D$31:$D$48))*Impacts!$F$13,IF(('Loading-drum,tote'!$C$21)&lt;&gt;"No control",SUMIF(('Loading-drum,tote'!$B$31:$B$48),$J2056,('Loading-drum,tote'!$E$31:$E$48))*Impacts!$F$13,0)),0)</f>
        <v>0</v>
      </c>
      <c r="R2056" s="10">
        <f>IFERROR(IF(('Loading-truck'!$C$21)="No control",SUMIF(('Loading-truck'!$B$31:$B$48),$J2056,('Loading-truck'!$D$31:$D$48))*Impacts!$F$14,IF(('Loading-truck'!$C$21)&lt;&gt;"No control",SUMIF(('Loading-truck'!$B$31:$B$48),$J2056,('Loading-truck'!$E$31:$E$48))*Impacts!$F$14,0)),0)</f>
        <v>0</v>
      </c>
      <c r="S2056" s="10">
        <f>IFERROR(IF(('Loading-rail'!$C$21)="No control",SUMIF(('Loading-rail'!$B$31:$B$48),$J2056,('Loading-rail'!$D$31:$D$48))*Impacts!$F$15,IF(('Loading-rail'!$C$21)&lt;&gt;"No control",SUMIF(('Loading-rail'!$B$31:$B$48),$J2056,('Loading-rail'!$E$31:$E$48))*Impacts!$F$15,0)),0)</f>
        <v>0</v>
      </c>
      <c r="T2056" s="10">
        <f>IF(Flare!$C$7="",0,(SUMIF(Flare!$B$46:$B$185,$J2056,Flare!$E$46:$E$185)*Impacts!$F$16))</f>
        <v>0</v>
      </c>
      <c r="U2056" s="10">
        <f>IF(VCU!$C$9="",0,(SUMIF(VCU!$B$51:$B$193,$J2056,VCU!$E$51:$E$193)*Impacts!$F$17))</f>
        <v>0</v>
      </c>
      <c r="V2056" s="10">
        <f>IF(CAS!$C$7="",0,(SUMIF(CAS!$B$31:$B$167,$J2056,CAS!$E$31:$E$167)*Impacts!$F$18))</f>
        <v>0</v>
      </c>
      <c r="W2056" s="10">
        <f t="shared" si="72"/>
        <v>0</v>
      </c>
      <c r="AK2056" s="10" t="str">
        <f t="array" ref="AK2056">IFERROR(INDEX(SelectedSpecies,SMALL(IF(SelectedSpecies=AK$1,ROW(SelectedSpecies)),ROW(2057:2057)),2),"")</f>
        <v/>
      </c>
      <c r="BE2056" s="10"/>
      <c r="BI2056" s="10"/>
    </row>
    <row r="2057" spans="1:61" ht="21" customHeight="1" x14ac:dyDescent="0.25">
      <c r="A2057" s="10"/>
      <c r="B2057" s="10"/>
      <c r="E2057" s="10"/>
      <c r="G2057" s="10"/>
      <c r="I2057" s="436" t="s">
        <v>4497</v>
      </c>
      <c r="J2057" s="26" t="s">
        <v>4496</v>
      </c>
      <c r="K2057" s="10">
        <v>4.2</v>
      </c>
      <c r="L2057" s="73">
        <f>IF(Tank1!$C$23="No control",(SUMIF(Tank1!$B$32:$B$49,$J2057,Tank1!$C$32:$C$49)*Impacts!$F$8),0)</f>
        <v>0</v>
      </c>
      <c r="M2057" s="10">
        <f>IF(Tank2!$C$23="No control",(SUMIF(Tank2!$B$32:$B$49,$J2057,Tank2!$C$32:$C$49)*Impacts!$F$9),0)</f>
        <v>0</v>
      </c>
      <c r="N2057" s="10">
        <f>IF(Tank3!$C$23="No control",(SUMIF(Tank3!$B$32:$B$49,$J2057,Tank3!$C$32:$C$49)*Impacts!$F$10),0)</f>
        <v>0</v>
      </c>
      <c r="O2057" s="10">
        <f>IF(Tank4!$C$23="No control",(SUMIF(Tank4!$B$32:$B$49,$J2057,Tank4!$C$32:$C$49)*Impacts!$F$11),0)</f>
        <v>0</v>
      </c>
      <c r="P2057" s="10">
        <f>IF(Tank5!$C$23="No control",(SUMIF(Tank5!$B$32:$B$49,$J2057,Tank5!$C$32:$C$49)*Impacts!$F$12),0)</f>
        <v>0</v>
      </c>
      <c r="Q2057" s="10">
        <f>IFERROR(IF(('Loading-drum,tote'!$C$21)="No control",SUMIF(('Loading-drum,tote'!$B$31:$B$48),$J2057,('Loading-drum,tote'!$D$31:$D$48))*Impacts!$F$13,IF(('Loading-drum,tote'!$C$21)&lt;&gt;"No control",SUMIF(('Loading-drum,tote'!$B$31:$B$48),$J2057,('Loading-drum,tote'!$E$31:$E$48))*Impacts!$F$13,0)),0)</f>
        <v>0</v>
      </c>
      <c r="R2057" s="10">
        <f>IFERROR(IF(('Loading-truck'!$C$21)="No control",SUMIF(('Loading-truck'!$B$31:$B$48),$J2057,('Loading-truck'!$D$31:$D$48))*Impacts!$F$14,IF(('Loading-truck'!$C$21)&lt;&gt;"No control",SUMIF(('Loading-truck'!$B$31:$B$48),$J2057,('Loading-truck'!$E$31:$E$48))*Impacts!$F$14,0)),0)</f>
        <v>0</v>
      </c>
      <c r="S2057" s="10">
        <f>IFERROR(IF(('Loading-rail'!$C$21)="No control",SUMIF(('Loading-rail'!$B$31:$B$48),$J2057,('Loading-rail'!$D$31:$D$48))*Impacts!$F$15,IF(('Loading-rail'!$C$21)&lt;&gt;"No control",SUMIF(('Loading-rail'!$B$31:$B$48),$J2057,('Loading-rail'!$E$31:$E$48))*Impacts!$F$15,0)),0)</f>
        <v>0</v>
      </c>
      <c r="T2057" s="10">
        <f>IF(Flare!$C$7="",0,(SUMIF(Flare!$B$46:$B$185,$J2057,Flare!$E$46:$E$185)*Impacts!$F$16))</f>
        <v>0</v>
      </c>
      <c r="U2057" s="10">
        <f>IF(VCU!$C$9="",0,(SUMIF(VCU!$B$51:$B$193,$J2057,VCU!$E$51:$E$193)*Impacts!$F$17))</f>
        <v>0</v>
      </c>
      <c r="V2057" s="10">
        <f>IF(CAS!$C$7="",0,(SUMIF(CAS!$B$31:$B$167,$J2057,CAS!$E$31:$E$167)*Impacts!$F$18))</f>
        <v>0</v>
      </c>
      <c r="W2057" s="10">
        <f t="shared" si="72"/>
        <v>0</v>
      </c>
      <c r="AK2057" s="10" t="str">
        <f t="array" ref="AK2057">IFERROR(INDEX(SelectedSpecies,SMALL(IF(SelectedSpecies=AK$1,ROW(SelectedSpecies)),ROW(2058:2058)),2),"")</f>
        <v/>
      </c>
      <c r="BE2057" s="10"/>
      <c r="BI2057" s="10"/>
    </row>
    <row r="2058" spans="1:61" ht="21" customHeight="1" x14ac:dyDescent="0.25">
      <c r="A2058" s="10"/>
      <c r="B2058" s="10"/>
      <c r="E2058" s="10"/>
      <c r="G2058" s="10"/>
      <c r="I2058" s="436" t="s">
        <v>5439</v>
      </c>
      <c r="J2058" s="26" t="s">
        <v>5438</v>
      </c>
      <c r="K2058" s="10">
        <v>1.4000000000000001</v>
      </c>
      <c r="L2058" s="73">
        <f>IF(Tank1!$C$23="No control",(SUMIF(Tank1!$B$32:$B$49,$J2058,Tank1!$C$32:$C$49)*Impacts!$F$8),0)</f>
        <v>0</v>
      </c>
      <c r="M2058" s="10">
        <f>IF(Tank2!$C$23="No control",(SUMIF(Tank2!$B$32:$B$49,$J2058,Tank2!$C$32:$C$49)*Impacts!$F$9),0)</f>
        <v>0</v>
      </c>
      <c r="N2058" s="10">
        <f>IF(Tank3!$C$23="No control",(SUMIF(Tank3!$B$32:$B$49,$J2058,Tank3!$C$32:$C$49)*Impacts!$F$10),0)</f>
        <v>0</v>
      </c>
      <c r="O2058" s="10">
        <f>IF(Tank4!$C$23="No control",(SUMIF(Tank4!$B$32:$B$49,$J2058,Tank4!$C$32:$C$49)*Impacts!$F$11),0)</f>
        <v>0</v>
      </c>
      <c r="P2058" s="10">
        <f>IF(Tank5!$C$23="No control",(SUMIF(Tank5!$B$32:$B$49,$J2058,Tank5!$C$32:$C$49)*Impacts!$F$12),0)</f>
        <v>0</v>
      </c>
      <c r="Q2058" s="10">
        <f>IFERROR(IF(('Loading-drum,tote'!$C$21)="No control",SUMIF(('Loading-drum,tote'!$B$31:$B$48),$J2058,('Loading-drum,tote'!$D$31:$D$48))*Impacts!$F$13,IF(('Loading-drum,tote'!$C$21)&lt;&gt;"No control",SUMIF(('Loading-drum,tote'!$B$31:$B$48),$J2058,('Loading-drum,tote'!$E$31:$E$48))*Impacts!$F$13,0)),0)</f>
        <v>0</v>
      </c>
      <c r="R2058" s="10">
        <f>IFERROR(IF(('Loading-truck'!$C$21)="No control",SUMIF(('Loading-truck'!$B$31:$B$48),$J2058,('Loading-truck'!$D$31:$D$48))*Impacts!$F$14,IF(('Loading-truck'!$C$21)&lt;&gt;"No control",SUMIF(('Loading-truck'!$B$31:$B$48),$J2058,('Loading-truck'!$E$31:$E$48))*Impacts!$F$14,0)),0)</f>
        <v>0</v>
      </c>
      <c r="S2058" s="10">
        <f>IFERROR(IF(('Loading-rail'!$C$21)="No control",SUMIF(('Loading-rail'!$B$31:$B$48),$J2058,('Loading-rail'!$D$31:$D$48))*Impacts!$F$15,IF(('Loading-rail'!$C$21)&lt;&gt;"No control",SUMIF(('Loading-rail'!$B$31:$B$48),$J2058,('Loading-rail'!$E$31:$E$48))*Impacts!$F$15,0)),0)</f>
        <v>0</v>
      </c>
      <c r="T2058" s="10">
        <f>IF(Flare!$C$7="",0,(SUMIF(Flare!$B$46:$B$185,$J2058,Flare!$E$46:$E$185)*Impacts!$F$16))</f>
        <v>0</v>
      </c>
      <c r="U2058" s="10">
        <f>IF(VCU!$C$9="",0,(SUMIF(VCU!$B$51:$B$193,$J2058,VCU!$E$51:$E$193)*Impacts!$F$17))</f>
        <v>0</v>
      </c>
      <c r="V2058" s="10">
        <f>IF(CAS!$C$7="",0,(SUMIF(CAS!$B$31:$B$167,$J2058,CAS!$E$31:$E$167)*Impacts!$F$18))</f>
        <v>0</v>
      </c>
      <c r="W2058" s="10">
        <f t="shared" si="72"/>
        <v>0</v>
      </c>
      <c r="AK2058" s="10" t="str">
        <f t="array" ref="AK2058">IFERROR(INDEX(SelectedSpecies,SMALL(IF(SelectedSpecies=AK$1,ROW(SelectedSpecies)),ROW(2059:2059)),2),"")</f>
        <v/>
      </c>
      <c r="BE2058" s="10"/>
      <c r="BI2058" s="10"/>
    </row>
    <row r="2059" spans="1:61" ht="21" customHeight="1" x14ac:dyDescent="0.25">
      <c r="A2059" s="10"/>
      <c r="B2059" s="10"/>
      <c r="E2059" s="10"/>
      <c r="G2059" s="10"/>
      <c r="I2059" s="436" t="s">
        <v>4969</v>
      </c>
      <c r="J2059" s="26" t="s">
        <v>4968</v>
      </c>
      <c r="K2059" s="10">
        <v>2.5</v>
      </c>
      <c r="L2059" s="73">
        <f>IF(Tank1!$C$23="No control",(SUMIF(Tank1!$B$32:$B$49,$J2059,Tank1!$C$32:$C$49)*Impacts!$F$8),0)</f>
        <v>0</v>
      </c>
      <c r="M2059" s="10">
        <f>IF(Tank2!$C$23="No control",(SUMIF(Tank2!$B$32:$B$49,$J2059,Tank2!$C$32:$C$49)*Impacts!$F$9),0)</f>
        <v>0</v>
      </c>
      <c r="N2059" s="10">
        <f>IF(Tank3!$C$23="No control",(SUMIF(Tank3!$B$32:$B$49,$J2059,Tank3!$C$32:$C$49)*Impacts!$F$10),0)</f>
        <v>0</v>
      </c>
      <c r="O2059" s="10">
        <f>IF(Tank4!$C$23="No control",(SUMIF(Tank4!$B$32:$B$49,$J2059,Tank4!$C$32:$C$49)*Impacts!$F$11),0)</f>
        <v>0</v>
      </c>
      <c r="P2059" s="10">
        <f>IF(Tank5!$C$23="No control",(SUMIF(Tank5!$B$32:$B$49,$J2059,Tank5!$C$32:$C$49)*Impacts!$F$12),0)</f>
        <v>0</v>
      </c>
      <c r="Q2059" s="10">
        <f>IFERROR(IF(('Loading-drum,tote'!$C$21)="No control",SUMIF(('Loading-drum,tote'!$B$31:$B$48),$J2059,('Loading-drum,tote'!$D$31:$D$48))*Impacts!$F$13,IF(('Loading-drum,tote'!$C$21)&lt;&gt;"No control",SUMIF(('Loading-drum,tote'!$B$31:$B$48),$J2059,('Loading-drum,tote'!$E$31:$E$48))*Impacts!$F$13,0)),0)</f>
        <v>0</v>
      </c>
      <c r="R2059" s="10">
        <f>IFERROR(IF(('Loading-truck'!$C$21)="No control",SUMIF(('Loading-truck'!$B$31:$B$48),$J2059,('Loading-truck'!$D$31:$D$48))*Impacts!$F$14,IF(('Loading-truck'!$C$21)&lt;&gt;"No control",SUMIF(('Loading-truck'!$B$31:$B$48),$J2059,('Loading-truck'!$E$31:$E$48))*Impacts!$F$14,0)),0)</f>
        <v>0</v>
      </c>
      <c r="S2059" s="10">
        <f>IFERROR(IF(('Loading-rail'!$C$21)="No control",SUMIF(('Loading-rail'!$B$31:$B$48),$J2059,('Loading-rail'!$D$31:$D$48))*Impacts!$F$15,IF(('Loading-rail'!$C$21)&lt;&gt;"No control",SUMIF(('Loading-rail'!$B$31:$B$48),$J2059,('Loading-rail'!$E$31:$E$48))*Impacts!$F$15,0)),0)</f>
        <v>0</v>
      </c>
      <c r="T2059" s="10">
        <f>IF(Flare!$C$7="",0,(SUMIF(Flare!$B$46:$B$185,$J2059,Flare!$E$46:$E$185)*Impacts!$F$16))</f>
        <v>0</v>
      </c>
      <c r="U2059" s="10">
        <f>IF(VCU!$C$9="",0,(SUMIF(VCU!$B$51:$B$193,$J2059,VCU!$E$51:$E$193)*Impacts!$F$17))</f>
        <v>0</v>
      </c>
      <c r="V2059" s="10">
        <f>IF(CAS!$C$7="",0,(SUMIF(CAS!$B$31:$B$167,$J2059,CAS!$E$31:$E$167)*Impacts!$F$18))</f>
        <v>0</v>
      </c>
      <c r="W2059" s="10">
        <f t="shared" si="72"/>
        <v>0</v>
      </c>
      <c r="AK2059" s="10" t="str">
        <f t="array" ref="AK2059">IFERROR(INDEX(SelectedSpecies,SMALL(IF(SelectedSpecies=AK$1,ROW(SelectedSpecies)),ROW(2060:2060)),2),"")</f>
        <v/>
      </c>
      <c r="BE2059" s="10"/>
      <c r="BI2059" s="10"/>
    </row>
    <row r="2060" spans="1:61" ht="21" customHeight="1" x14ac:dyDescent="0.25">
      <c r="A2060" s="10"/>
      <c r="B2060" s="10"/>
      <c r="E2060" s="10"/>
      <c r="G2060" s="10"/>
      <c r="I2060" s="436" t="s">
        <v>8010</v>
      </c>
      <c r="J2060" s="26" t="s">
        <v>8009</v>
      </c>
      <c r="K2060" s="10">
        <v>2.5000000000000001E-2</v>
      </c>
      <c r="L2060" s="73">
        <f>IF(Tank1!$C$23="No control",(SUMIF(Tank1!$B$32:$B$49,$J2060,Tank1!$C$32:$C$49)*Impacts!$F$8),0)</f>
        <v>0</v>
      </c>
      <c r="M2060" s="10">
        <f>IF(Tank2!$C$23="No control",(SUMIF(Tank2!$B$32:$B$49,$J2060,Tank2!$C$32:$C$49)*Impacts!$F$9),0)</f>
        <v>0</v>
      </c>
      <c r="N2060" s="10">
        <f>IF(Tank3!$C$23="No control",(SUMIF(Tank3!$B$32:$B$49,$J2060,Tank3!$C$32:$C$49)*Impacts!$F$10),0)</f>
        <v>0</v>
      </c>
      <c r="O2060" s="10">
        <f>IF(Tank4!$C$23="No control",(SUMIF(Tank4!$B$32:$B$49,$J2060,Tank4!$C$32:$C$49)*Impacts!$F$11),0)</f>
        <v>0</v>
      </c>
      <c r="P2060" s="10">
        <f>IF(Tank5!$C$23="No control",(SUMIF(Tank5!$B$32:$B$49,$J2060,Tank5!$C$32:$C$49)*Impacts!$F$12),0)</f>
        <v>0</v>
      </c>
      <c r="Q2060" s="10">
        <f>IFERROR(IF(('Loading-drum,tote'!$C$21)="No control",SUMIF(('Loading-drum,tote'!$B$31:$B$48),$J2060,('Loading-drum,tote'!$D$31:$D$48))*Impacts!$F$13,IF(('Loading-drum,tote'!$C$21)&lt;&gt;"No control",SUMIF(('Loading-drum,tote'!$B$31:$B$48),$J2060,('Loading-drum,tote'!$E$31:$E$48))*Impacts!$F$13,0)),0)</f>
        <v>0</v>
      </c>
      <c r="R2060" s="10">
        <f>IFERROR(IF(('Loading-truck'!$C$21)="No control",SUMIF(('Loading-truck'!$B$31:$B$48),$J2060,('Loading-truck'!$D$31:$D$48))*Impacts!$F$14,IF(('Loading-truck'!$C$21)&lt;&gt;"No control",SUMIF(('Loading-truck'!$B$31:$B$48),$J2060,('Loading-truck'!$E$31:$E$48))*Impacts!$F$14,0)),0)</f>
        <v>0</v>
      </c>
      <c r="S2060" s="10">
        <f>IFERROR(IF(('Loading-rail'!$C$21)="No control",SUMIF(('Loading-rail'!$B$31:$B$48),$J2060,('Loading-rail'!$D$31:$D$48))*Impacts!$F$15,IF(('Loading-rail'!$C$21)&lt;&gt;"No control",SUMIF(('Loading-rail'!$B$31:$B$48),$J2060,('Loading-rail'!$E$31:$E$48))*Impacts!$F$15,0)),0)</f>
        <v>0</v>
      </c>
      <c r="T2060" s="10">
        <f>IF(Flare!$C$7="",0,(SUMIF(Flare!$B$46:$B$185,$J2060,Flare!$E$46:$E$185)*Impacts!$F$16))</f>
        <v>0</v>
      </c>
      <c r="U2060" s="10">
        <f>IF(VCU!$C$9="",0,(SUMIF(VCU!$B$51:$B$193,$J2060,VCU!$E$51:$E$193)*Impacts!$F$17))</f>
        <v>0</v>
      </c>
      <c r="V2060" s="10">
        <f>IF(CAS!$C$7="",0,(SUMIF(CAS!$B$31:$B$167,$J2060,CAS!$E$31:$E$167)*Impacts!$F$18))</f>
        <v>0</v>
      </c>
      <c r="W2060" s="10">
        <f t="shared" si="72"/>
        <v>0</v>
      </c>
      <c r="AK2060" s="10" t="str">
        <f t="array" ref="AK2060">IFERROR(INDEX(SelectedSpecies,SMALL(IF(SelectedSpecies=AK$1,ROW(SelectedSpecies)),ROW(2061:2061)),2),"")</f>
        <v/>
      </c>
      <c r="BE2060" s="10"/>
      <c r="BI2060" s="10"/>
    </row>
    <row r="2061" spans="1:61" ht="21" customHeight="1" x14ac:dyDescent="0.25">
      <c r="A2061" s="10"/>
      <c r="B2061" s="10"/>
      <c r="E2061" s="10"/>
      <c r="G2061" s="10"/>
      <c r="I2061" s="436" t="s">
        <v>7362</v>
      </c>
      <c r="J2061" s="26" t="s">
        <v>7361</v>
      </c>
      <c r="K2061" s="10">
        <v>0.25</v>
      </c>
      <c r="L2061" s="73">
        <f>IF(Tank1!$C$23="No control",(SUMIF(Tank1!$B$32:$B$49,$J2061,Tank1!$C$32:$C$49)*Impacts!$F$8),0)</f>
        <v>0</v>
      </c>
      <c r="M2061" s="10">
        <f>IF(Tank2!$C$23="No control",(SUMIF(Tank2!$B$32:$B$49,$J2061,Tank2!$C$32:$C$49)*Impacts!$F$9),0)</f>
        <v>0</v>
      </c>
      <c r="N2061" s="10">
        <f>IF(Tank3!$C$23="No control",(SUMIF(Tank3!$B$32:$B$49,$J2061,Tank3!$C$32:$C$49)*Impacts!$F$10),0)</f>
        <v>0</v>
      </c>
      <c r="O2061" s="10">
        <f>IF(Tank4!$C$23="No control",(SUMIF(Tank4!$B$32:$B$49,$J2061,Tank4!$C$32:$C$49)*Impacts!$F$11),0)</f>
        <v>0</v>
      </c>
      <c r="P2061" s="10">
        <f>IF(Tank5!$C$23="No control",(SUMIF(Tank5!$B$32:$B$49,$J2061,Tank5!$C$32:$C$49)*Impacts!$F$12),0)</f>
        <v>0</v>
      </c>
      <c r="Q2061" s="10">
        <f>IFERROR(IF(('Loading-drum,tote'!$C$21)="No control",SUMIF(('Loading-drum,tote'!$B$31:$B$48),$J2061,('Loading-drum,tote'!$D$31:$D$48))*Impacts!$F$13,IF(('Loading-drum,tote'!$C$21)&lt;&gt;"No control",SUMIF(('Loading-drum,tote'!$B$31:$B$48),$J2061,('Loading-drum,tote'!$E$31:$E$48))*Impacts!$F$13,0)),0)</f>
        <v>0</v>
      </c>
      <c r="R2061" s="10">
        <f>IFERROR(IF(('Loading-truck'!$C$21)="No control",SUMIF(('Loading-truck'!$B$31:$B$48),$J2061,('Loading-truck'!$D$31:$D$48))*Impacts!$F$14,IF(('Loading-truck'!$C$21)&lt;&gt;"No control",SUMIF(('Loading-truck'!$B$31:$B$48),$J2061,('Loading-truck'!$E$31:$E$48))*Impacts!$F$14,0)),0)</f>
        <v>0</v>
      </c>
      <c r="S2061" s="10">
        <f>IFERROR(IF(('Loading-rail'!$C$21)="No control",SUMIF(('Loading-rail'!$B$31:$B$48),$J2061,('Loading-rail'!$D$31:$D$48))*Impacts!$F$15,IF(('Loading-rail'!$C$21)&lt;&gt;"No control",SUMIF(('Loading-rail'!$B$31:$B$48),$J2061,('Loading-rail'!$E$31:$E$48))*Impacts!$F$15,0)),0)</f>
        <v>0</v>
      </c>
      <c r="T2061" s="10">
        <f>IF(Flare!$C$7="",0,(SUMIF(Flare!$B$46:$B$185,$J2061,Flare!$E$46:$E$185)*Impacts!$F$16))</f>
        <v>0</v>
      </c>
      <c r="U2061" s="10">
        <f>IF(VCU!$C$9="",0,(SUMIF(VCU!$B$51:$B$193,$J2061,VCU!$E$51:$E$193)*Impacts!$F$17))</f>
        <v>0</v>
      </c>
      <c r="V2061" s="10">
        <f>IF(CAS!$C$7="",0,(SUMIF(CAS!$B$31:$B$167,$J2061,CAS!$E$31:$E$167)*Impacts!$F$18))</f>
        <v>0</v>
      </c>
      <c r="W2061" s="10">
        <f t="shared" si="72"/>
        <v>0</v>
      </c>
      <c r="AK2061" s="10" t="str">
        <f t="array" ref="AK2061">IFERROR(INDEX(SelectedSpecies,SMALL(IF(SelectedSpecies=AK$1,ROW(SelectedSpecies)),ROW(2062:2062)),2),"")</f>
        <v/>
      </c>
      <c r="BE2061" s="10"/>
      <c r="BI2061" s="10"/>
    </row>
    <row r="2062" spans="1:61" ht="21" customHeight="1" x14ac:dyDescent="0.25">
      <c r="A2062" s="10"/>
      <c r="B2062" s="10"/>
      <c r="E2062" s="10"/>
      <c r="G2062" s="10"/>
      <c r="I2062" s="436" t="s">
        <v>1961</v>
      </c>
      <c r="J2062" s="26" t="s">
        <v>1960</v>
      </c>
      <c r="K2062" s="10">
        <v>20</v>
      </c>
      <c r="L2062" s="73">
        <f>IF(Tank1!$C$23="No control",(SUMIF(Tank1!$B$32:$B$49,$J2062,Tank1!$C$32:$C$49)*Impacts!$F$8),0)</f>
        <v>0</v>
      </c>
      <c r="M2062" s="10">
        <f>IF(Tank2!$C$23="No control",(SUMIF(Tank2!$B$32:$B$49,$J2062,Tank2!$C$32:$C$49)*Impacts!$F$9),0)</f>
        <v>0</v>
      </c>
      <c r="N2062" s="10">
        <f>IF(Tank3!$C$23="No control",(SUMIF(Tank3!$B$32:$B$49,$J2062,Tank3!$C$32:$C$49)*Impacts!$F$10),0)</f>
        <v>0</v>
      </c>
      <c r="O2062" s="10">
        <f>IF(Tank4!$C$23="No control",(SUMIF(Tank4!$B$32:$B$49,$J2062,Tank4!$C$32:$C$49)*Impacts!$F$11),0)</f>
        <v>0</v>
      </c>
      <c r="P2062" s="10">
        <f>IF(Tank5!$C$23="No control",(SUMIF(Tank5!$B$32:$B$49,$J2062,Tank5!$C$32:$C$49)*Impacts!$F$12),0)</f>
        <v>0</v>
      </c>
      <c r="Q2062" s="10">
        <f>IFERROR(IF(('Loading-drum,tote'!$C$21)="No control",SUMIF(('Loading-drum,tote'!$B$31:$B$48),$J2062,('Loading-drum,tote'!$D$31:$D$48))*Impacts!$F$13,IF(('Loading-drum,tote'!$C$21)&lt;&gt;"No control",SUMIF(('Loading-drum,tote'!$B$31:$B$48),$J2062,('Loading-drum,tote'!$E$31:$E$48))*Impacts!$F$13,0)),0)</f>
        <v>0</v>
      </c>
      <c r="R2062" s="10">
        <f>IFERROR(IF(('Loading-truck'!$C$21)="No control",SUMIF(('Loading-truck'!$B$31:$B$48),$J2062,('Loading-truck'!$D$31:$D$48))*Impacts!$F$14,IF(('Loading-truck'!$C$21)&lt;&gt;"No control",SUMIF(('Loading-truck'!$B$31:$B$48),$J2062,('Loading-truck'!$E$31:$E$48))*Impacts!$F$14,0)),0)</f>
        <v>0</v>
      </c>
      <c r="S2062" s="10">
        <f>IFERROR(IF(('Loading-rail'!$C$21)="No control",SUMIF(('Loading-rail'!$B$31:$B$48),$J2062,('Loading-rail'!$D$31:$D$48))*Impacts!$F$15,IF(('Loading-rail'!$C$21)&lt;&gt;"No control",SUMIF(('Loading-rail'!$B$31:$B$48),$J2062,('Loading-rail'!$E$31:$E$48))*Impacts!$F$15,0)),0)</f>
        <v>0</v>
      </c>
      <c r="T2062" s="10">
        <f>IF(Flare!$C$7="",0,(SUMIF(Flare!$B$46:$B$185,$J2062,Flare!$E$46:$E$185)*Impacts!$F$16))</f>
        <v>0</v>
      </c>
      <c r="U2062" s="10">
        <f>IF(VCU!$C$9="",0,(SUMIF(VCU!$B$51:$B$193,$J2062,VCU!$E$51:$E$193)*Impacts!$F$17))</f>
        <v>0</v>
      </c>
      <c r="V2062" s="10">
        <f>IF(CAS!$C$7="",0,(SUMIF(CAS!$B$31:$B$167,$J2062,CAS!$E$31:$E$167)*Impacts!$F$18))</f>
        <v>0</v>
      </c>
      <c r="W2062" s="10">
        <f t="shared" si="72"/>
        <v>0</v>
      </c>
      <c r="AK2062" s="10" t="str">
        <f t="array" ref="AK2062">IFERROR(INDEX(SelectedSpecies,SMALL(IF(SelectedSpecies=AK$1,ROW(SelectedSpecies)),ROW(2063:2063)),2),"")</f>
        <v/>
      </c>
      <c r="BE2062" s="10"/>
      <c r="BI2062" s="10"/>
    </row>
    <row r="2063" spans="1:61" ht="21" customHeight="1" x14ac:dyDescent="0.25">
      <c r="A2063" s="10"/>
      <c r="B2063" s="10"/>
      <c r="E2063" s="10"/>
      <c r="G2063" s="10"/>
      <c r="I2063" s="436" t="s">
        <v>2499</v>
      </c>
      <c r="J2063" s="26" t="s">
        <v>2498</v>
      </c>
      <c r="K2063" s="10">
        <v>10</v>
      </c>
      <c r="L2063" s="73">
        <f>IF(Tank1!$C$23="No control",(SUMIF(Tank1!$B$32:$B$49,$J2063,Tank1!$C$32:$C$49)*Impacts!$F$8),0)</f>
        <v>0</v>
      </c>
      <c r="M2063" s="10">
        <f>IF(Tank2!$C$23="No control",(SUMIF(Tank2!$B$32:$B$49,$J2063,Tank2!$C$32:$C$49)*Impacts!$F$9),0)</f>
        <v>0</v>
      </c>
      <c r="N2063" s="10">
        <f>IF(Tank3!$C$23="No control",(SUMIF(Tank3!$B$32:$B$49,$J2063,Tank3!$C$32:$C$49)*Impacts!$F$10),0)</f>
        <v>0</v>
      </c>
      <c r="O2063" s="10">
        <f>IF(Tank4!$C$23="No control",(SUMIF(Tank4!$B$32:$B$49,$J2063,Tank4!$C$32:$C$49)*Impacts!$F$11),0)</f>
        <v>0</v>
      </c>
      <c r="P2063" s="10">
        <f>IF(Tank5!$C$23="No control",(SUMIF(Tank5!$B$32:$B$49,$J2063,Tank5!$C$32:$C$49)*Impacts!$F$12),0)</f>
        <v>0</v>
      </c>
      <c r="Q2063" s="10">
        <f>IFERROR(IF(('Loading-drum,tote'!$C$21)="No control",SUMIF(('Loading-drum,tote'!$B$31:$B$48),$J2063,('Loading-drum,tote'!$D$31:$D$48))*Impacts!$F$13,IF(('Loading-drum,tote'!$C$21)&lt;&gt;"No control",SUMIF(('Loading-drum,tote'!$B$31:$B$48),$J2063,('Loading-drum,tote'!$E$31:$E$48))*Impacts!$F$13,0)),0)</f>
        <v>0</v>
      </c>
      <c r="R2063" s="10">
        <f>IFERROR(IF(('Loading-truck'!$C$21)="No control",SUMIF(('Loading-truck'!$B$31:$B$48),$J2063,('Loading-truck'!$D$31:$D$48))*Impacts!$F$14,IF(('Loading-truck'!$C$21)&lt;&gt;"No control",SUMIF(('Loading-truck'!$B$31:$B$48),$J2063,('Loading-truck'!$E$31:$E$48))*Impacts!$F$14,0)),0)</f>
        <v>0</v>
      </c>
      <c r="S2063" s="10">
        <f>IFERROR(IF(('Loading-rail'!$C$21)="No control",SUMIF(('Loading-rail'!$B$31:$B$48),$J2063,('Loading-rail'!$D$31:$D$48))*Impacts!$F$15,IF(('Loading-rail'!$C$21)&lt;&gt;"No control",SUMIF(('Loading-rail'!$B$31:$B$48),$J2063,('Loading-rail'!$E$31:$E$48))*Impacts!$F$15,0)),0)</f>
        <v>0</v>
      </c>
      <c r="T2063" s="10">
        <f>IF(Flare!$C$7="",0,(SUMIF(Flare!$B$46:$B$185,$J2063,Flare!$E$46:$E$185)*Impacts!$F$16))</f>
        <v>0</v>
      </c>
      <c r="U2063" s="10">
        <f>IF(VCU!$C$9="",0,(SUMIF(VCU!$B$51:$B$193,$J2063,VCU!$E$51:$E$193)*Impacts!$F$17))</f>
        <v>0</v>
      </c>
      <c r="V2063" s="10">
        <f>IF(CAS!$C$7="",0,(SUMIF(CAS!$B$31:$B$167,$J2063,CAS!$E$31:$E$167)*Impacts!$F$18))</f>
        <v>0</v>
      </c>
      <c r="W2063" s="10">
        <f t="shared" si="72"/>
        <v>0</v>
      </c>
      <c r="AK2063" s="10" t="str">
        <f t="array" ref="AK2063">IFERROR(INDEX(SelectedSpecies,SMALL(IF(SelectedSpecies=AK$1,ROW(SelectedSpecies)),ROW(2064:2064)),2),"")</f>
        <v/>
      </c>
      <c r="BE2063" s="10"/>
      <c r="BI2063" s="10"/>
    </row>
    <row r="2064" spans="1:61" ht="21" customHeight="1" x14ac:dyDescent="0.25">
      <c r="A2064" s="10"/>
      <c r="B2064" s="10"/>
      <c r="E2064" s="10"/>
      <c r="G2064" s="10"/>
      <c r="I2064" s="436" t="s">
        <v>7754</v>
      </c>
      <c r="J2064" s="26" t="s">
        <v>7753</v>
      </c>
      <c r="K2064" s="10">
        <v>0.1</v>
      </c>
      <c r="L2064" s="73">
        <f>IF(Tank1!$C$23="No control",(SUMIF(Tank1!$B$32:$B$49,$J2064,Tank1!$C$32:$C$49)*Impacts!$F$8),0)</f>
        <v>0</v>
      </c>
      <c r="M2064" s="10">
        <f>IF(Tank2!$C$23="No control",(SUMIF(Tank2!$B$32:$B$49,$J2064,Tank2!$C$32:$C$49)*Impacts!$F$9),0)</f>
        <v>0</v>
      </c>
      <c r="N2064" s="10">
        <f>IF(Tank3!$C$23="No control",(SUMIF(Tank3!$B$32:$B$49,$J2064,Tank3!$C$32:$C$49)*Impacts!$F$10),0)</f>
        <v>0</v>
      </c>
      <c r="O2064" s="10">
        <f>IF(Tank4!$C$23="No control",(SUMIF(Tank4!$B$32:$B$49,$J2064,Tank4!$C$32:$C$49)*Impacts!$F$11),0)</f>
        <v>0</v>
      </c>
      <c r="P2064" s="10">
        <f>IF(Tank5!$C$23="No control",(SUMIF(Tank5!$B$32:$B$49,$J2064,Tank5!$C$32:$C$49)*Impacts!$F$12),0)</f>
        <v>0</v>
      </c>
      <c r="Q2064" s="10">
        <f>IFERROR(IF(('Loading-drum,tote'!$C$21)="No control",SUMIF(('Loading-drum,tote'!$B$31:$B$48),$J2064,('Loading-drum,tote'!$D$31:$D$48))*Impacts!$F$13,IF(('Loading-drum,tote'!$C$21)&lt;&gt;"No control",SUMIF(('Loading-drum,tote'!$B$31:$B$48),$J2064,('Loading-drum,tote'!$E$31:$E$48))*Impacts!$F$13,0)),0)</f>
        <v>0</v>
      </c>
      <c r="R2064" s="10">
        <f>IFERROR(IF(('Loading-truck'!$C$21)="No control",SUMIF(('Loading-truck'!$B$31:$B$48),$J2064,('Loading-truck'!$D$31:$D$48))*Impacts!$F$14,IF(('Loading-truck'!$C$21)&lt;&gt;"No control",SUMIF(('Loading-truck'!$B$31:$B$48),$J2064,('Loading-truck'!$E$31:$E$48))*Impacts!$F$14,0)),0)</f>
        <v>0</v>
      </c>
      <c r="S2064" s="10">
        <f>IFERROR(IF(('Loading-rail'!$C$21)="No control",SUMIF(('Loading-rail'!$B$31:$B$48),$J2064,('Loading-rail'!$D$31:$D$48))*Impacts!$F$15,IF(('Loading-rail'!$C$21)&lt;&gt;"No control",SUMIF(('Loading-rail'!$B$31:$B$48),$J2064,('Loading-rail'!$E$31:$E$48))*Impacts!$F$15,0)),0)</f>
        <v>0</v>
      </c>
      <c r="T2064" s="10">
        <f>IF(Flare!$C$7="",0,(SUMIF(Flare!$B$46:$B$185,$J2064,Flare!$E$46:$E$185)*Impacts!$F$16))</f>
        <v>0</v>
      </c>
      <c r="U2064" s="10">
        <f>IF(VCU!$C$9="",0,(SUMIF(VCU!$B$51:$B$193,$J2064,VCU!$E$51:$E$193)*Impacts!$F$17))</f>
        <v>0</v>
      </c>
      <c r="V2064" s="10">
        <f>IF(CAS!$C$7="",0,(SUMIF(CAS!$B$31:$B$167,$J2064,CAS!$E$31:$E$167)*Impacts!$F$18))</f>
        <v>0</v>
      </c>
      <c r="W2064" s="10">
        <f t="shared" si="72"/>
        <v>0</v>
      </c>
      <c r="AK2064" s="10" t="str">
        <f t="array" ref="AK2064">IFERROR(INDEX(SelectedSpecies,SMALL(IF(SelectedSpecies=AK$1,ROW(SelectedSpecies)),ROW(2065:2065)),2),"")</f>
        <v/>
      </c>
      <c r="BE2064" s="10"/>
      <c r="BI2064" s="10"/>
    </row>
    <row r="2065" spans="1:61" ht="21" customHeight="1" x14ac:dyDescent="0.25">
      <c r="A2065" s="10"/>
      <c r="B2065" s="10"/>
      <c r="E2065" s="10"/>
      <c r="G2065" s="10"/>
      <c r="I2065" s="436" t="s">
        <v>7838</v>
      </c>
      <c r="J2065" s="26" t="s">
        <v>7837</v>
      </c>
      <c r="K2065" s="10">
        <v>6.9999999999999993E-2</v>
      </c>
      <c r="L2065" s="73">
        <f>IF(Tank1!$C$23="No control",(SUMIF(Tank1!$B$32:$B$49,$J2065,Tank1!$C$32:$C$49)*Impacts!$F$8),0)</f>
        <v>0</v>
      </c>
      <c r="M2065" s="10">
        <f>IF(Tank2!$C$23="No control",(SUMIF(Tank2!$B$32:$B$49,$J2065,Tank2!$C$32:$C$49)*Impacts!$F$9),0)</f>
        <v>0</v>
      </c>
      <c r="N2065" s="10">
        <f>IF(Tank3!$C$23="No control",(SUMIF(Tank3!$B$32:$B$49,$J2065,Tank3!$C$32:$C$49)*Impacts!$F$10),0)</f>
        <v>0</v>
      </c>
      <c r="O2065" s="10">
        <f>IF(Tank4!$C$23="No control",(SUMIF(Tank4!$B$32:$B$49,$J2065,Tank4!$C$32:$C$49)*Impacts!$F$11),0)</f>
        <v>0</v>
      </c>
      <c r="P2065" s="10">
        <f>IF(Tank5!$C$23="No control",(SUMIF(Tank5!$B$32:$B$49,$J2065,Tank5!$C$32:$C$49)*Impacts!$F$12),0)</f>
        <v>0</v>
      </c>
      <c r="Q2065" s="10">
        <f>IFERROR(IF(('Loading-drum,tote'!$C$21)="No control",SUMIF(('Loading-drum,tote'!$B$31:$B$48),$J2065,('Loading-drum,tote'!$D$31:$D$48))*Impacts!$F$13,IF(('Loading-drum,tote'!$C$21)&lt;&gt;"No control",SUMIF(('Loading-drum,tote'!$B$31:$B$48),$J2065,('Loading-drum,tote'!$E$31:$E$48))*Impacts!$F$13,0)),0)</f>
        <v>0</v>
      </c>
      <c r="R2065" s="10">
        <f>IFERROR(IF(('Loading-truck'!$C$21)="No control",SUMIF(('Loading-truck'!$B$31:$B$48),$J2065,('Loading-truck'!$D$31:$D$48))*Impacts!$F$14,IF(('Loading-truck'!$C$21)&lt;&gt;"No control",SUMIF(('Loading-truck'!$B$31:$B$48),$J2065,('Loading-truck'!$E$31:$E$48))*Impacts!$F$14,0)),0)</f>
        <v>0</v>
      </c>
      <c r="S2065" s="10">
        <f>IFERROR(IF(('Loading-rail'!$C$21)="No control",SUMIF(('Loading-rail'!$B$31:$B$48),$J2065,('Loading-rail'!$D$31:$D$48))*Impacts!$F$15,IF(('Loading-rail'!$C$21)&lt;&gt;"No control",SUMIF(('Loading-rail'!$B$31:$B$48),$J2065,('Loading-rail'!$E$31:$E$48))*Impacts!$F$15,0)),0)</f>
        <v>0</v>
      </c>
      <c r="T2065" s="10">
        <f>IF(Flare!$C$7="",0,(SUMIF(Flare!$B$46:$B$185,$J2065,Flare!$E$46:$E$185)*Impacts!$F$16))</f>
        <v>0</v>
      </c>
      <c r="U2065" s="10">
        <f>IF(VCU!$C$9="",0,(SUMIF(VCU!$B$51:$B$193,$J2065,VCU!$E$51:$E$193)*Impacts!$F$17))</f>
        <v>0</v>
      </c>
      <c r="V2065" s="10">
        <f>IF(CAS!$C$7="",0,(SUMIF(CAS!$B$31:$B$167,$J2065,CAS!$E$31:$E$167)*Impacts!$F$18))</f>
        <v>0</v>
      </c>
      <c r="W2065" s="10">
        <f t="shared" si="72"/>
        <v>0</v>
      </c>
      <c r="AK2065" s="10" t="str">
        <f t="array" ref="AK2065">IFERROR(INDEX(SelectedSpecies,SMALL(IF(SelectedSpecies=AK$1,ROW(SelectedSpecies)),ROW(2066:2066)),2),"")</f>
        <v/>
      </c>
      <c r="BE2065" s="10"/>
      <c r="BI2065" s="10"/>
    </row>
    <row r="2066" spans="1:61" ht="21" customHeight="1" x14ac:dyDescent="0.25">
      <c r="A2066" s="10"/>
      <c r="B2066" s="10"/>
      <c r="E2066" s="10"/>
      <c r="G2066" s="10"/>
      <c r="I2066" s="436" t="s">
        <v>3809</v>
      </c>
      <c r="J2066" s="26" t="s">
        <v>3808</v>
      </c>
      <c r="K2066" s="10">
        <v>6</v>
      </c>
      <c r="L2066" s="73">
        <f>IF(Tank1!$C$23="No control",(SUMIF(Tank1!$B$32:$B$49,$J2066,Tank1!$C$32:$C$49)*Impacts!$F$8),0)</f>
        <v>0</v>
      </c>
      <c r="M2066" s="10">
        <f>IF(Tank2!$C$23="No control",(SUMIF(Tank2!$B$32:$B$49,$J2066,Tank2!$C$32:$C$49)*Impacts!$F$9),0)</f>
        <v>0</v>
      </c>
      <c r="N2066" s="10">
        <f>IF(Tank3!$C$23="No control",(SUMIF(Tank3!$B$32:$B$49,$J2066,Tank3!$C$32:$C$49)*Impacts!$F$10),0)</f>
        <v>0</v>
      </c>
      <c r="O2066" s="10">
        <f>IF(Tank4!$C$23="No control",(SUMIF(Tank4!$B$32:$B$49,$J2066,Tank4!$C$32:$C$49)*Impacts!$F$11),0)</f>
        <v>0</v>
      </c>
      <c r="P2066" s="10">
        <f>IF(Tank5!$C$23="No control",(SUMIF(Tank5!$B$32:$B$49,$J2066,Tank5!$C$32:$C$49)*Impacts!$F$12),0)</f>
        <v>0</v>
      </c>
      <c r="Q2066" s="10">
        <f>IFERROR(IF(('Loading-drum,tote'!$C$21)="No control",SUMIF(('Loading-drum,tote'!$B$31:$B$48),$J2066,('Loading-drum,tote'!$D$31:$D$48))*Impacts!$F$13,IF(('Loading-drum,tote'!$C$21)&lt;&gt;"No control",SUMIF(('Loading-drum,tote'!$B$31:$B$48),$J2066,('Loading-drum,tote'!$E$31:$E$48))*Impacts!$F$13,0)),0)</f>
        <v>0</v>
      </c>
      <c r="R2066" s="10">
        <f>IFERROR(IF(('Loading-truck'!$C$21)="No control",SUMIF(('Loading-truck'!$B$31:$B$48),$J2066,('Loading-truck'!$D$31:$D$48))*Impacts!$F$14,IF(('Loading-truck'!$C$21)&lt;&gt;"No control",SUMIF(('Loading-truck'!$B$31:$B$48),$J2066,('Loading-truck'!$E$31:$E$48))*Impacts!$F$14,0)),0)</f>
        <v>0</v>
      </c>
      <c r="S2066" s="10">
        <f>IFERROR(IF(('Loading-rail'!$C$21)="No control",SUMIF(('Loading-rail'!$B$31:$B$48),$J2066,('Loading-rail'!$D$31:$D$48))*Impacts!$F$15,IF(('Loading-rail'!$C$21)&lt;&gt;"No control",SUMIF(('Loading-rail'!$B$31:$B$48),$J2066,('Loading-rail'!$E$31:$E$48))*Impacts!$F$15,0)),0)</f>
        <v>0</v>
      </c>
      <c r="T2066" s="10">
        <f>IF(Flare!$C$7="",0,(SUMIF(Flare!$B$46:$B$185,$J2066,Flare!$E$46:$E$185)*Impacts!$F$16))</f>
        <v>0</v>
      </c>
      <c r="U2066" s="10">
        <f>IF(VCU!$C$9="",0,(SUMIF(VCU!$B$51:$B$193,$J2066,VCU!$E$51:$E$193)*Impacts!$F$17))</f>
        <v>0</v>
      </c>
      <c r="V2066" s="10">
        <f>IF(CAS!$C$7="",0,(SUMIF(CAS!$B$31:$B$167,$J2066,CAS!$E$31:$E$167)*Impacts!$F$18))</f>
        <v>0</v>
      </c>
      <c r="W2066" s="10">
        <f t="shared" si="72"/>
        <v>0</v>
      </c>
      <c r="AK2066" s="10" t="str">
        <f t="array" ref="AK2066">IFERROR(INDEX(SelectedSpecies,SMALL(IF(SelectedSpecies=AK$1,ROW(SelectedSpecies)),ROW(2067:2067)),2),"")</f>
        <v/>
      </c>
      <c r="BE2066" s="10"/>
      <c r="BI2066" s="10"/>
    </row>
    <row r="2067" spans="1:61" ht="21" customHeight="1" x14ac:dyDescent="0.25">
      <c r="A2067" s="10"/>
      <c r="B2067" s="10"/>
      <c r="E2067" s="10"/>
      <c r="G2067" s="10"/>
      <c r="I2067" s="436" t="s">
        <v>1963</v>
      </c>
      <c r="J2067" s="26" t="s">
        <v>1962</v>
      </c>
      <c r="K2067" s="10">
        <v>18</v>
      </c>
      <c r="L2067" s="73">
        <f>IF(Tank1!$C$23="No control",(SUMIF(Tank1!$B$32:$B$49,$J2067,Tank1!$C$32:$C$49)*Impacts!$F$8),0)</f>
        <v>0</v>
      </c>
      <c r="M2067" s="10">
        <f>IF(Tank2!$C$23="No control",(SUMIF(Tank2!$B$32:$B$49,$J2067,Tank2!$C$32:$C$49)*Impacts!$F$9),0)</f>
        <v>0</v>
      </c>
      <c r="N2067" s="10">
        <f>IF(Tank3!$C$23="No control",(SUMIF(Tank3!$B$32:$B$49,$J2067,Tank3!$C$32:$C$49)*Impacts!$F$10),0)</f>
        <v>0</v>
      </c>
      <c r="O2067" s="10">
        <f>IF(Tank4!$C$23="No control",(SUMIF(Tank4!$B$32:$B$49,$J2067,Tank4!$C$32:$C$49)*Impacts!$F$11),0)</f>
        <v>0</v>
      </c>
      <c r="P2067" s="10">
        <f>IF(Tank5!$C$23="No control",(SUMIF(Tank5!$B$32:$B$49,$J2067,Tank5!$C$32:$C$49)*Impacts!$F$12),0)</f>
        <v>0</v>
      </c>
      <c r="Q2067" s="10">
        <f>IFERROR(IF(('Loading-drum,tote'!$C$21)="No control",SUMIF(('Loading-drum,tote'!$B$31:$B$48),$J2067,('Loading-drum,tote'!$D$31:$D$48))*Impacts!$F$13,IF(('Loading-drum,tote'!$C$21)&lt;&gt;"No control",SUMIF(('Loading-drum,tote'!$B$31:$B$48),$J2067,('Loading-drum,tote'!$E$31:$E$48))*Impacts!$F$13,0)),0)</f>
        <v>0</v>
      </c>
      <c r="R2067" s="10">
        <f>IFERROR(IF(('Loading-truck'!$C$21)="No control",SUMIF(('Loading-truck'!$B$31:$B$48),$J2067,('Loading-truck'!$D$31:$D$48))*Impacts!$F$14,IF(('Loading-truck'!$C$21)&lt;&gt;"No control",SUMIF(('Loading-truck'!$B$31:$B$48),$J2067,('Loading-truck'!$E$31:$E$48))*Impacts!$F$14,0)),0)</f>
        <v>0</v>
      </c>
      <c r="S2067" s="10">
        <f>IFERROR(IF(('Loading-rail'!$C$21)="No control",SUMIF(('Loading-rail'!$B$31:$B$48),$J2067,('Loading-rail'!$D$31:$D$48))*Impacts!$F$15,IF(('Loading-rail'!$C$21)&lt;&gt;"No control",SUMIF(('Loading-rail'!$B$31:$B$48),$J2067,('Loading-rail'!$E$31:$E$48))*Impacts!$F$15,0)),0)</f>
        <v>0</v>
      </c>
      <c r="T2067" s="10">
        <f>IF(Flare!$C$7="",0,(SUMIF(Flare!$B$46:$B$185,$J2067,Flare!$E$46:$E$185)*Impacts!$F$16))</f>
        <v>0</v>
      </c>
      <c r="U2067" s="10">
        <f>IF(VCU!$C$9="",0,(SUMIF(VCU!$B$51:$B$193,$J2067,VCU!$E$51:$E$193)*Impacts!$F$17))</f>
        <v>0</v>
      </c>
      <c r="V2067" s="10">
        <f>IF(CAS!$C$7="",0,(SUMIF(CAS!$B$31:$B$167,$J2067,CAS!$E$31:$E$167)*Impacts!$F$18))</f>
        <v>0</v>
      </c>
      <c r="W2067" s="10">
        <f t="shared" si="72"/>
        <v>0</v>
      </c>
      <c r="AK2067" s="10" t="str">
        <f t="array" ref="AK2067">IFERROR(INDEX(SelectedSpecies,SMALL(IF(SelectedSpecies=AK$1,ROW(SelectedSpecies)),ROW(2068:2068)),2),"")</f>
        <v/>
      </c>
      <c r="BE2067" s="10"/>
      <c r="BI2067" s="10"/>
    </row>
    <row r="2068" spans="1:61" ht="21" customHeight="1" x14ac:dyDescent="0.25">
      <c r="A2068" s="10"/>
      <c r="B2068" s="10"/>
      <c r="E2068" s="10"/>
      <c r="G2068" s="10"/>
      <c r="I2068" s="436" t="s">
        <v>4377</v>
      </c>
      <c r="J2068" s="26" t="s">
        <v>4376</v>
      </c>
      <c r="K2068" s="10">
        <v>4.8000000000000007</v>
      </c>
      <c r="L2068" s="73">
        <f>IF(Tank1!$C$23="No control",(SUMIF(Tank1!$B$32:$B$49,$J2068,Tank1!$C$32:$C$49)*Impacts!$F$8),0)</f>
        <v>0</v>
      </c>
      <c r="M2068" s="10">
        <f>IF(Tank2!$C$23="No control",(SUMIF(Tank2!$B$32:$B$49,$J2068,Tank2!$C$32:$C$49)*Impacts!$F$9),0)</f>
        <v>0</v>
      </c>
      <c r="N2068" s="10">
        <f>IF(Tank3!$C$23="No control",(SUMIF(Tank3!$B$32:$B$49,$J2068,Tank3!$C$32:$C$49)*Impacts!$F$10),0)</f>
        <v>0</v>
      </c>
      <c r="O2068" s="10">
        <f>IF(Tank4!$C$23="No control",(SUMIF(Tank4!$B$32:$B$49,$J2068,Tank4!$C$32:$C$49)*Impacts!$F$11),0)</f>
        <v>0</v>
      </c>
      <c r="P2068" s="10">
        <f>IF(Tank5!$C$23="No control",(SUMIF(Tank5!$B$32:$B$49,$J2068,Tank5!$C$32:$C$49)*Impacts!$F$12),0)</f>
        <v>0</v>
      </c>
      <c r="Q2068" s="10">
        <f>IFERROR(IF(('Loading-drum,tote'!$C$21)="No control",SUMIF(('Loading-drum,tote'!$B$31:$B$48),$J2068,('Loading-drum,tote'!$D$31:$D$48))*Impacts!$F$13,IF(('Loading-drum,tote'!$C$21)&lt;&gt;"No control",SUMIF(('Loading-drum,tote'!$B$31:$B$48),$J2068,('Loading-drum,tote'!$E$31:$E$48))*Impacts!$F$13,0)),0)</f>
        <v>0</v>
      </c>
      <c r="R2068" s="10">
        <f>IFERROR(IF(('Loading-truck'!$C$21)="No control",SUMIF(('Loading-truck'!$B$31:$B$48),$J2068,('Loading-truck'!$D$31:$D$48))*Impacts!$F$14,IF(('Loading-truck'!$C$21)&lt;&gt;"No control",SUMIF(('Loading-truck'!$B$31:$B$48),$J2068,('Loading-truck'!$E$31:$E$48))*Impacts!$F$14,0)),0)</f>
        <v>0</v>
      </c>
      <c r="S2068" s="10">
        <f>IFERROR(IF(('Loading-rail'!$C$21)="No control",SUMIF(('Loading-rail'!$B$31:$B$48),$J2068,('Loading-rail'!$D$31:$D$48))*Impacts!$F$15,IF(('Loading-rail'!$C$21)&lt;&gt;"No control",SUMIF(('Loading-rail'!$B$31:$B$48),$J2068,('Loading-rail'!$E$31:$E$48))*Impacts!$F$15,0)),0)</f>
        <v>0</v>
      </c>
      <c r="T2068" s="10">
        <f>IF(Flare!$C$7="",0,(SUMIF(Flare!$B$46:$B$185,$J2068,Flare!$E$46:$E$185)*Impacts!$F$16))</f>
        <v>0</v>
      </c>
      <c r="U2068" s="10">
        <f>IF(VCU!$C$9="",0,(SUMIF(VCU!$B$51:$B$193,$J2068,VCU!$E$51:$E$193)*Impacts!$F$17))</f>
        <v>0</v>
      </c>
      <c r="V2068" s="10">
        <f>IF(CAS!$C$7="",0,(SUMIF(CAS!$B$31:$B$167,$J2068,CAS!$E$31:$E$167)*Impacts!$F$18))</f>
        <v>0</v>
      </c>
      <c r="W2068" s="10">
        <f t="shared" si="72"/>
        <v>0</v>
      </c>
      <c r="AK2068" s="10" t="str">
        <f t="array" ref="AK2068">IFERROR(INDEX(SelectedSpecies,SMALL(IF(SelectedSpecies=AK$1,ROW(SelectedSpecies)),ROW(2069:2069)),2),"")</f>
        <v/>
      </c>
      <c r="BE2068" s="10"/>
      <c r="BI2068" s="10"/>
    </row>
    <row r="2069" spans="1:61" ht="21" customHeight="1" x14ac:dyDescent="0.25">
      <c r="A2069" s="10"/>
      <c r="B2069" s="10"/>
      <c r="E2069" s="10"/>
      <c r="G2069" s="10"/>
      <c r="I2069" s="436" t="s">
        <v>2909</v>
      </c>
      <c r="J2069" s="26" t="s">
        <v>2908</v>
      </c>
      <c r="K2069" s="10">
        <v>10</v>
      </c>
      <c r="L2069" s="73">
        <f>IF(Tank1!$C$23="No control",(SUMIF(Tank1!$B$32:$B$49,$J2069,Tank1!$C$32:$C$49)*Impacts!$F$8),0)</f>
        <v>0</v>
      </c>
      <c r="M2069" s="10">
        <f>IF(Tank2!$C$23="No control",(SUMIF(Tank2!$B$32:$B$49,$J2069,Tank2!$C$32:$C$49)*Impacts!$F$9),0)</f>
        <v>0</v>
      </c>
      <c r="N2069" s="10">
        <f>IF(Tank3!$C$23="No control",(SUMIF(Tank3!$B$32:$B$49,$J2069,Tank3!$C$32:$C$49)*Impacts!$F$10),0)</f>
        <v>0</v>
      </c>
      <c r="O2069" s="10">
        <f>IF(Tank4!$C$23="No control",(SUMIF(Tank4!$B$32:$B$49,$J2069,Tank4!$C$32:$C$49)*Impacts!$F$11),0)</f>
        <v>0</v>
      </c>
      <c r="P2069" s="10">
        <f>IF(Tank5!$C$23="No control",(SUMIF(Tank5!$B$32:$B$49,$J2069,Tank5!$C$32:$C$49)*Impacts!$F$12),0)</f>
        <v>0</v>
      </c>
      <c r="Q2069" s="10">
        <f>IFERROR(IF(('Loading-drum,tote'!$C$21)="No control",SUMIF(('Loading-drum,tote'!$B$31:$B$48),$J2069,('Loading-drum,tote'!$D$31:$D$48))*Impacts!$F$13,IF(('Loading-drum,tote'!$C$21)&lt;&gt;"No control",SUMIF(('Loading-drum,tote'!$B$31:$B$48),$J2069,('Loading-drum,tote'!$E$31:$E$48))*Impacts!$F$13,0)),0)</f>
        <v>0</v>
      </c>
      <c r="R2069" s="10">
        <f>IFERROR(IF(('Loading-truck'!$C$21)="No control",SUMIF(('Loading-truck'!$B$31:$B$48),$J2069,('Loading-truck'!$D$31:$D$48))*Impacts!$F$14,IF(('Loading-truck'!$C$21)&lt;&gt;"No control",SUMIF(('Loading-truck'!$B$31:$B$48),$J2069,('Loading-truck'!$E$31:$E$48))*Impacts!$F$14,0)),0)</f>
        <v>0</v>
      </c>
      <c r="S2069" s="10">
        <f>IFERROR(IF(('Loading-rail'!$C$21)="No control",SUMIF(('Loading-rail'!$B$31:$B$48),$J2069,('Loading-rail'!$D$31:$D$48))*Impacts!$F$15,IF(('Loading-rail'!$C$21)&lt;&gt;"No control",SUMIF(('Loading-rail'!$B$31:$B$48),$J2069,('Loading-rail'!$E$31:$E$48))*Impacts!$F$15,0)),0)</f>
        <v>0</v>
      </c>
      <c r="T2069" s="10">
        <f>IF(Flare!$C$7="",0,(SUMIF(Flare!$B$46:$B$185,$J2069,Flare!$E$46:$E$185)*Impacts!$F$16))</f>
        <v>0</v>
      </c>
      <c r="U2069" s="10">
        <f>IF(VCU!$C$9="",0,(SUMIF(VCU!$B$51:$B$193,$J2069,VCU!$E$51:$E$193)*Impacts!$F$17))</f>
        <v>0</v>
      </c>
      <c r="V2069" s="10">
        <f>IF(CAS!$C$7="",0,(SUMIF(CAS!$B$31:$B$167,$J2069,CAS!$E$31:$E$167)*Impacts!$F$18))</f>
        <v>0</v>
      </c>
      <c r="W2069" s="10">
        <f t="shared" si="72"/>
        <v>0</v>
      </c>
      <c r="AK2069" s="10" t="str">
        <f t="array" ref="AK2069">IFERROR(INDEX(SelectedSpecies,SMALL(IF(SelectedSpecies=AK$1,ROW(SelectedSpecies)),ROW(2070:2070)),2),"")</f>
        <v/>
      </c>
      <c r="BE2069" s="10"/>
      <c r="BI2069" s="10"/>
    </row>
    <row r="2070" spans="1:61" ht="21" customHeight="1" x14ac:dyDescent="0.25">
      <c r="A2070" s="10"/>
      <c r="B2070" s="10"/>
      <c r="E2070" s="10"/>
      <c r="G2070" s="10"/>
      <c r="I2070" s="436" t="s">
        <v>2137</v>
      </c>
      <c r="J2070" s="26" t="s">
        <v>2136</v>
      </c>
      <c r="K2070" s="10">
        <v>15</v>
      </c>
      <c r="L2070" s="73">
        <f>IF(Tank1!$C$23="No control",(SUMIF(Tank1!$B$32:$B$49,$J2070,Tank1!$C$32:$C$49)*Impacts!$F$8),0)</f>
        <v>0</v>
      </c>
      <c r="M2070" s="10">
        <f>IF(Tank2!$C$23="No control",(SUMIF(Tank2!$B$32:$B$49,$J2070,Tank2!$C$32:$C$49)*Impacts!$F$9),0)</f>
        <v>0</v>
      </c>
      <c r="N2070" s="10">
        <f>IF(Tank3!$C$23="No control",(SUMIF(Tank3!$B$32:$B$49,$J2070,Tank3!$C$32:$C$49)*Impacts!$F$10),0)</f>
        <v>0</v>
      </c>
      <c r="O2070" s="10">
        <f>IF(Tank4!$C$23="No control",(SUMIF(Tank4!$B$32:$B$49,$J2070,Tank4!$C$32:$C$49)*Impacts!$F$11),0)</f>
        <v>0</v>
      </c>
      <c r="P2070" s="10">
        <f>IF(Tank5!$C$23="No control",(SUMIF(Tank5!$B$32:$B$49,$J2070,Tank5!$C$32:$C$49)*Impacts!$F$12),0)</f>
        <v>0</v>
      </c>
      <c r="Q2070" s="10">
        <f>IFERROR(IF(('Loading-drum,tote'!$C$21)="No control",SUMIF(('Loading-drum,tote'!$B$31:$B$48),$J2070,('Loading-drum,tote'!$D$31:$D$48))*Impacts!$F$13,IF(('Loading-drum,tote'!$C$21)&lt;&gt;"No control",SUMIF(('Loading-drum,tote'!$B$31:$B$48),$J2070,('Loading-drum,tote'!$E$31:$E$48))*Impacts!$F$13,0)),0)</f>
        <v>0</v>
      </c>
      <c r="R2070" s="10">
        <f>IFERROR(IF(('Loading-truck'!$C$21)="No control",SUMIF(('Loading-truck'!$B$31:$B$48),$J2070,('Loading-truck'!$D$31:$D$48))*Impacts!$F$14,IF(('Loading-truck'!$C$21)&lt;&gt;"No control",SUMIF(('Loading-truck'!$B$31:$B$48),$J2070,('Loading-truck'!$E$31:$E$48))*Impacts!$F$14,0)),0)</f>
        <v>0</v>
      </c>
      <c r="S2070" s="10">
        <f>IFERROR(IF(('Loading-rail'!$C$21)="No control",SUMIF(('Loading-rail'!$B$31:$B$48),$J2070,('Loading-rail'!$D$31:$D$48))*Impacts!$F$15,IF(('Loading-rail'!$C$21)&lt;&gt;"No control",SUMIF(('Loading-rail'!$B$31:$B$48),$J2070,('Loading-rail'!$E$31:$E$48))*Impacts!$F$15,0)),0)</f>
        <v>0</v>
      </c>
      <c r="T2070" s="10">
        <f>IF(Flare!$C$7="",0,(SUMIF(Flare!$B$46:$B$185,$J2070,Flare!$E$46:$E$185)*Impacts!$F$16))</f>
        <v>0</v>
      </c>
      <c r="U2070" s="10">
        <f>IF(VCU!$C$9="",0,(SUMIF(VCU!$B$51:$B$193,$J2070,VCU!$E$51:$E$193)*Impacts!$F$17))</f>
        <v>0</v>
      </c>
      <c r="V2070" s="10">
        <f>IF(CAS!$C$7="",0,(SUMIF(CAS!$B$31:$B$167,$J2070,CAS!$E$31:$E$167)*Impacts!$F$18))</f>
        <v>0</v>
      </c>
      <c r="W2070" s="10">
        <f t="shared" si="72"/>
        <v>0</v>
      </c>
      <c r="AK2070" s="10" t="str">
        <f t="array" ref="AK2070">IFERROR(INDEX(SelectedSpecies,SMALL(IF(SelectedSpecies=AK$1,ROW(SelectedSpecies)),ROW(2071:2071)),2),"")</f>
        <v/>
      </c>
      <c r="BE2070" s="10"/>
      <c r="BI2070" s="10"/>
    </row>
    <row r="2071" spans="1:61" ht="21" customHeight="1" x14ac:dyDescent="0.25">
      <c r="A2071" s="10"/>
      <c r="B2071" s="10"/>
      <c r="E2071" s="10"/>
      <c r="G2071" s="10"/>
      <c r="I2071" s="436" t="s">
        <v>8012</v>
      </c>
      <c r="J2071" s="26" t="s">
        <v>8011</v>
      </c>
      <c r="K2071" s="10">
        <v>2.5000000000000001E-2</v>
      </c>
      <c r="L2071" s="73">
        <f>IF(Tank1!$C$23="No control",(SUMIF(Tank1!$B$32:$B$49,$J2071,Tank1!$C$32:$C$49)*Impacts!$F$8),0)</f>
        <v>0</v>
      </c>
      <c r="M2071" s="10">
        <f>IF(Tank2!$C$23="No control",(SUMIF(Tank2!$B$32:$B$49,$J2071,Tank2!$C$32:$C$49)*Impacts!$F$9),0)</f>
        <v>0</v>
      </c>
      <c r="N2071" s="10">
        <f>IF(Tank3!$C$23="No control",(SUMIF(Tank3!$B$32:$B$49,$J2071,Tank3!$C$32:$C$49)*Impacts!$F$10),0)</f>
        <v>0</v>
      </c>
      <c r="O2071" s="10">
        <f>IF(Tank4!$C$23="No control",(SUMIF(Tank4!$B$32:$B$49,$J2071,Tank4!$C$32:$C$49)*Impacts!$F$11),0)</f>
        <v>0</v>
      </c>
      <c r="P2071" s="10">
        <f>IF(Tank5!$C$23="No control",(SUMIF(Tank5!$B$32:$B$49,$J2071,Tank5!$C$32:$C$49)*Impacts!$F$12),0)</f>
        <v>0</v>
      </c>
      <c r="Q2071" s="10">
        <f>IFERROR(IF(('Loading-drum,tote'!$C$21)="No control",SUMIF(('Loading-drum,tote'!$B$31:$B$48),$J2071,('Loading-drum,tote'!$D$31:$D$48))*Impacts!$F$13,IF(('Loading-drum,tote'!$C$21)&lt;&gt;"No control",SUMIF(('Loading-drum,tote'!$B$31:$B$48),$J2071,('Loading-drum,tote'!$E$31:$E$48))*Impacts!$F$13,0)),0)</f>
        <v>0</v>
      </c>
      <c r="R2071" s="10">
        <f>IFERROR(IF(('Loading-truck'!$C$21)="No control",SUMIF(('Loading-truck'!$B$31:$B$48),$J2071,('Loading-truck'!$D$31:$D$48))*Impacts!$F$14,IF(('Loading-truck'!$C$21)&lt;&gt;"No control",SUMIF(('Loading-truck'!$B$31:$B$48),$J2071,('Loading-truck'!$E$31:$E$48))*Impacts!$F$14,0)),0)</f>
        <v>0</v>
      </c>
      <c r="S2071" s="10">
        <f>IFERROR(IF(('Loading-rail'!$C$21)="No control",SUMIF(('Loading-rail'!$B$31:$B$48),$J2071,('Loading-rail'!$D$31:$D$48))*Impacts!$F$15,IF(('Loading-rail'!$C$21)&lt;&gt;"No control",SUMIF(('Loading-rail'!$B$31:$B$48),$J2071,('Loading-rail'!$E$31:$E$48))*Impacts!$F$15,0)),0)</f>
        <v>0</v>
      </c>
      <c r="T2071" s="10">
        <f>IF(Flare!$C$7="",0,(SUMIF(Flare!$B$46:$B$185,$J2071,Flare!$E$46:$E$185)*Impacts!$F$16))</f>
        <v>0</v>
      </c>
      <c r="U2071" s="10">
        <f>IF(VCU!$C$9="",0,(SUMIF(VCU!$B$51:$B$193,$J2071,VCU!$E$51:$E$193)*Impacts!$F$17))</f>
        <v>0</v>
      </c>
      <c r="V2071" s="10">
        <f>IF(CAS!$C$7="",0,(SUMIF(CAS!$B$31:$B$167,$J2071,CAS!$E$31:$E$167)*Impacts!$F$18))</f>
        <v>0</v>
      </c>
      <c r="W2071" s="10">
        <f t="shared" si="72"/>
        <v>0</v>
      </c>
      <c r="AK2071" s="10" t="str">
        <f t="array" ref="AK2071">IFERROR(INDEX(SelectedSpecies,SMALL(IF(SelectedSpecies=AK$1,ROW(SelectedSpecies)),ROW(2072:2072)),2),"")</f>
        <v/>
      </c>
      <c r="BE2071" s="10"/>
      <c r="BI2071" s="10"/>
    </row>
    <row r="2072" spans="1:61" ht="21" customHeight="1" x14ac:dyDescent="0.25">
      <c r="A2072" s="10"/>
      <c r="B2072" s="10"/>
      <c r="E2072" s="10"/>
      <c r="G2072" s="10"/>
      <c r="I2072" s="436" t="s">
        <v>7870</v>
      </c>
      <c r="J2072" s="26" t="s">
        <v>7869</v>
      </c>
      <c r="K2072" s="10">
        <v>0.06</v>
      </c>
      <c r="L2072" s="73">
        <f>IF(Tank1!$C$23="No control",(SUMIF(Tank1!$B$32:$B$49,$J2072,Tank1!$C$32:$C$49)*Impacts!$F$8),0)</f>
        <v>0</v>
      </c>
      <c r="M2072" s="10">
        <f>IF(Tank2!$C$23="No control",(SUMIF(Tank2!$B$32:$B$49,$J2072,Tank2!$C$32:$C$49)*Impacts!$F$9),0)</f>
        <v>0</v>
      </c>
      <c r="N2072" s="10">
        <f>IF(Tank3!$C$23="No control",(SUMIF(Tank3!$B$32:$B$49,$J2072,Tank3!$C$32:$C$49)*Impacts!$F$10),0)</f>
        <v>0</v>
      </c>
      <c r="O2072" s="10">
        <f>IF(Tank4!$C$23="No control",(SUMIF(Tank4!$B$32:$B$49,$J2072,Tank4!$C$32:$C$49)*Impacts!$F$11),0)</f>
        <v>0</v>
      </c>
      <c r="P2072" s="10">
        <f>IF(Tank5!$C$23="No control",(SUMIF(Tank5!$B$32:$B$49,$J2072,Tank5!$C$32:$C$49)*Impacts!$F$12),0)</f>
        <v>0</v>
      </c>
      <c r="Q2072" s="10">
        <f>IFERROR(IF(('Loading-drum,tote'!$C$21)="No control",SUMIF(('Loading-drum,tote'!$B$31:$B$48),$J2072,('Loading-drum,tote'!$D$31:$D$48))*Impacts!$F$13,IF(('Loading-drum,tote'!$C$21)&lt;&gt;"No control",SUMIF(('Loading-drum,tote'!$B$31:$B$48),$J2072,('Loading-drum,tote'!$E$31:$E$48))*Impacts!$F$13,0)),0)</f>
        <v>0</v>
      </c>
      <c r="R2072" s="10">
        <f>IFERROR(IF(('Loading-truck'!$C$21)="No control",SUMIF(('Loading-truck'!$B$31:$B$48),$J2072,('Loading-truck'!$D$31:$D$48))*Impacts!$F$14,IF(('Loading-truck'!$C$21)&lt;&gt;"No control",SUMIF(('Loading-truck'!$B$31:$B$48),$J2072,('Loading-truck'!$E$31:$E$48))*Impacts!$F$14,0)),0)</f>
        <v>0</v>
      </c>
      <c r="S2072" s="10">
        <f>IFERROR(IF(('Loading-rail'!$C$21)="No control",SUMIF(('Loading-rail'!$B$31:$B$48),$J2072,('Loading-rail'!$D$31:$D$48))*Impacts!$F$15,IF(('Loading-rail'!$C$21)&lt;&gt;"No control",SUMIF(('Loading-rail'!$B$31:$B$48),$J2072,('Loading-rail'!$E$31:$E$48))*Impacts!$F$15,0)),0)</f>
        <v>0</v>
      </c>
      <c r="T2072" s="10">
        <f>IF(Flare!$C$7="",0,(SUMIF(Flare!$B$46:$B$185,$J2072,Flare!$E$46:$E$185)*Impacts!$F$16))</f>
        <v>0</v>
      </c>
      <c r="U2072" s="10">
        <f>IF(VCU!$C$9="",0,(SUMIF(VCU!$B$51:$B$193,$J2072,VCU!$E$51:$E$193)*Impacts!$F$17))</f>
        <v>0</v>
      </c>
      <c r="V2072" s="10">
        <f>IF(CAS!$C$7="",0,(SUMIF(CAS!$B$31:$B$167,$J2072,CAS!$E$31:$E$167)*Impacts!$F$18))</f>
        <v>0</v>
      </c>
      <c r="W2072" s="10">
        <f t="shared" si="72"/>
        <v>0</v>
      </c>
      <c r="AK2072" s="10" t="str">
        <f t="array" ref="AK2072">IFERROR(INDEX(SelectedSpecies,SMALL(IF(SelectedSpecies=AK$1,ROW(SelectedSpecies)),ROW(2073:2073)),2),"")</f>
        <v/>
      </c>
      <c r="BE2072" s="10"/>
      <c r="BI2072" s="10"/>
    </row>
    <row r="2073" spans="1:61" ht="21" customHeight="1" x14ac:dyDescent="0.25">
      <c r="A2073" s="10"/>
      <c r="B2073" s="10"/>
      <c r="E2073" s="10"/>
      <c r="G2073" s="10"/>
      <c r="I2073" s="436" t="s">
        <v>1548</v>
      </c>
      <c r="J2073" s="26" t="s">
        <v>1547</v>
      </c>
      <c r="K2073" s="10">
        <v>27</v>
      </c>
      <c r="L2073" s="73">
        <f>IF(Tank1!$C$23="No control",(SUMIF(Tank1!$B$32:$B$49,$J2073,Tank1!$C$32:$C$49)*Impacts!$F$8),0)</f>
        <v>0</v>
      </c>
      <c r="M2073" s="10">
        <f>IF(Tank2!$C$23="No control",(SUMIF(Tank2!$B$32:$B$49,$J2073,Tank2!$C$32:$C$49)*Impacts!$F$9),0)</f>
        <v>0</v>
      </c>
      <c r="N2073" s="10">
        <f>IF(Tank3!$C$23="No control",(SUMIF(Tank3!$B$32:$B$49,$J2073,Tank3!$C$32:$C$49)*Impacts!$F$10),0)</f>
        <v>0</v>
      </c>
      <c r="O2073" s="10">
        <f>IF(Tank4!$C$23="No control",(SUMIF(Tank4!$B$32:$B$49,$J2073,Tank4!$C$32:$C$49)*Impacts!$F$11),0)</f>
        <v>0</v>
      </c>
      <c r="P2073" s="10">
        <f>IF(Tank5!$C$23="No control",(SUMIF(Tank5!$B$32:$B$49,$J2073,Tank5!$C$32:$C$49)*Impacts!$F$12),0)</f>
        <v>0</v>
      </c>
      <c r="Q2073" s="10">
        <f>IFERROR(IF(('Loading-drum,tote'!$C$21)="No control",SUMIF(('Loading-drum,tote'!$B$31:$B$48),$J2073,('Loading-drum,tote'!$D$31:$D$48))*Impacts!$F$13,IF(('Loading-drum,tote'!$C$21)&lt;&gt;"No control",SUMIF(('Loading-drum,tote'!$B$31:$B$48),$J2073,('Loading-drum,tote'!$E$31:$E$48))*Impacts!$F$13,0)),0)</f>
        <v>0</v>
      </c>
      <c r="R2073" s="10">
        <f>IFERROR(IF(('Loading-truck'!$C$21)="No control",SUMIF(('Loading-truck'!$B$31:$B$48),$J2073,('Loading-truck'!$D$31:$D$48))*Impacts!$F$14,IF(('Loading-truck'!$C$21)&lt;&gt;"No control",SUMIF(('Loading-truck'!$B$31:$B$48),$J2073,('Loading-truck'!$E$31:$E$48))*Impacts!$F$14,0)),0)</f>
        <v>0</v>
      </c>
      <c r="S2073" s="10">
        <f>IFERROR(IF(('Loading-rail'!$C$21)="No control",SUMIF(('Loading-rail'!$B$31:$B$48),$J2073,('Loading-rail'!$D$31:$D$48))*Impacts!$F$15,IF(('Loading-rail'!$C$21)&lt;&gt;"No control",SUMIF(('Loading-rail'!$B$31:$B$48),$J2073,('Loading-rail'!$E$31:$E$48))*Impacts!$F$15,0)),0)</f>
        <v>0</v>
      </c>
      <c r="T2073" s="10">
        <f>IF(Flare!$C$7="",0,(SUMIF(Flare!$B$46:$B$185,$J2073,Flare!$E$46:$E$185)*Impacts!$F$16))</f>
        <v>0</v>
      </c>
      <c r="U2073" s="10">
        <f>IF(VCU!$C$9="",0,(SUMIF(VCU!$B$51:$B$193,$J2073,VCU!$E$51:$E$193)*Impacts!$F$17))</f>
        <v>0</v>
      </c>
      <c r="V2073" s="10">
        <f>IF(CAS!$C$7="",0,(SUMIF(CAS!$B$31:$B$167,$J2073,CAS!$E$31:$E$167)*Impacts!$F$18))</f>
        <v>0</v>
      </c>
      <c r="W2073" s="10">
        <f t="shared" si="72"/>
        <v>0</v>
      </c>
      <c r="AK2073" s="10" t="str">
        <f t="array" ref="AK2073">IFERROR(INDEX(SelectedSpecies,SMALL(IF(SelectedSpecies=AK$1,ROW(SelectedSpecies)),ROW(2074:2074)),2),"")</f>
        <v/>
      </c>
      <c r="BE2073" s="10"/>
      <c r="BI2073" s="10"/>
    </row>
    <row r="2074" spans="1:61" ht="21" customHeight="1" x14ac:dyDescent="0.25">
      <c r="A2074" s="10"/>
      <c r="B2074" s="10"/>
      <c r="E2074" s="10"/>
      <c r="G2074" s="10"/>
      <c r="I2074" s="436" t="s">
        <v>548</v>
      </c>
      <c r="J2074" s="26" t="s">
        <v>547</v>
      </c>
      <c r="K2074" s="10">
        <v>100</v>
      </c>
      <c r="L2074" s="73">
        <f>IF(Tank1!$C$23="No control",(SUMIF(Tank1!$B$32:$B$49,$J2074,Tank1!$C$32:$C$49)*Impacts!$F$8),0)</f>
        <v>0</v>
      </c>
      <c r="M2074" s="10">
        <f>IF(Tank2!$C$23="No control",(SUMIF(Tank2!$B$32:$B$49,$J2074,Tank2!$C$32:$C$49)*Impacts!$F$9),0)</f>
        <v>0</v>
      </c>
      <c r="N2074" s="10">
        <f>IF(Tank3!$C$23="No control",(SUMIF(Tank3!$B$32:$B$49,$J2074,Tank3!$C$32:$C$49)*Impacts!$F$10),0)</f>
        <v>0</v>
      </c>
      <c r="O2074" s="10">
        <f>IF(Tank4!$C$23="No control",(SUMIF(Tank4!$B$32:$B$49,$J2074,Tank4!$C$32:$C$49)*Impacts!$F$11),0)</f>
        <v>0</v>
      </c>
      <c r="P2074" s="10">
        <f>IF(Tank5!$C$23="No control",(SUMIF(Tank5!$B$32:$B$49,$J2074,Tank5!$C$32:$C$49)*Impacts!$F$12),0)</f>
        <v>0</v>
      </c>
      <c r="Q2074" s="10">
        <f>IFERROR(IF(('Loading-drum,tote'!$C$21)="No control",SUMIF(('Loading-drum,tote'!$B$31:$B$48),$J2074,('Loading-drum,tote'!$D$31:$D$48))*Impacts!$F$13,IF(('Loading-drum,tote'!$C$21)&lt;&gt;"No control",SUMIF(('Loading-drum,tote'!$B$31:$B$48),$J2074,('Loading-drum,tote'!$E$31:$E$48))*Impacts!$F$13,0)),0)</f>
        <v>0</v>
      </c>
      <c r="R2074" s="10">
        <f>IFERROR(IF(('Loading-truck'!$C$21)="No control",SUMIF(('Loading-truck'!$B$31:$B$48),$J2074,('Loading-truck'!$D$31:$D$48))*Impacts!$F$14,IF(('Loading-truck'!$C$21)&lt;&gt;"No control",SUMIF(('Loading-truck'!$B$31:$B$48),$J2074,('Loading-truck'!$E$31:$E$48))*Impacts!$F$14,0)),0)</f>
        <v>0</v>
      </c>
      <c r="S2074" s="10">
        <f>IFERROR(IF(('Loading-rail'!$C$21)="No control",SUMIF(('Loading-rail'!$B$31:$B$48),$J2074,('Loading-rail'!$D$31:$D$48))*Impacts!$F$15,IF(('Loading-rail'!$C$21)&lt;&gt;"No control",SUMIF(('Loading-rail'!$B$31:$B$48),$J2074,('Loading-rail'!$E$31:$E$48))*Impacts!$F$15,0)),0)</f>
        <v>0</v>
      </c>
      <c r="T2074" s="10">
        <f>IF(Flare!$C$7="",0,(SUMIF(Flare!$B$46:$B$185,$J2074,Flare!$E$46:$E$185)*Impacts!$F$16))</f>
        <v>0</v>
      </c>
      <c r="U2074" s="10">
        <f>IF(VCU!$C$9="",0,(SUMIF(VCU!$B$51:$B$193,$J2074,VCU!$E$51:$E$193)*Impacts!$F$17))</f>
        <v>0</v>
      </c>
      <c r="V2074" s="10">
        <f>IF(CAS!$C$7="",0,(SUMIF(CAS!$B$31:$B$167,$J2074,CAS!$E$31:$E$167)*Impacts!$F$18))</f>
        <v>0</v>
      </c>
      <c r="W2074" s="10">
        <f t="shared" ref="W2074:W2137" si="73">SUM(L2074:V2074)</f>
        <v>0</v>
      </c>
      <c r="AK2074" s="10" t="str">
        <f t="array" ref="AK2074">IFERROR(INDEX(SelectedSpecies,SMALL(IF(SelectedSpecies=AK$1,ROW(SelectedSpecies)),ROW(2075:2075)),2),"")</f>
        <v/>
      </c>
      <c r="BE2074" s="10"/>
      <c r="BI2074" s="10"/>
    </row>
    <row r="2075" spans="1:61" ht="21" customHeight="1" x14ac:dyDescent="0.25">
      <c r="A2075" s="10"/>
      <c r="B2075" s="10"/>
      <c r="E2075" s="10"/>
      <c r="G2075" s="10"/>
      <c r="I2075" s="436" t="s">
        <v>2501</v>
      </c>
      <c r="J2075" s="26" t="s">
        <v>2500</v>
      </c>
      <c r="K2075" s="10">
        <v>10</v>
      </c>
      <c r="L2075" s="73">
        <f>IF(Tank1!$C$23="No control",(SUMIF(Tank1!$B$32:$B$49,$J2075,Tank1!$C$32:$C$49)*Impacts!$F$8),0)</f>
        <v>0</v>
      </c>
      <c r="M2075" s="10">
        <f>IF(Tank2!$C$23="No control",(SUMIF(Tank2!$B$32:$B$49,$J2075,Tank2!$C$32:$C$49)*Impacts!$F$9),0)</f>
        <v>0</v>
      </c>
      <c r="N2075" s="10">
        <f>IF(Tank3!$C$23="No control",(SUMIF(Tank3!$B$32:$B$49,$J2075,Tank3!$C$32:$C$49)*Impacts!$F$10),0)</f>
        <v>0</v>
      </c>
      <c r="O2075" s="10">
        <f>IF(Tank4!$C$23="No control",(SUMIF(Tank4!$B$32:$B$49,$J2075,Tank4!$C$32:$C$49)*Impacts!$F$11),0)</f>
        <v>0</v>
      </c>
      <c r="P2075" s="10">
        <f>IF(Tank5!$C$23="No control",(SUMIF(Tank5!$B$32:$B$49,$J2075,Tank5!$C$32:$C$49)*Impacts!$F$12),0)</f>
        <v>0</v>
      </c>
      <c r="Q2075" s="10">
        <f>IFERROR(IF(('Loading-drum,tote'!$C$21)="No control",SUMIF(('Loading-drum,tote'!$B$31:$B$48),$J2075,('Loading-drum,tote'!$D$31:$D$48))*Impacts!$F$13,IF(('Loading-drum,tote'!$C$21)&lt;&gt;"No control",SUMIF(('Loading-drum,tote'!$B$31:$B$48),$J2075,('Loading-drum,tote'!$E$31:$E$48))*Impacts!$F$13,0)),0)</f>
        <v>0</v>
      </c>
      <c r="R2075" s="10">
        <f>IFERROR(IF(('Loading-truck'!$C$21)="No control",SUMIF(('Loading-truck'!$B$31:$B$48),$J2075,('Loading-truck'!$D$31:$D$48))*Impacts!$F$14,IF(('Loading-truck'!$C$21)&lt;&gt;"No control",SUMIF(('Loading-truck'!$B$31:$B$48),$J2075,('Loading-truck'!$E$31:$E$48))*Impacts!$F$14,0)),0)</f>
        <v>0</v>
      </c>
      <c r="S2075" s="10">
        <f>IFERROR(IF(('Loading-rail'!$C$21)="No control",SUMIF(('Loading-rail'!$B$31:$B$48),$J2075,('Loading-rail'!$D$31:$D$48))*Impacts!$F$15,IF(('Loading-rail'!$C$21)&lt;&gt;"No control",SUMIF(('Loading-rail'!$B$31:$B$48),$J2075,('Loading-rail'!$E$31:$E$48))*Impacts!$F$15,0)),0)</f>
        <v>0</v>
      </c>
      <c r="T2075" s="10">
        <f>IF(Flare!$C$7="",0,(SUMIF(Flare!$B$46:$B$185,$J2075,Flare!$E$46:$E$185)*Impacts!$F$16))</f>
        <v>0</v>
      </c>
      <c r="U2075" s="10">
        <f>IF(VCU!$C$9="",0,(SUMIF(VCU!$B$51:$B$193,$J2075,VCU!$E$51:$E$193)*Impacts!$F$17))</f>
        <v>0</v>
      </c>
      <c r="V2075" s="10">
        <f>IF(CAS!$C$7="",0,(SUMIF(CAS!$B$31:$B$167,$J2075,CAS!$E$31:$E$167)*Impacts!$F$18))</f>
        <v>0</v>
      </c>
      <c r="W2075" s="10">
        <f t="shared" si="73"/>
        <v>0</v>
      </c>
      <c r="AK2075" s="10" t="str">
        <f t="array" ref="AK2075">IFERROR(INDEX(SelectedSpecies,SMALL(IF(SelectedSpecies=AK$1,ROW(SelectedSpecies)),ROW(2076:2076)),2),"")</f>
        <v/>
      </c>
      <c r="BE2075" s="10"/>
      <c r="BI2075" s="10"/>
    </row>
    <row r="2076" spans="1:61" ht="21" customHeight="1" x14ac:dyDescent="0.25">
      <c r="A2076" s="10"/>
      <c r="B2076" s="10"/>
      <c r="E2076" s="10"/>
      <c r="G2076" s="10"/>
      <c r="I2076" s="436" t="s">
        <v>6852</v>
      </c>
      <c r="J2076" s="26" t="s">
        <v>6851</v>
      </c>
      <c r="K2076" s="10">
        <v>0.5</v>
      </c>
      <c r="L2076" s="73">
        <f>IF(Tank1!$C$23="No control",(SUMIF(Tank1!$B$32:$B$49,$J2076,Tank1!$C$32:$C$49)*Impacts!$F$8),0)</f>
        <v>0</v>
      </c>
      <c r="M2076" s="10">
        <f>IF(Tank2!$C$23="No control",(SUMIF(Tank2!$B$32:$B$49,$J2076,Tank2!$C$32:$C$49)*Impacts!$F$9),0)</f>
        <v>0</v>
      </c>
      <c r="N2076" s="10">
        <f>IF(Tank3!$C$23="No control",(SUMIF(Tank3!$B$32:$B$49,$J2076,Tank3!$C$32:$C$49)*Impacts!$F$10),0)</f>
        <v>0</v>
      </c>
      <c r="O2076" s="10">
        <f>IF(Tank4!$C$23="No control",(SUMIF(Tank4!$B$32:$B$49,$J2076,Tank4!$C$32:$C$49)*Impacts!$F$11),0)</f>
        <v>0</v>
      </c>
      <c r="P2076" s="10">
        <f>IF(Tank5!$C$23="No control",(SUMIF(Tank5!$B$32:$B$49,$J2076,Tank5!$C$32:$C$49)*Impacts!$F$12),0)</f>
        <v>0</v>
      </c>
      <c r="Q2076" s="10">
        <f>IFERROR(IF(('Loading-drum,tote'!$C$21)="No control",SUMIF(('Loading-drum,tote'!$B$31:$B$48),$J2076,('Loading-drum,tote'!$D$31:$D$48))*Impacts!$F$13,IF(('Loading-drum,tote'!$C$21)&lt;&gt;"No control",SUMIF(('Loading-drum,tote'!$B$31:$B$48),$J2076,('Loading-drum,tote'!$E$31:$E$48))*Impacts!$F$13,0)),0)</f>
        <v>0</v>
      </c>
      <c r="R2076" s="10">
        <f>IFERROR(IF(('Loading-truck'!$C$21)="No control",SUMIF(('Loading-truck'!$B$31:$B$48),$J2076,('Loading-truck'!$D$31:$D$48))*Impacts!$F$14,IF(('Loading-truck'!$C$21)&lt;&gt;"No control",SUMIF(('Loading-truck'!$B$31:$B$48),$J2076,('Loading-truck'!$E$31:$E$48))*Impacts!$F$14,0)),0)</f>
        <v>0</v>
      </c>
      <c r="S2076" s="10">
        <f>IFERROR(IF(('Loading-rail'!$C$21)="No control",SUMIF(('Loading-rail'!$B$31:$B$48),$J2076,('Loading-rail'!$D$31:$D$48))*Impacts!$F$15,IF(('Loading-rail'!$C$21)&lt;&gt;"No control",SUMIF(('Loading-rail'!$B$31:$B$48),$J2076,('Loading-rail'!$E$31:$E$48))*Impacts!$F$15,0)),0)</f>
        <v>0</v>
      </c>
      <c r="T2076" s="10">
        <f>IF(Flare!$C$7="",0,(SUMIF(Flare!$B$46:$B$185,$J2076,Flare!$E$46:$E$185)*Impacts!$F$16))</f>
        <v>0</v>
      </c>
      <c r="U2076" s="10">
        <f>IF(VCU!$C$9="",0,(SUMIF(VCU!$B$51:$B$193,$J2076,VCU!$E$51:$E$193)*Impacts!$F$17))</f>
        <v>0</v>
      </c>
      <c r="V2076" s="10">
        <f>IF(CAS!$C$7="",0,(SUMIF(CAS!$B$31:$B$167,$J2076,CAS!$E$31:$E$167)*Impacts!$F$18))</f>
        <v>0</v>
      </c>
      <c r="W2076" s="10">
        <f t="shared" si="73"/>
        <v>0</v>
      </c>
      <c r="AK2076" s="10" t="str">
        <f t="array" ref="AK2076">IFERROR(INDEX(SelectedSpecies,SMALL(IF(SelectedSpecies=AK$1,ROW(SelectedSpecies)),ROW(2077:2077)),2),"")</f>
        <v/>
      </c>
      <c r="BE2076" s="10"/>
      <c r="BI2076" s="10"/>
    </row>
    <row r="2077" spans="1:61" ht="21" customHeight="1" x14ac:dyDescent="0.25">
      <c r="A2077" s="10"/>
      <c r="B2077" s="10"/>
      <c r="E2077" s="10"/>
      <c r="G2077" s="10"/>
      <c r="I2077" s="436" t="s">
        <v>4083</v>
      </c>
      <c r="J2077" s="26" t="s">
        <v>4082</v>
      </c>
      <c r="K2077" s="10">
        <v>5.6000000000000005</v>
      </c>
      <c r="L2077" s="73">
        <f>IF(Tank1!$C$23="No control",(SUMIF(Tank1!$B$32:$B$49,$J2077,Tank1!$C$32:$C$49)*Impacts!$F$8),0)</f>
        <v>0</v>
      </c>
      <c r="M2077" s="10">
        <f>IF(Tank2!$C$23="No control",(SUMIF(Tank2!$B$32:$B$49,$J2077,Tank2!$C$32:$C$49)*Impacts!$F$9),0)</f>
        <v>0</v>
      </c>
      <c r="N2077" s="10">
        <f>IF(Tank3!$C$23="No control",(SUMIF(Tank3!$B$32:$B$49,$J2077,Tank3!$C$32:$C$49)*Impacts!$F$10),0)</f>
        <v>0</v>
      </c>
      <c r="O2077" s="10">
        <f>IF(Tank4!$C$23="No control",(SUMIF(Tank4!$B$32:$B$49,$J2077,Tank4!$C$32:$C$49)*Impacts!$F$11),0)</f>
        <v>0</v>
      </c>
      <c r="P2077" s="10">
        <f>IF(Tank5!$C$23="No control",(SUMIF(Tank5!$B$32:$B$49,$J2077,Tank5!$C$32:$C$49)*Impacts!$F$12),0)</f>
        <v>0</v>
      </c>
      <c r="Q2077" s="10">
        <f>IFERROR(IF(('Loading-drum,tote'!$C$21)="No control",SUMIF(('Loading-drum,tote'!$B$31:$B$48),$J2077,('Loading-drum,tote'!$D$31:$D$48))*Impacts!$F$13,IF(('Loading-drum,tote'!$C$21)&lt;&gt;"No control",SUMIF(('Loading-drum,tote'!$B$31:$B$48),$J2077,('Loading-drum,tote'!$E$31:$E$48))*Impacts!$F$13,0)),0)</f>
        <v>0</v>
      </c>
      <c r="R2077" s="10">
        <f>IFERROR(IF(('Loading-truck'!$C$21)="No control",SUMIF(('Loading-truck'!$B$31:$B$48),$J2077,('Loading-truck'!$D$31:$D$48))*Impacts!$F$14,IF(('Loading-truck'!$C$21)&lt;&gt;"No control",SUMIF(('Loading-truck'!$B$31:$B$48),$J2077,('Loading-truck'!$E$31:$E$48))*Impacts!$F$14,0)),0)</f>
        <v>0</v>
      </c>
      <c r="S2077" s="10">
        <f>IFERROR(IF(('Loading-rail'!$C$21)="No control",SUMIF(('Loading-rail'!$B$31:$B$48),$J2077,('Loading-rail'!$D$31:$D$48))*Impacts!$F$15,IF(('Loading-rail'!$C$21)&lt;&gt;"No control",SUMIF(('Loading-rail'!$B$31:$B$48),$J2077,('Loading-rail'!$E$31:$E$48))*Impacts!$F$15,0)),0)</f>
        <v>0</v>
      </c>
      <c r="T2077" s="10">
        <f>IF(Flare!$C$7="",0,(SUMIF(Flare!$B$46:$B$185,$J2077,Flare!$E$46:$E$185)*Impacts!$F$16))</f>
        <v>0</v>
      </c>
      <c r="U2077" s="10">
        <f>IF(VCU!$C$9="",0,(SUMIF(VCU!$B$51:$B$193,$J2077,VCU!$E$51:$E$193)*Impacts!$F$17))</f>
        <v>0</v>
      </c>
      <c r="V2077" s="10">
        <f>IF(CAS!$C$7="",0,(SUMIF(CAS!$B$31:$B$167,$J2077,CAS!$E$31:$E$167)*Impacts!$F$18))</f>
        <v>0</v>
      </c>
      <c r="W2077" s="10">
        <f t="shared" si="73"/>
        <v>0</v>
      </c>
      <c r="AK2077" s="10" t="str">
        <f t="array" ref="AK2077">IFERROR(INDEX(SelectedSpecies,SMALL(IF(SelectedSpecies=AK$1,ROW(SelectedSpecies)),ROW(2078:2078)),2),"")</f>
        <v/>
      </c>
      <c r="BE2077" s="10"/>
      <c r="BI2077" s="10"/>
    </row>
    <row r="2078" spans="1:61" ht="21" customHeight="1" x14ac:dyDescent="0.25">
      <c r="A2078" s="10"/>
      <c r="B2078" s="10"/>
      <c r="E2078" s="10"/>
      <c r="G2078" s="10"/>
      <c r="I2078" s="436" t="s">
        <v>2911</v>
      </c>
      <c r="J2078" s="26" t="s">
        <v>2910</v>
      </c>
      <c r="K2078" s="10">
        <v>10</v>
      </c>
      <c r="L2078" s="73">
        <f>IF(Tank1!$C$23="No control",(SUMIF(Tank1!$B$32:$B$49,$J2078,Tank1!$C$32:$C$49)*Impacts!$F$8),0)</f>
        <v>0</v>
      </c>
      <c r="M2078" s="10">
        <f>IF(Tank2!$C$23="No control",(SUMIF(Tank2!$B$32:$B$49,$J2078,Tank2!$C$32:$C$49)*Impacts!$F$9),0)</f>
        <v>0</v>
      </c>
      <c r="N2078" s="10">
        <f>IF(Tank3!$C$23="No control",(SUMIF(Tank3!$B$32:$B$49,$J2078,Tank3!$C$32:$C$49)*Impacts!$F$10),0)</f>
        <v>0</v>
      </c>
      <c r="O2078" s="10">
        <f>IF(Tank4!$C$23="No control",(SUMIF(Tank4!$B$32:$B$49,$J2078,Tank4!$C$32:$C$49)*Impacts!$F$11),0)</f>
        <v>0</v>
      </c>
      <c r="P2078" s="10">
        <f>IF(Tank5!$C$23="No control",(SUMIF(Tank5!$B$32:$B$49,$J2078,Tank5!$C$32:$C$49)*Impacts!$F$12),0)</f>
        <v>0</v>
      </c>
      <c r="Q2078" s="10">
        <f>IFERROR(IF(('Loading-drum,tote'!$C$21)="No control",SUMIF(('Loading-drum,tote'!$B$31:$B$48),$J2078,('Loading-drum,tote'!$D$31:$D$48))*Impacts!$F$13,IF(('Loading-drum,tote'!$C$21)&lt;&gt;"No control",SUMIF(('Loading-drum,tote'!$B$31:$B$48),$J2078,('Loading-drum,tote'!$E$31:$E$48))*Impacts!$F$13,0)),0)</f>
        <v>0</v>
      </c>
      <c r="R2078" s="10">
        <f>IFERROR(IF(('Loading-truck'!$C$21)="No control",SUMIF(('Loading-truck'!$B$31:$B$48),$J2078,('Loading-truck'!$D$31:$D$48))*Impacts!$F$14,IF(('Loading-truck'!$C$21)&lt;&gt;"No control",SUMIF(('Loading-truck'!$B$31:$B$48),$J2078,('Loading-truck'!$E$31:$E$48))*Impacts!$F$14,0)),0)</f>
        <v>0</v>
      </c>
      <c r="S2078" s="10">
        <f>IFERROR(IF(('Loading-rail'!$C$21)="No control",SUMIF(('Loading-rail'!$B$31:$B$48),$J2078,('Loading-rail'!$D$31:$D$48))*Impacts!$F$15,IF(('Loading-rail'!$C$21)&lt;&gt;"No control",SUMIF(('Loading-rail'!$B$31:$B$48),$J2078,('Loading-rail'!$E$31:$E$48))*Impacts!$F$15,0)),0)</f>
        <v>0</v>
      </c>
      <c r="T2078" s="10">
        <f>IF(Flare!$C$7="",0,(SUMIF(Flare!$B$46:$B$185,$J2078,Flare!$E$46:$E$185)*Impacts!$F$16))</f>
        <v>0</v>
      </c>
      <c r="U2078" s="10">
        <f>IF(VCU!$C$9="",0,(SUMIF(VCU!$B$51:$B$193,$J2078,VCU!$E$51:$E$193)*Impacts!$F$17))</f>
        <v>0</v>
      </c>
      <c r="V2078" s="10">
        <f>IF(CAS!$C$7="",0,(SUMIF(CAS!$B$31:$B$167,$J2078,CAS!$E$31:$E$167)*Impacts!$F$18))</f>
        <v>0</v>
      </c>
      <c r="W2078" s="10">
        <f t="shared" si="73"/>
        <v>0</v>
      </c>
      <c r="AK2078" s="10" t="str">
        <f t="array" ref="AK2078">IFERROR(INDEX(SelectedSpecies,SMALL(IF(SelectedSpecies=AK$1,ROW(SelectedSpecies)),ROW(2079:2079)),2),"")</f>
        <v/>
      </c>
      <c r="BE2078" s="10"/>
      <c r="BI2078" s="10"/>
    </row>
    <row r="2079" spans="1:61" ht="21" customHeight="1" x14ac:dyDescent="0.25">
      <c r="A2079" s="10"/>
      <c r="B2079" s="10"/>
      <c r="E2079" s="10"/>
      <c r="G2079" s="10"/>
      <c r="I2079" s="436" t="s">
        <v>8276</v>
      </c>
      <c r="J2079" s="26" t="s">
        <v>8275</v>
      </c>
      <c r="K2079" s="10">
        <v>4.0000000000000001E-3</v>
      </c>
      <c r="L2079" s="73">
        <f>IF(Tank1!$C$23="No control",(SUMIF(Tank1!$B$32:$B$49,$J2079,Tank1!$C$32:$C$49)*Impacts!$F$8),0)</f>
        <v>0</v>
      </c>
      <c r="M2079" s="10">
        <f>IF(Tank2!$C$23="No control",(SUMIF(Tank2!$B$32:$B$49,$J2079,Tank2!$C$32:$C$49)*Impacts!$F$9),0)</f>
        <v>0</v>
      </c>
      <c r="N2079" s="10">
        <f>IF(Tank3!$C$23="No control",(SUMIF(Tank3!$B$32:$B$49,$J2079,Tank3!$C$32:$C$49)*Impacts!$F$10),0)</f>
        <v>0</v>
      </c>
      <c r="O2079" s="10">
        <f>IF(Tank4!$C$23="No control",(SUMIF(Tank4!$B$32:$B$49,$J2079,Tank4!$C$32:$C$49)*Impacts!$F$11),0)</f>
        <v>0</v>
      </c>
      <c r="P2079" s="10">
        <f>IF(Tank5!$C$23="No control",(SUMIF(Tank5!$B$32:$B$49,$J2079,Tank5!$C$32:$C$49)*Impacts!$F$12),0)</f>
        <v>0</v>
      </c>
      <c r="Q2079" s="10">
        <f>IFERROR(IF(('Loading-drum,tote'!$C$21)="No control",SUMIF(('Loading-drum,tote'!$B$31:$B$48),$J2079,('Loading-drum,tote'!$D$31:$D$48))*Impacts!$F$13,IF(('Loading-drum,tote'!$C$21)&lt;&gt;"No control",SUMIF(('Loading-drum,tote'!$B$31:$B$48),$J2079,('Loading-drum,tote'!$E$31:$E$48))*Impacts!$F$13,0)),0)</f>
        <v>0</v>
      </c>
      <c r="R2079" s="10">
        <f>IFERROR(IF(('Loading-truck'!$C$21)="No control",SUMIF(('Loading-truck'!$B$31:$B$48),$J2079,('Loading-truck'!$D$31:$D$48))*Impacts!$F$14,IF(('Loading-truck'!$C$21)&lt;&gt;"No control",SUMIF(('Loading-truck'!$B$31:$B$48),$J2079,('Loading-truck'!$E$31:$E$48))*Impacts!$F$14,0)),0)</f>
        <v>0</v>
      </c>
      <c r="S2079" s="10">
        <f>IFERROR(IF(('Loading-rail'!$C$21)="No control",SUMIF(('Loading-rail'!$B$31:$B$48),$J2079,('Loading-rail'!$D$31:$D$48))*Impacts!$F$15,IF(('Loading-rail'!$C$21)&lt;&gt;"No control",SUMIF(('Loading-rail'!$B$31:$B$48),$J2079,('Loading-rail'!$E$31:$E$48))*Impacts!$F$15,0)),0)</f>
        <v>0</v>
      </c>
      <c r="T2079" s="10">
        <f>IF(Flare!$C$7="",0,(SUMIF(Flare!$B$46:$B$185,$J2079,Flare!$E$46:$E$185)*Impacts!$F$16))</f>
        <v>0</v>
      </c>
      <c r="U2079" s="10">
        <f>IF(VCU!$C$9="",0,(SUMIF(VCU!$B$51:$B$193,$J2079,VCU!$E$51:$E$193)*Impacts!$F$17))</f>
        <v>0</v>
      </c>
      <c r="V2079" s="10">
        <f>IF(CAS!$C$7="",0,(SUMIF(CAS!$B$31:$B$167,$J2079,CAS!$E$31:$E$167)*Impacts!$F$18))</f>
        <v>0</v>
      </c>
      <c r="W2079" s="10">
        <f t="shared" si="73"/>
        <v>0</v>
      </c>
      <c r="AK2079" s="10" t="str">
        <f t="array" ref="AK2079">IFERROR(INDEX(SelectedSpecies,SMALL(IF(SelectedSpecies=AK$1,ROW(SelectedSpecies)),ROW(2080:2080)),2),"")</f>
        <v/>
      </c>
      <c r="BE2079" s="10"/>
      <c r="BI2079" s="10"/>
    </row>
    <row r="2080" spans="1:61" ht="21" customHeight="1" x14ac:dyDescent="0.25">
      <c r="A2080" s="10"/>
      <c r="B2080" s="10"/>
      <c r="E2080" s="10"/>
      <c r="G2080" s="10"/>
      <c r="I2080" s="436" t="s">
        <v>5958</v>
      </c>
      <c r="J2080" s="26" t="s">
        <v>5957</v>
      </c>
      <c r="K2080" s="10">
        <v>1</v>
      </c>
      <c r="L2080" s="73">
        <f>IF(Tank1!$C$23="No control",(SUMIF(Tank1!$B$32:$B$49,$J2080,Tank1!$C$32:$C$49)*Impacts!$F$8),0)</f>
        <v>0</v>
      </c>
      <c r="M2080" s="10">
        <f>IF(Tank2!$C$23="No control",(SUMIF(Tank2!$B$32:$B$49,$J2080,Tank2!$C$32:$C$49)*Impacts!$F$9),0)</f>
        <v>0</v>
      </c>
      <c r="N2080" s="10">
        <f>IF(Tank3!$C$23="No control",(SUMIF(Tank3!$B$32:$B$49,$J2080,Tank3!$C$32:$C$49)*Impacts!$F$10),0)</f>
        <v>0</v>
      </c>
      <c r="O2080" s="10">
        <f>IF(Tank4!$C$23="No control",(SUMIF(Tank4!$B$32:$B$49,$J2080,Tank4!$C$32:$C$49)*Impacts!$F$11),0)</f>
        <v>0</v>
      </c>
      <c r="P2080" s="10">
        <f>IF(Tank5!$C$23="No control",(SUMIF(Tank5!$B$32:$B$49,$J2080,Tank5!$C$32:$C$49)*Impacts!$F$12),0)</f>
        <v>0</v>
      </c>
      <c r="Q2080" s="10">
        <f>IFERROR(IF(('Loading-drum,tote'!$C$21)="No control",SUMIF(('Loading-drum,tote'!$B$31:$B$48),$J2080,('Loading-drum,tote'!$D$31:$D$48))*Impacts!$F$13,IF(('Loading-drum,tote'!$C$21)&lt;&gt;"No control",SUMIF(('Loading-drum,tote'!$B$31:$B$48),$J2080,('Loading-drum,tote'!$E$31:$E$48))*Impacts!$F$13,0)),0)</f>
        <v>0</v>
      </c>
      <c r="R2080" s="10">
        <f>IFERROR(IF(('Loading-truck'!$C$21)="No control",SUMIF(('Loading-truck'!$B$31:$B$48),$J2080,('Loading-truck'!$D$31:$D$48))*Impacts!$F$14,IF(('Loading-truck'!$C$21)&lt;&gt;"No control",SUMIF(('Loading-truck'!$B$31:$B$48),$J2080,('Loading-truck'!$E$31:$E$48))*Impacts!$F$14,0)),0)</f>
        <v>0</v>
      </c>
      <c r="S2080" s="10">
        <f>IFERROR(IF(('Loading-rail'!$C$21)="No control",SUMIF(('Loading-rail'!$B$31:$B$48),$J2080,('Loading-rail'!$D$31:$D$48))*Impacts!$F$15,IF(('Loading-rail'!$C$21)&lt;&gt;"No control",SUMIF(('Loading-rail'!$B$31:$B$48),$J2080,('Loading-rail'!$E$31:$E$48))*Impacts!$F$15,0)),0)</f>
        <v>0</v>
      </c>
      <c r="T2080" s="10">
        <f>IF(Flare!$C$7="",0,(SUMIF(Flare!$B$46:$B$185,$J2080,Flare!$E$46:$E$185)*Impacts!$F$16))</f>
        <v>0</v>
      </c>
      <c r="U2080" s="10">
        <f>IF(VCU!$C$9="",0,(SUMIF(VCU!$B$51:$B$193,$J2080,VCU!$E$51:$E$193)*Impacts!$F$17))</f>
        <v>0</v>
      </c>
      <c r="V2080" s="10">
        <f>IF(CAS!$C$7="",0,(SUMIF(CAS!$B$31:$B$167,$J2080,CAS!$E$31:$E$167)*Impacts!$F$18))</f>
        <v>0</v>
      </c>
      <c r="W2080" s="10">
        <f t="shared" si="73"/>
        <v>0</v>
      </c>
      <c r="AK2080" s="10" t="str">
        <f t="array" ref="AK2080">IFERROR(INDEX(SelectedSpecies,SMALL(IF(SelectedSpecies=AK$1,ROW(SelectedSpecies)),ROW(2081:2081)),2),"")</f>
        <v/>
      </c>
      <c r="BE2080" s="10"/>
      <c r="BI2080" s="10"/>
    </row>
    <row r="2081" spans="1:61" ht="21" customHeight="1" x14ac:dyDescent="0.25">
      <c r="A2081" s="10"/>
      <c r="B2081" s="10"/>
      <c r="E2081" s="10"/>
      <c r="G2081" s="10"/>
      <c r="I2081" s="436" t="s">
        <v>5169</v>
      </c>
      <c r="J2081" s="26" t="s">
        <v>5168</v>
      </c>
      <c r="K2081" s="10">
        <v>2</v>
      </c>
      <c r="L2081" s="73">
        <f>IF(Tank1!$C$23="No control",(SUMIF(Tank1!$B$32:$B$49,$J2081,Tank1!$C$32:$C$49)*Impacts!$F$8),0)</f>
        <v>0</v>
      </c>
      <c r="M2081" s="10">
        <f>IF(Tank2!$C$23="No control",(SUMIF(Tank2!$B$32:$B$49,$J2081,Tank2!$C$32:$C$49)*Impacts!$F$9),0)</f>
        <v>0</v>
      </c>
      <c r="N2081" s="10">
        <f>IF(Tank3!$C$23="No control",(SUMIF(Tank3!$B$32:$B$49,$J2081,Tank3!$C$32:$C$49)*Impacts!$F$10),0)</f>
        <v>0</v>
      </c>
      <c r="O2081" s="10">
        <f>IF(Tank4!$C$23="No control",(SUMIF(Tank4!$B$32:$B$49,$J2081,Tank4!$C$32:$C$49)*Impacts!$F$11),0)</f>
        <v>0</v>
      </c>
      <c r="P2081" s="10">
        <f>IF(Tank5!$C$23="No control",(SUMIF(Tank5!$B$32:$B$49,$J2081,Tank5!$C$32:$C$49)*Impacts!$F$12),0)</f>
        <v>0</v>
      </c>
      <c r="Q2081" s="10">
        <f>IFERROR(IF(('Loading-drum,tote'!$C$21)="No control",SUMIF(('Loading-drum,tote'!$B$31:$B$48),$J2081,('Loading-drum,tote'!$D$31:$D$48))*Impacts!$F$13,IF(('Loading-drum,tote'!$C$21)&lt;&gt;"No control",SUMIF(('Loading-drum,tote'!$B$31:$B$48),$J2081,('Loading-drum,tote'!$E$31:$E$48))*Impacts!$F$13,0)),0)</f>
        <v>0</v>
      </c>
      <c r="R2081" s="10">
        <f>IFERROR(IF(('Loading-truck'!$C$21)="No control",SUMIF(('Loading-truck'!$B$31:$B$48),$J2081,('Loading-truck'!$D$31:$D$48))*Impacts!$F$14,IF(('Loading-truck'!$C$21)&lt;&gt;"No control",SUMIF(('Loading-truck'!$B$31:$B$48),$J2081,('Loading-truck'!$E$31:$E$48))*Impacts!$F$14,0)),0)</f>
        <v>0</v>
      </c>
      <c r="S2081" s="10">
        <f>IFERROR(IF(('Loading-rail'!$C$21)="No control",SUMIF(('Loading-rail'!$B$31:$B$48),$J2081,('Loading-rail'!$D$31:$D$48))*Impacts!$F$15,IF(('Loading-rail'!$C$21)&lt;&gt;"No control",SUMIF(('Loading-rail'!$B$31:$B$48),$J2081,('Loading-rail'!$E$31:$E$48))*Impacts!$F$15,0)),0)</f>
        <v>0</v>
      </c>
      <c r="T2081" s="10">
        <f>IF(Flare!$C$7="",0,(SUMIF(Flare!$B$46:$B$185,$J2081,Flare!$E$46:$E$185)*Impacts!$F$16))</f>
        <v>0</v>
      </c>
      <c r="U2081" s="10">
        <f>IF(VCU!$C$9="",0,(SUMIF(VCU!$B$51:$B$193,$J2081,VCU!$E$51:$E$193)*Impacts!$F$17))</f>
        <v>0</v>
      </c>
      <c r="V2081" s="10">
        <f>IF(CAS!$C$7="",0,(SUMIF(CAS!$B$31:$B$167,$J2081,CAS!$E$31:$E$167)*Impacts!$F$18))</f>
        <v>0</v>
      </c>
      <c r="W2081" s="10">
        <f t="shared" si="73"/>
        <v>0</v>
      </c>
      <c r="AK2081" s="10" t="str">
        <f t="array" ref="AK2081">IFERROR(INDEX(SelectedSpecies,SMALL(IF(SelectedSpecies=AK$1,ROW(SelectedSpecies)),ROW(2082:2082)),2),"")</f>
        <v/>
      </c>
      <c r="BE2081" s="10"/>
      <c r="BI2081" s="10"/>
    </row>
    <row r="2082" spans="1:61" ht="21" customHeight="1" x14ac:dyDescent="0.25">
      <c r="A2082" s="10"/>
      <c r="B2082" s="10"/>
      <c r="E2082" s="10"/>
      <c r="G2082" s="10"/>
      <c r="I2082" s="436" t="s">
        <v>4205</v>
      </c>
      <c r="J2082" s="26" t="s">
        <v>4204</v>
      </c>
      <c r="K2082" s="10">
        <v>5</v>
      </c>
      <c r="L2082" s="73">
        <f>IF(Tank1!$C$23="No control",(SUMIF(Tank1!$B$32:$B$49,$J2082,Tank1!$C$32:$C$49)*Impacts!$F$8),0)</f>
        <v>0</v>
      </c>
      <c r="M2082" s="10">
        <f>IF(Tank2!$C$23="No control",(SUMIF(Tank2!$B$32:$B$49,$J2082,Tank2!$C$32:$C$49)*Impacts!$F$9),0)</f>
        <v>0</v>
      </c>
      <c r="N2082" s="10">
        <f>IF(Tank3!$C$23="No control",(SUMIF(Tank3!$B$32:$B$49,$J2082,Tank3!$C$32:$C$49)*Impacts!$F$10),0)</f>
        <v>0</v>
      </c>
      <c r="O2082" s="10">
        <f>IF(Tank4!$C$23="No control",(SUMIF(Tank4!$B$32:$B$49,$J2082,Tank4!$C$32:$C$49)*Impacts!$F$11),0)</f>
        <v>0</v>
      </c>
      <c r="P2082" s="10">
        <f>IF(Tank5!$C$23="No control",(SUMIF(Tank5!$B$32:$B$49,$J2082,Tank5!$C$32:$C$49)*Impacts!$F$12),0)</f>
        <v>0</v>
      </c>
      <c r="Q2082" s="10">
        <f>IFERROR(IF(('Loading-drum,tote'!$C$21)="No control",SUMIF(('Loading-drum,tote'!$B$31:$B$48),$J2082,('Loading-drum,tote'!$D$31:$D$48))*Impacts!$F$13,IF(('Loading-drum,tote'!$C$21)&lt;&gt;"No control",SUMIF(('Loading-drum,tote'!$B$31:$B$48),$J2082,('Loading-drum,tote'!$E$31:$E$48))*Impacts!$F$13,0)),0)</f>
        <v>0</v>
      </c>
      <c r="R2082" s="10">
        <f>IFERROR(IF(('Loading-truck'!$C$21)="No control",SUMIF(('Loading-truck'!$B$31:$B$48),$J2082,('Loading-truck'!$D$31:$D$48))*Impacts!$F$14,IF(('Loading-truck'!$C$21)&lt;&gt;"No control",SUMIF(('Loading-truck'!$B$31:$B$48),$J2082,('Loading-truck'!$E$31:$E$48))*Impacts!$F$14,0)),0)</f>
        <v>0</v>
      </c>
      <c r="S2082" s="10">
        <f>IFERROR(IF(('Loading-rail'!$C$21)="No control",SUMIF(('Loading-rail'!$B$31:$B$48),$J2082,('Loading-rail'!$D$31:$D$48))*Impacts!$F$15,IF(('Loading-rail'!$C$21)&lt;&gt;"No control",SUMIF(('Loading-rail'!$B$31:$B$48),$J2082,('Loading-rail'!$E$31:$E$48))*Impacts!$F$15,0)),0)</f>
        <v>0</v>
      </c>
      <c r="T2082" s="10">
        <f>IF(Flare!$C$7="",0,(SUMIF(Flare!$B$46:$B$185,$J2082,Flare!$E$46:$E$185)*Impacts!$F$16))</f>
        <v>0</v>
      </c>
      <c r="U2082" s="10">
        <f>IF(VCU!$C$9="",0,(SUMIF(VCU!$B$51:$B$193,$J2082,VCU!$E$51:$E$193)*Impacts!$F$17))</f>
        <v>0</v>
      </c>
      <c r="V2082" s="10">
        <f>IF(CAS!$C$7="",0,(SUMIF(CAS!$B$31:$B$167,$J2082,CAS!$E$31:$E$167)*Impacts!$F$18))</f>
        <v>0</v>
      </c>
      <c r="W2082" s="10">
        <f t="shared" si="73"/>
        <v>0</v>
      </c>
      <c r="AK2082" s="10" t="str">
        <f t="array" ref="AK2082">IFERROR(INDEX(SelectedSpecies,SMALL(IF(SelectedSpecies=AK$1,ROW(SelectedSpecies)),ROW(2083:2083)),2),"")</f>
        <v/>
      </c>
      <c r="BE2082" s="10"/>
      <c r="BI2082" s="10"/>
    </row>
    <row r="2083" spans="1:61" ht="21" customHeight="1" x14ac:dyDescent="0.25">
      <c r="A2083" s="10"/>
      <c r="B2083" s="10"/>
      <c r="E2083" s="10"/>
      <c r="G2083" s="10"/>
      <c r="I2083" s="436" t="s">
        <v>7276</v>
      </c>
      <c r="J2083" s="26" t="s">
        <v>7275</v>
      </c>
      <c r="K2083" s="10">
        <v>0.30000000000000004</v>
      </c>
      <c r="L2083" s="73">
        <f>IF(Tank1!$C$23="No control",(SUMIF(Tank1!$B$32:$B$49,$J2083,Tank1!$C$32:$C$49)*Impacts!$F$8),0)</f>
        <v>0</v>
      </c>
      <c r="M2083" s="10">
        <f>IF(Tank2!$C$23="No control",(SUMIF(Tank2!$B$32:$B$49,$J2083,Tank2!$C$32:$C$49)*Impacts!$F$9),0)</f>
        <v>0</v>
      </c>
      <c r="N2083" s="10">
        <f>IF(Tank3!$C$23="No control",(SUMIF(Tank3!$B$32:$B$49,$J2083,Tank3!$C$32:$C$49)*Impacts!$F$10),0)</f>
        <v>0</v>
      </c>
      <c r="O2083" s="10">
        <f>IF(Tank4!$C$23="No control",(SUMIF(Tank4!$B$32:$B$49,$J2083,Tank4!$C$32:$C$49)*Impacts!$F$11),0)</f>
        <v>0</v>
      </c>
      <c r="P2083" s="10">
        <f>IF(Tank5!$C$23="No control",(SUMIF(Tank5!$B$32:$B$49,$J2083,Tank5!$C$32:$C$49)*Impacts!$F$12),0)</f>
        <v>0</v>
      </c>
      <c r="Q2083" s="10">
        <f>IFERROR(IF(('Loading-drum,tote'!$C$21)="No control",SUMIF(('Loading-drum,tote'!$B$31:$B$48),$J2083,('Loading-drum,tote'!$D$31:$D$48))*Impacts!$F$13,IF(('Loading-drum,tote'!$C$21)&lt;&gt;"No control",SUMIF(('Loading-drum,tote'!$B$31:$B$48),$J2083,('Loading-drum,tote'!$E$31:$E$48))*Impacts!$F$13,0)),0)</f>
        <v>0</v>
      </c>
      <c r="R2083" s="10">
        <f>IFERROR(IF(('Loading-truck'!$C$21)="No control",SUMIF(('Loading-truck'!$B$31:$B$48),$J2083,('Loading-truck'!$D$31:$D$48))*Impacts!$F$14,IF(('Loading-truck'!$C$21)&lt;&gt;"No control",SUMIF(('Loading-truck'!$B$31:$B$48),$J2083,('Loading-truck'!$E$31:$E$48))*Impacts!$F$14,0)),0)</f>
        <v>0</v>
      </c>
      <c r="S2083" s="10">
        <f>IFERROR(IF(('Loading-rail'!$C$21)="No control",SUMIF(('Loading-rail'!$B$31:$B$48),$J2083,('Loading-rail'!$D$31:$D$48))*Impacts!$F$15,IF(('Loading-rail'!$C$21)&lt;&gt;"No control",SUMIF(('Loading-rail'!$B$31:$B$48),$J2083,('Loading-rail'!$E$31:$E$48))*Impacts!$F$15,0)),0)</f>
        <v>0</v>
      </c>
      <c r="T2083" s="10">
        <f>IF(Flare!$C$7="",0,(SUMIF(Flare!$B$46:$B$185,$J2083,Flare!$E$46:$E$185)*Impacts!$F$16))</f>
        <v>0</v>
      </c>
      <c r="U2083" s="10">
        <f>IF(VCU!$C$9="",0,(SUMIF(VCU!$B$51:$B$193,$J2083,VCU!$E$51:$E$193)*Impacts!$F$17))</f>
        <v>0</v>
      </c>
      <c r="V2083" s="10">
        <f>IF(CAS!$C$7="",0,(SUMIF(CAS!$B$31:$B$167,$J2083,CAS!$E$31:$E$167)*Impacts!$F$18))</f>
        <v>0</v>
      </c>
      <c r="W2083" s="10">
        <f t="shared" si="73"/>
        <v>0</v>
      </c>
      <c r="AK2083" s="10" t="str">
        <f t="array" ref="AK2083">IFERROR(INDEX(SelectedSpecies,SMALL(IF(SelectedSpecies=AK$1,ROW(SelectedSpecies)),ROW(2084:2084)),2),"")</f>
        <v/>
      </c>
      <c r="BE2083" s="10"/>
      <c r="BI2083" s="10"/>
    </row>
    <row r="2084" spans="1:61" ht="21" customHeight="1" x14ac:dyDescent="0.25">
      <c r="A2084" s="10"/>
      <c r="B2084" s="10"/>
      <c r="E2084" s="10"/>
      <c r="G2084" s="10"/>
      <c r="I2084" s="436" t="s">
        <v>3653</v>
      </c>
      <c r="J2084" s="26" t="s">
        <v>3652</v>
      </c>
      <c r="K2084" s="10">
        <v>7.2</v>
      </c>
      <c r="L2084" s="73">
        <f>IF(Tank1!$C$23="No control",(SUMIF(Tank1!$B$32:$B$49,$J2084,Tank1!$C$32:$C$49)*Impacts!$F$8),0)</f>
        <v>0</v>
      </c>
      <c r="M2084" s="10">
        <f>IF(Tank2!$C$23="No control",(SUMIF(Tank2!$B$32:$B$49,$J2084,Tank2!$C$32:$C$49)*Impacts!$F$9),0)</f>
        <v>0</v>
      </c>
      <c r="N2084" s="10">
        <f>IF(Tank3!$C$23="No control",(SUMIF(Tank3!$B$32:$B$49,$J2084,Tank3!$C$32:$C$49)*Impacts!$F$10),0)</f>
        <v>0</v>
      </c>
      <c r="O2084" s="10">
        <f>IF(Tank4!$C$23="No control",(SUMIF(Tank4!$B$32:$B$49,$J2084,Tank4!$C$32:$C$49)*Impacts!$F$11),0)</f>
        <v>0</v>
      </c>
      <c r="P2084" s="10">
        <f>IF(Tank5!$C$23="No control",(SUMIF(Tank5!$B$32:$B$49,$J2084,Tank5!$C$32:$C$49)*Impacts!$F$12),0)</f>
        <v>0</v>
      </c>
      <c r="Q2084" s="10">
        <f>IFERROR(IF(('Loading-drum,tote'!$C$21)="No control",SUMIF(('Loading-drum,tote'!$B$31:$B$48),$J2084,('Loading-drum,tote'!$D$31:$D$48))*Impacts!$F$13,IF(('Loading-drum,tote'!$C$21)&lt;&gt;"No control",SUMIF(('Loading-drum,tote'!$B$31:$B$48),$J2084,('Loading-drum,tote'!$E$31:$E$48))*Impacts!$F$13,0)),0)</f>
        <v>0</v>
      </c>
      <c r="R2084" s="10">
        <f>IFERROR(IF(('Loading-truck'!$C$21)="No control",SUMIF(('Loading-truck'!$B$31:$B$48),$J2084,('Loading-truck'!$D$31:$D$48))*Impacts!$F$14,IF(('Loading-truck'!$C$21)&lt;&gt;"No control",SUMIF(('Loading-truck'!$B$31:$B$48),$J2084,('Loading-truck'!$E$31:$E$48))*Impacts!$F$14,0)),0)</f>
        <v>0</v>
      </c>
      <c r="S2084" s="10">
        <f>IFERROR(IF(('Loading-rail'!$C$21)="No control",SUMIF(('Loading-rail'!$B$31:$B$48),$J2084,('Loading-rail'!$D$31:$D$48))*Impacts!$F$15,IF(('Loading-rail'!$C$21)&lt;&gt;"No control",SUMIF(('Loading-rail'!$B$31:$B$48),$J2084,('Loading-rail'!$E$31:$E$48))*Impacts!$F$15,0)),0)</f>
        <v>0</v>
      </c>
      <c r="T2084" s="10">
        <f>IF(Flare!$C$7="",0,(SUMIF(Flare!$B$46:$B$185,$J2084,Flare!$E$46:$E$185)*Impacts!$F$16))</f>
        <v>0</v>
      </c>
      <c r="U2084" s="10">
        <f>IF(VCU!$C$9="",0,(SUMIF(VCU!$B$51:$B$193,$J2084,VCU!$E$51:$E$193)*Impacts!$F$17))</f>
        <v>0</v>
      </c>
      <c r="V2084" s="10">
        <f>IF(CAS!$C$7="",0,(SUMIF(CAS!$B$31:$B$167,$J2084,CAS!$E$31:$E$167)*Impacts!$F$18))</f>
        <v>0</v>
      </c>
      <c r="W2084" s="10">
        <f t="shared" si="73"/>
        <v>0</v>
      </c>
      <c r="AK2084" s="10" t="str">
        <f t="array" ref="AK2084">IFERROR(INDEX(SelectedSpecies,SMALL(IF(SelectedSpecies=AK$1,ROW(SelectedSpecies)),ROW(2085:2085)),2),"")</f>
        <v/>
      </c>
      <c r="BE2084" s="10"/>
      <c r="BI2084" s="10"/>
    </row>
    <row r="2085" spans="1:61" ht="21" customHeight="1" x14ac:dyDescent="0.25">
      <c r="A2085" s="10"/>
      <c r="B2085" s="10"/>
      <c r="E2085" s="10"/>
      <c r="G2085" s="10"/>
      <c r="I2085" s="436" t="s">
        <v>6532</v>
      </c>
      <c r="J2085" s="26" t="s">
        <v>6531</v>
      </c>
      <c r="K2085" s="10">
        <v>0.70000000000000007</v>
      </c>
      <c r="L2085" s="73">
        <f>IF(Tank1!$C$23="No control",(SUMIF(Tank1!$B$32:$B$49,$J2085,Tank1!$C$32:$C$49)*Impacts!$F$8),0)</f>
        <v>0</v>
      </c>
      <c r="M2085" s="10">
        <f>IF(Tank2!$C$23="No control",(SUMIF(Tank2!$B$32:$B$49,$J2085,Tank2!$C$32:$C$49)*Impacts!$F$9),0)</f>
        <v>0</v>
      </c>
      <c r="N2085" s="10">
        <f>IF(Tank3!$C$23="No control",(SUMIF(Tank3!$B$32:$B$49,$J2085,Tank3!$C$32:$C$49)*Impacts!$F$10),0)</f>
        <v>0</v>
      </c>
      <c r="O2085" s="10">
        <f>IF(Tank4!$C$23="No control",(SUMIF(Tank4!$B$32:$B$49,$J2085,Tank4!$C$32:$C$49)*Impacts!$F$11),0)</f>
        <v>0</v>
      </c>
      <c r="P2085" s="10">
        <f>IF(Tank5!$C$23="No control",(SUMIF(Tank5!$B$32:$B$49,$J2085,Tank5!$C$32:$C$49)*Impacts!$F$12),0)</f>
        <v>0</v>
      </c>
      <c r="Q2085" s="10">
        <f>IFERROR(IF(('Loading-drum,tote'!$C$21)="No control",SUMIF(('Loading-drum,tote'!$B$31:$B$48),$J2085,('Loading-drum,tote'!$D$31:$D$48))*Impacts!$F$13,IF(('Loading-drum,tote'!$C$21)&lt;&gt;"No control",SUMIF(('Loading-drum,tote'!$B$31:$B$48),$J2085,('Loading-drum,tote'!$E$31:$E$48))*Impacts!$F$13,0)),0)</f>
        <v>0</v>
      </c>
      <c r="R2085" s="10">
        <f>IFERROR(IF(('Loading-truck'!$C$21)="No control",SUMIF(('Loading-truck'!$B$31:$B$48),$J2085,('Loading-truck'!$D$31:$D$48))*Impacts!$F$14,IF(('Loading-truck'!$C$21)&lt;&gt;"No control",SUMIF(('Loading-truck'!$B$31:$B$48),$J2085,('Loading-truck'!$E$31:$E$48))*Impacts!$F$14,0)),0)</f>
        <v>0</v>
      </c>
      <c r="S2085" s="10">
        <f>IFERROR(IF(('Loading-rail'!$C$21)="No control",SUMIF(('Loading-rail'!$B$31:$B$48),$J2085,('Loading-rail'!$D$31:$D$48))*Impacts!$F$15,IF(('Loading-rail'!$C$21)&lt;&gt;"No control",SUMIF(('Loading-rail'!$B$31:$B$48),$J2085,('Loading-rail'!$E$31:$E$48))*Impacts!$F$15,0)),0)</f>
        <v>0</v>
      </c>
      <c r="T2085" s="10">
        <f>IF(Flare!$C$7="",0,(SUMIF(Flare!$B$46:$B$185,$J2085,Flare!$E$46:$E$185)*Impacts!$F$16))</f>
        <v>0</v>
      </c>
      <c r="U2085" s="10">
        <f>IF(VCU!$C$9="",0,(SUMIF(VCU!$B$51:$B$193,$J2085,VCU!$E$51:$E$193)*Impacts!$F$17))</f>
        <v>0</v>
      </c>
      <c r="V2085" s="10">
        <f>IF(CAS!$C$7="",0,(SUMIF(CAS!$B$31:$B$167,$J2085,CAS!$E$31:$E$167)*Impacts!$F$18))</f>
        <v>0</v>
      </c>
      <c r="W2085" s="10">
        <f t="shared" si="73"/>
        <v>0</v>
      </c>
      <c r="AK2085" s="10" t="str">
        <f t="array" ref="AK2085">IFERROR(INDEX(SelectedSpecies,SMALL(IF(SelectedSpecies=AK$1,ROW(SelectedSpecies)),ROW(2086:2086)),2),"")</f>
        <v/>
      </c>
      <c r="BE2085" s="10"/>
      <c r="BI2085" s="10"/>
    </row>
    <row r="2086" spans="1:61" ht="21" customHeight="1" x14ac:dyDescent="0.25">
      <c r="A2086" s="10"/>
      <c r="B2086" s="10"/>
      <c r="E2086" s="10"/>
      <c r="G2086" s="10"/>
      <c r="I2086" s="436" t="s">
        <v>4971</v>
      </c>
      <c r="J2086" s="26" t="s">
        <v>4970</v>
      </c>
      <c r="K2086" s="10">
        <v>2.5</v>
      </c>
      <c r="L2086" s="73">
        <f>IF(Tank1!$C$23="No control",(SUMIF(Tank1!$B$32:$B$49,$J2086,Tank1!$C$32:$C$49)*Impacts!$F$8),0)</f>
        <v>0</v>
      </c>
      <c r="M2086" s="10">
        <f>IF(Tank2!$C$23="No control",(SUMIF(Tank2!$B$32:$B$49,$J2086,Tank2!$C$32:$C$49)*Impacts!$F$9),0)</f>
        <v>0</v>
      </c>
      <c r="N2086" s="10">
        <f>IF(Tank3!$C$23="No control",(SUMIF(Tank3!$B$32:$B$49,$J2086,Tank3!$C$32:$C$49)*Impacts!$F$10),0)</f>
        <v>0</v>
      </c>
      <c r="O2086" s="10">
        <f>IF(Tank4!$C$23="No control",(SUMIF(Tank4!$B$32:$B$49,$J2086,Tank4!$C$32:$C$49)*Impacts!$F$11),0)</f>
        <v>0</v>
      </c>
      <c r="P2086" s="10">
        <f>IF(Tank5!$C$23="No control",(SUMIF(Tank5!$B$32:$B$49,$J2086,Tank5!$C$32:$C$49)*Impacts!$F$12),0)</f>
        <v>0</v>
      </c>
      <c r="Q2086" s="10">
        <f>IFERROR(IF(('Loading-drum,tote'!$C$21)="No control",SUMIF(('Loading-drum,tote'!$B$31:$B$48),$J2086,('Loading-drum,tote'!$D$31:$D$48))*Impacts!$F$13,IF(('Loading-drum,tote'!$C$21)&lt;&gt;"No control",SUMIF(('Loading-drum,tote'!$B$31:$B$48),$J2086,('Loading-drum,tote'!$E$31:$E$48))*Impacts!$F$13,0)),0)</f>
        <v>0</v>
      </c>
      <c r="R2086" s="10">
        <f>IFERROR(IF(('Loading-truck'!$C$21)="No control",SUMIF(('Loading-truck'!$B$31:$B$48),$J2086,('Loading-truck'!$D$31:$D$48))*Impacts!$F$14,IF(('Loading-truck'!$C$21)&lt;&gt;"No control",SUMIF(('Loading-truck'!$B$31:$B$48),$J2086,('Loading-truck'!$E$31:$E$48))*Impacts!$F$14,0)),0)</f>
        <v>0</v>
      </c>
      <c r="S2086" s="10">
        <f>IFERROR(IF(('Loading-rail'!$C$21)="No control",SUMIF(('Loading-rail'!$B$31:$B$48),$J2086,('Loading-rail'!$D$31:$D$48))*Impacts!$F$15,IF(('Loading-rail'!$C$21)&lt;&gt;"No control",SUMIF(('Loading-rail'!$B$31:$B$48),$J2086,('Loading-rail'!$E$31:$E$48))*Impacts!$F$15,0)),0)</f>
        <v>0</v>
      </c>
      <c r="T2086" s="10">
        <f>IF(Flare!$C$7="",0,(SUMIF(Flare!$B$46:$B$185,$J2086,Flare!$E$46:$E$185)*Impacts!$F$16))</f>
        <v>0</v>
      </c>
      <c r="U2086" s="10">
        <f>IF(VCU!$C$9="",0,(SUMIF(VCU!$B$51:$B$193,$J2086,VCU!$E$51:$E$193)*Impacts!$F$17))</f>
        <v>0</v>
      </c>
      <c r="V2086" s="10">
        <f>IF(CAS!$C$7="",0,(SUMIF(CAS!$B$31:$B$167,$J2086,CAS!$E$31:$E$167)*Impacts!$F$18))</f>
        <v>0</v>
      </c>
      <c r="W2086" s="10">
        <f t="shared" si="73"/>
        <v>0</v>
      </c>
      <c r="AK2086" s="10" t="str">
        <f t="array" ref="AK2086">IFERROR(INDEX(SelectedSpecies,SMALL(IF(SelectedSpecies=AK$1,ROW(SelectedSpecies)),ROW(2087:2087)),2),"")</f>
        <v/>
      </c>
      <c r="BE2086" s="10"/>
      <c r="BI2086" s="10"/>
    </row>
    <row r="2087" spans="1:61" ht="21" customHeight="1" x14ac:dyDescent="0.25">
      <c r="A2087" s="10"/>
      <c r="B2087" s="10"/>
      <c r="E2087" s="10"/>
      <c r="G2087" s="10"/>
      <c r="I2087" s="436" t="s">
        <v>3467</v>
      </c>
      <c r="J2087" s="26" t="s">
        <v>3466</v>
      </c>
      <c r="K2087" s="10">
        <v>9.7000000000000011</v>
      </c>
      <c r="L2087" s="73">
        <f>IF(Tank1!$C$23="No control",(SUMIF(Tank1!$B$32:$B$49,$J2087,Tank1!$C$32:$C$49)*Impacts!$F$8),0)</f>
        <v>0</v>
      </c>
      <c r="M2087" s="10">
        <f>IF(Tank2!$C$23="No control",(SUMIF(Tank2!$B$32:$B$49,$J2087,Tank2!$C$32:$C$49)*Impacts!$F$9),0)</f>
        <v>0</v>
      </c>
      <c r="N2087" s="10">
        <f>IF(Tank3!$C$23="No control",(SUMIF(Tank3!$B$32:$B$49,$J2087,Tank3!$C$32:$C$49)*Impacts!$F$10),0)</f>
        <v>0</v>
      </c>
      <c r="O2087" s="10">
        <f>IF(Tank4!$C$23="No control",(SUMIF(Tank4!$B$32:$B$49,$J2087,Tank4!$C$32:$C$49)*Impacts!$F$11),0)</f>
        <v>0</v>
      </c>
      <c r="P2087" s="10">
        <f>IF(Tank5!$C$23="No control",(SUMIF(Tank5!$B$32:$B$49,$J2087,Tank5!$C$32:$C$49)*Impacts!$F$12),0)</f>
        <v>0</v>
      </c>
      <c r="Q2087" s="10">
        <f>IFERROR(IF(('Loading-drum,tote'!$C$21)="No control",SUMIF(('Loading-drum,tote'!$B$31:$B$48),$J2087,('Loading-drum,tote'!$D$31:$D$48))*Impacts!$F$13,IF(('Loading-drum,tote'!$C$21)&lt;&gt;"No control",SUMIF(('Loading-drum,tote'!$B$31:$B$48),$J2087,('Loading-drum,tote'!$E$31:$E$48))*Impacts!$F$13,0)),0)</f>
        <v>0</v>
      </c>
      <c r="R2087" s="10">
        <f>IFERROR(IF(('Loading-truck'!$C$21)="No control",SUMIF(('Loading-truck'!$B$31:$B$48),$J2087,('Loading-truck'!$D$31:$D$48))*Impacts!$F$14,IF(('Loading-truck'!$C$21)&lt;&gt;"No control",SUMIF(('Loading-truck'!$B$31:$B$48),$J2087,('Loading-truck'!$E$31:$E$48))*Impacts!$F$14,0)),0)</f>
        <v>0</v>
      </c>
      <c r="S2087" s="10">
        <f>IFERROR(IF(('Loading-rail'!$C$21)="No control",SUMIF(('Loading-rail'!$B$31:$B$48),$J2087,('Loading-rail'!$D$31:$D$48))*Impacts!$F$15,IF(('Loading-rail'!$C$21)&lt;&gt;"No control",SUMIF(('Loading-rail'!$B$31:$B$48),$J2087,('Loading-rail'!$E$31:$E$48))*Impacts!$F$15,0)),0)</f>
        <v>0</v>
      </c>
      <c r="T2087" s="10">
        <f>IF(Flare!$C$7="",0,(SUMIF(Flare!$B$46:$B$185,$J2087,Flare!$E$46:$E$185)*Impacts!$F$16))</f>
        <v>0</v>
      </c>
      <c r="U2087" s="10">
        <f>IF(VCU!$C$9="",0,(SUMIF(VCU!$B$51:$B$193,$J2087,VCU!$E$51:$E$193)*Impacts!$F$17))</f>
        <v>0</v>
      </c>
      <c r="V2087" s="10">
        <f>IF(CAS!$C$7="",0,(SUMIF(CAS!$B$31:$B$167,$J2087,CAS!$E$31:$E$167)*Impacts!$F$18))</f>
        <v>0</v>
      </c>
      <c r="W2087" s="10">
        <f t="shared" si="73"/>
        <v>0</v>
      </c>
      <c r="AK2087" s="10" t="str">
        <f t="array" ref="AK2087">IFERROR(INDEX(SelectedSpecies,SMALL(IF(SelectedSpecies=AK$1,ROW(SelectedSpecies)),ROW(2088:2088)),2),"")</f>
        <v/>
      </c>
      <c r="BE2087" s="10"/>
      <c r="BI2087" s="10"/>
    </row>
    <row r="2088" spans="1:61" ht="21" customHeight="1" x14ac:dyDescent="0.25">
      <c r="A2088" s="10"/>
      <c r="B2088" s="10"/>
      <c r="E2088" s="10"/>
      <c r="G2088" s="10"/>
      <c r="I2088" s="436" t="s">
        <v>8168</v>
      </c>
      <c r="J2088" s="26" t="s">
        <v>8167</v>
      </c>
      <c r="K2088" s="10">
        <v>6.3E-3</v>
      </c>
      <c r="L2088" s="73">
        <f>IF(Tank1!$C$23="No control",(SUMIF(Tank1!$B$32:$B$49,$J2088,Tank1!$C$32:$C$49)*Impacts!$F$8),0)</f>
        <v>0</v>
      </c>
      <c r="M2088" s="10">
        <f>IF(Tank2!$C$23="No control",(SUMIF(Tank2!$B$32:$B$49,$J2088,Tank2!$C$32:$C$49)*Impacts!$F$9),0)</f>
        <v>0</v>
      </c>
      <c r="N2088" s="10">
        <f>IF(Tank3!$C$23="No control",(SUMIF(Tank3!$B$32:$B$49,$J2088,Tank3!$C$32:$C$49)*Impacts!$F$10),0)</f>
        <v>0</v>
      </c>
      <c r="O2088" s="10">
        <f>IF(Tank4!$C$23="No control",(SUMIF(Tank4!$B$32:$B$49,$J2088,Tank4!$C$32:$C$49)*Impacts!$F$11),0)</f>
        <v>0</v>
      </c>
      <c r="P2088" s="10">
        <f>IF(Tank5!$C$23="No control",(SUMIF(Tank5!$B$32:$B$49,$J2088,Tank5!$C$32:$C$49)*Impacts!$F$12),0)</f>
        <v>0</v>
      </c>
      <c r="Q2088" s="10">
        <f>IFERROR(IF(('Loading-drum,tote'!$C$21)="No control",SUMIF(('Loading-drum,tote'!$B$31:$B$48),$J2088,('Loading-drum,tote'!$D$31:$D$48))*Impacts!$F$13,IF(('Loading-drum,tote'!$C$21)&lt;&gt;"No control",SUMIF(('Loading-drum,tote'!$B$31:$B$48),$J2088,('Loading-drum,tote'!$E$31:$E$48))*Impacts!$F$13,0)),0)</f>
        <v>0</v>
      </c>
      <c r="R2088" s="10">
        <f>IFERROR(IF(('Loading-truck'!$C$21)="No control",SUMIF(('Loading-truck'!$B$31:$B$48),$J2088,('Loading-truck'!$D$31:$D$48))*Impacts!$F$14,IF(('Loading-truck'!$C$21)&lt;&gt;"No control",SUMIF(('Loading-truck'!$B$31:$B$48),$J2088,('Loading-truck'!$E$31:$E$48))*Impacts!$F$14,0)),0)</f>
        <v>0</v>
      </c>
      <c r="S2088" s="10">
        <f>IFERROR(IF(('Loading-rail'!$C$21)="No control",SUMIF(('Loading-rail'!$B$31:$B$48),$J2088,('Loading-rail'!$D$31:$D$48))*Impacts!$F$15,IF(('Loading-rail'!$C$21)&lt;&gt;"No control",SUMIF(('Loading-rail'!$B$31:$B$48),$J2088,('Loading-rail'!$E$31:$E$48))*Impacts!$F$15,0)),0)</f>
        <v>0</v>
      </c>
      <c r="T2088" s="10">
        <f>IF(Flare!$C$7="",0,(SUMIF(Flare!$B$46:$B$185,$J2088,Flare!$E$46:$E$185)*Impacts!$F$16))</f>
        <v>0</v>
      </c>
      <c r="U2088" s="10">
        <f>IF(VCU!$C$9="",0,(SUMIF(VCU!$B$51:$B$193,$J2088,VCU!$E$51:$E$193)*Impacts!$F$17))</f>
        <v>0</v>
      </c>
      <c r="V2088" s="10">
        <f>IF(CAS!$C$7="",0,(SUMIF(CAS!$B$31:$B$167,$J2088,CAS!$E$31:$E$167)*Impacts!$F$18))</f>
        <v>0</v>
      </c>
      <c r="W2088" s="10">
        <f t="shared" si="73"/>
        <v>0</v>
      </c>
      <c r="AK2088" s="10" t="str">
        <f t="array" ref="AK2088">IFERROR(INDEX(SelectedSpecies,SMALL(IF(SelectedSpecies=AK$1,ROW(SelectedSpecies)),ROW(2089:2089)),2),"")</f>
        <v/>
      </c>
      <c r="BE2088" s="10"/>
      <c r="BI2088" s="10"/>
    </row>
    <row r="2089" spans="1:61" ht="21" customHeight="1" x14ac:dyDescent="0.25">
      <c r="A2089" s="10"/>
      <c r="B2089" s="10"/>
      <c r="E2089" s="10"/>
      <c r="G2089" s="10"/>
      <c r="I2089" s="436" t="s">
        <v>5960</v>
      </c>
      <c r="J2089" s="26" t="s">
        <v>5959</v>
      </c>
      <c r="K2089" s="10">
        <v>1</v>
      </c>
      <c r="L2089" s="73">
        <f>IF(Tank1!$C$23="No control",(SUMIF(Tank1!$B$32:$B$49,$J2089,Tank1!$C$32:$C$49)*Impacts!$F$8),0)</f>
        <v>0</v>
      </c>
      <c r="M2089" s="10">
        <f>IF(Tank2!$C$23="No control",(SUMIF(Tank2!$B$32:$B$49,$J2089,Tank2!$C$32:$C$49)*Impacts!$F$9),0)</f>
        <v>0</v>
      </c>
      <c r="N2089" s="10">
        <f>IF(Tank3!$C$23="No control",(SUMIF(Tank3!$B$32:$B$49,$J2089,Tank3!$C$32:$C$49)*Impacts!$F$10),0)</f>
        <v>0</v>
      </c>
      <c r="O2089" s="10">
        <f>IF(Tank4!$C$23="No control",(SUMIF(Tank4!$B$32:$B$49,$J2089,Tank4!$C$32:$C$49)*Impacts!$F$11),0)</f>
        <v>0</v>
      </c>
      <c r="P2089" s="10">
        <f>IF(Tank5!$C$23="No control",(SUMIF(Tank5!$B$32:$B$49,$J2089,Tank5!$C$32:$C$49)*Impacts!$F$12),0)</f>
        <v>0</v>
      </c>
      <c r="Q2089" s="10">
        <f>IFERROR(IF(('Loading-drum,tote'!$C$21)="No control",SUMIF(('Loading-drum,tote'!$B$31:$B$48),$J2089,('Loading-drum,tote'!$D$31:$D$48))*Impacts!$F$13,IF(('Loading-drum,tote'!$C$21)&lt;&gt;"No control",SUMIF(('Loading-drum,tote'!$B$31:$B$48),$J2089,('Loading-drum,tote'!$E$31:$E$48))*Impacts!$F$13,0)),0)</f>
        <v>0</v>
      </c>
      <c r="R2089" s="10">
        <f>IFERROR(IF(('Loading-truck'!$C$21)="No control",SUMIF(('Loading-truck'!$B$31:$B$48),$J2089,('Loading-truck'!$D$31:$D$48))*Impacts!$F$14,IF(('Loading-truck'!$C$21)&lt;&gt;"No control",SUMIF(('Loading-truck'!$B$31:$B$48),$J2089,('Loading-truck'!$E$31:$E$48))*Impacts!$F$14,0)),0)</f>
        <v>0</v>
      </c>
      <c r="S2089" s="10">
        <f>IFERROR(IF(('Loading-rail'!$C$21)="No control",SUMIF(('Loading-rail'!$B$31:$B$48),$J2089,('Loading-rail'!$D$31:$D$48))*Impacts!$F$15,IF(('Loading-rail'!$C$21)&lt;&gt;"No control",SUMIF(('Loading-rail'!$B$31:$B$48),$J2089,('Loading-rail'!$E$31:$E$48))*Impacts!$F$15,0)),0)</f>
        <v>0</v>
      </c>
      <c r="T2089" s="10">
        <f>IF(Flare!$C$7="",0,(SUMIF(Flare!$B$46:$B$185,$J2089,Flare!$E$46:$E$185)*Impacts!$F$16))</f>
        <v>0</v>
      </c>
      <c r="U2089" s="10">
        <f>IF(VCU!$C$9="",0,(SUMIF(VCU!$B$51:$B$193,$J2089,VCU!$E$51:$E$193)*Impacts!$F$17))</f>
        <v>0</v>
      </c>
      <c r="V2089" s="10">
        <f>IF(CAS!$C$7="",0,(SUMIF(CAS!$B$31:$B$167,$J2089,CAS!$E$31:$E$167)*Impacts!$F$18))</f>
        <v>0</v>
      </c>
      <c r="W2089" s="10">
        <f t="shared" si="73"/>
        <v>0</v>
      </c>
      <c r="AK2089" s="10" t="str">
        <f t="array" ref="AK2089">IFERROR(INDEX(SelectedSpecies,SMALL(IF(SelectedSpecies=AK$1,ROW(SelectedSpecies)),ROW(2090:2090)),2),"")</f>
        <v/>
      </c>
      <c r="BE2089" s="10"/>
      <c r="BI2089" s="10"/>
    </row>
    <row r="2090" spans="1:61" ht="21" customHeight="1" x14ac:dyDescent="0.25">
      <c r="A2090" s="10"/>
      <c r="B2090" s="10"/>
      <c r="E2090" s="10"/>
      <c r="G2090" s="10"/>
      <c r="I2090" s="436" t="s">
        <v>3625</v>
      </c>
      <c r="J2090" s="26" t="s">
        <v>3624</v>
      </c>
      <c r="K2090" s="10">
        <v>7.3000000000000007</v>
      </c>
      <c r="L2090" s="73">
        <f>IF(Tank1!$C$23="No control",(SUMIF(Tank1!$B$32:$B$49,$J2090,Tank1!$C$32:$C$49)*Impacts!$F$8),0)</f>
        <v>0</v>
      </c>
      <c r="M2090" s="10">
        <f>IF(Tank2!$C$23="No control",(SUMIF(Tank2!$B$32:$B$49,$J2090,Tank2!$C$32:$C$49)*Impacts!$F$9),0)</f>
        <v>0</v>
      </c>
      <c r="N2090" s="10">
        <f>IF(Tank3!$C$23="No control",(SUMIF(Tank3!$B$32:$B$49,$J2090,Tank3!$C$32:$C$49)*Impacts!$F$10),0)</f>
        <v>0</v>
      </c>
      <c r="O2090" s="10">
        <f>IF(Tank4!$C$23="No control",(SUMIF(Tank4!$B$32:$B$49,$J2090,Tank4!$C$32:$C$49)*Impacts!$F$11),0)</f>
        <v>0</v>
      </c>
      <c r="P2090" s="10">
        <f>IF(Tank5!$C$23="No control",(SUMIF(Tank5!$B$32:$B$49,$J2090,Tank5!$C$32:$C$49)*Impacts!$F$12),0)</f>
        <v>0</v>
      </c>
      <c r="Q2090" s="10">
        <f>IFERROR(IF(('Loading-drum,tote'!$C$21)="No control",SUMIF(('Loading-drum,tote'!$B$31:$B$48),$J2090,('Loading-drum,tote'!$D$31:$D$48))*Impacts!$F$13,IF(('Loading-drum,tote'!$C$21)&lt;&gt;"No control",SUMIF(('Loading-drum,tote'!$B$31:$B$48),$J2090,('Loading-drum,tote'!$E$31:$E$48))*Impacts!$F$13,0)),0)</f>
        <v>0</v>
      </c>
      <c r="R2090" s="10">
        <f>IFERROR(IF(('Loading-truck'!$C$21)="No control",SUMIF(('Loading-truck'!$B$31:$B$48),$J2090,('Loading-truck'!$D$31:$D$48))*Impacts!$F$14,IF(('Loading-truck'!$C$21)&lt;&gt;"No control",SUMIF(('Loading-truck'!$B$31:$B$48),$J2090,('Loading-truck'!$E$31:$E$48))*Impacts!$F$14,0)),0)</f>
        <v>0</v>
      </c>
      <c r="S2090" s="10">
        <f>IFERROR(IF(('Loading-rail'!$C$21)="No control",SUMIF(('Loading-rail'!$B$31:$B$48),$J2090,('Loading-rail'!$D$31:$D$48))*Impacts!$F$15,IF(('Loading-rail'!$C$21)&lt;&gt;"No control",SUMIF(('Loading-rail'!$B$31:$B$48),$J2090,('Loading-rail'!$E$31:$E$48))*Impacts!$F$15,0)),0)</f>
        <v>0</v>
      </c>
      <c r="T2090" s="10">
        <f>IF(Flare!$C$7="",0,(SUMIF(Flare!$B$46:$B$185,$J2090,Flare!$E$46:$E$185)*Impacts!$F$16))</f>
        <v>0</v>
      </c>
      <c r="U2090" s="10">
        <f>IF(VCU!$C$9="",0,(SUMIF(VCU!$B$51:$B$193,$J2090,VCU!$E$51:$E$193)*Impacts!$F$17))</f>
        <v>0</v>
      </c>
      <c r="V2090" s="10">
        <f>IF(CAS!$C$7="",0,(SUMIF(CAS!$B$31:$B$167,$J2090,CAS!$E$31:$E$167)*Impacts!$F$18))</f>
        <v>0</v>
      </c>
      <c r="W2090" s="10">
        <f t="shared" si="73"/>
        <v>0</v>
      </c>
      <c r="AK2090" s="10" t="str">
        <f t="array" ref="AK2090">IFERROR(INDEX(SelectedSpecies,SMALL(IF(SelectedSpecies=AK$1,ROW(SelectedSpecies)),ROW(2091:2091)),2),"")</f>
        <v/>
      </c>
      <c r="BE2090" s="10"/>
      <c r="BI2090" s="10"/>
    </row>
    <row r="2091" spans="1:61" ht="21" customHeight="1" x14ac:dyDescent="0.25">
      <c r="A2091" s="10"/>
      <c r="B2091" s="10"/>
      <c r="E2091" s="10"/>
      <c r="G2091" s="10"/>
      <c r="I2091" s="436" t="s">
        <v>830</v>
      </c>
      <c r="J2091" s="26" t="s">
        <v>829</v>
      </c>
      <c r="K2091" s="10">
        <v>48</v>
      </c>
      <c r="L2091" s="73">
        <f>IF(Tank1!$C$23="No control",(SUMIF(Tank1!$B$32:$B$49,$J2091,Tank1!$C$32:$C$49)*Impacts!$F$8),0)</f>
        <v>0</v>
      </c>
      <c r="M2091" s="10">
        <f>IF(Tank2!$C$23="No control",(SUMIF(Tank2!$B$32:$B$49,$J2091,Tank2!$C$32:$C$49)*Impacts!$F$9),0)</f>
        <v>0</v>
      </c>
      <c r="N2091" s="10">
        <f>IF(Tank3!$C$23="No control",(SUMIF(Tank3!$B$32:$B$49,$J2091,Tank3!$C$32:$C$49)*Impacts!$F$10),0)</f>
        <v>0</v>
      </c>
      <c r="O2091" s="10">
        <f>IF(Tank4!$C$23="No control",(SUMIF(Tank4!$B$32:$B$49,$J2091,Tank4!$C$32:$C$49)*Impacts!$F$11),0)</f>
        <v>0</v>
      </c>
      <c r="P2091" s="10">
        <f>IF(Tank5!$C$23="No control",(SUMIF(Tank5!$B$32:$B$49,$J2091,Tank5!$C$32:$C$49)*Impacts!$F$12),0)</f>
        <v>0</v>
      </c>
      <c r="Q2091" s="10">
        <f>IFERROR(IF(('Loading-drum,tote'!$C$21)="No control",SUMIF(('Loading-drum,tote'!$B$31:$B$48),$J2091,('Loading-drum,tote'!$D$31:$D$48))*Impacts!$F$13,IF(('Loading-drum,tote'!$C$21)&lt;&gt;"No control",SUMIF(('Loading-drum,tote'!$B$31:$B$48),$J2091,('Loading-drum,tote'!$E$31:$E$48))*Impacts!$F$13,0)),0)</f>
        <v>0</v>
      </c>
      <c r="R2091" s="10">
        <f>IFERROR(IF(('Loading-truck'!$C$21)="No control",SUMIF(('Loading-truck'!$B$31:$B$48),$J2091,('Loading-truck'!$D$31:$D$48))*Impacts!$F$14,IF(('Loading-truck'!$C$21)&lt;&gt;"No control",SUMIF(('Loading-truck'!$B$31:$B$48),$J2091,('Loading-truck'!$E$31:$E$48))*Impacts!$F$14,0)),0)</f>
        <v>0</v>
      </c>
      <c r="S2091" s="10">
        <f>IFERROR(IF(('Loading-rail'!$C$21)="No control",SUMIF(('Loading-rail'!$B$31:$B$48),$J2091,('Loading-rail'!$D$31:$D$48))*Impacts!$F$15,IF(('Loading-rail'!$C$21)&lt;&gt;"No control",SUMIF(('Loading-rail'!$B$31:$B$48),$J2091,('Loading-rail'!$E$31:$E$48))*Impacts!$F$15,0)),0)</f>
        <v>0</v>
      </c>
      <c r="T2091" s="10">
        <f>IF(Flare!$C$7="",0,(SUMIF(Flare!$B$46:$B$185,$J2091,Flare!$E$46:$E$185)*Impacts!$F$16))</f>
        <v>0</v>
      </c>
      <c r="U2091" s="10">
        <f>IF(VCU!$C$9="",0,(SUMIF(VCU!$B$51:$B$193,$J2091,VCU!$E$51:$E$193)*Impacts!$F$17))</f>
        <v>0</v>
      </c>
      <c r="V2091" s="10">
        <f>IF(CAS!$C$7="",0,(SUMIF(CAS!$B$31:$B$167,$J2091,CAS!$E$31:$E$167)*Impacts!$F$18))</f>
        <v>0</v>
      </c>
      <c r="W2091" s="10">
        <f t="shared" si="73"/>
        <v>0</v>
      </c>
      <c r="AK2091" s="10" t="str">
        <f t="array" ref="AK2091">IFERROR(INDEX(SelectedSpecies,SMALL(IF(SelectedSpecies=AK$1,ROW(SelectedSpecies)),ROW(2092:2092)),2),"")</f>
        <v/>
      </c>
      <c r="BE2091" s="10"/>
      <c r="BI2091" s="10"/>
    </row>
    <row r="2092" spans="1:61" ht="21" customHeight="1" x14ac:dyDescent="0.25">
      <c r="A2092" s="10"/>
      <c r="B2092" s="10"/>
      <c r="E2092" s="10"/>
      <c r="G2092" s="10"/>
      <c r="I2092" s="436" t="s">
        <v>2379</v>
      </c>
      <c r="J2092" s="26" t="s">
        <v>2378</v>
      </c>
      <c r="K2092" s="10">
        <v>10.3</v>
      </c>
      <c r="L2092" s="73">
        <f>IF(Tank1!$C$23="No control",(SUMIF(Tank1!$B$32:$B$49,$J2092,Tank1!$C$32:$C$49)*Impacts!$F$8),0)</f>
        <v>0</v>
      </c>
      <c r="M2092" s="10">
        <f>IF(Tank2!$C$23="No control",(SUMIF(Tank2!$B$32:$B$49,$J2092,Tank2!$C$32:$C$49)*Impacts!$F$9),0)</f>
        <v>0</v>
      </c>
      <c r="N2092" s="10">
        <f>IF(Tank3!$C$23="No control",(SUMIF(Tank3!$B$32:$B$49,$J2092,Tank3!$C$32:$C$49)*Impacts!$F$10),0)</f>
        <v>0</v>
      </c>
      <c r="O2092" s="10">
        <f>IF(Tank4!$C$23="No control",(SUMIF(Tank4!$B$32:$B$49,$J2092,Tank4!$C$32:$C$49)*Impacts!$F$11),0)</f>
        <v>0</v>
      </c>
      <c r="P2092" s="10">
        <f>IF(Tank5!$C$23="No control",(SUMIF(Tank5!$B$32:$B$49,$J2092,Tank5!$C$32:$C$49)*Impacts!$F$12),0)</f>
        <v>0</v>
      </c>
      <c r="Q2092" s="10">
        <f>IFERROR(IF(('Loading-drum,tote'!$C$21)="No control",SUMIF(('Loading-drum,tote'!$B$31:$B$48),$J2092,('Loading-drum,tote'!$D$31:$D$48))*Impacts!$F$13,IF(('Loading-drum,tote'!$C$21)&lt;&gt;"No control",SUMIF(('Loading-drum,tote'!$B$31:$B$48),$J2092,('Loading-drum,tote'!$E$31:$E$48))*Impacts!$F$13,0)),0)</f>
        <v>0</v>
      </c>
      <c r="R2092" s="10">
        <f>IFERROR(IF(('Loading-truck'!$C$21)="No control",SUMIF(('Loading-truck'!$B$31:$B$48),$J2092,('Loading-truck'!$D$31:$D$48))*Impacts!$F$14,IF(('Loading-truck'!$C$21)&lt;&gt;"No control",SUMIF(('Loading-truck'!$B$31:$B$48),$J2092,('Loading-truck'!$E$31:$E$48))*Impacts!$F$14,0)),0)</f>
        <v>0</v>
      </c>
      <c r="S2092" s="10">
        <f>IFERROR(IF(('Loading-rail'!$C$21)="No control",SUMIF(('Loading-rail'!$B$31:$B$48),$J2092,('Loading-rail'!$D$31:$D$48))*Impacts!$F$15,IF(('Loading-rail'!$C$21)&lt;&gt;"No control",SUMIF(('Loading-rail'!$B$31:$B$48),$J2092,('Loading-rail'!$E$31:$E$48))*Impacts!$F$15,0)),0)</f>
        <v>0</v>
      </c>
      <c r="T2092" s="10">
        <f>IF(Flare!$C$7="",0,(SUMIF(Flare!$B$46:$B$185,$J2092,Flare!$E$46:$E$185)*Impacts!$F$16))</f>
        <v>0</v>
      </c>
      <c r="U2092" s="10">
        <f>IF(VCU!$C$9="",0,(SUMIF(VCU!$B$51:$B$193,$J2092,VCU!$E$51:$E$193)*Impacts!$F$17))</f>
        <v>0</v>
      </c>
      <c r="V2092" s="10">
        <f>IF(CAS!$C$7="",0,(SUMIF(CAS!$B$31:$B$167,$J2092,CAS!$E$31:$E$167)*Impacts!$F$18))</f>
        <v>0</v>
      </c>
      <c r="W2092" s="10">
        <f t="shared" si="73"/>
        <v>0</v>
      </c>
      <c r="AK2092" s="10" t="str">
        <f t="array" ref="AK2092">IFERROR(INDEX(SelectedSpecies,SMALL(IF(SelectedSpecies=AK$1,ROW(SelectedSpecies)),ROW(2093:2093)),2),"")</f>
        <v/>
      </c>
      <c r="BE2092" s="10"/>
      <c r="BI2092" s="10"/>
    </row>
    <row r="2093" spans="1:61" ht="21" customHeight="1" x14ac:dyDescent="0.25">
      <c r="A2093" s="10"/>
      <c r="B2093" s="10"/>
      <c r="E2093" s="10"/>
      <c r="G2093" s="10"/>
      <c r="I2093" s="436" t="s">
        <v>7152</v>
      </c>
      <c r="J2093" s="26" t="s">
        <v>7151</v>
      </c>
      <c r="K2093" s="10">
        <v>0.34</v>
      </c>
      <c r="L2093" s="73">
        <f>IF(Tank1!$C$23="No control",(SUMIF(Tank1!$B$32:$B$49,$J2093,Tank1!$C$32:$C$49)*Impacts!$F$8),0)</f>
        <v>0</v>
      </c>
      <c r="M2093" s="10">
        <f>IF(Tank2!$C$23="No control",(SUMIF(Tank2!$B$32:$B$49,$J2093,Tank2!$C$32:$C$49)*Impacts!$F$9),0)</f>
        <v>0</v>
      </c>
      <c r="N2093" s="10">
        <f>IF(Tank3!$C$23="No control",(SUMIF(Tank3!$B$32:$B$49,$J2093,Tank3!$C$32:$C$49)*Impacts!$F$10),0)</f>
        <v>0</v>
      </c>
      <c r="O2093" s="10">
        <f>IF(Tank4!$C$23="No control",(SUMIF(Tank4!$B$32:$B$49,$J2093,Tank4!$C$32:$C$49)*Impacts!$F$11),0)</f>
        <v>0</v>
      </c>
      <c r="P2093" s="10">
        <f>IF(Tank5!$C$23="No control",(SUMIF(Tank5!$B$32:$B$49,$J2093,Tank5!$C$32:$C$49)*Impacts!$F$12),0)</f>
        <v>0</v>
      </c>
      <c r="Q2093" s="10">
        <f>IFERROR(IF(('Loading-drum,tote'!$C$21)="No control",SUMIF(('Loading-drum,tote'!$B$31:$B$48),$J2093,('Loading-drum,tote'!$D$31:$D$48))*Impacts!$F$13,IF(('Loading-drum,tote'!$C$21)&lt;&gt;"No control",SUMIF(('Loading-drum,tote'!$B$31:$B$48),$J2093,('Loading-drum,tote'!$E$31:$E$48))*Impacts!$F$13,0)),0)</f>
        <v>0</v>
      </c>
      <c r="R2093" s="10">
        <f>IFERROR(IF(('Loading-truck'!$C$21)="No control",SUMIF(('Loading-truck'!$B$31:$B$48),$J2093,('Loading-truck'!$D$31:$D$48))*Impacts!$F$14,IF(('Loading-truck'!$C$21)&lt;&gt;"No control",SUMIF(('Loading-truck'!$B$31:$B$48),$J2093,('Loading-truck'!$E$31:$E$48))*Impacts!$F$14,0)),0)</f>
        <v>0</v>
      </c>
      <c r="S2093" s="10">
        <f>IFERROR(IF(('Loading-rail'!$C$21)="No control",SUMIF(('Loading-rail'!$B$31:$B$48),$J2093,('Loading-rail'!$D$31:$D$48))*Impacts!$F$15,IF(('Loading-rail'!$C$21)&lt;&gt;"No control",SUMIF(('Loading-rail'!$B$31:$B$48),$J2093,('Loading-rail'!$E$31:$E$48))*Impacts!$F$15,0)),0)</f>
        <v>0</v>
      </c>
      <c r="T2093" s="10">
        <f>IF(Flare!$C$7="",0,(SUMIF(Flare!$B$46:$B$185,$J2093,Flare!$E$46:$E$185)*Impacts!$F$16))</f>
        <v>0</v>
      </c>
      <c r="U2093" s="10">
        <f>IF(VCU!$C$9="",0,(SUMIF(VCU!$B$51:$B$193,$J2093,VCU!$E$51:$E$193)*Impacts!$F$17))</f>
        <v>0</v>
      </c>
      <c r="V2093" s="10">
        <f>IF(CAS!$C$7="",0,(SUMIF(CAS!$B$31:$B$167,$J2093,CAS!$E$31:$E$167)*Impacts!$F$18))</f>
        <v>0</v>
      </c>
      <c r="W2093" s="10">
        <f t="shared" si="73"/>
        <v>0</v>
      </c>
      <c r="AK2093" s="10" t="str">
        <f t="array" ref="AK2093">IFERROR(INDEX(SelectedSpecies,SMALL(IF(SelectedSpecies=AK$1,ROW(SelectedSpecies)),ROW(2094:2094)),2),"")</f>
        <v/>
      </c>
      <c r="BE2093" s="10"/>
      <c r="BI2093" s="10"/>
    </row>
    <row r="2094" spans="1:61" ht="21" customHeight="1" x14ac:dyDescent="0.25">
      <c r="A2094" s="10"/>
      <c r="B2094" s="10"/>
      <c r="E2094" s="10"/>
      <c r="G2094" s="10"/>
      <c r="I2094" s="436" t="s">
        <v>4563</v>
      </c>
      <c r="J2094" s="26" t="s">
        <v>4562</v>
      </c>
      <c r="K2094" s="10">
        <v>4</v>
      </c>
      <c r="L2094" s="73">
        <f>IF(Tank1!$C$23="No control",(SUMIF(Tank1!$B$32:$B$49,$J2094,Tank1!$C$32:$C$49)*Impacts!$F$8),0)</f>
        <v>0</v>
      </c>
      <c r="M2094" s="10">
        <f>IF(Tank2!$C$23="No control",(SUMIF(Tank2!$B$32:$B$49,$J2094,Tank2!$C$32:$C$49)*Impacts!$F$9),0)</f>
        <v>0</v>
      </c>
      <c r="N2094" s="10">
        <f>IF(Tank3!$C$23="No control",(SUMIF(Tank3!$B$32:$B$49,$J2094,Tank3!$C$32:$C$49)*Impacts!$F$10),0)</f>
        <v>0</v>
      </c>
      <c r="O2094" s="10">
        <f>IF(Tank4!$C$23="No control",(SUMIF(Tank4!$B$32:$B$49,$J2094,Tank4!$C$32:$C$49)*Impacts!$F$11),0)</f>
        <v>0</v>
      </c>
      <c r="P2094" s="10">
        <f>IF(Tank5!$C$23="No control",(SUMIF(Tank5!$B$32:$B$49,$J2094,Tank5!$C$32:$C$49)*Impacts!$F$12),0)</f>
        <v>0</v>
      </c>
      <c r="Q2094" s="10">
        <f>IFERROR(IF(('Loading-drum,tote'!$C$21)="No control",SUMIF(('Loading-drum,tote'!$B$31:$B$48),$J2094,('Loading-drum,tote'!$D$31:$D$48))*Impacts!$F$13,IF(('Loading-drum,tote'!$C$21)&lt;&gt;"No control",SUMIF(('Loading-drum,tote'!$B$31:$B$48),$J2094,('Loading-drum,tote'!$E$31:$E$48))*Impacts!$F$13,0)),0)</f>
        <v>0</v>
      </c>
      <c r="R2094" s="10">
        <f>IFERROR(IF(('Loading-truck'!$C$21)="No control",SUMIF(('Loading-truck'!$B$31:$B$48),$J2094,('Loading-truck'!$D$31:$D$48))*Impacts!$F$14,IF(('Loading-truck'!$C$21)&lt;&gt;"No control",SUMIF(('Loading-truck'!$B$31:$B$48),$J2094,('Loading-truck'!$E$31:$E$48))*Impacts!$F$14,0)),0)</f>
        <v>0</v>
      </c>
      <c r="S2094" s="10">
        <f>IFERROR(IF(('Loading-rail'!$C$21)="No control",SUMIF(('Loading-rail'!$B$31:$B$48),$J2094,('Loading-rail'!$D$31:$D$48))*Impacts!$F$15,IF(('Loading-rail'!$C$21)&lt;&gt;"No control",SUMIF(('Loading-rail'!$B$31:$B$48),$J2094,('Loading-rail'!$E$31:$E$48))*Impacts!$F$15,0)),0)</f>
        <v>0</v>
      </c>
      <c r="T2094" s="10">
        <f>IF(Flare!$C$7="",0,(SUMIF(Flare!$B$46:$B$185,$J2094,Flare!$E$46:$E$185)*Impacts!$F$16))</f>
        <v>0</v>
      </c>
      <c r="U2094" s="10">
        <f>IF(VCU!$C$9="",0,(SUMIF(VCU!$B$51:$B$193,$J2094,VCU!$E$51:$E$193)*Impacts!$F$17))</f>
        <v>0</v>
      </c>
      <c r="V2094" s="10">
        <f>IF(CAS!$C$7="",0,(SUMIF(CAS!$B$31:$B$167,$J2094,CAS!$E$31:$E$167)*Impacts!$F$18))</f>
        <v>0</v>
      </c>
      <c r="W2094" s="10">
        <f t="shared" si="73"/>
        <v>0</v>
      </c>
      <c r="AK2094" s="10" t="str">
        <f t="array" ref="AK2094">IFERROR(INDEX(SelectedSpecies,SMALL(IF(SelectedSpecies=AK$1,ROW(SelectedSpecies)),ROW(2095:2095)),2),"")</f>
        <v/>
      </c>
      <c r="BE2094" s="10"/>
      <c r="BI2094" s="10"/>
    </row>
    <row r="2095" spans="1:61" ht="21" customHeight="1" x14ac:dyDescent="0.25">
      <c r="A2095" s="10"/>
      <c r="B2095" s="10"/>
      <c r="E2095" s="10"/>
      <c r="G2095" s="10"/>
      <c r="I2095" s="436" t="s">
        <v>7584</v>
      </c>
      <c r="J2095" s="26" t="s">
        <v>7583</v>
      </c>
      <c r="K2095" s="10">
        <v>0.18000000000000002</v>
      </c>
      <c r="L2095" s="73">
        <f>IF(Tank1!$C$23="No control",(SUMIF(Tank1!$B$32:$B$49,$J2095,Tank1!$C$32:$C$49)*Impacts!$F$8),0)</f>
        <v>0</v>
      </c>
      <c r="M2095" s="10">
        <f>IF(Tank2!$C$23="No control",(SUMIF(Tank2!$B$32:$B$49,$J2095,Tank2!$C$32:$C$49)*Impacts!$F$9),0)</f>
        <v>0</v>
      </c>
      <c r="N2095" s="10">
        <f>IF(Tank3!$C$23="No control",(SUMIF(Tank3!$B$32:$B$49,$J2095,Tank3!$C$32:$C$49)*Impacts!$F$10),0)</f>
        <v>0</v>
      </c>
      <c r="O2095" s="10">
        <f>IF(Tank4!$C$23="No control",(SUMIF(Tank4!$B$32:$B$49,$J2095,Tank4!$C$32:$C$49)*Impacts!$F$11),0)</f>
        <v>0</v>
      </c>
      <c r="P2095" s="10">
        <f>IF(Tank5!$C$23="No control",(SUMIF(Tank5!$B$32:$B$49,$J2095,Tank5!$C$32:$C$49)*Impacts!$F$12),0)</f>
        <v>0</v>
      </c>
      <c r="Q2095" s="10">
        <f>IFERROR(IF(('Loading-drum,tote'!$C$21)="No control",SUMIF(('Loading-drum,tote'!$B$31:$B$48),$J2095,('Loading-drum,tote'!$D$31:$D$48))*Impacts!$F$13,IF(('Loading-drum,tote'!$C$21)&lt;&gt;"No control",SUMIF(('Loading-drum,tote'!$B$31:$B$48),$J2095,('Loading-drum,tote'!$E$31:$E$48))*Impacts!$F$13,0)),0)</f>
        <v>0</v>
      </c>
      <c r="R2095" s="10">
        <f>IFERROR(IF(('Loading-truck'!$C$21)="No control",SUMIF(('Loading-truck'!$B$31:$B$48),$J2095,('Loading-truck'!$D$31:$D$48))*Impacts!$F$14,IF(('Loading-truck'!$C$21)&lt;&gt;"No control",SUMIF(('Loading-truck'!$B$31:$B$48),$J2095,('Loading-truck'!$E$31:$E$48))*Impacts!$F$14,0)),0)</f>
        <v>0</v>
      </c>
      <c r="S2095" s="10">
        <f>IFERROR(IF(('Loading-rail'!$C$21)="No control",SUMIF(('Loading-rail'!$B$31:$B$48),$J2095,('Loading-rail'!$D$31:$D$48))*Impacts!$F$15,IF(('Loading-rail'!$C$21)&lt;&gt;"No control",SUMIF(('Loading-rail'!$B$31:$B$48),$J2095,('Loading-rail'!$E$31:$E$48))*Impacts!$F$15,0)),0)</f>
        <v>0</v>
      </c>
      <c r="T2095" s="10">
        <f>IF(Flare!$C$7="",0,(SUMIF(Flare!$B$46:$B$185,$J2095,Flare!$E$46:$E$185)*Impacts!$F$16))</f>
        <v>0</v>
      </c>
      <c r="U2095" s="10">
        <f>IF(VCU!$C$9="",0,(SUMIF(VCU!$B$51:$B$193,$J2095,VCU!$E$51:$E$193)*Impacts!$F$17))</f>
        <v>0</v>
      </c>
      <c r="V2095" s="10">
        <f>IF(CAS!$C$7="",0,(SUMIF(CAS!$B$31:$B$167,$J2095,CAS!$E$31:$E$167)*Impacts!$F$18))</f>
        <v>0</v>
      </c>
      <c r="W2095" s="10">
        <f t="shared" si="73"/>
        <v>0</v>
      </c>
      <c r="AK2095" s="10" t="str">
        <f t="array" ref="AK2095">IFERROR(INDEX(SelectedSpecies,SMALL(IF(SelectedSpecies=AK$1,ROW(SelectedSpecies)),ROW(2096:2096)),2),"")</f>
        <v/>
      </c>
      <c r="BE2095" s="10"/>
      <c r="BI2095" s="10"/>
    </row>
    <row r="2096" spans="1:61" ht="21" customHeight="1" x14ac:dyDescent="0.25">
      <c r="A2096" s="10"/>
      <c r="B2096" s="10"/>
      <c r="E2096" s="10"/>
      <c r="G2096" s="10"/>
      <c r="I2096" s="436" t="s">
        <v>7586</v>
      </c>
      <c r="J2096" s="26" t="s">
        <v>7585</v>
      </c>
      <c r="K2096" s="10">
        <v>0.18000000000000002</v>
      </c>
      <c r="L2096" s="73">
        <f>IF(Tank1!$C$23="No control",(SUMIF(Tank1!$B$32:$B$49,$J2096,Tank1!$C$32:$C$49)*Impacts!$F$8),0)</f>
        <v>0</v>
      </c>
      <c r="M2096" s="10">
        <f>IF(Tank2!$C$23="No control",(SUMIF(Tank2!$B$32:$B$49,$J2096,Tank2!$C$32:$C$49)*Impacts!$F$9),0)</f>
        <v>0</v>
      </c>
      <c r="N2096" s="10">
        <f>IF(Tank3!$C$23="No control",(SUMIF(Tank3!$B$32:$B$49,$J2096,Tank3!$C$32:$C$49)*Impacts!$F$10),0)</f>
        <v>0</v>
      </c>
      <c r="O2096" s="10">
        <f>IF(Tank4!$C$23="No control",(SUMIF(Tank4!$B$32:$B$49,$J2096,Tank4!$C$32:$C$49)*Impacts!$F$11),0)</f>
        <v>0</v>
      </c>
      <c r="P2096" s="10">
        <f>IF(Tank5!$C$23="No control",(SUMIF(Tank5!$B$32:$B$49,$J2096,Tank5!$C$32:$C$49)*Impacts!$F$12),0)</f>
        <v>0</v>
      </c>
      <c r="Q2096" s="10">
        <f>IFERROR(IF(('Loading-drum,tote'!$C$21)="No control",SUMIF(('Loading-drum,tote'!$B$31:$B$48),$J2096,('Loading-drum,tote'!$D$31:$D$48))*Impacts!$F$13,IF(('Loading-drum,tote'!$C$21)&lt;&gt;"No control",SUMIF(('Loading-drum,tote'!$B$31:$B$48),$J2096,('Loading-drum,tote'!$E$31:$E$48))*Impacts!$F$13,0)),0)</f>
        <v>0</v>
      </c>
      <c r="R2096" s="10">
        <f>IFERROR(IF(('Loading-truck'!$C$21)="No control",SUMIF(('Loading-truck'!$B$31:$B$48),$J2096,('Loading-truck'!$D$31:$D$48))*Impacts!$F$14,IF(('Loading-truck'!$C$21)&lt;&gt;"No control",SUMIF(('Loading-truck'!$B$31:$B$48),$J2096,('Loading-truck'!$E$31:$E$48))*Impacts!$F$14,0)),0)</f>
        <v>0</v>
      </c>
      <c r="S2096" s="10">
        <f>IFERROR(IF(('Loading-rail'!$C$21)="No control",SUMIF(('Loading-rail'!$B$31:$B$48),$J2096,('Loading-rail'!$D$31:$D$48))*Impacts!$F$15,IF(('Loading-rail'!$C$21)&lt;&gt;"No control",SUMIF(('Loading-rail'!$B$31:$B$48),$J2096,('Loading-rail'!$E$31:$E$48))*Impacts!$F$15,0)),0)</f>
        <v>0</v>
      </c>
      <c r="T2096" s="10">
        <f>IF(Flare!$C$7="",0,(SUMIF(Flare!$B$46:$B$185,$J2096,Flare!$E$46:$E$185)*Impacts!$F$16))</f>
        <v>0</v>
      </c>
      <c r="U2096" s="10">
        <f>IF(VCU!$C$9="",0,(SUMIF(VCU!$B$51:$B$193,$J2096,VCU!$E$51:$E$193)*Impacts!$F$17))</f>
        <v>0</v>
      </c>
      <c r="V2096" s="10">
        <f>IF(CAS!$C$7="",0,(SUMIF(CAS!$B$31:$B$167,$J2096,CAS!$E$31:$E$167)*Impacts!$F$18))</f>
        <v>0</v>
      </c>
      <c r="W2096" s="10">
        <f t="shared" si="73"/>
        <v>0</v>
      </c>
      <c r="AK2096" s="10" t="str">
        <f t="array" ref="AK2096">IFERROR(INDEX(SelectedSpecies,SMALL(IF(SelectedSpecies=AK$1,ROW(SelectedSpecies)),ROW(2097:2097)),2),"")</f>
        <v/>
      </c>
      <c r="BE2096" s="10"/>
      <c r="BI2096" s="10"/>
    </row>
    <row r="2097" spans="1:61" ht="21" customHeight="1" x14ac:dyDescent="0.25">
      <c r="A2097" s="10"/>
      <c r="B2097" s="10"/>
      <c r="E2097" s="10"/>
      <c r="G2097" s="10"/>
      <c r="I2097" s="436" t="s">
        <v>7098</v>
      </c>
      <c r="J2097" s="26" t="s">
        <v>7097</v>
      </c>
      <c r="K2097" s="10">
        <v>0.4</v>
      </c>
      <c r="L2097" s="73">
        <f>IF(Tank1!$C$23="No control",(SUMIF(Tank1!$B$32:$B$49,$J2097,Tank1!$C$32:$C$49)*Impacts!$F$8),0)</f>
        <v>0</v>
      </c>
      <c r="M2097" s="10">
        <f>IF(Tank2!$C$23="No control",(SUMIF(Tank2!$B$32:$B$49,$J2097,Tank2!$C$32:$C$49)*Impacts!$F$9),0)</f>
        <v>0</v>
      </c>
      <c r="N2097" s="10">
        <f>IF(Tank3!$C$23="No control",(SUMIF(Tank3!$B$32:$B$49,$J2097,Tank3!$C$32:$C$49)*Impacts!$F$10),0)</f>
        <v>0</v>
      </c>
      <c r="O2097" s="10">
        <f>IF(Tank4!$C$23="No control",(SUMIF(Tank4!$B$32:$B$49,$J2097,Tank4!$C$32:$C$49)*Impacts!$F$11),0)</f>
        <v>0</v>
      </c>
      <c r="P2097" s="10">
        <f>IF(Tank5!$C$23="No control",(SUMIF(Tank5!$B$32:$B$49,$J2097,Tank5!$C$32:$C$49)*Impacts!$F$12),0)</f>
        <v>0</v>
      </c>
      <c r="Q2097" s="10">
        <f>IFERROR(IF(('Loading-drum,tote'!$C$21)="No control",SUMIF(('Loading-drum,tote'!$B$31:$B$48),$J2097,('Loading-drum,tote'!$D$31:$D$48))*Impacts!$F$13,IF(('Loading-drum,tote'!$C$21)&lt;&gt;"No control",SUMIF(('Loading-drum,tote'!$B$31:$B$48),$J2097,('Loading-drum,tote'!$E$31:$E$48))*Impacts!$F$13,0)),0)</f>
        <v>0</v>
      </c>
      <c r="R2097" s="10">
        <f>IFERROR(IF(('Loading-truck'!$C$21)="No control",SUMIF(('Loading-truck'!$B$31:$B$48),$J2097,('Loading-truck'!$D$31:$D$48))*Impacts!$F$14,IF(('Loading-truck'!$C$21)&lt;&gt;"No control",SUMIF(('Loading-truck'!$B$31:$B$48),$J2097,('Loading-truck'!$E$31:$E$48))*Impacts!$F$14,0)),0)</f>
        <v>0</v>
      </c>
      <c r="S2097" s="10">
        <f>IFERROR(IF(('Loading-rail'!$C$21)="No control",SUMIF(('Loading-rail'!$B$31:$B$48),$J2097,('Loading-rail'!$D$31:$D$48))*Impacts!$F$15,IF(('Loading-rail'!$C$21)&lt;&gt;"No control",SUMIF(('Loading-rail'!$B$31:$B$48),$J2097,('Loading-rail'!$E$31:$E$48))*Impacts!$F$15,0)),0)</f>
        <v>0</v>
      </c>
      <c r="T2097" s="10">
        <f>IF(Flare!$C$7="",0,(SUMIF(Flare!$B$46:$B$185,$J2097,Flare!$E$46:$E$185)*Impacts!$F$16))</f>
        <v>0</v>
      </c>
      <c r="U2097" s="10">
        <f>IF(VCU!$C$9="",0,(SUMIF(VCU!$B$51:$B$193,$J2097,VCU!$E$51:$E$193)*Impacts!$F$17))</f>
        <v>0</v>
      </c>
      <c r="V2097" s="10">
        <f>IF(CAS!$C$7="",0,(SUMIF(CAS!$B$31:$B$167,$J2097,CAS!$E$31:$E$167)*Impacts!$F$18))</f>
        <v>0</v>
      </c>
      <c r="W2097" s="10">
        <f t="shared" si="73"/>
        <v>0</v>
      </c>
      <c r="AK2097" s="10" t="str">
        <f t="array" ref="AK2097">IFERROR(INDEX(SelectedSpecies,SMALL(IF(SelectedSpecies=AK$1,ROW(SelectedSpecies)),ROW(2098:2098)),2),"")</f>
        <v/>
      </c>
      <c r="BE2097" s="10"/>
      <c r="BI2097" s="10"/>
    </row>
    <row r="2098" spans="1:61" ht="21" customHeight="1" x14ac:dyDescent="0.25">
      <c r="A2098" s="10"/>
      <c r="B2098" s="10"/>
      <c r="E2098" s="10"/>
      <c r="G2098" s="10"/>
      <c r="I2098" s="436" t="s">
        <v>2207</v>
      </c>
      <c r="J2098" s="26" t="s">
        <v>2206</v>
      </c>
      <c r="K2098" s="10">
        <v>14</v>
      </c>
      <c r="L2098" s="73">
        <f>IF(Tank1!$C$23="No control",(SUMIF(Tank1!$B$32:$B$49,$J2098,Tank1!$C$32:$C$49)*Impacts!$F$8),0)</f>
        <v>0</v>
      </c>
      <c r="M2098" s="10">
        <f>IF(Tank2!$C$23="No control",(SUMIF(Tank2!$B$32:$B$49,$J2098,Tank2!$C$32:$C$49)*Impacts!$F$9),0)</f>
        <v>0</v>
      </c>
      <c r="N2098" s="10">
        <f>IF(Tank3!$C$23="No control",(SUMIF(Tank3!$B$32:$B$49,$J2098,Tank3!$C$32:$C$49)*Impacts!$F$10),0)</f>
        <v>0</v>
      </c>
      <c r="O2098" s="10">
        <f>IF(Tank4!$C$23="No control",(SUMIF(Tank4!$B$32:$B$49,$J2098,Tank4!$C$32:$C$49)*Impacts!$F$11),0)</f>
        <v>0</v>
      </c>
      <c r="P2098" s="10">
        <f>IF(Tank5!$C$23="No control",(SUMIF(Tank5!$B$32:$B$49,$J2098,Tank5!$C$32:$C$49)*Impacts!$F$12),0)</f>
        <v>0</v>
      </c>
      <c r="Q2098" s="10">
        <f>IFERROR(IF(('Loading-drum,tote'!$C$21)="No control",SUMIF(('Loading-drum,tote'!$B$31:$B$48),$J2098,('Loading-drum,tote'!$D$31:$D$48))*Impacts!$F$13,IF(('Loading-drum,tote'!$C$21)&lt;&gt;"No control",SUMIF(('Loading-drum,tote'!$B$31:$B$48),$J2098,('Loading-drum,tote'!$E$31:$E$48))*Impacts!$F$13,0)),0)</f>
        <v>0</v>
      </c>
      <c r="R2098" s="10">
        <f>IFERROR(IF(('Loading-truck'!$C$21)="No control",SUMIF(('Loading-truck'!$B$31:$B$48),$J2098,('Loading-truck'!$D$31:$D$48))*Impacts!$F$14,IF(('Loading-truck'!$C$21)&lt;&gt;"No control",SUMIF(('Loading-truck'!$B$31:$B$48),$J2098,('Loading-truck'!$E$31:$E$48))*Impacts!$F$14,0)),0)</f>
        <v>0</v>
      </c>
      <c r="S2098" s="10">
        <f>IFERROR(IF(('Loading-rail'!$C$21)="No control",SUMIF(('Loading-rail'!$B$31:$B$48),$J2098,('Loading-rail'!$D$31:$D$48))*Impacts!$F$15,IF(('Loading-rail'!$C$21)&lt;&gt;"No control",SUMIF(('Loading-rail'!$B$31:$B$48),$J2098,('Loading-rail'!$E$31:$E$48))*Impacts!$F$15,0)),0)</f>
        <v>0</v>
      </c>
      <c r="T2098" s="10">
        <f>IF(Flare!$C$7="",0,(SUMIF(Flare!$B$46:$B$185,$J2098,Flare!$E$46:$E$185)*Impacts!$F$16))</f>
        <v>0</v>
      </c>
      <c r="U2098" s="10">
        <f>IF(VCU!$C$9="",0,(SUMIF(VCU!$B$51:$B$193,$J2098,VCU!$E$51:$E$193)*Impacts!$F$17))</f>
        <v>0</v>
      </c>
      <c r="V2098" s="10">
        <f>IF(CAS!$C$7="",0,(SUMIF(CAS!$B$31:$B$167,$J2098,CAS!$E$31:$E$167)*Impacts!$F$18))</f>
        <v>0</v>
      </c>
      <c r="W2098" s="10">
        <f t="shared" si="73"/>
        <v>0</v>
      </c>
      <c r="AK2098" s="10" t="str">
        <f t="array" ref="AK2098">IFERROR(INDEX(SelectedSpecies,SMALL(IF(SelectedSpecies=AK$1,ROW(SelectedSpecies)),ROW(2099:2099)),2),"")</f>
        <v/>
      </c>
      <c r="BE2098" s="10"/>
      <c r="BI2098" s="10"/>
    </row>
    <row r="2099" spans="1:61" ht="21" customHeight="1" x14ac:dyDescent="0.25">
      <c r="A2099" s="10"/>
      <c r="B2099" s="10"/>
      <c r="E2099" s="10"/>
      <c r="G2099" s="10"/>
      <c r="I2099" s="436" t="s">
        <v>2503</v>
      </c>
      <c r="J2099" s="26" t="s">
        <v>2502</v>
      </c>
      <c r="K2099" s="10">
        <v>10</v>
      </c>
      <c r="L2099" s="73">
        <f>IF(Tank1!$C$23="No control",(SUMIF(Tank1!$B$32:$B$49,$J2099,Tank1!$C$32:$C$49)*Impacts!$F$8),0)</f>
        <v>0</v>
      </c>
      <c r="M2099" s="10">
        <f>IF(Tank2!$C$23="No control",(SUMIF(Tank2!$B$32:$B$49,$J2099,Tank2!$C$32:$C$49)*Impacts!$F$9),0)</f>
        <v>0</v>
      </c>
      <c r="N2099" s="10">
        <f>IF(Tank3!$C$23="No control",(SUMIF(Tank3!$B$32:$B$49,$J2099,Tank3!$C$32:$C$49)*Impacts!$F$10),0)</f>
        <v>0</v>
      </c>
      <c r="O2099" s="10">
        <f>IF(Tank4!$C$23="No control",(SUMIF(Tank4!$B$32:$B$49,$J2099,Tank4!$C$32:$C$49)*Impacts!$F$11),0)</f>
        <v>0</v>
      </c>
      <c r="P2099" s="10">
        <f>IF(Tank5!$C$23="No control",(SUMIF(Tank5!$B$32:$B$49,$J2099,Tank5!$C$32:$C$49)*Impacts!$F$12),0)</f>
        <v>0</v>
      </c>
      <c r="Q2099" s="10">
        <f>IFERROR(IF(('Loading-drum,tote'!$C$21)="No control",SUMIF(('Loading-drum,tote'!$B$31:$B$48),$J2099,('Loading-drum,tote'!$D$31:$D$48))*Impacts!$F$13,IF(('Loading-drum,tote'!$C$21)&lt;&gt;"No control",SUMIF(('Loading-drum,tote'!$B$31:$B$48),$J2099,('Loading-drum,tote'!$E$31:$E$48))*Impacts!$F$13,0)),0)</f>
        <v>0</v>
      </c>
      <c r="R2099" s="10">
        <f>IFERROR(IF(('Loading-truck'!$C$21)="No control",SUMIF(('Loading-truck'!$B$31:$B$48),$J2099,('Loading-truck'!$D$31:$D$48))*Impacts!$F$14,IF(('Loading-truck'!$C$21)&lt;&gt;"No control",SUMIF(('Loading-truck'!$B$31:$B$48),$J2099,('Loading-truck'!$E$31:$E$48))*Impacts!$F$14,0)),0)</f>
        <v>0</v>
      </c>
      <c r="S2099" s="10">
        <f>IFERROR(IF(('Loading-rail'!$C$21)="No control",SUMIF(('Loading-rail'!$B$31:$B$48),$J2099,('Loading-rail'!$D$31:$D$48))*Impacts!$F$15,IF(('Loading-rail'!$C$21)&lt;&gt;"No control",SUMIF(('Loading-rail'!$B$31:$B$48),$J2099,('Loading-rail'!$E$31:$E$48))*Impacts!$F$15,0)),0)</f>
        <v>0</v>
      </c>
      <c r="T2099" s="10">
        <f>IF(Flare!$C$7="",0,(SUMIF(Flare!$B$46:$B$185,$J2099,Flare!$E$46:$E$185)*Impacts!$F$16))</f>
        <v>0</v>
      </c>
      <c r="U2099" s="10">
        <f>IF(VCU!$C$9="",0,(SUMIF(VCU!$B$51:$B$193,$J2099,VCU!$E$51:$E$193)*Impacts!$F$17))</f>
        <v>0</v>
      </c>
      <c r="V2099" s="10">
        <f>IF(CAS!$C$7="",0,(SUMIF(CAS!$B$31:$B$167,$J2099,CAS!$E$31:$E$167)*Impacts!$F$18))</f>
        <v>0</v>
      </c>
      <c r="W2099" s="10">
        <f t="shared" si="73"/>
        <v>0</v>
      </c>
      <c r="AK2099" s="10" t="str">
        <f t="array" ref="AK2099">IFERROR(INDEX(SelectedSpecies,SMALL(IF(SelectedSpecies=AK$1,ROW(SelectedSpecies)),ROW(2100:2100)),2),"")</f>
        <v/>
      </c>
      <c r="BE2099" s="10"/>
      <c r="BI2099" s="10"/>
    </row>
    <row r="2100" spans="1:61" ht="21" customHeight="1" x14ac:dyDescent="0.25">
      <c r="A2100" s="10"/>
      <c r="B2100" s="10"/>
      <c r="E2100" s="10"/>
      <c r="G2100" s="10"/>
      <c r="I2100" s="436" t="s">
        <v>2913</v>
      </c>
      <c r="J2100" s="26" t="s">
        <v>2912</v>
      </c>
      <c r="K2100" s="10">
        <v>10</v>
      </c>
      <c r="L2100" s="73">
        <f>IF(Tank1!$C$23="No control",(SUMIF(Tank1!$B$32:$B$49,$J2100,Tank1!$C$32:$C$49)*Impacts!$F$8),0)</f>
        <v>0</v>
      </c>
      <c r="M2100" s="10">
        <f>IF(Tank2!$C$23="No control",(SUMIF(Tank2!$B$32:$B$49,$J2100,Tank2!$C$32:$C$49)*Impacts!$F$9),0)</f>
        <v>0</v>
      </c>
      <c r="N2100" s="10">
        <f>IF(Tank3!$C$23="No control",(SUMIF(Tank3!$B$32:$B$49,$J2100,Tank3!$C$32:$C$49)*Impacts!$F$10),0)</f>
        <v>0</v>
      </c>
      <c r="O2100" s="10">
        <f>IF(Tank4!$C$23="No control",(SUMIF(Tank4!$B$32:$B$49,$J2100,Tank4!$C$32:$C$49)*Impacts!$F$11),0)</f>
        <v>0</v>
      </c>
      <c r="P2100" s="10">
        <f>IF(Tank5!$C$23="No control",(SUMIF(Tank5!$B$32:$B$49,$J2100,Tank5!$C$32:$C$49)*Impacts!$F$12),0)</f>
        <v>0</v>
      </c>
      <c r="Q2100" s="10">
        <f>IFERROR(IF(('Loading-drum,tote'!$C$21)="No control",SUMIF(('Loading-drum,tote'!$B$31:$B$48),$J2100,('Loading-drum,tote'!$D$31:$D$48))*Impacts!$F$13,IF(('Loading-drum,tote'!$C$21)&lt;&gt;"No control",SUMIF(('Loading-drum,tote'!$B$31:$B$48),$J2100,('Loading-drum,tote'!$E$31:$E$48))*Impacts!$F$13,0)),0)</f>
        <v>0</v>
      </c>
      <c r="R2100" s="10">
        <f>IFERROR(IF(('Loading-truck'!$C$21)="No control",SUMIF(('Loading-truck'!$B$31:$B$48),$J2100,('Loading-truck'!$D$31:$D$48))*Impacts!$F$14,IF(('Loading-truck'!$C$21)&lt;&gt;"No control",SUMIF(('Loading-truck'!$B$31:$B$48),$J2100,('Loading-truck'!$E$31:$E$48))*Impacts!$F$14,0)),0)</f>
        <v>0</v>
      </c>
      <c r="S2100" s="10">
        <f>IFERROR(IF(('Loading-rail'!$C$21)="No control",SUMIF(('Loading-rail'!$B$31:$B$48),$J2100,('Loading-rail'!$D$31:$D$48))*Impacts!$F$15,IF(('Loading-rail'!$C$21)&lt;&gt;"No control",SUMIF(('Loading-rail'!$B$31:$B$48),$J2100,('Loading-rail'!$E$31:$E$48))*Impacts!$F$15,0)),0)</f>
        <v>0</v>
      </c>
      <c r="T2100" s="10">
        <f>IF(Flare!$C$7="",0,(SUMIF(Flare!$B$46:$B$185,$J2100,Flare!$E$46:$E$185)*Impacts!$F$16))</f>
        <v>0</v>
      </c>
      <c r="U2100" s="10">
        <f>IF(VCU!$C$9="",0,(SUMIF(VCU!$B$51:$B$193,$J2100,VCU!$E$51:$E$193)*Impacts!$F$17))</f>
        <v>0</v>
      </c>
      <c r="V2100" s="10">
        <f>IF(CAS!$C$7="",0,(SUMIF(CAS!$B$31:$B$167,$J2100,CAS!$E$31:$E$167)*Impacts!$F$18))</f>
        <v>0</v>
      </c>
      <c r="W2100" s="10">
        <f t="shared" si="73"/>
        <v>0</v>
      </c>
      <c r="AK2100" s="10" t="str">
        <f t="array" ref="AK2100">IFERROR(INDEX(SelectedSpecies,SMALL(IF(SelectedSpecies=AK$1,ROW(SelectedSpecies)),ROW(2101:2101)),2),"")</f>
        <v/>
      </c>
      <c r="BE2100" s="10"/>
      <c r="BI2100" s="10"/>
    </row>
    <row r="2101" spans="1:61" ht="21" customHeight="1" x14ac:dyDescent="0.25">
      <c r="A2101" s="10"/>
      <c r="B2101" s="10"/>
      <c r="E2101" s="10"/>
      <c r="G2101" s="10"/>
      <c r="I2101" s="436" t="s">
        <v>8278</v>
      </c>
      <c r="J2101" s="26" t="s">
        <v>8277</v>
      </c>
      <c r="K2101" s="10">
        <v>4.0000000000000001E-3</v>
      </c>
      <c r="L2101" s="73">
        <f>IF(Tank1!$C$23="No control",(SUMIF(Tank1!$B$32:$B$49,$J2101,Tank1!$C$32:$C$49)*Impacts!$F$8),0)</f>
        <v>0</v>
      </c>
      <c r="M2101" s="10">
        <f>IF(Tank2!$C$23="No control",(SUMIF(Tank2!$B$32:$B$49,$J2101,Tank2!$C$32:$C$49)*Impacts!$F$9),0)</f>
        <v>0</v>
      </c>
      <c r="N2101" s="10">
        <f>IF(Tank3!$C$23="No control",(SUMIF(Tank3!$B$32:$B$49,$J2101,Tank3!$C$32:$C$49)*Impacts!$F$10),0)</f>
        <v>0</v>
      </c>
      <c r="O2101" s="10">
        <f>IF(Tank4!$C$23="No control",(SUMIF(Tank4!$B$32:$B$49,$J2101,Tank4!$C$32:$C$49)*Impacts!$F$11),0)</f>
        <v>0</v>
      </c>
      <c r="P2101" s="10">
        <f>IF(Tank5!$C$23="No control",(SUMIF(Tank5!$B$32:$B$49,$J2101,Tank5!$C$32:$C$49)*Impacts!$F$12),0)</f>
        <v>0</v>
      </c>
      <c r="Q2101" s="10">
        <f>IFERROR(IF(('Loading-drum,tote'!$C$21)="No control",SUMIF(('Loading-drum,tote'!$B$31:$B$48),$J2101,('Loading-drum,tote'!$D$31:$D$48))*Impacts!$F$13,IF(('Loading-drum,tote'!$C$21)&lt;&gt;"No control",SUMIF(('Loading-drum,tote'!$B$31:$B$48),$J2101,('Loading-drum,tote'!$E$31:$E$48))*Impacts!$F$13,0)),0)</f>
        <v>0</v>
      </c>
      <c r="R2101" s="10">
        <f>IFERROR(IF(('Loading-truck'!$C$21)="No control",SUMIF(('Loading-truck'!$B$31:$B$48),$J2101,('Loading-truck'!$D$31:$D$48))*Impacts!$F$14,IF(('Loading-truck'!$C$21)&lt;&gt;"No control",SUMIF(('Loading-truck'!$B$31:$B$48),$J2101,('Loading-truck'!$E$31:$E$48))*Impacts!$F$14,0)),0)</f>
        <v>0</v>
      </c>
      <c r="S2101" s="10">
        <f>IFERROR(IF(('Loading-rail'!$C$21)="No control",SUMIF(('Loading-rail'!$B$31:$B$48),$J2101,('Loading-rail'!$D$31:$D$48))*Impacts!$F$15,IF(('Loading-rail'!$C$21)&lt;&gt;"No control",SUMIF(('Loading-rail'!$B$31:$B$48),$J2101,('Loading-rail'!$E$31:$E$48))*Impacts!$F$15,0)),0)</f>
        <v>0</v>
      </c>
      <c r="T2101" s="10">
        <f>IF(Flare!$C$7="",0,(SUMIF(Flare!$B$46:$B$185,$J2101,Flare!$E$46:$E$185)*Impacts!$F$16))</f>
        <v>0</v>
      </c>
      <c r="U2101" s="10">
        <f>IF(VCU!$C$9="",0,(SUMIF(VCU!$B$51:$B$193,$J2101,VCU!$E$51:$E$193)*Impacts!$F$17))</f>
        <v>0</v>
      </c>
      <c r="V2101" s="10">
        <f>IF(CAS!$C$7="",0,(SUMIF(CAS!$B$31:$B$167,$J2101,CAS!$E$31:$E$167)*Impacts!$F$18))</f>
        <v>0</v>
      </c>
      <c r="W2101" s="10">
        <f t="shared" si="73"/>
        <v>0</v>
      </c>
      <c r="AK2101" s="10" t="str">
        <f t="array" ref="AK2101">IFERROR(INDEX(SelectedSpecies,SMALL(IF(SelectedSpecies=AK$1,ROW(SelectedSpecies)),ROW(2102:2102)),2),"")</f>
        <v/>
      </c>
      <c r="BE2101" s="10"/>
      <c r="BI2101" s="10"/>
    </row>
    <row r="2102" spans="1:61" ht="21" customHeight="1" x14ac:dyDescent="0.25">
      <c r="A2102" s="10"/>
      <c r="B2102" s="10"/>
      <c r="E2102" s="10"/>
      <c r="G2102" s="10"/>
      <c r="I2102" s="436" t="s">
        <v>3655</v>
      </c>
      <c r="J2102" s="26" t="s">
        <v>3654</v>
      </c>
      <c r="K2102" s="10">
        <v>7.2</v>
      </c>
      <c r="L2102" s="73">
        <f>IF(Tank1!$C$23="No control",(SUMIF(Tank1!$B$32:$B$49,$J2102,Tank1!$C$32:$C$49)*Impacts!$F$8),0)</f>
        <v>0</v>
      </c>
      <c r="M2102" s="10">
        <f>IF(Tank2!$C$23="No control",(SUMIF(Tank2!$B$32:$B$49,$J2102,Tank2!$C$32:$C$49)*Impacts!$F$9),0)</f>
        <v>0</v>
      </c>
      <c r="N2102" s="10">
        <f>IF(Tank3!$C$23="No control",(SUMIF(Tank3!$B$32:$B$49,$J2102,Tank3!$C$32:$C$49)*Impacts!$F$10),0)</f>
        <v>0</v>
      </c>
      <c r="O2102" s="10">
        <f>IF(Tank4!$C$23="No control",(SUMIF(Tank4!$B$32:$B$49,$J2102,Tank4!$C$32:$C$49)*Impacts!$F$11),0)</f>
        <v>0</v>
      </c>
      <c r="P2102" s="10">
        <f>IF(Tank5!$C$23="No control",(SUMIF(Tank5!$B$32:$B$49,$J2102,Tank5!$C$32:$C$49)*Impacts!$F$12),0)</f>
        <v>0</v>
      </c>
      <c r="Q2102" s="10">
        <f>IFERROR(IF(('Loading-drum,tote'!$C$21)="No control",SUMIF(('Loading-drum,tote'!$B$31:$B$48),$J2102,('Loading-drum,tote'!$D$31:$D$48))*Impacts!$F$13,IF(('Loading-drum,tote'!$C$21)&lt;&gt;"No control",SUMIF(('Loading-drum,tote'!$B$31:$B$48),$J2102,('Loading-drum,tote'!$E$31:$E$48))*Impacts!$F$13,0)),0)</f>
        <v>0</v>
      </c>
      <c r="R2102" s="10">
        <f>IFERROR(IF(('Loading-truck'!$C$21)="No control",SUMIF(('Loading-truck'!$B$31:$B$48),$J2102,('Loading-truck'!$D$31:$D$48))*Impacts!$F$14,IF(('Loading-truck'!$C$21)&lt;&gt;"No control",SUMIF(('Loading-truck'!$B$31:$B$48),$J2102,('Loading-truck'!$E$31:$E$48))*Impacts!$F$14,0)),0)</f>
        <v>0</v>
      </c>
      <c r="S2102" s="10">
        <f>IFERROR(IF(('Loading-rail'!$C$21)="No control",SUMIF(('Loading-rail'!$B$31:$B$48),$J2102,('Loading-rail'!$D$31:$D$48))*Impacts!$F$15,IF(('Loading-rail'!$C$21)&lt;&gt;"No control",SUMIF(('Loading-rail'!$B$31:$B$48),$J2102,('Loading-rail'!$E$31:$E$48))*Impacts!$F$15,0)),0)</f>
        <v>0</v>
      </c>
      <c r="T2102" s="10">
        <f>IF(Flare!$C$7="",0,(SUMIF(Flare!$B$46:$B$185,$J2102,Flare!$E$46:$E$185)*Impacts!$F$16))</f>
        <v>0</v>
      </c>
      <c r="U2102" s="10">
        <f>IF(VCU!$C$9="",0,(SUMIF(VCU!$B$51:$B$193,$J2102,VCU!$E$51:$E$193)*Impacts!$F$17))</f>
        <v>0</v>
      </c>
      <c r="V2102" s="10">
        <f>IF(CAS!$C$7="",0,(SUMIF(CAS!$B$31:$B$167,$J2102,CAS!$E$31:$E$167)*Impacts!$F$18))</f>
        <v>0</v>
      </c>
      <c r="W2102" s="10">
        <f t="shared" si="73"/>
        <v>0</v>
      </c>
      <c r="AK2102" s="10" t="str">
        <f t="array" ref="AK2102">IFERROR(INDEX(SelectedSpecies,SMALL(IF(SelectedSpecies=AK$1,ROW(SelectedSpecies)),ROW(2103:2103)),2),"")</f>
        <v/>
      </c>
      <c r="BE2102" s="10"/>
      <c r="BI2102" s="10"/>
    </row>
    <row r="2103" spans="1:61" ht="21" customHeight="1" x14ac:dyDescent="0.25">
      <c r="A2103" s="10"/>
      <c r="B2103" s="10"/>
      <c r="E2103" s="10"/>
      <c r="G2103" s="10"/>
      <c r="I2103" s="436" t="s">
        <v>3591</v>
      </c>
      <c r="J2103" s="26" t="s">
        <v>3590</v>
      </c>
      <c r="K2103" s="10">
        <v>8</v>
      </c>
      <c r="L2103" s="73">
        <f>IF(Tank1!$C$23="No control",(SUMIF(Tank1!$B$32:$B$49,$J2103,Tank1!$C$32:$C$49)*Impacts!$F$8),0)</f>
        <v>0</v>
      </c>
      <c r="M2103" s="10">
        <f>IF(Tank2!$C$23="No control",(SUMIF(Tank2!$B$32:$B$49,$J2103,Tank2!$C$32:$C$49)*Impacts!$F$9),0)</f>
        <v>0</v>
      </c>
      <c r="N2103" s="10">
        <f>IF(Tank3!$C$23="No control",(SUMIF(Tank3!$B$32:$B$49,$J2103,Tank3!$C$32:$C$49)*Impacts!$F$10),0)</f>
        <v>0</v>
      </c>
      <c r="O2103" s="10">
        <f>IF(Tank4!$C$23="No control",(SUMIF(Tank4!$B$32:$B$49,$J2103,Tank4!$C$32:$C$49)*Impacts!$F$11),0)</f>
        <v>0</v>
      </c>
      <c r="P2103" s="10">
        <f>IF(Tank5!$C$23="No control",(SUMIF(Tank5!$B$32:$B$49,$J2103,Tank5!$C$32:$C$49)*Impacts!$F$12),0)</f>
        <v>0</v>
      </c>
      <c r="Q2103" s="10">
        <f>IFERROR(IF(('Loading-drum,tote'!$C$21)="No control",SUMIF(('Loading-drum,tote'!$B$31:$B$48),$J2103,('Loading-drum,tote'!$D$31:$D$48))*Impacts!$F$13,IF(('Loading-drum,tote'!$C$21)&lt;&gt;"No control",SUMIF(('Loading-drum,tote'!$B$31:$B$48),$J2103,('Loading-drum,tote'!$E$31:$E$48))*Impacts!$F$13,0)),0)</f>
        <v>0</v>
      </c>
      <c r="R2103" s="10">
        <f>IFERROR(IF(('Loading-truck'!$C$21)="No control",SUMIF(('Loading-truck'!$B$31:$B$48),$J2103,('Loading-truck'!$D$31:$D$48))*Impacts!$F$14,IF(('Loading-truck'!$C$21)&lt;&gt;"No control",SUMIF(('Loading-truck'!$B$31:$B$48),$J2103,('Loading-truck'!$E$31:$E$48))*Impacts!$F$14,0)),0)</f>
        <v>0</v>
      </c>
      <c r="S2103" s="10">
        <f>IFERROR(IF(('Loading-rail'!$C$21)="No control",SUMIF(('Loading-rail'!$B$31:$B$48),$J2103,('Loading-rail'!$D$31:$D$48))*Impacts!$F$15,IF(('Loading-rail'!$C$21)&lt;&gt;"No control",SUMIF(('Loading-rail'!$B$31:$B$48),$J2103,('Loading-rail'!$E$31:$E$48))*Impacts!$F$15,0)),0)</f>
        <v>0</v>
      </c>
      <c r="T2103" s="10">
        <f>IF(Flare!$C$7="",0,(SUMIF(Flare!$B$46:$B$185,$J2103,Flare!$E$46:$E$185)*Impacts!$F$16))</f>
        <v>0</v>
      </c>
      <c r="U2103" s="10">
        <f>IF(VCU!$C$9="",0,(SUMIF(VCU!$B$51:$B$193,$J2103,VCU!$E$51:$E$193)*Impacts!$F$17))</f>
        <v>0</v>
      </c>
      <c r="V2103" s="10">
        <f>IF(CAS!$C$7="",0,(SUMIF(CAS!$B$31:$B$167,$J2103,CAS!$E$31:$E$167)*Impacts!$F$18))</f>
        <v>0</v>
      </c>
      <c r="W2103" s="10">
        <f t="shared" si="73"/>
        <v>0</v>
      </c>
      <c r="AK2103" s="10" t="str">
        <f t="array" ref="AK2103">IFERROR(INDEX(SelectedSpecies,SMALL(IF(SelectedSpecies=AK$1,ROW(SelectedSpecies)),ROW(2104:2104)),2),"")</f>
        <v/>
      </c>
      <c r="BE2103" s="10"/>
      <c r="BI2103" s="10"/>
    </row>
    <row r="2104" spans="1:61" ht="21" customHeight="1" x14ac:dyDescent="0.25">
      <c r="A2104" s="10"/>
      <c r="B2104" s="10"/>
      <c r="E2104" s="10"/>
      <c r="G2104" s="10"/>
      <c r="I2104" s="436" t="s">
        <v>6534</v>
      </c>
      <c r="J2104" s="26" t="s">
        <v>6533</v>
      </c>
      <c r="K2104" s="10">
        <v>0.70000000000000007</v>
      </c>
      <c r="L2104" s="73">
        <f>IF(Tank1!$C$23="No control",(SUMIF(Tank1!$B$32:$B$49,$J2104,Tank1!$C$32:$C$49)*Impacts!$F$8),0)</f>
        <v>0</v>
      </c>
      <c r="M2104" s="10">
        <f>IF(Tank2!$C$23="No control",(SUMIF(Tank2!$B$32:$B$49,$J2104,Tank2!$C$32:$C$49)*Impacts!$F$9),0)</f>
        <v>0</v>
      </c>
      <c r="N2104" s="10">
        <f>IF(Tank3!$C$23="No control",(SUMIF(Tank3!$B$32:$B$49,$J2104,Tank3!$C$32:$C$49)*Impacts!$F$10),0)</f>
        <v>0</v>
      </c>
      <c r="O2104" s="10">
        <f>IF(Tank4!$C$23="No control",(SUMIF(Tank4!$B$32:$B$49,$J2104,Tank4!$C$32:$C$49)*Impacts!$F$11),0)</f>
        <v>0</v>
      </c>
      <c r="P2104" s="10">
        <f>IF(Tank5!$C$23="No control",(SUMIF(Tank5!$B$32:$B$49,$J2104,Tank5!$C$32:$C$49)*Impacts!$F$12),0)</f>
        <v>0</v>
      </c>
      <c r="Q2104" s="10">
        <f>IFERROR(IF(('Loading-drum,tote'!$C$21)="No control",SUMIF(('Loading-drum,tote'!$B$31:$B$48),$J2104,('Loading-drum,tote'!$D$31:$D$48))*Impacts!$F$13,IF(('Loading-drum,tote'!$C$21)&lt;&gt;"No control",SUMIF(('Loading-drum,tote'!$B$31:$B$48),$J2104,('Loading-drum,tote'!$E$31:$E$48))*Impacts!$F$13,0)),0)</f>
        <v>0</v>
      </c>
      <c r="R2104" s="10">
        <f>IFERROR(IF(('Loading-truck'!$C$21)="No control",SUMIF(('Loading-truck'!$B$31:$B$48),$J2104,('Loading-truck'!$D$31:$D$48))*Impacts!$F$14,IF(('Loading-truck'!$C$21)&lt;&gt;"No control",SUMIF(('Loading-truck'!$B$31:$B$48),$J2104,('Loading-truck'!$E$31:$E$48))*Impacts!$F$14,0)),0)</f>
        <v>0</v>
      </c>
      <c r="S2104" s="10">
        <f>IFERROR(IF(('Loading-rail'!$C$21)="No control",SUMIF(('Loading-rail'!$B$31:$B$48),$J2104,('Loading-rail'!$D$31:$D$48))*Impacts!$F$15,IF(('Loading-rail'!$C$21)&lt;&gt;"No control",SUMIF(('Loading-rail'!$B$31:$B$48),$J2104,('Loading-rail'!$E$31:$E$48))*Impacts!$F$15,0)),0)</f>
        <v>0</v>
      </c>
      <c r="T2104" s="10">
        <f>IF(Flare!$C$7="",0,(SUMIF(Flare!$B$46:$B$185,$J2104,Flare!$E$46:$E$185)*Impacts!$F$16))</f>
        <v>0</v>
      </c>
      <c r="U2104" s="10">
        <f>IF(VCU!$C$9="",0,(SUMIF(VCU!$B$51:$B$193,$J2104,VCU!$E$51:$E$193)*Impacts!$F$17))</f>
        <v>0</v>
      </c>
      <c r="V2104" s="10">
        <f>IF(CAS!$C$7="",0,(SUMIF(CAS!$B$31:$B$167,$J2104,CAS!$E$31:$E$167)*Impacts!$F$18))</f>
        <v>0</v>
      </c>
      <c r="W2104" s="10">
        <f t="shared" si="73"/>
        <v>0</v>
      </c>
      <c r="AK2104" s="10" t="str">
        <f t="array" ref="AK2104">IFERROR(INDEX(SelectedSpecies,SMALL(IF(SelectedSpecies=AK$1,ROW(SelectedSpecies)),ROW(2105:2105)),2),"")</f>
        <v/>
      </c>
      <c r="BE2104" s="10"/>
      <c r="BI2104" s="10"/>
    </row>
    <row r="2105" spans="1:61" ht="21" customHeight="1" x14ac:dyDescent="0.25">
      <c r="A2105" s="10"/>
      <c r="B2105" s="10"/>
      <c r="E2105" s="10"/>
      <c r="G2105" s="10"/>
      <c r="I2105" s="436" t="s">
        <v>2915</v>
      </c>
      <c r="J2105" s="26" t="s">
        <v>2914</v>
      </c>
      <c r="K2105" s="10">
        <v>10</v>
      </c>
      <c r="L2105" s="73">
        <f>IF(Tank1!$C$23="No control",(SUMIF(Tank1!$B$32:$B$49,$J2105,Tank1!$C$32:$C$49)*Impacts!$F$8),0)</f>
        <v>0</v>
      </c>
      <c r="M2105" s="10">
        <f>IF(Tank2!$C$23="No control",(SUMIF(Tank2!$B$32:$B$49,$J2105,Tank2!$C$32:$C$49)*Impacts!$F$9),0)</f>
        <v>0</v>
      </c>
      <c r="N2105" s="10">
        <f>IF(Tank3!$C$23="No control",(SUMIF(Tank3!$B$32:$B$49,$J2105,Tank3!$C$32:$C$49)*Impacts!$F$10),0)</f>
        <v>0</v>
      </c>
      <c r="O2105" s="10">
        <f>IF(Tank4!$C$23="No control",(SUMIF(Tank4!$B$32:$B$49,$J2105,Tank4!$C$32:$C$49)*Impacts!$F$11),0)</f>
        <v>0</v>
      </c>
      <c r="P2105" s="10">
        <f>IF(Tank5!$C$23="No control",(SUMIF(Tank5!$B$32:$B$49,$J2105,Tank5!$C$32:$C$49)*Impacts!$F$12),0)</f>
        <v>0</v>
      </c>
      <c r="Q2105" s="10">
        <f>IFERROR(IF(('Loading-drum,tote'!$C$21)="No control",SUMIF(('Loading-drum,tote'!$B$31:$B$48),$J2105,('Loading-drum,tote'!$D$31:$D$48))*Impacts!$F$13,IF(('Loading-drum,tote'!$C$21)&lt;&gt;"No control",SUMIF(('Loading-drum,tote'!$B$31:$B$48),$J2105,('Loading-drum,tote'!$E$31:$E$48))*Impacts!$F$13,0)),0)</f>
        <v>0</v>
      </c>
      <c r="R2105" s="10">
        <f>IFERROR(IF(('Loading-truck'!$C$21)="No control",SUMIF(('Loading-truck'!$B$31:$B$48),$J2105,('Loading-truck'!$D$31:$D$48))*Impacts!$F$14,IF(('Loading-truck'!$C$21)&lt;&gt;"No control",SUMIF(('Loading-truck'!$B$31:$B$48),$J2105,('Loading-truck'!$E$31:$E$48))*Impacts!$F$14,0)),0)</f>
        <v>0</v>
      </c>
      <c r="S2105" s="10">
        <f>IFERROR(IF(('Loading-rail'!$C$21)="No control",SUMIF(('Loading-rail'!$B$31:$B$48),$J2105,('Loading-rail'!$D$31:$D$48))*Impacts!$F$15,IF(('Loading-rail'!$C$21)&lt;&gt;"No control",SUMIF(('Loading-rail'!$B$31:$B$48),$J2105,('Loading-rail'!$E$31:$E$48))*Impacts!$F$15,0)),0)</f>
        <v>0</v>
      </c>
      <c r="T2105" s="10">
        <f>IF(Flare!$C$7="",0,(SUMIF(Flare!$B$46:$B$185,$J2105,Flare!$E$46:$E$185)*Impacts!$F$16))</f>
        <v>0</v>
      </c>
      <c r="U2105" s="10">
        <f>IF(VCU!$C$9="",0,(SUMIF(VCU!$B$51:$B$193,$J2105,VCU!$E$51:$E$193)*Impacts!$F$17))</f>
        <v>0</v>
      </c>
      <c r="V2105" s="10">
        <f>IF(CAS!$C$7="",0,(SUMIF(CAS!$B$31:$B$167,$J2105,CAS!$E$31:$E$167)*Impacts!$F$18))</f>
        <v>0</v>
      </c>
      <c r="W2105" s="10">
        <f t="shared" si="73"/>
        <v>0</v>
      </c>
      <c r="AK2105" s="10" t="str">
        <f t="array" ref="AK2105">IFERROR(INDEX(SelectedSpecies,SMALL(IF(SelectedSpecies=AK$1,ROW(SelectedSpecies)),ROW(2106:2106)),2),"")</f>
        <v/>
      </c>
      <c r="BE2105" s="10"/>
      <c r="BI2105" s="10"/>
    </row>
    <row r="2106" spans="1:61" ht="21" customHeight="1" x14ac:dyDescent="0.25">
      <c r="A2106" s="10"/>
      <c r="B2106" s="10"/>
      <c r="E2106" s="10"/>
      <c r="G2106" s="10"/>
      <c r="I2106" s="436" t="s">
        <v>5025</v>
      </c>
      <c r="J2106" s="26" t="s">
        <v>5024</v>
      </c>
      <c r="K2106" s="10">
        <v>2.4000000000000004</v>
      </c>
      <c r="L2106" s="73">
        <f>IF(Tank1!$C$23="No control",(SUMIF(Tank1!$B$32:$B$49,$J2106,Tank1!$C$32:$C$49)*Impacts!$F$8),0)</f>
        <v>0</v>
      </c>
      <c r="M2106" s="10">
        <f>IF(Tank2!$C$23="No control",(SUMIF(Tank2!$B$32:$B$49,$J2106,Tank2!$C$32:$C$49)*Impacts!$F$9),0)</f>
        <v>0</v>
      </c>
      <c r="N2106" s="10">
        <f>IF(Tank3!$C$23="No control",(SUMIF(Tank3!$B$32:$B$49,$J2106,Tank3!$C$32:$C$49)*Impacts!$F$10),0)</f>
        <v>0</v>
      </c>
      <c r="O2106" s="10">
        <f>IF(Tank4!$C$23="No control",(SUMIF(Tank4!$B$32:$B$49,$J2106,Tank4!$C$32:$C$49)*Impacts!$F$11),0)</f>
        <v>0</v>
      </c>
      <c r="P2106" s="10">
        <f>IF(Tank5!$C$23="No control",(SUMIF(Tank5!$B$32:$B$49,$J2106,Tank5!$C$32:$C$49)*Impacts!$F$12),0)</f>
        <v>0</v>
      </c>
      <c r="Q2106" s="10">
        <f>IFERROR(IF(('Loading-drum,tote'!$C$21)="No control",SUMIF(('Loading-drum,tote'!$B$31:$B$48),$J2106,('Loading-drum,tote'!$D$31:$D$48))*Impacts!$F$13,IF(('Loading-drum,tote'!$C$21)&lt;&gt;"No control",SUMIF(('Loading-drum,tote'!$B$31:$B$48),$J2106,('Loading-drum,tote'!$E$31:$E$48))*Impacts!$F$13,0)),0)</f>
        <v>0</v>
      </c>
      <c r="R2106" s="10">
        <f>IFERROR(IF(('Loading-truck'!$C$21)="No control",SUMIF(('Loading-truck'!$B$31:$B$48),$J2106,('Loading-truck'!$D$31:$D$48))*Impacts!$F$14,IF(('Loading-truck'!$C$21)&lt;&gt;"No control",SUMIF(('Loading-truck'!$B$31:$B$48),$J2106,('Loading-truck'!$E$31:$E$48))*Impacts!$F$14,0)),0)</f>
        <v>0</v>
      </c>
      <c r="S2106" s="10">
        <f>IFERROR(IF(('Loading-rail'!$C$21)="No control",SUMIF(('Loading-rail'!$B$31:$B$48),$J2106,('Loading-rail'!$D$31:$D$48))*Impacts!$F$15,IF(('Loading-rail'!$C$21)&lt;&gt;"No control",SUMIF(('Loading-rail'!$B$31:$B$48),$J2106,('Loading-rail'!$E$31:$E$48))*Impacts!$F$15,0)),0)</f>
        <v>0</v>
      </c>
      <c r="T2106" s="10">
        <f>IF(Flare!$C$7="",0,(SUMIF(Flare!$B$46:$B$185,$J2106,Flare!$E$46:$E$185)*Impacts!$F$16))</f>
        <v>0</v>
      </c>
      <c r="U2106" s="10">
        <f>IF(VCU!$C$9="",0,(SUMIF(VCU!$B$51:$B$193,$J2106,VCU!$E$51:$E$193)*Impacts!$F$17))</f>
        <v>0</v>
      </c>
      <c r="V2106" s="10">
        <f>IF(CAS!$C$7="",0,(SUMIF(CAS!$B$31:$B$167,$J2106,CAS!$E$31:$E$167)*Impacts!$F$18))</f>
        <v>0</v>
      </c>
      <c r="W2106" s="10">
        <f t="shared" si="73"/>
        <v>0</v>
      </c>
      <c r="AK2106" s="10" t="str">
        <f t="array" ref="AK2106">IFERROR(INDEX(SelectedSpecies,SMALL(IF(SelectedSpecies=AK$1,ROW(SelectedSpecies)),ROW(2107:2107)),2),"")</f>
        <v/>
      </c>
      <c r="BE2106" s="10"/>
      <c r="BI2106" s="10"/>
    </row>
    <row r="2107" spans="1:61" ht="21" customHeight="1" x14ac:dyDescent="0.25">
      <c r="A2107" s="10"/>
      <c r="B2107" s="10"/>
      <c r="E2107" s="10"/>
      <c r="G2107" s="10"/>
      <c r="I2107" s="436" t="s">
        <v>5239</v>
      </c>
      <c r="J2107" s="26" t="s">
        <v>5238</v>
      </c>
      <c r="K2107" s="10">
        <v>1.9000000000000001</v>
      </c>
      <c r="L2107" s="73">
        <f>IF(Tank1!$C$23="No control",(SUMIF(Tank1!$B$32:$B$49,$J2107,Tank1!$C$32:$C$49)*Impacts!$F$8),0)</f>
        <v>0</v>
      </c>
      <c r="M2107" s="10">
        <f>IF(Tank2!$C$23="No control",(SUMIF(Tank2!$B$32:$B$49,$J2107,Tank2!$C$32:$C$49)*Impacts!$F$9),0)</f>
        <v>0</v>
      </c>
      <c r="N2107" s="10">
        <f>IF(Tank3!$C$23="No control",(SUMIF(Tank3!$B$32:$B$49,$J2107,Tank3!$C$32:$C$49)*Impacts!$F$10),0)</f>
        <v>0</v>
      </c>
      <c r="O2107" s="10">
        <f>IF(Tank4!$C$23="No control",(SUMIF(Tank4!$B$32:$B$49,$J2107,Tank4!$C$32:$C$49)*Impacts!$F$11),0)</f>
        <v>0</v>
      </c>
      <c r="P2107" s="10">
        <f>IF(Tank5!$C$23="No control",(SUMIF(Tank5!$B$32:$B$49,$J2107,Tank5!$C$32:$C$49)*Impacts!$F$12),0)</f>
        <v>0</v>
      </c>
      <c r="Q2107" s="10">
        <f>IFERROR(IF(('Loading-drum,tote'!$C$21)="No control",SUMIF(('Loading-drum,tote'!$B$31:$B$48),$J2107,('Loading-drum,tote'!$D$31:$D$48))*Impacts!$F$13,IF(('Loading-drum,tote'!$C$21)&lt;&gt;"No control",SUMIF(('Loading-drum,tote'!$B$31:$B$48),$J2107,('Loading-drum,tote'!$E$31:$E$48))*Impacts!$F$13,0)),0)</f>
        <v>0</v>
      </c>
      <c r="R2107" s="10">
        <f>IFERROR(IF(('Loading-truck'!$C$21)="No control",SUMIF(('Loading-truck'!$B$31:$B$48),$J2107,('Loading-truck'!$D$31:$D$48))*Impacts!$F$14,IF(('Loading-truck'!$C$21)&lt;&gt;"No control",SUMIF(('Loading-truck'!$B$31:$B$48),$J2107,('Loading-truck'!$E$31:$E$48))*Impacts!$F$14,0)),0)</f>
        <v>0</v>
      </c>
      <c r="S2107" s="10">
        <f>IFERROR(IF(('Loading-rail'!$C$21)="No control",SUMIF(('Loading-rail'!$B$31:$B$48),$J2107,('Loading-rail'!$D$31:$D$48))*Impacts!$F$15,IF(('Loading-rail'!$C$21)&lt;&gt;"No control",SUMIF(('Loading-rail'!$B$31:$B$48),$J2107,('Loading-rail'!$E$31:$E$48))*Impacts!$F$15,0)),0)</f>
        <v>0</v>
      </c>
      <c r="T2107" s="10">
        <f>IF(Flare!$C$7="",0,(SUMIF(Flare!$B$46:$B$185,$J2107,Flare!$E$46:$E$185)*Impacts!$F$16))</f>
        <v>0</v>
      </c>
      <c r="U2107" s="10">
        <f>IF(VCU!$C$9="",0,(SUMIF(VCU!$B$51:$B$193,$J2107,VCU!$E$51:$E$193)*Impacts!$F$17))</f>
        <v>0</v>
      </c>
      <c r="V2107" s="10">
        <f>IF(CAS!$C$7="",0,(SUMIF(CAS!$B$31:$B$167,$J2107,CAS!$E$31:$E$167)*Impacts!$F$18))</f>
        <v>0</v>
      </c>
      <c r="W2107" s="10">
        <f t="shared" si="73"/>
        <v>0</v>
      </c>
      <c r="AK2107" s="10" t="str">
        <f t="array" ref="AK2107">IFERROR(INDEX(SelectedSpecies,SMALL(IF(SelectedSpecies=AK$1,ROW(SelectedSpecies)),ROW(2108:2108)),2),"")</f>
        <v/>
      </c>
      <c r="BE2107" s="10"/>
      <c r="BI2107" s="10"/>
    </row>
    <row r="2108" spans="1:61" ht="21" customHeight="1" x14ac:dyDescent="0.25">
      <c r="A2108" s="10"/>
      <c r="B2108" s="10"/>
      <c r="E2108" s="10"/>
      <c r="G2108" s="10"/>
      <c r="I2108" s="436" t="s">
        <v>1340</v>
      </c>
      <c r="J2108" s="26" t="s">
        <v>1339</v>
      </c>
      <c r="K2108" s="10">
        <v>33</v>
      </c>
      <c r="L2108" s="73">
        <f>IF(Tank1!$C$23="No control",(SUMIF(Tank1!$B$32:$B$49,$J2108,Tank1!$C$32:$C$49)*Impacts!$F$8),0)</f>
        <v>0</v>
      </c>
      <c r="M2108" s="10">
        <f>IF(Tank2!$C$23="No control",(SUMIF(Tank2!$B$32:$B$49,$J2108,Tank2!$C$32:$C$49)*Impacts!$F$9),0)</f>
        <v>0</v>
      </c>
      <c r="N2108" s="10">
        <f>IF(Tank3!$C$23="No control",(SUMIF(Tank3!$B$32:$B$49,$J2108,Tank3!$C$32:$C$49)*Impacts!$F$10),0)</f>
        <v>0</v>
      </c>
      <c r="O2108" s="10">
        <f>IF(Tank4!$C$23="No control",(SUMIF(Tank4!$B$32:$B$49,$J2108,Tank4!$C$32:$C$49)*Impacts!$F$11),0)</f>
        <v>0</v>
      </c>
      <c r="P2108" s="10">
        <f>IF(Tank5!$C$23="No control",(SUMIF(Tank5!$B$32:$B$49,$J2108,Tank5!$C$32:$C$49)*Impacts!$F$12),0)</f>
        <v>0</v>
      </c>
      <c r="Q2108" s="10">
        <f>IFERROR(IF(('Loading-drum,tote'!$C$21)="No control",SUMIF(('Loading-drum,tote'!$B$31:$B$48),$J2108,('Loading-drum,tote'!$D$31:$D$48))*Impacts!$F$13,IF(('Loading-drum,tote'!$C$21)&lt;&gt;"No control",SUMIF(('Loading-drum,tote'!$B$31:$B$48),$J2108,('Loading-drum,tote'!$E$31:$E$48))*Impacts!$F$13,0)),0)</f>
        <v>0</v>
      </c>
      <c r="R2108" s="10">
        <f>IFERROR(IF(('Loading-truck'!$C$21)="No control",SUMIF(('Loading-truck'!$B$31:$B$48),$J2108,('Loading-truck'!$D$31:$D$48))*Impacts!$F$14,IF(('Loading-truck'!$C$21)&lt;&gt;"No control",SUMIF(('Loading-truck'!$B$31:$B$48),$J2108,('Loading-truck'!$E$31:$E$48))*Impacts!$F$14,0)),0)</f>
        <v>0</v>
      </c>
      <c r="S2108" s="10">
        <f>IFERROR(IF(('Loading-rail'!$C$21)="No control",SUMIF(('Loading-rail'!$B$31:$B$48),$J2108,('Loading-rail'!$D$31:$D$48))*Impacts!$F$15,IF(('Loading-rail'!$C$21)&lt;&gt;"No control",SUMIF(('Loading-rail'!$B$31:$B$48),$J2108,('Loading-rail'!$E$31:$E$48))*Impacts!$F$15,0)),0)</f>
        <v>0</v>
      </c>
      <c r="T2108" s="10">
        <f>IF(Flare!$C$7="",0,(SUMIF(Flare!$B$46:$B$185,$J2108,Flare!$E$46:$E$185)*Impacts!$F$16))</f>
        <v>0</v>
      </c>
      <c r="U2108" s="10">
        <f>IF(VCU!$C$9="",0,(SUMIF(VCU!$B$51:$B$193,$J2108,VCU!$E$51:$E$193)*Impacts!$F$17))</f>
        <v>0</v>
      </c>
      <c r="V2108" s="10">
        <f>IF(CAS!$C$7="",0,(SUMIF(CAS!$B$31:$B$167,$J2108,CAS!$E$31:$E$167)*Impacts!$F$18))</f>
        <v>0</v>
      </c>
      <c r="W2108" s="10">
        <f t="shared" si="73"/>
        <v>0</v>
      </c>
      <c r="AK2108" s="10" t="str">
        <f t="array" ref="AK2108">IFERROR(INDEX(SelectedSpecies,SMALL(IF(SelectedSpecies=AK$1,ROW(SelectedSpecies)),ROW(2109:2109)),2),"")</f>
        <v/>
      </c>
      <c r="BE2108" s="10"/>
      <c r="BI2108" s="10"/>
    </row>
    <row r="2109" spans="1:61" ht="21" customHeight="1" x14ac:dyDescent="0.25">
      <c r="A2109" s="10"/>
      <c r="B2109" s="10"/>
      <c r="E2109" s="10"/>
      <c r="G2109" s="10"/>
      <c r="I2109" s="436" t="s">
        <v>3657</v>
      </c>
      <c r="J2109" s="26" t="s">
        <v>3656</v>
      </c>
      <c r="K2109" s="10">
        <v>7.2</v>
      </c>
      <c r="L2109" s="73">
        <f>IF(Tank1!$C$23="No control",(SUMIF(Tank1!$B$32:$B$49,$J2109,Tank1!$C$32:$C$49)*Impacts!$F$8),0)</f>
        <v>0</v>
      </c>
      <c r="M2109" s="10">
        <f>IF(Tank2!$C$23="No control",(SUMIF(Tank2!$B$32:$B$49,$J2109,Tank2!$C$32:$C$49)*Impacts!$F$9),0)</f>
        <v>0</v>
      </c>
      <c r="N2109" s="10">
        <f>IF(Tank3!$C$23="No control",(SUMIF(Tank3!$B$32:$B$49,$J2109,Tank3!$C$32:$C$49)*Impacts!$F$10),0)</f>
        <v>0</v>
      </c>
      <c r="O2109" s="10">
        <f>IF(Tank4!$C$23="No control",(SUMIF(Tank4!$B$32:$B$49,$J2109,Tank4!$C$32:$C$49)*Impacts!$F$11),0)</f>
        <v>0</v>
      </c>
      <c r="P2109" s="10">
        <f>IF(Tank5!$C$23="No control",(SUMIF(Tank5!$B$32:$B$49,$J2109,Tank5!$C$32:$C$49)*Impacts!$F$12),0)</f>
        <v>0</v>
      </c>
      <c r="Q2109" s="10">
        <f>IFERROR(IF(('Loading-drum,tote'!$C$21)="No control",SUMIF(('Loading-drum,tote'!$B$31:$B$48),$J2109,('Loading-drum,tote'!$D$31:$D$48))*Impacts!$F$13,IF(('Loading-drum,tote'!$C$21)&lt;&gt;"No control",SUMIF(('Loading-drum,tote'!$B$31:$B$48),$J2109,('Loading-drum,tote'!$E$31:$E$48))*Impacts!$F$13,0)),0)</f>
        <v>0</v>
      </c>
      <c r="R2109" s="10">
        <f>IFERROR(IF(('Loading-truck'!$C$21)="No control",SUMIF(('Loading-truck'!$B$31:$B$48),$J2109,('Loading-truck'!$D$31:$D$48))*Impacts!$F$14,IF(('Loading-truck'!$C$21)&lt;&gt;"No control",SUMIF(('Loading-truck'!$B$31:$B$48),$J2109,('Loading-truck'!$E$31:$E$48))*Impacts!$F$14,0)),0)</f>
        <v>0</v>
      </c>
      <c r="S2109" s="10">
        <f>IFERROR(IF(('Loading-rail'!$C$21)="No control",SUMIF(('Loading-rail'!$B$31:$B$48),$J2109,('Loading-rail'!$D$31:$D$48))*Impacts!$F$15,IF(('Loading-rail'!$C$21)&lt;&gt;"No control",SUMIF(('Loading-rail'!$B$31:$B$48),$J2109,('Loading-rail'!$E$31:$E$48))*Impacts!$F$15,0)),0)</f>
        <v>0</v>
      </c>
      <c r="T2109" s="10">
        <f>IF(Flare!$C$7="",0,(SUMIF(Flare!$B$46:$B$185,$J2109,Flare!$E$46:$E$185)*Impacts!$F$16))</f>
        <v>0</v>
      </c>
      <c r="U2109" s="10">
        <f>IF(VCU!$C$9="",0,(SUMIF(VCU!$B$51:$B$193,$J2109,VCU!$E$51:$E$193)*Impacts!$F$17))</f>
        <v>0</v>
      </c>
      <c r="V2109" s="10">
        <f>IF(CAS!$C$7="",0,(SUMIF(CAS!$B$31:$B$167,$J2109,CAS!$E$31:$E$167)*Impacts!$F$18))</f>
        <v>0</v>
      </c>
      <c r="W2109" s="10">
        <f t="shared" si="73"/>
        <v>0</v>
      </c>
      <c r="AK2109" s="10" t="str">
        <f t="array" ref="AK2109">IFERROR(INDEX(SelectedSpecies,SMALL(IF(SelectedSpecies=AK$1,ROW(SelectedSpecies)),ROW(2110:2110)),2),"")</f>
        <v/>
      </c>
      <c r="BE2109" s="10"/>
      <c r="BI2109" s="10"/>
    </row>
    <row r="2110" spans="1:61" ht="21" customHeight="1" x14ac:dyDescent="0.25">
      <c r="A2110" s="10"/>
      <c r="B2110" s="10"/>
      <c r="E2110" s="10"/>
      <c r="G2110" s="10"/>
      <c r="I2110" s="436" t="s">
        <v>1915</v>
      </c>
      <c r="J2110" s="26" t="s">
        <v>1914</v>
      </c>
      <c r="K2110" s="10">
        <v>18.600000000000001</v>
      </c>
      <c r="L2110" s="73">
        <f>IF(Tank1!$C$23="No control",(SUMIF(Tank1!$B$32:$B$49,$J2110,Tank1!$C$32:$C$49)*Impacts!$F$8),0)</f>
        <v>0</v>
      </c>
      <c r="M2110" s="10">
        <f>IF(Tank2!$C$23="No control",(SUMIF(Tank2!$B$32:$B$49,$J2110,Tank2!$C$32:$C$49)*Impacts!$F$9),0)</f>
        <v>0</v>
      </c>
      <c r="N2110" s="10">
        <f>IF(Tank3!$C$23="No control",(SUMIF(Tank3!$B$32:$B$49,$J2110,Tank3!$C$32:$C$49)*Impacts!$F$10),0)</f>
        <v>0</v>
      </c>
      <c r="O2110" s="10">
        <f>IF(Tank4!$C$23="No control",(SUMIF(Tank4!$B$32:$B$49,$J2110,Tank4!$C$32:$C$49)*Impacts!$F$11),0)</f>
        <v>0</v>
      </c>
      <c r="P2110" s="10">
        <f>IF(Tank5!$C$23="No control",(SUMIF(Tank5!$B$32:$B$49,$J2110,Tank5!$C$32:$C$49)*Impacts!$F$12),0)</f>
        <v>0</v>
      </c>
      <c r="Q2110" s="10">
        <f>IFERROR(IF(('Loading-drum,tote'!$C$21)="No control",SUMIF(('Loading-drum,tote'!$B$31:$B$48),$J2110,('Loading-drum,tote'!$D$31:$D$48))*Impacts!$F$13,IF(('Loading-drum,tote'!$C$21)&lt;&gt;"No control",SUMIF(('Loading-drum,tote'!$B$31:$B$48),$J2110,('Loading-drum,tote'!$E$31:$E$48))*Impacts!$F$13,0)),0)</f>
        <v>0</v>
      </c>
      <c r="R2110" s="10">
        <f>IFERROR(IF(('Loading-truck'!$C$21)="No control",SUMIF(('Loading-truck'!$B$31:$B$48),$J2110,('Loading-truck'!$D$31:$D$48))*Impacts!$F$14,IF(('Loading-truck'!$C$21)&lt;&gt;"No control",SUMIF(('Loading-truck'!$B$31:$B$48),$J2110,('Loading-truck'!$E$31:$E$48))*Impacts!$F$14,0)),0)</f>
        <v>0</v>
      </c>
      <c r="S2110" s="10">
        <f>IFERROR(IF(('Loading-rail'!$C$21)="No control",SUMIF(('Loading-rail'!$B$31:$B$48),$J2110,('Loading-rail'!$D$31:$D$48))*Impacts!$F$15,IF(('Loading-rail'!$C$21)&lt;&gt;"No control",SUMIF(('Loading-rail'!$B$31:$B$48),$J2110,('Loading-rail'!$E$31:$E$48))*Impacts!$F$15,0)),0)</f>
        <v>0</v>
      </c>
      <c r="T2110" s="10">
        <f>IF(Flare!$C$7="",0,(SUMIF(Flare!$B$46:$B$185,$J2110,Flare!$E$46:$E$185)*Impacts!$F$16))</f>
        <v>0</v>
      </c>
      <c r="U2110" s="10">
        <f>IF(VCU!$C$9="",0,(SUMIF(VCU!$B$51:$B$193,$J2110,VCU!$E$51:$E$193)*Impacts!$F$17))</f>
        <v>0</v>
      </c>
      <c r="V2110" s="10">
        <f>IF(CAS!$C$7="",0,(SUMIF(CAS!$B$31:$B$167,$J2110,CAS!$E$31:$E$167)*Impacts!$F$18))</f>
        <v>0</v>
      </c>
      <c r="W2110" s="10">
        <f t="shared" si="73"/>
        <v>0</v>
      </c>
      <c r="AK2110" s="10" t="str">
        <f t="array" ref="AK2110">IFERROR(INDEX(SelectedSpecies,SMALL(IF(SelectedSpecies=AK$1,ROW(SelectedSpecies)),ROW(2111:2111)),2),"")</f>
        <v/>
      </c>
      <c r="BE2110" s="10"/>
      <c r="BI2110" s="10"/>
    </row>
    <row r="2111" spans="1:61" ht="21" customHeight="1" x14ac:dyDescent="0.25">
      <c r="A2111" s="10"/>
      <c r="B2111" s="10"/>
      <c r="E2111" s="10"/>
      <c r="G2111" s="10"/>
      <c r="I2111" s="436" t="s">
        <v>1342</v>
      </c>
      <c r="J2111" s="26" t="s">
        <v>1341</v>
      </c>
      <c r="K2111" s="10">
        <v>33</v>
      </c>
      <c r="L2111" s="73">
        <f>IF(Tank1!$C$23="No control",(SUMIF(Tank1!$B$32:$B$49,$J2111,Tank1!$C$32:$C$49)*Impacts!$F$8),0)</f>
        <v>0</v>
      </c>
      <c r="M2111" s="10">
        <f>IF(Tank2!$C$23="No control",(SUMIF(Tank2!$B$32:$B$49,$J2111,Tank2!$C$32:$C$49)*Impacts!$F$9),0)</f>
        <v>0</v>
      </c>
      <c r="N2111" s="10">
        <f>IF(Tank3!$C$23="No control",(SUMIF(Tank3!$B$32:$B$49,$J2111,Tank3!$C$32:$C$49)*Impacts!$F$10),0)</f>
        <v>0</v>
      </c>
      <c r="O2111" s="10">
        <f>IF(Tank4!$C$23="No control",(SUMIF(Tank4!$B$32:$B$49,$J2111,Tank4!$C$32:$C$49)*Impacts!$F$11),0)</f>
        <v>0</v>
      </c>
      <c r="P2111" s="10">
        <f>IF(Tank5!$C$23="No control",(SUMIF(Tank5!$B$32:$B$49,$J2111,Tank5!$C$32:$C$49)*Impacts!$F$12),0)</f>
        <v>0</v>
      </c>
      <c r="Q2111" s="10">
        <f>IFERROR(IF(('Loading-drum,tote'!$C$21)="No control",SUMIF(('Loading-drum,tote'!$B$31:$B$48),$J2111,('Loading-drum,tote'!$D$31:$D$48))*Impacts!$F$13,IF(('Loading-drum,tote'!$C$21)&lt;&gt;"No control",SUMIF(('Loading-drum,tote'!$B$31:$B$48),$J2111,('Loading-drum,tote'!$E$31:$E$48))*Impacts!$F$13,0)),0)</f>
        <v>0</v>
      </c>
      <c r="R2111" s="10">
        <f>IFERROR(IF(('Loading-truck'!$C$21)="No control",SUMIF(('Loading-truck'!$B$31:$B$48),$J2111,('Loading-truck'!$D$31:$D$48))*Impacts!$F$14,IF(('Loading-truck'!$C$21)&lt;&gt;"No control",SUMIF(('Loading-truck'!$B$31:$B$48),$J2111,('Loading-truck'!$E$31:$E$48))*Impacts!$F$14,0)),0)</f>
        <v>0</v>
      </c>
      <c r="S2111" s="10">
        <f>IFERROR(IF(('Loading-rail'!$C$21)="No control",SUMIF(('Loading-rail'!$B$31:$B$48),$J2111,('Loading-rail'!$D$31:$D$48))*Impacts!$F$15,IF(('Loading-rail'!$C$21)&lt;&gt;"No control",SUMIF(('Loading-rail'!$B$31:$B$48),$J2111,('Loading-rail'!$E$31:$E$48))*Impacts!$F$15,0)),0)</f>
        <v>0</v>
      </c>
      <c r="T2111" s="10">
        <f>IF(Flare!$C$7="",0,(SUMIF(Flare!$B$46:$B$185,$J2111,Flare!$E$46:$E$185)*Impacts!$F$16))</f>
        <v>0</v>
      </c>
      <c r="U2111" s="10">
        <f>IF(VCU!$C$9="",0,(SUMIF(VCU!$B$51:$B$193,$J2111,VCU!$E$51:$E$193)*Impacts!$F$17))</f>
        <v>0</v>
      </c>
      <c r="V2111" s="10">
        <f>IF(CAS!$C$7="",0,(SUMIF(CAS!$B$31:$B$167,$J2111,CAS!$E$31:$E$167)*Impacts!$F$18))</f>
        <v>0</v>
      </c>
      <c r="W2111" s="10">
        <f t="shared" si="73"/>
        <v>0</v>
      </c>
      <c r="AK2111" s="10" t="str">
        <f t="array" ref="AK2111">IFERROR(INDEX(SelectedSpecies,SMALL(IF(SelectedSpecies=AK$1,ROW(SelectedSpecies)),ROW(2112:2112)),2),"")</f>
        <v/>
      </c>
      <c r="BE2111" s="10"/>
      <c r="BI2111" s="10"/>
    </row>
    <row r="2112" spans="1:61" ht="21" customHeight="1" x14ac:dyDescent="0.25">
      <c r="A2112" s="10"/>
      <c r="B2112" s="10"/>
      <c r="E2112" s="10"/>
      <c r="G2112" s="10"/>
      <c r="I2112" s="436" t="s">
        <v>1550</v>
      </c>
      <c r="J2112" s="26" t="s">
        <v>1549</v>
      </c>
      <c r="K2112" s="10">
        <v>27</v>
      </c>
      <c r="L2112" s="73">
        <f>IF(Tank1!$C$23="No control",(SUMIF(Tank1!$B$32:$B$49,$J2112,Tank1!$C$32:$C$49)*Impacts!$F$8),0)</f>
        <v>0</v>
      </c>
      <c r="M2112" s="10">
        <f>IF(Tank2!$C$23="No control",(SUMIF(Tank2!$B$32:$B$49,$J2112,Tank2!$C$32:$C$49)*Impacts!$F$9),0)</f>
        <v>0</v>
      </c>
      <c r="N2112" s="10">
        <f>IF(Tank3!$C$23="No control",(SUMIF(Tank3!$B$32:$B$49,$J2112,Tank3!$C$32:$C$49)*Impacts!$F$10),0)</f>
        <v>0</v>
      </c>
      <c r="O2112" s="10">
        <f>IF(Tank4!$C$23="No control",(SUMIF(Tank4!$B$32:$B$49,$J2112,Tank4!$C$32:$C$49)*Impacts!$F$11),0)</f>
        <v>0</v>
      </c>
      <c r="P2112" s="10">
        <f>IF(Tank5!$C$23="No control",(SUMIF(Tank5!$B$32:$B$49,$J2112,Tank5!$C$32:$C$49)*Impacts!$F$12),0)</f>
        <v>0</v>
      </c>
      <c r="Q2112" s="10">
        <f>IFERROR(IF(('Loading-drum,tote'!$C$21)="No control",SUMIF(('Loading-drum,tote'!$B$31:$B$48),$J2112,('Loading-drum,tote'!$D$31:$D$48))*Impacts!$F$13,IF(('Loading-drum,tote'!$C$21)&lt;&gt;"No control",SUMIF(('Loading-drum,tote'!$B$31:$B$48),$J2112,('Loading-drum,tote'!$E$31:$E$48))*Impacts!$F$13,0)),0)</f>
        <v>0</v>
      </c>
      <c r="R2112" s="10">
        <f>IFERROR(IF(('Loading-truck'!$C$21)="No control",SUMIF(('Loading-truck'!$B$31:$B$48),$J2112,('Loading-truck'!$D$31:$D$48))*Impacts!$F$14,IF(('Loading-truck'!$C$21)&lt;&gt;"No control",SUMIF(('Loading-truck'!$B$31:$B$48),$J2112,('Loading-truck'!$E$31:$E$48))*Impacts!$F$14,0)),0)</f>
        <v>0</v>
      </c>
      <c r="S2112" s="10">
        <f>IFERROR(IF(('Loading-rail'!$C$21)="No control",SUMIF(('Loading-rail'!$B$31:$B$48),$J2112,('Loading-rail'!$D$31:$D$48))*Impacts!$F$15,IF(('Loading-rail'!$C$21)&lt;&gt;"No control",SUMIF(('Loading-rail'!$B$31:$B$48),$J2112,('Loading-rail'!$E$31:$E$48))*Impacts!$F$15,0)),0)</f>
        <v>0</v>
      </c>
      <c r="T2112" s="10">
        <f>IF(Flare!$C$7="",0,(SUMIF(Flare!$B$46:$B$185,$J2112,Flare!$E$46:$E$185)*Impacts!$F$16))</f>
        <v>0</v>
      </c>
      <c r="U2112" s="10">
        <f>IF(VCU!$C$9="",0,(SUMIF(VCU!$B$51:$B$193,$J2112,VCU!$E$51:$E$193)*Impacts!$F$17))</f>
        <v>0</v>
      </c>
      <c r="V2112" s="10">
        <f>IF(CAS!$C$7="",0,(SUMIF(CAS!$B$31:$B$167,$J2112,CAS!$E$31:$E$167)*Impacts!$F$18))</f>
        <v>0</v>
      </c>
      <c r="W2112" s="10">
        <f t="shared" si="73"/>
        <v>0</v>
      </c>
      <c r="AK2112" s="10" t="str">
        <f t="array" ref="AK2112">IFERROR(INDEX(SelectedSpecies,SMALL(IF(SelectedSpecies=AK$1,ROW(SelectedSpecies)),ROW(2113:2113)),2),"")</f>
        <v/>
      </c>
      <c r="BE2112" s="10"/>
      <c r="BI2112" s="10"/>
    </row>
    <row r="2113" spans="1:61" ht="21" customHeight="1" x14ac:dyDescent="0.25">
      <c r="A2113" s="10"/>
      <c r="B2113" s="10"/>
      <c r="E2113" s="10"/>
      <c r="G2113" s="10"/>
      <c r="I2113" s="436" t="s">
        <v>3811</v>
      </c>
      <c r="J2113" s="26" t="s">
        <v>3810</v>
      </c>
      <c r="K2113" s="10">
        <v>6</v>
      </c>
      <c r="L2113" s="73">
        <f>IF(Tank1!$C$23="No control",(SUMIF(Tank1!$B$32:$B$49,$J2113,Tank1!$C$32:$C$49)*Impacts!$F$8),0)</f>
        <v>0</v>
      </c>
      <c r="M2113" s="10">
        <f>IF(Tank2!$C$23="No control",(SUMIF(Tank2!$B$32:$B$49,$J2113,Tank2!$C$32:$C$49)*Impacts!$F$9),0)</f>
        <v>0</v>
      </c>
      <c r="N2113" s="10">
        <f>IF(Tank3!$C$23="No control",(SUMIF(Tank3!$B$32:$B$49,$J2113,Tank3!$C$32:$C$49)*Impacts!$F$10),0)</f>
        <v>0</v>
      </c>
      <c r="O2113" s="10">
        <f>IF(Tank4!$C$23="No control",(SUMIF(Tank4!$B$32:$B$49,$J2113,Tank4!$C$32:$C$49)*Impacts!$F$11),0)</f>
        <v>0</v>
      </c>
      <c r="P2113" s="10">
        <f>IF(Tank5!$C$23="No control",(SUMIF(Tank5!$B$32:$B$49,$J2113,Tank5!$C$32:$C$49)*Impacts!$F$12),0)</f>
        <v>0</v>
      </c>
      <c r="Q2113" s="10">
        <f>IFERROR(IF(('Loading-drum,tote'!$C$21)="No control",SUMIF(('Loading-drum,tote'!$B$31:$B$48),$J2113,('Loading-drum,tote'!$D$31:$D$48))*Impacts!$F$13,IF(('Loading-drum,tote'!$C$21)&lt;&gt;"No control",SUMIF(('Loading-drum,tote'!$B$31:$B$48),$J2113,('Loading-drum,tote'!$E$31:$E$48))*Impacts!$F$13,0)),0)</f>
        <v>0</v>
      </c>
      <c r="R2113" s="10">
        <f>IFERROR(IF(('Loading-truck'!$C$21)="No control",SUMIF(('Loading-truck'!$B$31:$B$48),$J2113,('Loading-truck'!$D$31:$D$48))*Impacts!$F$14,IF(('Loading-truck'!$C$21)&lt;&gt;"No control",SUMIF(('Loading-truck'!$B$31:$B$48),$J2113,('Loading-truck'!$E$31:$E$48))*Impacts!$F$14,0)),0)</f>
        <v>0</v>
      </c>
      <c r="S2113" s="10">
        <f>IFERROR(IF(('Loading-rail'!$C$21)="No control",SUMIF(('Loading-rail'!$B$31:$B$48),$J2113,('Loading-rail'!$D$31:$D$48))*Impacts!$F$15,IF(('Loading-rail'!$C$21)&lt;&gt;"No control",SUMIF(('Loading-rail'!$B$31:$B$48),$J2113,('Loading-rail'!$E$31:$E$48))*Impacts!$F$15,0)),0)</f>
        <v>0</v>
      </c>
      <c r="T2113" s="10">
        <f>IF(Flare!$C$7="",0,(SUMIF(Flare!$B$46:$B$185,$J2113,Flare!$E$46:$E$185)*Impacts!$F$16))</f>
        <v>0</v>
      </c>
      <c r="U2113" s="10">
        <f>IF(VCU!$C$9="",0,(SUMIF(VCU!$B$51:$B$193,$J2113,VCU!$E$51:$E$193)*Impacts!$F$17))</f>
        <v>0</v>
      </c>
      <c r="V2113" s="10">
        <f>IF(CAS!$C$7="",0,(SUMIF(CAS!$B$31:$B$167,$J2113,CAS!$E$31:$E$167)*Impacts!$F$18))</f>
        <v>0</v>
      </c>
      <c r="W2113" s="10">
        <f t="shared" si="73"/>
        <v>0</v>
      </c>
      <c r="AK2113" s="10" t="str">
        <f t="array" ref="AK2113">IFERROR(INDEX(SelectedSpecies,SMALL(IF(SelectedSpecies=AK$1,ROW(SelectedSpecies)),ROW(2114:2114)),2),"")</f>
        <v/>
      </c>
      <c r="BE2113" s="10"/>
      <c r="BI2113" s="10"/>
    </row>
    <row r="2114" spans="1:61" ht="21" customHeight="1" x14ac:dyDescent="0.25">
      <c r="A2114" s="10"/>
      <c r="B2114" s="10"/>
      <c r="E2114" s="10"/>
      <c r="G2114" s="10"/>
      <c r="I2114" s="436" t="s">
        <v>3751</v>
      </c>
      <c r="J2114" s="26" t="s">
        <v>3750</v>
      </c>
      <c r="K2114" s="10">
        <v>6.1000000000000005</v>
      </c>
      <c r="L2114" s="73">
        <f>IF(Tank1!$C$23="No control",(SUMIF(Tank1!$B$32:$B$49,$J2114,Tank1!$C$32:$C$49)*Impacts!$F$8),0)</f>
        <v>0</v>
      </c>
      <c r="M2114" s="10">
        <f>IF(Tank2!$C$23="No control",(SUMIF(Tank2!$B$32:$B$49,$J2114,Tank2!$C$32:$C$49)*Impacts!$F$9),0)</f>
        <v>0</v>
      </c>
      <c r="N2114" s="10">
        <f>IF(Tank3!$C$23="No control",(SUMIF(Tank3!$B$32:$B$49,$J2114,Tank3!$C$32:$C$49)*Impacts!$F$10),0)</f>
        <v>0</v>
      </c>
      <c r="O2114" s="10">
        <f>IF(Tank4!$C$23="No control",(SUMIF(Tank4!$B$32:$B$49,$J2114,Tank4!$C$32:$C$49)*Impacts!$F$11),0)</f>
        <v>0</v>
      </c>
      <c r="P2114" s="10">
        <f>IF(Tank5!$C$23="No control",(SUMIF(Tank5!$B$32:$B$49,$J2114,Tank5!$C$32:$C$49)*Impacts!$F$12),0)</f>
        <v>0</v>
      </c>
      <c r="Q2114" s="10">
        <f>IFERROR(IF(('Loading-drum,tote'!$C$21)="No control",SUMIF(('Loading-drum,tote'!$B$31:$B$48),$J2114,('Loading-drum,tote'!$D$31:$D$48))*Impacts!$F$13,IF(('Loading-drum,tote'!$C$21)&lt;&gt;"No control",SUMIF(('Loading-drum,tote'!$B$31:$B$48),$J2114,('Loading-drum,tote'!$E$31:$E$48))*Impacts!$F$13,0)),0)</f>
        <v>0</v>
      </c>
      <c r="R2114" s="10">
        <f>IFERROR(IF(('Loading-truck'!$C$21)="No control",SUMIF(('Loading-truck'!$B$31:$B$48),$J2114,('Loading-truck'!$D$31:$D$48))*Impacts!$F$14,IF(('Loading-truck'!$C$21)&lt;&gt;"No control",SUMIF(('Loading-truck'!$B$31:$B$48),$J2114,('Loading-truck'!$E$31:$E$48))*Impacts!$F$14,0)),0)</f>
        <v>0</v>
      </c>
      <c r="S2114" s="10">
        <f>IFERROR(IF(('Loading-rail'!$C$21)="No control",SUMIF(('Loading-rail'!$B$31:$B$48),$J2114,('Loading-rail'!$D$31:$D$48))*Impacts!$F$15,IF(('Loading-rail'!$C$21)&lt;&gt;"No control",SUMIF(('Loading-rail'!$B$31:$B$48),$J2114,('Loading-rail'!$E$31:$E$48))*Impacts!$F$15,0)),0)</f>
        <v>0</v>
      </c>
      <c r="T2114" s="10">
        <f>IF(Flare!$C$7="",0,(SUMIF(Flare!$B$46:$B$185,$J2114,Flare!$E$46:$E$185)*Impacts!$F$16))</f>
        <v>0</v>
      </c>
      <c r="U2114" s="10">
        <f>IF(VCU!$C$9="",0,(SUMIF(VCU!$B$51:$B$193,$J2114,VCU!$E$51:$E$193)*Impacts!$F$17))</f>
        <v>0</v>
      </c>
      <c r="V2114" s="10">
        <f>IF(CAS!$C$7="",0,(SUMIF(CAS!$B$31:$B$167,$J2114,CAS!$E$31:$E$167)*Impacts!$F$18))</f>
        <v>0</v>
      </c>
      <c r="W2114" s="10">
        <f t="shared" si="73"/>
        <v>0</v>
      </c>
      <c r="AK2114" s="10" t="str">
        <f t="array" ref="AK2114">IFERROR(INDEX(SelectedSpecies,SMALL(IF(SelectedSpecies=AK$1,ROW(SelectedSpecies)),ROW(2115:2115)),2),"")</f>
        <v/>
      </c>
      <c r="BE2114" s="10"/>
      <c r="BI2114" s="10"/>
    </row>
    <row r="2115" spans="1:61" ht="21" customHeight="1" x14ac:dyDescent="0.25">
      <c r="A2115" s="10"/>
      <c r="B2115" s="10"/>
      <c r="E2115" s="10"/>
      <c r="G2115" s="10"/>
      <c r="I2115" s="436" t="s">
        <v>7588</v>
      </c>
      <c r="J2115" s="26" t="s">
        <v>7587</v>
      </c>
      <c r="K2115" s="10">
        <v>0.18000000000000002</v>
      </c>
      <c r="L2115" s="73">
        <f>IF(Tank1!$C$23="No control",(SUMIF(Tank1!$B$32:$B$49,$J2115,Tank1!$C$32:$C$49)*Impacts!$F$8),0)</f>
        <v>0</v>
      </c>
      <c r="M2115" s="10">
        <f>IF(Tank2!$C$23="No control",(SUMIF(Tank2!$B$32:$B$49,$J2115,Tank2!$C$32:$C$49)*Impacts!$F$9),0)</f>
        <v>0</v>
      </c>
      <c r="N2115" s="10">
        <f>IF(Tank3!$C$23="No control",(SUMIF(Tank3!$B$32:$B$49,$J2115,Tank3!$C$32:$C$49)*Impacts!$F$10),0)</f>
        <v>0</v>
      </c>
      <c r="O2115" s="10">
        <f>IF(Tank4!$C$23="No control",(SUMIF(Tank4!$B$32:$B$49,$J2115,Tank4!$C$32:$C$49)*Impacts!$F$11),0)</f>
        <v>0</v>
      </c>
      <c r="P2115" s="10">
        <f>IF(Tank5!$C$23="No control",(SUMIF(Tank5!$B$32:$B$49,$J2115,Tank5!$C$32:$C$49)*Impacts!$F$12),0)</f>
        <v>0</v>
      </c>
      <c r="Q2115" s="10">
        <f>IFERROR(IF(('Loading-drum,tote'!$C$21)="No control",SUMIF(('Loading-drum,tote'!$B$31:$B$48),$J2115,('Loading-drum,tote'!$D$31:$D$48))*Impacts!$F$13,IF(('Loading-drum,tote'!$C$21)&lt;&gt;"No control",SUMIF(('Loading-drum,tote'!$B$31:$B$48),$J2115,('Loading-drum,tote'!$E$31:$E$48))*Impacts!$F$13,0)),0)</f>
        <v>0</v>
      </c>
      <c r="R2115" s="10">
        <f>IFERROR(IF(('Loading-truck'!$C$21)="No control",SUMIF(('Loading-truck'!$B$31:$B$48),$J2115,('Loading-truck'!$D$31:$D$48))*Impacts!$F$14,IF(('Loading-truck'!$C$21)&lt;&gt;"No control",SUMIF(('Loading-truck'!$B$31:$B$48),$J2115,('Loading-truck'!$E$31:$E$48))*Impacts!$F$14,0)),0)</f>
        <v>0</v>
      </c>
      <c r="S2115" s="10">
        <f>IFERROR(IF(('Loading-rail'!$C$21)="No control",SUMIF(('Loading-rail'!$B$31:$B$48),$J2115,('Loading-rail'!$D$31:$D$48))*Impacts!$F$15,IF(('Loading-rail'!$C$21)&lt;&gt;"No control",SUMIF(('Loading-rail'!$B$31:$B$48),$J2115,('Loading-rail'!$E$31:$E$48))*Impacts!$F$15,0)),0)</f>
        <v>0</v>
      </c>
      <c r="T2115" s="10">
        <f>IF(Flare!$C$7="",0,(SUMIF(Flare!$B$46:$B$185,$J2115,Flare!$E$46:$E$185)*Impacts!$F$16))</f>
        <v>0</v>
      </c>
      <c r="U2115" s="10">
        <f>IF(VCU!$C$9="",0,(SUMIF(VCU!$B$51:$B$193,$J2115,VCU!$E$51:$E$193)*Impacts!$F$17))</f>
        <v>0</v>
      </c>
      <c r="V2115" s="10">
        <f>IF(CAS!$C$7="",0,(SUMIF(CAS!$B$31:$B$167,$J2115,CAS!$E$31:$E$167)*Impacts!$F$18))</f>
        <v>0</v>
      </c>
      <c r="W2115" s="10">
        <f t="shared" si="73"/>
        <v>0</v>
      </c>
      <c r="AK2115" s="10" t="str">
        <f t="array" ref="AK2115">IFERROR(INDEX(SelectedSpecies,SMALL(IF(SelectedSpecies=AK$1,ROW(SelectedSpecies)),ROW(2116:2116)),2),"")</f>
        <v/>
      </c>
      <c r="BE2115" s="10"/>
      <c r="BI2115" s="10"/>
    </row>
    <row r="2116" spans="1:61" ht="21" customHeight="1" x14ac:dyDescent="0.25">
      <c r="A2116" s="10"/>
      <c r="B2116" s="10"/>
      <c r="E2116" s="10"/>
      <c r="G2116" s="10"/>
      <c r="I2116" s="436" t="s">
        <v>4207</v>
      </c>
      <c r="J2116" s="26" t="s">
        <v>4206</v>
      </c>
      <c r="K2116" s="10">
        <v>5</v>
      </c>
      <c r="L2116" s="73">
        <f>IF(Tank1!$C$23="No control",(SUMIF(Tank1!$B$32:$B$49,$J2116,Tank1!$C$32:$C$49)*Impacts!$F$8),0)</f>
        <v>0</v>
      </c>
      <c r="M2116" s="10">
        <f>IF(Tank2!$C$23="No control",(SUMIF(Tank2!$B$32:$B$49,$J2116,Tank2!$C$32:$C$49)*Impacts!$F$9),0)</f>
        <v>0</v>
      </c>
      <c r="N2116" s="10">
        <f>IF(Tank3!$C$23="No control",(SUMIF(Tank3!$B$32:$B$49,$J2116,Tank3!$C$32:$C$49)*Impacts!$F$10),0)</f>
        <v>0</v>
      </c>
      <c r="O2116" s="10">
        <f>IF(Tank4!$C$23="No control",(SUMIF(Tank4!$B$32:$B$49,$J2116,Tank4!$C$32:$C$49)*Impacts!$F$11),0)</f>
        <v>0</v>
      </c>
      <c r="P2116" s="10">
        <f>IF(Tank5!$C$23="No control",(SUMIF(Tank5!$B$32:$B$49,$J2116,Tank5!$C$32:$C$49)*Impacts!$F$12),0)</f>
        <v>0</v>
      </c>
      <c r="Q2116" s="10">
        <f>IFERROR(IF(('Loading-drum,tote'!$C$21)="No control",SUMIF(('Loading-drum,tote'!$B$31:$B$48),$J2116,('Loading-drum,tote'!$D$31:$D$48))*Impacts!$F$13,IF(('Loading-drum,tote'!$C$21)&lt;&gt;"No control",SUMIF(('Loading-drum,tote'!$B$31:$B$48),$J2116,('Loading-drum,tote'!$E$31:$E$48))*Impacts!$F$13,0)),0)</f>
        <v>0</v>
      </c>
      <c r="R2116" s="10">
        <f>IFERROR(IF(('Loading-truck'!$C$21)="No control",SUMIF(('Loading-truck'!$B$31:$B$48),$J2116,('Loading-truck'!$D$31:$D$48))*Impacts!$F$14,IF(('Loading-truck'!$C$21)&lt;&gt;"No control",SUMIF(('Loading-truck'!$B$31:$B$48),$J2116,('Loading-truck'!$E$31:$E$48))*Impacts!$F$14,0)),0)</f>
        <v>0</v>
      </c>
      <c r="S2116" s="10">
        <f>IFERROR(IF(('Loading-rail'!$C$21)="No control",SUMIF(('Loading-rail'!$B$31:$B$48),$J2116,('Loading-rail'!$D$31:$D$48))*Impacts!$F$15,IF(('Loading-rail'!$C$21)&lt;&gt;"No control",SUMIF(('Loading-rail'!$B$31:$B$48),$J2116,('Loading-rail'!$E$31:$E$48))*Impacts!$F$15,0)),0)</f>
        <v>0</v>
      </c>
      <c r="T2116" s="10">
        <f>IF(Flare!$C$7="",0,(SUMIF(Flare!$B$46:$B$185,$J2116,Flare!$E$46:$E$185)*Impacts!$F$16))</f>
        <v>0</v>
      </c>
      <c r="U2116" s="10">
        <f>IF(VCU!$C$9="",0,(SUMIF(VCU!$B$51:$B$193,$J2116,VCU!$E$51:$E$193)*Impacts!$F$17))</f>
        <v>0</v>
      </c>
      <c r="V2116" s="10">
        <f>IF(CAS!$C$7="",0,(SUMIF(CAS!$B$31:$B$167,$J2116,CAS!$E$31:$E$167)*Impacts!$F$18))</f>
        <v>0</v>
      </c>
      <c r="W2116" s="10">
        <f t="shared" si="73"/>
        <v>0</v>
      </c>
      <c r="AK2116" s="10" t="str">
        <f t="array" ref="AK2116">IFERROR(INDEX(SelectedSpecies,SMALL(IF(SelectedSpecies=AK$1,ROW(SelectedSpecies)),ROW(2117:2117)),2),"")</f>
        <v/>
      </c>
      <c r="BE2116" s="10"/>
      <c r="BI2116" s="10"/>
    </row>
    <row r="2117" spans="1:61" ht="21" customHeight="1" x14ac:dyDescent="0.25">
      <c r="A2117" s="10"/>
      <c r="B2117" s="10"/>
      <c r="E2117" s="10"/>
      <c r="G2117" s="10"/>
      <c r="I2117" s="436" t="s">
        <v>7278</v>
      </c>
      <c r="J2117" s="26" t="s">
        <v>7277</v>
      </c>
      <c r="K2117" s="10">
        <v>0.30000000000000004</v>
      </c>
      <c r="L2117" s="73">
        <f>IF(Tank1!$C$23="No control",(SUMIF(Tank1!$B$32:$B$49,$J2117,Tank1!$C$32:$C$49)*Impacts!$F$8),0)</f>
        <v>0</v>
      </c>
      <c r="M2117" s="10">
        <f>IF(Tank2!$C$23="No control",(SUMIF(Tank2!$B$32:$B$49,$J2117,Tank2!$C$32:$C$49)*Impacts!$F$9),0)</f>
        <v>0</v>
      </c>
      <c r="N2117" s="10">
        <f>IF(Tank3!$C$23="No control",(SUMIF(Tank3!$B$32:$B$49,$J2117,Tank3!$C$32:$C$49)*Impacts!$F$10),0)</f>
        <v>0</v>
      </c>
      <c r="O2117" s="10">
        <f>IF(Tank4!$C$23="No control",(SUMIF(Tank4!$B$32:$B$49,$J2117,Tank4!$C$32:$C$49)*Impacts!$F$11),0)</f>
        <v>0</v>
      </c>
      <c r="P2117" s="10">
        <f>IF(Tank5!$C$23="No control",(SUMIF(Tank5!$B$32:$B$49,$J2117,Tank5!$C$32:$C$49)*Impacts!$F$12),0)</f>
        <v>0</v>
      </c>
      <c r="Q2117" s="10">
        <f>IFERROR(IF(('Loading-drum,tote'!$C$21)="No control",SUMIF(('Loading-drum,tote'!$B$31:$B$48),$J2117,('Loading-drum,tote'!$D$31:$D$48))*Impacts!$F$13,IF(('Loading-drum,tote'!$C$21)&lt;&gt;"No control",SUMIF(('Loading-drum,tote'!$B$31:$B$48),$J2117,('Loading-drum,tote'!$E$31:$E$48))*Impacts!$F$13,0)),0)</f>
        <v>0</v>
      </c>
      <c r="R2117" s="10">
        <f>IFERROR(IF(('Loading-truck'!$C$21)="No control",SUMIF(('Loading-truck'!$B$31:$B$48),$J2117,('Loading-truck'!$D$31:$D$48))*Impacts!$F$14,IF(('Loading-truck'!$C$21)&lt;&gt;"No control",SUMIF(('Loading-truck'!$B$31:$B$48),$J2117,('Loading-truck'!$E$31:$E$48))*Impacts!$F$14,0)),0)</f>
        <v>0</v>
      </c>
      <c r="S2117" s="10">
        <f>IFERROR(IF(('Loading-rail'!$C$21)="No control",SUMIF(('Loading-rail'!$B$31:$B$48),$J2117,('Loading-rail'!$D$31:$D$48))*Impacts!$F$15,IF(('Loading-rail'!$C$21)&lt;&gt;"No control",SUMIF(('Loading-rail'!$B$31:$B$48),$J2117,('Loading-rail'!$E$31:$E$48))*Impacts!$F$15,0)),0)</f>
        <v>0</v>
      </c>
      <c r="T2117" s="10">
        <f>IF(Flare!$C$7="",0,(SUMIF(Flare!$B$46:$B$185,$J2117,Flare!$E$46:$E$185)*Impacts!$F$16))</f>
        <v>0</v>
      </c>
      <c r="U2117" s="10">
        <f>IF(VCU!$C$9="",0,(SUMIF(VCU!$B$51:$B$193,$J2117,VCU!$E$51:$E$193)*Impacts!$F$17))</f>
        <v>0</v>
      </c>
      <c r="V2117" s="10">
        <f>IF(CAS!$C$7="",0,(SUMIF(CAS!$B$31:$B$167,$J2117,CAS!$E$31:$E$167)*Impacts!$F$18))</f>
        <v>0</v>
      </c>
      <c r="W2117" s="10">
        <f t="shared" si="73"/>
        <v>0</v>
      </c>
      <c r="AK2117" s="10" t="str">
        <f t="array" ref="AK2117">IFERROR(INDEX(SelectedSpecies,SMALL(IF(SelectedSpecies=AK$1,ROW(SelectedSpecies)),ROW(2118:2118)),2),"")</f>
        <v/>
      </c>
      <c r="BE2117" s="10"/>
      <c r="BI2117" s="10"/>
    </row>
    <row r="2118" spans="1:61" ht="21" customHeight="1" x14ac:dyDescent="0.25">
      <c r="A2118" s="10"/>
      <c r="B2118" s="10"/>
      <c r="E2118" s="10"/>
      <c r="G2118" s="10"/>
      <c r="I2118" s="436" t="s">
        <v>962</v>
      </c>
      <c r="J2118" s="26" t="s">
        <v>961</v>
      </c>
      <c r="K2118" s="10">
        <v>38</v>
      </c>
      <c r="L2118" s="73">
        <f>IF(Tank1!$C$23="No control",(SUMIF(Tank1!$B$32:$B$49,$J2118,Tank1!$C$32:$C$49)*Impacts!$F$8),0)</f>
        <v>0</v>
      </c>
      <c r="M2118" s="10">
        <f>IF(Tank2!$C$23="No control",(SUMIF(Tank2!$B$32:$B$49,$J2118,Tank2!$C$32:$C$49)*Impacts!$F$9),0)</f>
        <v>0</v>
      </c>
      <c r="N2118" s="10">
        <f>IF(Tank3!$C$23="No control",(SUMIF(Tank3!$B$32:$B$49,$J2118,Tank3!$C$32:$C$49)*Impacts!$F$10),0)</f>
        <v>0</v>
      </c>
      <c r="O2118" s="10">
        <f>IF(Tank4!$C$23="No control",(SUMIF(Tank4!$B$32:$B$49,$J2118,Tank4!$C$32:$C$49)*Impacts!$F$11),0)</f>
        <v>0</v>
      </c>
      <c r="P2118" s="10">
        <f>IF(Tank5!$C$23="No control",(SUMIF(Tank5!$B$32:$B$49,$J2118,Tank5!$C$32:$C$49)*Impacts!$F$12),0)</f>
        <v>0</v>
      </c>
      <c r="Q2118" s="10">
        <f>IFERROR(IF(('Loading-drum,tote'!$C$21)="No control",SUMIF(('Loading-drum,tote'!$B$31:$B$48),$J2118,('Loading-drum,tote'!$D$31:$D$48))*Impacts!$F$13,IF(('Loading-drum,tote'!$C$21)&lt;&gt;"No control",SUMIF(('Loading-drum,tote'!$B$31:$B$48),$J2118,('Loading-drum,tote'!$E$31:$E$48))*Impacts!$F$13,0)),0)</f>
        <v>0</v>
      </c>
      <c r="R2118" s="10">
        <f>IFERROR(IF(('Loading-truck'!$C$21)="No control",SUMIF(('Loading-truck'!$B$31:$B$48),$J2118,('Loading-truck'!$D$31:$D$48))*Impacts!$F$14,IF(('Loading-truck'!$C$21)&lt;&gt;"No control",SUMIF(('Loading-truck'!$B$31:$B$48),$J2118,('Loading-truck'!$E$31:$E$48))*Impacts!$F$14,0)),0)</f>
        <v>0</v>
      </c>
      <c r="S2118" s="10">
        <f>IFERROR(IF(('Loading-rail'!$C$21)="No control",SUMIF(('Loading-rail'!$B$31:$B$48),$J2118,('Loading-rail'!$D$31:$D$48))*Impacts!$F$15,IF(('Loading-rail'!$C$21)&lt;&gt;"No control",SUMIF(('Loading-rail'!$B$31:$B$48),$J2118,('Loading-rail'!$E$31:$E$48))*Impacts!$F$15,0)),0)</f>
        <v>0</v>
      </c>
      <c r="T2118" s="10">
        <f>IF(Flare!$C$7="",0,(SUMIF(Flare!$B$46:$B$185,$J2118,Flare!$E$46:$E$185)*Impacts!$F$16))</f>
        <v>0</v>
      </c>
      <c r="U2118" s="10">
        <f>IF(VCU!$C$9="",0,(SUMIF(VCU!$B$51:$B$193,$J2118,VCU!$E$51:$E$193)*Impacts!$F$17))</f>
        <v>0</v>
      </c>
      <c r="V2118" s="10">
        <f>IF(CAS!$C$7="",0,(SUMIF(CAS!$B$31:$B$167,$J2118,CAS!$E$31:$E$167)*Impacts!$F$18))</f>
        <v>0</v>
      </c>
      <c r="W2118" s="10">
        <f t="shared" si="73"/>
        <v>0</v>
      </c>
      <c r="AK2118" s="10" t="str">
        <f t="array" ref="AK2118">IFERROR(INDEX(SelectedSpecies,SMALL(IF(SelectedSpecies=AK$1,ROW(SelectedSpecies)),ROW(2119:2119)),2),"")</f>
        <v/>
      </c>
      <c r="BE2118" s="10"/>
      <c r="BI2118" s="10"/>
    </row>
    <row r="2119" spans="1:61" ht="21" customHeight="1" x14ac:dyDescent="0.25">
      <c r="A2119" s="10"/>
      <c r="B2119" s="10"/>
      <c r="E2119" s="10"/>
      <c r="G2119" s="10"/>
      <c r="I2119" s="436" t="s">
        <v>8246</v>
      </c>
      <c r="J2119" s="26" t="s">
        <v>8245</v>
      </c>
      <c r="K2119" s="10">
        <v>6.0000000000000001E-3</v>
      </c>
      <c r="L2119" s="73">
        <f>IF(Tank1!$C$23="No control",(SUMIF(Tank1!$B$32:$B$49,$J2119,Tank1!$C$32:$C$49)*Impacts!$F$8),0)</f>
        <v>0</v>
      </c>
      <c r="M2119" s="10">
        <f>IF(Tank2!$C$23="No control",(SUMIF(Tank2!$B$32:$B$49,$J2119,Tank2!$C$32:$C$49)*Impacts!$F$9),0)</f>
        <v>0</v>
      </c>
      <c r="N2119" s="10">
        <f>IF(Tank3!$C$23="No control",(SUMIF(Tank3!$B$32:$B$49,$J2119,Tank3!$C$32:$C$49)*Impacts!$F$10),0)</f>
        <v>0</v>
      </c>
      <c r="O2119" s="10">
        <f>IF(Tank4!$C$23="No control",(SUMIF(Tank4!$B$32:$B$49,$J2119,Tank4!$C$32:$C$49)*Impacts!$F$11),0)</f>
        <v>0</v>
      </c>
      <c r="P2119" s="10">
        <f>IF(Tank5!$C$23="No control",(SUMIF(Tank5!$B$32:$B$49,$J2119,Tank5!$C$32:$C$49)*Impacts!$F$12),0)</f>
        <v>0</v>
      </c>
      <c r="Q2119" s="10">
        <f>IFERROR(IF(('Loading-drum,tote'!$C$21)="No control",SUMIF(('Loading-drum,tote'!$B$31:$B$48),$J2119,('Loading-drum,tote'!$D$31:$D$48))*Impacts!$F$13,IF(('Loading-drum,tote'!$C$21)&lt;&gt;"No control",SUMIF(('Loading-drum,tote'!$B$31:$B$48),$J2119,('Loading-drum,tote'!$E$31:$E$48))*Impacts!$F$13,0)),0)</f>
        <v>0</v>
      </c>
      <c r="R2119" s="10">
        <f>IFERROR(IF(('Loading-truck'!$C$21)="No control",SUMIF(('Loading-truck'!$B$31:$B$48),$J2119,('Loading-truck'!$D$31:$D$48))*Impacts!$F$14,IF(('Loading-truck'!$C$21)&lt;&gt;"No control",SUMIF(('Loading-truck'!$B$31:$B$48),$J2119,('Loading-truck'!$E$31:$E$48))*Impacts!$F$14,0)),0)</f>
        <v>0</v>
      </c>
      <c r="S2119" s="10">
        <f>IFERROR(IF(('Loading-rail'!$C$21)="No control",SUMIF(('Loading-rail'!$B$31:$B$48),$J2119,('Loading-rail'!$D$31:$D$48))*Impacts!$F$15,IF(('Loading-rail'!$C$21)&lt;&gt;"No control",SUMIF(('Loading-rail'!$B$31:$B$48),$J2119,('Loading-rail'!$E$31:$E$48))*Impacts!$F$15,0)),0)</f>
        <v>0</v>
      </c>
      <c r="T2119" s="10">
        <f>IF(Flare!$C$7="",0,(SUMIF(Flare!$B$46:$B$185,$J2119,Flare!$E$46:$E$185)*Impacts!$F$16))</f>
        <v>0</v>
      </c>
      <c r="U2119" s="10">
        <f>IF(VCU!$C$9="",0,(SUMIF(VCU!$B$51:$B$193,$J2119,VCU!$E$51:$E$193)*Impacts!$F$17))</f>
        <v>0</v>
      </c>
      <c r="V2119" s="10">
        <f>IF(CAS!$C$7="",0,(SUMIF(CAS!$B$31:$B$167,$J2119,CAS!$E$31:$E$167)*Impacts!$F$18))</f>
        <v>0</v>
      </c>
      <c r="W2119" s="10">
        <f t="shared" si="73"/>
        <v>0</v>
      </c>
      <c r="AK2119" s="10" t="str">
        <f t="array" ref="AK2119">IFERROR(INDEX(SelectedSpecies,SMALL(IF(SelectedSpecies=AK$1,ROW(SelectedSpecies)),ROW(2120:2120)),2),"")</f>
        <v/>
      </c>
      <c r="BE2119" s="10"/>
      <c r="BI2119" s="10"/>
    </row>
    <row r="2120" spans="1:61" ht="21" customHeight="1" x14ac:dyDescent="0.25">
      <c r="A2120" s="10"/>
      <c r="B2120" s="10"/>
      <c r="E2120" s="10"/>
      <c r="G2120" s="10"/>
      <c r="I2120" s="436" t="s">
        <v>7364</v>
      </c>
      <c r="J2120" s="26" t="s">
        <v>7363</v>
      </c>
      <c r="K2120" s="10">
        <v>0.25</v>
      </c>
      <c r="L2120" s="73">
        <f>IF(Tank1!$C$23="No control",(SUMIF(Tank1!$B$32:$B$49,$J2120,Tank1!$C$32:$C$49)*Impacts!$F$8),0)</f>
        <v>0</v>
      </c>
      <c r="M2120" s="10">
        <f>IF(Tank2!$C$23="No control",(SUMIF(Tank2!$B$32:$B$49,$J2120,Tank2!$C$32:$C$49)*Impacts!$F$9),0)</f>
        <v>0</v>
      </c>
      <c r="N2120" s="10">
        <f>IF(Tank3!$C$23="No control",(SUMIF(Tank3!$B$32:$B$49,$J2120,Tank3!$C$32:$C$49)*Impacts!$F$10),0)</f>
        <v>0</v>
      </c>
      <c r="O2120" s="10">
        <f>IF(Tank4!$C$23="No control",(SUMIF(Tank4!$B$32:$B$49,$J2120,Tank4!$C$32:$C$49)*Impacts!$F$11),0)</f>
        <v>0</v>
      </c>
      <c r="P2120" s="10">
        <f>IF(Tank5!$C$23="No control",(SUMIF(Tank5!$B$32:$B$49,$J2120,Tank5!$C$32:$C$49)*Impacts!$F$12),0)</f>
        <v>0</v>
      </c>
      <c r="Q2120" s="10">
        <f>IFERROR(IF(('Loading-drum,tote'!$C$21)="No control",SUMIF(('Loading-drum,tote'!$B$31:$B$48),$J2120,('Loading-drum,tote'!$D$31:$D$48))*Impacts!$F$13,IF(('Loading-drum,tote'!$C$21)&lt;&gt;"No control",SUMIF(('Loading-drum,tote'!$B$31:$B$48),$J2120,('Loading-drum,tote'!$E$31:$E$48))*Impacts!$F$13,0)),0)</f>
        <v>0</v>
      </c>
      <c r="R2120" s="10">
        <f>IFERROR(IF(('Loading-truck'!$C$21)="No control",SUMIF(('Loading-truck'!$B$31:$B$48),$J2120,('Loading-truck'!$D$31:$D$48))*Impacts!$F$14,IF(('Loading-truck'!$C$21)&lt;&gt;"No control",SUMIF(('Loading-truck'!$B$31:$B$48),$J2120,('Loading-truck'!$E$31:$E$48))*Impacts!$F$14,0)),0)</f>
        <v>0</v>
      </c>
      <c r="S2120" s="10">
        <f>IFERROR(IF(('Loading-rail'!$C$21)="No control",SUMIF(('Loading-rail'!$B$31:$B$48),$J2120,('Loading-rail'!$D$31:$D$48))*Impacts!$F$15,IF(('Loading-rail'!$C$21)&lt;&gt;"No control",SUMIF(('Loading-rail'!$B$31:$B$48),$J2120,('Loading-rail'!$E$31:$E$48))*Impacts!$F$15,0)),0)</f>
        <v>0</v>
      </c>
      <c r="T2120" s="10">
        <f>IF(Flare!$C$7="",0,(SUMIF(Flare!$B$46:$B$185,$J2120,Flare!$E$46:$E$185)*Impacts!$F$16))</f>
        <v>0</v>
      </c>
      <c r="U2120" s="10">
        <f>IF(VCU!$C$9="",0,(SUMIF(VCU!$B$51:$B$193,$J2120,VCU!$E$51:$E$193)*Impacts!$F$17))</f>
        <v>0</v>
      </c>
      <c r="V2120" s="10">
        <f>IF(CAS!$C$7="",0,(SUMIF(CAS!$B$31:$B$167,$J2120,CAS!$E$31:$E$167)*Impacts!$F$18))</f>
        <v>0</v>
      </c>
      <c r="W2120" s="10">
        <f t="shared" si="73"/>
        <v>0</v>
      </c>
      <c r="AK2120" s="10" t="str">
        <f t="array" ref="AK2120">IFERROR(INDEX(SelectedSpecies,SMALL(IF(SelectedSpecies=AK$1,ROW(SelectedSpecies)),ROW(2121:2121)),2),"")</f>
        <v/>
      </c>
      <c r="BE2120" s="10"/>
      <c r="BI2120" s="10"/>
    </row>
    <row r="2121" spans="1:61" ht="21" customHeight="1" x14ac:dyDescent="0.25">
      <c r="A2121" s="10"/>
      <c r="B2121" s="10"/>
      <c r="E2121" s="10"/>
      <c r="G2121" s="10"/>
      <c r="I2121" s="436" t="s">
        <v>7502</v>
      </c>
      <c r="J2121" s="26" t="s">
        <v>7501</v>
      </c>
      <c r="K2121" s="10">
        <v>0.2</v>
      </c>
      <c r="L2121" s="73">
        <f>IF(Tank1!$C$23="No control",(SUMIF(Tank1!$B$32:$B$49,$J2121,Tank1!$C$32:$C$49)*Impacts!$F$8),0)</f>
        <v>0</v>
      </c>
      <c r="M2121" s="10">
        <f>IF(Tank2!$C$23="No control",(SUMIF(Tank2!$B$32:$B$49,$J2121,Tank2!$C$32:$C$49)*Impacts!$F$9),0)</f>
        <v>0</v>
      </c>
      <c r="N2121" s="10">
        <f>IF(Tank3!$C$23="No control",(SUMIF(Tank3!$B$32:$B$49,$J2121,Tank3!$C$32:$C$49)*Impacts!$F$10),0)</f>
        <v>0</v>
      </c>
      <c r="O2121" s="10">
        <f>IF(Tank4!$C$23="No control",(SUMIF(Tank4!$B$32:$B$49,$J2121,Tank4!$C$32:$C$49)*Impacts!$F$11),0)</f>
        <v>0</v>
      </c>
      <c r="P2121" s="10">
        <f>IF(Tank5!$C$23="No control",(SUMIF(Tank5!$B$32:$B$49,$J2121,Tank5!$C$32:$C$49)*Impacts!$F$12),0)</f>
        <v>0</v>
      </c>
      <c r="Q2121" s="10">
        <f>IFERROR(IF(('Loading-drum,tote'!$C$21)="No control",SUMIF(('Loading-drum,tote'!$B$31:$B$48),$J2121,('Loading-drum,tote'!$D$31:$D$48))*Impacts!$F$13,IF(('Loading-drum,tote'!$C$21)&lt;&gt;"No control",SUMIF(('Loading-drum,tote'!$B$31:$B$48),$J2121,('Loading-drum,tote'!$E$31:$E$48))*Impacts!$F$13,0)),0)</f>
        <v>0</v>
      </c>
      <c r="R2121" s="10">
        <f>IFERROR(IF(('Loading-truck'!$C$21)="No control",SUMIF(('Loading-truck'!$B$31:$B$48),$J2121,('Loading-truck'!$D$31:$D$48))*Impacts!$F$14,IF(('Loading-truck'!$C$21)&lt;&gt;"No control",SUMIF(('Loading-truck'!$B$31:$B$48),$J2121,('Loading-truck'!$E$31:$E$48))*Impacts!$F$14,0)),0)</f>
        <v>0</v>
      </c>
      <c r="S2121" s="10">
        <f>IFERROR(IF(('Loading-rail'!$C$21)="No control",SUMIF(('Loading-rail'!$B$31:$B$48),$J2121,('Loading-rail'!$D$31:$D$48))*Impacts!$F$15,IF(('Loading-rail'!$C$21)&lt;&gt;"No control",SUMIF(('Loading-rail'!$B$31:$B$48),$J2121,('Loading-rail'!$E$31:$E$48))*Impacts!$F$15,0)),0)</f>
        <v>0</v>
      </c>
      <c r="T2121" s="10">
        <f>IF(Flare!$C$7="",0,(SUMIF(Flare!$B$46:$B$185,$J2121,Flare!$E$46:$E$185)*Impacts!$F$16))</f>
        <v>0</v>
      </c>
      <c r="U2121" s="10">
        <f>IF(VCU!$C$9="",0,(SUMIF(VCU!$B$51:$B$193,$J2121,VCU!$E$51:$E$193)*Impacts!$F$17))</f>
        <v>0</v>
      </c>
      <c r="V2121" s="10">
        <f>IF(CAS!$C$7="",0,(SUMIF(CAS!$B$31:$B$167,$J2121,CAS!$E$31:$E$167)*Impacts!$F$18))</f>
        <v>0</v>
      </c>
      <c r="W2121" s="10">
        <f t="shared" si="73"/>
        <v>0</v>
      </c>
      <c r="AK2121" s="10" t="str">
        <f t="array" ref="AK2121">IFERROR(INDEX(SelectedSpecies,SMALL(IF(SelectedSpecies=AK$1,ROW(SelectedSpecies)),ROW(2122:2122)),2),"")</f>
        <v/>
      </c>
      <c r="BE2121" s="10"/>
      <c r="BI2121" s="10"/>
    </row>
    <row r="2122" spans="1:61" ht="21" customHeight="1" x14ac:dyDescent="0.25">
      <c r="A2122" s="10"/>
      <c r="B2122" s="10"/>
      <c r="E2122" s="10"/>
      <c r="G2122" s="10"/>
      <c r="I2122" s="436" t="s">
        <v>7756</v>
      </c>
      <c r="J2122" s="26" t="s">
        <v>7755</v>
      </c>
      <c r="K2122" s="10">
        <v>0.1</v>
      </c>
      <c r="L2122" s="73">
        <f>IF(Tank1!$C$23="No control",(SUMIF(Tank1!$B$32:$B$49,$J2122,Tank1!$C$32:$C$49)*Impacts!$F$8),0)</f>
        <v>0</v>
      </c>
      <c r="M2122" s="10">
        <f>IF(Tank2!$C$23="No control",(SUMIF(Tank2!$B$32:$B$49,$J2122,Tank2!$C$32:$C$49)*Impacts!$F$9),0)</f>
        <v>0</v>
      </c>
      <c r="N2122" s="10">
        <f>IF(Tank3!$C$23="No control",(SUMIF(Tank3!$B$32:$B$49,$J2122,Tank3!$C$32:$C$49)*Impacts!$F$10),0)</f>
        <v>0</v>
      </c>
      <c r="O2122" s="10">
        <f>IF(Tank4!$C$23="No control",(SUMIF(Tank4!$B$32:$B$49,$J2122,Tank4!$C$32:$C$49)*Impacts!$F$11),0)</f>
        <v>0</v>
      </c>
      <c r="P2122" s="10">
        <f>IF(Tank5!$C$23="No control",(SUMIF(Tank5!$B$32:$B$49,$J2122,Tank5!$C$32:$C$49)*Impacts!$F$12),0)</f>
        <v>0</v>
      </c>
      <c r="Q2122" s="10">
        <f>IFERROR(IF(('Loading-drum,tote'!$C$21)="No control",SUMIF(('Loading-drum,tote'!$B$31:$B$48),$J2122,('Loading-drum,tote'!$D$31:$D$48))*Impacts!$F$13,IF(('Loading-drum,tote'!$C$21)&lt;&gt;"No control",SUMIF(('Loading-drum,tote'!$B$31:$B$48),$J2122,('Loading-drum,tote'!$E$31:$E$48))*Impacts!$F$13,0)),0)</f>
        <v>0</v>
      </c>
      <c r="R2122" s="10">
        <f>IFERROR(IF(('Loading-truck'!$C$21)="No control",SUMIF(('Loading-truck'!$B$31:$B$48),$J2122,('Loading-truck'!$D$31:$D$48))*Impacts!$F$14,IF(('Loading-truck'!$C$21)&lt;&gt;"No control",SUMIF(('Loading-truck'!$B$31:$B$48),$J2122,('Loading-truck'!$E$31:$E$48))*Impacts!$F$14,0)),0)</f>
        <v>0</v>
      </c>
      <c r="S2122" s="10">
        <f>IFERROR(IF(('Loading-rail'!$C$21)="No control",SUMIF(('Loading-rail'!$B$31:$B$48),$J2122,('Loading-rail'!$D$31:$D$48))*Impacts!$F$15,IF(('Loading-rail'!$C$21)&lt;&gt;"No control",SUMIF(('Loading-rail'!$B$31:$B$48),$J2122,('Loading-rail'!$E$31:$E$48))*Impacts!$F$15,0)),0)</f>
        <v>0</v>
      </c>
      <c r="T2122" s="10">
        <f>IF(Flare!$C$7="",0,(SUMIF(Flare!$B$46:$B$185,$J2122,Flare!$E$46:$E$185)*Impacts!$F$16))</f>
        <v>0</v>
      </c>
      <c r="U2122" s="10">
        <f>IF(VCU!$C$9="",0,(SUMIF(VCU!$B$51:$B$193,$J2122,VCU!$E$51:$E$193)*Impacts!$F$17))</f>
        <v>0</v>
      </c>
      <c r="V2122" s="10">
        <f>IF(CAS!$C$7="",0,(SUMIF(CAS!$B$31:$B$167,$J2122,CAS!$E$31:$E$167)*Impacts!$F$18))</f>
        <v>0</v>
      </c>
      <c r="W2122" s="10">
        <f t="shared" si="73"/>
        <v>0</v>
      </c>
      <c r="AK2122" s="10" t="str">
        <f t="array" ref="AK2122">IFERROR(INDEX(SelectedSpecies,SMALL(IF(SelectedSpecies=AK$1,ROW(SelectedSpecies)),ROW(2123:2123)),2),"")</f>
        <v/>
      </c>
      <c r="BE2122" s="10"/>
      <c r="BI2122" s="10"/>
    </row>
    <row r="2123" spans="1:61" ht="21" customHeight="1" x14ac:dyDescent="0.25">
      <c r="A2123" s="10"/>
      <c r="B2123" s="10"/>
      <c r="E2123" s="10"/>
      <c r="G2123" s="10"/>
      <c r="I2123" s="436" t="s">
        <v>3965</v>
      </c>
      <c r="J2123" s="26" t="s">
        <v>3964</v>
      </c>
      <c r="K2123" s="10">
        <v>6</v>
      </c>
      <c r="L2123" s="73">
        <f>IF(Tank1!$C$23="No control",(SUMIF(Tank1!$B$32:$B$49,$J2123,Tank1!$C$32:$C$49)*Impacts!$F$8),0)</f>
        <v>0</v>
      </c>
      <c r="M2123" s="10">
        <f>IF(Tank2!$C$23="No control",(SUMIF(Tank2!$B$32:$B$49,$J2123,Tank2!$C$32:$C$49)*Impacts!$F$9),0)</f>
        <v>0</v>
      </c>
      <c r="N2123" s="10">
        <f>IF(Tank3!$C$23="No control",(SUMIF(Tank3!$B$32:$B$49,$J2123,Tank3!$C$32:$C$49)*Impacts!$F$10),0)</f>
        <v>0</v>
      </c>
      <c r="O2123" s="10">
        <f>IF(Tank4!$C$23="No control",(SUMIF(Tank4!$B$32:$B$49,$J2123,Tank4!$C$32:$C$49)*Impacts!$F$11),0)</f>
        <v>0</v>
      </c>
      <c r="P2123" s="10">
        <f>IF(Tank5!$C$23="No control",(SUMIF(Tank5!$B$32:$B$49,$J2123,Tank5!$C$32:$C$49)*Impacts!$F$12),0)</f>
        <v>0</v>
      </c>
      <c r="Q2123" s="10">
        <f>IFERROR(IF(('Loading-drum,tote'!$C$21)="No control",SUMIF(('Loading-drum,tote'!$B$31:$B$48),$J2123,('Loading-drum,tote'!$D$31:$D$48))*Impacts!$F$13,IF(('Loading-drum,tote'!$C$21)&lt;&gt;"No control",SUMIF(('Loading-drum,tote'!$B$31:$B$48),$J2123,('Loading-drum,tote'!$E$31:$E$48))*Impacts!$F$13,0)),0)</f>
        <v>0</v>
      </c>
      <c r="R2123" s="10">
        <f>IFERROR(IF(('Loading-truck'!$C$21)="No control",SUMIF(('Loading-truck'!$B$31:$B$48),$J2123,('Loading-truck'!$D$31:$D$48))*Impacts!$F$14,IF(('Loading-truck'!$C$21)&lt;&gt;"No control",SUMIF(('Loading-truck'!$B$31:$B$48),$J2123,('Loading-truck'!$E$31:$E$48))*Impacts!$F$14,0)),0)</f>
        <v>0</v>
      </c>
      <c r="S2123" s="10">
        <f>IFERROR(IF(('Loading-rail'!$C$21)="No control",SUMIF(('Loading-rail'!$B$31:$B$48),$J2123,('Loading-rail'!$D$31:$D$48))*Impacts!$F$15,IF(('Loading-rail'!$C$21)&lt;&gt;"No control",SUMIF(('Loading-rail'!$B$31:$B$48),$J2123,('Loading-rail'!$E$31:$E$48))*Impacts!$F$15,0)),0)</f>
        <v>0</v>
      </c>
      <c r="T2123" s="10">
        <f>IF(Flare!$C$7="",0,(SUMIF(Flare!$B$46:$B$185,$J2123,Flare!$E$46:$E$185)*Impacts!$F$16))</f>
        <v>0</v>
      </c>
      <c r="U2123" s="10">
        <f>IF(VCU!$C$9="",0,(SUMIF(VCU!$B$51:$B$193,$J2123,VCU!$E$51:$E$193)*Impacts!$F$17))</f>
        <v>0</v>
      </c>
      <c r="V2123" s="10">
        <f>IF(CAS!$C$7="",0,(SUMIF(CAS!$B$31:$B$167,$J2123,CAS!$E$31:$E$167)*Impacts!$F$18))</f>
        <v>0</v>
      </c>
      <c r="W2123" s="10">
        <f t="shared" si="73"/>
        <v>0</v>
      </c>
      <c r="AK2123" s="10" t="str">
        <f t="array" ref="AK2123">IFERROR(INDEX(SelectedSpecies,SMALL(IF(SelectedSpecies=AK$1,ROW(SelectedSpecies)),ROW(2124:2124)),2),"")</f>
        <v/>
      </c>
      <c r="BE2123" s="10"/>
      <c r="BI2123" s="10"/>
    </row>
    <row r="2124" spans="1:61" ht="21" customHeight="1" x14ac:dyDescent="0.25">
      <c r="A2124" s="10"/>
      <c r="B2124" s="10"/>
      <c r="E2124" s="10"/>
      <c r="G2124" s="10"/>
      <c r="I2124" s="436" t="s">
        <v>5171</v>
      </c>
      <c r="J2124" s="26" t="s">
        <v>5170</v>
      </c>
      <c r="K2124" s="10">
        <v>2</v>
      </c>
      <c r="L2124" s="73">
        <f>IF(Tank1!$C$23="No control",(SUMIF(Tank1!$B$32:$B$49,$J2124,Tank1!$C$32:$C$49)*Impacts!$F$8),0)</f>
        <v>0</v>
      </c>
      <c r="M2124" s="10">
        <f>IF(Tank2!$C$23="No control",(SUMIF(Tank2!$B$32:$B$49,$J2124,Tank2!$C$32:$C$49)*Impacts!$F$9),0)</f>
        <v>0</v>
      </c>
      <c r="N2124" s="10">
        <f>IF(Tank3!$C$23="No control",(SUMIF(Tank3!$B$32:$B$49,$J2124,Tank3!$C$32:$C$49)*Impacts!$F$10),0)</f>
        <v>0</v>
      </c>
      <c r="O2124" s="10">
        <f>IF(Tank4!$C$23="No control",(SUMIF(Tank4!$B$32:$B$49,$J2124,Tank4!$C$32:$C$49)*Impacts!$F$11),0)</f>
        <v>0</v>
      </c>
      <c r="P2124" s="10">
        <f>IF(Tank5!$C$23="No control",(SUMIF(Tank5!$B$32:$B$49,$J2124,Tank5!$C$32:$C$49)*Impacts!$F$12),0)</f>
        <v>0</v>
      </c>
      <c r="Q2124" s="10">
        <f>IFERROR(IF(('Loading-drum,tote'!$C$21)="No control",SUMIF(('Loading-drum,tote'!$B$31:$B$48),$J2124,('Loading-drum,tote'!$D$31:$D$48))*Impacts!$F$13,IF(('Loading-drum,tote'!$C$21)&lt;&gt;"No control",SUMIF(('Loading-drum,tote'!$B$31:$B$48),$J2124,('Loading-drum,tote'!$E$31:$E$48))*Impacts!$F$13,0)),0)</f>
        <v>0</v>
      </c>
      <c r="R2124" s="10">
        <f>IFERROR(IF(('Loading-truck'!$C$21)="No control",SUMIF(('Loading-truck'!$B$31:$B$48),$J2124,('Loading-truck'!$D$31:$D$48))*Impacts!$F$14,IF(('Loading-truck'!$C$21)&lt;&gt;"No control",SUMIF(('Loading-truck'!$B$31:$B$48),$J2124,('Loading-truck'!$E$31:$E$48))*Impacts!$F$14,0)),0)</f>
        <v>0</v>
      </c>
      <c r="S2124" s="10">
        <f>IFERROR(IF(('Loading-rail'!$C$21)="No control",SUMIF(('Loading-rail'!$B$31:$B$48),$J2124,('Loading-rail'!$D$31:$D$48))*Impacts!$F$15,IF(('Loading-rail'!$C$21)&lt;&gt;"No control",SUMIF(('Loading-rail'!$B$31:$B$48),$J2124,('Loading-rail'!$E$31:$E$48))*Impacts!$F$15,0)),0)</f>
        <v>0</v>
      </c>
      <c r="T2124" s="10">
        <f>IF(Flare!$C$7="",0,(SUMIF(Flare!$B$46:$B$185,$J2124,Flare!$E$46:$E$185)*Impacts!$F$16))</f>
        <v>0</v>
      </c>
      <c r="U2124" s="10">
        <f>IF(VCU!$C$9="",0,(SUMIF(VCU!$B$51:$B$193,$J2124,VCU!$E$51:$E$193)*Impacts!$F$17))</f>
        <v>0</v>
      </c>
      <c r="V2124" s="10">
        <f>IF(CAS!$C$7="",0,(SUMIF(CAS!$B$31:$B$167,$J2124,CAS!$E$31:$E$167)*Impacts!$F$18))</f>
        <v>0</v>
      </c>
      <c r="W2124" s="10">
        <f t="shared" si="73"/>
        <v>0</v>
      </c>
      <c r="AK2124" s="10" t="str">
        <f t="array" ref="AK2124">IFERROR(INDEX(SelectedSpecies,SMALL(IF(SelectedSpecies=AK$1,ROW(SelectedSpecies)),ROW(2125:2125)),2),"")</f>
        <v/>
      </c>
      <c r="BE2124" s="10"/>
      <c r="BI2124" s="10"/>
    </row>
    <row r="2125" spans="1:61" ht="21" customHeight="1" x14ac:dyDescent="0.25">
      <c r="A2125" s="10"/>
      <c r="B2125" s="10"/>
      <c r="E2125" s="10"/>
      <c r="G2125" s="10"/>
      <c r="I2125" s="436" t="s">
        <v>6854</v>
      </c>
      <c r="J2125" s="26" t="s">
        <v>6853</v>
      </c>
      <c r="K2125" s="10">
        <v>0.5</v>
      </c>
      <c r="L2125" s="73">
        <f>IF(Tank1!$C$23="No control",(SUMIF(Tank1!$B$32:$B$49,$J2125,Tank1!$C$32:$C$49)*Impacts!$F$8),0)</f>
        <v>0</v>
      </c>
      <c r="M2125" s="10">
        <f>IF(Tank2!$C$23="No control",(SUMIF(Tank2!$B$32:$B$49,$J2125,Tank2!$C$32:$C$49)*Impacts!$F$9),0)</f>
        <v>0</v>
      </c>
      <c r="N2125" s="10">
        <f>IF(Tank3!$C$23="No control",(SUMIF(Tank3!$B$32:$B$49,$J2125,Tank3!$C$32:$C$49)*Impacts!$F$10),0)</f>
        <v>0</v>
      </c>
      <c r="O2125" s="10">
        <f>IF(Tank4!$C$23="No control",(SUMIF(Tank4!$B$32:$B$49,$J2125,Tank4!$C$32:$C$49)*Impacts!$F$11),0)</f>
        <v>0</v>
      </c>
      <c r="P2125" s="10">
        <f>IF(Tank5!$C$23="No control",(SUMIF(Tank5!$B$32:$B$49,$J2125,Tank5!$C$32:$C$49)*Impacts!$F$12),0)</f>
        <v>0</v>
      </c>
      <c r="Q2125" s="10">
        <f>IFERROR(IF(('Loading-drum,tote'!$C$21)="No control",SUMIF(('Loading-drum,tote'!$B$31:$B$48),$J2125,('Loading-drum,tote'!$D$31:$D$48))*Impacts!$F$13,IF(('Loading-drum,tote'!$C$21)&lt;&gt;"No control",SUMIF(('Loading-drum,tote'!$B$31:$B$48),$J2125,('Loading-drum,tote'!$E$31:$E$48))*Impacts!$F$13,0)),0)</f>
        <v>0</v>
      </c>
      <c r="R2125" s="10">
        <f>IFERROR(IF(('Loading-truck'!$C$21)="No control",SUMIF(('Loading-truck'!$B$31:$B$48),$J2125,('Loading-truck'!$D$31:$D$48))*Impacts!$F$14,IF(('Loading-truck'!$C$21)&lt;&gt;"No control",SUMIF(('Loading-truck'!$B$31:$B$48),$J2125,('Loading-truck'!$E$31:$E$48))*Impacts!$F$14,0)),0)</f>
        <v>0</v>
      </c>
      <c r="S2125" s="10">
        <f>IFERROR(IF(('Loading-rail'!$C$21)="No control",SUMIF(('Loading-rail'!$B$31:$B$48),$J2125,('Loading-rail'!$D$31:$D$48))*Impacts!$F$15,IF(('Loading-rail'!$C$21)&lt;&gt;"No control",SUMIF(('Loading-rail'!$B$31:$B$48),$J2125,('Loading-rail'!$E$31:$E$48))*Impacts!$F$15,0)),0)</f>
        <v>0</v>
      </c>
      <c r="T2125" s="10">
        <f>IF(Flare!$C$7="",0,(SUMIF(Flare!$B$46:$B$185,$J2125,Flare!$E$46:$E$185)*Impacts!$F$16))</f>
        <v>0</v>
      </c>
      <c r="U2125" s="10">
        <f>IF(VCU!$C$9="",0,(SUMIF(VCU!$B$51:$B$193,$J2125,VCU!$E$51:$E$193)*Impacts!$F$17))</f>
        <v>0</v>
      </c>
      <c r="V2125" s="10">
        <f>IF(CAS!$C$7="",0,(SUMIF(CAS!$B$31:$B$167,$J2125,CAS!$E$31:$E$167)*Impacts!$F$18))</f>
        <v>0</v>
      </c>
      <c r="W2125" s="10">
        <f t="shared" si="73"/>
        <v>0</v>
      </c>
      <c r="AK2125" s="10" t="str">
        <f t="array" ref="AK2125">IFERROR(INDEX(SelectedSpecies,SMALL(IF(SelectedSpecies=AK$1,ROW(SelectedSpecies)),ROW(2126:2126)),2),"")</f>
        <v/>
      </c>
      <c r="BE2125" s="10"/>
      <c r="BI2125" s="10"/>
    </row>
    <row r="2126" spans="1:61" ht="21" customHeight="1" x14ac:dyDescent="0.25">
      <c r="A2126" s="10"/>
      <c r="B2126" s="10"/>
      <c r="E2126" s="10"/>
      <c r="G2126" s="10"/>
      <c r="I2126" s="436" t="s">
        <v>2917</v>
      </c>
      <c r="J2126" s="26" t="s">
        <v>2916</v>
      </c>
      <c r="K2126" s="10">
        <v>10</v>
      </c>
      <c r="L2126" s="73">
        <f>IF(Tank1!$C$23="No control",(SUMIF(Tank1!$B$32:$B$49,$J2126,Tank1!$C$32:$C$49)*Impacts!$F$8),0)</f>
        <v>0</v>
      </c>
      <c r="M2126" s="10">
        <f>IF(Tank2!$C$23="No control",(SUMIF(Tank2!$B$32:$B$49,$J2126,Tank2!$C$32:$C$49)*Impacts!$F$9),0)</f>
        <v>0</v>
      </c>
      <c r="N2126" s="10">
        <f>IF(Tank3!$C$23="No control",(SUMIF(Tank3!$B$32:$B$49,$J2126,Tank3!$C$32:$C$49)*Impacts!$F$10),0)</f>
        <v>0</v>
      </c>
      <c r="O2126" s="10">
        <f>IF(Tank4!$C$23="No control",(SUMIF(Tank4!$B$32:$B$49,$J2126,Tank4!$C$32:$C$49)*Impacts!$F$11),0)</f>
        <v>0</v>
      </c>
      <c r="P2126" s="10">
        <f>IF(Tank5!$C$23="No control",(SUMIF(Tank5!$B$32:$B$49,$J2126,Tank5!$C$32:$C$49)*Impacts!$F$12),0)</f>
        <v>0</v>
      </c>
      <c r="Q2126" s="10">
        <f>IFERROR(IF(('Loading-drum,tote'!$C$21)="No control",SUMIF(('Loading-drum,tote'!$B$31:$B$48),$J2126,('Loading-drum,tote'!$D$31:$D$48))*Impacts!$F$13,IF(('Loading-drum,tote'!$C$21)&lt;&gt;"No control",SUMIF(('Loading-drum,tote'!$B$31:$B$48),$J2126,('Loading-drum,tote'!$E$31:$E$48))*Impacts!$F$13,0)),0)</f>
        <v>0</v>
      </c>
      <c r="R2126" s="10">
        <f>IFERROR(IF(('Loading-truck'!$C$21)="No control",SUMIF(('Loading-truck'!$B$31:$B$48),$J2126,('Loading-truck'!$D$31:$D$48))*Impacts!$F$14,IF(('Loading-truck'!$C$21)&lt;&gt;"No control",SUMIF(('Loading-truck'!$B$31:$B$48),$J2126,('Loading-truck'!$E$31:$E$48))*Impacts!$F$14,0)),0)</f>
        <v>0</v>
      </c>
      <c r="S2126" s="10">
        <f>IFERROR(IF(('Loading-rail'!$C$21)="No control",SUMIF(('Loading-rail'!$B$31:$B$48),$J2126,('Loading-rail'!$D$31:$D$48))*Impacts!$F$15,IF(('Loading-rail'!$C$21)&lt;&gt;"No control",SUMIF(('Loading-rail'!$B$31:$B$48),$J2126,('Loading-rail'!$E$31:$E$48))*Impacts!$F$15,0)),0)</f>
        <v>0</v>
      </c>
      <c r="T2126" s="10">
        <f>IF(Flare!$C$7="",0,(SUMIF(Flare!$B$46:$B$185,$J2126,Flare!$E$46:$E$185)*Impacts!$F$16))</f>
        <v>0</v>
      </c>
      <c r="U2126" s="10">
        <f>IF(VCU!$C$9="",0,(SUMIF(VCU!$B$51:$B$193,$J2126,VCU!$E$51:$E$193)*Impacts!$F$17))</f>
        <v>0</v>
      </c>
      <c r="V2126" s="10">
        <f>IF(CAS!$C$7="",0,(SUMIF(CAS!$B$31:$B$167,$J2126,CAS!$E$31:$E$167)*Impacts!$F$18))</f>
        <v>0</v>
      </c>
      <c r="W2126" s="10">
        <f t="shared" si="73"/>
        <v>0</v>
      </c>
      <c r="AK2126" s="10" t="str">
        <f t="array" ref="AK2126">IFERROR(INDEX(SelectedSpecies,SMALL(IF(SelectedSpecies=AK$1,ROW(SelectedSpecies)),ROW(2127:2127)),2),"")</f>
        <v/>
      </c>
      <c r="BE2126" s="10"/>
      <c r="BI2126" s="10"/>
    </row>
    <row r="2127" spans="1:61" ht="21" customHeight="1" x14ac:dyDescent="0.25">
      <c r="A2127" s="10"/>
      <c r="B2127" s="10"/>
      <c r="E2127" s="10"/>
      <c r="G2127" s="10"/>
      <c r="I2127" s="436" t="s">
        <v>2919</v>
      </c>
      <c r="J2127" s="26" t="s">
        <v>2918</v>
      </c>
      <c r="K2127" s="10">
        <v>10</v>
      </c>
      <c r="L2127" s="73">
        <f>IF(Tank1!$C$23="No control",(SUMIF(Tank1!$B$32:$B$49,$J2127,Tank1!$C$32:$C$49)*Impacts!$F$8),0)</f>
        <v>0</v>
      </c>
      <c r="M2127" s="10">
        <f>IF(Tank2!$C$23="No control",(SUMIF(Tank2!$B$32:$B$49,$J2127,Tank2!$C$32:$C$49)*Impacts!$F$9),0)</f>
        <v>0</v>
      </c>
      <c r="N2127" s="10">
        <f>IF(Tank3!$C$23="No control",(SUMIF(Tank3!$B$32:$B$49,$J2127,Tank3!$C$32:$C$49)*Impacts!$F$10),0)</f>
        <v>0</v>
      </c>
      <c r="O2127" s="10">
        <f>IF(Tank4!$C$23="No control",(SUMIF(Tank4!$B$32:$B$49,$J2127,Tank4!$C$32:$C$49)*Impacts!$F$11),0)</f>
        <v>0</v>
      </c>
      <c r="P2127" s="10">
        <f>IF(Tank5!$C$23="No control",(SUMIF(Tank5!$B$32:$B$49,$J2127,Tank5!$C$32:$C$49)*Impacts!$F$12),0)</f>
        <v>0</v>
      </c>
      <c r="Q2127" s="10">
        <f>IFERROR(IF(('Loading-drum,tote'!$C$21)="No control",SUMIF(('Loading-drum,tote'!$B$31:$B$48),$J2127,('Loading-drum,tote'!$D$31:$D$48))*Impacts!$F$13,IF(('Loading-drum,tote'!$C$21)&lt;&gt;"No control",SUMIF(('Loading-drum,tote'!$B$31:$B$48),$J2127,('Loading-drum,tote'!$E$31:$E$48))*Impacts!$F$13,0)),0)</f>
        <v>0</v>
      </c>
      <c r="R2127" s="10">
        <f>IFERROR(IF(('Loading-truck'!$C$21)="No control",SUMIF(('Loading-truck'!$B$31:$B$48),$J2127,('Loading-truck'!$D$31:$D$48))*Impacts!$F$14,IF(('Loading-truck'!$C$21)&lt;&gt;"No control",SUMIF(('Loading-truck'!$B$31:$B$48),$J2127,('Loading-truck'!$E$31:$E$48))*Impacts!$F$14,0)),0)</f>
        <v>0</v>
      </c>
      <c r="S2127" s="10">
        <f>IFERROR(IF(('Loading-rail'!$C$21)="No control",SUMIF(('Loading-rail'!$B$31:$B$48),$J2127,('Loading-rail'!$D$31:$D$48))*Impacts!$F$15,IF(('Loading-rail'!$C$21)&lt;&gt;"No control",SUMIF(('Loading-rail'!$B$31:$B$48),$J2127,('Loading-rail'!$E$31:$E$48))*Impacts!$F$15,0)),0)</f>
        <v>0</v>
      </c>
      <c r="T2127" s="10">
        <f>IF(Flare!$C$7="",0,(SUMIF(Flare!$B$46:$B$185,$J2127,Flare!$E$46:$E$185)*Impacts!$F$16))</f>
        <v>0</v>
      </c>
      <c r="U2127" s="10">
        <f>IF(VCU!$C$9="",0,(SUMIF(VCU!$B$51:$B$193,$J2127,VCU!$E$51:$E$193)*Impacts!$F$17))</f>
        <v>0</v>
      </c>
      <c r="V2127" s="10">
        <f>IF(CAS!$C$7="",0,(SUMIF(CAS!$B$31:$B$167,$J2127,CAS!$E$31:$E$167)*Impacts!$F$18))</f>
        <v>0</v>
      </c>
      <c r="W2127" s="10">
        <f t="shared" si="73"/>
        <v>0</v>
      </c>
      <c r="AK2127" s="10" t="str">
        <f t="array" ref="AK2127">IFERROR(INDEX(SelectedSpecies,SMALL(IF(SelectedSpecies=AK$1,ROW(SelectedSpecies)),ROW(2128:2128)),2),"")</f>
        <v/>
      </c>
      <c r="BE2127" s="10"/>
      <c r="BI2127" s="10"/>
    </row>
    <row r="2128" spans="1:61" ht="21" customHeight="1" x14ac:dyDescent="0.25">
      <c r="A2128" s="10"/>
      <c r="B2128" s="10"/>
      <c r="E2128" s="10"/>
      <c r="G2128" s="10"/>
      <c r="I2128" s="436" t="s">
        <v>2921</v>
      </c>
      <c r="J2128" s="26" t="s">
        <v>2920</v>
      </c>
      <c r="K2128" s="10">
        <v>10</v>
      </c>
      <c r="L2128" s="73">
        <f>IF(Tank1!$C$23="No control",(SUMIF(Tank1!$B$32:$B$49,$J2128,Tank1!$C$32:$C$49)*Impacts!$F$8),0)</f>
        <v>0</v>
      </c>
      <c r="M2128" s="10">
        <f>IF(Tank2!$C$23="No control",(SUMIF(Tank2!$B$32:$B$49,$J2128,Tank2!$C$32:$C$49)*Impacts!$F$9),0)</f>
        <v>0</v>
      </c>
      <c r="N2128" s="10">
        <f>IF(Tank3!$C$23="No control",(SUMIF(Tank3!$B$32:$B$49,$J2128,Tank3!$C$32:$C$49)*Impacts!$F$10),0)</f>
        <v>0</v>
      </c>
      <c r="O2128" s="10">
        <f>IF(Tank4!$C$23="No control",(SUMIF(Tank4!$B$32:$B$49,$J2128,Tank4!$C$32:$C$49)*Impacts!$F$11),0)</f>
        <v>0</v>
      </c>
      <c r="P2128" s="10">
        <f>IF(Tank5!$C$23="No control",(SUMIF(Tank5!$B$32:$B$49,$J2128,Tank5!$C$32:$C$49)*Impacts!$F$12),0)</f>
        <v>0</v>
      </c>
      <c r="Q2128" s="10">
        <f>IFERROR(IF(('Loading-drum,tote'!$C$21)="No control",SUMIF(('Loading-drum,tote'!$B$31:$B$48),$J2128,('Loading-drum,tote'!$D$31:$D$48))*Impacts!$F$13,IF(('Loading-drum,tote'!$C$21)&lt;&gt;"No control",SUMIF(('Loading-drum,tote'!$B$31:$B$48),$J2128,('Loading-drum,tote'!$E$31:$E$48))*Impacts!$F$13,0)),0)</f>
        <v>0</v>
      </c>
      <c r="R2128" s="10">
        <f>IFERROR(IF(('Loading-truck'!$C$21)="No control",SUMIF(('Loading-truck'!$B$31:$B$48),$J2128,('Loading-truck'!$D$31:$D$48))*Impacts!$F$14,IF(('Loading-truck'!$C$21)&lt;&gt;"No control",SUMIF(('Loading-truck'!$B$31:$B$48),$J2128,('Loading-truck'!$E$31:$E$48))*Impacts!$F$14,0)),0)</f>
        <v>0</v>
      </c>
      <c r="S2128" s="10">
        <f>IFERROR(IF(('Loading-rail'!$C$21)="No control",SUMIF(('Loading-rail'!$B$31:$B$48),$J2128,('Loading-rail'!$D$31:$D$48))*Impacts!$F$15,IF(('Loading-rail'!$C$21)&lt;&gt;"No control",SUMIF(('Loading-rail'!$B$31:$B$48),$J2128,('Loading-rail'!$E$31:$E$48))*Impacts!$F$15,0)),0)</f>
        <v>0</v>
      </c>
      <c r="T2128" s="10">
        <f>IF(Flare!$C$7="",0,(SUMIF(Flare!$B$46:$B$185,$J2128,Flare!$E$46:$E$185)*Impacts!$F$16))</f>
        <v>0</v>
      </c>
      <c r="U2128" s="10">
        <f>IF(VCU!$C$9="",0,(SUMIF(VCU!$B$51:$B$193,$J2128,VCU!$E$51:$E$193)*Impacts!$F$17))</f>
        <v>0</v>
      </c>
      <c r="V2128" s="10">
        <f>IF(CAS!$C$7="",0,(SUMIF(CAS!$B$31:$B$167,$J2128,CAS!$E$31:$E$167)*Impacts!$F$18))</f>
        <v>0</v>
      </c>
      <c r="W2128" s="10">
        <f t="shared" si="73"/>
        <v>0</v>
      </c>
      <c r="AK2128" s="10" t="str">
        <f t="array" ref="AK2128">IFERROR(INDEX(SelectedSpecies,SMALL(IF(SelectedSpecies=AK$1,ROW(SelectedSpecies)),ROW(2129:2129)),2),"")</f>
        <v/>
      </c>
      <c r="BE2128" s="10"/>
      <c r="BI2128" s="10"/>
    </row>
    <row r="2129" spans="1:61" ht="21" customHeight="1" x14ac:dyDescent="0.25">
      <c r="A2129" s="10"/>
      <c r="B2129" s="10"/>
      <c r="E2129" s="10"/>
      <c r="G2129" s="10"/>
      <c r="I2129" s="436" t="s">
        <v>4111</v>
      </c>
      <c r="J2129" s="26" t="s">
        <v>4110</v>
      </c>
      <c r="K2129" s="10">
        <v>5.4</v>
      </c>
      <c r="L2129" s="73">
        <f>IF(Tank1!$C$23="No control",(SUMIF(Tank1!$B$32:$B$49,$J2129,Tank1!$C$32:$C$49)*Impacts!$F$8),0)</f>
        <v>0</v>
      </c>
      <c r="M2129" s="10">
        <f>IF(Tank2!$C$23="No control",(SUMIF(Tank2!$B$32:$B$49,$J2129,Tank2!$C$32:$C$49)*Impacts!$F$9),0)</f>
        <v>0</v>
      </c>
      <c r="N2129" s="10">
        <f>IF(Tank3!$C$23="No control",(SUMIF(Tank3!$B$32:$B$49,$J2129,Tank3!$C$32:$C$49)*Impacts!$F$10),0)</f>
        <v>0</v>
      </c>
      <c r="O2129" s="10">
        <f>IF(Tank4!$C$23="No control",(SUMIF(Tank4!$B$32:$B$49,$J2129,Tank4!$C$32:$C$49)*Impacts!$F$11),0)</f>
        <v>0</v>
      </c>
      <c r="P2129" s="10">
        <f>IF(Tank5!$C$23="No control",(SUMIF(Tank5!$B$32:$B$49,$J2129,Tank5!$C$32:$C$49)*Impacts!$F$12),0)</f>
        <v>0</v>
      </c>
      <c r="Q2129" s="10">
        <f>IFERROR(IF(('Loading-drum,tote'!$C$21)="No control",SUMIF(('Loading-drum,tote'!$B$31:$B$48),$J2129,('Loading-drum,tote'!$D$31:$D$48))*Impacts!$F$13,IF(('Loading-drum,tote'!$C$21)&lt;&gt;"No control",SUMIF(('Loading-drum,tote'!$B$31:$B$48),$J2129,('Loading-drum,tote'!$E$31:$E$48))*Impacts!$F$13,0)),0)</f>
        <v>0</v>
      </c>
      <c r="R2129" s="10">
        <f>IFERROR(IF(('Loading-truck'!$C$21)="No control",SUMIF(('Loading-truck'!$B$31:$B$48),$J2129,('Loading-truck'!$D$31:$D$48))*Impacts!$F$14,IF(('Loading-truck'!$C$21)&lt;&gt;"No control",SUMIF(('Loading-truck'!$B$31:$B$48),$J2129,('Loading-truck'!$E$31:$E$48))*Impacts!$F$14,0)),0)</f>
        <v>0</v>
      </c>
      <c r="S2129" s="10">
        <f>IFERROR(IF(('Loading-rail'!$C$21)="No control",SUMIF(('Loading-rail'!$B$31:$B$48),$J2129,('Loading-rail'!$D$31:$D$48))*Impacts!$F$15,IF(('Loading-rail'!$C$21)&lt;&gt;"No control",SUMIF(('Loading-rail'!$B$31:$B$48),$J2129,('Loading-rail'!$E$31:$E$48))*Impacts!$F$15,0)),0)</f>
        <v>0</v>
      </c>
      <c r="T2129" s="10">
        <f>IF(Flare!$C$7="",0,(SUMIF(Flare!$B$46:$B$185,$J2129,Flare!$E$46:$E$185)*Impacts!$F$16))</f>
        <v>0</v>
      </c>
      <c r="U2129" s="10">
        <f>IF(VCU!$C$9="",0,(SUMIF(VCU!$B$51:$B$193,$J2129,VCU!$E$51:$E$193)*Impacts!$F$17))</f>
        <v>0</v>
      </c>
      <c r="V2129" s="10">
        <f>IF(CAS!$C$7="",0,(SUMIF(CAS!$B$31:$B$167,$J2129,CAS!$E$31:$E$167)*Impacts!$F$18))</f>
        <v>0</v>
      </c>
      <c r="W2129" s="10">
        <f t="shared" si="73"/>
        <v>0</v>
      </c>
      <c r="AK2129" s="10" t="str">
        <f t="array" ref="AK2129">IFERROR(INDEX(SelectedSpecies,SMALL(IF(SelectedSpecies=AK$1,ROW(SelectedSpecies)),ROW(2130:2130)),2),"")</f>
        <v/>
      </c>
      <c r="BE2129" s="10"/>
      <c r="BI2129" s="10"/>
    </row>
    <row r="2130" spans="1:61" ht="21" customHeight="1" x14ac:dyDescent="0.25">
      <c r="A2130" s="10"/>
      <c r="B2130" s="10"/>
      <c r="E2130" s="10"/>
      <c r="G2130" s="10"/>
      <c r="I2130" s="436" t="s">
        <v>7184</v>
      </c>
      <c r="J2130" s="26" t="s">
        <v>7183</v>
      </c>
      <c r="K2130" s="10">
        <v>0.33</v>
      </c>
      <c r="L2130" s="73">
        <f>IF(Tank1!$C$23="No control",(SUMIF(Tank1!$B$32:$B$49,$J2130,Tank1!$C$32:$C$49)*Impacts!$F$8),0)</f>
        <v>0</v>
      </c>
      <c r="M2130" s="10">
        <f>IF(Tank2!$C$23="No control",(SUMIF(Tank2!$B$32:$B$49,$J2130,Tank2!$C$32:$C$49)*Impacts!$F$9),0)</f>
        <v>0</v>
      </c>
      <c r="N2130" s="10">
        <f>IF(Tank3!$C$23="No control",(SUMIF(Tank3!$B$32:$B$49,$J2130,Tank3!$C$32:$C$49)*Impacts!$F$10),0)</f>
        <v>0</v>
      </c>
      <c r="O2130" s="10">
        <f>IF(Tank4!$C$23="No control",(SUMIF(Tank4!$B$32:$B$49,$J2130,Tank4!$C$32:$C$49)*Impacts!$F$11),0)</f>
        <v>0</v>
      </c>
      <c r="P2130" s="10">
        <f>IF(Tank5!$C$23="No control",(SUMIF(Tank5!$B$32:$B$49,$J2130,Tank5!$C$32:$C$49)*Impacts!$F$12),0)</f>
        <v>0</v>
      </c>
      <c r="Q2130" s="10">
        <f>IFERROR(IF(('Loading-drum,tote'!$C$21)="No control",SUMIF(('Loading-drum,tote'!$B$31:$B$48),$J2130,('Loading-drum,tote'!$D$31:$D$48))*Impacts!$F$13,IF(('Loading-drum,tote'!$C$21)&lt;&gt;"No control",SUMIF(('Loading-drum,tote'!$B$31:$B$48),$J2130,('Loading-drum,tote'!$E$31:$E$48))*Impacts!$F$13,0)),0)</f>
        <v>0</v>
      </c>
      <c r="R2130" s="10">
        <f>IFERROR(IF(('Loading-truck'!$C$21)="No control",SUMIF(('Loading-truck'!$B$31:$B$48),$J2130,('Loading-truck'!$D$31:$D$48))*Impacts!$F$14,IF(('Loading-truck'!$C$21)&lt;&gt;"No control",SUMIF(('Loading-truck'!$B$31:$B$48),$J2130,('Loading-truck'!$E$31:$E$48))*Impacts!$F$14,0)),0)</f>
        <v>0</v>
      </c>
      <c r="S2130" s="10">
        <f>IFERROR(IF(('Loading-rail'!$C$21)="No control",SUMIF(('Loading-rail'!$B$31:$B$48),$J2130,('Loading-rail'!$D$31:$D$48))*Impacts!$F$15,IF(('Loading-rail'!$C$21)&lt;&gt;"No control",SUMIF(('Loading-rail'!$B$31:$B$48),$J2130,('Loading-rail'!$E$31:$E$48))*Impacts!$F$15,0)),0)</f>
        <v>0</v>
      </c>
      <c r="T2130" s="10">
        <f>IF(Flare!$C$7="",0,(SUMIF(Flare!$B$46:$B$185,$J2130,Flare!$E$46:$E$185)*Impacts!$F$16))</f>
        <v>0</v>
      </c>
      <c r="U2130" s="10">
        <f>IF(VCU!$C$9="",0,(SUMIF(VCU!$B$51:$B$193,$J2130,VCU!$E$51:$E$193)*Impacts!$F$17))</f>
        <v>0</v>
      </c>
      <c r="V2130" s="10">
        <f>IF(CAS!$C$7="",0,(SUMIF(CAS!$B$31:$B$167,$J2130,CAS!$E$31:$E$167)*Impacts!$F$18))</f>
        <v>0</v>
      </c>
      <c r="W2130" s="10">
        <f t="shared" si="73"/>
        <v>0</v>
      </c>
      <c r="AK2130" s="10" t="str">
        <f t="array" ref="AK2130">IFERROR(INDEX(SelectedSpecies,SMALL(IF(SelectedSpecies=AK$1,ROW(SelectedSpecies)),ROW(2131:2131)),2),"")</f>
        <v/>
      </c>
      <c r="BE2130" s="10"/>
      <c r="BI2130" s="10"/>
    </row>
    <row r="2131" spans="1:61" ht="21" customHeight="1" x14ac:dyDescent="0.25">
      <c r="A2131" s="10"/>
      <c r="B2131" s="10"/>
      <c r="E2131" s="10"/>
      <c r="G2131" s="10"/>
      <c r="I2131" s="436" t="s">
        <v>5607</v>
      </c>
      <c r="J2131" s="26" t="s">
        <v>5606</v>
      </c>
      <c r="K2131" s="10">
        <v>1.1000000000000001</v>
      </c>
      <c r="L2131" s="73">
        <f>IF(Tank1!$C$23="No control",(SUMIF(Tank1!$B$32:$B$49,$J2131,Tank1!$C$32:$C$49)*Impacts!$F$8),0)</f>
        <v>0</v>
      </c>
      <c r="M2131" s="10">
        <f>IF(Tank2!$C$23="No control",(SUMIF(Tank2!$B$32:$B$49,$J2131,Tank2!$C$32:$C$49)*Impacts!$F$9),0)</f>
        <v>0</v>
      </c>
      <c r="N2131" s="10">
        <f>IF(Tank3!$C$23="No control",(SUMIF(Tank3!$B$32:$B$49,$J2131,Tank3!$C$32:$C$49)*Impacts!$F$10),0)</f>
        <v>0</v>
      </c>
      <c r="O2131" s="10">
        <f>IF(Tank4!$C$23="No control",(SUMIF(Tank4!$B$32:$B$49,$J2131,Tank4!$C$32:$C$49)*Impacts!$F$11),0)</f>
        <v>0</v>
      </c>
      <c r="P2131" s="10">
        <f>IF(Tank5!$C$23="No control",(SUMIF(Tank5!$B$32:$B$49,$J2131,Tank5!$C$32:$C$49)*Impacts!$F$12),0)</f>
        <v>0</v>
      </c>
      <c r="Q2131" s="10">
        <f>IFERROR(IF(('Loading-drum,tote'!$C$21)="No control",SUMIF(('Loading-drum,tote'!$B$31:$B$48),$J2131,('Loading-drum,tote'!$D$31:$D$48))*Impacts!$F$13,IF(('Loading-drum,tote'!$C$21)&lt;&gt;"No control",SUMIF(('Loading-drum,tote'!$B$31:$B$48),$J2131,('Loading-drum,tote'!$E$31:$E$48))*Impacts!$F$13,0)),0)</f>
        <v>0</v>
      </c>
      <c r="R2131" s="10">
        <f>IFERROR(IF(('Loading-truck'!$C$21)="No control",SUMIF(('Loading-truck'!$B$31:$B$48),$J2131,('Loading-truck'!$D$31:$D$48))*Impacts!$F$14,IF(('Loading-truck'!$C$21)&lt;&gt;"No control",SUMIF(('Loading-truck'!$B$31:$B$48),$J2131,('Loading-truck'!$E$31:$E$48))*Impacts!$F$14,0)),0)</f>
        <v>0</v>
      </c>
      <c r="S2131" s="10">
        <f>IFERROR(IF(('Loading-rail'!$C$21)="No control",SUMIF(('Loading-rail'!$B$31:$B$48),$J2131,('Loading-rail'!$D$31:$D$48))*Impacts!$F$15,IF(('Loading-rail'!$C$21)&lt;&gt;"No control",SUMIF(('Loading-rail'!$B$31:$B$48),$J2131,('Loading-rail'!$E$31:$E$48))*Impacts!$F$15,0)),0)</f>
        <v>0</v>
      </c>
      <c r="T2131" s="10">
        <f>IF(Flare!$C$7="",0,(SUMIF(Flare!$B$46:$B$185,$J2131,Flare!$E$46:$E$185)*Impacts!$F$16))</f>
        <v>0</v>
      </c>
      <c r="U2131" s="10">
        <f>IF(VCU!$C$9="",0,(SUMIF(VCU!$B$51:$B$193,$J2131,VCU!$E$51:$E$193)*Impacts!$F$17))</f>
        <v>0</v>
      </c>
      <c r="V2131" s="10">
        <f>IF(CAS!$C$7="",0,(SUMIF(CAS!$B$31:$B$167,$J2131,CAS!$E$31:$E$167)*Impacts!$F$18))</f>
        <v>0</v>
      </c>
      <c r="W2131" s="10">
        <f t="shared" si="73"/>
        <v>0</v>
      </c>
      <c r="AK2131" s="10" t="str">
        <f t="array" ref="AK2131">IFERROR(INDEX(SelectedSpecies,SMALL(IF(SelectedSpecies=AK$1,ROW(SelectedSpecies)),ROW(2132:2132)),2),"")</f>
        <v/>
      </c>
      <c r="BE2131" s="10"/>
      <c r="BI2131" s="10"/>
    </row>
    <row r="2132" spans="1:61" ht="21" customHeight="1" x14ac:dyDescent="0.25">
      <c r="A2132" s="10"/>
      <c r="B2132" s="10"/>
      <c r="E2132" s="10"/>
      <c r="G2132" s="10"/>
      <c r="I2132" s="436" t="s">
        <v>7216</v>
      </c>
      <c r="J2132" s="26" t="s">
        <v>7215</v>
      </c>
      <c r="K2132" s="10">
        <v>0.32000000000000006</v>
      </c>
      <c r="L2132" s="73">
        <f>IF(Tank1!$C$23="No control",(SUMIF(Tank1!$B$32:$B$49,$J2132,Tank1!$C$32:$C$49)*Impacts!$F$8),0)</f>
        <v>0</v>
      </c>
      <c r="M2132" s="10">
        <f>IF(Tank2!$C$23="No control",(SUMIF(Tank2!$B$32:$B$49,$J2132,Tank2!$C$32:$C$49)*Impacts!$F$9),0)</f>
        <v>0</v>
      </c>
      <c r="N2132" s="10">
        <f>IF(Tank3!$C$23="No control",(SUMIF(Tank3!$B$32:$B$49,$J2132,Tank3!$C$32:$C$49)*Impacts!$F$10),0)</f>
        <v>0</v>
      </c>
      <c r="O2132" s="10">
        <f>IF(Tank4!$C$23="No control",(SUMIF(Tank4!$B$32:$B$49,$J2132,Tank4!$C$32:$C$49)*Impacts!$F$11),0)</f>
        <v>0</v>
      </c>
      <c r="P2132" s="10">
        <f>IF(Tank5!$C$23="No control",(SUMIF(Tank5!$B$32:$B$49,$J2132,Tank5!$C$32:$C$49)*Impacts!$F$12),0)</f>
        <v>0</v>
      </c>
      <c r="Q2132" s="10">
        <f>IFERROR(IF(('Loading-drum,tote'!$C$21)="No control",SUMIF(('Loading-drum,tote'!$B$31:$B$48),$J2132,('Loading-drum,tote'!$D$31:$D$48))*Impacts!$F$13,IF(('Loading-drum,tote'!$C$21)&lt;&gt;"No control",SUMIF(('Loading-drum,tote'!$B$31:$B$48),$J2132,('Loading-drum,tote'!$E$31:$E$48))*Impacts!$F$13,0)),0)</f>
        <v>0</v>
      </c>
      <c r="R2132" s="10">
        <f>IFERROR(IF(('Loading-truck'!$C$21)="No control",SUMIF(('Loading-truck'!$B$31:$B$48),$J2132,('Loading-truck'!$D$31:$D$48))*Impacts!$F$14,IF(('Loading-truck'!$C$21)&lt;&gt;"No control",SUMIF(('Loading-truck'!$B$31:$B$48),$J2132,('Loading-truck'!$E$31:$E$48))*Impacts!$F$14,0)),0)</f>
        <v>0</v>
      </c>
      <c r="S2132" s="10">
        <f>IFERROR(IF(('Loading-rail'!$C$21)="No control",SUMIF(('Loading-rail'!$B$31:$B$48),$J2132,('Loading-rail'!$D$31:$D$48))*Impacts!$F$15,IF(('Loading-rail'!$C$21)&lt;&gt;"No control",SUMIF(('Loading-rail'!$B$31:$B$48),$J2132,('Loading-rail'!$E$31:$E$48))*Impacts!$F$15,0)),0)</f>
        <v>0</v>
      </c>
      <c r="T2132" s="10">
        <f>IF(Flare!$C$7="",0,(SUMIF(Flare!$B$46:$B$185,$J2132,Flare!$E$46:$E$185)*Impacts!$F$16))</f>
        <v>0</v>
      </c>
      <c r="U2132" s="10">
        <f>IF(VCU!$C$9="",0,(SUMIF(VCU!$B$51:$B$193,$J2132,VCU!$E$51:$E$193)*Impacts!$F$17))</f>
        <v>0</v>
      </c>
      <c r="V2132" s="10">
        <f>IF(CAS!$C$7="",0,(SUMIF(CAS!$B$31:$B$167,$J2132,CAS!$E$31:$E$167)*Impacts!$F$18))</f>
        <v>0</v>
      </c>
      <c r="W2132" s="10">
        <f t="shared" si="73"/>
        <v>0</v>
      </c>
      <c r="AK2132" s="10" t="str">
        <f t="array" ref="AK2132">IFERROR(INDEX(SelectedSpecies,SMALL(IF(SelectedSpecies=AK$1,ROW(SelectedSpecies)),ROW(2133:2133)),2),"")</f>
        <v/>
      </c>
      <c r="BE2132" s="10"/>
      <c r="BI2132" s="10"/>
    </row>
    <row r="2133" spans="1:61" ht="21" customHeight="1" x14ac:dyDescent="0.25">
      <c r="A2133" s="10"/>
      <c r="B2133" s="10"/>
      <c r="E2133" s="10"/>
      <c r="G2133" s="10"/>
      <c r="I2133" s="436" t="s">
        <v>1851</v>
      </c>
      <c r="J2133" s="26" t="s">
        <v>1850</v>
      </c>
      <c r="K2133" s="10">
        <v>20</v>
      </c>
      <c r="L2133" s="73">
        <f>IF(Tank1!$C$23="No control",(SUMIF(Tank1!$B$32:$B$49,$J2133,Tank1!$C$32:$C$49)*Impacts!$F$8),0)</f>
        <v>0</v>
      </c>
      <c r="M2133" s="10">
        <f>IF(Tank2!$C$23="No control",(SUMIF(Tank2!$B$32:$B$49,$J2133,Tank2!$C$32:$C$49)*Impacts!$F$9),0)</f>
        <v>0</v>
      </c>
      <c r="N2133" s="10">
        <f>IF(Tank3!$C$23="No control",(SUMIF(Tank3!$B$32:$B$49,$J2133,Tank3!$C$32:$C$49)*Impacts!$F$10),0)</f>
        <v>0</v>
      </c>
      <c r="O2133" s="10">
        <f>IF(Tank4!$C$23="No control",(SUMIF(Tank4!$B$32:$B$49,$J2133,Tank4!$C$32:$C$49)*Impacts!$F$11),0)</f>
        <v>0</v>
      </c>
      <c r="P2133" s="10">
        <f>IF(Tank5!$C$23="No control",(SUMIF(Tank5!$B$32:$B$49,$J2133,Tank5!$C$32:$C$49)*Impacts!$F$12),0)</f>
        <v>0</v>
      </c>
      <c r="Q2133" s="10">
        <f>IFERROR(IF(('Loading-drum,tote'!$C$21)="No control",SUMIF(('Loading-drum,tote'!$B$31:$B$48),$J2133,('Loading-drum,tote'!$D$31:$D$48))*Impacts!$F$13,IF(('Loading-drum,tote'!$C$21)&lt;&gt;"No control",SUMIF(('Loading-drum,tote'!$B$31:$B$48),$J2133,('Loading-drum,tote'!$E$31:$E$48))*Impacts!$F$13,0)),0)</f>
        <v>0</v>
      </c>
      <c r="R2133" s="10">
        <f>IFERROR(IF(('Loading-truck'!$C$21)="No control",SUMIF(('Loading-truck'!$B$31:$B$48),$J2133,('Loading-truck'!$D$31:$D$48))*Impacts!$F$14,IF(('Loading-truck'!$C$21)&lt;&gt;"No control",SUMIF(('Loading-truck'!$B$31:$B$48),$J2133,('Loading-truck'!$E$31:$E$48))*Impacts!$F$14,0)),0)</f>
        <v>0</v>
      </c>
      <c r="S2133" s="10">
        <f>IFERROR(IF(('Loading-rail'!$C$21)="No control",SUMIF(('Loading-rail'!$B$31:$B$48),$J2133,('Loading-rail'!$D$31:$D$48))*Impacts!$F$15,IF(('Loading-rail'!$C$21)&lt;&gt;"No control",SUMIF(('Loading-rail'!$B$31:$B$48),$J2133,('Loading-rail'!$E$31:$E$48))*Impacts!$F$15,0)),0)</f>
        <v>0</v>
      </c>
      <c r="T2133" s="10">
        <f>IF(Flare!$C$7="",0,(SUMIF(Flare!$B$46:$B$185,$J2133,Flare!$E$46:$E$185)*Impacts!$F$16))</f>
        <v>0</v>
      </c>
      <c r="U2133" s="10">
        <f>IF(VCU!$C$9="",0,(SUMIF(VCU!$B$51:$B$193,$J2133,VCU!$E$51:$E$193)*Impacts!$F$17))</f>
        <v>0</v>
      </c>
      <c r="V2133" s="10">
        <f>IF(CAS!$C$7="",0,(SUMIF(CAS!$B$31:$B$167,$J2133,CAS!$E$31:$E$167)*Impacts!$F$18))</f>
        <v>0</v>
      </c>
      <c r="W2133" s="10">
        <f t="shared" si="73"/>
        <v>0</v>
      </c>
      <c r="AK2133" s="10" t="str">
        <f t="array" ref="AK2133">IFERROR(INDEX(SelectedSpecies,SMALL(IF(SelectedSpecies=AK$1,ROW(SelectedSpecies)),ROW(2134:2134)),2),"")</f>
        <v/>
      </c>
      <c r="BE2133" s="10"/>
      <c r="BI2133" s="10"/>
    </row>
    <row r="2134" spans="1:61" ht="21" customHeight="1" x14ac:dyDescent="0.25">
      <c r="A2134" s="10"/>
      <c r="B2134" s="10"/>
      <c r="E2134" s="10"/>
      <c r="G2134" s="10"/>
      <c r="I2134" s="436" t="s">
        <v>1694</v>
      </c>
      <c r="J2134" s="26" t="s">
        <v>1693</v>
      </c>
      <c r="K2134" s="10">
        <v>24.5</v>
      </c>
      <c r="L2134" s="73">
        <f>IF(Tank1!$C$23="No control",(SUMIF(Tank1!$B$32:$B$49,$J2134,Tank1!$C$32:$C$49)*Impacts!$F$8),0)</f>
        <v>0</v>
      </c>
      <c r="M2134" s="10">
        <f>IF(Tank2!$C$23="No control",(SUMIF(Tank2!$B$32:$B$49,$J2134,Tank2!$C$32:$C$49)*Impacts!$F$9),0)</f>
        <v>0</v>
      </c>
      <c r="N2134" s="10">
        <f>IF(Tank3!$C$23="No control",(SUMIF(Tank3!$B$32:$B$49,$J2134,Tank3!$C$32:$C$49)*Impacts!$F$10),0)</f>
        <v>0</v>
      </c>
      <c r="O2134" s="10">
        <f>IF(Tank4!$C$23="No control",(SUMIF(Tank4!$B$32:$B$49,$J2134,Tank4!$C$32:$C$49)*Impacts!$F$11),0)</f>
        <v>0</v>
      </c>
      <c r="P2134" s="10">
        <f>IF(Tank5!$C$23="No control",(SUMIF(Tank5!$B$32:$B$49,$J2134,Tank5!$C$32:$C$49)*Impacts!$F$12),0)</f>
        <v>0</v>
      </c>
      <c r="Q2134" s="10">
        <f>IFERROR(IF(('Loading-drum,tote'!$C$21)="No control",SUMIF(('Loading-drum,tote'!$B$31:$B$48),$J2134,('Loading-drum,tote'!$D$31:$D$48))*Impacts!$F$13,IF(('Loading-drum,tote'!$C$21)&lt;&gt;"No control",SUMIF(('Loading-drum,tote'!$B$31:$B$48),$J2134,('Loading-drum,tote'!$E$31:$E$48))*Impacts!$F$13,0)),0)</f>
        <v>0</v>
      </c>
      <c r="R2134" s="10">
        <f>IFERROR(IF(('Loading-truck'!$C$21)="No control",SUMIF(('Loading-truck'!$B$31:$B$48),$J2134,('Loading-truck'!$D$31:$D$48))*Impacts!$F$14,IF(('Loading-truck'!$C$21)&lt;&gt;"No control",SUMIF(('Loading-truck'!$B$31:$B$48),$J2134,('Loading-truck'!$E$31:$E$48))*Impacts!$F$14,0)),0)</f>
        <v>0</v>
      </c>
      <c r="S2134" s="10">
        <f>IFERROR(IF(('Loading-rail'!$C$21)="No control",SUMIF(('Loading-rail'!$B$31:$B$48),$J2134,('Loading-rail'!$D$31:$D$48))*Impacts!$F$15,IF(('Loading-rail'!$C$21)&lt;&gt;"No control",SUMIF(('Loading-rail'!$B$31:$B$48),$J2134,('Loading-rail'!$E$31:$E$48))*Impacts!$F$15,0)),0)</f>
        <v>0</v>
      </c>
      <c r="T2134" s="10">
        <f>IF(Flare!$C$7="",0,(SUMIF(Flare!$B$46:$B$185,$J2134,Flare!$E$46:$E$185)*Impacts!$F$16))</f>
        <v>0</v>
      </c>
      <c r="U2134" s="10">
        <f>IF(VCU!$C$9="",0,(SUMIF(VCU!$B$51:$B$193,$J2134,VCU!$E$51:$E$193)*Impacts!$F$17))</f>
        <v>0</v>
      </c>
      <c r="V2134" s="10">
        <f>IF(CAS!$C$7="",0,(SUMIF(CAS!$B$31:$B$167,$J2134,CAS!$E$31:$E$167)*Impacts!$F$18))</f>
        <v>0</v>
      </c>
      <c r="W2134" s="10">
        <f t="shared" si="73"/>
        <v>0</v>
      </c>
      <c r="AK2134" s="10" t="str">
        <f t="array" ref="AK2134">IFERROR(INDEX(SelectedSpecies,SMALL(IF(SelectedSpecies=AK$1,ROW(SelectedSpecies)),ROW(2135:2135)),2),"")</f>
        <v/>
      </c>
      <c r="BE2134" s="10"/>
      <c r="BI2134" s="10"/>
    </row>
    <row r="2135" spans="1:61" ht="21" customHeight="1" x14ac:dyDescent="0.25">
      <c r="A2135" s="10"/>
      <c r="B2135" s="10"/>
      <c r="E2135" s="10"/>
      <c r="G2135" s="10"/>
      <c r="I2135" s="436" t="s">
        <v>2923</v>
      </c>
      <c r="J2135" s="26" t="s">
        <v>2922</v>
      </c>
      <c r="K2135" s="10">
        <v>10</v>
      </c>
      <c r="L2135" s="73">
        <f>IF(Tank1!$C$23="No control",(SUMIF(Tank1!$B$32:$B$49,$J2135,Tank1!$C$32:$C$49)*Impacts!$F$8),0)</f>
        <v>0</v>
      </c>
      <c r="M2135" s="10">
        <f>IF(Tank2!$C$23="No control",(SUMIF(Tank2!$B$32:$B$49,$J2135,Tank2!$C$32:$C$49)*Impacts!$F$9),0)</f>
        <v>0</v>
      </c>
      <c r="N2135" s="10">
        <f>IF(Tank3!$C$23="No control",(SUMIF(Tank3!$B$32:$B$49,$J2135,Tank3!$C$32:$C$49)*Impacts!$F$10),0)</f>
        <v>0</v>
      </c>
      <c r="O2135" s="10">
        <f>IF(Tank4!$C$23="No control",(SUMIF(Tank4!$B$32:$B$49,$J2135,Tank4!$C$32:$C$49)*Impacts!$F$11),0)</f>
        <v>0</v>
      </c>
      <c r="P2135" s="10">
        <f>IF(Tank5!$C$23="No control",(SUMIF(Tank5!$B$32:$B$49,$J2135,Tank5!$C$32:$C$49)*Impacts!$F$12),0)</f>
        <v>0</v>
      </c>
      <c r="Q2135" s="10">
        <f>IFERROR(IF(('Loading-drum,tote'!$C$21)="No control",SUMIF(('Loading-drum,tote'!$B$31:$B$48),$J2135,('Loading-drum,tote'!$D$31:$D$48))*Impacts!$F$13,IF(('Loading-drum,tote'!$C$21)&lt;&gt;"No control",SUMIF(('Loading-drum,tote'!$B$31:$B$48),$J2135,('Loading-drum,tote'!$E$31:$E$48))*Impacts!$F$13,0)),0)</f>
        <v>0</v>
      </c>
      <c r="R2135" s="10">
        <f>IFERROR(IF(('Loading-truck'!$C$21)="No control",SUMIF(('Loading-truck'!$B$31:$B$48),$J2135,('Loading-truck'!$D$31:$D$48))*Impacts!$F$14,IF(('Loading-truck'!$C$21)&lt;&gt;"No control",SUMIF(('Loading-truck'!$B$31:$B$48),$J2135,('Loading-truck'!$E$31:$E$48))*Impacts!$F$14,0)),0)</f>
        <v>0</v>
      </c>
      <c r="S2135" s="10">
        <f>IFERROR(IF(('Loading-rail'!$C$21)="No control",SUMIF(('Loading-rail'!$B$31:$B$48),$J2135,('Loading-rail'!$D$31:$D$48))*Impacts!$F$15,IF(('Loading-rail'!$C$21)&lt;&gt;"No control",SUMIF(('Loading-rail'!$B$31:$B$48),$J2135,('Loading-rail'!$E$31:$E$48))*Impacts!$F$15,0)),0)</f>
        <v>0</v>
      </c>
      <c r="T2135" s="10">
        <f>IF(Flare!$C$7="",0,(SUMIF(Flare!$B$46:$B$185,$J2135,Flare!$E$46:$E$185)*Impacts!$F$16))</f>
        <v>0</v>
      </c>
      <c r="U2135" s="10">
        <f>IF(VCU!$C$9="",0,(SUMIF(VCU!$B$51:$B$193,$J2135,VCU!$E$51:$E$193)*Impacts!$F$17))</f>
        <v>0</v>
      </c>
      <c r="V2135" s="10">
        <f>IF(CAS!$C$7="",0,(SUMIF(CAS!$B$31:$B$167,$J2135,CAS!$E$31:$E$167)*Impacts!$F$18))</f>
        <v>0</v>
      </c>
      <c r="W2135" s="10">
        <f t="shared" si="73"/>
        <v>0</v>
      </c>
      <c r="AK2135" s="10" t="str">
        <f t="array" ref="AK2135">IFERROR(INDEX(SelectedSpecies,SMALL(IF(SelectedSpecies=AK$1,ROW(SelectedSpecies)),ROW(2136:2136)),2),"")</f>
        <v/>
      </c>
      <c r="BE2135" s="10"/>
      <c r="BI2135" s="10"/>
    </row>
    <row r="2136" spans="1:61" ht="21" customHeight="1" x14ac:dyDescent="0.25">
      <c r="A2136" s="10"/>
      <c r="B2136" s="10"/>
      <c r="E2136" s="10"/>
      <c r="G2136" s="10"/>
      <c r="I2136" s="436" t="s">
        <v>1506</v>
      </c>
      <c r="J2136" s="26" t="s">
        <v>1505</v>
      </c>
      <c r="K2136" s="10">
        <v>27.5</v>
      </c>
      <c r="L2136" s="73">
        <f>IF(Tank1!$C$23="No control",(SUMIF(Tank1!$B$32:$B$49,$J2136,Tank1!$C$32:$C$49)*Impacts!$F$8),0)</f>
        <v>0</v>
      </c>
      <c r="M2136" s="10">
        <f>IF(Tank2!$C$23="No control",(SUMIF(Tank2!$B$32:$B$49,$J2136,Tank2!$C$32:$C$49)*Impacts!$F$9),0)</f>
        <v>0</v>
      </c>
      <c r="N2136" s="10">
        <f>IF(Tank3!$C$23="No control",(SUMIF(Tank3!$B$32:$B$49,$J2136,Tank3!$C$32:$C$49)*Impacts!$F$10),0)</f>
        <v>0</v>
      </c>
      <c r="O2136" s="10">
        <f>IF(Tank4!$C$23="No control",(SUMIF(Tank4!$B$32:$B$49,$J2136,Tank4!$C$32:$C$49)*Impacts!$F$11),0)</f>
        <v>0</v>
      </c>
      <c r="P2136" s="10">
        <f>IF(Tank5!$C$23="No control",(SUMIF(Tank5!$B$32:$B$49,$J2136,Tank5!$C$32:$C$49)*Impacts!$F$12),0)</f>
        <v>0</v>
      </c>
      <c r="Q2136" s="10">
        <f>IFERROR(IF(('Loading-drum,tote'!$C$21)="No control",SUMIF(('Loading-drum,tote'!$B$31:$B$48),$J2136,('Loading-drum,tote'!$D$31:$D$48))*Impacts!$F$13,IF(('Loading-drum,tote'!$C$21)&lt;&gt;"No control",SUMIF(('Loading-drum,tote'!$B$31:$B$48),$J2136,('Loading-drum,tote'!$E$31:$E$48))*Impacts!$F$13,0)),0)</f>
        <v>0</v>
      </c>
      <c r="R2136" s="10">
        <f>IFERROR(IF(('Loading-truck'!$C$21)="No control",SUMIF(('Loading-truck'!$B$31:$B$48),$J2136,('Loading-truck'!$D$31:$D$48))*Impacts!$F$14,IF(('Loading-truck'!$C$21)&lt;&gt;"No control",SUMIF(('Loading-truck'!$B$31:$B$48),$J2136,('Loading-truck'!$E$31:$E$48))*Impacts!$F$14,0)),0)</f>
        <v>0</v>
      </c>
      <c r="S2136" s="10">
        <f>IFERROR(IF(('Loading-rail'!$C$21)="No control",SUMIF(('Loading-rail'!$B$31:$B$48),$J2136,('Loading-rail'!$D$31:$D$48))*Impacts!$F$15,IF(('Loading-rail'!$C$21)&lt;&gt;"No control",SUMIF(('Loading-rail'!$B$31:$B$48),$J2136,('Loading-rail'!$E$31:$E$48))*Impacts!$F$15,0)),0)</f>
        <v>0</v>
      </c>
      <c r="T2136" s="10">
        <f>IF(Flare!$C$7="",0,(SUMIF(Flare!$B$46:$B$185,$J2136,Flare!$E$46:$E$185)*Impacts!$F$16))</f>
        <v>0</v>
      </c>
      <c r="U2136" s="10">
        <f>IF(VCU!$C$9="",0,(SUMIF(VCU!$B$51:$B$193,$J2136,VCU!$E$51:$E$193)*Impacts!$F$17))</f>
        <v>0</v>
      </c>
      <c r="V2136" s="10">
        <f>IF(CAS!$C$7="",0,(SUMIF(CAS!$B$31:$B$167,$J2136,CAS!$E$31:$E$167)*Impacts!$F$18))</f>
        <v>0</v>
      </c>
      <c r="W2136" s="10">
        <f t="shared" si="73"/>
        <v>0</v>
      </c>
      <c r="AK2136" s="10" t="str">
        <f t="array" ref="AK2136">IFERROR(INDEX(SelectedSpecies,SMALL(IF(SelectedSpecies=AK$1,ROW(SelectedSpecies)),ROW(2137:2137)),2),"")</f>
        <v/>
      </c>
      <c r="BE2136" s="10"/>
      <c r="BI2136" s="10"/>
    </row>
    <row r="2137" spans="1:61" ht="21" customHeight="1" x14ac:dyDescent="0.25">
      <c r="A2137" s="10"/>
      <c r="B2137" s="10"/>
      <c r="E2137" s="10"/>
      <c r="G2137" s="10"/>
      <c r="I2137" s="436" t="s">
        <v>7758</v>
      </c>
      <c r="J2137" s="26" t="s">
        <v>7757</v>
      </c>
      <c r="K2137" s="10">
        <v>0.1</v>
      </c>
      <c r="L2137" s="73">
        <f>IF(Tank1!$C$23="No control",(SUMIF(Tank1!$B$32:$B$49,$J2137,Tank1!$C$32:$C$49)*Impacts!$F$8),0)</f>
        <v>0</v>
      </c>
      <c r="M2137" s="10">
        <f>IF(Tank2!$C$23="No control",(SUMIF(Tank2!$B$32:$B$49,$J2137,Tank2!$C$32:$C$49)*Impacts!$F$9),0)</f>
        <v>0</v>
      </c>
      <c r="N2137" s="10">
        <f>IF(Tank3!$C$23="No control",(SUMIF(Tank3!$B$32:$B$49,$J2137,Tank3!$C$32:$C$49)*Impacts!$F$10),0)</f>
        <v>0</v>
      </c>
      <c r="O2137" s="10">
        <f>IF(Tank4!$C$23="No control",(SUMIF(Tank4!$B$32:$B$49,$J2137,Tank4!$C$32:$C$49)*Impacts!$F$11),0)</f>
        <v>0</v>
      </c>
      <c r="P2137" s="10">
        <f>IF(Tank5!$C$23="No control",(SUMIF(Tank5!$B$32:$B$49,$J2137,Tank5!$C$32:$C$49)*Impacts!$F$12),0)</f>
        <v>0</v>
      </c>
      <c r="Q2137" s="10">
        <f>IFERROR(IF(('Loading-drum,tote'!$C$21)="No control",SUMIF(('Loading-drum,tote'!$B$31:$B$48),$J2137,('Loading-drum,tote'!$D$31:$D$48))*Impacts!$F$13,IF(('Loading-drum,tote'!$C$21)&lt;&gt;"No control",SUMIF(('Loading-drum,tote'!$B$31:$B$48),$J2137,('Loading-drum,tote'!$E$31:$E$48))*Impacts!$F$13,0)),0)</f>
        <v>0</v>
      </c>
      <c r="R2137" s="10">
        <f>IFERROR(IF(('Loading-truck'!$C$21)="No control",SUMIF(('Loading-truck'!$B$31:$B$48),$J2137,('Loading-truck'!$D$31:$D$48))*Impacts!$F$14,IF(('Loading-truck'!$C$21)&lt;&gt;"No control",SUMIF(('Loading-truck'!$B$31:$B$48),$J2137,('Loading-truck'!$E$31:$E$48))*Impacts!$F$14,0)),0)</f>
        <v>0</v>
      </c>
      <c r="S2137" s="10">
        <f>IFERROR(IF(('Loading-rail'!$C$21)="No control",SUMIF(('Loading-rail'!$B$31:$B$48),$J2137,('Loading-rail'!$D$31:$D$48))*Impacts!$F$15,IF(('Loading-rail'!$C$21)&lt;&gt;"No control",SUMIF(('Loading-rail'!$B$31:$B$48),$J2137,('Loading-rail'!$E$31:$E$48))*Impacts!$F$15,0)),0)</f>
        <v>0</v>
      </c>
      <c r="T2137" s="10">
        <f>IF(Flare!$C$7="",0,(SUMIF(Flare!$B$46:$B$185,$J2137,Flare!$E$46:$E$185)*Impacts!$F$16))</f>
        <v>0</v>
      </c>
      <c r="U2137" s="10">
        <f>IF(VCU!$C$9="",0,(SUMIF(VCU!$B$51:$B$193,$J2137,VCU!$E$51:$E$193)*Impacts!$F$17))</f>
        <v>0</v>
      </c>
      <c r="V2137" s="10">
        <f>IF(CAS!$C$7="",0,(SUMIF(CAS!$B$31:$B$167,$J2137,CAS!$E$31:$E$167)*Impacts!$F$18))</f>
        <v>0</v>
      </c>
      <c r="W2137" s="10">
        <f t="shared" si="73"/>
        <v>0</v>
      </c>
      <c r="AK2137" s="10" t="str">
        <f t="array" ref="AK2137">IFERROR(INDEX(SelectedSpecies,SMALL(IF(SelectedSpecies=AK$1,ROW(SelectedSpecies)),ROW(2138:2138)),2),"")</f>
        <v/>
      </c>
      <c r="BE2137" s="10"/>
      <c r="BI2137" s="10"/>
    </row>
    <row r="2138" spans="1:61" ht="21" customHeight="1" x14ac:dyDescent="0.25">
      <c r="A2138" s="10"/>
      <c r="B2138" s="10"/>
      <c r="E2138" s="10"/>
      <c r="G2138" s="10"/>
      <c r="I2138" s="436" t="s">
        <v>5962</v>
      </c>
      <c r="J2138" s="26" t="s">
        <v>5961</v>
      </c>
      <c r="K2138" s="10">
        <v>1</v>
      </c>
      <c r="L2138" s="73">
        <f>IF(Tank1!$C$23="No control",(SUMIF(Tank1!$B$32:$B$49,$J2138,Tank1!$C$32:$C$49)*Impacts!$F$8),0)</f>
        <v>0</v>
      </c>
      <c r="M2138" s="10">
        <f>IF(Tank2!$C$23="No control",(SUMIF(Tank2!$B$32:$B$49,$J2138,Tank2!$C$32:$C$49)*Impacts!$F$9),0)</f>
        <v>0</v>
      </c>
      <c r="N2138" s="10">
        <f>IF(Tank3!$C$23="No control",(SUMIF(Tank3!$B$32:$B$49,$J2138,Tank3!$C$32:$C$49)*Impacts!$F$10),0)</f>
        <v>0</v>
      </c>
      <c r="O2138" s="10">
        <f>IF(Tank4!$C$23="No control",(SUMIF(Tank4!$B$32:$B$49,$J2138,Tank4!$C$32:$C$49)*Impacts!$F$11),0)</f>
        <v>0</v>
      </c>
      <c r="P2138" s="10">
        <f>IF(Tank5!$C$23="No control",(SUMIF(Tank5!$B$32:$B$49,$J2138,Tank5!$C$32:$C$49)*Impacts!$F$12),0)</f>
        <v>0</v>
      </c>
      <c r="Q2138" s="10">
        <f>IFERROR(IF(('Loading-drum,tote'!$C$21)="No control",SUMIF(('Loading-drum,tote'!$B$31:$B$48),$J2138,('Loading-drum,tote'!$D$31:$D$48))*Impacts!$F$13,IF(('Loading-drum,tote'!$C$21)&lt;&gt;"No control",SUMIF(('Loading-drum,tote'!$B$31:$B$48),$J2138,('Loading-drum,tote'!$E$31:$E$48))*Impacts!$F$13,0)),0)</f>
        <v>0</v>
      </c>
      <c r="R2138" s="10">
        <f>IFERROR(IF(('Loading-truck'!$C$21)="No control",SUMIF(('Loading-truck'!$B$31:$B$48),$J2138,('Loading-truck'!$D$31:$D$48))*Impacts!$F$14,IF(('Loading-truck'!$C$21)&lt;&gt;"No control",SUMIF(('Loading-truck'!$B$31:$B$48),$J2138,('Loading-truck'!$E$31:$E$48))*Impacts!$F$14,0)),0)</f>
        <v>0</v>
      </c>
      <c r="S2138" s="10">
        <f>IFERROR(IF(('Loading-rail'!$C$21)="No control",SUMIF(('Loading-rail'!$B$31:$B$48),$J2138,('Loading-rail'!$D$31:$D$48))*Impacts!$F$15,IF(('Loading-rail'!$C$21)&lt;&gt;"No control",SUMIF(('Loading-rail'!$B$31:$B$48),$J2138,('Loading-rail'!$E$31:$E$48))*Impacts!$F$15,0)),0)</f>
        <v>0</v>
      </c>
      <c r="T2138" s="10">
        <f>IF(Flare!$C$7="",0,(SUMIF(Flare!$B$46:$B$185,$J2138,Flare!$E$46:$E$185)*Impacts!$F$16))</f>
        <v>0</v>
      </c>
      <c r="U2138" s="10">
        <f>IF(VCU!$C$9="",0,(SUMIF(VCU!$B$51:$B$193,$J2138,VCU!$E$51:$E$193)*Impacts!$F$17))</f>
        <v>0</v>
      </c>
      <c r="V2138" s="10">
        <f>IF(CAS!$C$7="",0,(SUMIF(CAS!$B$31:$B$167,$J2138,CAS!$E$31:$E$167)*Impacts!$F$18))</f>
        <v>0</v>
      </c>
      <c r="W2138" s="10">
        <f t="shared" ref="W2138:W2201" si="74">SUM(L2138:V2138)</f>
        <v>0</v>
      </c>
      <c r="AK2138" s="10" t="str">
        <f t="array" ref="AK2138">IFERROR(INDEX(SelectedSpecies,SMALL(IF(SelectedSpecies=AK$1,ROW(SelectedSpecies)),ROW(2139:2139)),2),"")</f>
        <v/>
      </c>
      <c r="BE2138" s="10"/>
      <c r="BI2138" s="10"/>
    </row>
    <row r="2139" spans="1:61" ht="21" customHeight="1" x14ac:dyDescent="0.25">
      <c r="A2139" s="10"/>
      <c r="B2139" s="10"/>
      <c r="E2139" s="10"/>
      <c r="G2139" s="10"/>
      <c r="I2139" s="436" t="s">
        <v>1344</v>
      </c>
      <c r="J2139" s="26" t="s">
        <v>1343</v>
      </c>
      <c r="K2139" s="10">
        <v>33</v>
      </c>
      <c r="L2139" s="73">
        <f>IF(Tank1!$C$23="No control",(SUMIF(Tank1!$B$32:$B$49,$J2139,Tank1!$C$32:$C$49)*Impacts!$F$8),0)</f>
        <v>0</v>
      </c>
      <c r="M2139" s="10">
        <f>IF(Tank2!$C$23="No control",(SUMIF(Tank2!$B$32:$B$49,$J2139,Tank2!$C$32:$C$49)*Impacts!$F$9),0)</f>
        <v>0</v>
      </c>
      <c r="N2139" s="10">
        <f>IF(Tank3!$C$23="No control",(SUMIF(Tank3!$B$32:$B$49,$J2139,Tank3!$C$32:$C$49)*Impacts!$F$10),0)</f>
        <v>0</v>
      </c>
      <c r="O2139" s="10">
        <f>IF(Tank4!$C$23="No control",(SUMIF(Tank4!$B$32:$B$49,$J2139,Tank4!$C$32:$C$49)*Impacts!$F$11),0)</f>
        <v>0</v>
      </c>
      <c r="P2139" s="10">
        <f>IF(Tank5!$C$23="No control",(SUMIF(Tank5!$B$32:$B$49,$J2139,Tank5!$C$32:$C$49)*Impacts!$F$12),0)</f>
        <v>0</v>
      </c>
      <c r="Q2139" s="10">
        <f>IFERROR(IF(('Loading-drum,tote'!$C$21)="No control",SUMIF(('Loading-drum,tote'!$B$31:$B$48),$J2139,('Loading-drum,tote'!$D$31:$D$48))*Impacts!$F$13,IF(('Loading-drum,tote'!$C$21)&lt;&gt;"No control",SUMIF(('Loading-drum,tote'!$B$31:$B$48),$J2139,('Loading-drum,tote'!$E$31:$E$48))*Impacts!$F$13,0)),0)</f>
        <v>0</v>
      </c>
      <c r="R2139" s="10">
        <f>IFERROR(IF(('Loading-truck'!$C$21)="No control",SUMIF(('Loading-truck'!$B$31:$B$48),$J2139,('Loading-truck'!$D$31:$D$48))*Impacts!$F$14,IF(('Loading-truck'!$C$21)&lt;&gt;"No control",SUMIF(('Loading-truck'!$B$31:$B$48),$J2139,('Loading-truck'!$E$31:$E$48))*Impacts!$F$14,0)),0)</f>
        <v>0</v>
      </c>
      <c r="S2139" s="10">
        <f>IFERROR(IF(('Loading-rail'!$C$21)="No control",SUMIF(('Loading-rail'!$B$31:$B$48),$J2139,('Loading-rail'!$D$31:$D$48))*Impacts!$F$15,IF(('Loading-rail'!$C$21)&lt;&gt;"No control",SUMIF(('Loading-rail'!$B$31:$B$48),$J2139,('Loading-rail'!$E$31:$E$48))*Impacts!$F$15,0)),0)</f>
        <v>0</v>
      </c>
      <c r="T2139" s="10">
        <f>IF(Flare!$C$7="",0,(SUMIF(Flare!$B$46:$B$185,$J2139,Flare!$E$46:$E$185)*Impacts!$F$16))</f>
        <v>0</v>
      </c>
      <c r="U2139" s="10">
        <f>IF(VCU!$C$9="",0,(SUMIF(VCU!$B$51:$B$193,$J2139,VCU!$E$51:$E$193)*Impacts!$F$17))</f>
        <v>0</v>
      </c>
      <c r="V2139" s="10">
        <f>IF(CAS!$C$7="",0,(SUMIF(CAS!$B$31:$B$167,$J2139,CAS!$E$31:$E$167)*Impacts!$F$18))</f>
        <v>0</v>
      </c>
      <c r="W2139" s="10">
        <f t="shared" si="74"/>
        <v>0</v>
      </c>
      <c r="AK2139" s="10" t="str">
        <f t="array" ref="AK2139">IFERROR(INDEX(SelectedSpecies,SMALL(IF(SelectedSpecies=AK$1,ROW(SelectedSpecies)),ROW(2140:2140)),2),"")</f>
        <v/>
      </c>
      <c r="BE2139" s="10"/>
      <c r="BI2139" s="10"/>
    </row>
    <row r="2140" spans="1:61" ht="21" customHeight="1" x14ac:dyDescent="0.25">
      <c r="A2140" s="10"/>
      <c r="B2140" s="10"/>
      <c r="E2140" s="10"/>
      <c r="G2140" s="10"/>
      <c r="I2140" s="436" t="s">
        <v>1346</v>
      </c>
      <c r="J2140" s="26" t="s">
        <v>1345</v>
      </c>
      <c r="K2140" s="10">
        <v>33</v>
      </c>
      <c r="L2140" s="73">
        <f>IF(Tank1!$C$23="No control",(SUMIF(Tank1!$B$32:$B$49,$J2140,Tank1!$C$32:$C$49)*Impacts!$F$8),0)</f>
        <v>0</v>
      </c>
      <c r="M2140" s="10">
        <f>IF(Tank2!$C$23="No control",(SUMIF(Tank2!$B$32:$B$49,$J2140,Tank2!$C$32:$C$49)*Impacts!$F$9),0)</f>
        <v>0</v>
      </c>
      <c r="N2140" s="10">
        <f>IF(Tank3!$C$23="No control",(SUMIF(Tank3!$B$32:$B$49,$J2140,Tank3!$C$32:$C$49)*Impacts!$F$10),0)</f>
        <v>0</v>
      </c>
      <c r="O2140" s="10">
        <f>IF(Tank4!$C$23="No control",(SUMIF(Tank4!$B$32:$B$49,$J2140,Tank4!$C$32:$C$49)*Impacts!$F$11),0)</f>
        <v>0</v>
      </c>
      <c r="P2140" s="10">
        <f>IF(Tank5!$C$23="No control",(SUMIF(Tank5!$B$32:$B$49,$J2140,Tank5!$C$32:$C$49)*Impacts!$F$12),0)</f>
        <v>0</v>
      </c>
      <c r="Q2140" s="10">
        <f>IFERROR(IF(('Loading-drum,tote'!$C$21)="No control",SUMIF(('Loading-drum,tote'!$B$31:$B$48),$J2140,('Loading-drum,tote'!$D$31:$D$48))*Impacts!$F$13,IF(('Loading-drum,tote'!$C$21)&lt;&gt;"No control",SUMIF(('Loading-drum,tote'!$B$31:$B$48),$J2140,('Loading-drum,tote'!$E$31:$E$48))*Impacts!$F$13,0)),0)</f>
        <v>0</v>
      </c>
      <c r="R2140" s="10">
        <f>IFERROR(IF(('Loading-truck'!$C$21)="No control",SUMIF(('Loading-truck'!$B$31:$B$48),$J2140,('Loading-truck'!$D$31:$D$48))*Impacts!$F$14,IF(('Loading-truck'!$C$21)&lt;&gt;"No control",SUMIF(('Loading-truck'!$B$31:$B$48),$J2140,('Loading-truck'!$E$31:$E$48))*Impacts!$F$14,0)),0)</f>
        <v>0</v>
      </c>
      <c r="S2140" s="10">
        <f>IFERROR(IF(('Loading-rail'!$C$21)="No control",SUMIF(('Loading-rail'!$B$31:$B$48),$J2140,('Loading-rail'!$D$31:$D$48))*Impacts!$F$15,IF(('Loading-rail'!$C$21)&lt;&gt;"No control",SUMIF(('Loading-rail'!$B$31:$B$48),$J2140,('Loading-rail'!$E$31:$E$48))*Impacts!$F$15,0)),0)</f>
        <v>0</v>
      </c>
      <c r="T2140" s="10">
        <f>IF(Flare!$C$7="",0,(SUMIF(Flare!$B$46:$B$185,$J2140,Flare!$E$46:$E$185)*Impacts!$F$16))</f>
        <v>0</v>
      </c>
      <c r="U2140" s="10">
        <f>IF(VCU!$C$9="",0,(SUMIF(VCU!$B$51:$B$193,$J2140,VCU!$E$51:$E$193)*Impacts!$F$17))</f>
        <v>0</v>
      </c>
      <c r="V2140" s="10">
        <f>IF(CAS!$C$7="",0,(SUMIF(CAS!$B$31:$B$167,$J2140,CAS!$E$31:$E$167)*Impacts!$F$18))</f>
        <v>0</v>
      </c>
      <c r="W2140" s="10">
        <f t="shared" si="74"/>
        <v>0</v>
      </c>
      <c r="AK2140" s="10" t="str">
        <f t="array" ref="AK2140">IFERROR(INDEX(SelectedSpecies,SMALL(IF(SelectedSpecies=AK$1,ROW(SelectedSpecies)),ROW(2141:2141)),2),"")</f>
        <v/>
      </c>
      <c r="BE2140" s="10"/>
      <c r="BI2140" s="10"/>
    </row>
    <row r="2141" spans="1:61" ht="21" customHeight="1" x14ac:dyDescent="0.25">
      <c r="A2141" s="10"/>
      <c r="B2141" s="10"/>
      <c r="E2141" s="10"/>
      <c r="G2141" s="10"/>
      <c r="I2141" s="436" t="s">
        <v>1348</v>
      </c>
      <c r="J2141" s="26" t="s">
        <v>1347</v>
      </c>
      <c r="K2141" s="10">
        <v>33</v>
      </c>
      <c r="L2141" s="73">
        <f>IF(Tank1!$C$23="No control",(SUMIF(Tank1!$B$32:$B$49,$J2141,Tank1!$C$32:$C$49)*Impacts!$F$8),0)</f>
        <v>0</v>
      </c>
      <c r="M2141" s="10">
        <f>IF(Tank2!$C$23="No control",(SUMIF(Tank2!$B$32:$B$49,$J2141,Tank2!$C$32:$C$49)*Impacts!$F$9),0)</f>
        <v>0</v>
      </c>
      <c r="N2141" s="10">
        <f>IF(Tank3!$C$23="No control",(SUMIF(Tank3!$B$32:$B$49,$J2141,Tank3!$C$32:$C$49)*Impacts!$F$10),0)</f>
        <v>0</v>
      </c>
      <c r="O2141" s="10">
        <f>IF(Tank4!$C$23="No control",(SUMIF(Tank4!$B$32:$B$49,$J2141,Tank4!$C$32:$C$49)*Impacts!$F$11),0)</f>
        <v>0</v>
      </c>
      <c r="P2141" s="10">
        <f>IF(Tank5!$C$23="No control",(SUMIF(Tank5!$B$32:$B$49,$J2141,Tank5!$C$32:$C$49)*Impacts!$F$12),0)</f>
        <v>0</v>
      </c>
      <c r="Q2141" s="10">
        <f>IFERROR(IF(('Loading-drum,tote'!$C$21)="No control",SUMIF(('Loading-drum,tote'!$B$31:$B$48),$J2141,('Loading-drum,tote'!$D$31:$D$48))*Impacts!$F$13,IF(('Loading-drum,tote'!$C$21)&lt;&gt;"No control",SUMIF(('Loading-drum,tote'!$B$31:$B$48),$J2141,('Loading-drum,tote'!$E$31:$E$48))*Impacts!$F$13,0)),0)</f>
        <v>0</v>
      </c>
      <c r="R2141" s="10">
        <f>IFERROR(IF(('Loading-truck'!$C$21)="No control",SUMIF(('Loading-truck'!$B$31:$B$48),$J2141,('Loading-truck'!$D$31:$D$48))*Impacts!$F$14,IF(('Loading-truck'!$C$21)&lt;&gt;"No control",SUMIF(('Loading-truck'!$B$31:$B$48),$J2141,('Loading-truck'!$E$31:$E$48))*Impacts!$F$14,0)),0)</f>
        <v>0</v>
      </c>
      <c r="S2141" s="10">
        <f>IFERROR(IF(('Loading-rail'!$C$21)="No control",SUMIF(('Loading-rail'!$B$31:$B$48),$J2141,('Loading-rail'!$D$31:$D$48))*Impacts!$F$15,IF(('Loading-rail'!$C$21)&lt;&gt;"No control",SUMIF(('Loading-rail'!$B$31:$B$48),$J2141,('Loading-rail'!$E$31:$E$48))*Impacts!$F$15,0)),0)</f>
        <v>0</v>
      </c>
      <c r="T2141" s="10">
        <f>IF(Flare!$C$7="",0,(SUMIF(Flare!$B$46:$B$185,$J2141,Flare!$E$46:$E$185)*Impacts!$F$16))</f>
        <v>0</v>
      </c>
      <c r="U2141" s="10">
        <f>IF(VCU!$C$9="",0,(SUMIF(VCU!$B$51:$B$193,$J2141,VCU!$E$51:$E$193)*Impacts!$F$17))</f>
        <v>0</v>
      </c>
      <c r="V2141" s="10">
        <f>IF(CAS!$C$7="",0,(SUMIF(CAS!$B$31:$B$167,$J2141,CAS!$E$31:$E$167)*Impacts!$F$18))</f>
        <v>0</v>
      </c>
      <c r="W2141" s="10">
        <f t="shared" si="74"/>
        <v>0</v>
      </c>
      <c r="AK2141" s="10" t="str">
        <f t="array" ref="AK2141">IFERROR(INDEX(SelectedSpecies,SMALL(IF(SelectedSpecies=AK$1,ROW(SelectedSpecies)),ROW(2142:2142)),2),"")</f>
        <v/>
      </c>
      <c r="BE2141" s="10"/>
      <c r="BI2141" s="10"/>
    </row>
    <row r="2142" spans="1:61" ht="21" customHeight="1" x14ac:dyDescent="0.25">
      <c r="A2142" s="10"/>
      <c r="B2142" s="10"/>
      <c r="E2142" s="10"/>
      <c r="G2142" s="10"/>
      <c r="I2142" s="436" t="s">
        <v>1350</v>
      </c>
      <c r="J2142" s="26" t="s">
        <v>1349</v>
      </c>
      <c r="K2142" s="10">
        <v>33</v>
      </c>
      <c r="L2142" s="73">
        <f>IF(Tank1!$C$23="No control",(SUMIF(Tank1!$B$32:$B$49,$J2142,Tank1!$C$32:$C$49)*Impacts!$F$8),0)</f>
        <v>0</v>
      </c>
      <c r="M2142" s="10">
        <f>IF(Tank2!$C$23="No control",(SUMIF(Tank2!$B$32:$B$49,$J2142,Tank2!$C$32:$C$49)*Impacts!$F$9),0)</f>
        <v>0</v>
      </c>
      <c r="N2142" s="10">
        <f>IF(Tank3!$C$23="No control",(SUMIF(Tank3!$B$32:$B$49,$J2142,Tank3!$C$32:$C$49)*Impacts!$F$10),0)</f>
        <v>0</v>
      </c>
      <c r="O2142" s="10">
        <f>IF(Tank4!$C$23="No control",(SUMIF(Tank4!$B$32:$B$49,$J2142,Tank4!$C$32:$C$49)*Impacts!$F$11),0)</f>
        <v>0</v>
      </c>
      <c r="P2142" s="10">
        <f>IF(Tank5!$C$23="No control",(SUMIF(Tank5!$B$32:$B$49,$J2142,Tank5!$C$32:$C$49)*Impacts!$F$12),0)</f>
        <v>0</v>
      </c>
      <c r="Q2142" s="10">
        <f>IFERROR(IF(('Loading-drum,tote'!$C$21)="No control",SUMIF(('Loading-drum,tote'!$B$31:$B$48),$J2142,('Loading-drum,tote'!$D$31:$D$48))*Impacts!$F$13,IF(('Loading-drum,tote'!$C$21)&lt;&gt;"No control",SUMIF(('Loading-drum,tote'!$B$31:$B$48),$J2142,('Loading-drum,tote'!$E$31:$E$48))*Impacts!$F$13,0)),0)</f>
        <v>0</v>
      </c>
      <c r="R2142" s="10">
        <f>IFERROR(IF(('Loading-truck'!$C$21)="No control",SUMIF(('Loading-truck'!$B$31:$B$48),$J2142,('Loading-truck'!$D$31:$D$48))*Impacts!$F$14,IF(('Loading-truck'!$C$21)&lt;&gt;"No control",SUMIF(('Loading-truck'!$B$31:$B$48),$J2142,('Loading-truck'!$E$31:$E$48))*Impacts!$F$14,0)),0)</f>
        <v>0</v>
      </c>
      <c r="S2142" s="10">
        <f>IFERROR(IF(('Loading-rail'!$C$21)="No control",SUMIF(('Loading-rail'!$B$31:$B$48),$J2142,('Loading-rail'!$D$31:$D$48))*Impacts!$F$15,IF(('Loading-rail'!$C$21)&lt;&gt;"No control",SUMIF(('Loading-rail'!$B$31:$B$48),$J2142,('Loading-rail'!$E$31:$E$48))*Impacts!$F$15,0)),0)</f>
        <v>0</v>
      </c>
      <c r="T2142" s="10">
        <f>IF(Flare!$C$7="",0,(SUMIF(Flare!$B$46:$B$185,$J2142,Flare!$E$46:$E$185)*Impacts!$F$16))</f>
        <v>0</v>
      </c>
      <c r="U2142" s="10">
        <f>IF(VCU!$C$9="",0,(SUMIF(VCU!$B$51:$B$193,$J2142,VCU!$E$51:$E$193)*Impacts!$F$17))</f>
        <v>0</v>
      </c>
      <c r="V2142" s="10">
        <f>IF(CAS!$C$7="",0,(SUMIF(CAS!$B$31:$B$167,$J2142,CAS!$E$31:$E$167)*Impacts!$F$18))</f>
        <v>0</v>
      </c>
      <c r="W2142" s="10">
        <f t="shared" si="74"/>
        <v>0</v>
      </c>
      <c r="AK2142" s="10" t="str">
        <f t="array" ref="AK2142">IFERROR(INDEX(SelectedSpecies,SMALL(IF(SelectedSpecies=AK$1,ROW(SelectedSpecies)),ROW(2143:2143)),2),"")</f>
        <v/>
      </c>
      <c r="BE2142" s="10"/>
      <c r="BI2142" s="10"/>
    </row>
    <row r="2143" spans="1:61" ht="21" customHeight="1" x14ac:dyDescent="0.25">
      <c r="A2143" s="10"/>
      <c r="B2143" s="10"/>
      <c r="E2143" s="10"/>
      <c r="G2143" s="10"/>
      <c r="I2143" s="436" t="s">
        <v>1352</v>
      </c>
      <c r="J2143" s="26" t="s">
        <v>1351</v>
      </c>
      <c r="K2143" s="10">
        <v>33</v>
      </c>
      <c r="L2143" s="73">
        <f>IF(Tank1!$C$23="No control",(SUMIF(Tank1!$B$32:$B$49,$J2143,Tank1!$C$32:$C$49)*Impacts!$F$8),0)</f>
        <v>0</v>
      </c>
      <c r="M2143" s="10">
        <f>IF(Tank2!$C$23="No control",(SUMIF(Tank2!$B$32:$B$49,$J2143,Tank2!$C$32:$C$49)*Impacts!$F$9),0)</f>
        <v>0</v>
      </c>
      <c r="N2143" s="10">
        <f>IF(Tank3!$C$23="No control",(SUMIF(Tank3!$B$32:$B$49,$J2143,Tank3!$C$32:$C$49)*Impacts!$F$10),0)</f>
        <v>0</v>
      </c>
      <c r="O2143" s="10">
        <f>IF(Tank4!$C$23="No control",(SUMIF(Tank4!$B$32:$B$49,$J2143,Tank4!$C$32:$C$49)*Impacts!$F$11),0)</f>
        <v>0</v>
      </c>
      <c r="P2143" s="10">
        <f>IF(Tank5!$C$23="No control",(SUMIF(Tank5!$B$32:$B$49,$J2143,Tank5!$C$32:$C$49)*Impacts!$F$12),0)</f>
        <v>0</v>
      </c>
      <c r="Q2143" s="10">
        <f>IFERROR(IF(('Loading-drum,tote'!$C$21)="No control",SUMIF(('Loading-drum,tote'!$B$31:$B$48),$J2143,('Loading-drum,tote'!$D$31:$D$48))*Impacts!$F$13,IF(('Loading-drum,tote'!$C$21)&lt;&gt;"No control",SUMIF(('Loading-drum,tote'!$B$31:$B$48),$J2143,('Loading-drum,tote'!$E$31:$E$48))*Impacts!$F$13,0)),0)</f>
        <v>0</v>
      </c>
      <c r="R2143" s="10">
        <f>IFERROR(IF(('Loading-truck'!$C$21)="No control",SUMIF(('Loading-truck'!$B$31:$B$48),$J2143,('Loading-truck'!$D$31:$D$48))*Impacts!$F$14,IF(('Loading-truck'!$C$21)&lt;&gt;"No control",SUMIF(('Loading-truck'!$B$31:$B$48),$J2143,('Loading-truck'!$E$31:$E$48))*Impacts!$F$14,0)),0)</f>
        <v>0</v>
      </c>
      <c r="S2143" s="10">
        <f>IFERROR(IF(('Loading-rail'!$C$21)="No control",SUMIF(('Loading-rail'!$B$31:$B$48),$J2143,('Loading-rail'!$D$31:$D$48))*Impacts!$F$15,IF(('Loading-rail'!$C$21)&lt;&gt;"No control",SUMIF(('Loading-rail'!$B$31:$B$48),$J2143,('Loading-rail'!$E$31:$E$48))*Impacts!$F$15,0)),0)</f>
        <v>0</v>
      </c>
      <c r="T2143" s="10">
        <f>IF(Flare!$C$7="",0,(SUMIF(Flare!$B$46:$B$185,$J2143,Flare!$E$46:$E$185)*Impacts!$F$16))</f>
        <v>0</v>
      </c>
      <c r="U2143" s="10">
        <f>IF(VCU!$C$9="",0,(SUMIF(VCU!$B$51:$B$193,$J2143,VCU!$E$51:$E$193)*Impacts!$F$17))</f>
        <v>0</v>
      </c>
      <c r="V2143" s="10">
        <f>IF(CAS!$C$7="",0,(SUMIF(CAS!$B$31:$B$167,$J2143,CAS!$E$31:$E$167)*Impacts!$F$18))</f>
        <v>0</v>
      </c>
      <c r="W2143" s="10">
        <f t="shared" si="74"/>
        <v>0</v>
      </c>
      <c r="AK2143" s="10" t="str">
        <f t="array" ref="AK2143">IFERROR(INDEX(SelectedSpecies,SMALL(IF(SelectedSpecies=AK$1,ROW(SelectedSpecies)),ROW(2144:2144)),2),"")</f>
        <v/>
      </c>
      <c r="BE2143" s="10"/>
      <c r="BI2143" s="10"/>
    </row>
    <row r="2144" spans="1:61" ht="21" customHeight="1" x14ac:dyDescent="0.25">
      <c r="A2144" s="10"/>
      <c r="B2144" s="10"/>
      <c r="E2144" s="10"/>
      <c r="G2144" s="10"/>
      <c r="I2144" s="436" t="s">
        <v>1354</v>
      </c>
      <c r="J2144" s="26" t="s">
        <v>1353</v>
      </c>
      <c r="K2144" s="10">
        <v>33</v>
      </c>
      <c r="L2144" s="73">
        <f>IF(Tank1!$C$23="No control",(SUMIF(Tank1!$B$32:$B$49,$J2144,Tank1!$C$32:$C$49)*Impacts!$F$8),0)</f>
        <v>0</v>
      </c>
      <c r="M2144" s="10">
        <f>IF(Tank2!$C$23="No control",(SUMIF(Tank2!$B$32:$B$49,$J2144,Tank2!$C$32:$C$49)*Impacts!$F$9),0)</f>
        <v>0</v>
      </c>
      <c r="N2144" s="10">
        <f>IF(Tank3!$C$23="No control",(SUMIF(Tank3!$B$32:$B$49,$J2144,Tank3!$C$32:$C$49)*Impacts!$F$10),0)</f>
        <v>0</v>
      </c>
      <c r="O2144" s="10">
        <f>IF(Tank4!$C$23="No control",(SUMIF(Tank4!$B$32:$B$49,$J2144,Tank4!$C$32:$C$49)*Impacts!$F$11),0)</f>
        <v>0</v>
      </c>
      <c r="P2144" s="10">
        <f>IF(Tank5!$C$23="No control",(SUMIF(Tank5!$B$32:$B$49,$J2144,Tank5!$C$32:$C$49)*Impacts!$F$12),0)</f>
        <v>0</v>
      </c>
      <c r="Q2144" s="10">
        <f>IFERROR(IF(('Loading-drum,tote'!$C$21)="No control",SUMIF(('Loading-drum,tote'!$B$31:$B$48),$J2144,('Loading-drum,tote'!$D$31:$D$48))*Impacts!$F$13,IF(('Loading-drum,tote'!$C$21)&lt;&gt;"No control",SUMIF(('Loading-drum,tote'!$B$31:$B$48),$J2144,('Loading-drum,tote'!$E$31:$E$48))*Impacts!$F$13,0)),0)</f>
        <v>0</v>
      </c>
      <c r="R2144" s="10">
        <f>IFERROR(IF(('Loading-truck'!$C$21)="No control",SUMIF(('Loading-truck'!$B$31:$B$48),$J2144,('Loading-truck'!$D$31:$D$48))*Impacts!$F$14,IF(('Loading-truck'!$C$21)&lt;&gt;"No control",SUMIF(('Loading-truck'!$B$31:$B$48),$J2144,('Loading-truck'!$E$31:$E$48))*Impacts!$F$14,0)),0)</f>
        <v>0</v>
      </c>
      <c r="S2144" s="10">
        <f>IFERROR(IF(('Loading-rail'!$C$21)="No control",SUMIF(('Loading-rail'!$B$31:$B$48),$J2144,('Loading-rail'!$D$31:$D$48))*Impacts!$F$15,IF(('Loading-rail'!$C$21)&lt;&gt;"No control",SUMIF(('Loading-rail'!$B$31:$B$48),$J2144,('Loading-rail'!$E$31:$E$48))*Impacts!$F$15,0)),0)</f>
        <v>0</v>
      </c>
      <c r="T2144" s="10">
        <f>IF(Flare!$C$7="",0,(SUMIF(Flare!$B$46:$B$185,$J2144,Flare!$E$46:$E$185)*Impacts!$F$16))</f>
        <v>0</v>
      </c>
      <c r="U2144" s="10">
        <f>IF(VCU!$C$9="",0,(SUMIF(VCU!$B$51:$B$193,$J2144,VCU!$E$51:$E$193)*Impacts!$F$17))</f>
        <v>0</v>
      </c>
      <c r="V2144" s="10">
        <f>IF(CAS!$C$7="",0,(SUMIF(CAS!$B$31:$B$167,$J2144,CAS!$E$31:$E$167)*Impacts!$F$18))</f>
        <v>0</v>
      </c>
      <c r="W2144" s="10">
        <f t="shared" si="74"/>
        <v>0</v>
      </c>
      <c r="AK2144" s="10" t="str">
        <f t="array" ref="AK2144">IFERROR(INDEX(SelectedSpecies,SMALL(IF(SelectedSpecies=AK$1,ROW(SelectedSpecies)),ROW(2145:2145)),2),"")</f>
        <v/>
      </c>
      <c r="BE2144" s="10"/>
      <c r="BI2144" s="10"/>
    </row>
    <row r="2145" spans="1:61" ht="21" customHeight="1" x14ac:dyDescent="0.25">
      <c r="A2145" s="10"/>
      <c r="B2145" s="10"/>
      <c r="E2145" s="10"/>
      <c r="G2145" s="10"/>
      <c r="I2145" s="436" t="s">
        <v>1356</v>
      </c>
      <c r="J2145" s="26" t="s">
        <v>1355</v>
      </c>
      <c r="K2145" s="10">
        <v>33</v>
      </c>
      <c r="L2145" s="73">
        <f>IF(Tank1!$C$23="No control",(SUMIF(Tank1!$B$32:$B$49,$J2145,Tank1!$C$32:$C$49)*Impacts!$F$8),0)</f>
        <v>0</v>
      </c>
      <c r="M2145" s="10">
        <f>IF(Tank2!$C$23="No control",(SUMIF(Tank2!$B$32:$B$49,$J2145,Tank2!$C$32:$C$49)*Impacts!$F$9),0)</f>
        <v>0</v>
      </c>
      <c r="N2145" s="10">
        <f>IF(Tank3!$C$23="No control",(SUMIF(Tank3!$B$32:$B$49,$J2145,Tank3!$C$32:$C$49)*Impacts!$F$10),0)</f>
        <v>0</v>
      </c>
      <c r="O2145" s="10">
        <f>IF(Tank4!$C$23="No control",(SUMIF(Tank4!$B$32:$B$49,$J2145,Tank4!$C$32:$C$49)*Impacts!$F$11),0)</f>
        <v>0</v>
      </c>
      <c r="P2145" s="10">
        <f>IF(Tank5!$C$23="No control",(SUMIF(Tank5!$B$32:$B$49,$J2145,Tank5!$C$32:$C$49)*Impacts!$F$12),0)</f>
        <v>0</v>
      </c>
      <c r="Q2145" s="10">
        <f>IFERROR(IF(('Loading-drum,tote'!$C$21)="No control",SUMIF(('Loading-drum,tote'!$B$31:$B$48),$J2145,('Loading-drum,tote'!$D$31:$D$48))*Impacts!$F$13,IF(('Loading-drum,tote'!$C$21)&lt;&gt;"No control",SUMIF(('Loading-drum,tote'!$B$31:$B$48),$J2145,('Loading-drum,tote'!$E$31:$E$48))*Impacts!$F$13,0)),0)</f>
        <v>0</v>
      </c>
      <c r="R2145" s="10">
        <f>IFERROR(IF(('Loading-truck'!$C$21)="No control",SUMIF(('Loading-truck'!$B$31:$B$48),$J2145,('Loading-truck'!$D$31:$D$48))*Impacts!$F$14,IF(('Loading-truck'!$C$21)&lt;&gt;"No control",SUMIF(('Loading-truck'!$B$31:$B$48),$J2145,('Loading-truck'!$E$31:$E$48))*Impacts!$F$14,0)),0)</f>
        <v>0</v>
      </c>
      <c r="S2145" s="10">
        <f>IFERROR(IF(('Loading-rail'!$C$21)="No control",SUMIF(('Loading-rail'!$B$31:$B$48),$J2145,('Loading-rail'!$D$31:$D$48))*Impacts!$F$15,IF(('Loading-rail'!$C$21)&lt;&gt;"No control",SUMIF(('Loading-rail'!$B$31:$B$48),$J2145,('Loading-rail'!$E$31:$E$48))*Impacts!$F$15,0)),0)</f>
        <v>0</v>
      </c>
      <c r="T2145" s="10">
        <f>IF(Flare!$C$7="",0,(SUMIF(Flare!$B$46:$B$185,$J2145,Flare!$E$46:$E$185)*Impacts!$F$16))</f>
        <v>0</v>
      </c>
      <c r="U2145" s="10">
        <f>IF(VCU!$C$9="",0,(SUMIF(VCU!$B$51:$B$193,$J2145,VCU!$E$51:$E$193)*Impacts!$F$17))</f>
        <v>0</v>
      </c>
      <c r="V2145" s="10">
        <f>IF(CAS!$C$7="",0,(SUMIF(CAS!$B$31:$B$167,$J2145,CAS!$E$31:$E$167)*Impacts!$F$18))</f>
        <v>0</v>
      </c>
      <c r="W2145" s="10">
        <f t="shared" si="74"/>
        <v>0</v>
      </c>
      <c r="AK2145" s="10" t="str">
        <f t="array" ref="AK2145">IFERROR(INDEX(SelectedSpecies,SMALL(IF(SelectedSpecies=AK$1,ROW(SelectedSpecies)),ROW(2146:2146)),2),"")</f>
        <v/>
      </c>
      <c r="BE2145" s="10"/>
      <c r="BI2145" s="10"/>
    </row>
    <row r="2146" spans="1:61" ht="21" customHeight="1" x14ac:dyDescent="0.25">
      <c r="A2146" s="10"/>
      <c r="B2146" s="10"/>
      <c r="E2146" s="10"/>
      <c r="G2146" s="10"/>
      <c r="I2146" s="436" t="s">
        <v>1358</v>
      </c>
      <c r="J2146" s="26" t="s">
        <v>1357</v>
      </c>
      <c r="K2146" s="10">
        <v>33</v>
      </c>
      <c r="L2146" s="73">
        <f>IF(Tank1!$C$23="No control",(SUMIF(Tank1!$B$32:$B$49,$J2146,Tank1!$C$32:$C$49)*Impacts!$F$8),0)</f>
        <v>0</v>
      </c>
      <c r="M2146" s="10">
        <f>IF(Tank2!$C$23="No control",(SUMIF(Tank2!$B$32:$B$49,$J2146,Tank2!$C$32:$C$49)*Impacts!$F$9),0)</f>
        <v>0</v>
      </c>
      <c r="N2146" s="10">
        <f>IF(Tank3!$C$23="No control",(SUMIF(Tank3!$B$32:$B$49,$J2146,Tank3!$C$32:$C$49)*Impacts!$F$10),0)</f>
        <v>0</v>
      </c>
      <c r="O2146" s="10">
        <f>IF(Tank4!$C$23="No control",(SUMIF(Tank4!$B$32:$B$49,$J2146,Tank4!$C$32:$C$49)*Impacts!$F$11),0)</f>
        <v>0</v>
      </c>
      <c r="P2146" s="10">
        <f>IF(Tank5!$C$23="No control",(SUMIF(Tank5!$B$32:$B$49,$J2146,Tank5!$C$32:$C$49)*Impacts!$F$12),0)</f>
        <v>0</v>
      </c>
      <c r="Q2146" s="10">
        <f>IFERROR(IF(('Loading-drum,tote'!$C$21)="No control",SUMIF(('Loading-drum,tote'!$B$31:$B$48),$J2146,('Loading-drum,tote'!$D$31:$D$48))*Impacts!$F$13,IF(('Loading-drum,tote'!$C$21)&lt;&gt;"No control",SUMIF(('Loading-drum,tote'!$B$31:$B$48),$J2146,('Loading-drum,tote'!$E$31:$E$48))*Impacts!$F$13,0)),0)</f>
        <v>0</v>
      </c>
      <c r="R2146" s="10">
        <f>IFERROR(IF(('Loading-truck'!$C$21)="No control",SUMIF(('Loading-truck'!$B$31:$B$48),$J2146,('Loading-truck'!$D$31:$D$48))*Impacts!$F$14,IF(('Loading-truck'!$C$21)&lt;&gt;"No control",SUMIF(('Loading-truck'!$B$31:$B$48),$J2146,('Loading-truck'!$E$31:$E$48))*Impacts!$F$14,0)),0)</f>
        <v>0</v>
      </c>
      <c r="S2146" s="10">
        <f>IFERROR(IF(('Loading-rail'!$C$21)="No control",SUMIF(('Loading-rail'!$B$31:$B$48),$J2146,('Loading-rail'!$D$31:$D$48))*Impacts!$F$15,IF(('Loading-rail'!$C$21)&lt;&gt;"No control",SUMIF(('Loading-rail'!$B$31:$B$48),$J2146,('Loading-rail'!$E$31:$E$48))*Impacts!$F$15,0)),0)</f>
        <v>0</v>
      </c>
      <c r="T2146" s="10">
        <f>IF(Flare!$C$7="",0,(SUMIF(Flare!$B$46:$B$185,$J2146,Flare!$E$46:$E$185)*Impacts!$F$16))</f>
        <v>0</v>
      </c>
      <c r="U2146" s="10">
        <f>IF(VCU!$C$9="",0,(SUMIF(VCU!$B$51:$B$193,$J2146,VCU!$E$51:$E$193)*Impacts!$F$17))</f>
        <v>0</v>
      </c>
      <c r="V2146" s="10">
        <f>IF(CAS!$C$7="",0,(SUMIF(CAS!$B$31:$B$167,$J2146,CAS!$E$31:$E$167)*Impacts!$F$18))</f>
        <v>0</v>
      </c>
      <c r="W2146" s="10">
        <f t="shared" si="74"/>
        <v>0</v>
      </c>
      <c r="AK2146" s="10" t="str">
        <f t="array" ref="AK2146">IFERROR(INDEX(SelectedSpecies,SMALL(IF(SelectedSpecies=AK$1,ROW(SelectedSpecies)),ROW(2147:2147)),2),"")</f>
        <v/>
      </c>
      <c r="BE2146" s="10"/>
      <c r="BI2146" s="10"/>
    </row>
    <row r="2147" spans="1:61" ht="21" customHeight="1" x14ac:dyDescent="0.25">
      <c r="A2147" s="10"/>
      <c r="B2147" s="10"/>
      <c r="E2147" s="10"/>
      <c r="G2147" s="10"/>
      <c r="I2147" s="436" t="s">
        <v>1360</v>
      </c>
      <c r="J2147" s="26" t="s">
        <v>1359</v>
      </c>
      <c r="K2147" s="10">
        <v>33</v>
      </c>
      <c r="L2147" s="73">
        <f>IF(Tank1!$C$23="No control",(SUMIF(Tank1!$B$32:$B$49,$J2147,Tank1!$C$32:$C$49)*Impacts!$F$8),0)</f>
        <v>0</v>
      </c>
      <c r="M2147" s="10">
        <f>IF(Tank2!$C$23="No control",(SUMIF(Tank2!$B$32:$B$49,$J2147,Tank2!$C$32:$C$49)*Impacts!$F$9),0)</f>
        <v>0</v>
      </c>
      <c r="N2147" s="10">
        <f>IF(Tank3!$C$23="No control",(SUMIF(Tank3!$B$32:$B$49,$J2147,Tank3!$C$32:$C$49)*Impacts!$F$10),0)</f>
        <v>0</v>
      </c>
      <c r="O2147" s="10">
        <f>IF(Tank4!$C$23="No control",(SUMIF(Tank4!$B$32:$B$49,$J2147,Tank4!$C$32:$C$49)*Impacts!$F$11),0)</f>
        <v>0</v>
      </c>
      <c r="P2147" s="10">
        <f>IF(Tank5!$C$23="No control",(SUMIF(Tank5!$B$32:$B$49,$J2147,Tank5!$C$32:$C$49)*Impacts!$F$12),0)</f>
        <v>0</v>
      </c>
      <c r="Q2147" s="10">
        <f>IFERROR(IF(('Loading-drum,tote'!$C$21)="No control",SUMIF(('Loading-drum,tote'!$B$31:$B$48),$J2147,('Loading-drum,tote'!$D$31:$D$48))*Impacts!$F$13,IF(('Loading-drum,tote'!$C$21)&lt;&gt;"No control",SUMIF(('Loading-drum,tote'!$B$31:$B$48),$J2147,('Loading-drum,tote'!$E$31:$E$48))*Impacts!$F$13,0)),0)</f>
        <v>0</v>
      </c>
      <c r="R2147" s="10">
        <f>IFERROR(IF(('Loading-truck'!$C$21)="No control",SUMIF(('Loading-truck'!$B$31:$B$48),$J2147,('Loading-truck'!$D$31:$D$48))*Impacts!$F$14,IF(('Loading-truck'!$C$21)&lt;&gt;"No control",SUMIF(('Loading-truck'!$B$31:$B$48),$J2147,('Loading-truck'!$E$31:$E$48))*Impacts!$F$14,0)),0)</f>
        <v>0</v>
      </c>
      <c r="S2147" s="10">
        <f>IFERROR(IF(('Loading-rail'!$C$21)="No control",SUMIF(('Loading-rail'!$B$31:$B$48),$J2147,('Loading-rail'!$D$31:$D$48))*Impacts!$F$15,IF(('Loading-rail'!$C$21)&lt;&gt;"No control",SUMIF(('Loading-rail'!$B$31:$B$48),$J2147,('Loading-rail'!$E$31:$E$48))*Impacts!$F$15,0)),0)</f>
        <v>0</v>
      </c>
      <c r="T2147" s="10">
        <f>IF(Flare!$C$7="",0,(SUMIF(Flare!$B$46:$B$185,$J2147,Flare!$E$46:$E$185)*Impacts!$F$16))</f>
        <v>0</v>
      </c>
      <c r="U2147" s="10">
        <f>IF(VCU!$C$9="",0,(SUMIF(VCU!$B$51:$B$193,$J2147,VCU!$E$51:$E$193)*Impacts!$F$17))</f>
        <v>0</v>
      </c>
      <c r="V2147" s="10">
        <f>IF(CAS!$C$7="",0,(SUMIF(CAS!$B$31:$B$167,$J2147,CAS!$E$31:$E$167)*Impacts!$F$18))</f>
        <v>0</v>
      </c>
      <c r="W2147" s="10">
        <f t="shared" si="74"/>
        <v>0</v>
      </c>
      <c r="AK2147" s="10" t="str">
        <f t="array" ref="AK2147">IFERROR(INDEX(SelectedSpecies,SMALL(IF(SelectedSpecies=AK$1,ROW(SelectedSpecies)),ROW(2148:2148)),2),"")</f>
        <v/>
      </c>
      <c r="BE2147" s="10"/>
      <c r="BI2147" s="10"/>
    </row>
    <row r="2148" spans="1:61" ht="21" customHeight="1" x14ac:dyDescent="0.25">
      <c r="A2148" s="10"/>
      <c r="B2148" s="10"/>
      <c r="E2148" s="10"/>
      <c r="G2148" s="10"/>
      <c r="I2148" s="436" t="s">
        <v>1362</v>
      </c>
      <c r="J2148" s="26" t="s">
        <v>1361</v>
      </c>
      <c r="K2148" s="10">
        <v>33</v>
      </c>
      <c r="L2148" s="73">
        <f>IF(Tank1!$C$23="No control",(SUMIF(Tank1!$B$32:$B$49,$J2148,Tank1!$C$32:$C$49)*Impacts!$F$8),0)</f>
        <v>0</v>
      </c>
      <c r="M2148" s="10">
        <f>IF(Tank2!$C$23="No control",(SUMIF(Tank2!$B$32:$B$49,$J2148,Tank2!$C$32:$C$49)*Impacts!$F$9),0)</f>
        <v>0</v>
      </c>
      <c r="N2148" s="10">
        <f>IF(Tank3!$C$23="No control",(SUMIF(Tank3!$B$32:$B$49,$J2148,Tank3!$C$32:$C$49)*Impacts!$F$10),0)</f>
        <v>0</v>
      </c>
      <c r="O2148" s="10">
        <f>IF(Tank4!$C$23="No control",(SUMIF(Tank4!$B$32:$B$49,$J2148,Tank4!$C$32:$C$49)*Impacts!$F$11),0)</f>
        <v>0</v>
      </c>
      <c r="P2148" s="10">
        <f>IF(Tank5!$C$23="No control",(SUMIF(Tank5!$B$32:$B$49,$J2148,Tank5!$C$32:$C$49)*Impacts!$F$12),0)</f>
        <v>0</v>
      </c>
      <c r="Q2148" s="10">
        <f>IFERROR(IF(('Loading-drum,tote'!$C$21)="No control",SUMIF(('Loading-drum,tote'!$B$31:$B$48),$J2148,('Loading-drum,tote'!$D$31:$D$48))*Impacts!$F$13,IF(('Loading-drum,tote'!$C$21)&lt;&gt;"No control",SUMIF(('Loading-drum,tote'!$B$31:$B$48),$J2148,('Loading-drum,tote'!$E$31:$E$48))*Impacts!$F$13,0)),0)</f>
        <v>0</v>
      </c>
      <c r="R2148" s="10">
        <f>IFERROR(IF(('Loading-truck'!$C$21)="No control",SUMIF(('Loading-truck'!$B$31:$B$48),$J2148,('Loading-truck'!$D$31:$D$48))*Impacts!$F$14,IF(('Loading-truck'!$C$21)&lt;&gt;"No control",SUMIF(('Loading-truck'!$B$31:$B$48),$J2148,('Loading-truck'!$E$31:$E$48))*Impacts!$F$14,0)),0)</f>
        <v>0</v>
      </c>
      <c r="S2148" s="10">
        <f>IFERROR(IF(('Loading-rail'!$C$21)="No control",SUMIF(('Loading-rail'!$B$31:$B$48),$J2148,('Loading-rail'!$D$31:$D$48))*Impacts!$F$15,IF(('Loading-rail'!$C$21)&lt;&gt;"No control",SUMIF(('Loading-rail'!$B$31:$B$48),$J2148,('Loading-rail'!$E$31:$E$48))*Impacts!$F$15,0)),0)</f>
        <v>0</v>
      </c>
      <c r="T2148" s="10">
        <f>IF(Flare!$C$7="",0,(SUMIF(Flare!$B$46:$B$185,$J2148,Flare!$E$46:$E$185)*Impacts!$F$16))</f>
        <v>0</v>
      </c>
      <c r="U2148" s="10">
        <f>IF(VCU!$C$9="",0,(SUMIF(VCU!$B$51:$B$193,$J2148,VCU!$E$51:$E$193)*Impacts!$F$17))</f>
        <v>0</v>
      </c>
      <c r="V2148" s="10">
        <f>IF(CAS!$C$7="",0,(SUMIF(CAS!$B$31:$B$167,$J2148,CAS!$E$31:$E$167)*Impacts!$F$18))</f>
        <v>0</v>
      </c>
      <c r="W2148" s="10">
        <f t="shared" si="74"/>
        <v>0</v>
      </c>
      <c r="AK2148" s="10" t="str">
        <f t="array" ref="AK2148">IFERROR(INDEX(SelectedSpecies,SMALL(IF(SelectedSpecies=AK$1,ROW(SelectedSpecies)),ROW(2149:2149)),2),"")</f>
        <v/>
      </c>
      <c r="BE2148" s="10"/>
      <c r="BI2148" s="10"/>
    </row>
    <row r="2149" spans="1:61" ht="21" customHeight="1" x14ac:dyDescent="0.25">
      <c r="A2149" s="10"/>
      <c r="B2149" s="10"/>
      <c r="E2149" s="10"/>
      <c r="G2149" s="10"/>
      <c r="I2149" s="436" t="s">
        <v>1364</v>
      </c>
      <c r="J2149" s="26" t="s">
        <v>1363</v>
      </c>
      <c r="K2149" s="10">
        <v>33</v>
      </c>
      <c r="L2149" s="73">
        <f>IF(Tank1!$C$23="No control",(SUMIF(Tank1!$B$32:$B$49,$J2149,Tank1!$C$32:$C$49)*Impacts!$F$8),0)</f>
        <v>0</v>
      </c>
      <c r="M2149" s="10">
        <f>IF(Tank2!$C$23="No control",(SUMIF(Tank2!$B$32:$B$49,$J2149,Tank2!$C$32:$C$49)*Impacts!$F$9),0)</f>
        <v>0</v>
      </c>
      <c r="N2149" s="10">
        <f>IF(Tank3!$C$23="No control",(SUMIF(Tank3!$B$32:$B$49,$J2149,Tank3!$C$32:$C$49)*Impacts!$F$10),0)</f>
        <v>0</v>
      </c>
      <c r="O2149" s="10">
        <f>IF(Tank4!$C$23="No control",(SUMIF(Tank4!$B$32:$B$49,$J2149,Tank4!$C$32:$C$49)*Impacts!$F$11),0)</f>
        <v>0</v>
      </c>
      <c r="P2149" s="10">
        <f>IF(Tank5!$C$23="No control",(SUMIF(Tank5!$B$32:$B$49,$J2149,Tank5!$C$32:$C$49)*Impacts!$F$12),0)</f>
        <v>0</v>
      </c>
      <c r="Q2149" s="10">
        <f>IFERROR(IF(('Loading-drum,tote'!$C$21)="No control",SUMIF(('Loading-drum,tote'!$B$31:$B$48),$J2149,('Loading-drum,tote'!$D$31:$D$48))*Impacts!$F$13,IF(('Loading-drum,tote'!$C$21)&lt;&gt;"No control",SUMIF(('Loading-drum,tote'!$B$31:$B$48),$J2149,('Loading-drum,tote'!$E$31:$E$48))*Impacts!$F$13,0)),0)</f>
        <v>0</v>
      </c>
      <c r="R2149" s="10">
        <f>IFERROR(IF(('Loading-truck'!$C$21)="No control",SUMIF(('Loading-truck'!$B$31:$B$48),$J2149,('Loading-truck'!$D$31:$D$48))*Impacts!$F$14,IF(('Loading-truck'!$C$21)&lt;&gt;"No control",SUMIF(('Loading-truck'!$B$31:$B$48),$J2149,('Loading-truck'!$E$31:$E$48))*Impacts!$F$14,0)),0)</f>
        <v>0</v>
      </c>
      <c r="S2149" s="10">
        <f>IFERROR(IF(('Loading-rail'!$C$21)="No control",SUMIF(('Loading-rail'!$B$31:$B$48),$J2149,('Loading-rail'!$D$31:$D$48))*Impacts!$F$15,IF(('Loading-rail'!$C$21)&lt;&gt;"No control",SUMIF(('Loading-rail'!$B$31:$B$48),$J2149,('Loading-rail'!$E$31:$E$48))*Impacts!$F$15,0)),0)</f>
        <v>0</v>
      </c>
      <c r="T2149" s="10">
        <f>IF(Flare!$C$7="",0,(SUMIF(Flare!$B$46:$B$185,$J2149,Flare!$E$46:$E$185)*Impacts!$F$16))</f>
        <v>0</v>
      </c>
      <c r="U2149" s="10">
        <f>IF(VCU!$C$9="",0,(SUMIF(VCU!$B$51:$B$193,$J2149,VCU!$E$51:$E$193)*Impacts!$F$17))</f>
        <v>0</v>
      </c>
      <c r="V2149" s="10">
        <f>IF(CAS!$C$7="",0,(SUMIF(CAS!$B$31:$B$167,$J2149,CAS!$E$31:$E$167)*Impacts!$F$18))</f>
        <v>0</v>
      </c>
      <c r="W2149" s="10">
        <f t="shared" si="74"/>
        <v>0</v>
      </c>
      <c r="AK2149" s="10" t="str">
        <f t="array" ref="AK2149">IFERROR(INDEX(SelectedSpecies,SMALL(IF(SelectedSpecies=AK$1,ROW(SelectedSpecies)),ROW(2150:2150)),2),"")</f>
        <v/>
      </c>
      <c r="BE2149" s="10"/>
      <c r="BI2149" s="10"/>
    </row>
    <row r="2150" spans="1:61" ht="21" customHeight="1" x14ac:dyDescent="0.25">
      <c r="A2150" s="10"/>
      <c r="B2150" s="10"/>
      <c r="E2150" s="10"/>
      <c r="G2150" s="10"/>
      <c r="I2150" s="436" t="s">
        <v>1366</v>
      </c>
      <c r="J2150" s="26" t="s">
        <v>1365</v>
      </c>
      <c r="K2150" s="10">
        <v>33</v>
      </c>
      <c r="L2150" s="73">
        <f>IF(Tank1!$C$23="No control",(SUMIF(Tank1!$B$32:$B$49,$J2150,Tank1!$C$32:$C$49)*Impacts!$F$8),0)</f>
        <v>0</v>
      </c>
      <c r="M2150" s="10">
        <f>IF(Tank2!$C$23="No control",(SUMIF(Tank2!$B$32:$B$49,$J2150,Tank2!$C$32:$C$49)*Impacts!$F$9),0)</f>
        <v>0</v>
      </c>
      <c r="N2150" s="10">
        <f>IF(Tank3!$C$23="No control",(SUMIF(Tank3!$B$32:$B$49,$J2150,Tank3!$C$32:$C$49)*Impacts!$F$10),0)</f>
        <v>0</v>
      </c>
      <c r="O2150" s="10">
        <f>IF(Tank4!$C$23="No control",(SUMIF(Tank4!$B$32:$B$49,$J2150,Tank4!$C$32:$C$49)*Impacts!$F$11),0)</f>
        <v>0</v>
      </c>
      <c r="P2150" s="10">
        <f>IF(Tank5!$C$23="No control",(SUMIF(Tank5!$B$32:$B$49,$J2150,Tank5!$C$32:$C$49)*Impacts!$F$12),0)</f>
        <v>0</v>
      </c>
      <c r="Q2150" s="10">
        <f>IFERROR(IF(('Loading-drum,tote'!$C$21)="No control",SUMIF(('Loading-drum,tote'!$B$31:$B$48),$J2150,('Loading-drum,tote'!$D$31:$D$48))*Impacts!$F$13,IF(('Loading-drum,tote'!$C$21)&lt;&gt;"No control",SUMIF(('Loading-drum,tote'!$B$31:$B$48),$J2150,('Loading-drum,tote'!$E$31:$E$48))*Impacts!$F$13,0)),0)</f>
        <v>0</v>
      </c>
      <c r="R2150" s="10">
        <f>IFERROR(IF(('Loading-truck'!$C$21)="No control",SUMIF(('Loading-truck'!$B$31:$B$48),$J2150,('Loading-truck'!$D$31:$D$48))*Impacts!$F$14,IF(('Loading-truck'!$C$21)&lt;&gt;"No control",SUMIF(('Loading-truck'!$B$31:$B$48),$J2150,('Loading-truck'!$E$31:$E$48))*Impacts!$F$14,0)),0)</f>
        <v>0</v>
      </c>
      <c r="S2150" s="10">
        <f>IFERROR(IF(('Loading-rail'!$C$21)="No control",SUMIF(('Loading-rail'!$B$31:$B$48),$J2150,('Loading-rail'!$D$31:$D$48))*Impacts!$F$15,IF(('Loading-rail'!$C$21)&lt;&gt;"No control",SUMIF(('Loading-rail'!$B$31:$B$48),$J2150,('Loading-rail'!$E$31:$E$48))*Impacts!$F$15,0)),0)</f>
        <v>0</v>
      </c>
      <c r="T2150" s="10">
        <f>IF(Flare!$C$7="",0,(SUMIF(Flare!$B$46:$B$185,$J2150,Flare!$E$46:$E$185)*Impacts!$F$16))</f>
        <v>0</v>
      </c>
      <c r="U2150" s="10">
        <f>IF(VCU!$C$9="",0,(SUMIF(VCU!$B$51:$B$193,$J2150,VCU!$E$51:$E$193)*Impacts!$F$17))</f>
        <v>0</v>
      </c>
      <c r="V2150" s="10">
        <f>IF(CAS!$C$7="",0,(SUMIF(CAS!$B$31:$B$167,$J2150,CAS!$E$31:$E$167)*Impacts!$F$18))</f>
        <v>0</v>
      </c>
      <c r="W2150" s="10">
        <f t="shared" si="74"/>
        <v>0</v>
      </c>
      <c r="AK2150" s="10" t="str">
        <f t="array" ref="AK2150">IFERROR(INDEX(SelectedSpecies,SMALL(IF(SelectedSpecies=AK$1,ROW(SelectedSpecies)),ROW(2151:2151)),2),"")</f>
        <v/>
      </c>
      <c r="BE2150" s="10"/>
      <c r="BI2150" s="10"/>
    </row>
    <row r="2151" spans="1:61" ht="21" customHeight="1" x14ac:dyDescent="0.25">
      <c r="A2151" s="10"/>
      <c r="B2151" s="10"/>
      <c r="E2151" s="10"/>
      <c r="G2151" s="10"/>
      <c r="I2151" s="436" t="s">
        <v>1368</v>
      </c>
      <c r="J2151" s="26" t="s">
        <v>1367</v>
      </c>
      <c r="K2151" s="10">
        <v>33</v>
      </c>
      <c r="L2151" s="73">
        <f>IF(Tank1!$C$23="No control",(SUMIF(Tank1!$B$32:$B$49,$J2151,Tank1!$C$32:$C$49)*Impacts!$F$8),0)</f>
        <v>0</v>
      </c>
      <c r="M2151" s="10">
        <f>IF(Tank2!$C$23="No control",(SUMIF(Tank2!$B$32:$B$49,$J2151,Tank2!$C$32:$C$49)*Impacts!$F$9),0)</f>
        <v>0</v>
      </c>
      <c r="N2151" s="10">
        <f>IF(Tank3!$C$23="No control",(SUMIF(Tank3!$B$32:$B$49,$J2151,Tank3!$C$32:$C$49)*Impacts!$F$10),0)</f>
        <v>0</v>
      </c>
      <c r="O2151" s="10">
        <f>IF(Tank4!$C$23="No control",(SUMIF(Tank4!$B$32:$B$49,$J2151,Tank4!$C$32:$C$49)*Impacts!$F$11),0)</f>
        <v>0</v>
      </c>
      <c r="P2151" s="10">
        <f>IF(Tank5!$C$23="No control",(SUMIF(Tank5!$B$32:$B$49,$J2151,Tank5!$C$32:$C$49)*Impacts!$F$12),0)</f>
        <v>0</v>
      </c>
      <c r="Q2151" s="10">
        <f>IFERROR(IF(('Loading-drum,tote'!$C$21)="No control",SUMIF(('Loading-drum,tote'!$B$31:$B$48),$J2151,('Loading-drum,tote'!$D$31:$D$48))*Impacts!$F$13,IF(('Loading-drum,tote'!$C$21)&lt;&gt;"No control",SUMIF(('Loading-drum,tote'!$B$31:$B$48),$J2151,('Loading-drum,tote'!$E$31:$E$48))*Impacts!$F$13,0)),0)</f>
        <v>0</v>
      </c>
      <c r="R2151" s="10">
        <f>IFERROR(IF(('Loading-truck'!$C$21)="No control",SUMIF(('Loading-truck'!$B$31:$B$48),$J2151,('Loading-truck'!$D$31:$D$48))*Impacts!$F$14,IF(('Loading-truck'!$C$21)&lt;&gt;"No control",SUMIF(('Loading-truck'!$B$31:$B$48),$J2151,('Loading-truck'!$E$31:$E$48))*Impacts!$F$14,0)),0)</f>
        <v>0</v>
      </c>
      <c r="S2151" s="10">
        <f>IFERROR(IF(('Loading-rail'!$C$21)="No control",SUMIF(('Loading-rail'!$B$31:$B$48),$J2151,('Loading-rail'!$D$31:$D$48))*Impacts!$F$15,IF(('Loading-rail'!$C$21)&lt;&gt;"No control",SUMIF(('Loading-rail'!$B$31:$B$48),$J2151,('Loading-rail'!$E$31:$E$48))*Impacts!$F$15,0)),0)</f>
        <v>0</v>
      </c>
      <c r="T2151" s="10">
        <f>IF(Flare!$C$7="",0,(SUMIF(Flare!$B$46:$B$185,$J2151,Flare!$E$46:$E$185)*Impacts!$F$16))</f>
        <v>0</v>
      </c>
      <c r="U2151" s="10">
        <f>IF(VCU!$C$9="",0,(SUMIF(VCU!$B$51:$B$193,$J2151,VCU!$E$51:$E$193)*Impacts!$F$17))</f>
        <v>0</v>
      </c>
      <c r="V2151" s="10">
        <f>IF(CAS!$C$7="",0,(SUMIF(CAS!$B$31:$B$167,$J2151,CAS!$E$31:$E$167)*Impacts!$F$18))</f>
        <v>0</v>
      </c>
      <c r="W2151" s="10">
        <f t="shared" si="74"/>
        <v>0</v>
      </c>
      <c r="AK2151" s="10" t="str">
        <f t="array" ref="AK2151">IFERROR(INDEX(SelectedSpecies,SMALL(IF(SelectedSpecies=AK$1,ROW(SelectedSpecies)),ROW(2152:2152)),2),"")</f>
        <v/>
      </c>
      <c r="BE2151" s="10"/>
      <c r="BI2151" s="10"/>
    </row>
    <row r="2152" spans="1:61" ht="21" customHeight="1" x14ac:dyDescent="0.25">
      <c r="A2152" s="10"/>
      <c r="B2152" s="10"/>
      <c r="E2152" s="10"/>
      <c r="G2152" s="10"/>
      <c r="I2152" s="436" t="s">
        <v>1370</v>
      </c>
      <c r="J2152" s="26" t="s">
        <v>1369</v>
      </c>
      <c r="K2152" s="10">
        <v>33</v>
      </c>
      <c r="L2152" s="73">
        <f>IF(Tank1!$C$23="No control",(SUMIF(Tank1!$B$32:$B$49,$J2152,Tank1!$C$32:$C$49)*Impacts!$F$8),0)</f>
        <v>0</v>
      </c>
      <c r="M2152" s="10">
        <f>IF(Tank2!$C$23="No control",(SUMIF(Tank2!$B$32:$B$49,$J2152,Tank2!$C$32:$C$49)*Impacts!$F$9),0)</f>
        <v>0</v>
      </c>
      <c r="N2152" s="10">
        <f>IF(Tank3!$C$23="No control",(SUMIF(Tank3!$B$32:$B$49,$J2152,Tank3!$C$32:$C$49)*Impacts!$F$10),0)</f>
        <v>0</v>
      </c>
      <c r="O2152" s="10">
        <f>IF(Tank4!$C$23="No control",(SUMIF(Tank4!$B$32:$B$49,$J2152,Tank4!$C$32:$C$49)*Impacts!$F$11),0)</f>
        <v>0</v>
      </c>
      <c r="P2152" s="10">
        <f>IF(Tank5!$C$23="No control",(SUMIF(Tank5!$B$32:$B$49,$J2152,Tank5!$C$32:$C$49)*Impacts!$F$12),0)</f>
        <v>0</v>
      </c>
      <c r="Q2152" s="10">
        <f>IFERROR(IF(('Loading-drum,tote'!$C$21)="No control",SUMIF(('Loading-drum,tote'!$B$31:$B$48),$J2152,('Loading-drum,tote'!$D$31:$D$48))*Impacts!$F$13,IF(('Loading-drum,tote'!$C$21)&lt;&gt;"No control",SUMIF(('Loading-drum,tote'!$B$31:$B$48),$J2152,('Loading-drum,tote'!$E$31:$E$48))*Impacts!$F$13,0)),0)</f>
        <v>0</v>
      </c>
      <c r="R2152" s="10">
        <f>IFERROR(IF(('Loading-truck'!$C$21)="No control",SUMIF(('Loading-truck'!$B$31:$B$48),$J2152,('Loading-truck'!$D$31:$D$48))*Impacts!$F$14,IF(('Loading-truck'!$C$21)&lt;&gt;"No control",SUMIF(('Loading-truck'!$B$31:$B$48),$J2152,('Loading-truck'!$E$31:$E$48))*Impacts!$F$14,0)),0)</f>
        <v>0</v>
      </c>
      <c r="S2152" s="10">
        <f>IFERROR(IF(('Loading-rail'!$C$21)="No control",SUMIF(('Loading-rail'!$B$31:$B$48),$J2152,('Loading-rail'!$D$31:$D$48))*Impacts!$F$15,IF(('Loading-rail'!$C$21)&lt;&gt;"No control",SUMIF(('Loading-rail'!$B$31:$B$48),$J2152,('Loading-rail'!$E$31:$E$48))*Impacts!$F$15,0)),0)</f>
        <v>0</v>
      </c>
      <c r="T2152" s="10">
        <f>IF(Flare!$C$7="",0,(SUMIF(Flare!$B$46:$B$185,$J2152,Flare!$E$46:$E$185)*Impacts!$F$16))</f>
        <v>0</v>
      </c>
      <c r="U2152" s="10">
        <f>IF(VCU!$C$9="",0,(SUMIF(VCU!$B$51:$B$193,$J2152,VCU!$E$51:$E$193)*Impacts!$F$17))</f>
        <v>0</v>
      </c>
      <c r="V2152" s="10">
        <f>IF(CAS!$C$7="",0,(SUMIF(CAS!$B$31:$B$167,$J2152,CAS!$E$31:$E$167)*Impacts!$F$18))</f>
        <v>0</v>
      </c>
      <c r="W2152" s="10">
        <f t="shared" si="74"/>
        <v>0</v>
      </c>
      <c r="AK2152" s="10" t="str">
        <f t="array" ref="AK2152">IFERROR(INDEX(SelectedSpecies,SMALL(IF(SelectedSpecies=AK$1,ROW(SelectedSpecies)),ROW(2153:2153)),2),"")</f>
        <v/>
      </c>
      <c r="BE2152" s="10"/>
      <c r="BI2152" s="10"/>
    </row>
    <row r="2153" spans="1:61" ht="21" customHeight="1" x14ac:dyDescent="0.25">
      <c r="A2153" s="10"/>
      <c r="B2153" s="10"/>
      <c r="E2153" s="10"/>
      <c r="G2153" s="10"/>
      <c r="I2153" s="436" t="s">
        <v>1372</v>
      </c>
      <c r="J2153" s="26" t="s">
        <v>1371</v>
      </c>
      <c r="K2153" s="10">
        <v>33</v>
      </c>
      <c r="L2153" s="73">
        <f>IF(Tank1!$C$23="No control",(SUMIF(Tank1!$B$32:$B$49,$J2153,Tank1!$C$32:$C$49)*Impacts!$F$8),0)</f>
        <v>0</v>
      </c>
      <c r="M2153" s="10">
        <f>IF(Tank2!$C$23="No control",(SUMIF(Tank2!$B$32:$B$49,$J2153,Tank2!$C$32:$C$49)*Impacts!$F$9),0)</f>
        <v>0</v>
      </c>
      <c r="N2153" s="10">
        <f>IF(Tank3!$C$23="No control",(SUMIF(Tank3!$B$32:$B$49,$J2153,Tank3!$C$32:$C$49)*Impacts!$F$10),0)</f>
        <v>0</v>
      </c>
      <c r="O2153" s="10">
        <f>IF(Tank4!$C$23="No control",(SUMIF(Tank4!$B$32:$B$49,$J2153,Tank4!$C$32:$C$49)*Impacts!$F$11),0)</f>
        <v>0</v>
      </c>
      <c r="P2153" s="10">
        <f>IF(Tank5!$C$23="No control",(SUMIF(Tank5!$B$32:$B$49,$J2153,Tank5!$C$32:$C$49)*Impacts!$F$12),0)</f>
        <v>0</v>
      </c>
      <c r="Q2153" s="10">
        <f>IFERROR(IF(('Loading-drum,tote'!$C$21)="No control",SUMIF(('Loading-drum,tote'!$B$31:$B$48),$J2153,('Loading-drum,tote'!$D$31:$D$48))*Impacts!$F$13,IF(('Loading-drum,tote'!$C$21)&lt;&gt;"No control",SUMIF(('Loading-drum,tote'!$B$31:$B$48),$J2153,('Loading-drum,tote'!$E$31:$E$48))*Impacts!$F$13,0)),0)</f>
        <v>0</v>
      </c>
      <c r="R2153" s="10">
        <f>IFERROR(IF(('Loading-truck'!$C$21)="No control",SUMIF(('Loading-truck'!$B$31:$B$48),$J2153,('Loading-truck'!$D$31:$D$48))*Impacts!$F$14,IF(('Loading-truck'!$C$21)&lt;&gt;"No control",SUMIF(('Loading-truck'!$B$31:$B$48),$J2153,('Loading-truck'!$E$31:$E$48))*Impacts!$F$14,0)),0)</f>
        <v>0</v>
      </c>
      <c r="S2153" s="10">
        <f>IFERROR(IF(('Loading-rail'!$C$21)="No control",SUMIF(('Loading-rail'!$B$31:$B$48),$J2153,('Loading-rail'!$D$31:$D$48))*Impacts!$F$15,IF(('Loading-rail'!$C$21)&lt;&gt;"No control",SUMIF(('Loading-rail'!$B$31:$B$48),$J2153,('Loading-rail'!$E$31:$E$48))*Impacts!$F$15,0)),0)</f>
        <v>0</v>
      </c>
      <c r="T2153" s="10">
        <f>IF(Flare!$C$7="",0,(SUMIF(Flare!$B$46:$B$185,$J2153,Flare!$E$46:$E$185)*Impacts!$F$16))</f>
        <v>0</v>
      </c>
      <c r="U2153" s="10">
        <f>IF(VCU!$C$9="",0,(SUMIF(VCU!$B$51:$B$193,$J2153,VCU!$E$51:$E$193)*Impacts!$F$17))</f>
        <v>0</v>
      </c>
      <c r="V2153" s="10">
        <f>IF(CAS!$C$7="",0,(SUMIF(CAS!$B$31:$B$167,$J2153,CAS!$E$31:$E$167)*Impacts!$F$18))</f>
        <v>0</v>
      </c>
      <c r="W2153" s="10">
        <f t="shared" si="74"/>
        <v>0</v>
      </c>
      <c r="AK2153" s="10" t="str">
        <f t="array" ref="AK2153">IFERROR(INDEX(SelectedSpecies,SMALL(IF(SelectedSpecies=AK$1,ROW(SelectedSpecies)),ROW(2154:2154)),2),"")</f>
        <v/>
      </c>
      <c r="BE2153" s="10"/>
      <c r="BI2153" s="10"/>
    </row>
    <row r="2154" spans="1:61" ht="21" customHeight="1" x14ac:dyDescent="0.25">
      <c r="A2154" s="10"/>
      <c r="B2154" s="10"/>
      <c r="E2154" s="10"/>
      <c r="G2154" s="10"/>
      <c r="I2154" s="436" t="s">
        <v>1374</v>
      </c>
      <c r="J2154" s="26" t="s">
        <v>1373</v>
      </c>
      <c r="K2154" s="10">
        <v>33</v>
      </c>
      <c r="L2154" s="73">
        <f>IF(Tank1!$C$23="No control",(SUMIF(Tank1!$B$32:$B$49,$J2154,Tank1!$C$32:$C$49)*Impacts!$F$8),0)</f>
        <v>0</v>
      </c>
      <c r="M2154" s="10">
        <f>IF(Tank2!$C$23="No control",(SUMIF(Tank2!$B$32:$B$49,$J2154,Tank2!$C$32:$C$49)*Impacts!$F$9),0)</f>
        <v>0</v>
      </c>
      <c r="N2154" s="10">
        <f>IF(Tank3!$C$23="No control",(SUMIF(Tank3!$B$32:$B$49,$J2154,Tank3!$C$32:$C$49)*Impacts!$F$10),0)</f>
        <v>0</v>
      </c>
      <c r="O2154" s="10">
        <f>IF(Tank4!$C$23="No control",(SUMIF(Tank4!$B$32:$B$49,$J2154,Tank4!$C$32:$C$49)*Impacts!$F$11),0)</f>
        <v>0</v>
      </c>
      <c r="P2154" s="10">
        <f>IF(Tank5!$C$23="No control",(SUMIF(Tank5!$B$32:$B$49,$J2154,Tank5!$C$32:$C$49)*Impacts!$F$12),0)</f>
        <v>0</v>
      </c>
      <c r="Q2154" s="10">
        <f>IFERROR(IF(('Loading-drum,tote'!$C$21)="No control",SUMIF(('Loading-drum,tote'!$B$31:$B$48),$J2154,('Loading-drum,tote'!$D$31:$D$48))*Impacts!$F$13,IF(('Loading-drum,tote'!$C$21)&lt;&gt;"No control",SUMIF(('Loading-drum,tote'!$B$31:$B$48),$J2154,('Loading-drum,tote'!$E$31:$E$48))*Impacts!$F$13,0)),0)</f>
        <v>0</v>
      </c>
      <c r="R2154" s="10">
        <f>IFERROR(IF(('Loading-truck'!$C$21)="No control",SUMIF(('Loading-truck'!$B$31:$B$48),$J2154,('Loading-truck'!$D$31:$D$48))*Impacts!$F$14,IF(('Loading-truck'!$C$21)&lt;&gt;"No control",SUMIF(('Loading-truck'!$B$31:$B$48),$J2154,('Loading-truck'!$E$31:$E$48))*Impacts!$F$14,0)),0)</f>
        <v>0</v>
      </c>
      <c r="S2154" s="10">
        <f>IFERROR(IF(('Loading-rail'!$C$21)="No control",SUMIF(('Loading-rail'!$B$31:$B$48),$J2154,('Loading-rail'!$D$31:$D$48))*Impacts!$F$15,IF(('Loading-rail'!$C$21)&lt;&gt;"No control",SUMIF(('Loading-rail'!$B$31:$B$48),$J2154,('Loading-rail'!$E$31:$E$48))*Impacts!$F$15,0)),0)</f>
        <v>0</v>
      </c>
      <c r="T2154" s="10">
        <f>IF(Flare!$C$7="",0,(SUMIF(Flare!$B$46:$B$185,$J2154,Flare!$E$46:$E$185)*Impacts!$F$16))</f>
        <v>0</v>
      </c>
      <c r="U2154" s="10">
        <f>IF(VCU!$C$9="",0,(SUMIF(VCU!$B$51:$B$193,$J2154,VCU!$E$51:$E$193)*Impacts!$F$17))</f>
        <v>0</v>
      </c>
      <c r="V2154" s="10">
        <f>IF(CAS!$C$7="",0,(SUMIF(CAS!$B$31:$B$167,$J2154,CAS!$E$31:$E$167)*Impacts!$F$18))</f>
        <v>0</v>
      </c>
      <c r="W2154" s="10">
        <f t="shared" si="74"/>
        <v>0</v>
      </c>
      <c r="AK2154" s="10" t="str">
        <f t="array" ref="AK2154">IFERROR(INDEX(SelectedSpecies,SMALL(IF(SelectedSpecies=AK$1,ROW(SelectedSpecies)),ROW(2155:2155)),2),"")</f>
        <v/>
      </c>
      <c r="BE2154" s="10"/>
      <c r="BI2154" s="10"/>
    </row>
    <row r="2155" spans="1:61" ht="21" customHeight="1" x14ac:dyDescent="0.25">
      <c r="A2155" s="10"/>
      <c r="B2155" s="10"/>
      <c r="E2155" s="10"/>
      <c r="G2155" s="10"/>
      <c r="I2155" s="436" t="s">
        <v>1376</v>
      </c>
      <c r="J2155" s="26" t="s">
        <v>1375</v>
      </c>
      <c r="K2155" s="10">
        <v>33</v>
      </c>
      <c r="L2155" s="73">
        <f>IF(Tank1!$C$23="No control",(SUMIF(Tank1!$B$32:$B$49,$J2155,Tank1!$C$32:$C$49)*Impacts!$F$8),0)</f>
        <v>0</v>
      </c>
      <c r="M2155" s="10">
        <f>IF(Tank2!$C$23="No control",(SUMIF(Tank2!$B$32:$B$49,$J2155,Tank2!$C$32:$C$49)*Impacts!$F$9),0)</f>
        <v>0</v>
      </c>
      <c r="N2155" s="10">
        <f>IF(Tank3!$C$23="No control",(SUMIF(Tank3!$B$32:$B$49,$J2155,Tank3!$C$32:$C$49)*Impacts!$F$10),0)</f>
        <v>0</v>
      </c>
      <c r="O2155" s="10">
        <f>IF(Tank4!$C$23="No control",(SUMIF(Tank4!$B$32:$B$49,$J2155,Tank4!$C$32:$C$49)*Impacts!$F$11),0)</f>
        <v>0</v>
      </c>
      <c r="P2155" s="10">
        <f>IF(Tank5!$C$23="No control",(SUMIF(Tank5!$B$32:$B$49,$J2155,Tank5!$C$32:$C$49)*Impacts!$F$12),0)</f>
        <v>0</v>
      </c>
      <c r="Q2155" s="10">
        <f>IFERROR(IF(('Loading-drum,tote'!$C$21)="No control",SUMIF(('Loading-drum,tote'!$B$31:$B$48),$J2155,('Loading-drum,tote'!$D$31:$D$48))*Impacts!$F$13,IF(('Loading-drum,tote'!$C$21)&lt;&gt;"No control",SUMIF(('Loading-drum,tote'!$B$31:$B$48),$J2155,('Loading-drum,tote'!$E$31:$E$48))*Impacts!$F$13,0)),0)</f>
        <v>0</v>
      </c>
      <c r="R2155" s="10">
        <f>IFERROR(IF(('Loading-truck'!$C$21)="No control",SUMIF(('Loading-truck'!$B$31:$B$48),$J2155,('Loading-truck'!$D$31:$D$48))*Impacts!$F$14,IF(('Loading-truck'!$C$21)&lt;&gt;"No control",SUMIF(('Loading-truck'!$B$31:$B$48),$J2155,('Loading-truck'!$E$31:$E$48))*Impacts!$F$14,0)),0)</f>
        <v>0</v>
      </c>
      <c r="S2155" s="10">
        <f>IFERROR(IF(('Loading-rail'!$C$21)="No control",SUMIF(('Loading-rail'!$B$31:$B$48),$J2155,('Loading-rail'!$D$31:$D$48))*Impacts!$F$15,IF(('Loading-rail'!$C$21)&lt;&gt;"No control",SUMIF(('Loading-rail'!$B$31:$B$48),$J2155,('Loading-rail'!$E$31:$E$48))*Impacts!$F$15,0)),0)</f>
        <v>0</v>
      </c>
      <c r="T2155" s="10">
        <f>IF(Flare!$C$7="",0,(SUMIF(Flare!$B$46:$B$185,$J2155,Flare!$E$46:$E$185)*Impacts!$F$16))</f>
        <v>0</v>
      </c>
      <c r="U2155" s="10">
        <f>IF(VCU!$C$9="",0,(SUMIF(VCU!$B$51:$B$193,$J2155,VCU!$E$51:$E$193)*Impacts!$F$17))</f>
        <v>0</v>
      </c>
      <c r="V2155" s="10">
        <f>IF(CAS!$C$7="",0,(SUMIF(CAS!$B$31:$B$167,$J2155,CAS!$E$31:$E$167)*Impacts!$F$18))</f>
        <v>0</v>
      </c>
      <c r="W2155" s="10">
        <f t="shared" si="74"/>
        <v>0</v>
      </c>
      <c r="AK2155" s="10" t="str">
        <f t="array" ref="AK2155">IFERROR(INDEX(SelectedSpecies,SMALL(IF(SelectedSpecies=AK$1,ROW(SelectedSpecies)),ROW(2156:2156)),2),"")</f>
        <v/>
      </c>
      <c r="BE2155" s="10"/>
      <c r="BI2155" s="10"/>
    </row>
    <row r="2156" spans="1:61" ht="21" customHeight="1" x14ac:dyDescent="0.25">
      <c r="A2156" s="10"/>
      <c r="B2156" s="10"/>
      <c r="E2156" s="10"/>
      <c r="G2156" s="10"/>
      <c r="I2156" s="436" t="s">
        <v>1378</v>
      </c>
      <c r="J2156" s="26" t="s">
        <v>1377</v>
      </c>
      <c r="K2156" s="10">
        <v>33</v>
      </c>
      <c r="L2156" s="73">
        <f>IF(Tank1!$C$23="No control",(SUMIF(Tank1!$B$32:$B$49,$J2156,Tank1!$C$32:$C$49)*Impacts!$F$8),0)</f>
        <v>0</v>
      </c>
      <c r="M2156" s="10">
        <f>IF(Tank2!$C$23="No control",(SUMIF(Tank2!$B$32:$B$49,$J2156,Tank2!$C$32:$C$49)*Impacts!$F$9),0)</f>
        <v>0</v>
      </c>
      <c r="N2156" s="10">
        <f>IF(Tank3!$C$23="No control",(SUMIF(Tank3!$B$32:$B$49,$J2156,Tank3!$C$32:$C$49)*Impacts!$F$10),0)</f>
        <v>0</v>
      </c>
      <c r="O2156" s="10">
        <f>IF(Tank4!$C$23="No control",(SUMIF(Tank4!$B$32:$B$49,$J2156,Tank4!$C$32:$C$49)*Impacts!$F$11),0)</f>
        <v>0</v>
      </c>
      <c r="P2156" s="10">
        <f>IF(Tank5!$C$23="No control",(SUMIF(Tank5!$B$32:$B$49,$J2156,Tank5!$C$32:$C$49)*Impacts!$F$12),0)</f>
        <v>0</v>
      </c>
      <c r="Q2156" s="10">
        <f>IFERROR(IF(('Loading-drum,tote'!$C$21)="No control",SUMIF(('Loading-drum,tote'!$B$31:$B$48),$J2156,('Loading-drum,tote'!$D$31:$D$48))*Impacts!$F$13,IF(('Loading-drum,tote'!$C$21)&lt;&gt;"No control",SUMIF(('Loading-drum,tote'!$B$31:$B$48),$J2156,('Loading-drum,tote'!$E$31:$E$48))*Impacts!$F$13,0)),0)</f>
        <v>0</v>
      </c>
      <c r="R2156" s="10">
        <f>IFERROR(IF(('Loading-truck'!$C$21)="No control",SUMIF(('Loading-truck'!$B$31:$B$48),$J2156,('Loading-truck'!$D$31:$D$48))*Impacts!$F$14,IF(('Loading-truck'!$C$21)&lt;&gt;"No control",SUMIF(('Loading-truck'!$B$31:$B$48),$J2156,('Loading-truck'!$E$31:$E$48))*Impacts!$F$14,0)),0)</f>
        <v>0</v>
      </c>
      <c r="S2156" s="10">
        <f>IFERROR(IF(('Loading-rail'!$C$21)="No control",SUMIF(('Loading-rail'!$B$31:$B$48),$J2156,('Loading-rail'!$D$31:$D$48))*Impacts!$F$15,IF(('Loading-rail'!$C$21)&lt;&gt;"No control",SUMIF(('Loading-rail'!$B$31:$B$48),$J2156,('Loading-rail'!$E$31:$E$48))*Impacts!$F$15,0)),0)</f>
        <v>0</v>
      </c>
      <c r="T2156" s="10">
        <f>IF(Flare!$C$7="",0,(SUMIF(Flare!$B$46:$B$185,$J2156,Flare!$E$46:$E$185)*Impacts!$F$16))</f>
        <v>0</v>
      </c>
      <c r="U2156" s="10">
        <f>IF(VCU!$C$9="",0,(SUMIF(VCU!$B$51:$B$193,$J2156,VCU!$E$51:$E$193)*Impacts!$F$17))</f>
        <v>0</v>
      </c>
      <c r="V2156" s="10">
        <f>IF(CAS!$C$7="",0,(SUMIF(CAS!$B$31:$B$167,$J2156,CAS!$E$31:$E$167)*Impacts!$F$18))</f>
        <v>0</v>
      </c>
      <c r="W2156" s="10">
        <f t="shared" si="74"/>
        <v>0</v>
      </c>
      <c r="AK2156" s="10" t="str">
        <f t="array" ref="AK2156">IFERROR(INDEX(SelectedSpecies,SMALL(IF(SelectedSpecies=AK$1,ROW(SelectedSpecies)),ROW(2157:2157)),2),"")</f>
        <v/>
      </c>
      <c r="BE2156" s="10"/>
      <c r="BI2156" s="10"/>
    </row>
    <row r="2157" spans="1:61" ht="21" customHeight="1" x14ac:dyDescent="0.25">
      <c r="A2157" s="10"/>
      <c r="B2157" s="10"/>
      <c r="E2157" s="10"/>
      <c r="G2157" s="10"/>
      <c r="I2157" s="436" t="s">
        <v>1380</v>
      </c>
      <c r="J2157" s="26" t="s">
        <v>1379</v>
      </c>
      <c r="K2157" s="10">
        <v>33</v>
      </c>
      <c r="L2157" s="73">
        <f>IF(Tank1!$C$23="No control",(SUMIF(Tank1!$B$32:$B$49,$J2157,Tank1!$C$32:$C$49)*Impacts!$F$8),0)</f>
        <v>0</v>
      </c>
      <c r="M2157" s="10">
        <f>IF(Tank2!$C$23="No control",(SUMIF(Tank2!$B$32:$B$49,$J2157,Tank2!$C$32:$C$49)*Impacts!$F$9),0)</f>
        <v>0</v>
      </c>
      <c r="N2157" s="10">
        <f>IF(Tank3!$C$23="No control",(SUMIF(Tank3!$B$32:$B$49,$J2157,Tank3!$C$32:$C$49)*Impacts!$F$10),0)</f>
        <v>0</v>
      </c>
      <c r="O2157" s="10">
        <f>IF(Tank4!$C$23="No control",(SUMIF(Tank4!$B$32:$B$49,$J2157,Tank4!$C$32:$C$49)*Impacts!$F$11),0)</f>
        <v>0</v>
      </c>
      <c r="P2157" s="10">
        <f>IF(Tank5!$C$23="No control",(SUMIF(Tank5!$B$32:$B$49,$J2157,Tank5!$C$32:$C$49)*Impacts!$F$12),0)</f>
        <v>0</v>
      </c>
      <c r="Q2157" s="10">
        <f>IFERROR(IF(('Loading-drum,tote'!$C$21)="No control",SUMIF(('Loading-drum,tote'!$B$31:$B$48),$J2157,('Loading-drum,tote'!$D$31:$D$48))*Impacts!$F$13,IF(('Loading-drum,tote'!$C$21)&lt;&gt;"No control",SUMIF(('Loading-drum,tote'!$B$31:$B$48),$J2157,('Loading-drum,tote'!$E$31:$E$48))*Impacts!$F$13,0)),0)</f>
        <v>0</v>
      </c>
      <c r="R2157" s="10">
        <f>IFERROR(IF(('Loading-truck'!$C$21)="No control",SUMIF(('Loading-truck'!$B$31:$B$48),$J2157,('Loading-truck'!$D$31:$D$48))*Impacts!$F$14,IF(('Loading-truck'!$C$21)&lt;&gt;"No control",SUMIF(('Loading-truck'!$B$31:$B$48),$J2157,('Loading-truck'!$E$31:$E$48))*Impacts!$F$14,0)),0)</f>
        <v>0</v>
      </c>
      <c r="S2157" s="10">
        <f>IFERROR(IF(('Loading-rail'!$C$21)="No control",SUMIF(('Loading-rail'!$B$31:$B$48),$J2157,('Loading-rail'!$D$31:$D$48))*Impacts!$F$15,IF(('Loading-rail'!$C$21)&lt;&gt;"No control",SUMIF(('Loading-rail'!$B$31:$B$48),$J2157,('Loading-rail'!$E$31:$E$48))*Impacts!$F$15,0)),0)</f>
        <v>0</v>
      </c>
      <c r="T2157" s="10">
        <f>IF(Flare!$C$7="",0,(SUMIF(Flare!$B$46:$B$185,$J2157,Flare!$E$46:$E$185)*Impacts!$F$16))</f>
        <v>0</v>
      </c>
      <c r="U2157" s="10">
        <f>IF(VCU!$C$9="",0,(SUMIF(VCU!$B$51:$B$193,$J2157,VCU!$E$51:$E$193)*Impacts!$F$17))</f>
        <v>0</v>
      </c>
      <c r="V2157" s="10">
        <f>IF(CAS!$C$7="",0,(SUMIF(CAS!$B$31:$B$167,$J2157,CAS!$E$31:$E$167)*Impacts!$F$18))</f>
        <v>0</v>
      </c>
      <c r="W2157" s="10">
        <f t="shared" si="74"/>
        <v>0</v>
      </c>
      <c r="AK2157" s="10" t="str">
        <f t="array" ref="AK2157">IFERROR(INDEX(SelectedSpecies,SMALL(IF(SelectedSpecies=AK$1,ROW(SelectedSpecies)),ROW(2158:2158)),2),"")</f>
        <v/>
      </c>
      <c r="BE2157" s="10"/>
      <c r="BI2157" s="10"/>
    </row>
    <row r="2158" spans="1:61" ht="21" customHeight="1" x14ac:dyDescent="0.25">
      <c r="A2158" s="10"/>
      <c r="B2158" s="10"/>
      <c r="E2158" s="10"/>
      <c r="G2158" s="10"/>
      <c r="I2158" s="436" t="s">
        <v>1382</v>
      </c>
      <c r="J2158" s="26" t="s">
        <v>1381</v>
      </c>
      <c r="K2158" s="10">
        <v>33</v>
      </c>
      <c r="L2158" s="73">
        <f>IF(Tank1!$C$23="No control",(SUMIF(Tank1!$B$32:$B$49,$J2158,Tank1!$C$32:$C$49)*Impacts!$F$8),0)</f>
        <v>0</v>
      </c>
      <c r="M2158" s="10">
        <f>IF(Tank2!$C$23="No control",(SUMIF(Tank2!$B$32:$B$49,$J2158,Tank2!$C$32:$C$49)*Impacts!$F$9),0)</f>
        <v>0</v>
      </c>
      <c r="N2158" s="10">
        <f>IF(Tank3!$C$23="No control",(SUMIF(Tank3!$B$32:$B$49,$J2158,Tank3!$C$32:$C$49)*Impacts!$F$10),0)</f>
        <v>0</v>
      </c>
      <c r="O2158" s="10">
        <f>IF(Tank4!$C$23="No control",(SUMIF(Tank4!$B$32:$B$49,$J2158,Tank4!$C$32:$C$49)*Impacts!$F$11),0)</f>
        <v>0</v>
      </c>
      <c r="P2158" s="10">
        <f>IF(Tank5!$C$23="No control",(SUMIF(Tank5!$B$32:$B$49,$J2158,Tank5!$C$32:$C$49)*Impacts!$F$12),0)</f>
        <v>0</v>
      </c>
      <c r="Q2158" s="10">
        <f>IFERROR(IF(('Loading-drum,tote'!$C$21)="No control",SUMIF(('Loading-drum,tote'!$B$31:$B$48),$J2158,('Loading-drum,tote'!$D$31:$D$48))*Impacts!$F$13,IF(('Loading-drum,tote'!$C$21)&lt;&gt;"No control",SUMIF(('Loading-drum,tote'!$B$31:$B$48),$J2158,('Loading-drum,tote'!$E$31:$E$48))*Impacts!$F$13,0)),0)</f>
        <v>0</v>
      </c>
      <c r="R2158" s="10">
        <f>IFERROR(IF(('Loading-truck'!$C$21)="No control",SUMIF(('Loading-truck'!$B$31:$B$48),$J2158,('Loading-truck'!$D$31:$D$48))*Impacts!$F$14,IF(('Loading-truck'!$C$21)&lt;&gt;"No control",SUMIF(('Loading-truck'!$B$31:$B$48),$J2158,('Loading-truck'!$E$31:$E$48))*Impacts!$F$14,0)),0)</f>
        <v>0</v>
      </c>
      <c r="S2158" s="10">
        <f>IFERROR(IF(('Loading-rail'!$C$21)="No control",SUMIF(('Loading-rail'!$B$31:$B$48),$J2158,('Loading-rail'!$D$31:$D$48))*Impacts!$F$15,IF(('Loading-rail'!$C$21)&lt;&gt;"No control",SUMIF(('Loading-rail'!$B$31:$B$48),$J2158,('Loading-rail'!$E$31:$E$48))*Impacts!$F$15,0)),0)</f>
        <v>0</v>
      </c>
      <c r="T2158" s="10">
        <f>IF(Flare!$C$7="",0,(SUMIF(Flare!$B$46:$B$185,$J2158,Flare!$E$46:$E$185)*Impacts!$F$16))</f>
        <v>0</v>
      </c>
      <c r="U2158" s="10">
        <f>IF(VCU!$C$9="",0,(SUMIF(VCU!$B$51:$B$193,$J2158,VCU!$E$51:$E$193)*Impacts!$F$17))</f>
        <v>0</v>
      </c>
      <c r="V2158" s="10">
        <f>IF(CAS!$C$7="",0,(SUMIF(CAS!$B$31:$B$167,$J2158,CAS!$E$31:$E$167)*Impacts!$F$18))</f>
        <v>0</v>
      </c>
      <c r="W2158" s="10">
        <f t="shared" si="74"/>
        <v>0</v>
      </c>
      <c r="AK2158" s="10" t="str">
        <f t="array" ref="AK2158">IFERROR(INDEX(SelectedSpecies,SMALL(IF(SelectedSpecies=AK$1,ROW(SelectedSpecies)),ROW(2159:2159)),2),"")</f>
        <v/>
      </c>
      <c r="BE2158" s="10"/>
      <c r="BI2158" s="10"/>
    </row>
    <row r="2159" spans="1:61" ht="21" customHeight="1" x14ac:dyDescent="0.25">
      <c r="A2159" s="10"/>
      <c r="B2159" s="10"/>
      <c r="E2159" s="10"/>
      <c r="G2159" s="10"/>
      <c r="I2159" s="436" t="s">
        <v>1384</v>
      </c>
      <c r="J2159" s="26" t="s">
        <v>1383</v>
      </c>
      <c r="K2159" s="10">
        <v>33</v>
      </c>
      <c r="L2159" s="73">
        <f>IF(Tank1!$C$23="No control",(SUMIF(Tank1!$B$32:$B$49,$J2159,Tank1!$C$32:$C$49)*Impacts!$F$8),0)</f>
        <v>0</v>
      </c>
      <c r="M2159" s="10">
        <f>IF(Tank2!$C$23="No control",(SUMIF(Tank2!$B$32:$B$49,$J2159,Tank2!$C$32:$C$49)*Impacts!$F$9),0)</f>
        <v>0</v>
      </c>
      <c r="N2159" s="10">
        <f>IF(Tank3!$C$23="No control",(SUMIF(Tank3!$B$32:$B$49,$J2159,Tank3!$C$32:$C$49)*Impacts!$F$10),0)</f>
        <v>0</v>
      </c>
      <c r="O2159" s="10">
        <f>IF(Tank4!$C$23="No control",(SUMIF(Tank4!$B$32:$B$49,$J2159,Tank4!$C$32:$C$49)*Impacts!$F$11),0)</f>
        <v>0</v>
      </c>
      <c r="P2159" s="10">
        <f>IF(Tank5!$C$23="No control",(SUMIF(Tank5!$B$32:$B$49,$J2159,Tank5!$C$32:$C$49)*Impacts!$F$12),0)</f>
        <v>0</v>
      </c>
      <c r="Q2159" s="10">
        <f>IFERROR(IF(('Loading-drum,tote'!$C$21)="No control",SUMIF(('Loading-drum,tote'!$B$31:$B$48),$J2159,('Loading-drum,tote'!$D$31:$D$48))*Impacts!$F$13,IF(('Loading-drum,tote'!$C$21)&lt;&gt;"No control",SUMIF(('Loading-drum,tote'!$B$31:$B$48),$J2159,('Loading-drum,tote'!$E$31:$E$48))*Impacts!$F$13,0)),0)</f>
        <v>0</v>
      </c>
      <c r="R2159" s="10">
        <f>IFERROR(IF(('Loading-truck'!$C$21)="No control",SUMIF(('Loading-truck'!$B$31:$B$48),$J2159,('Loading-truck'!$D$31:$D$48))*Impacts!$F$14,IF(('Loading-truck'!$C$21)&lt;&gt;"No control",SUMIF(('Loading-truck'!$B$31:$B$48),$J2159,('Loading-truck'!$E$31:$E$48))*Impacts!$F$14,0)),0)</f>
        <v>0</v>
      </c>
      <c r="S2159" s="10">
        <f>IFERROR(IF(('Loading-rail'!$C$21)="No control",SUMIF(('Loading-rail'!$B$31:$B$48),$J2159,('Loading-rail'!$D$31:$D$48))*Impacts!$F$15,IF(('Loading-rail'!$C$21)&lt;&gt;"No control",SUMIF(('Loading-rail'!$B$31:$B$48),$J2159,('Loading-rail'!$E$31:$E$48))*Impacts!$F$15,0)),0)</f>
        <v>0</v>
      </c>
      <c r="T2159" s="10">
        <f>IF(Flare!$C$7="",0,(SUMIF(Flare!$B$46:$B$185,$J2159,Flare!$E$46:$E$185)*Impacts!$F$16))</f>
        <v>0</v>
      </c>
      <c r="U2159" s="10">
        <f>IF(VCU!$C$9="",0,(SUMIF(VCU!$B$51:$B$193,$J2159,VCU!$E$51:$E$193)*Impacts!$F$17))</f>
        <v>0</v>
      </c>
      <c r="V2159" s="10">
        <f>IF(CAS!$C$7="",0,(SUMIF(CAS!$B$31:$B$167,$J2159,CAS!$E$31:$E$167)*Impacts!$F$18))</f>
        <v>0</v>
      </c>
      <c r="W2159" s="10">
        <f t="shared" si="74"/>
        <v>0</v>
      </c>
      <c r="AK2159" s="10" t="str">
        <f t="array" ref="AK2159">IFERROR(INDEX(SelectedSpecies,SMALL(IF(SelectedSpecies=AK$1,ROW(SelectedSpecies)),ROW(2160:2160)),2),"")</f>
        <v/>
      </c>
      <c r="BE2159" s="10"/>
      <c r="BI2159" s="10"/>
    </row>
    <row r="2160" spans="1:61" ht="21" customHeight="1" x14ac:dyDescent="0.25">
      <c r="A2160" s="10"/>
      <c r="B2160" s="10"/>
      <c r="E2160" s="10"/>
      <c r="G2160" s="10"/>
      <c r="I2160" s="436" t="s">
        <v>1386</v>
      </c>
      <c r="J2160" s="26" t="s">
        <v>1385</v>
      </c>
      <c r="K2160" s="10">
        <v>33</v>
      </c>
      <c r="L2160" s="73">
        <f>IF(Tank1!$C$23="No control",(SUMIF(Tank1!$B$32:$B$49,$J2160,Tank1!$C$32:$C$49)*Impacts!$F$8),0)</f>
        <v>0</v>
      </c>
      <c r="M2160" s="10">
        <f>IF(Tank2!$C$23="No control",(SUMIF(Tank2!$B$32:$B$49,$J2160,Tank2!$C$32:$C$49)*Impacts!$F$9),0)</f>
        <v>0</v>
      </c>
      <c r="N2160" s="10">
        <f>IF(Tank3!$C$23="No control",(SUMIF(Tank3!$B$32:$B$49,$J2160,Tank3!$C$32:$C$49)*Impacts!$F$10),0)</f>
        <v>0</v>
      </c>
      <c r="O2160" s="10">
        <f>IF(Tank4!$C$23="No control",(SUMIF(Tank4!$B$32:$B$49,$J2160,Tank4!$C$32:$C$49)*Impacts!$F$11),0)</f>
        <v>0</v>
      </c>
      <c r="P2160" s="10">
        <f>IF(Tank5!$C$23="No control",(SUMIF(Tank5!$B$32:$B$49,$J2160,Tank5!$C$32:$C$49)*Impacts!$F$12),0)</f>
        <v>0</v>
      </c>
      <c r="Q2160" s="10">
        <f>IFERROR(IF(('Loading-drum,tote'!$C$21)="No control",SUMIF(('Loading-drum,tote'!$B$31:$B$48),$J2160,('Loading-drum,tote'!$D$31:$D$48))*Impacts!$F$13,IF(('Loading-drum,tote'!$C$21)&lt;&gt;"No control",SUMIF(('Loading-drum,tote'!$B$31:$B$48),$J2160,('Loading-drum,tote'!$E$31:$E$48))*Impacts!$F$13,0)),0)</f>
        <v>0</v>
      </c>
      <c r="R2160" s="10">
        <f>IFERROR(IF(('Loading-truck'!$C$21)="No control",SUMIF(('Loading-truck'!$B$31:$B$48),$J2160,('Loading-truck'!$D$31:$D$48))*Impacts!$F$14,IF(('Loading-truck'!$C$21)&lt;&gt;"No control",SUMIF(('Loading-truck'!$B$31:$B$48),$J2160,('Loading-truck'!$E$31:$E$48))*Impacts!$F$14,0)),0)</f>
        <v>0</v>
      </c>
      <c r="S2160" s="10">
        <f>IFERROR(IF(('Loading-rail'!$C$21)="No control",SUMIF(('Loading-rail'!$B$31:$B$48),$J2160,('Loading-rail'!$D$31:$D$48))*Impacts!$F$15,IF(('Loading-rail'!$C$21)&lt;&gt;"No control",SUMIF(('Loading-rail'!$B$31:$B$48),$J2160,('Loading-rail'!$E$31:$E$48))*Impacts!$F$15,0)),0)</f>
        <v>0</v>
      </c>
      <c r="T2160" s="10">
        <f>IF(Flare!$C$7="",0,(SUMIF(Flare!$B$46:$B$185,$J2160,Flare!$E$46:$E$185)*Impacts!$F$16))</f>
        <v>0</v>
      </c>
      <c r="U2160" s="10">
        <f>IF(VCU!$C$9="",0,(SUMIF(VCU!$B$51:$B$193,$J2160,VCU!$E$51:$E$193)*Impacts!$F$17))</f>
        <v>0</v>
      </c>
      <c r="V2160" s="10">
        <f>IF(CAS!$C$7="",0,(SUMIF(CAS!$B$31:$B$167,$J2160,CAS!$E$31:$E$167)*Impacts!$F$18))</f>
        <v>0</v>
      </c>
      <c r="W2160" s="10">
        <f t="shared" si="74"/>
        <v>0</v>
      </c>
      <c r="AK2160" s="10" t="str">
        <f t="array" ref="AK2160">IFERROR(INDEX(SelectedSpecies,SMALL(IF(SelectedSpecies=AK$1,ROW(SelectedSpecies)),ROW(2161:2161)),2),"")</f>
        <v/>
      </c>
      <c r="BE2160" s="10"/>
      <c r="BI2160" s="10"/>
    </row>
    <row r="2161" spans="1:61" ht="21" customHeight="1" x14ac:dyDescent="0.25">
      <c r="A2161" s="10"/>
      <c r="B2161" s="10"/>
      <c r="E2161" s="10"/>
      <c r="G2161" s="10"/>
      <c r="I2161" s="436" t="s">
        <v>1388</v>
      </c>
      <c r="J2161" s="26" t="s">
        <v>1387</v>
      </c>
      <c r="K2161" s="10">
        <v>33</v>
      </c>
      <c r="L2161" s="73">
        <f>IF(Tank1!$C$23="No control",(SUMIF(Tank1!$B$32:$B$49,$J2161,Tank1!$C$32:$C$49)*Impacts!$F$8),0)</f>
        <v>0</v>
      </c>
      <c r="M2161" s="10">
        <f>IF(Tank2!$C$23="No control",(SUMIF(Tank2!$B$32:$B$49,$J2161,Tank2!$C$32:$C$49)*Impacts!$F$9),0)</f>
        <v>0</v>
      </c>
      <c r="N2161" s="10">
        <f>IF(Tank3!$C$23="No control",(SUMIF(Tank3!$B$32:$B$49,$J2161,Tank3!$C$32:$C$49)*Impacts!$F$10),0)</f>
        <v>0</v>
      </c>
      <c r="O2161" s="10">
        <f>IF(Tank4!$C$23="No control",(SUMIF(Tank4!$B$32:$B$49,$J2161,Tank4!$C$32:$C$49)*Impacts!$F$11),0)</f>
        <v>0</v>
      </c>
      <c r="P2161" s="10">
        <f>IF(Tank5!$C$23="No control",(SUMIF(Tank5!$B$32:$B$49,$J2161,Tank5!$C$32:$C$49)*Impacts!$F$12),0)</f>
        <v>0</v>
      </c>
      <c r="Q2161" s="10">
        <f>IFERROR(IF(('Loading-drum,tote'!$C$21)="No control",SUMIF(('Loading-drum,tote'!$B$31:$B$48),$J2161,('Loading-drum,tote'!$D$31:$D$48))*Impacts!$F$13,IF(('Loading-drum,tote'!$C$21)&lt;&gt;"No control",SUMIF(('Loading-drum,tote'!$B$31:$B$48),$J2161,('Loading-drum,tote'!$E$31:$E$48))*Impacts!$F$13,0)),0)</f>
        <v>0</v>
      </c>
      <c r="R2161" s="10">
        <f>IFERROR(IF(('Loading-truck'!$C$21)="No control",SUMIF(('Loading-truck'!$B$31:$B$48),$J2161,('Loading-truck'!$D$31:$D$48))*Impacts!$F$14,IF(('Loading-truck'!$C$21)&lt;&gt;"No control",SUMIF(('Loading-truck'!$B$31:$B$48),$J2161,('Loading-truck'!$E$31:$E$48))*Impacts!$F$14,0)),0)</f>
        <v>0</v>
      </c>
      <c r="S2161" s="10">
        <f>IFERROR(IF(('Loading-rail'!$C$21)="No control",SUMIF(('Loading-rail'!$B$31:$B$48),$J2161,('Loading-rail'!$D$31:$D$48))*Impacts!$F$15,IF(('Loading-rail'!$C$21)&lt;&gt;"No control",SUMIF(('Loading-rail'!$B$31:$B$48),$J2161,('Loading-rail'!$E$31:$E$48))*Impacts!$F$15,0)),0)</f>
        <v>0</v>
      </c>
      <c r="T2161" s="10">
        <f>IF(Flare!$C$7="",0,(SUMIF(Flare!$B$46:$B$185,$J2161,Flare!$E$46:$E$185)*Impacts!$F$16))</f>
        <v>0</v>
      </c>
      <c r="U2161" s="10">
        <f>IF(VCU!$C$9="",0,(SUMIF(VCU!$B$51:$B$193,$J2161,VCU!$E$51:$E$193)*Impacts!$F$17))</f>
        <v>0</v>
      </c>
      <c r="V2161" s="10">
        <f>IF(CAS!$C$7="",0,(SUMIF(CAS!$B$31:$B$167,$J2161,CAS!$E$31:$E$167)*Impacts!$F$18))</f>
        <v>0</v>
      </c>
      <c r="W2161" s="10">
        <f t="shared" si="74"/>
        <v>0</v>
      </c>
      <c r="AK2161" s="10" t="str">
        <f t="array" ref="AK2161">IFERROR(INDEX(SelectedSpecies,SMALL(IF(SelectedSpecies=AK$1,ROW(SelectedSpecies)),ROW(2162:2162)),2),"")</f>
        <v/>
      </c>
      <c r="BE2161" s="10"/>
      <c r="BI2161" s="10"/>
    </row>
    <row r="2162" spans="1:61" ht="21" customHeight="1" x14ac:dyDescent="0.25">
      <c r="A2162" s="10"/>
      <c r="B2162" s="10"/>
      <c r="E2162" s="10"/>
      <c r="G2162" s="10"/>
      <c r="I2162" s="436" t="s">
        <v>4209</v>
      </c>
      <c r="J2162" s="26" t="s">
        <v>4208</v>
      </c>
      <c r="K2162" s="10">
        <v>5</v>
      </c>
      <c r="L2162" s="73">
        <f>IF(Tank1!$C$23="No control",(SUMIF(Tank1!$B$32:$B$49,$J2162,Tank1!$C$32:$C$49)*Impacts!$F$8),0)</f>
        <v>0</v>
      </c>
      <c r="M2162" s="10">
        <f>IF(Tank2!$C$23="No control",(SUMIF(Tank2!$B$32:$B$49,$J2162,Tank2!$C$32:$C$49)*Impacts!$F$9),0)</f>
        <v>0</v>
      </c>
      <c r="N2162" s="10">
        <f>IF(Tank3!$C$23="No control",(SUMIF(Tank3!$B$32:$B$49,$J2162,Tank3!$C$32:$C$49)*Impacts!$F$10),0)</f>
        <v>0</v>
      </c>
      <c r="O2162" s="10">
        <f>IF(Tank4!$C$23="No control",(SUMIF(Tank4!$B$32:$B$49,$J2162,Tank4!$C$32:$C$49)*Impacts!$F$11),0)</f>
        <v>0</v>
      </c>
      <c r="P2162" s="10">
        <f>IF(Tank5!$C$23="No control",(SUMIF(Tank5!$B$32:$B$49,$J2162,Tank5!$C$32:$C$49)*Impacts!$F$12),0)</f>
        <v>0</v>
      </c>
      <c r="Q2162" s="10">
        <f>IFERROR(IF(('Loading-drum,tote'!$C$21)="No control",SUMIF(('Loading-drum,tote'!$B$31:$B$48),$J2162,('Loading-drum,tote'!$D$31:$D$48))*Impacts!$F$13,IF(('Loading-drum,tote'!$C$21)&lt;&gt;"No control",SUMIF(('Loading-drum,tote'!$B$31:$B$48),$J2162,('Loading-drum,tote'!$E$31:$E$48))*Impacts!$F$13,0)),0)</f>
        <v>0</v>
      </c>
      <c r="R2162" s="10">
        <f>IFERROR(IF(('Loading-truck'!$C$21)="No control",SUMIF(('Loading-truck'!$B$31:$B$48),$J2162,('Loading-truck'!$D$31:$D$48))*Impacts!$F$14,IF(('Loading-truck'!$C$21)&lt;&gt;"No control",SUMIF(('Loading-truck'!$B$31:$B$48),$J2162,('Loading-truck'!$E$31:$E$48))*Impacts!$F$14,0)),0)</f>
        <v>0</v>
      </c>
      <c r="S2162" s="10">
        <f>IFERROR(IF(('Loading-rail'!$C$21)="No control",SUMIF(('Loading-rail'!$B$31:$B$48),$J2162,('Loading-rail'!$D$31:$D$48))*Impacts!$F$15,IF(('Loading-rail'!$C$21)&lt;&gt;"No control",SUMIF(('Loading-rail'!$B$31:$B$48),$J2162,('Loading-rail'!$E$31:$E$48))*Impacts!$F$15,0)),0)</f>
        <v>0</v>
      </c>
      <c r="T2162" s="10">
        <f>IF(Flare!$C$7="",0,(SUMIF(Flare!$B$46:$B$185,$J2162,Flare!$E$46:$E$185)*Impacts!$F$16))</f>
        <v>0</v>
      </c>
      <c r="U2162" s="10">
        <f>IF(VCU!$C$9="",0,(SUMIF(VCU!$B$51:$B$193,$J2162,VCU!$E$51:$E$193)*Impacts!$F$17))</f>
        <v>0</v>
      </c>
      <c r="V2162" s="10">
        <f>IF(CAS!$C$7="",0,(SUMIF(CAS!$B$31:$B$167,$J2162,CAS!$E$31:$E$167)*Impacts!$F$18))</f>
        <v>0</v>
      </c>
      <c r="W2162" s="10">
        <f t="shared" si="74"/>
        <v>0</v>
      </c>
      <c r="AK2162" s="10" t="str">
        <f t="array" ref="AK2162">IFERROR(INDEX(SelectedSpecies,SMALL(IF(SelectedSpecies=AK$1,ROW(SelectedSpecies)),ROW(2163:2163)),2),"")</f>
        <v/>
      </c>
      <c r="BE2162" s="10"/>
      <c r="BI2162" s="10"/>
    </row>
    <row r="2163" spans="1:61" ht="21" customHeight="1" x14ac:dyDescent="0.25">
      <c r="A2163" s="10"/>
      <c r="B2163" s="10"/>
      <c r="E2163" s="10"/>
      <c r="G2163" s="10"/>
      <c r="I2163" s="436" t="s">
        <v>6316</v>
      </c>
      <c r="J2163" s="26" t="s">
        <v>6315</v>
      </c>
      <c r="K2163" s="10">
        <v>0.9</v>
      </c>
      <c r="L2163" s="73">
        <f>IF(Tank1!$C$23="No control",(SUMIF(Tank1!$B$32:$B$49,$J2163,Tank1!$C$32:$C$49)*Impacts!$F$8),0)</f>
        <v>0</v>
      </c>
      <c r="M2163" s="10">
        <f>IF(Tank2!$C$23="No control",(SUMIF(Tank2!$B$32:$B$49,$J2163,Tank2!$C$32:$C$49)*Impacts!$F$9),0)</f>
        <v>0</v>
      </c>
      <c r="N2163" s="10">
        <f>IF(Tank3!$C$23="No control",(SUMIF(Tank3!$B$32:$B$49,$J2163,Tank3!$C$32:$C$49)*Impacts!$F$10),0)</f>
        <v>0</v>
      </c>
      <c r="O2163" s="10">
        <f>IF(Tank4!$C$23="No control",(SUMIF(Tank4!$B$32:$B$49,$J2163,Tank4!$C$32:$C$49)*Impacts!$F$11),0)</f>
        <v>0</v>
      </c>
      <c r="P2163" s="10">
        <f>IF(Tank5!$C$23="No control",(SUMIF(Tank5!$B$32:$B$49,$J2163,Tank5!$C$32:$C$49)*Impacts!$F$12),0)</f>
        <v>0</v>
      </c>
      <c r="Q2163" s="10">
        <f>IFERROR(IF(('Loading-drum,tote'!$C$21)="No control",SUMIF(('Loading-drum,tote'!$B$31:$B$48),$J2163,('Loading-drum,tote'!$D$31:$D$48))*Impacts!$F$13,IF(('Loading-drum,tote'!$C$21)&lt;&gt;"No control",SUMIF(('Loading-drum,tote'!$B$31:$B$48),$J2163,('Loading-drum,tote'!$E$31:$E$48))*Impacts!$F$13,0)),0)</f>
        <v>0</v>
      </c>
      <c r="R2163" s="10">
        <f>IFERROR(IF(('Loading-truck'!$C$21)="No control",SUMIF(('Loading-truck'!$B$31:$B$48),$J2163,('Loading-truck'!$D$31:$D$48))*Impacts!$F$14,IF(('Loading-truck'!$C$21)&lt;&gt;"No control",SUMIF(('Loading-truck'!$B$31:$B$48),$J2163,('Loading-truck'!$E$31:$E$48))*Impacts!$F$14,0)),0)</f>
        <v>0</v>
      </c>
      <c r="S2163" s="10">
        <f>IFERROR(IF(('Loading-rail'!$C$21)="No control",SUMIF(('Loading-rail'!$B$31:$B$48),$J2163,('Loading-rail'!$D$31:$D$48))*Impacts!$F$15,IF(('Loading-rail'!$C$21)&lt;&gt;"No control",SUMIF(('Loading-rail'!$B$31:$B$48),$J2163,('Loading-rail'!$E$31:$E$48))*Impacts!$F$15,0)),0)</f>
        <v>0</v>
      </c>
      <c r="T2163" s="10">
        <f>IF(Flare!$C$7="",0,(SUMIF(Flare!$B$46:$B$185,$J2163,Flare!$E$46:$E$185)*Impacts!$F$16))</f>
        <v>0</v>
      </c>
      <c r="U2163" s="10">
        <f>IF(VCU!$C$9="",0,(SUMIF(VCU!$B$51:$B$193,$J2163,VCU!$E$51:$E$193)*Impacts!$F$17))</f>
        <v>0</v>
      </c>
      <c r="V2163" s="10">
        <f>IF(CAS!$C$7="",0,(SUMIF(CAS!$B$31:$B$167,$J2163,CAS!$E$31:$E$167)*Impacts!$F$18))</f>
        <v>0</v>
      </c>
      <c r="W2163" s="10">
        <f t="shared" si="74"/>
        <v>0</v>
      </c>
      <c r="AK2163" s="10" t="str">
        <f t="array" ref="AK2163">IFERROR(INDEX(SelectedSpecies,SMALL(IF(SelectedSpecies=AK$1,ROW(SelectedSpecies)),ROW(2164:2164)),2),"")</f>
        <v/>
      </c>
      <c r="BE2163" s="10"/>
      <c r="BI2163" s="10"/>
    </row>
    <row r="2164" spans="1:61" ht="21" customHeight="1" x14ac:dyDescent="0.25">
      <c r="A2164" s="10"/>
      <c r="B2164" s="10"/>
      <c r="E2164" s="10"/>
      <c r="G2164" s="10"/>
      <c r="I2164" s="436" t="s">
        <v>8170</v>
      </c>
      <c r="J2164" s="26" t="s">
        <v>8169</v>
      </c>
      <c r="K2164" s="10">
        <v>1.0000000000000002E-2</v>
      </c>
      <c r="L2164" s="73">
        <f>IF(Tank1!$C$23="No control",(SUMIF(Tank1!$B$32:$B$49,$J2164,Tank1!$C$32:$C$49)*Impacts!$F$8),0)</f>
        <v>0</v>
      </c>
      <c r="M2164" s="10">
        <f>IF(Tank2!$C$23="No control",(SUMIF(Tank2!$B$32:$B$49,$J2164,Tank2!$C$32:$C$49)*Impacts!$F$9),0)</f>
        <v>0</v>
      </c>
      <c r="N2164" s="10">
        <f>IF(Tank3!$C$23="No control",(SUMIF(Tank3!$B$32:$B$49,$J2164,Tank3!$C$32:$C$49)*Impacts!$F$10),0)</f>
        <v>0</v>
      </c>
      <c r="O2164" s="10">
        <f>IF(Tank4!$C$23="No control",(SUMIF(Tank4!$B$32:$B$49,$J2164,Tank4!$C$32:$C$49)*Impacts!$F$11),0)</f>
        <v>0</v>
      </c>
      <c r="P2164" s="10">
        <f>IF(Tank5!$C$23="No control",(SUMIF(Tank5!$B$32:$B$49,$J2164,Tank5!$C$32:$C$49)*Impacts!$F$12),0)</f>
        <v>0</v>
      </c>
      <c r="Q2164" s="10">
        <f>IFERROR(IF(('Loading-drum,tote'!$C$21)="No control",SUMIF(('Loading-drum,tote'!$B$31:$B$48),$J2164,('Loading-drum,tote'!$D$31:$D$48))*Impacts!$F$13,IF(('Loading-drum,tote'!$C$21)&lt;&gt;"No control",SUMIF(('Loading-drum,tote'!$B$31:$B$48),$J2164,('Loading-drum,tote'!$E$31:$E$48))*Impacts!$F$13,0)),0)</f>
        <v>0</v>
      </c>
      <c r="R2164" s="10">
        <f>IFERROR(IF(('Loading-truck'!$C$21)="No control",SUMIF(('Loading-truck'!$B$31:$B$48),$J2164,('Loading-truck'!$D$31:$D$48))*Impacts!$F$14,IF(('Loading-truck'!$C$21)&lt;&gt;"No control",SUMIF(('Loading-truck'!$B$31:$B$48),$J2164,('Loading-truck'!$E$31:$E$48))*Impacts!$F$14,0)),0)</f>
        <v>0</v>
      </c>
      <c r="S2164" s="10">
        <f>IFERROR(IF(('Loading-rail'!$C$21)="No control",SUMIF(('Loading-rail'!$B$31:$B$48),$J2164,('Loading-rail'!$D$31:$D$48))*Impacts!$F$15,IF(('Loading-rail'!$C$21)&lt;&gt;"No control",SUMIF(('Loading-rail'!$B$31:$B$48),$J2164,('Loading-rail'!$E$31:$E$48))*Impacts!$F$15,0)),0)</f>
        <v>0</v>
      </c>
      <c r="T2164" s="10">
        <f>IF(Flare!$C$7="",0,(SUMIF(Flare!$B$46:$B$185,$J2164,Flare!$E$46:$E$185)*Impacts!$F$16))</f>
        <v>0</v>
      </c>
      <c r="U2164" s="10">
        <f>IF(VCU!$C$9="",0,(SUMIF(VCU!$B$51:$B$193,$J2164,VCU!$E$51:$E$193)*Impacts!$F$17))</f>
        <v>0</v>
      </c>
      <c r="V2164" s="10">
        <f>IF(CAS!$C$7="",0,(SUMIF(CAS!$B$31:$B$167,$J2164,CAS!$E$31:$E$167)*Impacts!$F$18))</f>
        <v>0</v>
      </c>
      <c r="W2164" s="10">
        <f t="shared" si="74"/>
        <v>0</v>
      </c>
      <c r="AK2164" s="10" t="str">
        <f t="array" ref="AK2164">IFERROR(INDEX(SelectedSpecies,SMALL(IF(SelectedSpecies=AK$1,ROW(SelectedSpecies)),ROW(2165:2165)),2),"")</f>
        <v/>
      </c>
      <c r="BE2164" s="10"/>
      <c r="BI2164" s="10"/>
    </row>
    <row r="2165" spans="1:61" ht="21" customHeight="1" x14ac:dyDescent="0.25">
      <c r="A2165" s="10"/>
      <c r="B2165" s="10"/>
      <c r="E2165" s="10"/>
      <c r="G2165" s="10"/>
      <c r="I2165" s="436" t="s">
        <v>7984</v>
      </c>
      <c r="J2165" s="26" t="s">
        <v>7983</v>
      </c>
      <c r="K2165" s="10">
        <v>3.2000000000000001E-2</v>
      </c>
      <c r="L2165" s="73">
        <f>IF(Tank1!$C$23="No control",(SUMIF(Tank1!$B$32:$B$49,$J2165,Tank1!$C$32:$C$49)*Impacts!$F$8),0)</f>
        <v>0</v>
      </c>
      <c r="M2165" s="10">
        <f>IF(Tank2!$C$23="No control",(SUMIF(Tank2!$B$32:$B$49,$J2165,Tank2!$C$32:$C$49)*Impacts!$F$9),0)</f>
        <v>0</v>
      </c>
      <c r="N2165" s="10">
        <f>IF(Tank3!$C$23="No control",(SUMIF(Tank3!$B$32:$B$49,$J2165,Tank3!$C$32:$C$49)*Impacts!$F$10),0)</f>
        <v>0</v>
      </c>
      <c r="O2165" s="10">
        <f>IF(Tank4!$C$23="No control",(SUMIF(Tank4!$B$32:$B$49,$J2165,Tank4!$C$32:$C$49)*Impacts!$F$11),0)</f>
        <v>0</v>
      </c>
      <c r="P2165" s="10">
        <f>IF(Tank5!$C$23="No control",(SUMIF(Tank5!$B$32:$B$49,$J2165,Tank5!$C$32:$C$49)*Impacts!$F$12),0)</f>
        <v>0</v>
      </c>
      <c r="Q2165" s="10">
        <f>IFERROR(IF(('Loading-drum,tote'!$C$21)="No control",SUMIF(('Loading-drum,tote'!$B$31:$B$48),$J2165,('Loading-drum,tote'!$D$31:$D$48))*Impacts!$F$13,IF(('Loading-drum,tote'!$C$21)&lt;&gt;"No control",SUMIF(('Loading-drum,tote'!$B$31:$B$48),$J2165,('Loading-drum,tote'!$E$31:$E$48))*Impacts!$F$13,0)),0)</f>
        <v>0</v>
      </c>
      <c r="R2165" s="10">
        <f>IFERROR(IF(('Loading-truck'!$C$21)="No control",SUMIF(('Loading-truck'!$B$31:$B$48),$J2165,('Loading-truck'!$D$31:$D$48))*Impacts!$F$14,IF(('Loading-truck'!$C$21)&lt;&gt;"No control",SUMIF(('Loading-truck'!$B$31:$B$48),$J2165,('Loading-truck'!$E$31:$E$48))*Impacts!$F$14,0)),0)</f>
        <v>0</v>
      </c>
      <c r="S2165" s="10">
        <f>IFERROR(IF(('Loading-rail'!$C$21)="No control",SUMIF(('Loading-rail'!$B$31:$B$48),$J2165,('Loading-rail'!$D$31:$D$48))*Impacts!$F$15,IF(('Loading-rail'!$C$21)&lt;&gt;"No control",SUMIF(('Loading-rail'!$B$31:$B$48),$J2165,('Loading-rail'!$E$31:$E$48))*Impacts!$F$15,0)),0)</f>
        <v>0</v>
      </c>
      <c r="T2165" s="10">
        <f>IF(Flare!$C$7="",0,(SUMIF(Flare!$B$46:$B$185,$J2165,Flare!$E$46:$E$185)*Impacts!$F$16))</f>
        <v>0</v>
      </c>
      <c r="U2165" s="10">
        <f>IF(VCU!$C$9="",0,(SUMIF(VCU!$B$51:$B$193,$J2165,VCU!$E$51:$E$193)*Impacts!$F$17))</f>
        <v>0</v>
      </c>
      <c r="V2165" s="10">
        <f>IF(CAS!$C$7="",0,(SUMIF(CAS!$B$31:$B$167,$J2165,CAS!$E$31:$E$167)*Impacts!$F$18))</f>
        <v>0</v>
      </c>
      <c r="W2165" s="10">
        <f t="shared" si="74"/>
        <v>0</v>
      </c>
      <c r="AK2165" s="10" t="str">
        <f t="array" ref="AK2165">IFERROR(INDEX(SelectedSpecies,SMALL(IF(SelectedSpecies=AK$1,ROW(SelectedSpecies)),ROW(2166:2166)),2),"")</f>
        <v/>
      </c>
      <c r="BE2165" s="10"/>
      <c r="BI2165" s="10"/>
    </row>
    <row r="2166" spans="1:61" ht="21" customHeight="1" x14ac:dyDescent="0.25">
      <c r="A2166" s="10"/>
      <c r="B2166" s="10"/>
      <c r="E2166" s="10"/>
      <c r="G2166" s="10"/>
      <c r="I2166" s="436" t="s">
        <v>4499</v>
      </c>
      <c r="J2166" s="26" t="s">
        <v>4498</v>
      </c>
      <c r="K2166" s="10">
        <v>4.2</v>
      </c>
      <c r="L2166" s="73">
        <f>IF(Tank1!$C$23="No control",(SUMIF(Tank1!$B$32:$B$49,$J2166,Tank1!$C$32:$C$49)*Impacts!$F$8),0)</f>
        <v>0</v>
      </c>
      <c r="M2166" s="10">
        <f>IF(Tank2!$C$23="No control",(SUMIF(Tank2!$B$32:$B$49,$J2166,Tank2!$C$32:$C$49)*Impacts!$F$9),0)</f>
        <v>0</v>
      </c>
      <c r="N2166" s="10">
        <f>IF(Tank3!$C$23="No control",(SUMIF(Tank3!$B$32:$B$49,$J2166,Tank3!$C$32:$C$49)*Impacts!$F$10),0)</f>
        <v>0</v>
      </c>
      <c r="O2166" s="10">
        <f>IF(Tank4!$C$23="No control",(SUMIF(Tank4!$B$32:$B$49,$J2166,Tank4!$C$32:$C$49)*Impacts!$F$11),0)</f>
        <v>0</v>
      </c>
      <c r="P2166" s="10">
        <f>IF(Tank5!$C$23="No control",(SUMIF(Tank5!$B$32:$B$49,$J2166,Tank5!$C$32:$C$49)*Impacts!$F$12),0)</f>
        <v>0</v>
      </c>
      <c r="Q2166" s="10">
        <f>IFERROR(IF(('Loading-drum,tote'!$C$21)="No control",SUMIF(('Loading-drum,tote'!$B$31:$B$48),$J2166,('Loading-drum,tote'!$D$31:$D$48))*Impacts!$F$13,IF(('Loading-drum,tote'!$C$21)&lt;&gt;"No control",SUMIF(('Loading-drum,tote'!$B$31:$B$48),$J2166,('Loading-drum,tote'!$E$31:$E$48))*Impacts!$F$13,0)),0)</f>
        <v>0</v>
      </c>
      <c r="R2166" s="10">
        <f>IFERROR(IF(('Loading-truck'!$C$21)="No control",SUMIF(('Loading-truck'!$B$31:$B$48),$J2166,('Loading-truck'!$D$31:$D$48))*Impacts!$F$14,IF(('Loading-truck'!$C$21)&lt;&gt;"No control",SUMIF(('Loading-truck'!$B$31:$B$48),$J2166,('Loading-truck'!$E$31:$E$48))*Impacts!$F$14,0)),0)</f>
        <v>0</v>
      </c>
      <c r="S2166" s="10">
        <f>IFERROR(IF(('Loading-rail'!$C$21)="No control",SUMIF(('Loading-rail'!$B$31:$B$48),$J2166,('Loading-rail'!$D$31:$D$48))*Impacts!$F$15,IF(('Loading-rail'!$C$21)&lt;&gt;"No control",SUMIF(('Loading-rail'!$B$31:$B$48),$J2166,('Loading-rail'!$E$31:$E$48))*Impacts!$F$15,0)),0)</f>
        <v>0</v>
      </c>
      <c r="T2166" s="10">
        <f>IF(Flare!$C$7="",0,(SUMIF(Flare!$B$46:$B$185,$J2166,Flare!$E$46:$E$185)*Impacts!$F$16))</f>
        <v>0</v>
      </c>
      <c r="U2166" s="10">
        <f>IF(VCU!$C$9="",0,(SUMIF(VCU!$B$51:$B$193,$J2166,VCU!$E$51:$E$193)*Impacts!$F$17))</f>
        <v>0</v>
      </c>
      <c r="V2166" s="10">
        <f>IF(CAS!$C$7="",0,(SUMIF(CAS!$B$31:$B$167,$J2166,CAS!$E$31:$E$167)*Impacts!$F$18))</f>
        <v>0</v>
      </c>
      <c r="W2166" s="10">
        <f t="shared" si="74"/>
        <v>0</v>
      </c>
      <c r="AK2166" s="10" t="str">
        <f t="array" ref="AK2166">IFERROR(INDEX(SelectedSpecies,SMALL(IF(SelectedSpecies=AK$1,ROW(SelectedSpecies)),ROW(2167:2167)),2),"")</f>
        <v/>
      </c>
      <c r="BE2166" s="10"/>
      <c r="BI2166" s="10"/>
    </row>
    <row r="2167" spans="1:61" ht="21" customHeight="1" x14ac:dyDescent="0.25">
      <c r="A2167" s="10"/>
      <c r="B2167" s="10"/>
      <c r="E2167" s="10"/>
      <c r="G2167" s="10"/>
      <c r="I2167" s="436" t="s">
        <v>7136</v>
      </c>
      <c r="J2167" s="26" t="s">
        <v>7135</v>
      </c>
      <c r="K2167" s="10">
        <v>0.39</v>
      </c>
      <c r="L2167" s="73">
        <f>IF(Tank1!$C$23="No control",(SUMIF(Tank1!$B$32:$B$49,$J2167,Tank1!$C$32:$C$49)*Impacts!$F$8),0)</f>
        <v>0</v>
      </c>
      <c r="M2167" s="10">
        <f>IF(Tank2!$C$23="No control",(SUMIF(Tank2!$B$32:$B$49,$J2167,Tank2!$C$32:$C$49)*Impacts!$F$9),0)</f>
        <v>0</v>
      </c>
      <c r="N2167" s="10">
        <f>IF(Tank3!$C$23="No control",(SUMIF(Tank3!$B$32:$B$49,$J2167,Tank3!$C$32:$C$49)*Impacts!$F$10),0)</f>
        <v>0</v>
      </c>
      <c r="O2167" s="10">
        <f>IF(Tank4!$C$23="No control",(SUMIF(Tank4!$B$32:$B$49,$J2167,Tank4!$C$32:$C$49)*Impacts!$F$11),0)</f>
        <v>0</v>
      </c>
      <c r="P2167" s="10">
        <f>IF(Tank5!$C$23="No control",(SUMIF(Tank5!$B$32:$B$49,$J2167,Tank5!$C$32:$C$49)*Impacts!$F$12),0)</f>
        <v>0</v>
      </c>
      <c r="Q2167" s="10">
        <f>IFERROR(IF(('Loading-drum,tote'!$C$21)="No control",SUMIF(('Loading-drum,tote'!$B$31:$B$48),$J2167,('Loading-drum,tote'!$D$31:$D$48))*Impacts!$F$13,IF(('Loading-drum,tote'!$C$21)&lt;&gt;"No control",SUMIF(('Loading-drum,tote'!$B$31:$B$48),$J2167,('Loading-drum,tote'!$E$31:$E$48))*Impacts!$F$13,0)),0)</f>
        <v>0</v>
      </c>
      <c r="R2167" s="10">
        <f>IFERROR(IF(('Loading-truck'!$C$21)="No control",SUMIF(('Loading-truck'!$B$31:$B$48),$J2167,('Loading-truck'!$D$31:$D$48))*Impacts!$F$14,IF(('Loading-truck'!$C$21)&lt;&gt;"No control",SUMIF(('Loading-truck'!$B$31:$B$48),$J2167,('Loading-truck'!$E$31:$E$48))*Impacts!$F$14,0)),0)</f>
        <v>0</v>
      </c>
      <c r="S2167" s="10">
        <f>IFERROR(IF(('Loading-rail'!$C$21)="No control",SUMIF(('Loading-rail'!$B$31:$B$48),$J2167,('Loading-rail'!$D$31:$D$48))*Impacts!$F$15,IF(('Loading-rail'!$C$21)&lt;&gt;"No control",SUMIF(('Loading-rail'!$B$31:$B$48),$J2167,('Loading-rail'!$E$31:$E$48))*Impacts!$F$15,0)),0)</f>
        <v>0</v>
      </c>
      <c r="T2167" s="10">
        <f>IF(Flare!$C$7="",0,(SUMIF(Flare!$B$46:$B$185,$J2167,Flare!$E$46:$E$185)*Impacts!$F$16))</f>
        <v>0</v>
      </c>
      <c r="U2167" s="10">
        <f>IF(VCU!$C$9="",0,(SUMIF(VCU!$B$51:$B$193,$J2167,VCU!$E$51:$E$193)*Impacts!$F$17))</f>
        <v>0</v>
      </c>
      <c r="V2167" s="10">
        <f>IF(CAS!$C$7="",0,(SUMIF(CAS!$B$31:$B$167,$J2167,CAS!$E$31:$E$167)*Impacts!$F$18))</f>
        <v>0</v>
      </c>
      <c r="W2167" s="10">
        <f t="shared" si="74"/>
        <v>0</v>
      </c>
      <c r="AK2167" s="10" t="str">
        <f t="array" ref="AK2167">IFERROR(INDEX(SelectedSpecies,SMALL(IF(SelectedSpecies=AK$1,ROW(SelectedSpecies)),ROW(2168:2168)),2),"")</f>
        <v/>
      </c>
      <c r="BE2167" s="10"/>
      <c r="BI2167" s="10"/>
    </row>
    <row r="2168" spans="1:61" ht="21" customHeight="1" x14ac:dyDescent="0.25">
      <c r="A2168" s="10"/>
      <c r="B2168" s="10"/>
      <c r="E2168" s="10"/>
      <c r="G2168" s="10"/>
      <c r="I2168" s="436" t="s">
        <v>4685</v>
      </c>
      <c r="J2168" s="26" t="s">
        <v>4684</v>
      </c>
      <c r="K2168" s="10">
        <v>3.6</v>
      </c>
      <c r="L2168" s="73">
        <f>IF(Tank1!$C$23="No control",(SUMIF(Tank1!$B$32:$B$49,$J2168,Tank1!$C$32:$C$49)*Impacts!$F$8),0)</f>
        <v>0</v>
      </c>
      <c r="M2168" s="10">
        <f>IF(Tank2!$C$23="No control",(SUMIF(Tank2!$B$32:$B$49,$J2168,Tank2!$C$32:$C$49)*Impacts!$F$9),0)</f>
        <v>0</v>
      </c>
      <c r="N2168" s="10">
        <f>IF(Tank3!$C$23="No control",(SUMIF(Tank3!$B$32:$B$49,$J2168,Tank3!$C$32:$C$49)*Impacts!$F$10),0)</f>
        <v>0</v>
      </c>
      <c r="O2168" s="10">
        <f>IF(Tank4!$C$23="No control",(SUMIF(Tank4!$B$32:$B$49,$J2168,Tank4!$C$32:$C$49)*Impacts!$F$11),0)</f>
        <v>0</v>
      </c>
      <c r="P2168" s="10">
        <f>IF(Tank5!$C$23="No control",(SUMIF(Tank5!$B$32:$B$49,$J2168,Tank5!$C$32:$C$49)*Impacts!$F$12),0)</f>
        <v>0</v>
      </c>
      <c r="Q2168" s="10">
        <f>IFERROR(IF(('Loading-drum,tote'!$C$21)="No control",SUMIF(('Loading-drum,tote'!$B$31:$B$48),$J2168,('Loading-drum,tote'!$D$31:$D$48))*Impacts!$F$13,IF(('Loading-drum,tote'!$C$21)&lt;&gt;"No control",SUMIF(('Loading-drum,tote'!$B$31:$B$48),$J2168,('Loading-drum,tote'!$E$31:$E$48))*Impacts!$F$13,0)),0)</f>
        <v>0</v>
      </c>
      <c r="R2168" s="10">
        <f>IFERROR(IF(('Loading-truck'!$C$21)="No control",SUMIF(('Loading-truck'!$B$31:$B$48),$J2168,('Loading-truck'!$D$31:$D$48))*Impacts!$F$14,IF(('Loading-truck'!$C$21)&lt;&gt;"No control",SUMIF(('Loading-truck'!$B$31:$B$48),$J2168,('Loading-truck'!$E$31:$E$48))*Impacts!$F$14,0)),0)</f>
        <v>0</v>
      </c>
      <c r="S2168" s="10">
        <f>IFERROR(IF(('Loading-rail'!$C$21)="No control",SUMIF(('Loading-rail'!$B$31:$B$48),$J2168,('Loading-rail'!$D$31:$D$48))*Impacts!$F$15,IF(('Loading-rail'!$C$21)&lt;&gt;"No control",SUMIF(('Loading-rail'!$B$31:$B$48),$J2168,('Loading-rail'!$E$31:$E$48))*Impacts!$F$15,0)),0)</f>
        <v>0</v>
      </c>
      <c r="T2168" s="10">
        <f>IF(Flare!$C$7="",0,(SUMIF(Flare!$B$46:$B$185,$J2168,Flare!$E$46:$E$185)*Impacts!$F$16))</f>
        <v>0</v>
      </c>
      <c r="U2168" s="10">
        <f>IF(VCU!$C$9="",0,(SUMIF(VCU!$B$51:$B$193,$J2168,VCU!$E$51:$E$193)*Impacts!$F$17))</f>
        <v>0</v>
      </c>
      <c r="V2168" s="10">
        <f>IF(CAS!$C$7="",0,(SUMIF(CAS!$B$31:$B$167,$J2168,CAS!$E$31:$E$167)*Impacts!$F$18))</f>
        <v>0</v>
      </c>
      <c r="W2168" s="10">
        <f t="shared" si="74"/>
        <v>0</v>
      </c>
      <c r="AK2168" s="10" t="str">
        <f t="array" ref="AK2168">IFERROR(INDEX(SelectedSpecies,SMALL(IF(SelectedSpecies=AK$1,ROW(SelectedSpecies)),ROW(2169:2169)),2),"")</f>
        <v/>
      </c>
      <c r="BE2168" s="10"/>
      <c r="BI2168" s="10"/>
    </row>
    <row r="2169" spans="1:61" ht="21" customHeight="1" x14ac:dyDescent="0.25">
      <c r="A2169" s="10"/>
      <c r="B2169" s="10"/>
      <c r="E2169" s="10"/>
      <c r="G2169" s="10"/>
      <c r="I2169" s="436" t="s">
        <v>2139</v>
      </c>
      <c r="J2169" s="26" t="s">
        <v>2138</v>
      </c>
      <c r="K2169" s="10">
        <v>15</v>
      </c>
      <c r="L2169" s="73">
        <f>IF(Tank1!$C$23="No control",(SUMIF(Tank1!$B$32:$B$49,$J2169,Tank1!$C$32:$C$49)*Impacts!$F$8),0)</f>
        <v>0</v>
      </c>
      <c r="M2169" s="10">
        <f>IF(Tank2!$C$23="No control",(SUMIF(Tank2!$B$32:$B$49,$J2169,Tank2!$C$32:$C$49)*Impacts!$F$9),0)</f>
        <v>0</v>
      </c>
      <c r="N2169" s="10">
        <f>IF(Tank3!$C$23="No control",(SUMIF(Tank3!$B$32:$B$49,$J2169,Tank3!$C$32:$C$49)*Impacts!$F$10),0)</f>
        <v>0</v>
      </c>
      <c r="O2169" s="10">
        <f>IF(Tank4!$C$23="No control",(SUMIF(Tank4!$B$32:$B$49,$J2169,Tank4!$C$32:$C$49)*Impacts!$F$11),0)</f>
        <v>0</v>
      </c>
      <c r="P2169" s="10">
        <f>IF(Tank5!$C$23="No control",(SUMIF(Tank5!$B$32:$B$49,$J2169,Tank5!$C$32:$C$49)*Impacts!$F$12),0)</f>
        <v>0</v>
      </c>
      <c r="Q2169" s="10">
        <f>IFERROR(IF(('Loading-drum,tote'!$C$21)="No control",SUMIF(('Loading-drum,tote'!$B$31:$B$48),$J2169,('Loading-drum,tote'!$D$31:$D$48))*Impacts!$F$13,IF(('Loading-drum,tote'!$C$21)&lt;&gt;"No control",SUMIF(('Loading-drum,tote'!$B$31:$B$48),$J2169,('Loading-drum,tote'!$E$31:$E$48))*Impacts!$F$13,0)),0)</f>
        <v>0</v>
      </c>
      <c r="R2169" s="10">
        <f>IFERROR(IF(('Loading-truck'!$C$21)="No control",SUMIF(('Loading-truck'!$B$31:$B$48),$J2169,('Loading-truck'!$D$31:$D$48))*Impacts!$F$14,IF(('Loading-truck'!$C$21)&lt;&gt;"No control",SUMIF(('Loading-truck'!$B$31:$B$48),$J2169,('Loading-truck'!$E$31:$E$48))*Impacts!$F$14,0)),0)</f>
        <v>0</v>
      </c>
      <c r="S2169" s="10">
        <f>IFERROR(IF(('Loading-rail'!$C$21)="No control",SUMIF(('Loading-rail'!$B$31:$B$48),$J2169,('Loading-rail'!$D$31:$D$48))*Impacts!$F$15,IF(('Loading-rail'!$C$21)&lt;&gt;"No control",SUMIF(('Loading-rail'!$B$31:$B$48),$J2169,('Loading-rail'!$E$31:$E$48))*Impacts!$F$15,0)),0)</f>
        <v>0</v>
      </c>
      <c r="T2169" s="10">
        <f>IF(Flare!$C$7="",0,(SUMIF(Flare!$B$46:$B$185,$J2169,Flare!$E$46:$E$185)*Impacts!$F$16))</f>
        <v>0</v>
      </c>
      <c r="U2169" s="10">
        <f>IF(VCU!$C$9="",0,(SUMIF(VCU!$B$51:$B$193,$J2169,VCU!$E$51:$E$193)*Impacts!$F$17))</f>
        <v>0</v>
      </c>
      <c r="V2169" s="10">
        <f>IF(CAS!$C$7="",0,(SUMIF(CAS!$B$31:$B$167,$J2169,CAS!$E$31:$E$167)*Impacts!$F$18))</f>
        <v>0</v>
      </c>
      <c r="W2169" s="10">
        <f t="shared" si="74"/>
        <v>0</v>
      </c>
      <c r="AK2169" s="10" t="str">
        <f t="array" ref="AK2169">IFERROR(INDEX(SelectedSpecies,SMALL(IF(SelectedSpecies=AK$1,ROW(SelectedSpecies)),ROW(2170:2170)),2),"")</f>
        <v/>
      </c>
      <c r="BE2169" s="10"/>
      <c r="BI2169" s="10"/>
    </row>
    <row r="2170" spans="1:61" ht="21" customHeight="1" x14ac:dyDescent="0.25">
      <c r="A2170" s="10"/>
      <c r="B2170" s="10"/>
      <c r="E2170" s="10"/>
      <c r="G2170" s="10"/>
      <c r="I2170" s="436" t="s">
        <v>6856</v>
      </c>
      <c r="J2170" s="26" t="s">
        <v>6855</v>
      </c>
      <c r="K2170" s="10">
        <v>0.5</v>
      </c>
      <c r="L2170" s="73">
        <f>IF(Tank1!$C$23="No control",(SUMIF(Tank1!$B$32:$B$49,$J2170,Tank1!$C$32:$C$49)*Impacts!$F$8),0)</f>
        <v>0</v>
      </c>
      <c r="M2170" s="10">
        <f>IF(Tank2!$C$23="No control",(SUMIF(Tank2!$B$32:$B$49,$J2170,Tank2!$C$32:$C$49)*Impacts!$F$9),0)</f>
        <v>0</v>
      </c>
      <c r="N2170" s="10">
        <f>IF(Tank3!$C$23="No control",(SUMIF(Tank3!$B$32:$B$49,$J2170,Tank3!$C$32:$C$49)*Impacts!$F$10),0)</f>
        <v>0</v>
      </c>
      <c r="O2170" s="10">
        <f>IF(Tank4!$C$23="No control",(SUMIF(Tank4!$B$32:$B$49,$J2170,Tank4!$C$32:$C$49)*Impacts!$F$11),0)</f>
        <v>0</v>
      </c>
      <c r="P2170" s="10">
        <f>IF(Tank5!$C$23="No control",(SUMIF(Tank5!$B$32:$B$49,$J2170,Tank5!$C$32:$C$49)*Impacts!$F$12),0)</f>
        <v>0</v>
      </c>
      <c r="Q2170" s="10">
        <f>IFERROR(IF(('Loading-drum,tote'!$C$21)="No control",SUMIF(('Loading-drum,tote'!$B$31:$B$48),$J2170,('Loading-drum,tote'!$D$31:$D$48))*Impacts!$F$13,IF(('Loading-drum,tote'!$C$21)&lt;&gt;"No control",SUMIF(('Loading-drum,tote'!$B$31:$B$48),$J2170,('Loading-drum,tote'!$E$31:$E$48))*Impacts!$F$13,0)),0)</f>
        <v>0</v>
      </c>
      <c r="R2170" s="10">
        <f>IFERROR(IF(('Loading-truck'!$C$21)="No control",SUMIF(('Loading-truck'!$B$31:$B$48),$J2170,('Loading-truck'!$D$31:$D$48))*Impacts!$F$14,IF(('Loading-truck'!$C$21)&lt;&gt;"No control",SUMIF(('Loading-truck'!$B$31:$B$48),$J2170,('Loading-truck'!$E$31:$E$48))*Impacts!$F$14,0)),0)</f>
        <v>0</v>
      </c>
      <c r="S2170" s="10">
        <f>IFERROR(IF(('Loading-rail'!$C$21)="No control",SUMIF(('Loading-rail'!$B$31:$B$48),$J2170,('Loading-rail'!$D$31:$D$48))*Impacts!$F$15,IF(('Loading-rail'!$C$21)&lt;&gt;"No control",SUMIF(('Loading-rail'!$B$31:$B$48),$J2170,('Loading-rail'!$E$31:$E$48))*Impacts!$F$15,0)),0)</f>
        <v>0</v>
      </c>
      <c r="T2170" s="10">
        <f>IF(Flare!$C$7="",0,(SUMIF(Flare!$B$46:$B$185,$J2170,Flare!$E$46:$E$185)*Impacts!$F$16))</f>
        <v>0</v>
      </c>
      <c r="U2170" s="10">
        <f>IF(VCU!$C$9="",0,(SUMIF(VCU!$B$51:$B$193,$J2170,VCU!$E$51:$E$193)*Impacts!$F$17))</f>
        <v>0</v>
      </c>
      <c r="V2170" s="10">
        <f>IF(CAS!$C$7="",0,(SUMIF(CAS!$B$31:$B$167,$J2170,CAS!$E$31:$E$167)*Impacts!$F$18))</f>
        <v>0</v>
      </c>
      <c r="W2170" s="10">
        <f t="shared" si="74"/>
        <v>0</v>
      </c>
      <c r="AK2170" s="10" t="str">
        <f t="array" ref="AK2170">IFERROR(INDEX(SelectedSpecies,SMALL(IF(SelectedSpecies=AK$1,ROW(SelectedSpecies)),ROW(2171:2171)),2),"")</f>
        <v/>
      </c>
      <c r="BE2170" s="10"/>
      <c r="BI2170" s="10"/>
    </row>
    <row r="2171" spans="1:61" ht="21" customHeight="1" x14ac:dyDescent="0.25">
      <c r="A2171" s="10"/>
      <c r="B2171" s="10"/>
      <c r="E2171" s="10"/>
      <c r="G2171" s="10"/>
      <c r="I2171" s="436" t="s">
        <v>4439</v>
      </c>
      <c r="J2171" s="26" t="s">
        <v>4438</v>
      </c>
      <c r="K2171" s="10">
        <v>4.5</v>
      </c>
      <c r="L2171" s="73">
        <f>IF(Tank1!$C$23="No control",(SUMIF(Tank1!$B$32:$B$49,$J2171,Tank1!$C$32:$C$49)*Impacts!$F$8),0)</f>
        <v>0</v>
      </c>
      <c r="M2171" s="10">
        <f>IF(Tank2!$C$23="No control",(SUMIF(Tank2!$B$32:$B$49,$J2171,Tank2!$C$32:$C$49)*Impacts!$F$9),0)</f>
        <v>0</v>
      </c>
      <c r="N2171" s="10">
        <f>IF(Tank3!$C$23="No control",(SUMIF(Tank3!$B$32:$B$49,$J2171,Tank3!$C$32:$C$49)*Impacts!$F$10),0)</f>
        <v>0</v>
      </c>
      <c r="O2171" s="10">
        <f>IF(Tank4!$C$23="No control",(SUMIF(Tank4!$B$32:$B$49,$J2171,Tank4!$C$32:$C$49)*Impacts!$F$11),0)</f>
        <v>0</v>
      </c>
      <c r="P2171" s="10">
        <f>IF(Tank5!$C$23="No control",(SUMIF(Tank5!$B$32:$B$49,$J2171,Tank5!$C$32:$C$49)*Impacts!$F$12),0)</f>
        <v>0</v>
      </c>
      <c r="Q2171" s="10">
        <f>IFERROR(IF(('Loading-drum,tote'!$C$21)="No control",SUMIF(('Loading-drum,tote'!$B$31:$B$48),$J2171,('Loading-drum,tote'!$D$31:$D$48))*Impacts!$F$13,IF(('Loading-drum,tote'!$C$21)&lt;&gt;"No control",SUMIF(('Loading-drum,tote'!$B$31:$B$48),$J2171,('Loading-drum,tote'!$E$31:$E$48))*Impacts!$F$13,0)),0)</f>
        <v>0</v>
      </c>
      <c r="R2171" s="10">
        <f>IFERROR(IF(('Loading-truck'!$C$21)="No control",SUMIF(('Loading-truck'!$B$31:$B$48),$J2171,('Loading-truck'!$D$31:$D$48))*Impacts!$F$14,IF(('Loading-truck'!$C$21)&lt;&gt;"No control",SUMIF(('Loading-truck'!$B$31:$B$48),$J2171,('Loading-truck'!$E$31:$E$48))*Impacts!$F$14,0)),0)</f>
        <v>0</v>
      </c>
      <c r="S2171" s="10">
        <f>IFERROR(IF(('Loading-rail'!$C$21)="No control",SUMIF(('Loading-rail'!$B$31:$B$48),$J2171,('Loading-rail'!$D$31:$D$48))*Impacts!$F$15,IF(('Loading-rail'!$C$21)&lt;&gt;"No control",SUMIF(('Loading-rail'!$B$31:$B$48),$J2171,('Loading-rail'!$E$31:$E$48))*Impacts!$F$15,0)),0)</f>
        <v>0</v>
      </c>
      <c r="T2171" s="10">
        <f>IF(Flare!$C$7="",0,(SUMIF(Flare!$B$46:$B$185,$J2171,Flare!$E$46:$E$185)*Impacts!$F$16))</f>
        <v>0</v>
      </c>
      <c r="U2171" s="10">
        <f>IF(VCU!$C$9="",0,(SUMIF(VCU!$B$51:$B$193,$J2171,VCU!$E$51:$E$193)*Impacts!$F$17))</f>
        <v>0</v>
      </c>
      <c r="V2171" s="10">
        <f>IF(CAS!$C$7="",0,(SUMIF(CAS!$B$31:$B$167,$J2171,CAS!$E$31:$E$167)*Impacts!$F$18))</f>
        <v>0</v>
      </c>
      <c r="W2171" s="10">
        <f t="shared" si="74"/>
        <v>0</v>
      </c>
      <c r="AK2171" s="10" t="str">
        <f t="array" ref="AK2171">IFERROR(INDEX(SelectedSpecies,SMALL(IF(SelectedSpecies=AK$1,ROW(SelectedSpecies)),ROW(2172:2172)),2),"")</f>
        <v/>
      </c>
      <c r="BE2171" s="10"/>
      <c r="BI2171" s="10"/>
    </row>
    <row r="2172" spans="1:61" ht="21" customHeight="1" x14ac:dyDescent="0.25">
      <c r="A2172" s="10"/>
      <c r="B2172" s="10"/>
      <c r="E2172" s="10"/>
      <c r="G2172" s="10"/>
      <c r="I2172" s="436" t="s">
        <v>8280</v>
      </c>
      <c r="J2172" s="26" t="s">
        <v>8279</v>
      </c>
      <c r="K2172" s="10">
        <v>3.0000000000000001E-3</v>
      </c>
      <c r="L2172" s="73">
        <f>IF(Tank1!$C$23="No control",(SUMIF(Tank1!$B$32:$B$49,$J2172,Tank1!$C$32:$C$49)*Impacts!$F$8),0)</f>
        <v>0</v>
      </c>
      <c r="M2172" s="10">
        <f>IF(Tank2!$C$23="No control",(SUMIF(Tank2!$B$32:$B$49,$J2172,Tank2!$C$32:$C$49)*Impacts!$F$9),0)</f>
        <v>0</v>
      </c>
      <c r="N2172" s="10">
        <f>IF(Tank3!$C$23="No control",(SUMIF(Tank3!$B$32:$B$49,$J2172,Tank3!$C$32:$C$49)*Impacts!$F$10),0)</f>
        <v>0</v>
      </c>
      <c r="O2172" s="10">
        <f>IF(Tank4!$C$23="No control",(SUMIF(Tank4!$B$32:$B$49,$J2172,Tank4!$C$32:$C$49)*Impacts!$F$11),0)</f>
        <v>0</v>
      </c>
      <c r="P2172" s="10">
        <f>IF(Tank5!$C$23="No control",(SUMIF(Tank5!$B$32:$B$49,$J2172,Tank5!$C$32:$C$49)*Impacts!$F$12),0)</f>
        <v>0</v>
      </c>
      <c r="Q2172" s="10">
        <f>IFERROR(IF(('Loading-drum,tote'!$C$21)="No control",SUMIF(('Loading-drum,tote'!$B$31:$B$48),$J2172,('Loading-drum,tote'!$D$31:$D$48))*Impacts!$F$13,IF(('Loading-drum,tote'!$C$21)&lt;&gt;"No control",SUMIF(('Loading-drum,tote'!$B$31:$B$48),$J2172,('Loading-drum,tote'!$E$31:$E$48))*Impacts!$F$13,0)),0)</f>
        <v>0</v>
      </c>
      <c r="R2172" s="10">
        <f>IFERROR(IF(('Loading-truck'!$C$21)="No control",SUMIF(('Loading-truck'!$B$31:$B$48),$J2172,('Loading-truck'!$D$31:$D$48))*Impacts!$F$14,IF(('Loading-truck'!$C$21)&lt;&gt;"No control",SUMIF(('Loading-truck'!$B$31:$B$48),$J2172,('Loading-truck'!$E$31:$E$48))*Impacts!$F$14,0)),0)</f>
        <v>0</v>
      </c>
      <c r="S2172" s="10">
        <f>IFERROR(IF(('Loading-rail'!$C$21)="No control",SUMIF(('Loading-rail'!$B$31:$B$48),$J2172,('Loading-rail'!$D$31:$D$48))*Impacts!$F$15,IF(('Loading-rail'!$C$21)&lt;&gt;"No control",SUMIF(('Loading-rail'!$B$31:$B$48),$J2172,('Loading-rail'!$E$31:$E$48))*Impacts!$F$15,0)),0)</f>
        <v>0</v>
      </c>
      <c r="T2172" s="10">
        <f>IF(Flare!$C$7="",0,(SUMIF(Flare!$B$46:$B$185,$J2172,Flare!$E$46:$E$185)*Impacts!$F$16))</f>
        <v>0</v>
      </c>
      <c r="U2172" s="10">
        <f>IF(VCU!$C$9="",0,(SUMIF(VCU!$B$51:$B$193,$J2172,VCU!$E$51:$E$193)*Impacts!$F$17))</f>
        <v>0</v>
      </c>
      <c r="V2172" s="10">
        <f>IF(CAS!$C$7="",0,(SUMIF(CAS!$B$31:$B$167,$J2172,CAS!$E$31:$E$167)*Impacts!$F$18))</f>
        <v>0</v>
      </c>
      <c r="W2172" s="10">
        <f t="shared" si="74"/>
        <v>0</v>
      </c>
      <c r="AK2172" s="10" t="str">
        <f t="array" ref="AK2172">IFERROR(INDEX(SelectedSpecies,SMALL(IF(SelectedSpecies=AK$1,ROW(SelectedSpecies)),ROW(2173:2173)),2),"")</f>
        <v/>
      </c>
      <c r="BE2172" s="10"/>
      <c r="BI2172" s="10"/>
    </row>
    <row r="2173" spans="1:61" ht="21" customHeight="1" x14ac:dyDescent="0.25">
      <c r="A2173" s="10"/>
      <c r="B2173" s="10"/>
      <c r="E2173" s="10"/>
      <c r="G2173" s="10"/>
      <c r="I2173" s="436" t="s">
        <v>5441</v>
      </c>
      <c r="J2173" s="26" t="s">
        <v>5440</v>
      </c>
      <c r="K2173" s="10">
        <v>1.4000000000000001</v>
      </c>
      <c r="L2173" s="73">
        <f>IF(Tank1!$C$23="No control",(SUMIF(Tank1!$B$32:$B$49,$J2173,Tank1!$C$32:$C$49)*Impacts!$F$8),0)</f>
        <v>0</v>
      </c>
      <c r="M2173" s="10">
        <f>IF(Tank2!$C$23="No control",(SUMIF(Tank2!$B$32:$B$49,$J2173,Tank2!$C$32:$C$49)*Impacts!$F$9),0)</f>
        <v>0</v>
      </c>
      <c r="N2173" s="10">
        <f>IF(Tank3!$C$23="No control",(SUMIF(Tank3!$B$32:$B$49,$J2173,Tank3!$C$32:$C$49)*Impacts!$F$10),0)</f>
        <v>0</v>
      </c>
      <c r="O2173" s="10">
        <f>IF(Tank4!$C$23="No control",(SUMIF(Tank4!$B$32:$B$49,$J2173,Tank4!$C$32:$C$49)*Impacts!$F$11),0)</f>
        <v>0</v>
      </c>
      <c r="P2173" s="10">
        <f>IF(Tank5!$C$23="No control",(SUMIF(Tank5!$B$32:$B$49,$J2173,Tank5!$C$32:$C$49)*Impacts!$F$12),0)</f>
        <v>0</v>
      </c>
      <c r="Q2173" s="10">
        <f>IFERROR(IF(('Loading-drum,tote'!$C$21)="No control",SUMIF(('Loading-drum,tote'!$B$31:$B$48),$J2173,('Loading-drum,tote'!$D$31:$D$48))*Impacts!$F$13,IF(('Loading-drum,tote'!$C$21)&lt;&gt;"No control",SUMIF(('Loading-drum,tote'!$B$31:$B$48),$J2173,('Loading-drum,tote'!$E$31:$E$48))*Impacts!$F$13,0)),0)</f>
        <v>0</v>
      </c>
      <c r="R2173" s="10">
        <f>IFERROR(IF(('Loading-truck'!$C$21)="No control",SUMIF(('Loading-truck'!$B$31:$B$48),$J2173,('Loading-truck'!$D$31:$D$48))*Impacts!$F$14,IF(('Loading-truck'!$C$21)&lt;&gt;"No control",SUMIF(('Loading-truck'!$B$31:$B$48),$J2173,('Loading-truck'!$E$31:$E$48))*Impacts!$F$14,0)),0)</f>
        <v>0</v>
      </c>
      <c r="S2173" s="10">
        <f>IFERROR(IF(('Loading-rail'!$C$21)="No control",SUMIF(('Loading-rail'!$B$31:$B$48),$J2173,('Loading-rail'!$D$31:$D$48))*Impacts!$F$15,IF(('Loading-rail'!$C$21)&lt;&gt;"No control",SUMIF(('Loading-rail'!$B$31:$B$48),$J2173,('Loading-rail'!$E$31:$E$48))*Impacts!$F$15,0)),0)</f>
        <v>0</v>
      </c>
      <c r="T2173" s="10">
        <f>IF(Flare!$C$7="",0,(SUMIF(Flare!$B$46:$B$185,$J2173,Flare!$E$46:$E$185)*Impacts!$F$16))</f>
        <v>0</v>
      </c>
      <c r="U2173" s="10">
        <f>IF(VCU!$C$9="",0,(SUMIF(VCU!$B$51:$B$193,$J2173,VCU!$E$51:$E$193)*Impacts!$F$17))</f>
        <v>0</v>
      </c>
      <c r="V2173" s="10">
        <f>IF(CAS!$C$7="",0,(SUMIF(CAS!$B$31:$B$167,$J2173,CAS!$E$31:$E$167)*Impacts!$F$18))</f>
        <v>0</v>
      </c>
      <c r="W2173" s="10">
        <f t="shared" si="74"/>
        <v>0</v>
      </c>
      <c r="AK2173" s="10" t="str">
        <f t="array" ref="AK2173">IFERROR(INDEX(SelectedSpecies,SMALL(IF(SelectedSpecies=AK$1,ROW(SelectedSpecies)),ROW(2174:2174)),2),"")</f>
        <v/>
      </c>
      <c r="BE2173" s="10"/>
      <c r="BI2173" s="10"/>
    </row>
    <row r="2174" spans="1:61" ht="21" customHeight="1" x14ac:dyDescent="0.25">
      <c r="A2174" s="10"/>
      <c r="B2174" s="10"/>
      <c r="E2174" s="10"/>
      <c r="G2174" s="10"/>
      <c r="I2174" s="436" t="s">
        <v>8062</v>
      </c>
      <c r="J2174" s="26" t="s">
        <v>8061</v>
      </c>
      <c r="K2174" s="10">
        <v>2.0000000000000004E-2</v>
      </c>
      <c r="L2174" s="73">
        <f>IF(Tank1!$C$23="No control",(SUMIF(Tank1!$B$32:$B$49,$J2174,Tank1!$C$32:$C$49)*Impacts!$F$8),0)</f>
        <v>0</v>
      </c>
      <c r="M2174" s="10">
        <f>IF(Tank2!$C$23="No control",(SUMIF(Tank2!$B$32:$B$49,$J2174,Tank2!$C$32:$C$49)*Impacts!$F$9),0)</f>
        <v>0</v>
      </c>
      <c r="N2174" s="10">
        <f>IF(Tank3!$C$23="No control",(SUMIF(Tank3!$B$32:$B$49,$J2174,Tank3!$C$32:$C$49)*Impacts!$F$10),0)</f>
        <v>0</v>
      </c>
      <c r="O2174" s="10">
        <f>IF(Tank4!$C$23="No control",(SUMIF(Tank4!$B$32:$B$49,$J2174,Tank4!$C$32:$C$49)*Impacts!$F$11),0)</f>
        <v>0</v>
      </c>
      <c r="P2174" s="10">
        <f>IF(Tank5!$C$23="No control",(SUMIF(Tank5!$B$32:$B$49,$J2174,Tank5!$C$32:$C$49)*Impacts!$F$12),0)</f>
        <v>0</v>
      </c>
      <c r="Q2174" s="10">
        <f>IFERROR(IF(('Loading-drum,tote'!$C$21)="No control",SUMIF(('Loading-drum,tote'!$B$31:$B$48),$J2174,('Loading-drum,tote'!$D$31:$D$48))*Impacts!$F$13,IF(('Loading-drum,tote'!$C$21)&lt;&gt;"No control",SUMIF(('Loading-drum,tote'!$B$31:$B$48),$J2174,('Loading-drum,tote'!$E$31:$E$48))*Impacts!$F$13,0)),0)</f>
        <v>0</v>
      </c>
      <c r="R2174" s="10">
        <f>IFERROR(IF(('Loading-truck'!$C$21)="No control",SUMIF(('Loading-truck'!$B$31:$B$48),$J2174,('Loading-truck'!$D$31:$D$48))*Impacts!$F$14,IF(('Loading-truck'!$C$21)&lt;&gt;"No control",SUMIF(('Loading-truck'!$B$31:$B$48),$J2174,('Loading-truck'!$E$31:$E$48))*Impacts!$F$14,0)),0)</f>
        <v>0</v>
      </c>
      <c r="S2174" s="10">
        <f>IFERROR(IF(('Loading-rail'!$C$21)="No control",SUMIF(('Loading-rail'!$B$31:$B$48),$J2174,('Loading-rail'!$D$31:$D$48))*Impacts!$F$15,IF(('Loading-rail'!$C$21)&lt;&gt;"No control",SUMIF(('Loading-rail'!$B$31:$B$48),$J2174,('Loading-rail'!$E$31:$E$48))*Impacts!$F$15,0)),0)</f>
        <v>0</v>
      </c>
      <c r="T2174" s="10">
        <f>IF(Flare!$C$7="",0,(SUMIF(Flare!$B$46:$B$185,$J2174,Flare!$E$46:$E$185)*Impacts!$F$16))</f>
        <v>0</v>
      </c>
      <c r="U2174" s="10">
        <f>IF(VCU!$C$9="",0,(SUMIF(VCU!$B$51:$B$193,$J2174,VCU!$E$51:$E$193)*Impacts!$F$17))</f>
        <v>0</v>
      </c>
      <c r="V2174" s="10">
        <f>IF(CAS!$C$7="",0,(SUMIF(CAS!$B$31:$B$167,$J2174,CAS!$E$31:$E$167)*Impacts!$F$18))</f>
        <v>0</v>
      </c>
      <c r="W2174" s="10">
        <f t="shared" si="74"/>
        <v>0</v>
      </c>
      <c r="AK2174" s="10" t="str">
        <f t="array" ref="AK2174">IFERROR(INDEX(SelectedSpecies,SMALL(IF(SelectedSpecies=AK$1,ROW(SelectedSpecies)),ROW(2175:2175)),2),"")</f>
        <v/>
      </c>
      <c r="BE2174" s="10"/>
      <c r="BI2174" s="10"/>
    </row>
    <row r="2175" spans="1:61" ht="21" customHeight="1" x14ac:dyDescent="0.25">
      <c r="A2175" s="10"/>
      <c r="B2175" s="10"/>
      <c r="E2175" s="10"/>
      <c r="G2175" s="10"/>
      <c r="I2175" s="436" t="s">
        <v>8312</v>
      </c>
      <c r="J2175" s="26" t="s">
        <v>8311</v>
      </c>
      <c r="K2175" s="10">
        <v>1E-3</v>
      </c>
      <c r="L2175" s="73">
        <f>IF(Tank1!$C$23="No control",(SUMIF(Tank1!$B$32:$B$49,$J2175,Tank1!$C$32:$C$49)*Impacts!$F$8),0)</f>
        <v>0</v>
      </c>
      <c r="M2175" s="10">
        <f>IF(Tank2!$C$23="No control",(SUMIF(Tank2!$B$32:$B$49,$J2175,Tank2!$C$32:$C$49)*Impacts!$F$9),0)</f>
        <v>0</v>
      </c>
      <c r="N2175" s="10">
        <f>IF(Tank3!$C$23="No control",(SUMIF(Tank3!$B$32:$B$49,$J2175,Tank3!$C$32:$C$49)*Impacts!$F$10),0)</f>
        <v>0</v>
      </c>
      <c r="O2175" s="10">
        <f>IF(Tank4!$C$23="No control",(SUMIF(Tank4!$B$32:$B$49,$J2175,Tank4!$C$32:$C$49)*Impacts!$F$11),0)</f>
        <v>0</v>
      </c>
      <c r="P2175" s="10">
        <f>IF(Tank5!$C$23="No control",(SUMIF(Tank5!$B$32:$B$49,$J2175,Tank5!$C$32:$C$49)*Impacts!$F$12),0)</f>
        <v>0</v>
      </c>
      <c r="Q2175" s="10">
        <f>IFERROR(IF(('Loading-drum,tote'!$C$21)="No control",SUMIF(('Loading-drum,tote'!$B$31:$B$48),$J2175,('Loading-drum,tote'!$D$31:$D$48))*Impacts!$F$13,IF(('Loading-drum,tote'!$C$21)&lt;&gt;"No control",SUMIF(('Loading-drum,tote'!$B$31:$B$48),$J2175,('Loading-drum,tote'!$E$31:$E$48))*Impacts!$F$13,0)),0)</f>
        <v>0</v>
      </c>
      <c r="R2175" s="10">
        <f>IFERROR(IF(('Loading-truck'!$C$21)="No control",SUMIF(('Loading-truck'!$B$31:$B$48),$J2175,('Loading-truck'!$D$31:$D$48))*Impacts!$F$14,IF(('Loading-truck'!$C$21)&lt;&gt;"No control",SUMIF(('Loading-truck'!$B$31:$B$48),$J2175,('Loading-truck'!$E$31:$E$48))*Impacts!$F$14,0)),0)</f>
        <v>0</v>
      </c>
      <c r="S2175" s="10">
        <f>IFERROR(IF(('Loading-rail'!$C$21)="No control",SUMIF(('Loading-rail'!$B$31:$B$48),$J2175,('Loading-rail'!$D$31:$D$48))*Impacts!$F$15,IF(('Loading-rail'!$C$21)&lt;&gt;"No control",SUMIF(('Loading-rail'!$B$31:$B$48),$J2175,('Loading-rail'!$E$31:$E$48))*Impacts!$F$15,0)),0)</f>
        <v>0</v>
      </c>
      <c r="T2175" s="10">
        <f>IF(Flare!$C$7="",0,(SUMIF(Flare!$B$46:$B$185,$J2175,Flare!$E$46:$E$185)*Impacts!$F$16))</f>
        <v>0</v>
      </c>
      <c r="U2175" s="10">
        <f>IF(VCU!$C$9="",0,(SUMIF(VCU!$B$51:$B$193,$J2175,VCU!$E$51:$E$193)*Impacts!$F$17))</f>
        <v>0</v>
      </c>
      <c r="V2175" s="10">
        <f>IF(CAS!$C$7="",0,(SUMIF(CAS!$B$31:$B$167,$J2175,CAS!$E$31:$E$167)*Impacts!$F$18))</f>
        <v>0</v>
      </c>
      <c r="W2175" s="10">
        <f t="shared" si="74"/>
        <v>0</v>
      </c>
      <c r="AK2175" s="10" t="str">
        <f t="array" ref="AK2175">IFERROR(INDEX(SelectedSpecies,SMALL(IF(SelectedSpecies=AK$1,ROW(SelectedSpecies)),ROW(2176:2176)),2),"")</f>
        <v/>
      </c>
      <c r="BE2175" s="10"/>
      <c r="BI2175" s="10"/>
    </row>
    <row r="2176" spans="1:61" ht="21" customHeight="1" x14ac:dyDescent="0.25">
      <c r="A2176" s="10"/>
      <c r="B2176" s="10"/>
      <c r="E2176" s="10"/>
      <c r="G2176" s="10"/>
      <c r="I2176" s="436" t="s">
        <v>6536</v>
      </c>
      <c r="J2176" s="26" t="s">
        <v>6535</v>
      </c>
      <c r="K2176" s="10">
        <v>0.70000000000000007</v>
      </c>
      <c r="L2176" s="73">
        <f>IF(Tank1!$C$23="No control",(SUMIF(Tank1!$B$32:$B$49,$J2176,Tank1!$C$32:$C$49)*Impacts!$F$8),0)</f>
        <v>0</v>
      </c>
      <c r="M2176" s="10">
        <f>IF(Tank2!$C$23="No control",(SUMIF(Tank2!$B$32:$B$49,$J2176,Tank2!$C$32:$C$49)*Impacts!$F$9),0)</f>
        <v>0</v>
      </c>
      <c r="N2176" s="10">
        <f>IF(Tank3!$C$23="No control",(SUMIF(Tank3!$B$32:$B$49,$J2176,Tank3!$C$32:$C$49)*Impacts!$F$10),0)</f>
        <v>0</v>
      </c>
      <c r="O2176" s="10">
        <f>IF(Tank4!$C$23="No control",(SUMIF(Tank4!$B$32:$B$49,$J2176,Tank4!$C$32:$C$49)*Impacts!$F$11),0)</f>
        <v>0</v>
      </c>
      <c r="P2176" s="10">
        <f>IF(Tank5!$C$23="No control",(SUMIF(Tank5!$B$32:$B$49,$J2176,Tank5!$C$32:$C$49)*Impacts!$F$12),0)</f>
        <v>0</v>
      </c>
      <c r="Q2176" s="10">
        <f>IFERROR(IF(('Loading-drum,tote'!$C$21)="No control",SUMIF(('Loading-drum,tote'!$B$31:$B$48),$J2176,('Loading-drum,tote'!$D$31:$D$48))*Impacts!$F$13,IF(('Loading-drum,tote'!$C$21)&lt;&gt;"No control",SUMIF(('Loading-drum,tote'!$B$31:$B$48),$J2176,('Loading-drum,tote'!$E$31:$E$48))*Impacts!$F$13,0)),0)</f>
        <v>0</v>
      </c>
      <c r="R2176" s="10">
        <f>IFERROR(IF(('Loading-truck'!$C$21)="No control",SUMIF(('Loading-truck'!$B$31:$B$48),$J2176,('Loading-truck'!$D$31:$D$48))*Impacts!$F$14,IF(('Loading-truck'!$C$21)&lt;&gt;"No control",SUMIF(('Loading-truck'!$B$31:$B$48),$J2176,('Loading-truck'!$E$31:$E$48))*Impacts!$F$14,0)),0)</f>
        <v>0</v>
      </c>
      <c r="S2176" s="10">
        <f>IFERROR(IF(('Loading-rail'!$C$21)="No control",SUMIF(('Loading-rail'!$B$31:$B$48),$J2176,('Loading-rail'!$D$31:$D$48))*Impacts!$F$15,IF(('Loading-rail'!$C$21)&lt;&gt;"No control",SUMIF(('Loading-rail'!$B$31:$B$48),$J2176,('Loading-rail'!$E$31:$E$48))*Impacts!$F$15,0)),0)</f>
        <v>0</v>
      </c>
      <c r="T2176" s="10">
        <f>IF(Flare!$C$7="",0,(SUMIF(Flare!$B$46:$B$185,$J2176,Flare!$E$46:$E$185)*Impacts!$F$16))</f>
        <v>0</v>
      </c>
      <c r="U2176" s="10">
        <f>IF(VCU!$C$9="",0,(SUMIF(VCU!$B$51:$B$193,$J2176,VCU!$E$51:$E$193)*Impacts!$F$17))</f>
        <v>0</v>
      </c>
      <c r="V2176" s="10">
        <f>IF(CAS!$C$7="",0,(SUMIF(CAS!$B$31:$B$167,$J2176,CAS!$E$31:$E$167)*Impacts!$F$18))</f>
        <v>0</v>
      </c>
      <c r="W2176" s="10">
        <f t="shared" si="74"/>
        <v>0</v>
      </c>
      <c r="AK2176" s="10" t="str">
        <f t="array" ref="AK2176">IFERROR(INDEX(SelectedSpecies,SMALL(IF(SelectedSpecies=AK$1,ROW(SelectedSpecies)),ROW(2177:2177)),2),"")</f>
        <v/>
      </c>
      <c r="BE2176" s="10"/>
      <c r="BI2176" s="10"/>
    </row>
    <row r="2177" spans="1:61" ht="21" customHeight="1" x14ac:dyDescent="0.25">
      <c r="A2177" s="10"/>
      <c r="B2177" s="10"/>
      <c r="E2177" s="10"/>
      <c r="G2177" s="10"/>
      <c r="I2177" s="436" t="s">
        <v>1508</v>
      </c>
      <c r="J2177" s="26" t="s">
        <v>1507</v>
      </c>
      <c r="K2177" s="10">
        <v>27.5</v>
      </c>
      <c r="L2177" s="73">
        <f>IF(Tank1!$C$23="No control",(SUMIF(Tank1!$B$32:$B$49,$J2177,Tank1!$C$32:$C$49)*Impacts!$F$8),0)</f>
        <v>0</v>
      </c>
      <c r="M2177" s="10">
        <f>IF(Tank2!$C$23="No control",(SUMIF(Tank2!$B$32:$B$49,$J2177,Tank2!$C$32:$C$49)*Impacts!$F$9),0)</f>
        <v>0</v>
      </c>
      <c r="N2177" s="10">
        <f>IF(Tank3!$C$23="No control",(SUMIF(Tank3!$B$32:$B$49,$J2177,Tank3!$C$32:$C$49)*Impacts!$F$10),0)</f>
        <v>0</v>
      </c>
      <c r="O2177" s="10">
        <f>IF(Tank4!$C$23="No control",(SUMIF(Tank4!$B$32:$B$49,$J2177,Tank4!$C$32:$C$49)*Impacts!$F$11),0)</f>
        <v>0</v>
      </c>
      <c r="P2177" s="10">
        <f>IF(Tank5!$C$23="No control",(SUMIF(Tank5!$B$32:$B$49,$J2177,Tank5!$C$32:$C$49)*Impacts!$F$12),0)</f>
        <v>0</v>
      </c>
      <c r="Q2177" s="10">
        <f>IFERROR(IF(('Loading-drum,tote'!$C$21)="No control",SUMIF(('Loading-drum,tote'!$B$31:$B$48),$J2177,('Loading-drum,tote'!$D$31:$D$48))*Impacts!$F$13,IF(('Loading-drum,tote'!$C$21)&lt;&gt;"No control",SUMIF(('Loading-drum,tote'!$B$31:$B$48),$J2177,('Loading-drum,tote'!$E$31:$E$48))*Impacts!$F$13,0)),0)</f>
        <v>0</v>
      </c>
      <c r="R2177" s="10">
        <f>IFERROR(IF(('Loading-truck'!$C$21)="No control",SUMIF(('Loading-truck'!$B$31:$B$48),$J2177,('Loading-truck'!$D$31:$D$48))*Impacts!$F$14,IF(('Loading-truck'!$C$21)&lt;&gt;"No control",SUMIF(('Loading-truck'!$B$31:$B$48),$J2177,('Loading-truck'!$E$31:$E$48))*Impacts!$F$14,0)),0)</f>
        <v>0</v>
      </c>
      <c r="S2177" s="10">
        <f>IFERROR(IF(('Loading-rail'!$C$21)="No control",SUMIF(('Loading-rail'!$B$31:$B$48),$J2177,('Loading-rail'!$D$31:$D$48))*Impacts!$F$15,IF(('Loading-rail'!$C$21)&lt;&gt;"No control",SUMIF(('Loading-rail'!$B$31:$B$48),$J2177,('Loading-rail'!$E$31:$E$48))*Impacts!$F$15,0)),0)</f>
        <v>0</v>
      </c>
      <c r="T2177" s="10">
        <f>IF(Flare!$C$7="",0,(SUMIF(Flare!$B$46:$B$185,$J2177,Flare!$E$46:$E$185)*Impacts!$F$16))</f>
        <v>0</v>
      </c>
      <c r="U2177" s="10">
        <f>IF(VCU!$C$9="",0,(SUMIF(VCU!$B$51:$B$193,$J2177,VCU!$E$51:$E$193)*Impacts!$F$17))</f>
        <v>0</v>
      </c>
      <c r="V2177" s="10">
        <f>IF(CAS!$C$7="",0,(SUMIF(CAS!$B$31:$B$167,$J2177,CAS!$E$31:$E$167)*Impacts!$F$18))</f>
        <v>0</v>
      </c>
      <c r="W2177" s="10">
        <f t="shared" si="74"/>
        <v>0</v>
      </c>
      <c r="AK2177" s="10" t="str">
        <f t="array" ref="AK2177">IFERROR(INDEX(SelectedSpecies,SMALL(IF(SelectedSpecies=AK$1,ROW(SelectedSpecies)),ROW(2178:2178)),2),"")</f>
        <v/>
      </c>
      <c r="BE2177" s="10"/>
      <c r="BI2177" s="10"/>
    </row>
    <row r="2178" spans="1:61" ht="21" customHeight="1" x14ac:dyDescent="0.25">
      <c r="A2178" s="10"/>
      <c r="B2178" s="10"/>
      <c r="E2178" s="10"/>
      <c r="G2178" s="10"/>
      <c r="I2178" s="436" t="s">
        <v>4817</v>
      </c>
      <c r="J2178" s="26" t="s">
        <v>4816</v>
      </c>
      <c r="K2178" s="10">
        <v>3</v>
      </c>
      <c r="L2178" s="73">
        <f>IF(Tank1!$C$23="No control",(SUMIF(Tank1!$B$32:$B$49,$J2178,Tank1!$C$32:$C$49)*Impacts!$F$8),0)</f>
        <v>0</v>
      </c>
      <c r="M2178" s="10">
        <f>IF(Tank2!$C$23="No control",(SUMIF(Tank2!$B$32:$B$49,$J2178,Tank2!$C$32:$C$49)*Impacts!$F$9),0)</f>
        <v>0</v>
      </c>
      <c r="N2178" s="10">
        <f>IF(Tank3!$C$23="No control",(SUMIF(Tank3!$B$32:$B$49,$J2178,Tank3!$C$32:$C$49)*Impacts!$F$10),0)</f>
        <v>0</v>
      </c>
      <c r="O2178" s="10">
        <f>IF(Tank4!$C$23="No control",(SUMIF(Tank4!$B$32:$B$49,$J2178,Tank4!$C$32:$C$49)*Impacts!$F$11),0)</f>
        <v>0</v>
      </c>
      <c r="P2178" s="10">
        <f>IF(Tank5!$C$23="No control",(SUMIF(Tank5!$B$32:$B$49,$J2178,Tank5!$C$32:$C$49)*Impacts!$F$12),0)</f>
        <v>0</v>
      </c>
      <c r="Q2178" s="10">
        <f>IFERROR(IF(('Loading-drum,tote'!$C$21)="No control",SUMIF(('Loading-drum,tote'!$B$31:$B$48),$J2178,('Loading-drum,tote'!$D$31:$D$48))*Impacts!$F$13,IF(('Loading-drum,tote'!$C$21)&lt;&gt;"No control",SUMIF(('Loading-drum,tote'!$B$31:$B$48),$J2178,('Loading-drum,tote'!$E$31:$E$48))*Impacts!$F$13,0)),0)</f>
        <v>0</v>
      </c>
      <c r="R2178" s="10">
        <f>IFERROR(IF(('Loading-truck'!$C$21)="No control",SUMIF(('Loading-truck'!$B$31:$B$48),$J2178,('Loading-truck'!$D$31:$D$48))*Impacts!$F$14,IF(('Loading-truck'!$C$21)&lt;&gt;"No control",SUMIF(('Loading-truck'!$B$31:$B$48),$J2178,('Loading-truck'!$E$31:$E$48))*Impacts!$F$14,0)),0)</f>
        <v>0</v>
      </c>
      <c r="S2178" s="10">
        <f>IFERROR(IF(('Loading-rail'!$C$21)="No control",SUMIF(('Loading-rail'!$B$31:$B$48),$J2178,('Loading-rail'!$D$31:$D$48))*Impacts!$F$15,IF(('Loading-rail'!$C$21)&lt;&gt;"No control",SUMIF(('Loading-rail'!$B$31:$B$48),$J2178,('Loading-rail'!$E$31:$E$48))*Impacts!$F$15,0)),0)</f>
        <v>0</v>
      </c>
      <c r="T2178" s="10">
        <f>IF(Flare!$C$7="",0,(SUMIF(Flare!$B$46:$B$185,$J2178,Flare!$E$46:$E$185)*Impacts!$F$16))</f>
        <v>0</v>
      </c>
      <c r="U2178" s="10">
        <f>IF(VCU!$C$9="",0,(SUMIF(VCU!$B$51:$B$193,$J2178,VCU!$E$51:$E$193)*Impacts!$F$17))</f>
        <v>0</v>
      </c>
      <c r="V2178" s="10">
        <f>IF(CAS!$C$7="",0,(SUMIF(CAS!$B$31:$B$167,$J2178,CAS!$E$31:$E$167)*Impacts!$F$18))</f>
        <v>0</v>
      </c>
      <c r="W2178" s="10">
        <f t="shared" si="74"/>
        <v>0</v>
      </c>
      <c r="AK2178" s="10" t="str">
        <f t="array" ref="AK2178">IFERROR(INDEX(SelectedSpecies,SMALL(IF(SelectedSpecies=AK$1,ROW(SelectedSpecies)),ROW(2179:2179)),2),"")</f>
        <v/>
      </c>
      <c r="BE2178" s="10"/>
      <c r="BI2178" s="10"/>
    </row>
    <row r="2179" spans="1:61" ht="21" customHeight="1" x14ac:dyDescent="0.25">
      <c r="A2179" s="10"/>
      <c r="B2179" s="10"/>
      <c r="E2179" s="10"/>
      <c r="G2179" s="10"/>
      <c r="I2179" s="436" t="s">
        <v>5113</v>
      </c>
      <c r="J2179" s="26" t="s">
        <v>5112</v>
      </c>
      <c r="K2179" s="10">
        <v>2.1</v>
      </c>
      <c r="L2179" s="73">
        <f>IF(Tank1!$C$23="No control",(SUMIF(Tank1!$B$32:$B$49,$J2179,Tank1!$C$32:$C$49)*Impacts!$F$8),0)</f>
        <v>0</v>
      </c>
      <c r="M2179" s="10">
        <f>IF(Tank2!$C$23="No control",(SUMIF(Tank2!$B$32:$B$49,$J2179,Tank2!$C$32:$C$49)*Impacts!$F$9),0)</f>
        <v>0</v>
      </c>
      <c r="N2179" s="10">
        <f>IF(Tank3!$C$23="No control",(SUMIF(Tank3!$B$32:$B$49,$J2179,Tank3!$C$32:$C$49)*Impacts!$F$10),0)</f>
        <v>0</v>
      </c>
      <c r="O2179" s="10">
        <f>IF(Tank4!$C$23="No control",(SUMIF(Tank4!$B$32:$B$49,$J2179,Tank4!$C$32:$C$49)*Impacts!$F$11),0)</f>
        <v>0</v>
      </c>
      <c r="P2179" s="10">
        <f>IF(Tank5!$C$23="No control",(SUMIF(Tank5!$B$32:$B$49,$J2179,Tank5!$C$32:$C$49)*Impacts!$F$12),0)</f>
        <v>0</v>
      </c>
      <c r="Q2179" s="10">
        <f>IFERROR(IF(('Loading-drum,tote'!$C$21)="No control",SUMIF(('Loading-drum,tote'!$B$31:$B$48),$J2179,('Loading-drum,tote'!$D$31:$D$48))*Impacts!$F$13,IF(('Loading-drum,tote'!$C$21)&lt;&gt;"No control",SUMIF(('Loading-drum,tote'!$B$31:$B$48),$J2179,('Loading-drum,tote'!$E$31:$E$48))*Impacts!$F$13,0)),0)</f>
        <v>0</v>
      </c>
      <c r="R2179" s="10">
        <f>IFERROR(IF(('Loading-truck'!$C$21)="No control",SUMIF(('Loading-truck'!$B$31:$B$48),$J2179,('Loading-truck'!$D$31:$D$48))*Impacts!$F$14,IF(('Loading-truck'!$C$21)&lt;&gt;"No control",SUMIF(('Loading-truck'!$B$31:$B$48),$J2179,('Loading-truck'!$E$31:$E$48))*Impacts!$F$14,0)),0)</f>
        <v>0</v>
      </c>
      <c r="S2179" s="10">
        <f>IFERROR(IF(('Loading-rail'!$C$21)="No control",SUMIF(('Loading-rail'!$B$31:$B$48),$J2179,('Loading-rail'!$D$31:$D$48))*Impacts!$F$15,IF(('Loading-rail'!$C$21)&lt;&gt;"No control",SUMIF(('Loading-rail'!$B$31:$B$48),$J2179,('Loading-rail'!$E$31:$E$48))*Impacts!$F$15,0)),0)</f>
        <v>0</v>
      </c>
      <c r="T2179" s="10">
        <f>IF(Flare!$C$7="",0,(SUMIF(Flare!$B$46:$B$185,$J2179,Flare!$E$46:$E$185)*Impacts!$F$16))</f>
        <v>0</v>
      </c>
      <c r="U2179" s="10">
        <f>IF(VCU!$C$9="",0,(SUMIF(VCU!$B$51:$B$193,$J2179,VCU!$E$51:$E$193)*Impacts!$F$17))</f>
        <v>0</v>
      </c>
      <c r="V2179" s="10">
        <f>IF(CAS!$C$7="",0,(SUMIF(CAS!$B$31:$B$167,$J2179,CAS!$E$31:$E$167)*Impacts!$F$18))</f>
        <v>0</v>
      </c>
      <c r="W2179" s="10">
        <f t="shared" si="74"/>
        <v>0</v>
      </c>
      <c r="AK2179" s="10" t="str">
        <f t="array" ref="AK2179">IFERROR(INDEX(SelectedSpecies,SMALL(IF(SelectedSpecies=AK$1,ROW(SelectedSpecies)),ROW(2180:2180)),2),"")</f>
        <v/>
      </c>
      <c r="BE2179" s="10"/>
      <c r="BI2179" s="10"/>
    </row>
    <row r="2180" spans="1:61" ht="21" customHeight="1" x14ac:dyDescent="0.25">
      <c r="A2180" s="10"/>
      <c r="B2180" s="10"/>
      <c r="E2180" s="10"/>
      <c r="G2180" s="10"/>
      <c r="I2180" s="436" t="s">
        <v>2925</v>
      </c>
      <c r="J2180" s="26" t="s">
        <v>2924</v>
      </c>
      <c r="K2180" s="10">
        <v>10</v>
      </c>
      <c r="L2180" s="73">
        <f>IF(Tank1!$C$23="No control",(SUMIF(Tank1!$B$32:$B$49,$J2180,Tank1!$C$32:$C$49)*Impacts!$F$8),0)</f>
        <v>0</v>
      </c>
      <c r="M2180" s="10">
        <f>IF(Tank2!$C$23="No control",(SUMIF(Tank2!$B$32:$B$49,$J2180,Tank2!$C$32:$C$49)*Impacts!$F$9),0)</f>
        <v>0</v>
      </c>
      <c r="N2180" s="10">
        <f>IF(Tank3!$C$23="No control",(SUMIF(Tank3!$B$32:$B$49,$J2180,Tank3!$C$32:$C$49)*Impacts!$F$10),0)</f>
        <v>0</v>
      </c>
      <c r="O2180" s="10">
        <f>IF(Tank4!$C$23="No control",(SUMIF(Tank4!$B$32:$B$49,$J2180,Tank4!$C$32:$C$49)*Impacts!$F$11),0)</f>
        <v>0</v>
      </c>
      <c r="P2180" s="10">
        <f>IF(Tank5!$C$23="No control",(SUMIF(Tank5!$B$32:$B$49,$J2180,Tank5!$C$32:$C$49)*Impacts!$F$12),0)</f>
        <v>0</v>
      </c>
      <c r="Q2180" s="10">
        <f>IFERROR(IF(('Loading-drum,tote'!$C$21)="No control",SUMIF(('Loading-drum,tote'!$B$31:$B$48),$J2180,('Loading-drum,tote'!$D$31:$D$48))*Impacts!$F$13,IF(('Loading-drum,tote'!$C$21)&lt;&gt;"No control",SUMIF(('Loading-drum,tote'!$B$31:$B$48),$J2180,('Loading-drum,tote'!$E$31:$E$48))*Impacts!$F$13,0)),0)</f>
        <v>0</v>
      </c>
      <c r="R2180" s="10">
        <f>IFERROR(IF(('Loading-truck'!$C$21)="No control",SUMIF(('Loading-truck'!$B$31:$B$48),$J2180,('Loading-truck'!$D$31:$D$48))*Impacts!$F$14,IF(('Loading-truck'!$C$21)&lt;&gt;"No control",SUMIF(('Loading-truck'!$B$31:$B$48),$J2180,('Loading-truck'!$E$31:$E$48))*Impacts!$F$14,0)),0)</f>
        <v>0</v>
      </c>
      <c r="S2180" s="10">
        <f>IFERROR(IF(('Loading-rail'!$C$21)="No control",SUMIF(('Loading-rail'!$B$31:$B$48),$J2180,('Loading-rail'!$D$31:$D$48))*Impacts!$F$15,IF(('Loading-rail'!$C$21)&lt;&gt;"No control",SUMIF(('Loading-rail'!$B$31:$B$48),$J2180,('Loading-rail'!$E$31:$E$48))*Impacts!$F$15,0)),0)</f>
        <v>0</v>
      </c>
      <c r="T2180" s="10">
        <f>IF(Flare!$C$7="",0,(SUMIF(Flare!$B$46:$B$185,$J2180,Flare!$E$46:$E$185)*Impacts!$F$16))</f>
        <v>0</v>
      </c>
      <c r="U2180" s="10">
        <f>IF(VCU!$C$9="",0,(SUMIF(VCU!$B$51:$B$193,$J2180,VCU!$E$51:$E$193)*Impacts!$F$17))</f>
        <v>0</v>
      </c>
      <c r="V2180" s="10">
        <f>IF(CAS!$C$7="",0,(SUMIF(CAS!$B$31:$B$167,$J2180,CAS!$E$31:$E$167)*Impacts!$F$18))</f>
        <v>0</v>
      </c>
      <c r="W2180" s="10">
        <f t="shared" si="74"/>
        <v>0</v>
      </c>
      <c r="AK2180" s="10" t="str">
        <f t="array" ref="AK2180">IFERROR(INDEX(SelectedSpecies,SMALL(IF(SelectedSpecies=AK$1,ROW(SelectedSpecies)),ROW(2181:2181)),2),"")</f>
        <v/>
      </c>
      <c r="BE2180" s="10"/>
      <c r="BI2180" s="10"/>
    </row>
    <row r="2181" spans="1:61" ht="21" customHeight="1" x14ac:dyDescent="0.25">
      <c r="A2181" s="10"/>
      <c r="B2181" s="10"/>
      <c r="E2181" s="10"/>
      <c r="G2181" s="10"/>
      <c r="I2181" s="436" t="s">
        <v>4729</v>
      </c>
      <c r="J2181" s="26" t="s">
        <v>4728</v>
      </c>
      <c r="K2181" s="10">
        <v>3.5</v>
      </c>
      <c r="L2181" s="73">
        <f>IF(Tank1!$C$23="No control",(SUMIF(Tank1!$B$32:$B$49,$J2181,Tank1!$C$32:$C$49)*Impacts!$F$8),0)</f>
        <v>0</v>
      </c>
      <c r="M2181" s="10">
        <f>IF(Tank2!$C$23="No control",(SUMIF(Tank2!$B$32:$B$49,$J2181,Tank2!$C$32:$C$49)*Impacts!$F$9),0)</f>
        <v>0</v>
      </c>
      <c r="N2181" s="10">
        <f>IF(Tank3!$C$23="No control",(SUMIF(Tank3!$B$32:$B$49,$J2181,Tank3!$C$32:$C$49)*Impacts!$F$10),0)</f>
        <v>0</v>
      </c>
      <c r="O2181" s="10">
        <f>IF(Tank4!$C$23="No control",(SUMIF(Tank4!$B$32:$B$49,$J2181,Tank4!$C$32:$C$49)*Impacts!$F$11),0)</f>
        <v>0</v>
      </c>
      <c r="P2181" s="10">
        <f>IF(Tank5!$C$23="No control",(SUMIF(Tank5!$B$32:$B$49,$J2181,Tank5!$C$32:$C$49)*Impacts!$F$12),0)</f>
        <v>0</v>
      </c>
      <c r="Q2181" s="10">
        <f>IFERROR(IF(('Loading-drum,tote'!$C$21)="No control",SUMIF(('Loading-drum,tote'!$B$31:$B$48),$J2181,('Loading-drum,tote'!$D$31:$D$48))*Impacts!$F$13,IF(('Loading-drum,tote'!$C$21)&lt;&gt;"No control",SUMIF(('Loading-drum,tote'!$B$31:$B$48),$J2181,('Loading-drum,tote'!$E$31:$E$48))*Impacts!$F$13,0)),0)</f>
        <v>0</v>
      </c>
      <c r="R2181" s="10">
        <f>IFERROR(IF(('Loading-truck'!$C$21)="No control",SUMIF(('Loading-truck'!$B$31:$B$48),$J2181,('Loading-truck'!$D$31:$D$48))*Impacts!$F$14,IF(('Loading-truck'!$C$21)&lt;&gt;"No control",SUMIF(('Loading-truck'!$B$31:$B$48),$J2181,('Loading-truck'!$E$31:$E$48))*Impacts!$F$14,0)),0)</f>
        <v>0</v>
      </c>
      <c r="S2181" s="10">
        <f>IFERROR(IF(('Loading-rail'!$C$21)="No control",SUMIF(('Loading-rail'!$B$31:$B$48),$J2181,('Loading-rail'!$D$31:$D$48))*Impacts!$F$15,IF(('Loading-rail'!$C$21)&lt;&gt;"No control",SUMIF(('Loading-rail'!$B$31:$B$48),$J2181,('Loading-rail'!$E$31:$E$48))*Impacts!$F$15,0)),0)</f>
        <v>0</v>
      </c>
      <c r="T2181" s="10">
        <f>IF(Flare!$C$7="",0,(SUMIF(Flare!$B$46:$B$185,$J2181,Flare!$E$46:$E$185)*Impacts!$F$16))</f>
        <v>0</v>
      </c>
      <c r="U2181" s="10">
        <f>IF(VCU!$C$9="",0,(SUMIF(VCU!$B$51:$B$193,$J2181,VCU!$E$51:$E$193)*Impacts!$F$17))</f>
        <v>0</v>
      </c>
      <c r="V2181" s="10">
        <f>IF(CAS!$C$7="",0,(SUMIF(CAS!$B$31:$B$167,$J2181,CAS!$E$31:$E$167)*Impacts!$F$18))</f>
        <v>0</v>
      </c>
      <c r="W2181" s="10">
        <f t="shared" si="74"/>
        <v>0</v>
      </c>
      <c r="AK2181" s="10" t="str">
        <f t="array" ref="AK2181">IFERROR(INDEX(SelectedSpecies,SMALL(IF(SelectedSpecies=AK$1,ROW(SelectedSpecies)),ROW(2182:2182)),2),"")</f>
        <v/>
      </c>
      <c r="BE2181" s="10"/>
      <c r="BI2181" s="10"/>
    </row>
    <row r="2182" spans="1:61" ht="21" customHeight="1" x14ac:dyDescent="0.25">
      <c r="A2182" s="10"/>
      <c r="B2182" s="10"/>
      <c r="E2182" s="10"/>
      <c r="G2182" s="10"/>
      <c r="I2182" s="436" t="s">
        <v>2927</v>
      </c>
      <c r="J2182" s="26" t="s">
        <v>2926</v>
      </c>
      <c r="K2182" s="10">
        <v>10</v>
      </c>
      <c r="L2182" s="73">
        <f>IF(Tank1!$C$23="No control",(SUMIF(Tank1!$B$32:$B$49,$J2182,Tank1!$C$32:$C$49)*Impacts!$F$8),0)</f>
        <v>0</v>
      </c>
      <c r="M2182" s="10">
        <f>IF(Tank2!$C$23="No control",(SUMIF(Tank2!$B$32:$B$49,$J2182,Tank2!$C$32:$C$49)*Impacts!$F$9),0)</f>
        <v>0</v>
      </c>
      <c r="N2182" s="10">
        <f>IF(Tank3!$C$23="No control",(SUMIF(Tank3!$B$32:$B$49,$J2182,Tank3!$C$32:$C$49)*Impacts!$F$10),0)</f>
        <v>0</v>
      </c>
      <c r="O2182" s="10">
        <f>IF(Tank4!$C$23="No control",(SUMIF(Tank4!$B$32:$B$49,$J2182,Tank4!$C$32:$C$49)*Impacts!$F$11),0)</f>
        <v>0</v>
      </c>
      <c r="P2182" s="10">
        <f>IF(Tank5!$C$23="No control",(SUMIF(Tank5!$B$32:$B$49,$J2182,Tank5!$C$32:$C$49)*Impacts!$F$12),0)</f>
        <v>0</v>
      </c>
      <c r="Q2182" s="10">
        <f>IFERROR(IF(('Loading-drum,tote'!$C$21)="No control",SUMIF(('Loading-drum,tote'!$B$31:$B$48),$J2182,('Loading-drum,tote'!$D$31:$D$48))*Impacts!$F$13,IF(('Loading-drum,tote'!$C$21)&lt;&gt;"No control",SUMIF(('Loading-drum,tote'!$B$31:$B$48),$J2182,('Loading-drum,tote'!$E$31:$E$48))*Impacts!$F$13,0)),0)</f>
        <v>0</v>
      </c>
      <c r="R2182" s="10">
        <f>IFERROR(IF(('Loading-truck'!$C$21)="No control",SUMIF(('Loading-truck'!$B$31:$B$48),$J2182,('Loading-truck'!$D$31:$D$48))*Impacts!$F$14,IF(('Loading-truck'!$C$21)&lt;&gt;"No control",SUMIF(('Loading-truck'!$B$31:$B$48),$J2182,('Loading-truck'!$E$31:$E$48))*Impacts!$F$14,0)),0)</f>
        <v>0</v>
      </c>
      <c r="S2182" s="10">
        <f>IFERROR(IF(('Loading-rail'!$C$21)="No control",SUMIF(('Loading-rail'!$B$31:$B$48),$J2182,('Loading-rail'!$D$31:$D$48))*Impacts!$F$15,IF(('Loading-rail'!$C$21)&lt;&gt;"No control",SUMIF(('Loading-rail'!$B$31:$B$48),$J2182,('Loading-rail'!$E$31:$E$48))*Impacts!$F$15,0)),0)</f>
        <v>0</v>
      </c>
      <c r="T2182" s="10">
        <f>IF(Flare!$C$7="",0,(SUMIF(Flare!$B$46:$B$185,$J2182,Flare!$E$46:$E$185)*Impacts!$F$16))</f>
        <v>0</v>
      </c>
      <c r="U2182" s="10">
        <f>IF(VCU!$C$9="",0,(SUMIF(VCU!$B$51:$B$193,$J2182,VCU!$E$51:$E$193)*Impacts!$F$17))</f>
        <v>0</v>
      </c>
      <c r="V2182" s="10">
        <f>IF(CAS!$C$7="",0,(SUMIF(CAS!$B$31:$B$167,$J2182,CAS!$E$31:$E$167)*Impacts!$F$18))</f>
        <v>0</v>
      </c>
      <c r="W2182" s="10">
        <f t="shared" si="74"/>
        <v>0</v>
      </c>
      <c r="AK2182" s="10" t="str">
        <f t="array" ref="AK2182">IFERROR(INDEX(SelectedSpecies,SMALL(IF(SelectedSpecies=AK$1,ROW(SelectedSpecies)),ROW(2183:2183)),2),"")</f>
        <v/>
      </c>
      <c r="BE2182" s="10"/>
      <c r="BI2182" s="10"/>
    </row>
    <row r="2183" spans="1:61" ht="21" customHeight="1" x14ac:dyDescent="0.25">
      <c r="A2183" s="10"/>
      <c r="B2183" s="10"/>
      <c r="E2183" s="10"/>
      <c r="G2183" s="10"/>
      <c r="I2183" s="436" t="s">
        <v>2229</v>
      </c>
      <c r="J2183" s="26" t="s">
        <v>2228</v>
      </c>
      <c r="K2183" s="10">
        <v>13</v>
      </c>
      <c r="L2183" s="73">
        <f>IF(Tank1!$C$23="No control",(SUMIF(Tank1!$B$32:$B$49,$J2183,Tank1!$C$32:$C$49)*Impacts!$F$8),0)</f>
        <v>0</v>
      </c>
      <c r="M2183" s="10">
        <f>IF(Tank2!$C$23="No control",(SUMIF(Tank2!$B$32:$B$49,$J2183,Tank2!$C$32:$C$49)*Impacts!$F$9),0)</f>
        <v>0</v>
      </c>
      <c r="N2183" s="10">
        <f>IF(Tank3!$C$23="No control",(SUMIF(Tank3!$B$32:$B$49,$J2183,Tank3!$C$32:$C$49)*Impacts!$F$10),0)</f>
        <v>0</v>
      </c>
      <c r="O2183" s="10">
        <f>IF(Tank4!$C$23="No control",(SUMIF(Tank4!$B$32:$B$49,$J2183,Tank4!$C$32:$C$49)*Impacts!$F$11),0)</f>
        <v>0</v>
      </c>
      <c r="P2183" s="10">
        <f>IF(Tank5!$C$23="No control",(SUMIF(Tank5!$B$32:$B$49,$J2183,Tank5!$C$32:$C$49)*Impacts!$F$12),0)</f>
        <v>0</v>
      </c>
      <c r="Q2183" s="10">
        <f>IFERROR(IF(('Loading-drum,tote'!$C$21)="No control",SUMIF(('Loading-drum,tote'!$B$31:$B$48),$J2183,('Loading-drum,tote'!$D$31:$D$48))*Impacts!$F$13,IF(('Loading-drum,tote'!$C$21)&lt;&gt;"No control",SUMIF(('Loading-drum,tote'!$B$31:$B$48),$J2183,('Loading-drum,tote'!$E$31:$E$48))*Impacts!$F$13,0)),0)</f>
        <v>0</v>
      </c>
      <c r="R2183" s="10">
        <f>IFERROR(IF(('Loading-truck'!$C$21)="No control",SUMIF(('Loading-truck'!$B$31:$B$48),$J2183,('Loading-truck'!$D$31:$D$48))*Impacts!$F$14,IF(('Loading-truck'!$C$21)&lt;&gt;"No control",SUMIF(('Loading-truck'!$B$31:$B$48),$J2183,('Loading-truck'!$E$31:$E$48))*Impacts!$F$14,0)),0)</f>
        <v>0</v>
      </c>
      <c r="S2183" s="10">
        <f>IFERROR(IF(('Loading-rail'!$C$21)="No control",SUMIF(('Loading-rail'!$B$31:$B$48),$J2183,('Loading-rail'!$D$31:$D$48))*Impacts!$F$15,IF(('Loading-rail'!$C$21)&lt;&gt;"No control",SUMIF(('Loading-rail'!$B$31:$B$48),$J2183,('Loading-rail'!$E$31:$E$48))*Impacts!$F$15,0)),0)</f>
        <v>0</v>
      </c>
      <c r="T2183" s="10">
        <f>IF(Flare!$C$7="",0,(SUMIF(Flare!$B$46:$B$185,$J2183,Flare!$E$46:$E$185)*Impacts!$F$16))</f>
        <v>0</v>
      </c>
      <c r="U2183" s="10">
        <f>IF(VCU!$C$9="",0,(SUMIF(VCU!$B$51:$B$193,$J2183,VCU!$E$51:$E$193)*Impacts!$F$17))</f>
        <v>0</v>
      </c>
      <c r="V2183" s="10">
        <f>IF(CAS!$C$7="",0,(SUMIF(CAS!$B$31:$B$167,$J2183,CAS!$E$31:$E$167)*Impacts!$F$18))</f>
        <v>0</v>
      </c>
      <c r="W2183" s="10">
        <f t="shared" si="74"/>
        <v>0</v>
      </c>
      <c r="AK2183" s="10" t="str">
        <f t="array" ref="AK2183">IFERROR(INDEX(SelectedSpecies,SMALL(IF(SelectedSpecies=AK$1,ROW(SelectedSpecies)),ROW(2184:2184)),2),"")</f>
        <v/>
      </c>
      <c r="BE2183" s="10"/>
      <c r="BI2183" s="10"/>
    </row>
    <row r="2184" spans="1:61" ht="21" customHeight="1" x14ac:dyDescent="0.25">
      <c r="A2184" s="10"/>
      <c r="B2184" s="10"/>
      <c r="E2184" s="10"/>
      <c r="G2184" s="10"/>
      <c r="I2184" s="436" t="s">
        <v>1696</v>
      </c>
      <c r="J2184" s="26" t="s">
        <v>1695</v>
      </c>
      <c r="K2184" s="10">
        <v>24.5</v>
      </c>
      <c r="L2184" s="73">
        <f>IF(Tank1!$C$23="No control",(SUMIF(Tank1!$B$32:$B$49,$J2184,Tank1!$C$32:$C$49)*Impacts!$F$8),0)</f>
        <v>0</v>
      </c>
      <c r="M2184" s="10">
        <f>IF(Tank2!$C$23="No control",(SUMIF(Tank2!$B$32:$B$49,$J2184,Tank2!$C$32:$C$49)*Impacts!$F$9),0)</f>
        <v>0</v>
      </c>
      <c r="N2184" s="10">
        <f>IF(Tank3!$C$23="No control",(SUMIF(Tank3!$B$32:$B$49,$J2184,Tank3!$C$32:$C$49)*Impacts!$F$10),0)</f>
        <v>0</v>
      </c>
      <c r="O2184" s="10">
        <f>IF(Tank4!$C$23="No control",(SUMIF(Tank4!$B$32:$B$49,$J2184,Tank4!$C$32:$C$49)*Impacts!$F$11),0)</f>
        <v>0</v>
      </c>
      <c r="P2184" s="10">
        <f>IF(Tank5!$C$23="No control",(SUMIF(Tank5!$B$32:$B$49,$J2184,Tank5!$C$32:$C$49)*Impacts!$F$12),0)</f>
        <v>0</v>
      </c>
      <c r="Q2184" s="10">
        <f>IFERROR(IF(('Loading-drum,tote'!$C$21)="No control",SUMIF(('Loading-drum,tote'!$B$31:$B$48),$J2184,('Loading-drum,tote'!$D$31:$D$48))*Impacts!$F$13,IF(('Loading-drum,tote'!$C$21)&lt;&gt;"No control",SUMIF(('Loading-drum,tote'!$B$31:$B$48),$J2184,('Loading-drum,tote'!$E$31:$E$48))*Impacts!$F$13,0)),0)</f>
        <v>0</v>
      </c>
      <c r="R2184" s="10">
        <f>IFERROR(IF(('Loading-truck'!$C$21)="No control",SUMIF(('Loading-truck'!$B$31:$B$48),$J2184,('Loading-truck'!$D$31:$D$48))*Impacts!$F$14,IF(('Loading-truck'!$C$21)&lt;&gt;"No control",SUMIF(('Loading-truck'!$B$31:$B$48),$J2184,('Loading-truck'!$E$31:$E$48))*Impacts!$F$14,0)),0)</f>
        <v>0</v>
      </c>
      <c r="S2184" s="10">
        <f>IFERROR(IF(('Loading-rail'!$C$21)="No control",SUMIF(('Loading-rail'!$B$31:$B$48),$J2184,('Loading-rail'!$D$31:$D$48))*Impacts!$F$15,IF(('Loading-rail'!$C$21)&lt;&gt;"No control",SUMIF(('Loading-rail'!$B$31:$B$48),$J2184,('Loading-rail'!$E$31:$E$48))*Impacts!$F$15,0)),0)</f>
        <v>0</v>
      </c>
      <c r="T2184" s="10">
        <f>IF(Flare!$C$7="",0,(SUMIF(Flare!$B$46:$B$185,$J2184,Flare!$E$46:$E$185)*Impacts!$F$16))</f>
        <v>0</v>
      </c>
      <c r="U2184" s="10">
        <f>IF(VCU!$C$9="",0,(SUMIF(VCU!$B$51:$B$193,$J2184,VCU!$E$51:$E$193)*Impacts!$F$17))</f>
        <v>0</v>
      </c>
      <c r="V2184" s="10">
        <f>IF(CAS!$C$7="",0,(SUMIF(CAS!$B$31:$B$167,$J2184,CAS!$E$31:$E$167)*Impacts!$F$18))</f>
        <v>0</v>
      </c>
      <c r="W2184" s="10">
        <f t="shared" si="74"/>
        <v>0</v>
      </c>
      <c r="AK2184" s="10" t="str">
        <f t="array" ref="AK2184">IFERROR(INDEX(SelectedSpecies,SMALL(IF(SelectedSpecies=AK$1,ROW(SelectedSpecies)),ROW(2185:2185)),2),"")</f>
        <v/>
      </c>
      <c r="BE2184" s="10"/>
      <c r="BI2184" s="10"/>
    </row>
    <row r="2185" spans="1:61" ht="21" customHeight="1" x14ac:dyDescent="0.25">
      <c r="A2185" s="10"/>
      <c r="B2185" s="10"/>
      <c r="E2185" s="10"/>
      <c r="G2185" s="10"/>
      <c r="I2185" s="436" t="s">
        <v>5443</v>
      </c>
      <c r="J2185" s="26" t="s">
        <v>5442</v>
      </c>
      <c r="K2185" s="10">
        <v>1.4000000000000001</v>
      </c>
      <c r="L2185" s="73">
        <f>IF(Tank1!$C$23="No control",(SUMIF(Tank1!$B$32:$B$49,$J2185,Tank1!$C$32:$C$49)*Impacts!$F$8),0)</f>
        <v>0</v>
      </c>
      <c r="M2185" s="10">
        <f>IF(Tank2!$C$23="No control",(SUMIF(Tank2!$B$32:$B$49,$J2185,Tank2!$C$32:$C$49)*Impacts!$F$9),0)</f>
        <v>0</v>
      </c>
      <c r="N2185" s="10">
        <f>IF(Tank3!$C$23="No control",(SUMIF(Tank3!$B$32:$B$49,$J2185,Tank3!$C$32:$C$49)*Impacts!$F$10),0)</f>
        <v>0</v>
      </c>
      <c r="O2185" s="10">
        <f>IF(Tank4!$C$23="No control",(SUMIF(Tank4!$B$32:$B$49,$J2185,Tank4!$C$32:$C$49)*Impacts!$F$11),0)</f>
        <v>0</v>
      </c>
      <c r="P2185" s="10">
        <f>IF(Tank5!$C$23="No control",(SUMIF(Tank5!$B$32:$B$49,$J2185,Tank5!$C$32:$C$49)*Impacts!$F$12),0)</f>
        <v>0</v>
      </c>
      <c r="Q2185" s="10">
        <f>IFERROR(IF(('Loading-drum,tote'!$C$21)="No control",SUMIF(('Loading-drum,tote'!$B$31:$B$48),$J2185,('Loading-drum,tote'!$D$31:$D$48))*Impacts!$F$13,IF(('Loading-drum,tote'!$C$21)&lt;&gt;"No control",SUMIF(('Loading-drum,tote'!$B$31:$B$48),$J2185,('Loading-drum,tote'!$E$31:$E$48))*Impacts!$F$13,0)),0)</f>
        <v>0</v>
      </c>
      <c r="R2185" s="10">
        <f>IFERROR(IF(('Loading-truck'!$C$21)="No control",SUMIF(('Loading-truck'!$B$31:$B$48),$J2185,('Loading-truck'!$D$31:$D$48))*Impacts!$F$14,IF(('Loading-truck'!$C$21)&lt;&gt;"No control",SUMIF(('Loading-truck'!$B$31:$B$48),$J2185,('Loading-truck'!$E$31:$E$48))*Impacts!$F$14,0)),0)</f>
        <v>0</v>
      </c>
      <c r="S2185" s="10">
        <f>IFERROR(IF(('Loading-rail'!$C$21)="No control",SUMIF(('Loading-rail'!$B$31:$B$48),$J2185,('Loading-rail'!$D$31:$D$48))*Impacts!$F$15,IF(('Loading-rail'!$C$21)&lt;&gt;"No control",SUMIF(('Loading-rail'!$B$31:$B$48),$J2185,('Loading-rail'!$E$31:$E$48))*Impacts!$F$15,0)),0)</f>
        <v>0</v>
      </c>
      <c r="T2185" s="10">
        <f>IF(Flare!$C$7="",0,(SUMIF(Flare!$B$46:$B$185,$J2185,Flare!$E$46:$E$185)*Impacts!$F$16))</f>
        <v>0</v>
      </c>
      <c r="U2185" s="10">
        <f>IF(VCU!$C$9="",0,(SUMIF(VCU!$B$51:$B$193,$J2185,VCU!$E$51:$E$193)*Impacts!$F$17))</f>
        <v>0</v>
      </c>
      <c r="V2185" s="10">
        <f>IF(CAS!$C$7="",0,(SUMIF(CAS!$B$31:$B$167,$J2185,CAS!$E$31:$E$167)*Impacts!$F$18))</f>
        <v>0</v>
      </c>
      <c r="W2185" s="10">
        <f t="shared" si="74"/>
        <v>0</v>
      </c>
      <c r="AK2185" s="10" t="str">
        <f t="array" ref="AK2185">IFERROR(INDEX(SelectedSpecies,SMALL(IF(SelectedSpecies=AK$1,ROW(SelectedSpecies)),ROW(2186:2186)),2),"")</f>
        <v/>
      </c>
      <c r="BE2185" s="10"/>
      <c r="BI2185" s="10"/>
    </row>
    <row r="2186" spans="1:61" ht="21" customHeight="1" x14ac:dyDescent="0.25">
      <c r="A2186" s="10"/>
      <c r="B2186" s="10"/>
      <c r="E2186" s="10"/>
      <c r="G2186" s="10"/>
      <c r="I2186" s="436" t="s">
        <v>2253</v>
      </c>
      <c r="J2186" s="26" t="s">
        <v>2252</v>
      </c>
      <c r="K2186" s="10">
        <v>12.5</v>
      </c>
      <c r="L2186" s="73">
        <f>IF(Tank1!$C$23="No control",(SUMIF(Tank1!$B$32:$B$49,$J2186,Tank1!$C$32:$C$49)*Impacts!$F$8),0)</f>
        <v>0</v>
      </c>
      <c r="M2186" s="10">
        <f>IF(Tank2!$C$23="No control",(SUMIF(Tank2!$B$32:$B$49,$J2186,Tank2!$C$32:$C$49)*Impacts!$F$9),0)</f>
        <v>0</v>
      </c>
      <c r="N2186" s="10">
        <f>IF(Tank3!$C$23="No control",(SUMIF(Tank3!$B$32:$B$49,$J2186,Tank3!$C$32:$C$49)*Impacts!$F$10),0)</f>
        <v>0</v>
      </c>
      <c r="O2186" s="10">
        <f>IF(Tank4!$C$23="No control",(SUMIF(Tank4!$B$32:$B$49,$J2186,Tank4!$C$32:$C$49)*Impacts!$F$11),0)</f>
        <v>0</v>
      </c>
      <c r="P2186" s="10">
        <f>IF(Tank5!$C$23="No control",(SUMIF(Tank5!$B$32:$B$49,$J2186,Tank5!$C$32:$C$49)*Impacts!$F$12),0)</f>
        <v>0</v>
      </c>
      <c r="Q2186" s="10">
        <f>IFERROR(IF(('Loading-drum,tote'!$C$21)="No control",SUMIF(('Loading-drum,tote'!$B$31:$B$48),$J2186,('Loading-drum,tote'!$D$31:$D$48))*Impacts!$F$13,IF(('Loading-drum,tote'!$C$21)&lt;&gt;"No control",SUMIF(('Loading-drum,tote'!$B$31:$B$48),$J2186,('Loading-drum,tote'!$E$31:$E$48))*Impacts!$F$13,0)),0)</f>
        <v>0</v>
      </c>
      <c r="R2186" s="10">
        <f>IFERROR(IF(('Loading-truck'!$C$21)="No control",SUMIF(('Loading-truck'!$B$31:$B$48),$J2186,('Loading-truck'!$D$31:$D$48))*Impacts!$F$14,IF(('Loading-truck'!$C$21)&lt;&gt;"No control",SUMIF(('Loading-truck'!$B$31:$B$48),$J2186,('Loading-truck'!$E$31:$E$48))*Impacts!$F$14,0)),0)</f>
        <v>0</v>
      </c>
      <c r="S2186" s="10">
        <f>IFERROR(IF(('Loading-rail'!$C$21)="No control",SUMIF(('Loading-rail'!$B$31:$B$48),$J2186,('Loading-rail'!$D$31:$D$48))*Impacts!$F$15,IF(('Loading-rail'!$C$21)&lt;&gt;"No control",SUMIF(('Loading-rail'!$B$31:$B$48),$J2186,('Loading-rail'!$E$31:$E$48))*Impacts!$F$15,0)),0)</f>
        <v>0</v>
      </c>
      <c r="T2186" s="10">
        <f>IF(Flare!$C$7="",0,(SUMIF(Flare!$B$46:$B$185,$J2186,Flare!$E$46:$E$185)*Impacts!$F$16))</f>
        <v>0</v>
      </c>
      <c r="U2186" s="10">
        <f>IF(VCU!$C$9="",0,(SUMIF(VCU!$B$51:$B$193,$J2186,VCU!$E$51:$E$193)*Impacts!$F$17))</f>
        <v>0</v>
      </c>
      <c r="V2186" s="10">
        <f>IF(CAS!$C$7="",0,(SUMIF(CAS!$B$31:$B$167,$J2186,CAS!$E$31:$E$167)*Impacts!$F$18))</f>
        <v>0</v>
      </c>
      <c r="W2186" s="10">
        <f t="shared" si="74"/>
        <v>0</v>
      </c>
      <c r="AK2186" s="10" t="str">
        <f t="array" ref="AK2186">IFERROR(INDEX(SelectedSpecies,SMALL(IF(SelectedSpecies=AK$1,ROW(SelectedSpecies)),ROW(2187:2187)),2),"")</f>
        <v/>
      </c>
      <c r="BE2186" s="10"/>
      <c r="BI2186" s="10"/>
    </row>
    <row r="2187" spans="1:61" ht="21" customHeight="1" x14ac:dyDescent="0.25">
      <c r="A2187" s="10"/>
      <c r="B2187" s="10"/>
      <c r="E2187" s="10"/>
      <c r="G2187" s="10"/>
      <c r="I2187" s="436" t="s">
        <v>4795</v>
      </c>
      <c r="J2187" s="26" t="s">
        <v>4794</v>
      </c>
      <c r="K2187" s="10">
        <v>3.1</v>
      </c>
      <c r="L2187" s="73">
        <f>IF(Tank1!$C$23="No control",(SUMIF(Tank1!$B$32:$B$49,$J2187,Tank1!$C$32:$C$49)*Impacts!$F$8),0)</f>
        <v>0</v>
      </c>
      <c r="M2187" s="10">
        <f>IF(Tank2!$C$23="No control",(SUMIF(Tank2!$B$32:$B$49,$J2187,Tank2!$C$32:$C$49)*Impacts!$F$9),0)</f>
        <v>0</v>
      </c>
      <c r="N2187" s="10">
        <f>IF(Tank3!$C$23="No control",(SUMIF(Tank3!$B$32:$B$49,$J2187,Tank3!$C$32:$C$49)*Impacts!$F$10),0)</f>
        <v>0</v>
      </c>
      <c r="O2187" s="10">
        <f>IF(Tank4!$C$23="No control",(SUMIF(Tank4!$B$32:$B$49,$J2187,Tank4!$C$32:$C$49)*Impacts!$F$11),0)</f>
        <v>0</v>
      </c>
      <c r="P2187" s="10">
        <f>IF(Tank5!$C$23="No control",(SUMIF(Tank5!$B$32:$B$49,$J2187,Tank5!$C$32:$C$49)*Impacts!$F$12),0)</f>
        <v>0</v>
      </c>
      <c r="Q2187" s="10">
        <f>IFERROR(IF(('Loading-drum,tote'!$C$21)="No control",SUMIF(('Loading-drum,tote'!$B$31:$B$48),$J2187,('Loading-drum,tote'!$D$31:$D$48))*Impacts!$F$13,IF(('Loading-drum,tote'!$C$21)&lt;&gt;"No control",SUMIF(('Loading-drum,tote'!$B$31:$B$48),$J2187,('Loading-drum,tote'!$E$31:$E$48))*Impacts!$F$13,0)),0)</f>
        <v>0</v>
      </c>
      <c r="R2187" s="10">
        <f>IFERROR(IF(('Loading-truck'!$C$21)="No control",SUMIF(('Loading-truck'!$B$31:$B$48),$J2187,('Loading-truck'!$D$31:$D$48))*Impacts!$F$14,IF(('Loading-truck'!$C$21)&lt;&gt;"No control",SUMIF(('Loading-truck'!$B$31:$B$48),$J2187,('Loading-truck'!$E$31:$E$48))*Impacts!$F$14,0)),0)</f>
        <v>0</v>
      </c>
      <c r="S2187" s="10">
        <f>IFERROR(IF(('Loading-rail'!$C$21)="No control",SUMIF(('Loading-rail'!$B$31:$B$48),$J2187,('Loading-rail'!$D$31:$D$48))*Impacts!$F$15,IF(('Loading-rail'!$C$21)&lt;&gt;"No control",SUMIF(('Loading-rail'!$B$31:$B$48),$J2187,('Loading-rail'!$E$31:$E$48))*Impacts!$F$15,0)),0)</f>
        <v>0</v>
      </c>
      <c r="T2187" s="10">
        <f>IF(Flare!$C$7="",0,(SUMIF(Flare!$B$46:$B$185,$J2187,Flare!$E$46:$E$185)*Impacts!$F$16))</f>
        <v>0</v>
      </c>
      <c r="U2187" s="10">
        <f>IF(VCU!$C$9="",0,(SUMIF(VCU!$B$51:$B$193,$J2187,VCU!$E$51:$E$193)*Impacts!$F$17))</f>
        <v>0</v>
      </c>
      <c r="V2187" s="10">
        <f>IF(CAS!$C$7="",0,(SUMIF(CAS!$B$31:$B$167,$J2187,CAS!$E$31:$E$167)*Impacts!$F$18))</f>
        <v>0</v>
      </c>
      <c r="W2187" s="10">
        <f t="shared" si="74"/>
        <v>0</v>
      </c>
      <c r="AK2187" s="10" t="str">
        <f t="array" ref="AK2187">IFERROR(INDEX(SelectedSpecies,SMALL(IF(SelectedSpecies=AK$1,ROW(SelectedSpecies)),ROW(2188:2188)),2),"")</f>
        <v/>
      </c>
      <c r="BE2187" s="10"/>
      <c r="BI2187" s="10"/>
    </row>
    <row r="2188" spans="1:61" ht="21" customHeight="1" x14ac:dyDescent="0.25">
      <c r="A2188" s="10"/>
      <c r="B2188" s="10"/>
      <c r="E2188" s="10"/>
      <c r="G2188" s="10"/>
      <c r="I2188" s="436" t="s">
        <v>3813</v>
      </c>
      <c r="J2188" s="26" t="s">
        <v>3812</v>
      </c>
      <c r="K2188" s="10">
        <v>6</v>
      </c>
      <c r="L2188" s="73">
        <f>IF(Tank1!$C$23="No control",(SUMIF(Tank1!$B$32:$B$49,$J2188,Tank1!$C$32:$C$49)*Impacts!$F$8),0)</f>
        <v>0</v>
      </c>
      <c r="M2188" s="10">
        <f>IF(Tank2!$C$23="No control",(SUMIF(Tank2!$B$32:$B$49,$J2188,Tank2!$C$32:$C$49)*Impacts!$F$9),0)</f>
        <v>0</v>
      </c>
      <c r="N2188" s="10">
        <f>IF(Tank3!$C$23="No control",(SUMIF(Tank3!$B$32:$B$49,$J2188,Tank3!$C$32:$C$49)*Impacts!$F$10),0)</f>
        <v>0</v>
      </c>
      <c r="O2188" s="10">
        <f>IF(Tank4!$C$23="No control",(SUMIF(Tank4!$B$32:$B$49,$J2188,Tank4!$C$32:$C$49)*Impacts!$F$11),0)</f>
        <v>0</v>
      </c>
      <c r="P2188" s="10">
        <f>IF(Tank5!$C$23="No control",(SUMIF(Tank5!$B$32:$B$49,$J2188,Tank5!$C$32:$C$49)*Impacts!$F$12),0)</f>
        <v>0</v>
      </c>
      <c r="Q2188" s="10">
        <f>IFERROR(IF(('Loading-drum,tote'!$C$21)="No control",SUMIF(('Loading-drum,tote'!$B$31:$B$48),$J2188,('Loading-drum,tote'!$D$31:$D$48))*Impacts!$F$13,IF(('Loading-drum,tote'!$C$21)&lt;&gt;"No control",SUMIF(('Loading-drum,tote'!$B$31:$B$48),$J2188,('Loading-drum,tote'!$E$31:$E$48))*Impacts!$F$13,0)),0)</f>
        <v>0</v>
      </c>
      <c r="R2188" s="10">
        <f>IFERROR(IF(('Loading-truck'!$C$21)="No control",SUMIF(('Loading-truck'!$B$31:$B$48),$J2188,('Loading-truck'!$D$31:$D$48))*Impacts!$F$14,IF(('Loading-truck'!$C$21)&lt;&gt;"No control",SUMIF(('Loading-truck'!$B$31:$B$48),$J2188,('Loading-truck'!$E$31:$E$48))*Impacts!$F$14,0)),0)</f>
        <v>0</v>
      </c>
      <c r="S2188" s="10">
        <f>IFERROR(IF(('Loading-rail'!$C$21)="No control",SUMIF(('Loading-rail'!$B$31:$B$48),$J2188,('Loading-rail'!$D$31:$D$48))*Impacts!$F$15,IF(('Loading-rail'!$C$21)&lt;&gt;"No control",SUMIF(('Loading-rail'!$B$31:$B$48),$J2188,('Loading-rail'!$E$31:$E$48))*Impacts!$F$15,0)),0)</f>
        <v>0</v>
      </c>
      <c r="T2188" s="10">
        <f>IF(Flare!$C$7="",0,(SUMIF(Flare!$B$46:$B$185,$J2188,Flare!$E$46:$E$185)*Impacts!$F$16))</f>
        <v>0</v>
      </c>
      <c r="U2188" s="10">
        <f>IF(VCU!$C$9="",0,(SUMIF(VCU!$B$51:$B$193,$J2188,VCU!$E$51:$E$193)*Impacts!$F$17))</f>
        <v>0</v>
      </c>
      <c r="V2188" s="10">
        <f>IF(CAS!$C$7="",0,(SUMIF(CAS!$B$31:$B$167,$J2188,CAS!$E$31:$E$167)*Impacts!$F$18))</f>
        <v>0</v>
      </c>
      <c r="W2188" s="10">
        <f t="shared" si="74"/>
        <v>0</v>
      </c>
      <c r="AK2188" s="10" t="str">
        <f t="array" ref="AK2188">IFERROR(INDEX(SelectedSpecies,SMALL(IF(SelectedSpecies=AK$1,ROW(SelectedSpecies)),ROW(2189:2189)),2),"")</f>
        <v/>
      </c>
      <c r="BE2188" s="10"/>
      <c r="BI2188" s="10"/>
    </row>
    <row r="2189" spans="1:61" ht="21" customHeight="1" x14ac:dyDescent="0.25">
      <c r="A2189" s="10"/>
      <c r="B2189" s="10"/>
      <c r="E2189" s="10"/>
      <c r="G2189" s="10"/>
      <c r="I2189" s="436" t="s">
        <v>7186</v>
      </c>
      <c r="J2189" s="26" t="s">
        <v>7185</v>
      </c>
      <c r="K2189" s="10">
        <v>0.33</v>
      </c>
      <c r="L2189" s="73">
        <f>IF(Tank1!$C$23="No control",(SUMIF(Tank1!$B$32:$B$49,$J2189,Tank1!$C$32:$C$49)*Impacts!$F$8),0)</f>
        <v>0</v>
      </c>
      <c r="M2189" s="10">
        <f>IF(Tank2!$C$23="No control",(SUMIF(Tank2!$B$32:$B$49,$J2189,Tank2!$C$32:$C$49)*Impacts!$F$9),0)</f>
        <v>0</v>
      </c>
      <c r="N2189" s="10">
        <f>IF(Tank3!$C$23="No control",(SUMIF(Tank3!$B$32:$B$49,$J2189,Tank3!$C$32:$C$49)*Impacts!$F$10),0)</f>
        <v>0</v>
      </c>
      <c r="O2189" s="10">
        <f>IF(Tank4!$C$23="No control",(SUMIF(Tank4!$B$32:$B$49,$J2189,Tank4!$C$32:$C$49)*Impacts!$F$11),0)</f>
        <v>0</v>
      </c>
      <c r="P2189" s="10">
        <f>IF(Tank5!$C$23="No control",(SUMIF(Tank5!$B$32:$B$49,$J2189,Tank5!$C$32:$C$49)*Impacts!$F$12),0)</f>
        <v>0</v>
      </c>
      <c r="Q2189" s="10">
        <f>IFERROR(IF(('Loading-drum,tote'!$C$21)="No control",SUMIF(('Loading-drum,tote'!$B$31:$B$48),$J2189,('Loading-drum,tote'!$D$31:$D$48))*Impacts!$F$13,IF(('Loading-drum,tote'!$C$21)&lt;&gt;"No control",SUMIF(('Loading-drum,tote'!$B$31:$B$48),$J2189,('Loading-drum,tote'!$E$31:$E$48))*Impacts!$F$13,0)),0)</f>
        <v>0</v>
      </c>
      <c r="R2189" s="10">
        <f>IFERROR(IF(('Loading-truck'!$C$21)="No control",SUMIF(('Loading-truck'!$B$31:$B$48),$J2189,('Loading-truck'!$D$31:$D$48))*Impacts!$F$14,IF(('Loading-truck'!$C$21)&lt;&gt;"No control",SUMIF(('Loading-truck'!$B$31:$B$48),$J2189,('Loading-truck'!$E$31:$E$48))*Impacts!$F$14,0)),0)</f>
        <v>0</v>
      </c>
      <c r="S2189" s="10">
        <f>IFERROR(IF(('Loading-rail'!$C$21)="No control",SUMIF(('Loading-rail'!$B$31:$B$48),$J2189,('Loading-rail'!$D$31:$D$48))*Impacts!$F$15,IF(('Loading-rail'!$C$21)&lt;&gt;"No control",SUMIF(('Loading-rail'!$B$31:$B$48),$J2189,('Loading-rail'!$E$31:$E$48))*Impacts!$F$15,0)),0)</f>
        <v>0</v>
      </c>
      <c r="T2189" s="10">
        <f>IF(Flare!$C$7="",0,(SUMIF(Flare!$B$46:$B$185,$J2189,Flare!$E$46:$E$185)*Impacts!$F$16))</f>
        <v>0</v>
      </c>
      <c r="U2189" s="10">
        <f>IF(VCU!$C$9="",0,(SUMIF(VCU!$B$51:$B$193,$J2189,VCU!$E$51:$E$193)*Impacts!$F$17))</f>
        <v>0</v>
      </c>
      <c r="V2189" s="10">
        <f>IF(CAS!$C$7="",0,(SUMIF(CAS!$B$31:$B$167,$J2189,CAS!$E$31:$E$167)*Impacts!$F$18))</f>
        <v>0</v>
      </c>
      <c r="W2189" s="10">
        <f t="shared" si="74"/>
        <v>0</v>
      </c>
      <c r="AK2189" s="10" t="str">
        <f t="array" ref="AK2189">IFERROR(INDEX(SelectedSpecies,SMALL(IF(SelectedSpecies=AK$1,ROW(SelectedSpecies)),ROW(2190:2190)),2),"")</f>
        <v/>
      </c>
      <c r="BE2189" s="10"/>
      <c r="BI2189" s="10"/>
    </row>
    <row r="2190" spans="1:61" ht="21" customHeight="1" x14ac:dyDescent="0.25">
      <c r="A2190" s="10"/>
      <c r="B2190" s="10"/>
      <c r="E2190" s="10"/>
      <c r="G2190" s="10"/>
      <c r="I2190" s="436" t="s">
        <v>5445</v>
      </c>
      <c r="J2190" s="26" t="s">
        <v>5444</v>
      </c>
      <c r="K2190" s="10">
        <v>1.4000000000000001</v>
      </c>
      <c r="L2190" s="73">
        <f>IF(Tank1!$C$23="No control",(SUMIF(Tank1!$B$32:$B$49,$J2190,Tank1!$C$32:$C$49)*Impacts!$F$8),0)</f>
        <v>0</v>
      </c>
      <c r="M2190" s="10">
        <f>IF(Tank2!$C$23="No control",(SUMIF(Tank2!$B$32:$B$49,$J2190,Tank2!$C$32:$C$49)*Impacts!$F$9),0)</f>
        <v>0</v>
      </c>
      <c r="N2190" s="10">
        <f>IF(Tank3!$C$23="No control",(SUMIF(Tank3!$B$32:$B$49,$J2190,Tank3!$C$32:$C$49)*Impacts!$F$10),0)</f>
        <v>0</v>
      </c>
      <c r="O2190" s="10">
        <f>IF(Tank4!$C$23="No control",(SUMIF(Tank4!$B$32:$B$49,$J2190,Tank4!$C$32:$C$49)*Impacts!$F$11),0)</f>
        <v>0</v>
      </c>
      <c r="P2190" s="10">
        <f>IF(Tank5!$C$23="No control",(SUMIF(Tank5!$B$32:$B$49,$J2190,Tank5!$C$32:$C$49)*Impacts!$F$12),0)</f>
        <v>0</v>
      </c>
      <c r="Q2190" s="10">
        <f>IFERROR(IF(('Loading-drum,tote'!$C$21)="No control",SUMIF(('Loading-drum,tote'!$B$31:$B$48),$J2190,('Loading-drum,tote'!$D$31:$D$48))*Impacts!$F$13,IF(('Loading-drum,tote'!$C$21)&lt;&gt;"No control",SUMIF(('Loading-drum,tote'!$B$31:$B$48),$J2190,('Loading-drum,tote'!$E$31:$E$48))*Impacts!$F$13,0)),0)</f>
        <v>0</v>
      </c>
      <c r="R2190" s="10">
        <f>IFERROR(IF(('Loading-truck'!$C$21)="No control",SUMIF(('Loading-truck'!$B$31:$B$48),$J2190,('Loading-truck'!$D$31:$D$48))*Impacts!$F$14,IF(('Loading-truck'!$C$21)&lt;&gt;"No control",SUMIF(('Loading-truck'!$B$31:$B$48),$J2190,('Loading-truck'!$E$31:$E$48))*Impacts!$F$14,0)),0)</f>
        <v>0</v>
      </c>
      <c r="S2190" s="10">
        <f>IFERROR(IF(('Loading-rail'!$C$21)="No control",SUMIF(('Loading-rail'!$B$31:$B$48),$J2190,('Loading-rail'!$D$31:$D$48))*Impacts!$F$15,IF(('Loading-rail'!$C$21)&lt;&gt;"No control",SUMIF(('Loading-rail'!$B$31:$B$48),$J2190,('Loading-rail'!$E$31:$E$48))*Impacts!$F$15,0)),0)</f>
        <v>0</v>
      </c>
      <c r="T2190" s="10">
        <f>IF(Flare!$C$7="",0,(SUMIF(Flare!$B$46:$B$185,$J2190,Flare!$E$46:$E$185)*Impacts!$F$16))</f>
        <v>0</v>
      </c>
      <c r="U2190" s="10">
        <f>IF(VCU!$C$9="",0,(SUMIF(VCU!$B$51:$B$193,$J2190,VCU!$E$51:$E$193)*Impacts!$F$17))</f>
        <v>0</v>
      </c>
      <c r="V2190" s="10">
        <f>IF(CAS!$C$7="",0,(SUMIF(CAS!$B$31:$B$167,$J2190,CAS!$E$31:$E$167)*Impacts!$F$18))</f>
        <v>0</v>
      </c>
      <c r="W2190" s="10">
        <f t="shared" si="74"/>
        <v>0</v>
      </c>
      <c r="AK2190" s="10" t="str">
        <f t="array" ref="AK2190">IFERROR(INDEX(SelectedSpecies,SMALL(IF(SelectedSpecies=AK$1,ROW(SelectedSpecies)),ROW(2191:2191)),2),"")</f>
        <v/>
      </c>
      <c r="BE2190" s="10"/>
      <c r="BI2190" s="10"/>
    </row>
    <row r="2191" spans="1:61" ht="21" customHeight="1" x14ac:dyDescent="0.25">
      <c r="A2191" s="10"/>
      <c r="B2191" s="10"/>
      <c r="E2191" s="10"/>
      <c r="G2191" s="10"/>
      <c r="I2191" s="436" t="s">
        <v>2505</v>
      </c>
      <c r="J2191" s="26" t="s">
        <v>2504</v>
      </c>
      <c r="K2191" s="10">
        <v>10</v>
      </c>
      <c r="L2191" s="73">
        <f>IF(Tank1!$C$23="No control",(SUMIF(Tank1!$B$32:$B$49,$J2191,Tank1!$C$32:$C$49)*Impacts!$F$8),0)</f>
        <v>0</v>
      </c>
      <c r="M2191" s="10">
        <f>IF(Tank2!$C$23="No control",(SUMIF(Tank2!$B$32:$B$49,$J2191,Tank2!$C$32:$C$49)*Impacts!$F$9),0)</f>
        <v>0</v>
      </c>
      <c r="N2191" s="10">
        <f>IF(Tank3!$C$23="No control",(SUMIF(Tank3!$B$32:$B$49,$J2191,Tank3!$C$32:$C$49)*Impacts!$F$10),0)</f>
        <v>0</v>
      </c>
      <c r="O2191" s="10">
        <f>IF(Tank4!$C$23="No control",(SUMIF(Tank4!$B$32:$B$49,$J2191,Tank4!$C$32:$C$49)*Impacts!$F$11),0)</f>
        <v>0</v>
      </c>
      <c r="P2191" s="10">
        <f>IF(Tank5!$C$23="No control",(SUMIF(Tank5!$B$32:$B$49,$J2191,Tank5!$C$32:$C$49)*Impacts!$F$12),0)</f>
        <v>0</v>
      </c>
      <c r="Q2191" s="10">
        <f>IFERROR(IF(('Loading-drum,tote'!$C$21)="No control",SUMIF(('Loading-drum,tote'!$B$31:$B$48),$J2191,('Loading-drum,tote'!$D$31:$D$48))*Impacts!$F$13,IF(('Loading-drum,tote'!$C$21)&lt;&gt;"No control",SUMIF(('Loading-drum,tote'!$B$31:$B$48),$J2191,('Loading-drum,tote'!$E$31:$E$48))*Impacts!$F$13,0)),0)</f>
        <v>0</v>
      </c>
      <c r="R2191" s="10">
        <f>IFERROR(IF(('Loading-truck'!$C$21)="No control",SUMIF(('Loading-truck'!$B$31:$B$48),$J2191,('Loading-truck'!$D$31:$D$48))*Impacts!$F$14,IF(('Loading-truck'!$C$21)&lt;&gt;"No control",SUMIF(('Loading-truck'!$B$31:$B$48),$J2191,('Loading-truck'!$E$31:$E$48))*Impacts!$F$14,0)),0)</f>
        <v>0</v>
      </c>
      <c r="S2191" s="10">
        <f>IFERROR(IF(('Loading-rail'!$C$21)="No control",SUMIF(('Loading-rail'!$B$31:$B$48),$J2191,('Loading-rail'!$D$31:$D$48))*Impacts!$F$15,IF(('Loading-rail'!$C$21)&lt;&gt;"No control",SUMIF(('Loading-rail'!$B$31:$B$48),$J2191,('Loading-rail'!$E$31:$E$48))*Impacts!$F$15,0)),0)</f>
        <v>0</v>
      </c>
      <c r="T2191" s="10">
        <f>IF(Flare!$C$7="",0,(SUMIF(Flare!$B$46:$B$185,$J2191,Flare!$E$46:$E$185)*Impacts!$F$16))</f>
        <v>0</v>
      </c>
      <c r="U2191" s="10">
        <f>IF(VCU!$C$9="",0,(SUMIF(VCU!$B$51:$B$193,$J2191,VCU!$E$51:$E$193)*Impacts!$F$17))</f>
        <v>0</v>
      </c>
      <c r="V2191" s="10">
        <f>IF(CAS!$C$7="",0,(SUMIF(CAS!$B$31:$B$167,$J2191,CAS!$E$31:$E$167)*Impacts!$F$18))</f>
        <v>0</v>
      </c>
      <c r="W2191" s="10">
        <f t="shared" si="74"/>
        <v>0</v>
      </c>
      <c r="AK2191" s="10" t="str">
        <f t="array" ref="AK2191">IFERROR(INDEX(SelectedSpecies,SMALL(IF(SelectedSpecies=AK$1,ROW(SelectedSpecies)),ROW(2192:2192)),2),"")</f>
        <v/>
      </c>
      <c r="BE2191" s="10"/>
      <c r="BI2191" s="10"/>
    </row>
    <row r="2192" spans="1:61" ht="21" customHeight="1" x14ac:dyDescent="0.25">
      <c r="A2192" s="10"/>
      <c r="B2192" s="10"/>
      <c r="E2192" s="10"/>
      <c r="G2192" s="10"/>
      <c r="I2192" s="436" t="s">
        <v>1452</v>
      </c>
      <c r="J2192" s="26" t="s">
        <v>1451</v>
      </c>
      <c r="K2192" s="10">
        <v>30</v>
      </c>
      <c r="L2192" s="73">
        <f>IF(Tank1!$C$23="No control",(SUMIF(Tank1!$B$32:$B$49,$J2192,Tank1!$C$32:$C$49)*Impacts!$F$8),0)</f>
        <v>0</v>
      </c>
      <c r="M2192" s="10">
        <f>IF(Tank2!$C$23="No control",(SUMIF(Tank2!$B$32:$B$49,$J2192,Tank2!$C$32:$C$49)*Impacts!$F$9),0)</f>
        <v>0</v>
      </c>
      <c r="N2192" s="10">
        <f>IF(Tank3!$C$23="No control",(SUMIF(Tank3!$B$32:$B$49,$J2192,Tank3!$C$32:$C$49)*Impacts!$F$10),0)</f>
        <v>0</v>
      </c>
      <c r="O2192" s="10">
        <f>IF(Tank4!$C$23="No control",(SUMIF(Tank4!$B$32:$B$49,$J2192,Tank4!$C$32:$C$49)*Impacts!$F$11),0)</f>
        <v>0</v>
      </c>
      <c r="P2192" s="10">
        <f>IF(Tank5!$C$23="No control",(SUMIF(Tank5!$B$32:$B$49,$J2192,Tank5!$C$32:$C$49)*Impacts!$F$12),0)</f>
        <v>0</v>
      </c>
      <c r="Q2192" s="10">
        <f>IFERROR(IF(('Loading-drum,tote'!$C$21)="No control",SUMIF(('Loading-drum,tote'!$B$31:$B$48),$J2192,('Loading-drum,tote'!$D$31:$D$48))*Impacts!$F$13,IF(('Loading-drum,tote'!$C$21)&lt;&gt;"No control",SUMIF(('Loading-drum,tote'!$B$31:$B$48),$J2192,('Loading-drum,tote'!$E$31:$E$48))*Impacts!$F$13,0)),0)</f>
        <v>0</v>
      </c>
      <c r="R2192" s="10">
        <f>IFERROR(IF(('Loading-truck'!$C$21)="No control",SUMIF(('Loading-truck'!$B$31:$B$48),$J2192,('Loading-truck'!$D$31:$D$48))*Impacts!$F$14,IF(('Loading-truck'!$C$21)&lt;&gt;"No control",SUMIF(('Loading-truck'!$B$31:$B$48),$J2192,('Loading-truck'!$E$31:$E$48))*Impacts!$F$14,0)),0)</f>
        <v>0</v>
      </c>
      <c r="S2192" s="10">
        <f>IFERROR(IF(('Loading-rail'!$C$21)="No control",SUMIF(('Loading-rail'!$B$31:$B$48),$J2192,('Loading-rail'!$D$31:$D$48))*Impacts!$F$15,IF(('Loading-rail'!$C$21)&lt;&gt;"No control",SUMIF(('Loading-rail'!$B$31:$B$48),$J2192,('Loading-rail'!$E$31:$E$48))*Impacts!$F$15,0)),0)</f>
        <v>0</v>
      </c>
      <c r="T2192" s="10">
        <f>IF(Flare!$C$7="",0,(SUMIF(Flare!$B$46:$B$185,$J2192,Flare!$E$46:$E$185)*Impacts!$F$16))</f>
        <v>0</v>
      </c>
      <c r="U2192" s="10">
        <f>IF(VCU!$C$9="",0,(SUMIF(VCU!$B$51:$B$193,$J2192,VCU!$E$51:$E$193)*Impacts!$F$17))</f>
        <v>0</v>
      </c>
      <c r="V2192" s="10">
        <f>IF(CAS!$C$7="",0,(SUMIF(CAS!$B$31:$B$167,$J2192,CAS!$E$31:$E$167)*Impacts!$F$18))</f>
        <v>0</v>
      </c>
      <c r="W2192" s="10">
        <f t="shared" si="74"/>
        <v>0</v>
      </c>
      <c r="AK2192" s="10" t="str">
        <f t="array" ref="AK2192">IFERROR(INDEX(SelectedSpecies,SMALL(IF(SelectedSpecies=AK$1,ROW(SelectedSpecies)),ROW(2193:2193)),2),"")</f>
        <v/>
      </c>
      <c r="BE2192" s="10"/>
      <c r="BI2192" s="10"/>
    </row>
    <row r="2193" spans="1:61" ht="21" customHeight="1" x14ac:dyDescent="0.25">
      <c r="A2193" s="10"/>
      <c r="B2193" s="10"/>
      <c r="E2193" s="10"/>
      <c r="G2193" s="10"/>
      <c r="I2193" s="436" t="s">
        <v>4295</v>
      </c>
      <c r="J2193" s="26" t="s">
        <v>4294</v>
      </c>
      <c r="K2193" s="10">
        <v>5</v>
      </c>
      <c r="L2193" s="73">
        <f>IF(Tank1!$C$23="No control",(SUMIF(Tank1!$B$32:$B$49,$J2193,Tank1!$C$32:$C$49)*Impacts!$F$8),0)</f>
        <v>0</v>
      </c>
      <c r="M2193" s="10">
        <f>IF(Tank2!$C$23="No control",(SUMIF(Tank2!$B$32:$B$49,$J2193,Tank2!$C$32:$C$49)*Impacts!$F$9),0)</f>
        <v>0</v>
      </c>
      <c r="N2193" s="10">
        <f>IF(Tank3!$C$23="No control",(SUMIF(Tank3!$B$32:$B$49,$J2193,Tank3!$C$32:$C$49)*Impacts!$F$10),0)</f>
        <v>0</v>
      </c>
      <c r="O2193" s="10">
        <f>IF(Tank4!$C$23="No control",(SUMIF(Tank4!$B$32:$B$49,$J2193,Tank4!$C$32:$C$49)*Impacts!$F$11),0)</f>
        <v>0</v>
      </c>
      <c r="P2193" s="10">
        <f>IF(Tank5!$C$23="No control",(SUMIF(Tank5!$B$32:$B$49,$J2193,Tank5!$C$32:$C$49)*Impacts!$F$12),0)</f>
        <v>0</v>
      </c>
      <c r="Q2193" s="10">
        <f>IFERROR(IF(('Loading-drum,tote'!$C$21)="No control",SUMIF(('Loading-drum,tote'!$B$31:$B$48),$J2193,('Loading-drum,tote'!$D$31:$D$48))*Impacts!$F$13,IF(('Loading-drum,tote'!$C$21)&lt;&gt;"No control",SUMIF(('Loading-drum,tote'!$B$31:$B$48),$J2193,('Loading-drum,tote'!$E$31:$E$48))*Impacts!$F$13,0)),0)</f>
        <v>0</v>
      </c>
      <c r="R2193" s="10">
        <f>IFERROR(IF(('Loading-truck'!$C$21)="No control",SUMIF(('Loading-truck'!$B$31:$B$48),$J2193,('Loading-truck'!$D$31:$D$48))*Impacts!$F$14,IF(('Loading-truck'!$C$21)&lt;&gt;"No control",SUMIF(('Loading-truck'!$B$31:$B$48),$J2193,('Loading-truck'!$E$31:$E$48))*Impacts!$F$14,0)),0)</f>
        <v>0</v>
      </c>
      <c r="S2193" s="10">
        <f>IFERROR(IF(('Loading-rail'!$C$21)="No control",SUMIF(('Loading-rail'!$B$31:$B$48),$J2193,('Loading-rail'!$D$31:$D$48))*Impacts!$F$15,IF(('Loading-rail'!$C$21)&lt;&gt;"No control",SUMIF(('Loading-rail'!$B$31:$B$48),$J2193,('Loading-rail'!$E$31:$E$48))*Impacts!$F$15,0)),0)</f>
        <v>0</v>
      </c>
      <c r="T2193" s="10">
        <f>IF(Flare!$C$7="",0,(SUMIF(Flare!$B$46:$B$185,$J2193,Flare!$E$46:$E$185)*Impacts!$F$16))</f>
        <v>0</v>
      </c>
      <c r="U2193" s="10">
        <f>IF(VCU!$C$9="",0,(SUMIF(VCU!$B$51:$B$193,$J2193,VCU!$E$51:$E$193)*Impacts!$F$17))</f>
        <v>0</v>
      </c>
      <c r="V2193" s="10">
        <f>IF(CAS!$C$7="",0,(SUMIF(CAS!$B$31:$B$167,$J2193,CAS!$E$31:$E$167)*Impacts!$F$18))</f>
        <v>0</v>
      </c>
      <c r="W2193" s="10">
        <f t="shared" si="74"/>
        <v>0</v>
      </c>
      <c r="AK2193" s="10" t="str">
        <f t="array" ref="AK2193">IFERROR(INDEX(SelectedSpecies,SMALL(IF(SelectedSpecies=AK$1,ROW(SelectedSpecies)),ROW(2194:2194)),2),"")</f>
        <v/>
      </c>
      <c r="BE2193" s="10"/>
      <c r="BI2193" s="10"/>
    </row>
    <row r="2194" spans="1:61" ht="21" customHeight="1" x14ac:dyDescent="0.25">
      <c r="A2194" s="10"/>
      <c r="B2194" s="10"/>
      <c r="E2194" s="10"/>
      <c r="G2194" s="10"/>
      <c r="I2194" s="436" t="s">
        <v>1454</v>
      </c>
      <c r="J2194" s="26" t="s">
        <v>1453</v>
      </c>
      <c r="K2194" s="10">
        <v>30</v>
      </c>
      <c r="L2194" s="73">
        <f>IF(Tank1!$C$23="No control",(SUMIF(Tank1!$B$32:$B$49,$J2194,Tank1!$C$32:$C$49)*Impacts!$F$8),0)</f>
        <v>0</v>
      </c>
      <c r="M2194" s="10">
        <f>IF(Tank2!$C$23="No control",(SUMIF(Tank2!$B$32:$B$49,$J2194,Tank2!$C$32:$C$49)*Impacts!$F$9),0)</f>
        <v>0</v>
      </c>
      <c r="N2194" s="10">
        <f>IF(Tank3!$C$23="No control",(SUMIF(Tank3!$B$32:$B$49,$J2194,Tank3!$C$32:$C$49)*Impacts!$F$10),0)</f>
        <v>0</v>
      </c>
      <c r="O2194" s="10">
        <f>IF(Tank4!$C$23="No control",(SUMIF(Tank4!$B$32:$B$49,$J2194,Tank4!$C$32:$C$49)*Impacts!$F$11),0)</f>
        <v>0</v>
      </c>
      <c r="P2194" s="10">
        <f>IF(Tank5!$C$23="No control",(SUMIF(Tank5!$B$32:$B$49,$J2194,Tank5!$C$32:$C$49)*Impacts!$F$12),0)</f>
        <v>0</v>
      </c>
      <c r="Q2194" s="10">
        <f>IFERROR(IF(('Loading-drum,tote'!$C$21)="No control",SUMIF(('Loading-drum,tote'!$B$31:$B$48),$J2194,('Loading-drum,tote'!$D$31:$D$48))*Impacts!$F$13,IF(('Loading-drum,tote'!$C$21)&lt;&gt;"No control",SUMIF(('Loading-drum,tote'!$B$31:$B$48),$J2194,('Loading-drum,tote'!$E$31:$E$48))*Impacts!$F$13,0)),0)</f>
        <v>0</v>
      </c>
      <c r="R2194" s="10">
        <f>IFERROR(IF(('Loading-truck'!$C$21)="No control",SUMIF(('Loading-truck'!$B$31:$B$48),$J2194,('Loading-truck'!$D$31:$D$48))*Impacts!$F$14,IF(('Loading-truck'!$C$21)&lt;&gt;"No control",SUMIF(('Loading-truck'!$B$31:$B$48),$J2194,('Loading-truck'!$E$31:$E$48))*Impacts!$F$14,0)),0)</f>
        <v>0</v>
      </c>
      <c r="S2194" s="10">
        <f>IFERROR(IF(('Loading-rail'!$C$21)="No control",SUMIF(('Loading-rail'!$B$31:$B$48),$J2194,('Loading-rail'!$D$31:$D$48))*Impacts!$F$15,IF(('Loading-rail'!$C$21)&lt;&gt;"No control",SUMIF(('Loading-rail'!$B$31:$B$48),$J2194,('Loading-rail'!$E$31:$E$48))*Impacts!$F$15,0)),0)</f>
        <v>0</v>
      </c>
      <c r="T2194" s="10">
        <f>IF(Flare!$C$7="",0,(SUMIF(Flare!$B$46:$B$185,$J2194,Flare!$E$46:$E$185)*Impacts!$F$16))</f>
        <v>0</v>
      </c>
      <c r="U2194" s="10">
        <f>IF(VCU!$C$9="",0,(SUMIF(VCU!$B$51:$B$193,$J2194,VCU!$E$51:$E$193)*Impacts!$F$17))</f>
        <v>0</v>
      </c>
      <c r="V2194" s="10">
        <f>IF(CAS!$C$7="",0,(SUMIF(CAS!$B$31:$B$167,$J2194,CAS!$E$31:$E$167)*Impacts!$F$18))</f>
        <v>0</v>
      </c>
      <c r="W2194" s="10">
        <f t="shared" si="74"/>
        <v>0</v>
      </c>
      <c r="AK2194" s="10" t="str">
        <f t="array" ref="AK2194">IFERROR(INDEX(SelectedSpecies,SMALL(IF(SelectedSpecies=AK$1,ROW(SelectedSpecies)),ROW(2195:2195)),2),"")</f>
        <v/>
      </c>
      <c r="BE2194" s="10"/>
      <c r="BI2194" s="10"/>
    </row>
    <row r="2195" spans="1:61" ht="21" customHeight="1" x14ac:dyDescent="0.25">
      <c r="A2195" s="10"/>
      <c r="B2195" s="10"/>
      <c r="E2195" s="10"/>
      <c r="G2195" s="10"/>
      <c r="I2195" s="436" t="s">
        <v>5051</v>
      </c>
      <c r="J2195" s="26" t="s">
        <v>5050</v>
      </c>
      <c r="K2195" s="10">
        <v>2.3000000000000003</v>
      </c>
      <c r="L2195" s="73">
        <f>IF(Tank1!$C$23="No control",(SUMIF(Tank1!$B$32:$B$49,$J2195,Tank1!$C$32:$C$49)*Impacts!$F$8),0)</f>
        <v>0</v>
      </c>
      <c r="M2195" s="10">
        <f>IF(Tank2!$C$23="No control",(SUMIF(Tank2!$B$32:$B$49,$J2195,Tank2!$C$32:$C$49)*Impacts!$F$9),0)</f>
        <v>0</v>
      </c>
      <c r="N2195" s="10">
        <f>IF(Tank3!$C$23="No control",(SUMIF(Tank3!$B$32:$B$49,$J2195,Tank3!$C$32:$C$49)*Impacts!$F$10),0)</f>
        <v>0</v>
      </c>
      <c r="O2195" s="10">
        <f>IF(Tank4!$C$23="No control",(SUMIF(Tank4!$B$32:$B$49,$J2195,Tank4!$C$32:$C$49)*Impacts!$F$11),0)</f>
        <v>0</v>
      </c>
      <c r="P2195" s="10">
        <f>IF(Tank5!$C$23="No control",(SUMIF(Tank5!$B$32:$B$49,$J2195,Tank5!$C$32:$C$49)*Impacts!$F$12),0)</f>
        <v>0</v>
      </c>
      <c r="Q2195" s="10">
        <f>IFERROR(IF(('Loading-drum,tote'!$C$21)="No control",SUMIF(('Loading-drum,tote'!$B$31:$B$48),$J2195,('Loading-drum,tote'!$D$31:$D$48))*Impacts!$F$13,IF(('Loading-drum,tote'!$C$21)&lt;&gt;"No control",SUMIF(('Loading-drum,tote'!$B$31:$B$48),$J2195,('Loading-drum,tote'!$E$31:$E$48))*Impacts!$F$13,0)),0)</f>
        <v>0</v>
      </c>
      <c r="R2195" s="10">
        <f>IFERROR(IF(('Loading-truck'!$C$21)="No control",SUMIF(('Loading-truck'!$B$31:$B$48),$J2195,('Loading-truck'!$D$31:$D$48))*Impacts!$F$14,IF(('Loading-truck'!$C$21)&lt;&gt;"No control",SUMIF(('Loading-truck'!$B$31:$B$48),$J2195,('Loading-truck'!$E$31:$E$48))*Impacts!$F$14,0)),0)</f>
        <v>0</v>
      </c>
      <c r="S2195" s="10">
        <f>IFERROR(IF(('Loading-rail'!$C$21)="No control",SUMIF(('Loading-rail'!$B$31:$B$48),$J2195,('Loading-rail'!$D$31:$D$48))*Impacts!$F$15,IF(('Loading-rail'!$C$21)&lt;&gt;"No control",SUMIF(('Loading-rail'!$B$31:$B$48),$J2195,('Loading-rail'!$E$31:$E$48))*Impacts!$F$15,0)),0)</f>
        <v>0</v>
      </c>
      <c r="T2195" s="10">
        <f>IF(Flare!$C$7="",0,(SUMIF(Flare!$B$46:$B$185,$J2195,Flare!$E$46:$E$185)*Impacts!$F$16))</f>
        <v>0</v>
      </c>
      <c r="U2195" s="10">
        <f>IF(VCU!$C$9="",0,(SUMIF(VCU!$B$51:$B$193,$J2195,VCU!$E$51:$E$193)*Impacts!$F$17))</f>
        <v>0</v>
      </c>
      <c r="V2195" s="10">
        <f>IF(CAS!$C$7="",0,(SUMIF(CAS!$B$31:$B$167,$J2195,CAS!$E$31:$E$167)*Impacts!$F$18))</f>
        <v>0</v>
      </c>
      <c r="W2195" s="10">
        <f t="shared" si="74"/>
        <v>0</v>
      </c>
      <c r="AK2195" s="10" t="str">
        <f t="array" ref="AK2195">IFERROR(INDEX(SelectedSpecies,SMALL(IF(SelectedSpecies=AK$1,ROW(SelectedSpecies)),ROW(2196:2196)),2),"")</f>
        <v/>
      </c>
      <c r="BE2195" s="10"/>
      <c r="BI2195" s="10"/>
    </row>
    <row r="2196" spans="1:61" ht="21" customHeight="1" x14ac:dyDescent="0.25">
      <c r="A2196" s="10"/>
      <c r="B2196" s="10"/>
      <c r="E2196" s="10"/>
      <c r="G2196" s="10"/>
      <c r="I2196" s="436" t="s">
        <v>1552</v>
      </c>
      <c r="J2196" s="26" t="s">
        <v>1551</v>
      </c>
      <c r="K2196" s="10">
        <v>27</v>
      </c>
      <c r="L2196" s="73">
        <f>IF(Tank1!$C$23="No control",(SUMIF(Tank1!$B$32:$B$49,$J2196,Tank1!$C$32:$C$49)*Impacts!$F$8),0)</f>
        <v>0</v>
      </c>
      <c r="M2196" s="10">
        <f>IF(Tank2!$C$23="No control",(SUMIF(Tank2!$B$32:$B$49,$J2196,Tank2!$C$32:$C$49)*Impacts!$F$9),0)</f>
        <v>0</v>
      </c>
      <c r="N2196" s="10">
        <f>IF(Tank3!$C$23="No control",(SUMIF(Tank3!$B$32:$B$49,$J2196,Tank3!$C$32:$C$49)*Impacts!$F$10),0)</f>
        <v>0</v>
      </c>
      <c r="O2196" s="10">
        <f>IF(Tank4!$C$23="No control",(SUMIF(Tank4!$B$32:$B$49,$J2196,Tank4!$C$32:$C$49)*Impacts!$F$11),0)</f>
        <v>0</v>
      </c>
      <c r="P2196" s="10">
        <f>IF(Tank5!$C$23="No control",(SUMIF(Tank5!$B$32:$B$49,$J2196,Tank5!$C$32:$C$49)*Impacts!$F$12),0)</f>
        <v>0</v>
      </c>
      <c r="Q2196" s="10">
        <f>IFERROR(IF(('Loading-drum,tote'!$C$21)="No control",SUMIF(('Loading-drum,tote'!$B$31:$B$48),$J2196,('Loading-drum,tote'!$D$31:$D$48))*Impacts!$F$13,IF(('Loading-drum,tote'!$C$21)&lt;&gt;"No control",SUMIF(('Loading-drum,tote'!$B$31:$B$48),$J2196,('Loading-drum,tote'!$E$31:$E$48))*Impacts!$F$13,0)),0)</f>
        <v>0</v>
      </c>
      <c r="R2196" s="10">
        <f>IFERROR(IF(('Loading-truck'!$C$21)="No control",SUMIF(('Loading-truck'!$B$31:$B$48),$J2196,('Loading-truck'!$D$31:$D$48))*Impacts!$F$14,IF(('Loading-truck'!$C$21)&lt;&gt;"No control",SUMIF(('Loading-truck'!$B$31:$B$48),$J2196,('Loading-truck'!$E$31:$E$48))*Impacts!$F$14,0)),0)</f>
        <v>0</v>
      </c>
      <c r="S2196" s="10">
        <f>IFERROR(IF(('Loading-rail'!$C$21)="No control",SUMIF(('Loading-rail'!$B$31:$B$48),$J2196,('Loading-rail'!$D$31:$D$48))*Impacts!$F$15,IF(('Loading-rail'!$C$21)&lt;&gt;"No control",SUMIF(('Loading-rail'!$B$31:$B$48),$J2196,('Loading-rail'!$E$31:$E$48))*Impacts!$F$15,0)),0)</f>
        <v>0</v>
      </c>
      <c r="T2196" s="10">
        <f>IF(Flare!$C$7="",0,(SUMIF(Flare!$B$46:$B$185,$J2196,Flare!$E$46:$E$185)*Impacts!$F$16))</f>
        <v>0</v>
      </c>
      <c r="U2196" s="10">
        <f>IF(VCU!$C$9="",0,(SUMIF(VCU!$B$51:$B$193,$J2196,VCU!$E$51:$E$193)*Impacts!$F$17))</f>
        <v>0</v>
      </c>
      <c r="V2196" s="10">
        <f>IF(CAS!$C$7="",0,(SUMIF(CAS!$B$31:$B$167,$J2196,CAS!$E$31:$E$167)*Impacts!$F$18))</f>
        <v>0</v>
      </c>
      <c r="W2196" s="10">
        <f t="shared" si="74"/>
        <v>0</v>
      </c>
      <c r="AK2196" s="10" t="str">
        <f t="array" ref="AK2196">IFERROR(INDEX(SelectedSpecies,SMALL(IF(SelectedSpecies=AK$1,ROW(SelectedSpecies)),ROW(2197:2197)),2),"")</f>
        <v/>
      </c>
      <c r="BE2196" s="10"/>
      <c r="BI2196" s="10"/>
    </row>
    <row r="2197" spans="1:61" ht="21" customHeight="1" x14ac:dyDescent="0.25">
      <c r="A2197" s="10"/>
      <c r="B2197" s="10"/>
      <c r="E2197" s="10"/>
      <c r="G2197" s="10"/>
      <c r="I2197" s="436" t="s">
        <v>614</v>
      </c>
      <c r="J2197" s="26" t="s">
        <v>613</v>
      </c>
      <c r="K2197" s="10">
        <v>79</v>
      </c>
      <c r="L2197" s="73">
        <f>IF(Tank1!$C$23="No control",(SUMIF(Tank1!$B$32:$B$49,$J2197,Tank1!$C$32:$C$49)*Impacts!$F$8),0)</f>
        <v>0</v>
      </c>
      <c r="M2197" s="10">
        <f>IF(Tank2!$C$23="No control",(SUMIF(Tank2!$B$32:$B$49,$J2197,Tank2!$C$32:$C$49)*Impacts!$F$9),0)</f>
        <v>0</v>
      </c>
      <c r="N2197" s="10">
        <f>IF(Tank3!$C$23="No control",(SUMIF(Tank3!$B$32:$B$49,$J2197,Tank3!$C$32:$C$49)*Impacts!$F$10),0)</f>
        <v>0</v>
      </c>
      <c r="O2197" s="10">
        <f>IF(Tank4!$C$23="No control",(SUMIF(Tank4!$B$32:$B$49,$J2197,Tank4!$C$32:$C$49)*Impacts!$F$11),0)</f>
        <v>0</v>
      </c>
      <c r="P2197" s="10">
        <f>IF(Tank5!$C$23="No control",(SUMIF(Tank5!$B$32:$B$49,$J2197,Tank5!$C$32:$C$49)*Impacts!$F$12),0)</f>
        <v>0</v>
      </c>
      <c r="Q2197" s="10">
        <f>IFERROR(IF(('Loading-drum,tote'!$C$21)="No control",SUMIF(('Loading-drum,tote'!$B$31:$B$48),$J2197,('Loading-drum,tote'!$D$31:$D$48))*Impacts!$F$13,IF(('Loading-drum,tote'!$C$21)&lt;&gt;"No control",SUMIF(('Loading-drum,tote'!$B$31:$B$48),$J2197,('Loading-drum,tote'!$E$31:$E$48))*Impacts!$F$13,0)),0)</f>
        <v>0</v>
      </c>
      <c r="R2197" s="10">
        <f>IFERROR(IF(('Loading-truck'!$C$21)="No control",SUMIF(('Loading-truck'!$B$31:$B$48),$J2197,('Loading-truck'!$D$31:$D$48))*Impacts!$F$14,IF(('Loading-truck'!$C$21)&lt;&gt;"No control",SUMIF(('Loading-truck'!$B$31:$B$48),$J2197,('Loading-truck'!$E$31:$E$48))*Impacts!$F$14,0)),0)</f>
        <v>0</v>
      </c>
      <c r="S2197" s="10">
        <f>IFERROR(IF(('Loading-rail'!$C$21)="No control",SUMIF(('Loading-rail'!$B$31:$B$48),$J2197,('Loading-rail'!$D$31:$D$48))*Impacts!$F$15,IF(('Loading-rail'!$C$21)&lt;&gt;"No control",SUMIF(('Loading-rail'!$B$31:$B$48),$J2197,('Loading-rail'!$E$31:$E$48))*Impacts!$F$15,0)),0)</f>
        <v>0</v>
      </c>
      <c r="T2197" s="10">
        <f>IF(Flare!$C$7="",0,(SUMIF(Flare!$B$46:$B$185,$J2197,Flare!$E$46:$E$185)*Impacts!$F$16))</f>
        <v>0</v>
      </c>
      <c r="U2197" s="10">
        <f>IF(VCU!$C$9="",0,(SUMIF(VCU!$B$51:$B$193,$J2197,VCU!$E$51:$E$193)*Impacts!$F$17))</f>
        <v>0</v>
      </c>
      <c r="V2197" s="10">
        <f>IF(CAS!$C$7="",0,(SUMIF(CAS!$B$31:$B$167,$J2197,CAS!$E$31:$E$167)*Impacts!$F$18))</f>
        <v>0</v>
      </c>
      <c r="W2197" s="10">
        <f t="shared" si="74"/>
        <v>0</v>
      </c>
      <c r="AK2197" s="10" t="str">
        <f t="array" ref="AK2197">IFERROR(INDEX(SelectedSpecies,SMALL(IF(SelectedSpecies=AK$1,ROW(SelectedSpecies)),ROW(2198:2198)),2),"")</f>
        <v/>
      </c>
      <c r="BE2197" s="10"/>
      <c r="BI2197" s="10"/>
    </row>
    <row r="2198" spans="1:61" ht="21" customHeight="1" x14ac:dyDescent="0.25">
      <c r="A2198" s="10"/>
      <c r="B2198" s="10"/>
      <c r="E2198" s="10"/>
      <c r="G2198" s="10"/>
      <c r="I2198" s="436" t="s">
        <v>7590</v>
      </c>
      <c r="J2198" s="26" t="s">
        <v>7589</v>
      </c>
      <c r="K2198" s="10">
        <v>0.18000000000000002</v>
      </c>
      <c r="L2198" s="73">
        <f>IF(Tank1!$C$23="No control",(SUMIF(Tank1!$B$32:$B$49,$J2198,Tank1!$C$32:$C$49)*Impacts!$F$8),0)</f>
        <v>0</v>
      </c>
      <c r="M2198" s="10">
        <f>IF(Tank2!$C$23="No control",(SUMIF(Tank2!$B$32:$B$49,$J2198,Tank2!$C$32:$C$49)*Impacts!$F$9),0)</f>
        <v>0</v>
      </c>
      <c r="N2198" s="10">
        <f>IF(Tank3!$C$23="No control",(SUMIF(Tank3!$B$32:$B$49,$J2198,Tank3!$C$32:$C$49)*Impacts!$F$10),0)</f>
        <v>0</v>
      </c>
      <c r="O2198" s="10">
        <f>IF(Tank4!$C$23="No control",(SUMIF(Tank4!$B$32:$B$49,$J2198,Tank4!$C$32:$C$49)*Impacts!$F$11),0)</f>
        <v>0</v>
      </c>
      <c r="P2198" s="10">
        <f>IF(Tank5!$C$23="No control",(SUMIF(Tank5!$B$32:$B$49,$J2198,Tank5!$C$32:$C$49)*Impacts!$F$12),0)</f>
        <v>0</v>
      </c>
      <c r="Q2198" s="10">
        <f>IFERROR(IF(('Loading-drum,tote'!$C$21)="No control",SUMIF(('Loading-drum,tote'!$B$31:$B$48),$J2198,('Loading-drum,tote'!$D$31:$D$48))*Impacts!$F$13,IF(('Loading-drum,tote'!$C$21)&lt;&gt;"No control",SUMIF(('Loading-drum,tote'!$B$31:$B$48),$J2198,('Loading-drum,tote'!$E$31:$E$48))*Impacts!$F$13,0)),0)</f>
        <v>0</v>
      </c>
      <c r="R2198" s="10">
        <f>IFERROR(IF(('Loading-truck'!$C$21)="No control",SUMIF(('Loading-truck'!$B$31:$B$48),$J2198,('Loading-truck'!$D$31:$D$48))*Impacts!$F$14,IF(('Loading-truck'!$C$21)&lt;&gt;"No control",SUMIF(('Loading-truck'!$B$31:$B$48),$J2198,('Loading-truck'!$E$31:$E$48))*Impacts!$F$14,0)),0)</f>
        <v>0</v>
      </c>
      <c r="S2198" s="10">
        <f>IFERROR(IF(('Loading-rail'!$C$21)="No control",SUMIF(('Loading-rail'!$B$31:$B$48),$J2198,('Loading-rail'!$D$31:$D$48))*Impacts!$F$15,IF(('Loading-rail'!$C$21)&lt;&gt;"No control",SUMIF(('Loading-rail'!$B$31:$B$48),$J2198,('Loading-rail'!$E$31:$E$48))*Impacts!$F$15,0)),0)</f>
        <v>0</v>
      </c>
      <c r="T2198" s="10">
        <f>IF(Flare!$C$7="",0,(SUMIF(Flare!$B$46:$B$185,$J2198,Flare!$E$46:$E$185)*Impacts!$F$16))</f>
        <v>0</v>
      </c>
      <c r="U2198" s="10">
        <f>IF(VCU!$C$9="",0,(SUMIF(VCU!$B$51:$B$193,$J2198,VCU!$E$51:$E$193)*Impacts!$F$17))</f>
        <v>0</v>
      </c>
      <c r="V2198" s="10">
        <f>IF(CAS!$C$7="",0,(SUMIF(CAS!$B$31:$B$167,$J2198,CAS!$E$31:$E$167)*Impacts!$F$18))</f>
        <v>0</v>
      </c>
      <c r="W2198" s="10">
        <f t="shared" si="74"/>
        <v>0</v>
      </c>
      <c r="AK2198" s="10" t="str">
        <f t="array" ref="AK2198">IFERROR(INDEX(SelectedSpecies,SMALL(IF(SelectedSpecies=AK$1,ROW(SelectedSpecies)),ROW(2199:2199)),2),"")</f>
        <v/>
      </c>
      <c r="BE2198" s="10"/>
      <c r="BI2198" s="10"/>
    </row>
    <row r="2199" spans="1:61" ht="21" customHeight="1" x14ac:dyDescent="0.25">
      <c r="A2199" s="10"/>
      <c r="B2199" s="10"/>
      <c r="E2199" s="10"/>
      <c r="G2199" s="10"/>
      <c r="I2199" s="436" t="s">
        <v>772</v>
      </c>
      <c r="J2199" s="26" t="s">
        <v>771</v>
      </c>
      <c r="K2199" s="10">
        <v>54</v>
      </c>
      <c r="L2199" s="73">
        <f>IF(Tank1!$C$23="No control",(SUMIF(Tank1!$B$32:$B$49,$J2199,Tank1!$C$32:$C$49)*Impacts!$F$8),0)</f>
        <v>0</v>
      </c>
      <c r="M2199" s="10">
        <f>IF(Tank2!$C$23="No control",(SUMIF(Tank2!$B$32:$B$49,$J2199,Tank2!$C$32:$C$49)*Impacts!$F$9),0)</f>
        <v>0</v>
      </c>
      <c r="N2199" s="10">
        <f>IF(Tank3!$C$23="No control",(SUMIF(Tank3!$B$32:$B$49,$J2199,Tank3!$C$32:$C$49)*Impacts!$F$10),0)</f>
        <v>0</v>
      </c>
      <c r="O2199" s="10">
        <f>IF(Tank4!$C$23="No control",(SUMIF(Tank4!$B$32:$B$49,$J2199,Tank4!$C$32:$C$49)*Impacts!$F$11),0)</f>
        <v>0</v>
      </c>
      <c r="P2199" s="10">
        <f>IF(Tank5!$C$23="No control",(SUMIF(Tank5!$B$32:$B$49,$J2199,Tank5!$C$32:$C$49)*Impacts!$F$12),0)</f>
        <v>0</v>
      </c>
      <c r="Q2199" s="10">
        <f>IFERROR(IF(('Loading-drum,tote'!$C$21)="No control",SUMIF(('Loading-drum,tote'!$B$31:$B$48),$J2199,('Loading-drum,tote'!$D$31:$D$48))*Impacts!$F$13,IF(('Loading-drum,tote'!$C$21)&lt;&gt;"No control",SUMIF(('Loading-drum,tote'!$B$31:$B$48),$J2199,('Loading-drum,tote'!$E$31:$E$48))*Impacts!$F$13,0)),0)</f>
        <v>0</v>
      </c>
      <c r="R2199" s="10">
        <f>IFERROR(IF(('Loading-truck'!$C$21)="No control",SUMIF(('Loading-truck'!$B$31:$B$48),$J2199,('Loading-truck'!$D$31:$D$48))*Impacts!$F$14,IF(('Loading-truck'!$C$21)&lt;&gt;"No control",SUMIF(('Loading-truck'!$B$31:$B$48),$J2199,('Loading-truck'!$E$31:$E$48))*Impacts!$F$14,0)),0)</f>
        <v>0</v>
      </c>
      <c r="S2199" s="10">
        <f>IFERROR(IF(('Loading-rail'!$C$21)="No control",SUMIF(('Loading-rail'!$B$31:$B$48),$J2199,('Loading-rail'!$D$31:$D$48))*Impacts!$F$15,IF(('Loading-rail'!$C$21)&lt;&gt;"No control",SUMIF(('Loading-rail'!$B$31:$B$48),$J2199,('Loading-rail'!$E$31:$E$48))*Impacts!$F$15,0)),0)</f>
        <v>0</v>
      </c>
      <c r="T2199" s="10">
        <f>IF(Flare!$C$7="",0,(SUMIF(Flare!$B$46:$B$185,$J2199,Flare!$E$46:$E$185)*Impacts!$F$16))</f>
        <v>0</v>
      </c>
      <c r="U2199" s="10">
        <f>IF(VCU!$C$9="",0,(SUMIF(VCU!$B$51:$B$193,$J2199,VCU!$E$51:$E$193)*Impacts!$F$17))</f>
        <v>0</v>
      </c>
      <c r="V2199" s="10">
        <f>IF(CAS!$C$7="",0,(SUMIF(CAS!$B$31:$B$167,$J2199,CAS!$E$31:$E$167)*Impacts!$F$18))</f>
        <v>0</v>
      </c>
      <c r="W2199" s="10">
        <f t="shared" si="74"/>
        <v>0</v>
      </c>
      <c r="AK2199" s="10" t="str">
        <f t="array" ref="AK2199">IFERROR(INDEX(SelectedSpecies,SMALL(IF(SelectedSpecies=AK$1,ROW(SelectedSpecies)),ROW(2200:2200)),2),"")</f>
        <v/>
      </c>
      <c r="BE2199" s="10"/>
      <c r="BI2199" s="10"/>
    </row>
    <row r="2200" spans="1:61" ht="21" customHeight="1" x14ac:dyDescent="0.25">
      <c r="A2200" s="10"/>
      <c r="B2200" s="10"/>
      <c r="E2200" s="10"/>
      <c r="G2200" s="10"/>
      <c r="I2200" s="436" t="s">
        <v>570</v>
      </c>
      <c r="J2200" s="26" t="s">
        <v>569</v>
      </c>
      <c r="K2200" s="10">
        <v>95</v>
      </c>
      <c r="L2200" s="73">
        <f>IF(Tank1!$C$23="No control",(SUMIF(Tank1!$B$32:$B$49,$J2200,Tank1!$C$32:$C$49)*Impacts!$F$8),0)</f>
        <v>0</v>
      </c>
      <c r="M2200" s="10">
        <f>IF(Tank2!$C$23="No control",(SUMIF(Tank2!$B$32:$B$49,$J2200,Tank2!$C$32:$C$49)*Impacts!$F$9),0)</f>
        <v>0</v>
      </c>
      <c r="N2200" s="10">
        <f>IF(Tank3!$C$23="No control",(SUMIF(Tank3!$B$32:$B$49,$J2200,Tank3!$C$32:$C$49)*Impacts!$F$10),0)</f>
        <v>0</v>
      </c>
      <c r="O2200" s="10">
        <f>IF(Tank4!$C$23="No control",(SUMIF(Tank4!$B$32:$B$49,$J2200,Tank4!$C$32:$C$49)*Impacts!$F$11),0)</f>
        <v>0</v>
      </c>
      <c r="P2200" s="10">
        <f>IF(Tank5!$C$23="No control",(SUMIF(Tank5!$B$32:$B$49,$J2200,Tank5!$C$32:$C$49)*Impacts!$F$12),0)</f>
        <v>0</v>
      </c>
      <c r="Q2200" s="10">
        <f>IFERROR(IF(('Loading-drum,tote'!$C$21)="No control",SUMIF(('Loading-drum,tote'!$B$31:$B$48),$J2200,('Loading-drum,tote'!$D$31:$D$48))*Impacts!$F$13,IF(('Loading-drum,tote'!$C$21)&lt;&gt;"No control",SUMIF(('Loading-drum,tote'!$B$31:$B$48),$J2200,('Loading-drum,tote'!$E$31:$E$48))*Impacts!$F$13,0)),0)</f>
        <v>0</v>
      </c>
      <c r="R2200" s="10">
        <f>IFERROR(IF(('Loading-truck'!$C$21)="No control",SUMIF(('Loading-truck'!$B$31:$B$48),$J2200,('Loading-truck'!$D$31:$D$48))*Impacts!$F$14,IF(('Loading-truck'!$C$21)&lt;&gt;"No control",SUMIF(('Loading-truck'!$B$31:$B$48),$J2200,('Loading-truck'!$E$31:$E$48))*Impacts!$F$14,0)),0)</f>
        <v>0</v>
      </c>
      <c r="S2200" s="10">
        <f>IFERROR(IF(('Loading-rail'!$C$21)="No control",SUMIF(('Loading-rail'!$B$31:$B$48),$J2200,('Loading-rail'!$D$31:$D$48))*Impacts!$F$15,IF(('Loading-rail'!$C$21)&lt;&gt;"No control",SUMIF(('Loading-rail'!$B$31:$B$48),$J2200,('Loading-rail'!$E$31:$E$48))*Impacts!$F$15,0)),0)</f>
        <v>0</v>
      </c>
      <c r="T2200" s="10">
        <f>IF(Flare!$C$7="",0,(SUMIF(Flare!$B$46:$B$185,$J2200,Flare!$E$46:$E$185)*Impacts!$F$16))</f>
        <v>0</v>
      </c>
      <c r="U2200" s="10">
        <f>IF(VCU!$C$9="",0,(SUMIF(VCU!$B$51:$B$193,$J2200,VCU!$E$51:$E$193)*Impacts!$F$17))</f>
        <v>0</v>
      </c>
      <c r="V2200" s="10">
        <f>IF(CAS!$C$7="",0,(SUMIF(CAS!$B$31:$B$167,$J2200,CAS!$E$31:$E$167)*Impacts!$F$18))</f>
        <v>0</v>
      </c>
      <c r="W2200" s="10">
        <f t="shared" si="74"/>
        <v>0</v>
      </c>
      <c r="AK2200" s="10" t="str">
        <f t="array" ref="AK2200">IFERROR(INDEX(SelectedSpecies,SMALL(IF(SelectedSpecies=AK$1,ROW(SelectedSpecies)),ROW(2201:2201)),2),"")</f>
        <v/>
      </c>
      <c r="BE2200" s="10"/>
      <c r="BI2200" s="10"/>
    </row>
    <row r="2201" spans="1:61" ht="21" customHeight="1" x14ac:dyDescent="0.25">
      <c r="A2201" s="10"/>
      <c r="B2201" s="10"/>
      <c r="E2201" s="10"/>
      <c r="G2201" s="10"/>
      <c r="I2201" s="436" t="s">
        <v>2929</v>
      </c>
      <c r="J2201" s="26" t="s">
        <v>2928</v>
      </c>
      <c r="K2201" s="10">
        <v>10</v>
      </c>
      <c r="L2201" s="73">
        <f>IF(Tank1!$C$23="No control",(SUMIF(Tank1!$B$32:$B$49,$J2201,Tank1!$C$32:$C$49)*Impacts!$F$8),0)</f>
        <v>0</v>
      </c>
      <c r="M2201" s="10">
        <f>IF(Tank2!$C$23="No control",(SUMIF(Tank2!$B$32:$B$49,$J2201,Tank2!$C$32:$C$49)*Impacts!$F$9),0)</f>
        <v>0</v>
      </c>
      <c r="N2201" s="10">
        <f>IF(Tank3!$C$23="No control",(SUMIF(Tank3!$B$32:$B$49,$J2201,Tank3!$C$32:$C$49)*Impacts!$F$10),0)</f>
        <v>0</v>
      </c>
      <c r="O2201" s="10">
        <f>IF(Tank4!$C$23="No control",(SUMIF(Tank4!$B$32:$B$49,$J2201,Tank4!$C$32:$C$49)*Impacts!$F$11),0)</f>
        <v>0</v>
      </c>
      <c r="P2201" s="10">
        <f>IF(Tank5!$C$23="No control",(SUMIF(Tank5!$B$32:$B$49,$J2201,Tank5!$C$32:$C$49)*Impacts!$F$12),0)</f>
        <v>0</v>
      </c>
      <c r="Q2201" s="10">
        <f>IFERROR(IF(('Loading-drum,tote'!$C$21)="No control",SUMIF(('Loading-drum,tote'!$B$31:$B$48),$J2201,('Loading-drum,tote'!$D$31:$D$48))*Impacts!$F$13,IF(('Loading-drum,tote'!$C$21)&lt;&gt;"No control",SUMIF(('Loading-drum,tote'!$B$31:$B$48),$J2201,('Loading-drum,tote'!$E$31:$E$48))*Impacts!$F$13,0)),0)</f>
        <v>0</v>
      </c>
      <c r="R2201" s="10">
        <f>IFERROR(IF(('Loading-truck'!$C$21)="No control",SUMIF(('Loading-truck'!$B$31:$B$48),$J2201,('Loading-truck'!$D$31:$D$48))*Impacts!$F$14,IF(('Loading-truck'!$C$21)&lt;&gt;"No control",SUMIF(('Loading-truck'!$B$31:$B$48),$J2201,('Loading-truck'!$E$31:$E$48))*Impacts!$F$14,0)),0)</f>
        <v>0</v>
      </c>
      <c r="S2201" s="10">
        <f>IFERROR(IF(('Loading-rail'!$C$21)="No control",SUMIF(('Loading-rail'!$B$31:$B$48),$J2201,('Loading-rail'!$D$31:$D$48))*Impacts!$F$15,IF(('Loading-rail'!$C$21)&lt;&gt;"No control",SUMIF(('Loading-rail'!$B$31:$B$48),$J2201,('Loading-rail'!$E$31:$E$48))*Impacts!$F$15,0)),0)</f>
        <v>0</v>
      </c>
      <c r="T2201" s="10">
        <f>IF(Flare!$C$7="",0,(SUMIF(Flare!$B$46:$B$185,$J2201,Flare!$E$46:$E$185)*Impacts!$F$16))</f>
        <v>0</v>
      </c>
      <c r="U2201" s="10">
        <f>IF(VCU!$C$9="",0,(SUMIF(VCU!$B$51:$B$193,$J2201,VCU!$E$51:$E$193)*Impacts!$F$17))</f>
        <v>0</v>
      </c>
      <c r="V2201" s="10">
        <f>IF(CAS!$C$7="",0,(SUMIF(CAS!$B$31:$B$167,$J2201,CAS!$E$31:$E$167)*Impacts!$F$18))</f>
        <v>0</v>
      </c>
      <c r="W2201" s="10">
        <f t="shared" si="74"/>
        <v>0</v>
      </c>
      <c r="AK2201" s="10" t="str">
        <f t="array" ref="AK2201">IFERROR(INDEX(SelectedSpecies,SMALL(IF(SelectedSpecies=AK$1,ROW(SelectedSpecies)),ROW(2202:2202)),2),"")</f>
        <v/>
      </c>
      <c r="BE2201" s="10"/>
      <c r="BI2201" s="10"/>
    </row>
    <row r="2202" spans="1:61" ht="21" customHeight="1" x14ac:dyDescent="0.25">
      <c r="A2202" s="10"/>
      <c r="B2202" s="10"/>
      <c r="E2202" s="10"/>
      <c r="G2202" s="10"/>
      <c r="I2202" s="436" t="s">
        <v>2931</v>
      </c>
      <c r="J2202" s="26" t="s">
        <v>2930</v>
      </c>
      <c r="K2202" s="10">
        <v>10</v>
      </c>
      <c r="L2202" s="73">
        <f>IF(Tank1!$C$23="No control",(SUMIF(Tank1!$B$32:$B$49,$J2202,Tank1!$C$32:$C$49)*Impacts!$F$8),0)</f>
        <v>0</v>
      </c>
      <c r="M2202" s="10">
        <f>IF(Tank2!$C$23="No control",(SUMIF(Tank2!$B$32:$B$49,$J2202,Tank2!$C$32:$C$49)*Impacts!$F$9),0)</f>
        <v>0</v>
      </c>
      <c r="N2202" s="10">
        <f>IF(Tank3!$C$23="No control",(SUMIF(Tank3!$B$32:$B$49,$J2202,Tank3!$C$32:$C$49)*Impacts!$F$10),0)</f>
        <v>0</v>
      </c>
      <c r="O2202" s="10">
        <f>IF(Tank4!$C$23="No control",(SUMIF(Tank4!$B$32:$B$49,$J2202,Tank4!$C$32:$C$49)*Impacts!$F$11),0)</f>
        <v>0</v>
      </c>
      <c r="P2202" s="10">
        <f>IF(Tank5!$C$23="No control",(SUMIF(Tank5!$B$32:$B$49,$J2202,Tank5!$C$32:$C$49)*Impacts!$F$12),0)</f>
        <v>0</v>
      </c>
      <c r="Q2202" s="10">
        <f>IFERROR(IF(('Loading-drum,tote'!$C$21)="No control",SUMIF(('Loading-drum,tote'!$B$31:$B$48),$J2202,('Loading-drum,tote'!$D$31:$D$48))*Impacts!$F$13,IF(('Loading-drum,tote'!$C$21)&lt;&gt;"No control",SUMIF(('Loading-drum,tote'!$B$31:$B$48),$J2202,('Loading-drum,tote'!$E$31:$E$48))*Impacts!$F$13,0)),0)</f>
        <v>0</v>
      </c>
      <c r="R2202" s="10">
        <f>IFERROR(IF(('Loading-truck'!$C$21)="No control",SUMIF(('Loading-truck'!$B$31:$B$48),$J2202,('Loading-truck'!$D$31:$D$48))*Impacts!$F$14,IF(('Loading-truck'!$C$21)&lt;&gt;"No control",SUMIF(('Loading-truck'!$B$31:$B$48),$J2202,('Loading-truck'!$E$31:$E$48))*Impacts!$F$14,0)),0)</f>
        <v>0</v>
      </c>
      <c r="S2202" s="10">
        <f>IFERROR(IF(('Loading-rail'!$C$21)="No control",SUMIF(('Loading-rail'!$B$31:$B$48),$J2202,('Loading-rail'!$D$31:$D$48))*Impacts!$F$15,IF(('Loading-rail'!$C$21)&lt;&gt;"No control",SUMIF(('Loading-rail'!$B$31:$B$48),$J2202,('Loading-rail'!$E$31:$E$48))*Impacts!$F$15,0)),0)</f>
        <v>0</v>
      </c>
      <c r="T2202" s="10">
        <f>IF(Flare!$C$7="",0,(SUMIF(Flare!$B$46:$B$185,$J2202,Flare!$E$46:$E$185)*Impacts!$F$16))</f>
        <v>0</v>
      </c>
      <c r="U2202" s="10">
        <f>IF(VCU!$C$9="",0,(SUMIF(VCU!$B$51:$B$193,$J2202,VCU!$E$51:$E$193)*Impacts!$F$17))</f>
        <v>0</v>
      </c>
      <c r="V2202" s="10">
        <f>IF(CAS!$C$7="",0,(SUMIF(CAS!$B$31:$B$167,$J2202,CAS!$E$31:$E$167)*Impacts!$F$18))</f>
        <v>0</v>
      </c>
      <c r="W2202" s="10">
        <f t="shared" ref="W2202:W2265" si="75">SUM(L2202:V2202)</f>
        <v>0</v>
      </c>
      <c r="AK2202" s="10" t="str">
        <f t="array" ref="AK2202">IFERROR(INDEX(SelectedSpecies,SMALL(IF(SelectedSpecies=AK$1,ROW(SelectedSpecies)),ROW(2203:2203)),2),"")</f>
        <v/>
      </c>
      <c r="BE2202" s="10"/>
      <c r="BI2202" s="10"/>
    </row>
    <row r="2203" spans="1:61" ht="21" customHeight="1" x14ac:dyDescent="0.25">
      <c r="A2203" s="10"/>
      <c r="B2203" s="10"/>
      <c r="E2203" s="10"/>
      <c r="G2203" s="10"/>
      <c r="I2203" s="436" t="s">
        <v>2933</v>
      </c>
      <c r="J2203" s="26" t="s">
        <v>2932</v>
      </c>
      <c r="K2203" s="10">
        <v>10</v>
      </c>
      <c r="L2203" s="73">
        <f>IF(Tank1!$C$23="No control",(SUMIF(Tank1!$B$32:$B$49,$J2203,Tank1!$C$32:$C$49)*Impacts!$F$8),0)</f>
        <v>0</v>
      </c>
      <c r="M2203" s="10">
        <f>IF(Tank2!$C$23="No control",(SUMIF(Tank2!$B$32:$B$49,$J2203,Tank2!$C$32:$C$49)*Impacts!$F$9),0)</f>
        <v>0</v>
      </c>
      <c r="N2203" s="10">
        <f>IF(Tank3!$C$23="No control",(SUMIF(Tank3!$B$32:$B$49,$J2203,Tank3!$C$32:$C$49)*Impacts!$F$10),0)</f>
        <v>0</v>
      </c>
      <c r="O2203" s="10">
        <f>IF(Tank4!$C$23="No control",(SUMIF(Tank4!$B$32:$B$49,$J2203,Tank4!$C$32:$C$49)*Impacts!$F$11),0)</f>
        <v>0</v>
      </c>
      <c r="P2203" s="10">
        <f>IF(Tank5!$C$23="No control",(SUMIF(Tank5!$B$32:$B$49,$J2203,Tank5!$C$32:$C$49)*Impacts!$F$12),0)</f>
        <v>0</v>
      </c>
      <c r="Q2203" s="10">
        <f>IFERROR(IF(('Loading-drum,tote'!$C$21)="No control",SUMIF(('Loading-drum,tote'!$B$31:$B$48),$J2203,('Loading-drum,tote'!$D$31:$D$48))*Impacts!$F$13,IF(('Loading-drum,tote'!$C$21)&lt;&gt;"No control",SUMIF(('Loading-drum,tote'!$B$31:$B$48),$J2203,('Loading-drum,tote'!$E$31:$E$48))*Impacts!$F$13,0)),0)</f>
        <v>0</v>
      </c>
      <c r="R2203" s="10">
        <f>IFERROR(IF(('Loading-truck'!$C$21)="No control",SUMIF(('Loading-truck'!$B$31:$B$48),$J2203,('Loading-truck'!$D$31:$D$48))*Impacts!$F$14,IF(('Loading-truck'!$C$21)&lt;&gt;"No control",SUMIF(('Loading-truck'!$B$31:$B$48),$J2203,('Loading-truck'!$E$31:$E$48))*Impacts!$F$14,0)),0)</f>
        <v>0</v>
      </c>
      <c r="S2203" s="10">
        <f>IFERROR(IF(('Loading-rail'!$C$21)="No control",SUMIF(('Loading-rail'!$B$31:$B$48),$J2203,('Loading-rail'!$D$31:$D$48))*Impacts!$F$15,IF(('Loading-rail'!$C$21)&lt;&gt;"No control",SUMIF(('Loading-rail'!$B$31:$B$48),$J2203,('Loading-rail'!$E$31:$E$48))*Impacts!$F$15,0)),0)</f>
        <v>0</v>
      </c>
      <c r="T2203" s="10">
        <f>IF(Flare!$C$7="",0,(SUMIF(Flare!$B$46:$B$185,$J2203,Flare!$E$46:$E$185)*Impacts!$F$16))</f>
        <v>0</v>
      </c>
      <c r="U2203" s="10">
        <f>IF(VCU!$C$9="",0,(SUMIF(VCU!$B$51:$B$193,$J2203,VCU!$E$51:$E$193)*Impacts!$F$17))</f>
        <v>0</v>
      </c>
      <c r="V2203" s="10">
        <f>IF(CAS!$C$7="",0,(SUMIF(CAS!$B$31:$B$167,$J2203,CAS!$E$31:$E$167)*Impacts!$F$18))</f>
        <v>0</v>
      </c>
      <c r="W2203" s="10">
        <f t="shared" si="75"/>
        <v>0</v>
      </c>
      <c r="AK2203" s="10" t="str">
        <f t="array" ref="AK2203">IFERROR(INDEX(SelectedSpecies,SMALL(IF(SelectedSpecies=AK$1,ROW(SelectedSpecies)),ROW(2204:2204)),2),"")</f>
        <v/>
      </c>
      <c r="BE2203" s="10"/>
      <c r="BI2203" s="10"/>
    </row>
    <row r="2204" spans="1:61" ht="21" customHeight="1" x14ac:dyDescent="0.25">
      <c r="A2204" s="10"/>
      <c r="B2204" s="10"/>
      <c r="E2204" s="10"/>
      <c r="G2204" s="10"/>
      <c r="I2204" s="436" t="s">
        <v>7920</v>
      </c>
      <c r="J2204" s="26" t="s">
        <v>7919</v>
      </c>
      <c r="K2204" s="10">
        <v>0.05</v>
      </c>
      <c r="L2204" s="73">
        <f>IF(Tank1!$C$23="No control",(SUMIF(Tank1!$B$32:$B$49,$J2204,Tank1!$C$32:$C$49)*Impacts!$F$8),0)</f>
        <v>0</v>
      </c>
      <c r="M2204" s="10">
        <f>IF(Tank2!$C$23="No control",(SUMIF(Tank2!$B$32:$B$49,$J2204,Tank2!$C$32:$C$49)*Impacts!$F$9),0)</f>
        <v>0</v>
      </c>
      <c r="N2204" s="10">
        <f>IF(Tank3!$C$23="No control",(SUMIF(Tank3!$B$32:$B$49,$J2204,Tank3!$C$32:$C$49)*Impacts!$F$10),0)</f>
        <v>0</v>
      </c>
      <c r="O2204" s="10">
        <f>IF(Tank4!$C$23="No control",(SUMIF(Tank4!$B$32:$B$49,$J2204,Tank4!$C$32:$C$49)*Impacts!$F$11),0)</f>
        <v>0</v>
      </c>
      <c r="P2204" s="10">
        <f>IF(Tank5!$C$23="No control",(SUMIF(Tank5!$B$32:$B$49,$J2204,Tank5!$C$32:$C$49)*Impacts!$F$12),0)</f>
        <v>0</v>
      </c>
      <c r="Q2204" s="10">
        <f>IFERROR(IF(('Loading-drum,tote'!$C$21)="No control",SUMIF(('Loading-drum,tote'!$B$31:$B$48),$J2204,('Loading-drum,tote'!$D$31:$D$48))*Impacts!$F$13,IF(('Loading-drum,tote'!$C$21)&lt;&gt;"No control",SUMIF(('Loading-drum,tote'!$B$31:$B$48),$J2204,('Loading-drum,tote'!$E$31:$E$48))*Impacts!$F$13,0)),0)</f>
        <v>0</v>
      </c>
      <c r="R2204" s="10">
        <f>IFERROR(IF(('Loading-truck'!$C$21)="No control",SUMIF(('Loading-truck'!$B$31:$B$48),$J2204,('Loading-truck'!$D$31:$D$48))*Impacts!$F$14,IF(('Loading-truck'!$C$21)&lt;&gt;"No control",SUMIF(('Loading-truck'!$B$31:$B$48),$J2204,('Loading-truck'!$E$31:$E$48))*Impacts!$F$14,0)),0)</f>
        <v>0</v>
      </c>
      <c r="S2204" s="10">
        <f>IFERROR(IF(('Loading-rail'!$C$21)="No control",SUMIF(('Loading-rail'!$B$31:$B$48),$J2204,('Loading-rail'!$D$31:$D$48))*Impacts!$F$15,IF(('Loading-rail'!$C$21)&lt;&gt;"No control",SUMIF(('Loading-rail'!$B$31:$B$48),$J2204,('Loading-rail'!$E$31:$E$48))*Impacts!$F$15,0)),0)</f>
        <v>0</v>
      </c>
      <c r="T2204" s="10">
        <f>IF(Flare!$C$7="",0,(SUMIF(Flare!$B$46:$B$185,$J2204,Flare!$E$46:$E$185)*Impacts!$F$16))</f>
        <v>0</v>
      </c>
      <c r="U2204" s="10">
        <f>IF(VCU!$C$9="",0,(SUMIF(VCU!$B$51:$B$193,$J2204,VCU!$E$51:$E$193)*Impacts!$F$17))</f>
        <v>0</v>
      </c>
      <c r="V2204" s="10">
        <f>IF(CAS!$C$7="",0,(SUMIF(CAS!$B$31:$B$167,$J2204,CAS!$E$31:$E$167)*Impacts!$F$18))</f>
        <v>0</v>
      </c>
      <c r="W2204" s="10">
        <f t="shared" si="75"/>
        <v>0</v>
      </c>
      <c r="AK2204" s="10" t="str">
        <f t="array" ref="AK2204">IFERROR(INDEX(SelectedSpecies,SMALL(IF(SelectedSpecies=AK$1,ROW(SelectedSpecies)),ROW(2205:2205)),2),"")</f>
        <v/>
      </c>
      <c r="BE2204" s="10"/>
      <c r="BI2204" s="10"/>
    </row>
    <row r="2205" spans="1:61" ht="21" customHeight="1" x14ac:dyDescent="0.25">
      <c r="A2205" s="10"/>
      <c r="B2205" s="10"/>
      <c r="E2205" s="10"/>
      <c r="G2205" s="10"/>
      <c r="I2205" s="436" t="s">
        <v>7024</v>
      </c>
      <c r="J2205" s="26" t="s">
        <v>7023</v>
      </c>
      <c r="K2205" s="10">
        <v>0.45</v>
      </c>
      <c r="L2205" s="73">
        <f>IF(Tank1!$C$23="No control",(SUMIF(Tank1!$B$32:$B$49,$J2205,Tank1!$C$32:$C$49)*Impacts!$F$8),0)</f>
        <v>0</v>
      </c>
      <c r="M2205" s="10">
        <f>IF(Tank2!$C$23="No control",(SUMIF(Tank2!$B$32:$B$49,$J2205,Tank2!$C$32:$C$49)*Impacts!$F$9),0)</f>
        <v>0</v>
      </c>
      <c r="N2205" s="10">
        <f>IF(Tank3!$C$23="No control",(SUMIF(Tank3!$B$32:$B$49,$J2205,Tank3!$C$32:$C$49)*Impacts!$F$10),0)</f>
        <v>0</v>
      </c>
      <c r="O2205" s="10">
        <f>IF(Tank4!$C$23="No control",(SUMIF(Tank4!$B$32:$B$49,$J2205,Tank4!$C$32:$C$49)*Impacts!$F$11),0)</f>
        <v>0</v>
      </c>
      <c r="P2205" s="10">
        <f>IF(Tank5!$C$23="No control",(SUMIF(Tank5!$B$32:$B$49,$J2205,Tank5!$C$32:$C$49)*Impacts!$F$12),0)</f>
        <v>0</v>
      </c>
      <c r="Q2205" s="10">
        <f>IFERROR(IF(('Loading-drum,tote'!$C$21)="No control",SUMIF(('Loading-drum,tote'!$B$31:$B$48),$J2205,('Loading-drum,tote'!$D$31:$D$48))*Impacts!$F$13,IF(('Loading-drum,tote'!$C$21)&lt;&gt;"No control",SUMIF(('Loading-drum,tote'!$B$31:$B$48),$J2205,('Loading-drum,tote'!$E$31:$E$48))*Impacts!$F$13,0)),0)</f>
        <v>0</v>
      </c>
      <c r="R2205" s="10">
        <f>IFERROR(IF(('Loading-truck'!$C$21)="No control",SUMIF(('Loading-truck'!$B$31:$B$48),$J2205,('Loading-truck'!$D$31:$D$48))*Impacts!$F$14,IF(('Loading-truck'!$C$21)&lt;&gt;"No control",SUMIF(('Loading-truck'!$B$31:$B$48),$J2205,('Loading-truck'!$E$31:$E$48))*Impacts!$F$14,0)),0)</f>
        <v>0</v>
      </c>
      <c r="S2205" s="10">
        <f>IFERROR(IF(('Loading-rail'!$C$21)="No control",SUMIF(('Loading-rail'!$B$31:$B$48),$J2205,('Loading-rail'!$D$31:$D$48))*Impacts!$F$15,IF(('Loading-rail'!$C$21)&lt;&gt;"No control",SUMIF(('Loading-rail'!$B$31:$B$48),$J2205,('Loading-rail'!$E$31:$E$48))*Impacts!$F$15,0)),0)</f>
        <v>0</v>
      </c>
      <c r="T2205" s="10">
        <f>IF(Flare!$C$7="",0,(SUMIF(Flare!$B$46:$B$185,$J2205,Flare!$E$46:$E$185)*Impacts!$F$16))</f>
        <v>0</v>
      </c>
      <c r="U2205" s="10">
        <f>IF(VCU!$C$9="",0,(SUMIF(VCU!$B$51:$B$193,$J2205,VCU!$E$51:$E$193)*Impacts!$F$17))</f>
        <v>0</v>
      </c>
      <c r="V2205" s="10">
        <f>IF(CAS!$C$7="",0,(SUMIF(CAS!$B$31:$B$167,$J2205,CAS!$E$31:$E$167)*Impacts!$F$18))</f>
        <v>0</v>
      </c>
      <c r="W2205" s="10">
        <f t="shared" si="75"/>
        <v>0</v>
      </c>
      <c r="AK2205" s="10" t="str">
        <f t="array" ref="AK2205">IFERROR(INDEX(SelectedSpecies,SMALL(IF(SelectedSpecies=AK$1,ROW(SelectedSpecies)),ROW(2206:2206)),2),"")</f>
        <v/>
      </c>
      <c r="BE2205" s="10"/>
      <c r="BI2205" s="10"/>
    </row>
    <row r="2206" spans="1:61" ht="21" customHeight="1" x14ac:dyDescent="0.25">
      <c r="A2206" s="10"/>
      <c r="B2206" s="10"/>
      <c r="E2206" s="10"/>
      <c r="G2206" s="10"/>
      <c r="I2206" s="436" t="s">
        <v>2053</v>
      </c>
      <c r="J2206" s="26" t="s">
        <v>2052</v>
      </c>
      <c r="K2206" s="10">
        <v>16</v>
      </c>
      <c r="L2206" s="73">
        <f>IF(Tank1!$C$23="No control",(SUMIF(Tank1!$B$32:$B$49,$J2206,Tank1!$C$32:$C$49)*Impacts!$F$8),0)</f>
        <v>0</v>
      </c>
      <c r="M2206" s="10">
        <f>IF(Tank2!$C$23="No control",(SUMIF(Tank2!$B$32:$B$49,$J2206,Tank2!$C$32:$C$49)*Impacts!$F$9),0)</f>
        <v>0</v>
      </c>
      <c r="N2206" s="10">
        <f>IF(Tank3!$C$23="No control",(SUMIF(Tank3!$B$32:$B$49,$J2206,Tank3!$C$32:$C$49)*Impacts!$F$10),0)</f>
        <v>0</v>
      </c>
      <c r="O2206" s="10">
        <f>IF(Tank4!$C$23="No control",(SUMIF(Tank4!$B$32:$B$49,$J2206,Tank4!$C$32:$C$49)*Impacts!$F$11),0)</f>
        <v>0</v>
      </c>
      <c r="P2206" s="10">
        <f>IF(Tank5!$C$23="No control",(SUMIF(Tank5!$B$32:$B$49,$J2206,Tank5!$C$32:$C$49)*Impacts!$F$12),0)</f>
        <v>0</v>
      </c>
      <c r="Q2206" s="10">
        <f>IFERROR(IF(('Loading-drum,tote'!$C$21)="No control",SUMIF(('Loading-drum,tote'!$B$31:$B$48),$J2206,('Loading-drum,tote'!$D$31:$D$48))*Impacts!$F$13,IF(('Loading-drum,tote'!$C$21)&lt;&gt;"No control",SUMIF(('Loading-drum,tote'!$B$31:$B$48),$J2206,('Loading-drum,tote'!$E$31:$E$48))*Impacts!$F$13,0)),0)</f>
        <v>0</v>
      </c>
      <c r="R2206" s="10">
        <f>IFERROR(IF(('Loading-truck'!$C$21)="No control",SUMIF(('Loading-truck'!$B$31:$B$48),$J2206,('Loading-truck'!$D$31:$D$48))*Impacts!$F$14,IF(('Loading-truck'!$C$21)&lt;&gt;"No control",SUMIF(('Loading-truck'!$B$31:$B$48),$J2206,('Loading-truck'!$E$31:$E$48))*Impacts!$F$14,0)),0)</f>
        <v>0</v>
      </c>
      <c r="S2206" s="10">
        <f>IFERROR(IF(('Loading-rail'!$C$21)="No control",SUMIF(('Loading-rail'!$B$31:$B$48),$J2206,('Loading-rail'!$D$31:$D$48))*Impacts!$F$15,IF(('Loading-rail'!$C$21)&lt;&gt;"No control",SUMIF(('Loading-rail'!$B$31:$B$48),$J2206,('Loading-rail'!$E$31:$E$48))*Impacts!$F$15,0)),0)</f>
        <v>0</v>
      </c>
      <c r="T2206" s="10">
        <f>IF(Flare!$C$7="",0,(SUMIF(Flare!$B$46:$B$185,$J2206,Flare!$E$46:$E$185)*Impacts!$F$16))</f>
        <v>0</v>
      </c>
      <c r="U2206" s="10">
        <f>IF(VCU!$C$9="",0,(SUMIF(VCU!$B$51:$B$193,$J2206,VCU!$E$51:$E$193)*Impacts!$F$17))</f>
        <v>0</v>
      </c>
      <c r="V2206" s="10">
        <f>IF(CAS!$C$7="",0,(SUMIF(CAS!$B$31:$B$167,$J2206,CAS!$E$31:$E$167)*Impacts!$F$18))</f>
        <v>0</v>
      </c>
      <c r="W2206" s="10">
        <f t="shared" si="75"/>
        <v>0</v>
      </c>
      <c r="AK2206" s="10" t="str">
        <f t="array" ref="AK2206">IFERROR(INDEX(SelectedSpecies,SMALL(IF(SelectedSpecies=AK$1,ROW(SelectedSpecies)),ROW(2207:2207)),2),"")</f>
        <v/>
      </c>
      <c r="BE2206" s="10"/>
      <c r="BI2206" s="10"/>
    </row>
    <row r="2207" spans="1:61" ht="21" customHeight="1" x14ac:dyDescent="0.25">
      <c r="A2207" s="10"/>
      <c r="B2207" s="10"/>
      <c r="E2207" s="10"/>
      <c r="G2207" s="10"/>
      <c r="I2207" s="436" t="s">
        <v>4137</v>
      </c>
      <c r="J2207" s="26" t="s">
        <v>4136</v>
      </c>
      <c r="K2207" s="10">
        <v>5.2</v>
      </c>
      <c r="L2207" s="73">
        <f>IF(Tank1!$C$23="No control",(SUMIF(Tank1!$B$32:$B$49,$J2207,Tank1!$C$32:$C$49)*Impacts!$F$8),0)</f>
        <v>0</v>
      </c>
      <c r="M2207" s="10">
        <f>IF(Tank2!$C$23="No control",(SUMIF(Tank2!$B$32:$B$49,$J2207,Tank2!$C$32:$C$49)*Impacts!$F$9),0)</f>
        <v>0</v>
      </c>
      <c r="N2207" s="10">
        <f>IF(Tank3!$C$23="No control",(SUMIF(Tank3!$B$32:$B$49,$J2207,Tank3!$C$32:$C$49)*Impacts!$F$10),0)</f>
        <v>0</v>
      </c>
      <c r="O2207" s="10">
        <f>IF(Tank4!$C$23="No control",(SUMIF(Tank4!$B$32:$B$49,$J2207,Tank4!$C$32:$C$49)*Impacts!$F$11),0)</f>
        <v>0</v>
      </c>
      <c r="P2207" s="10">
        <f>IF(Tank5!$C$23="No control",(SUMIF(Tank5!$B$32:$B$49,$J2207,Tank5!$C$32:$C$49)*Impacts!$F$12),0)</f>
        <v>0</v>
      </c>
      <c r="Q2207" s="10">
        <f>IFERROR(IF(('Loading-drum,tote'!$C$21)="No control",SUMIF(('Loading-drum,tote'!$B$31:$B$48),$J2207,('Loading-drum,tote'!$D$31:$D$48))*Impacts!$F$13,IF(('Loading-drum,tote'!$C$21)&lt;&gt;"No control",SUMIF(('Loading-drum,tote'!$B$31:$B$48),$J2207,('Loading-drum,tote'!$E$31:$E$48))*Impacts!$F$13,0)),0)</f>
        <v>0</v>
      </c>
      <c r="R2207" s="10">
        <f>IFERROR(IF(('Loading-truck'!$C$21)="No control",SUMIF(('Loading-truck'!$B$31:$B$48),$J2207,('Loading-truck'!$D$31:$D$48))*Impacts!$F$14,IF(('Loading-truck'!$C$21)&lt;&gt;"No control",SUMIF(('Loading-truck'!$B$31:$B$48),$J2207,('Loading-truck'!$E$31:$E$48))*Impacts!$F$14,0)),0)</f>
        <v>0</v>
      </c>
      <c r="S2207" s="10">
        <f>IFERROR(IF(('Loading-rail'!$C$21)="No control",SUMIF(('Loading-rail'!$B$31:$B$48),$J2207,('Loading-rail'!$D$31:$D$48))*Impacts!$F$15,IF(('Loading-rail'!$C$21)&lt;&gt;"No control",SUMIF(('Loading-rail'!$B$31:$B$48),$J2207,('Loading-rail'!$E$31:$E$48))*Impacts!$F$15,0)),0)</f>
        <v>0</v>
      </c>
      <c r="T2207" s="10">
        <f>IF(Flare!$C$7="",0,(SUMIF(Flare!$B$46:$B$185,$J2207,Flare!$E$46:$E$185)*Impacts!$F$16))</f>
        <v>0</v>
      </c>
      <c r="U2207" s="10">
        <f>IF(VCU!$C$9="",0,(SUMIF(VCU!$B$51:$B$193,$J2207,VCU!$E$51:$E$193)*Impacts!$F$17))</f>
        <v>0</v>
      </c>
      <c r="V2207" s="10">
        <f>IF(CAS!$C$7="",0,(SUMIF(CAS!$B$31:$B$167,$J2207,CAS!$E$31:$E$167)*Impacts!$F$18))</f>
        <v>0</v>
      </c>
      <c r="W2207" s="10">
        <f t="shared" si="75"/>
        <v>0</v>
      </c>
      <c r="AK2207" s="10" t="str">
        <f t="array" ref="AK2207">IFERROR(INDEX(SelectedSpecies,SMALL(IF(SelectedSpecies=AK$1,ROW(SelectedSpecies)),ROW(2208:2208)),2),"")</f>
        <v/>
      </c>
      <c r="BE2207" s="10"/>
      <c r="BI2207" s="10"/>
    </row>
    <row r="2208" spans="1:61" ht="21" customHeight="1" x14ac:dyDescent="0.25">
      <c r="A2208" s="10"/>
      <c r="B2208" s="10"/>
      <c r="E2208" s="10"/>
      <c r="G2208" s="10"/>
      <c r="I2208" s="436" t="s">
        <v>5964</v>
      </c>
      <c r="J2208" s="26" t="s">
        <v>5963</v>
      </c>
      <c r="K2208" s="10">
        <v>1</v>
      </c>
      <c r="L2208" s="73">
        <f>IF(Tank1!$C$23="No control",(SUMIF(Tank1!$B$32:$B$49,$J2208,Tank1!$C$32:$C$49)*Impacts!$F$8),0)</f>
        <v>0</v>
      </c>
      <c r="M2208" s="10">
        <f>IF(Tank2!$C$23="No control",(SUMIF(Tank2!$B$32:$B$49,$J2208,Tank2!$C$32:$C$49)*Impacts!$F$9),0)</f>
        <v>0</v>
      </c>
      <c r="N2208" s="10">
        <f>IF(Tank3!$C$23="No control",(SUMIF(Tank3!$B$32:$B$49,$J2208,Tank3!$C$32:$C$49)*Impacts!$F$10),0)</f>
        <v>0</v>
      </c>
      <c r="O2208" s="10">
        <f>IF(Tank4!$C$23="No control",(SUMIF(Tank4!$B$32:$B$49,$J2208,Tank4!$C$32:$C$49)*Impacts!$F$11),0)</f>
        <v>0</v>
      </c>
      <c r="P2208" s="10">
        <f>IF(Tank5!$C$23="No control",(SUMIF(Tank5!$B$32:$B$49,$J2208,Tank5!$C$32:$C$49)*Impacts!$F$12),0)</f>
        <v>0</v>
      </c>
      <c r="Q2208" s="10">
        <f>IFERROR(IF(('Loading-drum,tote'!$C$21)="No control",SUMIF(('Loading-drum,tote'!$B$31:$B$48),$J2208,('Loading-drum,tote'!$D$31:$D$48))*Impacts!$F$13,IF(('Loading-drum,tote'!$C$21)&lt;&gt;"No control",SUMIF(('Loading-drum,tote'!$B$31:$B$48),$J2208,('Loading-drum,tote'!$E$31:$E$48))*Impacts!$F$13,0)),0)</f>
        <v>0</v>
      </c>
      <c r="R2208" s="10">
        <f>IFERROR(IF(('Loading-truck'!$C$21)="No control",SUMIF(('Loading-truck'!$B$31:$B$48),$J2208,('Loading-truck'!$D$31:$D$48))*Impacts!$F$14,IF(('Loading-truck'!$C$21)&lt;&gt;"No control",SUMIF(('Loading-truck'!$B$31:$B$48),$J2208,('Loading-truck'!$E$31:$E$48))*Impacts!$F$14,0)),0)</f>
        <v>0</v>
      </c>
      <c r="S2208" s="10">
        <f>IFERROR(IF(('Loading-rail'!$C$21)="No control",SUMIF(('Loading-rail'!$B$31:$B$48),$J2208,('Loading-rail'!$D$31:$D$48))*Impacts!$F$15,IF(('Loading-rail'!$C$21)&lt;&gt;"No control",SUMIF(('Loading-rail'!$B$31:$B$48),$J2208,('Loading-rail'!$E$31:$E$48))*Impacts!$F$15,0)),0)</f>
        <v>0</v>
      </c>
      <c r="T2208" s="10">
        <f>IF(Flare!$C$7="",0,(SUMIF(Flare!$B$46:$B$185,$J2208,Flare!$E$46:$E$185)*Impacts!$F$16))</f>
        <v>0</v>
      </c>
      <c r="U2208" s="10">
        <f>IF(VCU!$C$9="",0,(SUMIF(VCU!$B$51:$B$193,$J2208,VCU!$E$51:$E$193)*Impacts!$F$17))</f>
        <v>0</v>
      </c>
      <c r="V2208" s="10">
        <f>IF(CAS!$C$7="",0,(SUMIF(CAS!$B$31:$B$167,$J2208,CAS!$E$31:$E$167)*Impacts!$F$18))</f>
        <v>0</v>
      </c>
      <c r="W2208" s="10">
        <f t="shared" si="75"/>
        <v>0</v>
      </c>
      <c r="AK2208" s="10" t="str">
        <f t="array" ref="AK2208">IFERROR(INDEX(SelectedSpecies,SMALL(IF(SelectedSpecies=AK$1,ROW(SelectedSpecies)),ROW(2209:2209)),2),"")</f>
        <v/>
      </c>
      <c r="BE2208" s="10"/>
      <c r="BI2208" s="10"/>
    </row>
    <row r="2209" spans="1:61" ht="21" customHeight="1" x14ac:dyDescent="0.25">
      <c r="A2209" s="10"/>
      <c r="B2209" s="10"/>
      <c r="E2209" s="10"/>
      <c r="G2209" s="10"/>
      <c r="I2209" s="436" t="s">
        <v>1554</v>
      </c>
      <c r="J2209" s="26" t="s">
        <v>1553</v>
      </c>
      <c r="K2209" s="10">
        <v>27</v>
      </c>
      <c r="L2209" s="73">
        <f>IF(Tank1!$C$23="No control",(SUMIF(Tank1!$B$32:$B$49,$J2209,Tank1!$C$32:$C$49)*Impacts!$F$8),0)</f>
        <v>0</v>
      </c>
      <c r="M2209" s="10">
        <f>IF(Tank2!$C$23="No control",(SUMIF(Tank2!$B$32:$B$49,$J2209,Tank2!$C$32:$C$49)*Impacts!$F$9),0)</f>
        <v>0</v>
      </c>
      <c r="N2209" s="10">
        <f>IF(Tank3!$C$23="No control",(SUMIF(Tank3!$B$32:$B$49,$J2209,Tank3!$C$32:$C$49)*Impacts!$F$10),0)</f>
        <v>0</v>
      </c>
      <c r="O2209" s="10">
        <f>IF(Tank4!$C$23="No control",(SUMIF(Tank4!$B$32:$B$49,$J2209,Tank4!$C$32:$C$49)*Impacts!$F$11),0)</f>
        <v>0</v>
      </c>
      <c r="P2209" s="10">
        <f>IF(Tank5!$C$23="No control",(SUMIF(Tank5!$B$32:$B$49,$J2209,Tank5!$C$32:$C$49)*Impacts!$F$12),0)</f>
        <v>0</v>
      </c>
      <c r="Q2209" s="10">
        <f>IFERROR(IF(('Loading-drum,tote'!$C$21)="No control",SUMIF(('Loading-drum,tote'!$B$31:$B$48),$J2209,('Loading-drum,tote'!$D$31:$D$48))*Impacts!$F$13,IF(('Loading-drum,tote'!$C$21)&lt;&gt;"No control",SUMIF(('Loading-drum,tote'!$B$31:$B$48),$J2209,('Loading-drum,tote'!$E$31:$E$48))*Impacts!$F$13,0)),0)</f>
        <v>0</v>
      </c>
      <c r="R2209" s="10">
        <f>IFERROR(IF(('Loading-truck'!$C$21)="No control",SUMIF(('Loading-truck'!$B$31:$B$48),$J2209,('Loading-truck'!$D$31:$D$48))*Impacts!$F$14,IF(('Loading-truck'!$C$21)&lt;&gt;"No control",SUMIF(('Loading-truck'!$B$31:$B$48),$J2209,('Loading-truck'!$E$31:$E$48))*Impacts!$F$14,0)),0)</f>
        <v>0</v>
      </c>
      <c r="S2209" s="10">
        <f>IFERROR(IF(('Loading-rail'!$C$21)="No control",SUMIF(('Loading-rail'!$B$31:$B$48),$J2209,('Loading-rail'!$D$31:$D$48))*Impacts!$F$15,IF(('Loading-rail'!$C$21)&lt;&gt;"No control",SUMIF(('Loading-rail'!$B$31:$B$48),$J2209,('Loading-rail'!$E$31:$E$48))*Impacts!$F$15,0)),0)</f>
        <v>0</v>
      </c>
      <c r="T2209" s="10">
        <f>IF(Flare!$C$7="",0,(SUMIF(Flare!$B$46:$B$185,$J2209,Flare!$E$46:$E$185)*Impacts!$F$16))</f>
        <v>0</v>
      </c>
      <c r="U2209" s="10">
        <f>IF(VCU!$C$9="",0,(SUMIF(VCU!$B$51:$B$193,$J2209,VCU!$E$51:$E$193)*Impacts!$F$17))</f>
        <v>0</v>
      </c>
      <c r="V2209" s="10">
        <f>IF(CAS!$C$7="",0,(SUMIF(CAS!$B$31:$B$167,$J2209,CAS!$E$31:$E$167)*Impacts!$F$18))</f>
        <v>0</v>
      </c>
      <c r="W2209" s="10">
        <f t="shared" si="75"/>
        <v>0</v>
      </c>
      <c r="AK2209" s="10" t="str">
        <f t="array" ref="AK2209">IFERROR(INDEX(SelectedSpecies,SMALL(IF(SelectedSpecies=AK$1,ROW(SelectedSpecies)),ROW(2210:2210)),2),"")</f>
        <v/>
      </c>
      <c r="BE2209" s="10"/>
      <c r="BI2209" s="10"/>
    </row>
    <row r="2210" spans="1:61" ht="21" customHeight="1" x14ac:dyDescent="0.25">
      <c r="A2210" s="10"/>
      <c r="B2210" s="10"/>
      <c r="E2210" s="10"/>
      <c r="G2210" s="10"/>
      <c r="I2210" s="436" t="s">
        <v>4501</v>
      </c>
      <c r="J2210" s="26" t="s">
        <v>4500</v>
      </c>
      <c r="K2210" s="10">
        <v>4.2</v>
      </c>
      <c r="L2210" s="73">
        <f>IF(Tank1!$C$23="No control",(SUMIF(Tank1!$B$32:$B$49,$J2210,Tank1!$C$32:$C$49)*Impacts!$F$8),0)</f>
        <v>0</v>
      </c>
      <c r="M2210" s="10">
        <f>IF(Tank2!$C$23="No control",(SUMIF(Tank2!$B$32:$B$49,$J2210,Tank2!$C$32:$C$49)*Impacts!$F$9),0)</f>
        <v>0</v>
      </c>
      <c r="N2210" s="10">
        <f>IF(Tank3!$C$23="No control",(SUMIF(Tank3!$B$32:$B$49,$J2210,Tank3!$C$32:$C$49)*Impacts!$F$10),0)</f>
        <v>0</v>
      </c>
      <c r="O2210" s="10">
        <f>IF(Tank4!$C$23="No control",(SUMIF(Tank4!$B$32:$B$49,$J2210,Tank4!$C$32:$C$49)*Impacts!$F$11),0)</f>
        <v>0</v>
      </c>
      <c r="P2210" s="10">
        <f>IF(Tank5!$C$23="No control",(SUMIF(Tank5!$B$32:$B$49,$J2210,Tank5!$C$32:$C$49)*Impacts!$F$12),0)</f>
        <v>0</v>
      </c>
      <c r="Q2210" s="10">
        <f>IFERROR(IF(('Loading-drum,tote'!$C$21)="No control",SUMIF(('Loading-drum,tote'!$B$31:$B$48),$J2210,('Loading-drum,tote'!$D$31:$D$48))*Impacts!$F$13,IF(('Loading-drum,tote'!$C$21)&lt;&gt;"No control",SUMIF(('Loading-drum,tote'!$B$31:$B$48),$J2210,('Loading-drum,tote'!$E$31:$E$48))*Impacts!$F$13,0)),0)</f>
        <v>0</v>
      </c>
      <c r="R2210" s="10">
        <f>IFERROR(IF(('Loading-truck'!$C$21)="No control",SUMIF(('Loading-truck'!$B$31:$B$48),$J2210,('Loading-truck'!$D$31:$D$48))*Impacts!$F$14,IF(('Loading-truck'!$C$21)&lt;&gt;"No control",SUMIF(('Loading-truck'!$B$31:$B$48),$J2210,('Loading-truck'!$E$31:$E$48))*Impacts!$F$14,0)),0)</f>
        <v>0</v>
      </c>
      <c r="S2210" s="10">
        <f>IFERROR(IF(('Loading-rail'!$C$21)="No control",SUMIF(('Loading-rail'!$B$31:$B$48),$J2210,('Loading-rail'!$D$31:$D$48))*Impacts!$F$15,IF(('Loading-rail'!$C$21)&lt;&gt;"No control",SUMIF(('Loading-rail'!$B$31:$B$48),$J2210,('Loading-rail'!$E$31:$E$48))*Impacts!$F$15,0)),0)</f>
        <v>0</v>
      </c>
      <c r="T2210" s="10">
        <f>IF(Flare!$C$7="",0,(SUMIF(Flare!$B$46:$B$185,$J2210,Flare!$E$46:$E$185)*Impacts!$F$16))</f>
        <v>0</v>
      </c>
      <c r="U2210" s="10">
        <f>IF(VCU!$C$9="",0,(SUMIF(VCU!$B$51:$B$193,$J2210,VCU!$E$51:$E$193)*Impacts!$F$17))</f>
        <v>0</v>
      </c>
      <c r="V2210" s="10">
        <f>IF(CAS!$C$7="",0,(SUMIF(CAS!$B$31:$B$167,$J2210,CAS!$E$31:$E$167)*Impacts!$F$18))</f>
        <v>0</v>
      </c>
      <c r="W2210" s="10">
        <f t="shared" si="75"/>
        <v>0</v>
      </c>
      <c r="AK2210" s="10" t="str">
        <f t="array" ref="AK2210">IFERROR(INDEX(SelectedSpecies,SMALL(IF(SelectedSpecies=AK$1,ROW(SelectedSpecies)),ROW(2211:2211)),2),"")</f>
        <v/>
      </c>
      <c r="BE2210" s="10"/>
      <c r="BI2210" s="10"/>
    </row>
    <row r="2211" spans="1:61" ht="21" customHeight="1" x14ac:dyDescent="0.25">
      <c r="A2211" s="10"/>
      <c r="B2211" s="10"/>
      <c r="E2211" s="10"/>
      <c r="G2211" s="10"/>
      <c r="I2211" s="436" t="s">
        <v>1456</v>
      </c>
      <c r="J2211" s="26" t="s">
        <v>1455</v>
      </c>
      <c r="K2211" s="10">
        <v>30</v>
      </c>
      <c r="L2211" s="73">
        <f>IF(Tank1!$C$23="No control",(SUMIF(Tank1!$B$32:$B$49,$J2211,Tank1!$C$32:$C$49)*Impacts!$F$8),0)</f>
        <v>0</v>
      </c>
      <c r="M2211" s="10">
        <f>IF(Tank2!$C$23="No control",(SUMIF(Tank2!$B$32:$B$49,$J2211,Tank2!$C$32:$C$49)*Impacts!$F$9),0)</f>
        <v>0</v>
      </c>
      <c r="N2211" s="10">
        <f>IF(Tank3!$C$23="No control",(SUMIF(Tank3!$B$32:$B$49,$J2211,Tank3!$C$32:$C$49)*Impacts!$F$10),0)</f>
        <v>0</v>
      </c>
      <c r="O2211" s="10">
        <f>IF(Tank4!$C$23="No control",(SUMIF(Tank4!$B$32:$B$49,$J2211,Tank4!$C$32:$C$49)*Impacts!$F$11),0)</f>
        <v>0</v>
      </c>
      <c r="P2211" s="10">
        <f>IF(Tank5!$C$23="No control",(SUMIF(Tank5!$B$32:$B$49,$J2211,Tank5!$C$32:$C$49)*Impacts!$F$12),0)</f>
        <v>0</v>
      </c>
      <c r="Q2211" s="10">
        <f>IFERROR(IF(('Loading-drum,tote'!$C$21)="No control",SUMIF(('Loading-drum,tote'!$B$31:$B$48),$J2211,('Loading-drum,tote'!$D$31:$D$48))*Impacts!$F$13,IF(('Loading-drum,tote'!$C$21)&lt;&gt;"No control",SUMIF(('Loading-drum,tote'!$B$31:$B$48),$J2211,('Loading-drum,tote'!$E$31:$E$48))*Impacts!$F$13,0)),0)</f>
        <v>0</v>
      </c>
      <c r="R2211" s="10">
        <f>IFERROR(IF(('Loading-truck'!$C$21)="No control",SUMIF(('Loading-truck'!$B$31:$B$48),$J2211,('Loading-truck'!$D$31:$D$48))*Impacts!$F$14,IF(('Loading-truck'!$C$21)&lt;&gt;"No control",SUMIF(('Loading-truck'!$B$31:$B$48),$J2211,('Loading-truck'!$E$31:$E$48))*Impacts!$F$14,0)),0)</f>
        <v>0</v>
      </c>
      <c r="S2211" s="10">
        <f>IFERROR(IF(('Loading-rail'!$C$21)="No control",SUMIF(('Loading-rail'!$B$31:$B$48),$J2211,('Loading-rail'!$D$31:$D$48))*Impacts!$F$15,IF(('Loading-rail'!$C$21)&lt;&gt;"No control",SUMIF(('Loading-rail'!$B$31:$B$48),$J2211,('Loading-rail'!$E$31:$E$48))*Impacts!$F$15,0)),0)</f>
        <v>0</v>
      </c>
      <c r="T2211" s="10">
        <f>IF(Flare!$C$7="",0,(SUMIF(Flare!$B$46:$B$185,$J2211,Flare!$E$46:$E$185)*Impacts!$F$16))</f>
        <v>0</v>
      </c>
      <c r="U2211" s="10">
        <f>IF(VCU!$C$9="",0,(SUMIF(VCU!$B$51:$B$193,$J2211,VCU!$E$51:$E$193)*Impacts!$F$17))</f>
        <v>0</v>
      </c>
      <c r="V2211" s="10">
        <f>IF(CAS!$C$7="",0,(SUMIF(CAS!$B$31:$B$167,$J2211,CAS!$E$31:$E$167)*Impacts!$F$18))</f>
        <v>0</v>
      </c>
      <c r="W2211" s="10">
        <f t="shared" si="75"/>
        <v>0</v>
      </c>
      <c r="AK2211" s="10" t="str">
        <f t="array" ref="AK2211">IFERROR(INDEX(SelectedSpecies,SMALL(IF(SelectedSpecies=AK$1,ROW(SelectedSpecies)),ROW(2212:2212)),2),"")</f>
        <v/>
      </c>
      <c r="BE2211" s="10"/>
      <c r="BI2211" s="10"/>
    </row>
    <row r="2212" spans="1:61" ht="21" customHeight="1" x14ac:dyDescent="0.25">
      <c r="A2212" s="10"/>
      <c r="B2212" s="10"/>
      <c r="E2212" s="10"/>
      <c r="G2212" s="10"/>
      <c r="I2212" s="436" t="s">
        <v>6438</v>
      </c>
      <c r="J2212" s="26" t="s">
        <v>6437</v>
      </c>
      <c r="K2212" s="10">
        <v>0.8</v>
      </c>
      <c r="L2212" s="73">
        <f>IF(Tank1!$C$23="No control",(SUMIF(Tank1!$B$32:$B$49,$J2212,Tank1!$C$32:$C$49)*Impacts!$F$8),0)</f>
        <v>0</v>
      </c>
      <c r="M2212" s="10">
        <f>IF(Tank2!$C$23="No control",(SUMIF(Tank2!$B$32:$B$49,$J2212,Tank2!$C$32:$C$49)*Impacts!$F$9),0)</f>
        <v>0</v>
      </c>
      <c r="N2212" s="10">
        <f>IF(Tank3!$C$23="No control",(SUMIF(Tank3!$B$32:$B$49,$J2212,Tank3!$C$32:$C$49)*Impacts!$F$10),0)</f>
        <v>0</v>
      </c>
      <c r="O2212" s="10">
        <f>IF(Tank4!$C$23="No control",(SUMIF(Tank4!$B$32:$B$49,$J2212,Tank4!$C$32:$C$49)*Impacts!$F$11),0)</f>
        <v>0</v>
      </c>
      <c r="P2212" s="10">
        <f>IF(Tank5!$C$23="No control",(SUMIF(Tank5!$B$32:$B$49,$J2212,Tank5!$C$32:$C$49)*Impacts!$F$12),0)</f>
        <v>0</v>
      </c>
      <c r="Q2212" s="10">
        <f>IFERROR(IF(('Loading-drum,tote'!$C$21)="No control",SUMIF(('Loading-drum,tote'!$B$31:$B$48),$J2212,('Loading-drum,tote'!$D$31:$D$48))*Impacts!$F$13,IF(('Loading-drum,tote'!$C$21)&lt;&gt;"No control",SUMIF(('Loading-drum,tote'!$B$31:$B$48),$J2212,('Loading-drum,tote'!$E$31:$E$48))*Impacts!$F$13,0)),0)</f>
        <v>0</v>
      </c>
      <c r="R2212" s="10">
        <f>IFERROR(IF(('Loading-truck'!$C$21)="No control",SUMIF(('Loading-truck'!$B$31:$B$48),$J2212,('Loading-truck'!$D$31:$D$48))*Impacts!$F$14,IF(('Loading-truck'!$C$21)&lt;&gt;"No control",SUMIF(('Loading-truck'!$B$31:$B$48),$J2212,('Loading-truck'!$E$31:$E$48))*Impacts!$F$14,0)),0)</f>
        <v>0</v>
      </c>
      <c r="S2212" s="10">
        <f>IFERROR(IF(('Loading-rail'!$C$21)="No control",SUMIF(('Loading-rail'!$B$31:$B$48),$J2212,('Loading-rail'!$D$31:$D$48))*Impacts!$F$15,IF(('Loading-rail'!$C$21)&lt;&gt;"No control",SUMIF(('Loading-rail'!$B$31:$B$48),$J2212,('Loading-rail'!$E$31:$E$48))*Impacts!$F$15,0)),0)</f>
        <v>0</v>
      </c>
      <c r="T2212" s="10">
        <f>IF(Flare!$C$7="",0,(SUMIF(Flare!$B$46:$B$185,$J2212,Flare!$E$46:$E$185)*Impacts!$F$16))</f>
        <v>0</v>
      </c>
      <c r="U2212" s="10">
        <f>IF(VCU!$C$9="",0,(SUMIF(VCU!$B$51:$B$193,$J2212,VCU!$E$51:$E$193)*Impacts!$F$17))</f>
        <v>0</v>
      </c>
      <c r="V2212" s="10">
        <f>IF(CAS!$C$7="",0,(SUMIF(CAS!$B$31:$B$167,$J2212,CAS!$E$31:$E$167)*Impacts!$F$18))</f>
        <v>0</v>
      </c>
      <c r="W2212" s="10">
        <f t="shared" si="75"/>
        <v>0</v>
      </c>
      <c r="AK2212" s="10" t="str">
        <f t="array" ref="AK2212">IFERROR(INDEX(SelectedSpecies,SMALL(IF(SelectedSpecies=AK$1,ROW(SelectedSpecies)),ROW(2213:2213)),2),"")</f>
        <v/>
      </c>
      <c r="BE2212" s="10"/>
      <c r="BI2212" s="10"/>
    </row>
    <row r="2213" spans="1:61" ht="21" customHeight="1" x14ac:dyDescent="0.25">
      <c r="A2213" s="10"/>
      <c r="B2213" s="10"/>
      <c r="E2213" s="10"/>
      <c r="G2213" s="10"/>
      <c r="I2213" s="436" t="s">
        <v>4441</v>
      </c>
      <c r="J2213" s="26" t="s">
        <v>4440</v>
      </c>
      <c r="K2213" s="10">
        <v>4.5</v>
      </c>
      <c r="L2213" s="73">
        <f>IF(Tank1!$C$23="No control",(SUMIF(Tank1!$B$32:$B$49,$J2213,Tank1!$C$32:$C$49)*Impacts!$F$8),0)</f>
        <v>0</v>
      </c>
      <c r="M2213" s="10">
        <f>IF(Tank2!$C$23="No control",(SUMIF(Tank2!$B$32:$B$49,$J2213,Tank2!$C$32:$C$49)*Impacts!$F$9),0)</f>
        <v>0</v>
      </c>
      <c r="N2213" s="10">
        <f>IF(Tank3!$C$23="No control",(SUMIF(Tank3!$B$32:$B$49,$J2213,Tank3!$C$32:$C$49)*Impacts!$F$10),0)</f>
        <v>0</v>
      </c>
      <c r="O2213" s="10">
        <f>IF(Tank4!$C$23="No control",(SUMIF(Tank4!$B$32:$B$49,$J2213,Tank4!$C$32:$C$49)*Impacts!$F$11),0)</f>
        <v>0</v>
      </c>
      <c r="P2213" s="10">
        <f>IF(Tank5!$C$23="No control",(SUMIF(Tank5!$B$32:$B$49,$J2213,Tank5!$C$32:$C$49)*Impacts!$F$12),0)</f>
        <v>0</v>
      </c>
      <c r="Q2213" s="10">
        <f>IFERROR(IF(('Loading-drum,tote'!$C$21)="No control",SUMIF(('Loading-drum,tote'!$B$31:$B$48),$J2213,('Loading-drum,tote'!$D$31:$D$48))*Impacts!$F$13,IF(('Loading-drum,tote'!$C$21)&lt;&gt;"No control",SUMIF(('Loading-drum,tote'!$B$31:$B$48),$J2213,('Loading-drum,tote'!$E$31:$E$48))*Impacts!$F$13,0)),0)</f>
        <v>0</v>
      </c>
      <c r="R2213" s="10">
        <f>IFERROR(IF(('Loading-truck'!$C$21)="No control",SUMIF(('Loading-truck'!$B$31:$B$48),$J2213,('Loading-truck'!$D$31:$D$48))*Impacts!$F$14,IF(('Loading-truck'!$C$21)&lt;&gt;"No control",SUMIF(('Loading-truck'!$B$31:$B$48),$J2213,('Loading-truck'!$E$31:$E$48))*Impacts!$F$14,0)),0)</f>
        <v>0</v>
      </c>
      <c r="S2213" s="10">
        <f>IFERROR(IF(('Loading-rail'!$C$21)="No control",SUMIF(('Loading-rail'!$B$31:$B$48),$J2213,('Loading-rail'!$D$31:$D$48))*Impacts!$F$15,IF(('Loading-rail'!$C$21)&lt;&gt;"No control",SUMIF(('Loading-rail'!$B$31:$B$48),$J2213,('Loading-rail'!$E$31:$E$48))*Impacts!$F$15,0)),0)</f>
        <v>0</v>
      </c>
      <c r="T2213" s="10">
        <f>IF(Flare!$C$7="",0,(SUMIF(Flare!$B$46:$B$185,$J2213,Flare!$E$46:$E$185)*Impacts!$F$16))</f>
        <v>0</v>
      </c>
      <c r="U2213" s="10">
        <f>IF(VCU!$C$9="",0,(SUMIF(VCU!$B$51:$B$193,$J2213,VCU!$E$51:$E$193)*Impacts!$F$17))</f>
        <v>0</v>
      </c>
      <c r="V2213" s="10">
        <f>IF(CAS!$C$7="",0,(SUMIF(CAS!$B$31:$B$167,$J2213,CAS!$E$31:$E$167)*Impacts!$F$18))</f>
        <v>0</v>
      </c>
      <c r="W2213" s="10">
        <f t="shared" si="75"/>
        <v>0</v>
      </c>
      <c r="AK2213" s="10" t="str">
        <f t="array" ref="AK2213">IFERROR(INDEX(SelectedSpecies,SMALL(IF(SelectedSpecies=AK$1,ROW(SelectedSpecies)),ROW(2214:2214)),2),"")</f>
        <v/>
      </c>
      <c r="BE2213" s="10"/>
      <c r="BI2213" s="10"/>
    </row>
    <row r="2214" spans="1:61" ht="21" customHeight="1" x14ac:dyDescent="0.25">
      <c r="A2214" s="10"/>
      <c r="B2214" s="10"/>
      <c r="E2214" s="10"/>
      <c r="G2214" s="10"/>
      <c r="I2214" s="436" t="s">
        <v>7026</v>
      </c>
      <c r="J2214" s="26" t="s">
        <v>7025</v>
      </c>
      <c r="K2214" s="10">
        <v>0.45</v>
      </c>
      <c r="L2214" s="73">
        <f>IF(Tank1!$C$23="No control",(SUMIF(Tank1!$B$32:$B$49,$J2214,Tank1!$C$32:$C$49)*Impacts!$F$8),0)</f>
        <v>0</v>
      </c>
      <c r="M2214" s="10">
        <f>IF(Tank2!$C$23="No control",(SUMIF(Tank2!$B$32:$B$49,$J2214,Tank2!$C$32:$C$49)*Impacts!$F$9),0)</f>
        <v>0</v>
      </c>
      <c r="N2214" s="10">
        <f>IF(Tank3!$C$23="No control",(SUMIF(Tank3!$B$32:$B$49,$J2214,Tank3!$C$32:$C$49)*Impacts!$F$10),0)</f>
        <v>0</v>
      </c>
      <c r="O2214" s="10">
        <f>IF(Tank4!$C$23="No control",(SUMIF(Tank4!$B$32:$B$49,$J2214,Tank4!$C$32:$C$49)*Impacts!$F$11),0)</f>
        <v>0</v>
      </c>
      <c r="P2214" s="10">
        <f>IF(Tank5!$C$23="No control",(SUMIF(Tank5!$B$32:$B$49,$J2214,Tank5!$C$32:$C$49)*Impacts!$F$12),0)</f>
        <v>0</v>
      </c>
      <c r="Q2214" s="10">
        <f>IFERROR(IF(('Loading-drum,tote'!$C$21)="No control",SUMIF(('Loading-drum,tote'!$B$31:$B$48),$J2214,('Loading-drum,tote'!$D$31:$D$48))*Impacts!$F$13,IF(('Loading-drum,tote'!$C$21)&lt;&gt;"No control",SUMIF(('Loading-drum,tote'!$B$31:$B$48),$J2214,('Loading-drum,tote'!$E$31:$E$48))*Impacts!$F$13,0)),0)</f>
        <v>0</v>
      </c>
      <c r="R2214" s="10">
        <f>IFERROR(IF(('Loading-truck'!$C$21)="No control",SUMIF(('Loading-truck'!$B$31:$B$48),$J2214,('Loading-truck'!$D$31:$D$48))*Impacts!$F$14,IF(('Loading-truck'!$C$21)&lt;&gt;"No control",SUMIF(('Loading-truck'!$B$31:$B$48),$J2214,('Loading-truck'!$E$31:$E$48))*Impacts!$F$14,0)),0)</f>
        <v>0</v>
      </c>
      <c r="S2214" s="10">
        <f>IFERROR(IF(('Loading-rail'!$C$21)="No control",SUMIF(('Loading-rail'!$B$31:$B$48),$J2214,('Loading-rail'!$D$31:$D$48))*Impacts!$F$15,IF(('Loading-rail'!$C$21)&lt;&gt;"No control",SUMIF(('Loading-rail'!$B$31:$B$48),$J2214,('Loading-rail'!$E$31:$E$48))*Impacts!$F$15,0)),0)</f>
        <v>0</v>
      </c>
      <c r="T2214" s="10">
        <f>IF(Flare!$C$7="",0,(SUMIF(Flare!$B$46:$B$185,$J2214,Flare!$E$46:$E$185)*Impacts!$F$16))</f>
        <v>0</v>
      </c>
      <c r="U2214" s="10">
        <f>IF(VCU!$C$9="",0,(SUMIF(VCU!$B$51:$B$193,$J2214,VCU!$E$51:$E$193)*Impacts!$F$17))</f>
        <v>0</v>
      </c>
      <c r="V2214" s="10">
        <f>IF(CAS!$C$7="",0,(SUMIF(CAS!$B$31:$B$167,$J2214,CAS!$E$31:$E$167)*Impacts!$F$18))</f>
        <v>0</v>
      </c>
      <c r="W2214" s="10">
        <f t="shared" si="75"/>
        <v>0</v>
      </c>
      <c r="AK2214" s="10" t="str">
        <f t="array" ref="AK2214">IFERROR(INDEX(SelectedSpecies,SMALL(IF(SelectedSpecies=AK$1,ROW(SelectedSpecies)),ROW(2215:2215)),2),"")</f>
        <v/>
      </c>
      <c r="BE2214" s="10"/>
      <c r="BI2214" s="10"/>
    </row>
    <row r="2215" spans="1:61" ht="21" customHeight="1" x14ac:dyDescent="0.25">
      <c r="A2215" s="10"/>
      <c r="B2215" s="10"/>
      <c r="E2215" s="10"/>
      <c r="G2215" s="10"/>
      <c r="I2215" s="436" t="s">
        <v>5275</v>
      </c>
      <c r="J2215" s="26" t="s">
        <v>5274</v>
      </c>
      <c r="K2215" s="10">
        <v>1.8</v>
      </c>
      <c r="L2215" s="73">
        <f>IF(Tank1!$C$23="No control",(SUMIF(Tank1!$B$32:$B$49,$J2215,Tank1!$C$32:$C$49)*Impacts!$F$8),0)</f>
        <v>0</v>
      </c>
      <c r="M2215" s="10">
        <f>IF(Tank2!$C$23="No control",(SUMIF(Tank2!$B$32:$B$49,$J2215,Tank2!$C$32:$C$49)*Impacts!$F$9),0)</f>
        <v>0</v>
      </c>
      <c r="N2215" s="10">
        <f>IF(Tank3!$C$23="No control",(SUMIF(Tank3!$B$32:$B$49,$J2215,Tank3!$C$32:$C$49)*Impacts!$F$10),0)</f>
        <v>0</v>
      </c>
      <c r="O2215" s="10">
        <f>IF(Tank4!$C$23="No control",(SUMIF(Tank4!$B$32:$B$49,$J2215,Tank4!$C$32:$C$49)*Impacts!$F$11),0)</f>
        <v>0</v>
      </c>
      <c r="P2215" s="10">
        <f>IF(Tank5!$C$23="No control",(SUMIF(Tank5!$B$32:$B$49,$J2215,Tank5!$C$32:$C$49)*Impacts!$F$12),0)</f>
        <v>0</v>
      </c>
      <c r="Q2215" s="10">
        <f>IFERROR(IF(('Loading-drum,tote'!$C$21)="No control",SUMIF(('Loading-drum,tote'!$B$31:$B$48),$J2215,('Loading-drum,tote'!$D$31:$D$48))*Impacts!$F$13,IF(('Loading-drum,tote'!$C$21)&lt;&gt;"No control",SUMIF(('Loading-drum,tote'!$B$31:$B$48),$J2215,('Loading-drum,tote'!$E$31:$E$48))*Impacts!$F$13,0)),0)</f>
        <v>0</v>
      </c>
      <c r="R2215" s="10">
        <f>IFERROR(IF(('Loading-truck'!$C$21)="No control",SUMIF(('Loading-truck'!$B$31:$B$48),$J2215,('Loading-truck'!$D$31:$D$48))*Impacts!$F$14,IF(('Loading-truck'!$C$21)&lt;&gt;"No control",SUMIF(('Loading-truck'!$B$31:$B$48),$J2215,('Loading-truck'!$E$31:$E$48))*Impacts!$F$14,0)),0)</f>
        <v>0</v>
      </c>
      <c r="S2215" s="10">
        <f>IFERROR(IF(('Loading-rail'!$C$21)="No control",SUMIF(('Loading-rail'!$B$31:$B$48),$J2215,('Loading-rail'!$D$31:$D$48))*Impacts!$F$15,IF(('Loading-rail'!$C$21)&lt;&gt;"No control",SUMIF(('Loading-rail'!$B$31:$B$48),$J2215,('Loading-rail'!$E$31:$E$48))*Impacts!$F$15,0)),0)</f>
        <v>0</v>
      </c>
      <c r="T2215" s="10">
        <f>IF(Flare!$C$7="",0,(SUMIF(Flare!$B$46:$B$185,$J2215,Flare!$E$46:$E$185)*Impacts!$F$16))</f>
        <v>0</v>
      </c>
      <c r="U2215" s="10">
        <f>IF(VCU!$C$9="",0,(SUMIF(VCU!$B$51:$B$193,$J2215,VCU!$E$51:$E$193)*Impacts!$F$17))</f>
        <v>0</v>
      </c>
      <c r="V2215" s="10">
        <f>IF(CAS!$C$7="",0,(SUMIF(CAS!$B$31:$B$167,$J2215,CAS!$E$31:$E$167)*Impacts!$F$18))</f>
        <v>0</v>
      </c>
      <c r="W2215" s="10">
        <f t="shared" si="75"/>
        <v>0</v>
      </c>
      <c r="AK2215" s="10" t="str">
        <f t="array" ref="AK2215">IFERROR(INDEX(SelectedSpecies,SMALL(IF(SelectedSpecies=AK$1,ROW(SelectedSpecies)),ROW(2216:2216)),2),"")</f>
        <v/>
      </c>
      <c r="BE2215" s="10"/>
      <c r="BI2215" s="10"/>
    </row>
    <row r="2216" spans="1:61" ht="21" customHeight="1" x14ac:dyDescent="0.25">
      <c r="A2216" s="10"/>
      <c r="B2216" s="10"/>
      <c r="E2216" s="10"/>
      <c r="G2216" s="10"/>
      <c r="I2216" s="436" t="s">
        <v>8172</v>
      </c>
      <c r="J2216" s="26" t="s">
        <v>8171</v>
      </c>
      <c r="K2216" s="10">
        <v>1.0000000000000002E-2</v>
      </c>
      <c r="L2216" s="73">
        <f>IF(Tank1!$C$23="No control",(SUMIF(Tank1!$B$32:$B$49,$J2216,Tank1!$C$32:$C$49)*Impacts!$F$8),0)</f>
        <v>0</v>
      </c>
      <c r="M2216" s="10">
        <f>IF(Tank2!$C$23="No control",(SUMIF(Tank2!$B$32:$B$49,$J2216,Tank2!$C$32:$C$49)*Impacts!$F$9),0)</f>
        <v>0</v>
      </c>
      <c r="N2216" s="10">
        <f>IF(Tank3!$C$23="No control",(SUMIF(Tank3!$B$32:$B$49,$J2216,Tank3!$C$32:$C$49)*Impacts!$F$10),0)</f>
        <v>0</v>
      </c>
      <c r="O2216" s="10">
        <f>IF(Tank4!$C$23="No control",(SUMIF(Tank4!$B$32:$B$49,$J2216,Tank4!$C$32:$C$49)*Impacts!$F$11),0)</f>
        <v>0</v>
      </c>
      <c r="P2216" s="10">
        <f>IF(Tank5!$C$23="No control",(SUMIF(Tank5!$B$32:$B$49,$J2216,Tank5!$C$32:$C$49)*Impacts!$F$12),0)</f>
        <v>0</v>
      </c>
      <c r="Q2216" s="10">
        <f>IFERROR(IF(('Loading-drum,tote'!$C$21)="No control",SUMIF(('Loading-drum,tote'!$B$31:$B$48),$J2216,('Loading-drum,tote'!$D$31:$D$48))*Impacts!$F$13,IF(('Loading-drum,tote'!$C$21)&lt;&gt;"No control",SUMIF(('Loading-drum,tote'!$B$31:$B$48),$J2216,('Loading-drum,tote'!$E$31:$E$48))*Impacts!$F$13,0)),0)</f>
        <v>0</v>
      </c>
      <c r="R2216" s="10">
        <f>IFERROR(IF(('Loading-truck'!$C$21)="No control",SUMIF(('Loading-truck'!$B$31:$B$48),$J2216,('Loading-truck'!$D$31:$D$48))*Impacts!$F$14,IF(('Loading-truck'!$C$21)&lt;&gt;"No control",SUMIF(('Loading-truck'!$B$31:$B$48),$J2216,('Loading-truck'!$E$31:$E$48))*Impacts!$F$14,0)),0)</f>
        <v>0</v>
      </c>
      <c r="S2216" s="10">
        <f>IFERROR(IF(('Loading-rail'!$C$21)="No control",SUMIF(('Loading-rail'!$B$31:$B$48),$J2216,('Loading-rail'!$D$31:$D$48))*Impacts!$F$15,IF(('Loading-rail'!$C$21)&lt;&gt;"No control",SUMIF(('Loading-rail'!$B$31:$B$48),$J2216,('Loading-rail'!$E$31:$E$48))*Impacts!$F$15,0)),0)</f>
        <v>0</v>
      </c>
      <c r="T2216" s="10">
        <f>IF(Flare!$C$7="",0,(SUMIF(Flare!$B$46:$B$185,$J2216,Flare!$E$46:$E$185)*Impacts!$F$16))</f>
        <v>0</v>
      </c>
      <c r="U2216" s="10">
        <f>IF(VCU!$C$9="",0,(SUMIF(VCU!$B$51:$B$193,$J2216,VCU!$E$51:$E$193)*Impacts!$F$17))</f>
        <v>0</v>
      </c>
      <c r="V2216" s="10">
        <f>IF(CAS!$C$7="",0,(SUMIF(CAS!$B$31:$B$167,$J2216,CAS!$E$31:$E$167)*Impacts!$F$18))</f>
        <v>0</v>
      </c>
      <c r="W2216" s="10">
        <f t="shared" si="75"/>
        <v>0</v>
      </c>
      <c r="AK2216" s="10" t="str">
        <f t="array" ref="AK2216">IFERROR(INDEX(SelectedSpecies,SMALL(IF(SelectedSpecies=AK$1,ROW(SelectedSpecies)),ROW(2217:2217)),2),"")</f>
        <v/>
      </c>
      <c r="BE2216" s="10"/>
      <c r="BI2216" s="10"/>
    </row>
    <row r="2217" spans="1:61" ht="21" customHeight="1" x14ac:dyDescent="0.25">
      <c r="A2217" s="10"/>
      <c r="B2217" s="10"/>
      <c r="E2217" s="10"/>
      <c r="G2217" s="10"/>
      <c r="I2217" s="436" t="s">
        <v>8328</v>
      </c>
      <c r="J2217" s="26" t="s">
        <v>8327</v>
      </c>
      <c r="K2217" s="10">
        <v>5.0000000000000001E-4</v>
      </c>
      <c r="L2217" s="73">
        <f>IF(Tank1!$C$23="No control",(SUMIF(Tank1!$B$32:$B$49,$J2217,Tank1!$C$32:$C$49)*Impacts!$F$8),0)</f>
        <v>0</v>
      </c>
      <c r="M2217" s="10">
        <f>IF(Tank2!$C$23="No control",(SUMIF(Tank2!$B$32:$B$49,$J2217,Tank2!$C$32:$C$49)*Impacts!$F$9),0)</f>
        <v>0</v>
      </c>
      <c r="N2217" s="10">
        <f>IF(Tank3!$C$23="No control",(SUMIF(Tank3!$B$32:$B$49,$J2217,Tank3!$C$32:$C$49)*Impacts!$F$10),0)</f>
        <v>0</v>
      </c>
      <c r="O2217" s="10">
        <f>IF(Tank4!$C$23="No control",(SUMIF(Tank4!$B$32:$B$49,$J2217,Tank4!$C$32:$C$49)*Impacts!$F$11),0)</f>
        <v>0</v>
      </c>
      <c r="P2217" s="10">
        <f>IF(Tank5!$C$23="No control",(SUMIF(Tank5!$B$32:$B$49,$J2217,Tank5!$C$32:$C$49)*Impacts!$F$12),0)</f>
        <v>0</v>
      </c>
      <c r="Q2217" s="10">
        <f>IFERROR(IF(('Loading-drum,tote'!$C$21)="No control",SUMIF(('Loading-drum,tote'!$B$31:$B$48),$J2217,('Loading-drum,tote'!$D$31:$D$48))*Impacts!$F$13,IF(('Loading-drum,tote'!$C$21)&lt;&gt;"No control",SUMIF(('Loading-drum,tote'!$B$31:$B$48),$J2217,('Loading-drum,tote'!$E$31:$E$48))*Impacts!$F$13,0)),0)</f>
        <v>0</v>
      </c>
      <c r="R2217" s="10">
        <f>IFERROR(IF(('Loading-truck'!$C$21)="No control",SUMIF(('Loading-truck'!$B$31:$B$48),$J2217,('Loading-truck'!$D$31:$D$48))*Impacts!$F$14,IF(('Loading-truck'!$C$21)&lt;&gt;"No control",SUMIF(('Loading-truck'!$B$31:$B$48),$J2217,('Loading-truck'!$E$31:$E$48))*Impacts!$F$14,0)),0)</f>
        <v>0</v>
      </c>
      <c r="S2217" s="10">
        <f>IFERROR(IF(('Loading-rail'!$C$21)="No control",SUMIF(('Loading-rail'!$B$31:$B$48),$J2217,('Loading-rail'!$D$31:$D$48))*Impacts!$F$15,IF(('Loading-rail'!$C$21)&lt;&gt;"No control",SUMIF(('Loading-rail'!$B$31:$B$48),$J2217,('Loading-rail'!$E$31:$E$48))*Impacts!$F$15,0)),0)</f>
        <v>0</v>
      </c>
      <c r="T2217" s="10">
        <f>IF(Flare!$C$7="",0,(SUMIF(Flare!$B$46:$B$185,$J2217,Flare!$E$46:$E$185)*Impacts!$F$16))</f>
        <v>0</v>
      </c>
      <c r="U2217" s="10">
        <f>IF(VCU!$C$9="",0,(SUMIF(VCU!$B$51:$B$193,$J2217,VCU!$E$51:$E$193)*Impacts!$F$17))</f>
        <v>0</v>
      </c>
      <c r="V2217" s="10">
        <f>IF(CAS!$C$7="",0,(SUMIF(CAS!$B$31:$B$167,$J2217,CAS!$E$31:$E$167)*Impacts!$F$18))</f>
        <v>0</v>
      </c>
      <c r="W2217" s="10">
        <f t="shared" si="75"/>
        <v>0</v>
      </c>
      <c r="AK2217" s="10" t="str">
        <f t="array" ref="AK2217">IFERROR(INDEX(SelectedSpecies,SMALL(IF(SelectedSpecies=AK$1,ROW(SelectedSpecies)),ROW(2218:2218)),2),"")</f>
        <v/>
      </c>
      <c r="BE2217" s="10"/>
      <c r="BI2217" s="10"/>
    </row>
    <row r="2218" spans="1:61" ht="21" customHeight="1" x14ac:dyDescent="0.25">
      <c r="A2218" s="10"/>
      <c r="B2218" s="10"/>
      <c r="E2218" s="10"/>
      <c r="G2218" s="10"/>
      <c r="I2218" s="436" t="s">
        <v>1853</v>
      </c>
      <c r="J2218" s="26" t="s">
        <v>1852</v>
      </c>
      <c r="K2218" s="10">
        <v>20</v>
      </c>
      <c r="L2218" s="73">
        <f>IF(Tank1!$C$23="No control",(SUMIF(Tank1!$B$32:$B$49,$J2218,Tank1!$C$32:$C$49)*Impacts!$F$8),0)</f>
        <v>0</v>
      </c>
      <c r="M2218" s="10">
        <f>IF(Tank2!$C$23="No control",(SUMIF(Tank2!$B$32:$B$49,$J2218,Tank2!$C$32:$C$49)*Impacts!$F$9),0)</f>
        <v>0</v>
      </c>
      <c r="N2218" s="10">
        <f>IF(Tank3!$C$23="No control",(SUMIF(Tank3!$B$32:$B$49,$J2218,Tank3!$C$32:$C$49)*Impacts!$F$10),0)</f>
        <v>0</v>
      </c>
      <c r="O2218" s="10">
        <f>IF(Tank4!$C$23="No control",(SUMIF(Tank4!$B$32:$B$49,$J2218,Tank4!$C$32:$C$49)*Impacts!$F$11),0)</f>
        <v>0</v>
      </c>
      <c r="P2218" s="10">
        <f>IF(Tank5!$C$23="No control",(SUMIF(Tank5!$B$32:$B$49,$J2218,Tank5!$C$32:$C$49)*Impacts!$F$12),0)</f>
        <v>0</v>
      </c>
      <c r="Q2218" s="10">
        <f>IFERROR(IF(('Loading-drum,tote'!$C$21)="No control",SUMIF(('Loading-drum,tote'!$B$31:$B$48),$J2218,('Loading-drum,tote'!$D$31:$D$48))*Impacts!$F$13,IF(('Loading-drum,tote'!$C$21)&lt;&gt;"No control",SUMIF(('Loading-drum,tote'!$B$31:$B$48),$J2218,('Loading-drum,tote'!$E$31:$E$48))*Impacts!$F$13,0)),0)</f>
        <v>0</v>
      </c>
      <c r="R2218" s="10">
        <f>IFERROR(IF(('Loading-truck'!$C$21)="No control",SUMIF(('Loading-truck'!$B$31:$B$48),$J2218,('Loading-truck'!$D$31:$D$48))*Impacts!$F$14,IF(('Loading-truck'!$C$21)&lt;&gt;"No control",SUMIF(('Loading-truck'!$B$31:$B$48),$J2218,('Loading-truck'!$E$31:$E$48))*Impacts!$F$14,0)),0)</f>
        <v>0</v>
      </c>
      <c r="S2218" s="10">
        <f>IFERROR(IF(('Loading-rail'!$C$21)="No control",SUMIF(('Loading-rail'!$B$31:$B$48),$J2218,('Loading-rail'!$D$31:$D$48))*Impacts!$F$15,IF(('Loading-rail'!$C$21)&lt;&gt;"No control",SUMIF(('Loading-rail'!$B$31:$B$48),$J2218,('Loading-rail'!$E$31:$E$48))*Impacts!$F$15,0)),0)</f>
        <v>0</v>
      </c>
      <c r="T2218" s="10">
        <f>IF(Flare!$C$7="",0,(SUMIF(Flare!$B$46:$B$185,$J2218,Flare!$E$46:$E$185)*Impacts!$F$16))</f>
        <v>0</v>
      </c>
      <c r="U2218" s="10">
        <f>IF(VCU!$C$9="",0,(SUMIF(VCU!$B$51:$B$193,$J2218,VCU!$E$51:$E$193)*Impacts!$F$17))</f>
        <v>0</v>
      </c>
      <c r="V2218" s="10">
        <f>IF(CAS!$C$7="",0,(SUMIF(CAS!$B$31:$B$167,$J2218,CAS!$E$31:$E$167)*Impacts!$F$18))</f>
        <v>0</v>
      </c>
      <c r="W2218" s="10">
        <f t="shared" si="75"/>
        <v>0</v>
      </c>
      <c r="AK2218" s="10" t="str">
        <f t="array" ref="AK2218">IFERROR(INDEX(SelectedSpecies,SMALL(IF(SelectedSpecies=AK$1,ROW(SelectedSpecies)),ROW(2219:2219)),2),"")</f>
        <v/>
      </c>
      <c r="BE2218" s="10"/>
      <c r="BI2218" s="10"/>
    </row>
    <row r="2219" spans="1:61" ht="21" customHeight="1" x14ac:dyDescent="0.25">
      <c r="A2219" s="10"/>
      <c r="B2219" s="10"/>
      <c r="E2219" s="10"/>
      <c r="G2219" s="10"/>
      <c r="I2219" s="436" t="s">
        <v>4343</v>
      </c>
      <c r="J2219" s="26" t="s">
        <v>4342</v>
      </c>
      <c r="K2219" s="10">
        <v>34</v>
      </c>
      <c r="L2219" s="73">
        <f>IF(Tank1!$C$23="No control",(SUMIF(Tank1!$B$32:$B$49,$J2219,Tank1!$C$32:$C$49)*Impacts!$F$8),0)</f>
        <v>0</v>
      </c>
      <c r="M2219" s="10">
        <f>IF(Tank2!$C$23="No control",(SUMIF(Tank2!$B$32:$B$49,$J2219,Tank2!$C$32:$C$49)*Impacts!$F$9),0)</f>
        <v>0</v>
      </c>
      <c r="N2219" s="10">
        <f>IF(Tank3!$C$23="No control",(SUMIF(Tank3!$B$32:$B$49,$J2219,Tank3!$C$32:$C$49)*Impacts!$F$10),0)</f>
        <v>0</v>
      </c>
      <c r="O2219" s="10">
        <f>IF(Tank4!$C$23="No control",(SUMIF(Tank4!$B$32:$B$49,$J2219,Tank4!$C$32:$C$49)*Impacts!$F$11),0)</f>
        <v>0</v>
      </c>
      <c r="P2219" s="10">
        <f>IF(Tank5!$C$23="No control",(SUMIF(Tank5!$B$32:$B$49,$J2219,Tank5!$C$32:$C$49)*Impacts!$F$12),0)</f>
        <v>0</v>
      </c>
      <c r="Q2219" s="10">
        <f>IFERROR(IF(('Loading-drum,tote'!$C$21)="No control",SUMIF(('Loading-drum,tote'!$B$31:$B$48),$J2219,('Loading-drum,tote'!$D$31:$D$48))*Impacts!$F$13,IF(('Loading-drum,tote'!$C$21)&lt;&gt;"No control",SUMIF(('Loading-drum,tote'!$B$31:$B$48),$J2219,('Loading-drum,tote'!$E$31:$E$48))*Impacts!$F$13,0)),0)</f>
        <v>0</v>
      </c>
      <c r="R2219" s="10">
        <f>IFERROR(IF(('Loading-truck'!$C$21)="No control",SUMIF(('Loading-truck'!$B$31:$B$48),$J2219,('Loading-truck'!$D$31:$D$48))*Impacts!$F$14,IF(('Loading-truck'!$C$21)&lt;&gt;"No control",SUMIF(('Loading-truck'!$B$31:$B$48),$J2219,('Loading-truck'!$E$31:$E$48))*Impacts!$F$14,0)),0)</f>
        <v>0</v>
      </c>
      <c r="S2219" s="10">
        <f>IFERROR(IF(('Loading-rail'!$C$21)="No control",SUMIF(('Loading-rail'!$B$31:$B$48),$J2219,('Loading-rail'!$D$31:$D$48))*Impacts!$F$15,IF(('Loading-rail'!$C$21)&lt;&gt;"No control",SUMIF(('Loading-rail'!$B$31:$B$48),$J2219,('Loading-rail'!$E$31:$E$48))*Impacts!$F$15,0)),0)</f>
        <v>0</v>
      </c>
      <c r="T2219" s="10">
        <f>IF(Flare!$C$7="",0,(SUMIF(Flare!$B$46:$B$185,$J2219,Flare!$E$46:$E$185)*Impacts!$F$16))</f>
        <v>0</v>
      </c>
      <c r="U2219" s="10">
        <f>IF(VCU!$C$9="",0,(SUMIF(VCU!$B$51:$B$193,$J2219,VCU!$E$51:$E$193)*Impacts!$F$17))</f>
        <v>0</v>
      </c>
      <c r="V2219" s="10">
        <f>IF(CAS!$C$7="",0,(SUMIF(CAS!$B$31:$B$167,$J2219,CAS!$E$31:$E$167)*Impacts!$F$18))</f>
        <v>0</v>
      </c>
      <c r="W2219" s="10">
        <f t="shared" si="75"/>
        <v>0</v>
      </c>
      <c r="AK2219" s="10" t="str">
        <f t="array" ref="AK2219">IFERROR(INDEX(SelectedSpecies,SMALL(IF(SelectedSpecies=AK$1,ROW(SelectedSpecies)),ROW(2220:2220)),2),"")</f>
        <v/>
      </c>
      <c r="BE2219" s="10"/>
      <c r="BI2219" s="10"/>
    </row>
    <row r="2220" spans="1:61" ht="21" customHeight="1" x14ac:dyDescent="0.25">
      <c r="A2220" s="10"/>
      <c r="B2220" s="10"/>
      <c r="E2220" s="10"/>
      <c r="G2220" s="10"/>
      <c r="I2220" s="436" t="s">
        <v>6538</v>
      </c>
      <c r="J2220" s="26" t="s">
        <v>6537</v>
      </c>
      <c r="K2220" s="10">
        <v>0.70000000000000007</v>
      </c>
      <c r="L2220" s="73">
        <f>IF(Tank1!$C$23="No control",(SUMIF(Tank1!$B$32:$B$49,$J2220,Tank1!$C$32:$C$49)*Impacts!$F$8),0)</f>
        <v>0</v>
      </c>
      <c r="M2220" s="10">
        <f>IF(Tank2!$C$23="No control",(SUMIF(Tank2!$B$32:$B$49,$J2220,Tank2!$C$32:$C$49)*Impacts!$F$9),0)</f>
        <v>0</v>
      </c>
      <c r="N2220" s="10">
        <f>IF(Tank3!$C$23="No control",(SUMIF(Tank3!$B$32:$B$49,$J2220,Tank3!$C$32:$C$49)*Impacts!$F$10),0)</f>
        <v>0</v>
      </c>
      <c r="O2220" s="10">
        <f>IF(Tank4!$C$23="No control",(SUMIF(Tank4!$B$32:$B$49,$J2220,Tank4!$C$32:$C$49)*Impacts!$F$11),0)</f>
        <v>0</v>
      </c>
      <c r="P2220" s="10">
        <f>IF(Tank5!$C$23="No control",(SUMIF(Tank5!$B$32:$B$49,$J2220,Tank5!$C$32:$C$49)*Impacts!$F$12),0)</f>
        <v>0</v>
      </c>
      <c r="Q2220" s="10">
        <f>IFERROR(IF(('Loading-drum,tote'!$C$21)="No control",SUMIF(('Loading-drum,tote'!$B$31:$B$48),$J2220,('Loading-drum,tote'!$D$31:$D$48))*Impacts!$F$13,IF(('Loading-drum,tote'!$C$21)&lt;&gt;"No control",SUMIF(('Loading-drum,tote'!$B$31:$B$48),$J2220,('Loading-drum,tote'!$E$31:$E$48))*Impacts!$F$13,0)),0)</f>
        <v>0</v>
      </c>
      <c r="R2220" s="10">
        <f>IFERROR(IF(('Loading-truck'!$C$21)="No control",SUMIF(('Loading-truck'!$B$31:$B$48),$J2220,('Loading-truck'!$D$31:$D$48))*Impacts!$F$14,IF(('Loading-truck'!$C$21)&lt;&gt;"No control",SUMIF(('Loading-truck'!$B$31:$B$48),$J2220,('Loading-truck'!$E$31:$E$48))*Impacts!$F$14,0)),0)</f>
        <v>0</v>
      </c>
      <c r="S2220" s="10">
        <f>IFERROR(IF(('Loading-rail'!$C$21)="No control",SUMIF(('Loading-rail'!$B$31:$B$48),$J2220,('Loading-rail'!$D$31:$D$48))*Impacts!$F$15,IF(('Loading-rail'!$C$21)&lt;&gt;"No control",SUMIF(('Loading-rail'!$B$31:$B$48),$J2220,('Loading-rail'!$E$31:$E$48))*Impacts!$F$15,0)),0)</f>
        <v>0</v>
      </c>
      <c r="T2220" s="10">
        <f>IF(Flare!$C$7="",0,(SUMIF(Flare!$B$46:$B$185,$J2220,Flare!$E$46:$E$185)*Impacts!$F$16))</f>
        <v>0</v>
      </c>
      <c r="U2220" s="10">
        <f>IF(VCU!$C$9="",0,(SUMIF(VCU!$B$51:$B$193,$J2220,VCU!$E$51:$E$193)*Impacts!$F$17))</f>
        <v>0</v>
      </c>
      <c r="V2220" s="10">
        <f>IF(CAS!$C$7="",0,(SUMIF(CAS!$B$31:$B$167,$J2220,CAS!$E$31:$E$167)*Impacts!$F$18))</f>
        <v>0</v>
      </c>
      <c r="W2220" s="10">
        <f t="shared" si="75"/>
        <v>0</v>
      </c>
      <c r="AK2220" s="10" t="str">
        <f t="array" ref="AK2220">IFERROR(INDEX(SelectedSpecies,SMALL(IF(SelectedSpecies=AK$1,ROW(SelectedSpecies)),ROW(2221:2221)),2),"")</f>
        <v/>
      </c>
      <c r="BE2220" s="10"/>
      <c r="BI2220" s="10"/>
    </row>
    <row r="2221" spans="1:61" ht="21" customHeight="1" x14ac:dyDescent="0.25">
      <c r="A2221" s="10"/>
      <c r="B2221" s="10"/>
      <c r="E2221" s="10"/>
      <c r="G2221" s="10"/>
      <c r="I2221" s="436" t="s">
        <v>7592</v>
      </c>
      <c r="J2221" s="26" t="s">
        <v>7591</v>
      </c>
      <c r="K2221" s="10">
        <v>0.18000000000000002</v>
      </c>
      <c r="L2221" s="73">
        <f>IF(Tank1!$C$23="No control",(SUMIF(Tank1!$B$32:$B$49,$J2221,Tank1!$C$32:$C$49)*Impacts!$F$8),0)</f>
        <v>0</v>
      </c>
      <c r="M2221" s="10">
        <f>IF(Tank2!$C$23="No control",(SUMIF(Tank2!$B$32:$B$49,$J2221,Tank2!$C$32:$C$49)*Impacts!$F$9),0)</f>
        <v>0</v>
      </c>
      <c r="N2221" s="10">
        <f>IF(Tank3!$C$23="No control",(SUMIF(Tank3!$B$32:$B$49,$J2221,Tank3!$C$32:$C$49)*Impacts!$F$10),0)</f>
        <v>0</v>
      </c>
      <c r="O2221" s="10">
        <f>IF(Tank4!$C$23="No control",(SUMIF(Tank4!$B$32:$B$49,$J2221,Tank4!$C$32:$C$49)*Impacts!$F$11),0)</f>
        <v>0</v>
      </c>
      <c r="P2221" s="10">
        <f>IF(Tank5!$C$23="No control",(SUMIF(Tank5!$B$32:$B$49,$J2221,Tank5!$C$32:$C$49)*Impacts!$F$12),0)</f>
        <v>0</v>
      </c>
      <c r="Q2221" s="10">
        <f>IFERROR(IF(('Loading-drum,tote'!$C$21)="No control",SUMIF(('Loading-drum,tote'!$B$31:$B$48),$J2221,('Loading-drum,tote'!$D$31:$D$48))*Impacts!$F$13,IF(('Loading-drum,tote'!$C$21)&lt;&gt;"No control",SUMIF(('Loading-drum,tote'!$B$31:$B$48),$J2221,('Loading-drum,tote'!$E$31:$E$48))*Impacts!$F$13,0)),0)</f>
        <v>0</v>
      </c>
      <c r="R2221" s="10">
        <f>IFERROR(IF(('Loading-truck'!$C$21)="No control",SUMIF(('Loading-truck'!$B$31:$B$48),$J2221,('Loading-truck'!$D$31:$D$48))*Impacts!$F$14,IF(('Loading-truck'!$C$21)&lt;&gt;"No control",SUMIF(('Loading-truck'!$B$31:$B$48),$J2221,('Loading-truck'!$E$31:$E$48))*Impacts!$F$14,0)),0)</f>
        <v>0</v>
      </c>
      <c r="S2221" s="10">
        <f>IFERROR(IF(('Loading-rail'!$C$21)="No control",SUMIF(('Loading-rail'!$B$31:$B$48),$J2221,('Loading-rail'!$D$31:$D$48))*Impacts!$F$15,IF(('Loading-rail'!$C$21)&lt;&gt;"No control",SUMIF(('Loading-rail'!$B$31:$B$48),$J2221,('Loading-rail'!$E$31:$E$48))*Impacts!$F$15,0)),0)</f>
        <v>0</v>
      </c>
      <c r="T2221" s="10">
        <f>IF(Flare!$C$7="",0,(SUMIF(Flare!$B$46:$B$185,$J2221,Flare!$E$46:$E$185)*Impacts!$F$16))</f>
        <v>0</v>
      </c>
      <c r="U2221" s="10">
        <f>IF(VCU!$C$9="",0,(SUMIF(VCU!$B$51:$B$193,$J2221,VCU!$E$51:$E$193)*Impacts!$F$17))</f>
        <v>0</v>
      </c>
      <c r="V2221" s="10">
        <f>IF(CAS!$C$7="",0,(SUMIF(CAS!$B$31:$B$167,$J2221,CAS!$E$31:$E$167)*Impacts!$F$18))</f>
        <v>0</v>
      </c>
      <c r="W2221" s="10">
        <f t="shared" si="75"/>
        <v>0</v>
      </c>
      <c r="AK2221" s="10" t="str">
        <f t="array" ref="AK2221">IFERROR(INDEX(SelectedSpecies,SMALL(IF(SelectedSpecies=AK$1,ROW(SelectedSpecies)),ROW(2222:2222)),2),"")</f>
        <v/>
      </c>
      <c r="BE2221" s="10"/>
      <c r="BI2221" s="10"/>
    </row>
    <row r="2222" spans="1:61" ht="21" customHeight="1" x14ac:dyDescent="0.25">
      <c r="A2222" s="10"/>
      <c r="B2222" s="10"/>
      <c r="E2222" s="10"/>
      <c r="G2222" s="10"/>
      <c r="I2222" s="436" t="s">
        <v>1556</v>
      </c>
      <c r="J2222" s="26" t="s">
        <v>1555</v>
      </c>
      <c r="K2222" s="10">
        <v>27</v>
      </c>
      <c r="L2222" s="73">
        <f>IF(Tank1!$C$23="No control",(SUMIF(Tank1!$B$32:$B$49,$J2222,Tank1!$C$32:$C$49)*Impacts!$F$8),0)</f>
        <v>0</v>
      </c>
      <c r="M2222" s="10">
        <f>IF(Tank2!$C$23="No control",(SUMIF(Tank2!$B$32:$B$49,$J2222,Tank2!$C$32:$C$49)*Impacts!$F$9),0)</f>
        <v>0</v>
      </c>
      <c r="N2222" s="10">
        <f>IF(Tank3!$C$23="No control",(SUMIF(Tank3!$B$32:$B$49,$J2222,Tank3!$C$32:$C$49)*Impacts!$F$10),0)</f>
        <v>0</v>
      </c>
      <c r="O2222" s="10">
        <f>IF(Tank4!$C$23="No control",(SUMIF(Tank4!$B$32:$B$49,$J2222,Tank4!$C$32:$C$49)*Impacts!$F$11),0)</f>
        <v>0</v>
      </c>
      <c r="P2222" s="10">
        <f>IF(Tank5!$C$23="No control",(SUMIF(Tank5!$B$32:$B$49,$J2222,Tank5!$C$32:$C$49)*Impacts!$F$12),0)</f>
        <v>0</v>
      </c>
      <c r="Q2222" s="10">
        <f>IFERROR(IF(('Loading-drum,tote'!$C$21)="No control",SUMIF(('Loading-drum,tote'!$B$31:$B$48),$J2222,('Loading-drum,tote'!$D$31:$D$48))*Impacts!$F$13,IF(('Loading-drum,tote'!$C$21)&lt;&gt;"No control",SUMIF(('Loading-drum,tote'!$B$31:$B$48),$J2222,('Loading-drum,tote'!$E$31:$E$48))*Impacts!$F$13,0)),0)</f>
        <v>0</v>
      </c>
      <c r="R2222" s="10">
        <f>IFERROR(IF(('Loading-truck'!$C$21)="No control",SUMIF(('Loading-truck'!$B$31:$B$48),$J2222,('Loading-truck'!$D$31:$D$48))*Impacts!$F$14,IF(('Loading-truck'!$C$21)&lt;&gt;"No control",SUMIF(('Loading-truck'!$B$31:$B$48),$J2222,('Loading-truck'!$E$31:$E$48))*Impacts!$F$14,0)),0)</f>
        <v>0</v>
      </c>
      <c r="S2222" s="10">
        <f>IFERROR(IF(('Loading-rail'!$C$21)="No control",SUMIF(('Loading-rail'!$B$31:$B$48),$J2222,('Loading-rail'!$D$31:$D$48))*Impacts!$F$15,IF(('Loading-rail'!$C$21)&lt;&gt;"No control",SUMIF(('Loading-rail'!$B$31:$B$48),$J2222,('Loading-rail'!$E$31:$E$48))*Impacts!$F$15,0)),0)</f>
        <v>0</v>
      </c>
      <c r="T2222" s="10">
        <f>IF(Flare!$C$7="",0,(SUMIF(Flare!$B$46:$B$185,$J2222,Flare!$E$46:$E$185)*Impacts!$F$16))</f>
        <v>0</v>
      </c>
      <c r="U2222" s="10">
        <f>IF(VCU!$C$9="",0,(SUMIF(VCU!$B$51:$B$193,$J2222,VCU!$E$51:$E$193)*Impacts!$F$17))</f>
        <v>0</v>
      </c>
      <c r="V2222" s="10">
        <f>IF(CAS!$C$7="",0,(SUMIF(CAS!$B$31:$B$167,$J2222,CAS!$E$31:$E$167)*Impacts!$F$18))</f>
        <v>0</v>
      </c>
      <c r="W2222" s="10">
        <f t="shared" si="75"/>
        <v>0</v>
      </c>
      <c r="AK2222" s="10" t="str">
        <f t="array" ref="AK2222">IFERROR(INDEX(SelectedSpecies,SMALL(IF(SelectedSpecies=AK$1,ROW(SelectedSpecies)),ROW(2223:2223)),2),"")</f>
        <v/>
      </c>
      <c r="BE2222" s="10"/>
      <c r="BI2222" s="10"/>
    </row>
    <row r="2223" spans="1:61" ht="21" customHeight="1" x14ac:dyDescent="0.25">
      <c r="A2223" s="10"/>
      <c r="B2223" s="10"/>
      <c r="E2223" s="10"/>
      <c r="G2223" s="10"/>
      <c r="I2223" s="436" t="s">
        <v>3517</v>
      </c>
      <c r="J2223" s="26" t="s">
        <v>3516</v>
      </c>
      <c r="K2223" s="10">
        <v>9</v>
      </c>
      <c r="L2223" s="73">
        <f>IF(Tank1!$C$23="No control",(SUMIF(Tank1!$B$32:$B$49,$J2223,Tank1!$C$32:$C$49)*Impacts!$F$8),0)</f>
        <v>0</v>
      </c>
      <c r="M2223" s="10">
        <f>IF(Tank2!$C$23="No control",(SUMIF(Tank2!$B$32:$B$49,$J2223,Tank2!$C$32:$C$49)*Impacts!$F$9),0)</f>
        <v>0</v>
      </c>
      <c r="N2223" s="10">
        <f>IF(Tank3!$C$23="No control",(SUMIF(Tank3!$B$32:$B$49,$J2223,Tank3!$C$32:$C$49)*Impacts!$F$10),0)</f>
        <v>0</v>
      </c>
      <c r="O2223" s="10">
        <f>IF(Tank4!$C$23="No control",(SUMIF(Tank4!$B$32:$B$49,$J2223,Tank4!$C$32:$C$49)*Impacts!$F$11),0)</f>
        <v>0</v>
      </c>
      <c r="P2223" s="10">
        <f>IF(Tank5!$C$23="No control",(SUMIF(Tank5!$B$32:$B$49,$J2223,Tank5!$C$32:$C$49)*Impacts!$F$12),0)</f>
        <v>0</v>
      </c>
      <c r="Q2223" s="10">
        <f>IFERROR(IF(('Loading-drum,tote'!$C$21)="No control",SUMIF(('Loading-drum,tote'!$B$31:$B$48),$J2223,('Loading-drum,tote'!$D$31:$D$48))*Impacts!$F$13,IF(('Loading-drum,tote'!$C$21)&lt;&gt;"No control",SUMIF(('Loading-drum,tote'!$B$31:$B$48),$J2223,('Loading-drum,tote'!$E$31:$E$48))*Impacts!$F$13,0)),0)</f>
        <v>0</v>
      </c>
      <c r="R2223" s="10">
        <f>IFERROR(IF(('Loading-truck'!$C$21)="No control",SUMIF(('Loading-truck'!$B$31:$B$48),$J2223,('Loading-truck'!$D$31:$D$48))*Impacts!$F$14,IF(('Loading-truck'!$C$21)&lt;&gt;"No control",SUMIF(('Loading-truck'!$B$31:$B$48),$J2223,('Loading-truck'!$E$31:$E$48))*Impacts!$F$14,0)),0)</f>
        <v>0</v>
      </c>
      <c r="S2223" s="10">
        <f>IFERROR(IF(('Loading-rail'!$C$21)="No control",SUMIF(('Loading-rail'!$B$31:$B$48),$J2223,('Loading-rail'!$D$31:$D$48))*Impacts!$F$15,IF(('Loading-rail'!$C$21)&lt;&gt;"No control",SUMIF(('Loading-rail'!$B$31:$B$48),$J2223,('Loading-rail'!$E$31:$E$48))*Impacts!$F$15,0)),0)</f>
        <v>0</v>
      </c>
      <c r="T2223" s="10">
        <f>IF(Flare!$C$7="",0,(SUMIF(Flare!$B$46:$B$185,$J2223,Flare!$E$46:$E$185)*Impacts!$F$16))</f>
        <v>0</v>
      </c>
      <c r="U2223" s="10">
        <f>IF(VCU!$C$9="",0,(SUMIF(VCU!$B$51:$B$193,$J2223,VCU!$E$51:$E$193)*Impacts!$F$17))</f>
        <v>0</v>
      </c>
      <c r="V2223" s="10">
        <f>IF(CAS!$C$7="",0,(SUMIF(CAS!$B$31:$B$167,$J2223,CAS!$E$31:$E$167)*Impacts!$F$18))</f>
        <v>0</v>
      </c>
      <c r="W2223" s="10">
        <f t="shared" si="75"/>
        <v>0</v>
      </c>
      <c r="AK2223" s="10" t="str">
        <f t="array" ref="AK2223">IFERROR(INDEX(SelectedSpecies,SMALL(IF(SelectedSpecies=AK$1,ROW(SelectedSpecies)),ROW(2224:2224)),2),"")</f>
        <v/>
      </c>
      <c r="BE2223" s="10"/>
      <c r="BI2223" s="10"/>
    </row>
    <row r="2224" spans="1:61" ht="21" customHeight="1" x14ac:dyDescent="0.25">
      <c r="A2224" s="10"/>
      <c r="B2224" s="10"/>
      <c r="E2224" s="10"/>
      <c r="G2224" s="10"/>
      <c r="I2224" s="436" t="s">
        <v>2507</v>
      </c>
      <c r="J2224" s="26" t="s">
        <v>2506</v>
      </c>
      <c r="K2224" s="10">
        <v>10</v>
      </c>
      <c r="L2224" s="73">
        <f>IF(Tank1!$C$23="No control",(SUMIF(Tank1!$B$32:$B$49,$J2224,Tank1!$C$32:$C$49)*Impacts!$F$8),0)</f>
        <v>0</v>
      </c>
      <c r="M2224" s="10">
        <f>IF(Tank2!$C$23="No control",(SUMIF(Tank2!$B$32:$B$49,$J2224,Tank2!$C$32:$C$49)*Impacts!$F$9),0)</f>
        <v>0</v>
      </c>
      <c r="N2224" s="10">
        <f>IF(Tank3!$C$23="No control",(SUMIF(Tank3!$B$32:$B$49,$J2224,Tank3!$C$32:$C$49)*Impacts!$F$10),0)</f>
        <v>0</v>
      </c>
      <c r="O2224" s="10">
        <f>IF(Tank4!$C$23="No control",(SUMIF(Tank4!$B$32:$B$49,$J2224,Tank4!$C$32:$C$49)*Impacts!$F$11),0)</f>
        <v>0</v>
      </c>
      <c r="P2224" s="10">
        <f>IF(Tank5!$C$23="No control",(SUMIF(Tank5!$B$32:$B$49,$J2224,Tank5!$C$32:$C$49)*Impacts!$F$12),0)</f>
        <v>0</v>
      </c>
      <c r="Q2224" s="10">
        <f>IFERROR(IF(('Loading-drum,tote'!$C$21)="No control",SUMIF(('Loading-drum,tote'!$B$31:$B$48),$J2224,('Loading-drum,tote'!$D$31:$D$48))*Impacts!$F$13,IF(('Loading-drum,tote'!$C$21)&lt;&gt;"No control",SUMIF(('Loading-drum,tote'!$B$31:$B$48),$J2224,('Loading-drum,tote'!$E$31:$E$48))*Impacts!$F$13,0)),0)</f>
        <v>0</v>
      </c>
      <c r="R2224" s="10">
        <f>IFERROR(IF(('Loading-truck'!$C$21)="No control",SUMIF(('Loading-truck'!$B$31:$B$48),$J2224,('Loading-truck'!$D$31:$D$48))*Impacts!$F$14,IF(('Loading-truck'!$C$21)&lt;&gt;"No control",SUMIF(('Loading-truck'!$B$31:$B$48),$J2224,('Loading-truck'!$E$31:$E$48))*Impacts!$F$14,0)),0)</f>
        <v>0</v>
      </c>
      <c r="S2224" s="10">
        <f>IFERROR(IF(('Loading-rail'!$C$21)="No control",SUMIF(('Loading-rail'!$B$31:$B$48),$J2224,('Loading-rail'!$D$31:$D$48))*Impacts!$F$15,IF(('Loading-rail'!$C$21)&lt;&gt;"No control",SUMIF(('Loading-rail'!$B$31:$B$48),$J2224,('Loading-rail'!$E$31:$E$48))*Impacts!$F$15,0)),0)</f>
        <v>0</v>
      </c>
      <c r="T2224" s="10">
        <f>IF(Flare!$C$7="",0,(SUMIF(Flare!$B$46:$B$185,$J2224,Flare!$E$46:$E$185)*Impacts!$F$16))</f>
        <v>0</v>
      </c>
      <c r="U2224" s="10">
        <f>IF(VCU!$C$9="",0,(SUMIF(VCU!$B$51:$B$193,$J2224,VCU!$E$51:$E$193)*Impacts!$F$17))</f>
        <v>0</v>
      </c>
      <c r="V2224" s="10">
        <f>IF(CAS!$C$7="",0,(SUMIF(CAS!$B$31:$B$167,$J2224,CAS!$E$31:$E$167)*Impacts!$F$18))</f>
        <v>0</v>
      </c>
      <c r="W2224" s="10">
        <f t="shared" si="75"/>
        <v>0</v>
      </c>
      <c r="AK2224" s="10" t="str">
        <f t="array" ref="AK2224">IFERROR(INDEX(SelectedSpecies,SMALL(IF(SelectedSpecies=AK$1,ROW(SelectedSpecies)),ROW(2225:2225)),2),"")</f>
        <v/>
      </c>
      <c r="BE2224" s="10"/>
      <c r="BI2224" s="10"/>
    </row>
    <row r="2225" spans="1:61" ht="21" customHeight="1" x14ac:dyDescent="0.25">
      <c r="A2225" s="10"/>
      <c r="B2225" s="10"/>
      <c r="E2225" s="10"/>
      <c r="G2225" s="10"/>
      <c r="I2225" s="436" t="s">
        <v>2509</v>
      </c>
      <c r="J2225" s="26" t="s">
        <v>2508</v>
      </c>
      <c r="K2225" s="10">
        <v>10</v>
      </c>
      <c r="L2225" s="73">
        <f>IF(Tank1!$C$23="No control",(SUMIF(Tank1!$B$32:$B$49,$J2225,Tank1!$C$32:$C$49)*Impacts!$F$8),0)</f>
        <v>0</v>
      </c>
      <c r="M2225" s="10">
        <f>IF(Tank2!$C$23="No control",(SUMIF(Tank2!$B$32:$B$49,$J2225,Tank2!$C$32:$C$49)*Impacts!$F$9),0)</f>
        <v>0</v>
      </c>
      <c r="N2225" s="10">
        <f>IF(Tank3!$C$23="No control",(SUMIF(Tank3!$B$32:$B$49,$J2225,Tank3!$C$32:$C$49)*Impacts!$F$10),0)</f>
        <v>0</v>
      </c>
      <c r="O2225" s="10">
        <f>IF(Tank4!$C$23="No control",(SUMIF(Tank4!$B$32:$B$49,$J2225,Tank4!$C$32:$C$49)*Impacts!$F$11),0)</f>
        <v>0</v>
      </c>
      <c r="P2225" s="10">
        <f>IF(Tank5!$C$23="No control",(SUMIF(Tank5!$B$32:$B$49,$J2225,Tank5!$C$32:$C$49)*Impacts!$F$12),0)</f>
        <v>0</v>
      </c>
      <c r="Q2225" s="10">
        <f>IFERROR(IF(('Loading-drum,tote'!$C$21)="No control",SUMIF(('Loading-drum,tote'!$B$31:$B$48),$J2225,('Loading-drum,tote'!$D$31:$D$48))*Impacts!$F$13,IF(('Loading-drum,tote'!$C$21)&lt;&gt;"No control",SUMIF(('Loading-drum,tote'!$B$31:$B$48),$J2225,('Loading-drum,tote'!$E$31:$E$48))*Impacts!$F$13,0)),0)</f>
        <v>0</v>
      </c>
      <c r="R2225" s="10">
        <f>IFERROR(IF(('Loading-truck'!$C$21)="No control",SUMIF(('Loading-truck'!$B$31:$B$48),$J2225,('Loading-truck'!$D$31:$D$48))*Impacts!$F$14,IF(('Loading-truck'!$C$21)&lt;&gt;"No control",SUMIF(('Loading-truck'!$B$31:$B$48),$J2225,('Loading-truck'!$E$31:$E$48))*Impacts!$F$14,0)),0)</f>
        <v>0</v>
      </c>
      <c r="S2225" s="10">
        <f>IFERROR(IF(('Loading-rail'!$C$21)="No control",SUMIF(('Loading-rail'!$B$31:$B$48),$J2225,('Loading-rail'!$D$31:$D$48))*Impacts!$F$15,IF(('Loading-rail'!$C$21)&lt;&gt;"No control",SUMIF(('Loading-rail'!$B$31:$B$48),$J2225,('Loading-rail'!$E$31:$E$48))*Impacts!$F$15,0)),0)</f>
        <v>0</v>
      </c>
      <c r="T2225" s="10">
        <f>IF(Flare!$C$7="",0,(SUMIF(Flare!$B$46:$B$185,$J2225,Flare!$E$46:$E$185)*Impacts!$F$16))</f>
        <v>0</v>
      </c>
      <c r="U2225" s="10">
        <f>IF(VCU!$C$9="",0,(SUMIF(VCU!$B$51:$B$193,$J2225,VCU!$E$51:$E$193)*Impacts!$F$17))</f>
        <v>0</v>
      </c>
      <c r="V2225" s="10">
        <f>IF(CAS!$C$7="",0,(SUMIF(CAS!$B$31:$B$167,$J2225,CAS!$E$31:$E$167)*Impacts!$F$18))</f>
        <v>0</v>
      </c>
      <c r="W2225" s="10">
        <f t="shared" si="75"/>
        <v>0</v>
      </c>
      <c r="AK2225" s="10" t="str">
        <f t="array" ref="AK2225">IFERROR(INDEX(SelectedSpecies,SMALL(IF(SelectedSpecies=AK$1,ROW(SelectedSpecies)),ROW(2226:2226)),2),"")</f>
        <v/>
      </c>
      <c r="BE2225" s="10"/>
      <c r="BI2225" s="10"/>
    </row>
    <row r="2226" spans="1:61" ht="21" customHeight="1" x14ac:dyDescent="0.25">
      <c r="A2226" s="10"/>
      <c r="B2226" s="10"/>
      <c r="E2226" s="10"/>
      <c r="G2226" s="10"/>
      <c r="I2226" s="436" t="s">
        <v>2511</v>
      </c>
      <c r="J2226" s="26" t="s">
        <v>2510</v>
      </c>
      <c r="K2226" s="10">
        <v>10</v>
      </c>
      <c r="L2226" s="73">
        <f>IF(Tank1!$C$23="No control",(SUMIF(Tank1!$B$32:$B$49,$J2226,Tank1!$C$32:$C$49)*Impacts!$F$8),0)</f>
        <v>0</v>
      </c>
      <c r="M2226" s="10">
        <f>IF(Tank2!$C$23="No control",(SUMIF(Tank2!$B$32:$B$49,$J2226,Tank2!$C$32:$C$49)*Impacts!$F$9),0)</f>
        <v>0</v>
      </c>
      <c r="N2226" s="10">
        <f>IF(Tank3!$C$23="No control",(SUMIF(Tank3!$B$32:$B$49,$J2226,Tank3!$C$32:$C$49)*Impacts!$F$10),0)</f>
        <v>0</v>
      </c>
      <c r="O2226" s="10">
        <f>IF(Tank4!$C$23="No control",(SUMIF(Tank4!$B$32:$B$49,$J2226,Tank4!$C$32:$C$49)*Impacts!$F$11),0)</f>
        <v>0</v>
      </c>
      <c r="P2226" s="10">
        <f>IF(Tank5!$C$23="No control",(SUMIF(Tank5!$B$32:$B$49,$J2226,Tank5!$C$32:$C$49)*Impacts!$F$12),0)</f>
        <v>0</v>
      </c>
      <c r="Q2226" s="10">
        <f>IFERROR(IF(('Loading-drum,tote'!$C$21)="No control",SUMIF(('Loading-drum,tote'!$B$31:$B$48),$J2226,('Loading-drum,tote'!$D$31:$D$48))*Impacts!$F$13,IF(('Loading-drum,tote'!$C$21)&lt;&gt;"No control",SUMIF(('Loading-drum,tote'!$B$31:$B$48),$J2226,('Loading-drum,tote'!$E$31:$E$48))*Impacts!$F$13,0)),0)</f>
        <v>0</v>
      </c>
      <c r="R2226" s="10">
        <f>IFERROR(IF(('Loading-truck'!$C$21)="No control",SUMIF(('Loading-truck'!$B$31:$B$48),$J2226,('Loading-truck'!$D$31:$D$48))*Impacts!$F$14,IF(('Loading-truck'!$C$21)&lt;&gt;"No control",SUMIF(('Loading-truck'!$B$31:$B$48),$J2226,('Loading-truck'!$E$31:$E$48))*Impacts!$F$14,0)),0)</f>
        <v>0</v>
      </c>
      <c r="S2226" s="10">
        <f>IFERROR(IF(('Loading-rail'!$C$21)="No control",SUMIF(('Loading-rail'!$B$31:$B$48),$J2226,('Loading-rail'!$D$31:$D$48))*Impacts!$F$15,IF(('Loading-rail'!$C$21)&lt;&gt;"No control",SUMIF(('Loading-rail'!$B$31:$B$48),$J2226,('Loading-rail'!$E$31:$E$48))*Impacts!$F$15,0)),0)</f>
        <v>0</v>
      </c>
      <c r="T2226" s="10">
        <f>IF(Flare!$C$7="",0,(SUMIF(Flare!$B$46:$B$185,$J2226,Flare!$E$46:$E$185)*Impacts!$F$16))</f>
        <v>0</v>
      </c>
      <c r="U2226" s="10">
        <f>IF(VCU!$C$9="",0,(SUMIF(VCU!$B$51:$B$193,$J2226,VCU!$E$51:$E$193)*Impacts!$F$17))</f>
        <v>0</v>
      </c>
      <c r="V2226" s="10">
        <f>IF(CAS!$C$7="",0,(SUMIF(CAS!$B$31:$B$167,$J2226,CAS!$E$31:$E$167)*Impacts!$F$18))</f>
        <v>0</v>
      </c>
      <c r="W2226" s="10">
        <f t="shared" si="75"/>
        <v>0</v>
      </c>
      <c r="AK2226" s="10" t="str">
        <f t="array" ref="AK2226">IFERROR(INDEX(SelectedSpecies,SMALL(IF(SelectedSpecies=AK$1,ROW(SelectedSpecies)),ROW(2227:2227)),2),"")</f>
        <v/>
      </c>
      <c r="BE2226" s="10"/>
      <c r="BI2226" s="10"/>
    </row>
    <row r="2227" spans="1:61" ht="21" customHeight="1" x14ac:dyDescent="0.25">
      <c r="A2227" s="10"/>
      <c r="B2227" s="10"/>
      <c r="E2227" s="10"/>
      <c r="G2227" s="10"/>
      <c r="I2227" s="436" t="s">
        <v>6858</v>
      </c>
      <c r="J2227" s="26" t="s">
        <v>6857</v>
      </c>
      <c r="K2227" s="10">
        <v>0.5</v>
      </c>
      <c r="L2227" s="73">
        <f>IF(Tank1!$C$23="No control",(SUMIF(Tank1!$B$32:$B$49,$J2227,Tank1!$C$32:$C$49)*Impacts!$F$8),0)</f>
        <v>0</v>
      </c>
      <c r="M2227" s="10">
        <f>IF(Tank2!$C$23="No control",(SUMIF(Tank2!$B$32:$B$49,$J2227,Tank2!$C$32:$C$49)*Impacts!$F$9),0)</f>
        <v>0</v>
      </c>
      <c r="N2227" s="10">
        <f>IF(Tank3!$C$23="No control",(SUMIF(Tank3!$B$32:$B$49,$J2227,Tank3!$C$32:$C$49)*Impacts!$F$10),0)</f>
        <v>0</v>
      </c>
      <c r="O2227" s="10">
        <f>IF(Tank4!$C$23="No control",(SUMIF(Tank4!$B$32:$B$49,$J2227,Tank4!$C$32:$C$49)*Impacts!$F$11),0)</f>
        <v>0</v>
      </c>
      <c r="P2227" s="10">
        <f>IF(Tank5!$C$23="No control",(SUMIF(Tank5!$B$32:$B$49,$J2227,Tank5!$C$32:$C$49)*Impacts!$F$12),0)</f>
        <v>0</v>
      </c>
      <c r="Q2227" s="10">
        <f>IFERROR(IF(('Loading-drum,tote'!$C$21)="No control",SUMIF(('Loading-drum,tote'!$B$31:$B$48),$J2227,('Loading-drum,tote'!$D$31:$D$48))*Impacts!$F$13,IF(('Loading-drum,tote'!$C$21)&lt;&gt;"No control",SUMIF(('Loading-drum,tote'!$B$31:$B$48),$J2227,('Loading-drum,tote'!$E$31:$E$48))*Impacts!$F$13,0)),0)</f>
        <v>0</v>
      </c>
      <c r="R2227" s="10">
        <f>IFERROR(IF(('Loading-truck'!$C$21)="No control",SUMIF(('Loading-truck'!$B$31:$B$48),$J2227,('Loading-truck'!$D$31:$D$48))*Impacts!$F$14,IF(('Loading-truck'!$C$21)&lt;&gt;"No control",SUMIF(('Loading-truck'!$B$31:$B$48),$J2227,('Loading-truck'!$E$31:$E$48))*Impacts!$F$14,0)),0)</f>
        <v>0</v>
      </c>
      <c r="S2227" s="10">
        <f>IFERROR(IF(('Loading-rail'!$C$21)="No control",SUMIF(('Loading-rail'!$B$31:$B$48),$J2227,('Loading-rail'!$D$31:$D$48))*Impacts!$F$15,IF(('Loading-rail'!$C$21)&lt;&gt;"No control",SUMIF(('Loading-rail'!$B$31:$B$48),$J2227,('Loading-rail'!$E$31:$E$48))*Impacts!$F$15,0)),0)</f>
        <v>0</v>
      </c>
      <c r="T2227" s="10">
        <f>IF(Flare!$C$7="",0,(SUMIF(Flare!$B$46:$B$185,$J2227,Flare!$E$46:$E$185)*Impacts!$F$16))</f>
        <v>0</v>
      </c>
      <c r="U2227" s="10">
        <f>IF(VCU!$C$9="",0,(SUMIF(VCU!$B$51:$B$193,$J2227,VCU!$E$51:$E$193)*Impacts!$F$17))</f>
        <v>0</v>
      </c>
      <c r="V2227" s="10">
        <f>IF(CAS!$C$7="",0,(SUMIF(CAS!$B$31:$B$167,$J2227,CAS!$E$31:$E$167)*Impacts!$F$18))</f>
        <v>0</v>
      </c>
      <c r="W2227" s="10">
        <f t="shared" si="75"/>
        <v>0</v>
      </c>
      <c r="AK2227" s="10" t="str">
        <f t="array" ref="AK2227">IFERROR(INDEX(SelectedSpecies,SMALL(IF(SelectedSpecies=AK$1,ROW(SelectedSpecies)),ROW(2228:2228)),2),"")</f>
        <v/>
      </c>
      <c r="BE2227" s="10"/>
      <c r="BI2227" s="10"/>
    </row>
    <row r="2228" spans="1:61" ht="21" customHeight="1" x14ac:dyDescent="0.25">
      <c r="A2228" s="10"/>
      <c r="B2228" s="10"/>
      <c r="E2228" s="10"/>
      <c r="G2228" s="10"/>
      <c r="I2228" s="436" t="s">
        <v>5447</v>
      </c>
      <c r="J2228" s="26" t="s">
        <v>5446</v>
      </c>
      <c r="K2228" s="10">
        <v>1.4000000000000001</v>
      </c>
      <c r="L2228" s="73">
        <f>IF(Tank1!$C$23="No control",(SUMIF(Tank1!$B$32:$B$49,$J2228,Tank1!$C$32:$C$49)*Impacts!$F$8),0)</f>
        <v>0</v>
      </c>
      <c r="M2228" s="10">
        <f>IF(Tank2!$C$23="No control",(SUMIF(Tank2!$B$32:$B$49,$J2228,Tank2!$C$32:$C$49)*Impacts!$F$9),0)</f>
        <v>0</v>
      </c>
      <c r="N2228" s="10">
        <f>IF(Tank3!$C$23="No control",(SUMIF(Tank3!$B$32:$B$49,$J2228,Tank3!$C$32:$C$49)*Impacts!$F$10),0)</f>
        <v>0</v>
      </c>
      <c r="O2228" s="10">
        <f>IF(Tank4!$C$23="No control",(SUMIF(Tank4!$B$32:$B$49,$J2228,Tank4!$C$32:$C$49)*Impacts!$F$11),0)</f>
        <v>0</v>
      </c>
      <c r="P2228" s="10">
        <f>IF(Tank5!$C$23="No control",(SUMIF(Tank5!$B$32:$B$49,$J2228,Tank5!$C$32:$C$49)*Impacts!$F$12),0)</f>
        <v>0</v>
      </c>
      <c r="Q2228" s="10">
        <f>IFERROR(IF(('Loading-drum,tote'!$C$21)="No control",SUMIF(('Loading-drum,tote'!$B$31:$B$48),$J2228,('Loading-drum,tote'!$D$31:$D$48))*Impacts!$F$13,IF(('Loading-drum,tote'!$C$21)&lt;&gt;"No control",SUMIF(('Loading-drum,tote'!$B$31:$B$48),$J2228,('Loading-drum,tote'!$E$31:$E$48))*Impacts!$F$13,0)),0)</f>
        <v>0</v>
      </c>
      <c r="R2228" s="10">
        <f>IFERROR(IF(('Loading-truck'!$C$21)="No control",SUMIF(('Loading-truck'!$B$31:$B$48),$J2228,('Loading-truck'!$D$31:$D$48))*Impacts!$F$14,IF(('Loading-truck'!$C$21)&lt;&gt;"No control",SUMIF(('Loading-truck'!$B$31:$B$48),$J2228,('Loading-truck'!$E$31:$E$48))*Impacts!$F$14,0)),0)</f>
        <v>0</v>
      </c>
      <c r="S2228" s="10">
        <f>IFERROR(IF(('Loading-rail'!$C$21)="No control",SUMIF(('Loading-rail'!$B$31:$B$48),$J2228,('Loading-rail'!$D$31:$D$48))*Impacts!$F$15,IF(('Loading-rail'!$C$21)&lt;&gt;"No control",SUMIF(('Loading-rail'!$B$31:$B$48),$J2228,('Loading-rail'!$E$31:$E$48))*Impacts!$F$15,0)),0)</f>
        <v>0</v>
      </c>
      <c r="T2228" s="10">
        <f>IF(Flare!$C$7="",0,(SUMIF(Flare!$B$46:$B$185,$J2228,Flare!$E$46:$E$185)*Impacts!$F$16))</f>
        <v>0</v>
      </c>
      <c r="U2228" s="10">
        <f>IF(VCU!$C$9="",0,(SUMIF(VCU!$B$51:$B$193,$J2228,VCU!$E$51:$E$193)*Impacts!$F$17))</f>
        <v>0</v>
      </c>
      <c r="V2228" s="10">
        <f>IF(CAS!$C$7="",0,(SUMIF(CAS!$B$31:$B$167,$J2228,CAS!$E$31:$E$167)*Impacts!$F$18))</f>
        <v>0</v>
      </c>
      <c r="W2228" s="10">
        <f t="shared" si="75"/>
        <v>0</v>
      </c>
      <c r="AK2228" s="10" t="str">
        <f t="array" ref="AK2228">IFERROR(INDEX(SelectedSpecies,SMALL(IF(SelectedSpecies=AK$1,ROW(SelectedSpecies)),ROW(2229:2229)),2),"")</f>
        <v/>
      </c>
      <c r="BE2228" s="10"/>
      <c r="BI2228" s="10"/>
    </row>
    <row r="2229" spans="1:61" ht="21" customHeight="1" x14ac:dyDescent="0.25">
      <c r="A2229" s="10"/>
      <c r="B2229" s="10"/>
      <c r="E2229" s="10"/>
      <c r="G2229" s="10"/>
      <c r="I2229" s="436" t="s">
        <v>2935</v>
      </c>
      <c r="J2229" s="26" t="s">
        <v>2934</v>
      </c>
      <c r="K2229" s="10">
        <v>10</v>
      </c>
      <c r="L2229" s="73">
        <f>IF(Tank1!$C$23="No control",(SUMIF(Tank1!$B$32:$B$49,$J2229,Tank1!$C$32:$C$49)*Impacts!$F$8),0)</f>
        <v>0</v>
      </c>
      <c r="M2229" s="10">
        <f>IF(Tank2!$C$23="No control",(SUMIF(Tank2!$B$32:$B$49,$J2229,Tank2!$C$32:$C$49)*Impacts!$F$9),0)</f>
        <v>0</v>
      </c>
      <c r="N2229" s="10">
        <f>IF(Tank3!$C$23="No control",(SUMIF(Tank3!$B$32:$B$49,$J2229,Tank3!$C$32:$C$49)*Impacts!$F$10),0)</f>
        <v>0</v>
      </c>
      <c r="O2229" s="10">
        <f>IF(Tank4!$C$23="No control",(SUMIF(Tank4!$B$32:$B$49,$J2229,Tank4!$C$32:$C$49)*Impacts!$F$11),0)</f>
        <v>0</v>
      </c>
      <c r="P2229" s="10">
        <f>IF(Tank5!$C$23="No control",(SUMIF(Tank5!$B$32:$B$49,$J2229,Tank5!$C$32:$C$49)*Impacts!$F$12),0)</f>
        <v>0</v>
      </c>
      <c r="Q2229" s="10">
        <f>IFERROR(IF(('Loading-drum,tote'!$C$21)="No control",SUMIF(('Loading-drum,tote'!$B$31:$B$48),$J2229,('Loading-drum,tote'!$D$31:$D$48))*Impacts!$F$13,IF(('Loading-drum,tote'!$C$21)&lt;&gt;"No control",SUMIF(('Loading-drum,tote'!$B$31:$B$48),$J2229,('Loading-drum,tote'!$E$31:$E$48))*Impacts!$F$13,0)),0)</f>
        <v>0</v>
      </c>
      <c r="R2229" s="10">
        <f>IFERROR(IF(('Loading-truck'!$C$21)="No control",SUMIF(('Loading-truck'!$B$31:$B$48),$J2229,('Loading-truck'!$D$31:$D$48))*Impacts!$F$14,IF(('Loading-truck'!$C$21)&lt;&gt;"No control",SUMIF(('Loading-truck'!$B$31:$B$48),$J2229,('Loading-truck'!$E$31:$E$48))*Impacts!$F$14,0)),0)</f>
        <v>0</v>
      </c>
      <c r="S2229" s="10">
        <f>IFERROR(IF(('Loading-rail'!$C$21)="No control",SUMIF(('Loading-rail'!$B$31:$B$48),$J2229,('Loading-rail'!$D$31:$D$48))*Impacts!$F$15,IF(('Loading-rail'!$C$21)&lt;&gt;"No control",SUMIF(('Loading-rail'!$B$31:$B$48),$J2229,('Loading-rail'!$E$31:$E$48))*Impacts!$F$15,0)),0)</f>
        <v>0</v>
      </c>
      <c r="T2229" s="10">
        <f>IF(Flare!$C$7="",0,(SUMIF(Flare!$B$46:$B$185,$J2229,Flare!$E$46:$E$185)*Impacts!$F$16))</f>
        <v>0</v>
      </c>
      <c r="U2229" s="10">
        <f>IF(VCU!$C$9="",0,(SUMIF(VCU!$B$51:$B$193,$J2229,VCU!$E$51:$E$193)*Impacts!$F$17))</f>
        <v>0</v>
      </c>
      <c r="V2229" s="10">
        <f>IF(CAS!$C$7="",0,(SUMIF(CAS!$B$31:$B$167,$J2229,CAS!$E$31:$E$167)*Impacts!$F$18))</f>
        <v>0</v>
      </c>
      <c r="W2229" s="10">
        <f t="shared" si="75"/>
        <v>0</v>
      </c>
      <c r="AK2229" s="10" t="str">
        <f t="array" ref="AK2229">IFERROR(INDEX(SelectedSpecies,SMALL(IF(SelectedSpecies=AK$1,ROW(SelectedSpecies)),ROW(2230:2230)),2),"")</f>
        <v/>
      </c>
      <c r="BE2229" s="10"/>
      <c r="BI2229" s="10"/>
    </row>
    <row r="2230" spans="1:61" ht="21" customHeight="1" x14ac:dyDescent="0.25">
      <c r="A2230" s="10"/>
      <c r="B2230" s="10"/>
      <c r="E2230" s="10"/>
      <c r="G2230" s="10"/>
      <c r="I2230" s="436" t="s">
        <v>4819</v>
      </c>
      <c r="J2230" s="26" t="s">
        <v>4818</v>
      </c>
      <c r="K2230" s="10">
        <v>3</v>
      </c>
      <c r="L2230" s="73">
        <f>IF(Tank1!$C$23="No control",(SUMIF(Tank1!$B$32:$B$49,$J2230,Tank1!$C$32:$C$49)*Impacts!$F$8),0)</f>
        <v>0</v>
      </c>
      <c r="M2230" s="10">
        <f>IF(Tank2!$C$23="No control",(SUMIF(Tank2!$B$32:$B$49,$J2230,Tank2!$C$32:$C$49)*Impacts!$F$9),0)</f>
        <v>0</v>
      </c>
      <c r="N2230" s="10">
        <f>IF(Tank3!$C$23="No control",(SUMIF(Tank3!$B$32:$B$49,$J2230,Tank3!$C$32:$C$49)*Impacts!$F$10),0)</f>
        <v>0</v>
      </c>
      <c r="O2230" s="10">
        <f>IF(Tank4!$C$23="No control",(SUMIF(Tank4!$B$32:$B$49,$J2230,Tank4!$C$32:$C$49)*Impacts!$F$11),0)</f>
        <v>0</v>
      </c>
      <c r="P2230" s="10">
        <f>IF(Tank5!$C$23="No control",(SUMIF(Tank5!$B$32:$B$49,$J2230,Tank5!$C$32:$C$49)*Impacts!$F$12),0)</f>
        <v>0</v>
      </c>
      <c r="Q2230" s="10">
        <f>IFERROR(IF(('Loading-drum,tote'!$C$21)="No control",SUMIF(('Loading-drum,tote'!$B$31:$B$48),$J2230,('Loading-drum,tote'!$D$31:$D$48))*Impacts!$F$13,IF(('Loading-drum,tote'!$C$21)&lt;&gt;"No control",SUMIF(('Loading-drum,tote'!$B$31:$B$48),$J2230,('Loading-drum,tote'!$E$31:$E$48))*Impacts!$F$13,0)),0)</f>
        <v>0</v>
      </c>
      <c r="R2230" s="10">
        <f>IFERROR(IF(('Loading-truck'!$C$21)="No control",SUMIF(('Loading-truck'!$B$31:$B$48),$J2230,('Loading-truck'!$D$31:$D$48))*Impacts!$F$14,IF(('Loading-truck'!$C$21)&lt;&gt;"No control",SUMIF(('Loading-truck'!$B$31:$B$48),$J2230,('Loading-truck'!$E$31:$E$48))*Impacts!$F$14,0)),0)</f>
        <v>0</v>
      </c>
      <c r="S2230" s="10">
        <f>IFERROR(IF(('Loading-rail'!$C$21)="No control",SUMIF(('Loading-rail'!$B$31:$B$48),$J2230,('Loading-rail'!$D$31:$D$48))*Impacts!$F$15,IF(('Loading-rail'!$C$21)&lt;&gt;"No control",SUMIF(('Loading-rail'!$B$31:$B$48),$J2230,('Loading-rail'!$E$31:$E$48))*Impacts!$F$15,0)),0)</f>
        <v>0</v>
      </c>
      <c r="T2230" s="10">
        <f>IF(Flare!$C$7="",0,(SUMIF(Flare!$B$46:$B$185,$J2230,Flare!$E$46:$E$185)*Impacts!$F$16))</f>
        <v>0</v>
      </c>
      <c r="U2230" s="10">
        <f>IF(VCU!$C$9="",0,(SUMIF(VCU!$B$51:$B$193,$J2230,VCU!$E$51:$E$193)*Impacts!$F$17))</f>
        <v>0</v>
      </c>
      <c r="V2230" s="10">
        <f>IF(CAS!$C$7="",0,(SUMIF(CAS!$B$31:$B$167,$J2230,CAS!$E$31:$E$167)*Impacts!$F$18))</f>
        <v>0</v>
      </c>
      <c r="W2230" s="10">
        <f t="shared" si="75"/>
        <v>0</v>
      </c>
      <c r="AK2230" s="10" t="str">
        <f t="array" ref="AK2230">IFERROR(INDEX(SelectedSpecies,SMALL(IF(SelectedSpecies=AK$1,ROW(SelectedSpecies)),ROW(2231:2231)),2),"")</f>
        <v/>
      </c>
      <c r="BE2230" s="10"/>
      <c r="BI2230" s="10"/>
    </row>
    <row r="2231" spans="1:61" ht="21" customHeight="1" x14ac:dyDescent="0.25">
      <c r="A2231" s="10"/>
      <c r="B2231" s="10"/>
      <c r="E2231" s="10"/>
      <c r="G2231" s="10"/>
      <c r="I2231" s="436" t="s">
        <v>5966</v>
      </c>
      <c r="J2231" s="26" t="s">
        <v>5965</v>
      </c>
      <c r="K2231" s="10">
        <v>1</v>
      </c>
      <c r="L2231" s="73">
        <f>IF(Tank1!$C$23="No control",(SUMIF(Tank1!$B$32:$B$49,$J2231,Tank1!$C$32:$C$49)*Impacts!$F$8),0)</f>
        <v>0</v>
      </c>
      <c r="M2231" s="10">
        <f>IF(Tank2!$C$23="No control",(SUMIF(Tank2!$B$32:$B$49,$J2231,Tank2!$C$32:$C$49)*Impacts!$F$9),0)</f>
        <v>0</v>
      </c>
      <c r="N2231" s="10">
        <f>IF(Tank3!$C$23="No control",(SUMIF(Tank3!$B$32:$B$49,$J2231,Tank3!$C$32:$C$49)*Impacts!$F$10),0)</f>
        <v>0</v>
      </c>
      <c r="O2231" s="10">
        <f>IF(Tank4!$C$23="No control",(SUMIF(Tank4!$B$32:$B$49,$J2231,Tank4!$C$32:$C$49)*Impacts!$F$11),0)</f>
        <v>0</v>
      </c>
      <c r="P2231" s="10">
        <f>IF(Tank5!$C$23="No control",(SUMIF(Tank5!$B$32:$B$49,$J2231,Tank5!$C$32:$C$49)*Impacts!$F$12),0)</f>
        <v>0</v>
      </c>
      <c r="Q2231" s="10">
        <f>IFERROR(IF(('Loading-drum,tote'!$C$21)="No control",SUMIF(('Loading-drum,tote'!$B$31:$B$48),$J2231,('Loading-drum,tote'!$D$31:$D$48))*Impacts!$F$13,IF(('Loading-drum,tote'!$C$21)&lt;&gt;"No control",SUMIF(('Loading-drum,tote'!$B$31:$B$48),$J2231,('Loading-drum,tote'!$E$31:$E$48))*Impacts!$F$13,0)),0)</f>
        <v>0</v>
      </c>
      <c r="R2231" s="10">
        <f>IFERROR(IF(('Loading-truck'!$C$21)="No control",SUMIF(('Loading-truck'!$B$31:$B$48),$J2231,('Loading-truck'!$D$31:$D$48))*Impacts!$F$14,IF(('Loading-truck'!$C$21)&lt;&gt;"No control",SUMIF(('Loading-truck'!$B$31:$B$48),$J2231,('Loading-truck'!$E$31:$E$48))*Impacts!$F$14,0)),0)</f>
        <v>0</v>
      </c>
      <c r="S2231" s="10">
        <f>IFERROR(IF(('Loading-rail'!$C$21)="No control",SUMIF(('Loading-rail'!$B$31:$B$48),$J2231,('Loading-rail'!$D$31:$D$48))*Impacts!$F$15,IF(('Loading-rail'!$C$21)&lt;&gt;"No control",SUMIF(('Loading-rail'!$B$31:$B$48),$J2231,('Loading-rail'!$E$31:$E$48))*Impacts!$F$15,0)),0)</f>
        <v>0</v>
      </c>
      <c r="T2231" s="10">
        <f>IF(Flare!$C$7="",0,(SUMIF(Flare!$B$46:$B$185,$J2231,Flare!$E$46:$E$185)*Impacts!$F$16))</f>
        <v>0</v>
      </c>
      <c r="U2231" s="10">
        <f>IF(VCU!$C$9="",0,(SUMIF(VCU!$B$51:$B$193,$J2231,VCU!$E$51:$E$193)*Impacts!$F$17))</f>
        <v>0</v>
      </c>
      <c r="V2231" s="10">
        <f>IF(CAS!$C$7="",0,(SUMIF(CAS!$B$31:$B$167,$J2231,CAS!$E$31:$E$167)*Impacts!$F$18))</f>
        <v>0</v>
      </c>
      <c r="W2231" s="10">
        <f t="shared" si="75"/>
        <v>0</v>
      </c>
      <c r="AK2231" s="10" t="str">
        <f t="array" ref="AK2231">IFERROR(INDEX(SelectedSpecies,SMALL(IF(SelectedSpecies=AK$1,ROW(SelectedSpecies)),ROW(2232:2232)),2),"")</f>
        <v/>
      </c>
      <c r="BE2231" s="10"/>
      <c r="BI2231" s="10"/>
    </row>
    <row r="2232" spans="1:61" ht="21" customHeight="1" x14ac:dyDescent="0.25">
      <c r="A2232" s="10"/>
      <c r="B2232" s="10"/>
      <c r="E2232" s="10"/>
      <c r="G2232" s="10"/>
      <c r="I2232" s="436" t="s">
        <v>1062</v>
      </c>
      <c r="J2232" s="26" t="s">
        <v>1061</v>
      </c>
      <c r="K2232" s="10">
        <v>35</v>
      </c>
      <c r="L2232" s="73">
        <f>IF(Tank1!$C$23="No control",(SUMIF(Tank1!$B$32:$B$49,$J2232,Tank1!$C$32:$C$49)*Impacts!$F$8),0)</f>
        <v>0</v>
      </c>
      <c r="M2232" s="10">
        <f>IF(Tank2!$C$23="No control",(SUMIF(Tank2!$B$32:$B$49,$J2232,Tank2!$C$32:$C$49)*Impacts!$F$9),0)</f>
        <v>0</v>
      </c>
      <c r="N2232" s="10">
        <f>IF(Tank3!$C$23="No control",(SUMIF(Tank3!$B$32:$B$49,$J2232,Tank3!$C$32:$C$49)*Impacts!$F$10),0)</f>
        <v>0</v>
      </c>
      <c r="O2232" s="10">
        <f>IF(Tank4!$C$23="No control",(SUMIF(Tank4!$B$32:$B$49,$J2232,Tank4!$C$32:$C$49)*Impacts!$F$11),0)</f>
        <v>0</v>
      </c>
      <c r="P2232" s="10">
        <f>IF(Tank5!$C$23="No control",(SUMIF(Tank5!$B$32:$B$49,$J2232,Tank5!$C$32:$C$49)*Impacts!$F$12),0)</f>
        <v>0</v>
      </c>
      <c r="Q2232" s="10">
        <f>IFERROR(IF(('Loading-drum,tote'!$C$21)="No control",SUMIF(('Loading-drum,tote'!$B$31:$B$48),$J2232,('Loading-drum,tote'!$D$31:$D$48))*Impacts!$F$13,IF(('Loading-drum,tote'!$C$21)&lt;&gt;"No control",SUMIF(('Loading-drum,tote'!$B$31:$B$48),$J2232,('Loading-drum,tote'!$E$31:$E$48))*Impacts!$F$13,0)),0)</f>
        <v>0</v>
      </c>
      <c r="R2232" s="10">
        <f>IFERROR(IF(('Loading-truck'!$C$21)="No control",SUMIF(('Loading-truck'!$B$31:$B$48),$J2232,('Loading-truck'!$D$31:$D$48))*Impacts!$F$14,IF(('Loading-truck'!$C$21)&lt;&gt;"No control",SUMIF(('Loading-truck'!$B$31:$B$48),$J2232,('Loading-truck'!$E$31:$E$48))*Impacts!$F$14,0)),0)</f>
        <v>0</v>
      </c>
      <c r="S2232" s="10">
        <f>IFERROR(IF(('Loading-rail'!$C$21)="No control",SUMIF(('Loading-rail'!$B$31:$B$48),$J2232,('Loading-rail'!$D$31:$D$48))*Impacts!$F$15,IF(('Loading-rail'!$C$21)&lt;&gt;"No control",SUMIF(('Loading-rail'!$B$31:$B$48),$J2232,('Loading-rail'!$E$31:$E$48))*Impacts!$F$15,0)),0)</f>
        <v>0</v>
      </c>
      <c r="T2232" s="10">
        <f>IF(Flare!$C$7="",0,(SUMIF(Flare!$B$46:$B$185,$J2232,Flare!$E$46:$E$185)*Impacts!$F$16))</f>
        <v>0</v>
      </c>
      <c r="U2232" s="10">
        <f>IF(VCU!$C$9="",0,(SUMIF(VCU!$B$51:$B$193,$J2232,VCU!$E$51:$E$193)*Impacts!$F$17))</f>
        <v>0</v>
      </c>
      <c r="V2232" s="10">
        <f>IF(CAS!$C$7="",0,(SUMIF(CAS!$B$31:$B$167,$J2232,CAS!$E$31:$E$167)*Impacts!$F$18))</f>
        <v>0</v>
      </c>
      <c r="W2232" s="10">
        <f t="shared" si="75"/>
        <v>0</v>
      </c>
      <c r="AK2232" s="10" t="str">
        <f t="array" ref="AK2232">IFERROR(INDEX(SelectedSpecies,SMALL(IF(SelectedSpecies=AK$1,ROW(SelectedSpecies)),ROW(2233:2233)),2),"")</f>
        <v/>
      </c>
      <c r="BE2232" s="10"/>
      <c r="BI2232" s="10"/>
    </row>
    <row r="2233" spans="1:61" ht="21" customHeight="1" x14ac:dyDescent="0.25">
      <c r="A2233" s="10"/>
      <c r="B2233" s="10"/>
      <c r="E2233" s="10"/>
      <c r="G2233" s="10"/>
      <c r="I2233" s="436" t="s">
        <v>7504</v>
      </c>
      <c r="J2233" s="26" t="s">
        <v>7503</v>
      </c>
      <c r="K2233" s="10">
        <v>0.2</v>
      </c>
      <c r="L2233" s="73">
        <f>IF(Tank1!$C$23="No control",(SUMIF(Tank1!$B$32:$B$49,$J2233,Tank1!$C$32:$C$49)*Impacts!$F$8),0)</f>
        <v>0</v>
      </c>
      <c r="M2233" s="10">
        <f>IF(Tank2!$C$23="No control",(SUMIF(Tank2!$B$32:$B$49,$J2233,Tank2!$C$32:$C$49)*Impacts!$F$9),0)</f>
        <v>0</v>
      </c>
      <c r="N2233" s="10">
        <f>IF(Tank3!$C$23="No control",(SUMIF(Tank3!$B$32:$B$49,$J2233,Tank3!$C$32:$C$49)*Impacts!$F$10),0)</f>
        <v>0</v>
      </c>
      <c r="O2233" s="10">
        <f>IF(Tank4!$C$23="No control",(SUMIF(Tank4!$B$32:$B$49,$J2233,Tank4!$C$32:$C$49)*Impacts!$F$11),0)</f>
        <v>0</v>
      </c>
      <c r="P2233" s="10">
        <f>IF(Tank5!$C$23="No control",(SUMIF(Tank5!$B$32:$B$49,$J2233,Tank5!$C$32:$C$49)*Impacts!$F$12),0)</f>
        <v>0</v>
      </c>
      <c r="Q2233" s="10">
        <f>IFERROR(IF(('Loading-drum,tote'!$C$21)="No control",SUMIF(('Loading-drum,tote'!$B$31:$B$48),$J2233,('Loading-drum,tote'!$D$31:$D$48))*Impacts!$F$13,IF(('Loading-drum,tote'!$C$21)&lt;&gt;"No control",SUMIF(('Loading-drum,tote'!$B$31:$B$48),$J2233,('Loading-drum,tote'!$E$31:$E$48))*Impacts!$F$13,0)),0)</f>
        <v>0</v>
      </c>
      <c r="R2233" s="10">
        <f>IFERROR(IF(('Loading-truck'!$C$21)="No control",SUMIF(('Loading-truck'!$B$31:$B$48),$J2233,('Loading-truck'!$D$31:$D$48))*Impacts!$F$14,IF(('Loading-truck'!$C$21)&lt;&gt;"No control",SUMIF(('Loading-truck'!$B$31:$B$48),$J2233,('Loading-truck'!$E$31:$E$48))*Impacts!$F$14,0)),0)</f>
        <v>0</v>
      </c>
      <c r="S2233" s="10">
        <f>IFERROR(IF(('Loading-rail'!$C$21)="No control",SUMIF(('Loading-rail'!$B$31:$B$48),$J2233,('Loading-rail'!$D$31:$D$48))*Impacts!$F$15,IF(('Loading-rail'!$C$21)&lt;&gt;"No control",SUMIF(('Loading-rail'!$B$31:$B$48),$J2233,('Loading-rail'!$E$31:$E$48))*Impacts!$F$15,0)),0)</f>
        <v>0</v>
      </c>
      <c r="T2233" s="10">
        <f>IF(Flare!$C$7="",0,(SUMIF(Flare!$B$46:$B$185,$J2233,Flare!$E$46:$E$185)*Impacts!$F$16))</f>
        <v>0</v>
      </c>
      <c r="U2233" s="10">
        <f>IF(VCU!$C$9="",0,(SUMIF(VCU!$B$51:$B$193,$J2233,VCU!$E$51:$E$193)*Impacts!$F$17))</f>
        <v>0</v>
      </c>
      <c r="V2233" s="10">
        <f>IF(CAS!$C$7="",0,(SUMIF(CAS!$B$31:$B$167,$J2233,CAS!$E$31:$E$167)*Impacts!$F$18))</f>
        <v>0</v>
      </c>
      <c r="W2233" s="10">
        <f t="shared" si="75"/>
        <v>0</v>
      </c>
      <c r="AK2233" s="10" t="str">
        <f t="array" ref="AK2233">IFERROR(INDEX(SelectedSpecies,SMALL(IF(SelectedSpecies=AK$1,ROW(SelectedSpecies)),ROW(2234:2234)),2),"")</f>
        <v/>
      </c>
      <c r="BE2233" s="10"/>
      <c r="BI2233" s="10"/>
    </row>
    <row r="2234" spans="1:61" ht="21" customHeight="1" x14ac:dyDescent="0.25">
      <c r="A2234" s="10"/>
      <c r="B2234" s="10"/>
      <c r="E2234" s="10"/>
      <c r="G2234" s="10"/>
      <c r="I2234" s="436" t="s">
        <v>4973</v>
      </c>
      <c r="J2234" s="26" t="s">
        <v>4972</v>
      </c>
      <c r="K2234" s="10">
        <v>2.5</v>
      </c>
      <c r="L2234" s="73">
        <f>IF(Tank1!$C$23="No control",(SUMIF(Tank1!$B$32:$B$49,$J2234,Tank1!$C$32:$C$49)*Impacts!$F$8),0)</f>
        <v>0</v>
      </c>
      <c r="M2234" s="10">
        <f>IF(Tank2!$C$23="No control",(SUMIF(Tank2!$B$32:$B$49,$J2234,Tank2!$C$32:$C$49)*Impacts!$F$9),0)</f>
        <v>0</v>
      </c>
      <c r="N2234" s="10">
        <f>IF(Tank3!$C$23="No control",(SUMIF(Tank3!$B$32:$B$49,$J2234,Tank3!$C$32:$C$49)*Impacts!$F$10),0)</f>
        <v>0</v>
      </c>
      <c r="O2234" s="10">
        <f>IF(Tank4!$C$23="No control",(SUMIF(Tank4!$B$32:$B$49,$J2234,Tank4!$C$32:$C$49)*Impacts!$F$11),0)</f>
        <v>0</v>
      </c>
      <c r="P2234" s="10">
        <f>IF(Tank5!$C$23="No control",(SUMIF(Tank5!$B$32:$B$49,$J2234,Tank5!$C$32:$C$49)*Impacts!$F$12),0)</f>
        <v>0</v>
      </c>
      <c r="Q2234" s="10">
        <f>IFERROR(IF(('Loading-drum,tote'!$C$21)="No control",SUMIF(('Loading-drum,tote'!$B$31:$B$48),$J2234,('Loading-drum,tote'!$D$31:$D$48))*Impacts!$F$13,IF(('Loading-drum,tote'!$C$21)&lt;&gt;"No control",SUMIF(('Loading-drum,tote'!$B$31:$B$48),$J2234,('Loading-drum,tote'!$E$31:$E$48))*Impacts!$F$13,0)),0)</f>
        <v>0</v>
      </c>
      <c r="R2234" s="10">
        <f>IFERROR(IF(('Loading-truck'!$C$21)="No control",SUMIF(('Loading-truck'!$B$31:$B$48),$J2234,('Loading-truck'!$D$31:$D$48))*Impacts!$F$14,IF(('Loading-truck'!$C$21)&lt;&gt;"No control",SUMIF(('Loading-truck'!$B$31:$B$48),$J2234,('Loading-truck'!$E$31:$E$48))*Impacts!$F$14,0)),0)</f>
        <v>0</v>
      </c>
      <c r="S2234" s="10">
        <f>IFERROR(IF(('Loading-rail'!$C$21)="No control",SUMIF(('Loading-rail'!$B$31:$B$48),$J2234,('Loading-rail'!$D$31:$D$48))*Impacts!$F$15,IF(('Loading-rail'!$C$21)&lt;&gt;"No control",SUMIF(('Loading-rail'!$B$31:$B$48),$J2234,('Loading-rail'!$E$31:$E$48))*Impacts!$F$15,0)),0)</f>
        <v>0</v>
      </c>
      <c r="T2234" s="10">
        <f>IF(Flare!$C$7="",0,(SUMIF(Flare!$B$46:$B$185,$J2234,Flare!$E$46:$E$185)*Impacts!$F$16))</f>
        <v>0</v>
      </c>
      <c r="U2234" s="10">
        <f>IF(VCU!$C$9="",0,(SUMIF(VCU!$B$51:$B$193,$J2234,VCU!$E$51:$E$193)*Impacts!$F$17))</f>
        <v>0</v>
      </c>
      <c r="V2234" s="10">
        <f>IF(CAS!$C$7="",0,(SUMIF(CAS!$B$31:$B$167,$J2234,CAS!$E$31:$E$167)*Impacts!$F$18))</f>
        <v>0</v>
      </c>
      <c r="W2234" s="10">
        <f t="shared" si="75"/>
        <v>0</v>
      </c>
      <c r="AK2234" s="10" t="str">
        <f t="array" ref="AK2234">IFERROR(INDEX(SelectedSpecies,SMALL(IF(SelectedSpecies=AK$1,ROW(SelectedSpecies)),ROW(2235:2235)),2),"")</f>
        <v/>
      </c>
      <c r="BE2234" s="10"/>
      <c r="BI2234" s="10"/>
    </row>
    <row r="2235" spans="1:61" ht="21" customHeight="1" x14ac:dyDescent="0.25">
      <c r="A2235" s="10"/>
      <c r="B2235" s="10"/>
      <c r="E2235" s="10"/>
      <c r="G2235" s="10"/>
      <c r="I2235" s="436" t="s">
        <v>6860</v>
      </c>
      <c r="J2235" s="26" t="s">
        <v>6859</v>
      </c>
      <c r="K2235" s="10">
        <v>0.5</v>
      </c>
      <c r="L2235" s="73">
        <f>IF(Tank1!$C$23="No control",(SUMIF(Tank1!$B$32:$B$49,$J2235,Tank1!$C$32:$C$49)*Impacts!$F$8),0)</f>
        <v>0</v>
      </c>
      <c r="M2235" s="10">
        <f>IF(Tank2!$C$23="No control",(SUMIF(Tank2!$B$32:$B$49,$J2235,Tank2!$C$32:$C$49)*Impacts!$F$9),0)</f>
        <v>0</v>
      </c>
      <c r="N2235" s="10">
        <f>IF(Tank3!$C$23="No control",(SUMIF(Tank3!$B$32:$B$49,$J2235,Tank3!$C$32:$C$49)*Impacts!$F$10),0)</f>
        <v>0</v>
      </c>
      <c r="O2235" s="10">
        <f>IF(Tank4!$C$23="No control",(SUMIF(Tank4!$B$32:$B$49,$J2235,Tank4!$C$32:$C$49)*Impacts!$F$11),0)</f>
        <v>0</v>
      </c>
      <c r="P2235" s="10">
        <f>IF(Tank5!$C$23="No control",(SUMIF(Tank5!$B$32:$B$49,$J2235,Tank5!$C$32:$C$49)*Impacts!$F$12),0)</f>
        <v>0</v>
      </c>
      <c r="Q2235" s="10">
        <f>IFERROR(IF(('Loading-drum,tote'!$C$21)="No control",SUMIF(('Loading-drum,tote'!$B$31:$B$48),$J2235,('Loading-drum,tote'!$D$31:$D$48))*Impacts!$F$13,IF(('Loading-drum,tote'!$C$21)&lt;&gt;"No control",SUMIF(('Loading-drum,tote'!$B$31:$B$48),$J2235,('Loading-drum,tote'!$E$31:$E$48))*Impacts!$F$13,0)),0)</f>
        <v>0</v>
      </c>
      <c r="R2235" s="10">
        <f>IFERROR(IF(('Loading-truck'!$C$21)="No control",SUMIF(('Loading-truck'!$B$31:$B$48),$J2235,('Loading-truck'!$D$31:$D$48))*Impacts!$F$14,IF(('Loading-truck'!$C$21)&lt;&gt;"No control",SUMIF(('Loading-truck'!$B$31:$B$48),$J2235,('Loading-truck'!$E$31:$E$48))*Impacts!$F$14,0)),0)</f>
        <v>0</v>
      </c>
      <c r="S2235" s="10">
        <f>IFERROR(IF(('Loading-rail'!$C$21)="No control",SUMIF(('Loading-rail'!$B$31:$B$48),$J2235,('Loading-rail'!$D$31:$D$48))*Impacts!$F$15,IF(('Loading-rail'!$C$21)&lt;&gt;"No control",SUMIF(('Loading-rail'!$B$31:$B$48),$J2235,('Loading-rail'!$E$31:$E$48))*Impacts!$F$15,0)),0)</f>
        <v>0</v>
      </c>
      <c r="T2235" s="10">
        <f>IF(Flare!$C$7="",0,(SUMIF(Flare!$B$46:$B$185,$J2235,Flare!$E$46:$E$185)*Impacts!$F$16))</f>
        <v>0</v>
      </c>
      <c r="U2235" s="10">
        <f>IF(VCU!$C$9="",0,(SUMIF(VCU!$B$51:$B$193,$J2235,VCU!$E$51:$E$193)*Impacts!$F$17))</f>
        <v>0</v>
      </c>
      <c r="V2235" s="10">
        <f>IF(CAS!$C$7="",0,(SUMIF(CAS!$B$31:$B$167,$J2235,CAS!$E$31:$E$167)*Impacts!$F$18))</f>
        <v>0</v>
      </c>
      <c r="W2235" s="10">
        <f t="shared" si="75"/>
        <v>0</v>
      </c>
      <c r="AK2235" s="10" t="str">
        <f t="array" ref="AK2235">IFERROR(INDEX(SelectedSpecies,SMALL(IF(SelectedSpecies=AK$1,ROW(SelectedSpecies)),ROW(2236:2236)),2),"")</f>
        <v/>
      </c>
      <c r="BE2235" s="10"/>
      <c r="BI2235" s="10"/>
    </row>
    <row r="2236" spans="1:61" ht="21" customHeight="1" x14ac:dyDescent="0.25">
      <c r="A2236" s="10"/>
      <c r="B2236" s="10"/>
      <c r="E2236" s="10"/>
      <c r="G2236" s="10"/>
      <c r="I2236" s="436" t="s">
        <v>2141</v>
      </c>
      <c r="J2236" s="26" t="s">
        <v>2140</v>
      </c>
      <c r="K2236" s="10">
        <v>15</v>
      </c>
      <c r="L2236" s="73">
        <f>IF(Tank1!$C$23="No control",(SUMIF(Tank1!$B$32:$B$49,$J2236,Tank1!$C$32:$C$49)*Impacts!$F$8),0)</f>
        <v>0</v>
      </c>
      <c r="M2236" s="10">
        <f>IF(Tank2!$C$23="No control",(SUMIF(Tank2!$B$32:$B$49,$J2236,Tank2!$C$32:$C$49)*Impacts!$F$9),0)</f>
        <v>0</v>
      </c>
      <c r="N2236" s="10">
        <f>IF(Tank3!$C$23="No control",(SUMIF(Tank3!$B$32:$B$49,$J2236,Tank3!$C$32:$C$49)*Impacts!$F$10),0)</f>
        <v>0</v>
      </c>
      <c r="O2236" s="10">
        <f>IF(Tank4!$C$23="No control",(SUMIF(Tank4!$B$32:$B$49,$J2236,Tank4!$C$32:$C$49)*Impacts!$F$11),0)</f>
        <v>0</v>
      </c>
      <c r="P2236" s="10">
        <f>IF(Tank5!$C$23="No control",(SUMIF(Tank5!$B$32:$B$49,$J2236,Tank5!$C$32:$C$49)*Impacts!$F$12),0)</f>
        <v>0</v>
      </c>
      <c r="Q2236" s="10">
        <f>IFERROR(IF(('Loading-drum,tote'!$C$21)="No control",SUMIF(('Loading-drum,tote'!$B$31:$B$48),$J2236,('Loading-drum,tote'!$D$31:$D$48))*Impacts!$F$13,IF(('Loading-drum,tote'!$C$21)&lt;&gt;"No control",SUMIF(('Loading-drum,tote'!$B$31:$B$48),$J2236,('Loading-drum,tote'!$E$31:$E$48))*Impacts!$F$13,0)),0)</f>
        <v>0</v>
      </c>
      <c r="R2236" s="10">
        <f>IFERROR(IF(('Loading-truck'!$C$21)="No control",SUMIF(('Loading-truck'!$B$31:$B$48),$J2236,('Loading-truck'!$D$31:$D$48))*Impacts!$F$14,IF(('Loading-truck'!$C$21)&lt;&gt;"No control",SUMIF(('Loading-truck'!$B$31:$B$48),$J2236,('Loading-truck'!$E$31:$E$48))*Impacts!$F$14,0)),0)</f>
        <v>0</v>
      </c>
      <c r="S2236" s="10">
        <f>IFERROR(IF(('Loading-rail'!$C$21)="No control",SUMIF(('Loading-rail'!$B$31:$B$48),$J2236,('Loading-rail'!$D$31:$D$48))*Impacts!$F$15,IF(('Loading-rail'!$C$21)&lt;&gt;"No control",SUMIF(('Loading-rail'!$B$31:$B$48),$J2236,('Loading-rail'!$E$31:$E$48))*Impacts!$F$15,0)),0)</f>
        <v>0</v>
      </c>
      <c r="T2236" s="10">
        <f>IF(Flare!$C$7="",0,(SUMIF(Flare!$B$46:$B$185,$J2236,Flare!$E$46:$E$185)*Impacts!$F$16))</f>
        <v>0</v>
      </c>
      <c r="U2236" s="10">
        <f>IF(VCU!$C$9="",0,(SUMIF(VCU!$B$51:$B$193,$J2236,VCU!$E$51:$E$193)*Impacts!$F$17))</f>
        <v>0</v>
      </c>
      <c r="V2236" s="10">
        <f>IF(CAS!$C$7="",0,(SUMIF(CAS!$B$31:$B$167,$J2236,CAS!$E$31:$E$167)*Impacts!$F$18))</f>
        <v>0</v>
      </c>
      <c r="W2236" s="10">
        <f t="shared" si="75"/>
        <v>0</v>
      </c>
      <c r="AK2236" s="10" t="str">
        <f t="array" ref="AK2236">IFERROR(INDEX(SelectedSpecies,SMALL(IF(SelectedSpecies=AK$1,ROW(SelectedSpecies)),ROW(2237:2237)),2),"")</f>
        <v/>
      </c>
      <c r="BE2236" s="10"/>
      <c r="BI2236" s="10"/>
    </row>
    <row r="2237" spans="1:61" ht="21" customHeight="1" x14ac:dyDescent="0.25">
      <c r="A2237" s="10"/>
      <c r="B2237" s="10"/>
      <c r="E2237" s="10"/>
      <c r="G2237" s="10"/>
      <c r="I2237" s="436" t="s">
        <v>3659</v>
      </c>
      <c r="J2237" s="26" t="s">
        <v>3658</v>
      </c>
      <c r="K2237" s="10">
        <v>7.2</v>
      </c>
      <c r="L2237" s="73">
        <f>IF(Tank1!$C$23="No control",(SUMIF(Tank1!$B$32:$B$49,$J2237,Tank1!$C$32:$C$49)*Impacts!$F$8),0)</f>
        <v>0</v>
      </c>
      <c r="M2237" s="10">
        <f>IF(Tank2!$C$23="No control",(SUMIF(Tank2!$B$32:$B$49,$J2237,Tank2!$C$32:$C$49)*Impacts!$F$9),0)</f>
        <v>0</v>
      </c>
      <c r="N2237" s="10">
        <f>IF(Tank3!$C$23="No control",(SUMIF(Tank3!$B$32:$B$49,$J2237,Tank3!$C$32:$C$49)*Impacts!$F$10),0)</f>
        <v>0</v>
      </c>
      <c r="O2237" s="10">
        <f>IF(Tank4!$C$23="No control",(SUMIF(Tank4!$B$32:$B$49,$J2237,Tank4!$C$32:$C$49)*Impacts!$F$11),0)</f>
        <v>0</v>
      </c>
      <c r="P2237" s="10">
        <f>IF(Tank5!$C$23="No control",(SUMIF(Tank5!$B$32:$B$49,$J2237,Tank5!$C$32:$C$49)*Impacts!$F$12),0)</f>
        <v>0</v>
      </c>
      <c r="Q2237" s="10">
        <f>IFERROR(IF(('Loading-drum,tote'!$C$21)="No control",SUMIF(('Loading-drum,tote'!$B$31:$B$48),$J2237,('Loading-drum,tote'!$D$31:$D$48))*Impacts!$F$13,IF(('Loading-drum,tote'!$C$21)&lt;&gt;"No control",SUMIF(('Loading-drum,tote'!$B$31:$B$48),$J2237,('Loading-drum,tote'!$E$31:$E$48))*Impacts!$F$13,0)),0)</f>
        <v>0</v>
      </c>
      <c r="R2237" s="10">
        <f>IFERROR(IF(('Loading-truck'!$C$21)="No control",SUMIF(('Loading-truck'!$B$31:$B$48),$J2237,('Loading-truck'!$D$31:$D$48))*Impacts!$F$14,IF(('Loading-truck'!$C$21)&lt;&gt;"No control",SUMIF(('Loading-truck'!$B$31:$B$48),$J2237,('Loading-truck'!$E$31:$E$48))*Impacts!$F$14,0)),0)</f>
        <v>0</v>
      </c>
      <c r="S2237" s="10">
        <f>IFERROR(IF(('Loading-rail'!$C$21)="No control",SUMIF(('Loading-rail'!$B$31:$B$48),$J2237,('Loading-rail'!$D$31:$D$48))*Impacts!$F$15,IF(('Loading-rail'!$C$21)&lt;&gt;"No control",SUMIF(('Loading-rail'!$B$31:$B$48),$J2237,('Loading-rail'!$E$31:$E$48))*Impacts!$F$15,0)),0)</f>
        <v>0</v>
      </c>
      <c r="T2237" s="10">
        <f>IF(Flare!$C$7="",0,(SUMIF(Flare!$B$46:$B$185,$J2237,Flare!$E$46:$E$185)*Impacts!$F$16))</f>
        <v>0</v>
      </c>
      <c r="U2237" s="10">
        <f>IF(VCU!$C$9="",0,(SUMIF(VCU!$B$51:$B$193,$J2237,VCU!$E$51:$E$193)*Impacts!$F$17))</f>
        <v>0</v>
      </c>
      <c r="V2237" s="10">
        <f>IF(CAS!$C$7="",0,(SUMIF(CAS!$B$31:$B$167,$J2237,CAS!$E$31:$E$167)*Impacts!$F$18))</f>
        <v>0</v>
      </c>
      <c r="W2237" s="10">
        <f t="shared" si="75"/>
        <v>0</v>
      </c>
      <c r="AK2237" s="10" t="str">
        <f t="array" ref="AK2237">IFERROR(INDEX(SelectedSpecies,SMALL(IF(SelectedSpecies=AK$1,ROW(SelectedSpecies)),ROW(2238:2238)),2),"")</f>
        <v/>
      </c>
      <c r="BE2237" s="10"/>
      <c r="BI2237" s="10"/>
    </row>
    <row r="2238" spans="1:61" ht="21" customHeight="1" x14ac:dyDescent="0.25">
      <c r="A2238" s="10"/>
      <c r="B2238" s="10"/>
      <c r="E2238" s="10"/>
      <c r="G2238" s="10"/>
      <c r="I2238" s="436" t="s">
        <v>7600</v>
      </c>
      <c r="J2238" s="26" t="s">
        <v>7599</v>
      </c>
      <c r="K2238" s="10">
        <v>0.17</v>
      </c>
      <c r="L2238" s="73">
        <f>IF(Tank1!$C$23="No control",(SUMIF(Tank1!$B$32:$B$49,$J2238,Tank1!$C$32:$C$49)*Impacts!$F$8),0)</f>
        <v>0</v>
      </c>
      <c r="M2238" s="10">
        <f>IF(Tank2!$C$23="No control",(SUMIF(Tank2!$B$32:$B$49,$J2238,Tank2!$C$32:$C$49)*Impacts!$F$9),0)</f>
        <v>0</v>
      </c>
      <c r="N2238" s="10">
        <f>IF(Tank3!$C$23="No control",(SUMIF(Tank3!$B$32:$B$49,$J2238,Tank3!$C$32:$C$49)*Impacts!$F$10),0)</f>
        <v>0</v>
      </c>
      <c r="O2238" s="10">
        <f>IF(Tank4!$C$23="No control",(SUMIF(Tank4!$B$32:$B$49,$J2238,Tank4!$C$32:$C$49)*Impacts!$F$11),0)</f>
        <v>0</v>
      </c>
      <c r="P2238" s="10">
        <f>IF(Tank5!$C$23="No control",(SUMIF(Tank5!$B$32:$B$49,$J2238,Tank5!$C$32:$C$49)*Impacts!$F$12),0)</f>
        <v>0</v>
      </c>
      <c r="Q2238" s="10">
        <f>IFERROR(IF(('Loading-drum,tote'!$C$21)="No control",SUMIF(('Loading-drum,tote'!$B$31:$B$48),$J2238,('Loading-drum,tote'!$D$31:$D$48))*Impacts!$F$13,IF(('Loading-drum,tote'!$C$21)&lt;&gt;"No control",SUMIF(('Loading-drum,tote'!$B$31:$B$48),$J2238,('Loading-drum,tote'!$E$31:$E$48))*Impacts!$F$13,0)),0)</f>
        <v>0</v>
      </c>
      <c r="R2238" s="10">
        <f>IFERROR(IF(('Loading-truck'!$C$21)="No control",SUMIF(('Loading-truck'!$B$31:$B$48),$J2238,('Loading-truck'!$D$31:$D$48))*Impacts!$F$14,IF(('Loading-truck'!$C$21)&lt;&gt;"No control",SUMIF(('Loading-truck'!$B$31:$B$48),$J2238,('Loading-truck'!$E$31:$E$48))*Impacts!$F$14,0)),0)</f>
        <v>0</v>
      </c>
      <c r="S2238" s="10">
        <f>IFERROR(IF(('Loading-rail'!$C$21)="No control",SUMIF(('Loading-rail'!$B$31:$B$48),$J2238,('Loading-rail'!$D$31:$D$48))*Impacts!$F$15,IF(('Loading-rail'!$C$21)&lt;&gt;"No control",SUMIF(('Loading-rail'!$B$31:$B$48),$J2238,('Loading-rail'!$E$31:$E$48))*Impacts!$F$15,0)),0)</f>
        <v>0</v>
      </c>
      <c r="T2238" s="10">
        <f>IF(Flare!$C$7="",0,(SUMIF(Flare!$B$46:$B$185,$J2238,Flare!$E$46:$E$185)*Impacts!$F$16))</f>
        <v>0</v>
      </c>
      <c r="U2238" s="10">
        <f>IF(VCU!$C$9="",0,(SUMIF(VCU!$B$51:$B$193,$J2238,VCU!$E$51:$E$193)*Impacts!$F$17))</f>
        <v>0</v>
      </c>
      <c r="V2238" s="10">
        <f>IF(CAS!$C$7="",0,(SUMIF(CAS!$B$31:$B$167,$J2238,CAS!$E$31:$E$167)*Impacts!$F$18))</f>
        <v>0</v>
      </c>
      <c r="W2238" s="10">
        <f t="shared" si="75"/>
        <v>0</v>
      </c>
      <c r="AK2238" s="10" t="str">
        <f t="array" ref="AK2238">IFERROR(INDEX(SelectedSpecies,SMALL(IF(SelectedSpecies=AK$1,ROW(SelectedSpecies)),ROW(2239:2239)),2),"")</f>
        <v/>
      </c>
      <c r="BE2238" s="10"/>
      <c r="BI2238" s="10"/>
    </row>
    <row r="2239" spans="1:61" ht="21" customHeight="1" x14ac:dyDescent="0.25">
      <c r="A2239" s="10"/>
      <c r="B2239" s="10"/>
      <c r="E2239" s="10"/>
      <c r="G2239" s="10"/>
      <c r="I2239" s="436" t="s">
        <v>1458</v>
      </c>
      <c r="J2239" s="26" t="s">
        <v>1457</v>
      </c>
      <c r="K2239" s="10">
        <v>30</v>
      </c>
      <c r="L2239" s="73">
        <f>IF(Tank1!$C$23="No control",(SUMIF(Tank1!$B$32:$B$49,$J2239,Tank1!$C$32:$C$49)*Impacts!$F$8),0)</f>
        <v>0</v>
      </c>
      <c r="M2239" s="10">
        <f>IF(Tank2!$C$23="No control",(SUMIF(Tank2!$B$32:$B$49,$J2239,Tank2!$C$32:$C$49)*Impacts!$F$9),0)</f>
        <v>0</v>
      </c>
      <c r="N2239" s="10">
        <f>IF(Tank3!$C$23="No control",(SUMIF(Tank3!$B$32:$B$49,$J2239,Tank3!$C$32:$C$49)*Impacts!$F$10),0)</f>
        <v>0</v>
      </c>
      <c r="O2239" s="10">
        <f>IF(Tank4!$C$23="No control",(SUMIF(Tank4!$B$32:$B$49,$J2239,Tank4!$C$32:$C$49)*Impacts!$F$11),0)</f>
        <v>0</v>
      </c>
      <c r="P2239" s="10">
        <f>IF(Tank5!$C$23="No control",(SUMIF(Tank5!$B$32:$B$49,$J2239,Tank5!$C$32:$C$49)*Impacts!$F$12),0)</f>
        <v>0</v>
      </c>
      <c r="Q2239" s="10">
        <f>IFERROR(IF(('Loading-drum,tote'!$C$21)="No control",SUMIF(('Loading-drum,tote'!$B$31:$B$48),$J2239,('Loading-drum,tote'!$D$31:$D$48))*Impacts!$F$13,IF(('Loading-drum,tote'!$C$21)&lt;&gt;"No control",SUMIF(('Loading-drum,tote'!$B$31:$B$48),$J2239,('Loading-drum,tote'!$E$31:$E$48))*Impacts!$F$13,0)),0)</f>
        <v>0</v>
      </c>
      <c r="R2239" s="10">
        <f>IFERROR(IF(('Loading-truck'!$C$21)="No control",SUMIF(('Loading-truck'!$B$31:$B$48),$J2239,('Loading-truck'!$D$31:$D$48))*Impacts!$F$14,IF(('Loading-truck'!$C$21)&lt;&gt;"No control",SUMIF(('Loading-truck'!$B$31:$B$48),$J2239,('Loading-truck'!$E$31:$E$48))*Impacts!$F$14,0)),0)</f>
        <v>0</v>
      </c>
      <c r="S2239" s="10">
        <f>IFERROR(IF(('Loading-rail'!$C$21)="No control",SUMIF(('Loading-rail'!$B$31:$B$48),$J2239,('Loading-rail'!$D$31:$D$48))*Impacts!$F$15,IF(('Loading-rail'!$C$21)&lt;&gt;"No control",SUMIF(('Loading-rail'!$B$31:$B$48),$J2239,('Loading-rail'!$E$31:$E$48))*Impacts!$F$15,0)),0)</f>
        <v>0</v>
      </c>
      <c r="T2239" s="10">
        <f>IF(Flare!$C$7="",0,(SUMIF(Flare!$B$46:$B$185,$J2239,Flare!$E$46:$E$185)*Impacts!$F$16))</f>
        <v>0</v>
      </c>
      <c r="U2239" s="10">
        <f>IF(VCU!$C$9="",0,(SUMIF(VCU!$B$51:$B$193,$J2239,VCU!$E$51:$E$193)*Impacts!$F$17))</f>
        <v>0</v>
      </c>
      <c r="V2239" s="10">
        <f>IF(CAS!$C$7="",0,(SUMIF(CAS!$B$31:$B$167,$J2239,CAS!$E$31:$E$167)*Impacts!$F$18))</f>
        <v>0</v>
      </c>
      <c r="W2239" s="10">
        <f t="shared" si="75"/>
        <v>0</v>
      </c>
      <c r="AK2239" s="10" t="str">
        <f t="array" ref="AK2239">IFERROR(INDEX(SelectedSpecies,SMALL(IF(SelectedSpecies=AK$1,ROW(SelectedSpecies)),ROW(2240:2240)),2),"")</f>
        <v/>
      </c>
      <c r="BE2239" s="10"/>
      <c r="BI2239" s="10"/>
    </row>
    <row r="2240" spans="1:61" ht="21" customHeight="1" x14ac:dyDescent="0.25">
      <c r="A2240" s="10"/>
      <c r="B2240" s="10"/>
      <c r="E2240" s="10"/>
      <c r="G2240" s="10"/>
      <c r="I2240" s="436" t="s">
        <v>4883</v>
      </c>
      <c r="J2240" s="26" t="s">
        <v>4882</v>
      </c>
      <c r="K2240" s="10">
        <v>2.7</v>
      </c>
      <c r="L2240" s="73">
        <f>IF(Tank1!$C$23="No control",(SUMIF(Tank1!$B$32:$B$49,$J2240,Tank1!$C$32:$C$49)*Impacts!$F$8),0)</f>
        <v>0</v>
      </c>
      <c r="M2240" s="10">
        <f>IF(Tank2!$C$23="No control",(SUMIF(Tank2!$B$32:$B$49,$J2240,Tank2!$C$32:$C$49)*Impacts!$F$9),0)</f>
        <v>0</v>
      </c>
      <c r="N2240" s="10">
        <f>IF(Tank3!$C$23="No control",(SUMIF(Tank3!$B$32:$B$49,$J2240,Tank3!$C$32:$C$49)*Impacts!$F$10),0)</f>
        <v>0</v>
      </c>
      <c r="O2240" s="10">
        <f>IF(Tank4!$C$23="No control",(SUMIF(Tank4!$B$32:$B$49,$J2240,Tank4!$C$32:$C$49)*Impacts!$F$11),0)</f>
        <v>0</v>
      </c>
      <c r="P2240" s="10">
        <f>IF(Tank5!$C$23="No control",(SUMIF(Tank5!$B$32:$B$49,$J2240,Tank5!$C$32:$C$49)*Impacts!$F$12),0)</f>
        <v>0</v>
      </c>
      <c r="Q2240" s="10">
        <f>IFERROR(IF(('Loading-drum,tote'!$C$21)="No control",SUMIF(('Loading-drum,tote'!$B$31:$B$48),$J2240,('Loading-drum,tote'!$D$31:$D$48))*Impacts!$F$13,IF(('Loading-drum,tote'!$C$21)&lt;&gt;"No control",SUMIF(('Loading-drum,tote'!$B$31:$B$48),$J2240,('Loading-drum,tote'!$E$31:$E$48))*Impacts!$F$13,0)),0)</f>
        <v>0</v>
      </c>
      <c r="R2240" s="10">
        <f>IFERROR(IF(('Loading-truck'!$C$21)="No control",SUMIF(('Loading-truck'!$B$31:$B$48),$J2240,('Loading-truck'!$D$31:$D$48))*Impacts!$F$14,IF(('Loading-truck'!$C$21)&lt;&gt;"No control",SUMIF(('Loading-truck'!$B$31:$B$48),$J2240,('Loading-truck'!$E$31:$E$48))*Impacts!$F$14,0)),0)</f>
        <v>0</v>
      </c>
      <c r="S2240" s="10">
        <f>IFERROR(IF(('Loading-rail'!$C$21)="No control",SUMIF(('Loading-rail'!$B$31:$B$48),$J2240,('Loading-rail'!$D$31:$D$48))*Impacts!$F$15,IF(('Loading-rail'!$C$21)&lt;&gt;"No control",SUMIF(('Loading-rail'!$B$31:$B$48),$J2240,('Loading-rail'!$E$31:$E$48))*Impacts!$F$15,0)),0)</f>
        <v>0</v>
      </c>
      <c r="T2240" s="10">
        <f>IF(Flare!$C$7="",0,(SUMIF(Flare!$B$46:$B$185,$J2240,Flare!$E$46:$E$185)*Impacts!$F$16))</f>
        <v>0</v>
      </c>
      <c r="U2240" s="10">
        <f>IF(VCU!$C$9="",0,(SUMIF(VCU!$B$51:$B$193,$J2240,VCU!$E$51:$E$193)*Impacts!$F$17))</f>
        <v>0</v>
      </c>
      <c r="V2240" s="10">
        <f>IF(CAS!$C$7="",0,(SUMIF(CAS!$B$31:$B$167,$J2240,CAS!$E$31:$E$167)*Impacts!$F$18))</f>
        <v>0</v>
      </c>
      <c r="W2240" s="10">
        <f t="shared" si="75"/>
        <v>0</v>
      </c>
      <c r="AK2240" s="10" t="str">
        <f t="array" ref="AK2240">IFERROR(INDEX(SelectedSpecies,SMALL(IF(SelectedSpecies=AK$1,ROW(SelectedSpecies)),ROW(2241:2241)),2),"")</f>
        <v/>
      </c>
      <c r="BE2240" s="10"/>
      <c r="BI2240" s="10"/>
    </row>
    <row r="2241" spans="1:61" ht="21" customHeight="1" x14ac:dyDescent="0.25">
      <c r="A2241" s="10"/>
      <c r="B2241" s="10"/>
      <c r="E2241" s="10"/>
      <c r="G2241" s="10"/>
      <c r="I2241" s="436" t="s">
        <v>1460</v>
      </c>
      <c r="J2241" s="26" t="s">
        <v>1459</v>
      </c>
      <c r="K2241" s="10">
        <v>30</v>
      </c>
      <c r="L2241" s="73">
        <f>IF(Tank1!$C$23="No control",(SUMIF(Tank1!$B$32:$B$49,$J2241,Tank1!$C$32:$C$49)*Impacts!$F$8),0)</f>
        <v>0</v>
      </c>
      <c r="M2241" s="10">
        <f>IF(Tank2!$C$23="No control",(SUMIF(Tank2!$B$32:$B$49,$J2241,Tank2!$C$32:$C$49)*Impacts!$F$9),0)</f>
        <v>0</v>
      </c>
      <c r="N2241" s="10">
        <f>IF(Tank3!$C$23="No control",(SUMIF(Tank3!$B$32:$B$49,$J2241,Tank3!$C$32:$C$49)*Impacts!$F$10),0)</f>
        <v>0</v>
      </c>
      <c r="O2241" s="10">
        <f>IF(Tank4!$C$23="No control",(SUMIF(Tank4!$B$32:$B$49,$J2241,Tank4!$C$32:$C$49)*Impacts!$F$11),0)</f>
        <v>0</v>
      </c>
      <c r="P2241" s="10">
        <f>IF(Tank5!$C$23="No control",(SUMIF(Tank5!$B$32:$B$49,$J2241,Tank5!$C$32:$C$49)*Impacts!$F$12),0)</f>
        <v>0</v>
      </c>
      <c r="Q2241" s="10">
        <f>IFERROR(IF(('Loading-drum,tote'!$C$21)="No control",SUMIF(('Loading-drum,tote'!$B$31:$B$48),$J2241,('Loading-drum,tote'!$D$31:$D$48))*Impacts!$F$13,IF(('Loading-drum,tote'!$C$21)&lt;&gt;"No control",SUMIF(('Loading-drum,tote'!$B$31:$B$48),$J2241,('Loading-drum,tote'!$E$31:$E$48))*Impacts!$F$13,0)),0)</f>
        <v>0</v>
      </c>
      <c r="R2241" s="10">
        <f>IFERROR(IF(('Loading-truck'!$C$21)="No control",SUMIF(('Loading-truck'!$B$31:$B$48),$J2241,('Loading-truck'!$D$31:$D$48))*Impacts!$F$14,IF(('Loading-truck'!$C$21)&lt;&gt;"No control",SUMIF(('Loading-truck'!$B$31:$B$48),$J2241,('Loading-truck'!$E$31:$E$48))*Impacts!$F$14,0)),0)</f>
        <v>0</v>
      </c>
      <c r="S2241" s="10">
        <f>IFERROR(IF(('Loading-rail'!$C$21)="No control",SUMIF(('Loading-rail'!$B$31:$B$48),$J2241,('Loading-rail'!$D$31:$D$48))*Impacts!$F$15,IF(('Loading-rail'!$C$21)&lt;&gt;"No control",SUMIF(('Loading-rail'!$B$31:$B$48),$J2241,('Loading-rail'!$E$31:$E$48))*Impacts!$F$15,0)),0)</f>
        <v>0</v>
      </c>
      <c r="T2241" s="10">
        <f>IF(Flare!$C$7="",0,(SUMIF(Flare!$B$46:$B$185,$J2241,Flare!$E$46:$E$185)*Impacts!$F$16))</f>
        <v>0</v>
      </c>
      <c r="U2241" s="10">
        <f>IF(VCU!$C$9="",0,(SUMIF(VCU!$B$51:$B$193,$J2241,VCU!$E$51:$E$193)*Impacts!$F$17))</f>
        <v>0</v>
      </c>
      <c r="V2241" s="10">
        <f>IF(CAS!$C$7="",0,(SUMIF(CAS!$B$31:$B$167,$J2241,CAS!$E$31:$E$167)*Impacts!$F$18))</f>
        <v>0</v>
      </c>
      <c r="W2241" s="10">
        <f t="shared" si="75"/>
        <v>0</v>
      </c>
      <c r="AK2241" s="10" t="str">
        <f t="array" ref="AK2241">IFERROR(INDEX(SelectedSpecies,SMALL(IF(SelectedSpecies=AK$1,ROW(SelectedSpecies)),ROW(2242:2242)),2),"")</f>
        <v/>
      </c>
      <c r="BE2241" s="10"/>
      <c r="BI2241" s="10"/>
    </row>
    <row r="2242" spans="1:61" ht="21" customHeight="1" x14ac:dyDescent="0.25">
      <c r="A2242" s="10"/>
      <c r="B2242" s="10"/>
      <c r="E2242" s="10"/>
      <c r="G2242" s="10"/>
      <c r="I2242" s="436" t="s">
        <v>6440</v>
      </c>
      <c r="J2242" s="26" t="s">
        <v>6439</v>
      </c>
      <c r="K2242" s="10">
        <v>0.8</v>
      </c>
      <c r="L2242" s="73">
        <f>IF(Tank1!$C$23="No control",(SUMIF(Tank1!$B$32:$B$49,$J2242,Tank1!$C$32:$C$49)*Impacts!$F$8),0)</f>
        <v>0</v>
      </c>
      <c r="M2242" s="10">
        <f>IF(Tank2!$C$23="No control",(SUMIF(Tank2!$B$32:$B$49,$J2242,Tank2!$C$32:$C$49)*Impacts!$F$9),0)</f>
        <v>0</v>
      </c>
      <c r="N2242" s="10">
        <f>IF(Tank3!$C$23="No control",(SUMIF(Tank3!$B$32:$B$49,$J2242,Tank3!$C$32:$C$49)*Impacts!$F$10),0)</f>
        <v>0</v>
      </c>
      <c r="O2242" s="10">
        <f>IF(Tank4!$C$23="No control",(SUMIF(Tank4!$B$32:$B$49,$J2242,Tank4!$C$32:$C$49)*Impacts!$F$11),0)</f>
        <v>0</v>
      </c>
      <c r="P2242" s="10">
        <f>IF(Tank5!$C$23="No control",(SUMIF(Tank5!$B$32:$B$49,$J2242,Tank5!$C$32:$C$49)*Impacts!$F$12),0)</f>
        <v>0</v>
      </c>
      <c r="Q2242" s="10">
        <f>IFERROR(IF(('Loading-drum,tote'!$C$21)="No control",SUMIF(('Loading-drum,tote'!$B$31:$B$48),$J2242,('Loading-drum,tote'!$D$31:$D$48))*Impacts!$F$13,IF(('Loading-drum,tote'!$C$21)&lt;&gt;"No control",SUMIF(('Loading-drum,tote'!$B$31:$B$48),$J2242,('Loading-drum,tote'!$E$31:$E$48))*Impacts!$F$13,0)),0)</f>
        <v>0</v>
      </c>
      <c r="R2242" s="10">
        <f>IFERROR(IF(('Loading-truck'!$C$21)="No control",SUMIF(('Loading-truck'!$B$31:$B$48),$J2242,('Loading-truck'!$D$31:$D$48))*Impacts!$F$14,IF(('Loading-truck'!$C$21)&lt;&gt;"No control",SUMIF(('Loading-truck'!$B$31:$B$48),$J2242,('Loading-truck'!$E$31:$E$48))*Impacts!$F$14,0)),0)</f>
        <v>0</v>
      </c>
      <c r="S2242" s="10">
        <f>IFERROR(IF(('Loading-rail'!$C$21)="No control",SUMIF(('Loading-rail'!$B$31:$B$48),$J2242,('Loading-rail'!$D$31:$D$48))*Impacts!$F$15,IF(('Loading-rail'!$C$21)&lt;&gt;"No control",SUMIF(('Loading-rail'!$B$31:$B$48),$J2242,('Loading-rail'!$E$31:$E$48))*Impacts!$F$15,0)),0)</f>
        <v>0</v>
      </c>
      <c r="T2242" s="10">
        <f>IF(Flare!$C$7="",0,(SUMIF(Flare!$B$46:$B$185,$J2242,Flare!$E$46:$E$185)*Impacts!$F$16))</f>
        <v>0</v>
      </c>
      <c r="U2242" s="10">
        <f>IF(VCU!$C$9="",0,(SUMIF(VCU!$B$51:$B$193,$J2242,VCU!$E$51:$E$193)*Impacts!$F$17))</f>
        <v>0</v>
      </c>
      <c r="V2242" s="10">
        <f>IF(CAS!$C$7="",0,(SUMIF(CAS!$B$31:$B$167,$J2242,CAS!$E$31:$E$167)*Impacts!$F$18))</f>
        <v>0</v>
      </c>
      <c r="W2242" s="10">
        <f t="shared" si="75"/>
        <v>0</v>
      </c>
      <c r="AK2242" s="10" t="str">
        <f t="array" ref="AK2242">IFERROR(INDEX(SelectedSpecies,SMALL(IF(SelectedSpecies=AK$1,ROW(SelectedSpecies)),ROW(2243:2243)),2),"")</f>
        <v/>
      </c>
      <c r="BE2242" s="10"/>
      <c r="BI2242" s="10"/>
    </row>
    <row r="2243" spans="1:61" ht="21" customHeight="1" x14ac:dyDescent="0.25">
      <c r="A2243" s="10"/>
      <c r="B2243" s="10"/>
      <c r="E2243" s="10"/>
      <c r="G2243" s="10"/>
      <c r="I2243" s="436" t="s">
        <v>5968</v>
      </c>
      <c r="J2243" s="26" t="s">
        <v>5967</v>
      </c>
      <c r="K2243" s="10">
        <v>1</v>
      </c>
      <c r="L2243" s="73">
        <f>IF(Tank1!$C$23="No control",(SUMIF(Tank1!$B$32:$B$49,$J2243,Tank1!$C$32:$C$49)*Impacts!$F$8),0)</f>
        <v>0</v>
      </c>
      <c r="M2243" s="10">
        <f>IF(Tank2!$C$23="No control",(SUMIF(Tank2!$B$32:$B$49,$J2243,Tank2!$C$32:$C$49)*Impacts!$F$9),0)</f>
        <v>0</v>
      </c>
      <c r="N2243" s="10">
        <f>IF(Tank3!$C$23="No control",(SUMIF(Tank3!$B$32:$B$49,$J2243,Tank3!$C$32:$C$49)*Impacts!$F$10),0)</f>
        <v>0</v>
      </c>
      <c r="O2243" s="10">
        <f>IF(Tank4!$C$23="No control",(SUMIF(Tank4!$B$32:$B$49,$J2243,Tank4!$C$32:$C$49)*Impacts!$F$11),0)</f>
        <v>0</v>
      </c>
      <c r="P2243" s="10">
        <f>IF(Tank5!$C$23="No control",(SUMIF(Tank5!$B$32:$B$49,$J2243,Tank5!$C$32:$C$49)*Impacts!$F$12),0)</f>
        <v>0</v>
      </c>
      <c r="Q2243" s="10">
        <f>IFERROR(IF(('Loading-drum,tote'!$C$21)="No control",SUMIF(('Loading-drum,tote'!$B$31:$B$48),$J2243,('Loading-drum,tote'!$D$31:$D$48))*Impacts!$F$13,IF(('Loading-drum,tote'!$C$21)&lt;&gt;"No control",SUMIF(('Loading-drum,tote'!$B$31:$B$48),$J2243,('Loading-drum,tote'!$E$31:$E$48))*Impacts!$F$13,0)),0)</f>
        <v>0</v>
      </c>
      <c r="R2243" s="10">
        <f>IFERROR(IF(('Loading-truck'!$C$21)="No control",SUMIF(('Loading-truck'!$B$31:$B$48),$J2243,('Loading-truck'!$D$31:$D$48))*Impacts!$F$14,IF(('Loading-truck'!$C$21)&lt;&gt;"No control",SUMIF(('Loading-truck'!$B$31:$B$48),$J2243,('Loading-truck'!$E$31:$E$48))*Impacts!$F$14,0)),0)</f>
        <v>0</v>
      </c>
      <c r="S2243" s="10">
        <f>IFERROR(IF(('Loading-rail'!$C$21)="No control",SUMIF(('Loading-rail'!$B$31:$B$48),$J2243,('Loading-rail'!$D$31:$D$48))*Impacts!$F$15,IF(('Loading-rail'!$C$21)&lt;&gt;"No control",SUMIF(('Loading-rail'!$B$31:$B$48),$J2243,('Loading-rail'!$E$31:$E$48))*Impacts!$F$15,0)),0)</f>
        <v>0</v>
      </c>
      <c r="T2243" s="10">
        <f>IF(Flare!$C$7="",0,(SUMIF(Flare!$B$46:$B$185,$J2243,Flare!$E$46:$E$185)*Impacts!$F$16))</f>
        <v>0</v>
      </c>
      <c r="U2243" s="10">
        <f>IF(VCU!$C$9="",0,(SUMIF(VCU!$B$51:$B$193,$J2243,VCU!$E$51:$E$193)*Impacts!$F$17))</f>
        <v>0</v>
      </c>
      <c r="V2243" s="10">
        <f>IF(CAS!$C$7="",0,(SUMIF(CAS!$B$31:$B$167,$J2243,CAS!$E$31:$E$167)*Impacts!$F$18))</f>
        <v>0</v>
      </c>
      <c r="W2243" s="10">
        <f t="shared" si="75"/>
        <v>0</v>
      </c>
      <c r="AK2243" s="10" t="str">
        <f t="array" ref="AK2243">IFERROR(INDEX(SelectedSpecies,SMALL(IF(SelectedSpecies=AK$1,ROW(SelectedSpecies)),ROW(2244:2244)),2),"")</f>
        <v/>
      </c>
      <c r="BE2243" s="10"/>
      <c r="BI2243" s="10"/>
    </row>
    <row r="2244" spans="1:61" ht="21" customHeight="1" x14ac:dyDescent="0.25">
      <c r="A2244" s="10"/>
      <c r="B2244" s="10"/>
      <c r="E2244" s="10"/>
      <c r="G2244" s="10"/>
      <c r="I2244" s="436" t="s">
        <v>4821</v>
      </c>
      <c r="J2244" s="26" t="s">
        <v>4820</v>
      </c>
      <c r="K2244" s="10">
        <v>3</v>
      </c>
      <c r="L2244" s="73">
        <f>IF(Tank1!$C$23="No control",(SUMIF(Tank1!$B$32:$B$49,$J2244,Tank1!$C$32:$C$49)*Impacts!$F$8),0)</f>
        <v>0</v>
      </c>
      <c r="M2244" s="10">
        <f>IF(Tank2!$C$23="No control",(SUMIF(Tank2!$B$32:$B$49,$J2244,Tank2!$C$32:$C$49)*Impacts!$F$9),0)</f>
        <v>0</v>
      </c>
      <c r="N2244" s="10">
        <f>IF(Tank3!$C$23="No control",(SUMIF(Tank3!$B$32:$B$49,$J2244,Tank3!$C$32:$C$49)*Impacts!$F$10),0)</f>
        <v>0</v>
      </c>
      <c r="O2244" s="10">
        <f>IF(Tank4!$C$23="No control",(SUMIF(Tank4!$B$32:$B$49,$J2244,Tank4!$C$32:$C$49)*Impacts!$F$11),0)</f>
        <v>0</v>
      </c>
      <c r="P2244" s="10">
        <f>IF(Tank5!$C$23="No control",(SUMIF(Tank5!$B$32:$B$49,$J2244,Tank5!$C$32:$C$49)*Impacts!$F$12),0)</f>
        <v>0</v>
      </c>
      <c r="Q2244" s="10">
        <f>IFERROR(IF(('Loading-drum,tote'!$C$21)="No control",SUMIF(('Loading-drum,tote'!$B$31:$B$48),$J2244,('Loading-drum,tote'!$D$31:$D$48))*Impacts!$F$13,IF(('Loading-drum,tote'!$C$21)&lt;&gt;"No control",SUMIF(('Loading-drum,tote'!$B$31:$B$48),$J2244,('Loading-drum,tote'!$E$31:$E$48))*Impacts!$F$13,0)),0)</f>
        <v>0</v>
      </c>
      <c r="R2244" s="10">
        <f>IFERROR(IF(('Loading-truck'!$C$21)="No control",SUMIF(('Loading-truck'!$B$31:$B$48),$J2244,('Loading-truck'!$D$31:$D$48))*Impacts!$F$14,IF(('Loading-truck'!$C$21)&lt;&gt;"No control",SUMIF(('Loading-truck'!$B$31:$B$48),$J2244,('Loading-truck'!$E$31:$E$48))*Impacts!$F$14,0)),0)</f>
        <v>0</v>
      </c>
      <c r="S2244" s="10">
        <f>IFERROR(IF(('Loading-rail'!$C$21)="No control",SUMIF(('Loading-rail'!$B$31:$B$48),$J2244,('Loading-rail'!$D$31:$D$48))*Impacts!$F$15,IF(('Loading-rail'!$C$21)&lt;&gt;"No control",SUMIF(('Loading-rail'!$B$31:$B$48),$J2244,('Loading-rail'!$E$31:$E$48))*Impacts!$F$15,0)),0)</f>
        <v>0</v>
      </c>
      <c r="T2244" s="10">
        <f>IF(Flare!$C$7="",0,(SUMIF(Flare!$B$46:$B$185,$J2244,Flare!$E$46:$E$185)*Impacts!$F$16))</f>
        <v>0</v>
      </c>
      <c r="U2244" s="10">
        <f>IF(VCU!$C$9="",0,(SUMIF(VCU!$B$51:$B$193,$J2244,VCU!$E$51:$E$193)*Impacts!$F$17))</f>
        <v>0</v>
      </c>
      <c r="V2244" s="10">
        <f>IF(CAS!$C$7="",0,(SUMIF(CAS!$B$31:$B$167,$J2244,CAS!$E$31:$E$167)*Impacts!$F$18))</f>
        <v>0</v>
      </c>
      <c r="W2244" s="10">
        <f t="shared" si="75"/>
        <v>0</v>
      </c>
      <c r="AK2244" s="10" t="str">
        <f t="array" ref="AK2244">IFERROR(INDEX(SelectedSpecies,SMALL(IF(SelectedSpecies=AK$1,ROW(SelectedSpecies)),ROW(2245:2245)),2),"")</f>
        <v/>
      </c>
      <c r="BE2244" s="10"/>
      <c r="BI2244" s="10"/>
    </row>
    <row r="2245" spans="1:61" ht="21" customHeight="1" x14ac:dyDescent="0.25">
      <c r="A2245" s="10"/>
      <c r="B2245" s="10"/>
      <c r="E2245" s="10"/>
      <c r="G2245" s="10"/>
      <c r="I2245" s="436" t="s">
        <v>7000</v>
      </c>
      <c r="J2245" s="26" t="s">
        <v>6999</v>
      </c>
      <c r="K2245" s="10">
        <v>0.45999999999999996</v>
      </c>
      <c r="L2245" s="73">
        <f>IF(Tank1!$C$23="No control",(SUMIF(Tank1!$B$32:$B$49,$J2245,Tank1!$C$32:$C$49)*Impacts!$F$8),0)</f>
        <v>0</v>
      </c>
      <c r="M2245" s="10">
        <f>IF(Tank2!$C$23="No control",(SUMIF(Tank2!$B$32:$B$49,$J2245,Tank2!$C$32:$C$49)*Impacts!$F$9),0)</f>
        <v>0</v>
      </c>
      <c r="N2245" s="10">
        <f>IF(Tank3!$C$23="No control",(SUMIF(Tank3!$B$32:$B$49,$J2245,Tank3!$C$32:$C$49)*Impacts!$F$10),0)</f>
        <v>0</v>
      </c>
      <c r="O2245" s="10">
        <f>IF(Tank4!$C$23="No control",(SUMIF(Tank4!$B$32:$B$49,$J2245,Tank4!$C$32:$C$49)*Impacts!$F$11),0)</f>
        <v>0</v>
      </c>
      <c r="P2245" s="10">
        <f>IF(Tank5!$C$23="No control",(SUMIF(Tank5!$B$32:$B$49,$J2245,Tank5!$C$32:$C$49)*Impacts!$F$12),0)</f>
        <v>0</v>
      </c>
      <c r="Q2245" s="10">
        <f>IFERROR(IF(('Loading-drum,tote'!$C$21)="No control",SUMIF(('Loading-drum,tote'!$B$31:$B$48),$J2245,('Loading-drum,tote'!$D$31:$D$48))*Impacts!$F$13,IF(('Loading-drum,tote'!$C$21)&lt;&gt;"No control",SUMIF(('Loading-drum,tote'!$B$31:$B$48),$J2245,('Loading-drum,tote'!$E$31:$E$48))*Impacts!$F$13,0)),0)</f>
        <v>0</v>
      </c>
      <c r="R2245" s="10">
        <f>IFERROR(IF(('Loading-truck'!$C$21)="No control",SUMIF(('Loading-truck'!$B$31:$B$48),$J2245,('Loading-truck'!$D$31:$D$48))*Impacts!$F$14,IF(('Loading-truck'!$C$21)&lt;&gt;"No control",SUMIF(('Loading-truck'!$B$31:$B$48),$J2245,('Loading-truck'!$E$31:$E$48))*Impacts!$F$14,0)),0)</f>
        <v>0</v>
      </c>
      <c r="S2245" s="10">
        <f>IFERROR(IF(('Loading-rail'!$C$21)="No control",SUMIF(('Loading-rail'!$B$31:$B$48),$J2245,('Loading-rail'!$D$31:$D$48))*Impacts!$F$15,IF(('Loading-rail'!$C$21)&lt;&gt;"No control",SUMIF(('Loading-rail'!$B$31:$B$48),$J2245,('Loading-rail'!$E$31:$E$48))*Impacts!$F$15,0)),0)</f>
        <v>0</v>
      </c>
      <c r="T2245" s="10">
        <f>IF(Flare!$C$7="",0,(SUMIF(Flare!$B$46:$B$185,$J2245,Flare!$E$46:$E$185)*Impacts!$F$16))</f>
        <v>0</v>
      </c>
      <c r="U2245" s="10">
        <f>IF(VCU!$C$9="",0,(SUMIF(VCU!$B$51:$B$193,$J2245,VCU!$E$51:$E$193)*Impacts!$F$17))</f>
        <v>0</v>
      </c>
      <c r="V2245" s="10">
        <f>IF(CAS!$C$7="",0,(SUMIF(CAS!$B$31:$B$167,$J2245,CAS!$E$31:$E$167)*Impacts!$F$18))</f>
        <v>0</v>
      </c>
      <c r="W2245" s="10">
        <f t="shared" si="75"/>
        <v>0</v>
      </c>
      <c r="AK2245" s="10" t="str">
        <f t="array" ref="AK2245">IFERROR(INDEX(SelectedSpecies,SMALL(IF(SelectedSpecies=AK$1,ROW(SelectedSpecies)),ROW(2246:2246)),2),"")</f>
        <v/>
      </c>
      <c r="BE2245" s="10"/>
      <c r="BI2245" s="10"/>
    </row>
    <row r="2246" spans="1:61" ht="21" customHeight="1" x14ac:dyDescent="0.25">
      <c r="A2246" s="10"/>
      <c r="B2246" s="10"/>
      <c r="E2246" s="10"/>
      <c r="G2246" s="10"/>
      <c r="I2246" s="436" t="s">
        <v>8174</v>
      </c>
      <c r="J2246" s="26" t="s">
        <v>8173</v>
      </c>
      <c r="K2246" s="10">
        <v>1.0000000000000002E-2</v>
      </c>
      <c r="L2246" s="73">
        <f>IF(Tank1!$C$23="No control",(SUMIF(Tank1!$B$32:$B$49,$J2246,Tank1!$C$32:$C$49)*Impacts!$F$8),0)</f>
        <v>0</v>
      </c>
      <c r="M2246" s="10">
        <f>IF(Tank2!$C$23="No control",(SUMIF(Tank2!$B$32:$B$49,$J2246,Tank2!$C$32:$C$49)*Impacts!$F$9),0)</f>
        <v>0</v>
      </c>
      <c r="N2246" s="10">
        <f>IF(Tank3!$C$23="No control",(SUMIF(Tank3!$B$32:$B$49,$J2246,Tank3!$C$32:$C$49)*Impacts!$F$10),0)</f>
        <v>0</v>
      </c>
      <c r="O2246" s="10">
        <f>IF(Tank4!$C$23="No control",(SUMIF(Tank4!$B$32:$B$49,$J2246,Tank4!$C$32:$C$49)*Impacts!$F$11),0)</f>
        <v>0</v>
      </c>
      <c r="P2246" s="10">
        <f>IF(Tank5!$C$23="No control",(SUMIF(Tank5!$B$32:$B$49,$J2246,Tank5!$C$32:$C$49)*Impacts!$F$12),0)</f>
        <v>0</v>
      </c>
      <c r="Q2246" s="10">
        <f>IFERROR(IF(('Loading-drum,tote'!$C$21)="No control",SUMIF(('Loading-drum,tote'!$B$31:$B$48),$J2246,('Loading-drum,tote'!$D$31:$D$48))*Impacts!$F$13,IF(('Loading-drum,tote'!$C$21)&lt;&gt;"No control",SUMIF(('Loading-drum,tote'!$B$31:$B$48),$J2246,('Loading-drum,tote'!$E$31:$E$48))*Impacts!$F$13,0)),0)</f>
        <v>0</v>
      </c>
      <c r="R2246" s="10">
        <f>IFERROR(IF(('Loading-truck'!$C$21)="No control",SUMIF(('Loading-truck'!$B$31:$B$48),$J2246,('Loading-truck'!$D$31:$D$48))*Impacts!$F$14,IF(('Loading-truck'!$C$21)&lt;&gt;"No control",SUMIF(('Loading-truck'!$B$31:$B$48),$J2246,('Loading-truck'!$E$31:$E$48))*Impacts!$F$14,0)),0)</f>
        <v>0</v>
      </c>
      <c r="S2246" s="10">
        <f>IFERROR(IF(('Loading-rail'!$C$21)="No control",SUMIF(('Loading-rail'!$B$31:$B$48),$J2246,('Loading-rail'!$D$31:$D$48))*Impacts!$F$15,IF(('Loading-rail'!$C$21)&lt;&gt;"No control",SUMIF(('Loading-rail'!$B$31:$B$48),$J2246,('Loading-rail'!$E$31:$E$48))*Impacts!$F$15,0)),0)</f>
        <v>0</v>
      </c>
      <c r="T2246" s="10">
        <f>IF(Flare!$C$7="",0,(SUMIF(Flare!$B$46:$B$185,$J2246,Flare!$E$46:$E$185)*Impacts!$F$16))</f>
        <v>0</v>
      </c>
      <c r="U2246" s="10">
        <f>IF(VCU!$C$9="",0,(SUMIF(VCU!$B$51:$B$193,$J2246,VCU!$E$51:$E$193)*Impacts!$F$17))</f>
        <v>0</v>
      </c>
      <c r="V2246" s="10">
        <f>IF(CAS!$C$7="",0,(SUMIF(CAS!$B$31:$B$167,$J2246,CAS!$E$31:$E$167)*Impacts!$F$18))</f>
        <v>0</v>
      </c>
      <c r="W2246" s="10">
        <f t="shared" si="75"/>
        <v>0</v>
      </c>
      <c r="AK2246" s="10" t="str">
        <f t="array" ref="AK2246">IFERROR(INDEX(SelectedSpecies,SMALL(IF(SelectedSpecies=AK$1,ROW(SelectedSpecies)),ROW(2247:2247)),2),"")</f>
        <v/>
      </c>
      <c r="BE2246" s="10"/>
      <c r="BI2246" s="10"/>
    </row>
    <row r="2247" spans="1:61" ht="21" customHeight="1" x14ac:dyDescent="0.25">
      <c r="A2247" s="10"/>
      <c r="B2247" s="10"/>
      <c r="E2247" s="10"/>
      <c r="G2247" s="10"/>
      <c r="I2247" s="436" t="s">
        <v>8264</v>
      </c>
      <c r="J2247" s="26" t="s">
        <v>8263</v>
      </c>
      <c r="K2247" s="10">
        <v>5.000000000000001E-3</v>
      </c>
      <c r="L2247" s="73">
        <f>IF(Tank1!$C$23="No control",(SUMIF(Tank1!$B$32:$B$49,$J2247,Tank1!$C$32:$C$49)*Impacts!$F$8),0)</f>
        <v>0</v>
      </c>
      <c r="M2247" s="10">
        <f>IF(Tank2!$C$23="No control",(SUMIF(Tank2!$B$32:$B$49,$J2247,Tank2!$C$32:$C$49)*Impacts!$F$9),0)</f>
        <v>0</v>
      </c>
      <c r="N2247" s="10">
        <f>IF(Tank3!$C$23="No control",(SUMIF(Tank3!$B$32:$B$49,$J2247,Tank3!$C$32:$C$49)*Impacts!$F$10),0)</f>
        <v>0</v>
      </c>
      <c r="O2247" s="10">
        <f>IF(Tank4!$C$23="No control",(SUMIF(Tank4!$B$32:$B$49,$J2247,Tank4!$C$32:$C$49)*Impacts!$F$11),0)</f>
        <v>0</v>
      </c>
      <c r="P2247" s="10">
        <f>IF(Tank5!$C$23="No control",(SUMIF(Tank5!$B$32:$B$49,$J2247,Tank5!$C$32:$C$49)*Impacts!$F$12),0)</f>
        <v>0</v>
      </c>
      <c r="Q2247" s="10">
        <f>IFERROR(IF(('Loading-drum,tote'!$C$21)="No control",SUMIF(('Loading-drum,tote'!$B$31:$B$48),$J2247,('Loading-drum,tote'!$D$31:$D$48))*Impacts!$F$13,IF(('Loading-drum,tote'!$C$21)&lt;&gt;"No control",SUMIF(('Loading-drum,tote'!$B$31:$B$48),$J2247,('Loading-drum,tote'!$E$31:$E$48))*Impacts!$F$13,0)),0)</f>
        <v>0</v>
      </c>
      <c r="R2247" s="10">
        <f>IFERROR(IF(('Loading-truck'!$C$21)="No control",SUMIF(('Loading-truck'!$B$31:$B$48),$J2247,('Loading-truck'!$D$31:$D$48))*Impacts!$F$14,IF(('Loading-truck'!$C$21)&lt;&gt;"No control",SUMIF(('Loading-truck'!$B$31:$B$48),$J2247,('Loading-truck'!$E$31:$E$48))*Impacts!$F$14,0)),0)</f>
        <v>0</v>
      </c>
      <c r="S2247" s="10">
        <f>IFERROR(IF(('Loading-rail'!$C$21)="No control",SUMIF(('Loading-rail'!$B$31:$B$48),$J2247,('Loading-rail'!$D$31:$D$48))*Impacts!$F$15,IF(('Loading-rail'!$C$21)&lt;&gt;"No control",SUMIF(('Loading-rail'!$B$31:$B$48),$J2247,('Loading-rail'!$E$31:$E$48))*Impacts!$F$15,0)),0)</f>
        <v>0</v>
      </c>
      <c r="T2247" s="10">
        <f>IF(Flare!$C$7="",0,(SUMIF(Flare!$B$46:$B$185,$J2247,Flare!$E$46:$E$185)*Impacts!$F$16))</f>
        <v>0</v>
      </c>
      <c r="U2247" s="10">
        <f>IF(VCU!$C$9="",0,(SUMIF(VCU!$B$51:$B$193,$J2247,VCU!$E$51:$E$193)*Impacts!$F$17))</f>
        <v>0</v>
      </c>
      <c r="V2247" s="10">
        <f>IF(CAS!$C$7="",0,(SUMIF(CAS!$B$31:$B$167,$J2247,CAS!$E$31:$E$167)*Impacts!$F$18))</f>
        <v>0</v>
      </c>
      <c r="W2247" s="10">
        <f t="shared" si="75"/>
        <v>0</v>
      </c>
      <c r="AK2247" s="10" t="str">
        <f t="array" ref="AK2247">IFERROR(INDEX(SelectedSpecies,SMALL(IF(SelectedSpecies=AK$1,ROW(SelectedSpecies)),ROW(2248:2248)),2),"")</f>
        <v/>
      </c>
      <c r="BE2247" s="10"/>
      <c r="BI2247" s="10"/>
    </row>
    <row r="2248" spans="1:61" ht="21" customHeight="1" x14ac:dyDescent="0.25">
      <c r="A2248" s="10"/>
      <c r="B2248" s="10"/>
      <c r="E2248" s="10"/>
      <c r="G2248" s="10"/>
      <c r="I2248" s="436" t="s">
        <v>6862</v>
      </c>
      <c r="J2248" s="26" t="s">
        <v>6861</v>
      </c>
      <c r="K2248" s="10">
        <v>0.5</v>
      </c>
      <c r="L2248" s="73">
        <f>IF(Tank1!$C$23="No control",(SUMIF(Tank1!$B$32:$B$49,$J2248,Tank1!$C$32:$C$49)*Impacts!$F$8),0)</f>
        <v>0</v>
      </c>
      <c r="M2248" s="10">
        <f>IF(Tank2!$C$23="No control",(SUMIF(Tank2!$B$32:$B$49,$J2248,Tank2!$C$32:$C$49)*Impacts!$F$9),0)</f>
        <v>0</v>
      </c>
      <c r="N2248" s="10">
        <f>IF(Tank3!$C$23="No control",(SUMIF(Tank3!$B$32:$B$49,$J2248,Tank3!$C$32:$C$49)*Impacts!$F$10),0)</f>
        <v>0</v>
      </c>
      <c r="O2248" s="10">
        <f>IF(Tank4!$C$23="No control",(SUMIF(Tank4!$B$32:$B$49,$J2248,Tank4!$C$32:$C$49)*Impacts!$F$11),0)</f>
        <v>0</v>
      </c>
      <c r="P2248" s="10">
        <f>IF(Tank5!$C$23="No control",(SUMIF(Tank5!$B$32:$B$49,$J2248,Tank5!$C$32:$C$49)*Impacts!$F$12),0)</f>
        <v>0</v>
      </c>
      <c r="Q2248" s="10">
        <f>IFERROR(IF(('Loading-drum,tote'!$C$21)="No control",SUMIF(('Loading-drum,tote'!$B$31:$B$48),$J2248,('Loading-drum,tote'!$D$31:$D$48))*Impacts!$F$13,IF(('Loading-drum,tote'!$C$21)&lt;&gt;"No control",SUMIF(('Loading-drum,tote'!$B$31:$B$48),$J2248,('Loading-drum,tote'!$E$31:$E$48))*Impacts!$F$13,0)),0)</f>
        <v>0</v>
      </c>
      <c r="R2248" s="10">
        <f>IFERROR(IF(('Loading-truck'!$C$21)="No control",SUMIF(('Loading-truck'!$B$31:$B$48),$J2248,('Loading-truck'!$D$31:$D$48))*Impacts!$F$14,IF(('Loading-truck'!$C$21)&lt;&gt;"No control",SUMIF(('Loading-truck'!$B$31:$B$48),$J2248,('Loading-truck'!$E$31:$E$48))*Impacts!$F$14,0)),0)</f>
        <v>0</v>
      </c>
      <c r="S2248" s="10">
        <f>IFERROR(IF(('Loading-rail'!$C$21)="No control",SUMIF(('Loading-rail'!$B$31:$B$48),$J2248,('Loading-rail'!$D$31:$D$48))*Impacts!$F$15,IF(('Loading-rail'!$C$21)&lt;&gt;"No control",SUMIF(('Loading-rail'!$B$31:$B$48),$J2248,('Loading-rail'!$E$31:$E$48))*Impacts!$F$15,0)),0)</f>
        <v>0</v>
      </c>
      <c r="T2248" s="10">
        <f>IF(Flare!$C$7="",0,(SUMIF(Flare!$B$46:$B$185,$J2248,Flare!$E$46:$E$185)*Impacts!$F$16))</f>
        <v>0</v>
      </c>
      <c r="U2248" s="10">
        <f>IF(VCU!$C$9="",0,(SUMIF(VCU!$B$51:$B$193,$J2248,VCU!$E$51:$E$193)*Impacts!$F$17))</f>
        <v>0</v>
      </c>
      <c r="V2248" s="10">
        <f>IF(CAS!$C$7="",0,(SUMIF(CAS!$B$31:$B$167,$J2248,CAS!$E$31:$E$167)*Impacts!$F$18))</f>
        <v>0</v>
      </c>
      <c r="W2248" s="10">
        <f t="shared" si="75"/>
        <v>0</v>
      </c>
      <c r="AK2248" s="10" t="str">
        <f t="array" ref="AK2248">IFERROR(INDEX(SelectedSpecies,SMALL(IF(SelectedSpecies=AK$1,ROW(SelectedSpecies)),ROW(2249:2249)),2),"")</f>
        <v/>
      </c>
      <c r="BE2248" s="10"/>
      <c r="BI2248" s="10"/>
    </row>
    <row r="2249" spans="1:61" ht="21" customHeight="1" x14ac:dyDescent="0.25">
      <c r="A2249" s="10"/>
      <c r="B2249" s="10"/>
      <c r="E2249" s="10"/>
      <c r="G2249" s="10"/>
      <c r="I2249" s="436" t="s">
        <v>5970</v>
      </c>
      <c r="J2249" s="26" t="s">
        <v>5969</v>
      </c>
      <c r="K2249" s="10">
        <v>1</v>
      </c>
      <c r="L2249" s="73">
        <f>IF(Tank1!$C$23="No control",(SUMIF(Tank1!$B$32:$B$49,$J2249,Tank1!$C$32:$C$49)*Impacts!$F$8),0)</f>
        <v>0</v>
      </c>
      <c r="M2249" s="10">
        <f>IF(Tank2!$C$23="No control",(SUMIF(Tank2!$B$32:$B$49,$J2249,Tank2!$C$32:$C$49)*Impacts!$F$9),0)</f>
        <v>0</v>
      </c>
      <c r="N2249" s="10">
        <f>IF(Tank3!$C$23="No control",(SUMIF(Tank3!$B$32:$B$49,$J2249,Tank3!$C$32:$C$49)*Impacts!$F$10),0)</f>
        <v>0</v>
      </c>
      <c r="O2249" s="10">
        <f>IF(Tank4!$C$23="No control",(SUMIF(Tank4!$B$32:$B$49,$J2249,Tank4!$C$32:$C$49)*Impacts!$F$11),0)</f>
        <v>0</v>
      </c>
      <c r="P2249" s="10">
        <f>IF(Tank5!$C$23="No control",(SUMIF(Tank5!$B$32:$B$49,$J2249,Tank5!$C$32:$C$49)*Impacts!$F$12),0)</f>
        <v>0</v>
      </c>
      <c r="Q2249" s="10">
        <f>IFERROR(IF(('Loading-drum,tote'!$C$21)="No control",SUMIF(('Loading-drum,tote'!$B$31:$B$48),$J2249,('Loading-drum,tote'!$D$31:$D$48))*Impacts!$F$13,IF(('Loading-drum,tote'!$C$21)&lt;&gt;"No control",SUMIF(('Loading-drum,tote'!$B$31:$B$48),$J2249,('Loading-drum,tote'!$E$31:$E$48))*Impacts!$F$13,0)),0)</f>
        <v>0</v>
      </c>
      <c r="R2249" s="10">
        <f>IFERROR(IF(('Loading-truck'!$C$21)="No control",SUMIF(('Loading-truck'!$B$31:$B$48),$J2249,('Loading-truck'!$D$31:$D$48))*Impacts!$F$14,IF(('Loading-truck'!$C$21)&lt;&gt;"No control",SUMIF(('Loading-truck'!$B$31:$B$48),$J2249,('Loading-truck'!$E$31:$E$48))*Impacts!$F$14,0)),0)</f>
        <v>0</v>
      </c>
      <c r="S2249" s="10">
        <f>IFERROR(IF(('Loading-rail'!$C$21)="No control",SUMIF(('Loading-rail'!$B$31:$B$48),$J2249,('Loading-rail'!$D$31:$D$48))*Impacts!$F$15,IF(('Loading-rail'!$C$21)&lt;&gt;"No control",SUMIF(('Loading-rail'!$B$31:$B$48),$J2249,('Loading-rail'!$E$31:$E$48))*Impacts!$F$15,0)),0)</f>
        <v>0</v>
      </c>
      <c r="T2249" s="10">
        <f>IF(Flare!$C$7="",0,(SUMIF(Flare!$B$46:$B$185,$J2249,Flare!$E$46:$E$185)*Impacts!$F$16))</f>
        <v>0</v>
      </c>
      <c r="U2249" s="10">
        <f>IF(VCU!$C$9="",0,(SUMIF(VCU!$B$51:$B$193,$J2249,VCU!$E$51:$E$193)*Impacts!$F$17))</f>
        <v>0</v>
      </c>
      <c r="V2249" s="10">
        <f>IF(CAS!$C$7="",0,(SUMIF(CAS!$B$31:$B$167,$J2249,CAS!$E$31:$E$167)*Impacts!$F$18))</f>
        <v>0</v>
      </c>
      <c r="W2249" s="10">
        <f t="shared" si="75"/>
        <v>0</v>
      </c>
      <c r="AK2249" s="10" t="str">
        <f t="array" ref="AK2249">IFERROR(INDEX(SelectedSpecies,SMALL(IF(SelectedSpecies=AK$1,ROW(SelectedSpecies)),ROW(2250:2250)),2),"")</f>
        <v/>
      </c>
      <c r="BE2249" s="10"/>
      <c r="BI2249" s="10"/>
    </row>
    <row r="2250" spans="1:61" ht="21" customHeight="1" x14ac:dyDescent="0.25">
      <c r="A2250" s="10"/>
      <c r="B2250" s="10"/>
      <c r="E2250" s="10"/>
      <c r="G2250" s="10"/>
      <c r="I2250" s="436" t="s">
        <v>6640</v>
      </c>
      <c r="J2250" s="26" t="s">
        <v>6639</v>
      </c>
      <c r="K2250" s="10">
        <v>0.60000000000000009</v>
      </c>
      <c r="L2250" s="73">
        <f>IF(Tank1!$C$23="No control",(SUMIF(Tank1!$B$32:$B$49,$J2250,Tank1!$C$32:$C$49)*Impacts!$F$8),0)</f>
        <v>0</v>
      </c>
      <c r="M2250" s="10">
        <f>IF(Tank2!$C$23="No control",(SUMIF(Tank2!$B$32:$B$49,$J2250,Tank2!$C$32:$C$49)*Impacts!$F$9),0)</f>
        <v>0</v>
      </c>
      <c r="N2250" s="10">
        <f>IF(Tank3!$C$23="No control",(SUMIF(Tank3!$B$32:$B$49,$J2250,Tank3!$C$32:$C$49)*Impacts!$F$10),0)</f>
        <v>0</v>
      </c>
      <c r="O2250" s="10">
        <f>IF(Tank4!$C$23="No control",(SUMIF(Tank4!$B$32:$B$49,$J2250,Tank4!$C$32:$C$49)*Impacts!$F$11),0)</f>
        <v>0</v>
      </c>
      <c r="P2250" s="10">
        <f>IF(Tank5!$C$23="No control",(SUMIF(Tank5!$B$32:$B$49,$J2250,Tank5!$C$32:$C$49)*Impacts!$F$12),0)</f>
        <v>0</v>
      </c>
      <c r="Q2250" s="10">
        <f>IFERROR(IF(('Loading-drum,tote'!$C$21)="No control",SUMIF(('Loading-drum,tote'!$B$31:$B$48),$J2250,('Loading-drum,tote'!$D$31:$D$48))*Impacts!$F$13,IF(('Loading-drum,tote'!$C$21)&lt;&gt;"No control",SUMIF(('Loading-drum,tote'!$B$31:$B$48),$J2250,('Loading-drum,tote'!$E$31:$E$48))*Impacts!$F$13,0)),0)</f>
        <v>0</v>
      </c>
      <c r="R2250" s="10">
        <f>IFERROR(IF(('Loading-truck'!$C$21)="No control",SUMIF(('Loading-truck'!$B$31:$B$48),$J2250,('Loading-truck'!$D$31:$D$48))*Impacts!$F$14,IF(('Loading-truck'!$C$21)&lt;&gt;"No control",SUMIF(('Loading-truck'!$B$31:$B$48),$J2250,('Loading-truck'!$E$31:$E$48))*Impacts!$F$14,0)),0)</f>
        <v>0</v>
      </c>
      <c r="S2250" s="10">
        <f>IFERROR(IF(('Loading-rail'!$C$21)="No control",SUMIF(('Loading-rail'!$B$31:$B$48),$J2250,('Loading-rail'!$D$31:$D$48))*Impacts!$F$15,IF(('Loading-rail'!$C$21)&lt;&gt;"No control",SUMIF(('Loading-rail'!$B$31:$B$48),$J2250,('Loading-rail'!$E$31:$E$48))*Impacts!$F$15,0)),0)</f>
        <v>0</v>
      </c>
      <c r="T2250" s="10">
        <f>IF(Flare!$C$7="",0,(SUMIF(Flare!$B$46:$B$185,$J2250,Flare!$E$46:$E$185)*Impacts!$F$16))</f>
        <v>0</v>
      </c>
      <c r="U2250" s="10">
        <f>IF(VCU!$C$9="",0,(SUMIF(VCU!$B$51:$B$193,$J2250,VCU!$E$51:$E$193)*Impacts!$F$17))</f>
        <v>0</v>
      </c>
      <c r="V2250" s="10">
        <f>IF(CAS!$C$7="",0,(SUMIF(CAS!$B$31:$B$167,$J2250,CAS!$E$31:$E$167)*Impacts!$F$18))</f>
        <v>0</v>
      </c>
      <c r="W2250" s="10">
        <f t="shared" si="75"/>
        <v>0</v>
      </c>
      <c r="AK2250" s="10" t="str">
        <f t="array" ref="AK2250">IFERROR(INDEX(SelectedSpecies,SMALL(IF(SelectedSpecies=AK$1,ROW(SelectedSpecies)),ROW(2251:2251)),2),"")</f>
        <v/>
      </c>
      <c r="BE2250" s="10"/>
      <c r="BI2250" s="10"/>
    </row>
    <row r="2251" spans="1:61" ht="21" customHeight="1" x14ac:dyDescent="0.25">
      <c r="A2251" s="10"/>
      <c r="B2251" s="10"/>
      <c r="E2251" s="10"/>
      <c r="G2251" s="10"/>
      <c r="I2251" s="436" t="s">
        <v>2937</v>
      </c>
      <c r="J2251" s="26" t="s">
        <v>2936</v>
      </c>
      <c r="K2251" s="10">
        <v>10</v>
      </c>
      <c r="L2251" s="73">
        <f>IF(Tank1!$C$23="No control",(SUMIF(Tank1!$B$32:$B$49,$J2251,Tank1!$C$32:$C$49)*Impacts!$F$8),0)</f>
        <v>0</v>
      </c>
      <c r="M2251" s="10">
        <f>IF(Tank2!$C$23="No control",(SUMIF(Tank2!$B$32:$B$49,$J2251,Tank2!$C$32:$C$49)*Impacts!$F$9),0)</f>
        <v>0</v>
      </c>
      <c r="N2251" s="10">
        <f>IF(Tank3!$C$23="No control",(SUMIF(Tank3!$B$32:$B$49,$J2251,Tank3!$C$32:$C$49)*Impacts!$F$10),0)</f>
        <v>0</v>
      </c>
      <c r="O2251" s="10">
        <f>IF(Tank4!$C$23="No control",(SUMIF(Tank4!$B$32:$B$49,$J2251,Tank4!$C$32:$C$49)*Impacts!$F$11),0)</f>
        <v>0</v>
      </c>
      <c r="P2251" s="10">
        <f>IF(Tank5!$C$23="No control",(SUMIF(Tank5!$B$32:$B$49,$J2251,Tank5!$C$32:$C$49)*Impacts!$F$12),0)</f>
        <v>0</v>
      </c>
      <c r="Q2251" s="10">
        <f>IFERROR(IF(('Loading-drum,tote'!$C$21)="No control",SUMIF(('Loading-drum,tote'!$B$31:$B$48),$J2251,('Loading-drum,tote'!$D$31:$D$48))*Impacts!$F$13,IF(('Loading-drum,tote'!$C$21)&lt;&gt;"No control",SUMIF(('Loading-drum,tote'!$B$31:$B$48),$J2251,('Loading-drum,tote'!$E$31:$E$48))*Impacts!$F$13,0)),0)</f>
        <v>0</v>
      </c>
      <c r="R2251" s="10">
        <f>IFERROR(IF(('Loading-truck'!$C$21)="No control",SUMIF(('Loading-truck'!$B$31:$B$48),$J2251,('Loading-truck'!$D$31:$D$48))*Impacts!$F$14,IF(('Loading-truck'!$C$21)&lt;&gt;"No control",SUMIF(('Loading-truck'!$B$31:$B$48),$J2251,('Loading-truck'!$E$31:$E$48))*Impacts!$F$14,0)),0)</f>
        <v>0</v>
      </c>
      <c r="S2251" s="10">
        <f>IFERROR(IF(('Loading-rail'!$C$21)="No control",SUMIF(('Loading-rail'!$B$31:$B$48),$J2251,('Loading-rail'!$D$31:$D$48))*Impacts!$F$15,IF(('Loading-rail'!$C$21)&lt;&gt;"No control",SUMIF(('Loading-rail'!$B$31:$B$48),$J2251,('Loading-rail'!$E$31:$E$48))*Impacts!$F$15,0)),0)</f>
        <v>0</v>
      </c>
      <c r="T2251" s="10">
        <f>IF(Flare!$C$7="",0,(SUMIF(Flare!$B$46:$B$185,$J2251,Flare!$E$46:$E$185)*Impacts!$F$16))</f>
        <v>0</v>
      </c>
      <c r="U2251" s="10">
        <f>IF(VCU!$C$9="",0,(SUMIF(VCU!$B$51:$B$193,$J2251,VCU!$E$51:$E$193)*Impacts!$F$17))</f>
        <v>0</v>
      </c>
      <c r="V2251" s="10">
        <f>IF(CAS!$C$7="",0,(SUMIF(CAS!$B$31:$B$167,$J2251,CAS!$E$31:$E$167)*Impacts!$F$18))</f>
        <v>0</v>
      </c>
      <c r="W2251" s="10">
        <f t="shared" si="75"/>
        <v>0</v>
      </c>
      <c r="AK2251" s="10" t="str">
        <f t="array" ref="AK2251">IFERROR(INDEX(SelectedSpecies,SMALL(IF(SelectedSpecies=AK$1,ROW(SelectedSpecies)),ROW(2252:2252)),2),"")</f>
        <v/>
      </c>
      <c r="BE2251" s="10"/>
      <c r="BI2251" s="10"/>
    </row>
    <row r="2252" spans="1:61" ht="21" customHeight="1" x14ac:dyDescent="0.25">
      <c r="A2252" s="10"/>
      <c r="B2252" s="10"/>
      <c r="E2252" s="10"/>
      <c r="G2252" s="10"/>
      <c r="I2252" s="436" t="s">
        <v>8064</v>
      </c>
      <c r="J2252" s="26" t="s">
        <v>8063</v>
      </c>
      <c r="K2252" s="10">
        <v>2.0000000000000004E-2</v>
      </c>
      <c r="L2252" s="73">
        <f>IF(Tank1!$C$23="No control",(SUMIF(Tank1!$B$32:$B$49,$J2252,Tank1!$C$32:$C$49)*Impacts!$F$8),0)</f>
        <v>0</v>
      </c>
      <c r="M2252" s="10">
        <f>IF(Tank2!$C$23="No control",(SUMIF(Tank2!$B$32:$B$49,$J2252,Tank2!$C$32:$C$49)*Impacts!$F$9),0)</f>
        <v>0</v>
      </c>
      <c r="N2252" s="10">
        <f>IF(Tank3!$C$23="No control",(SUMIF(Tank3!$B$32:$B$49,$J2252,Tank3!$C$32:$C$49)*Impacts!$F$10),0)</f>
        <v>0</v>
      </c>
      <c r="O2252" s="10">
        <f>IF(Tank4!$C$23="No control",(SUMIF(Tank4!$B$32:$B$49,$J2252,Tank4!$C$32:$C$49)*Impacts!$F$11),0)</f>
        <v>0</v>
      </c>
      <c r="P2252" s="10">
        <f>IF(Tank5!$C$23="No control",(SUMIF(Tank5!$B$32:$B$49,$J2252,Tank5!$C$32:$C$49)*Impacts!$F$12),0)</f>
        <v>0</v>
      </c>
      <c r="Q2252" s="10">
        <f>IFERROR(IF(('Loading-drum,tote'!$C$21)="No control",SUMIF(('Loading-drum,tote'!$B$31:$B$48),$J2252,('Loading-drum,tote'!$D$31:$D$48))*Impacts!$F$13,IF(('Loading-drum,tote'!$C$21)&lt;&gt;"No control",SUMIF(('Loading-drum,tote'!$B$31:$B$48),$J2252,('Loading-drum,tote'!$E$31:$E$48))*Impacts!$F$13,0)),0)</f>
        <v>0</v>
      </c>
      <c r="R2252" s="10">
        <f>IFERROR(IF(('Loading-truck'!$C$21)="No control",SUMIF(('Loading-truck'!$B$31:$B$48),$J2252,('Loading-truck'!$D$31:$D$48))*Impacts!$F$14,IF(('Loading-truck'!$C$21)&lt;&gt;"No control",SUMIF(('Loading-truck'!$B$31:$B$48),$J2252,('Loading-truck'!$E$31:$E$48))*Impacts!$F$14,0)),0)</f>
        <v>0</v>
      </c>
      <c r="S2252" s="10">
        <f>IFERROR(IF(('Loading-rail'!$C$21)="No control",SUMIF(('Loading-rail'!$B$31:$B$48),$J2252,('Loading-rail'!$D$31:$D$48))*Impacts!$F$15,IF(('Loading-rail'!$C$21)&lt;&gt;"No control",SUMIF(('Loading-rail'!$B$31:$B$48),$J2252,('Loading-rail'!$E$31:$E$48))*Impacts!$F$15,0)),0)</f>
        <v>0</v>
      </c>
      <c r="T2252" s="10">
        <f>IF(Flare!$C$7="",0,(SUMIF(Flare!$B$46:$B$185,$J2252,Flare!$E$46:$E$185)*Impacts!$F$16))</f>
        <v>0</v>
      </c>
      <c r="U2252" s="10">
        <f>IF(VCU!$C$9="",0,(SUMIF(VCU!$B$51:$B$193,$J2252,VCU!$E$51:$E$193)*Impacts!$F$17))</f>
        <v>0</v>
      </c>
      <c r="V2252" s="10">
        <f>IF(CAS!$C$7="",0,(SUMIF(CAS!$B$31:$B$167,$J2252,CAS!$E$31:$E$167)*Impacts!$F$18))</f>
        <v>0</v>
      </c>
      <c r="W2252" s="10">
        <f t="shared" si="75"/>
        <v>0</v>
      </c>
      <c r="AK2252" s="10" t="str">
        <f t="array" ref="AK2252">IFERROR(INDEX(SelectedSpecies,SMALL(IF(SelectedSpecies=AK$1,ROW(SelectedSpecies)),ROW(2253:2253)),2),"")</f>
        <v/>
      </c>
      <c r="BE2252" s="10"/>
      <c r="BI2252" s="10"/>
    </row>
    <row r="2253" spans="1:61" ht="21" customHeight="1" x14ac:dyDescent="0.25">
      <c r="A2253" s="10"/>
      <c r="B2253" s="10"/>
      <c r="E2253" s="10"/>
      <c r="G2253" s="10"/>
      <c r="I2253" s="436" t="s">
        <v>5351</v>
      </c>
      <c r="J2253" s="26" t="s">
        <v>5350</v>
      </c>
      <c r="K2253" s="10">
        <v>1.6</v>
      </c>
      <c r="L2253" s="73">
        <f>IF(Tank1!$C$23="No control",(SUMIF(Tank1!$B$32:$B$49,$J2253,Tank1!$C$32:$C$49)*Impacts!$F$8),0)</f>
        <v>0</v>
      </c>
      <c r="M2253" s="10">
        <f>IF(Tank2!$C$23="No control",(SUMIF(Tank2!$B$32:$B$49,$J2253,Tank2!$C$32:$C$49)*Impacts!$F$9),0)</f>
        <v>0</v>
      </c>
      <c r="N2253" s="10">
        <f>IF(Tank3!$C$23="No control",(SUMIF(Tank3!$B$32:$B$49,$J2253,Tank3!$C$32:$C$49)*Impacts!$F$10),0)</f>
        <v>0</v>
      </c>
      <c r="O2253" s="10">
        <f>IF(Tank4!$C$23="No control",(SUMIF(Tank4!$B$32:$B$49,$J2253,Tank4!$C$32:$C$49)*Impacts!$F$11),0)</f>
        <v>0</v>
      </c>
      <c r="P2253" s="10">
        <f>IF(Tank5!$C$23="No control",(SUMIF(Tank5!$B$32:$B$49,$J2253,Tank5!$C$32:$C$49)*Impacts!$F$12),0)</f>
        <v>0</v>
      </c>
      <c r="Q2253" s="10">
        <f>IFERROR(IF(('Loading-drum,tote'!$C$21)="No control",SUMIF(('Loading-drum,tote'!$B$31:$B$48),$J2253,('Loading-drum,tote'!$D$31:$D$48))*Impacts!$F$13,IF(('Loading-drum,tote'!$C$21)&lt;&gt;"No control",SUMIF(('Loading-drum,tote'!$B$31:$B$48),$J2253,('Loading-drum,tote'!$E$31:$E$48))*Impacts!$F$13,0)),0)</f>
        <v>0</v>
      </c>
      <c r="R2253" s="10">
        <f>IFERROR(IF(('Loading-truck'!$C$21)="No control",SUMIF(('Loading-truck'!$B$31:$B$48),$J2253,('Loading-truck'!$D$31:$D$48))*Impacts!$F$14,IF(('Loading-truck'!$C$21)&lt;&gt;"No control",SUMIF(('Loading-truck'!$B$31:$B$48),$J2253,('Loading-truck'!$E$31:$E$48))*Impacts!$F$14,0)),0)</f>
        <v>0</v>
      </c>
      <c r="S2253" s="10">
        <f>IFERROR(IF(('Loading-rail'!$C$21)="No control",SUMIF(('Loading-rail'!$B$31:$B$48),$J2253,('Loading-rail'!$D$31:$D$48))*Impacts!$F$15,IF(('Loading-rail'!$C$21)&lt;&gt;"No control",SUMIF(('Loading-rail'!$B$31:$B$48),$J2253,('Loading-rail'!$E$31:$E$48))*Impacts!$F$15,0)),0)</f>
        <v>0</v>
      </c>
      <c r="T2253" s="10">
        <f>IF(Flare!$C$7="",0,(SUMIF(Flare!$B$46:$B$185,$J2253,Flare!$E$46:$E$185)*Impacts!$F$16))</f>
        <v>0</v>
      </c>
      <c r="U2253" s="10">
        <f>IF(VCU!$C$9="",0,(SUMIF(VCU!$B$51:$B$193,$J2253,VCU!$E$51:$E$193)*Impacts!$F$17))</f>
        <v>0</v>
      </c>
      <c r="V2253" s="10">
        <f>IF(CAS!$C$7="",0,(SUMIF(CAS!$B$31:$B$167,$J2253,CAS!$E$31:$E$167)*Impacts!$F$18))</f>
        <v>0</v>
      </c>
      <c r="W2253" s="10">
        <f t="shared" si="75"/>
        <v>0</v>
      </c>
      <c r="AK2253" s="10" t="str">
        <f t="array" ref="AK2253">IFERROR(INDEX(SelectedSpecies,SMALL(IF(SelectedSpecies=AK$1,ROW(SelectedSpecies)),ROW(2254:2254)),2),"")</f>
        <v/>
      </c>
      <c r="BE2253" s="10"/>
      <c r="BI2253" s="10"/>
    </row>
    <row r="2254" spans="1:61" ht="21" customHeight="1" x14ac:dyDescent="0.25">
      <c r="A2254" s="10"/>
      <c r="B2254" s="10"/>
      <c r="E2254" s="10"/>
      <c r="G2254" s="10"/>
      <c r="I2254" s="436" t="s">
        <v>8090</v>
      </c>
      <c r="J2254" s="26" t="s">
        <v>8089</v>
      </c>
      <c r="K2254" s="10">
        <v>1.2E-2</v>
      </c>
      <c r="L2254" s="73">
        <f>IF(Tank1!$C$23="No control",(SUMIF(Tank1!$B$32:$B$49,$J2254,Tank1!$C$32:$C$49)*Impacts!$F$8),0)</f>
        <v>0</v>
      </c>
      <c r="M2254" s="10">
        <f>IF(Tank2!$C$23="No control",(SUMIF(Tank2!$B$32:$B$49,$J2254,Tank2!$C$32:$C$49)*Impacts!$F$9),0)</f>
        <v>0</v>
      </c>
      <c r="N2254" s="10">
        <f>IF(Tank3!$C$23="No control",(SUMIF(Tank3!$B$32:$B$49,$J2254,Tank3!$C$32:$C$49)*Impacts!$F$10),0)</f>
        <v>0</v>
      </c>
      <c r="O2254" s="10">
        <f>IF(Tank4!$C$23="No control",(SUMIF(Tank4!$B$32:$B$49,$J2254,Tank4!$C$32:$C$49)*Impacts!$F$11),0)</f>
        <v>0</v>
      </c>
      <c r="P2254" s="10">
        <f>IF(Tank5!$C$23="No control",(SUMIF(Tank5!$B$32:$B$49,$J2254,Tank5!$C$32:$C$49)*Impacts!$F$12),0)</f>
        <v>0</v>
      </c>
      <c r="Q2254" s="10">
        <f>IFERROR(IF(('Loading-drum,tote'!$C$21)="No control",SUMIF(('Loading-drum,tote'!$B$31:$B$48),$J2254,('Loading-drum,tote'!$D$31:$D$48))*Impacts!$F$13,IF(('Loading-drum,tote'!$C$21)&lt;&gt;"No control",SUMIF(('Loading-drum,tote'!$B$31:$B$48),$J2254,('Loading-drum,tote'!$E$31:$E$48))*Impacts!$F$13,0)),0)</f>
        <v>0</v>
      </c>
      <c r="R2254" s="10">
        <f>IFERROR(IF(('Loading-truck'!$C$21)="No control",SUMIF(('Loading-truck'!$B$31:$B$48),$J2254,('Loading-truck'!$D$31:$D$48))*Impacts!$F$14,IF(('Loading-truck'!$C$21)&lt;&gt;"No control",SUMIF(('Loading-truck'!$B$31:$B$48),$J2254,('Loading-truck'!$E$31:$E$48))*Impacts!$F$14,0)),0)</f>
        <v>0</v>
      </c>
      <c r="S2254" s="10">
        <f>IFERROR(IF(('Loading-rail'!$C$21)="No control",SUMIF(('Loading-rail'!$B$31:$B$48),$J2254,('Loading-rail'!$D$31:$D$48))*Impacts!$F$15,IF(('Loading-rail'!$C$21)&lt;&gt;"No control",SUMIF(('Loading-rail'!$B$31:$B$48),$J2254,('Loading-rail'!$E$31:$E$48))*Impacts!$F$15,0)),0)</f>
        <v>0</v>
      </c>
      <c r="T2254" s="10">
        <f>IF(Flare!$C$7="",0,(SUMIF(Flare!$B$46:$B$185,$J2254,Flare!$E$46:$E$185)*Impacts!$F$16))</f>
        <v>0</v>
      </c>
      <c r="U2254" s="10">
        <f>IF(VCU!$C$9="",0,(SUMIF(VCU!$B$51:$B$193,$J2254,VCU!$E$51:$E$193)*Impacts!$F$17))</f>
        <v>0</v>
      </c>
      <c r="V2254" s="10">
        <f>IF(CAS!$C$7="",0,(SUMIF(CAS!$B$31:$B$167,$J2254,CAS!$E$31:$E$167)*Impacts!$F$18))</f>
        <v>0</v>
      </c>
      <c r="W2254" s="10">
        <f t="shared" si="75"/>
        <v>0</v>
      </c>
      <c r="AK2254" s="10" t="str">
        <f t="array" ref="AK2254">IFERROR(INDEX(SelectedSpecies,SMALL(IF(SelectedSpecies=AK$1,ROW(SelectedSpecies)),ROW(2255:2255)),2),"")</f>
        <v/>
      </c>
      <c r="BE2254" s="10"/>
      <c r="BI2254" s="10"/>
    </row>
    <row r="2255" spans="1:61" ht="21" customHeight="1" x14ac:dyDescent="0.25">
      <c r="A2255" s="10"/>
      <c r="B2255" s="10"/>
      <c r="E2255" s="10"/>
      <c r="G2255" s="10"/>
      <c r="I2255" s="436" t="s">
        <v>4665</v>
      </c>
      <c r="J2255" s="26" t="s">
        <v>4664</v>
      </c>
      <c r="K2255" s="10">
        <v>3.7</v>
      </c>
      <c r="L2255" s="73">
        <f>IF(Tank1!$C$23="No control",(SUMIF(Tank1!$B$32:$B$49,$J2255,Tank1!$C$32:$C$49)*Impacts!$F$8),0)</f>
        <v>0</v>
      </c>
      <c r="M2255" s="10">
        <f>IF(Tank2!$C$23="No control",(SUMIF(Tank2!$B$32:$B$49,$J2255,Tank2!$C$32:$C$49)*Impacts!$F$9),0)</f>
        <v>0</v>
      </c>
      <c r="N2255" s="10">
        <f>IF(Tank3!$C$23="No control",(SUMIF(Tank3!$B$32:$B$49,$J2255,Tank3!$C$32:$C$49)*Impacts!$F$10),0)</f>
        <v>0</v>
      </c>
      <c r="O2255" s="10">
        <f>IF(Tank4!$C$23="No control",(SUMIF(Tank4!$B$32:$B$49,$J2255,Tank4!$C$32:$C$49)*Impacts!$F$11),0)</f>
        <v>0</v>
      </c>
      <c r="P2255" s="10">
        <f>IF(Tank5!$C$23="No control",(SUMIF(Tank5!$B$32:$B$49,$J2255,Tank5!$C$32:$C$49)*Impacts!$F$12),0)</f>
        <v>0</v>
      </c>
      <c r="Q2255" s="10">
        <f>IFERROR(IF(('Loading-drum,tote'!$C$21)="No control",SUMIF(('Loading-drum,tote'!$B$31:$B$48),$J2255,('Loading-drum,tote'!$D$31:$D$48))*Impacts!$F$13,IF(('Loading-drum,tote'!$C$21)&lt;&gt;"No control",SUMIF(('Loading-drum,tote'!$B$31:$B$48),$J2255,('Loading-drum,tote'!$E$31:$E$48))*Impacts!$F$13,0)),0)</f>
        <v>0</v>
      </c>
      <c r="R2255" s="10">
        <f>IFERROR(IF(('Loading-truck'!$C$21)="No control",SUMIF(('Loading-truck'!$B$31:$B$48),$J2255,('Loading-truck'!$D$31:$D$48))*Impacts!$F$14,IF(('Loading-truck'!$C$21)&lt;&gt;"No control",SUMIF(('Loading-truck'!$B$31:$B$48),$J2255,('Loading-truck'!$E$31:$E$48))*Impacts!$F$14,0)),0)</f>
        <v>0</v>
      </c>
      <c r="S2255" s="10">
        <f>IFERROR(IF(('Loading-rail'!$C$21)="No control",SUMIF(('Loading-rail'!$B$31:$B$48),$J2255,('Loading-rail'!$D$31:$D$48))*Impacts!$F$15,IF(('Loading-rail'!$C$21)&lt;&gt;"No control",SUMIF(('Loading-rail'!$B$31:$B$48),$J2255,('Loading-rail'!$E$31:$E$48))*Impacts!$F$15,0)),0)</f>
        <v>0</v>
      </c>
      <c r="T2255" s="10">
        <f>IF(Flare!$C$7="",0,(SUMIF(Flare!$B$46:$B$185,$J2255,Flare!$E$46:$E$185)*Impacts!$F$16))</f>
        <v>0</v>
      </c>
      <c r="U2255" s="10">
        <f>IF(VCU!$C$9="",0,(SUMIF(VCU!$B$51:$B$193,$J2255,VCU!$E$51:$E$193)*Impacts!$F$17))</f>
        <v>0</v>
      </c>
      <c r="V2255" s="10">
        <f>IF(CAS!$C$7="",0,(SUMIF(CAS!$B$31:$B$167,$J2255,CAS!$E$31:$E$167)*Impacts!$F$18))</f>
        <v>0</v>
      </c>
      <c r="W2255" s="10">
        <f t="shared" si="75"/>
        <v>0</v>
      </c>
      <c r="AK2255" s="10" t="str">
        <f t="array" ref="AK2255">IFERROR(INDEX(SelectedSpecies,SMALL(IF(SelectedSpecies=AK$1,ROW(SelectedSpecies)),ROW(2256:2256)),2),"")</f>
        <v/>
      </c>
      <c r="BE2255" s="10"/>
      <c r="BI2255" s="10"/>
    </row>
    <row r="2256" spans="1:61" ht="21" customHeight="1" x14ac:dyDescent="0.25">
      <c r="A2256" s="10"/>
      <c r="B2256" s="10"/>
      <c r="E2256" s="10"/>
      <c r="G2256" s="10"/>
      <c r="I2256" s="436" t="s">
        <v>4075</v>
      </c>
      <c r="J2256" s="26" t="s">
        <v>4074</v>
      </c>
      <c r="K2256" s="10">
        <v>5.7</v>
      </c>
      <c r="L2256" s="73">
        <f>IF(Tank1!$C$23="No control",(SUMIF(Tank1!$B$32:$B$49,$J2256,Tank1!$C$32:$C$49)*Impacts!$F$8),0)</f>
        <v>0</v>
      </c>
      <c r="M2256" s="10">
        <f>IF(Tank2!$C$23="No control",(SUMIF(Tank2!$B$32:$B$49,$J2256,Tank2!$C$32:$C$49)*Impacts!$F$9),0)</f>
        <v>0</v>
      </c>
      <c r="N2256" s="10">
        <f>IF(Tank3!$C$23="No control",(SUMIF(Tank3!$B$32:$B$49,$J2256,Tank3!$C$32:$C$49)*Impacts!$F$10),0)</f>
        <v>0</v>
      </c>
      <c r="O2256" s="10">
        <f>IF(Tank4!$C$23="No control",(SUMIF(Tank4!$B$32:$B$49,$J2256,Tank4!$C$32:$C$49)*Impacts!$F$11),0)</f>
        <v>0</v>
      </c>
      <c r="P2256" s="10">
        <f>IF(Tank5!$C$23="No control",(SUMIF(Tank5!$B$32:$B$49,$J2256,Tank5!$C$32:$C$49)*Impacts!$F$12),0)</f>
        <v>0</v>
      </c>
      <c r="Q2256" s="10">
        <f>IFERROR(IF(('Loading-drum,tote'!$C$21)="No control",SUMIF(('Loading-drum,tote'!$B$31:$B$48),$J2256,('Loading-drum,tote'!$D$31:$D$48))*Impacts!$F$13,IF(('Loading-drum,tote'!$C$21)&lt;&gt;"No control",SUMIF(('Loading-drum,tote'!$B$31:$B$48),$J2256,('Loading-drum,tote'!$E$31:$E$48))*Impacts!$F$13,0)),0)</f>
        <v>0</v>
      </c>
      <c r="R2256" s="10">
        <f>IFERROR(IF(('Loading-truck'!$C$21)="No control",SUMIF(('Loading-truck'!$B$31:$B$48),$J2256,('Loading-truck'!$D$31:$D$48))*Impacts!$F$14,IF(('Loading-truck'!$C$21)&lt;&gt;"No control",SUMIF(('Loading-truck'!$B$31:$B$48),$J2256,('Loading-truck'!$E$31:$E$48))*Impacts!$F$14,0)),0)</f>
        <v>0</v>
      </c>
      <c r="S2256" s="10">
        <f>IFERROR(IF(('Loading-rail'!$C$21)="No control",SUMIF(('Loading-rail'!$B$31:$B$48),$J2256,('Loading-rail'!$D$31:$D$48))*Impacts!$F$15,IF(('Loading-rail'!$C$21)&lt;&gt;"No control",SUMIF(('Loading-rail'!$B$31:$B$48),$J2256,('Loading-rail'!$E$31:$E$48))*Impacts!$F$15,0)),0)</f>
        <v>0</v>
      </c>
      <c r="T2256" s="10">
        <f>IF(Flare!$C$7="",0,(SUMIF(Flare!$B$46:$B$185,$J2256,Flare!$E$46:$E$185)*Impacts!$F$16))</f>
        <v>0</v>
      </c>
      <c r="U2256" s="10">
        <f>IF(VCU!$C$9="",0,(SUMIF(VCU!$B$51:$B$193,$J2256,VCU!$E$51:$E$193)*Impacts!$F$17))</f>
        <v>0</v>
      </c>
      <c r="V2256" s="10">
        <f>IF(CAS!$C$7="",0,(SUMIF(CAS!$B$31:$B$167,$J2256,CAS!$E$31:$E$167)*Impacts!$F$18))</f>
        <v>0</v>
      </c>
      <c r="W2256" s="10">
        <f t="shared" si="75"/>
        <v>0</v>
      </c>
      <c r="AK2256" s="10" t="str">
        <f t="array" ref="AK2256">IFERROR(INDEX(SelectedSpecies,SMALL(IF(SelectedSpecies=AK$1,ROW(SelectedSpecies)),ROW(2257:2257)),2),"")</f>
        <v/>
      </c>
      <c r="BE2256" s="10"/>
      <c r="BI2256" s="10"/>
    </row>
    <row r="2257" spans="1:61" ht="21" customHeight="1" x14ac:dyDescent="0.25">
      <c r="A2257" s="10"/>
      <c r="B2257" s="10"/>
      <c r="E2257" s="10"/>
      <c r="G2257" s="10"/>
      <c r="I2257" s="436" t="s">
        <v>7100</v>
      </c>
      <c r="J2257" s="26" t="s">
        <v>7099</v>
      </c>
      <c r="K2257" s="10">
        <v>0.4</v>
      </c>
      <c r="L2257" s="73">
        <f>IF(Tank1!$C$23="No control",(SUMIF(Tank1!$B$32:$B$49,$J2257,Tank1!$C$32:$C$49)*Impacts!$F$8),0)</f>
        <v>0</v>
      </c>
      <c r="M2257" s="10">
        <f>IF(Tank2!$C$23="No control",(SUMIF(Tank2!$B$32:$B$49,$J2257,Tank2!$C$32:$C$49)*Impacts!$F$9),0)</f>
        <v>0</v>
      </c>
      <c r="N2257" s="10">
        <f>IF(Tank3!$C$23="No control",(SUMIF(Tank3!$B$32:$B$49,$J2257,Tank3!$C$32:$C$49)*Impacts!$F$10),0)</f>
        <v>0</v>
      </c>
      <c r="O2257" s="10">
        <f>IF(Tank4!$C$23="No control",(SUMIF(Tank4!$B$32:$B$49,$J2257,Tank4!$C$32:$C$49)*Impacts!$F$11),0)</f>
        <v>0</v>
      </c>
      <c r="P2257" s="10">
        <f>IF(Tank5!$C$23="No control",(SUMIF(Tank5!$B$32:$B$49,$J2257,Tank5!$C$32:$C$49)*Impacts!$F$12),0)</f>
        <v>0</v>
      </c>
      <c r="Q2257" s="10">
        <f>IFERROR(IF(('Loading-drum,tote'!$C$21)="No control",SUMIF(('Loading-drum,tote'!$B$31:$B$48),$J2257,('Loading-drum,tote'!$D$31:$D$48))*Impacts!$F$13,IF(('Loading-drum,tote'!$C$21)&lt;&gt;"No control",SUMIF(('Loading-drum,tote'!$B$31:$B$48),$J2257,('Loading-drum,tote'!$E$31:$E$48))*Impacts!$F$13,0)),0)</f>
        <v>0</v>
      </c>
      <c r="R2257" s="10">
        <f>IFERROR(IF(('Loading-truck'!$C$21)="No control",SUMIF(('Loading-truck'!$B$31:$B$48),$J2257,('Loading-truck'!$D$31:$D$48))*Impacts!$F$14,IF(('Loading-truck'!$C$21)&lt;&gt;"No control",SUMIF(('Loading-truck'!$B$31:$B$48),$J2257,('Loading-truck'!$E$31:$E$48))*Impacts!$F$14,0)),0)</f>
        <v>0</v>
      </c>
      <c r="S2257" s="10">
        <f>IFERROR(IF(('Loading-rail'!$C$21)="No control",SUMIF(('Loading-rail'!$B$31:$B$48),$J2257,('Loading-rail'!$D$31:$D$48))*Impacts!$F$15,IF(('Loading-rail'!$C$21)&lt;&gt;"No control",SUMIF(('Loading-rail'!$B$31:$B$48),$J2257,('Loading-rail'!$E$31:$E$48))*Impacts!$F$15,0)),0)</f>
        <v>0</v>
      </c>
      <c r="T2257" s="10">
        <f>IF(Flare!$C$7="",0,(SUMIF(Flare!$B$46:$B$185,$J2257,Flare!$E$46:$E$185)*Impacts!$F$16))</f>
        <v>0</v>
      </c>
      <c r="U2257" s="10">
        <f>IF(VCU!$C$9="",0,(SUMIF(VCU!$B$51:$B$193,$J2257,VCU!$E$51:$E$193)*Impacts!$F$17))</f>
        <v>0</v>
      </c>
      <c r="V2257" s="10">
        <f>IF(CAS!$C$7="",0,(SUMIF(CAS!$B$31:$B$167,$J2257,CAS!$E$31:$E$167)*Impacts!$F$18))</f>
        <v>0</v>
      </c>
      <c r="W2257" s="10">
        <f t="shared" si="75"/>
        <v>0</v>
      </c>
      <c r="AK2257" s="10" t="str">
        <f t="array" ref="AK2257">IFERROR(INDEX(SelectedSpecies,SMALL(IF(SelectedSpecies=AK$1,ROW(SelectedSpecies)),ROW(2258:2258)),2),"")</f>
        <v/>
      </c>
      <c r="BE2257" s="10"/>
      <c r="BI2257" s="10"/>
    </row>
    <row r="2258" spans="1:61" ht="21" customHeight="1" x14ac:dyDescent="0.25">
      <c r="A2258" s="10"/>
      <c r="B2258" s="10"/>
      <c r="E2258" s="10"/>
      <c r="G2258" s="10"/>
      <c r="I2258" s="436" t="s">
        <v>710</v>
      </c>
      <c r="J2258" s="26" t="s">
        <v>709</v>
      </c>
      <c r="K2258" s="10">
        <v>57</v>
      </c>
      <c r="L2258" s="73">
        <f>IF(Tank1!$C$23="No control",(SUMIF(Tank1!$B$32:$B$49,$J2258,Tank1!$C$32:$C$49)*Impacts!$F$8),0)</f>
        <v>0</v>
      </c>
      <c r="M2258" s="10">
        <f>IF(Tank2!$C$23="No control",(SUMIF(Tank2!$B$32:$B$49,$J2258,Tank2!$C$32:$C$49)*Impacts!$F$9),0)</f>
        <v>0</v>
      </c>
      <c r="N2258" s="10">
        <f>IF(Tank3!$C$23="No control",(SUMIF(Tank3!$B$32:$B$49,$J2258,Tank3!$C$32:$C$49)*Impacts!$F$10),0)</f>
        <v>0</v>
      </c>
      <c r="O2258" s="10">
        <f>IF(Tank4!$C$23="No control",(SUMIF(Tank4!$B$32:$B$49,$J2258,Tank4!$C$32:$C$49)*Impacts!$F$11),0)</f>
        <v>0</v>
      </c>
      <c r="P2258" s="10">
        <f>IF(Tank5!$C$23="No control",(SUMIF(Tank5!$B$32:$B$49,$J2258,Tank5!$C$32:$C$49)*Impacts!$F$12),0)</f>
        <v>0</v>
      </c>
      <c r="Q2258" s="10">
        <f>IFERROR(IF(('Loading-drum,tote'!$C$21)="No control",SUMIF(('Loading-drum,tote'!$B$31:$B$48),$J2258,('Loading-drum,tote'!$D$31:$D$48))*Impacts!$F$13,IF(('Loading-drum,tote'!$C$21)&lt;&gt;"No control",SUMIF(('Loading-drum,tote'!$B$31:$B$48),$J2258,('Loading-drum,tote'!$E$31:$E$48))*Impacts!$F$13,0)),0)</f>
        <v>0</v>
      </c>
      <c r="R2258" s="10">
        <f>IFERROR(IF(('Loading-truck'!$C$21)="No control",SUMIF(('Loading-truck'!$B$31:$B$48),$J2258,('Loading-truck'!$D$31:$D$48))*Impacts!$F$14,IF(('Loading-truck'!$C$21)&lt;&gt;"No control",SUMIF(('Loading-truck'!$B$31:$B$48),$J2258,('Loading-truck'!$E$31:$E$48))*Impacts!$F$14,0)),0)</f>
        <v>0</v>
      </c>
      <c r="S2258" s="10">
        <f>IFERROR(IF(('Loading-rail'!$C$21)="No control",SUMIF(('Loading-rail'!$B$31:$B$48),$J2258,('Loading-rail'!$D$31:$D$48))*Impacts!$F$15,IF(('Loading-rail'!$C$21)&lt;&gt;"No control",SUMIF(('Loading-rail'!$B$31:$B$48),$J2258,('Loading-rail'!$E$31:$E$48))*Impacts!$F$15,0)),0)</f>
        <v>0</v>
      </c>
      <c r="T2258" s="10">
        <f>IF(Flare!$C$7="",0,(SUMIF(Flare!$B$46:$B$185,$J2258,Flare!$E$46:$E$185)*Impacts!$F$16))</f>
        <v>0</v>
      </c>
      <c r="U2258" s="10">
        <f>IF(VCU!$C$9="",0,(SUMIF(VCU!$B$51:$B$193,$J2258,VCU!$E$51:$E$193)*Impacts!$F$17))</f>
        <v>0</v>
      </c>
      <c r="V2258" s="10">
        <f>IF(CAS!$C$7="",0,(SUMIF(CAS!$B$31:$B$167,$J2258,CAS!$E$31:$E$167)*Impacts!$F$18))</f>
        <v>0</v>
      </c>
      <c r="W2258" s="10">
        <f t="shared" si="75"/>
        <v>0</v>
      </c>
      <c r="AK2258" s="10" t="str">
        <f t="array" ref="AK2258">IFERROR(INDEX(SelectedSpecies,SMALL(IF(SelectedSpecies=AK$1,ROW(SelectedSpecies)),ROW(2259:2259)),2),"")</f>
        <v/>
      </c>
      <c r="BE2258" s="10"/>
      <c r="BI2258" s="10"/>
    </row>
    <row r="2259" spans="1:61" ht="21" customHeight="1" x14ac:dyDescent="0.25">
      <c r="A2259" s="10"/>
      <c r="B2259" s="10"/>
      <c r="E2259" s="10"/>
      <c r="G2259" s="10"/>
      <c r="I2259" s="436" t="s">
        <v>1855</v>
      </c>
      <c r="J2259" s="26" t="s">
        <v>1854</v>
      </c>
      <c r="K2259" s="10">
        <v>20</v>
      </c>
      <c r="L2259" s="73">
        <f>IF(Tank1!$C$23="No control",(SUMIF(Tank1!$B$32:$B$49,$J2259,Tank1!$C$32:$C$49)*Impacts!$F$8),0)</f>
        <v>0</v>
      </c>
      <c r="M2259" s="10">
        <f>IF(Tank2!$C$23="No control",(SUMIF(Tank2!$B$32:$B$49,$J2259,Tank2!$C$32:$C$49)*Impacts!$F$9),0)</f>
        <v>0</v>
      </c>
      <c r="N2259" s="10">
        <f>IF(Tank3!$C$23="No control",(SUMIF(Tank3!$B$32:$B$49,$J2259,Tank3!$C$32:$C$49)*Impacts!$F$10),0)</f>
        <v>0</v>
      </c>
      <c r="O2259" s="10">
        <f>IF(Tank4!$C$23="No control",(SUMIF(Tank4!$B$32:$B$49,$J2259,Tank4!$C$32:$C$49)*Impacts!$F$11),0)</f>
        <v>0</v>
      </c>
      <c r="P2259" s="10">
        <f>IF(Tank5!$C$23="No control",(SUMIF(Tank5!$B$32:$B$49,$J2259,Tank5!$C$32:$C$49)*Impacts!$F$12),0)</f>
        <v>0</v>
      </c>
      <c r="Q2259" s="10">
        <f>IFERROR(IF(('Loading-drum,tote'!$C$21)="No control",SUMIF(('Loading-drum,tote'!$B$31:$B$48),$J2259,('Loading-drum,tote'!$D$31:$D$48))*Impacts!$F$13,IF(('Loading-drum,tote'!$C$21)&lt;&gt;"No control",SUMIF(('Loading-drum,tote'!$B$31:$B$48),$J2259,('Loading-drum,tote'!$E$31:$E$48))*Impacts!$F$13,0)),0)</f>
        <v>0</v>
      </c>
      <c r="R2259" s="10">
        <f>IFERROR(IF(('Loading-truck'!$C$21)="No control",SUMIF(('Loading-truck'!$B$31:$B$48),$J2259,('Loading-truck'!$D$31:$D$48))*Impacts!$F$14,IF(('Loading-truck'!$C$21)&lt;&gt;"No control",SUMIF(('Loading-truck'!$B$31:$B$48),$J2259,('Loading-truck'!$E$31:$E$48))*Impacts!$F$14,0)),0)</f>
        <v>0</v>
      </c>
      <c r="S2259" s="10">
        <f>IFERROR(IF(('Loading-rail'!$C$21)="No control",SUMIF(('Loading-rail'!$B$31:$B$48),$J2259,('Loading-rail'!$D$31:$D$48))*Impacts!$F$15,IF(('Loading-rail'!$C$21)&lt;&gt;"No control",SUMIF(('Loading-rail'!$B$31:$B$48),$J2259,('Loading-rail'!$E$31:$E$48))*Impacts!$F$15,0)),0)</f>
        <v>0</v>
      </c>
      <c r="T2259" s="10">
        <f>IF(Flare!$C$7="",0,(SUMIF(Flare!$B$46:$B$185,$J2259,Flare!$E$46:$E$185)*Impacts!$F$16))</f>
        <v>0</v>
      </c>
      <c r="U2259" s="10">
        <f>IF(VCU!$C$9="",0,(SUMIF(VCU!$B$51:$B$193,$J2259,VCU!$E$51:$E$193)*Impacts!$F$17))</f>
        <v>0</v>
      </c>
      <c r="V2259" s="10">
        <f>IF(CAS!$C$7="",0,(SUMIF(CAS!$B$31:$B$167,$J2259,CAS!$E$31:$E$167)*Impacts!$F$18))</f>
        <v>0</v>
      </c>
      <c r="W2259" s="10">
        <f t="shared" si="75"/>
        <v>0</v>
      </c>
      <c r="AK2259" s="10" t="str">
        <f t="array" ref="AK2259">IFERROR(INDEX(SelectedSpecies,SMALL(IF(SelectedSpecies=AK$1,ROW(SelectedSpecies)),ROW(2260:2260)),2),"")</f>
        <v/>
      </c>
      <c r="BE2259" s="10"/>
      <c r="BI2259" s="10"/>
    </row>
    <row r="2260" spans="1:61" ht="21" customHeight="1" x14ac:dyDescent="0.25">
      <c r="A2260" s="10"/>
      <c r="B2260" s="10"/>
      <c r="E2260" s="10"/>
      <c r="G2260" s="10"/>
      <c r="I2260" s="436" t="s">
        <v>4297</v>
      </c>
      <c r="J2260" s="26" t="s">
        <v>4296</v>
      </c>
      <c r="K2260" s="10">
        <v>5</v>
      </c>
      <c r="L2260" s="73">
        <f>IF(Tank1!$C$23="No control",(SUMIF(Tank1!$B$32:$B$49,$J2260,Tank1!$C$32:$C$49)*Impacts!$F$8),0)</f>
        <v>0</v>
      </c>
      <c r="M2260" s="10">
        <f>IF(Tank2!$C$23="No control",(SUMIF(Tank2!$B$32:$B$49,$J2260,Tank2!$C$32:$C$49)*Impacts!$F$9),0)</f>
        <v>0</v>
      </c>
      <c r="N2260" s="10">
        <f>IF(Tank3!$C$23="No control",(SUMIF(Tank3!$B$32:$B$49,$J2260,Tank3!$C$32:$C$49)*Impacts!$F$10),0)</f>
        <v>0</v>
      </c>
      <c r="O2260" s="10">
        <f>IF(Tank4!$C$23="No control",(SUMIF(Tank4!$B$32:$B$49,$J2260,Tank4!$C$32:$C$49)*Impacts!$F$11),0)</f>
        <v>0</v>
      </c>
      <c r="P2260" s="10">
        <f>IF(Tank5!$C$23="No control",(SUMIF(Tank5!$B$32:$B$49,$J2260,Tank5!$C$32:$C$49)*Impacts!$F$12),0)</f>
        <v>0</v>
      </c>
      <c r="Q2260" s="10">
        <f>IFERROR(IF(('Loading-drum,tote'!$C$21)="No control",SUMIF(('Loading-drum,tote'!$B$31:$B$48),$J2260,('Loading-drum,tote'!$D$31:$D$48))*Impacts!$F$13,IF(('Loading-drum,tote'!$C$21)&lt;&gt;"No control",SUMIF(('Loading-drum,tote'!$B$31:$B$48),$J2260,('Loading-drum,tote'!$E$31:$E$48))*Impacts!$F$13,0)),0)</f>
        <v>0</v>
      </c>
      <c r="R2260" s="10">
        <f>IFERROR(IF(('Loading-truck'!$C$21)="No control",SUMIF(('Loading-truck'!$B$31:$B$48),$J2260,('Loading-truck'!$D$31:$D$48))*Impacts!$F$14,IF(('Loading-truck'!$C$21)&lt;&gt;"No control",SUMIF(('Loading-truck'!$B$31:$B$48),$J2260,('Loading-truck'!$E$31:$E$48))*Impacts!$F$14,0)),0)</f>
        <v>0</v>
      </c>
      <c r="S2260" s="10">
        <f>IFERROR(IF(('Loading-rail'!$C$21)="No control",SUMIF(('Loading-rail'!$B$31:$B$48),$J2260,('Loading-rail'!$D$31:$D$48))*Impacts!$F$15,IF(('Loading-rail'!$C$21)&lt;&gt;"No control",SUMIF(('Loading-rail'!$B$31:$B$48),$J2260,('Loading-rail'!$E$31:$E$48))*Impacts!$F$15,0)),0)</f>
        <v>0</v>
      </c>
      <c r="T2260" s="10">
        <f>IF(Flare!$C$7="",0,(SUMIF(Flare!$B$46:$B$185,$J2260,Flare!$E$46:$E$185)*Impacts!$F$16))</f>
        <v>0</v>
      </c>
      <c r="U2260" s="10">
        <f>IF(VCU!$C$9="",0,(SUMIF(VCU!$B$51:$B$193,$J2260,VCU!$E$51:$E$193)*Impacts!$F$17))</f>
        <v>0</v>
      </c>
      <c r="V2260" s="10">
        <f>IF(CAS!$C$7="",0,(SUMIF(CAS!$B$31:$B$167,$J2260,CAS!$E$31:$E$167)*Impacts!$F$18))</f>
        <v>0</v>
      </c>
      <c r="W2260" s="10">
        <f t="shared" si="75"/>
        <v>0</v>
      </c>
      <c r="AK2260" s="10" t="str">
        <f t="array" ref="AK2260">IFERROR(INDEX(SelectedSpecies,SMALL(IF(SelectedSpecies=AK$1,ROW(SelectedSpecies)),ROW(2261:2261)),2),"")</f>
        <v/>
      </c>
      <c r="BE2260" s="10"/>
      <c r="BI2260" s="10"/>
    </row>
    <row r="2261" spans="1:61" ht="21" customHeight="1" x14ac:dyDescent="0.25">
      <c r="A2261" s="10"/>
      <c r="B2261" s="10"/>
      <c r="E2261" s="10"/>
      <c r="G2261" s="10"/>
      <c r="I2261" s="436" t="s">
        <v>3551</v>
      </c>
      <c r="J2261" s="26" t="s">
        <v>3550</v>
      </c>
      <c r="K2261" s="10">
        <v>8.4</v>
      </c>
      <c r="L2261" s="73">
        <f>IF(Tank1!$C$23="No control",(SUMIF(Tank1!$B$32:$B$49,$J2261,Tank1!$C$32:$C$49)*Impacts!$F$8),0)</f>
        <v>0</v>
      </c>
      <c r="M2261" s="10">
        <f>IF(Tank2!$C$23="No control",(SUMIF(Tank2!$B$32:$B$49,$J2261,Tank2!$C$32:$C$49)*Impacts!$F$9),0)</f>
        <v>0</v>
      </c>
      <c r="N2261" s="10">
        <f>IF(Tank3!$C$23="No control",(SUMIF(Tank3!$B$32:$B$49,$J2261,Tank3!$C$32:$C$49)*Impacts!$F$10),0)</f>
        <v>0</v>
      </c>
      <c r="O2261" s="10">
        <f>IF(Tank4!$C$23="No control",(SUMIF(Tank4!$B$32:$B$49,$J2261,Tank4!$C$32:$C$49)*Impacts!$F$11),0)</f>
        <v>0</v>
      </c>
      <c r="P2261" s="10">
        <f>IF(Tank5!$C$23="No control",(SUMIF(Tank5!$B$32:$B$49,$J2261,Tank5!$C$32:$C$49)*Impacts!$F$12),0)</f>
        <v>0</v>
      </c>
      <c r="Q2261" s="10">
        <f>IFERROR(IF(('Loading-drum,tote'!$C$21)="No control",SUMIF(('Loading-drum,tote'!$B$31:$B$48),$J2261,('Loading-drum,tote'!$D$31:$D$48))*Impacts!$F$13,IF(('Loading-drum,tote'!$C$21)&lt;&gt;"No control",SUMIF(('Loading-drum,tote'!$B$31:$B$48),$J2261,('Loading-drum,tote'!$E$31:$E$48))*Impacts!$F$13,0)),0)</f>
        <v>0</v>
      </c>
      <c r="R2261" s="10">
        <f>IFERROR(IF(('Loading-truck'!$C$21)="No control",SUMIF(('Loading-truck'!$B$31:$B$48),$J2261,('Loading-truck'!$D$31:$D$48))*Impacts!$F$14,IF(('Loading-truck'!$C$21)&lt;&gt;"No control",SUMIF(('Loading-truck'!$B$31:$B$48),$J2261,('Loading-truck'!$E$31:$E$48))*Impacts!$F$14,0)),0)</f>
        <v>0</v>
      </c>
      <c r="S2261" s="10">
        <f>IFERROR(IF(('Loading-rail'!$C$21)="No control",SUMIF(('Loading-rail'!$B$31:$B$48),$J2261,('Loading-rail'!$D$31:$D$48))*Impacts!$F$15,IF(('Loading-rail'!$C$21)&lt;&gt;"No control",SUMIF(('Loading-rail'!$B$31:$B$48),$J2261,('Loading-rail'!$E$31:$E$48))*Impacts!$F$15,0)),0)</f>
        <v>0</v>
      </c>
      <c r="T2261" s="10">
        <f>IF(Flare!$C$7="",0,(SUMIF(Flare!$B$46:$B$185,$J2261,Flare!$E$46:$E$185)*Impacts!$F$16))</f>
        <v>0</v>
      </c>
      <c r="U2261" s="10">
        <f>IF(VCU!$C$9="",0,(SUMIF(VCU!$B$51:$B$193,$J2261,VCU!$E$51:$E$193)*Impacts!$F$17))</f>
        <v>0</v>
      </c>
      <c r="V2261" s="10">
        <f>IF(CAS!$C$7="",0,(SUMIF(CAS!$B$31:$B$167,$J2261,CAS!$E$31:$E$167)*Impacts!$F$18))</f>
        <v>0</v>
      </c>
      <c r="W2261" s="10">
        <f t="shared" si="75"/>
        <v>0</v>
      </c>
      <c r="AK2261" s="10" t="str">
        <f t="array" ref="AK2261">IFERROR(INDEX(SelectedSpecies,SMALL(IF(SelectedSpecies=AK$1,ROW(SelectedSpecies)),ROW(2262:2262)),2),"")</f>
        <v/>
      </c>
      <c r="BE2261" s="10"/>
      <c r="BI2261" s="10"/>
    </row>
    <row r="2262" spans="1:61" ht="21" customHeight="1" x14ac:dyDescent="0.25">
      <c r="A2262" s="10"/>
      <c r="B2262" s="10"/>
      <c r="E2262" s="10"/>
      <c r="G2262" s="10"/>
      <c r="I2262" s="436" t="s">
        <v>8176</v>
      </c>
      <c r="J2262" s="26" t="s">
        <v>8175</v>
      </c>
      <c r="K2262" s="10">
        <v>1.0000000000000002E-2</v>
      </c>
      <c r="L2262" s="73">
        <f>IF(Tank1!$C$23="No control",(SUMIF(Tank1!$B$32:$B$49,$J2262,Tank1!$C$32:$C$49)*Impacts!$F$8),0)</f>
        <v>0</v>
      </c>
      <c r="M2262" s="10">
        <f>IF(Tank2!$C$23="No control",(SUMIF(Tank2!$B$32:$B$49,$J2262,Tank2!$C$32:$C$49)*Impacts!$F$9),0)</f>
        <v>0</v>
      </c>
      <c r="N2262" s="10">
        <f>IF(Tank3!$C$23="No control",(SUMIF(Tank3!$B$32:$B$49,$J2262,Tank3!$C$32:$C$49)*Impacts!$F$10),0)</f>
        <v>0</v>
      </c>
      <c r="O2262" s="10">
        <f>IF(Tank4!$C$23="No control",(SUMIF(Tank4!$B$32:$B$49,$J2262,Tank4!$C$32:$C$49)*Impacts!$F$11),0)</f>
        <v>0</v>
      </c>
      <c r="P2262" s="10">
        <f>IF(Tank5!$C$23="No control",(SUMIF(Tank5!$B$32:$B$49,$J2262,Tank5!$C$32:$C$49)*Impacts!$F$12),0)</f>
        <v>0</v>
      </c>
      <c r="Q2262" s="10">
        <f>IFERROR(IF(('Loading-drum,tote'!$C$21)="No control",SUMIF(('Loading-drum,tote'!$B$31:$B$48),$J2262,('Loading-drum,tote'!$D$31:$D$48))*Impacts!$F$13,IF(('Loading-drum,tote'!$C$21)&lt;&gt;"No control",SUMIF(('Loading-drum,tote'!$B$31:$B$48),$J2262,('Loading-drum,tote'!$E$31:$E$48))*Impacts!$F$13,0)),0)</f>
        <v>0</v>
      </c>
      <c r="R2262" s="10">
        <f>IFERROR(IF(('Loading-truck'!$C$21)="No control",SUMIF(('Loading-truck'!$B$31:$B$48),$J2262,('Loading-truck'!$D$31:$D$48))*Impacts!$F$14,IF(('Loading-truck'!$C$21)&lt;&gt;"No control",SUMIF(('Loading-truck'!$B$31:$B$48),$J2262,('Loading-truck'!$E$31:$E$48))*Impacts!$F$14,0)),0)</f>
        <v>0</v>
      </c>
      <c r="S2262" s="10">
        <f>IFERROR(IF(('Loading-rail'!$C$21)="No control",SUMIF(('Loading-rail'!$B$31:$B$48),$J2262,('Loading-rail'!$D$31:$D$48))*Impacts!$F$15,IF(('Loading-rail'!$C$21)&lt;&gt;"No control",SUMIF(('Loading-rail'!$B$31:$B$48),$J2262,('Loading-rail'!$E$31:$E$48))*Impacts!$F$15,0)),0)</f>
        <v>0</v>
      </c>
      <c r="T2262" s="10">
        <f>IF(Flare!$C$7="",0,(SUMIF(Flare!$B$46:$B$185,$J2262,Flare!$E$46:$E$185)*Impacts!$F$16))</f>
        <v>0</v>
      </c>
      <c r="U2262" s="10">
        <f>IF(VCU!$C$9="",0,(SUMIF(VCU!$B$51:$B$193,$J2262,VCU!$E$51:$E$193)*Impacts!$F$17))</f>
        <v>0</v>
      </c>
      <c r="V2262" s="10">
        <f>IF(CAS!$C$7="",0,(SUMIF(CAS!$B$31:$B$167,$J2262,CAS!$E$31:$E$167)*Impacts!$F$18))</f>
        <v>0</v>
      </c>
      <c r="W2262" s="10">
        <f t="shared" si="75"/>
        <v>0</v>
      </c>
      <c r="AK2262" s="10" t="str">
        <f t="array" ref="AK2262">IFERROR(INDEX(SelectedSpecies,SMALL(IF(SelectedSpecies=AK$1,ROW(SelectedSpecies)),ROW(2263:2263)),2),"")</f>
        <v/>
      </c>
      <c r="BE2262" s="10"/>
      <c r="BI2262" s="10"/>
    </row>
    <row r="2263" spans="1:61" ht="21" customHeight="1" x14ac:dyDescent="0.25">
      <c r="A2263" s="10"/>
      <c r="B2263" s="10"/>
      <c r="E2263" s="10"/>
      <c r="G2263" s="10"/>
      <c r="I2263" s="436" t="s">
        <v>4975</v>
      </c>
      <c r="J2263" s="26" t="s">
        <v>4974</v>
      </c>
      <c r="K2263" s="10">
        <v>2.5</v>
      </c>
      <c r="L2263" s="73">
        <f>IF(Tank1!$C$23="No control",(SUMIF(Tank1!$B$32:$B$49,$J2263,Tank1!$C$32:$C$49)*Impacts!$F$8),0)</f>
        <v>0</v>
      </c>
      <c r="M2263" s="10">
        <f>IF(Tank2!$C$23="No control",(SUMIF(Tank2!$B$32:$B$49,$J2263,Tank2!$C$32:$C$49)*Impacts!$F$9),0)</f>
        <v>0</v>
      </c>
      <c r="N2263" s="10">
        <f>IF(Tank3!$C$23="No control",(SUMIF(Tank3!$B$32:$B$49,$J2263,Tank3!$C$32:$C$49)*Impacts!$F$10),0)</f>
        <v>0</v>
      </c>
      <c r="O2263" s="10">
        <f>IF(Tank4!$C$23="No control",(SUMIF(Tank4!$B$32:$B$49,$J2263,Tank4!$C$32:$C$49)*Impacts!$F$11),0)</f>
        <v>0</v>
      </c>
      <c r="P2263" s="10">
        <f>IF(Tank5!$C$23="No control",(SUMIF(Tank5!$B$32:$B$49,$J2263,Tank5!$C$32:$C$49)*Impacts!$F$12),0)</f>
        <v>0</v>
      </c>
      <c r="Q2263" s="10">
        <f>IFERROR(IF(('Loading-drum,tote'!$C$21)="No control",SUMIF(('Loading-drum,tote'!$B$31:$B$48),$J2263,('Loading-drum,tote'!$D$31:$D$48))*Impacts!$F$13,IF(('Loading-drum,tote'!$C$21)&lt;&gt;"No control",SUMIF(('Loading-drum,tote'!$B$31:$B$48),$J2263,('Loading-drum,tote'!$E$31:$E$48))*Impacts!$F$13,0)),0)</f>
        <v>0</v>
      </c>
      <c r="R2263" s="10">
        <f>IFERROR(IF(('Loading-truck'!$C$21)="No control",SUMIF(('Loading-truck'!$B$31:$B$48),$J2263,('Loading-truck'!$D$31:$D$48))*Impacts!$F$14,IF(('Loading-truck'!$C$21)&lt;&gt;"No control",SUMIF(('Loading-truck'!$B$31:$B$48),$J2263,('Loading-truck'!$E$31:$E$48))*Impacts!$F$14,0)),0)</f>
        <v>0</v>
      </c>
      <c r="S2263" s="10">
        <f>IFERROR(IF(('Loading-rail'!$C$21)="No control",SUMIF(('Loading-rail'!$B$31:$B$48),$J2263,('Loading-rail'!$D$31:$D$48))*Impacts!$F$15,IF(('Loading-rail'!$C$21)&lt;&gt;"No control",SUMIF(('Loading-rail'!$B$31:$B$48),$J2263,('Loading-rail'!$E$31:$E$48))*Impacts!$F$15,0)),0)</f>
        <v>0</v>
      </c>
      <c r="T2263" s="10">
        <f>IF(Flare!$C$7="",0,(SUMIF(Flare!$B$46:$B$185,$J2263,Flare!$E$46:$E$185)*Impacts!$F$16))</f>
        <v>0</v>
      </c>
      <c r="U2263" s="10">
        <f>IF(VCU!$C$9="",0,(SUMIF(VCU!$B$51:$B$193,$J2263,VCU!$E$51:$E$193)*Impacts!$F$17))</f>
        <v>0</v>
      </c>
      <c r="V2263" s="10">
        <f>IF(CAS!$C$7="",0,(SUMIF(CAS!$B$31:$B$167,$J2263,CAS!$E$31:$E$167)*Impacts!$F$18))</f>
        <v>0</v>
      </c>
      <c r="W2263" s="10">
        <f t="shared" si="75"/>
        <v>0</v>
      </c>
      <c r="AK2263" s="10" t="str">
        <f t="array" ref="AK2263">IFERROR(INDEX(SelectedSpecies,SMALL(IF(SelectedSpecies=AK$1,ROW(SelectedSpecies)),ROW(2264:2264)),2),"")</f>
        <v/>
      </c>
      <c r="BE2263" s="10"/>
      <c r="BI2263" s="10"/>
    </row>
    <row r="2264" spans="1:61" ht="21" customHeight="1" x14ac:dyDescent="0.25">
      <c r="A2264" s="10"/>
      <c r="B2264" s="10"/>
      <c r="E2264" s="10"/>
      <c r="G2264" s="10"/>
      <c r="I2264" s="436" t="s">
        <v>6590</v>
      </c>
      <c r="J2264" s="26" t="s">
        <v>6589</v>
      </c>
      <c r="K2264" s="10">
        <v>0.61</v>
      </c>
      <c r="L2264" s="73">
        <f>IF(Tank1!$C$23="No control",(SUMIF(Tank1!$B$32:$B$49,$J2264,Tank1!$C$32:$C$49)*Impacts!$F$8),0)</f>
        <v>0</v>
      </c>
      <c r="M2264" s="10">
        <f>IF(Tank2!$C$23="No control",(SUMIF(Tank2!$B$32:$B$49,$J2264,Tank2!$C$32:$C$49)*Impacts!$F$9),0)</f>
        <v>0</v>
      </c>
      <c r="N2264" s="10">
        <f>IF(Tank3!$C$23="No control",(SUMIF(Tank3!$B$32:$B$49,$J2264,Tank3!$C$32:$C$49)*Impacts!$F$10),0)</f>
        <v>0</v>
      </c>
      <c r="O2264" s="10">
        <f>IF(Tank4!$C$23="No control",(SUMIF(Tank4!$B$32:$B$49,$J2264,Tank4!$C$32:$C$49)*Impacts!$F$11),0)</f>
        <v>0</v>
      </c>
      <c r="P2264" s="10">
        <f>IF(Tank5!$C$23="No control",(SUMIF(Tank5!$B$32:$B$49,$J2264,Tank5!$C$32:$C$49)*Impacts!$F$12),0)</f>
        <v>0</v>
      </c>
      <c r="Q2264" s="10">
        <f>IFERROR(IF(('Loading-drum,tote'!$C$21)="No control",SUMIF(('Loading-drum,tote'!$B$31:$B$48),$J2264,('Loading-drum,tote'!$D$31:$D$48))*Impacts!$F$13,IF(('Loading-drum,tote'!$C$21)&lt;&gt;"No control",SUMIF(('Loading-drum,tote'!$B$31:$B$48),$J2264,('Loading-drum,tote'!$E$31:$E$48))*Impacts!$F$13,0)),0)</f>
        <v>0</v>
      </c>
      <c r="R2264" s="10">
        <f>IFERROR(IF(('Loading-truck'!$C$21)="No control",SUMIF(('Loading-truck'!$B$31:$B$48),$J2264,('Loading-truck'!$D$31:$D$48))*Impacts!$F$14,IF(('Loading-truck'!$C$21)&lt;&gt;"No control",SUMIF(('Loading-truck'!$B$31:$B$48),$J2264,('Loading-truck'!$E$31:$E$48))*Impacts!$F$14,0)),0)</f>
        <v>0</v>
      </c>
      <c r="S2264" s="10">
        <f>IFERROR(IF(('Loading-rail'!$C$21)="No control",SUMIF(('Loading-rail'!$B$31:$B$48),$J2264,('Loading-rail'!$D$31:$D$48))*Impacts!$F$15,IF(('Loading-rail'!$C$21)&lt;&gt;"No control",SUMIF(('Loading-rail'!$B$31:$B$48),$J2264,('Loading-rail'!$E$31:$E$48))*Impacts!$F$15,0)),0)</f>
        <v>0</v>
      </c>
      <c r="T2264" s="10">
        <f>IF(Flare!$C$7="",0,(SUMIF(Flare!$B$46:$B$185,$J2264,Flare!$E$46:$E$185)*Impacts!$F$16))</f>
        <v>0</v>
      </c>
      <c r="U2264" s="10">
        <f>IF(VCU!$C$9="",0,(SUMIF(VCU!$B$51:$B$193,$J2264,VCU!$E$51:$E$193)*Impacts!$F$17))</f>
        <v>0</v>
      </c>
      <c r="V2264" s="10">
        <f>IF(CAS!$C$7="",0,(SUMIF(CAS!$B$31:$B$167,$J2264,CAS!$E$31:$E$167)*Impacts!$F$18))</f>
        <v>0</v>
      </c>
      <c r="W2264" s="10">
        <f t="shared" si="75"/>
        <v>0</v>
      </c>
      <c r="AK2264" s="10" t="str">
        <f t="array" ref="AK2264">IFERROR(INDEX(SelectedSpecies,SMALL(IF(SelectedSpecies=AK$1,ROW(SelectedSpecies)),ROW(2265:2265)),2),"")</f>
        <v/>
      </c>
      <c r="BE2264" s="10"/>
      <c r="BI2264" s="10"/>
    </row>
    <row r="2265" spans="1:61" ht="21" customHeight="1" x14ac:dyDescent="0.25">
      <c r="A2265" s="10"/>
      <c r="B2265" s="10"/>
      <c r="E2265" s="10"/>
      <c r="G2265" s="10"/>
      <c r="I2265" s="436" t="s">
        <v>8178</v>
      </c>
      <c r="J2265" s="26" t="s">
        <v>8177</v>
      </c>
      <c r="K2265" s="10">
        <v>1.0000000000000002E-2</v>
      </c>
      <c r="L2265" s="73">
        <f>IF(Tank1!$C$23="No control",(SUMIF(Tank1!$B$32:$B$49,$J2265,Tank1!$C$32:$C$49)*Impacts!$F$8),0)</f>
        <v>0</v>
      </c>
      <c r="M2265" s="10">
        <f>IF(Tank2!$C$23="No control",(SUMIF(Tank2!$B$32:$B$49,$J2265,Tank2!$C$32:$C$49)*Impacts!$F$9),0)</f>
        <v>0</v>
      </c>
      <c r="N2265" s="10">
        <f>IF(Tank3!$C$23="No control",(SUMIF(Tank3!$B$32:$B$49,$J2265,Tank3!$C$32:$C$49)*Impacts!$F$10),0)</f>
        <v>0</v>
      </c>
      <c r="O2265" s="10">
        <f>IF(Tank4!$C$23="No control",(SUMIF(Tank4!$B$32:$B$49,$J2265,Tank4!$C$32:$C$49)*Impacts!$F$11),0)</f>
        <v>0</v>
      </c>
      <c r="P2265" s="10">
        <f>IF(Tank5!$C$23="No control",(SUMIF(Tank5!$B$32:$B$49,$J2265,Tank5!$C$32:$C$49)*Impacts!$F$12),0)</f>
        <v>0</v>
      </c>
      <c r="Q2265" s="10">
        <f>IFERROR(IF(('Loading-drum,tote'!$C$21)="No control",SUMIF(('Loading-drum,tote'!$B$31:$B$48),$J2265,('Loading-drum,tote'!$D$31:$D$48))*Impacts!$F$13,IF(('Loading-drum,tote'!$C$21)&lt;&gt;"No control",SUMIF(('Loading-drum,tote'!$B$31:$B$48),$J2265,('Loading-drum,tote'!$E$31:$E$48))*Impacts!$F$13,0)),0)</f>
        <v>0</v>
      </c>
      <c r="R2265" s="10">
        <f>IFERROR(IF(('Loading-truck'!$C$21)="No control",SUMIF(('Loading-truck'!$B$31:$B$48),$J2265,('Loading-truck'!$D$31:$D$48))*Impacts!$F$14,IF(('Loading-truck'!$C$21)&lt;&gt;"No control",SUMIF(('Loading-truck'!$B$31:$B$48),$J2265,('Loading-truck'!$E$31:$E$48))*Impacts!$F$14,0)),0)</f>
        <v>0</v>
      </c>
      <c r="S2265" s="10">
        <f>IFERROR(IF(('Loading-rail'!$C$21)="No control",SUMIF(('Loading-rail'!$B$31:$B$48),$J2265,('Loading-rail'!$D$31:$D$48))*Impacts!$F$15,IF(('Loading-rail'!$C$21)&lt;&gt;"No control",SUMIF(('Loading-rail'!$B$31:$B$48),$J2265,('Loading-rail'!$E$31:$E$48))*Impacts!$F$15,0)),0)</f>
        <v>0</v>
      </c>
      <c r="T2265" s="10">
        <f>IF(Flare!$C$7="",0,(SUMIF(Flare!$B$46:$B$185,$J2265,Flare!$E$46:$E$185)*Impacts!$F$16))</f>
        <v>0</v>
      </c>
      <c r="U2265" s="10">
        <f>IF(VCU!$C$9="",0,(SUMIF(VCU!$B$51:$B$193,$J2265,VCU!$E$51:$E$193)*Impacts!$F$17))</f>
        <v>0</v>
      </c>
      <c r="V2265" s="10">
        <f>IF(CAS!$C$7="",0,(SUMIF(CAS!$B$31:$B$167,$J2265,CAS!$E$31:$E$167)*Impacts!$F$18))</f>
        <v>0</v>
      </c>
      <c r="W2265" s="10">
        <f t="shared" si="75"/>
        <v>0</v>
      </c>
      <c r="AK2265" s="10" t="str">
        <f t="array" ref="AK2265">IFERROR(INDEX(SelectedSpecies,SMALL(IF(SelectedSpecies=AK$1,ROW(SelectedSpecies)),ROW(2266:2266)),2),"")</f>
        <v/>
      </c>
      <c r="BE2265" s="10"/>
      <c r="BI2265" s="10"/>
    </row>
    <row r="2266" spans="1:61" ht="21" customHeight="1" x14ac:dyDescent="0.25">
      <c r="A2266" s="10"/>
      <c r="B2266" s="10"/>
      <c r="E2266" s="10"/>
      <c r="G2266" s="10"/>
      <c r="I2266" s="436" t="s">
        <v>2939</v>
      </c>
      <c r="J2266" s="26" t="s">
        <v>2938</v>
      </c>
      <c r="K2266" s="10">
        <v>10</v>
      </c>
      <c r="L2266" s="73">
        <f>IF(Tank1!$C$23="No control",(SUMIF(Tank1!$B$32:$B$49,$J2266,Tank1!$C$32:$C$49)*Impacts!$F$8),0)</f>
        <v>0</v>
      </c>
      <c r="M2266" s="10">
        <f>IF(Tank2!$C$23="No control",(SUMIF(Tank2!$B$32:$B$49,$J2266,Tank2!$C$32:$C$49)*Impacts!$F$9),0)</f>
        <v>0</v>
      </c>
      <c r="N2266" s="10">
        <f>IF(Tank3!$C$23="No control",(SUMIF(Tank3!$B$32:$B$49,$J2266,Tank3!$C$32:$C$49)*Impacts!$F$10),0)</f>
        <v>0</v>
      </c>
      <c r="O2266" s="10">
        <f>IF(Tank4!$C$23="No control",(SUMIF(Tank4!$B$32:$B$49,$J2266,Tank4!$C$32:$C$49)*Impacts!$F$11),0)</f>
        <v>0</v>
      </c>
      <c r="P2266" s="10">
        <f>IF(Tank5!$C$23="No control",(SUMIF(Tank5!$B$32:$B$49,$J2266,Tank5!$C$32:$C$49)*Impacts!$F$12),0)</f>
        <v>0</v>
      </c>
      <c r="Q2266" s="10">
        <f>IFERROR(IF(('Loading-drum,tote'!$C$21)="No control",SUMIF(('Loading-drum,tote'!$B$31:$B$48),$J2266,('Loading-drum,tote'!$D$31:$D$48))*Impacts!$F$13,IF(('Loading-drum,tote'!$C$21)&lt;&gt;"No control",SUMIF(('Loading-drum,tote'!$B$31:$B$48),$J2266,('Loading-drum,tote'!$E$31:$E$48))*Impacts!$F$13,0)),0)</f>
        <v>0</v>
      </c>
      <c r="R2266" s="10">
        <f>IFERROR(IF(('Loading-truck'!$C$21)="No control",SUMIF(('Loading-truck'!$B$31:$B$48),$J2266,('Loading-truck'!$D$31:$D$48))*Impacts!$F$14,IF(('Loading-truck'!$C$21)&lt;&gt;"No control",SUMIF(('Loading-truck'!$B$31:$B$48),$J2266,('Loading-truck'!$E$31:$E$48))*Impacts!$F$14,0)),0)</f>
        <v>0</v>
      </c>
      <c r="S2266" s="10">
        <f>IFERROR(IF(('Loading-rail'!$C$21)="No control",SUMIF(('Loading-rail'!$B$31:$B$48),$J2266,('Loading-rail'!$D$31:$D$48))*Impacts!$F$15,IF(('Loading-rail'!$C$21)&lt;&gt;"No control",SUMIF(('Loading-rail'!$B$31:$B$48),$J2266,('Loading-rail'!$E$31:$E$48))*Impacts!$F$15,0)),0)</f>
        <v>0</v>
      </c>
      <c r="T2266" s="10">
        <f>IF(Flare!$C$7="",0,(SUMIF(Flare!$B$46:$B$185,$J2266,Flare!$E$46:$E$185)*Impacts!$F$16))</f>
        <v>0</v>
      </c>
      <c r="U2266" s="10">
        <f>IF(VCU!$C$9="",0,(SUMIF(VCU!$B$51:$B$193,$J2266,VCU!$E$51:$E$193)*Impacts!$F$17))</f>
        <v>0</v>
      </c>
      <c r="V2266" s="10">
        <f>IF(CAS!$C$7="",0,(SUMIF(CAS!$B$31:$B$167,$J2266,CAS!$E$31:$E$167)*Impacts!$F$18))</f>
        <v>0</v>
      </c>
      <c r="W2266" s="10">
        <f t="shared" ref="W2266:W2329" si="76">SUM(L2266:V2266)</f>
        <v>0</v>
      </c>
      <c r="AK2266" s="10" t="str">
        <f t="array" ref="AK2266">IFERROR(INDEX(SelectedSpecies,SMALL(IF(SelectedSpecies=AK$1,ROW(SelectedSpecies)),ROW(2267:2267)),2),"")</f>
        <v/>
      </c>
      <c r="BE2266" s="10"/>
      <c r="BI2266" s="10"/>
    </row>
    <row r="2267" spans="1:61" ht="21" customHeight="1" x14ac:dyDescent="0.25">
      <c r="A2267" s="10"/>
      <c r="B2267" s="10"/>
      <c r="E2267" s="10"/>
      <c r="G2267" s="10"/>
      <c r="I2267" s="436" t="s">
        <v>7506</v>
      </c>
      <c r="J2267" s="26" t="s">
        <v>7505</v>
      </c>
      <c r="K2267" s="10">
        <v>0.2</v>
      </c>
      <c r="L2267" s="73">
        <f>IF(Tank1!$C$23="No control",(SUMIF(Tank1!$B$32:$B$49,$J2267,Tank1!$C$32:$C$49)*Impacts!$F$8),0)</f>
        <v>0</v>
      </c>
      <c r="M2267" s="10">
        <f>IF(Tank2!$C$23="No control",(SUMIF(Tank2!$B$32:$B$49,$J2267,Tank2!$C$32:$C$49)*Impacts!$F$9),0)</f>
        <v>0</v>
      </c>
      <c r="N2267" s="10">
        <f>IF(Tank3!$C$23="No control",(SUMIF(Tank3!$B$32:$B$49,$J2267,Tank3!$C$32:$C$49)*Impacts!$F$10),0)</f>
        <v>0</v>
      </c>
      <c r="O2267" s="10">
        <f>IF(Tank4!$C$23="No control",(SUMIF(Tank4!$B$32:$B$49,$J2267,Tank4!$C$32:$C$49)*Impacts!$F$11),0)</f>
        <v>0</v>
      </c>
      <c r="P2267" s="10">
        <f>IF(Tank5!$C$23="No control",(SUMIF(Tank5!$B$32:$B$49,$J2267,Tank5!$C$32:$C$49)*Impacts!$F$12),0)</f>
        <v>0</v>
      </c>
      <c r="Q2267" s="10">
        <f>IFERROR(IF(('Loading-drum,tote'!$C$21)="No control",SUMIF(('Loading-drum,tote'!$B$31:$B$48),$J2267,('Loading-drum,tote'!$D$31:$D$48))*Impacts!$F$13,IF(('Loading-drum,tote'!$C$21)&lt;&gt;"No control",SUMIF(('Loading-drum,tote'!$B$31:$B$48),$J2267,('Loading-drum,tote'!$E$31:$E$48))*Impacts!$F$13,0)),0)</f>
        <v>0</v>
      </c>
      <c r="R2267" s="10">
        <f>IFERROR(IF(('Loading-truck'!$C$21)="No control",SUMIF(('Loading-truck'!$B$31:$B$48),$J2267,('Loading-truck'!$D$31:$D$48))*Impacts!$F$14,IF(('Loading-truck'!$C$21)&lt;&gt;"No control",SUMIF(('Loading-truck'!$B$31:$B$48),$J2267,('Loading-truck'!$E$31:$E$48))*Impacts!$F$14,0)),0)</f>
        <v>0</v>
      </c>
      <c r="S2267" s="10">
        <f>IFERROR(IF(('Loading-rail'!$C$21)="No control",SUMIF(('Loading-rail'!$B$31:$B$48),$J2267,('Loading-rail'!$D$31:$D$48))*Impacts!$F$15,IF(('Loading-rail'!$C$21)&lt;&gt;"No control",SUMIF(('Loading-rail'!$B$31:$B$48),$J2267,('Loading-rail'!$E$31:$E$48))*Impacts!$F$15,0)),0)</f>
        <v>0</v>
      </c>
      <c r="T2267" s="10">
        <f>IF(Flare!$C$7="",0,(SUMIF(Flare!$B$46:$B$185,$J2267,Flare!$E$46:$E$185)*Impacts!$F$16))</f>
        <v>0</v>
      </c>
      <c r="U2267" s="10">
        <f>IF(VCU!$C$9="",0,(SUMIF(VCU!$B$51:$B$193,$J2267,VCU!$E$51:$E$193)*Impacts!$F$17))</f>
        <v>0</v>
      </c>
      <c r="V2267" s="10">
        <f>IF(CAS!$C$7="",0,(SUMIF(CAS!$B$31:$B$167,$J2267,CAS!$E$31:$E$167)*Impacts!$F$18))</f>
        <v>0</v>
      </c>
      <c r="W2267" s="10">
        <f t="shared" si="76"/>
        <v>0</v>
      </c>
      <c r="AK2267" s="10" t="str">
        <f t="array" ref="AK2267">IFERROR(INDEX(SelectedSpecies,SMALL(IF(SelectedSpecies=AK$1,ROW(SelectedSpecies)),ROW(2268:2268)),2),"")</f>
        <v/>
      </c>
      <c r="BE2267" s="10"/>
      <c r="BI2267" s="10"/>
    </row>
    <row r="2268" spans="1:61" ht="21" customHeight="1" x14ac:dyDescent="0.25">
      <c r="A2268" s="10"/>
      <c r="B2268" s="10"/>
      <c r="E2268" s="10"/>
      <c r="G2268" s="10"/>
      <c r="I2268" s="436" t="s">
        <v>7508</v>
      </c>
      <c r="J2268" s="26" t="s">
        <v>7507</v>
      </c>
      <c r="K2268" s="10">
        <v>0.2</v>
      </c>
      <c r="L2268" s="73">
        <f>IF(Tank1!$C$23="No control",(SUMIF(Tank1!$B$32:$B$49,$J2268,Tank1!$C$32:$C$49)*Impacts!$F$8),0)</f>
        <v>0</v>
      </c>
      <c r="M2268" s="10">
        <f>IF(Tank2!$C$23="No control",(SUMIF(Tank2!$B$32:$B$49,$J2268,Tank2!$C$32:$C$49)*Impacts!$F$9),0)</f>
        <v>0</v>
      </c>
      <c r="N2268" s="10">
        <f>IF(Tank3!$C$23="No control",(SUMIF(Tank3!$B$32:$B$49,$J2268,Tank3!$C$32:$C$49)*Impacts!$F$10),0)</f>
        <v>0</v>
      </c>
      <c r="O2268" s="10">
        <f>IF(Tank4!$C$23="No control",(SUMIF(Tank4!$B$32:$B$49,$J2268,Tank4!$C$32:$C$49)*Impacts!$F$11),0)</f>
        <v>0</v>
      </c>
      <c r="P2268" s="10">
        <f>IF(Tank5!$C$23="No control",(SUMIF(Tank5!$B$32:$B$49,$J2268,Tank5!$C$32:$C$49)*Impacts!$F$12),0)</f>
        <v>0</v>
      </c>
      <c r="Q2268" s="10">
        <f>IFERROR(IF(('Loading-drum,tote'!$C$21)="No control",SUMIF(('Loading-drum,tote'!$B$31:$B$48),$J2268,('Loading-drum,tote'!$D$31:$D$48))*Impacts!$F$13,IF(('Loading-drum,tote'!$C$21)&lt;&gt;"No control",SUMIF(('Loading-drum,tote'!$B$31:$B$48),$J2268,('Loading-drum,tote'!$E$31:$E$48))*Impacts!$F$13,0)),0)</f>
        <v>0</v>
      </c>
      <c r="R2268" s="10">
        <f>IFERROR(IF(('Loading-truck'!$C$21)="No control",SUMIF(('Loading-truck'!$B$31:$B$48),$J2268,('Loading-truck'!$D$31:$D$48))*Impacts!$F$14,IF(('Loading-truck'!$C$21)&lt;&gt;"No control",SUMIF(('Loading-truck'!$B$31:$B$48),$J2268,('Loading-truck'!$E$31:$E$48))*Impacts!$F$14,0)),0)</f>
        <v>0</v>
      </c>
      <c r="S2268" s="10">
        <f>IFERROR(IF(('Loading-rail'!$C$21)="No control",SUMIF(('Loading-rail'!$B$31:$B$48),$J2268,('Loading-rail'!$D$31:$D$48))*Impacts!$F$15,IF(('Loading-rail'!$C$21)&lt;&gt;"No control",SUMIF(('Loading-rail'!$B$31:$B$48),$J2268,('Loading-rail'!$E$31:$E$48))*Impacts!$F$15,0)),0)</f>
        <v>0</v>
      </c>
      <c r="T2268" s="10">
        <f>IF(Flare!$C$7="",0,(SUMIF(Flare!$B$46:$B$185,$J2268,Flare!$E$46:$E$185)*Impacts!$F$16))</f>
        <v>0</v>
      </c>
      <c r="U2268" s="10">
        <f>IF(VCU!$C$9="",0,(SUMIF(VCU!$B$51:$B$193,$J2268,VCU!$E$51:$E$193)*Impacts!$F$17))</f>
        <v>0</v>
      </c>
      <c r="V2268" s="10">
        <f>IF(CAS!$C$7="",0,(SUMIF(CAS!$B$31:$B$167,$J2268,CAS!$E$31:$E$167)*Impacts!$F$18))</f>
        <v>0</v>
      </c>
      <c r="W2268" s="10">
        <f t="shared" si="76"/>
        <v>0</v>
      </c>
      <c r="AK2268" s="10" t="str">
        <f t="array" ref="AK2268">IFERROR(INDEX(SelectedSpecies,SMALL(IF(SelectedSpecies=AK$1,ROW(SelectedSpecies)),ROW(2269:2269)),2),"")</f>
        <v/>
      </c>
      <c r="BE2268" s="10"/>
      <c r="BI2268" s="10"/>
    </row>
    <row r="2269" spans="1:61" ht="21" customHeight="1" x14ac:dyDescent="0.25">
      <c r="A2269" s="10"/>
      <c r="B2269" s="10"/>
      <c r="E2269" s="10"/>
      <c r="G2269" s="10"/>
      <c r="I2269" s="436" t="s">
        <v>1620</v>
      </c>
      <c r="J2269" s="26" t="s">
        <v>1619</v>
      </c>
      <c r="K2269" s="10">
        <v>25</v>
      </c>
      <c r="L2269" s="73">
        <f>IF(Tank1!$C$23="No control",(SUMIF(Tank1!$B$32:$B$49,$J2269,Tank1!$C$32:$C$49)*Impacts!$F$8),0)</f>
        <v>0</v>
      </c>
      <c r="M2269" s="10">
        <f>IF(Tank2!$C$23="No control",(SUMIF(Tank2!$B$32:$B$49,$J2269,Tank2!$C$32:$C$49)*Impacts!$F$9),0)</f>
        <v>0</v>
      </c>
      <c r="N2269" s="10">
        <f>IF(Tank3!$C$23="No control",(SUMIF(Tank3!$B$32:$B$49,$J2269,Tank3!$C$32:$C$49)*Impacts!$F$10),0)</f>
        <v>0</v>
      </c>
      <c r="O2269" s="10">
        <f>IF(Tank4!$C$23="No control",(SUMIF(Tank4!$B$32:$B$49,$J2269,Tank4!$C$32:$C$49)*Impacts!$F$11),0)</f>
        <v>0</v>
      </c>
      <c r="P2269" s="10">
        <f>IF(Tank5!$C$23="No control",(SUMIF(Tank5!$B$32:$B$49,$J2269,Tank5!$C$32:$C$49)*Impacts!$F$12),0)</f>
        <v>0</v>
      </c>
      <c r="Q2269" s="10">
        <f>IFERROR(IF(('Loading-drum,tote'!$C$21)="No control",SUMIF(('Loading-drum,tote'!$B$31:$B$48),$J2269,('Loading-drum,tote'!$D$31:$D$48))*Impacts!$F$13,IF(('Loading-drum,tote'!$C$21)&lt;&gt;"No control",SUMIF(('Loading-drum,tote'!$B$31:$B$48),$J2269,('Loading-drum,tote'!$E$31:$E$48))*Impacts!$F$13,0)),0)</f>
        <v>0</v>
      </c>
      <c r="R2269" s="10">
        <f>IFERROR(IF(('Loading-truck'!$C$21)="No control",SUMIF(('Loading-truck'!$B$31:$B$48),$J2269,('Loading-truck'!$D$31:$D$48))*Impacts!$F$14,IF(('Loading-truck'!$C$21)&lt;&gt;"No control",SUMIF(('Loading-truck'!$B$31:$B$48),$J2269,('Loading-truck'!$E$31:$E$48))*Impacts!$F$14,0)),0)</f>
        <v>0</v>
      </c>
      <c r="S2269" s="10">
        <f>IFERROR(IF(('Loading-rail'!$C$21)="No control",SUMIF(('Loading-rail'!$B$31:$B$48),$J2269,('Loading-rail'!$D$31:$D$48))*Impacts!$F$15,IF(('Loading-rail'!$C$21)&lt;&gt;"No control",SUMIF(('Loading-rail'!$B$31:$B$48),$J2269,('Loading-rail'!$E$31:$E$48))*Impacts!$F$15,0)),0)</f>
        <v>0</v>
      </c>
      <c r="T2269" s="10">
        <f>IF(Flare!$C$7="",0,(SUMIF(Flare!$B$46:$B$185,$J2269,Flare!$E$46:$E$185)*Impacts!$F$16))</f>
        <v>0</v>
      </c>
      <c r="U2269" s="10">
        <f>IF(VCU!$C$9="",0,(SUMIF(VCU!$B$51:$B$193,$J2269,VCU!$E$51:$E$193)*Impacts!$F$17))</f>
        <v>0</v>
      </c>
      <c r="V2269" s="10">
        <f>IF(CAS!$C$7="",0,(SUMIF(CAS!$B$31:$B$167,$J2269,CAS!$E$31:$E$167)*Impacts!$F$18))</f>
        <v>0</v>
      </c>
      <c r="W2269" s="10">
        <f t="shared" si="76"/>
        <v>0</v>
      </c>
      <c r="AK2269" s="10" t="str">
        <f t="array" ref="AK2269">IFERROR(INDEX(SelectedSpecies,SMALL(IF(SelectedSpecies=AK$1,ROW(SelectedSpecies)),ROW(2270:2270)),2),"")</f>
        <v/>
      </c>
      <c r="BE2269" s="10"/>
      <c r="BI2269" s="10"/>
    </row>
    <row r="2270" spans="1:61" ht="21" customHeight="1" x14ac:dyDescent="0.25">
      <c r="A2270" s="10"/>
      <c r="B2270" s="10"/>
      <c r="E2270" s="10"/>
      <c r="G2270" s="10"/>
      <c r="I2270" s="436" t="s">
        <v>7510</v>
      </c>
      <c r="J2270" s="26" t="s">
        <v>7509</v>
      </c>
      <c r="K2270" s="10">
        <v>0.2</v>
      </c>
      <c r="L2270" s="73">
        <f>IF(Tank1!$C$23="No control",(SUMIF(Tank1!$B$32:$B$49,$J2270,Tank1!$C$32:$C$49)*Impacts!$F$8),0)</f>
        <v>0</v>
      </c>
      <c r="M2270" s="10">
        <f>IF(Tank2!$C$23="No control",(SUMIF(Tank2!$B$32:$B$49,$J2270,Tank2!$C$32:$C$49)*Impacts!$F$9),0)</f>
        <v>0</v>
      </c>
      <c r="N2270" s="10">
        <f>IF(Tank3!$C$23="No control",(SUMIF(Tank3!$B$32:$B$49,$J2270,Tank3!$C$32:$C$49)*Impacts!$F$10),0)</f>
        <v>0</v>
      </c>
      <c r="O2270" s="10">
        <f>IF(Tank4!$C$23="No control",(SUMIF(Tank4!$B$32:$B$49,$J2270,Tank4!$C$32:$C$49)*Impacts!$F$11),0)</f>
        <v>0</v>
      </c>
      <c r="P2270" s="10">
        <f>IF(Tank5!$C$23="No control",(SUMIF(Tank5!$B$32:$B$49,$J2270,Tank5!$C$32:$C$49)*Impacts!$F$12),0)</f>
        <v>0</v>
      </c>
      <c r="Q2270" s="10">
        <f>IFERROR(IF(('Loading-drum,tote'!$C$21)="No control",SUMIF(('Loading-drum,tote'!$B$31:$B$48),$J2270,('Loading-drum,tote'!$D$31:$D$48))*Impacts!$F$13,IF(('Loading-drum,tote'!$C$21)&lt;&gt;"No control",SUMIF(('Loading-drum,tote'!$B$31:$B$48),$J2270,('Loading-drum,tote'!$E$31:$E$48))*Impacts!$F$13,0)),0)</f>
        <v>0</v>
      </c>
      <c r="R2270" s="10">
        <f>IFERROR(IF(('Loading-truck'!$C$21)="No control",SUMIF(('Loading-truck'!$B$31:$B$48),$J2270,('Loading-truck'!$D$31:$D$48))*Impacts!$F$14,IF(('Loading-truck'!$C$21)&lt;&gt;"No control",SUMIF(('Loading-truck'!$B$31:$B$48),$J2270,('Loading-truck'!$E$31:$E$48))*Impacts!$F$14,0)),0)</f>
        <v>0</v>
      </c>
      <c r="S2270" s="10">
        <f>IFERROR(IF(('Loading-rail'!$C$21)="No control",SUMIF(('Loading-rail'!$B$31:$B$48),$J2270,('Loading-rail'!$D$31:$D$48))*Impacts!$F$15,IF(('Loading-rail'!$C$21)&lt;&gt;"No control",SUMIF(('Loading-rail'!$B$31:$B$48),$J2270,('Loading-rail'!$E$31:$E$48))*Impacts!$F$15,0)),0)</f>
        <v>0</v>
      </c>
      <c r="T2270" s="10">
        <f>IF(Flare!$C$7="",0,(SUMIF(Flare!$B$46:$B$185,$J2270,Flare!$E$46:$E$185)*Impacts!$F$16))</f>
        <v>0</v>
      </c>
      <c r="U2270" s="10">
        <f>IF(VCU!$C$9="",0,(SUMIF(VCU!$B$51:$B$193,$J2270,VCU!$E$51:$E$193)*Impacts!$F$17))</f>
        <v>0</v>
      </c>
      <c r="V2270" s="10">
        <f>IF(CAS!$C$7="",0,(SUMIF(CAS!$B$31:$B$167,$J2270,CAS!$E$31:$E$167)*Impacts!$F$18))</f>
        <v>0</v>
      </c>
      <c r="W2270" s="10">
        <f t="shared" si="76"/>
        <v>0</v>
      </c>
      <c r="AK2270" s="10" t="str">
        <f t="array" ref="AK2270">IFERROR(INDEX(SelectedSpecies,SMALL(IF(SelectedSpecies=AK$1,ROW(SelectedSpecies)),ROW(2271:2271)),2),"")</f>
        <v/>
      </c>
      <c r="BE2270" s="10"/>
      <c r="BI2270" s="10"/>
    </row>
    <row r="2271" spans="1:61" ht="21" customHeight="1" x14ac:dyDescent="0.25">
      <c r="A2271" s="10"/>
      <c r="B2271" s="10"/>
      <c r="E2271" s="10"/>
      <c r="G2271" s="10"/>
      <c r="I2271" s="436" t="s">
        <v>6264</v>
      </c>
      <c r="J2271" s="26" t="s">
        <v>6263</v>
      </c>
      <c r="K2271" s="10">
        <v>0.93000000000000016</v>
      </c>
      <c r="L2271" s="73">
        <f>IF(Tank1!$C$23="No control",(SUMIF(Tank1!$B$32:$B$49,$J2271,Tank1!$C$32:$C$49)*Impacts!$F$8),0)</f>
        <v>0</v>
      </c>
      <c r="M2271" s="10">
        <f>IF(Tank2!$C$23="No control",(SUMIF(Tank2!$B$32:$B$49,$J2271,Tank2!$C$32:$C$49)*Impacts!$F$9),0)</f>
        <v>0</v>
      </c>
      <c r="N2271" s="10">
        <f>IF(Tank3!$C$23="No control",(SUMIF(Tank3!$B$32:$B$49,$J2271,Tank3!$C$32:$C$49)*Impacts!$F$10),0)</f>
        <v>0</v>
      </c>
      <c r="O2271" s="10">
        <f>IF(Tank4!$C$23="No control",(SUMIF(Tank4!$B$32:$B$49,$J2271,Tank4!$C$32:$C$49)*Impacts!$F$11),0)</f>
        <v>0</v>
      </c>
      <c r="P2271" s="10">
        <f>IF(Tank5!$C$23="No control",(SUMIF(Tank5!$B$32:$B$49,$J2271,Tank5!$C$32:$C$49)*Impacts!$F$12),0)</f>
        <v>0</v>
      </c>
      <c r="Q2271" s="10">
        <f>IFERROR(IF(('Loading-drum,tote'!$C$21)="No control",SUMIF(('Loading-drum,tote'!$B$31:$B$48),$J2271,('Loading-drum,tote'!$D$31:$D$48))*Impacts!$F$13,IF(('Loading-drum,tote'!$C$21)&lt;&gt;"No control",SUMIF(('Loading-drum,tote'!$B$31:$B$48),$J2271,('Loading-drum,tote'!$E$31:$E$48))*Impacts!$F$13,0)),0)</f>
        <v>0</v>
      </c>
      <c r="R2271" s="10">
        <f>IFERROR(IF(('Loading-truck'!$C$21)="No control",SUMIF(('Loading-truck'!$B$31:$B$48),$J2271,('Loading-truck'!$D$31:$D$48))*Impacts!$F$14,IF(('Loading-truck'!$C$21)&lt;&gt;"No control",SUMIF(('Loading-truck'!$B$31:$B$48),$J2271,('Loading-truck'!$E$31:$E$48))*Impacts!$F$14,0)),0)</f>
        <v>0</v>
      </c>
      <c r="S2271" s="10">
        <f>IFERROR(IF(('Loading-rail'!$C$21)="No control",SUMIF(('Loading-rail'!$B$31:$B$48),$J2271,('Loading-rail'!$D$31:$D$48))*Impacts!$F$15,IF(('Loading-rail'!$C$21)&lt;&gt;"No control",SUMIF(('Loading-rail'!$B$31:$B$48),$J2271,('Loading-rail'!$E$31:$E$48))*Impacts!$F$15,0)),0)</f>
        <v>0</v>
      </c>
      <c r="T2271" s="10">
        <f>IF(Flare!$C$7="",0,(SUMIF(Flare!$B$46:$B$185,$J2271,Flare!$E$46:$E$185)*Impacts!$F$16))</f>
        <v>0</v>
      </c>
      <c r="U2271" s="10">
        <f>IF(VCU!$C$9="",0,(SUMIF(VCU!$B$51:$B$193,$J2271,VCU!$E$51:$E$193)*Impacts!$F$17))</f>
        <v>0</v>
      </c>
      <c r="V2271" s="10">
        <f>IF(CAS!$C$7="",0,(SUMIF(CAS!$B$31:$B$167,$J2271,CAS!$E$31:$E$167)*Impacts!$F$18))</f>
        <v>0</v>
      </c>
      <c r="W2271" s="10">
        <f t="shared" si="76"/>
        <v>0</v>
      </c>
      <c r="AK2271" s="10" t="str">
        <f t="array" ref="AK2271">IFERROR(INDEX(SelectedSpecies,SMALL(IF(SelectedSpecies=AK$1,ROW(SelectedSpecies)),ROW(2272:2272)),2),"")</f>
        <v/>
      </c>
      <c r="BE2271" s="10"/>
      <c r="BI2271" s="10"/>
    </row>
    <row r="2272" spans="1:61" ht="21" customHeight="1" x14ac:dyDescent="0.25">
      <c r="A2272" s="10"/>
      <c r="B2272" s="10"/>
      <c r="E2272" s="10"/>
      <c r="G2272" s="10"/>
      <c r="I2272" s="436" t="s">
        <v>7512</v>
      </c>
      <c r="J2272" s="26" t="s">
        <v>7511</v>
      </c>
      <c r="K2272" s="10">
        <v>0.2</v>
      </c>
      <c r="L2272" s="73">
        <f>IF(Tank1!$C$23="No control",(SUMIF(Tank1!$B$32:$B$49,$J2272,Tank1!$C$32:$C$49)*Impacts!$F$8),0)</f>
        <v>0</v>
      </c>
      <c r="M2272" s="10">
        <f>IF(Tank2!$C$23="No control",(SUMIF(Tank2!$B$32:$B$49,$J2272,Tank2!$C$32:$C$49)*Impacts!$F$9),0)</f>
        <v>0</v>
      </c>
      <c r="N2272" s="10">
        <f>IF(Tank3!$C$23="No control",(SUMIF(Tank3!$B$32:$B$49,$J2272,Tank3!$C$32:$C$49)*Impacts!$F$10),0)</f>
        <v>0</v>
      </c>
      <c r="O2272" s="10">
        <f>IF(Tank4!$C$23="No control",(SUMIF(Tank4!$B$32:$B$49,$J2272,Tank4!$C$32:$C$49)*Impacts!$F$11),0)</f>
        <v>0</v>
      </c>
      <c r="P2272" s="10">
        <f>IF(Tank5!$C$23="No control",(SUMIF(Tank5!$B$32:$B$49,$J2272,Tank5!$C$32:$C$49)*Impacts!$F$12),0)</f>
        <v>0</v>
      </c>
      <c r="Q2272" s="10">
        <f>IFERROR(IF(('Loading-drum,tote'!$C$21)="No control",SUMIF(('Loading-drum,tote'!$B$31:$B$48),$J2272,('Loading-drum,tote'!$D$31:$D$48))*Impacts!$F$13,IF(('Loading-drum,tote'!$C$21)&lt;&gt;"No control",SUMIF(('Loading-drum,tote'!$B$31:$B$48),$J2272,('Loading-drum,tote'!$E$31:$E$48))*Impacts!$F$13,0)),0)</f>
        <v>0</v>
      </c>
      <c r="R2272" s="10">
        <f>IFERROR(IF(('Loading-truck'!$C$21)="No control",SUMIF(('Loading-truck'!$B$31:$B$48),$J2272,('Loading-truck'!$D$31:$D$48))*Impacts!$F$14,IF(('Loading-truck'!$C$21)&lt;&gt;"No control",SUMIF(('Loading-truck'!$B$31:$B$48),$J2272,('Loading-truck'!$E$31:$E$48))*Impacts!$F$14,0)),0)</f>
        <v>0</v>
      </c>
      <c r="S2272" s="10">
        <f>IFERROR(IF(('Loading-rail'!$C$21)="No control",SUMIF(('Loading-rail'!$B$31:$B$48),$J2272,('Loading-rail'!$D$31:$D$48))*Impacts!$F$15,IF(('Loading-rail'!$C$21)&lt;&gt;"No control",SUMIF(('Loading-rail'!$B$31:$B$48),$J2272,('Loading-rail'!$E$31:$E$48))*Impacts!$F$15,0)),0)</f>
        <v>0</v>
      </c>
      <c r="T2272" s="10">
        <f>IF(Flare!$C$7="",0,(SUMIF(Flare!$B$46:$B$185,$J2272,Flare!$E$46:$E$185)*Impacts!$F$16))</f>
        <v>0</v>
      </c>
      <c r="U2272" s="10">
        <f>IF(VCU!$C$9="",0,(SUMIF(VCU!$B$51:$B$193,$J2272,VCU!$E$51:$E$193)*Impacts!$F$17))</f>
        <v>0</v>
      </c>
      <c r="V2272" s="10">
        <f>IF(CAS!$C$7="",0,(SUMIF(CAS!$B$31:$B$167,$J2272,CAS!$E$31:$E$167)*Impacts!$F$18))</f>
        <v>0</v>
      </c>
      <c r="W2272" s="10">
        <f t="shared" si="76"/>
        <v>0</v>
      </c>
      <c r="AK2272" s="10" t="str">
        <f t="array" ref="AK2272">IFERROR(INDEX(SelectedSpecies,SMALL(IF(SelectedSpecies=AK$1,ROW(SelectedSpecies)),ROW(2273:2273)),2),"")</f>
        <v/>
      </c>
      <c r="BE2272" s="10"/>
      <c r="BI2272" s="10"/>
    </row>
    <row r="2273" spans="1:61" ht="21" customHeight="1" x14ac:dyDescent="0.25">
      <c r="A2273" s="10"/>
      <c r="B2273" s="10"/>
      <c r="E2273" s="10"/>
      <c r="G2273" s="10"/>
      <c r="I2273" s="436" t="s">
        <v>6266</v>
      </c>
      <c r="J2273" s="26" t="s">
        <v>6265</v>
      </c>
      <c r="K2273" s="10">
        <v>0.93000000000000016</v>
      </c>
      <c r="L2273" s="73">
        <f>IF(Tank1!$C$23="No control",(SUMIF(Tank1!$B$32:$B$49,$J2273,Tank1!$C$32:$C$49)*Impacts!$F$8),0)</f>
        <v>0</v>
      </c>
      <c r="M2273" s="10">
        <f>IF(Tank2!$C$23="No control",(SUMIF(Tank2!$B$32:$B$49,$J2273,Tank2!$C$32:$C$49)*Impacts!$F$9),0)</f>
        <v>0</v>
      </c>
      <c r="N2273" s="10">
        <f>IF(Tank3!$C$23="No control",(SUMIF(Tank3!$B$32:$B$49,$J2273,Tank3!$C$32:$C$49)*Impacts!$F$10),0)</f>
        <v>0</v>
      </c>
      <c r="O2273" s="10">
        <f>IF(Tank4!$C$23="No control",(SUMIF(Tank4!$B$32:$B$49,$J2273,Tank4!$C$32:$C$49)*Impacts!$F$11),0)</f>
        <v>0</v>
      </c>
      <c r="P2273" s="10">
        <f>IF(Tank5!$C$23="No control",(SUMIF(Tank5!$B$32:$B$49,$J2273,Tank5!$C$32:$C$49)*Impacts!$F$12),0)</f>
        <v>0</v>
      </c>
      <c r="Q2273" s="10">
        <f>IFERROR(IF(('Loading-drum,tote'!$C$21)="No control",SUMIF(('Loading-drum,tote'!$B$31:$B$48),$J2273,('Loading-drum,tote'!$D$31:$D$48))*Impacts!$F$13,IF(('Loading-drum,tote'!$C$21)&lt;&gt;"No control",SUMIF(('Loading-drum,tote'!$B$31:$B$48),$J2273,('Loading-drum,tote'!$E$31:$E$48))*Impacts!$F$13,0)),0)</f>
        <v>0</v>
      </c>
      <c r="R2273" s="10">
        <f>IFERROR(IF(('Loading-truck'!$C$21)="No control",SUMIF(('Loading-truck'!$B$31:$B$48),$J2273,('Loading-truck'!$D$31:$D$48))*Impacts!$F$14,IF(('Loading-truck'!$C$21)&lt;&gt;"No control",SUMIF(('Loading-truck'!$B$31:$B$48),$J2273,('Loading-truck'!$E$31:$E$48))*Impacts!$F$14,0)),0)</f>
        <v>0</v>
      </c>
      <c r="S2273" s="10">
        <f>IFERROR(IF(('Loading-rail'!$C$21)="No control",SUMIF(('Loading-rail'!$B$31:$B$48),$J2273,('Loading-rail'!$D$31:$D$48))*Impacts!$F$15,IF(('Loading-rail'!$C$21)&lt;&gt;"No control",SUMIF(('Loading-rail'!$B$31:$B$48),$J2273,('Loading-rail'!$E$31:$E$48))*Impacts!$F$15,0)),0)</f>
        <v>0</v>
      </c>
      <c r="T2273" s="10">
        <f>IF(Flare!$C$7="",0,(SUMIF(Flare!$B$46:$B$185,$J2273,Flare!$E$46:$E$185)*Impacts!$F$16))</f>
        <v>0</v>
      </c>
      <c r="U2273" s="10">
        <f>IF(VCU!$C$9="",0,(SUMIF(VCU!$B$51:$B$193,$J2273,VCU!$E$51:$E$193)*Impacts!$F$17))</f>
        <v>0</v>
      </c>
      <c r="V2273" s="10">
        <f>IF(CAS!$C$7="",0,(SUMIF(CAS!$B$31:$B$167,$J2273,CAS!$E$31:$E$167)*Impacts!$F$18))</f>
        <v>0</v>
      </c>
      <c r="W2273" s="10">
        <f t="shared" si="76"/>
        <v>0</v>
      </c>
      <c r="AK2273" s="10" t="str">
        <f t="array" ref="AK2273">IFERROR(INDEX(SelectedSpecies,SMALL(IF(SelectedSpecies=AK$1,ROW(SelectedSpecies)),ROW(2274:2274)),2),"")</f>
        <v/>
      </c>
      <c r="BE2273" s="10"/>
      <c r="BI2273" s="10"/>
    </row>
    <row r="2274" spans="1:61" ht="21" customHeight="1" x14ac:dyDescent="0.25">
      <c r="A2274" s="10"/>
      <c r="B2274" s="10"/>
      <c r="E2274" s="10"/>
      <c r="G2274" s="10"/>
      <c r="I2274" s="436" t="s">
        <v>5972</v>
      </c>
      <c r="J2274" s="26" t="s">
        <v>5971</v>
      </c>
      <c r="K2274" s="10">
        <v>1</v>
      </c>
      <c r="L2274" s="73">
        <f>IF(Tank1!$C$23="No control",(SUMIF(Tank1!$B$32:$B$49,$J2274,Tank1!$C$32:$C$49)*Impacts!$F$8),0)</f>
        <v>0</v>
      </c>
      <c r="M2274" s="10">
        <f>IF(Tank2!$C$23="No control",(SUMIF(Tank2!$B$32:$B$49,$J2274,Tank2!$C$32:$C$49)*Impacts!$F$9),0)</f>
        <v>0</v>
      </c>
      <c r="N2274" s="10">
        <f>IF(Tank3!$C$23="No control",(SUMIF(Tank3!$B$32:$B$49,$J2274,Tank3!$C$32:$C$49)*Impacts!$F$10),0)</f>
        <v>0</v>
      </c>
      <c r="O2274" s="10">
        <f>IF(Tank4!$C$23="No control",(SUMIF(Tank4!$B$32:$B$49,$J2274,Tank4!$C$32:$C$49)*Impacts!$F$11),0)</f>
        <v>0</v>
      </c>
      <c r="P2274" s="10">
        <f>IF(Tank5!$C$23="No control",(SUMIF(Tank5!$B$32:$B$49,$J2274,Tank5!$C$32:$C$49)*Impacts!$F$12),0)</f>
        <v>0</v>
      </c>
      <c r="Q2274" s="10">
        <f>IFERROR(IF(('Loading-drum,tote'!$C$21)="No control",SUMIF(('Loading-drum,tote'!$B$31:$B$48),$J2274,('Loading-drum,tote'!$D$31:$D$48))*Impacts!$F$13,IF(('Loading-drum,tote'!$C$21)&lt;&gt;"No control",SUMIF(('Loading-drum,tote'!$B$31:$B$48),$J2274,('Loading-drum,tote'!$E$31:$E$48))*Impacts!$F$13,0)),0)</f>
        <v>0</v>
      </c>
      <c r="R2274" s="10">
        <f>IFERROR(IF(('Loading-truck'!$C$21)="No control",SUMIF(('Loading-truck'!$B$31:$B$48),$J2274,('Loading-truck'!$D$31:$D$48))*Impacts!$F$14,IF(('Loading-truck'!$C$21)&lt;&gt;"No control",SUMIF(('Loading-truck'!$B$31:$B$48),$J2274,('Loading-truck'!$E$31:$E$48))*Impacts!$F$14,0)),0)</f>
        <v>0</v>
      </c>
      <c r="S2274" s="10">
        <f>IFERROR(IF(('Loading-rail'!$C$21)="No control",SUMIF(('Loading-rail'!$B$31:$B$48),$J2274,('Loading-rail'!$D$31:$D$48))*Impacts!$F$15,IF(('Loading-rail'!$C$21)&lt;&gt;"No control",SUMIF(('Loading-rail'!$B$31:$B$48),$J2274,('Loading-rail'!$E$31:$E$48))*Impacts!$F$15,0)),0)</f>
        <v>0</v>
      </c>
      <c r="T2274" s="10">
        <f>IF(Flare!$C$7="",0,(SUMIF(Flare!$B$46:$B$185,$J2274,Flare!$E$46:$E$185)*Impacts!$F$16))</f>
        <v>0</v>
      </c>
      <c r="U2274" s="10">
        <f>IF(VCU!$C$9="",0,(SUMIF(VCU!$B$51:$B$193,$J2274,VCU!$E$51:$E$193)*Impacts!$F$17))</f>
        <v>0</v>
      </c>
      <c r="V2274" s="10">
        <f>IF(CAS!$C$7="",0,(SUMIF(CAS!$B$31:$B$167,$J2274,CAS!$E$31:$E$167)*Impacts!$F$18))</f>
        <v>0</v>
      </c>
      <c r="W2274" s="10">
        <f t="shared" si="76"/>
        <v>0</v>
      </c>
      <c r="AK2274" s="10" t="str">
        <f t="array" ref="AK2274">IFERROR(INDEX(SelectedSpecies,SMALL(IF(SelectedSpecies=AK$1,ROW(SelectedSpecies)),ROW(2275:2275)),2),"")</f>
        <v/>
      </c>
      <c r="BE2274" s="10"/>
      <c r="BI2274" s="10"/>
    </row>
    <row r="2275" spans="1:61" ht="21" customHeight="1" x14ac:dyDescent="0.25">
      <c r="A2275" s="10"/>
      <c r="B2275" s="10"/>
      <c r="E2275" s="10"/>
      <c r="G2275" s="10"/>
      <c r="I2275" s="436" t="s">
        <v>7280</v>
      </c>
      <c r="J2275" s="26" t="s">
        <v>7279</v>
      </c>
      <c r="K2275" s="10">
        <v>0.30000000000000004</v>
      </c>
      <c r="L2275" s="73">
        <f>IF(Tank1!$C$23="No control",(SUMIF(Tank1!$B$32:$B$49,$J2275,Tank1!$C$32:$C$49)*Impacts!$F$8),0)</f>
        <v>0</v>
      </c>
      <c r="M2275" s="10">
        <f>IF(Tank2!$C$23="No control",(SUMIF(Tank2!$B$32:$B$49,$J2275,Tank2!$C$32:$C$49)*Impacts!$F$9),0)</f>
        <v>0</v>
      </c>
      <c r="N2275" s="10">
        <f>IF(Tank3!$C$23="No control",(SUMIF(Tank3!$B$32:$B$49,$J2275,Tank3!$C$32:$C$49)*Impacts!$F$10),0)</f>
        <v>0</v>
      </c>
      <c r="O2275" s="10">
        <f>IF(Tank4!$C$23="No control",(SUMIF(Tank4!$B$32:$B$49,$J2275,Tank4!$C$32:$C$49)*Impacts!$F$11),0)</f>
        <v>0</v>
      </c>
      <c r="P2275" s="10">
        <f>IF(Tank5!$C$23="No control",(SUMIF(Tank5!$B$32:$B$49,$J2275,Tank5!$C$32:$C$49)*Impacts!$F$12),0)</f>
        <v>0</v>
      </c>
      <c r="Q2275" s="10">
        <f>IFERROR(IF(('Loading-drum,tote'!$C$21)="No control",SUMIF(('Loading-drum,tote'!$B$31:$B$48),$J2275,('Loading-drum,tote'!$D$31:$D$48))*Impacts!$F$13,IF(('Loading-drum,tote'!$C$21)&lt;&gt;"No control",SUMIF(('Loading-drum,tote'!$B$31:$B$48),$J2275,('Loading-drum,tote'!$E$31:$E$48))*Impacts!$F$13,0)),0)</f>
        <v>0</v>
      </c>
      <c r="R2275" s="10">
        <f>IFERROR(IF(('Loading-truck'!$C$21)="No control",SUMIF(('Loading-truck'!$B$31:$B$48),$J2275,('Loading-truck'!$D$31:$D$48))*Impacts!$F$14,IF(('Loading-truck'!$C$21)&lt;&gt;"No control",SUMIF(('Loading-truck'!$B$31:$B$48),$J2275,('Loading-truck'!$E$31:$E$48))*Impacts!$F$14,0)),0)</f>
        <v>0</v>
      </c>
      <c r="S2275" s="10">
        <f>IFERROR(IF(('Loading-rail'!$C$21)="No control",SUMIF(('Loading-rail'!$B$31:$B$48),$J2275,('Loading-rail'!$D$31:$D$48))*Impacts!$F$15,IF(('Loading-rail'!$C$21)&lt;&gt;"No control",SUMIF(('Loading-rail'!$B$31:$B$48),$J2275,('Loading-rail'!$E$31:$E$48))*Impacts!$F$15,0)),0)</f>
        <v>0</v>
      </c>
      <c r="T2275" s="10">
        <f>IF(Flare!$C$7="",0,(SUMIF(Flare!$B$46:$B$185,$J2275,Flare!$E$46:$E$185)*Impacts!$F$16))</f>
        <v>0</v>
      </c>
      <c r="U2275" s="10">
        <f>IF(VCU!$C$9="",0,(SUMIF(VCU!$B$51:$B$193,$J2275,VCU!$E$51:$E$193)*Impacts!$F$17))</f>
        <v>0</v>
      </c>
      <c r="V2275" s="10">
        <f>IF(CAS!$C$7="",0,(SUMIF(CAS!$B$31:$B$167,$J2275,CAS!$E$31:$E$167)*Impacts!$F$18))</f>
        <v>0</v>
      </c>
      <c r="W2275" s="10">
        <f t="shared" si="76"/>
        <v>0</v>
      </c>
      <c r="AK2275" s="10" t="str">
        <f t="array" ref="AK2275">IFERROR(INDEX(SelectedSpecies,SMALL(IF(SelectedSpecies=AK$1,ROW(SelectedSpecies)),ROW(2276:2276)),2),"")</f>
        <v/>
      </c>
      <c r="BE2275" s="10"/>
      <c r="BI2275" s="10"/>
    </row>
    <row r="2276" spans="1:61" ht="21" customHeight="1" x14ac:dyDescent="0.25">
      <c r="A2276" s="10"/>
      <c r="B2276" s="10"/>
      <c r="E2276" s="10"/>
      <c r="G2276" s="10"/>
      <c r="I2276" s="436" t="s">
        <v>6396</v>
      </c>
      <c r="J2276" s="26" t="s">
        <v>6395</v>
      </c>
      <c r="K2276" s="10">
        <v>0.81</v>
      </c>
      <c r="L2276" s="73">
        <f>IF(Tank1!$C$23="No control",(SUMIF(Tank1!$B$32:$B$49,$J2276,Tank1!$C$32:$C$49)*Impacts!$F$8),0)</f>
        <v>0</v>
      </c>
      <c r="M2276" s="10">
        <f>IF(Tank2!$C$23="No control",(SUMIF(Tank2!$B$32:$B$49,$J2276,Tank2!$C$32:$C$49)*Impacts!$F$9),0)</f>
        <v>0</v>
      </c>
      <c r="N2276" s="10">
        <f>IF(Tank3!$C$23="No control",(SUMIF(Tank3!$B$32:$B$49,$J2276,Tank3!$C$32:$C$49)*Impacts!$F$10),0)</f>
        <v>0</v>
      </c>
      <c r="O2276" s="10">
        <f>IF(Tank4!$C$23="No control",(SUMIF(Tank4!$B$32:$B$49,$J2276,Tank4!$C$32:$C$49)*Impacts!$F$11),0)</f>
        <v>0</v>
      </c>
      <c r="P2276" s="10">
        <f>IF(Tank5!$C$23="No control",(SUMIF(Tank5!$B$32:$B$49,$J2276,Tank5!$C$32:$C$49)*Impacts!$F$12),0)</f>
        <v>0</v>
      </c>
      <c r="Q2276" s="10">
        <f>IFERROR(IF(('Loading-drum,tote'!$C$21)="No control",SUMIF(('Loading-drum,tote'!$B$31:$B$48),$J2276,('Loading-drum,tote'!$D$31:$D$48))*Impacts!$F$13,IF(('Loading-drum,tote'!$C$21)&lt;&gt;"No control",SUMIF(('Loading-drum,tote'!$B$31:$B$48),$J2276,('Loading-drum,tote'!$E$31:$E$48))*Impacts!$F$13,0)),0)</f>
        <v>0</v>
      </c>
      <c r="R2276" s="10">
        <f>IFERROR(IF(('Loading-truck'!$C$21)="No control",SUMIF(('Loading-truck'!$B$31:$B$48),$J2276,('Loading-truck'!$D$31:$D$48))*Impacts!$F$14,IF(('Loading-truck'!$C$21)&lt;&gt;"No control",SUMIF(('Loading-truck'!$B$31:$B$48),$J2276,('Loading-truck'!$E$31:$E$48))*Impacts!$F$14,0)),0)</f>
        <v>0</v>
      </c>
      <c r="S2276" s="10">
        <f>IFERROR(IF(('Loading-rail'!$C$21)="No control",SUMIF(('Loading-rail'!$B$31:$B$48),$J2276,('Loading-rail'!$D$31:$D$48))*Impacts!$F$15,IF(('Loading-rail'!$C$21)&lt;&gt;"No control",SUMIF(('Loading-rail'!$B$31:$B$48),$J2276,('Loading-rail'!$E$31:$E$48))*Impacts!$F$15,0)),0)</f>
        <v>0</v>
      </c>
      <c r="T2276" s="10">
        <f>IF(Flare!$C$7="",0,(SUMIF(Flare!$B$46:$B$185,$J2276,Flare!$E$46:$E$185)*Impacts!$F$16))</f>
        <v>0</v>
      </c>
      <c r="U2276" s="10">
        <f>IF(VCU!$C$9="",0,(SUMIF(VCU!$B$51:$B$193,$J2276,VCU!$E$51:$E$193)*Impacts!$F$17))</f>
        <v>0</v>
      </c>
      <c r="V2276" s="10">
        <f>IF(CAS!$C$7="",0,(SUMIF(CAS!$B$31:$B$167,$J2276,CAS!$E$31:$E$167)*Impacts!$F$18))</f>
        <v>0</v>
      </c>
      <c r="W2276" s="10">
        <f t="shared" si="76"/>
        <v>0</v>
      </c>
      <c r="AK2276" s="10" t="str">
        <f t="array" ref="AK2276">IFERROR(INDEX(SelectedSpecies,SMALL(IF(SelectedSpecies=AK$1,ROW(SelectedSpecies)),ROW(2277:2277)),2),"")</f>
        <v/>
      </c>
      <c r="BE2276" s="10"/>
      <c r="BI2276" s="10"/>
    </row>
    <row r="2277" spans="1:61" ht="21" customHeight="1" x14ac:dyDescent="0.25">
      <c r="A2277" s="10"/>
      <c r="B2277" s="10"/>
      <c r="E2277" s="10"/>
      <c r="G2277" s="10"/>
      <c r="I2277" s="436" t="s">
        <v>6396</v>
      </c>
      <c r="J2277" s="26" t="s">
        <v>10383</v>
      </c>
      <c r="K2277" s="10">
        <v>5.6999999999999995E-2</v>
      </c>
      <c r="L2277" s="73">
        <f>IF(Tank1!$C$23="No control",(SUMIF(Tank1!$B$32:$B$49,$J2277,Tank1!$C$32:$C$49)*Impacts!$F$8),0)</f>
        <v>0</v>
      </c>
      <c r="M2277" s="10">
        <f>IF(Tank2!$C$23="No control",(SUMIF(Tank2!$B$32:$B$49,$J2277,Tank2!$C$32:$C$49)*Impacts!$F$9),0)</f>
        <v>0</v>
      </c>
      <c r="N2277" s="10">
        <f>IF(Tank3!$C$23="No control",(SUMIF(Tank3!$B$32:$B$49,$J2277,Tank3!$C$32:$C$49)*Impacts!$F$10),0)</f>
        <v>0</v>
      </c>
      <c r="O2277" s="10">
        <f>IF(Tank4!$C$23="No control",(SUMIF(Tank4!$B$32:$B$49,$J2277,Tank4!$C$32:$C$49)*Impacts!$F$11),0)</f>
        <v>0</v>
      </c>
      <c r="P2277" s="10">
        <f>IF(Tank5!$C$23="No control",(SUMIF(Tank5!$B$32:$B$49,$J2277,Tank5!$C$32:$C$49)*Impacts!$F$12),0)</f>
        <v>0</v>
      </c>
      <c r="Q2277" s="10">
        <f>IFERROR(IF(('Loading-drum,tote'!$C$21)="No control",SUMIF(('Loading-drum,tote'!$B$31:$B$48),$J2277,('Loading-drum,tote'!$D$31:$D$48))*Impacts!$F$13,IF(('Loading-drum,tote'!$C$21)&lt;&gt;"No control",SUMIF(('Loading-drum,tote'!$B$31:$B$48),$J2277,('Loading-drum,tote'!$E$31:$E$48))*Impacts!$F$13,0)),0)</f>
        <v>0</v>
      </c>
      <c r="R2277" s="10">
        <f>IFERROR(IF(('Loading-truck'!$C$21)="No control",SUMIF(('Loading-truck'!$B$31:$B$48),$J2277,('Loading-truck'!$D$31:$D$48))*Impacts!$F$14,IF(('Loading-truck'!$C$21)&lt;&gt;"No control",SUMIF(('Loading-truck'!$B$31:$B$48),$J2277,('Loading-truck'!$E$31:$E$48))*Impacts!$F$14,0)),0)</f>
        <v>0</v>
      </c>
      <c r="S2277" s="10">
        <f>IFERROR(IF(('Loading-rail'!$C$21)="No control",SUMIF(('Loading-rail'!$B$31:$B$48),$J2277,('Loading-rail'!$D$31:$D$48))*Impacts!$F$15,IF(('Loading-rail'!$C$21)&lt;&gt;"No control",SUMIF(('Loading-rail'!$B$31:$B$48),$J2277,('Loading-rail'!$E$31:$E$48))*Impacts!$F$15,0)),0)</f>
        <v>0</v>
      </c>
      <c r="T2277" s="10">
        <f>IF(Flare!$C$7="",0,(SUMIF(Flare!$B$46:$B$185,$J2277,Flare!$E$46:$E$185)*Impacts!$F$16))</f>
        <v>0</v>
      </c>
      <c r="U2277" s="10">
        <f>IF(VCU!$C$9="",0,(SUMIF(VCU!$B$51:$B$193,$J2277,VCU!$E$51:$E$193)*Impacts!$F$17))</f>
        <v>0</v>
      </c>
      <c r="V2277" s="10">
        <f>IF(CAS!$C$7="",0,(SUMIF(CAS!$B$31:$B$167,$J2277,CAS!$E$31:$E$167)*Impacts!$F$18))</f>
        <v>0</v>
      </c>
      <c r="W2277" s="10">
        <f t="shared" si="76"/>
        <v>0</v>
      </c>
      <c r="AK2277" s="10" t="str">
        <f t="array" ref="AK2277">IFERROR(INDEX(SelectedSpecies,SMALL(IF(SelectedSpecies=AK$1,ROW(SelectedSpecies)),ROW(2278:2278)),2),"")</f>
        <v/>
      </c>
      <c r="BE2277" s="10"/>
      <c r="BI2277" s="10"/>
    </row>
    <row r="2278" spans="1:61" ht="21" customHeight="1" x14ac:dyDescent="0.25">
      <c r="A2278" s="10"/>
      <c r="B2278" s="10"/>
      <c r="E2278" s="10"/>
      <c r="G2278" s="10"/>
      <c r="I2278" s="436" t="s">
        <v>6396</v>
      </c>
      <c r="J2278" s="26" t="s">
        <v>10384</v>
      </c>
      <c r="K2278" s="10">
        <v>7.0999999999999994E-2</v>
      </c>
      <c r="L2278" s="73">
        <f>IF(Tank1!$C$23="No control",(SUMIF(Tank1!$B$32:$B$49,$J2278,Tank1!$C$32:$C$49)*Impacts!$F$8),0)</f>
        <v>0</v>
      </c>
      <c r="M2278" s="10">
        <f>IF(Tank2!$C$23="No control",(SUMIF(Tank2!$B$32:$B$49,$J2278,Tank2!$C$32:$C$49)*Impacts!$F$9),0)</f>
        <v>0</v>
      </c>
      <c r="N2278" s="10">
        <f>IF(Tank3!$C$23="No control",(SUMIF(Tank3!$B$32:$B$49,$J2278,Tank3!$C$32:$C$49)*Impacts!$F$10),0)</f>
        <v>0</v>
      </c>
      <c r="O2278" s="10">
        <f>IF(Tank4!$C$23="No control",(SUMIF(Tank4!$B$32:$B$49,$J2278,Tank4!$C$32:$C$49)*Impacts!$F$11),0)</f>
        <v>0</v>
      </c>
      <c r="P2278" s="10">
        <f>IF(Tank5!$C$23="No control",(SUMIF(Tank5!$B$32:$B$49,$J2278,Tank5!$C$32:$C$49)*Impacts!$F$12),0)</f>
        <v>0</v>
      </c>
      <c r="Q2278" s="10">
        <f>IFERROR(IF(('Loading-drum,tote'!$C$21)="No control",SUMIF(('Loading-drum,tote'!$B$31:$B$48),$J2278,('Loading-drum,tote'!$D$31:$D$48))*Impacts!$F$13,IF(('Loading-drum,tote'!$C$21)&lt;&gt;"No control",SUMIF(('Loading-drum,tote'!$B$31:$B$48),$J2278,('Loading-drum,tote'!$E$31:$E$48))*Impacts!$F$13,0)),0)</f>
        <v>0</v>
      </c>
      <c r="R2278" s="10">
        <f>IFERROR(IF(('Loading-truck'!$C$21)="No control",SUMIF(('Loading-truck'!$B$31:$B$48),$J2278,('Loading-truck'!$D$31:$D$48))*Impacts!$F$14,IF(('Loading-truck'!$C$21)&lt;&gt;"No control",SUMIF(('Loading-truck'!$B$31:$B$48),$J2278,('Loading-truck'!$E$31:$E$48))*Impacts!$F$14,0)),0)</f>
        <v>0</v>
      </c>
      <c r="S2278" s="10">
        <f>IFERROR(IF(('Loading-rail'!$C$21)="No control",SUMIF(('Loading-rail'!$B$31:$B$48),$J2278,('Loading-rail'!$D$31:$D$48))*Impacts!$F$15,IF(('Loading-rail'!$C$21)&lt;&gt;"No control",SUMIF(('Loading-rail'!$B$31:$B$48),$J2278,('Loading-rail'!$E$31:$E$48))*Impacts!$F$15,0)),0)</f>
        <v>0</v>
      </c>
      <c r="T2278" s="10">
        <f>IF(Flare!$C$7="",0,(SUMIF(Flare!$B$46:$B$185,$J2278,Flare!$E$46:$E$185)*Impacts!$F$16))</f>
        <v>0</v>
      </c>
      <c r="U2278" s="10">
        <f>IF(VCU!$C$9="",0,(SUMIF(VCU!$B$51:$B$193,$J2278,VCU!$E$51:$E$193)*Impacts!$F$17))</f>
        <v>0</v>
      </c>
      <c r="V2278" s="10">
        <f>IF(CAS!$C$7="",0,(SUMIF(CAS!$B$31:$B$167,$J2278,CAS!$E$31:$E$167)*Impacts!$F$18))</f>
        <v>0</v>
      </c>
      <c r="W2278" s="10">
        <f t="shared" si="76"/>
        <v>0</v>
      </c>
      <c r="AK2278" s="10" t="str">
        <f t="array" ref="AK2278">IFERROR(INDEX(SelectedSpecies,SMALL(IF(SelectedSpecies=AK$1,ROW(SelectedSpecies)),ROW(2279:2279)),2),"")</f>
        <v/>
      </c>
      <c r="BE2278" s="10"/>
      <c r="BI2278" s="10"/>
    </row>
    <row r="2279" spans="1:61" ht="21" customHeight="1" x14ac:dyDescent="0.25">
      <c r="A2279" s="10"/>
      <c r="B2279" s="10"/>
      <c r="E2279" s="10"/>
      <c r="G2279" s="10"/>
      <c r="I2279" s="436" t="s">
        <v>7624</v>
      </c>
      <c r="J2279" s="26" t="s">
        <v>7623</v>
      </c>
      <c r="K2279" s="10">
        <v>0.13999999999999999</v>
      </c>
      <c r="L2279" s="73">
        <f>IF(Tank1!$C$23="No control",(SUMIF(Tank1!$B$32:$B$49,$J2279,Tank1!$C$32:$C$49)*Impacts!$F$8),0)</f>
        <v>0</v>
      </c>
      <c r="M2279" s="10">
        <f>IF(Tank2!$C$23="No control",(SUMIF(Tank2!$B$32:$B$49,$J2279,Tank2!$C$32:$C$49)*Impacts!$F$9),0)</f>
        <v>0</v>
      </c>
      <c r="N2279" s="10">
        <f>IF(Tank3!$C$23="No control",(SUMIF(Tank3!$B$32:$B$49,$J2279,Tank3!$C$32:$C$49)*Impacts!$F$10),0)</f>
        <v>0</v>
      </c>
      <c r="O2279" s="10">
        <f>IF(Tank4!$C$23="No control",(SUMIF(Tank4!$B$32:$B$49,$J2279,Tank4!$C$32:$C$49)*Impacts!$F$11),0)</f>
        <v>0</v>
      </c>
      <c r="P2279" s="10">
        <f>IF(Tank5!$C$23="No control",(SUMIF(Tank5!$B$32:$B$49,$J2279,Tank5!$C$32:$C$49)*Impacts!$F$12),0)</f>
        <v>0</v>
      </c>
      <c r="Q2279" s="10">
        <f>IFERROR(IF(('Loading-drum,tote'!$C$21)="No control",SUMIF(('Loading-drum,tote'!$B$31:$B$48),$J2279,('Loading-drum,tote'!$D$31:$D$48))*Impacts!$F$13,IF(('Loading-drum,tote'!$C$21)&lt;&gt;"No control",SUMIF(('Loading-drum,tote'!$B$31:$B$48),$J2279,('Loading-drum,tote'!$E$31:$E$48))*Impacts!$F$13,0)),0)</f>
        <v>0</v>
      </c>
      <c r="R2279" s="10">
        <f>IFERROR(IF(('Loading-truck'!$C$21)="No control",SUMIF(('Loading-truck'!$B$31:$B$48),$J2279,('Loading-truck'!$D$31:$D$48))*Impacts!$F$14,IF(('Loading-truck'!$C$21)&lt;&gt;"No control",SUMIF(('Loading-truck'!$B$31:$B$48),$J2279,('Loading-truck'!$E$31:$E$48))*Impacts!$F$14,0)),0)</f>
        <v>0</v>
      </c>
      <c r="S2279" s="10">
        <f>IFERROR(IF(('Loading-rail'!$C$21)="No control",SUMIF(('Loading-rail'!$B$31:$B$48),$J2279,('Loading-rail'!$D$31:$D$48))*Impacts!$F$15,IF(('Loading-rail'!$C$21)&lt;&gt;"No control",SUMIF(('Loading-rail'!$B$31:$B$48),$J2279,('Loading-rail'!$E$31:$E$48))*Impacts!$F$15,0)),0)</f>
        <v>0</v>
      </c>
      <c r="T2279" s="10">
        <f>IF(Flare!$C$7="",0,(SUMIF(Flare!$B$46:$B$185,$J2279,Flare!$E$46:$E$185)*Impacts!$F$16))</f>
        <v>0</v>
      </c>
      <c r="U2279" s="10">
        <f>IF(VCU!$C$9="",0,(SUMIF(VCU!$B$51:$B$193,$J2279,VCU!$E$51:$E$193)*Impacts!$F$17))</f>
        <v>0</v>
      </c>
      <c r="V2279" s="10">
        <f>IF(CAS!$C$7="",0,(SUMIF(CAS!$B$31:$B$167,$J2279,CAS!$E$31:$E$167)*Impacts!$F$18))</f>
        <v>0</v>
      </c>
      <c r="W2279" s="10">
        <f t="shared" si="76"/>
        <v>0</v>
      </c>
      <c r="AK2279" s="10" t="str">
        <f t="array" ref="AK2279">IFERROR(INDEX(SelectedSpecies,SMALL(IF(SelectedSpecies=AK$1,ROW(SelectedSpecies)),ROW(2280:2280)),2),"")</f>
        <v/>
      </c>
      <c r="BE2279" s="10"/>
      <c r="BI2279" s="10"/>
    </row>
    <row r="2280" spans="1:61" ht="21" customHeight="1" x14ac:dyDescent="0.25">
      <c r="A2280" s="10"/>
      <c r="B2280" s="10"/>
      <c r="E2280" s="10"/>
      <c r="G2280" s="10"/>
      <c r="I2280" s="436" t="s">
        <v>6642</v>
      </c>
      <c r="J2280" s="26" t="s">
        <v>6641</v>
      </c>
      <c r="K2280" s="10">
        <v>0.60000000000000009</v>
      </c>
      <c r="L2280" s="73">
        <f>IF(Tank1!$C$23="No control",(SUMIF(Tank1!$B$32:$B$49,$J2280,Tank1!$C$32:$C$49)*Impacts!$F$8),0)</f>
        <v>0</v>
      </c>
      <c r="M2280" s="10">
        <f>IF(Tank2!$C$23="No control",(SUMIF(Tank2!$B$32:$B$49,$J2280,Tank2!$C$32:$C$49)*Impacts!$F$9),0)</f>
        <v>0</v>
      </c>
      <c r="N2280" s="10">
        <f>IF(Tank3!$C$23="No control",(SUMIF(Tank3!$B$32:$B$49,$J2280,Tank3!$C$32:$C$49)*Impacts!$F$10),0)</f>
        <v>0</v>
      </c>
      <c r="O2280" s="10">
        <f>IF(Tank4!$C$23="No control",(SUMIF(Tank4!$B$32:$B$49,$J2280,Tank4!$C$32:$C$49)*Impacts!$F$11),0)</f>
        <v>0</v>
      </c>
      <c r="P2280" s="10">
        <f>IF(Tank5!$C$23="No control",(SUMIF(Tank5!$B$32:$B$49,$J2280,Tank5!$C$32:$C$49)*Impacts!$F$12),0)</f>
        <v>0</v>
      </c>
      <c r="Q2280" s="10">
        <f>IFERROR(IF(('Loading-drum,tote'!$C$21)="No control",SUMIF(('Loading-drum,tote'!$B$31:$B$48),$J2280,('Loading-drum,tote'!$D$31:$D$48))*Impacts!$F$13,IF(('Loading-drum,tote'!$C$21)&lt;&gt;"No control",SUMIF(('Loading-drum,tote'!$B$31:$B$48),$J2280,('Loading-drum,tote'!$E$31:$E$48))*Impacts!$F$13,0)),0)</f>
        <v>0</v>
      </c>
      <c r="R2280" s="10">
        <f>IFERROR(IF(('Loading-truck'!$C$21)="No control",SUMIF(('Loading-truck'!$B$31:$B$48),$J2280,('Loading-truck'!$D$31:$D$48))*Impacts!$F$14,IF(('Loading-truck'!$C$21)&lt;&gt;"No control",SUMIF(('Loading-truck'!$B$31:$B$48),$J2280,('Loading-truck'!$E$31:$E$48))*Impacts!$F$14,0)),0)</f>
        <v>0</v>
      </c>
      <c r="S2280" s="10">
        <f>IFERROR(IF(('Loading-rail'!$C$21)="No control",SUMIF(('Loading-rail'!$B$31:$B$48),$J2280,('Loading-rail'!$D$31:$D$48))*Impacts!$F$15,IF(('Loading-rail'!$C$21)&lt;&gt;"No control",SUMIF(('Loading-rail'!$B$31:$B$48),$J2280,('Loading-rail'!$E$31:$E$48))*Impacts!$F$15,0)),0)</f>
        <v>0</v>
      </c>
      <c r="T2280" s="10">
        <f>IF(Flare!$C$7="",0,(SUMIF(Flare!$B$46:$B$185,$J2280,Flare!$E$46:$E$185)*Impacts!$F$16))</f>
        <v>0</v>
      </c>
      <c r="U2280" s="10">
        <f>IF(VCU!$C$9="",0,(SUMIF(VCU!$B$51:$B$193,$J2280,VCU!$E$51:$E$193)*Impacts!$F$17))</f>
        <v>0</v>
      </c>
      <c r="V2280" s="10">
        <f>IF(CAS!$C$7="",0,(SUMIF(CAS!$B$31:$B$167,$J2280,CAS!$E$31:$E$167)*Impacts!$F$18))</f>
        <v>0</v>
      </c>
      <c r="W2280" s="10">
        <f t="shared" si="76"/>
        <v>0</v>
      </c>
      <c r="AK2280" s="10" t="str">
        <f t="array" ref="AK2280">IFERROR(INDEX(SelectedSpecies,SMALL(IF(SelectedSpecies=AK$1,ROW(SelectedSpecies)),ROW(2281:2281)),2),"")</f>
        <v/>
      </c>
      <c r="BE2280" s="10"/>
      <c r="BI2280" s="10"/>
    </row>
    <row r="2281" spans="1:61" ht="21" customHeight="1" x14ac:dyDescent="0.25">
      <c r="A2281" s="10"/>
      <c r="B2281" s="10"/>
      <c r="E2281" s="10"/>
      <c r="G2281" s="10"/>
      <c r="I2281" s="436" t="s">
        <v>3967</v>
      </c>
      <c r="J2281" s="26" t="s">
        <v>3966</v>
      </c>
      <c r="K2281" s="10">
        <v>6</v>
      </c>
      <c r="L2281" s="73">
        <f>IF(Tank1!$C$23="No control",(SUMIF(Tank1!$B$32:$B$49,$J2281,Tank1!$C$32:$C$49)*Impacts!$F$8),0)</f>
        <v>0</v>
      </c>
      <c r="M2281" s="10">
        <f>IF(Tank2!$C$23="No control",(SUMIF(Tank2!$B$32:$B$49,$J2281,Tank2!$C$32:$C$49)*Impacts!$F$9),0)</f>
        <v>0</v>
      </c>
      <c r="N2281" s="10">
        <f>IF(Tank3!$C$23="No control",(SUMIF(Tank3!$B$32:$B$49,$J2281,Tank3!$C$32:$C$49)*Impacts!$F$10),0)</f>
        <v>0</v>
      </c>
      <c r="O2281" s="10">
        <f>IF(Tank4!$C$23="No control",(SUMIF(Tank4!$B$32:$B$49,$J2281,Tank4!$C$32:$C$49)*Impacts!$F$11),0)</f>
        <v>0</v>
      </c>
      <c r="P2281" s="10">
        <f>IF(Tank5!$C$23="No control",(SUMIF(Tank5!$B$32:$B$49,$J2281,Tank5!$C$32:$C$49)*Impacts!$F$12),0)</f>
        <v>0</v>
      </c>
      <c r="Q2281" s="10">
        <f>IFERROR(IF(('Loading-drum,tote'!$C$21)="No control",SUMIF(('Loading-drum,tote'!$B$31:$B$48),$J2281,('Loading-drum,tote'!$D$31:$D$48))*Impacts!$F$13,IF(('Loading-drum,tote'!$C$21)&lt;&gt;"No control",SUMIF(('Loading-drum,tote'!$B$31:$B$48),$J2281,('Loading-drum,tote'!$E$31:$E$48))*Impacts!$F$13,0)),0)</f>
        <v>0</v>
      </c>
      <c r="R2281" s="10">
        <f>IFERROR(IF(('Loading-truck'!$C$21)="No control",SUMIF(('Loading-truck'!$B$31:$B$48),$J2281,('Loading-truck'!$D$31:$D$48))*Impacts!$F$14,IF(('Loading-truck'!$C$21)&lt;&gt;"No control",SUMIF(('Loading-truck'!$B$31:$B$48),$J2281,('Loading-truck'!$E$31:$E$48))*Impacts!$F$14,0)),0)</f>
        <v>0</v>
      </c>
      <c r="S2281" s="10">
        <f>IFERROR(IF(('Loading-rail'!$C$21)="No control",SUMIF(('Loading-rail'!$B$31:$B$48),$J2281,('Loading-rail'!$D$31:$D$48))*Impacts!$F$15,IF(('Loading-rail'!$C$21)&lt;&gt;"No control",SUMIF(('Loading-rail'!$B$31:$B$48),$J2281,('Loading-rail'!$E$31:$E$48))*Impacts!$F$15,0)),0)</f>
        <v>0</v>
      </c>
      <c r="T2281" s="10">
        <f>IF(Flare!$C$7="",0,(SUMIF(Flare!$B$46:$B$185,$J2281,Flare!$E$46:$E$185)*Impacts!$F$16))</f>
        <v>0</v>
      </c>
      <c r="U2281" s="10">
        <f>IF(VCU!$C$9="",0,(SUMIF(VCU!$B$51:$B$193,$J2281,VCU!$E$51:$E$193)*Impacts!$F$17))</f>
        <v>0</v>
      </c>
      <c r="V2281" s="10">
        <f>IF(CAS!$C$7="",0,(SUMIF(CAS!$B$31:$B$167,$J2281,CAS!$E$31:$E$167)*Impacts!$F$18))</f>
        <v>0</v>
      </c>
      <c r="W2281" s="10">
        <f t="shared" si="76"/>
        <v>0</v>
      </c>
      <c r="AK2281" s="10" t="str">
        <f t="array" ref="AK2281">IFERROR(INDEX(SelectedSpecies,SMALL(IF(SelectedSpecies=AK$1,ROW(SelectedSpecies)),ROW(2282:2282)),2),"")</f>
        <v/>
      </c>
      <c r="BE2281" s="10"/>
      <c r="BI2281" s="10"/>
    </row>
    <row r="2282" spans="1:61" ht="21" customHeight="1" x14ac:dyDescent="0.25">
      <c r="A2282" s="10"/>
      <c r="B2282" s="10"/>
      <c r="E2282" s="10"/>
      <c r="G2282" s="10"/>
      <c r="I2282" s="436" t="s">
        <v>2011</v>
      </c>
      <c r="J2282" s="26" t="s">
        <v>2010</v>
      </c>
      <c r="K2282" s="10">
        <v>17</v>
      </c>
      <c r="L2282" s="73">
        <f>IF(Tank1!$C$23="No control",(SUMIF(Tank1!$B$32:$B$49,$J2282,Tank1!$C$32:$C$49)*Impacts!$F$8),0)</f>
        <v>0</v>
      </c>
      <c r="M2282" s="10">
        <f>IF(Tank2!$C$23="No control",(SUMIF(Tank2!$B$32:$B$49,$J2282,Tank2!$C$32:$C$49)*Impacts!$F$9),0)</f>
        <v>0</v>
      </c>
      <c r="N2282" s="10">
        <f>IF(Tank3!$C$23="No control",(SUMIF(Tank3!$B$32:$B$49,$J2282,Tank3!$C$32:$C$49)*Impacts!$F$10),0)</f>
        <v>0</v>
      </c>
      <c r="O2282" s="10">
        <f>IF(Tank4!$C$23="No control",(SUMIF(Tank4!$B$32:$B$49,$J2282,Tank4!$C$32:$C$49)*Impacts!$F$11),0)</f>
        <v>0</v>
      </c>
      <c r="P2282" s="10">
        <f>IF(Tank5!$C$23="No control",(SUMIF(Tank5!$B$32:$B$49,$J2282,Tank5!$C$32:$C$49)*Impacts!$F$12),0)</f>
        <v>0</v>
      </c>
      <c r="Q2282" s="10">
        <f>IFERROR(IF(('Loading-drum,tote'!$C$21)="No control",SUMIF(('Loading-drum,tote'!$B$31:$B$48),$J2282,('Loading-drum,tote'!$D$31:$D$48))*Impacts!$F$13,IF(('Loading-drum,tote'!$C$21)&lt;&gt;"No control",SUMIF(('Loading-drum,tote'!$B$31:$B$48),$J2282,('Loading-drum,tote'!$E$31:$E$48))*Impacts!$F$13,0)),0)</f>
        <v>0</v>
      </c>
      <c r="R2282" s="10">
        <f>IFERROR(IF(('Loading-truck'!$C$21)="No control",SUMIF(('Loading-truck'!$B$31:$B$48),$J2282,('Loading-truck'!$D$31:$D$48))*Impacts!$F$14,IF(('Loading-truck'!$C$21)&lt;&gt;"No control",SUMIF(('Loading-truck'!$B$31:$B$48),$J2282,('Loading-truck'!$E$31:$E$48))*Impacts!$F$14,0)),0)</f>
        <v>0</v>
      </c>
      <c r="S2282" s="10">
        <f>IFERROR(IF(('Loading-rail'!$C$21)="No control",SUMIF(('Loading-rail'!$B$31:$B$48),$J2282,('Loading-rail'!$D$31:$D$48))*Impacts!$F$15,IF(('Loading-rail'!$C$21)&lt;&gt;"No control",SUMIF(('Loading-rail'!$B$31:$B$48),$J2282,('Loading-rail'!$E$31:$E$48))*Impacts!$F$15,0)),0)</f>
        <v>0</v>
      </c>
      <c r="T2282" s="10">
        <f>IF(Flare!$C$7="",0,(SUMIF(Flare!$B$46:$B$185,$J2282,Flare!$E$46:$E$185)*Impacts!$F$16))</f>
        <v>0</v>
      </c>
      <c r="U2282" s="10">
        <f>IF(VCU!$C$9="",0,(SUMIF(VCU!$B$51:$B$193,$J2282,VCU!$E$51:$E$193)*Impacts!$F$17))</f>
        <v>0</v>
      </c>
      <c r="V2282" s="10">
        <f>IF(CAS!$C$7="",0,(SUMIF(CAS!$B$31:$B$167,$J2282,CAS!$E$31:$E$167)*Impacts!$F$18))</f>
        <v>0</v>
      </c>
      <c r="W2282" s="10">
        <f t="shared" si="76"/>
        <v>0</v>
      </c>
      <c r="AK2282" s="10" t="str">
        <f t="array" ref="AK2282">IFERROR(INDEX(SelectedSpecies,SMALL(IF(SelectedSpecies=AK$1,ROW(SelectedSpecies)),ROW(2283:2283)),2),"")</f>
        <v/>
      </c>
      <c r="BE2282" s="10"/>
      <c r="BI2282" s="10"/>
    </row>
    <row r="2283" spans="1:61" ht="21" customHeight="1" x14ac:dyDescent="0.25">
      <c r="A2283" s="10"/>
      <c r="B2283" s="10"/>
      <c r="E2283" s="10"/>
      <c r="G2283" s="10"/>
      <c r="I2283" s="436" t="s">
        <v>3969</v>
      </c>
      <c r="J2283" s="26" t="s">
        <v>3968</v>
      </c>
      <c r="K2283" s="10">
        <v>6</v>
      </c>
      <c r="L2283" s="73">
        <f>IF(Tank1!$C$23="No control",(SUMIF(Tank1!$B$32:$B$49,$J2283,Tank1!$C$32:$C$49)*Impacts!$F$8),0)</f>
        <v>0</v>
      </c>
      <c r="M2283" s="10">
        <f>IF(Tank2!$C$23="No control",(SUMIF(Tank2!$B$32:$B$49,$J2283,Tank2!$C$32:$C$49)*Impacts!$F$9),0)</f>
        <v>0</v>
      </c>
      <c r="N2283" s="10">
        <f>IF(Tank3!$C$23="No control",(SUMIF(Tank3!$B$32:$B$49,$J2283,Tank3!$C$32:$C$49)*Impacts!$F$10),0)</f>
        <v>0</v>
      </c>
      <c r="O2283" s="10">
        <f>IF(Tank4!$C$23="No control",(SUMIF(Tank4!$B$32:$B$49,$J2283,Tank4!$C$32:$C$49)*Impacts!$F$11),0)</f>
        <v>0</v>
      </c>
      <c r="P2283" s="10">
        <f>IF(Tank5!$C$23="No control",(SUMIF(Tank5!$B$32:$B$49,$J2283,Tank5!$C$32:$C$49)*Impacts!$F$12),0)</f>
        <v>0</v>
      </c>
      <c r="Q2283" s="10">
        <f>IFERROR(IF(('Loading-drum,tote'!$C$21)="No control",SUMIF(('Loading-drum,tote'!$B$31:$B$48),$J2283,('Loading-drum,tote'!$D$31:$D$48))*Impacts!$F$13,IF(('Loading-drum,tote'!$C$21)&lt;&gt;"No control",SUMIF(('Loading-drum,tote'!$B$31:$B$48),$J2283,('Loading-drum,tote'!$E$31:$E$48))*Impacts!$F$13,0)),0)</f>
        <v>0</v>
      </c>
      <c r="R2283" s="10">
        <f>IFERROR(IF(('Loading-truck'!$C$21)="No control",SUMIF(('Loading-truck'!$B$31:$B$48),$J2283,('Loading-truck'!$D$31:$D$48))*Impacts!$F$14,IF(('Loading-truck'!$C$21)&lt;&gt;"No control",SUMIF(('Loading-truck'!$B$31:$B$48),$J2283,('Loading-truck'!$E$31:$E$48))*Impacts!$F$14,0)),0)</f>
        <v>0</v>
      </c>
      <c r="S2283" s="10">
        <f>IFERROR(IF(('Loading-rail'!$C$21)="No control",SUMIF(('Loading-rail'!$B$31:$B$48),$J2283,('Loading-rail'!$D$31:$D$48))*Impacts!$F$15,IF(('Loading-rail'!$C$21)&lt;&gt;"No control",SUMIF(('Loading-rail'!$B$31:$B$48),$J2283,('Loading-rail'!$E$31:$E$48))*Impacts!$F$15,0)),0)</f>
        <v>0</v>
      </c>
      <c r="T2283" s="10">
        <f>IF(Flare!$C$7="",0,(SUMIF(Flare!$B$46:$B$185,$J2283,Flare!$E$46:$E$185)*Impacts!$F$16))</f>
        <v>0</v>
      </c>
      <c r="U2283" s="10">
        <f>IF(VCU!$C$9="",0,(SUMIF(VCU!$B$51:$B$193,$J2283,VCU!$E$51:$E$193)*Impacts!$F$17))</f>
        <v>0</v>
      </c>
      <c r="V2283" s="10">
        <f>IF(CAS!$C$7="",0,(SUMIF(CAS!$B$31:$B$167,$J2283,CAS!$E$31:$E$167)*Impacts!$F$18))</f>
        <v>0</v>
      </c>
      <c r="W2283" s="10">
        <f t="shared" si="76"/>
        <v>0</v>
      </c>
      <c r="AK2283" s="10" t="str">
        <f t="array" ref="AK2283">IFERROR(INDEX(SelectedSpecies,SMALL(IF(SelectedSpecies=AK$1,ROW(SelectedSpecies)),ROW(2284:2284)),2),"")</f>
        <v/>
      </c>
      <c r="BE2283" s="10"/>
      <c r="BI2283" s="10"/>
    </row>
    <row r="2284" spans="1:61" ht="21" customHeight="1" x14ac:dyDescent="0.25">
      <c r="A2284" s="10"/>
      <c r="B2284" s="10"/>
      <c r="E2284" s="10"/>
      <c r="G2284" s="10"/>
      <c r="I2284" s="436" t="s">
        <v>2513</v>
      </c>
      <c r="J2284" s="26" t="s">
        <v>2512</v>
      </c>
      <c r="K2284" s="10">
        <v>10</v>
      </c>
      <c r="L2284" s="73">
        <f>IF(Tank1!$C$23="No control",(SUMIF(Tank1!$B$32:$B$49,$J2284,Tank1!$C$32:$C$49)*Impacts!$F$8),0)</f>
        <v>0</v>
      </c>
      <c r="M2284" s="10">
        <f>IF(Tank2!$C$23="No control",(SUMIF(Tank2!$B$32:$B$49,$J2284,Tank2!$C$32:$C$49)*Impacts!$F$9),0)</f>
        <v>0</v>
      </c>
      <c r="N2284" s="10">
        <f>IF(Tank3!$C$23="No control",(SUMIF(Tank3!$B$32:$B$49,$J2284,Tank3!$C$32:$C$49)*Impacts!$F$10),0)</f>
        <v>0</v>
      </c>
      <c r="O2284" s="10">
        <f>IF(Tank4!$C$23="No control",(SUMIF(Tank4!$B$32:$B$49,$J2284,Tank4!$C$32:$C$49)*Impacts!$F$11),0)</f>
        <v>0</v>
      </c>
      <c r="P2284" s="10">
        <f>IF(Tank5!$C$23="No control",(SUMIF(Tank5!$B$32:$B$49,$J2284,Tank5!$C$32:$C$49)*Impacts!$F$12),0)</f>
        <v>0</v>
      </c>
      <c r="Q2284" s="10">
        <f>IFERROR(IF(('Loading-drum,tote'!$C$21)="No control",SUMIF(('Loading-drum,tote'!$B$31:$B$48),$J2284,('Loading-drum,tote'!$D$31:$D$48))*Impacts!$F$13,IF(('Loading-drum,tote'!$C$21)&lt;&gt;"No control",SUMIF(('Loading-drum,tote'!$B$31:$B$48),$J2284,('Loading-drum,tote'!$E$31:$E$48))*Impacts!$F$13,0)),0)</f>
        <v>0</v>
      </c>
      <c r="R2284" s="10">
        <f>IFERROR(IF(('Loading-truck'!$C$21)="No control",SUMIF(('Loading-truck'!$B$31:$B$48),$J2284,('Loading-truck'!$D$31:$D$48))*Impacts!$F$14,IF(('Loading-truck'!$C$21)&lt;&gt;"No control",SUMIF(('Loading-truck'!$B$31:$B$48),$J2284,('Loading-truck'!$E$31:$E$48))*Impacts!$F$14,0)),0)</f>
        <v>0</v>
      </c>
      <c r="S2284" s="10">
        <f>IFERROR(IF(('Loading-rail'!$C$21)="No control",SUMIF(('Loading-rail'!$B$31:$B$48),$J2284,('Loading-rail'!$D$31:$D$48))*Impacts!$F$15,IF(('Loading-rail'!$C$21)&lt;&gt;"No control",SUMIF(('Loading-rail'!$B$31:$B$48),$J2284,('Loading-rail'!$E$31:$E$48))*Impacts!$F$15,0)),0)</f>
        <v>0</v>
      </c>
      <c r="T2284" s="10">
        <f>IF(Flare!$C$7="",0,(SUMIF(Flare!$B$46:$B$185,$J2284,Flare!$E$46:$E$185)*Impacts!$F$16))</f>
        <v>0</v>
      </c>
      <c r="U2284" s="10">
        <f>IF(VCU!$C$9="",0,(SUMIF(VCU!$B$51:$B$193,$J2284,VCU!$E$51:$E$193)*Impacts!$F$17))</f>
        <v>0</v>
      </c>
      <c r="V2284" s="10">
        <f>IF(CAS!$C$7="",0,(SUMIF(CAS!$B$31:$B$167,$J2284,CAS!$E$31:$E$167)*Impacts!$F$18))</f>
        <v>0</v>
      </c>
      <c r="W2284" s="10">
        <f t="shared" si="76"/>
        <v>0</v>
      </c>
      <c r="AK2284" s="10" t="str">
        <f t="array" ref="AK2284">IFERROR(INDEX(SelectedSpecies,SMALL(IF(SelectedSpecies=AK$1,ROW(SelectedSpecies)),ROW(2285:2285)),2),"")</f>
        <v/>
      </c>
      <c r="BE2284" s="10"/>
      <c r="BI2284" s="10"/>
    </row>
    <row r="2285" spans="1:61" ht="21" customHeight="1" x14ac:dyDescent="0.25">
      <c r="A2285" s="10"/>
      <c r="B2285" s="10"/>
      <c r="E2285" s="10"/>
      <c r="G2285" s="10"/>
      <c r="I2285" s="436" t="s">
        <v>5277</v>
      </c>
      <c r="J2285" s="26" t="s">
        <v>5276</v>
      </c>
      <c r="K2285" s="10">
        <v>1.8</v>
      </c>
      <c r="L2285" s="73">
        <f>IF(Tank1!$C$23="No control",(SUMIF(Tank1!$B$32:$B$49,$J2285,Tank1!$C$32:$C$49)*Impacts!$F$8),0)</f>
        <v>0</v>
      </c>
      <c r="M2285" s="10">
        <f>IF(Tank2!$C$23="No control",(SUMIF(Tank2!$B$32:$B$49,$J2285,Tank2!$C$32:$C$49)*Impacts!$F$9),0)</f>
        <v>0</v>
      </c>
      <c r="N2285" s="10">
        <f>IF(Tank3!$C$23="No control",(SUMIF(Tank3!$B$32:$B$49,$J2285,Tank3!$C$32:$C$49)*Impacts!$F$10),0)</f>
        <v>0</v>
      </c>
      <c r="O2285" s="10">
        <f>IF(Tank4!$C$23="No control",(SUMIF(Tank4!$B$32:$B$49,$J2285,Tank4!$C$32:$C$49)*Impacts!$F$11),0)</f>
        <v>0</v>
      </c>
      <c r="P2285" s="10">
        <f>IF(Tank5!$C$23="No control",(SUMIF(Tank5!$B$32:$B$49,$J2285,Tank5!$C$32:$C$49)*Impacts!$F$12),0)</f>
        <v>0</v>
      </c>
      <c r="Q2285" s="10">
        <f>IFERROR(IF(('Loading-drum,tote'!$C$21)="No control",SUMIF(('Loading-drum,tote'!$B$31:$B$48),$J2285,('Loading-drum,tote'!$D$31:$D$48))*Impacts!$F$13,IF(('Loading-drum,tote'!$C$21)&lt;&gt;"No control",SUMIF(('Loading-drum,tote'!$B$31:$B$48),$J2285,('Loading-drum,tote'!$E$31:$E$48))*Impacts!$F$13,0)),0)</f>
        <v>0</v>
      </c>
      <c r="R2285" s="10">
        <f>IFERROR(IF(('Loading-truck'!$C$21)="No control",SUMIF(('Loading-truck'!$B$31:$B$48),$J2285,('Loading-truck'!$D$31:$D$48))*Impacts!$F$14,IF(('Loading-truck'!$C$21)&lt;&gt;"No control",SUMIF(('Loading-truck'!$B$31:$B$48),$J2285,('Loading-truck'!$E$31:$E$48))*Impacts!$F$14,0)),0)</f>
        <v>0</v>
      </c>
      <c r="S2285" s="10">
        <f>IFERROR(IF(('Loading-rail'!$C$21)="No control",SUMIF(('Loading-rail'!$B$31:$B$48),$J2285,('Loading-rail'!$D$31:$D$48))*Impacts!$F$15,IF(('Loading-rail'!$C$21)&lt;&gt;"No control",SUMIF(('Loading-rail'!$B$31:$B$48),$J2285,('Loading-rail'!$E$31:$E$48))*Impacts!$F$15,0)),0)</f>
        <v>0</v>
      </c>
      <c r="T2285" s="10">
        <f>IF(Flare!$C$7="",0,(SUMIF(Flare!$B$46:$B$185,$J2285,Flare!$E$46:$E$185)*Impacts!$F$16))</f>
        <v>0</v>
      </c>
      <c r="U2285" s="10">
        <f>IF(VCU!$C$9="",0,(SUMIF(VCU!$B$51:$B$193,$J2285,VCU!$E$51:$E$193)*Impacts!$F$17))</f>
        <v>0</v>
      </c>
      <c r="V2285" s="10">
        <f>IF(CAS!$C$7="",0,(SUMIF(CAS!$B$31:$B$167,$J2285,CAS!$E$31:$E$167)*Impacts!$F$18))</f>
        <v>0</v>
      </c>
      <c r="W2285" s="10">
        <f t="shared" si="76"/>
        <v>0</v>
      </c>
      <c r="AK2285" s="10" t="str">
        <f t="array" ref="AK2285">IFERROR(INDEX(SelectedSpecies,SMALL(IF(SelectedSpecies=AK$1,ROW(SelectedSpecies)),ROW(2286:2286)),2),"")</f>
        <v/>
      </c>
      <c r="BE2285" s="10"/>
      <c r="BI2285" s="10"/>
    </row>
    <row r="2286" spans="1:61" ht="21" customHeight="1" x14ac:dyDescent="0.25">
      <c r="A2286" s="10"/>
      <c r="B2286" s="10"/>
      <c r="E2286" s="10"/>
      <c r="G2286" s="10"/>
      <c r="I2286" s="436" t="s">
        <v>3627</v>
      </c>
      <c r="J2286" s="26" t="s">
        <v>3626</v>
      </c>
      <c r="K2286" s="10">
        <v>7.3000000000000007</v>
      </c>
      <c r="L2286" s="73">
        <f>IF(Tank1!$C$23="No control",(SUMIF(Tank1!$B$32:$B$49,$J2286,Tank1!$C$32:$C$49)*Impacts!$F$8),0)</f>
        <v>0</v>
      </c>
      <c r="M2286" s="10">
        <f>IF(Tank2!$C$23="No control",(SUMIF(Tank2!$B$32:$B$49,$J2286,Tank2!$C$32:$C$49)*Impacts!$F$9),0)</f>
        <v>0</v>
      </c>
      <c r="N2286" s="10">
        <f>IF(Tank3!$C$23="No control",(SUMIF(Tank3!$B$32:$B$49,$J2286,Tank3!$C$32:$C$49)*Impacts!$F$10),0)</f>
        <v>0</v>
      </c>
      <c r="O2286" s="10">
        <f>IF(Tank4!$C$23="No control",(SUMIF(Tank4!$B$32:$B$49,$J2286,Tank4!$C$32:$C$49)*Impacts!$F$11),0)</f>
        <v>0</v>
      </c>
      <c r="P2286" s="10">
        <f>IF(Tank5!$C$23="No control",(SUMIF(Tank5!$B$32:$B$49,$J2286,Tank5!$C$32:$C$49)*Impacts!$F$12),0)</f>
        <v>0</v>
      </c>
      <c r="Q2286" s="10">
        <f>IFERROR(IF(('Loading-drum,tote'!$C$21)="No control",SUMIF(('Loading-drum,tote'!$B$31:$B$48),$J2286,('Loading-drum,tote'!$D$31:$D$48))*Impacts!$F$13,IF(('Loading-drum,tote'!$C$21)&lt;&gt;"No control",SUMIF(('Loading-drum,tote'!$B$31:$B$48),$J2286,('Loading-drum,tote'!$E$31:$E$48))*Impacts!$F$13,0)),0)</f>
        <v>0</v>
      </c>
      <c r="R2286" s="10">
        <f>IFERROR(IF(('Loading-truck'!$C$21)="No control",SUMIF(('Loading-truck'!$B$31:$B$48),$J2286,('Loading-truck'!$D$31:$D$48))*Impacts!$F$14,IF(('Loading-truck'!$C$21)&lt;&gt;"No control",SUMIF(('Loading-truck'!$B$31:$B$48),$J2286,('Loading-truck'!$E$31:$E$48))*Impacts!$F$14,0)),0)</f>
        <v>0</v>
      </c>
      <c r="S2286" s="10">
        <f>IFERROR(IF(('Loading-rail'!$C$21)="No control",SUMIF(('Loading-rail'!$B$31:$B$48),$J2286,('Loading-rail'!$D$31:$D$48))*Impacts!$F$15,IF(('Loading-rail'!$C$21)&lt;&gt;"No control",SUMIF(('Loading-rail'!$B$31:$B$48),$J2286,('Loading-rail'!$E$31:$E$48))*Impacts!$F$15,0)),0)</f>
        <v>0</v>
      </c>
      <c r="T2286" s="10">
        <f>IF(Flare!$C$7="",0,(SUMIF(Flare!$B$46:$B$185,$J2286,Flare!$E$46:$E$185)*Impacts!$F$16))</f>
        <v>0</v>
      </c>
      <c r="U2286" s="10">
        <f>IF(VCU!$C$9="",0,(SUMIF(VCU!$B$51:$B$193,$J2286,VCU!$E$51:$E$193)*Impacts!$F$17))</f>
        <v>0</v>
      </c>
      <c r="V2286" s="10">
        <f>IF(CAS!$C$7="",0,(SUMIF(CAS!$B$31:$B$167,$J2286,CAS!$E$31:$E$167)*Impacts!$F$18))</f>
        <v>0</v>
      </c>
      <c r="W2286" s="10">
        <f t="shared" si="76"/>
        <v>0</v>
      </c>
      <c r="AK2286" s="10" t="str">
        <f t="array" ref="AK2286">IFERROR(INDEX(SelectedSpecies,SMALL(IF(SelectedSpecies=AK$1,ROW(SelectedSpecies)),ROW(2287:2287)),2),"")</f>
        <v/>
      </c>
      <c r="BE2286" s="10"/>
      <c r="BI2286" s="10"/>
    </row>
    <row r="2287" spans="1:61" ht="21" customHeight="1" x14ac:dyDescent="0.25">
      <c r="A2287" s="10"/>
      <c r="B2287" s="10"/>
      <c r="E2287" s="10"/>
      <c r="G2287" s="10"/>
      <c r="I2287" s="436" t="s">
        <v>550</v>
      </c>
      <c r="J2287" s="26" t="s">
        <v>549</v>
      </c>
      <c r="K2287" s="10">
        <v>100</v>
      </c>
      <c r="L2287" s="73">
        <f>IF(Tank1!$C$23="No control",(SUMIF(Tank1!$B$32:$B$49,$J2287,Tank1!$C$32:$C$49)*Impacts!$F$8),0)</f>
        <v>0</v>
      </c>
      <c r="M2287" s="10">
        <f>IF(Tank2!$C$23="No control",(SUMIF(Tank2!$B$32:$B$49,$J2287,Tank2!$C$32:$C$49)*Impacts!$F$9),0)</f>
        <v>0</v>
      </c>
      <c r="N2287" s="10">
        <f>IF(Tank3!$C$23="No control",(SUMIF(Tank3!$B$32:$B$49,$J2287,Tank3!$C$32:$C$49)*Impacts!$F$10),0)</f>
        <v>0</v>
      </c>
      <c r="O2287" s="10">
        <f>IF(Tank4!$C$23="No control",(SUMIF(Tank4!$B$32:$B$49,$J2287,Tank4!$C$32:$C$49)*Impacts!$F$11),0)</f>
        <v>0</v>
      </c>
      <c r="P2287" s="10">
        <f>IF(Tank5!$C$23="No control",(SUMIF(Tank5!$B$32:$B$49,$J2287,Tank5!$C$32:$C$49)*Impacts!$F$12),0)</f>
        <v>0</v>
      </c>
      <c r="Q2287" s="10">
        <f>IFERROR(IF(('Loading-drum,tote'!$C$21)="No control",SUMIF(('Loading-drum,tote'!$B$31:$B$48),$J2287,('Loading-drum,tote'!$D$31:$D$48))*Impacts!$F$13,IF(('Loading-drum,tote'!$C$21)&lt;&gt;"No control",SUMIF(('Loading-drum,tote'!$B$31:$B$48),$J2287,('Loading-drum,tote'!$E$31:$E$48))*Impacts!$F$13,0)),0)</f>
        <v>0</v>
      </c>
      <c r="R2287" s="10">
        <f>IFERROR(IF(('Loading-truck'!$C$21)="No control",SUMIF(('Loading-truck'!$B$31:$B$48),$J2287,('Loading-truck'!$D$31:$D$48))*Impacts!$F$14,IF(('Loading-truck'!$C$21)&lt;&gt;"No control",SUMIF(('Loading-truck'!$B$31:$B$48),$J2287,('Loading-truck'!$E$31:$E$48))*Impacts!$F$14,0)),0)</f>
        <v>0</v>
      </c>
      <c r="S2287" s="10">
        <f>IFERROR(IF(('Loading-rail'!$C$21)="No control",SUMIF(('Loading-rail'!$B$31:$B$48),$J2287,('Loading-rail'!$D$31:$D$48))*Impacts!$F$15,IF(('Loading-rail'!$C$21)&lt;&gt;"No control",SUMIF(('Loading-rail'!$B$31:$B$48),$J2287,('Loading-rail'!$E$31:$E$48))*Impacts!$F$15,0)),0)</f>
        <v>0</v>
      </c>
      <c r="T2287" s="10">
        <f>IF(Flare!$C$7="",0,(SUMIF(Flare!$B$46:$B$185,$J2287,Flare!$E$46:$E$185)*Impacts!$F$16))</f>
        <v>0</v>
      </c>
      <c r="U2287" s="10">
        <f>IF(VCU!$C$9="",0,(SUMIF(VCU!$B$51:$B$193,$J2287,VCU!$E$51:$E$193)*Impacts!$F$17))</f>
        <v>0</v>
      </c>
      <c r="V2287" s="10">
        <f>IF(CAS!$C$7="",0,(SUMIF(CAS!$B$31:$B$167,$J2287,CAS!$E$31:$E$167)*Impacts!$F$18))</f>
        <v>0</v>
      </c>
      <c r="W2287" s="10">
        <f t="shared" si="76"/>
        <v>0</v>
      </c>
      <c r="AK2287" s="10" t="str">
        <f t="array" ref="AK2287">IFERROR(INDEX(SelectedSpecies,SMALL(IF(SelectedSpecies=AK$1,ROW(SelectedSpecies)),ROW(2288:2288)),2),"")</f>
        <v/>
      </c>
      <c r="BE2287" s="10"/>
      <c r="BI2287" s="10"/>
    </row>
    <row r="2288" spans="1:61" ht="21" customHeight="1" x14ac:dyDescent="0.25">
      <c r="A2288" s="10"/>
      <c r="B2288" s="10"/>
      <c r="E2288" s="10"/>
      <c r="G2288" s="10"/>
      <c r="I2288" s="436" t="s">
        <v>7330</v>
      </c>
      <c r="J2288" s="26" t="s">
        <v>7329</v>
      </c>
      <c r="K2288" s="10">
        <v>0.27</v>
      </c>
      <c r="L2288" s="73">
        <f>IF(Tank1!$C$23="No control",(SUMIF(Tank1!$B$32:$B$49,$J2288,Tank1!$C$32:$C$49)*Impacts!$F$8),0)</f>
        <v>0</v>
      </c>
      <c r="M2288" s="10">
        <f>IF(Tank2!$C$23="No control",(SUMIF(Tank2!$B$32:$B$49,$J2288,Tank2!$C$32:$C$49)*Impacts!$F$9),0)</f>
        <v>0</v>
      </c>
      <c r="N2288" s="10">
        <f>IF(Tank3!$C$23="No control",(SUMIF(Tank3!$B$32:$B$49,$J2288,Tank3!$C$32:$C$49)*Impacts!$F$10),0)</f>
        <v>0</v>
      </c>
      <c r="O2288" s="10">
        <f>IF(Tank4!$C$23="No control",(SUMIF(Tank4!$B$32:$B$49,$J2288,Tank4!$C$32:$C$49)*Impacts!$F$11),0)</f>
        <v>0</v>
      </c>
      <c r="P2288" s="10">
        <f>IF(Tank5!$C$23="No control",(SUMIF(Tank5!$B$32:$B$49,$J2288,Tank5!$C$32:$C$49)*Impacts!$F$12),0)</f>
        <v>0</v>
      </c>
      <c r="Q2288" s="10">
        <f>IFERROR(IF(('Loading-drum,tote'!$C$21)="No control",SUMIF(('Loading-drum,tote'!$B$31:$B$48),$J2288,('Loading-drum,tote'!$D$31:$D$48))*Impacts!$F$13,IF(('Loading-drum,tote'!$C$21)&lt;&gt;"No control",SUMIF(('Loading-drum,tote'!$B$31:$B$48),$J2288,('Loading-drum,tote'!$E$31:$E$48))*Impacts!$F$13,0)),0)</f>
        <v>0</v>
      </c>
      <c r="R2288" s="10">
        <f>IFERROR(IF(('Loading-truck'!$C$21)="No control",SUMIF(('Loading-truck'!$B$31:$B$48),$J2288,('Loading-truck'!$D$31:$D$48))*Impacts!$F$14,IF(('Loading-truck'!$C$21)&lt;&gt;"No control",SUMIF(('Loading-truck'!$B$31:$B$48),$J2288,('Loading-truck'!$E$31:$E$48))*Impacts!$F$14,0)),0)</f>
        <v>0</v>
      </c>
      <c r="S2288" s="10">
        <f>IFERROR(IF(('Loading-rail'!$C$21)="No control",SUMIF(('Loading-rail'!$B$31:$B$48),$J2288,('Loading-rail'!$D$31:$D$48))*Impacts!$F$15,IF(('Loading-rail'!$C$21)&lt;&gt;"No control",SUMIF(('Loading-rail'!$B$31:$B$48),$J2288,('Loading-rail'!$E$31:$E$48))*Impacts!$F$15,0)),0)</f>
        <v>0</v>
      </c>
      <c r="T2288" s="10">
        <f>IF(Flare!$C$7="",0,(SUMIF(Flare!$B$46:$B$185,$J2288,Flare!$E$46:$E$185)*Impacts!$F$16))</f>
        <v>0</v>
      </c>
      <c r="U2288" s="10">
        <f>IF(VCU!$C$9="",0,(SUMIF(VCU!$B$51:$B$193,$J2288,VCU!$E$51:$E$193)*Impacts!$F$17))</f>
        <v>0</v>
      </c>
      <c r="V2288" s="10">
        <f>IF(CAS!$C$7="",0,(SUMIF(CAS!$B$31:$B$167,$J2288,CAS!$E$31:$E$167)*Impacts!$F$18))</f>
        <v>0</v>
      </c>
      <c r="W2288" s="10">
        <f t="shared" si="76"/>
        <v>0</v>
      </c>
      <c r="AK2288" s="10" t="str">
        <f t="array" ref="AK2288">IFERROR(INDEX(SelectedSpecies,SMALL(IF(SelectedSpecies=AK$1,ROW(SelectedSpecies)),ROW(2289:2289)),2),"")</f>
        <v/>
      </c>
      <c r="BE2288" s="10"/>
      <c r="BI2288" s="10"/>
    </row>
    <row r="2289" spans="1:61" ht="21" customHeight="1" x14ac:dyDescent="0.25">
      <c r="A2289" s="10"/>
      <c r="B2289" s="10"/>
      <c r="E2289" s="10"/>
      <c r="G2289" s="10"/>
      <c r="I2289" s="436" t="s">
        <v>774</v>
      </c>
      <c r="J2289" s="26" t="s">
        <v>773</v>
      </c>
      <c r="K2289" s="10">
        <v>54</v>
      </c>
      <c r="L2289" s="73">
        <f>IF(Tank1!$C$23="No control",(SUMIF(Tank1!$B$32:$B$49,$J2289,Tank1!$C$32:$C$49)*Impacts!$F$8),0)</f>
        <v>0</v>
      </c>
      <c r="M2289" s="10">
        <f>IF(Tank2!$C$23="No control",(SUMIF(Tank2!$B$32:$B$49,$J2289,Tank2!$C$32:$C$49)*Impacts!$F$9),0)</f>
        <v>0</v>
      </c>
      <c r="N2289" s="10">
        <f>IF(Tank3!$C$23="No control",(SUMIF(Tank3!$B$32:$B$49,$J2289,Tank3!$C$32:$C$49)*Impacts!$F$10),0)</f>
        <v>0</v>
      </c>
      <c r="O2289" s="10">
        <f>IF(Tank4!$C$23="No control",(SUMIF(Tank4!$B$32:$B$49,$J2289,Tank4!$C$32:$C$49)*Impacts!$F$11),0)</f>
        <v>0</v>
      </c>
      <c r="P2289" s="10">
        <f>IF(Tank5!$C$23="No control",(SUMIF(Tank5!$B$32:$B$49,$J2289,Tank5!$C$32:$C$49)*Impacts!$F$12),0)</f>
        <v>0</v>
      </c>
      <c r="Q2289" s="10">
        <f>IFERROR(IF(('Loading-drum,tote'!$C$21)="No control",SUMIF(('Loading-drum,tote'!$B$31:$B$48),$J2289,('Loading-drum,tote'!$D$31:$D$48))*Impacts!$F$13,IF(('Loading-drum,tote'!$C$21)&lt;&gt;"No control",SUMIF(('Loading-drum,tote'!$B$31:$B$48),$J2289,('Loading-drum,tote'!$E$31:$E$48))*Impacts!$F$13,0)),0)</f>
        <v>0</v>
      </c>
      <c r="R2289" s="10">
        <f>IFERROR(IF(('Loading-truck'!$C$21)="No control",SUMIF(('Loading-truck'!$B$31:$B$48),$J2289,('Loading-truck'!$D$31:$D$48))*Impacts!$F$14,IF(('Loading-truck'!$C$21)&lt;&gt;"No control",SUMIF(('Loading-truck'!$B$31:$B$48),$J2289,('Loading-truck'!$E$31:$E$48))*Impacts!$F$14,0)),0)</f>
        <v>0</v>
      </c>
      <c r="S2289" s="10">
        <f>IFERROR(IF(('Loading-rail'!$C$21)="No control",SUMIF(('Loading-rail'!$B$31:$B$48),$J2289,('Loading-rail'!$D$31:$D$48))*Impacts!$F$15,IF(('Loading-rail'!$C$21)&lt;&gt;"No control",SUMIF(('Loading-rail'!$B$31:$B$48),$J2289,('Loading-rail'!$E$31:$E$48))*Impacts!$F$15,0)),0)</f>
        <v>0</v>
      </c>
      <c r="T2289" s="10">
        <f>IF(Flare!$C$7="",0,(SUMIF(Flare!$B$46:$B$185,$J2289,Flare!$E$46:$E$185)*Impacts!$F$16))</f>
        <v>0</v>
      </c>
      <c r="U2289" s="10">
        <f>IF(VCU!$C$9="",0,(SUMIF(VCU!$B$51:$B$193,$J2289,VCU!$E$51:$E$193)*Impacts!$F$17))</f>
        <v>0</v>
      </c>
      <c r="V2289" s="10">
        <f>IF(CAS!$C$7="",0,(SUMIF(CAS!$B$31:$B$167,$J2289,CAS!$E$31:$E$167)*Impacts!$F$18))</f>
        <v>0</v>
      </c>
      <c r="W2289" s="10">
        <f t="shared" si="76"/>
        <v>0</v>
      </c>
      <c r="AK2289" s="10" t="str">
        <f t="array" ref="AK2289">IFERROR(INDEX(SelectedSpecies,SMALL(IF(SelectedSpecies=AK$1,ROW(SelectedSpecies)),ROW(2290:2290)),2),"")</f>
        <v/>
      </c>
      <c r="BE2289" s="10"/>
      <c r="BI2289" s="10"/>
    </row>
    <row r="2290" spans="1:61" ht="21" customHeight="1" x14ac:dyDescent="0.25">
      <c r="A2290" s="10"/>
      <c r="B2290" s="10"/>
      <c r="E2290" s="10"/>
      <c r="G2290" s="10"/>
      <c r="I2290" s="436" t="s">
        <v>3481</v>
      </c>
      <c r="J2290" s="26" t="s">
        <v>3480</v>
      </c>
      <c r="K2290" s="10">
        <v>9.6000000000000014</v>
      </c>
      <c r="L2290" s="73">
        <f>IF(Tank1!$C$23="No control",(SUMIF(Tank1!$B$32:$B$49,$J2290,Tank1!$C$32:$C$49)*Impacts!$F$8),0)</f>
        <v>0</v>
      </c>
      <c r="M2290" s="10">
        <f>IF(Tank2!$C$23="No control",(SUMIF(Tank2!$B$32:$B$49,$J2290,Tank2!$C$32:$C$49)*Impacts!$F$9),0)</f>
        <v>0</v>
      </c>
      <c r="N2290" s="10">
        <f>IF(Tank3!$C$23="No control",(SUMIF(Tank3!$B$32:$B$49,$J2290,Tank3!$C$32:$C$49)*Impacts!$F$10),0)</f>
        <v>0</v>
      </c>
      <c r="O2290" s="10">
        <f>IF(Tank4!$C$23="No control",(SUMIF(Tank4!$B$32:$B$49,$J2290,Tank4!$C$32:$C$49)*Impacts!$F$11),0)</f>
        <v>0</v>
      </c>
      <c r="P2290" s="10">
        <f>IF(Tank5!$C$23="No control",(SUMIF(Tank5!$B$32:$B$49,$J2290,Tank5!$C$32:$C$49)*Impacts!$F$12),0)</f>
        <v>0</v>
      </c>
      <c r="Q2290" s="10">
        <f>IFERROR(IF(('Loading-drum,tote'!$C$21)="No control",SUMIF(('Loading-drum,tote'!$B$31:$B$48),$J2290,('Loading-drum,tote'!$D$31:$D$48))*Impacts!$F$13,IF(('Loading-drum,tote'!$C$21)&lt;&gt;"No control",SUMIF(('Loading-drum,tote'!$B$31:$B$48),$J2290,('Loading-drum,tote'!$E$31:$E$48))*Impacts!$F$13,0)),0)</f>
        <v>0</v>
      </c>
      <c r="R2290" s="10">
        <f>IFERROR(IF(('Loading-truck'!$C$21)="No control",SUMIF(('Loading-truck'!$B$31:$B$48),$J2290,('Loading-truck'!$D$31:$D$48))*Impacts!$F$14,IF(('Loading-truck'!$C$21)&lt;&gt;"No control",SUMIF(('Loading-truck'!$B$31:$B$48),$J2290,('Loading-truck'!$E$31:$E$48))*Impacts!$F$14,0)),0)</f>
        <v>0</v>
      </c>
      <c r="S2290" s="10">
        <f>IFERROR(IF(('Loading-rail'!$C$21)="No control",SUMIF(('Loading-rail'!$B$31:$B$48),$J2290,('Loading-rail'!$D$31:$D$48))*Impacts!$F$15,IF(('Loading-rail'!$C$21)&lt;&gt;"No control",SUMIF(('Loading-rail'!$B$31:$B$48),$J2290,('Loading-rail'!$E$31:$E$48))*Impacts!$F$15,0)),0)</f>
        <v>0</v>
      </c>
      <c r="T2290" s="10">
        <f>IF(Flare!$C$7="",0,(SUMIF(Flare!$B$46:$B$185,$J2290,Flare!$E$46:$E$185)*Impacts!$F$16))</f>
        <v>0</v>
      </c>
      <c r="U2290" s="10">
        <f>IF(VCU!$C$9="",0,(SUMIF(VCU!$B$51:$B$193,$J2290,VCU!$E$51:$E$193)*Impacts!$F$17))</f>
        <v>0</v>
      </c>
      <c r="V2290" s="10">
        <f>IF(CAS!$C$7="",0,(SUMIF(CAS!$B$31:$B$167,$J2290,CAS!$E$31:$E$167)*Impacts!$F$18))</f>
        <v>0</v>
      </c>
      <c r="W2290" s="10">
        <f t="shared" si="76"/>
        <v>0</v>
      </c>
      <c r="AK2290" s="10" t="str">
        <f t="array" ref="AK2290">IFERROR(INDEX(SelectedSpecies,SMALL(IF(SelectedSpecies=AK$1,ROW(SelectedSpecies)),ROW(2291:2291)),2),"")</f>
        <v/>
      </c>
      <c r="BE2290" s="10"/>
      <c r="BI2290" s="10"/>
    </row>
    <row r="2291" spans="1:61" ht="21" customHeight="1" x14ac:dyDescent="0.25">
      <c r="A2291" s="10"/>
      <c r="B2291" s="10"/>
      <c r="E2291" s="10"/>
      <c r="G2291" s="10"/>
      <c r="I2291" s="436" t="s">
        <v>6692</v>
      </c>
      <c r="J2291" s="26" t="s">
        <v>6691</v>
      </c>
      <c r="K2291" s="10">
        <v>0.54</v>
      </c>
      <c r="L2291" s="73">
        <f>IF(Tank1!$C$23="No control",(SUMIF(Tank1!$B$32:$B$49,$J2291,Tank1!$C$32:$C$49)*Impacts!$F$8),0)</f>
        <v>0</v>
      </c>
      <c r="M2291" s="10">
        <f>IF(Tank2!$C$23="No control",(SUMIF(Tank2!$B$32:$B$49,$J2291,Tank2!$C$32:$C$49)*Impacts!$F$9),0)</f>
        <v>0</v>
      </c>
      <c r="N2291" s="10">
        <f>IF(Tank3!$C$23="No control",(SUMIF(Tank3!$B$32:$B$49,$J2291,Tank3!$C$32:$C$49)*Impacts!$F$10),0)</f>
        <v>0</v>
      </c>
      <c r="O2291" s="10">
        <f>IF(Tank4!$C$23="No control",(SUMIF(Tank4!$B$32:$B$49,$J2291,Tank4!$C$32:$C$49)*Impacts!$F$11),0)</f>
        <v>0</v>
      </c>
      <c r="P2291" s="10">
        <f>IF(Tank5!$C$23="No control",(SUMIF(Tank5!$B$32:$B$49,$J2291,Tank5!$C$32:$C$49)*Impacts!$F$12),0)</f>
        <v>0</v>
      </c>
      <c r="Q2291" s="10">
        <f>IFERROR(IF(('Loading-drum,tote'!$C$21)="No control",SUMIF(('Loading-drum,tote'!$B$31:$B$48),$J2291,('Loading-drum,tote'!$D$31:$D$48))*Impacts!$F$13,IF(('Loading-drum,tote'!$C$21)&lt;&gt;"No control",SUMIF(('Loading-drum,tote'!$B$31:$B$48),$J2291,('Loading-drum,tote'!$E$31:$E$48))*Impacts!$F$13,0)),0)</f>
        <v>0</v>
      </c>
      <c r="R2291" s="10">
        <f>IFERROR(IF(('Loading-truck'!$C$21)="No control",SUMIF(('Loading-truck'!$B$31:$B$48),$J2291,('Loading-truck'!$D$31:$D$48))*Impacts!$F$14,IF(('Loading-truck'!$C$21)&lt;&gt;"No control",SUMIF(('Loading-truck'!$B$31:$B$48),$J2291,('Loading-truck'!$E$31:$E$48))*Impacts!$F$14,0)),0)</f>
        <v>0</v>
      </c>
      <c r="S2291" s="10">
        <f>IFERROR(IF(('Loading-rail'!$C$21)="No control",SUMIF(('Loading-rail'!$B$31:$B$48),$J2291,('Loading-rail'!$D$31:$D$48))*Impacts!$F$15,IF(('Loading-rail'!$C$21)&lt;&gt;"No control",SUMIF(('Loading-rail'!$B$31:$B$48),$J2291,('Loading-rail'!$E$31:$E$48))*Impacts!$F$15,0)),0)</f>
        <v>0</v>
      </c>
      <c r="T2291" s="10">
        <f>IF(Flare!$C$7="",0,(SUMIF(Flare!$B$46:$B$185,$J2291,Flare!$E$46:$E$185)*Impacts!$F$16))</f>
        <v>0</v>
      </c>
      <c r="U2291" s="10">
        <f>IF(VCU!$C$9="",0,(SUMIF(VCU!$B$51:$B$193,$J2291,VCU!$E$51:$E$193)*Impacts!$F$17))</f>
        <v>0</v>
      </c>
      <c r="V2291" s="10">
        <f>IF(CAS!$C$7="",0,(SUMIF(CAS!$B$31:$B$167,$J2291,CAS!$E$31:$E$167)*Impacts!$F$18))</f>
        <v>0</v>
      </c>
      <c r="W2291" s="10">
        <f t="shared" si="76"/>
        <v>0</v>
      </c>
      <c r="AK2291" s="10" t="str">
        <f t="array" ref="AK2291">IFERROR(INDEX(SelectedSpecies,SMALL(IF(SelectedSpecies=AK$1,ROW(SelectedSpecies)),ROW(2292:2292)),2),"")</f>
        <v/>
      </c>
      <c r="BE2291" s="10"/>
      <c r="BI2291" s="10"/>
    </row>
    <row r="2292" spans="1:61" ht="21" customHeight="1" x14ac:dyDescent="0.25">
      <c r="A2292" s="10"/>
      <c r="B2292" s="10"/>
      <c r="E2292" s="10"/>
      <c r="G2292" s="10"/>
      <c r="I2292" s="436" t="s">
        <v>5493</v>
      </c>
      <c r="J2292" s="26" t="s">
        <v>5492</v>
      </c>
      <c r="K2292" s="10">
        <v>1.3</v>
      </c>
      <c r="L2292" s="73">
        <f>IF(Tank1!$C$23="No control",(SUMIF(Tank1!$B$32:$B$49,$J2292,Tank1!$C$32:$C$49)*Impacts!$F$8),0)</f>
        <v>0</v>
      </c>
      <c r="M2292" s="10">
        <f>IF(Tank2!$C$23="No control",(SUMIF(Tank2!$B$32:$B$49,$J2292,Tank2!$C$32:$C$49)*Impacts!$F$9),0)</f>
        <v>0</v>
      </c>
      <c r="N2292" s="10">
        <f>IF(Tank3!$C$23="No control",(SUMIF(Tank3!$B$32:$B$49,$J2292,Tank3!$C$32:$C$49)*Impacts!$F$10),0)</f>
        <v>0</v>
      </c>
      <c r="O2292" s="10">
        <f>IF(Tank4!$C$23="No control",(SUMIF(Tank4!$B$32:$B$49,$J2292,Tank4!$C$32:$C$49)*Impacts!$F$11),0)</f>
        <v>0</v>
      </c>
      <c r="P2292" s="10">
        <f>IF(Tank5!$C$23="No control",(SUMIF(Tank5!$B$32:$B$49,$J2292,Tank5!$C$32:$C$49)*Impacts!$F$12),0)</f>
        <v>0</v>
      </c>
      <c r="Q2292" s="10">
        <f>IFERROR(IF(('Loading-drum,tote'!$C$21)="No control",SUMIF(('Loading-drum,tote'!$B$31:$B$48),$J2292,('Loading-drum,tote'!$D$31:$D$48))*Impacts!$F$13,IF(('Loading-drum,tote'!$C$21)&lt;&gt;"No control",SUMIF(('Loading-drum,tote'!$B$31:$B$48),$J2292,('Loading-drum,tote'!$E$31:$E$48))*Impacts!$F$13,0)),0)</f>
        <v>0</v>
      </c>
      <c r="R2292" s="10">
        <f>IFERROR(IF(('Loading-truck'!$C$21)="No control",SUMIF(('Loading-truck'!$B$31:$B$48),$J2292,('Loading-truck'!$D$31:$D$48))*Impacts!$F$14,IF(('Loading-truck'!$C$21)&lt;&gt;"No control",SUMIF(('Loading-truck'!$B$31:$B$48),$J2292,('Loading-truck'!$E$31:$E$48))*Impacts!$F$14,0)),0)</f>
        <v>0</v>
      </c>
      <c r="S2292" s="10">
        <f>IFERROR(IF(('Loading-rail'!$C$21)="No control",SUMIF(('Loading-rail'!$B$31:$B$48),$J2292,('Loading-rail'!$D$31:$D$48))*Impacts!$F$15,IF(('Loading-rail'!$C$21)&lt;&gt;"No control",SUMIF(('Loading-rail'!$B$31:$B$48),$J2292,('Loading-rail'!$E$31:$E$48))*Impacts!$F$15,0)),0)</f>
        <v>0</v>
      </c>
      <c r="T2292" s="10">
        <f>IF(Flare!$C$7="",0,(SUMIF(Flare!$B$46:$B$185,$J2292,Flare!$E$46:$E$185)*Impacts!$F$16))</f>
        <v>0</v>
      </c>
      <c r="U2292" s="10">
        <f>IF(VCU!$C$9="",0,(SUMIF(VCU!$B$51:$B$193,$J2292,VCU!$E$51:$E$193)*Impacts!$F$17))</f>
        <v>0</v>
      </c>
      <c r="V2292" s="10">
        <f>IF(CAS!$C$7="",0,(SUMIF(CAS!$B$31:$B$167,$J2292,CAS!$E$31:$E$167)*Impacts!$F$18))</f>
        <v>0</v>
      </c>
      <c r="W2292" s="10">
        <f t="shared" si="76"/>
        <v>0</v>
      </c>
      <c r="AK2292" s="10" t="str">
        <f t="array" ref="AK2292">IFERROR(INDEX(SelectedSpecies,SMALL(IF(SelectedSpecies=AK$1,ROW(SelectedSpecies)),ROW(2293:2293)),2),"")</f>
        <v/>
      </c>
      <c r="BE2292" s="10"/>
      <c r="BI2292" s="10"/>
    </row>
    <row r="2293" spans="1:61" ht="21" customHeight="1" x14ac:dyDescent="0.25">
      <c r="A2293" s="10"/>
      <c r="B2293" s="10"/>
      <c r="E2293" s="10"/>
      <c r="G2293" s="10"/>
      <c r="I2293" s="436" t="s">
        <v>395</v>
      </c>
      <c r="J2293" s="26" t="s">
        <v>394</v>
      </c>
      <c r="K2293" s="10">
        <v>270</v>
      </c>
      <c r="L2293" s="73">
        <f>IF(Tank1!$C$23="No control",(SUMIF(Tank1!$B$32:$B$49,$J2293,Tank1!$C$32:$C$49)*Impacts!$F$8),0)</f>
        <v>0</v>
      </c>
      <c r="M2293" s="10">
        <f>IF(Tank2!$C$23="No control",(SUMIF(Tank2!$B$32:$B$49,$J2293,Tank2!$C$32:$C$49)*Impacts!$F$9),0)</f>
        <v>0</v>
      </c>
      <c r="N2293" s="10">
        <f>IF(Tank3!$C$23="No control",(SUMIF(Tank3!$B$32:$B$49,$J2293,Tank3!$C$32:$C$49)*Impacts!$F$10),0)</f>
        <v>0</v>
      </c>
      <c r="O2293" s="10">
        <f>IF(Tank4!$C$23="No control",(SUMIF(Tank4!$B$32:$B$49,$J2293,Tank4!$C$32:$C$49)*Impacts!$F$11),0)</f>
        <v>0</v>
      </c>
      <c r="P2293" s="10">
        <f>IF(Tank5!$C$23="No control",(SUMIF(Tank5!$B$32:$B$49,$J2293,Tank5!$C$32:$C$49)*Impacts!$F$12),0)</f>
        <v>0</v>
      </c>
      <c r="Q2293" s="10">
        <f>IFERROR(IF(('Loading-drum,tote'!$C$21)="No control",SUMIF(('Loading-drum,tote'!$B$31:$B$48),$J2293,('Loading-drum,tote'!$D$31:$D$48))*Impacts!$F$13,IF(('Loading-drum,tote'!$C$21)&lt;&gt;"No control",SUMIF(('Loading-drum,tote'!$B$31:$B$48),$J2293,('Loading-drum,tote'!$E$31:$E$48))*Impacts!$F$13,0)),0)</f>
        <v>0</v>
      </c>
      <c r="R2293" s="10">
        <f>IFERROR(IF(('Loading-truck'!$C$21)="No control",SUMIF(('Loading-truck'!$B$31:$B$48),$J2293,('Loading-truck'!$D$31:$D$48))*Impacts!$F$14,IF(('Loading-truck'!$C$21)&lt;&gt;"No control",SUMIF(('Loading-truck'!$B$31:$B$48),$J2293,('Loading-truck'!$E$31:$E$48))*Impacts!$F$14,0)),0)</f>
        <v>0</v>
      </c>
      <c r="S2293" s="10">
        <f>IFERROR(IF(('Loading-rail'!$C$21)="No control",SUMIF(('Loading-rail'!$B$31:$B$48),$J2293,('Loading-rail'!$D$31:$D$48))*Impacts!$F$15,IF(('Loading-rail'!$C$21)&lt;&gt;"No control",SUMIF(('Loading-rail'!$B$31:$B$48),$J2293,('Loading-rail'!$E$31:$E$48))*Impacts!$F$15,0)),0)</f>
        <v>0</v>
      </c>
      <c r="T2293" s="10">
        <f>IF(Flare!$C$7="",0,(SUMIF(Flare!$B$46:$B$185,$J2293,Flare!$E$46:$E$185)*Impacts!$F$16))</f>
        <v>0</v>
      </c>
      <c r="U2293" s="10">
        <f>IF(VCU!$C$9="",0,(SUMIF(VCU!$B$51:$B$193,$J2293,VCU!$E$51:$E$193)*Impacts!$F$17))</f>
        <v>0</v>
      </c>
      <c r="V2293" s="10">
        <f>IF(CAS!$C$7="",0,(SUMIF(CAS!$B$31:$B$167,$J2293,CAS!$E$31:$E$167)*Impacts!$F$18))</f>
        <v>0</v>
      </c>
      <c r="W2293" s="10">
        <f t="shared" si="76"/>
        <v>0</v>
      </c>
      <c r="AK2293" s="10" t="str">
        <f t="array" ref="AK2293">IFERROR(INDEX(SelectedSpecies,SMALL(IF(SelectedSpecies=AK$1,ROW(SelectedSpecies)),ROW(2294:2294)),2),"")</f>
        <v/>
      </c>
      <c r="BE2293" s="10"/>
      <c r="BI2293" s="10"/>
    </row>
    <row r="2294" spans="1:61" ht="21" customHeight="1" x14ac:dyDescent="0.25">
      <c r="A2294" s="10"/>
      <c r="B2294" s="10"/>
      <c r="E2294" s="10"/>
      <c r="G2294" s="10"/>
      <c r="I2294" s="436" t="s">
        <v>4687</v>
      </c>
      <c r="J2294" s="26" t="s">
        <v>4686</v>
      </c>
      <c r="K2294" s="10">
        <v>3.6</v>
      </c>
      <c r="L2294" s="73">
        <f>IF(Tank1!$C$23="No control",(SUMIF(Tank1!$B$32:$B$49,$J2294,Tank1!$C$32:$C$49)*Impacts!$F$8),0)</f>
        <v>0</v>
      </c>
      <c r="M2294" s="10">
        <f>IF(Tank2!$C$23="No control",(SUMIF(Tank2!$B$32:$B$49,$J2294,Tank2!$C$32:$C$49)*Impacts!$F$9),0)</f>
        <v>0</v>
      </c>
      <c r="N2294" s="10">
        <f>IF(Tank3!$C$23="No control",(SUMIF(Tank3!$B$32:$B$49,$J2294,Tank3!$C$32:$C$49)*Impacts!$F$10),0)</f>
        <v>0</v>
      </c>
      <c r="O2294" s="10">
        <f>IF(Tank4!$C$23="No control",(SUMIF(Tank4!$B$32:$B$49,$J2294,Tank4!$C$32:$C$49)*Impacts!$F$11),0)</f>
        <v>0</v>
      </c>
      <c r="P2294" s="10">
        <f>IF(Tank5!$C$23="No control",(SUMIF(Tank5!$B$32:$B$49,$J2294,Tank5!$C$32:$C$49)*Impacts!$F$12),0)</f>
        <v>0</v>
      </c>
      <c r="Q2294" s="10">
        <f>IFERROR(IF(('Loading-drum,tote'!$C$21)="No control",SUMIF(('Loading-drum,tote'!$B$31:$B$48),$J2294,('Loading-drum,tote'!$D$31:$D$48))*Impacts!$F$13,IF(('Loading-drum,tote'!$C$21)&lt;&gt;"No control",SUMIF(('Loading-drum,tote'!$B$31:$B$48),$J2294,('Loading-drum,tote'!$E$31:$E$48))*Impacts!$F$13,0)),0)</f>
        <v>0</v>
      </c>
      <c r="R2294" s="10">
        <f>IFERROR(IF(('Loading-truck'!$C$21)="No control",SUMIF(('Loading-truck'!$B$31:$B$48),$J2294,('Loading-truck'!$D$31:$D$48))*Impacts!$F$14,IF(('Loading-truck'!$C$21)&lt;&gt;"No control",SUMIF(('Loading-truck'!$B$31:$B$48),$J2294,('Loading-truck'!$E$31:$E$48))*Impacts!$F$14,0)),0)</f>
        <v>0</v>
      </c>
      <c r="S2294" s="10">
        <f>IFERROR(IF(('Loading-rail'!$C$21)="No control",SUMIF(('Loading-rail'!$B$31:$B$48),$J2294,('Loading-rail'!$D$31:$D$48))*Impacts!$F$15,IF(('Loading-rail'!$C$21)&lt;&gt;"No control",SUMIF(('Loading-rail'!$B$31:$B$48),$J2294,('Loading-rail'!$E$31:$E$48))*Impacts!$F$15,0)),0)</f>
        <v>0</v>
      </c>
      <c r="T2294" s="10">
        <f>IF(Flare!$C$7="",0,(SUMIF(Flare!$B$46:$B$185,$J2294,Flare!$E$46:$E$185)*Impacts!$F$16))</f>
        <v>0</v>
      </c>
      <c r="U2294" s="10">
        <f>IF(VCU!$C$9="",0,(SUMIF(VCU!$B$51:$B$193,$J2294,VCU!$E$51:$E$193)*Impacts!$F$17))</f>
        <v>0</v>
      </c>
      <c r="V2294" s="10">
        <f>IF(CAS!$C$7="",0,(SUMIF(CAS!$B$31:$B$167,$J2294,CAS!$E$31:$E$167)*Impacts!$F$18))</f>
        <v>0</v>
      </c>
      <c r="W2294" s="10">
        <f t="shared" si="76"/>
        <v>0</v>
      </c>
      <c r="AK2294" s="10" t="str">
        <f t="array" ref="AK2294">IFERROR(INDEX(SelectedSpecies,SMALL(IF(SelectedSpecies=AK$1,ROW(SelectedSpecies)),ROW(2295:2295)),2),"")</f>
        <v/>
      </c>
      <c r="BE2294" s="10"/>
      <c r="BI2294" s="10"/>
    </row>
    <row r="2295" spans="1:61" ht="21" customHeight="1" x14ac:dyDescent="0.25">
      <c r="A2295" s="10"/>
      <c r="B2295" s="10"/>
      <c r="E2295" s="10"/>
      <c r="G2295" s="10"/>
      <c r="I2295" s="436" t="s">
        <v>5974</v>
      </c>
      <c r="J2295" s="26" t="s">
        <v>5973</v>
      </c>
      <c r="K2295" s="10">
        <v>1</v>
      </c>
      <c r="L2295" s="73">
        <f>IF(Tank1!$C$23="No control",(SUMIF(Tank1!$B$32:$B$49,$J2295,Tank1!$C$32:$C$49)*Impacts!$F$8),0)</f>
        <v>0</v>
      </c>
      <c r="M2295" s="10">
        <f>IF(Tank2!$C$23="No control",(SUMIF(Tank2!$B$32:$B$49,$J2295,Tank2!$C$32:$C$49)*Impacts!$F$9),0)</f>
        <v>0</v>
      </c>
      <c r="N2295" s="10">
        <f>IF(Tank3!$C$23="No control",(SUMIF(Tank3!$B$32:$B$49,$J2295,Tank3!$C$32:$C$49)*Impacts!$F$10),0)</f>
        <v>0</v>
      </c>
      <c r="O2295" s="10">
        <f>IF(Tank4!$C$23="No control",(SUMIF(Tank4!$B$32:$B$49,$J2295,Tank4!$C$32:$C$49)*Impacts!$F$11),0)</f>
        <v>0</v>
      </c>
      <c r="P2295" s="10">
        <f>IF(Tank5!$C$23="No control",(SUMIF(Tank5!$B$32:$B$49,$J2295,Tank5!$C$32:$C$49)*Impacts!$F$12),0)</f>
        <v>0</v>
      </c>
      <c r="Q2295" s="10">
        <f>IFERROR(IF(('Loading-drum,tote'!$C$21)="No control",SUMIF(('Loading-drum,tote'!$B$31:$B$48),$J2295,('Loading-drum,tote'!$D$31:$D$48))*Impacts!$F$13,IF(('Loading-drum,tote'!$C$21)&lt;&gt;"No control",SUMIF(('Loading-drum,tote'!$B$31:$B$48),$J2295,('Loading-drum,tote'!$E$31:$E$48))*Impacts!$F$13,0)),0)</f>
        <v>0</v>
      </c>
      <c r="R2295" s="10">
        <f>IFERROR(IF(('Loading-truck'!$C$21)="No control",SUMIF(('Loading-truck'!$B$31:$B$48),$J2295,('Loading-truck'!$D$31:$D$48))*Impacts!$F$14,IF(('Loading-truck'!$C$21)&lt;&gt;"No control",SUMIF(('Loading-truck'!$B$31:$B$48),$J2295,('Loading-truck'!$E$31:$E$48))*Impacts!$F$14,0)),0)</f>
        <v>0</v>
      </c>
      <c r="S2295" s="10">
        <f>IFERROR(IF(('Loading-rail'!$C$21)="No control",SUMIF(('Loading-rail'!$B$31:$B$48),$J2295,('Loading-rail'!$D$31:$D$48))*Impacts!$F$15,IF(('Loading-rail'!$C$21)&lt;&gt;"No control",SUMIF(('Loading-rail'!$B$31:$B$48),$J2295,('Loading-rail'!$E$31:$E$48))*Impacts!$F$15,0)),0)</f>
        <v>0</v>
      </c>
      <c r="T2295" s="10">
        <f>IF(Flare!$C$7="",0,(SUMIF(Flare!$B$46:$B$185,$J2295,Flare!$E$46:$E$185)*Impacts!$F$16))</f>
        <v>0</v>
      </c>
      <c r="U2295" s="10">
        <f>IF(VCU!$C$9="",0,(SUMIF(VCU!$B$51:$B$193,$J2295,VCU!$E$51:$E$193)*Impacts!$F$17))</f>
        <v>0</v>
      </c>
      <c r="V2295" s="10">
        <f>IF(CAS!$C$7="",0,(SUMIF(CAS!$B$31:$B$167,$J2295,CAS!$E$31:$E$167)*Impacts!$F$18))</f>
        <v>0</v>
      </c>
      <c r="W2295" s="10">
        <f t="shared" si="76"/>
        <v>0</v>
      </c>
      <c r="AK2295" s="10" t="str">
        <f t="array" ref="AK2295">IFERROR(INDEX(SelectedSpecies,SMALL(IF(SelectedSpecies=AK$1,ROW(SelectedSpecies)),ROW(2296:2296)),2),"")</f>
        <v/>
      </c>
      <c r="BE2295" s="10"/>
      <c r="BI2295" s="10"/>
    </row>
    <row r="2296" spans="1:61" ht="21" customHeight="1" x14ac:dyDescent="0.25">
      <c r="A2296" s="10"/>
      <c r="B2296" s="10"/>
      <c r="E2296" s="10"/>
      <c r="G2296" s="10"/>
      <c r="I2296" s="436" t="s">
        <v>8000</v>
      </c>
      <c r="J2296" s="26" t="s">
        <v>7999</v>
      </c>
      <c r="K2296" s="10">
        <v>0.03</v>
      </c>
      <c r="L2296" s="73">
        <f>IF(Tank1!$C$23="No control",(SUMIF(Tank1!$B$32:$B$49,$J2296,Tank1!$C$32:$C$49)*Impacts!$F$8),0)</f>
        <v>0</v>
      </c>
      <c r="M2296" s="10">
        <f>IF(Tank2!$C$23="No control",(SUMIF(Tank2!$B$32:$B$49,$J2296,Tank2!$C$32:$C$49)*Impacts!$F$9),0)</f>
        <v>0</v>
      </c>
      <c r="N2296" s="10">
        <f>IF(Tank3!$C$23="No control",(SUMIF(Tank3!$B$32:$B$49,$J2296,Tank3!$C$32:$C$49)*Impacts!$F$10),0)</f>
        <v>0</v>
      </c>
      <c r="O2296" s="10">
        <f>IF(Tank4!$C$23="No control",(SUMIF(Tank4!$B$32:$B$49,$J2296,Tank4!$C$32:$C$49)*Impacts!$F$11),0)</f>
        <v>0</v>
      </c>
      <c r="P2296" s="10">
        <f>IF(Tank5!$C$23="No control",(SUMIF(Tank5!$B$32:$B$49,$J2296,Tank5!$C$32:$C$49)*Impacts!$F$12),0)</f>
        <v>0</v>
      </c>
      <c r="Q2296" s="10">
        <f>IFERROR(IF(('Loading-drum,tote'!$C$21)="No control",SUMIF(('Loading-drum,tote'!$B$31:$B$48),$J2296,('Loading-drum,tote'!$D$31:$D$48))*Impacts!$F$13,IF(('Loading-drum,tote'!$C$21)&lt;&gt;"No control",SUMIF(('Loading-drum,tote'!$B$31:$B$48),$J2296,('Loading-drum,tote'!$E$31:$E$48))*Impacts!$F$13,0)),0)</f>
        <v>0</v>
      </c>
      <c r="R2296" s="10">
        <f>IFERROR(IF(('Loading-truck'!$C$21)="No control",SUMIF(('Loading-truck'!$B$31:$B$48),$J2296,('Loading-truck'!$D$31:$D$48))*Impacts!$F$14,IF(('Loading-truck'!$C$21)&lt;&gt;"No control",SUMIF(('Loading-truck'!$B$31:$B$48),$J2296,('Loading-truck'!$E$31:$E$48))*Impacts!$F$14,0)),0)</f>
        <v>0</v>
      </c>
      <c r="S2296" s="10">
        <f>IFERROR(IF(('Loading-rail'!$C$21)="No control",SUMIF(('Loading-rail'!$B$31:$B$48),$J2296,('Loading-rail'!$D$31:$D$48))*Impacts!$F$15,IF(('Loading-rail'!$C$21)&lt;&gt;"No control",SUMIF(('Loading-rail'!$B$31:$B$48),$J2296,('Loading-rail'!$E$31:$E$48))*Impacts!$F$15,0)),0)</f>
        <v>0</v>
      </c>
      <c r="T2296" s="10">
        <f>IF(Flare!$C$7="",0,(SUMIF(Flare!$B$46:$B$185,$J2296,Flare!$E$46:$E$185)*Impacts!$F$16))</f>
        <v>0</v>
      </c>
      <c r="U2296" s="10">
        <f>IF(VCU!$C$9="",0,(SUMIF(VCU!$B$51:$B$193,$J2296,VCU!$E$51:$E$193)*Impacts!$F$17))</f>
        <v>0</v>
      </c>
      <c r="V2296" s="10">
        <f>IF(CAS!$C$7="",0,(SUMIF(CAS!$B$31:$B$167,$J2296,CAS!$E$31:$E$167)*Impacts!$F$18))</f>
        <v>0</v>
      </c>
      <c r="W2296" s="10">
        <f t="shared" si="76"/>
        <v>0</v>
      </c>
      <c r="AK2296" s="10" t="str">
        <f t="array" ref="AK2296">IFERROR(INDEX(SelectedSpecies,SMALL(IF(SelectedSpecies=AK$1,ROW(SelectedSpecies)),ROW(2297:2297)),2),"")</f>
        <v/>
      </c>
      <c r="BE2296" s="10"/>
      <c r="BI2296" s="10"/>
    </row>
    <row r="2297" spans="1:61" ht="21" customHeight="1" x14ac:dyDescent="0.25">
      <c r="A2297" s="10"/>
      <c r="B2297" s="10"/>
      <c r="E2297" s="10"/>
      <c r="G2297" s="10"/>
      <c r="I2297" s="436" t="s">
        <v>8266</v>
      </c>
      <c r="J2297" s="26" t="s">
        <v>8265</v>
      </c>
      <c r="K2297" s="10">
        <v>5.000000000000001E-3</v>
      </c>
      <c r="L2297" s="73">
        <f>IF(Tank1!$C$23="No control",(SUMIF(Tank1!$B$32:$B$49,$J2297,Tank1!$C$32:$C$49)*Impacts!$F$8),0)</f>
        <v>0</v>
      </c>
      <c r="M2297" s="10">
        <f>IF(Tank2!$C$23="No control",(SUMIF(Tank2!$B$32:$B$49,$J2297,Tank2!$C$32:$C$49)*Impacts!$F$9),0)</f>
        <v>0</v>
      </c>
      <c r="N2297" s="10">
        <f>IF(Tank3!$C$23="No control",(SUMIF(Tank3!$B$32:$B$49,$J2297,Tank3!$C$32:$C$49)*Impacts!$F$10),0)</f>
        <v>0</v>
      </c>
      <c r="O2297" s="10">
        <f>IF(Tank4!$C$23="No control",(SUMIF(Tank4!$B$32:$B$49,$J2297,Tank4!$C$32:$C$49)*Impacts!$F$11),0)</f>
        <v>0</v>
      </c>
      <c r="P2297" s="10">
        <f>IF(Tank5!$C$23="No control",(SUMIF(Tank5!$B$32:$B$49,$J2297,Tank5!$C$32:$C$49)*Impacts!$F$12),0)</f>
        <v>0</v>
      </c>
      <c r="Q2297" s="10">
        <f>IFERROR(IF(('Loading-drum,tote'!$C$21)="No control",SUMIF(('Loading-drum,tote'!$B$31:$B$48),$J2297,('Loading-drum,tote'!$D$31:$D$48))*Impacts!$F$13,IF(('Loading-drum,tote'!$C$21)&lt;&gt;"No control",SUMIF(('Loading-drum,tote'!$B$31:$B$48),$J2297,('Loading-drum,tote'!$E$31:$E$48))*Impacts!$F$13,0)),0)</f>
        <v>0</v>
      </c>
      <c r="R2297" s="10">
        <f>IFERROR(IF(('Loading-truck'!$C$21)="No control",SUMIF(('Loading-truck'!$B$31:$B$48),$J2297,('Loading-truck'!$D$31:$D$48))*Impacts!$F$14,IF(('Loading-truck'!$C$21)&lt;&gt;"No control",SUMIF(('Loading-truck'!$B$31:$B$48),$J2297,('Loading-truck'!$E$31:$E$48))*Impacts!$F$14,0)),0)</f>
        <v>0</v>
      </c>
      <c r="S2297" s="10">
        <f>IFERROR(IF(('Loading-rail'!$C$21)="No control",SUMIF(('Loading-rail'!$B$31:$B$48),$J2297,('Loading-rail'!$D$31:$D$48))*Impacts!$F$15,IF(('Loading-rail'!$C$21)&lt;&gt;"No control",SUMIF(('Loading-rail'!$B$31:$B$48),$J2297,('Loading-rail'!$E$31:$E$48))*Impacts!$F$15,0)),0)</f>
        <v>0</v>
      </c>
      <c r="T2297" s="10">
        <f>IF(Flare!$C$7="",0,(SUMIF(Flare!$B$46:$B$185,$J2297,Flare!$E$46:$E$185)*Impacts!$F$16))</f>
        <v>0</v>
      </c>
      <c r="U2297" s="10">
        <f>IF(VCU!$C$9="",0,(SUMIF(VCU!$B$51:$B$193,$J2297,VCU!$E$51:$E$193)*Impacts!$F$17))</f>
        <v>0</v>
      </c>
      <c r="V2297" s="10">
        <f>IF(CAS!$C$7="",0,(SUMIF(CAS!$B$31:$B$167,$J2297,CAS!$E$31:$E$167)*Impacts!$F$18))</f>
        <v>0</v>
      </c>
      <c r="W2297" s="10">
        <f t="shared" si="76"/>
        <v>0</v>
      </c>
      <c r="AK2297" s="10" t="str">
        <f t="array" ref="AK2297">IFERROR(INDEX(SelectedSpecies,SMALL(IF(SelectedSpecies=AK$1,ROW(SelectedSpecies)),ROW(2298:2298)),2),"")</f>
        <v/>
      </c>
      <c r="BE2297" s="10"/>
      <c r="BI2297" s="10"/>
    </row>
    <row r="2298" spans="1:61" ht="21" customHeight="1" x14ac:dyDescent="0.25">
      <c r="A2298" s="10"/>
      <c r="B2298" s="10"/>
      <c r="E2298" s="10"/>
      <c r="G2298" s="10"/>
      <c r="I2298" s="436" t="s">
        <v>776</v>
      </c>
      <c r="J2298" s="26" t="s">
        <v>775</v>
      </c>
      <c r="K2298" s="10">
        <v>54</v>
      </c>
      <c r="L2298" s="73">
        <f>IF(Tank1!$C$23="No control",(SUMIF(Tank1!$B$32:$B$49,$J2298,Tank1!$C$32:$C$49)*Impacts!$F$8),0)</f>
        <v>0</v>
      </c>
      <c r="M2298" s="10">
        <f>IF(Tank2!$C$23="No control",(SUMIF(Tank2!$B$32:$B$49,$J2298,Tank2!$C$32:$C$49)*Impacts!$F$9),0)</f>
        <v>0</v>
      </c>
      <c r="N2298" s="10">
        <f>IF(Tank3!$C$23="No control",(SUMIF(Tank3!$B$32:$B$49,$J2298,Tank3!$C$32:$C$49)*Impacts!$F$10),0)</f>
        <v>0</v>
      </c>
      <c r="O2298" s="10">
        <f>IF(Tank4!$C$23="No control",(SUMIF(Tank4!$B$32:$B$49,$J2298,Tank4!$C$32:$C$49)*Impacts!$F$11),0)</f>
        <v>0</v>
      </c>
      <c r="P2298" s="10">
        <f>IF(Tank5!$C$23="No control",(SUMIF(Tank5!$B$32:$B$49,$J2298,Tank5!$C$32:$C$49)*Impacts!$F$12),0)</f>
        <v>0</v>
      </c>
      <c r="Q2298" s="10">
        <f>IFERROR(IF(('Loading-drum,tote'!$C$21)="No control",SUMIF(('Loading-drum,tote'!$B$31:$B$48),$J2298,('Loading-drum,tote'!$D$31:$D$48))*Impacts!$F$13,IF(('Loading-drum,tote'!$C$21)&lt;&gt;"No control",SUMIF(('Loading-drum,tote'!$B$31:$B$48),$J2298,('Loading-drum,tote'!$E$31:$E$48))*Impacts!$F$13,0)),0)</f>
        <v>0</v>
      </c>
      <c r="R2298" s="10">
        <f>IFERROR(IF(('Loading-truck'!$C$21)="No control",SUMIF(('Loading-truck'!$B$31:$B$48),$J2298,('Loading-truck'!$D$31:$D$48))*Impacts!$F$14,IF(('Loading-truck'!$C$21)&lt;&gt;"No control",SUMIF(('Loading-truck'!$B$31:$B$48),$J2298,('Loading-truck'!$E$31:$E$48))*Impacts!$F$14,0)),0)</f>
        <v>0</v>
      </c>
      <c r="S2298" s="10">
        <f>IFERROR(IF(('Loading-rail'!$C$21)="No control",SUMIF(('Loading-rail'!$B$31:$B$48),$J2298,('Loading-rail'!$D$31:$D$48))*Impacts!$F$15,IF(('Loading-rail'!$C$21)&lt;&gt;"No control",SUMIF(('Loading-rail'!$B$31:$B$48),$J2298,('Loading-rail'!$E$31:$E$48))*Impacts!$F$15,0)),0)</f>
        <v>0</v>
      </c>
      <c r="T2298" s="10">
        <f>IF(Flare!$C$7="",0,(SUMIF(Flare!$B$46:$B$185,$J2298,Flare!$E$46:$E$185)*Impacts!$F$16))</f>
        <v>0</v>
      </c>
      <c r="U2298" s="10">
        <f>IF(VCU!$C$9="",0,(SUMIF(VCU!$B$51:$B$193,$J2298,VCU!$E$51:$E$193)*Impacts!$F$17))</f>
        <v>0</v>
      </c>
      <c r="V2298" s="10">
        <f>IF(CAS!$C$7="",0,(SUMIF(CAS!$B$31:$B$167,$J2298,CAS!$E$31:$E$167)*Impacts!$F$18))</f>
        <v>0</v>
      </c>
      <c r="W2298" s="10">
        <f t="shared" si="76"/>
        <v>0</v>
      </c>
      <c r="AK2298" s="10" t="str">
        <f t="array" ref="AK2298">IFERROR(INDEX(SelectedSpecies,SMALL(IF(SelectedSpecies=AK$1,ROW(SelectedSpecies)),ROW(2299:2299)),2),"")</f>
        <v/>
      </c>
      <c r="BE2298" s="10"/>
      <c r="BI2298" s="10"/>
    </row>
    <row r="2299" spans="1:61" ht="21" customHeight="1" x14ac:dyDescent="0.25">
      <c r="A2299" s="10"/>
      <c r="B2299" s="10"/>
      <c r="E2299" s="10"/>
      <c r="G2299" s="10"/>
      <c r="I2299" s="436" t="s">
        <v>7028</v>
      </c>
      <c r="J2299" s="26" t="s">
        <v>7027</v>
      </c>
      <c r="K2299" s="10">
        <v>0.45</v>
      </c>
      <c r="L2299" s="73">
        <f>IF(Tank1!$C$23="No control",(SUMIF(Tank1!$B$32:$B$49,$J2299,Tank1!$C$32:$C$49)*Impacts!$F$8),0)</f>
        <v>0</v>
      </c>
      <c r="M2299" s="10">
        <f>IF(Tank2!$C$23="No control",(SUMIF(Tank2!$B$32:$B$49,$J2299,Tank2!$C$32:$C$49)*Impacts!$F$9),0)</f>
        <v>0</v>
      </c>
      <c r="N2299" s="10">
        <f>IF(Tank3!$C$23="No control",(SUMIF(Tank3!$B$32:$B$49,$J2299,Tank3!$C$32:$C$49)*Impacts!$F$10),0)</f>
        <v>0</v>
      </c>
      <c r="O2299" s="10">
        <f>IF(Tank4!$C$23="No control",(SUMIF(Tank4!$B$32:$B$49,$J2299,Tank4!$C$32:$C$49)*Impacts!$F$11),0)</f>
        <v>0</v>
      </c>
      <c r="P2299" s="10">
        <f>IF(Tank5!$C$23="No control",(SUMIF(Tank5!$B$32:$B$49,$J2299,Tank5!$C$32:$C$49)*Impacts!$F$12),0)</f>
        <v>0</v>
      </c>
      <c r="Q2299" s="10">
        <f>IFERROR(IF(('Loading-drum,tote'!$C$21)="No control",SUMIF(('Loading-drum,tote'!$B$31:$B$48),$J2299,('Loading-drum,tote'!$D$31:$D$48))*Impacts!$F$13,IF(('Loading-drum,tote'!$C$21)&lt;&gt;"No control",SUMIF(('Loading-drum,tote'!$B$31:$B$48),$J2299,('Loading-drum,tote'!$E$31:$E$48))*Impacts!$F$13,0)),0)</f>
        <v>0</v>
      </c>
      <c r="R2299" s="10">
        <f>IFERROR(IF(('Loading-truck'!$C$21)="No control",SUMIF(('Loading-truck'!$B$31:$B$48),$J2299,('Loading-truck'!$D$31:$D$48))*Impacts!$F$14,IF(('Loading-truck'!$C$21)&lt;&gt;"No control",SUMIF(('Loading-truck'!$B$31:$B$48),$J2299,('Loading-truck'!$E$31:$E$48))*Impacts!$F$14,0)),0)</f>
        <v>0</v>
      </c>
      <c r="S2299" s="10">
        <f>IFERROR(IF(('Loading-rail'!$C$21)="No control",SUMIF(('Loading-rail'!$B$31:$B$48),$J2299,('Loading-rail'!$D$31:$D$48))*Impacts!$F$15,IF(('Loading-rail'!$C$21)&lt;&gt;"No control",SUMIF(('Loading-rail'!$B$31:$B$48),$J2299,('Loading-rail'!$E$31:$E$48))*Impacts!$F$15,0)),0)</f>
        <v>0</v>
      </c>
      <c r="T2299" s="10">
        <f>IF(Flare!$C$7="",0,(SUMIF(Flare!$B$46:$B$185,$J2299,Flare!$E$46:$E$185)*Impacts!$F$16))</f>
        <v>0</v>
      </c>
      <c r="U2299" s="10">
        <f>IF(VCU!$C$9="",0,(SUMIF(VCU!$B$51:$B$193,$J2299,VCU!$E$51:$E$193)*Impacts!$F$17))</f>
        <v>0</v>
      </c>
      <c r="V2299" s="10">
        <f>IF(CAS!$C$7="",0,(SUMIF(CAS!$B$31:$B$167,$J2299,CAS!$E$31:$E$167)*Impacts!$F$18))</f>
        <v>0</v>
      </c>
      <c r="W2299" s="10">
        <f t="shared" si="76"/>
        <v>0</v>
      </c>
      <c r="AK2299" s="10" t="str">
        <f t="array" ref="AK2299">IFERROR(INDEX(SelectedSpecies,SMALL(IF(SelectedSpecies=AK$1,ROW(SelectedSpecies)),ROW(2300:2300)),2),"")</f>
        <v/>
      </c>
      <c r="BE2299" s="10"/>
      <c r="BI2299" s="10"/>
    </row>
    <row r="2300" spans="1:61" ht="21" customHeight="1" x14ac:dyDescent="0.25">
      <c r="A2300" s="10"/>
      <c r="B2300" s="10"/>
      <c r="E2300" s="10"/>
      <c r="G2300" s="10"/>
      <c r="I2300" s="436" t="s">
        <v>413</v>
      </c>
      <c r="J2300" s="26" t="s">
        <v>412</v>
      </c>
      <c r="K2300" s="10">
        <v>220</v>
      </c>
      <c r="L2300" s="73">
        <f>IF(Tank1!$C$23="No control",(SUMIF(Tank1!$B$32:$B$49,$J2300,Tank1!$C$32:$C$49)*Impacts!$F$8),0)</f>
        <v>0</v>
      </c>
      <c r="M2300" s="10">
        <f>IF(Tank2!$C$23="No control",(SUMIF(Tank2!$B$32:$B$49,$J2300,Tank2!$C$32:$C$49)*Impacts!$F$9),0)</f>
        <v>0</v>
      </c>
      <c r="N2300" s="10">
        <f>IF(Tank3!$C$23="No control",(SUMIF(Tank3!$B$32:$B$49,$J2300,Tank3!$C$32:$C$49)*Impacts!$F$10),0)</f>
        <v>0</v>
      </c>
      <c r="O2300" s="10">
        <f>IF(Tank4!$C$23="No control",(SUMIF(Tank4!$B$32:$B$49,$J2300,Tank4!$C$32:$C$49)*Impacts!$F$11),0)</f>
        <v>0</v>
      </c>
      <c r="P2300" s="10">
        <f>IF(Tank5!$C$23="No control",(SUMIF(Tank5!$B$32:$B$49,$J2300,Tank5!$C$32:$C$49)*Impacts!$F$12),0)</f>
        <v>0</v>
      </c>
      <c r="Q2300" s="10">
        <f>IFERROR(IF(('Loading-drum,tote'!$C$21)="No control",SUMIF(('Loading-drum,tote'!$B$31:$B$48),$J2300,('Loading-drum,tote'!$D$31:$D$48))*Impacts!$F$13,IF(('Loading-drum,tote'!$C$21)&lt;&gt;"No control",SUMIF(('Loading-drum,tote'!$B$31:$B$48),$J2300,('Loading-drum,tote'!$E$31:$E$48))*Impacts!$F$13,0)),0)</f>
        <v>0</v>
      </c>
      <c r="R2300" s="10">
        <f>IFERROR(IF(('Loading-truck'!$C$21)="No control",SUMIF(('Loading-truck'!$B$31:$B$48),$J2300,('Loading-truck'!$D$31:$D$48))*Impacts!$F$14,IF(('Loading-truck'!$C$21)&lt;&gt;"No control",SUMIF(('Loading-truck'!$B$31:$B$48),$J2300,('Loading-truck'!$E$31:$E$48))*Impacts!$F$14,0)),0)</f>
        <v>0</v>
      </c>
      <c r="S2300" s="10">
        <f>IFERROR(IF(('Loading-rail'!$C$21)="No control",SUMIF(('Loading-rail'!$B$31:$B$48),$J2300,('Loading-rail'!$D$31:$D$48))*Impacts!$F$15,IF(('Loading-rail'!$C$21)&lt;&gt;"No control",SUMIF(('Loading-rail'!$B$31:$B$48),$J2300,('Loading-rail'!$E$31:$E$48))*Impacts!$F$15,0)),0)</f>
        <v>0</v>
      </c>
      <c r="T2300" s="10">
        <f>IF(Flare!$C$7="",0,(SUMIF(Flare!$B$46:$B$185,$J2300,Flare!$E$46:$E$185)*Impacts!$F$16))</f>
        <v>0</v>
      </c>
      <c r="U2300" s="10">
        <f>IF(VCU!$C$9="",0,(SUMIF(VCU!$B$51:$B$193,$J2300,VCU!$E$51:$E$193)*Impacts!$F$17))</f>
        <v>0</v>
      </c>
      <c r="V2300" s="10">
        <f>IF(CAS!$C$7="",0,(SUMIF(CAS!$B$31:$B$167,$J2300,CAS!$E$31:$E$167)*Impacts!$F$18))</f>
        <v>0</v>
      </c>
      <c r="W2300" s="10">
        <f t="shared" si="76"/>
        <v>0</v>
      </c>
      <c r="AK2300" s="10" t="str">
        <f t="array" ref="AK2300">IFERROR(INDEX(SelectedSpecies,SMALL(IF(SelectedSpecies=AK$1,ROW(SelectedSpecies)),ROW(2301:2301)),2),"")</f>
        <v/>
      </c>
      <c r="BE2300" s="10"/>
      <c r="BI2300" s="10"/>
    </row>
    <row r="2301" spans="1:61" ht="21" customHeight="1" x14ac:dyDescent="0.25">
      <c r="A2301" s="10"/>
      <c r="B2301" s="10"/>
      <c r="E2301" s="10"/>
      <c r="G2301" s="10"/>
      <c r="I2301" s="436" t="s">
        <v>832</v>
      </c>
      <c r="J2301" s="26" t="s">
        <v>831</v>
      </c>
      <c r="K2301" s="10">
        <v>48</v>
      </c>
      <c r="L2301" s="73">
        <f>IF(Tank1!$C$23="No control",(SUMIF(Tank1!$B$32:$B$49,$J2301,Tank1!$C$32:$C$49)*Impacts!$F$8),0)</f>
        <v>0</v>
      </c>
      <c r="M2301" s="10">
        <f>IF(Tank2!$C$23="No control",(SUMIF(Tank2!$B$32:$B$49,$J2301,Tank2!$C$32:$C$49)*Impacts!$F$9),0)</f>
        <v>0</v>
      </c>
      <c r="N2301" s="10">
        <f>IF(Tank3!$C$23="No control",(SUMIF(Tank3!$B$32:$B$49,$J2301,Tank3!$C$32:$C$49)*Impacts!$F$10),0)</f>
        <v>0</v>
      </c>
      <c r="O2301" s="10">
        <f>IF(Tank4!$C$23="No control",(SUMIF(Tank4!$B$32:$B$49,$J2301,Tank4!$C$32:$C$49)*Impacts!$F$11),0)</f>
        <v>0</v>
      </c>
      <c r="P2301" s="10">
        <f>IF(Tank5!$C$23="No control",(SUMIF(Tank5!$B$32:$B$49,$J2301,Tank5!$C$32:$C$49)*Impacts!$F$12),0)</f>
        <v>0</v>
      </c>
      <c r="Q2301" s="10">
        <f>IFERROR(IF(('Loading-drum,tote'!$C$21)="No control",SUMIF(('Loading-drum,tote'!$B$31:$B$48),$J2301,('Loading-drum,tote'!$D$31:$D$48))*Impacts!$F$13,IF(('Loading-drum,tote'!$C$21)&lt;&gt;"No control",SUMIF(('Loading-drum,tote'!$B$31:$B$48),$J2301,('Loading-drum,tote'!$E$31:$E$48))*Impacts!$F$13,0)),0)</f>
        <v>0</v>
      </c>
      <c r="R2301" s="10">
        <f>IFERROR(IF(('Loading-truck'!$C$21)="No control",SUMIF(('Loading-truck'!$B$31:$B$48),$J2301,('Loading-truck'!$D$31:$D$48))*Impacts!$F$14,IF(('Loading-truck'!$C$21)&lt;&gt;"No control",SUMIF(('Loading-truck'!$B$31:$B$48),$J2301,('Loading-truck'!$E$31:$E$48))*Impacts!$F$14,0)),0)</f>
        <v>0</v>
      </c>
      <c r="S2301" s="10">
        <f>IFERROR(IF(('Loading-rail'!$C$21)="No control",SUMIF(('Loading-rail'!$B$31:$B$48),$J2301,('Loading-rail'!$D$31:$D$48))*Impacts!$F$15,IF(('Loading-rail'!$C$21)&lt;&gt;"No control",SUMIF(('Loading-rail'!$B$31:$B$48),$J2301,('Loading-rail'!$E$31:$E$48))*Impacts!$F$15,0)),0)</f>
        <v>0</v>
      </c>
      <c r="T2301" s="10">
        <f>IF(Flare!$C$7="",0,(SUMIF(Flare!$B$46:$B$185,$J2301,Flare!$E$46:$E$185)*Impacts!$F$16))</f>
        <v>0</v>
      </c>
      <c r="U2301" s="10">
        <f>IF(VCU!$C$9="",0,(SUMIF(VCU!$B$51:$B$193,$J2301,VCU!$E$51:$E$193)*Impacts!$F$17))</f>
        <v>0</v>
      </c>
      <c r="V2301" s="10">
        <f>IF(CAS!$C$7="",0,(SUMIF(CAS!$B$31:$B$167,$J2301,CAS!$E$31:$E$167)*Impacts!$F$18))</f>
        <v>0</v>
      </c>
      <c r="W2301" s="10">
        <f t="shared" si="76"/>
        <v>0</v>
      </c>
      <c r="AK2301" s="10" t="str">
        <f t="array" ref="AK2301">IFERROR(INDEX(SelectedSpecies,SMALL(IF(SelectedSpecies=AK$1,ROW(SelectedSpecies)),ROW(2302:2302)),2),"")</f>
        <v/>
      </c>
      <c r="BE2301" s="10"/>
      <c r="BI2301" s="10"/>
    </row>
    <row r="2302" spans="1:61" ht="21" customHeight="1" x14ac:dyDescent="0.25">
      <c r="A2302" s="10"/>
      <c r="B2302" s="10"/>
      <c r="E2302" s="10"/>
      <c r="G2302" s="10"/>
      <c r="I2302" s="436" t="s">
        <v>7030</v>
      </c>
      <c r="J2302" s="26" t="s">
        <v>7029</v>
      </c>
      <c r="K2302" s="10">
        <v>0.45</v>
      </c>
      <c r="L2302" s="73">
        <f>IF(Tank1!$C$23="No control",(SUMIF(Tank1!$B$32:$B$49,$J2302,Tank1!$C$32:$C$49)*Impacts!$F$8),0)</f>
        <v>0</v>
      </c>
      <c r="M2302" s="10">
        <f>IF(Tank2!$C$23="No control",(SUMIF(Tank2!$B$32:$B$49,$J2302,Tank2!$C$32:$C$49)*Impacts!$F$9),0)</f>
        <v>0</v>
      </c>
      <c r="N2302" s="10">
        <f>IF(Tank3!$C$23="No control",(SUMIF(Tank3!$B$32:$B$49,$J2302,Tank3!$C$32:$C$49)*Impacts!$F$10),0)</f>
        <v>0</v>
      </c>
      <c r="O2302" s="10">
        <f>IF(Tank4!$C$23="No control",(SUMIF(Tank4!$B$32:$B$49,$J2302,Tank4!$C$32:$C$49)*Impacts!$F$11),0)</f>
        <v>0</v>
      </c>
      <c r="P2302" s="10">
        <f>IF(Tank5!$C$23="No control",(SUMIF(Tank5!$B$32:$B$49,$J2302,Tank5!$C$32:$C$49)*Impacts!$F$12),0)</f>
        <v>0</v>
      </c>
      <c r="Q2302" s="10">
        <f>IFERROR(IF(('Loading-drum,tote'!$C$21)="No control",SUMIF(('Loading-drum,tote'!$B$31:$B$48),$J2302,('Loading-drum,tote'!$D$31:$D$48))*Impacts!$F$13,IF(('Loading-drum,tote'!$C$21)&lt;&gt;"No control",SUMIF(('Loading-drum,tote'!$B$31:$B$48),$J2302,('Loading-drum,tote'!$E$31:$E$48))*Impacts!$F$13,0)),0)</f>
        <v>0</v>
      </c>
      <c r="R2302" s="10">
        <f>IFERROR(IF(('Loading-truck'!$C$21)="No control",SUMIF(('Loading-truck'!$B$31:$B$48),$J2302,('Loading-truck'!$D$31:$D$48))*Impacts!$F$14,IF(('Loading-truck'!$C$21)&lt;&gt;"No control",SUMIF(('Loading-truck'!$B$31:$B$48),$J2302,('Loading-truck'!$E$31:$E$48))*Impacts!$F$14,0)),0)</f>
        <v>0</v>
      </c>
      <c r="S2302" s="10">
        <f>IFERROR(IF(('Loading-rail'!$C$21)="No control",SUMIF(('Loading-rail'!$B$31:$B$48),$J2302,('Loading-rail'!$D$31:$D$48))*Impacts!$F$15,IF(('Loading-rail'!$C$21)&lt;&gt;"No control",SUMIF(('Loading-rail'!$B$31:$B$48),$J2302,('Loading-rail'!$E$31:$E$48))*Impacts!$F$15,0)),0)</f>
        <v>0</v>
      </c>
      <c r="T2302" s="10">
        <f>IF(Flare!$C$7="",0,(SUMIF(Flare!$B$46:$B$185,$J2302,Flare!$E$46:$E$185)*Impacts!$F$16))</f>
        <v>0</v>
      </c>
      <c r="U2302" s="10">
        <f>IF(VCU!$C$9="",0,(SUMIF(VCU!$B$51:$B$193,$J2302,VCU!$E$51:$E$193)*Impacts!$F$17))</f>
        <v>0</v>
      </c>
      <c r="V2302" s="10">
        <f>IF(CAS!$C$7="",0,(SUMIF(CAS!$B$31:$B$167,$J2302,CAS!$E$31:$E$167)*Impacts!$F$18))</f>
        <v>0</v>
      </c>
      <c r="W2302" s="10">
        <f t="shared" si="76"/>
        <v>0</v>
      </c>
      <c r="AK2302" s="10" t="str">
        <f t="array" ref="AK2302">IFERROR(INDEX(SelectedSpecies,SMALL(IF(SelectedSpecies=AK$1,ROW(SelectedSpecies)),ROW(2303:2303)),2),"")</f>
        <v/>
      </c>
      <c r="BE2302" s="10"/>
      <c r="BI2302" s="10"/>
    </row>
    <row r="2303" spans="1:61" ht="21" customHeight="1" x14ac:dyDescent="0.25">
      <c r="A2303" s="10"/>
      <c r="B2303" s="10"/>
      <c r="E2303" s="10"/>
      <c r="G2303" s="10"/>
      <c r="I2303" s="436" t="s">
        <v>7032</v>
      </c>
      <c r="J2303" s="26" t="s">
        <v>7031</v>
      </c>
      <c r="K2303" s="10">
        <v>0.45</v>
      </c>
      <c r="L2303" s="73">
        <f>IF(Tank1!$C$23="No control",(SUMIF(Tank1!$B$32:$B$49,$J2303,Tank1!$C$32:$C$49)*Impacts!$F$8),0)</f>
        <v>0</v>
      </c>
      <c r="M2303" s="10">
        <f>IF(Tank2!$C$23="No control",(SUMIF(Tank2!$B$32:$B$49,$J2303,Tank2!$C$32:$C$49)*Impacts!$F$9),0)</f>
        <v>0</v>
      </c>
      <c r="N2303" s="10">
        <f>IF(Tank3!$C$23="No control",(SUMIF(Tank3!$B$32:$B$49,$J2303,Tank3!$C$32:$C$49)*Impacts!$F$10),0)</f>
        <v>0</v>
      </c>
      <c r="O2303" s="10">
        <f>IF(Tank4!$C$23="No control",(SUMIF(Tank4!$B$32:$B$49,$J2303,Tank4!$C$32:$C$49)*Impacts!$F$11),0)</f>
        <v>0</v>
      </c>
      <c r="P2303" s="10">
        <f>IF(Tank5!$C$23="No control",(SUMIF(Tank5!$B$32:$B$49,$J2303,Tank5!$C$32:$C$49)*Impacts!$F$12),0)</f>
        <v>0</v>
      </c>
      <c r="Q2303" s="10">
        <f>IFERROR(IF(('Loading-drum,tote'!$C$21)="No control",SUMIF(('Loading-drum,tote'!$B$31:$B$48),$J2303,('Loading-drum,tote'!$D$31:$D$48))*Impacts!$F$13,IF(('Loading-drum,tote'!$C$21)&lt;&gt;"No control",SUMIF(('Loading-drum,tote'!$B$31:$B$48),$J2303,('Loading-drum,tote'!$E$31:$E$48))*Impacts!$F$13,0)),0)</f>
        <v>0</v>
      </c>
      <c r="R2303" s="10">
        <f>IFERROR(IF(('Loading-truck'!$C$21)="No control",SUMIF(('Loading-truck'!$B$31:$B$48),$J2303,('Loading-truck'!$D$31:$D$48))*Impacts!$F$14,IF(('Loading-truck'!$C$21)&lt;&gt;"No control",SUMIF(('Loading-truck'!$B$31:$B$48),$J2303,('Loading-truck'!$E$31:$E$48))*Impacts!$F$14,0)),0)</f>
        <v>0</v>
      </c>
      <c r="S2303" s="10">
        <f>IFERROR(IF(('Loading-rail'!$C$21)="No control",SUMIF(('Loading-rail'!$B$31:$B$48),$J2303,('Loading-rail'!$D$31:$D$48))*Impacts!$F$15,IF(('Loading-rail'!$C$21)&lt;&gt;"No control",SUMIF(('Loading-rail'!$B$31:$B$48),$J2303,('Loading-rail'!$E$31:$E$48))*Impacts!$F$15,0)),0)</f>
        <v>0</v>
      </c>
      <c r="T2303" s="10">
        <f>IF(Flare!$C$7="",0,(SUMIF(Flare!$B$46:$B$185,$J2303,Flare!$E$46:$E$185)*Impacts!$F$16))</f>
        <v>0</v>
      </c>
      <c r="U2303" s="10">
        <f>IF(VCU!$C$9="",0,(SUMIF(VCU!$B$51:$B$193,$J2303,VCU!$E$51:$E$193)*Impacts!$F$17))</f>
        <v>0</v>
      </c>
      <c r="V2303" s="10">
        <f>IF(CAS!$C$7="",0,(SUMIF(CAS!$B$31:$B$167,$J2303,CAS!$E$31:$E$167)*Impacts!$F$18))</f>
        <v>0</v>
      </c>
      <c r="W2303" s="10">
        <f t="shared" si="76"/>
        <v>0</v>
      </c>
      <c r="AK2303" s="10" t="str">
        <f t="array" ref="AK2303">IFERROR(INDEX(SelectedSpecies,SMALL(IF(SelectedSpecies=AK$1,ROW(SelectedSpecies)),ROW(2304:2304)),2),"")</f>
        <v/>
      </c>
      <c r="BE2303" s="10"/>
      <c r="BI2303" s="10"/>
    </row>
    <row r="2304" spans="1:61" ht="21" customHeight="1" x14ac:dyDescent="0.25">
      <c r="A2304" s="10"/>
      <c r="B2304" s="10"/>
      <c r="E2304" s="10"/>
      <c r="G2304" s="10"/>
      <c r="I2304" s="436" t="s">
        <v>8268</v>
      </c>
      <c r="J2304" s="26" t="s">
        <v>8267</v>
      </c>
      <c r="K2304" s="10">
        <v>5.000000000000001E-3</v>
      </c>
      <c r="L2304" s="73">
        <f>IF(Tank1!$C$23="No control",(SUMIF(Tank1!$B$32:$B$49,$J2304,Tank1!$C$32:$C$49)*Impacts!$F$8),0)</f>
        <v>0</v>
      </c>
      <c r="M2304" s="10">
        <f>IF(Tank2!$C$23="No control",(SUMIF(Tank2!$B$32:$B$49,$J2304,Tank2!$C$32:$C$49)*Impacts!$F$9),0)</f>
        <v>0</v>
      </c>
      <c r="N2304" s="10">
        <f>IF(Tank3!$C$23="No control",(SUMIF(Tank3!$B$32:$B$49,$J2304,Tank3!$C$32:$C$49)*Impacts!$F$10),0)</f>
        <v>0</v>
      </c>
      <c r="O2304" s="10">
        <f>IF(Tank4!$C$23="No control",(SUMIF(Tank4!$B$32:$B$49,$J2304,Tank4!$C$32:$C$49)*Impacts!$F$11),0)</f>
        <v>0</v>
      </c>
      <c r="P2304" s="10">
        <f>IF(Tank5!$C$23="No control",(SUMIF(Tank5!$B$32:$B$49,$J2304,Tank5!$C$32:$C$49)*Impacts!$F$12),0)</f>
        <v>0</v>
      </c>
      <c r="Q2304" s="10">
        <f>IFERROR(IF(('Loading-drum,tote'!$C$21)="No control",SUMIF(('Loading-drum,tote'!$B$31:$B$48),$J2304,('Loading-drum,tote'!$D$31:$D$48))*Impacts!$F$13,IF(('Loading-drum,tote'!$C$21)&lt;&gt;"No control",SUMIF(('Loading-drum,tote'!$B$31:$B$48),$J2304,('Loading-drum,tote'!$E$31:$E$48))*Impacts!$F$13,0)),0)</f>
        <v>0</v>
      </c>
      <c r="R2304" s="10">
        <f>IFERROR(IF(('Loading-truck'!$C$21)="No control",SUMIF(('Loading-truck'!$B$31:$B$48),$J2304,('Loading-truck'!$D$31:$D$48))*Impacts!$F$14,IF(('Loading-truck'!$C$21)&lt;&gt;"No control",SUMIF(('Loading-truck'!$B$31:$B$48),$J2304,('Loading-truck'!$E$31:$E$48))*Impacts!$F$14,0)),0)</f>
        <v>0</v>
      </c>
      <c r="S2304" s="10">
        <f>IFERROR(IF(('Loading-rail'!$C$21)="No control",SUMIF(('Loading-rail'!$B$31:$B$48),$J2304,('Loading-rail'!$D$31:$D$48))*Impacts!$F$15,IF(('Loading-rail'!$C$21)&lt;&gt;"No control",SUMIF(('Loading-rail'!$B$31:$B$48),$J2304,('Loading-rail'!$E$31:$E$48))*Impacts!$F$15,0)),0)</f>
        <v>0</v>
      </c>
      <c r="T2304" s="10">
        <f>IF(Flare!$C$7="",0,(SUMIF(Flare!$B$46:$B$185,$J2304,Flare!$E$46:$E$185)*Impacts!$F$16))</f>
        <v>0</v>
      </c>
      <c r="U2304" s="10">
        <f>IF(VCU!$C$9="",0,(SUMIF(VCU!$B$51:$B$193,$J2304,VCU!$E$51:$E$193)*Impacts!$F$17))</f>
        <v>0</v>
      </c>
      <c r="V2304" s="10">
        <f>IF(CAS!$C$7="",0,(SUMIF(CAS!$B$31:$B$167,$J2304,CAS!$E$31:$E$167)*Impacts!$F$18))</f>
        <v>0</v>
      </c>
      <c r="W2304" s="10">
        <f t="shared" si="76"/>
        <v>0</v>
      </c>
      <c r="AK2304" s="10" t="str">
        <f t="array" ref="AK2304">IFERROR(INDEX(SelectedSpecies,SMALL(IF(SelectedSpecies=AK$1,ROW(SelectedSpecies)),ROW(2305:2305)),2),"")</f>
        <v/>
      </c>
      <c r="BE2304" s="10"/>
      <c r="BI2304" s="10"/>
    </row>
    <row r="2305" spans="1:61" ht="21" customHeight="1" x14ac:dyDescent="0.25">
      <c r="A2305" s="10"/>
      <c r="B2305" s="10"/>
      <c r="E2305" s="10"/>
      <c r="G2305" s="10"/>
      <c r="I2305" s="436" t="s">
        <v>2013</v>
      </c>
      <c r="J2305" s="26" t="s">
        <v>2012</v>
      </c>
      <c r="K2305" s="10">
        <v>17</v>
      </c>
      <c r="L2305" s="73">
        <f>IF(Tank1!$C$23="No control",(SUMIF(Tank1!$B$32:$B$49,$J2305,Tank1!$C$32:$C$49)*Impacts!$F$8),0)</f>
        <v>0</v>
      </c>
      <c r="M2305" s="10">
        <f>IF(Tank2!$C$23="No control",(SUMIF(Tank2!$B$32:$B$49,$J2305,Tank2!$C$32:$C$49)*Impacts!$F$9),0)</f>
        <v>0</v>
      </c>
      <c r="N2305" s="10">
        <f>IF(Tank3!$C$23="No control",(SUMIF(Tank3!$B$32:$B$49,$J2305,Tank3!$C$32:$C$49)*Impacts!$F$10),0)</f>
        <v>0</v>
      </c>
      <c r="O2305" s="10">
        <f>IF(Tank4!$C$23="No control",(SUMIF(Tank4!$B$32:$B$49,$J2305,Tank4!$C$32:$C$49)*Impacts!$F$11),0)</f>
        <v>0</v>
      </c>
      <c r="P2305" s="10">
        <f>IF(Tank5!$C$23="No control",(SUMIF(Tank5!$B$32:$B$49,$J2305,Tank5!$C$32:$C$49)*Impacts!$F$12),0)</f>
        <v>0</v>
      </c>
      <c r="Q2305" s="10">
        <f>IFERROR(IF(('Loading-drum,tote'!$C$21)="No control",SUMIF(('Loading-drum,tote'!$B$31:$B$48),$J2305,('Loading-drum,tote'!$D$31:$D$48))*Impacts!$F$13,IF(('Loading-drum,tote'!$C$21)&lt;&gt;"No control",SUMIF(('Loading-drum,tote'!$B$31:$B$48),$J2305,('Loading-drum,tote'!$E$31:$E$48))*Impacts!$F$13,0)),0)</f>
        <v>0</v>
      </c>
      <c r="R2305" s="10">
        <f>IFERROR(IF(('Loading-truck'!$C$21)="No control",SUMIF(('Loading-truck'!$B$31:$B$48),$J2305,('Loading-truck'!$D$31:$D$48))*Impacts!$F$14,IF(('Loading-truck'!$C$21)&lt;&gt;"No control",SUMIF(('Loading-truck'!$B$31:$B$48),$J2305,('Loading-truck'!$E$31:$E$48))*Impacts!$F$14,0)),0)</f>
        <v>0</v>
      </c>
      <c r="S2305" s="10">
        <f>IFERROR(IF(('Loading-rail'!$C$21)="No control",SUMIF(('Loading-rail'!$B$31:$B$48),$J2305,('Loading-rail'!$D$31:$D$48))*Impacts!$F$15,IF(('Loading-rail'!$C$21)&lt;&gt;"No control",SUMIF(('Loading-rail'!$B$31:$B$48),$J2305,('Loading-rail'!$E$31:$E$48))*Impacts!$F$15,0)),0)</f>
        <v>0</v>
      </c>
      <c r="T2305" s="10">
        <f>IF(Flare!$C$7="",0,(SUMIF(Flare!$B$46:$B$185,$J2305,Flare!$E$46:$E$185)*Impacts!$F$16))</f>
        <v>0</v>
      </c>
      <c r="U2305" s="10">
        <f>IF(VCU!$C$9="",0,(SUMIF(VCU!$B$51:$B$193,$J2305,VCU!$E$51:$E$193)*Impacts!$F$17))</f>
        <v>0</v>
      </c>
      <c r="V2305" s="10">
        <f>IF(CAS!$C$7="",0,(SUMIF(CAS!$B$31:$B$167,$J2305,CAS!$E$31:$E$167)*Impacts!$F$18))</f>
        <v>0</v>
      </c>
      <c r="W2305" s="10">
        <f t="shared" si="76"/>
        <v>0</v>
      </c>
      <c r="AK2305" s="10" t="str">
        <f t="array" ref="AK2305">IFERROR(INDEX(SelectedSpecies,SMALL(IF(SelectedSpecies=AK$1,ROW(SelectedSpecies)),ROW(2306:2306)),2),"")</f>
        <v/>
      </c>
      <c r="BE2305" s="10"/>
      <c r="BI2305" s="10"/>
    </row>
    <row r="2306" spans="1:61" ht="21" customHeight="1" x14ac:dyDescent="0.25">
      <c r="A2306" s="10"/>
      <c r="B2306" s="10"/>
      <c r="E2306" s="10"/>
      <c r="G2306" s="10"/>
      <c r="I2306" s="436" t="s">
        <v>2015</v>
      </c>
      <c r="J2306" s="26" t="s">
        <v>2014</v>
      </c>
      <c r="K2306" s="10">
        <v>17</v>
      </c>
      <c r="L2306" s="73">
        <f>IF(Tank1!$C$23="No control",(SUMIF(Tank1!$B$32:$B$49,$J2306,Tank1!$C$32:$C$49)*Impacts!$F$8),0)</f>
        <v>0</v>
      </c>
      <c r="M2306" s="10">
        <f>IF(Tank2!$C$23="No control",(SUMIF(Tank2!$B$32:$B$49,$J2306,Tank2!$C$32:$C$49)*Impacts!$F$9),0)</f>
        <v>0</v>
      </c>
      <c r="N2306" s="10">
        <f>IF(Tank3!$C$23="No control",(SUMIF(Tank3!$B$32:$B$49,$J2306,Tank3!$C$32:$C$49)*Impacts!$F$10),0)</f>
        <v>0</v>
      </c>
      <c r="O2306" s="10">
        <f>IF(Tank4!$C$23="No control",(SUMIF(Tank4!$B$32:$B$49,$J2306,Tank4!$C$32:$C$49)*Impacts!$F$11),0)</f>
        <v>0</v>
      </c>
      <c r="P2306" s="10">
        <f>IF(Tank5!$C$23="No control",(SUMIF(Tank5!$B$32:$B$49,$J2306,Tank5!$C$32:$C$49)*Impacts!$F$12),0)</f>
        <v>0</v>
      </c>
      <c r="Q2306" s="10">
        <f>IFERROR(IF(('Loading-drum,tote'!$C$21)="No control",SUMIF(('Loading-drum,tote'!$B$31:$B$48),$J2306,('Loading-drum,tote'!$D$31:$D$48))*Impacts!$F$13,IF(('Loading-drum,tote'!$C$21)&lt;&gt;"No control",SUMIF(('Loading-drum,tote'!$B$31:$B$48),$J2306,('Loading-drum,tote'!$E$31:$E$48))*Impacts!$F$13,0)),0)</f>
        <v>0</v>
      </c>
      <c r="R2306" s="10">
        <f>IFERROR(IF(('Loading-truck'!$C$21)="No control",SUMIF(('Loading-truck'!$B$31:$B$48),$J2306,('Loading-truck'!$D$31:$D$48))*Impacts!$F$14,IF(('Loading-truck'!$C$21)&lt;&gt;"No control",SUMIF(('Loading-truck'!$B$31:$B$48),$J2306,('Loading-truck'!$E$31:$E$48))*Impacts!$F$14,0)),0)</f>
        <v>0</v>
      </c>
      <c r="S2306" s="10">
        <f>IFERROR(IF(('Loading-rail'!$C$21)="No control",SUMIF(('Loading-rail'!$B$31:$B$48),$J2306,('Loading-rail'!$D$31:$D$48))*Impacts!$F$15,IF(('Loading-rail'!$C$21)&lt;&gt;"No control",SUMIF(('Loading-rail'!$B$31:$B$48),$J2306,('Loading-rail'!$E$31:$E$48))*Impacts!$F$15,0)),0)</f>
        <v>0</v>
      </c>
      <c r="T2306" s="10">
        <f>IF(Flare!$C$7="",0,(SUMIF(Flare!$B$46:$B$185,$J2306,Flare!$E$46:$E$185)*Impacts!$F$16))</f>
        <v>0</v>
      </c>
      <c r="U2306" s="10">
        <f>IF(VCU!$C$9="",0,(SUMIF(VCU!$B$51:$B$193,$J2306,VCU!$E$51:$E$193)*Impacts!$F$17))</f>
        <v>0</v>
      </c>
      <c r="V2306" s="10">
        <f>IF(CAS!$C$7="",0,(SUMIF(CAS!$B$31:$B$167,$J2306,CAS!$E$31:$E$167)*Impacts!$F$18))</f>
        <v>0</v>
      </c>
      <c r="W2306" s="10">
        <f t="shared" si="76"/>
        <v>0</v>
      </c>
      <c r="AK2306" s="10" t="str">
        <f t="array" ref="AK2306">IFERROR(INDEX(SelectedSpecies,SMALL(IF(SelectedSpecies=AK$1,ROW(SelectedSpecies)),ROW(2307:2307)),2),"")</f>
        <v/>
      </c>
      <c r="BE2306" s="10"/>
      <c r="BI2306" s="10"/>
    </row>
    <row r="2307" spans="1:61" ht="21" customHeight="1" x14ac:dyDescent="0.25">
      <c r="A2307" s="10"/>
      <c r="B2307" s="10"/>
      <c r="E2307" s="10"/>
      <c r="G2307" s="10"/>
      <c r="I2307" s="436" t="s">
        <v>620</v>
      </c>
      <c r="J2307" s="26" t="s">
        <v>619</v>
      </c>
      <c r="K2307" s="10">
        <v>70.5</v>
      </c>
      <c r="L2307" s="73">
        <f>IF(Tank1!$C$23="No control",(SUMIF(Tank1!$B$32:$B$49,$J2307,Tank1!$C$32:$C$49)*Impacts!$F$8),0)</f>
        <v>0</v>
      </c>
      <c r="M2307" s="10">
        <f>IF(Tank2!$C$23="No control",(SUMIF(Tank2!$B$32:$B$49,$J2307,Tank2!$C$32:$C$49)*Impacts!$F$9),0)</f>
        <v>0</v>
      </c>
      <c r="N2307" s="10">
        <f>IF(Tank3!$C$23="No control",(SUMIF(Tank3!$B$32:$B$49,$J2307,Tank3!$C$32:$C$49)*Impacts!$F$10),0)</f>
        <v>0</v>
      </c>
      <c r="O2307" s="10">
        <f>IF(Tank4!$C$23="No control",(SUMIF(Tank4!$B$32:$B$49,$J2307,Tank4!$C$32:$C$49)*Impacts!$F$11),0)</f>
        <v>0</v>
      </c>
      <c r="P2307" s="10">
        <f>IF(Tank5!$C$23="No control",(SUMIF(Tank5!$B$32:$B$49,$J2307,Tank5!$C$32:$C$49)*Impacts!$F$12),0)</f>
        <v>0</v>
      </c>
      <c r="Q2307" s="10">
        <f>IFERROR(IF(('Loading-drum,tote'!$C$21)="No control",SUMIF(('Loading-drum,tote'!$B$31:$B$48),$J2307,('Loading-drum,tote'!$D$31:$D$48))*Impacts!$F$13,IF(('Loading-drum,tote'!$C$21)&lt;&gt;"No control",SUMIF(('Loading-drum,tote'!$B$31:$B$48),$J2307,('Loading-drum,tote'!$E$31:$E$48))*Impacts!$F$13,0)),0)</f>
        <v>0</v>
      </c>
      <c r="R2307" s="10">
        <f>IFERROR(IF(('Loading-truck'!$C$21)="No control",SUMIF(('Loading-truck'!$B$31:$B$48),$J2307,('Loading-truck'!$D$31:$D$48))*Impacts!$F$14,IF(('Loading-truck'!$C$21)&lt;&gt;"No control",SUMIF(('Loading-truck'!$B$31:$B$48),$J2307,('Loading-truck'!$E$31:$E$48))*Impacts!$F$14,0)),0)</f>
        <v>0</v>
      </c>
      <c r="S2307" s="10">
        <f>IFERROR(IF(('Loading-rail'!$C$21)="No control",SUMIF(('Loading-rail'!$B$31:$B$48),$J2307,('Loading-rail'!$D$31:$D$48))*Impacts!$F$15,IF(('Loading-rail'!$C$21)&lt;&gt;"No control",SUMIF(('Loading-rail'!$B$31:$B$48),$J2307,('Loading-rail'!$E$31:$E$48))*Impacts!$F$15,0)),0)</f>
        <v>0</v>
      </c>
      <c r="T2307" s="10">
        <f>IF(Flare!$C$7="",0,(SUMIF(Flare!$B$46:$B$185,$J2307,Flare!$E$46:$E$185)*Impacts!$F$16))</f>
        <v>0</v>
      </c>
      <c r="U2307" s="10">
        <f>IF(VCU!$C$9="",0,(SUMIF(VCU!$B$51:$B$193,$J2307,VCU!$E$51:$E$193)*Impacts!$F$17))</f>
        <v>0</v>
      </c>
      <c r="V2307" s="10">
        <f>IF(CAS!$C$7="",0,(SUMIF(CAS!$B$31:$B$167,$J2307,CAS!$E$31:$E$167)*Impacts!$F$18))</f>
        <v>0</v>
      </c>
      <c r="W2307" s="10">
        <f t="shared" si="76"/>
        <v>0</v>
      </c>
      <c r="AK2307" s="10" t="str">
        <f t="array" ref="AK2307">IFERROR(INDEX(SelectedSpecies,SMALL(IF(SelectedSpecies=AK$1,ROW(SelectedSpecies)),ROW(2308:2308)),2),"")</f>
        <v/>
      </c>
      <c r="BE2307" s="10"/>
      <c r="BI2307" s="10"/>
    </row>
    <row r="2308" spans="1:61" ht="21" customHeight="1" x14ac:dyDescent="0.25">
      <c r="A2308" s="10"/>
      <c r="B2308" s="10"/>
      <c r="E2308" s="10"/>
      <c r="G2308" s="10"/>
      <c r="I2308" s="436" t="s">
        <v>8270</v>
      </c>
      <c r="J2308" s="26" t="s">
        <v>8269</v>
      </c>
      <c r="K2308" s="10">
        <v>5.000000000000001E-3</v>
      </c>
      <c r="L2308" s="73">
        <f>IF(Tank1!$C$23="No control",(SUMIF(Tank1!$B$32:$B$49,$J2308,Tank1!$C$32:$C$49)*Impacts!$F$8),0)</f>
        <v>0</v>
      </c>
      <c r="M2308" s="10">
        <f>IF(Tank2!$C$23="No control",(SUMIF(Tank2!$B$32:$B$49,$J2308,Tank2!$C$32:$C$49)*Impacts!$F$9),0)</f>
        <v>0</v>
      </c>
      <c r="N2308" s="10">
        <f>IF(Tank3!$C$23="No control",(SUMIF(Tank3!$B$32:$B$49,$J2308,Tank3!$C$32:$C$49)*Impacts!$F$10),0)</f>
        <v>0</v>
      </c>
      <c r="O2308" s="10">
        <f>IF(Tank4!$C$23="No control",(SUMIF(Tank4!$B$32:$B$49,$J2308,Tank4!$C$32:$C$49)*Impacts!$F$11),0)</f>
        <v>0</v>
      </c>
      <c r="P2308" s="10">
        <f>IF(Tank5!$C$23="No control",(SUMIF(Tank5!$B$32:$B$49,$J2308,Tank5!$C$32:$C$49)*Impacts!$F$12),0)</f>
        <v>0</v>
      </c>
      <c r="Q2308" s="10">
        <f>IFERROR(IF(('Loading-drum,tote'!$C$21)="No control",SUMIF(('Loading-drum,tote'!$B$31:$B$48),$J2308,('Loading-drum,tote'!$D$31:$D$48))*Impacts!$F$13,IF(('Loading-drum,tote'!$C$21)&lt;&gt;"No control",SUMIF(('Loading-drum,tote'!$B$31:$B$48),$J2308,('Loading-drum,tote'!$E$31:$E$48))*Impacts!$F$13,0)),0)</f>
        <v>0</v>
      </c>
      <c r="R2308" s="10">
        <f>IFERROR(IF(('Loading-truck'!$C$21)="No control",SUMIF(('Loading-truck'!$B$31:$B$48),$J2308,('Loading-truck'!$D$31:$D$48))*Impacts!$F$14,IF(('Loading-truck'!$C$21)&lt;&gt;"No control",SUMIF(('Loading-truck'!$B$31:$B$48),$J2308,('Loading-truck'!$E$31:$E$48))*Impacts!$F$14,0)),0)</f>
        <v>0</v>
      </c>
      <c r="S2308" s="10">
        <f>IFERROR(IF(('Loading-rail'!$C$21)="No control",SUMIF(('Loading-rail'!$B$31:$B$48),$J2308,('Loading-rail'!$D$31:$D$48))*Impacts!$F$15,IF(('Loading-rail'!$C$21)&lt;&gt;"No control",SUMIF(('Loading-rail'!$B$31:$B$48),$J2308,('Loading-rail'!$E$31:$E$48))*Impacts!$F$15,0)),0)</f>
        <v>0</v>
      </c>
      <c r="T2308" s="10">
        <f>IF(Flare!$C$7="",0,(SUMIF(Flare!$B$46:$B$185,$J2308,Flare!$E$46:$E$185)*Impacts!$F$16))</f>
        <v>0</v>
      </c>
      <c r="U2308" s="10">
        <f>IF(VCU!$C$9="",0,(SUMIF(VCU!$B$51:$B$193,$J2308,VCU!$E$51:$E$193)*Impacts!$F$17))</f>
        <v>0</v>
      </c>
      <c r="V2308" s="10">
        <f>IF(CAS!$C$7="",0,(SUMIF(CAS!$B$31:$B$167,$J2308,CAS!$E$31:$E$167)*Impacts!$F$18))</f>
        <v>0</v>
      </c>
      <c r="W2308" s="10">
        <f t="shared" si="76"/>
        <v>0</v>
      </c>
      <c r="AK2308" s="10" t="str">
        <f t="array" ref="AK2308">IFERROR(INDEX(SelectedSpecies,SMALL(IF(SelectedSpecies=AK$1,ROW(SelectedSpecies)),ROW(2309:2309)),2),"")</f>
        <v/>
      </c>
      <c r="BE2308" s="10"/>
      <c r="BI2308" s="10"/>
    </row>
    <row r="2309" spans="1:61" ht="21" customHeight="1" x14ac:dyDescent="0.25">
      <c r="A2309" s="10"/>
      <c r="B2309" s="10"/>
      <c r="E2309" s="10"/>
      <c r="G2309" s="10"/>
      <c r="I2309" s="436" t="s">
        <v>449</v>
      </c>
      <c r="J2309" s="26" t="s">
        <v>448</v>
      </c>
      <c r="K2309" s="10">
        <v>164</v>
      </c>
      <c r="L2309" s="73">
        <f>IF(Tank1!$C$23="No control",(SUMIF(Tank1!$B$32:$B$49,$J2309,Tank1!$C$32:$C$49)*Impacts!$F$8),0)</f>
        <v>0</v>
      </c>
      <c r="M2309" s="10">
        <f>IF(Tank2!$C$23="No control",(SUMIF(Tank2!$B$32:$B$49,$J2309,Tank2!$C$32:$C$49)*Impacts!$F$9),0)</f>
        <v>0</v>
      </c>
      <c r="N2309" s="10">
        <f>IF(Tank3!$C$23="No control",(SUMIF(Tank3!$B$32:$B$49,$J2309,Tank3!$C$32:$C$49)*Impacts!$F$10),0)</f>
        <v>0</v>
      </c>
      <c r="O2309" s="10">
        <f>IF(Tank4!$C$23="No control",(SUMIF(Tank4!$B$32:$B$49,$J2309,Tank4!$C$32:$C$49)*Impacts!$F$11),0)</f>
        <v>0</v>
      </c>
      <c r="P2309" s="10">
        <f>IF(Tank5!$C$23="No control",(SUMIF(Tank5!$B$32:$B$49,$J2309,Tank5!$C$32:$C$49)*Impacts!$F$12),0)</f>
        <v>0</v>
      </c>
      <c r="Q2309" s="10">
        <f>IFERROR(IF(('Loading-drum,tote'!$C$21)="No control",SUMIF(('Loading-drum,tote'!$B$31:$B$48),$J2309,('Loading-drum,tote'!$D$31:$D$48))*Impacts!$F$13,IF(('Loading-drum,tote'!$C$21)&lt;&gt;"No control",SUMIF(('Loading-drum,tote'!$B$31:$B$48),$J2309,('Loading-drum,tote'!$E$31:$E$48))*Impacts!$F$13,0)),0)</f>
        <v>0</v>
      </c>
      <c r="R2309" s="10">
        <f>IFERROR(IF(('Loading-truck'!$C$21)="No control",SUMIF(('Loading-truck'!$B$31:$B$48),$J2309,('Loading-truck'!$D$31:$D$48))*Impacts!$F$14,IF(('Loading-truck'!$C$21)&lt;&gt;"No control",SUMIF(('Loading-truck'!$B$31:$B$48),$J2309,('Loading-truck'!$E$31:$E$48))*Impacts!$F$14,0)),0)</f>
        <v>0</v>
      </c>
      <c r="S2309" s="10">
        <f>IFERROR(IF(('Loading-rail'!$C$21)="No control",SUMIF(('Loading-rail'!$B$31:$B$48),$J2309,('Loading-rail'!$D$31:$D$48))*Impacts!$F$15,IF(('Loading-rail'!$C$21)&lt;&gt;"No control",SUMIF(('Loading-rail'!$B$31:$B$48),$J2309,('Loading-rail'!$E$31:$E$48))*Impacts!$F$15,0)),0)</f>
        <v>0</v>
      </c>
      <c r="T2309" s="10">
        <f>IF(Flare!$C$7="",0,(SUMIF(Flare!$B$46:$B$185,$J2309,Flare!$E$46:$E$185)*Impacts!$F$16))</f>
        <v>0</v>
      </c>
      <c r="U2309" s="10">
        <f>IF(VCU!$C$9="",0,(SUMIF(VCU!$B$51:$B$193,$J2309,VCU!$E$51:$E$193)*Impacts!$F$17))</f>
        <v>0</v>
      </c>
      <c r="V2309" s="10">
        <f>IF(CAS!$C$7="",0,(SUMIF(CAS!$B$31:$B$167,$J2309,CAS!$E$31:$E$167)*Impacts!$F$18))</f>
        <v>0</v>
      </c>
      <c r="W2309" s="10">
        <f t="shared" si="76"/>
        <v>0</v>
      </c>
      <c r="AK2309" s="10" t="str">
        <f t="array" ref="AK2309">IFERROR(INDEX(SelectedSpecies,SMALL(IF(SelectedSpecies=AK$1,ROW(SelectedSpecies)),ROW(2310:2310)),2),"")</f>
        <v/>
      </c>
      <c r="BE2309" s="10"/>
      <c r="BI2309" s="10"/>
    </row>
    <row r="2310" spans="1:61" ht="21" customHeight="1" x14ac:dyDescent="0.25">
      <c r="A2310" s="10"/>
      <c r="B2310" s="10"/>
      <c r="E2310" s="10"/>
      <c r="G2310" s="10"/>
      <c r="I2310" s="436" t="s">
        <v>778</v>
      </c>
      <c r="J2310" s="26" t="s">
        <v>777</v>
      </c>
      <c r="K2310" s="10">
        <v>54</v>
      </c>
      <c r="L2310" s="73">
        <f>IF(Tank1!$C$23="No control",(SUMIF(Tank1!$B$32:$B$49,$J2310,Tank1!$C$32:$C$49)*Impacts!$F$8),0)</f>
        <v>0</v>
      </c>
      <c r="M2310" s="10">
        <f>IF(Tank2!$C$23="No control",(SUMIF(Tank2!$B$32:$B$49,$J2310,Tank2!$C$32:$C$49)*Impacts!$F$9),0)</f>
        <v>0</v>
      </c>
      <c r="N2310" s="10">
        <f>IF(Tank3!$C$23="No control",(SUMIF(Tank3!$B$32:$B$49,$J2310,Tank3!$C$32:$C$49)*Impacts!$F$10),0)</f>
        <v>0</v>
      </c>
      <c r="O2310" s="10">
        <f>IF(Tank4!$C$23="No control",(SUMIF(Tank4!$B$32:$B$49,$J2310,Tank4!$C$32:$C$49)*Impacts!$F$11),0)</f>
        <v>0</v>
      </c>
      <c r="P2310" s="10">
        <f>IF(Tank5!$C$23="No control",(SUMIF(Tank5!$B$32:$B$49,$J2310,Tank5!$C$32:$C$49)*Impacts!$F$12),0)</f>
        <v>0</v>
      </c>
      <c r="Q2310" s="10">
        <f>IFERROR(IF(('Loading-drum,tote'!$C$21)="No control",SUMIF(('Loading-drum,tote'!$B$31:$B$48),$J2310,('Loading-drum,tote'!$D$31:$D$48))*Impacts!$F$13,IF(('Loading-drum,tote'!$C$21)&lt;&gt;"No control",SUMIF(('Loading-drum,tote'!$B$31:$B$48),$J2310,('Loading-drum,tote'!$E$31:$E$48))*Impacts!$F$13,0)),0)</f>
        <v>0</v>
      </c>
      <c r="R2310" s="10">
        <f>IFERROR(IF(('Loading-truck'!$C$21)="No control",SUMIF(('Loading-truck'!$B$31:$B$48),$J2310,('Loading-truck'!$D$31:$D$48))*Impacts!$F$14,IF(('Loading-truck'!$C$21)&lt;&gt;"No control",SUMIF(('Loading-truck'!$B$31:$B$48),$J2310,('Loading-truck'!$E$31:$E$48))*Impacts!$F$14,0)),0)</f>
        <v>0</v>
      </c>
      <c r="S2310" s="10">
        <f>IFERROR(IF(('Loading-rail'!$C$21)="No control",SUMIF(('Loading-rail'!$B$31:$B$48),$J2310,('Loading-rail'!$D$31:$D$48))*Impacts!$F$15,IF(('Loading-rail'!$C$21)&lt;&gt;"No control",SUMIF(('Loading-rail'!$B$31:$B$48),$J2310,('Loading-rail'!$E$31:$E$48))*Impacts!$F$15,0)),0)</f>
        <v>0</v>
      </c>
      <c r="T2310" s="10">
        <f>IF(Flare!$C$7="",0,(SUMIF(Flare!$B$46:$B$185,$J2310,Flare!$E$46:$E$185)*Impacts!$F$16))</f>
        <v>0</v>
      </c>
      <c r="U2310" s="10">
        <f>IF(VCU!$C$9="",0,(SUMIF(VCU!$B$51:$B$193,$J2310,VCU!$E$51:$E$193)*Impacts!$F$17))</f>
        <v>0</v>
      </c>
      <c r="V2310" s="10">
        <f>IF(CAS!$C$7="",0,(SUMIF(CAS!$B$31:$B$167,$J2310,CAS!$E$31:$E$167)*Impacts!$F$18))</f>
        <v>0</v>
      </c>
      <c r="W2310" s="10">
        <f t="shared" si="76"/>
        <v>0</v>
      </c>
      <c r="AK2310" s="10" t="str">
        <f t="array" ref="AK2310">IFERROR(INDEX(SelectedSpecies,SMALL(IF(SelectedSpecies=AK$1,ROW(SelectedSpecies)),ROW(2311:2311)),2),"")</f>
        <v/>
      </c>
      <c r="BE2310" s="10"/>
      <c r="BI2310" s="10"/>
    </row>
    <row r="2311" spans="1:61" ht="21" customHeight="1" x14ac:dyDescent="0.25">
      <c r="A2311" s="10"/>
      <c r="B2311" s="10"/>
      <c r="E2311" s="10"/>
      <c r="G2311" s="10"/>
      <c r="I2311" s="436" t="s">
        <v>2941</v>
      </c>
      <c r="J2311" s="26" t="s">
        <v>2940</v>
      </c>
      <c r="K2311" s="10">
        <v>10</v>
      </c>
      <c r="L2311" s="73">
        <f>IF(Tank1!$C$23="No control",(SUMIF(Tank1!$B$32:$B$49,$J2311,Tank1!$C$32:$C$49)*Impacts!$F$8),0)</f>
        <v>0</v>
      </c>
      <c r="M2311" s="10">
        <f>IF(Tank2!$C$23="No control",(SUMIF(Tank2!$B$32:$B$49,$J2311,Tank2!$C$32:$C$49)*Impacts!$F$9),0)</f>
        <v>0</v>
      </c>
      <c r="N2311" s="10">
        <f>IF(Tank3!$C$23="No control",(SUMIF(Tank3!$B$32:$B$49,$J2311,Tank3!$C$32:$C$49)*Impacts!$F$10),0)</f>
        <v>0</v>
      </c>
      <c r="O2311" s="10">
        <f>IF(Tank4!$C$23="No control",(SUMIF(Tank4!$B$32:$B$49,$J2311,Tank4!$C$32:$C$49)*Impacts!$F$11),0)</f>
        <v>0</v>
      </c>
      <c r="P2311" s="10">
        <f>IF(Tank5!$C$23="No control",(SUMIF(Tank5!$B$32:$B$49,$J2311,Tank5!$C$32:$C$49)*Impacts!$F$12),0)</f>
        <v>0</v>
      </c>
      <c r="Q2311" s="10">
        <f>IFERROR(IF(('Loading-drum,tote'!$C$21)="No control",SUMIF(('Loading-drum,tote'!$B$31:$B$48),$J2311,('Loading-drum,tote'!$D$31:$D$48))*Impacts!$F$13,IF(('Loading-drum,tote'!$C$21)&lt;&gt;"No control",SUMIF(('Loading-drum,tote'!$B$31:$B$48),$J2311,('Loading-drum,tote'!$E$31:$E$48))*Impacts!$F$13,0)),0)</f>
        <v>0</v>
      </c>
      <c r="R2311" s="10">
        <f>IFERROR(IF(('Loading-truck'!$C$21)="No control",SUMIF(('Loading-truck'!$B$31:$B$48),$J2311,('Loading-truck'!$D$31:$D$48))*Impacts!$F$14,IF(('Loading-truck'!$C$21)&lt;&gt;"No control",SUMIF(('Loading-truck'!$B$31:$B$48),$J2311,('Loading-truck'!$E$31:$E$48))*Impacts!$F$14,0)),0)</f>
        <v>0</v>
      </c>
      <c r="S2311" s="10">
        <f>IFERROR(IF(('Loading-rail'!$C$21)="No control",SUMIF(('Loading-rail'!$B$31:$B$48),$J2311,('Loading-rail'!$D$31:$D$48))*Impacts!$F$15,IF(('Loading-rail'!$C$21)&lt;&gt;"No control",SUMIF(('Loading-rail'!$B$31:$B$48),$J2311,('Loading-rail'!$E$31:$E$48))*Impacts!$F$15,0)),0)</f>
        <v>0</v>
      </c>
      <c r="T2311" s="10">
        <f>IF(Flare!$C$7="",0,(SUMIF(Flare!$B$46:$B$185,$J2311,Flare!$E$46:$E$185)*Impacts!$F$16))</f>
        <v>0</v>
      </c>
      <c r="U2311" s="10">
        <f>IF(VCU!$C$9="",0,(SUMIF(VCU!$B$51:$B$193,$J2311,VCU!$E$51:$E$193)*Impacts!$F$17))</f>
        <v>0</v>
      </c>
      <c r="V2311" s="10">
        <f>IF(CAS!$C$7="",0,(SUMIF(CAS!$B$31:$B$167,$J2311,CAS!$E$31:$E$167)*Impacts!$F$18))</f>
        <v>0</v>
      </c>
      <c r="W2311" s="10">
        <f t="shared" si="76"/>
        <v>0</v>
      </c>
      <c r="AK2311" s="10" t="str">
        <f t="array" ref="AK2311">IFERROR(INDEX(SelectedSpecies,SMALL(IF(SelectedSpecies=AK$1,ROW(SelectedSpecies)),ROW(2312:2312)),2),"")</f>
        <v/>
      </c>
      <c r="BE2311" s="10"/>
      <c r="BI2311" s="10"/>
    </row>
    <row r="2312" spans="1:61" ht="21" customHeight="1" x14ac:dyDescent="0.25">
      <c r="A2312" s="10"/>
      <c r="B2312" s="10"/>
      <c r="E2312" s="10"/>
      <c r="G2312" s="10"/>
      <c r="I2312" s="436" t="s">
        <v>2943</v>
      </c>
      <c r="J2312" s="26" t="s">
        <v>2942</v>
      </c>
      <c r="K2312" s="10">
        <v>10</v>
      </c>
      <c r="L2312" s="73">
        <f>IF(Tank1!$C$23="No control",(SUMIF(Tank1!$B$32:$B$49,$J2312,Tank1!$C$32:$C$49)*Impacts!$F$8),0)</f>
        <v>0</v>
      </c>
      <c r="M2312" s="10">
        <f>IF(Tank2!$C$23="No control",(SUMIF(Tank2!$B$32:$B$49,$J2312,Tank2!$C$32:$C$49)*Impacts!$F$9),0)</f>
        <v>0</v>
      </c>
      <c r="N2312" s="10">
        <f>IF(Tank3!$C$23="No control",(SUMIF(Tank3!$B$32:$B$49,$J2312,Tank3!$C$32:$C$49)*Impacts!$F$10),0)</f>
        <v>0</v>
      </c>
      <c r="O2312" s="10">
        <f>IF(Tank4!$C$23="No control",(SUMIF(Tank4!$B$32:$B$49,$J2312,Tank4!$C$32:$C$49)*Impacts!$F$11),0)</f>
        <v>0</v>
      </c>
      <c r="P2312" s="10">
        <f>IF(Tank5!$C$23="No control",(SUMIF(Tank5!$B$32:$B$49,$J2312,Tank5!$C$32:$C$49)*Impacts!$F$12),0)</f>
        <v>0</v>
      </c>
      <c r="Q2312" s="10">
        <f>IFERROR(IF(('Loading-drum,tote'!$C$21)="No control",SUMIF(('Loading-drum,tote'!$B$31:$B$48),$J2312,('Loading-drum,tote'!$D$31:$D$48))*Impacts!$F$13,IF(('Loading-drum,tote'!$C$21)&lt;&gt;"No control",SUMIF(('Loading-drum,tote'!$B$31:$B$48),$J2312,('Loading-drum,tote'!$E$31:$E$48))*Impacts!$F$13,0)),0)</f>
        <v>0</v>
      </c>
      <c r="R2312" s="10">
        <f>IFERROR(IF(('Loading-truck'!$C$21)="No control",SUMIF(('Loading-truck'!$B$31:$B$48),$J2312,('Loading-truck'!$D$31:$D$48))*Impacts!$F$14,IF(('Loading-truck'!$C$21)&lt;&gt;"No control",SUMIF(('Loading-truck'!$B$31:$B$48),$J2312,('Loading-truck'!$E$31:$E$48))*Impacts!$F$14,0)),0)</f>
        <v>0</v>
      </c>
      <c r="S2312" s="10">
        <f>IFERROR(IF(('Loading-rail'!$C$21)="No control",SUMIF(('Loading-rail'!$B$31:$B$48),$J2312,('Loading-rail'!$D$31:$D$48))*Impacts!$F$15,IF(('Loading-rail'!$C$21)&lt;&gt;"No control",SUMIF(('Loading-rail'!$B$31:$B$48),$J2312,('Loading-rail'!$E$31:$E$48))*Impacts!$F$15,0)),0)</f>
        <v>0</v>
      </c>
      <c r="T2312" s="10">
        <f>IF(Flare!$C$7="",0,(SUMIF(Flare!$B$46:$B$185,$J2312,Flare!$E$46:$E$185)*Impacts!$F$16))</f>
        <v>0</v>
      </c>
      <c r="U2312" s="10">
        <f>IF(VCU!$C$9="",0,(SUMIF(VCU!$B$51:$B$193,$J2312,VCU!$E$51:$E$193)*Impacts!$F$17))</f>
        <v>0</v>
      </c>
      <c r="V2312" s="10">
        <f>IF(CAS!$C$7="",0,(SUMIF(CAS!$B$31:$B$167,$J2312,CAS!$E$31:$E$167)*Impacts!$F$18))</f>
        <v>0</v>
      </c>
      <c r="W2312" s="10">
        <f t="shared" si="76"/>
        <v>0</v>
      </c>
      <c r="AK2312" s="10" t="str">
        <f t="array" ref="AK2312">IFERROR(INDEX(SelectedSpecies,SMALL(IF(SelectedSpecies=AK$1,ROW(SelectedSpecies)),ROW(2313:2313)),2),"")</f>
        <v/>
      </c>
      <c r="BE2312" s="10"/>
      <c r="BI2312" s="10"/>
    </row>
    <row r="2313" spans="1:61" ht="21" customHeight="1" x14ac:dyDescent="0.25">
      <c r="A2313" s="10"/>
      <c r="B2313" s="10"/>
      <c r="E2313" s="10"/>
      <c r="G2313" s="10"/>
      <c r="I2313" s="436" t="s">
        <v>8340</v>
      </c>
      <c r="J2313" s="26" t="s">
        <v>8339</v>
      </c>
      <c r="K2313" s="10">
        <v>2.0000000000000001E-4</v>
      </c>
      <c r="L2313" s="73">
        <f>IF(Tank1!$C$23="No control",(SUMIF(Tank1!$B$32:$B$49,$J2313,Tank1!$C$32:$C$49)*Impacts!$F$8),0)</f>
        <v>0</v>
      </c>
      <c r="M2313" s="10">
        <f>IF(Tank2!$C$23="No control",(SUMIF(Tank2!$B$32:$B$49,$J2313,Tank2!$C$32:$C$49)*Impacts!$F$9),0)</f>
        <v>0</v>
      </c>
      <c r="N2313" s="10">
        <f>IF(Tank3!$C$23="No control",(SUMIF(Tank3!$B$32:$B$49,$J2313,Tank3!$C$32:$C$49)*Impacts!$F$10),0)</f>
        <v>0</v>
      </c>
      <c r="O2313" s="10">
        <f>IF(Tank4!$C$23="No control",(SUMIF(Tank4!$B$32:$B$49,$J2313,Tank4!$C$32:$C$49)*Impacts!$F$11),0)</f>
        <v>0</v>
      </c>
      <c r="P2313" s="10">
        <f>IF(Tank5!$C$23="No control",(SUMIF(Tank5!$B$32:$B$49,$J2313,Tank5!$C$32:$C$49)*Impacts!$F$12),0)</f>
        <v>0</v>
      </c>
      <c r="Q2313" s="10">
        <f>IFERROR(IF(('Loading-drum,tote'!$C$21)="No control",SUMIF(('Loading-drum,tote'!$B$31:$B$48),$J2313,('Loading-drum,tote'!$D$31:$D$48))*Impacts!$F$13,IF(('Loading-drum,tote'!$C$21)&lt;&gt;"No control",SUMIF(('Loading-drum,tote'!$B$31:$B$48),$J2313,('Loading-drum,tote'!$E$31:$E$48))*Impacts!$F$13,0)),0)</f>
        <v>0</v>
      </c>
      <c r="R2313" s="10">
        <f>IFERROR(IF(('Loading-truck'!$C$21)="No control",SUMIF(('Loading-truck'!$B$31:$B$48),$J2313,('Loading-truck'!$D$31:$D$48))*Impacts!$F$14,IF(('Loading-truck'!$C$21)&lt;&gt;"No control",SUMIF(('Loading-truck'!$B$31:$B$48),$J2313,('Loading-truck'!$E$31:$E$48))*Impacts!$F$14,0)),0)</f>
        <v>0</v>
      </c>
      <c r="S2313" s="10">
        <f>IFERROR(IF(('Loading-rail'!$C$21)="No control",SUMIF(('Loading-rail'!$B$31:$B$48),$J2313,('Loading-rail'!$D$31:$D$48))*Impacts!$F$15,IF(('Loading-rail'!$C$21)&lt;&gt;"No control",SUMIF(('Loading-rail'!$B$31:$B$48),$J2313,('Loading-rail'!$E$31:$E$48))*Impacts!$F$15,0)),0)</f>
        <v>0</v>
      </c>
      <c r="T2313" s="10">
        <f>IF(Flare!$C$7="",0,(SUMIF(Flare!$B$46:$B$185,$J2313,Flare!$E$46:$E$185)*Impacts!$F$16))</f>
        <v>0</v>
      </c>
      <c r="U2313" s="10">
        <f>IF(VCU!$C$9="",0,(SUMIF(VCU!$B$51:$B$193,$J2313,VCU!$E$51:$E$193)*Impacts!$F$17))</f>
        <v>0</v>
      </c>
      <c r="V2313" s="10">
        <f>IF(CAS!$C$7="",0,(SUMIF(CAS!$B$31:$B$167,$J2313,CAS!$E$31:$E$167)*Impacts!$F$18))</f>
        <v>0</v>
      </c>
      <c r="W2313" s="10">
        <f t="shared" si="76"/>
        <v>0</v>
      </c>
      <c r="AK2313" s="10" t="str">
        <f t="array" ref="AK2313">IFERROR(INDEX(SelectedSpecies,SMALL(IF(SelectedSpecies=AK$1,ROW(SelectedSpecies)),ROW(2314:2314)),2),"")</f>
        <v/>
      </c>
      <c r="BE2313" s="10"/>
      <c r="BI2313" s="10"/>
    </row>
    <row r="2314" spans="1:61" ht="21" customHeight="1" x14ac:dyDescent="0.25">
      <c r="A2314" s="10"/>
      <c r="B2314" s="10"/>
      <c r="E2314" s="10"/>
      <c r="G2314" s="10"/>
      <c r="I2314" s="436" t="s">
        <v>7102</v>
      </c>
      <c r="J2314" s="26" t="s">
        <v>7101</v>
      </c>
      <c r="K2314" s="10">
        <v>0.4</v>
      </c>
      <c r="L2314" s="73">
        <f>IF(Tank1!$C$23="No control",(SUMIF(Tank1!$B$32:$B$49,$J2314,Tank1!$C$32:$C$49)*Impacts!$F$8),0)</f>
        <v>0</v>
      </c>
      <c r="M2314" s="10">
        <f>IF(Tank2!$C$23="No control",(SUMIF(Tank2!$B$32:$B$49,$J2314,Tank2!$C$32:$C$49)*Impacts!$F$9),0)</f>
        <v>0</v>
      </c>
      <c r="N2314" s="10">
        <f>IF(Tank3!$C$23="No control",(SUMIF(Tank3!$B$32:$B$49,$J2314,Tank3!$C$32:$C$49)*Impacts!$F$10),0)</f>
        <v>0</v>
      </c>
      <c r="O2314" s="10">
        <f>IF(Tank4!$C$23="No control",(SUMIF(Tank4!$B$32:$B$49,$J2314,Tank4!$C$32:$C$49)*Impacts!$F$11),0)</f>
        <v>0</v>
      </c>
      <c r="P2314" s="10">
        <f>IF(Tank5!$C$23="No control",(SUMIF(Tank5!$B$32:$B$49,$J2314,Tank5!$C$32:$C$49)*Impacts!$F$12),0)</f>
        <v>0</v>
      </c>
      <c r="Q2314" s="10">
        <f>IFERROR(IF(('Loading-drum,tote'!$C$21)="No control",SUMIF(('Loading-drum,tote'!$B$31:$B$48),$J2314,('Loading-drum,tote'!$D$31:$D$48))*Impacts!$F$13,IF(('Loading-drum,tote'!$C$21)&lt;&gt;"No control",SUMIF(('Loading-drum,tote'!$B$31:$B$48),$J2314,('Loading-drum,tote'!$E$31:$E$48))*Impacts!$F$13,0)),0)</f>
        <v>0</v>
      </c>
      <c r="R2314" s="10">
        <f>IFERROR(IF(('Loading-truck'!$C$21)="No control",SUMIF(('Loading-truck'!$B$31:$B$48),$J2314,('Loading-truck'!$D$31:$D$48))*Impacts!$F$14,IF(('Loading-truck'!$C$21)&lt;&gt;"No control",SUMIF(('Loading-truck'!$B$31:$B$48),$J2314,('Loading-truck'!$E$31:$E$48))*Impacts!$F$14,0)),0)</f>
        <v>0</v>
      </c>
      <c r="S2314" s="10">
        <f>IFERROR(IF(('Loading-rail'!$C$21)="No control",SUMIF(('Loading-rail'!$B$31:$B$48),$J2314,('Loading-rail'!$D$31:$D$48))*Impacts!$F$15,IF(('Loading-rail'!$C$21)&lt;&gt;"No control",SUMIF(('Loading-rail'!$B$31:$B$48),$J2314,('Loading-rail'!$E$31:$E$48))*Impacts!$F$15,0)),0)</f>
        <v>0</v>
      </c>
      <c r="T2314" s="10">
        <f>IF(Flare!$C$7="",0,(SUMIF(Flare!$B$46:$B$185,$J2314,Flare!$E$46:$E$185)*Impacts!$F$16))</f>
        <v>0</v>
      </c>
      <c r="U2314" s="10">
        <f>IF(VCU!$C$9="",0,(SUMIF(VCU!$B$51:$B$193,$J2314,VCU!$E$51:$E$193)*Impacts!$F$17))</f>
        <v>0</v>
      </c>
      <c r="V2314" s="10">
        <f>IF(CAS!$C$7="",0,(SUMIF(CAS!$B$31:$B$167,$J2314,CAS!$E$31:$E$167)*Impacts!$F$18))</f>
        <v>0</v>
      </c>
      <c r="W2314" s="10">
        <f t="shared" si="76"/>
        <v>0</v>
      </c>
      <c r="AK2314" s="10" t="str">
        <f t="array" ref="AK2314">IFERROR(INDEX(SelectedSpecies,SMALL(IF(SelectedSpecies=AK$1,ROW(SelectedSpecies)),ROW(2315:2315)),2),"")</f>
        <v/>
      </c>
      <c r="BE2314" s="10"/>
      <c r="BI2314" s="10"/>
    </row>
    <row r="2315" spans="1:61" ht="21" customHeight="1" x14ac:dyDescent="0.25">
      <c r="A2315" s="10"/>
      <c r="B2315" s="10"/>
      <c r="E2315" s="10"/>
      <c r="G2315" s="10"/>
      <c r="I2315" s="436" t="s">
        <v>2231</v>
      </c>
      <c r="J2315" s="26" t="s">
        <v>2230</v>
      </c>
      <c r="K2315" s="10">
        <v>13</v>
      </c>
      <c r="L2315" s="73">
        <f>IF(Tank1!$C$23="No control",(SUMIF(Tank1!$B$32:$B$49,$J2315,Tank1!$C$32:$C$49)*Impacts!$F$8),0)</f>
        <v>0</v>
      </c>
      <c r="M2315" s="10">
        <f>IF(Tank2!$C$23="No control",(SUMIF(Tank2!$B$32:$B$49,$J2315,Tank2!$C$32:$C$49)*Impacts!$F$9),0)</f>
        <v>0</v>
      </c>
      <c r="N2315" s="10">
        <f>IF(Tank3!$C$23="No control",(SUMIF(Tank3!$B$32:$B$49,$J2315,Tank3!$C$32:$C$49)*Impacts!$F$10),0)</f>
        <v>0</v>
      </c>
      <c r="O2315" s="10">
        <f>IF(Tank4!$C$23="No control",(SUMIF(Tank4!$B$32:$B$49,$J2315,Tank4!$C$32:$C$49)*Impacts!$F$11),0)</f>
        <v>0</v>
      </c>
      <c r="P2315" s="10">
        <f>IF(Tank5!$C$23="No control",(SUMIF(Tank5!$B$32:$B$49,$J2315,Tank5!$C$32:$C$49)*Impacts!$F$12),0)</f>
        <v>0</v>
      </c>
      <c r="Q2315" s="10">
        <f>IFERROR(IF(('Loading-drum,tote'!$C$21)="No control",SUMIF(('Loading-drum,tote'!$B$31:$B$48),$J2315,('Loading-drum,tote'!$D$31:$D$48))*Impacts!$F$13,IF(('Loading-drum,tote'!$C$21)&lt;&gt;"No control",SUMIF(('Loading-drum,tote'!$B$31:$B$48),$J2315,('Loading-drum,tote'!$E$31:$E$48))*Impacts!$F$13,0)),0)</f>
        <v>0</v>
      </c>
      <c r="R2315" s="10">
        <f>IFERROR(IF(('Loading-truck'!$C$21)="No control",SUMIF(('Loading-truck'!$B$31:$B$48),$J2315,('Loading-truck'!$D$31:$D$48))*Impacts!$F$14,IF(('Loading-truck'!$C$21)&lt;&gt;"No control",SUMIF(('Loading-truck'!$B$31:$B$48),$J2315,('Loading-truck'!$E$31:$E$48))*Impacts!$F$14,0)),0)</f>
        <v>0</v>
      </c>
      <c r="S2315" s="10">
        <f>IFERROR(IF(('Loading-rail'!$C$21)="No control",SUMIF(('Loading-rail'!$B$31:$B$48),$J2315,('Loading-rail'!$D$31:$D$48))*Impacts!$F$15,IF(('Loading-rail'!$C$21)&lt;&gt;"No control",SUMIF(('Loading-rail'!$B$31:$B$48),$J2315,('Loading-rail'!$E$31:$E$48))*Impacts!$F$15,0)),0)</f>
        <v>0</v>
      </c>
      <c r="T2315" s="10">
        <f>IF(Flare!$C$7="",0,(SUMIF(Flare!$B$46:$B$185,$J2315,Flare!$E$46:$E$185)*Impacts!$F$16))</f>
        <v>0</v>
      </c>
      <c r="U2315" s="10">
        <f>IF(VCU!$C$9="",0,(SUMIF(VCU!$B$51:$B$193,$J2315,VCU!$E$51:$E$193)*Impacts!$F$17))</f>
        <v>0</v>
      </c>
      <c r="V2315" s="10">
        <f>IF(CAS!$C$7="",0,(SUMIF(CAS!$B$31:$B$167,$J2315,CAS!$E$31:$E$167)*Impacts!$F$18))</f>
        <v>0</v>
      </c>
      <c r="W2315" s="10">
        <f t="shared" si="76"/>
        <v>0</v>
      </c>
      <c r="AK2315" s="10" t="str">
        <f t="array" ref="AK2315">IFERROR(INDEX(SelectedSpecies,SMALL(IF(SelectedSpecies=AK$1,ROW(SelectedSpecies)),ROW(2316:2316)),2),"")</f>
        <v/>
      </c>
      <c r="BE2315" s="10"/>
      <c r="BI2315" s="10"/>
    </row>
    <row r="2316" spans="1:61" ht="21" customHeight="1" x14ac:dyDescent="0.25">
      <c r="A2316" s="10"/>
      <c r="B2316" s="10"/>
      <c r="E2316" s="10"/>
      <c r="G2316" s="10"/>
      <c r="I2316" s="436" t="s">
        <v>397</v>
      </c>
      <c r="J2316" s="26" t="s">
        <v>396</v>
      </c>
      <c r="K2316" s="10">
        <v>270</v>
      </c>
      <c r="L2316" s="73">
        <f>IF(Tank1!$C$23="No control",(SUMIF(Tank1!$B$32:$B$49,$J2316,Tank1!$C$32:$C$49)*Impacts!$F$8),0)</f>
        <v>0</v>
      </c>
      <c r="M2316" s="10">
        <f>IF(Tank2!$C$23="No control",(SUMIF(Tank2!$B$32:$B$49,$J2316,Tank2!$C$32:$C$49)*Impacts!$F$9),0)</f>
        <v>0</v>
      </c>
      <c r="N2316" s="10">
        <f>IF(Tank3!$C$23="No control",(SUMIF(Tank3!$B$32:$B$49,$J2316,Tank3!$C$32:$C$49)*Impacts!$F$10),0)</f>
        <v>0</v>
      </c>
      <c r="O2316" s="10">
        <f>IF(Tank4!$C$23="No control",(SUMIF(Tank4!$B$32:$B$49,$J2316,Tank4!$C$32:$C$49)*Impacts!$F$11),0)</f>
        <v>0</v>
      </c>
      <c r="P2316" s="10">
        <f>IF(Tank5!$C$23="No control",(SUMIF(Tank5!$B$32:$B$49,$J2316,Tank5!$C$32:$C$49)*Impacts!$F$12),0)</f>
        <v>0</v>
      </c>
      <c r="Q2316" s="10">
        <f>IFERROR(IF(('Loading-drum,tote'!$C$21)="No control",SUMIF(('Loading-drum,tote'!$B$31:$B$48),$J2316,('Loading-drum,tote'!$D$31:$D$48))*Impacts!$F$13,IF(('Loading-drum,tote'!$C$21)&lt;&gt;"No control",SUMIF(('Loading-drum,tote'!$B$31:$B$48),$J2316,('Loading-drum,tote'!$E$31:$E$48))*Impacts!$F$13,0)),0)</f>
        <v>0</v>
      </c>
      <c r="R2316" s="10">
        <f>IFERROR(IF(('Loading-truck'!$C$21)="No control",SUMIF(('Loading-truck'!$B$31:$B$48),$J2316,('Loading-truck'!$D$31:$D$48))*Impacts!$F$14,IF(('Loading-truck'!$C$21)&lt;&gt;"No control",SUMIF(('Loading-truck'!$B$31:$B$48),$J2316,('Loading-truck'!$E$31:$E$48))*Impacts!$F$14,0)),0)</f>
        <v>0</v>
      </c>
      <c r="S2316" s="10">
        <f>IFERROR(IF(('Loading-rail'!$C$21)="No control",SUMIF(('Loading-rail'!$B$31:$B$48),$J2316,('Loading-rail'!$D$31:$D$48))*Impacts!$F$15,IF(('Loading-rail'!$C$21)&lt;&gt;"No control",SUMIF(('Loading-rail'!$B$31:$B$48),$J2316,('Loading-rail'!$E$31:$E$48))*Impacts!$F$15,0)),0)</f>
        <v>0</v>
      </c>
      <c r="T2316" s="10">
        <f>IF(Flare!$C$7="",0,(SUMIF(Flare!$B$46:$B$185,$J2316,Flare!$E$46:$E$185)*Impacts!$F$16))</f>
        <v>0</v>
      </c>
      <c r="U2316" s="10">
        <f>IF(VCU!$C$9="",0,(SUMIF(VCU!$B$51:$B$193,$J2316,VCU!$E$51:$E$193)*Impacts!$F$17))</f>
        <v>0</v>
      </c>
      <c r="V2316" s="10">
        <f>IF(CAS!$C$7="",0,(SUMIF(CAS!$B$31:$B$167,$J2316,CAS!$E$31:$E$167)*Impacts!$F$18))</f>
        <v>0</v>
      </c>
      <c r="W2316" s="10">
        <f t="shared" si="76"/>
        <v>0</v>
      </c>
      <c r="AK2316" s="10" t="str">
        <f t="array" ref="AK2316">IFERROR(INDEX(SelectedSpecies,SMALL(IF(SelectedSpecies=AK$1,ROW(SelectedSpecies)),ROW(2317:2317)),2),"")</f>
        <v/>
      </c>
      <c r="BE2316" s="10"/>
      <c r="BI2316" s="10"/>
    </row>
    <row r="2317" spans="1:61" ht="21" customHeight="1" x14ac:dyDescent="0.25">
      <c r="A2317" s="10"/>
      <c r="B2317" s="10"/>
      <c r="E2317" s="10"/>
      <c r="G2317" s="10"/>
      <c r="I2317" s="436" t="s">
        <v>4211</v>
      </c>
      <c r="J2317" s="26" t="s">
        <v>4210</v>
      </c>
      <c r="K2317" s="10">
        <v>5</v>
      </c>
      <c r="L2317" s="73">
        <f>IF(Tank1!$C$23="No control",(SUMIF(Tank1!$B$32:$B$49,$J2317,Tank1!$C$32:$C$49)*Impacts!$F$8),0)</f>
        <v>0</v>
      </c>
      <c r="M2317" s="10">
        <f>IF(Tank2!$C$23="No control",(SUMIF(Tank2!$B$32:$B$49,$J2317,Tank2!$C$32:$C$49)*Impacts!$F$9),0)</f>
        <v>0</v>
      </c>
      <c r="N2317" s="10">
        <f>IF(Tank3!$C$23="No control",(SUMIF(Tank3!$B$32:$B$49,$J2317,Tank3!$C$32:$C$49)*Impacts!$F$10),0)</f>
        <v>0</v>
      </c>
      <c r="O2317" s="10">
        <f>IF(Tank4!$C$23="No control",(SUMIF(Tank4!$B$32:$B$49,$J2317,Tank4!$C$32:$C$49)*Impacts!$F$11),0)</f>
        <v>0</v>
      </c>
      <c r="P2317" s="10">
        <f>IF(Tank5!$C$23="No control",(SUMIF(Tank5!$B$32:$B$49,$J2317,Tank5!$C$32:$C$49)*Impacts!$F$12),0)</f>
        <v>0</v>
      </c>
      <c r="Q2317" s="10">
        <f>IFERROR(IF(('Loading-drum,tote'!$C$21)="No control",SUMIF(('Loading-drum,tote'!$B$31:$B$48),$J2317,('Loading-drum,tote'!$D$31:$D$48))*Impacts!$F$13,IF(('Loading-drum,tote'!$C$21)&lt;&gt;"No control",SUMIF(('Loading-drum,tote'!$B$31:$B$48),$J2317,('Loading-drum,tote'!$E$31:$E$48))*Impacts!$F$13,0)),0)</f>
        <v>0</v>
      </c>
      <c r="R2317" s="10">
        <f>IFERROR(IF(('Loading-truck'!$C$21)="No control",SUMIF(('Loading-truck'!$B$31:$B$48),$J2317,('Loading-truck'!$D$31:$D$48))*Impacts!$F$14,IF(('Loading-truck'!$C$21)&lt;&gt;"No control",SUMIF(('Loading-truck'!$B$31:$B$48),$J2317,('Loading-truck'!$E$31:$E$48))*Impacts!$F$14,0)),0)</f>
        <v>0</v>
      </c>
      <c r="S2317" s="10">
        <f>IFERROR(IF(('Loading-rail'!$C$21)="No control",SUMIF(('Loading-rail'!$B$31:$B$48),$J2317,('Loading-rail'!$D$31:$D$48))*Impacts!$F$15,IF(('Loading-rail'!$C$21)&lt;&gt;"No control",SUMIF(('Loading-rail'!$B$31:$B$48),$J2317,('Loading-rail'!$E$31:$E$48))*Impacts!$F$15,0)),0)</f>
        <v>0</v>
      </c>
      <c r="T2317" s="10">
        <f>IF(Flare!$C$7="",0,(SUMIF(Flare!$B$46:$B$185,$J2317,Flare!$E$46:$E$185)*Impacts!$F$16))</f>
        <v>0</v>
      </c>
      <c r="U2317" s="10">
        <f>IF(VCU!$C$9="",0,(SUMIF(VCU!$B$51:$B$193,$J2317,VCU!$E$51:$E$193)*Impacts!$F$17))</f>
        <v>0</v>
      </c>
      <c r="V2317" s="10">
        <f>IF(CAS!$C$7="",0,(SUMIF(CAS!$B$31:$B$167,$J2317,CAS!$E$31:$E$167)*Impacts!$F$18))</f>
        <v>0</v>
      </c>
      <c r="W2317" s="10">
        <f t="shared" si="76"/>
        <v>0</v>
      </c>
      <c r="AK2317" s="10" t="str">
        <f t="array" ref="AK2317">IFERROR(INDEX(SelectedSpecies,SMALL(IF(SelectedSpecies=AK$1,ROW(SelectedSpecies)),ROW(2318:2318)),2),"")</f>
        <v/>
      </c>
      <c r="BE2317" s="10"/>
      <c r="BI2317" s="10"/>
    </row>
    <row r="2318" spans="1:61" ht="21" customHeight="1" x14ac:dyDescent="0.25">
      <c r="A2318" s="10"/>
      <c r="B2318" s="10"/>
      <c r="E2318" s="10"/>
      <c r="G2318" s="10"/>
      <c r="I2318" s="436" t="s">
        <v>5241</v>
      </c>
      <c r="J2318" s="26" t="s">
        <v>5240</v>
      </c>
      <c r="K2318" s="10">
        <v>1.9000000000000001</v>
      </c>
      <c r="L2318" s="73">
        <f>IF(Tank1!$C$23="No control",(SUMIF(Tank1!$B$32:$B$49,$J2318,Tank1!$C$32:$C$49)*Impacts!$F$8),0)</f>
        <v>0</v>
      </c>
      <c r="M2318" s="10">
        <f>IF(Tank2!$C$23="No control",(SUMIF(Tank2!$B$32:$B$49,$J2318,Tank2!$C$32:$C$49)*Impacts!$F$9),0)</f>
        <v>0</v>
      </c>
      <c r="N2318" s="10">
        <f>IF(Tank3!$C$23="No control",(SUMIF(Tank3!$B$32:$B$49,$J2318,Tank3!$C$32:$C$49)*Impacts!$F$10),0)</f>
        <v>0</v>
      </c>
      <c r="O2318" s="10">
        <f>IF(Tank4!$C$23="No control",(SUMIF(Tank4!$B$32:$B$49,$J2318,Tank4!$C$32:$C$49)*Impacts!$F$11),0)</f>
        <v>0</v>
      </c>
      <c r="P2318" s="10">
        <f>IF(Tank5!$C$23="No control",(SUMIF(Tank5!$B$32:$B$49,$J2318,Tank5!$C$32:$C$49)*Impacts!$F$12),0)</f>
        <v>0</v>
      </c>
      <c r="Q2318" s="10">
        <f>IFERROR(IF(('Loading-drum,tote'!$C$21)="No control",SUMIF(('Loading-drum,tote'!$B$31:$B$48),$J2318,('Loading-drum,tote'!$D$31:$D$48))*Impacts!$F$13,IF(('Loading-drum,tote'!$C$21)&lt;&gt;"No control",SUMIF(('Loading-drum,tote'!$B$31:$B$48),$J2318,('Loading-drum,tote'!$E$31:$E$48))*Impacts!$F$13,0)),0)</f>
        <v>0</v>
      </c>
      <c r="R2318" s="10">
        <f>IFERROR(IF(('Loading-truck'!$C$21)="No control",SUMIF(('Loading-truck'!$B$31:$B$48),$J2318,('Loading-truck'!$D$31:$D$48))*Impacts!$F$14,IF(('Loading-truck'!$C$21)&lt;&gt;"No control",SUMIF(('Loading-truck'!$B$31:$B$48),$J2318,('Loading-truck'!$E$31:$E$48))*Impacts!$F$14,0)),0)</f>
        <v>0</v>
      </c>
      <c r="S2318" s="10">
        <f>IFERROR(IF(('Loading-rail'!$C$21)="No control",SUMIF(('Loading-rail'!$B$31:$B$48),$J2318,('Loading-rail'!$D$31:$D$48))*Impacts!$F$15,IF(('Loading-rail'!$C$21)&lt;&gt;"No control",SUMIF(('Loading-rail'!$B$31:$B$48),$J2318,('Loading-rail'!$E$31:$E$48))*Impacts!$F$15,0)),0)</f>
        <v>0</v>
      </c>
      <c r="T2318" s="10">
        <f>IF(Flare!$C$7="",0,(SUMIF(Flare!$B$46:$B$185,$J2318,Flare!$E$46:$E$185)*Impacts!$F$16))</f>
        <v>0</v>
      </c>
      <c r="U2318" s="10">
        <f>IF(VCU!$C$9="",0,(SUMIF(VCU!$B$51:$B$193,$J2318,VCU!$E$51:$E$193)*Impacts!$F$17))</f>
        <v>0</v>
      </c>
      <c r="V2318" s="10">
        <f>IF(CAS!$C$7="",0,(SUMIF(CAS!$B$31:$B$167,$J2318,CAS!$E$31:$E$167)*Impacts!$F$18))</f>
        <v>0</v>
      </c>
      <c r="W2318" s="10">
        <f t="shared" si="76"/>
        <v>0</v>
      </c>
      <c r="AK2318" s="10" t="str">
        <f t="array" ref="AK2318">IFERROR(INDEX(SelectedSpecies,SMALL(IF(SelectedSpecies=AK$1,ROW(SelectedSpecies)),ROW(2319:2319)),2),"")</f>
        <v/>
      </c>
      <c r="BE2318" s="10"/>
      <c r="BI2318" s="10"/>
    </row>
    <row r="2319" spans="1:61" ht="21" customHeight="1" x14ac:dyDescent="0.25">
      <c r="A2319" s="10"/>
      <c r="B2319" s="10"/>
      <c r="E2319" s="10"/>
      <c r="G2319" s="10"/>
      <c r="I2319" s="436" t="s">
        <v>1857</v>
      </c>
      <c r="J2319" s="26" t="s">
        <v>1856</v>
      </c>
      <c r="K2319" s="10">
        <v>20</v>
      </c>
      <c r="L2319" s="73">
        <f>IF(Tank1!$C$23="No control",(SUMIF(Tank1!$B$32:$B$49,$J2319,Tank1!$C$32:$C$49)*Impacts!$F$8),0)</f>
        <v>0</v>
      </c>
      <c r="M2319" s="10">
        <f>IF(Tank2!$C$23="No control",(SUMIF(Tank2!$B$32:$B$49,$J2319,Tank2!$C$32:$C$49)*Impacts!$F$9),0)</f>
        <v>0</v>
      </c>
      <c r="N2319" s="10">
        <f>IF(Tank3!$C$23="No control",(SUMIF(Tank3!$B$32:$B$49,$J2319,Tank3!$C$32:$C$49)*Impacts!$F$10),0)</f>
        <v>0</v>
      </c>
      <c r="O2319" s="10">
        <f>IF(Tank4!$C$23="No control",(SUMIF(Tank4!$B$32:$B$49,$J2319,Tank4!$C$32:$C$49)*Impacts!$F$11),0)</f>
        <v>0</v>
      </c>
      <c r="P2319" s="10">
        <f>IF(Tank5!$C$23="No control",(SUMIF(Tank5!$B$32:$B$49,$J2319,Tank5!$C$32:$C$49)*Impacts!$F$12),0)</f>
        <v>0</v>
      </c>
      <c r="Q2319" s="10">
        <f>IFERROR(IF(('Loading-drum,tote'!$C$21)="No control",SUMIF(('Loading-drum,tote'!$B$31:$B$48),$J2319,('Loading-drum,tote'!$D$31:$D$48))*Impacts!$F$13,IF(('Loading-drum,tote'!$C$21)&lt;&gt;"No control",SUMIF(('Loading-drum,tote'!$B$31:$B$48),$J2319,('Loading-drum,tote'!$E$31:$E$48))*Impacts!$F$13,0)),0)</f>
        <v>0</v>
      </c>
      <c r="R2319" s="10">
        <f>IFERROR(IF(('Loading-truck'!$C$21)="No control",SUMIF(('Loading-truck'!$B$31:$B$48),$J2319,('Loading-truck'!$D$31:$D$48))*Impacts!$F$14,IF(('Loading-truck'!$C$21)&lt;&gt;"No control",SUMIF(('Loading-truck'!$B$31:$B$48),$J2319,('Loading-truck'!$E$31:$E$48))*Impacts!$F$14,0)),0)</f>
        <v>0</v>
      </c>
      <c r="S2319" s="10">
        <f>IFERROR(IF(('Loading-rail'!$C$21)="No control",SUMIF(('Loading-rail'!$B$31:$B$48),$J2319,('Loading-rail'!$D$31:$D$48))*Impacts!$F$15,IF(('Loading-rail'!$C$21)&lt;&gt;"No control",SUMIF(('Loading-rail'!$B$31:$B$48),$J2319,('Loading-rail'!$E$31:$E$48))*Impacts!$F$15,0)),0)</f>
        <v>0</v>
      </c>
      <c r="T2319" s="10">
        <f>IF(Flare!$C$7="",0,(SUMIF(Flare!$B$46:$B$185,$J2319,Flare!$E$46:$E$185)*Impacts!$F$16))</f>
        <v>0</v>
      </c>
      <c r="U2319" s="10">
        <f>IF(VCU!$C$9="",0,(SUMIF(VCU!$B$51:$B$193,$J2319,VCU!$E$51:$E$193)*Impacts!$F$17))</f>
        <v>0</v>
      </c>
      <c r="V2319" s="10">
        <f>IF(CAS!$C$7="",0,(SUMIF(CAS!$B$31:$B$167,$J2319,CAS!$E$31:$E$167)*Impacts!$F$18))</f>
        <v>0</v>
      </c>
      <c r="W2319" s="10">
        <f t="shared" si="76"/>
        <v>0</v>
      </c>
      <c r="AK2319" s="10" t="str">
        <f t="array" ref="AK2319">IFERROR(INDEX(SelectedSpecies,SMALL(IF(SelectedSpecies=AK$1,ROW(SelectedSpecies)),ROW(2320:2320)),2),"")</f>
        <v/>
      </c>
      <c r="BE2319" s="10"/>
      <c r="BI2319" s="10"/>
    </row>
    <row r="2320" spans="1:61" ht="21" customHeight="1" x14ac:dyDescent="0.25">
      <c r="A2320" s="10"/>
      <c r="B2320" s="10"/>
      <c r="E2320" s="10"/>
      <c r="G2320" s="10"/>
      <c r="I2320" s="436" t="s">
        <v>7922</v>
      </c>
      <c r="J2320" s="26" t="s">
        <v>7921</v>
      </c>
      <c r="K2320" s="10">
        <v>0.05</v>
      </c>
      <c r="L2320" s="73">
        <f>IF(Tank1!$C$23="No control",(SUMIF(Tank1!$B$32:$B$49,$J2320,Tank1!$C$32:$C$49)*Impacts!$F$8),0)</f>
        <v>0</v>
      </c>
      <c r="M2320" s="10">
        <f>IF(Tank2!$C$23="No control",(SUMIF(Tank2!$B$32:$B$49,$J2320,Tank2!$C$32:$C$49)*Impacts!$F$9),0)</f>
        <v>0</v>
      </c>
      <c r="N2320" s="10">
        <f>IF(Tank3!$C$23="No control",(SUMIF(Tank3!$B$32:$B$49,$J2320,Tank3!$C$32:$C$49)*Impacts!$F$10),0)</f>
        <v>0</v>
      </c>
      <c r="O2320" s="10">
        <f>IF(Tank4!$C$23="No control",(SUMIF(Tank4!$B$32:$B$49,$J2320,Tank4!$C$32:$C$49)*Impacts!$F$11),0)</f>
        <v>0</v>
      </c>
      <c r="P2320" s="10">
        <f>IF(Tank5!$C$23="No control",(SUMIF(Tank5!$B$32:$B$49,$J2320,Tank5!$C$32:$C$49)*Impacts!$F$12),0)</f>
        <v>0</v>
      </c>
      <c r="Q2320" s="10">
        <f>IFERROR(IF(('Loading-drum,tote'!$C$21)="No control",SUMIF(('Loading-drum,tote'!$B$31:$B$48),$J2320,('Loading-drum,tote'!$D$31:$D$48))*Impacts!$F$13,IF(('Loading-drum,tote'!$C$21)&lt;&gt;"No control",SUMIF(('Loading-drum,tote'!$B$31:$B$48),$J2320,('Loading-drum,tote'!$E$31:$E$48))*Impacts!$F$13,0)),0)</f>
        <v>0</v>
      </c>
      <c r="R2320" s="10">
        <f>IFERROR(IF(('Loading-truck'!$C$21)="No control",SUMIF(('Loading-truck'!$B$31:$B$48),$J2320,('Loading-truck'!$D$31:$D$48))*Impacts!$F$14,IF(('Loading-truck'!$C$21)&lt;&gt;"No control",SUMIF(('Loading-truck'!$B$31:$B$48),$J2320,('Loading-truck'!$E$31:$E$48))*Impacts!$F$14,0)),0)</f>
        <v>0</v>
      </c>
      <c r="S2320" s="10">
        <f>IFERROR(IF(('Loading-rail'!$C$21)="No control",SUMIF(('Loading-rail'!$B$31:$B$48),$J2320,('Loading-rail'!$D$31:$D$48))*Impacts!$F$15,IF(('Loading-rail'!$C$21)&lt;&gt;"No control",SUMIF(('Loading-rail'!$B$31:$B$48),$J2320,('Loading-rail'!$E$31:$E$48))*Impacts!$F$15,0)),0)</f>
        <v>0</v>
      </c>
      <c r="T2320" s="10">
        <f>IF(Flare!$C$7="",0,(SUMIF(Flare!$B$46:$B$185,$J2320,Flare!$E$46:$E$185)*Impacts!$F$16))</f>
        <v>0</v>
      </c>
      <c r="U2320" s="10">
        <f>IF(VCU!$C$9="",0,(SUMIF(VCU!$B$51:$B$193,$J2320,VCU!$E$51:$E$193)*Impacts!$F$17))</f>
        <v>0</v>
      </c>
      <c r="V2320" s="10">
        <f>IF(CAS!$C$7="",0,(SUMIF(CAS!$B$31:$B$167,$J2320,CAS!$E$31:$E$167)*Impacts!$F$18))</f>
        <v>0</v>
      </c>
      <c r="W2320" s="10">
        <f t="shared" si="76"/>
        <v>0</v>
      </c>
      <c r="AK2320" s="10" t="str">
        <f t="array" ref="AK2320">IFERROR(INDEX(SelectedSpecies,SMALL(IF(SelectedSpecies=AK$1,ROW(SelectedSpecies)),ROW(2321:2321)),2),"")</f>
        <v/>
      </c>
      <c r="BE2320" s="10"/>
      <c r="BI2320" s="10"/>
    </row>
    <row r="2321" spans="1:61" ht="21" customHeight="1" x14ac:dyDescent="0.25">
      <c r="A2321" s="10"/>
      <c r="B2321" s="10"/>
      <c r="E2321" s="10"/>
      <c r="G2321" s="10"/>
      <c r="I2321" s="436" t="s">
        <v>780</v>
      </c>
      <c r="J2321" s="26" t="s">
        <v>779</v>
      </c>
      <c r="K2321" s="10">
        <v>54</v>
      </c>
      <c r="L2321" s="73">
        <f>IF(Tank1!$C$23="No control",(SUMIF(Tank1!$B$32:$B$49,$J2321,Tank1!$C$32:$C$49)*Impacts!$F$8),0)</f>
        <v>0</v>
      </c>
      <c r="M2321" s="10">
        <f>IF(Tank2!$C$23="No control",(SUMIF(Tank2!$B$32:$B$49,$J2321,Tank2!$C$32:$C$49)*Impacts!$F$9),0)</f>
        <v>0</v>
      </c>
      <c r="N2321" s="10">
        <f>IF(Tank3!$C$23="No control",(SUMIF(Tank3!$B$32:$B$49,$J2321,Tank3!$C$32:$C$49)*Impacts!$F$10),0)</f>
        <v>0</v>
      </c>
      <c r="O2321" s="10">
        <f>IF(Tank4!$C$23="No control",(SUMIF(Tank4!$B$32:$B$49,$J2321,Tank4!$C$32:$C$49)*Impacts!$F$11),0)</f>
        <v>0</v>
      </c>
      <c r="P2321" s="10">
        <f>IF(Tank5!$C$23="No control",(SUMIF(Tank5!$B$32:$B$49,$J2321,Tank5!$C$32:$C$49)*Impacts!$F$12),0)</f>
        <v>0</v>
      </c>
      <c r="Q2321" s="10">
        <f>IFERROR(IF(('Loading-drum,tote'!$C$21)="No control",SUMIF(('Loading-drum,tote'!$B$31:$B$48),$J2321,('Loading-drum,tote'!$D$31:$D$48))*Impacts!$F$13,IF(('Loading-drum,tote'!$C$21)&lt;&gt;"No control",SUMIF(('Loading-drum,tote'!$B$31:$B$48),$J2321,('Loading-drum,tote'!$E$31:$E$48))*Impacts!$F$13,0)),0)</f>
        <v>0</v>
      </c>
      <c r="R2321" s="10">
        <f>IFERROR(IF(('Loading-truck'!$C$21)="No control",SUMIF(('Loading-truck'!$B$31:$B$48),$J2321,('Loading-truck'!$D$31:$D$48))*Impacts!$F$14,IF(('Loading-truck'!$C$21)&lt;&gt;"No control",SUMIF(('Loading-truck'!$B$31:$B$48),$J2321,('Loading-truck'!$E$31:$E$48))*Impacts!$F$14,0)),0)</f>
        <v>0</v>
      </c>
      <c r="S2321" s="10">
        <f>IFERROR(IF(('Loading-rail'!$C$21)="No control",SUMIF(('Loading-rail'!$B$31:$B$48),$J2321,('Loading-rail'!$D$31:$D$48))*Impacts!$F$15,IF(('Loading-rail'!$C$21)&lt;&gt;"No control",SUMIF(('Loading-rail'!$B$31:$B$48),$J2321,('Loading-rail'!$E$31:$E$48))*Impacts!$F$15,0)),0)</f>
        <v>0</v>
      </c>
      <c r="T2321" s="10">
        <f>IF(Flare!$C$7="",0,(SUMIF(Flare!$B$46:$B$185,$J2321,Flare!$E$46:$E$185)*Impacts!$F$16))</f>
        <v>0</v>
      </c>
      <c r="U2321" s="10">
        <f>IF(VCU!$C$9="",0,(SUMIF(VCU!$B$51:$B$193,$J2321,VCU!$E$51:$E$193)*Impacts!$F$17))</f>
        <v>0</v>
      </c>
      <c r="V2321" s="10">
        <f>IF(CAS!$C$7="",0,(SUMIF(CAS!$B$31:$B$167,$J2321,CAS!$E$31:$E$167)*Impacts!$F$18))</f>
        <v>0</v>
      </c>
      <c r="W2321" s="10">
        <f t="shared" si="76"/>
        <v>0</v>
      </c>
      <c r="AK2321" s="10" t="str">
        <f t="array" ref="AK2321">IFERROR(INDEX(SelectedSpecies,SMALL(IF(SelectedSpecies=AK$1,ROW(SelectedSpecies)),ROW(2322:2322)),2),"")</f>
        <v/>
      </c>
      <c r="BE2321" s="10"/>
      <c r="BI2321" s="10"/>
    </row>
    <row r="2322" spans="1:61" ht="21" customHeight="1" x14ac:dyDescent="0.25">
      <c r="A2322" s="10"/>
      <c r="B2322" s="10"/>
      <c r="E2322" s="10"/>
      <c r="G2322" s="10"/>
      <c r="I2322" s="436" t="s">
        <v>1781</v>
      </c>
      <c r="J2322" s="26" t="s">
        <v>1780</v>
      </c>
      <c r="K2322" s="10">
        <v>23</v>
      </c>
      <c r="L2322" s="73">
        <f>IF(Tank1!$C$23="No control",(SUMIF(Tank1!$B$32:$B$49,$J2322,Tank1!$C$32:$C$49)*Impacts!$F$8),0)</f>
        <v>0</v>
      </c>
      <c r="M2322" s="10">
        <f>IF(Tank2!$C$23="No control",(SUMIF(Tank2!$B$32:$B$49,$J2322,Tank2!$C$32:$C$49)*Impacts!$F$9),0)</f>
        <v>0</v>
      </c>
      <c r="N2322" s="10">
        <f>IF(Tank3!$C$23="No control",(SUMIF(Tank3!$B$32:$B$49,$J2322,Tank3!$C$32:$C$49)*Impacts!$F$10),0)</f>
        <v>0</v>
      </c>
      <c r="O2322" s="10">
        <f>IF(Tank4!$C$23="No control",(SUMIF(Tank4!$B$32:$B$49,$J2322,Tank4!$C$32:$C$49)*Impacts!$F$11),0)</f>
        <v>0</v>
      </c>
      <c r="P2322" s="10">
        <f>IF(Tank5!$C$23="No control",(SUMIF(Tank5!$B$32:$B$49,$J2322,Tank5!$C$32:$C$49)*Impacts!$F$12),0)</f>
        <v>0</v>
      </c>
      <c r="Q2322" s="10">
        <f>IFERROR(IF(('Loading-drum,tote'!$C$21)="No control",SUMIF(('Loading-drum,tote'!$B$31:$B$48),$J2322,('Loading-drum,tote'!$D$31:$D$48))*Impacts!$F$13,IF(('Loading-drum,tote'!$C$21)&lt;&gt;"No control",SUMIF(('Loading-drum,tote'!$B$31:$B$48),$J2322,('Loading-drum,tote'!$E$31:$E$48))*Impacts!$F$13,0)),0)</f>
        <v>0</v>
      </c>
      <c r="R2322" s="10">
        <f>IFERROR(IF(('Loading-truck'!$C$21)="No control",SUMIF(('Loading-truck'!$B$31:$B$48),$J2322,('Loading-truck'!$D$31:$D$48))*Impacts!$F$14,IF(('Loading-truck'!$C$21)&lt;&gt;"No control",SUMIF(('Loading-truck'!$B$31:$B$48),$J2322,('Loading-truck'!$E$31:$E$48))*Impacts!$F$14,0)),0)</f>
        <v>0</v>
      </c>
      <c r="S2322" s="10">
        <f>IFERROR(IF(('Loading-rail'!$C$21)="No control",SUMIF(('Loading-rail'!$B$31:$B$48),$J2322,('Loading-rail'!$D$31:$D$48))*Impacts!$F$15,IF(('Loading-rail'!$C$21)&lt;&gt;"No control",SUMIF(('Loading-rail'!$B$31:$B$48),$J2322,('Loading-rail'!$E$31:$E$48))*Impacts!$F$15,0)),0)</f>
        <v>0</v>
      </c>
      <c r="T2322" s="10">
        <f>IF(Flare!$C$7="",0,(SUMIF(Flare!$B$46:$B$185,$J2322,Flare!$E$46:$E$185)*Impacts!$F$16))</f>
        <v>0</v>
      </c>
      <c r="U2322" s="10">
        <f>IF(VCU!$C$9="",0,(SUMIF(VCU!$B$51:$B$193,$J2322,VCU!$E$51:$E$193)*Impacts!$F$17))</f>
        <v>0</v>
      </c>
      <c r="V2322" s="10">
        <f>IF(CAS!$C$7="",0,(SUMIF(CAS!$B$31:$B$167,$J2322,CAS!$E$31:$E$167)*Impacts!$F$18))</f>
        <v>0</v>
      </c>
      <c r="W2322" s="10">
        <f t="shared" si="76"/>
        <v>0</v>
      </c>
      <c r="AK2322" s="10" t="str">
        <f t="array" ref="AK2322">IFERROR(INDEX(SelectedSpecies,SMALL(IF(SelectedSpecies=AK$1,ROW(SelectedSpecies)),ROW(2323:2323)),2),"")</f>
        <v/>
      </c>
      <c r="BE2322" s="10"/>
      <c r="BI2322" s="10"/>
    </row>
    <row r="2323" spans="1:61" ht="21" customHeight="1" x14ac:dyDescent="0.25">
      <c r="A2323" s="10"/>
      <c r="B2323" s="10"/>
      <c r="E2323" s="10"/>
      <c r="G2323" s="10"/>
      <c r="I2323" s="436" t="s">
        <v>7392</v>
      </c>
      <c r="J2323" s="26" t="s">
        <v>7391</v>
      </c>
      <c r="K2323" s="10">
        <v>0.24</v>
      </c>
      <c r="L2323" s="73">
        <f>IF(Tank1!$C$23="No control",(SUMIF(Tank1!$B$32:$B$49,$J2323,Tank1!$C$32:$C$49)*Impacts!$F$8),0)</f>
        <v>0</v>
      </c>
      <c r="M2323" s="10">
        <f>IF(Tank2!$C$23="No control",(SUMIF(Tank2!$B$32:$B$49,$J2323,Tank2!$C$32:$C$49)*Impacts!$F$9),0)</f>
        <v>0</v>
      </c>
      <c r="N2323" s="10">
        <f>IF(Tank3!$C$23="No control",(SUMIF(Tank3!$B$32:$B$49,$J2323,Tank3!$C$32:$C$49)*Impacts!$F$10),0)</f>
        <v>0</v>
      </c>
      <c r="O2323" s="10">
        <f>IF(Tank4!$C$23="No control",(SUMIF(Tank4!$B$32:$B$49,$J2323,Tank4!$C$32:$C$49)*Impacts!$F$11),0)</f>
        <v>0</v>
      </c>
      <c r="P2323" s="10">
        <f>IF(Tank5!$C$23="No control",(SUMIF(Tank5!$B$32:$B$49,$J2323,Tank5!$C$32:$C$49)*Impacts!$F$12),0)</f>
        <v>0</v>
      </c>
      <c r="Q2323" s="10">
        <f>IFERROR(IF(('Loading-drum,tote'!$C$21)="No control",SUMIF(('Loading-drum,tote'!$B$31:$B$48),$J2323,('Loading-drum,tote'!$D$31:$D$48))*Impacts!$F$13,IF(('Loading-drum,tote'!$C$21)&lt;&gt;"No control",SUMIF(('Loading-drum,tote'!$B$31:$B$48),$J2323,('Loading-drum,tote'!$E$31:$E$48))*Impacts!$F$13,0)),0)</f>
        <v>0</v>
      </c>
      <c r="R2323" s="10">
        <f>IFERROR(IF(('Loading-truck'!$C$21)="No control",SUMIF(('Loading-truck'!$B$31:$B$48),$J2323,('Loading-truck'!$D$31:$D$48))*Impacts!$F$14,IF(('Loading-truck'!$C$21)&lt;&gt;"No control",SUMIF(('Loading-truck'!$B$31:$B$48),$J2323,('Loading-truck'!$E$31:$E$48))*Impacts!$F$14,0)),0)</f>
        <v>0</v>
      </c>
      <c r="S2323" s="10">
        <f>IFERROR(IF(('Loading-rail'!$C$21)="No control",SUMIF(('Loading-rail'!$B$31:$B$48),$J2323,('Loading-rail'!$D$31:$D$48))*Impacts!$F$15,IF(('Loading-rail'!$C$21)&lt;&gt;"No control",SUMIF(('Loading-rail'!$B$31:$B$48),$J2323,('Loading-rail'!$E$31:$E$48))*Impacts!$F$15,0)),0)</f>
        <v>0</v>
      </c>
      <c r="T2323" s="10">
        <f>IF(Flare!$C$7="",0,(SUMIF(Flare!$B$46:$B$185,$J2323,Flare!$E$46:$E$185)*Impacts!$F$16))</f>
        <v>0</v>
      </c>
      <c r="U2323" s="10">
        <f>IF(VCU!$C$9="",0,(SUMIF(VCU!$B$51:$B$193,$J2323,VCU!$E$51:$E$193)*Impacts!$F$17))</f>
        <v>0</v>
      </c>
      <c r="V2323" s="10">
        <f>IF(CAS!$C$7="",0,(SUMIF(CAS!$B$31:$B$167,$J2323,CAS!$E$31:$E$167)*Impacts!$F$18))</f>
        <v>0</v>
      </c>
      <c r="W2323" s="10">
        <f t="shared" si="76"/>
        <v>0</v>
      </c>
      <c r="AK2323" s="10" t="str">
        <f t="array" ref="AK2323">IFERROR(INDEX(SelectedSpecies,SMALL(IF(SelectedSpecies=AK$1,ROW(SelectedSpecies)),ROW(2324:2324)),2),"")</f>
        <v/>
      </c>
      <c r="BE2323" s="10"/>
      <c r="BI2323" s="10"/>
    </row>
    <row r="2324" spans="1:61" ht="21" customHeight="1" x14ac:dyDescent="0.25">
      <c r="A2324" s="10"/>
      <c r="B2324" s="10"/>
      <c r="E2324" s="10"/>
      <c r="G2324" s="10"/>
      <c r="I2324" s="436" t="s">
        <v>6540</v>
      </c>
      <c r="J2324" s="26" t="s">
        <v>6539</v>
      </c>
      <c r="K2324" s="10">
        <v>0.70000000000000007</v>
      </c>
      <c r="L2324" s="73">
        <f>IF(Tank1!$C$23="No control",(SUMIF(Tank1!$B$32:$B$49,$J2324,Tank1!$C$32:$C$49)*Impacts!$F$8),0)</f>
        <v>0</v>
      </c>
      <c r="M2324" s="10">
        <f>IF(Tank2!$C$23="No control",(SUMIF(Tank2!$B$32:$B$49,$J2324,Tank2!$C$32:$C$49)*Impacts!$F$9),0)</f>
        <v>0</v>
      </c>
      <c r="N2324" s="10">
        <f>IF(Tank3!$C$23="No control",(SUMIF(Tank3!$B$32:$B$49,$J2324,Tank3!$C$32:$C$49)*Impacts!$F$10),0)</f>
        <v>0</v>
      </c>
      <c r="O2324" s="10">
        <f>IF(Tank4!$C$23="No control",(SUMIF(Tank4!$B$32:$B$49,$J2324,Tank4!$C$32:$C$49)*Impacts!$F$11),0)</f>
        <v>0</v>
      </c>
      <c r="P2324" s="10">
        <f>IF(Tank5!$C$23="No control",(SUMIF(Tank5!$B$32:$B$49,$J2324,Tank5!$C$32:$C$49)*Impacts!$F$12),0)</f>
        <v>0</v>
      </c>
      <c r="Q2324" s="10">
        <f>IFERROR(IF(('Loading-drum,tote'!$C$21)="No control",SUMIF(('Loading-drum,tote'!$B$31:$B$48),$J2324,('Loading-drum,tote'!$D$31:$D$48))*Impacts!$F$13,IF(('Loading-drum,tote'!$C$21)&lt;&gt;"No control",SUMIF(('Loading-drum,tote'!$B$31:$B$48),$J2324,('Loading-drum,tote'!$E$31:$E$48))*Impacts!$F$13,0)),0)</f>
        <v>0</v>
      </c>
      <c r="R2324" s="10">
        <f>IFERROR(IF(('Loading-truck'!$C$21)="No control",SUMIF(('Loading-truck'!$B$31:$B$48),$J2324,('Loading-truck'!$D$31:$D$48))*Impacts!$F$14,IF(('Loading-truck'!$C$21)&lt;&gt;"No control",SUMIF(('Loading-truck'!$B$31:$B$48),$J2324,('Loading-truck'!$E$31:$E$48))*Impacts!$F$14,0)),0)</f>
        <v>0</v>
      </c>
      <c r="S2324" s="10">
        <f>IFERROR(IF(('Loading-rail'!$C$21)="No control",SUMIF(('Loading-rail'!$B$31:$B$48),$J2324,('Loading-rail'!$D$31:$D$48))*Impacts!$F$15,IF(('Loading-rail'!$C$21)&lt;&gt;"No control",SUMIF(('Loading-rail'!$B$31:$B$48),$J2324,('Loading-rail'!$E$31:$E$48))*Impacts!$F$15,0)),0)</f>
        <v>0</v>
      </c>
      <c r="T2324" s="10">
        <f>IF(Flare!$C$7="",0,(SUMIF(Flare!$B$46:$B$185,$J2324,Flare!$E$46:$E$185)*Impacts!$F$16))</f>
        <v>0</v>
      </c>
      <c r="U2324" s="10">
        <f>IF(VCU!$C$9="",0,(SUMIF(VCU!$B$51:$B$193,$J2324,VCU!$E$51:$E$193)*Impacts!$F$17))</f>
        <v>0</v>
      </c>
      <c r="V2324" s="10">
        <f>IF(CAS!$C$7="",0,(SUMIF(CAS!$B$31:$B$167,$J2324,CAS!$E$31:$E$167)*Impacts!$F$18))</f>
        <v>0</v>
      </c>
      <c r="W2324" s="10">
        <f t="shared" si="76"/>
        <v>0</v>
      </c>
      <c r="AK2324" s="10" t="str">
        <f t="array" ref="AK2324">IFERROR(INDEX(SelectedSpecies,SMALL(IF(SelectedSpecies=AK$1,ROW(SelectedSpecies)),ROW(2325:2325)),2),"")</f>
        <v/>
      </c>
      <c r="BE2324" s="10"/>
      <c r="BI2324" s="10"/>
    </row>
    <row r="2325" spans="1:61" ht="21" customHeight="1" x14ac:dyDescent="0.25">
      <c r="A2325" s="10"/>
      <c r="B2325" s="10"/>
      <c r="E2325" s="10"/>
      <c r="G2325" s="10"/>
      <c r="I2325" s="436" t="s">
        <v>2321</v>
      </c>
      <c r="J2325" s="26" t="s">
        <v>2320</v>
      </c>
      <c r="K2325" s="10">
        <v>12</v>
      </c>
      <c r="L2325" s="73">
        <f>IF(Tank1!$C$23="No control",(SUMIF(Tank1!$B$32:$B$49,$J2325,Tank1!$C$32:$C$49)*Impacts!$F$8),0)</f>
        <v>0</v>
      </c>
      <c r="M2325" s="10">
        <f>IF(Tank2!$C$23="No control",(SUMIF(Tank2!$B$32:$B$49,$J2325,Tank2!$C$32:$C$49)*Impacts!$F$9),0)</f>
        <v>0</v>
      </c>
      <c r="N2325" s="10">
        <f>IF(Tank3!$C$23="No control",(SUMIF(Tank3!$B$32:$B$49,$J2325,Tank3!$C$32:$C$49)*Impacts!$F$10),0)</f>
        <v>0</v>
      </c>
      <c r="O2325" s="10">
        <f>IF(Tank4!$C$23="No control",(SUMIF(Tank4!$B$32:$B$49,$J2325,Tank4!$C$32:$C$49)*Impacts!$F$11),0)</f>
        <v>0</v>
      </c>
      <c r="P2325" s="10">
        <f>IF(Tank5!$C$23="No control",(SUMIF(Tank5!$B$32:$B$49,$J2325,Tank5!$C$32:$C$49)*Impacts!$F$12),0)</f>
        <v>0</v>
      </c>
      <c r="Q2325" s="10">
        <f>IFERROR(IF(('Loading-drum,tote'!$C$21)="No control",SUMIF(('Loading-drum,tote'!$B$31:$B$48),$J2325,('Loading-drum,tote'!$D$31:$D$48))*Impacts!$F$13,IF(('Loading-drum,tote'!$C$21)&lt;&gt;"No control",SUMIF(('Loading-drum,tote'!$B$31:$B$48),$J2325,('Loading-drum,tote'!$E$31:$E$48))*Impacts!$F$13,0)),0)</f>
        <v>0</v>
      </c>
      <c r="R2325" s="10">
        <f>IFERROR(IF(('Loading-truck'!$C$21)="No control",SUMIF(('Loading-truck'!$B$31:$B$48),$J2325,('Loading-truck'!$D$31:$D$48))*Impacts!$F$14,IF(('Loading-truck'!$C$21)&lt;&gt;"No control",SUMIF(('Loading-truck'!$B$31:$B$48),$J2325,('Loading-truck'!$E$31:$E$48))*Impacts!$F$14,0)),0)</f>
        <v>0</v>
      </c>
      <c r="S2325" s="10">
        <f>IFERROR(IF(('Loading-rail'!$C$21)="No control",SUMIF(('Loading-rail'!$B$31:$B$48),$J2325,('Loading-rail'!$D$31:$D$48))*Impacts!$F$15,IF(('Loading-rail'!$C$21)&lt;&gt;"No control",SUMIF(('Loading-rail'!$B$31:$B$48),$J2325,('Loading-rail'!$E$31:$E$48))*Impacts!$F$15,0)),0)</f>
        <v>0</v>
      </c>
      <c r="T2325" s="10">
        <f>IF(Flare!$C$7="",0,(SUMIF(Flare!$B$46:$B$185,$J2325,Flare!$E$46:$E$185)*Impacts!$F$16))</f>
        <v>0</v>
      </c>
      <c r="U2325" s="10">
        <f>IF(VCU!$C$9="",0,(SUMIF(VCU!$B$51:$B$193,$J2325,VCU!$E$51:$E$193)*Impacts!$F$17))</f>
        <v>0</v>
      </c>
      <c r="V2325" s="10">
        <f>IF(CAS!$C$7="",0,(SUMIF(CAS!$B$31:$B$167,$J2325,CAS!$E$31:$E$167)*Impacts!$F$18))</f>
        <v>0</v>
      </c>
      <c r="W2325" s="10">
        <f t="shared" si="76"/>
        <v>0</v>
      </c>
      <c r="AK2325" s="10" t="str">
        <f t="array" ref="AK2325">IFERROR(INDEX(SelectedSpecies,SMALL(IF(SelectedSpecies=AK$1,ROW(SelectedSpecies)),ROW(2326:2326)),2),"")</f>
        <v/>
      </c>
      <c r="BE2325" s="10"/>
      <c r="BI2325" s="10"/>
    </row>
    <row r="2326" spans="1:61" ht="21" customHeight="1" x14ac:dyDescent="0.25">
      <c r="A2326" s="10"/>
      <c r="B2326" s="10"/>
      <c r="E2326" s="10"/>
      <c r="G2326" s="10"/>
      <c r="I2326" s="436" t="s">
        <v>1859</v>
      </c>
      <c r="J2326" s="26" t="s">
        <v>1858</v>
      </c>
      <c r="K2326" s="10">
        <v>20</v>
      </c>
      <c r="L2326" s="73">
        <f>IF(Tank1!$C$23="No control",(SUMIF(Tank1!$B$32:$B$49,$J2326,Tank1!$C$32:$C$49)*Impacts!$F$8),0)</f>
        <v>0</v>
      </c>
      <c r="M2326" s="10">
        <f>IF(Tank2!$C$23="No control",(SUMIF(Tank2!$B$32:$B$49,$J2326,Tank2!$C$32:$C$49)*Impacts!$F$9),0)</f>
        <v>0</v>
      </c>
      <c r="N2326" s="10">
        <f>IF(Tank3!$C$23="No control",(SUMIF(Tank3!$B$32:$B$49,$J2326,Tank3!$C$32:$C$49)*Impacts!$F$10),0)</f>
        <v>0</v>
      </c>
      <c r="O2326" s="10">
        <f>IF(Tank4!$C$23="No control",(SUMIF(Tank4!$B$32:$B$49,$J2326,Tank4!$C$32:$C$49)*Impacts!$F$11),0)</f>
        <v>0</v>
      </c>
      <c r="P2326" s="10">
        <f>IF(Tank5!$C$23="No control",(SUMIF(Tank5!$B$32:$B$49,$J2326,Tank5!$C$32:$C$49)*Impacts!$F$12),0)</f>
        <v>0</v>
      </c>
      <c r="Q2326" s="10">
        <f>IFERROR(IF(('Loading-drum,tote'!$C$21)="No control",SUMIF(('Loading-drum,tote'!$B$31:$B$48),$J2326,('Loading-drum,tote'!$D$31:$D$48))*Impacts!$F$13,IF(('Loading-drum,tote'!$C$21)&lt;&gt;"No control",SUMIF(('Loading-drum,tote'!$B$31:$B$48),$J2326,('Loading-drum,tote'!$E$31:$E$48))*Impacts!$F$13,0)),0)</f>
        <v>0</v>
      </c>
      <c r="R2326" s="10">
        <f>IFERROR(IF(('Loading-truck'!$C$21)="No control",SUMIF(('Loading-truck'!$B$31:$B$48),$J2326,('Loading-truck'!$D$31:$D$48))*Impacts!$F$14,IF(('Loading-truck'!$C$21)&lt;&gt;"No control",SUMIF(('Loading-truck'!$B$31:$B$48),$J2326,('Loading-truck'!$E$31:$E$48))*Impacts!$F$14,0)),0)</f>
        <v>0</v>
      </c>
      <c r="S2326" s="10">
        <f>IFERROR(IF(('Loading-rail'!$C$21)="No control",SUMIF(('Loading-rail'!$B$31:$B$48),$J2326,('Loading-rail'!$D$31:$D$48))*Impacts!$F$15,IF(('Loading-rail'!$C$21)&lt;&gt;"No control",SUMIF(('Loading-rail'!$B$31:$B$48),$J2326,('Loading-rail'!$E$31:$E$48))*Impacts!$F$15,0)),0)</f>
        <v>0</v>
      </c>
      <c r="T2326" s="10">
        <f>IF(Flare!$C$7="",0,(SUMIF(Flare!$B$46:$B$185,$J2326,Flare!$E$46:$E$185)*Impacts!$F$16))</f>
        <v>0</v>
      </c>
      <c r="U2326" s="10">
        <f>IF(VCU!$C$9="",0,(SUMIF(VCU!$B$51:$B$193,$J2326,VCU!$E$51:$E$193)*Impacts!$F$17))</f>
        <v>0</v>
      </c>
      <c r="V2326" s="10">
        <f>IF(CAS!$C$7="",0,(SUMIF(CAS!$B$31:$B$167,$J2326,CAS!$E$31:$E$167)*Impacts!$F$18))</f>
        <v>0</v>
      </c>
      <c r="W2326" s="10">
        <f t="shared" si="76"/>
        <v>0</v>
      </c>
      <c r="AK2326" s="10" t="str">
        <f t="array" ref="AK2326">IFERROR(INDEX(SelectedSpecies,SMALL(IF(SelectedSpecies=AK$1,ROW(SelectedSpecies)),ROW(2327:2327)),2),"")</f>
        <v/>
      </c>
      <c r="BE2326" s="10"/>
      <c r="BI2326" s="10"/>
    </row>
    <row r="2327" spans="1:61" ht="21" customHeight="1" x14ac:dyDescent="0.25">
      <c r="A2327" s="10"/>
      <c r="B2327" s="10"/>
      <c r="E2327" s="10"/>
      <c r="G2327" s="10"/>
      <c r="I2327" s="436" t="s">
        <v>6864</v>
      </c>
      <c r="J2327" s="26" t="s">
        <v>6863</v>
      </c>
      <c r="K2327" s="10">
        <v>0.5</v>
      </c>
      <c r="L2327" s="73">
        <f>IF(Tank1!$C$23="No control",(SUMIF(Tank1!$B$32:$B$49,$J2327,Tank1!$C$32:$C$49)*Impacts!$F$8),0)</f>
        <v>0</v>
      </c>
      <c r="M2327" s="10">
        <f>IF(Tank2!$C$23="No control",(SUMIF(Tank2!$B$32:$B$49,$J2327,Tank2!$C$32:$C$49)*Impacts!$F$9),0)</f>
        <v>0</v>
      </c>
      <c r="N2327" s="10">
        <f>IF(Tank3!$C$23="No control",(SUMIF(Tank3!$B$32:$B$49,$J2327,Tank3!$C$32:$C$49)*Impacts!$F$10),0)</f>
        <v>0</v>
      </c>
      <c r="O2327" s="10">
        <f>IF(Tank4!$C$23="No control",(SUMIF(Tank4!$B$32:$B$49,$J2327,Tank4!$C$32:$C$49)*Impacts!$F$11),0)</f>
        <v>0</v>
      </c>
      <c r="P2327" s="10">
        <f>IF(Tank5!$C$23="No control",(SUMIF(Tank5!$B$32:$B$49,$J2327,Tank5!$C$32:$C$49)*Impacts!$F$12),0)</f>
        <v>0</v>
      </c>
      <c r="Q2327" s="10">
        <f>IFERROR(IF(('Loading-drum,tote'!$C$21)="No control",SUMIF(('Loading-drum,tote'!$B$31:$B$48),$J2327,('Loading-drum,tote'!$D$31:$D$48))*Impacts!$F$13,IF(('Loading-drum,tote'!$C$21)&lt;&gt;"No control",SUMIF(('Loading-drum,tote'!$B$31:$B$48),$J2327,('Loading-drum,tote'!$E$31:$E$48))*Impacts!$F$13,0)),0)</f>
        <v>0</v>
      </c>
      <c r="R2327" s="10">
        <f>IFERROR(IF(('Loading-truck'!$C$21)="No control",SUMIF(('Loading-truck'!$B$31:$B$48),$J2327,('Loading-truck'!$D$31:$D$48))*Impacts!$F$14,IF(('Loading-truck'!$C$21)&lt;&gt;"No control",SUMIF(('Loading-truck'!$B$31:$B$48),$J2327,('Loading-truck'!$E$31:$E$48))*Impacts!$F$14,0)),0)</f>
        <v>0</v>
      </c>
      <c r="S2327" s="10">
        <f>IFERROR(IF(('Loading-rail'!$C$21)="No control",SUMIF(('Loading-rail'!$B$31:$B$48),$J2327,('Loading-rail'!$D$31:$D$48))*Impacts!$F$15,IF(('Loading-rail'!$C$21)&lt;&gt;"No control",SUMIF(('Loading-rail'!$B$31:$B$48),$J2327,('Loading-rail'!$E$31:$E$48))*Impacts!$F$15,0)),0)</f>
        <v>0</v>
      </c>
      <c r="T2327" s="10">
        <f>IF(Flare!$C$7="",0,(SUMIF(Flare!$B$46:$B$185,$J2327,Flare!$E$46:$E$185)*Impacts!$F$16))</f>
        <v>0</v>
      </c>
      <c r="U2327" s="10">
        <f>IF(VCU!$C$9="",0,(SUMIF(VCU!$B$51:$B$193,$J2327,VCU!$E$51:$E$193)*Impacts!$F$17))</f>
        <v>0</v>
      </c>
      <c r="V2327" s="10">
        <f>IF(CAS!$C$7="",0,(SUMIF(CAS!$B$31:$B$167,$J2327,CAS!$E$31:$E$167)*Impacts!$F$18))</f>
        <v>0</v>
      </c>
      <c r="W2327" s="10">
        <f t="shared" si="76"/>
        <v>0</v>
      </c>
      <c r="AK2327" s="10" t="str">
        <f t="array" ref="AK2327">IFERROR(INDEX(SelectedSpecies,SMALL(IF(SelectedSpecies=AK$1,ROW(SelectedSpecies)),ROW(2328:2328)),2),"")</f>
        <v/>
      </c>
      <c r="BE2327" s="10"/>
      <c r="BI2327" s="10"/>
    </row>
    <row r="2328" spans="1:61" ht="21" customHeight="1" x14ac:dyDescent="0.25">
      <c r="A2328" s="10"/>
      <c r="B2328" s="10"/>
      <c r="E2328" s="10"/>
      <c r="G2328" s="10"/>
      <c r="I2328" s="436" t="s">
        <v>8272</v>
      </c>
      <c r="J2328" s="26" t="s">
        <v>8271</v>
      </c>
      <c r="K2328" s="10">
        <v>5.000000000000001E-3</v>
      </c>
      <c r="L2328" s="73">
        <f>IF(Tank1!$C$23="No control",(SUMIF(Tank1!$B$32:$B$49,$J2328,Tank1!$C$32:$C$49)*Impacts!$F$8),0)</f>
        <v>0</v>
      </c>
      <c r="M2328" s="10">
        <f>IF(Tank2!$C$23="No control",(SUMIF(Tank2!$B$32:$B$49,$J2328,Tank2!$C$32:$C$49)*Impacts!$F$9),0)</f>
        <v>0</v>
      </c>
      <c r="N2328" s="10">
        <f>IF(Tank3!$C$23="No control",(SUMIF(Tank3!$B$32:$B$49,$J2328,Tank3!$C$32:$C$49)*Impacts!$F$10),0)</f>
        <v>0</v>
      </c>
      <c r="O2328" s="10">
        <f>IF(Tank4!$C$23="No control",(SUMIF(Tank4!$B$32:$B$49,$J2328,Tank4!$C$32:$C$49)*Impacts!$F$11),0)</f>
        <v>0</v>
      </c>
      <c r="P2328" s="10">
        <f>IF(Tank5!$C$23="No control",(SUMIF(Tank5!$B$32:$B$49,$J2328,Tank5!$C$32:$C$49)*Impacts!$F$12),0)</f>
        <v>0</v>
      </c>
      <c r="Q2328" s="10">
        <f>IFERROR(IF(('Loading-drum,tote'!$C$21)="No control",SUMIF(('Loading-drum,tote'!$B$31:$B$48),$J2328,('Loading-drum,tote'!$D$31:$D$48))*Impacts!$F$13,IF(('Loading-drum,tote'!$C$21)&lt;&gt;"No control",SUMIF(('Loading-drum,tote'!$B$31:$B$48),$J2328,('Loading-drum,tote'!$E$31:$E$48))*Impacts!$F$13,0)),0)</f>
        <v>0</v>
      </c>
      <c r="R2328" s="10">
        <f>IFERROR(IF(('Loading-truck'!$C$21)="No control",SUMIF(('Loading-truck'!$B$31:$B$48),$J2328,('Loading-truck'!$D$31:$D$48))*Impacts!$F$14,IF(('Loading-truck'!$C$21)&lt;&gt;"No control",SUMIF(('Loading-truck'!$B$31:$B$48),$J2328,('Loading-truck'!$E$31:$E$48))*Impacts!$F$14,0)),0)</f>
        <v>0</v>
      </c>
      <c r="S2328" s="10">
        <f>IFERROR(IF(('Loading-rail'!$C$21)="No control",SUMIF(('Loading-rail'!$B$31:$B$48),$J2328,('Loading-rail'!$D$31:$D$48))*Impacts!$F$15,IF(('Loading-rail'!$C$21)&lt;&gt;"No control",SUMIF(('Loading-rail'!$B$31:$B$48),$J2328,('Loading-rail'!$E$31:$E$48))*Impacts!$F$15,0)),0)</f>
        <v>0</v>
      </c>
      <c r="T2328" s="10">
        <f>IF(Flare!$C$7="",0,(SUMIF(Flare!$B$46:$B$185,$J2328,Flare!$E$46:$E$185)*Impacts!$F$16))</f>
        <v>0</v>
      </c>
      <c r="U2328" s="10">
        <f>IF(VCU!$C$9="",0,(SUMIF(VCU!$B$51:$B$193,$J2328,VCU!$E$51:$E$193)*Impacts!$F$17))</f>
        <v>0</v>
      </c>
      <c r="V2328" s="10">
        <f>IF(CAS!$C$7="",0,(SUMIF(CAS!$B$31:$B$167,$J2328,CAS!$E$31:$E$167)*Impacts!$F$18))</f>
        <v>0</v>
      </c>
      <c r="W2328" s="10">
        <f t="shared" si="76"/>
        <v>0</v>
      </c>
      <c r="AK2328" s="10" t="str">
        <f t="array" ref="AK2328">IFERROR(INDEX(SelectedSpecies,SMALL(IF(SelectedSpecies=AK$1,ROW(SelectedSpecies)),ROW(2329:2329)),2),"")</f>
        <v/>
      </c>
      <c r="BE2328" s="10"/>
      <c r="BI2328" s="10"/>
    </row>
    <row r="2329" spans="1:61" ht="21" customHeight="1" x14ac:dyDescent="0.25">
      <c r="A2329" s="10"/>
      <c r="B2329" s="10"/>
      <c r="E2329" s="10"/>
      <c r="G2329" s="10"/>
      <c r="I2329" s="436" t="s">
        <v>7924</v>
      </c>
      <c r="J2329" s="26" t="s">
        <v>7923</v>
      </c>
      <c r="K2329" s="10">
        <v>0.05</v>
      </c>
      <c r="L2329" s="73">
        <f>IF(Tank1!$C$23="No control",(SUMIF(Tank1!$B$32:$B$49,$J2329,Tank1!$C$32:$C$49)*Impacts!$F$8),0)</f>
        <v>0</v>
      </c>
      <c r="M2329" s="10">
        <f>IF(Tank2!$C$23="No control",(SUMIF(Tank2!$B$32:$B$49,$J2329,Tank2!$C$32:$C$49)*Impacts!$F$9),0)</f>
        <v>0</v>
      </c>
      <c r="N2329" s="10">
        <f>IF(Tank3!$C$23="No control",(SUMIF(Tank3!$B$32:$B$49,$J2329,Tank3!$C$32:$C$49)*Impacts!$F$10),0)</f>
        <v>0</v>
      </c>
      <c r="O2329" s="10">
        <f>IF(Tank4!$C$23="No control",(SUMIF(Tank4!$B$32:$B$49,$J2329,Tank4!$C$32:$C$49)*Impacts!$F$11),0)</f>
        <v>0</v>
      </c>
      <c r="P2329" s="10">
        <f>IF(Tank5!$C$23="No control",(SUMIF(Tank5!$B$32:$B$49,$J2329,Tank5!$C$32:$C$49)*Impacts!$F$12),0)</f>
        <v>0</v>
      </c>
      <c r="Q2329" s="10">
        <f>IFERROR(IF(('Loading-drum,tote'!$C$21)="No control",SUMIF(('Loading-drum,tote'!$B$31:$B$48),$J2329,('Loading-drum,tote'!$D$31:$D$48))*Impacts!$F$13,IF(('Loading-drum,tote'!$C$21)&lt;&gt;"No control",SUMIF(('Loading-drum,tote'!$B$31:$B$48),$J2329,('Loading-drum,tote'!$E$31:$E$48))*Impacts!$F$13,0)),0)</f>
        <v>0</v>
      </c>
      <c r="R2329" s="10">
        <f>IFERROR(IF(('Loading-truck'!$C$21)="No control",SUMIF(('Loading-truck'!$B$31:$B$48),$J2329,('Loading-truck'!$D$31:$D$48))*Impacts!$F$14,IF(('Loading-truck'!$C$21)&lt;&gt;"No control",SUMIF(('Loading-truck'!$B$31:$B$48),$J2329,('Loading-truck'!$E$31:$E$48))*Impacts!$F$14,0)),0)</f>
        <v>0</v>
      </c>
      <c r="S2329" s="10">
        <f>IFERROR(IF(('Loading-rail'!$C$21)="No control",SUMIF(('Loading-rail'!$B$31:$B$48),$J2329,('Loading-rail'!$D$31:$D$48))*Impacts!$F$15,IF(('Loading-rail'!$C$21)&lt;&gt;"No control",SUMIF(('Loading-rail'!$B$31:$B$48),$J2329,('Loading-rail'!$E$31:$E$48))*Impacts!$F$15,0)),0)</f>
        <v>0</v>
      </c>
      <c r="T2329" s="10">
        <f>IF(Flare!$C$7="",0,(SUMIF(Flare!$B$46:$B$185,$J2329,Flare!$E$46:$E$185)*Impacts!$F$16))</f>
        <v>0</v>
      </c>
      <c r="U2329" s="10">
        <f>IF(VCU!$C$9="",0,(SUMIF(VCU!$B$51:$B$193,$J2329,VCU!$E$51:$E$193)*Impacts!$F$17))</f>
        <v>0</v>
      </c>
      <c r="V2329" s="10">
        <f>IF(CAS!$C$7="",0,(SUMIF(CAS!$B$31:$B$167,$J2329,CAS!$E$31:$E$167)*Impacts!$F$18))</f>
        <v>0</v>
      </c>
      <c r="W2329" s="10">
        <f t="shared" si="76"/>
        <v>0</v>
      </c>
      <c r="AK2329" s="10" t="str">
        <f t="array" ref="AK2329">IFERROR(INDEX(SelectedSpecies,SMALL(IF(SelectedSpecies=AK$1,ROW(SelectedSpecies)),ROW(2330:2330)),2),"")</f>
        <v/>
      </c>
      <c r="BE2329" s="10"/>
      <c r="BI2329" s="10"/>
    </row>
    <row r="2330" spans="1:61" ht="21" customHeight="1" x14ac:dyDescent="0.25">
      <c r="A2330" s="10"/>
      <c r="B2330" s="10"/>
      <c r="E2330" s="10"/>
      <c r="G2330" s="10"/>
      <c r="I2330" s="436" t="s">
        <v>2945</v>
      </c>
      <c r="J2330" s="26" t="s">
        <v>2944</v>
      </c>
      <c r="K2330" s="10">
        <v>10</v>
      </c>
      <c r="L2330" s="73">
        <f>IF(Tank1!$C$23="No control",(SUMIF(Tank1!$B$32:$B$49,$J2330,Tank1!$C$32:$C$49)*Impacts!$F$8),0)</f>
        <v>0</v>
      </c>
      <c r="M2330" s="10">
        <f>IF(Tank2!$C$23="No control",(SUMIF(Tank2!$B$32:$B$49,$J2330,Tank2!$C$32:$C$49)*Impacts!$F$9),0)</f>
        <v>0</v>
      </c>
      <c r="N2330" s="10">
        <f>IF(Tank3!$C$23="No control",(SUMIF(Tank3!$B$32:$B$49,$J2330,Tank3!$C$32:$C$49)*Impacts!$F$10),0)</f>
        <v>0</v>
      </c>
      <c r="O2330" s="10">
        <f>IF(Tank4!$C$23="No control",(SUMIF(Tank4!$B$32:$B$49,$J2330,Tank4!$C$32:$C$49)*Impacts!$F$11),0)</f>
        <v>0</v>
      </c>
      <c r="P2330" s="10">
        <f>IF(Tank5!$C$23="No control",(SUMIF(Tank5!$B$32:$B$49,$J2330,Tank5!$C$32:$C$49)*Impacts!$F$12),0)</f>
        <v>0</v>
      </c>
      <c r="Q2330" s="10">
        <f>IFERROR(IF(('Loading-drum,tote'!$C$21)="No control",SUMIF(('Loading-drum,tote'!$B$31:$B$48),$J2330,('Loading-drum,tote'!$D$31:$D$48))*Impacts!$F$13,IF(('Loading-drum,tote'!$C$21)&lt;&gt;"No control",SUMIF(('Loading-drum,tote'!$B$31:$B$48),$J2330,('Loading-drum,tote'!$E$31:$E$48))*Impacts!$F$13,0)),0)</f>
        <v>0</v>
      </c>
      <c r="R2330" s="10">
        <f>IFERROR(IF(('Loading-truck'!$C$21)="No control",SUMIF(('Loading-truck'!$B$31:$B$48),$J2330,('Loading-truck'!$D$31:$D$48))*Impacts!$F$14,IF(('Loading-truck'!$C$21)&lt;&gt;"No control",SUMIF(('Loading-truck'!$B$31:$B$48),$J2330,('Loading-truck'!$E$31:$E$48))*Impacts!$F$14,0)),0)</f>
        <v>0</v>
      </c>
      <c r="S2330" s="10">
        <f>IFERROR(IF(('Loading-rail'!$C$21)="No control",SUMIF(('Loading-rail'!$B$31:$B$48),$J2330,('Loading-rail'!$D$31:$D$48))*Impacts!$F$15,IF(('Loading-rail'!$C$21)&lt;&gt;"No control",SUMIF(('Loading-rail'!$B$31:$B$48),$J2330,('Loading-rail'!$E$31:$E$48))*Impacts!$F$15,0)),0)</f>
        <v>0</v>
      </c>
      <c r="T2330" s="10">
        <f>IF(Flare!$C$7="",0,(SUMIF(Flare!$B$46:$B$185,$J2330,Flare!$E$46:$E$185)*Impacts!$F$16))</f>
        <v>0</v>
      </c>
      <c r="U2330" s="10">
        <f>IF(VCU!$C$9="",0,(SUMIF(VCU!$B$51:$B$193,$J2330,VCU!$E$51:$E$193)*Impacts!$F$17))</f>
        <v>0</v>
      </c>
      <c r="V2330" s="10">
        <f>IF(CAS!$C$7="",0,(SUMIF(CAS!$B$31:$B$167,$J2330,CAS!$E$31:$E$167)*Impacts!$F$18))</f>
        <v>0</v>
      </c>
      <c r="W2330" s="10">
        <f t="shared" ref="W2330:W2393" si="77">SUM(L2330:V2330)</f>
        <v>0</v>
      </c>
      <c r="AK2330" s="10" t="str">
        <f t="array" ref="AK2330">IFERROR(INDEX(SelectedSpecies,SMALL(IF(SelectedSpecies=AK$1,ROW(SelectedSpecies)),ROW(2331:2331)),2),"")</f>
        <v/>
      </c>
      <c r="BE2330" s="10"/>
      <c r="BI2330" s="10"/>
    </row>
    <row r="2331" spans="1:61" ht="21" customHeight="1" x14ac:dyDescent="0.25">
      <c r="A2331" s="10"/>
      <c r="B2331" s="10"/>
      <c r="E2331" s="10"/>
      <c r="G2331" s="10"/>
      <c r="I2331" s="436" t="s">
        <v>712</v>
      </c>
      <c r="J2331" s="26" t="s">
        <v>711</v>
      </c>
      <c r="K2331" s="10">
        <v>57</v>
      </c>
      <c r="L2331" s="73">
        <f>IF(Tank1!$C$23="No control",(SUMIF(Tank1!$B$32:$B$49,$J2331,Tank1!$C$32:$C$49)*Impacts!$F$8),0)</f>
        <v>0</v>
      </c>
      <c r="M2331" s="10">
        <f>IF(Tank2!$C$23="No control",(SUMIF(Tank2!$B$32:$B$49,$J2331,Tank2!$C$32:$C$49)*Impacts!$F$9),0)</f>
        <v>0</v>
      </c>
      <c r="N2331" s="10">
        <f>IF(Tank3!$C$23="No control",(SUMIF(Tank3!$B$32:$B$49,$J2331,Tank3!$C$32:$C$49)*Impacts!$F$10),0)</f>
        <v>0</v>
      </c>
      <c r="O2331" s="10">
        <f>IF(Tank4!$C$23="No control",(SUMIF(Tank4!$B$32:$B$49,$J2331,Tank4!$C$32:$C$49)*Impacts!$F$11),0)</f>
        <v>0</v>
      </c>
      <c r="P2331" s="10">
        <f>IF(Tank5!$C$23="No control",(SUMIF(Tank5!$B$32:$B$49,$J2331,Tank5!$C$32:$C$49)*Impacts!$F$12),0)</f>
        <v>0</v>
      </c>
      <c r="Q2331" s="10">
        <f>IFERROR(IF(('Loading-drum,tote'!$C$21)="No control",SUMIF(('Loading-drum,tote'!$B$31:$B$48),$J2331,('Loading-drum,tote'!$D$31:$D$48))*Impacts!$F$13,IF(('Loading-drum,tote'!$C$21)&lt;&gt;"No control",SUMIF(('Loading-drum,tote'!$B$31:$B$48),$J2331,('Loading-drum,tote'!$E$31:$E$48))*Impacts!$F$13,0)),0)</f>
        <v>0</v>
      </c>
      <c r="R2331" s="10">
        <f>IFERROR(IF(('Loading-truck'!$C$21)="No control",SUMIF(('Loading-truck'!$B$31:$B$48),$J2331,('Loading-truck'!$D$31:$D$48))*Impacts!$F$14,IF(('Loading-truck'!$C$21)&lt;&gt;"No control",SUMIF(('Loading-truck'!$B$31:$B$48),$J2331,('Loading-truck'!$E$31:$E$48))*Impacts!$F$14,0)),0)</f>
        <v>0</v>
      </c>
      <c r="S2331" s="10">
        <f>IFERROR(IF(('Loading-rail'!$C$21)="No control",SUMIF(('Loading-rail'!$B$31:$B$48),$J2331,('Loading-rail'!$D$31:$D$48))*Impacts!$F$15,IF(('Loading-rail'!$C$21)&lt;&gt;"No control",SUMIF(('Loading-rail'!$B$31:$B$48),$J2331,('Loading-rail'!$E$31:$E$48))*Impacts!$F$15,0)),0)</f>
        <v>0</v>
      </c>
      <c r="T2331" s="10">
        <f>IF(Flare!$C$7="",0,(SUMIF(Flare!$B$46:$B$185,$J2331,Flare!$E$46:$E$185)*Impacts!$F$16))</f>
        <v>0</v>
      </c>
      <c r="U2331" s="10">
        <f>IF(VCU!$C$9="",0,(SUMIF(VCU!$B$51:$B$193,$J2331,VCU!$E$51:$E$193)*Impacts!$F$17))</f>
        <v>0</v>
      </c>
      <c r="V2331" s="10">
        <f>IF(CAS!$C$7="",0,(SUMIF(CAS!$B$31:$B$167,$J2331,CAS!$E$31:$E$167)*Impacts!$F$18))</f>
        <v>0</v>
      </c>
      <c r="W2331" s="10">
        <f t="shared" si="77"/>
        <v>0</v>
      </c>
      <c r="AK2331" s="10" t="str">
        <f t="array" ref="AK2331">IFERROR(INDEX(SelectedSpecies,SMALL(IF(SelectedSpecies=AK$1,ROW(SelectedSpecies)),ROW(2332:2332)),2),"")</f>
        <v/>
      </c>
      <c r="BE2331" s="10"/>
      <c r="BI2331" s="10"/>
    </row>
    <row r="2332" spans="1:61" ht="21" customHeight="1" x14ac:dyDescent="0.25">
      <c r="A2332" s="10"/>
      <c r="B2332" s="10"/>
      <c r="E2332" s="10"/>
      <c r="G2332" s="10"/>
      <c r="I2332" s="436" t="s">
        <v>714</v>
      </c>
      <c r="J2332" s="26" t="s">
        <v>713</v>
      </c>
      <c r="K2332" s="10">
        <v>57</v>
      </c>
      <c r="L2332" s="73">
        <f>IF(Tank1!$C$23="No control",(SUMIF(Tank1!$B$32:$B$49,$J2332,Tank1!$C$32:$C$49)*Impacts!$F$8),0)</f>
        <v>0</v>
      </c>
      <c r="M2332" s="10">
        <f>IF(Tank2!$C$23="No control",(SUMIF(Tank2!$B$32:$B$49,$J2332,Tank2!$C$32:$C$49)*Impacts!$F$9),0)</f>
        <v>0</v>
      </c>
      <c r="N2332" s="10">
        <f>IF(Tank3!$C$23="No control",(SUMIF(Tank3!$B$32:$B$49,$J2332,Tank3!$C$32:$C$49)*Impacts!$F$10),0)</f>
        <v>0</v>
      </c>
      <c r="O2332" s="10">
        <f>IF(Tank4!$C$23="No control",(SUMIF(Tank4!$B$32:$B$49,$J2332,Tank4!$C$32:$C$49)*Impacts!$F$11),0)</f>
        <v>0</v>
      </c>
      <c r="P2332" s="10">
        <f>IF(Tank5!$C$23="No control",(SUMIF(Tank5!$B$32:$B$49,$J2332,Tank5!$C$32:$C$49)*Impacts!$F$12),0)</f>
        <v>0</v>
      </c>
      <c r="Q2332" s="10">
        <f>IFERROR(IF(('Loading-drum,tote'!$C$21)="No control",SUMIF(('Loading-drum,tote'!$B$31:$B$48),$J2332,('Loading-drum,tote'!$D$31:$D$48))*Impacts!$F$13,IF(('Loading-drum,tote'!$C$21)&lt;&gt;"No control",SUMIF(('Loading-drum,tote'!$B$31:$B$48),$J2332,('Loading-drum,tote'!$E$31:$E$48))*Impacts!$F$13,0)),0)</f>
        <v>0</v>
      </c>
      <c r="R2332" s="10">
        <f>IFERROR(IF(('Loading-truck'!$C$21)="No control",SUMIF(('Loading-truck'!$B$31:$B$48),$J2332,('Loading-truck'!$D$31:$D$48))*Impacts!$F$14,IF(('Loading-truck'!$C$21)&lt;&gt;"No control",SUMIF(('Loading-truck'!$B$31:$B$48),$J2332,('Loading-truck'!$E$31:$E$48))*Impacts!$F$14,0)),0)</f>
        <v>0</v>
      </c>
      <c r="S2332" s="10">
        <f>IFERROR(IF(('Loading-rail'!$C$21)="No control",SUMIF(('Loading-rail'!$B$31:$B$48),$J2332,('Loading-rail'!$D$31:$D$48))*Impacts!$F$15,IF(('Loading-rail'!$C$21)&lt;&gt;"No control",SUMIF(('Loading-rail'!$B$31:$B$48),$J2332,('Loading-rail'!$E$31:$E$48))*Impacts!$F$15,0)),0)</f>
        <v>0</v>
      </c>
      <c r="T2332" s="10">
        <f>IF(Flare!$C$7="",0,(SUMIF(Flare!$B$46:$B$185,$J2332,Flare!$E$46:$E$185)*Impacts!$F$16))</f>
        <v>0</v>
      </c>
      <c r="U2332" s="10">
        <f>IF(VCU!$C$9="",0,(SUMIF(VCU!$B$51:$B$193,$J2332,VCU!$E$51:$E$193)*Impacts!$F$17))</f>
        <v>0</v>
      </c>
      <c r="V2332" s="10">
        <f>IF(CAS!$C$7="",0,(SUMIF(CAS!$B$31:$B$167,$J2332,CAS!$E$31:$E$167)*Impacts!$F$18))</f>
        <v>0</v>
      </c>
      <c r="W2332" s="10">
        <f t="shared" si="77"/>
        <v>0</v>
      </c>
      <c r="AK2332" s="10" t="str">
        <f t="array" ref="AK2332">IFERROR(INDEX(SelectedSpecies,SMALL(IF(SelectedSpecies=AK$1,ROW(SelectedSpecies)),ROW(2333:2333)),2),"")</f>
        <v/>
      </c>
      <c r="BE2332" s="10"/>
      <c r="BI2332" s="10"/>
    </row>
    <row r="2333" spans="1:61" ht="21" customHeight="1" x14ac:dyDescent="0.25">
      <c r="A2333" s="10"/>
      <c r="B2333" s="10"/>
      <c r="E2333" s="10"/>
      <c r="G2333" s="10"/>
      <c r="I2333" s="436" t="s">
        <v>5173</v>
      </c>
      <c r="J2333" s="26" t="s">
        <v>5172</v>
      </c>
      <c r="K2333" s="10">
        <v>2</v>
      </c>
      <c r="L2333" s="73">
        <f>IF(Tank1!$C$23="No control",(SUMIF(Tank1!$B$32:$B$49,$J2333,Tank1!$C$32:$C$49)*Impacts!$F$8),0)</f>
        <v>0</v>
      </c>
      <c r="M2333" s="10">
        <f>IF(Tank2!$C$23="No control",(SUMIF(Tank2!$B$32:$B$49,$J2333,Tank2!$C$32:$C$49)*Impacts!$F$9),0)</f>
        <v>0</v>
      </c>
      <c r="N2333" s="10">
        <f>IF(Tank3!$C$23="No control",(SUMIF(Tank3!$B$32:$B$49,$J2333,Tank3!$C$32:$C$49)*Impacts!$F$10),0)</f>
        <v>0</v>
      </c>
      <c r="O2333" s="10">
        <f>IF(Tank4!$C$23="No control",(SUMIF(Tank4!$B$32:$B$49,$J2333,Tank4!$C$32:$C$49)*Impacts!$F$11),0)</f>
        <v>0</v>
      </c>
      <c r="P2333" s="10">
        <f>IF(Tank5!$C$23="No control",(SUMIF(Tank5!$B$32:$B$49,$J2333,Tank5!$C$32:$C$49)*Impacts!$F$12),0)</f>
        <v>0</v>
      </c>
      <c r="Q2333" s="10">
        <f>IFERROR(IF(('Loading-drum,tote'!$C$21)="No control",SUMIF(('Loading-drum,tote'!$B$31:$B$48),$J2333,('Loading-drum,tote'!$D$31:$D$48))*Impacts!$F$13,IF(('Loading-drum,tote'!$C$21)&lt;&gt;"No control",SUMIF(('Loading-drum,tote'!$B$31:$B$48),$J2333,('Loading-drum,tote'!$E$31:$E$48))*Impacts!$F$13,0)),0)</f>
        <v>0</v>
      </c>
      <c r="R2333" s="10">
        <f>IFERROR(IF(('Loading-truck'!$C$21)="No control",SUMIF(('Loading-truck'!$B$31:$B$48),$J2333,('Loading-truck'!$D$31:$D$48))*Impacts!$F$14,IF(('Loading-truck'!$C$21)&lt;&gt;"No control",SUMIF(('Loading-truck'!$B$31:$B$48),$J2333,('Loading-truck'!$E$31:$E$48))*Impacts!$F$14,0)),0)</f>
        <v>0</v>
      </c>
      <c r="S2333" s="10">
        <f>IFERROR(IF(('Loading-rail'!$C$21)="No control",SUMIF(('Loading-rail'!$B$31:$B$48),$J2333,('Loading-rail'!$D$31:$D$48))*Impacts!$F$15,IF(('Loading-rail'!$C$21)&lt;&gt;"No control",SUMIF(('Loading-rail'!$B$31:$B$48),$J2333,('Loading-rail'!$E$31:$E$48))*Impacts!$F$15,0)),0)</f>
        <v>0</v>
      </c>
      <c r="T2333" s="10">
        <f>IF(Flare!$C$7="",0,(SUMIF(Flare!$B$46:$B$185,$J2333,Flare!$E$46:$E$185)*Impacts!$F$16))</f>
        <v>0</v>
      </c>
      <c r="U2333" s="10">
        <f>IF(VCU!$C$9="",0,(SUMIF(VCU!$B$51:$B$193,$J2333,VCU!$E$51:$E$193)*Impacts!$F$17))</f>
        <v>0</v>
      </c>
      <c r="V2333" s="10">
        <f>IF(CAS!$C$7="",0,(SUMIF(CAS!$B$31:$B$167,$J2333,CAS!$E$31:$E$167)*Impacts!$F$18))</f>
        <v>0</v>
      </c>
      <c r="W2333" s="10">
        <f t="shared" si="77"/>
        <v>0</v>
      </c>
      <c r="AK2333" s="10" t="str">
        <f t="array" ref="AK2333">IFERROR(INDEX(SelectedSpecies,SMALL(IF(SelectedSpecies=AK$1,ROW(SelectedSpecies)),ROW(2334:2334)),2),"")</f>
        <v/>
      </c>
      <c r="BE2333" s="10"/>
      <c r="BI2333" s="10"/>
    </row>
    <row r="2334" spans="1:61" ht="21" customHeight="1" x14ac:dyDescent="0.25">
      <c r="A2334" s="10"/>
      <c r="B2334" s="10"/>
      <c r="E2334" s="10"/>
      <c r="G2334" s="10"/>
      <c r="I2334" s="436" t="s">
        <v>3629</v>
      </c>
      <c r="J2334" s="26" t="s">
        <v>3628</v>
      </c>
      <c r="K2334" s="10">
        <v>7.3000000000000007</v>
      </c>
      <c r="L2334" s="73">
        <f>IF(Tank1!$C$23="No control",(SUMIF(Tank1!$B$32:$B$49,$J2334,Tank1!$C$32:$C$49)*Impacts!$F$8),0)</f>
        <v>0</v>
      </c>
      <c r="M2334" s="10">
        <f>IF(Tank2!$C$23="No control",(SUMIF(Tank2!$B$32:$B$49,$J2334,Tank2!$C$32:$C$49)*Impacts!$F$9),0)</f>
        <v>0</v>
      </c>
      <c r="N2334" s="10">
        <f>IF(Tank3!$C$23="No control",(SUMIF(Tank3!$B$32:$B$49,$J2334,Tank3!$C$32:$C$49)*Impacts!$F$10),0)</f>
        <v>0</v>
      </c>
      <c r="O2334" s="10">
        <f>IF(Tank4!$C$23="No control",(SUMIF(Tank4!$B$32:$B$49,$J2334,Tank4!$C$32:$C$49)*Impacts!$F$11),0)</f>
        <v>0</v>
      </c>
      <c r="P2334" s="10">
        <f>IF(Tank5!$C$23="No control",(SUMIF(Tank5!$B$32:$B$49,$J2334,Tank5!$C$32:$C$49)*Impacts!$F$12),0)</f>
        <v>0</v>
      </c>
      <c r="Q2334" s="10">
        <f>IFERROR(IF(('Loading-drum,tote'!$C$21)="No control",SUMIF(('Loading-drum,tote'!$B$31:$B$48),$J2334,('Loading-drum,tote'!$D$31:$D$48))*Impacts!$F$13,IF(('Loading-drum,tote'!$C$21)&lt;&gt;"No control",SUMIF(('Loading-drum,tote'!$B$31:$B$48),$J2334,('Loading-drum,tote'!$E$31:$E$48))*Impacts!$F$13,0)),0)</f>
        <v>0</v>
      </c>
      <c r="R2334" s="10">
        <f>IFERROR(IF(('Loading-truck'!$C$21)="No control",SUMIF(('Loading-truck'!$B$31:$B$48),$J2334,('Loading-truck'!$D$31:$D$48))*Impacts!$F$14,IF(('Loading-truck'!$C$21)&lt;&gt;"No control",SUMIF(('Loading-truck'!$B$31:$B$48),$J2334,('Loading-truck'!$E$31:$E$48))*Impacts!$F$14,0)),0)</f>
        <v>0</v>
      </c>
      <c r="S2334" s="10">
        <f>IFERROR(IF(('Loading-rail'!$C$21)="No control",SUMIF(('Loading-rail'!$B$31:$B$48),$J2334,('Loading-rail'!$D$31:$D$48))*Impacts!$F$15,IF(('Loading-rail'!$C$21)&lt;&gt;"No control",SUMIF(('Loading-rail'!$B$31:$B$48),$J2334,('Loading-rail'!$E$31:$E$48))*Impacts!$F$15,0)),0)</f>
        <v>0</v>
      </c>
      <c r="T2334" s="10">
        <f>IF(Flare!$C$7="",0,(SUMIF(Flare!$B$46:$B$185,$J2334,Flare!$E$46:$E$185)*Impacts!$F$16))</f>
        <v>0</v>
      </c>
      <c r="U2334" s="10">
        <f>IF(VCU!$C$9="",0,(SUMIF(VCU!$B$51:$B$193,$J2334,VCU!$E$51:$E$193)*Impacts!$F$17))</f>
        <v>0</v>
      </c>
      <c r="V2334" s="10">
        <f>IF(CAS!$C$7="",0,(SUMIF(CAS!$B$31:$B$167,$J2334,CAS!$E$31:$E$167)*Impacts!$F$18))</f>
        <v>0</v>
      </c>
      <c r="W2334" s="10">
        <f t="shared" si="77"/>
        <v>0</v>
      </c>
      <c r="AK2334" s="10" t="str">
        <f t="array" ref="AK2334">IFERROR(INDEX(SelectedSpecies,SMALL(IF(SelectedSpecies=AK$1,ROW(SelectedSpecies)),ROW(2335:2335)),2),"")</f>
        <v/>
      </c>
      <c r="BE2334" s="10"/>
      <c r="BI2334" s="10"/>
    </row>
    <row r="2335" spans="1:61" ht="21" customHeight="1" x14ac:dyDescent="0.25">
      <c r="A2335" s="10"/>
      <c r="B2335" s="10"/>
      <c r="E2335" s="10"/>
      <c r="G2335" s="10"/>
      <c r="I2335" s="436" t="s">
        <v>4299</v>
      </c>
      <c r="J2335" s="26" t="s">
        <v>4298</v>
      </c>
      <c r="K2335" s="10">
        <v>5</v>
      </c>
      <c r="L2335" s="73">
        <f>IF(Tank1!$C$23="No control",(SUMIF(Tank1!$B$32:$B$49,$J2335,Tank1!$C$32:$C$49)*Impacts!$F$8),0)</f>
        <v>0</v>
      </c>
      <c r="M2335" s="10">
        <f>IF(Tank2!$C$23="No control",(SUMIF(Tank2!$B$32:$B$49,$J2335,Tank2!$C$32:$C$49)*Impacts!$F$9),0)</f>
        <v>0</v>
      </c>
      <c r="N2335" s="10">
        <f>IF(Tank3!$C$23="No control",(SUMIF(Tank3!$B$32:$B$49,$J2335,Tank3!$C$32:$C$49)*Impacts!$F$10),0)</f>
        <v>0</v>
      </c>
      <c r="O2335" s="10">
        <f>IF(Tank4!$C$23="No control",(SUMIF(Tank4!$B$32:$B$49,$J2335,Tank4!$C$32:$C$49)*Impacts!$F$11),0)</f>
        <v>0</v>
      </c>
      <c r="P2335" s="10">
        <f>IF(Tank5!$C$23="No control",(SUMIF(Tank5!$B$32:$B$49,$J2335,Tank5!$C$32:$C$49)*Impacts!$F$12),0)</f>
        <v>0</v>
      </c>
      <c r="Q2335" s="10">
        <f>IFERROR(IF(('Loading-drum,tote'!$C$21)="No control",SUMIF(('Loading-drum,tote'!$B$31:$B$48),$J2335,('Loading-drum,tote'!$D$31:$D$48))*Impacts!$F$13,IF(('Loading-drum,tote'!$C$21)&lt;&gt;"No control",SUMIF(('Loading-drum,tote'!$B$31:$B$48),$J2335,('Loading-drum,tote'!$E$31:$E$48))*Impacts!$F$13,0)),0)</f>
        <v>0</v>
      </c>
      <c r="R2335" s="10">
        <f>IFERROR(IF(('Loading-truck'!$C$21)="No control",SUMIF(('Loading-truck'!$B$31:$B$48),$J2335,('Loading-truck'!$D$31:$D$48))*Impacts!$F$14,IF(('Loading-truck'!$C$21)&lt;&gt;"No control",SUMIF(('Loading-truck'!$B$31:$B$48),$J2335,('Loading-truck'!$E$31:$E$48))*Impacts!$F$14,0)),0)</f>
        <v>0</v>
      </c>
      <c r="S2335" s="10">
        <f>IFERROR(IF(('Loading-rail'!$C$21)="No control",SUMIF(('Loading-rail'!$B$31:$B$48),$J2335,('Loading-rail'!$D$31:$D$48))*Impacts!$F$15,IF(('Loading-rail'!$C$21)&lt;&gt;"No control",SUMIF(('Loading-rail'!$B$31:$B$48),$J2335,('Loading-rail'!$E$31:$E$48))*Impacts!$F$15,0)),0)</f>
        <v>0</v>
      </c>
      <c r="T2335" s="10">
        <f>IF(Flare!$C$7="",0,(SUMIF(Flare!$B$46:$B$185,$J2335,Flare!$E$46:$E$185)*Impacts!$F$16))</f>
        <v>0</v>
      </c>
      <c r="U2335" s="10">
        <f>IF(VCU!$C$9="",0,(SUMIF(VCU!$B$51:$B$193,$J2335,VCU!$E$51:$E$193)*Impacts!$F$17))</f>
        <v>0</v>
      </c>
      <c r="V2335" s="10">
        <f>IF(CAS!$C$7="",0,(SUMIF(CAS!$B$31:$B$167,$J2335,CAS!$E$31:$E$167)*Impacts!$F$18))</f>
        <v>0</v>
      </c>
      <c r="W2335" s="10">
        <f t="shared" si="77"/>
        <v>0</v>
      </c>
      <c r="AK2335" s="10" t="str">
        <f t="array" ref="AK2335">IFERROR(INDEX(SelectedSpecies,SMALL(IF(SelectedSpecies=AK$1,ROW(SelectedSpecies)),ROW(2336:2336)),2),"")</f>
        <v/>
      </c>
      <c r="BE2335" s="10"/>
      <c r="BI2335" s="10"/>
    </row>
    <row r="2336" spans="1:61" ht="21" customHeight="1" x14ac:dyDescent="0.25">
      <c r="A2336" s="10"/>
      <c r="B2336" s="10"/>
      <c r="E2336" s="10"/>
      <c r="G2336" s="10"/>
      <c r="I2336" s="436" t="s">
        <v>8180</v>
      </c>
      <c r="J2336" s="26" t="s">
        <v>8179</v>
      </c>
      <c r="K2336" s="10">
        <v>1.0000000000000002E-2</v>
      </c>
      <c r="L2336" s="73">
        <f>IF(Tank1!$C$23="No control",(SUMIF(Tank1!$B$32:$B$49,$J2336,Tank1!$C$32:$C$49)*Impacts!$F$8),0)</f>
        <v>0</v>
      </c>
      <c r="M2336" s="10">
        <f>IF(Tank2!$C$23="No control",(SUMIF(Tank2!$B$32:$B$49,$J2336,Tank2!$C$32:$C$49)*Impacts!$F$9),0)</f>
        <v>0</v>
      </c>
      <c r="N2336" s="10">
        <f>IF(Tank3!$C$23="No control",(SUMIF(Tank3!$B$32:$B$49,$J2336,Tank3!$C$32:$C$49)*Impacts!$F$10),0)</f>
        <v>0</v>
      </c>
      <c r="O2336" s="10">
        <f>IF(Tank4!$C$23="No control",(SUMIF(Tank4!$B$32:$B$49,$J2336,Tank4!$C$32:$C$49)*Impacts!$F$11),0)</f>
        <v>0</v>
      </c>
      <c r="P2336" s="10">
        <f>IF(Tank5!$C$23="No control",(SUMIF(Tank5!$B$32:$B$49,$J2336,Tank5!$C$32:$C$49)*Impacts!$F$12),0)</f>
        <v>0</v>
      </c>
      <c r="Q2336" s="10">
        <f>IFERROR(IF(('Loading-drum,tote'!$C$21)="No control",SUMIF(('Loading-drum,tote'!$B$31:$B$48),$J2336,('Loading-drum,tote'!$D$31:$D$48))*Impacts!$F$13,IF(('Loading-drum,tote'!$C$21)&lt;&gt;"No control",SUMIF(('Loading-drum,tote'!$B$31:$B$48),$J2336,('Loading-drum,tote'!$E$31:$E$48))*Impacts!$F$13,0)),0)</f>
        <v>0</v>
      </c>
      <c r="R2336" s="10">
        <f>IFERROR(IF(('Loading-truck'!$C$21)="No control",SUMIF(('Loading-truck'!$B$31:$B$48),$J2336,('Loading-truck'!$D$31:$D$48))*Impacts!$F$14,IF(('Loading-truck'!$C$21)&lt;&gt;"No control",SUMIF(('Loading-truck'!$B$31:$B$48),$J2336,('Loading-truck'!$E$31:$E$48))*Impacts!$F$14,0)),0)</f>
        <v>0</v>
      </c>
      <c r="S2336" s="10">
        <f>IFERROR(IF(('Loading-rail'!$C$21)="No control",SUMIF(('Loading-rail'!$B$31:$B$48),$J2336,('Loading-rail'!$D$31:$D$48))*Impacts!$F$15,IF(('Loading-rail'!$C$21)&lt;&gt;"No control",SUMIF(('Loading-rail'!$B$31:$B$48),$J2336,('Loading-rail'!$E$31:$E$48))*Impacts!$F$15,0)),0)</f>
        <v>0</v>
      </c>
      <c r="T2336" s="10">
        <f>IF(Flare!$C$7="",0,(SUMIF(Flare!$B$46:$B$185,$J2336,Flare!$E$46:$E$185)*Impacts!$F$16))</f>
        <v>0</v>
      </c>
      <c r="U2336" s="10">
        <f>IF(VCU!$C$9="",0,(SUMIF(VCU!$B$51:$B$193,$J2336,VCU!$E$51:$E$193)*Impacts!$F$17))</f>
        <v>0</v>
      </c>
      <c r="V2336" s="10">
        <f>IF(CAS!$C$7="",0,(SUMIF(CAS!$B$31:$B$167,$J2336,CAS!$E$31:$E$167)*Impacts!$F$18))</f>
        <v>0</v>
      </c>
      <c r="W2336" s="10">
        <f t="shared" si="77"/>
        <v>0</v>
      </c>
      <c r="AK2336" s="10" t="str">
        <f t="array" ref="AK2336">IFERROR(INDEX(SelectedSpecies,SMALL(IF(SelectedSpecies=AK$1,ROW(SelectedSpecies)),ROW(2337:2337)),2),"")</f>
        <v/>
      </c>
      <c r="BE2336" s="10"/>
      <c r="BI2336" s="10"/>
    </row>
    <row r="2337" spans="1:61" ht="21" customHeight="1" x14ac:dyDescent="0.25">
      <c r="A2337" s="10"/>
      <c r="B2337" s="10"/>
      <c r="E2337" s="10"/>
      <c r="G2337" s="10"/>
      <c r="I2337" s="436" t="s">
        <v>10385</v>
      </c>
      <c r="J2337" s="26" t="s">
        <v>10386</v>
      </c>
      <c r="K2337" s="10">
        <v>1.2000000000000002</v>
      </c>
      <c r="L2337" s="73">
        <f>IF(Tank1!$C$23="No control",(SUMIF(Tank1!$B$32:$B$49,$J2337,Tank1!$C$32:$C$49)*Impacts!$F$8),0)</f>
        <v>0</v>
      </c>
      <c r="M2337" s="10">
        <f>IF(Tank2!$C$23="No control",(SUMIF(Tank2!$B$32:$B$49,$J2337,Tank2!$C$32:$C$49)*Impacts!$F$9),0)</f>
        <v>0</v>
      </c>
      <c r="N2337" s="10">
        <f>IF(Tank3!$C$23="No control",(SUMIF(Tank3!$B$32:$B$49,$J2337,Tank3!$C$32:$C$49)*Impacts!$F$10),0)</f>
        <v>0</v>
      </c>
      <c r="O2337" s="10">
        <f>IF(Tank4!$C$23="No control",(SUMIF(Tank4!$B$32:$B$49,$J2337,Tank4!$C$32:$C$49)*Impacts!$F$11),0)</f>
        <v>0</v>
      </c>
      <c r="P2337" s="10">
        <f>IF(Tank5!$C$23="No control",(SUMIF(Tank5!$B$32:$B$49,$J2337,Tank5!$C$32:$C$49)*Impacts!$F$12),0)</f>
        <v>0</v>
      </c>
      <c r="Q2337" s="10">
        <f>IFERROR(IF(('Loading-drum,tote'!$C$21)="No control",SUMIF(('Loading-drum,tote'!$B$31:$B$48),$J2337,('Loading-drum,tote'!$D$31:$D$48))*Impacts!$F$13,IF(('Loading-drum,tote'!$C$21)&lt;&gt;"No control",SUMIF(('Loading-drum,tote'!$B$31:$B$48),$J2337,('Loading-drum,tote'!$E$31:$E$48))*Impacts!$F$13,0)),0)</f>
        <v>0</v>
      </c>
      <c r="R2337" s="10">
        <f>IFERROR(IF(('Loading-truck'!$C$21)="No control",SUMIF(('Loading-truck'!$B$31:$B$48),$J2337,('Loading-truck'!$D$31:$D$48))*Impacts!$F$14,IF(('Loading-truck'!$C$21)&lt;&gt;"No control",SUMIF(('Loading-truck'!$B$31:$B$48),$J2337,('Loading-truck'!$E$31:$E$48))*Impacts!$F$14,0)),0)</f>
        <v>0</v>
      </c>
      <c r="S2337" s="10">
        <f>IFERROR(IF(('Loading-rail'!$C$21)="No control",SUMIF(('Loading-rail'!$B$31:$B$48),$J2337,('Loading-rail'!$D$31:$D$48))*Impacts!$F$15,IF(('Loading-rail'!$C$21)&lt;&gt;"No control",SUMIF(('Loading-rail'!$B$31:$B$48),$J2337,('Loading-rail'!$E$31:$E$48))*Impacts!$F$15,0)),0)</f>
        <v>0</v>
      </c>
      <c r="T2337" s="10">
        <f>IF(Flare!$C$7="",0,(SUMIF(Flare!$B$46:$B$185,$J2337,Flare!$E$46:$E$185)*Impacts!$F$16))</f>
        <v>0</v>
      </c>
      <c r="U2337" s="10">
        <f>IF(VCU!$C$9="",0,(SUMIF(VCU!$B$51:$B$193,$J2337,VCU!$E$51:$E$193)*Impacts!$F$17))</f>
        <v>0</v>
      </c>
      <c r="V2337" s="10">
        <f>IF(CAS!$C$7="",0,(SUMIF(CAS!$B$31:$B$167,$J2337,CAS!$E$31:$E$167)*Impacts!$F$18))</f>
        <v>0</v>
      </c>
      <c r="W2337" s="10">
        <f t="shared" si="77"/>
        <v>0</v>
      </c>
      <c r="AK2337" s="10" t="str">
        <f t="array" ref="AK2337">IFERROR(INDEX(SelectedSpecies,SMALL(IF(SelectedSpecies=AK$1,ROW(SelectedSpecies)),ROW(2338:2338)),2),"")</f>
        <v/>
      </c>
      <c r="BE2337" s="10"/>
      <c r="BI2337" s="10"/>
    </row>
    <row r="2338" spans="1:61" ht="21" customHeight="1" x14ac:dyDescent="0.25">
      <c r="A2338" s="10"/>
      <c r="B2338" s="10"/>
      <c r="E2338" s="10"/>
      <c r="G2338" s="10"/>
      <c r="I2338" s="436" t="s">
        <v>2947</v>
      </c>
      <c r="J2338" s="26" t="s">
        <v>2946</v>
      </c>
      <c r="K2338" s="10">
        <v>10</v>
      </c>
      <c r="L2338" s="73">
        <f>IF(Tank1!$C$23="No control",(SUMIF(Tank1!$B$32:$B$49,$J2338,Tank1!$C$32:$C$49)*Impacts!$F$8),0)</f>
        <v>0</v>
      </c>
      <c r="M2338" s="10">
        <f>IF(Tank2!$C$23="No control",(SUMIF(Tank2!$B$32:$B$49,$J2338,Tank2!$C$32:$C$49)*Impacts!$F$9),0)</f>
        <v>0</v>
      </c>
      <c r="N2338" s="10">
        <f>IF(Tank3!$C$23="No control",(SUMIF(Tank3!$B$32:$B$49,$J2338,Tank3!$C$32:$C$49)*Impacts!$F$10),0)</f>
        <v>0</v>
      </c>
      <c r="O2338" s="10">
        <f>IF(Tank4!$C$23="No control",(SUMIF(Tank4!$B$32:$B$49,$J2338,Tank4!$C$32:$C$49)*Impacts!$F$11),0)</f>
        <v>0</v>
      </c>
      <c r="P2338" s="10">
        <f>IF(Tank5!$C$23="No control",(SUMIF(Tank5!$B$32:$B$49,$J2338,Tank5!$C$32:$C$49)*Impacts!$F$12),0)</f>
        <v>0</v>
      </c>
      <c r="Q2338" s="10">
        <f>IFERROR(IF(('Loading-drum,tote'!$C$21)="No control",SUMIF(('Loading-drum,tote'!$B$31:$B$48),$J2338,('Loading-drum,tote'!$D$31:$D$48))*Impacts!$F$13,IF(('Loading-drum,tote'!$C$21)&lt;&gt;"No control",SUMIF(('Loading-drum,tote'!$B$31:$B$48),$J2338,('Loading-drum,tote'!$E$31:$E$48))*Impacts!$F$13,0)),0)</f>
        <v>0</v>
      </c>
      <c r="R2338" s="10">
        <f>IFERROR(IF(('Loading-truck'!$C$21)="No control",SUMIF(('Loading-truck'!$B$31:$B$48),$J2338,('Loading-truck'!$D$31:$D$48))*Impacts!$F$14,IF(('Loading-truck'!$C$21)&lt;&gt;"No control",SUMIF(('Loading-truck'!$B$31:$B$48),$J2338,('Loading-truck'!$E$31:$E$48))*Impacts!$F$14,0)),0)</f>
        <v>0</v>
      </c>
      <c r="S2338" s="10">
        <f>IFERROR(IF(('Loading-rail'!$C$21)="No control",SUMIF(('Loading-rail'!$B$31:$B$48),$J2338,('Loading-rail'!$D$31:$D$48))*Impacts!$F$15,IF(('Loading-rail'!$C$21)&lt;&gt;"No control",SUMIF(('Loading-rail'!$B$31:$B$48),$J2338,('Loading-rail'!$E$31:$E$48))*Impacts!$F$15,0)),0)</f>
        <v>0</v>
      </c>
      <c r="T2338" s="10">
        <f>IF(Flare!$C$7="",0,(SUMIF(Flare!$B$46:$B$185,$J2338,Flare!$E$46:$E$185)*Impacts!$F$16))</f>
        <v>0</v>
      </c>
      <c r="U2338" s="10">
        <f>IF(VCU!$C$9="",0,(SUMIF(VCU!$B$51:$B$193,$J2338,VCU!$E$51:$E$193)*Impacts!$F$17))</f>
        <v>0</v>
      </c>
      <c r="V2338" s="10">
        <f>IF(CAS!$C$7="",0,(SUMIF(CAS!$B$31:$B$167,$J2338,CAS!$E$31:$E$167)*Impacts!$F$18))</f>
        <v>0</v>
      </c>
      <c r="W2338" s="10">
        <f t="shared" si="77"/>
        <v>0</v>
      </c>
      <c r="AK2338" s="10" t="str">
        <f t="array" ref="AK2338">IFERROR(INDEX(SelectedSpecies,SMALL(IF(SelectedSpecies=AK$1,ROW(SelectedSpecies)),ROW(2339:2339)),2),"")</f>
        <v/>
      </c>
      <c r="BE2338" s="10"/>
      <c r="BI2338" s="10"/>
    </row>
    <row r="2339" spans="1:61" ht="21" customHeight="1" x14ac:dyDescent="0.25">
      <c r="A2339" s="10"/>
      <c r="B2339" s="10"/>
      <c r="E2339" s="10"/>
      <c r="G2339" s="10"/>
      <c r="I2339" s="436" t="s">
        <v>2949</v>
      </c>
      <c r="J2339" s="26" t="s">
        <v>2948</v>
      </c>
      <c r="K2339" s="10">
        <v>10</v>
      </c>
      <c r="L2339" s="73">
        <f>IF(Tank1!$C$23="No control",(SUMIF(Tank1!$B$32:$B$49,$J2339,Tank1!$C$32:$C$49)*Impacts!$F$8),0)</f>
        <v>0</v>
      </c>
      <c r="M2339" s="10">
        <f>IF(Tank2!$C$23="No control",(SUMIF(Tank2!$B$32:$B$49,$J2339,Tank2!$C$32:$C$49)*Impacts!$F$9),0)</f>
        <v>0</v>
      </c>
      <c r="N2339" s="10">
        <f>IF(Tank3!$C$23="No control",(SUMIF(Tank3!$B$32:$B$49,$J2339,Tank3!$C$32:$C$49)*Impacts!$F$10),0)</f>
        <v>0</v>
      </c>
      <c r="O2339" s="10">
        <f>IF(Tank4!$C$23="No control",(SUMIF(Tank4!$B$32:$B$49,$J2339,Tank4!$C$32:$C$49)*Impacts!$F$11),0)</f>
        <v>0</v>
      </c>
      <c r="P2339" s="10">
        <f>IF(Tank5!$C$23="No control",(SUMIF(Tank5!$B$32:$B$49,$J2339,Tank5!$C$32:$C$49)*Impacts!$F$12),0)</f>
        <v>0</v>
      </c>
      <c r="Q2339" s="10">
        <f>IFERROR(IF(('Loading-drum,tote'!$C$21)="No control",SUMIF(('Loading-drum,tote'!$B$31:$B$48),$J2339,('Loading-drum,tote'!$D$31:$D$48))*Impacts!$F$13,IF(('Loading-drum,tote'!$C$21)&lt;&gt;"No control",SUMIF(('Loading-drum,tote'!$B$31:$B$48),$J2339,('Loading-drum,tote'!$E$31:$E$48))*Impacts!$F$13,0)),0)</f>
        <v>0</v>
      </c>
      <c r="R2339" s="10">
        <f>IFERROR(IF(('Loading-truck'!$C$21)="No control",SUMIF(('Loading-truck'!$B$31:$B$48),$J2339,('Loading-truck'!$D$31:$D$48))*Impacts!$F$14,IF(('Loading-truck'!$C$21)&lt;&gt;"No control",SUMIF(('Loading-truck'!$B$31:$B$48),$J2339,('Loading-truck'!$E$31:$E$48))*Impacts!$F$14,0)),0)</f>
        <v>0</v>
      </c>
      <c r="S2339" s="10">
        <f>IFERROR(IF(('Loading-rail'!$C$21)="No control",SUMIF(('Loading-rail'!$B$31:$B$48),$J2339,('Loading-rail'!$D$31:$D$48))*Impacts!$F$15,IF(('Loading-rail'!$C$21)&lt;&gt;"No control",SUMIF(('Loading-rail'!$B$31:$B$48),$J2339,('Loading-rail'!$E$31:$E$48))*Impacts!$F$15,0)),0)</f>
        <v>0</v>
      </c>
      <c r="T2339" s="10">
        <f>IF(Flare!$C$7="",0,(SUMIF(Flare!$B$46:$B$185,$J2339,Flare!$E$46:$E$185)*Impacts!$F$16))</f>
        <v>0</v>
      </c>
      <c r="U2339" s="10">
        <f>IF(VCU!$C$9="",0,(SUMIF(VCU!$B$51:$B$193,$J2339,VCU!$E$51:$E$193)*Impacts!$F$17))</f>
        <v>0</v>
      </c>
      <c r="V2339" s="10">
        <f>IF(CAS!$C$7="",0,(SUMIF(CAS!$B$31:$B$167,$J2339,CAS!$E$31:$E$167)*Impacts!$F$18))</f>
        <v>0</v>
      </c>
      <c r="W2339" s="10">
        <f t="shared" si="77"/>
        <v>0</v>
      </c>
      <c r="AK2339" s="10" t="str">
        <f t="array" ref="AK2339">IFERROR(INDEX(SelectedSpecies,SMALL(IF(SelectedSpecies=AK$1,ROW(SelectedSpecies)),ROW(2340:2340)),2),"")</f>
        <v/>
      </c>
      <c r="BE2339" s="10"/>
      <c r="BI2339" s="10"/>
    </row>
    <row r="2340" spans="1:61" ht="21" customHeight="1" x14ac:dyDescent="0.25">
      <c r="A2340" s="10"/>
      <c r="B2340" s="10"/>
      <c r="E2340" s="10"/>
      <c r="G2340" s="10"/>
      <c r="I2340" s="436" t="s">
        <v>6398</v>
      </c>
      <c r="J2340" s="26" t="s">
        <v>6397</v>
      </c>
      <c r="K2340" s="10">
        <v>0.81</v>
      </c>
      <c r="L2340" s="73">
        <f>IF(Tank1!$C$23="No control",(SUMIF(Tank1!$B$32:$B$49,$J2340,Tank1!$C$32:$C$49)*Impacts!$F$8),0)</f>
        <v>0</v>
      </c>
      <c r="M2340" s="10">
        <f>IF(Tank2!$C$23="No control",(SUMIF(Tank2!$B$32:$B$49,$J2340,Tank2!$C$32:$C$49)*Impacts!$F$9),0)</f>
        <v>0</v>
      </c>
      <c r="N2340" s="10">
        <f>IF(Tank3!$C$23="No control",(SUMIF(Tank3!$B$32:$B$49,$J2340,Tank3!$C$32:$C$49)*Impacts!$F$10),0)</f>
        <v>0</v>
      </c>
      <c r="O2340" s="10">
        <f>IF(Tank4!$C$23="No control",(SUMIF(Tank4!$B$32:$B$49,$J2340,Tank4!$C$32:$C$49)*Impacts!$F$11),0)</f>
        <v>0</v>
      </c>
      <c r="P2340" s="10">
        <f>IF(Tank5!$C$23="No control",(SUMIF(Tank5!$B$32:$B$49,$J2340,Tank5!$C$32:$C$49)*Impacts!$F$12),0)</f>
        <v>0</v>
      </c>
      <c r="Q2340" s="10">
        <f>IFERROR(IF(('Loading-drum,tote'!$C$21)="No control",SUMIF(('Loading-drum,tote'!$B$31:$B$48),$J2340,('Loading-drum,tote'!$D$31:$D$48))*Impacts!$F$13,IF(('Loading-drum,tote'!$C$21)&lt;&gt;"No control",SUMIF(('Loading-drum,tote'!$B$31:$B$48),$J2340,('Loading-drum,tote'!$E$31:$E$48))*Impacts!$F$13,0)),0)</f>
        <v>0</v>
      </c>
      <c r="R2340" s="10">
        <f>IFERROR(IF(('Loading-truck'!$C$21)="No control",SUMIF(('Loading-truck'!$B$31:$B$48),$J2340,('Loading-truck'!$D$31:$D$48))*Impacts!$F$14,IF(('Loading-truck'!$C$21)&lt;&gt;"No control",SUMIF(('Loading-truck'!$B$31:$B$48),$J2340,('Loading-truck'!$E$31:$E$48))*Impacts!$F$14,0)),0)</f>
        <v>0</v>
      </c>
      <c r="S2340" s="10">
        <f>IFERROR(IF(('Loading-rail'!$C$21)="No control",SUMIF(('Loading-rail'!$B$31:$B$48),$J2340,('Loading-rail'!$D$31:$D$48))*Impacts!$F$15,IF(('Loading-rail'!$C$21)&lt;&gt;"No control",SUMIF(('Loading-rail'!$B$31:$B$48),$J2340,('Loading-rail'!$E$31:$E$48))*Impacts!$F$15,0)),0)</f>
        <v>0</v>
      </c>
      <c r="T2340" s="10">
        <f>IF(Flare!$C$7="",0,(SUMIF(Flare!$B$46:$B$185,$J2340,Flare!$E$46:$E$185)*Impacts!$F$16))</f>
        <v>0</v>
      </c>
      <c r="U2340" s="10">
        <f>IF(VCU!$C$9="",0,(SUMIF(VCU!$B$51:$B$193,$J2340,VCU!$E$51:$E$193)*Impacts!$F$17))</f>
        <v>0</v>
      </c>
      <c r="V2340" s="10">
        <f>IF(CAS!$C$7="",0,(SUMIF(CAS!$B$31:$B$167,$J2340,CAS!$E$31:$E$167)*Impacts!$F$18))</f>
        <v>0</v>
      </c>
      <c r="W2340" s="10">
        <f t="shared" si="77"/>
        <v>0</v>
      </c>
      <c r="AK2340" s="10" t="str">
        <f t="array" ref="AK2340">IFERROR(INDEX(SelectedSpecies,SMALL(IF(SelectedSpecies=AK$1,ROW(SelectedSpecies)),ROW(2341:2341)),2),"")</f>
        <v/>
      </c>
      <c r="BE2340" s="10"/>
      <c r="BI2340" s="10"/>
    </row>
    <row r="2341" spans="1:61" ht="21" customHeight="1" x14ac:dyDescent="0.25">
      <c r="A2341" s="10"/>
      <c r="B2341" s="10"/>
      <c r="E2341" s="10"/>
      <c r="G2341" s="10"/>
      <c r="I2341" s="436" t="s">
        <v>6398</v>
      </c>
      <c r="J2341" s="26" t="s">
        <v>10387</v>
      </c>
      <c r="K2341" s="10">
        <v>5.6999999999999995E-2</v>
      </c>
      <c r="L2341" s="73">
        <f>IF(Tank1!$C$23="No control",(SUMIF(Tank1!$B$32:$B$49,$J2341,Tank1!$C$32:$C$49)*Impacts!$F$8),0)</f>
        <v>0</v>
      </c>
      <c r="M2341" s="10">
        <f>IF(Tank2!$C$23="No control",(SUMIF(Tank2!$B$32:$B$49,$J2341,Tank2!$C$32:$C$49)*Impacts!$F$9),0)</f>
        <v>0</v>
      </c>
      <c r="N2341" s="10">
        <f>IF(Tank3!$C$23="No control",(SUMIF(Tank3!$B$32:$B$49,$J2341,Tank3!$C$32:$C$49)*Impacts!$F$10),0)</f>
        <v>0</v>
      </c>
      <c r="O2341" s="10">
        <f>IF(Tank4!$C$23="No control",(SUMIF(Tank4!$B$32:$B$49,$J2341,Tank4!$C$32:$C$49)*Impacts!$F$11),0)</f>
        <v>0</v>
      </c>
      <c r="P2341" s="10">
        <f>IF(Tank5!$C$23="No control",(SUMIF(Tank5!$B$32:$B$49,$J2341,Tank5!$C$32:$C$49)*Impacts!$F$12),0)</f>
        <v>0</v>
      </c>
      <c r="Q2341" s="10">
        <f>IFERROR(IF(('Loading-drum,tote'!$C$21)="No control",SUMIF(('Loading-drum,tote'!$B$31:$B$48),$J2341,('Loading-drum,tote'!$D$31:$D$48))*Impacts!$F$13,IF(('Loading-drum,tote'!$C$21)&lt;&gt;"No control",SUMIF(('Loading-drum,tote'!$B$31:$B$48),$J2341,('Loading-drum,tote'!$E$31:$E$48))*Impacts!$F$13,0)),0)</f>
        <v>0</v>
      </c>
      <c r="R2341" s="10">
        <f>IFERROR(IF(('Loading-truck'!$C$21)="No control",SUMIF(('Loading-truck'!$B$31:$B$48),$J2341,('Loading-truck'!$D$31:$D$48))*Impacts!$F$14,IF(('Loading-truck'!$C$21)&lt;&gt;"No control",SUMIF(('Loading-truck'!$B$31:$B$48),$J2341,('Loading-truck'!$E$31:$E$48))*Impacts!$F$14,0)),0)</f>
        <v>0</v>
      </c>
      <c r="S2341" s="10">
        <f>IFERROR(IF(('Loading-rail'!$C$21)="No control",SUMIF(('Loading-rail'!$B$31:$B$48),$J2341,('Loading-rail'!$D$31:$D$48))*Impacts!$F$15,IF(('Loading-rail'!$C$21)&lt;&gt;"No control",SUMIF(('Loading-rail'!$B$31:$B$48),$J2341,('Loading-rail'!$E$31:$E$48))*Impacts!$F$15,0)),0)</f>
        <v>0</v>
      </c>
      <c r="T2341" s="10">
        <f>IF(Flare!$C$7="",0,(SUMIF(Flare!$B$46:$B$185,$J2341,Flare!$E$46:$E$185)*Impacts!$F$16))</f>
        <v>0</v>
      </c>
      <c r="U2341" s="10">
        <f>IF(VCU!$C$9="",0,(SUMIF(VCU!$B$51:$B$193,$J2341,VCU!$E$51:$E$193)*Impacts!$F$17))</f>
        <v>0</v>
      </c>
      <c r="V2341" s="10">
        <f>IF(CAS!$C$7="",0,(SUMIF(CAS!$B$31:$B$167,$J2341,CAS!$E$31:$E$167)*Impacts!$F$18))</f>
        <v>0</v>
      </c>
      <c r="W2341" s="10">
        <f t="shared" si="77"/>
        <v>0</v>
      </c>
      <c r="AK2341" s="10" t="str">
        <f t="array" ref="AK2341">IFERROR(INDEX(SelectedSpecies,SMALL(IF(SelectedSpecies=AK$1,ROW(SelectedSpecies)),ROW(2342:2342)),2),"")</f>
        <v/>
      </c>
      <c r="BE2341" s="10"/>
      <c r="BI2341" s="10"/>
    </row>
    <row r="2342" spans="1:61" ht="21" customHeight="1" x14ac:dyDescent="0.25">
      <c r="A2342" s="10"/>
      <c r="B2342" s="10"/>
      <c r="E2342" s="10"/>
      <c r="G2342" s="10"/>
      <c r="I2342" s="436" t="s">
        <v>6398</v>
      </c>
      <c r="J2342" s="26" t="s">
        <v>10388</v>
      </c>
      <c r="K2342" s="10">
        <v>7.0999999999999994E-2</v>
      </c>
      <c r="L2342" s="73">
        <f>IF(Tank1!$C$23="No control",(SUMIF(Tank1!$B$32:$B$49,$J2342,Tank1!$C$32:$C$49)*Impacts!$F$8),0)</f>
        <v>0</v>
      </c>
      <c r="M2342" s="10">
        <f>IF(Tank2!$C$23="No control",(SUMIF(Tank2!$B$32:$B$49,$J2342,Tank2!$C$32:$C$49)*Impacts!$F$9),0)</f>
        <v>0</v>
      </c>
      <c r="N2342" s="10">
        <f>IF(Tank3!$C$23="No control",(SUMIF(Tank3!$B$32:$B$49,$J2342,Tank3!$C$32:$C$49)*Impacts!$F$10),0)</f>
        <v>0</v>
      </c>
      <c r="O2342" s="10">
        <f>IF(Tank4!$C$23="No control",(SUMIF(Tank4!$B$32:$B$49,$J2342,Tank4!$C$32:$C$49)*Impacts!$F$11),0)</f>
        <v>0</v>
      </c>
      <c r="P2342" s="10">
        <f>IF(Tank5!$C$23="No control",(SUMIF(Tank5!$B$32:$B$49,$J2342,Tank5!$C$32:$C$49)*Impacts!$F$12),0)</f>
        <v>0</v>
      </c>
      <c r="Q2342" s="10">
        <f>IFERROR(IF(('Loading-drum,tote'!$C$21)="No control",SUMIF(('Loading-drum,tote'!$B$31:$B$48),$J2342,('Loading-drum,tote'!$D$31:$D$48))*Impacts!$F$13,IF(('Loading-drum,tote'!$C$21)&lt;&gt;"No control",SUMIF(('Loading-drum,tote'!$B$31:$B$48),$J2342,('Loading-drum,tote'!$E$31:$E$48))*Impacts!$F$13,0)),0)</f>
        <v>0</v>
      </c>
      <c r="R2342" s="10">
        <f>IFERROR(IF(('Loading-truck'!$C$21)="No control",SUMIF(('Loading-truck'!$B$31:$B$48),$J2342,('Loading-truck'!$D$31:$D$48))*Impacts!$F$14,IF(('Loading-truck'!$C$21)&lt;&gt;"No control",SUMIF(('Loading-truck'!$B$31:$B$48),$J2342,('Loading-truck'!$E$31:$E$48))*Impacts!$F$14,0)),0)</f>
        <v>0</v>
      </c>
      <c r="S2342" s="10">
        <f>IFERROR(IF(('Loading-rail'!$C$21)="No control",SUMIF(('Loading-rail'!$B$31:$B$48),$J2342,('Loading-rail'!$D$31:$D$48))*Impacts!$F$15,IF(('Loading-rail'!$C$21)&lt;&gt;"No control",SUMIF(('Loading-rail'!$B$31:$B$48),$J2342,('Loading-rail'!$E$31:$E$48))*Impacts!$F$15,0)),0)</f>
        <v>0</v>
      </c>
      <c r="T2342" s="10">
        <f>IF(Flare!$C$7="",0,(SUMIF(Flare!$B$46:$B$185,$J2342,Flare!$E$46:$E$185)*Impacts!$F$16))</f>
        <v>0</v>
      </c>
      <c r="U2342" s="10">
        <f>IF(VCU!$C$9="",0,(SUMIF(VCU!$B$51:$B$193,$J2342,VCU!$E$51:$E$193)*Impacts!$F$17))</f>
        <v>0</v>
      </c>
      <c r="V2342" s="10">
        <f>IF(CAS!$C$7="",0,(SUMIF(CAS!$B$31:$B$167,$J2342,CAS!$E$31:$E$167)*Impacts!$F$18))</f>
        <v>0</v>
      </c>
      <c r="W2342" s="10">
        <f t="shared" si="77"/>
        <v>0</v>
      </c>
      <c r="AK2342" s="10" t="str">
        <f t="array" ref="AK2342">IFERROR(INDEX(SelectedSpecies,SMALL(IF(SelectedSpecies=AK$1,ROW(SelectedSpecies)),ROW(2343:2343)),2),"")</f>
        <v/>
      </c>
      <c r="BE2342" s="10"/>
      <c r="BI2342" s="10"/>
    </row>
    <row r="2343" spans="1:61" ht="21" customHeight="1" x14ac:dyDescent="0.25">
      <c r="A2343" s="10"/>
      <c r="B2343" s="10"/>
      <c r="E2343" s="10"/>
      <c r="G2343" s="10"/>
      <c r="I2343" s="436" t="s">
        <v>8288</v>
      </c>
      <c r="J2343" s="26" t="s">
        <v>8287</v>
      </c>
      <c r="K2343" s="10">
        <v>2.5000000000000005E-3</v>
      </c>
      <c r="L2343" s="73">
        <f>IF(Tank1!$C$23="No control",(SUMIF(Tank1!$B$32:$B$49,$J2343,Tank1!$C$32:$C$49)*Impacts!$F$8),0)</f>
        <v>0</v>
      </c>
      <c r="M2343" s="10">
        <f>IF(Tank2!$C$23="No control",(SUMIF(Tank2!$B$32:$B$49,$J2343,Tank2!$C$32:$C$49)*Impacts!$F$9),0)</f>
        <v>0</v>
      </c>
      <c r="N2343" s="10">
        <f>IF(Tank3!$C$23="No control",(SUMIF(Tank3!$B$32:$B$49,$J2343,Tank3!$C$32:$C$49)*Impacts!$F$10),0)</f>
        <v>0</v>
      </c>
      <c r="O2343" s="10">
        <f>IF(Tank4!$C$23="No control",(SUMIF(Tank4!$B$32:$B$49,$J2343,Tank4!$C$32:$C$49)*Impacts!$F$11),0)</f>
        <v>0</v>
      </c>
      <c r="P2343" s="10">
        <f>IF(Tank5!$C$23="No control",(SUMIF(Tank5!$B$32:$B$49,$J2343,Tank5!$C$32:$C$49)*Impacts!$F$12),0)</f>
        <v>0</v>
      </c>
      <c r="Q2343" s="10">
        <f>IFERROR(IF(('Loading-drum,tote'!$C$21)="No control",SUMIF(('Loading-drum,tote'!$B$31:$B$48),$J2343,('Loading-drum,tote'!$D$31:$D$48))*Impacts!$F$13,IF(('Loading-drum,tote'!$C$21)&lt;&gt;"No control",SUMIF(('Loading-drum,tote'!$B$31:$B$48),$J2343,('Loading-drum,tote'!$E$31:$E$48))*Impacts!$F$13,0)),0)</f>
        <v>0</v>
      </c>
      <c r="R2343" s="10">
        <f>IFERROR(IF(('Loading-truck'!$C$21)="No control",SUMIF(('Loading-truck'!$B$31:$B$48),$J2343,('Loading-truck'!$D$31:$D$48))*Impacts!$F$14,IF(('Loading-truck'!$C$21)&lt;&gt;"No control",SUMIF(('Loading-truck'!$B$31:$B$48),$J2343,('Loading-truck'!$E$31:$E$48))*Impacts!$F$14,0)),0)</f>
        <v>0</v>
      </c>
      <c r="S2343" s="10">
        <f>IFERROR(IF(('Loading-rail'!$C$21)="No control",SUMIF(('Loading-rail'!$B$31:$B$48),$J2343,('Loading-rail'!$D$31:$D$48))*Impacts!$F$15,IF(('Loading-rail'!$C$21)&lt;&gt;"No control",SUMIF(('Loading-rail'!$B$31:$B$48),$J2343,('Loading-rail'!$E$31:$E$48))*Impacts!$F$15,0)),0)</f>
        <v>0</v>
      </c>
      <c r="T2343" s="10">
        <f>IF(Flare!$C$7="",0,(SUMIF(Flare!$B$46:$B$185,$J2343,Flare!$E$46:$E$185)*Impacts!$F$16))</f>
        <v>0</v>
      </c>
      <c r="U2343" s="10">
        <f>IF(VCU!$C$9="",0,(SUMIF(VCU!$B$51:$B$193,$J2343,VCU!$E$51:$E$193)*Impacts!$F$17))</f>
        <v>0</v>
      </c>
      <c r="V2343" s="10">
        <f>IF(CAS!$C$7="",0,(SUMIF(CAS!$B$31:$B$167,$J2343,CAS!$E$31:$E$167)*Impacts!$F$18))</f>
        <v>0</v>
      </c>
      <c r="W2343" s="10">
        <f t="shared" si="77"/>
        <v>0</v>
      </c>
      <c r="AK2343" s="10" t="str">
        <f t="array" ref="AK2343">IFERROR(INDEX(SelectedSpecies,SMALL(IF(SelectedSpecies=AK$1,ROW(SelectedSpecies)),ROW(2344:2344)),2),"")</f>
        <v/>
      </c>
      <c r="BE2343" s="10"/>
      <c r="BI2343" s="10"/>
    </row>
    <row r="2344" spans="1:61" ht="21" customHeight="1" x14ac:dyDescent="0.25">
      <c r="A2344" s="10"/>
      <c r="B2344" s="10"/>
      <c r="E2344" s="10"/>
      <c r="G2344" s="10"/>
      <c r="I2344" s="436" t="s">
        <v>7104</v>
      </c>
      <c r="J2344" s="26" t="s">
        <v>7103</v>
      </c>
      <c r="K2344" s="10">
        <v>0.4</v>
      </c>
      <c r="L2344" s="73">
        <f>IF(Tank1!$C$23="No control",(SUMIF(Tank1!$B$32:$B$49,$J2344,Tank1!$C$32:$C$49)*Impacts!$F$8),0)</f>
        <v>0</v>
      </c>
      <c r="M2344" s="10">
        <f>IF(Tank2!$C$23="No control",(SUMIF(Tank2!$B$32:$B$49,$J2344,Tank2!$C$32:$C$49)*Impacts!$F$9),0)</f>
        <v>0</v>
      </c>
      <c r="N2344" s="10">
        <f>IF(Tank3!$C$23="No control",(SUMIF(Tank3!$B$32:$B$49,$J2344,Tank3!$C$32:$C$49)*Impacts!$F$10),0)</f>
        <v>0</v>
      </c>
      <c r="O2344" s="10">
        <f>IF(Tank4!$C$23="No control",(SUMIF(Tank4!$B$32:$B$49,$J2344,Tank4!$C$32:$C$49)*Impacts!$F$11),0)</f>
        <v>0</v>
      </c>
      <c r="P2344" s="10">
        <f>IF(Tank5!$C$23="No control",(SUMIF(Tank5!$B$32:$B$49,$J2344,Tank5!$C$32:$C$49)*Impacts!$F$12),0)</f>
        <v>0</v>
      </c>
      <c r="Q2344" s="10">
        <f>IFERROR(IF(('Loading-drum,tote'!$C$21)="No control",SUMIF(('Loading-drum,tote'!$B$31:$B$48),$J2344,('Loading-drum,tote'!$D$31:$D$48))*Impacts!$F$13,IF(('Loading-drum,tote'!$C$21)&lt;&gt;"No control",SUMIF(('Loading-drum,tote'!$B$31:$B$48),$J2344,('Loading-drum,tote'!$E$31:$E$48))*Impacts!$F$13,0)),0)</f>
        <v>0</v>
      </c>
      <c r="R2344" s="10">
        <f>IFERROR(IF(('Loading-truck'!$C$21)="No control",SUMIF(('Loading-truck'!$B$31:$B$48),$J2344,('Loading-truck'!$D$31:$D$48))*Impacts!$F$14,IF(('Loading-truck'!$C$21)&lt;&gt;"No control",SUMIF(('Loading-truck'!$B$31:$B$48),$J2344,('Loading-truck'!$E$31:$E$48))*Impacts!$F$14,0)),0)</f>
        <v>0</v>
      </c>
      <c r="S2344" s="10">
        <f>IFERROR(IF(('Loading-rail'!$C$21)="No control",SUMIF(('Loading-rail'!$B$31:$B$48),$J2344,('Loading-rail'!$D$31:$D$48))*Impacts!$F$15,IF(('Loading-rail'!$C$21)&lt;&gt;"No control",SUMIF(('Loading-rail'!$B$31:$B$48),$J2344,('Loading-rail'!$E$31:$E$48))*Impacts!$F$15,0)),0)</f>
        <v>0</v>
      </c>
      <c r="T2344" s="10">
        <f>IF(Flare!$C$7="",0,(SUMIF(Flare!$B$46:$B$185,$J2344,Flare!$E$46:$E$185)*Impacts!$F$16))</f>
        <v>0</v>
      </c>
      <c r="U2344" s="10">
        <f>IF(VCU!$C$9="",0,(SUMIF(VCU!$B$51:$B$193,$J2344,VCU!$E$51:$E$193)*Impacts!$F$17))</f>
        <v>0</v>
      </c>
      <c r="V2344" s="10">
        <f>IF(CAS!$C$7="",0,(SUMIF(CAS!$B$31:$B$167,$J2344,CAS!$E$31:$E$167)*Impacts!$F$18))</f>
        <v>0</v>
      </c>
      <c r="W2344" s="10">
        <f t="shared" si="77"/>
        <v>0</v>
      </c>
      <c r="AK2344" s="10" t="str">
        <f t="array" ref="AK2344">IFERROR(INDEX(SelectedSpecies,SMALL(IF(SelectedSpecies=AK$1,ROW(SelectedSpecies)),ROW(2345:2345)),2),"")</f>
        <v/>
      </c>
      <c r="BE2344" s="10"/>
      <c r="BI2344" s="10"/>
    </row>
    <row r="2345" spans="1:61" ht="21" customHeight="1" x14ac:dyDescent="0.25">
      <c r="A2345" s="10"/>
      <c r="B2345" s="10"/>
      <c r="E2345" s="10"/>
      <c r="G2345" s="10"/>
      <c r="I2345" s="436" t="s">
        <v>5175</v>
      </c>
      <c r="J2345" s="26" t="s">
        <v>5174</v>
      </c>
      <c r="K2345" s="10">
        <v>2</v>
      </c>
      <c r="L2345" s="73">
        <f>IF(Tank1!$C$23="No control",(SUMIF(Tank1!$B$32:$B$49,$J2345,Tank1!$C$32:$C$49)*Impacts!$F$8),0)</f>
        <v>0</v>
      </c>
      <c r="M2345" s="10">
        <f>IF(Tank2!$C$23="No control",(SUMIF(Tank2!$B$32:$B$49,$J2345,Tank2!$C$32:$C$49)*Impacts!$F$9),0)</f>
        <v>0</v>
      </c>
      <c r="N2345" s="10">
        <f>IF(Tank3!$C$23="No control",(SUMIF(Tank3!$B$32:$B$49,$J2345,Tank3!$C$32:$C$49)*Impacts!$F$10),0)</f>
        <v>0</v>
      </c>
      <c r="O2345" s="10">
        <f>IF(Tank4!$C$23="No control",(SUMIF(Tank4!$B$32:$B$49,$J2345,Tank4!$C$32:$C$49)*Impacts!$F$11),0)</f>
        <v>0</v>
      </c>
      <c r="P2345" s="10">
        <f>IF(Tank5!$C$23="No control",(SUMIF(Tank5!$B$32:$B$49,$J2345,Tank5!$C$32:$C$49)*Impacts!$F$12),0)</f>
        <v>0</v>
      </c>
      <c r="Q2345" s="10">
        <f>IFERROR(IF(('Loading-drum,tote'!$C$21)="No control",SUMIF(('Loading-drum,tote'!$B$31:$B$48),$J2345,('Loading-drum,tote'!$D$31:$D$48))*Impacts!$F$13,IF(('Loading-drum,tote'!$C$21)&lt;&gt;"No control",SUMIF(('Loading-drum,tote'!$B$31:$B$48),$J2345,('Loading-drum,tote'!$E$31:$E$48))*Impacts!$F$13,0)),0)</f>
        <v>0</v>
      </c>
      <c r="R2345" s="10">
        <f>IFERROR(IF(('Loading-truck'!$C$21)="No control",SUMIF(('Loading-truck'!$B$31:$B$48),$J2345,('Loading-truck'!$D$31:$D$48))*Impacts!$F$14,IF(('Loading-truck'!$C$21)&lt;&gt;"No control",SUMIF(('Loading-truck'!$B$31:$B$48),$J2345,('Loading-truck'!$E$31:$E$48))*Impacts!$F$14,0)),0)</f>
        <v>0</v>
      </c>
      <c r="S2345" s="10">
        <f>IFERROR(IF(('Loading-rail'!$C$21)="No control",SUMIF(('Loading-rail'!$B$31:$B$48),$J2345,('Loading-rail'!$D$31:$D$48))*Impacts!$F$15,IF(('Loading-rail'!$C$21)&lt;&gt;"No control",SUMIF(('Loading-rail'!$B$31:$B$48),$J2345,('Loading-rail'!$E$31:$E$48))*Impacts!$F$15,0)),0)</f>
        <v>0</v>
      </c>
      <c r="T2345" s="10">
        <f>IF(Flare!$C$7="",0,(SUMIF(Flare!$B$46:$B$185,$J2345,Flare!$E$46:$E$185)*Impacts!$F$16))</f>
        <v>0</v>
      </c>
      <c r="U2345" s="10">
        <f>IF(VCU!$C$9="",0,(SUMIF(VCU!$B$51:$B$193,$J2345,VCU!$E$51:$E$193)*Impacts!$F$17))</f>
        <v>0</v>
      </c>
      <c r="V2345" s="10">
        <f>IF(CAS!$C$7="",0,(SUMIF(CAS!$B$31:$B$167,$J2345,CAS!$E$31:$E$167)*Impacts!$F$18))</f>
        <v>0</v>
      </c>
      <c r="W2345" s="10">
        <f t="shared" si="77"/>
        <v>0</v>
      </c>
      <c r="AK2345" s="10" t="str">
        <f t="array" ref="AK2345">IFERROR(INDEX(SelectedSpecies,SMALL(IF(SelectedSpecies=AK$1,ROW(SelectedSpecies)),ROW(2346:2346)),2),"")</f>
        <v/>
      </c>
      <c r="BE2345" s="10"/>
      <c r="BI2345" s="10"/>
    </row>
    <row r="2346" spans="1:61" ht="21" customHeight="1" x14ac:dyDescent="0.25">
      <c r="A2346" s="10"/>
      <c r="B2346" s="10"/>
      <c r="E2346" s="10"/>
      <c r="G2346" s="10"/>
      <c r="I2346" s="436" t="s">
        <v>5177</v>
      </c>
      <c r="J2346" s="26" t="s">
        <v>5176</v>
      </c>
      <c r="K2346" s="10">
        <v>2</v>
      </c>
      <c r="L2346" s="73">
        <f>IF(Tank1!$C$23="No control",(SUMIF(Tank1!$B$32:$B$49,$J2346,Tank1!$C$32:$C$49)*Impacts!$F$8),0)</f>
        <v>0</v>
      </c>
      <c r="M2346" s="10">
        <f>IF(Tank2!$C$23="No control",(SUMIF(Tank2!$B$32:$B$49,$J2346,Tank2!$C$32:$C$49)*Impacts!$F$9),0)</f>
        <v>0</v>
      </c>
      <c r="N2346" s="10">
        <f>IF(Tank3!$C$23="No control",(SUMIF(Tank3!$B$32:$B$49,$J2346,Tank3!$C$32:$C$49)*Impacts!$F$10),0)</f>
        <v>0</v>
      </c>
      <c r="O2346" s="10">
        <f>IF(Tank4!$C$23="No control",(SUMIF(Tank4!$B$32:$B$49,$J2346,Tank4!$C$32:$C$49)*Impacts!$F$11),0)</f>
        <v>0</v>
      </c>
      <c r="P2346" s="10">
        <f>IF(Tank5!$C$23="No control",(SUMIF(Tank5!$B$32:$B$49,$J2346,Tank5!$C$32:$C$49)*Impacts!$F$12),0)</f>
        <v>0</v>
      </c>
      <c r="Q2346" s="10">
        <f>IFERROR(IF(('Loading-drum,tote'!$C$21)="No control",SUMIF(('Loading-drum,tote'!$B$31:$B$48),$J2346,('Loading-drum,tote'!$D$31:$D$48))*Impacts!$F$13,IF(('Loading-drum,tote'!$C$21)&lt;&gt;"No control",SUMIF(('Loading-drum,tote'!$B$31:$B$48),$J2346,('Loading-drum,tote'!$E$31:$E$48))*Impacts!$F$13,0)),0)</f>
        <v>0</v>
      </c>
      <c r="R2346" s="10">
        <f>IFERROR(IF(('Loading-truck'!$C$21)="No control",SUMIF(('Loading-truck'!$B$31:$B$48),$J2346,('Loading-truck'!$D$31:$D$48))*Impacts!$F$14,IF(('Loading-truck'!$C$21)&lt;&gt;"No control",SUMIF(('Loading-truck'!$B$31:$B$48),$J2346,('Loading-truck'!$E$31:$E$48))*Impacts!$F$14,0)),0)</f>
        <v>0</v>
      </c>
      <c r="S2346" s="10">
        <f>IFERROR(IF(('Loading-rail'!$C$21)="No control",SUMIF(('Loading-rail'!$B$31:$B$48),$J2346,('Loading-rail'!$D$31:$D$48))*Impacts!$F$15,IF(('Loading-rail'!$C$21)&lt;&gt;"No control",SUMIF(('Loading-rail'!$B$31:$B$48),$J2346,('Loading-rail'!$E$31:$E$48))*Impacts!$F$15,0)),0)</f>
        <v>0</v>
      </c>
      <c r="T2346" s="10">
        <f>IF(Flare!$C$7="",0,(SUMIF(Flare!$B$46:$B$185,$J2346,Flare!$E$46:$E$185)*Impacts!$F$16))</f>
        <v>0</v>
      </c>
      <c r="U2346" s="10">
        <f>IF(VCU!$C$9="",0,(SUMIF(VCU!$B$51:$B$193,$J2346,VCU!$E$51:$E$193)*Impacts!$F$17))</f>
        <v>0</v>
      </c>
      <c r="V2346" s="10">
        <f>IF(CAS!$C$7="",0,(SUMIF(CAS!$B$31:$B$167,$J2346,CAS!$E$31:$E$167)*Impacts!$F$18))</f>
        <v>0</v>
      </c>
      <c r="W2346" s="10">
        <f t="shared" si="77"/>
        <v>0</v>
      </c>
      <c r="AK2346" s="10" t="str">
        <f t="array" ref="AK2346">IFERROR(INDEX(SelectedSpecies,SMALL(IF(SelectedSpecies=AK$1,ROW(SelectedSpecies)),ROW(2347:2347)),2),"")</f>
        <v/>
      </c>
      <c r="BE2346" s="10"/>
      <c r="BI2346" s="10"/>
    </row>
    <row r="2347" spans="1:61" ht="21" customHeight="1" x14ac:dyDescent="0.25">
      <c r="A2347" s="10"/>
      <c r="B2347" s="10"/>
      <c r="E2347" s="10"/>
      <c r="G2347" s="10"/>
      <c r="I2347" s="436" t="s">
        <v>5329</v>
      </c>
      <c r="J2347" s="26" t="s">
        <v>5328</v>
      </c>
      <c r="K2347" s="10">
        <v>1.7000000000000002</v>
      </c>
      <c r="L2347" s="73">
        <f>IF(Tank1!$C$23="No control",(SUMIF(Tank1!$B$32:$B$49,$J2347,Tank1!$C$32:$C$49)*Impacts!$F$8),0)</f>
        <v>0</v>
      </c>
      <c r="M2347" s="10">
        <f>IF(Tank2!$C$23="No control",(SUMIF(Tank2!$B$32:$B$49,$J2347,Tank2!$C$32:$C$49)*Impacts!$F$9),0)</f>
        <v>0</v>
      </c>
      <c r="N2347" s="10">
        <f>IF(Tank3!$C$23="No control",(SUMIF(Tank3!$B$32:$B$49,$J2347,Tank3!$C$32:$C$49)*Impacts!$F$10),0)</f>
        <v>0</v>
      </c>
      <c r="O2347" s="10">
        <f>IF(Tank4!$C$23="No control",(SUMIF(Tank4!$B$32:$B$49,$J2347,Tank4!$C$32:$C$49)*Impacts!$F$11),0)</f>
        <v>0</v>
      </c>
      <c r="P2347" s="10">
        <f>IF(Tank5!$C$23="No control",(SUMIF(Tank5!$B$32:$B$49,$J2347,Tank5!$C$32:$C$49)*Impacts!$F$12),0)</f>
        <v>0</v>
      </c>
      <c r="Q2347" s="10">
        <f>IFERROR(IF(('Loading-drum,tote'!$C$21)="No control",SUMIF(('Loading-drum,tote'!$B$31:$B$48),$J2347,('Loading-drum,tote'!$D$31:$D$48))*Impacts!$F$13,IF(('Loading-drum,tote'!$C$21)&lt;&gt;"No control",SUMIF(('Loading-drum,tote'!$B$31:$B$48),$J2347,('Loading-drum,tote'!$E$31:$E$48))*Impacts!$F$13,0)),0)</f>
        <v>0</v>
      </c>
      <c r="R2347" s="10">
        <f>IFERROR(IF(('Loading-truck'!$C$21)="No control",SUMIF(('Loading-truck'!$B$31:$B$48),$J2347,('Loading-truck'!$D$31:$D$48))*Impacts!$F$14,IF(('Loading-truck'!$C$21)&lt;&gt;"No control",SUMIF(('Loading-truck'!$B$31:$B$48),$J2347,('Loading-truck'!$E$31:$E$48))*Impacts!$F$14,0)),0)</f>
        <v>0</v>
      </c>
      <c r="S2347" s="10">
        <f>IFERROR(IF(('Loading-rail'!$C$21)="No control",SUMIF(('Loading-rail'!$B$31:$B$48),$J2347,('Loading-rail'!$D$31:$D$48))*Impacts!$F$15,IF(('Loading-rail'!$C$21)&lt;&gt;"No control",SUMIF(('Loading-rail'!$B$31:$B$48),$J2347,('Loading-rail'!$E$31:$E$48))*Impacts!$F$15,0)),0)</f>
        <v>0</v>
      </c>
      <c r="T2347" s="10">
        <f>IF(Flare!$C$7="",0,(SUMIF(Flare!$B$46:$B$185,$J2347,Flare!$E$46:$E$185)*Impacts!$F$16))</f>
        <v>0</v>
      </c>
      <c r="U2347" s="10">
        <f>IF(VCU!$C$9="",0,(SUMIF(VCU!$B$51:$B$193,$J2347,VCU!$E$51:$E$193)*Impacts!$F$17))</f>
        <v>0</v>
      </c>
      <c r="V2347" s="10">
        <f>IF(CAS!$C$7="",0,(SUMIF(CAS!$B$31:$B$167,$J2347,CAS!$E$31:$E$167)*Impacts!$F$18))</f>
        <v>0</v>
      </c>
      <c r="W2347" s="10">
        <f t="shared" si="77"/>
        <v>0</v>
      </c>
      <c r="AK2347" s="10" t="str">
        <f t="array" ref="AK2347">IFERROR(INDEX(SelectedSpecies,SMALL(IF(SelectedSpecies=AK$1,ROW(SelectedSpecies)),ROW(2348:2348)),2),"")</f>
        <v/>
      </c>
      <c r="BE2347" s="10"/>
      <c r="BI2347" s="10"/>
    </row>
    <row r="2348" spans="1:61" ht="21" customHeight="1" x14ac:dyDescent="0.25">
      <c r="A2348" s="10"/>
      <c r="B2348" s="10"/>
      <c r="E2348" s="10"/>
      <c r="G2348" s="10"/>
      <c r="I2348" s="436" t="s">
        <v>8084</v>
      </c>
      <c r="J2348" s="26" t="s">
        <v>8083</v>
      </c>
      <c r="K2348" s="10">
        <v>1.4999999999999999E-2</v>
      </c>
      <c r="L2348" s="73">
        <f>IF(Tank1!$C$23="No control",(SUMIF(Tank1!$B$32:$B$49,$J2348,Tank1!$C$32:$C$49)*Impacts!$F$8),0)</f>
        <v>0</v>
      </c>
      <c r="M2348" s="10">
        <f>IF(Tank2!$C$23="No control",(SUMIF(Tank2!$B$32:$B$49,$J2348,Tank2!$C$32:$C$49)*Impacts!$F$9),0)</f>
        <v>0</v>
      </c>
      <c r="N2348" s="10">
        <f>IF(Tank3!$C$23="No control",(SUMIF(Tank3!$B$32:$B$49,$J2348,Tank3!$C$32:$C$49)*Impacts!$F$10),0)</f>
        <v>0</v>
      </c>
      <c r="O2348" s="10">
        <f>IF(Tank4!$C$23="No control",(SUMIF(Tank4!$B$32:$B$49,$J2348,Tank4!$C$32:$C$49)*Impacts!$F$11),0)</f>
        <v>0</v>
      </c>
      <c r="P2348" s="10">
        <f>IF(Tank5!$C$23="No control",(SUMIF(Tank5!$B$32:$B$49,$J2348,Tank5!$C$32:$C$49)*Impacts!$F$12),0)</f>
        <v>0</v>
      </c>
      <c r="Q2348" s="10">
        <f>IFERROR(IF(('Loading-drum,tote'!$C$21)="No control",SUMIF(('Loading-drum,tote'!$B$31:$B$48),$J2348,('Loading-drum,tote'!$D$31:$D$48))*Impacts!$F$13,IF(('Loading-drum,tote'!$C$21)&lt;&gt;"No control",SUMIF(('Loading-drum,tote'!$B$31:$B$48),$J2348,('Loading-drum,tote'!$E$31:$E$48))*Impacts!$F$13,0)),0)</f>
        <v>0</v>
      </c>
      <c r="R2348" s="10">
        <f>IFERROR(IF(('Loading-truck'!$C$21)="No control",SUMIF(('Loading-truck'!$B$31:$B$48),$J2348,('Loading-truck'!$D$31:$D$48))*Impacts!$F$14,IF(('Loading-truck'!$C$21)&lt;&gt;"No control",SUMIF(('Loading-truck'!$B$31:$B$48),$J2348,('Loading-truck'!$E$31:$E$48))*Impacts!$F$14,0)),0)</f>
        <v>0</v>
      </c>
      <c r="S2348" s="10">
        <f>IFERROR(IF(('Loading-rail'!$C$21)="No control",SUMIF(('Loading-rail'!$B$31:$B$48),$J2348,('Loading-rail'!$D$31:$D$48))*Impacts!$F$15,IF(('Loading-rail'!$C$21)&lt;&gt;"No control",SUMIF(('Loading-rail'!$B$31:$B$48),$J2348,('Loading-rail'!$E$31:$E$48))*Impacts!$F$15,0)),0)</f>
        <v>0</v>
      </c>
      <c r="T2348" s="10">
        <f>IF(Flare!$C$7="",0,(SUMIF(Flare!$B$46:$B$185,$J2348,Flare!$E$46:$E$185)*Impacts!$F$16))</f>
        <v>0</v>
      </c>
      <c r="U2348" s="10">
        <f>IF(VCU!$C$9="",0,(SUMIF(VCU!$B$51:$B$193,$J2348,VCU!$E$51:$E$193)*Impacts!$F$17))</f>
        <v>0</v>
      </c>
      <c r="V2348" s="10">
        <f>IF(CAS!$C$7="",0,(SUMIF(CAS!$B$31:$B$167,$J2348,CAS!$E$31:$E$167)*Impacts!$F$18))</f>
        <v>0</v>
      </c>
      <c r="W2348" s="10">
        <f t="shared" si="77"/>
        <v>0</v>
      </c>
      <c r="AK2348" s="10" t="str">
        <f t="array" ref="AK2348">IFERROR(INDEX(SelectedSpecies,SMALL(IF(SelectedSpecies=AK$1,ROW(SelectedSpecies)),ROW(2349:2349)),2),"")</f>
        <v/>
      </c>
      <c r="BE2348" s="10"/>
      <c r="BI2348" s="10"/>
    </row>
    <row r="2349" spans="1:61" ht="21" customHeight="1" x14ac:dyDescent="0.25">
      <c r="A2349" s="10"/>
      <c r="B2349" s="10"/>
      <c r="E2349" s="10"/>
      <c r="G2349" s="10"/>
      <c r="I2349" s="436" t="s">
        <v>5609</v>
      </c>
      <c r="J2349" s="26" t="s">
        <v>5608</v>
      </c>
      <c r="K2349" s="10">
        <v>1.1000000000000001</v>
      </c>
      <c r="L2349" s="73">
        <f>IF(Tank1!$C$23="No control",(SUMIF(Tank1!$B$32:$B$49,$J2349,Tank1!$C$32:$C$49)*Impacts!$F$8),0)</f>
        <v>0</v>
      </c>
      <c r="M2349" s="10">
        <f>IF(Tank2!$C$23="No control",(SUMIF(Tank2!$B$32:$B$49,$J2349,Tank2!$C$32:$C$49)*Impacts!$F$9),0)</f>
        <v>0</v>
      </c>
      <c r="N2349" s="10">
        <f>IF(Tank3!$C$23="No control",(SUMIF(Tank3!$B$32:$B$49,$J2349,Tank3!$C$32:$C$49)*Impacts!$F$10),0)</f>
        <v>0</v>
      </c>
      <c r="O2349" s="10">
        <f>IF(Tank4!$C$23="No control",(SUMIF(Tank4!$B$32:$B$49,$J2349,Tank4!$C$32:$C$49)*Impacts!$F$11),0)</f>
        <v>0</v>
      </c>
      <c r="P2349" s="10">
        <f>IF(Tank5!$C$23="No control",(SUMIF(Tank5!$B$32:$B$49,$J2349,Tank5!$C$32:$C$49)*Impacts!$F$12),0)</f>
        <v>0</v>
      </c>
      <c r="Q2349" s="10">
        <f>IFERROR(IF(('Loading-drum,tote'!$C$21)="No control",SUMIF(('Loading-drum,tote'!$B$31:$B$48),$J2349,('Loading-drum,tote'!$D$31:$D$48))*Impacts!$F$13,IF(('Loading-drum,tote'!$C$21)&lt;&gt;"No control",SUMIF(('Loading-drum,tote'!$B$31:$B$48),$J2349,('Loading-drum,tote'!$E$31:$E$48))*Impacts!$F$13,0)),0)</f>
        <v>0</v>
      </c>
      <c r="R2349" s="10">
        <f>IFERROR(IF(('Loading-truck'!$C$21)="No control",SUMIF(('Loading-truck'!$B$31:$B$48),$J2349,('Loading-truck'!$D$31:$D$48))*Impacts!$F$14,IF(('Loading-truck'!$C$21)&lt;&gt;"No control",SUMIF(('Loading-truck'!$B$31:$B$48),$J2349,('Loading-truck'!$E$31:$E$48))*Impacts!$F$14,0)),0)</f>
        <v>0</v>
      </c>
      <c r="S2349" s="10">
        <f>IFERROR(IF(('Loading-rail'!$C$21)="No control",SUMIF(('Loading-rail'!$B$31:$B$48),$J2349,('Loading-rail'!$D$31:$D$48))*Impacts!$F$15,IF(('Loading-rail'!$C$21)&lt;&gt;"No control",SUMIF(('Loading-rail'!$B$31:$B$48),$J2349,('Loading-rail'!$E$31:$E$48))*Impacts!$F$15,0)),0)</f>
        <v>0</v>
      </c>
      <c r="T2349" s="10">
        <f>IF(Flare!$C$7="",0,(SUMIF(Flare!$B$46:$B$185,$J2349,Flare!$E$46:$E$185)*Impacts!$F$16))</f>
        <v>0</v>
      </c>
      <c r="U2349" s="10">
        <f>IF(VCU!$C$9="",0,(SUMIF(VCU!$B$51:$B$193,$J2349,VCU!$E$51:$E$193)*Impacts!$F$17))</f>
        <v>0</v>
      </c>
      <c r="V2349" s="10">
        <f>IF(CAS!$C$7="",0,(SUMIF(CAS!$B$31:$B$167,$J2349,CAS!$E$31:$E$167)*Impacts!$F$18))</f>
        <v>0</v>
      </c>
      <c r="W2349" s="10">
        <f t="shared" si="77"/>
        <v>0</v>
      </c>
      <c r="AK2349" s="10" t="str">
        <f t="array" ref="AK2349">IFERROR(INDEX(SelectedSpecies,SMALL(IF(SelectedSpecies=AK$1,ROW(SelectedSpecies)),ROW(2350:2350)),2),"")</f>
        <v/>
      </c>
      <c r="BE2349" s="10"/>
      <c r="BI2349" s="10"/>
    </row>
    <row r="2350" spans="1:61" ht="21" customHeight="1" x14ac:dyDescent="0.25">
      <c r="A2350" s="10"/>
      <c r="B2350" s="10"/>
      <c r="E2350" s="10"/>
      <c r="G2350" s="10"/>
      <c r="I2350" s="436" t="s">
        <v>8002</v>
      </c>
      <c r="J2350" s="26" t="s">
        <v>8001</v>
      </c>
      <c r="K2350" s="10">
        <v>0.03</v>
      </c>
      <c r="L2350" s="73">
        <f>IF(Tank1!$C$23="No control",(SUMIF(Tank1!$B$32:$B$49,$J2350,Tank1!$C$32:$C$49)*Impacts!$F$8),0)</f>
        <v>0</v>
      </c>
      <c r="M2350" s="10">
        <f>IF(Tank2!$C$23="No control",(SUMIF(Tank2!$B$32:$B$49,$J2350,Tank2!$C$32:$C$49)*Impacts!$F$9),0)</f>
        <v>0</v>
      </c>
      <c r="N2350" s="10">
        <f>IF(Tank3!$C$23="No control",(SUMIF(Tank3!$B$32:$B$49,$J2350,Tank3!$C$32:$C$49)*Impacts!$F$10),0)</f>
        <v>0</v>
      </c>
      <c r="O2350" s="10">
        <f>IF(Tank4!$C$23="No control",(SUMIF(Tank4!$B$32:$B$49,$J2350,Tank4!$C$32:$C$49)*Impacts!$F$11),0)</f>
        <v>0</v>
      </c>
      <c r="P2350" s="10">
        <f>IF(Tank5!$C$23="No control",(SUMIF(Tank5!$B$32:$B$49,$J2350,Tank5!$C$32:$C$49)*Impacts!$F$12),0)</f>
        <v>0</v>
      </c>
      <c r="Q2350" s="10">
        <f>IFERROR(IF(('Loading-drum,tote'!$C$21)="No control",SUMIF(('Loading-drum,tote'!$B$31:$B$48),$J2350,('Loading-drum,tote'!$D$31:$D$48))*Impacts!$F$13,IF(('Loading-drum,tote'!$C$21)&lt;&gt;"No control",SUMIF(('Loading-drum,tote'!$B$31:$B$48),$J2350,('Loading-drum,tote'!$E$31:$E$48))*Impacts!$F$13,0)),0)</f>
        <v>0</v>
      </c>
      <c r="R2350" s="10">
        <f>IFERROR(IF(('Loading-truck'!$C$21)="No control",SUMIF(('Loading-truck'!$B$31:$B$48),$J2350,('Loading-truck'!$D$31:$D$48))*Impacts!$F$14,IF(('Loading-truck'!$C$21)&lt;&gt;"No control",SUMIF(('Loading-truck'!$B$31:$B$48),$J2350,('Loading-truck'!$E$31:$E$48))*Impacts!$F$14,0)),0)</f>
        <v>0</v>
      </c>
      <c r="S2350" s="10">
        <f>IFERROR(IF(('Loading-rail'!$C$21)="No control",SUMIF(('Loading-rail'!$B$31:$B$48),$J2350,('Loading-rail'!$D$31:$D$48))*Impacts!$F$15,IF(('Loading-rail'!$C$21)&lt;&gt;"No control",SUMIF(('Loading-rail'!$B$31:$B$48),$J2350,('Loading-rail'!$E$31:$E$48))*Impacts!$F$15,0)),0)</f>
        <v>0</v>
      </c>
      <c r="T2350" s="10">
        <f>IF(Flare!$C$7="",0,(SUMIF(Flare!$B$46:$B$185,$J2350,Flare!$E$46:$E$185)*Impacts!$F$16))</f>
        <v>0</v>
      </c>
      <c r="U2350" s="10">
        <f>IF(VCU!$C$9="",0,(SUMIF(VCU!$B$51:$B$193,$J2350,VCU!$E$51:$E$193)*Impacts!$F$17))</f>
        <v>0</v>
      </c>
      <c r="V2350" s="10">
        <f>IF(CAS!$C$7="",0,(SUMIF(CAS!$B$31:$B$167,$J2350,CAS!$E$31:$E$167)*Impacts!$F$18))</f>
        <v>0</v>
      </c>
      <c r="W2350" s="10">
        <f t="shared" si="77"/>
        <v>0</v>
      </c>
      <c r="AK2350" s="10" t="str">
        <f t="array" ref="AK2350">IFERROR(INDEX(SelectedSpecies,SMALL(IF(SelectedSpecies=AK$1,ROW(SelectedSpecies)),ROW(2351:2351)),2),"")</f>
        <v/>
      </c>
      <c r="BE2350" s="10"/>
      <c r="BI2350" s="10"/>
    </row>
    <row r="2351" spans="1:61" ht="21" customHeight="1" x14ac:dyDescent="0.25">
      <c r="A2351" s="10"/>
      <c r="B2351" s="10"/>
      <c r="E2351" s="10"/>
      <c r="G2351" s="10"/>
      <c r="I2351" s="436" t="s">
        <v>4133</v>
      </c>
      <c r="J2351" s="26" t="s">
        <v>4132</v>
      </c>
      <c r="K2351" s="10">
        <v>5.3000000000000007</v>
      </c>
      <c r="L2351" s="73">
        <f>IF(Tank1!$C$23="No control",(SUMIF(Tank1!$B$32:$B$49,$J2351,Tank1!$C$32:$C$49)*Impacts!$F$8),0)</f>
        <v>0</v>
      </c>
      <c r="M2351" s="10">
        <f>IF(Tank2!$C$23="No control",(SUMIF(Tank2!$B$32:$B$49,$J2351,Tank2!$C$32:$C$49)*Impacts!$F$9),0)</f>
        <v>0</v>
      </c>
      <c r="N2351" s="10">
        <f>IF(Tank3!$C$23="No control",(SUMIF(Tank3!$B$32:$B$49,$J2351,Tank3!$C$32:$C$49)*Impacts!$F$10),0)</f>
        <v>0</v>
      </c>
      <c r="O2351" s="10">
        <f>IF(Tank4!$C$23="No control",(SUMIF(Tank4!$B$32:$B$49,$J2351,Tank4!$C$32:$C$49)*Impacts!$F$11),0)</f>
        <v>0</v>
      </c>
      <c r="P2351" s="10">
        <f>IF(Tank5!$C$23="No control",(SUMIF(Tank5!$B$32:$B$49,$J2351,Tank5!$C$32:$C$49)*Impacts!$F$12),0)</f>
        <v>0</v>
      </c>
      <c r="Q2351" s="10">
        <f>IFERROR(IF(('Loading-drum,tote'!$C$21)="No control",SUMIF(('Loading-drum,tote'!$B$31:$B$48),$J2351,('Loading-drum,tote'!$D$31:$D$48))*Impacts!$F$13,IF(('Loading-drum,tote'!$C$21)&lt;&gt;"No control",SUMIF(('Loading-drum,tote'!$B$31:$B$48),$J2351,('Loading-drum,tote'!$E$31:$E$48))*Impacts!$F$13,0)),0)</f>
        <v>0</v>
      </c>
      <c r="R2351" s="10">
        <f>IFERROR(IF(('Loading-truck'!$C$21)="No control",SUMIF(('Loading-truck'!$B$31:$B$48),$J2351,('Loading-truck'!$D$31:$D$48))*Impacts!$F$14,IF(('Loading-truck'!$C$21)&lt;&gt;"No control",SUMIF(('Loading-truck'!$B$31:$B$48),$J2351,('Loading-truck'!$E$31:$E$48))*Impacts!$F$14,0)),0)</f>
        <v>0</v>
      </c>
      <c r="S2351" s="10">
        <f>IFERROR(IF(('Loading-rail'!$C$21)="No control",SUMIF(('Loading-rail'!$B$31:$B$48),$J2351,('Loading-rail'!$D$31:$D$48))*Impacts!$F$15,IF(('Loading-rail'!$C$21)&lt;&gt;"No control",SUMIF(('Loading-rail'!$B$31:$B$48),$J2351,('Loading-rail'!$E$31:$E$48))*Impacts!$F$15,0)),0)</f>
        <v>0</v>
      </c>
      <c r="T2351" s="10">
        <f>IF(Flare!$C$7="",0,(SUMIF(Flare!$B$46:$B$185,$J2351,Flare!$E$46:$E$185)*Impacts!$F$16))</f>
        <v>0</v>
      </c>
      <c r="U2351" s="10">
        <f>IF(VCU!$C$9="",0,(SUMIF(VCU!$B$51:$B$193,$J2351,VCU!$E$51:$E$193)*Impacts!$F$17))</f>
        <v>0</v>
      </c>
      <c r="V2351" s="10">
        <f>IF(CAS!$C$7="",0,(SUMIF(CAS!$B$31:$B$167,$J2351,CAS!$E$31:$E$167)*Impacts!$F$18))</f>
        <v>0</v>
      </c>
      <c r="W2351" s="10">
        <f t="shared" si="77"/>
        <v>0</v>
      </c>
      <c r="AK2351" s="10" t="str">
        <f t="array" ref="AK2351">IFERROR(INDEX(SelectedSpecies,SMALL(IF(SelectedSpecies=AK$1,ROW(SelectedSpecies)),ROW(2352:2352)),2),"")</f>
        <v/>
      </c>
      <c r="BE2351" s="10"/>
      <c r="BI2351" s="10"/>
    </row>
    <row r="2352" spans="1:61" ht="21" customHeight="1" x14ac:dyDescent="0.25">
      <c r="A2352" s="10"/>
      <c r="B2352" s="10"/>
      <c r="E2352" s="10"/>
      <c r="G2352" s="10"/>
      <c r="I2352" s="436" t="s">
        <v>5179</v>
      </c>
      <c r="J2352" s="26" t="s">
        <v>5178</v>
      </c>
      <c r="K2352" s="10">
        <v>2</v>
      </c>
      <c r="L2352" s="73">
        <f>IF(Tank1!$C$23="No control",(SUMIF(Tank1!$B$32:$B$49,$J2352,Tank1!$C$32:$C$49)*Impacts!$F$8),0)</f>
        <v>0</v>
      </c>
      <c r="M2352" s="10">
        <f>IF(Tank2!$C$23="No control",(SUMIF(Tank2!$B$32:$B$49,$J2352,Tank2!$C$32:$C$49)*Impacts!$F$9),0)</f>
        <v>0</v>
      </c>
      <c r="N2352" s="10">
        <f>IF(Tank3!$C$23="No control",(SUMIF(Tank3!$B$32:$B$49,$J2352,Tank3!$C$32:$C$49)*Impacts!$F$10),0)</f>
        <v>0</v>
      </c>
      <c r="O2352" s="10">
        <f>IF(Tank4!$C$23="No control",(SUMIF(Tank4!$B$32:$B$49,$J2352,Tank4!$C$32:$C$49)*Impacts!$F$11),0)</f>
        <v>0</v>
      </c>
      <c r="P2352" s="10">
        <f>IF(Tank5!$C$23="No control",(SUMIF(Tank5!$B$32:$B$49,$J2352,Tank5!$C$32:$C$49)*Impacts!$F$12),0)</f>
        <v>0</v>
      </c>
      <c r="Q2352" s="10">
        <f>IFERROR(IF(('Loading-drum,tote'!$C$21)="No control",SUMIF(('Loading-drum,tote'!$B$31:$B$48),$J2352,('Loading-drum,tote'!$D$31:$D$48))*Impacts!$F$13,IF(('Loading-drum,tote'!$C$21)&lt;&gt;"No control",SUMIF(('Loading-drum,tote'!$B$31:$B$48),$J2352,('Loading-drum,tote'!$E$31:$E$48))*Impacts!$F$13,0)),0)</f>
        <v>0</v>
      </c>
      <c r="R2352" s="10">
        <f>IFERROR(IF(('Loading-truck'!$C$21)="No control",SUMIF(('Loading-truck'!$B$31:$B$48),$J2352,('Loading-truck'!$D$31:$D$48))*Impacts!$F$14,IF(('Loading-truck'!$C$21)&lt;&gt;"No control",SUMIF(('Loading-truck'!$B$31:$B$48),$J2352,('Loading-truck'!$E$31:$E$48))*Impacts!$F$14,0)),0)</f>
        <v>0</v>
      </c>
      <c r="S2352" s="10">
        <f>IFERROR(IF(('Loading-rail'!$C$21)="No control",SUMIF(('Loading-rail'!$B$31:$B$48),$J2352,('Loading-rail'!$D$31:$D$48))*Impacts!$F$15,IF(('Loading-rail'!$C$21)&lt;&gt;"No control",SUMIF(('Loading-rail'!$B$31:$B$48),$J2352,('Loading-rail'!$E$31:$E$48))*Impacts!$F$15,0)),0)</f>
        <v>0</v>
      </c>
      <c r="T2352" s="10">
        <f>IF(Flare!$C$7="",0,(SUMIF(Flare!$B$46:$B$185,$J2352,Flare!$E$46:$E$185)*Impacts!$F$16))</f>
        <v>0</v>
      </c>
      <c r="U2352" s="10">
        <f>IF(VCU!$C$9="",0,(SUMIF(VCU!$B$51:$B$193,$J2352,VCU!$E$51:$E$193)*Impacts!$F$17))</f>
        <v>0</v>
      </c>
      <c r="V2352" s="10">
        <f>IF(CAS!$C$7="",0,(SUMIF(CAS!$B$31:$B$167,$J2352,CAS!$E$31:$E$167)*Impacts!$F$18))</f>
        <v>0</v>
      </c>
      <c r="W2352" s="10">
        <f t="shared" si="77"/>
        <v>0</v>
      </c>
      <c r="AK2352" s="10" t="str">
        <f t="array" ref="AK2352">IFERROR(INDEX(SelectedSpecies,SMALL(IF(SelectedSpecies=AK$1,ROW(SelectedSpecies)),ROW(2353:2353)),2),"")</f>
        <v/>
      </c>
      <c r="BE2352" s="10"/>
      <c r="BI2352" s="10"/>
    </row>
    <row r="2353" spans="1:61" ht="21" customHeight="1" x14ac:dyDescent="0.25">
      <c r="A2353" s="10"/>
      <c r="B2353" s="10"/>
      <c r="E2353" s="10"/>
      <c r="G2353" s="10"/>
      <c r="I2353" s="436" t="s">
        <v>5181</v>
      </c>
      <c r="J2353" s="26" t="s">
        <v>5180</v>
      </c>
      <c r="K2353" s="10">
        <v>2</v>
      </c>
      <c r="L2353" s="73">
        <f>IF(Tank1!$C$23="No control",(SUMIF(Tank1!$B$32:$B$49,$J2353,Tank1!$C$32:$C$49)*Impacts!$F$8),0)</f>
        <v>0</v>
      </c>
      <c r="M2353" s="10">
        <f>IF(Tank2!$C$23="No control",(SUMIF(Tank2!$B$32:$B$49,$J2353,Tank2!$C$32:$C$49)*Impacts!$F$9),0)</f>
        <v>0</v>
      </c>
      <c r="N2353" s="10">
        <f>IF(Tank3!$C$23="No control",(SUMIF(Tank3!$B$32:$B$49,$J2353,Tank3!$C$32:$C$49)*Impacts!$F$10),0)</f>
        <v>0</v>
      </c>
      <c r="O2353" s="10">
        <f>IF(Tank4!$C$23="No control",(SUMIF(Tank4!$B$32:$B$49,$J2353,Tank4!$C$32:$C$49)*Impacts!$F$11),0)</f>
        <v>0</v>
      </c>
      <c r="P2353" s="10">
        <f>IF(Tank5!$C$23="No control",(SUMIF(Tank5!$B$32:$B$49,$J2353,Tank5!$C$32:$C$49)*Impacts!$F$12),0)</f>
        <v>0</v>
      </c>
      <c r="Q2353" s="10">
        <f>IFERROR(IF(('Loading-drum,tote'!$C$21)="No control",SUMIF(('Loading-drum,tote'!$B$31:$B$48),$J2353,('Loading-drum,tote'!$D$31:$D$48))*Impacts!$F$13,IF(('Loading-drum,tote'!$C$21)&lt;&gt;"No control",SUMIF(('Loading-drum,tote'!$B$31:$B$48),$J2353,('Loading-drum,tote'!$E$31:$E$48))*Impacts!$F$13,0)),0)</f>
        <v>0</v>
      </c>
      <c r="R2353" s="10">
        <f>IFERROR(IF(('Loading-truck'!$C$21)="No control",SUMIF(('Loading-truck'!$B$31:$B$48),$J2353,('Loading-truck'!$D$31:$D$48))*Impacts!$F$14,IF(('Loading-truck'!$C$21)&lt;&gt;"No control",SUMIF(('Loading-truck'!$B$31:$B$48),$J2353,('Loading-truck'!$E$31:$E$48))*Impacts!$F$14,0)),0)</f>
        <v>0</v>
      </c>
      <c r="S2353" s="10">
        <f>IFERROR(IF(('Loading-rail'!$C$21)="No control",SUMIF(('Loading-rail'!$B$31:$B$48),$J2353,('Loading-rail'!$D$31:$D$48))*Impacts!$F$15,IF(('Loading-rail'!$C$21)&lt;&gt;"No control",SUMIF(('Loading-rail'!$B$31:$B$48),$J2353,('Loading-rail'!$E$31:$E$48))*Impacts!$F$15,0)),0)</f>
        <v>0</v>
      </c>
      <c r="T2353" s="10">
        <f>IF(Flare!$C$7="",0,(SUMIF(Flare!$B$46:$B$185,$J2353,Flare!$E$46:$E$185)*Impacts!$F$16))</f>
        <v>0</v>
      </c>
      <c r="U2353" s="10">
        <f>IF(VCU!$C$9="",0,(SUMIF(VCU!$B$51:$B$193,$J2353,VCU!$E$51:$E$193)*Impacts!$F$17))</f>
        <v>0</v>
      </c>
      <c r="V2353" s="10">
        <f>IF(CAS!$C$7="",0,(SUMIF(CAS!$B$31:$B$167,$J2353,CAS!$E$31:$E$167)*Impacts!$F$18))</f>
        <v>0</v>
      </c>
      <c r="W2353" s="10">
        <f t="shared" si="77"/>
        <v>0</v>
      </c>
      <c r="AK2353" s="10" t="str">
        <f t="array" ref="AK2353">IFERROR(INDEX(SelectedSpecies,SMALL(IF(SelectedSpecies=AK$1,ROW(SelectedSpecies)),ROW(2354:2354)),2),"")</f>
        <v/>
      </c>
      <c r="BE2353" s="10"/>
      <c r="BI2353" s="10"/>
    </row>
    <row r="2354" spans="1:61" ht="21" customHeight="1" x14ac:dyDescent="0.25">
      <c r="A2354" s="10"/>
      <c r="B2354" s="10"/>
      <c r="E2354" s="10"/>
      <c r="G2354" s="10"/>
      <c r="I2354" s="436" t="s">
        <v>5183</v>
      </c>
      <c r="J2354" s="26" t="s">
        <v>5182</v>
      </c>
      <c r="K2354" s="10">
        <v>2</v>
      </c>
      <c r="L2354" s="73">
        <f>IF(Tank1!$C$23="No control",(SUMIF(Tank1!$B$32:$B$49,$J2354,Tank1!$C$32:$C$49)*Impacts!$F$8),0)</f>
        <v>0</v>
      </c>
      <c r="M2354" s="10">
        <f>IF(Tank2!$C$23="No control",(SUMIF(Tank2!$B$32:$B$49,$J2354,Tank2!$C$32:$C$49)*Impacts!$F$9),0)</f>
        <v>0</v>
      </c>
      <c r="N2354" s="10">
        <f>IF(Tank3!$C$23="No control",(SUMIF(Tank3!$B$32:$B$49,$J2354,Tank3!$C$32:$C$49)*Impacts!$F$10),0)</f>
        <v>0</v>
      </c>
      <c r="O2354" s="10">
        <f>IF(Tank4!$C$23="No control",(SUMIF(Tank4!$B$32:$B$49,$J2354,Tank4!$C$32:$C$49)*Impacts!$F$11),0)</f>
        <v>0</v>
      </c>
      <c r="P2354" s="10">
        <f>IF(Tank5!$C$23="No control",(SUMIF(Tank5!$B$32:$B$49,$J2354,Tank5!$C$32:$C$49)*Impacts!$F$12),0)</f>
        <v>0</v>
      </c>
      <c r="Q2354" s="10">
        <f>IFERROR(IF(('Loading-drum,tote'!$C$21)="No control",SUMIF(('Loading-drum,tote'!$B$31:$B$48),$J2354,('Loading-drum,tote'!$D$31:$D$48))*Impacts!$F$13,IF(('Loading-drum,tote'!$C$21)&lt;&gt;"No control",SUMIF(('Loading-drum,tote'!$B$31:$B$48),$J2354,('Loading-drum,tote'!$E$31:$E$48))*Impacts!$F$13,0)),0)</f>
        <v>0</v>
      </c>
      <c r="R2354" s="10">
        <f>IFERROR(IF(('Loading-truck'!$C$21)="No control",SUMIF(('Loading-truck'!$B$31:$B$48),$J2354,('Loading-truck'!$D$31:$D$48))*Impacts!$F$14,IF(('Loading-truck'!$C$21)&lt;&gt;"No control",SUMIF(('Loading-truck'!$B$31:$B$48),$J2354,('Loading-truck'!$E$31:$E$48))*Impacts!$F$14,0)),0)</f>
        <v>0</v>
      </c>
      <c r="S2354" s="10">
        <f>IFERROR(IF(('Loading-rail'!$C$21)="No control",SUMIF(('Loading-rail'!$B$31:$B$48),$J2354,('Loading-rail'!$D$31:$D$48))*Impacts!$F$15,IF(('Loading-rail'!$C$21)&lt;&gt;"No control",SUMIF(('Loading-rail'!$B$31:$B$48),$J2354,('Loading-rail'!$E$31:$E$48))*Impacts!$F$15,0)),0)</f>
        <v>0</v>
      </c>
      <c r="T2354" s="10">
        <f>IF(Flare!$C$7="",0,(SUMIF(Flare!$B$46:$B$185,$J2354,Flare!$E$46:$E$185)*Impacts!$F$16))</f>
        <v>0</v>
      </c>
      <c r="U2354" s="10">
        <f>IF(VCU!$C$9="",0,(SUMIF(VCU!$B$51:$B$193,$J2354,VCU!$E$51:$E$193)*Impacts!$F$17))</f>
        <v>0</v>
      </c>
      <c r="V2354" s="10">
        <f>IF(CAS!$C$7="",0,(SUMIF(CAS!$B$31:$B$167,$J2354,CAS!$E$31:$E$167)*Impacts!$F$18))</f>
        <v>0</v>
      </c>
      <c r="W2354" s="10">
        <f t="shared" si="77"/>
        <v>0</v>
      </c>
      <c r="AK2354" s="10" t="str">
        <f t="array" ref="AK2354">IFERROR(INDEX(SelectedSpecies,SMALL(IF(SelectedSpecies=AK$1,ROW(SelectedSpecies)),ROW(2355:2355)),2),"")</f>
        <v/>
      </c>
      <c r="BE2354" s="10"/>
      <c r="BI2354" s="10"/>
    </row>
    <row r="2355" spans="1:61" ht="21" customHeight="1" x14ac:dyDescent="0.25">
      <c r="A2355" s="10"/>
      <c r="B2355" s="10"/>
      <c r="E2355" s="10"/>
      <c r="G2355" s="10"/>
      <c r="I2355" s="436" t="s">
        <v>5185</v>
      </c>
      <c r="J2355" s="26" t="s">
        <v>5184</v>
      </c>
      <c r="K2355" s="10">
        <v>2</v>
      </c>
      <c r="L2355" s="73">
        <f>IF(Tank1!$C$23="No control",(SUMIF(Tank1!$B$32:$B$49,$J2355,Tank1!$C$32:$C$49)*Impacts!$F$8),0)</f>
        <v>0</v>
      </c>
      <c r="M2355" s="10">
        <f>IF(Tank2!$C$23="No control",(SUMIF(Tank2!$B$32:$B$49,$J2355,Tank2!$C$32:$C$49)*Impacts!$F$9),0)</f>
        <v>0</v>
      </c>
      <c r="N2355" s="10">
        <f>IF(Tank3!$C$23="No control",(SUMIF(Tank3!$B$32:$B$49,$J2355,Tank3!$C$32:$C$49)*Impacts!$F$10),0)</f>
        <v>0</v>
      </c>
      <c r="O2355" s="10">
        <f>IF(Tank4!$C$23="No control",(SUMIF(Tank4!$B$32:$B$49,$J2355,Tank4!$C$32:$C$49)*Impacts!$F$11),0)</f>
        <v>0</v>
      </c>
      <c r="P2355" s="10">
        <f>IF(Tank5!$C$23="No control",(SUMIF(Tank5!$B$32:$B$49,$J2355,Tank5!$C$32:$C$49)*Impacts!$F$12),0)</f>
        <v>0</v>
      </c>
      <c r="Q2355" s="10">
        <f>IFERROR(IF(('Loading-drum,tote'!$C$21)="No control",SUMIF(('Loading-drum,tote'!$B$31:$B$48),$J2355,('Loading-drum,tote'!$D$31:$D$48))*Impacts!$F$13,IF(('Loading-drum,tote'!$C$21)&lt;&gt;"No control",SUMIF(('Loading-drum,tote'!$B$31:$B$48),$J2355,('Loading-drum,tote'!$E$31:$E$48))*Impacts!$F$13,0)),0)</f>
        <v>0</v>
      </c>
      <c r="R2355" s="10">
        <f>IFERROR(IF(('Loading-truck'!$C$21)="No control",SUMIF(('Loading-truck'!$B$31:$B$48),$J2355,('Loading-truck'!$D$31:$D$48))*Impacts!$F$14,IF(('Loading-truck'!$C$21)&lt;&gt;"No control",SUMIF(('Loading-truck'!$B$31:$B$48),$J2355,('Loading-truck'!$E$31:$E$48))*Impacts!$F$14,0)),0)</f>
        <v>0</v>
      </c>
      <c r="S2355" s="10">
        <f>IFERROR(IF(('Loading-rail'!$C$21)="No control",SUMIF(('Loading-rail'!$B$31:$B$48),$J2355,('Loading-rail'!$D$31:$D$48))*Impacts!$F$15,IF(('Loading-rail'!$C$21)&lt;&gt;"No control",SUMIF(('Loading-rail'!$B$31:$B$48),$J2355,('Loading-rail'!$E$31:$E$48))*Impacts!$F$15,0)),0)</f>
        <v>0</v>
      </c>
      <c r="T2355" s="10">
        <f>IF(Flare!$C$7="",0,(SUMIF(Flare!$B$46:$B$185,$J2355,Flare!$E$46:$E$185)*Impacts!$F$16))</f>
        <v>0</v>
      </c>
      <c r="U2355" s="10">
        <f>IF(VCU!$C$9="",0,(SUMIF(VCU!$B$51:$B$193,$J2355,VCU!$E$51:$E$193)*Impacts!$F$17))</f>
        <v>0</v>
      </c>
      <c r="V2355" s="10">
        <f>IF(CAS!$C$7="",0,(SUMIF(CAS!$B$31:$B$167,$J2355,CAS!$E$31:$E$167)*Impacts!$F$18))</f>
        <v>0</v>
      </c>
      <c r="W2355" s="10">
        <f t="shared" si="77"/>
        <v>0</v>
      </c>
      <c r="AK2355" s="10" t="str">
        <f t="array" ref="AK2355">IFERROR(INDEX(SelectedSpecies,SMALL(IF(SelectedSpecies=AK$1,ROW(SelectedSpecies)),ROW(2356:2356)),2),"")</f>
        <v/>
      </c>
      <c r="BE2355" s="10"/>
      <c r="BI2355" s="10"/>
    </row>
    <row r="2356" spans="1:61" ht="21" customHeight="1" x14ac:dyDescent="0.25">
      <c r="A2356" s="10"/>
      <c r="B2356" s="10"/>
      <c r="E2356" s="10"/>
      <c r="G2356" s="10"/>
      <c r="I2356" s="436" t="s">
        <v>5279</v>
      </c>
      <c r="J2356" s="26" t="s">
        <v>5278</v>
      </c>
      <c r="K2356" s="10">
        <v>1.8</v>
      </c>
      <c r="L2356" s="73">
        <f>IF(Tank1!$C$23="No control",(SUMIF(Tank1!$B$32:$B$49,$J2356,Tank1!$C$32:$C$49)*Impacts!$F$8),0)</f>
        <v>0</v>
      </c>
      <c r="M2356" s="10">
        <f>IF(Tank2!$C$23="No control",(SUMIF(Tank2!$B$32:$B$49,$J2356,Tank2!$C$32:$C$49)*Impacts!$F$9),0)</f>
        <v>0</v>
      </c>
      <c r="N2356" s="10">
        <f>IF(Tank3!$C$23="No control",(SUMIF(Tank3!$B$32:$B$49,$J2356,Tank3!$C$32:$C$49)*Impacts!$F$10),0)</f>
        <v>0</v>
      </c>
      <c r="O2356" s="10">
        <f>IF(Tank4!$C$23="No control",(SUMIF(Tank4!$B$32:$B$49,$J2356,Tank4!$C$32:$C$49)*Impacts!$F$11),0)</f>
        <v>0</v>
      </c>
      <c r="P2356" s="10">
        <f>IF(Tank5!$C$23="No control",(SUMIF(Tank5!$B$32:$B$49,$J2356,Tank5!$C$32:$C$49)*Impacts!$F$12),0)</f>
        <v>0</v>
      </c>
      <c r="Q2356" s="10">
        <f>IFERROR(IF(('Loading-drum,tote'!$C$21)="No control",SUMIF(('Loading-drum,tote'!$B$31:$B$48),$J2356,('Loading-drum,tote'!$D$31:$D$48))*Impacts!$F$13,IF(('Loading-drum,tote'!$C$21)&lt;&gt;"No control",SUMIF(('Loading-drum,tote'!$B$31:$B$48),$J2356,('Loading-drum,tote'!$E$31:$E$48))*Impacts!$F$13,0)),0)</f>
        <v>0</v>
      </c>
      <c r="R2356" s="10">
        <f>IFERROR(IF(('Loading-truck'!$C$21)="No control",SUMIF(('Loading-truck'!$B$31:$B$48),$J2356,('Loading-truck'!$D$31:$D$48))*Impacts!$F$14,IF(('Loading-truck'!$C$21)&lt;&gt;"No control",SUMIF(('Loading-truck'!$B$31:$B$48),$J2356,('Loading-truck'!$E$31:$E$48))*Impacts!$F$14,0)),0)</f>
        <v>0</v>
      </c>
      <c r="S2356" s="10">
        <f>IFERROR(IF(('Loading-rail'!$C$21)="No control",SUMIF(('Loading-rail'!$B$31:$B$48),$J2356,('Loading-rail'!$D$31:$D$48))*Impacts!$F$15,IF(('Loading-rail'!$C$21)&lt;&gt;"No control",SUMIF(('Loading-rail'!$B$31:$B$48),$J2356,('Loading-rail'!$E$31:$E$48))*Impacts!$F$15,0)),0)</f>
        <v>0</v>
      </c>
      <c r="T2356" s="10">
        <f>IF(Flare!$C$7="",0,(SUMIF(Flare!$B$46:$B$185,$J2356,Flare!$E$46:$E$185)*Impacts!$F$16))</f>
        <v>0</v>
      </c>
      <c r="U2356" s="10">
        <f>IF(VCU!$C$9="",0,(SUMIF(VCU!$B$51:$B$193,$J2356,VCU!$E$51:$E$193)*Impacts!$F$17))</f>
        <v>0</v>
      </c>
      <c r="V2356" s="10">
        <f>IF(CAS!$C$7="",0,(SUMIF(CAS!$B$31:$B$167,$J2356,CAS!$E$31:$E$167)*Impacts!$F$18))</f>
        <v>0</v>
      </c>
      <c r="W2356" s="10">
        <f t="shared" si="77"/>
        <v>0</v>
      </c>
      <c r="AK2356" s="10" t="str">
        <f t="array" ref="AK2356">IFERROR(INDEX(SelectedSpecies,SMALL(IF(SelectedSpecies=AK$1,ROW(SelectedSpecies)),ROW(2357:2357)),2),"")</f>
        <v/>
      </c>
      <c r="BE2356" s="10"/>
      <c r="BI2356" s="10"/>
    </row>
    <row r="2357" spans="1:61" ht="21" customHeight="1" x14ac:dyDescent="0.25">
      <c r="A2357" s="10"/>
      <c r="B2357" s="10"/>
      <c r="E2357" s="10"/>
      <c r="G2357" s="10"/>
      <c r="I2357" s="436" t="s">
        <v>7034</v>
      </c>
      <c r="J2357" s="26" t="s">
        <v>7033</v>
      </c>
      <c r="K2357" s="10">
        <v>0.45</v>
      </c>
      <c r="L2357" s="73">
        <f>IF(Tank1!$C$23="No control",(SUMIF(Tank1!$B$32:$B$49,$J2357,Tank1!$C$32:$C$49)*Impacts!$F$8),0)</f>
        <v>0</v>
      </c>
      <c r="M2357" s="10">
        <f>IF(Tank2!$C$23="No control",(SUMIF(Tank2!$B$32:$B$49,$J2357,Tank2!$C$32:$C$49)*Impacts!$F$9),0)</f>
        <v>0</v>
      </c>
      <c r="N2357" s="10">
        <f>IF(Tank3!$C$23="No control",(SUMIF(Tank3!$B$32:$B$49,$J2357,Tank3!$C$32:$C$49)*Impacts!$F$10),0)</f>
        <v>0</v>
      </c>
      <c r="O2357" s="10">
        <f>IF(Tank4!$C$23="No control",(SUMIF(Tank4!$B$32:$B$49,$J2357,Tank4!$C$32:$C$49)*Impacts!$F$11),0)</f>
        <v>0</v>
      </c>
      <c r="P2357" s="10">
        <f>IF(Tank5!$C$23="No control",(SUMIF(Tank5!$B$32:$B$49,$J2357,Tank5!$C$32:$C$49)*Impacts!$F$12),0)</f>
        <v>0</v>
      </c>
      <c r="Q2357" s="10">
        <f>IFERROR(IF(('Loading-drum,tote'!$C$21)="No control",SUMIF(('Loading-drum,tote'!$B$31:$B$48),$J2357,('Loading-drum,tote'!$D$31:$D$48))*Impacts!$F$13,IF(('Loading-drum,tote'!$C$21)&lt;&gt;"No control",SUMIF(('Loading-drum,tote'!$B$31:$B$48),$J2357,('Loading-drum,tote'!$E$31:$E$48))*Impacts!$F$13,0)),0)</f>
        <v>0</v>
      </c>
      <c r="R2357" s="10">
        <f>IFERROR(IF(('Loading-truck'!$C$21)="No control",SUMIF(('Loading-truck'!$B$31:$B$48),$J2357,('Loading-truck'!$D$31:$D$48))*Impacts!$F$14,IF(('Loading-truck'!$C$21)&lt;&gt;"No control",SUMIF(('Loading-truck'!$B$31:$B$48),$J2357,('Loading-truck'!$E$31:$E$48))*Impacts!$F$14,0)),0)</f>
        <v>0</v>
      </c>
      <c r="S2357" s="10">
        <f>IFERROR(IF(('Loading-rail'!$C$21)="No control",SUMIF(('Loading-rail'!$B$31:$B$48),$J2357,('Loading-rail'!$D$31:$D$48))*Impacts!$F$15,IF(('Loading-rail'!$C$21)&lt;&gt;"No control",SUMIF(('Loading-rail'!$B$31:$B$48),$J2357,('Loading-rail'!$E$31:$E$48))*Impacts!$F$15,0)),0)</f>
        <v>0</v>
      </c>
      <c r="T2357" s="10">
        <f>IF(Flare!$C$7="",0,(SUMIF(Flare!$B$46:$B$185,$J2357,Flare!$E$46:$E$185)*Impacts!$F$16))</f>
        <v>0</v>
      </c>
      <c r="U2357" s="10">
        <f>IF(VCU!$C$9="",0,(SUMIF(VCU!$B$51:$B$193,$J2357,VCU!$E$51:$E$193)*Impacts!$F$17))</f>
        <v>0</v>
      </c>
      <c r="V2357" s="10">
        <f>IF(CAS!$C$7="",0,(SUMIF(CAS!$B$31:$B$167,$J2357,CAS!$E$31:$E$167)*Impacts!$F$18))</f>
        <v>0</v>
      </c>
      <c r="W2357" s="10">
        <f t="shared" si="77"/>
        <v>0</v>
      </c>
      <c r="AK2357" s="10" t="str">
        <f t="array" ref="AK2357">IFERROR(INDEX(SelectedSpecies,SMALL(IF(SelectedSpecies=AK$1,ROW(SelectedSpecies)),ROW(2358:2358)),2),"")</f>
        <v/>
      </c>
      <c r="BE2357" s="10"/>
      <c r="BI2357" s="10"/>
    </row>
    <row r="2358" spans="1:61" ht="21" customHeight="1" x14ac:dyDescent="0.25">
      <c r="A2358" s="10"/>
      <c r="B2358" s="10"/>
      <c r="E2358" s="10"/>
      <c r="G2358" s="10"/>
      <c r="I2358" s="436" t="s">
        <v>7614</v>
      </c>
      <c r="J2358" s="26" t="s">
        <v>7613</v>
      </c>
      <c r="K2358" s="10">
        <v>0.15000000000000002</v>
      </c>
      <c r="L2358" s="73">
        <f>IF(Tank1!$C$23="No control",(SUMIF(Tank1!$B$32:$B$49,$J2358,Tank1!$C$32:$C$49)*Impacts!$F$8),0)</f>
        <v>0</v>
      </c>
      <c r="M2358" s="10">
        <f>IF(Tank2!$C$23="No control",(SUMIF(Tank2!$B$32:$B$49,$J2358,Tank2!$C$32:$C$49)*Impacts!$F$9),0)</f>
        <v>0</v>
      </c>
      <c r="N2358" s="10">
        <f>IF(Tank3!$C$23="No control",(SUMIF(Tank3!$B$32:$B$49,$J2358,Tank3!$C$32:$C$49)*Impacts!$F$10),0)</f>
        <v>0</v>
      </c>
      <c r="O2358" s="10">
        <f>IF(Tank4!$C$23="No control",(SUMIF(Tank4!$B$32:$B$49,$J2358,Tank4!$C$32:$C$49)*Impacts!$F$11),0)</f>
        <v>0</v>
      </c>
      <c r="P2358" s="10">
        <f>IF(Tank5!$C$23="No control",(SUMIF(Tank5!$B$32:$B$49,$J2358,Tank5!$C$32:$C$49)*Impacts!$F$12),0)</f>
        <v>0</v>
      </c>
      <c r="Q2358" s="10">
        <f>IFERROR(IF(('Loading-drum,tote'!$C$21)="No control",SUMIF(('Loading-drum,tote'!$B$31:$B$48),$J2358,('Loading-drum,tote'!$D$31:$D$48))*Impacts!$F$13,IF(('Loading-drum,tote'!$C$21)&lt;&gt;"No control",SUMIF(('Loading-drum,tote'!$B$31:$B$48),$J2358,('Loading-drum,tote'!$E$31:$E$48))*Impacts!$F$13,0)),0)</f>
        <v>0</v>
      </c>
      <c r="R2358" s="10">
        <f>IFERROR(IF(('Loading-truck'!$C$21)="No control",SUMIF(('Loading-truck'!$B$31:$B$48),$J2358,('Loading-truck'!$D$31:$D$48))*Impacts!$F$14,IF(('Loading-truck'!$C$21)&lt;&gt;"No control",SUMIF(('Loading-truck'!$B$31:$B$48),$J2358,('Loading-truck'!$E$31:$E$48))*Impacts!$F$14,0)),0)</f>
        <v>0</v>
      </c>
      <c r="S2358" s="10">
        <f>IFERROR(IF(('Loading-rail'!$C$21)="No control",SUMIF(('Loading-rail'!$B$31:$B$48),$J2358,('Loading-rail'!$D$31:$D$48))*Impacts!$F$15,IF(('Loading-rail'!$C$21)&lt;&gt;"No control",SUMIF(('Loading-rail'!$B$31:$B$48),$J2358,('Loading-rail'!$E$31:$E$48))*Impacts!$F$15,0)),0)</f>
        <v>0</v>
      </c>
      <c r="T2358" s="10">
        <f>IF(Flare!$C$7="",0,(SUMIF(Flare!$B$46:$B$185,$J2358,Flare!$E$46:$E$185)*Impacts!$F$16))</f>
        <v>0</v>
      </c>
      <c r="U2358" s="10">
        <f>IF(VCU!$C$9="",0,(SUMIF(VCU!$B$51:$B$193,$J2358,VCU!$E$51:$E$193)*Impacts!$F$17))</f>
        <v>0</v>
      </c>
      <c r="V2358" s="10">
        <f>IF(CAS!$C$7="",0,(SUMIF(CAS!$B$31:$B$167,$J2358,CAS!$E$31:$E$167)*Impacts!$F$18))</f>
        <v>0</v>
      </c>
      <c r="W2358" s="10">
        <f t="shared" si="77"/>
        <v>0</v>
      </c>
      <c r="AK2358" s="10" t="str">
        <f t="array" ref="AK2358">IFERROR(INDEX(SelectedSpecies,SMALL(IF(SelectedSpecies=AK$1,ROW(SelectedSpecies)),ROW(2359:2359)),2),"")</f>
        <v/>
      </c>
      <c r="BE2358" s="10"/>
      <c r="BI2358" s="10"/>
    </row>
    <row r="2359" spans="1:61" ht="21" customHeight="1" x14ac:dyDescent="0.25">
      <c r="A2359" s="10"/>
      <c r="B2359" s="10"/>
      <c r="E2359" s="10"/>
      <c r="G2359" s="10"/>
      <c r="I2359" s="436" t="s">
        <v>7188</v>
      </c>
      <c r="J2359" s="26" t="s">
        <v>7187</v>
      </c>
      <c r="K2359" s="10">
        <v>0.33</v>
      </c>
      <c r="L2359" s="73">
        <f>IF(Tank1!$C$23="No control",(SUMIF(Tank1!$B$32:$B$49,$J2359,Tank1!$C$32:$C$49)*Impacts!$F$8),0)</f>
        <v>0</v>
      </c>
      <c r="M2359" s="10">
        <f>IF(Tank2!$C$23="No control",(SUMIF(Tank2!$B$32:$B$49,$J2359,Tank2!$C$32:$C$49)*Impacts!$F$9),0)</f>
        <v>0</v>
      </c>
      <c r="N2359" s="10">
        <f>IF(Tank3!$C$23="No control",(SUMIF(Tank3!$B$32:$B$49,$J2359,Tank3!$C$32:$C$49)*Impacts!$F$10),0)</f>
        <v>0</v>
      </c>
      <c r="O2359" s="10">
        <f>IF(Tank4!$C$23="No control",(SUMIF(Tank4!$B$32:$B$49,$J2359,Tank4!$C$32:$C$49)*Impacts!$F$11),0)</f>
        <v>0</v>
      </c>
      <c r="P2359" s="10">
        <f>IF(Tank5!$C$23="No control",(SUMIF(Tank5!$B$32:$B$49,$J2359,Tank5!$C$32:$C$49)*Impacts!$F$12),0)</f>
        <v>0</v>
      </c>
      <c r="Q2359" s="10">
        <f>IFERROR(IF(('Loading-drum,tote'!$C$21)="No control",SUMIF(('Loading-drum,tote'!$B$31:$B$48),$J2359,('Loading-drum,tote'!$D$31:$D$48))*Impacts!$F$13,IF(('Loading-drum,tote'!$C$21)&lt;&gt;"No control",SUMIF(('Loading-drum,tote'!$B$31:$B$48),$J2359,('Loading-drum,tote'!$E$31:$E$48))*Impacts!$F$13,0)),0)</f>
        <v>0</v>
      </c>
      <c r="R2359" s="10">
        <f>IFERROR(IF(('Loading-truck'!$C$21)="No control",SUMIF(('Loading-truck'!$B$31:$B$48),$J2359,('Loading-truck'!$D$31:$D$48))*Impacts!$F$14,IF(('Loading-truck'!$C$21)&lt;&gt;"No control",SUMIF(('Loading-truck'!$B$31:$B$48),$J2359,('Loading-truck'!$E$31:$E$48))*Impacts!$F$14,0)),0)</f>
        <v>0</v>
      </c>
      <c r="S2359" s="10">
        <f>IFERROR(IF(('Loading-rail'!$C$21)="No control",SUMIF(('Loading-rail'!$B$31:$B$48),$J2359,('Loading-rail'!$D$31:$D$48))*Impacts!$F$15,IF(('Loading-rail'!$C$21)&lt;&gt;"No control",SUMIF(('Loading-rail'!$B$31:$B$48),$J2359,('Loading-rail'!$E$31:$E$48))*Impacts!$F$15,0)),0)</f>
        <v>0</v>
      </c>
      <c r="T2359" s="10">
        <f>IF(Flare!$C$7="",0,(SUMIF(Flare!$B$46:$B$185,$J2359,Flare!$E$46:$E$185)*Impacts!$F$16))</f>
        <v>0</v>
      </c>
      <c r="U2359" s="10">
        <f>IF(VCU!$C$9="",0,(SUMIF(VCU!$B$51:$B$193,$J2359,VCU!$E$51:$E$193)*Impacts!$F$17))</f>
        <v>0</v>
      </c>
      <c r="V2359" s="10">
        <f>IF(CAS!$C$7="",0,(SUMIF(CAS!$B$31:$B$167,$J2359,CAS!$E$31:$E$167)*Impacts!$F$18))</f>
        <v>0</v>
      </c>
      <c r="W2359" s="10">
        <f t="shared" si="77"/>
        <v>0</v>
      </c>
      <c r="AK2359" s="10" t="str">
        <f t="array" ref="AK2359">IFERROR(INDEX(SelectedSpecies,SMALL(IF(SelectedSpecies=AK$1,ROW(SelectedSpecies)),ROW(2360:2360)),2),"")</f>
        <v/>
      </c>
      <c r="BE2359" s="10"/>
      <c r="BI2359" s="10"/>
    </row>
    <row r="2360" spans="1:61" ht="21" customHeight="1" x14ac:dyDescent="0.25">
      <c r="A2360" s="10"/>
      <c r="B2360" s="10"/>
      <c r="E2360" s="10"/>
      <c r="G2360" s="10"/>
      <c r="I2360" s="436" t="s">
        <v>7926</v>
      </c>
      <c r="J2360" s="26" t="s">
        <v>7925</v>
      </c>
      <c r="K2360" s="10">
        <v>0.05</v>
      </c>
      <c r="L2360" s="73">
        <f>IF(Tank1!$C$23="No control",(SUMIF(Tank1!$B$32:$B$49,$J2360,Tank1!$C$32:$C$49)*Impacts!$F$8),0)</f>
        <v>0</v>
      </c>
      <c r="M2360" s="10">
        <f>IF(Tank2!$C$23="No control",(SUMIF(Tank2!$B$32:$B$49,$J2360,Tank2!$C$32:$C$49)*Impacts!$F$9),0)</f>
        <v>0</v>
      </c>
      <c r="N2360" s="10">
        <f>IF(Tank3!$C$23="No control",(SUMIF(Tank3!$B$32:$B$49,$J2360,Tank3!$C$32:$C$49)*Impacts!$F$10),0)</f>
        <v>0</v>
      </c>
      <c r="O2360" s="10">
        <f>IF(Tank4!$C$23="No control",(SUMIF(Tank4!$B$32:$B$49,$J2360,Tank4!$C$32:$C$49)*Impacts!$F$11),0)</f>
        <v>0</v>
      </c>
      <c r="P2360" s="10">
        <f>IF(Tank5!$C$23="No control",(SUMIF(Tank5!$B$32:$B$49,$J2360,Tank5!$C$32:$C$49)*Impacts!$F$12),0)</f>
        <v>0</v>
      </c>
      <c r="Q2360" s="10">
        <f>IFERROR(IF(('Loading-drum,tote'!$C$21)="No control",SUMIF(('Loading-drum,tote'!$B$31:$B$48),$J2360,('Loading-drum,tote'!$D$31:$D$48))*Impacts!$F$13,IF(('Loading-drum,tote'!$C$21)&lt;&gt;"No control",SUMIF(('Loading-drum,tote'!$B$31:$B$48),$J2360,('Loading-drum,tote'!$E$31:$E$48))*Impacts!$F$13,0)),0)</f>
        <v>0</v>
      </c>
      <c r="R2360" s="10">
        <f>IFERROR(IF(('Loading-truck'!$C$21)="No control",SUMIF(('Loading-truck'!$B$31:$B$48),$J2360,('Loading-truck'!$D$31:$D$48))*Impacts!$F$14,IF(('Loading-truck'!$C$21)&lt;&gt;"No control",SUMIF(('Loading-truck'!$B$31:$B$48),$J2360,('Loading-truck'!$E$31:$E$48))*Impacts!$F$14,0)),0)</f>
        <v>0</v>
      </c>
      <c r="S2360" s="10">
        <f>IFERROR(IF(('Loading-rail'!$C$21)="No control",SUMIF(('Loading-rail'!$B$31:$B$48),$J2360,('Loading-rail'!$D$31:$D$48))*Impacts!$F$15,IF(('Loading-rail'!$C$21)&lt;&gt;"No control",SUMIF(('Loading-rail'!$B$31:$B$48),$J2360,('Loading-rail'!$E$31:$E$48))*Impacts!$F$15,0)),0)</f>
        <v>0</v>
      </c>
      <c r="T2360" s="10">
        <f>IF(Flare!$C$7="",0,(SUMIF(Flare!$B$46:$B$185,$J2360,Flare!$E$46:$E$185)*Impacts!$F$16))</f>
        <v>0</v>
      </c>
      <c r="U2360" s="10">
        <f>IF(VCU!$C$9="",0,(SUMIF(VCU!$B$51:$B$193,$J2360,VCU!$E$51:$E$193)*Impacts!$F$17))</f>
        <v>0</v>
      </c>
      <c r="V2360" s="10">
        <f>IF(CAS!$C$7="",0,(SUMIF(CAS!$B$31:$B$167,$J2360,CAS!$E$31:$E$167)*Impacts!$F$18))</f>
        <v>0</v>
      </c>
      <c r="W2360" s="10">
        <f t="shared" si="77"/>
        <v>0</v>
      </c>
      <c r="AK2360" s="10" t="str">
        <f t="array" ref="AK2360">IFERROR(INDEX(SelectedSpecies,SMALL(IF(SelectedSpecies=AK$1,ROW(SelectedSpecies)),ROW(2361:2361)),2),"")</f>
        <v/>
      </c>
      <c r="BE2360" s="10"/>
      <c r="BI2360" s="10"/>
    </row>
    <row r="2361" spans="1:61" ht="21" customHeight="1" x14ac:dyDescent="0.25">
      <c r="A2361" s="10"/>
      <c r="B2361" s="10"/>
      <c r="E2361" s="10"/>
      <c r="G2361" s="10"/>
      <c r="I2361" s="436" t="s">
        <v>1698</v>
      </c>
      <c r="J2361" s="26" t="s">
        <v>1697</v>
      </c>
      <c r="K2361" s="10">
        <v>24.5</v>
      </c>
      <c r="L2361" s="73">
        <f>IF(Tank1!$C$23="No control",(SUMIF(Tank1!$B$32:$B$49,$J2361,Tank1!$C$32:$C$49)*Impacts!$F$8),0)</f>
        <v>0</v>
      </c>
      <c r="M2361" s="10">
        <f>IF(Tank2!$C$23="No control",(SUMIF(Tank2!$B$32:$B$49,$J2361,Tank2!$C$32:$C$49)*Impacts!$F$9),0)</f>
        <v>0</v>
      </c>
      <c r="N2361" s="10">
        <f>IF(Tank3!$C$23="No control",(SUMIF(Tank3!$B$32:$B$49,$J2361,Tank3!$C$32:$C$49)*Impacts!$F$10),0)</f>
        <v>0</v>
      </c>
      <c r="O2361" s="10">
        <f>IF(Tank4!$C$23="No control",(SUMIF(Tank4!$B$32:$B$49,$J2361,Tank4!$C$32:$C$49)*Impacts!$F$11),0)</f>
        <v>0</v>
      </c>
      <c r="P2361" s="10">
        <f>IF(Tank5!$C$23="No control",(SUMIF(Tank5!$B$32:$B$49,$J2361,Tank5!$C$32:$C$49)*Impacts!$F$12),0)</f>
        <v>0</v>
      </c>
      <c r="Q2361" s="10">
        <f>IFERROR(IF(('Loading-drum,tote'!$C$21)="No control",SUMIF(('Loading-drum,tote'!$B$31:$B$48),$J2361,('Loading-drum,tote'!$D$31:$D$48))*Impacts!$F$13,IF(('Loading-drum,tote'!$C$21)&lt;&gt;"No control",SUMIF(('Loading-drum,tote'!$B$31:$B$48),$J2361,('Loading-drum,tote'!$E$31:$E$48))*Impacts!$F$13,0)),0)</f>
        <v>0</v>
      </c>
      <c r="R2361" s="10">
        <f>IFERROR(IF(('Loading-truck'!$C$21)="No control",SUMIF(('Loading-truck'!$B$31:$B$48),$J2361,('Loading-truck'!$D$31:$D$48))*Impacts!$F$14,IF(('Loading-truck'!$C$21)&lt;&gt;"No control",SUMIF(('Loading-truck'!$B$31:$B$48),$J2361,('Loading-truck'!$E$31:$E$48))*Impacts!$F$14,0)),0)</f>
        <v>0</v>
      </c>
      <c r="S2361" s="10">
        <f>IFERROR(IF(('Loading-rail'!$C$21)="No control",SUMIF(('Loading-rail'!$B$31:$B$48),$J2361,('Loading-rail'!$D$31:$D$48))*Impacts!$F$15,IF(('Loading-rail'!$C$21)&lt;&gt;"No control",SUMIF(('Loading-rail'!$B$31:$B$48),$J2361,('Loading-rail'!$E$31:$E$48))*Impacts!$F$15,0)),0)</f>
        <v>0</v>
      </c>
      <c r="T2361" s="10">
        <f>IF(Flare!$C$7="",0,(SUMIF(Flare!$B$46:$B$185,$J2361,Flare!$E$46:$E$185)*Impacts!$F$16))</f>
        <v>0</v>
      </c>
      <c r="U2361" s="10">
        <f>IF(VCU!$C$9="",0,(SUMIF(VCU!$B$51:$B$193,$J2361,VCU!$E$51:$E$193)*Impacts!$F$17))</f>
        <v>0</v>
      </c>
      <c r="V2361" s="10">
        <f>IF(CAS!$C$7="",0,(SUMIF(CAS!$B$31:$B$167,$J2361,CAS!$E$31:$E$167)*Impacts!$F$18))</f>
        <v>0</v>
      </c>
      <c r="W2361" s="10">
        <f t="shared" si="77"/>
        <v>0</v>
      </c>
      <c r="AK2361" s="10" t="str">
        <f t="array" ref="AK2361">IFERROR(INDEX(SelectedSpecies,SMALL(IF(SelectedSpecies=AK$1,ROW(SelectedSpecies)),ROW(2362:2362)),2),"")</f>
        <v/>
      </c>
      <c r="BE2361" s="10"/>
      <c r="BI2361" s="10"/>
    </row>
    <row r="2362" spans="1:61" ht="21" customHeight="1" x14ac:dyDescent="0.25">
      <c r="A2362" s="10"/>
      <c r="B2362" s="10"/>
      <c r="E2362" s="10"/>
      <c r="G2362" s="10"/>
      <c r="I2362" s="436" t="s">
        <v>6318</v>
      </c>
      <c r="J2362" s="26" t="s">
        <v>6317</v>
      </c>
      <c r="K2362" s="10">
        <v>0.9</v>
      </c>
      <c r="L2362" s="73">
        <f>IF(Tank1!$C$23="No control",(SUMIF(Tank1!$B$32:$B$49,$J2362,Tank1!$C$32:$C$49)*Impacts!$F$8),0)</f>
        <v>0</v>
      </c>
      <c r="M2362" s="10">
        <f>IF(Tank2!$C$23="No control",(SUMIF(Tank2!$B$32:$B$49,$J2362,Tank2!$C$32:$C$49)*Impacts!$F$9),0)</f>
        <v>0</v>
      </c>
      <c r="N2362" s="10">
        <f>IF(Tank3!$C$23="No control",(SUMIF(Tank3!$B$32:$B$49,$J2362,Tank3!$C$32:$C$49)*Impacts!$F$10),0)</f>
        <v>0</v>
      </c>
      <c r="O2362" s="10">
        <f>IF(Tank4!$C$23="No control",(SUMIF(Tank4!$B$32:$B$49,$J2362,Tank4!$C$32:$C$49)*Impacts!$F$11),0)</f>
        <v>0</v>
      </c>
      <c r="P2362" s="10">
        <f>IF(Tank5!$C$23="No control",(SUMIF(Tank5!$B$32:$B$49,$J2362,Tank5!$C$32:$C$49)*Impacts!$F$12),0)</f>
        <v>0</v>
      </c>
      <c r="Q2362" s="10">
        <f>IFERROR(IF(('Loading-drum,tote'!$C$21)="No control",SUMIF(('Loading-drum,tote'!$B$31:$B$48),$J2362,('Loading-drum,tote'!$D$31:$D$48))*Impacts!$F$13,IF(('Loading-drum,tote'!$C$21)&lt;&gt;"No control",SUMIF(('Loading-drum,tote'!$B$31:$B$48),$J2362,('Loading-drum,tote'!$E$31:$E$48))*Impacts!$F$13,0)),0)</f>
        <v>0</v>
      </c>
      <c r="R2362" s="10">
        <f>IFERROR(IF(('Loading-truck'!$C$21)="No control",SUMIF(('Loading-truck'!$B$31:$B$48),$J2362,('Loading-truck'!$D$31:$D$48))*Impacts!$F$14,IF(('Loading-truck'!$C$21)&lt;&gt;"No control",SUMIF(('Loading-truck'!$B$31:$B$48),$J2362,('Loading-truck'!$E$31:$E$48))*Impacts!$F$14,0)),0)</f>
        <v>0</v>
      </c>
      <c r="S2362" s="10">
        <f>IFERROR(IF(('Loading-rail'!$C$21)="No control",SUMIF(('Loading-rail'!$B$31:$B$48),$J2362,('Loading-rail'!$D$31:$D$48))*Impacts!$F$15,IF(('Loading-rail'!$C$21)&lt;&gt;"No control",SUMIF(('Loading-rail'!$B$31:$B$48),$J2362,('Loading-rail'!$E$31:$E$48))*Impacts!$F$15,0)),0)</f>
        <v>0</v>
      </c>
      <c r="T2362" s="10">
        <f>IF(Flare!$C$7="",0,(SUMIF(Flare!$B$46:$B$185,$J2362,Flare!$E$46:$E$185)*Impacts!$F$16))</f>
        <v>0</v>
      </c>
      <c r="U2362" s="10">
        <f>IF(VCU!$C$9="",0,(SUMIF(VCU!$B$51:$B$193,$J2362,VCU!$E$51:$E$193)*Impacts!$F$17))</f>
        <v>0</v>
      </c>
      <c r="V2362" s="10">
        <f>IF(CAS!$C$7="",0,(SUMIF(CAS!$B$31:$B$167,$J2362,CAS!$E$31:$E$167)*Impacts!$F$18))</f>
        <v>0</v>
      </c>
      <c r="W2362" s="10">
        <f t="shared" si="77"/>
        <v>0</v>
      </c>
      <c r="AK2362" s="10" t="str">
        <f t="array" ref="AK2362">IFERROR(INDEX(SelectedSpecies,SMALL(IF(SelectedSpecies=AK$1,ROW(SelectedSpecies)),ROW(2363:2363)),2),"")</f>
        <v/>
      </c>
      <c r="BE2362" s="10"/>
      <c r="BI2362" s="10"/>
    </row>
    <row r="2363" spans="1:61" ht="21" customHeight="1" x14ac:dyDescent="0.25">
      <c r="A2363" s="10"/>
      <c r="B2363" s="10"/>
      <c r="E2363" s="10"/>
      <c r="G2363" s="10"/>
      <c r="I2363" s="436" t="s">
        <v>3469</v>
      </c>
      <c r="J2363" s="26" t="s">
        <v>3468</v>
      </c>
      <c r="K2363" s="10">
        <v>9.7000000000000011</v>
      </c>
      <c r="L2363" s="73">
        <f>IF(Tank1!$C$23="No control",(SUMIF(Tank1!$B$32:$B$49,$J2363,Tank1!$C$32:$C$49)*Impacts!$F$8),0)</f>
        <v>0</v>
      </c>
      <c r="M2363" s="10">
        <f>IF(Tank2!$C$23="No control",(SUMIF(Tank2!$B$32:$B$49,$J2363,Tank2!$C$32:$C$49)*Impacts!$F$9),0)</f>
        <v>0</v>
      </c>
      <c r="N2363" s="10">
        <f>IF(Tank3!$C$23="No control",(SUMIF(Tank3!$B$32:$B$49,$J2363,Tank3!$C$32:$C$49)*Impacts!$F$10),0)</f>
        <v>0</v>
      </c>
      <c r="O2363" s="10">
        <f>IF(Tank4!$C$23="No control",(SUMIF(Tank4!$B$32:$B$49,$J2363,Tank4!$C$32:$C$49)*Impacts!$F$11),0)</f>
        <v>0</v>
      </c>
      <c r="P2363" s="10">
        <f>IF(Tank5!$C$23="No control",(SUMIF(Tank5!$B$32:$B$49,$J2363,Tank5!$C$32:$C$49)*Impacts!$F$12),0)</f>
        <v>0</v>
      </c>
      <c r="Q2363" s="10">
        <f>IFERROR(IF(('Loading-drum,tote'!$C$21)="No control",SUMIF(('Loading-drum,tote'!$B$31:$B$48),$J2363,('Loading-drum,tote'!$D$31:$D$48))*Impacts!$F$13,IF(('Loading-drum,tote'!$C$21)&lt;&gt;"No control",SUMIF(('Loading-drum,tote'!$B$31:$B$48),$J2363,('Loading-drum,tote'!$E$31:$E$48))*Impacts!$F$13,0)),0)</f>
        <v>0</v>
      </c>
      <c r="R2363" s="10">
        <f>IFERROR(IF(('Loading-truck'!$C$21)="No control",SUMIF(('Loading-truck'!$B$31:$B$48),$J2363,('Loading-truck'!$D$31:$D$48))*Impacts!$F$14,IF(('Loading-truck'!$C$21)&lt;&gt;"No control",SUMIF(('Loading-truck'!$B$31:$B$48),$J2363,('Loading-truck'!$E$31:$E$48))*Impacts!$F$14,0)),0)</f>
        <v>0</v>
      </c>
      <c r="S2363" s="10">
        <f>IFERROR(IF(('Loading-rail'!$C$21)="No control",SUMIF(('Loading-rail'!$B$31:$B$48),$J2363,('Loading-rail'!$D$31:$D$48))*Impacts!$F$15,IF(('Loading-rail'!$C$21)&lt;&gt;"No control",SUMIF(('Loading-rail'!$B$31:$B$48),$J2363,('Loading-rail'!$E$31:$E$48))*Impacts!$F$15,0)),0)</f>
        <v>0</v>
      </c>
      <c r="T2363" s="10">
        <f>IF(Flare!$C$7="",0,(SUMIF(Flare!$B$46:$B$185,$J2363,Flare!$E$46:$E$185)*Impacts!$F$16))</f>
        <v>0</v>
      </c>
      <c r="U2363" s="10">
        <f>IF(VCU!$C$9="",0,(SUMIF(VCU!$B$51:$B$193,$J2363,VCU!$E$51:$E$193)*Impacts!$F$17))</f>
        <v>0</v>
      </c>
      <c r="V2363" s="10">
        <f>IF(CAS!$C$7="",0,(SUMIF(CAS!$B$31:$B$167,$J2363,CAS!$E$31:$E$167)*Impacts!$F$18))</f>
        <v>0</v>
      </c>
      <c r="W2363" s="10">
        <f t="shared" si="77"/>
        <v>0</v>
      </c>
      <c r="AK2363" s="10" t="str">
        <f t="array" ref="AK2363">IFERROR(INDEX(SelectedSpecies,SMALL(IF(SelectedSpecies=AK$1,ROW(SelectedSpecies)),ROW(2364:2364)),2),"")</f>
        <v/>
      </c>
      <c r="BE2363" s="10"/>
      <c r="BI2363" s="10"/>
    </row>
    <row r="2364" spans="1:61" ht="21" customHeight="1" x14ac:dyDescent="0.25">
      <c r="A2364" s="10"/>
      <c r="B2364" s="10"/>
      <c r="E2364" s="10"/>
      <c r="G2364" s="10"/>
      <c r="I2364" s="436" t="s">
        <v>6442</v>
      </c>
      <c r="J2364" s="26" t="s">
        <v>6441</v>
      </c>
      <c r="K2364" s="10">
        <v>0.8</v>
      </c>
      <c r="L2364" s="73">
        <f>IF(Tank1!$C$23="No control",(SUMIF(Tank1!$B$32:$B$49,$J2364,Tank1!$C$32:$C$49)*Impacts!$F$8),0)</f>
        <v>0</v>
      </c>
      <c r="M2364" s="10">
        <f>IF(Tank2!$C$23="No control",(SUMIF(Tank2!$B$32:$B$49,$J2364,Tank2!$C$32:$C$49)*Impacts!$F$9),0)</f>
        <v>0</v>
      </c>
      <c r="N2364" s="10">
        <f>IF(Tank3!$C$23="No control",(SUMIF(Tank3!$B$32:$B$49,$J2364,Tank3!$C$32:$C$49)*Impacts!$F$10),0)</f>
        <v>0</v>
      </c>
      <c r="O2364" s="10">
        <f>IF(Tank4!$C$23="No control",(SUMIF(Tank4!$B$32:$B$49,$J2364,Tank4!$C$32:$C$49)*Impacts!$F$11),0)</f>
        <v>0</v>
      </c>
      <c r="P2364" s="10">
        <f>IF(Tank5!$C$23="No control",(SUMIF(Tank5!$B$32:$B$49,$J2364,Tank5!$C$32:$C$49)*Impacts!$F$12),0)</f>
        <v>0</v>
      </c>
      <c r="Q2364" s="10">
        <f>IFERROR(IF(('Loading-drum,tote'!$C$21)="No control",SUMIF(('Loading-drum,tote'!$B$31:$B$48),$J2364,('Loading-drum,tote'!$D$31:$D$48))*Impacts!$F$13,IF(('Loading-drum,tote'!$C$21)&lt;&gt;"No control",SUMIF(('Loading-drum,tote'!$B$31:$B$48),$J2364,('Loading-drum,tote'!$E$31:$E$48))*Impacts!$F$13,0)),0)</f>
        <v>0</v>
      </c>
      <c r="R2364" s="10">
        <f>IFERROR(IF(('Loading-truck'!$C$21)="No control",SUMIF(('Loading-truck'!$B$31:$B$48),$J2364,('Loading-truck'!$D$31:$D$48))*Impacts!$F$14,IF(('Loading-truck'!$C$21)&lt;&gt;"No control",SUMIF(('Loading-truck'!$B$31:$B$48),$J2364,('Loading-truck'!$E$31:$E$48))*Impacts!$F$14,0)),0)</f>
        <v>0</v>
      </c>
      <c r="S2364" s="10">
        <f>IFERROR(IF(('Loading-rail'!$C$21)="No control",SUMIF(('Loading-rail'!$B$31:$B$48),$J2364,('Loading-rail'!$D$31:$D$48))*Impacts!$F$15,IF(('Loading-rail'!$C$21)&lt;&gt;"No control",SUMIF(('Loading-rail'!$B$31:$B$48),$J2364,('Loading-rail'!$E$31:$E$48))*Impacts!$F$15,0)),0)</f>
        <v>0</v>
      </c>
      <c r="T2364" s="10">
        <f>IF(Flare!$C$7="",0,(SUMIF(Flare!$B$46:$B$185,$J2364,Flare!$E$46:$E$185)*Impacts!$F$16))</f>
        <v>0</v>
      </c>
      <c r="U2364" s="10">
        <f>IF(VCU!$C$9="",0,(SUMIF(VCU!$B$51:$B$193,$J2364,VCU!$E$51:$E$193)*Impacts!$F$17))</f>
        <v>0</v>
      </c>
      <c r="V2364" s="10">
        <f>IF(CAS!$C$7="",0,(SUMIF(CAS!$B$31:$B$167,$J2364,CAS!$E$31:$E$167)*Impacts!$F$18))</f>
        <v>0</v>
      </c>
      <c r="W2364" s="10">
        <f t="shared" si="77"/>
        <v>0</v>
      </c>
      <c r="AK2364" s="10" t="str">
        <f t="array" ref="AK2364">IFERROR(INDEX(SelectedSpecies,SMALL(IF(SelectedSpecies=AK$1,ROW(SelectedSpecies)),ROW(2365:2365)),2),"")</f>
        <v/>
      </c>
      <c r="BE2364" s="10"/>
      <c r="BI2364" s="10"/>
    </row>
    <row r="2365" spans="1:61" ht="21" customHeight="1" x14ac:dyDescent="0.25">
      <c r="A2365" s="10"/>
      <c r="B2365" s="10"/>
      <c r="E2365" s="10"/>
      <c r="G2365" s="10"/>
      <c r="I2365" s="436" t="s">
        <v>5976</v>
      </c>
      <c r="J2365" s="26" t="s">
        <v>5975</v>
      </c>
      <c r="K2365" s="10">
        <v>1</v>
      </c>
      <c r="L2365" s="73">
        <f>IF(Tank1!$C$23="No control",(SUMIF(Tank1!$B$32:$B$49,$J2365,Tank1!$C$32:$C$49)*Impacts!$F$8),0)</f>
        <v>0</v>
      </c>
      <c r="M2365" s="10">
        <f>IF(Tank2!$C$23="No control",(SUMIF(Tank2!$B$32:$B$49,$J2365,Tank2!$C$32:$C$49)*Impacts!$F$9),0)</f>
        <v>0</v>
      </c>
      <c r="N2365" s="10">
        <f>IF(Tank3!$C$23="No control",(SUMIF(Tank3!$B$32:$B$49,$J2365,Tank3!$C$32:$C$49)*Impacts!$F$10),0)</f>
        <v>0</v>
      </c>
      <c r="O2365" s="10">
        <f>IF(Tank4!$C$23="No control",(SUMIF(Tank4!$B$32:$B$49,$J2365,Tank4!$C$32:$C$49)*Impacts!$F$11),0)</f>
        <v>0</v>
      </c>
      <c r="P2365" s="10">
        <f>IF(Tank5!$C$23="No control",(SUMIF(Tank5!$B$32:$B$49,$J2365,Tank5!$C$32:$C$49)*Impacts!$F$12),0)</f>
        <v>0</v>
      </c>
      <c r="Q2365" s="10">
        <f>IFERROR(IF(('Loading-drum,tote'!$C$21)="No control",SUMIF(('Loading-drum,tote'!$B$31:$B$48),$J2365,('Loading-drum,tote'!$D$31:$D$48))*Impacts!$F$13,IF(('Loading-drum,tote'!$C$21)&lt;&gt;"No control",SUMIF(('Loading-drum,tote'!$B$31:$B$48),$J2365,('Loading-drum,tote'!$E$31:$E$48))*Impacts!$F$13,0)),0)</f>
        <v>0</v>
      </c>
      <c r="R2365" s="10">
        <f>IFERROR(IF(('Loading-truck'!$C$21)="No control",SUMIF(('Loading-truck'!$B$31:$B$48),$J2365,('Loading-truck'!$D$31:$D$48))*Impacts!$F$14,IF(('Loading-truck'!$C$21)&lt;&gt;"No control",SUMIF(('Loading-truck'!$B$31:$B$48),$J2365,('Loading-truck'!$E$31:$E$48))*Impacts!$F$14,0)),0)</f>
        <v>0</v>
      </c>
      <c r="S2365" s="10">
        <f>IFERROR(IF(('Loading-rail'!$C$21)="No control",SUMIF(('Loading-rail'!$B$31:$B$48),$J2365,('Loading-rail'!$D$31:$D$48))*Impacts!$F$15,IF(('Loading-rail'!$C$21)&lt;&gt;"No control",SUMIF(('Loading-rail'!$B$31:$B$48),$J2365,('Loading-rail'!$E$31:$E$48))*Impacts!$F$15,0)),0)</f>
        <v>0</v>
      </c>
      <c r="T2365" s="10">
        <f>IF(Flare!$C$7="",0,(SUMIF(Flare!$B$46:$B$185,$J2365,Flare!$E$46:$E$185)*Impacts!$F$16))</f>
        <v>0</v>
      </c>
      <c r="U2365" s="10">
        <f>IF(VCU!$C$9="",0,(SUMIF(VCU!$B$51:$B$193,$J2365,VCU!$E$51:$E$193)*Impacts!$F$17))</f>
        <v>0</v>
      </c>
      <c r="V2365" s="10">
        <f>IF(CAS!$C$7="",0,(SUMIF(CAS!$B$31:$B$167,$J2365,CAS!$E$31:$E$167)*Impacts!$F$18))</f>
        <v>0</v>
      </c>
      <c r="W2365" s="10">
        <f t="shared" si="77"/>
        <v>0</v>
      </c>
      <c r="AK2365" s="10" t="str">
        <f t="array" ref="AK2365">IFERROR(INDEX(SelectedSpecies,SMALL(IF(SelectedSpecies=AK$1,ROW(SelectedSpecies)),ROW(2366:2366)),2),"")</f>
        <v/>
      </c>
      <c r="BE2365" s="10"/>
      <c r="BI2365" s="10"/>
    </row>
    <row r="2366" spans="1:61" ht="21" customHeight="1" x14ac:dyDescent="0.25">
      <c r="A2366" s="10"/>
      <c r="B2366" s="10"/>
      <c r="E2366" s="10"/>
      <c r="G2366" s="10"/>
      <c r="I2366" s="436" t="s">
        <v>2951</v>
      </c>
      <c r="J2366" s="26" t="s">
        <v>2950</v>
      </c>
      <c r="K2366" s="10">
        <v>10</v>
      </c>
      <c r="L2366" s="73">
        <f>IF(Tank1!$C$23="No control",(SUMIF(Tank1!$B$32:$B$49,$J2366,Tank1!$C$32:$C$49)*Impacts!$F$8),0)</f>
        <v>0</v>
      </c>
      <c r="M2366" s="10">
        <f>IF(Tank2!$C$23="No control",(SUMIF(Tank2!$B$32:$B$49,$J2366,Tank2!$C$32:$C$49)*Impacts!$F$9),0)</f>
        <v>0</v>
      </c>
      <c r="N2366" s="10">
        <f>IF(Tank3!$C$23="No control",(SUMIF(Tank3!$B$32:$B$49,$J2366,Tank3!$C$32:$C$49)*Impacts!$F$10),0)</f>
        <v>0</v>
      </c>
      <c r="O2366" s="10">
        <f>IF(Tank4!$C$23="No control",(SUMIF(Tank4!$B$32:$B$49,$J2366,Tank4!$C$32:$C$49)*Impacts!$F$11),0)</f>
        <v>0</v>
      </c>
      <c r="P2366" s="10">
        <f>IF(Tank5!$C$23="No control",(SUMIF(Tank5!$B$32:$B$49,$J2366,Tank5!$C$32:$C$49)*Impacts!$F$12),0)</f>
        <v>0</v>
      </c>
      <c r="Q2366" s="10">
        <f>IFERROR(IF(('Loading-drum,tote'!$C$21)="No control",SUMIF(('Loading-drum,tote'!$B$31:$B$48),$J2366,('Loading-drum,tote'!$D$31:$D$48))*Impacts!$F$13,IF(('Loading-drum,tote'!$C$21)&lt;&gt;"No control",SUMIF(('Loading-drum,tote'!$B$31:$B$48),$J2366,('Loading-drum,tote'!$E$31:$E$48))*Impacts!$F$13,0)),0)</f>
        <v>0</v>
      </c>
      <c r="R2366" s="10">
        <f>IFERROR(IF(('Loading-truck'!$C$21)="No control",SUMIF(('Loading-truck'!$B$31:$B$48),$J2366,('Loading-truck'!$D$31:$D$48))*Impacts!$F$14,IF(('Loading-truck'!$C$21)&lt;&gt;"No control",SUMIF(('Loading-truck'!$B$31:$B$48),$J2366,('Loading-truck'!$E$31:$E$48))*Impacts!$F$14,0)),0)</f>
        <v>0</v>
      </c>
      <c r="S2366" s="10">
        <f>IFERROR(IF(('Loading-rail'!$C$21)="No control",SUMIF(('Loading-rail'!$B$31:$B$48),$J2366,('Loading-rail'!$D$31:$D$48))*Impacts!$F$15,IF(('Loading-rail'!$C$21)&lt;&gt;"No control",SUMIF(('Loading-rail'!$B$31:$B$48),$J2366,('Loading-rail'!$E$31:$E$48))*Impacts!$F$15,0)),0)</f>
        <v>0</v>
      </c>
      <c r="T2366" s="10">
        <f>IF(Flare!$C$7="",0,(SUMIF(Flare!$B$46:$B$185,$J2366,Flare!$E$46:$E$185)*Impacts!$F$16))</f>
        <v>0</v>
      </c>
      <c r="U2366" s="10">
        <f>IF(VCU!$C$9="",0,(SUMIF(VCU!$B$51:$B$193,$J2366,VCU!$E$51:$E$193)*Impacts!$F$17))</f>
        <v>0</v>
      </c>
      <c r="V2366" s="10">
        <f>IF(CAS!$C$7="",0,(SUMIF(CAS!$B$31:$B$167,$J2366,CAS!$E$31:$E$167)*Impacts!$F$18))</f>
        <v>0</v>
      </c>
      <c r="W2366" s="10">
        <f t="shared" si="77"/>
        <v>0</v>
      </c>
      <c r="AK2366" s="10" t="str">
        <f t="array" ref="AK2366">IFERROR(INDEX(SelectedSpecies,SMALL(IF(SelectedSpecies=AK$1,ROW(SelectedSpecies)),ROW(2367:2367)),2),"")</f>
        <v/>
      </c>
      <c r="BE2366" s="10"/>
      <c r="BI2366" s="10"/>
    </row>
    <row r="2367" spans="1:61" ht="21" customHeight="1" x14ac:dyDescent="0.25">
      <c r="A2367" s="10"/>
      <c r="B2367" s="10"/>
      <c r="E2367" s="10"/>
      <c r="G2367" s="10"/>
      <c r="I2367" s="436" t="s">
        <v>5978</v>
      </c>
      <c r="J2367" s="26" t="s">
        <v>5977</v>
      </c>
      <c r="K2367" s="10">
        <v>1</v>
      </c>
      <c r="L2367" s="73">
        <f>IF(Tank1!$C$23="No control",(SUMIF(Tank1!$B$32:$B$49,$J2367,Tank1!$C$32:$C$49)*Impacts!$F$8),0)</f>
        <v>0</v>
      </c>
      <c r="M2367" s="10">
        <f>IF(Tank2!$C$23="No control",(SUMIF(Tank2!$B$32:$B$49,$J2367,Tank2!$C$32:$C$49)*Impacts!$F$9),0)</f>
        <v>0</v>
      </c>
      <c r="N2367" s="10">
        <f>IF(Tank3!$C$23="No control",(SUMIF(Tank3!$B$32:$B$49,$J2367,Tank3!$C$32:$C$49)*Impacts!$F$10),0)</f>
        <v>0</v>
      </c>
      <c r="O2367" s="10">
        <f>IF(Tank4!$C$23="No control",(SUMIF(Tank4!$B$32:$B$49,$J2367,Tank4!$C$32:$C$49)*Impacts!$F$11),0)</f>
        <v>0</v>
      </c>
      <c r="P2367" s="10">
        <f>IF(Tank5!$C$23="No control",(SUMIF(Tank5!$B$32:$B$49,$J2367,Tank5!$C$32:$C$49)*Impacts!$F$12),0)</f>
        <v>0</v>
      </c>
      <c r="Q2367" s="10">
        <f>IFERROR(IF(('Loading-drum,tote'!$C$21)="No control",SUMIF(('Loading-drum,tote'!$B$31:$B$48),$J2367,('Loading-drum,tote'!$D$31:$D$48))*Impacts!$F$13,IF(('Loading-drum,tote'!$C$21)&lt;&gt;"No control",SUMIF(('Loading-drum,tote'!$B$31:$B$48),$J2367,('Loading-drum,tote'!$E$31:$E$48))*Impacts!$F$13,0)),0)</f>
        <v>0</v>
      </c>
      <c r="R2367" s="10">
        <f>IFERROR(IF(('Loading-truck'!$C$21)="No control",SUMIF(('Loading-truck'!$B$31:$B$48),$J2367,('Loading-truck'!$D$31:$D$48))*Impacts!$F$14,IF(('Loading-truck'!$C$21)&lt;&gt;"No control",SUMIF(('Loading-truck'!$B$31:$B$48),$J2367,('Loading-truck'!$E$31:$E$48))*Impacts!$F$14,0)),0)</f>
        <v>0</v>
      </c>
      <c r="S2367" s="10">
        <f>IFERROR(IF(('Loading-rail'!$C$21)="No control",SUMIF(('Loading-rail'!$B$31:$B$48),$J2367,('Loading-rail'!$D$31:$D$48))*Impacts!$F$15,IF(('Loading-rail'!$C$21)&lt;&gt;"No control",SUMIF(('Loading-rail'!$B$31:$B$48),$J2367,('Loading-rail'!$E$31:$E$48))*Impacts!$F$15,0)),0)</f>
        <v>0</v>
      </c>
      <c r="T2367" s="10">
        <f>IF(Flare!$C$7="",0,(SUMIF(Flare!$B$46:$B$185,$J2367,Flare!$E$46:$E$185)*Impacts!$F$16))</f>
        <v>0</v>
      </c>
      <c r="U2367" s="10">
        <f>IF(VCU!$C$9="",0,(SUMIF(VCU!$B$51:$B$193,$J2367,VCU!$E$51:$E$193)*Impacts!$F$17))</f>
        <v>0</v>
      </c>
      <c r="V2367" s="10">
        <f>IF(CAS!$C$7="",0,(SUMIF(CAS!$B$31:$B$167,$J2367,CAS!$E$31:$E$167)*Impacts!$F$18))</f>
        <v>0</v>
      </c>
      <c r="W2367" s="10">
        <f t="shared" si="77"/>
        <v>0</v>
      </c>
      <c r="AK2367" s="10" t="str">
        <f t="array" ref="AK2367">IFERROR(INDEX(SelectedSpecies,SMALL(IF(SelectedSpecies=AK$1,ROW(SelectedSpecies)),ROW(2368:2368)),2),"")</f>
        <v/>
      </c>
      <c r="BE2367" s="10"/>
      <c r="BI2367" s="10"/>
    </row>
    <row r="2368" spans="1:61" ht="21" customHeight="1" x14ac:dyDescent="0.25">
      <c r="A2368" s="10"/>
      <c r="B2368" s="10"/>
      <c r="E2368" s="10"/>
      <c r="G2368" s="10"/>
      <c r="I2368" s="436" t="s">
        <v>5187</v>
      </c>
      <c r="J2368" s="26" t="s">
        <v>5186</v>
      </c>
      <c r="K2368" s="10">
        <v>2</v>
      </c>
      <c r="L2368" s="73">
        <f>IF(Tank1!$C$23="No control",(SUMIF(Tank1!$B$32:$B$49,$J2368,Tank1!$C$32:$C$49)*Impacts!$F$8),0)</f>
        <v>0</v>
      </c>
      <c r="M2368" s="10">
        <f>IF(Tank2!$C$23="No control",(SUMIF(Tank2!$B$32:$B$49,$J2368,Tank2!$C$32:$C$49)*Impacts!$F$9),0)</f>
        <v>0</v>
      </c>
      <c r="N2368" s="10">
        <f>IF(Tank3!$C$23="No control",(SUMIF(Tank3!$B$32:$B$49,$J2368,Tank3!$C$32:$C$49)*Impacts!$F$10),0)</f>
        <v>0</v>
      </c>
      <c r="O2368" s="10">
        <f>IF(Tank4!$C$23="No control",(SUMIF(Tank4!$B$32:$B$49,$J2368,Tank4!$C$32:$C$49)*Impacts!$F$11),0)</f>
        <v>0</v>
      </c>
      <c r="P2368" s="10">
        <f>IF(Tank5!$C$23="No control",(SUMIF(Tank5!$B$32:$B$49,$J2368,Tank5!$C$32:$C$49)*Impacts!$F$12),0)</f>
        <v>0</v>
      </c>
      <c r="Q2368" s="10">
        <f>IFERROR(IF(('Loading-drum,tote'!$C$21)="No control",SUMIF(('Loading-drum,tote'!$B$31:$B$48),$J2368,('Loading-drum,tote'!$D$31:$D$48))*Impacts!$F$13,IF(('Loading-drum,tote'!$C$21)&lt;&gt;"No control",SUMIF(('Loading-drum,tote'!$B$31:$B$48),$J2368,('Loading-drum,tote'!$E$31:$E$48))*Impacts!$F$13,0)),0)</f>
        <v>0</v>
      </c>
      <c r="R2368" s="10">
        <f>IFERROR(IF(('Loading-truck'!$C$21)="No control",SUMIF(('Loading-truck'!$B$31:$B$48),$J2368,('Loading-truck'!$D$31:$D$48))*Impacts!$F$14,IF(('Loading-truck'!$C$21)&lt;&gt;"No control",SUMIF(('Loading-truck'!$B$31:$B$48),$J2368,('Loading-truck'!$E$31:$E$48))*Impacts!$F$14,0)),0)</f>
        <v>0</v>
      </c>
      <c r="S2368" s="10">
        <f>IFERROR(IF(('Loading-rail'!$C$21)="No control",SUMIF(('Loading-rail'!$B$31:$B$48),$J2368,('Loading-rail'!$D$31:$D$48))*Impacts!$F$15,IF(('Loading-rail'!$C$21)&lt;&gt;"No control",SUMIF(('Loading-rail'!$B$31:$B$48),$J2368,('Loading-rail'!$E$31:$E$48))*Impacts!$F$15,0)),0)</f>
        <v>0</v>
      </c>
      <c r="T2368" s="10">
        <f>IF(Flare!$C$7="",0,(SUMIF(Flare!$B$46:$B$185,$J2368,Flare!$E$46:$E$185)*Impacts!$F$16))</f>
        <v>0</v>
      </c>
      <c r="U2368" s="10">
        <f>IF(VCU!$C$9="",0,(SUMIF(VCU!$B$51:$B$193,$J2368,VCU!$E$51:$E$193)*Impacts!$F$17))</f>
        <v>0</v>
      </c>
      <c r="V2368" s="10">
        <f>IF(CAS!$C$7="",0,(SUMIF(CAS!$B$31:$B$167,$J2368,CAS!$E$31:$E$167)*Impacts!$F$18))</f>
        <v>0</v>
      </c>
      <c r="W2368" s="10">
        <f t="shared" si="77"/>
        <v>0</v>
      </c>
      <c r="AK2368" s="10" t="str">
        <f t="array" ref="AK2368">IFERROR(INDEX(SelectedSpecies,SMALL(IF(SelectedSpecies=AK$1,ROW(SelectedSpecies)),ROW(2369:2369)),2),"")</f>
        <v/>
      </c>
      <c r="BE2368" s="10"/>
      <c r="BI2368" s="10"/>
    </row>
    <row r="2369" spans="1:61" ht="21" customHeight="1" x14ac:dyDescent="0.25">
      <c r="A2369" s="10"/>
      <c r="B2369" s="10"/>
      <c r="E2369" s="10"/>
      <c r="G2369" s="10"/>
      <c r="I2369" s="436" t="s">
        <v>5281</v>
      </c>
      <c r="J2369" s="26" t="s">
        <v>5280</v>
      </c>
      <c r="K2369" s="10">
        <v>1.8</v>
      </c>
      <c r="L2369" s="73">
        <f>IF(Tank1!$C$23="No control",(SUMIF(Tank1!$B$32:$B$49,$J2369,Tank1!$C$32:$C$49)*Impacts!$F$8),0)</f>
        <v>0</v>
      </c>
      <c r="M2369" s="10">
        <f>IF(Tank2!$C$23="No control",(SUMIF(Tank2!$B$32:$B$49,$J2369,Tank2!$C$32:$C$49)*Impacts!$F$9),0)</f>
        <v>0</v>
      </c>
      <c r="N2369" s="10">
        <f>IF(Tank3!$C$23="No control",(SUMIF(Tank3!$B$32:$B$49,$J2369,Tank3!$C$32:$C$49)*Impacts!$F$10),0)</f>
        <v>0</v>
      </c>
      <c r="O2369" s="10">
        <f>IF(Tank4!$C$23="No control",(SUMIF(Tank4!$B$32:$B$49,$J2369,Tank4!$C$32:$C$49)*Impacts!$F$11),0)</f>
        <v>0</v>
      </c>
      <c r="P2369" s="10">
        <f>IF(Tank5!$C$23="No control",(SUMIF(Tank5!$B$32:$B$49,$J2369,Tank5!$C$32:$C$49)*Impacts!$F$12),0)</f>
        <v>0</v>
      </c>
      <c r="Q2369" s="10">
        <f>IFERROR(IF(('Loading-drum,tote'!$C$21)="No control",SUMIF(('Loading-drum,tote'!$B$31:$B$48),$J2369,('Loading-drum,tote'!$D$31:$D$48))*Impacts!$F$13,IF(('Loading-drum,tote'!$C$21)&lt;&gt;"No control",SUMIF(('Loading-drum,tote'!$B$31:$B$48),$J2369,('Loading-drum,tote'!$E$31:$E$48))*Impacts!$F$13,0)),0)</f>
        <v>0</v>
      </c>
      <c r="R2369" s="10">
        <f>IFERROR(IF(('Loading-truck'!$C$21)="No control",SUMIF(('Loading-truck'!$B$31:$B$48),$J2369,('Loading-truck'!$D$31:$D$48))*Impacts!$F$14,IF(('Loading-truck'!$C$21)&lt;&gt;"No control",SUMIF(('Loading-truck'!$B$31:$B$48),$J2369,('Loading-truck'!$E$31:$E$48))*Impacts!$F$14,0)),0)</f>
        <v>0</v>
      </c>
      <c r="S2369" s="10">
        <f>IFERROR(IF(('Loading-rail'!$C$21)="No control",SUMIF(('Loading-rail'!$B$31:$B$48),$J2369,('Loading-rail'!$D$31:$D$48))*Impacts!$F$15,IF(('Loading-rail'!$C$21)&lt;&gt;"No control",SUMIF(('Loading-rail'!$B$31:$B$48),$J2369,('Loading-rail'!$E$31:$E$48))*Impacts!$F$15,0)),0)</f>
        <v>0</v>
      </c>
      <c r="T2369" s="10">
        <f>IF(Flare!$C$7="",0,(SUMIF(Flare!$B$46:$B$185,$J2369,Flare!$E$46:$E$185)*Impacts!$F$16))</f>
        <v>0</v>
      </c>
      <c r="U2369" s="10">
        <f>IF(VCU!$C$9="",0,(SUMIF(VCU!$B$51:$B$193,$J2369,VCU!$E$51:$E$193)*Impacts!$F$17))</f>
        <v>0</v>
      </c>
      <c r="V2369" s="10">
        <f>IF(CAS!$C$7="",0,(SUMIF(CAS!$B$31:$B$167,$J2369,CAS!$E$31:$E$167)*Impacts!$F$18))</f>
        <v>0</v>
      </c>
      <c r="W2369" s="10">
        <f t="shared" si="77"/>
        <v>0</v>
      </c>
      <c r="AK2369" s="10" t="str">
        <f t="array" ref="AK2369">IFERROR(INDEX(SelectedSpecies,SMALL(IF(SelectedSpecies=AK$1,ROW(SelectedSpecies)),ROW(2370:2370)),2),"")</f>
        <v/>
      </c>
      <c r="BE2369" s="10"/>
      <c r="BI2369" s="10"/>
    </row>
    <row r="2370" spans="1:61" ht="21" customHeight="1" x14ac:dyDescent="0.25">
      <c r="A2370" s="10"/>
      <c r="B2370" s="10"/>
      <c r="E2370" s="10"/>
      <c r="G2370" s="10"/>
      <c r="I2370" s="436" t="s">
        <v>782</v>
      </c>
      <c r="J2370" s="26" t="s">
        <v>781</v>
      </c>
      <c r="K2370" s="10">
        <v>54</v>
      </c>
      <c r="L2370" s="73">
        <f>IF(Tank1!$C$23="No control",(SUMIF(Tank1!$B$32:$B$49,$J2370,Tank1!$C$32:$C$49)*Impacts!$F$8),0)</f>
        <v>0</v>
      </c>
      <c r="M2370" s="10">
        <f>IF(Tank2!$C$23="No control",(SUMIF(Tank2!$B$32:$B$49,$J2370,Tank2!$C$32:$C$49)*Impacts!$F$9),0)</f>
        <v>0</v>
      </c>
      <c r="N2370" s="10">
        <f>IF(Tank3!$C$23="No control",(SUMIF(Tank3!$B$32:$B$49,$J2370,Tank3!$C$32:$C$49)*Impacts!$F$10),0)</f>
        <v>0</v>
      </c>
      <c r="O2370" s="10">
        <f>IF(Tank4!$C$23="No control",(SUMIF(Tank4!$B$32:$B$49,$J2370,Tank4!$C$32:$C$49)*Impacts!$F$11),0)</f>
        <v>0</v>
      </c>
      <c r="P2370" s="10">
        <f>IF(Tank5!$C$23="No control",(SUMIF(Tank5!$B$32:$B$49,$J2370,Tank5!$C$32:$C$49)*Impacts!$F$12),0)</f>
        <v>0</v>
      </c>
      <c r="Q2370" s="10">
        <f>IFERROR(IF(('Loading-drum,tote'!$C$21)="No control",SUMIF(('Loading-drum,tote'!$B$31:$B$48),$J2370,('Loading-drum,tote'!$D$31:$D$48))*Impacts!$F$13,IF(('Loading-drum,tote'!$C$21)&lt;&gt;"No control",SUMIF(('Loading-drum,tote'!$B$31:$B$48),$J2370,('Loading-drum,tote'!$E$31:$E$48))*Impacts!$F$13,0)),0)</f>
        <v>0</v>
      </c>
      <c r="R2370" s="10">
        <f>IFERROR(IF(('Loading-truck'!$C$21)="No control",SUMIF(('Loading-truck'!$B$31:$B$48),$J2370,('Loading-truck'!$D$31:$D$48))*Impacts!$F$14,IF(('Loading-truck'!$C$21)&lt;&gt;"No control",SUMIF(('Loading-truck'!$B$31:$B$48),$J2370,('Loading-truck'!$E$31:$E$48))*Impacts!$F$14,0)),0)</f>
        <v>0</v>
      </c>
      <c r="S2370" s="10">
        <f>IFERROR(IF(('Loading-rail'!$C$21)="No control",SUMIF(('Loading-rail'!$B$31:$B$48),$J2370,('Loading-rail'!$D$31:$D$48))*Impacts!$F$15,IF(('Loading-rail'!$C$21)&lt;&gt;"No control",SUMIF(('Loading-rail'!$B$31:$B$48),$J2370,('Loading-rail'!$E$31:$E$48))*Impacts!$F$15,0)),0)</f>
        <v>0</v>
      </c>
      <c r="T2370" s="10">
        <f>IF(Flare!$C$7="",0,(SUMIF(Flare!$B$46:$B$185,$J2370,Flare!$E$46:$E$185)*Impacts!$F$16))</f>
        <v>0</v>
      </c>
      <c r="U2370" s="10">
        <f>IF(VCU!$C$9="",0,(SUMIF(VCU!$B$51:$B$193,$J2370,VCU!$E$51:$E$193)*Impacts!$F$17))</f>
        <v>0</v>
      </c>
      <c r="V2370" s="10">
        <f>IF(CAS!$C$7="",0,(SUMIF(CAS!$B$31:$B$167,$J2370,CAS!$E$31:$E$167)*Impacts!$F$18))</f>
        <v>0</v>
      </c>
      <c r="W2370" s="10">
        <f t="shared" si="77"/>
        <v>0</v>
      </c>
      <c r="AK2370" s="10" t="str">
        <f t="array" ref="AK2370">IFERROR(INDEX(SelectedSpecies,SMALL(IF(SelectedSpecies=AK$1,ROW(SelectedSpecies)),ROW(2371:2371)),2),"")</f>
        <v/>
      </c>
      <c r="BE2370" s="10"/>
      <c r="BI2370" s="10"/>
    </row>
    <row r="2371" spans="1:61" ht="21" customHeight="1" x14ac:dyDescent="0.25">
      <c r="A2371" s="10"/>
      <c r="B2371" s="10"/>
      <c r="E2371" s="10"/>
      <c r="G2371" s="10"/>
      <c r="I2371" s="436" t="s">
        <v>1236</v>
      </c>
      <c r="J2371" s="26" t="s">
        <v>1235</v>
      </c>
      <c r="K2371" s="10">
        <v>161</v>
      </c>
      <c r="L2371" s="73">
        <f>IF(Tank1!$C$23="No control",(SUMIF(Tank1!$B$32:$B$49,$J2371,Tank1!$C$32:$C$49)*Impacts!$F$8),0)</f>
        <v>0</v>
      </c>
      <c r="M2371" s="10">
        <f>IF(Tank2!$C$23="No control",(SUMIF(Tank2!$B$32:$B$49,$J2371,Tank2!$C$32:$C$49)*Impacts!$F$9),0)</f>
        <v>0</v>
      </c>
      <c r="N2371" s="10">
        <f>IF(Tank3!$C$23="No control",(SUMIF(Tank3!$B$32:$B$49,$J2371,Tank3!$C$32:$C$49)*Impacts!$F$10),0)</f>
        <v>0</v>
      </c>
      <c r="O2371" s="10">
        <f>IF(Tank4!$C$23="No control",(SUMIF(Tank4!$B$32:$B$49,$J2371,Tank4!$C$32:$C$49)*Impacts!$F$11),0)</f>
        <v>0</v>
      </c>
      <c r="P2371" s="10">
        <f>IF(Tank5!$C$23="No control",(SUMIF(Tank5!$B$32:$B$49,$J2371,Tank5!$C$32:$C$49)*Impacts!$F$12),0)</f>
        <v>0</v>
      </c>
      <c r="Q2371" s="10">
        <f>IFERROR(IF(('Loading-drum,tote'!$C$21)="No control",SUMIF(('Loading-drum,tote'!$B$31:$B$48),$J2371,('Loading-drum,tote'!$D$31:$D$48))*Impacts!$F$13,IF(('Loading-drum,tote'!$C$21)&lt;&gt;"No control",SUMIF(('Loading-drum,tote'!$B$31:$B$48),$J2371,('Loading-drum,tote'!$E$31:$E$48))*Impacts!$F$13,0)),0)</f>
        <v>0</v>
      </c>
      <c r="R2371" s="10">
        <f>IFERROR(IF(('Loading-truck'!$C$21)="No control",SUMIF(('Loading-truck'!$B$31:$B$48),$J2371,('Loading-truck'!$D$31:$D$48))*Impacts!$F$14,IF(('Loading-truck'!$C$21)&lt;&gt;"No control",SUMIF(('Loading-truck'!$B$31:$B$48),$J2371,('Loading-truck'!$E$31:$E$48))*Impacts!$F$14,0)),0)</f>
        <v>0</v>
      </c>
      <c r="S2371" s="10">
        <f>IFERROR(IF(('Loading-rail'!$C$21)="No control",SUMIF(('Loading-rail'!$B$31:$B$48),$J2371,('Loading-rail'!$D$31:$D$48))*Impacts!$F$15,IF(('Loading-rail'!$C$21)&lt;&gt;"No control",SUMIF(('Loading-rail'!$B$31:$B$48),$J2371,('Loading-rail'!$E$31:$E$48))*Impacts!$F$15,0)),0)</f>
        <v>0</v>
      </c>
      <c r="T2371" s="10">
        <f>IF(Flare!$C$7="",0,(SUMIF(Flare!$B$46:$B$185,$J2371,Flare!$E$46:$E$185)*Impacts!$F$16))</f>
        <v>0</v>
      </c>
      <c r="U2371" s="10">
        <f>IF(VCU!$C$9="",0,(SUMIF(VCU!$B$51:$B$193,$J2371,VCU!$E$51:$E$193)*Impacts!$F$17))</f>
        <v>0</v>
      </c>
      <c r="V2371" s="10">
        <f>IF(CAS!$C$7="",0,(SUMIF(CAS!$B$31:$B$167,$J2371,CAS!$E$31:$E$167)*Impacts!$F$18))</f>
        <v>0</v>
      </c>
      <c r="W2371" s="10">
        <f t="shared" si="77"/>
        <v>0</v>
      </c>
      <c r="AK2371" s="10" t="str">
        <f t="array" ref="AK2371">IFERROR(INDEX(SelectedSpecies,SMALL(IF(SelectedSpecies=AK$1,ROW(SelectedSpecies)),ROW(2372:2372)),2),"")</f>
        <v/>
      </c>
      <c r="BE2371" s="10"/>
      <c r="BI2371" s="10"/>
    </row>
    <row r="2372" spans="1:61" ht="21" customHeight="1" x14ac:dyDescent="0.25">
      <c r="A2372" s="10"/>
      <c r="B2372" s="10"/>
      <c r="E2372" s="10"/>
      <c r="G2372" s="10"/>
      <c r="I2372" s="436" t="s">
        <v>2043</v>
      </c>
      <c r="J2372" s="26" t="s">
        <v>2042</v>
      </c>
      <c r="K2372" s="10">
        <v>16</v>
      </c>
      <c r="L2372" s="73">
        <f>IF(Tank1!$C$23="No control",(SUMIF(Tank1!$B$32:$B$49,$J2372,Tank1!$C$32:$C$49)*Impacts!$F$8),0)</f>
        <v>0</v>
      </c>
      <c r="M2372" s="10">
        <f>IF(Tank2!$C$23="No control",(SUMIF(Tank2!$B$32:$B$49,$J2372,Tank2!$C$32:$C$49)*Impacts!$F$9),0)</f>
        <v>0</v>
      </c>
      <c r="N2372" s="10">
        <f>IF(Tank3!$C$23="No control",(SUMIF(Tank3!$B$32:$B$49,$J2372,Tank3!$C$32:$C$49)*Impacts!$F$10),0)</f>
        <v>0</v>
      </c>
      <c r="O2372" s="10">
        <f>IF(Tank4!$C$23="No control",(SUMIF(Tank4!$B$32:$B$49,$J2372,Tank4!$C$32:$C$49)*Impacts!$F$11),0)</f>
        <v>0</v>
      </c>
      <c r="P2372" s="10">
        <f>IF(Tank5!$C$23="No control",(SUMIF(Tank5!$B$32:$B$49,$J2372,Tank5!$C$32:$C$49)*Impacts!$F$12),0)</f>
        <v>0</v>
      </c>
      <c r="Q2372" s="10">
        <f>IFERROR(IF(('Loading-drum,tote'!$C$21)="No control",SUMIF(('Loading-drum,tote'!$B$31:$B$48),$J2372,('Loading-drum,tote'!$D$31:$D$48))*Impacts!$F$13,IF(('Loading-drum,tote'!$C$21)&lt;&gt;"No control",SUMIF(('Loading-drum,tote'!$B$31:$B$48),$J2372,('Loading-drum,tote'!$E$31:$E$48))*Impacts!$F$13,0)),0)</f>
        <v>0</v>
      </c>
      <c r="R2372" s="10">
        <f>IFERROR(IF(('Loading-truck'!$C$21)="No control",SUMIF(('Loading-truck'!$B$31:$B$48),$J2372,('Loading-truck'!$D$31:$D$48))*Impacts!$F$14,IF(('Loading-truck'!$C$21)&lt;&gt;"No control",SUMIF(('Loading-truck'!$B$31:$B$48),$J2372,('Loading-truck'!$E$31:$E$48))*Impacts!$F$14,0)),0)</f>
        <v>0</v>
      </c>
      <c r="S2372" s="10">
        <f>IFERROR(IF(('Loading-rail'!$C$21)="No control",SUMIF(('Loading-rail'!$B$31:$B$48),$J2372,('Loading-rail'!$D$31:$D$48))*Impacts!$F$15,IF(('Loading-rail'!$C$21)&lt;&gt;"No control",SUMIF(('Loading-rail'!$B$31:$B$48),$J2372,('Loading-rail'!$E$31:$E$48))*Impacts!$F$15,0)),0)</f>
        <v>0</v>
      </c>
      <c r="T2372" s="10">
        <f>IF(Flare!$C$7="",0,(SUMIF(Flare!$B$46:$B$185,$J2372,Flare!$E$46:$E$185)*Impacts!$F$16))</f>
        <v>0</v>
      </c>
      <c r="U2372" s="10">
        <f>IF(VCU!$C$9="",0,(SUMIF(VCU!$B$51:$B$193,$J2372,VCU!$E$51:$E$193)*Impacts!$F$17))</f>
        <v>0</v>
      </c>
      <c r="V2372" s="10">
        <f>IF(CAS!$C$7="",0,(SUMIF(CAS!$B$31:$B$167,$J2372,CAS!$E$31:$E$167)*Impacts!$F$18))</f>
        <v>0</v>
      </c>
      <c r="W2372" s="10">
        <f t="shared" si="77"/>
        <v>0</v>
      </c>
      <c r="AK2372" s="10" t="str">
        <f t="array" ref="AK2372">IFERROR(INDEX(SelectedSpecies,SMALL(IF(SelectedSpecies=AK$1,ROW(SelectedSpecies)),ROW(2373:2373)),2),"")</f>
        <v/>
      </c>
      <c r="BE2372" s="10"/>
      <c r="BI2372" s="10"/>
    </row>
    <row r="2373" spans="1:61" ht="21" customHeight="1" x14ac:dyDescent="0.25">
      <c r="A2373" s="10"/>
      <c r="B2373" s="10"/>
      <c r="E2373" s="10"/>
      <c r="G2373" s="10"/>
      <c r="I2373" s="436" t="s">
        <v>1783</v>
      </c>
      <c r="J2373" s="26" t="s">
        <v>1782</v>
      </c>
      <c r="K2373" s="10">
        <v>23</v>
      </c>
      <c r="L2373" s="73">
        <f>IF(Tank1!$C$23="No control",(SUMIF(Tank1!$B$32:$B$49,$J2373,Tank1!$C$32:$C$49)*Impacts!$F$8),0)</f>
        <v>0</v>
      </c>
      <c r="M2373" s="10">
        <f>IF(Tank2!$C$23="No control",(SUMIF(Tank2!$B$32:$B$49,$J2373,Tank2!$C$32:$C$49)*Impacts!$F$9),0)</f>
        <v>0</v>
      </c>
      <c r="N2373" s="10">
        <f>IF(Tank3!$C$23="No control",(SUMIF(Tank3!$B$32:$B$49,$J2373,Tank3!$C$32:$C$49)*Impacts!$F$10),0)</f>
        <v>0</v>
      </c>
      <c r="O2373" s="10">
        <f>IF(Tank4!$C$23="No control",(SUMIF(Tank4!$B$32:$B$49,$J2373,Tank4!$C$32:$C$49)*Impacts!$F$11),0)</f>
        <v>0</v>
      </c>
      <c r="P2373" s="10">
        <f>IF(Tank5!$C$23="No control",(SUMIF(Tank5!$B$32:$B$49,$J2373,Tank5!$C$32:$C$49)*Impacts!$F$12),0)</f>
        <v>0</v>
      </c>
      <c r="Q2373" s="10">
        <f>IFERROR(IF(('Loading-drum,tote'!$C$21)="No control",SUMIF(('Loading-drum,tote'!$B$31:$B$48),$J2373,('Loading-drum,tote'!$D$31:$D$48))*Impacts!$F$13,IF(('Loading-drum,tote'!$C$21)&lt;&gt;"No control",SUMIF(('Loading-drum,tote'!$B$31:$B$48),$J2373,('Loading-drum,tote'!$E$31:$E$48))*Impacts!$F$13,0)),0)</f>
        <v>0</v>
      </c>
      <c r="R2373" s="10">
        <f>IFERROR(IF(('Loading-truck'!$C$21)="No control",SUMIF(('Loading-truck'!$B$31:$B$48),$J2373,('Loading-truck'!$D$31:$D$48))*Impacts!$F$14,IF(('Loading-truck'!$C$21)&lt;&gt;"No control",SUMIF(('Loading-truck'!$B$31:$B$48),$J2373,('Loading-truck'!$E$31:$E$48))*Impacts!$F$14,0)),0)</f>
        <v>0</v>
      </c>
      <c r="S2373" s="10">
        <f>IFERROR(IF(('Loading-rail'!$C$21)="No control",SUMIF(('Loading-rail'!$B$31:$B$48),$J2373,('Loading-rail'!$D$31:$D$48))*Impacts!$F$15,IF(('Loading-rail'!$C$21)&lt;&gt;"No control",SUMIF(('Loading-rail'!$B$31:$B$48),$J2373,('Loading-rail'!$E$31:$E$48))*Impacts!$F$15,0)),0)</f>
        <v>0</v>
      </c>
      <c r="T2373" s="10">
        <f>IF(Flare!$C$7="",0,(SUMIF(Flare!$B$46:$B$185,$J2373,Flare!$E$46:$E$185)*Impacts!$F$16))</f>
        <v>0</v>
      </c>
      <c r="U2373" s="10">
        <f>IF(VCU!$C$9="",0,(SUMIF(VCU!$B$51:$B$193,$J2373,VCU!$E$51:$E$193)*Impacts!$F$17))</f>
        <v>0</v>
      </c>
      <c r="V2373" s="10">
        <f>IF(CAS!$C$7="",0,(SUMIF(CAS!$B$31:$B$167,$J2373,CAS!$E$31:$E$167)*Impacts!$F$18))</f>
        <v>0</v>
      </c>
      <c r="W2373" s="10">
        <f t="shared" si="77"/>
        <v>0</v>
      </c>
      <c r="AK2373" s="10" t="str">
        <f t="array" ref="AK2373">IFERROR(INDEX(SelectedSpecies,SMALL(IF(SelectedSpecies=AK$1,ROW(SelectedSpecies)),ROW(2374:2374)),2),"")</f>
        <v/>
      </c>
      <c r="BE2373" s="10"/>
      <c r="BI2373" s="10"/>
    </row>
    <row r="2374" spans="1:61" ht="21" customHeight="1" x14ac:dyDescent="0.25">
      <c r="A2374" s="10"/>
      <c r="B2374" s="10"/>
      <c r="E2374" s="10"/>
      <c r="G2374" s="10"/>
      <c r="I2374" s="436" t="s">
        <v>7660</v>
      </c>
      <c r="J2374" s="26" t="s">
        <v>7659</v>
      </c>
      <c r="K2374" s="10">
        <v>0.12</v>
      </c>
      <c r="L2374" s="73">
        <f>IF(Tank1!$C$23="No control",(SUMIF(Tank1!$B$32:$B$49,$J2374,Tank1!$C$32:$C$49)*Impacts!$F$8),0)</f>
        <v>0</v>
      </c>
      <c r="M2374" s="10">
        <f>IF(Tank2!$C$23="No control",(SUMIF(Tank2!$B$32:$B$49,$J2374,Tank2!$C$32:$C$49)*Impacts!$F$9),0)</f>
        <v>0</v>
      </c>
      <c r="N2374" s="10">
        <f>IF(Tank3!$C$23="No control",(SUMIF(Tank3!$B$32:$B$49,$J2374,Tank3!$C$32:$C$49)*Impacts!$F$10),0)</f>
        <v>0</v>
      </c>
      <c r="O2374" s="10">
        <f>IF(Tank4!$C$23="No control",(SUMIF(Tank4!$B$32:$B$49,$J2374,Tank4!$C$32:$C$49)*Impacts!$F$11),0)</f>
        <v>0</v>
      </c>
      <c r="P2374" s="10">
        <f>IF(Tank5!$C$23="No control",(SUMIF(Tank5!$B$32:$B$49,$J2374,Tank5!$C$32:$C$49)*Impacts!$F$12),0)</f>
        <v>0</v>
      </c>
      <c r="Q2374" s="10">
        <f>IFERROR(IF(('Loading-drum,tote'!$C$21)="No control",SUMIF(('Loading-drum,tote'!$B$31:$B$48),$J2374,('Loading-drum,tote'!$D$31:$D$48))*Impacts!$F$13,IF(('Loading-drum,tote'!$C$21)&lt;&gt;"No control",SUMIF(('Loading-drum,tote'!$B$31:$B$48),$J2374,('Loading-drum,tote'!$E$31:$E$48))*Impacts!$F$13,0)),0)</f>
        <v>0</v>
      </c>
      <c r="R2374" s="10">
        <f>IFERROR(IF(('Loading-truck'!$C$21)="No control",SUMIF(('Loading-truck'!$B$31:$B$48),$J2374,('Loading-truck'!$D$31:$D$48))*Impacts!$F$14,IF(('Loading-truck'!$C$21)&lt;&gt;"No control",SUMIF(('Loading-truck'!$B$31:$B$48),$J2374,('Loading-truck'!$E$31:$E$48))*Impacts!$F$14,0)),0)</f>
        <v>0</v>
      </c>
      <c r="S2374" s="10">
        <f>IFERROR(IF(('Loading-rail'!$C$21)="No control",SUMIF(('Loading-rail'!$B$31:$B$48),$J2374,('Loading-rail'!$D$31:$D$48))*Impacts!$F$15,IF(('Loading-rail'!$C$21)&lt;&gt;"No control",SUMIF(('Loading-rail'!$B$31:$B$48),$J2374,('Loading-rail'!$E$31:$E$48))*Impacts!$F$15,0)),0)</f>
        <v>0</v>
      </c>
      <c r="T2374" s="10">
        <f>IF(Flare!$C$7="",0,(SUMIF(Flare!$B$46:$B$185,$J2374,Flare!$E$46:$E$185)*Impacts!$F$16))</f>
        <v>0</v>
      </c>
      <c r="U2374" s="10">
        <f>IF(VCU!$C$9="",0,(SUMIF(VCU!$B$51:$B$193,$J2374,VCU!$E$51:$E$193)*Impacts!$F$17))</f>
        <v>0</v>
      </c>
      <c r="V2374" s="10">
        <f>IF(CAS!$C$7="",0,(SUMIF(CAS!$B$31:$B$167,$J2374,CAS!$E$31:$E$167)*Impacts!$F$18))</f>
        <v>0</v>
      </c>
      <c r="W2374" s="10">
        <f t="shared" si="77"/>
        <v>0</v>
      </c>
      <c r="AK2374" s="10" t="str">
        <f t="array" ref="AK2374">IFERROR(INDEX(SelectedSpecies,SMALL(IF(SelectedSpecies=AK$1,ROW(SelectedSpecies)),ROW(2375:2375)),2),"")</f>
        <v/>
      </c>
      <c r="BE2374" s="10"/>
      <c r="BI2374" s="10"/>
    </row>
    <row r="2375" spans="1:61" ht="21" customHeight="1" x14ac:dyDescent="0.25">
      <c r="A2375" s="10"/>
      <c r="B2375" s="10"/>
      <c r="E2375" s="10"/>
      <c r="G2375" s="10"/>
      <c r="I2375" s="436" t="s">
        <v>2953</v>
      </c>
      <c r="J2375" s="26" t="s">
        <v>2952</v>
      </c>
      <c r="K2375" s="10">
        <v>10</v>
      </c>
      <c r="L2375" s="73">
        <f>IF(Tank1!$C$23="No control",(SUMIF(Tank1!$B$32:$B$49,$J2375,Tank1!$C$32:$C$49)*Impacts!$F$8),0)</f>
        <v>0</v>
      </c>
      <c r="M2375" s="10">
        <f>IF(Tank2!$C$23="No control",(SUMIF(Tank2!$B$32:$B$49,$J2375,Tank2!$C$32:$C$49)*Impacts!$F$9),0)</f>
        <v>0</v>
      </c>
      <c r="N2375" s="10">
        <f>IF(Tank3!$C$23="No control",(SUMIF(Tank3!$B$32:$B$49,$J2375,Tank3!$C$32:$C$49)*Impacts!$F$10),0)</f>
        <v>0</v>
      </c>
      <c r="O2375" s="10">
        <f>IF(Tank4!$C$23="No control",(SUMIF(Tank4!$B$32:$B$49,$J2375,Tank4!$C$32:$C$49)*Impacts!$F$11),0)</f>
        <v>0</v>
      </c>
      <c r="P2375" s="10">
        <f>IF(Tank5!$C$23="No control",(SUMIF(Tank5!$B$32:$B$49,$J2375,Tank5!$C$32:$C$49)*Impacts!$F$12),0)</f>
        <v>0</v>
      </c>
      <c r="Q2375" s="10">
        <f>IFERROR(IF(('Loading-drum,tote'!$C$21)="No control",SUMIF(('Loading-drum,tote'!$B$31:$B$48),$J2375,('Loading-drum,tote'!$D$31:$D$48))*Impacts!$F$13,IF(('Loading-drum,tote'!$C$21)&lt;&gt;"No control",SUMIF(('Loading-drum,tote'!$B$31:$B$48),$J2375,('Loading-drum,tote'!$E$31:$E$48))*Impacts!$F$13,0)),0)</f>
        <v>0</v>
      </c>
      <c r="R2375" s="10">
        <f>IFERROR(IF(('Loading-truck'!$C$21)="No control",SUMIF(('Loading-truck'!$B$31:$B$48),$J2375,('Loading-truck'!$D$31:$D$48))*Impacts!$F$14,IF(('Loading-truck'!$C$21)&lt;&gt;"No control",SUMIF(('Loading-truck'!$B$31:$B$48),$J2375,('Loading-truck'!$E$31:$E$48))*Impacts!$F$14,0)),0)</f>
        <v>0</v>
      </c>
      <c r="S2375" s="10">
        <f>IFERROR(IF(('Loading-rail'!$C$21)="No control",SUMIF(('Loading-rail'!$B$31:$B$48),$J2375,('Loading-rail'!$D$31:$D$48))*Impacts!$F$15,IF(('Loading-rail'!$C$21)&lt;&gt;"No control",SUMIF(('Loading-rail'!$B$31:$B$48),$J2375,('Loading-rail'!$E$31:$E$48))*Impacts!$F$15,0)),0)</f>
        <v>0</v>
      </c>
      <c r="T2375" s="10">
        <f>IF(Flare!$C$7="",0,(SUMIF(Flare!$B$46:$B$185,$J2375,Flare!$E$46:$E$185)*Impacts!$F$16))</f>
        <v>0</v>
      </c>
      <c r="U2375" s="10">
        <f>IF(VCU!$C$9="",0,(SUMIF(VCU!$B$51:$B$193,$J2375,VCU!$E$51:$E$193)*Impacts!$F$17))</f>
        <v>0</v>
      </c>
      <c r="V2375" s="10">
        <f>IF(CAS!$C$7="",0,(SUMIF(CAS!$B$31:$B$167,$J2375,CAS!$E$31:$E$167)*Impacts!$F$18))</f>
        <v>0</v>
      </c>
      <c r="W2375" s="10">
        <f t="shared" si="77"/>
        <v>0</v>
      </c>
      <c r="AK2375" s="10" t="str">
        <f t="array" ref="AK2375">IFERROR(INDEX(SelectedSpecies,SMALL(IF(SelectedSpecies=AK$1,ROW(SelectedSpecies)),ROW(2376:2376)),2),"")</f>
        <v/>
      </c>
      <c r="BE2375" s="10"/>
      <c r="BI2375" s="10"/>
    </row>
    <row r="2376" spans="1:61" ht="21" customHeight="1" x14ac:dyDescent="0.25">
      <c r="A2376" s="10"/>
      <c r="B2376" s="10"/>
      <c r="E2376" s="10"/>
      <c r="G2376" s="10"/>
      <c r="I2376" s="436" t="s">
        <v>1813</v>
      </c>
      <c r="J2376" s="26" t="s">
        <v>1812</v>
      </c>
      <c r="K2376" s="10">
        <v>21</v>
      </c>
      <c r="L2376" s="73">
        <f>IF(Tank1!$C$23="No control",(SUMIF(Tank1!$B$32:$B$49,$J2376,Tank1!$C$32:$C$49)*Impacts!$F$8),0)</f>
        <v>0</v>
      </c>
      <c r="M2376" s="10">
        <f>IF(Tank2!$C$23="No control",(SUMIF(Tank2!$B$32:$B$49,$J2376,Tank2!$C$32:$C$49)*Impacts!$F$9),0)</f>
        <v>0</v>
      </c>
      <c r="N2376" s="10">
        <f>IF(Tank3!$C$23="No control",(SUMIF(Tank3!$B$32:$B$49,$J2376,Tank3!$C$32:$C$49)*Impacts!$F$10),0)</f>
        <v>0</v>
      </c>
      <c r="O2376" s="10">
        <f>IF(Tank4!$C$23="No control",(SUMIF(Tank4!$B$32:$B$49,$J2376,Tank4!$C$32:$C$49)*Impacts!$F$11),0)</f>
        <v>0</v>
      </c>
      <c r="P2376" s="10">
        <f>IF(Tank5!$C$23="No control",(SUMIF(Tank5!$B$32:$B$49,$J2376,Tank5!$C$32:$C$49)*Impacts!$F$12),0)</f>
        <v>0</v>
      </c>
      <c r="Q2376" s="10">
        <f>IFERROR(IF(('Loading-drum,tote'!$C$21)="No control",SUMIF(('Loading-drum,tote'!$B$31:$B$48),$J2376,('Loading-drum,tote'!$D$31:$D$48))*Impacts!$F$13,IF(('Loading-drum,tote'!$C$21)&lt;&gt;"No control",SUMIF(('Loading-drum,tote'!$B$31:$B$48),$J2376,('Loading-drum,tote'!$E$31:$E$48))*Impacts!$F$13,0)),0)</f>
        <v>0</v>
      </c>
      <c r="R2376" s="10">
        <f>IFERROR(IF(('Loading-truck'!$C$21)="No control",SUMIF(('Loading-truck'!$B$31:$B$48),$J2376,('Loading-truck'!$D$31:$D$48))*Impacts!$F$14,IF(('Loading-truck'!$C$21)&lt;&gt;"No control",SUMIF(('Loading-truck'!$B$31:$B$48),$J2376,('Loading-truck'!$E$31:$E$48))*Impacts!$F$14,0)),0)</f>
        <v>0</v>
      </c>
      <c r="S2376" s="10">
        <f>IFERROR(IF(('Loading-rail'!$C$21)="No control",SUMIF(('Loading-rail'!$B$31:$B$48),$J2376,('Loading-rail'!$D$31:$D$48))*Impacts!$F$15,IF(('Loading-rail'!$C$21)&lt;&gt;"No control",SUMIF(('Loading-rail'!$B$31:$B$48),$J2376,('Loading-rail'!$E$31:$E$48))*Impacts!$F$15,0)),0)</f>
        <v>0</v>
      </c>
      <c r="T2376" s="10">
        <f>IF(Flare!$C$7="",0,(SUMIF(Flare!$B$46:$B$185,$J2376,Flare!$E$46:$E$185)*Impacts!$F$16))</f>
        <v>0</v>
      </c>
      <c r="U2376" s="10">
        <f>IF(VCU!$C$9="",0,(SUMIF(VCU!$B$51:$B$193,$J2376,VCU!$E$51:$E$193)*Impacts!$F$17))</f>
        <v>0</v>
      </c>
      <c r="V2376" s="10">
        <f>IF(CAS!$C$7="",0,(SUMIF(CAS!$B$31:$B$167,$J2376,CAS!$E$31:$E$167)*Impacts!$F$18))</f>
        <v>0</v>
      </c>
      <c r="W2376" s="10">
        <f t="shared" si="77"/>
        <v>0</v>
      </c>
      <c r="AK2376" s="10" t="str">
        <f t="array" ref="AK2376">IFERROR(INDEX(SelectedSpecies,SMALL(IF(SelectedSpecies=AK$1,ROW(SelectedSpecies)),ROW(2377:2377)),2),"")</f>
        <v/>
      </c>
      <c r="BE2376" s="10"/>
      <c r="BI2376" s="10"/>
    </row>
    <row r="2377" spans="1:61" ht="21" customHeight="1" x14ac:dyDescent="0.25">
      <c r="A2377" s="10"/>
      <c r="B2377" s="10"/>
      <c r="E2377" s="10"/>
      <c r="G2377" s="10"/>
      <c r="I2377" s="436" t="s">
        <v>2143</v>
      </c>
      <c r="J2377" s="26" t="s">
        <v>2142</v>
      </c>
      <c r="K2377" s="10">
        <v>15</v>
      </c>
      <c r="L2377" s="73">
        <f>IF(Tank1!$C$23="No control",(SUMIF(Tank1!$B$32:$B$49,$J2377,Tank1!$C$32:$C$49)*Impacts!$F$8),0)</f>
        <v>0</v>
      </c>
      <c r="M2377" s="10">
        <f>IF(Tank2!$C$23="No control",(SUMIF(Tank2!$B$32:$B$49,$J2377,Tank2!$C$32:$C$49)*Impacts!$F$9),0)</f>
        <v>0</v>
      </c>
      <c r="N2377" s="10">
        <f>IF(Tank3!$C$23="No control",(SUMIF(Tank3!$B$32:$B$49,$J2377,Tank3!$C$32:$C$49)*Impacts!$F$10),0)</f>
        <v>0</v>
      </c>
      <c r="O2377" s="10">
        <f>IF(Tank4!$C$23="No control",(SUMIF(Tank4!$B$32:$B$49,$J2377,Tank4!$C$32:$C$49)*Impacts!$F$11),0)</f>
        <v>0</v>
      </c>
      <c r="P2377" s="10">
        <f>IF(Tank5!$C$23="No control",(SUMIF(Tank5!$B$32:$B$49,$J2377,Tank5!$C$32:$C$49)*Impacts!$F$12),0)</f>
        <v>0</v>
      </c>
      <c r="Q2377" s="10">
        <f>IFERROR(IF(('Loading-drum,tote'!$C$21)="No control",SUMIF(('Loading-drum,tote'!$B$31:$B$48),$J2377,('Loading-drum,tote'!$D$31:$D$48))*Impacts!$F$13,IF(('Loading-drum,tote'!$C$21)&lt;&gt;"No control",SUMIF(('Loading-drum,tote'!$B$31:$B$48),$J2377,('Loading-drum,tote'!$E$31:$E$48))*Impacts!$F$13,0)),0)</f>
        <v>0</v>
      </c>
      <c r="R2377" s="10">
        <f>IFERROR(IF(('Loading-truck'!$C$21)="No control",SUMIF(('Loading-truck'!$B$31:$B$48),$J2377,('Loading-truck'!$D$31:$D$48))*Impacts!$F$14,IF(('Loading-truck'!$C$21)&lt;&gt;"No control",SUMIF(('Loading-truck'!$B$31:$B$48),$J2377,('Loading-truck'!$E$31:$E$48))*Impacts!$F$14,0)),0)</f>
        <v>0</v>
      </c>
      <c r="S2377" s="10">
        <f>IFERROR(IF(('Loading-rail'!$C$21)="No control",SUMIF(('Loading-rail'!$B$31:$B$48),$J2377,('Loading-rail'!$D$31:$D$48))*Impacts!$F$15,IF(('Loading-rail'!$C$21)&lt;&gt;"No control",SUMIF(('Loading-rail'!$B$31:$B$48),$J2377,('Loading-rail'!$E$31:$E$48))*Impacts!$F$15,0)),0)</f>
        <v>0</v>
      </c>
      <c r="T2377" s="10">
        <f>IF(Flare!$C$7="",0,(SUMIF(Flare!$B$46:$B$185,$J2377,Flare!$E$46:$E$185)*Impacts!$F$16))</f>
        <v>0</v>
      </c>
      <c r="U2377" s="10">
        <f>IF(VCU!$C$9="",0,(SUMIF(VCU!$B$51:$B$193,$J2377,VCU!$E$51:$E$193)*Impacts!$F$17))</f>
        <v>0</v>
      </c>
      <c r="V2377" s="10">
        <f>IF(CAS!$C$7="",0,(SUMIF(CAS!$B$31:$B$167,$J2377,CAS!$E$31:$E$167)*Impacts!$F$18))</f>
        <v>0</v>
      </c>
      <c r="W2377" s="10">
        <f t="shared" si="77"/>
        <v>0</v>
      </c>
      <c r="AK2377" s="10" t="str">
        <f t="array" ref="AK2377">IFERROR(INDEX(SelectedSpecies,SMALL(IF(SelectedSpecies=AK$1,ROW(SelectedSpecies)),ROW(2378:2378)),2),"")</f>
        <v/>
      </c>
      <c r="BE2377" s="10"/>
      <c r="BI2377" s="10"/>
    </row>
    <row r="2378" spans="1:61" ht="21" customHeight="1" x14ac:dyDescent="0.25">
      <c r="A2378" s="10"/>
      <c r="B2378" s="10"/>
      <c r="E2378" s="10"/>
      <c r="G2378" s="10"/>
      <c r="I2378" s="436" t="s">
        <v>8182</v>
      </c>
      <c r="J2378" s="26" t="s">
        <v>8181</v>
      </c>
      <c r="K2378" s="10">
        <v>1.0000000000000002E-2</v>
      </c>
      <c r="L2378" s="73">
        <f>IF(Tank1!$C$23="No control",(SUMIF(Tank1!$B$32:$B$49,$J2378,Tank1!$C$32:$C$49)*Impacts!$F$8),0)</f>
        <v>0</v>
      </c>
      <c r="M2378" s="10">
        <f>IF(Tank2!$C$23="No control",(SUMIF(Tank2!$B$32:$B$49,$J2378,Tank2!$C$32:$C$49)*Impacts!$F$9),0)</f>
        <v>0</v>
      </c>
      <c r="N2378" s="10">
        <f>IF(Tank3!$C$23="No control",(SUMIF(Tank3!$B$32:$B$49,$J2378,Tank3!$C$32:$C$49)*Impacts!$F$10),0)</f>
        <v>0</v>
      </c>
      <c r="O2378" s="10">
        <f>IF(Tank4!$C$23="No control",(SUMIF(Tank4!$B$32:$B$49,$J2378,Tank4!$C$32:$C$49)*Impacts!$F$11),0)</f>
        <v>0</v>
      </c>
      <c r="P2378" s="10">
        <f>IF(Tank5!$C$23="No control",(SUMIF(Tank5!$B$32:$B$49,$J2378,Tank5!$C$32:$C$49)*Impacts!$F$12),0)</f>
        <v>0</v>
      </c>
      <c r="Q2378" s="10">
        <f>IFERROR(IF(('Loading-drum,tote'!$C$21)="No control",SUMIF(('Loading-drum,tote'!$B$31:$B$48),$J2378,('Loading-drum,tote'!$D$31:$D$48))*Impacts!$F$13,IF(('Loading-drum,tote'!$C$21)&lt;&gt;"No control",SUMIF(('Loading-drum,tote'!$B$31:$B$48),$J2378,('Loading-drum,tote'!$E$31:$E$48))*Impacts!$F$13,0)),0)</f>
        <v>0</v>
      </c>
      <c r="R2378" s="10">
        <f>IFERROR(IF(('Loading-truck'!$C$21)="No control",SUMIF(('Loading-truck'!$B$31:$B$48),$J2378,('Loading-truck'!$D$31:$D$48))*Impacts!$F$14,IF(('Loading-truck'!$C$21)&lt;&gt;"No control",SUMIF(('Loading-truck'!$B$31:$B$48),$J2378,('Loading-truck'!$E$31:$E$48))*Impacts!$F$14,0)),0)</f>
        <v>0</v>
      </c>
      <c r="S2378" s="10">
        <f>IFERROR(IF(('Loading-rail'!$C$21)="No control",SUMIF(('Loading-rail'!$B$31:$B$48),$J2378,('Loading-rail'!$D$31:$D$48))*Impacts!$F$15,IF(('Loading-rail'!$C$21)&lt;&gt;"No control",SUMIF(('Loading-rail'!$B$31:$B$48),$J2378,('Loading-rail'!$E$31:$E$48))*Impacts!$F$15,0)),0)</f>
        <v>0</v>
      </c>
      <c r="T2378" s="10">
        <f>IF(Flare!$C$7="",0,(SUMIF(Flare!$B$46:$B$185,$J2378,Flare!$E$46:$E$185)*Impacts!$F$16))</f>
        <v>0</v>
      </c>
      <c r="U2378" s="10">
        <f>IF(VCU!$C$9="",0,(SUMIF(VCU!$B$51:$B$193,$J2378,VCU!$E$51:$E$193)*Impacts!$F$17))</f>
        <v>0</v>
      </c>
      <c r="V2378" s="10">
        <f>IF(CAS!$C$7="",0,(SUMIF(CAS!$B$31:$B$167,$J2378,CAS!$E$31:$E$167)*Impacts!$F$18))</f>
        <v>0</v>
      </c>
      <c r="W2378" s="10">
        <f t="shared" si="77"/>
        <v>0</v>
      </c>
      <c r="AK2378" s="10" t="str">
        <f t="array" ref="AK2378">IFERROR(INDEX(SelectedSpecies,SMALL(IF(SelectedSpecies=AK$1,ROW(SelectedSpecies)),ROW(2379:2379)),2),"")</f>
        <v/>
      </c>
      <c r="BE2378" s="10"/>
      <c r="BI2378" s="10"/>
    </row>
    <row r="2379" spans="1:61" ht="21" customHeight="1" x14ac:dyDescent="0.25">
      <c r="A2379" s="10"/>
      <c r="B2379" s="10"/>
      <c r="E2379" s="10"/>
      <c r="G2379" s="10"/>
      <c r="I2379" s="436" t="s">
        <v>784</v>
      </c>
      <c r="J2379" s="26" t="s">
        <v>783</v>
      </c>
      <c r="K2379" s="10">
        <v>54</v>
      </c>
      <c r="L2379" s="73">
        <f>IF(Tank1!$C$23="No control",(SUMIF(Tank1!$B$32:$B$49,$J2379,Tank1!$C$32:$C$49)*Impacts!$F$8),0)</f>
        <v>0</v>
      </c>
      <c r="M2379" s="10">
        <f>IF(Tank2!$C$23="No control",(SUMIF(Tank2!$B$32:$B$49,$J2379,Tank2!$C$32:$C$49)*Impacts!$F$9),0)</f>
        <v>0</v>
      </c>
      <c r="N2379" s="10">
        <f>IF(Tank3!$C$23="No control",(SUMIF(Tank3!$B$32:$B$49,$J2379,Tank3!$C$32:$C$49)*Impacts!$F$10),0)</f>
        <v>0</v>
      </c>
      <c r="O2379" s="10">
        <f>IF(Tank4!$C$23="No control",(SUMIF(Tank4!$B$32:$B$49,$J2379,Tank4!$C$32:$C$49)*Impacts!$F$11),0)</f>
        <v>0</v>
      </c>
      <c r="P2379" s="10">
        <f>IF(Tank5!$C$23="No control",(SUMIF(Tank5!$B$32:$B$49,$J2379,Tank5!$C$32:$C$49)*Impacts!$F$12),0)</f>
        <v>0</v>
      </c>
      <c r="Q2379" s="10">
        <f>IFERROR(IF(('Loading-drum,tote'!$C$21)="No control",SUMIF(('Loading-drum,tote'!$B$31:$B$48),$J2379,('Loading-drum,tote'!$D$31:$D$48))*Impacts!$F$13,IF(('Loading-drum,tote'!$C$21)&lt;&gt;"No control",SUMIF(('Loading-drum,tote'!$B$31:$B$48),$J2379,('Loading-drum,tote'!$E$31:$E$48))*Impacts!$F$13,0)),0)</f>
        <v>0</v>
      </c>
      <c r="R2379" s="10">
        <f>IFERROR(IF(('Loading-truck'!$C$21)="No control",SUMIF(('Loading-truck'!$B$31:$B$48),$J2379,('Loading-truck'!$D$31:$D$48))*Impacts!$F$14,IF(('Loading-truck'!$C$21)&lt;&gt;"No control",SUMIF(('Loading-truck'!$B$31:$B$48),$J2379,('Loading-truck'!$E$31:$E$48))*Impacts!$F$14,0)),0)</f>
        <v>0</v>
      </c>
      <c r="S2379" s="10">
        <f>IFERROR(IF(('Loading-rail'!$C$21)="No control",SUMIF(('Loading-rail'!$B$31:$B$48),$J2379,('Loading-rail'!$D$31:$D$48))*Impacts!$F$15,IF(('Loading-rail'!$C$21)&lt;&gt;"No control",SUMIF(('Loading-rail'!$B$31:$B$48),$J2379,('Loading-rail'!$E$31:$E$48))*Impacts!$F$15,0)),0)</f>
        <v>0</v>
      </c>
      <c r="T2379" s="10">
        <f>IF(Flare!$C$7="",0,(SUMIF(Flare!$B$46:$B$185,$J2379,Flare!$E$46:$E$185)*Impacts!$F$16))</f>
        <v>0</v>
      </c>
      <c r="U2379" s="10">
        <f>IF(VCU!$C$9="",0,(SUMIF(VCU!$B$51:$B$193,$J2379,VCU!$E$51:$E$193)*Impacts!$F$17))</f>
        <v>0</v>
      </c>
      <c r="V2379" s="10">
        <f>IF(CAS!$C$7="",0,(SUMIF(CAS!$B$31:$B$167,$J2379,CAS!$E$31:$E$167)*Impacts!$F$18))</f>
        <v>0</v>
      </c>
      <c r="W2379" s="10">
        <f t="shared" si="77"/>
        <v>0</v>
      </c>
      <c r="AK2379" s="10" t="str">
        <f t="array" ref="AK2379">IFERROR(INDEX(SelectedSpecies,SMALL(IF(SelectedSpecies=AK$1,ROW(SelectedSpecies)),ROW(2380:2380)),2),"")</f>
        <v/>
      </c>
      <c r="BE2379" s="10"/>
      <c r="BI2379" s="10"/>
    </row>
    <row r="2380" spans="1:61" ht="21" customHeight="1" x14ac:dyDescent="0.25">
      <c r="A2380" s="10"/>
      <c r="B2380" s="10"/>
      <c r="E2380" s="10"/>
      <c r="G2380" s="10"/>
      <c r="I2380" s="436" t="s">
        <v>2515</v>
      </c>
      <c r="J2380" s="26" t="s">
        <v>2514</v>
      </c>
      <c r="K2380" s="10">
        <v>10</v>
      </c>
      <c r="L2380" s="73">
        <f>IF(Tank1!$C$23="No control",(SUMIF(Tank1!$B$32:$B$49,$J2380,Tank1!$C$32:$C$49)*Impacts!$F$8),0)</f>
        <v>0</v>
      </c>
      <c r="M2380" s="10">
        <f>IF(Tank2!$C$23="No control",(SUMIF(Tank2!$B$32:$B$49,$J2380,Tank2!$C$32:$C$49)*Impacts!$F$9),0)</f>
        <v>0</v>
      </c>
      <c r="N2380" s="10">
        <f>IF(Tank3!$C$23="No control",(SUMIF(Tank3!$B$32:$B$49,$J2380,Tank3!$C$32:$C$49)*Impacts!$F$10),0)</f>
        <v>0</v>
      </c>
      <c r="O2380" s="10">
        <f>IF(Tank4!$C$23="No control",(SUMIF(Tank4!$B$32:$B$49,$J2380,Tank4!$C$32:$C$49)*Impacts!$F$11),0)</f>
        <v>0</v>
      </c>
      <c r="P2380" s="10">
        <f>IF(Tank5!$C$23="No control",(SUMIF(Tank5!$B$32:$B$49,$J2380,Tank5!$C$32:$C$49)*Impacts!$F$12),0)</f>
        <v>0</v>
      </c>
      <c r="Q2380" s="10">
        <f>IFERROR(IF(('Loading-drum,tote'!$C$21)="No control",SUMIF(('Loading-drum,tote'!$B$31:$B$48),$J2380,('Loading-drum,tote'!$D$31:$D$48))*Impacts!$F$13,IF(('Loading-drum,tote'!$C$21)&lt;&gt;"No control",SUMIF(('Loading-drum,tote'!$B$31:$B$48),$J2380,('Loading-drum,tote'!$E$31:$E$48))*Impacts!$F$13,0)),0)</f>
        <v>0</v>
      </c>
      <c r="R2380" s="10">
        <f>IFERROR(IF(('Loading-truck'!$C$21)="No control",SUMIF(('Loading-truck'!$B$31:$B$48),$J2380,('Loading-truck'!$D$31:$D$48))*Impacts!$F$14,IF(('Loading-truck'!$C$21)&lt;&gt;"No control",SUMIF(('Loading-truck'!$B$31:$B$48),$J2380,('Loading-truck'!$E$31:$E$48))*Impacts!$F$14,0)),0)</f>
        <v>0</v>
      </c>
      <c r="S2380" s="10">
        <f>IFERROR(IF(('Loading-rail'!$C$21)="No control",SUMIF(('Loading-rail'!$B$31:$B$48),$J2380,('Loading-rail'!$D$31:$D$48))*Impacts!$F$15,IF(('Loading-rail'!$C$21)&lt;&gt;"No control",SUMIF(('Loading-rail'!$B$31:$B$48),$J2380,('Loading-rail'!$E$31:$E$48))*Impacts!$F$15,0)),0)</f>
        <v>0</v>
      </c>
      <c r="T2380" s="10">
        <f>IF(Flare!$C$7="",0,(SUMIF(Flare!$B$46:$B$185,$J2380,Flare!$E$46:$E$185)*Impacts!$F$16))</f>
        <v>0</v>
      </c>
      <c r="U2380" s="10">
        <f>IF(VCU!$C$9="",0,(SUMIF(VCU!$B$51:$B$193,$J2380,VCU!$E$51:$E$193)*Impacts!$F$17))</f>
        <v>0</v>
      </c>
      <c r="V2380" s="10">
        <f>IF(CAS!$C$7="",0,(SUMIF(CAS!$B$31:$B$167,$J2380,CAS!$E$31:$E$167)*Impacts!$F$18))</f>
        <v>0</v>
      </c>
      <c r="W2380" s="10">
        <f t="shared" si="77"/>
        <v>0</v>
      </c>
      <c r="AK2380" s="10" t="str">
        <f t="array" ref="AK2380">IFERROR(INDEX(SelectedSpecies,SMALL(IF(SelectedSpecies=AK$1,ROW(SelectedSpecies)),ROW(2381:2381)),2),"")</f>
        <v/>
      </c>
      <c r="BE2380" s="10"/>
      <c r="BI2380" s="10"/>
    </row>
    <row r="2381" spans="1:61" ht="21" customHeight="1" x14ac:dyDescent="0.25">
      <c r="A2381" s="10"/>
      <c r="B2381" s="10"/>
      <c r="E2381" s="10"/>
      <c r="G2381" s="10"/>
      <c r="I2381" s="436" t="s">
        <v>10389</v>
      </c>
      <c r="J2381" s="26" t="s">
        <v>10390</v>
      </c>
      <c r="K2381" s="10">
        <v>6.3E-3</v>
      </c>
      <c r="L2381" s="73">
        <f>IF(Tank1!$C$23="No control",(SUMIF(Tank1!$B$32:$B$49,$J2381,Tank1!$C$32:$C$49)*Impacts!$F$8),0)</f>
        <v>0</v>
      </c>
      <c r="M2381" s="10">
        <f>IF(Tank2!$C$23="No control",(SUMIF(Tank2!$B$32:$B$49,$J2381,Tank2!$C$32:$C$49)*Impacts!$F$9),0)</f>
        <v>0</v>
      </c>
      <c r="N2381" s="10">
        <f>IF(Tank3!$C$23="No control",(SUMIF(Tank3!$B$32:$B$49,$J2381,Tank3!$C$32:$C$49)*Impacts!$F$10),0)</f>
        <v>0</v>
      </c>
      <c r="O2381" s="10">
        <f>IF(Tank4!$C$23="No control",(SUMIF(Tank4!$B$32:$B$49,$J2381,Tank4!$C$32:$C$49)*Impacts!$F$11),0)</f>
        <v>0</v>
      </c>
      <c r="P2381" s="10">
        <f>IF(Tank5!$C$23="No control",(SUMIF(Tank5!$B$32:$B$49,$J2381,Tank5!$C$32:$C$49)*Impacts!$F$12),0)</f>
        <v>0</v>
      </c>
      <c r="Q2381" s="10">
        <f>IFERROR(IF(('Loading-drum,tote'!$C$21)="No control",SUMIF(('Loading-drum,tote'!$B$31:$B$48),$J2381,('Loading-drum,tote'!$D$31:$D$48))*Impacts!$F$13,IF(('Loading-drum,tote'!$C$21)&lt;&gt;"No control",SUMIF(('Loading-drum,tote'!$B$31:$B$48),$J2381,('Loading-drum,tote'!$E$31:$E$48))*Impacts!$F$13,0)),0)</f>
        <v>0</v>
      </c>
      <c r="R2381" s="10">
        <f>IFERROR(IF(('Loading-truck'!$C$21)="No control",SUMIF(('Loading-truck'!$B$31:$B$48),$J2381,('Loading-truck'!$D$31:$D$48))*Impacts!$F$14,IF(('Loading-truck'!$C$21)&lt;&gt;"No control",SUMIF(('Loading-truck'!$B$31:$B$48),$J2381,('Loading-truck'!$E$31:$E$48))*Impacts!$F$14,0)),0)</f>
        <v>0</v>
      </c>
      <c r="S2381" s="10">
        <f>IFERROR(IF(('Loading-rail'!$C$21)="No control",SUMIF(('Loading-rail'!$B$31:$B$48),$J2381,('Loading-rail'!$D$31:$D$48))*Impacts!$F$15,IF(('Loading-rail'!$C$21)&lt;&gt;"No control",SUMIF(('Loading-rail'!$B$31:$B$48),$J2381,('Loading-rail'!$E$31:$E$48))*Impacts!$F$15,0)),0)</f>
        <v>0</v>
      </c>
      <c r="T2381" s="10">
        <f>IF(Flare!$C$7="",0,(SUMIF(Flare!$B$46:$B$185,$J2381,Flare!$E$46:$E$185)*Impacts!$F$16))</f>
        <v>0</v>
      </c>
      <c r="U2381" s="10">
        <f>IF(VCU!$C$9="",0,(SUMIF(VCU!$B$51:$B$193,$J2381,VCU!$E$51:$E$193)*Impacts!$F$17))</f>
        <v>0</v>
      </c>
      <c r="V2381" s="10">
        <f>IF(CAS!$C$7="",0,(SUMIF(CAS!$B$31:$B$167,$J2381,CAS!$E$31:$E$167)*Impacts!$F$18))</f>
        <v>0</v>
      </c>
      <c r="W2381" s="10">
        <f t="shared" si="77"/>
        <v>0</v>
      </c>
      <c r="AK2381" s="10" t="str">
        <f t="array" ref="AK2381">IFERROR(INDEX(SelectedSpecies,SMALL(IF(SelectedSpecies=AK$1,ROW(SelectedSpecies)),ROW(2382:2382)),2),"")</f>
        <v/>
      </c>
      <c r="BE2381" s="10"/>
      <c r="BI2381" s="10"/>
    </row>
    <row r="2382" spans="1:61" ht="21" customHeight="1" x14ac:dyDescent="0.25">
      <c r="A2382" s="10"/>
      <c r="B2382" s="10"/>
      <c r="E2382" s="10"/>
      <c r="G2382" s="10"/>
      <c r="I2382" s="436" t="s">
        <v>7190</v>
      </c>
      <c r="J2382" s="26" t="s">
        <v>7189</v>
      </c>
      <c r="K2382" s="10">
        <v>0.33</v>
      </c>
      <c r="L2382" s="73">
        <f>IF(Tank1!$C$23="No control",(SUMIF(Tank1!$B$32:$B$49,$J2382,Tank1!$C$32:$C$49)*Impacts!$F$8),0)</f>
        <v>0</v>
      </c>
      <c r="M2382" s="10">
        <f>IF(Tank2!$C$23="No control",(SUMIF(Tank2!$B$32:$B$49,$J2382,Tank2!$C$32:$C$49)*Impacts!$F$9),0)</f>
        <v>0</v>
      </c>
      <c r="N2382" s="10">
        <f>IF(Tank3!$C$23="No control",(SUMIF(Tank3!$B$32:$B$49,$J2382,Tank3!$C$32:$C$49)*Impacts!$F$10),0)</f>
        <v>0</v>
      </c>
      <c r="O2382" s="10">
        <f>IF(Tank4!$C$23="No control",(SUMIF(Tank4!$B$32:$B$49,$J2382,Tank4!$C$32:$C$49)*Impacts!$F$11),0)</f>
        <v>0</v>
      </c>
      <c r="P2382" s="10">
        <f>IF(Tank5!$C$23="No control",(SUMIF(Tank5!$B$32:$B$49,$J2382,Tank5!$C$32:$C$49)*Impacts!$F$12),0)</f>
        <v>0</v>
      </c>
      <c r="Q2382" s="10">
        <f>IFERROR(IF(('Loading-drum,tote'!$C$21)="No control",SUMIF(('Loading-drum,tote'!$B$31:$B$48),$J2382,('Loading-drum,tote'!$D$31:$D$48))*Impacts!$F$13,IF(('Loading-drum,tote'!$C$21)&lt;&gt;"No control",SUMIF(('Loading-drum,tote'!$B$31:$B$48),$J2382,('Loading-drum,tote'!$E$31:$E$48))*Impacts!$F$13,0)),0)</f>
        <v>0</v>
      </c>
      <c r="R2382" s="10">
        <f>IFERROR(IF(('Loading-truck'!$C$21)="No control",SUMIF(('Loading-truck'!$B$31:$B$48),$J2382,('Loading-truck'!$D$31:$D$48))*Impacts!$F$14,IF(('Loading-truck'!$C$21)&lt;&gt;"No control",SUMIF(('Loading-truck'!$B$31:$B$48),$J2382,('Loading-truck'!$E$31:$E$48))*Impacts!$F$14,0)),0)</f>
        <v>0</v>
      </c>
      <c r="S2382" s="10">
        <f>IFERROR(IF(('Loading-rail'!$C$21)="No control",SUMIF(('Loading-rail'!$B$31:$B$48),$J2382,('Loading-rail'!$D$31:$D$48))*Impacts!$F$15,IF(('Loading-rail'!$C$21)&lt;&gt;"No control",SUMIF(('Loading-rail'!$B$31:$B$48),$J2382,('Loading-rail'!$E$31:$E$48))*Impacts!$F$15,0)),0)</f>
        <v>0</v>
      </c>
      <c r="T2382" s="10">
        <f>IF(Flare!$C$7="",0,(SUMIF(Flare!$B$46:$B$185,$J2382,Flare!$E$46:$E$185)*Impacts!$F$16))</f>
        <v>0</v>
      </c>
      <c r="U2382" s="10">
        <f>IF(VCU!$C$9="",0,(SUMIF(VCU!$B$51:$B$193,$J2382,VCU!$E$51:$E$193)*Impacts!$F$17))</f>
        <v>0</v>
      </c>
      <c r="V2382" s="10">
        <f>IF(CAS!$C$7="",0,(SUMIF(CAS!$B$31:$B$167,$J2382,CAS!$E$31:$E$167)*Impacts!$F$18))</f>
        <v>0</v>
      </c>
      <c r="W2382" s="10">
        <f t="shared" si="77"/>
        <v>0</v>
      </c>
      <c r="AK2382" s="10" t="str">
        <f t="array" ref="AK2382">IFERROR(INDEX(SelectedSpecies,SMALL(IF(SelectedSpecies=AK$1,ROW(SelectedSpecies)),ROW(2383:2383)),2),"")</f>
        <v/>
      </c>
      <c r="BE2382" s="10"/>
      <c r="BI2382" s="10"/>
    </row>
    <row r="2383" spans="1:61" ht="21" customHeight="1" x14ac:dyDescent="0.25">
      <c r="A2383" s="10"/>
      <c r="B2383" s="10"/>
      <c r="E2383" s="10"/>
      <c r="G2383" s="10"/>
      <c r="I2383" s="436" t="s">
        <v>5527</v>
      </c>
      <c r="J2383" s="26" t="s">
        <v>5526</v>
      </c>
      <c r="K2383" s="10">
        <v>1.25</v>
      </c>
      <c r="L2383" s="73">
        <f>IF(Tank1!$C$23="No control",(SUMIF(Tank1!$B$32:$B$49,$J2383,Tank1!$C$32:$C$49)*Impacts!$F$8),0)</f>
        <v>0</v>
      </c>
      <c r="M2383" s="10">
        <f>IF(Tank2!$C$23="No control",(SUMIF(Tank2!$B$32:$B$49,$J2383,Tank2!$C$32:$C$49)*Impacts!$F$9),0)</f>
        <v>0</v>
      </c>
      <c r="N2383" s="10">
        <f>IF(Tank3!$C$23="No control",(SUMIF(Tank3!$B$32:$B$49,$J2383,Tank3!$C$32:$C$49)*Impacts!$F$10),0)</f>
        <v>0</v>
      </c>
      <c r="O2383" s="10">
        <f>IF(Tank4!$C$23="No control",(SUMIF(Tank4!$B$32:$B$49,$J2383,Tank4!$C$32:$C$49)*Impacts!$F$11),0)</f>
        <v>0</v>
      </c>
      <c r="P2383" s="10">
        <f>IF(Tank5!$C$23="No control",(SUMIF(Tank5!$B$32:$B$49,$J2383,Tank5!$C$32:$C$49)*Impacts!$F$12),0)</f>
        <v>0</v>
      </c>
      <c r="Q2383" s="10">
        <f>IFERROR(IF(('Loading-drum,tote'!$C$21)="No control",SUMIF(('Loading-drum,tote'!$B$31:$B$48),$J2383,('Loading-drum,tote'!$D$31:$D$48))*Impacts!$F$13,IF(('Loading-drum,tote'!$C$21)&lt;&gt;"No control",SUMIF(('Loading-drum,tote'!$B$31:$B$48),$J2383,('Loading-drum,tote'!$E$31:$E$48))*Impacts!$F$13,0)),0)</f>
        <v>0</v>
      </c>
      <c r="R2383" s="10">
        <f>IFERROR(IF(('Loading-truck'!$C$21)="No control",SUMIF(('Loading-truck'!$B$31:$B$48),$J2383,('Loading-truck'!$D$31:$D$48))*Impacts!$F$14,IF(('Loading-truck'!$C$21)&lt;&gt;"No control",SUMIF(('Loading-truck'!$B$31:$B$48),$J2383,('Loading-truck'!$E$31:$E$48))*Impacts!$F$14,0)),0)</f>
        <v>0</v>
      </c>
      <c r="S2383" s="10">
        <f>IFERROR(IF(('Loading-rail'!$C$21)="No control",SUMIF(('Loading-rail'!$B$31:$B$48),$J2383,('Loading-rail'!$D$31:$D$48))*Impacts!$F$15,IF(('Loading-rail'!$C$21)&lt;&gt;"No control",SUMIF(('Loading-rail'!$B$31:$B$48),$J2383,('Loading-rail'!$E$31:$E$48))*Impacts!$F$15,0)),0)</f>
        <v>0</v>
      </c>
      <c r="T2383" s="10">
        <f>IF(Flare!$C$7="",0,(SUMIF(Flare!$B$46:$B$185,$J2383,Flare!$E$46:$E$185)*Impacts!$F$16))</f>
        <v>0</v>
      </c>
      <c r="U2383" s="10">
        <f>IF(VCU!$C$9="",0,(SUMIF(VCU!$B$51:$B$193,$J2383,VCU!$E$51:$E$193)*Impacts!$F$17))</f>
        <v>0</v>
      </c>
      <c r="V2383" s="10">
        <f>IF(CAS!$C$7="",0,(SUMIF(CAS!$B$31:$B$167,$J2383,CAS!$E$31:$E$167)*Impacts!$F$18))</f>
        <v>0</v>
      </c>
      <c r="W2383" s="10">
        <f t="shared" si="77"/>
        <v>0</v>
      </c>
      <c r="AK2383" s="10" t="str">
        <f t="array" ref="AK2383">IFERROR(INDEX(SelectedSpecies,SMALL(IF(SelectedSpecies=AK$1,ROW(SelectedSpecies)),ROW(2384:2384)),2),"")</f>
        <v/>
      </c>
      <c r="BE2383" s="10"/>
      <c r="BI2383" s="10"/>
    </row>
    <row r="2384" spans="1:61" ht="21" customHeight="1" x14ac:dyDescent="0.25">
      <c r="A2384" s="10"/>
      <c r="B2384" s="10"/>
      <c r="E2384" s="10"/>
      <c r="G2384" s="10"/>
      <c r="I2384" s="436" t="s">
        <v>3661</v>
      </c>
      <c r="J2384" s="26" t="s">
        <v>3660</v>
      </c>
      <c r="K2384" s="10">
        <v>7.2</v>
      </c>
      <c r="L2384" s="73">
        <f>IF(Tank1!$C$23="No control",(SUMIF(Tank1!$B$32:$B$49,$J2384,Tank1!$C$32:$C$49)*Impacts!$F$8),0)</f>
        <v>0</v>
      </c>
      <c r="M2384" s="10">
        <f>IF(Tank2!$C$23="No control",(SUMIF(Tank2!$B$32:$B$49,$J2384,Tank2!$C$32:$C$49)*Impacts!$F$9),0)</f>
        <v>0</v>
      </c>
      <c r="N2384" s="10">
        <f>IF(Tank3!$C$23="No control",(SUMIF(Tank3!$B$32:$B$49,$J2384,Tank3!$C$32:$C$49)*Impacts!$F$10),0)</f>
        <v>0</v>
      </c>
      <c r="O2384" s="10">
        <f>IF(Tank4!$C$23="No control",(SUMIF(Tank4!$B$32:$B$49,$J2384,Tank4!$C$32:$C$49)*Impacts!$F$11),0)</f>
        <v>0</v>
      </c>
      <c r="P2384" s="10">
        <f>IF(Tank5!$C$23="No control",(SUMIF(Tank5!$B$32:$B$49,$J2384,Tank5!$C$32:$C$49)*Impacts!$F$12),0)</f>
        <v>0</v>
      </c>
      <c r="Q2384" s="10">
        <f>IFERROR(IF(('Loading-drum,tote'!$C$21)="No control",SUMIF(('Loading-drum,tote'!$B$31:$B$48),$J2384,('Loading-drum,tote'!$D$31:$D$48))*Impacts!$F$13,IF(('Loading-drum,tote'!$C$21)&lt;&gt;"No control",SUMIF(('Loading-drum,tote'!$B$31:$B$48),$J2384,('Loading-drum,tote'!$E$31:$E$48))*Impacts!$F$13,0)),0)</f>
        <v>0</v>
      </c>
      <c r="R2384" s="10">
        <f>IFERROR(IF(('Loading-truck'!$C$21)="No control",SUMIF(('Loading-truck'!$B$31:$B$48),$J2384,('Loading-truck'!$D$31:$D$48))*Impacts!$F$14,IF(('Loading-truck'!$C$21)&lt;&gt;"No control",SUMIF(('Loading-truck'!$B$31:$B$48),$J2384,('Loading-truck'!$E$31:$E$48))*Impacts!$F$14,0)),0)</f>
        <v>0</v>
      </c>
      <c r="S2384" s="10">
        <f>IFERROR(IF(('Loading-rail'!$C$21)="No control",SUMIF(('Loading-rail'!$B$31:$B$48),$J2384,('Loading-rail'!$D$31:$D$48))*Impacts!$F$15,IF(('Loading-rail'!$C$21)&lt;&gt;"No control",SUMIF(('Loading-rail'!$B$31:$B$48),$J2384,('Loading-rail'!$E$31:$E$48))*Impacts!$F$15,0)),0)</f>
        <v>0</v>
      </c>
      <c r="T2384" s="10">
        <f>IF(Flare!$C$7="",0,(SUMIF(Flare!$B$46:$B$185,$J2384,Flare!$E$46:$E$185)*Impacts!$F$16))</f>
        <v>0</v>
      </c>
      <c r="U2384" s="10">
        <f>IF(VCU!$C$9="",0,(SUMIF(VCU!$B$51:$B$193,$J2384,VCU!$E$51:$E$193)*Impacts!$F$17))</f>
        <v>0</v>
      </c>
      <c r="V2384" s="10">
        <f>IF(CAS!$C$7="",0,(SUMIF(CAS!$B$31:$B$167,$J2384,CAS!$E$31:$E$167)*Impacts!$F$18))</f>
        <v>0</v>
      </c>
      <c r="W2384" s="10">
        <f t="shared" si="77"/>
        <v>0</v>
      </c>
      <c r="AK2384" s="10" t="str">
        <f t="array" ref="AK2384">IFERROR(INDEX(SelectedSpecies,SMALL(IF(SelectedSpecies=AK$1,ROW(SelectedSpecies)),ROW(2385:2385)),2),"")</f>
        <v/>
      </c>
      <c r="BE2384" s="10"/>
      <c r="BI2384" s="10"/>
    </row>
    <row r="2385" spans="1:61" ht="21" customHeight="1" x14ac:dyDescent="0.25">
      <c r="A2385" s="10"/>
      <c r="B2385" s="10"/>
      <c r="E2385" s="10"/>
      <c r="G2385" s="10"/>
      <c r="I2385" s="436" t="s">
        <v>1390</v>
      </c>
      <c r="J2385" s="26" t="s">
        <v>1389</v>
      </c>
      <c r="K2385" s="10">
        <v>33</v>
      </c>
      <c r="L2385" s="73">
        <f>IF(Tank1!$C$23="No control",(SUMIF(Tank1!$B$32:$B$49,$J2385,Tank1!$C$32:$C$49)*Impacts!$F$8),0)</f>
        <v>0</v>
      </c>
      <c r="M2385" s="10">
        <f>IF(Tank2!$C$23="No control",(SUMIF(Tank2!$B$32:$B$49,$J2385,Tank2!$C$32:$C$49)*Impacts!$F$9),0)</f>
        <v>0</v>
      </c>
      <c r="N2385" s="10">
        <f>IF(Tank3!$C$23="No control",(SUMIF(Tank3!$B$32:$B$49,$J2385,Tank3!$C$32:$C$49)*Impacts!$F$10),0)</f>
        <v>0</v>
      </c>
      <c r="O2385" s="10">
        <f>IF(Tank4!$C$23="No control",(SUMIF(Tank4!$B$32:$B$49,$J2385,Tank4!$C$32:$C$49)*Impacts!$F$11),0)</f>
        <v>0</v>
      </c>
      <c r="P2385" s="10">
        <f>IF(Tank5!$C$23="No control",(SUMIF(Tank5!$B$32:$B$49,$J2385,Tank5!$C$32:$C$49)*Impacts!$F$12),0)</f>
        <v>0</v>
      </c>
      <c r="Q2385" s="10">
        <f>IFERROR(IF(('Loading-drum,tote'!$C$21)="No control",SUMIF(('Loading-drum,tote'!$B$31:$B$48),$J2385,('Loading-drum,tote'!$D$31:$D$48))*Impacts!$F$13,IF(('Loading-drum,tote'!$C$21)&lt;&gt;"No control",SUMIF(('Loading-drum,tote'!$B$31:$B$48),$J2385,('Loading-drum,tote'!$E$31:$E$48))*Impacts!$F$13,0)),0)</f>
        <v>0</v>
      </c>
      <c r="R2385" s="10">
        <f>IFERROR(IF(('Loading-truck'!$C$21)="No control",SUMIF(('Loading-truck'!$B$31:$B$48),$J2385,('Loading-truck'!$D$31:$D$48))*Impacts!$F$14,IF(('Loading-truck'!$C$21)&lt;&gt;"No control",SUMIF(('Loading-truck'!$B$31:$B$48),$J2385,('Loading-truck'!$E$31:$E$48))*Impacts!$F$14,0)),0)</f>
        <v>0</v>
      </c>
      <c r="S2385" s="10">
        <f>IFERROR(IF(('Loading-rail'!$C$21)="No control",SUMIF(('Loading-rail'!$B$31:$B$48),$J2385,('Loading-rail'!$D$31:$D$48))*Impacts!$F$15,IF(('Loading-rail'!$C$21)&lt;&gt;"No control",SUMIF(('Loading-rail'!$B$31:$B$48),$J2385,('Loading-rail'!$E$31:$E$48))*Impacts!$F$15,0)),0)</f>
        <v>0</v>
      </c>
      <c r="T2385" s="10">
        <f>IF(Flare!$C$7="",0,(SUMIF(Flare!$B$46:$B$185,$J2385,Flare!$E$46:$E$185)*Impacts!$F$16))</f>
        <v>0</v>
      </c>
      <c r="U2385" s="10">
        <f>IF(VCU!$C$9="",0,(SUMIF(VCU!$B$51:$B$193,$J2385,VCU!$E$51:$E$193)*Impacts!$F$17))</f>
        <v>0</v>
      </c>
      <c r="V2385" s="10">
        <f>IF(CAS!$C$7="",0,(SUMIF(CAS!$B$31:$B$167,$J2385,CAS!$E$31:$E$167)*Impacts!$F$18))</f>
        <v>0</v>
      </c>
      <c r="W2385" s="10">
        <f t="shared" si="77"/>
        <v>0</v>
      </c>
      <c r="AK2385" s="10" t="str">
        <f t="array" ref="AK2385">IFERROR(INDEX(SelectedSpecies,SMALL(IF(SelectedSpecies=AK$1,ROW(SelectedSpecies)),ROW(2386:2386)),2),"")</f>
        <v/>
      </c>
      <c r="BE2385" s="10"/>
      <c r="BI2385" s="10"/>
    </row>
    <row r="2386" spans="1:61" ht="21" customHeight="1" x14ac:dyDescent="0.25">
      <c r="A2386" s="10"/>
      <c r="B2386" s="10"/>
      <c r="E2386" s="10"/>
      <c r="G2386" s="10"/>
      <c r="I2386" s="436" t="s">
        <v>6866</v>
      </c>
      <c r="J2386" s="26" t="s">
        <v>6865</v>
      </c>
      <c r="K2386" s="10">
        <v>0.5</v>
      </c>
      <c r="L2386" s="73">
        <f>IF(Tank1!$C$23="No control",(SUMIF(Tank1!$B$32:$B$49,$J2386,Tank1!$C$32:$C$49)*Impacts!$F$8),0)</f>
        <v>0</v>
      </c>
      <c r="M2386" s="10">
        <f>IF(Tank2!$C$23="No control",(SUMIF(Tank2!$B$32:$B$49,$J2386,Tank2!$C$32:$C$49)*Impacts!$F$9),0)</f>
        <v>0</v>
      </c>
      <c r="N2386" s="10">
        <f>IF(Tank3!$C$23="No control",(SUMIF(Tank3!$B$32:$B$49,$J2386,Tank3!$C$32:$C$49)*Impacts!$F$10),0)</f>
        <v>0</v>
      </c>
      <c r="O2386" s="10">
        <f>IF(Tank4!$C$23="No control",(SUMIF(Tank4!$B$32:$B$49,$J2386,Tank4!$C$32:$C$49)*Impacts!$F$11),0)</f>
        <v>0</v>
      </c>
      <c r="P2386" s="10">
        <f>IF(Tank5!$C$23="No control",(SUMIF(Tank5!$B$32:$B$49,$J2386,Tank5!$C$32:$C$49)*Impacts!$F$12),0)</f>
        <v>0</v>
      </c>
      <c r="Q2386" s="10">
        <f>IFERROR(IF(('Loading-drum,tote'!$C$21)="No control",SUMIF(('Loading-drum,tote'!$B$31:$B$48),$J2386,('Loading-drum,tote'!$D$31:$D$48))*Impacts!$F$13,IF(('Loading-drum,tote'!$C$21)&lt;&gt;"No control",SUMIF(('Loading-drum,tote'!$B$31:$B$48),$J2386,('Loading-drum,tote'!$E$31:$E$48))*Impacts!$F$13,0)),0)</f>
        <v>0</v>
      </c>
      <c r="R2386" s="10">
        <f>IFERROR(IF(('Loading-truck'!$C$21)="No control",SUMIF(('Loading-truck'!$B$31:$B$48),$J2386,('Loading-truck'!$D$31:$D$48))*Impacts!$F$14,IF(('Loading-truck'!$C$21)&lt;&gt;"No control",SUMIF(('Loading-truck'!$B$31:$B$48),$J2386,('Loading-truck'!$E$31:$E$48))*Impacts!$F$14,0)),0)</f>
        <v>0</v>
      </c>
      <c r="S2386" s="10">
        <f>IFERROR(IF(('Loading-rail'!$C$21)="No control",SUMIF(('Loading-rail'!$B$31:$B$48),$J2386,('Loading-rail'!$D$31:$D$48))*Impacts!$F$15,IF(('Loading-rail'!$C$21)&lt;&gt;"No control",SUMIF(('Loading-rail'!$B$31:$B$48),$J2386,('Loading-rail'!$E$31:$E$48))*Impacts!$F$15,0)),0)</f>
        <v>0</v>
      </c>
      <c r="T2386" s="10">
        <f>IF(Flare!$C$7="",0,(SUMIF(Flare!$B$46:$B$185,$J2386,Flare!$E$46:$E$185)*Impacts!$F$16))</f>
        <v>0</v>
      </c>
      <c r="U2386" s="10">
        <f>IF(VCU!$C$9="",0,(SUMIF(VCU!$B$51:$B$193,$J2386,VCU!$E$51:$E$193)*Impacts!$F$17))</f>
        <v>0</v>
      </c>
      <c r="V2386" s="10">
        <f>IF(CAS!$C$7="",0,(SUMIF(CAS!$B$31:$B$167,$J2386,CAS!$E$31:$E$167)*Impacts!$F$18))</f>
        <v>0</v>
      </c>
      <c r="W2386" s="10">
        <f t="shared" si="77"/>
        <v>0</v>
      </c>
      <c r="AK2386" s="10" t="str">
        <f t="array" ref="AK2386">IFERROR(INDEX(SelectedSpecies,SMALL(IF(SelectedSpecies=AK$1,ROW(SelectedSpecies)),ROW(2387:2387)),2),"")</f>
        <v/>
      </c>
      <c r="BE2386" s="10"/>
      <c r="BI2386" s="10"/>
    </row>
    <row r="2387" spans="1:61" ht="21" customHeight="1" x14ac:dyDescent="0.25">
      <c r="A2387" s="10"/>
      <c r="B2387" s="10"/>
      <c r="E2387" s="10"/>
      <c r="G2387" s="10"/>
      <c r="I2387" s="436" t="s">
        <v>2517</v>
      </c>
      <c r="J2387" s="26" t="s">
        <v>2516</v>
      </c>
      <c r="K2387" s="10">
        <v>10</v>
      </c>
      <c r="L2387" s="73">
        <f>IF(Tank1!$C$23="No control",(SUMIF(Tank1!$B$32:$B$49,$J2387,Tank1!$C$32:$C$49)*Impacts!$F$8),0)</f>
        <v>0</v>
      </c>
      <c r="M2387" s="10">
        <f>IF(Tank2!$C$23="No control",(SUMIF(Tank2!$B$32:$B$49,$J2387,Tank2!$C$32:$C$49)*Impacts!$F$9),0)</f>
        <v>0</v>
      </c>
      <c r="N2387" s="10">
        <f>IF(Tank3!$C$23="No control",(SUMIF(Tank3!$B$32:$B$49,$J2387,Tank3!$C$32:$C$49)*Impacts!$F$10),0)</f>
        <v>0</v>
      </c>
      <c r="O2387" s="10">
        <f>IF(Tank4!$C$23="No control",(SUMIF(Tank4!$B$32:$B$49,$J2387,Tank4!$C$32:$C$49)*Impacts!$F$11),0)</f>
        <v>0</v>
      </c>
      <c r="P2387" s="10">
        <f>IF(Tank5!$C$23="No control",(SUMIF(Tank5!$B$32:$B$49,$J2387,Tank5!$C$32:$C$49)*Impacts!$F$12),0)</f>
        <v>0</v>
      </c>
      <c r="Q2387" s="10">
        <f>IFERROR(IF(('Loading-drum,tote'!$C$21)="No control",SUMIF(('Loading-drum,tote'!$B$31:$B$48),$J2387,('Loading-drum,tote'!$D$31:$D$48))*Impacts!$F$13,IF(('Loading-drum,tote'!$C$21)&lt;&gt;"No control",SUMIF(('Loading-drum,tote'!$B$31:$B$48),$J2387,('Loading-drum,tote'!$E$31:$E$48))*Impacts!$F$13,0)),0)</f>
        <v>0</v>
      </c>
      <c r="R2387" s="10">
        <f>IFERROR(IF(('Loading-truck'!$C$21)="No control",SUMIF(('Loading-truck'!$B$31:$B$48),$J2387,('Loading-truck'!$D$31:$D$48))*Impacts!$F$14,IF(('Loading-truck'!$C$21)&lt;&gt;"No control",SUMIF(('Loading-truck'!$B$31:$B$48),$J2387,('Loading-truck'!$E$31:$E$48))*Impacts!$F$14,0)),0)</f>
        <v>0</v>
      </c>
      <c r="S2387" s="10">
        <f>IFERROR(IF(('Loading-rail'!$C$21)="No control",SUMIF(('Loading-rail'!$B$31:$B$48),$J2387,('Loading-rail'!$D$31:$D$48))*Impacts!$F$15,IF(('Loading-rail'!$C$21)&lt;&gt;"No control",SUMIF(('Loading-rail'!$B$31:$B$48),$J2387,('Loading-rail'!$E$31:$E$48))*Impacts!$F$15,0)),0)</f>
        <v>0</v>
      </c>
      <c r="T2387" s="10">
        <f>IF(Flare!$C$7="",0,(SUMIF(Flare!$B$46:$B$185,$J2387,Flare!$E$46:$E$185)*Impacts!$F$16))</f>
        <v>0</v>
      </c>
      <c r="U2387" s="10">
        <f>IF(VCU!$C$9="",0,(SUMIF(VCU!$B$51:$B$193,$J2387,VCU!$E$51:$E$193)*Impacts!$F$17))</f>
        <v>0</v>
      </c>
      <c r="V2387" s="10">
        <f>IF(CAS!$C$7="",0,(SUMIF(CAS!$B$31:$B$167,$J2387,CAS!$E$31:$E$167)*Impacts!$F$18))</f>
        <v>0</v>
      </c>
      <c r="W2387" s="10">
        <f t="shared" si="77"/>
        <v>0</v>
      </c>
      <c r="AK2387" s="10" t="str">
        <f t="array" ref="AK2387">IFERROR(INDEX(SelectedSpecies,SMALL(IF(SelectedSpecies=AK$1,ROW(SelectedSpecies)),ROW(2388:2388)),2),"")</f>
        <v/>
      </c>
      <c r="BE2387" s="10"/>
      <c r="BI2387" s="10"/>
    </row>
    <row r="2388" spans="1:61" ht="21" customHeight="1" x14ac:dyDescent="0.25">
      <c r="A2388" s="10"/>
      <c r="B2388" s="10"/>
      <c r="E2388" s="10"/>
      <c r="G2388" s="10"/>
      <c r="I2388" s="436" t="s">
        <v>4443</v>
      </c>
      <c r="J2388" s="26" t="s">
        <v>4442</v>
      </c>
      <c r="K2388" s="10">
        <v>4.5</v>
      </c>
      <c r="L2388" s="73">
        <f>IF(Tank1!$C$23="No control",(SUMIF(Tank1!$B$32:$B$49,$J2388,Tank1!$C$32:$C$49)*Impacts!$F$8),0)</f>
        <v>0</v>
      </c>
      <c r="M2388" s="10">
        <f>IF(Tank2!$C$23="No control",(SUMIF(Tank2!$B$32:$B$49,$J2388,Tank2!$C$32:$C$49)*Impacts!$F$9),0)</f>
        <v>0</v>
      </c>
      <c r="N2388" s="10">
        <f>IF(Tank3!$C$23="No control",(SUMIF(Tank3!$B$32:$B$49,$J2388,Tank3!$C$32:$C$49)*Impacts!$F$10),0)</f>
        <v>0</v>
      </c>
      <c r="O2388" s="10">
        <f>IF(Tank4!$C$23="No control",(SUMIF(Tank4!$B$32:$B$49,$J2388,Tank4!$C$32:$C$49)*Impacts!$F$11),0)</f>
        <v>0</v>
      </c>
      <c r="P2388" s="10">
        <f>IF(Tank5!$C$23="No control",(SUMIF(Tank5!$B$32:$B$49,$J2388,Tank5!$C$32:$C$49)*Impacts!$F$12),0)</f>
        <v>0</v>
      </c>
      <c r="Q2388" s="10">
        <f>IFERROR(IF(('Loading-drum,tote'!$C$21)="No control",SUMIF(('Loading-drum,tote'!$B$31:$B$48),$J2388,('Loading-drum,tote'!$D$31:$D$48))*Impacts!$F$13,IF(('Loading-drum,tote'!$C$21)&lt;&gt;"No control",SUMIF(('Loading-drum,tote'!$B$31:$B$48),$J2388,('Loading-drum,tote'!$E$31:$E$48))*Impacts!$F$13,0)),0)</f>
        <v>0</v>
      </c>
      <c r="R2388" s="10">
        <f>IFERROR(IF(('Loading-truck'!$C$21)="No control",SUMIF(('Loading-truck'!$B$31:$B$48),$J2388,('Loading-truck'!$D$31:$D$48))*Impacts!$F$14,IF(('Loading-truck'!$C$21)&lt;&gt;"No control",SUMIF(('Loading-truck'!$B$31:$B$48),$J2388,('Loading-truck'!$E$31:$E$48))*Impacts!$F$14,0)),0)</f>
        <v>0</v>
      </c>
      <c r="S2388" s="10">
        <f>IFERROR(IF(('Loading-rail'!$C$21)="No control",SUMIF(('Loading-rail'!$B$31:$B$48),$J2388,('Loading-rail'!$D$31:$D$48))*Impacts!$F$15,IF(('Loading-rail'!$C$21)&lt;&gt;"No control",SUMIF(('Loading-rail'!$B$31:$B$48),$J2388,('Loading-rail'!$E$31:$E$48))*Impacts!$F$15,0)),0)</f>
        <v>0</v>
      </c>
      <c r="T2388" s="10">
        <f>IF(Flare!$C$7="",0,(SUMIF(Flare!$B$46:$B$185,$J2388,Flare!$E$46:$E$185)*Impacts!$F$16))</f>
        <v>0</v>
      </c>
      <c r="U2388" s="10">
        <f>IF(VCU!$C$9="",0,(SUMIF(VCU!$B$51:$B$193,$J2388,VCU!$E$51:$E$193)*Impacts!$F$17))</f>
        <v>0</v>
      </c>
      <c r="V2388" s="10">
        <f>IF(CAS!$C$7="",0,(SUMIF(CAS!$B$31:$B$167,$J2388,CAS!$E$31:$E$167)*Impacts!$F$18))</f>
        <v>0</v>
      </c>
      <c r="W2388" s="10">
        <f t="shared" si="77"/>
        <v>0</v>
      </c>
      <c r="AK2388" s="10" t="str">
        <f t="array" ref="AK2388">IFERROR(INDEX(SelectedSpecies,SMALL(IF(SelectedSpecies=AK$1,ROW(SelectedSpecies)),ROW(2389:2389)),2),"")</f>
        <v/>
      </c>
      <c r="BE2388" s="10"/>
      <c r="BI2388" s="10"/>
    </row>
    <row r="2389" spans="1:61" ht="21" customHeight="1" x14ac:dyDescent="0.25">
      <c r="A2389" s="10"/>
      <c r="B2389" s="10"/>
      <c r="E2389" s="10"/>
      <c r="G2389" s="10"/>
      <c r="I2389" s="436" t="s">
        <v>7928</v>
      </c>
      <c r="J2389" s="26" t="s">
        <v>7927</v>
      </c>
      <c r="K2389" s="10">
        <v>0.05</v>
      </c>
      <c r="L2389" s="73">
        <f>IF(Tank1!$C$23="No control",(SUMIF(Tank1!$B$32:$B$49,$J2389,Tank1!$C$32:$C$49)*Impacts!$F$8),0)</f>
        <v>0</v>
      </c>
      <c r="M2389" s="10">
        <f>IF(Tank2!$C$23="No control",(SUMIF(Tank2!$B$32:$B$49,$J2389,Tank2!$C$32:$C$49)*Impacts!$F$9),0)</f>
        <v>0</v>
      </c>
      <c r="N2389" s="10">
        <f>IF(Tank3!$C$23="No control",(SUMIF(Tank3!$B$32:$B$49,$J2389,Tank3!$C$32:$C$49)*Impacts!$F$10),0)</f>
        <v>0</v>
      </c>
      <c r="O2389" s="10">
        <f>IF(Tank4!$C$23="No control",(SUMIF(Tank4!$B$32:$B$49,$J2389,Tank4!$C$32:$C$49)*Impacts!$F$11),0)</f>
        <v>0</v>
      </c>
      <c r="P2389" s="10">
        <f>IF(Tank5!$C$23="No control",(SUMIF(Tank5!$B$32:$B$49,$J2389,Tank5!$C$32:$C$49)*Impacts!$F$12),0)</f>
        <v>0</v>
      </c>
      <c r="Q2389" s="10">
        <f>IFERROR(IF(('Loading-drum,tote'!$C$21)="No control",SUMIF(('Loading-drum,tote'!$B$31:$B$48),$J2389,('Loading-drum,tote'!$D$31:$D$48))*Impacts!$F$13,IF(('Loading-drum,tote'!$C$21)&lt;&gt;"No control",SUMIF(('Loading-drum,tote'!$B$31:$B$48),$J2389,('Loading-drum,tote'!$E$31:$E$48))*Impacts!$F$13,0)),0)</f>
        <v>0</v>
      </c>
      <c r="R2389" s="10">
        <f>IFERROR(IF(('Loading-truck'!$C$21)="No control",SUMIF(('Loading-truck'!$B$31:$B$48),$J2389,('Loading-truck'!$D$31:$D$48))*Impacts!$F$14,IF(('Loading-truck'!$C$21)&lt;&gt;"No control",SUMIF(('Loading-truck'!$B$31:$B$48),$J2389,('Loading-truck'!$E$31:$E$48))*Impacts!$F$14,0)),0)</f>
        <v>0</v>
      </c>
      <c r="S2389" s="10">
        <f>IFERROR(IF(('Loading-rail'!$C$21)="No control",SUMIF(('Loading-rail'!$B$31:$B$48),$J2389,('Loading-rail'!$D$31:$D$48))*Impacts!$F$15,IF(('Loading-rail'!$C$21)&lt;&gt;"No control",SUMIF(('Loading-rail'!$B$31:$B$48),$J2389,('Loading-rail'!$E$31:$E$48))*Impacts!$F$15,0)),0)</f>
        <v>0</v>
      </c>
      <c r="T2389" s="10">
        <f>IF(Flare!$C$7="",0,(SUMIF(Flare!$B$46:$B$185,$J2389,Flare!$E$46:$E$185)*Impacts!$F$16))</f>
        <v>0</v>
      </c>
      <c r="U2389" s="10">
        <f>IF(VCU!$C$9="",0,(SUMIF(VCU!$B$51:$B$193,$J2389,VCU!$E$51:$E$193)*Impacts!$F$17))</f>
        <v>0</v>
      </c>
      <c r="V2389" s="10">
        <f>IF(CAS!$C$7="",0,(SUMIF(CAS!$B$31:$B$167,$J2389,CAS!$E$31:$E$167)*Impacts!$F$18))</f>
        <v>0</v>
      </c>
      <c r="W2389" s="10">
        <f t="shared" si="77"/>
        <v>0</v>
      </c>
      <c r="AK2389" s="10" t="str">
        <f t="array" ref="AK2389">IFERROR(INDEX(SelectedSpecies,SMALL(IF(SelectedSpecies=AK$1,ROW(SelectedSpecies)),ROW(2390:2390)),2),"")</f>
        <v/>
      </c>
      <c r="BE2389" s="10"/>
      <c r="BI2389" s="10"/>
    </row>
    <row r="2390" spans="1:61" ht="21" customHeight="1" x14ac:dyDescent="0.25">
      <c r="A2390" s="10"/>
      <c r="B2390" s="10"/>
      <c r="E2390" s="10"/>
      <c r="G2390" s="10"/>
      <c r="I2390" s="436" t="s">
        <v>3815</v>
      </c>
      <c r="J2390" s="26" t="s">
        <v>3814</v>
      </c>
      <c r="K2390" s="10">
        <v>6</v>
      </c>
      <c r="L2390" s="73">
        <f>IF(Tank1!$C$23="No control",(SUMIF(Tank1!$B$32:$B$49,$J2390,Tank1!$C$32:$C$49)*Impacts!$F$8),0)</f>
        <v>0</v>
      </c>
      <c r="M2390" s="10">
        <f>IF(Tank2!$C$23="No control",(SUMIF(Tank2!$B$32:$B$49,$J2390,Tank2!$C$32:$C$49)*Impacts!$F$9),0)</f>
        <v>0</v>
      </c>
      <c r="N2390" s="10">
        <f>IF(Tank3!$C$23="No control",(SUMIF(Tank3!$B$32:$B$49,$J2390,Tank3!$C$32:$C$49)*Impacts!$F$10),0)</f>
        <v>0</v>
      </c>
      <c r="O2390" s="10">
        <f>IF(Tank4!$C$23="No control",(SUMIF(Tank4!$B$32:$B$49,$J2390,Tank4!$C$32:$C$49)*Impacts!$F$11),0)</f>
        <v>0</v>
      </c>
      <c r="P2390" s="10">
        <f>IF(Tank5!$C$23="No control",(SUMIF(Tank5!$B$32:$B$49,$J2390,Tank5!$C$32:$C$49)*Impacts!$F$12),0)</f>
        <v>0</v>
      </c>
      <c r="Q2390" s="10">
        <f>IFERROR(IF(('Loading-drum,tote'!$C$21)="No control",SUMIF(('Loading-drum,tote'!$B$31:$B$48),$J2390,('Loading-drum,tote'!$D$31:$D$48))*Impacts!$F$13,IF(('Loading-drum,tote'!$C$21)&lt;&gt;"No control",SUMIF(('Loading-drum,tote'!$B$31:$B$48),$J2390,('Loading-drum,tote'!$E$31:$E$48))*Impacts!$F$13,0)),0)</f>
        <v>0</v>
      </c>
      <c r="R2390" s="10">
        <f>IFERROR(IF(('Loading-truck'!$C$21)="No control",SUMIF(('Loading-truck'!$B$31:$B$48),$J2390,('Loading-truck'!$D$31:$D$48))*Impacts!$F$14,IF(('Loading-truck'!$C$21)&lt;&gt;"No control",SUMIF(('Loading-truck'!$B$31:$B$48),$J2390,('Loading-truck'!$E$31:$E$48))*Impacts!$F$14,0)),0)</f>
        <v>0</v>
      </c>
      <c r="S2390" s="10">
        <f>IFERROR(IF(('Loading-rail'!$C$21)="No control",SUMIF(('Loading-rail'!$B$31:$B$48),$J2390,('Loading-rail'!$D$31:$D$48))*Impacts!$F$15,IF(('Loading-rail'!$C$21)&lt;&gt;"No control",SUMIF(('Loading-rail'!$B$31:$B$48),$J2390,('Loading-rail'!$E$31:$E$48))*Impacts!$F$15,0)),0)</f>
        <v>0</v>
      </c>
      <c r="T2390" s="10">
        <f>IF(Flare!$C$7="",0,(SUMIF(Flare!$B$46:$B$185,$J2390,Flare!$E$46:$E$185)*Impacts!$F$16))</f>
        <v>0</v>
      </c>
      <c r="U2390" s="10">
        <f>IF(VCU!$C$9="",0,(SUMIF(VCU!$B$51:$B$193,$J2390,VCU!$E$51:$E$193)*Impacts!$F$17))</f>
        <v>0</v>
      </c>
      <c r="V2390" s="10">
        <f>IF(CAS!$C$7="",0,(SUMIF(CAS!$B$31:$B$167,$J2390,CAS!$E$31:$E$167)*Impacts!$F$18))</f>
        <v>0</v>
      </c>
      <c r="W2390" s="10">
        <f t="shared" si="77"/>
        <v>0</v>
      </c>
      <c r="AK2390" s="10" t="str">
        <f t="array" ref="AK2390">IFERROR(INDEX(SelectedSpecies,SMALL(IF(SelectedSpecies=AK$1,ROW(SelectedSpecies)),ROW(2391:2391)),2),"")</f>
        <v/>
      </c>
      <c r="BE2390" s="10"/>
      <c r="BI2390" s="10"/>
    </row>
    <row r="2391" spans="1:61" ht="21" customHeight="1" x14ac:dyDescent="0.25">
      <c r="A2391" s="10"/>
      <c r="B2391" s="10"/>
      <c r="E2391" s="10"/>
      <c r="G2391" s="10"/>
      <c r="I2391" s="436" t="s">
        <v>399</v>
      </c>
      <c r="J2391" s="26" t="s">
        <v>398</v>
      </c>
      <c r="K2391" s="10">
        <v>270</v>
      </c>
      <c r="L2391" s="73">
        <f>IF(Tank1!$C$23="No control",(SUMIF(Tank1!$B$32:$B$49,$J2391,Tank1!$C$32:$C$49)*Impacts!$F$8),0)</f>
        <v>0</v>
      </c>
      <c r="M2391" s="10">
        <f>IF(Tank2!$C$23="No control",(SUMIF(Tank2!$B$32:$B$49,$J2391,Tank2!$C$32:$C$49)*Impacts!$F$9),0)</f>
        <v>0</v>
      </c>
      <c r="N2391" s="10">
        <f>IF(Tank3!$C$23="No control",(SUMIF(Tank3!$B$32:$B$49,$J2391,Tank3!$C$32:$C$49)*Impacts!$F$10),0)</f>
        <v>0</v>
      </c>
      <c r="O2391" s="10">
        <f>IF(Tank4!$C$23="No control",(SUMIF(Tank4!$B$32:$B$49,$J2391,Tank4!$C$32:$C$49)*Impacts!$F$11),0)</f>
        <v>0</v>
      </c>
      <c r="P2391" s="10">
        <f>IF(Tank5!$C$23="No control",(SUMIF(Tank5!$B$32:$B$49,$J2391,Tank5!$C$32:$C$49)*Impacts!$F$12),0)</f>
        <v>0</v>
      </c>
      <c r="Q2391" s="10">
        <f>IFERROR(IF(('Loading-drum,tote'!$C$21)="No control",SUMIF(('Loading-drum,tote'!$B$31:$B$48),$J2391,('Loading-drum,tote'!$D$31:$D$48))*Impacts!$F$13,IF(('Loading-drum,tote'!$C$21)&lt;&gt;"No control",SUMIF(('Loading-drum,tote'!$B$31:$B$48),$J2391,('Loading-drum,tote'!$E$31:$E$48))*Impacts!$F$13,0)),0)</f>
        <v>0</v>
      </c>
      <c r="R2391" s="10">
        <f>IFERROR(IF(('Loading-truck'!$C$21)="No control",SUMIF(('Loading-truck'!$B$31:$B$48),$J2391,('Loading-truck'!$D$31:$D$48))*Impacts!$F$14,IF(('Loading-truck'!$C$21)&lt;&gt;"No control",SUMIF(('Loading-truck'!$B$31:$B$48),$J2391,('Loading-truck'!$E$31:$E$48))*Impacts!$F$14,0)),0)</f>
        <v>0</v>
      </c>
      <c r="S2391" s="10">
        <f>IFERROR(IF(('Loading-rail'!$C$21)="No control",SUMIF(('Loading-rail'!$B$31:$B$48),$J2391,('Loading-rail'!$D$31:$D$48))*Impacts!$F$15,IF(('Loading-rail'!$C$21)&lt;&gt;"No control",SUMIF(('Loading-rail'!$B$31:$B$48),$J2391,('Loading-rail'!$E$31:$E$48))*Impacts!$F$15,0)),0)</f>
        <v>0</v>
      </c>
      <c r="T2391" s="10">
        <f>IF(Flare!$C$7="",0,(SUMIF(Flare!$B$46:$B$185,$J2391,Flare!$E$46:$E$185)*Impacts!$F$16))</f>
        <v>0</v>
      </c>
      <c r="U2391" s="10">
        <f>IF(VCU!$C$9="",0,(SUMIF(VCU!$B$51:$B$193,$J2391,VCU!$E$51:$E$193)*Impacts!$F$17))</f>
        <v>0</v>
      </c>
      <c r="V2391" s="10">
        <f>IF(CAS!$C$7="",0,(SUMIF(CAS!$B$31:$B$167,$J2391,CAS!$E$31:$E$167)*Impacts!$F$18))</f>
        <v>0</v>
      </c>
      <c r="W2391" s="10">
        <f t="shared" si="77"/>
        <v>0</v>
      </c>
      <c r="AK2391" s="10" t="str">
        <f t="array" ref="AK2391">IFERROR(INDEX(SelectedSpecies,SMALL(IF(SelectedSpecies=AK$1,ROW(SelectedSpecies)),ROW(2392:2392)),2),"")</f>
        <v/>
      </c>
      <c r="BE2391" s="10"/>
      <c r="BI2391" s="10"/>
    </row>
    <row r="2392" spans="1:61" ht="21" customHeight="1" x14ac:dyDescent="0.25">
      <c r="A2392" s="10"/>
      <c r="B2392" s="10"/>
      <c r="E2392" s="10"/>
      <c r="G2392" s="10"/>
      <c r="I2392" s="436" t="s">
        <v>5529</v>
      </c>
      <c r="J2392" s="26" t="s">
        <v>5528</v>
      </c>
      <c r="K2392" s="10">
        <v>1.25</v>
      </c>
      <c r="L2392" s="73">
        <f>IF(Tank1!$C$23="No control",(SUMIF(Tank1!$B$32:$B$49,$J2392,Tank1!$C$32:$C$49)*Impacts!$F$8),0)</f>
        <v>0</v>
      </c>
      <c r="M2392" s="10">
        <f>IF(Tank2!$C$23="No control",(SUMIF(Tank2!$B$32:$B$49,$J2392,Tank2!$C$32:$C$49)*Impacts!$F$9),0)</f>
        <v>0</v>
      </c>
      <c r="N2392" s="10">
        <f>IF(Tank3!$C$23="No control",(SUMIF(Tank3!$B$32:$B$49,$J2392,Tank3!$C$32:$C$49)*Impacts!$F$10),0)</f>
        <v>0</v>
      </c>
      <c r="O2392" s="10">
        <f>IF(Tank4!$C$23="No control",(SUMIF(Tank4!$B$32:$B$49,$J2392,Tank4!$C$32:$C$49)*Impacts!$F$11),0)</f>
        <v>0</v>
      </c>
      <c r="P2392" s="10">
        <f>IF(Tank5!$C$23="No control",(SUMIF(Tank5!$B$32:$B$49,$J2392,Tank5!$C$32:$C$49)*Impacts!$F$12),0)</f>
        <v>0</v>
      </c>
      <c r="Q2392" s="10">
        <f>IFERROR(IF(('Loading-drum,tote'!$C$21)="No control",SUMIF(('Loading-drum,tote'!$B$31:$B$48),$J2392,('Loading-drum,tote'!$D$31:$D$48))*Impacts!$F$13,IF(('Loading-drum,tote'!$C$21)&lt;&gt;"No control",SUMIF(('Loading-drum,tote'!$B$31:$B$48),$J2392,('Loading-drum,tote'!$E$31:$E$48))*Impacts!$F$13,0)),0)</f>
        <v>0</v>
      </c>
      <c r="R2392" s="10">
        <f>IFERROR(IF(('Loading-truck'!$C$21)="No control",SUMIF(('Loading-truck'!$B$31:$B$48),$J2392,('Loading-truck'!$D$31:$D$48))*Impacts!$F$14,IF(('Loading-truck'!$C$21)&lt;&gt;"No control",SUMIF(('Loading-truck'!$B$31:$B$48),$J2392,('Loading-truck'!$E$31:$E$48))*Impacts!$F$14,0)),0)</f>
        <v>0</v>
      </c>
      <c r="S2392" s="10">
        <f>IFERROR(IF(('Loading-rail'!$C$21)="No control",SUMIF(('Loading-rail'!$B$31:$B$48),$J2392,('Loading-rail'!$D$31:$D$48))*Impacts!$F$15,IF(('Loading-rail'!$C$21)&lt;&gt;"No control",SUMIF(('Loading-rail'!$B$31:$B$48),$J2392,('Loading-rail'!$E$31:$E$48))*Impacts!$F$15,0)),0)</f>
        <v>0</v>
      </c>
      <c r="T2392" s="10">
        <f>IF(Flare!$C$7="",0,(SUMIF(Flare!$B$46:$B$185,$J2392,Flare!$E$46:$E$185)*Impacts!$F$16))</f>
        <v>0</v>
      </c>
      <c r="U2392" s="10">
        <f>IF(VCU!$C$9="",0,(SUMIF(VCU!$B$51:$B$193,$J2392,VCU!$E$51:$E$193)*Impacts!$F$17))</f>
        <v>0</v>
      </c>
      <c r="V2392" s="10">
        <f>IF(CAS!$C$7="",0,(SUMIF(CAS!$B$31:$B$167,$J2392,CAS!$E$31:$E$167)*Impacts!$F$18))</f>
        <v>0</v>
      </c>
      <c r="W2392" s="10">
        <f t="shared" si="77"/>
        <v>0</v>
      </c>
      <c r="AK2392" s="10" t="str">
        <f t="array" ref="AK2392">IFERROR(INDEX(SelectedSpecies,SMALL(IF(SelectedSpecies=AK$1,ROW(SelectedSpecies)),ROW(2393:2393)),2),"")</f>
        <v/>
      </c>
      <c r="BE2392" s="10"/>
      <c r="BI2392" s="10"/>
    </row>
    <row r="2393" spans="1:61" ht="21" customHeight="1" x14ac:dyDescent="0.25">
      <c r="A2393" s="10"/>
      <c r="B2393" s="10"/>
      <c r="E2393" s="10"/>
      <c r="G2393" s="10"/>
      <c r="I2393" s="436" t="s">
        <v>786</v>
      </c>
      <c r="J2393" s="26" t="s">
        <v>785</v>
      </c>
      <c r="K2393" s="10">
        <v>54</v>
      </c>
      <c r="L2393" s="73">
        <f>IF(Tank1!$C$23="No control",(SUMIF(Tank1!$B$32:$B$49,$J2393,Tank1!$C$32:$C$49)*Impacts!$F$8),0)</f>
        <v>0</v>
      </c>
      <c r="M2393" s="10">
        <f>IF(Tank2!$C$23="No control",(SUMIF(Tank2!$B$32:$B$49,$J2393,Tank2!$C$32:$C$49)*Impacts!$F$9),0)</f>
        <v>0</v>
      </c>
      <c r="N2393" s="10">
        <f>IF(Tank3!$C$23="No control",(SUMIF(Tank3!$B$32:$B$49,$J2393,Tank3!$C$32:$C$49)*Impacts!$F$10),0)</f>
        <v>0</v>
      </c>
      <c r="O2393" s="10">
        <f>IF(Tank4!$C$23="No control",(SUMIF(Tank4!$B$32:$B$49,$J2393,Tank4!$C$32:$C$49)*Impacts!$F$11),0)</f>
        <v>0</v>
      </c>
      <c r="P2393" s="10">
        <f>IF(Tank5!$C$23="No control",(SUMIF(Tank5!$B$32:$B$49,$J2393,Tank5!$C$32:$C$49)*Impacts!$F$12),0)</f>
        <v>0</v>
      </c>
      <c r="Q2393" s="10">
        <f>IFERROR(IF(('Loading-drum,tote'!$C$21)="No control",SUMIF(('Loading-drum,tote'!$B$31:$B$48),$J2393,('Loading-drum,tote'!$D$31:$D$48))*Impacts!$F$13,IF(('Loading-drum,tote'!$C$21)&lt;&gt;"No control",SUMIF(('Loading-drum,tote'!$B$31:$B$48),$J2393,('Loading-drum,tote'!$E$31:$E$48))*Impacts!$F$13,0)),0)</f>
        <v>0</v>
      </c>
      <c r="R2393" s="10">
        <f>IFERROR(IF(('Loading-truck'!$C$21)="No control",SUMIF(('Loading-truck'!$B$31:$B$48),$J2393,('Loading-truck'!$D$31:$D$48))*Impacts!$F$14,IF(('Loading-truck'!$C$21)&lt;&gt;"No control",SUMIF(('Loading-truck'!$B$31:$B$48),$J2393,('Loading-truck'!$E$31:$E$48))*Impacts!$F$14,0)),0)</f>
        <v>0</v>
      </c>
      <c r="S2393" s="10">
        <f>IFERROR(IF(('Loading-rail'!$C$21)="No control",SUMIF(('Loading-rail'!$B$31:$B$48),$J2393,('Loading-rail'!$D$31:$D$48))*Impacts!$F$15,IF(('Loading-rail'!$C$21)&lt;&gt;"No control",SUMIF(('Loading-rail'!$B$31:$B$48),$J2393,('Loading-rail'!$E$31:$E$48))*Impacts!$F$15,0)),0)</f>
        <v>0</v>
      </c>
      <c r="T2393" s="10">
        <f>IF(Flare!$C$7="",0,(SUMIF(Flare!$B$46:$B$185,$J2393,Flare!$E$46:$E$185)*Impacts!$F$16))</f>
        <v>0</v>
      </c>
      <c r="U2393" s="10">
        <f>IF(VCU!$C$9="",0,(SUMIF(VCU!$B$51:$B$193,$J2393,VCU!$E$51:$E$193)*Impacts!$F$17))</f>
        <v>0</v>
      </c>
      <c r="V2393" s="10">
        <f>IF(CAS!$C$7="",0,(SUMIF(CAS!$B$31:$B$167,$J2393,CAS!$E$31:$E$167)*Impacts!$F$18))</f>
        <v>0</v>
      </c>
      <c r="W2393" s="10">
        <f t="shared" si="77"/>
        <v>0</v>
      </c>
      <c r="AK2393" s="10" t="str">
        <f t="array" ref="AK2393">IFERROR(INDEX(SelectedSpecies,SMALL(IF(SelectedSpecies=AK$1,ROW(SelectedSpecies)),ROW(2394:2394)),2),"")</f>
        <v/>
      </c>
      <c r="BE2393" s="10"/>
      <c r="BI2393" s="10"/>
    </row>
    <row r="2394" spans="1:61" ht="21" customHeight="1" x14ac:dyDescent="0.25">
      <c r="A2394" s="10"/>
      <c r="B2394" s="10"/>
      <c r="E2394" s="10"/>
      <c r="G2394" s="10"/>
      <c r="I2394" s="436" t="s">
        <v>788</v>
      </c>
      <c r="J2394" s="26" t="s">
        <v>787</v>
      </c>
      <c r="K2394" s="10">
        <v>54</v>
      </c>
      <c r="L2394" s="73">
        <f>IF(Tank1!$C$23="No control",(SUMIF(Tank1!$B$32:$B$49,$J2394,Tank1!$C$32:$C$49)*Impacts!$F$8),0)</f>
        <v>0</v>
      </c>
      <c r="M2394" s="10">
        <f>IF(Tank2!$C$23="No control",(SUMIF(Tank2!$B$32:$B$49,$J2394,Tank2!$C$32:$C$49)*Impacts!$F$9),0)</f>
        <v>0</v>
      </c>
      <c r="N2394" s="10">
        <f>IF(Tank3!$C$23="No control",(SUMIF(Tank3!$B$32:$B$49,$J2394,Tank3!$C$32:$C$49)*Impacts!$F$10),0)</f>
        <v>0</v>
      </c>
      <c r="O2394" s="10">
        <f>IF(Tank4!$C$23="No control",(SUMIF(Tank4!$B$32:$B$49,$J2394,Tank4!$C$32:$C$49)*Impacts!$F$11),0)</f>
        <v>0</v>
      </c>
      <c r="P2394" s="10">
        <f>IF(Tank5!$C$23="No control",(SUMIF(Tank5!$B$32:$B$49,$J2394,Tank5!$C$32:$C$49)*Impacts!$F$12),0)</f>
        <v>0</v>
      </c>
      <c r="Q2394" s="10">
        <f>IFERROR(IF(('Loading-drum,tote'!$C$21)="No control",SUMIF(('Loading-drum,tote'!$B$31:$B$48),$J2394,('Loading-drum,tote'!$D$31:$D$48))*Impacts!$F$13,IF(('Loading-drum,tote'!$C$21)&lt;&gt;"No control",SUMIF(('Loading-drum,tote'!$B$31:$B$48),$J2394,('Loading-drum,tote'!$E$31:$E$48))*Impacts!$F$13,0)),0)</f>
        <v>0</v>
      </c>
      <c r="R2394" s="10">
        <f>IFERROR(IF(('Loading-truck'!$C$21)="No control",SUMIF(('Loading-truck'!$B$31:$B$48),$J2394,('Loading-truck'!$D$31:$D$48))*Impacts!$F$14,IF(('Loading-truck'!$C$21)&lt;&gt;"No control",SUMIF(('Loading-truck'!$B$31:$B$48),$J2394,('Loading-truck'!$E$31:$E$48))*Impacts!$F$14,0)),0)</f>
        <v>0</v>
      </c>
      <c r="S2394" s="10">
        <f>IFERROR(IF(('Loading-rail'!$C$21)="No control",SUMIF(('Loading-rail'!$B$31:$B$48),$J2394,('Loading-rail'!$D$31:$D$48))*Impacts!$F$15,IF(('Loading-rail'!$C$21)&lt;&gt;"No control",SUMIF(('Loading-rail'!$B$31:$B$48),$J2394,('Loading-rail'!$E$31:$E$48))*Impacts!$F$15,0)),0)</f>
        <v>0</v>
      </c>
      <c r="T2394" s="10">
        <f>IF(Flare!$C$7="",0,(SUMIF(Flare!$B$46:$B$185,$J2394,Flare!$E$46:$E$185)*Impacts!$F$16))</f>
        <v>0</v>
      </c>
      <c r="U2394" s="10">
        <f>IF(VCU!$C$9="",0,(SUMIF(VCU!$B$51:$B$193,$J2394,VCU!$E$51:$E$193)*Impacts!$F$17))</f>
        <v>0</v>
      </c>
      <c r="V2394" s="10">
        <f>IF(CAS!$C$7="",0,(SUMIF(CAS!$B$31:$B$167,$J2394,CAS!$E$31:$E$167)*Impacts!$F$18))</f>
        <v>0</v>
      </c>
      <c r="W2394" s="10">
        <f t="shared" ref="W2394:W2457" si="78">SUM(L2394:V2394)</f>
        <v>0</v>
      </c>
      <c r="AK2394" s="10" t="str">
        <f t="array" ref="AK2394">IFERROR(INDEX(SelectedSpecies,SMALL(IF(SelectedSpecies=AK$1,ROW(SelectedSpecies)),ROW(2395:2395)),2),"")</f>
        <v/>
      </c>
      <c r="BE2394" s="10"/>
      <c r="BI2394" s="10"/>
    </row>
    <row r="2395" spans="1:61" ht="21" customHeight="1" x14ac:dyDescent="0.25">
      <c r="A2395" s="10"/>
      <c r="B2395" s="10"/>
      <c r="E2395" s="10"/>
      <c r="G2395" s="10"/>
      <c r="I2395" s="436" t="s">
        <v>3713</v>
      </c>
      <c r="J2395" s="26" t="s">
        <v>3712</v>
      </c>
      <c r="K2395" s="10">
        <v>6.5</v>
      </c>
      <c r="L2395" s="73">
        <f>IF(Tank1!$C$23="No control",(SUMIF(Tank1!$B$32:$B$49,$J2395,Tank1!$C$32:$C$49)*Impacts!$F$8),0)</f>
        <v>0</v>
      </c>
      <c r="M2395" s="10">
        <f>IF(Tank2!$C$23="No control",(SUMIF(Tank2!$B$32:$B$49,$J2395,Tank2!$C$32:$C$49)*Impacts!$F$9),0)</f>
        <v>0</v>
      </c>
      <c r="N2395" s="10">
        <f>IF(Tank3!$C$23="No control",(SUMIF(Tank3!$B$32:$B$49,$J2395,Tank3!$C$32:$C$49)*Impacts!$F$10),0)</f>
        <v>0</v>
      </c>
      <c r="O2395" s="10">
        <f>IF(Tank4!$C$23="No control",(SUMIF(Tank4!$B$32:$B$49,$J2395,Tank4!$C$32:$C$49)*Impacts!$F$11),0)</f>
        <v>0</v>
      </c>
      <c r="P2395" s="10">
        <f>IF(Tank5!$C$23="No control",(SUMIF(Tank5!$B$32:$B$49,$J2395,Tank5!$C$32:$C$49)*Impacts!$F$12),0)</f>
        <v>0</v>
      </c>
      <c r="Q2395" s="10">
        <f>IFERROR(IF(('Loading-drum,tote'!$C$21)="No control",SUMIF(('Loading-drum,tote'!$B$31:$B$48),$J2395,('Loading-drum,tote'!$D$31:$D$48))*Impacts!$F$13,IF(('Loading-drum,tote'!$C$21)&lt;&gt;"No control",SUMIF(('Loading-drum,tote'!$B$31:$B$48),$J2395,('Loading-drum,tote'!$E$31:$E$48))*Impacts!$F$13,0)),0)</f>
        <v>0</v>
      </c>
      <c r="R2395" s="10">
        <f>IFERROR(IF(('Loading-truck'!$C$21)="No control",SUMIF(('Loading-truck'!$B$31:$B$48),$J2395,('Loading-truck'!$D$31:$D$48))*Impacts!$F$14,IF(('Loading-truck'!$C$21)&lt;&gt;"No control",SUMIF(('Loading-truck'!$B$31:$B$48),$J2395,('Loading-truck'!$E$31:$E$48))*Impacts!$F$14,0)),0)</f>
        <v>0</v>
      </c>
      <c r="S2395" s="10">
        <f>IFERROR(IF(('Loading-rail'!$C$21)="No control",SUMIF(('Loading-rail'!$B$31:$B$48),$J2395,('Loading-rail'!$D$31:$D$48))*Impacts!$F$15,IF(('Loading-rail'!$C$21)&lt;&gt;"No control",SUMIF(('Loading-rail'!$B$31:$B$48),$J2395,('Loading-rail'!$E$31:$E$48))*Impacts!$F$15,0)),0)</f>
        <v>0</v>
      </c>
      <c r="T2395" s="10">
        <f>IF(Flare!$C$7="",0,(SUMIF(Flare!$B$46:$B$185,$J2395,Flare!$E$46:$E$185)*Impacts!$F$16))</f>
        <v>0</v>
      </c>
      <c r="U2395" s="10">
        <f>IF(VCU!$C$9="",0,(SUMIF(VCU!$B$51:$B$193,$J2395,VCU!$E$51:$E$193)*Impacts!$F$17))</f>
        <v>0</v>
      </c>
      <c r="V2395" s="10">
        <f>IF(CAS!$C$7="",0,(SUMIF(CAS!$B$31:$B$167,$J2395,CAS!$E$31:$E$167)*Impacts!$F$18))</f>
        <v>0</v>
      </c>
      <c r="W2395" s="10">
        <f t="shared" si="78"/>
        <v>0</v>
      </c>
      <c r="AK2395" s="10" t="str">
        <f t="array" ref="AK2395">IFERROR(INDEX(SelectedSpecies,SMALL(IF(SelectedSpecies=AK$1,ROW(SelectedSpecies)),ROW(2396:2396)),2),"")</f>
        <v/>
      </c>
      <c r="BE2395" s="10"/>
      <c r="BI2395" s="10"/>
    </row>
    <row r="2396" spans="1:61" ht="21" customHeight="1" x14ac:dyDescent="0.25">
      <c r="A2396" s="10"/>
      <c r="B2396" s="10"/>
      <c r="E2396" s="10"/>
      <c r="G2396" s="10"/>
      <c r="I2396" s="436" t="s">
        <v>3553</v>
      </c>
      <c r="J2396" s="26" t="s">
        <v>3552</v>
      </c>
      <c r="K2396" s="10">
        <v>8.4</v>
      </c>
      <c r="L2396" s="73">
        <f>IF(Tank1!$C$23="No control",(SUMIF(Tank1!$B$32:$B$49,$J2396,Tank1!$C$32:$C$49)*Impacts!$F$8),0)</f>
        <v>0</v>
      </c>
      <c r="M2396" s="10">
        <f>IF(Tank2!$C$23="No control",(SUMIF(Tank2!$B$32:$B$49,$J2396,Tank2!$C$32:$C$49)*Impacts!$F$9),0)</f>
        <v>0</v>
      </c>
      <c r="N2396" s="10">
        <f>IF(Tank3!$C$23="No control",(SUMIF(Tank3!$B$32:$B$49,$J2396,Tank3!$C$32:$C$49)*Impacts!$F$10),0)</f>
        <v>0</v>
      </c>
      <c r="O2396" s="10">
        <f>IF(Tank4!$C$23="No control",(SUMIF(Tank4!$B$32:$B$49,$J2396,Tank4!$C$32:$C$49)*Impacts!$F$11),0)</f>
        <v>0</v>
      </c>
      <c r="P2396" s="10">
        <f>IF(Tank5!$C$23="No control",(SUMIF(Tank5!$B$32:$B$49,$J2396,Tank5!$C$32:$C$49)*Impacts!$F$12),0)</f>
        <v>0</v>
      </c>
      <c r="Q2396" s="10">
        <f>IFERROR(IF(('Loading-drum,tote'!$C$21)="No control",SUMIF(('Loading-drum,tote'!$B$31:$B$48),$J2396,('Loading-drum,tote'!$D$31:$D$48))*Impacts!$F$13,IF(('Loading-drum,tote'!$C$21)&lt;&gt;"No control",SUMIF(('Loading-drum,tote'!$B$31:$B$48),$J2396,('Loading-drum,tote'!$E$31:$E$48))*Impacts!$F$13,0)),0)</f>
        <v>0</v>
      </c>
      <c r="R2396" s="10">
        <f>IFERROR(IF(('Loading-truck'!$C$21)="No control",SUMIF(('Loading-truck'!$B$31:$B$48),$J2396,('Loading-truck'!$D$31:$D$48))*Impacts!$F$14,IF(('Loading-truck'!$C$21)&lt;&gt;"No control",SUMIF(('Loading-truck'!$B$31:$B$48),$J2396,('Loading-truck'!$E$31:$E$48))*Impacts!$F$14,0)),0)</f>
        <v>0</v>
      </c>
      <c r="S2396" s="10">
        <f>IFERROR(IF(('Loading-rail'!$C$21)="No control",SUMIF(('Loading-rail'!$B$31:$B$48),$J2396,('Loading-rail'!$D$31:$D$48))*Impacts!$F$15,IF(('Loading-rail'!$C$21)&lt;&gt;"No control",SUMIF(('Loading-rail'!$B$31:$B$48),$J2396,('Loading-rail'!$E$31:$E$48))*Impacts!$F$15,0)),0)</f>
        <v>0</v>
      </c>
      <c r="T2396" s="10">
        <f>IF(Flare!$C$7="",0,(SUMIF(Flare!$B$46:$B$185,$J2396,Flare!$E$46:$E$185)*Impacts!$F$16))</f>
        <v>0</v>
      </c>
      <c r="U2396" s="10">
        <f>IF(VCU!$C$9="",0,(SUMIF(VCU!$B$51:$B$193,$J2396,VCU!$E$51:$E$193)*Impacts!$F$17))</f>
        <v>0</v>
      </c>
      <c r="V2396" s="10">
        <f>IF(CAS!$C$7="",0,(SUMIF(CAS!$B$31:$B$167,$J2396,CAS!$E$31:$E$167)*Impacts!$F$18))</f>
        <v>0</v>
      </c>
      <c r="W2396" s="10">
        <f t="shared" si="78"/>
        <v>0</v>
      </c>
      <c r="AK2396" s="10" t="str">
        <f t="array" ref="AK2396">IFERROR(INDEX(SelectedSpecies,SMALL(IF(SelectedSpecies=AK$1,ROW(SelectedSpecies)),ROW(2397:2397)),2),"")</f>
        <v/>
      </c>
      <c r="BE2396" s="10"/>
      <c r="BI2396" s="10"/>
    </row>
    <row r="2397" spans="1:61" ht="21" customHeight="1" x14ac:dyDescent="0.25">
      <c r="A2397" s="10"/>
      <c r="B2397" s="10"/>
      <c r="E2397" s="10"/>
      <c r="G2397" s="10"/>
      <c r="I2397" s="436" t="s">
        <v>790</v>
      </c>
      <c r="J2397" s="26" t="s">
        <v>789</v>
      </c>
      <c r="K2397" s="10">
        <v>54</v>
      </c>
      <c r="L2397" s="73">
        <f>IF(Tank1!$C$23="No control",(SUMIF(Tank1!$B$32:$B$49,$J2397,Tank1!$C$32:$C$49)*Impacts!$F$8),0)</f>
        <v>0</v>
      </c>
      <c r="M2397" s="10">
        <f>IF(Tank2!$C$23="No control",(SUMIF(Tank2!$B$32:$B$49,$J2397,Tank2!$C$32:$C$49)*Impacts!$F$9),0)</f>
        <v>0</v>
      </c>
      <c r="N2397" s="10">
        <f>IF(Tank3!$C$23="No control",(SUMIF(Tank3!$B$32:$B$49,$J2397,Tank3!$C$32:$C$49)*Impacts!$F$10),0)</f>
        <v>0</v>
      </c>
      <c r="O2397" s="10">
        <f>IF(Tank4!$C$23="No control",(SUMIF(Tank4!$B$32:$B$49,$J2397,Tank4!$C$32:$C$49)*Impacts!$F$11),0)</f>
        <v>0</v>
      </c>
      <c r="P2397" s="10">
        <f>IF(Tank5!$C$23="No control",(SUMIF(Tank5!$B$32:$B$49,$J2397,Tank5!$C$32:$C$49)*Impacts!$F$12),0)</f>
        <v>0</v>
      </c>
      <c r="Q2397" s="10">
        <f>IFERROR(IF(('Loading-drum,tote'!$C$21)="No control",SUMIF(('Loading-drum,tote'!$B$31:$B$48),$J2397,('Loading-drum,tote'!$D$31:$D$48))*Impacts!$F$13,IF(('Loading-drum,tote'!$C$21)&lt;&gt;"No control",SUMIF(('Loading-drum,tote'!$B$31:$B$48),$J2397,('Loading-drum,tote'!$E$31:$E$48))*Impacts!$F$13,0)),0)</f>
        <v>0</v>
      </c>
      <c r="R2397" s="10">
        <f>IFERROR(IF(('Loading-truck'!$C$21)="No control",SUMIF(('Loading-truck'!$B$31:$B$48),$J2397,('Loading-truck'!$D$31:$D$48))*Impacts!$F$14,IF(('Loading-truck'!$C$21)&lt;&gt;"No control",SUMIF(('Loading-truck'!$B$31:$B$48),$J2397,('Loading-truck'!$E$31:$E$48))*Impacts!$F$14,0)),0)</f>
        <v>0</v>
      </c>
      <c r="S2397" s="10">
        <f>IFERROR(IF(('Loading-rail'!$C$21)="No control",SUMIF(('Loading-rail'!$B$31:$B$48),$J2397,('Loading-rail'!$D$31:$D$48))*Impacts!$F$15,IF(('Loading-rail'!$C$21)&lt;&gt;"No control",SUMIF(('Loading-rail'!$B$31:$B$48),$J2397,('Loading-rail'!$E$31:$E$48))*Impacts!$F$15,0)),0)</f>
        <v>0</v>
      </c>
      <c r="T2397" s="10">
        <f>IF(Flare!$C$7="",0,(SUMIF(Flare!$B$46:$B$185,$J2397,Flare!$E$46:$E$185)*Impacts!$F$16))</f>
        <v>0</v>
      </c>
      <c r="U2397" s="10">
        <f>IF(VCU!$C$9="",0,(SUMIF(VCU!$B$51:$B$193,$J2397,VCU!$E$51:$E$193)*Impacts!$F$17))</f>
        <v>0</v>
      </c>
      <c r="V2397" s="10">
        <f>IF(CAS!$C$7="",0,(SUMIF(CAS!$B$31:$B$167,$J2397,CAS!$E$31:$E$167)*Impacts!$F$18))</f>
        <v>0</v>
      </c>
      <c r="W2397" s="10">
        <f t="shared" si="78"/>
        <v>0</v>
      </c>
      <c r="AK2397" s="10" t="str">
        <f t="array" ref="AK2397">IFERROR(INDEX(SelectedSpecies,SMALL(IF(SelectedSpecies=AK$1,ROW(SelectedSpecies)),ROW(2398:2398)),2),"")</f>
        <v/>
      </c>
      <c r="BE2397" s="10"/>
      <c r="BI2397" s="10"/>
    </row>
    <row r="2398" spans="1:61" ht="21" customHeight="1" x14ac:dyDescent="0.25">
      <c r="A2398" s="10"/>
      <c r="B2398" s="10"/>
      <c r="E2398" s="10"/>
      <c r="G2398" s="10"/>
      <c r="I2398" s="436" t="s">
        <v>3715</v>
      </c>
      <c r="J2398" s="26" t="s">
        <v>3714</v>
      </c>
      <c r="K2398" s="10">
        <v>6.5</v>
      </c>
      <c r="L2398" s="73">
        <f>IF(Tank1!$C$23="No control",(SUMIF(Tank1!$B$32:$B$49,$J2398,Tank1!$C$32:$C$49)*Impacts!$F$8),0)</f>
        <v>0</v>
      </c>
      <c r="M2398" s="10">
        <f>IF(Tank2!$C$23="No control",(SUMIF(Tank2!$B$32:$B$49,$J2398,Tank2!$C$32:$C$49)*Impacts!$F$9),0)</f>
        <v>0</v>
      </c>
      <c r="N2398" s="10">
        <f>IF(Tank3!$C$23="No control",(SUMIF(Tank3!$B$32:$B$49,$J2398,Tank3!$C$32:$C$49)*Impacts!$F$10),0)</f>
        <v>0</v>
      </c>
      <c r="O2398" s="10">
        <f>IF(Tank4!$C$23="No control",(SUMIF(Tank4!$B$32:$B$49,$J2398,Tank4!$C$32:$C$49)*Impacts!$F$11),0)</f>
        <v>0</v>
      </c>
      <c r="P2398" s="10">
        <f>IF(Tank5!$C$23="No control",(SUMIF(Tank5!$B$32:$B$49,$J2398,Tank5!$C$32:$C$49)*Impacts!$F$12),0)</f>
        <v>0</v>
      </c>
      <c r="Q2398" s="10">
        <f>IFERROR(IF(('Loading-drum,tote'!$C$21)="No control",SUMIF(('Loading-drum,tote'!$B$31:$B$48),$J2398,('Loading-drum,tote'!$D$31:$D$48))*Impacts!$F$13,IF(('Loading-drum,tote'!$C$21)&lt;&gt;"No control",SUMIF(('Loading-drum,tote'!$B$31:$B$48),$J2398,('Loading-drum,tote'!$E$31:$E$48))*Impacts!$F$13,0)),0)</f>
        <v>0</v>
      </c>
      <c r="R2398" s="10">
        <f>IFERROR(IF(('Loading-truck'!$C$21)="No control",SUMIF(('Loading-truck'!$B$31:$B$48),$J2398,('Loading-truck'!$D$31:$D$48))*Impacts!$F$14,IF(('Loading-truck'!$C$21)&lt;&gt;"No control",SUMIF(('Loading-truck'!$B$31:$B$48),$J2398,('Loading-truck'!$E$31:$E$48))*Impacts!$F$14,0)),0)</f>
        <v>0</v>
      </c>
      <c r="S2398" s="10">
        <f>IFERROR(IF(('Loading-rail'!$C$21)="No control",SUMIF(('Loading-rail'!$B$31:$B$48),$J2398,('Loading-rail'!$D$31:$D$48))*Impacts!$F$15,IF(('Loading-rail'!$C$21)&lt;&gt;"No control",SUMIF(('Loading-rail'!$B$31:$B$48),$J2398,('Loading-rail'!$E$31:$E$48))*Impacts!$F$15,0)),0)</f>
        <v>0</v>
      </c>
      <c r="T2398" s="10">
        <f>IF(Flare!$C$7="",0,(SUMIF(Flare!$B$46:$B$185,$J2398,Flare!$E$46:$E$185)*Impacts!$F$16))</f>
        <v>0</v>
      </c>
      <c r="U2398" s="10">
        <f>IF(VCU!$C$9="",0,(SUMIF(VCU!$B$51:$B$193,$J2398,VCU!$E$51:$E$193)*Impacts!$F$17))</f>
        <v>0</v>
      </c>
      <c r="V2398" s="10">
        <f>IF(CAS!$C$7="",0,(SUMIF(CAS!$B$31:$B$167,$J2398,CAS!$E$31:$E$167)*Impacts!$F$18))</f>
        <v>0</v>
      </c>
      <c r="W2398" s="10">
        <f t="shared" si="78"/>
        <v>0</v>
      </c>
      <c r="AK2398" s="10" t="str">
        <f t="array" ref="AK2398">IFERROR(INDEX(SelectedSpecies,SMALL(IF(SelectedSpecies=AK$1,ROW(SelectedSpecies)),ROW(2399:2399)),2),"")</f>
        <v/>
      </c>
      <c r="BE2398" s="10"/>
      <c r="BI2398" s="10"/>
    </row>
    <row r="2399" spans="1:61" ht="21" customHeight="1" x14ac:dyDescent="0.25">
      <c r="A2399" s="10"/>
      <c r="B2399" s="10"/>
      <c r="E2399" s="10"/>
      <c r="G2399" s="10"/>
      <c r="I2399" s="436" t="s">
        <v>1558</v>
      </c>
      <c r="J2399" s="26" t="s">
        <v>1557</v>
      </c>
      <c r="K2399" s="10">
        <v>27</v>
      </c>
      <c r="L2399" s="73">
        <f>IF(Tank1!$C$23="No control",(SUMIF(Tank1!$B$32:$B$49,$J2399,Tank1!$C$32:$C$49)*Impacts!$F$8),0)</f>
        <v>0</v>
      </c>
      <c r="M2399" s="10">
        <f>IF(Tank2!$C$23="No control",(SUMIF(Tank2!$B$32:$B$49,$J2399,Tank2!$C$32:$C$49)*Impacts!$F$9),0)</f>
        <v>0</v>
      </c>
      <c r="N2399" s="10">
        <f>IF(Tank3!$C$23="No control",(SUMIF(Tank3!$B$32:$B$49,$J2399,Tank3!$C$32:$C$49)*Impacts!$F$10),0)</f>
        <v>0</v>
      </c>
      <c r="O2399" s="10">
        <f>IF(Tank4!$C$23="No control",(SUMIF(Tank4!$B$32:$B$49,$J2399,Tank4!$C$32:$C$49)*Impacts!$F$11),0)</f>
        <v>0</v>
      </c>
      <c r="P2399" s="10">
        <f>IF(Tank5!$C$23="No control",(SUMIF(Tank5!$B$32:$B$49,$J2399,Tank5!$C$32:$C$49)*Impacts!$F$12),0)</f>
        <v>0</v>
      </c>
      <c r="Q2399" s="10">
        <f>IFERROR(IF(('Loading-drum,tote'!$C$21)="No control",SUMIF(('Loading-drum,tote'!$B$31:$B$48),$J2399,('Loading-drum,tote'!$D$31:$D$48))*Impacts!$F$13,IF(('Loading-drum,tote'!$C$21)&lt;&gt;"No control",SUMIF(('Loading-drum,tote'!$B$31:$B$48),$J2399,('Loading-drum,tote'!$E$31:$E$48))*Impacts!$F$13,0)),0)</f>
        <v>0</v>
      </c>
      <c r="R2399" s="10">
        <f>IFERROR(IF(('Loading-truck'!$C$21)="No control",SUMIF(('Loading-truck'!$B$31:$B$48),$J2399,('Loading-truck'!$D$31:$D$48))*Impacts!$F$14,IF(('Loading-truck'!$C$21)&lt;&gt;"No control",SUMIF(('Loading-truck'!$B$31:$B$48),$J2399,('Loading-truck'!$E$31:$E$48))*Impacts!$F$14,0)),0)</f>
        <v>0</v>
      </c>
      <c r="S2399" s="10">
        <f>IFERROR(IF(('Loading-rail'!$C$21)="No control",SUMIF(('Loading-rail'!$B$31:$B$48),$J2399,('Loading-rail'!$D$31:$D$48))*Impacts!$F$15,IF(('Loading-rail'!$C$21)&lt;&gt;"No control",SUMIF(('Loading-rail'!$B$31:$B$48),$J2399,('Loading-rail'!$E$31:$E$48))*Impacts!$F$15,0)),0)</f>
        <v>0</v>
      </c>
      <c r="T2399" s="10">
        <f>IF(Flare!$C$7="",0,(SUMIF(Flare!$B$46:$B$185,$J2399,Flare!$E$46:$E$185)*Impacts!$F$16))</f>
        <v>0</v>
      </c>
      <c r="U2399" s="10">
        <f>IF(VCU!$C$9="",0,(SUMIF(VCU!$B$51:$B$193,$J2399,VCU!$E$51:$E$193)*Impacts!$F$17))</f>
        <v>0</v>
      </c>
      <c r="V2399" s="10">
        <f>IF(CAS!$C$7="",0,(SUMIF(CAS!$B$31:$B$167,$J2399,CAS!$E$31:$E$167)*Impacts!$F$18))</f>
        <v>0</v>
      </c>
      <c r="W2399" s="10">
        <f t="shared" si="78"/>
        <v>0</v>
      </c>
      <c r="AK2399" s="10" t="str">
        <f t="array" ref="AK2399">IFERROR(INDEX(SelectedSpecies,SMALL(IF(SelectedSpecies=AK$1,ROW(SelectedSpecies)),ROW(2400:2400)),2),"")</f>
        <v/>
      </c>
      <c r="BE2399" s="10"/>
      <c r="BI2399" s="10"/>
    </row>
    <row r="2400" spans="1:61" ht="21" customHeight="1" x14ac:dyDescent="0.25">
      <c r="A2400" s="10"/>
      <c r="B2400" s="10"/>
      <c r="E2400" s="10"/>
      <c r="G2400" s="10"/>
      <c r="I2400" s="436" t="s">
        <v>5053</v>
      </c>
      <c r="J2400" s="26" t="s">
        <v>5052</v>
      </c>
      <c r="K2400" s="10">
        <v>2.3000000000000003</v>
      </c>
      <c r="L2400" s="73">
        <f>IF(Tank1!$C$23="No control",(SUMIF(Tank1!$B$32:$B$49,$J2400,Tank1!$C$32:$C$49)*Impacts!$F$8),0)</f>
        <v>0</v>
      </c>
      <c r="M2400" s="10">
        <f>IF(Tank2!$C$23="No control",(SUMIF(Tank2!$B$32:$B$49,$J2400,Tank2!$C$32:$C$49)*Impacts!$F$9),0)</f>
        <v>0</v>
      </c>
      <c r="N2400" s="10">
        <f>IF(Tank3!$C$23="No control",(SUMIF(Tank3!$B$32:$B$49,$J2400,Tank3!$C$32:$C$49)*Impacts!$F$10),0)</f>
        <v>0</v>
      </c>
      <c r="O2400" s="10">
        <f>IF(Tank4!$C$23="No control",(SUMIF(Tank4!$B$32:$B$49,$J2400,Tank4!$C$32:$C$49)*Impacts!$F$11),0)</f>
        <v>0</v>
      </c>
      <c r="P2400" s="10">
        <f>IF(Tank5!$C$23="No control",(SUMIF(Tank5!$B$32:$B$49,$J2400,Tank5!$C$32:$C$49)*Impacts!$F$12),0)</f>
        <v>0</v>
      </c>
      <c r="Q2400" s="10">
        <f>IFERROR(IF(('Loading-drum,tote'!$C$21)="No control",SUMIF(('Loading-drum,tote'!$B$31:$B$48),$J2400,('Loading-drum,tote'!$D$31:$D$48))*Impacts!$F$13,IF(('Loading-drum,tote'!$C$21)&lt;&gt;"No control",SUMIF(('Loading-drum,tote'!$B$31:$B$48),$J2400,('Loading-drum,tote'!$E$31:$E$48))*Impacts!$F$13,0)),0)</f>
        <v>0</v>
      </c>
      <c r="R2400" s="10">
        <f>IFERROR(IF(('Loading-truck'!$C$21)="No control",SUMIF(('Loading-truck'!$B$31:$B$48),$J2400,('Loading-truck'!$D$31:$D$48))*Impacts!$F$14,IF(('Loading-truck'!$C$21)&lt;&gt;"No control",SUMIF(('Loading-truck'!$B$31:$B$48),$J2400,('Loading-truck'!$E$31:$E$48))*Impacts!$F$14,0)),0)</f>
        <v>0</v>
      </c>
      <c r="S2400" s="10">
        <f>IFERROR(IF(('Loading-rail'!$C$21)="No control",SUMIF(('Loading-rail'!$B$31:$B$48),$J2400,('Loading-rail'!$D$31:$D$48))*Impacts!$F$15,IF(('Loading-rail'!$C$21)&lt;&gt;"No control",SUMIF(('Loading-rail'!$B$31:$B$48),$J2400,('Loading-rail'!$E$31:$E$48))*Impacts!$F$15,0)),0)</f>
        <v>0</v>
      </c>
      <c r="T2400" s="10">
        <f>IF(Flare!$C$7="",0,(SUMIF(Flare!$B$46:$B$185,$J2400,Flare!$E$46:$E$185)*Impacts!$F$16))</f>
        <v>0</v>
      </c>
      <c r="U2400" s="10">
        <f>IF(VCU!$C$9="",0,(SUMIF(VCU!$B$51:$B$193,$J2400,VCU!$E$51:$E$193)*Impacts!$F$17))</f>
        <v>0</v>
      </c>
      <c r="V2400" s="10">
        <f>IF(CAS!$C$7="",0,(SUMIF(CAS!$B$31:$B$167,$J2400,CAS!$E$31:$E$167)*Impacts!$F$18))</f>
        <v>0</v>
      </c>
      <c r="W2400" s="10">
        <f t="shared" si="78"/>
        <v>0</v>
      </c>
      <c r="AK2400" s="10" t="str">
        <f t="array" ref="AK2400">IFERROR(INDEX(SelectedSpecies,SMALL(IF(SelectedSpecies=AK$1,ROW(SelectedSpecies)),ROW(2401:2401)),2),"")</f>
        <v/>
      </c>
      <c r="BE2400" s="10"/>
      <c r="BI2400" s="10"/>
    </row>
    <row r="2401" spans="1:61" ht="21" customHeight="1" x14ac:dyDescent="0.25">
      <c r="A2401" s="10"/>
      <c r="B2401" s="10"/>
      <c r="E2401" s="10"/>
      <c r="G2401" s="10"/>
      <c r="I2401" s="436" t="s">
        <v>834</v>
      </c>
      <c r="J2401" s="26" t="s">
        <v>833</v>
      </c>
      <c r="K2401" s="10">
        <v>48</v>
      </c>
      <c r="L2401" s="73">
        <f>IF(Tank1!$C$23="No control",(SUMIF(Tank1!$B$32:$B$49,$J2401,Tank1!$C$32:$C$49)*Impacts!$F$8),0)</f>
        <v>0</v>
      </c>
      <c r="M2401" s="10">
        <f>IF(Tank2!$C$23="No control",(SUMIF(Tank2!$B$32:$B$49,$J2401,Tank2!$C$32:$C$49)*Impacts!$F$9),0)</f>
        <v>0</v>
      </c>
      <c r="N2401" s="10">
        <f>IF(Tank3!$C$23="No control",(SUMIF(Tank3!$B$32:$B$49,$J2401,Tank3!$C$32:$C$49)*Impacts!$F$10),0)</f>
        <v>0</v>
      </c>
      <c r="O2401" s="10">
        <f>IF(Tank4!$C$23="No control",(SUMIF(Tank4!$B$32:$B$49,$J2401,Tank4!$C$32:$C$49)*Impacts!$F$11),0)</f>
        <v>0</v>
      </c>
      <c r="P2401" s="10">
        <f>IF(Tank5!$C$23="No control",(SUMIF(Tank5!$B$32:$B$49,$J2401,Tank5!$C$32:$C$49)*Impacts!$F$12),0)</f>
        <v>0</v>
      </c>
      <c r="Q2401" s="10">
        <f>IFERROR(IF(('Loading-drum,tote'!$C$21)="No control",SUMIF(('Loading-drum,tote'!$B$31:$B$48),$J2401,('Loading-drum,tote'!$D$31:$D$48))*Impacts!$F$13,IF(('Loading-drum,tote'!$C$21)&lt;&gt;"No control",SUMIF(('Loading-drum,tote'!$B$31:$B$48),$J2401,('Loading-drum,tote'!$E$31:$E$48))*Impacts!$F$13,0)),0)</f>
        <v>0</v>
      </c>
      <c r="R2401" s="10">
        <f>IFERROR(IF(('Loading-truck'!$C$21)="No control",SUMIF(('Loading-truck'!$B$31:$B$48),$J2401,('Loading-truck'!$D$31:$D$48))*Impacts!$F$14,IF(('Loading-truck'!$C$21)&lt;&gt;"No control",SUMIF(('Loading-truck'!$B$31:$B$48),$J2401,('Loading-truck'!$E$31:$E$48))*Impacts!$F$14,0)),0)</f>
        <v>0</v>
      </c>
      <c r="S2401" s="10">
        <f>IFERROR(IF(('Loading-rail'!$C$21)="No control",SUMIF(('Loading-rail'!$B$31:$B$48),$J2401,('Loading-rail'!$D$31:$D$48))*Impacts!$F$15,IF(('Loading-rail'!$C$21)&lt;&gt;"No control",SUMIF(('Loading-rail'!$B$31:$B$48),$J2401,('Loading-rail'!$E$31:$E$48))*Impacts!$F$15,0)),0)</f>
        <v>0</v>
      </c>
      <c r="T2401" s="10">
        <f>IF(Flare!$C$7="",0,(SUMIF(Flare!$B$46:$B$185,$J2401,Flare!$E$46:$E$185)*Impacts!$F$16))</f>
        <v>0</v>
      </c>
      <c r="U2401" s="10">
        <f>IF(VCU!$C$9="",0,(SUMIF(VCU!$B$51:$B$193,$J2401,VCU!$E$51:$E$193)*Impacts!$F$17))</f>
        <v>0</v>
      </c>
      <c r="V2401" s="10">
        <f>IF(CAS!$C$7="",0,(SUMIF(CAS!$B$31:$B$167,$J2401,CAS!$E$31:$E$167)*Impacts!$F$18))</f>
        <v>0</v>
      </c>
      <c r="W2401" s="10">
        <f t="shared" si="78"/>
        <v>0</v>
      </c>
      <c r="AK2401" s="10" t="str">
        <f t="array" ref="AK2401">IFERROR(INDEX(SelectedSpecies,SMALL(IF(SelectedSpecies=AK$1,ROW(SelectedSpecies)),ROW(2402:2402)),2),"")</f>
        <v/>
      </c>
      <c r="BE2401" s="10"/>
      <c r="BI2401" s="10"/>
    </row>
    <row r="2402" spans="1:61" ht="21" customHeight="1" x14ac:dyDescent="0.25">
      <c r="A2402" s="10"/>
      <c r="B2402" s="10"/>
      <c r="E2402" s="10"/>
      <c r="G2402" s="10"/>
      <c r="I2402" s="436" t="s">
        <v>6252</v>
      </c>
      <c r="J2402" s="26" t="s">
        <v>6251</v>
      </c>
      <c r="K2402" s="10">
        <v>0.9900000000000001</v>
      </c>
      <c r="L2402" s="73">
        <f>IF(Tank1!$C$23="No control",(SUMIF(Tank1!$B$32:$B$49,$J2402,Tank1!$C$32:$C$49)*Impacts!$F$8),0)</f>
        <v>0</v>
      </c>
      <c r="M2402" s="10">
        <f>IF(Tank2!$C$23="No control",(SUMIF(Tank2!$B$32:$B$49,$J2402,Tank2!$C$32:$C$49)*Impacts!$F$9),0)</f>
        <v>0</v>
      </c>
      <c r="N2402" s="10">
        <f>IF(Tank3!$C$23="No control",(SUMIF(Tank3!$B$32:$B$49,$J2402,Tank3!$C$32:$C$49)*Impacts!$F$10),0)</f>
        <v>0</v>
      </c>
      <c r="O2402" s="10">
        <f>IF(Tank4!$C$23="No control",(SUMIF(Tank4!$B$32:$B$49,$J2402,Tank4!$C$32:$C$49)*Impacts!$F$11),0)</f>
        <v>0</v>
      </c>
      <c r="P2402" s="10">
        <f>IF(Tank5!$C$23="No control",(SUMIF(Tank5!$B$32:$B$49,$J2402,Tank5!$C$32:$C$49)*Impacts!$F$12),0)</f>
        <v>0</v>
      </c>
      <c r="Q2402" s="10">
        <f>IFERROR(IF(('Loading-drum,tote'!$C$21)="No control",SUMIF(('Loading-drum,tote'!$B$31:$B$48),$J2402,('Loading-drum,tote'!$D$31:$D$48))*Impacts!$F$13,IF(('Loading-drum,tote'!$C$21)&lt;&gt;"No control",SUMIF(('Loading-drum,tote'!$B$31:$B$48),$J2402,('Loading-drum,tote'!$E$31:$E$48))*Impacts!$F$13,0)),0)</f>
        <v>0</v>
      </c>
      <c r="R2402" s="10">
        <f>IFERROR(IF(('Loading-truck'!$C$21)="No control",SUMIF(('Loading-truck'!$B$31:$B$48),$J2402,('Loading-truck'!$D$31:$D$48))*Impacts!$F$14,IF(('Loading-truck'!$C$21)&lt;&gt;"No control",SUMIF(('Loading-truck'!$B$31:$B$48),$J2402,('Loading-truck'!$E$31:$E$48))*Impacts!$F$14,0)),0)</f>
        <v>0</v>
      </c>
      <c r="S2402" s="10">
        <f>IFERROR(IF(('Loading-rail'!$C$21)="No control",SUMIF(('Loading-rail'!$B$31:$B$48),$J2402,('Loading-rail'!$D$31:$D$48))*Impacts!$F$15,IF(('Loading-rail'!$C$21)&lt;&gt;"No control",SUMIF(('Loading-rail'!$B$31:$B$48),$J2402,('Loading-rail'!$E$31:$E$48))*Impacts!$F$15,0)),0)</f>
        <v>0</v>
      </c>
      <c r="T2402" s="10">
        <f>IF(Flare!$C$7="",0,(SUMIF(Flare!$B$46:$B$185,$J2402,Flare!$E$46:$E$185)*Impacts!$F$16))</f>
        <v>0</v>
      </c>
      <c r="U2402" s="10">
        <f>IF(VCU!$C$9="",0,(SUMIF(VCU!$B$51:$B$193,$J2402,VCU!$E$51:$E$193)*Impacts!$F$17))</f>
        <v>0</v>
      </c>
      <c r="V2402" s="10">
        <f>IF(CAS!$C$7="",0,(SUMIF(CAS!$B$31:$B$167,$J2402,CAS!$E$31:$E$167)*Impacts!$F$18))</f>
        <v>0</v>
      </c>
      <c r="W2402" s="10">
        <f t="shared" si="78"/>
        <v>0</v>
      </c>
      <c r="AK2402" s="10" t="str">
        <f t="array" ref="AK2402">IFERROR(INDEX(SelectedSpecies,SMALL(IF(SelectedSpecies=AK$1,ROW(SelectedSpecies)),ROW(2403:2403)),2),"")</f>
        <v/>
      </c>
      <c r="BE2402" s="10"/>
      <c r="BI2402" s="10"/>
    </row>
    <row r="2403" spans="1:61" ht="21" customHeight="1" x14ac:dyDescent="0.25">
      <c r="A2403" s="10"/>
      <c r="B2403" s="10"/>
      <c r="E2403" s="10"/>
      <c r="G2403" s="10"/>
      <c r="I2403" s="436" t="s">
        <v>7282</v>
      </c>
      <c r="J2403" s="26" t="s">
        <v>7281</v>
      </c>
      <c r="K2403" s="10">
        <v>0.30000000000000004</v>
      </c>
      <c r="L2403" s="73">
        <f>IF(Tank1!$C$23="No control",(SUMIF(Tank1!$B$32:$B$49,$J2403,Tank1!$C$32:$C$49)*Impacts!$F$8),0)</f>
        <v>0</v>
      </c>
      <c r="M2403" s="10">
        <f>IF(Tank2!$C$23="No control",(SUMIF(Tank2!$B$32:$B$49,$J2403,Tank2!$C$32:$C$49)*Impacts!$F$9),0)</f>
        <v>0</v>
      </c>
      <c r="N2403" s="10">
        <f>IF(Tank3!$C$23="No control",(SUMIF(Tank3!$B$32:$B$49,$J2403,Tank3!$C$32:$C$49)*Impacts!$F$10),0)</f>
        <v>0</v>
      </c>
      <c r="O2403" s="10">
        <f>IF(Tank4!$C$23="No control",(SUMIF(Tank4!$B$32:$B$49,$J2403,Tank4!$C$32:$C$49)*Impacts!$F$11),0)</f>
        <v>0</v>
      </c>
      <c r="P2403" s="10">
        <f>IF(Tank5!$C$23="No control",(SUMIF(Tank5!$B$32:$B$49,$J2403,Tank5!$C$32:$C$49)*Impacts!$F$12),0)</f>
        <v>0</v>
      </c>
      <c r="Q2403" s="10">
        <f>IFERROR(IF(('Loading-drum,tote'!$C$21)="No control",SUMIF(('Loading-drum,tote'!$B$31:$B$48),$J2403,('Loading-drum,tote'!$D$31:$D$48))*Impacts!$F$13,IF(('Loading-drum,tote'!$C$21)&lt;&gt;"No control",SUMIF(('Loading-drum,tote'!$B$31:$B$48),$J2403,('Loading-drum,tote'!$E$31:$E$48))*Impacts!$F$13,0)),0)</f>
        <v>0</v>
      </c>
      <c r="R2403" s="10">
        <f>IFERROR(IF(('Loading-truck'!$C$21)="No control",SUMIF(('Loading-truck'!$B$31:$B$48),$J2403,('Loading-truck'!$D$31:$D$48))*Impacts!$F$14,IF(('Loading-truck'!$C$21)&lt;&gt;"No control",SUMIF(('Loading-truck'!$B$31:$B$48),$J2403,('Loading-truck'!$E$31:$E$48))*Impacts!$F$14,0)),0)</f>
        <v>0</v>
      </c>
      <c r="S2403" s="10">
        <f>IFERROR(IF(('Loading-rail'!$C$21)="No control",SUMIF(('Loading-rail'!$B$31:$B$48),$J2403,('Loading-rail'!$D$31:$D$48))*Impacts!$F$15,IF(('Loading-rail'!$C$21)&lt;&gt;"No control",SUMIF(('Loading-rail'!$B$31:$B$48),$J2403,('Loading-rail'!$E$31:$E$48))*Impacts!$F$15,0)),0)</f>
        <v>0</v>
      </c>
      <c r="T2403" s="10">
        <f>IF(Flare!$C$7="",0,(SUMIF(Flare!$B$46:$B$185,$J2403,Flare!$E$46:$E$185)*Impacts!$F$16))</f>
        <v>0</v>
      </c>
      <c r="U2403" s="10">
        <f>IF(VCU!$C$9="",0,(SUMIF(VCU!$B$51:$B$193,$J2403,VCU!$E$51:$E$193)*Impacts!$F$17))</f>
        <v>0</v>
      </c>
      <c r="V2403" s="10">
        <f>IF(CAS!$C$7="",0,(SUMIF(CAS!$B$31:$B$167,$J2403,CAS!$E$31:$E$167)*Impacts!$F$18))</f>
        <v>0</v>
      </c>
      <c r="W2403" s="10">
        <f t="shared" si="78"/>
        <v>0</v>
      </c>
      <c r="AK2403" s="10" t="str">
        <f t="array" ref="AK2403">IFERROR(INDEX(SelectedSpecies,SMALL(IF(SelectedSpecies=AK$1,ROW(SelectedSpecies)),ROW(2404:2404)),2),"")</f>
        <v/>
      </c>
      <c r="BE2403" s="10"/>
      <c r="BI2403" s="10"/>
    </row>
    <row r="2404" spans="1:61" ht="21" customHeight="1" x14ac:dyDescent="0.25">
      <c r="A2404" s="10"/>
      <c r="B2404" s="10"/>
      <c r="E2404" s="10"/>
      <c r="G2404" s="10"/>
      <c r="I2404" s="436" t="s">
        <v>401</v>
      </c>
      <c r="J2404" s="26" t="s">
        <v>400</v>
      </c>
      <c r="K2404" s="10">
        <v>270</v>
      </c>
      <c r="L2404" s="73">
        <f>IF(Tank1!$C$23="No control",(SUMIF(Tank1!$B$32:$B$49,$J2404,Tank1!$C$32:$C$49)*Impacts!$F$8),0)</f>
        <v>0</v>
      </c>
      <c r="M2404" s="10">
        <f>IF(Tank2!$C$23="No control",(SUMIF(Tank2!$B$32:$B$49,$J2404,Tank2!$C$32:$C$49)*Impacts!$F$9),0)</f>
        <v>0</v>
      </c>
      <c r="N2404" s="10">
        <f>IF(Tank3!$C$23="No control",(SUMIF(Tank3!$B$32:$B$49,$J2404,Tank3!$C$32:$C$49)*Impacts!$F$10),0)</f>
        <v>0</v>
      </c>
      <c r="O2404" s="10">
        <f>IF(Tank4!$C$23="No control",(SUMIF(Tank4!$B$32:$B$49,$J2404,Tank4!$C$32:$C$49)*Impacts!$F$11),0)</f>
        <v>0</v>
      </c>
      <c r="P2404" s="10">
        <f>IF(Tank5!$C$23="No control",(SUMIF(Tank5!$B$32:$B$49,$J2404,Tank5!$C$32:$C$49)*Impacts!$F$12),0)</f>
        <v>0</v>
      </c>
      <c r="Q2404" s="10">
        <f>IFERROR(IF(('Loading-drum,tote'!$C$21)="No control",SUMIF(('Loading-drum,tote'!$B$31:$B$48),$J2404,('Loading-drum,tote'!$D$31:$D$48))*Impacts!$F$13,IF(('Loading-drum,tote'!$C$21)&lt;&gt;"No control",SUMIF(('Loading-drum,tote'!$B$31:$B$48),$J2404,('Loading-drum,tote'!$E$31:$E$48))*Impacts!$F$13,0)),0)</f>
        <v>0</v>
      </c>
      <c r="R2404" s="10">
        <f>IFERROR(IF(('Loading-truck'!$C$21)="No control",SUMIF(('Loading-truck'!$B$31:$B$48),$J2404,('Loading-truck'!$D$31:$D$48))*Impacts!$F$14,IF(('Loading-truck'!$C$21)&lt;&gt;"No control",SUMIF(('Loading-truck'!$B$31:$B$48),$J2404,('Loading-truck'!$E$31:$E$48))*Impacts!$F$14,0)),0)</f>
        <v>0</v>
      </c>
      <c r="S2404" s="10">
        <f>IFERROR(IF(('Loading-rail'!$C$21)="No control",SUMIF(('Loading-rail'!$B$31:$B$48),$J2404,('Loading-rail'!$D$31:$D$48))*Impacts!$F$15,IF(('Loading-rail'!$C$21)&lt;&gt;"No control",SUMIF(('Loading-rail'!$B$31:$B$48),$J2404,('Loading-rail'!$E$31:$E$48))*Impacts!$F$15,0)),0)</f>
        <v>0</v>
      </c>
      <c r="T2404" s="10">
        <f>IF(Flare!$C$7="",0,(SUMIF(Flare!$B$46:$B$185,$J2404,Flare!$E$46:$E$185)*Impacts!$F$16))</f>
        <v>0</v>
      </c>
      <c r="U2404" s="10">
        <f>IF(VCU!$C$9="",0,(SUMIF(VCU!$B$51:$B$193,$J2404,VCU!$E$51:$E$193)*Impacts!$F$17))</f>
        <v>0</v>
      </c>
      <c r="V2404" s="10">
        <f>IF(CAS!$C$7="",0,(SUMIF(CAS!$B$31:$B$167,$J2404,CAS!$E$31:$E$167)*Impacts!$F$18))</f>
        <v>0</v>
      </c>
      <c r="W2404" s="10">
        <f t="shared" si="78"/>
        <v>0</v>
      </c>
      <c r="AK2404" s="10" t="str">
        <f t="array" ref="AK2404">IFERROR(INDEX(SelectedSpecies,SMALL(IF(SelectedSpecies=AK$1,ROW(SelectedSpecies)),ROW(2405:2405)),2),"")</f>
        <v/>
      </c>
      <c r="BE2404" s="10"/>
      <c r="BI2404" s="10"/>
    </row>
    <row r="2405" spans="1:61" ht="21" customHeight="1" x14ac:dyDescent="0.25">
      <c r="A2405" s="10"/>
      <c r="B2405" s="10"/>
      <c r="E2405" s="10"/>
      <c r="G2405" s="10"/>
      <c r="I2405" s="436" t="s">
        <v>2519</v>
      </c>
      <c r="J2405" s="26" t="s">
        <v>2518</v>
      </c>
      <c r="K2405" s="10">
        <v>10</v>
      </c>
      <c r="L2405" s="73">
        <f>IF(Tank1!$C$23="No control",(SUMIF(Tank1!$B$32:$B$49,$J2405,Tank1!$C$32:$C$49)*Impacts!$F$8),0)</f>
        <v>0</v>
      </c>
      <c r="M2405" s="10">
        <f>IF(Tank2!$C$23="No control",(SUMIF(Tank2!$B$32:$B$49,$J2405,Tank2!$C$32:$C$49)*Impacts!$F$9),0)</f>
        <v>0</v>
      </c>
      <c r="N2405" s="10">
        <f>IF(Tank3!$C$23="No control",(SUMIF(Tank3!$B$32:$B$49,$J2405,Tank3!$C$32:$C$49)*Impacts!$F$10),0)</f>
        <v>0</v>
      </c>
      <c r="O2405" s="10">
        <f>IF(Tank4!$C$23="No control",(SUMIF(Tank4!$B$32:$B$49,$J2405,Tank4!$C$32:$C$49)*Impacts!$F$11),0)</f>
        <v>0</v>
      </c>
      <c r="P2405" s="10">
        <f>IF(Tank5!$C$23="No control",(SUMIF(Tank5!$B$32:$B$49,$J2405,Tank5!$C$32:$C$49)*Impacts!$F$12),0)</f>
        <v>0</v>
      </c>
      <c r="Q2405" s="10">
        <f>IFERROR(IF(('Loading-drum,tote'!$C$21)="No control",SUMIF(('Loading-drum,tote'!$B$31:$B$48),$J2405,('Loading-drum,tote'!$D$31:$D$48))*Impacts!$F$13,IF(('Loading-drum,tote'!$C$21)&lt;&gt;"No control",SUMIF(('Loading-drum,tote'!$B$31:$B$48),$J2405,('Loading-drum,tote'!$E$31:$E$48))*Impacts!$F$13,0)),0)</f>
        <v>0</v>
      </c>
      <c r="R2405" s="10">
        <f>IFERROR(IF(('Loading-truck'!$C$21)="No control",SUMIF(('Loading-truck'!$B$31:$B$48),$J2405,('Loading-truck'!$D$31:$D$48))*Impacts!$F$14,IF(('Loading-truck'!$C$21)&lt;&gt;"No control",SUMIF(('Loading-truck'!$B$31:$B$48),$J2405,('Loading-truck'!$E$31:$E$48))*Impacts!$F$14,0)),0)</f>
        <v>0</v>
      </c>
      <c r="S2405" s="10">
        <f>IFERROR(IF(('Loading-rail'!$C$21)="No control",SUMIF(('Loading-rail'!$B$31:$B$48),$J2405,('Loading-rail'!$D$31:$D$48))*Impacts!$F$15,IF(('Loading-rail'!$C$21)&lt;&gt;"No control",SUMIF(('Loading-rail'!$B$31:$B$48),$J2405,('Loading-rail'!$E$31:$E$48))*Impacts!$F$15,0)),0)</f>
        <v>0</v>
      </c>
      <c r="T2405" s="10">
        <f>IF(Flare!$C$7="",0,(SUMIF(Flare!$B$46:$B$185,$J2405,Flare!$E$46:$E$185)*Impacts!$F$16))</f>
        <v>0</v>
      </c>
      <c r="U2405" s="10">
        <f>IF(VCU!$C$9="",0,(SUMIF(VCU!$B$51:$B$193,$J2405,VCU!$E$51:$E$193)*Impacts!$F$17))</f>
        <v>0</v>
      </c>
      <c r="V2405" s="10">
        <f>IF(CAS!$C$7="",0,(SUMIF(CAS!$B$31:$B$167,$J2405,CAS!$E$31:$E$167)*Impacts!$F$18))</f>
        <v>0</v>
      </c>
      <c r="W2405" s="10">
        <f t="shared" si="78"/>
        <v>0</v>
      </c>
      <c r="AK2405" s="10" t="str">
        <f t="array" ref="AK2405">IFERROR(INDEX(SelectedSpecies,SMALL(IF(SelectedSpecies=AK$1,ROW(SelectedSpecies)),ROW(2406:2406)),2),"")</f>
        <v/>
      </c>
      <c r="BE2405" s="10"/>
      <c r="BI2405" s="10"/>
    </row>
    <row r="2406" spans="1:61" ht="21" customHeight="1" x14ac:dyDescent="0.25">
      <c r="A2406" s="10"/>
      <c r="B2406" s="10"/>
      <c r="E2406" s="10"/>
      <c r="G2406" s="10"/>
      <c r="I2406" s="436" t="s">
        <v>1238</v>
      </c>
      <c r="J2406" s="26" t="s">
        <v>1237</v>
      </c>
      <c r="K2406" s="10">
        <v>161</v>
      </c>
      <c r="L2406" s="73">
        <f>IF(Tank1!$C$23="No control",(SUMIF(Tank1!$B$32:$B$49,$J2406,Tank1!$C$32:$C$49)*Impacts!$F$8),0)</f>
        <v>0</v>
      </c>
      <c r="M2406" s="10">
        <f>IF(Tank2!$C$23="No control",(SUMIF(Tank2!$B$32:$B$49,$J2406,Tank2!$C$32:$C$49)*Impacts!$F$9),0)</f>
        <v>0</v>
      </c>
      <c r="N2406" s="10">
        <f>IF(Tank3!$C$23="No control",(SUMIF(Tank3!$B$32:$B$49,$J2406,Tank3!$C$32:$C$49)*Impacts!$F$10),0)</f>
        <v>0</v>
      </c>
      <c r="O2406" s="10">
        <f>IF(Tank4!$C$23="No control",(SUMIF(Tank4!$B$32:$B$49,$J2406,Tank4!$C$32:$C$49)*Impacts!$F$11),0)</f>
        <v>0</v>
      </c>
      <c r="P2406" s="10">
        <f>IF(Tank5!$C$23="No control",(SUMIF(Tank5!$B$32:$B$49,$J2406,Tank5!$C$32:$C$49)*Impacts!$F$12),0)</f>
        <v>0</v>
      </c>
      <c r="Q2406" s="10">
        <f>IFERROR(IF(('Loading-drum,tote'!$C$21)="No control",SUMIF(('Loading-drum,tote'!$B$31:$B$48),$J2406,('Loading-drum,tote'!$D$31:$D$48))*Impacts!$F$13,IF(('Loading-drum,tote'!$C$21)&lt;&gt;"No control",SUMIF(('Loading-drum,tote'!$B$31:$B$48),$J2406,('Loading-drum,tote'!$E$31:$E$48))*Impacts!$F$13,0)),0)</f>
        <v>0</v>
      </c>
      <c r="R2406" s="10">
        <f>IFERROR(IF(('Loading-truck'!$C$21)="No control",SUMIF(('Loading-truck'!$B$31:$B$48),$J2406,('Loading-truck'!$D$31:$D$48))*Impacts!$F$14,IF(('Loading-truck'!$C$21)&lt;&gt;"No control",SUMIF(('Loading-truck'!$B$31:$B$48),$J2406,('Loading-truck'!$E$31:$E$48))*Impacts!$F$14,0)),0)</f>
        <v>0</v>
      </c>
      <c r="S2406" s="10">
        <f>IFERROR(IF(('Loading-rail'!$C$21)="No control",SUMIF(('Loading-rail'!$B$31:$B$48),$J2406,('Loading-rail'!$D$31:$D$48))*Impacts!$F$15,IF(('Loading-rail'!$C$21)&lt;&gt;"No control",SUMIF(('Loading-rail'!$B$31:$B$48),$J2406,('Loading-rail'!$E$31:$E$48))*Impacts!$F$15,0)),0)</f>
        <v>0</v>
      </c>
      <c r="T2406" s="10">
        <f>IF(Flare!$C$7="",0,(SUMIF(Flare!$B$46:$B$185,$J2406,Flare!$E$46:$E$185)*Impacts!$F$16))</f>
        <v>0</v>
      </c>
      <c r="U2406" s="10">
        <f>IF(VCU!$C$9="",0,(SUMIF(VCU!$B$51:$B$193,$J2406,VCU!$E$51:$E$193)*Impacts!$F$17))</f>
        <v>0</v>
      </c>
      <c r="V2406" s="10">
        <f>IF(CAS!$C$7="",0,(SUMIF(CAS!$B$31:$B$167,$J2406,CAS!$E$31:$E$167)*Impacts!$F$18))</f>
        <v>0</v>
      </c>
      <c r="W2406" s="10">
        <f t="shared" si="78"/>
        <v>0</v>
      </c>
      <c r="AK2406" s="10" t="str">
        <f t="array" ref="AK2406">IFERROR(INDEX(SelectedSpecies,SMALL(IF(SelectedSpecies=AK$1,ROW(SelectedSpecies)),ROW(2407:2407)),2),"")</f>
        <v/>
      </c>
      <c r="BE2406" s="10"/>
      <c r="BI2406" s="10"/>
    </row>
    <row r="2407" spans="1:61" ht="21" customHeight="1" x14ac:dyDescent="0.25">
      <c r="A2407" s="10"/>
      <c r="B2407" s="10"/>
      <c r="E2407" s="10"/>
      <c r="G2407" s="10"/>
      <c r="I2407" s="436" t="s">
        <v>792</v>
      </c>
      <c r="J2407" s="26" t="s">
        <v>791</v>
      </c>
      <c r="K2407" s="10">
        <v>54</v>
      </c>
      <c r="L2407" s="73">
        <f>IF(Tank1!$C$23="No control",(SUMIF(Tank1!$B$32:$B$49,$J2407,Tank1!$C$32:$C$49)*Impacts!$F$8),0)</f>
        <v>0</v>
      </c>
      <c r="M2407" s="10">
        <f>IF(Tank2!$C$23="No control",(SUMIF(Tank2!$B$32:$B$49,$J2407,Tank2!$C$32:$C$49)*Impacts!$F$9),0)</f>
        <v>0</v>
      </c>
      <c r="N2407" s="10">
        <f>IF(Tank3!$C$23="No control",(SUMIF(Tank3!$B$32:$B$49,$J2407,Tank3!$C$32:$C$49)*Impacts!$F$10),0)</f>
        <v>0</v>
      </c>
      <c r="O2407" s="10">
        <f>IF(Tank4!$C$23="No control",(SUMIF(Tank4!$B$32:$B$49,$J2407,Tank4!$C$32:$C$49)*Impacts!$F$11),0)</f>
        <v>0</v>
      </c>
      <c r="P2407" s="10">
        <f>IF(Tank5!$C$23="No control",(SUMIF(Tank5!$B$32:$B$49,$J2407,Tank5!$C$32:$C$49)*Impacts!$F$12),0)</f>
        <v>0</v>
      </c>
      <c r="Q2407" s="10">
        <f>IFERROR(IF(('Loading-drum,tote'!$C$21)="No control",SUMIF(('Loading-drum,tote'!$B$31:$B$48),$J2407,('Loading-drum,tote'!$D$31:$D$48))*Impacts!$F$13,IF(('Loading-drum,tote'!$C$21)&lt;&gt;"No control",SUMIF(('Loading-drum,tote'!$B$31:$B$48),$J2407,('Loading-drum,tote'!$E$31:$E$48))*Impacts!$F$13,0)),0)</f>
        <v>0</v>
      </c>
      <c r="R2407" s="10">
        <f>IFERROR(IF(('Loading-truck'!$C$21)="No control",SUMIF(('Loading-truck'!$B$31:$B$48),$J2407,('Loading-truck'!$D$31:$D$48))*Impacts!$F$14,IF(('Loading-truck'!$C$21)&lt;&gt;"No control",SUMIF(('Loading-truck'!$B$31:$B$48),$J2407,('Loading-truck'!$E$31:$E$48))*Impacts!$F$14,0)),0)</f>
        <v>0</v>
      </c>
      <c r="S2407" s="10">
        <f>IFERROR(IF(('Loading-rail'!$C$21)="No control",SUMIF(('Loading-rail'!$B$31:$B$48),$J2407,('Loading-rail'!$D$31:$D$48))*Impacts!$F$15,IF(('Loading-rail'!$C$21)&lt;&gt;"No control",SUMIF(('Loading-rail'!$B$31:$B$48),$J2407,('Loading-rail'!$E$31:$E$48))*Impacts!$F$15,0)),0)</f>
        <v>0</v>
      </c>
      <c r="T2407" s="10">
        <f>IF(Flare!$C$7="",0,(SUMIF(Flare!$B$46:$B$185,$J2407,Flare!$E$46:$E$185)*Impacts!$F$16))</f>
        <v>0</v>
      </c>
      <c r="U2407" s="10">
        <f>IF(VCU!$C$9="",0,(SUMIF(VCU!$B$51:$B$193,$J2407,VCU!$E$51:$E$193)*Impacts!$F$17))</f>
        <v>0</v>
      </c>
      <c r="V2407" s="10">
        <f>IF(CAS!$C$7="",0,(SUMIF(CAS!$B$31:$B$167,$J2407,CAS!$E$31:$E$167)*Impacts!$F$18))</f>
        <v>0</v>
      </c>
      <c r="W2407" s="10">
        <f t="shared" si="78"/>
        <v>0</v>
      </c>
      <c r="AK2407" s="10" t="str">
        <f t="array" ref="AK2407">IFERROR(INDEX(SelectedSpecies,SMALL(IF(SelectedSpecies=AK$1,ROW(SelectedSpecies)),ROW(2408:2408)),2),"")</f>
        <v/>
      </c>
      <c r="BE2407" s="10"/>
      <c r="BI2407" s="10"/>
    </row>
    <row r="2408" spans="1:61" ht="21" customHeight="1" x14ac:dyDescent="0.25">
      <c r="A2408" s="10"/>
      <c r="B2408" s="10"/>
      <c r="E2408" s="10"/>
      <c r="G2408" s="10"/>
      <c r="I2408" s="436" t="s">
        <v>1965</v>
      </c>
      <c r="J2408" s="26" t="s">
        <v>1964</v>
      </c>
      <c r="K2408" s="10">
        <v>18</v>
      </c>
      <c r="L2408" s="73">
        <f>IF(Tank1!$C$23="No control",(SUMIF(Tank1!$B$32:$B$49,$J2408,Tank1!$C$32:$C$49)*Impacts!$F$8),0)</f>
        <v>0</v>
      </c>
      <c r="M2408" s="10">
        <f>IF(Tank2!$C$23="No control",(SUMIF(Tank2!$B$32:$B$49,$J2408,Tank2!$C$32:$C$49)*Impacts!$F$9),0)</f>
        <v>0</v>
      </c>
      <c r="N2408" s="10">
        <f>IF(Tank3!$C$23="No control",(SUMIF(Tank3!$B$32:$B$49,$J2408,Tank3!$C$32:$C$49)*Impacts!$F$10),0)</f>
        <v>0</v>
      </c>
      <c r="O2408" s="10">
        <f>IF(Tank4!$C$23="No control",(SUMIF(Tank4!$B$32:$B$49,$J2408,Tank4!$C$32:$C$49)*Impacts!$F$11),0)</f>
        <v>0</v>
      </c>
      <c r="P2408" s="10">
        <f>IF(Tank5!$C$23="No control",(SUMIF(Tank5!$B$32:$B$49,$J2408,Tank5!$C$32:$C$49)*Impacts!$F$12),0)</f>
        <v>0</v>
      </c>
      <c r="Q2408" s="10">
        <f>IFERROR(IF(('Loading-drum,tote'!$C$21)="No control",SUMIF(('Loading-drum,tote'!$B$31:$B$48),$J2408,('Loading-drum,tote'!$D$31:$D$48))*Impacts!$F$13,IF(('Loading-drum,tote'!$C$21)&lt;&gt;"No control",SUMIF(('Loading-drum,tote'!$B$31:$B$48),$J2408,('Loading-drum,tote'!$E$31:$E$48))*Impacts!$F$13,0)),0)</f>
        <v>0</v>
      </c>
      <c r="R2408" s="10">
        <f>IFERROR(IF(('Loading-truck'!$C$21)="No control",SUMIF(('Loading-truck'!$B$31:$B$48),$J2408,('Loading-truck'!$D$31:$D$48))*Impacts!$F$14,IF(('Loading-truck'!$C$21)&lt;&gt;"No control",SUMIF(('Loading-truck'!$B$31:$B$48),$J2408,('Loading-truck'!$E$31:$E$48))*Impacts!$F$14,0)),0)</f>
        <v>0</v>
      </c>
      <c r="S2408" s="10">
        <f>IFERROR(IF(('Loading-rail'!$C$21)="No control",SUMIF(('Loading-rail'!$B$31:$B$48),$J2408,('Loading-rail'!$D$31:$D$48))*Impacts!$F$15,IF(('Loading-rail'!$C$21)&lt;&gt;"No control",SUMIF(('Loading-rail'!$B$31:$B$48),$J2408,('Loading-rail'!$E$31:$E$48))*Impacts!$F$15,0)),0)</f>
        <v>0</v>
      </c>
      <c r="T2408" s="10">
        <f>IF(Flare!$C$7="",0,(SUMIF(Flare!$B$46:$B$185,$J2408,Flare!$E$46:$E$185)*Impacts!$F$16))</f>
        <v>0</v>
      </c>
      <c r="U2408" s="10">
        <f>IF(VCU!$C$9="",0,(SUMIF(VCU!$B$51:$B$193,$J2408,VCU!$E$51:$E$193)*Impacts!$F$17))</f>
        <v>0</v>
      </c>
      <c r="V2408" s="10">
        <f>IF(CAS!$C$7="",0,(SUMIF(CAS!$B$31:$B$167,$J2408,CAS!$E$31:$E$167)*Impacts!$F$18))</f>
        <v>0</v>
      </c>
      <c r="W2408" s="10">
        <f t="shared" si="78"/>
        <v>0</v>
      </c>
      <c r="AK2408" s="10" t="str">
        <f t="array" ref="AK2408">IFERROR(INDEX(SelectedSpecies,SMALL(IF(SelectedSpecies=AK$1,ROW(SelectedSpecies)),ROW(2409:2409)),2),"")</f>
        <v/>
      </c>
      <c r="BE2408" s="10"/>
      <c r="BI2408" s="10"/>
    </row>
    <row r="2409" spans="1:61" ht="21" customHeight="1" x14ac:dyDescent="0.25">
      <c r="A2409" s="10"/>
      <c r="B2409" s="10"/>
      <c r="E2409" s="10"/>
      <c r="G2409" s="10"/>
      <c r="I2409" s="436" t="s">
        <v>2521</v>
      </c>
      <c r="J2409" s="26" t="s">
        <v>2520</v>
      </c>
      <c r="K2409" s="10">
        <v>10</v>
      </c>
      <c r="L2409" s="73">
        <f>IF(Tank1!$C$23="No control",(SUMIF(Tank1!$B$32:$B$49,$J2409,Tank1!$C$32:$C$49)*Impacts!$F$8),0)</f>
        <v>0</v>
      </c>
      <c r="M2409" s="10">
        <f>IF(Tank2!$C$23="No control",(SUMIF(Tank2!$B$32:$B$49,$J2409,Tank2!$C$32:$C$49)*Impacts!$F$9),0)</f>
        <v>0</v>
      </c>
      <c r="N2409" s="10">
        <f>IF(Tank3!$C$23="No control",(SUMIF(Tank3!$B$32:$B$49,$J2409,Tank3!$C$32:$C$49)*Impacts!$F$10),0)</f>
        <v>0</v>
      </c>
      <c r="O2409" s="10">
        <f>IF(Tank4!$C$23="No control",(SUMIF(Tank4!$B$32:$B$49,$J2409,Tank4!$C$32:$C$49)*Impacts!$F$11),0)</f>
        <v>0</v>
      </c>
      <c r="P2409" s="10">
        <f>IF(Tank5!$C$23="No control",(SUMIF(Tank5!$B$32:$B$49,$J2409,Tank5!$C$32:$C$49)*Impacts!$F$12),0)</f>
        <v>0</v>
      </c>
      <c r="Q2409" s="10">
        <f>IFERROR(IF(('Loading-drum,tote'!$C$21)="No control",SUMIF(('Loading-drum,tote'!$B$31:$B$48),$J2409,('Loading-drum,tote'!$D$31:$D$48))*Impacts!$F$13,IF(('Loading-drum,tote'!$C$21)&lt;&gt;"No control",SUMIF(('Loading-drum,tote'!$B$31:$B$48),$J2409,('Loading-drum,tote'!$E$31:$E$48))*Impacts!$F$13,0)),0)</f>
        <v>0</v>
      </c>
      <c r="R2409" s="10">
        <f>IFERROR(IF(('Loading-truck'!$C$21)="No control",SUMIF(('Loading-truck'!$B$31:$B$48),$J2409,('Loading-truck'!$D$31:$D$48))*Impacts!$F$14,IF(('Loading-truck'!$C$21)&lt;&gt;"No control",SUMIF(('Loading-truck'!$B$31:$B$48),$J2409,('Loading-truck'!$E$31:$E$48))*Impacts!$F$14,0)),0)</f>
        <v>0</v>
      </c>
      <c r="S2409" s="10">
        <f>IFERROR(IF(('Loading-rail'!$C$21)="No control",SUMIF(('Loading-rail'!$B$31:$B$48),$J2409,('Loading-rail'!$D$31:$D$48))*Impacts!$F$15,IF(('Loading-rail'!$C$21)&lt;&gt;"No control",SUMIF(('Loading-rail'!$B$31:$B$48),$J2409,('Loading-rail'!$E$31:$E$48))*Impacts!$F$15,0)),0)</f>
        <v>0</v>
      </c>
      <c r="T2409" s="10">
        <f>IF(Flare!$C$7="",0,(SUMIF(Flare!$B$46:$B$185,$J2409,Flare!$E$46:$E$185)*Impacts!$F$16))</f>
        <v>0</v>
      </c>
      <c r="U2409" s="10">
        <f>IF(VCU!$C$9="",0,(SUMIF(VCU!$B$51:$B$193,$J2409,VCU!$E$51:$E$193)*Impacts!$F$17))</f>
        <v>0</v>
      </c>
      <c r="V2409" s="10">
        <f>IF(CAS!$C$7="",0,(SUMIF(CAS!$B$31:$B$167,$J2409,CAS!$E$31:$E$167)*Impacts!$F$18))</f>
        <v>0</v>
      </c>
      <c r="W2409" s="10">
        <f t="shared" si="78"/>
        <v>0</v>
      </c>
      <c r="AK2409" s="10" t="str">
        <f t="array" ref="AK2409">IFERROR(INDEX(SelectedSpecies,SMALL(IF(SelectedSpecies=AK$1,ROW(SelectedSpecies)),ROW(2410:2410)),2),"")</f>
        <v/>
      </c>
      <c r="BE2409" s="10"/>
      <c r="BI2409" s="10"/>
    </row>
    <row r="2410" spans="1:61" ht="21" customHeight="1" x14ac:dyDescent="0.25">
      <c r="A2410" s="10"/>
      <c r="B2410" s="10"/>
      <c r="E2410" s="10"/>
      <c r="G2410" s="10"/>
      <c r="I2410" s="436" t="s">
        <v>6486</v>
      </c>
      <c r="J2410" s="26" t="s">
        <v>6485</v>
      </c>
      <c r="K2410" s="10">
        <v>0.75</v>
      </c>
      <c r="L2410" s="73">
        <f>IF(Tank1!$C$23="No control",(SUMIF(Tank1!$B$32:$B$49,$J2410,Tank1!$C$32:$C$49)*Impacts!$F$8),0)</f>
        <v>0</v>
      </c>
      <c r="M2410" s="10">
        <f>IF(Tank2!$C$23="No control",(SUMIF(Tank2!$B$32:$B$49,$J2410,Tank2!$C$32:$C$49)*Impacts!$F$9),0)</f>
        <v>0</v>
      </c>
      <c r="N2410" s="10">
        <f>IF(Tank3!$C$23="No control",(SUMIF(Tank3!$B$32:$B$49,$J2410,Tank3!$C$32:$C$49)*Impacts!$F$10),0)</f>
        <v>0</v>
      </c>
      <c r="O2410" s="10">
        <f>IF(Tank4!$C$23="No control",(SUMIF(Tank4!$B$32:$B$49,$J2410,Tank4!$C$32:$C$49)*Impacts!$F$11),0)</f>
        <v>0</v>
      </c>
      <c r="P2410" s="10">
        <f>IF(Tank5!$C$23="No control",(SUMIF(Tank5!$B$32:$B$49,$J2410,Tank5!$C$32:$C$49)*Impacts!$F$12),0)</f>
        <v>0</v>
      </c>
      <c r="Q2410" s="10">
        <f>IFERROR(IF(('Loading-drum,tote'!$C$21)="No control",SUMIF(('Loading-drum,tote'!$B$31:$B$48),$J2410,('Loading-drum,tote'!$D$31:$D$48))*Impacts!$F$13,IF(('Loading-drum,tote'!$C$21)&lt;&gt;"No control",SUMIF(('Loading-drum,tote'!$B$31:$B$48),$J2410,('Loading-drum,tote'!$E$31:$E$48))*Impacts!$F$13,0)),0)</f>
        <v>0</v>
      </c>
      <c r="R2410" s="10">
        <f>IFERROR(IF(('Loading-truck'!$C$21)="No control",SUMIF(('Loading-truck'!$B$31:$B$48),$J2410,('Loading-truck'!$D$31:$D$48))*Impacts!$F$14,IF(('Loading-truck'!$C$21)&lt;&gt;"No control",SUMIF(('Loading-truck'!$B$31:$B$48),$J2410,('Loading-truck'!$E$31:$E$48))*Impacts!$F$14,0)),0)</f>
        <v>0</v>
      </c>
      <c r="S2410" s="10">
        <f>IFERROR(IF(('Loading-rail'!$C$21)="No control",SUMIF(('Loading-rail'!$B$31:$B$48),$J2410,('Loading-rail'!$D$31:$D$48))*Impacts!$F$15,IF(('Loading-rail'!$C$21)&lt;&gt;"No control",SUMIF(('Loading-rail'!$B$31:$B$48),$J2410,('Loading-rail'!$E$31:$E$48))*Impacts!$F$15,0)),0)</f>
        <v>0</v>
      </c>
      <c r="T2410" s="10">
        <f>IF(Flare!$C$7="",0,(SUMIF(Flare!$B$46:$B$185,$J2410,Flare!$E$46:$E$185)*Impacts!$F$16))</f>
        <v>0</v>
      </c>
      <c r="U2410" s="10">
        <f>IF(VCU!$C$9="",0,(SUMIF(VCU!$B$51:$B$193,$J2410,VCU!$E$51:$E$193)*Impacts!$F$17))</f>
        <v>0</v>
      </c>
      <c r="V2410" s="10">
        <f>IF(CAS!$C$7="",0,(SUMIF(CAS!$B$31:$B$167,$J2410,CAS!$E$31:$E$167)*Impacts!$F$18))</f>
        <v>0</v>
      </c>
      <c r="W2410" s="10">
        <f t="shared" si="78"/>
        <v>0</v>
      </c>
      <c r="AK2410" s="10" t="str">
        <f t="array" ref="AK2410">IFERROR(INDEX(SelectedSpecies,SMALL(IF(SelectedSpecies=AK$1,ROW(SelectedSpecies)),ROW(2411:2411)),2),"")</f>
        <v/>
      </c>
      <c r="BE2410" s="10"/>
      <c r="BI2410" s="10"/>
    </row>
    <row r="2411" spans="1:61" ht="21" customHeight="1" x14ac:dyDescent="0.25">
      <c r="A2411" s="10"/>
      <c r="B2411" s="10"/>
      <c r="E2411" s="10"/>
      <c r="G2411" s="10"/>
      <c r="I2411" s="436" t="s">
        <v>1392</v>
      </c>
      <c r="J2411" s="26" t="s">
        <v>1391</v>
      </c>
      <c r="K2411" s="10">
        <v>33</v>
      </c>
      <c r="L2411" s="73">
        <f>IF(Tank1!$C$23="No control",(SUMIF(Tank1!$B$32:$B$49,$J2411,Tank1!$C$32:$C$49)*Impacts!$F$8),0)</f>
        <v>0</v>
      </c>
      <c r="M2411" s="10">
        <f>IF(Tank2!$C$23="No control",(SUMIF(Tank2!$B$32:$B$49,$J2411,Tank2!$C$32:$C$49)*Impacts!$F$9),0)</f>
        <v>0</v>
      </c>
      <c r="N2411" s="10">
        <f>IF(Tank3!$C$23="No control",(SUMIF(Tank3!$B$32:$B$49,$J2411,Tank3!$C$32:$C$49)*Impacts!$F$10),0)</f>
        <v>0</v>
      </c>
      <c r="O2411" s="10">
        <f>IF(Tank4!$C$23="No control",(SUMIF(Tank4!$B$32:$B$49,$J2411,Tank4!$C$32:$C$49)*Impacts!$F$11),0)</f>
        <v>0</v>
      </c>
      <c r="P2411" s="10">
        <f>IF(Tank5!$C$23="No control",(SUMIF(Tank5!$B$32:$B$49,$J2411,Tank5!$C$32:$C$49)*Impacts!$F$12),0)</f>
        <v>0</v>
      </c>
      <c r="Q2411" s="10">
        <f>IFERROR(IF(('Loading-drum,tote'!$C$21)="No control",SUMIF(('Loading-drum,tote'!$B$31:$B$48),$J2411,('Loading-drum,tote'!$D$31:$D$48))*Impacts!$F$13,IF(('Loading-drum,tote'!$C$21)&lt;&gt;"No control",SUMIF(('Loading-drum,tote'!$B$31:$B$48),$J2411,('Loading-drum,tote'!$E$31:$E$48))*Impacts!$F$13,0)),0)</f>
        <v>0</v>
      </c>
      <c r="R2411" s="10">
        <f>IFERROR(IF(('Loading-truck'!$C$21)="No control",SUMIF(('Loading-truck'!$B$31:$B$48),$J2411,('Loading-truck'!$D$31:$D$48))*Impacts!$F$14,IF(('Loading-truck'!$C$21)&lt;&gt;"No control",SUMIF(('Loading-truck'!$B$31:$B$48),$J2411,('Loading-truck'!$E$31:$E$48))*Impacts!$F$14,0)),0)</f>
        <v>0</v>
      </c>
      <c r="S2411" s="10">
        <f>IFERROR(IF(('Loading-rail'!$C$21)="No control",SUMIF(('Loading-rail'!$B$31:$B$48),$J2411,('Loading-rail'!$D$31:$D$48))*Impacts!$F$15,IF(('Loading-rail'!$C$21)&lt;&gt;"No control",SUMIF(('Loading-rail'!$B$31:$B$48),$J2411,('Loading-rail'!$E$31:$E$48))*Impacts!$F$15,0)),0)</f>
        <v>0</v>
      </c>
      <c r="T2411" s="10">
        <f>IF(Flare!$C$7="",0,(SUMIF(Flare!$B$46:$B$185,$J2411,Flare!$E$46:$E$185)*Impacts!$F$16))</f>
        <v>0</v>
      </c>
      <c r="U2411" s="10">
        <f>IF(VCU!$C$9="",0,(SUMIF(VCU!$B$51:$B$193,$J2411,VCU!$E$51:$E$193)*Impacts!$F$17))</f>
        <v>0</v>
      </c>
      <c r="V2411" s="10">
        <f>IF(CAS!$C$7="",0,(SUMIF(CAS!$B$31:$B$167,$J2411,CAS!$E$31:$E$167)*Impacts!$F$18))</f>
        <v>0</v>
      </c>
      <c r="W2411" s="10">
        <f t="shared" si="78"/>
        <v>0</v>
      </c>
      <c r="AK2411" s="10" t="str">
        <f t="array" ref="AK2411">IFERROR(INDEX(SelectedSpecies,SMALL(IF(SelectedSpecies=AK$1,ROW(SelectedSpecies)),ROW(2412:2412)),2),"")</f>
        <v/>
      </c>
      <c r="BE2411" s="10"/>
      <c r="BI2411" s="10"/>
    </row>
    <row r="2412" spans="1:61" ht="21" customHeight="1" x14ac:dyDescent="0.25">
      <c r="A2412" s="10"/>
      <c r="B2412" s="10"/>
      <c r="E2412" s="10"/>
      <c r="G2412" s="10"/>
      <c r="I2412" s="436" t="s">
        <v>1240</v>
      </c>
      <c r="J2412" s="26" t="s">
        <v>1239</v>
      </c>
      <c r="K2412" s="10">
        <v>161</v>
      </c>
      <c r="L2412" s="73">
        <f>IF(Tank1!$C$23="No control",(SUMIF(Tank1!$B$32:$B$49,$J2412,Tank1!$C$32:$C$49)*Impacts!$F$8),0)</f>
        <v>0</v>
      </c>
      <c r="M2412" s="10">
        <f>IF(Tank2!$C$23="No control",(SUMIF(Tank2!$B$32:$B$49,$J2412,Tank2!$C$32:$C$49)*Impacts!$F$9),0)</f>
        <v>0</v>
      </c>
      <c r="N2412" s="10">
        <f>IF(Tank3!$C$23="No control",(SUMIF(Tank3!$B$32:$B$49,$J2412,Tank3!$C$32:$C$49)*Impacts!$F$10),0)</f>
        <v>0</v>
      </c>
      <c r="O2412" s="10">
        <f>IF(Tank4!$C$23="No control",(SUMIF(Tank4!$B$32:$B$49,$J2412,Tank4!$C$32:$C$49)*Impacts!$F$11),0)</f>
        <v>0</v>
      </c>
      <c r="P2412" s="10">
        <f>IF(Tank5!$C$23="No control",(SUMIF(Tank5!$B$32:$B$49,$J2412,Tank5!$C$32:$C$49)*Impacts!$F$12),0)</f>
        <v>0</v>
      </c>
      <c r="Q2412" s="10">
        <f>IFERROR(IF(('Loading-drum,tote'!$C$21)="No control",SUMIF(('Loading-drum,tote'!$B$31:$B$48),$J2412,('Loading-drum,tote'!$D$31:$D$48))*Impacts!$F$13,IF(('Loading-drum,tote'!$C$21)&lt;&gt;"No control",SUMIF(('Loading-drum,tote'!$B$31:$B$48),$J2412,('Loading-drum,tote'!$E$31:$E$48))*Impacts!$F$13,0)),0)</f>
        <v>0</v>
      </c>
      <c r="R2412" s="10">
        <f>IFERROR(IF(('Loading-truck'!$C$21)="No control",SUMIF(('Loading-truck'!$B$31:$B$48),$J2412,('Loading-truck'!$D$31:$D$48))*Impacts!$F$14,IF(('Loading-truck'!$C$21)&lt;&gt;"No control",SUMIF(('Loading-truck'!$B$31:$B$48),$J2412,('Loading-truck'!$E$31:$E$48))*Impacts!$F$14,0)),0)</f>
        <v>0</v>
      </c>
      <c r="S2412" s="10">
        <f>IFERROR(IF(('Loading-rail'!$C$21)="No control",SUMIF(('Loading-rail'!$B$31:$B$48),$J2412,('Loading-rail'!$D$31:$D$48))*Impacts!$F$15,IF(('Loading-rail'!$C$21)&lt;&gt;"No control",SUMIF(('Loading-rail'!$B$31:$B$48),$J2412,('Loading-rail'!$E$31:$E$48))*Impacts!$F$15,0)),0)</f>
        <v>0</v>
      </c>
      <c r="T2412" s="10">
        <f>IF(Flare!$C$7="",0,(SUMIF(Flare!$B$46:$B$185,$J2412,Flare!$E$46:$E$185)*Impacts!$F$16))</f>
        <v>0</v>
      </c>
      <c r="U2412" s="10">
        <f>IF(VCU!$C$9="",0,(SUMIF(VCU!$B$51:$B$193,$J2412,VCU!$E$51:$E$193)*Impacts!$F$17))</f>
        <v>0</v>
      </c>
      <c r="V2412" s="10">
        <f>IF(CAS!$C$7="",0,(SUMIF(CAS!$B$31:$B$167,$J2412,CAS!$E$31:$E$167)*Impacts!$F$18))</f>
        <v>0</v>
      </c>
      <c r="W2412" s="10">
        <f t="shared" si="78"/>
        <v>0</v>
      </c>
      <c r="AK2412" s="10" t="str">
        <f t="array" ref="AK2412">IFERROR(INDEX(SelectedSpecies,SMALL(IF(SelectedSpecies=AK$1,ROW(SelectedSpecies)),ROW(2413:2413)),2),"")</f>
        <v/>
      </c>
      <c r="BE2412" s="10"/>
      <c r="BI2412" s="10"/>
    </row>
    <row r="2413" spans="1:61" ht="21" customHeight="1" x14ac:dyDescent="0.25">
      <c r="A2413" s="10"/>
      <c r="B2413" s="10"/>
      <c r="E2413" s="10"/>
      <c r="G2413" s="10"/>
      <c r="I2413" s="436" t="s">
        <v>5980</v>
      </c>
      <c r="J2413" s="26" t="s">
        <v>5979</v>
      </c>
      <c r="K2413" s="10">
        <v>1</v>
      </c>
      <c r="L2413" s="73">
        <f>IF(Tank1!$C$23="No control",(SUMIF(Tank1!$B$32:$B$49,$J2413,Tank1!$C$32:$C$49)*Impacts!$F$8),0)</f>
        <v>0</v>
      </c>
      <c r="M2413" s="10">
        <f>IF(Tank2!$C$23="No control",(SUMIF(Tank2!$B$32:$B$49,$J2413,Tank2!$C$32:$C$49)*Impacts!$F$9),0)</f>
        <v>0</v>
      </c>
      <c r="N2413" s="10">
        <f>IF(Tank3!$C$23="No control",(SUMIF(Tank3!$B$32:$B$49,$J2413,Tank3!$C$32:$C$49)*Impacts!$F$10),0)</f>
        <v>0</v>
      </c>
      <c r="O2413" s="10">
        <f>IF(Tank4!$C$23="No control",(SUMIF(Tank4!$B$32:$B$49,$J2413,Tank4!$C$32:$C$49)*Impacts!$F$11),0)</f>
        <v>0</v>
      </c>
      <c r="P2413" s="10">
        <f>IF(Tank5!$C$23="No control",(SUMIF(Tank5!$B$32:$B$49,$J2413,Tank5!$C$32:$C$49)*Impacts!$F$12),0)</f>
        <v>0</v>
      </c>
      <c r="Q2413" s="10">
        <f>IFERROR(IF(('Loading-drum,tote'!$C$21)="No control",SUMIF(('Loading-drum,tote'!$B$31:$B$48),$J2413,('Loading-drum,tote'!$D$31:$D$48))*Impacts!$F$13,IF(('Loading-drum,tote'!$C$21)&lt;&gt;"No control",SUMIF(('Loading-drum,tote'!$B$31:$B$48),$J2413,('Loading-drum,tote'!$E$31:$E$48))*Impacts!$F$13,0)),0)</f>
        <v>0</v>
      </c>
      <c r="R2413" s="10">
        <f>IFERROR(IF(('Loading-truck'!$C$21)="No control",SUMIF(('Loading-truck'!$B$31:$B$48),$J2413,('Loading-truck'!$D$31:$D$48))*Impacts!$F$14,IF(('Loading-truck'!$C$21)&lt;&gt;"No control",SUMIF(('Loading-truck'!$B$31:$B$48),$J2413,('Loading-truck'!$E$31:$E$48))*Impacts!$F$14,0)),0)</f>
        <v>0</v>
      </c>
      <c r="S2413" s="10">
        <f>IFERROR(IF(('Loading-rail'!$C$21)="No control",SUMIF(('Loading-rail'!$B$31:$B$48),$J2413,('Loading-rail'!$D$31:$D$48))*Impacts!$F$15,IF(('Loading-rail'!$C$21)&lt;&gt;"No control",SUMIF(('Loading-rail'!$B$31:$B$48),$J2413,('Loading-rail'!$E$31:$E$48))*Impacts!$F$15,0)),0)</f>
        <v>0</v>
      </c>
      <c r="T2413" s="10">
        <f>IF(Flare!$C$7="",0,(SUMIF(Flare!$B$46:$B$185,$J2413,Flare!$E$46:$E$185)*Impacts!$F$16))</f>
        <v>0</v>
      </c>
      <c r="U2413" s="10">
        <f>IF(VCU!$C$9="",0,(SUMIF(VCU!$B$51:$B$193,$J2413,VCU!$E$51:$E$193)*Impacts!$F$17))</f>
        <v>0</v>
      </c>
      <c r="V2413" s="10">
        <f>IF(CAS!$C$7="",0,(SUMIF(CAS!$B$31:$B$167,$J2413,CAS!$E$31:$E$167)*Impacts!$F$18))</f>
        <v>0</v>
      </c>
      <c r="W2413" s="10">
        <f t="shared" si="78"/>
        <v>0</v>
      </c>
      <c r="AK2413" s="10" t="str">
        <f t="array" ref="AK2413">IFERROR(INDEX(SelectedSpecies,SMALL(IF(SelectedSpecies=AK$1,ROW(SelectedSpecies)),ROW(2414:2414)),2),"")</f>
        <v/>
      </c>
      <c r="BE2413" s="10"/>
      <c r="BI2413" s="10"/>
    </row>
    <row r="2414" spans="1:61" ht="21" customHeight="1" x14ac:dyDescent="0.25">
      <c r="A2414" s="10"/>
      <c r="B2414" s="10"/>
      <c r="E2414" s="10"/>
      <c r="G2414" s="10"/>
      <c r="I2414" s="436" t="s">
        <v>4345</v>
      </c>
      <c r="J2414" s="26" t="s">
        <v>4344</v>
      </c>
      <c r="K2414" s="10">
        <v>37</v>
      </c>
      <c r="L2414" s="73">
        <f>IF(Tank1!$C$23="No control",(SUMIF(Tank1!$B$32:$B$49,$J2414,Tank1!$C$32:$C$49)*Impacts!$F$8),0)</f>
        <v>0</v>
      </c>
      <c r="M2414" s="10">
        <f>IF(Tank2!$C$23="No control",(SUMIF(Tank2!$B$32:$B$49,$J2414,Tank2!$C$32:$C$49)*Impacts!$F$9),0)</f>
        <v>0</v>
      </c>
      <c r="N2414" s="10">
        <f>IF(Tank3!$C$23="No control",(SUMIF(Tank3!$B$32:$B$49,$J2414,Tank3!$C$32:$C$49)*Impacts!$F$10),0)</f>
        <v>0</v>
      </c>
      <c r="O2414" s="10">
        <f>IF(Tank4!$C$23="No control",(SUMIF(Tank4!$B$32:$B$49,$J2414,Tank4!$C$32:$C$49)*Impacts!$F$11),0)</f>
        <v>0</v>
      </c>
      <c r="P2414" s="10">
        <f>IF(Tank5!$C$23="No control",(SUMIF(Tank5!$B$32:$B$49,$J2414,Tank5!$C$32:$C$49)*Impacts!$F$12),0)</f>
        <v>0</v>
      </c>
      <c r="Q2414" s="10">
        <f>IFERROR(IF(('Loading-drum,tote'!$C$21)="No control",SUMIF(('Loading-drum,tote'!$B$31:$B$48),$J2414,('Loading-drum,tote'!$D$31:$D$48))*Impacts!$F$13,IF(('Loading-drum,tote'!$C$21)&lt;&gt;"No control",SUMIF(('Loading-drum,tote'!$B$31:$B$48),$J2414,('Loading-drum,tote'!$E$31:$E$48))*Impacts!$F$13,0)),0)</f>
        <v>0</v>
      </c>
      <c r="R2414" s="10">
        <f>IFERROR(IF(('Loading-truck'!$C$21)="No control",SUMIF(('Loading-truck'!$B$31:$B$48),$J2414,('Loading-truck'!$D$31:$D$48))*Impacts!$F$14,IF(('Loading-truck'!$C$21)&lt;&gt;"No control",SUMIF(('Loading-truck'!$B$31:$B$48),$J2414,('Loading-truck'!$E$31:$E$48))*Impacts!$F$14,0)),0)</f>
        <v>0</v>
      </c>
      <c r="S2414" s="10">
        <f>IFERROR(IF(('Loading-rail'!$C$21)="No control",SUMIF(('Loading-rail'!$B$31:$B$48),$J2414,('Loading-rail'!$D$31:$D$48))*Impacts!$F$15,IF(('Loading-rail'!$C$21)&lt;&gt;"No control",SUMIF(('Loading-rail'!$B$31:$B$48),$J2414,('Loading-rail'!$E$31:$E$48))*Impacts!$F$15,0)),0)</f>
        <v>0</v>
      </c>
      <c r="T2414" s="10">
        <f>IF(Flare!$C$7="",0,(SUMIF(Flare!$B$46:$B$185,$J2414,Flare!$E$46:$E$185)*Impacts!$F$16))</f>
        <v>0</v>
      </c>
      <c r="U2414" s="10">
        <f>IF(VCU!$C$9="",0,(SUMIF(VCU!$B$51:$B$193,$J2414,VCU!$E$51:$E$193)*Impacts!$F$17))</f>
        <v>0</v>
      </c>
      <c r="V2414" s="10">
        <f>IF(CAS!$C$7="",0,(SUMIF(CAS!$B$31:$B$167,$J2414,CAS!$E$31:$E$167)*Impacts!$F$18))</f>
        <v>0</v>
      </c>
      <c r="W2414" s="10">
        <f t="shared" si="78"/>
        <v>0</v>
      </c>
      <c r="AK2414" s="10" t="str">
        <f t="array" ref="AK2414">IFERROR(INDEX(SelectedSpecies,SMALL(IF(SelectedSpecies=AK$1,ROW(SelectedSpecies)),ROW(2415:2415)),2),"")</f>
        <v/>
      </c>
      <c r="BE2414" s="10"/>
      <c r="BI2414" s="10"/>
    </row>
    <row r="2415" spans="1:61" ht="21" customHeight="1" x14ac:dyDescent="0.25">
      <c r="A2415" s="10"/>
      <c r="B2415" s="10"/>
      <c r="E2415" s="10"/>
      <c r="G2415" s="10"/>
      <c r="I2415" s="436" t="s">
        <v>2523</v>
      </c>
      <c r="J2415" s="26" t="s">
        <v>2522</v>
      </c>
      <c r="K2415" s="10">
        <v>10</v>
      </c>
      <c r="L2415" s="73">
        <f>IF(Tank1!$C$23="No control",(SUMIF(Tank1!$B$32:$B$49,$J2415,Tank1!$C$32:$C$49)*Impacts!$F$8),0)</f>
        <v>0</v>
      </c>
      <c r="M2415" s="10">
        <f>IF(Tank2!$C$23="No control",(SUMIF(Tank2!$B$32:$B$49,$J2415,Tank2!$C$32:$C$49)*Impacts!$F$9),0)</f>
        <v>0</v>
      </c>
      <c r="N2415" s="10">
        <f>IF(Tank3!$C$23="No control",(SUMIF(Tank3!$B$32:$B$49,$J2415,Tank3!$C$32:$C$49)*Impacts!$F$10),0)</f>
        <v>0</v>
      </c>
      <c r="O2415" s="10">
        <f>IF(Tank4!$C$23="No control",(SUMIF(Tank4!$B$32:$B$49,$J2415,Tank4!$C$32:$C$49)*Impacts!$F$11),0)</f>
        <v>0</v>
      </c>
      <c r="P2415" s="10">
        <f>IF(Tank5!$C$23="No control",(SUMIF(Tank5!$B$32:$B$49,$J2415,Tank5!$C$32:$C$49)*Impacts!$F$12),0)</f>
        <v>0</v>
      </c>
      <c r="Q2415" s="10">
        <f>IFERROR(IF(('Loading-drum,tote'!$C$21)="No control",SUMIF(('Loading-drum,tote'!$B$31:$B$48),$J2415,('Loading-drum,tote'!$D$31:$D$48))*Impacts!$F$13,IF(('Loading-drum,tote'!$C$21)&lt;&gt;"No control",SUMIF(('Loading-drum,tote'!$B$31:$B$48),$J2415,('Loading-drum,tote'!$E$31:$E$48))*Impacts!$F$13,0)),0)</f>
        <v>0</v>
      </c>
      <c r="R2415" s="10">
        <f>IFERROR(IF(('Loading-truck'!$C$21)="No control",SUMIF(('Loading-truck'!$B$31:$B$48),$J2415,('Loading-truck'!$D$31:$D$48))*Impacts!$F$14,IF(('Loading-truck'!$C$21)&lt;&gt;"No control",SUMIF(('Loading-truck'!$B$31:$B$48),$J2415,('Loading-truck'!$E$31:$E$48))*Impacts!$F$14,0)),0)</f>
        <v>0</v>
      </c>
      <c r="S2415" s="10">
        <f>IFERROR(IF(('Loading-rail'!$C$21)="No control",SUMIF(('Loading-rail'!$B$31:$B$48),$J2415,('Loading-rail'!$D$31:$D$48))*Impacts!$F$15,IF(('Loading-rail'!$C$21)&lt;&gt;"No control",SUMIF(('Loading-rail'!$B$31:$B$48),$J2415,('Loading-rail'!$E$31:$E$48))*Impacts!$F$15,0)),0)</f>
        <v>0</v>
      </c>
      <c r="T2415" s="10">
        <f>IF(Flare!$C$7="",0,(SUMIF(Flare!$B$46:$B$185,$J2415,Flare!$E$46:$E$185)*Impacts!$F$16))</f>
        <v>0</v>
      </c>
      <c r="U2415" s="10">
        <f>IF(VCU!$C$9="",0,(SUMIF(VCU!$B$51:$B$193,$J2415,VCU!$E$51:$E$193)*Impacts!$F$17))</f>
        <v>0</v>
      </c>
      <c r="V2415" s="10">
        <f>IF(CAS!$C$7="",0,(SUMIF(CAS!$B$31:$B$167,$J2415,CAS!$E$31:$E$167)*Impacts!$F$18))</f>
        <v>0</v>
      </c>
      <c r="W2415" s="10">
        <f t="shared" si="78"/>
        <v>0</v>
      </c>
      <c r="AK2415" s="10" t="str">
        <f t="array" ref="AK2415">IFERROR(INDEX(SelectedSpecies,SMALL(IF(SelectedSpecies=AK$1,ROW(SelectedSpecies)),ROW(2416:2416)),2),"")</f>
        <v/>
      </c>
      <c r="BE2415" s="10"/>
      <c r="BI2415" s="10"/>
    </row>
    <row r="2416" spans="1:61" ht="21" customHeight="1" x14ac:dyDescent="0.25">
      <c r="A2416" s="10"/>
      <c r="B2416" s="10"/>
      <c r="E2416" s="10"/>
      <c r="G2416" s="10"/>
      <c r="I2416" s="436" t="s">
        <v>403</v>
      </c>
      <c r="J2416" s="26" t="s">
        <v>402</v>
      </c>
      <c r="K2416" s="10">
        <v>270</v>
      </c>
      <c r="L2416" s="73">
        <f>IF(Tank1!$C$23="No control",(SUMIF(Tank1!$B$32:$B$49,$J2416,Tank1!$C$32:$C$49)*Impacts!$F$8),0)</f>
        <v>0</v>
      </c>
      <c r="M2416" s="10">
        <f>IF(Tank2!$C$23="No control",(SUMIF(Tank2!$B$32:$B$49,$J2416,Tank2!$C$32:$C$49)*Impacts!$F$9),0)</f>
        <v>0</v>
      </c>
      <c r="N2416" s="10">
        <f>IF(Tank3!$C$23="No control",(SUMIF(Tank3!$B$32:$B$49,$J2416,Tank3!$C$32:$C$49)*Impacts!$F$10),0)</f>
        <v>0</v>
      </c>
      <c r="O2416" s="10">
        <f>IF(Tank4!$C$23="No control",(SUMIF(Tank4!$B$32:$B$49,$J2416,Tank4!$C$32:$C$49)*Impacts!$F$11),0)</f>
        <v>0</v>
      </c>
      <c r="P2416" s="10">
        <f>IF(Tank5!$C$23="No control",(SUMIF(Tank5!$B$32:$B$49,$J2416,Tank5!$C$32:$C$49)*Impacts!$F$12),0)</f>
        <v>0</v>
      </c>
      <c r="Q2416" s="10">
        <f>IFERROR(IF(('Loading-drum,tote'!$C$21)="No control",SUMIF(('Loading-drum,tote'!$B$31:$B$48),$J2416,('Loading-drum,tote'!$D$31:$D$48))*Impacts!$F$13,IF(('Loading-drum,tote'!$C$21)&lt;&gt;"No control",SUMIF(('Loading-drum,tote'!$B$31:$B$48),$J2416,('Loading-drum,tote'!$E$31:$E$48))*Impacts!$F$13,0)),0)</f>
        <v>0</v>
      </c>
      <c r="R2416" s="10">
        <f>IFERROR(IF(('Loading-truck'!$C$21)="No control",SUMIF(('Loading-truck'!$B$31:$B$48),$J2416,('Loading-truck'!$D$31:$D$48))*Impacts!$F$14,IF(('Loading-truck'!$C$21)&lt;&gt;"No control",SUMIF(('Loading-truck'!$B$31:$B$48),$J2416,('Loading-truck'!$E$31:$E$48))*Impacts!$F$14,0)),0)</f>
        <v>0</v>
      </c>
      <c r="S2416" s="10">
        <f>IFERROR(IF(('Loading-rail'!$C$21)="No control",SUMIF(('Loading-rail'!$B$31:$B$48),$J2416,('Loading-rail'!$D$31:$D$48))*Impacts!$F$15,IF(('Loading-rail'!$C$21)&lt;&gt;"No control",SUMIF(('Loading-rail'!$B$31:$B$48),$J2416,('Loading-rail'!$E$31:$E$48))*Impacts!$F$15,0)),0)</f>
        <v>0</v>
      </c>
      <c r="T2416" s="10">
        <f>IF(Flare!$C$7="",0,(SUMIF(Flare!$B$46:$B$185,$J2416,Flare!$E$46:$E$185)*Impacts!$F$16))</f>
        <v>0</v>
      </c>
      <c r="U2416" s="10">
        <f>IF(VCU!$C$9="",0,(SUMIF(VCU!$B$51:$B$193,$J2416,VCU!$E$51:$E$193)*Impacts!$F$17))</f>
        <v>0</v>
      </c>
      <c r="V2416" s="10">
        <f>IF(CAS!$C$7="",0,(SUMIF(CAS!$B$31:$B$167,$J2416,CAS!$E$31:$E$167)*Impacts!$F$18))</f>
        <v>0</v>
      </c>
      <c r="W2416" s="10">
        <f t="shared" si="78"/>
        <v>0</v>
      </c>
      <c r="AK2416" s="10" t="str">
        <f t="array" ref="AK2416">IFERROR(INDEX(SelectedSpecies,SMALL(IF(SelectedSpecies=AK$1,ROW(SelectedSpecies)),ROW(2417:2417)),2),"")</f>
        <v/>
      </c>
      <c r="BE2416" s="10"/>
      <c r="BI2416" s="10"/>
    </row>
    <row r="2417" spans="1:61" ht="21" customHeight="1" x14ac:dyDescent="0.25">
      <c r="A2417" s="10"/>
      <c r="B2417" s="10"/>
      <c r="E2417" s="10"/>
      <c r="G2417" s="10"/>
      <c r="I2417" s="436" t="s">
        <v>7106</v>
      </c>
      <c r="J2417" s="26" t="s">
        <v>7105</v>
      </c>
      <c r="K2417" s="10">
        <v>0.4</v>
      </c>
      <c r="L2417" s="73">
        <f>IF(Tank1!$C$23="No control",(SUMIF(Tank1!$B$32:$B$49,$J2417,Tank1!$C$32:$C$49)*Impacts!$F$8),0)</f>
        <v>0</v>
      </c>
      <c r="M2417" s="10">
        <f>IF(Tank2!$C$23="No control",(SUMIF(Tank2!$B$32:$B$49,$J2417,Tank2!$C$32:$C$49)*Impacts!$F$9),0)</f>
        <v>0</v>
      </c>
      <c r="N2417" s="10">
        <f>IF(Tank3!$C$23="No control",(SUMIF(Tank3!$B$32:$B$49,$J2417,Tank3!$C$32:$C$49)*Impacts!$F$10),0)</f>
        <v>0</v>
      </c>
      <c r="O2417" s="10">
        <f>IF(Tank4!$C$23="No control",(SUMIF(Tank4!$B$32:$B$49,$J2417,Tank4!$C$32:$C$49)*Impacts!$F$11),0)</f>
        <v>0</v>
      </c>
      <c r="P2417" s="10">
        <f>IF(Tank5!$C$23="No control",(SUMIF(Tank5!$B$32:$B$49,$J2417,Tank5!$C$32:$C$49)*Impacts!$F$12),0)</f>
        <v>0</v>
      </c>
      <c r="Q2417" s="10">
        <f>IFERROR(IF(('Loading-drum,tote'!$C$21)="No control",SUMIF(('Loading-drum,tote'!$B$31:$B$48),$J2417,('Loading-drum,tote'!$D$31:$D$48))*Impacts!$F$13,IF(('Loading-drum,tote'!$C$21)&lt;&gt;"No control",SUMIF(('Loading-drum,tote'!$B$31:$B$48),$J2417,('Loading-drum,tote'!$E$31:$E$48))*Impacts!$F$13,0)),0)</f>
        <v>0</v>
      </c>
      <c r="R2417" s="10">
        <f>IFERROR(IF(('Loading-truck'!$C$21)="No control",SUMIF(('Loading-truck'!$B$31:$B$48),$J2417,('Loading-truck'!$D$31:$D$48))*Impacts!$F$14,IF(('Loading-truck'!$C$21)&lt;&gt;"No control",SUMIF(('Loading-truck'!$B$31:$B$48),$J2417,('Loading-truck'!$E$31:$E$48))*Impacts!$F$14,0)),0)</f>
        <v>0</v>
      </c>
      <c r="S2417" s="10">
        <f>IFERROR(IF(('Loading-rail'!$C$21)="No control",SUMIF(('Loading-rail'!$B$31:$B$48),$J2417,('Loading-rail'!$D$31:$D$48))*Impacts!$F$15,IF(('Loading-rail'!$C$21)&lt;&gt;"No control",SUMIF(('Loading-rail'!$B$31:$B$48),$J2417,('Loading-rail'!$E$31:$E$48))*Impacts!$F$15,0)),0)</f>
        <v>0</v>
      </c>
      <c r="T2417" s="10">
        <f>IF(Flare!$C$7="",0,(SUMIF(Flare!$B$46:$B$185,$J2417,Flare!$E$46:$E$185)*Impacts!$F$16))</f>
        <v>0</v>
      </c>
      <c r="U2417" s="10">
        <f>IF(VCU!$C$9="",0,(SUMIF(VCU!$B$51:$B$193,$J2417,VCU!$E$51:$E$193)*Impacts!$F$17))</f>
        <v>0</v>
      </c>
      <c r="V2417" s="10">
        <f>IF(CAS!$C$7="",0,(SUMIF(CAS!$B$31:$B$167,$J2417,CAS!$E$31:$E$167)*Impacts!$F$18))</f>
        <v>0</v>
      </c>
      <c r="W2417" s="10">
        <f t="shared" si="78"/>
        <v>0</v>
      </c>
      <c r="AK2417" s="10" t="str">
        <f t="array" ref="AK2417">IFERROR(INDEX(SelectedSpecies,SMALL(IF(SelectedSpecies=AK$1,ROW(SelectedSpecies)),ROW(2418:2418)),2),"")</f>
        <v/>
      </c>
      <c r="BE2417" s="10"/>
      <c r="BI2417" s="10"/>
    </row>
    <row r="2418" spans="1:61" ht="21" customHeight="1" x14ac:dyDescent="0.25">
      <c r="A2418" s="10"/>
      <c r="B2418" s="10"/>
      <c r="E2418" s="10"/>
      <c r="G2418" s="10"/>
      <c r="I2418" s="436" t="s">
        <v>4379</v>
      </c>
      <c r="J2418" s="26" t="s">
        <v>4378</v>
      </c>
      <c r="K2418" s="10">
        <v>4.8000000000000007</v>
      </c>
      <c r="L2418" s="73">
        <f>IF(Tank1!$C$23="No control",(SUMIF(Tank1!$B$32:$B$49,$J2418,Tank1!$C$32:$C$49)*Impacts!$F$8),0)</f>
        <v>0</v>
      </c>
      <c r="M2418" s="10">
        <f>IF(Tank2!$C$23="No control",(SUMIF(Tank2!$B$32:$B$49,$J2418,Tank2!$C$32:$C$49)*Impacts!$F$9),0)</f>
        <v>0</v>
      </c>
      <c r="N2418" s="10">
        <f>IF(Tank3!$C$23="No control",(SUMIF(Tank3!$B$32:$B$49,$J2418,Tank3!$C$32:$C$49)*Impacts!$F$10),0)</f>
        <v>0</v>
      </c>
      <c r="O2418" s="10">
        <f>IF(Tank4!$C$23="No control",(SUMIF(Tank4!$B$32:$B$49,$J2418,Tank4!$C$32:$C$49)*Impacts!$F$11),0)</f>
        <v>0</v>
      </c>
      <c r="P2418" s="10">
        <f>IF(Tank5!$C$23="No control",(SUMIF(Tank5!$B$32:$B$49,$J2418,Tank5!$C$32:$C$49)*Impacts!$F$12),0)</f>
        <v>0</v>
      </c>
      <c r="Q2418" s="10">
        <f>IFERROR(IF(('Loading-drum,tote'!$C$21)="No control",SUMIF(('Loading-drum,tote'!$B$31:$B$48),$J2418,('Loading-drum,tote'!$D$31:$D$48))*Impacts!$F$13,IF(('Loading-drum,tote'!$C$21)&lt;&gt;"No control",SUMIF(('Loading-drum,tote'!$B$31:$B$48),$J2418,('Loading-drum,tote'!$E$31:$E$48))*Impacts!$F$13,0)),0)</f>
        <v>0</v>
      </c>
      <c r="R2418" s="10">
        <f>IFERROR(IF(('Loading-truck'!$C$21)="No control",SUMIF(('Loading-truck'!$B$31:$B$48),$J2418,('Loading-truck'!$D$31:$D$48))*Impacts!$F$14,IF(('Loading-truck'!$C$21)&lt;&gt;"No control",SUMIF(('Loading-truck'!$B$31:$B$48),$J2418,('Loading-truck'!$E$31:$E$48))*Impacts!$F$14,0)),0)</f>
        <v>0</v>
      </c>
      <c r="S2418" s="10">
        <f>IFERROR(IF(('Loading-rail'!$C$21)="No control",SUMIF(('Loading-rail'!$B$31:$B$48),$J2418,('Loading-rail'!$D$31:$D$48))*Impacts!$F$15,IF(('Loading-rail'!$C$21)&lt;&gt;"No control",SUMIF(('Loading-rail'!$B$31:$B$48),$J2418,('Loading-rail'!$E$31:$E$48))*Impacts!$F$15,0)),0)</f>
        <v>0</v>
      </c>
      <c r="T2418" s="10">
        <f>IF(Flare!$C$7="",0,(SUMIF(Flare!$B$46:$B$185,$J2418,Flare!$E$46:$E$185)*Impacts!$F$16))</f>
        <v>0</v>
      </c>
      <c r="U2418" s="10">
        <f>IF(VCU!$C$9="",0,(SUMIF(VCU!$B$51:$B$193,$J2418,VCU!$E$51:$E$193)*Impacts!$F$17))</f>
        <v>0</v>
      </c>
      <c r="V2418" s="10">
        <f>IF(CAS!$C$7="",0,(SUMIF(CAS!$B$31:$B$167,$J2418,CAS!$E$31:$E$167)*Impacts!$F$18))</f>
        <v>0</v>
      </c>
      <c r="W2418" s="10">
        <f t="shared" si="78"/>
        <v>0</v>
      </c>
      <c r="AK2418" s="10" t="str">
        <f t="array" ref="AK2418">IFERROR(INDEX(SelectedSpecies,SMALL(IF(SelectedSpecies=AK$1,ROW(SelectedSpecies)),ROW(2419:2419)),2),"")</f>
        <v/>
      </c>
      <c r="BE2418" s="10"/>
      <c r="BI2418" s="10"/>
    </row>
    <row r="2419" spans="1:61" ht="21" customHeight="1" x14ac:dyDescent="0.25">
      <c r="A2419" s="10"/>
      <c r="B2419" s="10"/>
      <c r="E2419" s="10"/>
      <c r="G2419" s="10"/>
      <c r="I2419" s="436" t="s">
        <v>4767</v>
      </c>
      <c r="J2419" s="26" t="s">
        <v>4766</v>
      </c>
      <c r="K2419" s="10">
        <v>3.4000000000000004</v>
      </c>
      <c r="L2419" s="73">
        <f>IF(Tank1!$C$23="No control",(SUMIF(Tank1!$B$32:$B$49,$J2419,Tank1!$C$32:$C$49)*Impacts!$F$8),0)</f>
        <v>0</v>
      </c>
      <c r="M2419" s="10">
        <f>IF(Tank2!$C$23="No control",(SUMIF(Tank2!$B$32:$B$49,$J2419,Tank2!$C$32:$C$49)*Impacts!$F$9),0)</f>
        <v>0</v>
      </c>
      <c r="N2419" s="10">
        <f>IF(Tank3!$C$23="No control",(SUMIF(Tank3!$B$32:$B$49,$J2419,Tank3!$C$32:$C$49)*Impacts!$F$10),0)</f>
        <v>0</v>
      </c>
      <c r="O2419" s="10">
        <f>IF(Tank4!$C$23="No control",(SUMIF(Tank4!$B$32:$B$49,$J2419,Tank4!$C$32:$C$49)*Impacts!$F$11),0)</f>
        <v>0</v>
      </c>
      <c r="P2419" s="10">
        <f>IF(Tank5!$C$23="No control",(SUMIF(Tank5!$B$32:$B$49,$J2419,Tank5!$C$32:$C$49)*Impacts!$F$12),0)</f>
        <v>0</v>
      </c>
      <c r="Q2419" s="10">
        <f>IFERROR(IF(('Loading-drum,tote'!$C$21)="No control",SUMIF(('Loading-drum,tote'!$B$31:$B$48),$J2419,('Loading-drum,tote'!$D$31:$D$48))*Impacts!$F$13,IF(('Loading-drum,tote'!$C$21)&lt;&gt;"No control",SUMIF(('Loading-drum,tote'!$B$31:$B$48),$J2419,('Loading-drum,tote'!$E$31:$E$48))*Impacts!$F$13,0)),0)</f>
        <v>0</v>
      </c>
      <c r="R2419" s="10">
        <f>IFERROR(IF(('Loading-truck'!$C$21)="No control",SUMIF(('Loading-truck'!$B$31:$B$48),$J2419,('Loading-truck'!$D$31:$D$48))*Impacts!$F$14,IF(('Loading-truck'!$C$21)&lt;&gt;"No control",SUMIF(('Loading-truck'!$B$31:$B$48),$J2419,('Loading-truck'!$E$31:$E$48))*Impacts!$F$14,0)),0)</f>
        <v>0</v>
      </c>
      <c r="S2419" s="10">
        <f>IFERROR(IF(('Loading-rail'!$C$21)="No control",SUMIF(('Loading-rail'!$B$31:$B$48),$J2419,('Loading-rail'!$D$31:$D$48))*Impacts!$F$15,IF(('Loading-rail'!$C$21)&lt;&gt;"No control",SUMIF(('Loading-rail'!$B$31:$B$48),$J2419,('Loading-rail'!$E$31:$E$48))*Impacts!$F$15,0)),0)</f>
        <v>0</v>
      </c>
      <c r="T2419" s="10">
        <f>IF(Flare!$C$7="",0,(SUMIF(Flare!$B$46:$B$185,$J2419,Flare!$E$46:$E$185)*Impacts!$F$16))</f>
        <v>0</v>
      </c>
      <c r="U2419" s="10">
        <f>IF(VCU!$C$9="",0,(SUMIF(VCU!$B$51:$B$193,$J2419,VCU!$E$51:$E$193)*Impacts!$F$17))</f>
        <v>0</v>
      </c>
      <c r="V2419" s="10">
        <f>IF(CAS!$C$7="",0,(SUMIF(CAS!$B$31:$B$167,$J2419,CAS!$E$31:$E$167)*Impacts!$F$18))</f>
        <v>0</v>
      </c>
      <c r="W2419" s="10">
        <f t="shared" si="78"/>
        <v>0</v>
      </c>
      <c r="AK2419" s="10" t="str">
        <f t="array" ref="AK2419">IFERROR(INDEX(SelectedSpecies,SMALL(IF(SelectedSpecies=AK$1,ROW(SelectedSpecies)),ROW(2420:2420)),2),"")</f>
        <v/>
      </c>
      <c r="BE2419" s="10"/>
      <c r="BI2419" s="10"/>
    </row>
    <row r="2420" spans="1:61" ht="21" customHeight="1" x14ac:dyDescent="0.25">
      <c r="A2420" s="10"/>
      <c r="B2420" s="10"/>
      <c r="E2420" s="10"/>
      <c r="G2420" s="10"/>
      <c r="I2420" s="436" t="s">
        <v>1967</v>
      </c>
      <c r="J2420" s="26" t="s">
        <v>1966</v>
      </c>
      <c r="K2420" s="10">
        <v>20</v>
      </c>
      <c r="L2420" s="73">
        <f>IF(Tank1!$C$23="No control",(SUMIF(Tank1!$B$32:$B$49,$J2420,Tank1!$C$32:$C$49)*Impacts!$F$8),0)</f>
        <v>0</v>
      </c>
      <c r="M2420" s="10">
        <f>IF(Tank2!$C$23="No control",(SUMIF(Tank2!$B$32:$B$49,$J2420,Tank2!$C$32:$C$49)*Impacts!$F$9),0)</f>
        <v>0</v>
      </c>
      <c r="N2420" s="10">
        <f>IF(Tank3!$C$23="No control",(SUMIF(Tank3!$B$32:$B$49,$J2420,Tank3!$C$32:$C$49)*Impacts!$F$10),0)</f>
        <v>0</v>
      </c>
      <c r="O2420" s="10">
        <f>IF(Tank4!$C$23="No control",(SUMIF(Tank4!$B$32:$B$49,$J2420,Tank4!$C$32:$C$49)*Impacts!$F$11),0)</f>
        <v>0</v>
      </c>
      <c r="P2420" s="10">
        <f>IF(Tank5!$C$23="No control",(SUMIF(Tank5!$B$32:$B$49,$J2420,Tank5!$C$32:$C$49)*Impacts!$F$12),0)</f>
        <v>0</v>
      </c>
      <c r="Q2420" s="10">
        <f>IFERROR(IF(('Loading-drum,tote'!$C$21)="No control",SUMIF(('Loading-drum,tote'!$B$31:$B$48),$J2420,('Loading-drum,tote'!$D$31:$D$48))*Impacts!$F$13,IF(('Loading-drum,tote'!$C$21)&lt;&gt;"No control",SUMIF(('Loading-drum,tote'!$B$31:$B$48),$J2420,('Loading-drum,tote'!$E$31:$E$48))*Impacts!$F$13,0)),0)</f>
        <v>0</v>
      </c>
      <c r="R2420" s="10">
        <f>IFERROR(IF(('Loading-truck'!$C$21)="No control",SUMIF(('Loading-truck'!$B$31:$B$48),$J2420,('Loading-truck'!$D$31:$D$48))*Impacts!$F$14,IF(('Loading-truck'!$C$21)&lt;&gt;"No control",SUMIF(('Loading-truck'!$B$31:$B$48),$J2420,('Loading-truck'!$E$31:$E$48))*Impacts!$F$14,0)),0)</f>
        <v>0</v>
      </c>
      <c r="S2420" s="10">
        <f>IFERROR(IF(('Loading-rail'!$C$21)="No control",SUMIF(('Loading-rail'!$B$31:$B$48),$J2420,('Loading-rail'!$D$31:$D$48))*Impacts!$F$15,IF(('Loading-rail'!$C$21)&lt;&gt;"No control",SUMIF(('Loading-rail'!$B$31:$B$48),$J2420,('Loading-rail'!$E$31:$E$48))*Impacts!$F$15,0)),0)</f>
        <v>0</v>
      </c>
      <c r="T2420" s="10">
        <f>IF(Flare!$C$7="",0,(SUMIF(Flare!$B$46:$B$185,$J2420,Flare!$E$46:$E$185)*Impacts!$F$16))</f>
        <v>0</v>
      </c>
      <c r="U2420" s="10">
        <f>IF(VCU!$C$9="",0,(SUMIF(VCU!$B$51:$B$193,$J2420,VCU!$E$51:$E$193)*Impacts!$F$17))</f>
        <v>0</v>
      </c>
      <c r="V2420" s="10">
        <f>IF(CAS!$C$7="",0,(SUMIF(CAS!$B$31:$B$167,$J2420,CAS!$E$31:$E$167)*Impacts!$F$18))</f>
        <v>0</v>
      </c>
      <c r="W2420" s="10">
        <f t="shared" si="78"/>
        <v>0</v>
      </c>
      <c r="AK2420" s="10" t="str">
        <f t="array" ref="AK2420">IFERROR(INDEX(SelectedSpecies,SMALL(IF(SelectedSpecies=AK$1,ROW(SelectedSpecies)),ROW(2421:2421)),2),"")</f>
        <v/>
      </c>
      <c r="BE2420" s="10"/>
      <c r="BI2420" s="10"/>
    </row>
    <row r="2421" spans="1:61" ht="21" customHeight="1" x14ac:dyDescent="0.25">
      <c r="A2421" s="10"/>
      <c r="B2421" s="10"/>
      <c r="E2421" s="10"/>
      <c r="G2421" s="10"/>
      <c r="I2421" s="436" t="s">
        <v>4213</v>
      </c>
      <c r="J2421" s="26" t="s">
        <v>4212</v>
      </c>
      <c r="K2421" s="10">
        <v>5</v>
      </c>
      <c r="L2421" s="73">
        <f>IF(Tank1!$C$23="No control",(SUMIF(Tank1!$B$32:$B$49,$J2421,Tank1!$C$32:$C$49)*Impacts!$F$8),0)</f>
        <v>0</v>
      </c>
      <c r="M2421" s="10">
        <f>IF(Tank2!$C$23="No control",(SUMIF(Tank2!$B$32:$B$49,$J2421,Tank2!$C$32:$C$49)*Impacts!$F$9),0)</f>
        <v>0</v>
      </c>
      <c r="N2421" s="10">
        <f>IF(Tank3!$C$23="No control",(SUMIF(Tank3!$B$32:$B$49,$J2421,Tank3!$C$32:$C$49)*Impacts!$F$10),0)</f>
        <v>0</v>
      </c>
      <c r="O2421" s="10">
        <f>IF(Tank4!$C$23="No control",(SUMIF(Tank4!$B$32:$B$49,$J2421,Tank4!$C$32:$C$49)*Impacts!$F$11),0)</f>
        <v>0</v>
      </c>
      <c r="P2421" s="10">
        <f>IF(Tank5!$C$23="No control",(SUMIF(Tank5!$B$32:$B$49,$J2421,Tank5!$C$32:$C$49)*Impacts!$F$12),0)</f>
        <v>0</v>
      </c>
      <c r="Q2421" s="10">
        <f>IFERROR(IF(('Loading-drum,tote'!$C$21)="No control",SUMIF(('Loading-drum,tote'!$B$31:$B$48),$J2421,('Loading-drum,tote'!$D$31:$D$48))*Impacts!$F$13,IF(('Loading-drum,tote'!$C$21)&lt;&gt;"No control",SUMIF(('Loading-drum,tote'!$B$31:$B$48),$J2421,('Loading-drum,tote'!$E$31:$E$48))*Impacts!$F$13,0)),0)</f>
        <v>0</v>
      </c>
      <c r="R2421" s="10">
        <f>IFERROR(IF(('Loading-truck'!$C$21)="No control",SUMIF(('Loading-truck'!$B$31:$B$48),$J2421,('Loading-truck'!$D$31:$D$48))*Impacts!$F$14,IF(('Loading-truck'!$C$21)&lt;&gt;"No control",SUMIF(('Loading-truck'!$B$31:$B$48),$J2421,('Loading-truck'!$E$31:$E$48))*Impacts!$F$14,0)),0)</f>
        <v>0</v>
      </c>
      <c r="S2421" s="10">
        <f>IFERROR(IF(('Loading-rail'!$C$21)="No control",SUMIF(('Loading-rail'!$B$31:$B$48),$J2421,('Loading-rail'!$D$31:$D$48))*Impacts!$F$15,IF(('Loading-rail'!$C$21)&lt;&gt;"No control",SUMIF(('Loading-rail'!$B$31:$B$48),$J2421,('Loading-rail'!$E$31:$E$48))*Impacts!$F$15,0)),0)</f>
        <v>0</v>
      </c>
      <c r="T2421" s="10">
        <f>IF(Flare!$C$7="",0,(SUMIF(Flare!$B$46:$B$185,$J2421,Flare!$E$46:$E$185)*Impacts!$F$16))</f>
        <v>0</v>
      </c>
      <c r="U2421" s="10">
        <f>IF(VCU!$C$9="",0,(SUMIF(VCU!$B$51:$B$193,$J2421,VCU!$E$51:$E$193)*Impacts!$F$17))</f>
        <v>0</v>
      </c>
      <c r="V2421" s="10">
        <f>IF(CAS!$C$7="",0,(SUMIF(CAS!$B$31:$B$167,$J2421,CAS!$E$31:$E$167)*Impacts!$F$18))</f>
        <v>0</v>
      </c>
      <c r="W2421" s="10">
        <f t="shared" si="78"/>
        <v>0</v>
      </c>
      <c r="AK2421" s="10" t="str">
        <f t="array" ref="AK2421">IFERROR(INDEX(SelectedSpecies,SMALL(IF(SelectedSpecies=AK$1,ROW(SelectedSpecies)),ROW(2422:2422)),2),"")</f>
        <v/>
      </c>
      <c r="BE2421" s="10"/>
      <c r="BI2421" s="10"/>
    </row>
    <row r="2422" spans="1:61" ht="21" customHeight="1" x14ac:dyDescent="0.25">
      <c r="A2422" s="10"/>
      <c r="B2422" s="10"/>
      <c r="E2422" s="10"/>
      <c r="G2422" s="10"/>
      <c r="I2422" s="436" t="s">
        <v>794</v>
      </c>
      <c r="J2422" s="26" t="s">
        <v>793</v>
      </c>
      <c r="K2422" s="10">
        <v>54</v>
      </c>
      <c r="L2422" s="73">
        <f>IF(Tank1!$C$23="No control",(SUMIF(Tank1!$B$32:$B$49,$J2422,Tank1!$C$32:$C$49)*Impacts!$F$8),0)</f>
        <v>0</v>
      </c>
      <c r="M2422" s="10">
        <f>IF(Tank2!$C$23="No control",(SUMIF(Tank2!$B$32:$B$49,$J2422,Tank2!$C$32:$C$49)*Impacts!$F$9),0)</f>
        <v>0</v>
      </c>
      <c r="N2422" s="10">
        <f>IF(Tank3!$C$23="No control",(SUMIF(Tank3!$B$32:$B$49,$J2422,Tank3!$C$32:$C$49)*Impacts!$F$10),0)</f>
        <v>0</v>
      </c>
      <c r="O2422" s="10">
        <f>IF(Tank4!$C$23="No control",(SUMIF(Tank4!$B$32:$B$49,$J2422,Tank4!$C$32:$C$49)*Impacts!$F$11),0)</f>
        <v>0</v>
      </c>
      <c r="P2422" s="10">
        <f>IF(Tank5!$C$23="No control",(SUMIF(Tank5!$B$32:$B$49,$J2422,Tank5!$C$32:$C$49)*Impacts!$F$12),0)</f>
        <v>0</v>
      </c>
      <c r="Q2422" s="10">
        <f>IFERROR(IF(('Loading-drum,tote'!$C$21)="No control",SUMIF(('Loading-drum,tote'!$B$31:$B$48),$J2422,('Loading-drum,tote'!$D$31:$D$48))*Impacts!$F$13,IF(('Loading-drum,tote'!$C$21)&lt;&gt;"No control",SUMIF(('Loading-drum,tote'!$B$31:$B$48),$J2422,('Loading-drum,tote'!$E$31:$E$48))*Impacts!$F$13,0)),0)</f>
        <v>0</v>
      </c>
      <c r="R2422" s="10">
        <f>IFERROR(IF(('Loading-truck'!$C$21)="No control",SUMIF(('Loading-truck'!$B$31:$B$48),$J2422,('Loading-truck'!$D$31:$D$48))*Impacts!$F$14,IF(('Loading-truck'!$C$21)&lt;&gt;"No control",SUMIF(('Loading-truck'!$B$31:$B$48),$J2422,('Loading-truck'!$E$31:$E$48))*Impacts!$F$14,0)),0)</f>
        <v>0</v>
      </c>
      <c r="S2422" s="10">
        <f>IFERROR(IF(('Loading-rail'!$C$21)="No control",SUMIF(('Loading-rail'!$B$31:$B$48),$J2422,('Loading-rail'!$D$31:$D$48))*Impacts!$F$15,IF(('Loading-rail'!$C$21)&lt;&gt;"No control",SUMIF(('Loading-rail'!$B$31:$B$48),$J2422,('Loading-rail'!$E$31:$E$48))*Impacts!$F$15,0)),0)</f>
        <v>0</v>
      </c>
      <c r="T2422" s="10">
        <f>IF(Flare!$C$7="",0,(SUMIF(Flare!$B$46:$B$185,$J2422,Flare!$E$46:$E$185)*Impacts!$F$16))</f>
        <v>0</v>
      </c>
      <c r="U2422" s="10">
        <f>IF(VCU!$C$9="",0,(SUMIF(VCU!$B$51:$B$193,$J2422,VCU!$E$51:$E$193)*Impacts!$F$17))</f>
        <v>0</v>
      </c>
      <c r="V2422" s="10">
        <f>IF(CAS!$C$7="",0,(SUMIF(CAS!$B$31:$B$167,$J2422,CAS!$E$31:$E$167)*Impacts!$F$18))</f>
        <v>0</v>
      </c>
      <c r="W2422" s="10">
        <f t="shared" si="78"/>
        <v>0</v>
      </c>
      <c r="AK2422" s="10" t="str">
        <f t="array" ref="AK2422">IFERROR(INDEX(SelectedSpecies,SMALL(IF(SelectedSpecies=AK$1,ROW(SelectedSpecies)),ROW(2423:2423)),2),"")</f>
        <v/>
      </c>
      <c r="BE2422" s="10"/>
      <c r="BI2422" s="10"/>
    </row>
    <row r="2423" spans="1:61" ht="21" customHeight="1" x14ac:dyDescent="0.25">
      <c r="A2423" s="10"/>
      <c r="B2423" s="10"/>
      <c r="E2423" s="10"/>
      <c r="G2423" s="10"/>
      <c r="I2423" s="436" t="s">
        <v>2041</v>
      </c>
      <c r="J2423" s="26" t="s">
        <v>2040</v>
      </c>
      <c r="K2423" s="10">
        <v>16.7</v>
      </c>
      <c r="L2423" s="73">
        <f>IF(Tank1!$C$23="No control",(SUMIF(Tank1!$B$32:$B$49,$J2423,Tank1!$C$32:$C$49)*Impacts!$F$8),0)</f>
        <v>0</v>
      </c>
      <c r="M2423" s="10">
        <f>IF(Tank2!$C$23="No control",(SUMIF(Tank2!$B$32:$B$49,$J2423,Tank2!$C$32:$C$49)*Impacts!$F$9),0)</f>
        <v>0</v>
      </c>
      <c r="N2423" s="10">
        <f>IF(Tank3!$C$23="No control",(SUMIF(Tank3!$B$32:$B$49,$J2423,Tank3!$C$32:$C$49)*Impacts!$F$10),0)</f>
        <v>0</v>
      </c>
      <c r="O2423" s="10">
        <f>IF(Tank4!$C$23="No control",(SUMIF(Tank4!$B$32:$B$49,$J2423,Tank4!$C$32:$C$49)*Impacts!$F$11),0)</f>
        <v>0</v>
      </c>
      <c r="P2423" s="10">
        <f>IF(Tank5!$C$23="No control",(SUMIF(Tank5!$B$32:$B$49,$J2423,Tank5!$C$32:$C$49)*Impacts!$F$12),0)</f>
        <v>0</v>
      </c>
      <c r="Q2423" s="10">
        <f>IFERROR(IF(('Loading-drum,tote'!$C$21)="No control",SUMIF(('Loading-drum,tote'!$B$31:$B$48),$J2423,('Loading-drum,tote'!$D$31:$D$48))*Impacts!$F$13,IF(('Loading-drum,tote'!$C$21)&lt;&gt;"No control",SUMIF(('Loading-drum,tote'!$B$31:$B$48),$J2423,('Loading-drum,tote'!$E$31:$E$48))*Impacts!$F$13,0)),0)</f>
        <v>0</v>
      </c>
      <c r="R2423" s="10">
        <f>IFERROR(IF(('Loading-truck'!$C$21)="No control",SUMIF(('Loading-truck'!$B$31:$B$48),$J2423,('Loading-truck'!$D$31:$D$48))*Impacts!$F$14,IF(('Loading-truck'!$C$21)&lt;&gt;"No control",SUMIF(('Loading-truck'!$B$31:$B$48),$J2423,('Loading-truck'!$E$31:$E$48))*Impacts!$F$14,0)),0)</f>
        <v>0</v>
      </c>
      <c r="S2423" s="10">
        <f>IFERROR(IF(('Loading-rail'!$C$21)="No control",SUMIF(('Loading-rail'!$B$31:$B$48),$J2423,('Loading-rail'!$D$31:$D$48))*Impacts!$F$15,IF(('Loading-rail'!$C$21)&lt;&gt;"No control",SUMIF(('Loading-rail'!$B$31:$B$48),$J2423,('Loading-rail'!$E$31:$E$48))*Impacts!$F$15,0)),0)</f>
        <v>0</v>
      </c>
      <c r="T2423" s="10">
        <f>IF(Flare!$C$7="",0,(SUMIF(Flare!$B$46:$B$185,$J2423,Flare!$E$46:$E$185)*Impacts!$F$16))</f>
        <v>0</v>
      </c>
      <c r="U2423" s="10">
        <f>IF(VCU!$C$9="",0,(SUMIF(VCU!$B$51:$B$193,$J2423,VCU!$E$51:$E$193)*Impacts!$F$17))</f>
        <v>0</v>
      </c>
      <c r="V2423" s="10">
        <f>IF(CAS!$C$7="",0,(SUMIF(CAS!$B$31:$B$167,$J2423,CAS!$E$31:$E$167)*Impacts!$F$18))</f>
        <v>0</v>
      </c>
      <c r="W2423" s="10">
        <f t="shared" si="78"/>
        <v>0</v>
      </c>
      <c r="AK2423" s="10" t="str">
        <f t="array" ref="AK2423">IFERROR(INDEX(SelectedSpecies,SMALL(IF(SelectedSpecies=AK$1,ROW(SelectedSpecies)),ROW(2424:2424)),2),"")</f>
        <v/>
      </c>
      <c r="BE2423" s="10"/>
      <c r="BI2423" s="10"/>
    </row>
    <row r="2424" spans="1:61" ht="21" customHeight="1" x14ac:dyDescent="0.25">
      <c r="A2424" s="10"/>
      <c r="B2424" s="10"/>
      <c r="E2424" s="10"/>
      <c r="G2424" s="10"/>
      <c r="I2424" s="436" t="s">
        <v>796</v>
      </c>
      <c r="J2424" s="26" t="s">
        <v>795</v>
      </c>
      <c r="K2424" s="10">
        <v>54</v>
      </c>
      <c r="L2424" s="73">
        <f>IF(Tank1!$C$23="No control",(SUMIF(Tank1!$B$32:$B$49,$J2424,Tank1!$C$32:$C$49)*Impacts!$F$8),0)</f>
        <v>0</v>
      </c>
      <c r="M2424" s="10">
        <f>IF(Tank2!$C$23="No control",(SUMIF(Tank2!$B$32:$B$49,$J2424,Tank2!$C$32:$C$49)*Impacts!$F$9),0)</f>
        <v>0</v>
      </c>
      <c r="N2424" s="10">
        <f>IF(Tank3!$C$23="No control",(SUMIF(Tank3!$B$32:$B$49,$J2424,Tank3!$C$32:$C$49)*Impacts!$F$10),0)</f>
        <v>0</v>
      </c>
      <c r="O2424" s="10">
        <f>IF(Tank4!$C$23="No control",(SUMIF(Tank4!$B$32:$B$49,$J2424,Tank4!$C$32:$C$49)*Impacts!$F$11),0)</f>
        <v>0</v>
      </c>
      <c r="P2424" s="10">
        <f>IF(Tank5!$C$23="No control",(SUMIF(Tank5!$B$32:$B$49,$J2424,Tank5!$C$32:$C$49)*Impacts!$F$12),0)</f>
        <v>0</v>
      </c>
      <c r="Q2424" s="10">
        <f>IFERROR(IF(('Loading-drum,tote'!$C$21)="No control",SUMIF(('Loading-drum,tote'!$B$31:$B$48),$J2424,('Loading-drum,tote'!$D$31:$D$48))*Impacts!$F$13,IF(('Loading-drum,tote'!$C$21)&lt;&gt;"No control",SUMIF(('Loading-drum,tote'!$B$31:$B$48),$J2424,('Loading-drum,tote'!$E$31:$E$48))*Impacts!$F$13,0)),0)</f>
        <v>0</v>
      </c>
      <c r="R2424" s="10">
        <f>IFERROR(IF(('Loading-truck'!$C$21)="No control",SUMIF(('Loading-truck'!$B$31:$B$48),$J2424,('Loading-truck'!$D$31:$D$48))*Impacts!$F$14,IF(('Loading-truck'!$C$21)&lt;&gt;"No control",SUMIF(('Loading-truck'!$B$31:$B$48),$J2424,('Loading-truck'!$E$31:$E$48))*Impacts!$F$14,0)),0)</f>
        <v>0</v>
      </c>
      <c r="S2424" s="10">
        <f>IFERROR(IF(('Loading-rail'!$C$21)="No control",SUMIF(('Loading-rail'!$B$31:$B$48),$J2424,('Loading-rail'!$D$31:$D$48))*Impacts!$F$15,IF(('Loading-rail'!$C$21)&lt;&gt;"No control",SUMIF(('Loading-rail'!$B$31:$B$48),$J2424,('Loading-rail'!$E$31:$E$48))*Impacts!$F$15,0)),0)</f>
        <v>0</v>
      </c>
      <c r="T2424" s="10">
        <f>IF(Flare!$C$7="",0,(SUMIF(Flare!$B$46:$B$185,$J2424,Flare!$E$46:$E$185)*Impacts!$F$16))</f>
        <v>0</v>
      </c>
      <c r="U2424" s="10">
        <f>IF(VCU!$C$9="",0,(SUMIF(VCU!$B$51:$B$193,$J2424,VCU!$E$51:$E$193)*Impacts!$F$17))</f>
        <v>0</v>
      </c>
      <c r="V2424" s="10">
        <f>IF(CAS!$C$7="",0,(SUMIF(CAS!$B$31:$B$167,$J2424,CAS!$E$31:$E$167)*Impacts!$F$18))</f>
        <v>0</v>
      </c>
      <c r="W2424" s="10">
        <f t="shared" si="78"/>
        <v>0</v>
      </c>
      <c r="AK2424" s="10" t="str">
        <f t="array" ref="AK2424">IFERROR(INDEX(SelectedSpecies,SMALL(IF(SelectedSpecies=AK$1,ROW(SelectedSpecies)),ROW(2425:2425)),2),"")</f>
        <v/>
      </c>
      <c r="BE2424" s="10"/>
      <c r="BI2424" s="10"/>
    </row>
    <row r="2425" spans="1:61" ht="21" customHeight="1" x14ac:dyDescent="0.25">
      <c r="A2425" s="10"/>
      <c r="B2425" s="10"/>
      <c r="E2425" s="10"/>
      <c r="G2425" s="10"/>
      <c r="I2425" s="436" t="s">
        <v>7930</v>
      </c>
      <c r="J2425" s="26" t="s">
        <v>7929</v>
      </c>
      <c r="K2425" s="10">
        <v>0.05</v>
      </c>
      <c r="L2425" s="73">
        <f>IF(Tank1!$C$23="No control",(SUMIF(Tank1!$B$32:$B$49,$J2425,Tank1!$C$32:$C$49)*Impacts!$F$8),0)</f>
        <v>0</v>
      </c>
      <c r="M2425" s="10">
        <f>IF(Tank2!$C$23="No control",(SUMIF(Tank2!$B$32:$B$49,$J2425,Tank2!$C$32:$C$49)*Impacts!$F$9),0)</f>
        <v>0</v>
      </c>
      <c r="N2425" s="10">
        <f>IF(Tank3!$C$23="No control",(SUMIF(Tank3!$B$32:$B$49,$J2425,Tank3!$C$32:$C$49)*Impacts!$F$10),0)</f>
        <v>0</v>
      </c>
      <c r="O2425" s="10">
        <f>IF(Tank4!$C$23="No control",(SUMIF(Tank4!$B$32:$B$49,$J2425,Tank4!$C$32:$C$49)*Impacts!$F$11),0)</f>
        <v>0</v>
      </c>
      <c r="P2425" s="10">
        <f>IF(Tank5!$C$23="No control",(SUMIF(Tank5!$B$32:$B$49,$J2425,Tank5!$C$32:$C$49)*Impacts!$F$12),0)</f>
        <v>0</v>
      </c>
      <c r="Q2425" s="10">
        <f>IFERROR(IF(('Loading-drum,tote'!$C$21)="No control",SUMIF(('Loading-drum,tote'!$B$31:$B$48),$J2425,('Loading-drum,tote'!$D$31:$D$48))*Impacts!$F$13,IF(('Loading-drum,tote'!$C$21)&lt;&gt;"No control",SUMIF(('Loading-drum,tote'!$B$31:$B$48),$J2425,('Loading-drum,tote'!$E$31:$E$48))*Impacts!$F$13,0)),0)</f>
        <v>0</v>
      </c>
      <c r="R2425" s="10">
        <f>IFERROR(IF(('Loading-truck'!$C$21)="No control",SUMIF(('Loading-truck'!$B$31:$B$48),$J2425,('Loading-truck'!$D$31:$D$48))*Impacts!$F$14,IF(('Loading-truck'!$C$21)&lt;&gt;"No control",SUMIF(('Loading-truck'!$B$31:$B$48),$J2425,('Loading-truck'!$E$31:$E$48))*Impacts!$F$14,0)),0)</f>
        <v>0</v>
      </c>
      <c r="S2425" s="10">
        <f>IFERROR(IF(('Loading-rail'!$C$21)="No control",SUMIF(('Loading-rail'!$B$31:$B$48),$J2425,('Loading-rail'!$D$31:$D$48))*Impacts!$F$15,IF(('Loading-rail'!$C$21)&lt;&gt;"No control",SUMIF(('Loading-rail'!$B$31:$B$48),$J2425,('Loading-rail'!$E$31:$E$48))*Impacts!$F$15,0)),0)</f>
        <v>0</v>
      </c>
      <c r="T2425" s="10">
        <f>IF(Flare!$C$7="",0,(SUMIF(Flare!$B$46:$B$185,$J2425,Flare!$E$46:$E$185)*Impacts!$F$16))</f>
        <v>0</v>
      </c>
      <c r="U2425" s="10">
        <f>IF(VCU!$C$9="",0,(SUMIF(VCU!$B$51:$B$193,$J2425,VCU!$E$51:$E$193)*Impacts!$F$17))</f>
        <v>0</v>
      </c>
      <c r="V2425" s="10">
        <f>IF(CAS!$C$7="",0,(SUMIF(CAS!$B$31:$B$167,$J2425,CAS!$E$31:$E$167)*Impacts!$F$18))</f>
        <v>0</v>
      </c>
      <c r="W2425" s="10">
        <f t="shared" si="78"/>
        <v>0</v>
      </c>
      <c r="AK2425" s="10" t="str">
        <f t="array" ref="AK2425">IFERROR(INDEX(SelectedSpecies,SMALL(IF(SelectedSpecies=AK$1,ROW(SelectedSpecies)),ROW(2426:2426)),2),"")</f>
        <v/>
      </c>
      <c r="BE2425" s="10"/>
      <c r="BI2425" s="10"/>
    </row>
    <row r="2426" spans="1:61" ht="21" customHeight="1" x14ac:dyDescent="0.25">
      <c r="A2426" s="10"/>
      <c r="B2426" s="10"/>
      <c r="E2426" s="10"/>
      <c r="G2426" s="10"/>
      <c r="I2426" s="436" t="s">
        <v>2017</v>
      </c>
      <c r="J2426" s="26" t="s">
        <v>2016</v>
      </c>
      <c r="K2426" s="10">
        <v>17</v>
      </c>
      <c r="L2426" s="73">
        <f>IF(Tank1!$C$23="No control",(SUMIF(Tank1!$B$32:$B$49,$J2426,Tank1!$C$32:$C$49)*Impacts!$F$8),0)</f>
        <v>0</v>
      </c>
      <c r="M2426" s="10">
        <f>IF(Tank2!$C$23="No control",(SUMIF(Tank2!$B$32:$B$49,$J2426,Tank2!$C$32:$C$49)*Impacts!$F$9),0)</f>
        <v>0</v>
      </c>
      <c r="N2426" s="10">
        <f>IF(Tank3!$C$23="No control",(SUMIF(Tank3!$B$32:$B$49,$J2426,Tank3!$C$32:$C$49)*Impacts!$F$10),0)</f>
        <v>0</v>
      </c>
      <c r="O2426" s="10">
        <f>IF(Tank4!$C$23="No control",(SUMIF(Tank4!$B$32:$B$49,$J2426,Tank4!$C$32:$C$49)*Impacts!$F$11),0)</f>
        <v>0</v>
      </c>
      <c r="P2426" s="10">
        <f>IF(Tank5!$C$23="No control",(SUMIF(Tank5!$B$32:$B$49,$J2426,Tank5!$C$32:$C$49)*Impacts!$F$12),0)</f>
        <v>0</v>
      </c>
      <c r="Q2426" s="10">
        <f>IFERROR(IF(('Loading-drum,tote'!$C$21)="No control",SUMIF(('Loading-drum,tote'!$B$31:$B$48),$J2426,('Loading-drum,tote'!$D$31:$D$48))*Impacts!$F$13,IF(('Loading-drum,tote'!$C$21)&lt;&gt;"No control",SUMIF(('Loading-drum,tote'!$B$31:$B$48),$J2426,('Loading-drum,tote'!$E$31:$E$48))*Impacts!$F$13,0)),0)</f>
        <v>0</v>
      </c>
      <c r="R2426" s="10">
        <f>IFERROR(IF(('Loading-truck'!$C$21)="No control",SUMIF(('Loading-truck'!$B$31:$B$48),$J2426,('Loading-truck'!$D$31:$D$48))*Impacts!$F$14,IF(('Loading-truck'!$C$21)&lt;&gt;"No control",SUMIF(('Loading-truck'!$B$31:$B$48),$J2426,('Loading-truck'!$E$31:$E$48))*Impacts!$F$14,0)),0)</f>
        <v>0</v>
      </c>
      <c r="S2426" s="10">
        <f>IFERROR(IF(('Loading-rail'!$C$21)="No control",SUMIF(('Loading-rail'!$B$31:$B$48),$J2426,('Loading-rail'!$D$31:$D$48))*Impacts!$F$15,IF(('Loading-rail'!$C$21)&lt;&gt;"No control",SUMIF(('Loading-rail'!$B$31:$B$48),$J2426,('Loading-rail'!$E$31:$E$48))*Impacts!$F$15,0)),0)</f>
        <v>0</v>
      </c>
      <c r="T2426" s="10">
        <f>IF(Flare!$C$7="",0,(SUMIF(Flare!$B$46:$B$185,$J2426,Flare!$E$46:$E$185)*Impacts!$F$16))</f>
        <v>0</v>
      </c>
      <c r="U2426" s="10">
        <f>IF(VCU!$C$9="",0,(SUMIF(VCU!$B$51:$B$193,$J2426,VCU!$E$51:$E$193)*Impacts!$F$17))</f>
        <v>0</v>
      </c>
      <c r="V2426" s="10">
        <f>IF(CAS!$C$7="",0,(SUMIF(CAS!$B$31:$B$167,$J2426,CAS!$E$31:$E$167)*Impacts!$F$18))</f>
        <v>0</v>
      </c>
      <c r="W2426" s="10">
        <f t="shared" si="78"/>
        <v>0</v>
      </c>
      <c r="AK2426" s="10" t="str">
        <f t="array" ref="AK2426">IFERROR(INDEX(SelectedSpecies,SMALL(IF(SelectedSpecies=AK$1,ROW(SelectedSpecies)),ROW(2427:2427)),2),"")</f>
        <v/>
      </c>
      <c r="BE2426" s="10"/>
      <c r="BI2426" s="10"/>
    </row>
    <row r="2427" spans="1:61" ht="21" customHeight="1" x14ac:dyDescent="0.25">
      <c r="A2427" s="10"/>
      <c r="B2427" s="10"/>
      <c r="E2427" s="10"/>
      <c r="G2427" s="10"/>
      <c r="I2427" s="436" t="s">
        <v>4769</v>
      </c>
      <c r="J2427" s="26" t="s">
        <v>4768</v>
      </c>
      <c r="K2427" s="10">
        <v>3.4000000000000004</v>
      </c>
      <c r="L2427" s="73">
        <f>IF(Tank1!$C$23="No control",(SUMIF(Tank1!$B$32:$B$49,$J2427,Tank1!$C$32:$C$49)*Impacts!$F$8),0)</f>
        <v>0</v>
      </c>
      <c r="M2427" s="10">
        <f>IF(Tank2!$C$23="No control",(SUMIF(Tank2!$B$32:$B$49,$J2427,Tank2!$C$32:$C$49)*Impacts!$F$9),0)</f>
        <v>0</v>
      </c>
      <c r="N2427" s="10">
        <f>IF(Tank3!$C$23="No control",(SUMIF(Tank3!$B$32:$B$49,$J2427,Tank3!$C$32:$C$49)*Impacts!$F$10),0)</f>
        <v>0</v>
      </c>
      <c r="O2427" s="10">
        <f>IF(Tank4!$C$23="No control",(SUMIF(Tank4!$B$32:$B$49,$J2427,Tank4!$C$32:$C$49)*Impacts!$F$11),0)</f>
        <v>0</v>
      </c>
      <c r="P2427" s="10">
        <f>IF(Tank5!$C$23="No control",(SUMIF(Tank5!$B$32:$B$49,$J2427,Tank5!$C$32:$C$49)*Impacts!$F$12),0)</f>
        <v>0</v>
      </c>
      <c r="Q2427" s="10">
        <f>IFERROR(IF(('Loading-drum,tote'!$C$21)="No control",SUMIF(('Loading-drum,tote'!$B$31:$B$48),$J2427,('Loading-drum,tote'!$D$31:$D$48))*Impacts!$F$13,IF(('Loading-drum,tote'!$C$21)&lt;&gt;"No control",SUMIF(('Loading-drum,tote'!$B$31:$B$48),$J2427,('Loading-drum,tote'!$E$31:$E$48))*Impacts!$F$13,0)),0)</f>
        <v>0</v>
      </c>
      <c r="R2427" s="10">
        <f>IFERROR(IF(('Loading-truck'!$C$21)="No control",SUMIF(('Loading-truck'!$B$31:$B$48),$J2427,('Loading-truck'!$D$31:$D$48))*Impacts!$F$14,IF(('Loading-truck'!$C$21)&lt;&gt;"No control",SUMIF(('Loading-truck'!$B$31:$B$48),$J2427,('Loading-truck'!$E$31:$E$48))*Impacts!$F$14,0)),0)</f>
        <v>0</v>
      </c>
      <c r="S2427" s="10">
        <f>IFERROR(IF(('Loading-rail'!$C$21)="No control",SUMIF(('Loading-rail'!$B$31:$B$48),$J2427,('Loading-rail'!$D$31:$D$48))*Impacts!$F$15,IF(('Loading-rail'!$C$21)&lt;&gt;"No control",SUMIF(('Loading-rail'!$B$31:$B$48),$J2427,('Loading-rail'!$E$31:$E$48))*Impacts!$F$15,0)),0)</f>
        <v>0</v>
      </c>
      <c r="T2427" s="10">
        <f>IF(Flare!$C$7="",0,(SUMIF(Flare!$B$46:$B$185,$J2427,Flare!$E$46:$E$185)*Impacts!$F$16))</f>
        <v>0</v>
      </c>
      <c r="U2427" s="10">
        <f>IF(VCU!$C$9="",0,(SUMIF(VCU!$B$51:$B$193,$J2427,VCU!$E$51:$E$193)*Impacts!$F$17))</f>
        <v>0</v>
      </c>
      <c r="V2427" s="10">
        <f>IF(CAS!$C$7="",0,(SUMIF(CAS!$B$31:$B$167,$J2427,CAS!$E$31:$E$167)*Impacts!$F$18))</f>
        <v>0</v>
      </c>
      <c r="W2427" s="10">
        <f t="shared" si="78"/>
        <v>0</v>
      </c>
      <c r="AK2427" s="10" t="str">
        <f t="array" ref="AK2427">IFERROR(INDEX(SelectedSpecies,SMALL(IF(SelectedSpecies=AK$1,ROW(SelectedSpecies)),ROW(2428:2428)),2),"")</f>
        <v/>
      </c>
      <c r="BE2427" s="10"/>
      <c r="BI2427" s="10"/>
    </row>
    <row r="2428" spans="1:61" ht="21" customHeight="1" x14ac:dyDescent="0.25">
      <c r="A2428" s="10"/>
      <c r="B2428" s="10"/>
      <c r="E2428" s="10"/>
      <c r="G2428" s="10"/>
      <c r="I2428" s="436" t="s">
        <v>2019</v>
      </c>
      <c r="J2428" s="26" t="s">
        <v>2018</v>
      </c>
      <c r="K2428" s="10">
        <v>17</v>
      </c>
      <c r="L2428" s="73">
        <f>IF(Tank1!$C$23="No control",(SUMIF(Tank1!$B$32:$B$49,$J2428,Tank1!$C$32:$C$49)*Impacts!$F$8),0)</f>
        <v>0</v>
      </c>
      <c r="M2428" s="10">
        <f>IF(Tank2!$C$23="No control",(SUMIF(Tank2!$B$32:$B$49,$J2428,Tank2!$C$32:$C$49)*Impacts!$F$9),0)</f>
        <v>0</v>
      </c>
      <c r="N2428" s="10">
        <f>IF(Tank3!$C$23="No control",(SUMIF(Tank3!$B$32:$B$49,$J2428,Tank3!$C$32:$C$49)*Impacts!$F$10),0)</f>
        <v>0</v>
      </c>
      <c r="O2428" s="10">
        <f>IF(Tank4!$C$23="No control",(SUMIF(Tank4!$B$32:$B$49,$J2428,Tank4!$C$32:$C$49)*Impacts!$F$11),0)</f>
        <v>0</v>
      </c>
      <c r="P2428" s="10">
        <f>IF(Tank5!$C$23="No control",(SUMIF(Tank5!$B$32:$B$49,$J2428,Tank5!$C$32:$C$49)*Impacts!$F$12),0)</f>
        <v>0</v>
      </c>
      <c r="Q2428" s="10">
        <f>IFERROR(IF(('Loading-drum,tote'!$C$21)="No control",SUMIF(('Loading-drum,tote'!$B$31:$B$48),$J2428,('Loading-drum,tote'!$D$31:$D$48))*Impacts!$F$13,IF(('Loading-drum,tote'!$C$21)&lt;&gt;"No control",SUMIF(('Loading-drum,tote'!$B$31:$B$48),$J2428,('Loading-drum,tote'!$E$31:$E$48))*Impacts!$F$13,0)),0)</f>
        <v>0</v>
      </c>
      <c r="R2428" s="10">
        <f>IFERROR(IF(('Loading-truck'!$C$21)="No control",SUMIF(('Loading-truck'!$B$31:$B$48),$J2428,('Loading-truck'!$D$31:$D$48))*Impacts!$F$14,IF(('Loading-truck'!$C$21)&lt;&gt;"No control",SUMIF(('Loading-truck'!$B$31:$B$48),$J2428,('Loading-truck'!$E$31:$E$48))*Impacts!$F$14,0)),0)</f>
        <v>0</v>
      </c>
      <c r="S2428" s="10">
        <f>IFERROR(IF(('Loading-rail'!$C$21)="No control",SUMIF(('Loading-rail'!$B$31:$B$48),$J2428,('Loading-rail'!$D$31:$D$48))*Impacts!$F$15,IF(('Loading-rail'!$C$21)&lt;&gt;"No control",SUMIF(('Loading-rail'!$B$31:$B$48),$J2428,('Loading-rail'!$E$31:$E$48))*Impacts!$F$15,0)),0)</f>
        <v>0</v>
      </c>
      <c r="T2428" s="10">
        <f>IF(Flare!$C$7="",0,(SUMIF(Flare!$B$46:$B$185,$J2428,Flare!$E$46:$E$185)*Impacts!$F$16))</f>
        <v>0</v>
      </c>
      <c r="U2428" s="10">
        <f>IF(VCU!$C$9="",0,(SUMIF(VCU!$B$51:$B$193,$J2428,VCU!$E$51:$E$193)*Impacts!$F$17))</f>
        <v>0</v>
      </c>
      <c r="V2428" s="10">
        <f>IF(CAS!$C$7="",0,(SUMIF(CAS!$B$31:$B$167,$J2428,CAS!$E$31:$E$167)*Impacts!$F$18))</f>
        <v>0</v>
      </c>
      <c r="W2428" s="10">
        <f t="shared" si="78"/>
        <v>0</v>
      </c>
      <c r="AK2428" s="10" t="str">
        <f t="array" ref="AK2428">IFERROR(INDEX(SelectedSpecies,SMALL(IF(SelectedSpecies=AK$1,ROW(SelectedSpecies)),ROW(2429:2429)),2),"")</f>
        <v/>
      </c>
      <c r="BE2428" s="10"/>
      <c r="BI2428" s="10"/>
    </row>
    <row r="2429" spans="1:61" ht="21" customHeight="1" x14ac:dyDescent="0.25">
      <c r="A2429" s="10"/>
      <c r="B2429" s="10"/>
      <c r="E2429" s="10"/>
      <c r="G2429" s="10"/>
      <c r="I2429" s="436" t="s">
        <v>4771</v>
      </c>
      <c r="J2429" s="26" t="s">
        <v>4770</v>
      </c>
      <c r="K2429" s="10">
        <v>3.4000000000000004</v>
      </c>
      <c r="L2429" s="73">
        <f>IF(Tank1!$C$23="No control",(SUMIF(Tank1!$B$32:$B$49,$J2429,Tank1!$C$32:$C$49)*Impacts!$F$8),0)</f>
        <v>0</v>
      </c>
      <c r="M2429" s="10">
        <f>IF(Tank2!$C$23="No control",(SUMIF(Tank2!$B$32:$B$49,$J2429,Tank2!$C$32:$C$49)*Impacts!$F$9),0)</f>
        <v>0</v>
      </c>
      <c r="N2429" s="10">
        <f>IF(Tank3!$C$23="No control",(SUMIF(Tank3!$B$32:$B$49,$J2429,Tank3!$C$32:$C$49)*Impacts!$F$10),0)</f>
        <v>0</v>
      </c>
      <c r="O2429" s="10">
        <f>IF(Tank4!$C$23="No control",(SUMIF(Tank4!$B$32:$B$49,$J2429,Tank4!$C$32:$C$49)*Impacts!$F$11),0)</f>
        <v>0</v>
      </c>
      <c r="P2429" s="10">
        <f>IF(Tank5!$C$23="No control",(SUMIF(Tank5!$B$32:$B$49,$J2429,Tank5!$C$32:$C$49)*Impacts!$F$12),0)</f>
        <v>0</v>
      </c>
      <c r="Q2429" s="10">
        <f>IFERROR(IF(('Loading-drum,tote'!$C$21)="No control",SUMIF(('Loading-drum,tote'!$B$31:$B$48),$J2429,('Loading-drum,tote'!$D$31:$D$48))*Impacts!$F$13,IF(('Loading-drum,tote'!$C$21)&lt;&gt;"No control",SUMIF(('Loading-drum,tote'!$B$31:$B$48),$J2429,('Loading-drum,tote'!$E$31:$E$48))*Impacts!$F$13,0)),0)</f>
        <v>0</v>
      </c>
      <c r="R2429" s="10">
        <f>IFERROR(IF(('Loading-truck'!$C$21)="No control",SUMIF(('Loading-truck'!$B$31:$B$48),$J2429,('Loading-truck'!$D$31:$D$48))*Impacts!$F$14,IF(('Loading-truck'!$C$21)&lt;&gt;"No control",SUMIF(('Loading-truck'!$B$31:$B$48),$J2429,('Loading-truck'!$E$31:$E$48))*Impacts!$F$14,0)),0)</f>
        <v>0</v>
      </c>
      <c r="S2429" s="10">
        <f>IFERROR(IF(('Loading-rail'!$C$21)="No control",SUMIF(('Loading-rail'!$B$31:$B$48),$J2429,('Loading-rail'!$D$31:$D$48))*Impacts!$F$15,IF(('Loading-rail'!$C$21)&lt;&gt;"No control",SUMIF(('Loading-rail'!$B$31:$B$48),$J2429,('Loading-rail'!$E$31:$E$48))*Impacts!$F$15,0)),0)</f>
        <v>0</v>
      </c>
      <c r="T2429" s="10">
        <f>IF(Flare!$C$7="",0,(SUMIF(Flare!$B$46:$B$185,$J2429,Flare!$E$46:$E$185)*Impacts!$F$16))</f>
        <v>0</v>
      </c>
      <c r="U2429" s="10">
        <f>IF(VCU!$C$9="",0,(SUMIF(VCU!$B$51:$B$193,$J2429,VCU!$E$51:$E$193)*Impacts!$F$17))</f>
        <v>0</v>
      </c>
      <c r="V2429" s="10">
        <f>IF(CAS!$C$7="",0,(SUMIF(CAS!$B$31:$B$167,$J2429,CAS!$E$31:$E$167)*Impacts!$F$18))</f>
        <v>0</v>
      </c>
      <c r="W2429" s="10">
        <f t="shared" si="78"/>
        <v>0</v>
      </c>
      <c r="AK2429" s="10" t="str">
        <f t="array" ref="AK2429">IFERROR(INDEX(SelectedSpecies,SMALL(IF(SelectedSpecies=AK$1,ROW(SelectedSpecies)),ROW(2430:2430)),2),"")</f>
        <v/>
      </c>
      <c r="BE2429" s="10"/>
      <c r="BI2429" s="10"/>
    </row>
    <row r="2430" spans="1:61" ht="21" customHeight="1" x14ac:dyDescent="0.25">
      <c r="A2430" s="10"/>
      <c r="B2430" s="10"/>
      <c r="E2430" s="10"/>
      <c r="G2430" s="10"/>
      <c r="I2430" s="436" t="s">
        <v>3679</v>
      </c>
      <c r="J2430" s="26" t="s">
        <v>3678</v>
      </c>
      <c r="K2430" s="10">
        <v>7</v>
      </c>
      <c r="L2430" s="73">
        <f>IF(Tank1!$C$23="No control",(SUMIF(Tank1!$B$32:$B$49,$J2430,Tank1!$C$32:$C$49)*Impacts!$F$8),0)</f>
        <v>0</v>
      </c>
      <c r="M2430" s="10">
        <f>IF(Tank2!$C$23="No control",(SUMIF(Tank2!$B$32:$B$49,$J2430,Tank2!$C$32:$C$49)*Impacts!$F$9),0)</f>
        <v>0</v>
      </c>
      <c r="N2430" s="10">
        <f>IF(Tank3!$C$23="No control",(SUMIF(Tank3!$B$32:$B$49,$J2430,Tank3!$C$32:$C$49)*Impacts!$F$10),0)</f>
        <v>0</v>
      </c>
      <c r="O2430" s="10">
        <f>IF(Tank4!$C$23="No control",(SUMIF(Tank4!$B$32:$B$49,$J2430,Tank4!$C$32:$C$49)*Impacts!$F$11),0)</f>
        <v>0</v>
      </c>
      <c r="P2430" s="10">
        <f>IF(Tank5!$C$23="No control",(SUMIF(Tank5!$B$32:$B$49,$J2430,Tank5!$C$32:$C$49)*Impacts!$F$12),0)</f>
        <v>0</v>
      </c>
      <c r="Q2430" s="10">
        <f>IFERROR(IF(('Loading-drum,tote'!$C$21)="No control",SUMIF(('Loading-drum,tote'!$B$31:$B$48),$J2430,('Loading-drum,tote'!$D$31:$D$48))*Impacts!$F$13,IF(('Loading-drum,tote'!$C$21)&lt;&gt;"No control",SUMIF(('Loading-drum,tote'!$B$31:$B$48),$J2430,('Loading-drum,tote'!$E$31:$E$48))*Impacts!$F$13,0)),0)</f>
        <v>0</v>
      </c>
      <c r="R2430" s="10">
        <f>IFERROR(IF(('Loading-truck'!$C$21)="No control",SUMIF(('Loading-truck'!$B$31:$B$48),$J2430,('Loading-truck'!$D$31:$D$48))*Impacts!$F$14,IF(('Loading-truck'!$C$21)&lt;&gt;"No control",SUMIF(('Loading-truck'!$B$31:$B$48),$J2430,('Loading-truck'!$E$31:$E$48))*Impacts!$F$14,0)),0)</f>
        <v>0</v>
      </c>
      <c r="S2430" s="10">
        <f>IFERROR(IF(('Loading-rail'!$C$21)="No control",SUMIF(('Loading-rail'!$B$31:$B$48),$J2430,('Loading-rail'!$D$31:$D$48))*Impacts!$F$15,IF(('Loading-rail'!$C$21)&lt;&gt;"No control",SUMIF(('Loading-rail'!$B$31:$B$48),$J2430,('Loading-rail'!$E$31:$E$48))*Impacts!$F$15,0)),0)</f>
        <v>0</v>
      </c>
      <c r="T2430" s="10">
        <f>IF(Flare!$C$7="",0,(SUMIF(Flare!$B$46:$B$185,$J2430,Flare!$E$46:$E$185)*Impacts!$F$16))</f>
        <v>0</v>
      </c>
      <c r="U2430" s="10">
        <f>IF(VCU!$C$9="",0,(SUMIF(VCU!$B$51:$B$193,$J2430,VCU!$E$51:$E$193)*Impacts!$F$17))</f>
        <v>0</v>
      </c>
      <c r="V2430" s="10">
        <f>IF(CAS!$C$7="",0,(SUMIF(CAS!$B$31:$B$167,$J2430,CAS!$E$31:$E$167)*Impacts!$F$18))</f>
        <v>0</v>
      </c>
      <c r="W2430" s="10">
        <f t="shared" si="78"/>
        <v>0</v>
      </c>
      <c r="AK2430" s="10" t="str">
        <f t="array" ref="AK2430">IFERROR(INDEX(SelectedSpecies,SMALL(IF(SelectedSpecies=AK$1,ROW(SelectedSpecies)),ROW(2431:2431)),2),"")</f>
        <v/>
      </c>
      <c r="BE2430" s="10"/>
      <c r="BI2430" s="10"/>
    </row>
    <row r="2431" spans="1:61" ht="21" customHeight="1" x14ac:dyDescent="0.25">
      <c r="A2431" s="10"/>
      <c r="B2431" s="10"/>
      <c r="E2431" s="10"/>
      <c r="G2431" s="10"/>
      <c r="I2431" s="436" t="s">
        <v>475</v>
      </c>
      <c r="J2431" s="26" t="s">
        <v>474</v>
      </c>
      <c r="K2431" s="10">
        <v>50</v>
      </c>
      <c r="L2431" s="73">
        <f>IF(Tank1!$C$23="No control",(SUMIF(Tank1!$B$32:$B$49,$J2431,Tank1!$C$32:$C$49)*Impacts!$F$8),0)</f>
        <v>0</v>
      </c>
      <c r="M2431" s="10">
        <f>IF(Tank2!$C$23="No control",(SUMIF(Tank2!$B$32:$B$49,$J2431,Tank2!$C$32:$C$49)*Impacts!$F$9),0)</f>
        <v>0</v>
      </c>
      <c r="N2431" s="10">
        <f>IF(Tank3!$C$23="No control",(SUMIF(Tank3!$B$32:$B$49,$J2431,Tank3!$C$32:$C$49)*Impacts!$F$10),0)</f>
        <v>0</v>
      </c>
      <c r="O2431" s="10">
        <f>IF(Tank4!$C$23="No control",(SUMIF(Tank4!$B$32:$B$49,$J2431,Tank4!$C$32:$C$49)*Impacts!$F$11),0)</f>
        <v>0</v>
      </c>
      <c r="P2431" s="10">
        <f>IF(Tank5!$C$23="No control",(SUMIF(Tank5!$B$32:$B$49,$J2431,Tank5!$C$32:$C$49)*Impacts!$F$12),0)</f>
        <v>0</v>
      </c>
      <c r="Q2431" s="10">
        <f>IFERROR(IF(('Loading-drum,tote'!$C$21)="No control",SUMIF(('Loading-drum,tote'!$B$31:$B$48),$J2431,('Loading-drum,tote'!$D$31:$D$48))*Impacts!$F$13,IF(('Loading-drum,tote'!$C$21)&lt;&gt;"No control",SUMIF(('Loading-drum,tote'!$B$31:$B$48),$J2431,('Loading-drum,tote'!$E$31:$E$48))*Impacts!$F$13,0)),0)</f>
        <v>0</v>
      </c>
      <c r="R2431" s="10">
        <f>IFERROR(IF(('Loading-truck'!$C$21)="No control",SUMIF(('Loading-truck'!$B$31:$B$48),$J2431,('Loading-truck'!$D$31:$D$48))*Impacts!$F$14,IF(('Loading-truck'!$C$21)&lt;&gt;"No control",SUMIF(('Loading-truck'!$B$31:$B$48),$J2431,('Loading-truck'!$E$31:$E$48))*Impacts!$F$14,0)),0)</f>
        <v>0</v>
      </c>
      <c r="S2431" s="10">
        <f>IFERROR(IF(('Loading-rail'!$C$21)="No control",SUMIF(('Loading-rail'!$B$31:$B$48),$J2431,('Loading-rail'!$D$31:$D$48))*Impacts!$F$15,IF(('Loading-rail'!$C$21)&lt;&gt;"No control",SUMIF(('Loading-rail'!$B$31:$B$48),$J2431,('Loading-rail'!$E$31:$E$48))*Impacts!$F$15,0)),0)</f>
        <v>0</v>
      </c>
      <c r="T2431" s="10">
        <f>IF(Flare!$C$7="",0,(SUMIF(Flare!$B$46:$B$185,$J2431,Flare!$E$46:$E$185)*Impacts!$F$16))</f>
        <v>0</v>
      </c>
      <c r="U2431" s="10">
        <f>IF(VCU!$C$9="",0,(SUMIF(VCU!$B$51:$B$193,$J2431,VCU!$E$51:$E$193)*Impacts!$F$17))</f>
        <v>0</v>
      </c>
      <c r="V2431" s="10">
        <f>IF(CAS!$C$7="",0,(SUMIF(CAS!$B$31:$B$167,$J2431,CAS!$E$31:$E$167)*Impacts!$F$18))</f>
        <v>0</v>
      </c>
      <c r="W2431" s="10">
        <f t="shared" si="78"/>
        <v>0</v>
      </c>
      <c r="AK2431" s="10" t="str">
        <f t="array" ref="AK2431">IFERROR(INDEX(SelectedSpecies,SMALL(IF(SelectedSpecies=AK$1,ROW(SelectedSpecies)),ROW(2432:2432)),2),"")</f>
        <v/>
      </c>
      <c r="BE2431" s="10"/>
      <c r="BI2431" s="10"/>
    </row>
    <row r="2432" spans="1:61" ht="21" customHeight="1" x14ac:dyDescent="0.25">
      <c r="A2432" s="10"/>
      <c r="B2432" s="10"/>
      <c r="E2432" s="10"/>
      <c r="G2432" s="10"/>
      <c r="I2432" s="436" t="s">
        <v>1462</v>
      </c>
      <c r="J2432" s="26" t="s">
        <v>1461</v>
      </c>
      <c r="K2432" s="10">
        <v>30</v>
      </c>
      <c r="L2432" s="73">
        <f>IF(Tank1!$C$23="No control",(SUMIF(Tank1!$B$32:$B$49,$J2432,Tank1!$C$32:$C$49)*Impacts!$F$8),0)</f>
        <v>0</v>
      </c>
      <c r="M2432" s="10">
        <f>IF(Tank2!$C$23="No control",(SUMIF(Tank2!$B$32:$B$49,$J2432,Tank2!$C$32:$C$49)*Impacts!$F$9),0)</f>
        <v>0</v>
      </c>
      <c r="N2432" s="10">
        <f>IF(Tank3!$C$23="No control",(SUMIF(Tank3!$B$32:$B$49,$J2432,Tank3!$C$32:$C$49)*Impacts!$F$10),0)</f>
        <v>0</v>
      </c>
      <c r="O2432" s="10">
        <f>IF(Tank4!$C$23="No control",(SUMIF(Tank4!$B$32:$B$49,$J2432,Tank4!$C$32:$C$49)*Impacts!$F$11),0)</f>
        <v>0</v>
      </c>
      <c r="P2432" s="10">
        <f>IF(Tank5!$C$23="No control",(SUMIF(Tank5!$B$32:$B$49,$J2432,Tank5!$C$32:$C$49)*Impacts!$F$12),0)</f>
        <v>0</v>
      </c>
      <c r="Q2432" s="10">
        <f>IFERROR(IF(('Loading-drum,tote'!$C$21)="No control",SUMIF(('Loading-drum,tote'!$B$31:$B$48),$J2432,('Loading-drum,tote'!$D$31:$D$48))*Impacts!$F$13,IF(('Loading-drum,tote'!$C$21)&lt;&gt;"No control",SUMIF(('Loading-drum,tote'!$B$31:$B$48),$J2432,('Loading-drum,tote'!$E$31:$E$48))*Impacts!$F$13,0)),0)</f>
        <v>0</v>
      </c>
      <c r="R2432" s="10">
        <f>IFERROR(IF(('Loading-truck'!$C$21)="No control",SUMIF(('Loading-truck'!$B$31:$B$48),$J2432,('Loading-truck'!$D$31:$D$48))*Impacts!$F$14,IF(('Loading-truck'!$C$21)&lt;&gt;"No control",SUMIF(('Loading-truck'!$B$31:$B$48),$J2432,('Loading-truck'!$E$31:$E$48))*Impacts!$F$14,0)),0)</f>
        <v>0</v>
      </c>
      <c r="S2432" s="10">
        <f>IFERROR(IF(('Loading-rail'!$C$21)="No control",SUMIF(('Loading-rail'!$B$31:$B$48),$J2432,('Loading-rail'!$D$31:$D$48))*Impacts!$F$15,IF(('Loading-rail'!$C$21)&lt;&gt;"No control",SUMIF(('Loading-rail'!$B$31:$B$48),$J2432,('Loading-rail'!$E$31:$E$48))*Impacts!$F$15,0)),0)</f>
        <v>0</v>
      </c>
      <c r="T2432" s="10">
        <f>IF(Flare!$C$7="",0,(SUMIF(Flare!$B$46:$B$185,$J2432,Flare!$E$46:$E$185)*Impacts!$F$16))</f>
        <v>0</v>
      </c>
      <c r="U2432" s="10">
        <f>IF(VCU!$C$9="",0,(SUMIF(VCU!$B$51:$B$193,$J2432,VCU!$E$51:$E$193)*Impacts!$F$17))</f>
        <v>0</v>
      </c>
      <c r="V2432" s="10">
        <f>IF(CAS!$C$7="",0,(SUMIF(CAS!$B$31:$B$167,$J2432,CAS!$E$31:$E$167)*Impacts!$F$18))</f>
        <v>0</v>
      </c>
      <c r="W2432" s="10">
        <f t="shared" si="78"/>
        <v>0</v>
      </c>
      <c r="AK2432" s="10" t="str">
        <f t="array" ref="AK2432">IFERROR(INDEX(SelectedSpecies,SMALL(IF(SelectedSpecies=AK$1,ROW(SelectedSpecies)),ROW(2433:2433)),2),"")</f>
        <v/>
      </c>
      <c r="BE2432" s="10"/>
      <c r="BI2432" s="10"/>
    </row>
    <row r="2433" spans="1:61" ht="21" customHeight="1" x14ac:dyDescent="0.25">
      <c r="A2433" s="10"/>
      <c r="B2433" s="10"/>
      <c r="E2433" s="10"/>
      <c r="G2433" s="10"/>
      <c r="I2433" s="436" t="s">
        <v>5449</v>
      </c>
      <c r="J2433" s="26" t="s">
        <v>5448</v>
      </c>
      <c r="K2433" s="10">
        <v>1.4000000000000001</v>
      </c>
      <c r="L2433" s="73">
        <f>IF(Tank1!$C$23="No control",(SUMIF(Tank1!$B$32:$B$49,$J2433,Tank1!$C$32:$C$49)*Impacts!$F$8),0)</f>
        <v>0</v>
      </c>
      <c r="M2433" s="10">
        <f>IF(Tank2!$C$23="No control",(SUMIF(Tank2!$B$32:$B$49,$J2433,Tank2!$C$32:$C$49)*Impacts!$F$9),0)</f>
        <v>0</v>
      </c>
      <c r="N2433" s="10">
        <f>IF(Tank3!$C$23="No control",(SUMIF(Tank3!$B$32:$B$49,$J2433,Tank3!$C$32:$C$49)*Impacts!$F$10),0)</f>
        <v>0</v>
      </c>
      <c r="O2433" s="10">
        <f>IF(Tank4!$C$23="No control",(SUMIF(Tank4!$B$32:$B$49,$J2433,Tank4!$C$32:$C$49)*Impacts!$F$11),0)</f>
        <v>0</v>
      </c>
      <c r="P2433" s="10">
        <f>IF(Tank5!$C$23="No control",(SUMIF(Tank5!$B$32:$B$49,$J2433,Tank5!$C$32:$C$49)*Impacts!$F$12),0)</f>
        <v>0</v>
      </c>
      <c r="Q2433" s="10">
        <f>IFERROR(IF(('Loading-drum,tote'!$C$21)="No control",SUMIF(('Loading-drum,tote'!$B$31:$B$48),$J2433,('Loading-drum,tote'!$D$31:$D$48))*Impacts!$F$13,IF(('Loading-drum,tote'!$C$21)&lt;&gt;"No control",SUMIF(('Loading-drum,tote'!$B$31:$B$48),$J2433,('Loading-drum,tote'!$E$31:$E$48))*Impacts!$F$13,0)),0)</f>
        <v>0</v>
      </c>
      <c r="R2433" s="10">
        <f>IFERROR(IF(('Loading-truck'!$C$21)="No control",SUMIF(('Loading-truck'!$B$31:$B$48),$J2433,('Loading-truck'!$D$31:$D$48))*Impacts!$F$14,IF(('Loading-truck'!$C$21)&lt;&gt;"No control",SUMIF(('Loading-truck'!$B$31:$B$48),$J2433,('Loading-truck'!$E$31:$E$48))*Impacts!$F$14,0)),0)</f>
        <v>0</v>
      </c>
      <c r="S2433" s="10">
        <f>IFERROR(IF(('Loading-rail'!$C$21)="No control",SUMIF(('Loading-rail'!$B$31:$B$48),$J2433,('Loading-rail'!$D$31:$D$48))*Impacts!$F$15,IF(('Loading-rail'!$C$21)&lt;&gt;"No control",SUMIF(('Loading-rail'!$B$31:$B$48),$J2433,('Loading-rail'!$E$31:$E$48))*Impacts!$F$15,0)),0)</f>
        <v>0</v>
      </c>
      <c r="T2433" s="10">
        <f>IF(Flare!$C$7="",0,(SUMIF(Flare!$B$46:$B$185,$J2433,Flare!$E$46:$E$185)*Impacts!$F$16))</f>
        <v>0</v>
      </c>
      <c r="U2433" s="10">
        <f>IF(VCU!$C$9="",0,(SUMIF(VCU!$B$51:$B$193,$J2433,VCU!$E$51:$E$193)*Impacts!$F$17))</f>
        <v>0</v>
      </c>
      <c r="V2433" s="10">
        <f>IF(CAS!$C$7="",0,(SUMIF(CAS!$B$31:$B$167,$J2433,CAS!$E$31:$E$167)*Impacts!$F$18))</f>
        <v>0</v>
      </c>
      <c r="W2433" s="10">
        <f t="shared" si="78"/>
        <v>0</v>
      </c>
      <c r="AK2433" s="10" t="str">
        <f t="array" ref="AK2433">IFERROR(INDEX(SelectedSpecies,SMALL(IF(SelectedSpecies=AK$1,ROW(SelectedSpecies)),ROW(2434:2434)),2),"")</f>
        <v/>
      </c>
      <c r="BE2433" s="10"/>
      <c r="BI2433" s="10"/>
    </row>
    <row r="2434" spans="1:61" ht="21" customHeight="1" x14ac:dyDescent="0.25">
      <c r="A2434" s="10"/>
      <c r="B2434" s="10"/>
      <c r="E2434" s="10"/>
      <c r="G2434" s="10"/>
      <c r="I2434" s="436" t="s">
        <v>6542</v>
      </c>
      <c r="J2434" s="26" t="s">
        <v>6541</v>
      </c>
      <c r="K2434" s="10">
        <v>0.70000000000000007</v>
      </c>
      <c r="L2434" s="73">
        <f>IF(Tank1!$C$23="No control",(SUMIF(Tank1!$B$32:$B$49,$J2434,Tank1!$C$32:$C$49)*Impacts!$F$8),0)</f>
        <v>0</v>
      </c>
      <c r="M2434" s="10">
        <f>IF(Tank2!$C$23="No control",(SUMIF(Tank2!$B$32:$B$49,$J2434,Tank2!$C$32:$C$49)*Impacts!$F$9),0)</f>
        <v>0</v>
      </c>
      <c r="N2434" s="10">
        <f>IF(Tank3!$C$23="No control",(SUMIF(Tank3!$B$32:$B$49,$J2434,Tank3!$C$32:$C$49)*Impacts!$F$10),0)</f>
        <v>0</v>
      </c>
      <c r="O2434" s="10">
        <f>IF(Tank4!$C$23="No control",(SUMIF(Tank4!$B$32:$B$49,$J2434,Tank4!$C$32:$C$49)*Impacts!$F$11),0)</f>
        <v>0</v>
      </c>
      <c r="P2434" s="10">
        <f>IF(Tank5!$C$23="No control",(SUMIF(Tank5!$B$32:$B$49,$J2434,Tank5!$C$32:$C$49)*Impacts!$F$12),0)</f>
        <v>0</v>
      </c>
      <c r="Q2434" s="10">
        <f>IFERROR(IF(('Loading-drum,tote'!$C$21)="No control",SUMIF(('Loading-drum,tote'!$B$31:$B$48),$J2434,('Loading-drum,tote'!$D$31:$D$48))*Impacts!$F$13,IF(('Loading-drum,tote'!$C$21)&lt;&gt;"No control",SUMIF(('Loading-drum,tote'!$B$31:$B$48),$J2434,('Loading-drum,tote'!$E$31:$E$48))*Impacts!$F$13,0)),0)</f>
        <v>0</v>
      </c>
      <c r="R2434" s="10">
        <f>IFERROR(IF(('Loading-truck'!$C$21)="No control",SUMIF(('Loading-truck'!$B$31:$B$48),$J2434,('Loading-truck'!$D$31:$D$48))*Impacts!$F$14,IF(('Loading-truck'!$C$21)&lt;&gt;"No control",SUMIF(('Loading-truck'!$B$31:$B$48),$J2434,('Loading-truck'!$E$31:$E$48))*Impacts!$F$14,0)),0)</f>
        <v>0</v>
      </c>
      <c r="S2434" s="10">
        <f>IFERROR(IF(('Loading-rail'!$C$21)="No control",SUMIF(('Loading-rail'!$B$31:$B$48),$J2434,('Loading-rail'!$D$31:$D$48))*Impacts!$F$15,IF(('Loading-rail'!$C$21)&lt;&gt;"No control",SUMIF(('Loading-rail'!$B$31:$B$48),$J2434,('Loading-rail'!$E$31:$E$48))*Impacts!$F$15,0)),0)</f>
        <v>0</v>
      </c>
      <c r="T2434" s="10">
        <f>IF(Flare!$C$7="",0,(SUMIF(Flare!$B$46:$B$185,$J2434,Flare!$E$46:$E$185)*Impacts!$F$16))</f>
        <v>0</v>
      </c>
      <c r="U2434" s="10">
        <f>IF(VCU!$C$9="",0,(SUMIF(VCU!$B$51:$B$193,$J2434,VCU!$E$51:$E$193)*Impacts!$F$17))</f>
        <v>0</v>
      </c>
      <c r="V2434" s="10">
        <f>IF(CAS!$C$7="",0,(SUMIF(CAS!$B$31:$B$167,$J2434,CAS!$E$31:$E$167)*Impacts!$F$18))</f>
        <v>0</v>
      </c>
      <c r="W2434" s="10">
        <f t="shared" si="78"/>
        <v>0</v>
      </c>
      <c r="AK2434" s="10" t="str">
        <f t="array" ref="AK2434">IFERROR(INDEX(SelectedSpecies,SMALL(IF(SelectedSpecies=AK$1,ROW(SelectedSpecies)),ROW(2435:2435)),2),"")</f>
        <v/>
      </c>
      <c r="BE2434" s="10"/>
      <c r="BI2434" s="10"/>
    </row>
    <row r="2435" spans="1:61" ht="21" customHeight="1" x14ac:dyDescent="0.25">
      <c r="A2435" s="10"/>
      <c r="B2435" s="10"/>
      <c r="E2435" s="10"/>
      <c r="G2435" s="10"/>
      <c r="I2435" s="436" t="s">
        <v>5982</v>
      </c>
      <c r="J2435" s="26" t="s">
        <v>5981</v>
      </c>
      <c r="K2435" s="10">
        <v>35</v>
      </c>
      <c r="L2435" s="73">
        <f>IF(Tank1!$C$23="No control",(SUMIF(Tank1!$B$32:$B$49,$J2435,Tank1!$C$32:$C$49)*Impacts!$F$8),0)</f>
        <v>0</v>
      </c>
      <c r="M2435" s="10">
        <f>IF(Tank2!$C$23="No control",(SUMIF(Tank2!$B$32:$B$49,$J2435,Tank2!$C$32:$C$49)*Impacts!$F$9),0)</f>
        <v>0</v>
      </c>
      <c r="N2435" s="10">
        <f>IF(Tank3!$C$23="No control",(SUMIF(Tank3!$B$32:$B$49,$J2435,Tank3!$C$32:$C$49)*Impacts!$F$10),0)</f>
        <v>0</v>
      </c>
      <c r="O2435" s="10">
        <f>IF(Tank4!$C$23="No control",(SUMIF(Tank4!$B$32:$B$49,$J2435,Tank4!$C$32:$C$49)*Impacts!$F$11),0)</f>
        <v>0</v>
      </c>
      <c r="P2435" s="10">
        <f>IF(Tank5!$C$23="No control",(SUMIF(Tank5!$B$32:$B$49,$J2435,Tank5!$C$32:$C$49)*Impacts!$F$12),0)</f>
        <v>0</v>
      </c>
      <c r="Q2435" s="10">
        <f>IFERROR(IF(('Loading-drum,tote'!$C$21)="No control",SUMIF(('Loading-drum,tote'!$B$31:$B$48),$J2435,('Loading-drum,tote'!$D$31:$D$48))*Impacts!$F$13,IF(('Loading-drum,tote'!$C$21)&lt;&gt;"No control",SUMIF(('Loading-drum,tote'!$B$31:$B$48),$J2435,('Loading-drum,tote'!$E$31:$E$48))*Impacts!$F$13,0)),0)</f>
        <v>0</v>
      </c>
      <c r="R2435" s="10">
        <f>IFERROR(IF(('Loading-truck'!$C$21)="No control",SUMIF(('Loading-truck'!$B$31:$B$48),$J2435,('Loading-truck'!$D$31:$D$48))*Impacts!$F$14,IF(('Loading-truck'!$C$21)&lt;&gt;"No control",SUMIF(('Loading-truck'!$B$31:$B$48),$J2435,('Loading-truck'!$E$31:$E$48))*Impacts!$F$14,0)),0)</f>
        <v>0</v>
      </c>
      <c r="S2435" s="10">
        <f>IFERROR(IF(('Loading-rail'!$C$21)="No control",SUMIF(('Loading-rail'!$B$31:$B$48),$J2435,('Loading-rail'!$D$31:$D$48))*Impacts!$F$15,IF(('Loading-rail'!$C$21)&lt;&gt;"No control",SUMIF(('Loading-rail'!$B$31:$B$48),$J2435,('Loading-rail'!$E$31:$E$48))*Impacts!$F$15,0)),0)</f>
        <v>0</v>
      </c>
      <c r="T2435" s="10">
        <f>IF(Flare!$C$7="",0,(SUMIF(Flare!$B$46:$B$185,$J2435,Flare!$E$46:$E$185)*Impacts!$F$16))</f>
        <v>0</v>
      </c>
      <c r="U2435" s="10">
        <f>IF(VCU!$C$9="",0,(SUMIF(VCU!$B$51:$B$193,$J2435,VCU!$E$51:$E$193)*Impacts!$F$17))</f>
        <v>0</v>
      </c>
      <c r="V2435" s="10">
        <f>IF(CAS!$C$7="",0,(SUMIF(CAS!$B$31:$B$167,$J2435,CAS!$E$31:$E$167)*Impacts!$F$18))</f>
        <v>0</v>
      </c>
      <c r="W2435" s="10">
        <f t="shared" si="78"/>
        <v>0</v>
      </c>
      <c r="AK2435" s="10" t="str">
        <f t="array" ref="AK2435">IFERROR(INDEX(SelectedSpecies,SMALL(IF(SelectedSpecies=AK$1,ROW(SelectedSpecies)),ROW(2436:2436)),2),"")</f>
        <v/>
      </c>
      <c r="BE2435" s="10"/>
      <c r="BI2435" s="10"/>
    </row>
    <row r="2436" spans="1:61" ht="21" customHeight="1" x14ac:dyDescent="0.25">
      <c r="A2436" s="10"/>
      <c r="B2436" s="10"/>
      <c r="E2436" s="10"/>
      <c r="G2436" s="10"/>
      <c r="I2436" s="436" t="s">
        <v>381</v>
      </c>
      <c r="J2436" s="26" t="s">
        <v>380</v>
      </c>
      <c r="K2436" s="10">
        <v>300</v>
      </c>
      <c r="L2436" s="73">
        <f>IF(Tank1!$C$23="No control",(SUMIF(Tank1!$B$32:$B$49,$J2436,Tank1!$C$32:$C$49)*Impacts!$F$8),0)</f>
        <v>0</v>
      </c>
      <c r="M2436" s="10">
        <f>IF(Tank2!$C$23="No control",(SUMIF(Tank2!$B$32:$B$49,$J2436,Tank2!$C$32:$C$49)*Impacts!$F$9),0)</f>
        <v>0</v>
      </c>
      <c r="N2436" s="10">
        <f>IF(Tank3!$C$23="No control",(SUMIF(Tank3!$B$32:$B$49,$J2436,Tank3!$C$32:$C$49)*Impacts!$F$10),0)</f>
        <v>0</v>
      </c>
      <c r="O2436" s="10">
        <f>IF(Tank4!$C$23="No control",(SUMIF(Tank4!$B$32:$B$49,$J2436,Tank4!$C$32:$C$49)*Impacts!$F$11),0)</f>
        <v>0</v>
      </c>
      <c r="P2436" s="10">
        <f>IF(Tank5!$C$23="No control",(SUMIF(Tank5!$B$32:$B$49,$J2436,Tank5!$C$32:$C$49)*Impacts!$F$12),0)</f>
        <v>0</v>
      </c>
      <c r="Q2436" s="10">
        <f>IFERROR(IF(('Loading-drum,tote'!$C$21)="No control",SUMIF(('Loading-drum,tote'!$B$31:$B$48),$J2436,('Loading-drum,tote'!$D$31:$D$48))*Impacts!$F$13,IF(('Loading-drum,tote'!$C$21)&lt;&gt;"No control",SUMIF(('Loading-drum,tote'!$B$31:$B$48),$J2436,('Loading-drum,tote'!$E$31:$E$48))*Impacts!$F$13,0)),0)</f>
        <v>0</v>
      </c>
      <c r="R2436" s="10">
        <f>IFERROR(IF(('Loading-truck'!$C$21)="No control",SUMIF(('Loading-truck'!$B$31:$B$48),$J2436,('Loading-truck'!$D$31:$D$48))*Impacts!$F$14,IF(('Loading-truck'!$C$21)&lt;&gt;"No control",SUMIF(('Loading-truck'!$B$31:$B$48),$J2436,('Loading-truck'!$E$31:$E$48))*Impacts!$F$14,0)),0)</f>
        <v>0</v>
      </c>
      <c r="S2436" s="10">
        <f>IFERROR(IF(('Loading-rail'!$C$21)="No control",SUMIF(('Loading-rail'!$B$31:$B$48),$J2436,('Loading-rail'!$D$31:$D$48))*Impacts!$F$15,IF(('Loading-rail'!$C$21)&lt;&gt;"No control",SUMIF(('Loading-rail'!$B$31:$B$48),$J2436,('Loading-rail'!$E$31:$E$48))*Impacts!$F$15,0)),0)</f>
        <v>0</v>
      </c>
      <c r="T2436" s="10">
        <f>IF(Flare!$C$7="",0,(SUMIF(Flare!$B$46:$B$185,$J2436,Flare!$E$46:$E$185)*Impacts!$F$16))</f>
        <v>0</v>
      </c>
      <c r="U2436" s="10">
        <f>IF(VCU!$C$9="",0,(SUMIF(VCU!$B$51:$B$193,$J2436,VCU!$E$51:$E$193)*Impacts!$F$17))</f>
        <v>0</v>
      </c>
      <c r="V2436" s="10">
        <f>IF(CAS!$C$7="",0,(SUMIF(CAS!$B$31:$B$167,$J2436,CAS!$E$31:$E$167)*Impacts!$F$18))</f>
        <v>0</v>
      </c>
      <c r="W2436" s="10">
        <f t="shared" si="78"/>
        <v>0</v>
      </c>
      <c r="AK2436" s="10" t="str">
        <f t="array" ref="AK2436">IFERROR(INDEX(SelectedSpecies,SMALL(IF(SelectedSpecies=AK$1,ROW(SelectedSpecies)),ROW(2437:2437)),2),"")</f>
        <v/>
      </c>
      <c r="BE2436" s="10"/>
      <c r="BI2436" s="10"/>
    </row>
    <row r="2437" spans="1:61" ht="21" customHeight="1" x14ac:dyDescent="0.25">
      <c r="A2437" s="10"/>
      <c r="B2437" s="10"/>
      <c r="E2437" s="10"/>
      <c r="G2437" s="10"/>
      <c r="I2437" s="436" t="s">
        <v>451</v>
      </c>
      <c r="J2437" s="26" t="s">
        <v>450</v>
      </c>
      <c r="K2437" s="10">
        <v>164</v>
      </c>
      <c r="L2437" s="73">
        <f>IF(Tank1!$C$23="No control",(SUMIF(Tank1!$B$32:$B$49,$J2437,Tank1!$C$32:$C$49)*Impacts!$F$8),0)</f>
        <v>0</v>
      </c>
      <c r="M2437" s="10">
        <f>IF(Tank2!$C$23="No control",(SUMIF(Tank2!$B$32:$B$49,$J2437,Tank2!$C$32:$C$49)*Impacts!$F$9),0)</f>
        <v>0</v>
      </c>
      <c r="N2437" s="10">
        <f>IF(Tank3!$C$23="No control",(SUMIF(Tank3!$B$32:$B$49,$J2437,Tank3!$C$32:$C$49)*Impacts!$F$10),0)</f>
        <v>0</v>
      </c>
      <c r="O2437" s="10">
        <f>IF(Tank4!$C$23="No control",(SUMIF(Tank4!$B$32:$B$49,$J2437,Tank4!$C$32:$C$49)*Impacts!$F$11),0)</f>
        <v>0</v>
      </c>
      <c r="P2437" s="10">
        <f>IF(Tank5!$C$23="No control",(SUMIF(Tank5!$B$32:$B$49,$J2437,Tank5!$C$32:$C$49)*Impacts!$F$12),0)</f>
        <v>0</v>
      </c>
      <c r="Q2437" s="10">
        <f>IFERROR(IF(('Loading-drum,tote'!$C$21)="No control",SUMIF(('Loading-drum,tote'!$B$31:$B$48),$J2437,('Loading-drum,tote'!$D$31:$D$48))*Impacts!$F$13,IF(('Loading-drum,tote'!$C$21)&lt;&gt;"No control",SUMIF(('Loading-drum,tote'!$B$31:$B$48),$J2437,('Loading-drum,tote'!$E$31:$E$48))*Impacts!$F$13,0)),0)</f>
        <v>0</v>
      </c>
      <c r="R2437" s="10">
        <f>IFERROR(IF(('Loading-truck'!$C$21)="No control",SUMIF(('Loading-truck'!$B$31:$B$48),$J2437,('Loading-truck'!$D$31:$D$48))*Impacts!$F$14,IF(('Loading-truck'!$C$21)&lt;&gt;"No control",SUMIF(('Loading-truck'!$B$31:$B$48),$J2437,('Loading-truck'!$E$31:$E$48))*Impacts!$F$14,0)),0)</f>
        <v>0</v>
      </c>
      <c r="S2437" s="10">
        <f>IFERROR(IF(('Loading-rail'!$C$21)="No control",SUMIF(('Loading-rail'!$B$31:$B$48),$J2437,('Loading-rail'!$D$31:$D$48))*Impacts!$F$15,IF(('Loading-rail'!$C$21)&lt;&gt;"No control",SUMIF(('Loading-rail'!$B$31:$B$48),$J2437,('Loading-rail'!$E$31:$E$48))*Impacts!$F$15,0)),0)</f>
        <v>0</v>
      </c>
      <c r="T2437" s="10">
        <f>IF(Flare!$C$7="",0,(SUMIF(Flare!$B$46:$B$185,$J2437,Flare!$E$46:$E$185)*Impacts!$F$16))</f>
        <v>0</v>
      </c>
      <c r="U2437" s="10">
        <f>IF(VCU!$C$9="",0,(SUMIF(VCU!$B$51:$B$193,$J2437,VCU!$E$51:$E$193)*Impacts!$F$17))</f>
        <v>0</v>
      </c>
      <c r="V2437" s="10">
        <f>IF(CAS!$C$7="",0,(SUMIF(CAS!$B$31:$B$167,$J2437,CAS!$E$31:$E$167)*Impacts!$F$18))</f>
        <v>0</v>
      </c>
      <c r="W2437" s="10">
        <f t="shared" si="78"/>
        <v>0</v>
      </c>
      <c r="AK2437" s="10" t="str">
        <f t="array" ref="AK2437">IFERROR(INDEX(SelectedSpecies,SMALL(IF(SelectedSpecies=AK$1,ROW(SelectedSpecies)),ROW(2438:2438)),2),"")</f>
        <v/>
      </c>
      <c r="BE2437" s="10"/>
      <c r="BI2437" s="10"/>
    </row>
    <row r="2438" spans="1:61" ht="21" customHeight="1" x14ac:dyDescent="0.25">
      <c r="A2438" s="10"/>
      <c r="B2438" s="10"/>
      <c r="E2438" s="10"/>
      <c r="G2438" s="10"/>
      <c r="I2438" s="436" t="s">
        <v>5089</v>
      </c>
      <c r="J2438" s="26" t="s">
        <v>5088</v>
      </c>
      <c r="K2438" s="10">
        <v>2.2000000000000002</v>
      </c>
      <c r="L2438" s="73">
        <f>IF(Tank1!$C$23="No control",(SUMIF(Tank1!$B$32:$B$49,$J2438,Tank1!$C$32:$C$49)*Impacts!$F$8),0)</f>
        <v>0</v>
      </c>
      <c r="M2438" s="10">
        <f>IF(Tank2!$C$23="No control",(SUMIF(Tank2!$B$32:$B$49,$J2438,Tank2!$C$32:$C$49)*Impacts!$F$9),0)</f>
        <v>0</v>
      </c>
      <c r="N2438" s="10">
        <f>IF(Tank3!$C$23="No control",(SUMIF(Tank3!$B$32:$B$49,$J2438,Tank3!$C$32:$C$49)*Impacts!$F$10),0)</f>
        <v>0</v>
      </c>
      <c r="O2438" s="10">
        <f>IF(Tank4!$C$23="No control",(SUMIF(Tank4!$B$32:$B$49,$J2438,Tank4!$C$32:$C$49)*Impacts!$F$11),0)</f>
        <v>0</v>
      </c>
      <c r="P2438" s="10">
        <f>IF(Tank5!$C$23="No control",(SUMIF(Tank5!$B$32:$B$49,$J2438,Tank5!$C$32:$C$49)*Impacts!$F$12),0)</f>
        <v>0</v>
      </c>
      <c r="Q2438" s="10">
        <f>IFERROR(IF(('Loading-drum,tote'!$C$21)="No control",SUMIF(('Loading-drum,tote'!$B$31:$B$48),$J2438,('Loading-drum,tote'!$D$31:$D$48))*Impacts!$F$13,IF(('Loading-drum,tote'!$C$21)&lt;&gt;"No control",SUMIF(('Loading-drum,tote'!$B$31:$B$48),$J2438,('Loading-drum,tote'!$E$31:$E$48))*Impacts!$F$13,0)),0)</f>
        <v>0</v>
      </c>
      <c r="R2438" s="10">
        <f>IFERROR(IF(('Loading-truck'!$C$21)="No control",SUMIF(('Loading-truck'!$B$31:$B$48),$J2438,('Loading-truck'!$D$31:$D$48))*Impacts!$F$14,IF(('Loading-truck'!$C$21)&lt;&gt;"No control",SUMIF(('Loading-truck'!$B$31:$B$48),$J2438,('Loading-truck'!$E$31:$E$48))*Impacts!$F$14,0)),0)</f>
        <v>0</v>
      </c>
      <c r="S2438" s="10">
        <f>IFERROR(IF(('Loading-rail'!$C$21)="No control",SUMIF(('Loading-rail'!$B$31:$B$48),$J2438,('Loading-rail'!$D$31:$D$48))*Impacts!$F$15,IF(('Loading-rail'!$C$21)&lt;&gt;"No control",SUMIF(('Loading-rail'!$B$31:$B$48),$J2438,('Loading-rail'!$E$31:$E$48))*Impacts!$F$15,0)),0)</f>
        <v>0</v>
      </c>
      <c r="T2438" s="10">
        <f>IF(Flare!$C$7="",0,(SUMIF(Flare!$B$46:$B$185,$J2438,Flare!$E$46:$E$185)*Impacts!$F$16))</f>
        <v>0</v>
      </c>
      <c r="U2438" s="10">
        <f>IF(VCU!$C$9="",0,(SUMIF(VCU!$B$51:$B$193,$J2438,VCU!$E$51:$E$193)*Impacts!$F$17))</f>
        <v>0</v>
      </c>
      <c r="V2438" s="10">
        <f>IF(CAS!$C$7="",0,(SUMIF(CAS!$B$31:$B$167,$J2438,CAS!$E$31:$E$167)*Impacts!$F$18))</f>
        <v>0</v>
      </c>
      <c r="W2438" s="10">
        <f t="shared" si="78"/>
        <v>0</v>
      </c>
      <c r="AK2438" s="10" t="str">
        <f t="array" ref="AK2438">IFERROR(INDEX(SelectedSpecies,SMALL(IF(SelectedSpecies=AK$1,ROW(SelectedSpecies)),ROW(2439:2439)),2),"")</f>
        <v/>
      </c>
      <c r="BE2438" s="10"/>
      <c r="BI2438" s="10"/>
    </row>
    <row r="2439" spans="1:61" ht="21" customHeight="1" x14ac:dyDescent="0.25">
      <c r="A2439" s="10"/>
      <c r="B2439" s="10"/>
      <c r="E2439" s="10"/>
      <c r="G2439" s="10"/>
      <c r="I2439" s="436" t="s">
        <v>7970</v>
      </c>
      <c r="J2439" s="26" t="s">
        <v>7969</v>
      </c>
      <c r="K2439" s="10">
        <v>4.0000000000000008E-2</v>
      </c>
      <c r="L2439" s="73">
        <f>IF(Tank1!$C$23="No control",(SUMIF(Tank1!$B$32:$B$49,$J2439,Tank1!$C$32:$C$49)*Impacts!$F$8),0)</f>
        <v>0</v>
      </c>
      <c r="M2439" s="10">
        <f>IF(Tank2!$C$23="No control",(SUMIF(Tank2!$B$32:$B$49,$J2439,Tank2!$C$32:$C$49)*Impacts!$F$9),0)</f>
        <v>0</v>
      </c>
      <c r="N2439" s="10">
        <f>IF(Tank3!$C$23="No control",(SUMIF(Tank3!$B$32:$B$49,$J2439,Tank3!$C$32:$C$49)*Impacts!$F$10),0)</f>
        <v>0</v>
      </c>
      <c r="O2439" s="10">
        <f>IF(Tank4!$C$23="No control",(SUMIF(Tank4!$B$32:$B$49,$J2439,Tank4!$C$32:$C$49)*Impacts!$F$11),0)</f>
        <v>0</v>
      </c>
      <c r="P2439" s="10">
        <f>IF(Tank5!$C$23="No control",(SUMIF(Tank5!$B$32:$B$49,$J2439,Tank5!$C$32:$C$49)*Impacts!$F$12),0)</f>
        <v>0</v>
      </c>
      <c r="Q2439" s="10">
        <f>IFERROR(IF(('Loading-drum,tote'!$C$21)="No control",SUMIF(('Loading-drum,tote'!$B$31:$B$48),$J2439,('Loading-drum,tote'!$D$31:$D$48))*Impacts!$F$13,IF(('Loading-drum,tote'!$C$21)&lt;&gt;"No control",SUMIF(('Loading-drum,tote'!$B$31:$B$48),$J2439,('Loading-drum,tote'!$E$31:$E$48))*Impacts!$F$13,0)),0)</f>
        <v>0</v>
      </c>
      <c r="R2439" s="10">
        <f>IFERROR(IF(('Loading-truck'!$C$21)="No control",SUMIF(('Loading-truck'!$B$31:$B$48),$J2439,('Loading-truck'!$D$31:$D$48))*Impacts!$F$14,IF(('Loading-truck'!$C$21)&lt;&gt;"No control",SUMIF(('Loading-truck'!$B$31:$B$48),$J2439,('Loading-truck'!$E$31:$E$48))*Impacts!$F$14,0)),0)</f>
        <v>0</v>
      </c>
      <c r="S2439" s="10">
        <f>IFERROR(IF(('Loading-rail'!$C$21)="No control",SUMIF(('Loading-rail'!$B$31:$B$48),$J2439,('Loading-rail'!$D$31:$D$48))*Impacts!$F$15,IF(('Loading-rail'!$C$21)&lt;&gt;"No control",SUMIF(('Loading-rail'!$B$31:$B$48),$J2439,('Loading-rail'!$E$31:$E$48))*Impacts!$F$15,0)),0)</f>
        <v>0</v>
      </c>
      <c r="T2439" s="10">
        <f>IF(Flare!$C$7="",0,(SUMIF(Flare!$B$46:$B$185,$J2439,Flare!$E$46:$E$185)*Impacts!$F$16))</f>
        <v>0</v>
      </c>
      <c r="U2439" s="10">
        <f>IF(VCU!$C$9="",0,(SUMIF(VCU!$B$51:$B$193,$J2439,VCU!$E$51:$E$193)*Impacts!$F$17))</f>
        <v>0</v>
      </c>
      <c r="V2439" s="10">
        <f>IF(CAS!$C$7="",0,(SUMIF(CAS!$B$31:$B$167,$J2439,CAS!$E$31:$E$167)*Impacts!$F$18))</f>
        <v>0</v>
      </c>
      <c r="W2439" s="10">
        <f t="shared" si="78"/>
        <v>0</v>
      </c>
      <c r="AK2439" s="10" t="str">
        <f t="array" ref="AK2439">IFERROR(INDEX(SelectedSpecies,SMALL(IF(SelectedSpecies=AK$1,ROW(SelectedSpecies)),ROW(2440:2440)),2),"")</f>
        <v/>
      </c>
      <c r="BE2439" s="10"/>
      <c r="BI2439" s="10"/>
    </row>
    <row r="2440" spans="1:61" ht="21" customHeight="1" x14ac:dyDescent="0.25">
      <c r="A2440" s="10"/>
      <c r="B2440" s="10"/>
      <c r="E2440" s="10"/>
      <c r="G2440" s="10"/>
      <c r="I2440" s="436" t="s">
        <v>5189</v>
      </c>
      <c r="J2440" s="26" t="s">
        <v>5188</v>
      </c>
      <c r="K2440" s="10">
        <v>2</v>
      </c>
      <c r="L2440" s="73">
        <f>IF(Tank1!$C$23="No control",(SUMIF(Tank1!$B$32:$B$49,$J2440,Tank1!$C$32:$C$49)*Impacts!$F$8),0)</f>
        <v>0</v>
      </c>
      <c r="M2440" s="10">
        <f>IF(Tank2!$C$23="No control",(SUMIF(Tank2!$B$32:$B$49,$J2440,Tank2!$C$32:$C$49)*Impacts!$F$9),0)</f>
        <v>0</v>
      </c>
      <c r="N2440" s="10">
        <f>IF(Tank3!$C$23="No control",(SUMIF(Tank3!$B$32:$B$49,$J2440,Tank3!$C$32:$C$49)*Impacts!$F$10),0)</f>
        <v>0</v>
      </c>
      <c r="O2440" s="10">
        <f>IF(Tank4!$C$23="No control",(SUMIF(Tank4!$B$32:$B$49,$J2440,Tank4!$C$32:$C$49)*Impacts!$F$11),0)</f>
        <v>0</v>
      </c>
      <c r="P2440" s="10">
        <f>IF(Tank5!$C$23="No control",(SUMIF(Tank5!$B$32:$B$49,$J2440,Tank5!$C$32:$C$49)*Impacts!$F$12),0)</f>
        <v>0</v>
      </c>
      <c r="Q2440" s="10">
        <f>IFERROR(IF(('Loading-drum,tote'!$C$21)="No control",SUMIF(('Loading-drum,tote'!$B$31:$B$48),$J2440,('Loading-drum,tote'!$D$31:$D$48))*Impacts!$F$13,IF(('Loading-drum,tote'!$C$21)&lt;&gt;"No control",SUMIF(('Loading-drum,tote'!$B$31:$B$48),$J2440,('Loading-drum,tote'!$E$31:$E$48))*Impacts!$F$13,0)),0)</f>
        <v>0</v>
      </c>
      <c r="R2440" s="10">
        <f>IFERROR(IF(('Loading-truck'!$C$21)="No control",SUMIF(('Loading-truck'!$B$31:$B$48),$J2440,('Loading-truck'!$D$31:$D$48))*Impacts!$F$14,IF(('Loading-truck'!$C$21)&lt;&gt;"No control",SUMIF(('Loading-truck'!$B$31:$B$48),$J2440,('Loading-truck'!$E$31:$E$48))*Impacts!$F$14,0)),0)</f>
        <v>0</v>
      </c>
      <c r="S2440" s="10">
        <f>IFERROR(IF(('Loading-rail'!$C$21)="No control",SUMIF(('Loading-rail'!$B$31:$B$48),$J2440,('Loading-rail'!$D$31:$D$48))*Impacts!$F$15,IF(('Loading-rail'!$C$21)&lt;&gt;"No control",SUMIF(('Loading-rail'!$B$31:$B$48),$J2440,('Loading-rail'!$E$31:$E$48))*Impacts!$F$15,0)),0)</f>
        <v>0</v>
      </c>
      <c r="T2440" s="10">
        <f>IF(Flare!$C$7="",0,(SUMIF(Flare!$B$46:$B$185,$J2440,Flare!$E$46:$E$185)*Impacts!$F$16))</f>
        <v>0</v>
      </c>
      <c r="U2440" s="10">
        <f>IF(VCU!$C$9="",0,(SUMIF(VCU!$B$51:$B$193,$J2440,VCU!$E$51:$E$193)*Impacts!$F$17))</f>
        <v>0</v>
      </c>
      <c r="V2440" s="10">
        <f>IF(CAS!$C$7="",0,(SUMIF(CAS!$B$31:$B$167,$J2440,CAS!$E$31:$E$167)*Impacts!$F$18))</f>
        <v>0</v>
      </c>
      <c r="W2440" s="10">
        <f t="shared" si="78"/>
        <v>0</v>
      </c>
      <c r="AK2440" s="10" t="str">
        <f t="array" ref="AK2440">IFERROR(INDEX(SelectedSpecies,SMALL(IF(SelectedSpecies=AK$1,ROW(SelectedSpecies)),ROW(2441:2441)),2),"")</f>
        <v/>
      </c>
      <c r="BE2440" s="10"/>
      <c r="BI2440" s="10"/>
    </row>
    <row r="2441" spans="1:61" ht="21" customHeight="1" x14ac:dyDescent="0.25">
      <c r="A2441" s="10"/>
      <c r="B2441" s="10"/>
      <c r="E2441" s="10"/>
      <c r="G2441" s="10"/>
      <c r="I2441" s="436" t="s">
        <v>552</v>
      </c>
      <c r="J2441" s="26" t="s">
        <v>551</v>
      </c>
      <c r="K2441" s="10">
        <v>100</v>
      </c>
      <c r="L2441" s="73">
        <f>IF(Tank1!$C$23="No control",(SUMIF(Tank1!$B$32:$B$49,$J2441,Tank1!$C$32:$C$49)*Impacts!$F$8),0)</f>
        <v>0</v>
      </c>
      <c r="M2441" s="10">
        <f>IF(Tank2!$C$23="No control",(SUMIF(Tank2!$B$32:$B$49,$J2441,Tank2!$C$32:$C$49)*Impacts!$F$9),0)</f>
        <v>0</v>
      </c>
      <c r="N2441" s="10">
        <f>IF(Tank3!$C$23="No control",(SUMIF(Tank3!$B$32:$B$49,$J2441,Tank3!$C$32:$C$49)*Impacts!$F$10),0)</f>
        <v>0</v>
      </c>
      <c r="O2441" s="10">
        <f>IF(Tank4!$C$23="No control",(SUMIF(Tank4!$B$32:$B$49,$J2441,Tank4!$C$32:$C$49)*Impacts!$F$11),0)</f>
        <v>0</v>
      </c>
      <c r="P2441" s="10">
        <f>IF(Tank5!$C$23="No control",(SUMIF(Tank5!$B$32:$B$49,$J2441,Tank5!$C$32:$C$49)*Impacts!$F$12),0)</f>
        <v>0</v>
      </c>
      <c r="Q2441" s="10">
        <f>IFERROR(IF(('Loading-drum,tote'!$C$21)="No control",SUMIF(('Loading-drum,tote'!$B$31:$B$48),$J2441,('Loading-drum,tote'!$D$31:$D$48))*Impacts!$F$13,IF(('Loading-drum,tote'!$C$21)&lt;&gt;"No control",SUMIF(('Loading-drum,tote'!$B$31:$B$48),$J2441,('Loading-drum,tote'!$E$31:$E$48))*Impacts!$F$13,0)),0)</f>
        <v>0</v>
      </c>
      <c r="R2441" s="10">
        <f>IFERROR(IF(('Loading-truck'!$C$21)="No control",SUMIF(('Loading-truck'!$B$31:$B$48),$J2441,('Loading-truck'!$D$31:$D$48))*Impacts!$F$14,IF(('Loading-truck'!$C$21)&lt;&gt;"No control",SUMIF(('Loading-truck'!$B$31:$B$48),$J2441,('Loading-truck'!$E$31:$E$48))*Impacts!$F$14,0)),0)</f>
        <v>0</v>
      </c>
      <c r="S2441" s="10">
        <f>IFERROR(IF(('Loading-rail'!$C$21)="No control",SUMIF(('Loading-rail'!$B$31:$B$48),$J2441,('Loading-rail'!$D$31:$D$48))*Impacts!$F$15,IF(('Loading-rail'!$C$21)&lt;&gt;"No control",SUMIF(('Loading-rail'!$B$31:$B$48),$J2441,('Loading-rail'!$E$31:$E$48))*Impacts!$F$15,0)),0)</f>
        <v>0</v>
      </c>
      <c r="T2441" s="10">
        <f>IF(Flare!$C$7="",0,(SUMIF(Flare!$B$46:$B$185,$J2441,Flare!$E$46:$E$185)*Impacts!$F$16))</f>
        <v>0</v>
      </c>
      <c r="U2441" s="10">
        <f>IF(VCU!$C$9="",0,(SUMIF(VCU!$B$51:$B$193,$J2441,VCU!$E$51:$E$193)*Impacts!$F$17))</f>
        <v>0</v>
      </c>
      <c r="V2441" s="10">
        <f>IF(CAS!$C$7="",0,(SUMIF(CAS!$B$31:$B$167,$J2441,CAS!$E$31:$E$167)*Impacts!$F$18))</f>
        <v>0</v>
      </c>
      <c r="W2441" s="10">
        <f t="shared" si="78"/>
        <v>0</v>
      </c>
      <c r="AK2441" s="10" t="str">
        <f t="array" ref="AK2441">IFERROR(INDEX(SelectedSpecies,SMALL(IF(SelectedSpecies=AK$1,ROW(SelectedSpecies)),ROW(2442:2442)),2),"")</f>
        <v/>
      </c>
      <c r="BE2441" s="10"/>
      <c r="BI2441" s="10"/>
    </row>
    <row r="2442" spans="1:61" ht="21" customHeight="1" x14ac:dyDescent="0.25">
      <c r="A2442" s="10"/>
      <c r="B2442" s="10"/>
      <c r="E2442" s="10"/>
      <c r="G2442" s="10"/>
      <c r="I2442" s="436" t="s">
        <v>1064</v>
      </c>
      <c r="J2442" s="26" t="s">
        <v>1063</v>
      </c>
      <c r="K2442" s="10">
        <v>170</v>
      </c>
      <c r="L2442" s="73">
        <f>IF(Tank1!$C$23="No control",(SUMIF(Tank1!$B$32:$B$49,$J2442,Tank1!$C$32:$C$49)*Impacts!$F$8),0)</f>
        <v>0</v>
      </c>
      <c r="M2442" s="10">
        <f>IF(Tank2!$C$23="No control",(SUMIF(Tank2!$B$32:$B$49,$J2442,Tank2!$C$32:$C$49)*Impacts!$F$9),0)</f>
        <v>0</v>
      </c>
      <c r="N2442" s="10">
        <f>IF(Tank3!$C$23="No control",(SUMIF(Tank3!$B$32:$B$49,$J2442,Tank3!$C$32:$C$49)*Impacts!$F$10),0)</f>
        <v>0</v>
      </c>
      <c r="O2442" s="10">
        <f>IF(Tank4!$C$23="No control",(SUMIF(Tank4!$B$32:$B$49,$J2442,Tank4!$C$32:$C$49)*Impacts!$F$11),0)</f>
        <v>0</v>
      </c>
      <c r="P2442" s="10">
        <f>IF(Tank5!$C$23="No control",(SUMIF(Tank5!$B$32:$B$49,$J2442,Tank5!$C$32:$C$49)*Impacts!$F$12),0)</f>
        <v>0</v>
      </c>
      <c r="Q2442" s="10">
        <f>IFERROR(IF(('Loading-drum,tote'!$C$21)="No control",SUMIF(('Loading-drum,tote'!$B$31:$B$48),$J2442,('Loading-drum,tote'!$D$31:$D$48))*Impacts!$F$13,IF(('Loading-drum,tote'!$C$21)&lt;&gt;"No control",SUMIF(('Loading-drum,tote'!$B$31:$B$48),$J2442,('Loading-drum,tote'!$E$31:$E$48))*Impacts!$F$13,0)),0)</f>
        <v>0</v>
      </c>
      <c r="R2442" s="10">
        <f>IFERROR(IF(('Loading-truck'!$C$21)="No control",SUMIF(('Loading-truck'!$B$31:$B$48),$J2442,('Loading-truck'!$D$31:$D$48))*Impacts!$F$14,IF(('Loading-truck'!$C$21)&lt;&gt;"No control",SUMIF(('Loading-truck'!$B$31:$B$48),$J2442,('Loading-truck'!$E$31:$E$48))*Impacts!$F$14,0)),0)</f>
        <v>0</v>
      </c>
      <c r="S2442" s="10">
        <f>IFERROR(IF(('Loading-rail'!$C$21)="No control",SUMIF(('Loading-rail'!$B$31:$B$48),$J2442,('Loading-rail'!$D$31:$D$48))*Impacts!$F$15,IF(('Loading-rail'!$C$21)&lt;&gt;"No control",SUMIF(('Loading-rail'!$B$31:$B$48),$J2442,('Loading-rail'!$E$31:$E$48))*Impacts!$F$15,0)),0)</f>
        <v>0</v>
      </c>
      <c r="T2442" s="10">
        <f>IF(Flare!$C$7="",0,(SUMIF(Flare!$B$46:$B$185,$J2442,Flare!$E$46:$E$185)*Impacts!$F$16))</f>
        <v>0</v>
      </c>
      <c r="U2442" s="10">
        <f>IF(VCU!$C$9="",0,(SUMIF(VCU!$B$51:$B$193,$J2442,VCU!$E$51:$E$193)*Impacts!$F$17))</f>
        <v>0</v>
      </c>
      <c r="V2442" s="10">
        <f>IF(CAS!$C$7="",0,(SUMIF(CAS!$B$31:$B$167,$J2442,CAS!$E$31:$E$167)*Impacts!$F$18))</f>
        <v>0</v>
      </c>
      <c r="W2442" s="10">
        <f t="shared" si="78"/>
        <v>0</v>
      </c>
      <c r="AK2442" s="10" t="str">
        <f t="array" ref="AK2442">IFERROR(INDEX(SelectedSpecies,SMALL(IF(SelectedSpecies=AK$1,ROW(SelectedSpecies)),ROW(2443:2443)),2),"")</f>
        <v/>
      </c>
      <c r="BE2442" s="10"/>
      <c r="BI2442" s="10"/>
    </row>
    <row r="2443" spans="1:61" ht="21" customHeight="1" x14ac:dyDescent="0.25">
      <c r="A2443" s="10"/>
      <c r="B2443" s="10"/>
      <c r="E2443" s="10"/>
      <c r="G2443" s="10"/>
      <c r="I2443" s="436" t="s">
        <v>4423</v>
      </c>
      <c r="J2443" s="26" t="s">
        <v>4422</v>
      </c>
      <c r="K2443" s="10">
        <v>4.6000000000000005</v>
      </c>
      <c r="L2443" s="73">
        <f>IF(Tank1!$C$23="No control",(SUMIF(Tank1!$B$32:$B$49,$J2443,Tank1!$C$32:$C$49)*Impacts!$F$8),0)</f>
        <v>0</v>
      </c>
      <c r="M2443" s="10">
        <f>IF(Tank2!$C$23="No control",(SUMIF(Tank2!$B$32:$B$49,$J2443,Tank2!$C$32:$C$49)*Impacts!$F$9),0)</f>
        <v>0</v>
      </c>
      <c r="N2443" s="10">
        <f>IF(Tank3!$C$23="No control",(SUMIF(Tank3!$B$32:$B$49,$J2443,Tank3!$C$32:$C$49)*Impacts!$F$10),0)</f>
        <v>0</v>
      </c>
      <c r="O2443" s="10">
        <f>IF(Tank4!$C$23="No control",(SUMIF(Tank4!$B$32:$B$49,$J2443,Tank4!$C$32:$C$49)*Impacts!$F$11),0)</f>
        <v>0</v>
      </c>
      <c r="P2443" s="10">
        <f>IF(Tank5!$C$23="No control",(SUMIF(Tank5!$B$32:$B$49,$J2443,Tank5!$C$32:$C$49)*Impacts!$F$12),0)</f>
        <v>0</v>
      </c>
      <c r="Q2443" s="10">
        <f>IFERROR(IF(('Loading-drum,tote'!$C$21)="No control",SUMIF(('Loading-drum,tote'!$B$31:$B$48),$J2443,('Loading-drum,tote'!$D$31:$D$48))*Impacts!$F$13,IF(('Loading-drum,tote'!$C$21)&lt;&gt;"No control",SUMIF(('Loading-drum,tote'!$B$31:$B$48),$J2443,('Loading-drum,tote'!$E$31:$E$48))*Impacts!$F$13,0)),0)</f>
        <v>0</v>
      </c>
      <c r="R2443" s="10">
        <f>IFERROR(IF(('Loading-truck'!$C$21)="No control",SUMIF(('Loading-truck'!$B$31:$B$48),$J2443,('Loading-truck'!$D$31:$D$48))*Impacts!$F$14,IF(('Loading-truck'!$C$21)&lt;&gt;"No control",SUMIF(('Loading-truck'!$B$31:$B$48),$J2443,('Loading-truck'!$E$31:$E$48))*Impacts!$F$14,0)),0)</f>
        <v>0</v>
      </c>
      <c r="S2443" s="10">
        <f>IFERROR(IF(('Loading-rail'!$C$21)="No control",SUMIF(('Loading-rail'!$B$31:$B$48),$J2443,('Loading-rail'!$D$31:$D$48))*Impacts!$F$15,IF(('Loading-rail'!$C$21)&lt;&gt;"No control",SUMIF(('Loading-rail'!$B$31:$B$48),$J2443,('Loading-rail'!$E$31:$E$48))*Impacts!$F$15,0)),0)</f>
        <v>0</v>
      </c>
      <c r="T2443" s="10">
        <f>IF(Flare!$C$7="",0,(SUMIF(Flare!$B$46:$B$185,$J2443,Flare!$E$46:$E$185)*Impacts!$F$16))</f>
        <v>0</v>
      </c>
      <c r="U2443" s="10">
        <f>IF(VCU!$C$9="",0,(SUMIF(VCU!$B$51:$B$193,$J2443,VCU!$E$51:$E$193)*Impacts!$F$17))</f>
        <v>0</v>
      </c>
      <c r="V2443" s="10">
        <f>IF(CAS!$C$7="",0,(SUMIF(CAS!$B$31:$B$167,$J2443,CAS!$E$31:$E$167)*Impacts!$F$18))</f>
        <v>0</v>
      </c>
      <c r="W2443" s="10">
        <f t="shared" si="78"/>
        <v>0</v>
      </c>
      <c r="AK2443" s="10" t="str">
        <f t="array" ref="AK2443">IFERROR(INDEX(SelectedSpecies,SMALL(IF(SelectedSpecies=AK$1,ROW(SelectedSpecies)),ROW(2444:2444)),2),"")</f>
        <v/>
      </c>
      <c r="BE2443" s="10"/>
      <c r="BI2443" s="10"/>
    </row>
    <row r="2444" spans="1:61" ht="21" customHeight="1" x14ac:dyDescent="0.25">
      <c r="A2444" s="10"/>
      <c r="B2444" s="10"/>
      <c r="E2444" s="10"/>
      <c r="G2444" s="10"/>
      <c r="I2444" s="436" t="s">
        <v>6320</v>
      </c>
      <c r="J2444" s="26" t="s">
        <v>6319</v>
      </c>
      <c r="K2444" s="10">
        <v>0.9</v>
      </c>
      <c r="L2444" s="73">
        <f>IF(Tank1!$C$23="No control",(SUMIF(Tank1!$B$32:$B$49,$J2444,Tank1!$C$32:$C$49)*Impacts!$F$8),0)</f>
        <v>0</v>
      </c>
      <c r="M2444" s="10">
        <f>IF(Tank2!$C$23="No control",(SUMIF(Tank2!$B$32:$B$49,$J2444,Tank2!$C$32:$C$49)*Impacts!$F$9),0)</f>
        <v>0</v>
      </c>
      <c r="N2444" s="10">
        <f>IF(Tank3!$C$23="No control",(SUMIF(Tank3!$B$32:$B$49,$J2444,Tank3!$C$32:$C$49)*Impacts!$F$10),0)</f>
        <v>0</v>
      </c>
      <c r="O2444" s="10">
        <f>IF(Tank4!$C$23="No control",(SUMIF(Tank4!$B$32:$B$49,$J2444,Tank4!$C$32:$C$49)*Impacts!$F$11),0)</f>
        <v>0</v>
      </c>
      <c r="P2444" s="10">
        <f>IF(Tank5!$C$23="No control",(SUMIF(Tank5!$B$32:$B$49,$J2444,Tank5!$C$32:$C$49)*Impacts!$F$12),0)</f>
        <v>0</v>
      </c>
      <c r="Q2444" s="10">
        <f>IFERROR(IF(('Loading-drum,tote'!$C$21)="No control",SUMIF(('Loading-drum,tote'!$B$31:$B$48),$J2444,('Loading-drum,tote'!$D$31:$D$48))*Impacts!$F$13,IF(('Loading-drum,tote'!$C$21)&lt;&gt;"No control",SUMIF(('Loading-drum,tote'!$B$31:$B$48),$J2444,('Loading-drum,tote'!$E$31:$E$48))*Impacts!$F$13,0)),0)</f>
        <v>0</v>
      </c>
      <c r="R2444" s="10">
        <f>IFERROR(IF(('Loading-truck'!$C$21)="No control",SUMIF(('Loading-truck'!$B$31:$B$48),$J2444,('Loading-truck'!$D$31:$D$48))*Impacts!$F$14,IF(('Loading-truck'!$C$21)&lt;&gt;"No control",SUMIF(('Loading-truck'!$B$31:$B$48),$J2444,('Loading-truck'!$E$31:$E$48))*Impacts!$F$14,0)),0)</f>
        <v>0</v>
      </c>
      <c r="S2444" s="10">
        <f>IFERROR(IF(('Loading-rail'!$C$21)="No control",SUMIF(('Loading-rail'!$B$31:$B$48),$J2444,('Loading-rail'!$D$31:$D$48))*Impacts!$F$15,IF(('Loading-rail'!$C$21)&lt;&gt;"No control",SUMIF(('Loading-rail'!$B$31:$B$48),$J2444,('Loading-rail'!$E$31:$E$48))*Impacts!$F$15,0)),0)</f>
        <v>0</v>
      </c>
      <c r="T2444" s="10">
        <f>IF(Flare!$C$7="",0,(SUMIF(Flare!$B$46:$B$185,$J2444,Flare!$E$46:$E$185)*Impacts!$F$16))</f>
        <v>0</v>
      </c>
      <c r="U2444" s="10">
        <f>IF(VCU!$C$9="",0,(SUMIF(VCU!$B$51:$B$193,$J2444,VCU!$E$51:$E$193)*Impacts!$F$17))</f>
        <v>0</v>
      </c>
      <c r="V2444" s="10">
        <f>IF(CAS!$C$7="",0,(SUMIF(CAS!$B$31:$B$167,$J2444,CAS!$E$31:$E$167)*Impacts!$F$18))</f>
        <v>0</v>
      </c>
      <c r="W2444" s="10">
        <f t="shared" si="78"/>
        <v>0</v>
      </c>
      <c r="AK2444" s="10" t="str">
        <f t="array" ref="AK2444">IFERROR(INDEX(SelectedSpecies,SMALL(IF(SelectedSpecies=AK$1,ROW(SelectedSpecies)),ROW(2445:2445)),2),"")</f>
        <v/>
      </c>
      <c r="BE2444" s="10"/>
      <c r="BI2444" s="10"/>
    </row>
    <row r="2445" spans="1:61" ht="21" customHeight="1" x14ac:dyDescent="0.25">
      <c r="A2445" s="10"/>
      <c r="B2445" s="10"/>
      <c r="E2445" s="10"/>
      <c r="G2445" s="10"/>
      <c r="I2445" s="436" t="s">
        <v>1969</v>
      </c>
      <c r="J2445" s="26" t="s">
        <v>1968</v>
      </c>
      <c r="K2445" s="10">
        <v>18</v>
      </c>
      <c r="L2445" s="73">
        <f>IF(Tank1!$C$23="No control",(SUMIF(Tank1!$B$32:$B$49,$J2445,Tank1!$C$32:$C$49)*Impacts!$F$8),0)</f>
        <v>0</v>
      </c>
      <c r="M2445" s="10">
        <f>IF(Tank2!$C$23="No control",(SUMIF(Tank2!$B$32:$B$49,$J2445,Tank2!$C$32:$C$49)*Impacts!$F$9),0)</f>
        <v>0</v>
      </c>
      <c r="N2445" s="10">
        <f>IF(Tank3!$C$23="No control",(SUMIF(Tank3!$B$32:$B$49,$J2445,Tank3!$C$32:$C$49)*Impacts!$F$10),0)</f>
        <v>0</v>
      </c>
      <c r="O2445" s="10">
        <f>IF(Tank4!$C$23="No control",(SUMIF(Tank4!$B$32:$B$49,$J2445,Tank4!$C$32:$C$49)*Impacts!$F$11),0)</f>
        <v>0</v>
      </c>
      <c r="P2445" s="10">
        <f>IF(Tank5!$C$23="No control",(SUMIF(Tank5!$B$32:$B$49,$J2445,Tank5!$C$32:$C$49)*Impacts!$F$12),0)</f>
        <v>0</v>
      </c>
      <c r="Q2445" s="10">
        <f>IFERROR(IF(('Loading-drum,tote'!$C$21)="No control",SUMIF(('Loading-drum,tote'!$B$31:$B$48),$J2445,('Loading-drum,tote'!$D$31:$D$48))*Impacts!$F$13,IF(('Loading-drum,tote'!$C$21)&lt;&gt;"No control",SUMIF(('Loading-drum,tote'!$B$31:$B$48),$J2445,('Loading-drum,tote'!$E$31:$E$48))*Impacts!$F$13,0)),0)</f>
        <v>0</v>
      </c>
      <c r="R2445" s="10">
        <f>IFERROR(IF(('Loading-truck'!$C$21)="No control",SUMIF(('Loading-truck'!$B$31:$B$48),$J2445,('Loading-truck'!$D$31:$D$48))*Impacts!$F$14,IF(('Loading-truck'!$C$21)&lt;&gt;"No control",SUMIF(('Loading-truck'!$B$31:$B$48),$J2445,('Loading-truck'!$E$31:$E$48))*Impacts!$F$14,0)),0)</f>
        <v>0</v>
      </c>
      <c r="S2445" s="10">
        <f>IFERROR(IF(('Loading-rail'!$C$21)="No control",SUMIF(('Loading-rail'!$B$31:$B$48),$J2445,('Loading-rail'!$D$31:$D$48))*Impacts!$F$15,IF(('Loading-rail'!$C$21)&lt;&gt;"No control",SUMIF(('Loading-rail'!$B$31:$B$48),$J2445,('Loading-rail'!$E$31:$E$48))*Impacts!$F$15,0)),0)</f>
        <v>0</v>
      </c>
      <c r="T2445" s="10">
        <f>IF(Flare!$C$7="",0,(SUMIF(Flare!$B$46:$B$185,$J2445,Flare!$E$46:$E$185)*Impacts!$F$16))</f>
        <v>0</v>
      </c>
      <c r="U2445" s="10">
        <f>IF(VCU!$C$9="",0,(SUMIF(VCU!$B$51:$B$193,$J2445,VCU!$E$51:$E$193)*Impacts!$F$17))</f>
        <v>0</v>
      </c>
      <c r="V2445" s="10">
        <f>IF(CAS!$C$7="",0,(SUMIF(CAS!$B$31:$B$167,$J2445,CAS!$E$31:$E$167)*Impacts!$F$18))</f>
        <v>0</v>
      </c>
      <c r="W2445" s="10">
        <f t="shared" si="78"/>
        <v>0</v>
      </c>
      <c r="AK2445" s="10" t="str">
        <f t="array" ref="AK2445">IFERROR(INDEX(SelectedSpecies,SMALL(IF(SelectedSpecies=AK$1,ROW(SelectedSpecies)),ROW(2446:2446)),2),"")</f>
        <v/>
      </c>
      <c r="BE2445" s="10"/>
      <c r="BI2445" s="10"/>
    </row>
    <row r="2446" spans="1:61" ht="21" customHeight="1" x14ac:dyDescent="0.25">
      <c r="A2446" s="10"/>
      <c r="B2446" s="10"/>
      <c r="E2446" s="10"/>
      <c r="G2446" s="10"/>
      <c r="I2446" s="436" t="s">
        <v>7822</v>
      </c>
      <c r="J2446" s="26" t="s">
        <v>7821</v>
      </c>
      <c r="K2446" s="10">
        <v>8.0000000000000016E-2</v>
      </c>
      <c r="L2446" s="73">
        <f>IF(Tank1!$C$23="No control",(SUMIF(Tank1!$B$32:$B$49,$J2446,Tank1!$C$32:$C$49)*Impacts!$F$8),0)</f>
        <v>0</v>
      </c>
      <c r="M2446" s="10">
        <f>IF(Tank2!$C$23="No control",(SUMIF(Tank2!$B$32:$B$49,$J2446,Tank2!$C$32:$C$49)*Impacts!$F$9),0)</f>
        <v>0</v>
      </c>
      <c r="N2446" s="10">
        <f>IF(Tank3!$C$23="No control",(SUMIF(Tank3!$B$32:$B$49,$J2446,Tank3!$C$32:$C$49)*Impacts!$F$10),0)</f>
        <v>0</v>
      </c>
      <c r="O2446" s="10">
        <f>IF(Tank4!$C$23="No control",(SUMIF(Tank4!$B$32:$B$49,$J2446,Tank4!$C$32:$C$49)*Impacts!$F$11),0)</f>
        <v>0</v>
      </c>
      <c r="P2446" s="10">
        <f>IF(Tank5!$C$23="No control",(SUMIF(Tank5!$B$32:$B$49,$J2446,Tank5!$C$32:$C$49)*Impacts!$F$12),0)</f>
        <v>0</v>
      </c>
      <c r="Q2446" s="10">
        <f>IFERROR(IF(('Loading-drum,tote'!$C$21)="No control",SUMIF(('Loading-drum,tote'!$B$31:$B$48),$J2446,('Loading-drum,tote'!$D$31:$D$48))*Impacts!$F$13,IF(('Loading-drum,tote'!$C$21)&lt;&gt;"No control",SUMIF(('Loading-drum,tote'!$B$31:$B$48),$J2446,('Loading-drum,tote'!$E$31:$E$48))*Impacts!$F$13,0)),0)</f>
        <v>0</v>
      </c>
      <c r="R2446" s="10">
        <f>IFERROR(IF(('Loading-truck'!$C$21)="No control",SUMIF(('Loading-truck'!$B$31:$B$48),$J2446,('Loading-truck'!$D$31:$D$48))*Impacts!$F$14,IF(('Loading-truck'!$C$21)&lt;&gt;"No control",SUMIF(('Loading-truck'!$B$31:$B$48),$J2446,('Loading-truck'!$E$31:$E$48))*Impacts!$F$14,0)),0)</f>
        <v>0</v>
      </c>
      <c r="S2446" s="10">
        <f>IFERROR(IF(('Loading-rail'!$C$21)="No control",SUMIF(('Loading-rail'!$B$31:$B$48),$J2446,('Loading-rail'!$D$31:$D$48))*Impacts!$F$15,IF(('Loading-rail'!$C$21)&lt;&gt;"No control",SUMIF(('Loading-rail'!$B$31:$B$48),$J2446,('Loading-rail'!$E$31:$E$48))*Impacts!$F$15,0)),0)</f>
        <v>0</v>
      </c>
      <c r="T2446" s="10">
        <f>IF(Flare!$C$7="",0,(SUMIF(Flare!$B$46:$B$185,$J2446,Flare!$E$46:$E$185)*Impacts!$F$16))</f>
        <v>0</v>
      </c>
      <c r="U2446" s="10">
        <f>IF(VCU!$C$9="",0,(SUMIF(VCU!$B$51:$B$193,$J2446,VCU!$E$51:$E$193)*Impacts!$F$17))</f>
        <v>0</v>
      </c>
      <c r="V2446" s="10">
        <f>IF(CAS!$C$7="",0,(SUMIF(CAS!$B$31:$B$167,$J2446,CAS!$E$31:$E$167)*Impacts!$F$18))</f>
        <v>0</v>
      </c>
      <c r="W2446" s="10">
        <f t="shared" si="78"/>
        <v>0</v>
      </c>
      <c r="AK2446" s="10" t="str">
        <f t="array" ref="AK2446">IFERROR(INDEX(SelectedSpecies,SMALL(IF(SelectedSpecies=AK$1,ROW(SelectedSpecies)),ROW(2447:2447)),2),"")</f>
        <v/>
      </c>
      <c r="BE2446" s="10"/>
      <c r="BI2446" s="10"/>
    </row>
    <row r="2447" spans="1:61" ht="21" customHeight="1" x14ac:dyDescent="0.25">
      <c r="A2447" s="10"/>
      <c r="B2447" s="10"/>
      <c r="E2447" s="10"/>
      <c r="G2447" s="10"/>
      <c r="I2447" s="436" t="s">
        <v>5571</v>
      </c>
      <c r="J2447" s="26" t="s">
        <v>5570</v>
      </c>
      <c r="K2447" s="10">
        <v>1.2000000000000002</v>
      </c>
      <c r="L2447" s="73">
        <f>IF(Tank1!$C$23="No control",(SUMIF(Tank1!$B$32:$B$49,$J2447,Tank1!$C$32:$C$49)*Impacts!$F$8),0)</f>
        <v>0</v>
      </c>
      <c r="M2447" s="10">
        <f>IF(Tank2!$C$23="No control",(SUMIF(Tank2!$B$32:$B$49,$J2447,Tank2!$C$32:$C$49)*Impacts!$F$9),0)</f>
        <v>0</v>
      </c>
      <c r="N2447" s="10">
        <f>IF(Tank3!$C$23="No control",(SUMIF(Tank3!$B$32:$B$49,$J2447,Tank3!$C$32:$C$49)*Impacts!$F$10),0)</f>
        <v>0</v>
      </c>
      <c r="O2447" s="10">
        <f>IF(Tank4!$C$23="No control",(SUMIF(Tank4!$B$32:$B$49,$J2447,Tank4!$C$32:$C$49)*Impacts!$F$11),0)</f>
        <v>0</v>
      </c>
      <c r="P2447" s="10">
        <f>IF(Tank5!$C$23="No control",(SUMIF(Tank5!$B$32:$B$49,$J2447,Tank5!$C$32:$C$49)*Impacts!$F$12),0)</f>
        <v>0</v>
      </c>
      <c r="Q2447" s="10">
        <f>IFERROR(IF(('Loading-drum,tote'!$C$21)="No control",SUMIF(('Loading-drum,tote'!$B$31:$B$48),$J2447,('Loading-drum,tote'!$D$31:$D$48))*Impacts!$F$13,IF(('Loading-drum,tote'!$C$21)&lt;&gt;"No control",SUMIF(('Loading-drum,tote'!$B$31:$B$48),$J2447,('Loading-drum,tote'!$E$31:$E$48))*Impacts!$F$13,0)),0)</f>
        <v>0</v>
      </c>
      <c r="R2447" s="10">
        <f>IFERROR(IF(('Loading-truck'!$C$21)="No control",SUMIF(('Loading-truck'!$B$31:$B$48),$J2447,('Loading-truck'!$D$31:$D$48))*Impacts!$F$14,IF(('Loading-truck'!$C$21)&lt;&gt;"No control",SUMIF(('Loading-truck'!$B$31:$B$48),$J2447,('Loading-truck'!$E$31:$E$48))*Impacts!$F$14,0)),0)</f>
        <v>0</v>
      </c>
      <c r="S2447" s="10">
        <f>IFERROR(IF(('Loading-rail'!$C$21)="No control",SUMIF(('Loading-rail'!$B$31:$B$48),$J2447,('Loading-rail'!$D$31:$D$48))*Impacts!$F$15,IF(('Loading-rail'!$C$21)&lt;&gt;"No control",SUMIF(('Loading-rail'!$B$31:$B$48),$J2447,('Loading-rail'!$E$31:$E$48))*Impacts!$F$15,0)),0)</f>
        <v>0</v>
      </c>
      <c r="T2447" s="10">
        <f>IF(Flare!$C$7="",0,(SUMIF(Flare!$B$46:$B$185,$J2447,Flare!$E$46:$E$185)*Impacts!$F$16))</f>
        <v>0</v>
      </c>
      <c r="U2447" s="10">
        <f>IF(VCU!$C$9="",0,(SUMIF(VCU!$B$51:$B$193,$J2447,VCU!$E$51:$E$193)*Impacts!$F$17))</f>
        <v>0</v>
      </c>
      <c r="V2447" s="10">
        <f>IF(CAS!$C$7="",0,(SUMIF(CAS!$B$31:$B$167,$J2447,CAS!$E$31:$E$167)*Impacts!$F$18))</f>
        <v>0</v>
      </c>
      <c r="W2447" s="10">
        <f t="shared" si="78"/>
        <v>0</v>
      </c>
      <c r="AK2447" s="10" t="str">
        <f t="array" ref="AK2447">IFERROR(INDEX(SelectedSpecies,SMALL(IF(SelectedSpecies=AK$1,ROW(SelectedSpecies)),ROW(2448:2448)),2),"")</f>
        <v/>
      </c>
      <c r="BE2447" s="10"/>
      <c r="BI2447" s="10"/>
    </row>
    <row r="2448" spans="1:61" ht="21" customHeight="1" x14ac:dyDescent="0.25">
      <c r="A2448" s="10"/>
      <c r="B2448" s="10"/>
      <c r="E2448" s="10"/>
      <c r="G2448" s="10"/>
      <c r="I2448" s="436" t="s">
        <v>798</v>
      </c>
      <c r="J2448" s="26" t="s">
        <v>797</v>
      </c>
      <c r="K2448" s="10">
        <v>54</v>
      </c>
      <c r="L2448" s="73">
        <f>IF(Tank1!$C$23="No control",(SUMIF(Tank1!$B$32:$B$49,$J2448,Tank1!$C$32:$C$49)*Impacts!$F$8),0)</f>
        <v>0</v>
      </c>
      <c r="M2448" s="10">
        <f>IF(Tank2!$C$23="No control",(SUMIF(Tank2!$B$32:$B$49,$J2448,Tank2!$C$32:$C$49)*Impacts!$F$9),0)</f>
        <v>0</v>
      </c>
      <c r="N2448" s="10">
        <f>IF(Tank3!$C$23="No control",(SUMIF(Tank3!$B$32:$B$49,$J2448,Tank3!$C$32:$C$49)*Impacts!$F$10),0)</f>
        <v>0</v>
      </c>
      <c r="O2448" s="10">
        <f>IF(Tank4!$C$23="No control",(SUMIF(Tank4!$B$32:$B$49,$J2448,Tank4!$C$32:$C$49)*Impacts!$F$11),0)</f>
        <v>0</v>
      </c>
      <c r="P2448" s="10">
        <f>IF(Tank5!$C$23="No control",(SUMIF(Tank5!$B$32:$B$49,$J2448,Tank5!$C$32:$C$49)*Impacts!$F$12),0)</f>
        <v>0</v>
      </c>
      <c r="Q2448" s="10">
        <f>IFERROR(IF(('Loading-drum,tote'!$C$21)="No control",SUMIF(('Loading-drum,tote'!$B$31:$B$48),$J2448,('Loading-drum,tote'!$D$31:$D$48))*Impacts!$F$13,IF(('Loading-drum,tote'!$C$21)&lt;&gt;"No control",SUMIF(('Loading-drum,tote'!$B$31:$B$48),$J2448,('Loading-drum,tote'!$E$31:$E$48))*Impacts!$F$13,0)),0)</f>
        <v>0</v>
      </c>
      <c r="R2448" s="10">
        <f>IFERROR(IF(('Loading-truck'!$C$21)="No control",SUMIF(('Loading-truck'!$B$31:$B$48),$J2448,('Loading-truck'!$D$31:$D$48))*Impacts!$F$14,IF(('Loading-truck'!$C$21)&lt;&gt;"No control",SUMIF(('Loading-truck'!$B$31:$B$48),$J2448,('Loading-truck'!$E$31:$E$48))*Impacts!$F$14,0)),0)</f>
        <v>0</v>
      </c>
      <c r="S2448" s="10">
        <f>IFERROR(IF(('Loading-rail'!$C$21)="No control",SUMIF(('Loading-rail'!$B$31:$B$48),$J2448,('Loading-rail'!$D$31:$D$48))*Impacts!$F$15,IF(('Loading-rail'!$C$21)&lt;&gt;"No control",SUMIF(('Loading-rail'!$B$31:$B$48),$J2448,('Loading-rail'!$E$31:$E$48))*Impacts!$F$15,0)),0)</f>
        <v>0</v>
      </c>
      <c r="T2448" s="10">
        <f>IF(Flare!$C$7="",0,(SUMIF(Flare!$B$46:$B$185,$J2448,Flare!$E$46:$E$185)*Impacts!$F$16))</f>
        <v>0</v>
      </c>
      <c r="U2448" s="10">
        <f>IF(VCU!$C$9="",0,(SUMIF(VCU!$B$51:$B$193,$J2448,VCU!$E$51:$E$193)*Impacts!$F$17))</f>
        <v>0</v>
      </c>
      <c r="V2448" s="10">
        <f>IF(CAS!$C$7="",0,(SUMIF(CAS!$B$31:$B$167,$J2448,CAS!$E$31:$E$167)*Impacts!$F$18))</f>
        <v>0</v>
      </c>
      <c r="W2448" s="10">
        <f t="shared" si="78"/>
        <v>0</v>
      </c>
      <c r="AK2448" s="10" t="str">
        <f t="array" ref="AK2448">IFERROR(INDEX(SelectedSpecies,SMALL(IF(SelectedSpecies=AK$1,ROW(SelectedSpecies)),ROW(2449:2449)),2),"")</f>
        <v/>
      </c>
      <c r="BE2448" s="10"/>
      <c r="BI2448" s="10"/>
    </row>
    <row r="2449" spans="1:61" ht="21" customHeight="1" x14ac:dyDescent="0.25">
      <c r="A2449" s="10"/>
      <c r="B2449" s="10"/>
      <c r="E2449" s="10"/>
      <c r="G2449" s="10"/>
      <c r="I2449" s="436" t="s">
        <v>8350</v>
      </c>
      <c r="J2449" s="26" t="s">
        <v>8349</v>
      </c>
      <c r="K2449" s="10">
        <v>2E-3</v>
      </c>
      <c r="L2449" s="73">
        <f>IF(Tank1!$C$23="No control",(SUMIF(Tank1!$B$32:$B$49,$J2449,Tank1!$C$32:$C$49)*Impacts!$F$8),0)</f>
        <v>0</v>
      </c>
      <c r="M2449" s="10">
        <f>IF(Tank2!$C$23="No control",(SUMIF(Tank2!$B$32:$B$49,$J2449,Tank2!$C$32:$C$49)*Impacts!$F$9),0)</f>
        <v>0</v>
      </c>
      <c r="N2449" s="10">
        <f>IF(Tank3!$C$23="No control",(SUMIF(Tank3!$B$32:$B$49,$J2449,Tank3!$C$32:$C$49)*Impacts!$F$10),0)</f>
        <v>0</v>
      </c>
      <c r="O2449" s="10">
        <f>IF(Tank4!$C$23="No control",(SUMIF(Tank4!$B$32:$B$49,$J2449,Tank4!$C$32:$C$49)*Impacts!$F$11),0)</f>
        <v>0</v>
      </c>
      <c r="P2449" s="10">
        <f>IF(Tank5!$C$23="No control",(SUMIF(Tank5!$B$32:$B$49,$J2449,Tank5!$C$32:$C$49)*Impacts!$F$12),0)</f>
        <v>0</v>
      </c>
      <c r="Q2449" s="10">
        <f>IFERROR(IF(('Loading-drum,tote'!$C$21)="No control",SUMIF(('Loading-drum,tote'!$B$31:$B$48),$J2449,('Loading-drum,tote'!$D$31:$D$48))*Impacts!$F$13,IF(('Loading-drum,tote'!$C$21)&lt;&gt;"No control",SUMIF(('Loading-drum,tote'!$B$31:$B$48),$J2449,('Loading-drum,tote'!$E$31:$E$48))*Impacts!$F$13,0)),0)</f>
        <v>0</v>
      </c>
      <c r="R2449" s="10">
        <f>IFERROR(IF(('Loading-truck'!$C$21)="No control",SUMIF(('Loading-truck'!$B$31:$B$48),$J2449,('Loading-truck'!$D$31:$D$48))*Impacts!$F$14,IF(('Loading-truck'!$C$21)&lt;&gt;"No control",SUMIF(('Loading-truck'!$B$31:$B$48),$J2449,('Loading-truck'!$E$31:$E$48))*Impacts!$F$14,0)),0)</f>
        <v>0</v>
      </c>
      <c r="S2449" s="10">
        <f>IFERROR(IF(('Loading-rail'!$C$21)="No control",SUMIF(('Loading-rail'!$B$31:$B$48),$J2449,('Loading-rail'!$D$31:$D$48))*Impacts!$F$15,IF(('Loading-rail'!$C$21)&lt;&gt;"No control",SUMIF(('Loading-rail'!$B$31:$B$48),$J2449,('Loading-rail'!$E$31:$E$48))*Impacts!$F$15,0)),0)</f>
        <v>0</v>
      </c>
      <c r="T2449" s="10">
        <f>IF(Flare!$C$7="",0,(SUMIF(Flare!$B$46:$B$185,$J2449,Flare!$E$46:$E$185)*Impacts!$F$16))</f>
        <v>0</v>
      </c>
      <c r="U2449" s="10">
        <f>IF(VCU!$C$9="",0,(SUMIF(VCU!$B$51:$B$193,$J2449,VCU!$E$51:$E$193)*Impacts!$F$17))</f>
        <v>0</v>
      </c>
      <c r="V2449" s="10">
        <f>IF(CAS!$C$7="",0,(SUMIF(CAS!$B$31:$B$167,$J2449,CAS!$E$31:$E$167)*Impacts!$F$18))</f>
        <v>0</v>
      </c>
      <c r="W2449" s="10">
        <f t="shared" si="78"/>
        <v>0</v>
      </c>
      <c r="AK2449" s="10" t="str">
        <f t="array" ref="AK2449">IFERROR(INDEX(SelectedSpecies,SMALL(IF(SelectedSpecies=AK$1,ROW(SelectedSpecies)),ROW(2450:2450)),2),"")</f>
        <v/>
      </c>
      <c r="BE2449" s="10"/>
      <c r="BI2449" s="10"/>
    </row>
    <row r="2450" spans="1:61" ht="21" customHeight="1" x14ac:dyDescent="0.25">
      <c r="A2450" s="10"/>
      <c r="B2450" s="10"/>
      <c r="E2450" s="10"/>
      <c r="G2450" s="10"/>
      <c r="I2450" s="436" t="s">
        <v>6868</v>
      </c>
      <c r="J2450" s="26" t="s">
        <v>6867</v>
      </c>
      <c r="K2450" s="10">
        <v>0.5</v>
      </c>
      <c r="L2450" s="73">
        <f>IF(Tank1!$C$23="No control",(SUMIF(Tank1!$B$32:$B$49,$J2450,Tank1!$C$32:$C$49)*Impacts!$F$8),0)</f>
        <v>0</v>
      </c>
      <c r="M2450" s="10">
        <f>IF(Tank2!$C$23="No control",(SUMIF(Tank2!$B$32:$B$49,$J2450,Tank2!$C$32:$C$49)*Impacts!$F$9),0)</f>
        <v>0</v>
      </c>
      <c r="N2450" s="10">
        <f>IF(Tank3!$C$23="No control",(SUMIF(Tank3!$B$32:$B$49,$J2450,Tank3!$C$32:$C$49)*Impacts!$F$10),0)</f>
        <v>0</v>
      </c>
      <c r="O2450" s="10">
        <f>IF(Tank4!$C$23="No control",(SUMIF(Tank4!$B$32:$B$49,$J2450,Tank4!$C$32:$C$49)*Impacts!$F$11),0)</f>
        <v>0</v>
      </c>
      <c r="P2450" s="10">
        <f>IF(Tank5!$C$23="No control",(SUMIF(Tank5!$B$32:$B$49,$J2450,Tank5!$C$32:$C$49)*Impacts!$F$12),0)</f>
        <v>0</v>
      </c>
      <c r="Q2450" s="10">
        <f>IFERROR(IF(('Loading-drum,tote'!$C$21)="No control",SUMIF(('Loading-drum,tote'!$B$31:$B$48),$J2450,('Loading-drum,tote'!$D$31:$D$48))*Impacts!$F$13,IF(('Loading-drum,tote'!$C$21)&lt;&gt;"No control",SUMIF(('Loading-drum,tote'!$B$31:$B$48),$J2450,('Loading-drum,tote'!$E$31:$E$48))*Impacts!$F$13,0)),0)</f>
        <v>0</v>
      </c>
      <c r="R2450" s="10">
        <f>IFERROR(IF(('Loading-truck'!$C$21)="No control",SUMIF(('Loading-truck'!$B$31:$B$48),$J2450,('Loading-truck'!$D$31:$D$48))*Impacts!$F$14,IF(('Loading-truck'!$C$21)&lt;&gt;"No control",SUMIF(('Loading-truck'!$B$31:$B$48),$J2450,('Loading-truck'!$E$31:$E$48))*Impacts!$F$14,0)),0)</f>
        <v>0</v>
      </c>
      <c r="S2450" s="10">
        <f>IFERROR(IF(('Loading-rail'!$C$21)="No control",SUMIF(('Loading-rail'!$B$31:$B$48),$J2450,('Loading-rail'!$D$31:$D$48))*Impacts!$F$15,IF(('Loading-rail'!$C$21)&lt;&gt;"No control",SUMIF(('Loading-rail'!$B$31:$B$48),$J2450,('Loading-rail'!$E$31:$E$48))*Impacts!$F$15,0)),0)</f>
        <v>0</v>
      </c>
      <c r="T2450" s="10">
        <f>IF(Flare!$C$7="",0,(SUMIF(Flare!$B$46:$B$185,$J2450,Flare!$E$46:$E$185)*Impacts!$F$16))</f>
        <v>0</v>
      </c>
      <c r="U2450" s="10">
        <f>IF(VCU!$C$9="",0,(SUMIF(VCU!$B$51:$B$193,$J2450,VCU!$E$51:$E$193)*Impacts!$F$17))</f>
        <v>0</v>
      </c>
      <c r="V2450" s="10">
        <f>IF(CAS!$C$7="",0,(SUMIF(CAS!$B$31:$B$167,$J2450,CAS!$E$31:$E$167)*Impacts!$F$18))</f>
        <v>0</v>
      </c>
      <c r="W2450" s="10">
        <f t="shared" si="78"/>
        <v>0</v>
      </c>
      <c r="AK2450" s="10" t="str">
        <f t="array" ref="AK2450">IFERROR(INDEX(SelectedSpecies,SMALL(IF(SelectedSpecies=AK$1,ROW(SelectedSpecies)),ROW(2451:2451)),2),"")</f>
        <v/>
      </c>
      <c r="BE2450" s="10"/>
      <c r="BI2450" s="10"/>
    </row>
    <row r="2451" spans="1:61" ht="21" customHeight="1" x14ac:dyDescent="0.25">
      <c r="A2451" s="10"/>
      <c r="B2451" s="10"/>
      <c r="E2451" s="10"/>
      <c r="G2451" s="10"/>
      <c r="I2451" s="436" t="s">
        <v>716</v>
      </c>
      <c r="J2451" s="26" t="s">
        <v>715</v>
      </c>
      <c r="K2451" s="10">
        <v>57</v>
      </c>
      <c r="L2451" s="73">
        <f>IF(Tank1!$C$23="No control",(SUMIF(Tank1!$B$32:$B$49,$J2451,Tank1!$C$32:$C$49)*Impacts!$F$8),0)</f>
        <v>0</v>
      </c>
      <c r="M2451" s="10">
        <f>IF(Tank2!$C$23="No control",(SUMIF(Tank2!$B$32:$B$49,$J2451,Tank2!$C$32:$C$49)*Impacts!$F$9),0)</f>
        <v>0</v>
      </c>
      <c r="N2451" s="10">
        <f>IF(Tank3!$C$23="No control",(SUMIF(Tank3!$B$32:$B$49,$J2451,Tank3!$C$32:$C$49)*Impacts!$F$10),0)</f>
        <v>0</v>
      </c>
      <c r="O2451" s="10">
        <f>IF(Tank4!$C$23="No control",(SUMIF(Tank4!$B$32:$B$49,$J2451,Tank4!$C$32:$C$49)*Impacts!$F$11),0)</f>
        <v>0</v>
      </c>
      <c r="P2451" s="10">
        <f>IF(Tank5!$C$23="No control",(SUMIF(Tank5!$B$32:$B$49,$J2451,Tank5!$C$32:$C$49)*Impacts!$F$12),0)</f>
        <v>0</v>
      </c>
      <c r="Q2451" s="10">
        <f>IFERROR(IF(('Loading-drum,tote'!$C$21)="No control",SUMIF(('Loading-drum,tote'!$B$31:$B$48),$J2451,('Loading-drum,tote'!$D$31:$D$48))*Impacts!$F$13,IF(('Loading-drum,tote'!$C$21)&lt;&gt;"No control",SUMIF(('Loading-drum,tote'!$B$31:$B$48),$J2451,('Loading-drum,tote'!$E$31:$E$48))*Impacts!$F$13,0)),0)</f>
        <v>0</v>
      </c>
      <c r="R2451" s="10">
        <f>IFERROR(IF(('Loading-truck'!$C$21)="No control",SUMIF(('Loading-truck'!$B$31:$B$48),$J2451,('Loading-truck'!$D$31:$D$48))*Impacts!$F$14,IF(('Loading-truck'!$C$21)&lt;&gt;"No control",SUMIF(('Loading-truck'!$B$31:$B$48),$J2451,('Loading-truck'!$E$31:$E$48))*Impacts!$F$14,0)),0)</f>
        <v>0</v>
      </c>
      <c r="S2451" s="10">
        <f>IFERROR(IF(('Loading-rail'!$C$21)="No control",SUMIF(('Loading-rail'!$B$31:$B$48),$J2451,('Loading-rail'!$D$31:$D$48))*Impacts!$F$15,IF(('Loading-rail'!$C$21)&lt;&gt;"No control",SUMIF(('Loading-rail'!$B$31:$B$48),$J2451,('Loading-rail'!$E$31:$E$48))*Impacts!$F$15,0)),0)</f>
        <v>0</v>
      </c>
      <c r="T2451" s="10">
        <f>IF(Flare!$C$7="",0,(SUMIF(Flare!$B$46:$B$185,$J2451,Flare!$E$46:$E$185)*Impacts!$F$16))</f>
        <v>0</v>
      </c>
      <c r="U2451" s="10">
        <f>IF(VCU!$C$9="",0,(SUMIF(VCU!$B$51:$B$193,$J2451,VCU!$E$51:$E$193)*Impacts!$F$17))</f>
        <v>0</v>
      </c>
      <c r="V2451" s="10">
        <f>IF(CAS!$C$7="",0,(SUMIF(CAS!$B$31:$B$167,$J2451,CAS!$E$31:$E$167)*Impacts!$F$18))</f>
        <v>0</v>
      </c>
      <c r="W2451" s="10">
        <f t="shared" si="78"/>
        <v>0</v>
      </c>
      <c r="AK2451" s="10" t="str">
        <f t="array" ref="AK2451">IFERROR(INDEX(SelectedSpecies,SMALL(IF(SelectedSpecies=AK$1,ROW(SelectedSpecies)),ROW(2452:2452)),2),"")</f>
        <v/>
      </c>
      <c r="BE2451" s="10"/>
      <c r="BI2451" s="10"/>
    </row>
    <row r="2452" spans="1:61" ht="21" customHeight="1" x14ac:dyDescent="0.25">
      <c r="A2452" s="10"/>
      <c r="B2452" s="10"/>
      <c r="E2452" s="10"/>
      <c r="G2452" s="10"/>
      <c r="I2452" s="436" t="s">
        <v>1971</v>
      </c>
      <c r="J2452" s="26" t="s">
        <v>1970</v>
      </c>
      <c r="K2452" s="10">
        <v>18</v>
      </c>
      <c r="L2452" s="73">
        <f>IF(Tank1!$C$23="No control",(SUMIF(Tank1!$B$32:$B$49,$J2452,Tank1!$C$32:$C$49)*Impacts!$F$8),0)</f>
        <v>0</v>
      </c>
      <c r="M2452" s="10">
        <f>IF(Tank2!$C$23="No control",(SUMIF(Tank2!$B$32:$B$49,$J2452,Tank2!$C$32:$C$49)*Impacts!$F$9),0)</f>
        <v>0</v>
      </c>
      <c r="N2452" s="10">
        <f>IF(Tank3!$C$23="No control",(SUMIF(Tank3!$B$32:$B$49,$J2452,Tank3!$C$32:$C$49)*Impacts!$F$10),0)</f>
        <v>0</v>
      </c>
      <c r="O2452" s="10">
        <f>IF(Tank4!$C$23="No control",(SUMIF(Tank4!$B$32:$B$49,$J2452,Tank4!$C$32:$C$49)*Impacts!$F$11),0)</f>
        <v>0</v>
      </c>
      <c r="P2452" s="10">
        <f>IF(Tank5!$C$23="No control",(SUMIF(Tank5!$B$32:$B$49,$J2452,Tank5!$C$32:$C$49)*Impacts!$F$12),0)</f>
        <v>0</v>
      </c>
      <c r="Q2452" s="10">
        <f>IFERROR(IF(('Loading-drum,tote'!$C$21)="No control",SUMIF(('Loading-drum,tote'!$B$31:$B$48),$J2452,('Loading-drum,tote'!$D$31:$D$48))*Impacts!$F$13,IF(('Loading-drum,tote'!$C$21)&lt;&gt;"No control",SUMIF(('Loading-drum,tote'!$B$31:$B$48),$J2452,('Loading-drum,tote'!$E$31:$E$48))*Impacts!$F$13,0)),0)</f>
        <v>0</v>
      </c>
      <c r="R2452" s="10">
        <f>IFERROR(IF(('Loading-truck'!$C$21)="No control",SUMIF(('Loading-truck'!$B$31:$B$48),$J2452,('Loading-truck'!$D$31:$D$48))*Impacts!$F$14,IF(('Loading-truck'!$C$21)&lt;&gt;"No control",SUMIF(('Loading-truck'!$B$31:$B$48),$J2452,('Loading-truck'!$E$31:$E$48))*Impacts!$F$14,0)),0)</f>
        <v>0</v>
      </c>
      <c r="S2452" s="10">
        <f>IFERROR(IF(('Loading-rail'!$C$21)="No control",SUMIF(('Loading-rail'!$B$31:$B$48),$J2452,('Loading-rail'!$D$31:$D$48))*Impacts!$F$15,IF(('Loading-rail'!$C$21)&lt;&gt;"No control",SUMIF(('Loading-rail'!$B$31:$B$48),$J2452,('Loading-rail'!$E$31:$E$48))*Impacts!$F$15,0)),0)</f>
        <v>0</v>
      </c>
      <c r="T2452" s="10">
        <f>IF(Flare!$C$7="",0,(SUMIF(Flare!$B$46:$B$185,$J2452,Flare!$E$46:$E$185)*Impacts!$F$16))</f>
        <v>0</v>
      </c>
      <c r="U2452" s="10">
        <f>IF(VCU!$C$9="",0,(SUMIF(VCU!$B$51:$B$193,$J2452,VCU!$E$51:$E$193)*Impacts!$F$17))</f>
        <v>0</v>
      </c>
      <c r="V2452" s="10">
        <f>IF(CAS!$C$7="",0,(SUMIF(CAS!$B$31:$B$167,$J2452,CAS!$E$31:$E$167)*Impacts!$F$18))</f>
        <v>0</v>
      </c>
      <c r="W2452" s="10">
        <f t="shared" si="78"/>
        <v>0</v>
      </c>
      <c r="AK2452" s="10" t="str">
        <f t="array" ref="AK2452">IFERROR(INDEX(SelectedSpecies,SMALL(IF(SelectedSpecies=AK$1,ROW(SelectedSpecies)),ROW(2453:2453)),2),"")</f>
        <v/>
      </c>
      <c r="BE2452" s="10"/>
      <c r="BI2452" s="10"/>
    </row>
    <row r="2453" spans="1:61" ht="21" customHeight="1" x14ac:dyDescent="0.25">
      <c r="A2453" s="10"/>
      <c r="B2453" s="10"/>
      <c r="E2453" s="10"/>
      <c r="G2453" s="10"/>
      <c r="I2453" s="436" t="s">
        <v>6586</v>
      </c>
      <c r="J2453" s="26" t="s">
        <v>6585</v>
      </c>
      <c r="K2453" s="10">
        <v>0.62000000000000011</v>
      </c>
      <c r="L2453" s="73">
        <f>IF(Tank1!$C$23="No control",(SUMIF(Tank1!$B$32:$B$49,$J2453,Tank1!$C$32:$C$49)*Impacts!$F$8),0)</f>
        <v>0</v>
      </c>
      <c r="M2453" s="10">
        <f>IF(Tank2!$C$23="No control",(SUMIF(Tank2!$B$32:$B$49,$J2453,Tank2!$C$32:$C$49)*Impacts!$F$9),0)</f>
        <v>0</v>
      </c>
      <c r="N2453" s="10">
        <f>IF(Tank3!$C$23="No control",(SUMIF(Tank3!$B$32:$B$49,$J2453,Tank3!$C$32:$C$49)*Impacts!$F$10),0)</f>
        <v>0</v>
      </c>
      <c r="O2453" s="10">
        <f>IF(Tank4!$C$23="No control",(SUMIF(Tank4!$B$32:$B$49,$J2453,Tank4!$C$32:$C$49)*Impacts!$F$11),0)</f>
        <v>0</v>
      </c>
      <c r="P2453" s="10">
        <f>IF(Tank5!$C$23="No control",(SUMIF(Tank5!$B$32:$B$49,$J2453,Tank5!$C$32:$C$49)*Impacts!$F$12),0)</f>
        <v>0</v>
      </c>
      <c r="Q2453" s="10">
        <f>IFERROR(IF(('Loading-drum,tote'!$C$21)="No control",SUMIF(('Loading-drum,tote'!$B$31:$B$48),$J2453,('Loading-drum,tote'!$D$31:$D$48))*Impacts!$F$13,IF(('Loading-drum,tote'!$C$21)&lt;&gt;"No control",SUMIF(('Loading-drum,tote'!$B$31:$B$48),$J2453,('Loading-drum,tote'!$E$31:$E$48))*Impacts!$F$13,0)),0)</f>
        <v>0</v>
      </c>
      <c r="R2453" s="10">
        <f>IFERROR(IF(('Loading-truck'!$C$21)="No control",SUMIF(('Loading-truck'!$B$31:$B$48),$J2453,('Loading-truck'!$D$31:$D$48))*Impacts!$F$14,IF(('Loading-truck'!$C$21)&lt;&gt;"No control",SUMIF(('Loading-truck'!$B$31:$B$48),$J2453,('Loading-truck'!$E$31:$E$48))*Impacts!$F$14,0)),0)</f>
        <v>0</v>
      </c>
      <c r="S2453" s="10">
        <f>IFERROR(IF(('Loading-rail'!$C$21)="No control",SUMIF(('Loading-rail'!$B$31:$B$48),$J2453,('Loading-rail'!$D$31:$D$48))*Impacts!$F$15,IF(('Loading-rail'!$C$21)&lt;&gt;"No control",SUMIF(('Loading-rail'!$B$31:$B$48),$J2453,('Loading-rail'!$E$31:$E$48))*Impacts!$F$15,0)),0)</f>
        <v>0</v>
      </c>
      <c r="T2453" s="10">
        <f>IF(Flare!$C$7="",0,(SUMIF(Flare!$B$46:$B$185,$J2453,Flare!$E$46:$E$185)*Impacts!$F$16))</f>
        <v>0</v>
      </c>
      <c r="U2453" s="10">
        <f>IF(VCU!$C$9="",0,(SUMIF(VCU!$B$51:$B$193,$J2453,VCU!$E$51:$E$193)*Impacts!$F$17))</f>
        <v>0</v>
      </c>
      <c r="V2453" s="10">
        <f>IF(CAS!$C$7="",0,(SUMIF(CAS!$B$31:$B$167,$J2453,CAS!$E$31:$E$167)*Impacts!$F$18))</f>
        <v>0</v>
      </c>
      <c r="W2453" s="10">
        <f t="shared" si="78"/>
        <v>0</v>
      </c>
      <c r="AK2453" s="10" t="str">
        <f t="array" ref="AK2453">IFERROR(INDEX(SelectedSpecies,SMALL(IF(SelectedSpecies=AK$1,ROW(SelectedSpecies)),ROW(2454:2454)),2),"")</f>
        <v/>
      </c>
      <c r="BE2453" s="10"/>
      <c r="BI2453" s="10"/>
    </row>
    <row r="2454" spans="1:61" ht="21" customHeight="1" x14ac:dyDescent="0.25">
      <c r="A2454" s="10"/>
      <c r="B2454" s="10"/>
      <c r="E2454" s="10"/>
      <c r="G2454" s="10"/>
      <c r="I2454" s="436" t="s">
        <v>2145</v>
      </c>
      <c r="J2454" s="26" t="s">
        <v>2144</v>
      </c>
      <c r="K2454" s="10">
        <v>15</v>
      </c>
      <c r="L2454" s="73">
        <f>IF(Tank1!$C$23="No control",(SUMIF(Tank1!$B$32:$B$49,$J2454,Tank1!$C$32:$C$49)*Impacts!$F$8),0)</f>
        <v>0</v>
      </c>
      <c r="M2454" s="10">
        <f>IF(Tank2!$C$23="No control",(SUMIF(Tank2!$B$32:$B$49,$J2454,Tank2!$C$32:$C$49)*Impacts!$F$9),0)</f>
        <v>0</v>
      </c>
      <c r="N2454" s="10">
        <f>IF(Tank3!$C$23="No control",(SUMIF(Tank3!$B$32:$B$49,$J2454,Tank3!$C$32:$C$49)*Impacts!$F$10),0)</f>
        <v>0</v>
      </c>
      <c r="O2454" s="10">
        <f>IF(Tank4!$C$23="No control",(SUMIF(Tank4!$B$32:$B$49,$J2454,Tank4!$C$32:$C$49)*Impacts!$F$11),0)</f>
        <v>0</v>
      </c>
      <c r="P2454" s="10">
        <f>IF(Tank5!$C$23="No control",(SUMIF(Tank5!$B$32:$B$49,$J2454,Tank5!$C$32:$C$49)*Impacts!$F$12),0)</f>
        <v>0</v>
      </c>
      <c r="Q2454" s="10">
        <f>IFERROR(IF(('Loading-drum,tote'!$C$21)="No control",SUMIF(('Loading-drum,tote'!$B$31:$B$48),$J2454,('Loading-drum,tote'!$D$31:$D$48))*Impacts!$F$13,IF(('Loading-drum,tote'!$C$21)&lt;&gt;"No control",SUMIF(('Loading-drum,tote'!$B$31:$B$48),$J2454,('Loading-drum,tote'!$E$31:$E$48))*Impacts!$F$13,0)),0)</f>
        <v>0</v>
      </c>
      <c r="R2454" s="10">
        <f>IFERROR(IF(('Loading-truck'!$C$21)="No control",SUMIF(('Loading-truck'!$B$31:$B$48),$J2454,('Loading-truck'!$D$31:$D$48))*Impacts!$F$14,IF(('Loading-truck'!$C$21)&lt;&gt;"No control",SUMIF(('Loading-truck'!$B$31:$B$48),$J2454,('Loading-truck'!$E$31:$E$48))*Impacts!$F$14,0)),0)</f>
        <v>0</v>
      </c>
      <c r="S2454" s="10">
        <f>IFERROR(IF(('Loading-rail'!$C$21)="No control",SUMIF(('Loading-rail'!$B$31:$B$48),$J2454,('Loading-rail'!$D$31:$D$48))*Impacts!$F$15,IF(('Loading-rail'!$C$21)&lt;&gt;"No control",SUMIF(('Loading-rail'!$B$31:$B$48),$J2454,('Loading-rail'!$E$31:$E$48))*Impacts!$F$15,0)),0)</f>
        <v>0</v>
      </c>
      <c r="T2454" s="10">
        <f>IF(Flare!$C$7="",0,(SUMIF(Flare!$B$46:$B$185,$J2454,Flare!$E$46:$E$185)*Impacts!$F$16))</f>
        <v>0</v>
      </c>
      <c r="U2454" s="10">
        <f>IF(VCU!$C$9="",0,(SUMIF(VCU!$B$51:$B$193,$J2454,VCU!$E$51:$E$193)*Impacts!$F$17))</f>
        <v>0</v>
      </c>
      <c r="V2454" s="10">
        <f>IF(CAS!$C$7="",0,(SUMIF(CAS!$B$31:$B$167,$J2454,CAS!$E$31:$E$167)*Impacts!$F$18))</f>
        <v>0</v>
      </c>
      <c r="W2454" s="10">
        <f t="shared" si="78"/>
        <v>0</v>
      </c>
      <c r="AK2454" s="10" t="str">
        <f t="array" ref="AK2454">IFERROR(INDEX(SelectedSpecies,SMALL(IF(SelectedSpecies=AK$1,ROW(SelectedSpecies)),ROW(2455:2455)),2),"")</f>
        <v/>
      </c>
      <c r="BE2454" s="10"/>
      <c r="BI2454" s="10"/>
    </row>
    <row r="2455" spans="1:61" ht="21" customHeight="1" x14ac:dyDescent="0.25">
      <c r="A2455" s="10"/>
      <c r="B2455" s="10"/>
      <c r="E2455" s="10"/>
      <c r="G2455" s="10"/>
      <c r="I2455" s="436" t="s">
        <v>6254</v>
      </c>
      <c r="J2455" s="26" t="s">
        <v>6253</v>
      </c>
      <c r="K2455" s="10">
        <v>0.9900000000000001</v>
      </c>
      <c r="L2455" s="73">
        <f>IF(Tank1!$C$23="No control",(SUMIF(Tank1!$B$32:$B$49,$J2455,Tank1!$C$32:$C$49)*Impacts!$F$8),0)</f>
        <v>0</v>
      </c>
      <c r="M2455" s="10">
        <f>IF(Tank2!$C$23="No control",(SUMIF(Tank2!$B$32:$B$49,$J2455,Tank2!$C$32:$C$49)*Impacts!$F$9),0)</f>
        <v>0</v>
      </c>
      <c r="N2455" s="10">
        <f>IF(Tank3!$C$23="No control",(SUMIF(Tank3!$B$32:$B$49,$J2455,Tank3!$C$32:$C$49)*Impacts!$F$10),0)</f>
        <v>0</v>
      </c>
      <c r="O2455" s="10">
        <f>IF(Tank4!$C$23="No control",(SUMIF(Tank4!$B$32:$B$49,$J2455,Tank4!$C$32:$C$49)*Impacts!$F$11),0)</f>
        <v>0</v>
      </c>
      <c r="P2455" s="10">
        <f>IF(Tank5!$C$23="No control",(SUMIF(Tank5!$B$32:$B$49,$J2455,Tank5!$C$32:$C$49)*Impacts!$F$12),0)</f>
        <v>0</v>
      </c>
      <c r="Q2455" s="10">
        <f>IFERROR(IF(('Loading-drum,tote'!$C$21)="No control",SUMIF(('Loading-drum,tote'!$B$31:$B$48),$J2455,('Loading-drum,tote'!$D$31:$D$48))*Impacts!$F$13,IF(('Loading-drum,tote'!$C$21)&lt;&gt;"No control",SUMIF(('Loading-drum,tote'!$B$31:$B$48),$J2455,('Loading-drum,tote'!$E$31:$E$48))*Impacts!$F$13,0)),0)</f>
        <v>0</v>
      </c>
      <c r="R2455" s="10">
        <f>IFERROR(IF(('Loading-truck'!$C$21)="No control",SUMIF(('Loading-truck'!$B$31:$B$48),$J2455,('Loading-truck'!$D$31:$D$48))*Impacts!$F$14,IF(('Loading-truck'!$C$21)&lt;&gt;"No control",SUMIF(('Loading-truck'!$B$31:$B$48),$J2455,('Loading-truck'!$E$31:$E$48))*Impacts!$F$14,0)),0)</f>
        <v>0</v>
      </c>
      <c r="S2455" s="10">
        <f>IFERROR(IF(('Loading-rail'!$C$21)="No control",SUMIF(('Loading-rail'!$B$31:$B$48),$J2455,('Loading-rail'!$D$31:$D$48))*Impacts!$F$15,IF(('Loading-rail'!$C$21)&lt;&gt;"No control",SUMIF(('Loading-rail'!$B$31:$B$48),$J2455,('Loading-rail'!$E$31:$E$48))*Impacts!$F$15,0)),0)</f>
        <v>0</v>
      </c>
      <c r="T2455" s="10">
        <f>IF(Flare!$C$7="",0,(SUMIF(Flare!$B$46:$B$185,$J2455,Flare!$E$46:$E$185)*Impacts!$F$16))</f>
        <v>0</v>
      </c>
      <c r="U2455" s="10">
        <f>IF(VCU!$C$9="",0,(SUMIF(VCU!$B$51:$B$193,$J2455,VCU!$E$51:$E$193)*Impacts!$F$17))</f>
        <v>0</v>
      </c>
      <c r="V2455" s="10">
        <f>IF(CAS!$C$7="",0,(SUMIF(CAS!$B$31:$B$167,$J2455,CAS!$E$31:$E$167)*Impacts!$F$18))</f>
        <v>0</v>
      </c>
      <c r="W2455" s="10">
        <f t="shared" si="78"/>
        <v>0</v>
      </c>
      <c r="AK2455" s="10" t="str">
        <f t="array" ref="AK2455">IFERROR(INDEX(SelectedSpecies,SMALL(IF(SelectedSpecies=AK$1,ROW(SelectedSpecies)),ROW(2456:2456)),2),"")</f>
        <v/>
      </c>
      <c r="BE2455" s="10"/>
      <c r="BI2455" s="10"/>
    </row>
    <row r="2456" spans="1:61" ht="21" customHeight="1" x14ac:dyDescent="0.25">
      <c r="A2456" s="10"/>
      <c r="B2456" s="10"/>
      <c r="E2456" s="10"/>
      <c r="G2456" s="10"/>
      <c r="I2456" s="436" t="s">
        <v>1622</v>
      </c>
      <c r="J2456" s="26" t="s">
        <v>1621</v>
      </c>
      <c r="K2456" s="10">
        <v>25</v>
      </c>
      <c r="L2456" s="73">
        <f>IF(Tank1!$C$23="No control",(SUMIF(Tank1!$B$32:$B$49,$J2456,Tank1!$C$32:$C$49)*Impacts!$F$8),0)</f>
        <v>0</v>
      </c>
      <c r="M2456" s="10">
        <f>IF(Tank2!$C$23="No control",(SUMIF(Tank2!$B$32:$B$49,$J2456,Tank2!$C$32:$C$49)*Impacts!$F$9),0)</f>
        <v>0</v>
      </c>
      <c r="N2456" s="10">
        <f>IF(Tank3!$C$23="No control",(SUMIF(Tank3!$B$32:$B$49,$J2456,Tank3!$C$32:$C$49)*Impacts!$F$10),0)</f>
        <v>0</v>
      </c>
      <c r="O2456" s="10">
        <f>IF(Tank4!$C$23="No control",(SUMIF(Tank4!$B$32:$B$49,$J2456,Tank4!$C$32:$C$49)*Impacts!$F$11),0)</f>
        <v>0</v>
      </c>
      <c r="P2456" s="10">
        <f>IF(Tank5!$C$23="No control",(SUMIF(Tank5!$B$32:$B$49,$J2456,Tank5!$C$32:$C$49)*Impacts!$F$12),0)</f>
        <v>0</v>
      </c>
      <c r="Q2456" s="10">
        <f>IFERROR(IF(('Loading-drum,tote'!$C$21)="No control",SUMIF(('Loading-drum,tote'!$B$31:$B$48),$J2456,('Loading-drum,tote'!$D$31:$D$48))*Impacts!$F$13,IF(('Loading-drum,tote'!$C$21)&lt;&gt;"No control",SUMIF(('Loading-drum,tote'!$B$31:$B$48),$J2456,('Loading-drum,tote'!$E$31:$E$48))*Impacts!$F$13,0)),0)</f>
        <v>0</v>
      </c>
      <c r="R2456" s="10">
        <f>IFERROR(IF(('Loading-truck'!$C$21)="No control",SUMIF(('Loading-truck'!$B$31:$B$48),$J2456,('Loading-truck'!$D$31:$D$48))*Impacts!$F$14,IF(('Loading-truck'!$C$21)&lt;&gt;"No control",SUMIF(('Loading-truck'!$B$31:$B$48),$J2456,('Loading-truck'!$E$31:$E$48))*Impacts!$F$14,0)),0)</f>
        <v>0</v>
      </c>
      <c r="S2456" s="10">
        <f>IFERROR(IF(('Loading-rail'!$C$21)="No control",SUMIF(('Loading-rail'!$B$31:$B$48),$J2456,('Loading-rail'!$D$31:$D$48))*Impacts!$F$15,IF(('Loading-rail'!$C$21)&lt;&gt;"No control",SUMIF(('Loading-rail'!$B$31:$B$48),$J2456,('Loading-rail'!$E$31:$E$48))*Impacts!$F$15,0)),0)</f>
        <v>0</v>
      </c>
      <c r="T2456" s="10">
        <f>IF(Flare!$C$7="",0,(SUMIF(Flare!$B$46:$B$185,$J2456,Flare!$E$46:$E$185)*Impacts!$F$16))</f>
        <v>0</v>
      </c>
      <c r="U2456" s="10">
        <f>IF(VCU!$C$9="",0,(SUMIF(VCU!$B$51:$B$193,$J2456,VCU!$E$51:$E$193)*Impacts!$F$17))</f>
        <v>0</v>
      </c>
      <c r="V2456" s="10">
        <f>IF(CAS!$C$7="",0,(SUMIF(CAS!$B$31:$B$167,$J2456,CAS!$E$31:$E$167)*Impacts!$F$18))</f>
        <v>0</v>
      </c>
      <c r="W2456" s="10">
        <f t="shared" si="78"/>
        <v>0</v>
      </c>
      <c r="AK2456" s="10" t="str">
        <f t="array" ref="AK2456">IFERROR(INDEX(SelectedSpecies,SMALL(IF(SelectedSpecies=AK$1,ROW(SelectedSpecies)),ROW(2457:2457)),2),"")</f>
        <v/>
      </c>
      <c r="BE2456" s="10"/>
      <c r="BI2456" s="10"/>
    </row>
    <row r="2457" spans="1:61" ht="21" customHeight="1" x14ac:dyDescent="0.25">
      <c r="A2457" s="10"/>
      <c r="B2457" s="10"/>
      <c r="E2457" s="10"/>
      <c r="G2457" s="10"/>
      <c r="I2457" s="436" t="s">
        <v>3611</v>
      </c>
      <c r="J2457" s="26" t="s">
        <v>3610</v>
      </c>
      <c r="K2457" s="10">
        <v>7.5</v>
      </c>
      <c r="L2457" s="73">
        <f>IF(Tank1!$C$23="No control",(SUMIF(Tank1!$B$32:$B$49,$J2457,Tank1!$C$32:$C$49)*Impacts!$F$8),0)</f>
        <v>0</v>
      </c>
      <c r="M2457" s="10">
        <f>IF(Tank2!$C$23="No control",(SUMIF(Tank2!$B$32:$B$49,$J2457,Tank2!$C$32:$C$49)*Impacts!$F$9),0)</f>
        <v>0</v>
      </c>
      <c r="N2457" s="10">
        <f>IF(Tank3!$C$23="No control",(SUMIF(Tank3!$B$32:$B$49,$J2457,Tank3!$C$32:$C$49)*Impacts!$F$10),0)</f>
        <v>0</v>
      </c>
      <c r="O2457" s="10">
        <f>IF(Tank4!$C$23="No control",(SUMIF(Tank4!$B$32:$B$49,$J2457,Tank4!$C$32:$C$49)*Impacts!$F$11),0)</f>
        <v>0</v>
      </c>
      <c r="P2457" s="10">
        <f>IF(Tank5!$C$23="No control",(SUMIF(Tank5!$B$32:$B$49,$J2457,Tank5!$C$32:$C$49)*Impacts!$F$12),0)</f>
        <v>0</v>
      </c>
      <c r="Q2457" s="10">
        <f>IFERROR(IF(('Loading-drum,tote'!$C$21)="No control",SUMIF(('Loading-drum,tote'!$B$31:$B$48),$J2457,('Loading-drum,tote'!$D$31:$D$48))*Impacts!$F$13,IF(('Loading-drum,tote'!$C$21)&lt;&gt;"No control",SUMIF(('Loading-drum,tote'!$B$31:$B$48),$J2457,('Loading-drum,tote'!$E$31:$E$48))*Impacts!$F$13,0)),0)</f>
        <v>0</v>
      </c>
      <c r="R2457" s="10">
        <f>IFERROR(IF(('Loading-truck'!$C$21)="No control",SUMIF(('Loading-truck'!$B$31:$B$48),$J2457,('Loading-truck'!$D$31:$D$48))*Impacts!$F$14,IF(('Loading-truck'!$C$21)&lt;&gt;"No control",SUMIF(('Loading-truck'!$B$31:$B$48),$J2457,('Loading-truck'!$E$31:$E$48))*Impacts!$F$14,0)),0)</f>
        <v>0</v>
      </c>
      <c r="S2457" s="10">
        <f>IFERROR(IF(('Loading-rail'!$C$21)="No control",SUMIF(('Loading-rail'!$B$31:$B$48),$J2457,('Loading-rail'!$D$31:$D$48))*Impacts!$F$15,IF(('Loading-rail'!$C$21)&lt;&gt;"No control",SUMIF(('Loading-rail'!$B$31:$B$48),$J2457,('Loading-rail'!$E$31:$E$48))*Impacts!$F$15,0)),0)</f>
        <v>0</v>
      </c>
      <c r="T2457" s="10">
        <f>IF(Flare!$C$7="",0,(SUMIF(Flare!$B$46:$B$185,$J2457,Flare!$E$46:$E$185)*Impacts!$F$16))</f>
        <v>0</v>
      </c>
      <c r="U2457" s="10">
        <f>IF(VCU!$C$9="",0,(SUMIF(VCU!$B$51:$B$193,$J2457,VCU!$E$51:$E$193)*Impacts!$F$17))</f>
        <v>0</v>
      </c>
      <c r="V2457" s="10">
        <f>IF(CAS!$C$7="",0,(SUMIF(CAS!$B$31:$B$167,$J2457,CAS!$E$31:$E$167)*Impacts!$F$18))</f>
        <v>0</v>
      </c>
      <c r="W2457" s="10">
        <f t="shared" si="78"/>
        <v>0</v>
      </c>
      <c r="AK2457" s="10" t="str">
        <f t="array" ref="AK2457">IFERROR(INDEX(SelectedSpecies,SMALL(IF(SelectedSpecies=AK$1,ROW(SelectedSpecies)),ROW(2458:2458)),2),"")</f>
        <v/>
      </c>
      <c r="BE2457" s="10"/>
      <c r="BI2457" s="10"/>
    </row>
    <row r="2458" spans="1:61" ht="21" customHeight="1" x14ac:dyDescent="0.25">
      <c r="A2458" s="10"/>
      <c r="B2458" s="10"/>
      <c r="E2458" s="10"/>
      <c r="G2458" s="10"/>
      <c r="I2458" s="436" t="s">
        <v>6644</v>
      </c>
      <c r="J2458" s="26" t="s">
        <v>6643</v>
      </c>
      <c r="K2458" s="10">
        <v>0.60000000000000009</v>
      </c>
      <c r="L2458" s="73">
        <f>IF(Tank1!$C$23="No control",(SUMIF(Tank1!$B$32:$B$49,$J2458,Tank1!$C$32:$C$49)*Impacts!$F$8),0)</f>
        <v>0</v>
      </c>
      <c r="M2458" s="10">
        <f>IF(Tank2!$C$23="No control",(SUMIF(Tank2!$B$32:$B$49,$J2458,Tank2!$C$32:$C$49)*Impacts!$F$9),0)</f>
        <v>0</v>
      </c>
      <c r="N2458" s="10">
        <f>IF(Tank3!$C$23="No control",(SUMIF(Tank3!$B$32:$B$49,$J2458,Tank3!$C$32:$C$49)*Impacts!$F$10),0)</f>
        <v>0</v>
      </c>
      <c r="O2458" s="10">
        <f>IF(Tank4!$C$23="No control",(SUMIF(Tank4!$B$32:$B$49,$J2458,Tank4!$C$32:$C$49)*Impacts!$F$11),0)</f>
        <v>0</v>
      </c>
      <c r="P2458" s="10">
        <f>IF(Tank5!$C$23="No control",(SUMIF(Tank5!$B$32:$B$49,$J2458,Tank5!$C$32:$C$49)*Impacts!$F$12),0)</f>
        <v>0</v>
      </c>
      <c r="Q2458" s="10">
        <f>IFERROR(IF(('Loading-drum,tote'!$C$21)="No control",SUMIF(('Loading-drum,tote'!$B$31:$B$48),$J2458,('Loading-drum,tote'!$D$31:$D$48))*Impacts!$F$13,IF(('Loading-drum,tote'!$C$21)&lt;&gt;"No control",SUMIF(('Loading-drum,tote'!$B$31:$B$48),$J2458,('Loading-drum,tote'!$E$31:$E$48))*Impacts!$F$13,0)),0)</f>
        <v>0</v>
      </c>
      <c r="R2458" s="10">
        <f>IFERROR(IF(('Loading-truck'!$C$21)="No control",SUMIF(('Loading-truck'!$B$31:$B$48),$J2458,('Loading-truck'!$D$31:$D$48))*Impacts!$F$14,IF(('Loading-truck'!$C$21)&lt;&gt;"No control",SUMIF(('Loading-truck'!$B$31:$B$48),$J2458,('Loading-truck'!$E$31:$E$48))*Impacts!$F$14,0)),0)</f>
        <v>0</v>
      </c>
      <c r="S2458" s="10">
        <f>IFERROR(IF(('Loading-rail'!$C$21)="No control",SUMIF(('Loading-rail'!$B$31:$B$48),$J2458,('Loading-rail'!$D$31:$D$48))*Impacts!$F$15,IF(('Loading-rail'!$C$21)&lt;&gt;"No control",SUMIF(('Loading-rail'!$B$31:$B$48),$J2458,('Loading-rail'!$E$31:$E$48))*Impacts!$F$15,0)),0)</f>
        <v>0</v>
      </c>
      <c r="T2458" s="10">
        <f>IF(Flare!$C$7="",0,(SUMIF(Flare!$B$46:$B$185,$J2458,Flare!$E$46:$E$185)*Impacts!$F$16))</f>
        <v>0</v>
      </c>
      <c r="U2458" s="10">
        <f>IF(VCU!$C$9="",0,(SUMIF(VCU!$B$51:$B$193,$J2458,VCU!$E$51:$E$193)*Impacts!$F$17))</f>
        <v>0</v>
      </c>
      <c r="V2458" s="10">
        <f>IF(CAS!$C$7="",0,(SUMIF(CAS!$B$31:$B$167,$J2458,CAS!$E$31:$E$167)*Impacts!$F$18))</f>
        <v>0</v>
      </c>
      <c r="W2458" s="10">
        <f t="shared" ref="W2458:W2521" si="79">SUM(L2458:V2458)</f>
        <v>0</v>
      </c>
      <c r="AK2458" s="10" t="str">
        <f t="array" ref="AK2458">IFERROR(INDEX(SelectedSpecies,SMALL(IF(SelectedSpecies=AK$1,ROW(SelectedSpecies)),ROW(2459:2459)),2),"")</f>
        <v/>
      </c>
      <c r="BE2458" s="10"/>
      <c r="BI2458" s="10"/>
    </row>
    <row r="2459" spans="1:61" ht="21" customHeight="1" x14ac:dyDescent="0.25">
      <c r="A2459" s="10"/>
      <c r="B2459" s="10"/>
      <c r="E2459" s="10"/>
      <c r="G2459" s="10"/>
      <c r="I2459" s="436" t="s">
        <v>6694</v>
      </c>
      <c r="J2459" s="26" t="s">
        <v>6693</v>
      </c>
      <c r="K2459" s="10">
        <v>0.54</v>
      </c>
      <c r="L2459" s="73">
        <f>IF(Tank1!$C$23="No control",(SUMIF(Tank1!$B$32:$B$49,$J2459,Tank1!$C$32:$C$49)*Impacts!$F$8),0)</f>
        <v>0</v>
      </c>
      <c r="M2459" s="10">
        <f>IF(Tank2!$C$23="No control",(SUMIF(Tank2!$B$32:$B$49,$J2459,Tank2!$C$32:$C$49)*Impacts!$F$9),0)</f>
        <v>0</v>
      </c>
      <c r="N2459" s="10">
        <f>IF(Tank3!$C$23="No control",(SUMIF(Tank3!$B$32:$B$49,$J2459,Tank3!$C$32:$C$49)*Impacts!$F$10),0)</f>
        <v>0</v>
      </c>
      <c r="O2459" s="10">
        <f>IF(Tank4!$C$23="No control",(SUMIF(Tank4!$B$32:$B$49,$J2459,Tank4!$C$32:$C$49)*Impacts!$F$11),0)</f>
        <v>0</v>
      </c>
      <c r="P2459" s="10">
        <f>IF(Tank5!$C$23="No control",(SUMIF(Tank5!$B$32:$B$49,$J2459,Tank5!$C$32:$C$49)*Impacts!$F$12),0)</f>
        <v>0</v>
      </c>
      <c r="Q2459" s="10">
        <f>IFERROR(IF(('Loading-drum,tote'!$C$21)="No control",SUMIF(('Loading-drum,tote'!$B$31:$B$48),$J2459,('Loading-drum,tote'!$D$31:$D$48))*Impacts!$F$13,IF(('Loading-drum,tote'!$C$21)&lt;&gt;"No control",SUMIF(('Loading-drum,tote'!$B$31:$B$48),$J2459,('Loading-drum,tote'!$E$31:$E$48))*Impacts!$F$13,0)),0)</f>
        <v>0</v>
      </c>
      <c r="R2459" s="10">
        <f>IFERROR(IF(('Loading-truck'!$C$21)="No control",SUMIF(('Loading-truck'!$B$31:$B$48),$J2459,('Loading-truck'!$D$31:$D$48))*Impacts!$F$14,IF(('Loading-truck'!$C$21)&lt;&gt;"No control",SUMIF(('Loading-truck'!$B$31:$B$48),$J2459,('Loading-truck'!$E$31:$E$48))*Impacts!$F$14,0)),0)</f>
        <v>0</v>
      </c>
      <c r="S2459" s="10">
        <f>IFERROR(IF(('Loading-rail'!$C$21)="No control",SUMIF(('Loading-rail'!$B$31:$B$48),$J2459,('Loading-rail'!$D$31:$D$48))*Impacts!$F$15,IF(('Loading-rail'!$C$21)&lt;&gt;"No control",SUMIF(('Loading-rail'!$B$31:$B$48),$J2459,('Loading-rail'!$E$31:$E$48))*Impacts!$F$15,0)),0)</f>
        <v>0</v>
      </c>
      <c r="T2459" s="10">
        <f>IF(Flare!$C$7="",0,(SUMIF(Flare!$B$46:$B$185,$J2459,Flare!$E$46:$E$185)*Impacts!$F$16))</f>
        <v>0</v>
      </c>
      <c r="U2459" s="10">
        <f>IF(VCU!$C$9="",0,(SUMIF(VCU!$B$51:$B$193,$J2459,VCU!$E$51:$E$193)*Impacts!$F$17))</f>
        <v>0</v>
      </c>
      <c r="V2459" s="10">
        <f>IF(CAS!$C$7="",0,(SUMIF(CAS!$B$31:$B$167,$J2459,CAS!$E$31:$E$167)*Impacts!$F$18))</f>
        <v>0</v>
      </c>
      <c r="W2459" s="10">
        <f t="shared" si="79"/>
        <v>0</v>
      </c>
      <c r="AK2459" s="10" t="str">
        <f t="array" ref="AK2459">IFERROR(INDEX(SelectedSpecies,SMALL(IF(SelectedSpecies=AK$1,ROW(SelectedSpecies)),ROW(2460:2460)),2),"")</f>
        <v/>
      </c>
      <c r="BE2459" s="10"/>
      <c r="BI2459" s="10"/>
    </row>
    <row r="2460" spans="1:61" ht="21" customHeight="1" x14ac:dyDescent="0.25">
      <c r="A2460" s="10"/>
      <c r="B2460" s="10"/>
      <c r="E2460" s="10"/>
      <c r="G2460" s="10"/>
      <c r="I2460" s="436" t="s">
        <v>7956</v>
      </c>
      <c r="J2460" s="26" t="s">
        <v>7955</v>
      </c>
      <c r="K2460" s="10">
        <v>4.4000000000000004E-2</v>
      </c>
      <c r="L2460" s="73">
        <f>IF(Tank1!$C$23="No control",(SUMIF(Tank1!$B$32:$B$49,$J2460,Tank1!$C$32:$C$49)*Impacts!$F$8),0)</f>
        <v>0</v>
      </c>
      <c r="M2460" s="10">
        <f>IF(Tank2!$C$23="No control",(SUMIF(Tank2!$B$32:$B$49,$J2460,Tank2!$C$32:$C$49)*Impacts!$F$9),0)</f>
        <v>0</v>
      </c>
      <c r="N2460" s="10">
        <f>IF(Tank3!$C$23="No control",(SUMIF(Tank3!$B$32:$B$49,$J2460,Tank3!$C$32:$C$49)*Impacts!$F$10),0)</f>
        <v>0</v>
      </c>
      <c r="O2460" s="10">
        <f>IF(Tank4!$C$23="No control",(SUMIF(Tank4!$B$32:$B$49,$J2460,Tank4!$C$32:$C$49)*Impacts!$F$11),0)</f>
        <v>0</v>
      </c>
      <c r="P2460" s="10">
        <f>IF(Tank5!$C$23="No control",(SUMIF(Tank5!$B$32:$B$49,$J2460,Tank5!$C$32:$C$49)*Impacts!$F$12),0)</f>
        <v>0</v>
      </c>
      <c r="Q2460" s="10">
        <f>IFERROR(IF(('Loading-drum,tote'!$C$21)="No control",SUMIF(('Loading-drum,tote'!$B$31:$B$48),$J2460,('Loading-drum,tote'!$D$31:$D$48))*Impacts!$F$13,IF(('Loading-drum,tote'!$C$21)&lt;&gt;"No control",SUMIF(('Loading-drum,tote'!$B$31:$B$48),$J2460,('Loading-drum,tote'!$E$31:$E$48))*Impacts!$F$13,0)),0)</f>
        <v>0</v>
      </c>
      <c r="R2460" s="10">
        <f>IFERROR(IF(('Loading-truck'!$C$21)="No control",SUMIF(('Loading-truck'!$B$31:$B$48),$J2460,('Loading-truck'!$D$31:$D$48))*Impacts!$F$14,IF(('Loading-truck'!$C$21)&lt;&gt;"No control",SUMIF(('Loading-truck'!$B$31:$B$48),$J2460,('Loading-truck'!$E$31:$E$48))*Impacts!$F$14,0)),0)</f>
        <v>0</v>
      </c>
      <c r="S2460" s="10">
        <f>IFERROR(IF(('Loading-rail'!$C$21)="No control",SUMIF(('Loading-rail'!$B$31:$B$48),$J2460,('Loading-rail'!$D$31:$D$48))*Impacts!$F$15,IF(('Loading-rail'!$C$21)&lt;&gt;"No control",SUMIF(('Loading-rail'!$B$31:$B$48),$J2460,('Loading-rail'!$E$31:$E$48))*Impacts!$F$15,0)),0)</f>
        <v>0</v>
      </c>
      <c r="T2460" s="10">
        <f>IF(Flare!$C$7="",0,(SUMIF(Flare!$B$46:$B$185,$J2460,Flare!$E$46:$E$185)*Impacts!$F$16))</f>
        <v>0</v>
      </c>
      <c r="U2460" s="10">
        <f>IF(VCU!$C$9="",0,(SUMIF(VCU!$B$51:$B$193,$J2460,VCU!$E$51:$E$193)*Impacts!$F$17))</f>
        <v>0</v>
      </c>
      <c r="V2460" s="10">
        <f>IF(CAS!$C$7="",0,(SUMIF(CAS!$B$31:$B$167,$J2460,CAS!$E$31:$E$167)*Impacts!$F$18))</f>
        <v>0</v>
      </c>
      <c r="W2460" s="10">
        <f t="shared" si="79"/>
        <v>0</v>
      </c>
      <c r="AK2460" s="10" t="str">
        <f t="array" ref="AK2460">IFERROR(INDEX(SelectedSpecies,SMALL(IF(SelectedSpecies=AK$1,ROW(SelectedSpecies)),ROW(2461:2461)),2),"")</f>
        <v/>
      </c>
      <c r="BE2460" s="10"/>
      <c r="BI2460" s="10"/>
    </row>
    <row r="2461" spans="1:61" ht="21" customHeight="1" x14ac:dyDescent="0.25">
      <c r="A2461" s="10"/>
      <c r="B2461" s="10"/>
      <c r="E2461" s="10"/>
      <c r="G2461" s="10"/>
      <c r="I2461" s="436" t="s">
        <v>5451</v>
      </c>
      <c r="J2461" s="26" t="s">
        <v>5450</v>
      </c>
      <c r="K2461" s="10">
        <v>1.4000000000000001</v>
      </c>
      <c r="L2461" s="73">
        <f>IF(Tank1!$C$23="No control",(SUMIF(Tank1!$B$32:$B$49,$J2461,Tank1!$C$32:$C$49)*Impacts!$F$8),0)</f>
        <v>0</v>
      </c>
      <c r="M2461" s="10">
        <f>IF(Tank2!$C$23="No control",(SUMIF(Tank2!$B$32:$B$49,$J2461,Tank2!$C$32:$C$49)*Impacts!$F$9),0)</f>
        <v>0</v>
      </c>
      <c r="N2461" s="10">
        <f>IF(Tank3!$C$23="No control",(SUMIF(Tank3!$B$32:$B$49,$J2461,Tank3!$C$32:$C$49)*Impacts!$F$10),0)</f>
        <v>0</v>
      </c>
      <c r="O2461" s="10">
        <f>IF(Tank4!$C$23="No control",(SUMIF(Tank4!$B$32:$B$49,$J2461,Tank4!$C$32:$C$49)*Impacts!$F$11),0)</f>
        <v>0</v>
      </c>
      <c r="P2461" s="10">
        <f>IF(Tank5!$C$23="No control",(SUMIF(Tank5!$B$32:$B$49,$J2461,Tank5!$C$32:$C$49)*Impacts!$F$12),0)</f>
        <v>0</v>
      </c>
      <c r="Q2461" s="10">
        <f>IFERROR(IF(('Loading-drum,tote'!$C$21)="No control",SUMIF(('Loading-drum,tote'!$B$31:$B$48),$J2461,('Loading-drum,tote'!$D$31:$D$48))*Impacts!$F$13,IF(('Loading-drum,tote'!$C$21)&lt;&gt;"No control",SUMIF(('Loading-drum,tote'!$B$31:$B$48),$J2461,('Loading-drum,tote'!$E$31:$E$48))*Impacts!$F$13,0)),0)</f>
        <v>0</v>
      </c>
      <c r="R2461" s="10">
        <f>IFERROR(IF(('Loading-truck'!$C$21)="No control",SUMIF(('Loading-truck'!$B$31:$B$48),$J2461,('Loading-truck'!$D$31:$D$48))*Impacts!$F$14,IF(('Loading-truck'!$C$21)&lt;&gt;"No control",SUMIF(('Loading-truck'!$B$31:$B$48),$J2461,('Loading-truck'!$E$31:$E$48))*Impacts!$F$14,0)),0)</f>
        <v>0</v>
      </c>
      <c r="S2461" s="10">
        <f>IFERROR(IF(('Loading-rail'!$C$21)="No control",SUMIF(('Loading-rail'!$B$31:$B$48),$J2461,('Loading-rail'!$D$31:$D$48))*Impacts!$F$15,IF(('Loading-rail'!$C$21)&lt;&gt;"No control",SUMIF(('Loading-rail'!$B$31:$B$48),$J2461,('Loading-rail'!$E$31:$E$48))*Impacts!$F$15,0)),0)</f>
        <v>0</v>
      </c>
      <c r="T2461" s="10">
        <f>IF(Flare!$C$7="",0,(SUMIF(Flare!$B$46:$B$185,$J2461,Flare!$E$46:$E$185)*Impacts!$F$16))</f>
        <v>0</v>
      </c>
      <c r="U2461" s="10">
        <f>IF(VCU!$C$9="",0,(SUMIF(VCU!$B$51:$B$193,$J2461,VCU!$E$51:$E$193)*Impacts!$F$17))</f>
        <v>0</v>
      </c>
      <c r="V2461" s="10">
        <f>IF(CAS!$C$7="",0,(SUMIF(CAS!$B$31:$B$167,$J2461,CAS!$E$31:$E$167)*Impacts!$F$18))</f>
        <v>0</v>
      </c>
      <c r="W2461" s="10">
        <f t="shared" si="79"/>
        <v>0</v>
      </c>
      <c r="AK2461" s="10" t="str">
        <f t="array" ref="AK2461">IFERROR(INDEX(SelectedSpecies,SMALL(IF(SelectedSpecies=AK$1,ROW(SelectedSpecies)),ROW(2462:2462)),2),"")</f>
        <v/>
      </c>
      <c r="BE2461" s="10"/>
      <c r="BI2461" s="10"/>
    </row>
    <row r="2462" spans="1:61" ht="21" customHeight="1" x14ac:dyDescent="0.25">
      <c r="A2462" s="10"/>
      <c r="B2462" s="10"/>
      <c r="E2462" s="10"/>
      <c r="G2462" s="10"/>
      <c r="I2462" s="436" t="s">
        <v>2355</v>
      </c>
      <c r="J2462" s="26" t="s">
        <v>2354</v>
      </c>
      <c r="K2462" s="10">
        <v>11</v>
      </c>
      <c r="L2462" s="73">
        <f>IF(Tank1!$C$23="No control",(SUMIF(Tank1!$B$32:$B$49,$J2462,Tank1!$C$32:$C$49)*Impacts!$F$8),0)</f>
        <v>0</v>
      </c>
      <c r="M2462" s="10">
        <f>IF(Tank2!$C$23="No control",(SUMIF(Tank2!$B$32:$B$49,$J2462,Tank2!$C$32:$C$49)*Impacts!$F$9),0)</f>
        <v>0</v>
      </c>
      <c r="N2462" s="10">
        <f>IF(Tank3!$C$23="No control",(SUMIF(Tank3!$B$32:$B$49,$J2462,Tank3!$C$32:$C$49)*Impacts!$F$10),0)</f>
        <v>0</v>
      </c>
      <c r="O2462" s="10">
        <f>IF(Tank4!$C$23="No control",(SUMIF(Tank4!$B$32:$B$49,$J2462,Tank4!$C$32:$C$49)*Impacts!$F$11),0)</f>
        <v>0</v>
      </c>
      <c r="P2462" s="10">
        <f>IF(Tank5!$C$23="No control",(SUMIF(Tank5!$B$32:$B$49,$J2462,Tank5!$C$32:$C$49)*Impacts!$F$12),0)</f>
        <v>0</v>
      </c>
      <c r="Q2462" s="10">
        <f>IFERROR(IF(('Loading-drum,tote'!$C$21)="No control",SUMIF(('Loading-drum,tote'!$B$31:$B$48),$J2462,('Loading-drum,tote'!$D$31:$D$48))*Impacts!$F$13,IF(('Loading-drum,tote'!$C$21)&lt;&gt;"No control",SUMIF(('Loading-drum,tote'!$B$31:$B$48),$J2462,('Loading-drum,tote'!$E$31:$E$48))*Impacts!$F$13,0)),0)</f>
        <v>0</v>
      </c>
      <c r="R2462" s="10">
        <f>IFERROR(IF(('Loading-truck'!$C$21)="No control",SUMIF(('Loading-truck'!$B$31:$B$48),$J2462,('Loading-truck'!$D$31:$D$48))*Impacts!$F$14,IF(('Loading-truck'!$C$21)&lt;&gt;"No control",SUMIF(('Loading-truck'!$B$31:$B$48),$J2462,('Loading-truck'!$E$31:$E$48))*Impacts!$F$14,0)),0)</f>
        <v>0</v>
      </c>
      <c r="S2462" s="10">
        <f>IFERROR(IF(('Loading-rail'!$C$21)="No control",SUMIF(('Loading-rail'!$B$31:$B$48),$J2462,('Loading-rail'!$D$31:$D$48))*Impacts!$F$15,IF(('Loading-rail'!$C$21)&lt;&gt;"No control",SUMIF(('Loading-rail'!$B$31:$B$48),$J2462,('Loading-rail'!$E$31:$E$48))*Impacts!$F$15,0)),0)</f>
        <v>0</v>
      </c>
      <c r="T2462" s="10">
        <f>IF(Flare!$C$7="",0,(SUMIF(Flare!$B$46:$B$185,$J2462,Flare!$E$46:$E$185)*Impacts!$F$16))</f>
        <v>0</v>
      </c>
      <c r="U2462" s="10">
        <f>IF(VCU!$C$9="",0,(SUMIF(VCU!$B$51:$B$193,$J2462,VCU!$E$51:$E$193)*Impacts!$F$17))</f>
        <v>0</v>
      </c>
      <c r="V2462" s="10">
        <f>IF(CAS!$C$7="",0,(SUMIF(CAS!$B$31:$B$167,$J2462,CAS!$E$31:$E$167)*Impacts!$F$18))</f>
        <v>0</v>
      </c>
      <c r="W2462" s="10">
        <f t="shared" si="79"/>
        <v>0</v>
      </c>
      <c r="AK2462" s="10" t="str">
        <f t="array" ref="AK2462">IFERROR(INDEX(SelectedSpecies,SMALL(IF(SelectedSpecies=AK$1,ROW(SelectedSpecies)),ROW(2463:2463)),2),"")</f>
        <v/>
      </c>
      <c r="BE2462" s="10"/>
      <c r="BI2462" s="10"/>
    </row>
    <row r="2463" spans="1:61" ht="21" customHeight="1" x14ac:dyDescent="0.25">
      <c r="A2463" s="10"/>
      <c r="B2463" s="10"/>
      <c r="E2463" s="10"/>
      <c r="G2463" s="10"/>
      <c r="I2463" s="436" t="s">
        <v>4301</v>
      </c>
      <c r="J2463" s="26" t="s">
        <v>4300</v>
      </c>
      <c r="K2463" s="10">
        <v>5</v>
      </c>
      <c r="L2463" s="73">
        <f>IF(Tank1!$C$23="No control",(SUMIF(Tank1!$B$32:$B$49,$J2463,Tank1!$C$32:$C$49)*Impacts!$F$8),0)</f>
        <v>0</v>
      </c>
      <c r="M2463" s="10">
        <f>IF(Tank2!$C$23="No control",(SUMIF(Tank2!$B$32:$B$49,$J2463,Tank2!$C$32:$C$49)*Impacts!$F$9),0)</f>
        <v>0</v>
      </c>
      <c r="N2463" s="10">
        <f>IF(Tank3!$C$23="No control",(SUMIF(Tank3!$B$32:$B$49,$J2463,Tank3!$C$32:$C$49)*Impacts!$F$10),0)</f>
        <v>0</v>
      </c>
      <c r="O2463" s="10">
        <f>IF(Tank4!$C$23="No control",(SUMIF(Tank4!$B$32:$B$49,$J2463,Tank4!$C$32:$C$49)*Impacts!$F$11),0)</f>
        <v>0</v>
      </c>
      <c r="P2463" s="10">
        <f>IF(Tank5!$C$23="No control",(SUMIF(Tank5!$B$32:$B$49,$J2463,Tank5!$C$32:$C$49)*Impacts!$F$12),0)</f>
        <v>0</v>
      </c>
      <c r="Q2463" s="10">
        <f>IFERROR(IF(('Loading-drum,tote'!$C$21)="No control",SUMIF(('Loading-drum,tote'!$B$31:$B$48),$J2463,('Loading-drum,tote'!$D$31:$D$48))*Impacts!$F$13,IF(('Loading-drum,tote'!$C$21)&lt;&gt;"No control",SUMIF(('Loading-drum,tote'!$B$31:$B$48),$J2463,('Loading-drum,tote'!$E$31:$E$48))*Impacts!$F$13,0)),0)</f>
        <v>0</v>
      </c>
      <c r="R2463" s="10">
        <f>IFERROR(IF(('Loading-truck'!$C$21)="No control",SUMIF(('Loading-truck'!$B$31:$B$48),$J2463,('Loading-truck'!$D$31:$D$48))*Impacts!$F$14,IF(('Loading-truck'!$C$21)&lt;&gt;"No control",SUMIF(('Loading-truck'!$B$31:$B$48),$J2463,('Loading-truck'!$E$31:$E$48))*Impacts!$F$14,0)),0)</f>
        <v>0</v>
      </c>
      <c r="S2463" s="10">
        <f>IFERROR(IF(('Loading-rail'!$C$21)="No control",SUMIF(('Loading-rail'!$B$31:$B$48),$J2463,('Loading-rail'!$D$31:$D$48))*Impacts!$F$15,IF(('Loading-rail'!$C$21)&lt;&gt;"No control",SUMIF(('Loading-rail'!$B$31:$B$48),$J2463,('Loading-rail'!$E$31:$E$48))*Impacts!$F$15,0)),0)</f>
        <v>0</v>
      </c>
      <c r="T2463" s="10">
        <f>IF(Flare!$C$7="",0,(SUMIF(Flare!$B$46:$B$185,$J2463,Flare!$E$46:$E$185)*Impacts!$F$16))</f>
        <v>0</v>
      </c>
      <c r="U2463" s="10">
        <f>IF(VCU!$C$9="",0,(SUMIF(VCU!$B$51:$B$193,$J2463,VCU!$E$51:$E$193)*Impacts!$F$17))</f>
        <v>0</v>
      </c>
      <c r="V2463" s="10">
        <f>IF(CAS!$C$7="",0,(SUMIF(CAS!$B$31:$B$167,$J2463,CAS!$E$31:$E$167)*Impacts!$F$18))</f>
        <v>0</v>
      </c>
      <c r="W2463" s="10">
        <f t="shared" si="79"/>
        <v>0</v>
      </c>
      <c r="AK2463" s="10" t="str">
        <f t="array" ref="AK2463">IFERROR(INDEX(SelectedSpecies,SMALL(IF(SelectedSpecies=AK$1,ROW(SelectedSpecies)),ROW(2464:2464)),2),"")</f>
        <v/>
      </c>
      <c r="BE2463" s="10"/>
      <c r="BI2463" s="10"/>
    </row>
    <row r="2464" spans="1:61" ht="21" customHeight="1" x14ac:dyDescent="0.25">
      <c r="A2464" s="10"/>
      <c r="B2464" s="10"/>
      <c r="E2464" s="10"/>
      <c r="G2464" s="10"/>
      <c r="I2464" s="436" t="s">
        <v>6870</v>
      </c>
      <c r="J2464" s="26" t="s">
        <v>6869</v>
      </c>
      <c r="K2464" s="10">
        <v>0.5</v>
      </c>
      <c r="L2464" s="73">
        <f>IF(Tank1!$C$23="No control",(SUMIF(Tank1!$B$32:$B$49,$J2464,Tank1!$C$32:$C$49)*Impacts!$F$8),0)</f>
        <v>0</v>
      </c>
      <c r="M2464" s="10">
        <f>IF(Tank2!$C$23="No control",(SUMIF(Tank2!$B$32:$B$49,$J2464,Tank2!$C$32:$C$49)*Impacts!$F$9),0)</f>
        <v>0</v>
      </c>
      <c r="N2464" s="10">
        <f>IF(Tank3!$C$23="No control",(SUMIF(Tank3!$B$32:$B$49,$J2464,Tank3!$C$32:$C$49)*Impacts!$F$10),0)</f>
        <v>0</v>
      </c>
      <c r="O2464" s="10">
        <f>IF(Tank4!$C$23="No control",(SUMIF(Tank4!$B$32:$B$49,$J2464,Tank4!$C$32:$C$49)*Impacts!$F$11),0)</f>
        <v>0</v>
      </c>
      <c r="P2464" s="10">
        <f>IF(Tank5!$C$23="No control",(SUMIF(Tank5!$B$32:$B$49,$J2464,Tank5!$C$32:$C$49)*Impacts!$F$12),0)</f>
        <v>0</v>
      </c>
      <c r="Q2464" s="10">
        <f>IFERROR(IF(('Loading-drum,tote'!$C$21)="No control",SUMIF(('Loading-drum,tote'!$B$31:$B$48),$J2464,('Loading-drum,tote'!$D$31:$D$48))*Impacts!$F$13,IF(('Loading-drum,tote'!$C$21)&lt;&gt;"No control",SUMIF(('Loading-drum,tote'!$B$31:$B$48),$J2464,('Loading-drum,tote'!$E$31:$E$48))*Impacts!$F$13,0)),0)</f>
        <v>0</v>
      </c>
      <c r="R2464" s="10">
        <f>IFERROR(IF(('Loading-truck'!$C$21)="No control",SUMIF(('Loading-truck'!$B$31:$B$48),$J2464,('Loading-truck'!$D$31:$D$48))*Impacts!$F$14,IF(('Loading-truck'!$C$21)&lt;&gt;"No control",SUMIF(('Loading-truck'!$B$31:$B$48),$J2464,('Loading-truck'!$E$31:$E$48))*Impacts!$F$14,0)),0)</f>
        <v>0</v>
      </c>
      <c r="S2464" s="10">
        <f>IFERROR(IF(('Loading-rail'!$C$21)="No control",SUMIF(('Loading-rail'!$B$31:$B$48),$J2464,('Loading-rail'!$D$31:$D$48))*Impacts!$F$15,IF(('Loading-rail'!$C$21)&lt;&gt;"No control",SUMIF(('Loading-rail'!$B$31:$B$48),$J2464,('Loading-rail'!$E$31:$E$48))*Impacts!$F$15,0)),0)</f>
        <v>0</v>
      </c>
      <c r="T2464" s="10">
        <f>IF(Flare!$C$7="",0,(SUMIF(Flare!$B$46:$B$185,$J2464,Flare!$E$46:$E$185)*Impacts!$F$16))</f>
        <v>0</v>
      </c>
      <c r="U2464" s="10">
        <f>IF(VCU!$C$9="",0,(SUMIF(VCU!$B$51:$B$193,$J2464,VCU!$E$51:$E$193)*Impacts!$F$17))</f>
        <v>0</v>
      </c>
      <c r="V2464" s="10">
        <f>IF(CAS!$C$7="",0,(SUMIF(CAS!$B$31:$B$167,$J2464,CAS!$E$31:$E$167)*Impacts!$F$18))</f>
        <v>0</v>
      </c>
      <c r="W2464" s="10">
        <f t="shared" si="79"/>
        <v>0</v>
      </c>
      <c r="AK2464" s="10" t="str">
        <f t="array" ref="AK2464">IFERROR(INDEX(SelectedSpecies,SMALL(IF(SelectedSpecies=AK$1,ROW(SelectedSpecies)),ROW(2465:2465)),2),"")</f>
        <v/>
      </c>
      <c r="BE2464" s="10"/>
      <c r="BI2464" s="10"/>
    </row>
    <row r="2465" spans="1:61" ht="21" customHeight="1" x14ac:dyDescent="0.25">
      <c r="A2465" s="10"/>
      <c r="B2465" s="10"/>
      <c r="E2465" s="10"/>
      <c r="G2465" s="10"/>
      <c r="I2465" s="436" t="s">
        <v>5984</v>
      </c>
      <c r="J2465" s="26" t="s">
        <v>5983</v>
      </c>
      <c r="K2465" s="10">
        <v>1</v>
      </c>
      <c r="L2465" s="73">
        <f>IF(Tank1!$C$23="No control",(SUMIF(Tank1!$B$32:$B$49,$J2465,Tank1!$C$32:$C$49)*Impacts!$F$8),0)</f>
        <v>0</v>
      </c>
      <c r="M2465" s="10">
        <f>IF(Tank2!$C$23="No control",(SUMIF(Tank2!$B$32:$B$49,$J2465,Tank2!$C$32:$C$49)*Impacts!$F$9),0)</f>
        <v>0</v>
      </c>
      <c r="N2465" s="10">
        <f>IF(Tank3!$C$23="No control",(SUMIF(Tank3!$B$32:$B$49,$J2465,Tank3!$C$32:$C$49)*Impacts!$F$10),0)</f>
        <v>0</v>
      </c>
      <c r="O2465" s="10">
        <f>IF(Tank4!$C$23="No control",(SUMIF(Tank4!$B$32:$B$49,$J2465,Tank4!$C$32:$C$49)*Impacts!$F$11),0)</f>
        <v>0</v>
      </c>
      <c r="P2465" s="10">
        <f>IF(Tank5!$C$23="No control",(SUMIF(Tank5!$B$32:$B$49,$J2465,Tank5!$C$32:$C$49)*Impacts!$F$12),0)</f>
        <v>0</v>
      </c>
      <c r="Q2465" s="10">
        <f>IFERROR(IF(('Loading-drum,tote'!$C$21)="No control",SUMIF(('Loading-drum,tote'!$B$31:$B$48),$J2465,('Loading-drum,tote'!$D$31:$D$48))*Impacts!$F$13,IF(('Loading-drum,tote'!$C$21)&lt;&gt;"No control",SUMIF(('Loading-drum,tote'!$B$31:$B$48),$J2465,('Loading-drum,tote'!$E$31:$E$48))*Impacts!$F$13,0)),0)</f>
        <v>0</v>
      </c>
      <c r="R2465" s="10">
        <f>IFERROR(IF(('Loading-truck'!$C$21)="No control",SUMIF(('Loading-truck'!$B$31:$B$48),$J2465,('Loading-truck'!$D$31:$D$48))*Impacts!$F$14,IF(('Loading-truck'!$C$21)&lt;&gt;"No control",SUMIF(('Loading-truck'!$B$31:$B$48),$J2465,('Loading-truck'!$E$31:$E$48))*Impacts!$F$14,0)),0)</f>
        <v>0</v>
      </c>
      <c r="S2465" s="10">
        <f>IFERROR(IF(('Loading-rail'!$C$21)="No control",SUMIF(('Loading-rail'!$B$31:$B$48),$J2465,('Loading-rail'!$D$31:$D$48))*Impacts!$F$15,IF(('Loading-rail'!$C$21)&lt;&gt;"No control",SUMIF(('Loading-rail'!$B$31:$B$48),$J2465,('Loading-rail'!$E$31:$E$48))*Impacts!$F$15,0)),0)</f>
        <v>0</v>
      </c>
      <c r="T2465" s="10">
        <f>IF(Flare!$C$7="",0,(SUMIF(Flare!$B$46:$B$185,$J2465,Flare!$E$46:$E$185)*Impacts!$F$16))</f>
        <v>0</v>
      </c>
      <c r="U2465" s="10">
        <f>IF(VCU!$C$9="",0,(SUMIF(VCU!$B$51:$B$193,$J2465,VCU!$E$51:$E$193)*Impacts!$F$17))</f>
        <v>0</v>
      </c>
      <c r="V2465" s="10">
        <f>IF(CAS!$C$7="",0,(SUMIF(CAS!$B$31:$B$167,$J2465,CAS!$E$31:$E$167)*Impacts!$F$18))</f>
        <v>0</v>
      </c>
      <c r="W2465" s="10">
        <f t="shared" si="79"/>
        <v>0</v>
      </c>
      <c r="AK2465" s="10" t="str">
        <f t="array" ref="AK2465">IFERROR(INDEX(SelectedSpecies,SMALL(IF(SelectedSpecies=AK$1,ROW(SelectedSpecies)),ROW(2466:2466)),2),"")</f>
        <v/>
      </c>
      <c r="BE2465" s="10"/>
      <c r="BI2465" s="10"/>
    </row>
    <row r="2466" spans="1:61" ht="21" customHeight="1" x14ac:dyDescent="0.25">
      <c r="A2466" s="10"/>
      <c r="B2466" s="10"/>
      <c r="E2466" s="10"/>
      <c r="G2466" s="10"/>
      <c r="I2466" s="436" t="s">
        <v>7138</v>
      </c>
      <c r="J2466" s="26" t="s">
        <v>7137</v>
      </c>
      <c r="K2466" s="10">
        <v>0.38</v>
      </c>
      <c r="L2466" s="73">
        <f>IF(Tank1!$C$23="No control",(SUMIF(Tank1!$B$32:$B$49,$J2466,Tank1!$C$32:$C$49)*Impacts!$F$8),0)</f>
        <v>0</v>
      </c>
      <c r="M2466" s="10">
        <f>IF(Tank2!$C$23="No control",(SUMIF(Tank2!$B$32:$B$49,$J2466,Tank2!$C$32:$C$49)*Impacts!$F$9),0)</f>
        <v>0</v>
      </c>
      <c r="N2466" s="10">
        <f>IF(Tank3!$C$23="No control",(SUMIF(Tank3!$B$32:$B$49,$J2466,Tank3!$C$32:$C$49)*Impacts!$F$10),0)</f>
        <v>0</v>
      </c>
      <c r="O2466" s="10">
        <f>IF(Tank4!$C$23="No control",(SUMIF(Tank4!$B$32:$B$49,$J2466,Tank4!$C$32:$C$49)*Impacts!$F$11),0)</f>
        <v>0</v>
      </c>
      <c r="P2466" s="10">
        <f>IF(Tank5!$C$23="No control",(SUMIF(Tank5!$B$32:$B$49,$J2466,Tank5!$C$32:$C$49)*Impacts!$F$12),0)</f>
        <v>0</v>
      </c>
      <c r="Q2466" s="10">
        <f>IFERROR(IF(('Loading-drum,tote'!$C$21)="No control",SUMIF(('Loading-drum,tote'!$B$31:$B$48),$J2466,('Loading-drum,tote'!$D$31:$D$48))*Impacts!$F$13,IF(('Loading-drum,tote'!$C$21)&lt;&gt;"No control",SUMIF(('Loading-drum,tote'!$B$31:$B$48),$J2466,('Loading-drum,tote'!$E$31:$E$48))*Impacts!$F$13,0)),0)</f>
        <v>0</v>
      </c>
      <c r="R2466" s="10">
        <f>IFERROR(IF(('Loading-truck'!$C$21)="No control",SUMIF(('Loading-truck'!$B$31:$B$48),$J2466,('Loading-truck'!$D$31:$D$48))*Impacts!$F$14,IF(('Loading-truck'!$C$21)&lt;&gt;"No control",SUMIF(('Loading-truck'!$B$31:$B$48),$J2466,('Loading-truck'!$E$31:$E$48))*Impacts!$F$14,0)),0)</f>
        <v>0</v>
      </c>
      <c r="S2466" s="10">
        <f>IFERROR(IF(('Loading-rail'!$C$21)="No control",SUMIF(('Loading-rail'!$B$31:$B$48),$J2466,('Loading-rail'!$D$31:$D$48))*Impacts!$F$15,IF(('Loading-rail'!$C$21)&lt;&gt;"No control",SUMIF(('Loading-rail'!$B$31:$B$48),$J2466,('Loading-rail'!$E$31:$E$48))*Impacts!$F$15,0)),0)</f>
        <v>0</v>
      </c>
      <c r="T2466" s="10">
        <f>IF(Flare!$C$7="",0,(SUMIF(Flare!$B$46:$B$185,$J2466,Flare!$E$46:$E$185)*Impacts!$F$16))</f>
        <v>0</v>
      </c>
      <c r="U2466" s="10">
        <f>IF(VCU!$C$9="",0,(SUMIF(VCU!$B$51:$B$193,$J2466,VCU!$E$51:$E$193)*Impacts!$F$17))</f>
        <v>0</v>
      </c>
      <c r="V2466" s="10">
        <f>IF(CAS!$C$7="",0,(SUMIF(CAS!$B$31:$B$167,$J2466,CAS!$E$31:$E$167)*Impacts!$F$18))</f>
        <v>0</v>
      </c>
      <c r="W2466" s="10">
        <f t="shared" si="79"/>
        <v>0</v>
      </c>
      <c r="AK2466" s="10" t="str">
        <f t="array" ref="AK2466">IFERROR(INDEX(SelectedSpecies,SMALL(IF(SelectedSpecies=AK$1,ROW(SelectedSpecies)),ROW(2467:2467)),2),"")</f>
        <v/>
      </c>
      <c r="BE2466" s="10"/>
      <c r="BI2466" s="10"/>
    </row>
    <row r="2467" spans="1:61" ht="21" customHeight="1" x14ac:dyDescent="0.25">
      <c r="A2467" s="10"/>
      <c r="B2467" s="10"/>
      <c r="E2467" s="10"/>
      <c r="G2467" s="10"/>
      <c r="I2467" s="436" t="s">
        <v>8282</v>
      </c>
      <c r="J2467" s="26" t="s">
        <v>8281</v>
      </c>
      <c r="K2467" s="10">
        <v>3.0000000000000001E-3</v>
      </c>
      <c r="L2467" s="73">
        <f>IF(Tank1!$C$23="No control",(SUMIF(Tank1!$B$32:$B$49,$J2467,Tank1!$C$32:$C$49)*Impacts!$F$8),0)</f>
        <v>0</v>
      </c>
      <c r="M2467" s="10">
        <f>IF(Tank2!$C$23="No control",(SUMIF(Tank2!$B$32:$B$49,$J2467,Tank2!$C$32:$C$49)*Impacts!$F$9),0)</f>
        <v>0</v>
      </c>
      <c r="N2467" s="10">
        <f>IF(Tank3!$C$23="No control",(SUMIF(Tank3!$B$32:$B$49,$J2467,Tank3!$C$32:$C$49)*Impacts!$F$10),0)</f>
        <v>0</v>
      </c>
      <c r="O2467" s="10">
        <f>IF(Tank4!$C$23="No control",(SUMIF(Tank4!$B$32:$B$49,$J2467,Tank4!$C$32:$C$49)*Impacts!$F$11),0)</f>
        <v>0</v>
      </c>
      <c r="P2467" s="10">
        <f>IF(Tank5!$C$23="No control",(SUMIF(Tank5!$B$32:$B$49,$J2467,Tank5!$C$32:$C$49)*Impacts!$F$12),0)</f>
        <v>0</v>
      </c>
      <c r="Q2467" s="10">
        <f>IFERROR(IF(('Loading-drum,tote'!$C$21)="No control",SUMIF(('Loading-drum,tote'!$B$31:$B$48),$J2467,('Loading-drum,tote'!$D$31:$D$48))*Impacts!$F$13,IF(('Loading-drum,tote'!$C$21)&lt;&gt;"No control",SUMIF(('Loading-drum,tote'!$B$31:$B$48),$J2467,('Loading-drum,tote'!$E$31:$E$48))*Impacts!$F$13,0)),0)</f>
        <v>0</v>
      </c>
      <c r="R2467" s="10">
        <f>IFERROR(IF(('Loading-truck'!$C$21)="No control",SUMIF(('Loading-truck'!$B$31:$B$48),$J2467,('Loading-truck'!$D$31:$D$48))*Impacts!$F$14,IF(('Loading-truck'!$C$21)&lt;&gt;"No control",SUMIF(('Loading-truck'!$B$31:$B$48),$J2467,('Loading-truck'!$E$31:$E$48))*Impacts!$F$14,0)),0)</f>
        <v>0</v>
      </c>
      <c r="S2467" s="10">
        <f>IFERROR(IF(('Loading-rail'!$C$21)="No control",SUMIF(('Loading-rail'!$B$31:$B$48),$J2467,('Loading-rail'!$D$31:$D$48))*Impacts!$F$15,IF(('Loading-rail'!$C$21)&lt;&gt;"No control",SUMIF(('Loading-rail'!$B$31:$B$48),$J2467,('Loading-rail'!$E$31:$E$48))*Impacts!$F$15,0)),0)</f>
        <v>0</v>
      </c>
      <c r="T2467" s="10">
        <f>IF(Flare!$C$7="",0,(SUMIF(Flare!$B$46:$B$185,$J2467,Flare!$E$46:$E$185)*Impacts!$F$16))</f>
        <v>0</v>
      </c>
      <c r="U2467" s="10">
        <f>IF(VCU!$C$9="",0,(SUMIF(VCU!$B$51:$B$193,$J2467,VCU!$E$51:$E$193)*Impacts!$F$17))</f>
        <v>0</v>
      </c>
      <c r="V2467" s="10">
        <f>IF(CAS!$C$7="",0,(SUMIF(CAS!$B$31:$B$167,$J2467,CAS!$E$31:$E$167)*Impacts!$F$18))</f>
        <v>0</v>
      </c>
      <c r="W2467" s="10">
        <f t="shared" si="79"/>
        <v>0</v>
      </c>
      <c r="AK2467" s="10" t="str">
        <f t="array" ref="AK2467">IFERROR(INDEX(SelectedSpecies,SMALL(IF(SelectedSpecies=AK$1,ROW(SelectedSpecies)),ROW(2468:2468)),2),"")</f>
        <v/>
      </c>
      <c r="BE2467" s="10"/>
      <c r="BI2467" s="10"/>
    </row>
    <row r="2468" spans="1:61" ht="21" customHeight="1" x14ac:dyDescent="0.25">
      <c r="A2468" s="10"/>
      <c r="B2468" s="10"/>
      <c r="E2468" s="10"/>
      <c r="G2468" s="10"/>
      <c r="I2468" s="436" t="s">
        <v>4215</v>
      </c>
      <c r="J2468" s="26" t="s">
        <v>4214</v>
      </c>
      <c r="K2468" s="10">
        <v>5</v>
      </c>
      <c r="L2468" s="73">
        <f>IF(Tank1!$C$23="No control",(SUMIF(Tank1!$B$32:$B$49,$J2468,Tank1!$C$32:$C$49)*Impacts!$F$8),0)</f>
        <v>0</v>
      </c>
      <c r="M2468" s="10">
        <f>IF(Tank2!$C$23="No control",(SUMIF(Tank2!$B$32:$B$49,$J2468,Tank2!$C$32:$C$49)*Impacts!$F$9),0)</f>
        <v>0</v>
      </c>
      <c r="N2468" s="10">
        <f>IF(Tank3!$C$23="No control",(SUMIF(Tank3!$B$32:$B$49,$J2468,Tank3!$C$32:$C$49)*Impacts!$F$10),0)</f>
        <v>0</v>
      </c>
      <c r="O2468" s="10">
        <f>IF(Tank4!$C$23="No control",(SUMIF(Tank4!$B$32:$B$49,$J2468,Tank4!$C$32:$C$49)*Impacts!$F$11),0)</f>
        <v>0</v>
      </c>
      <c r="P2468" s="10">
        <f>IF(Tank5!$C$23="No control",(SUMIF(Tank5!$B$32:$B$49,$J2468,Tank5!$C$32:$C$49)*Impacts!$F$12),0)</f>
        <v>0</v>
      </c>
      <c r="Q2468" s="10">
        <f>IFERROR(IF(('Loading-drum,tote'!$C$21)="No control",SUMIF(('Loading-drum,tote'!$B$31:$B$48),$J2468,('Loading-drum,tote'!$D$31:$D$48))*Impacts!$F$13,IF(('Loading-drum,tote'!$C$21)&lt;&gt;"No control",SUMIF(('Loading-drum,tote'!$B$31:$B$48),$J2468,('Loading-drum,tote'!$E$31:$E$48))*Impacts!$F$13,0)),0)</f>
        <v>0</v>
      </c>
      <c r="R2468" s="10">
        <f>IFERROR(IF(('Loading-truck'!$C$21)="No control",SUMIF(('Loading-truck'!$B$31:$B$48),$J2468,('Loading-truck'!$D$31:$D$48))*Impacts!$F$14,IF(('Loading-truck'!$C$21)&lt;&gt;"No control",SUMIF(('Loading-truck'!$B$31:$B$48),$J2468,('Loading-truck'!$E$31:$E$48))*Impacts!$F$14,0)),0)</f>
        <v>0</v>
      </c>
      <c r="S2468" s="10">
        <f>IFERROR(IF(('Loading-rail'!$C$21)="No control",SUMIF(('Loading-rail'!$B$31:$B$48),$J2468,('Loading-rail'!$D$31:$D$48))*Impacts!$F$15,IF(('Loading-rail'!$C$21)&lt;&gt;"No control",SUMIF(('Loading-rail'!$B$31:$B$48),$J2468,('Loading-rail'!$E$31:$E$48))*Impacts!$F$15,0)),0)</f>
        <v>0</v>
      </c>
      <c r="T2468" s="10">
        <f>IF(Flare!$C$7="",0,(SUMIF(Flare!$B$46:$B$185,$J2468,Flare!$E$46:$E$185)*Impacts!$F$16))</f>
        <v>0</v>
      </c>
      <c r="U2468" s="10">
        <f>IF(VCU!$C$9="",0,(SUMIF(VCU!$B$51:$B$193,$J2468,VCU!$E$51:$E$193)*Impacts!$F$17))</f>
        <v>0</v>
      </c>
      <c r="V2468" s="10">
        <f>IF(CAS!$C$7="",0,(SUMIF(CAS!$B$31:$B$167,$J2468,CAS!$E$31:$E$167)*Impacts!$F$18))</f>
        <v>0</v>
      </c>
      <c r="W2468" s="10">
        <f t="shared" si="79"/>
        <v>0</v>
      </c>
      <c r="AK2468" s="10" t="str">
        <f t="array" ref="AK2468">IFERROR(INDEX(SelectedSpecies,SMALL(IF(SelectedSpecies=AK$1,ROW(SelectedSpecies)),ROW(2469:2469)),2),"")</f>
        <v/>
      </c>
      <c r="BE2468" s="10"/>
      <c r="BI2468" s="10"/>
    </row>
    <row r="2469" spans="1:61" ht="21" customHeight="1" x14ac:dyDescent="0.25">
      <c r="A2469" s="10"/>
      <c r="B2469" s="10"/>
      <c r="E2469" s="10"/>
      <c r="G2469" s="10"/>
      <c r="I2469" s="436" t="s">
        <v>6544</v>
      </c>
      <c r="J2469" s="26" t="s">
        <v>6543</v>
      </c>
      <c r="K2469" s="10">
        <v>0.70000000000000007</v>
      </c>
      <c r="L2469" s="73">
        <f>IF(Tank1!$C$23="No control",(SUMIF(Tank1!$B$32:$B$49,$J2469,Tank1!$C$32:$C$49)*Impacts!$F$8),0)</f>
        <v>0</v>
      </c>
      <c r="M2469" s="10">
        <f>IF(Tank2!$C$23="No control",(SUMIF(Tank2!$B$32:$B$49,$J2469,Tank2!$C$32:$C$49)*Impacts!$F$9),0)</f>
        <v>0</v>
      </c>
      <c r="N2469" s="10">
        <f>IF(Tank3!$C$23="No control",(SUMIF(Tank3!$B$32:$B$49,$J2469,Tank3!$C$32:$C$49)*Impacts!$F$10),0)</f>
        <v>0</v>
      </c>
      <c r="O2469" s="10">
        <f>IF(Tank4!$C$23="No control",(SUMIF(Tank4!$B$32:$B$49,$J2469,Tank4!$C$32:$C$49)*Impacts!$F$11),0)</f>
        <v>0</v>
      </c>
      <c r="P2469" s="10">
        <f>IF(Tank5!$C$23="No control",(SUMIF(Tank5!$B$32:$B$49,$J2469,Tank5!$C$32:$C$49)*Impacts!$F$12),0)</f>
        <v>0</v>
      </c>
      <c r="Q2469" s="10">
        <f>IFERROR(IF(('Loading-drum,tote'!$C$21)="No control",SUMIF(('Loading-drum,tote'!$B$31:$B$48),$J2469,('Loading-drum,tote'!$D$31:$D$48))*Impacts!$F$13,IF(('Loading-drum,tote'!$C$21)&lt;&gt;"No control",SUMIF(('Loading-drum,tote'!$B$31:$B$48),$J2469,('Loading-drum,tote'!$E$31:$E$48))*Impacts!$F$13,0)),0)</f>
        <v>0</v>
      </c>
      <c r="R2469" s="10">
        <f>IFERROR(IF(('Loading-truck'!$C$21)="No control",SUMIF(('Loading-truck'!$B$31:$B$48),$J2469,('Loading-truck'!$D$31:$D$48))*Impacts!$F$14,IF(('Loading-truck'!$C$21)&lt;&gt;"No control",SUMIF(('Loading-truck'!$B$31:$B$48),$J2469,('Loading-truck'!$E$31:$E$48))*Impacts!$F$14,0)),0)</f>
        <v>0</v>
      </c>
      <c r="S2469" s="10">
        <f>IFERROR(IF(('Loading-rail'!$C$21)="No control",SUMIF(('Loading-rail'!$B$31:$B$48),$J2469,('Loading-rail'!$D$31:$D$48))*Impacts!$F$15,IF(('Loading-rail'!$C$21)&lt;&gt;"No control",SUMIF(('Loading-rail'!$B$31:$B$48),$J2469,('Loading-rail'!$E$31:$E$48))*Impacts!$F$15,0)),0)</f>
        <v>0</v>
      </c>
      <c r="T2469" s="10">
        <f>IF(Flare!$C$7="",0,(SUMIF(Flare!$B$46:$B$185,$J2469,Flare!$E$46:$E$185)*Impacts!$F$16))</f>
        <v>0</v>
      </c>
      <c r="U2469" s="10">
        <f>IF(VCU!$C$9="",0,(SUMIF(VCU!$B$51:$B$193,$J2469,VCU!$E$51:$E$193)*Impacts!$F$17))</f>
        <v>0</v>
      </c>
      <c r="V2469" s="10">
        <f>IF(CAS!$C$7="",0,(SUMIF(CAS!$B$31:$B$167,$J2469,CAS!$E$31:$E$167)*Impacts!$F$18))</f>
        <v>0</v>
      </c>
      <c r="W2469" s="10">
        <f t="shared" si="79"/>
        <v>0</v>
      </c>
      <c r="AK2469" s="10" t="str">
        <f t="array" ref="AK2469">IFERROR(INDEX(SelectedSpecies,SMALL(IF(SelectedSpecies=AK$1,ROW(SelectedSpecies)),ROW(2470:2470)),2),"")</f>
        <v/>
      </c>
      <c r="BE2469" s="10"/>
      <c r="BI2469" s="10"/>
    </row>
    <row r="2470" spans="1:61" ht="21" customHeight="1" x14ac:dyDescent="0.25">
      <c r="A2470" s="10"/>
      <c r="B2470" s="10"/>
      <c r="E2470" s="10"/>
      <c r="G2470" s="10"/>
      <c r="I2470" s="436" t="s">
        <v>7852</v>
      </c>
      <c r="J2470" s="26" t="s">
        <v>7851</v>
      </c>
      <c r="K2470" s="10">
        <v>6.4000000000000001E-2</v>
      </c>
      <c r="L2470" s="73">
        <f>IF(Tank1!$C$23="No control",(SUMIF(Tank1!$B$32:$B$49,$J2470,Tank1!$C$32:$C$49)*Impacts!$F$8),0)</f>
        <v>0</v>
      </c>
      <c r="M2470" s="10">
        <f>IF(Tank2!$C$23="No control",(SUMIF(Tank2!$B$32:$B$49,$J2470,Tank2!$C$32:$C$49)*Impacts!$F$9),0)</f>
        <v>0</v>
      </c>
      <c r="N2470" s="10">
        <f>IF(Tank3!$C$23="No control",(SUMIF(Tank3!$B$32:$B$49,$J2470,Tank3!$C$32:$C$49)*Impacts!$F$10),0)</f>
        <v>0</v>
      </c>
      <c r="O2470" s="10">
        <f>IF(Tank4!$C$23="No control",(SUMIF(Tank4!$B$32:$B$49,$J2470,Tank4!$C$32:$C$49)*Impacts!$F$11),0)</f>
        <v>0</v>
      </c>
      <c r="P2470" s="10">
        <f>IF(Tank5!$C$23="No control",(SUMIF(Tank5!$B$32:$B$49,$J2470,Tank5!$C$32:$C$49)*Impacts!$F$12),0)</f>
        <v>0</v>
      </c>
      <c r="Q2470" s="10">
        <f>IFERROR(IF(('Loading-drum,tote'!$C$21)="No control",SUMIF(('Loading-drum,tote'!$B$31:$B$48),$J2470,('Loading-drum,tote'!$D$31:$D$48))*Impacts!$F$13,IF(('Loading-drum,tote'!$C$21)&lt;&gt;"No control",SUMIF(('Loading-drum,tote'!$B$31:$B$48),$J2470,('Loading-drum,tote'!$E$31:$E$48))*Impacts!$F$13,0)),0)</f>
        <v>0</v>
      </c>
      <c r="R2470" s="10">
        <f>IFERROR(IF(('Loading-truck'!$C$21)="No control",SUMIF(('Loading-truck'!$B$31:$B$48),$J2470,('Loading-truck'!$D$31:$D$48))*Impacts!$F$14,IF(('Loading-truck'!$C$21)&lt;&gt;"No control",SUMIF(('Loading-truck'!$B$31:$B$48),$J2470,('Loading-truck'!$E$31:$E$48))*Impacts!$F$14,0)),0)</f>
        <v>0</v>
      </c>
      <c r="S2470" s="10">
        <f>IFERROR(IF(('Loading-rail'!$C$21)="No control",SUMIF(('Loading-rail'!$B$31:$B$48),$J2470,('Loading-rail'!$D$31:$D$48))*Impacts!$F$15,IF(('Loading-rail'!$C$21)&lt;&gt;"No control",SUMIF(('Loading-rail'!$B$31:$B$48),$J2470,('Loading-rail'!$E$31:$E$48))*Impacts!$F$15,0)),0)</f>
        <v>0</v>
      </c>
      <c r="T2470" s="10">
        <f>IF(Flare!$C$7="",0,(SUMIF(Flare!$B$46:$B$185,$J2470,Flare!$E$46:$E$185)*Impacts!$F$16))</f>
        <v>0</v>
      </c>
      <c r="U2470" s="10">
        <f>IF(VCU!$C$9="",0,(SUMIF(VCU!$B$51:$B$193,$J2470,VCU!$E$51:$E$193)*Impacts!$F$17))</f>
        <v>0</v>
      </c>
      <c r="V2470" s="10">
        <f>IF(CAS!$C$7="",0,(SUMIF(CAS!$B$31:$B$167,$J2470,CAS!$E$31:$E$167)*Impacts!$F$18))</f>
        <v>0</v>
      </c>
      <c r="W2470" s="10">
        <f t="shared" si="79"/>
        <v>0</v>
      </c>
      <c r="AK2470" s="10" t="str">
        <f t="array" ref="AK2470">IFERROR(INDEX(SelectedSpecies,SMALL(IF(SelectedSpecies=AK$1,ROW(SelectedSpecies)),ROW(2471:2471)),2),"")</f>
        <v/>
      </c>
      <c r="BE2470" s="10"/>
      <c r="BI2470" s="10"/>
    </row>
    <row r="2471" spans="1:61" ht="21" customHeight="1" x14ac:dyDescent="0.25">
      <c r="A2471" s="10"/>
      <c r="B2471" s="10"/>
      <c r="E2471" s="10"/>
      <c r="G2471" s="10"/>
      <c r="I2471" s="436" t="s">
        <v>481</v>
      </c>
      <c r="J2471" s="26" t="s">
        <v>480</v>
      </c>
      <c r="K2471" s="10">
        <v>120</v>
      </c>
      <c r="L2471" s="73">
        <f>IF(Tank1!$C$23="No control",(SUMIF(Tank1!$B$32:$B$49,$J2471,Tank1!$C$32:$C$49)*Impacts!$F$8),0)</f>
        <v>0</v>
      </c>
      <c r="M2471" s="10">
        <f>IF(Tank2!$C$23="No control",(SUMIF(Tank2!$B$32:$B$49,$J2471,Tank2!$C$32:$C$49)*Impacts!$F$9),0)</f>
        <v>0</v>
      </c>
      <c r="N2471" s="10">
        <f>IF(Tank3!$C$23="No control",(SUMIF(Tank3!$B$32:$B$49,$J2471,Tank3!$C$32:$C$49)*Impacts!$F$10),0)</f>
        <v>0</v>
      </c>
      <c r="O2471" s="10">
        <f>IF(Tank4!$C$23="No control",(SUMIF(Tank4!$B$32:$B$49,$J2471,Tank4!$C$32:$C$49)*Impacts!$F$11),0)</f>
        <v>0</v>
      </c>
      <c r="P2471" s="10">
        <f>IF(Tank5!$C$23="No control",(SUMIF(Tank5!$B$32:$B$49,$J2471,Tank5!$C$32:$C$49)*Impacts!$F$12),0)</f>
        <v>0</v>
      </c>
      <c r="Q2471" s="10">
        <f>IFERROR(IF(('Loading-drum,tote'!$C$21)="No control",SUMIF(('Loading-drum,tote'!$B$31:$B$48),$J2471,('Loading-drum,tote'!$D$31:$D$48))*Impacts!$F$13,IF(('Loading-drum,tote'!$C$21)&lt;&gt;"No control",SUMIF(('Loading-drum,tote'!$B$31:$B$48),$J2471,('Loading-drum,tote'!$E$31:$E$48))*Impacts!$F$13,0)),0)</f>
        <v>0</v>
      </c>
      <c r="R2471" s="10">
        <f>IFERROR(IF(('Loading-truck'!$C$21)="No control",SUMIF(('Loading-truck'!$B$31:$B$48),$J2471,('Loading-truck'!$D$31:$D$48))*Impacts!$F$14,IF(('Loading-truck'!$C$21)&lt;&gt;"No control",SUMIF(('Loading-truck'!$B$31:$B$48),$J2471,('Loading-truck'!$E$31:$E$48))*Impacts!$F$14,0)),0)</f>
        <v>0</v>
      </c>
      <c r="S2471" s="10">
        <f>IFERROR(IF(('Loading-rail'!$C$21)="No control",SUMIF(('Loading-rail'!$B$31:$B$48),$J2471,('Loading-rail'!$D$31:$D$48))*Impacts!$F$15,IF(('Loading-rail'!$C$21)&lt;&gt;"No control",SUMIF(('Loading-rail'!$B$31:$B$48),$J2471,('Loading-rail'!$E$31:$E$48))*Impacts!$F$15,0)),0)</f>
        <v>0</v>
      </c>
      <c r="T2471" s="10">
        <f>IF(Flare!$C$7="",0,(SUMIF(Flare!$B$46:$B$185,$J2471,Flare!$E$46:$E$185)*Impacts!$F$16))</f>
        <v>0</v>
      </c>
      <c r="U2471" s="10">
        <f>IF(VCU!$C$9="",0,(SUMIF(VCU!$B$51:$B$193,$J2471,VCU!$E$51:$E$193)*Impacts!$F$17))</f>
        <v>0</v>
      </c>
      <c r="V2471" s="10">
        <f>IF(CAS!$C$7="",0,(SUMIF(CAS!$B$31:$B$167,$J2471,CAS!$E$31:$E$167)*Impacts!$F$18))</f>
        <v>0</v>
      </c>
      <c r="W2471" s="10">
        <f t="shared" si="79"/>
        <v>0</v>
      </c>
      <c r="AK2471" s="10" t="str">
        <f t="array" ref="AK2471">IFERROR(INDEX(SelectedSpecies,SMALL(IF(SelectedSpecies=AK$1,ROW(SelectedSpecies)),ROW(2472:2472)),2),"")</f>
        <v/>
      </c>
      <c r="BE2471" s="10"/>
      <c r="BI2471" s="10"/>
    </row>
    <row r="2472" spans="1:61" ht="21" customHeight="1" x14ac:dyDescent="0.25">
      <c r="A2472" s="10"/>
      <c r="B2472" s="10"/>
      <c r="E2472" s="10"/>
      <c r="G2472" s="10"/>
      <c r="I2472" s="436" t="s">
        <v>3631</v>
      </c>
      <c r="J2472" s="26" t="s">
        <v>3630</v>
      </c>
      <c r="K2472" s="10">
        <v>7.3000000000000007</v>
      </c>
      <c r="L2472" s="73">
        <f>IF(Tank1!$C$23="No control",(SUMIF(Tank1!$B$32:$B$49,$J2472,Tank1!$C$32:$C$49)*Impacts!$F$8),0)</f>
        <v>0</v>
      </c>
      <c r="M2472" s="10">
        <f>IF(Tank2!$C$23="No control",(SUMIF(Tank2!$B$32:$B$49,$J2472,Tank2!$C$32:$C$49)*Impacts!$F$9),0)</f>
        <v>0</v>
      </c>
      <c r="N2472" s="10">
        <f>IF(Tank3!$C$23="No control",(SUMIF(Tank3!$B$32:$B$49,$J2472,Tank3!$C$32:$C$49)*Impacts!$F$10),0)</f>
        <v>0</v>
      </c>
      <c r="O2472" s="10">
        <f>IF(Tank4!$C$23="No control",(SUMIF(Tank4!$B$32:$B$49,$J2472,Tank4!$C$32:$C$49)*Impacts!$F$11),0)</f>
        <v>0</v>
      </c>
      <c r="P2472" s="10">
        <f>IF(Tank5!$C$23="No control",(SUMIF(Tank5!$B$32:$B$49,$J2472,Tank5!$C$32:$C$49)*Impacts!$F$12),0)</f>
        <v>0</v>
      </c>
      <c r="Q2472" s="10">
        <f>IFERROR(IF(('Loading-drum,tote'!$C$21)="No control",SUMIF(('Loading-drum,tote'!$B$31:$B$48),$J2472,('Loading-drum,tote'!$D$31:$D$48))*Impacts!$F$13,IF(('Loading-drum,tote'!$C$21)&lt;&gt;"No control",SUMIF(('Loading-drum,tote'!$B$31:$B$48),$J2472,('Loading-drum,tote'!$E$31:$E$48))*Impacts!$F$13,0)),0)</f>
        <v>0</v>
      </c>
      <c r="R2472" s="10">
        <f>IFERROR(IF(('Loading-truck'!$C$21)="No control",SUMIF(('Loading-truck'!$B$31:$B$48),$J2472,('Loading-truck'!$D$31:$D$48))*Impacts!$F$14,IF(('Loading-truck'!$C$21)&lt;&gt;"No control",SUMIF(('Loading-truck'!$B$31:$B$48),$J2472,('Loading-truck'!$E$31:$E$48))*Impacts!$F$14,0)),0)</f>
        <v>0</v>
      </c>
      <c r="S2472" s="10">
        <f>IFERROR(IF(('Loading-rail'!$C$21)="No control",SUMIF(('Loading-rail'!$B$31:$B$48),$J2472,('Loading-rail'!$D$31:$D$48))*Impacts!$F$15,IF(('Loading-rail'!$C$21)&lt;&gt;"No control",SUMIF(('Loading-rail'!$B$31:$B$48),$J2472,('Loading-rail'!$E$31:$E$48))*Impacts!$F$15,0)),0)</f>
        <v>0</v>
      </c>
      <c r="T2472" s="10">
        <f>IF(Flare!$C$7="",0,(SUMIF(Flare!$B$46:$B$185,$J2472,Flare!$E$46:$E$185)*Impacts!$F$16))</f>
        <v>0</v>
      </c>
      <c r="U2472" s="10">
        <f>IF(VCU!$C$9="",0,(SUMIF(VCU!$B$51:$B$193,$J2472,VCU!$E$51:$E$193)*Impacts!$F$17))</f>
        <v>0</v>
      </c>
      <c r="V2472" s="10">
        <f>IF(CAS!$C$7="",0,(SUMIF(CAS!$B$31:$B$167,$J2472,CAS!$E$31:$E$167)*Impacts!$F$18))</f>
        <v>0</v>
      </c>
      <c r="W2472" s="10">
        <f t="shared" si="79"/>
        <v>0</v>
      </c>
      <c r="AK2472" s="10" t="str">
        <f t="array" ref="AK2472">IFERROR(INDEX(SelectedSpecies,SMALL(IF(SelectedSpecies=AK$1,ROW(SelectedSpecies)),ROW(2473:2473)),2),"")</f>
        <v/>
      </c>
      <c r="BE2472" s="10"/>
      <c r="BI2472" s="10"/>
    </row>
    <row r="2473" spans="1:61" ht="21" customHeight="1" x14ac:dyDescent="0.25">
      <c r="A2473" s="10"/>
      <c r="B2473" s="10"/>
      <c r="E2473" s="10"/>
      <c r="G2473" s="10"/>
      <c r="I2473" s="436" t="s">
        <v>2955</v>
      </c>
      <c r="J2473" s="26" t="s">
        <v>2954</v>
      </c>
      <c r="K2473" s="10">
        <v>10</v>
      </c>
      <c r="L2473" s="73">
        <f>IF(Tank1!$C$23="No control",(SUMIF(Tank1!$B$32:$B$49,$J2473,Tank1!$C$32:$C$49)*Impacts!$F$8),0)</f>
        <v>0</v>
      </c>
      <c r="M2473" s="10">
        <f>IF(Tank2!$C$23="No control",(SUMIF(Tank2!$B$32:$B$49,$J2473,Tank2!$C$32:$C$49)*Impacts!$F$9),0)</f>
        <v>0</v>
      </c>
      <c r="N2473" s="10">
        <f>IF(Tank3!$C$23="No control",(SUMIF(Tank3!$B$32:$B$49,$J2473,Tank3!$C$32:$C$49)*Impacts!$F$10),0)</f>
        <v>0</v>
      </c>
      <c r="O2473" s="10">
        <f>IF(Tank4!$C$23="No control",(SUMIF(Tank4!$B$32:$B$49,$J2473,Tank4!$C$32:$C$49)*Impacts!$F$11),0)</f>
        <v>0</v>
      </c>
      <c r="P2473" s="10">
        <f>IF(Tank5!$C$23="No control",(SUMIF(Tank5!$B$32:$B$49,$J2473,Tank5!$C$32:$C$49)*Impacts!$F$12),0)</f>
        <v>0</v>
      </c>
      <c r="Q2473" s="10">
        <f>IFERROR(IF(('Loading-drum,tote'!$C$21)="No control",SUMIF(('Loading-drum,tote'!$B$31:$B$48),$J2473,('Loading-drum,tote'!$D$31:$D$48))*Impacts!$F$13,IF(('Loading-drum,tote'!$C$21)&lt;&gt;"No control",SUMIF(('Loading-drum,tote'!$B$31:$B$48),$J2473,('Loading-drum,tote'!$E$31:$E$48))*Impacts!$F$13,0)),0)</f>
        <v>0</v>
      </c>
      <c r="R2473" s="10">
        <f>IFERROR(IF(('Loading-truck'!$C$21)="No control",SUMIF(('Loading-truck'!$B$31:$B$48),$J2473,('Loading-truck'!$D$31:$D$48))*Impacts!$F$14,IF(('Loading-truck'!$C$21)&lt;&gt;"No control",SUMIF(('Loading-truck'!$B$31:$B$48),$J2473,('Loading-truck'!$E$31:$E$48))*Impacts!$F$14,0)),0)</f>
        <v>0</v>
      </c>
      <c r="S2473" s="10">
        <f>IFERROR(IF(('Loading-rail'!$C$21)="No control",SUMIF(('Loading-rail'!$B$31:$B$48),$J2473,('Loading-rail'!$D$31:$D$48))*Impacts!$F$15,IF(('Loading-rail'!$C$21)&lt;&gt;"No control",SUMIF(('Loading-rail'!$B$31:$B$48),$J2473,('Loading-rail'!$E$31:$E$48))*Impacts!$F$15,0)),0)</f>
        <v>0</v>
      </c>
      <c r="T2473" s="10">
        <f>IF(Flare!$C$7="",0,(SUMIF(Flare!$B$46:$B$185,$J2473,Flare!$E$46:$E$185)*Impacts!$F$16))</f>
        <v>0</v>
      </c>
      <c r="U2473" s="10">
        <f>IF(VCU!$C$9="",0,(SUMIF(VCU!$B$51:$B$193,$J2473,VCU!$E$51:$E$193)*Impacts!$F$17))</f>
        <v>0</v>
      </c>
      <c r="V2473" s="10">
        <f>IF(CAS!$C$7="",0,(SUMIF(CAS!$B$31:$B$167,$J2473,CAS!$E$31:$E$167)*Impacts!$F$18))</f>
        <v>0</v>
      </c>
      <c r="W2473" s="10">
        <f t="shared" si="79"/>
        <v>0</v>
      </c>
      <c r="AK2473" s="10" t="str">
        <f t="array" ref="AK2473">IFERROR(INDEX(SelectedSpecies,SMALL(IF(SelectedSpecies=AK$1,ROW(SelectedSpecies)),ROW(2474:2474)),2),"")</f>
        <v/>
      </c>
      <c r="BE2473" s="10"/>
      <c r="BI2473" s="10"/>
    </row>
    <row r="2474" spans="1:61" ht="21" customHeight="1" x14ac:dyDescent="0.25">
      <c r="A2474" s="10"/>
      <c r="B2474" s="10"/>
      <c r="E2474" s="10"/>
      <c r="G2474" s="10"/>
      <c r="I2474" s="436" t="s">
        <v>8294</v>
      </c>
      <c r="J2474" s="26" t="s">
        <v>8293</v>
      </c>
      <c r="K2474" s="10">
        <v>2E-3</v>
      </c>
      <c r="L2474" s="73">
        <f>IF(Tank1!$C$23="No control",(SUMIF(Tank1!$B$32:$B$49,$J2474,Tank1!$C$32:$C$49)*Impacts!$F$8),0)</f>
        <v>0</v>
      </c>
      <c r="M2474" s="10">
        <f>IF(Tank2!$C$23="No control",(SUMIF(Tank2!$B$32:$B$49,$J2474,Tank2!$C$32:$C$49)*Impacts!$F$9),0)</f>
        <v>0</v>
      </c>
      <c r="N2474" s="10">
        <f>IF(Tank3!$C$23="No control",(SUMIF(Tank3!$B$32:$B$49,$J2474,Tank3!$C$32:$C$49)*Impacts!$F$10),0)</f>
        <v>0</v>
      </c>
      <c r="O2474" s="10">
        <f>IF(Tank4!$C$23="No control",(SUMIF(Tank4!$B$32:$B$49,$J2474,Tank4!$C$32:$C$49)*Impacts!$F$11),0)</f>
        <v>0</v>
      </c>
      <c r="P2474" s="10">
        <f>IF(Tank5!$C$23="No control",(SUMIF(Tank5!$B$32:$B$49,$J2474,Tank5!$C$32:$C$49)*Impacts!$F$12),0)</f>
        <v>0</v>
      </c>
      <c r="Q2474" s="10">
        <f>IFERROR(IF(('Loading-drum,tote'!$C$21)="No control",SUMIF(('Loading-drum,tote'!$B$31:$B$48),$J2474,('Loading-drum,tote'!$D$31:$D$48))*Impacts!$F$13,IF(('Loading-drum,tote'!$C$21)&lt;&gt;"No control",SUMIF(('Loading-drum,tote'!$B$31:$B$48),$J2474,('Loading-drum,tote'!$E$31:$E$48))*Impacts!$F$13,0)),0)</f>
        <v>0</v>
      </c>
      <c r="R2474" s="10">
        <f>IFERROR(IF(('Loading-truck'!$C$21)="No control",SUMIF(('Loading-truck'!$B$31:$B$48),$J2474,('Loading-truck'!$D$31:$D$48))*Impacts!$F$14,IF(('Loading-truck'!$C$21)&lt;&gt;"No control",SUMIF(('Loading-truck'!$B$31:$B$48),$J2474,('Loading-truck'!$E$31:$E$48))*Impacts!$F$14,0)),0)</f>
        <v>0</v>
      </c>
      <c r="S2474" s="10">
        <f>IFERROR(IF(('Loading-rail'!$C$21)="No control",SUMIF(('Loading-rail'!$B$31:$B$48),$J2474,('Loading-rail'!$D$31:$D$48))*Impacts!$F$15,IF(('Loading-rail'!$C$21)&lt;&gt;"No control",SUMIF(('Loading-rail'!$B$31:$B$48),$J2474,('Loading-rail'!$E$31:$E$48))*Impacts!$F$15,0)),0)</f>
        <v>0</v>
      </c>
      <c r="T2474" s="10">
        <f>IF(Flare!$C$7="",0,(SUMIF(Flare!$B$46:$B$185,$J2474,Flare!$E$46:$E$185)*Impacts!$F$16))</f>
        <v>0</v>
      </c>
      <c r="U2474" s="10">
        <f>IF(VCU!$C$9="",0,(SUMIF(VCU!$B$51:$B$193,$J2474,VCU!$E$51:$E$193)*Impacts!$F$17))</f>
        <v>0</v>
      </c>
      <c r="V2474" s="10">
        <f>IF(CAS!$C$7="",0,(SUMIF(CAS!$B$31:$B$167,$J2474,CAS!$E$31:$E$167)*Impacts!$F$18))</f>
        <v>0</v>
      </c>
      <c r="W2474" s="10">
        <f t="shared" si="79"/>
        <v>0</v>
      </c>
      <c r="AK2474" s="10" t="str">
        <f t="array" ref="AK2474">IFERROR(INDEX(SelectedSpecies,SMALL(IF(SelectedSpecies=AK$1,ROW(SelectedSpecies)),ROW(2475:2475)),2),"")</f>
        <v/>
      </c>
      <c r="BE2474" s="10"/>
      <c r="BI2474" s="10"/>
    </row>
    <row r="2475" spans="1:61" ht="21" customHeight="1" x14ac:dyDescent="0.25">
      <c r="A2475" s="10"/>
      <c r="B2475" s="10"/>
      <c r="E2475" s="10"/>
      <c r="G2475" s="10"/>
      <c r="I2475" s="436" t="s">
        <v>4789</v>
      </c>
      <c r="J2475" s="26" t="s">
        <v>4788</v>
      </c>
      <c r="K2475" s="10">
        <v>3.2</v>
      </c>
      <c r="L2475" s="73">
        <f>IF(Tank1!$C$23="No control",(SUMIF(Tank1!$B$32:$B$49,$J2475,Tank1!$C$32:$C$49)*Impacts!$F$8),0)</f>
        <v>0</v>
      </c>
      <c r="M2475" s="10">
        <f>IF(Tank2!$C$23="No control",(SUMIF(Tank2!$B$32:$B$49,$J2475,Tank2!$C$32:$C$49)*Impacts!$F$9),0)</f>
        <v>0</v>
      </c>
      <c r="N2475" s="10">
        <f>IF(Tank3!$C$23="No control",(SUMIF(Tank3!$B$32:$B$49,$J2475,Tank3!$C$32:$C$49)*Impacts!$F$10),0)</f>
        <v>0</v>
      </c>
      <c r="O2475" s="10">
        <f>IF(Tank4!$C$23="No control",(SUMIF(Tank4!$B$32:$B$49,$J2475,Tank4!$C$32:$C$49)*Impacts!$F$11),0)</f>
        <v>0</v>
      </c>
      <c r="P2475" s="10">
        <f>IF(Tank5!$C$23="No control",(SUMIF(Tank5!$B$32:$B$49,$J2475,Tank5!$C$32:$C$49)*Impacts!$F$12),0)</f>
        <v>0</v>
      </c>
      <c r="Q2475" s="10">
        <f>IFERROR(IF(('Loading-drum,tote'!$C$21)="No control",SUMIF(('Loading-drum,tote'!$B$31:$B$48),$J2475,('Loading-drum,tote'!$D$31:$D$48))*Impacts!$F$13,IF(('Loading-drum,tote'!$C$21)&lt;&gt;"No control",SUMIF(('Loading-drum,tote'!$B$31:$B$48),$J2475,('Loading-drum,tote'!$E$31:$E$48))*Impacts!$F$13,0)),0)</f>
        <v>0</v>
      </c>
      <c r="R2475" s="10">
        <f>IFERROR(IF(('Loading-truck'!$C$21)="No control",SUMIF(('Loading-truck'!$B$31:$B$48),$J2475,('Loading-truck'!$D$31:$D$48))*Impacts!$F$14,IF(('Loading-truck'!$C$21)&lt;&gt;"No control",SUMIF(('Loading-truck'!$B$31:$B$48),$J2475,('Loading-truck'!$E$31:$E$48))*Impacts!$F$14,0)),0)</f>
        <v>0</v>
      </c>
      <c r="S2475" s="10">
        <f>IFERROR(IF(('Loading-rail'!$C$21)="No control",SUMIF(('Loading-rail'!$B$31:$B$48),$J2475,('Loading-rail'!$D$31:$D$48))*Impacts!$F$15,IF(('Loading-rail'!$C$21)&lt;&gt;"No control",SUMIF(('Loading-rail'!$B$31:$B$48),$J2475,('Loading-rail'!$E$31:$E$48))*Impacts!$F$15,0)),0)</f>
        <v>0</v>
      </c>
      <c r="T2475" s="10">
        <f>IF(Flare!$C$7="",0,(SUMIF(Flare!$B$46:$B$185,$J2475,Flare!$E$46:$E$185)*Impacts!$F$16))</f>
        <v>0</v>
      </c>
      <c r="U2475" s="10">
        <f>IF(VCU!$C$9="",0,(SUMIF(VCU!$B$51:$B$193,$J2475,VCU!$E$51:$E$193)*Impacts!$F$17))</f>
        <v>0</v>
      </c>
      <c r="V2475" s="10">
        <f>IF(CAS!$C$7="",0,(SUMIF(CAS!$B$31:$B$167,$J2475,CAS!$E$31:$E$167)*Impacts!$F$18))</f>
        <v>0</v>
      </c>
      <c r="W2475" s="10">
        <f t="shared" si="79"/>
        <v>0</v>
      </c>
      <c r="AK2475" s="10" t="str">
        <f t="array" ref="AK2475">IFERROR(INDEX(SelectedSpecies,SMALL(IF(SelectedSpecies=AK$1,ROW(SelectedSpecies)),ROW(2476:2476)),2),"")</f>
        <v/>
      </c>
      <c r="BE2475" s="10"/>
      <c r="BI2475" s="10"/>
    </row>
    <row r="2476" spans="1:61" ht="21" customHeight="1" x14ac:dyDescent="0.25">
      <c r="A2476" s="10"/>
      <c r="B2476" s="10"/>
      <c r="E2476" s="10"/>
      <c r="G2476" s="10"/>
      <c r="I2476" s="436" t="s">
        <v>3681</v>
      </c>
      <c r="J2476" s="26" t="s">
        <v>3680</v>
      </c>
      <c r="K2476" s="10">
        <v>7</v>
      </c>
      <c r="L2476" s="73">
        <f>IF(Tank1!$C$23="No control",(SUMIF(Tank1!$B$32:$B$49,$J2476,Tank1!$C$32:$C$49)*Impacts!$F$8),0)</f>
        <v>0</v>
      </c>
      <c r="M2476" s="10">
        <f>IF(Tank2!$C$23="No control",(SUMIF(Tank2!$B$32:$B$49,$J2476,Tank2!$C$32:$C$49)*Impacts!$F$9),0)</f>
        <v>0</v>
      </c>
      <c r="N2476" s="10">
        <f>IF(Tank3!$C$23="No control",(SUMIF(Tank3!$B$32:$B$49,$J2476,Tank3!$C$32:$C$49)*Impacts!$F$10),0)</f>
        <v>0</v>
      </c>
      <c r="O2476" s="10">
        <f>IF(Tank4!$C$23="No control",(SUMIF(Tank4!$B$32:$B$49,$J2476,Tank4!$C$32:$C$49)*Impacts!$F$11),0)</f>
        <v>0</v>
      </c>
      <c r="P2476" s="10">
        <f>IF(Tank5!$C$23="No control",(SUMIF(Tank5!$B$32:$B$49,$J2476,Tank5!$C$32:$C$49)*Impacts!$F$12),0)</f>
        <v>0</v>
      </c>
      <c r="Q2476" s="10">
        <f>IFERROR(IF(('Loading-drum,tote'!$C$21)="No control",SUMIF(('Loading-drum,tote'!$B$31:$B$48),$J2476,('Loading-drum,tote'!$D$31:$D$48))*Impacts!$F$13,IF(('Loading-drum,tote'!$C$21)&lt;&gt;"No control",SUMIF(('Loading-drum,tote'!$B$31:$B$48),$J2476,('Loading-drum,tote'!$E$31:$E$48))*Impacts!$F$13,0)),0)</f>
        <v>0</v>
      </c>
      <c r="R2476" s="10">
        <f>IFERROR(IF(('Loading-truck'!$C$21)="No control",SUMIF(('Loading-truck'!$B$31:$B$48),$J2476,('Loading-truck'!$D$31:$D$48))*Impacts!$F$14,IF(('Loading-truck'!$C$21)&lt;&gt;"No control",SUMIF(('Loading-truck'!$B$31:$B$48),$J2476,('Loading-truck'!$E$31:$E$48))*Impacts!$F$14,0)),0)</f>
        <v>0</v>
      </c>
      <c r="S2476" s="10">
        <f>IFERROR(IF(('Loading-rail'!$C$21)="No control",SUMIF(('Loading-rail'!$B$31:$B$48),$J2476,('Loading-rail'!$D$31:$D$48))*Impacts!$F$15,IF(('Loading-rail'!$C$21)&lt;&gt;"No control",SUMIF(('Loading-rail'!$B$31:$B$48),$J2476,('Loading-rail'!$E$31:$E$48))*Impacts!$F$15,0)),0)</f>
        <v>0</v>
      </c>
      <c r="T2476" s="10">
        <f>IF(Flare!$C$7="",0,(SUMIF(Flare!$B$46:$B$185,$J2476,Flare!$E$46:$E$185)*Impacts!$F$16))</f>
        <v>0</v>
      </c>
      <c r="U2476" s="10">
        <f>IF(VCU!$C$9="",0,(SUMIF(VCU!$B$51:$B$193,$J2476,VCU!$E$51:$E$193)*Impacts!$F$17))</f>
        <v>0</v>
      </c>
      <c r="V2476" s="10">
        <f>IF(CAS!$C$7="",0,(SUMIF(CAS!$B$31:$B$167,$J2476,CAS!$E$31:$E$167)*Impacts!$F$18))</f>
        <v>0</v>
      </c>
      <c r="W2476" s="10">
        <f t="shared" si="79"/>
        <v>0</v>
      </c>
      <c r="AK2476" s="10" t="str">
        <f t="array" ref="AK2476">IFERROR(INDEX(SelectedSpecies,SMALL(IF(SelectedSpecies=AK$1,ROW(SelectedSpecies)),ROW(2477:2477)),2),"")</f>
        <v/>
      </c>
      <c r="BE2476" s="10"/>
      <c r="BI2476" s="10"/>
    </row>
    <row r="2477" spans="1:61" ht="21" customHeight="1" x14ac:dyDescent="0.25">
      <c r="A2477" s="10"/>
      <c r="B2477" s="10"/>
      <c r="E2477" s="10"/>
      <c r="G2477" s="10"/>
      <c r="I2477" s="436" t="s">
        <v>1700</v>
      </c>
      <c r="J2477" s="26" t="s">
        <v>1699</v>
      </c>
      <c r="K2477" s="10">
        <v>24.5</v>
      </c>
      <c r="L2477" s="73">
        <f>IF(Tank1!$C$23="No control",(SUMIF(Tank1!$B$32:$B$49,$J2477,Tank1!$C$32:$C$49)*Impacts!$F$8),0)</f>
        <v>0</v>
      </c>
      <c r="M2477" s="10">
        <f>IF(Tank2!$C$23="No control",(SUMIF(Tank2!$B$32:$B$49,$J2477,Tank2!$C$32:$C$49)*Impacts!$F$9),0)</f>
        <v>0</v>
      </c>
      <c r="N2477" s="10">
        <f>IF(Tank3!$C$23="No control",(SUMIF(Tank3!$B$32:$B$49,$J2477,Tank3!$C$32:$C$49)*Impacts!$F$10),0)</f>
        <v>0</v>
      </c>
      <c r="O2477" s="10">
        <f>IF(Tank4!$C$23="No control",(SUMIF(Tank4!$B$32:$B$49,$J2477,Tank4!$C$32:$C$49)*Impacts!$F$11),0)</f>
        <v>0</v>
      </c>
      <c r="P2477" s="10">
        <f>IF(Tank5!$C$23="No control",(SUMIF(Tank5!$B$32:$B$49,$J2477,Tank5!$C$32:$C$49)*Impacts!$F$12),0)</f>
        <v>0</v>
      </c>
      <c r="Q2477" s="10">
        <f>IFERROR(IF(('Loading-drum,tote'!$C$21)="No control",SUMIF(('Loading-drum,tote'!$B$31:$B$48),$J2477,('Loading-drum,tote'!$D$31:$D$48))*Impacts!$F$13,IF(('Loading-drum,tote'!$C$21)&lt;&gt;"No control",SUMIF(('Loading-drum,tote'!$B$31:$B$48),$J2477,('Loading-drum,tote'!$E$31:$E$48))*Impacts!$F$13,0)),0)</f>
        <v>0</v>
      </c>
      <c r="R2477" s="10">
        <f>IFERROR(IF(('Loading-truck'!$C$21)="No control",SUMIF(('Loading-truck'!$B$31:$B$48),$J2477,('Loading-truck'!$D$31:$D$48))*Impacts!$F$14,IF(('Loading-truck'!$C$21)&lt;&gt;"No control",SUMIF(('Loading-truck'!$B$31:$B$48),$J2477,('Loading-truck'!$E$31:$E$48))*Impacts!$F$14,0)),0)</f>
        <v>0</v>
      </c>
      <c r="S2477" s="10">
        <f>IFERROR(IF(('Loading-rail'!$C$21)="No control",SUMIF(('Loading-rail'!$B$31:$B$48),$J2477,('Loading-rail'!$D$31:$D$48))*Impacts!$F$15,IF(('Loading-rail'!$C$21)&lt;&gt;"No control",SUMIF(('Loading-rail'!$B$31:$B$48),$J2477,('Loading-rail'!$E$31:$E$48))*Impacts!$F$15,0)),0)</f>
        <v>0</v>
      </c>
      <c r="T2477" s="10">
        <f>IF(Flare!$C$7="",0,(SUMIF(Flare!$B$46:$B$185,$J2477,Flare!$E$46:$E$185)*Impacts!$F$16))</f>
        <v>0</v>
      </c>
      <c r="U2477" s="10">
        <f>IF(VCU!$C$9="",0,(SUMIF(VCU!$B$51:$B$193,$J2477,VCU!$E$51:$E$193)*Impacts!$F$17))</f>
        <v>0</v>
      </c>
      <c r="V2477" s="10">
        <f>IF(CAS!$C$7="",0,(SUMIF(CAS!$B$31:$B$167,$J2477,CAS!$E$31:$E$167)*Impacts!$F$18))</f>
        <v>0</v>
      </c>
      <c r="W2477" s="10">
        <f t="shared" si="79"/>
        <v>0</v>
      </c>
      <c r="AK2477" s="10" t="str">
        <f t="array" ref="AK2477">IFERROR(INDEX(SelectedSpecies,SMALL(IF(SelectedSpecies=AK$1,ROW(SelectedSpecies)),ROW(2478:2478)),2),"")</f>
        <v/>
      </c>
      <c r="BE2477" s="10"/>
      <c r="BI2477" s="10"/>
    </row>
    <row r="2478" spans="1:61" ht="21" customHeight="1" x14ac:dyDescent="0.25">
      <c r="A2478" s="10"/>
      <c r="B2478" s="10"/>
      <c r="E2478" s="10"/>
      <c r="G2478" s="10"/>
      <c r="I2478" s="436" t="s">
        <v>5191</v>
      </c>
      <c r="J2478" s="26" t="s">
        <v>5190</v>
      </c>
      <c r="K2478" s="10">
        <v>2</v>
      </c>
      <c r="L2478" s="73">
        <f>IF(Tank1!$C$23="No control",(SUMIF(Tank1!$B$32:$B$49,$J2478,Tank1!$C$32:$C$49)*Impacts!$F$8),0)</f>
        <v>0</v>
      </c>
      <c r="M2478" s="10">
        <f>IF(Tank2!$C$23="No control",(SUMIF(Tank2!$B$32:$B$49,$J2478,Tank2!$C$32:$C$49)*Impacts!$F$9),0)</f>
        <v>0</v>
      </c>
      <c r="N2478" s="10">
        <f>IF(Tank3!$C$23="No control",(SUMIF(Tank3!$B$32:$B$49,$J2478,Tank3!$C$32:$C$49)*Impacts!$F$10),0)</f>
        <v>0</v>
      </c>
      <c r="O2478" s="10">
        <f>IF(Tank4!$C$23="No control",(SUMIF(Tank4!$B$32:$B$49,$J2478,Tank4!$C$32:$C$49)*Impacts!$F$11),0)</f>
        <v>0</v>
      </c>
      <c r="P2478" s="10">
        <f>IF(Tank5!$C$23="No control",(SUMIF(Tank5!$B$32:$B$49,$J2478,Tank5!$C$32:$C$49)*Impacts!$F$12),0)</f>
        <v>0</v>
      </c>
      <c r="Q2478" s="10">
        <f>IFERROR(IF(('Loading-drum,tote'!$C$21)="No control",SUMIF(('Loading-drum,tote'!$B$31:$B$48),$J2478,('Loading-drum,tote'!$D$31:$D$48))*Impacts!$F$13,IF(('Loading-drum,tote'!$C$21)&lt;&gt;"No control",SUMIF(('Loading-drum,tote'!$B$31:$B$48),$J2478,('Loading-drum,tote'!$E$31:$E$48))*Impacts!$F$13,0)),0)</f>
        <v>0</v>
      </c>
      <c r="R2478" s="10">
        <f>IFERROR(IF(('Loading-truck'!$C$21)="No control",SUMIF(('Loading-truck'!$B$31:$B$48),$J2478,('Loading-truck'!$D$31:$D$48))*Impacts!$F$14,IF(('Loading-truck'!$C$21)&lt;&gt;"No control",SUMIF(('Loading-truck'!$B$31:$B$48),$J2478,('Loading-truck'!$E$31:$E$48))*Impacts!$F$14,0)),0)</f>
        <v>0</v>
      </c>
      <c r="S2478" s="10">
        <f>IFERROR(IF(('Loading-rail'!$C$21)="No control",SUMIF(('Loading-rail'!$B$31:$B$48),$J2478,('Loading-rail'!$D$31:$D$48))*Impacts!$F$15,IF(('Loading-rail'!$C$21)&lt;&gt;"No control",SUMIF(('Loading-rail'!$B$31:$B$48),$J2478,('Loading-rail'!$E$31:$E$48))*Impacts!$F$15,0)),0)</f>
        <v>0</v>
      </c>
      <c r="T2478" s="10">
        <f>IF(Flare!$C$7="",0,(SUMIF(Flare!$B$46:$B$185,$J2478,Flare!$E$46:$E$185)*Impacts!$F$16))</f>
        <v>0</v>
      </c>
      <c r="U2478" s="10">
        <f>IF(VCU!$C$9="",0,(SUMIF(VCU!$B$51:$B$193,$J2478,VCU!$E$51:$E$193)*Impacts!$F$17))</f>
        <v>0</v>
      </c>
      <c r="V2478" s="10">
        <f>IF(CAS!$C$7="",0,(SUMIF(CAS!$B$31:$B$167,$J2478,CAS!$E$31:$E$167)*Impacts!$F$18))</f>
        <v>0</v>
      </c>
      <c r="W2478" s="10">
        <f t="shared" si="79"/>
        <v>0</v>
      </c>
      <c r="AK2478" s="10" t="str">
        <f t="array" ref="AK2478">IFERROR(INDEX(SelectedSpecies,SMALL(IF(SelectedSpecies=AK$1,ROW(SelectedSpecies)),ROW(2479:2479)),2),"")</f>
        <v/>
      </c>
      <c r="BE2478" s="10"/>
      <c r="BI2478" s="10"/>
    </row>
    <row r="2479" spans="1:61" ht="21" customHeight="1" x14ac:dyDescent="0.25">
      <c r="A2479" s="10"/>
      <c r="B2479" s="10"/>
      <c r="E2479" s="10"/>
      <c r="G2479" s="10"/>
      <c r="I2479" s="436" t="s">
        <v>7760</v>
      </c>
      <c r="J2479" s="26" t="s">
        <v>7759</v>
      </c>
      <c r="K2479" s="10">
        <v>0.1</v>
      </c>
      <c r="L2479" s="73">
        <f>IF(Tank1!$C$23="No control",(SUMIF(Tank1!$B$32:$B$49,$J2479,Tank1!$C$32:$C$49)*Impacts!$F$8),0)</f>
        <v>0</v>
      </c>
      <c r="M2479" s="10">
        <f>IF(Tank2!$C$23="No control",(SUMIF(Tank2!$B$32:$B$49,$J2479,Tank2!$C$32:$C$49)*Impacts!$F$9),0)</f>
        <v>0</v>
      </c>
      <c r="N2479" s="10">
        <f>IF(Tank3!$C$23="No control",(SUMIF(Tank3!$B$32:$B$49,$J2479,Tank3!$C$32:$C$49)*Impacts!$F$10),0)</f>
        <v>0</v>
      </c>
      <c r="O2479" s="10">
        <f>IF(Tank4!$C$23="No control",(SUMIF(Tank4!$B$32:$B$49,$J2479,Tank4!$C$32:$C$49)*Impacts!$F$11),0)</f>
        <v>0</v>
      </c>
      <c r="P2479" s="10">
        <f>IF(Tank5!$C$23="No control",(SUMIF(Tank5!$B$32:$B$49,$J2479,Tank5!$C$32:$C$49)*Impacts!$F$12),0)</f>
        <v>0</v>
      </c>
      <c r="Q2479" s="10">
        <f>IFERROR(IF(('Loading-drum,tote'!$C$21)="No control",SUMIF(('Loading-drum,tote'!$B$31:$B$48),$J2479,('Loading-drum,tote'!$D$31:$D$48))*Impacts!$F$13,IF(('Loading-drum,tote'!$C$21)&lt;&gt;"No control",SUMIF(('Loading-drum,tote'!$B$31:$B$48),$J2479,('Loading-drum,tote'!$E$31:$E$48))*Impacts!$F$13,0)),0)</f>
        <v>0</v>
      </c>
      <c r="R2479" s="10">
        <f>IFERROR(IF(('Loading-truck'!$C$21)="No control",SUMIF(('Loading-truck'!$B$31:$B$48),$J2479,('Loading-truck'!$D$31:$D$48))*Impacts!$F$14,IF(('Loading-truck'!$C$21)&lt;&gt;"No control",SUMIF(('Loading-truck'!$B$31:$B$48),$J2479,('Loading-truck'!$E$31:$E$48))*Impacts!$F$14,0)),0)</f>
        <v>0</v>
      </c>
      <c r="S2479" s="10">
        <f>IFERROR(IF(('Loading-rail'!$C$21)="No control",SUMIF(('Loading-rail'!$B$31:$B$48),$J2479,('Loading-rail'!$D$31:$D$48))*Impacts!$F$15,IF(('Loading-rail'!$C$21)&lt;&gt;"No control",SUMIF(('Loading-rail'!$B$31:$B$48),$J2479,('Loading-rail'!$E$31:$E$48))*Impacts!$F$15,0)),0)</f>
        <v>0</v>
      </c>
      <c r="T2479" s="10">
        <f>IF(Flare!$C$7="",0,(SUMIF(Flare!$B$46:$B$185,$J2479,Flare!$E$46:$E$185)*Impacts!$F$16))</f>
        <v>0</v>
      </c>
      <c r="U2479" s="10">
        <f>IF(VCU!$C$9="",0,(SUMIF(VCU!$B$51:$B$193,$J2479,VCU!$E$51:$E$193)*Impacts!$F$17))</f>
        <v>0</v>
      </c>
      <c r="V2479" s="10">
        <f>IF(CAS!$C$7="",0,(SUMIF(CAS!$B$31:$B$167,$J2479,CAS!$E$31:$E$167)*Impacts!$F$18))</f>
        <v>0</v>
      </c>
      <c r="W2479" s="10">
        <f t="shared" si="79"/>
        <v>0</v>
      </c>
      <c r="AK2479" s="10" t="str">
        <f t="array" ref="AK2479">IFERROR(INDEX(SelectedSpecies,SMALL(IF(SelectedSpecies=AK$1,ROW(SelectedSpecies)),ROW(2480:2480)),2),"")</f>
        <v/>
      </c>
      <c r="BE2479" s="10"/>
      <c r="BI2479" s="10"/>
    </row>
    <row r="2480" spans="1:61" ht="21" customHeight="1" x14ac:dyDescent="0.25">
      <c r="A2480" s="10"/>
      <c r="B2480" s="10"/>
      <c r="E2480" s="10"/>
      <c r="G2480" s="10"/>
      <c r="I2480" s="436" t="s">
        <v>4857</v>
      </c>
      <c r="J2480" s="26" t="s">
        <v>4856</v>
      </c>
      <c r="K2480" s="10">
        <v>2.8000000000000003</v>
      </c>
      <c r="L2480" s="73">
        <f>IF(Tank1!$C$23="No control",(SUMIF(Tank1!$B$32:$B$49,$J2480,Tank1!$C$32:$C$49)*Impacts!$F$8),0)</f>
        <v>0</v>
      </c>
      <c r="M2480" s="10">
        <f>IF(Tank2!$C$23="No control",(SUMIF(Tank2!$B$32:$B$49,$J2480,Tank2!$C$32:$C$49)*Impacts!$F$9),0)</f>
        <v>0</v>
      </c>
      <c r="N2480" s="10">
        <f>IF(Tank3!$C$23="No control",(SUMIF(Tank3!$B$32:$B$49,$J2480,Tank3!$C$32:$C$49)*Impacts!$F$10),0)</f>
        <v>0</v>
      </c>
      <c r="O2480" s="10">
        <f>IF(Tank4!$C$23="No control",(SUMIF(Tank4!$B$32:$B$49,$J2480,Tank4!$C$32:$C$49)*Impacts!$F$11),0)</f>
        <v>0</v>
      </c>
      <c r="P2480" s="10">
        <f>IF(Tank5!$C$23="No control",(SUMIF(Tank5!$B$32:$B$49,$J2480,Tank5!$C$32:$C$49)*Impacts!$F$12),0)</f>
        <v>0</v>
      </c>
      <c r="Q2480" s="10">
        <f>IFERROR(IF(('Loading-drum,tote'!$C$21)="No control",SUMIF(('Loading-drum,tote'!$B$31:$B$48),$J2480,('Loading-drum,tote'!$D$31:$D$48))*Impacts!$F$13,IF(('Loading-drum,tote'!$C$21)&lt;&gt;"No control",SUMIF(('Loading-drum,tote'!$B$31:$B$48),$J2480,('Loading-drum,tote'!$E$31:$E$48))*Impacts!$F$13,0)),0)</f>
        <v>0</v>
      </c>
      <c r="R2480" s="10">
        <f>IFERROR(IF(('Loading-truck'!$C$21)="No control",SUMIF(('Loading-truck'!$B$31:$B$48),$J2480,('Loading-truck'!$D$31:$D$48))*Impacts!$F$14,IF(('Loading-truck'!$C$21)&lt;&gt;"No control",SUMIF(('Loading-truck'!$B$31:$B$48),$J2480,('Loading-truck'!$E$31:$E$48))*Impacts!$F$14,0)),0)</f>
        <v>0</v>
      </c>
      <c r="S2480" s="10">
        <f>IFERROR(IF(('Loading-rail'!$C$21)="No control",SUMIF(('Loading-rail'!$B$31:$B$48),$J2480,('Loading-rail'!$D$31:$D$48))*Impacts!$F$15,IF(('Loading-rail'!$C$21)&lt;&gt;"No control",SUMIF(('Loading-rail'!$B$31:$B$48),$J2480,('Loading-rail'!$E$31:$E$48))*Impacts!$F$15,0)),0)</f>
        <v>0</v>
      </c>
      <c r="T2480" s="10">
        <f>IF(Flare!$C$7="",0,(SUMIF(Flare!$B$46:$B$185,$J2480,Flare!$E$46:$E$185)*Impacts!$F$16))</f>
        <v>0</v>
      </c>
      <c r="U2480" s="10">
        <f>IF(VCU!$C$9="",0,(SUMIF(VCU!$B$51:$B$193,$J2480,VCU!$E$51:$E$193)*Impacts!$F$17))</f>
        <v>0</v>
      </c>
      <c r="V2480" s="10">
        <f>IF(CAS!$C$7="",0,(SUMIF(CAS!$B$31:$B$167,$J2480,CAS!$E$31:$E$167)*Impacts!$F$18))</f>
        <v>0</v>
      </c>
      <c r="W2480" s="10">
        <f t="shared" si="79"/>
        <v>0</v>
      </c>
      <c r="AK2480" s="10" t="str">
        <f t="array" ref="AK2480">IFERROR(INDEX(SelectedSpecies,SMALL(IF(SelectedSpecies=AK$1,ROW(SelectedSpecies)),ROW(2481:2481)),2),"")</f>
        <v/>
      </c>
      <c r="BE2480" s="10"/>
      <c r="BI2480" s="10"/>
    </row>
    <row r="2481" spans="1:61" ht="21" customHeight="1" x14ac:dyDescent="0.25">
      <c r="A2481" s="10"/>
      <c r="B2481" s="10"/>
      <c r="E2481" s="10"/>
      <c r="G2481" s="10"/>
      <c r="I2481" s="436" t="s">
        <v>8184</v>
      </c>
      <c r="J2481" s="26" t="s">
        <v>8183</v>
      </c>
      <c r="K2481" s="10">
        <v>1.0000000000000002E-2</v>
      </c>
      <c r="L2481" s="73">
        <f>IF(Tank1!$C$23="No control",(SUMIF(Tank1!$B$32:$B$49,$J2481,Tank1!$C$32:$C$49)*Impacts!$F$8),0)</f>
        <v>0</v>
      </c>
      <c r="M2481" s="10">
        <f>IF(Tank2!$C$23="No control",(SUMIF(Tank2!$B$32:$B$49,$J2481,Tank2!$C$32:$C$49)*Impacts!$F$9),0)</f>
        <v>0</v>
      </c>
      <c r="N2481" s="10">
        <f>IF(Tank3!$C$23="No control",(SUMIF(Tank3!$B$32:$B$49,$J2481,Tank3!$C$32:$C$49)*Impacts!$F$10),0)</f>
        <v>0</v>
      </c>
      <c r="O2481" s="10">
        <f>IF(Tank4!$C$23="No control",(SUMIF(Tank4!$B$32:$B$49,$J2481,Tank4!$C$32:$C$49)*Impacts!$F$11),0)</f>
        <v>0</v>
      </c>
      <c r="P2481" s="10">
        <f>IF(Tank5!$C$23="No control",(SUMIF(Tank5!$B$32:$B$49,$J2481,Tank5!$C$32:$C$49)*Impacts!$F$12),0)</f>
        <v>0</v>
      </c>
      <c r="Q2481" s="10">
        <f>IFERROR(IF(('Loading-drum,tote'!$C$21)="No control",SUMIF(('Loading-drum,tote'!$B$31:$B$48),$J2481,('Loading-drum,tote'!$D$31:$D$48))*Impacts!$F$13,IF(('Loading-drum,tote'!$C$21)&lt;&gt;"No control",SUMIF(('Loading-drum,tote'!$B$31:$B$48),$J2481,('Loading-drum,tote'!$E$31:$E$48))*Impacts!$F$13,0)),0)</f>
        <v>0</v>
      </c>
      <c r="R2481" s="10">
        <f>IFERROR(IF(('Loading-truck'!$C$21)="No control",SUMIF(('Loading-truck'!$B$31:$B$48),$J2481,('Loading-truck'!$D$31:$D$48))*Impacts!$F$14,IF(('Loading-truck'!$C$21)&lt;&gt;"No control",SUMIF(('Loading-truck'!$B$31:$B$48),$J2481,('Loading-truck'!$E$31:$E$48))*Impacts!$F$14,0)),0)</f>
        <v>0</v>
      </c>
      <c r="S2481" s="10">
        <f>IFERROR(IF(('Loading-rail'!$C$21)="No control",SUMIF(('Loading-rail'!$B$31:$B$48),$J2481,('Loading-rail'!$D$31:$D$48))*Impacts!$F$15,IF(('Loading-rail'!$C$21)&lt;&gt;"No control",SUMIF(('Loading-rail'!$B$31:$B$48),$J2481,('Loading-rail'!$E$31:$E$48))*Impacts!$F$15,0)),0)</f>
        <v>0</v>
      </c>
      <c r="T2481" s="10">
        <f>IF(Flare!$C$7="",0,(SUMIF(Flare!$B$46:$B$185,$J2481,Flare!$E$46:$E$185)*Impacts!$F$16))</f>
        <v>0</v>
      </c>
      <c r="U2481" s="10">
        <f>IF(VCU!$C$9="",0,(SUMIF(VCU!$B$51:$B$193,$J2481,VCU!$E$51:$E$193)*Impacts!$F$17))</f>
        <v>0</v>
      </c>
      <c r="V2481" s="10">
        <f>IF(CAS!$C$7="",0,(SUMIF(CAS!$B$31:$B$167,$J2481,CAS!$E$31:$E$167)*Impacts!$F$18))</f>
        <v>0</v>
      </c>
      <c r="W2481" s="10">
        <f t="shared" si="79"/>
        <v>0</v>
      </c>
      <c r="AK2481" s="10" t="str">
        <f t="array" ref="AK2481">IFERROR(INDEX(SelectedSpecies,SMALL(IF(SelectedSpecies=AK$1,ROW(SelectedSpecies)),ROW(2482:2482)),2),"")</f>
        <v/>
      </c>
      <c r="BE2481" s="10"/>
      <c r="BI2481" s="10"/>
    </row>
    <row r="2482" spans="1:61" ht="21" customHeight="1" x14ac:dyDescent="0.25">
      <c r="A2482" s="10"/>
      <c r="B2482" s="10"/>
      <c r="E2482" s="10"/>
      <c r="G2482" s="10"/>
      <c r="I2482" s="436" t="s">
        <v>2525</v>
      </c>
      <c r="J2482" s="26" t="s">
        <v>2524</v>
      </c>
      <c r="K2482" s="10">
        <v>10</v>
      </c>
      <c r="L2482" s="73">
        <f>IF(Tank1!$C$23="No control",(SUMIF(Tank1!$B$32:$B$49,$J2482,Tank1!$C$32:$C$49)*Impacts!$F$8),0)</f>
        <v>0</v>
      </c>
      <c r="M2482" s="10">
        <f>IF(Tank2!$C$23="No control",(SUMIF(Tank2!$B$32:$B$49,$J2482,Tank2!$C$32:$C$49)*Impacts!$F$9),0)</f>
        <v>0</v>
      </c>
      <c r="N2482" s="10">
        <f>IF(Tank3!$C$23="No control",(SUMIF(Tank3!$B$32:$B$49,$J2482,Tank3!$C$32:$C$49)*Impacts!$F$10),0)</f>
        <v>0</v>
      </c>
      <c r="O2482" s="10">
        <f>IF(Tank4!$C$23="No control",(SUMIF(Tank4!$B$32:$B$49,$J2482,Tank4!$C$32:$C$49)*Impacts!$F$11),0)</f>
        <v>0</v>
      </c>
      <c r="P2482" s="10">
        <f>IF(Tank5!$C$23="No control",(SUMIF(Tank5!$B$32:$B$49,$J2482,Tank5!$C$32:$C$49)*Impacts!$F$12),0)</f>
        <v>0</v>
      </c>
      <c r="Q2482" s="10">
        <f>IFERROR(IF(('Loading-drum,tote'!$C$21)="No control",SUMIF(('Loading-drum,tote'!$B$31:$B$48),$J2482,('Loading-drum,tote'!$D$31:$D$48))*Impacts!$F$13,IF(('Loading-drum,tote'!$C$21)&lt;&gt;"No control",SUMIF(('Loading-drum,tote'!$B$31:$B$48),$J2482,('Loading-drum,tote'!$E$31:$E$48))*Impacts!$F$13,0)),0)</f>
        <v>0</v>
      </c>
      <c r="R2482" s="10">
        <f>IFERROR(IF(('Loading-truck'!$C$21)="No control",SUMIF(('Loading-truck'!$B$31:$B$48),$J2482,('Loading-truck'!$D$31:$D$48))*Impacts!$F$14,IF(('Loading-truck'!$C$21)&lt;&gt;"No control",SUMIF(('Loading-truck'!$B$31:$B$48),$J2482,('Loading-truck'!$E$31:$E$48))*Impacts!$F$14,0)),0)</f>
        <v>0</v>
      </c>
      <c r="S2482" s="10">
        <f>IFERROR(IF(('Loading-rail'!$C$21)="No control",SUMIF(('Loading-rail'!$B$31:$B$48),$J2482,('Loading-rail'!$D$31:$D$48))*Impacts!$F$15,IF(('Loading-rail'!$C$21)&lt;&gt;"No control",SUMIF(('Loading-rail'!$B$31:$B$48),$J2482,('Loading-rail'!$E$31:$E$48))*Impacts!$F$15,0)),0)</f>
        <v>0</v>
      </c>
      <c r="T2482" s="10">
        <f>IF(Flare!$C$7="",0,(SUMIF(Flare!$B$46:$B$185,$J2482,Flare!$E$46:$E$185)*Impacts!$F$16))</f>
        <v>0</v>
      </c>
      <c r="U2482" s="10">
        <f>IF(VCU!$C$9="",0,(SUMIF(VCU!$B$51:$B$193,$J2482,VCU!$E$51:$E$193)*Impacts!$F$17))</f>
        <v>0</v>
      </c>
      <c r="V2482" s="10">
        <f>IF(CAS!$C$7="",0,(SUMIF(CAS!$B$31:$B$167,$J2482,CAS!$E$31:$E$167)*Impacts!$F$18))</f>
        <v>0</v>
      </c>
      <c r="W2482" s="10">
        <f t="shared" si="79"/>
        <v>0</v>
      </c>
      <c r="AK2482" s="10" t="str">
        <f t="array" ref="AK2482">IFERROR(INDEX(SelectedSpecies,SMALL(IF(SelectedSpecies=AK$1,ROW(SelectedSpecies)),ROW(2483:2483)),2),"")</f>
        <v/>
      </c>
      <c r="BE2482" s="10"/>
      <c r="BI2482" s="10"/>
    </row>
    <row r="2483" spans="1:61" ht="21" customHeight="1" x14ac:dyDescent="0.25">
      <c r="A2483" s="10"/>
      <c r="B2483" s="10"/>
      <c r="E2483" s="10"/>
      <c r="G2483" s="10"/>
      <c r="I2483" s="436" t="s">
        <v>6444</v>
      </c>
      <c r="J2483" s="26" t="s">
        <v>6443</v>
      </c>
      <c r="K2483" s="10">
        <v>0.8</v>
      </c>
      <c r="L2483" s="73">
        <f>IF(Tank1!$C$23="No control",(SUMIF(Tank1!$B$32:$B$49,$J2483,Tank1!$C$32:$C$49)*Impacts!$F$8),0)</f>
        <v>0</v>
      </c>
      <c r="M2483" s="10">
        <f>IF(Tank2!$C$23="No control",(SUMIF(Tank2!$B$32:$B$49,$J2483,Tank2!$C$32:$C$49)*Impacts!$F$9),0)</f>
        <v>0</v>
      </c>
      <c r="N2483" s="10">
        <f>IF(Tank3!$C$23="No control",(SUMIF(Tank3!$B$32:$B$49,$J2483,Tank3!$C$32:$C$49)*Impacts!$F$10),0)</f>
        <v>0</v>
      </c>
      <c r="O2483" s="10">
        <f>IF(Tank4!$C$23="No control",(SUMIF(Tank4!$B$32:$B$49,$J2483,Tank4!$C$32:$C$49)*Impacts!$F$11),0)</f>
        <v>0</v>
      </c>
      <c r="P2483" s="10">
        <f>IF(Tank5!$C$23="No control",(SUMIF(Tank5!$B$32:$B$49,$J2483,Tank5!$C$32:$C$49)*Impacts!$F$12),0)</f>
        <v>0</v>
      </c>
      <c r="Q2483" s="10">
        <f>IFERROR(IF(('Loading-drum,tote'!$C$21)="No control",SUMIF(('Loading-drum,tote'!$B$31:$B$48),$J2483,('Loading-drum,tote'!$D$31:$D$48))*Impacts!$F$13,IF(('Loading-drum,tote'!$C$21)&lt;&gt;"No control",SUMIF(('Loading-drum,tote'!$B$31:$B$48),$J2483,('Loading-drum,tote'!$E$31:$E$48))*Impacts!$F$13,0)),0)</f>
        <v>0</v>
      </c>
      <c r="R2483" s="10">
        <f>IFERROR(IF(('Loading-truck'!$C$21)="No control",SUMIF(('Loading-truck'!$B$31:$B$48),$J2483,('Loading-truck'!$D$31:$D$48))*Impacts!$F$14,IF(('Loading-truck'!$C$21)&lt;&gt;"No control",SUMIF(('Loading-truck'!$B$31:$B$48),$J2483,('Loading-truck'!$E$31:$E$48))*Impacts!$F$14,0)),0)</f>
        <v>0</v>
      </c>
      <c r="S2483" s="10">
        <f>IFERROR(IF(('Loading-rail'!$C$21)="No control",SUMIF(('Loading-rail'!$B$31:$B$48),$J2483,('Loading-rail'!$D$31:$D$48))*Impacts!$F$15,IF(('Loading-rail'!$C$21)&lt;&gt;"No control",SUMIF(('Loading-rail'!$B$31:$B$48),$J2483,('Loading-rail'!$E$31:$E$48))*Impacts!$F$15,0)),0)</f>
        <v>0</v>
      </c>
      <c r="T2483" s="10">
        <f>IF(Flare!$C$7="",0,(SUMIF(Flare!$B$46:$B$185,$J2483,Flare!$E$46:$E$185)*Impacts!$F$16))</f>
        <v>0</v>
      </c>
      <c r="U2483" s="10">
        <f>IF(VCU!$C$9="",0,(SUMIF(VCU!$B$51:$B$193,$J2483,VCU!$E$51:$E$193)*Impacts!$F$17))</f>
        <v>0</v>
      </c>
      <c r="V2483" s="10">
        <f>IF(CAS!$C$7="",0,(SUMIF(CAS!$B$31:$B$167,$J2483,CAS!$E$31:$E$167)*Impacts!$F$18))</f>
        <v>0</v>
      </c>
      <c r="W2483" s="10">
        <f t="shared" si="79"/>
        <v>0</v>
      </c>
      <c r="AK2483" s="10" t="str">
        <f t="array" ref="AK2483">IFERROR(INDEX(SelectedSpecies,SMALL(IF(SelectedSpecies=AK$1,ROW(SelectedSpecies)),ROW(2484:2484)),2),"")</f>
        <v/>
      </c>
      <c r="BE2483" s="10"/>
      <c r="BI2483" s="10"/>
    </row>
    <row r="2484" spans="1:61" ht="21" customHeight="1" x14ac:dyDescent="0.25">
      <c r="A2484" s="10"/>
      <c r="B2484" s="10"/>
      <c r="E2484" s="10"/>
      <c r="G2484" s="10"/>
      <c r="I2484" s="436" t="s">
        <v>6872</v>
      </c>
      <c r="J2484" s="26" t="s">
        <v>6871</v>
      </c>
      <c r="K2484" s="10">
        <v>0.5</v>
      </c>
      <c r="L2484" s="73">
        <f>IF(Tank1!$C$23="No control",(SUMIF(Tank1!$B$32:$B$49,$J2484,Tank1!$C$32:$C$49)*Impacts!$F$8),0)</f>
        <v>0</v>
      </c>
      <c r="M2484" s="10">
        <f>IF(Tank2!$C$23="No control",(SUMIF(Tank2!$B$32:$B$49,$J2484,Tank2!$C$32:$C$49)*Impacts!$F$9),0)</f>
        <v>0</v>
      </c>
      <c r="N2484" s="10">
        <f>IF(Tank3!$C$23="No control",(SUMIF(Tank3!$B$32:$B$49,$J2484,Tank3!$C$32:$C$49)*Impacts!$F$10),0)</f>
        <v>0</v>
      </c>
      <c r="O2484" s="10">
        <f>IF(Tank4!$C$23="No control",(SUMIF(Tank4!$B$32:$B$49,$J2484,Tank4!$C$32:$C$49)*Impacts!$F$11),0)</f>
        <v>0</v>
      </c>
      <c r="P2484" s="10">
        <f>IF(Tank5!$C$23="No control",(SUMIF(Tank5!$B$32:$B$49,$J2484,Tank5!$C$32:$C$49)*Impacts!$F$12),0)</f>
        <v>0</v>
      </c>
      <c r="Q2484" s="10">
        <f>IFERROR(IF(('Loading-drum,tote'!$C$21)="No control",SUMIF(('Loading-drum,tote'!$B$31:$B$48),$J2484,('Loading-drum,tote'!$D$31:$D$48))*Impacts!$F$13,IF(('Loading-drum,tote'!$C$21)&lt;&gt;"No control",SUMIF(('Loading-drum,tote'!$B$31:$B$48),$J2484,('Loading-drum,tote'!$E$31:$E$48))*Impacts!$F$13,0)),0)</f>
        <v>0</v>
      </c>
      <c r="R2484" s="10">
        <f>IFERROR(IF(('Loading-truck'!$C$21)="No control",SUMIF(('Loading-truck'!$B$31:$B$48),$J2484,('Loading-truck'!$D$31:$D$48))*Impacts!$F$14,IF(('Loading-truck'!$C$21)&lt;&gt;"No control",SUMIF(('Loading-truck'!$B$31:$B$48),$J2484,('Loading-truck'!$E$31:$E$48))*Impacts!$F$14,0)),0)</f>
        <v>0</v>
      </c>
      <c r="S2484" s="10">
        <f>IFERROR(IF(('Loading-rail'!$C$21)="No control",SUMIF(('Loading-rail'!$B$31:$B$48),$J2484,('Loading-rail'!$D$31:$D$48))*Impacts!$F$15,IF(('Loading-rail'!$C$21)&lt;&gt;"No control",SUMIF(('Loading-rail'!$B$31:$B$48),$J2484,('Loading-rail'!$E$31:$E$48))*Impacts!$F$15,0)),0)</f>
        <v>0</v>
      </c>
      <c r="T2484" s="10">
        <f>IF(Flare!$C$7="",0,(SUMIF(Flare!$B$46:$B$185,$J2484,Flare!$E$46:$E$185)*Impacts!$F$16))</f>
        <v>0</v>
      </c>
      <c r="U2484" s="10">
        <f>IF(VCU!$C$9="",0,(SUMIF(VCU!$B$51:$B$193,$J2484,VCU!$E$51:$E$193)*Impacts!$F$17))</f>
        <v>0</v>
      </c>
      <c r="V2484" s="10">
        <f>IF(CAS!$C$7="",0,(SUMIF(CAS!$B$31:$B$167,$J2484,CAS!$E$31:$E$167)*Impacts!$F$18))</f>
        <v>0</v>
      </c>
      <c r="W2484" s="10">
        <f t="shared" si="79"/>
        <v>0</v>
      </c>
      <c r="AK2484" s="10" t="str">
        <f t="array" ref="AK2484">IFERROR(INDEX(SelectedSpecies,SMALL(IF(SelectedSpecies=AK$1,ROW(SelectedSpecies)),ROW(2485:2485)),2),"")</f>
        <v/>
      </c>
      <c r="BE2484" s="10"/>
      <c r="BI2484" s="10"/>
    </row>
    <row r="2485" spans="1:61" ht="21" customHeight="1" x14ac:dyDescent="0.25">
      <c r="A2485" s="10"/>
      <c r="B2485" s="10"/>
      <c r="E2485" s="10"/>
      <c r="G2485" s="10"/>
      <c r="I2485" s="436" t="s">
        <v>7002</v>
      </c>
      <c r="J2485" s="26" t="s">
        <v>7001</v>
      </c>
      <c r="K2485" s="10">
        <v>0.45999999999999996</v>
      </c>
      <c r="L2485" s="73">
        <f>IF(Tank1!$C$23="No control",(SUMIF(Tank1!$B$32:$B$49,$J2485,Tank1!$C$32:$C$49)*Impacts!$F$8),0)</f>
        <v>0</v>
      </c>
      <c r="M2485" s="10">
        <f>IF(Tank2!$C$23="No control",(SUMIF(Tank2!$B$32:$B$49,$J2485,Tank2!$C$32:$C$49)*Impacts!$F$9),0)</f>
        <v>0</v>
      </c>
      <c r="N2485" s="10">
        <f>IF(Tank3!$C$23="No control",(SUMIF(Tank3!$B$32:$B$49,$J2485,Tank3!$C$32:$C$49)*Impacts!$F$10),0)</f>
        <v>0</v>
      </c>
      <c r="O2485" s="10">
        <f>IF(Tank4!$C$23="No control",(SUMIF(Tank4!$B$32:$B$49,$J2485,Tank4!$C$32:$C$49)*Impacts!$F$11),0)</f>
        <v>0</v>
      </c>
      <c r="P2485" s="10">
        <f>IF(Tank5!$C$23="No control",(SUMIF(Tank5!$B$32:$B$49,$J2485,Tank5!$C$32:$C$49)*Impacts!$F$12),0)</f>
        <v>0</v>
      </c>
      <c r="Q2485" s="10">
        <f>IFERROR(IF(('Loading-drum,tote'!$C$21)="No control",SUMIF(('Loading-drum,tote'!$B$31:$B$48),$J2485,('Loading-drum,tote'!$D$31:$D$48))*Impacts!$F$13,IF(('Loading-drum,tote'!$C$21)&lt;&gt;"No control",SUMIF(('Loading-drum,tote'!$B$31:$B$48),$J2485,('Loading-drum,tote'!$E$31:$E$48))*Impacts!$F$13,0)),0)</f>
        <v>0</v>
      </c>
      <c r="R2485" s="10">
        <f>IFERROR(IF(('Loading-truck'!$C$21)="No control",SUMIF(('Loading-truck'!$B$31:$B$48),$J2485,('Loading-truck'!$D$31:$D$48))*Impacts!$F$14,IF(('Loading-truck'!$C$21)&lt;&gt;"No control",SUMIF(('Loading-truck'!$B$31:$B$48),$J2485,('Loading-truck'!$E$31:$E$48))*Impacts!$F$14,0)),0)</f>
        <v>0</v>
      </c>
      <c r="S2485" s="10">
        <f>IFERROR(IF(('Loading-rail'!$C$21)="No control",SUMIF(('Loading-rail'!$B$31:$B$48),$J2485,('Loading-rail'!$D$31:$D$48))*Impacts!$F$15,IF(('Loading-rail'!$C$21)&lt;&gt;"No control",SUMIF(('Loading-rail'!$B$31:$B$48),$J2485,('Loading-rail'!$E$31:$E$48))*Impacts!$F$15,0)),0)</f>
        <v>0</v>
      </c>
      <c r="T2485" s="10">
        <f>IF(Flare!$C$7="",0,(SUMIF(Flare!$B$46:$B$185,$J2485,Flare!$E$46:$E$185)*Impacts!$F$16))</f>
        <v>0</v>
      </c>
      <c r="U2485" s="10">
        <f>IF(VCU!$C$9="",0,(SUMIF(VCU!$B$51:$B$193,$J2485,VCU!$E$51:$E$193)*Impacts!$F$17))</f>
        <v>0</v>
      </c>
      <c r="V2485" s="10">
        <f>IF(CAS!$C$7="",0,(SUMIF(CAS!$B$31:$B$167,$J2485,CAS!$E$31:$E$167)*Impacts!$F$18))</f>
        <v>0</v>
      </c>
      <c r="W2485" s="10">
        <f t="shared" si="79"/>
        <v>0</v>
      </c>
      <c r="AK2485" s="10" t="str">
        <f t="array" ref="AK2485">IFERROR(INDEX(SelectedSpecies,SMALL(IF(SelectedSpecies=AK$1,ROW(SelectedSpecies)),ROW(2486:2486)),2),"")</f>
        <v/>
      </c>
      <c r="BE2485" s="10"/>
      <c r="BI2485" s="10"/>
    </row>
    <row r="2486" spans="1:61" ht="21" customHeight="1" x14ac:dyDescent="0.25">
      <c r="A2486" s="10"/>
      <c r="B2486" s="10"/>
      <c r="E2486" s="10"/>
      <c r="G2486" s="10"/>
      <c r="I2486" s="436" t="s">
        <v>3971</v>
      </c>
      <c r="J2486" s="26" t="s">
        <v>3970</v>
      </c>
      <c r="K2486" s="10">
        <v>6</v>
      </c>
      <c r="L2486" s="73">
        <f>IF(Tank1!$C$23="No control",(SUMIF(Tank1!$B$32:$B$49,$J2486,Tank1!$C$32:$C$49)*Impacts!$F$8),0)</f>
        <v>0</v>
      </c>
      <c r="M2486" s="10">
        <f>IF(Tank2!$C$23="No control",(SUMIF(Tank2!$B$32:$B$49,$J2486,Tank2!$C$32:$C$49)*Impacts!$F$9),0)</f>
        <v>0</v>
      </c>
      <c r="N2486" s="10">
        <f>IF(Tank3!$C$23="No control",(SUMIF(Tank3!$B$32:$B$49,$J2486,Tank3!$C$32:$C$49)*Impacts!$F$10),0)</f>
        <v>0</v>
      </c>
      <c r="O2486" s="10">
        <f>IF(Tank4!$C$23="No control",(SUMIF(Tank4!$B$32:$B$49,$J2486,Tank4!$C$32:$C$49)*Impacts!$F$11),0)</f>
        <v>0</v>
      </c>
      <c r="P2486" s="10">
        <f>IF(Tank5!$C$23="No control",(SUMIF(Tank5!$B$32:$B$49,$J2486,Tank5!$C$32:$C$49)*Impacts!$F$12),0)</f>
        <v>0</v>
      </c>
      <c r="Q2486" s="10">
        <f>IFERROR(IF(('Loading-drum,tote'!$C$21)="No control",SUMIF(('Loading-drum,tote'!$B$31:$B$48),$J2486,('Loading-drum,tote'!$D$31:$D$48))*Impacts!$F$13,IF(('Loading-drum,tote'!$C$21)&lt;&gt;"No control",SUMIF(('Loading-drum,tote'!$B$31:$B$48),$J2486,('Loading-drum,tote'!$E$31:$E$48))*Impacts!$F$13,0)),0)</f>
        <v>0</v>
      </c>
      <c r="R2486" s="10">
        <f>IFERROR(IF(('Loading-truck'!$C$21)="No control",SUMIF(('Loading-truck'!$B$31:$B$48),$J2486,('Loading-truck'!$D$31:$D$48))*Impacts!$F$14,IF(('Loading-truck'!$C$21)&lt;&gt;"No control",SUMIF(('Loading-truck'!$B$31:$B$48),$J2486,('Loading-truck'!$E$31:$E$48))*Impacts!$F$14,0)),0)</f>
        <v>0</v>
      </c>
      <c r="S2486" s="10">
        <f>IFERROR(IF(('Loading-rail'!$C$21)="No control",SUMIF(('Loading-rail'!$B$31:$B$48),$J2486,('Loading-rail'!$D$31:$D$48))*Impacts!$F$15,IF(('Loading-rail'!$C$21)&lt;&gt;"No control",SUMIF(('Loading-rail'!$B$31:$B$48),$J2486,('Loading-rail'!$E$31:$E$48))*Impacts!$F$15,0)),0)</f>
        <v>0</v>
      </c>
      <c r="T2486" s="10">
        <f>IF(Flare!$C$7="",0,(SUMIF(Flare!$B$46:$B$185,$J2486,Flare!$E$46:$E$185)*Impacts!$F$16))</f>
        <v>0</v>
      </c>
      <c r="U2486" s="10">
        <f>IF(VCU!$C$9="",0,(SUMIF(VCU!$B$51:$B$193,$J2486,VCU!$E$51:$E$193)*Impacts!$F$17))</f>
        <v>0</v>
      </c>
      <c r="V2486" s="10">
        <f>IF(CAS!$C$7="",0,(SUMIF(CAS!$B$31:$B$167,$J2486,CAS!$E$31:$E$167)*Impacts!$F$18))</f>
        <v>0</v>
      </c>
      <c r="W2486" s="10">
        <f t="shared" si="79"/>
        <v>0</v>
      </c>
      <c r="AK2486" s="10" t="str">
        <f t="array" ref="AK2486">IFERROR(INDEX(SelectedSpecies,SMALL(IF(SelectedSpecies=AK$1,ROW(SelectedSpecies)),ROW(2487:2487)),2),"")</f>
        <v/>
      </c>
      <c r="BE2486" s="10"/>
      <c r="BI2486" s="10"/>
    </row>
    <row r="2487" spans="1:61" ht="21" customHeight="1" x14ac:dyDescent="0.25">
      <c r="A2487" s="10"/>
      <c r="B2487" s="10"/>
      <c r="E2487" s="10"/>
      <c r="G2487" s="10"/>
      <c r="I2487" s="436" t="s">
        <v>6874</v>
      </c>
      <c r="J2487" s="26" t="s">
        <v>6873</v>
      </c>
      <c r="K2487" s="10">
        <v>0.5</v>
      </c>
      <c r="L2487" s="73">
        <f>IF(Tank1!$C$23="No control",(SUMIF(Tank1!$B$32:$B$49,$J2487,Tank1!$C$32:$C$49)*Impacts!$F$8),0)</f>
        <v>0</v>
      </c>
      <c r="M2487" s="10">
        <f>IF(Tank2!$C$23="No control",(SUMIF(Tank2!$B$32:$B$49,$J2487,Tank2!$C$32:$C$49)*Impacts!$F$9),0)</f>
        <v>0</v>
      </c>
      <c r="N2487" s="10">
        <f>IF(Tank3!$C$23="No control",(SUMIF(Tank3!$B$32:$B$49,$J2487,Tank3!$C$32:$C$49)*Impacts!$F$10),0)</f>
        <v>0</v>
      </c>
      <c r="O2487" s="10">
        <f>IF(Tank4!$C$23="No control",(SUMIF(Tank4!$B$32:$B$49,$J2487,Tank4!$C$32:$C$49)*Impacts!$F$11),0)</f>
        <v>0</v>
      </c>
      <c r="P2487" s="10">
        <f>IF(Tank5!$C$23="No control",(SUMIF(Tank5!$B$32:$B$49,$J2487,Tank5!$C$32:$C$49)*Impacts!$F$12),0)</f>
        <v>0</v>
      </c>
      <c r="Q2487" s="10">
        <f>IFERROR(IF(('Loading-drum,tote'!$C$21)="No control",SUMIF(('Loading-drum,tote'!$B$31:$B$48),$J2487,('Loading-drum,tote'!$D$31:$D$48))*Impacts!$F$13,IF(('Loading-drum,tote'!$C$21)&lt;&gt;"No control",SUMIF(('Loading-drum,tote'!$B$31:$B$48),$J2487,('Loading-drum,tote'!$E$31:$E$48))*Impacts!$F$13,0)),0)</f>
        <v>0</v>
      </c>
      <c r="R2487" s="10">
        <f>IFERROR(IF(('Loading-truck'!$C$21)="No control",SUMIF(('Loading-truck'!$B$31:$B$48),$J2487,('Loading-truck'!$D$31:$D$48))*Impacts!$F$14,IF(('Loading-truck'!$C$21)&lt;&gt;"No control",SUMIF(('Loading-truck'!$B$31:$B$48),$J2487,('Loading-truck'!$E$31:$E$48))*Impacts!$F$14,0)),0)</f>
        <v>0</v>
      </c>
      <c r="S2487" s="10">
        <f>IFERROR(IF(('Loading-rail'!$C$21)="No control",SUMIF(('Loading-rail'!$B$31:$B$48),$J2487,('Loading-rail'!$D$31:$D$48))*Impacts!$F$15,IF(('Loading-rail'!$C$21)&lt;&gt;"No control",SUMIF(('Loading-rail'!$B$31:$B$48),$J2487,('Loading-rail'!$E$31:$E$48))*Impacts!$F$15,0)),0)</f>
        <v>0</v>
      </c>
      <c r="T2487" s="10">
        <f>IF(Flare!$C$7="",0,(SUMIF(Flare!$B$46:$B$185,$J2487,Flare!$E$46:$E$185)*Impacts!$F$16))</f>
        <v>0</v>
      </c>
      <c r="U2487" s="10">
        <f>IF(VCU!$C$9="",0,(SUMIF(VCU!$B$51:$B$193,$J2487,VCU!$E$51:$E$193)*Impacts!$F$17))</f>
        <v>0</v>
      </c>
      <c r="V2487" s="10">
        <f>IF(CAS!$C$7="",0,(SUMIF(CAS!$B$31:$B$167,$J2487,CAS!$E$31:$E$167)*Impacts!$F$18))</f>
        <v>0</v>
      </c>
      <c r="W2487" s="10">
        <f t="shared" si="79"/>
        <v>0</v>
      </c>
      <c r="AK2487" s="10" t="str">
        <f t="array" ref="AK2487">IFERROR(INDEX(SelectedSpecies,SMALL(IF(SelectedSpecies=AK$1,ROW(SelectedSpecies)),ROW(2488:2488)),2),"")</f>
        <v/>
      </c>
      <c r="BE2487" s="10"/>
      <c r="BI2487" s="10"/>
    </row>
    <row r="2488" spans="1:61" ht="21" customHeight="1" x14ac:dyDescent="0.25">
      <c r="A2488" s="10"/>
      <c r="B2488" s="10"/>
      <c r="E2488" s="10"/>
      <c r="G2488" s="10"/>
      <c r="I2488" s="436" t="s">
        <v>6570</v>
      </c>
      <c r="J2488" s="26" t="s">
        <v>6569</v>
      </c>
      <c r="K2488" s="10">
        <v>0.67</v>
      </c>
      <c r="L2488" s="73">
        <f>IF(Tank1!$C$23="No control",(SUMIF(Tank1!$B$32:$B$49,$J2488,Tank1!$C$32:$C$49)*Impacts!$F$8),0)</f>
        <v>0</v>
      </c>
      <c r="M2488" s="10">
        <f>IF(Tank2!$C$23="No control",(SUMIF(Tank2!$B$32:$B$49,$J2488,Tank2!$C$32:$C$49)*Impacts!$F$9),0)</f>
        <v>0</v>
      </c>
      <c r="N2488" s="10">
        <f>IF(Tank3!$C$23="No control",(SUMIF(Tank3!$B$32:$B$49,$J2488,Tank3!$C$32:$C$49)*Impacts!$F$10),0)</f>
        <v>0</v>
      </c>
      <c r="O2488" s="10">
        <f>IF(Tank4!$C$23="No control",(SUMIF(Tank4!$B$32:$B$49,$J2488,Tank4!$C$32:$C$49)*Impacts!$F$11),0)</f>
        <v>0</v>
      </c>
      <c r="P2488" s="10">
        <f>IF(Tank5!$C$23="No control",(SUMIF(Tank5!$B$32:$B$49,$J2488,Tank5!$C$32:$C$49)*Impacts!$F$12),0)</f>
        <v>0</v>
      </c>
      <c r="Q2488" s="10">
        <f>IFERROR(IF(('Loading-drum,tote'!$C$21)="No control",SUMIF(('Loading-drum,tote'!$B$31:$B$48),$J2488,('Loading-drum,tote'!$D$31:$D$48))*Impacts!$F$13,IF(('Loading-drum,tote'!$C$21)&lt;&gt;"No control",SUMIF(('Loading-drum,tote'!$B$31:$B$48),$J2488,('Loading-drum,tote'!$E$31:$E$48))*Impacts!$F$13,0)),0)</f>
        <v>0</v>
      </c>
      <c r="R2488" s="10">
        <f>IFERROR(IF(('Loading-truck'!$C$21)="No control",SUMIF(('Loading-truck'!$B$31:$B$48),$J2488,('Loading-truck'!$D$31:$D$48))*Impacts!$F$14,IF(('Loading-truck'!$C$21)&lt;&gt;"No control",SUMIF(('Loading-truck'!$B$31:$B$48),$J2488,('Loading-truck'!$E$31:$E$48))*Impacts!$F$14,0)),0)</f>
        <v>0</v>
      </c>
      <c r="S2488" s="10">
        <f>IFERROR(IF(('Loading-rail'!$C$21)="No control",SUMIF(('Loading-rail'!$B$31:$B$48),$J2488,('Loading-rail'!$D$31:$D$48))*Impacts!$F$15,IF(('Loading-rail'!$C$21)&lt;&gt;"No control",SUMIF(('Loading-rail'!$B$31:$B$48),$J2488,('Loading-rail'!$E$31:$E$48))*Impacts!$F$15,0)),0)</f>
        <v>0</v>
      </c>
      <c r="T2488" s="10">
        <f>IF(Flare!$C$7="",0,(SUMIF(Flare!$B$46:$B$185,$J2488,Flare!$E$46:$E$185)*Impacts!$F$16))</f>
        <v>0</v>
      </c>
      <c r="U2488" s="10">
        <f>IF(VCU!$C$9="",0,(SUMIF(VCU!$B$51:$B$193,$J2488,VCU!$E$51:$E$193)*Impacts!$F$17))</f>
        <v>0</v>
      </c>
      <c r="V2488" s="10">
        <f>IF(CAS!$C$7="",0,(SUMIF(CAS!$B$31:$B$167,$J2488,CAS!$E$31:$E$167)*Impacts!$F$18))</f>
        <v>0</v>
      </c>
      <c r="W2488" s="10">
        <f t="shared" si="79"/>
        <v>0</v>
      </c>
      <c r="AK2488" s="10" t="str">
        <f t="array" ref="AK2488">IFERROR(INDEX(SelectedSpecies,SMALL(IF(SelectedSpecies=AK$1,ROW(SelectedSpecies)),ROW(2489:2489)),2),"")</f>
        <v/>
      </c>
      <c r="BE2488" s="10"/>
      <c r="BI2488" s="10"/>
    </row>
    <row r="2489" spans="1:61" ht="21" customHeight="1" x14ac:dyDescent="0.25">
      <c r="A2489" s="10"/>
      <c r="B2489" s="10"/>
      <c r="E2489" s="10"/>
      <c r="G2489" s="10"/>
      <c r="I2489" s="436" t="s">
        <v>2527</v>
      </c>
      <c r="J2489" s="26" t="s">
        <v>2526</v>
      </c>
      <c r="K2489" s="10">
        <v>10</v>
      </c>
      <c r="L2489" s="73">
        <f>IF(Tank1!$C$23="No control",(SUMIF(Tank1!$B$32:$B$49,$J2489,Tank1!$C$32:$C$49)*Impacts!$F$8),0)</f>
        <v>0</v>
      </c>
      <c r="M2489" s="10">
        <f>IF(Tank2!$C$23="No control",(SUMIF(Tank2!$B$32:$B$49,$J2489,Tank2!$C$32:$C$49)*Impacts!$F$9),0)</f>
        <v>0</v>
      </c>
      <c r="N2489" s="10">
        <f>IF(Tank3!$C$23="No control",(SUMIF(Tank3!$B$32:$B$49,$J2489,Tank3!$C$32:$C$49)*Impacts!$F$10),0)</f>
        <v>0</v>
      </c>
      <c r="O2489" s="10">
        <f>IF(Tank4!$C$23="No control",(SUMIF(Tank4!$B$32:$B$49,$J2489,Tank4!$C$32:$C$49)*Impacts!$F$11),0)</f>
        <v>0</v>
      </c>
      <c r="P2489" s="10">
        <f>IF(Tank5!$C$23="No control",(SUMIF(Tank5!$B$32:$B$49,$J2489,Tank5!$C$32:$C$49)*Impacts!$F$12),0)</f>
        <v>0</v>
      </c>
      <c r="Q2489" s="10">
        <f>IFERROR(IF(('Loading-drum,tote'!$C$21)="No control",SUMIF(('Loading-drum,tote'!$B$31:$B$48),$J2489,('Loading-drum,tote'!$D$31:$D$48))*Impacts!$F$13,IF(('Loading-drum,tote'!$C$21)&lt;&gt;"No control",SUMIF(('Loading-drum,tote'!$B$31:$B$48),$J2489,('Loading-drum,tote'!$E$31:$E$48))*Impacts!$F$13,0)),0)</f>
        <v>0</v>
      </c>
      <c r="R2489" s="10">
        <f>IFERROR(IF(('Loading-truck'!$C$21)="No control",SUMIF(('Loading-truck'!$B$31:$B$48),$J2489,('Loading-truck'!$D$31:$D$48))*Impacts!$F$14,IF(('Loading-truck'!$C$21)&lt;&gt;"No control",SUMIF(('Loading-truck'!$B$31:$B$48),$J2489,('Loading-truck'!$E$31:$E$48))*Impacts!$F$14,0)),0)</f>
        <v>0</v>
      </c>
      <c r="S2489" s="10">
        <f>IFERROR(IF(('Loading-rail'!$C$21)="No control",SUMIF(('Loading-rail'!$B$31:$B$48),$J2489,('Loading-rail'!$D$31:$D$48))*Impacts!$F$15,IF(('Loading-rail'!$C$21)&lt;&gt;"No control",SUMIF(('Loading-rail'!$B$31:$B$48),$J2489,('Loading-rail'!$E$31:$E$48))*Impacts!$F$15,0)),0)</f>
        <v>0</v>
      </c>
      <c r="T2489" s="10">
        <f>IF(Flare!$C$7="",0,(SUMIF(Flare!$B$46:$B$185,$J2489,Flare!$E$46:$E$185)*Impacts!$F$16))</f>
        <v>0</v>
      </c>
      <c r="U2489" s="10">
        <f>IF(VCU!$C$9="",0,(SUMIF(VCU!$B$51:$B$193,$J2489,VCU!$E$51:$E$193)*Impacts!$F$17))</f>
        <v>0</v>
      </c>
      <c r="V2489" s="10">
        <f>IF(CAS!$C$7="",0,(SUMIF(CAS!$B$31:$B$167,$J2489,CAS!$E$31:$E$167)*Impacts!$F$18))</f>
        <v>0</v>
      </c>
      <c r="W2489" s="10">
        <f t="shared" si="79"/>
        <v>0</v>
      </c>
      <c r="AK2489" s="10" t="str">
        <f t="array" ref="AK2489">IFERROR(INDEX(SelectedSpecies,SMALL(IF(SelectedSpecies=AK$1,ROW(SelectedSpecies)),ROW(2490:2490)),2),"")</f>
        <v/>
      </c>
      <c r="BE2489" s="10"/>
      <c r="BI2489" s="10"/>
    </row>
    <row r="2490" spans="1:61" ht="21" customHeight="1" x14ac:dyDescent="0.25">
      <c r="A2490" s="10"/>
      <c r="B2490" s="10"/>
      <c r="E2490" s="10"/>
      <c r="G2490" s="10"/>
      <c r="I2490" s="436" t="s">
        <v>800</v>
      </c>
      <c r="J2490" s="26" t="s">
        <v>799</v>
      </c>
      <c r="K2490" s="10">
        <v>54</v>
      </c>
      <c r="L2490" s="73">
        <f>IF(Tank1!$C$23="No control",(SUMIF(Tank1!$B$32:$B$49,$J2490,Tank1!$C$32:$C$49)*Impacts!$F$8),0)</f>
        <v>0</v>
      </c>
      <c r="M2490" s="10">
        <f>IF(Tank2!$C$23="No control",(SUMIF(Tank2!$B$32:$B$49,$J2490,Tank2!$C$32:$C$49)*Impacts!$F$9),0)</f>
        <v>0</v>
      </c>
      <c r="N2490" s="10">
        <f>IF(Tank3!$C$23="No control",(SUMIF(Tank3!$B$32:$B$49,$J2490,Tank3!$C$32:$C$49)*Impacts!$F$10),0)</f>
        <v>0</v>
      </c>
      <c r="O2490" s="10">
        <f>IF(Tank4!$C$23="No control",(SUMIF(Tank4!$B$32:$B$49,$J2490,Tank4!$C$32:$C$49)*Impacts!$F$11),0)</f>
        <v>0</v>
      </c>
      <c r="P2490" s="10">
        <f>IF(Tank5!$C$23="No control",(SUMIF(Tank5!$B$32:$B$49,$J2490,Tank5!$C$32:$C$49)*Impacts!$F$12),0)</f>
        <v>0</v>
      </c>
      <c r="Q2490" s="10">
        <f>IFERROR(IF(('Loading-drum,tote'!$C$21)="No control",SUMIF(('Loading-drum,tote'!$B$31:$B$48),$J2490,('Loading-drum,tote'!$D$31:$D$48))*Impacts!$F$13,IF(('Loading-drum,tote'!$C$21)&lt;&gt;"No control",SUMIF(('Loading-drum,tote'!$B$31:$B$48),$J2490,('Loading-drum,tote'!$E$31:$E$48))*Impacts!$F$13,0)),0)</f>
        <v>0</v>
      </c>
      <c r="R2490" s="10">
        <f>IFERROR(IF(('Loading-truck'!$C$21)="No control",SUMIF(('Loading-truck'!$B$31:$B$48),$J2490,('Loading-truck'!$D$31:$D$48))*Impacts!$F$14,IF(('Loading-truck'!$C$21)&lt;&gt;"No control",SUMIF(('Loading-truck'!$B$31:$B$48),$J2490,('Loading-truck'!$E$31:$E$48))*Impacts!$F$14,0)),0)</f>
        <v>0</v>
      </c>
      <c r="S2490" s="10">
        <f>IFERROR(IF(('Loading-rail'!$C$21)="No control",SUMIF(('Loading-rail'!$B$31:$B$48),$J2490,('Loading-rail'!$D$31:$D$48))*Impacts!$F$15,IF(('Loading-rail'!$C$21)&lt;&gt;"No control",SUMIF(('Loading-rail'!$B$31:$B$48),$J2490,('Loading-rail'!$E$31:$E$48))*Impacts!$F$15,0)),0)</f>
        <v>0</v>
      </c>
      <c r="T2490" s="10">
        <f>IF(Flare!$C$7="",0,(SUMIF(Flare!$B$46:$B$185,$J2490,Flare!$E$46:$E$185)*Impacts!$F$16))</f>
        <v>0</v>
      </c>
      <c r="U2490" s="10">
        <f>IF(VCU!$C$9="",0,(SUMIF(VCU!$B$51:$B$193,$J2490,VCU!$E$51:$E$193)*Impacts!$F$17))</f>
        <v>0</v>
      </c>
      <c r="V2490" s="10">
        <f>IF(CAS!$C$7="",0,(SUMIF(CAS!$B$31:$B$167,$J2490,CAS!$E$31:$E$167)*Impacts!$F$18))</f>
        <v>0</v>
      </c>
      <c r="W2490" s="10">
        <f t="shared" si="79"/>
        <v>0</v>
      </c>
      <c r="AK2490" s="10" t="str">
        <f t="array" ref="AK2490">IFERROR(INDEX(SelectedSpecies,SMALL(IF(SelectedSpecies=AK$1,ROW(SelectedSpecies)),ROW(2491:2491)),2),"")</f>
        <v/>
      </c>
      <c r="BE2490" s="10"/>
      <c r="BI2490" s="10"/>
    </row>
    <row r="2491" spans="1:61" ht="21" customHeight="1" x14ac:dyDescent="0.25">
      <c r="A2491" s="10"/>
      <c r="B2491" s="10"/>
      <c r="E2491" s="10"/>
      <c r="G2491" s="10"/>
      <c r="I2491" s="436" t="s">
        <v>6646</v>
      </c>
      <c r="J2491" s="26" t="s">
        <v>6645</v>
      </c>
      <c r="K2491" s="10">
        <v>0.60000000000000009</v>
      </c>
      <c r="L2491" s="73">
        <f>IF(Tank1!$C$23="No control",(SUMIF(Tank1!$B$32:$B$49,$J2491,Tank1!$C$32:$C$49)*Impacts!$F$8),0)</f>
        <v>0</v>
      </c>
      <c r="M2491" s="10">
        <f>IF(Tank2!$C$23="No control",(SUMIF(Tank2!$B$32:$B$49,$J2491,Tank2!$C$32:$C$49)*Impacts!$F$9),0)</f>
        <v>0</v>
      </c>
      <c r="N2491" s="10">
        <f>IF(Tank3!$C$23="No control",(SUMIF(Tank3!$B$32:$B$49,$J2491,Tank3!$C$32:$C$49)*Impacts!$F$10),0)</f>
        <v>0</v>
      </c>
      <c r="O2491" s="10">
        <f>IF(Tank4!$C$23="No control",(SUMIF(Tank4!$B$32:$B$49,$J2491,Tank4!$C$32:$C$49)*Impacts!$F$11),0)</f>
        <v>0</v>
      </c>
      <c r="P2491" s="10">
        <f>IF(Tank5!$C$23="No control",(SUMIF(Tank5!$B$32:$B$49,$J2491,Tank5!$C$32:$C$49)*Impacts!$F$12),0)</f>
        <v>0</v>
      </c>
      <c r="Q2491" s="10">
        <f>IFERROR(IF(('Loading-drum,tote'!$C$21)="No control",SUMIF(('Loading-drum,tote'!$B$31:$B$48),$J2491,('Loading-drum,tote'!$D$31:$D$48))*Impacts!$F$13,IF(('Loading-drum,tote'!$C$21)&lt;&gt;"No control",SUMIF(('Loading-drum,tote'!$B$31:$B$48),$J2491,('Loading-drum,tote'!$E$31:$E$48))*Impacts!$F$13,0)),0)</f>
        <v>0</v>
      </c>
      <c r="R2491" s="10">
        <f>IFERROR(IF(('Loading-truck'!$C$21)="No control",SUMIF(('Loading-truck'!$B$31:$B$48),$J2491,('Loading-truck'!$D$31:$D$48))*Impacts!$F$14,IF(('Loading-truck'!$C$21)&lt;&gt;"No control",SUMIF(('Loading-truck'!$B$31:$B$48),$J2491,('Loading-truck'!$E$31:$E$48))*Impacts!$F$14,0)),0)</f>
        <v>0</v>
      </c>
      <c r="S2491" s="10">
        <f>IFERROR(IF(('Loading-rail'!$C$21)="No control",SUMIF(('Loading-rail'!$B$31:$B$48),$J2491,('Loading-rail'!$D$31:$D$48))*Impacts!$F$15,IF(('Loading-rail'!$C$21)&lt;&gt;"No control",SUMIF(('Loading-rail'!$B$31:$B$48),$J2491,('Loading-rail'!$E$31:$E$48))*Impacts!$F$15,0)),0)</f>
        <v>0</v>
      </c>
      <c r="T2491" s="10">
        <f>IF(Flare!$C$7="",0,(SUMIF(Flare!$B$46:$B$185,$J2491,Flare!$E$46:$E$185)*Impacts!$F$16))</f>
        <v>0</v>
      </c>
      <c r="U2491" s="10">
        <f>IF(VCU!$C$9="",0,(SUMIF(VCU!$B$51:$B$193,$J2491,VCU!$E$51:$E$193)*Impacts!$F$17))</f>
        <v>0</v>
      </c>
      <c r="V2491" s="10">
        <f>IF(CAS!$C$7="",0,(SUMIF(CAS!$B$31:$B$167,$J2491,CAS!$E$31:$E$167)*Impacts!$F$18))</f>
        <v>0</v>
      </c>
      <c r="W2491" s="10">
        <f t="shared" si="79"/>
        <v>0</v>
      </c>
      <c r="AK2491" s="10" t="str">
        <f t="array" ref="AK2491">IFERROR(INDEX(SelectedSpecies,SMALL(IF(SelectedSpecies=AK$1,ROW(SelectedSpecies)),ROW(2492:2492)),2),"")</f>
        <v/>
      </c>
      <c r="BE2491" s="10"/>
      <c r="BI2491" s="10"/>
    </row>
    <row r="2492" spans="1:61" ht="21" customHeight="1" x14ac:dyDescent="0.25">
      <c r="A2492" s="10"/>
      <c r="B2492" s="10"/>
      <c r="E2492" s="10"/>
      <c r="G2492" s="10"/>
      <c r="I2492" s="436" t="s">
        <v>2255</v>
      </c>
      <c r="J2492" s="26" t="s">
        <v>2254</v>
      </c>
      <c r="K2492" s="10">
        <v>12.5</v>
      </c>
      <c r="L2492" s="73">
        <f>IF(Tank1!$C$23="No control",(SUMIF(Tank1!$B$32:$B$49,$J2492,Tank1!$C$32:$C$49)*Impacts!$F$8),0)</f>
        <v>0</v>
      </c>
      <c r="M2492" s="10">
        <f>IF(Tank2!$C$23="No control",(SUMIF(Tank2!$B$32:$B$49,$J2492,Tank2!$C$32:$C$49)*Impacts!$F$9),0)</f>
        <v>0</v>
      </c>
      <c r="N2492" s="10">
        <f>IF(Tank3!$C$23="No control",(SUMIF(Tank3!$B$32:$B$49,$J2492,Tank3!$C$32:$C$49)*Impacts!$F$10),0)</f>
        <v>0</v>
      </c>
      <c r="O2492" s="10">
        <f>IF(Tank4!$C$23="No control",(SUMIF(Tank4!$B$32:$B$49,$J2492,Tank4!$C$32:$C$49)*Impacts!$F$11),0)</f>
        <v>0</v>
      </c>
      <c r="P2492" s="10">
        <f>IF(Tank5!$C$23="No control",(SUMIF(Tank5!$B$32:$B$49,$J2492,Tank5!$C$32:$C$49)*Impacts!$F$12),0)</f>
        <v>0</v>
      </c>
      <c r="Q2492" s="10">
        <f>IFERROR(IF(('Loading-drum,tote'!$C$21)="No control",SUMIF(('Loading-drum,tote'!$B$31:$B$48),$J2492,('Loading-drum,tote'!$D$31:$D$48))*Impacts!$F$13,IF(('Loading-drum,tote'!$C$21)&lt;&gt;"No control",SUMIF(('Loading-drum,tote'!$B$31:$B$48),$J2492,('Loading-drum,tote'!$E$31:$E$48))*Impacts!$F$13,0)),0)</f>
        <v>0</v>
      </c>
      <c r="R2492" s="10">
        <f>IFERROR(IF(('Loading-truck'!$C$21)="No control",SUMIF(('Loading-truck'!$B$31:$B$48),$J2492,('Loading-truck'!$D$31:$D$48))*Impacts!$F$14,IF(('Loading-truck'!$C$21)&lt;&gt;"No control",SUMIF(('Loading-truck'!$B$31:$B$48),$J2492,('Loading-truck'!$E$31:$E$48))*Impacts!$F$14,0)),0)</f>
        <v>0</v>
      </c>
      <c r="S2492" s="10">
        <f>IFERROR(IF(('Loading-rail'!$C$21)="No control",SUMIF(('Loading-rail'!$B$31:$B$48),$J2492,('Loading-rail'!$D$31:$D$48))*Impacts!$F$15,IF(('Loading-rail'!$C$21)&lt;&gt;"No control",SUMIF(('Loading-rail'!$B$31:$B$48),$J2492,('Loading-rail'!$E$31:$E$48))*Impacts!$F$15,0)),0)</f>
        <v>0</v>
      </c>
      <c r="T2492" s="10">
        <f>IF(Flare!$C$7="",0,(SUMIF(Flare!$B$46:$B$185,$J2492,Flare!$E$46:$E$185)*Impacts!$F$16))</f>
        <v>0</v>
      </c>
      <c r="U2492" s="10">
        <f>IF(VCU!$C$9="",0,(SUMIF(VCU!$B$51:$B$193,$J2492,VCU!$E$51:$E$193)*Impacts!$F$17))</f>
        <v>0</v>
      </c>
      <c r="V2492" s="10">
        <f>IF(CAS!$C$7="",0,(SUMIF(CAS!$B$31:$B$167,$J2492,CAS!$E$31:$E$167)*Impacts!$F$18))</f>
        <v>0</v>
      </c>
      <c r="W2492" s="10">
        <f t="shared" si="79"/>
        <v>0</v>
      </c>
      <c r="AK2492" s="10" t="str">
        <f t="array" ref="AK2492">IFERROR(INDEX(SelectedSpecies,SMALL(IF(SelectedSpecies=AK$1,ROW(SelectedSpecies)),ROW(2493:2493)),2),"")</f>
        <v/>
      </c>
      <c r="BE2492" s="10"/>
      <c r="BI2492" s="10"/>
    </row>
    <row r="2493" spans="1:61" ht="21" customHeight="1" x14ac:dyDescent="0.25">
      <c r="A2493" s="10"/>
      <c r="B2493" s="10"/>
      <c r="E2493" s="10"/>
      <c r="G2493" s="10"/>
      <c r="I2493" s="436" t="s">
        <v>4381</v>
      </c>
      <c r="J2493" s="26" t="s">
        <v>4380</v>
      </c>
      <c r="K2493" s="10">
        <v>4.8000000000000007</v>
      </c>
      <c r="L2493" s="73">
        <f>IF(Tank1!$C$23="No control",(SUMIF(Tank1!$B$32:$B$49,$J2493,Tank1!$C$32:$C$49)*Impacts!$F$8),0)</f>
        <v>0</v>
      </c>
      <c r="M2493" s="10">
        <f>IF(Tank2!$C$23="No control",(SUMIF(Tank2!$B$32:$B$49,$J2493,Tank2!$C$32:$C$49)*Impacts!$F$9),0)</f>
        <v>0</v>
      </c>
      <c r="N2493" s="10">
        <f>IF(Tank3!$C$23="No control",(SUMIF(Tank3!$B$32:$B$49,$J2493,Tank3!$C$32:$C$49)*Impacts!$F$10),0)</f>
        <v>0</v>
      </c>
      <c r="O2493" s="10">
        <f>IF(Tank4!$C$23="No control",(SUMIF(Tank4!$B$32:$B$49,$J2493,Tank4!$C$32:$C$49)*Impacts!$F$11),0)</f>
        <v>0</v>
      </c>
      <c r="P2493" s="10">
        <f>IF(Tank5!$C$23="No control",(SUMIF(Tank5!$B$32:$B$49,$J2493,Tank5!$C$32:$C$49)*Impacts!$F$12),0)</f>
        <v>0</v>
      </c>
      <c r="Q2493" s="10">
        <f>IFERROR(IF(('Loading-drum,tote'!$C$21)="No control",SUMIF(('Loading-drum,tote'!$B$31:$B$48),$J2493,('Loading-drum,tote'!$D$31:$D$48))*Impacts!$F$13,IF(('Loading-drum,tote'!$C$21)&lt;&gt;"No control",SUMIF(('Loading-drum,tote'!$B$31:$B$48),$J2493,('Loading-drum,tote'!$E$31:$E$48))*Impacts!$F$13,0)),0)</f>
        <v>0</v>
      </c>
      <c r="R2493" s="10">
        <f>IFERROR(IF(('Loading-truck'!$C$21)="No control",SUMIF(('Loading-truck'!$B$31:$B$48),$J2493,('Loading-truck'!$D$31:$D$48))*Impacts!$F$14,IF(('Loading-truck'!$C$21)&lt;&gt;"No control",SUMIF(('Loading-truck'!$B$31:$B$48),$J2493,('Loading-truck'!$E$31:$E$48))*Impacts!$F$14,0)),0)</f>
        <v>0</v>
      </c>
      <c r="S2493" s="10">
        <f>IFERROR(IF(('Loading-rail'!$C$21)="No control",SUMIF(('Loading-rail'!$B$31:$B$48),$J2493,('Loading-rail'!$D$31:$D$48))*Impacts!$F$15,IF(('Loading-rail'!$C$21)&lt;&gt;"No control",SUMIF(('Loading-rail'!$B$31:$B$48),$J2493,('Loading-rail'!$E$31:$E$48))*Impacts!$F$15,0)),0)</f>
        <v>0</v>
      </c>
      <c r="T2493" s="10">
        <f>IF(Flare!$C$7="",0,(SUMIF(Flare!$B$46:$B$185,$J2493,Flare!$E$46:$E$185)*Impacts!$F$16))</f>
        <v>0</v>
      </c>
      <c r="U2493" s="10">
        <f>IF(VCU!$C$9="",0,(SUMIF(VCU!$B$51:$B$193,$J2493,VCU!$E$51:$E$193)*Impacts!$F$17))</f>
        <v>0</v>
      </c>
      <c r="V2493" s="10">
        <f>IF(CAS!$C$7="",0,(SUMIF(CAS!$B$31:$B$167,$J2493,CAS!$E$31:$E$167)*Impacts!$F$18))</f>
        <v>0</v>
      </c>
      <c r="W2493" s="10">
        <f t="shared" si="79"/>
        <v>0</v>
      </c>
      <c r="AK2493" s="10" t="str">
        <f t="array" ref="AK2493">IFERROR(INDEX(SelectedSpecies,SMALL(IF(SelectedSpecies=AK$1,ROW(SelectedSpecies)),ROW(2494:2494)),2),"")</f>
        <v/>
      </c>
      <c r="BE2493" s="10"/>
      <c r="BI2493" s="10"/>
    </row>
    <row r="2494" spans="1:61" ht="21" customHeight="1" x14ac:dyDescent="0.25">
      <c r="A2494" s="10"/>
      <c r="B2494" s="10"/>
      <c r="E2494" s="10"/>
      <c r="G2494" s="10"/>
      <c r="I2494" s="436" t="s">
        <v>5283</v>
      </c>
      <c r="J2494" s="26" t="s">
        <v>5282</v>
      </c>
      <c r="K2494" s="10">
        <v>1.8</v>
      </c>
      <c r="L2494" s="73">
        <f>IF(Tank1!$C$23="No control",(SUMIF(Tank1!$B$32:$B$49,$J2494,Tank1!$C$32:$C$49)*Impacts!$F$8),0)</f>
        <v>0</v>
      </c>
      <c r="M2494" s="10">
        <f>IF(Tank2!$C$23="No control",(SUMIF(Tank2!$B$32:$B$49,$J2494,Tank2!$C$32:$C$49)*Impacts!$F$9),0)</f>
        <v>0</v>
      </c>
      <c r="N2494" s="10">
        <f>IF(Tank3!$C$23="No control",(SUMIF(Tank3!$B$32:$B$49,$J2494,Tank3!$C$32:$C$49)*Impacts!$F$10),0)</f>
        <v>0</v>
      </c>
      <c r="O2494" s="10">
        <f>IF(Tank4!$C$23="No control",(SUMIF(Tank4!$B$32:$B$49,$J2494,Tank4!$C$32:$C$49)*Impacts!$F$11),0)</f>
        <v>0</v>
      </c>
      <c r="P2494" s="10">
        <f>IF(Tank5!$C$23="No control",(SUMIF(Tank5!$B$32:$B$49,$J2494,Tank5!$C$32:$C$49)*Impacts!$F$12),0)</f>
        <v>0</v>
      </c>
      <c r="Q2494" s="10">
        <f>IFERROR(IF(('Loading-drum,tote'!$C$21)="No control",SUMIF(('Loading-drum,tote'!$B$31:$B$48),$J2494,('Loading-drum,tote'!$D$31:$D$48))*Impacts!$F$13,IF(('Loading-drum,tote'!$C$21)&lt;&gt;"No control",SUMIF(('Loading-drum,tote'!$B$31:$B$48),$J2494,('Loading-drum,tote'!$E$31:$E$48))*Impacts!$F$13,0)),0)</f>
        <v>0</v>
      </c>
      <c r="R2494" s="10">
        <f>IFERROR(IF(('Loading-truck'!$C$21)="No control",SUMIF(('Loading-truck'!$B$31:$B$48),$J2494,('Loading-truck'!$D$31:$D$48))*Impacts!$F$14,IF(('Loading-truck'!$C$21)&lt;&gt;"No control",SUMIF(('Loading-truck'!$B$31:$B$48),$J2494,('Loading-truck'!$E$31:$E$48))*Impacts!$F$14,0)),0)</f>
        <v>0</v>
      </c>
      <c r="S2494" s="10">
        <f>IFERROR(IF(('Loading-rail'!$C$21)="No control",SUMIF(('Loading-rail'!$B$31:$B$48),$J2494,('Loading-rail'!$D$31:$D$48))*Impacts!$F$15,IF(('Loading-rail'!$C$21)&lt;&gt;"No control",SUMIF(('Loading-rail'!$B$31:$B$48),$J2494,('Loading-rail'!$E$31:$E$48))*Impacts!$F$15,0)),0)</f>
        <v>0</v>
      </c>
      <c r="T2494" s="10">
        <f>IF(Flare!$C$7="",0,(SUMIF(Flare!$B$46:$B$185,$J2494,Flare!$E$46:$E$185)*Impacts!$F$16))</f>
        <v>0</v>
      </c>
      <c r="U2494" s="10">
        <f>IF(VCU!$C$9="",0,(SUMIF(VCU!$B$51:$B$193,$J2494,VCU!$E$51:$E$193)*Impacts!$F$17))</f>
        <v>0</v>
      </c>
      <c r="V2494" s="10">
        <f>IF(CAS!$C$7="",0,(SUMIF(CAS!$B$31:$B$167,$J2494,CAS!$E$31:$E$167)*Impacts!$F$18))</f>
        <v>0</v>
      </c>
      <c r="W2494" s="10">
        <f t="shared" si="79"/>
        <v>0</v>
      </c>
      <c r="AK2494" s="10" t="str">
        <f t="array" ref="AK2494">IFERROR(INDEX(SelectedSpecies,SMALL(IF(SelectedSpecies=AK$1,ROW(SelectedSpecies)),ROW(2495:2495)),2),"")</f>
        <v/>
      </c>
      <c r="BE2494" s="10"/>
      <c r="BI2494" s="10"/>
    </row>
    <row r="2495" spans="1:61" ht="21" customHeight="1" x14ac:dyDescent="0.25">
      <c r="A2495" s="10"/>
      <c r="B2495" s="10"/>
      <c r="E2495" s="10"/>
      <c r="G2495" s="10"/>
      <c r="I2495" s="436" t="s">
        <v>4913</v>
      </c>
      <c r="J2495" s="26" t="s">
        <v>4912</v>
      </c>
      <c r="K2495" s="10">
        <v>2.6</v>
      </c>
      <c r="L2495" s="73">
        <f>IF(Tank1!$C$23="No control",(SUMIF(Tank1!$B$32:$B$49,$J2495,Tank1!$C$32:$C$49)*Impacts!$F$8),0)</f>
        <v>0</v>
      </c>
      <c r="M2495" s="10">
        <f>IF(Tank2!$C$23="No control",(SUMIF(Tank2!$B$32:$B$49,$J2495,Tank2!$C$32:$C$49)*Impacts!$F$9),0)</f>
        <v>0</v>
      </c>
      <c r="N2495" s="10">
        <f>IF(Tank3!$C$23="No control",(SUMIF(Tank3!$B$32:$B$49,$J2495,Tank3!$C$32:$C$49)*Impacts!$F$10),0)</f>
        <v>0</v>
      </c>
      <c r="O2495" s="10">
        <f>IF(Tank4!$C$23="No control",(SUMIF(Tank4!$B$32:$B$49,$J2495,Tank4!$C$32:$C$49)*Impacts!$F$11),0)</f>
        <v>0</v>
      </c>
      <c r="P2495" s="10">
        <f>IF(Tank5!$C$23="No control",(SUMIF(Tank5!$B$32:$B$49,$J2495,Tank5!$C$32:$C$49)*Impacts!$F$12),0)</f>
        <v>0</v>
      </c>
      <c r="Q2495" s="10">
        <f>IFERROR(IF(('Loading-drum,tote'!$C$21)="No control",SUMIF(('Loading-drum,tote'!$B$31:$B$48),$J2495,('Loading-drum,tote'!$D$31:$D$48))*Impacts!$F$13,IF(('Loading-drum,tote'!$C$21)&lt;&gt;"No control",SUMIF(('Loading-drum,tote'!$B$31:$B$48),$J2495,('Loading-drum,tote'!$E$31:$E$48))*Impacts!$F$13,0)),0)</f>
        <v>0</v>
      </c>
      <c r="R2495" s="10">
        <f>IFERROR(IF(('Loading-truck'!$C$21)="No control",SUMIF(('Loading-truck'!$B$31:$B$48),$J2495,('Loading-truck'!$D$31:$D$48))*Impacts!$F$14,IF(('Loading-truck'!$C$21)&lt;&gt;"No control",SUMIF(('Loading-truck'!$B$31:$B$48),$J2495,('Loading-truck'!$E$31:$E$48))*Impacts!$F$14,0)),0)</f>
        <v>0</v>
      </c>
      <c r="S2495" s="10">
        <f>IFERROR(IF(('Loading-rail'!$C$21)="No control",SUMIF(('Loading-rail'!$B$31:$B$48),$J2495,('Loading-rail'!$D$31:$D$48))*Impacts!$F$15,IF(('Loading-rail'!$C$21)&lt;&gt;"No control",SUMIF(('Loading-rail'!$B$31:$B$48),$J2495,('Loading-rail'!$E$31:$E$48))*Impacts!$F$15,0)),0)</f>
        <v>0</v>
      </c>
      <c r="T2495" s="10">
        <f>IF(Flare!$C$7="",0,(SUMIF(Flare!$B$46:$B$185,$J2495,Flare!$E$46:$E$185)*Impacts!$F$16))</f>
        <v>0</v>
      </c>
      <c r="U2495" s="10">
        <f>IF(VCU!$C$9="",0,(SUMIF(VCU!$B$51:$B$193,$J2495,VCU!$E$51:$E$193)*Impacts!$F$17))</f>
        <v>0</v>
      </c>
      <c r="V2495" s="10">
        <f>IF(CAS!$C$7="",0,(SUMIF(CAS!$B$31:$B$167,$J2495,CAS!$E$31:$E$167)*Impacts!$F$18))</f>
        <v>0</v>
      </c>
      <c r="W2495" s="10">
        <f t="shared" si="79"/>
        <v>0</v>
      </c>
      <c r="AK2495" s="10" t="str">
        <f t="array" ref="AK2495">IFERROR(INDEX(SelectedSpecies,SMALL(IF(SelectedSpecies=AK$1,ROW(SelectedSpecies)),ROW(2496:2496)),2),"")</f>
        <v/>
      </c>
      <c r="BE2495" s="10"/>
      <c r="BI2495" s="10"/>
    </row>
    <row r="2496" spans="1:61" ht="21" customHeight="1" x14ac:dyDescent="0.25">
      <c r="A2496" s="10"/>
      <c r="B2496" s="10"/>
      <c r="E2496" s="10"/>
      <c r="G2496" s="10"/>
      <c r="I2496" s="436" t="s">
        <v>4303</v>
      </c>
      <c r="J2496" s="26" t="s">
        <v>4302</v>
      </c>
      <c r="K2496" s="10">
        <v>5</v>
      </c>
      <c r="L2496" s="73">
        <f>IF(Tank1!$C$23="No control",(SUMIF(Tank1!$B$32:$B$49,$J2496,Tank1!$C$32:$C$49)*Impacts!$F$8),0)</f>
        <v>0</v>
      </c>
      <c r="M2496" s="10">
        <f>IF(Tank2!$C$23="No control",(SUMIF(Tank2!$B$32:$B$49,$J2496,Tank2!$C$32:$C$49)*Impacts!$F$9),0)</f>
        <v>0</v>
      </c>
      <c r="N2496" s="10">
        <f>IF(Tank3!$C$23="No control",(SUMIF(Tank3!$B$32:$B$49,$J2496,Tank3!$C$32:$C$49)*Impacts!$F$10),0)</f>
        <v>0</v>
      </c>
      <c r="O2496" s="10">
        <f>IF(Tank4!$C$23="No control",(SUMIF(Tank4!$B$32:$B$49,$J2496,Tank4!$C$32:$C$49)*Impacts!$F$11),0)</f>
        <v>0</v>
      </c>
      <c r="P2496" s="10">
        <f>IF(Tank5!$C$23="No control",(SUMIF(Tank5!$B$32:$B$49,$J2496,Tank5!$C$32:$C$49)*Impacts!$F$12),0)</f>
        <v>0</v>
      </c>
      <c r="Q2496" s="10">
        <f>IFERROR(IF(('Loading-drum,tote'!$C$21)="No control",SUMIF(('Loading-drum,tote'!$B$31:$B$48),$J2496,('Loading-drum,tote'!$D$31:$D$48))*Impacts!$F$13,IF(('Loading-drum,tote'!$C$21)&lt;&gt;"No control",SUMIF(('Loading-drum,tote'!$B$31:$B$48),$J2496,('Loading-drum,tote'!$E$31:$E$48))*Impacts!$F$13,0)),0)</f>
        <v>0</v>
      </c>
      <c r="R2496" s="10">
        <f>IFERROR(IF(('Loading-truck'!$C$21)="No control",SUMIF(('Loading-truck'!$B$31:$B$48),$J2496,('Loading-truck'!$D$31:$D$48))*Impacts!$F$14,IF(('Loading-truck'!$C$21)&lt;&gt;"No control",SUMIF(('Loading-truck'!$B$31:$B$48),$J2496,('Loading-truck'!$E$31:$E$48))*Impacts!$F$14,0)),0)</f>
        <v>0</v>
      </c>
      <c r="S2496" s="10">
        <f>IFERROR(IF(('Loading-rail'!$C$21)="No control",SUMIF(('Loading-rail'!$B$31:$B$48),$J2496,('Loading-rail'!$D$31:$D$48))*Impacts!$F$15,IF(('Loading-rail'!$C$21)&lt;&gt;"No control",SUMIF(('Loading-rail'!$B$31:$B$48),$J2496,('Loading-rail'!$E$31:$E$48))*Impacts!$F$15,0)),0)</f>
        <v>0</v>
      </c>
      <c r="T2496" s="10">
        <f>IF(Flare!$C$7="",0,(SUMIF(Flare!$B$46:$B$185,$J2496,Flare!$E$46:$E$185)*Impacts!$F$16))</f>
        <v>0</v>
      </c>
      <c r="U2496" s="10">
        <f>IF(VCU!$C$9="",0,(SUMIF(VCU!$B$51:$B$193,$J2496,VCU!$E$51:$E$193)*Impacts!$F$17))</f>
        <v>0</v>
      </c>
      <c r="V2496" s="10">
        <f>IF(CAS!$C$7="",0,(SUMIF(CAS!$B$31:$B$167,$J2496,CAS!$E$31:$E$167)*Impacts!$F$18))</f>
        <v>0</v>
      </c>
      <c r="W2496" s="10">
        <f t="shared" si="79"/>
        <v>0</v>
      </c>
      <c r="AK2496" s="10" t="str">
        <f t="array" ref="AK2496">IFERROR(INDEX(SelectedSpecies,SMALL(IF(SelectedSpecies=AK$1,ROW(SelectedSpecies)),ROW(2497:2497)),2),"")</f>
        <v/>
      </c>
      <c r="BE2496" s="10"/>
      <c r="BI2496" s="10"/>
    </row>
    <row r="2497" spans="1:61" ht="21" customHeight="1" x14ac:dyDescent="0.25">
      <c r="A2497" s="10"/>
      <c r="B2497" s="10"/>
      <c r="E2497" s="10"/>
      <c r="G2497" s="10"/>
      <c r="I2497" s="436" t="s">
        <v>2957</v>
      </c>
      <c r="J2497" s="26" t="s">
        <v>2956</v>
      </c>
      <c r="K2497" s="10">
        <v>10</v>
      </c>
      <c r="L2497" s="73">
        <f>IF(Tank1!$C$23="No control",(SUMIF(Tank1!$B$32:$B$49,$J2497,Tank1!$C$32:$C$49)*Impacts!$F$8),0)</f>
        <v>0</v>
      </c>
      <c r="M2497" s="10">
        <f>IF(Tank2!$C$23="No control",(SUMIF(Tank2!$B$32:$B$49,$J2497,Tank2!$C$32:$C$49)*Impacts!$F$9),0)</f>
        <v>0</v>
      </c>
      <c r="N2497" s="10">
        <f>IF(Tank3!$C$23="No control",(SUMIF(Tank3!$B$32:$B$49,$J2497,Tank3!$C$32:$C$49)*Impacts!$F$10),0)</f>
        <v>0</v>
      </c>
      <c r="O2497" s="10">
        <f>IF(Tank4!$C$23="No control",(SUMIF(Tank4!$B$32:$B$49,$J2497,Tank4!$C$32:$C$49)*Impacts!$F$11),0)</f>
        <v>0</v>
      </c>
      <c r="P2497" s="10">
        <f>IF(Tank5!$C$23="No control",(SUMIF(Tank5!$B$32:$B$49,$J2497,Tank5!$C$32:$C$49)*Impacts!$F$12),0)</f>
        <v>0</v>
      </c>
      <c r="Q2497" s="10">
        <f>IFERROR(IF(('Loading-drum,tote'!$C$21)="No control",SUMIF(('Loading-drum,tote'!$B$31:$B$48),$J2497,('Loading-drum,tote'!$D$31:$D$48))*Impacts!$F$13,IF(('Loading-drum,tote'!$C$21)&lt;&gt;"No control",SUMIF(('Loading-drum,tote'!$B$31:$B$48),$J2497,('Loading-drum,tote'!$E$31:$E$48))*Impacts!$F$13,0)),0)</f>
        <v>0</v>
      </c>
      <c r="R2497" s="10">
        <f>IFERROR(IF(('Loading-truck'!$C$21)="No control",SUMIF(('Loading-truck'!$B$31:$B$48),$J2497,('Loading-truck'!$D$31:$D$48))*Impacts!$F$14,IF(('Loading-truck'!$C$21)&lt;&gt;"No control",SUMIF(('Loading-truck'!$B$31:$B$48),$J2497,('Loading-truck'!$E$31:$E$48))*Impacts!$F$14,0)),0)</f>
        <v>0</v>
      </c>
      <c r="S2497" s="10">
        <f>IFERROR(IF(('Loading-rail'!$C$21)="No control",SUMIF(('Loading-rail'!$B$31:$B$48),$J2497,('Loading-rail'!$D$31:$D$48))*Impacts!$F$15,IF(('Loading-rail'!$C$21)&lt;&gt;"No control",SUMIF(('Loading-rail'!$B$31:$B$48),$J2497,('Loading-rail'!$E$31:$E$48))*Impacts!$F$15,0)),0)</f>
        <v>0</v>
      </c>
      <c r="T2497" s="10">
        <f>IF(Flare!$C$7="",0,(SUMIF(Flare!$B$46:$B$185,$J2497,Flare!$E$46:$E$185)*Impacts!$F$16))</f>
        <v>0</v>
      </c>
      <c r="U2497" s="10">
        <f>IF(VCU!$C$9="",0,(SUMIF(VCU!$B$51:$B$193,$J2497,VCU!$E$51:$E$193)*Impacts!$F$17))</f>
        <v>0</v>
      </c>
      <c r="V2497" s="10">
        <f>IF(CAS!$C$7="",0,(SUMIF(CAS!$B$31:$B$167,$J2497,CAS!$E$31:$E$167)*Impacts!$F$18))</f>
        <v>0</v>
      </c>
      <c r="W2497" s="10">
        <f t="shared" si="79"/>
        <v>0</v>
      </c>
      <c r="AK2497" s="10" t="str">
        <f t="array" ref="AK2497">IFERROR(INDEX(SelectedSpecies,SMALL(IF(SelectedSpecies=AK$1,ROW(SelectedSpecies)),ROW(2498:2498)),2),"")</f>
        <v/>
      </c>
      <c r="BE2497" s="10"/>
      <c r="BI2497" s="10"/>
    </row>
    <row r="2498" spans="1:61" ht="21" customHeight="1" x14ac:dyDescent="0.25">
      <c r="A2498" s="10"/>
      <c r="B2498" s="10"/>
      <c r="E2498" s="10"/>
      <c r="G2498" s="10"/>
      <c r="I2498" s="436" t="s">
        <v>4915</v>
      </c>
      <c r="J2498" s="26" t="s">
        <v>4914</v>
      </c>
      <c r="K2498" s="10">
        <v>2.6</v>
      </c>
      <c r="L2498" s="73">
        <f>IF(Tank1!$C$23="No control",(SUMIF(Tank1!$B$32:$B$49,$J2498,Tank1!$C$32:$C$49)*Impacts!$F$8),0)</f>
        <v>0</v>
      </c>
      <c r="M2498" s="10">
        <f>IF(Tank2!$C$23="No control",(SUMIF(Tank2!$B$32:$B$49,$J2498,Tank2!$C$32:$C$49)*Impacts!$F$9),0)</f>
        <v>0</v>
      </c>
      <c r="N2498" s="10">
        <f>IF(Tank3!$C$23="No control",(SUMIF(Tank3!$B$32:$B$49,$J2498,Tank3!$C$32:$C$49)*Impacts!$F$10),0)</f>
        <v>0</v>
      </c>
      <c r="O2498" s="10">
        <f>IF(Tank4!$C$23="No control",(SUMIF(Tank4!$B$32:$B$49,$J2498,Tank4!$C$32:$C$49)*Impacts!$F$11),0)</f>
        <v>0</v>
      </c>
      <c r="P2498" s="10">
        <f>IF(Tank5!$C$23="No control",(SUMIF(Tank5!$B$32:$B$49,$J2498,Tank5!$C$32:$C$49)*Impacts!$F$12),0)</f>
        <v>0</v>
      </c>
      <c r="Q2498" s="10">
        <f>IFERROR(IF(('Loading-drum,tote'!$C$21)="No control",SUMIF(('Loading-drum,tote'!$B$31:$B$48),$J2498,('Loading-drum,tote'!$D$31:$D$48))*Impacts!$F$13,IF(('Loading-drum,tote'!$C$21)&lt;&gt;"No control",SUMIF(('Loading-drum,tote'!$B$31:$B$48),$J2498,('Loading-drum,tote'!$E$31:$E$48))*Impacts!$F$13,0)),0)</f>
        <v>0</v>
      </c>
      <c r="R2498" s="10">
        <f>IFERROR(IF(('Loading-truck'!$C$21)="No control",SUMIF(('Loading-truck'!$B$31:$B$48),$J2498,('Loading-truck'!$D$31:$D$48))*Impacts!$F$14,IF(('Loading-truck'!$C$21)&lt;&gt;"No control",SUMIF(('Loading-truck'!$B$31:$B$48),$J2498,('Loading-truck'!$E$31:$E$48))*Impacts!$F$14,0)),0)</f>
        <v>0</v>
      </c>
      <c r="S2498" s="10">
        <f>IFERROR(IF(('Loading-rail'!$C$21)="No control",SUMIF(('Loading-rail'!$B$31:$B$48),$J2498,('Loading-rail'!$D$31:$D$48))*Impacts!$F$15,IF(('Loading-rail'!$C$21)&lt;&gt;"No control",SUMIF(('Loading-rail'!$B$31:$B$48),$J2498,('Loading-rail'!$E$31:$E$48))*Impacts!$F$15,0)),0)</f>
        <v>0</v>
      </c>
      <c r="T2498" s="10">
        <f>IF(Flare!$C$7="",0,(SUMIF(Flare!$B$46:$B$185,$J2498,Flare!$E$46:$E$185)*Impacts!$F$16))</f>
        <v>0</v>
      </c>
      <c r="U2498" s="10">
        <f>IF(VCU!$C$9="",0,(SUMIF(VCU!$B$51:$B$193,$J2498,VCU!$E$51:$E$193)*Impacts!$F$17))</f>
        <v>0</v>
      </c>
      <c r="V2498" s="10">
        <f>IF(CAS!$C$7="",0,(SUMIF(CAS!$B$31:$B$167,$J2498,CAS!$E$31:$E$167)*Impacts!$F$18))</f>
        <v>0</v>
      </c>
      <c r="W2498" s="10">
        <f t="shared" si="79"/>
        <v>0</v>
      </c>
      <c r="AK2498" s="10" t="str">
        <f t="array" ref="AK2498">IFERROR(INDEX(SelectedSpecies,SMALL(IF(SelectedSpecies=AK$1,ROW(SelectedSpecies)),ROW(2499:2499)),2),"")</f>
        <v/>
      </c>
      <c r="BE2498" s="10"/>
      <c r="BI2498" s="10"/>
    </row>
    <row r="2499" spans="1:61" ht="21" customHeight="1" x14ac:dyDescent="0.25">
      <c r="A2499" s="10"/>
      <c r="B2499" s="10"/>
      <c r="E2499" s="10"/>
      <c r="G2499" s="10"/>
      <c r="I2499" s="436" t="s">
        <v>4917</v>
      </c>
      <c r="J2499" s="26" t="s">
        <v>4916</v>
      </c>
      <c r="K2499" s="10">
        <v>2.6</v>
      </c>
      <c r="L2499" s="73">
        <f>IF(Tank1!$C$23="No control",(SUMIF(Tank1!$B$32:$B$49,$J2499,Tank1!$C$32:$C$49)*Impacts!$F$8),0)</f>
        <v>0</v>
      </c>
      <c r="M2499" s="10">
        <f>IF(Tank2!$C$23="No control",(SUMIF(Tank2!$B$32:$B$49,$J2499,Tank2!$C$32:$C$49)*Impacts!$F$9),0)</f>
        <v>0</v>
      </c>
      <c r="N2499" s="10">
        <f>IF(Tank3!$C$23="No control",(SUMIF(Tank3!$B$32:$B$49,$J2499,Tank3!$C$32:$C$49)*Impacts!$F$10),0)</f>
        <v>0</v>
      </c>
      <c r="O2499" s="10">
        <f>IF(Tank4!$C$23="No control",(SUMIF(Tank4!$B$32:$B$49,$J2499,Tank4!$C$32:$C$49)*Impacts!$F$11),0)</f>
        <v>0</v>
      </c>
      <c r="P2499" s="10">
        <f>IF(Tank5!$C$23="No control",(SUMIF(Tank5!$B$32:$B$49,$J2499,Tank5!$C$32:$C$49)*Impacts!$F$12),0)</f>
        <v>0</v>
      </c>
      <c r="Q2499" s="10">
        <f>IFERROR(IF(('Loading-drum,tote'!$C$21)="No control",SUMIF(('Loading-drum,tote'!$B$31:$B$48),$J2499,('Loading-drum,tote'!$D$31:$D$48))*Impacts!$F$13,IF(('Loading-drum,tote'!$C$21)&lt;&gt;"No control",SUMIF(('Loading-drum,tote'!$B$31:$B$48),$J2499,('Loading-drum,tote'!$E$31:$E$48))*Impacts!$F$13,0)),0)</f>
        <v>0</v>
      </c>
      <c r="R2499" s="10">
        <f>IFERROR(IF(('Loading-truck'!$C$21)="No control",SUMIF(('Loading-truck'!$B$31:$B$48),$J2499,('Loading-truck'!$D$31:$D$48))*Impacts!$F$14,IF(('Loading-truck'!$C$21)&lt;&gt;"No control",SUMIF(('Loading-truck'!$B$31:$B$48),$J2499,('Loading-truck'!$E$31:$E$48))*Impacts!$F$14,0)),0)</f>
        <v>0</v>
      </c>
      <c r="S2499" s="10">
        <f>IFERROR(IF(('Loading-rail'!$C$21)="No control",SUMIF(('Loading-rail'!$B$31:$B$48),$J2499,('Loading-rail'!$D$31:$D$48))*Impacts!$F$15,IF(('Loading-rail'!$C$21)&lt;&gt;"No control",SUMIF(('Loading-rail'!$B$31:$B$48),$J2499,('Loading-rail'!$E$31:$E$48))*Impacts!$F$15,0)),0)</f>
        <v>0</v>
      </c>
      <c r="T2499" s="10">
        <f>IF(Flare!$C$7="",0,(SUMIF(Flare!$B$46:$B$185,$J2499,Flare!$E$46:$E$185)*Impacts!$F$16))</f>
        <v>0</v>
      </c>
      <c r="U2499" s="10">
        <f>IF(VCU!$C$9="",0,(SUMIF(VCU!$B$51:$B$193,$J2499,VCU!$E$51:$E$193)*Impacts!$F$17))</f>
        <v>0</v>
      </c>
      <c r="V2499" s="10">
        <f>IF(CAS!$C$7="",0,(SUMIF(CAS!$B$31:$B$167,$J2499,CAS!$E$31:$E$167)*Impacts!$F$18))</f>
        <v>0</v>
      </c>
      <c r="W2499" s="10">
        <f t="shared" si="79"/>
        <v>0</v>
      </c>
      <c r="AK2499" s="10" t="str">
        <f t="array" ref="AK2499">IFERROR(INDEX(SelectedSpecies,SMALL(IF(SelectedSpecies=AK$1,ROW(SelectedSpecies)),ROW(2500:2500)),2),"")</f>
        <v/>
      </c>
      <c r="BE2499" s="10"/>
      <c r="BI2499" s="10"/>
    </row>
    <row r="2500" spans="1:61" ht="21" customHeight="1" x14ac:dyDescent="0.25">
      <c r="A2500" s="10"/>
      <c r="B2500" s="10"/>
      <c r="E2500" s="10"/>
      <c r="G2500" s="10"/>
      <c r="I2500" s="436" t="s">
        <v>4885</v>
      </c>
      <c r="J2500" s="26" t="s">
        <v>4884</v>
      </c>
      <c r="K2500" s="10">
        <v>2.7</v>
      </c>
      <c r="L2500" s="73">
        <f>IF(Tank1!$C$23="No control",(SUMIF(Tank1!$B$32:$B$49,$J2500,Tank1!$C$32:$C$49)*Impacts!$F$8),0)</f>
        <v>0</v>
      </c>
      <c r="M2500" s="10">
        <f>IF(Tank2!$C$23="No control",(SUMIF(Tank2!$B$32:$B$49,$J2500,Tank2!$C$32:$C$49)*Impacts!$F$9),0)</f>
        <v>0</v>
      </c>
      <c r="N2500" s="10">
        <f>IF(Tank3!$C$23="No control",(SUMIF(Tank3!$B$32:$B$49,$J2500,Tank3!$C$32:$C$49)*Impacts!$F$10),0)</f>
        <v>0</v>
      </c>
      <c r="O2500" s="10">
        <f>IF(Tank4!$C$23="No control",(SUMIF(Tank4!$B$32:$B$49,$J2500,Tank4!$C$32:$C$49)*Impacts!$F$11),0)</f>
        <v>0</v>
      </c>
      <c r="P2500" s="10">
        <f>IF(Tank5!$C$23="No control",(SUMIF(Tank5!$B$32:$B$49,$J2500,Tank5!$C$32:$C$49)*Impacts!$F$12),0)</f>
        <v>0</v>
      </c>
      <c r="Q2500" s="10">
        <f>IFERROR(IF(('Loading-drum,tote'!$C$21)="No control",SUMIF(('Loading-drum,tote'!$B$31:$B$48),$J2500,('Loading-drum,tote'!$D$31:$D$48))*Impacts!$F$13,IF(('Loading-drum,tote'!$C$21)&lt;&gt;"No control",SUMIF(('Loading-drum,tote'!$B$31:$B$48),$J2500,('Loading-drum,tote'!$E$31:$E$48))*Impacts!$F$13,0)),0)</f>
        <v>0</v>
      </c>
      <c r="R2500" s="10">
        <f>IFERROR(IF(('Loading-truck'!$C$21)="No control",SUMIF(('Loading-truck'!$B$31:$B$48),$J2500,('Loading-truck'!$D$31:$D$48))*Impacts!$F$14,IF(('Loading-truck'!$C$21)&lt;&gt;"No control",SUMIF(('Loading-truck'!$B$31:$B$48),$J2500,('Loading-truck'!$E$31:$E$48))*Impacts!$F$14,0)),0)</f>
        <v>0</v>
      </c>
      <c r="S2500" s="10">
        <f>IFERROR(IF(('Loading-rail'!$C$21)="No control",SUMIF(('Loading-rail'!$B$31:$B$48),$J2500,('Loading-rail'!$D$31:$D$48))*Impacts!$F$15,IF(('Loading-rail'!$C$21)&lt;&gt;"No control",SUMIF(('Loading-rail'!$B$31:$B$48),$J2500,('Loading-rail'!$E$31:$E$48))*Impacts!$F$15,0)),0)</f>
        <v>0</v>
      </c>
      <c r="T2500" s="10">
        <f>IF(Flare!$C$7="",0,(SUMIF(Flare!$B$46:$B$185,$J2500,Flare!$E$46:$E$185)*Impacts!$F$16))</f>
        <v>0</v>
      </c>
      <c r="U2500" s="10">
        <f>IF(VCU!$C$9="",0,(SUMIF(VCU!$B$51:$B$193,$J2500,VCU!$E$51:$E$193)*Impacts!$F$17))</f>
        <v>0</v>
      </c>
      <c r="V2500" s="10">
        <f>IF(CAS!$C$7="",0,(SUMIF(CAS!$B$31:$B$167,$J2500,CAS!$E$31:$E$167)*Impacts!$F$18))</f>
        <v>0</v>
      </c>
      <c r="W2500" s="10">
        <f t="shared" si="79"/>
        <v>0</v>
      </c>
      <c r="AK2500" s="10" t="str">
        <f t="array" ref="AK2500">IFERROR(INDEX(SelectedSpecies,SMALL(IF(SelectedSpecies=AK$1,ROW(SelectedSpecies)),ROW(2501:2501)),2),"")</f>
        <v/>
      </c>
      <c r="BE2500" s="10"/>
      <c r="BI2500" s="10"/>
    </row>
    <row r="2501" spans="1:61" ht="21" customHeight="1" x14ac:dyDescent="0.25">
      <c r="A2501" s="10"/>
      <c r="B2501" s="10"/>
      <c r="E2501" s="10"/>
      <c r="G2501" s="10"/>
      <c r="I2501" s="436" t="s">
        <v>6322</v>
      </c>
      <c r="J2501" s="26" t="s">
        <v>6321</v>
      </c>
      <c r="K2501" s="10">
        <v>0.9</v>
      </c>
      <c r="L2501" s="73">
        <f>IF(Tank1!$C$23="No control",(SUMIF(Tank1!$B$32:$B$49,$J2501,Tank1!$C$32:$C$49)*Impacts!$F$8),0)</f>
        <v>0</v>
      </c>
      <c r="M2501" s="10">
        <f>IF(Tank2!$C$23="No control",(SUMIF(Tank2!$B$32:$B$49,$J2501,Tank2!$C$32:$C$49)*Impacts!$F$9),0)</f>
        <v>0</v>
      </c>
      <c r="N2501" s="10">
        <f>IF(Tank3!$C$23="No control",(SUMIF(Tank3!$B$32:$B$49,$J2501,Tank3!$C$32:$C$49)*Impacts!$F$10),0)</f>
        <v>0</v>
      </c>
      <c r="O2501" s="10">
        <f>IF(Tank4!$C$23="No control",(SUMIF(Tank4!$B$32:$B$49,$J2501,Tank4!$C$32:$C$49)*Impacts!$F$11),0)</f>
        <v>0</v>
      </c>
      <c r="P2501" s="10">
        <f>IF(Tank5!$C$23="No control",(SUMIF(Tank5!$B$32:$B$49,$J2501,Tank5!$C$32:$C$49)*Impacts!$F$12),0)</f>
        <v>0</v>
      </c>
      <c r="Q2501" s="10">
        <f>IFERROR(IF(('Loading-drum,tote'!$C$21)="No control",SUMIF(('Loading-drum,tote'!$B$31:$B$48),$J2501,('Loading-drum,tote'!$D$31:$D$48))*Impacts!$F$13,IF(('Loading-drum,tote'!$C$21)&lt;&gt;"No control",SUMIF(('Loading-drum,tote'!$B$31:$B$48),$J2501,('Loading-drum,tote'!$E$31:$E$48))*Impacts!$F$13,0)),0)</f>
        <v>0</v>
      </c>
      <c r="R2501" s="10">
        <f>IFERROR(IF(('Loading-truck'!$C$21)="No control",SUMIF(('Loading-truck'!$B$31:$B$48),$J2501,('Loading-truck'!$D$31:$D$48))*Impacts!$F$14,IF(('Loading-truck'!$C$21)&lt;&gt;"No control",SUMIF(('Loading-truck'!$B$31:$B$48),$J2501,('Loading-truck'!$E$31:$E$48))*Impacts!$F$14,0)),0)</f>
        <v>0</v>
      </c>
      <c r="S2501" s="10">
        <f>IFERROR(IF(('Loading-rail'!$C$21)="No control",SUMIF(('Loading-rail'!$B$31:$B$48),$J2501,('Loading-rail'!$D$31:$D$48))*Impacts!$F$15,IF(('Loading-rail'!$C$21)&lt;&gt;"No control",SUMIF(('Loading-rail'!$B$31:$B$48),$J2501,('Loading-rail'!$E$31:$E$48))*Impacts!$F$15,0)),0)</f>
        <v>0</v>
      </c>
      <c r="T2501" s="10">
        <f>IF(Flare!$C$7="",0,(SUMIF(Flare!$B$46:$B$185,$J2501,Flare!$E$46:$E$185)*Impacts!$F$16))</f>
        <v>0</v>
      </c>
      <c r="U2501" s="10">
        <f>IF(VCU!$C$9="",0,(SUMIF(VCU!$B$51:$B$193,$J2501,VCU!$E$51:$E$193)*Impacts!$F$17))</f>
        <v>0</v>
      </c>
      <c r="V2501" s="10">
        <f>IF(CAS!$C$7="",0,(SUMIF(CAS!$B$31:$B$167,$J2501,CAS!$E$31:$E$167)*Impacts!$F$18))</f>
        <v>0</v>
      </c>
      <c r="W2501" s="10">
        <f t="shared" si="79"/>
        <v>0</v>
      </c>
      <c r="AK2501" s="10" t="str">
        <f t="array" ref="AK2501">IFERROR(INDEX(SelectedSpecies,SMALL(IF(SelectedSpecies=AK$1,ROW(SelectedSpecies)),ROW(2502:2502)),2),"")</f>
        <v/>
      </c>
      <c r="BE2501" s="10"/>
      <c r="BI2501" s="10"/>
    </row>
    <row r="2502" spans="1:61" ht="21" customHeight="1" x14ac:dyDescent="0.25">
      <c r="A2502" s="10"/>
      <c r="B2502" s="10"/>
      <c r="E2502" s="10"/>
      <c r="G2502" s="10"/>
      <c r="I2502" s="436" t="s">
        <v>4977</v>
      </c>
      <c r="J2502" s="26" t="s">
        <v>4976</v>
      </c>
      <c r="K2502" s="10">
        <v>2.5</v>
      </c>
      <c r="L2502" s="73">
        <f>IF(Tank1!$C$23="No control",(SUMIF(Tank1!$B$32:$B$49,$J2502,Tank1!$C$32:$C$49)*Impacts!$F$8),0)</f>
        <v>0</v>
      </c>
      <c r="M2502" s="10">
        <f>IF(Tank2!$C$23="No control",(SUMIF(Tank2!$B$32:$B$49,$J2502,Tank2!$C$32:$C$49)*Impacts!$F$9),0)</f>
        <v>0</v>
      </c>
      <c r="N2502" s="10">
        <f>IF(Tank3!$C$23="No control",(SUMIF(Tank3!$B$32:$B$49,$J2502,Tank3!$C$32:$C$49)*Impacts!$F$10),0)</f>
        <v>0</v>
      </c>
      <c r="O2502" s="10">
        <f>IF(Tank4!$C$23="No control",(SUMIF(Tank4!$B$32:$B$49,$J2502,Tank4!$C$32:$C$49)*Impacts!$F$11),0)</f>
        <v>0</v>
      </c>
      <c r="P2502" s="10">
        <f>IF(Tank5!$C$23="No control",(SUMIF(Tank5!$B$32:$B$49,$J2502,Tank5!$C$32:$C$49)*Impacts!$F$12),0)</f>
        <v>0</v>
      </c>
      <c r="Q2502" s="10">
        <f>IFERROR(IF(('Loading-drum,tote'!$C$21)="No control",SUMIF(('Loading-drum,tote'!$B$31:$B$48),$J2502,('Loading-drum,tote'!$D$31:$D$48))*Impacts!$F$13,IF(('Loading-drum,tote'!$C$21)&lt;&gt;"No control",SUMIF(('Loading-drum,tote'!$B$31:$B$48),$J2502,('Loading-drum,tote'!$E$31:$E$48))*Impacts!$F$13,0)),0)</f>
        <v>0</v>
      </c>
      <c r="R2502" s="10">
        <f>IFERROR(IF(('Loading-truck'!$C$21)="No control",SUMIF(('Loading-truck'!$B$31:$B$48),$J2502,('Loading-truck'!$D$31:$D$48))*Impacts!$F$14,IF(('Loading-truck'!$C$21)&lt;&gt;"No control",SUMIF(('Loading-truck'!$B$31:$B$48),$J2502,('Loading-truck'!$E$31:$E$48))*Impacts!$F$14,0)),0)</f>
        <v>0</v>
      </c>
      <c r="S2502" s="10">
        <f>IFERROR(IF(('Loading-rail'!$C$21)="No control",SUMIF(('Loading-rail'!$B$31:$B$48),$J2502,('Loading-rail'!$D$31:$D$48))*Impacts!$F$15,IF(('Loading-rail'!$C$21)&lt;&gt;"No control",SUMIF(('Loading-rail'!$B$31:$B$48),$J2502,('Loading-rail'!$E$31:$E$48))*Impacts!$F$15,0)),0)</f>
        <v>0</v>
      </c>
      <c r="T2502" s="10">
        <f>IF(Flare!$C$7="",0,(SUMIF(Flare!$B$46:$B$185,$J2502,Flare!$E$46:$E$185)*Impacts!$F$16))</f>
        <v>0</v>
      </c>
      <c r="U2502" s="10">
        <f>IF(VCU!$C$9="",0,(SUMIF(VCU!$B$51:$B$193,$J2502,VCU!$E$51:$E$193)*Impacts!$F$17))</f>
        <v>0</v>
      </c>
      <c r="V2502" s="10">
        <f>IF(CAS!$C$7="",0,(SUMIF(CAS!$B$31:$B$167,$J2502,CAS!$E$31:$E$167)*Impacts!$F$18))</f>
        <v>0</v>
      </c>
      <c r="W2502" s="10">
        <f t="shared" si="79"/>
        <v>0</v>
      </c>
      <c r="AK2502" s="10" t="str">
        <f t="array" ref="AK2502">IFERROR(INDEX(SelectedSpecies,SMALL(IF(SelectedSpecies=AK$1,ROW(SelectedSpecies)),ROW(2503:2503)),2),"")</f>
        <v/>
      </c>
      <c r="BE2502" s="10"/>
      <c r="BI2502" s="10"/>
    </row>
    <row r="2503" spans="1:61" ht="21" customHeight="1" x14ac:dyDescent="0.25">
      <c r="A2503" s="10"/>
      <c r="B2503" s="10"/>
      <c r="E2503" s="10"/>
      <c r="G2503" s="10"/>
      <c r="I2503" s="436" t="s">
        <v>5986</v>
      </c>
      <c r="J2503" s="26" t="s">
        <v>5985</v>
      </c>
      <c r="K2503" s="10">
        <v>1</v>
      </c>
      <c r="L2503" s="73">
        <f>IF(Tank1!$C$23="No control",(SUMIF(Tank1!$B$32:$B$49,$J2503,Tank1!$C$32:$C$49)*Impacts!$F$8),0)</f>
        <v>0</v>
      </c>
      <c r="M2503" s="10">
        <f>IF(Tank2!$C$23="No control",(SUMIF(Tank2!$B$32:$B$49,$J2503,Tank2!$C$32:$C$49)*Impacts!$F$9),0)</f>
        <v>0</v>
      </c>
      <c r="N2503" s="10">
        <f>IF(Tank3!$C$23="No control",(SUMIF(Tank3!$B$32:$B$49,$J2503,Tank3!$C$32:$C$49)*Impacts!$F$10),0)</f>
        <v>0</v>
      </c>
      <c r="O2503" s="10">
        <f>IF(Tank4!$C$23="No control",(SUMIF(Tank4!$B$32:$B$49,$J2503,Tank4!$C$32:$C$49)*Impacts!$F$11),0)</f>
        <v>0</v>
      </c>
      <c r="P2503" s="10">
        <f>IF(Tank5!$C$23="No control",(SUMIF(Tank5!$B$32:$B$49,$J2503,Tank5!$C$32:$C$49)*Impacts!$F$12),0)</f>
        <v>0</v>
      </c>
      <c r="Q2503" s="10">
        <f>IFERROR(IF(('Loading-drum,tote'!$C$21)="No control",SUMIF(('Loading-drum,tote'!$B$31:$B$48),$J2503,('Loading-drum,tote'!$D$31:$D$48))*Impacts!$F$13,IF(('Loading-drum,tote'!$C$21)&lt;&gt;"No control",SUMIF(('Loading-drum,tote'!$B$31:$B$48),$J2503,('Loading-drum,tote'!$E$31:$E$48))*Impacts!$F$13,0)),0)</f>
        <v>0</v>
      </c>
      <c r="R2503" s="10">
        <f>IFERROR(IF(('Loading-truck'!$C$21)="No control",SUMIF(('Loading-truck'!$B$31:$B$48),$J2503,('Loading-truck'!$D$31:$D$48))*Impacts!$F$14,IF(('Loading-truck'!$C$21)&lt;&gt;"No control",SUMIF(('Loading-truck'!$B$31:$B$48),$J2503,('Loading-truck'!$E$31:$E$48))*Impacts!$F$14,0)),0)</f>
        <v>0</v>
      </c>
      <c r="S2503" s="10">
        <f>IFERROR(IF(('Loading-rail'!$C$21)="No control",SUMIF(('Loading-rail'!$B$31:$B$48),$J2503,('Loading-rail'!$D$31:$D$48))*Impacts!$F$15,IF(('Loading-rail'!$C$21)&lt;&gt;"No control",SUMIF(('Loading-rail'!$B$31:$B$48),$J2503,('Loading-rail'!$E$31:$E$48))*Impacts!$F$15,0)),0)</f>
        <v>0</v>
      </c>
      <c r="T2503" s="10">
        <f>IF(Flare!$C$7="",0,(SUMIF(Flare!$B$46:$B$185,$J2503,Flare!$E$46:$E$185)*Impacts!$F$16))</f>
        <v>0</v>
      </c>
      <c r="U2503" s="10">
        <f>IF(VCU!$C$9="",0,(SUMIF(VCU!$B$51:$B$193,$J2503,VCU!$E$51:$E$193)*Impacts!$F$17))</f>
        <v>0</v>
      </c>
      <c r="V2503" s="10">
        <f>IF(CAS!$C$7="",0,(SUMIF(CAS!$B$31:$B$167,$J2503,CAS!$E$31:$E$167)*Impacts!$F$18))</f>
        <v>0</v>
      </c>
      <c r="W2503" s="10">
        <f t="shared" si="79"/>
        <v>0</v>
      </c>
      <c r="AK2503" s="10" t="str">
        <f t="array" ref="AK2503">IFERROR(INDEX(SelectedSpecies,SMALL(IF(SelectedSpecies=AK$1,ROW(SelectedSpecies)),ROW(2504:2504)),2),"")</f>
        <v/>
      </c>
      <c r="BE2503" s="10"/>
      <c r="BI2503" s="10"/>
    </row>
    <row r="2504" spans="1:61" ht="21" customHeight="1" x14ac:dyDescent="0.25">
      <c r="A2504" s="10"/>
      <c r="B2504" s="10"/>
      <c r="E2504" s="10"/>
      <c r="G2504" s="10"/>
      <c r="I2504" s="436" t="s">
        <v>5988</v>
      </c>
      <c r="J2504" s="26" t="s">
        <v>5987</v>
      </c>
      <c r="K2504" s="10">
        <v>1</v>
      </c>
      <c r="L2504" s="73">
        <f>IF(Tank1!$C$23="No control",(SUMIF(Tank1!$B$32:$B$49,$J2504,Tank1!$C$32:$C$49)*Impacts!$F$8),0)</f>
        <v>0</v>
      </c>
      <c r="M2504" s="10">
        <f>IF(Tank2!$C$23="No control",(SUMIF(Tank2!$B$32:$B$49,$J2504,Tank2!$C$32:$C$49)*Impacts!$F$9),0)</f>
        <v>0</v>
      </c>
      <c r="N2504" s="10">
        <f>IF(Tank3!$C$23="No control",(SUMIF(Tank3!$B$32:$B$49,$J2504,Tank3!$C$32:$C$49)*Impacts!$F$10),0)</f>
        <v>0</v>
      </c>
      <c r="O2504" s="10">
        <f>IF(Tank4!$C$23="No control",(SUMIF(Tank4!$B$32:$B$49,$J2504,Tank4!$C$32:$C$49)*Impacts!$F$11),0)</f>
        <v>0</v>
      </c>
      <c r="P2504" s="10">
        <f>IF(Tank5!$C$23="No control",(SUMIF(Tank5!$B$32:$B$49,$J2504,Tank5!$C$32:$C$49)*Impacts!$F$12),0)</f>
        <v>0</v>
      </c>
      <c r="Q2504" s="10">
        <f>IFERROR(IF(('Loading-drum,tote'!$C$21)="No control",SUMIF(('Loading-drum,tote'!$B$31:$B$48),$J2504,('Loading-drum,tote'!$D$31:$D$48))*Impacts!$F$13,IF(('Loading-drum,tote'!$C$21)&lt;&gt;"No control",SUMIF(('Loading-drum,tote'!$B$31:$B$48),$J2504,('Loading-drum,tote'!$E$31:$E$48))*Impacts!$F$13,0)),0)</f>
        <v>0</v>
      </c>
      <c r="R2504" s="10">
        <f>IFERROR(IF(('Loading-truck'!$C$21)="No control",SUMIF(('Loading-truck'!$B$31:$B$48),$J2504,('Loading-truck'!$D$31:$D$48))*Impacts!$F$14,IF(('Loading-truck'!$C$21)&lt;&gt;"No control",SUMIF(('Loading-truck'!$B$31:$B$48),$J2504,('Loading-truck'!$E$31:$E$48))*Impacts!$F$14,0)),0)</f>
        <v>0</v>
      </c>
      <c r="S2504" s="10">
        <f>IFERROR(IF(('Loading-rail'!$C$21)="No control",SUMIF(('Loading-rail'!$B$31:$B$48),$J2504,('Loading-rail'!$D$31:$D$48))*Impacts!$F$15,IF(('Loading-rail'!$C$21)&lt;&gt;"No control",SUMIF(('Loading-rail'!$B$31:$B$48),$J2504,('Loading-rail'!$E$31:$E$48))*Impacts!$F$15,0)),0)</f>
        <v>0</v>
      </c>
      <c r="T2504" s="10">
        <f>IF(Flare!$C$7="",0,(SUMIF(Flare!$B$46:$B$185,$J2504,Flare!$E$46:$E$185)*Impacts!$F$16))</f>
        <v>0</v>
      </c>
      <c r="U2504" s="10">
        <f>IF(VCU!$C$9="",0,(SUMIF(VCU!$B$51:$B$193,$J2504,VCU!$E$51:$E$193)*Impacts!$F$17))</f>
        <v>0</v>
      </c>
      <c r="V2504" s="10">
        <f>IF(CAS!$C$7="",0,(SUMIF(CAS!$B$31:$B$167,$J2504,CAS!$E$31:$E$167)*Impacts!$F$18))</f>
        <v>0</v>
      </c>
      <c r="W2504" s="10">
        <f t="shared" si="79"/>
        <v>0</v>
      </c>
      <c r="AK2504" s="10" t="str">
        <f t="array" ref="AK2504">IFERROR(INDEX(SelectedSpecies,SMALL(IF(SelectedSpecies=AK$1,ROW(SelectedSpecies)),ROW(2505:2505)),2),"")</f>
        <v/>
      </c>
      <c r="BE2504" s="10"/>
      <c r="BI2504" s="10"/>
    </row>
    <row r="2505" spans="1:61" ht="21" customHeight="1" x14ac:dyDescent="0.25">
      <c r="A2505" s="10"/>
      <c r="B2505" s="10"/>
      <c r="E2505" s="10"/>
      <c r="G2505" s="10"/>
      <c r="I2505" s="436" t="s">
        <v>7762</v>
      </c>
      <c r="J2505" s="26" t="s">
        <v>7761</v>
      </c>
      <c r="K2505" s="10">
        <v>0.1</v>
      </c>
      <c r="L2505" s="73">
        <f>IF(Tank1!$C$23="No control",(SUMIF(Tank1!$B$32:$B$49,$J2505,Tank1!$C$32:$C$49)*Impacts!$F$8),0)</f>
        <v>0</v>
      </c>
      <c r="M2505" s="10">
        <f>IF(Tank2!$C$23="No control",(SUMIF(Tank2!$B$32:$B$49,$J2505,Tank2!$C$32:$C$49)*Impacts!$F$9),0)</f>
        <v>0</v>
      </c>
      <c r="N2505" s="10">
        <f>IF(Tank3!$C$23="No control",(SUMIF(Tank3!$B$32:$B$49,$J2505,Tank3!$C$32:$C$49)*Impacts!$F$10),0)</f>
        <v>0</v>
      </c>
      <c r="O2505" s="10">
        <f>IF(Tank4!$C$23="No control",(SUMIF(Tank4!$B$32:$B$49,$J2505,Tank4!$C$32:$C$49)*Impacts!$F$11),0)</f>
        <v>0</v>
      </c>
      <c r="P2505" s="10">
        <f>IF(Tank5!$C$23="No control",(SUMIF(Tank5!$B$32:$B$49,$J2505,Tank5!$C$32:$C$49)*Impacts!$F$12),0)</f>
        <v>0</v>
      </c>
      <c r="Q2505" s="10">
        <f>IFERROR(IF(('Loading-drum,tote'!$C$21)="No control",SUMIF(('Loading-drum,tote'!$B$31:$B$48),$J2505,('Loading-drum,tote'!$D$31:$D$48))*Impacts!$F$13,IF(('Loading-drum,tote'!$C$21)&lt;&gt;"No control",SUMIF(('Loading-drum,tote'!$B$31:$B$48),$J2505,('Loading-drum,tote'!$E$31:$E$48))*Impacts!$F$13,0)),0)</f>
        <v>0</v>
      </c>
      <c r="R2505" s="10">
        <f>IFERROR(IF(('Loading-truck'!$C$21)="No control",SUMIF(('Loading-truck'!$B$31:$B$48),$J2505,('Loading-truck'!$D$31:$D$48))*Impacts!$F$14,IF(('Loading-truck'!$C$21)&lt;&gt;"No control",SUMIF(('Loading-truck'!$B$31:$B$48),$J2505,('Loading-truck'!$E$31:$E$48))*Impacts!$F$14,0)),0)</f>
        <v>0</v>
      </c>
      <c r="S2505" s="10">
        <f>IFERROR(IF(('Loading-rail'!$C$21)="No control",SUMIF(('Loading-rail'!$B$31:$B$48),$J2505,('Loading-rail'!$D$31:$D$48))*Impacts!$F$15,IF(('Loading-rail'!$C$21)&lt;&gt;"No control",SUMIF(('Loading-rail'!$B$31:$B$48),$J2505,('Loading-rail'!$E$31:$E$48))*Impacts!$F$15,0)),0)</f>
        <v>0</v>
      </c>
      <c r="T2505" s="10">
        <f>IF(Flare!$C$7="",0,(SUMIF(Flare!$B$46:$B$185,$J2505,Flare!$E$46:$E$185)*Impacts!$F$16))</f>
        <v>0</v>
      </c>
      <c r="U2505" s="10">
        <f>IF(VCU!$C$9="",0,(SUMIF(VCU!$B$51:$B$193,$J2505,VCU!$E$51:$E$193)*Impacts!$F$17))</f>
        <v>0</v>
      </c>
      <c r="V2505" s="10">
        <f>IF(CAS!$C$7="",0,(SUMIF(CAS!$B$31:$B$167,$J2505,CAS!$E$31:$E$167)*Impacts!$F$18))</f>
        <v>0</v>
      </c>
      <c r="W2505" s="10">
        <f t="shared" si="79"/>
        <v>0</v>
      </c>
      <c r="AK2505" s="10" t="str">
        <f t="array" ref="AK2505">IFERROR(INDEX(SelectedSpecies,SMALL(IF(SelectedSpecies=AK$1,ROW(SelectedSpecies)),ROW(2506:2506)),2),"")</f>
        <v/>
      </c>
      <c r="BE2505" s="10"/>
      <c r="BI2505" s="10"/>
    </row>
    <row r="2506" spans="1:61" ht="21" customHeight="1" x14ac:dyDescent="0.25">
      <c r="A2506" s="10"/>
      <c r="B2506" s="10"/>
      <c r="E2506" s="10"/>
      <c r="G2506" s="10"/>
      <c r="I2506" s="436" t="s">
        <v>6572</v>
      </c>
      <c r="J2506" s="26" t="s">
        <v>6571</v>
      </c>
      <c r="K2506" s="10">
        <v>0.67</v>
      </c>
      <c r="L2506" s="73">
        <f>IF(Tank1!$C$23="No control",(SUMIF(Tank1!$B$32:$B$49,$J2506,Tank1!$C$32:$C$49)*Impacts!$F$8),0)</f>
        <v>0</v>
      </c>
      <c r="M2506" s="10">
        <f>IF(Tank2!$C$23="No control",(SUMIF(Tank2!$B$32:$B$49,$J2506,Tank2!$C$32:$C$49)*Impacts!$F$9),0)</f>
        <v>0</v>
      </c>
      <c r="N2506" s="10">
        <f>IF(Tank3!$C$23="No control",(SUMIF(Tank3!$B$32:$B$49,$J2506,Tank3!$C$32:$C$49)*Impacts!$F$10),0)</f>
        <v>0</v>
      </c>
      <c r="O2506" s="10">
        <f>IF(Tank4!$C$23="No control",(SUMIF(Tank4!$B$32:$B$49,$J2506,Tank4!$C$32:$C$49)*Impacts!$F$11),0)</f>
        <v>0</v>
      </c>
      <c r="P2506" s="10">
        <f>IF(Tank5!$C$23="No control",(SUMIF(Tank5!$B$32:$B$49,$J2506,Tank5!$C$32:$C$49)*Impacts!$F$12),0)</f>
        <v>0</v>
      </c>
      <c r="Q2506" s="10">
        <f>IFERROR(IF(('Loading-drum,tote'!$C$21)="No control",SUMIF(('Loading-drum,tote'!$B$31:$B$48),$J2506,('Loading-drum,tote'!$D$31:$D$48))*Impacts!$F$13,IF(('Loading-drum,tote'!$C$21)&lt;&gt;"No control",SUMIF(('Loading-drum,tote'!$B$31:$B$48),$J2506,('Loading-drum,tote'!$E$31:$E$48))*Impacts!$F$13,0)),0)</f>
        <v>0</v>
      </c>
      <c r="R2506" s="10">
        <f>IFERROR(IF(('Loading-truck'!$C$21)="No control",SUMIF(('Loading-truck'!$B$31:$B$48),$J2506,('Loading-truck'!$D$31:$D$48))*Impacts!$F$14,IF(('Loading-truck'!$C$21)&lt;&gt;"No control",SUMIF(('Loading-truck'!$B$31:$B$48),$J2506,('Loading-truck'!$E$31:$E$48))*Impacts!$F$14,0)),0)</f>
        <v>0</v>
      </c>
      <c r="S2506" s="10">
        <f>IFERROR(IF(('Loading-rail'!$C$21)="No control",SUMIF(('Loading-rail'!$B$31:$B$48),$J2506,('Loading-rail'!$D$31:$D$48))*Impacts!$F$15,IF(('Loading-rail'!$C$21)&lt;&gt;"No control",SUMIF(('Loading-rail'!$B$31:$B$48),$J2506,('Loading-rail'!$E$31:$E$48))*Impacts!$F$15,0)),0)</f>
        <v>0</v>
      </c>
      <c r="T2506" s="10">
        <f>IF(Flare!$C$7="",0,(SUMIF(Flare!$B$46:$B$185,$J2506,Flare!$E$46:$E$185)*Impacts!$F$16))</f>
        <v>0</v>
      </c>
      <c r="U2506" s="10">
        <f>IF(VCU!$C$9="",0,(SUMIF(VCU!$B$51:$B$193,$J2506,VCU!$E$51:$E$193)*Impacts!$F$17))</f>
        <v>0</v>
      </c>
      <c r="V2506" s="10">
        <f>IF(CAS!$C$7="",0,(SUMIF(CAS!$B$31:$B$167,$J2506,CAS!$E$31:$E$167)*Impacts!$F$18))</f>
        <v>0</v>
      </c>
      <c r="W2506" s="10">
        <f t="shared" si="79"/>
        <v>0</v>
      </c>
      <c r="AK2506" s="10" t="str">
        <f t="array" ref="AK2506">IFERROR(INDEX(SelectedSpecies,SMALL(IF(SelectedSpecies=AK$1,ROW(SelectedSpecies)),ROW(2507:2507)),2),"")</f>
        <v/>
      </c>
      <c r="BE2506" s="10"/>
      <c r="BI2506" s="10"/>
    </row>
    <row r="2507" spans="1:61" ht="21" customHeight="1" x14ac:dyDescent="0.25">
      <c r="A2507" s="10"/>
      <c r="B2507" s="10"/>
      <c r="E2507" s="10"/>
      <c r="G2507" s="10"/>
      <c r="I2507" s="436" t="s">
        <v>7514</v>
      </c>
      <c r="J2507" s="26" t="s">
        <v>7513</v>
      </c>
      <c r="K2507" s="10">
        <v>0.2</v>
      </c>
      <c r="L2507" s="73">
        <f>IF(Tank1!$C$23="No control",(SUMIF(Tank1!$B$32:$B$49,$J2507,Tank1!$C$32:$C$49)*Impacts!$F$8),0)</f>
        <v>0</v>
      </c>
      <c r="M2507" s="10">
        <f>IF(Tank2!$C$23="No control",(SUMIF(Tank2!$B$32:$B$49,$J2507,Tank2!$C$32:$C$49)*Impacts!$F$9),0)</f>
        <v>0</v>
      </c>
      <c r="N2507" s="10">
        <f>IF(Tank3!$C$23="No control",(SUMIF(Tank3!$B$32:$B$49,$J2507,Tank3!$C$32:$C$49)*Impacts!$F$10),0)</f>
        <v>0</v>
      </c>
      <c r="O2507" s="10">
        <f>IF(Tank4!$C$23="No control",(SUMIF(Tank4!$B$32:$B$49,$J2507,Tank4!$C$32:$C$49)*Impacts!$F$11),0)</f>
        <v>0</v>
      </c>
      <c r="P2507" s="10">
        <f>IF(Tank5!$C$23="No control",(SUMIF(Tank5!$B$32:$B$49,$J2507,Tank5!$C$32:$C$49)*Impacts!$F$12),0)</f>
        <v>0</v>
      </c>
      <c r="Q2507" s="10">
        <f>IFERROR(IF(('Loading-drum,tote'!$C$21)="No control",SUMIF(('Loading-drum,tote'!$B$31:$B$48),$J2507,('Loading-drum,tote'!$D$31:$D$48))*Impacts!$F$13,IF(('Loading-drum,tote'!$C$21)&lt;&gt;"No control",SUMIF(('Loading-drum,tote'!$B$31:$B$48),$J2507,('Loading-drum,tote'!$E$31:$E$48))*Impacts!$F$13,0)),0)</f>
        <v>0</v>
      </c>
      <c r="R2507" s="10">
        <f>IFERROR(IF(('Loading-truck'!$C$21)="No control",SUMIF(('Loading-truck'!$B$31:$B$48),$J2507,('Loading-truck'!$D$31:$D$48))*Impacts!$F$14,IF(('Loading-truck'!$C$21)&lt;&gt;"No control",SUMIF(('Loading-truck'!$B$31:$B$48),$J2507,('Loading-truck'!$E$31:$E$48))*Impacts!$F$14,0)),0)</f>
        <v>0</v>
      </c>
      <c r="S2507" s="10">
        <f>IFERROR(IF(('Loading-rail'!$C$21)="No control",SUMIF(('Loading-rail'!$B$31:$B$48),$J2507,('Loading-rail'!$D$31:$D$48))*Impacts!$F$15,IF(('Loading-rail'!$C$21)&lt;&gt;"No control",SUMIF(('Loading-rail'!$B$31:$B$48),$J2507,('Loading-rail'!$E$31:$E$48))*Impacts!$F$15,0)),0)</f>
        <v>0</v>
      </c>
      <c r="T2507" s="10">
        <f>IF(Flare!$C$7="",0,(SUMIF(Flare!$B$46:$B$185,$J2507,Flare!$E$46:$E$185)*Impacts!$F$16))</f>
        <v>0</v>
      </c>
      <c r="U2507" s="10">
        <f>IF(VCU!$C$9="",0,(SUMIF(VCU!$B$51:$B$193,$J2507,VCU!$E$51:$E$193)*Impacts!$F$17))</f>
        <v>0</v>
      </c>
      <c r="V2507" s="10">
        <f>IF(CAS!$C$7="",0,(SUMIF(CAS!$B$31:$B$167,$J2507,CAS!$E$31:$E$167)*Impacts!$F$18))</f>
        <v>0</v>
      </c>
      <c r="W2507" s="10">
        <f t="shared" si="79"/>
        <v>0</v>
      </c>
      <c r="AK2507" s="10" t="str">
        <f t="array" ref="AK2507">IFERROR(INDEX(SelectedSpecies,SMALL(IF(SelectedSpecies=AK$1,ROW(SelectedSpecies)),ROW(2508:2508)),2),"")</f>
        <v/>
      </c>
      <c r="BE2507" s="10"/>
      <c r="BI2507" s="10"/>
    </row>
    <row r="2508" spans="1:61" ht="21" customHeight="1" x14ac:dyDescent="0.25">
      <c r="A2508" s="10"/>
      <c r="B2508" s="10"/>
      <c r="E2508" s="10"/>
      <c r="G2508" s="10"/>
      <c r="I2508" s="436" t="s">
        <v>6648</v>
      </c>
      <c r="J2508" s="26" t="s">
        <v>6647</v>
      </c>
      <c r="K2508" s="10">
        <v>0.60000000000000009</v>
      </c>
      <c r="L2508" s="73">
        <f>IF(Tank1!$C$23="No control",(SUMIF(Tank1!$B$32:$B$49,$J2508,Tank1!$C$32:$C$49)*Impacts!$F$8),0)</f>
        <v>0</v>
      </c>
      <c r="M2508" s="10">
        <f>IF(Tank2!$C$23="No control",(SUMIF(Tank2!$B$32:$B$49,$J2508,Tank2!$C$32:$C$49)*Impacts!$F$9),0)</f>
        <v>0</v>
      </c>
      <c r="N2508" s="10">
        <f>IF(Tank3!$C$23="No control",(SUMIF(Tank3!$B$32:$B$49,$J2508,Tank3!$C$32:$C$49)*Impacts!$F$10),0)</f>
        <v>0</v>
      </c>
      <c r="O2508" s="10">
        <f>IF(Tank4!$C$23="No control",(SUMIF(Tank4!$B$32:$B$49,$J2508,Tank4!$C$32:$C$49)*Impacts!$F$11),0)</f>
        <v>0</v>
      </c>
      <c r="P2508" s="10">
        <f>IF(Tank5!$C$23="No control",(SUMIF(Tank5!$B$32:$B$49,$J2508,Tank5!$C$32:$C$49)*Impacts!$F$12),0)</f>
        <v>0</v>
      </c>
      <c r="Q2508" s="10">
        <f>IFERROR(IF(('Loading-drum,tote'!$C$21)="No control",SUMIF(('Loading-drum,tote'!$B$31:$B$48),$J2508,('Loading-drum,tote'!$D$31:$D$48))*Impacts!$F$13,IF(('Loading-drum,tote'!$C$21)&lt;&gt;"No control",SUMIF(('Loading-drum,tote'!$B$31:$B$48),$J2508,('Loading-drum,tote'!$E$31:$E$48))*Impacts!$F$13,0)),0)</f>
        <v>0</v>
      </c>
      <c r="R2508" s="10">
        <f>IFERROR(IF(('Loading-truck'!$C$21)="No control",SUMIF(('Loading-truck'!$B$31:$B$48),$J2508,('Loading-truck'!$D$31:$D$48))*Impacts!$F$14,IF(('Loading-truck'!$C$21)&lt;&gt;"No control",SUMIF(('Loading-truck'!$B$31:$B$48),$J2508,('Loading-truck'!$E$31:$E$48))*Impacts!$F$14,0)),0)</f>
        <v>0</v>
      </c>
      <c r="S2508" s="10">
        <f>IFERROR(IF(('Loading-rail'!$C$21)="No control",SUMIF(('Loading-rail'!$B$31:$B$48),$J2508,('Loading-rail'!$D$31:$D$48))*Impacts!$F$15,IF(('Loading-rail'!$C$21)&lt;&gt;"No control",SUMIF(('Loading-rail'!$B$31:$B$48),$J2508,('Loading-rail'!$E$31:$E$48))*Impacts!$F$15,0)),0)</f>
        <v>0</v>
      </c>
      <c r="T2508" s="10">
        <f>IF(Flare!$C$7="",0,(SUMIF(Flare!$B$46:$B$185,$J2508,Flare!$E$46:$E$185)*Impacts!$F$16))</f>
        <v>0</v>
      </c>
      <c r="U2508" s="10">
        <f>IF(VCU!$C$9="",0,(SUMIF(VCU!$B$51:$B$193,$J2508,VCU!$E$51:$E$193)*Impacts!$F$17))</f>
        <v>0</v>
      </c>
      <c r="V2508" s="10">
        <f>IF(CAS!$C$7="",0,(SUMIF(CAS!$B$31:$B$167,$J2508,CAS!$E$31:$E$167)*Impacts!$F$18))</f>
        <v>0</v>
      </c>
      <c r="W2508" s="10">
        <f t="shared" si="79"/>
        <v>0</v>
      </c>
      <c r="AK2508" s="10" t="str">
        <f t="array" ref="AK2508">IFERROR(INDEX(SelectedSpecies,SMALL(IF(SelectedSpecies=AK$1,ROW(SelectedSpecies)),ROW(2509:2509)),2),"")</f>
        <v/>
      </c>
      <c r="BE2508" s="10"/>
      <c r="BI2508" s="10"/>
    </row>
    <row r="2509" spans="1:61" ht="21" customHeight="1" x14ac:dyDescent="0.25">
      <c r="A2509" s="10"/>
      <c r="B2509" s="10"/>
      <c r="E2509" s="10"/>
      <c r="G2509" s="10"/>
      <c r="I2509" s="436" t="s">
        <v>2147</v>
      </c>
      <c r="J2509" s="26" t="s">
        <v>2146</v>
      </c>
      <c r="K2509" s="10">
        <v>15</v>
      </c>
      <c r="L2509" s="73">
        <f>IF(Tank1!$C$23="No control",(SUMIF(Tank1!$B$32:$B$49,$J2509,Tank1!$C$32:$C$49)*Impacts!$F$8),0)</f>
        <v>0</v>
      </c>
      <c r="M2509" s="10">
        <f>IF(Tank2!$C$23="No control",(SUMIF(Tank2!$B$32:$B$49,$J2509,Tank2!$C$32:$C$49)*Impacts!$F$9),0)</f>
        <v>0</v>
      </c>
      <c r="N2509" s="10">
        <f>IF(Tank3!$C$23="No control",(SUMIF(Tank3!$B$32:$B$49,$J2509,Tank3!$C$32:$C$49)*Impacts!$F$10),0)</f>
        <v>0</v>
      </c>
      <c r="O2509" s="10">
        <f>IF(Tank4!$C$23="No control",(SUMIF(Tank4!$B$32:$B$49,$J2509,Tank4!$C$32:$C$49)*Impacts!$F$11),0)</f>
        <v>0</v>
      </c>
      <c r="P2509" s="10">
        <f>IF(Tank5!$C$23="No control",(SUMIF(Tank5!$B$32:$B$49,$J2509,Tank5!$C$32:$C$49)*Impacts!$F$12),0)</f>
        <v>0</v>
      </c>
      <c r="Q2509" s="10">
        <f>IFERROR(IF(('Loading-drum,tote'!$C$21)="No control",SUMIF(('Loading-drum,tote'!$B$31:$B$48),$J2509,('Loading-drum,tote'!$D$31:$D$48))*Impacts!$F$13,IF(('Loading-drum,tote'!$C$21)&lt;&gt;"No control",SUMIF(('Loading-drum,tote'!$B$31:$B$48),$J2509,('Loading-drum,tote'!$E$31:$E$48))*Impacts!$F$13,0)),0)</f>
        <v>0</v>
      </c>
      <c r="R2509" s="10">
        <f>IFERROR(IF(('Loading-truck'!$C$21)="No control",SUMIF(('Loading-truck'!$B$31:$B$48),$J2509,('Loading-truck'!$D$31:$D$48))*Impacts!$F$14,IF(('Loading-truck'!$C$21)&lt;&gt;"No control",SUMIF(('Loading-truck'!$B$31:$B$48),$J2509,('Loading-truck'!$E$31:$E$48))*Impacts!$F$14,0)),0)</f>
        <v>0</v>
      </c>
      <c r="S2509" s="10">
        <f>IFERROR(IF(('Loading-rail'!$C$21)="No control",SUMIF(('Loading-rail'!$B$31:$B$48),$J2509,('Loading-rail'!$D$31:$D$48))*Impacts!$F$15,IF(('Loading-rail'!$C$21)&lt;&gt;"No control",SUMIF(('Loading-rail'!$B$31:$B$48),$J2509,('Loading-rail'!$E$31:$E$48))*Impacts!$F$15,0)),0)</f>
        <v>0</v>
      </c>
      <c r="T2509" s="10">
        <f>IF(Flare!$C$7="",0,(SUMIF(Flare!$B$46:$B$185,$J2509,Flare!$E$46:$E$185)*Impacts!$F$16))</f>
        <v>0</v>
      </c>
      <c r="U2509" s="10">
        <f>IF(VCU!$C$9="",0,(SUMIF(VCU!$B$51:$B$193,$J2509,VCU!$E$51:$E$193)*Impacts!$F$17))</f>
        <v>0</v>
      </c>
      <c r="V2509" s="10">
        <f>IF(CAS!$C$7="",0,(SUMIF(CAS!$B$31:$B$167,$J2509,CAS!$E$31:$E$167)*Impacts!$F$18))</f>
        <v>0</v>
      </c>
      <c r="W2509" s="10">
        <f t="shared" si="79"/>
        <v>0</v>
      </c>
      <c r="AK2509" s="10" t="str">
        <f t="array" ref="AK2509">IFERROR(INDEX(SelectedSpecies,SMALL(IF(SelectedSpecies=AK$1,ROW(SelectedSpecies)),ROW(2510:2510)),2),"")</f>
        <v/>
      </c>
      <c r="BE2509" s="10"/>
      <c r="BI2509" s="10"/>
    </row>
    <row r="2510" spans="1:61" ht="21" customHeight="1" x14ac:dyDescent="0.25">
      <c r="A2510" s="10"/>
      <c r="B2510" s="10"/>
      <c r="E2510" s="10"/>
      <c r="G2510" s="10"/>
      <c r="I2510" s="436" t="s">
        <v>4425</v>
      </c>
      <c r="J2510" s="26" t="s">
        <v>4424</v>
      </c>
      <c r="K2510" s="10">
        <v>4.6000000000000005</v>
      </c>
      <c r="L2510" s="73">
        <f>IF(Tank1!$C$23="No control",(SUMIF(Tank1!$B$32:$B$49,$J2510,Tank1!$C$32:$C$49)*Impacts!$F$8),0)</f>
        <v>0</v>
      </c>
      <c r="M2510" s="10">
        <f>IF(Tank2!$C$23="No control",(SUMIF(Tank2!$B$32:$B$49,$J2510,Tank2!$C$32:$C$49)*Impacts!$F$9),0)</f>
        <v>0</v>
      </c>
      <c r="N2510" s="10">
        <f>IF(Tank3!$C$23="No control",(SUMIF(Tank3!$B$32:$B$49,$J2510,Tank3!$C$32:$C$49)*Impacts!$F$10),0)</f>
        <v>0</v>
      </c>
      <c r="O2510" s="10">
        <f>IF(Tank4!$C$23="No control",(SUMIF(Tank4!$B$32:$B$49,$J2510,Tank4!$C$32:$C$49)*Impacts!$F$11),0)</f>
        <v>0</v>
      </c>
      <c r="P2510" s="10">
        <f>IF(Tank5!$C$23="No control",(SUMIF(Tank5!$B$32:$B$49,$J2510,Tank5!$C$32:$C$49)*Impacts!$F$12),0)</f>
        <v>0</v>
      </c>
      <c r="Q2510" s="10">
        <f>IFERROR(IF(('Loading-drum,tote'!$C$21)="No control",SUMIF(('Loading-drum,tote'!$B$31:$B$48),$J2510,('Loading-drum,tote'!$D$31:$D$48))*Impacts!$F$13,IF(('Loading-drum,tote'!$C$21)&lt;&gt;"No control",SUMIF(('Loading-drum,tote'!$B$31:$B$48),$J2510,('Loading-drum,tote'!$E$31:$E$48))*Impacts!$F$13,0)),0)</f>
        <v>0</v>
      </c>
      <c r="R2510" s="10">
        <f>IFERROR(IF(('Loading-truck'!$C$21)="No control",SUMIF(('Loading-truck'!$B$31:$B$48),$J2510,('Loading-truck'!$D$31:$D$48))*Impacts!$F$14,IF(('Loading-truck'!$C$21)&lt;&gt;"No control",SUMIF(('Loading-truck'!$B$31:$B$48),$J2510,('Loading-truck'!$E$31:$E$48))*Impacts!$F$14,0)),0)</f>
        <v>0</v>
      </c>
      <c r="S2510" s="10">
        <f>IFERROR(IF(('Loading-rail'!$C$21)="No control",SUMIF(('Loading-rail'!$B$31:$B$48),$J2510,('Loading-rail'!$D$31:$D$48))*Impacts!$F$15,IF(('Loading-rail'!$C$21)&lt;&gt;"No control",SUMIF(('Loading-rail'!$B$31:$B$48),$J2510,('Loading-rail'!$E$31:$E$48))*Impacts!$F$15,0)),0)</f>
        <v>0</v>
      </c>
      <c r="T2510" s="10">
        <f>IF(Flare!$C$7="",0,(SUMIF(Flare!$B$46:$B$185,$J2510,Flare!$E$46:$E$185)*Impacts!$F$16))</f>
        <v>0</v>
      </c>
      <c r="U2510" s="10">
        <f>IF(VCU!$C$9="",0,(SUMIF(VCU!$B$51:$B$193,$J2510,VCU!$E$51:$E$193)*Impacts!$F$17))</f>
        <v>0</v>
      </c>
      <c r="V2510" s="10">
        <f>IF(CAS!$C$7="",0,(SUMIF(CAS!$B$31:$B$167,$J2510,CAS!$E$31:$E$167)*Impacts!$F$18))</f>
        <v>0</v>
      </c>
      <c r="W2510" s="10">
        <f t="shared" si="79"/>
        <v>0</v>
      </c>
      <c r="AK2510" s="10" t="str">
        <f t="array" ref="AK2510">IFERROR(INDEX(SelectedSpecies,SMALL(IF(SelectedSpecies=AK$1,ROW(SelectedSpecies)),ROW(2511:2511)),2),"")</f>
        <v/>
      </c>
      <c r="BE2510" s="10"/>
      <c r="BI2510" s="10"/>
    </row>
    <row r="2511" spans="1:61" ht="21" customHeight="1" x14ac:dyDescent="0.25">
      <c r="A2511" s="10"/>
      <c r="B2511" s="10"/>
      <c r="E2511" s="10"/>
      <c r="G2511" s="10"/>
      <c r="I2511" s="436" t="s">
        <v>5495</v>
      </c>
      <c r="J2511" s="26" t="s">
        <v>5494</v>
      </c>
      <c r="K2511" s="10">
        <v>1.3</v>
      </c>
      <c r="L2511" s="73">
        <f>IF(Tank1!$C$23="No control",(SUMIF(Tank1!$B$32:$B$49,$J2511,Tank1!$C$32:$C$49)*Impacts!$F$8),0)</f>
        <v>0</v>
      </c>
      <c r="M2511" s="10">
        <f>IF(Tank2!$C$23="No control",(SUMIF(Tank2!$B$32:$B$49,$J2511,Tank2!$C$32:$C$49)*Impacts!$F$9),0)</f>
        <v>0</v>
      </c>
      <c r="N2511" s="10">
        <f>IF(Tank3!$C$23="No control",(SUMIF(Tank3!$B$32:$B$49,$J2511,Tank3!$C$32:$C$49)*Impacts!$F$10),0)</f>
        <v>0</v>
      </c>
      <c r="O2511" s="10">
        <f>IF(Tank4!$C$23="No control",(SUMIF(Tank4!$B$32:$B$49,$J2511,Tank4!$C$32:$C$49)*Impacts!$F$11),0)</f>
        <v>0</v>
      </c>
      <c r="P2511" s="10">
        <f>IF(Tank5!$C$23="No control",(SUMIF(Tank5!$B$32:$B$49,$J2511,Tank5!$C$32:$C$49)*Impacts!$F$12),0)</f>
        <v>0</v>
      </c>
      <c r="Q2511" s="10">
        <f>IFERROR(IF(('Loading-drum,tote'!$C$21)="No control",SUMIF(('Loading-drum,tote'!$B$31:$B$48),$J2511,('Loading-drum,tote'!$D$31:$D$48))*Impacts!$F$13,IF(('Loading-drum,tote'!$C$21)&lt;&gt;"No control",SUMIF(('Loading-drum,tote'!$B$31:$B$48),$J2511,('Loading-drum,tote'!$E$31:$E$48))*Impacts!$F$13,0)),0)</f>
        <v>0</v>
      </c>
      <c r="R2511" s="10">
        <f>IFERROR(IF(('Loading-truck'!$C$21)="No control",SUMIF(('Loading-truck'!$B$31:$B$48),$J2511,('Loading-truck'!$D$31:$D$48))*Impacts!$F$14,IF(('Loading-truck'!$C$21)&lt;&gt;"No control",SUMIF(('Loading-truck'!$B$31:$B$48),$J2511,('Loading-truck'!$E$31:$E$48))*Impacts!$F$14,0)),0)</f>
        <v>0</v>
      </c>
      <c r="S2511" s="10">
        <f>IFERROR(IF(('Loading-rail'!$C$21)="No control",SUMIF(('Loading-rail'!$B$31:$B$48),$J2511,('Loading-rail'!$D$31:$D$48))*Impacts!$F$15,IF(('Loading-rail'!$C$21)&lt;&gt;"No control",SUMIF(('Loading-rail'!$B$31:$B$48),$J2511,('Loading-rail'!$E$31:$E$48))*Impacts!$F$15,0)),0)</f>
        <v>0</v>
      </c>
      <c r="T2511" s="10">
        <f>IF(Flare!$C$7="",0,(SUMIF(Flare!$B$46:$B$185,$J2511,Flare!$E$46:$E$185)*Impacts!$F$16))</f>
        <v>0</v>
      </c>
      <c r="U2511" s="10">
        <f>IF(VCU!$C$9="",0,(SUMIF(VCU!$B$51:$B$193,$J2511,VCU!$E$51:$E$193)*Impacts!$F$17))</f>
        <v>0</v>
      </c>
      <c r="V2511" s="10">
        <f>IF(CAS!$C$7="",0,(SUMIF(CAS!$B$31:$B$167,$J2511,CAS!$E$31:$E$167)*Impacts!$F$18))</f>
        <v>0</v>
      </c>
      <c r="W2511" s="10">
        <f t="shared" si="79"/>
        <v>0</v>
      </c>
      <c r="AK2511" s="10" t="str">
        <f t="array" ref="AK2511">IFERROR(INDEX(SelectedSpecies,SMALL(IF(SelectedSpecies=AK$1,ROW(SelectedSpecies)),ROW(2512:2512)),2),"")</f>
        <v/>
      </c>
      <c r="BE2511" s="10"/>
      <c r="BI2511" s="10"/>
    </row>
    <row r="2512" spans="1:61" ht="21" customHeight="1" x14ac:dyDescent="0.25">
      <c r="A2512" s="10"/>
      <c r="B2512" s="10"/>
      <c r="E2512" s="10"/>
      <c r="G2512" s="10"/>
      <c r="I2512" s="436" t="s">
        <v>4305</v>
      </c>
      <c r="J2512" s="26" t="s">
        <v>4304</v>
      </c>
      <c r="K2512" s="10">
        <v>5</v>
      </c>
      <c r="L2512" s="73">
        <f>IF(Tank1!$C$23="No control",(SUMIF(Tank1!$B$32:$B$49,$J2512,Tank1!$C$32:$C$49)*Impacts!$F$8),0)</f>
        <v>0</v>
      </c>
      <c r="M2512" s="10">
        <f>IF(Tank2!$C$23="No control",(SUMIF(Tank2!$B$32:$B$49,$J2512,Tank2!$C$32:$C$49)*Impacts!$F$9),0)</f>
        <v>0</v>
      </c>
      <c r="N2512" s="10">
        <f>IF(Tank3!$C$23="No control",(SUMIF(Tank3!$B$32:$B$49,$J2512,Tank3!$C$32:$C$49)*Impacts!$F$10),0)</f>
        <v>0</v>
      </c>
      <c r="O2512" s="10">
        <f>IF(Tank4!$C$23="No control",(SUMIF(Tank4!$B$32:$B$49,$J2512,Tank4!$C$32:$C$49)*Impacts!$F$11),0)</f>
        <v>0</v>
      </c>
      <c r="P2512" s="10">
        <f>IF(Tank5!$C$23="No control",(SUMIF(Tank5!$B$32:$B$49,$J2512,Tank5!$C$32:$C$49)*Impacts!$F$12),0)</f>
        <v>0</v>
      </c>
      <c r="Q2512" s="10">
        <f>IFERROR(IF(('Loading-drum,tote'!$C$21)="No control",SUMIF(('Loading-drum,tote'!$B$31:$B$48),$J2512,('Loading-drum,tote'!$D$31:$D$48))*Impacts!$F$13,IF(('Loading-drum,tote'!$C$21)&lt;&gt;"No control",SUMIF(('Loading-drum,tote'!$B$31:$B$48),$J2512,('Loading-drum,tote'!$E$31:$E$48))*Impacts!$F$13,0)),0)</f>
        <v>0</v>
      </c>
      <c r="R2512" s="10">
        <f>IFERROR(IF(('Loading-truck'!$C$21)="No control",SUMIF(('Loading-truck'!$B$31:$B$48),$J2512,('Loading-truck'!$D$31:$D$48))*Impacts!$F$14,IF(('Loading-truck'!$C$21)&lt;&gt;"No control",SUMIF(('Loading-truck'!$B$31:$B$48),$J2512,('Loading-truck'!$E$31:$E$48))*Impacts!$F$14,0)),0)</f>
        <v>0</v>
      </c>
      <c r="S2512" s="10">
        <f>IFERROR(IF(('Loading-rail'!$C$21)="No control",SUMIF(('Loading-rail'!$B$31:$B$48),$J2512,('Loading-rail'!$D$31:$D$48))*Impacts!$F$15,IF(('Loading-rail'!$C$21)&lt;&gt;"No control",SUMIF(('Loading-rail'!$B$31:$B$48),$J2512,('Loading-rail'!$E$31:$E$48))*Impacts!$F$15,0)),0)</f>
        <v>0</v>
      </c>
      <c r="T2512" s="10">
        <f>IF(Flare!$C$7="",0,(SUMIF(Flare!$B$46:$B$185,$J2512,Flare!$E$46:$E$185)*Impacts!$F$16))</f>
        <v>0</v>
      </c>
      <c r="U2512" s="10">
        <f>IF(VCU!$C$9="",0,(SUMIF(VCU!$B$51:$B$193,$J2512,VCU!$E$51:$E$193)*Impacts!$F$17))</f>
        <v>0</v>
      </c>
      <c r="V2512" s="10">
        <f>IF(CAS!$C$7="",0,(SUMIF(CAS!$B$31:$B$167,$J2512,CAS!$E$31:$E$167)*Impacts!$F$18))</f>
        <v>0</v>
      </c>
      <c r="W2512" s="10">
        <f t="shared" si="79"/>
        <v>0</v>
      </c>
      <c r="AK2512" s="10" t="str">
        <f t="array" ref="AK2512">IFERROR(INDEX(SelectedSpecies,SMALL(IF(SelectedSpecies=AK$1,ROW(SelectedSpecies)),ROW(2513:2513)),2),"")</f>
        <v/>
      </c>
      <c r="BE2512" s="10"/>
      <c r="BI2512" s="10"/>
    </row>
    <row r="2513" spans="1:61" ht="21" customHeight="1" x14ac:dyDescent="0.25">
      <c r="A2513" s="10"/>
      <c r="B2513" s="10"/>
      <c r="E2513" s="10"/>
      <c r="G2513" s="10"/>
      <c r="I2513" s="436" t="s">
        <v>6256</v>
      </c>
      <c r="J2513" s="26" t="s">
        <v>6255</v>
      </c>
      <c r="K2513" s="10">
        <v>0.9900000000000001</v>
      </c>
      <c r="L2513" s="73">
        <f>IF(Tank1!$C$23="No control",(SUMIF(Tank1!$B$32:$B$49,$J2513,Tank1!$C$32:$C$49)*Impacts!$F$8),0)</f>
        <v>0</v>
      </c>
      <c r="M2513" s="10">
        <f>IF(Tank2!$C$23="No control",(SUMIF(Tank2!$B$32:$B$49,$J2513,Tank2!$C$32:$C$49)*Impacts!$F$9),0)</f>
        <v>0</v>
      </c>
      <c r="N2513" s="10">
        <f>IF(Tank3!$C$23="No control",(SUMIF(Tank3!$B$32:$B$49,$J2513,Tank3!$C$32:$C$49)*Impacts!$F$10),0)</f>
        <v>0</v>
      </c>
      <c r="O2513" s="10">
        <f>IF(Tank4!$C$23="No control",(SUMIF(Tank4!$B$32:$B$49,$J2513,Tank4!$C$32:$C$49)*Impacts!$F$11),0)</f>
        <v>0</v>
      </c>
      <c r="P2513" s="10">
        <f>IF(Tank5!$C$23="No control",(SUMIF(Tank5!$B$32:$B$49,$J2513,Tank5!$C$32:$C$49)*Impacts!$F$12),0)</f>
        <v>0</v>
      </c>
      <c r="Q2513" s="10">
        <f>IFERROR(IF(('Loading-drum,tote'!$C$21)="No control",SUMIF(('Loading-drum,tote'!$B$31:$B$48),$J2513,('Loading-drum,tote'!$D$31:$D$48))*Impacts!$F$13,IF(('Loading-drum,tote'!$C$21)&lt;&gt;"No control",SUMIF(('Loading-drum,tote'!$B$31:$B$48),$J2513,('Loading-drum,tote'!$E$31:$E$48))*Impacts!$F$13,0)),0)</f>
        <v>0</v>
      </c>
      <c r="R2513" s="10">
        <f>IFERROR(IF(('Loading-truck'!$C$21)="No control",SUMIF(('Loading-truck'!$B$31:$B$48),$J2513,('Loading-truck'!$D$31:$D$48))*Impacts!$F$14,IF(('Loading-truck'!$C$21)&lt;&gt;"No control",SUMIF(('Loading-truck'!$B$31:$B$48),$J2513,('Loading-truck'!$E$31:$E$48))*Impacts!$F$14,0)),0)</f>
        <v>0</v>
      </c>
      <c r="S2513" s="10">
        <f>IFERROR(IF(('Loading-rail'!$C$21)="No control",SUMIF(('Loading-rail'!$B$31:$B$48),$J2513,('Loading-rail'!$D$31:$D$48))*Impacts!$F$15,IF(('Loading-rail'!$C$21)&lt;&gt;"No control",SUMIF(('Loading-rail'!$B$31:$B$48),$J2513,('Loading-rail'!$E$31:$E$48))*Impacts!$F$15,0)),0)</f>
        <v>0</v>
      </c>
      <c r="T2513" s="10">
        <f>IF(Flare!$C$7="",0,(SUMIF(Flare!$B$46:$B$185,$J2513,Flare!$E$46:$E$185)*Impacts!$F$16))</f>
        <v>0</v>
      </c>
      <c r="U2513" s="10">
        <f>IF(VCU!$C$9="",0,(SUMIF(VCU!$B$51:$B$193,$J2513,VCU!$E$51:$E$193)*Impacts!$F$17))</f>
        <v>0</v>
      </c>
      <c r="V2513" s="10">
        <f>IF(CAS!$C$7="",0,(SUMIF(CAS!$B$31:$B$167,$J2513,CAS!$E$31:$E$167)*Impacts!$F$18))</f>
        <v>0</v>
      </c>
      <c r="W2513" s="10">
        <f t="shared" si="79"/>
        <v>0</v>
      </c>
      <c r="AK2513" s="10" t="str">
        <f t="array" ref="AK2513">IFERROR(INDEX(SelectedSpecies,SMALL(IF(SelectedSpecies=AK$1,ROW(SelectedSpecies)),ROW(2514:2514)),2),"")</f>
        <v/>
      </c>
      <c r="BE2513" s="10"/>
      <c r="BI2513" s="10"/>
    </row>
    <row r="2514" spans="1:61" ht="21" customHeight="1" x14ac:dyDescent="0.25">
      <c r="A2514" s="10"/>
      <c r="B2514" s="10"/>
      <c r="E2514" s="10"/>
      <c r="G2514" s="10"/>
      <c r="I2514" s="436" t="s">
        <v>4077</v>
      </c>
      <c r="J2514" s="26" t="s">
        <v>4076</v>
      </c>
      <c r="K2514" s="10">
        <v>5.7</v>
      </c>
      <c r="L2514" s="73">
        <f>IF(Tank1!$C$23="No control",(SUMIF(Tank1!$B$32:$B$49,$J2514,Tank1!$C$32:$C$49)*Impacts!$F$8),0)</f>
        <v>0</v>
      </c>
      <c r="M2514" s="10">
        <f>IF(Tank2!$C$23="No control",(SUMIF(Tank2!$B$32:$B$49,$J2514,Tank2!$C$32:$C$49)*Impacts!$F$9),0)</f>
        <v>0</v>
      </c>
      <c r="N2514" s="10">
        <f>IF(Tank3!$C$23="No control",(SUMIF(Tank3!$B$32:$B$49,$J2514,Tank3!$C$32:$C$49)*Impacts!$F$10),0)</f>
        <v>0</v>
      </c>
      <c r="O2514" s="10">
        <f>IF(Tank4!$C$23="No control",(SUMIF(Tank4!$B$32:$B$49,$J2514,Tank4!$C$32:$C$49)*Impacts!$F$11),0)</f>
        <v>0</v>
      </c>
      <c r="P2514" s="10">
        <f>IF(Tank5!$C$23="No control",(SUMIF(Tank5!$B$32:$B$49,$J2514,Tank5!$C$32:$C$49)*Impacts!$F$12),0)</f>
        <v>0</v>
      </c>
      <c r="Q2514" s="10">
        <f>IFERROR(IF(('Loading-drum,tote'!$C$21)="No control",SUMIF(('Loading-drum,tote'!$B$31:$B$48),$J2514,('Loading-drum,tote'!$D$31:$D$48))*Impacts!$F$13,IF(('Loading-drum,tote'!$C$21)&lt;&gt;"No control",SUMIF(('Loading-drum,tote'!$B$31:$B$48),$J2514,('Loading-drum,tote'!$E$31:$E$48))*Impacts!$F$13,0)),0)</f>
        <v>0</v>
      </c>
      <c r="R2514" s="10">
        <f>IFERROR(IF(('Loading-truck'!$C$21)="No control",SUMIF(('Loading-truck'!$B$31:$B$48),$J2514,('Loading-truck'!$D$31:$D$48))*Impacts!$F$14,IF(('Loading-truck'!$C$21)&lt;&gt;"No control",SUMIF(('Loading-truck'!$B$31:$B$48),$J2514,('Loading-truck'!$E$31:$E$48))*Impacts!$F$14,0)),0)</f>
        <v>0</v>
      </c>
      <c r="S2514" s="10">
        <f>IFERROR(IF(('Loading-rail'!$C$21)="No control",SUMIF(('Loading-rail'!$B$31:$B$48),$J2514,('Loading-rail'!$D$31:$D$48))*Impacts!$F$15,IF(('Loading-rail'!$C$21)&lt;&gt;"No control",SUMIF(('Loading-rail'!$B$31:$B$48),$J2514,('Loading-rail'!$E$31:$E$48))*Impacts!$F$15,0)),0)</f>
        <v>0</v>
      </c>
      <c r="T2514" s="10">
        <f>IF(Flare!$C$7="",0,(SUMIF(Flare!$B$46:$B$185,$J2514,Flare!$E$46:$E$185)*Impacts!$F$16))</f>
        <v>0</v>
      </c>
      <c r="U2514" s="10">
        <f>IF(VCU!$C$9="",0,(SUMIF(VCU!$B$51:$B$193,$J2514,VCU!$E$51:$E$193)*Impacts!$F$17))</f>
        <v>0</v>
      </c>
      <c r="V2514" s="10">
        <f>IF(CAS!$C$7="",0,(SUMIF(CAS!$B$31:$B$167,$J2514,CAS!$E$31:$E$167)*Impacts!$F$18))</f>
        <v>0</v>
      </c>
      <c r="W2514" s="10">
        <f t="shared" si="79"/>
        <v>0</v>
      </c>
      <c r="AK2514" s="10" t="str">
        <f t="array" ref="AK2514">IFERROR(INDEX(SelectedSpecies,SMALL(IF(SelectedSpecies=AK$1,ROW(SelectedSpecies)),ROW(2515:2515)),2),"")</f>
        <v/>
      </c>
      <c r="BE2514" s="10"/>
      <c r="BI2514" s="10"/>
    </row>
    <row r="2515" spans="1:61" ht="21" customHeight="1" x14ac:dyDescent="0.25">
      <c r="A2515" s="10"/>
      <c r="B2515" s="10"/>
      <c r="E2515" s="10"/>
      <c r="G2515" s="10"/>
      <c r="I2515" s="436" t="s">
        <v>4503</v>
      </c>
      <c r="J2515" s="26" t="s">
        <v>4502</v>
      </c>
      <c r="K2515" s="10">
        <v>4.2</v>
      </c>
      <c r="L2515" s="73">
        <f>IF(Tank1!$C$23="No control",(SUMIF(Tank1!$B$32:$B$49,$J2515,Tank1!$C$32:$C$49)*Impacts!$F$8),0)</f>
        <v>0</v>
      </c>
      <c r="M2515" s="10">
        <f>IF(Tank2!$C$23="No control",(SUMIF(Tank2!$B$32:$B$49,$J2515,Tank2!$C$32:$C$49)*Impacts!$F$9),0)</f>
        <v>0</v>
      </c>
      <c r="N2515" s="10">
        <f>IF(Tank3!$C$23="No control",(SUMIF(Tank3!$B$32:$B$49,$J2515,Tank3!$C$32:$C$49)*Impacts!$F$10),0)</f>
        <v>0</v>
      </c>
      <c r="O2515" s="10">
        <f>IF(Tank4!$C$23="No control",(SUMIF(Tank4!$B$32:$B$49,$J2515,Tank4!$C$32:$C$49)*Impacts!$F$11),0)</f>
        <v>0</v>
      </c>
      <c r="P2515" s="10">
        <f>IF(Tank5!$C$23="No control",(SUMIF(Tank5!$B$32:$B$49,$J2515,Tank5!$C$32:$C$49)*Impacts!$F$12),0)</f>
        <v>0</v>
      </c>
      <c r="Q2515" s="10">
        <f>IFERROR(IF(('Loading-drum,tote'!$C$21)="No control",SUMIF(('Loading-drum,tote'!$B$31:$B$48),$J2515,('Loading-drum,tote'!$D$31:$D$48))*Impacts!$F$13,IF(('Loading-drum,tote'!$C$21)&lt;&gt;"No control",SUMIF(('Loading-drum,tote'!$B$31:$B$48),$J2515,('Loading-drum,tote'!$E$31:$E$48))*Impacts!$F$13,0)),0)</f>
        <v>0</v>
      </c>
      <c r="R2515" s="10">
        <f>IFERROR(IF(('Loading-truck'!$C$21)="No control",SUMIF(('Loading-truck'!$B$31:$B$48),$J2515,('Loading-truck'!$D$31:$D$48))*Impacts!$F$14,IF(('Loading-truck'!$C$21)&lt;&gt;"No control",SUMIF(('Loading-truck'!$B$31:$B$48),$J2515,('Loading-truck'!$E$31:$E$48))*Impacts!$F$14,0)),0)</f>
        <v>0</v>
      </c>
      <c r="S2515" s="10">
        <f>IFERROR(IF(('Loading-rail'!$C$21)="No control",SUMIF(('Loading-rail'!$B$31:$B$48),$J2515,('Loading-rail'!$D$31:$D$48))*Impacts!$F$15,IF(('Loading-rail'!$C$21)&lt;&gt;"No control",SUMIF(('Loading-rail'!$B$31:$B$48),$J2515,('Loading-rail'!$E$31:$E$48))*Impacts!$F$15,0)),0)</f>
        <v>0</v>
      </c>
      <c r="T2515" s="10">
        <f>IF(Flare!$C$7="",0,(SUMIF(Flare!$B$46:$B$185,$J2515,Flare!$E$46:$E$185)*Impacts!$F$16))</f>
        <v>0</v>
      </c>
      <c r="U2515" s="10">
        <f>IF(VCU!$C$9="",0,(SUMIF(VCU!$B$51:$B$193,$J2515,VCU!$E$51:$E$193)*Impacts!$F$17))</f>
        <v>0</v>
      </c>
      <c r="V2515" s="10">
        <f>IF(CAS!$C$7="",0,(SUMIF(CAS!$B$31:$B$167,$J2515,CAS!$E$31:$E$167)*Impacts!$F$18))</f>
        <v>0</v>
      </c>
      <c r="W2515" s="10">
        <f t="shared" si="79"/>
        <v>0</v>
      </c>
      <c r="AK2515" s="10" t="str">
        <f t="array" ref="AK2515">IFERROR(INDEX(SelectedSpecies,SMALL(IF(SelectedSpecies=AK$1,ROW(SelectedSpecies)),ROW(2516:2516)),2),"")</f>
        <v/>
      </c>
      <c r="BE2515" s="10"/>
      <c r="BI2515" s="10"/>
    </row>
    <row r="2516" spans="1:61" ht="21" customHeight="1" x14ac:dyDescent="0.25">
      <c r="A2516" s="10"/>
      <c r="B2516" s="10"/>
      <c r="E2516" s="10"/>
      <c r="G2516" s="10"/>
      <c r="I2516" s="436" t="s">
        <v>5990</v>
      </c>
      <c r="J2516" s="26" t="s">
        <v>5989</v>
      </c>
      <c r="K2516" s="10">
        <v>1</v>
      </c>
      <c r="L2516" s="73">
        <f>IF(Tank1!$C$23="No control",(SUMIF(Tank1!$B$32:$B$49,$J2516,Tank1!$C$32:$C$49)*Impacts!$F$8),0)</f>
        <v>0</v>
      </c>
      <c r="M2516" s="10">
        <f>IF(Tank2!$C$23="No control",(SUMIF(Tank2!$B$32:$B$49,$J2516,Tank2!$C$32:$C$49)*Impacts!$F$9),0)</f>
        <v>0</v>
      </c>
      <c r="N2516" s="10">
        <f>IF(Tank3!$C$23="No control",(SUMIF(Tank3!$B$32:$B$49,$J2516,Tank3!$C$32:$C$49)*Impacts!$F$10),0)</f>
        <v>0</v>
      </c>
      <c r="O2516" s="10">
        <f>IF(Tank4!$C$23="No control",(SUMIF(Tank4!$B$32:$B$49,$J2516,Tank4!$C$32:$C$49)*Impacts!$F$11),0)</f>
        <v>0</v>
      </c>
      <c r="P2516" s="10">
        <f>IF(Tank5!$C$23="No control",(SUMIF(Tank5!$B$32:$B$49,$J2516,Tank5!$C$32:$C$49)*Impacts!$F$12),0)</f>
        <v>0</v>
      </c>
      <c r="Q2516" s="10">
        <f>IFERROR(IF(('Loading-drum,tote'!$C$21)="No control",SUMIF(('Loading-drum,tote'!$B$31:$B$48),$J2516,('Loading-drum,tote'!$D$31:$D$48))*Impacts!$F$13,IF(('Loading-drum,tote'!$C$21)&lt;&gt;"No control",SUMIF(('Loading-drum,tote'!$B$31:$B$48),$J2516,('Loading-drum,tote'!$E$31:$E$48))*Impacts!$F$13,0)),0)</f>
        <v>0</v>
      </c>
      <c r="R2516" s="10">
        <f>IFERROR(IF(('Loading-truck'!$C$21)="No control",SUMIF(('Loading-truck'!$B$31:$B$48),$J2516,('Loading-truck'!$D$31:$D$48))*Impacts!$F$14,IF(('Loading-truck'!$C$21)&lt;&gt;"No control",SUMIF(('Loading-truck'!$B$31:$B$48),$J2516,('Loading-truck'!$E$31:$E$48))*Impacts!$F$14,0)),0)</f>
        <v>0</v>
      </c>
      <c r="S2516" s="10">
        <f>IFERROR(IF(('Loading-rail'!$C$21)="No control",SUMIF(('Loading-rail'!$B$31:$B$48),$J2516,('Loading-rail'!$D$31:$D$48))*Impacts!$F$15,IF(('Loading-rail'!$C$21)&lt;&gt;"No control",SUMIF(('Loading-rail'!$B$31:$B$48),$J2516,('Loading-rail'!$E$31:$E$48))*Impacts!$F$15,0)),0)</f>
        <v>0</v>
      </c>
      <c r="T2516" s="10">
        <f>IF(Flare!$C$7="",0,(SUMIF(Flare!$B$46:$B$185,$J2516,Flare!$E$46:$E$185)*Impacts!$F$16))</f>
        <v>0</v>
      </c>
      <c r="U2516" s="10">
        <f>IF(VCU!$C$9="",0,(SUMIF(VCU!$B$51:$B$193,$J2516,VCU!$E$51:$E$193)*Impacts!$F$17))</f>
        <v>0</v>
      </c>
      <c r="V2516" s="10">
        <f>IF(CAS!$C$7="",0,(SUMIF(CAS!$B$31:$B$167,$J2516,CAS!$E$31:$E$167)*Impacts!$F$18))</f>
        <v>0</v>
      </c>
      <c r="W2516" s="10">
        <f t="shared" si="79"/>
        <v>0</v>
      </c>
      <c r="AK2516" s="10" t="str">
        <f t="array" ref="AK2516">IFERROR(INDEX(SelectedSpecies,SMALL(IF(SelectedSpecies=AK$1,ROW(SelectedSpecies)),ROW(2517:2517)),2),"")</f>
        <v/>
      </c>
      <c r="BE2516" s="10"/>
      <c r="BI2516" s="10"/>
    </row>
    <row r="2517" spans="1:61" ht="21" customHeight="1" x14ac:dyDescent="0.25">
      <c r="A2517" s="10"/>
      <c r="B2517" s="10"/>
      <c r="E2517" s="10"/>
      <c r="G2517" s="10"/>
      <c r="I2517" s="436" t="s">
        <v>2959</v>
      </c>
      <c r="J2517" s="26" t="s">
        <v>2958</v>
      </c>
      <c r="K2517" s="10">
        <v>10</v>
      </c>
      <c r="L2517" s="73">
        <f>IF(Tank1!$C$23="No control",(SUMIF(Tank1!$B$32:$B$49,$J2517,Tank1!$C$32:$C$49)*Impacts!$F$8),0)</f>
        <v>0</v>
      </c>
      <c r="M2517" s="10">
        <f>IF(Tank2!$C$23="No control",(SUMIF(Tank2!$B$32:$B$49,$J2517,Tank2!$C$32:$C$49)*Impacts!$F$9),0)</f>
        <v>0</v>
      </c>
      <c r="N2517" s="10">
        <f>IF(Tank3!$C$23="No control",(SUMIF(Tank3!$B$32:$B$49,$J2517,Tank3!$C$32:$C$49)*Impacts!$F$10),0)</f>
        <v>0</v>
      </c>
      <c r="O2517" s="10">
        <f>IF(Tank4!$C$23="No control",(SUMIF(Tank4!$B$32:$B$49,$J2517,Tank4!$C$32:$C$49)*Impacts!$F$11),0)</f>
        <v>0</v>
      </c>
      <c r="P2517" s="10">
        <f>IF(Tank5!$C$23="No control",(SUMIF(Tank5!$B$32:$B$49,$J2517,Tank5!$C$32:$C$49)*Impacts!$F$12),0)</f>
        <v>0</v>
      </c>
      <c r="Q2517" s="10">
        <f>IFERROR(IF(('Loading-drum,tote'!$C$21)="No control",SUMIF(('Loading-drum,tote'!$B$31:$B$48),$J2517,('Loading-drum,tote'!$D$31:$D$48))*Impacts!$F$13,IF(('Loading-drum,tote'!$C$21)&lt;&gt;"No control",SUMIF(('Loading-drum,tote'!$B$31:$B$48),$J2517,('Loading-drum,tote'!$E$31:$E$48))*Impacts!$F$13,0)),0)</f>
        <v>0</v>
      </c>
      <c r="R2517" s="10">
        <f>IFERROR(IF(('Loading-truck'!$C$21)="No control",SUMIF(('Loading-truck'!$B$31:$B$48),$J2517,('Loading-truck'!$D$31:$D$48))*Impacts!$F$14,IF(('Loading-truck'!$C$21)&lt;&gt;"No control",SUMIF(('Loading-truck'!$B$31:$B$48),$J2517,('Loading-truck'!$E$31:$E$48))*Impacts!$F$14,0)),0)</f>
        <v>0</v>
      </c>
      <c r="S2517" s="10">
        <f>IFERROR(IF(('Loading-rail'!$C$21)="No control",SUMIF(('Loading-rail'!$B$31:$B$48),$J2517,('Loading-rail'!$D$31:$D$48))*Impacts!$F$15,IF(('Loading-rail'!$C$21)&lt;&gt;"No control",SUMIF(('Loading-rail'!$B$31:$B$48),$J2517,('Loading-rail'!$E$31:$E$48))*Impacts!$F$15,0)),0)</f>
        <v>0</v>
      </c>
      <c r="T2517" s="10">
        <f>IF(Flare!$C$7="",0,(SUMIF(Flare!$B$46:$B$185,$J2517,Flare!$E$46:$E$185)*Impacts!$F$16))</f>
        <v>0</v>
      </c>
      <c r="U2517" s="10">
        <f>IF(VCU!$C$9="",0,(SUMIF(VCU!$B$51:$B$193,$J2517,VCU!$E$51:$E$193)*Impacts!$F$17))</f>
        <v>0</v>
      </c>
      <c r="V2517" s="10">
        <f>IF(CAS!$C$7="",0,(SUMIF(CAS!$B$31:$B$167,$J2517,CAS!$E$31:$E$167)*Impacts!$F$18))</f>
        <v>0</v>
      </c>
      <c r="W2517" s="10">
        <f t="shared" si="79"/>
        <v>0</v>
      </c>
      <c r="AK2517" s="10" t="str">
        <f t="array" ref="AK2517">IFERROR(INDEX(SelectedSpecies,SMALL(IF(SelectedSpecies=AK$1,ROW(SelectedSpecies)),ROW(2518:2518)),2),"")</f>
        <v/>
      </c>
      <c r="BE2517" s="10"/>
      <c r="BI2517" s="10"/>
    </row>
    <row r="2518" spans="1:61" ht="21" customHeight="1" x14ac:dyDescent="0.25">
      <c r="A2518" s="10"/>
      <c r="B2518" s="10"/>
      <c r="E2518" s="10"/>
      <c r="G2518" s="10"/>
      <c r="I2518" s="436" t="s">
        <v>1464</v>
      </c>
      <c r="J2518" s="26" t="s">
        <v>1463</v>
      </c>
      <c r="K2518" s="10">
        <v>30</v>
      </c>
      <c r="L2518" s="73">
        <f>IF(Tank1!$C$23="No control",(SUMIF(Tank1!$B$32:$B$49,$J2518,Tank1!$C$32:$C$49)*Impacts!$F$8),0)</f>
        <v>0</v>
      </c>
      <c r="M2518" s="10">
        <f>IF(Tank2!$C$23="No control",(SUMIF(Tank2!$B$32:$B$49,$J2518,Tank2!$C$32:$C$49)*Impacts!$F$9),0)</f>
        <v>0</v>
      </c>
      <c r="N2518" s="10">
        <f>IF(Tank3!$C$23="No control",(SUMIF(Tank3!$B$32:$B$49,$J2518,Tank3!$C$32:$C$49)*Impacts!$F$10),0)</f>
        <v>0</v>
      </c>
      <c r="O2518" s="10">
        <f>IF(Tank4!$C$23="No control",(SUMIF(Tank4!$B$32:$B$49,$J2518,Tank4!$C$32:$C$49)*Impacts!$F$11),0)</f>
        <v>0</v>
      </c>
      <c r="P2518" s="10">
        <f>IF(Tank5!$C$23="No control",(SUMIF(Tank5!$B$32:$B$49,$J2518,Tank5!$C$32:$C$49)*Impacts!$F$12),0)</f>
        <v>0</v>
      </c>
      <c r="Q2518" s="10">
        <f>IFERROR(IF(('Loading-drum,tote'!$C$21)="No control",SUMIF(('Loading-drum,tote'!$B$31:$B$48),$J2518,('Loading-drum,tote'!$D$31:$D$48))*Impacts!$F$13,IF(('Loading-drum,tote'!$C$21)&lt;&gt;"No control",SUMIF(('Loading-drum,tote'!$B$31:$B$48),$J2518,('Loading-drum,tote'!$E$31:$E$48))*Impacts!$F$13,0)),0)</f>
        <v>0</v>
      </c>
      <c r="R2518" s="10">
        <f>IFERROR(IF(('Loading-truck'!$C$21)="No control",SUMIF(('Loading-truck'!$B$31:$B$48),$J2518,('Loading-truck'!$D$31:$D$48))*Impacts!$F$14,IF(('Loading-truck'!$C$21)&lt;&gt;"No control",SUMIF(('Loading-truck'!$B$31:$B$48),$J2518,('Loading-truck'!$E$31:$E$48))*Impacts!$F$14,0)),0)</f>
        <v>0</v>
      </c>
      <c r="S2518" s="10">
        <f>IFERROR(IF(('Loading-rail'!$C$21)="No control",SUMIF(('Loading-rail'!$B$31:$B$48),$J2518,('Loading-rail'!$D$31:$D$48))*Impacts!$F$15,IF(('Loading-rail'!$C$21)&lt;&gt;"No control",SUMIF(('Loading-rail'!$B$31:$B$48),$J2518,('Loading-rail'!$E$31:$E$48))*Impacts!$F$15,0)),0)</f>
        <v>0</v>
      </c>
      <c r="T2518" s="10">
        <f>IF(Flare!$C$7="",0,(SUMIF(Flare!$B$46:$B$185,$J2518,Flare!$E$46:$E$185)*Impacts!$F$16))</f>
        <v>0</v>
      </c>
      <c r="U2518" s="10">
        <f>IF(VCU!$C$9="",0,(SUMIF(VCU!$B$51:$B$193,$J2518,VCU!$E$51:$E$193)*Impacts!$F$17))</f>
        <v>0</v>
      </c>
      <c r="V2518" s="10">
        <f>IF(CAS!$C$7="",0,(SUMIF(CAS!$B$31:$B$167,$J2518,CAS!$E$31:$E$167)*Impacts!$F$18))</f>
        <v>0</v>
      </c>
      <c r="W2518" s="10">
        <f t="shared" si="79"/>
        <v>0</v>
      </c>
      <c r="AK2518" s="10" t="str">
        <f t="array" ref="AK2518">IFERROR(INDEX(SelectedSpecies,SMALL(IF(SelectedSpecies=AK$1,ROW(SelectedSpecies)),ROW(2519:2519)),2),"")</f>
        <v/>
      </c>
      <c r="BE2518" s="10"/>
      <c r="BI2518" s="10"/>
    </row>
    <row r="2519" spans="1:61" ht="21" customHeight="1" x14ac:dyDescent="0.25">
      <c r="A2519" s="10"/>
      <c r="B2519" s="10"/>
      <c r="E2519" s="10"/>
      <c r="G2519" s="10"/>
      <c r="I2519" s="436" t="s">
        <v>2529</v>
      </c>
      <c r="J2519" s="26" t="s">
        <v>2528</v>
      </c>
      <c r="K2519" s="10">
        <v>10</v>
      </c>
      <c r="L2519" s="73">
        <f>IF(Tank1!$C$23="No control",(SUMIF(Tank1!$B$32:$B$49,$J2519,Tank1!$C$32:$C$49)*Impacts!$F$8),0)</f>
        <v>0</v>
      </c>
      <c r="M2519" s="10">
        <f>IF(Tank2!$C$23="No control",(SUMIF(Tank2!$B$32:$B$49,$J2519,Tank2!$C$32:$C$49)*Impacts!$F$9),0)</f>
        <v>0</v>
      </c>
      <c r="N2519" s="10">
        <f>IF(Tank3!$C$23="No control",(SUMIF(Tank3!$B$32:$B$49,$J2519,Tank3!$C$32:$C$49)*Impacts!$F$10),0)</f>
        <v>0</v>
      </c>
      <c r="O2519" s="10">
        <f>IF(Tank4!$C$23="No control",(SUMIF(Tank4!$B$32:$B$49,$J2519,Tank4!$C$32:$C$49)*Impacts!$F$11),0)</f>
        <v>0</v>
      </c>
      <c r="P2519" s="10">
        <f>IF(Tank5!$C$23="No control",(SUMIF(Tank5!$B$32:$B$49,$J2519,Tank5!$C$32:$C$49)*Impacts!$F$12),0)</f>
        <v>0</v>
      </c>
      <c r="Q2519" s="10">
        <f>IFERROR(IF(('Loading-drum,tote'!$C$21)="No control",SUMIF(('Loading-drum,tote'!$B$31:$B$48),$J2519,('Loading-drum,tote'!$D$31:$D$48))*Impacts!$F$13,IF(('Loading-drum,tote'!$C$21)&lt;&gt;"No control",SUMIF(('Loading-drum,tote'!$B$31:$B$48),$J2519,('Loading-drum,tote'!$E$31:$E$48))*Impacts!$F$13,0)),0)</f>
        <v>0</v>
      </c>
      <c r="R2519" s="10">
        <f>IFERROR(IF(('Loading-truck'!$C$21)="No control",SUMIF(('Loading-truck'!$B$31:$B$48),$J2519,('Loading-truck'!$D$31:$D$48))*Impacts!$F$14,IF(('Loading-truck'!$C$21)&lt;&gt;"No control",SUMIF(('Loading-truck'!$B$31:$B$48),$J2519,('Loading-truck'!$E$31:$E$48))*Impacts!$F$14,0)),0)</f>
        <v>0</v>
      </c>
      <c r="S2519" s="10">
        <f>IFERROR(IF(('Loading-rail'!$C$21)="No control",SUMIF(('Loading-rail'!$B$31:$B$48),$J2519,('Loading-rail'!$D$31:$D$48))*Impacts!$F$15,IF(('Loading-rail'!$C$21)&lt;&gt;"No control",SUMIF(('Loading-rail'!$B$31:$B$48),$J2519,('Loading-rail'!$E$31:$E$48))*Impacts!$F$15,0)),0)</f>
        <v>0</v>
      </c>
      <c r="T2519" s="10">
        <f>IF(Flare!$C$7="",0,(SUMIF(Flare!$B$46:$B$185,$J2519,Flare!$E$46:$E$185)*Impacts!$F$16))</f>
        <v>0</v>
      </c>
      <c r="U2519" s="10">
        <f>IF(VCU!$C$9="",0,(SUMIF(VCU!$B$51:$B$193,$J2519,VCU!$E$51:$E$193)*Impacts!$F$17))</f>
        <v>0</v>
      </c>
      <c r="V2519" s="10">
        <f>IF(CAS!$C$7="",0,(SUMIF(CAS!$B$31:$B$167,$J2519,CAS!$E$31:$E$167)*Impacts!$F$18))</f>
        <v>0</v>
      </c>
      <c r="W2519" s="10">
        <f t="shared" si="79"/>
        <v>0</v>
      </c>
      <c r="AK2519" s="10" t="str">
        <f t="array" ref="AK2519">IFERROR(INDEX(SelectedSpecies,SMALL(IF(SelectedSpecies=AK$1,ROW(SelectedSpecies)),ROW(2520:2520)),2),"")</f>
        <v/>
      </c>
      <c r="BE2519" s="10"/>
      <c r="BI2519" s="10"/>
    </row>
    <row r="2520" spans="1:61" ht="21" customHeight="1" x14ac:dyDescent="0.25">
      <c r="A2520" s="10"/>
      <c r="B2520" s="10"/>
      <c r="E2520" s="10"/>
      <c r="G2520" s="10"/>
      <c r="I2520" s="436" t="s">
        <v>405</v>
      </c>
      <c r="J2520" s="26" t="s">
        <v>404</v>
      </c>
      <c r="K2520" s="10">
        <v>270</v>
      </c>
      <c r="L2520" s="73">
        <f>IF(Tank1!$C$23="No control",(SUMIF(Tank1!$B$32:$B$49,$J2520,Tank1!$C$32:$C$49)*Impacts!$F$8),0)</f>
        <v>0</v>
      </c>
      <c r="M2520" s="10">
        <f>IF(Tank2!$C$23="No control",(SUMIF(Tank2!$B$32:$B$49,$J2520,Tank2!$C$32:$C$49)*Impacts!$F$9),0)</f>
        <v>0</v>
      </c>
      <c r="N2520" s="10">
        <f>IF(Tank3!$C$23="No control",(SUMIF(Tank3!$B$32:$B$49,$J2520,Tank3!$C$32:$C$49)*Impacts!$F$10),0)</f>
        <v>0</v>
      </c>
      <c r="O2520" s="10">
        <f>IF(Tank4!$C$23="No control",(SUMIF(Tank4!$B$32:$B$49,$J2520,Tank4!$C$32:$C$49)*Impacts!$F$11),0)</f>
        <v>0</v>
      </c>
      <c r="P2520" s="10">
        <f>IF(Tank5!$C$23="No control",(SUMIF(Tank5!$B$32:$B$49,$J2520,Tank5!$C$32:$C$49)*Impacts!$F$12),0)</f>
        <v>0</v>
      </c>
      <c r="Q2520" s="10">
        <f>IFERROR(IF(('Loading-drum,tote'!$C$21)="No control",SUMIF(('Loading-drum,tote'!$B$31:$B$48),$J2520,('Loading-drum,tote'!$D$31:$D$48))*Impacts!$F$13,IF(('Loading-drum,tote'!$C$21)&lt;&gt;"No control",SUMIF(('Loading-drum,tote'!$B$31:$B$48),$J2520,('Loading-drum,tote'!$E$31:$E$48))*Impacts!$F$13,0)),0)</f>
        <v>0</v>
      </c>
      <c r="R2520" s="10">
        <f>IFERROR(IF(('Loading-truck'!$C$21)="No control",SUMIF(('Loading-truck'!$B$31:$B$48),$J2520,('Loading-truck'!$D$31:$D$48))*Impacts!$F$14,IF(('Loading-truck'!$C$21)&lt;&gt;"No control",SUMIF(('Loading-truck'!$B$31:$B$48),$J2520,('Loading-truck'!$E$31:$E$48))*Impacts!$F$14,0)),0)</f>
        <v>0</v>
      </c>
      <c r="S2520" s="10">
        <f>IFERROR(IF(('Loading-rail'!$C$21)="No control",SUMIF(('Loading-rail'!$B$31:$B$48),$J2520,('Loading-rail'!$D$31:$D$48))*Impacts!$F$15,IF(('Loading-rail'!$C$21)&lt;&gt;"No control",SUMIF(('Loading-rail'!$B$31:$B$48),$J2520,('Loading-rail'!$E$31:$E$48))*Impacts!$F$15,0)),0)</f>
        <v>0</v>
      </c>
      <c r="T2520" s="10">
        <f>IF(Flare!$C$7="",0,(SUMIF(Flare!$B$46:$B$185,$J2520,Flare!$E$46:$E$185)*Impacts!$F$16))</f>
        <v>0</v>
      </c>
      <c r="U2520" s="10">
        <f>IF(VCU!$C$9="",0,(SUMIF(VCU!$B$51:$B$193,$J2520,VCU!$E$51:$E$193)*Impacts!$F$17))</f>
        <v>0</v>
      </c>
      <c r="V2520" s="10">
        <f>IF(CAS!$C$7="",0,(SUMIF(CAS!$B$31:$B$167,$J2520,CAS!$E$31:$E$167)*Impacts!$F$18))</f>
        <v>0</v>
      </c>
      <c r="W2520" s="10">
        <f t="shared" si="79"/>
        <v>0</v>
      </c>
      <c r="AK2520" s="10" t="str">
        <f t="array" ref="AK2520">IFERROR(INDEX(SelectedSpecies,SMALL(IF(SelectedSpecies=AK$1,ROW(SelectedSpecies)),ROW(2521:2521)),2),"")</f>
        <v/>
      </c>
      <c r="BE2520" s="10"/>
      <c r="BI2520" s="10"/>
    </row>
    <row r="2521" spans="1:61" ht="21" customHeight="1" x14ac:dyDescent="0.25">
      <c r="A2521" s="10"/>
      <c r="B2521" s="10"/>
      <c r="E2521" s="10"/>
      <c r="G2521" s="10"/>
      <c r="I2521" s="436" t="s">
        <v>6876</v>
      </c>
      <c r="J2521" s="26" t="s">
        <v>6875</v>
      </c>
      <c r="K2521" s="10">
        <v>0.5</v>
      </c>
      <c r="L2521" s="73">
        <f>IF(Tank1!$C$23="No control",(SUMIF(Tank1!$B$32:$B$49,$J2521,Tank1!$C$32:$C$49)*Impacts!$F$8),0)</f>
        <v>0</v>
      </c>
      <c r="M2521" s="10">
        <f>IF(Tank2!$C$23="No control",(SUMIF(Tank2!$B$32:$B$49,$J2521,Tank2!$C$32:$C$49)*Impacts!$F$9),0)</f>
        <v>0</v>
      </c>
      <c r="N2521" s="10">
        <f>IF(Tank3!$C$23="No control",(SUMIF(Tank3!$B$32:$B$49,$J2521,Tank3!$C$32:$C$49)*Impacts!$F$10),0)</f>
        <v>0</v>
      </c>
      <c r="O2521" s="10">
        <f>IF(Tank4!$C$23="No control",(SUMIF(Tank4!$B$32:$B$49,$J2521,Tank4!$C$32:$C$49)*Impacts!$F$11),0)</f>
        <v>0</v>
      </c>
      <c r="P2521" s="10">
        <f>IF(Tank5!$C$23="No control",(SUMIF(Tank5!$B$32:$B$49,$J2521,Tank5!$C$32:$C$49)*Impacts!$F$12),0)</f>
        <v>0</v>
      </c>
      <c r="Q2521" s="10">
        <f>IFERROR(IF(('Loading-drum,tote'!$C$21)="No control",SUMIF(('Loading-drum,tote'!$B$31:$B$48),$J2521,('Loading-drum,tote'!$D$31:$D$48))*Impacts!$F$13,IF(('Loading-drum,tote'!$C$21)&lt;&gt;"No control",SUMIF(('Loading-drum,tote'!$B$31:$B$48),$J2521,('Loading-drum,tote'!$E$31:$E$48))*Impacts!$F$13,0)),0)</f>
        <v>0</v>
      </c>
      <c r="R2521" s="10">
        <f>IFERROR(IF(('Loading-truck'!$C$21)="No control",SUMIF(('Loading-truck'!$B$31:$B$48),$J2521,('Loading-truck'!$D$31:$D$48))*Impacts!$F$14,IF(('Loading-truck'!$C$21)&lt;&gt;"No control",SUMIF(('Loading-truck'!$B$31:$B$48),$J2521,('Loading-truck'!$E$31:$E$48))*Impacts!$F$14,0)),0)</f>
        <v>0</v>
      </c>
      <c r="S2521" s="10">
        <f>IFERROR(IF(('Loading-rail'!$C$21)="No control",SUMIF(('Loading-rail'!$B$31:$B$48),$J2521,('Loading-rail'!$D$31:$D$48))*Impacts!$F$15,IF(('Loading-rail'!$C$21)&lt;&gt;"No control",SUMIF(('Loading-rail'!$B$31:$B$48),$J2521,('Loading-rail'!$E$31:$E$48))*Impacts!$F$15,0)),0)</f>
        <v>0</v>
      </c>
      <c r="T2521" s="10">
        <f>IF(Flare!$C$7="",0,(SUMIF(Flare!$B$46:$B$185,$J2521,Flare!$E$46:$E$185)*Impacts!$F$16))</f>
        <v>0</v>
      </c>
      <c r="U2521" s="10">
        <f>IF(VCU!$C$9="",0,(SUMIF(VCU!$B$51:$B$193,$J2521,VCU!$E$51:$E$193)*Impacts!$F$17))</f>
        <v>0</v>
      </c>
      <c r="V2521" s="10">
        <f>IF(CAS!$C$7="",0,(SUMIF(CAS!$B$31:$B$167,$J2521,CAS!$E$31:$E$167)*Impacts!$F$18))</f>
        <v>0</v>
      </c>
      <c r="W2521" s="10">
        <f t="shared" si="79"/>
        <v>0</v>
      </c>
      <c r="AK2521" s="10" t="str">
        <f t="array" ref="AK2521">IFERROR(INDEX(SelectedSpecies,SMALL(IF(SelectedSpecies=AK$1,ROW(SelectedSpecies)),ROW(2522:2522)),2),"")</f>
        <v/>
      </c>
      <c r="BE2521" s="10"/>
      <c r="BI2521" s="10"/>
    </row>
    <row r="2522" spans="1:61" ht="21" customHeight="1" x14ac:dyDescent="0.25">
      <c r="A2522" s="10"/>
      <c r="B2522" s="10"/>
      <c r="E2522" s="10"/>
      <c r="G2522" s="10"/>
      <c r="I2522" s="436" t="s">
        <v>5992</v>
      </c>
      <c r="J2522" s="26" t="s">
        <v>5991</v>
      </c>
      <c r="K2522" s="10">
        <v>1</v>
      </c>
      <c r="L2522" s="73">
        <f>IF(Tank1!$C$23="No control",(SUMIF(Tank1!$B$32:$B$49,$J2522,Tank1!$C$32:$C$49)*Impacts!$F$8),0)</f>
        <v>0</v>
      </c>
      <c r="M2522" s="10">
        <f>IF(Tank2!$C$23="No control",(SUMIF(Tank2!$B$32:$B$49,$J2522,Tank2!$C$32:$C$49)*Impacts!$F$9),0)</f>
        <v>0</v>
      </c>
      <c r="N2522" s="10">
        <f>IF(Tank3!$C$23="No control",(SUMIF(Tank3!$B$32:$B$49,$J2522,Tank3!$C$32:$C$49)*Impacts!$F$10),0)</f>
        <v>0</v>
      </c>
      <c r="O2522" s="10">
        <f>IF(Tank4!$C$23="No control",(SUMIF(Tank4!$B$32:$B$49,$J2522,Tank4!$C$32:$C$49)*Impacts!$F$11),0)</f>
        <v>0</v>
      </c>
      <c r="P2522" s="10">
        <f>IF(Tank5!$C$23="No control",(SUMIF(Tank5!$B$32:$B$49,$J2522,Tank5!$C$32:$C$49)*Impacts!$F$12),0)</f>
        <v>0</v>
      </c>
      <c r="Q2522" s="10">
        <f>IFERROR(IF(('Loading-drum,tote'!$C$21)="No control",SUMIF(('Loading-drum,tote'!$B$31:$B$48),$J2522,('Loading-drum,tote'!$D$31:$D$48))*Impacts!$F$13,IF(('Loading-drum,tote'!$C$21)&lt;&gt;"No control",SUMIF(('Loading-drum,tote'!$B$31:$B$48),$J2522,('Loading-drum,tote'!$E$31:$E$48))*Impacts!$F$13,0)),0)</f>
        <v>0</v>
      </c>
      <c r="R2522" s="10">
        <f>IFERROR(IF(('Loading-truck'!$C$21)="No control",SUMIF(('Loading-truck'!$B$31:$B$48),$J2522,('Loading-truck'!$D$31:$D$48))*Impacts!$F$14,IF(('Loading-truck'!$C$21)&lt;&gt;"No control",SUMIF(('Loading-truck'!$B$31:$B$48),$J2522,('Loading-truck'!$E$31:$E$48))*Impacts!$F$14,0)),0)</f>
        <v>0</v>
      </c>
      <c r="S2522" s="10">
        <f>IFERROR(IF(('Loading-rail'!$C$21)="No control",SUMIF(('Loading-rail'!$B$31:$B$48),$J2522,('Loading-rail'!$D$31:$D$48))*Impacts!$F$15,IF(('Loading-rail'!$C$21)&lt;&gt;"No control",SUMIF(('Loading-rail'!$B$31:$B$48),$J2522,('Loading-rail'!$E$31:$E$48))*Impacts!$F$15,0)),0)</f>
        <v>0</v>
      </c>
      <c r="T2522" s="10">
        <f>IF(Flare!$C$7="",0,(SUMIF(Flare!$B$46:$B$185,$J2522,Flare!$E$46:$E$185)*Impacts!$F$16))</f>
        <v>0</v>
      </c>
      <c r="U2522" s="10">
        <f>IF(VCU!$C$9="",0,(SUMIF(VCU!$B$51:$B$193,$J2522,VCU!$E$51:$E$193)*Impacts!$F$17))</f>
        <v>0</v>
      </c>
      <c r="V2522" s="10">
        <f>IF(CAS!$C$7="",0,(SUMIF(CAS!$B$31:$B$167,$J2522,CAS!$E$31:$E$167)*Impacts!$F$18))</f>
        <v>0</v>
      </c>
      <c r="W2522" s="10">
        <f t="shared" ref="W2522:W2585" si="80">SUM(L2522:V2522)</f>
        <v>0</v>
      </c>
      <c r="AK2522" s="10" t="str">
        <f t="array" ref="AK2522">IFERROR(INDEX(SelectedSpecies,SMALL(IF(SelectedSpecies=AK$1,ROW(SelectedSpecies)),ROW(2523:2523)),2),"")</f>
        <v/>
      </c>
      <c r="BE2522" s="10"/>
      <c r="BI2522" s="10"/>
    </row>
    <row r="2523" spans="1:61" ht="21" customHeight="1" x14ac:dyDescent="0.25">
      <c r="A2523" s="10"/>
      <c r="B2523" s="10"/>
      <c r="E2523" s="10"/>
      <c r="G2523" s="10"/>
      <c r="I2523" s="436" t="s">
        <v>4565</v>
      </c>
      <c r="J2523" s="26" t="s">
        <v>4564</v>
      </c>
      <c r="K2523" s="10">
        <v>4</v>
      </c>
      <c r="L2523" s="73">
        <f>IF(Tank1!$C$23="No control",(SUMIF(Tank1!$B$32:$B$49,$J2523,Tank1!$C$32:$C$49)*Impacts!$F$8),0)</f>
        <v>0</v>
      </c>
      <c r="M2523" s="10">
        <f>IF(Tank2!$C$23="No control",(SUMIF(Tank2!$B$32:$B$49,$J2523,Tank2!$C$32:$C$49)*Impacts!$F$9),0)</f>
        <v>0</v>
      </c>
      <c r="N2523" s="10">
        <f>IF(Tank3!$C$23="No control",(SUMIF(Tank3!$B$32:$B$49,$J2523,Tank3!$C$32:$C$49)*Impacts!$F$10),0)</f>
        <v>0</v>
      </c>
      <c r="O2523" s="10">
        <f>IF(Tank4!$C$23="No control",(SUMIF(Tank4!$B$32:$B$49,$J2523,Tank4!$C$32:$C$49)*Impacts!$F$11),0)</f>
        <v>0</v>
      </c>
      <c r="P2523" s="10">
        <f>IF(Tank5!$C$23="No control",(SUMIF(Tank5!$B$32:$B$49,$J2523,Tank5!$C$32:$C$49)*Impacts!$F$12),0)</f>
        <v>0</v>
      </c>
      <c r="Q2523" s="10">
        <f>IFERROR(IF(('Loading-drum,tote'!$C$21)="No control",SUMIF(('Loading-drum,tote'!$B$31:$B$48),$J2523,('Loading-drum,tote'!$D$31:$D$48))*Impacts!$F$13,IF(('Loading-drum,tote'!$C$21)&lt;&gt;"No control",SUMIF(('Loading-drum,tote'!$B$31:$B$48),$J2523,('Loading-drum,tote'!$E$31:$E$48))*Impacts!$F$13,0)),0)</f>
        <v>0</v>
      </c>
      <c r="R2523" s="10">
        <f>IFERROR(IF(('Loading-truck'!$C$21)="No control",SUMIF(('Loading-truck'!$B$31:$B$48),$J2523,('Loading-truck'!$D$31:$D$48))*Impacts!$F$14,IF(('Loading-truck'!$C$21)&lt;&gt;"No control",SUMIF(('Loading-truck'!$B$31:$B$48),$J2523,('Loading-truck'!$E$31:$E$48))*Impacts!$F$14,0)),0)</f>
        <v>0</v>
      </c>
      <c r="S2523" s="10">
        <f>IFERROR(IF(('Loading-rail'!$C$21)="No control",SUMIF(('Loading-rail'!$B$31:$B$48),$J2523,('Loading-rail'!$D$31:$D$48))*Impacts!$F$15,IF(('Loading-rail'!$C$21)&lt;&gt;"No control",SUMIF(('Loading-rail'!$B$31:$B$48),$J2523,('Loading-rail'!$E$31:$E$48))*Impacts!$F$15,0)),0)</f>
        <v>0</v>
      </c>
      <c r="T2523" s="10">
        <f>IF(Flare!$C$7="",0,(SUMIF(Flare!$B$46:$B$185,$J2523,Flare!$E$46:$E$185)*Impacts!$F$16))</f>
        <v>0</v>
      </c>
      <c r="U2523" s="10">
        <f>IF(VCU!$C$9="",0,(SUMIF(VCU!$B$51:$B$193,$J2523,VCU!$E$51:$E$193)*Impacts!$F$17))</f>
        <v>0</v>
      </c>
      <c r="V2523" s="10">
        <f>IF(CAS!$C$7="",0,(SUMIF(CAS!$B$31:$B$167,$J2523,CAS!$E$31:$E$167)*Impacts!$F$18))</f>
        <v>0</v>
      </c>
      <c r="W2523" s="10">
        <f t="shared" si="80"/>
        <v>0</v>
      </c>
      <c r="AK2523" s="10" t="str">
        <f t="array" ref="AK2523">IFERROR(INDEX(SelectedSpecies,SMALL(IF(SelectedSpecies=AK$1,ROW(SelectedSpecies)),ROW(2524:2524)),2),"")</f>
        <v/>
      </c>
      <c r="BE2523" s="10"/>
      <c r="BI2523" s="10"/>
    </row>
    <row r="2524" spans="1:61" ht="21" customHeight="1" x14ac:dyDescent="0.25">
      <c r="A2524" s="10"/>
      <c r="B2524" s="10"/>
      <c r="E2524" s="10"/>
      <c r="G2524" s="10"/>
      <c r="I2524" s="436" t="s">
        <v>5994</v>
      </c>
      <c r="J2524" s="26" t="s">
        <v>5993</v>
      </c>
      <c r="K2524" s="10">
        <v>1</v>
      </c>
      <c r="L2524" s="73">
        <f>IF(Tank1!$C$23="No control",(SUMIF(Tank1!$B$32:$B$49,$J2524,Tank1!$C$32:$C$49)*Impacts!$F$8),0)</f>
        <v>0</v>
      </c>
      <c r="M2524" s="10">
        <f>IF(Tank2!$C$23="No control",(SUMIF(Tank2!$B$32:$B$49,$J2524,Tank2!$C$32:$C$49)*Impacts!$F$9),0)</f>
        <v>0</v>
      </c>
      <c r="N2524" s="10">
        <f>IF(Tank3!$C$23="No control",(SUMIF(Tank3!$B$32:$B$49,$J2524,Tank3!$C$32:$C$49)*Impacts!$F$10),0)</f>
        <v>0</v>
      </c>
      <c r="O2524" s="10">
        <f>IF(Tank4!$C$23="No control",(SUMIF(Tank4!$B$32:$B$49,$J2524,Tank4!$C$32:$C$49)*Impacts!$F$11),0)</f>
        <v>0</v>
      </c>
      <c r="P2524" s="10">
        <f>IF(Tank5!$C$23="No control",(SUMIF(Tank5!$B$32:$B$49,$J2524,Tank5!$C$32:$C$49)*Impacts!$F$12),0)</f>
        <v>0</v>
      </c>
      <c r="Q2524" s="10">
        <f>IFERROR(IF(('Loading-drum,tote'!$C$21)="No control",SUMIF(('Loading-drum,tote'!$B$31:$B$48),$J2524,('Loading-drum,tote'!$D$31:$D$48))*Impacts!$F$13,IF(('Loading-drum,tote'!$C$21)&lt;&gt;"No control",SUMIF(('Loading-drum,tote'!$B$31:$B$48),$J2524,('Loading-drum,tote'!$E$31:$E$48))*Impacts!$F$13,0)),0)</f>
        <v>0</v>
      </c>
      <c r="R2524" s="10">
        <f>IFERROR(IF(('Loading-truck'!$C$21)="No control",SUMIF(('Loading-truck'!$B$31:$B$48),$J2524,('Loading-truck'!$D$31:$D$48))*Impacts!$F$14,IF(('Loading-truck'!$C$21)&lt;&gt;"No control",SUMIF(('Loading-truck'!$B$31:$B$48),$J2524,('Loading-truck'!$E$31:$E$48))*Impacts!$F$14,0)),0)</f>
        <v>0</v>
      </c>
      <c r="S2524" s="10">
        <f>IFERROR(IF(('Loading-rail'!$C$21)="No control",SUMIF(('Loading-rail'!$B$31:$B$48),$J2524,('Loading-rail'!$D$31:$D$48))*Impacts!$F$15,IF(('Loading-rail'!$C$21)&lt;&gt;"No control",SUMIF(('Loading-rail'!$B$31:$B$48),$J2524,('Loading-rail'!$E$31:$E$48))*Impacts!$F$15,0)),0)</f>
        <v>0</v>
      </c>
      <c r="T2524" s="10">
        <f>IF(Flare!$C$7="",0,(SUMIF(Flare!$B$46:$B$185,$J2524,Flare!$E$46:$E$185)*Impacts!$F$16))</f>
        <v>0</v>
      </c>
      <c r="U2524" s="10">
        <f>IF(VCU!$C$9="",0,(SUMIF(VCU!$B$51:$B$193,$J2524,VCU!$E$51:$E$193)*Impacts!$F$17))</f>
        <v>0</v>
      </c>
      <c r="V2524" s="10">
        <f>IF(CAS!$C$7="",0,(SUMIF(CAS!$B$31:$B$167,$J2524,CAS!$E$31:$E$167)*Impacts!$F$18))</f>
        <v>0</v>
      </c>
      <c r="W2524" s="10">
        <f t="shared" si="80"/>
        <v>0</v>
      </c>
      <c r="AK2524" s="10" t="str">
        <f t="array" ref="AK2524">IFERROR(INDEX(SelectedSpecies,SMALL(IF(SelectedSpecies=AK$1,ROW(SelectedSpecies)),ROW(2525:2525)),2),"")</f>
        <v/>
      </c>
      <c r="BE2524" s="10"/>
      <c r="BI2524" s="10"/>
    </row>
    <row r="2525" spans="1:61" ht="21" customHeight="1" x14ac:dyDescent="0.25">
      <c r="A2525" s="10"/>
      <c r="B2525" s="10"/>
      <c r="E2525" s="10"/>
      <c r="G2525" s="10"/>
      <c r="I2525" s="436" t="s">
        <v>2531</v>
      </c>
      <c r="J2525" s="26" t="s">
        <v>2530</v>
      </c>
      <c r="K2525" s="10">
        <v>10</v>
      </c>
      <c r="L2525" s="73">
        <f>IF(Tank1!$C$23="No control",(SUMIF(Tank1!$B$32:$B$49,$J2525,Tank1!$C$32:$C$49)*Impacts!$F$8),0)</f>
        <v>0</v>
      </c>
      <c r="M2525" s="10">
        <f>IF(Tank2!$C$23="No control",(SUMIF(Tank2!$B$32:$B$49,$J2525,Tank2!$C$32:$C$49)*Impacts!$F$9),0)</f>
        <v>0</v>
      </c>
      <c r="N2525" s="10">
        <f>IF(Tank3!$C$23="No control",(SUMIF(Tank3!$B$32:$B$49,$J2525,Tank3!$C$32:$C$49)*Impacts!$F$10),0)</f>
        <v>0</v>
      </c>
      <c r="O2525" s="10">
        <f>IF(Tank4!$C$23="No control",(SUMIF(Tank4!$B$32:$B$49,$J2525,Tank4!$C$32:$C$49)*Impacts!$F$11),0)</f>
        <v>0</v>
      </c>
      <c r="P2525" s="10">
        <f>IF(Tank5!$C$23="No control",(SUMIF(Tank5!$B$32:$B$49,$J2525,Tank5!$C$32:$C$49)*Impacts!$F$12),0)</f>
        <v>0</v>
      </c>
      <c r="Q2525" s="10">
        <f>IFERROR(IF(('Loading-drum,tote'!$C$21)="No control",SUMIF(('Loading-drum,tote'!$B$31:$B$48),$J2525,('Loading-drum,tote'!$D$31:$D$48))*Impacts!$F$13,IF(('Loading-drum,tote'!$C$21)&lt;&gt;"No control",SUMIF(('Loading-drum,tote'!$B$31:$B$48),$J2525,('Loading-drum,tote'!$E$31:$E$48))*Impacts!$F$13,0)),0)</f>
        <v>0</v>
      </c>
      <c r="R2525" s="10">
        <f>IFERROR(IF(('Loading-truck'!$C$21)="No control",SUMIF(('Loading-truck'!$B$31:$B$48),$J2525,('Loading-truck'!$D$31:$D$48))*Impacts!$F$14,IF(('Loading-truck'!$C$21)&lt;&gt;"No control",SUMIF(('Loading-truck'!$B$31:$B$48),$J2525,('Loading-truck'!$E$31:$E$48))*Impacts!$F$14,0)),0)</f>
        <v>0</v>
      </c>
      <c r="S2525" s="10">
        <f>IFERROR(IF(('Loading-rail'!$C$21)="No control",SUMIF(('Loading-rail'!$B$31:$B$48),$J2525,('Loading-rail'!$D$31:$D$48))*Impacts!$F$15,IF(('Loading-rail'!$C$21)&lt;&gt;"No control",SUMIF(('Loading-rail'!$B$31:$B$48),$J2525,('Loading-rail'!$E$31:$E$48))*Impacts!$F$15,0)),0)</f>
        <v>0</v>
      </c>
      <c r="T2525" s="10">
        <f>IF(Flare!$C$7="",0,(SUMIF(Flare!$B$46:$B$185,$J2525,Flare!$E$46:$E$185)*Impacts!$F$16))</f>
        <v>0</v>
      </c>
      <c r="U2525" s="10">
        <f>IF(VCU!$C$9="",0,(SUMIF(VCU!$B$51:$B$193,$J2525,VCU!$E$51:$E$193)*Impacts!$F$17))</f>
        <v>0</v>
      </c>
      <c r="V2525" s="10">
        <f>IF(CAS!$C$7="",0,(SUMIF(CAS!$B$31:$B$167,$J2525,CAS!$E$31:$E$167)*Impacts!$F$18))</f>
        <v>0</v>
      </c>
      <c r="W2525" s="10">
        <f t="shared" si="80"/>
        <v>0</v>
      </c>
      <c r="AK2525" s="10" t="str">
        <f t="array" ref="AK2525">IFERROR(INDEX(SelectedSpecies,SMALL(IF(SelectedSpecies=AK$1,ROW(SelectedSpecies)),ROW(2526:2526)),2),"")</f>
        <v/>
      </c>
      <c r="BE2525" s="10"/>
      <c r="BI2525" s="10"/>
    </row>
    <row r="2526" spans="1:61" ht="21" customHeight="1" x14ac:dyDescent="0.25">
      <c r="A2526" s="10"/>
      <c r="B2526" s="10"/>
      <c r="E2526" s="10"/>
      <c r="G2526" s="10"/>
      <c r="I2526" s="436" t="s">
        <v>2961</v>
      </c>
      <c r="J2526" s="26" t="s">
        <v>2960</v>
      </c>
      <c r="K2526" s="10">
        <v>10</v>
      </c>
      <c r="L2526" s="73">
        <f>IF(Tank1!$C$23="No control",(SUMIF(Tank1!$B$32:$B$49,$J2526,Tank1!$C$32:$C$49)*Impacts!$F$8),0)</f>
        <v>0</v>
      </c>
      <c r="M2526" s="10">
        <f>IF(Tank2!$C$23="No control",(SUMIF(Tank2!$B$32:$B$49,$J2526,Tank2!$C$32:$C$49)*Impacts!$F$9),0)</f>
        <v>0</v>
      </c>
      <c r="N2526" s="10">
        <f>IF(Tank3!$C$23="No control",(SUMIF(Tank3!$B$32:$B$49,$J2526,Tank3!$C$32:$C$49)*Impacts!$F$10),0)</f>
        <v>0</v>
      </c>
      <c r="O2526" s="10">
        <f>IF(Tank4!$C$23="No control",(SUMIF(Tank4!$B$32:$B$49,$J2526,Tank4!$C$32:$C$49)*Impacts!$F$11),0)</f>
        <v>0</v>
      </c>
      <c r="P2526" s="10">
        <f>IF(Tank5!$C$23="No control",(SUMIF(Tank5!$B$32:$B$49,$J2526,Tank5!$C$32:$C$49)*Impacts!$F$12),0)</f>
        <v>0</v>
      </c>
      <c r="Q2526" s="10">
        <f>IFERROR(IF(('Loading-drum,tote'!$C$21)="No control",SUMIF(('Loading-drum,tote'!$B$31:$B$48),$J2526,('Loading-drum,tote'!$D$31:$D$48))*Impacts!$F$13,IF(('Loading-drum,tote'!$C$21)&lt;&gt;"No control",SUMIF(('Loading-drum,tote'!$B$31:$B$48),$J2526,('Loading-drum,tote'!$E$31:$E$48))*Impacts!$F$13,0)),0)</f>
        <v>0</v>
      </c>
      <c r="R2526" s="10">
        <f>IFERROR(IF(('Loading-truck'!$C$21)="No control",SUMIF(('Loading-truck'!$B$31:$B$48),$J2526,('Loading-truck'!$D$31:$D$48))*Impacts!$F$14,IF(('Loading-truck'!$C$21)&lt;&gt;"No control",SUMIF(('Loading-truck'!$B$31:$B$48),$J2526,('Loading-truck'!$E$31:$E$48))*Impacts!$F$14,0)),0)</f>
        <v>0</v>
      </c>
      <c r="S2526" s="10">
        <f>IFERROR(IF(('Loading-rail'!$C$21)="No control",SUMIF(('Loading-rail'!$B$31:$B$48),$J2526,('Loading-rail'!$D$31:$D$48))*Impacts!$F$15,IF(('Loading-rail'!$C$21)&lt;&gt;"No control",SUMIF(('Loading-rail'!$B$31:$B$48),$J2526,('Loading-rail'!$E$31:$E$48))*Impacts!$F$15,0)),0)</f>
        <v>0</v>
      </c>
      <c r="T2526" s="10">
        <f>IF(Flare!$C$7="",0,(SUMIF(Flare!$B$46:$B$185,$J2526,Flare!$E$46:$E$185)*Impacts!$F$16))</f>
        <v>0</v>
      </c>
      <c r="U2526" s="10">
        <f>IF(VCU!$C$9="",0,(SUMIF(VCU!$B$51:$B$193,$J2526,VCU!$E$51:$E$193)*Impacts!$F$17))</f>
        <v>0</v>
      </c>
      <c r="V2526" s="10">
        <f>IF(CAS!$C$7="",0,(SUMIF(CAS!$B$31:$B$167,$J2526,CAS!$E$31:$E$167)*Impacts!$F$18))</f>
        <v>0</v>
      </c>
      <c r="W2526" s="10">
        <f t="shared" si="80"/>
        <v>0</v>
      </c>
      <c r="AK2526" s="10" t="str">
        <f t="array" ref="AK2526">IFERROR(INDEX(SelectedSpecies,SMALL(IF(SelectedSpecies=AK$1,ROW(SelectedSpecies)),ROW(2527:2527)),2),"")</f>
        <v/>
      </c>
      <c r="BE2526" s="10"/>
      <c r="BI2526" s="10"/>
    </row>
    <row r="2527" spans="1:61" ht="21" customHeight="1" x14ac:dyDescent="0.25">
      <c r="A2527" s="10"/>
      <c r="B2527" s="10"/>
      <c r="E2527" s="10"/>
      <c r="G2527" s="10"/>
      <c r="I2527" s="436" t="s">
        <v>2963</v>
      </c>
      <c r="J2527" s="26" t="s">
        <v>2962</v>
      </c>
      <c r="K2527" s="10">
        <v>10</v>
      </c>
      <c r="L2527" s="73">
        <f>IF(Tank1!$C$23="No control",(SUMIF(Tank1!$B$32:$B$49,$J2527,Tank1!$C$32:$C$49)*Impacts!$F$8),0)</f>
        <v>0</v>
      </c>
      <c r="M2527" s="10">
        <f>IF(Tank2!$C$23="No control",(SUMIF(Tank2!$B$32:$B$49,$J2527,Tank2!$C$32:$C$49)*Impacts!$F$9),0)</f>
        <v>0</v>
      </c>
      <c r="N2527" s="10">
        <f>IF(Tank3!$C$23="No control",(SUMIF(Tank3!$B$32:$B$49,$J2527,Tank3!$C$32:$C$49)*Impacts!$F$10),0)</f>
        <v>0</v>
      </c>
      <c r="O2527" s="10">
        <f>IF(Tank4!$C$23="No control",(SUMIF(Tank4!$B$32:$B$49,$J2527,Tank4!$C$32:$C$49)*Impacts!$F$11),0)</f>
        <v>0</v>
      </c>
      <c r="P2527" s="10">
        <f>IF(Tank5!$C$23="No control",(SUMIF(Tank5!$B$32:$B$49,$J2527,Tank5!$C$32:$C$49)*Impacts!$F$12),0)</f>
        <v>0</v>
      </c>
      <c r="Q2527" s="10">
        <f>IFERROR(IF(('Loading-drum,tote'!$C$21)="No control",SUMIF(('Loading-drum,tote'!$B$31:$B$48),$J2527,('Loading-drum,tote'!$D$31:$D$48))*Impacts!$F$13,IF(('Loading-drum,tote'!$C$21)&lt;&gt;"No control",SUMIF(('Loading-drum,tote'!$B$31:$B$48),$J2527,('Loading-drum,tote'!$E$31:$E$48))*Impacts!$F$13,0)),0)</f>
        <v>0</v>
      </c>
      <c r="R2527" s="10">
        <f>IFERROR(IF(('Loading-truck'!$C$21)="No control",SUMIF(('Loading-truck'!$B$31:$B$48),$J2527,('Loading-truck'!$D$31:$D$48))*Impacts!$F$14,IF(('Loading-truck'!$C$21)&lt;&gt;"No control",SUMIF(('Loading-truck'!$B$31:$B$48),$J2527,('Loading-truck'!$E$31:$E$48))*Impacts!$F$14,0)),0)</f>
        <v>0</v>
      </c>
      <c r="S2527" s="10">
        <f>IFERROR(IF(('Loading-rail'!$C$21)="No control",SUMIF(('Loading-rail'!$B$31:$B$48),$J2527,('Loading-rail'!$D$31:$D$48))*Impacts!$F$15,IF(('Loading-rail'!$C$21)&lt;&gt;"No control",SUMIF(('Loading-rail'!$B$31:$B$48),$J2527,('Loading-rail'!$E$31:$E$48))*Impacts!$F$15,0)),0)</f>
        <v>0</v>
      </c>
      <c r="T2527" s="10">
        <f>IF(Flare!$C$7="",0,(SUMIF(Flare!$B$46:$B$185,$J2527,Flare!$E$46:$E$185)*Impacts!$F$16))</f>
        <v>0</v>
      </c>
      <c r="U2527" s="10">
        <f>IF(VCU!$C$9="",0,(SUMIF(VCU!$B$51:$B$193,$J2527,VCU!$E$51:$E$193)*Impacts!$F$17))</f>
        <v>0</v>
      </c>
      <c r="V2527" s="10">
        <f>IF(CAS!$C$7="",0,(SUMIF(CAS!$B$31:$B$167,$J2527,CAS!$E$31:$E$167)*Impacts!$F$18))</f>
        <v>0</v>
      </c>
      <c r="W2527" s="10">
        <f t="shared" si="80"/>
        <v>0</v>
      </c>
      <c r="AK2527" s="10" t="str">
        <f t="array" ref="AK2527">IFERROR(INDEX(SelectedSpecies,SMALL(IF(SelectedSpecies=AK$1,ROW(SelectedSpecies)),ROW(2528:2528)),2),"")</f>
        <v/>
      </c>
      <c r="BE2527" s="10"/>
      <c r="BI2527" s="10"/>
    </row>
    <row r="2528" spans="1:61" ht="21" customHeight="1" x14ac:dyDescent="0.25">
      <c r="A2528" s="10"/>
      <c r="B2528" s="10"/>
      <c r="E2528" s="10"/>
      <c r="G2528" s="10"/>
      <c r="I2528" s="436" t="s">
        <v>5996</v>
      </c>
      <c r="J2528" s="26" t="s">
        <v>5995</v>
      </c>
      <c r="K2528" s="10">
        <v>1</v>
      </c>
      <c r="L2528" s="73">
        <f>IF(Tank1!$C$23="No control",(SUMIF(Tank1!$B$32:$B$49,$J2528,Tank1!$C$32:$C$49)*Impacts!$F$8),0)</f>
        <v>0</v>
      </c>
      <c r="M2528" s="10">
        <f>IF(Tank2!$C$23="No control",(SUMIF(Tank2!$B$32:$B$49,$J2528,Tank2!$C$32:$C$49)*Impacts!$F$9),0)</f>
        <v>0</v>
      </c>
      <c r="N2528" s="10">
        <f>IF(Tank3!$C$23="No control",(SUMIF(Tank3!$B$32:$B$49,$J2528,Tank3!$C$32:$C$49)*Impacts!$F$10),0)</f>
        <v>0</v>
      </c>
      <c r="O2528" s="10">
        <f>IF(Tank4!$C$23="No control",(SUMIF(Tank4!$B$32:$B$49,$J2528,Tank4!$C$32:$C$49)*Impacts!$F$11),0)</f>
        <v>0</v>
      </c>
      <c r="P2528" s="10">
        <f>IF(Tank5!$C$23="No control",(SUMIF(Tank5!$B$32:$B$49,$J2528,Tank5!$C$32:$C$49)*Impacts!$F$12),0)</f>
        <v>0</v>
      </c>
      <c r="Q2528" s="10">
        <f>IFERROR(IF(('Loading-drum,tote'!$C$21)="No control",SUMIF(('Loading-drum,tote'!$B$31:$B$48),$J2528,('Loading-drum,tote'!$D$31:$D$48))*Impacts!$F$13,IF(('Loading-drum,tote'!$C$21)&lt;&gt;"No control",SUMIF(('Loading-drum,tote'!$B$31:$B$48),$J2528,('Loading-drum,tote'!$E$31:$E$48))*Impacts!$F$13,0)),0)</f>
        <v>0</v>
      </c>
      <c r="R2528" s="10">
        <f>IFERROR(IF(('Loading-truck'!$C$21)="No control",SUMIF(('Loading-truck'!$B$31:$B$48),$J2528,('Loading-truck'!$D$31:$D$48))*Impacts!$F$14,IF(('Loading-truck'!$C$21)&lt;&gt;"No control",SUMIF(('Loading-truck'!$B$31:$B$48),$J2528,('Loading-truck'!$E$31:$E$48))*Impacts!$F$14,0)),0)</f>
        <v>0</v>
      </c>
      <c r="S2528" s="10">
        <f>IFERROR(IF(('Loading-rail'!$C$21)="No control",SUMIF(('Loading-rail'!$B$31:$B$48),$J2528,('Loading-rail'!$D$31:$D$48))*Impacts!$F$15,IF(('Loading-rail'!$C$21)&lt;&gt;"No control",SUMIF(('Loading-rail'!$B$31:$B$48),$J2528,('Loading-rail'!$E$31:$E$48))*Impacts!$F$15,0)),0)</f>
        <v>0</v>
      </c>
      <c r="T2528" s="10">
        <f>IF(Flare!$C$7="",0,(SUMIF(Flare!$B$46:$B$185,$J2528,Flare!$E$46:$E$185)*Impacts!$F$16))</f>
        <v>0</v>
      </c>
      <c r="U2528" s="10">
        <f>IF(VCU!$C$9="",0,(SUMIF(VCU!$B$51:$B$193,$J2528,VCU!$E$51:$E$193)*Impacts!$F$17))</f>
        <v>0</v>
      </c>
      <c r="V2528" s="10">
        <f>IF(CAS!$C$7="",0,(SUMIF(CAS!$B$31:$B$167,$J2528,CAS!$E$31:$E$167)*Impacts!$F$18))</f>
        <v>0</v>
      </c>
      <c r="W2528" s="10">
        <f t="shared" si="80"/>
        <v>0</v>
      </c>
      <c r="AK2528" s="10" t="str">
        <f t="array" ref="AK2528">IFERROR(INDEX(SelectedSpecies,SMALL(IF(SelectedSpecies=AK$1,ROW(SelectedSpecies)),ROW(2529:2529)),2),"")</f>
        <v/>
      </c>
      <c r="BE2528" s="10"/>
      <c r="BI2528" s="10"/>
    </row>
    <row r="2529" spans="1:61" ht="21" customHeight="1" x14ac:dyDescent="0.25">
      <c r="A2529" s="10"/>
      <c r="B2529" s="10"/>
      <c r="E2529" s="10"/>
      <c r="G2529" s="10"/>
      <c r="I2529" s="436" t="s">
        <v>4567</v>
      </c>
      <c r="J2529" s="26" t="s">
        <v>4566</v>
      </c>
      <c r="K2529" s="10">
        <v>4</v>
      </c>
      <c r="L2529" s="73">
        <f>IF(Tank1!$C$23="No control",(SUMIF(Tank1!$B$32:$B$49,$J2529,Tank1!$C$32:$C$49)*Impacts!$F$8),0)</f>
        <v>0</v>
      </c>
      <c r="M2529" s="10">
        <f>IF(Tank2!$C$23="No control",(SUMIF(Tank2!$B$32:$B$49,$J2529,Tank2!$C$32:$C$49)*Impacts!$F$9),0)</f>
        <v>0</v>
      </c>
      <c r="N2529" s="10">
        <f>IF(Tank3!$C$23="No control",(SUMIF(Tank3!$B$32:$B$49,$J2529,Tank3!$C$32:$C$49)*Impacts!$F$10),0)</f>
        <v>0</v>
      </c>
      <c r="O2529" s="10">
        <f>IF(Tank4!$C$23="No control",(SUMIF(Tank4!$B$32:$B$49,$J2529,Tank4!$C$32:$C$49)*Impacts!$F$11),0)</f>
        <v>0</v>
      </c>
      <c r="P2529" s="10">
        <f>IF(Tank5!$C$23="No control",(SUMIF(Tank5!$B$32:$B$49,$J2529,Tank5!$C$32:$C$49)*Impacts!$F$12),0)</f>
        <v>0</v>
      </c>
      <c r="Q2529" s="10">
        <f>IFERROR(IF(('Loading-drum,tote'!$C$21)="No control",SUMIF(('Loading-drum,tote'!$B$31:$B$48),$J2529,('Loading-drum,tote'!$D$31:$D$48))*Impacts!$F$13,IF(('Loading-drum,tote'!$C$21)&lt;&gt;"No control",SUMIF(('Loading-drum,tote'!$B$31:$B$48),$J2529,('Loading-drum,tote'!$E$31:$E$48))*Impacts!$F$13,0)),0)</f>
        <v>0</v>
      </c>
      <c r="R2529" s="10">
        <f>IFERROR(IF(('Loading-truck'!$C$21)="No control",SUMIF(('Loading-truck'!$B$31:$B$48),$J2529,('Loading-truck'!$D$31:$D$48))*Impacts!$F$14,IF(('Loading-truck'!$C$21)&lt;&gt;"No control",SUMIF(('Loading-truck'!$B$31:$B$48),$J2529,('Loading-truck'!$E$31:$E$48))*Impacts!$F$14,0)),0)</f>
        <v>0</v>
      </c>
      <c r="S2529" s="10">
        <f>IFERROR(IF(('Loading-rail'!$C$21)="No control",SUMIF(('Loading-rail'!$B$31:$B$48),$J2529,('Loading-rail'!$D$31:$D$48))*Impacts!$F$15,IF(('Loading-rail'!$C$21)&lt;&gt;"No control",SUMIF(('Loading-rail'!$B$31:$B$48),$J2529,('Loading-rail'!$E$31:$E$48))*Impacts!$F$15,0)),0)</f>
        <v>0</v>
      </c>
      <c r="T2529" s="10">
        <f>IF(Flare!$C$7="",0,(SUMIF(Flare!$B$46:$B$185,$J2529,Flare!$E$46:$E$185)*Impacts!$F$16))</f>
        <v>0</v>
      </c>
      <c r="U2529" s="10">
        <f>IF(VCU!$C$9="",0,(SUMIF(VCU!$B$51:$B$193,$J2529,VCU!$E$51:$E$193)*Impacts!$F$17))</f>
        <v>0</v>
      </c>
      <c r="V2529" s="10">
        <f>IF(CAS!$C$7="",0,(SUMIF(CAS!$B$31:$B$167,$J2529,CAS!$E$31:$E$167)*Impacts!$F$18))</f>
        <v>0</v>
      </c>
      <c r="W2529" s="10">
        <f t="shared" si="80"/>
        <v>0</v>
      </c>
      <c r="AK2529" s="10" t="str">
        <f t="array" ref="AK2529">IFERROR(INDEX(SelectedSpecies,SMALL(IF(SelectedSpecies=AK$1,ROW(SelectedSpecies)),ROW(2530:2530)),2),"")</f>
        <v/>
      </c>
      <c r="BE2529" s="10"/>
      <c r="BI2529" s="10"/>
    </row>
    <row r="2530" spans="1:61" ht="21" customHeight="1" x14ac:dyDescent="0.25">
      <c r="A2530" s="10"/>
      <c r="B2530" s="10"/>
      <c r="E2530" s="10"/>
      <c r="G2530" s="10"/>
      <c r="I2530" s="436" t="s">
        <v>5998</v>
      </c>
      <c r="J2530" s="26" t="s">
        <v>5997</v>
      </c>
      <c r="K2530" s="10">
        <v>1</v>
      </c>
      <c r="L2530" s="73">
        <f>IF(Tank1!$C$23="No control",(SUMIF(Tank1!$B$32:$B$49,$J2530,Tank1!$C$32:$C$49)*Impacts!$F$8),0)</f>
        <v>0</v>
      </c>
      <c r="M2530" s="10">
        <f>IF(Tank2!$C$23="No control",(SUMIF(Tank2!$B$32:$B$49,$J2530,Tank2!$C$32:$C$49)*Impacts!$F$9),0)</f>
        <v>0</v>
      </c>
      <c r="N2530" s="10">
        <f>IF(Tank3!$C$23="No control",(SUMIF(Tank3!$B$32:$B$49,$J2530,Tank3!$C$32:$C$49)*Impacts!$F$10),0)</f>
        <v>0</v>
      </c>
      <c r="O2530" s="10">
        <f>IF(Tank4!$C$23="No control",(SUMIF(Tank4!$B$32:$B$49,$J2530,Tank4!$C$32:$C$49)*Impacts!$F$11),0)</f>
        <v>0</v>
      </c>
      <c r="P2530" s="10">
        <f>IF(Tank5!$C$23="No control",(SUMIF(Tank5!$B$32:$B$49,$J2530,Tank5!$C$32:$C$49)*Impacts!$F$12),0)</f>
        <v>0</v>
      </c>
      <c r="Q2530" s="10">
        <f>IFERROR(IF(('Loading-drum,tote'!$C$21)="No control",SUMIF(('Loading-drum,tote'!$B$31:$B$48),$J2530,('Loading-drum,tote'!$D$31:$D$48))*Impacts!$F$13,IF(('Loading-drum,tote'!$C$21)&lt;&gt;"No control",SUMIF(('Loading-drum,tote'!$B$31:$B$48),$J2530,('Loading-drum,tote'!$E$31:$E$48))*Impacts!$F$13,0)),0)</f>
        <v>0</v>
      </c>
      <c r="R2530" s="10">
        <f>IFERROR(IF(('Loading-truck'!$C$21)="No control",SUMIF(('Loading-truck'!$B$31:$B$48),$J2530,('Loading-truck'!$D$31:$D$48))*Impacts!$F$14,IF(('Loading-truck'!$C$21)&lt;&gt;"No control",SUMIF(('Loading-truck'!$B$31:$B$48),$J2530,('Loading-truck'!$E$31:$E$48))*Impacts!$F$14,0)),0)</f>
        <v>0</v>
      </c>
      <c r="S2530" s="10">
        <f>IFERROR(IF(('Loading-rail'!$C$21)="No control",SUMIF(('Loading-rail'!$B$31:$B$48),$J2530,('Loading-rail'!$D$31:$D$48))*Impacts!$F$15,IF(('Loading-rail'!$C$21)&lt;&gt;"No control",SUMIF(('Loading-rail'!$B$31:$B$48),$J2530,('Loading-rail'!$E$31:$E$48))*Impacts!$F$15,0)),0)</f>
        <v>0</v>
      </c>
      <c r="T2530" s="10">
        <f>IF(Flare!$C$7="",0,(SUMIF(Flare!$B$46:$B$185,$J2530,Flare!$E$46:$E$185)*Impacts!$F$16))</f>
        <v>0</v>
      </c>
      <c r="U2530" s="10">
        <f>IF(VCU!$C$9="",0,(SUMIF(VCU!$B$51:$B$193,$J2530,VCU!$E$51:$E$193)*Impacts!$F$17))</f>
        <v>0</v>
      </c>
      <c r="V2530" s="10">
        <f>IF(CAS!$C$7="",0,(SUMIF(CAS!$B$31:$B$167,$J2530,CAS!$E$31:$E$167)*Impacts!$F$18))</f>
        <v>0</v>
      </c>
      <c r="W2530" s="10">
        <f t="shared" si="80"/>
        <v>0</v>
      </c>
      <c r="AK2530" s="10" t="str">
        <f t="array" ref="AK2530">IFERROR(INDEX(SelectedSpecies,SMALL(IF(SelectedSpecies=AK$1,ROW(SelectedSpecies)),ROW(2531:2531)),2),"")</f>
        <v/>
      </c>
      <c r="BE2530" s="10"/>
      <c r="BI2530" s="10"/>
    </row>
    <row r="2531" spans="1:61" ht="21" customHeight="1" x14ac:dyDescent="0.25">
      <c r="A2531" s="10"/>
      <c r="B2531" s="10"/>
      <c r="E2531" s="10"/>
      <c r="G2531" s="10"/>
      <c r="I2531" s="436" t="s">
        <v>2965</v>
      </c>
      <c r="J2531" s="26" t="s">
        <v>2964</v>
      </c>
      <c r="K2531" s="10">
        <v>10</v>
      </c>
      <c r="L2531" s="73">
        <f>IF(Tank1!$C$23="No control",(SUMIF(Tank1!$B$32:$B$49,$J2531,Tank1!$C$32:$C$49)*Impacts!$F$8),0)</f>
        <v>0</v>
      </c>
      <c r="M2531" s="10">
        <f>IF(Tank2!$C$23="No control",(SUMIF(Tank2!$B$32:$B$49,$J2531,Tank2!$C$32:$C$49)*Impacts!$F$9),0)</f>
        <v>0</v>
      </c>
      <c r="N2531" s="10">
        <f>IF(Tank3!$C$23="No control",(SUMIF(Tank3!$B$32:$B$49,$J2531,Tank3!$C$32:$C$49)*Impacts!$F$10),0)</f>
        <v>0</v>
      </c>
      <c r="O2531" s="10">
        <f>IF(Tank4!$C$23="No control",(SUMIF(Tank4!$B$32:$B$49,$J2531,Tank4!$C$32:$C$49)*Impacts!$F$11),0)</f>
        <v>0</v>
      </c>
      <c r="P2531" s="10">
        <f>IF(Tank5!$C$23="No control",(SUMIF(Tank5!$B$32:$B$49,$J2531,Tank5!$C$32:$C$49)*Impacts!$F$12),0)</f>
        <v>0</v>
      </c>
      <c r="Q2531" s="10">
        <f>IFERROR(IF(('Loading-drum,tote'!$C$21)="No control",SUMIF(('Loading-drum,tote'!$B$31:$B$48),$J2531,('Loading-drum,tote'!$D$31:$D$48))*Impacts!$F$13,IF(('Loading-drum,tote'!$C$21)&lt;&gt;"No control",SUMIF(('Loading-drum,tote'!$B$31:$B$48),$J2531,('Loading-drum,tote'!$E$31:$E$48))*Impacts!$F$13,0)),0)</f>
        <v>0</v>
      </c>
      <c r="R2531" s="10">
        <f>IFERROR(IF(('Loading-truck'!$C$21)="No control",SUMIF(('Loading-truck'!$B$31:$B$48),$J2531,('Loading-truck'!$D$31:$D$48))*Impacts!$F$14,IF(('Loading-truck'!$C$21)&lt;&gt;"No control",SUMIF(('Loading-truck'!$B$31:$B$48),$J2531,('Loading-truck'!$E$31:$E$48))*Impacts!$F$14,0)),0)</f>
        <v>0</v>
      </c>
      <c r="S2531" s="10">
        <f>IFERROR(IF(('Loading-rail'!$C$21)="No control",SUMIF(('Loading-rail'!$B$31:$B$48),$J2531,('Loading-rail'!$D$31:$D$48))*Impacts!$F$15,IF(('Loading-rail'!$C$21)&lt;&gt;"No control",SUMIF(('Loading-rail'!$B$31:$B$48),$J2531,('Loading-rail'!$E$31:$E$48))*Impacts!$F$15,0)),0)</f>
        <v>0</v>
      </c>
      <c r="T2531" s="10">
        <f>IF(Flare!$C$7="",0,(SUMIF(Flare!$B$46:$B$185,$J2531,Flare!$E$46:$E$185)*Impacts!$F$16))</f>
        <v>0</v>
      </c>
      <c r="U2531" s="10">
        <f>IF(VCU!$C$9="",0,(SUMIF(VCU!$B$51:$B$193,$J2531,VCU!$E$51:$E$193)*Impacts!$F$17))</f>
        <v>0</v>
      </c>
      <c r="V2531" s="10">
        <f>IF(CAS!$C$7="",0,(SUMIF(CAS!$B$31:$B$167,$J2531,CAS!$E$31:$E$167)*Impacts!$F$18))</f>
        <v>0</v>
      </c>
      <c r="W2531" s="10">
        <f t="shared" si="80"/>
        <v>0</v>
      </c>
      <c r="AK2531" s="10" t="str">
        <f t="array" ref="AK2531">IFERROR(INDEX(SelectedSpecies,SMALL(IF(SelectedSpecies=AK$1,ROW(SelectedSpecies)),ROW(2532:2532)),2),"")</f>
        <v/>
      </c>
      <c r="BE2531" s="10"/>
      <c r="BI2531" s="10"/>
    </row>
    <row r="2532" spans="1:61" ht="21" customHeight="1" x14ac:dyDescent="0.25">
      <c r="A2532" s="10"/>
      <c r="B2532" s="10"/>
      <c r="E2532" s="10"/>
      <c r="G2532" s="10"/>
      <c r="I2532" s="436" t="s">
        <v>2967</v>
      </c>
      <c r="J2532" s="26" t="s">
        <v>2966</v>
      </c>
      <c r="K2532" s="10">
        <v>10</v>
      </c>
      <c r="L2532" s="73">
        <f>IF(Tank1!$C$23="No control",(SUMIF(Tank1!$B$32:$B$49,$J2532,Tank1!$C$32:$C$49)*Impacts!$F$8),0)</f>
        <v>0</v>
      </c>
      <c r="M2532" s="10">
        <f>IF(Tank2!$C$23="No control",(SUMIF(Tank2!$B$32:$B$49,$J2532,Tank2!$C$32:$C$49)*Impacts!$F$9),0)</f>
        <v>0</v>
      </c>
      <c r="N2532" s="10">
        <f>IF(Tank3!$C$23="No control",(SUMIF(Tank3!$B$32:$B$49,$J2532,Tank3!$C$32:$C$49)*Impacts!$F$10),0)</f>
        <v>0</v>
      </c>
      <c r="O2532" s="10">
        <f>IF(Tank4!$C$23="No control",(SUMIF(Tank4!$B$32:$B$49,$J2532,Tank4!$C$32:$C$49)*Impacts!$F$11),0)</f>
        <v>0</v>
      </c>
      <c r="P2532" s="10">
        <f>IF(Tank5!$C$23="No control",(SUMIF(Tank5!$B$32:$B$49,$J2532,Tank5!$C$32:$C$49)*Impacts!$F$12),0)</f>
        <v>0</v>
      </c>
      <c r="Q2532" s="10">
        <f>IFERROR(IF(('Loading-drum,tote'!$C$21)="No control",SUMIF(('Loading-drum,tote'!$B$31:$B$48),$J2532,('Loading-drum,tote'!$D$31:$D$48))*Impacts!$F$13,IF(('Loading-drum,tote'!$C$21)&lt;&gt;"No control",SUMIF(('Loading-drum,tote'!$B$31:$B$48),$J2532,('Loading-drum,tote'!$E$31:$E$48))*Impacts!$F$13,0)),0)</f>
        <v>0</v>
      </c>
      <c r="R2532" s="10">
        <f>IFERROR(IF(('Loading-truck'!$C$21)="No control",SUMIF(('Loading-truck'!$B$31:$B$48),$J2532,('Loading-truck'!$D$31:$D$48))*Impacts!$F$14,IF(('Loading-truck'!$C$21)&lt;&gt;"No control",SUMIF(('Loading-truck'!$B$31:$B$48),$J2532,('Loading-truck'!$E$31:$E$48))*Impacts!$F$14,0)),0)</f>
        <v>0</v>
      </c>
      <c r="S2532" s="10">
        <f>IFERROR(IF(('Loading-rail'!$C$21)="No control",SUMIF(('Loading-rail'!$B$31:$B$48),$J2532,('Loading-rail'!$D$31:$D$48))*Impacts!$F$15,IF(('Loading-rail'!$C$21)&lt;&gt;"No control",SUMIF(('Loading-rail'!$B$31:$B$48),$J2532,('Loading-rail'!$E$31:$E$48))*Impacts!$F$15,0)),0)</f>
        <v>0</v>
      </c>
      <c r="T2532" s="10">
        <f>IF(Flare!$C$7="",0,(SUMIF(Flare!$B$46:$B$185,$J2532,Flare!$E$46:$E$185)*Impacts!$F$16))</f>
        <v>0</v>
      </c>
      <c r="U2532" s="10">
        <f>IF(VCU!$C$9="",0,(SUMIF(VCU!$B$51:$B$193,$J2532,VCU!$E$51:$E$193)*Impacts!$F$17))</f>
        <v>0</v>
      </c>
      <c r="V2532" s="10">
        <f>IF(CAS!$C$7="",0,(SUMIF(CAS!$B$31:$B$167,$J2532,CAS!$E$31:$E$167)*Impacts!$F$18))</f>
        <v>0</v>
      </c>
      <c r="W2532" s="10">
        <f t="shared" si="80"/>
        <v>0</v>
      </c>
      <c r="AK2532" s="10" t="str">
        <f t="array" ref="AK2532">IFERROR(INDEX(SelectedSpecies,SMALL(IF(SelectedSpecies=AK$1,ROW(SelectedSpecies)),ROW(2533:2533)),2),"")</f>
        <v/>
      </c>
      <c r="BE2532" s="10"/>
      <c r="BI2532" s="10"/>
    </row>
    <row r="2533" spans="1:61" ht="21" customHeight="1" x14ac:dyDescent="0.25">
      <c r="A2533" s="10"/>
      <c r="B2533" s="10"/>
      <c r="E2533" s="10"/>
      <c r="G2533" s="10"/>
      <c r="I2533" s="436" t="s">
        <v>6000</v>
      </c>
      <c r="J2533" s="26" t="s">
        <v>5999</v>
      </c>
      <c r="K2533" s="10">
        <v>1</v>
      </c>
      <c r="L2533" s="73">
        <f>IF(Tank1!$C$23="No control",(SUMIF(Tank1!$B$32:$B$49,$J2533,Tank1!$C$32:$C$49)*Impacts!$F$8),0)</f>
        <v>0</v>
      </c>
      <c r="M2533" s="10">
        <f>IF(Tank2!$C$23="No control",(SUMIF(Tank2!$B$32:$B$49,$J2533,Tank2!$C$32:$C$49)*Impacts!$F$9),0)</f>
        <v>0</v>
      </c>
      <c r="N2533" s="10">
        <f>IF(Tank3!$C$23="No control",(SUMIF(Tank3!$B$32:$B$49,$J2533,Tank3!$C$32:$C$49)*Impacts!$F$10),0)</f>
        <v>0</v>
      </c>
      <c r="O2533" s="10">
        <f>IF(Tank4!$C$23="No control",(SUMIF(Tank4!$B$32:$B$49,$J2533,Tank4!$C$32:$C$49)*Impacts!$F$11),0)</f>
        <v>0</v>
      </c>
      <c r="P2533" s="10">
        <f>IF(Tank5!$C$23="No control",(SUMIF(Tank5!$B$32:$B$49,$J2533,Tank5!$C$32:$C$49)*Impacts!$F$12),0)</f>
        <v>0</v>
      </c>
      <c r="Q2533" s="10">
        <f>IFERROR(IF(('Loading-drum,tote'!$C$21)="No control",SUMIF(('Loading-drum,tote'!$B$31:$B$48),$J2533,('Loading-drum,tote'!$D$31:$D$48))*Impacts!$F$13,IF(('Loading-drum,tote'!$C$21)&lt;&gt;"No control",SUMIF(('Loading-drum,tote'!$B$31:$B$48),$J2533,('Loading-drum,tote'!$E$31:$E$48))*Impacts!$F$13,0)),0)</f>
        <v>0</v>
      </c>
      <c r="R2533" s="10">
        <f>IFERROR(IF(('Loading-truck'!$C$21)="No control",SUMIF(('Loading-truck'!$B$31:$B$48),$J2533,('Loading-truck'!$D$31:$D$48))*Impacts!$F$14,IF(('Loading-truck'!$C$21)&lt;&gt;"No control",SUMIF(('Loading-truck'!$B$31:$B$48),$J2533,('Loading-truck'!$E$31:$E$48))*Impacts!$F$14,0)),0)</f>
        <v>0</v>
      </c>
      <c r="S2533" s="10">
        <f>IFERROR(IF(('Loading-rail'!$C$21)="No control",SUMIF(('Loading-rail'!$B$31:$B$48),$J2533,('Loading-rail'!$D$31:$D$48))*Impacts!$F$15,IF(('Loading-rail'!$C$21)&lt;&gt;"No control",SUMIF(('Loading-rail'!$B$31:$B$48),$J2533,('Loading-rail'!$E$31:$E$48))*Impacts!$F$15,0)),0)</f>
        <v>0</v>
      </c>
      <c r="T2533" s="10">
        <f>IF(Flare!$C$7="",0,(SUMIF(Flare!$B$46:$B$185,$J2533,Flare!$E$46:$E$185)*Impacts!$F$16))</f>
        <v>0</v>
      </c>
      <c r="U2533" s="10">
        <f>IF(VCU!$C$9="",0,(SUMIF(VCU!$B$51:$B$193,$J2533,VCU!$E$51:$E$193)*Impacts!$F$17))</f>
        <v>0</v>
      </c>
      <c r="V2533" s="10">
        <f>IF(CAS!$C$7="",0,(SUMIF(CAS!$B$31:$B$167,$J2533,CAS!$E$31:$E$167)*Impacts!$F$18))</f>
        <v>0</v>
      </c>
      <c r="W2533" s="10">
        <f t="shared" si="80"/>
        <v>0</v>
      </c>
      <c r="AK2533" s="10" t="str">
        <f t="array" ref="AK2533">IFERROR(INDEX(SelectedSpecies,SMALL(IF(SelectedSpecies=AK$1,ROW(SelectedSpecies)),ROW(2534:2534)),2),"")</f>
        <v/>
      </c>
      <c r="BE2533" s="10"/>
      <c r="BI2533" s="10"/>
    </row>
    <row r="2534" spans="1:61" ht="21" customHeight="1" x14ac:dyDescent="0.25">
      <c r="A2534" s="10"/>
      <c r="B2534" s="10"/>
      <c r="E2534" s="10"/>
      <c r="G2534" s="10"/>
      <c r="I2534" s="436" t="s">
        <v>6002</v>
      </c>
      <c r="J2534" s="26" t="s">
        <v>6001</v>
      </c>
      <c r="K2534" s="10">
        <v>1</v>
      </c>
      <c r="L2534" s="73">
        <f>IF(Tank1!$C$23="No control",(SUMIF(Tank1!$B$32:$B$49,$J2534,Tank1!$C$32:$C$49)*Impacts!$F$8),0)</f>
        <v>0</v>
      </c>
      <c r="M2534" s="10">
        <f>IF(Tank2!$C$23="No control",(SUMIF(Tank2!$B$32:$B$49,$J2534,Tank2!$C$32:$C$49)*Impacts!$F$9),0)</f>
        <v>0</v>
      </c>
      <c r="N2534" s="10">
        <f>IF(Tank3!$C$23="No control",(SUMIF(Tank3!$B$32:$B$49,$J2534,Tank3!$C$32:$C$49)*Impacts!$F$10),0)</f>
        <v>0</v>
      </c>
      <c r="O2534" s="10">
        <f>IF(Tank4!$C$23="No control",(SUMIF(Tank4!$B$32:$B$49,$J2534,Tank4!$C$32:$C$49)*Impacts!$F$11),0)</f>
        <v>0</v>
      </c>
      <c r="P2534" s="10">
        <f>IF(Tank5!$C$23="No control",(SUMIF(Tank5!$B$32:$B$49,$J2534,Tank5!$C$32:$C$49)*Impacts!$F$12),0)</f>
        <v>0</v>
      </c>
      <c r="Q2534" s="10">
        <f>IFERROR(IF(('Loading-drum,tote'!$C$21)="No control",SUMIF(('Loading-drum,tote'!$B$31:$B$48),$J2534,('Loading-drum,tote'!$D$31:$D$48))*Impacts!$F$13,IF(('Loading-drum,tote'!$C$21)&lt;&gt;"No control",SUMIF(('Loading-drum,tote'!$B$31:$B$48),$J2534,('Loading-drum,tote'!$E$31:$E$48))*Impacts!$F$13,0)),0)</f>
        <v>0</v>
      </c>
      <c r="R2534" s="10">
        <f>IFERROR(IF(('Loading-truck'!$C$21)="No control",SUMIF(('Loading-truck'!$B$31:$B$48),$J2534,('Loading-truck'!$D$31:$D$48))*Impacts!$F$14,IF(('Loading-truck'!$C$21)&lt;&gt;"No control",SUMIF(('Loading-truck'!$B$31:$B$48),$J2534,('Loading-truck'!$E$31:$E$48))*Impacts!$F$14,0)),0)</f>
        <v>0</v>
      </c>
      <c r="S2534" s="10">
        <f>IFERROR(IF(('Loading-rail'!$C$21)="No control",SUMIF(('Loading-rail'!$B$31:$B$48),$J2534,('Loading-rail'!$D$31:$D$48))*Impacts!$F$15,IF(('Loading-rail'!$C$21)&lt;&gt;"No control",SUMIF(('Loading-rail'!$B$31:$B$48),$J2534,('Loading-rail'!$E$31:$E$48))*Impacts!$F$15,0)),0)</f>
        <v>0</v>
      </c>
      <c r="T2534" s="10">
        <f>IF(Flare!$C$7="",0,(SUMIF(Flare!$B$46:$B$185,$J2534,Flare!$E$46:$E$185)*Impacts!$F$16))</f>
        <v>0</v>
      </c>
      <c r="U2534" s="10">
        <f>IF(VCU!$C$9="",0,(SUMIF(VCU!$B$51:$B$193,$J2534,VCU!$E$51:$E$193)*Impacts!$F$17))</f>
        <v>0</v>
      </c>
      <c r="V2534" s="10">
        <f>IF(CAS!$C$7="",0,(SUMIF(CAS!$B$31:$B$167,$J2534,CAS!$E$31:$E$167)*Impacts!$F$18))</f>
        <v>0</v>
      </c>
      <c r="W2534" s="10">
        <f t="shared" si="80"/>
        <v>0</v>
      </c>
      <c r="AK2534" s="10" t="str">
        <f t="array" ref="AK2534">IFERROR(INDEX(SelectedSpecies,SMALL(IF(SelectedSpecies=AK$1,ROW(SelectedSpecies)),ROW(2535:2535)),2),"")</f>
        <v/>
      </c>
      <c r="BE2534" s="10"/>
      <c r="BI2534" s="10"/>
    </row>
    <row r="2535" spans="1:61" ht="21" customHeight="1" x14ac:dyDescent="0.25">
      <c r="A2535" s="10"/>
      <c r="B2535" s="10"/>
      <c r="E2535" s="10"/>
      <c r="G2535" s="10"/>
      <c r="I2535" s="436" t="s">
        <v>6004</v>
      </c>
      <c r="J2535" s="26" t="s">
        <v>6003</v>
      </c>
      <c r="K2535" s="10">
        <v>1</v>
      </c>
      <c r="L2535" s="73">
        <f>IF(Tank1!$C$23="No control",(SUMIF(Tank1!$B$32:$B$49,$J2535,Tank1!$C$32:$C$49)*Impacts!$F$8),0)</f>
        <v>0</v>
      </c>
      <c r="M2535" s="10">
        <f>IF(Tank2!$C$23="No control",(SUMIF(Tank2!$B$32:$B$49,$J2535,Tank2!$C$32:$C$49)*Impacts!$F$9),0)</f>
        <v>0</v>
      </c>
      <c r="N2535" s="10">
        <f>IF(Tank3!$C$23="No control",(SUMIF(Tank3!$B$32:$B$49,$J2535,Tank3!$C$32:$C$49)*Impacts!$F$10),0)</f>
        <v>0</v>
      </c>
      <c r="O2535" s="10">
        <f>IF(Tank4!$C$23="No control",(SUMIF(Tank4!$B$32:$B$49,$J2535,Tank4!$C$32:$C$49)*Impacts!$F$11),0)</f>
        <v>0</v>
      </c>
      <c r="P2535" s="10">
        <f>IF(Tank5!$C$23="No control",(SUMIF(Tank5!$B$32:$B$49,$J2535,Tank5!$C$32:$C$49)*Impacts!$F$12),0)</f>
        <v>0</v>
      </c>
      <c r="Q2535" s="10">
        <f>IFERROR(IF(('Loading-drum,tote'!$C$21)="No control",SUMIF(('Loading-drum,tote'!$B$31:$B$48),$J2535,('Loading-drum,tote'!$D$31:$D$48))*Impacts!$F$13,IF(('Loading-drum,tote'!$C$21)&lt;&gt;"No control",SUMIF(('Loading-drum,tote'!$B$31:$B$48),$J2535,('Loading-drum,tote'!$E$31:$E$48))*Impacts!$F$13,0)),0)</f>
        <v>0</v>
      </c>
      <c r="R2535" s="10">
        <f>IFERROR(IF(('Loading-truck'!$C$21)="No control",SUMIF(('Loading-truck'!$B$31:$B$48),$J2535,('Loading-truck'!$D$31:$D$48))*Impacts!$F$14,IF(('Loading-truck'!$C$21)&lt;&gt;"No control",SUMIF(('Loading-truck'!$B$31:$B$48),$J2535,('Loading-truck'!$E$31:$E$48))*Impacts!$F$14,0)),0)</f>
        <v>0</v>
      </c>
      <c r="S2535" s="10">
        <f>IFERROR(IF(('Loading-rail'!$C$21)="No control",SUMIF(('Loading-rail'!$B$31:$B$48),$J2535,('Loading-rail'!$D$31:$D$48))*Impacts!$F$15,IF(('Loading-rail'!$C$21)&lt;&gt;"No control",SUMIF(('Loading-rail'!$B$31:$B$48),$J2535,('Loading-rail'!$E$31:$E$48))*Impacts!$F$15,0)),0)</f>
        <v>0</v>
      </c>
      <c r="T2535" s="10">
        <f>IF(Flare!$C$7="",0,(SUMIF(Flare!$B$46:$B$185,$J2535,Flare!$E$46:$E$185)*Impacts!$F$16))</f>
        <v>0</v>
      </c>
      <c r="U2535" s="10">
        <f>IF(VCU!$C$9="",0,(SUMIF(VCU!$B$51:$B$193,$J2535,VCU!$E$51:$E$193)*Impacts!$F$17))</f>
        <v>0</v>
      </c>
      <c r="V2535" s="10">
        <f>IF(CAS!$C$7="",0,(SUMIF(CAS!$B$31:$B$167,$J2535,CAS!$E$31:$E$167)*Impacts!$F$18))</f>
        <v>0</v>
      </c>
      <c r="W2535" s="10">
        <f t="shared" si="80"/>
        <v>0</v>
      </c>
      <c r="AK2535" s="10" t="str">
        <f t="array" ref="AK2535">IFERROR(INDEX(SelectedSpecies,SMALL(IF(SelectedSpecies=AK$1,ROW(SelectedSpecies)),ROW(2536:2536)),2),"")</f>
        <v/>
      </c>
      <c r="BE2535" s="10"/>
      <c r="BI2535" s="10"/>
    </row>
    <row r="2536" spans="1:61" ht="21" customHeight="1" x14ac:dyDescent="0.25">
      <c r="A2536" s="10"/>
      <c r="B2536" s="10"/>
      <c r="E2536" s="10"/>
      <c r="G2536" s="10"/>
      <c r="I2536" s="436" t="s">
        <v>2969</v>
      </c>
      <c r="J2536" s="26" t="s">
        <v>2968</v>
      </c>
      <c r="K2536" s="10">
        <v>10</v>
      </c>
      <c r="L2536" s="73">
        <f>IF(Tank1!$C$23="No control",(SUMIF(Tank1!$B$32:$B$49,$J2536,Tank1!$C$32:$C$49)*Impacts!$F$8),0)</f>
        <v>0</v>
      </c>
      <c r="M2536" s="10">
        <f>IF(Tank2!$C$23="No control",(SUMIF(Tank2!$B$32:$B$49,$J2536,Tank2!$C$32:$C$49)*Impacts!$F$9),0)</f>
        <v>0</v>
      </c>
      <c r="N2536" s="10">
        <f>IF(Tank3!$C$23="No control",(SUMIF(Tank3!$B$32:$B$49,$J2536,Tank3!$C$32:$C$49)*Impacts!$F$10),0)</f>
        <v>0</v>
      </c>
      <c r="O2536" s="10">
        <f>IF(Tank4!$C$23="No control",(SUMIF(Tank4!$B$32:$B$49,$J2536,Tank4!$C$32:$C$49)*Impacts!$F$11),0)</f>
        <v>0</v>
      </c>
      <c r="P2536" s="10">
        <f>IF(Tank5!$C$23="No control",(SUMIF(Tank5!$B$32:$B$49,$J2536,Tank5!$C$32:$C$49)*Impacts!$F$12),0)</f>
        <v>0</v>
      </c>
      <c r="Q2536" s="10">
        <f>IFERROR(IF(('Loading-drum,tote'!$C$21)="No control",SUMIF(('Loading-drum,tote'!$B$31:$B$48),$J2536,('Loading-drum,tote'!$D$31:$D$48))*Impacts!$F$13,IF(('Loading-drum,tote'!$C$21)&lt;&gt;"No control",SUMIF(('Loading-drum,tote'!$B$31:$B$48),$J2536,('Loading-drum,tote'!$E$31:$E$48))*Impacts!$F$13,0)),0)</f>
        <v>0</v>
      </c>
      <c r="R2536" s="10">
        <f>IFERROR(IF(('Loading-truck'!$C$21)="No control",SUMIF(('Loading-truck'!$B$31:$B$48),$J2536,('Loading-truck'!$D$31:$D$48))*Impacts!$F$14,IF(('Loading-truck'!$C$21)&lt;&gt;"No control",SUMIF(('Loading-truck'!$B$31:$B$48),$J2536,('Loading-truck'!$E$31:$E$48))*Impacts!$F$14,0)),0)</f>
        <v>0</v>
      </c>
      <c r="S2536" s="10">
        <f>IFERROR(IF(('Loading-rail'!$C$21)="No control",SUMIF(('Loading-rail'!$B$31:$B$48),$J2536,('Loading-rail'!$D$31:$D$48))*Impacts!$F$15,IF(('Loading-rail'!$C$21)&lt;&gt;"No control",SUMIF(('Loading-rail'!$B$31:$B$48),$J2536,('Loading-rail'!$E$31:$E$48))*Impacts!$F$15,0)),0)</f>
        <v>0</v>
      </c>
      <c r="T2536" s="10">
        <f>IF(Flare!$C$7="",0,(SUMIF(Flare!$B$46:$B$185,$J2536,Flare!$E$46:$E$185)*Impacts!$F$16))</f>
        <v>0</v>
      </c>
      <c r="U2536" s="10">
        <f>IF(VCU!$C$9="",0,(SUMIF(VCU!$B$51:$B$193,$J2536,VCU!$E$51:$E$193)*Impacts!$F$17))</f>
        <v>0</v>
      </c>
      <c r="V2536" s="10">
        <f>IF(CAS!$C$7="",0,(SUMIF(CAS!$B$31:$B$167,$J2536,CAS!$E$31:$E$167)*Impacts!$F$18))</f>
        <v>0</v>
      </c>
      <c r="W2536" s="10">
        <f t="shared" si="80"/>
        <v>0</v>
      </c>
      <c r="AK2536" s="10" t="str">
        <f t="array" ref="AK2536">IFERROR(INDEX(SelectedSpecies,SMALL(IF(SelectedSpecies=AK$1,ROW(SelectedSpecies)),ROW(2537:2537)),2),"")</f>
        <v/>
      </c>
      <c r="BE2536" s="10"/>
      <c r="BI2536" s="10"/>
    </row>
    <row r="2537" spans="1:61" ht="21" customHeight="1" x14ac:dyDescent="0.25">
      <c r="A2537" s="10"/>
      <c r="B2537" s="10"/>
      <c r="E2537" s="10"/>
      <c r="G2537" s="10"/>
      <c r="I2537" s="436" t="s">
        <v>2971</v>
      </c>
      <c r="J2537" s="26" t="s">
        <v>2970</v>
      </c>
      <c r="K2537" s="10">
        <v>10</v>
      </c>
      <c r="L2537" s="73">
        <f>IF(Tank1!$C$23="No control",(SUMIF(Tank1!$B$32:$B$49,$J2537,Tank1!$C$32:$C$49)*Impacts!$F$8),0)</f>
        <v>0</v>
      </c>
      <c r="M2537" s="10">
        <f>IF(Tank2!$C$23="No control",(SUMIF(Tank2!$B$32:$B$49,$J2537,Tank2!$C$32:$C$49)*Impacts!$F$9),0)</f>
        <v>0</v>
      </c>
      <c r="N2537" s="10">
        <f>IF(Tank3!$C$23="No control",(SUMIF(Tank3!$B$32:$B$49,$J2537,Tank3!$C$32:$C$49)*Impacts!$F$10),0)</f>
        <v>0</v>
      </c>
      <c r="O2537" s="10">
        <f>IF(Tank4!$C$23="No control",(SUMIF(Tank4!$B$32:$B$49,$J2537,Tank4!$C$32:$C$49)*Impacts!$F$11),0)</f>
        <v>0</v>
      </c>
      <c r="P2537" s="10">
        <f>IF(Tank5!$C$23="No control",(SUMIF(Tank5!$B$32:$B$49,$J2537,Tank5!$C$32:$C$49)*Impacts!$F$12),0)</f>
        <v>0</v>
      </c>
      <c r="Q2537" s="10">
        <f>IFERROR(IF(('Loading-drum,tote'!$C$21)="No control",SUMIF(('Loading-drum,tote'!$B$31:$B$48),$J2537,('Loading-drum,tote'!$D$31:$D$48))*Impacts!$F$13,IF(('Loading-drum,tote'!$C$21)&lt;&gt;"No control",SUMIF(('Loading-drum,tote'!$B$31:$B$48),$J2537,('Loading-drum,tote'!$E$31:$E$48))*Impacts!$F$13,0)),0)</f>
        <v>0</v>
      </c>
      <c r="R2537" s="10">
        <f>IFERROR(IF(('Loading-truck'!$C$21)="No control",SUMIF(('Loading-truck'!$B$31:$B$48),$J2537,('Loading-truck'!$D$31:$D$48))*Impacts!$F$14,IF(('Loading-truck'!$C$21)&lt;&gt;"No control",SUMIF(('Loading-truck'!$B$31:$B$48),$J2537,('Loading-truck'!$E$31:$E$48))*Impacts!$F$14,0)),0)</f>
        <v>0</v>
      </c>
      <c r="S2537" s="10">
        <f>IFERROR(IF(('Loading-rail'!$C$21)="No control",SUMIF(('Loading-rail'!$B$31:$B$48),$J2537,('Loading-rail'!$D$31:$D$48))*Impacts!$F$15,IF(('Loading-rail'!$C$21)&lt;&gt;"No control",SUMIF(('Loading-rail'!$B$31:$B$48),$J2537,('Loading-rail'!$E$31:$E$48))*Impacts!$F$15,0)),0)</f>
        <v>0</v>
      </c>
      <c r="T2537" s="10">
        <f>IF(Flare!$C$7="",0,(SUMIF(Flare!$B$46:$B$185,$J2537,Flare!$E$46:$E$185)*Impacts!$F$16))</f>
        <v>0</v>
      </c>
      <c r="U2537" s="10">
        <f>IF(VCU!$C$9="",0,(SUMIF(VCU!$B$51:$B$193,$J2537,VCU!$E$51:$E$193)*Impacts!$F$17))</f>
        <v>0</v>
      </c>
      <c r="V2537" s="10">
        <f>IF(CAS!$C$7="",0,(SUMIF(CAS!$B$31:$B$167,$J2537,CAS!$E$31:$E$167)*Impacts!$F$18))</f>
        <v>0</v>
      </c>
      <c r="W2537" s="10">
        <f t="shared" si="80"/>
        <v>0</v>
      </c>
      <c r="AK2537" s="10" t="str">
        <f t="array" ref="AK2537">IFERROR(INDEX(SelectedSpecies,SMALL(IF(SelectedSpecies=AK$1,ROW(SelectedSpecies)),ROW(2538:2538)),2),"")</f>
        <v/>
      </c>
      <c r="BE2537" s="10"/>
      <c r="BI2537" s="10"/>
    </row>
    <row r="2538" spans="1:61" ht="21" customHeight="1" x14ac:dyDescent="0.25">
      <c r="A2538" s="10"/>
      <c r="B2538" s="10"/>
      <c r="E2538" s="10"/>
      <c r="G2538" s="10"/>
      <c r="I2538" s="436" t="s">
        <v>3973</v>
      </c>
      <c r="J2538" s="26" t="s">
        <v>3972</v>
      </c>
      <c r="K2538" s="10">
        <v>6</v>
      </c>
      <c r="L2538" s="73">
        <f>IF(Tank1!$C$23="No control",(SUMIF(Tank1!$B$32:$B$49,$J2538,Tank1!$C$32:$C$49)*Impacts!$F$8),0)</f>
        <v>0</v>
      </c>
      <c r="M2538" s="10">
        <f>IF(Tank2!$C$23="No control",(SUMIF(Tank2!$B$32:$B$49,$J2538,Tank2!$C$32:$C$49)*Impacts!$F$9),0)</f>
        <v>0</v>
      </c>
      <c r="N2538" s="10">
        <f>IF(Tank3!$C$23="No control",(SUMIF(Tank3!$B$32:$B$49,$J2538,Tank3!$C$32:$C$49)*Impacts!$F$10),0)</f>
        <v>0</v>
      </c>
      <c r="O2538" s="10">
        <f>IF(Tank4!$C$23="No control",(SUMIF(Tank4!$B$32:$B$49,$J2538,Tank4!$C$32:$C$49)*Impacts!$F$11),0)</f>
        <v>0</v>
      </c>
      <c r="P2538" s="10">
        <f>IF(Tank5!$C$23="No control",(SUMIF(Tank5!$B$32:$B$49,$J2538,Tank5!$C$32:$C$49)*Impacts!$F$12),0)</f>
        <v>0</v>
      </c>
      <c r="Q2538" s="10">
        <f>IFERROR(IF(('Loading-drum,tote'!$C$21)="No control",SUMIF(('Loading-drum,tote'!$B$31:$B$48),$J2538,('Loading-drum,tote'!$D$31:$D$48))*Impacts!$F$13,IF(('Loading-drum,tote'!$C$21)&lt;&gt;"No control",SUMIF(('Loading-drum,tote'!$B$31:$B$48),$J2538,('Loading-drum,tote'!$E$31:$E$48))*Impacts!$F$13,0)),0)</f>
        <v>0</v>
      </c>
      <c r="R2538" s="10">
        <f>IFERROR(IF(('Loading-truck'!$C$21)="No control",SUMIF(('Loading-truck'!$B$31:$B$48),$J2538,('Loading-truck'!$D$31:$D$48))*Impacts!$F$14,IF(('Loading-truck'!$C$21)&lt;&gt;"No control",SUMIF(('Loading-truck'!$B$31:$B$48),$J2538,('Loading-truck'!$E$31:$E$48))*Impacts!$F$14,0)),0)</f>
        <v>0</v>
      </c>
      <c r="S2538" s="10">
        <f>IFERROR(IF(('Loading-rail'!$C$21)="No control",SUMIF(('Loading-rail'!$B$31:$B$48),$J2538,('Loading-rail'!$D$31:$D$48))*Impacts!$F$15,IF(('Loading-rail'!$C$21)&lt;&gt;"No control",SUMIF(('Loading-rail'!$B$31:$B$48),$J2538,('Loading-rail'!$E$31:$E$48))*Impacts!$F$15,0)),0)</f>
        <v>0</v>
      </c>
      <c r="T2538" s="10">
        <f>IF(Flare!$C$7="",0,(SUMIF(Flare!$B$46:$B$185,$J2538,Flare!$E$46:$E$185)*Impacts!$F$16))</f>
        <v>0</v>
      </c>
      <c r="U2538" s="10">
        <f>IF(VCU!$C$9="",0,(SUMIF(VCU!$B$51:$B$193,$J2538,VCU!$E$51:$E$193)*Impacts!$F$17))</f>
        <v>0</v>
      </c>
      <c r="V2538" s="10">
        <f>IF(CAS!$C$7="",0,(SUMIF(CAS!$B$31:$B$167,$J2538,CAS!$E$31:$E$167)*Impacts!$F$18))</f>
        <v>0</v>
      </c>
      <c r="W2538" s="10">
        <f t="shared" si="80"/>
        <v>0</v>
      </c>
      <c r="AK2538" s="10" t="str">
        <f t="array" ref="AK2538">IFERROR(INDEX(SelectedSpecies,SMALL(IF(SelectedSpecies=AK$1,ROW(SelectedSpecies)),ROW(2539:2539)),2),"")</f>
        <v/>
      </c>
      <c r="BE2538" s="10"/>
      <c r="BI2538" s="10"/>
    </row>
    <row r="2539" spans="1:61" ht="21" customHeight="1" x14ac:dyDescent="0.25">
      <c r="A2539" s="10"/>
      <c r="B2539" s="10"/>
      <c r="E2539" s="10"/>
      <c r="G2539" s="10"/>
      <c r="I2539" s="436" t="s">
        <v>5193</v>
      </c>
      <c r="J2539" s="26" t="s">
        <v>5192</v>
      </c>
      <c r="K2539" s="10">
        <v>2</v>
      </c>
      <c r="L2539" s="73">
        <f>IF(Tank1!$C$23="No control",(SUMIF(Tank1!$B$32:$B$49,$J2539,Tank1!$C$32:$C$49)*Impacts!$F$8),0)</f>
        <v>0</v>
      </c>
      <c r="M2539" s="10">
        <f>IF(Tank2!$C$23="No control",(SUMIF(Tank2!$B$32:$B$49,$J2539,Tank2!$C$32:$C$49)*Impacts!$F$9),0)</f>
        <v>0</v>
      </c>
      <c r="N2539" s="10">
        <f>IF(Tank3!$C$23="No control",(SUMIF(Tank3!$B$32:$B$49,$J2539,Tank3!$C$32:$C$49)*Impacts!$F$10),0)</f>
        <v>0</v>
      </c>
      <c r="O2539" s="10">
        <f>IF(Tank4!$C$23="No control",(SUMIF(Tank4!$B$32:$B$49,$J2539,Tank4!$C$32:$C$49)*Impacts!$F$11),0)</f>
        <v>0</v>
      </c>
      <c r="P2539" s="10">
        <f>IF(Tank5!$C$23="No control",(SUMIF(Tank5!$B$32:$B$49,$J2539,Tank5!$C$32:$C$49)*Impacts!$F$12),0)</f>
        <v>0</v>
      </c>
      <c r="Q2539" s="10">
        <f>IFERROR(IF(('Loading-drum,tote'!$C$21)="No control",SUMIF(('Loading-drum,tote'!$B$31:$B$48),$J2539,('Loading-drum,tote'!$D$31:$D$48))*Impacts!$F$13,IF(('Loading-drum,tote'!$C$21)&lt;&gt;"No control",SUMIF(('Loading-drum,tote'!$B$31:$B$48),$J2539,('Loading-drum,tote'!$E$31:$E$48))*Impacts!$F$13,0)),0)</f>
        <v>0</v>
      </c>
      <c r="R2539" s="10">
        <f>IFERROR(IF(('Loading-truck'!$C$21)="No control",SUMIF(('Loading-truck'!$B$31:$B$48),$J2539,('Loading-truck'!$D$31:$D$48))*Impacts!$F$14,IF(('Loading-truck'!$C$21)&lt;&gt;"No control",SUMIF(('Loading-truck'!$B$31:$B$48),$J2539,('Loading-truck'!$E$31:$E$48))*Impacts!$F$14,0)),0)</f>
        <v>0</v>
      </c>
      <c r="S2539" s="10">
        <f>IFERROR(IF(('Loading-rail'!$C$21)="No control",SUMIF(('Loading-rail'!$B$31:$B$48),$J2539,('Loading-rail'!$D$31:$D$48))*Impacts!$F$15,IF(('Loading-rail'!$C$21)&lt;&gt;"No control",SUMIF(('Loading-rail'!$B$31:$B$48),$J2539,('Loading-rail'!$E$31:$E$48))*Impacts!$F$15,0)),0)</f>
        <v>0</v>
      </c>
      <c r="T2539" s="10">
        <f>IF(Flare!$C$7="",0,(SUMIF(Flare!$B$46:$B$185,$J2539,Flare!$E$46:$E$185)*Impacts!$F$16))</f>
        <v>0</v>
      </c>
      <c r="U2539" s="10">
        <f>IF(VCU!$C$9="",0,(SUMIF(VCU!$B$51:$B$193,$J2539,VCU!$E$51:$E$193)*Impacts!$F$17))</f>
        <v>0</v>
      </c>
      <c r="V2539" s="10">
        <f>IF(CAS!$C$7="",0,(SUMIF(CAS!$B$31:$B$167,$J2539,CAS!$E$31:$E$167)*Impacts!$F$18))</f>
        <v>0</v>
      </c>
      <c r="W2539" s="10">
        <f t="shared" si="80"/>
        <v>0</v>
      </c>
      <c r="AK2539" s="10" t="str">
        <f t="array" ref="AK2539">IFERROR(INDEX(SelectedSpecies,SMALL(IF(SelectedSpecies=AK$1,ROW(SelectedSpecies)),ROW(2540:2540)),2),"")</f>
        <v/>
      </c>
      <c r="BE2539" s="10"/>
      <c r="BI2539" s="10"/>
    </row>
    <row r="2540" spans="1:61" ht="21" customHeight="1" x14ac:dyDescent="0.25">
      <c r="A2540" s="10"/>
      <c r="B2540" s="10"/>
      <c r="E2540" s="10"/>
      <c r="G2540" s="10"/>
      <c r="I2540" s="436" t="s">
        <v>3975</v>
      </c>
      <c r="J2540" s="26" t="s">
        <v>3974</v>
      </c>
      <c r="K2540" s="10">
        <v>6</v>
      </c>
      <c r="L2540" s="73">
        <f>IF(Tank1!$C$23="No control",(SUMIF(Tank1!$B$32:$B$49,$J2540,Tank1!$C$32:$C$49)*Impacts!$F$8),0)</f>
        <v>0</v>
      </c>
      <c r="M2540" s="10">
        <f>IF(Tank2!$C$23="No control",(SUMIF(Tank2!$B$32:$B$49,$J2540,Tank2!$C$32:$C$49)*Impacts!$F$9),0)</f>
        <v>0</v>
      </c>
      <c r="N2540" s="10">
        <f>IF(Tank3!$C$23="No control",(SUMIF(Tank3!$B$32:$B$49,$J2540,Tank3!$C$32:$C$49)*Impacts!$F$10),0)</f>
        <v>0</v>
      </c>
      <c r="O2540" s="10">
        <f>IF(Tank4!$C$23="No control",(SUMIF(Tank4!$B$32:$B$49,$J2540,Tank4!$C$32:$C$49)*Impacts!$F$11),0)</f>
        <v>0</v>
      </c>
      <c r="P2540" s="10">
        <f>IF(Tank5!$C$23="No control",(SUMIF(Tank5!$B$32:$B$49,$J2540,Tank5!$C$32:$C$49)*Impacts!$F$12),0)</f>
        <v>0</v>
      </c>
      <c r="Q2540" s="10">
        <f>IFERROR(IF(('Loading-drum,tote'!$C$21)="No control",SUMIF(('Loading-drum,tote'!$B$31:$B$48),$J2540,('Loading-drum,tote'!$D$31:$D$48))*Impacts!$F$13,IF(('Loading-drum,tote'!$C$21)&lt;&gt;"No control",SUMIF(('Loading-drum,tote'!$B$31:$B$48),$J2540,('Loading-drum,tote'!$E$31:$E$48))*Impacts!$F$13,0)),0)</f>
        <v>0</v>
      </c>
      <c r="R2540" s="10">
        <f>IFERROR(IF(('Loading-truck'!$C$21)="No control",SUMIF(('Loading-truck'!$B$31:$B$48),$J2540,('Loading-truck'!$D$31:$D$48))*Impacts!$F$14,IF(('Loading-truck'!$C$21)&lt;&gt;"No control",SUMIF(('Loading-truck'!$B$31:$B$48),$J2540,('Loading-truck'!$E$31:$E$48))*Impacts!$F$14,0)),0)</f>
        <v>0</v>
      </c>
      <c r="S2540" s="10">
        <f>IFERROR(IF(('Loading-rail'!$C$21)="No control",SUMIF(('Loading-rail'!$B$31:$B$48),$J2540,('Loading-rail'!$D$31:$D$48))*Impacts!$F$15,IF(('Loading-rail'!$C$21)&lt;&gt;"No control",SUMIF(('Loading-rail'!$B$31:$B$48),$J2540,('Loading-rail'!$E$31:$E$48))*Impacts!$F$15,0)),0)</f>
        <v>0</v>
      </c>
      <c r="T2540" s="10">
        <f>IF(Flare!$C$7="",0,(SUMIF(Flare!$B$46:$B$185,$J2540,Flare!$E$46:$E$185)*Impacts!$F$16))</f>
        <v>0</v>
      </c>
      <c r="U2540" s="10">
        <f>IF(VCU!$C$9="",0,(SUMIF(VCU!$B$51:$B$193,$J2540,VCU!$E$51:$E$193)*Impacts!$F$17))</f>
        <v>0</v>
      </c>
      <c r="V2540" s="10">
        <f>IF(CAS!$C$7="",0,(SUMIF(CAS!$B$31:$B$167,$J2540,CAS!$E$31:$E$167)*Impacts!$F$18))</f>
        <v>0</v>
      </c>
      <c r="W2540" s="10">
        <f t="shared" si="80"/>
        <v>0</v>
      </c>
      <c r="AK2540" s="10" t="str">
        <f t="array" ref="AK2540">IFERROR(INDEX(SelectedSpecies,SMALL(IF(SelectedSpecies=AK$1,ROW(SelectedSpecies)),ROW(2541:2541)),2),"")</f>
        <v/>
      </c>
      <c r="BE2540" s="10"/>
      <c r="BI2540" s="10"/>
    </row>
    <row r="2541" spans="1:61" ht="21" customHeight="1" x14ac:dyDescent="0.25">
      <c r="A2541" s="10"/>
      <c r="B2541" s="10"/>
      <c r="E2541" s="10"/>
      <c r="G2541" s="10"/>
      <c r="I2541" s="436" t="s">
        <v>2973</v>
      </c>
      <c r="J2541" s="26" t="s">
        <v>2972</v>
      </c>
      <c r="K2541" s="10">
        <v>10</v>
      </c>
      <c r="L2541" s="73">
        <f>IF(Tank1!$C$23="No control",(SUMIF(Tank1!$B$32:$B$49,$J2541,Tank1!$C$32:$C$49)*Impacts!$F$8),0)</f>
        <v>0</v>
      </c>
      <c r="M2541" s="10">
        <f>IF(Tank2!$C$23="No control",(SUMIF(Tank2!$B$32:$B$49,$J2541,Tank2!$C$32:$C$49)*Impacts!$F$9),0)</f>
        <v>0</v>
      </c>
      <c r="N2541" s="10">
        <f>IF(Tank3!$C$23="No control",(SUMIF(Tank3!$B$32:$B$49,$J2541,Tank3!$C$32:$C$49)*Impacts!$F$10),0)</f>
        <v>0</v>
      </c>
      <c r="O2541" s="10">
        <f>IF(Tank4!$C$23="No control",(SUMIF(Tank4!$B$32:$B$49,$J2541,Tank4!$C$32:$C$49)*Impacts!$F$11),0)</f>
        <v>0</v>
      </c>
      <c r="P2541" s="10">
        <f>IF(Tank5!$C$23="No control",(SUMIF(Tank5!$B$32:$B$49,$J2541,Tank5!$C$32:$C$49)*Impacts!$F$12),0)</f>
        <v>0</v>
      </c>
      <c r="Q2541" s="10">
        <f>IFERROR(IF(('Loading-drum,tote'!$C$21)="No control",SUMIF(('Loading-drum,tote'!$B$31:$B$48),$J2541,('Loading-drum,tote'!$D$31:$D$48))*Impacts!$F$13,IF(('Loading-drum,tote'!$C$21)&lt;&gt;"No control",SUMIF(('Loading-drum,tote'!$B$31:$B$48),$J2541,('Loading-drum,tote'!$E$31:$E$48))*Impacts!$F$13,0)),0)</f>
        <v>0</v>
      </c>
      <c r="R2541" s="10">
        <f>IFERROR(IF(('Loading-truck'!$C$21)="No control",SUMIF(('Loading-truck'!$B$31:$B$48),$J2541,('Loading-truck'!$D$31:$D$48))*Impacts!$F$14,IF(('Loading-truck'!$C$21)&lt;&gt;"No control",SUMIF(('Loading-truck'!$B$31:$B$48),$J2541,('Loading-truck'!$E$31:$E$48))*Impacts!$F$14,0)),0)</f>
        <v>0</v>
      </c>
      <c r="S2541" s="10">
        <f>IFERROR(IF(('Loading-rail'!$C$21)="No control",SUMIF(('Loading-rail'!$B$31:$B$48),$J2541,('Loading-rail'!$D$31:$D$48))*Impacts!$F$15,IF(('Loading-rail'!$C$21)&lt;&gt;"No control",SUMIF(('Loading-rail'!$B$31:$B$48),$J2541,('Loading-rail'!$E$31:$E$48))*Impacts!$F$15,0)),0)</f>
        <v>0</v>
      </c>
      <c r="T2541" s="10">
        <f>IF(Flare!$C$7="",0,(SUMIF(Flare!$B$46:$B$185,$J2541,Flare!$E$46:$E$185)*Impacts!$F$16))</f>
        <v>0</v>
      </c>
      <c r="U2541" s="10">
        <f>IF(VCU!$C$9="",0,(SUMIF(VCU!$B$51:$B$193,$J2541,VCU!$E$51:$E$193)*Impacts!$F$17))</f>
        <v>0</v>
      </c>
      <c r="V2541" s="10">
        <f>IF(CAS!$C$7="",0,(SUMIF(CAS!$B$31:$B$167,$J2541,CAS!$E$31:$E$167)*Impacts!$F$18))</f>
        <v>0</v>
      </c>
      <c r="W2541" s="10">
        <f t="shared" si="80"/>
        <v>0</v>
      </c>
      <c r="AK2541" s="10" t="str">
        <f t="array" ref="AK2541">IFERROR(INDEX(SelectedSpecies,SMALL(IF(SelectedSpecies=AK$1,ROW(SelectedSpecies)),ROW(2542:2542)),2),"")</f>
        <v/>
      </c>
      <c r="BE2541" s="10"/>
      <c r="BI2541" s="10"/>
    </row>
    <row r="2542" spans="1:61" ht="21" customHeight="1" x14ac:dyDescent="0.25">
      <c r="A2542" s="10"/>
      <c r="B2542" s="10"/>
      <c r="E2542" s="10"/>
      <c r="G2542" s="10"/>
      <c r="I2542" s="436" t="s">
        <v>4069</v>
      </c>
      <c r="J2542" s="26" t="s">
        <v>4068</v>
      </c>
      <c r="K2542" s="10">
        <v>5.8000000000000007</v>
      </c>
      <c r="L2542" s="73">
        <f>IF(Tank1!$C$23="No control",(SUMIF(Tank1!$B$32:$B$49,$J2542,Tank1!$C$32:$C$49)*Impacts!$F$8),0)</f>
        <v>0</v>
      </c>
      <c r="M2542" s="10">
        <f>IF(Tank2!$C$23="No control",(SUMIF(Tank2!$B$32:$B$49,$J2542,Tank2!$C$32:$C$49)*Impacts!$F$9),0)</f>
        <v>0</v>
      </c>
      <c r="N2542" s="10">
        <f>IF(Tank3!$C$23="No control",(SUMIF(Tank3!$B$32:$B$49,$J2542,Tank3!$C$32:$C$49)*Impacts!$F$10),0)</f>
        <v>0</v>
      </c>
      <c r="O2542" s="10">
        <f>IF(Tank4!$C$23="No control",(SUMIF(Tank4!$B$32:$B$49,$J2542,Tank4!$C$32:$C$49)*Impacts!$F$11),0)</f>
        <v>0</v>
      </c>
      <c r="P2542" s="10">
        <f>IF(Tank5!$C$23="No control",(SUMIF(Tank5!$B$32:$B$49,$J2542,Tank5!$C$32:$C$49)*Impacts!$F$12),0)</f>
        <v>0</v>
      </c>
      <c r="Q2542" s="10">
        <f>IFERROR(IF(('Loading-drum,tote'!$C$21)="No control",SUMIF(('Loading-drum,tote'!$B$31:$B$48),$J2542,('Loading-drum,tote'!$D$31:$D$48))*Impacts!$F$13,IF(('Loading-drum,tote'!$C$21)&lt;&gt;"No control",SUMIF(('Loading-drum,tote'!$B$31:$B$48),$J2542,('Loading-drum,tote'!$E$31:$E$48))*Impacts!$F$13,0)),0)</f>
        <v>0</v>
      </c>
      <c r="R2542" s="10">
        <f>IFERROR(IF(('Loading-truck'!$C$21)="No control",SUMIF(('Loading-truck'!$B$31:$B$48),$J2542,('Loading-truck'!$D$31:$D$48))*Impacts!$F$14,IF(('Loading-truck'!$C$21)&lt;&gt;"No control",SUMIF(('Loading-truck'!$B$31:$B$48),$J2542,('Loading-truck'!$E$31:$E$48))*Impacts!$F$14,0)),0)</f>
        <v>0</v>
      </c>
      <c r="S2542" s="10">
        <f>IFERROR(IF(('Loading-rail'!$C$21)="No control",SUMIF(('Loading-rail'!$B$31:$B$48),$J2542,('Loading-rail'!$D$31:$D$48))*Impacts!$F$15,IF(('Loading-rail'!$C$21)&lt;&gt;"No control",SUMIF(('Loading-rail'!$B$31:$B$48),$J2542,('Loading-rail'!$E$31:$E$48))*Impacts!$F$15,0)),0)</f>
        <v>0</v>
      </c>
      <c r="T2542" s="10">
        <f>IF(Flare!$C$7="",0,(SUMIF(Flare!$B$46:$B$185,$J2542,Flare!$E$46:$E$185)*Impacts!$F$16))</f>
        <v>0</v>
      </c>
      <c r="U2542" s="10">
        <f>IF(VCU!$C$9="",0,(SUMIF(VCU!$B$51:$B$193,$J2542,VCU!$E$51:$E$193)*Impacts!$F$17))</f>
        <v>0</v>
      </c>
      <c r="V2542" s="10">
        <f>IF(CAS!$C$7="",0,(SUMIF(CAS!$B$31:$B$167,$J2542,CAS!$E$31:$E$167)*Impacts!$F$18))</f>
        <v>0</v>
      </c>
      <c r="W2542" s="10">
        <f t="shared" si="80"/>
        <v>0</v>
      </c>
      <c r="AK2542" s="10" t="str">
        <f t="array" ref="AK2542">IFERROR(INDEX(SelectedSpecies,SMALL(IF(SelectedSpecies=AK$1,ROW(SelectedSpecies)),ROW(2543:2543)),2),"")</f>
        <v/>
      </c>
      <c r="BE2542" s="10"/>
      <c r="BI2542" s="10"/>
    </row>
    <row r="2543" spans="1:61" ht="21" customHeight="1" x14ac:dyDescent="0.25">
      <c r="A2543" s="10"/>
      <c r="B2543" s="10"/>
      <c r="E2543" s="10"/>
      <c r="G2543" s="10"/>
      <c r="I2543" s="436" t="s">
        <v>3977</v>
      </c>
      <c r="J2543" s="26" t="s">
        <v>3976</v>
      </c>
      <c r="K2543" s="10">
        <v>6</v>
      </c>
      <c r="L2543" s="73">
        <f>IF(Tank1!$C$23="No control",(SUMIF(Tank1!$B$32:$B$49,$J2543,Tank1!$C$32:$C$49)*Impacts!$F$8),0)</f>
        <v>0</v>
      </c>
      <c r="M2543" s="10">
        <f>IF(Tank2!$C$23="No control",(SUMIF(Tank2!$B$32:$B$49,$J2543,Tank2!$C$32:$C$49)*Impacts!$F$9),0)</f>
        <v>0</v>
      </c>
      <c r="N2543" s="10">
        <f>IF(Tank3!$C$23="No control",(SUMIF(Tank3!$B$32:$B$49,$J2543,Tank3!$C$32:$C$49)*Impacts!$F$10),0)</f>
        <v>0</v>
      </c>
      <c r="O2543" s="10">
        <f>IF(Tank4!$C$23="No control",(SUMIF(Tank4!$B$32:$B$49,$J2543,Tank4!$C$32:$C$49)*Impacts!$F$11),0)</f>
        <v>0</v>
      </c>
      <c r="P2543" s="10">
        <f>IF(Tank5!$C$23="No control",(SUMIF(Tank5!$B$32:$B$49,$J2543,Tank5!$C$32:$C$49)*Impacts!$F$12),0)</f>
        <v>0</v>
      </c>
      <c r="Q2543" s="10">
        <f>IFERROR(IF(('Loading-drum,tote'!$C$21)="No control",SUMIF(('Loading-drum,tote'!$B$31:$B$48),$J2543,('Loading-drum,tote'!$D$31:$D$48))*Impacts!$F$13,IF(('Loading-drum,tote'!$C$21)&lt;&gt;"No control",SUMIF(('Loading-drum,tote'!$B$31:$B$48),$J2543,('Loading-drum,tote'!$E$31:$E$48))*Impacts!$F$13,0)),0)</f>
        <v>0</v>
      </c>
      <c r="R2543" s="10">
        <f>IFERROR(IF(('Loading-truck'!$C$21)="No control",SUMIF(('Loading-truck'!$B$31:$B$48),$J2543,('Loading-truck'!$D$31:$D$48))*Impacts!$F$14,IF(('Loading-truck'!$C$21)&lt;&gt;"No control",SUMIF(('Loading-truck'!$B$31:$B$48),$J2543,('Loading-truck'!$E$31:$E$48))*Impacts!$F$14,0)),0)</f>
        <v>0</v>
      </c>
      <c r="S2543" s="10">
        <f>IFERROR(IF(('Loading-rail'!$C$21)="No control",SUMIF(('Loading-rail'!$B$31:$B$48),$J2543,('Loading-rail'!$D$31:$D$48))*Impacts!$F$15,IF(('Loading-rail'!$C$21)&lt;&gt;"No control",SUMIF(('Loading-rail'!$B$31:$B$48),$J2543,('Loading-rail'!$E$31:$E$48))*Impacts!$F$15,0)),0)</f>
        <v>0</v>
      </c>
      <c r="T2543" s="10">
        <f>IF(Flare!$C$7="",0,(SUMIF(Flare!$B$46:$B$185,$J2543,Flare!$E$46:$E$185)*Impacts!$F$16))</f>
        <v>0</v>
      </c>
      <c r="U2543" s="10">
        <f>IF(VCU!$C$9="",0,(SUMIF(VCU!$B$51:$B$193,$J2543,VCU!$E$51:$E$193)*Impacts!$F$17))</f>
        <v>0</v>
      </c>
      <c r="V2543" s="10">
        <f>IF(CAS!$C$7="",0,(SUMIF(CAS!$B$31:$B$167,$J2543,CAS!$E$31:$E$167)*Impacts!$F$18))</f>
        <v>0</v>
      </c>
      <c r="W2543" s="10">
        <f t="shared" si="80"/>
        <v>0</v>
      </c>
      <c r="AK2543" s="10" t="str">
        <f t="array" ref="AK2543">IFERROR(INDEX(SelectedSpecies,SMALL(IF(SelectedSpecies=AK$1,ROW(SelectedSpecies)),ROW(2544:2544)),2),"")</f>
        <v/>
      </c>
      <c r="BE2543" s="10"/>
      <c r="BI2543" s="10"/>
    </row>
    <row r="2544" spans="1:61" ht="21" customHeight="1" x14ac:dyDescent="0.25">
      <c r="A2544" s="10"/>
      <c r="B2544" s="10"/>
      <c r="E2544" s="10"/>
      <c r="G2544" s="10"/>
      <c r="I2544" s="436" t="s">
        <v>6006</v>
      </c>
      <c r="J2544" s="26" t="s">
        <v>6005</v>
      </c>
      <c r="K2544" s="10">
        <v>1</v>
      </c>
      <c r="L2544" s="73">
        <f>IF(Tank1!$C$23="No control",(SUMIF(Tank1!$B$32:$B$49,$J2544,Tank1!$C$32:$C$49)*Impacts!$F$8),0)</f>
        <v>0</v>
      </c>
      <c r="M2544" s="10">
        <f>IF(Tank2!$C$23="No control",(SUMIF(Tank2!$B$32:$B$49,$J2544,Tank2!$C$32:$C$49)*Impacts!$F$9),0)</f>
        <v>0</v>
      </c>
      <c r="N2544" s="10">
        <f>IF(Tank3!$C$23="No control",(SUMIF(Tank3!$B$32:$B$49,$J2544,Tank3!$C$32:$C$49)*Impacts!$F$10),0)</f>
        <v>0</v>
      </c>
      <c r="O2544" s="10">
        <f>IF(Tank4!$C$23="No control",(SUMIF(Tank4!$B$32:$B$49,$J2544,Tank4!$C$32:$C$49)*Impacts!$F$11),0)</f>
        <v>0</v>
      </c>
      <c r="P2544" s="10">
        <f>IF(Tank5!$C$23="No control",(SUMIF(Tank5!$B$32:$B$49,$J2544,Tank5!$C$32:$C$49)*Impacts!$F$12),0)</f>
        <v>0</v>
      </c>
      <c r="Q2544" s="10">
        <f>IFERROR(IF(('Loading-drum,tote'!$C$21)="No control",SUMIF(('Loading-drum,tote'!$B$31:$B$48),$J2544,('Loading-drum,tote'!$D$31:$D$48))*Impacts!$F$13,IF(('Loading-drum,tote'!$C$21)&lt;&gt;"No control",SUMIF(('Loading-drum,tote'!$B$31:$B$48),$J2544,('Loading-drum,tote'!$E$31:$E$48))*Impacts!$F$13,0)),0)</f>
        <v>0</v>
      </c>
      <c r="R2544" s="10">
        <f>IFERROR(IF(('Loading-truck'!$C$21)="No control",SUMIF(('Loading-truck'!$B$31:$B$48),$J2544,('Loading-truck'!$D$31:$D$48))*Impacts!$F$14,IF(('Loading-truck'!$C$21)&lt;&gt;"No control",SUMIF(('Loading-truck'!$B$31:$B$48),$J2544,('Loading-truck'!$E$31:$E$48))*Impacts!$F$14,0)),0)</f>
        <v>0</v>
      </c>
      <c r="S2544" s="10">
        <f>IFERROR(IF(('Loading-rail'!$C$21)="No control",SUMIF(('Loading-rail'!$B$31:$B$48),$J2544,('Loading-rail'!$D$31:$D$48))*Impacts!$F$15,IF(('Loading-rail'!$C$21)&lt;&gt;"No control",SUMIF(('Loading-rail'!$B$31:$B$48),$J2544,('Loading-rail'!$E$31:$E$48))*Impacts!$F$15,0)),0)</f>
        <v>0</v>
      </c>
      <c r="T2544" s="10">
        <f>IF(Flare!$C$7="",0,(SUMIF(Flare!$B$46:$B$185,$J2544,Flare!$E$46:$E$185)*Impacts!$F$16))</f>
        <v>0</v>
      </c>
      <c r="U2544" s="10">
        <f>IF(VCU!$C$9="",0,(SUMIF(VCU!$B$51:$B$193,$J2544,VCU!$E$51:$E$193)*Impacts!$F$17))</f>
        <v>0</v>
      </c>
      <c r="V2544" s="10">
        <f>IF(CAS!$C$7="",0,(SUMIF(CAS!$B$31:$B$167,$J2544,CAS!$E$31:$E$167)*Impacts!$F$18))</f>
        <v>0</v>
      </c>
      <c r="W2544" s="10">
        <f t="shared" si="80"/>
        <v>0</v>
      </c>
      <c r="AK2544" s="10" t="str">
        <f t="array" ref="AK2544">IFERROR(INDEX(SelectedSpecies,SMALL(IF(SelectedSpecies=AK$1,ROW(SelectedSpecies)),ROW(2545:2545)),2),"")</f>
        <v/>
      </c>
      <c r="BE2544" s="10"/>
      <c r="BI2544" s="10"/>
    </row>
    <row r="2545" spans="1:61" ht="21" customHeight="1" x14ac:dyDescent="0.25">
      <c r="A2545" s="10"/>
      <c r="B2545" s="10"/>
      <c r="E2545" s="10"/>
      <c r="G2545" s="10"/>
      <c r="I2545" s="436" t="s">
        <v>2975</v>
      </c>
      <c r="J2545" s="26" t="s">
        <v>2974</v>
      </c>
      <c r="K2545" s="10">
        <v>10</v>
      </c>
      <c r="L2545" s="73">
        <f>IF(Tank1!$C$23="No control",(SUMIF(Tank1!$B$32:$B$49,$J2545,Tank1!$C$32:$C$49)*Impacts!$F$8),0)</f>
        <v>0</v>
      </c>
      <c r="M2545" s="10">
        <f>IF(Tank2!$C$23="No control",(SUMIF(Tank2!$B$32:$B$49,$J2545,Tank2!$C$32:$C$49)*Impacts!$F$9),0)</f>
        <v>0</v>
      </c>
      <c r="N2545" s="10">
        <f>IF(Tank3!$C$23="No control",(SUMIF(Tank3!$B$32:$B$49,$J2545,Tank3!$C$32:$C$49)*Impacts!$F$10),0)</f>
        <v>0</v>
      </c>
      <c r="O2545" s="10">
        <f>IF(Tank4!$C$23="No control",(SUMIF(Tank4!$B$32:$B$49,$J2545,Tank4!$C$32:$C$49)*Impacts!$F$11),0)</f>
        <v>0</v>
      </c>
      <c r="P2545" s="10">
        <f>IF(Tank5!$C$23="No control",(SUMIF(Tank5!$B$32:$B$49,$J2545,Tank5!$C$32:$C$49)*Impacts!$F$12),0)</f>
        <v>0</v>
      </c>
      <c r="Q2545" s="10">
        <f>IFERROR(IF(('Loading-drum,tote'!$C$21)="No control",SUMIF(('Loading-drum,tote'!$B$31:$B$48),$J2545,('Loading-drum,tote'!$D$31:$D$48))*Impacts!$F$13,IF(('Loading-drum,tote'!$C$21)&lt;&gt;"No control",SUMIF(('Loading-drum,tote'!$B$31:$B$48),$J2545,('Loading-drum,tote'!$E$31:$E$48))*Impacts!$F$13,0)),0)</f>
        <v>0</v>
      </c>
      <c r="R2545" s="10">
        <f>IFERROR(IF(('Loading-truck'!$C$21)="No control",SUMIF(('Loading-truck'!$B$31:$B$48),$J2545,('Loading-truck'!$D$31:$D$48))*Impacts!$F$14,IF(('Loading-truck'!$C$21)&lt;&gt;"No control",SUMIF(('Loading-truck'!$B$31:$B$48),$J2545,('Loading-truck'!$E$31:$E$48))*Impacts!$F$14,0)),0)</f>
        <v>0</v>
      </c>
      <c r="S2545" s="10">
        <f>IFERROR(IF(('Loading-rail'!$C$21)="No control",SUMIF(('Loading-rail'!$B$31:$B$48),$J2545,('Loading-rail'!$D$31:$D$48))*Impacts!$F$15,IF(('Loading-rail'!$C$21)&lt;&gt;"No control",SUMIF(('Loading-rail'!$B$31:$B$48),$J2545,('Loading-rail'!$E$31:$E$48))*Impacts!$F$15,0)),0)</f>
        <v>0</v>
      </c>
      <c r="T2545" s="10">
        <f>IF(Flare!$C$7="",0,(SUMIF(Flare!$B$46:$B$185,$J2545,Flare!$E$46:$E$185)*Impacts!$F$16))</f>
        <v>0</v>
      </c>
      <c r="U2545" s="10">
        <f>IF(VCU!$C$9="",0,(SUMIF(VCU!$B$51:$B$193,$J2545,VCU!$E$51:$E$193)*Impacts!$F$17))</f>
        <v>0</v>
      </c>
      <c r="V2545" s="10">
        <f>IF(CAS!$C$7="",0,(SUMIF(CAS!$B$31:$B$167,$J2545,CAS!$E$31:$E$167)*Impacts!$F$18))</f>
        <v>0</v>
      </c>
      <c r="W2545" s="10">
        <f t="shared" si="80"/>
        <v>0</v>
      </c>
      <c r="AK2545" s="10" t="str">
        <f t="array" ref="AK2545">IFERROR(INDEX(SelectedSpecies,SMALL(IF(SelectedSpecies=AK$1,ROW(SelectedSpecies)),ROW(2546:2546)),2),"")</f>
        <v/>
      </c>
      <c r="BE2545" s="10"/>
      <c r="BI2545" s="10"/>
    </row>
    <row r="2546" spans="1:61" ht="21" customHeight="1" x14ac:dyDescent="0.25">
      <c r="A2546" s="10"/>
      <c r="B2546" s="10"/>
      <c r="E2546" s="10"/>
      <c r="G2546" s="10"/>
      <c r="I2546" s="436" t="s">
        <v>6008</v>
      </c>
      <c r="J2546" s="26" t="s">
        <v>6007</v>
      </c>
      <c r="K2546" s="10">
        <v>1</v>
      </c>
      <c r="L2546" s="73">
        <f>IF(Tank1!$C$23="No control",(SUMIF(Tank1!$B$32:$B$49,$J2546,Tank1!$C$32:$C$49)*Impacts!$F$8),0)</f>
        <v>0</v>
      </c>
      <c r="M2546" s="10">
        <f>IF(Tank2!$C$23="No control",(SUMIF(Tank2!$B$32:$B$49,$J2546,Tank2!$C$32:$C$49)*Impacts!$F$9),0)</f>
        <v>0</v>
      </c>
      <c r="N2546" s="10">
        <f>IF(Tank3!$C$23="No control",(SUMIF(Tank3!$B$32:$B$49,$J2546,Tank3!$C$32:$C$49)*Impacts!$F$10),0)</f>
        <v>0</v>
      </c>
      <c r="O2546" s="10">
        <f>IF(Tank4!$C$23="No control",(SUMIF(Tank4!$B$32:$B$49,$J2546,Tank4!$C$32:$C$49)*Impacts!$F$11),0)</f>
        <v>0</v>
      </c>
      <c r="P2546" s="10">
        <f>IF(Tank5!$C$23="No control",(SUMIF(Tank5!$B$32:$B$49,$J2546,Tank5!$C$32:$C$49)*Impacts!$F$12),0)</f>
        <v>0</v>
      </c>
      <c r="Q2546" s="10">
        <f>IFERROR(IF(('Loading-drum,tote'!$C$21)="No control",SUMIF(('Loading-drum,tote'!$B$31:$B$48),$J2546,('Loading-drum,tote'!$D$31:$D$48))*Impacts!$F$13,IF(('Loading-drum,tote'!$C$21)&lt;&gt;"No control",SUMIF(('Loading-drum,tote'!$B$31:$B$48),$J2546,('Loading-drum,tote'!$E$31:$E$48))*Impacts!$F$13,0)),0)</f>
        <v>0</v>
      </c>
      <c r="R2546" s="10">
        <f>IFERROR(IF(('Loading-truck'!$C$21)="No control",SUMIF(('Loading-truck'!$B$31:$B$48),$J2546,('Loading-truck'!$D$31:$D$48))*Impacts!$F$14,IF(('Loading-truck'!$C$21)&lt;&gt;"No control",SUMIF(('Loading-truck'!$B$31:$B$48),$J2546,('Loading-truck'!$E$31:$E$48))*Impacts!$F$14,0)),0)</f>
        <v>0</v>
      </c>
      <c r="S2546" s="10">
        <f>IFERROR(IF(('Loading-rail'!$C$21)="No control",SUMIF(('Loading-rail'!$B$31:$B$48),$J2546,('Loading-rail'!$D$31:$D$48))*Impacts!$F$15,IF(('Loading-rail'!$C$21)&lt;&gt;"No control",SUMIF(('Loading-rail'!$B$31:$B$48),$J2546,('Loading-rail'!$E$31:$E$48))*Impacts!$F$15,0)),0)</f>
        <v>0</v>
      </c>
      <c r="T2546" s="10">
        <f>IF(Flare!$C$7="",0,(SUMIF(Flare!$B$46:$B$185,$J2546,Flare!$E$46:$E$185)*Impacts!$F$16))</f>
        <v>0</v>
      </c>
      <c r="U2546" s="10">
        <f>IF(VCU!$C$9="",0,(SUMIF(VCU!$B$51:$B$193,$J2546,VCU!$E$51:$E$193)*Impacts!$F$17))</f>
        <v>0</v>
      </c>
      <c r="V2546" s="10">
        <f>IF(CAS!$C$7="",0,(SUMIF(CAS!$B$31:$B$167,$J2546,CAS!$E$31:$E$167)*Impacts!$F$18))</f>
        <v>0</v>
      </c>
      <c r="W2546" s="10">
        <f t="shared" si="80"/>
        <v>0</v>
      </c>
      <c r="AK2546" s="10" t="str">
        <f t="array" ref="AK2546">IFERROR(INDEX(SelectedSpecies,SMALL(IF(SelectedSpecies=AK$1,ROW(SelectedSpecies)),ROW(2547:2547)),2),"")</f>
        <v/>
      </c>
      <c r="BE2546" s="10"/>
      <c r="BI2546" s="10"/>
    </row>
    <row r="2547" spans="1:61" ht="21" customHeight="1" x14ac:dyDescent="0.25">
      <c r="A2547" s="10"/>
      <c r="B2547" s="10"/>
      <c r="E2547" s="10"/>
      <c r="G2547" s="10"/>
      <c r="I2547" s="436" t="s">
        <v>6878</v>
      </c>
      <c r="J2547" s="26" t="s">
        <v>6877</v>
      </c>
      <c r="K2547" s="10">
        <v>0.5</v>
      </c>
      <c r="L2547" s="73">
        <f>IF(Tank1!$C$23="No control",(SUMIF(Tank1!$B$32:$B$49,$J2547,Tank1!$C$32:$C$49)*Impacts!$F$8),0)</f>
        <v>0</v>
      </c>
      <c r="M2547" s="10">
        <f>IF(Tank2!$C$23="No control",(SUMIF(Tank2!$B$32:$B$49,$J2547,Tank2!$C$32:$C$49)*Impacts!$F$9),0)</f>
        <v>0</v>
      </c>
      <c r="N2547" s="10">
        <f>IF(Tank3!$C$23="No control",(SUMIF(Tank3!$B$32:$B$49,$J2547,Tank3!$C$32:$C$49)*Impacts!$F$10),0)</f>
        <v>0</v>
      </c>
      <c r="O2547" s="10">
        <f>IF(Tank4!$C$23="No control",(SUMIF(Tank4!$B$32:$B$49,$J2547,Tank4!$C$32:$C$49)*Impacts!$F$11),0)</f>
        <v>0</v>
      </c>
      <c r="P2547" s="10">
        <f>IF(Tank5!$C$23="No control",(SUMIF(Tank5!$B$32:$B$49,$J2547,Tank5!$C$32:$C$49)*Impacts!$F$12),0)</f>
        <v>0</v>
      </c>
      <c r="Q2547" s="10">
        <f>IFERROR(IF(('Loading-drum,tote'!$C$21)="No control",SUMIF(('Loading-drum,tote'!$B$31:$B$48),$J2547,('Loading-drum,tote'!$D$31:$D$48))*Impacts!$F$13,IF(('Loading-drum,tote'!$C$21)&lt;&gt;"No control",SUMIF(('Loading-drum,tote'!$B$31:$B$48),$J2547,('Loading-drum,tote'!$E$31:$E$48))*Impacts!$F$13,0)),0)</f>
        <v>0</v>
      </c>
      <c r="R2547" s="10">
        <f>IFERROR(IF(('Loading-truck'!$C$21)="No control",SUMIF(('Loading-truck'!$B$31:$B$48),$J2547,('Loading-truck'!$D$31:$D$48))*Impacts!$F$14,IF(('Loading-truck'!$C$21)&lt;&gt;"No control",SUMIF(('Loading-truck'!$B$31:$B$48),$J2547,('Loading-truck'!$E$31:$E$48))*Impacts!$F$14,0)),0)</f>
        <v>0</v>
      </c>
      <c r="S2547" s="10">
        <f>IFERROR(IF(('Loading-rail'!$C$21)="No control",SUMIF(('Loading-rail'!$B$31:$B$48),$J2547,('Loading-rail'!$D$31:$D$48))*Impacts!$F$15,IF(('Loading-rail'!$C$21)&lt;&gt;"No control",SUMIF(('Loading-rail'!$B$31:$B$48),$J2547,('Loading-rail'!$E$31:$E$48))*Impacts!$F$15,0)),0)</f>
        <v>0</v>
      </c>
      <c r="T2547" s="10">
        <f>IF(Flare!$C$7="",0,(SUMIF(Flare!$B$46:$B$185,$J2547,Flare!$E$46:$E$185)*Impacts!$F$16))</f>
        <v>0</v>
      </c>
      <c r="U2547" s="10">
        <f>IF(VCU!$C$9="",0,(SUMIF(VCU!$B$51:$B$193,$J2547,VCU!$E$51:$E$193)*Impacts!$F$17))</f>
        <v>0</v>
      </c>
      <c r="V2547" s="10">
        <f>IF(CAS!$C$7="",0,(SUMIF(CAS!$B$31:$B$167,$J2547,CAS!$E$31:$E$167)*Impacts!$F$18))</f>
        <v>0</v>
      </c>
      <c r="W2547" s="10">
        <f t="shared" si="80"/>
        <v>0</v>
      </c>
      <c r="AK2547" s="10" t="str">
        <f t="array" ref="AK2547">IFERROR(INDEX(SelectedSpecies,SMALL(IF(SelectedSpecies=AK$1,ROW(SelectedSpecies)),ROW(2548:2548)),2),"")</f>
        <v/>
      </c>
      <c r="BE2547" s="10"/>
      <c r="BI2547" s="10"/>
    </row>
    <row r="2548" spans="1:61" ht="21" customHeight="1" x14ac:dyDescent="0.25">
      <c r="A2548" s="10"/>
      <c r="B2548" s="10"/>
      <c r="E2548" s="10"/>
      <c r="G2548" s="10"/>
      <c r="I2548" s="436" t="s">
        <v>4569</v>
      </c>
      <c r="J2548" s="26" t="s">
        <v>4568</v>
      </c>
      <c r="K2548" s="10">
        <v>4</v>
      </c>
      <c r="L2548" s="73">
        <f>IF(Tank1!$C$23="No control",(SUMIF(Tank1!$B$32:$B$49,$J2548,Tank1!$C$32:$C$49)*Impacts!$F$8),0)</f>
        <v>0</v>
      </c>
      <c r="M2548" s="10">
        <f>IF(Tank2!$C$23="No control",(SUMIF(Tank2!$B$32:$B$49,$J2548,Tank2!$C$32:$C$49)*Impacts!$F$9),0)</f>
        <v>0</v>
      </c>
      <c r="N2548" s="10">
        <f>IF(Tank3!$C$23="No control",(SUMIF(Tank3!$B$32:$B$49,$J2548,Tank3!$C$32:$C$49)*Impacts!$F$10),0)</f>
        <v>0</v>
      </c>
      <c r="O2548" s="10">
        <f>IF(Tank4!$C$23="No control",(SUMIF(Tank4!$B$32:$B$49,$J2548,Tank4!$C$32:$C$49)*Impacts!$F$11),0)</f>
        <v>0</v>
      </c>
      <c r="P2548" s="10">
        <f>IF(Tank5!$C$23="No control",(SUMIF(Tank5!$B$32:$B$49,$J2548,Tank5!$C$32:$C$49)*Impacts!$F$12),0)</f>
        <v>0</v>
      </c>
      <c r="Q2548" s="10">
        <f>IFERROR(IF(('Loading-drum,tote'!$C$21)="No control",SUMIF(('Loading-drum,tote'!$B$31:$B$48),$J2548,('Loading-drum,tote'!$D$31:$D$48))*Impacts!$F$13,IF(('Loading-drum,tote'!$C$21)&lt;&gt;"No control",SUMIF(('Loading-drum,tote'!$B$31:$B$48),$J2548,('Loading-drum,tote'!$E$31:$E$48))*Impacts!$F$13,0)),0)</f>
        <v>0</v>
      </c>
      <c r="R2548" s="10">
        <f>IFERROR(IF(('Loading-truck'!$C$21)="No control",SUMIF(('Loading-truck'!$B$31:$B$48),$J2548,('Loading-truck'!$D$31:$D$48))*Impacts!$F$14,IF(('Loading-truck'!$C$21)&lt;&gt;"No control",SUMIF(('Loading-truck'!$B$31:$B$48),$J2548,('Loading-truck'!$E$31:$E$48))*Impacts!$F$14,0)),0)</f>
        <v>0</v>
      </c>
      <c r="S2548" s="10">
        <f>IFERROR(IF(('Loading-rail'!$C$21)="No control",SUMIF(('Loading-rail'!$B$31:$B$48),$J2548,('Loading-rail'!$D$31:$D$48))*Impacts!$F$15,IF(('Loading-rail'!$C$21)&lt;&gt;"No control",SUMIF(('Loading-rail'!$B$31:$B$48),$J2548,('Loading-rail'!$E$31:$E$48))*Impacts!$F$15,0)),0)</f>
        <v>0</v>
      </c>
      <c r="T2548" s="10">
        <f>IF(Flare!$C$7="",0,(SUMIF(Flare!$B$46:$B$185,$J2548,Flare!$E$46:$E$185)*Impacts!$F$16))</f>
        <v>0</v>
      </c>
      <c r="U2548" s="10">
        <f>IF(VCU!$C$9="",0,(SUMIF(VCU!$B$51:$B$193,$J2548,VCU!$E$51:$E$193)*Impacts!$F$17))</f>
        <v>0</v>
      </c>
      <c r="V2548" s="10">
        <f>IF(CAS!$C$7="",0,(SUMIF(CAS!$B$31:$B$167,$J2548,CAS!$E$31:$E$167)*Impacts!$F$18))</f>
        <v>0</v>
      </c>
      <c r="W2548" s="10">
        <f t="shared" si="80"/>
        <v>0</v>
      </c>
      <c r="AK2548" s="10" t="str">
        <f t="array" ref="AK2548">IFERROR(INDEX(SelectedSpecies,SMALL(IF(SelectedSpecies=AK$1,ROW(SelectedSpecies)),ROW(2549:2549)),2),"")</f>
        <v/>
      </c>
      <c r="BE2548" s="10"/>
      <c r="BI2548" s="10"/>
    </row>
    <row r="2549" spans="1:61" ht="21" customHeight="1" x14ac:dyDescent="0.25">
      <c r="A2549" s="10"/>
      <c r="B2549" s="10"/>
      <c r="E2549" s="10"/>
      <c r="G2549" s="10"/>
      <c r="I2549" s="436" t="s">
        <v>2977</v>
      </c>
      <c r="J2549" s="26" t="s">
        <v>2976</v>
      </c>
      <c r="K2549" s="10">
        <v>10</v>
      </c>
      <c r="L2549" s="73">
        <f>IF(Tank1!$C$23="No control",(SUMIF(Tank1!$B$32:$B$49,$J2549,Tank1!$C$32:$C$49)*Impacts!$F$8),0)</f>
        <v>0</v>
      </c>
      <c r="M2549" s="10">
        <f>IF(Tank2!$C$23="No control",(SUMIF(Tank2!$B$32:$B$49,$J2549,Tank2!$C$32:$C$49)*Impacts!$F$9),0)</f>
        <v>0</v>
      </c>
      <c r="N2549" s="10">
        <f>IF(Tank3!$C$23="No control",(SUMIF(Tank3!$B$32:$B$49,$J2549,Tank3!$C$32:$C$49)*Impacts!$F$10),0)</f>
        <v>0</v>
      </c>
      <c r="O2549" s="10">
        <f>IF(Tank4!$C$23="No control",(SUMIF(Tank4!$B$32:$B$49,$J2549,Tank4!$C$32:$C$49)*Impacts!$F$11),0)</f>
        <v>0</v>
      </c>
      <c r="P2549" s="10">
        <f>IF(Tank5!$C$23="No control",(SUMIF(Tank5!$B$32:$B$49,$J2549,Tank5!$C$32:$C$49)*Impacts!$F$12),0)</f>
        <v>0</v>
      </c>
      <c r="Q2549" s="10">
        <f>IFERROR(IF(('Loading-drum,tote'!$C$21)="No control",SUMIF(('Loading-drum,tote'!$B$31:$B$48),$J2549,('Loading-drum,tote'!$D$31:$D$48))*Impacts!$F$13,IF(('Loading-drum,tote'!$C$21)&lt;&gt;"No control",SUMIF(('Loading-drum,tote'!$B$31:$B$48),$J2549,('Loading-drum,tote'!$E$31:$E$48))*Impacts!$F$13,0)),0)</f>
        <v>0</v>
      </c>
      <c r="R2549" s="10">
        <f>IFERROR(IF(('Loading-truck'!$C$21)="No control",SUMIF(('Loading-truck'!$B$31:$B$48),$J2549,('Loading-truck'!$D$31:$D$48))*Impacts!$F$14,IF(('Loading-truck'!$C$21)&lt;&gt;"No control",SUMIF(('Loading-truck'!$B$31:$B$48),$J2549,('Loading-truck'!$E$31:$E$48))*Impacts!$F$14,0)),0)</f>
        <v>0</v>
      </c>
      <c r="S2549" s="10">
        <f>IFERROR(IF(('Loading-rail'!$C$21)="No control",SUMIF(('Loading-rail'!$B$31:$B$48),$J2549,('Loading-rail'!$D$31:$D$48))*Impacts!$F$15,IF(('Loading-rail'!$C$21)&lt;&gt;"No control",SUMIF(('Loading-rail'!$B$31:$B$48),$J2549,('Loading-rail'!$E$31:$E$48))*Impacts!$F$15,0)),0)</f>
        <v>0</v>
      </c>
      <c r="T2549" s="10">
        <f>IF(Flare!$C$7="",0,(SUMIF(Flare!$B$46:$B$185,$J2549,Flare!$E$46:$E$185)*Impacts!$F$16))</f>
        <v>0</v>
      </c>
      <c r="U2549" s="10">
        <f>IF(VCU!$C$9="",0,(SUMIF(VCU!$B$51:$B$193,$J2549,VCU!$E$51:$E$193)*Impacts!$F$17))</f>
        <v>0</v>
      </c>
      <c r="V2549" s="10">
        <f>IF(CAS!$C$7="",0,(SUMIF(CAS!$B$31:$B$167,$J2549,CAS!$E$31:$E$167)*Impacts!$F$18))</f>
        <v>0</v>
      </c>
      <c r="W2549" s="10">
        <f t="shared" si="80"/>
        <v>0</v>
      </c>
      <c r="AK2549" s="10" t="str">
        <f t="array" ref="AK2549">IFERROR(INDEX(SelectedSpecies,SMALL(IF(SelectedSpecies=AK$1,ROW(SelectedSpecies)),ROW(2550:2550)),2),"")</f>
        <v/>
      </c>
      <c r="BE2549" s="10"/>
      <c r="BI2549" s="10"/>
    </row>
    <row r="2550" spans="1:61" ht="21" customHeight="1" x14ac:dyDescent="0.25">
      <c r="A2550" s="10"/>
      <c r="B2550" s="10"/>
      <c r="E2550" s="10"/>
      <c r="G2550" s="10"/>
      <c r="I2550" s="436" t="s">
        <v>2979</v>
      </c>
      <c r="J2550" s="26" t="s">
        <v>2978</v>
      </c>
      <c r="K2550" s="10">
        <v>10</v>
      </c>
      <c r="L2550" s="73">
        <f>IF(Tank1!$C$23="No control",(SUMIF(Tank1!$B$32:$B$49,$J2550,Tank1!$C$32:$C$49)*Impacts!$F$8),0)</f>
        <v>0</v>
      </c>
      <c r="M2550" s="10">
        <f>IF(Tank2!$C$23="No control",(SUMIF(Tank2!$B$32:$B$49,$J2550,Tank2!$C$32:$C$49)*Impacts!$F$9),0)</f>
        <v>0</v>
      </c>
      <c r="N2550" s="10">
        <f>IF(Tank3!$C$23="No control",(SUMIF(Tank3!$B$32:$B$49,$J2550,Tank3!$C$32:$C$49)*Impacts!$F$10),0)</f>
        <v>0</v>
      </c>
      <c r="O2550" s="10">
        <f>IF(Tank4!$C$23="No control",(SUMIF(Tank4!$B$32:$B$49,$J2550,Tank4!$C$32:$C$49)*Impacts!$F$11),0)</f>
        <v>0</v>
      </c>
      <c r="P2550" s="10">
        <f>IF(Tank5!$C$23="No control",(SUMIF(Tank5!$B$32:$B$49,$J2550,Tank5!$C$32:$C$49)*Impacts!$F$12),0)</f>
        <v>0</v>
      </c>
      <c r="Q2550" s="10">
        <f>IFERROR(IF(('Loading-drum,tote'!$C$21)="No control",SUMIF(('Loading-drum,tote'!$B$31:$B$48),$J2550,('Loading-drum,tote'!$D$31:$D$48))*Impacts!$F$13,IF(('Loading-drum,tote'!$C$21)&lt;&gt;"No control",SUMIF(('Loading-drum,tote'!$B$31:$B$48),$J2550,('Loading-drum,tote'!$E$31:$E$48))*Impacts!$F$13,0)),0)</f>
        <v>0</v>
      </c>
      <c r="R2550" s="10">
        <f>IFERROR(IF(('Loading-truck'!$C$21)="No control",SUMIF(('Loading-truck'!$B$31:$B$48),$J2550,('Loading-truck'!$D$31:$D$48))*Impacts!$F$14,IF(('Loading-truck'!$C$21)&lt;&gt;"No control",SUMIF(('Loading-truck'!$B$31:$B$48),$J2550,('Loading-truck'!$E$31:$E$48))*Impacts!$F$14,0)),0)</f>
        <v>0</v>
      </c>
      <c r="S2550" s="10">
        <f>IFERROR(IF(('Loading-rail'!$C$21)="No control",SUMIF(('Loading-rail'!$B$31:$B$48),$J2550,('Loading-rail'!$D$31:$D$48))*Impacts!$F$15,IF(('Loading-rail'!$C$21)&lt;&gt;"No control",SUMIF(('Loading-rail'!$B$31:$B$48),$J2550,('Loading-rail'!$E$31:$E$48))*Impacts!$F$15,0)),0)</f>
        <v>0</v>
      </c>
      <c r="T2550" s="10">
        <f>IF(Flare!$C$7="",0,(SUMIF(Flare!$B$46:$B$185,$J2550,Flare!$E$46:$E$185)*Impacts!$F$16))</f>
        <v>0</v>
      </c>
      <c r="U2550" s="10">
        <f>IF(VCU!$C$9="",0,(SUMIF(VCU!$B$51:$B$193,$J2550,VCU!$E$51:$E$193)*Impacts!$F$17))</f>
        <v>0</v>
      </c>
      <c r="V2550" s="10">
        <f>IF(CAS!$C$7="",0,(SUMIF(CAS!$B$31:$B$167,$J2550,CAS!$E$31:$E$167)*Impacts!$F$18))</f>
        <v>0</v>
      </c>
      <c r="W2550" s="10">
        <f t="shared" si="80"/>
        <v>0</v>
      </c>
      <c r="AK2550" s="10" t="str">
        <f t="array" ref="AK2550">IFERROR(INDEX(SelectedSpecies,SMALL(IF(SelectedSpecies=AK$1,ROW(SelectedSpecies)),ROW(2551:2551)),2),"")</f>
        <v/>
      </c>
      <c r="BE2550" s="10"/>
      <c r="BI2550" s="10"/>
    </row>
    <row r="2551" spans="1:61" ht="21" customHeight="1" x14ac:dyDescent="0.25">
      <c r="A2551" s="10"/>
      <c r="B2551" s="10"/>
      <c r="E2551" s="10"/>
      <c r="G2551" s="10"/>
      <c r="I2551" s="436" t="s">
        <v>6010</v>
      </c>
      <c r="J2551" s="26" t="s">
        <v>6009</v>
      </c>
      <c r="K2551" s="10">
        <v>1</v>
      </c>
      <c r="L2551" s="73">
        <f>IF(Tank1!$C$23="No control",(SUMIF(Tank1!$B$32:$B$49,$J2551,Tank1!$C$32:$C$49)*Impacts!$F$8),0)</f>
        <v>0</v>
      </c>
      <c r="M2551" s="10">
        <f>IF(Tank2!$C$23="No control",(SUMIF(Tank2!$B$32:$B$49,$J2551,Tank2!$C$32:$C$49)*Impacts!$F$9),0)</f>
        <v>0</v>
      </c>
      <c r="N2551" s="10">
        <f>IF(Tank3!$C$23="No control",(SUMIF(Tank3!$B$32:$B$49,$J2551,Tank3!$C$32:$C$49)*Impacts!$F$10),0)</f>
        <v>0</v>
      </c>
      <c r="O2551" s="10">
        <f>IF(Tank4!$C$23="No control",(SUMIF(Tank4!$B$32:$B$49,$J2551,Tank4!$C$32:$C$49)*Impacts!$F$11),0)</f>
        <v>0</v>
      </c>
      <c r="P2551" s="10">
        <f>IF(Tank5!$C$23="No control",(SUMIF(Tank5!$B$32:$B$49,$J2551,Tank5!$C$32:$C$49)*Impacts!$F$12),0)</f>
        <v>0</v>
      </c>
      <c r="Q2551" s="10">
        <f>IFERROR(IF(('Loading-drum,tote'!$C$21)="No control",SUMIF(('Loading-drum,tote'!$B$31:$B$48),$J2551,('Loading-drum,tote'!$D$31:$D$48))*Impacts!$F$13,IF(('Loading-drum,tote'!$C$21)&lt;&gt;"No control",SUMIF(('Loading-drum,tote'!$B$31:$B$48),$J2551,('Loading-drum,tote'!$E$31:$E$48))*Impacts!$F$13,0)),0)</f>
        <v>0</v>
      </c>
      <c r="R2551" s="10">
        <f>IFERROR(IF(('Loading-truck'!$C$21)="No control",SUMIF(('Loading-truck'!$B$31:$B$48),$J2551,('Loading-truck'!$D$31:$D$48))*Impacts!$F$14,IF(('Loading-truck'!$C$21)&lt;&gt;"No control",SUMIF(('Loading-truck'!$B$31:$B$48),$J2551,('Loading-truck'!$E$31:$E$48))*Impacts!$F$14,0)),0)</f>
        <v>0</v>
      </c>
      <c r="S2551" s="10">
        <f>IFERROR(IF(('Loading-rail'!$C$21)="No control",SUMIF(('Loading-rail'!$B$31:$B$48),$J2551,('Loading-rail'!$D$31:$D$48))*Impacts!$F$15,IF(('Loading-rail'!$C$21)&lt;&gt;"No control",SUMIF(('Loading-rail'!$B$31:$B$48),$J2551,('Loading-rail'!$E$31:$E$48))*Impacts!$F$15,0)),0)</f>
        <v>0</v>
      </c>
      <c r="T2551" s="10">
        <f>IF(Flare!$C$7="",0,(SUMIF(Flare!$B$46:$B$185,$J2551,Flare!$E$46:$E$185)*Impacts!$F$16))</f>
        <v>0</v>
      </c>
      <c r="U2551" s="10">
        <f>IF(VCU!$C$9="",0,(SUMIF(VCU!$B$51:$B$193,$J2551,VCU!$E$51:$E$193)*Impacts!$F$17))</f>
        <v>0</v>
      </c>
      <c r="V2551" s="10">
        <f>IF(CAS!$C$7="",0,(SUMIF(CAS!$B$31:$B$167,$J2551,CAS!$E$31:$E$167)*Impacts!$F$18))</f>
        <v>0</v>
      </c>
      <c r="W2551" s="10">
        <f t="shared" si="80"/>
        <v>0</v>
      </c>
      <c r="AK2551" s="10" t="str">
        <f t="array" ref="AK2551">IFERROR(INDEX(SelectedSpecies,SMALL(IF(SelectedSpecies=AK$1,ROW(SelectedSpecies)),ROW(2552:2552)),2),"")</f>
        <v/>
      </c>
      <c r="BE2551" s="10"/>
      <c r="BI2551" s="10"/>
    </row>
    <row r="2552" spans="1:61" ht="21" customHeight="1" x14ac:dyDescent="0.25">
      <c r="A2552" s="10"/>
      <c r="B2552" s="10"/>
      <c r="E2552" s="10"/>
      <c r="G2552" s="10"/>
      <c r="I2552" s="436" t="s">
        <v>6012</v>
      </c>
      <c r="J2552" s="26" t="s">
        <v>6011</v>
      </c>
      <c r="K2552" s="10">
        <v>1</v>
      </c>
      <c r="L2552" s="73">
        <f>IF(Tank1!$C$23="No control",(SUMIF(Tank1!$B$32:$B$49,$J2552,Tank1!$C$32:$C$49)*Impacts!$F$8),0)</f>
        <v>0</v>
      </c>
      <c r="M2552" s="10">
        <f>IF(Tank2!$C$23="No control",(SUMIF(Tank2!$B$32:$B$49,$J2552,Tank2!$C$32:$C$49)*Impacts!$F$9),0)</f>
        <v>0</v>
      </c>
      <c r="N2552" s="10">
        <f>IF(Tank3!$C$23="No control",(SUMIF(Tank3!$B$32:$B$49,$J2552,Tank3!$C$32:$C$49)*Impacts!$F$10),0)</f>
        <v>0</v>
      </c>
      <c r="O2552" s="10">
        <f>IF(Tank4!$C$23="No control",(SUMIF(Tank4!$B$32:$B$49,$J2552,Tank4!$C$32:$C$49)*Impacts!$F$11),0)</f>
        <v>0</v>
      </c>
      <c r="P2552" s="10">
        <f>IF(Tank5!$C$23="No control",(SUMIF(Tank5!$B$32:$B$49,$J2552,Tank5!$C$32:$C$49)*Impacts!$F$12),0)</f>
        <v>0</v>
      </c>
      <c r="Q2552" s="10">
        <f>IFERROR(IF(('Loading-drum,tote'!$C$21)="No control",SUMIF(('Loading-drum,tote'!$B$31:$B$48),$J2552,('Loading-drum,tote'!$D$31:$D$48))*Impacts!$F$13,IF(('Loading-drum,tote'!$C$21)&lt;&gt;"No control",SUMIF(('Loading-drum,tote'!$B$31:$B$48),$J2552,('Loading-drum,tote'!$E$31:$E$48))*Impacts!$F$13,0)),0)</f>
        <v>0</v>
      </c>
      <c r="R2552" s="10">
        <f>IFERROR(IF(('Loading-truck'!$C$21)="No control",SUMIF(('Loading-truck'!$B$31:$B$48),$J2552,('Loading-truck'!$D$31:$D$48))*Impacts!$F$14,IF(('Loading-truck'!$C$21)&lt;&gt;"No control",SUMIF(('Loading-truck'!$B$31:$B$48),$J2552,('Loading-truck'!$E$31:$E$48))*Impacts!$F$14,0)),0)</f>
        <v>0</v>
      </c>
      <c r="S2552" s="10">
        <f>IFERROR(IF(('Loading-rail'!$C$21)="No control",SUMIF(('Loading-rail'!$B$31:$B$48),$J2552,('Loading-rail'!$D$31:$D$48))*Impacts!$F$15,IF(('Loading-rail'!$C$21)&lt;&gt;"No control",SUMIF(('Loading-rail'!$B$31:$B$48),$J2552,('Loading-rail'!$E$31:$E$48))*Impacts!$F$15,0)),0)</f>
        <v>0</v>
      </c>
      <c r="T2552" s="10">
        <f>IF(Flare!$C$7="",0,(SUMIF(Flare!$B$46:$B$185,$J2552,Flare!$E$46:$E$185)*Impacts!$F$16))</f>
        <v>0</v>
      </c>
      <c r="U2552" s="10">
        <f>IF(VCU!$C$9="",0,(SUMIF(VCU!$B$51:$B$193,$J2552,VCU!$E$51:$E$193)*Impacts!$F$17))</f>
        <v>0</v>
      </c>
      <c r="V2552" s="10">
        <f>IF(CAS!$C$7="",0,(SUMIF(CAS!$B$31:$B$167,$J2552,CAS!$E$31:$E$167)*Impacts!$F$18))</f>
        <v>0</v>
      </c>
      <c r="W2552" s="10">
        <f t="shared" si="80"/>
        <v>0</v>
      </c>
      <c r="AK2552" s="10" t="str">
        <f t="array" ref="AK2552">IFERROR(INDEX(SelectedSpecies,SMALL(IF(SelectedSpecies=AK$1,ROW(SelectedSpecies)),ROW(2553:2553)),2),"")</f>
        <v/>
      </c>
      <c r="BE2552" s="10"/>
      <c r="BI2552" s="10"/>
    </row>
    <row r="2553" spans="1:61" ht="21" customHeight="1" x14ac:dyDescent="0.25">
      <c r="A2553" s="10"/>
      <c r="B2553" s="10"/>
      <c r="E2553" s="10"/>
      <c r="G2553" s="10"/>
      <c r="I2553" s="436" t="s">
        <v>2981</v>
      </c>
      <c r="J2553" s="26" t="s">
        <v>2980</v>
      </c>
      <c r="K2553" s="10">
        <v>10</v>
      </c>
      <c r="L2553" s="73">
        <f>IF(Tank1!$C$23="No control",(SUMIF(Tank1!$B$32:$B$49,$J2553,Tank1!$C$32:$C$49)*Impacts!$F$8),0)</f>
        <v>0</v>
      </c>
      <c r="M2553" s="10">
        <f>IF(Tank2!$C$23="No control",(SUMIF(Tank2!$B$32:$B$49,$J2553,Tank2!$C$32:$C$49)*Impacts!$F$9),0)</f>
        <v>0</v>
      </c>
      <c r="N2553" s="10">
        <f>IF(Tank3!$C$23="No control",(SUMIF(Tank3!$B$32:$B$49,$J2553,Tank3!$C$32:$C$49)*Impacts!$F$10),0)</f>
        <v>0</v>
      </c>
      <c r="O2553" s="10">
        <f>IF(Tank4!$C$23="No control",(SUMIF(Tank4!$B$32:$B$49,$J2553,Tank4!$C$32:$C$49)*Impacts!$F$11),0)</f>
        <v>0</v>
      </c>
      <c r="P2553" s="10">
        <f>IF(Tank5!$C$23="No control",(SUMIF(Tank5!$B$32:$B$49,$J2553,Tank5!$C$32:$C$49)*Impacts!$F$12),0)</f>
        <v>0</v>
      </c>
      <c r="Q2553" s="10">
        <f>IFERROR(IF(('Loading-drum,tote'!$C$21)="No control",SUMIF(('Loading-drum,tote'!$B$31:$B$48),$J2553,('Loading-drum,tote'!$D$31:$D$48))*Impacts!$F$13,IF(('Loading-drum,tote'!$C$21)&lt;&gt;"No control",SUMIF(('Loading-drum,tote'!$B$31:$B$48),$J2553,('Loading-drum,tote'!$E$31:$E$48))*Impacts!$F$13,0)),0)</f>
        <v>0</v>
      </c>
      <c r="R2553" s="10">
        <f>IFERROR(IF(('Loading-truck'!$C$21)="No control",SUMIF(('Loading-truck'!$B$31:$B$48),$J2553,('Loading-truck'!$D$31:$D$48))*Impacts!$F$14,IF(('Loading-truck'!$C$21)&lt;&gt;"No control",SUMIF(('Loading-truck'!$B$31:$B$48),$J2553,('Loading-truck'!$E$31:$E$48))*Impacts!$F$14,0)),0)</f>
        <v>0</v>
      </c>
      <c r="S2553" s="10">
        <f>IFERROR(IF(('Loading-rail'!$C$21)="No control",SUMIF(('Loading-rail'!$B$31:$B$48),$J2553,('Loading-rail'!$D$31:$D$48))*Impacts!$F$15,IF(('Loading-rail'!$C$21)&lt;&gt;"No control",SUMIF(('Loading-rail'!$B$31:$B$48),$J2553,('Loading-rail'!$E$31:$E$48))*Impacts!$F$15,0)),0)</f>
        <v>0</v>
      </c>
      <c r="T2553" s="10">
        <f>IF(Flare!$C$7="",0,(SUMIF(Flare!$B$46:$B$185,$J2553,Flare!$E$46:$E$185)*Impacts!$F$16))</f>
        <v>0</v>
      </c>
      <c r="U2553" s="10">
        <f>IF(VCU!$C$9="",0,(SUMIF(VCU!$B$51:$B$193,$J2553,VCU!$E$51:$E$193)*Impacts!$F$17))</f>
        <v>0</v>
      </c>
      <c r="V2553" s="10">
        <f>IF(CAS!$C$7="",0,(SUMIF(CAS!$B$31:$B$167,$J2553,CAS!$E$31:$E$167)*Impacts!$F$18))</f>
        <v>0</v>
      </c>
      <c r="W2553" s="10">
        <f t="shared" si="80"/>
        <v>0</v>
      </c>
      <c r="AK2553" s="10" t="str">
        <f t="array" ref="AK2553">IFERROR(INDEX(SelectedSpecies,SMALL(IF(SelectedSpecies=AK$1,ROW(SelectedSpecies)),ROW(2554:2554)),2),"")</f>
        <v/>
      </c>
      <c r="BE2553" s="10"/>
      <c r="BI2553" s="10"/>
    </row>
    <row r="2554" spans="1:61" ht="21" customHeight="1" x14ac:dyDescent="0.25">
      <c r="A2554" s="10"/>
      <c r="B2554" s="10"/>
      <c r="E2554" s="10"/>
      <c r="G2554" s="10"/>
      <c r="I2554" s="436" t="s">
        <v>2983</v>
      </c>
      <c r="J2554" s="26" t="s">
        <v>2982</v>
      </c>
      <c r="K2554" s="10">
        <v>10</v>
      </c>
      <c r="L2554" s="73">
        <f>IF(Tank1!$C$23="No control",(SUMIF(Tank1!$B$32:$B$49,$J2554,Tank1!$C$32:$C$49)*Impacts!$F$8),0)</f>
        <v>0</v>
      </c>
      <c r="M2554" s="10">
        <f>IF(Tank2!$C$23="No control",(SUMIF(Tank2!$B$32:$B$49,$J2554,Tank2!$C$32:$C$49)*Impacts!$F$9),0)</f>
        <v>0</v>
      </c>
      <c r="N2554" s="10">
        <f>IF(Tank3!$C$23="No control",(SUMIF(Tank3!$B$32:$B$49,$J2554,Tank3!$C$32:$C$49)*Impacts!$F$10),0)</f>
        <v>0</v>
      </c>
      <c r="O2554" s="10">
        <f>IF(Tank4!$C$23="No control",(SUMIF(Tank4!$B$32:$B$49,$J2554,Tank4!$C$32:$C$49)*Impacts!$F$11),0)</f>
        <v>0</v>
      </c>
      <c r="P2554" s="10">
        <f>IF(Tank5!$C$23="No control",(SUMIF(Tank5!$B$32:$B$49,$J2554,Tank5!$C$32:$C$49)*Impacts!$F$12),0)</f>
        <v>0</v>
      </c>
      <c r="Q2554" s="10">
        <f>IFERROR(IF(('Loading-drum,tote'!$C$21)="No control",SUMIF(('Loading-drum,tote'!$B$31:$B$48),$J2554,('Loading-drum,tote'!$D$31:$D$48))*Impacts!$F$13,IF(('Loading-drum,tote'!$C$21)&lt;&gt;"No control",SUMIF(('Loading-drum,tote'!$B$31:$B$48),$J2554,('Loading-drum,tote'!$E$31:$E$48))*Impacts!$F$13,0)),0)</f>
        <v>0</v>
      </c>
      <c r="R2554" s="10">
        <f>IFERROR(IF(('Loading-truck'!$C$21)="No control",SUMIF(('Loading-truck'!$B$31:$B$48),$J2554,('Loading-truck'!$D$31:$D$48))*Impacts!$F$14,IF(('Loading-truck'!$C$21)&lt;&gt;"No control",SUMIF(('Loading-truck'!$B$31:$B$48),$J2554,('Loading-truck'!$E$31:$E$48))*Impacts!$F$14,0)),0)</f>
        <v>0</v>
      </c>
      <c r="S2554" s="10">
        <f>IFERROR(IF(('Loading-rail'!$C$21)="No control",SUMIF(('Loading-rail'!$B$31:$B$48),$J2554,('Loading-rail'!$D$31:$D$48))*Impacts!$F$15,IF(('Loading-rail'!$C$21)&lt;&gt;"No control",SUMIF(('Loading-rail'!$B$31:$B$48),$J2554,('Loading-rail'!$E$31:$E$48))*Impacts!$F$15,0)),0)</f>
        <v>0</v>
      </c>
      <c r="T2554" s="10">
        <f>IF(Flare!$C$7="",0,(SUMIF(Flare!$B$46:$B$185,$J2554,Flare!$E$46:$E$185)*Impacts!$F$16))</f>
        <v>0</v>
      </c>
      <c r="U2554" s="10">
        <f>IF(VCU!$C$9="",0,(SUMIF(VCU!$B$51:$B$193,$J2554,VCU!$E$51:$E$193)*Impacts!$F$17))</f>
        <v>0</v>
      </c>
      <c r="V2554" s="10">
        <f>IF(CAS!$C$7="",0,(SUMIF(CAS!$B$31:$B$167,$J2554,CAS!$E$31:$E$167)*Impacts!$F$18))</f>
        <v>0</v>
      </c>
      <c r="W2554" s="10">
        <f t="shared" si="80"/>
        <v>0</v>
      </c>
      <c r="AK2554" s="10" t="str">
        <f t="array" ref="AK2554">IFERROR(INDEX(SelectedSpecies,SMALL(IF(SelectedSpecies=AK$1,ROW(SelectedSpecies)),ROW(2555:2555)),2),"")</f>
        <v/>
      </c>
      <c r="BE2554" s="10"/>
      <c r="BI2554" s="10"/>
    </row>
    <row r="2555" spans="1:61" ht="21" customHeight="1" x14ac:dyDescent="0.25">
      <c r="A2555" s="10"/>
      <c r="B2555" s="10"/>
      <c r="E2555" s="10"/>
      <c r="G2555" s="10"/>
      <c r="I2555" s="436" t="s">
        <v>4571</v>
      </c>
      <c r="J2555" s="26" t="s">
        <v>4570</v>
      </c>
      <c r="K2555" s="10">
        <v>4</v>
      </c>
      <c r="L2555" s="73">
        <f>IF(Tank1!$C$23="No control",(SUMIF(Tank1!$B$32:$B$49,$J2555,Tank1!$C$32:$C$49)*Impacts!$F$8),0)</f>
        <v>0</v>
      </c>
      <c r="M2555" s="10">
        <f>IF(Tank2!$C$23="No control",(SUMIF(Tank2!$B$32:$B$49,$J2555,Tank2!$C$32:$C$49)*Impacts!$F$9),0)</f>
        <v>0</v>
      </c>
      <c r="N2555" s="10">
        <f>IF(Tank3!$C$23="No control",(SUMIF(Tank3!$B$32:$B$49,$J2555,Tank3!$C$32:$C$49)*Impacts!$F$10),0)</f>
        <v>0</v>
      </c>
      <c r="O2555" s="10">
        <f>IF(Tank4!$C$23="No control",(SUMIF(Tank4!$B$32:$B$49,$J2555,Tank4!$C$32:$C$49)*Impacts!$F$11),0)</f>
        <v>0</v>
      </c>
      <c r="P2555" s="10">
        <f>IF(Tank5!$C$23="No control",(SUMIF(Tank5!$B$32:$B$49,$J2555,Tank5!$C$32:$C$49)*Impacts!$F$12),0)</f>
        <v>0</v>
      </c>
      <c r="Q2555" s="10">
        <f>IFERROR(IF(('Loading-drum,tote'!$C$21)="No control",SUMIF(('Loading-drum,tote'!$B$31:$B$48),$J2555,('Loading-drum,tote'!$D$31:$D$48))*Impacts!$F$13,IF(('Loading-drum,tote'!$C$21)&lt;&gt;"No control",SUMIF(('Loading-drum,tote'!$B$31:$B$48),$J2555,('Loading-drum,tote'!$E$31:$E$48))*Impacts!$F$13,0)),0)</f>
        <v>0</v>
      </c>
      <c r="R2555" s="10">
        <f>IFERROR(IF(('Loading-truck'!$C$21)="No control",SUMIF(('Loading-truck'!$B$31:$B$48),$J2555,('Loading-truck'!$D$31:$D$48))*Impacts!$F$14,IF(('Loading-truck'!$C$21)&lt;&gt;"No control",SUMIF(('Loading-truck'!$B$31:$B$48),$J2555,('Loading-truck'!$E$31:$E$48))*Impacts!$F$14,0)),0)</f>
        <v>0</v>
      </c>
      <c r="S2555" s="10">
        <f>IFERROR(IF(('Loading-rail'!$C$21)="No control",SUMIF(('Loading-rail'!$B$31:$B$48),$J2555,('Loading-rail'!$D$31:$D$48))*Impacts!$F$15,IF(('Loading-rail'!$C$21)&lt;&gt;"No control",SUMIF(('Loading-rail'!$B$31:$B$48),$J2555,('Loading-rail'!$E$31:$E$48))*Impacts!$F$15,0)),0)</f>
        <v>0</v>
      </c>
      <c r="T2555" s="10">
        <f>IF(Flare!$C$7="",0,(SUMIF(Flare!$B$46:$B$185,$J2555,Flare!$E$46:$E$185)*Impacts!$F$16))</f>
        <v>0</v>
      </c>
      <c r="U2555" s="10">
        <f>IF(VCU!$C$9="",0,(SUMIF(VCU!$B$51:$B$193,$J2555,VCU!$E$51:$E$193)*Impacts!$F$17))</f>
        <v>0</v>
      </c>
      <c r="V2555" s="10">
        <f>IF(CAS!$C$7="",0,(SUMIF(CAS!$B$31:$B$167,$J2555,CAS!$E$31:$E$167)*Impacts!$F$18))</f>
        <v>0</v>
      </c>
      <c r="W2555" s="10">
        <f t="shared" si="80"/>
        <v>0</v>
      </c>
      <c r="AK2555" s="10" t="str">
        <f t="array" ref="AK2555">IFERROR(INDEX(SelectedSpecies,SMALL(IF(SelectedSpecies=AK$1,ROW(SelectedSpecies)),ROW(2556:2556)),2),"")</f>
        <v/>
      </c>
      <c r="BE2555" s="10"/>
      <c r="BI2555" s="10"/>
    </row>
    <row r="2556" spans="1:61" ht="21" customHeight="1" x14ac:dyDescent="0.25">
      <c r="A2556" s="10"/>
      <c r="B2556" s="10"/>
      <c r="E2556" s="10"/>
      <c r="G2556" s="10"/>
      <c r="I2556" s="436" t="s">
        <v>2985</v>
      </c>
      <c r="J2556" s="26" t="s">
        <v>2984</v>
      </c>
      <c r="K2556" s="10">
        <v>10</v>
      </c>
      <c r="L2556" s="73">
        <f>IF(Tank1!$C$23="No control",(SUMIF(Tank1!$B$32:$B$49,$J2556,Tank1!$C$32:$C$49)*Impacts!$F$8),0)</f>
        <v>0</v>
      </c>
      <c r="M2556" s="10">
        <f>IF(Tank2!$C$23="No control",(SUMIF(Tank2!$B$32:$B$49,$J2556,Tank2!$C$32:$C$49)*Impacts!$F$9),0)</f>
        <v>0</v>
      </c>
      <c r="N2556" s="10">
        <f>IF(Tank3!$C$23="No control",(SUMIF(Tank3!$B$32:$B$49,$J2556,Tank3!$C$32:$C$49)*Impacts!$F$10),0)</f>
        <v>0</v>
      </c>
      <c r="O2556" s="10">
        <f>IF(Tank4!$C$23="No control",(SUMIF(Tank4!$B$32:$B$49,$J2556,Tank4!$C$32:$C$49)*Impacts!$F$11),0)</f>
        <v>0</v>
      </c>
      <c r="P2556" s="10">
        <f>IF(Tank5!$C$23="No control",(SUMIF(Tank5!$B$32:$B$49,$J2556,Tank5!$C$32:$C$49)*Impacts!$F$12),0)</f>
        <v>0</v>
      </c>
      <c r="Q2556" s="10">
        <f>IFERROR(IF(('Loading-drum,tote'!$C$21)="No control",SUMIF(('Loading-drum,tote'!$B$31:$B$48),$J2556,('Loading-drum,tote'!$D$31:$D$48))*Impacts!$F$13,IF(('Loading-drum,tote'!$C$21)&lt;&gt;"No control",SUMIF(('Loading-drum,tote'!$B$31:$B$48),$J2556,('Loading-drum,tote'!$E$31:$E$48))*Impacts!$F$13,0)),0)</f>
        <v>0</v>
      </c>
      <c r="R2556" s="10">
        <f>IFERROR(IF(('Loading-truck'!$C$21)="No control",SUMIF(('Loading-truck'!$B$31:$B$48),$J2556,('Loading-truck'!$D$31:$D$48))*Impacts!$F$14,IF(('Loading-truck'!$C$21)&lt;&gt;"No control",SUMIF(('Loading-truck'!$B$31:$B$48),$J2556,('Loading-truck'!$E$31:$E$48))*Impacts!$F$14,0)),0)</f>
        <v>0</v>
      </c>
      <c r="S2556" s="10">
        <f>IFERROR(IF(('Loading-rail'!$C$21)="No control",SUMIF(('Loading-rail'!$B$31:$B$48),$J2556,('Loading-rail'!$D$31:$D$48))*Impacts!$F$15,IF(('Loading-rail'!$C$21)&lt;&gt;"No control",SUMIF(('Loading-rail'!$B$31:$B$48),$J2556,('Loading-rail'!$E$31:$E$48))*Impacts!$F$15,0)),0)</f>
        <v>0</v>
      </c>
      <c r="T2556" s="10">
        <f>IF(Flare!$C$7="",0,(SUMIF(Flare!$B$46:$B$185,$J2556,Flare!$E$46:$E$185)*Impacts!$F$16))</f>
        <v>0</v>
      </c>
      <c r="U2556" s="10">
        <f>IF(VCU!$C$9="",0,(SUMIF(VCU!$B$51:$B$193,$J2556,VCU!$E$51:$E$193)*Impacts!$F$17))</f>
        <v>0</v>
      </c>
      <c r="V2556" s="10">
        <f>IF(CAS!$C$7="",0,(SUMIF(CAS!$B$31:$B$167,$J2556,CAS!$E$31:$E$167)*Impacts!$F$18))</f>
        <v>0</v>
      </c>
      <c r="W2556" s="10">
        <f t="shared" si="80"/>
        <v>0</v>
      </c>
      <c r="AK2556" s="10" t="str">
        <f t="array" ref="AK2556">IFERROR(INDEX(SelectedSpecies,SMALL(IF(SelectedSpecies=AK$1,ROW(SelectedSpecies)),ROW(2557:2557)),2),"")</f>
        <v/>
      </c>
      <c r="BE2556" s="10"/>
      <c r="BI2556" s="10"/>
    </row>
    <row r="2557" spans="1:61" ht="21" customHeight="1" x14ac:dyDescent="0.25">
      <c r="A2557" s="10"/>
      <c r="B2557" s="10"/>
      <c r="E2557" s="10"/>
      <c r="G2557" s="10"/>
      <c r="I2557" s="436" t="s">
        <v>2987</v>
      </c>
      <c r="J2557" s="26" t="s">
        <v>2986</v>
      </c>
      <c r="K2557" s="10">
        <v>10</v>
      </c>
      <c r="L2557" s="73">
        <f>IF(Tank1!$C$23="No control",(SUMIF(Tank1!$B$32:$B$49,$J2557,Tank1!$C$32:$C$49)*Impacts!$F$8),0)</f>
        <v>0</v>
      </c>
      <c r="M2557" s="10">
        <f>IF(Tank2!$C$23="No control",(SUMIF(Tank2!$B$32:$B$49,$J2557,Tank2!$C$32:$C$49)*Impacts!$F$9),0)</f>
        <v>0</v>
      </c>
      <c r="N2557" s="10">
        <f>IF(Tank3!$C$23="No control",(SUMIF(Tank3!$B$32:$B$49,$J2557,Tank3!$C$32:$C$49)*Impacts!$F$10),0)</f>
        <v>0</v>
      </c>
      <c r="O2557" s="10">
        <f>IF(Tank4!$C$23="No control",(SUMIF(Tank4!$B$32:$B$49,$J2557,Tank4!$C$32:$C$49)*Impacts!$F$11),0)</f>
        <v>0</v>
      </c>
      <c r="P2557" s="10">
        <f>IF(Tank5!$C$23="No control",(SUMIF(Tank5!$B$32:$B$49,$J2557,Tank5!$C$32:$C$49)*Impacts!$F$12),0)</f>
        <v>0</v>
      </c>
      <c r="Q2557" s="10">
        <f>IFERROR(IF(('Loading-drum,tote'!$C$21)="No control",SUMIF(('Loading-drum,tote'!$B$31:$B$48),$J2557,('Loading-drum,tote'!$D$31:$D$48))*Impacts!$F$13,IF(('Loading-drum,tote'!$C$21)&lt;&gt;"No control",SUMIF(('Loading-drum,tote'!$B$31:$B$48),$J2557,('Loading-drum,tote'!$E$31:$E$48))*Impacts!$F$13,0)),0)</f>
        <v>0</v>
      </c>
      <c r="R2557" s="10">
        <f>IFERROR(IF(('Loading-truck'!$C$21)="No control",SUMIF(('Loading-truck'!$B$31:$B$48),$J2557,('Loading-truck'!$D$31:$D$48))*Impacts!$F$14,IF(('Loading-truck'!$C$21)&lt;&gt;"No control",SUMIF(('Loading-truck'!$B$31:$B$48),$J2557,('Loading-truck'!$E$31:$E$48))*Impacts!$F$14,0)),0)</f>
        <v>0</v>
      </c>
      <c r="S2557" s="10">
        <f>IFERROR(IF(('Loading-rail'!$C$21)="No control",SUMIF(('Loading-rail'!$B$31:$B$48),$J2557,('Loading-rail'!$D$31:$D$48))*Impacts!$F$15,IF(('Loading-rail'!$C$21)&lt;&gt;"No control",SUMIF(('Loading-rail'!$B$31:$B$48),$J2557,('Loading-rail'!$E$31:$E$48))*Impacts!$F$15,0)),0)</f>
        <v>0</v>
      </c>
      <c r="T2557" s="10">
        <f>IF(Flare!$C$7="",0,(SUMIF(Flare!$B$46:$B$185,$J2557,Flare!$E$46:$E$185)*Impacts!$F$16))</f>
        <v>0</v>
      </c>
      <c r="U2557" s="10">
        <f>IF(VCU!$C$9="",0,(SUMIF(VCU!$B$51:$B$193,$J2557,VCU!$E$51:$E$193)*Impacts!$F$17))</f>
        <v>0</v>
      </c>
      <c r="V2557" s="10">
        <f>IF(CAS!$C$7="",0,(SUMIF(CAS!$B$31:$B$167,$J2557,CAS!$E$31:$E$167)*Impacts!$F$18))</f>
        <v>0</v>
      </c>
      <c r="W2557" s="10">
        <f t="shared" si="80"/>
        <v>0</v>
      </c>
      <c r="AK2557" s="10" t="str">
        <f t="array" ref="AK2557">IFERROR(INDEX(SelectedSpecies,SMALL(IF(SelectedSpecies=AK$1,ROW(SelectedSpecies)),ROW(2558:2558)),2),"")</f>
        <v/>
      </c>
      <c r="BE2557" s="10"/>
      <c r="BI2557" s="10"/>
    </row>
    <row r="2558" spans="1:61" ht="21" customHeight="1" x14ac:dyDescent="0.25">
      <c r="A2558" s="10"/>
      <c r="B2558" s="10"/>
      <c r="E2558" s="10"/>
      <c r="G2558" s="10"/>
      <c r="I2558" s="436" t="s">
        <v>2989</v>
      </c>
      <c r="J2558" s="26" t="s">
        <v>2988</v>
      </c>
      <c r="K2558" s="10">
        <v>10</v>
      </c>
      <c r="L2558" s="73">
        <f>IF(Tank1!$C$23="No control",(SUMIF(Tank1!$B$32:$B$49,$J2558,Tank1!$C$32:$C$49)*Impacts!$F$8),0)</f>
        <v>0</v>
      </c>
      <c r="M2558" s="10">
        <f>IF(Tank2!$C$23="No control",(SUMIF(Tank2!$B$32:$B$49,$J2558,Tank2!$C$32:$C$49)*Impacts!$F$9),0)</f>
        <v>0</v>
      </c>
      <c r="N2558" s="10">
        <f>IF(Tank3!$C$23="No control",(SUMIF(Tank3!$B$32:$B$49,$J2558,Tank3!$C$32:$C$49)*Impacts!$F$10),0)</f>
        <v>0</v>
      </c>
      <c r="O2558" s="10">
        <f>IF(Tank4!$C$23="No control",(SUMIF(Tank4!$B$32:$B$49,$J2558,Tank4!$C$32:$C$49)*Impacts!$F$11),0)</f>
        <v>0</v>
      </c>
      <c r="P2558" s="10">
        <f>IF(Tank5!$C$23="No control",(SUMIF(Tank5!$B$32:$B$49,$J2558,Tank5!$C$32:$C$49)*Impacts!$F$12),0)</f>
        <v>0</v>
      </c>
      <c r="Q2558" s="10">
        <f>IFERROR(IF(('Loading-drum,tote'!$C$21)="No control",SUMIF(('Loading-drum,tote'!$B$31:$B$48),$J2558,('Loading-drum,tote'!$D$31:$D$48))*Impacts!$F$13,IF(('Loading-drum,tote'!$C$21)&lt;&gt;"No control",SUMIF(('Loading-drum,tote'!$B$31:$B$48),$J2558,('Loading-drum,tote'!$E$31:$E$48))*Impacts!$F$13,0)),0)</f>
        <v>0</v>
      </c>
      <c r="R2558" s="10">
        <f>IFERROR(IF(('Loading-truck'!$C$21)="No control",SUMIF(('Loading-truck'!$B$31:$B$48),$J2558,('Loading-truck'!$D$31:$D$48))*Impacts!$F$14,IF(('Loading-truck'!$C$21)&lt;&gt;"No control",SUMIF(('Loading-truck'!$B$31:$B$48),$J2558,('Loading-truck'!$E$31:$E$48))*Impacts!$F$14,0)),0)</f>
        <v>0</v>
      </c>
      <c r="S2558" s="10">
        <f>IFERROR(IF(('Loading-rail'!$C$21)="No control",SUMIF(('Loading-rail'!$B$31:$B$48),$J2558,('Loading-rail'!$D$31:$D$48))*Impacts!$F$15,IF(('Loading-rail'!$C$21)&lt;&gt;"No control",SUMIF(('Loading-rail'!$B$31:$B$48),$J2558,('Loading-rail'!$E$31:$E$48))*Impacts!$F$15,0)),0)</f>
        <v>0</v>
      </c>
      <c r="T2558" s="10">
        <f>IF(Flare!$C$7="",0,(SUMIF(Flare!$B$46:$B$185,$J2558,Flare!$E$46:$E$185)*Impacts!$F$16))</f>
        <v>0</v>
      </c>
      <c r="U2558" s="10">
        <f>IF(VCU!$C$9="",0,(SUMIF(VCU!$B$51:$B$193,$J2558,VCU!$E$51:$E$193)*Impacts!$F$17))</f>
        <v>0</v>
      </c>
      <c r="V2558" s="10">
        <f>IF(CAS!$C$7="",0,(SUMIF(CAS!$B$31:$B$167,$J2558,CAS!$E$31:$E$167)*Impacts!$F$18))</f>
        <v>0</v>
      </c>
      <c r="W2558" s="10">
        <f t="shared" si="80"/>
        <v>0</v>
      </c>
      <c r="AK2558" s="10" t="str">
        <f t="array" ref="AK2558">IFERROR(INDEX(SelectedSpecies,SMALL(IF(SelectedSpecies=AK$1,ROW(SelectedSpecies)),ROW(2559:2559)),2),"")</f>
        <v/>
      </c>
      <c r="BE2558" s="10"/>
      <c r="BI2558" s="10"/>
    </row>
    <row r="2559" spans="1:61" ht="21" customHeight="1" x14ac:dyDescent="0.25">
      <c r="A2559" s="10"/>
      <c r="B2559" s="10"/>
      <c r="E2559" s="10"/>
      <c r="G2559" s="10"/>
      <c r="I2559" s="436" t="s">
        <v>2991</v>
      </c>
      <c r="J2559" s="26" t="s">
        <v>2990</v>
      </c>
      <c r="K2559" s="10">
        <v>10</v>
      </c>
      <c r="L2559" s="73">
        <f>IF(Tank1!$C$23="No control",(SUMIF(Tank1!$B$32:$B$49,$J2559,Tank1!$C$32:$C$49)*Impacts!$F$8),0)</f>
        <v>0</v>
      </c>
      <c r="M2559" s="10">
        <f>IF(Tank2!$C$23="No control",(SUMIF(Tank2!$B$32:$B$49,$J2559,Tank2!$C$32:$C$49)*Impacts!$F$9),0)</f>
        <v>0</v>
      </c>
      <c r="N2559" s="10">
        <f>IF(Tank3!$C$23="No control",(SUMIF(Tank3!$B$32:$B$49,$J2559,Tank3!$C$32:$C$49)*Impacts!$F$10),0)</f>
        <v>0</v>
      </c>
      <c r="O2559" s="10">
        <f>IF(Tank4!$C$23="No control",(SUMIF(Tank4!$B$32:$B$49,$J2559,Tank4!$C$32:$C$49)*Impacts!$F$11),0)</f>
        <v>0</v>
      </c>
      <c r="P2559" s="10">
        <f>IF(Tank5!$C$23="No control",(SUMIF(Tank5!$B$32:$B$49,$J2559,Tank5!$C$32:$C$49)*Impacts!$F$12),0)</f>
        <v>0</v>
      </c>
      <c r="Q2559" s="10">
        <f>IFERROR(IF(('Loading-drum,tote'!$C$21)="No control",SUMIF(('Loading-drum,tote'!$B$31:$B$48),$J2559,('Loading-drum,tote'!$D$31:$D$48))*Impacts!$F$13,IF(('Loading-drum,tote'!$C$21)&lt;&gt;"No control",SUMIF(('Loading-drum,tote'!$B$31:$B$48),$J2559,('Loading-drum,tote'!$E$31:$E$48))*Impacts!$F$13,0)),0)</f>
        <v>0</v>
      </c>
      <c r="R2559" s="10">
        <f>IFERROR(IF(('Loading-truck'!$C$21)="No control",SUMIF(('Loading-truck'!$B$31:$B$48),$J2559,('Loading-truck'!$D$31:$D$48))*Impacts!$F$14,IF(('Loading-truck'!$C$21)&lt;&gt;"No control",SUMIF(('Loading-truck'!$B$31:$B$48),$J2559,('Loading-truck'!$E$31:$E$48))*Impacts!$F$14,0)),0)</f>
        <v>0</v>
      </c>
      <c r="S2559" s="10">
        <f>IFERROR(IF(('Loading-rail'!$C$21)="No control",SUMIF(('Loading-rail'!$B$31:$B$48),$J2559,('Loading-rail'!$D$31:$D$48))*Impacts!$F$15,IF(('Loading-rail'!$C$21)&lt;&gt;"No control",SUMIF(('Loading-rail'!$B$31:$B$48),$J2559,('Loading-rail'!$E$31:$E$48))*Impacts!$F$15,0)),0)</f>
        <v>0</v>
      </c>
      <c r="T2559" s="10">
        <f>IF(Flare!$C$7="",0,(SUMIF(Flare!$B$46:$B$185,$J2559,Flare!$E$46:$E$185)*Impacts!$F$16))</f>
        <v>0</v>
      </c>
      <c r="U2559" s="10">
        <f>IF(VCU!$C$9="",0,(SUMIF(VCU!$B$51:$B$193,$J2559,VCU!$E$51:$E$193)*Impacts!$F$17))</f>
        <v>0</v>
      </c>
      <c r="V2559" s="10">
        <f>IF(CAS!$C$7="",0,(SUMIF(CAS!$B$31:$B$167,$J2559,CAS!$E$31:$E$167)*Impacts!$F$18))</f>
        <v>0</v>
      </c>
      <c r="W2559" s="10">
        <f t="shared" si="80"/>
        <v>0</v>
      </c>
      <c r="AK2559" s="10" t="str">
        <f t="array" ref="AK2559">IFERROR(INDEX(SelectedSpecies,SMALL(IF(SelectedSpecies=AK$1,ROW(SelectedSpecies)),ROW(2560:2560)),2),"")</f>
        <v/>
      </c>
      <c r="BE2559" s="10"/>
      <c r="BI2559" s="10"/>
    </row>
    <row r="2560" spans="1:61" ht="21" customHeight="1" x14ac:dyDescent="0.25">
      <c r="A2560" s="10"/>
      <c r="B2560" s="10"/>
      <c r="E2560" s="10"/>
      <c r="G2560" s="10"/>
      <c r="I2560" s="436" t="s">
        <v>2993</v>
      </c>
      <c r="J2560" s="26" t="s">
        <v>2992</v>
      </c>
      <c r="K2560" s="10">
        <v>10</v>
      </c>
      <c r="L2560" s="73">
        <f>IF(Tank1!$C$23="No control",(SUMIF(Tank1!$B$32:$B$49,$J2560,Tank1!$C$32:$C$49)*Impacts!$F$8),0)</f>
        <v>0</v>
      </c>
      <c r="M2560" s="10">
        <f>IF(Tank2!$C$23="No control",(SUMIF(Tank2!$B$32:$B$49,$J2560,Tank2!$C$32:$C$49)*Impacts!$F$9),0)</f>
        <v>0</v>
      </c>
      <c r="N2560" s="10">
        <f>IF(Tank3!$C$23="No control",(SUMIF(Tank3!$B$32:$B$49,$J2560,Tank3!$C$32:$C$49)*Impacts!$F$10),0)</f>
        <v>0</v>
      </c>
      <c r="O2560" s="10">
        <f>IF(Tank4!$C$23="No control",(SUMIF(Tank4!$B$32:$B$49,$J2560,Tank4!$C$32:$C$49)*Impacts!$F$11),0)</f>
        <v>0</v>
      </c>
      <c r="P2560" s="10">
        <f>IF(Tank5!$C$23="No control",(SUMIF(Tank5!$B$32:$B$49,$J2560,Tank5!$C$32:$C$49)*Impacts!$F$12),0)</f>
        <v>0</v>
      </c>
      <c r="Q2560" s="10">
        <f>IFERROR(IF(('Loading-drum,tote'!$C$21)="No control",SUMIF(('Loading-drum,tote'!$B$31:$B$48),$J2560,('Loading-drum,tote'!$D$31:$D$48))*Impacts!$F$13,IF(('Loading-drum,tote'!$C$21)&lt;&gt;"No control",SUMIF(('Loading-drum,tote'!$B$31:$B$48),$J2560,('Loading-drum,tote'!$E$31:$E$48))*Impacts!$F$13,0)),0)</f>
        <v>0</v>
      </c>
      <c r="R2560" s="10">
        <f>IFERROR(IF(('Loading-truck'!$C$21)="No control",SUMIF(('Loading-truck'!$B$31:$B$48),$J2560,('Loading-truck'!$D$31:$D$48))*Impacts!$F$14,IF(('Loading-truck'!$C$21)&lt;&gt;"No control",SUMIF(('Loading-truck'!$B$31:$B$48),$J2560,('Loading-truck'!$E$31:$E$48))*Impacts!$F$14,0)),0)</f>
        <v>0</v>
      </c>
      <c r="S2560" s="10">
        <f>IFERROR(IF(('Loading-rail'!$C$21)="No control",SUMIF(('Loading-rail'!$B$31:$B$48),$J2560,('Loading-rail'!$D$31:$D$48))*Impacts!$F$15,IF(('Loading-rail'!$C$21)&lt;&gt;"No control",SUMIF(('Loading-rail'!$B$31:$B$48),$J2560,('Loading-rail'!$E$31:$E$48))*Impacts!$F$15,0)),0)</f>
        <v>0</v>
      </c>
      <c r="T2560" s="10">
        <f>IF(Flare!$C$7="",0,(SUMIF(Flare!$B$46:$B$185,$J2560,Flare!$E$46:$E$185)*Impacts!$F$16))</f>
        <v>0</v>
      </c>
      <c r="U2560" s="10">
        <f>IF(VCU!$C$9="",0,(SUMIF(VCU!$B$51:$B$193,$J2560,VCU!$E$51:$E$193)*Impacts!$F$17))</f>
        <v>0</v>
      </c>
      <c r="V2560" s="10">
        <f>IF(CAS!$C$7="",0,(SUMIF(CAS!$B$31:$B$167,$J2560,CAS!$E$31:$E$167)*Impacts!$F$18))</f>
        <v>0</v>
      </c>
      <c r="W2560" s="10">
        <f t="shared" si="80"/>
        <v>0</v>
      </c>
      <c r="AK2560" s="10" t="str">
        <f t="array" ref="AK2560">IFERROR(INDEX(SelectedSpecies,SMALL(IF(SelectedSpecies=AK$1,ROW(SelectedSpecies)),ROW(2561:2561)),2),"")</f>
        <v/>
      </c>
      <c r="BE2560" s="10"/>
      <c r="BI2560" s="10"/>
    </row>
    <row r="2561" spans="1:61" ht="21" customHeight="1" x14ac:dyDescent="0.25">
      <c r="A2561" s="10"/>
      <c r="B2561" s="10"/>
      <c r="E2561" s="10"/>
      <c r="G2561" s="10"/>
      <c r="I2561" s="436" t="s">
        <v>6014</v>
      </c>
      <c r="J2561" s="26" t="s">
        <v>6013</v>
      </c>
      <c r="K2561" s="10">
        <v>1</v>
      </c>
      <c r="L2561" s="73">
        <f>IF(Tank1!$C$23="No control",(SUMIF(Tank1!$B$32:$B$49,$J2561,Tank1!$C$32:$C$49)*Impacts!$F$8),0)</f>
        <v>0</v>
      </c>
      <c r="M2561" s="10">
        <f>IF(Tank2!$C$23="No control",(SUMIF(Tank2!$B$32:$B$49,$J2561,Tank2!$C$32:$C$49)*Impacts!$F$9),0)</f>
        <v>0</v>
      </c>
      <c r="N2561" s="10">
        <f>IF(Tank3!$C$23="No control",(SUMIF(Tank3!$B$32:$B$49,$J2561,Tank3!$C$32:$C$49)*Impacts!$F$10),0)</f>
        <v>0</v>
      </c>
      <c r="O2561" s="10">
        <f>IF(Tank4!$C$23="No control",(SUMIF(Tank4!$B$32:$B$49,$J2561,Tank4!$C$32:$C$49)*Impacts!$F$11),0)</f>
        <v>0</v>
      </c>
      <c r="P2561" s="10">
        <f>IF(Tank5!$C$23="No control",(SUMIF(Tank5!$B$32:$B$49,$J2561,Tank5!$C$32:$C$49)*Impacts!$F$12),0)</f>
        <v>0</v>
      </c>
      <c r="Q2561" s="10">
        <f>IFERROR(IF(('Loading-drum,tote'!$C$21)="No control",SUMIF(('Loading-drum,tote'!$B$31:$B$48),$J2561,('Loading-drum,tote'!$D$31:$D$48))*Impacts!$F$13,IF(('Loading-drum,tote'!$C$21)&lt;&gt;"No control",SUMIF(('Loading-drum,tote'!$B$31:$B$48),$J2561,('Loading-drum,tote'!$E$31:$E$48))*Impacts!$F$13,0)),0)</f>
        <v>0</v>
      </c>
      <c r="R2561" s="10">
        <f>IFERROR(IF(('Loading-truck'!$C$21)="No control",SUMIF(('Loading-truck'!$B$31:$B$48),$J2561,('Loading-truck'!$D$31:$D$48))*Impacts!$F$14,IF(('Loading-truck'!$C$21)&lt;&gt;"No control",SUMIF(('Loading-truck'!$B$31:$B$48),$J2561,('Loading-truck'!$E$31:$E$48))*Impacts!$F$14,0)),0)</f>
        <v>0</v>
      </c>
      <c r="S2561" s="10">
        <f>IFERROR(IF(('Loading-rail'!$C$21)="No control",SUMIF(('Loading-rail'!$B$31:$B$48),$J2561,('Loading-rail'!$D$31:$D$48))*Impacts!$F$15,IF(('Loading-rail'!$C$21)&lt;&gt;"No control",SUMIF(('Loading-rail'!$B$31:$B$48),$J2561,('Loading-rail'!$E$31:$E$48))*Impacts!$F$15,0)),0)</f>
        <v>0</v>
      </c>
      <c r="T2561" s="10">
        <f>IF(Flare!$C$7="",0,(SUMIF(Flare!$B$46:$B$185,$J2561,Flare!$E$46:$E$185)*Impacts!$F$16))</f>
        <v>0</v>
      </c>
      <c r="U2561" s="10">
        <f>IF(VCU!$C$9="",0,(SUMIF(VCU!$B$51:$B$193,$J2561,VCU!$E$51:$E$193)*Impacts!$F$17))</f>
        <v>0</v>
      </c>
      <c r="V2561" s="10">
        <f>IF(CAS!$C$7="",0,(SUMIF(CAS!$B$31:$B$167,$J2561,CAS!$E$31:$E$167)*Impacts!$F$18))</f>
        <v>0</v>
      </c>
      <c r="W2561" s="10">
        <f t="shared" si="80"/>
        <v>0</v>
      </c>
      <c r="AK2561" s="10" t="str">
        <f t="array" ref="AK2561">IFERROR(INDEX(SelectedSpecies,SMALL(IF(SelectedSpecies=AK$1,ROW(SelectedSpecies)),ROW(2562:2562)),2),"")</f>
        <v/>
      </c>
      <c r="BE2561" s="10"/>
      <c r="BI2561" s="10"/>
    </row>
    <row r="2562" spans="1:61" ht="21" customHeight="1" x14ac:dyDescent="0.25">
      <c r="A2562" s="10"/>
      <c r="B2562" s="10"/>
      <c r="E2562" s="10"/>
      <c r="G2562" s="10"/>
      <c r="I2562" s="436" t="s">
        <v>6016</v>
      </c>
      <c r="J2562" s="26" t="s">
        <v>6015</v>
      </c>
      <c r="K2562" s="10">
        <v>1</v>
      </c>
      <c r="L2562" s="73">
        <f>IF(Tank1!$C$23="No control",(SUMIF(Tank1!$B$32:$B$49,$J2562,Tank1!$C$32:$C$49)*Impacts!$F$8),0)</f>
        <v>0</v>
      </c>
      <c r="M2562" s="10">
        <f>IF(Tank2!$C$23="No control",(SUMIF(Tank2!$B$32:$B$49,$J2562,Tank2!$C$32:$C$49)*Impacts!$F$9),0)</f>
        <v>0</v>
      </c>
      <c r="N2562" s="10">
        <f>IF(Tank3!$C$23="No control",(SUMIF(Tank3!$B$32:$B$49,$J2562,Tank3!$C$32:$C$49)*Impacts!$F$10),0)</f>
        <v>0</v>
      </c>
      <c r="O2562" s="10">
        <f>IF(Tank4!$C$23="No control",(SUMIF(Tank4!$B$32:$B$49,$J2562,Tank4!$C$32:$C$49)*Impacts!$F$11),0)</f>
        <v>0</v>
      </c>
      <c r="P2562" s="10">
        <f>IF(Tank5!$C$23="No control",(SUMIF(Tank5!$B$32:$B$49,$J2562,Tank5!$C$32:$C$49)*Impacts!$F$12),0)</f>
        <v>0</v>
      </c>
      <c r="Q2562" s="10">
        <f>IFERROR(IF(('Loading-drum,tote'!$C$21)="No control",SUMIF(('Loading-drum,tote'!$B$31:$B$48),$J2562,('Loading-drum,tote'!$D$31:$D$48))*Impacts!$F$13,IF(('Loading-drum,tote'!$C$21)&lt;&gt;"No control",SUMIF(('Loading-drum,tote'!$B$31:$B$48),$J2562,('Loading-drum,tote'!$E$31:$E$48))*Impacts!$F$13,0)),0)</f>
        <v>0</v>
      </c>
      <c r="R2562" s="10">
        <f>IFERROR(IF(('Loading-truck'!$C$21)="No control",SUMIF(('Loading-truck'!$B$31:$B$48),$J2562,('Loading-truck'!$D$31:$D$48))*Impacts!$F$14,IF(('Loading-truck'!$C$21)&lt;&gt;"No control",SUMIF(('Loading-truck'!$B$31:$B$48),$J2562,('Loading-truck'!$E$31:$E$48))*Impacts!$F$14,0)),0)</f>
        <v>0</v>
      </c>
      <c r="S2562" s="10">
        <f>IFERROR(IF(('Loading-rail'!$C$21)="No control",SUMIF(('Loading-rail'!$B$31:$B$48),$J2562,('Loading-rail'!$D$31:$D$48))*Impacts!$F$15,IF(('Loading-rail'!$C$21)&lt;&gt;"No control",SUMIF(('Loading-rail'!$B$31:$B$48),$J2562,('Loading-rail'!$E$31:$E$48))*Impacts!$F$15,0)),0)</f>
        <v>0</v>
      </c>
      <c r="T2562" s="10">
        <f>IF(Flare!$C$7="",0,(SUMIF(Flare!$B$46:$B$185,$J2562,Flare!$E$46:$E$185)*Impacts!$F$16))</f>
        <v>0</v>
      </c>
      <c r="U2562" s="10">
        <f>IF(VCU!$C$9="",0,(SUMIF(VCU!$B$51:$B$193,$J2562,VCU!$E$51:$E$193)*Impacts!$F$17))</f>
        <v>0</v>
      </c>
      <c r="V2562" s="10">
        <f>IF(CAS!$C$7="",0,(SUMIF(CAS!$B$31:$B$167,$J2562,CAS!$E$31:$E$167)*Impacts!$F$18))</f>
        <v>0</v>
      </c>
      <c r="W2562" s="10">
        <f t="shared" si="80"/>
        <v>0</v>
      </c>
      <c r="AK2562" s="10" t="str">
        <f t="array" ref="AK2562">IFERROR(INDEX(SelectedSpecies,SMALL(IF(SelectedSpecies=AK$1,ROW(SelectedSpecies)),ROW(2563:2563)),2),"")</f>
        <v/>
      </c>
      <c r="BE2562" s="10"/>
      <c r="BI2562" s="10"/>
    </row>
    <row r="2563" spans="1:61" ht="21" customHeight="1" x14ac:dyDescent="0.25">
      <c r="A2563" s="10"/>
      <c r="B2563" s="10"/>
      <c r="E2563" s="10"/>
      <c r="G2563" s="10"/>
      <c r="I2563" s="436" t="s">
        <v>2995</v>
      </c>
      <c r="J2563" s="26" t="s">
        <v>2994</v>
      </c>
      <c r="K2563" s="10">
        <v>10</v>
      </c>
      <c r="L2563" s="73">
        <f>IF(Tank1!$C$23="No control",(SUMIF(Tank1!$B$32:$B$49,$J2563,Tank1!$C$32:$C$49)*Impacts!$F$8),0)</f>
        <v>0</v>
      </c>
      <c r="M2563" s="10">
        <f>IF(Tank2!$C$23="No control",(SUMIF(Tank2!$B$32:$B$49,$J2563,Tank2!$C$32:$C$49)*Impacts!$F$9),0)</f>
        <v>0</v>
      </c>
      <c r="N2563" s="10">
        <f>IF(Tank3!$C$23="No control",(SUMIF(Tank3!$B$32:$B$49,$J2563,Tank3!$C$32:$C$49)*Impacts!$F$10),0)</f>
        <v>0</v>
      </c>
      <c r="O2563" s="10">
        <f>IF(Tank4!$C$23="No control",(SUMIF(Tank4!$B$32:$B$49,$J2563,Tank4!$C$32:$C$49)*Impacts!$F$11),0)</f>
        <v>0</v>
      </c>
      <c r="P2563" s="10">
        <f>IF(Tank5!$C$23="No control",(SUMIF(Tank5!$B$32:$B$49,$J2563,Tank5!$C$32:$C$49)*Impacts!$F$12),0)</f>
        <v>0</v>
      </c>
      <c r="Q2563" s="10">
        <f>IFERROR(IF(('Loading-drum,tote'!$C$21)="No control",SUMIF(('Loading-drum,tote'!$B$31:$B$48),$J2563,('Loading-drum,tote'!$D$31:$D$48))*Impacts!$F$13,IF(('Loading-drum,tote'!$C$21)&lt;&gt;"No control",SUMIF(('Loading-drum,tote'!$B$31:$B$48),$J2563,('Loading-drum,tote'!$E$31:$E$48))*Impacts!$F$13,0)),0)</f>
        <v>0</v>
      </c>
      <c r="R2563" s="10">
        <f>IFERROR(IF(('Loading-truck'!$C$21)="No control",SUMIF(('Loading-truck'!$B$31:$B$48),$J2563,('Loading-truck'!$D$31:$D$48))*Impacts!$F$14,IF(('Loading-truck'!$C$21)&lt;&gt;"No control",SUMIF(('Loading-truck'!$B$31:$B$48),$J2563,('Loading-truck'!$E$31:$E$48))*Impacts!$F$14,0)),0)</f>
        <v>0</v>
      </c>
      <c r="S2563" s="10">
        <f>IFERROR(IF(('Loading-rail'!$C$21)="No control",SUMIF(('Loading-rail'!$B$31:$B$48),$J2563,('Loading-rail'!$D$31:$D$48))*Impacts!$F$15,IF(('Loading-rail'!$C$21)&lt;&gt;"No control",SUMIF(('Loading-rail'!$B$31:$B$48),$J2563,('Loading-rail'!$E$31:$E$48))*Impacts!$F$15,0)),0)</f>
        <v>0</v>
      </c>
      <c r="T2563" s="10">
        <f>IF(Flare!$C$7="",0,(SUMIF(Flare!$B$46:$B$185,$J2563,Flare!$E$46:$E$185)*Impacts!$F$16))</f>
        <v>0</v>
      </c>
      <c r="U2563" s="10">
        <f>IF(VCU!$C$9="",0,(SUMIF(VCU!$B$51:$B$193,$J2563,VCU!$E$51:$E$193)*Impacts!$F$17))</f>
        <v>0</v>
      </c>
      <c r="V2563" s="10">
        <f>IF(CAS!$C$7="",0,(SUMIF(CAS!$B$31:$B$167,$J2563,CAS!$E$31:$E$167)*Impacts!$F$18))</f>
        <v>0</v>
      </c>
      <c r="W2563" s="10">
        <f t="shared" si="80"/>
        <v>0</v>
      </c>
      <c r="AK2563" s="10" t="str">
        <f t="array" ref="AK2563">IFERROR(INDEX(SelectedSpecies,SMALL(IF(SelectedSpecies=AK$1,ROW(SelectedSpecies)),ROW(2564:2564)),2),"")</f>
        <v/>
      </c>
      <c r="BE2563" s="10"/>
      <c r="BI2563" s="10"/>
    </row>
    <row r="2564" spans="1:61" ht="21" customHeight="1" x14ac:dyDescent="0.25">
      <c r="A2564" s="10"/>
      <c r="B2564" s="10"/>
      <c r="E2564" s="10"/>
      <c r="G2564" s="10"/>
      <c r="I2564" s="436" t="s">
        <v>5285</v>
      </c>
      <c r="J2564" s="26" t="s">
        <v>5284</v>
      </c>
      <c r="K2564" s="10">
        <v>1.8</v>
      </c>
      <c r="L2564" s="73">
        <f>IF(Tank1!$C$23="No control",(SUMIF(Tank1!$B$32:$B$49,$J2564,Tank1!$C$32:$C$49)*Impacts!$F$8),0)</f>
        <v>0</v>
      </c>
      <c r="M2564" s="10">
        <f>IF(Tank2!$C$23="No control",(SUMIF(Tank2!$B$32:$B$49,$J2564,Tank2!$C$32:$C$49)*Impacts!$F$9),0)</f>
        <v>0</v>
      </c>
      <c r="N2564" s="10">
        <f>IF(Tank3!$C$23="No control",(SUMIF(Tank3!$B$32:$B$49,$J2564,Tank3!$C$32:$C$49)*Impacts!$F$10),0)</f>
        <v>0</v>
      </c>
      <c r="O2564" s="10">
        <f>IF(Tank4!$C$23="No control",(SUMIF(Tank4!$B$32:$B$49,$J2564,Tank4!$C$32:$C$49)*Impacts!$F$11),0)</f>
        <v>0</v>
      </c>
      <c r="P2564" s="10">
        <f>IF(Tank5!$C$23="No control",(SUMIF(Tank5!$B$32:$B$49,$J2564,Tank5!$C$32:$C$49)*Impacts!$F$12),0)</f>
        <v>0</v>
      </c>
      <c r="Q2564" s="10">
        <f>IFERROR(IF(('Loading-drum,tote'!$C$21)="No control",SUMIF(('Loading-drum,tote'!$B$31:$B$48),$J2564,('Loading-drum,tote'!$D$31:$D$48))*Impacts!$F$13,IF(('Loading-drum,tote'!$C$21)&lt;&gt;"No control",SUMIF(('Loading-drum,tote'!$B$31:$B$48),$J2564,('Loading-drum,tote'!$E$31:$E$48))*Impacts!$F$13,0)),0)</f>
        <v>0</v>
      </c>
      <c r="R2564" s="10">
        <f>IFERROR(IF(('Loading-truck'!$C$21)="No control",SUMIF(('Loading-truck'!$B$31:$B$48),$J2564,('Loading-truck'!$D$31:$D$48))*Impacts!$F$14,IF(('Loading-truck'!$C$21)&lt;&gt;"No control",SUMIF(('Loading-truck'!$B$31:$B$48),$J2564,('Loading-truck'!$E$31:$E$48))*Impacts!$F$14,0)),0)</f>
        <v>0</v>
      </c>
      <c r="S2564" s="10">
        <f>IFERROR(IF(('Loading-rail'!$C$21)="No control",SUMIF(('Loading-rail'!$B$31:$B$48),$J2564,('Loading-rail'!$D$31:$D$48))*Impacts!$F$15,IF(('Loading-rail'!$C$21)&lt;&gt;"No control",SUMIF(('Loading-rail'!$B$31:$B$48),$J2564,('Loading-rail'!$E$31:$E$48))*Impacts!$F$15,0)),0)</f>
        <v>0</v>
      </c>
      <c r="T2564" s="10">
        <f>IF(Flare!$C$7="",0,(SUMIF(Flare!$B$46:$B$185,$J2564,Flare!$E$46:$E$185)*Impacts!$F$16))</f>
        <v>0</v>
      </c>
      <c r="U2564" s="10">
        <f>IF(VCU!$C$9="",0,(SUMIF(VCU!$B$51:$B$193,$J2564,VCU!$E$51:$E$193)*Impacts!$F$17))</f>
        <v>0</v>
      </c>
      <c r="V2564" s="10">
        <f>IF(CAS!$C$7="",0,(SUMIF(CAS!$B$31:$B$167,$J2564,CAS!$E$31:$E$167)*Impacts!$F$18))</f>
        <v>0</v>
      </c>
      <c r="W2564" s="10">
        <f t="shared" si="80"/>
        <v>0</v>
      </c>
      <c r="AK2564" s="10" t="str">
        <f t="array" ref="AK2564">IFERROR(INDEX(SelectedSpecies,SMALL(IF(SelectedSpecies=AK$1,ROW(SelectedSpecies)),ROW(2565:2565)),2),"")</f>
        <v/>
      </c>
      <c r="BE2564" s="10"/>
      <c r="BI2564" s="10"/>
    </row>
    <row r="2565" spans="1:61" ht="21" customHeight="1" x14ac:dyDescent="0.25">
      <c r="A2565" s="10"/>
      <c r="B2565" s="10"/>
      <c r="E2565" s="10"/>
      <c r="G2565" s="10"/>
      <c r="I2565" s="436" t="s">
        <v>4573</v>
      </c>
      <c r="J2565" s="26" t="s">
        <v>4572</v>
      </c>
      <c r="K2565" s="10">
        <v>4</v>
      </c>
      <c r="L2565" s="73">
        <f>IF(Tank1!$C$23="No control",(SUMIF(Tank1!$B$32:$B$49,$J2565,Tank1!$C$32:$C$49)*Impacts!$F$8),0)</f>
        <v>0</v>
      </c>
      <c r="M2565" s="10">
        <f>IF(Tank2!$C$23="No control",(SUMIF(Tank2!$B$32:$B$49,$J2565,Tank2!$C$32:$C$49)*Impacts!$F$9),0)</f>
        <v>0</v>
      </c>
      <c r="N2565" s="10">
        <f>IF(Tank3!$C$23="No control",(SUMIF(Tank3!$B$32:$B$49,$J2565,Tank3!$C$32:$C$49)*Impacts!$F$10),0)</f>
        <v>0</v>
      </c>
      <c r="O2565" s="10">
        <f>IF(Tank4!$C$23="No control",(SUMIF(Tank4!$B$32:$B$49,$J2565,Tank4!$C$32:$C$49)*Impacts!$F$11),0)</f>
        <v>0</v>
      </c>
      <c r="P2565" s="10">
        <f>IF(Tank5!$C$23="No control",(SUMIF(Tank5!$B$32:$B$49,$J2565,Tank5!$C$32:$C$49)*Impacts!$F$12),0)</f>
        <v>0</v>
      </c>
      <c r="Q2565" s="10">
        <f>IFERROR(IF(('Loading-drum,tote'!$C$21)="No control",SUMIF(('Loading-drum,tote'!$B$31:$B$48),$J2565,('Loading-drum,tote'!$D$31:$D$48))*Impacts!$F$13,IF(('Loading-drum,tote'!$C$21)&lt;&gt;"No control",SUMIF(('Loading-drum,tote'!$B$31:$B$48),$J2565,('Loading-drum,tote'!$E$31:$E$48))*Impacts!$F$13,0)),0)</f>
        <v>0</v>
      </c>
      <c r="R2565" s="10">
        <f>IFERROR(IF(('Loading-truck'!$C$21)="No control",SUMIF(('Loading-truck'!$B$31:$B$48),$J2565,('Loading-truck'!$D$31:$D$48))*Impacts!$F$14,IF(('Loading-truck'!$C$21)&lt;&gt;"No control",SUMIF(('Loading-truck'!$B$31:$B$48),$J2565,('Loading-truck'!$E$31:$E$48))*Impacts!$F$14,0)),0)</f>
        <v>0</v>
      </c>
      <c r="S2565" s="10">
        <f>IFERROR(IF(('Loading-rail'!$C$21)="No control",SUMIF(('Loading-rail'!$B$31:$B$48),$J2565,('Loading-rail'!$D$31:$D$48))*Impacts!$F$15,IF(('Loading-rail'!$C$21)&lt;&gt;"No control",SUMIF(('Loading-rail'!$B$31:$B$48),$J2565,('Loading-rail'!$E$31:$E$48))*Impacts!$F$15,0)),0)</f>
        <v>0</v>
      </c>
      <c r="T2565" s="10">
        <f>IF(Flare!$C$7="",0,(SUMIF(Flare!$B$46:$B$185,$J2565,Flare!$E$46:$E$185)*Impacts!$F$16))</f>
        <v>0</v>
      </c>
      <c r="U2565" s="10">
        <f>IF(VCU!$C$9="",0,(SUMIF(VCU!$B$51:$B$193,$J2565,VCU!$E$51:$E$193)*Impacts!$F$17))</f>
        <v>0</v>
      </c>
      <c r="V2565" s="10">
        <f>IF(CAS!$C$7="",0,(SUMIF(CAS!$B$31:$B$167,$J2565,CAS!$E$31:$E$167)*Impacts!$F$18))</f>
        <v>0</v>
      </c>
      <c r="W2565" s="10">
        <f t="shared" si="80"/>
        <v>0</v>
      </c>
      <c r="AK2565" s="10" t="str">
        <f t="array" ref="AK2565">IFERROR(INDEX(SelectedSpecies,SMALL(IF(SelectedSpecies=AK$1,ROW(SelectedSpecies)),ROW(2566:2566)),2),"")</f>
        <v/>
      </c>
      <c r="BE2565" s="10"/>
      <c r="BI2565" s="10"/>
    </row>
    <row r="2566" spans="1:61" ht="21" customHeight="1" x14ac:dyDescent="0.25">
      <c r="A2566" s="10"/>
      <c r="B2566" s="10"/>
      <c r="E2566" s="10"/>
      <c r="G2566" s="10"/>
      <c r="I2566" s="436" t="s">
        <v>3817</v>
      </c>
      <c r="J2566" s="26" t="s">
        <v>3816</v>
      </c>
      <c r="K2566" s="10">
        <v>6</v>
      </c>
      <c r="L2566" s="73">
        <f>IF(Tank1!$C$23="No control",(SUMIF(Tank1!$B$32:$B$49,$J2566,Tank1!$C$32:$C$49)*Impacts!$F$8),0)</f>
        <v>0</v>
      </c>
      <c r="M2566" s="10">
        <f>IF(Tank2!$C$23="No control",(SUMIF(Tank2!$B$32:$B$49,$J2566,Tank2!$C$32:$C$49)*Impacts!$F$9),0)</f>
        <v>0</v>
      </c>
      <c r="N2566" s="10">
        <f>IF(Tank3!$C$23="No control",(SUMIF(Tank3!$B$32:$B$49,$J2566,Tank3!$C$32:$C$49)*Impacts!$F$10),0)</f>
        <v>0</v>
      </c>
      <c r="O2566" s="10">
        <f>IF(Tank4!$C$23="No control",(SUMIF(Tank4!$B$32:$B$49,$J2566,Tank4!$C$32:$C$49)*Impacts!$F$11),0)</f>
        <v>0</v>
      </c>
      <c r="P2566" s="10">
        <f>IF(Tank5!$C$23="No control",(SUMIF(Tank5!$B$32:$B$49,$J2566,Tank5!$C$32:$C$49)*Impacts!$F$12),0)</f>
        <v>0</v>
      </c>
      <c r="Q2566" s="10">
        <f>IFERROR(IF(('Loading-drum,tote'!$C$21)="No control",SUMIF(('Loading-drum,tote'!$B$31:$B$48),$J2566,('Loading-drum,tote'!$D$31:$D$48))*Impacts!$F$13,IF(('Loading-drum,tote'!$C$21)&lt;&gt;"No control",SUMIF(('Loading-drum,tote'!$B$31:$B$48),$J2566,('Loading-drum,tote'!$E$31:$E$48))*Impacts!$F$13,0)),0)</f>
        <v>0</v>
      </c>
      <c r="R2566" s="10">
        <f>IFERROR(IF(('Loading-truck'!$C$21)="No control",SUMIF(('Loading-truck'!$B$31:$B$48),$J2566,('Loading-truck'!$D$31:$D$48))*Impacts!$F$14,IF(('Loading-truck'!$C$21)&lt;&gt;"No control",SUMIF(('Loading-truck'!$B$31:$B$48),$J2566,('Loading-truck'!$E$31:$E$48))*Impacts!$F$14,0)),0)</f>
        <v>0</v>
      </c>
      <c r="S2566" s="10">
        <f>IFERROR(IF(('Loading-rail'!$C$21)="No control",SUMIF(('Loading-rail'!$B$31:$B$48),$J2566,('Loading-rail'!$D$31:$D$48))*Impacts!$F$15,IF(('Loading-rail'!$C$21)&lt;&gt;"No control",SUMIF(('Loading-rail'!$B$31:$B$48),$J2566,('Loading-rail'!$E$31:$E$48))*Impacts!$F$15,0)),0)</f>
        <v>0</v>
      </c>
      <c r="T2566" s="10">
        <f>IF(Flare!$C$7="",0,(SUMIF(Flare!$B$46:$B$185,$J2566,Flare!$E$46:$E$185)*Impacts!$F$16))</f>
        <v>0</v>
      </c>
      <c r="U2566" s="10">
        <f>IF(VCU!$C$9="",0,(SUMIF(VCU!$B$51:$B$193,$J2566,VCU!$E$51:$E$193)*Impacts!$F$17))</f>
        <v>0</v>
      </c>
      <c r="V2566" s="10">
        <f>IF(CAS!$C$7="",0,(SUMIF(CAS!$B$31:$B$167,$J2566,CAS!$E$31:$E$167)*Impacts!$F$18))</f>
        <v>0</v>
      </c>
      <c r="W2566" s="10">
        <f t="shared" si="80"/>
        <v>0</v>
      </c>
      <c r="AK2566" s="10" t="str">
        <f t="array" ref="AK2566">IFERROR(INDEX(SelectedSpecies,SMALL(IF(SelectedSpecies=AK$1,ROW(SelectedSpecies)),ROW(2567:2567)),2),"")</f>
        <v/>
      </c>
      <c r="BE2566" s="10"/>
      <c r="BI2566" s="10"/>
    </row>
    <row r="2567" spans="1:61" ht="21" customHeight="1" x14ac:dyDescent="0.25">
      <c r="A2567" s="10"/>
      <c r="B2567" s="10"/>
      <c r="E2567" s="10"/>
      <c r="G2567" s="10"/>
      <c r="I2567" s="436" t="s">
        <v>3819</v>
      </c>
      <c r="J2567" s="26" t="s">
        <v>3818</v>
      </c>
      <c r="K2567" s="10">
        <v>6</v>
      </c>
      <c r="L2567" s="73">
        <f>IF(Tank1!$C$23="No control",(SUMIF(Tank1!$B$32:$B$49,$J2567,Tank1!$C$32:$C$49)*Impacts!$F$8),0)</f>
        <v>0</v>
      </c>
      <c r="M2567" s="10">
        <f>IF(Tank2!$C$23="No control",(SUMIF(Tank2!$B$32:$B$49,$J2567,Tank2!$C$32:$C$49)*Impacts!$F$9),0)</f>
        <v>0</v>
      </c>
      <c r="N2567" s="10">
        <f>IF(Tank3!$C$23="No control",(SUMIF(Tank3!$B$32:$B$49,$J2567,Tank3!$C$32:$C$49)*Impacts!$F$10),0)</f>
        <v>0</v>
      </c>
      <c r="O2567" s="10">
        <f>IF(Tank4!$C$23="No control",(SUMIF(Tank4!$B$32:$B$49,$J2567,Tank4!$C$32:$C$49)*Impacts!$F$11),0)</f>
        <v>0</v>
      </c>
      <c r="P2567" s="10">
        <f>IF(Tank5!$C$23="No control",(SUMIF(Tank5!$B$32:$B$49,$J2567,Tank5!$C$32:$C$49)*Impacts!$F$12),0)</f>
        <v>0</v>
      </c>
      <c r="Q2567" s="10">
        <f>IFERROR(IF(('Loading-drum,tote'!$C$21)="No control",SUMIF(('Loading-drum,tote'!$B$31:$B$48),$J2567,('Loading-drum,tote'!$D$31:$D$48))*Impacts!$F$13,IF(('Loading-drum,tote'!$C$21)&lt;&gt;"No control",SUMIF(('Loading-drum,tote'!$B$31:$B$48),$J2567,('Loading-drum,tote'!$E$31:$E$48))*Impacts!$F$13,0)),0)</f>
        <v>0</v>
      </c>
      <c r="R2567" s="10">
        <f>IFERROR(IF(('Loading-truck'!$C$21)="No control",SUMIF(('Loading-truck'!$B$31:$B$48),$J2567,('Loading-truck'!$D$31:$D$48))*Impacts!$F$14,IF(('Loading-truck'!$C$21)&lt;&gt;"No control",SUMIF(('Loading-truck'!$B$31:$B$48),$J2567,('Loading-truck'!$E$31:$E$48))*Impacts!$F$14,0)),0)</f>
        <v>0</v>
      </c>
      <c r="S2567" s="10">
        <f>IFERROR(IF(('Loading-rail'!$C$21)="No control",SUMIF(('Loading-rail'!$B$31:$B$48),$J2567,('Loading-rail'!$D$31:$D$48))*Impacts!$F$15,IF(('Loading-rail'!$C$21)&lt;&gt;"No control",SUMIF(('Loading-rail'!$B$31:$B$48),$J2567,('Loading-rail'!$E$31:$E$48))*Impacts!$F$15,0)),0)</f>
        <v>0</v>
      </c>
      <c r="T2567" s="10">
        <f>IF(Flare!$C$7="",0,(SUMIF(Flare!$B$46:$B$185,$J2567,Flare!$E$46:$E$185)*Impacts!$F$16))</f>
        <v>0</v>
      </c>
      <c r="U2567" s="10">
        <f>IF(VCU!$C$9="",0,(SUMIF(VCU!$B$51:$B$193,$J2567,VCU!$E$51:$E$193)*Impacts!$F$17))</f>
        <v>0</v>
      </c>
      <c r="V2567" s="10">
        <f>IF(CAS!$C$7="",0,(SUMIF(CAS!$B$31:$B$167,$J2567,CAS!$E$31:$E$167)*Impacts!$F$18))</f>
        <v>0</v>
      </c>
      <c r="W2567" s="10">
        <f t="shared" si="80"/>
        <v>0</v>
      </c>
      <c r="AK2567" s="10" t="str">
        <f t="array" ref="AK2567">IFERROR(INDEX(SelectedSpecies,SMALL(IF(SelectedSpecies=AK$1,ROW(SelectedSpecies)),ROW(2568:2568)),2),"")</f>
        <v/>
      </c>
      <c r="BE2567" s="10"/>
      <c r="BI2567" s="10"/>
    </row>
    <row r="2568" spans="1:61" ht="21" customHeight="1" x14ac:dyDescent="0.25">
      <c r="A2568" s="10"/>
      <c r="B2568" s="10"/>
      <c r="E2568" s="10"/>
      <c r="G2568" s="10"/>
      <c r="I2568" s="436" t="s">
        <v>6880</v>
      </c>
      <c r="J2568" s="26" t="s">
        <v>6879</v>
      </c>
      <c r="K2568" s="10">
        <v>0.5</v>
      </c>
      <c r="L2568" s="73">
        <f>IF(Tank1!$C$23="No control",(SUMIF(Tank1!$B$32:$B$49,$J2568,Tank1!$C$32:$C$49)*Impacts!$F$8),0)</f>
        <v>0</v>
      </c>
      <c r="M2568" s="10">
        <f>IF(Tank2!$C$23="No control",(SUMIF(Tank2!$B$32:$B$49,$J2568,Tank2!$C$32:$C$49)*Impacts!$F$9),0)</f>
        <v>0</v>
      </c>
      <c r="N2568" s="10">
        <f>IF(Tank3!$C$23="No control",(SUMIF(Tank3!$B$32:$B$49,$J2568,Tank3!$C$32:$C$49)*Impacts!$F$10),0)</f>
        <v>0</v>
      </c>
      <c r="O2568" s="10">
        <f>IF(Tank4!$C$23="No control",(SUMIF(Tank4!$B$32:$B$49,$J2568,Tank4!$C$32:$C$49)*Impacts!$F$11),0)</f>
        <v>0</v>
      </c>
      <c r="P2568" s="10">
        <f>IF(Tank5!$C$23="No control",(SUMIF(Tank5!$B$32:$B$49,$J2568,Tank5!$C$32:$C$49)*Impacts!$F$12),0)</f>
        <v>0</v>
      </c>
      <c r="Q2568" s="10">
        <f>IFERROR(IF(('Loading-drum,tote'!$C$21)="No control",SUMIF(('Loading-drum,tote'!$B$31:$B$48),$J2568,('Loading-drum,tote'!$D$31:$D$48))*Impacts!$F$13,IF(('Loading-drum,tote'!$C$21)&lt;&gt;"No control",SUMIF(('Loading-drum,tote'!$B$31:$B$48),$J2568,('Loading-drum,tote'!$E$31:$E$48))*Impacts!$F$13,0)),0)</f>
        <v>0</v>
      </c>
      <c r="R2568" s="10">
        <f>IFERROR(IF(('Loading-truck'!$C$21)="No control",SUMIF(('Loading-truck'!$B$31:$B$48),$J2568,('Loading-truck'!$D$31:$D$48))*Impacts!$F$14,IF(('Loading-truck'!$C$21)&lt;&gt;"No control",SUMIF(('Loading-truck'!$B$31:$B$48),$J2568,('Loading-truck'!$E$31:$E$48))*Impacts!$F$14,0)),0)</f>
        <v>0</v>
      </c>
      <c r="S2568" s="10">
        <f>IFERROR(IF(('Loading-rail'!$C$21)="No control",SUMIF(('Loading-rail'!$B$31:$B$48),$J2568,('Loading-rail'!$D$31:$D$48))*Impacts!$F$15,IF(('Loading-rail'!$C$21)&lt;&gt;"No control",SUMIF(('Loading-rail'!$B$31:$B$48),$J2568,('Loading-rail'!$E$31:$E$48))*Impacts!$F$15,0)),0)</f>
        <v>0</v>
      </c>
      <c r="T2568" s="10">
        <f>IF(Flare!$C$7="",0,(SUMIF(Flare!$B$46:$B$185,$J2568,Flare!$E$46:$E$185)*Impacts!$F$16))</f>
        <v>0</v>
      </c>
      <c r="U2568" s="10">
        <f>IF(VCU!$C$9="",0,(SUMIF(VCU!$B$51:$B$193,$J2568,VCU!$E$51:$E$193)*Impacts!$F$17))</f>
        <v>0</v>
      </c>
      <c r="V2568" s="10">
        <f>IF(CAS!$C$7="",0,(SUMIF(CAS!$B$31:$B$167,$J2568,CAS!$E$31:$E$167)*Impacts!$F$18))</f>
        <v>0</v>
      </c>
      <c r="W2568" s="10">
        <f t="shared" si="80"/>
        <v>0</v>
      </c>
      <c r="AK2568" s="10" t="str">
        <f t="array" ref="AK2568">IFERROR(INDEX(SelectedSpecies,SMALL(IF(SelectedSpecies=AK$1,ROW(SelectedSpecies)),ROW(2569:2569)),2),"")</f>
        <v/>
      </c>
      <c r="BE2568" s="10"/>
      <c r="BI2568" s="10"/>
    </row>
    <row r="2569" spans="1:61" ht="21" customHeight="1" x14ac:dyDescent="0.25">
      <c r="A2569" s="10"/>
      <c r="B2569" s="10"/>
      <c r="E2569" s="10"/>
      <c r="G2569" s="10"/>
      <c r="I2569" s="436" t="s">
        <v>6018</v>
      </c>
      <c r="J2569" s="26" t="s">
        <v>6017</v>
      </c>
      <c r="K2569" s="10">
        <v>1</v>
      </c>
      <c r="L2569" s="73">
        <f>IF(Tank1!$C$23="No control",(SUMIF(Tank1!$B$32:$B$49,$J2569,Tank1!$C$32:$C$49)*Impacts!$F$8),0)</f>
        <v>0</v>
      </c>
      <c r="M2569" s="10">
        <f>IF(Tank2!$C$23="No control",(SUMIF(Tank2!$B$32:$B$49,$J2569,Tank2!$C$32:$C$49)*Impacts!$F$9),0)</f>
        <v>0</v>
      </c>
      <c r="N2569" s="10">
        <f>IF(Tank3!$C$23="No control",(SUMIF(Tank3!$B$32:$B$49,$J2569,Tank3!$C$32:$C$49)*Impacts!$F$10),0)</f>
        <v>0</v>
      </c>
      <c r="O2569" s="10">
        <f>IF(Tank4!$C$23="No control",(SUMIF(Tank4!$B$32:$B$49,$J2569,Tank4!$C$32:$C$49)*Impacts!$F$11),0)</f>
        <v>0</v>
      </c>
      <c r="P2569" s="10">
        <f>IF(Tank5!$C$23="No control",(SUMIF(Tank5!$B$32:$B$49,$J2569,Tank5!$C$32:$C$49)*Impacts!$F$12),0)</f>
        <v>0</v>
      </c>
      <c r="Q2569" s="10">
        <f>IFERROR(IF(('Loading-drum,tote'!$C$21)="No control",SUMIF(('Loading-drum,tote'!$B$31:$B$48),$J2569,('Loading-drum,tote'!$D$31:$D$48))*Impacts!$F$13,IF(('Loading-drum,tote'!$C$21)&lt;&gt;"No control",SUMIF(('Loading-drum,tote'!$B$31:$B$48),$J2569,('Loading-drum,tote'!$E$31:$E$48))*Impacts!$F$13,0)),0)</f>
        <v>0</v>
      </c>
      <c r="R2569" s="10">
        <f>IFERROR(IF(('Loading-truck'!$C$21)="No control",SUMIF(('Loading-truck'!$B$31:$B$48),$J2569,('Loading-truck'!$D$31:$D$48))*Impacts!$F$14,IF(('Loading-truck'!$C$21)&lt;&gt;"No control",SUMIF(('Loading-truck'!$B$31:$B$48),$J2569,('Loading-truck'!$E$31:$E$48))*Impacts!$F$14,0)),0)</f>
        <v>0</v>
      </c>
      <c r="S2569" s="10">
        <f>IFERROR(IF(('Loading-rail'!$C$21)="No control",SUMIF(('Loading-rail'!$B$31:$B$48),$J2569,('Loading-rail'!$D$31:$D$48))*Impacts!$F$15,IF(('Loading-rail'!$C$21)&lt;&gt;"No control",SUMIF(('Loading-rail'!$B$31:$B$48),$J2569,('Loading-rail'!$E$31:$E$48))*Impacts!$F$15,0)),0)</f>
        <v>0</v>
      </c>
      <c r="T2569" s="10">
        <f>IF(Flare!$C$7="",0,(SUMIF(Flare!$B$46:$B$185,$J2569,Flare!$E$46:$E$185)*Impacts!$F$16))</f>
        <v>0</v>
      </c>
      <c r="U2569" s="10">
        <f>IF(VCU!$C$9="",0,(SUMIF(VCU!$B$51:$B$193,$J2569,VCU!$E$51:$E$193)*Impacts!$F$17))</f>
        <v>0</v>
      </c>
      <c r="V2569" s="10">
        <f>IF(CAS!$C$7="",0,(SUMIF(CAS!$B$31:$B$167,$J2569,CAS!$E$31:$E$167)*Impacts!$F$18))</f>
        <v>0</v>
      </c>
      <c r="W2569" s="10">
        <f t="shared" si="80"/>
        <v>0</v>
      </c>
      <c r="AK2569" s="10" t="str">
        <f t="array" ref="AK2569">IFERROR(INDEX(SelectedSpecies,SMALL(IF(SelectedSpecies=AK$1,ROW(SelectedSpecies)),ROW(2570:2570)),2),"")</f>
        <v/>
      </c>
      <c r="BE2569" s="10"/>
      <c r="BI2569" s="10"/>
    </row>
    <row r="2570" spans="1:61" ht="21" customHeight="1" x14ac:dyDescent="0.25">
      <c r="A2570" s="10"/>
      <c r="B2570" s="10"/>
      <c r="E2570" s="10"/>
      <c r="G2570" s="10"/>
      <c r="I2570" s="436" t="s">
        <v>6020</v>
      </c>
      <c r="J2570" s="26" t="s">
        <v>6019</v>
      </c>
      <c r="K2570" s="10">
        <v>1</v>
      </c>
      <c r="L2570" s="73">
        <f>IF(Tank1!$C$23="No control",(SUMIF(Tank1!$B$32:$B$49,$J2570,Tank1!$C$32:$C$49)*Impacts!$F$8),0)</f>
        <v>0</v>
      </c>
      <c r="M2570" s="10">
        <f>IF(Tank2!$C$23="No control",(SUMIF(Tank2!$B$32:$B$49,$J2570,Tank2!$C$32:$C$49)*Impacts!$F$9),0)</f>
        <v>0</v>
      </c>
      <c r="N2570" s="10">
        <f>IF(Tank3!$C$23="No control",(SUMIF(Tank3!$B$32:$B$49,$J2570,Tank3!$C$32:$C$49)*Impacts!$F$10),0)</f>
        <v>0</v>
      </c>
      <c r="O2570" s="10">
        <f>IF(Tank4!$C$23="No control",(SUMIF(Tank4!$B$32:$B$49,$J2570,Tank4!$C$32:$C$49)*Impacts!$F$11),0)</f>
        <v>0</v>
      </c>
      <c r="P2570" s="10">
        <f>IF(Tank5!$C$23="No control",(SUMIF(Tank5!$B$32:$B$49,$J2570,Tank5!$C$32:$C$49)*Impacts!$F$12),0)</f>
        <v>0</v>
      </c>
      <c r="Q2570" s="10">
        <f>IFERROR(IF(('Loading-drum,tote'!$C$21)="No control",SUMIF(('Loading-drum,tote'!$B$31:$B$48),$J2570,('Loading-drum,tote'!$D$31:$D$48))*Impacts!$F$13,IF(('Loading-drum,tote'!$C$21)&lt;&gt;"No control",SUMIF(('Loading-drum,tote'!$B$31:$B$48),$J2570,('Loading-drum,tote'!$E$31:$E$48))*Impacts!$F$13,0)),0)</f>
        <v>0</v>
      </c>
      <c r="R2570" s="10">
        <f>IFERROR(IF(('Loading-truck'!$C$21)="No control",SUMIF(('Loading-truck'!$B$31:$B$48),$J2570,('Loading-truck'!$D$31:$D$48))*Impacts!$F$14,IF(('Loading-truck'!$C$21)&lt;&gt;"No control",SUMIF(('Loading-truck'!$B$31:$B$48),$J2570,('Loading-truck'!$E$31:$E$48))*Impacts!$F$14,0)),0)</f>
        <v>0</v>
      </c>
      <c r="S2570" s="10">
        <f>IFERROR(IF(('Loading-rail'!$C$21)="No control",SUMIF(('Loading-rail'!$B$31:$B$48),$J2570,('Loading-rail'!$D$31:$D$48))*Impacts!$F$15,IF(('Loading-rail'!$C$21)&lt;&gt;"No control",SUMIF(('Loading-rail'!$B$31:$B$48),$J2570,('Loading-rail'!$E$31:$E$48))*Impacts!$F$15,0)),0)</f>
        <v>0</v>
      </c>
      <c r="T2570" s="10">
        <f>IF(Flare!$C$7="",0,(SUMIF(Flare!$B$46:$B$185,$J2570,Flare!$E$46:$E$185)*Impacts!$F$16))</f>
        <v>0</v>
      </c>
      <c r="U2570" s="10">
        <f>IF(VCU!$C$9="",0,(SUMIF(VCU!$B$51:$B$193,$J2570,VCU!$E$51:$E$193)*Impacts!$F$17))</f>
        <v>0</v>
      </c>
      <c r="V2570" s="10">
        <f>IF(CAS!$C$7="",0,(SUMIF(CAS!$B$31:$B$167,$J2570,CAS!$E$31:$E$167)*Impacts!$F$18))</f>
        <v>0</v>
      </c>
      <c r="W2570" s="10">
        <f t="shared" si="80"/>
        <v>0</v>
      </c>
      <c r="AK2570" s="10" t="str">
        <f t="array" ref="AK2570">IFERROR(INDEX(SelectedSpecies,SMALL(IF(SelectedSpecies=AK$1,ROW(SelectedSpecies)),ROW(2571:2571)),2),"")</f>
        <v/>
      </c>
      <c r="BE2570" s="10"/>
      <c r="BI2570" s="10"/>
    </row>
    <row r="2571" spans="1:61" ht="21" customHeight="1" x14ac:dyDescent="0.25">
      <c r="A2571" s="10"/>
      <c r="B2571" s="10"/>
      <c r="E2571" s="10"/>
      <c r="G2571" s="10"/>
      <c r="I2571" s="436" t="s">
        <v>2533</v>
      </c>
      <c r="J2571" s="26" t="s">
        <v>2532</v>
      </c>
      <c r="K2571" s="10">
        <v>10</v>
      </c>
      <c r="L2571" s="73">
        <f>IF(Tank1!$C$23="No control",(SUMIF(Tank1!$B$32:$B$49,$J2571,Tank1!$C$32:$C$49)*Impacts!$F$8),0)</f>
        <v>0</v>
      </c>
      <c r="M2571" s="10">
        <f>IF(Tank2!$C$23="No control",(SUMIF(Tank2!$B$32:$B$49,$J2571,Tank2!$C$32:$C$49)*Impacts!$F$9),0)</f>
        <v>0</v>
      </c>
      <c r="N2571" s="10">
        <f>IF(Tank3!$C$23="No control",(SUMIF(Tank3!$B$32:$B$49,$J2571,Tank3!$C$32:$C$49)*Impacts!$F$10),0)</f>
        <v>0</v>
      </c>
      <c r="O2571" s="10">
        <f>IF(Tank4!$C$23="No control",(SUMIF(Tank4!$B$32:$B$49,$J2571,Tank4!$C$32:$C$49)*Impacts!$F$11),0)</f>
        <v>0</v>
      </c>
      <c r="P2571" s="10">
        <f>IF(Tank5!$C$23="No control",(SUMIF(Tank5!$B$32:$B$49,$J2571,Tank5!$C$32:$C$49)*Impacts!$F$12),0)</f>
        <v>0</v>
      </c>
      <c r="Q2571" s="10">
        <f>IFERROR(IF(('Loading-drum,tote'!$C$21)="No control",SUMIF(('Loading-drum,tote'!$B$31:$B$48),$J2571,('Loading-drum,tote'!$D$31:$D$48))*Impacts!$F$13,IF(('Loading-drum,tote'!$C$21)&lt;&gt;"No control",SUMIF(('Loading-drum,tote'!$B$31:$B$48),$J2571,('Loading-drum,tote'!$E$31:$E$48))*Impacts!$F$13,0)),0)</f>
        <v>0</v>
      </c>
      <c r="R2571" s="10">
        <f>IFERROR(IF(('Loading-truck'!$C$21)="No control",SUMIF(('Loading-truck'!$B$31:$B$48),$J2571,('Loading-truck'!$D$31:$D$48))*Impacts!$F$14,IF(('Loading-truck'!$C$21)&lt;&gt;"No control",SUMIF(('Loading-truck'!$B$31:$B$48),$J2571,('Loading-truck'!$E$31:$E$48))*Impacts!$F$14,0)),0)</f>
        <v>0</v>
      </c>
      <c r="S2571" s="10">
        <f>IFERROR(IF(('Loading-rail'!$C$21)="No control",SUMIF(('Loading-rail'!$B$31:$B$48),$J2571,('Loading-rail'!$D$31:$D$48))*Impacts!$F$15,IF(('Loading-rail'!$C$21)&lt;&gt;"No control",SUMIF(('Loading-rail'!$B$31:$B$48),$J2571,('Loading-rail'!$E$31:$E$48))*Impacts!$F$15,0)),0)</f>
        <v>0</v>
      </c>
      <c r="T2571" s="10">
        <f>IF(Flare!$C$7="",0,(SUMIF(Flare!$B$46:$B$185,$J2571,Flare!$E$46:$E$185)*Impacts!$F$16))</f>
        <v>0</v>
      </c>
      <c r="U2571" s="10">
        <f>IF(VCU!$C$9="",0,(SUMIF(VCU!$B$51:$B$193,$J2571,VCU!$E$51:$E$193)*Impacts!$F$17))</f>
        <v>0</v>
      </c>
      <c r="V2571" s="10">
        <f>IF(CAS!$C$7="",0,(SUMIF(CAS!$B$31:$B$167,$J2571,CAS!$E$31:$E$167)*Impacts!$F$18))</f>
        <v>0</v>
      </c>
      <c r="W2571" s="10">
        <f t="shared" si="80"/>
        <v>0</v>
      </c>
      <c r="AK2571" s="10" t="str">
        <f t="array" ref="AK2571">IFERROR(INDEX(SelectedSpecies,SMALL(IF(SelectedSpecies=AK$1,ROW(SelectedSpecies)),ROW(2572:2572)),2),"")</f>
        <v/>
      </c>
      <c r="BE2571" s="10"/>
      <c r="BI2571" s="10"/>
    </row>
    <row r="2572" spans="1:61" ht="21" customHeight="1" x14ac:dyDescent="0.25">
      <c r="A2572" s="10"/>
      <c r="B2572" s="10"/>
      <c r="E2572" s="10"/>
      <c r="G2572" s="10"/>
      <c r="I2572" s="436" t="s">
        <v>4575</v>
      </c>
      <c r="J2572" s="26" t="s">
        <v>4574</v>
      </c>
      <c r="K2572" s="10">
        <v>4</v>
      </c>
      <c r="L2572" s="73">
        <f>IF(Tank1!$C$23="No control",(SUMIF(Tank1!$B$32:$B$49,$J2572,Tank1!$C$32:$C$49)*Impacts!$F$8),0)</f>
        <v>0</v>
      </c>
      <c r="M2572" s="10">
        <f>IF(Tank2!$C$23="No control",(SUMIF(Tank2!$B$32:$B$49,$J2572,Tank2!$C$32:$C$49)*Impacts!$F$9),0)</f>
        <v>0</v>
      </c>
      <c r="N2572" s="10">
        <f>IF(Tank3!$C$23="No control",(SUMIF(Tank3!$B$32:$B$49,$J2572,Tank3!$C$32:$C$49)*Impacts!$F$10),0)</f>
        <v>0</v>
      </c>
      <c r="O2572" s="10">
        <f>IF(Tank4!$C$23="No control",(SUMIF(Tank4!$B$32:$B$49,$J2572,Tank4!$C$32:$C$49)*Impacts!$F$11),0)</f>
        <v>0</v>
      </c>
      <c r="P2572" s="10">
        <f>IF(Tank5!$C$23="No control",(SUMIF(Tank5!$B$32:$B$49,$J2572,Tank5!$C$32:$C$49)*Impacts!$F$12),0)</f>
        <v>0</v>
      </c>
      <c r="Q2572" s="10">
        <f>IFERROR(IF(('Loading-drum,tote'!$C$21)="No control",SUMIF(('Loading-drum,tote'!$B$31:$B$48),$J2572,('Loading-drum,tote'!$D$31:$D$48))*Impacts!$F$13,IF(('Loading-drum,tote'!$C$21)&lt;&gt;"No control",SUMIF(('Loading-drum,tote'!$B$31:$B$48),$J2572,('Loading-drum,tote'!$E$31:$E$48))*Impacts!$F$13,0)),0)</f>
        <v>0</v>
      </c>
      <c r="R2572" s="10">
        <f>IFERROR(IF(('Loading-truck'!$C$21)="No control",SUMIF(('Loading-truck'!$B$31:$B$48),$J2572,('Loading-truck'!$D$31:$D$48))*Impacts!$F$14,IF(('Loading-truck'!$C$21)&lt;&gt;"No control",SUMIF(('Loading-truck'!$B$31:$B$48),$J2572,('Loading-truck'!$E$31:$E$48))*Impacts!$F$14,0)),0)</f>
        <v>0</v>
      </c>
      <c r="S2572" s="10">
        <f>IFERROR(IF(('Loading-rail'!$C$21)="No control",SUMIF(('Loading-rail'!$B$31:$B$48),$J2572,('Loading-rail'!$D$31:$D$48))*Impacts!$F$15,IF(('Loading-rail'!$C$21)&lt;&gt;"No control",SUMIF(('Loading-rail'!$B$31:$B$48),$J2572,('Loading-rail'!$E$31:$E$48))*Impacts!$F$15,0)),0)</f>
        <v>0</v>
      </c>
      <c r="T2572" s="10">
        <f>IF(Flare!$C$7="",0,(SUMIF(Flare!$B$46:$B$185,$J2572,Flare!$E$46:$E$185)*Impacts!$F$16))</f>
        <v>0</v>
      </c>
      <c r="U2572" s="10">
        <f>IF(VCU!$C$9="",0,(SUMIF(VCU!$B$51:$B$193,$J2572,VCU!$E$51:$E$193)*Impacts!$F$17))</f>
        <v>0</v>
      </c>
      <c r="V2572" s="10">
        <f>IF(CAS!$C$7="",0,(SUMIF(CAS!$B$31:$B$167,$J2572,CAS!$E$31:$E$167)*Impacts!$F$18))</f>
        <v>0</v>
      </c>
      <c r="W2572" s="10">
        <f t="shared" si="80"/>
        <v>0</v>
      </c>
      <c r="AK2572" s="10" t="str">
        <f t="array" ref="AK2572">IFERROR(INDEX(SelectedSpecies,SMALL(IF(SelectedSpecies=AK$1,ROW(SelectedSpecies)),ROW(2573:2573)),2),"")</f>
        <v/>
      </c>
      <c r="BE2572" s="10"/>
      <c r="BI2572" s="10"/>
    </row>
    <row r="2573" spans="1:61" ht="21" customHeight="1" x14ac:dyDescent="0.25">
      <c r="A2573" s="10"/>
      <c r="B2573" s="10"/>
      <c r="E2573" s="10"/>
      <c r="G2573" s="10"/>
      <c r="I2573" s="436" t="s">
        <v>4577</v>
      </c>
      <c r="J2573" s="26" t="s">
        <v>4576</v>
      </c>
      <c r="K2573" s="10">
        <v>4</v>
      </c>
      <c r="L2573" s="73">
        <f>IF(Tank1!$C$23="No control",(SUMIF(Tank1!$B$32:$B$49,$J2573,Tank1!$C$32:$C$49)*Impacts!$F$8),0)</f>
        <v>0</v>
      </c>
      <c r="M2573" s="10">
        <f>IF(Tank2!$C$23="No control",(SUMIF(Tank2!$B$32:$B$49,$J2573,Tank2!$C$32:$C$49)*Impacts!$F$9),0)</f>
        <v>0</v>
      </c>
      <c r="N2573" s="10">
        <f>IF(Tank3!$C$23="No control",(SUMIF(Tank3!$B$32:$B$49,$J2573,Tank3!$C$32:$C$49)*Impacts!$F$10),0)</f>
        <v>0</v>
      </c>
      <c r="O2573" s="10">
        <f>IF(Tank4!$C$23="No control",(SUMIF(Tank4!$B$32:$B$49,$J2573,Tank4!$C$32:$C$49)*Impacts!$F$11),0)</f>
        <v>0</v>
      </c>
      <c r="P2573" s="10">
        <f>IF(Tank5!$C$23="No control",(SUMIF(Tank5!$B$32:$B$49,$J2573,Tank5!$C$32:$C$49)*Impacts!$F$12),0)</f>
        <v>0</v>
      </c>
      <c r="Q2573" s="10">
        <f>IFERROR(IF(('Loading-drum,tote'!$C$21)="No control",SUMIF(('Loading-drum,tote'!$B$31:$B$48),$J2573,('Loading-drum,tote'!$D$31:$D$48))*Impacts!$F$13,IF(('Loading-drum,tote'!$C$21)&lt;&gt;"No control",SUMIF(('Loading-drum,tote'!$B$31:$B$48),$J2573,('Loading-drum,tote'!$E$31:$E$48))*Impacts!$F$13,0)),0)</f>
        <v>0</v>
      </c>
      <c r="R2573" s="10">
        <f>IFERROR(IF(('Loading-truck'!$C$21)="No control",SUMIF(('Loading-truck'!$B$31:$B$48),$J2573,('Loading-truck'!$D$31:$D$48))*Impacts!$F$14,IF(('Loading-truck'!$C$21)&lt;&gt;"No control",SUMIF(('Loading-truck'!$B$31:$B$48),$J2573,('Loading-truck'!$E$31:$E$48))*Impacts!$F$14,0)),0)</f>
        <v>0</v>
      </c>
      <c r="S2573" s="10">
        <f>IFERROR(IF(('Loading-rail'!$C$21)="No control",SUMIF(('Loading-rail'!$B$31:$B$48),$J2573,('Loading-rail'!$D$31:$D$48))*Impacts!$F$15,IF(('Loading-rail'!$C$21)&lt;&gt;"No control",SUMIF(('Loading-rail'!$B$31:$B$48),$J2573,('Loading-rail'!$E$31:$E$48))*Impacts!$F$15,0)),0)</f>
        <v>0</v>
      </c>
      <c r="T2573" s="10">
        <f>IF(Flare!$C$7="",0,(SUMIF(Flare!$B$46:$B$185,$J2573,Flare!$E$46:$E$185)*Impacts!$F$16))</f>
        <v>0</v>
      </c>
      <c r="U2573" s="10">
        <f>IF(VCU!$C$9="",0,(SUMIF(VCU!$B$51:$B$193,$J2573,VCU!$E$51:$E$193)*Impacts!$F$17))</f>
        <v>0</v>
      </c>
      <c r="V2573" s="10">
        <f>IF(CAS!$C$7="",0,(SUMIF(CAS!$B$31:$B$167,$J2573,CAS!$E$31:$E$167)*Impacts!$F$18))</f>
        <v>0</v>
      </c>
      <c r="W2573" s="10">
        <f t="shared" si="80"/>
        <v>0</v>
      </c>
      <c r="AK2573" s="10" t="str">
        <f t="array" ref="AK2573">IFERROR(INDEX(SelectedSpecies,SMALL(IF(SelectedSpecies=AK$1,ROW(SelectedSpecies)),ROW(2574:2574)),2),"")</f>
        <v/>
      </c>
      <c r="BE2573" s="10"/>
      <c r="BI2573" s="10"/>
    </row>
    <row r="2574" spans="1:61" ht="21" customHeight="1" x14ac:dyDescent="0.25">
      <c r="A2574" s="10"/>
      <c r="B2574" s="10"/>
      <c r="E2574" s="10"/>
      <c r="G2574" s="10"/>
      <c r="I2574" s="436" t="s">
        <v>4579</v>
      </c>
      <c r="J2574" s="26" t="s">
        <v>4578</v>
      </c>
      <c r="K2574" s="10">
        <v>4</v>
      </c>
      <c r="L2574" s="73">
        <f>IF(Tank1!$C$23="No control",(SUMIF(Tank1!$B$32:$B$49,$J2574,Tank1!$C$32:$C$49)*Impacts!$F$8),0)</f>
        <v>0</v>
      </c>
      <c r="M2574" s="10">
        <f>IF(Tank2!$C$23="No control",(SUMIF(Tank2!$B$32:$B$49,$J2574,Tank2!$C$32:$C$49)*Impacts!$F$9),0)</f>
        <v>0</v>
      </c>
      <c r="N2574" s="10">
        <f>IF(Tank3!$C$23="No control",(SUMIF(Tank3!$B$32:$B$49,$J2574,Tank3!$C$32:$C$49)*Impacts!$F$10),0)</f>
        <v>0</v>
      </c>
      <c r="O2574" s="10">
        <f>IF(Tank4!$C$23="No control",(SUMIF(Tank4!$B$32:$B$49,$J2574,Tank4!$C$32:$C$49)*Impacts!$F$11),0)</f>
        <v>0</v>
      </c>
      <c r="P2574" s="10">
        <f>IF(Tank5!$C$23="No control",(SUMIF(Tank5!$B$32:$B$49,$J2574,Tank5!$C$32:$C$49)*Impacts!$F$12),0)</f>
        <v>0</v>
      </c>
      <c r="Q2574" s="10">
        <f>IFERROR(IF(('Loading-drum,tote'!$C$21)="No control",SUMIF(('Loading-drum,tote'!$B$31:$B$48),$J2574,('Loading-drum,tote'!$D$31:$D$48))*Impacts!$F$13,IF(('Loading-drum,tote'!$C$21)&lt;&gt;"No control",SUMIF(('Loading-drum,tote'!$B$31:$B$48),$J2574,('Loading-drum,tote'!$E$31:$E$48))*Impacts!$F$13,0)),0)</f>
        <v>0</v>
      </c>
      <c r="R2574" s="10">
        <f>IFERROR(IF(('Loading-truck'!$C$21)="No control",SUMIF(('Loading-truck'!$B$31:$B$48),$J2574,('Loading-truck'!$D$31:$D$48))*Impacts!$F$14,IF(('Loading-truck'!$C$21)&lt;&gt;"No control",SUMIF(('Loading-truck'!$B$31:$B$48),$J2574,('Loading-truck'!$E$31:$E$48))*Impacts!$F$14,0)),0)</f>
        <v>0</v>
      </c>
      <c r="S2574" s="10">
        <f>IFERROR(IF(('Loading-rail'!$C$21)="No control",SUMIF(('Loading-rail'!$B$31:$B$48),$J2574,('Loading-rail'!$D$31:$D$48))*Impacts!$F$15,IF(('Loading-rail'!$C$21)&lt;&gt;"No control",SUMIF(('Loading-rail'!$B$31:$B$48),$J2574,('Loading-rail'!$E$31:$E$48))*Impacts!$F$15,0)),0)</f>
        <v>0</v>
      </c>
      <c r="T2574" s="10">
        <f>IF(Flare!$C$7="",0,(SUMIF(Flare!$B$46:$B$185,$J2574,Flare!$E$46:$E$185)*Impacts!$F$16))</f>
        <v>0</v>
      </c>
      <c r="U2574" s="10">
        <f>IF(VCU!$C$9="",0,(SUMIF(VCU!$B$51:$B$193,$J2574,VCU!$E$51:$E$193)*Impacts!$F$17))</f>
        <v>0</v>
      </c>
      <c r="V2574" s="10">
        <f>IF(CAS!$C$7="",0,(SUMIF(CAS!$B$31:$B$167,$J2574,CAS!$E$31:$E$167)*Impacts!$F$18))</f>
        <v>0</v>
      </c>
      <c r="W2574" s="10">
        <f t="shared" si="80"/>
        <v>0</v>
      </c>
      <c r="AK2574" s="10" t="str">
        <f t="array" ref="AK2574">IFERROR(INDEX(SelectedSpecies,SMALL(IF(SelectedSpecies=AK$1,ROW(SelectedSpecies)),ROW(2575:2575)),2),"")</f>
        <v/>
      </c>
      <c r="BE2574" s="10"/>
      <c r="BI2574" s="10"/>
    </row>
    <row r="2575" spans="1:61" ht="21" customHeight="1" x14ac:dyDescent="0.25">
      <c r="A2575" s="10"/>
      <c r="B2575" s="10"/>
      <c r="E2575" s="10"/>
      <c r="G2575" s="10"/>
      <c r="I2575" s="436" t="s">
        <v>3979</v>
      </c>
      <c r="J2575" s="26" t="s">
        <v>3978</v>
      </c>
      <c r="K2575" s="10">
        <v>6</v>
      </c>
      <c r="L2575" s="73">
        <f>IF(Tank1!$C$23="No control",(SUMIF(Tank1!$B$32:$B$49,$J2575,Tank1!$C$32:$C$49)*Impacts!$F$8),0)</f>
        <v>0</v>
      </c>
      <c r="M2575" s="10">
        <f>IF(Tank2!$C$23="No control",(SUMIF(Tank2!$B$32:$B$49,$J2575,Tank2!$C$32:$C$49)*Impacts!$F$9),0)</f>
        <v>0</v>
      </c>
      <c r="N2575" s="10">
        <f>IF(Tank3!$C$23="No control",(SUMIF(Tank3!$B$32:$B$49,$J2575,Tank3!$C$32:$C$49)*Impacts!$F$10),0)</f>
        <v>0</v>
      </c>
      <c r="O2575" s="10">
        <f>IF(Tank4!$C$23="No control",(SUMIF(Tank4!$B$32:$B$49,$J2575,Tank4!$C$32:$C$49)*Impacts!$F$11),0)</f>
        <v>0</v>
      </c>
      <c r="P2575" s="10">
        <f>IF(Tank5!$C$23="No control",(SUMIF(Tank5!$B$32:$B$49,$J2575,Tank5!$C$32:$C$49)*Impacts!$F$12),0)</f>
        <v>0</v>
      </c>
      <c r="Q2575" s="10">
        <f>IFERROR(IF(('Loading-drum,tote'!$C$21)="No control",SUMIF(('Loading-drum,tote'!$B$31:$B$48),$J2575,('Loading-drum,tote'!$D$31:$D$48))*Impacts!$F$13,IF(('Loading-drum,tote'!$C$21)&lt;&gt;"No control",SUMIF(('Loading-drum,tote'!$B$31:$B$48),$J2575,('Loading-drum,tote'!$E$31:$E$48))*Impacts!$F$13,0)),0)</f>
        <v>0</v>
      </c>
      <c r="R2575" s="10">
        <f>IFERROR(IF(('Loading-truck'!$C$21)="No control",SUMIF(('Loading-truck'!$B$31:$B$48),$J2575,('Loading-truck'!$D$31:$D$48))*Impacts!$F$14,IF(('Loading-truck'!$C$21)&lt;&gt;"No control",SUMIF(('Loading-truck'!$B$31:$B$48),$J2575,('Loading-truck'!$E$31:$E$48))*Impacts!$F$14,0)),0)</f>
        <v>0</v>
      </c>
      <c r="S2575" s="10">
        <f>IFERROR(IF(('Loading-rail'!$C$21)="No control",SUMIF(('Loading-rail'!$B$31:$B$48),$J2575,('Loading-rail'!$D$31:$D$48))*Impacts!$F$15,IF(('Loading-rail'!$C$21)&lt;&gt;"No control",SUMIF(('Loading-rail'!$B$31:$B$48),$J2575,('Loading-rail'!$E$31:$E$48))*Impacts!$F$15,0)),0)</f>
        <v>0</v>
      </c>
      <c r="T2575" s="10">
        <f>IF(Flare!$C$7="",0,(SUMIF(Flare!$B$46:$B$185,$J2575,Flare!$E$46:$E$185)*Impacts!$F$16))</f>
        <v>0</v>
      </c>
      <c r="U2575" s="10">
        <f>IF(VCU!$C$9="",0,(SUMIF(VCU!$B$51:$B$193,$J2575,VCU!$E$51:$E$193)*Impacts!$F$17))</f>
        <v>0</v>
      </c>
      <c r="V2575" s="10">
        <f>IF(CAS!$C$7="",0,(SUMIF(CAS!$B$31:$B$167,$J2575,CAS!$E$31:$E$167)*Impacts!$F$18))</f>
        <v>0</v>
      </c>
      <c r="W2575" s="10">
        <f t="shared" si="80"/>
        <v>0</v>
      </c>
      <c r="AK2575" s="10" t="str">
        <f t="array" ref="AK2575">IFERROR(INDEX(SelectedSpecies,SMALL(IF(SelectedSpecies=AK$1,ROW(SelectedSpecies)),ROW(2576:2576)),2),"")</f>
        <v/>
      </c>
      <c r="BE2575" s="10"/>
      <c r="BI2575" s="10"/>
    </row>
    <row r="2576" spans="1:61" ht="21" customHeight="1" x14ac:dyDescent="0.25">
      <c r="A2576" s="10"/>
      <c r="B2576" s="10"/>
      <c r="E2576" s="10"/>
      <c r="G2576" s="10"/>
      <c r="I2576" s="436" t="s">
        <v>6022</v>
      </c>
      <c r="J2576" s="26" t="s">
        <v>6021</v>
      </c>
      <c r="K2576" s="10">
        <v>1</v>
      </c>
      <c r="L2576" s="73">
        <f>IF(Tank1!$C$23="No control",(SUMIF(Tank1!$B$32:$B$49,$J2576,Tank1!$C$32:$C$49)*Impacts!$F$8),0)</f>
        <v>0</v>
      </c>
      <c r="M2576" s="10">
        <f>IF(Tank2!$C$23="No control",(SUMIF(Tank2!$B$32:$B$49,$J2576,Tank2!$C$32:$C$49)*Impacts!$F$9),0)</f>
        <v>0</v>
      </c>
      <c r="N2576" s="10">
        <f>IF(Tank3!$C$23="No control",(SUMIF(Tank3!$B$32:$B$49,$J2576,Tank3!$C$32:$C$49)*Impacts!$F$10),0)</f>
        <v>0</v>
      </c>
      <c r="O2576" s="10">
        <f>IF(Tank4!$C$23="No control",(SUMIF(Tank4!$B$32:$B$49,$J2576,Tank4!$C$32:$C$49)*Impacts!$F$11),0)</f>
        <v>0</v>
      </c>
      <c r="P2576" s="10">
        <f>IF(Tank5!$C$23="No control",(SUMIF(Tank5!$B$32:$B$49,$J2576,Tank5!$C$32:$C$49)*Impacts!$F$12),0)</f>
        <v>0</v>
      </c>
      <c r="Q2576" s="10">
        <f>IFERROR(IF(('Loading-drum,tote'!$C$21)="No control",SUMIF(('Loading-drum,tote'!$B$31:$B$48),$J2576,('Loading-drum,tote'!$D$31:$D$48))*Impacts!$F$13,IF(('Loading-drum,tote'!$C$21)&lt;&gt;"No control",SUMIF(('Loading-drum,tote'!$B$31:$B$48),$J2576,('Loading-drum,tote'!$E$31:$E$48))*Impacts!$F$13,0)),0)</f>
        <v>0</v>
      </c>
      <c r="R2576" s="10">
        <f>IFERROR(IF(('Loading-truck'!$C$21)="No control",SUMIF(('Loading-truck'!$B$31:$B$48),$J2576,('Loading-truck'!$D$31:$D$48))*Impacts!$F$14,IF(('Loading-truck'!$C$21)&lt;&gt;"No control",SUMIF(('Loading-truck'!$B$31:$B$48),$J2576,('Loading-truck'!$E$31:$E$48))*Impacts!$F$14,0)),0)</f>
        <v>0</v>
      </c>
      <c r="S2576" s="10">
        <f>IFERROR(IF(('Loading-rail'!$C$21)="No control",SUMIF(('Loading-rail'!$B$31:$B$48),$J2576,('Loading-rail'!$D$31:$D$48))*Impacts!$F$15,IF(('Loading-rail'!$C$21)&lt;&gt;"No control",SUMIF(('Loading-rail'!$B$31:$B$48),$J2576,('Loading-rail'!$E$31:$E$48))*Impacts!$F$15,0)),0)</f>
        <v>0</v>
      </c>
      <c r="T2576" s="10">
        <f>IF(Flare!$C$7="",0,(SUMIF(Flare!$B$46:$B$185,$J2576,Flare!$E$46:$E$185)*Impacts!$F$16))</f>
        <v>0</v>
      </c>
      <c r="U2576" s="10">
        <f>IF(VCU!$C$9="",0,(SUMIF(VCU!$B$51:$B$193,$J2576,VCU!$E$51:$E$193)*Impacts!$F$17))</f>
        <v>0</v>
      </c>
      <c r="V2576" s="10">
        <f>IF(CAS!$C$7="",0,(SUMIF(CAS!$B$31:$B$167,$J2576,CAS!$E$31:$E$167)*Impacts!$F$18))</f>
        <v>0</v>
      </c>
      <c r="W2576" s="10">
        <f t="shared" si="80"/>
        <v>0</v>
      </c>
      <c r="AK2576" s="10" t="str">
        <f t="array" ref="AK2576">IFERROR(INDEX(SelectedSpecies,SMALL(IF(SelectedSpecies=AK$1,ROW(SelectedSpecies)),ROW(2577:2577)),2),"")</f>
        <v/>
      </c>
      <c r="BE2576" s="10"/>
      <c r="BI2576" s="10"/>
    </row>
    <row r="2577" spans="1:61" ht="21" customHeight="1" x14ac:dyDescent="0.25">
      <c r="A2577" s="10"/>
      <c r="B2577" s="10"/>
      <c r="E2577" s="10"/>
      <c r="G2577" s="10"/>
      <c r="I2577" s="436" t="s">
        <v>6024</v>
      </c>
      <c r="J2577" s="26" t="s">
        <v>6023</v>
      </c>
      <c r="K2577" s="10">
        <v>1</v>
      </c>
      <c r="L2577" s="73">
        <f>IF(Tank1!$C$23="No control",(SUMIF(Tank1!$B$32:$B$49,$J2577,Tank1!$C$32:$C$49)*Impacts!$F$8),0)</f>
        <v>0</v>
      </c>
      <c r="M2577" s="10">
        <f>IF(Tank2!$C$23="No control",(SUMIF(Tank2!$B$32:$B$49,$J2577,Tank2!$C$32:$C$49)*Impacts!$F$9),0)</f>
        <v>0</v>
      </c>
      <c r="N2577" s="10">
        <f>IF(Tank3!$C$23="No control",(SUMIF(Tank3!$B$32:$B$49,$J2577,Tank3!$C$32:$C$49)*Impacts!$F$10),0)</f>
        <v>0</v>
      </c>
      <c r="O2577" s="10">
        <f>IF(Tank4!$C$23="No control",(SUMIF(Tank4!$B$32:$B$49,$J2577,Tank4!$C$32:$C$49)*Impacts!$F$11),0)</f>
        <v>0</v>
      </c>
      <c r="P2577" s="10">
        <f>IF(Tank5!$C$23="No control",(SUMIF(Tank5!$B$32:$B$49,$J2577,Tank5!$C$32:$C$49)*Impacts!$F$12),0)</f>
        <v>0</v>
      </c>
      <c r="Q2577" s="10">
        <f>IFERROR(IF(('Loading-drum,tote'!$C$21)="No control",SUMIF(('Loading-drum,tote'!$B$31:$B$48),$J2577,('Loading-drum,tote'!$D$31:$D$48))*Impacts!$F$13,IF(('Loading-drum,tote'!$C$21)&lt;&gt;"No control",SUMIF(('Loading-drum,tote'!$B$31:$B$48),$J2577,('Loading-drum,tote'!$E$31:$E$48))*Impacts!$F$13,0)),0)</f>
        <v>0</v>
      </c>
      <c r="R2577" s="10">
        <f>IFERROR(IF(('Loading-truck'!$C$21)="No control",SUMIF(('Loading-truck'!$B$31:$B$48),$J2577,('Loading-truck'!$D$31:$D$48))*Impacts!$F$14,IF(('Loading-truck'!$C$21)&lt;&gt;"No control",SUMIF(('Loading-truck'!$B$31:$B$48),$J2577,('Loading-truck'!$E$31:$E$48))*Impacts!$F$14,0)),0)</f>
        <v>0</v>
      </c>
      <c r="S2577" s="10">
        <f>IFERROR(IF(('Loading-rail'!$C$21)="No control",SUMIF(('Loading-rail'!$B$31:$B$48),$J2577,('Loading-rail'!$D$31:$D$48))*Impacts!$F$15,IF(('Loading-rail'!$C$21)&lt;&gt;"No control",SUMIF(('Loading-rail'!$B$31:$B$48),$J2577,('Loading-rail'!$E$31:$E$48))*Impacts!$F$15,0)),0)</f>
        <v>0</v>
      </c>
      <c r="T2577" s="10">
        <f>IF(Flare!$C$7="",0,(SUMIF(Flare!$B$46:$B$185,$J2577,Flare!$E$46:$E$185)*Impacts!$F$16))</f>
        <v>0</v>
      </c>
      <c r="U2577" s="10">
        <f>IF(VCU!$C$9="",0,(SUMIF(VCU!$B$51:$B$193,$J2577,VCU!$E$51:$E$193)*Impacts!$F$17))</f>
        <v>0</v>
      </c>
      <c r="V2577" s="10">
        <f>IF(CAS!$C$7="",0,(SUMIF(CAS!$B$31:$B$167,$J2577,CAS!$E$31:$E$167)*Impacts!$F$18))</f>
        <v>0</v>
      </c>
      <c r="W2577" s="10">
        <f t="shared" si="80"/>
        <v>0</v>
      </c>
      <c r="AK2577" s="10" t="str">
        <f t="array" ref="AK2577">IFERROR(INDEX(SelectedSpecies,SMALL(IF(SelectedSpecies=AK$1,ROW(SelectedSpecies)),ROW(2578:2578)),2),"")</f>
        <v/>
      </c>
      <c r="BE2577" s="10"/>
      <c r="BI2577" s="10"/>
    </row>
    <row r="2578" spans="1:61" ht="21" customHeight="1" x14ac:dyDescent="0.25">
      <c r="A2578" s="10"/>
      <c r="B2578" s="10"/>
      <c r="E2578" s="10"/>
      <c r="G2578" s="10"/>
      <c r="I2578" s="436" t="s">
        <v>4773</v>
      </c>
      <c r="J2578" s="26" t="s">
        <v>4772</v>
      </c>
      <c r="K2578" s="10">
        <v>3.4000000000000004</v>
      </c>
      <c r="L2578" s="73">
        <f>IF(Tank1!$C$23="No control",(SUMIF(Tank1!$B$32:$B$49,$J2578,Tank1!$C$32:$C$49)*Impacts!$F$8),0)</f>
        <v>0</v>
      </c>
      <c r="M2578" s="10">
        <f>IF(Tank2!$C$23="No control",(SUMIF(Tank2!$B$32:$B$49,$J2578,Tank2!$C$32:$C$49)*Impacts!$F$9),0)</f>
        <v>0</v>
      </c>
      <c r="N2578" s="10">
        <f>IF(Tank3!$C$23="No control",(SUMIF(Tank3!$B$32:$B$49,$J2578,Tank3!$C$32:$C$49)*Impacts!$F$10),0)</f>
        <v>0</v>
      </c>
      <c r="O2578" s="10">
        <f>IF(Tank4!$C$23="No control",(SUMIF(Tank4!$B$32:$B$49,$J2578,Tank4!$C$32:$C$49)*Impacts!$F$11),0)</f>
        <v>0</v>
      </c>
      <c r="P2578" s="10">
        <f>IF(Tank5!$C$23="No control",(SUMIF(Tank5!$B$32:$B$49,$J2578,Tank5!$C$32:$C$49)*Impacts!$F$12),0)</f>
        <v>0</v>
      </c>
      <c r="Q2578" s="10">
        <f>IFERROR(IF(('Loading-drum,tote'!$C$21)="No control",SUMIF(('Loading-drum,tote'!$B$31:$B$48),$J2578,('Loading-drum,tote'!$D$31:$D$48))*Impacts!$F$13,IF(('Loading-drum,tote'!$C$21)&lt;&gt;"No control",SUMIF(('Loading-drum,tote'!$B$31:$B$48),$J2578,('Loading-drum,tote'!$E$31:$E$48))*Impacts!$F$13,0)),0)</f>
        <v>0</v>
      </c>
      <c r="R2578" s="10">
        <f>IFERROR(IF(('Loading-truck'!$C$21)="No control",SUMIF(('Loading-truck'!$B$31:$B$48),$J2578,('Loading-truck'!$D$31:$D$48))*Impacts!$F$14,IF(('Loading-truck'!$C$21)&lt;&gt;"No control",SUMIF(('Loading-truck'!$B$31:$B$48),$J2578,('Loading-truck'!$E$31:$E$48))*Impacts!$F$14,0)),0)</f>
        <v>0</v>
      </c>
      <c r="S2578" s="10">
        <f>IFERROR(IF(('Loading-rail'!$C$21)="No control",SUMIF(('Loading-rail'!$B$31:$B$48),$J2578,('Loading-rail'!$D$31:$D$48))*Impacts!$F$15,IF(('Loading-rail'!$C$21)&lt;&gt;"No control",SUMIF(('Loading-rail'!$B$31:$B$48),$J2578,('Loading-rail'!$E$31:$E$48))*Impacts!$F$15,0)),0)</f>
        <v>0</v>
      </c>
      <c r="T2578" s="10">
        <f>IF(Flare!$C$7="",0,(SUMIF(Flare!$B$46:$B$185,$J2578,Flare!$E$46:$E$185)*Impacts!$F$16))</f>
        <v>0</v>
      </c>
      <c r="U2578" s="10">
        <f>IF(VCU!$C$9="",0,(SUMIF(VCU!$B$51:$B$193,$J2578,VCU!$E$51:$E$193)*Impacts!$F$17))</f>
        <v>0</v>
      </c>
      <c r="V2578" s="10">
        <f>IF(CAS!$C$7="",0,(SUMIF(CAS!$B$31:$B$167,$J2578,CAS!$E$31:$E$167)*Impacts!$F$18))</f>
        <v>0</v>
      </c>
      <c r="W2578" s="10">
        <f t="shared" si="80"/>
        <v>0</v>
      </c>
      <c r="AK2578" s="10" t="str">
        <f t="array" ref="AK2578">IFERROR(INDEX(SelectedSpecies,SMALL(IF(SelectedSpecies=AK$1,ROW(SelectedSpecies)),ROW(2579:2579)),2),"")</f>
        <v/>
      </c>
      <c r="BE2578" s="10"/>
      <c r="BI2578" s="10"/>
    </row>
    <row r="2579" spans="1:61" ht="21" customHeight="1" x14ac:dyDescent="0.25">
      <c r="A2579" s="10"/>
      <c r="B2579" s="10"/>
      <c r="E2579" s="10"/>
      <c r="G2579" s="10"/>
      <c r="I2579" s="436" t="s">
        <v>4467</v>
      </c>
      <c r="J2579" s="26" t="s">
        <v>4466</v>
      </c>
      <c r="K2579" s="10">
        <v>4.4000000000000004</v>
      </c>
      <c r="L2579" s="73">
        <f>IF(Tank1!$C$23="No control",(SUMIF(Tank1!$B$32:$B$49,$J2579,Tank1!$C$32:$C$49)*Impacts!$F$8),0)</f>
        <v>0</v>
      </c>
      <c r="M2579" s="10">
        <f>IF(Tank2!$C$23="No control",(SUMIF(Tank2!$B$32:$B$49,$J2579,Tank2!$C$32:$C$49)*Impacts!$F$9),0)</f>
        <v>0</v>
      </c>
      <c r="N2579" s="10">
        <f>IF(Tank3!$C$23="No control",(SUMIF(Tank3!$B$32:$B$49,$J2579,Tank3!$C$32:$C$49)*Impacts!$F$10),0)</f>
        <v>0</v>
      </c>
      <c r="O2579" s="10">
        <f>IF(Tank4!$C$23="No control",(SUMIF(Tank4!$B$32:$B$49,$J2579,Tank4!$C$32:$C$49)*Impacts!$F$11),0)</f>
        <v>0</v>
      </c>
      <c r="P2579" s="10">
        <f>IF(Tank5!$C$23="No control",(SUMIF(Tank5!$B$32:$B$49,$J2579,Tank5!$C$32:$C$49)*Impacts!$F$12),0)</f>
        <v>0</v>
      </c>
      <c r="Q2579" s="10">
        <f>IFERROR(IF(('Loading-drum,tote'!$C$21)="No control",SUMIF(('Loading-drum,tote'!$B$31:$B$48),$J2579,('Loading-drum,tote'!$D$31:$D$48))*Impacts!$F$13,IF(('Loading-drum,tote'!$C$21)&lt;&gt;"No control",SUMIF(('Loading-drum,tote'!$B$31:$B$48),$J2579,('Loading-drum,tote'!$E$31:$E$48))*Impacts!$F$13,0)),0)</f>
        <v>0</v>
      </c>
      <c r="R2579" s="10">
        <f>IFERROR(IF(('Loading-truck'!$C$21)="No control",SUMIF(('Loading-truck'!$B$31:$B$48),$J2579,('Loading-truck'!$D$31:$D$48))*Impacts!$F$14,IF(('Loading-truck'!$C$21)&lt;&gt;"No control",SUMIF(('Loading-truck'!$B$31:$B$48),$J2579,('Loading-truck'!$E$31:$E$48))*Impacts!$F$14,0)),0)</f>
        <v>0</v>
      </c>
      <c r="S2579" s="10">
        <f>IFERROR(IF(('Loading-rail'!$C$21)="No control",SUMIF(('Loading-rail'!$B$31:$B$48),$J2579,('Loading-rail'!$D$31:$D$48))*Impacts!$F$15,IF(('Loading-rail'!$C$21)&lt;&gt;"No control",SUMIF(('Loading-rail'!$B$31:$B$48),$J2579,('Loading-rail'!$E$31:$E$48))*Impacts!$F$15,0)),0)</f>
        <v>0</v>
      </c>
      <c r="T2579" s="10">
        <f>IF(Flare!$C$7="",0,(SUMIF(Flare!$B$46:$B$185,$J2579,Flare!$E$46:$E$185)*Impacts!$F$16))</f>
        <v>0</v>
      </c>
      <c r="U2579" s="10">
        <f>IF(VCU!$C$9="",0,(SUMIF(VCU!$B$51:$B$193,$J2579,VCU!$E$51:$E$193)*Impacts!$F$17))</f>
        <v>0</v>
      </c>
      <c r="V2579" s="10">
        <f>IF(CAS!$C$7="",0,(SUMIF(CAS!$B$31:$B$167,$J2579,CAS!$E$31:$E$167)*Impacts!$F$18))</f>
        <v>0</v>
      </c>
      <c r="W2579" s="10">
        <f t="shared" si="80"/>
        <v>0</v>
      </c>
      <c r="AK2579" s="10" t="str">
        <f t="array" ref="AK2579">IFERROR(INDEX(SelectedSpecies,SMALL(IF(SelectedSpecies=AK$1,ROW(SelectedSpecies)),ROW(2580:2580)),2),"")</f>
        <v/>
      </c>
      <c r="BE2579" s="10"/>
      <c r="BI2579" s="10"/>
    </row>
    <row r="2580" spans="1:61" ht="21" customHeight="1" x14ac:dyDescent="0.25">
      <c r="A2580" s="10"/>
      <c r="B2580" s="10"/>
      <c r="E2580" s="10"/>
      <c r="G2580" s="10"/>
      <c r="I2580" s="436" t="s">
        <v>2997</v>
      </c>
      <c r="J2580" s="26" t="s">
        <v>2996</v>
      </c>
      <c r="K2580" s="10">
        <v>10</v>
      </c>
      <c r="L2580" s="73">
        <f>IF(Tank1!$C$23="No control",(SUMIF(Tank1!$B$32:$B$49,$J2580,Tank1!$C$32:$C$49)*Impacts!$F$8),0)</f>
        <v>0</v>
      </c>
      <c r="M2580" s="10">
        <f>IF(Tank2!$C$23="No control",(SUMIF(Tank2!$B$32:$B$49,$J2580,Tank2!$C$32:$C$49)*Impacts!$F$9),0)</f>
        <v>0</v>
      </c>
      <c r="N2580" s="10">
        <f>IF(Tank3!$C$23="No control",(SUMIF(Tank3!$B$32:$B$49,$J2580,Tank3!$C$32:$C$49)*Impacts!$F$10),0)</f>
        <v>0</v>
      </c>
      <c r="O2580" s="10">
        <f>IF(Tank4!$C$23="No control",(SUMIF(Tank4!$B$32:$B$49,$J2580,Tank4!$C$32:$C$49)*Impacts!$F$11),0)</f>
        <v>0</v>
      </c>
      <c r="P2580" s="10">
        <f>IF(Tank5!$C$23="No control",(SUMIF(Tank5!$B$32:$B$49,$J2580,Tank5!$C$32:$C$49)*Impacts!$F$12),0)</f>
        <v>0</v>
      </c>
      <c r="Q2580" s="10">
        <f>IFERROR(IF(('Loading-drum,tote'!$C$21)="No control",SUMIF(('Loading-drum,tote'!$B$31:$B$48),$J2580,('Loading-drum,tote'!$D$31:$D$48))*Impacts!$F$13,IF(('Loading-drum,tote'!$C$21)&lt;&gt;"No control",SUMIF(('Loading-drum,tote'!$B$31:$B$48),$J2580,('Loading-drum,tote'!$E$31:$E$48))*Impacts!$F$13,0)),0)</f>
        <v>0</v>
      </c>
      <c r="R2580" s="10">
        <f>IFERROR(IF(('Loading-truck'!$C$21)="No control",SUMIF(('Loading-truck'!$B$31:$B$48),$J2580,('Loading-truck'!$D$31:$D$48))*Impacts!$F$14,IF(('Loading-truck'!$C$21)&lt;&gt;"No control",SUMIF(('Loading-truck'!$B$31:$B$48),$J2580,('Loading-truck'!$E$31:$E$48))*Impacts!$F$14,0)),0)</f>
        <v>0</v>
      </c>
      <c r="S2580" s="10">
        <f>IFERROR(IF(('Loading-rail'!$C$21)="No control",SUMIF(('Loading-rail'!$B$31:$B$48),$J2580,('Loading-rail'!$D$31:$D$48))*Impacts!$F$15,IF(('Loading-rail'!$C$21)&lt;&gt;"No control",SUMIF(('Loading-rail'!$B$31:$B$48),$J2580,('Loading-rail'!$E$31:$E$48))*Impacts!$F$15,0)),0)</f>
        <v>0</v>
      </c>
      <c r="T2580" s="10">
        <f>IF(Flare!$C$7="",0,(SUMIF(Flare!$B$46:$B$185,$J2580,Flare!$E$46:$E$185)*Impacts!$F$16))</f>
        <v>0</v>
      </c>
      <c r="U2580" s="10">
        <f>IF(VCU!$C$9="",0,(SUMIF(VCU!$B$51:$B$193,$J2580,VCU!$E$51:$E$193)*Impacts!$F$17))</f>
        <v>0</v>
      </c>
      <c r="V2580" s="10">
        <f>IF(CAS!$C$7="",0,(SUMIF(CAS!$B$31:$B$167,$J2580,CAS!$E$31:$E$167)*Impacts!$F$18))</f>
        <v>0</v>
      </c>
      <c r="W2580" s="10">
        <f t="shared" si="80"/>
        <v>0</v>
      </c>
      <c r="AK2580" s="10" t="str">
        <f t="array" ref="AK2580">IFERROR(INDEX(SelectedSpecies,SMALL(IF(SelectedSpecies=AK$1,ROW(SelectedSpecies)),ROW(2581:2581)),2),"")</f>
        <v/>
      </c>
      <c r="BE2580" s="10"/>
      <c r="BI2580" s="10"/>
    </row>
    <row r="2581" spans="1:61" ht="21" customHeight="1" x14ac:dyDescent="0.25">
      <c r="A2581" s="10"/>
      <c r="B2581" s="10"/>
      <c r="E2581" s="10"/>
      <c r="G2581" s="10"/>
      <c r="I2581" s="436" t="s">
        <v>6026</v>
      </c>
      <c r="J2581" s="26" t="s">
        <v>6025</v>
      </c>
      <c r="K2581" s="10">
        <v>1</v>
      </c>
      <c r="L2581" s="73">
        <f>IF(Tank1!$C$23="No control",(SUMIF(Tank1!$B$32:$B$49,$J2581,Tank1!$C$32:$C$49)*Impacts!$F$8),0)</f>
        <v>0</v>
      </c>
      <c r="M2581" s="10">
        <f>IF(Tank2!$C$23="No control",(SUMIF(Tank2!$B$32:$B$49,$J2581,Tank2!$C$32:$C$49)*Impacts!$F$9),0)</f>
        <v>0</v>
      </c>
      <c r="N2581" s="10">
        <f>IF(Tank3!$C$23="No control",(SUMIF(Tank3!$B$32:$B$49,$J2581,Tank3!$C$32:$C$49)*Impacts!$F$10),0)</f>
        <v>0</v>
      </c>
      <c r="O2581" s="10">
        <f>IF(Tank4!$C$23="No control",(SUMIF(Tank4!$B$32:$B$49,$J2581,Tank4!$C$32:$C$49)*Impacts!$F$11),0)</f>
        <v>0</v>
      </c>
      <c r="P2581" s="10">
        <f>IF(Tank5!$C$23="No control",(SUMIF(Tank5!$B$32:$B$49,$J2581,Tank5!$C$32:$C$49)*Impacts!$F$12),0)</f>
        <v>0</v>
      </c>
      <c r="Q2581" s="10">
        <f>IFERROR(IF(('Loading-drum,tote'!$C$21)="No control",SUMIF(('Loading-drum,tote'!$B$31:$B$48),$J2581,('Loading-drum,tote'!$D$31:$D$48))*Impacts!$F$13,IF(('Loading-drum,tote'!$C$21)&lt;&gt;"No control",SUMIF(('Loading-drum,tote'!$B$31:$B$48),$J2581,('Loading-drum,tote'!$E$31:$E$48))*Impacts!$F$13,0)),0)</f>
        <v>0</v>
      </c>
      <c r="R2581" s="10">
        <f>IFERROR(IF(('Loading-truck'!$C$21)="No control",SUMIF(('Loading-truck'!$B$31:$B$48),$J2581,('Loading-truck'!$D$31:$D$48))*Impacts!$F$14,IF(('Loading-truck'!$C$21)&lt;&gt;"No control",SUMIF(('Loading-truck'!$B$31:$B$48),$J2581,('Loading-truck'!$E$31:$E$48))*Impacts!$F$14,0)),0)</f>
        <v>0</v>
      </c>
      <c r="S2581" s="10">
        <f>IFERROR(IF(('Loading-rail'!$C$21)="No control",SUMIF(('Loading-rail'!$B$31:$B$48),$J2581,('Loading-rail'!$D$31:$D$48))*Impacts!$F$15,IF(('Loading-rail'!$C$21)&lt;&gt;"No control",SUMIF(('Loading-rail'!$B$31:$B$48),$J2581,('Loading-rail'!$E$31:$E$48))*Impacts!$F$15,0)),0)</f>
        <v>0</v>
      </c>
      <c r="T2581" s="10">
        <f>IF(Flare!$C$7="",0,(SUMIF(Flare!$B$46:$B$185,$J2581,Flare!$E$46:$E$185)*Impacts!$F$16))</f>
        <v>0</v>
      </c>
      <c r="U2581" s="10">
        <f>IF(VCU!$C$9="",0,(SUMIF(VCU!$B$51:$B$193,$J2581,VCU!$E$51:$E$193)*Impacts!$F$17))</f>
        <v>0</v>
      </c>
      <c r="V2581" s="10">
        <f>IF(CAS!$C$7="",0,(SUMIF(CAS!$B$31:$B$167,$J2581,CAS!$E$31:$E$167)*Impacts!$F$18))</f>
        <v>0</v>
      </c>
      <c r="W2581" s="10">
        <f t="shared" si="80"/>
        <v>0</v>
      </c>
      <c r="AK2581" s="10" t="str">
        <f t="array" ref="AK2581">IFERROR(INDEX(SelectedSpecies,SMALL(IF(SelectedSpecies=AK$1,ROW(SelectedSpecies)),ROW(2582:2582)),2),"")</f>
        <v/>
      </c>
      <c r="BE2581" s="10"/>
      <c r="BI2581" s="10"/>
    </row>
    <row r="2582" spans="1:61" ht="21" customHeight="1" x14ac:dyDescent="0.25">
      <c r="A2582" s="10"/>
      <c r="B2582" s="10"/>
      <c r="E2582" s="10"/>
      <c r="G2582" s="10"/>
      <c r="I2582" s="436" t="s">
        <v>1066</v>
      </c>
      <c r="J2582" s="26" t="s">
        <v>1065</v>
      </c>
      <c r="K2582" s="10">
        <v>35</v>
      </c>
      <c r="L2582" s="73">
        <f>IF(Tank1!$C$23="No control",(SUMIF(Tank1!$B$32:$B$49,$J2582,Tank1!$C$32:$C$49)*Impacts!$F$8),0)</f>
        <v>0</v>
      </c>
      <c r="M2582" s="10">
        <f>IF(Tank2!$C$23="No control",(SUMIF(Tank2!$B$32:$B$49,$J2582,Tank2!$C$32:$C$49)*Impacts!$F$9),0)</f>
        <v>0</v>
      </c>
      <c r="N2582" s="10">
        <f>IF(Tank3!$C$23="No control",(SUMIF(Tank3!$B$32:$B$49,$J2582,Tank3!$C$32:$C$49)*Impacts!$F$10),0)</f>
        <v>0</v>
      </c>
      <c r="O2582" s="10">
        <f>IF(Tank4!$C$23="No control",(SUMIF(Tank4!$B$32:$B$49,$J2582,Tank4!$C$32:$C$49)*Impacts!$F$11),0)</f>
        <v>0</v>
      </c>
      <c r="P2582" s="10">
        <f>IF(Tank5!$C$23="No control",(SUMIF(Tank5!$B$32:$B$49,$J2582,Tank5!$C$32:$C$49)*Impacts!$F$12),0)</f>
        <v>0</v>
      </c>
      <c r="Q2582" s="10">
        <f>IFERROR(IF(('Loading-drum,tote'!$C$21)="No control",SUMIF(('Loading-drum,tote'!$B$31:$B$48),$J2582,('Loading-drum,tote'!$D$31:$D$48))*Impacts!$F$13,IF(('Loading-drum,tote'!$C$21)&lt;&gt;"No control",SUMIF(('Loading-drum,tote'!$B$31:$B$48),$J2582,('Loading-drum,tote'!$E$31:$E$48))*Impacts!$F$13,0)),0)</f>
        <v>0</v>
      </c>
      <c r="R2582" s="10">
        <f>IFERROR(IF(('Loading-truck'!$C$21)="No control",SUMIF(('Loading-truck'!$B$31:$B$48),$J2582,('Loading-truck'!$D$31:$D$48))*Impacts!$F$14,IF(('Loading-truck'!$C$21)&lt;&gt;"No control",SUMIF(('Loading-truck'!$B$31:$B$48),$J2582,('Loading-truck'!$E$31:$E$48))*Impacts!$F$14,0)),0)</f>
        <v>0</v>
      </c>
      <c r="S2582" s="10">
        <f>IFERROR(IF(('Loading-rail'!$C$21)="No control",SUMIF(('Loading-rail'!$B$31:$B$48),$J2582,('Loading-rail'!$D$31:$D$48))*Impacts!$F$15,IF(('Loading-rail'!$C$21)&lt;&gt;"No control",SUMIF(('Loading-rail'!$B$31:$B$48),$J2582,('Loading-rail'!$E$31:$E$48))*Impacts!$F$15,0)),0)</f>
        <v>0</v>
      </c>
      <c r="T2582" s="10">
        <f>IF(Flare!$C$7="",0,(SUMIF(Flare!$B$46:$B$185,$J2582,Flare!$E$46:$E$185)*Impacts!$F$16))</f>
        <v>0</v>
      </c>
      <c r="U2582" s="10">
        <f>IF(VCU!$C$9="",0,(SUMIF(VCU!$B$51:$B$193,$J2582,VCU!$E$51:$E$193)*Impacts!$F$17))</f>
        <v>0</v>
      </c>
      <c r="V2582" s="10">
        <f>IF(CAS!$C$7="",0,(SUMIF(CAS!$B$31:$B$167,$J2582,CAS!$E$31:$E$167)*Impacts!$F$18))</f>
        <v>0</v>
      </c>
      <c r="W2582" s="10">
        <f t="shared" si="80"/>
        <v>0</v>
      </c>
      <c r="AK2582" s="10" t="str">
        <f t="array" ref="AK2582">IFERROR(INDEX(SelectedSpecies,SMALL(IF(SelectedSpecies=AK$1,ROW(SelectedSpecies)),ROW(2583:2583)),2),"")</f>
        <v/>
      </c>
      <c r="BE2582" s="10"/>
      <c r="BI2582" s="10"/>
    </row>
    <row r="2583" spans="1:61" ht="21" customHeight="1" x14ac:dyDescent="0.25">
      <c r="A2583" s="10"/>
      <c r="B2583" s="10"/>
      <c r="E2583" s="10"/>
      <c r="G2583" s="10"/>
      <c r="I2583" s="436" t="s">
        <v>1803</v>
      </c>
      <c r="J2583" s="26" t="s">
        <v>1802</v>
      </c>
      <c r="K2583" s="10">
        <v>22</v>
      </c>
      <c r="L2583" s="73">
        <f>IF(Tank1!$C$23="No control",(SUMIF(Tank1!$B$32:$B$49,$J2583,Tank1!$C$32:$C$49)*Impacts!$F$8),0)</f>
        <v>0</v>
      </c>
      <c r="M2583" s="10">
        <f>IF(Tank2!$C$23="No control",(SUMIF(Tank2!$B$32:$B$49,$J2583,Tank2!$C$32:$C$49)*Impacts!$F$9),0)</f>
        <v>0</v>
      </c>
      <c r="N2583" s="10">
        <f>IF(Tank3!$C$23="No control",(SUMIF(Tank3!$B$32:$B$49,$J2583,Tank3!$C$32:$C$49)*Impacts!$F$10),0)</f>
        <v>0</v>
      </c>
      <c r="O2583" s="10">
        <f>IF(Tank4!$C$23="No control",(SUMIF(Tank4!$B$32:$B$49,$J2583,Tank4!$C$32:$C$49)*Impacts!$F$11),0)</f>
        <v>0</v>
      </c>
      <c r="P2583" s="10">
        <f>IF(Tank5!$C$23="No control",(SUMIF(Tank5!$B$32:$B$49,$J2583,Tank5!$C$32:$C$49)*Impacts!$F$12),0)</f>
        <v>0</v>
      </c>
      <c r="Q2583" s="10">
        <f>IFERROR(IF(('Loading-drum,tote'!$C$21)="No control",SUMIF(('Loading-drum,tote'!$B$31:$B$48),$J2583,('Loading-drum,tote'!$D$31:$D$48))*Impacts!$F$13,IF(('Loading-drum,tote'!$C$21)&lt;&gt;"No control",SUMIF(('Loading-drum,tote'!$B$31:$B$48),$J2583,('Loading-drum,tote'!$E$31:$E$48))*Impacts!$F$13,0)),0)</f>
        <v>0</v>
      </c>
      <c r="R2583" s="10">
        <f>IFERROR(IF(('Loading-truck'!$C$21)="No control",SUMIF(('Loading-truck'!$B$31:$B$48),$J2583,('Loading-truck'!$D$31:$D$48))*Impacts!$F$14,IF(('Loading-truck'!$C$21)&lt;&gt;"No control",SUMIF(('Loading-truck'!$B$31:$B$48),$J2583,('Loading-truck'!$E$31:$E$48))*Impacts!$F$14,0)),0)</f>
        <v>0</v>
      </c>
      <c r="S2583" s="10">
        <f>IFERROR(IF(('Loading-rail'!$C$21)="No control",SUMIF(('Loading-rail'!$B$31:$B$48),$J2583,('Loading-rail'!$D$31:$D$48))*Impacts!$F$15,IF(('Loading-rail'!$C$21)&lt;&gt;"No control",SUMIF(('Loading-rail'!$B$31:$B$48),$J2583,('Loading-rail'!$E$31:$E$48))*Impacts!$F$15,0)),0)</f>
        <v>0</v>
      </c>
      <c r="T2583" s="10">
        <f>IF(Flare!$C$7="",0,(SUMIF(Flare!$B$46:$B$185,$J2583,Flare!$E$46:$E$185)*Impacts!$F$16))</f>
        <v>0</v>
      </c>
      <c r="U2583" s="10">
        <f>IF(VCU!$C$9="",0,(SUMIF(VCU!$B$51:$B$193,$J2583,VCU!$E$51:$E$193)*Impacts!$F$17))</f>
        <v>0</v>
      </c>
      <c r="V2583" s="10">
        <f>IF(CAS!$C$7="",0,(SUMIF(CAS!$B$31:$B$167,$J2583,CAS!$E$31:$E$167)*Impacts!$F$18))</f>
        <v>0</v>
      </c>
      <c r="W2583" s="10">
        <f t="shared" si="80"/>
        <v>0</v>
      </c>
      <c r="AK2583" s="10" t="str">
        <f t="array" ref="AK2583">IFERROR(INDEX(SelectedSpecies,SMALL(IF(SelectedSpecies=AK$1,ROW(SelectedSpecies)),ROW(2584:2584)),2),"")</f>
        <v/>
      </c>
      <c r="BE2583" s="10"/>
      <c r="BI2583" s="10"/>
    </row>
    <row r="2584" spans="1:61" ht="21" customHeight="1" x14ac:dyDescent="0.25">
      <c r="A2584" s="10"/>
      <c r="B2584" s="10"/>
      <c r="E2584" s="10"/>
      <c r="G2584" s="10"/>
      <c r="I2584" s="436" t="s">
        <v>7394</v>
      </c>
      <c r="J2584" s="26" t="s">
        <v>7393</v>
      </c>
      <c r="K2584" s="10">
        <v>0.24</v>
      </c>
      <c r="L2584" s="73">
        <f>IF(Tank1!$C$23="No control",(SUMIF(Tank1!$B$32:$B$49,$J2584,Tank1!$C$32:$C$49)*Impacts!$F$8),0)</f>
        <v>0</v>
      </c>
      <c r="M2584" s="10">
        <f>IF(Tank2!$C$23="No control",(SUMIF(Tank2!$B$32:$B$49,$J2584,Tank2!$C$32:$C$49)*Impacts!$F$9),0)</f>
        <v>0</v>
      </c>
      <c r="N2584" s="10">
        <f>IF(Tank3!$C$23="No control",(SUMIF(Tank3!$B$32:$B$49,$J2584,Tank3!$C$32:$C$49)*Impacts!$F$10),0)</f>
        <v>0</v>
      </c>
      <c r="O2584" s="10">
        <f>IF(Tank4!$C$23="No control",(SUMIF(Tank4!$B$32:$B$49,$J2584,Tank4!$C$32:$C$49)*Impacts!$F$11),0)</f>
        <v>0</v>
      </c>
      <c r="P2584" s="10">
        <f>IF(Tank5!$C$23="No control",(SUMIF(Tank5!$B$32:$B$49,$J2584,Tank5!$C$32:$C$49)*Impacts!$F$12),0)</f>
        <v>0</v>
      </c>
      <c r="Q2584" s="10">
        <f>IFERROR(IF(('Loading-drum,tote'!$C$21)="No control",SUMIF(('Loading-drum,tote'!$B$31:$B$48),$J2584,('Loading-drum,tote'!$D$31:$D$48))*Impacts!$F$13,IF(('Loading-drum,tote'!$C$21)&lt;&gt;"No control",SUMIF(('Loading-drum,tote'!$B$31:$B$48),$J2584,('Loading-drum,tote'!$E$31:$E$48))*Impacts!$F$13,0)),0)</f>
        <v>0</v>
      </c>
      <c r="R2584" s="10">
        <f>IFERROR(IF(('Loading-truck'!$C$21)="No control",SUMIF(('Loading-truck'!$B$31:$B$48),$J2584,('Loading-truck'!$D$31:$D$48))*Impacts!$F$14,IF(('Loading-truck'!$C$21)&lt;&gt;"No control",SUMIF(('Loading-truck'!$B$31:$B$48),$J2584,('Loading-truck'!$E$31:$E$48))*Impacts!$F$14,0)),0)</f>
        <v>0</v>
      </c>
      <c r="S2584" s="10">
        <f>IFERROR(IF(('Loading-rail'!$C$21)="No control",SUMIF(('Loading-rail'!$B$31:$B$48),$J2584,('Loading-rail'!$D$31:$D$48))*Impacts!$F$15,IF(('Loading-rail'!$C$21)&lt;&gt;"No control",SUMIF(('Loading-rail'!$B$31:$B$48),$J2584,('Loading-rail'!$E$31:$E$48))*Impacts!$F$15,0)),0)</f>
        <v>0</v>
      </c>
      <c r="T2584" s="10">
        <f>IF(Flare!$C$7="",0,(SUMIF(Flare!$B$46:$B$185,$J2584,Flare!$E$46:$E$185)*Impacts!$F$16))</f>
        <v>0</v>
      </c>
      <c r="U2584" s="10">
        <f>IF(VCU!$C$9="",0,(SUMIF(VCU!$B$51:$B$193,$J2584,VCU!$E$51:$E$193)*Impacts!$F$17))</f>
        <v>0</v>
      </c>
      <c r="V2584" s="10">
        <f>IF(CAS!$C$7="",0,(SUMIF(CAS!$B$31:$B$167,$J2584,CAS!$E$31:$E$167)*Impacts!$F$18))</f>
        <v>0</v>
      </c>
      <c r="W2584" s="10">
        <f t="shared" si="80"/>
        <v>0</v>
      </c>
      <c r="AK2584" s="10" t="str">
        <f t="array" ref="AK2584">IFERROR(INDEX(SelectedSpecies,SMALL(IF(SelectedSpecies=AK$1,ROW(SelectedSpecies)),ROW(2585:2585)),2),"")</f>
        <v/>
      </c>
      <c r="BE2584" s="10"/>
      <c r="BI2584" s="10"/>
    </row>
    <row r="2585" spans="1:61" ht="21" customHeight="1" x14ac:dyDescent="0.25">
      <c r="A2585" s="10"/>
      <c r="B2585" s="10"/>
      <c r="E2585" s="10"/>
      <c r="G2585" s="10"/>
      <c r="I2585" s="436" t="s">
        <v>3717</v>
      </c>
      <c r="J2585" s="26" t="s">
        <v>3716</v>
      </c>
      <c r="K2585" s="10">
        <v>6.5</v>
      </c>
      <c r="L2585" s="73">
        <f>IF(Tank1!$C$23="No control",(SUMIF(Tank1!$B$32:$B$49,$J2585,Tank1!$C$32:$C$49)*Impacts!$F$8),0)</f>
        <v>0</v>
      </c>
      <c r="M2585" s="10">
        <f>IF(Tank2!$C$23="No control",(SUMIF(Tank2!$B$32:$B$49,$J2585,Tank2!$C$32:$C$49)*Impacts!$F$9),0)</f>
        <v>0</v>
      </c>
      <c r="N2585" s="10">
        <f>IF(Tank3!$C$23="No control",(SUMIF(Tank3!$B$32:$B$49,$J2585,Tank3!$C$32:$C$49)*Impacts!$F$10),0)</f>
        <v>0</v>
      </c>
      <c r="O2585" s="10">
        <f>IF(Tank4!$C$23="No control",(SUMIF(Tank4!$B$32:$B$49,$J2585,Tank4!$C$32:$C$49)*Impacts!$F$11),0)</f>
        <v>0</v>
      </c>
      <c r="P2585" s="10">
        <f>IF(Tank5!$C$23="No control",(SUMIF(Tank5!$B$32:$B$49,$J2585,Tank5!$C$32:$C$49)*Impacts!$F$12),0)</f>
        <v>0</v>
      </c>
      <c r="Q2585" s="10">
        <f>IFERROR(IF(('Loading-drum,tote'!$C$21)="No control",SUMIF(('Loading-drum,tote'!$B$31:$B$48),$J2585,('Loading-drum,tote'!$D$31:$D$48))*Impacts!$F$13,IF(('Loading-drum,tote'!$C$21)&lt;&gt;"No control",SUMIF(('Loading-drum,tote'!$B$31:$B$48),$J2585,('Loading-drum,tote'!$E$31:$E$48))*Impacts!$F$13,0)),0)</f>
        <v>0</v>
      </c>
      <c r="R2585" s="10">
        <f>IFERROR(IF(('Loading-truck'!$C$21)="No control",SUMIF(('Loading-truck'!$B$31:$B$48),$J2585,('Loading-truck'!$D$31:$D$48))*Impacts!$F$14,IF(('Loading-truck'!$C$21)&lt;&gt;"No control",SUMIF(('Loading-truck'!$B$31:$B$48),$J2585,('Loading-truck'!$E$31:$E$48))*Impacts!$F$14,0)),0)</f>
        <v>0</v>
      </c>
      <c r="S2585" s="10">
        <f>IFERROR(IF(('Loading-rail'!$C$21)="No control",SUMIF(('Loading-rail'!$B$31:$B$48),$J2585,('Loading-rail'!$D$31:$D$48))*Impacts!$F$15,IF(('Loading-rail'!$C$21)&lt;&gt;"No control",SUMIF(('Loading-rail'!$B$31:$B$48),$J2585,('Loading-rail'!$E$31:$E$48))*Impacts!$F$15,0)),0)</f>
        <v>0</v>
      </c>
      <c r="T2585" s="10">
        <f>IF(Flare!$C$7="",0,(SUMIF(Flare!$B$46:$B$185,$J2585,Flare!$E$46:$E$185)*Impacts!$F$16))</f>
        <v>0</v>
      </c>
      <c r="U2585" s="10">
        <f>IF(VCU!$C$9="",0,(SUMIF(VCU!$B$51:$B$193,$J2585,VCU!$E$51:$E$193)*Impacts!$F$17))</f>
        <v>0</v>
      </c>
      <c r="V2585" s="10">
        <f>IF(CAS!$C$7="",0,(SUMIF(CAS!$B$31:$B$167,$J2585,CAS!$E$31:$E$167)*Impacts!$F$18))</f>
        <v>0</v>
      </c>
      <c r="W2585" s="10">
        <f t="shared" si="80"/>
        <v>0</v>
      </c>
      <c r="AK2585" s="10" t="str">
        <f t="array" ref="AK2585">IFERROR(INDEX(SelectedSpecies,SMALL(IF(SelectedSpecies=AK$1,ROW(SelectedSpecies)),ROW(2586:2586)),2),"")</f>
        <v/>
      </c>
      <c r="BE2585" s="10"/>
      <c r="BI2585" s="10"/>
    </row>
    <row r="2586" spans="1:61" ht="21" customHeight="1" x14ac:dyDescent="0.25">
      <c r="A2586" s="10"/>
      <c r="B2586" s="10"/>
      <c r="E2586" s="10"/>
      <c r="G2586" s="10"/>
      <c r="I2586" s="436" t="s">
        <v>1560</v>
      </c>
      <c r="J2586" s="26" t="s">
        <v>1559</v>
      </c>
      <c r="K2586" s="10">
        <v>27</v>
      </c>
      <c r="L2586" s="73">
        <f>IF(Tank1!$C$23="No control",(SUMIF(Tank1!$B$32:$B$49,$J2586,Tank1!$C$32:$C$49)*Impacts!$F$8),0)</f>
        <v>0</v>
      </c>
      <c r="M2586" s="10">
        <f>IF(Tank2!$C$23="No control",(SUMIF(Tank2!$B$32:$B$49,$J2586,Tank2!$C$32:$C$49)*Impacts!$F$9),0)</f>
        <v>0</v>
      </c>
      <c r="N2586" s="10">
        <f>IF(Tank3!$C$23="No control",(SUMIF(Tank3!$B$32:$B$49,$J2586,Tank3!$C$32:$C$49)*Impacts!$F$10),0)</f>
        <v>0</v>
      </c>
      <c r="O2586" s="10">
        <f>IF(Tank4!$C$23="No control",(SUMIF(Tank4!$B$32:$B$49,$J2586,Tank4!$C$32:$C$49)*Impacts!$F$11),0)</f>
        <v>0</v>
      </c>
      <c r="P2586" s="10">
        <f>IF(Tank5!$C$23="No control",(SUMIF(Tank5!$B$32:$B$49,$J2586,Tank5!$C$32:$C$49)*Impacts!$F$12),0)</f>
        <v>0</v>
      </c>
      <c r="Q2586" s="10">
        <f>IFERROR(IF(('Loading-drum,tote'!$C$21)="No control",SUMIF(('Loading-drum,tote'!$B$31:$B$48),$J2586,('Loading-drum,tote'!$D$31:$D$48))*Impacts!$F$13,IF(('Loading-drum,tote'!$C$21)&lt;&gt;"No control",SUMIF(('Loading-drum,tote'!$B$31:$B$48),$J2586,('Loading-drum,tote'!$E$31:$E$48))*Impacts!$F$13,0)),0)</f>
        <v>0</v>
      </c>
      <c r="R2586" s="10">
        <f>IFERROR(IF(('Loading-truck'!$C$21)="No control",SUMIF(('Loading-truck'!$B$31:$B$48),$J2586,('Loading-truck'!$D$31:$D$48))*Impacts!$F$14,IF(('Loading-truck'!$C$21)&lt;&gt;"No control",SUMIF(('Loading-truck'!$B$31:$B$48),$J2586,('Loading-truck'!$E$31:$E$48))*Impacts!$F$14,0)),0)</f>
        <v>0</v>
      </c>
      <c r="S2586" s="10">
        <f>IFERROR(IF(('Loading-rail'!$C$21)="No control",SUMIF(('Loading-rail'!$B$31:$B$48),$J2586,('Loading-rail'!$D$31:$D$48))*Impacts!$F$15,IF(('Loading-rail'!$C$21)&lt;&gt;"No control",SUMIF(('Loading-rail'!$B$31:$B$48),$J2586,('Loading-rail'!$E$31:$E$48))*Impacts!$F$15,0)),0)</f>
        <v>0</v>
      </c>
      <c r="T2586" s="10">
        <f>IF(Flare!$C$7="",0,(SUMIF(Flare!$B$46:$B$185,$J2586,Flare!$E$46:$E$185)*Impacts!$F$16))</f>
        <v>0</v>
      </c>
      <c r="U2586" s="10">
        <f>IF(VCU!$C$9="",0,(SUMIF(VCU!$B$51:$B$193,$J2586,VCU!$E$51:$E$193)*Impacts!$F$17))</f>
        <v>0</v>
      </c>
      <c r="V2586" s="10">
        <f>IF(CAS!$C$7="",0,(SUMIF(CAS!$B$31:$B$167,$J2586,CAS!$E$31:$E$167)*Impacts!$F$18))</f>
        <v>0</v>
      </c>
      <c r="W2586" s="10">
        <f t="shared" ref="W2586:W2649" si="81">SUM(L2586:V2586)</f>
        <v>0</v>
      </c>
      <c r="AK2586" s="10" t="str">
        <f t="array" ref="AK2586">IFERROR(INDEX(SelectedSpecies,SMALL(IF(SelectedSpecies=AK$1,ROW(SelectedSpecies)),ROW(2587:2587)),2),"")</f>
        <v/>
      </c>
      <c r="BE2586" s="10"/>
      <c r="BI2586" s="10"/>
    </row>
    <row r="2587" spans="1:61" ht="21" customHeight="1" x14ac:dyDescent="0.25">
      <c r="A2587" s="10"/>
      <c r="B2587" s="10"/>
      <c r="E2587" s="10"/>
      <c r="G2587" s="10"/>
      <c r="I2587" s="436" t="s">
        <v>7284</v>
      </c>
      <c r="J2587" s="26" t="s">
        <v>7283</v>
      </c>
      <c r="K2587" s="10">
        <v>0.30000000000000004</v>
      </c>
      <c r="L2587" s="73">
        <f>IF(Tank1!$C$23="No control",(SUMIF(Tank1!$B$32:$B$49,$J2587,Tank1!$C$32:$C$49)*Impacts!$F$8),0)</f>
        <v>0</v>
      </c>
      <c r="M2587" s="10">
        <f>IF(Tank2!$C$23="No control",(SUMIF(Tank2!$B$32:$B$49,$J2587,Tank2!$C$32:$C$49)*Impacts!$F$9),0)</f>
        <v>0</v>
      </c>
      <c r="N2587" s="10">
        <f>IF(Tank3!$C$23="No control",(SUMIF(Tank3!$B$32:$B$49,$J2587,Tank3!$C$32:$C$49)*Impacts!$F$10),0)</f>
        <v>0</v>
      </c>
      <c r="O2587" s="10">
        <f>IF(Tank4!$C$23="No control",(SUMIF(Tank4!$B$32:$B$49,$J2587,Tank4!$C$32:$C$49)*Impacts!$F$11),0)</f>
        <v>0</v>
      </c>
      <c r="P2587" s="10">
        <f>IF(Tank5!$C$23="No control",(SUMIF(Tank5!$B$32:$B$49,$J2587,Tank5!$C$32:$C$49)*Impacts!$F$12),0)</f>
        <v>0</v>
      </c>
      <c r="Q2587" s="10">
        <f>IFERROR(IF(('Loading-drum,tote'!$C$21)="No control",SUMIF(('Loading-drum,tote'!$B$31:$B$48),$J2587,('Loading-drum,tote'!$D$31:$D$48))*Impacts!$F$13,IF(('Loading-drum,tote'!$C$21)&lt;&gt;"No control",SUMIF(('Loading-drum,tote'!$B$31:$B$48),$J2587,('Loading-drum,tote'!$E$31:$E$48))*Impacts!$F$13,0)),0)</f>
        <v>0</v>
      </c>
      <c r="R2587" s="10">
        <f>IFERROR(IF(('Loading-truck'!$C$21)="No control",SUMIF(('Loading-truck'!$B$31:$B$48),$J2587,('Loading-truck'!$D$31:$D$48))*Impacts!$F$14,IF(('Loading-truck'!$C$21)&lt;&gt;"No control",SUMIF(('Loading-truck'!$B$31:$B$48),$J2587,('Loading-truck'!$E$31:$E$48))*Impacts!$F$14,0)),0)</f>
        <v>0</v>
      </c>
      <c r="S2587" s="10">
        <f>IFERROR(IF(('Loading-rail'!$C$21)="No control",SUMIF(('Loading-rail'!$B$31:$B$48),$J2587,('Loading-rail'!$D$31:$D$48))*Impacts!$F$15,IF(('Loading-rail'!$C$21)&lt;&gt;"No control",SUMIF(('Loading-rail'!$B$31:$B$48),$J2587,('Loading-rail'!$E$31:$E$48))*Impacts!$F$15,0)),0)</f>
        <v>0</v>
      </c>
      <c r="T2587" s="10">
        <f>IF(Flare!$C$7="",0,(SUMIF(Flare!$B$46:$B$185,$J2587,Flare!$E$46:$E$185)*Impacts!$F$16))</f>
        <v>0</v>
      </c>
      <c r="U2587" s="10">
        <f>IF(VCU!$C$9="",0,(SUMIF(VCU!$B$51:$B$193,$J2587,VCU!$E$51:$E$193)*Impacts!$F$17))</f>
        <v>0</v>
      </c>
      <c r="V2587" s="10">
        <f>IF(CAS!$C$7="",0,(SUMIF(CAS!$B$31:$B$167,$J2587,CAS!$E$31:$E$167)*Impacts!$F$18))</f>
        <v>0</v>
      </c>
      <c r="W2587" s="10">
        <f t="shared" si="81"/>
        <v>0</v>
      </c>
      <c r="AK2587" s="10" t="str">
        <f t="array" ref="AK2587">IFERROR(INDEX(SelectedSpecies,SMALL(IF(SelectedSpecies=AK$1,ROW(SelectedSpecies)),ROW(2588:2588)),2),"")</f>
        <v/>
      </c>
      <c r="BE2587" s="10"/>
      <c r="BI2587" s="10"/>
    </row>
    <row r="2588" spans="1:61" ht="21" customHeight="1" x14ac:dyDescent="0.25">
      <c r="A2588" s="10"/>
      <c r="B2588" s="10"/>
      <c r="E2588" s="10"/>
      <c r="G2588" s="10"/>
      <c r="I2588" s="436" t="s">
        <v>3683</v>
      </c>
      <c r="J2588" s="26" t="s">
        <v>3682</v>
      </c>
      <c r="K2588" s="10">
        <v>7</v>
      </c>
      <c r="L2588" s="73">
        <f>IF(Tank1!$C$23="No control",(SUMIF(Tank1!$B$32:$B$49,$J2588,Tank1!$C$32:$C$49)*Impacts!$F$8),0)</f>
        <v>0</v>
      </c>
      <c r="M2588" s="10">
        <f>IF(Tank2!$C$23="No control",(SUMIF(Tank2!$B$32:$B$49,$J2588,Tank2!$C$32:$C$49)*Impacts!$F$9),0)</f>
        <v>0</v>
      </c>
      <c r="N2588" s="10">
        <f>IF(Tank3!$C$23="No control",(SUMIF(Tank3!$B$32:$B$49,$J2588,Tank3!$C$32:$C$49)*Impacts!$F$10),0)</f>
        <v>0</v>
      </c>
      <c r="O2588" s="10">
        <f>IF(Tank4!$C$23="No control",(SUMIF(Tank4!$B$32:$B$49,$J2588,Tank4!$C$32:$C$49)*Impacts!$F$11),0)</f>
        <v>0</v>
      </c>
      <c r="P2588" s="10">
        <f>IF(Tank5!$C$23="No control",(SUMIF(Tank5!$B$32:$B$49,$J2588,Tank5!$C$32:$C$49)*Impacts!$F$12),0)</f>
        <v>0</v>
      </c>
      <c r="Q2588" s="10">
        <f>IFERROR(IF(('Loading-drum,tote'!$C$21)="No control",SUMIF(('Loading-drum,tote'!$B$31:$B$48),$J2588,('Loading-drum,tote'!$D$31:$D$48))*Impacts!$F$13,IF(('Loading-drum,tote'!$C$21)&lt;&gt;"No control",SUMIF(('Loading-drum,tote'!$B$31:$B$48),$J2588,('Loading-drum,tote'!$E$31:$E$48))*Impacts!$F$13,0)),0)</f>
        <v>0</v>
      </c>
      <c r="R2588" s="10">
        <f>IFERROR(IF(('Loading-truck'!$C$21)="No control",SUMIF(('Loading-truck'!$B$31:$B$48),$J2588,('Loading-truck'!$D$31:$D$48))*Impacts!$F$14,IF(('Loading-truck'!$C$21)&lt;&gt;"No control",SUMIF(('Loading-truck'!$B$31:$B$48),$J2588,('Loading-truck'!$E$31:$E$48))*Impacts!$F$14,0)),0)</f>
        <v>0</v>
      </c>
      <c r="S2588" s="10">
        <f>IFERROR(IF(('Loading-rail'!$C$21)="No control",SUMIF(('Loading-rail'!$B$31:$B$48),$J2588,('Loading-rail'!$D$31:$D$48))*Impacts!$F$15,IF(('Loading-rail'!$C$21)&lt;&gt;"No control",SUMIF(('Loading-rail'!$B$31:$B$48),$J2588,('Loading-rail'!$E$31:$E$48))*Impacts!$F$15,0)),0)</f>
        <v>0</v>
      </c>
      <c r="T2588" s="10">
        <f>IF(Flare!$C$7="",0,(SUMIF(Flare!$B$46:$B$185,$J2588,Flare!$E$46:$E$185)*Impacts!$F$16))</f>
        <v>0</v>
      </c>
      <c r="U2588" s="10">
        <f>IF(VCU!$C$9="",0,(SUMIF(VCU!$B$51:$B$193,$J2588,VCU!$E$51:$E$193)*Impacts!$F$17))</f>
        <v>0</v>
      </c>
      <c r="V2588" s="10">
        <f>IF(CAS!$C$7="",0,(SUMIF(CAS!$B$31:$B$167,$J2588,CAS!$E$31:$E$167)*Impacts!$F$18))</f>
        <v>0</v>
      </c>
      <c r="W2588" s="10">
        <f t="shared" si="81"/>
        <v>0</v>
      </c>
      <c r="AK2588" s="10" t="str">
        <f t="array" ref="AK2588">IFERROR(INDEX(SelectedSpecies,SMALL(IF(SelectedSpecies=AK$1,ROW(SelectedSpecies)),ROW(2589:2589)),2),"")</f>
        <v/>
      </c>
      <c r="BE2588" s="10"/>
      <c r="BI2588" s="10"/>
    </row>
    <row r="2589" spans="1:61" ht="21" customHeight="1" x14ac:dyDescent="0.25">
      <c r="A2589" s="10"/>
      <c r="B2589" s="10"/>
      <c r="E2589" s="10"/>
      <c r="G2589" s="10"/>
      <c r="I2589" s="436" t="s">
        <v>4307</v>
      </c>
      <c r="J2589" s="26" t="s">
        <v>4306</v>
      </c>
      <c r="K2589" s="10">
        <v>5</v>
      </c>
      <c r="L2589" s="73">
        <f>IF(Tank1!$C$23="No control",(SUMIF(Tank1!$B$32:$B$49,$J2589,Tank1!$C$32:$C$49)*Impacts!$F$8),0)</f>
        <v>0</v>
      </c>
      <c r="M2589" s="10">
        <f>IF(Tank2!$C$23="No control",(SUMIF(Tank2!$B$32:$B$49,$J2589,Tank2!$C$32:$C$49)*Impacts!$F$9),0)</f>
        <v>0</v>
      </c>
      <c r="N2589" s="10">
        <f>IF(Tank3!$C$23="No control",(SUMIF(Tank3!$B$32:$B$49,$J2589,Tank3!$C$32:$C$49)*Impacts!$F$10),0)</f>
        <v>0</v>
      </c>
      <c r="O2589" s="10">
        <f>IF(Tank4!$C$23="No control",(SUMIF(Tank4!$B$32:$B$49,$J2589,Tank4!$C$32:$C$49)*Impacts!$F$11),0)</f>
        <v>0</v>
      </c>
      <c r="P2589" s="10">
        <f>IF(Tank5!$C$23="No control",(SUMIF(Tank5!$B$32:$B$49,$J2589,Tank5!$C$32:$C$49)*Impacts!$F$12),0)</f>
        <v>0</v>
      </c>
      <c r="Q2589" s="10">
        <f>IFERROR(IF(('Loading-drum,tote'!$C$21)="No control",SUMIF(('Loading-drum,tote'!$B$31:$B$48),$J2589,('Loading-drum,tote'!$D$31:$D$48))*Impacts!$F$13,IF(('Loading-drum,tote'!$C$21)&lt;&gt;"No control",SUMIF(('Loading-drum,tote'!$B$31:$B$48),$J2589,('Loading-drum,tote'!$E$31:$E$48))*Impacts!$F$13,0)),0)</f>
        <v>0</v>
      </c>
      <c r="R2589" s="10">
        <f>IFERROR(IF(('Loading-truck'!$C$21)="No control",SUMIF(('Loading-truck'!$B$31:$B$48),$J2589,('Loading-truck'!$D$31:$D$48))*Impacts!$F$14,IF(('Loading-truck'!$C$21)&lt;&gt;"No control",SUMIF(('Loading-truck'!$B$31:$B$48),$J2589,('Loading-truck'!$E$31:$E$48))*Impacts!$F$14,0)),0)</f>
        <v>0</v>
      </c>
      <c r="S2589" s="10">
        <f>IFERROR(IF(('Loading-rail'!$C$21)="No control",SUMIF(('Loading-rail'!$B$31:$B$48),$J2589,('Loading-rail'!$D$31:$D$48))*Impacts!$F$15,IF(('Loading-rail'!$C$21)&lt;&gt;"No control",SUMIF(('Loading-rail'!$B$31:$B$48),$J2589,('Loading-rail'!$E$31:$E$48))*Impacts!$F$15,0)),0)</f>
        <v>0</v>
      </c>
      <c r="T2589" s="10">
        <f>IF(Flare!$C$7="",0,(SUMIF(Flare!$B$46:$B$185,$J2589,Flare!$E$46:$E$185)*Impacts!$F$16))</f>
        <v>0</v>
      </c>
      <c r="U2589" s="10">
        <f>IF(VCU!$C$9="",0,(SUMIF(VCU!$B$51:$B$193,$J2589,VCU!$E$51:$E$193)*Impacts!$F$17))</f>
        <v>0</v>
      </c>
      <c r="V2589" s="10">
        <f>IF(CAS!$C$7="",0,(SUMIF(CAS!$B$31:$B$167,$J2589,CAS!$E$31:$E$167)*Impacts!$F$18))</f>
        <v>0</v>
      </c>
      <c r="W2589" s="10">
        <f t="shared" si="81"/>
        <v>0</v>
      </c>
      <c r="AK2589" s="10" t="str">
        <f t="array" ref="AK2589">IFERROR(INDEX(SelectedSpecies,SMALL(IF(SelectedSpecies=AK$1,ROW(SelectedSpecies)),ROW(2590:2590)),2),"")</f>
        <v/>
      </c>
      <c r="BE2589" s="10"/>
      <c r="BI2589" s="10"/>
    </row>
    <row r="2590" spans="1:61" ht="21" customHeight="1" x14ac:dyDescent="0.25">
      <c r="A2590" s="10"/>
      <c r="B2590" s="10"/>
      <c r="E2590" s="10"/>
      <c r="G2590" s="10"/>
      <c r="I2590" s="436" t="s">
        <v>802</v>
      </c>
      <c r="J2590" s="26" t="s">
        <v>801</v>
      </c>
      <c r="K2590" s="10">
        <v>54</v>
      </c>
      <c r="L2590" s="73">
        <f>IF(Tank1!$C$23="No control",(SUMIF(Tank1!$B$32:$B$49,$J2590,Tank1!$C$32:$C$49)*Impacts!$F$8),0)</f>
        <v>0</v>
      </c>
      <c r="M2590" s="10">
        <f>IF(Tank2!$C$23="No control",(SUMIF(Tank2!$B$32:$B$49,$J2590,Tank2!$C$32:$C$49)*Impacts!$F$9),0)</f>
        <v>0</v>
      </c>
      <c r="N2590" s="10">
        <f>IF(Tank3!$C$23="No control",(SUMIF(Tank3!$B$32:$B$49,$J2590,Tank3!$C$32:$C$49)*Impacts!$F$10),0)</f>
        <v>0</v>
      </c>
      <c r="O2590" s="10">
        <f>IF(Tank4!$C$23="No control",(SUMIF(Tank4!$B$32:$B$49,$J2590,Tank4!$C$32:$C$49)*Impacts!$F$11),0)</f>
        <v>0</v>
      </c>
      <c r="P2590" s="10">
        <f>IF(Tank5!$C$23="No control",(SUMIF(Tank5!$B$32:$B$49,$J2590,Tank5!$C$32:$C$49)*Impacts!$F$12),0)</f>
        <v>0</v>
      </c>
      <c r="Q2590" s="10">
        <f>IFERROR(IF(('Loading-drum,tote'!$C$21)="No control",SUMIF(('Loading-drum,tote'!$B$31:$B$48),$J2590,('Loading-drum,tote'!$D$31:$D$48))*Impacts!$F$13,IF(('Loading-drum,tote'!$C$21)&lt;&gt;"No control",SUMIF(('Loading-drum,tote'!$B$31:$B$48),$J2590,('Loading-drum,tote'!$E$31:$E$48))*Impacts!$F$13,0)),0)</f>
        <v>0</v>
      </c>
      <c r="R2590" s="10">
        <f>IFERROR(IF(('Loading-truck'!$C$21)="No control",SUMIF(('Loading-truck'!$B$31:$B$48),$J2590,('Loading-truck'!$D$31:$D$48))*Impacts!$F$14,IF(('Loading-truck'!$C$21)&lt;&gt;"No control",SUMIF(('Loading-truck'!$B$31:$B$48),$J2590,('Loading-truck'!$E$31:$E$48))*Impacts!$F$14,0)),0)</f>
        <v>0</v>
      </c>
      <c r="S2590" s="10">
        <f>IFERROR(IF(('Loading-rail'!$C$21)="No control",SUMIF(('Loading-rail'!$B$31:$B$48),$J2590,('Loading-rail'!$D$31:$D$48))*Impacts!$F$15,IF(('Loading-rail'!$C$21)&lt;&gt;"No control",SUMIF(('Loading-rail'!$B$31:$B$48),$J2590,('Loading-rail'!$E$31:$E$48))*Impacts!$F$15,0)),0)</f>
        <v>0</v>
      </c>
      <c r="T2590" s="10">
        <f>IF(Flare!$C$7="",0,(SUMIF(Flare!$B$46:$B$185,$J2590,Flare!$E$46:$E$185)*Impacts!$F$16))</f>
        <v>0</v>
      </c>
      <c r="U2590" s="10">
        <f>IF(VCU!$C$9="",0,(SUMIF(VCU!$B$51:$B$193,$J2590,VCU!$E$51:$E$193)*Impacts!$F$17))</f>
        <v>0</v>
      </c>
      <c r="V2590" s="10">
        <f>IF(CAS!$C$7="",0,(SUMIF(CAS!$B$31:$B$167,$J2590,CAS!$E$31:$E$167)*Impacts!$F$18))</f>
        <v>0</v>
      </c>
      <c r="W2590" s="10">
        <f t="shared" si="81"/>
        <v>0</v>
      </c>
      <c r="AK2590" s="10" t="str">
        <f t="array" ref="AK2590">IFERROR(INDEX(SelectedSpecies,SMALL(IF(SelectedSpecies=AK$1,ROW(SelectedSpecies)),ROW(2591:2591)),2),"")</f>
        <v/>
      </c>
      <c r="BE2590" s="10"/>
      <c r="BI2590" s="10"/>
    </row>
    <row r="2591" spans="1:61" ht="21" customHeight="1" x14ac:dyDescent="0.25">
      <c r="A2591" s="10"/>
      <c r="B2591" s="10"/>
      <c r="E2591" s="10"/>
      <c r="G2591" s="10"/>
      <c r="I2591" s="436" t="s">
        <v>2257</v>
      </c>
      <c r="J2591" s="26" t="s">
        <v>2256</v>
      </c>
      <c r="K2591" s="10">
        <v>12.5</v>
      </c>
      <c r="L2591" s="73">
        <f>IF(Tank1!$C$23="No control",(SUMIF(Tank1!$B$32:$B$49,$J2591,Tank1!$C$32:$C$49)*Impacts!$F$8),0)</f>
        <v>0</v>
      </c>
      <c r="M2591" s="10">
        <f>IF(Tank2!$C$23="No control",(SUMIF(Tank2!$B$32:$B$49,$J2591,Tank2!$C$32:$C$49)*Impacts!$F$9),0)</f>
        <v>0</v>
      </c>
      <c r="N2591" s="10">
        <f>IF(Tank3!$C$23="No control",(SUMIF(Tank3!$B$32:$B$49,$J2591,Tank3!$C$32:$C$49)*Impacts!$F$10),0)</f>
        <v>0</v>
      </c>
      <c r="O2591" s="10">
        <f>IF(Tank4!$C$23="No control",(SUMIF(Tank4!$B$32:$B$49,$J2591,Tank4!$C$32:$C$49)*Impacts!$F$11),0)</f>
        <v>0</v>
      </c>
      <c r="P2591" s="10">
        <f>IF(Tank5!$C$23="No control",(SUMIF(Tank5!$B$32:$B$49,$J2591,Tank5!$C$32:$C$49)*Impacts!$F$12),0)</f>
        <v>0</v>
      </c>
      <c r="Q2591" s="10">
        <f>IFERROR(IF(('Loading-drum,tote'!$C$21)="No control",SUMIF(('Loading-drum,tote'!$B$31:$B$48),$J2591,('Loading-drum,tote'!$D$31:$D$48))*Impacts!$F$13,IF(('Loading-drum,tote'!$C$21)&lt;&gt;"No control",SUMIF(('Loading-drum,tote'!$B$31:$B$48),$J2591,('Loading-drum,tote'!$E$31:$E$48))*Impacts!$F$13,0)),0)</f>
        <v>0</v>
      </c>
      <c r="R2591" s="10">
        <f>IFERROR(IF(('Loading-truck'!$C$21)="No control",SUMIF(('Loading-truck'!$B$31:$B$48),$J2591,('Loading-truck'!$D$31:$D$48))*Impacts!$F$14,IF(('Loading-truck'!$C$21)&lt;&gt;"No control",SUMIF(('Loading-truck'!$B$31:$B$48),$J2591,('Loading-truck'!$E$31:$E$48))*Impacts!$F$14,0)),0)</f>
        <v>0</v>
      </c>
      <c r="S2591" s="10">
        <f>IFERROR(IF(('Loading-rail'!$C$21)="No control",SUMIF(('Loading-rail'!$B$31:$B$48),$J2591,('Loading-rail'!$D$31:$D$48))*Impacts!$F$15,IF(('Loading-rail'!$C$21)&lt;&gt;"No control",SUMIF(('Loading-rail'!$B$31:$B$48),$J2591,('Loading-rail'!$E$31:$E$48))*Impacts!$F$15,0)),0)</f>
        <v>0</v>
      </c>
      <c r="T2591" s="10">
        <f>IF(Flare!$C$7="",0,(SUMIF(Flare!$B$46:$B$185,$J2591,Flare!$E$46:$E$185)*Impacts!$F$16))</f>
        <v>0</v>
      </c>
      <c r="U2591" s="10">
        <f>IF(VCU!$C$9="",0,(SUMIF(VCU!$B$51:$B$193,$J2591,VCU!$E$51:$E$193)*Impacts!$F$17))</f>
        <v>0</v>
      </c>
      <c r="V2591" s="10">
        <f>IF(CAS!$C$7="",0,(SUMIF(CAS!$B$31:$B$167,$J2591,CAS!$E$31:$E$167)*Impacts!$F$18))</f>
        <v>0</v>
      </c>
      <c r="W2591" s="10">
        <f t="shared" si="81"/>
        <v>0</v>
      </c>
      <c r="AK2591" s="10" t="str">
        <f t="array" ref="AK2591">IFERROR(INDEX(SelectedSpecies,SMALL(IF(SelectedSpecies=AK$1,ROW(SelectedSpecies)),ROW(2592:2592)),2),"")</f>
        <v/>
      </c>
      <c r="BE2591" s="10"/>
      <c r="BI2591" s="10"/>
    </row>
    <row r="2592" spans="1:61" ht="21" customHeight="1" x14ac:dyDescent="0.25">
      <c r="A2592" s="10"/>
      <c r="B2592" s="10"/>
      <c r="E2592" s="10"/>
      <c r="G2592" s="10"/>
      <c r="I2592" s="436" t="s">
        <v>1394</v>
      </c>
      <c r="J2592" s="26" t="s">
        <v>1393</v>
      </c>
      <c r="K2592" s="10">
        <v>33</v>
      </c>
      <c r="L2592" s="73">
        <f>IF(Tank1!$C$23="No control",(SUMIF(Tank1!$B$32:$B$49,$J2592,Tank1!$C$32:$C$49)*Impacts!$F$8),0)</f>
        <v>0</v>
      </c>
      <c r="M2592" s="10">
        <f>IF(Tank2!$C$23="No control",(SUMIF(Tank2!$B$32:$B$49,$J2592,Tank2!$C$32:$C$49)*Impacts!$F$9),0)</f>
        <v>0</v>
      </c>
      <c r="N2592" s="10">
        <f>IF(Tank3!$C$23="No control",(SUMIF(Tank3!$B$32:$B$49,$J2592,Tank3!$C$32:$C$49)*Impacts!$F$10),0)</f>
        <v>0</v>
      </c>
      <c r="O2592" s="10">
        <f>IF(Tank4!$C$23="No control",(SUMIF(Tank4!$B$32:$B$49,$J2592,Tank4!$C$32:$C$49)*Impacts!$F$11),0)</f>
        <v>0</v>
      </c>
      <c r="P2592" s="10">
        <f>IF(Tank5!$C$23="No control",(SUMIF(Tank5!$B$32:$B$49,$J2592,Tank5!$C$32:$C$49)*Impacts!$F$12),0)</f>
        <v>0</v>
      </c>
      <c r="Q2592" s="10">
        <f>IFERROR(IF(('Loading-drum,tote'!$C$21)="No control",SUMIF(('Loading-drum,tote'!$B$31:$B$48),$J2592,('Loading-drum,tote'!$D$31:$D$48))*Impacts!$F$13,IF(('Loading-drum,tote'!$C$21)&lt;&gt;"No control",SUMIF(('Loading-drum,tote'!$B$31:$B$48),$J2592,('Loading-drum,tote'!$E$31:$E$48))*Impacts!$F$13,0)),0)</f>
        <v>0</v>
      </c>
      <c r="R2592" s="10">
        <f>IFERROR(IF(('Loading-truck'!$C$21)="No control",SUMIF(('Loading-truck'!$B$31:$B$48),$J2592,('Loading-truck'!$D$31:$D$48))*Impacts!$F$14,IF(('Loading-truck'!$C$21)&lt;&gt;"No control",SUMIF(('Loading-truck'!$B$31:$B$48),$J2592,('Loading-truck'!$E$31:$E$48))*Impacts!$F$14,0)),0)</f>
        <v>0</v>
      </c>
      <c r="S2592" s="10">
        <f>IFERROR(IF(('Loading-rail'!$C$21)="No control",SUMIF(('Loading-rail'!$B$31:$B$48),$J2592,('Loading-rail'!$D$31:$D$48))*Impacts!$F$15,IF(('Loading-rail'!$C$21)&lt;&gt;"No control",SUMIF(('Loading-rail'!$B$31:$B$48),$J2592,('Loading-rail'!$E$31:$E$48))*Impacts!$F$15,0)),0)</f>
        <v>0</v>
      </c>
      <c r="T2592" s="10">
        <f>IF(Flare!$C$7="",0,(SUMIF(Flare!$B$46:$B$185,$J2592,Flare!$E$46:$E$185)*Impacts!$F$16))</f>
        <v>0</v>
      </c>
      <c r="U2592" s="10">
        <f>IF(VCU!$C$9="",0,(SUMIF(VCU!$B$51:$B$193,$J2592,VCU!$E$51:$E$193)*Impacts!$F$17))</f>
        <v>0</v>
      </c>
      <c r="V2592" s="10">
        <f>IF(CAS!$C$7="",0,(SUMIF(CAS!$B$31:$B$167,$J2592,CAS!$E$31:$E$167)*Impacts!$F$18))</f>
        <v>0</v>
      </c>
      <c r="W2592" s="10">
        <f t="shared" si="81"/>
        <v>0</v>
      </c>
      <c r="AK2592" s="10" t="str">
        <f t="array" ref="AK2592">IFERROR(INDEX(SelectedSpecies,SMALL(IF(SelectedSpecies=AK$1,ROW(SelectedSpecies)),ROW(2593:2593)),2),"")</f>
        <v/>
      </c>
      <c r="BE2592" s="10"/>
      <c r="BI2592" s="10"/>
    </row>
    <row r="2593" spans="1:61" ht="21" customHeight="1" x14ac:dyDescent="0.25">
      <c r="A2593" s="10"/>
      <c r="B2593" s="10"/>
      <c r="E2593" s="10"/>
      <c r="G2593" s="10"/>
      <c r="I2593" s="436" t="s">
        <v>1068</v>
      </c>
      <c r="J2593" s="26" t="s">
        <v>1067</v>
      </c>
      <c r="K2593" s="10">
        <v>35</v>
      </c>
      <c r="L2593" s="73">
        <f>IF(Tank1!$C$23="No control",(SUMIF(Tank1!$B$32:$B$49,$J2593,Tank1!$C$32:$C$49)*Impacts!$F$8),0)</f>
        <v>0</v>
      </c>
      <c r="M2593" s="10">
        <f>IF(Tank2!$C$23="No control",(SUMIF(Tank2!$B$32:$B$49,$J2593,Tank2!$C$32:$C$49)*Impacts!$F$9),0)</f>
        <v>0</v>
      </c>
      <c r="N2593" s="10">
        <f>IF(Tank3!$C$23="No control",(SUMIF(Tank3!$B$32:$B$49,$J2593,Tank3!$C$32:$C$49)*Impacts!$F$10),0)</f>
        <v>0</v>
      </c>
      <c r="O2593" s="10">
        <f>IF(Tank4!$C$23="No control",(SUMIF(Tank4!$B$32:$B$49,$J2593,Tank4!$C$32:$C$49)*Impacts!$F$11),0)</f>
        <v>0</v>
      </c>
      <c r="P2593" s="10">
        <f>IF(Tank5!$C$23="No control",(SUMIF(Tank5!$B$32:$B$49,$J2593,Tank5!$C$32:$C$49)*Impacts!$F$12),0)</f>
        <v>0</v>
      </c>
      <c r="Q2593" s="10">
        <f>IFERROR(IF(('Loading-drum,tote'!$C$21)="No control",SUMIF(('Loading-drum,tote'!$B$31:$B$48),$J2593,('Loading-drum,tote'!$D$31:$D$48))*Impacts!$F$13,IF(('Loading-drum,tote'!$C$21)&lt;&gt;"No control",SUMIF(('Loading-drum,tote'!$B$31:$B$48),$J2593,('Loading-drum,tote'!$E$31:$E$48))*Impacts!$F$13,0)),0)</f>
        <v>0</v>
      </c>
      <c r="R2593" s="10">
        <f>IFERROR(IF(('Loading-truck'!$C$21)="No control",SUMIF(('Loading-truck'!$B$31:$B$48),$J2593,('Loading-truck'!$D$31:$D$48))*Impacts!$F$14,IF(('Loading-truck'!$C$21)&lt;&gt;"No control",SUMIF(('Loading-truck'!$B$31:$B$48),$J2593,('Loading-truck'!$E$31:$E$48))*Impacts!$F$14,0)),0)</f>
        <v>0</v>
      </c>
      <c r="S2593" s="10">
        <f>IFERROR(IF(('Loading-rail'!$C$21)="No control",SUMIF(('Loading-rail'!$B$31:$B$48),$J2593,('Loading-rail'!$D$31:$D$48))*Impacts!$F$15,IF(('Loading-rail'!$C$21)&lt;&gt;"No control",SUMIF(('Loading-rail'!$B$31:$B$48),$J2593,('Loading-rail'!$E$31:$E$48))*Impacts!$F$15,0)),0)</f>
        <v>0</v>
      </c>
      <c r="T2593" s="10">
        <f>IF(Flare!$C$7="",0,(SUMIF(Flare!$B$46:$B$185,$J2593,Flare!$E$46:$E$185)*Impacts!$F$16))</f>
        <v>0</v>
      </c>
      <c r="U2593" s="10">
        <f>IF(VCU!$C$9="",0,(SUMIF(VCU!$B$51:$B$193,$J2593,VCU!$E$51:$E$193)*Impacts!$F$17))</f>
        <v>0</v>
      </c>
      <c r="V2593" s="10">
        <f>IF(CAS!$C$7="",0,(SUMIF(CAS!$B$31:$B$167,$J2593,CAS!$E$31:$E$167)*Impacts!$F$18))</f>
        <v>0</v>
      </c>
      <c r="W2593" s="10">
        <f t="shared" si="81"/>
        <v>0</v>
      </c>
      <c r="AK2593" s="10" t="str">
        <f t="array" ref="AK2593">IFERROR(INDEX(SelectedSpecies,SMALL(IF(SelectedSpecies=AK$1,ROW(SelectedSpecies)),ROW(2594:2594)),2),"")</f>
        <v/>
      </c>
      <c r="BE2593" s="10"/>
      <c r="BI2593" s="10"/>
    </row>
    <row r="2594" spans="1:61" ht="21" customHeight="1" x14ac:dyDescent="0.25">
      <c r="A2594" s="10"/>
      <c r="B2594" s="10"/>
      <c r="E2594" s="10"/>
      <c r="G2594" s="10"/>
      <c r="I2594" s="436" t="s">
        <v>7192</v>
      </c>
      <c r="J2594" s="26" t="s">
        <v>7191</v>
      </c>
      <c r="K2594" s="10">
        <v>0.33</v>
      </c>
      <c r="L2594" s="73">
        <f>IF(Tank1!$C$23="No control",(SUMIF(Tank1!$B$32:$B$49,$J2594,Tank1!$C$32:$C$49)*Impacts!$F$8),0)</f>
        <v>0</v>
      </c>
      <c r="M2594" s="10">
        <f>IF(Tank2!$C$23="No control",(SUMIF(Tank2!$B$32:$B$49,$J2594,Tank2!$C$32:$C$49)*Impacts!$F$9),0)</f>
        <v>0</v>
      </c>
      <c r="N2594" s="10">
        <f>IF(Tank3!$C$23="No control",(SUMIF(Tank3!$B$32:$B$49,$J2594,Tank3!$C$32:$C$49)*Impacts!$F$10),0)</f>
        <v>0</v>
      </c>
      <c r="O2594" s="10">
        <f>IF(Tank4!$C$23="No control",(SUMIF(Tank4!$B$32:$B$49,$J2594,Tank4!$C$32:$C$49)*Impacts!$F$11),0)</f>
        <v>0</v>
      </c>
      <c r="P2594" s="10">
        <f>IF(Tank5!$C$23="No control",(SUMIF(Tank5!$B$32:$B$49,$J2594,Tank5!$C$32:$C$49)*Impacts!$F$12),0)</f>
        <v>0</v>
      </c>
      <c r="Q2594" s="10">
        <f>IFERROR(IF(('Loading-drum,tote'!$C$21)="No control",SUMIF(('Loading-drum,tote'!$B$31:$B$48),$J2594,('Loading-drum,tote'!$D$31:$D$48))*Impacts!$F$13,IF(('Loading-drum,tote'!$C$21)&lt;&gt;"No control",SUMIF(('Loading-drum,tote'!$B$31:$B$48),$J2594,('Loading-drum,tote'!$E$31:$E$48))*Impacts!$F$13,0)),0)</f>
        <v>0</v>
      </c>
      <c r="R2594" s="10">
        <f>IFERROR(IF(('Loading-truck'!$C$21)="No control",SUMIF(('Loading-truck'!$B$31:$B$48),$J2594,('Loading-truck'!$D$31:$D$48))*Impacts!$F$14,IF(('Loading-truck'!$C$21)&lt;&gt;"No control",SUMIF(('Loading-truck'!$B$31:$B$48),$J2594,('Loading-truck'!$E$31:$E$48))*Impacts!$F$14,0)),0)</f>
        <v>0</v>
      </c>
      <c r="S2594" s="10">
        <f>IFERROR(IF(('Loading-rail'!$C$21)="No control",SUMIF(('Loading-rail'!$B$31:$B$48),$J2594,('Loading-rail'!$D$31:$D$48))*Impacts!$F$15,IF(('Loading-rail'!$C$21)&lt;&gt;"No control",SUMIF(('Loading-rail'!$B$31:$B$48),$J2594,('Loading-rail'!$E$31:$E$48))*Impacts!$F$15,0)),0)</f>
        <v>0</v>
      </c>
      <c r="T2594" s="10">
        <f>IF(Flare!$C$7="",0,(SUMIF(Flare!$B$46:$B$185,$J2594,Flare!$E$46:$E$185)*Impacts!$F$16))</f>
        <v>0</v>
      </c>
      <c r="U2594" s="10">
        <f>IF(VCU!$C$9="",0,(SUMIF(VCU!$B$51:$B$193,$J2594,VCU!$E$51:$E$193)*Impacts!$F$17))</f>
        <v>0</v>
      </c>
      <c r="V2594" s="10">
        <f>IF(CAS!$C$7="",0,(SUMIF(CAS!$B$31:$B$167,$J2594,CAS!$E$31:$E$167)*Impacts!$F$18))</f>
        <v>0</v>
      </c>
      <c r="W2594" s="10">
        <f t="shared" si="81"/>
        <v>0</v>
      </c>
      <c r="AK2594" s="10" t="str">
        <f t="array" ref="AK2594">IFERROR(INDEX(SelectedSpecies,SMALL(IF(SelectedSpecies=AK$1,ROW(SelectedSpecies)),ROW(2595:2595)),2),"")</f>
        <v/>
      </c>
      <c r="BE2594" s="10"/>
      <c r="BI2594" s="10"/>
    </row>
    <row r="2595" spans="1:61" ht="21" customHeight="1" x14ac:dyDescent="0.25">
      <c r="A2595" s="10"/>
      <c r="B2595" s="10"/>
      <c r="E2595" s="10"/>
      <c r="G2595" s="10"/>
      <c r="I2595" s="436" t="s">
        <v>4217</v>
      </c>
      <c r="J2595" s="26" t="s">
        <v>4216</v>
      </c>
      <c r="K2595" s="10">
        <v>5</v>
      </c>
      <c r="L2595" s="73">
        <f>IF(Tank1!$C$23="No control",(SUMIF(Tank1!$B$32:$B$49,$J2595,Tank1!$C$32:$C$49)*Impacts!$F$8),0)</f>
        <v>0</v>
      </c>
      <c r="M2595" s="10">
        <f>IF(Tank2!$C$23="No control",(SUMIF(Tank2!$B$32:$B$49,$J2595,Tank2!$C$32:$C$49)*Impacts!$F$9),0)</f>
        <v>0</v>
      </c>
      <c r="N2595" s="10">
        <f>IF(Tank3!$C$23="No control",(SUMIF(Tank3!$B$32:$B$49,$J2595,Tank3!$C$32:$C$49)*Impacts!$F$10),0)</f>
        <v>0</v>
      </c>
      <c r="O2595" s="10">
        <f>IF(Tank4!$C$23="No control",(SUMIF(Tank4!$B$32:$B$49,$J2595,Tank4!$C$32:$C$49)*Impacts!$F$11),0)</f>
        <v>0</v>
      </c>
      <c r="P2595" s="10">
        <f>IF(Tank5!$C$23="No control",(SUMIF(Tank5!$B$32:$B$49,$J2595,Tank5!$C$32:$C$49)*Impacts!$F$12),0)</f>
        <v>0</v>
      </c>
      <c r="Q2595" s="10">
        <f>IFERROR(IF(('Loading-drum,tote'!$C$21)="No control",SUMIF(('Loading-drum,tote'!$B$31:$B$48),$J2595,('Loading-drum,tote'!$D$31:$D$48))*Impacts!$F$13,IF(('Loading-drum,tote'!$C$21)&lt;&gt;"No control",SUMIF(('Loading-drum,tote'!$B$31:$B$48),$J2595,('Loading-drum,tote'!$E$31:$E$48))*Impacts!$F$13,0)),0)</f>
        <v>0</v>
      </c>
      <c r="R2595" s="10">
        <f>IFERROR(IF(('Loading-truck'!$C$21)="No control",SUMIF(('Loading-truck'!$B$31:$B$48),$J2595,('Loading-truck'!$D$31:$D$48))*Impacts!$F$14,IF(('Loading-truck'!$C$21)&lt;&gt;"No control",SUMIF(('Loading-truck'!$B$31:$B$48),$J2595,('Loading-truck'!$E$31:$E$48))*Impacts!$F$14,0)),0)</f>
        <v>0</v>
      </c>
      <c r="S2595" s="10">
        <f>IFERROR(IF(('Loading-rail'!$C$21)="No control",SUMIF(('Loading-rail'!$B$31:$B$48),$J2595,('Loading-rail'!$D$31:$D$48))*Impacts!$F$15,IF(('Loading-rail'!$C$21)&lt;&gt;"No control",SUMIF(('Loading-rail'!$B$31:$B$48),$J2595,('Loading-rail'!$E$31:$E$48))*Impacts!$F$15,0)),0)</f>
        <v>0</v>
      </c>
      <c r="T2595" s="10">
        <f>IF(Flare!$C$7="",0,(SUMIF(Flare!$B$46:$B$185,$J2595,Flare!$E$46:$E$185)*Impacts!$F$16))</f>
        <v>0</v>
      </c>
      <c r="U2595" s="10">
        <f>IF(VCU!$C$9="",0,(SUMIF(VCU!$B$51:$B$193,$J2595,VCU!$E$51:$E$193)*Impacts!$F$17))</f>
        <v>0</v>
      </c>
      <c r="V2595" s="10">
        <f>IF(CAS!$C$7="",0,(SUMIF(CAS!$B$31:$B$167,$J2595,CAS!$E$31:$E$167)*Impacts!$F$18))</f>
        <v>0</v>
      </c>
      <c r="W2595" s="10">
        <f t="shared" si="81"/>
        <v>0</v>
      </c>
      <c r="AK2595" s="10" t="str">
        <f t="array" ref="AK2595">IFERROR(INDEX(SelectedSpecies,SMALL(IF(SelectedSpecies=AK$1,ROW(SelectedSpecies)),ROW(2596:2596)),2),"")</f>
        <v/>
      </c>
      <c r="BE2595" s="10"/>
      <c r="BI2595" s="10"/>
    </row>
    <row r="2596" spans="1:61" ht="21" customHeight="1" x14ac:dyDescent="0.25">
      <c r="A2596" s="10"/>
      <c r="B2596" s="10"/>
      <c r="E2596" s="10"/>
      <c r="G2596" s="10"/>
      <c r="I2596" s="436" t="s">
        <v>6324</v>
      </c>
      <c r="J2596" s="26" t="s">
        <v>6323</v>
      </c>
      <c r="K2596" s="10">
        <v>0.9</v>
      </c>
      <c r="L2596" s="73">
        <f>IF(Tank1!$C$23="No control",(SUMIF(Tank1!$B$32:$B$49,$J2596,Tank1!$C$32:$C$49)*Impacts!$F$8),0)</f>
        <v>0</v>
      </c>
      <c r="M2596" s="10">
        <f>IF(Tank2!$C$23="No control",(SUMIF(Tank2!$B$32:$B$49,$J2596,Tank2!$C$32:$C$49)*Impacts!$F$9),0)</f>
        <v>0</v>
      </c>
      <c r="N2596" s="10">
        <f>IF(Tank3!$C$23="No control",(SUMIF(Tank3!$B$32:$B$49,$J2596,Tank3!$C$32:$C$49)*Impacts!$F$10),0)</f>
        <v>0</v>
      </c>
      <c r="O2596" s="10">
        <f>IF(Tank4!$C$23="No control",(SUMIF(Tank4!$B$32:$B$49,$J2596,Tank4!$C$32:$C$49)*Impacts!$F$11),0)</f>
        <v>0</v>
      </c>
      <c r="P2596" s="10">
        <f>IF(Tank5!$C$23="No control",(SUMIF(Tank5!$B$32:$B$49,$J2596,Tank5!$C$32:$C$49)*Impacts!$F$12),0)</f>
        <v>0</v>
      </c>
      <c r="Q2596" s="10">
        <f>IFERROR(IF(('Loading-drum,tote'!$C$21)="No control",SUMIF(('Loading-drum,tote'!$B$31:$B$48),$J2596,('Loading-drum,tote'!$D$31:$D$48))*Impacts!$F$13,IF(('Loading-drum,tote'!$C$21)&lt;&gt;"No control",SUMIF(('Loading-drum,tote'!$B$31:$B$48),$J2596,('Loading-drum,tote'!$E$31:$E$48))*Impacts!$F$13,0)),0)</f>
        <v>0</v>
      </c>
      <c r="R2596" s="10">
        <f>IFERROR(IF(('Loading-truck'!$C$21)="No control",SUMIF(('Loading-truck'!$B$31:$B$48),$J2596,('Loading-truck'!$D$31:$D$48))*Impacts!$F$14,IF(('Loading-truck'!$C$21)&lt;&gt;"No control",SUMIF(('Loading-truck'!$B$31:$B$48),$J2596,('Loading-truck'!$E$31:$E$48))*Impacts!$F$14,0)),0)</f>
        <v>0</v>
      </c>
      <c r="S2596" s="10">
        <f>IFERROR(IF(('Loading-rail'!$C$21)="No control",SUMIF(('Loading-rail'!$B$31:$B$48),$J2596,('Loading-rail'!$D$31:$D$48))*Impacts!$F$15,IF(('Loading-rail'!$C$21)&lt;&gt;"No control",SUMIF(('Loading-rail'!$B$31:$B$48),$J2596,('Loading-rail'!$E$31:$E$48))*Impacts!$F$15,0)),0)</f>
        <v>0</v>
      </c>
      <c r="T2596" s="10">
        <f>IF(Flare!$C$7="",0,(SUMIF(Flare!$B$46:$B$185,$J2596,Flare!$E$46:$E$185)*Impacts!$F$16))</f>
        <v>0</v>
      </c>
      <c r="U2596" s="10">
        <f>IF(VCU!$C$9="",0,(SUMIF(VCU!$B$51:$B$193,$J2596,VCU!$E$51:$E$193)*Impacts!$F$17))</f>
        <v>0</v>
      </c>
      <c r="V2596" s="10">
        <f>IF(CAS!$C$7="",0,(SUMIF(CAS!$B$31:$B$167,$J2596,CAS!$E$31:$E$167)*Impacts!$F$18))</f>
        <v>0</v>
      </c>
      <c r="W2596" s="10">
        <f t="shared" si="81"/>
        <v>0</v>
      </c>
      <c r="AK2596" s="10" t="str">
        <f t="array" ref="AK2596">IFERROR(INDEX(SelectedSpecies,SMALL(IF(SelectedSpecies=AK$1,ROW(SelectedSpecies)),ROW(2597:2597)),2),"")</f>
        <v/>
      </c>
      <c r="BE2596" s="10"/>
      <c r="BI2596" s="10"/>
    </row>
    <row r="2597" spans="1:61" ht="21" customHeight="1" x14ac:dyDescent="0.25">
      <c r="A2597" s="10"/>
      <c r="B2597" s="10"/>
      <c r="E2597" s="10"/>
      <c r="G2597" s="10"/>
      <c r="I2597" s="436" t="s">
        <v>6028</v>
      </c>
      <c r="J2597" s="26" t="s">
        <v>6027</v>
      </c>
      <c r="K2597" s="10">
        <v>1</v>
      </c>
      <c r="L2597" s="73">
        <f>IF(Tank1!$C$23="No control",(SUMIF(Tank1!$B$32:$B$49,$J2597,Tank1!$C$32:$C$49)*Impacts!$F$8),0)</f>
        <v>0</v>
      </c>
      <c r="M2597" s="10">
        <f>IF(Tank2!$C$23="No control",(SUMIF(Tank2!$B$32:$B$49,$J2597,Tank2!$C$32:$C$49)*Impacts!$F$9),0)</f>
        <v>0</v>
      </c>
      <c r="N2597" s="10">
        <f>IF(Tank3!$C$23="No control",(SUMIF(Tank3!$B$32:$B$49,$J2597,Tank3!$C$32:$C$49)*Impacts!$F$10),0)</f>
        <v>0</v>
      </c>
      <c r="O2597" s="10">
        <f>IF(Tank4!$C$23="No control",(SUMIF(Tank4!$B$32:$B$49,$J2597,Tank4!$C$32:$C$49)*Impacts!$F$11),0)</f>
        <v>0</v>
      </c>
      <c r="P2597" s="10">
        <f>IF(Tank5!$C$23="No control",(SUMIF(Tank5!$B$32:$B$49,$J2597,Tank5!$C$32:$C$49)*Impacts!$F$12),0)</f>
        <v>0</v>
      </c>
      <c r="Q2597" s="10">
        <f>IFERROR(IF(('Loading-drum,tote'!$C$21)="No control",SUMIF(('Loading-drum,tote'!$B$31:$B$48),$J2597,('Loading-drum,tote'!$D$31:$D$48))*Impacts!$F$13,IF(('Loading-drum,tote'!$C$21)&lt;&gt;"No control",SUMIF(('Loading-drum,tote'!$B$31:$B$48),$J2597,('Loading-drum,tote'!$E$31:$E$48))*Impacts!$F$13,0)),0)</f>
        <v>0</v>
      </c>
      <c r="R2597" s="10">
        <f>IFERROR(IF(('Loading-truck'!$C$21)="No control",SUMIF(('Loading-truck'!$B$31:$B$48),$J2597,('Loading-truck'!$D$31:$D$48))*Impacts!$F$14,IF(('Loading-truck'!$C$21)&lt;&gt;"No control",SUMIF(('Loading-truck'!$B$31:$B$48),$J2597,('Loading-truck'!$E$31:$E$48))*Impacts!$F$14,0)),0)</f>
        <v>0</v>
      </c>
      <c r="S2597" s="10">
        <f>IFERROR(IF(('Loading-rail'!$C$21)="No control",SUMIF(('Loading-rail'!$B$31:$B$48),$J2597,('Loading-rail'!$D$31:$D$48))*Impacts!$F$15,IF(('Loading-rail'!$C$21)&lt;&gt;"No control",SUMIF(('Loading-rail'!$B$31:$B$48),$J2597,('Loading-rail'!$E$31:$E$48))*Impacts!$F$15,0)),0)</f>
        <v>0</v>
      </c>
      <c r="T2597" s="10">
        <f>IF(Flare!$C$7="",0,(SUMIF(Flare!$B$46:$B$185,$J2597,Flare!$E$46:$E$185)*Impacts!$F$16))</f>
        <v>0</v>
      </c>
      <c r="U2597" s="10">
        <f>IF(VCU!$C$9="",0,(SUMIF(VCU!$B$51:$B$193,$J2597,VCU!$E$51:$E$193)*Impacts!$F$17))</f>
        <v>0</v>
      </c>
      <c r="V2597" s="10">
        <f>IF(CAS!$C$7="",0,(SUMIF(CAS!$B$31:$B$167,$J2597,CAS!$E$31:$E$167)*Impacts!$F$18))</f>
        <v>0</v>
      </c>
      <c r="W2597" s="10">
        <f t="shared" si="81"/>
        <v>0</v>
      </c>
      <c r="AK2597" s="10" t="str">
        <f t="array" ref="AK2597">IFERROR(INDEX(SelectedSpecies,SMALL(IF(SelectedSpecies=AK$1,ROW(SelectedSpecies)),ROW(2598:2598)),2),"")</f>
        <v/>
      </c>
      <c r="BE2597" s="10"/>
      <c r="BI2597" s="10"/>
    </row>
    <row r="2598" spans="1:61" ht="21" customHeight="1" x14ac:dyDescent="0.25">
      <c r="A2598" s="10"/>
      <c r="B2598" s="10"/>
      <c r="E2598" s="10"/>
      <c r="G2598" s="10"/>
      <c r="I2598" s="436" t="s">
        <v>2999</v>
      </c>
      <c r="J2598" s="26" t="s">
        <v>2998</v>
      </c>
      <c r="K2598" s="10">
        <v>10</v>
      </c>
      <c r="L2598" s="73">
        <f>IF(Tank1!$C$23="No control",(SUMIF(Tank1!$B$32:$B$49,$J2598,Tank1!$C$32:$C$49)*Impacts!$F$8),0)</f>
        <v>0</v>
      </c>
      <c r="M2598" s="10">
        <f>IF(Tank2!$C$23="No control",(SUMIF(Tank2!$B$32:$B$49,$J2598,Tank2!$C$32:$C$49)*Impacts!$F$9),0)</f>
        <v>0</v>
      </c>
      <c r="N2598" s="10">
        <f>IF(Tank3!$C$23="No control",(SUMIF(Tank3!$B$32:$B$49,$J2598,Tank3!$C$32:$C$49)*Impacts!$F$10),0)</f>
        <v>0</v>
      </c>
      <c r="O2598" s="10">
        <f>IF(Tank4!$C$23="No control",(SUMIF(Tank4!$B$32:$B$49,$J2598,Tank4!$C$32:$C$49)*Impacts!$F$11),0)</f>
        <v>0</v>
      </c>
      <c r="P2598" s="10">
        <f>IF(Tank5!$C$23="No control",(SUMIF(Tank5!$B$32:$B$49,$J2598,Tank5!$C$32:$C$49)*Impacts!$F$12),0)</f>
        <v>0</v>
      </c>
      <c r="Q2598" s="10">
        <f>IFERROR(IF(('Loading-drum,tote'!$C$21)="No control",SUMIF(('Loading-drum,tote'!$B$31:$B$48),$J2598,('Loading-drum,tote'!$D$31:$D$48))*Impacts!$F$13,IF(('Loading-drum,tote'!$C$21)&lt;&gt;"No control",SUMIF(('Loading-drum,tote'!$B$31:$B$48),$J2598,('Loading-drum,tote'!$E$31:$E$48))*Impacts!$F$13,0)),0)</f>
        <v>0</v>
      </c>
      <c r="R2598" s="10">
        <f>IFERROR(IF(('Loading-truck'!$C$21)="No control",SUMIF(('Loading-truck'!$B$31:$B$48),$J2598,('Loading-truck'!$D$31:$D$48))*Impacts!$F$14,IF(('Loading-truck'!$C$21)&lt;&gt;"No control",SUMIF(('Loading-truck'!$B$31:$B$48),$J2598,('Loading-truck'!$E$31:$E$48))*Impacts!$F$14,0)),0)</f>
        <v>0</v>
      </c>
      <c r="S2598" s="10">
        <f>IFERROR(IF(('Loading-rail'!$C$21)="No control",SUMIF(('Loading-rail'!$B$31:$B$48),$J2598,('Loading-rail'!$D$31:$D$48))*Impacts!$F$15,IF(('Loading-rail'!$C$21)&lt;&gt;"No control",SUMIF(('Loading-rail'!$B$31:$B$48),$J2598,('Loading-rail'!$E$31:$E$48))*Impacts!$F$15,0)),0)</f>
        <v>0</v>
      </c>
      <c r="T2598" s="10">
        <f>IF(Flare!$C$7="",0,(SUMIF(Flare!$B$46:$B$185,$J2598,Flare!$E$46:$E$185)*Impacts!$F$16))</f>
        <v>0</v>
      </c>
      <c r="U2598" s="10">
        <f>IF(VCU!$C$9="",0,(SUMIF(VCU!$B$51:$B$193,$J2598,VCU!$E$51:$E$193)*Impacts!$F$17))</f>
        <v>0</v>
      </c>
      <c r="V2598" s="10">
        <f>IF(CAS!$C$7="",0,(SUMIF(CAS!$B$31:$B$167,$J2598,CAS!$E$31:$E$167)*Impacts!$F$18))</f>
        <v>0</v>
      </c>
      <c r="W2598" s="10">
        <f t="shared" si="81"/>
        <v>0</v>
      </c>
      <c r="AK2598" s="10" t="str">
        <f t="array" ref="AK2598">IFERROR(INDEX(SelectedSpecies,SMALL(IF(SelectedSpecies=AK$1,ROW(SelectedSpecies)),ROW(2599:2599)),2),"")</f>
        <v/>
      </c>
      <c r="BE2598" s="10"/>
      <c r="BI2598" s="10"/>
    </row>
    <row r="2599" spans="1:61" ht="21" customHeight="1" x14ac:dyDescent="0.25">
      <c r="A2599" s="10"/>
      <c r="B2599" s="10"/>
      <c r="E2599" s="10"/>
      <c r="G2599" s="10"/>
      <c r="I2599" s="436" t="s">
        <v>3001</v>
      </c>
      <c r="J2599" s="26" t="s">
        <v>3000</v>
      </c>
      <c r="K2599" s="10">
        <v>10</v>
      </c>
      <c r="L2599" s="73">
        <f>IF(Tank1!$C$23="No control",(SUMIF(Tank1!$B$32:$B$49,$J2599,Tank1!$C$32:$C$49)*Impacts!$F$8),0)</f>
        <v>0</v>
      </c>
      <c r="M2599" s="10">
        <f>IF(Tank2!$C$23="No control",(SUMIF(Tank2!$B$32:$B$49,$J2599,Tank2!$C$32:$C$49)*Impacts!$F$9),0)</f>
        <v>0</v>
      </c>
      <c r="N2599" s="10">
        <f>IF(Tank3!$C$23="No control",(SUMIF(Tank3!$B$32:$B$49,$J2599,Tank3!$C$32:$C$49)*Impacts!$F$10),0)</f>
        <v>0</v>
      </c>
      <c r="O2599" s="10">
        <f>IF(Tank4!$C$23="No control",(SUMIF(Tank4!$B$32:$B$49,$J2599,Tank4!$C$32:$C$49)*Impacts!$F$11),0)</f>
        <v>0</v>
      </c>
      <c r="P2599" s="10">
        <f>IF(Tank5!$C$23="No control",(SUMIF(Tank5!$B$32:$B$49,$J2599,Tank5!$C$32:$C$49)*Impacts!$F$12),0)</f>
        <v>0</v>
      </c>
      <c r="Q2599" s="10">
        <f>IFERROR(IF(('Loading-drum,tote'!$C$21)="No control",SUMIF(('Loading-drum,tote'!$B$31:$B$48),$J2599,('Loading-drum,tote'!$D$31:$D$48))*Impacts!$F$13,IF(('Loading-drum,tote'!$C$21)&lt;&gt;"No control",SUMIF(('Loading-drum,tote'!$B$31:$B$48),$J2599,('Loading-drum,tote'!$E$31:$E$48))*Impacts!$F$13,0)),0)</f>
        <v>0</v>
      </c>
      <c r="R2599" s="10">
        <f>IFERROR(IF(('Loading-truck'!$C$21)="No control",SUMIF(('Loading-truck'!$B$31:$B$48),$J2599,('Loading-truck'!$D$31:$D$48))*Impacts!$F$14,IF(('Loading-truck'!$C$21)&lt;&gt;"No control",SUMIF(('Loading-truck'!$B$31:$B$48),$J2599,('Loading-truck'!$E$31:$E$48))*Impacts!$F$14,0)),0)</f>
        <v>0</v>
      </c>
      <c r="S2599" s="10">
        <f>IFERROR(IF(('Loading-rail'!$C$21)="No control",SUMIF(('Loading-rail'!$B$31:$B$48),$J2599,('Loading-rail'!$D$31:$D$48))*Impacts!$F$15,IF(('Loading-rail'!$C$21)&lt;&gt;"No control",SUMIF(('Loading-rail'!$B$31:$B$48),$J2599,('Loading-rail'!$E$31:$E$48))*Impacts!$F$15,0)),0)</f>
        <v>0</v>
      </c>
      <c r="T2599" s="10">
        <f>IF(Flare!$C$7="",0,(SUMIF(Flare!$B$46:$B$185,$J2599,Flare!$E$46:$E$185)*Impacts!$F$16))</f>
        <v>0</v>
      </c>
      <c r="U2599" s="10">
        <f>IF(VCU!$C$9="",0,(SUMIF(VCU!$B$51:$B$193,$J2599,VCU!$E$51:$E$193)*Impacts!$F$17))</f>
        <v>0</v>
      </c>
      <c r="V2599" s="10">
        <f>IF(CAS!$C$7="",0,(SUMIF(CAS!$B$31:$B$167,$J2599,CAS!$E$31:$E$167)*Impacts!$F$18))</f>
        <v>0</v>
      </c>
      <c r="W2599" s="10">
        <f t="shared" si="81"/>
        <v>0</v>
      </c>
      <c r="AK2599" s="10" t="str">
        <f t="array" ref="AK2599">IFERROR(INDEX(SelectedSpecies,SMALL(IF(SelectedSpecies=AK$1,ROW(SelectedSpecies)),ROW(2600:2600)),2),"")</f>
        <v/>
      </c>
      <c r="BE2599" s="10"/>
      <c r="BI2599" s="10"/>
    </row>
    <row r="2600" spans="1:61" ht="21" customHeight="1" x14ac:dyDescent="0.25">
      <c r="A2600" s="10"/>
      <c r="B2600" s="10"/>
      <c r="E2600" s="10"/>
      <c r="G2600" s="10"/>
      <c r="I2600" s="436" t="s">
        <v>6030</v>
      </c>
      <c r="J2600" s="26" t="s">
        <v>6029</v>
      </c>
      <c r="K2600" s="10">
        <v>1</v>
      </c>
      <c r="L2600" s="73">
        <f>IF(Tank1!$C$23="No control",(SUMIF(Tank1!$B$32:$B$49,$J2600,Tank1!$C$32:$C$49)*Impacts!$F$8),0)</f>
        <v>0</v>
      </c>
      <c r="M2600" s="10">
        <f>IF(Tank2!$C$23="No control",(SUMIF(Tank2!$B$32:$B$49,$J2600,Tank2!$C$32:$C$49)*Impacts!$F$9),0)</f>
        <v>0</v>
      </c>
      <c r="N2600" s="10">
        <f>IF(Tank3!$C$23="No control",(SUMIF(Tank3!$B$32:$B$49,$J2600,Tank3!$C$32:$C$49)*Impacts!$F$10),0)</f>
        <v>0</v>
      </c>
      <c r="O2600" s="10">
        <f>IF(Tank4!$C$23="No control",(SUMIF(Tank4!$B$32:$B$49,$J2600,Tank4!$C$32:$C$49)*Impacts!$F$11),0)</f>
        <v>0</v>
      </c>
      <c r="P2600" s="10">
        <f>IF(Tank5!$C$23="No control",(SUMIF(Tank5!$B$32:$B$49,$J2600,Tank5!$C$32:$C$49)*Impacts!$F$12),0)</f>
        <v>0</v>
      </c>
      <c r="Q2600" s="10">
        <f>IFERROR(IF(('Loading-drum,tote'!$C$21)="No control",SUMIF(('Loading-drum,tote'!$B$31:$B$48),$J2600,('Loading-drum,tote'!$D$31:$D$48))*Impacts!$F$13,IF(('Loading-drum,tote'!$C$21)&lt;&gt;"No control",SUMIF(('Loading-drum,tote'!$B$31:$B$48),$J2600,('Loading-drum,tote'!$E$31:$E$48))*Impacts!$F$13,0)),0)</f>
        <v>0</v>
      </c>
      <c r="R2600" s="10">
        <f>IFERROR(IF(('Loading-truck'!$C$21)="No control",SUMIF(('Loading-truck'!$B$31:$B$48),$J2600,('Loading-truck'!$D$31:$D$48))*Impacts!$F$14,IF(('Loading-truck'!$C$21)&lt;&gt;"No control",SUMIF(('Loading-truck'!$B$31:$B$48),$J2600,('Loading-truck'!$E$31:$E$48))*Impacts!$F$14,0)),0)</f>
        <v>0</v>
      </c>
      <c r="S2600" s="10">
        <f>IFERROR(IF(('Loading-rail'!$C$21)="No control",SUMIF(('Loading-rail'!$B$31:$B$48),$J2600,('Loading-rail'!$D$31:$D$48))*Impacts!$F$15,IF(('Loading-rail'!$C$21)&lt;&gt;"No control",SUMIF(('Loading-rail'!$B$31:$B$48),$J2600,('Loading-rail'!$E$31:$E$48))*Impacts!$F$15,0)),0)</f>
        <v>0</v>
      </c>
      <c r="T2600" s="10">
        <f>IF(Flare!$C$7="",0,(SUMIF(Flare!$B$46:$B$185,$J2600,Flare!$E$46:$E$185)*Impacts!$F$16))</f>
        <v>0</v>
      </c>
      <c r="U2600" s="10">
        <f>IF(VCU!$C$9="",0,(SUMIF(VCU!$B$51:$B$193,$J2600,VCU!$E$51:$E$193)*Impacts!$F$17))</f>
        <v>0</v>
      </c>
      <c r="V2600" s="10">
        <f>IF(CAS!$C$7="",0,(SUMIF(CAS!$B$31:$B$167,$J2600,CAS!$E$31:$E$167)*Impacts!$F$18))</f>
        <v>0</v>
      </c>
      <c r="W2600" s="10">
        <f t="shared" si="81"/>
        <v>0</v>
      </c>
      <c r="AK2600" s="10" t="str">
        <f t="array" ref="AK2600">IFERROR(INDEX(SelectedSpecies,SMALL(IF(SelectedSpecies=AK$1,ROW(SelectedSpecies)),ROW(2601:2601)),2),"")</f>
        <v/>
      </c>
      <c r="BE2600" s="10"/>
      <c r="BI2600" s="10"/>
    </row>
    <row r="2601" spans="1:61" ht="21" customHeight="1" x14ac:dyDescent="0.25">
      <c r="A2601" s="10"/>
      <c r="B2601" s="10"/>
      <c r="E2601" s="10"/>
      <c r="G2601" s="10"/>
      <c r="I2601" s="436" t="s">
        <v>8186</v>
      </c>
      <c r="J2601" s="26" t="s">
        <v>8185</v>
      </c>
      <c r="K2601" s="10">
        <v>1.0000000000000002E-2</v>
      </c>
      <c r="L2601" s="73">
        <f>IF(Tank1!$C$23="No control",(SUMIF(Tank1!$B$32:$B$49,$J2601,Tank1!$C$32:$C$49)*Impacts!$F$8),0)</f>
        <v>0</v>
      </c>
      <c r="M2601" s="10">
        <f>IF(Tank2!$C$23="No control",(SUMIF(Tank2!$B$32:$B$49,$J2601,Tank2!$C$32:$C$49)*Impacts!$F$9),0)</f>
        <v>0</v>
      </c>
      <c r="N2601" s="10">
        <f>IF(Tank3!$C$23="No control",(SUMIF(Tank3!$B$32:$B$49,$J2601,Tank3!$C$32:$C$49)*Impacts!$F$10),0)</f>
        <v>0</v>
      </c>
      <c r="O2601" s="10">
        <f>IF(Tank4!$C$23="No control",(SUMIF(Tank4!$B$32:$B$49,$J2601,Tank4!$C$32:$C$49)*Impacts!$F$11),0)</f>
        <v>0</v>
      </c>
      <c r="P2601" s="10">
        <f>IF(Tank5!$C$23="No control",(SUMIF(Tank5!$B$32:$B$49,$J2601,Tank5!$C$32:$C$49)*Impacts!$F$12),0)</f>
        <v>0</v>
      </c>
      <c r="Q2601" s="10">
        <f>IFERROR(IF(('Loading-drum,tote'!$C$21)="No control",SUMIF(('Loading-drum,tote'!$B$31:$B$48),$J2601,('Loading-drum,tote'!$D$31:$D$48))*Impacts!$F$13,IF(('Loading-drum,tote'!$C$21)&lt;&gt;"No control",SUMIF(('Loading-drum,tote'!$B$31:$B$48),$J2601,('Loading-drum,tote'!$E$31:$E$48))*Impacts!$F$13,0)),0)</f>
        <v>0</v>
      </c>
      <c r="R2601" s="10">
        <f>IFERROR(IF(('Loading-truck'!$C$21)="No control",SUMIF(('Loading-truck'!$B$31:$B$48),$J2601,('Loading-truck'!$D$31:$D$48))*Impacts!$F$14,IF(('Loading-truck'!$C$21)&lt;&gt;"No control",SUMIF(('Loading-truck'!$B$31:$B$48),$J2601,('Loading-truck'!$E$31:$E$48))*Impacts!$F$14,0)),0)</f>
        <v>0</v>
      </c>
      <c r="S2601" s="10">
        <f>IFERROR(IF(('Loading-rail'!$C$21)="No control",SUMIF(('Loading-rail'!$B$31:$B$48),$J2601,('Loading-rail'!$D$31:$D$48))*Impacts!$F$15,IF(('Loading-rail'!$C$21)&lt;&gt;"No control",SUMIF(('Loading-rail'!$B$31:$B$48),$J2601,('Loading-rail'!$E$31:$E$48))*Impacts!$F$15,0)),0)</f>
        <v>0</v>
      </c>
      <c r="T2601" s="10">
        <f>IF(Flare!$C$7="",0,(SUMIF(Flare!$B$46:$B$185,$J2601,Flare!$E$46:$E$185)*Impacts!$F$16))</f>
        <v>0</v>
      </c>
      <c r="U2601" s="10">
        <f>IF(VCU!$C$9="",0,(SUMIF(VCU!$B$51:$B$193,$J2601,VCU!$E$51:$E$193)*Impacts!$F$17))</f>
        <v>0</v>
      </c>
      <c r="V2601" s="10">
        <f>IF(CAS!$C$7="",0,(SUMIF(CAS!$B$31:$B$167,$J2601,CAS!$E$31:$E$167)*Impacts!$F$18))</f>
        <v>0</v>
      </c>
      <c r="W2601" s="10">
        <f t="shared" si="81"/>
        <v>0</v>
      </c>
      <c r="AK2601" s="10" t="str">
        <f t="array" ref="AK2601">IFERROR(INDEX(SelectedSpecies,SMALL(IF(SelectedSpecies=AK$1,ROW(SelectedSpecies)),ROW(2602:2602)),2),"")</f>
        <v/>
      </c>
      <c r="BE2601" s="10"/>
      <c r="BI2601" s="10"/>
    </row>
    <row r="2602" spans="1:61" ht="21" customHeight="1" x14ac:dyDescent="0.25">
      <c r="A2602" s="10"/>
      <c r="B2602" s="10"/>
      <c r="E2602" s="10"/>
      <c r="G2602" s="10"/>
      <c r="I2602" s="436" t="s">
        <v>4731</v>
      </c>
      <c r="J2602" s="26" t="s">
        <v>4730</v>
      </c>
      <c r="K2602" s="10">
        <v>3.5</v>
      </c>
      <c r="L2602" s="73">
        <f>IF(Tank1!$C$23="No control",(SUMIF(Tank1!$B$32:$B$49,$J2602,Tank1!$C$32:$C$49)*Impacts!$F$8),0)</f>
        <v>0</v>
      </c>
      <c r="M2602" s="10">
        <f>IF(Tank2!$C$23="No control",(SUMIF(Tank2!$B$32:$B$49,$J2602,Tank2!$C$32:$C$49)*Impacts!$F$9),0)</f>
        <v>0</v>
      </c>
      <c r="N2602" s="10">
        <f>IF(Tank3!$C$23="No control",(SUMIF(Tank3!$B$32:$B$49,$J2602,Tank3!$C$32:$C$49)*Impacts!$F$10),0)</f>
        <v>0</v>
      </c>
      <c r="O2602" s="10">
        <f>IF(Tank4!$C$23="No control",(SUMIF(Tank4!$B$32:$B$49,$J2602,Tank4!$C$32:$C$49)*Impacts!$F$11),0)</f>
        <v>0</v>
      </c>
      <c r="P2602" s="10">
        <f>IF(Tank5!$C$23="No control",(SUMIF(Tank5!$B$32:$B$49,$J2602,Tank5!$C$32:$C$49)*Impacts!$F$12),0)</f>
        <v>0</v>
      </c>
      <c r="Q2602" s="10">
        <f>IFERROR(IF(('Loading-drum,tote'!$C$21)="No control",SUMIF(('Loading-drum,tote'!$B$31:$B$48),$J2602,('Loading-drum,tote'!$D$31:$D$48))*Impacts!$F$13,IF(('Loading-drum,tote'!$C$21)&lt;&gt;"No control",SUMIF(('Loading-drum,tote'!$B$31:$B$48),$J2602,('Loading-drum,tote'!$E$31:$E$48))*Impacts!$F$13,0)),0)</f>
        <v>0</v>
      </c>
      <c r="R2602" s="10">
        <f>IFERROR(IF(('Loading-truck'!$C$21)="No control",SUMIF(('Loading-truck'!$B$31:$B$48),$J2602,('Loading-truck'!$D$31:$D$48))*Impacts!$F$14,IF(('Loading-truck'!$C$21)&lt;&gt;"No control",SUMIF(('Loading-truck'!$B$31:$B$48),$J2602,('Loading-truck'!$E$31:$E$48))*Impacts!$F$14,0)),0)</f>
        <v>0</v>
      </c>
      <c r="S2602" s="10">
        <f>IFERROR(IF(('Loading-rail'!$C$21)="No control",SUMIF(('Loading-rail'!$B$31:$B$48),$J2602,('Loading-rail'!$D$31:$D$48))*Impacts!$F$15,IF(('Loading-rail'!$C$21)&lt;&gt;"No control",SUMIF(('Loading-rail'!$B$31:$B$48),$J2602,('Loading-rail'!$E$31:$E$48))*Impacts!$F$15,0)),0)</f>
        <v>0</v>
      </c>
      <c r="T2602" s="10">
        <f>IF(Flare!$C$7="",0,(SUMIF(Flare!$B$46:$B$185,$J2602,Flare!$E$46:$E$185)*Impacts!$F$16))</f>
        <v>0</v>
      </c>
      <c r="U2602" s="10">
        <f>IF(VCU!$C$9="",0,(SUMIF(VCU!$B$51:$B$193,$J2602,VCU!$E$51:$E$193)*Impacts!$F$17))</f>
        <v>0</v>
      </c>
      <c r="V2602" s="10">
        <f>IF(CAS!$C$7="",0,(SUMIF(CAS!$B$31:$B$167,$J2602,CAS!$E$31:$E$167)*Impacts!$F$18))</f>
        <v>0</v>
      </c>
      <c r="W2602" s="10">
        <f t="shared" si="81"/>
        <v>0</v>
      </c>
      <c r="AK2602" s="10" t="str">
        <f t="array" ref="AK2602">IFERROR(INDEX(SelectedSpecies,SMALL(IF(SelectedSpecies=AK$1,ROW(SelectedSpecies)),ROW(2603:2603)),2),"")</f>
        <v/>
      </c>
      <c r="BE2602" s="10"/>
      <c r="BI2602" s="10"/>
    </row>
    <row r="2603" spans="1:61" ht="21" customHeight="1" x14ac:dyDescent="0.25">
      <c r="A2603" s="10"/>
      <c r="B2603" s="10"/>
      <c r="E2603" s="10"/>
      <c r="G2603" s="10"/>
      <c r="I2603" s="436" t="s">
        <v>4775</v>
      </c>
      <c r="J2603" s="26" t="s">
        <v>4774</v>
      </c>
      <c r="K2603" s="10">
        <v>3.4000000000000004</v>
      </c>
      <c r="L2603" s="73">
        <f>IF(Tank1!$C$23="No control",(SUMIF(Tank1!$B$32:$B$49,$J2603,Tank1!$C$32:$C$49)*Impacts!$F$8),0)</f>
        <v>0</v>
      </c>
      <c r="M2603" s="10">
        <f>IF(Tank2!$C$23="No control",(SUMIF(Tank2!$B$32:$B$49,$J2603,Tank2!$C$32:$C$49)*Impacts!$F$9),0)</f>
        <v>0</v>
      </c>
      <c r="N2603" s="10">
        <f>IF(Tank3!$C$23="No control",(SUMIF(Tank3!$B$32:$B$49,$J2603,Tank3!$C$32:$C$49)*Impacts!$F$10),0)</f>
        <v>0</v>
      </c>
      <c r="O2603" s="10">
        <f>IF(Tank4!$C$23="No control",(SUMIF(Tank4!$B$32:$B$49,$J2603,Tank4!$C$32:$C$49)*Impacts!$F$11),0)</f>
        <v>0</v>
      </c>
      <c r="P2603" s="10">
        <f>IF(Tank5!$C$23="No control",(SUMIF(Tank5!$B$32:$B$49,$J2603,Tank5!$C$32:$C$49)*Impacts!$F$12),0)</f>
        <v>0</v>
      </c>
      <c r="Q2603" s="10">
        <f>IFERROR(IF(('Loading-drum,tote'!$C$21)="No control",SUMIF(('Loading-drum,tote'!$B$31:$B$48),$J2603,('Loading-drum,tote'!$D$31:$D$48))*Impacts!$F$13,IF(('Loading-drum,tote'!$C$21)&lt;&gt;"No control",SUMIF(('Loading-drum,tote'!$B$31:$B$48),$J2603,('Loading-drum,tote'!$E$31:$E$48))*Impacts!$F$13,0)),0)</f>
        <v>0</v>
      </c>
      <c r="R2603" s="10">
        <f>IFERROR(IF(('Loading-truck'!$C$21)="No control",SUMIF(('Loading-truck'!$B$31:$B$48),$J2603,('Loading-truck'!$D$31:$D$48))*Impacts!$F$14,IF(('Loading-truck'!$C$21)&lt;&gt;"No control",SUMIF(('Loading-truck'!$B$31:$B$48),$J2603,('Loading-truck'!$E$31:$E$48))*Impacts!$F$14,0)),0)</f>
        <v>0</v>
      </c>
      <c r="S2603" s="10">
        <f>IFERROR(IF(('Loading-rail'!$C$21)="No control",SUMIF(('Loading-rail'!$B$31:$B$48),$J2603,('Loading-rail'!$D$31:$D$48))*Impacts!$F$15,IF(('Loading-rail'!$C$21)&lt;&gt;"No control",SUMIF(('Loading-rail'!$B$31:$B$48),$J2603,('Loading-rail'!$E$31:$E$48))*Impacts!$F$15,0)),0)</f>
        <v>0</v>
      </c>
      <c r="T2603" s="10">
        <f>IF(Flare!$C$7="",0,(SUMIF(Flare!$B$46:$B$185,$J2603,Flare!$E$46:$E$185)*Impacts!$F$16))</f>
        <v>0</v>
      </c>
      <c r="U2603" s="10">
        <f>IF(VCU!$C$9="",0,(SUMIF(VCU!$B$51:$B$193,$J2603,VCU!$E$51:$E$193)*Impacts!$F$17))</f>
        <v>0</v>
      </c>
      <c r="V2603" s="10">
        <f>IF(CAS!$C$7="",0,(SUMIF(CAS!$B$31:$B$167,$J2603,CAS!$E$31:$E$167)*Impacts!$F$18))</f>
        <v>0</v>
      </c>
      <c r="W2603" s="10">
        <f t="shared" si="81"/>
        <v>0</v>
      </c>
      <c r="AK2603" s="10" t="str">
        <f t="array" ref="AK2603">IFERROR(INDEX(SelectedSpecies,SMALL(IF(SelectedSpecies=AK$1,ROW(SelectedSpecies)),ROW(2604:2604)),2),"")</f>
        <v/>
      </c>
      <c r="BE2603" s="10"/>
      <c r="BI2603" s="10"/>
    </row>
    <row r="2604" spans="1:61" ht="21" customHeight="1" x14ac:dyDescent="0.25">
      <c r="A2604" s="10"/>
      <c r="B2604" s="10"/>
      <c r="E2604" s="10"/>
      <c r="G2604" s="10"/>
      <c r="I2604" s="436" t="s">
        <v>2535</v>
      </c>
      <c r="J2604" s="26" t="s">
        <v>2534</v>
      </c>
      <c r="K2604" s="10">
        <v>10</v>
      </c>
      <c r="L2604" s="73">
        <f>IF(Tank1!$C$23="No control",(SUMIF(Tank1!$B$32:$B$49,$J2604,Tank1!$C$32:$C$49)*Impacts!$F$8),0)</f>
        <v>0</v>
      </c>
      <c r="M2604" s="10">
        <f>IF(Tank2!$C$23="No control",(SUMIF(Tank2!$B$32:$B$49,$J2604,Tank2!$C$32:$C$49)*Impacts!$F$9),0)</f>
        <v>0</v>
      </c>
      <c r="N2604" s="10">
        <f>IF(Tank3!$C$23="No control",(SUMIF(Tank3!$B$32:$B$49,$J2604,Tank3!$C$32:$C$49)*Impacts!$F$10),0)</f>
        <v>0</v>
      </c>
      <c r="O2604" s="10">
        <f>IF(Tank4!$C$23="No control",(SUMIF(Tank4!$B$32:$B$49,$J2604,Tank4!$C$32:$C$49)*Impacts!$F$11),0)</f>
        <v>0</v>
      </c>
      <c r="P2604" s="10">
        <f>IF(Tank5!$C$23="No control",(SUMIF(Tank5!$B$32:$B$49,$J2604,Tank5!$C$32:$C$49)*Impacts!$F$12),0)</f>
        <v>0</v>
      </c>
      <c r="Q2604" s="10">
        <f>IFERROR(IF(('Loading-drum,tote'!$C$21)="No control",SUMIF(('Loading-drum,tote'!$B$31:$B$48),$J2604,('Loading-drum,tote'!$D$31:$D$48))*Impacts!$F$13,IF(('Loading-drum,tote'!$C$21)&lt;&gt;"No control",SUMIF(('Loading-drum,tote'!$B$31:$B$48),$J2604,('Loading-drum,tote'!$E$31:$E$48))*Impacts!$F$13,0)),0)</f>
        <v>0</v>
      </c>
      <c r="R2604" s="10">
        <f>IFERROR(IF(('Loading-truck'!$C$21)="No control",SUMIF(('Loading-truck'!$B$31:$B$48),$J2604,('Loading-truck'!$D$31:$D$48))*Impacts!$F$14,IF(('Loading-truck'!$C$21)&lt;&gt;"No control",SUMIF(('Loading-truck'!$B$31:$B$48),$J2604,('Loading-truck'!$E$31:$E$48))*Impacts!$F$14,0)),0)</f>
        <v>0</v>
      </c>
      <c r="S2604" s="10">
        <f>IFERROR(IF(('Loading-rail'!$C$21)="No control",SUMIF(('Loading-rail'!$B$31:$B$48),$J2604,('Loading-rail'!$D$31:$D$48))*Impacts!$F$15,IF(('Loading-rail'!$C$21)&lt;&gt;"No control",SUMIF(('Loading-rail'!$B$31:$B$48),$J2604,('Loading-rail'!$E$31:$E$48))*Impacts!$F$15,0)),0)</f>
        <v>0</v>
      </c>
      <c r="T2604" s="10">
        <f>IF(Flare!$C$7="",0,(SUMIF(Flare!$B$46:$B$185,$J2604,Flare!$E$46:$E$185)*Impacts!$F$16))</f>
        <v>0</v>
      </c>
      <c r="U2604" s="10">
        <f>IF(VCU!$C$9="",0,(SUMIF(VCU!$B$51:$B$193,$J2604,VCU!$E$51:$E$193)*Impacts!$F$17))</f>
        <v>0</v>
      </c>
      <c r="V2604" s="10">
        <f>IF(CAS!$C$7="",0,(SUMIF(CAS!$B$31:$B$167,$J2604,CAS!$E$31:$E$167)*Impacts!$F$18))</f>
        <v>0</v>
      </c>
      <c r="W2604" s="10">
        <f t="shared" si="81"/>
        <v>0</v>
      </c>
      <c r="AK2604" s="10" t="str">
        <f t="array" ref="AK2604">IFERROR(INDEX(SelectedSpecies,SMALL(IF(SelectedSpecies=AK$1,ROW(SelectedSpecies)),ROW(2605:2605)),2),"")</f>
        <v/>
      </c>
      <c r="BE2604" s="10"/>
      <c r="BI2604" s="10"/>
    </row>
    <row r="2605" spans="1:61" ht="21" customHeight="1" x14ac:dyDescent="0.25">
      <c r="A2605" s="10"/>
      <c r="B2605" s="10"/>
      <c r="E2605" s="10"/>
      <c r="G2605" s="10"/>
      <c r="I2605" s="436" t="s">
        <v>5027</v>
      </c>
      <c r="J2605" s="26" t="s">
        <v>5026</v>
      </c>
      <c r="K2605" s="10">
        <v>2.4000000000000004</v>
      </c>
      <c r="L2605" s="73">
        <f>IF(Tank1!$C$23="No control",(SUMIF(Tank1!$B$32:$B$49,$J2605,Tank1!$C$32:$C$49)*Impacts!$F$8),0)</f>
        <v>0</v>
      </c>
      <c r="M2605" s="10">
        <f>IF(Tank2!$C$23="No control",(SUMIF(Tank2!$B$32:$B$49,$J2605,Tank2!$C$32:$C$49)*Impacts!$F$9),0)</f>
        <v>0</v>
      </c>
      <c r="N2605" s="10">
        <f>IF(Tank3!$C$23="No control",(SUMIF(Tank3!$B$32:$B$49,$J2605,Tank3!$C$32:$C$49)*Impacts!$F$10),0)</f>
        <v>0</v>
      </c>
      <c r="O2605" s="10">
        <f>IF(Tank4!$C$23="No control",(SUMIF(Tank4!$B$32:$B$49,$J2605,Tank4!$C$32:$C$49)*Impacts!$F$11),0)</f>
        <v>0</v>
      </c>
      <c r="P2605" s="10">
        <f>IF(Tank5!$C$23="No control",(SUMIF(Tank5!$B$32:$B$49,$J2605,Tank5!$C$32:$C$49)*Impacts!$F$12),0)</f>
        <v>0</v>
      </c>
      <c r="Q2605" s="10">
        <f>IFERROR(IF(('Loading-drum,tote'!$C$21)="No control",SUMIF(('Loading-drum,tote'!$B$31:$B$48),$J2605,('Loading-drum,tote'!$D$31:$D$48))*Impacts!$F$13,IF(('Loading-drum,tote'!$C$21)&lt;&gt;"No control",SUMIF(('Loading-drum,tote'!$B$31:$B$48),$J2605,('Loading-drum,tote'!$E$31:$E$48))*Impacts!$F$13,0)),0)</f>
        <v>0</v>
      </c>
      <c r="R2605" s="10">
        <f>IFERROR(IF(('Loading-truck'!$C$21)="No control",SUMIF(('Loading-truck'!$B$31:$B$48),$J2605,('Loading-truck'!$D$31:$D$48))*Impacts!$F$14,IF(('Loading-truck'!$C$21)&lt;&gt;"No control",SUMIF(('Loading-truck'!$B$31:$B$48),$J2605,('Loading-truck'!$E$31:$E$48))*Impacts!$F$14,0)),0)</f>
        <v>0</v>
      </c>
      <c r="S2605" s="10">
        <f>IFERROR(IF(('Loading-rail'!$C$21)="No control",SUMIF(('Loading-rail'!$B$31:$B$48),$J2605,('Loading-rail'!$D$31:$D$48))*Impacts!$F$15,IF(('Loading-rail'!$C$21)&lt;&gt;"No control",SUMIF(('Loading-rail'!$B$31:$B$48),$J2605,('Loading-rail'!$E$31:$E$48))*Impacts!$F$15,0)),0)</f>
        <v>0</v>
      </c>
      <c r="T2605" s="10">
        <f>IF(Flare!$C$7="",0,(SUMIF(Flare!$B$46:$B$185,$J2605,Flare!$E$46:$E$185)*Impacts!$F$16))</f>
        <v>0</v>
      </c>
      <c r="U2605" s="10">
        <f>IF(VCU!$C$9="",0,(SUMIF(VCU!$B$51:$B$193,$J2605,VCU!$E$51:$E$193)*Impacts!$F$17))</f>
        <v>0</v>
      </c>
      <c r="V2605" s="10">
        <f>IF(CAS!$C$7="",0,(SUMIF(CAS!$B$31:$B$167,$J2605,CAS!$E$31:$E$167)*Impacts!$F$18))</f>
        <v>0</v>
      </c>
      <c r="W2605" s="10">
        <f t="shared" si="81"/>
        <v>0</v>
      </c>
      <c r="AK2605" s="10" t="str">
        <f t="array" ref="AK2605">IFERROR(INDEX(SelectedSpecies,SMALL(IF(SelectedSpecies=AK$1,ROW(SelectedSpecies)),ROW(2606:2606)),2),"")</f>
        <v/>
      </c>
      <c r="BE2605" s="10"/>
      <c r="BI2605" s="10"/>
    </row>
    <row r="2606" spans="1:61" ht="21" customHeight="1" x14ac:dyDescent="0.25">
      <c r="A2606" s="10"/>
      <c r="B2606" s="10"/>
      <c r="E2606" s="10"/>
      <c r="G2606" s="10"/>
      <c r="I2606" s="436" t="s">
        <v>1805</v>
      </c>
      <c r="J2606" s="26" t="s">
        <v>1804</v>
      </c>
      <c r="K2606" s="10">
        <v>22</v>
      </c>
      <c r="L2606" s="73">
        <f>IF(Tank1!$C$23="No control",(SUMIF(Tank1!$B$32:$B$49,$J2606,Tank1!$C$32:$C$49)*Impacts!$F$8),0)</f>
        <v>0</v>
      </c>
      <c r="M2606" s="10">
        <f>IF(Tank2!$C$23="No control",(SUMIF(Tank2!$B$32:$B$49,$J2606,Tank2!$C$32:$C$49)*Impacts!$F$9),0)</f>
        <v>0</v>
      </c>
      <c r="N2606" s="10">
        <f>IF(Tank3!$C$23="No control",(SUMIF(Tank3!$B$32:$B$49,$J2606,Tank3!$C$32:$C$49)*Impacts!$F$10),0)</f>
        <v>0</v>
      </c>
      <c r="O2606" s="10">
        <f>IF(Tank4!$C$23="No control",(SUMIF(Tank4!$B$32:$B$49,$J2606,Tank4!$C$32:$C$49)*Impacts!$F$11),0)</f>
        <v>0</v>
      </c>
      <c r="P2606" s="10">
        <f>IF(Tank5!$C$23="No control",(SUMIF(Tank5!$B$32:$B$49,$J2606,Tank5!$C$32:$C$49)*Impacts!$F$12),0)</f>
        <v>0</v>
      </c>
      <c r="Q2606" s="10">
        <f>IFERROR(IF(('Loading-drum,tote'!$C$21)="No control",SUMIF(('Loading-drum,tote'!$B$31:$B$48),$J2606,('Loading-drum,tote'!$D$31:$D$48))*Impacts!$F$13,IF(('Loading-drum,tote'!$C$21)&lt;&gt;"No control",SUMIF(('Loading-drum,tote'!$B$31:$B$48),$J2606,('Loading-drum,tote'!$E$31:$E$48))*Impacts!$F$13,0)),0)</f>
        <v>0</v>
      </c>
      <c r="R2606" s="10">
        <f>IFERROR(IF(('Loading-truck'!$C$21)="No control",SUMIF(('Loading-truck'!$B$31:$B$48),$J2606,('Loading-truck'!$D$31:$D$48))*Impacts!$F$14,IF(('Loading-truck'!$C$21)&lt;&gt;"No control",SUMIF(('Loading-truck'!$B$31:$B$48),$J2606,('Loading-truck'!$E$31:$E$48))*Impacts!$F$14,0)),0)</f>
        <v>0</v>
      </c>
      <c r="S2606" s="10">
        <f>IFERROR(IF(('Loading-rail'!$C$21)="No control",SUMIF(('Loading-rail'!$B$31:$B$48),$J2606,('Loading-rail'!$D$31:$D$48))*Impacts!$F$15,IF(('Loading-rail'!$C$21)&lt;&gt;"No control",SUMIF(('Loading-rail'!$B$31:$B$48),$J2606,('Loading-rail'!$E$31:$E$48))*Impacts!$F$15,0)),0)</f>
        <v>0</v>
      </c>
      <c r="T2606" s="10">
        <f>IF(Flare!$C$7="",0,(SUMIF(Flare!$B$46:$B$185,$J2606,Flare!$E$46:$E$185)*Impacts!$F$16))</f>
        <v>0</v>
      </c>
      <c r="U2606" s="10">
        <f>IF(VCU!$C$9="",0,(SUMIF(VCU!$B$51:$B$193,$J2606,VCU!$E$51:$E$193)*Impacts!$F$17))</f>
        <v>0</v>
      </c>
      <c r="V2606" s="10">
        <f>IF(CAS!$C$7="",0,(SUMIF(CAS!$B$31:$B$167,$J2606,CAS!$E$31:$E$167)*Impacts!$F$18))</f>
        <v>0</v>
      </c>
      <c r="W2606" s="10">
        <f t="shared" si="81"/>
        <v>0</v>
      </c>
      <c r="AK2606" s="10" t="str">
        <f t="array" ref="AK2606">IFERROR(INDEX(SelectedSpecies,SMALL(IF(SelectedSpecies=AK$1,ROW(SelectedSpecies)),ROW(2607:2607)),2),"")</f>
        <v/>
      </c>
      <c r="BE2606" s="10"/>
      <c r="BI2606" s="10"/>
    </row>
    <row r="2607" spans="1:61" ht="21" customHeight="1" x14ac:dyDescent="0.25">
      <c r="A2607" s="10"/>
      <c r="B2607" s="10"/>
      <c r="E2607" s="10"/>
      <c r="G2607" s="10"/>
      <c r="I2607" s="436" t="s">
        <v>2537</v>
      </c>
      <c r="J2607" s="26" t="s">
        <v>2536</v>
      </c>
      <c r="K2607" s="10">
        <v>10</v>
      </c>
      <c r="L2607" s="73">
        <f>IF(Tank1!$C$23="No control",(SUMIF(Tank1!$B$32:$B$49,$J2607,Tank1!$C$32:$C$49)*Impacts!$F$8),0)</f>
        <v>0</v>
      </c>
      <c r="M2607" s="10">
        <f>IF(Tank2!$C$23="No control",(SUMIF(Tank2!$B$32:$B$49,$J2607,Tank2!$C$32:$C$49)*Impacts!$F$9),0)</f>
        <v>0</v>
      </c>
      <c r="N2607" s="10">
        <f>IF(Tank3!$C$23="No control",(SUMIF(Tank3!$B$32:$B$49,$J2607,Tank3!$C$32:$C$49)*Impacts!$F$10),0)</f>
        <v>0</v>
      </c>
      <c r="O2607" s="10">
        <f>IF(Tank4!$C$23="No control",(SUMIF(Tank4!$B$32:$B$49,$J2607,Tank4!$C$32:$C$49)*Impacts!$F$11),0)</f>
        <v>0</v>
      </c>
      <c r="P2607" s="10">
        <f>IF(Tank5!$C$23="No control",(SUMIF(Tank5!$B$32:$B$49,$J2607,Tank5!$C$32:$C$49)*Impacts!$F$12),0)</f>
        <v>0</v>
      </c>
      <c r="Q2607" s="10">
        <f>IFERROR(IF(('Loading-drum,tote'!$C$21)="No control",SUMIF(('Loading-drum,tote'!$B$31:$B$48),$J2607,('Loading-drum,tote'!$D$31:$D$48))*Impacts!$F$13,IF(('Loading-drum,tote'!$C$21)&lt;&gt;"No control",SUMIF(('Loading-drum,tote'!$B$31:$B$48),$J2607,('Loading-drum,tote'!$E$31:$E$48))*Impacts!$F$13,0)),0)</f>
        <v>0</v>
      </c>
      <c r="R2607" s="10">
        <f>IFERROR(IF(('Loading-truck'!$C$21)="No control",SUMIF(('Loading-truck'!$B$31:$B$48),$J2607,('Loading-truck'!$D$31:$D$48))*Impacts!$F$14,IF(('Loading-truck'!$C$21)&lt;&gt;"No control",SUMIF(('Loading-truck'!$B$31:$B$48),$J2607,('Loading-truck'!$E$31:$E$48))*Impacts!$F$14,0)),0)</f>
        <v>0</v>
      </c>
      <c r="S2607" s="10">
        <f>IFERROR(IF(('Loading-rail'!$C$21)="No control",SUMIF(('Loading-rail'!$B$31:$B$48),$J2607,('Loading-rail'!$D$31:$D$48))*Impacts!$F$15,IF(('Loading-rail'!$C$21)&lt;&gt;"No control",SUMIF(('Loading-rail'!$B$31:$B$48),$J2607,('Loading-rail'!$E$31:$E$48))*Impacts!$F$15,0)),0)</f>
        <v>0</v>
      </c>
      <c r="T2607" s="10">
        <f>IF(Flare!$C$7="",0,(SUMIF(Flare!$B$46:$B$185,$J2607,Flare!$E$46:$E$185)*Impacts!$F$16))</f>
        <v>0</v>
      </c>
      <c r="U2607" s="10">
        <f>IF(VCU!$C$9="",0,(SUMIF(VCU!$B$51:$B$193,$J2607,VCU!$E$51:$E$193)*Impacts!$F$17))</f>
        <v>0</v>
      </c>
      <c r="V2607" s="10">
        <f>IF(CAS!$C$7="",0,(SUMIF(CAS!$B$31:$B$167,$J2607,CAS!$E$31:$E$167)*Impacts!$F$18))</f>
        <v>0</v>
      </c>
      <c r="W2607" s="10">
        <f t="shared" si="81"/>
        <v>0</v>
      </c>
      <c r="AK2607" s="10" t="str">
        <f t="array" ref="AK2607">IFERROR(INDEX(SelectedSpecies,SMALL(IF(SelectedSpecies=AK$1,ROW(SelectedSpecies)),ROW(2608:2608)),2),"")</f>
        <v/>
      </c>
      <c r="BE2607" s="10"/>
      <c r="BI2607" s="10"/>
    </row>
    <row r="2608" spans="1:61" ht="21" customHeight="1" x14ac:dyDescent="0.25">
      <c r="A2608" s="10"/>
      <c r="B2608" s="10"/>
      <c r="E2608" s="10"/>
      <c r="G2608" s="10"/>
      <c r="I2608" s="436" t="s">
        <v>2259</v>
      </c>
      <c r="J2608" s="26" t="s">
        <v>2258</v>
      </c>
      <c r="K2608" s="10">
        <v>12.5</v>
      </c>
      <c r="L2608" s="73">
        <f>IF(Tank1!$C$23="No control",(SUMIF(Tank1!$B$32:$B$49,$J2608,Tank1!$C$32:$C$49)*Impacts!$F$8),0)</f>
        <v>0</v>
      </c>
      <c r="M2608" s="10">
        <f>IF(Tank2!$C$23="No control",(SUMIF(Tank2!$B$32:$B$49,$J2608,Tank2!$C$32:$C$49)*Impacts!$F$9),0)</f>
        <v>0</v>
      </c>
      <c r="N2608" s="10">
        <f>IF(Tank3!$C$23="No control",(SUMIF(Tank3!$B$32:$B$49,$J2608,Tank3!$C$32:$C$49)*Impacts!$F$10),0)</f>
        <v>0</v>
      </c>
      <c r="O2608" s="10">
        <f>IF(Tank4!$C$23="No control",(SUMIF(Tank4!$B$32:$B$49,$J2608,Tank4!$C$32:$C$49)*Impacts!$F$11),0)</f>
        <v>0</v>
      </c>
      <c r="P2608" s="10">
        <f>IF(Tank5!$C$23="No control",(SUMIF(Tank5!$B$32:$B$49,$J2608,Tank5!$C$32:$C$49)*Impacts!$F$12),0)</f>
        <v>0</v>
      </c>
      <c r="Q2608" s="10">
        <f>IFERROR(IF(('Loading-drum,tote'!$C$21)="No control",SUMIF(('Loading-drum,tote'!$B$31:$B$48),$J2608,('Loading-drum,tote'!$D$31:$D$48))*Impacts!$F$13,IF(('Loading-drum,tote'!$C$21)&lt;&gt;"No control",SUMIF(('Loading-drum,tote'!$B$31:$B$48),$J2608,('Loading-drum,tote'!$E$31:$E$48))*Impacts!$F$13,0)),0)</f>
        <v>0</v>
      </c>
      <c r="R2608" s="10">
        <f>IFERROR(IF(('Loading-truck'!$C$21)="No control",SUMIF(('Loading-truck'!$B$31:$B$48),$J2608,('Loading-truck'!$D$31:$D$48))*Impacts!$F$14,IF(('Loading-truck'!$C$21)&lt;&gt;"No control",SUMIF(('Loading-truck'!$B$31:$B$48),$J2608,('Loading-truck'!$E$31:$E$48))*Impacts!$F$14,0)),0)</f>
        <v>0</v>
      </c>
      <c r="S2608" s="10">
        <f>IFERROR(IF(('Loading-rail'!$C$21)="No control",SUMIF(('Loading-rail'!$B$31:$B$48),$J2608,('Loading-rail'!$D$31:$D$48))*Impacts!$F$15,IF(('Loading-rail'!$C$21)&lt;&gt;"No control",SUMIF(('Loading-rail'!$B$31:$B$48),$J2608,('Loading-rail'!$E$31:$E$48))*Impacts!$F$15,0)),0)</f>
        <v>0</v>
      </c>
      <c r="T2608" s="10">
        <f>IF(Flare!$C$7="",0,(SUMIF(Flare!$B$46:$B$185,$J2608,Flare!$E$46:$E$185)*Impacts!$F$16))</f>
        <v>0</v>
      </c>
      <c r="U2608" s="10">
        <f>IF(VCU!$C$9="",0,(SUMIF(VCU!$B$51:$B$193,$J2608,VCU!$E$51:$E$193)*Impacts!$F$17))</f>
        <v>0</v>
      </c>
      <c r="V2608" s="10">
        <f>IF(CAS!$C$7="",0,(SUMIF(CAS!$B$31:$B$167,$J2608,CAS!$E$31:$E$167)*Impacts!$F$18))</f>
        <v>0</v>
      </c>
      <c r="W2608" s="10">
        <f t="shared" si="81"/>
        <v>0</v>
      </c>
      <c r="AK2608" s="10" t="str">
        <f t="array" ref="AK2608">IFERROR(INDEX(SelectedSpecies,SMALL(IF(SelectedSpecies=AK$1,ROW(SelectedSpecies)),ROW(2609:2609)),2),"")</f>
        <v/>
      </c>
      <c r="BE2608" s="10"/>
      <c r="BI2608" s="10"/>
    </row>
    <row r="2609" spans="1:61" ht="21" customHeight="1" x14ac:dyDescent="0.25">
      <c r="A2609" s="10"/>
      <c r="B2609" s="10"/>
      <c r="E2609" s="10"/>
      <c r="G2609" s="10"/>
      <c r="I2609" s="436" t="s">
        <v>4383</v>
      </c>
      <c r="J2609" s="26" t="s">
        <v>4382</v>
      </c>
      <c r="K2609" s="10">
        <v>4.8000000000000007</v>
      </c>
      <c r="L2609" s="73">
        <f>IF(Tank1!$C$23="No control",(SUMIF(Tank1!$B$32:$B$49,$J2609,Tank1!$C$32:$C$49)*Impacts!$F$8),0)</f>
        <v>0</v>
      </c>
      <c r="M2609" s="10">
        <f>IF(Tank2!$C$23="No control",(SUMIF(Tank2!$B$32:$B$49,$J2609,Tank2!$C$32:$C$49)*Impacts!$F$9),0)</f>
        <v>0</v>
      </c>
      <c r="N2609" s="10">
        <f>IF(Tank3!$C$23="No control",(SUMIF(Tank3!$B$32:$B$49,$J2609,Tank3!$C$32:$C$49)*Impacts!$F$10),0)</f>
        <v>0</v>
      </c>
      <c r="O2609" s="10">
        <f>IF(Tank4!$C$23="No control",(SUMIF(Tank4!$B$32:$B$49,$J2609,Tank4!$C$32:$C$49)*Impacts!$F$11),0)</f>
        <v>0</v>
      </c>
      <c r="P2609" s="10">
        <f>IF(Tank5!$C$23="No control",(SUMIF(Tank5!$B$32:$B$49,$J2609,Tank5!$C$32:$C$49)*Impacts!$F$12),0)</f>
        <v>0</v>
      </c>
      <c r="Q2609" s="10">
        <f>IFERROR(IF(('Loading-drum,tote'!$C$21)="No control",SUMIF(('Loading-drum,tote'!$B$31:$B$48),$J2609,('Loading-drum,tote'!$D$31:$D$48))*Impacts!$F$13,IF(('Loading-drum,tote'!$C$21)&lt;&gt;"No control",SUMIF(('Loading-drum,tote'!$B$31:$B$48),$J2609,('Loading-drum,tote'!$E$31:$E$48))*Impacts!$F$13,0)),0)</f>
        <v>0</v>
      </c>
      <c r="R2609" s="10">
        <f>IFERROR(IF(('Loading-truck'!$C$21)="No control",SUMIF(('Loading-truck'!$B$31:$B$48),$J2609,('Loading-truck'!$D$31:$D$48))*Impacts!$F$14,IF(('Loading-truck'!$C$21)&lt;&gt;"No control",SUMIF(('Loading-truck'!$B$31:$B$48),$J2609,('Loading-truck'!$E$31:$E$48))*Impacts!$F$14,0)),0)</f>
        <v>0</v>
      </c>
      <c r="S2609" s="10">
        <f>IFERROR(IF(('Loading-rail'!$C$21)="No control",SUMIF(('Loading-rail'!$B$31:$B$48),$J2609,('Loading-rail'!$D$31:$D$48))*Impacts!$F$15,IF(('Loading-rail'!$C$21)&lt;&gt;"No control",SUMIF(('Loading-rail'!$B$31:$B$48),$J2609,('Loading-rail'!$E$31:$E$48))*Impacts!$F$15,0)),0)</f>
        <v>0</v>
      </c>
      <c r="T2609" s="10">
        <f>IF(Flare!$C$7="",0,(SUMIF(Flare!$B$46:$B$185,$J2609,Flare!$E$46:$E$185)*Impacts!$F$16))</f>
        <v>0</v>
      </c>
      <c r="U2609" s="10">
        <f>IF(VCU!$C$9="",0,(SUMIF(VCU!$B$51:$B$193,$J2609,VCU!$E$51:$E$193)*Impacts!$F$17))</f>
        <v>0</v>
      </c>
      <c r="V2609" s="10">
        <f>IF(CAS!$C$7="",0,(SUMIF(CAS!$B$31:$B$167,$J2609,CAS!$E$31:$E$167)*Impacts!$F$18))</f>
        <v>0</v>
      </c>
      <c r="W2609" s="10">
        <f t="shared" si="81"/>
        <v>0</v>
      </c>
      <c r="AK2609" s="10" t="str">
        <f t="array" ref="AK2609">IFERROR(INDEX(SelectedSpecies,SMALL(IF(SelectedSpecies=AK$1,ROW(SelectedSpecies)),ROW(2610:2610)),2),"")</f>
        <v/>
      </c>
      <c r="BE2609" s="10"/>
      <c r="BI2609" s="10"/>
    </row>
    <row r="2610" spans="1:61" ht="21" customHeight="1" x14ac:dyDescent="0.25">
      <c r="A2610" s="10"/>
      <c r="B2610" s="10"/>
      <c r="E2610" s="10"/>
      <c r="G2610" s="10"/>
      <c r="I2610" s="436" t="s">
        <v>6446</v>
      </c>
      <c r="J2610" s="26" t="s">
        <v>6445</v>
      </c>
      <c r="K2610" s="10">
        <v>0.8</v>
      </c>
      <c r="L2610" s="73">
        <f>IF(Tank1!$C$23="No control",(SUMIF(Tank1!$B$32:$B$49,$J2610,Tank1!$C$32:$C$49)*Impacts!$F$8),0)</f>
        <v>0</v>
      </c>
      <c r="M2610" s="10">
        <f>IF(Tank2!$C$23="No control",(SUMIF(Tank2!$B$32:$B$49,$J2610,Tank2!$C$32:$C$49)*Impacts!$F$9),0)</f>
        <v>0</v>
      </c>
      <c r="N2610" s="10">
        <f>IF(Tank3!$C$23="No control",(SUMIF(Tank3!$B$32:$B$49,$J2610,Tank3!$C$32:$C$49)*Impacts!$F$10),0)</f>
        <v>0</v>
      </c>
      <c r="O2610" s="10">
        <f>IF(Tank4!$C$23="No control",(SUMIF(Tank4!$B$32:$B$49,$J2610,Tank4!$C$32:$C$49)*Impacts!$F$11),0)</f>
        <v>0</v>
      </c>
      <c r="P2610" s="10">
        <f>IF(Tank5!$C$23="No control",(SUMIF(Tank5!$B$32:$B$49,$J2610,Tank5!$C$32:$C$49)*Impacts!$F$12),0)</f>
        <v>0</v>
      </c>
      <c r="Q2610" s="10">
        <f>IFERROR(IF(('Loading-drum,tote'!$C$21)="No control",SUMIF(('Loading-drum,tote'!$B$31:$B$48),$J2610,('Loading-drum,tote'!$D$31:$D$48))*Impacts!$F$13,IF(('Loading-drum,tote'!$C$21)&lt;&gt;"No control",SUMIF(('Loading-drum,tote'!$B$31:$B$48),$J2610,('Loading-drum,tote'!$E$31:$E$48))*Impacts!$F$13,0)),0)</f>
        <v>0</v>
      </c>
      <c r="R2610" s="10">
        <f>IFERROR(IF(('Loading-truck'!$C$21)="No control",SUMIF(('Loading-truck'!$B$31:$B$48),$J2610,('Loading-truck'!$D$31:$D$48))*Impacts!$F$14,IF(('Loading-truck'!$C$21)&lt;&gt;"No control",SUMIF(('Loading-truck'!$B$31:$B$48),$J2610,('Loading-truck'!$E$31:$E$48))*Impacts!$F$14,0)),0)</f>
        <v>0</v>
      </c>
      <c r="S2610" s="10">
        <f>IFERROR(IF(('Loading-rail'!$C$21)="No control",SUMIF(('Loading-rail'!$B$31:$B$48),$J2610,('Loading-rail'!$D$31:$D$48))*Impacts!$F$15,IF(('Loading-rail'!$C$21)&lt;&gt;"No control",SUMIF(('Loading-rail'!$B$31:$B$48),$J2610,('Loading-rail'!$E$31:$E$48))*Impacts!$F$15,0)),0)</f>
        <v>0</v>
      </c>
      <c r="T2610" s="10">
        <f>IF(Flare!$C$7="",0,(SUMIF(Flare!$B$46:$B$185,$J2610,Flare!$E$46:$E$185)*Impacts!$F$16))</f>
        <v>0</v>
      </c>
      <c r="U2610" s="10">
        <f>IF(VCU!$C$9="",0,(SUMIF(VCU!$B$51:$B$193,$J2610,VCU!$E$51:$E$193)*Impacts!$F$17))</f>
        <v>0</v>
      </c>
      <c r="V2610" s="10">
        <f>IF(CAS!$C$7="",0,(SUMIF(CAS!$B$31:$B$167,$J2610,CAS!$E$31:$E$167)*Impacts!$F$18))</f>
        <v>0</v>
      </c>
      <c r="W2610" s="10">
        <f t="shared" si="81"/>
        <v>0</v>
      </c>
      <c r="AK2610" s="10" t="str">
        <f t="array" ref="AK2610">IFERROR(INDEX(SelectedSpecies,SMALL(IF(SelectedSpecies=AK$1,ROW(SelectedSpecies)),ROW(2611:2611)),2),"")</f>
        <v/>
      </c>
      <c r="BE2610" s="10"/>
      <c r="BI2610" s="10"/>
    </row>
    <row r="2611" spans="1:61" ht="21" customHeight="1" x14ac:dyDescent="0.25">
      <c r="A2611" s="10"/>
      <c r="B2611" s="10"/>
      <c r="E2611" s="10"/>
      <c r="G2611" s="10"/>
      <c r="I2611" s="436" t="s">
        <v>3707</v>
      </c>
      <c r="J2611" s="26" t="s">
        <v>3706</v>
      </c>
      <c r="K2611" s="10">
        <v>6.6000000000000005</v>
      </c>
      <c r="L2611" s="73">
        <f>IF(Tank1!$C$23="No control",(SUMIF(Tank1!$B$32:$B$49,$J2611,Tank1!$C$32:$C$49)*Impacts!$F$8),0)</f>
        <v>0</v>
      </c>
      <c r="M2611" s="10">
        <f>IF(Tank2!$C$23="No control",(SUMIF(Tank2!$B$32:$B$49,$J2611,Tank2!$C$32:$C$49)*Impacts!$F$9),0)</f>
        <v>0</v>
      </c>
      <c r="N2611" s="10">
        <f>IF(Tank3!$C$23="No control",(SUMIF(Tank3!$B$32:$B$49,$J2611,Tank3!$C$32:$C$49)*Impacts!$F$10),0)</f>
        <v>0</v>
      </c>
      <c r="O2611" s="10">
        <f>IF(Tank4!$C$23="No control",(SUMIF(Tank4!$B$32:$B$49,$J2611,Tank4!$C$32:$C$49)*Impacts!$F$11),0)</f>
        <v>0</v>
      </c>
      <c r="P2611" s="10">
        <f>IF(Tank5!$C$23="No control",(SUMIF(Tank5!$B$32:$B$49,$J2611,Tank5!$C$32:$C$49)*Impacts!$F$12),0)</f>
        <v>0</v>
      </c>
      <c r="Q2611" s="10">
        <f>IFERROR(IF(('Loading-drum,tote'!$C$21)="No control",SUMIF(('Loading-drum,tote'!$B$31:$B$48),$J2611,('Loading-drum,tote'!$D$31:$D$48))*Impacts!$F$13,IF(('Loading-drum,tote'!$C$21)&lt;&gt;"No control",SUMIF(('Loading-drum,tote'!$B$31:$B$48),$J2611,('Loading-drum,tote'!$E$31:$E$48))*Impacts!$F$13,0)),0)</f>
        <v>0</v>
      </c>
      <c r="R2611" s="10">
        <f>IFERROR(IF(('Loading-truck'!$C$21)="No control",SUMIF(('Loading-truck'!$B$31:$B$48),$J2611,('Loading-truck'!$D$31:$D$48))*Impacts!$F$14,IF(('Loading-truck'!$C$21)&lt;&gt;"No control",SUMIF(('Loading-truck'!$B$31:$B$48),$J2611,('Loading-truck'!$E$31:$E$48))*Impacts!$F$14,0)),0)</f>
        <v>0</v>
      </c>
      <c r="S2611" s="10">
        <f>IFERROR(IF(('Loading-rail'!$C$21)="No control",SUMIF(('Loading-rail'!$B$31:$B$48),$J2611,('Loading-rail'!$D$31:$D$48))*Impacts!$F$15,IF(('Loading-rail'!$C$21)&lt;&gt;"No control",SUMIF(('Loading-rail'!$B$31:$B$48),$J2611,('Loading-rail'!$E$31:$E$48))*Impacts!$F$15,0)),0)</f>
        <v>0</v>
      </c>
      <c r="T2611" s="10">
        <f>IF(Flare!$C$7="",0,(SUMIF(Flare!$B$46:$B$185,$J2611,Flare!$E$46:$E$185)*Impacts!$F$16))</f>
        <v>0</v>
      </c>
      <c r="U2611" s="10">
        <f>IF(VCU!$C$9="",0,(SUMIF(VCU!$B$51:$B$193,$J2611,VCU!$E$51:$E$193)*Impacts!$F$17))</f>
        <v>0</v>
      </c>
      <c r="V2611" s="10">
        <f>IF(CAS!$C$7="",0,(SUMIF(CAS!$B$31:$B$167,$J2611,CAS!$E$31:$E$167)*Impacts!$F$18))</f>
        <v>0</v>
      </c>
      <c r="W2611" s="10">
        <f t="shared" si="81"/>
        <v>0</v>
      </c>
      <c r="AK2611" s="10" t="str">
        <f t="array" ref="AK2611">IFERROR(INDEX(SelectedSpecies,SMALL(IF(SelectedSpecies=AK$1,ROW(SelectedSpecies)),ROW(2612:2612)),2),"")</f>
        <v/>
      </c>
      <c r="BE2611" s="10"/>
      <c r="BI2611" s="10"/>
    </row>
    <row r="2612" spans="1:61" ht="21" customHeight="1" x14ac:dyDescent="0.25">
      <c r="A2612" s="10"/>
      <c r="B2612" s="10"/>
      <c r="E2612" s="10"/>
      <c r="G2612" s="10"/>
      <c r="I2612" s="436" t="s">
        <v>1861</v>
      </c>
      <c r="J2612" s="26" t="s">
        <v>1860</v>
      </c>
      <c r="K2612" s="10">
        <v>20</v>
      </c>
      <c r="L2612" s="73">
        <f>IF(Tank1!$C$23="No control",(SUMIF(Tank1!$B$32:$B$49,$J2612,Tank1!$C$32:$C$49)*Impacts!$F$8),0)</f>
        <v>0</v>
      </c>
      <c r="M2612" s="10">
        <f>IF(Tank2!$C$23="No control",(SUMIF(Tank2!$B$32:$B$49,$J2612,Tank2!$C$32:$C$49)*Impacts!$F$9),0)</f>
        <v>0</v>
      </c>
      <c r="N2612" s="10">
        <f>IF(Tank3!$C$23="No control",(SUMIF(Tank3!$B$32:$B$49,$J2612,Tank3!$C$32:$C$49)*Impacts!$F$10),0)</f>
        <v>0</v>
      </c>
      <c r="O2612" s="10">
        <f>IF(Tank4!$C$23="No control",(SUMIF(Tank4!$B$32:$B$49,$J2612,Tank4!$C$32:$C$49)*Impacts!$F$11),0)</f>
        <v>0</v>
      </c>
      <c r="P2612" s="10">
        <f>IF(Tank5!$C$23="No control",(SUMIF(Tank5!$B$32:$B$49,$J2612,Tank5!$C$32:$C$49)*Impacts!$F$12),0)</f>
        <v>0</v>
      </c>
      <c r="Q2612" s="10">
        <f>IFERROR(IF(('Loading-drum,tote'!$C$21)="No control",SUMIF(('Loading-drum,tote'!$B$31:$B$48),$J2612,('Loading-drum,tote'!$D$31:$D$48))*Impacts!$F$13,IF(('Loading-drum,tote'!$C$21)&lt;&gt;"No control",SUMIF(('Loading-drum,tote'!$B$31:$B$48),$J2612,('Loading-drum,tote'!$E$31:$E$48))*Impacts!$F$13,0)),0)</f>
        <v>0</v>
      </c>
      <c r="R2612" s="10">
        <f>IFERROR(IF(('Loading-truck'!$C$21)="No control",SUMIF(('Loading-truck'!$B$31:$B$48),$J2612,('Loading-truck'!$D$31:$D$48))*Impacts!$F$14,IF(('Loading-truck'!$C$21)&lt;&gt;"No control",SUMIF(('Loading-truck'!$B$31:$B$48),$J2612,('Loading-truck'!$E$31:$E$48))*Impacts!$F$14,0)),0)</f>
        <v>0</v>
      </c>
      <c r="S2612" s="10">
        <f>IFERROR(IF(('Loading-rail'!$C$21)="No control",SUMIF(('Loading-rail'!$B$31:$B$48),$J2612,('Loading-rail'!$D$31:$D$48))*Impacts!$F$15,IF(('Loading-rail'!$C$21)&lt;&gt;"No control",SUMIF(('Loading-rail'!$B$31:$B$48),$J2612,('Loading-rail'!$E$31:$E$48))*Impacts!$F$15,0)),0)</f>
        <v>0</v>
      </c>
      <c r="T2612" s="10">
        <f>IF(Flare!$C$7="",0,(SUMIF(Flare!$B$46:$B$185,$J2612,Flare!$E$46:$E$185)*Impacts!$F$16))</f>
        <v>0</v>
      </c>
      <c r="U2612" s="10">
        <f>IF(VCU!$C$9="",0,(SUMIF(VCU!$B$51:$B$193,$J2612,VCU!$E$51:$E$193)*Impacts!$F$17))</f>
        <v>0</v>
      </c>
      <c r="V2612" s="10">
        <f>IF(CAS!$C$7="",0,(SUMIF(CAS!$B$31:$B$167,$J2612,CAS!$E$31:$E$167)*Impacts!$F$18))</f>
        <v>0</v>
      </c>
      <c r="W2612" s="10">
        <f t="shared" si="81"/>
        <v>0</v>
      </c>
      <c r="AK2612" s="10" t="str">
        <f t="array" ref="AK2612">IFERROR(INDEX(SelectedSpecies,SMALL(IF(SelectedSpecies=AK$1,ROW(SelectedSpecies)),ROW(2613:2613)),2),"")</f>
        <v/>
      </c>
      <c r="BE2612" s="10"/>
      <c r="BI2612" s="10"/>
    </row>
    <row r="2613" spans="1:61" ht="21" customHeight="1" x14ac:dyDescent="0.25">
      <c r="A2613" s="10"/>
      <c r="B2613" s="10"/>
      <c r="E2613" s="10"/>
      <c r="G2613" s="10"/>
      <c r="I2613" s="436" t="s">
        <v>477</v>
      </c>
      <c r="J2613" s="26" t="s">
        <v>476</v>
      </c>
      <c r="K2613" s="10">
        <v>128</v>
      </c>
      <c r="L2613" s="73">
        <f>IF(Tank1!$C$23="No control",(SUMIF(Tank1!$B$32:$B$49,$J2613,Tank1!$C$32:$C$49)*Impacts!$F$8),0)</f>
        <v>0</v>
      </c>
      <c r="M2613" s="10">
        <f>IF(Tank2!$C$23="No control",(SUMIF(Tank2!$B$32:$B$49,$J2613,Tank2!$C$32:$C$49)*Impacts!$F$9),0)</f>
        <v>0</v>
      </c>
      <c r="N2613" s="10">
        <f>IF(Tank3!$C$23="No control",(SUMIF(Tank3!$B$32:$B$49,$J2613,Tank3!$C$32:$C$49)*Impacts!$F$10),0)</f>
        <v>0</v>
      </c>
      <c r="O2613" s="10">
        <f>IF(Tank4!$C$23="No control",(SUMIF(Tank4!$B$32:$B$49,$J2613,Tank4!$C$32:$C$49)*Impacts!$F$11),0)</f>
        <v>0</v>
      </c>
      <c r="P2613" s="10">
        <f>IF(Tank5!$C$23="No control",(SUMIF(Tank5!$B$32:$B$49,$J2613,Tank5!$C$32:$C$49)*Impacts!$F$12),0)</f>
        <v>0</v>
      </c>
      <c r="Q2613" s="10">
        <f>IFERROR(IF(('Loading-drum,tote'!$C$21)="No control",SUMIF(('Loading-drum,tote'!$B$31:$B$48),$J2613,('Loading-drum,tote'!$D$31:$D$48))*Impacts!$F$13,IF(('Loading-drum,tote'!$C$21)&lt;&gt;"No control",SUMIF(('Loading-drum,tote'!$B$31:$B$48),$J2613,('Loading-drum,tote'!$E$31:$E$48))*Impacts!$F$13,0)),0)</f>
        <v>0</v>
      </c>
      <c r="R2613" s="10">
        <f>IFERROR(IF(('Loading-truck'!$C$21)="No control",SUMIF(('Loading-truck'!$B$31:$B$48),$J2613,('Loading-truck'!$D$31:$D$48))*Impacts!$F$14,IF(('Loading-truck'!$C$21)&lt;&gt;"No control",SUMIF(('Loading-truck'!$B$31:$B$48),$J2613,('Loading-truck'!$E$31:$E$48))*Impacts!$F$14,0)),0)</f>
        <v>0</v>
      </c>
      <c r="S2613" s="10">
        <f>IFERROR(IF(('Loading-rail'!$C$21)="No control",SUMIF(('Loading-rail'!$B$31:$B$48),$J2613,('Loading-rail'!$D$31:$D$48))*Impacts!$F$15,IF(('Loading-rail'!$C$21)&lt;&gt;"No control",SUMIF(('Loading-rail'!$B$31:$B$48),$J2613,('Loading-rail'!$E$31:$E$48))*Impacts!$F$15,0)),0)</f>
        <v>0</v>
      </c>
      <c r="T2613" s="10">
        <f>IF(Flare!$C$7="",0,(SUMIF(Flare!$B$46:$B$185,$J2613,Flare!$E$46:$E$185)*Impacts!$F$16))</f>
        <v>0</v>
      </c>
      <c r="U2613" s="10">
        <f>IF(VCU!$C$9="",0,(SUMIF(VCU!$B$51:$B$193,$J2613,VCU!$E$51:$E$193)*Impacts!$F$17))</f>
        <v>0</v>
      </c>
      <c r="V2613" s="10">
        <f>IF(CAS!$C$7="",0,(SUMIF(CAS!$B$31:$B$167,$J2613,CAS!$E$31:$E$167)*Impacts!$F$18))</f>
        <v>0</v>
      </c>
      <c r="W2613" s="10">
        <f t="shared" si="81"/>
        <v>0</v>
      </c>
      <c r="AK2613" s="10" t="str">
        <f t="array" ref="AK2613">IFERROR(INDEX(SelectedSpecies,SMALL(IF(SelectedSpecies=AK$1,ROW(SelectedSpecies)),ROW(2614:2614)),2),"")</f>
        <v/>
      </c>
      <c r="BE2613" s="10"/>
      <c r="BI2613" s="10"/>
    </row>
    <row r="2614" spans="1:61" ht="21" customHeight="1" x14ac:dyDescent="0.25">
      <c r="A2614" s="10"/>
      <c r="B2614" s="10"/>
      <c r="E2614" s="10"/>
      <c r="G2614" s="10"/>
      <c r="I2614" s="436" t="s">
        <v>4219</v>
      </c>
      <c r="J2614" s="26" t="s">
        <v>4218</v>
      </c>
      <c r="K2614" s="10">
        <v>5</v>
      </c>
      <c r="L2614" s="73">
        <f>IF(Tank1!$C$23="No control",(SUMIF(Tank1!$B$32:$B$49,$J2614,Tank1!$C$32:$C$49)*Impacts!$F$8),0)</f>
        <v>0</v>
      </c>
      <c r="M2614" s="10">
        <f>IF(Tank2!$C$23="No control",(SUMIF(Tank2!$B$32:$B$49,$J2614,Tank2!$C$32:$C$49)*Impacts!$F$9),0)</f>
        <v>0</v>
      </c>
      <c r="N2614" s="10">
        <f>IF(Tank3!$C$23="No control",(SUMIF(Tank3!$B$32:$B$49,$J2614,Tank3!$C$32:$C$49)*Impacts!$F$10),0)</f>
        <v>0</v>
      </c>
      <c r="O2614" s="10">
        <f>IF(Tank4!$C$23="No control",(SUMIF(Tank4!$B$32:$B$49,$J2614,Tank4!$C$32:$C$49)*Impacts!$F$11),0)</f>
        <v>0</v>
      </c>
      <c r="P2614" s="10">
        <f>IF(Tank5!$C$23="No control",(SUMIF(Tank5!$B$32:$B$49,$J2614,Tank5!$C$32:$C$49)*Impacts!$F$12),0)</f>
        <v>0</v>
      </c>
      <c r="Q2614" s="10">
        <f>IFERROR(IF(('Loading-drum,tote'!$C$21)="No control",SUMIF(('Loading-drum,tote'!$B$31:$B$48),$J2614,('Loading-drum,tote'!$D$31:$D$48))*Impacts!$F$13,IF(('Loading-drum,tote'!$C$21)&lt;&gt;"No control",SUMIF(('Loading-drum,tote'!$B$31:$B$48),$J2614,('Loading-drum,tote'!$E$31:$E$48))*Impacts!$F$13,0)),0)</f>
        <v>0</v>
      </c>
      <c r="R2614" s="10">
        <f>IFERROR(IF(('Loading-truck'!$C$21)="No control",SUMIF(('Loading-truck'!$B$31:$B$48),$J2614,('Loading-truck'!$D$31:$D$48))*Impacts!$F$14,IF(('Loading-truck'!$C$21)&lt;&gt;"No control",SUMIF(('Loading-truck'!$B$31:$B$48),$J2614,('Loading-truck'!$E$31:$E$48))*Impacts!$F$14,0)),0)</f>
        <v>0</v>
      </c>
      <c r="S2614" s="10">
        <f>IFERROR(IF(('Loading-rail'!$C$21)="No control",SUMIF(('Loading-rail'!$B$31:$B$48),$J2614,('Loading-rail'!$D$31:$D$48))*Impacts!$F$15,IF(('Loading-rail'!$C$21)&lt;&gt;"No control",SUMIF(('Loading-rail'!$B$31:$B$48),$J2614,('Loading-rail'!$E$31:$E$48))*Impacts!$F$15,0)),0)</f>
        <v>0</v>
      </c>
      <c r="T2614" s="10">
        <f>IF(Flare!$C$7="",0,(SUMIF(Flare!$B$46:$B$185,$J2614,Flare!$E$46:$E$185)*Impacts!$F$16))</f>
        <v>0</v>
      </c>
      <c r="U2614" s="10">
        <f>IF(VCU!$C$9="",0,(SUMIF(VCU!$B$51:$B$193,$J2614,VCU!$E$51:$E$193)*Impacts!$F$17))</f>
        <v>0</v>
      </c>
      <c r="V2614" s="10">
        <f>IF(CAS!$C$7="",0,(SUMIF(CAS!$B$31:$B$167,$J2614,CAS!$E$31:$E$167)*Impacts!$F$18))</f>
        <v>0</v>
      </c>
      <c r="W2614" s="10">
        <f t="shared" si="81"/>
        <v>0</v>
      </c>
      <c r="AK2614" s="10" t="str">
        <f t="array" ref="AK2614">IFERROR(INDEX(SelectedSpecies,SMALL(IF(SelectedSpecies=AK$1,ROW(SelectedSpecies)),ROW(2615:2615)),2),"")</f>
        <v/>
      </c>
      <c r="BE2614" s="10"/>
      <c r="BI2614" s="10"/>
    </row>
    <row r="2615" spans="1:61" ht="21" customHeight="1" x14ac:dyDescent="0.25">
      <c r="A2615" s="10"/>
      <c r="B2615" s="10"/>
      <c r="E2615" s="10"/>
      <c r="G2615" s="10"/>
      <c r="I2615" s="436" t="s">
        <v>4581</v>
      </c>
      <c r="J2615" s="26" t="s">
        <v>4580</v>
      </c>
      <c r="K2615" s="10">
        <v>4</v>
      </c>
      <c r="L2615" s="73">
        <f>IF(Tank1!$C$23="No control",(SUMIF(Tank1!$B$32:$B$49,$J2615,Tank1!$C$32:$C$49)*Impacts!$F$8),0)</f>
        <v>0</v>
      </c>
      <c r="M2615" s="10">
        <f>IF(Tank2!$C$23="No control",(SUMIF(Tank2!$B$32:$B$49,$J2615,Tank2!$C$32:$C$49)*Impacts!$F$9),0)</f>
        <v>0</v>
      </c>
      <c r="N2615" s="10">
        <f>IF(Tank3!$C$23="No control",(SUMIF(Tank3!$B$32:$B$49,$J2615,Tank3!$C$32:$C$49)*Impacts!$F$10),0)</f>
        <v>0</v>
      </c>
      <c r="O2615" s="10">
        <f>IF(Tank4!$C$23="No control",(SUMIF(Tank4!$B$32:$B$49,$J2615,Tank4!$C$32:$C$49)*Impacts!$F$11),0)</f>
        <v>0</v>
      </c>
      <c r="P2615" s="10">
        <f>IF(Tank5!$C$23="No control",(SUMIF(Tank5!$B$32:$B$49,$J2615,Tank5!$C$32:$C$49)*Impacts!$F$12),0)</f>
        <v>0</v>
      </c>
      <c r="Q2615" s="10">
        <f>IFERROR(IF(('Loading-drum,tote'!$C$21)="No control",SUMIF(('Loading-drum,tote'!$B$31:$B$48),$J2615,('Loading-drum,tote'!$D$31:$D$48))*Impacts!$F$13,IF(('Loading-drum,tote'!$C$21)&lt;&gt;"No control",SUMIF(('Loading-drum,tote'!$B$31:$B$48),$J2615,('Loading-drum,tote'!$E$31:$E$48))*Impacts!$F$13,0)),0)</f>
        <v>0</v>
      </c>
      <c r="R2615" s="10">
        <f>IFERROR(IF(('Loading-truck'!$C$21)="No control",SUMIF(('Loading-truck'!$B$31:$B$48),$J2615,('Loading-truck'!$D$31:$D$48))*Impacts!$F$14,IF(('Loading-truck'!$C$21)&lt;&gt;"No control",SUMIF(('Loading-truck'!$B$31:$B$48),$J2615,('Loading-truck'!$E$31:$E$48))*Impacts!$F$14,0)),0)</f>
        <v>0</v>
      </c>
      <c r="S2615" s="10">
        <f>IFERROR(IF(('Loading-rail'!$C$21)="No control",SUMIF(('Loading-rail'!$B$31:$B$48),$J2615,('Loading-rail'!$D$31:$D$48))*Impacts!$F$15,IF(('Loading-rail'!$C$21)&lt;&gt;"No control",SUMIF(('Loading-rail'!$B$31:$B$48),$J2615,('Loading-rail'!$E$31:$E$48))*Impacts!$F$15,0)),0)</f>
        <v>0</v>
      </c>
      <c r="T2615" s="10">
        <f>IF(Flare!$C$7="",0,(SUMIF(Flare!$B$46:$B$185,$J2615,Flare!$E$46:$E$185)*Impacts!$F$16))</f>
        <v>0</v>
      </c>
      <c r="U2615" s="10">
        <f>IF(VCU!$C$9="",0,(SUMIF(VCU!$B$51:$B$193,$J2615,VCU!$E$51:$E$193)*Impacts!$F$17))</f>
        <v>0</v>
      </c>
      <c r="V2615" s="10">
        <f>IF(CAS!$C$7="",0,(SUMIF(CAS!$B$31:$B$167,$J2615,CAS!$E$31:$E$167)*Impacts!$F$18))</f>
        <v>0</v>
      </c>
      <c r="W2615" s="10">
        <f t="shared" si="81"/>
        <v>0</v>
      </c>
      <c r="AK2615" s="10" t="str">
        <f t="array" ref="AK2615">IFERROR(INDEX(SelectedSpecies,SMALL(IF(SelectedSpecies=AK$1,ROW(SelectedSpecies)),ROW(2616:2616)),2),"")</f>
        <v/>
      </c>
      <c r="BE2615" s="10"/>
      <c r="BI2615" s="10"/>
    </row>
    <row r="2616" spans="1:61" ht="21" customHeight="1" x14ac:dyDescent="0.25">
      <c r="A2616" s="10"/>
      <c r="B2616" s="10"/>
      <c r="E2616" s="10"/>
      <c r="G2616" s="10"/>
      <c r="I2616" s="436" t="s">
        <v>6032</v>
      </c>
      <c r="J2616" s="26" t="s">
        <v>6031</v>
      </c>
      <c r="K2616" s="10">
        <v>1</v>
      </c>
      <c r="L2616" s="73">
        <f>IF(Tank1!$C$23="No control",(SUMIF(Tank1!$B$32:$B$49,$J2616,Tank1!$C$32:$C$49)*Impacts!$F$8),0)</f>
        <v>0</v>
      </c>
      <c r="M2616" s="10">
        <f>IF(Tank2!$C$23="No control",(SUMIF(Tank2!$B$32:$B$49,$J2616,Tank2!$C$32:$C$49)*Impacts!$F$9),0)</f>
        <v>0</v>
      </c>
      <c r="N2616" s="10">
        <f>IF(Tank3!$C$23="No control",(SUMIF(Tank3!$B$32:$B$49,$J2616,Tank3!$C$32:$C$49)*Impacts!$F$10),0)</f>
        <v>0</v>
      </c>
      <c r="O2616" s="10">
        <f>IF(Tank4!$C$23="No control",(SUMIF(Tank4!$B$32:$B$49,$J2616,Tank4!$C$32:$C$49)*Impacts!$F$11),0)</f>
        <v>0</v>
      </c>
      <c r="P2616" s="10">
        <f>IF(Tank5!$C$23="No control",(SUMIF(Tank5!$B$32:$B$49,$J2616,Tank5!$C$32:$C$49)*Impacts!$F$12),0)</f>
        <v>0</v>
      </c>
      <c r="Q2616" s="10">
        <f>IFERROR(IF(('Loading-drum,tote'!$C$21)="No control",SUMIF(('Loading-drum,tote'!$B$31:$B$48),$J2616,('Loading-drum,tote'!$D$31:$D$48))*Impacts!$F$13,IF(('Loading-drum,tote'!$C$21)&lt;&gt;"No control",SUMIF(('Loading-drum,tote'!$B$31:$B$48),$J2616,('Loading-drum,tote'!$E$31:$E$48))*Impacts!$F$13,0)),0)</f>
        <v>0</v>
      </c>
      <c r="R2616" s="10">
        <f>IFERROR(IF(('Loading-truck'!$C$21)="No control",SUMIF(('Loading-truck'!$B$31:$B$48),$J2616,('Loading-truck'!$D$31:$D$48))*Impacts!$F$14,IF(('Loading-truck'!$C$21)&lt;&gt;"No control",SUMIF(('Loading-truck'!$B$31:$B$48),$J2616,('Loading-truck'!$E$31:$E$48))*Impacts!$F$14,0)),0)</f>
        <v>0</v>
      </c>
      <c r="S2616" s="10">
        <f>IFERROR(IF(('Loading-rail'!$C$21)="No control",SUMIF(('Loading-rail'!$B$31:$B$48),$J2616,('Loading-rail'!$D$31:$D$48))*Impacts!$F$15,IF(('Loading-rail'!$C$21)&lt;&gt;"No control",SUMIF(('Loading-rail'!$B$31:$B$48),$J2616,('Loading-rail'!$E$31:$E$48))*Impacts!$F$15,0)),0)</f>
        <v>0</v>
      </c>
      <c r="T2616" s="10">
        <f>IF(Flare!$C$7="",0,(SUMIF(Flare!$B$46:$B$185,$J2616,Flare!$E$46:$E$185)*Impacts!$F$16))</f>
        <v>0</v>
      </c>
      <c r="U2616" s="10">
        <f>IF(VCU!$C$9="",0,(SUMIF(VCU!$B$51:$B$193,$J2616,VCU!$E$51:$E$193)*Impacts!$F$17))</f>
        <v>0</v>
      </c>
      <c r="V2616" s="10">
        <f>IF(CAS!$C$7="",0,(SUMIF(CAS!$B$31:$B$167,$J2616,CAS!$E$31:$E$167)*Impacts!$F$18))</f>
        <v>0</v>
      </c>
      <c r="W2616" s="10">
        <f t="shared" si="81"/>
        <v>0</v>
      </c>
      <c r="AK2616" s="10" t="str">
        <f t="array" ref="AK2616">IFERROR(INDEX(SelectedSpecies,SMALL(IF(SelectedSpecies=AK$1,ROW(SelectedSpecies)),ROW(2617:2617)),2),"")</f>
        <v/>
      </c>
      <c r="BE2616" s="10"/>
      <c r="BI2616" s="10"/>
    </row>
    <row r="2617" spans="1:61" ht="21" customHeight="1" x14ac:dyDescent="0.25">
      <c r="A2617" s="10"/>
      <c r="B2617" s="10"/>
      <c r="E2617" s="10"/>
      <c r="G2617" s="10"/>
      <c r="I2617" s="436" t="s">
        <v>1242</v>
      </c>
      <c r="J2617" s="26" t="s">
        <v>1241</v>
      </c>
      <c r="K2617" s="10">
        <v>161</v>
      </c>
      <c r="L2617" s="73">
        <f>IF(Tank1!$C$23="No control",(SUMIF(Tank1!$B$32:$B$49,$J2617,Tank1!$C$32:$C$49)*Impacts!$F$8),0)</f>
        <v>0</v>
      </c>
      <c r="M2617" s="10">
        <f>IF(Tank2!$C$23="No control",(SUMIF(Tank2!$B$32:$B$49,$J2617,Tank2!$C$32:$C$49)*Impacts!$F$9),0)</f>
        <v>0</v>
      </c>
      <c r="N2617" s="10">
        <f>IF(Tank3!$C$23="No control",(SUMIF(Tank3!$B$32:$B$49,$J2617,Tank3!$C$32:$C$49)*Impacts!$F$10),0)</f>
        <v>0</v>
      </c>
      <c r="O2617" s="10">
        <f>IF(Tank4!$C$23="No control",(SUMIF(Tank4!$B$32:$B$49,$J2617,Tank4!$C$32:$C$49)*Impacts!$F$11),0)</f>
        <v>0</v>
      </c>
      <c r="P2617" s="10">
        <f>IF(Tank5!$C$23="No control",(SUMIF(Tank5!$B$32:$B$49,$J2617,Tank5!$C$32:$C$49)*Impacts!$F$12),0)</f>
        <v>0</v>
      </c>
      <c r="Q2617" s="10">
        <f>IFERROR(IF(('Loading-drum,tote'!$C$21)="No control",SUMIF(('Loading-drum,tote'!$B$31:$B$48),$J2617,('Loading-drum,tote'!$D$31:$D$48))*Impacts!$F$13,IF(('Loading-drum,tote'!$C$21)&lt;&gt;"No control",SUMIF(('Loading-drum,tote'!$B$31:$B$48),$J2617,('Loading-drum,tote'!$E$31:$E$48))*Impacts!$F$13,0)),0)</f>
        <v>0</v>
      </c>
      <c r="R2617" s="10">
        <f>IFERROR(IF(('Loading-truck'!$C$21)="No control",SUMIF(('Loading-truck'!$B$31:$B$48),$J2617,('Loading-truck'!$D$31:$D$48))*Impacts!$F$14,IF(('Loading-truck'!$C$21)&lt;&gt;"No control",SUMIF(('Loading-truck'!$B$31:$B$48),$J2617,('Loading-truck'!$E$31:$E$48))*Impacts!$F$14,0)),0)</f>
        <v>0</v>
      </c>
      <c r="S2617" s="10">
        <f>IFERROR(IF(('Loading-rail'!$C$21)="No control",SUMIF(('Loading-rail'!$B$31:$B$48),$J2617,('Loading-rail'!$D$31:$D$48))*Impacts!$F$15,IF(('Loading-rail'!$C$21)&lt;&gt;"No control",SUMIF(('Loading-rail'!$B$31:$B$48),$J2617,('Loading-rail'!$E$31:$E$48))*Impacts!$F$15,0)),0)</f>
        <v>0</v>
      </c>
      <c r="T2617" s="10">
        <f>IF(Flare!$C$7="",0,(SUMIF(Flare!$B$46:$B$185,$J2617,Flare!$E$46:$E$185)*Impacts!$F$16))</f>
        <v>0</v>
      </c>
      <c r="U2617" s="10">
        <f>IF(VCU!$C$9="",0,(SUMIF(VCU!$B$51:$B$193,$J2617,VCU!$E$51:$E$193)*Impacts!$F$17))</f>
        <v>0</v>
      </c>
      <c r="V2617" s="10">
        <f>IF(CAS!$C$7="",0,(SUMIF(CAS!$B$31:$B$167,$J2617,CAS!$E$31:$E$167)*Impacts!$F$18))</f>
        <v>0</v>
      </c>
      <c r="W2617" s="10">
        <f t="shared" si="81"/>
        <v>0</v>
      </c>
      <c r="AK2617" s="10" t="str">
        <f t="array" ref="AK2617">IFERROR(INDEX(SelectedSpecies,SMALL(IF(SelectedSpecies=AK$1,ROW(SelectedSpecies)),ROW(2618:2618)),2),"")</f>
        <v/>
      </c>
      <c r="BE2617" s="10"/>
      <c r="BI2617" s="10"/>
    </row>
    <row r="2618" spans="1:61" ht="21" customHeight="1" x14ac:dyDescent="0.25">
      <c r="A2618" s="10"/>
      <c r="B2618" s="10"/>
      <c r="E2618" s="10"/>
      <c r="G2618" s="10"/>
      <c r="I2618" s="436" t="s">
        <v>2149</v>
      </c>
      <c r="J2618" s="26" t="s">
        <v>2148</v>
      </c>
      <c r="K2618" s="10">
        <v>15</v>
      </c>
      <c r="L2618" s="73">
        <f>IF(Tank1!$C$23="No control",(SUMIF(Tank1!$B$32:$B$49,$J2618,Tank1!$C$32:$C$49)*Impacts!$F$8),0)</f>
        <v>0</v>
      </c>
      <c r="M2618" s="10">
        <f>IF(Tank2!$C$23="No control",(SUMIF(Tank2!$B$32:$B$49,$J2618,Tank2!$C$32:$C$49)*Impacts!$F$9),0)</f>
        <v>0</v>
      </c>
      <c r="N2618" s="10">
        <f>IF(Tank3!$C$23="No control",(SUMIF(Tank3!$B$32:$B$49,$J2618,Tank3!$C$32:$C$49)*Impacts!$F$10),0)</f>
        <v>0</v>
      </c>
      <c r="O2618" s="10">
        <f>IF(Tank4!$C$23="No control",(SUMIF(Tank4!$B$32:$B$49,$J2618,Tank4!$C$32:$C$49)*Impacts!$F$11),0)</f>
        <v>0</v>
      </c>
      <c r="P2618" s="10">
        <f>IF(Tank5!$C$23="No control",(SUMIF(Tank5!$B$32:$B$49,$J2618,Tank5!$C$32:$C$49)*Impacts!$F$12),0)</f>
        <v>0</v>
      </c>
      <c r="Q2618" s="10">
        <f>IFERROR(IF(('Loading-drum,tote'!$C$21)="No control",SUMIF(('Loading-drum,tote'!$B$31:$B$48),$J2618,('Loading-drum,tote'!$D$31:$D$48))*Impacts!$F$13,IF(('Loading-drum,tote'!$C$21)&lt;&gt;"No control",SUMIF(('Loading-drum,tote'!$B$31:$B$48),$J2618,('Loading-drum,tote'!$E$31:$E$48))*Impacts!$F$13,0)),0)</f>
        <v>0</v>
      </c>
      <c r="R2618" s="10">
        <f>IFERROR(IF(('Loading-truck'!$C$21)="No control",SUMIF(('Loading-truck'!$B$31:$B$48),$J2618,('Loading-truck'!$D$31:$D$48))*Impacts!$F$14,IF(('Loading-truck'!$C$21)&lt;&gt;"No control",SUMIF(('Loading-truck'!$B$31:$B$48),$J2618,('Loading-truck'!$E$31:$E$48))*Impacts!$F$14,0)),0)</f>
        <v>0</v>
      </c>
      <c r="S2618" s="10">
        <f>IFERROR(IF(('Loading-rail'!$C$21)="No control",SUMIF(('Loading-rail'!$B$31:$B$48),$J2618,('Loading-rail'!$D$31:$D$48))*Impacts!$F$15,IF(('Loading-rail'!$C$21)&lt;&gt;"No control",SUMIF(('Loading-rail'!$B$31:$B$48),$J2618,('Loading-rail'!$E$31:$E$48))*Impacts!$F$15,0)),0)</f>
        <v>0</v>
      </c>
      <c r="T2618" s="10">
        <f>IF(Flare!$C$7="",0,(SUMIF(Flare!$B$46:$B$185,$J2618,Flare!$E$46:$E$185)*Impacts!$F$16))</f>
        <v>0</v>
      </c>
      <c r="U2618" s="10">
        <f>IF(VCU!$C$9="",0,(SUMIF(VCU!$B$51:$B$193,$J2618,VCU!$E$51:$E$193)*Impacts!$F$17))</f>
        <v>0</v>
      </c>
      <c r="V2618" s="10">
        <f>IF(CAS!$C$7="",0,(SUMIF(CAS!$B$31:$B$167,$J2618,CAS!$E$31:$E$167)*Impacts!$F$18))</f>
        <v>0</v>
      </c>
      <c r="W2618" s="10">
        <f t="shared" si="81"/>
        <v>0</v>
      </c>
      <c r="AK2618" s="10" t="str">
        <f t="array" ref="AK2618">IFERROR(INDEX(SelectedSpecies,SMALL(IF(SelectedSpecies=AK$1,ROW(SelectedSpecies)),ROW(2619:2619)),2),"")</f>
        <v/>
      </c>
      <c r="BE2618" s="10"/>
      <c r="BI2618" s="10"/>
    </row>
    <row r="2619" spans="1:61" ht="21" customHeight="1" x14ac:dyDescent="0.25">
      <c r="A2619" s="10"/>
      <c r="B2619" s="10"/>
      <c r="E2619" s="10"/>
      <c r="G2619" s="10"/>
      <c r="I2619" s="436" t="s">
        <v>1562</v>
      </c>
      <c r="J2619" s="26" t="s">
        <v>1561</v>
      </c>
      <c r="K2619" s="10">
        <v>27</v>
      </c>
      <c r="L2619" s="73">
        <f>IF(Tank1!$C$23="No control",(SUMIF(Tank1!$B$32:$B$49,$J2619,Tank1!$C$32:$C$49)*Impacts!$F$8),0)</f>
        <v>0</v>
      </c>
      <c r="M2619" s="10">
        <f>IF(Tank2!$C$23="No control",(SUMIF(Tank2!$B$32:$B$49,$J2619,Tank2!$C$32:$C$49)*Impacts!$F$9),0)</f>
        <v>0</v>
      </c>
      <c r="N2619" s="10">
        <f>IF(Tank3!$C$23="No control",(SUMIF(Tank3!$B$32:$B$49,$J2619,Tank3!$C$32:$C$49)*Impacts!$F$10),0)</f>
        <v>0</v>
      </c>
      <c r="O2619" s="10">
        <f>IF(Tank4!$C$23="No control",(SUMIF(Tank4!$B$32:$B$49,$J2619,Tank4!$C$32:$C$49)*Impacts!$F$11),0)</f>
        <v>0</v>
      </c>
      <c r="P2619" s="10">
        <f>IF(Tank5!$C$23="No control",(SUMIF(Tank5!$B$32:$B$49,$J2619,Tank5!$C$32:$C$49)*Impacts!$F$12),0)</f>
        <v>0</v>
      </c>
      <c r="Q2619" s="10">
        <f>IFERROR(IF(('Loading-drum,tote'!$C$21)="No control",SUMIF(('Loading-drum,tote'!$B$31:$B$48),$J2619,('Loading-drum,tote'!$D$31:$D$48))*Impacts!$F$13,IF(('Loading-drum,tote'!$C$21)&lt;&gt;"No control",SUMIF(('Loading-drum,tote'!$B$31:$B$48),$J2619,('Loading-drum,tote'!$E$31:$E$48))*Impacts!$F$13,0)),0)</f>
        <v>0</v>
      </c>
      <c r="R2619" s="10">
        <f>IFERROR(IF(('Loading-truck'!$C$21)="No control",SUMIF(('Loading-truck'!$B$31:$B$48),$J2619,('Loading-truck'!$D$31:$D$48))*Impacts!$F$14,IF(('Loading-truck'!$C$21)&lt;&gt;"No control",SUMIF(('Loading-truck'!$B$31:$B$48),$J2619,('Loading-truck'!$E$31:$E$48))*Impacts!$F$14,0)),0)</f>
        <v>0</v>
      </c>
      <c r="S2619" s="10">
        <f>IFERROR(IF(('Loading-rail'!$C$21)="No control",SUMIF(('Loading-rail'!$B$31:$B$48),$J2619,('Loading-rail'!$D$31:$D$48))*Impacts!$F$15,IF(('Loading-rail'!$C$21)&lt;&gt;"No control",SUMIF(('Loading-rail'!$B$31:$B$48),$J2619,('Loading-rail'!$E$31:$E$48))*Impacts!$F$15,0)),0)</f>
        <v>0</v>
      </c>
      <c r="T2619" s="10">
        <f>IF(Flare!$C$7="",0,(SUMIF(Flare!$B$46:$B$185,$J2619,Flare!$E$46:$E$185)*Impacts!$F$16))</f>
        <v>0</v>
      </c>
      <c r="U2619" s="10">
        <f>IF(VCU!$C$9="",0,(SUMIF(VCU!$B$51:$B$193,$J2619,VCU!$E$51:$E$193)*Impacts!$F$17))</f>
        <v>0</v>
      </c>
      <c r="V2619" s="10">
        <f>IF(CAS!$C$7="",0,(SUMIF(CAS!$B$31:$B$167,$J2619,CAS!$E$31:$E$167)*Impacts!$F$18))</f>
        <v>0</v>
      </c>
      <c r="W2619" s="10">
        <f t="shared" si="81"/>
        <v>0</v>
      </c>
      <c r="AK2619" s="10" t="str">
        <f t="array" ref="AK2619">IFERROR(INDEX(SelectedSpecies,SMALL(IF(SelectedSpecies=AK$1,ROW(SelectedSpecies)),ROW(2620:2620)),2),"")</f>
        <v/>
      </c>
      <c r="BE2619" s="10"/>
      <c r="BI2619" s="10"/>
    </row>
    <row r="2620" spans="1:61" ht="21" customHeight="1" x14ac:dyDescent="0.25">
      <c r="A2620" s="10"/>
      <c r="B2620" s="10"/>
      <c r="E2620" s="10"/>
      <c r="G2620" s="10"/>
      <c r="I2620" s="436" t="s">
        <v>5055</v>
      </c>
      <c r="J2620" s="26" t="s">
        <v>5054</v>
      </c>
      <c r="K2620" s="10">
        <v>2.3000000000000003</v>
      </c>
      <c r="L2620" s="73">
        <f>IF(Tank1!$C$23="No control",(SUMIF(Tank1!$B$32:$B$49,$J2620,Tank1!$C$32:$C$49)*Impacts!$F$8),0)</f>
        <v>0</v>
      </c>
      <c r="M2620" s="10">
        <f>IF(Tank2!$C$23="No control",(SUMIF(Tank2!$B$32:$B$49,$J2620,Tank2!$C$32:$C$49)*Impacts!$F$9),0)</f>
        <v>0</v>
      </c>
      <c r="N2620" s="10">
        <f>IF(Tank3!$C$23="No control",(SUMIF(Tank3!$B$32:$B$49,$J2620,Tank3!$C$32:$C$49)*Impacts!$F$10),0)</f>
        <v>0</v>
      </c>
      <c r="O2620" s="10">
        <f>IF(Tank4!$C$23="No control",(SUMIF(Tank4!$B$32:$B$49,$J2620,Tank4!$C$32:$C$49)*Impacts!$F$11),0)</f>
        <v>0</v>
      </c>
      <c r="P2620" s="10">
        <f>IF(Tank5!$C$23="No control",(SUMIF(Tank5!$B$32:$B$49,$J2620,Tank5!$C$32:$C$49)*Impacts!$F$12),0)</f>
        <v>0</v>
      </c>
      <c r="Q2620" s="10">
        <f>IFERROR(IF(('Loading-drum,tote'!$C$21)="No control",SUMIF(('Loading-drum,tote'!$B$31:$B$48),$J2620,('Loading-drum,tote'!$D$31:$D$48))*Impacts!$F$13,IF(('Loading-drum,tote'!$C$21)&lt;&gt;"No control",SUMIF(('Loading-drum,tote'!$B$31:$B$48),$J2620,('Loading-drum,tote'!$E$31:$E$48))*Impacts!$F$13,0)),0)</f>
        <v>0</v>
      </c>
      <c r="R2620" s="10">
        <f>IFERROR(IF(('Loading-truck'!$C$21)="No control",SUMIF(('Loading-truck'!$B$31:$B$48),$J2620,('Loading-truck'!$D$31:$D$48))*Impacts!$F$14,IF(('Loading-truck'!$C$21)&lt;&gt;"No control",SUMIF(('Loading-truck'!$B$31:$B$48),$J2620,('Loading-truck'!$E$31:$E$48))*Impacts!$F$14,0)),0)</f>
        <v>0</v>
      </c>
      <c r="S2620" s="10">
        <f>IFERROR(IF(('Loading-rail'!$C$21)="No control",SUMIF(('Loading-rail'!$B$31:$B$48),$J2620,('Loading-rail'!$D$31:$D$48))*Impacts!$F$15,IF(('Loading-rail'!$C$21)&lt;&gt;"No control",SUMIF(('Loading-rail'!$B$31:$B$48),$J2620,('Loading-rail'!$E$31:$E$48))*Impacts!$F$15,0)),0)</f>
        <v>0</v>
      </c>
      <c r="T2620" s="10">
        <f>IF(Flare!$C$7="",0,(SUMIF(Flare!$B$46:$B$185,$J2620,Flare!$E$46:$E$185)*Impacts!$F$16))</f>
        <v>0</v>
      </c>
      <c r="U2620" s="10">
        <f>IF(VCU!$C$9="",0,(SUMIF(VCU!$B$51:$B$193,$J2620,VCU!$E$51:$E$193)*Impacts!$F$17))</f>
        <v>0</v>
      </c>
      <c r="V2620" s="10">
        <f>IF(CAS!$C$7="",0,(SUMIF(CAS!$B$31:$B$167,$J2620,CAS!$E$31:$E$167)*Impacts!$F$18))</f>
        <v>0</v>
      </c>
      <c r="W2620" s="10">
        <f t="shared" si="81"/>
        <v>0</v>
      </c>
      <c r="AK2620" s="10" t="str">
        <f t="array" ref="AK2620">IFERROR(INDEX(SelectedSpecies,SMALL(IF(SelectedSpecies=AK$1,ROW(SelectedSpecies)),ROW(2621:2621)),2),"")</f>
        <v/>
      </c>
      <c r="BE2620" s="10"/>
      <c r="BI2620" s="10"/>
    </row>
    <row r="2621" spans="1:61" ht="21" customHeight="1" x14ac:dyDescent="0.25">
      <c r="A2621" s="10"/>
      <c r="B2621" s="10"/>
      <c r="E2621" s="10"/>
      <c r="G2621" s="10"/>
      <c r="I2621" s="436" t="s">
        <v>836</v>
      </c>
      <c r="J2621" s="26" t="s">
        <v>835</v>
      </c>
      <c r="K2621" s="10">
        <v>48</v>
      </c>
      <c r="L2621" s="73">
        <f>IF(Tank1!$C$23="No control",(SUMIF(Tank1!$B$32:$B$49,$J2621,Tank1!$C$32:$C$49)*Impacts!$F$8),0)</f>
        <v>0</v>
      </c>
      <c r="M2621" s="10">
        <f>IF(Tank2!$C$23="No control",(SUMIF(Tank2!$B$32:$B$49,$J2621,Tank2!$C$32:$C$49)*Impacts!$F$9),0)</f>
        <v>0</v>
      </c>
      <c r="N2621" s="10">
        <f>IF(Tank3!$C$23="No control",(SUMIF(Tank3!$B$32:$B$49,$J2621,Tank3!$C$32:$C$49)*Impacts!$F$10),0)</f>
        <v>0</v>
      </c>
      <c r="O2621" s="10">
        <f>IF(Tank4!$C$23="No control",(SUMIF(Tank4!$B$32:$B$49,$J2621,Tank4!$C$32:$C$49)*Impacts!$F$11),0)</f>
        <v>0</v>
      </c>
      <c r="P2621" s="10">
        <f>IF(Tank5!$C$23="No control",(SUMIF(Tank5!$B$32:$B$49,$J2621,Tank5!$C$32:$C$49)*Impacts!$F$12),0)</f>
        <v>0</v>
      </c>
      <c r="Q2621" s="10">
        <f>IFERROR(IF(('Loading-drum,tote'!$C$21)="No control",SUMIF(('Loading-drum,tote'!$B$31:$B$48),$J2621,('Loading-drum,tote'!$D$31:$D$48))*Impacts!$F$13,IF(('Loading-drum,tote'!$C$21)&lt;&gt;"No control",SUMIF(('Loading-drum,tote'!$B$31:$B$48),$J2621,('Loading-drum,tote'!$E$31:$E$48))*Impacts!$F$13,0)),0)</f>
        <v>0</v>
      </c>
      <c r="R2621" s="10">
        <f>IFERROR(IF(('Loading-truck'!$C$21)="No control",SUMIF(('Loading-truck'!$B$31:$B$48),$J2621,('Loading-truck'!$D$31:$D$48))*Impacts!$F$14,IF(('Loading-truck'!$C$21)&lt;&gt;"No control",SUMIF(('Loading-truck'!$B$31:$B$48),$J2621,('Loading-truck'!$E$31:$E$48))*Impacts!$F$14,0)),0)</f>
        <v>0</v>
      </c>
      <c r="S2621" s="10">
        <f>IFERROR(IF(('Loading-rail'!$C$21)="No control",SUMIF(('Loading-rail'!$B$31:$B$48),$J2621,('Loading-rail'!$D$31:$D$48))*Impacts!$F$15,IF(('Loading-rail'!$C$21)&lt;&gt;"No control",SUMIF(('Loading-rail'!$B$31:$B$48),$J2621,('Loading-rail'!$E$31:$E$48))*Impacts!$F$15,0)),0)</f>
        <v>0</v>
      </c>
      <c r="T2621" s="10">
        <f>IF(Flare!$C$7="",0,(SUMIF(Flare!$B$46:$B$185,$J2621,Flare!$E$46:$E$185)*Impacts!$F$16))</f>
        <v>0</v>
      </c>
      <c r="U2621" s="10">
        <f>IF(VCU!$C$9="",0,(SUMIF(VCU!$B$51:$B$193,$J2621,VCU!$E$51:$E$193)*Impacts!$F$17))</f>
        <v>0</v>
      </c>
      <c r="V2621" s="10">
        <f>IF(CAS!$C$7="",0,(SUMIF(CAS!$B$31:$B$167,$J2621,CAS!$E$31:$E$167)*Impacts!$F$18))</f>
        <v>0</v>
      </c>
      <c r="W2621" s="10">
        <f t="shared" si="81"/>
        <v>0</v>
      </c>
      <c r="AK2621" s="10" t="str">
        <f t="array" ref="AK2621">IFERROR(INDEX(SelectedSpecies,SMALL(IF(SelectedSpecies=AK$1,ROW(SelectedSpecies)),ROW(2622:2622)),2),"")</f>
        <v/>
      </c>
      <c r="BE2621" s="10"/>
      <c r="BI2621" s="10"/>
    </row>
    <row r="2622" spans="1:61" ht="21" customHeight="1" x14ac:dyDescent="0.25">
      <c r="A2622" s="10"/>
      <c r="B2622" s="10"/>
      <c r="E2622" s="10"/>
      <c r="G2622" s="10"/>
      <c r="I2622" s="436" t="s">
        <v>8188</v>
      </c>
      <c r="J2622" s="26" t="s">
        <v>8187</v>
      </c>
      <c r="K2622" s="10">
        <v>1.0000000000000002E-2</v>
      </c>
      <c r="L2622" s="73">
        <f>IF(Tank1!$C$23="No control",(SUMIF(Tank1!$B$32:$B$49,$J2622,Tank1!$C$32:$C$49)*Impacts!$F$8),0)</f>
        <v>0</v>
      </c>
      <c r="M2622" s="10">
        <f>IF(Tank2!$C$23="No control",(SUMIF(Tank2!$B$32:$B$49,$J2622,Tank2!$C$32:$C$49)*Impacts!$F$9),0)</f>
        <v>0</v>
      </c>
      <c r="N2622" s="10">
        <f>IF(Tank3!$C$23="No control",(SUMIF(Tank3!$B$32:$B$49,$J2622,Tank3!$C$32:$C$49)*Impacts!$F$10),0)</f>
        <v>0</v>
      </c>
      <c r="O2622" s="10">
        <f>IF(Tank4!$C$23="No control",(SUMIF(Tank4!$B$32:$B$49,$J2622,Tank4!$C$32:$C$49)*Impacts!$F$11),0)</f>
        <v>0</v>
      </c>
      <c r="P2622" s="10">
        <f>IF(Tank5!$C$23="No control",(SUMIF(Tank5!$B$32:$B$49,$J2622,Tank5!$C$32:$C$49)*Impacts!$F$12),0)</f>
        <v>0</v>
      </c>
      <c r="Q2622" s="10">
        <f>IFERROR(IF(('Loading-drum,tote'!$C$21)="No control",SUMIF(('Loading-drum,tote'!$B$31:$B$48),$J2622,('Loading-drum,tote'!$D$31:$D$48))*Impacts!$F$13,IF(('Loading-drum,tote'!$C$21)&lt;&gt;"No control",SUMIF(('Loading-drum,tote'!$B$31:$B$48),$J2622,('Loading-drum,tote'!$E$31:$E$48))*Impacts!$F$13,0)),0)</f>
        <v>0</v>
      </c>
      <c r="R2622" s="10">
        <f>IFERROR(IF(('Loading-truck'!$C$21)="No control",SUMIF(('Loading-truck'!$B$31:$B$48),$J2622,('Loading-truck'!$D$31:$D$48))*Impacts!$F$14,IF(('Loading-truck'!$C$21)&lt;&gt;"No control",SUMIF(('Loading-truck'!$B$31:$B$48),$J2622,('Loading-truck'!$E$31:$E$48))*Impacts!$F$14,0)),0)</f>
        <v>0</v>
      </c>
      <c r="S2622" s="10">
        <f>IFERROR(IF(('Loading-rail'!$C$21)="No control",SUMIF(('Loading-rail'!$B$31:$B$48),$J2622,('Loading-rail'!$D$31:$D$48))*Impacts!$F$15,IF(('Loading-rail'!$C$21)&lt;&gt;"No control",SUMIF(('Loading-rail'!$B$31:$B$48),$J2622,('Loading-rail'!$E$31:$E$48))*Impacts!$F$15,0)),0)</f>
        <v>0</v>
      </c>
      <c r="T2622" s="10">
        <f>IF(Flare!$C$7="",0,(SUMIF(Flare!$B$46:$B$185,$J2622,Flare!$E$46:$E$185)*Impacts!$F$16))</f>
        <v>0</v>
      </c>
      <c r="U2622" s="10">
        <f>IF(VCU!$C$9="",0,(SUMIF(VCU!$B$51:$B$193,$J2622,VCU!$E$51:$E$193)*Impacts!$F$17))</f>
        <v>0</v>
      </c>
      <c r="V2622" s="10">
        <f>IF(CAS!$C$7="",0,(SUMIF(CAS!$B$31:$B$167,$J2622,CAS!$E$31:$E$167)*Impacts!$F$18))</f>
        <v>0</v>
      </c>
      <c r="W2622" s="10">
        <f t="shared" si="81"/>
        <v>0</v>
      </c>
      <c r="AK2622" s="10" t="str">
        <f t="array" ref="AK2622">IFERROR(INDEX(SelectedSpecies,SMALL(IF(SelectedSpecies=AK$1,ROW(SelectedSpecies)),ROW(2623:2623)),2),"")</f>
        <v/>
      </c>
      <c r="BE2622" s="10"/>
      <c r="BI2622" s="10"/>
    </row>
    <row r="2623" spans="1:61" ht="21" customHeight="1" x14ac:dyDescent="0.25">
      <c r="A2623" s="10"/>
      <c r="B2623" s="10"/>
      <c r="E2623" s="10"/>
      <c r="G2623" s="10"/>
      <c r="I2623" s="436" t="s">
        <v>5453</v>
      </c>
      <c r="J2623" s="26" t="s">
        <v>5452</v>
      </c>
      <c r="K2623" s="10">
        <v>1.4000000000000001</v>
      </c>
      <c r="L2623" s="73">
        <f>IF(Tank1!$C$23="No control",(SUMIF(Tank1!$B$32:$B$49,$J2623,Tank1!$C$32:$C$49)*Impacts!$F$8),0)</f>
        <v>0</v>
      </c>
      <c r="M2623" s="10">
        <f>IF(Tank2!$C$23="No control",(SUMIF(Tank2!$B$32:$B$49,$J2623,Tank2!$C$32:$C$49)*Impacts!$F$9),0)</f>
        <v>0</v>
      </c>
      <c r="N2623" s="10">
        <f>IF(Tank3!$C$23="No control",(SUMIF(Tank3!$B$32:$B$49,$J2623,Tank3!$C$32:$C$49)*Impacts!$F$10),0)</f>
        <v>0</v>
      </c>
      <c r="O2623" s="10">
        <f>IF(Tank4!$C$23="No control",(SUMIF(Tank4!$B$32:$B$49,$J2623,Tank4!$C$32:$C$49)*Impacts!$F$11),0)</f>
        <v>0</v>
      </c>
      <c r="P2623" s="10">
        <f>IF(Tank5!$C$23="No control",(SUMIF(Tank5!$B$32:$B$49,$J2623,Tank5!$C$32:$C$49)*Impacts!$F$12),0)</f>
        <v>0</v>
      </c>
      <c r="Q2623" s="10">
        <f>IFERROR(IF(('Loading-drum,tote'!$C$21)="No control",SUMIF(('Loading-drum,tote'!$B$31:$B$48),$J2623,('Loading-drum,tote'!$D$31:$D$48))*Impacts!$F$13,IF(('Loading-drum,tote'!$C$21)&lt;&gt;"No control",SUMIF(('Loading-drum,tote'!$B$31:$B$48),$J2623,('Loading-drum,tote'!$E$31:$E$48))*Impacts!$F$13,0)),0)</f>
        <v>0</v>
      </c>
      <c r="R2623" s="10">
        <f>IFERROR(IF(('Loading-truck'!$C$21)="No control",SUMIF(('Loading-truck'!$B$31:$B$48),$J2623,('Loading-truck'!$D$31:$D$48))*Impacts!$F$14,IF(('Loading-truck'!$C$21)&lt;&gt;"No control",SUMIF(('Loading-truck'!$B$31:$B$48),$J2623,('Loading-truck'!$E$31:$E$48))*Impacts!$F$14,0)),0)</f>
        <v>0</v>
      </c>
      <c r="S2623" s="10">
        <f>IFERROR(IF(('Loading-rail'!$C$21)="No control",SUMIF(('Loading-rail'!$B$31:$B$48),$J2623,('Loading-rail'!$D$31:$D$48))*Impacts!$F$15,IF(('Loading-rail'!$C$21)&lt;&gt;"No control",SUMIF(('Loading-rail'!$B$31:$B$48),$J2623,('Loading-rail'!$E$31:$E$48))*Impacts!$F$15,0)),0)</f>
        <v>0</v>
      </c>
      <c r="T2623" s="10">
        <f>IF(Flare!$C$7="",0,(SUMIF(Flare!$B$46:$B$185,$J2623,Flare!$E$46:$E$185)*Impacts!$F$16))</f>
        <v>0</v>
      </c>
      <c r="U2623" s="10">
        <f>IF(VCU!$C$9="",0,(SUMIF(VCU!$B$51:$B$193,$J2623,VCU!$E$51:$E$193)*Impacts!$F$17))</f>
        <v>0</v>
      </c>
      <c r="V2623" s="10">
        <f>IF(CAS!$C$7="",0,(SUMIF(CAS!$B$31:$B$167,$J2623,CAS!$E$31:$E$167)*Impacts!$F$18))</f>
        <v>0</v>
      </c>
      <c r="W2623" s="10">
        <f t="shared" si="81"/>
        <v>0</v>
      </c>
      <c r="AK2623" s="10" t="str">
        <f t="array" ref="AK2623">IFERROR(INDEX(SelectedSpecies,SMALL(IF(SelectedSpecies=AK$1,ROW(SelectedSpecies)),ROW(2624:2624)),2),"")</f>
        <v/>
      </c>
      <c r="BE2623" s="10"/>
      <c r="BI2623" s="10"/>
    </row>
    <row r="2624" spans="1:61" ht="21" customHeight="1" x14ac:dyDescent="0.25">
      <c r="A2624" s="10"/>
      <c r="B2624" s="10"/>
      <c r="E2624" s="10"/>
      <c r="G2624" s="10"/>
      <c r="I2624" s="436" t="s">
        <v>7516</v>
      </c>
      <c r="J2624" s="26" t="s">
        <v>7515</v>
      </c>
      <c r="K2624" s="10">
        <v>0.2</v>
      </c>
      <c r="L2624" s="73">
        <f>IF(Tank1!$C$23="No control",(SUMIF(Tank1!$B$32:$B$49,$J2624,Tank1!$C$32:$C$49)*Impacts!$F$8),0)</f>
        <v>0</v>
      </c>
      <c r="M2624" s="10">
        <f>IF(Tank2!$C$23="No control",(SUMIF(Tank2!$B$32:$B$49,$J2624,Tank2!$C$32:$C$49)*Impacts!$F$9),0)</f>
        <v>0</v>
      </c>
      <c r="N2624" s="10">
        <f>IF(Tank3!$C$23="No control",(SUMIF(Tank3!$B$32:$B$49,$J2624,Tank3!$C$32:$C$49)*Impacts!$F$10),0)</f>
        <v>0</v>
      </c>
      <c r="O2624" s="10">
        <f>IF(Tank4!$C$23="No control",(SUMIF(Tank4!$B$32:$B$49,$J2624,Tank4!$C$32:$C$49)*Impacts!$F$11),0)</f>
        <v>0</v>
      </c>
      <c r="P2624" s="10">
        <f>IF(Tank5!$C$23="No control",(SUMIF(Tank5!$B$32:$B$49,$J2624,Tank5!$C$32:$C$49)*Impacts!$F$12),0)</f>
        <v>0</v>
      </c>
      <c r="Q2624" s="10">
        <f>IFERROR(IF(('Loading-drum,tote'!$C$21)="No control",SUMIF(('Loading-drum,tote'!$B$31:$B$48),$J2624,('Loading-drum,tote'!$D$31:$D$48))*Impacts!$F$13,IF(('Loading-drum,tote'!$C$21)&lt;&gt;"No control",SUMIF(('Loading-drum,tote'!$B$31:$B$48),$J2624,('Loading-drum,tote'!$E$31:$E$48))*Impacts!$F$13,0)),0)</f>
        <v>0</v>
      </c>
      <c r="R2624" s="10">
        <f>IFERROR(IF(('Loading-truck'!$C$21)="No control",SUMIF(('Loading-truck'!$B$31:$B$48),$J2624,('Loading-truck'!$D$31:$D$48))*Impacts!$F$14,IF(('Loading-truck'!$C$21)&lt;&gt;"No control",SUMIF(('Loading-truck'!$B$31:$B$48),$J2624,('Loading-truck'!$E$31:$E$48))*Impacts!$F$14,0)),0)</f>
        <v>0</v>
      </c>
      <c r="S2624" s="10">
        <f>IFERROR(IF(('Loading-rail'!$C$21)="No control",SUMIF(('Loading-rail'!$B$31:$B$48),$J2624,('Loading-rail'!$D$31:$D$48))*Impacts!$F$15,IF(('Loading-rail'!$C$21)&lt;&gt;"No control",SUMIF(('Loading-rail'!$B$31:$B$48),$J2624,('Loading-rail'!$E$31:$E$48))*Impacts!$F$15,0)),0)</f>
        <v>0</v>
      </c>
      <c r="T2624" s="10">
        <f>IF(Flare!$C$7="",0,(SUMIF(Flare!$B$46:$B$185,$J2624,Flare!$E$46:$E$185)*Impacts!$F$16))</f>
        <v>0</v>
      </c>
      <c r="U2624" s="10">
        <f>IF(VCU!$C$9="",0,(SUMIF(VCU!$B$51:$B$193,$J2624,VCU!$E$51:$E$193)*Impacts!$F$17))</f>
        <v>0</v>
      </c>
      <c r="V2624" s="10">
        <f>IF(CAS!$C$7="",0,(SUMIF(CAS!$B$31:$B$167,$J2624,CAS!$E$31:$E$167)*Impacts!$F$18))</f>
        <v>0</v>
      </c>
      <c r="W2624" s="10">
        <f t="shared" si="81"/>
        <v>0</v>
      </c>
      <c r="AK2624" s="10" t="str">
        <f t="array" ref="AK2624">IFERROR(INDEX(SelectedSpecies,SMALL(IF(SelectedSpecies=AK$1,ROW(SelectedSpecies)),ROW(2625:2625)),2),"")</f>
        <v/>
      </c>
      <c r="BE2624" s="10"/>
      <c r="BI2624" s="10"/>
    </row>
    <row r="2625" spans="1:61" ht="21" customHeight="1" x14ac:dyDescent="0.25">
      <c r="A2625" s="10"/>
      <c r="B2625" s="10"/>
      <c r="E2625" s="10"/>
      <c r="G2625" s="10"/>
      <c r="I2625" s="436" t="s">
        <v>6882</v>
      </c>
      <c r="J2625" s="26" t="s">
        <v>6881</v>
      </c>
      <c r="K2625" s="10">
        <v>0.5</v>
      </c>
      <c r="L2625" s="73">
        <f>IF(Tank1!$C$23="No control",(SUMIF(Tank1!$B$32:$B$49,$J2625,Tank1!$C$32:$C$49)*Impacts!$F$8),0)</f>
        <v>0</v>
      </c>
      <c r="M2625" s="10">
        <f>IF(Tank2!$C$23="No control",(SUMIF(Tank2!$B$32:$B$49,$J2625,Tank2!$C$32:$C$49)*Impacts!$F$9),0)</f>
        <v>0</v>
      </c>
      <c r="N2625" s="10">
        <f>IF(Tank3!$C$23="No control",(SUMIF(Tank3!$B$32:$B$49,$J2625,Tank3!$C$32:$C$49)*Impacts!$F$10),0)</f>
        <v>0</v>
      </c>
      <c r="O2625" s="10">
        <f>IF(Tank4!$C$23="No control",(SUMIF(Tank4!$B$32:$B$49,$J2625,Tank4!$C$32:$C$49)*Impacts!$F$11),0)</f>
        <v>0</v>
      </c>
      <c r="P2625" s="10">
        <f>IF(Tank5!$C$23="No control",(SUMIF(Tank5!$B$32:$B$49,$J2625,Tank5!$C$32:$C$49)*Impacts!$F$12),0)</f>
        <v>0</v>
      </c>
      <c r="Q2625" s="10">
        <f>IFERROR(IF(('Loading-drum,tote'!$C$21)="No control",SUMIF(('Loading-drum,tote'!$B$31:$B$48),$J2625,('Loading-drum,tote'!$D$31:$D$48))*Impacts!$F$13,IF(('Loading-drum,tote'!$C$21)&lt;&gt;"No control",SUMIF(('Loading-drum,tote'!$B$31:$B$48),$J2625,('Loading-drum,tote'!$E$31:$E$48))*Impacts!$F$13,0)),0)</f>
        <v>0</v>
      </c>
      <c r="R2625" s="10">
        <f>IFERROR(IF(('Loading-truck'!$C$21)="No control",SUMIF(('Loading-truck'!$B$31:$B$48),$J2625,('Loading-truck'!$D$31:$D$48))*Impacts!$F$14,IF(('Loading-truck'!$C$21)&lt;&gt;"No control",SUMIF(('Loading-truck'!$B$31:$B$48),$J2625,('Loading-truck'!$E$31:$E$48))*Impacts!$F$14,0)),0)</f>
        <v>0</v>
      </c>
      <c r="S2625" s="10">
        <f>IFERROR(IF(('Loading-rail'!$C$21)="No control",SUMIF(('Loading-rail'!$B$31:$B$48),$J2625,('Loading-rail'!$D$31:$D$48))*Impacts!$F$15,IF(('Loading-rail'!$C$21)&lt;&gt;"No control",SUMIF(('Loading-rail'!$B$31:$B$48),$J2625,('Loading-rail'!$E$31:$E$48))*Impacts!$F$15,0)),0)</f>
        <v>0</v>
      </c>
      <c r="T2625" s="10">
        <f>IF(Flare!$C$7="",0,(SUMIF(Flare!$B$46:$B$185,$J2625,Flare!$E$46:$E$185)*Impacts!$F$16))</f>
        <v>0</v>
      </c>
      <c r="U2625" s="10">
        <f>IF(VCU!$C$9="",0,(SUMIF(VCU!$B$51:$B$193,$J2625,VCU!$E$51:$E$193)*Impacts!$F$17))</f>
        <v>0</v>
      </c>
      <c r="V2625" s="10">
        <f>IF(CAS!$C$7="",0,(SUMIF(CAS!$B$31:$B$167,$J2625,CAS!$E$31:$E$167)*Impacts!$F$18))</f>
        <v>0</v>
      </c>
      <c r="W2625" s="10">
        <f t="shared" si="81"/>
        <v>0</v>
      </c>
      <c r="AK2625" s="10" t="str">
        <f t="array" ref="AK2625">IFERROR(INDEX(SelectedSpecies,SMALL(IF(SelectedSpecies=AK$1,ROW(SelectedSpecies)),ROW(2626:2626)),2),"")</f>
        <v/>
      </c>
      <c r="BE2625" s="10"/>
      <c r="BI2625" s="10"/>
    </row>
    <row r="2626" spans="1:61" ht="21" customHeight="1" x14ac:dyDescent="0.25">
      <c r="A2626" s="10"/>
      <c r="B2626" s="10"/>
      <c r="E2626" s="10"/>
      <c r="G2626" s="10"/>
      <c r="I2626" s="436" t="s">
        <v>2381</v>
      </c>
      <c r="J2626" s="26" t="s">
        <v>2380</v>
      </c>
      <c r="K2626" s="10">
        <v>10.3</v>
      </c>
      <c r="L2626" s="73">
        <f>IF(Tank1!$C$23="No control",(SUMIF(Tank1!$B$32:$B$49,$J2626,Tank1!$C$32:$C$49)*Impacts!$F$8),0)</f>
        <v>0</v>
      </c>
      <c r="M2626" s="10">
        <f>IF(Tank2!$C$23="No control",(SUMIF(Tank2!$B$32:$B$49,$J2626,Tank2!$C$32:$C$49)*Impacts!$F$9),0)</f>
        <v>0</v>
      </c>
      <c r="N2626" s="10">
        <f>IF(Tank3!$C$23="No control",(SUMIF(Tank3!$B$32:$B$49,$J2626,Tank3!$C$32:$C$49)*Impacts!$F$10),0)</f>
        <v>0</v>
      </c>
      <c r="O2626" s="10">
        <f>IF(Tank4!$C$23="No control",(SUMIF(Tank4!$B$32:$B$49,$J2626,Tank4!$C$32:$C$49)*Impacts!$F$11),0)</f>
        <v>0</v>
      </c>
      <c r="P2626" s="10">
        <f>IF(Tank5!$C$23="No control",(SUMIF(Tank5!$B$32:$B$49,$J2626,Tank5!$C$32:$C$49)*Impacts!$F$12),0)</f>
        <v>0</v>
      </c>
      <c r="Q2626" s="10">
        <f>IFERROR(IF(('Loading-drum,tote'!$C$21)="No control",SUMIF(('Loading-drum,tote'!$B$31:$B$48),$J2626,('Loading-drum,tote'!$D$31:$D$48))*Impacts!$F$13,IF(('Loading-drum,tote'!$C$21)&lt;&gt;"No control",SUMIF(('Loading-drum,tote'!$B$31:$B$48),$J2626,('Loading-drum,tote'!$E$31:$E$48))*Impacts!$F$13,0)),0)</f>
        <v>0</v>
      </c>
      <c r="R2626" s="10">
        <f>IFERROR(IF(('Loading-truck'!$C$21)="No control",SUMIF(('Loading-truck'!$B$31:$B$48),$J2626,('Loading-truck'!$D$31:$D$48))*Impacts!$F$14,IF(('Loading-truck'!$C$21)&lt;&gt;"No control",SUMIF(('Loading-truck'!$B$31:$B$48),$J2626,('Loading-truck'!$E$31:$E$48))*Impacts!$F$14,0)),0)</f>
        <v>0</v>
      </c>
      <c r="S2626" s="10">
        <f>IFERROR(IF(('Loading-rail'!$C$21)="No control",SUMIF(('Loading-rail'!$B$31:$B$48),$J2626,('Loading-rail'!$D$31:$D$48))*Impacts!$F$15,IF(('Loading-rail'!$C$21)&lt;&gt;"No control",SUMIF(('Loading-rail'!$B$31:$B$48),$J2626,('Loading-rail'!$E$31:$E$48))*Impacts!$F$15,0)),0)</f>
        <v>0</v>
      </c>
      <c r="T2626" s="10">
        <f>IF(Flare!$C$7="",0,(SUMIF(Flare!$B$46:$B$185,$J2626,Flare!$E$46:$E$185)*Impacts!$F$16))</f>
        <v>0</v>
      </c>
      <c r="U2626" s="10">
        <f>IF(VCU!$C$9="",0,(SUMIF(VCU!$B$51:$B$193,$J2626,VCU!$E$51:$E$193)*Impacts!$F$17))</f>
        <v>0</v>
      </c>
      <c r="V2626" s="10">
        <f>IF(CAS!$C$7="",0,(SUMIF(CAS!$B$31:$B$167,$J2626,CAS!$E$31:$E$167)*Impacts!$F$18))</f>
        <v>0</v>
      </c>
      <c r="W2626" s="10">
        <f t="shared" si="81"/>
        <v>0</v>
      </c>
      <c r="AK2626" s="10" t="str">
        <f t="array" ref="AK2626">IFERROR(INDEX(SelectedSpecies,SMALL(IF(SelectedSpecies=AK$1,ROW(SelectedSpecies)),ROW(2627:2627)),2),"")</f>
        <v/>
      </c>
      <c r="BE2626" s="10"/>
      <c r="BI2626" s="10"/>
    </row>
    <row r="2627" spans="1:61" ht="21" customHeight="1" x14ac:dyDescent="0.25">
      <c r="A2627" s="10"/>
      <c r="B2627" s="10"/>
      <c r="E2627" s="10"/>
      <c r="G2627" s="10"/>
      <c r="I2627" s="436" t="s">
        <v>6448</v>
      </c>
      <c r="J2627" s="26" t="s">
        <v>6447</v>
      </c>
      <c r="K2627" s="10">
        <v>0.8</v>
      </c>
      <c r="L2627" s="73">
        <f>IF(Tank1!$C$23="No control",(SUMIF(Tank1!$B$32:$B$49,$J2627,Tank1!$C$32:$C$49)*Impacts!$F$8),0)</f>
        <v>0</v>
      </c>
      <c r="M2627" s="10">
        <f>IF(Tank2!$C$23="No control",(SUMIF(Tank2!$B$32:$B$49,$J2627,Tank2!$C$32:$C$49)*Impacts!$F$9),0)</f>
        <v>0</v>
      </c>
      <c r="N2627" s="10">
        <f>IF(Tank3!$C$23="No control",(SUMIF(Tank3!$B$32:$B$49,$J2627,Tank3!$C$32:$C$49)*Impacts!$F$10),0)</f>
        <v>0</v>
      </c>
      <c r="O2627" s="10">
        <f>IF(Tank4!$C$23="No control",(SUMIF(Tank4!$B$32:$B$49,$J2627,Tank4!$C$32:$C$49)*Impacts!$F$11),0)</f>
        <v>0</v>
      </c>
      <c r="P2627" s="10">
        <f>IF(Tank5!$C$23="No control",(SUMIF(Tank5!$B$32:$B$49,$J2627,Tank5!$C$32:$C$49)*Impacts!$F$12),0)</f>
        <v>0</v>
      </c>
      <c r="Q2627" s="10">
        <f>IFERROR(IF(('Loading-drum,tote'!$C$21)="No control",SUMIF(('Loading-drum,tote'!$B$31:$B$48),$J2627,('Loading-drum,tote'!$D$31:$D$48))*Impacts!$F$13,IF(('Loading-drum,tote'!$C$21)&lt;&gt;"No control",SUMIF(('Loading-drum,tote'!$B$31:$B$48),$J2627,('Loading-drum,tote'!$E$31:$E$48))*Impacts!$F$13,0)),0)</f>
        <v>0</v>
      </c>
      <c r="R2627" s="10">
        <f>IFERROR(IF(('Loading-truck'!$C$21)="No control",SUMIF(('Loading-truck'!$B$31:$B$48),$J2627,('Loading-truck'!$D$31:$D$48))*Impacts!$F$14,IF(('Loading-truck'!$C$21)&lt;&gt;"No control",SUMIF(('Loading-truck'!$B$31:$B$48),$J2627,('Loading-truck'!$E$31:$E$48))*Impacts!$F$14,0)),0)</f>
        <v>0</v>
      </c>
      <c r="S2627" s="10">
        <f>IFERROR(IF(('Loading-rail'!$C$21)="No control",SUMIF(('Loading-rail'!$B$31:$B$48),$J2627,('Loading-rail'!$D$31:$D$48))*Impacts!$F$15,IF(('Loading-rail'!$C$21)&lt;&gt;"No control",SUMIF(('Loading-rail'!$B$31:$B$48),$J2627,('Loading-rail'!$E$31:$E$48))*Impacts!$F$15,0)),0)</f>
        <v>0</v>
      </c>
      <c r="T2627" s="10">
        <f>IF(Flare!$C$7="",0,(SUMIF(Flare!$B$46:$B$185,$J2627,Flare!$E$46:$E$185)*Impacts!$F$16))</f>
        <v>0</v>
      </c>
      <c r="U2627" s="10">
        <f>IF(VCU!$C$9="",0,(SUMIF(VCU!$B$51:$B$193,$J2627,VCU!$E$51:$E$193)*Impacts!$F$17))</f>
        <v>0</v>
      </c>
      <c r="V2627" s="10">
        <f>IF(CAS!$C$7="",0,(SUMIF(CAS!$B$31:$B$167,$J2627,CAS!$E$31:$E$167)*Impacts!$F$18))</f>
        <v>0</v>
      </c>
      <c r="W2627" s="10">
        <f t="shared" si="81"/>
        <v>0</v>
      </c>
      <c r="AK2627" s="10" t="str">
        <f t="array" ref="AK2627">IFERROR(INDEX(SelectedSpecies,SMALL(IF(SelectedSpecies=AK$1,ROW(SelectedSpecies)),ROW(2628:2628)),2),"")</f>
        <v/>
      </c>
      <c r="BE2627" s="10"/>
      <c r="BI2627" s="10"/>
    </row>
    <row r="2628" spans="1:61" ht="21" customHeight="1" x14ac:dyDescent="0.25">
      <c r="A2628" s="10"/>
      <c r="B2628" s="10"/>
      <c r="E2628" s="10"/>
      <c r="G2628" s="10"/>
      <c r="I2628" s="436" t="s">
        <v>7144</v>
      </c>
      <c r="J2628" s="26" t="s">
        <v>7143</v>
      </c>
      <c r="K2628" s="10">
        <v>0.37000000000000005</v>
      </c>
      <c r="L2628" s="73">
        <f>IF(Tank1!$C$23="No control",(SUMIF(Tank1!$B$32:$B$49,$J2628,Tank1!$C$32:$C$49)*Impacts!$F$8),0)</f>
        <v>0</v>
      </c>
      <c r="M2628" s="10">
        <f>IF(Tank2!$C$23="No control",(SUMIF(Tank2!$B$32:$B$49,$J2628,Tank2!$C$32:$C$49)*Impacts!$F$9),0)</f>
        <v>0</v>
      </c>
      <c r="N2628" s="10">
        <f>IF(Tank3!$C$23="No control",(SUMIF(Tank3!$B$32:$B$49,$J2628,Tank3!$C$32:$C$49)*Impacts!$F$10),0)</f>
        <v>0</v>
      </c>
      <c r="O2628" s="10">
        <f>IF(Tank4!$C$23="No control",(SUMIF(Tank4!$B$32:$B$49,$J2628,Tank4!$C$32:$C$49)*Impacts!$F$11),0)</f>
        <v>0</v>
      </c>
      <c r="P2628" s="10">
        <f>IF(Tank5!$C$23="No control",(SUMIF(Tank5!$B$32:$B$49,$J2628,Tank5!$C$32:$C$49)*Impacts!$F$12),0)</f>
        <v>0</v>
      </c>
      <c r="Q2628" s="10">
        <f>IFERROR(IF(('Loading-drum,tote'!$C$21)="No control",SUMIF(('Loading-drum,tote'!$B$31:$B$48),$J2628,('Loading-drum,tote'!$D$31:$D$48))*Impacts!$F$13,IF(('Loading-drum,tote'!$C$21)&lt;&gt;"No control",SUMIF(('Loading-drum,tote'!$B$31:$B$48),$J2628,('Loading-drum,tote'!$E$31:$E$48))*Impacts!$F$13,0)),0)</f>
        <v>0</v>
      </c>
      <c r="R2628" s="10">
        <f>IFERROR(IF(('Loading-truck'!$C$21)="No control",SUMIF(('Loading-truck'!$B$31:$B$48),$J2628,('Loading-truck'!$D$31:$D$48))*Impacts!$F$14,IF(('Loading-truck'!$C$21)&lt;&gt;"No control",SUMIF(('Loading-truck'!$B$31:$B$48),$J2628,('Loading-truck'!$E$31:$E$48))*Impacts!$F$14,0)),0)</f>
        <v>0</v>
      </c>
      <c r="S2628" s="10">
        <f>IFERROR(IF(('Loading-rail'!$C$21)="No control",SUMIF(('Loading-rail'!$B$31:$B$48),$J2628,('Loading-rail'!$D$31:$D$48))*Impacts!$F$15,IF(('Loading-rail'!$C$21)&lt;&gt;"No control",SUMIF(('Loading-rail'!$B$31:$B$48),$J2628,('Loading-rail'!$E$31:$E$48))*Impacts!$F$15,0)),0)</f>
        <v>0</v>
      </c>
      <c r="T2628" s="10">
        <f>IF(Flare!$C$7="",0,(SUMIF(Flare!$B$46:$B$185,$J2628,Flare!$E$46:$E$185)*Impacts!$F$16))</f>
        <v>0</v>
      </c>
      <c r="U2628" s="10">
        <f>IF(VCU!$C$9="",0,(SUMIF(VCU!$B$51:$B$193,$J2628,VCU!$E$51:$E$193)*Impacts!$F$17))</f>
        <v>0</v>
      </c>
      <c r="V2628" s="10">
        <f>IF(CAS!$C$7="",0,(SUMIF(CAS!$B$31:$B$167,$J2628,CAS!$E$31:$E$167)*Impacts!$F$18))</f>
        <v>0</v>
      </c>
      <c r="W2628" s="10">
        <f t="shared" si="81"/>
        <v>0</v>
      </c>
      <c r="AK2628" s="10" t="str">
        <f t="array" ref="AK2628">IFERROR(INDEX(SelectedSpecies,SMALL(IF(SelectedSpecies=AK$1,ROW(SelectedSpecies)),ROW(2629:2629)),2),"")</f>
        <v/>
      </c>
      <c r="BE2628" s="10"/>
      <c r="BI2628" s="10"/>
    </row>
    <row r="2629" spans="1:61" ht="21" customHeight="1" x14ac:dyDescent="0.25">
      <c r="A2629" s="10"/>
      <c r="B2629" s="10"/>
      <c r="E2629" s="10"/>
      <c r="G2629" s="10"/>
      <c r="I2629" s="436" t="s">
        <v>1412</v>
      </c>
      <c r="J2629" s="26" t="s">
        <v>1411</v>
      </c>
      <c r="K2629" s="10">
        <v>31</v>
      </c>
      <c r="L2629" s="73">
        <f>IF(Tank1!$C$23="No control",(SUMIF(Tank1!$B$32:$B$49,$J2629,Tank1!$C$32:$C$49)*Impacts!$F$8),0)</f>
        <v>0</v>
      </c>
      <c r="M2629" s="10">
        <f>IF(Tank2!$C$23="No control",(SUMIF(Tank2!$B$32:$B$49,$J2629,Tank2!$C$32:$C$49)*Impacts!$F$9),0)</f>
        <v>0</v>
      </c>
      <c r="N2629" s="10">
        <f>IF(Tank3!$C$23="No control",(SUMIF(Tank3!$B$32:$B$49,$J2629,Tank3!$C$32:$C$49)*Impacts!$F$10),0)</f>
        <v>0</v>
      </c>
      <c r="O2629" s="10">
        <f>IF(Tank4!$C$23="No control",(SUMIF(Tank4!$B$32:$B$49,$J2629,Tank4!$C$32:$C$49)*Impacts!$F$11),0)</f>
        <v>0</v>
      </c>
      <c r="P2629" s="10">
        <f>IF(Tank5!$C$23="No control",(SUMIF(Tank5!$B$32:$B$49,$J2629,Tank5!$C$32:$C$49)*Impacts!$F$12),0)</f>
        <v>0</v>
      </c>
      <c r="Q2629" s="10">
        <f>IFERROR(IF(('Loading-drum,tote'!$C$21)="No control",SUMIF(('Loading-drum,tote'!$B$31:$B$48),$J2629,('Loading-drum,tote'!$D$31:$D$48))*Impacts!$F$13,IF(('Loading-drum,tote'!$C$21)&lt;&gt;"No control",SUMIF(('Loading-drum,tote'!$B$31:$B$48),$J2629,('Loading-drum,tote'!$E$31:$E$48))*Impacts!$F$13,0)),0)</f>
        <v>0</v>
      </c>
      <c r="R2629" s="10">
        <f>IFERROR(IF(('Loading-truck'!$C$21)="No control",SUMIF(('Loading-truck'!$B$31:$B$48),$J2629,('Loading-truck'!$D$31:$D$48))*Impacts!$F$14,IF(('Loading-truck'!$C$21)&lt;&gt;"No control",SUMIF(('Loading-truck'!$B$31:$B$48),$J2629,('Loading-truck'!$E$31:$E$48))*Impacts!$F$14,0)),0)</f>
        <v>0</v>
      </c>
      <c r="S2629" s="10">
        <f>IFERROR(IF(('Loading-rail'!$C$21)="No control",SUMIF(('Loading-rail'!$B$31:$B$48),$J2629,('Loading-rail'!$D$31:$D$48))*Impacts!$F$15,IF(('Loading-rail'!$C$21)&lt;&gt;"No control",SUMIF(('Loading-rail'!$B$31:$B$48),$J2629,('Loading-rail'!$E$31:$E$48))*Impacts!$F$15,0)),0)</f>
        <v>0</v>
      </c>
      <c r="T2629" s="10">
        <f>IF(Flare!$C$7="",0,(SUMIF(Flare!$B$46:$B$185,$J2629,Flare!$E$46:$E$185)*Impacts!$F$16))</f>
        <v>0</v>
      </c>
      <c r="U2629" s="10">
        <f>IF(VCU!$C$9="",0,(SUMIF(VCU!$B$51:$B$193,$J2629,VCU!$E$51:$E$193)*Impacts!$F$17))</f>
        <v>0</v>
      </c>
      <c r="V2629" s="10">
        <f>IF(CAS!$C$7="",0,(SUMIF(CAS!$B$31:$B$167,$J2629,CAS!$E$31:$E$167)*Impacts!$F$18))</f>
        <v>0</v>
      </c>
      <c r="W2629" s="10">
        <f t="shared" si="81"/>
        <v>0</v>
      </c>
      <c r="AK2629" s="10" t="str">
        <f t="array" ref="AK2629">IFERROR(INDEX(SelectedSpecies,SMALL(IF(SelectedSpecies=AK$1,ROW(SelectedSpecies)),ROW(2630:2630)),2),"")</f>
        <v/>
      </c>
      <c r="BE2629" s="10"/>
      <c r="BI2629" s="10"/>
    </row>
    <row r="2630" spans="1:61" ht="21" customHeight="1" x14ac:dyDescent="0.25">
      <c r="A2630" s="10"/>
      <c r="B2630" s="10"/>
      <c r="E2630" s="10"/>
      <c r="G2630" s="10"/>
      <c r="I2630" s="436" t="s">
        <v>1624</v>
      </c>
      <c r="J2630" s="26" t="s">
        <v>1623</v>
      </c>
      <c r="K2630" s="10">
        <v>25</v>
      </c>
      <c r="L2630" s="73">
        <f>IF(Tank1!$C$23="No control",(SUMIF(Tank1!$B$32:$B$49,$J2630,Tank1!$C$32:$C$49)*Impacts!$F$8),0)</f>
        <v>0</v>
      </c>
      <c r="M2630" s="10">
        <f>IF(Tank2!$C$23="No control",(SUMIF(Tank2!$B$32:$B$49,$J2630,Tank2!$C$32:$C$49)*Impacts!$F$9),0)</f>
        <v>0</v>
      </c>
      <c r="N2630" s="10">
        <f>IF(Tank3!$C$23="No control",(SUMIF(Tank3!$B$32:$B$49,$J2630,Tank3!$C$32:$C$49)*Impacts!$F$10),0)</f>
        <v>0</v>
      </c>
      <c r="O2630" s="10">
        <f>IF(Tank4!$C$23="No control",(SUMIF(Tank4!$B$32:$B$49,$J2630,Tank4!$C$32:$C$49)*Impacts!$F$11),0)</f>
        <v>0</v>
      </c>
      <c r="P2630" s="10">
        <f>IF(Tank5!$C$23="No control",(SUMIF(Tank5!$B$32:$B$49,$J2630,Tank5!$C$32:$C$49)*Impacts!$F$12),0)</f>
        <v>0</v>
      </c>
      <c r="Q2630" s="10">
        <f>IFERROR(IF(('Loading-drum,tote'!$C$21)="No control",SUMIF(('Loading-drum,tote'!$B$31:$B$48),$J2630,('Loading-drum,tote'!$D$31:$D$48))*Impacts!$F$13,IF(('Loading-drum,tote'!$C$21)&lt;&gt;"No control",SUMIF(('Loading-drum,tote'!$B$31:$B$48),$J2630,('Loading-drum,tote'!$E$31:$E$48))*Impacts!$F$13,0)),0)</f>
        <v>0</v>
      </c>
      <c r="R2630" s="10">
        <f>IFERROR(IF(('Loading-truck'!$C$21)="No control",SUMIF(('Loading-truck'!$B$31:$B$48),$J2630,('Loading-truck'!$D$31:$D$48))*Impacts!$F$14,IF(('Loading-truck'!$C$21)&lt;&gt;"No control",SUMIF(('Loading-truck'!$B$31:$B$48),$J2630,('Loading-truck'!$E$31:$E$48))*Impacts!$F$14,0)),0)</f>
        <v>0</v>
      </c>
      <c r="S2630" s="10">
        <f>IFERROR(IF(('Loading-rail'!$C$21)="No control",SUMIF(('Loading-rail'!$B$31:$B$48),$J2630,('Loading-rail'!$D$31:$D$48))*Impacts!$F$15,IF(('Loading-rail'!$C$21)&lt;&gt;"No control",SUMIF(('Loading-rail'!$B$31:$B$48),$J2630,('Loading-rail'!$E$31:$E$48))*Impacts!$F$15,0)),0)</f>
        <v>0</v>
      </c>
      <c r="T2630" s="10">
        <f>IF(Flare!$C$7="",0,(SUMIF(Flare!$B$46:$B$185,$J2630,Flare!$E$46:$E$185)*Impacts!$F$16))</f>
        <v>0</v>
      </c>
      <c r="U2630" s="10">
        <f>IF(VCU!$C$9="",0,(SUMIF(VCU!$B$51:$B$193,$J2630,VCU!$E$51:$E$193)*Impacts!$F$17))</f>
        <v>0</v>
      </c>
      <c r="V2630" s="10">
        <f>IF(CAS!$C$7="",0,(SUMIF(CAS!$B$31:$B$167,$J2630,CAS!$E$31:$E$167)*Impacts!$F$18))</f>
        <v>0</v>
      </c>
      <c r="W2630" s="10">
        <f t="shared" si="81"/>
        <v>0</v>
      </c>
      <c r="AK2630" s="10" t="str">
        <f t="array" ref="AK2630">IFERROR(INDEX(SelectedSpecies,SMALL(IF(SelectedSpecies=AK$1,ROW(SelectedSpecies)),ROW(2631:2631)),2),"")</f>
        <v/>
      </c>
      <c r="BE2630" s="10"/>
      <c r="BI2630" s="10"/>
    </row>
    <row r="2631" spans="1:61" ht="21" customHeight="1" x14ac:dyDescent="0.25">
      <c r="A2631" s="10"/>
      <c r="B2631" s="10"/>
      <c r="E2631" s="10"/>
      <c r="G2631" s="10"/>
      <c r="I2631" s="436" t="s">
        <v>1466</v>
      </c>
      <c r="J2631" s="26" t="s">
        <v>1465</v>
      </c>
      <c r="K2631" s="10">
        <v>30</v>
      </c>
      <c r="L2631" s="73">
        <f>IF(Tank1!$C$23="No control",(SUMIF(Tank1!$B$32:$B$49,$J2631,Tank1!$C$32:$C$49)*Impacts!$F$8),0)</f>
        <v>0</v>
      </c>
      <c r="M2631" s="10">
        <f>IF(Tank2!$C$23="No control",(SUMIF(Tank2!$B$32:$B$49,$J2631,Tank2!$C$32:$C$49)*Impacts!$F$9),0)</f>
        <v>0</v>
      </c>
      <c r="N2631" s="10">
        <f>IF(Tank3!$C$23="No control",(SUMIF(Tank3!$B$32:$B$49,$J2631,Tank3!$C$32:$C$49)*Impacts!$F$10),0)</f>
        <v>0</v>
      </c>
      <c r="O2631" s="10">
        <f>IF(Tank4!$C$23="No control",(SUMIF(Tank4!$B$32:$B$49,$J2631,Tank4!$C$32:$C$49)*Impacts!$F$11),0)</f>
        <v>0</v>
      </c>
      <c r="P2631" s="10">
        <f>IF(Tank5!$C$23="No control",(SUMIF(Tank5!$B$32:$B$49,$J2631,Tank5!$C$32:$C$49)*Impacts!$F$12),0)</f>
        <v>0</v>
      </c>
      <c r="Q2631" s="10">
        <f>IFERROR(IF(('Loading-drum,tote'!$C$21)="No control",SUMIF(('Loading-drum,tote'!$B$31:$B$48),$J2631,('Loading-drum,tote'!$D$31:$D$48))*Impacts!$F$13,IF(('Loading-drum,tote'!$C$21)&lt;&gt;"No control",SUMIF(('Loading-drum,tote'!$B$31:$B$48),$J2631,('Loading-drum,tote'!$E$31:$E$48))*Impacts!$F$13,0)),0)</f>
        <v>0</v>
      </c>
      <c r="R2631" s="10">
        <f>IFERROR(IF(('Loading-truck'!$C$21)="No control",SUMIF(('Loading-truck'!$B$31:$B$48),$J2631,('Loading-truck'!$D$31:$D$48))*Impacts!$F$14,IF(('Loading-truck'!$C$21)&lt;&gt;"No control",SUMIF(('Loading-truck'!$B$31:$B$48),$J2631,('Loading-truck'!$E$31:$E$48))*Impacts!$F$14,0)),0)</f>
        <v>0</v>
      </c>
      <c r="S2631" s="10">
        <f>IFERROR(IF(('Loading-rail'!$C$21)="No control",SUMIF(('Loading-rail'!$B$31:$B$48),$J2631,('Loading-rail'!$D$31:$D$48))*Impacts!$F$15,IF(('Loading-rail'!$C$21)&lt;&gt;"No control",SUMIF(('Loading-rail'!$B$31:$B$48),$J2631,('Loading-rail'!$E$31:$E$48))*Impacts!$F$15,0)),0)</f>
        <v>0</v>
      </c>
      <c r="T2631" s="10">
        <f>IF(Flare!$C$7="",0,(SUMIF(Flare!$B$46:$B$185,$J2631,Flare!$E$46:$E$185)*Impacts!$F$16))</f>
        <v>0</v>
      </c>
      <c r="U2631" s="10">
        <f>IF(VCU!$C$9="",0,(SUMIF(VCU!$B$51:$B$193,$J2631,VCU!$E$51:$E$193)*Impacts!$F$17))</f>
        <v>0</v>
      </c>
      <c r="V2631" s="10">
        <f>IF(CAS!$C$7="",0,(SUMIF(CAS!$B$31:$B$167,$J2631,CAS!$E$31:$E$167)*Impacts!$F$18))</f>
        <v>0</v>
      </c>
      <c r="W2631" s="10">
        <f t="shared" si="81"/>
        <v>0</v>
      </c>
      <c r="AK2631" s="10" t="str">
        <f t="array" ref="AK2631">IFERROR(INDEX(SelectedSpecies,SMALL(IF(SelectedSpecies=AK$1,ROW(SelectedSpecies)),ROW(2632:2632)),2),"")</f>
        <v/>
      </c>
      <c r="BE2631" s="10"/>
      <c r="BI2631" s="10"/>
    </row>
    <row r="2632" spans="1:61" ht="21" customHeight="1" x14ac:dyDescent="0.25">
      <c r="A2632" s="10"/>
      <c r="B2632" s="10"/>
      <c r="E2632" s="10"/>
      <c r="G2632" s="10"/>
      <c r="I2632" s="436" t="s">
        <v>2539</v>
      </c>
      <c r="J2632" s="26" t="s">
        <v>2538</v>
      </c>
      <c r="K2632" s="10">
        <v>10</v>
      </c>
      <c r="L2632" s="73">
        <f>IF(Tank1!$C$23="No control",(SUMIF(Tank1!$B$32:$B$49,$J2632,Tank1!$C$32:$C$49)*Impacts!$F$8),0)</f>
        <v>0</v>
      </c>
      <c r="M2632" s="10">
        <f>IF(Tank2!$C$23="No control",(SUMIF(Tank2!$B$32:$B$49,$J2632,Tank2!$C$32:$C$49)*Impacts!$F$9),0)</f>
        <v>0</v>
      </c>
      <c r="N2632" s="10">
        <f>IF(Tank3!$C$23="No control",(SUMIF(Tank3!$B$32:$B$49,$J2632,Tank3!$C$32:$C$49)*Impacts!$F$10),0)</f>
        <v>0</v>
      </c>
      <c r="O2632" s="10">
        <f>IF(Tank4!$C$23="No control",(SUMIF(Tank4!$B$32:$B$49,$J2632,Tank4!$C$32:$C$49)*Impacts!$F$11),0)</f>
        <v>0</v>
      </c>
      <c r="P2632" s="10">
        <f>IF(Tank5!$C$23="No control",(SUMIF(Tank5!$B$32:$B$49,$J2632,Tank5!$C$32:$C$49)*Impacts!$F$12),0)</f>
        <v>0</v>
      </c>
      <c r="Q2632" s="10">
        <f>IFERROR(IF(('Loading-drum,tote'!$C$21)="No control",SUMIF(('Loading-drum,tote'!$B$31:$B$48),$J2632,('Loading-drum,tote'!$D$31:$D$48))*Impacts!$F$13,IF(('Loading-drum,tote'!$C$21)&lt;&gt;"No control",SUMIF(('Loading-drum,tote'!$B$31:$B$48),$J2632,('Loading-drum,tote'!$E$31:$E$48))*Impacts!$F$13,0)),0)</f>
        <v>0</v>
      </c>
      <c r="R2632" s="10">
        <f>IFERROR(IF(('Loading-truck'!$C$21)="No control",SUMIF(('Loading-truck'!$B$31:$B$48),$J2632,('Loading-truck'!$D$31:$D$48))*Impacts!$F$14,IF(('Loading-truck'!$C$21)&lt;&gt;"No control",SUMIF(('Loading-truck'!$B$31:$B$48),$J2632,('Loading-truck'!$E$31:$E$48))*Impacts!$F$14,0)),0)</f>
        <v>0</v>
      </c>
      <c r="S2632" s="10">
        <f>IFERROR(IF(('Loading-rail'!$C$21)="No control",SUMIF(('Loading-rail'!$B$31:$B$48),$J2632,('Loading-rail'!$D$31:$D$48))*Impacts!$F$15,IF(('Loading-rail'!$C$21)&lt;&gt;"No control",SUMIF(('Loading-rail'!$B$31:$B$48),$J2632,('Loading-rail'!$E$31:$E$48))*Impacts!$F$15,0)),0)</f>
        <v>0</v>
      </c>
      <c r="T2632" s="10">
        <f>IF(Flare!$C$7="",0,(SUMIF(Flare!$B$46:$B$185,$J2632,Flare!$E$46:$E$185)*Impacts!$F$16))</f>
        <v>0</v>
      </c>
      <c r="U2632" s="10">
        <f>IF(VCU!$C$9="",0,(SUMIF(VCU!$B$51:$B$193,$J2632,VCU!$E$51:$E$193)*Impacts!$F$17))</f>
        <v>0</v>
      </c>
      <c r="V2632" s="10">
        <f>IF(CAS!$C$7="",0,(SUMIF(CAS!$B$31:$B$167,$J2632,CAS!$E$31:$E$167)*Impacts!$F$18))</f>
        <v>0</v>
      </c>
      <c r="W2632" s="10">
        <f t="shared" si="81"/>
        <v>0</v>
      </c>
      <c r="AK2632" s="10" t="str">
        <f t="array" ref="AK2632">IFERROR(INDEX(SelectedSpecies,SMALL(IF(SelectedSpecies=AK$1,ROW(SelectedSpecies)),ROW(2633:2633)),2),"")</f>
        <v/>
      </c>
      <c r="BE2632" s="10"/>
      <c r="BI2632" s="10"/>
    </row>
    <row r="2633" spans="1:61" ht="21" customHeight="1" x14ac:dyDescent="0.25">
      <c r="A2633" s="10"/>
      <c r="B2633" s="10"/>
      <c r="E2633" s="10"/>
      <c r="G2633" s="10"/>
      <c r="I2633" s="436" t="s">
        <v>5455</v>
      </c>
      <c r="J2633" s="26" t="s">
        <v>5454</v>
      </c>
      <c r="K2633" s="10">
        <v>1.4000000000000001</v>
      </c>
      <c r="L2633" s="73">
        <f>IF(Tank1!$C$23="No control",(SUMIF(Tank1!$B$32:$B$49,$J2633,Tank1!$C$32:$C$49)*Impacts!$F$8),0)</f>
        <v>0</v>
      </c>
      <c r="M2633" s="10">
        <f>IF(Tank2!$C$23="No control",(SUMIF(Tank2!$B$32:$B$49,$J2633,Tank2!$C$32:$C$49)*Impacts!$F$9),0)</f>
        <v>0</v>
      </c>
      <c r="N2633" s="10">
        <f>IF(Tank3!$C$23="No control",(SUMIF(Tank3!$B$32:$B$49,$J2633,Tank3!$C$32:$C$49)*Impacts!$F$10),0)</f>
        <v>0</v>
      </c>
      <c r="O2633" s="10">
        <f>IF(Tank4!$C$23="No control",(SUMIF(Tank4!$B$32:$B$49,$J2633,Tank4!$C$32:$C$49)*Impacts!$F$11),0)</f>
        <v>0</v>
      </c>
      <c r="P2633" s="10">
        <f>IF(Tank5!$C$23="No control",(SUMIF(Tank5!$B$32:$B$49,$J2633,Tank5!$C$32:$C$49)*Impacts!$F$12),0)</f>
        <v>0</v>
      </c>
      <c r="Q2633" s="10">
        <f>IFERROR(IF(('Loading-drum,tote'!$C$21)="No control",SUMIF(('Loading-drum,tote'!$B$31:$B$48),$J2633,('Loading-drum,tote'!$D$31:$D$48))*Impacts!$F$13,IF(('Loading-drum,tote'!$C$21)&lt;&gt;"No control",SUMIF(('Loading-drum,tote'!$B$31:$B$48),$J2633,('Loading-drum,tote'!$E$31:$E$48))*Impacts!$F$13,0)),0)</f>
        <v>0</v>
      </c>
      <c r="R2633" s="10">
        <f>IFERROR(IF(('Loading-truck'!$C$21)="No control",SUMIF(('Loading-truck'!$B$31:$B$48),$J2633,('Loading-truck'!$D$31:$D$48))*Impacts!$F$14,IF(('Loading-truck'!$C$21)&lt;&gt;"No control",SUMIF(('Loading-truck'!$B$31:$B$48),$J2633,('Loading-truck'!$E$31:$E$48))*Impacts!$F$14,0)),0)</f>
        <v>0</v>
      </c>
      <c r="S2633" s="10">
        <f>IFERROR(IF(('Loading-rail'!$C$21)="No control",SUMIF(('Loading-rail'!$B$31:$B$48),$J2633,('Loading-rail'!$D$31:$D$48))*Impacts!$F$15,IF(('Loading-rail'!$C$21)&lt;&gt;"No control",SUMIF(('Loading-rail'!$B$31:$B$48),$J2633,('Loading-rail'!$E$31:$E$48))*Impacts!$F$15,0)),0)</f>
        <v>0</v>
      </c>
      <c r="T2633" s="10">
        <f>IF(Flare!$C$7="",0,(SUMIF(Flare!$B$46:$B$185,$J2633,Flare!$E$46:$E$185)*Impacts!$F$16))</f>
        <v>0</v>
      </c>
      <c r="U2633" s="10">
        <f>IF(VCU!$C$9="",0,(SUMIF(VCU!$B$51:$B$193,$J2633,VCU!$E$51:$E$193)*Impacts!$F$17))</f>
        <v>0</v>
      </c>
      <c r="V2633" s="10">
        <f>IF(CAS!$C$7="",0,(SUMIF(CAS!$B$31:$B$167,$J2633,CAS!$E$31:$E$167)*Impacts!$F$18))</f>
        <v>0</v>
      </c>
      <c r="W2633" s="10">
        <f t="shared" si="81"/>
        <v>0</v>
      </c>
      <c r="AK2633" s="10" t="str">
        <f t="array" ref="AK2633">IFERROR(INDEX(SelectedSpecies,SMALL(IF(SelectedSpecies=AK$1,ROW(SelectedSpecies)),ROW(2634:2634)),2),"")</f>
        <v/>
      </c>
      <c r="BE2633" s="10"/>
      <c r="BI2633" s="10"/>
    </row>
    <row r="2634" spans="1:61" ht="21" customHeight="1" x14ac:dyDescent="0.25">
      <c r="A2634" s="10"/>
      <c r="B2634" s="10"/>
      <c r="E2634" s="10"/>
      <c r="G2634" s="10"/>
      <c r="I2634" s="436" t="s">
        <v>6884</v>
      </c>
      <c r="J2634" s="26" t="s">
        <v>6883</v>
      </c>
      <c r="K2634" s="10">
        <v>0.5</v>
      </c>
      <c r="L2634" s="73">
        <f>IF(Tank1!$C$23="No control",(SUMIF(Tank1!$B$32:$B$49,$J2634,Tank1!$C$32:$C$49)*Impacts!$F$8),0)</f>
        <v>0</v>
      </c>
      <c r="M2634" s="10">
        <f>IF(Tank2!$C$23="No control",(SUMIF(Tank2!$B$32:$B$49,$J2634,Tank2!$C$32:$C$49)*Impacts!$F$9),0)</f>
        <v>0</v>
      </c>
      <c r="N2634" s="10">
        <f>IF(Tank3!$C$23="No control",(SUMIF(Tank3!$B$32:$B$49,$J2634,Tank3!$C$32:$C$49)*Impacts!$F$10),0)</f>
        <v>0</v>
      </c>
      <c r="O2634" s="10">
        <f>IF(Tank4!$C$23="No control",(SUMIF(Tank4!$B$32:$B$49,$J2634,Tank4!$C$32:$C$49)*Impacts!$F$11),0)</f>
        <v>0</v>
      </c>
      <c r="P2634" s="10">
        <f>IF(Tank5!$C$23="No control",(SUMIF(Tank5!$B$32:$B$49,$J2634,Tank5!$C$32:$C$49)*Impacts!$F$12),0)</f>
        <v>0</v>
      </c>
      <c r="Q2634" s="10">
        <f>IFERROR(IF(('Loading-drum,tote'!$C$21)="No control",SUMIF(('Loading-drum,tote'!$B$31:$B$48),$J2634,('Loading-drum,tote'!$D$31:$D$48))*Impacts!$F$13,IF(('Loading-drum,tote'!$C$21)&lt;&gt;"No control",SUMIF(('Loading-drum,tote'!$B$31:$B$48),$J2634,('Loading-drum,tote'!$E$31:$E$48))*Impacts!$F$13,0)),0)</f>
        <v>0</v>
      </c>
      <c r="R2634" s="10">
        <f>IFERROR(IF(('Loading-truck'!$C$21)="No control",SUMIF(('Loading-truck'!$B$31:$B$48),$J2634,('Loading-truck'!$D$31:$D$48))*Impacts!$F$14,IF(('Loading-truck'!$C$21)&lt;&gt;"No control",SUMIF(('Loading-truck'!$B$31:$B$48),$J2634,('Loading-truck'!$E$31:$E$48))*Impacts!$F$14,0)),0)</f>
        <v>0</v>
      </c>
      <c r="S2634" s="10">
        <f>IFERROR(IF(('Loading-rail'!$C$21)="No control",SUMIF(('Loading-rail'!$B$31:$B$48),$J2634,('Loading-rail'!$D$31:$D$48))*Impacts!$F$15,IF(('Loading-rail'!$C$21)&lt;&gt;"No control",SUMIF(('Loading-rail'!$B$31:$B$48),$J2634,('Loading-rail'!$E$31:$E$48))*Impacts!$F$15,0)),0)</f>
        <v>0</v>
      </c>
      <c r="T2634" s="10">
        <f>IF(Flare!$C$7="",0,(SUMIF(Flare!$B$46:$B$185,$J2634,Flare!$E$46:$E$185)*Impacts!$F$16))</f>
        <v>0</v>
      </c>
      <c r="U2634" s="10">
        <f>IF(VCU!$C$9="",0,(SUMIF(VCU!$B$51:$B$193,$J2634,VCU!$E$51:$E$193)*Impacts!$F$17))</f>
        <v>0</v>
      </c>
      <c r="V2634" s="10">
        <f>IF(CAS!$C$7="",0,(SUMIF(CAS!$B$31:$B$167,$J2634,CAS!$E$31:$E$167)*Impacts!$F$18))</f>
        <v>0</v>
      </c>
      <c r="W2634" s="10">
        <f t="shared" si="81"/>
        <v>0</v>
      </c>
      <c r="AK2634" s="10" t="str">
        <f t="array" ref="AK2634">IFERROR(INDEX(SelectedSpecies,SMALL(IF(SelectedSpecies=AK$1,ROW(SelectedSpecies)),ROW(2635:2635)),2),"")</f>
        <v/>
      </c>
      <c r="BE2634" s="10"/>
      <c r="BI2634" s="10"/>
    </row>
    <row r="2635" spans="1:61" ht="21" customHeight="1" x14ac:dyDescent="0.25">
      <c r="A2635" s="10"/>
      <c r="B2635" s="10"/>
      <c r="E2635" s="10"/>
      <c r="G2635" s="10"/>
      <c r="I2635" s="436" t="s">
        <v>1564</v>
      </c>
      <c r="J2635" s="26" t="s">
        <v>1563</v>
      </c>
      <c r="K2635" s="10">
        <v>27</v>
      </c>
      <c r="L2635" s="73">
        <f>IF(Tank1!$C$23="No control",(SUMIF(Tank1!$B$32:$B$49,$J2635,Tank1!$C$32:$C$49)*Impacts!$F$8),0)</f>
        <v>0</v>
      </c>
      <c r="M2635" s="10">
        <f>IF(Tank2!$C$23="No control",(SUMIF(Tank2!$B$32:$B$49,$J2635,Tank2!$C$32:$C$49)*Impacts!$F$9),0)</f>
        <v>0</v>
      </c>
      <c r="N2635" s="10">
        <f>IF(Tank3!$C$23="No control",(SUMIF(Tank3!$B$32:$B$49,$J2635,Tank3!$C$32:$C$49)*Impacts!$F$10),0)</f>
        <v>0</v>
      </c>
      <c r="O2635" s="10">
        <f>IF(Tank4!$C$23="No control",(SUMIF(Tank4!$B$32:$B$49,$J2635,Tank4!$C$32:$C$49)*Impacts!$F$11),0)</f>
        <v>0</v>
      </c>
      <c r="P2635" s="10">
        <f>IF(Tank5!$C$23="No control",(SUMIF(Tank5!$B$32:$B$49,$J2635,Tank5!$C$32:$C$49)*Impacts!$F$12),0)</f>
        <v>0</v>
      </c>
      <c r="Q2635" s="10">
        <f>IFERROR(IF(('Loading-drum,tote'!$C$21)="No control",SUMIF(('Loading-drum,tote'!$B$31:$B$48),$J2635,('Loading-drum,tote'!$D$31:$D$48))*Impacts!$F$13,IF(('Loading-drum,tote'!$C$21)&lt;&gt;"No control",SUMIF(('Loading-drum,tote'!$B$31:$B$48),$J2635,('Loading-drum,tote'!$E$31:$E$48))*Impacts!$F$13,0)),0)</f>
        <v>0</v>
      </c>
      <c r="R2635" s="10">
        <f>IFERROR(IF(('Loading-truck'!$C$21)="No control",SUMIF(('Loading-truck'!$B$31:$B$48),$J2635,('Loading-truck'!$D$31:$D$48))*Impacts!$F$14,IF(('Loading-truck'!$C$21)&lt;&gt;"No control",SUMIF(('Loading-truck'!$B$31:$B$48),$J2635,('Loading-truck'!$E$31:$E$48))*Impacts!$F$14,0)),0)</f>
        <v>0</v>
      </c>
      <c r="S2635" s="10">
        <f>IFERROR(IF(('Loading-rail'!$C$21)="No control",SUMIF(('Loading-rail'!$B$31:$B$48),$J2635,('Loading-rail'!$D$31:$D$48))*Impacts!$F$15,IF(('Loading-rail'!$C$21)&lt;&gt;"No control",SUMIF(('Loading-rail'!$B$31:$B$48),$J2635,('Loading-rail'!$E$31:$E$48))*Impacts!$F$15,0)),0)</f>
        <v>0</v>
      </c>
      <c r="T2635" s="10">
        <f>IF(Flare!$C$7="",0,(SUMIF(Flare!$B$46:$B$185,$J2635,Flare!$E$46:$E$185)*Impacts!$F$16))</f>
        <v>0</v>
      </c>
      <c r="U2635" s="10">
        <f>IF(VCU!$C$9="",0,(SUMIF(VCU!$B$51:$B$193,$J2635,VCU!$E$51:$E$193)*Impacts!$F$17))</f>
        <v>0</v>
      </c>
      <c r="V2635" s="10">
        <f>IF(CAS!$C$7="",0,(SUMIF(CAS!$B$31:$B$167,$J2635,CAS!$E$31:$E$167)*Impacts!$F$18))</f>
        <v>0</v>
      </c>
      <c r="W2635" s="10">
        <f t="shared" si="81"/>
        <v>0</v>
      </c>
      <c r="AK2635" s="10" t="str">
        <f t="array" ref="AK2635">IFERROR(INDEX(SelectedSpecies,SMALL(IF(SelectedSpecies=AK$1,ROW(SelectedSpecies)),ROW(2636:2636)),2),"")</f>
        <v/>
      </c>
      <c r="BE2635" s="10"/>
      <c r="BI2635" s="10"/>
    </row>
    <row r="2636" spans="1:61" ht="21" customHeight="1" x14ac:dyDescent="0.25">
      <c r="A2636" s="10"/>
      <c r="B2636" s="10"/>
      <c r="E2636" s="10"/>
      <c r="G2636" s="10"/>
      <c r="I2636" s="436" t="s">
        <v>7108</v>
      </c>
      <c r="J2636" s="26" t="s">
        <v>7107</v>
      </c>
      <c r="K2636" s="10">
        <v>0.4</v>
      </c>
      <c r="L2636" s="73">
        <f>IF(Tank1!$C$23="No control",(SUMIF(Tank1!$B$32:$B$49,$J2636,Tank1!$C$32:$C$49)*Impacts!$F$8),0)</f>
        <v>0</v>
      </c>
      <c r="M2636" s="10">
        <f>IF(Tank2!$C$23="No control",(SUMIF(Tank2!$B$32:$B$49,$J2636,Tank2!$C$32:$C$49)*Impacts!$F$9),0)</f>
        <v>0</v>
      </c>
      <c r="N2636" s="10">
        <f>IF(Tank3!$C$23="No control",(SUMIF(Tank3!$B$32:$B$49,$J2636,Tank3!$C$32:$C$49)*Impacts!$F$10),0)</f>
        <v>0</v>
      </c>
      <c r="O2636" s="10">
        <f>IF(Tank4!$C$23="No control",(SUMIF(Tank4!$B$32:$B$49,$J2636,Tank4!$C$32:$C$49)*Impacts!$F$11),0)</f>
        <v>0</v>
      </c>
      <c r="P2636" s="10">
        <f>IF(Tank5!$C$23="No control",(SUMIF(Tank5!$B$32:$B$49,$J2636,Tank5!$C$32:$C$49)*Impacts!$F$12),0)</f>
        <v>0</v>
      </c>
      <c r="Q2636" s="10">
        <f>IFERROR(IF(('Loading-drum,tote'!$C$21)="No control",SUMIF(('Loading-drum,tote'!$B$31:$B$48),$J2636,('Loading-drum,tote'!$D$31:$D$48))*Impacts!$F$13,IF(('Loading-drum,tote'!$C$21)&lt;&gt;"No control",SUMIF(('Loading-drum,tote'!$B$31:$B$48),$J2636,('Loading-drum,tote'!$E$31:$E$48))*Impacts!$F$13,0)),0)</f>
        <v>0</v>
      </c>
      <c r="R2636" s="10">
        <f>IFERROR(IF(('Loading-truck'!$C$21)="No control",SUMIF(('Loading-truck'!$B$31:$B$48),$J2636,('Loading-truck'!$D$31:$D$48))*Impacts!$F$14,IF(('Loading-truck'!$C$21)&lt;&gt;"No control",SUMIF(('Loading-truck'!$B$31:$B$48),$J2636,('Loading-truck'!$E$31:$E$48))*Impacts!$F$14,0)),0)</f>
        <v>0</v>
      </c>
      <c r="S2636" s="10">
        <f>IFERROR(IF(('Loading-rail'!$C$21)="No control",SUMIF(('Loading-rail'!$B$31:$B$48),$J2636,('Loading-rail'!$D$31:$D$48))*Impacts!$F$15,IF(('Loading-rail'!$C$21)&lt;&gt;"No control",SUMIF(('Loading-rail'!$B$31:$B$48),$J2636,('Loading-rail'!$E$31:$E$48))*Impacts!$F$15,0)),0)</f>
        <v>0</v>
      </c>
      <c r="T2636" s="10">
        <f>IF(Flare!$C$7="",0,(SUMIF(Flare!$B$46:$B$185,$J2636,Flare!$E$46:$E$185)*Impacts!$F$16))</f>
        <v>0</v>
      </c>
      <c r="U2636" s="10">
        <f>IF(VCU!$C$9="",0,(SUMIF(VCU!$B$51:$B$193,$J2636,VCU!$E$51:$E$193)*Impacts!$F$17))</f>
        <v>0</v>
      </c>
      <c r="V2636" s="10">
        <f>IF(CAS!$C$7="",0,(SUMIF(CAS!$B$31:$B$167,$J2636,CAS!$E$31:$E$167)*Impacts!$F$18))</f>
        <v>0</v>
      </c>
      <c r="W2636" s="10">
        <f t="shared" si="81"/>
        <v>0</v>
      </c>
      <c r="AK2636" s="10" t="str">
        <f t="array" ref="AK2636">IFERROR(INDEX(SelectedSpecies,SMALL(IF(SelectedSpecies=AK$1,ROW(SelectedSpecies)),ROW(2637:2637)),2),"")</f>
        <v/>
      </c>
      <c r="BE2636" s="10"/>
      <c r="BI2636" s="10"/>
    </row>
    <row r="2637" spans="1:61" ht="21" customHeight="1" x14ac:dyDescent="0.25">
      <c r="A2637" s="10"/>
      <c r="B2637" s="10"/>
      <c r="E2637" s="10"/>
      <c r="G2637" s="10"/>
      <c r="I2637" s="436" t="s">
        <v>6886</v>
      </c>
      <c r="J2637" s="26" t="s">
        <v>6885</v>
      </c>
      <c r="K2637" s="10">
        <v>0.5</v>
      </c>
      <c r="L2637" s="73">
        <f>IF(Tank1!$C$23="No control",(SUMIF(Tank1!$B$32:$B$49,$J2637,Tank1!$C$32:$C$49)*Impacts!$F$8),0)</f>
        <v>0</v>
      </c>
      <c r="M2637" s="10">
        <f>IF(Tank2!$C$23="No control",(SUMIF(Tank2!$B$32:$B$49,$J2637,Tank2!$C$32:$C$49)*Impacts!$F$9),0)</f>
        <v>0</v>
      </c>
      <c r="N2637" s="10">
        <f>IF(Tank3!$C$23="No control",(SUMIF(Tank3!$B$32:$B$49,$J2637,Tank3!$C$32:$C$49)*Impacts!$F$10),0)</f>
        <v>0</v>
      </c>
      <c r="O2637" s="10">
        <f>IF(Tank4!$C$23="No control",(SUMIF(Tank4!$B$32:$B$49,$J2637,Tank4!$C$32:$C$49)*Impacts!$F$11),0)</f>
        <v>0</v>
      </c>
      <c r="P2637" s="10">
        <f>IF(Tank5!$C$23="No control",(SUMIF(Tank5!$B$32:$B$49,$J2637,Tank5!$C$32:$C$49)*Impacts!$F$12),0)</f>
        <v>0</v>
      </c>
      <c r="Q2637" s="10">
        <f>IFERROR(IF(('Loading-drum,tote'!$C$21)="No control",SUMIF(('Loading-drum,tote'!$B$31:$B$48),$J2637,('Loading-drum,tote'!$D$31:$D$48))*Impacts!$F$13,IF(('Loading-drum,tote'!$C$21)&lt;&gt;"No control",SUMIF(('Loading-drum,tote'!$B$31:$B$48),$J2637,('Loading-drum,tote'!$E$31:$E$48))*Impacts!$F$13,0)),0)</f>
        <v>0</v>
      </c>
      <c r="R2637" s="10">
        <f>IFERROR(IF(('Loading-truck'!$C$21)="No control",SUMIF(('Loading-truck'!$B$31:$B$48),$J2637,('Loading-truck'!$D$31:$D$48))*Impacts!$F$14,IF(('Loading-truck'!$C$21)&lt;&gt;"No control",SUMIF(('Loading-truck'!$B$31:$B$48),$J2637,('Loading-truck'!$E$31:$E$48))*Impacts!$F$14,0)),0)</f>
        <v>0</v>
      </c>
      <c r="S2637" s="10">
        <f>IFERROR(IF(('Loading-rail'!$C$21)="No control",SUMIF(('Loading-rail'!$B$31:$B$48),$J2637,('Loading-rail'!$D$31:$D$48))*Impacts!$F$15,IF(('Loading-rail'!$C$21)&lt;&gt;"No control",SUMIF(('Loading-rail'!$B$31:$B$48),$J2637,('Loading-rail'!$E$31:$E$48))*Impacts!$F$15,0)),0)</f>
        <v>0</v>
      </c>
      <c r="T2637" s="10">
        <f>IF(Flare!$C$7="",0,(SUMIF(Flare!$B$46:$B$185,$J2637,Flare!$E$46:$E$185)*Impacts!$F$16))</f>
        <v>0</v>
      </c>
      <c r="U2637" s="10">
        <f>IF(VCU!$C$9="",0,(SUMIF(VCU!$B$51:$B$193,$J2637,VCU!$E$51:$E$193)*Impacts!$F$17))</f>
        <v>0</v>
      </c>
      <c r="V2637" s="10">
        <f>IF(CAS!$C$7="",0,(SUMIF(CAS!$B$31:$B$167,$J2637,CAS!$E$31:$E$167)*Impacts!$F$18))</f>
        <v>0</v>
      </c>
      <c r="W2637" s="10">
        <f t="shared" si="81"/>
        <v>0</v>
      </c>
      <c r="AK2637" s="10" t="str">
        <f t="array" ref="AK2637">IFERROR(INDEX(SelectedSpecies,SMALL(IF(SelectedSpecies=AK$1,ROW(SelectedSpecies)),ROW(2638:2638)),2),"")</f>
        <v/>
      </c>
      <c r="BE2637" s="10"/>
      <c r="BI2637" s="10"/>
    </row>
    <row r="2638" spans="1:61" ht="21" customHeight="1" x14ac:dyDescent="0.25">
      <c r="A2638" s="10"/>
      <c r="B2638" s="10"/>
      <c r="E2638" s="10"/>
      <c r="G2638" s="10"/>
      <c r="I2638" s="436" t="s">
        <v>1863</v>
      </c>
      <c r="J2638" s="26" t="s">
        <v>1862</v>
      </c>
      <c r="K2638" s="10">
        <v>20</v>
      </c>
      <c r="L2638" s="73">
        <f>IF(Tank1!$C$23="No control",(SUMIF(Tank1!$B$32:$B$49,$J2638,Tank1!$C$32:$C$49)*Impacts!$F$8),0)</f>
        <v>0</v>
      </c>
      <c r="M2638" s="10">
        <f>IF(Tank2!$C$23="No control",(SUMIF(Tank2!$B$32:$B$49,$J2638,Tank2!$C$32:$C$49)*Impacts!$F$9),0)</f>
        <v>0</v>
      </c>
      <c r="N2638" s="10">
        <f>IF(Tank3!$C$23="No control",(SUMIF(Tank3!$B$32:$B$49,$J2638,Tank3!$C$32:$C$49)*Impacts!$F$10),0)</f>
        <v>0</v>
      </c>
      <c r="O2638" s="10">
        <f>IF(Tank4!$C$23="No control",(SUMIF(Tank4!$B$32:$B$49,$J2638,Tank4!$C$32:$C$49)*Impacts!$F$11),0)</f>
        <v>0</v>
      </c>
      <c r="P2638" s="10">
        <f>IF(Tank5!$C$23="No control",(SUMIF(Tank5!$B$32:$B$49,$J2638,Tank5!$C$32:$C$49)*Impacts!$F$12),0)</f>
        <v>0</v>
      </c>
      <c r="Q2638" s="10">
        <f>IFERROR(IF(('Loading-drum,tote'!$C$21)="No control",SUMIF(('Loading-drum,tote'!$B$31:$B$48),$J2638,('Loading-drum,tote'!$D$31:$D$48))*Impacts!$F$13,IF(('Loading-drum,tote'!$C$21)&lt;&gt;"No control",SUMIF(('Loading-drum,tote'!$B$31:$B$48),$J2638,('Loading-drum,tote'!$E$31:$E$48))*Impacts!$F$13,0)),0)</f>
        <v>0</v>
      </c>
      <c r="R2638" s="10">
        <f>IFERROR(IF(('Loading-truck'!$C$21)="No control",SUMIF(('Loading-truck'!$B$31:$B$48),$J2638,('Loading-truck'!$D$31:$D$48))*Impacts!$F$14,IF(('Loading-truck'!$C$21)&lt;&gt;"No control",SUMIF(('Loading-truck'!$B$31:$B$48),$J2638,('Loading-truck'!$E$31:$E$48))*Impacts!$F$14,0)),0)</f>
        <v>0</v>
      </c>
      <c r="S2638" s="10">
        <f>IFERROR(IF(('Loading-rail'!$C$21)="No control",SUMIF(('Loading-rail'!$B$31:$B$48),$J2638,('Loading-rail'!$D$31:$D$48))*Impacts!$F$15,IF(('Loading-rail'!$C$21)&lt;&gt;"No control",SUMIF(('Loading-rail'!$B$31:$B$48),$J2638,('Loading-rail'!$E$31:$E$48))*Impacts!$F$15,0)),0)</f>
        <v>0</v>
      </c>
      <c r="T2638" s="10">
        <f>IF(Flare!$C$7="",0,(SUMIF(Flare!$B$46:$B$185,$J2638,Flare!$E$46:$E$185)*Impacts!$F$16))</f>
        <v>0</v>
      </c>
      <c r="U2638" s="10">
        <f>IF(VCU!$C$9="",0,(SUMIF(VCU!$B$51:$B$193,$J2638,VCU!$E$51:$E$193)*Impacts!$F$17))</f>
        <v>0</v>
      </c>
      <c r="V2638" s="10">
        <f>IF(CAS!$C$7="",0,(SUMIF(CAS!$B$31:$B$167,$J2638,CAS!$E$31:$E$167)*Impacts!$F$18))</f>
        <v>0</v>
      </c>
      <c r="W2638" s="10">
        <f t="shared" si="81"/>
        <v>0</v>
      </c>
      <c r="AK2638" s="10" t="str">
        <f t="array" ref="AK2638">IFERROR(INDEX(SelectedSpecies,SMALL(IF(SelectedSpecies=AK$1,ROW(SelectedSpecies)),ROW(2639:2639)),2),"")</f>
        <v/>
      </c>
      <c r="BE2638" s="10"/>
      <c r="BI2638" s="10"/>
    </row>
    <row r="2639" spans="1:61" ht="21" customHeight="1" x14ac:dyDescent="0.25">
      <c r="A2639" s="10"/>
      <c r="B2639" s="10"/>
      <c r="E2639" s="10"/>
      <c r="G2639" s="10"/>
      <c r="I2639" s="436" t="s">
        <v>5029</v>
      </c>
      <c r="J2639" s="26" t="s">
        <v>5028</v>
      </c>
      <c r="K2639" s="10">
        <v>2.4000000000000004</v>
      </c>
      <c r="L2639" s="73">
        <f>IF(Tank1!$C$23="No control",(SUMIF(Tank1!$B$32:$B$49,$J2639,Tank1!$C$32:$C$49)*Impacts!$F$8),0)</f>
        <v>0</v>
      </c>
      <c r="M2639" s="10">
        <f>IF(Tank2!$C$23="No control",(SUMIF(Tank2!$B$32:$B$49,$J2639,Tank2!$C$32:$C$49)*Impacts!$F$9),0)</f>
        <v>0</v>
      </c>
      <c r="N2639" s="10">
        <f>IF(Tank3!$C$23="No control",(SUMIF(Tank3!$B$32:$B$49,$J2639,Tank3!$C$32:$C$49)*Impacts!$F$10),0)</f>
        <v>0</v>
      </c>
      <c r="O2639" s="10">
        <f>IF(Tank4!$C$23="No control",(SUMIF(Tank4!$B$32:$B$49,$J2639,Tank4!$C$32:$C$49)*Impacts!$F$11),0)</f>
        <v>0</v>
      </c>
      <c r="P2639" s="10">
        <f>IF(Tank5!$C$23="No control",(SUMIF(Tank5!$B$32:$B$49,$J2639,Tank5!$C$32:$C$49)*Impacts!$F$12),0)</f>
        <v>0</v>
      </c>
      <c r="Q2639" s="10">
        <f>IFERROR(IF(('Loading-drum,tote'!$C$21)="No control",SUMIF(('Loading-drum,tote'!$B$31:$B$48),$J2639,('Loading-drum,tote'!$D$31:$D$48))*Impacts!$F$13,IF(('Loading-drum,tote'!$C$21)&lt;&gt;"No control",SUMIF(('Loading-drum,tote'!$B$31:$B$48),$J2639,('Loading-drum,tote'!$E$31:$E$48))*Impacts!$F$13,0)),0)</f>
        <v>0</v>
      </c>
      <c r="R2639" s="10">
        <f>IFERROR(IF(('Loading-truck'!$C$21)="No control",SUMIF(('Loading-truck'!$B$31:$B$48),$J2639,('Loading-truck'!$D$31:$D$48))*Impacts!$F$14,IF(('Loading-truck'!$C$21)&lt;&gt;"No control",SUMIF(('Loading-truck'!$B$31:$B$48),$J2639,('Loading-truck'!$E$31:$E$48))*Impacts!$F$14,0)),0)</f>
        <v>0</v>
      </c>
      <c r="S2639" s="10">
        <f>IFERROR(IF(('Loading-rail'!$C$21)="No control",SUMIF(('Loading-rail'!$B$31:$B$48),$J2639,('Loading-rail'!$D$31:$D$48))*Impacts!$F$15,IF(('Loading-rail'!$C$21)&lt;&gt;"No control",SUMIF(('Loading-rail'!$B$31:$B$48),$J2639,('Loading-rail'!$E$31:$E$48))*Impacts!$F$15,0)),0)</f>
        <v>0</v>
      </c>
      <c r="T2639" s="10">
        <f>IF(Flare!$C$7="",0,(SUMIF(Flare!$B$46:$B$185,$J2639,Flare!$E$46:$E$185)*Impacts!$F$16))</f>
        <v>0</v>
      </c>
      <c r="U2639" s="10">
        <f>IF(VCU!$C$9="",0,(SUMIF(VCU!$B$51:$B$193,$J2639,VCU!$E$51:$E$193)*Impacts!$F$17))</f>
        <v>0</v>
      </c>
      <c r="V2639" s="10">
        <f>IF(CAS!$C$7="",0,(SUMIF(CAS!$B$31:$B$167,$J2639,CAS!$E$31:$E$167)*Impacts!$F$18))</f>
        <v>0</v>
      </c>
      <c r="W2639" s="10">
        <f t="shared" si="81"/>
        <v>0</v>
      </c>
      <c r="AK2639" s="10" t="str">
        <f t="array" ref="AK2639">IFERROR(INDEX(SelectedSpecies,SMALL(IF(SelectedSpecies=AK$1,ROW(SelectedSpecies)),ROW(2640:2640)),2),"")</f>
        <v/>
      </c>
      <c r="BE2639" s="10"/>
      <c r="BI2639" s="10"/>
    </row>
    <row r="2640" spans="1:61" ht="21" customHeight="1" x14ac:dyDescent="0.25">
      <c r="A2640" s="10"/>
      <c r="B2640" s="10"/>
      <c r="E2640" s="10"/>
      <c r="G2640" s="10"/>
      <c r="I2640" s="436" t="s">
        <v>2357</v>
      </c>
      <c r="J2640" s="26" t="s">
        <v>2356</v>
      </c>
      <c r="K2640" s="10">
        <v>11</v>
      </c>
      <c r="L2640" s="73">
        <f>IF(Tank1!$C$23="No control",(SUMIF(Tank1!$B$32:$B$49,$J2640,Tank1!$C$32:$C$49)*Impacts!$F$8),0)</f>
        <v>0</v>
      </c>
      <c r="M2640" s="10">
        <f>IF(Tank2!$C$23="No control",(SUMIF(Tank2!$B$32:$B$49,$J2640,Tank2!$C$32:$C$49)*Impacts!$F$9),0)</f>
        <v>0</v>
      </c>
      <c r="N2640" s="10">
        <f>IF(Tank3!$C$23="No control",(SUMIF(Tank3!$B$32:$B$49,$J2640,Tank3!$C$32:$C$49)*Impacts!$F$10),0)</f>
        <v>0</v>
      </c>
      <c r="O2640" s="10">
        <f>IF(Tank4!$C$23="No control",(SUMIF(Tank4!$B$32:$B$49,$J2640,Tank4!$C$32:$C$49)*Impacts!$F$11),0)</f>
        <v>0</v>
      </c>
      <c r="P2640" s="10">
        <f>IF(Tank5!$C$23="No control",(SUMIF(Tank5!$B$32:$B$49,$J2640,Tank5!$C$32:$C$49)*Impacts!$F$12),0)</f>
        <v>0</v>
      </c>
      <c r="Q2640" s="10">
        <f>IFERROR(IF(('Loading-drum,tote'!$C$21)="No control",SUMIF(('Loading-drum,tote'!$B$31:$B$48),$J2640,('Loading-drum,tote'!$D$31:$D$48))*Impacts!$F$13,IF(('Loading-drum,tote'!$C$21)&lt;&gt;"No control",SUMIF(('Loading-drum,tote'!$B$31:$B$48),$J2640,('Loading-drum,tote'!$E$31:$E$48))*Impacts!$F$13,0)),0)</f>
        <v>0</v>
      </c>
      <c r="R2640" s="10">
        <f>IFERROR(IF(('Loading-truck'!$C$21)="No control",SUMIF(('Loading-truck'!$B$31:$B$48),$J2640,('Loading-truck'!$D$31:$D$48))*Impacts!$F$14,IF(('Loading-truck'!$C$21)&lt;&gt;"No control",SUMIF(('Loading-truck'!$B$31:$B$48),$J2640,('Loading-truck'!$E$31:$E$48))*Impacts!$F$14,0)),0)</f>
        <v>0</v>
      </c>
      <c r="S2640" s="10">
        <f>IFERROR(IF(('Loading-rail'!$C$21)="No control",SUMIF(('Loading-rail'!$B$31:$B$48),$J2640,('Loading-rail'!$D$31:$D$48))*Impacts!$F$15,IF(('Loading-rail'!$C$21)&lt;&gt;"No control",SUMIF(('Loading-rail'!$B$31:$B$48),$J2640,('Loading-rail'!$E$31:$E$48))*Impacts!$F$15,0)),0)</f>
        <v>0</v>
      </c>
      <c r="T2640" s="10">
        <f>IF(Flare!$C$7="",0,(SUMIF(Flare!$B$46:$B$185,$J2640,Flare!$E$46:$E$185)*Impacts!$F$16))</f>
        <v>0</v>
      </c>
      <c r="U2640" s="10">
        <f>IF(VCU!$C$9="",0,(SUMIF(VCU!$B$51:$B$193,$J2640,VCU!$E$51:$E$193)*Impacts!$F$17))</f>
        <v>0</v>
      </c>
      <c r="V2640" s="10">
        <f>IF(CAS!$C$7="",0,(SUMIF(CAS!$B$31:$B$167,$J2640,CAS!$E$31:$E$167)*Impacts!$F$18))</f>
        <v>0</v>
      </c>
      <c r="W2640" s="10">
        <f t="shared" si="81"/>
        <v>0</v>
      </c>
      <c r="AK2640" s="10" t="str">
        <f t="array" ref="AK2640">IFERROR(INDEX(SelectedSpecies,SMALL(IF(SelectedSpecies=AK$1,ROW(SelectedSpecies)),ROW(2641:2641)),2),"")</f>
        <v/>
      </c>
      <c r="BE2640" s="10"/>
      <c r="BI2640" s="10"/>
    </row>
    <row r="2641" spans="1:61" ht="21" customHeight="1" x14ac:dyDescent="0.25">
      <c r="A2641" s="10"/>
      <c r="B2641" s="10"/>
      <c r="E2641" s="10"/>
      <c r="G2641" s="10"/>
      <c r="I2641" s="436" t="s">
        <v>453</v>
      </c>
      <c r="J2641" s="26" t="s">
        <v>452</v>
      </c>
      <c r="K2641" s="10">
        <v>164</v>
      </c>
      <c r="L2641" s="73">
        <f>IF(Tank1!$C$23="No control",(SUMIF(Tank1!$B$32:$B$49,$J2641,Tank1!$C$32:$C$49)*Impacts!$F$8),0)</f>
        <v>0</v>
      </c>
      <c r="M2641" s="10">
        <f>IF(Tank2!$C$23="No control",(SUMIF(Tank2!$B$32:$B$49,$J2641,Tank2!$C$32:$C$49)*Impacts!$F$9),0)</f>
        <v>0</v>
      </c>
      <c r="N2641" s="10">
        <f>IF(Tank3!$C$23="No control",(SUMIF(Tank3!$B$32:$B$49,$J2641,Tank3!$C$32:$C$49)*Impacts!$F$10),0)</f>
        <v>0</v>
      </c>
      <c r="O2641" s="10">
        <f>IF(Tank4!$C$23="No control",(SUMIF(Tank4!$B$32:$B$49,$J2641,Tank4!$C$32:$C$49)*Impacts!$F$11),0)</f>
        <v>0</v>
      </c>
      <c r="P2641" s="10">
        <f>IF(Tank5!$C$23="No control",(SUMIF(Tank5!$B$32:$B$49,$J2641,Tank5!$C$32:$C$49)*Impacts!$F$12),0)</f>
        <v>0</v>
      </c>
      <c r="Q2641" s="10">
        <f>IFERROR(IF(('Loading-drum,tote'!$C$21)="No control",SUMIF(('Loading-drum,tote'!$B$31:$B$48),$J2641,('Loading-drum,tote'!$D$31:$D$48))*Impacts!$F$13,IF(('Loading-drum,tote'!$C$21)&lt;&gt;"No control",SUMIF(('Loading-drum,tote'!$B$31:$B$48),$J2641,('Loading-drum,tote'!$E$31:$E$48))*Impacts!$F$13,0)),0)</f>
        <v>0</v>
      </c>
      <c r="R2641" s="10">
        <f>IFERROR(IF(('Loading-truck'!$C$21)="No control",SUMIF(('Loading-truck'!$B$31:$B$48),$J2641,('Loading-truck'!$D$31:$D$48))*Impacts!$F$14,IF(('Loading-truck'!$C$21)&lt;&gt;"No control",SUMIF(('Loading-truck'!$B$31:$B$48),$J2641,('Loading-truck'!$E$31:$E$48))*Impacts!$F$14,0)),0)</f>
        <v>0</v>
      </c>
      <c r="S2641" s="10">
        <f>IFERROR(IF(('Loading-rail'!$C$21)="No control",SUMIF(('Loading-rail'!$B$31:$B$48),$J2641,('Loading-rail'!$D$31:$D$48))*Impacts!$F$15,IF(('Loading-rail'!$C$21)&lt;&gt;"No control",SUMIF(('Loading-rail'!$B$31:$B$48),$J2641,('Loading-rail'!$E$31:$E$48))*Impacts!$F$15,0)),0)</f>
        <v>0</v>
      </c>
      <c r="T2641" s="10">
        <f>IF(Flare!$C$7="",0,(SUMIF(Flare!$B$46:$B$185,$J2641,Flare!$E$46:$E$185)*Impacts!$F$16))</f>
        <v>0</v>
      </c>
      <c r="U2641" s="10">
        <f>IF(VCU!$C$9="",0,(SUMIF(VCU!$B$51:$B$193,$J2641,VCU!$E$51:$E$193)*Impacts!$F$17))</f>
        <v>0</v>
      </c>
      <c r="V2641" s="10">
        <f>IF(CAS!$C$7="",0,(SUMIF(CAS!$B$31:$B$167,$J2641,CAS!$E$31:$E$167)*Impacts!$F$18))</f>
        <v>0</v>
      </c>
      <c r="W2641" s="10">
        <f t="shared" si="81"/>
        <v>0</v>
      </c>
      <c r="AK2641" s="10" t="str">
        <f t="array" ref="AK2641">IFERROR(INDEX(SelectedSpecies,SMALL(IF(SelectedSpecies=AK$1,ROW(SelectedSpecies)),ROW(2642:2642)),2),"")</f>
        <v/>
      </c>
      <c r="BE2641" s="10"/>
      <c r="BI2641" s="10"/>
    </row>
    <row r="2642" spans="1:61" ht="21" customHeight="1" x14ac:dyDescent="0.25">
      <c r="A2642" s="10"/>
      <c r="B2642" s="10"/>
      <c r="E2642" s="10"/>
      <c r="G2642" s="10"/>
      <c r="I2642" s="436" t="s">
        <v>838</v>
      </c>
      <c r="J2642" s="26" t="s">
        <v>837</v>
      </c>
      <c r="K2642" s="10">
        <v>48</v>
      </c>
      <c r="L2642" s="73">
        <f>IF(Tank1!$C$23="No control",(SUMIF(Tank1!$B$32:$B$49,$J2642,Tank1!$C$32:$C$49)*Impacts!$F$8),0)</f>
        <v>0</v>
      </c>
      <c r="M2642" s="10">
        <f>IF(Tank2!$C$23="No control",(SUMIF(Tank2!$B$32:$B$49,$J2642,Tank2!$C$32:$C$49)*Impacts!$F$9),0)</f>
        <v>0</v>
      </c>
      <c r="N2642" s="10">
        <f>IF(Tank3!$C$23="No control",(SUMIF(Tank3!$B$32:$B$49,$J2642,Tank3!$C$32:$C$49)*Impacts!$F$10),0)</f>
        <v>0</v>
      </c>
      <c r="O2642" s="10">
        <f>IF(Tank4!$C$23="No control",(SUMIF(Tank4!$B$32:$B$49,$J2642,Tank4!$C$32:$C$49)*Impacts!$F$11),0)</f>
        <v>0</v>
      </c>
      <c r="P2642" s="10">
        <f>IF(Tank5!$C$23="No control",(SUMIF(Tank5!$B$32:$B$49,$J2642,Tank5!$C$32:$C$49)*Impacts!$F$12),0)</f>
        <v>0</v>
      </c>
      <c r="Q2642" s="10">
        <f>IFERROR(IF(('Loading-drum,tote'!$C$21)="No control",SUMIF(('Loading-drum,tote'!$B$31:$B$48),$J2642,('Loading-drum,tote'!$D$31:$D$48))*Impacts!$F$13,IF(('Loading-drum,tote'!$C$21)&lt;&gt;"No control",SUMIF(('Loading-drum,tote'!$B$31:$B$48),$J2642,('Loading-drum,tote'!$E$31:$E$48))*Impacts!$F$13,0)),0)</f>
        <v>0</v>
      </c>
      <c r="R2642" s="10">
        <f>IFERROR(IF(('Loading-truck'!$C$21)="No control",SUMIF(('Loading-truck'!$B$31:$B$48),$J2642,('Loading-truck'!$D$31:$D$48))*Impacts!$F$14,IF(('Loading-truck'!$C$21)&lt;&gt;"No control",SUMIF(('Loading-truck'!$B$31:$B$48),$J2642,('Loading-truck'!$E$31:$E$48))*Impacts!$F$14,0)),0)</f>
        <v>0</v>
      </c>
      <c r="S2642" s="10">
        <f>IFERROR(IF(('Loading-rail'!$C$21)="No control",SUMIF(('Loading-rail'!$B$31:$B$48),$J2642,('Loading-rail'!$D$31:$D$48))*Impacts!$F$15,IF(('Loading-rail'!$C$21)&lt;&gt;"No control",SUMIF(('Loading-rail'!$B$31:$B$48),$J2642,('Loading-rail'!$E$31:$E$48))*Impacts!$F$15,0)),0)</f>
        <v>0</v>
      </c>
      <c r="T2642" s="10">
        <f>IF(Flare!$C$7="",0,(SUMIF(Flare!$B$46:$B$185,$J2642,Flare!$E$46:$E$185)*Impacts!$F$16))</f>
        <v>0</v>
      </c>
      <c r="U2642" s="10">
        <f>IF(VCU!$C$9="",0,(SUMIF(VCU!$B$51:$B$193,$J2642,VCU!$E$51:$E$193)*Impacts!$F$17))</f>
        <v>0</v>
      </c>
      <c r="V2642" s="10">
        <f>IF(CAS!$C$7="",0,(SUMIF(CAS!$B$31:$B$167,$J2642,CAS!$E$31:$E$167)*Impacts!$F$18))</f>
        <v>0</v>
      </c>
      <c r="W2642" s="10">
        <f t="shared" si="81"/>
        <v>0</v>
      </c>
      <c r="AK2642" s="10" t="str">
        <f t="array" ref="AK2642">IFERROR(INDEX(SelectedSpecies,SMALL(IF(SelectedSpecies=AK$1,ROW(SelectedSpecies)),ROW(2643:2643)),2),"")</f>
        <v/>
      </c>
      <c r="BE2642" s="10"/>
      <c r="BI2642" s="10"/>
    </row>
    <row r="2643" spans="1:61" ht="21" customHeight="1" x14ac:dyDescent="0.25">
      <c r="A2643" s="10"/>
      <c r="B2643" s="10"/>
      <c r="E2643" s="10"/>
      <c r="G2643" s="10"/>
      <c r="I2643" s="436" t="s">
        <v>8190</v>
      </c>
      <c r="J2643" s="26" t="s">
        <v>8189</v>
      </c>
      <c r="K2643" s="10">
        <v>1.0000000000000002E-2</v>
      </c>
      <c r="L2643" s="73">
        <f>IF(Tank1!$C$23="No control",(SUMIF(Tank1!$B$32:$B$49,$J2643,Tank1!$C$32:$C$49)*Impacts!$F$8),0)</f>
        <v>0</v>
      </c>
      <c r="M2643" s="10">
        <f>IF(Tank2!$C$23="No control",(SUMIF(Tank2!$B$32:$B$49,$J2643,Tank2!$C$32:$C$49)*Impacts!$F$9),0)</f>
        <v>0</v>
      </c>
      <c r="N2643" s="10">
        <f>IF(Tank3!$C$23="No control",(SUMIF(Tank3!$B$32:$B$49,$J2643,Tank3!$C$32:$C$49)*Impacts!$F$10),0)</f>
        <v>0</v>
      </c>
      <c r="O2643" s="10">
        <f>IF(Tank4!$C$23="No control",(SUMIF(Tank4!$B$32:$B$49,$J2643,Tank4!$C$32:$C$49)*Impacts!$F$11),0)</f>
        <v>0</v>
      </c>
      <c r="P2643" s="10">
        <f>IF(Tank5!$C$23="No control",(SUMIF(Tank5!$B$32:$B$49,$J2643,Tank5!$C$32:$C$49)*Impacts!$F$12),0)</f>
        <v>0</v>
      </c>
      <c r="Q2643" s="10">
        <f>IFERROR(IF(('Loading-drum,tote'!$C$21)="No control",SUMIF(('Loading-drum,tote'!$B$31:$B$48),$J2643,('Loading-drum,tote'!$D$31:$D$48))*Impacts!$F$13,IF(('Loading-drum,tote'!$C$21)&lt;&gt;"No control",SUMIF(('Loading-drum,tote'!$B$31:$B$48),$J2643,('Loading-drum,tote'!$E$31:$E$48))*Impacts!$F$13,0)),0)</f>
        <v>0</v>
      </c>
      <c r="R2643" s="10">
        <f>IFERROR(IF(('Loading-truck'!$C$21)="No control",SUMIF(('Loading-truck'!$B$31:$B$48),$J2643,('Loading-truck'!$D$31:$D$48))*Impacts!$F$14,IF(('Loading-truck'!$C$21)&lt;&gt;"No control",SUMIF(('Loading-truck'!$B$31:$B$48),$J2643,('Loading-truck'!$E$31:$E$48))*Impacts!$F$14,0)),0)</f>
        <v>0</v>
      </c>
      <c r="S2643" s="10">
        <f>IFERROR(IF(('Loading-rail'!$C$21)="No control",SUMIF(('Loading-rail'!$B$31:$B$48),$J2643,('Loading-rail'!$D$31:$D$48))*Impacts!$F$15,IF(('Loading-rail'!$C$21)&lt;&gt;"No control",SUMIF(('Loading-rail'!$B$31:$B$48),$J2643,('Loading-rail'!$E$31:$E$48))*Impacts!$F$15,0)),0)</f>
        <v>0</v>
      </c>
      <c r="T2643" s="10">
        <f>IF(Flare!$C$7="",0,(SUMIF(Flare!$B$46:$B$185,$J2643,Flare!$E$46:$E$185)*Impacts!$F$16))</f>
        <v>0</v>
      </c>
      <c r="U2643" s="10">
        <f>IF(VCU!$C$9="",0,(SUMIF(VCU!$B$51:$B$193,$J2643,VCU!$E$51:$E$193)*Impacts!$F$17))</f>
        <v>0</v>
      </c>
      <c r="V2643" s="10">
        <f>IF(CAS!$C$7="",0,(SUMIF(CAS!$B$31:$B$167,$J2643,CAS!$E$31:$E$167)*Impacts!$F$18))</f>
        <v>0</v>
      </c>
      <c r="W2643" s="10">
        <f t="shared" si="81"/>
        <v>0</v>
      </c>
      <c r="AK2643" s="10" t="str">
        <f t="array" ref="AK2643">IFERROR(INDEX(SelectedSpecies,SMALL(IF(SelectedSpecies=AK$1,ROW(SelectedSpecies)),ROW(2644:2644)),2),"")</f>
        <v/>
      </c>
      <c r="BE2643" s="10"/>
      <c r="BI2643" s="10"/>
    </row>
    <row r="2644" spans="1:61" ht="21" customHeight="1" x14ac:dyDescent="0.25">
      <c r="A2644" s="10"/>
      <c r="B2644" s="10"/>
      <c r="E2644" s="10"/>
      <c r="G2644" s="10"/>
      <c r="I2644" s="436" t="s">
        <v>6268</v>
      </c>
      <c r="J2644" s="26" t="s">
        <v>6267</v>
      </c>
      <c r="K2644" s="10">
        <v>0.93000000000000016</v>
      </c>
      <c r="L2644" s="73">
        <f>IF(Tank1!$C$23="No control",(SUMIF(Tank1!$B$32:$B$49,$J2644,Tank1!$C$32:$C$49)*Impacts!$F$8),0)</f>
        <v>0</v>
      </c>
      <c r="M2644" s="10">
        <f>IF(Tank2!$C$23="No control",(SUMIF(Tank2!$B$32:$B$49,$J2644,Tank2!$C$32:$C$49)*Impacts!$F$9),0)</f>
        <v>0</v>
      </c>
      <c r="N2644" s="10">
        <f>IF(Tank3!$C$23="No control",(SUMIF(Tank3!$B$32:$B$49,$J2644,Tank3!$C$32:$C$49)*Impacts!$F$10),0)</f>
        <v>0</v>
      </c>
      <c r="O2644" s="10">
        <f>IF(Tank4!$C$23="No control",(SUMIF(Tank4!$B$32:$B$49,$J2644,Tank4!$C$32:$C$49)*Impacts!$F$11),0)</f>
        <v>0</v>
      </c>
      <c r="P2644" s="10">
        <f>IF(Tank5!$C$23="No control",(SUMIF(Tank5!$B$32:$B$49,$J2644,Tank5!$C$32:$C$49)*Impacts!$F$12),0)</f>
        <v>0</v>
      </c>
      <c r="Q2644" s="10">
        <f>IFERROR(IF(('Loading-drum,tote'!$C$21)="No control",SUMIF(('Loading-drum,tote'!$B$31:$B$48),$J2644,('Loading-drum,tote'!$D$31:$D$48))*Impacts!$F$13,IF(('Loading-drum,tote'!$C$21)&lt;&gt;"No control",SUMIF(('Loading-drum,tote'!$B$31:$B$48),$J2644,('Loading-drum,tote'!$E$31:$E$48))*Impacts!$F$13,0)),0)</f>
        <v>0</v>
      </c>
      <c r="R2644" s="10">
        <f>IFERROR(IF(('Loading-truck'!$C$21)="No control",SUMIF(('Loading-truck'!$B$31:$B$48),$J2644,('Loading-truck'!$D$31:$D$48))*Impacts!$F$14,IF(('Loading-truck'!$C$21)&lt;&gt;"No control",SUMIF(('Loading-truck'!$B$31:$B$48),$J2644,('Loading-truck'!$E$31:$E$48))*Impacts!$F$14,0)),0)</f>
        <v>0</v>
      </c>
      <c r="S2644" s="10">
        <f>IFERROR(IF(('Loading-rail'!$C$21)="No control",SUMIF(('Loading-rail'!$B$31:$B$48),$J2644,('Loading-rail'!$D$31:$D$48))*Impacts!$F$15,IF(('Loading-rail'!$C$21)&lt;&gt;"No control",SUMIF(('Loading-rail'!$B$31:$B$48),$J2644,('Loading-rail'!$E$31:$E$48))*Impacts!$F$15,0)),0)</f>
        <v>0</v>
      </c>
      <c r="T2644" s="10">
        <f>IF(Flare!$C$7="",0,(SUMIF(Flare!$B$46:$B$185,$J2644,Flare!$E$46:$E$185)*Impacts!$F$16))</f>
        <v>0</v>
      </c>
      <c r="U2644" s="10">
        <f>IF(VCU!$C$9="",0,(SUMIF(VCU!$B$51:$B$193,$J2644,VCU!$E$51:$E$193)*Impacts!$F$17))</f>
        <v>0</v>
      </c>
      <c r="V2644" s="10">
        <f>IF(CAS!$C$7="",0,(SUMIF(CAS!$B$31:$B$167,$J2644,CAS!$E$31:$E$167)*Impacts!$F$18))</f>
        <v>0</v>
      </c>
      <c r="W2644" s="10">
        <f t="shared" si="81"/>
        <v>0</v>
      </c>
      <c r="AK2644" s="10" t="str">
        <f t="array" ref="AK2644">IFERROR(INDEX(SelectedSpecies,SMALL(IF(SelectedSpecies=AK$1,ROW(SelectedSpecies)),ROW(2645:2645)),2),"")</f>
        <v/>
      </c>
      <c r="BE2644" s="10"/>
      <c r="BI2644" s="10"/>
    </row>
    <row r="2645" spans="1:61" ht="21" customHeight="1" x14ac:dyDescent="0.25">
      <c r="A2645" s="10"/>
      <c r="B2645" s="10"/>
      <c r="E2645" s="10"/>
      <c r="G2645" s="10"/>
      <c r="I2645" s="436" t="s">
        <v>8274</v>
      </c>
      <c r="J2645" s="26" t="s">
        <v>8273</v>
      </c>
      <c r="K2645" s="10">
        <v>5.000000000000001E-3</v>
      </c>
      <c r="L2645" s="73">
        <f>IF(Tank1!$C$23="No control",(SUMIF(Tank1!$B$32:$B$49,$J2645,Tank1!$C$32:$C$49)*Impacts!$F$8),0)</f>
        <v>0</v>
      </c>
      <c r="M2645" s="10">
        <f>IF(Tank2!$C$23="No control",(SUMIF(Tank2!$B$32:$B$49,$J2645,Tank2!$C$32:$C$49)*Impacts!$F$9),0)</f>
        <v>0</v>
      </c>
      <c r="N2645" s="10">
        <f>IF(Tank3!$C$23="No control",(SUMIF(Tank3!$B$32:$B$49,$J2645,Tank3!$C$32:$C$49)*Impacts!$F$10),0)</f>
        <v>0</v>
      </c>
      <c r="O2645" s="10">
        <f>IF(Tank4!$C$23="No control",(SUMIF(Tank4!$B$32:$B$49,$J2645,Tank4!$C$32:$C$49)*Impacts!$F$11),0)</f>
        <v>0</v>
      </c>
      <c r="P2645" s="10">
        <f>IF(Tank5!$C$23="No control",(SUMIF(Tank5!$B$32:$B$49,$J2645,Tank5!$C$32:$C$49)*Impacts!$F$12),0)</f>
        <v>0</v>
      </c>
      <c r="Q2645" s="10">
        <f>IFERROR(IF(('Loading-drum,tote'!$C$21)="No control",SUMIF(('Loading-drum,tote'!$B$31:$B$48),$J2645,('Loading-drum,tote'!$D$31:$D$48))*Impacts!$F$13,IF(('Loading-drum,tote'!$C$21)&lt;&gt;"No control",SUMIF(('Loading-drum,tote'!$B$31:$B$48),$J2645,('Loading-drum,tote'!$E$31:$E$48))*Impacts!$F$13,0)),0)</f>
        <v>0</v>
      </c>
      <c r="R2645" s="10">
        <f>IFERROR(IF(('Loading-truck'!$C$21)="No control",SUMIF(('Loading-truck'!$B$31:$B$48),$J2645,('Loading-truck'!$D$31:$D$48))*Impacts!$F$14,IF(('Loading-truck'!$C$21)&lt;&gt;"No control",SUMIF(('Loading-truck'!$B$31:$B$48),$J2645,('Loading-truck'!$E$31:$E$48))*Impacts!$F$14,0)),0)</f>
        <v>0</v>
      </c>
      <c r="S2645" s="10">
        <f>IFERROR(IF(('Loading-rail'!$C$21)="No control",SUMIF(('Loading-rail'!$B$31:$B$48),$J2645,('Loading-rail'!$D$31:$D$48))*Impacts!$F$15,IF(('Loading-rail'!$C$21)&lt;&gt;"No control",SUMIF(('Loading-rail'!$B$31:$B$48),$J2645,('Loading-rail'!$E$31:$E$48))*Impacts!$F$15,0)),0)</f>
        <v>0</v>
      </c>
      <c r="T2645" s="10">
        <f>IF(Flare!$C$7="",0,(SUMIF(Flare!$B$46:$B$185,$J2645,Flare!$E$46:$E$185)*Impacts!$F$16))</f>
        <v>0</v>
      </c>
      <c r="U2645" s="10">
        <f>IF(VCU!$C$9="",0,(SUMIF(VCU!$B$51:$B$193,$J2645,VCU!$E$51:$E$193)*Impacts!$F$17))</f>
        <v>0</v>
      </c>
      <c r="V2645" s="10">
        <f>IF(CAS!$C$7="",0,(SUMIF(CAS!$B$31:$B$167,$J2645,CAS!$E$31:$E$167)*Impacts!$F$18))</f>
        <v>0</v>
      </c>
      <c r="W2645" s="10">
        <f t="shared" si="81"/>
        <v>0</v>
      </c>
      <c r="AK2645" s="10" t="str">
        <f t="array" ref="AK2645">IFERROR(INDEX(SelectedSpecies,SMALL(IF(SelectedSpecies=AK$1,ROW(SelectedSpecies)),ROW(2646:2646)),2),"")</f>
        <v/>
      </c>
      <c r="BE2645" s="10"/>
      <c r="BI2645" s="10"/>
    </row>
    <row r="2646" spans="1:61" ht="21" customHeight="1" x14ac:dyDescent="0.25">
      <c r="A2646" s="10"/>
      <c r="B2646" s="10"/>
      <c r="E2646" s="10"/>
      <c r="G2646" s="10"/>
      <c r="I2646" s="436" t="s">
        <v>1973</v>
      </c>
      <c r="J2646" s="26" t="s">
        <v>1972</v>
      </c>
      <c r="K2646" s="10">
        <v>18</v>
      </c>
      <c r="L2646" s="73">
        <f>IF(Tank1!$C$23="No control",(SUMIF(Tank1!$B$32:$B$49,$J2646,Tank1!$C$32:$C$49)*Impacts!$F$8),0)</f>
        <v>0</v>
      </c>
      <c r="M2646" s="10">
        <f>IF(Tank2!$C$23="No control",(SUMIF(Tank2!$B$32:$B$49,$J2646,Tank2!$C$32:$C$49)*Impacts!$F$9),0)</f>
        <v>0</v>
      </c>
      <c r="N2646" s="10">
        <f>IF(Tank3!$C$23="No control",(SUMIF(Tank3!$B$32:$B$49,$J2646,Tank3!$C$32:$C$49)*Impacts!$F$10),0)</f>
        <v>0</v>
      </c>
      <c r="O2646" s="10">
        <f>IF(Tank4!$C$23="No control",(SUMIF(Tank4!$B$32:$B$49,$J2646,Tank4!$C$32:$C$49)*Impacts!$F$11),0)</f>
        <v>0</v>
      </c>
      <c r="P2646" s="10">
        <f>IF(Tank5!$C$23="No control",(SUMIF(Tank5!$B$32:$B$49,$J2646,Tank5!$C$32:$C$49)*Impacts!$F$12),0)</f>
        <v>0</v>
      </c>
      <c r="Q2646" s="10">
        <f>IFERROR(IF(('Loading-drum,tote'!$C$21)="No control",SUMIF(('Loading-drum,tote'!$B$31:$B$48),$J2646,('Loading-drum,tote'!$D$31:$D$48))*Impacts!$F$13,IF(('Loading-drum,tote'!$C$21)&lt;&gt;"No control",SUMIF(('Loading-drum,tote'!$B$31:$B$48),$J2646,('Loading-drum,tote'!$E$31:$E$48))*Impacts!$F$13,0)),0)</f>
        <v>0</v>
      </c>
      <c r="R2646" s="10">
        <f>IFERROR(IF(('Loading-truck'!$C$21)="No control",SUMIF(('Loading-truck'!$B$31:$B$48),$J2646,('Loading-truck'!$D$31:$D$48))*Impacts!$F$14,IF(('Loading-truck'!$C$21)&lt;&gt;"No control",SUMIF(('Loading-truck'!$B$31:$B$48),$J2646,('Loading-truck'!$E$31:$E$48))*Impacts!$F$14,0)),0)</f>
        <v>0</v>
      </c>
      <c r="S2646" s="10">
        <f>IFERROR(IF(('Loading-rail'!$C$21)="No control",SUMIF(('Loading-rail'!$B$31:$B$48),$J2646,('Loading-rail'!$D$31:$D$48))*Impacts!$F$15,IF(('Loading-rail'!$C$21)&lt;&gt;"No control",SUMIF(('Loading-rail'!$B$31:$B$48),$J2646,('Loading-rail'!$E$31:$E$48))*Impacts!$F$15,0)),0)</f>
        <v>0</v>
      </c>
      <c r="T2646" s="10">
        <f>IF(Flare!$C$7="",0,(SUMIF(Flare!$B$46:$B$185,$J2646,Flare!$E$46:$E$185)*Impacts!$F$16))</f>
        <v>0</v>
      </c>
      <c r="U2646" s="10">
        <f>IF(VCU!$C$9="",0,(SUMIF(VCU!$B$51:$B$193,$J2646,VCU!$E$51:$E$193)*Impacts!$F$17))</f>
        <v>0</v>
      </c>
      <c r="V2646" s="10">
        <f>IF(CAS!$C$7="",0,(SUMIF(CAS!$B$31:$B$167,$J2646,CAS!$E$31:$E$167)*Impacts!$F$18))</f>
        <v>0</v>
      </c>
      <c r="W2646" s="10">
        <f t="shared" si="81"/>
        <v>0</v>
      </c>
      <c r="AK2646" s="10" t="str">
        <f t="array" ref="AK2646">IFERROR(INDEX(SelectedSpecies,SMALL(IF(SelectedSpecies=AK$1,ROW(SelectedSpecies)),ROW(2647:2647)),2),"")</f>
        <v/>
      </c>
      <c r="BE2646" s="10"/>
      <c r="BI2646" s="10"/>
    </row>
    <row r="2647" spans="1:61" ht="21" customHeight="1" x14ac:dyDescent="0.25">
      <c r="A2647" s="10"/>
      <c r="B2647" s="10"/>
      <c r="E2647" s="10"/>
      <c r="G2647" s="10"/>
      <c r="I2647" s="436" t="s">
        <v>8192</v>
      </c>
      <c r="J2647" s="26" t="s">
        <v>8191</v>
      </c>
      <c r="K2647" s="10">
        <v>1.0000000000000002E-2</v>
      </c>
      <c r="L2647" s="73">
        <f>IF(Tank1!$C$23="No control",(SUMIF(Tank1!$B$32:$B$49,$J2647,Tank1!$C$32:$C$49)*Impacts!$F$8),0)</f>
        <v>0</v>
      </c>
      <c r="M2647" s="10">
        <f>IF(Tank2!$C$23="No control",(SUMIF(Tank2!$B$32:$B$49,$J2647,Tank2!$C$32:$C$49)*Impacts!$F$9),0)</f>
        <v>0</v>
      </c>
      <c r="N2647" s="10">
        <f>IF(Tank3!$C$23="No control",(SUMIF(Tank3!$B$32:$B$49,$J2647,Tank3!$C$32:$C$49)*Impacts!$F$10),0)</f>
        <v>0</v>
      </c>
      <c r="O2647" s="10">
        <f>IF(Tank4!$C$23="No control",(SUMIF(Tank4!$B$32:$B$49,$J2647,Tank4!$C$32:$C$49)*Impacts!$F$11),0)</f>
        <v>0</v>
      </c>
      <c r="P2647" s="10">
        <f>IF(Tank5!$C$23="No control",(SUMIF(Tank5!$B$32:$B$49,$J2647,Tank5!$C$32:$C$49)*Impacts!$F$12),0)</f>
        <v>0</v>
      </c>
      <c r="Q2647" s="10">
        <f>IFERROR(IF(('Loading-drum,tote'!$C$21)="No control",SUMIF(('Loading-drum,tote'!$B$31:$B$48),$J2647,('Loading-drum,tote'!$D$31:$D$48))*Impacts!$F$13,IF(('Loading-drum,tote'!$C$21)&lt;&gt;"No control",SUMIF(('Loading-drum,tote'!$B$31:$B$48),$J2647,('Loading-drum,tote'!$E$31:$E$48))*Impacts!$F$13,0)),0)</f>
        <v>0</v>
      </c>
      <c r="R2647" s="10">
        <f>IFERROR(IF(('Loading-truck'!$C$21)="No control",SUMIF(('Loading-truck'!$B$31:$B$48),$J2647,('Loading-truck'!$D$31:$D$48))*Impacts!$F$14,IF(('Loading-truck'!$C$21)&lt;&gt;"No control",SUMIF(('Loading-truck'!$B$31:$B$48),$J2647,('Loading-truck'!$E$31:$E$48))*Impacts!$F$14,0)),0)</f>
        <v>0</v>
      </c>
      <c r="S2647" s="10">
        <f>IFERROR(IF(('Loading-rail'!$C$21)="No control",SUMIF(('Loading-rail'!$B$31:$B$48),$J2647,('Loading-rail'!$D$31:$D$48))*Impacts!$F$15,IF(('Loading-rail'!$C$21)&lt;&gt;"No control",SUMIF(('Loading-rail'!$B$31:$B$48),$J2647,('Loading-rail'!$E$31:$E$48))*Impacts!$F$15,0)),0)</f>
        <v>0</v>
      </c>
      <c r="T2647" s="10">
        <f>IF(Flare!$C$7="",0,(SUMIF(Flare!$B$46:$B$185,$J2647,Flare!$E$46:$E$185)*Impacts!$F$16))</f>
        <v>0</v>
      </c>
      <c r="U2647" s="10">
        <f>IF(VCU!$C$9="",0,(SUMIF(VCU!$B$51:$B$193,$J2647,VCU!$E$51:$E$193)*Impacts!$F$17))</f>
        <v>0</v>
      </c>
      <c r="V2647" s="10">
        <f>IF(CAS!$C$7="",0,(SUMIF(CAS!$B$31:$B$167,$J2647,CAS!$E$31:$E$167)*Impacts!$F$18))</f>
        <v>0</v>
      </c>
      <c r="W2647" s="10">
        <f t="shared" si="81"/>
        <v>0</v>
      </c>
      <c r="AK2647" s="10" t="str">
        <f t="array" ref="AK2647">IFERROR(INDEX(SelectedSpecies,SMALL(IF(SelectedSpecies=AK$1,ROW(SelectedSpecies)),ROW(2648:2648)),2),"")</f>
        <v/>
      </c>
      <c r="BE2647" s="10"/>
      <c r="BI2647" s="10"/>
    </row>
    <row r="2648" spans="1:61" ht="21" customHeight="1" x14ac:dyDescent="0.25">
      <c r="A2648" s="10"/>
      <c r="B2648" s="10"/>
      <c r="E2648" s="10"/>
      <c r="G2648" s="10"/>
      <c r="I2648" s="436" t="s">
        <v>7764</v>
      </c>
      <c r="J2648" s="26" t="s">
        <v>7763</v>
      </c>
      <c r="K2648" s="10">
        <v>0.1</v>
      </c>
      <c r="L2648" s="73">
        <f>IF(Tank1!$C$23="No control",(SUMIF(Tank1!$B$32:$B$49,$J2648,Tank1!$C$32:$C$49)*Impacts!$F$8),0)</f>
        <v>0</v>
      </c>
      <c r="M2648" s="10">
        <f>IF(Tank2!$C$23="No control",(SUMIF(Tank2!$B$32:$B$49,$J2648,Tank2!$C$32:$C$49)*Impacts!$F$9),0)</f>
        <v>0</v>
      </c>
      <c r="N2648" s="10">
        <f>IF(Tank3!$C$23="No control",(SUMIF(Tank3!$B$32:$B$49,$J2648,Tank3!$C$32:$C$49)*Impacts!$F$10),0)</f>
        <v>0</v>
      </c>
      <c r="O2648" s="10">
        <f>IF(Tank4!$C$23="No control",(SUMIF(Tank4!$B$32:$B$49,$J2648,Tank4!$C$32:$C$49)*Impacts!$F$11),0)</f>
        <v>0</v>
      </c>
      <c r="P2648" s="10">
        <f>IF(Tank5!$C$23="No control",(SUMIF(Tank5!$B$32:$B$49,$J2648,Tank5!$C$32:$C$49)*Impacts!$F$12),0)</f>
        <v>0</v>
      </c>
      <c r="Q2648" s="10">
        <f>IFERROR(IF(('Loading-drum,tote'!$C$21)="No control",SUMIF(('Loading-drum,tote'!$B$31:$B$48),$J2648,('Loading-drum,tote'!$D$31:$D$48))*Impacts!$F$13,IF(('Loading-drum,tote'!$C$21)&lt;&gt;"No control",SUMIF(('Loading-drum,tote'!$B$31:$B$48),$J2648,('Loading-drum,tote'!$E$31:$E$48))*Impacts!$F$13,0)),0)</f>
        <v>0</v>
      </c>
      <c r="R2648" s="10">
        <f>IFERROR(IF(('Loading-truck'!$C$21)="No control",SUMIF(('Loading-truck'!$B$31:$B$48),$J2648,('Loading-truck'!$D$31:$D$48))*Impacts!$F$14,IF(('Loading-truck'!$C$21)&lt;&gt;"No control",SUMIF(('Loading-truck'!$B$31:$B$48),$J2648,('Loading-truck'!$E$31:$E$48))*Impacts!$F$14,0)),0)</f>
        <v>0</v>
      </c>
      <c r="S2648" s="10">
        <f>IFERROR(IF(('Loading-rail'!$C$21)="No control",SUMIF(('Loading-rail'!$B$31:$B$48),$J2648,('Loading-rail'!$D$31:$D$48))*Impacts!$F$15,IF(('Loading-rail'!$C$21)&lt;&gt;"No control",SUMIF(('Loading-rail'!$B$31:$B$48),$J2648,('Loading-rail'!$E$31:$E$48))*Impacts!$F$15,0)),0)</f>
        <v>0</v>
      </c>
      <c r="T2648" s="10">
        <f>IF(Flare!$C$7="",0,(SUMIF(Flare!$B$46:$B$185,$J2648,Flare!$E$46:$E$185)*Impacts!$F$16))</f>
        <v>0</v>
      </c>
      <c r="U2648" s="10">
        <f>IF(VCU!$C$9="",0,(SUMIF(VCU!$B$51:$B$193,$J2648,VCU!$E$51:$E$193)*Impacts!$F$17))</f>
        <v>0</v>
      </c>
      <c r="V2648" s="10">
        <f>IF(CAS!$C$7="",0,(SUMIF(CAS!$B$31:$B$167,$J2648,CAS!$E$31:$E$167)*Impacts!$F$18))</f>
        <v>0</v>
      </c>
      <c r="W2648" s="10">
        <f t="shared" si="81"/>
        <v>0</v>
      </c>
      <c r="AK2648" s="10" t="str">
        <f t="array" ref="AK2648">IFERROR(INDEX(SelectedSpecies,SMALL(IF(SelectedSpecies=AK$1,ROW(SelectedSpecies)),ROW(2649:2649)),2),"")</f>
        <v/>
      </c>
      <c r="BE2648" s="10"/>
      <c r="BI2648" s="10"/>
    </row>
    <row r="2649" spans="1:61" ht="21" customHeight="1" x14ac:dyDescent="0.25">
      <c r="A2649" s="10"/>
      <c r="B2649" s="10"/>
      <c r="E2649" s="10"/>
      <c r="G2649" s="10"/>
      <c r="I2649" s="436" t="s">
        <v>6034</v>
      </c>
      <c r="J2649" s="26" t="s">
        <v>6033</v>
      </c>
      <c r="K2649" s="10">
        <v>1</v>
      </c>
      <c r="L2649" s="73">
        <f>IF(Tank1!$C$23="No control",(SUMIF(Tank1!$B$32:$B$49,$J2649,Tank1!$C$32:$C$49)*Impacts!$F$8),0)</f>
        <v>0</v>
      </c>
      <c r="M2649" s="10">
        <f>IF(Tank2!$C$23="No control",(SUMIF(Tank2!$B$32:$B$49,$J2649,Tank2!$C$32:$C$49)*Impacts!$F$9),0)</f>
        <v>0</v>
      </c>
      <c r="N2649" s="10">
        <f>IF(Tank3!$C$23="No control",(SUMIF(Tank3!$B$32:$B$49,$J2649,Tank3!$C$32:$C$49)*Impacts!$F$10),0)</f>
        <v>0</v>
      </c>
      <c r="O2649" s="10">
        <f>IF(Tank4!$C$23="No control",(SUMIF(Tank4!$B$32:$B$49,$J2649,Tank4!$C$32:$C$49)*Impacts!$F$11),0)</f>
        <v>0</v>
      </c>
      <c r="P2649" s="10">
        <f>IF(Tank5!$C$23="No control",(SUMIF(Tank5!$B$32:$B$49,$J2649,Tank5!$C$32:$C$49)*Impacts!$F$12),0)</f>
        <v>0</v>
      </c>
      <c r="Q2649" s="10">
        <f>IFERROR(IF(('Loading-drum,tote'!$C$21)="No control",SUMIF(('Loading-drum,tote'!$B$31:$B$48),$J2649,('Loading-drum,tote'!$D$31:$D$48))*Impacts!$F$13,IF(('Loading-drum,tote'!$C$21)&lt;&gt;"No control",SUMIF(('Loading-drum,tote'!$B$31:$B$48),$J2649,('Loading-drum,tote'!$E$31:$E$48))*Impacts!$F$13,0)),0)</f>
        <v>0</v>
      </c>
      <c r="R2649" s="10">
        <f>IFERROR(IF(('Loading-truck'!$C$21)="No control",SUMIF(('Loading-truck'!$B$31:$B$48),$J2649,('Loading-truck'!$D$31:$D$48))*Impacts!$F$14,IF(('Loading-truck'!$C$21)&lt;&gt;"No control",SUMIF(('Loading-truck'!$B$31:$B$48),$J2649,('Loading-truck'!$E$31:$E$48))*Impacts!$F$14,0)),0)</f>
        <v>0</v>
      </c>
      <c r="S2649" s="10">
        <f>IFERROR(IF(('Loading-rail'!$C$21)="No control",SUMIF(('Loading-rail'!$B$31:$B$48),$J2649,('Loading-rail'!$D$31:$D$48))*Impacts!$F$15,IF(('Loading-rail'!$C$21)&lt;&gt;"No control",SUMIF(('Loading-rail'!$B$31:$B$48),$J2649,('Loading-rail'!$E$31:$E$48))*Impacts!$F$15,0)),0)</f>
        <v>0</v>
      </c>
      <c r="T2649" s="10">
        <f>IF(Flare!$C$7="",0,(SUMIF(Flare!$B$46:$B$185,$J2649,Flare!$E$46:$E$185)*Impacts!$F$16))</f>
        <v>0</v>
      </c>
      <c r="U2649" s="10">
        <f>IF(VCU!$C$9="",0,(SUMIF(VCU!$B$51:$B$193,$J2649,VCU!$E$51:$E$193)*Impacts!$F$17))</f>
        <v>0</v>
      </c>
      <c r="V2649" s="10">
        <f>IF(CAS!$C$7="",0,(SUMIF(CAS!$B$31:$B$167,$J2649,CAS!$E$31:$E$167)*Impacts!$F$18))</f>
        <v>0</v>
      </c>
      <c r="W2649" s="10">
        <f t="shared" si="81"/>
        <v>0</v>
      </c>
      <c r="AK2649" s="10" t="str">
        <f t="array" ref="AK2649">IFERROR(INDEX(SelectedSpecies,SMALL(IF(SelectedSpecies=AK$1,ROW(SelectedSpecies)),ROW(2650:2650)),2),"")</f>
        <v/>
      </c>
      <c r="BE2649" s="10"/>
      <c r="BI2649" s="10"/>
    </row>
    <row r="2650" spans="1:61" ht="21" customHeight="1" x14ac:dyDescent="0.25">
      <c r="A2650" s="10"/>
      <c r="B2650" s="10"/>
      <c r="E2650" s="10"/>
      <c r="G2650" s="10"/>
      <c r="I2650" s="436" t="s">
        <v>946</v>
      </c>
      <c r="J2650" s="26" t="s">
        <v>945</v>
      </c>
      <c r="K2650" s="10">
        <v>43</v>
      </c>
      <c r="L2650" s="73">
        <f>IF(Tank1!$C$23="No control",(SUMIF(Tank1!$B$32:$B$49,$J2650,Tank1!$C$32:$C$49)*Impacts!$F$8),0)</f>
        <v>0</v>
      </c>
      <c r="M2650" s="10">
        <f>IF(Tank2!$C$23="No control",(SUMIF(Tank2!$B$32:$B$49,$J2650,Tank2!$C$32:$C$49)*Impacts!$F$9),0)</f>
        <v>0</v>
      </c>
      <c r="N2650" s="10">
        <f>IF(Tank3!$C$23="No control",(SUMIF(Tank3!$B$32:$B$49,$J2650,Tank3!$C$32:$C$49)*Impacts!$F$10),0)</f>
        <v>0</v>
      </c>
      <c r="O2650" s="10">
        <f>IF(Tank4!$C$23="No control",(SUMIF(Tank4!$B$32:$B$49,$J2650,Tank4!$C$32:$C$49)*Impacts!$F$11),0)</f>
        <v>0</v>
      </c>
      <c r="P2650" s="10">
        <f>IF(Tank5!$C$23="No control",(SUMIF(Tank5!$B$32:$B$49,$J2650,Tank5!$C$32:$C$49)*Impacts!$F$12),0)</f>
        <v>0</v>
      </c>
      <c r="Q2650" s="10">
        <f>IFERROR(IF(('Loading-drum,tote'!$C$21)="No control",SUMIF(('Loading-drum,tote'!$B$31:$B$48),$J2650,('Loading-drum,tote'!$D$31:$D$48))*Impacts!$F$13,IF(('Loading-drum,tote'!$C$21)&lt;&gt;"No control",SUMIF(('Loading-drum,tote'!$B$31:$B$48),$J2650,('Loading-drum,tote'!$E$31:$E$48))*Impacts!$F$13,0)),0)</f>
        <v>0</v>
      </c>
      <c r="R2650" s="10">
        <f>IFERROR(IF(('Loading-truck'!$C$21)="No control",SUMIF(('Loading-truck'!$B$31:$B$48),$J2650,('Loading-truck'!$D$31:$D$48))*Impacts!$F$14,IF(('Loading-truck'!$C$21)&lt;&gt;"No control",SUMIF(('Loading-truck'!$B$31:$B$48),$J2650,('Loading-truck'!$E$31:$E$48))*Impacts!$F$14,0)),0)</f>
        <v>0</v>
      </c>
      <c r="S2650" s="10">
        <f>IFERROR(IF(('Loading-rail'!$C$21)="No control",SUMIF(('Loading-rail'!$B$31:$B$48),$J2650,('Loading-rail'!$D$31:$D$48))*Impacts!$F$15,IF(('Loading-rail'!$C$21)&lt;&gt;"No control",SUMIF(('Loading-rail'!$B$31:$B$48),$J2650,('Loading-rail'!$E$31:$E$48))*Impacts!$F$15,0)),0)</f>
        <v>0</v>
      </c>
      <c r="T2650" s="10">
        <f>IF(Flare!$C$7="",0,(SUMIF(Flare!$B$46:$B$185,$J2650,Flare!$E$46:$E$185)*Impacts!$F$16))</f>
        <v>0</v>
      </c>
      <c r="U2650" s="10">
        <f>IF(VCU!$C$9="",0,(SUMIF(VCU!$B$51:$B$193,$J2650,VCU!$E$51:$E$193)*Impacts!$F$17))</f>
        <v>0</v>
      </c>
      <c r="V2650" s="10">
        <f>IF(CAS!$C$7="",0,(SUMIF(CAS!$B$31:$B$167,$J2650,CAS!$E$31:$E$167)*Impacts!$F$18))</f>
        <v>0</v>
      </c>
      <c r="W2650" s="10">
        <f t="shared" ref="W2650:W2713" si="82">SUM(L2650:V2650)</f>
        <v>0</v>
      </c>
      <c r="AK2650" s="10" t="str">
        <f t="array" ref="AK2650">IFERROR(INDEX(SelectedSpecies,SMALL(IF(SelectedSpecies=AK$1,ROW(SelectedSpecies)),ROW(2651:2651)),2),"")</f>
        <v/>
      </c>
      <c r="BE2650" s="10"/>
      <c r="BI2650" s="10"/>
    </row>
    <row r="2651" spans="1:61" ht="21" customHeight="1" x14ac:dyDescent="0.25">
      <c r="A2651" s="10"/>
      <c r="B2651" s="10"/>
      <c r="E2651" s="10"/>
      <c r="G2651" s="10"/>
      <c r="I2651" s="436" t="s">
        <v>2541</v>
      </c>
      <c r="J2651" s="26" t="s">
        <v>2540</v>
      </c>
      <c r="K2651" s="10">
        <v>34</v>
      </c>
      <c r="L2651" s="73">
        <f>IF(Tank1!$C$23="No control",(SUMIF(Tank1!$B$32:$B$49,$J2651,Tank1!$C$32:$C$49)*Impacts!$F$8),0)</f>
        <v>0</v>
      </c>
      <c r="M2651" s="10">
        <f>IF(Tank2!$C$23="No control",(SUMIF(Tank2!$B$32:$B$49,$J2651,Tank2!$C$32:$C$49)*Impacts!$F$9),0)</f>
        <v>0</v>
      </c>
      <c r="N2651" s="10">
        <f>IF(Tank3!$C$23="No control",(SUMIF(Tank3!$B$32:$B$49,$J2651,Tank3!$C$32:$C$49)*Impacts!$F$10),0)</f>
        <v>0</v>
      </c>
      <c r="O2651" s="10">
        <f>IF(Tank4!$C$23="No control",(SUMIF(Tank4!$B$32:$B$49,$J2651,Tank4!$C$32:$C$49)*Impacts!$F$11),0)</f>
        <v>0</v>
      </c>
      <c r="P2651" s="10">
        <f>IF(Tank5!$C$23="No control",(SUMIF(Tank5!$B$32:$B$49,$J2651,Tank5!$C$32:$C$49)*Impacts!$F$12),0)</f>
        <v>0</v>
      </c>
      <c r="Q2651" s="10">
        <f>IFERROR(IF(('Loading-drum,tote'!$C$21)="No control",SUMIF(('Loading-drum,tote'!$B$31:$B$48),$J2651,('Loading-drum,tote'!$D$31:$D$48))*Impacts!$F$13,IF(('Loading-drum,tote'!$C$21)&lt;&gt;"No control",SUMIF(('Loading-drum,tote'!$B$31:$B$48),$J2651,('Loading-drum,tote'!$E$31:$E$48))*Impacts!$F$13,0)),0)</f>
        <v>0</v>
      </c>
      <c r="R2651" s="10">
        <f>IFERROR(IF(('Loading-truck'!$C$21)="No control",SUMIF(('Loading-truck'!$B$31:$B$48),$J2651,('Loading-truck'!$D$31:$D$48))*Impacts!$F$14,IF(('Loading-truck'!$C$21)&lt;&gt;"No control",SUMIF(('Loading-truck'!$B$31:$B$48),$J2651,('Loading-truck'!$E$31:$E$48))*Impacts!$F$14,0)),0)</f>
        <v>0</v>
      </c>
      <c r="S2651" s="10">
        <f>IFERROR(IF(('Loading-rail'!$C$21)="No control",SUMIF(('Loading-rail'!$B$31:$B$48),$J2651,('Loading-rail'!$D$31:$D$48))*Impacts!$F$15,IF(('Loading-rail'!$C$21)&lt;&gt;"No control",SUMIF(('Loading-rail'!$B$31:$B$48),$J2651,('Loading-rail'!$E$31:$E$48))*Impacts!$F$15,0)),0)</f>
        <v>0</v>
      </c>
      <c r="T2651" s="10">
        <f>IF(Flare!$C$7="",0,(SUMIF(Flare!$B$46:$B$185,$J2651,Flare!$E$46:$E$185)*Impacts!$F$16))</f>
        <v>0</v>
      </c>
      <c r="U2651" s="10">
        <f>IF(VCU!$C$9="",0,(SUMIF(VCU!$B$51:$B$193,$J2651,VCU!$E$51:$E$193)*Impacts!$F$17))</f>
        <v>0</v>
      </c>
      <c r="V2651" s="10">
        <f>IF(CAS!$C$7="",0,(SUMIF(CAS!$B$31:$B$167,$J2651,CAS!$E$31:$E$167)*Impacts!$F$18))</f>
        <v>0</v>
      </c>
      <c r="W2651" s="10">
        <f t="shared" si="82"/>
        <v>0</v>
      </c>
      <c r="AK2651" s="10" t="str">
        <f t="array" ref="AK2651">IFERROR(INDEX(SelectedSpecies,SMALL(IF(SelectedSpecies=AK$1,ROW(SelectedSpecies)),ROW(2652:2652)),2),"")</f>
        <v/>
      </c>
      <c r="BE2651" s="10"/>
      <c r="BI2651" s="10"/>
    </row>
    <row r="2652" spans="1:61" ht="21" customHeight="1" x14ac:dyDescent="0.25">
      <c r="A2652" s="10"/>
      <c r="B2652" s="10"/>
      <c r="E2652" s="10"/>
      <c r="G2652" s="10"/>
      <c r="I2652" s="436" t="s">
        <v>4667</v>
      </c>
      <c r="J2652" s="26" t="s">
        <v>4666</v>
      </c>
      <c r="K2652" s="10">
        <v>3.7</v>
      </c>
      <c r="L2652" s="73">
        <f>IF(Tank1!$C$23="No control",(SUMIF(Tank1!$B$32:$B$49,$J2652,Tank1!$C$32:$C$49)*Impacts!$F$8),0)</f>
        <v>0</v>
      </c>
      <c r="M2652" s="10">
        <f>IF(Tank2!$C$23="No control",(SUMIF(Tank2!$B$32:$B$49,$J2652,Tank2!$C$32:$C$49)*Impacts!$F$9),0)</f>
        <v>0</v>
      </c>
      <c r="N2652" s="10">
        <f>IF(Tank3!$C$23="No control",(SUMIF(Tank3!$B$32:$B$49,$J2652,Tank3!$C$32:$C$49)*Impacts!$F$10),0)</f>
        <v>0</v>
      </c>
      <c r="O2652" s="10">
        <f>IF(Tank4!$C$23="No control",(SUMIF(Tank4!$B$32:$B$49,$J2652,Tank4!$C$32:$C$49)*Impacts!$F$11),0)</f>
        <v>0</v>
      </c>
      <c r="P2652" s="10">
        <f>IF(Tank5!$C$23="No control",(SUMIF(Tank5!$B$32:$B$49,$J2652,Tank5!$C$32:$C$49)*Impacts!$F$12),0)</f>
        <v>0</v>
      </c>
      <c r="Q2652" s="10">
        <f>IFERROR(IF(('Loading-drum,tote'!$C$21)="No control",SUMIF(('Loading-drum,tote'!$B$31:$B$48),$J2652,('Loading-drum,tote'!$D$31:$D$48))*Impacts!$F$13,IF(('Loading-drum,tote'!$C$21)&lt;&gt;"No control",SUMIF(('Loading-drum,tote'!$B$31:$B$48),$J2652,('Loading-drum,tote'!$E$31:$E$48))*Impacts!$F$13,0)),0)</f>
        <v>0</v>
      </c>
      <c r="R2652" s="10">
        <f>IFERROR(IF(('Loading-truck'!$C$21)="No control",SUMIF(('Loading-truck'!$B$31:$B$48),$J2652,('Loading-truck'!$D$31:$D$48))*Impacts!$F$14,IF(('Loading-truck'!$C$21)&lt;&gt;"No control",SUMIF(('Loading-truck'!$B$31:$B$48),$J2652,('Loading-truck'!$E$31:$E$48))*Impacts!$F$14,0)),0)</f>
        <v>0</v>
      </c>
      <c r="S2652" s="10">
        <f>IFERROR(IF(('Loading-rail'!$C$21)="No control",SUMIF(('Loading-rail'!$B$31:$B$48),$J2652,('Loading-rail'!$D$31:$D$48))*Impacts!$F$15,IF(('Loading-rail'!$C$21)&lt;&gt;"No control",SUMIF(('Loading-rail'!$B$31:$B$48),$J2652,('Loading-rail'!$E$31:$E$48))*Impacts!$F$15,0)),0)</f>
        <v>0</v>
      </c>
      <c r="T2652" s="10">
        <f>IF(Flare!$C$7="",0,(SUMIF(Flare!$B$46:$B$185,$J2652,Flare!$E$46:$E$185)*Impacts!$F$16))</f>
        <v>0</v>
      </c>
      <c r="U2652" s="10">
        <f>IF(VCU!$C$9="",0,(SUMIF(VCU!$B$51:$B$193,$J2652,VCU!$E$51:$E$193)*Impacts!$F$17))</f>
        <v>0</v>
      </c>
      <c r="V2652" s="10">
        <f>IF(CAS!$C$7="",0,(SUMIF(CAS!$B$31:$B$167,$J2652,CAS!$E$31:$E$167)*Impacts!$F$18))</f>
        <v>0</v>
      </c>
      <c r="W2652" s="10">
        <f t="shared" si="82"/>
        <v>0</v>
      </c>
      <c r="AK2652" s="10" t="str">
        <f t="array" ref="AK2652">IFERROR(INDEX(SelectedSpecies,SMALL(IF(SelectedSpecies=AK$1,ROW(SelectedSpecies)),ROW(2653:2653)),2),"")</f>
        <v/>
      </c>
      <c r="BE2652" s="10"/>
      <c r="BI2652" s="10"/>
    </row>
    <row r="2653" spans="1:61" ht="21" customHeight="1" x14ac:dyDescent="0.25">
      <c r="A2653" s="10"/>
      <c r="B2653" s="10"/>
      <c r="E2653" s="10"/>
      <c r="G2653" s="10"/>
      <c r="I2653" s="436" t="s">
        <v>1566</v>
      </c>
      <c r="J2653" s="26" t="s">
        <v>1565</v>
      </c>
      <c r="K2653" s="10">
        <v>27</v>
      </c>
      <c r="L2653" s="73">
        <f>IF(Tank1!$C$23="No control",(SUMIF(Tank1!$B$32:$B$49,$J2653,Tank1!$C$32:$C$49)*Impacts!$F$8),0)</f>
        <v>0</v>
      </c>
      <c r="M2653" s="10">
        <f>IF(Tank2!$C$23="No control",(SUMIF(Tank2!$B$32:$B$49,$J2653,Tank2!$C$32:$C$49)*Impacts!$F$9),0)</f>
        <v>0</v>
      </c>
      <c r="N2653" s="10">
        <f>IF(Tank3!$C$23="No control",(SUMIF(Tank3!$B$32:$B$49,$J2653,Tank3!$C$32:$C$49)*Impacts!$F$10),0)</f>
        <v>0</v>
      </c>
      <c r="O2653" s="10">
        <f>IF(Tank4!$C$23="No control",(SUMIF(Tank4!$B$32:$B$49,$J2653,Tank4!$C$32:$C$49)*Impacts!$F$11),0)</f>
        <v>0</v>
      </c>
      <c r="P2653" s="10">
        <f>IF(Tank5!$C$23="No control",(SUMIF(Tank5!$B$32:$B$49,$J2653,Tank5!$C$32:$C$49)*Impacts!$F$12),0)</f>
        <v>0</v>
      </c>
      <c r="Q2653" s="10">
        <f>IFERROR(IF(('Loading-drum,tote'!$C$21)="No control",SUMIF(('Loading-drum,tote'!$B$31:$B$48),$J2653,('Loading-drum,tote'!$D$31:$D$48))*Impacts!$F$13,IF(('Loading-drum,tote'!$C$21)&lt;&gt;"No control",SUMIF(('Loading-drum,tote'!$B$31:$B$48),$J2653,('Loading-drum,tote'!$E$31:$E$48))*Impacts!$F$13,0)),0)</f>
        <v>0</v>
      </c>
      <c r="R2653" s="10">
        <f>IFERROR(IF(('Loading-truck'!$C$21)="No control",SUMIF(('Loading-truck'!$B$31:$B$48),$J2653,('Loading-truck'!$D$31:$D$48))*Impacts!$F$14,IF(('Loading-truck'!$C$21)&lt;&gt;"No control",SUMIF(('Loading-truck'!$B$31:$B$48),$J2653,('Loading-truck'!$E$31:$E$48))*Impacts!$F$14,0)),0)</f>
        <v>0</v>
      </c>
      <c r="S2653" s="10">
        <f>IFERROR(IF(('Loading-rail'!$C$21)="No control",SUMIF(('Loading-rail'!$B$31:$B$48),$J2653,('Loading-rail'!$D$31:$D$48))*Impacts!$F$15,IF(('Loading-rail'!$C$21)&lt;&gt;"No control",SUMIF(('Loading-rail'!$B$31:$B$48),$J2653,('Loading-rail'!$E$31:$E$48))*Impacts!$F$15,0)),0)</f>
        <v>0</v>
      </c>
      <c r="T2653" s="10">
        <f>IF(Flare!$C$7="",0,(SUMIF(Flare!$B$46:$B$185,$J2653,Flare!$E$46:$E$185)*Impacts!$F$16))</f>
        <v>0</v>
      </c>
      <c r="U2653" s="10">
        <f>IF(VCU!$C$9="",0,(SUMIF(VCU!$B$51:$B$193,$J2653,VCU!$E$51:$E$193)*Impacts!$F$17))</f>
        <v>0</v>
      </c>
      <c r="V2653" s="10">
        <f>IF(CAS!$C$7="",0,(SUMIF(CAS!$B$31:$B$167,$J2653,CAS!$E$31:$E$167)*Impacts!$F$18))</f>
        <v>0</v>
      </c>
      <c r="W2653" s="10">
        <f t="shared" si="82"/>
        <v>0</v>
      </c>
      <c r="AK2653" s="10" t="str">
        <f t="array" ref="AK2653">IFERROR(INDEX(SelectedSpecies,SMALL(IF(SelectedSpecies=AK$1,ROW(SelectedSpecies)),ROW(2654:2654)),2),"")</f>
        <v/>
      </c>
      <c r="BE2653" s="10"/>
      <c r="BI2653" s="10"/>
    </row>
    <row r="2654" spans="1:61" ht="21" customHeight="1" x14ac:dyDescent="0.25">
      <c r="A2654" s="10"/>
      <c r="B2654" s="10"/>
      <c r="E2654" s="10"/>
      <c r="G2654" s="10"/>
      <c r="I2654" s="436" t="s">
        <v>6326</v>
      </c>
      <c r="J2654" s="26" t="s">
        <v>6325</v>
      </c>
      <c r="K2654" s="10">
        <v>0.9</v>
      </c>
      <c r="L2654" s="73">
        <f>IF(Tank1!$C$23="No control",(SUMIF(Tank1!$B$32:$B$49,$J2654,Tank1!$C$32:$C$49)*Impacts!$F$8),0)</f>
        <v>0</v>
      </c>
      <c r="M2654" s="10">
        <f>IF(Tank2!$C$23="No control",(SUMIF(Tank2!$B$32:$B$49,$J2654,Tank2!$C$32:$C$49)*Impacts!$F$9),0)</f>
        <v>0</v>
      </c>
      <c r="N2654" s="10">
        <f>IF(Tank3!$C$23="No control",(SUMIF(Tank3!$B$32:$B$49,$J2654,Tank3!$C$32:$C$49)*Impacts!$F$10),0)</f>
        <v>0</v>
      </c>
      <c r="O2654" s="10">
        <f>IF(Tank4!$C$23="No control",(SUMIF(Tank4!$B$32:$B$49,$J2654,Tank4!$C$32:$C$49)*Impacts!$F$11),0)</f>
        <v>0</v>
      </c>
      <c r="P2654" s="10">
        <f>IF(Tank5!$C$23="No control",(SUMIF(Tank5!$B$32:$B$49,$J2654,Tank5!$C$32:$C$49)*Impacts!$F$12),0)</f>
        <v>0</v>
      </c>
      <c r="Q2654" s="10">
        <f>IFERROR(IF(('Loading-drum,tote'!$C$21)="No control",SUMIF(('Loading-drum,tote'!$B$31:$B$48),$J2654,('Loading-drum,tote'!$D$31:$D$48))*Impacts!$F$13,IF(('Loading-drum,tote'!$C$21)&lt;&gt;"No control",SUMIF(('Loading-drum,tote'!$B$31:$B$48),$J2654,('Loading-drum,tote'!$E$31:$E$48))*Impacts!$F$13,0)),0)</f>
        <v>0</v>
      </c>
      <c r="R2654" s="10">
        <f>IFERROR(IF(('Loading-truck'!$C$21)="No control",SUMIF(('Loading-truck'!$B$31:$B$48),$J2654,('Loading-truck'!$D$31:$D$48))*Impacts!$F$14,IF(('Loading-truck'!$C$21)&lt;&gt;"No control",SUMIF(('Loading-truck'!$B$31:$B$48),$J2654,('Loading-truck'!$E$31:$E$48))*Impacts!$F$14,0)),0)</f>
        <v>0</v>
      </c>
      <c r="S2654" s="10">
        <f>IFERROR(IF(('Loading-rail'!$C$21)="No control",SUMIF(('Loading-rail'!$B$31:$B$48),$J2654,('Loading-rail'!$D$31:$D$48))*Impacts!$F$15,IF(('Loading-rail'!$C$21)&lt;&gt;"No control",SUMIF(('Loading-rail'!$B$31:$B$48),$J2654,('Loading-rail'!$E$31:$E$48))*Impacts!$F$15,0)),0)</f>
        <v>0</v>
      </c>
      <c r="T2654" s="10">
        <f>IF(Flare!$C$7="",0,(SUMIF(Flare!$B$46:$B$185,$J2654,Flare!$E$46:$E$185)*Impacts!$F$16))</f>
        <v>0</v>
      </c>
      <c r="U2654" s="10">
        <f>IF(VCU!$C$9="",0,(SUMIF(VCU!$B$51:$B$193,$J2654,VCU!$E$51:$E$193)*Impacts!$F$17))</f>
        <v>0</v>
      </c>
      <c r="V2654" s="10">
        <f>IF(CAS!$C$7="",0,(SUMIF(CAS!$B$31:$B$167,$J2654,CAS!$E$31:$E$167)*Impacts!$F$18))</f>
        <v>0</v>
      </c>
      <c r="W2654" s="10">
        <f t="shared" si="82"/>
        <v>0</v>
      </c>
      <c r="AK2654" s="10" t="str">
        <f t="array" ref="AK2654">IFERROR(INDEX(SelectedSpecies,SMALL(IF(SelectedSpecies=AK$1,ROW(SelectedSpecies)),ROW(2655:2655)),2),"")</f>
        <v/>
      </c>
      <c r="BE2654" s="10"/>
      <c r="BI2654" s="10"/>
    </row>
    <row r="2655" spans="1:61" ht="21" customHeight="1" x14ac:dyDescent="0.25">
      <c r="A2655" s="10"/>
      <c r="B2655" s="10"/>
      <c r="E2655" s="10"/>
      <c r="G2655" s="10"/>
      <c r="I2655" s="436" t="s">
        <v>5091</v>
      </c>
      <c r="J2655" s="26" t="s">
        <v>5090</v>
      </c>
      <c r="K2655" s="10">
        <v>2.2000000000000002</v>
      </c>
      <c r="L2655" s="73">
        <f>IF(Tank1!$C$23="No control",(SUMIF(Tank1!$B$32:$B$49,$J2655,Tank1!$C$32:$C$49)*Impacts!$F$8),0)</f>
        <v>0</v>
      </c>
      <c r="M2655" s="10">
        <f>IF(Tank2!$C$23="No control",(SUMIF(Tank2!$B$32:$B$49,$J2655,Tank2!$C$32:$C$49)*Impacts!$F$9),0)</f>
        <v>0</v>
      </c>
      <c r="N2655" s="10">
        <f>IF(Tank3!$C$23="No control",(SUMIF(Tank3!$B$32:$B$49,$J2655,Tank3!$C$32:$C$49)*Impacts!$F$10),0)</f>
        <v>0</v>
      </c>
      <c r="O2655" s="10">
        <f>IF(Tank4!$C$23="No control",(SUMIF(Tank4!$B$32:$B$49,$J2655,Tank4!$C$32:$C$49)*Impacts!$F$11),0)</f>
        <v>0</v>
      </c>
      <c r="P2655" s="10">
        <f>IF(Tank5!$C$23="No control",(SUMIF(Tank5!$B$32:$B$49,$J2655,Tank5!$C$32:$C$49)*Impacts!$F$12),0)</f>
        <v>0</v>
      </c>
      <c r="Q2655" s="10">
        <f>IFERROR(IF(('Loading-drum,tote'!$C$21)="No control",SUMIF(('Loading-drum,tote'!$B$31:$B$48),$J2655,('Loading-drum,tote'!$D$31:$D$48))*Impacts!$F$13,IF(('Loading-drum,tote'!$C$21)&lt;&gt;"No control",SUMIF(('Loading-drum,tote'!$B$31:$B$48),$J2655,('Loading-drum,tote'!$E$31:$E$48))*Impacts!$F$13,0)),0)</f>
        <v>0</v>
      </c>
      <c r="R2655" s="10">
        <f>IFERROR(IF(('Loading-truck'!$C$21)="No control",SUMIF(('Loading-truck'!$B$31:$B$48),$J2655,('Loading-truck'!$D$31:$D$48))*Impacts!$F$14,IF(('Loading-truck'!$C$21)&lt;&gt;"No control",SUMIF(('Loading-truck'!$B$31:$B$48),$J2655,('Loading-truck'!$E$31:$E$48))*Impacts!$F$14,0)),0)</f>
        <v>0</v>
      </c>
      <c r="S2655" s="10">
        <f>IFERROR(IF(('Loading-rail'!$C$21)="No control",SUMIF(('Loading-rail'!$B$31:$B$48),$J2655,('Loading-rail'!$D$31:$D$48))*Impacts!$F$15,IF(('Loading-rail'!$C$21)&lt;&gt;"No control",SUMIF(('Loading-rail'!$B$31:$B$48),$J2655,('Loading-rail'!$E$31:$E$48))*Impacts!$F$15,0)),0)</f>
        <v>0</v>
      </c>
      <c r="T2655" s="10">
        <f>IF(Flare!$C$7="",0,(SUMIF(Flare!$B$46:$B$185,$J2655,Flare!$E$46:$E$185)*Impacts!$F$16))</f>
        <v>0</v>
      </c>
      <c r="U2655" s="10">
        <f>IF(VCU!$C$9="",0,(SUMIF(VCU!$B$51:$B$193,$J2655,VCU!$E$51:$E$193)*Impacts!$F$17))</f>
        <v>0</v>
      </c>
      <c r="V2655" s="10">
        <f>IF(CAS!$C$7="",0,(SUMIF(CAS!$B$31:$B$167,$J2655,CAS!$E$31:$E$167)*Impacts!$F$18))</f>
        <v>0</v>
      </c>
      <c r="W2655" s="10">
        <f t="shared" si="82"/>
        <v>0</v>
      </c>
      <c r="AK2655" s="10" t="str">
        <f t="array" ref="AK2655">IFERROR(INDEX(SelectedSpecies,SMALL(IF(SelectedSpecies=AK$1,ROW(SelectedSpecies)),ROW(2656:2656)),2),"")</f>
        <v/>
      </c>
      <c r="BE2655" s="10"/>
      <c r="BI2655" s="10"/>
    </row>
    <row r="2656" spans="1:61" ht="21" customHeight="1" x14ac:dyDescent="0.25">
      <c r="A2656" s="10"/>
      <c r="B2656" s="10"/>
      <c r="E2656" s="10"/>
      <c r="G2656" s="10"/>
      <c r="I2656" s="436" t="s">
        <v>1568</v>
      </c>
      <c r="J2656" s="26" t="s">
        <v>1567</v>
      </c>
      <c r="K2656" s="10">
        <v>27</v>
      </c>
      <c r="L2656" s="73">
        <f>IF(Tank1!$C$23="No control",(SUMIF(Tank1!$B$32:$B$49,$J2656,Tank1!$C$32:$C$49)*Impacts!$F$8),0)</f>
        <v>0</v>
      </c>
      <c r="M2656" s="10">
        <f>IF(Tank2!$C$23="No control",(SUMIF(Tank2!$B$32:$B$49,$J2656,Tank2!$C$32:$C$49)*Impacts!$F$9),0)</f>
        <v>0</v>
      </c>
      <c r="N2656" s="10">
        <f>IF(Tank3!$C$23="No control",(SUMIF(Tank3!$B$32:$B$49,$J2656,Tank3!$C$32:$C$49)*Impacts!$F$10),0)</f>
        <v>0</v>
      </c>
      <c r="O2656" s="10">
        <f>IF(Tank4!$C$23="No control",(SUMIF(Tank4!$B$32:$B$49,$J2656,Tank4!$C$32:$C$49)*Impacts!$F$11),0)</f>
        <v>0</v>
      </c>
      <c r="P2656" s="10">
        <f>IF(Tank5!$C$23="No control",(SUMIF(Tank5!$B$32:$B$49,$J2656,Tank5!$C$32:$C$49)*Impacts!$F$12),0)</f>
        <v>0</v>
      </c>
      <c r="Q2656" s="10">
        <f>IFERROR(IF(('Loading-drum,tote'!$C$21)="No control",SUMIF(('Loading-drum,tote'!$B$31:$B$48),$J2656,('Loading-drum,tote'!$D$31:$D$48))*Impacts!$F$13,IF(('Loading-drum,tote'!$C$21)&lt;&gt;"No control",SUMIF(('Loading-drum,tote'!$B$31:$B$48),$J2656,('Loading-drum,tote'!$E$31:$E$48))*Impacts!$F$13,0)),0)</f>
        <v>0</v>
      </c>
      <c r="R2656" s="10">
        <f>IFERROR(IF(('Loading-truck'!$C$21)="No control",SUMIF(('Loading-truck'!$B$31:$B$48),$J2656,('Loading-truck'!$D$31:$D$48))*Impacts!$F$14,IF(('Loading-truck'!$C$21)&lt;&gt;"No control",SUMIF(('Loading-truck'!$B$31:$B$48),$J2656,('Loading-truck'!$E$31:$E$48))*Impacts!$F$14,0)),0)</f>
        <v>0</v>
      </c>
      <c r="S2656" s="10">
        <f>IFERROR(IF(('Loading-rail'!$C$21)="No control",SUMIF(('Loading-rail'!$B$31:$B$48),$J2656,('Loading-rail'!$D$31:$D$48))*Impacts!$F$15,IF(('Loading-rail'!$C$21)&lt;&gt;"No control",SUMIF(('Loading-rail'!$B$31:$B$48),$J2656,('Loading-rail'!$E$31:$E$48))*Impacts!$F$15,0)),0)</f>
        <v>0</v>
      </c>
      <c r="T2656" s="10">
        <f>IF(Flare!$C$7="",0,(SUMIF(Flare!$B$46:$B$185,$J2656,Flare!$E$46:$E$185)*Impacts!$F$16))</f>
        <v>0</v>
      </c>
      <c r="U2656" s="10">
        <f>IF(VCU!$C$9="",0,(SUMIF(VCU!$B$51:$B$193,$J2656,VCU!$E$51:$E$193)*Impacts!$F$17))</f>
        <v>0</v>
      </c>
      <c r="V2656" s="10">
        <f>IF(CAS!$C$7="",0,(SUMIF(CAS!$B$31:$B$167,$J2656,CAS!$E$31:$E$167)*Impacts!$F$18))</f>
        <v>0</v>
      </c>
      <c r="W2656" s="10">
        <f t="shared" si="82"/>
        <v>0</v>
      </c>
      <c r="AK2656" s="10" t="str">
        <f t="array" ref="AK2656">IFERROR(INDEX(SelectedSpecies,SMALL(IF(SelectedSpecies=AK$1,ROW(SelectedSpecies)),ROW(2657:2657)),2),"")</f>
        <v/>
      </c>
      <c r="BE2656" s="10"/>
      <c r="BI2656" s="10"/>
    </row>
    <row r="2657" spans="1:61" ht="21" customHeight="1" x14ac:dyDescent="0.25">
      <c r="A2657" s="10"/>
      <c r="B2657" s="10"/>
      <c r="E2657" s="10"/>
      <c r="G2657" s="10"/>
      <c r="I2657" s="436" t="s">
        <v>1771</v>
      </c>
      <c r="J2657" s="26" t="s">
        <v>1770</v>
      </c>
      <c r="K2657" s="10">
        <v>23.400000000000002</v>
      </c>
      <c r="L2657" s="73">
        <f>IF(Tank1!$C$23="No control",(SUMIF(Tank1!$B$32:$B$49,$J2657,Tank1!$C$32:$C$49)*Impacts!$F$8),0)</f>
        <v>0</v>
      </c>
      <c r="M2657" s="10">
        <f>IF(Tank2!$C$23="No control",(SUMIF(Tank2!$B$32:$B$49,$J2657,Tank2!$C$32:$C$49)*Impacts!$F$9),0)</f>
        <v>0</v>
      </c>
      <c r="N2657" s="10">
        <f>IF(Tank3!$C$23="No control",(SUMIF(Tank3!$B$32:$B$49,$J2657,Tank3!$C$32:$C$49)*Impacts!$F$10),0)</f>
        <v>0</v>
      </c>
      <c r="O2657" s="10">
        <f>IF(Tank4!$C$23="No control",(SUMIF(Tank4!$B$32:$B$49,$J2657,Tank4!$C$32:$C$49)*Impacts!$F$11),0)</f>
        <v>0</v>
      </c>
      <c r="P2657" s="10">
        <f>IF(Tank5!$C$23="No control",(SUMIF(Tank5!$B$32:$B$49,$J2657,Tank5!$C$32:$C$49)*Impacts!$F$12),0)</f>
        <v>0</v>
      </c>
      <c r="Q2657" s="10">
        <f>IFERROR(IF(('Loading-drum,tote'!$C$21)="No control",SUMIF(('Loading-drum,tote'!$B$31:$B$48),$J2657,('Loading-drum,tote'!$D$31:$D$48))*Impacts!$F$13,IF(('Loading-drum,tote'!$C$21)&lt;&gt;"No control",SUMIF(('Loading-drum,tote'!$B$31:$B$48),$J2657,('Loading-drum,tote'!$E$31:$E$48))*Impacts!$F$13,0)),0)</f>
        <v>0</v>
      </c>
      <c r="R2657" s="10">
        <f>IFERROR(IF(('Loading-truck'!$C$21)="No control",SUMIF(('Loading-truck'!$B$31:$B$48),$J2657,('Loading-truck'!$D$31:$D$48))*Impacts!$F$14,IF(('Loading-truck'!$C$21)&lt;&gt;"No control",SUMIF(('Loading-truck'!$B$31:$B$48),$J2657,('Loading-truck'!$E$31:$E$48))*Impacts!$F$14,0)),0)</f>
        <v>0</v>
      </c>
      <c r="S2657" s="10">
        <f>IFERROR(IF(('Loading-rail'!$C$21)="No control",SUMIF(('Loading-rail'!$B$31:$B$48),$J2657,('Loading-rail'!$D$31:$D$48))*Impacts!$F$15,IF(('Loading-rail'!$C$21)&lt;&gt;"No control",SUMIF(('Loading-rail'!$B$31:$B$48),$J2657,('Loading-rail'!$E$31:$E$48))*Impacts!$F$15,0)),0)</f>
        <v>0</v>
      </c>
      <c r="T2657" s="10">
        <f>IF(Flare!$C$7="",0,(SUMIF(Flare!$B$46:$B$185,$J2657,Flare!$E$46:$E$185)*Impacts!$F$16))</f>
        <v>0</v>
      </c>
      <c r="U2657" s="10">
        <f>IF(VCU!$C$9="",0,(SUMIF(VCU!$B$51:$B$193,$J2657,VCU!$E$51:$E$193)*Impacts!$F$17))</f>
        <v>0</v>
      </c>
      <c r="V2657" s="10">
        <f>IF(CAS!$C$7="",0,(SUMIF(CAS!$B$31:$B$167,$J2657,CAS!$E$31:$E$167)*Impacts!$F$18))</f>
        <v>0</v>
      </c>
      <c r="W2657" s="10">
        <f t="shared" si="82"/>
        <v>0</v>
      </c>
      <c r="AK2657" s="10" t="str">
        <f t="array" ref="AK2657">IFERROR(INDEX(SelectedSpecies,SMALL(IF(SelectedSpecies=AK$1,ROW(SelectedSpecies)),ROW(2658:2658)),2),"")</f>
        <v/>
      </c>
      <c r="BE2657" s="10"/>
      <c r="BI2657" s="10"/>
    </row>
    <row r="2658" spans="1:61" ht="21" customHeight="1" x14ac:dyDescent="0.25">
      <c r="A2658" s="10"/>
      <c r="B2658" s="10"/>
      <c r="E2658" s="10"/>
      <c r="G2658" s="10"/>
      <c r="I2658" s="436" t="s">
        <v>8194</v>
      </c>
      <c r="J2658" s="26" t="s">
        <v>8193</v>
      </c>
      <c r="K2658" s="10">
        <v>1.0000000000000002E-2</v>
      </c>
      <c r="L2658" s="73">
        <f>IF(Tank1!$C$23="No control",(SUMIF(Tank1!$B$32:$B$49,$J2658,Tank1!$C$32:$C$49)*Impacts!$F$8),0)</f>
        <v>0</v>
      </c>
      <c r="M2658" s="10">
        <f>IF(Tank2!$C$23="No control",(SUMIF(Tank2!$B$32:$B$49,$J2658,Tank2!$C$32:$C$49)*Impacts!$F$9),0)</f>
        <v>0</v>
      </c>
      <c r="N2658" s="10">
        <f>IF(Tank3!$C$23="No control",(SUMIF(Tank3!$B$32:$B$49,$J2658,Tank3!$C$32:$C$49)*Impacts!$F$10),0)</f>
        <v>0</v>
      </c>
      <c r="O2658" s="10">
        <f>IF(Tank4!$C$23="No control",(SUMIF(Tank4!$B$32:$B$49,$J2658,Tank4!$C$32:$C$49)*Impacts!$F$11),0)</f>
        <v>0</v>
      </c>
      <c r="P2658" s="10">
        <f>IF(Tank5!$C$23="No control",(SUMIF(Tank5!$B$32:$B$49,$J2658,Tank5!$C$32:$C$49)*Impacts!$F$12),0)</f>
        <v>0</v>
      </c>
      <c r="Q2658" s="10">
        <f>IFERROR(IF(('Loading-drum,tote'!$C$21)="No control",SUMIF(('Loading-drum,tote'!$B$31:$B$48),$J2658,('Loading-drum,tote'!$D$31:$D$48))*Impacts!$F$13,IF(('Loading-drum,tote'!$C$21)&lt;&gt;"No control",SUMIF(('Loading-drum,tote'!$B$31:$B$48),$J2658,('Loading-drum,tote'!$E$31:$E$48))*Impacts!$F$13,0)),0)</f>
        <v>0</v>
      </c>
      <c r="R2658" s="10">
        <f>IFERROR(IF(('Loading-truck'!$C$21)="No control",SUMIF(('Loading-truck'!$B$31:$B$48),$J2658,('Loading-truck'!$D$31:$D$48))*Impacts!$F$14,IF(('Loading-truck'!$C$21)&lt;&gt;"No control",SUMIF(('Loading-truck'!$B$31:$B$48),$J2658,('Loading-truck'!$E$31:$E$48))*Impacts!$F$14,0)),0)</f>
        <v>0</v>
      </c>
      <c r="S2658" s="10">
        <f>IFERROR(IF(('Loading-rail'!$C$21)="No control",SUMIF(('Loading-rail'!$B$31:$B$48),$J2658,('Loading-rail'!$D$31:$D$48))*Impacts!$F$15,IF(('Loading-rail'!$C$21)&lt;&gt;"No control",SUMIF(('Loading-rail'!$B$31:$B$48),$J2658,('Loading-rail'!$E$31:$E$48))*Impacts!$F$15,0)),0)</f>
        <v>0</v>
      </c>
      <c r="T2658" s="10">
        <f>IF(Flare!$C$7="",0,(SUMIF(Flare!$B$46:$B$185,$J2658,Flare!$E$46:$E$185)*Impacts!$F$16))</f>
        <v>0</v>
      </c>
      <c r="U2658" s="10">
        <f>IF(VCU!$C$9="",0,(SUMIF(VCU!$B$51:$B$193,$J2658,VCU!$E$51:$E$193)*Impacts!$F$17))</f>
        <v>0</v>
      </c>
      <c r="V2658" s="10">
        <f>IF(CAS!$C$7="",0,(SUMIF(CAS!$B$31:$B$167,$J2658,CAS!$E$31:$E$167)*Impacts!$F$18))</f>
        <v>0</v>
      </c>
      <c r="W2658" s="10">
        <f t="shared" si="82"/>
        <v>0</v>
      </c>
      <c r="AK2658" s="10" t="str">
        <f t="array" ref="AK2658">IFERROR(INDEX(SelectedSpecies,SMALL(IF(SelectedSpecies=AK$1,ROW(SelectedSpecies)),ROW(2659:2659)),2),"")</f>
        <v/>
      </c>
      <c r="BE2658" s="10"/>
      <c r="BI2658" s="10"/>
    </row>
    <row r="2659" spans="1:61" ht="21" customHeight="1" x14ac:dyDescent="0.25">
      <c r="A2659" s="10"/>
      <c r="B2659" s="10"/>
      <c r="E2659" s="10"/>
      <c r="G2659" s="10"/>
      <c r="I2659" s="436" t="s">
        <v>6328</v>
      </c>
      <c r="J2659" s="26" t="s">
        <v>6327</v>
      </c>
      <c r="K2659" s="10">
        <v>0.9</v>
      </c>
      <c r="L2659" s="73">
        <f>IF(Tank1!$C$23="No control",(SUMIF(Tank1!$B$32:$B$49,$J2659,Tank1!$C$32:$C$49)*Impacts!$F$8),0)</f>
        <v>0</v>
      </c>
      <c r="M2659" s="10">
        <f>IF(Tank2!$C$23="No control",(SUMIF(Tank2!$B$32:$B$49,$J2659,Tank2!$C$32:$C$49)*Impacts!$F$9),0)</f>
        <v>0</v>
      </c>
      <c r="N2659" s="10">
        <f>IF(Tank3!$C$23="No control",(SUMIF(Tank3!$B$32:$B$49,$J2659,Tank3!$C$32:$C$49)*Impacts!$F$10),0)</f>
        <v>0</v>
      </c>
      <c r="O2659" s="10">
        <f>IF(Tank4!$C$23="No control",(SUMIF(Tank4!$B$32:$B$49,$J2659,Tank4!$C$32:$C$49)*Impacts!$F$11),0)</f>
        <v>0</v>
      </c>
      <c r="P2659" s="10">
        <f>IF(Tank5!$C$23="No control",(SUMIF(Tank5!$B$32:$B$49,$J2659,Tank5!$C$32:$C$49)*Impacts!$F$12),0)</f>
        <v>0</v>
      </c>
      <c r="Q2659" s="10">
        <f>IFERROR(IF(('Loading-drum,tote'!$C$21)="No control",SUMIF(('Loading-drum,tote'!$B$31:$B$48),$J2659,('Loading-drum,tote'!$D$31:$D$48))*Impacts!$F$13,IF(('Loading-drum,tote'!$C$21)&lt;&gt;"No control",SUMIF(('Loading-drum,tote'!$B$31:$B$48),$J2659,('Loading-drum,tote'!$E$31:$E$48))*Impacts!$F$13,0)),0)</f>
        <v>0</v>
      </c>
      <c r="R2659" s="10">
        <f>IFERROR(IF(('Loading-truck'!$C$21)="No control",SUMIF(('Loading-truck'!$B$31:$B$48),$J2659,('Loading-truck'!$D$31:$D$48))*Impacts!$F$14,IF(('Loading-truck'!$C$21)&lt;&gt;"No control",SUMIF(('Loading-truck'!$B$31:$B$48),$J2659,('Loading-truck'!$E$31:$E$48))*Impacts!$F$14,0)),0)</f>
        <v>0</v>
      </c>
      <c r="S2659" s="10">
        <f>IFERROR(IF(('Loading-rail'!$C$21)="No control",SUMIF(('Loading-rail'!$B$31:$B$48),$J2659,('Loading-rail'!$D$31:$D$48))*Impacts!$F$15,IF(('Loading-rail'!$C$21)&lt;&gt;"No control",SUMIF(('Loading-rail'!$B$31:$B$48),$J2659,('Loading-rail'!$E$31:$E$48))*Impacts!$F$15,0)),0)</f>
        <v>0</v>
      </c>
      <c r="T2659" s="10">
        <f>IF(Flare!$C$7="",0,(SUMIF(Flare!$B$46:$B$185,$J2659,Flare!$E$46:$E$185)*Impacts!$F$16))</f>
        <v>0</v>
      </c>
      <c r="U2659" s="10">
        <f>IF(VCU!$C$9="",0,(SUMIF(VCU!$B$51:$B$193,$J2659,VCU!$E$51:$E$193)*Impacts!$F$17))</f>
        <v>0</v>
      </c>
      <c r="V2659" s="10">
        <f>IF(CAS!$C$7="",0,(SUMIF(CAS!$B$31:$B$167,$J2659,CAS!$E$31:$E$167)*Impacts!$F$18))</f>
        <v>0</v>
      </c>
      <c r="W2659" s="10">
        <f t="shared" si="82"/>
        <v>0</v>
      </c>
      <c r="AK2659" s="10" t="str">
        <f t="array" ref="AK2659">IFERROR(INDEX(SelectedSpecies,SMALL(IF(SelectedSpecies=AK$1,ROW(SelectedSpecies)),ROW(2660:2660)),2),"")</f>
        <v/>
      </c>
      <c r="BE2659" s="10"/>
      <c r="BI2659" s="10"/>
    </row>
    <row r="2660" spans="1:61" ht="21" customHeight="1" x14ac:dyDescent="0.25">
      <c r="A2660" s="10"/>
      <c r="B2660" s="10"/>
      <c r="E2660" s="10"/>
      <c r="G2660" s="10"/>
      <c r="I2660" s="436" t="s">
        <v>4979</v>
      </c>
      <c r="J2660" s="26" t="s">
        <v>4978</v>
      </c>
      <c r="K2660" s="10">
        <v>2.5</v>
      </c>
      <c r="L2660" s="73">
        <f>IF(Tank1!$C$23="No control",(SUMIF(Tank1!$B$32:$B$49,$J2660,Tank1!$C$32:$C$49)*Impacts!$F$8),0)</f>
        <v>0</v>
      </c>
      <c r="M2660" s="10">
        <f>IF(Tank2!$C$23="No control",(SUMIF(Tank2!$B$32:$B$49,$J2660,Tank2!$C$32:$C$49)*Impacts!$F$9),0)</f>
        <v>0</v>
      </c>
      <c r="N2660" s="10">
        <f>IF(Tank3!$C$23="No control",(SUMIF(Tank3!$B$32:$B$49,$J2660,Tank3!$C$32:$C$49)*Impacts!$F$10),0)</f>
        <v>0</v>
      </c>
      <c r="O2660" s="10">
        <f>IF(Tank4!$C$23="No control",(SUMIF(Tank4!$B$32:$B$49,$J2660,Tank4!$C$32:$C$49)*Impacts!$F$11),0)</f>
        <v>0</v>
      </c>
      <c r="P2660" s="10">
        <f>IF(Tank5!$C$23="No control",(SUMIF(Tank5!$B$32:$B$49,$J2660,Tank5!$C$32:$C$49)*Impacts!$F$12),0)</f>
        <v>0</v>
      </c>
      <c r="Q2660" s="10">
        <f>IFERROR(IF(('Loading-drum,tote'!$C$21)="No control",SUMIF(('Loading-drum,tote'!$B$31:$B$48),$J2660,('Loading-drum,tote'!$D$31:$D$48))*Impacts!$F$13,IF(('Loading-drum,tote'!$C$21)&lt;&gt;"No control",SUMIF(('Loading-drum,tote'!$B$31:$B$48),$J2660,('Loading-drum,tote'!$E$31:$E$48))*Impacts!$F$13,0)),0)</f>
        <v>0</v>
      </c>
      <c r="R2660" s="10">
        <f>IFERROR(IF(('Loading-truck'!$C$21)="No control",SUMIF(('Loading-truck'!$B$31:$B$48),$J2660,('Loading-truck'!$D$31:$D$48))*Impacts!$F$14,IF(('Loading-truck'!$C$21)&lt;&gt;"No control",SUMIF(('Loading-truck'!$B$31:$B$48),$J2660,('Loading-truck'!$E$31:$E$48))*Impacts!$F$14,0)),0)</f>
        <v>0</v>
      </c>
      <c r="S2660" s="10">
        <f>IFERROR(IF(('Loading-rail'!$C$21)="No control",SUMIF(('Loading-rail'!$B$31:$B$48),$J2660,('Loading-rail'!$D$31:$D$48))*Impacts!$F$15,IF(('Loading-rail'!$C$21)&lt;&gt;"No control",SUMIF(('Loading-rail'!$B$31:$B$48),$J2660,('Loading-rail'!$E$31:$E$48))*Impacts!$F$15,0)),0)</f>
        <v>0</v>
      </c>
      <c r="T2660" s="10">
        <f>IF(Flare!$C$7="",0,(SUMIF(Flare!$B$46:$B$185,$J2660,Flare!$E$46:$E$185)*Impacts!$F$16))</f>
        <v>0</v>
      </c>
      <c r="U2660" s="10">
        <f>IF(VCU!$C$9="",0,(SUMIF(VCU!$B$51:$B$193,$J2660,VCU!$E$51:$E$193)*Impacts!$F$17))</f>
        <v>0</v>
      </c>
      <c r="V2660" s="10">
        <f>IF(CAS!$C$7="",0,(SUMIF(CAS!$B$31:$B$167,$J2660,CAS!$E$31:$E$167)*Impacts!$F$18))</f>
        <v>0</v>
      </c>
      <c r="W2660" s="10">
        <f t="shared" si="82"/>
        <v>0</v>
      </c>
      <c r="AK2660" s="10" t="str">
        <f t="array" ref="AK2660">IFERROR(INDEX(SelectedSpecies,SMALL(IF(SelectedSpecies=AK$1,ROW(SelectedSpecies)),ROW(2661:2661)),2),"")</f>
        <v/>
      </c>
      <c r="BE2660" s="10"/>
      <c r="BI2660" s="10"/>
    </row>
    <row r="2661" spans="1:61" ht="21" customHeight="1" x14ac:dyDescent="0.25">
      <c r="A2661" s="10"/>
      <c r="B2661" s="10"/>
      <c r="E2661" s="10"/>
      <c r="G2661" s="10"/>
      <c r="I2661" s="436" t="s">
        <v>4887</v>
      </c>
      <c r="J2661" s="26" t="s">
        <v>4886</v>
      </c>
      <c r="K2661" s="10">
        <v>2.7</v>
      </c>
      <c r="L2661" s="73">
        <f>IF(Tank1!$C$23="No control",(SUMIF(Tank1!$B$32:$B$49,$J2661,Tank1!$C$32:$C$49)*Impacts!$F$8),0)</f>
        <v>0</v>
      </c>
      <c r="M2661" s="10">
        <f>IF(Tank2!$C$23="No control",(SUMIF(Tank2!$B$32:$B$49,$J2661,Tank2!$C$32:$C$49)*Impacts!$F$9),0)</f>
        <v>0</v>
      </c>
      <c r="N2661" s="10">
        <f>IF(Tank3!$C$23="No control",(SUMIF(Tank3!$B$32:$B$49,$J2661,Tank3!$C$32:$C$49)*Impacts!$F$10),0)</f>
        <v>0</v>
      </c>
      <c r="O2661" s="10">
        <f>IF(Tank4!$C$23="No control",(SUMIF(Tank4!$B$32:$B$49,$J2661,Tank4!$C$32:$C$49)*Impacts!$F$11),0)</f>
        <v>0</v>
      </c>
      <c r="P2661" s="10">
        <f>IF(Tank5!$C$23="No control",(SUMIF(Tank5!$B$32:$B$49,$J2661,Tank5!$C$32:$C$49)*Impacts!$F$12),0)</f>
        <v>0</v>
      </c>
      <c r="Q2661" s="10">
        <f>IFERROR(IF(('Loading-drum,tote'!$C$21)="No control",SUMIF(('Loading-drum,tote'!$B$31:$B$48),$J2661,('Loading-drum,tote'!$D$31:$D$48))*Impacts!$F$13,IF(('Loading-drum,tote'!$C$21)&lt;&gt;"No control",SUMIF(('Loading-drum,tote'!$B$31:$B$48),$J2661,('Loading-drum,tote'!$E$31:$E$48))*Impacts!$F$13,0)),0)</f>
        <v>0</v>
      </c>
      <c r="R2661" s="10">
        <f>IFERROR(IF(('Loading-truck'!$C$21)="No control",SUMIF(('Loading-truck'!$B$31:$B$48),$J2661,('Loading-truck'!$D$31:$D$48))*Impacts!$F$14,IF(('Loading-truck'!$C$21)&lt;&gt;"No control",SUMIF(('Loading-truck'!$B$31:$B$48),$J2661,('Loading-truck'!$E$31:$E$48))*Impacts!$F$14,0)),0)</f>
        <v>0</v>
      </c>
      <c r="S2661" s="10">
        <f>IFERROR(IF(('Loading-rail'!$C$21)="No control",SUMIF(('Loading-rail'!$B$31:$B$48),$J2661,('Loading-rail'!$D$31:$D$48))*Impacts!$F$15,IF(('Loading-rail'!$C$21)&lt;&gt;"No control",SUMIF(('Loading-rail'!$B$31:$B$48),$J2661,('Loading-rail'!$E$31:$E$48))*Impacts!$F$15,0)),0)</f>
        <v>0</v>
      </c>
      <c r="T2661" s="10">
        <f>IF(Flare!$C$7="",0,(SUMIF(Flare!$B$46:$B$185,$J2661,Flare!$E$46:$E$185)*Impacts!$F$16))</f>
        <v>0</v>
      </c>
      <c r="U2661" s="10">
        <f>IF(VCU!$C$9="",0,(SUMIF(VCU!$B$51:$B$193,$J2661,VCU!$E$51:$E$193)*Impacts!$F$17))</f>
        <v>0</v>
      </c>
      <c r="V2661" s="10">
        <f>IF(CAS!$C$7="",0,(SUMIF(CAS!$B$31:$B$167,$J2661,CAS!$E$31:$E$167)*Impacts!$F$18))</f>
        <v>0</v>
      </c>
      <c r="W2661" s="10">
        <f t="shared" si="82"/>
        <v>0</v>
      </c>
      <c r="AK2661" s="10" t="str">
        <f t="array" ref="AK2661">IFERROR(INDEX(SelectedSpecies,SMALL(IF(SelectedSpecies=AK$1,ROW(SelectedSpecies)),ROW(2662:2662)),2),"")</f>
        <v/>
      </c>
      <c r="BE2661" s="10"/>
      <c r="BI2661" s="10"/>
    </row>
    <row r="2662" spans="1:61" ht="21" customHeight="1" x14ac:dyDescent="0.25">
      <c r="A2662" s="10"/>
      <c r="B2662" s="10"/>
      <c r="E2662" s="10"/>
      <c r="G2662" s="10"/>
      <c r="I2662" s="436" t="s">
        <v>1570</v>
      </c>
      <c r="J2662" s="26" t="s">
        <v>1569</v>
      </c>
      <c r="K2662" s="10">
        <v>27</v>
      </c>
      <c r="L2662" s="73">
        <f>IF(Tank1!$C$23="No control",(SUMIF(Tank1!$B$32:$B$49,$J2662,Tank1!$C$32:$C$49)*Impacts!$F$8),0)</f>
        <v>0</v>
      </c>
      <c r="M2662" s="10">
        <f>IF(Tank2!$C$23="No control",(SUMIF(Tank2!$B$32:$B$49,$J2662,Tank2!$C$32:$C$49)*Impacts!$F$9),0)</f>
        <v>0</v>
      </c>
      <c r="N2662" s="10">
        <f>IF(Tank3!$C$23="No control",(SUMIF(Tank3!$B$32:$B$49,$J2662,Tank3!$C$32:$C$49)*Impacts!$F$10),0)</f>
        <v>0</v>
      </c>
      <c r="O2662" s="10">
        <f>IF(Tank4!$C$23="No control",(SUMIF(Tank4!$B$32:$B$49,$J2662,Tank4!$C$32:$C$49)*Impacts!$F$11),0)</f>
        <v>0</v>
      </c>
      <c r="P2662" s="10">
        <f>IF(Tank5!$C$23="No control",(SUMIF(Tank5!$B$32:$B$49,$J2662,Tank5!$C$32:$C$49)*Impacts!$F$12),0)</f>
        <v>0</v>
      </c>
      <c r="Q2662" s="10">
        <f>IFERROR(IF(('Loading-drum,tote'!$C$21)="No control",SUMIF(('Loading-drum,tote'!$B$31:$B$48),$J2662,('Loading-drum,tote'!$D$31:$D$48))*Impacts!$F$13,IF(('Loading-drum,tote'!$C$21)&lt;&gt;"No control",SUMIF(('Loading-drum,tote'!$B$31:$B$48),$J2662,('Loading-drum,tote'!$E$31:$E$48))*Impacts!$F$13,0)),0)</f>
        <v>0</v>
      </c>
      <c r="R2662" s="10">
        <f>IFERROR(IF(('Loading-truck'!$C$21)="No control",SUMIF(('Loading-truck'!$B$31:$B$48),$J2662,('Loading-truck'!$D$31:$D$48))*Impacts!$F$14,IF(('Loading-truck'!$C$21)&lt;&gt;"No control",SUMIF(('Loading-truck'!$B$31:$B$48),$J2662,('Loading-truck'!$E$31:$E$48))*Impacts!$F$14,0)),0)</f>
        <v>0</v>
      </c>
      <c r="S2662" s="10">
        <f>IFERROR(IF(('Loading-rail'!$C$21)="No control",SUMIF(('Loading-rail'!$B$31:$B$48),$J2662,('Loading-rail'!$D$31:$D$48))*Impacts!$F$15,IF(('Loading-rail'!$C$21)&lt;&gt;"No control",SUMIF(('Loading-rail'!$B$31:$B$48),$J2662,('Loading-rail'!$E$31:$E$48))*Impacts!$F$15,0)),0)</f>
        <v>0</v>
      </c>
      <c r="T2662" s="10">
        <f>IF(Flare!$C$7="",0,(SUMIF(Flare!$B$46:$B$185,$J2662,Flare!$E$46:$E$185)*Impacts!$F$16))</f>
        <v>0</v>
      </c>
      <c r="U2662" s="10">
        <f>IF(VCU!$C$9="",0,(SUMIF(VCU!$B$51:$B$193,$J2662,VCU!$E$51:$E$193)*Impacts!$F$17))</f>
        <v>0</v>
      </c>
      <c r="V2662" s="10">
        <f>IF(CAS!$C$7="",0,(SUMIF(CAS!$B$31:$B$167,$J2662,CAS!$E$31:$E$167)*Impacts!$F$18))</f>
        <v>0</v>
      </c>
      <c r="W2662" s="10">
        <f t="shared" si="82"/>
        <v>0</v>
      </c>
      <c r="AK2662" s="10" t="str">
        <f t="array" ref="AK2662">IFERROR(INDEX(SelectedSpecies,SMALL(IF(SelectedSpecies=AK$1,ROW(SelectedSpecies)),ROW(2663:2663)),2),"")</f>
        <v/>
      </c>
      <c r="BE2662" s="10"/>
      <c r="BI2662" s="10"/>
    </row>
    <row r="2663" spans="1:61" ht="21" customHeight="1" x14ac:dyDescent="0.25">
      <c r="A2663" s="10"/>
      <c r="B2663" s="10"/>
      <c r="E2663" s="10"/>
      <c r="G2663" s="10"/>
      <c r="I2663" s="436" t="s">
        <v>3613</v>
      </c>
      <c r="J2663" s="26" t="s">
        <v>3612</v>
      </c>
      <c r="K2663" s="10">
        <v>7.5</v>
      </c>
      <c r="L2663" s="73">
        <f>IF(Tank1!$C$23="No control",(SUMIF(Tank1!$B$32:$B$49,$J2663,Tank1!$C$32:$C$49)*Impacts!$F$8),0)</f>
        <v>0</v>
      </c>
      <c r="M2663" s="10">
        <f>IF(Tank2!$C$23="No control",(SUMIF(Tank2!$B$32:$B$49,$J2663,Tank2!$C$32:$C$49)*Impacts!$F$9),0)</f>
        <v>0</v>
      </c>
      <c r="N2663" s="10">
        <f>IF(Tank3!$C$23="No control",(SUMIF(Tank3!$B$32:$B$49,$J2663,Tank3!$C$32:$C$49)*Impacts!$F$10),0)</f>
        <v>0</v>
      </c>
      <c r="O2663" s="10">
        <f>IF(Tank4!$C$23="No control",(SUMIF(Tank4!$B$32:$B$49,$J2663,Tank4!$C$32:$C$49)*Impacts!$F$11),0)</f>
        <v>0</v>
      </c>
      <c r="P2663" s="10">
        <f>IF(Tank5!$C$23="No control",(SUMIF(Tank5!$B$32:$B$49,$J2663,Tank5!$C$32:$C$49)*Impacts!$F$12),0)</f>
        <v>0</v>
      </c>
      <c r="Q2663" s="10">
        <f>IFERROR(IF(('Loading-drum,tote'!$C$21)="No control",SUMIF(('Loading-drum,tote'!$B$31:$B$48),$J2663,('Loading-drum,tote'!$D$31:$D$48))*Impacts!$F$13,IF(('Loading-drum,tote'!$C$21)&lt;&gt;"No control",SUMIF(('Loading-drum,tote'!$B$31:$B$48),$J2663,('Loading-drum,tote'!$E$31:$E$48))*Impacts!$F$13,0)),0)</f>
        <v>0</v>
      </c>
      <c r="R2663" s="10">
        <f>IFERROR(IF(('Loading-truck'!$C$21)="No control",SUMIF(('Loading-truck'!$B$31:$B$48),$J2663,('Loading-truck'!$D$31:$D$48))*Impacts!$F$14,IF(('Loading-truck'!$C$21)&lt;&gt;"No control",SUMIF(('Loading-truck'!$B$31:$B$48),$J2663,('Loading-truck'!$E$31:$E$48))*Impacts!$F$14,0)),0)</f>
        <v>0</v>
      </c>
      <c r="S2663" s="10">
        <f>IFERROR(IF(('Loading-rail'!$C$21)="No control",SUMIF(('Loading-rail'!$B$31:$B$48),$J2663,('Loading-rail'!$D$31:$D$48))*Impacts!$F$15,IF(('Loading-rail'!$C$21)&lt;&gt;"No control",SUMIF(('Loading-rail'!$B$31:$B$48),$J2663,('Loading-rail'!$E$31:$E$48))*Impacts!$F$15,0)),0)</f>
        <v>0</v>
      </c>
      <c r="T2663" s="10">
        <f>IF(Flare!$C$7="",0,(SUMIF(Flare!$B$46:$B$185,$J2663,Flare!$E$46:$E$185)*Impacts!$F$16))</f>
        <v>0</v>
      </c>
      <c r="U2663" s="10">
        <f>IF(VCU!$C$9="",0,(SUMIF(VCU!$B$51:$B$193,$J2663,VCU!$E$51:$E$193)*Impacts!$F$17))</f>
        <v>0</v>
      </c>
      <c r="V2663" s="10">
        <f>IF(CAS!$C$7="",0,(SUMIF(CAS!$B$31:$B$167,$J2663,CAS!$E$31:$E$167)*Impacts!$F$18))</f>
        <v>0</v>
      </c>
      <c r="W2663" s="10">
        <f t="shared" si="82"/>
        <v>0</v>
      </c>
      <c r="AK2663" s="10" t="str">
        <f t="array" ref="AK2663">IFERROR(INDEX(SelectedSpecies,SMALL(IF(SelectedSpecies=AK$1,ROW(SelectedSpecies)),ROW(2664:2664)),2),"")</f>
        <v/>
      </c>
      <c r="BE2663" s="10"/>
      <c r="BI2663" s="10"/>
    </row>
    <row r="2664" spans="1:61" ht="21" customHeight="1" x14ac:dyDescent="0.25">
      <c r="A2664" s="10"/>
      <c r="B2664" s="10"/>
      <c r="E2664" s="10"/>
      <c r="G2664" s="10"/>
      <c r="I2664" s="436" t="s">
        <v>4733</v>
      </c>
      <c r="J2664" s="26" t="s">
        <v>4732</v>
      </c>
      <c r="K2664" s="10">
        <v>3.5</v>
      </c>
      <c r="L2664" s="73">
        <f>IF(Tank1!$C$23="No control",(SUMIF(Tank1!$B$32:$B$49,$J2664,Tank1!$C$32:$C$49)*Impacts!$F$8),0)</f>
        <v>0</v>
      </c>
      <c r="M2664" s="10">
        <f>IF(Tank2!$C$23="No control",(SUMIF(Tank2!$B$32:$B$49,$J2664,Tank2!$C$32:$C$49)*Impacts!$F$9),0)</f>
        <v>0</v>
      </c>
      <c r="N2664" s="10">
        <f>IF(Tank3!$C$23="No control",(SUMIF(Tank3!$B$32:$B$49,$J2664,Tank3!$C$32:$C$49)*Impacts!$F$10),0)</f>
        <v>0</v>
      </c>
      <c r="O2664" s="10">
        <f>IF(Tank4!$C$23="No control",(SUMIF(Tank4!$B$32:$B$49,$J2664,Tank4!$C$32:$C$49)*Impacts!$F$11),0)</f>
        <v>0</v>
      </c>
      <c r="P2664" s="10">
        <f>IF(Tank5!$C$23="No control",(SUMIF(Tank5!$B$32:$B$49,$J2664,Tank5!$C$32:$C$49)*Impacts!$F$12),0)</f>
        <v>0</v>
      </c>
      <c r="Q2664" s="10">
        <f>IFERROR(IF(('Loading-drum,tote'!$C$21)="No control",SUMIF(('Loading-drum,tote'!$B$31:$B$48),$J2664,('Loading-drum,tote'!$D$31:$D$48))*Impacts!$F$13,IF(('Loading-drum,tote'!$C$21)&lt;&gt;"No control",SUMIF(('Loading-drum,tote'!$B$31:$B$48),$J2664,('Loading-drum,tote'!$E$31:$E$48))*Impacts!$F$13,0)),0)</f>
        <v>0</v>
      </c>
      <c r="R2664" s="10">
        <f>IFERROR(IF(('Loading-truck'!$C$21)="No control",SUMIF(('Loading-truck'!$B$31:$B$48),$J2664,('Loading-truck'!$D$31:$D$48))*Impacts!$F$14,IF(('Loading-truck'!$C$21)&lt;&gt;"No control",SUMIF(('Loading-truck'!$B$31:$B$48),$J2664,('Loading-truck'!$E$31:$E$48))*Impacts!$F$14,0)),0)</f>
        <v>0</v>
      </c>
      <c r="S2664" s="10">
        <f>IFERROR(IF(('Loading-rail'!$C$21)="No control",SUMIF(('Loading-rail'!$B$31:$B$48),$J2664,('Loading-rail'!$D$31:$D$48))*Impacts!$F$15,IF(('Loading-rail'!$C$21)&lt;&gt;"No control",SUMIF(('Loading-rail'!$B$31:$B$48),$J2664,('Loading-rail'!$E$31:$E$48))*Impacts!$F$15,0)),0)</f>
        <v>0</v>
      </c>
      <c r="T2664" s="10">
        <f>IF(Flare!$C$7="",0,(SUMIF(Flare!$B$46:$B$185,$J2664,Flare!$E$46:$E$185)*Impacts!$F$16))</f>
        <v>0</v>
      </c>
      <c r="U2664" s="10">
        <f>IF(VCU!$C$9="",0,(SUMIF(VCU!$B$51:$B$193,$J2664,VCU!$E$51:$E$193)*Impacts!$F$17))</f>
        <v>0</v>
      </c>
      <c r="V2664" s="10">
        <f>IF(CAS!$C$7="",0,(SUMIF(CAS!$B$31:$B$167,$J2664,CAS!$E$31:$E$167)*Impacts!$F$18))</f>
        <v>0</v>
      </c>
      <c r="W2664" s="10">
        <f t="shared" si="82"/>
        <v>0</v>
      </c>
      <c r="AK2664" s="10" t="str">
        <f t="array" ref="AK2664">IFERROR(INDEX(SelectedSpecies,SMALL(IF(SelectedSpecies=AK$1,ROW(SelectedSpecies)),ROW(2665:2665)),2),"")</f>
        <v/>
      </c>
      <c r="BE2664" s="10"/>
      <c r="BI2664" s="10"/>
    </row>
    <row r="2665" spans="1:61" ht="21" customHeight="1" x14ac:dyDescent="0.25">
      <c r="A2665" s="10"/>
      <c r="B2665" s="10"/>
      <c r="E2665" s="10"/>
      <c r="G2665" s="10"/>
      <c r="I2665" s="436" t="s">
        <v>5457</v>
      </c>
      <c r="J2665" s="26" t="s">
        <v>5456</v>
      </c>
      <c r="K2665" s="10">
        <v>1.4000000000000001</v>
      </c>
      <c r="L2665" s="73">
        <f>IF(Tank1!$C$23="No control",(SUMIF(Tank1!$B$32:$B$49,$J2665,Tank1!$C$32:$C$49)*Impacts!$F$8),0)</f>
        <v>0</v>
      </c>
      <c r="M2665" s="10">
        <f>IF(Tank2!$C$23="No control",(SUMIF(Tank2!$B$32:$B$49,$J2665,Tank2!$C$32:$C$49)*Impacts!$F$9),0)</f>
        <v>0</v>
      </c>
      <c r="N2665" s="10">
        <f>IF(Tank3!$C$23="No control",(SUMIF(Tank3!$B$32:$B$49,$J2665,Tank3!$C$32:$C$49)*Impacts!$F$10),0)</f>
        <v>0</v>
      </c>
      <c r="O2665" s="10">
        <f>IF(Tank4!$C$23="No control",(SUMIF(Tank4!$B$32:$B$49,$J2665,Tank4!$C$32:$C$49)*Impacts!$F$11),0)</f>
        <v>0</v>
      </c>
      <c r="P2665" s="10">
        <f>IF(Tank5!$C$23="No control",(SUMIF(Tank5!$B$32:$B$49,$J2665,Tank5!$C$32:$C$49)*Impacts!$F$12),0)</f>
        <v>0</v>
      </c>
      <c r="Q2665" s="10">
        <f>IFERROR(IF(('Loading-drum,tote'!$C$21)="No control",SUMIF(('Loading-drum,tote'!$B$31:$B$48),$J2665,('Loading-drum,tote'!$D$31:$D$48))*Impacts!$F$13,IF(('Loading-drum,tote'!$C$21)&lt;&gt;"No control",SUMIF(('Loading-drum,tote'!$B$31:$B$48),$J2665,('Loading-drum,tote'!$E$31:$E$48))*Impacts!$F$13,0)),0)</f>
        <v>0</v>
      </c>
      <c r="R2665" s="10">
        <f>IFERROR(IF(('Loading-truck'!$C$21)="No control",SUMIF(('Loading-truck'!$B$31:$B$48),$J2665,('Loading-truck'!$D$31:$D$48))*Impacts!$F$14,IF(('Loading-truck'!$C$21)&lt;&gt;"No control",SUMIF(('Loading-truck'!$B$31:$B$48),$J2665,('Loading-truck'!$E$31:$E$48))*Impacts!$F$14,0)),0)</f>
        <v>0</v>
      </c>
      <c r="S2665" s="10">
        <f>IFERROR(IF(('Loading-rail'!$C$21)="No control",SUMIF(('Loading-rail'!$B$31:$B$48),$J2665,('Loading-rail'!$D$31:$D$48))*Impacts!$F$15,IF(('Loading-rail'!$C$21)&lt;&gt;"No control",SUMIF(('Loading-rail'!$B$31:$B$48),$J2665,('Loading-rail'!$E$31:$E$48))*Impacts!$F$15,0)),0)</f>
        <v>0</v>
      </c>
      <c r="T2665" s="10">
        <f>IF(Flare!$C$7="",0,(SUMIF(Flare!$B$46:$B$185,$J2665,Flare!$E$46:$E$185)*Impacts!$F$16))</f>
        <v>0</v>
      </c>
      <c r="U2665" s="10">
        <f>IF(VCU!$C$9="",0,(SUMIF(VCU!$B$51:$B$193,$J2665,VCU!$E$51:$E$193)*Impacts!$F$17))</f>
        <v>0</v>
      </c>
      <c r="V2665" s="10">
        <f>IF(CAS!$C$7="",0,(SUMIF(CAS!$B$31:$B$167,$J2665,CAS!$E$31:$E$167)*Impacts!$F$18))</f>
        <v>0</v>
      </c>
      <c r="W2665" s="10">
        <f t="shared" si="82"/>
        <v>0</v>
      </c>
      <c r="AK2665" s="10" t="str">
        <f t="array" ref="AK2665">IFERROR(INDEX(SelectedSpecies,SMALL(IF(SelectedSpecies=AK$1,ROW(SelectedSpecies)),ROW(2666:2666)),2),"")</f>
        <v/>
      </c>
      <c r="BE2665" s="10"/>
      <c r="BI2665" s="10"/>
    </row>
    <row r="2666" spans="1:61" ht="21" customHeight="1" x14ac:dyDescent="0.25">
      <c r="A2666" s="10"/>
      <c r="B2666" s="10"/>
      <c r="E2666" s="10"/>
      <c r="G2666" s="10"/>
      <c r="I2666" s="436" t="s">
        <v>4347</v>
      </c>
      <c r="J2666" s="26" t="s">
        <v>4346</v>
      </c>
      <c r="K2666" s="10">
        <v>4.9000000000000004</v>
      </c>
      <c r="L2666" s="73">
        <f>IF(Tank1!$C$23="No control",(SUMIF(Tank1!$B$32:$B$49,$J2666,Tank1!$C$32:$C$49)*Impacts!$F$8),0)</f>
        <v>0</v>
      </c>
      <c r="M2666" s="10">
        <f>IF(Tank2!$C$23="No control",(SUMIF(Tank2!$B$32:$B$49,$J2666,Tank2!$C$32:$C$49)*Impacts!$F$9),0)</f>
        <v>0</v>
      </c>
      <c r="N2666" s="10">
        <f>IF(Tank3!$C$23="No control",(SUMIF(Tank3!$B$32:$B$49,$J2666,Tank3!$C$32:$C$49)*Impacts!$F$10),0)</f>
        <v>0</v>
      </c>
      <c r="O2666" s="10">
        <f>IF(Tank4!$C$23="No control",(SUMIF(Tank4!$B$32:$B$49,$J2666,Tank4!$C$32:$C$49)*Impacts!$F$11),0)</f>
        <v>0</v>
      </c>
      <c r="P2666" s="10">
        <f>IF(Tank5!$C$23="No control",(SUMIF(Tank5!$B$32:$B$49,$J2666,Tank5!$C$32:$C$49)*Impacts!$F$12),0)</f>
        <v>0</v>
      </c>
      <c r="Q2666" s="10">
        <f>IFERROR(IF(('Loading-drum,tote'!$C$21)="No control",SUMIF(('Loading-drum,tote'!$B$31:$B$48),$J2666,('Loading-drum,tote'!$D$31:$D$48))*Impacts!$F$13,IF(('Loading-drum,tote'!$C$21)&lt;&gt;"No control",SUMIF(('Loading-drum,tote'!$B$31:$B$48),$J2666,('Loading-drum,tote'!$E$31:$E$48))*Impacts!$F$13,0)),0)</f>
        <v>0</v>
      </c>
      <c r="R2666" s="10">
        <f>IFERROR(IF(('Loading-truck'!$C$21)="No control",SUMIF(('Loading-truck'!$B$31:$B$48),$J2666,('Loading-truck'!$D$31:$D$48))*Impacts!$F$14,IF(('Loading-truck'!$C$21)&lt;&gt;"No control",SUMIF(('Loading-truck'!$B$31:$B$48),$J2666,('Loading-truck'!$E$31:$E$48))*Impacts!$F$14,0)),0)</f>
        <v>0</v>
      </c>
      <c r="S2666" s="10">
        <f>IFERROR(IF(('Loading-rail'!$C$21)="No control",SUMIF(('Loading-rail'!$B$31:$B$48),$J2666,('Loading-rail'!$D$31:$D$48))*Impacts!$F$15,IF(('Loading-rail'!$C$21)&lt;&gt;"No control",SUMIF(('Loading-rail'!$B$31:$B$48),$J2666,('Loading-rail'!$E$31:$E$48))*Impacts!$F$15,0)),0)</f>
        <v>0</v>
      </c>
      <c r="T2666" s="10">
        <f>IF(Flare!$C$7="",0,(SUMIF(Flare!$B$46:$B$185,$J2666,Flare!$E$46:$E$185)*Impacts!$F$16))</f>
        <v>0</v>
      </c>
      <c r="U2666" s="10">
        <f>IF(VCU!$C$9="",0,(SUMIF(VCU!$B$51:$B$193,$J2666,VCU!$E$51:$E$193)*Impacts!$F$17))</f>
        <v>0</v>
      </c>
      <c r="V2666" s="10">
        <f>IF(CAS!$C$7="",0,(SUMIF(CAS!$B$31:$B$167,$J2666,CAS!$E$31:$E$167)*Impacts!$F$18))</f>
        <v>0</v>
      </c>
      <c r="W2666" s="10">
        <f t="shared" si="82"/>
        <v>0</v>
      </c>
      <c r="AK2666" s="10" t="str">
        <f t="array" ref="AK2666">IFERROR(INDEX(SelectedSpecies,SMALL(IF(SelectedSpecies=AK$1,ROW(SelectedSpecies)),ROW(2667:2667)),2),"")</f>
        <v/>
      </c>
      <c r="BE2666" s="10"/>
      <c r="BI2666" s="10"/>
    </row>
    <row r="2667" spans="1:61" ht="21" customHeight="1" x14ac:dyDescent="0.25">
      <c r="A2667" s="10"/>
      <c r="B2667" s="10"/>
      <c r="E2667" s="10"/>
      <c r="G2667" s="10"/>
      <c r="I2667" s="436" t="s">
        <v>1468</v>
      </c>
      <c r="J2667" s="26" t="s">
        <v>1467</v>
      </c>
      <c r="K2667" s="10">
        <v>30</v>
      </c>
      <c r="L2667" s="73">
        <f>IF(Tank1!$C$23="No control",(SUMIF(Tank1!$B$32:$B$49,$J2667,Tank1!$C$32:$C$49)*Impacts!$F$8),0)</f>
        <v>0</v>
      </c>
      <c r="M2667" s="10">
        <f>IF(Tank2!$C$23="No control",(SUMIF(Tank2!$B$32:$B$49,$J2667,Tank2!$C$32:$C$49)*Impacts!$F$9),0)</f>
        <v>0</v>
      </c>
      <c r="N2667" s="10">
        <f>IF(Tank3!$C$23="No control",(SUMIF(Tank3!$B$32:$B$49,$J2667,Tank3!$C$32:$C$49)*Impacts!$F$10),0)</f>
        <v>0</v>
      </c>
      <c r="O2667" s="10">
        <f>IF(Tank4!$C$23="No control",(SUMIF(Tank4!$B$32:$B$49,$J2667,Tank4!$C$32:$C$49)*Impacts!$F$11),0)</f>
        <v>0</v>
      </c>
      <c r="P2667" s="10">
        <f>IF(Tank5!$C$23="No control",(SUMIF(Tank5!$B$32:$B$49,$J2667,Tank5!$C$32:$C$49)*Impacts!$F$12),0)</f>
        <v>0</v>
      </c>
      <c r="Q2667" s="10">
        <f>IFERROR(IF(('Loading-drum,tote'!$C$21)="No control",SUMIF(('Loading-drum,tote'!$B$31:$B$48),$J2667,('Loading-drum,tote'!$D$31:$D$48))*Impacts!$F$13,IF(('Loading-drum,tote'!$C$21)&lt;&gt;"No control",SUMIF(('Loading-drum,tote'!$B$31:$B$48),$J2667,('Loading-drum,tote'!$E$31:$E$48))*Impacts!$F$13,0)),0)</f>
        <v>0</v>
      </c>
      <c r="R2667" s="10">
        <f>IFERROR(IF(('Loading-truck'!$C$21)="No control",SUMIF(('Loading-truck'!$B$31:$B$48),$J2667,('Loading-truck'!$D$31:$D$48))*Impacts!$F$14,IF(('Loading-truck'!$C$21)&lt;&gt;"No control",SUMIF(('Loading-truck'!$B$31:$B$48),$J2667,('Loading-truck'!$E$31:$E$48))*Impacts!$F$14,0)),0)</f>
        <v>0</v>
      </c>
      <c r="S2667" s="10">
        <f>IFERROR(IF(('Loading-rail'!$C$21)="No control",SUMIF(('Loading-rail'!$B$31:$B$48),$J2667,('Loading-rail'!$D$31:$D$48))*Impacts!$F$15,IF(('Loading-rail'!$C$21)&lt;&gt;"No control",SUMIF(('Loading-rail'!$B$31:$B$48),$J2667,('Loading-rail'!$E$31:$E$48))*Impacts!$F$15,0)),0)</f>
        <v>0</v>
      </c>
      <c r="T2667" s="10">
        <f>IF(Flare!$C$7="",0,(SUMIF(Flare!$B$46:$B$185,$J2667,Flare!$E$46:$E$185)*Impacts!$F$16))</f>
        <v>0</v>
      </c>
      <c r="U2667" s="10">
        <f>IF(VCU!$C$9="",0,(SUMIF(VCU!$B$51:$B$193,$J2667,VCU!$E$51:$E$193)*Impacts!$F$17))</f>
        <v>0</v>
      </c>
      <c r="V2667" s="10">
        <f>IF(CAS!$C$7="",0,(SUMIF(CAS!$B$31:$B$167,$J2667,CAS!$E$31:$E$167)*Impacts!$F$18))</f>
        <v>0</v>
      </c>
      <c r="W2667" s="10">
        <f t="shared" si="82"/>
        <v>0</v>
      </c>
      <c r="AK2667" s="10" t="str">
        <f t="array" ref="AK2667">IFERROR(INDEX(SelectedSpecies,SMALL(IF(SelectedSpecies=AK$1,ROW(SelectedSpecies)),ROW(2668:2668)),2),"")</f>
        <v/>
      </c>
      <c r="BE2667" s="10"/>
      <c r="BI2667" s="10"/>
    </row>
    <row r="2668" spans="1:61" ht="21" customHeight="1" x14ac:dyDescent="0.25">
      <c r="A2668" s="10"/>
      <c r="B2668" s="10"/>
      <c r="E2668" s="10"/>
      <c r="G2668" s="10"/>
      <c r="I2668" s="436" t="s">
        <v>5459</v>
      </c>
      <c r="J2668" s="26" t="s">
        <v>5458</v>
      </c>
      <c r="K2668" s="10">
        <v>1.4000000000000001</v>
      </c>
      <c r="L2668" s="73">
        <f>IF(Tank1!$C$23="No control",(SUMIF(Tank1!$B$32:$B$49,$J2668,Tank1!$C$32:$C$49)*Impacts!$F$8),0)</f>
        <v>0</v>
      </c>
      <c r="M2668" s="10">
        <f>IF(Tank2!$C$23="No control",(SUMIF(Tank2!$B$32:$B$49,$J2668,Tank2!$C$32:$C$49)*Impacts!$F$9),0)</f>
        <v>0</v>
      </c>
      <c r="N2668" s="10">
        <f>IF(Tank3!$C$23="No control",(SUMIF(Tank3!$B$32:$B$49,$J2668,Tank3!$C$32:$C$49)*Impacts!$F$10),0)</f>
        <v>0</v>
      </c>
      <c r="O2668" s="10">
        <f>IF(Tank4!$C$23="No control",(SUMIF(Tank4!$B$32:$B$49,$J2668,Tank4!$C$32:$C$49)*Impacts!$F$11),0)</f>
        <v>0</v>
      </c>
      <c r="P2668" s="10">
        <f>IF(Tank5!$C$23="No control",(SUMIF(Tank5!$B$32:$B$49,$J2668,Tank5!$C$32:$C$49)*Impacts!$F$12),0)</f>
        <v>0</v>
      </c>
      <c r="Q2668" s="10">
        <f>IFERROR(IF(('Loading-drum,tote'!$C$21)="No control",SUMIF(('Loading-drum,tote'!$B$31:$B$48),$J2668,('Loading-drum,tote'!$D$31:$D$48))*Impacts!$F$13,IF(('Loading-drum,tote'!$C$21)&lt;&gt;"No control",SUMIF(('Loading-drum,tote'!$B$31:$B$48),$J2668,('Loading-drum,tote'!$E$31:$E$48))*Impacts!$F$13,0)),0)</f>
        <v>0</v>
      </c>
      <c r="R2668" s="10">
        <f>IFERROR(IF(('Loading-truck'!$C$21)="No control",SUMIF(('Loading-truck'!$B$31:$B$48),$J2668,('Loading-truck'!$D$31:$D$48))*Impacts!$F$14,IF(('Loading-truck'!$C$21)&lt;&gt;"No control",SUMIF(('Loading-truck'!$B$31:$B$48),$J2668,('Loading-truck'!$E$31:$E$48))*Impacts!$F$14,0)),0)</f>
        <v>0</v>
      </c>
      <c r="S2668" s="10">
        <f>IFERROR(IF(('Loading-rail'!$C$21)="No control",SUMIF(('Loading-rail'!$B$31:$B$48),$J2668,('Loading-rail'!$D$31:$D$48))*Impacts!$F$15,IF(('Loading-rail'!$C$21)&lt;&gt;"No control",SUMIF(('Loading-rail'!$B$31:$B$48),$J2668,('Loading-rail'!$E$31:$E$48))*Impacts!$F$15,0)),0)</f>
        <v>0</v>
      </c>
      <c r="T2668" s="10">
        <f>IF(Flare!$C$7="",0,(SUMIF(Flare!$B$46:$B$185,$J2668,Flare!$E$46:$E$185)*Impacts!$F$16))</f>
        <v>0</v>
      </c>
      <c r="U2668" s="10">
        <f>IF(VCU!$C$9="",0,(SUMIF(VCU!$B$51:$B$193,$J2668,VCU!$E$51:$E$193)*Impacts!$F$17))</f>
        <v>0</v>
      </c>
      <c r="V2668" s="10">
        <f>IF(CAS!$C$7="",0,(SUMIF(CAS!$B$31:$B$167,$J2668,CAS!$E$31:$E$167)*Impacts!$F$18))</f>
        <v>0</v>
      </c>
      <c r="W2668" s="10">
        <f t="shared" si="82"/>
        <v>0</v>
      </c>
      <c r="AK2668" s="10" t="str">
        <f t="array" ref="AK2668">IFERROR(INDEX(SelectedSpecies,SMALL(IF(SelectedSpecies=AK$1,ROW(SelectedSpecies)),ROW(2669:2669)),2),"")</f>
        <v/>
      </c>
      <c r="BE2668" s="10"/>
      <c r="BI2668" s="10"/>
    </row>
    <row r="2669" spans="1:61" ht="21" customHeight="1" x14ac:dyDescent="0.25">
      <c r="A2669" s="10"/>
      <c r="B2669" s="10"/>
      <c r="E2669" s="10"/>
      <c r="G2669" s="10"/>
      <c r="I2669" s="436" t="s">
        <v>1070</v>
      </c>
      <c r="J2669" s="26" t="s">
        <v>1069</v>
      </c>
      <c r="K2669" s="10">
        <v>35</v>
      </c>
      <c r="L2669" s="73">
        <f>IF(Tank1!$C$23="No control",(SUMIF(Tank1!$B$32:$B$49,$J2669,Tank1!$C$32:$C$49)*Impacts!$F$8),0)</f>
        <v>0</v>
      </c>
      <c r="M2669" s="10">
        <f>IF(Tank2!$C$23="No control",(SUMIF(Tank2!$B$32:$B$49,$J2669,Tank2!$C$32:$C$49)*Impacts!$F$9),0)</f>
        <v>0</v>
      </c>
      <c r="N2669" s="10">
        <f>IF(Tank3!$C$23="No control",(SUMIF(Tank3!$B$32:$B$49,$J2669,Tank3!$C$32:$C$49)*Impacts!$F$10),0)</f>
        <v>0</v>
      </c>
      <c r="O2669" s="10">
        <f>IF(Tank4!$C$23="No control",(SUMIF(Tank4!$B$32:$B$49,$J2669,Tank4!$C$32:$C$49)*Impacts!$F$11),0)</f>
        <v>0</v>
      </c>
      <c r="P2669" s="10">
        <f>IF(Tank5!$C$23="No control",(SUMIF(Tank5!$B$32:$B$49,$J2669,Tank5!$C$32:$C$49)*Impacts!$F$12),0)</f>
        <v>0</v>
      </c>
      <c r="Q2669" s="10">
        <f>IFERROR(IF(('Loading-drum,tote'!$C$21)="No control",SUMIF(('Loading-drum,tote'!$B$31:$B$48),$J2669,('Loading-drum,tote'!$D$31:$D$48))*Impacts!$F$13,IF(('Loading-drum,tote'!$C$21)&lt;&gt;"No control",SUMIF(('Loading-drum,tote'!$B$31:$B$48),$J2669,('Loading-drum,tote'!$E$31:$E$48))*Impacts!$F$13,0)),0)</f>
        <v>0</v>
      </c>
      <c r="R2669" s="10">
        <f>IFERROR(IF(('Loading-truck'!$C$21)="No control",SUMIF(('Loading-truck'!$B$31:$B$48),$J2669,('Loading-truck'!$D$31:$D$48))*Impacts!$F$14,IF(('Loading-truck'!$C$21)&lt;&gt;"No control",SUMIF(('Loading-truck'!$B$31:$B$48),$J2669,('Loading-truck'!$E$31:$E$48))*Impacts!$F$14,0)),0)</f>
        <v>0</v>
      </c>
      <c r="S2669" s="10">
        <f>IFERROR(IF(('Loading-rail'!$C$21)="No control",SUMIF(('Loading-rail'!$B$31:$B$48),$J2669,('Loading-rail'!$D$31:$D$48))*Impacts!$F$15,IF(('Loading-rail'!$C$21)&lt;&gt;"No control",SUMIF(('Loading-rail'!$B$31:$B$48),$J2669,('Loading-rail'!$E$31:$E$48))*Impacts!$F$15,0)),0)</f>
        <v>0</v>
      </c>
      <c r="T2669" s="10">
        <f>IF(Flare!$C$7="",0,(SUMIF(Flare!$B$46:$B$185,$J2669,Flare!$E$46:$E$185)*Impacts!$F$16))</f>
        <v>0</v>
      </c>
      <c r="U2669" s="10">
        <f>IF(VCU!$C$9="",0,(SUMIF(VCU!$B$51:$B$193,$J2669,VCU!$E$51:$E$193)*Impacts!$F$17))</f>
        <v>0</v>
      </c>
      <c r="V2669" s="10">
        <f>IF(CAS!$C$7="",0,(SUMIF(CAS!$B$31:$B$167,$J2669,CAS!$E$31:$E$167)*Impacts!$F$18))</f>
        <v>0</v>
      </c>
      <c r="W2669" s="10">
        <f t="shared" si="82"/>
        <v>0</v>
      </c>
      <c r="AK2669" s="10" t="str">
        <f t="array" ref="AK2669">IFERROR(INDEX(SelectedSpecies,SMALL(IF(SelectedSpecies=AK$1,ROW(SelectedSpecies)),ROW(2670:2670)),2),"")</f>
        <v/>
      </c>
      <c r="BE2669" s="10"/>
      <c r="BI2669" s="10"/>
    </row>
    <row r="2670" spans="1:61" ht="21" customHeight="1" x14ac:dyDescent="0.25">
      <c r="A2670" s="10"/>
      <c r="B2670" s="10"/>
      <c r="E2670" s="10"/>
      <c r="G2670" s="10"/>
      <c r="I2670" s="436" t="s">
        <v>1072</v>
      </c>
      <c r="J2670" s="26" t="s">
        <v>1071</v>
      </c>
      <c r="K2670" s="10">
        <v>35</v>
      </c>
      <c r="L2670" s="73">
        <f>IF(Tank1!$C$23="No control",(SUMIF(Tank1!$B$32:$B$49,$J2670,Tank1!$C$32:$C$49)*Impacts!$F$8),0)</f>
        <v>0</v>
      </c>
      <c r="M2670" s="10">
        <f>IF(Tank2!$C$23="No control",(SUMIF(Tank2!$B$32:$B$49,$J2670,Tank2!$C$32:$C$49)*Impacts!$F$9),0)</f>
        <v>0</v>
      </c>
      <c r="N2670" s="10">
        <f>IF(Tank3!$C$23="No control",(SUMIF(Tank3!$B$32:$B$49,$J2670,Tank3!$C$32:$C$49)*Impacts!$F$10),0)</f>
        <v>0</v>
      </c>
      <c r="O2670" s="10">
        <f>IF(Tank4!$C$23="No control",(SUMIF(Tank4!$B$32:$B$49,$J2670,Tank4!$C$32:$C$49)*Impacts!$F$11),0)</f>
        <v>0</v>
      </c>
      <c r="P2670" s="10">
        <f>IF(Tank5!$C$23="No control",(SUMIF(Tank5!$B$32:$B$49,$J2670,Tank5!$C$32:$C$49)*Impacts!$F$12),0)</f>
        <v>0</v>
      </c>
      <c r="Q2670" s="10">
        <f>IFERROR(IF(('Loading-drum,tote'!$C$21)="No control",SUMIF(('Loading-drum,tote'!$B$31:$B$48),$J2670,('Loading-drum,tote'!$D$31:$D$48))*Impacts!$F$13,IF(('Loading-drum,tote'!$C$21)&lt;&gt;"No control",SUMIF(('Loading-drum,tote'!$B$31:$B$48),$J2670,('Loading-drum,tote'!$E$31:$E$48))*Impacts!$F$13,0)),0)</f>
        <v>0</v>
      </c>
      <c r="R2670" s="10">
        <f>IFERROR(IF(('Loading-truck'!$C$21)="No control",SUMIF(('Loading-truck'!$B$31:$B$48),$J2670,('Loading-truck'!$D$31:$D$48))*Impacts!$F$14,IF(('Loading-truck'!$C$21)&lt;&gt;"No control",SUMIF(('Loading-truck'!$B$31:$B$48),$J2670,('Loading-truck'!$E$31:$E$48))*Impacts!$F$14,0)),0)</f>
        <v>0</v>
      </c>
      <c r="S2670" s="10">
        <f>IFERROR(IF(('Loading-rail'!$C$21)="No control",SUMIF(('Loading-rail'!$B$31:$B$48),$J2670,('Loading-rail'!$D$31:$D$48))*Impacts!$F$15,IF(('Loading-rail'!$C$21)&lt;&gt;"No control",SUMIF(('Loading-rail'!$B$31:$B$48),$J2670,('Loading-rail'!$E$31:$E$48))*Impacts!$F$15,0)),0)</f>
        <v>0</v>
      </c>
      <c r="T2670" s="10">
        <f>IF(Flare!$C$7="",0,(SUMIF(Flare!$B$46:$B$185,$J2670,Flare!$E$46:$E$185)*Impacts!$F$16))</f>
        <v>0</v>
      </c>
      <c r="U2670" s="10">
        <f>IF(VCU!$C$9="",0,(SUMIF(VCU!$B$51:$B$193,$J2670,VCU!$E$51:$E$193)*Impacts!$F$17))</f>
        <v>0</v>
      </c>
      <c r="V2670" s="10">
        <f>IF(CAS!$C$7="",0,(SUMIF(CAS!$B$31:$B$167,$J2670,CAS!$E$31:$E$167)*Impacts!$F$18))</f>
        <v>0</v>
      </c>
      <c r="W2670" s="10">
        <f t="shared" si="82"/>
        <v>0</v>
      </c>
      <c r="AK2670" s="10" t="str">
        <f t="array" ref="AK2670">IFERROR(INDEX(SelectedSpecies,SMALL(IF(SelectedSpecies=AK$1,ROW(SelectedSpecies)),ROW(2671:2671)),2),"")</f>
        <v/>
      </c>
      <c r="BE2670" s="10"/>
      <c r="BI2670" s="10"/>
    </row>
    <row r="2671" spans="1:61" ht="21" customHeight="1" x14ac:dyDescent="0.25">
      <c r="A2671" s="10"/>
      <c r="B2671" s="10"/>
      <c r="E2671" s="10"/>
      <c r="G2671" s="10"/>
      <c r="I2671" s="436" t="s">
        <v>718</v>
      </c>
      <c r="J2671" s="26" t="s">
        <v>717</v>
      </c>
      <c r="K2671" s="10">
        <v>57</v>
      </c>
      <c r="L2671" s="73">
        <f>IF(Tank1!$C$23="No control",(SUMIF(Tank1!$B$32:$B$49,$J2671,Tank1!$C$32:$C$49)*Impacts!$F$8),0)</f>
        <v>0</v>
      </c>
      <c r="M2671" s="10">
        <f>IF(Tank2!$C$23="No control",(SUMIF(Tank2!$B$32:$B$49,$J2671,Tank2!$C$32:$C$49)*Impacts!$F$9),0)</f>
        <v>0</v>
      </c>
      <c r="N2671" s="10">
        <f>IF(Tank3!$C$23="No control",(SUMIF(Tank3!$B$32:$B$49,$J2671,Tank3!$C$32:$C$49)*Impacts!$F$10),0)</f>
        <v>0</v>
      </c>
      <c r="O2671" s="10">
        <f>IF(Tank4!$C$23="No control",(SUMIF(Tank4!$B$32:$B$49,$J2671,Tank4!$C$32:$C$49)*Impacts!$F$11),0)</f>
        <v>0</v>
      </c>
      <c r="P2671" s="10">
        <f>IF(Tank5!$C$23="No control",(SUMIF(Tank5!$B$32:$B$49,$J2671,Tank5!$C$32:$C$49)*Impacts!$F$12),0)</f>
        <v>0</v>
      </c>
      <c r="Q2671" s="10">
        <f>IFERROR(IF(('Loading-drum,tote'!$C$21)="No control",SUMIF(('Loading-drum,tote'!$B$31:$B$48),$J2671,('Loading-drum,tote'!$D$31:$D$48))*Impacts!$F$13,IF(('Loading-drum,tote'!$C$21)&lt;&gt;"No control",SUMIF(('Loading-drum,tote'!$B$31:$B$48),$J2671,('Loading-drum,tote'!$E$31:$E$48))*Impacts!$F$13,0)),0)</f>
        <v>0</v>
      </c>
      <c r="R2671" s="10">
        <f>IFERROR(IF(('Loading-truck'!$C$21)="No control",SUMIF(('Loading-truck'!$B$31:$B$48),$J2671,('Loading-truck'!$D$31:$D$48))*Impacts!$F$14,IF(('Loading-truck'!$C$21)&lt;&gt;"No control",SUMIF(('Loading-truck'!$B$31:$B$48),$J2671,('Loading-truck'!$E$31:$E$48))*Impacts!$F$14,0)),0)</f>
        <v>0</v>
      </c>
      <c r="S2671" s="10">
        <f>IFERROR(IF(('Loading-rail'!$C$21)="No control",SUMIF(('Loading-rail'!$B$31:$B$48),$J2671,('Loading-rail'!$D$31:$D$48))*Impacts!$F$15,IF(('Loading-rail'!$C$21)&lt;&gt;"No control",SUMIF(('Loading-rail'!$B$31:$B$48),$J2671,('Loading-rail'!$E$31:$E$48))*Impacts!$F$15,0)),0)</f>
        <v>0</v>
      </c>
      <c r="T2671" s="10">
        <f>IF(Flare!$C$7="",0,(SUMIF(Flare!$B$46:$B$185,$J2671,Flare!$E$46:$E$185)*Impacts!$F$16))</f>
        <v>0</v>
      </c>
      <c r="U2671" s="10">
        <f>IF(VCU!$C$9="",0,(SUMIF(VCU!$B$51:$B$193,$J2671,VCU!$E$51:$E$193)*Impacts!$F$17))</f>
        <v>0</v>
      </c>
      <c r="V2671" s="10">
        <f>IF(CAS!$C$7="",0,(SUMIF(CAS!$B$31:$B$167,$J2671,CAS!$E$31:$E$167)*Impacts!$F$18))</f>
        <v>0</v>
      </c>
      <c r="W2671" s="10">
        <f t="shared" si="82"/>
        <v>0</v>
      </c>
      <c r="AK2671" s="10" t="str">
        <f t="array" ref="AK2671">IFERROR(INDEX(SelectedSpecies,SMALL(IF(SelectedSpecies=AK$1,ROW(SelectedSpecies)),ROW(2672:2672)),2),"")</f>
        <v/>
      </c>
      <c r="BE2671" s="10"/>
      <c r="BI2671" s="10"/>
    </row>
    <row r="2672" spans="1:61" ht="21" customHeight="1" x14ac:dyDescent="0.25">
      <c r="A2672" s="10"/>
      <c r="B2672" s="10"/>
      <c r="E2672" s="10"/>
      <c r="G2672" s="10"/>
      <c r="I2672" s="436" t="s">
        <v>2151</v>
      </c>
      <c r="J2672" s="26" t="s">
        <v>2150</v>
      </c>
      <c r="K2672" s="10">
        <v>15</v>
      </c>
      <c r="L2672" s="73">
        <f>IF(Tank1!$C$23="No control",(SUMIF(Tank1!$B$32:$B$49,$J2672,Tank1!$C$32:$C$49)*Impacts!$F$8),0)</f>
        <v>0</v>
      </c>
      <c r="M2672" s="10">
        <f>IF(Tank2!$C$23="No control",(SUMIF(Tank2!$B$32:$B$49,$J2672,Tank2!$C$32:$C$49)*Impacts!$F$9),0)</f>
        <v>0</v>
      </c>
      <c r="N2672" s="10">
        <f>IF(Tank3!$C$23="No control",(SUMIF(Tank3!$B$32:$B$49,$J2672,Tank3!$C$32:$C$49)*Impacts!$F$10),0)</f>
        <v>0</v>
      </c>
      <c r="O2672" s="10">
        <f>IF(Tank4!$C$23="No control",(SUMIF(Tank4!$B$32:$B$49,$J2672,Tank4!$C$32:$C$49)*Impacts!$F$11),0)</f>
        <v>0</v>
      </c>
      <c r="P2672" s="10">
        <f>IF(Tank5!$C$23="No control",(SUMIF(Tank5!$B$32:$B$49,$J2672,Tank5!$C$32:$C$49)*Impacts!$F$12),0)</f>
        <v>0</v>
      </c>
      <c r="Q2672" s="10">
        <f>IFERROR(IF(('Loading-drum,tote'!$C$21)="No control",SUMIF(('Loading-drum,tote'!$B$31:$B$48),$J2672,('Loading-drum,tote'!$D$31:$D$48))*Impacts!$F$13,IF(('Loading-drum,tote'!$C$21)&lt;&gt;"No control",SUMIF(('Loading-drum,tote'!$B$31:$B$48),$J2672,('Loading-drum,tote'!$E$31:$E$48))*Impacts!$F$13,0)),0)</f>
        <v>0</v>
      </c>
      <c r="R2672" s="10">
        <f>IFERROR(IF(('Loading-truck'!$C$21)="No control",SUMIF(('Loading-truck'!$B$31:$B$48),$J2672,('Loading-truck'!$D$31:$D$48))*Impacts!$F$14,IF(('Loading-truck'!$C$21)&lt;&gt;"No control",SUMIF(('Loading-truck'!$B$31:$B$48),$J2672,('Loading-truck'!$E$31:$E$48))*Impacts!$F$14,0)),0)</f>
        <v>0</v>
      </c>
      <c r="S2672" s="10">
        <f>IFERROR(IF(('Loading-rail'!$C$21)="No control",SUMIF(('Loading-rail'!$B$31:$B$48),$J2672,('Loading-rail'!$D$31:$D$48))*Impacts!$F$15,IF(('Loading-rail'!$C$21)&lt;&gt;"No control",SUMIF(('Loading-rail'!$B$31:$B$48),$J2672,('Loading-rail'!$E$31:$E$48))*Impacts!$F$15,0)),0)</f>
        <v>0</v>
      </c>
      <c r="T2672" s="10">
        <f>IF(Flare!$C$7="",0,(SUMIF(Flare!$B$46:$B$185,$J2672,Flare!$E$46:$E$185)*Impacts!$F$16))</f>
        <v>0</v>
      </c>
      <c r="U2672" s="10">
        <f>IF(VCU!$C$9="",0,(SUMIF(VCU!$B$51:$B$193,$J2672,VCU!$E$51:$E$193)*Impacts!$F$17))</f>
        <v>0</v>
      </c>
      <c r="V2672" s="10">
        <f>IF(CAS!$C$7="",0,(SUMIF(CAS!$B$31:$B$167,$J2672,CAS!$E$31:$E$167)*Impacts!$F$18))</f>
        <v>0</v>
      </c>
      <c r="W2672" s="10">
        <f t="shared" si="82"/>
        <v>0</v>
      </c>
      <c r="AK2672" s="10" t="str">
        <f t="array" ref="AK2672">IFERROR(INDEX(SelectedSpecies,SMALL(IF(SelectedSpecies=AK$1,ROW(SelectedSpecies)),ROW(2673:2673)),2),"")</f>
        <v/>
      </c>
      <c r="BE2672" s="10"/>
      <c r="BI2672" s="10"/>
    </row>
    <row r="2673" spans="1:61" ht="21" customHeight="1" x14ac:dyDescent="0.25">
      <c r="A2673" s="10"/>
      <c r="B2673" s="10"/>
      <c r="E2673" s="10"/>
      <c r="G2673" s="10"/>
      <c r="I2673" s="436" t="s">
        <v>1074</v>
      </c>
      <c r="J2673" s="26" t="s">
        <v>1073</v>
      </c>
      <c r="K2673" s="10">
        <v>35</v>
      </c>
      <c r="L2673" s="73">
        <f>IF(Tank1!$C$23="No control",(SUMIF(Tank1!$B$32:$B$49,$J2673,Tank1!$C$32:$C$49)*Impacts!$F$8),0)</f>
        <v>0</v>
      </c>
      <c r="M2673" s="10">
        <f>IF(Tank2!$C$23="No control",(SUMIF(Tank2!$B$32:$B$49,$J2673,Tank2!$C$32:$C$49)*Impacts!$F$9),0)</f>
        <v>0</v>
      </c>
      <c r="N2673" s="10">
        <f>IF(Tank3!$C$23="No control",(SUMIF(Tank3!$B$32:$B$49,$J2673,Tank3!$C$32:$C$49)*Impacts!$F$10),0)</f>
        <v>0</v>
      </c>
      <c r="O2673" s="10">
        <f>IF(Tank4!$C$23="No control",(SUMIF(Tank4!$B$32:$B$49,$J2673,Tank4!$C$32:$C$49)*Impacts!$F$11),0)</f>
        <v>0</v>
      </c>
      <c r="P2673" s="10">
        <f>IF(Tank5!$C$23="No control",(SUMIF(Tank5!$B$32:$B$49,$J2673,Tank5!$C$32:$C$49)*Impacts!$F$12),0)</f>
        <v>0</v>
      </c>
      <c r="Q2673" s="10">
        <f>IFERROR(IF(('Loading-drum,tote'!$C$21)="No control",SUMIF(('Loading-drum,tote'!$B$31:$B$48),$J2673,('Loading-drum,tote'!$D$31:$D$48))*Impacts!$F$13,IF(('Loading-drum,tote'!$C$21)&lt;&gt;"No control",SUMIF(('Loading-drum,tote'!$B$31:$B$48),$J2673,('Loading-drum,tote'!$E$31:$E$48))*Impacts!$F$13,0)),0)</f>
        <v>0</v>
      </c>
      <c r="R2673" s="10">
        <f>IFERROR(IF(('Loading-truck'!$C$21)="No control",SUMIF(('Loading-truck'!$B$31:$B$48),$J2673,('Loading-truck'!$D$31:$D$48))*Impacts!$F$14,IF(('Loading-truck'!$C$21)&lt;&gt;"No control",SUMIF(('Loading-truck'!$B$31:$B$48),$J2673,('Loading-truck'!$E$31:$E$48))*Impacts!$F$14,0)),0)</f>
        <v>0</v>
      </c>
      <c r="S2673" s="10">
        <f>IFERROR(IF(('Loading-rail'!$C$21)="No control",SUMIF(('Loading-rail'!$B$31:$B$48),$J2673,('Loading-rail'!$D$31:$D$48))*Impacts!$F$15,IF(('Loading-rail'!$C$21)&lt;&gt;"No control",SUMIF(('Loading-rail'!$B$31:$B$48),$J2673,('Loading-rail'!$E$31:$E$48))*Impacts!$F$15,0)),0)</f>
        <v>0</v>
      </c>
      <c r="T2673" s="10">
        <f>IF(Flare!$C$7="",0,(SUMIF(Flare!$B$46:$B$185,$J2673,Flare!$E$46:$E$185)*Impacts!$F$16))</f>
        <v>0</v>
      </c>
      <c r="U2673" s="10">
        <f>IF(VCU!$C$9="",0,(SUMIF(VCU!$B$51:$B$193,$J2673,VCU!$E$51:$E$193)*Impacts!$F$17))</f>
        <v>0</v>
      </c>
      <c r="V2673" s="10">
        <f>IF(CAS!$C$7="",0,(SUMIF(CAS!$B$31:$B$167,$J2673,CAS!$E$31:$E$167)*Impacts!$F$18))</f>
        <v>0</v>
      </c>
      <c r="W2673" s="10">
        <f t="shared" si="82"/>
        <v>0</v>
      </c>
      <c r="AK2673" s="10" t="str">
        <f t="array" ref="AK2673">IFERROR(INDEX(SelectedSpecies,SMALL(IF(SelectedSpecies=AK$1,ROW(SelectedSpecies)),ROW(2674:2674)),2),"")</f>
        <v/>
      </c>
      <c r="BE2673" s="10"/>
      <c r="BI2673" s="10"/>
    </row>
    <row r="2674" spans="1:61" ht="21" customHeight="1" x14ac:dyDescent="0.25">
      <c r="A2674" s="10"/>
      <c r="B2674" s="10"/>
      <c r="E2674" s="10"/>
      <c r="G2674" s="10"/>
      <c r="I2674" s="436" t="s">
        <v>2377</v>
      </c>
      <c r="J2674" s="26" t="s">
        <v>2376</v>
      </c>
      <c r="K2674" s="10">
        <v>10.5</v>
      </c>
      <c r="L2674" s="73">
        <f>IF(Tank1!$C$23="No control",(SUMIF(Tank1!$B$32:$B$49,$J2674,Tank1!$C$32:$C$49)*Impacts!$F$8),0)</f>
        <v>0</v>
      </c>
      <c r="M2674" s="10">
        <f>IF(Tank2!$C$23="No control",(SUMIF(Tank2!$B$32:$B$49,$J2674,Tank2!$C$32:$C$49)*Impacts!$F$9),0)</f>
        <v>0</v>
      </c>
      <c r="N2674" s="10">
        <f>IF(Tank3!$C$23="No control",(SUMIF(Tank3!$B$32:$B$49,$J2674,Tank3!$C$32:$C$49)*Impacts!$F$10),0)</f>
        <v>0</v>
      </c>
      <c r="O2674" s="10">
        <f>IF(Tank4!$C$23="No control",(SUMIF(Tank4!$B$32:$B$49,$J2674,Tank4!$C$32:$C$49)*Impacts!$F$11),0)</f>
        <v>0</v>
      </c>
      <c r="P2674" s="10">
        <f>IF(Tank5!$C$23="No control",(SUMIF(Tank5!$B$32:$B$49,$J2674,Tank5!$C$32:$C$49)*Impacts!$F$12),0)</f>
        <v>0</v>
      </c>
      <c r="Q2674" s="10">
        <f>IFERROR(IF(('Loading-drum,tote'!$C$21)="No control",SUMIF(('Loading-drum,tote'!$B$31:$B$48),$J2674,('Loading-drum,tote'!$D$31:$D$48))*Impacts!$F$13,IF(('Loading-drum,tote'!$C$21)&lt;&gt;"No control",SUMIF(('Loading-drum,tote'!$B$31:$B$48),$J2674,('Loading-drum,tote'!$E$31:$E$48))*Impacts!$F$13,0)),0)</f>
        <v>0</v>
      </c>
      <c r="R2674" s="10">
        <f>IFERROR(IF(('Loading-truck'!$C$21)="No control",SUMIF(('Loading-truck'!$B$31:$B$48),$J2674,('Loading-truck'!$D$31:$D$48))*Impacts!$F$14,IF(('Loading-truck'!$C$21)&lt;&gt;"No control",SUMIF(('Loading-truck'!$B$31:$B$48),$J2674,('Loading-truck'!$E$31:$E$48))*Impacts!$F$14,0)),0)</f>
        <v>0</v>
      </c>
      <c r="S2674" s="10">
        <f>IFERROR(IF(('Loading-rail'!$C$21)="No control",SUMIF(('Loading-rail'!$B$31:$B$48),$J2674,('Loading-rail'!$D$31:$D$48))*Impacts!$F$15,IF(('Loading-rail'!$C$21)&lt;&gt;"No control",SUMIF(('Loading-rail'!$B$31:$B$48),$J2674,('Loading-rail'!$E$31:$E$48))*Impacts!$F$15,0)),0)</f>
        <v>0</v>
      </c>
      <c r="T2674" s="10">
        <f>IF(Flare!$C$7="",0,(SUMIF(Flare!$B$46:$B$185,$J2674,Flare!$E$46:$E$185)*Impacts!$F$16))</f>
        <v>0</v>
      </c>
      <c r="U2674" s="10">
        <f>IF(VCU!$C$9="",0,(SUMIF(VCU!$B$51:$B$193,$J2674,VCU!$E$51:$E$193)*Impacts!$F$17))</f>
        <v>0</v>
      </c>
      <c r="V2674" s="10">
        <f>IF(CAS!$C$7="",0,(SUMIF(CAS!$B$31:$B$167,$J2674,CAS!$E$31:$E$167)*Impacts!$F$18))</f>
        <v>0</v>
      </c>
      <c r="W2674" s="10">
        <f t="shared" si="82"/>
        <v>0</v>
      </c>
      <c r="AK2674" s="10" t="str">
        <f t="array" ref="AK2674">IFERROR(INDEX(SelectedSpecies,SMALL(IF(SelectedSpecies=AK$1,ROW(SelectedSpecies)),ROW(2675:2675)),2),"")</f>
        <v/>
      </c>
      <c r="BE2674" s="10"/>
      <c r="BI2674" s="10"/>
    </row>
    <row r="2675" spans="1:61" ht="21" customHeight="1" x14ac:dyDescent="0.25">
      <c r="A2675" s="10"/>
      <c r="B2675" s="10"/>
      <c r="E2675" s="10"/>
      <c r="G2675" s="10"/>
      <c r="I2675" s="436" t="s">
        <v>7766</v>
      </c>
      <c r="J2675" s="26" t="s">
        <v>7765</v>
      </c>
      <c r="K2675" s="10">
        <v>0.1</v>
      </c>
      <c r="L2675" s="73">
        <f>IF(Tank1!$C$23="No control",(SUMIF(Tank1!$B$32:$B$49,$J2675,Tank1!$C$32:$C$49)*Impacts!$F$8),0)</f>
        <v>0</v>
      </c>
      <c r="M2675" s="10">
        <f>IF(Tank2!$C$23="No control",(SUMIF(Tank2!$B$32:$B$49,$J2675,Tank2!$C$32:$C$49)*Impacts!$F$9),0)</f>
        <v>0</v>
      </c>
      <c r="N2675" s="10">
        <f>IF(Tank3!$C$23="No control",(SUMIF(Tank3!$B$32:$B$49,$J2675,Tank3!$C$32:$C$49)*Impacts!$F$10),0)</f>
        <v>0</v>
      </c>
      <c r="O2675" s="10">
        <f>IF(Tank4!$C$23="No control",(SUMIF(Tank4!$B$32:$B$49,$J2675,Tank4!$C$32:$C$49)*Impacts!$F$11),0)</f>
        <v>0</v>
      </c>
      <c r="P2675" s="10">
        <f>IF(Tank5!$C$23="No control",(SUMIF(Tank5!$B$32:$B$49,$J2675,Tank5!$C$32:$C$49)*Impacts!$F$12),0)</f>
        <v>0</v>
      </c>
      <c r="Q2675" s="10">
        <f>IFERROR(IF(('Loading-drum,tote'!$C$21)="No control",SUMIF(('Loading-drum,tote'!$B$31:$B$48),$J2675,('Loading-drum,tote'!$D$31:$D$48))*Impacts!$F$13,IF(('Loading-drum,tote'!$C$21)&lt;&gt;"No control",SUMIF(('Loading-drum,tote'!$B$31:$B$48),$J2675,('Loading-drum,tote'!$E$31:$E$48))*Impacts!$F$13,0)),0)</f>
        <v>0</v>
      </c>
      <c r="R2675" s="10">
        <f>IFERROR(IF(('Loading-truck'!$C$21)="No control",SUMIF(('Loading-truck'!$B$31:$B$48),$J2675,('Loading-truck'!$D$31:$D$48))*Impacts!$F$14,IF(('Loading-truck'!$C$21)&lt;&gt;"No control",SUMIF(('Loading-truck'!$B$31:$B$48),$J2675,('Loading-truck'!$E$31:$E$48))*Impacts!$F$14,0)),0)</f>
        <v>0</v>
      </c>
      <c r="S2675" s="10">
        <f>IFERROR(IF(('Loading-rail'!$C$21)="No control",SUMIF(('Loading-rail'!$B$31:$B$48),$J2675,('Loading-rail'!$D$31:$D$48))*Impacts!$F$15,IF(('Loading-rail'!$C$21)&lt;&gt;"No control",SUMIF(('Loading-rail'!$B$31:$B$48),$J2675,('Loading-rail'!$E$31:$E$48))*Impacts!$F$15,0)),0)</f>
        <v>0</v>
      </c>
      <c r="T2675" s="10">
        <f>IF(Flare!$C$7="",0,(SUMIF(Flare!$B$46:$B$185,$J2675,Flare!$E$46:$E$185)*Impacts!$F$16))</f>
        <v>0</v>
      </c>
      <c r="U2675" s="10">
        <f>IF(VCU!$C$9="",0,(SUMIF(VCU!$B$51:$B$193,$J2675,VCU!$E$51:$E$193)*Impacts!$F$17))</f>
        <v>0</v>
      </c>
      <c r="V2675" s="10">
        <f>IF(CAS!$C$7="",0,(SUMIF(CAS!$B$31:$B$167,$J2675,CAS!$E$31:$E$167)*Impacts!$F$18))</f>
        <v>0</v>
      </c>
      <c r="W2675" s="10">
        <f t="shared" si="82"/>
        <v>0</v>
      </c>
      <c r="AK2675" s="10" t="str">
        <f t="array" ref="AK2675">IFERROR(INDEX(SelectedSpecies,SMALL(IF(SelectedSpecies=AK$1,ROW(SelectedSpecies)),ROW(2676:2676)),2),"")</f>
        <v/>
      </c>
      <c r="BE2675" s="10"/>
      <c r="BI2675" s="10"/>
    </row>
    <row r="2676" spans="1:61" ht="21" customHeight="1" x14ac:dyDescent="0.25">
      <c r="A2676" s="10"/>
      <c r="B2676" s="10"/>
      <c r="E2676" s="10"/>
      <c r="G2676" s="10"/>
      <c r="I2676" s="436" t="s">
        <v>7410</v>
      </c>
      <c r="J2676" s="26" t="s">
        <v>7409</v>
      </c>
      <c r="K2676" s="10">
        <v>0.21000000000000002</v>
      </c>
      <c r="L2676" s="73">
        <f>IF(Tank1!$C$23="No control",(SUMIF(Tank1!$B$32:$B$49,$J2676,Tank1!$C$32:$C$49)*Impacts!$F$8),0)</f>
        <v>0</v>
      </c>
      <c r="M2676" s="10">
        <f>IF(Tank2!$C$23="No control",(SUMIF(Tank2!$B$32:$B$49,$J2676,Tank2!$C$32:$C$49)*Impacts!$F$9),0)</f>
        <v>0</v>
      </c>
      <c r="N2676" s="10">
        <f>IF(Tank3!$C$23="No control",(SUMIF(Tank3!$B$32:$B$49,$J2676,Tank3!$C$32:$C$49)*Impacts!$F$10),0)</f>
        <v>0</v>
      </c>
      <c r="O2676" s="10">
        <f>IF(Tank4!$C$23="No control",(SUMIF(Tank4!$B$32:$B$49,$J2676,Tank4!$C$32:$C$49)*Impacts!$F$11),0)</f>
        <v>0</v>
      </c>
      <c r="P2676" s="10">
        <f>IF(Tank5!$C$23="No control",(SUMIF(Tank5!$B$32:$B$49,$J2676,Tank5!$C$32:$C$49)*Impacts!$F$12),0)</f>
        <v>0</v>
      </c>
      <c r="Q2676" s="10">
        <f>IFERROR(IF(('Loading-drum,tote'!$C$21)="No control",SUMIF(('Loading-drum,tote'!$B$31:$B$48),$J2676,('Loading-drum,tote'!$D$31:$D$48))*Impacts!$F$13,IF(('Loading-drum,tote'!$C$21)&lt;&gt;"No control",SUMIF(('Loading-drum,tote'!$B$31:$B$48),$J2676,('Loading-drum,tote'!$E$31:$E$48))*Impacts!$F$13,0)),0)</f>
        <v>0</v>
      </c>
      <c r="R2676" s="10">
        <f>IFERROR(IF(('Loading-truck'!$C$21)="No control",SUMIF(('Loading-truck'!$B$31:$B$48),$J2676,('Loading-truck'!$D$31:$D$48))*Impacts!$F$14,IF(('Loading-truck'!$C$21)&lt;&gt;"No control",SUMIF(('Loading-truck'!$B$31:$B$48),$J2676,('Loading-truck'!$E$31:$E$48))*Impacts!$F$14,0)),0)</f>
        <v>0</v>
      </c>
      <c r="S2676" s="10">
        <f>IFERROR(IF(('Loading-rail'!$C$21)="No control",SUMIF(('Loading-rail'!$B$31:$B$48),$J2676,('Loading-rail'!$D$31:$D$48))*Impacts!$F$15,IF(('Loading-rail'!$C$21)&lt;&gt;"No control",SUMIF(('Loading-rail'!$B$31:$B$48),$J2676,('Loading-rail'!$E$31:$E$48))*Impacts!$F$15,0)),0)</f>
        <v>0</v>
      </c>
      <c r="T2676" s="10">
        <f>IF(Flare!$C$7="",0,(SUMIF(Flare!$B$46:$B$185,$J2676,Flare!$E$46:$E$185)*Impacts!$F$16))</f>
        <v>0</v>
      </c>
      <c r="U2676" s="10">
        <f>IF(VCU!$C$9="",0,(SUMIF(VCU!$B$51:$B$193,$J2676,VCU!$E$51:$E$193)*Impacts!$F$17))</f>
        <v>0</v>
      </c>
      <c r="V2676" s="10">
        <f>IF(CAS!$C$7="",0,(SUMIF(CAS!$B$31:$B$167,$J2676,CAS!$E$31:$E$167)*Impacts!$F$18))</f>
        <v>0</v>
      </c>
      <c r="W2676" s="10">
        <f t="shared" si="82"/>
        <v>0</v>
      </c>
      <c r="AK2676" s="10" t="str">
        <f t="array" ref="AK2676">IFERROR(INDEX(SelectedSpecies,SMALL(IF(SelectedSpecies=AK$1,ROW(SelectedSpecies)),ROW(2677:2677)),2),"")</f>
        <v/>
      </c>
      <c r="BE2676" s="10"/>
      <c r="BI2676" s="10"/>
    </row>
    <row r="2677" spans="1:61" ht="21" customHeight="1" x14ac:dyDescent="0.25">
      <c r="A2677" s="10"/>
      <c r="B2677" s="10"/>
      <c r="E2677" s="10"/>
      <c r="G2677" s="10"/>
      <c r="I2677" s="436" t="s">
        <v>3003</v>
      </c>
      <c r="J2677" s="26" t="s">
        <v>3002</v>
      </c>
      <c r="K2677" s="10">
        <v>10</v>
      </c>
      <c r="L2677" s="73">
        <f>IF(Tank1!$C$23="No control",(SUMIF(Tank1!$B$32:$B$49,$J2677,Tank1!$C$32:$C$49)*Impacts!$F$8),0)</f>
        <v>0</v>
      </c>
      <c r="M2677" s="10">
        <f>IF(Tank2!$C$23="No control",(SUMIF(Tank2!$B$32:$B$49,$J2677,Tank2!$C$32:$C$49)*Impacts!$F$9),0)</f>
        <v>0</v>
      </c>
      <c r="N2677" s="10">
        <f>IF(Tank3!$C$23="No control",(SUMIF(Tank3!$B$32:$B$49,$J2677,Tank3!$C$32:$C$49)*Impacts!$F$10),0)</f>
        <v>0</v>
      </c>
      <c r="O2677" s="10">
        <f>IF(Tank4!$C$23="No control",(SUMIF(Tank4!$B$32:$B$49,$J2677,Tank4!$C$32:$C$49)*Impacts!$F$11),0)</f>
        <v>0</v>
      </c>
      <c r="P2677" s="10">
        <f>IF(Tank5!$C$23="No control",(SUMIF(Tank5!$B$32:$B$49,$J2677,Tank5!$C$32:$C$49)*Impacts!$F$12),0)</f>
        <v>0</v>
      </c>
      <c r="Q2677" s="10">
        <f>IFERROR(IF(('Loading-drum,tote'!$C$21)="No control",SUMIF(('Loading-drum,tote'!$B$31:$B$48),$J2677,('Loading-drum,tote'!$D$31:$D$48))*Impacts!$F$13,IF(('Loading-drum,tote'!$C$21)&lt;&gt;"No control",SUMIF(('Loading-drum,tote'!$B$31:$B$48),$J2677,('Loading-drum,tote'!$E$31:$E$48))*Impacts!$F$13,0)),0)</f>
        <v>0</v>
      </c>
      <c r="R2677" s="10">
        <f>IFERROR(IF(('Loading-truck'!$C$21)="No control",SUMIF(('Loading-truck'!$B$31:$B$48),$J2677,('Loading-truck'!$D$31:$D$48))*Impacts!$F$14,IF(('Loading-truck'!$C$21)&lt;&gt;"No control",SUMIF(('Loading-truck'!$B$31:$B$48),$J2677,('Loading-truck'!$E$31:$E$48))*Impacts!$F$14,0)),0)</f>
        <v>0</v>
      </c>
      <c r="S2677" s="10">
        <f>IFERROR(IF(('Loading-rail'!$C$21)="No control",SUMIF(('Loading-rail'!$B$31:$B$48),$J2677,('Loading-rail'!$D$31:$D$48))*Impacts!$F$15,IF(('Loading-rail'!$C$21)&lt;&gt;"No control",SUMIF(('Loading-rail'!$B$31:$B$48),$J2677,('Loading-rail'!$E$31:$E$48))*Impacts!$F$15,0)),0)</f>
        <v>0</v>
      </c>
      <c r="T2677" s="10">
        <f>IF(Flare!$C$7="",0,(SUMIF(Flare!$B$46:$B$185,$J2677,Flare!$E$46:$E$185)*Impacts!$F$16))</f>
        <v>0</v>
      </c>
      <c r="U2677" s="10">
        <f>IF(VCU!$C$9="",0,(SUMIF(VCU!$B$51:$B$193,$J2677,VCU!$E$51:$E$193)*Impacts!$F$17))</f>
        <v>0</v>
      </c>
      <c r="V2677" s="10">
        <f>IF(CAS!$C$7="",0,(SUMIF(CAS!$B$31:$B$167,$J2677,CAS!$E$31:$E$167)*Impacts!$F$18))</f>
        <v>0</v>
      </c>
      <c r="W2677" s="10">
        <f t="shared" si="82"/>
        <v>0</v>
      </c>
      <c r="AK2677" s="10" t="str">
        <f t="array" ref="AK2677">IFERROR(INDEX(SelectedSpecies,SMALL(IF(SelectedSpecies=AK$1,ROW(SelectedSpecies)),ROW(2678:2678)),2),"")</f>
        <v/>
      </c>
      <c r="BE2677" s="10"/>
      <c r="BI2677" s="10"/>
    </row>
    <row r="2678" spans="1:61" ht="21" customHeight="1" x14ac:dyDescent="0.25">
      <c r="A2678" s="10"/>
      <c r="B2678" s="10"/>
      <c r="E2678" s="10"/>
      <c r="G2678" s="10"/>
      <c r="I2678" s="436" t="s">
        <v>3005</v>
      </c>
      <c r="J2678" s="26" t="s">
        <v>3004</v>
      </c>
      <c r="K2678" s="10">
        <v>10</v>
      </c>
      <c r="L2678" s="73">
        <f>IF(Tank1!$C$23="No control",(SUMIF(Tank1!$B$32:$B$49,$J2678,Tank1!$C$32:$C$49)*Impacts!$F$8),0)</f>
        <v>0</v>
      </c>
      <c r="M2678" s="10">
        <f>IF(Tank2!$C$23="No control",(SUMIF(Tank2!$B$32:$B$49,$J2678,Tank2!$C$32:$C$49)*Impacts!$F$9),0)</f>
        <v>0</v>
      </c>
      <c r="N2678" s="10">
        <f>IF(Tank3!$C$23="No control",(SUMIF(Tank3!$B$32:$B$49,$J2678,Tank3!$C$32:$C$49)*Impacts!$F$10),0)</f>
        <v>0</v>
      </c>
      <c r="O2678" s="10">
        <f>IF(Tank4!$C$23="No control",(SUMIF(Tank4!$B$32:$B$49,$J2678,Tank4!$C$32:$C$49)*Impacts!$F$11),0)</f>
        <v>0</v>
      </c>
      <c r="P2678" s="10">
        <f>IF(Tank5!$C$23="No control",(SUMIF(Tank5!$B$32:$B$49,$J2678,Tank5!$C$32:$C$49)*Impacts!$F$12),0)</f>
        <v>0</v>
      </c>
      <c r="Q2678" s="10">
        <f>IFERROR(IF(('Loading-drum,tote'!$C$21)="No control",SUMIF(('Loading-drum,tote'!$B$31:$B$48),$J2678,('Loading-drum,tote'!$D$31:$D$48))*Impacts!$F$13,IF(('Loading-drum,tote'!$C$21)&lt;&gt;"No control",SUMIF(('Loading-drum,tote'!$B$31:$B$48),$J2678,('Loading-drum,tote'!$E$31:$E$48))*Impacts!$F$13,0)),0)</f>
        <v>0</v>
      </c>
      <c r="R2678" s="10">
        <f>IFERROR(IF(('Loading-truck'!$C$21)="No control",SUMIF(('Loading-truck'!$B$31:$B$48),$J2678,('Loading-truck'!$D$31:$D$48))*Impacts!$F$14,IF(('Loading-truck'!$C$21)&lt;&gt;"No control",SUMIF(('Loading-truck'!$B$31:$B$48),$J2678,('Loading-truck'!$E$31:$E$48))*Impacts!$F$14,0)),0)</f>
        <v>0</v>
      </c>
      <c r="S2678" s="10">
        <f>IFERROR(IF(('Loading-rail'!$C$21)="No control",SUMIF(('Loading-rail'!$B$31:$B$48),$J2678,('Loading-rail'!$D$31:$D$48))*Impacts!$F$15,IF(('Loading-rail'!$C$21)&lt;&gt;"No control",SUMIF(('Loading-rail'!$B$31:$B$48),$J2678,('Loading-rail'!$E$31:$E$48))*Impacts!$F$15,0)),0)</f>
        <v>0</v>
      </c>
      <c r="T2678" s="10">
        <f>IF(Flare!$C$7="",0,(SUMIF(Flare!$B$46:$B$185,$J2678,Flare!$E$46:$E$185)*Impacts!$F$16))</f>
        <v>0</v>
      </c>
      <c r="U2678" s="10">
        <f>IF(VCU!$C$9="",0,(SUMIF(VCU!$B$51:$B$193,$J2678,VCU!$E$51:$E$193)*Impacts!$F$17))</f>
        <v>0</v>
      </c>
      <c r="V2678" s="10">
        <f>IF(CAS!$C$7="",0,(SUMIF(CAS!$B$31:$B$167,$J2678,CAS!$E$31:$E$167)*Impacts!$F$18))</f>
        <v>0</v>
      </c>
      <c r="W2678" s="10">
        <f t="shared" si="82"/>
        <v>0</v>
      </c>
      <c r="AK2678" s="10" t="str">
        <f t="array" ref="AK2678">IFERROR(INDEX(SelectedSpecies,SMALL(IF(SelectedSpecies=AK$1,ROW(SelectedSpecies)),ROW(2679:2679)),2),"")</f>
        <v/>
      </c>
      <c r="BE2678" s="10"/>
      <c r="BI2678" s="10"/>
    </row>
    <row r="2679" spans="1:61" ht="21" customHeight="1" x14ac:dyDescent="0.25">
      <c r="A2679" s="10"/>
      <c r="B2679" s="10"/>
      <c r="E2679" s="10"/>
      <c r="G2679" s="10"/>
      <c r="I2679" s="436" t="s">
        <v>3007</v>
      </c>
      <c r="J2679" s="26" t="s">
        <v>3006</v>
      </c>
      <c r="K2679" s="10">
        <v>10</v>
      </c>
      <c r="L2679" s="73">
        <f>IF(Tank1!$C$23="No control",(SUMIF(Tank1!$B$32:$B$49,$J2679,Tank1!$C$32:$C$49)*Impacts!$F$8),0)</f>
        <v>0</v>
      </c>
      <c r="M2679" s="10">
        <f>IF(Tank2!$C$23="No control",(SUMIF(Tank2!$B$32:$B$49,$J2679,Tank2!$C$32:$C$49)*Impacts!$F$9),0)</f>
        <v>0</v>
      </c>
      <c r="N2679" s="10">
        <f>IF(Tank3!$C$23="No control",(SUMIF(Tank3!$B$32:$B$49,$J2679,Tank3!$C$32:$C$49)*Impacts!$F$10),0)</f>
        <v>0</v>
      </c>
      <c r="O2679" s="10">
        <f>IF(Tank4!$C$23="No control",(SUMIF(Tank4!$B$32:$B$49,$J2679,Tank4!$C$32:$C$49)*Impacts!$F$11),0)</f>
        <v>0</v>
      </c>
      <c r="P2679" s="10">
        <f>IF(Tank5!$C$23="No control",(SUMIF(Tank5!$B$32:$B$49,$J2679,Tank5!$C$32:$C$49)*Impacts!$F$12),0)</f>
        <v>0</v>
      </c>
      <c r="Q2679" s="10">
        <f>IFERROR(IF(('Loading-drum,tote'!$C$21)="No control",SUMIF(('Loading-drum,tote'!$B$31:$B$48),$J2679,('Loading-drum,tote'!$D$31:$D$48))*Impacts!$F$13,IF(('Loading-drum,tote'!$C$21)&lt;&gt;"No control",SUMIF(('Loading-drum,tote'!$B$31:$B$48),$J2679,('Loading-drum,tote'!$E$31:$E$48))*Impacts!$F$13,0)),0)</f>
        <v>0</v>
      </c>
      <c r="R2679" s="10">
        <f>IFERROR(IF(('Loading-truck'!$C$21)="No control",SUMIF(('Loading-truck'!$B$31:$B$48),$J2679,('Loading-truck'!$D$31:$D$48))*Impacts!$F$14,IF(('Loading-truck'!$C$21)&lt;&gt;"No control",SUMIF(('Loading-truck'!$B$31:$B$48),$J2679,('Loading-truck'!$E$31:$E$48))*Impacts!$F$14,0)),0)</f>
        <v>0</v>
      </c>
      <c r="S2679" s="10">
        <f>IFERROR(IF(('Loading-rail'!$C$21)="No control",SUMIF(('Loading-rail'!$B$31:$B$48),$J2679,('Loading-rail'!$D$31:$D$48))*Impacts!$F$15,IF(('Loading-rail'!$C$21)&lt;&gt;"No control",SUMIF(('Loading-rail'!$B$31:$B$48),$J2679,('Loading-rail'!$E$31:$E$48))*Impacts!$F$15,0)),0)</f>
        <v>0</v>
      </c>
      <c r="T2679" s="10">
        <f>IF(Flare!$C$7="",0,(SUMIF(Flare!$B$46:$B$185,$J2679,Flare!$E$46:$E$185)*Impacts!$F$16))</f>
        <v>0</v>
      </c>
      <c r="U2679" s="10">
        <f>IF(VCU!$C$9="",0,(SUMIF(VCU!$B$51:$B$193,$J2679,VCU!$E$51:$E$193)*Impacts!$F$17))</f>
        <v>0</v>
      </c>
      <c r="V2679" s="10">
        <f>IF(CAS!$C$7="",0,(SUMIF(CAS!$B$31:$B$167,$J2679,CAS!$E$31:$E$167)*Impacts!$F$18))</f>
        <v>0</v>
      </c>
      <c r="W2679" s="10">
        <f t="shared" si="82"/>
        <v>0</v>
      </c>
      <c r="AK2679" s="10" t="str">
        <f t="array" ref="AK2679">IFERROR(INDEX(SelectedSpecies,SMALL(IF(SelectedSpecies=AK$1,ROW(SelectedSpecies)),ROW(2680:2680)),2),"")</f>
        <v/>
      </c>
      <c r="BE2679" s="10"/>
      <c r="BI2679" s="10"/>
    </row>
    <row r="2680" spans="1:61" ht="21" customHeight="1" x14ac:dyDescent="0.25">
      <c r="A2680" s="10"/>
      <c r="B2680" s="10"/>
      <c r="E2680" s="10"/>
      <c r="G2680" s="10"/>
      <c r="I2680" s="436" t="s">
        <v>3009</v>
      </c>
      <c r="J2680" s="26" t="s">
        <v>3008</v>
      </c>
      <c r="K2680" s="10">
        <v>10</v>
      </c>
      <c r="L2680" s="73">
        <f>IF(Tank1!$C$23="No control",(SUMIF(Tank1!$B$32:$B$49,$J2680,Tank1!$C$32:$C$49)*Impacts!$F$8),0)</f>
        <v>0</v>
      </c>
      <c r="M2680" s="10">
        <f>IF(Tank2!$C$23="No control",(SUMIF(Tank2!$B$32:$B$49,$J2680,Tank2!$C$32:$C$49)*Impacts!$F$9),0)</f>
        <v>0</v>
      </c>
      <c r="N2680" s="10">
        <f>IF(Tank3!$C$23="No control",(SUMIF(Tank3!$B$32:$B$49,$J2680,Tank3!$C$32:$C$49)*Impacts!$F$10),0)</f>
        <v>0</v>
      </c>
      <c r="O2680" s="10">
        <f>IF(Tank4!$C$23="No control",(SUMIF(Tank4!$B$32:$B$49,$J2680,Tank4!$C$32:$C$49)*Impacts!$F$11),0)</f>
        <v>0</v>
      </c>
      <c r="P2680" s="10">
        <f>IF(Tank5!$C$23="No control",(SUMIF(Tank5!$B$32:$B$49,$J2680,Tank5!$C$32:$C$49)*Impacts!$F$12),0)</f>
        <v>0</v>
      </c>
      <c r="Q2680" s="10">
        <f>IFERROR(IF(('Loading-drum,tote'!$C$21)="No control",SUMIF(('Loading-drum,tote'!$B$31:$B$48),$J2680,('Loading-drum,tote'!$D$31:$D$48))*Impacts!$F$13,IF(('Loading-drum,tote'!$C$21)&lt;&gt;"No control",SUMIF(('Loading-drum,tote'!$B$31:$B$48),$J2680,('Loading-drum,tote'!$E$31:$E$48))*Impacts!$F$13,0)),0)</f>
        <v>0</v>
      </c>
      <c r="R2680" s="10">
        <f>IFERROR(IF(('Loading-truck'!$C$21)="No control",SUMIF(('Loading-truck'!$B$31:$B$48),$J2680,('Loading-truck'!$D$31:$D$48))*Impacts!$F$14,IF(('Loading-truck'!$C$21)&lt;&gt;"No control",SUMIF(('Loading-truck'!$B$31:$B$48),$J2680,('Loading-truck'!$E$31:$E$48))*Impacts!$F$14,0)),0)</f>
        <v>0</v>
      </c>
      <c r="S2680" s="10">
        <f>IFERROR(IF(('Loading-rail'!$C$21)="No control",SUMIF(('Loading-rail'!$B$31:$B$48),$J2680,('Loading-rail'!$D$31:$D$48))*Impacts!$F$15,IF(('Loading-rail'!$C$21)&lt;&gt;"No control",SUMIF(('Loading-rail'!$B$31:$B$48),$J2680,('Loading-rail'!$E$31:$E$48))*Impacts!$F$15,0)),0)</f>
        <v>0</v>
      </c>
      <c r="T2680" s="10">
        <f>IF(Flare!$C$7="",0,(SUMIF(Flare!$B$46:$B$185,$J2680,Flare!$E$46:$E$185)*Impacts!$F$16))</f>
        <v>0</v>
      </c>
      <c r="U2680" s="10">
        <f>IF(VCU!$C$9="",0,(SUMIF(VCU!$B$51:$B$193,$J2680,VCU!$E$51:$E$193)*Impacts!$F$17))</f>
        <v>0</v>
      </c>
      <c r="V2680" s="10">
        <f>IF(CAS!$C$7="",0,(SUMIF(CAS!$B$31:$B$167,$J2680,CAS!$E$31:$E$167)*Impacts!$F$18))</f>
        <v>0</v>
      </c>
      <c r="W2680" s="10">
        <f t="shared" si="82"/>
        <v>0</v>
      </c>
      <c r="AK2680" s="10" t="str">
        <f t="array" ref="AK2680">IFERROR(INDEX(SelectedSpecies,SMALL(IF(SelectedSpecies=AK$1,ROW(SelectedSpecies)),ROW(2681:2681)),2),"")</f>
        <v/>
      </c>
      <c r="BE2680" s="10"/>
      <c r="BI2680" s="10"/>
    </row>
    <row r="2681" spans="1:61" ht="21" customHeight="1" x14ac:dyDescent="0.25">
      <c r="A2681" s="10"/>
      <c r="B2681" s="10"/>
      <c r="E2681" s="10"/>
      <c r="G2681" s="10"/>
      <c r="I2681" s="436" t="s">
        <v>5093</v>
      </c>
      <c r="J2681" s="26" t="s">
        <v>5092</v>
      </c>
      <c r="K2681" s="10">
        <v>2.2000000000000002</v>
      </c>
      <c r="L2681" s="73">
        <f>IF(Tank1!$C$23="No control",(SUMIF(Tank1!$B$32:$B$49,$J2681,Tank1!$C$32:$C$49)*Impacts!$F$8),0)</f>
        <v>0</v>
      </c>
      <c r="M2681" s="10">
        <f>IF(Tank2!$C$23="No control",(SUMIF(Tank2!$B$32:$B$49,$J2681,Tank2!$C$32:$C$49)*Impacts!$F$9),0)</f>
        <v>0</v>
      </c>
      <c r="N2681" s="10">
        <f>IF(Tank3!$C$23="No control",(SUMIF(Tank3!$B$32:$B$49,$J2681,Tank3!$C$32:$C$49)*Impacts!$F$10),0)</f>
        <v>0</v>
      </c>
      <c r="O2681" s="10">
        <f>IF(Tank4!$C$23="No control",(SUMIF(Tank4!$B$32:$B$49,$J2681,Tank4!$C$32:$C$49)*Impacts!$F$11),0)</f>
        <v>0</v>
      </c>
      <c r="P2681" s="10">
        <f>IF(Tank5!$C$23="No control",(SUMIF(Tank5!$B$32:$B$49,$J2681,Tank5!$C$32:$C$49)*Impacts!$F$12),0)</f>
        <v>0</v>
      </c>
      <c r="Q2681" s="10">
        <f>IFERROR(IF(('Loading-drum,tote'!$C$21)="No control",SUMIF(('Loading-drum,tote'!$B$31:$B$48),$J2681,('Loading-drum,tote'!$D$31:$D$48))*Impacts!$F$13,IF(('Loading-drum,tote'!$C$21)&lt;&gt;"No control",SUMIF(('Loading-drum,tote'!$B$31:$B$48),$J2681,('Loading-drum,tote'!$E$31:$E$48))*Impacts!$F$13,0)),0)</f>
        <v>0</v>
      </c>
      <c r="R2681" s="10">
        <f>IFERROR(IF(('Loading-truck'!$C$21)="No control",SUMIF(('Loading-truck'!$B$31:$B$48),$J2681,('Loading-truck'!$D$31:$D$48))*Impacts!$F$14,IF(('Loading-truck'!$C$21)&lt;&gt;"No control",SUMIF(('Loading-truck'!$B$31:$B$48),$J2681,('Loading-truck'!$E$31:$E$48))*Impacts!$F$14,0)),0)</f>
        <v>0</v>
      </c>
      <c r="S2681" s="10">
        <f>IFERROR(IF(('Loading-rail'!$C$21)="No control",SUMIF(('Loading-rail'!$B$31:$B$48),$J2681,('Loading-rail'!$D$31:$D$48))*Impacts!$F$15,IF(('Loading-rail'!$C$21)&lt;&gt;"No control",SUMIF(('Loading-rail'!$B$31:$B$48),$J2681,('Loading-rail'!$E$31:$E$48))*Impacts!$F$15,0)),0)</f>
        <v>0</v>
      </c>
      <c r="T2681" s="10">
        <f>IF(Flare!$C$7="",0,(SUMIF(Flare!$B$46:$B$185,$J2681,Flare!$E$46:$E$185)*Impacts!$F$16))</f>
        <v>0</v>
      </c>
      <c r="U2681" s="10">
        <f>IF(VCU!$C$9="",0,(SUMIF(VCU!$B$51:$B$193,$J2681,VCU!$E$51:$E$193)*Impacts!$F$17))</f>
        <v>0</v>
      </c>
      <c r="V2681" s="10">
        <f>IF(CAS!$C$7="",0,(SUMIF(CAS!$B$31:$B$167,$J2681,CAS!$E$31:$E$167)*Impacts!$F$18))</f>
        <v>0</v>
      </c>
      <c r="W2681" s="10">
        <f t="shared" si="82"/>
        <v>0</v>
      </c>
      <c r="AK2681" s="10" t="str">
        <f t="array" ref="AK2681">IFERROR(INDEX(SelectedSpecies,SMALL(IF(SelectedSpecies=AK$1,ROW(SelectedSpecies)),ROW(2682:2682)),2),"")</f>
        <v/>
      </c>
      <c r="BE2681" s="10"/>
      <c r="BI2681" s="10"/>
    </row>
    <row r="2682" spans="1:61" ht="21" customHeight="1" x14ac:dyDescent="0.25">
      <c r="A2682" s="10"/>
      <c r="B2682" s="10"/>
      <c r="E2682" s="10"/>
      <c r="G2682" s="10"/>
      <c r="I2682" s="436" t="s">
        <v>8196</v>
      </c>
      <c r="J2682" s="26" t="s">
        <v>8195</v>
      </c>
      <c r="K2682" s="10">
        <v>1.0000000000000002E-2</v>
      </c>
      <c r="L2682" s="73">
        <f>IF(Tank1!$C$23="No control",(SUMIF(Tank1!$B$32:$B$49,$J2682,Tank1!$C$32:$C$49)*Impacts!$F$8),0)</f>
        <v>0</v>
      </c>
      <c r="M2682" s="10">
        <f>IF(Tank2!$C$23="No control",(SUMIF(Tank2!$B$32:$B$49,$J2682,Tank2!$C$32:$C$49)*Impacts!$F$9),0)</f>
        <v>0</v>
      </c>
      <c r="N2682" s="10">
        <f>IF(Tank3!$C$23="No control",(SUMIF(Tank3!$B$32:$B$49,$J2682,Tank3!$C$32:$C$49)*Impacts!$F$10),0)</f>
        <v>0</v>
      </c>
      <c r="O2682" s="10">
        <f>IF(Tank4!$C$23="No control",(SUMIF(Tank4!$B$32:$B$49,$J2682,Tank4!$C$32:$C$49)*Impacts!$F$11),0)</f>
        <v>0</v>
      </c>
      <c r="P2682" s="10">
        <f>IF(Tank5!$C$23="No control",(SUMIF(Tank5!$B$32:$B$49,$J2682,Tank5!$C$32:$C$49)*Impacts!$F$12),0)</f>
        <v>0</v>
      </c>
      <c r="Q2682" s="10">
        <f>IFERROR(IF(('Loading-drum,tote'!$C$21)="No control",SUMIF(('Loading-drum,tote'!$B$31:$B$48),$J2682,('Loading-drum,tote'!$D$31:$D$48))*Impacts!$F$13,IF(('Loading-drum,tote'!$C$21)&lt;&gt;"No control",SUMIF(('Loading-drum,tote'!$B$31:$B$48),$J2682,('Loading-drum,tote'!$E$31:$E$48))*Impacts!$F$13,0)),0)</f>
        <v>0</v>
      </c>
      <c r="R2682" s="10">
        <f>IFERROR(IF(('Loading-truck'!$C$21)="No control",SUMIF(('Loading-truck'!$B$31:$B$48),$J2682,('Loading-truck'!$D$31:$D$48))*Impacts!$F$14,IF(('Loading-truck'!$C$21)&lt;&gt;"No control",SUMIF(('Loading-truck'!$B$31:$B$48),$J2682,('Loading-truck'!$E$31:$E$48))*Impacts!$F$14,0)),0)</f>
        <v>0</v>
      </c>
      <c r="S2682" s="10">
        <f>IFERROR(IF(('Loading-rail'!$C$21)="No control",SUMIF(('Loading-rail'!$B$31:$B$48),$J2682,('Loading-rail'!$D$31:$D$48))*Impacts!$F$15,IF(('Loading-rail'!$C$21)&lt;&gt;"No control",SUMIF(('Loading-rail'!$B$31:$B$48),$J2682,('Loading-rail'!$E$31:$E$48))*Impacts!$F$15,0)),0)</f>
        <v>0</v>
      </c>
      <c r="T2682" s="10">
        <f>IF(Flare!$C$7="",0,(SUMIF(Flare!$B$46:$B$185,$J2682,Flare!$E$46:$E$185)*Impacts!$F$16))</f>
        <v>0</v>
      </c>
      <c r="U2682" s="10">
        <f>IF(VCU!$C$9="",0,(SUMIF(VCU!$B$51:$B$193,$J2682,VCU!$E$51:$E$193)*Impacts!$F$17))</f>
        <v>0</v>
      </c>
      <c r="V2682" s="10">
        <f>IF(CAS!$C$7="",0,(SUMIF(CAS!$B$31:$B$167,$J2682,CAS!$E$31:$E$167)*Impacts!$F$18))</f>
        <v>0</v>
      </c>
      <c r="W2682" s="10">
        <f t="shared" si="82"/>
        <v>0</v>
      </c>
      <c r="AK2682" s="10" t="str">
        <f t="array" ref="AK2682">IFERROR(INDEX(SelectedSpecies,SMALL(IF(SelectedSpecies=AK$1,ROW(SelectedSpecies)),ROW(2683:2683)),2),"")</f>
        <v/>
      </c>
      <c r="BE2682" s="10"/>
      <c r="BI2682" s="10"/>
    </row>
    <row r="2683" spans="1:61" ht="21" customHeight="1" x14ac:dyDescent="0.25">
      <c r="A2683" s="10"/>
      <c r="B2683" s="10"/>
      <c r="E2683" s="10"/>
      <c r="G2683" s="10"/>
      <c r="I2683" s="436" t="s">
        <v>4981</v>
      </c>
      <c r="J2683" s="26" t="s">
        <v>4980</v>
      </c>
      <c r="K2683" s="10">
        <v>2.5</v>
      </c>
      <c r="L2683" s="73">
        <f>IF(Tank1!$C$23="No control",(SUMIF(Tank1!$B$32:$B$49,$J2683,Tank1!$C$32:$C$49)*Impacts!$F$8),0)</f>
        <v>0</v>
      </c>
      <c r="M2683" s="10">
        <f>IF(Tank2!$C$23="No control",(SUMIF(Tank2!$B$32:$B$49,$J2683,Tank2!$C$32:$C$49)*Impacts!$F$9),0)</f>
        <v>0</v>
      </c>
      <c r="N2683" s="10">
        <f>IF(Tank3!$C$23="No control",(SUMIF(Tank3!$B$32:$B$49,$J2683,Tank3!$C$32:$C$49)*Impacts!$F$10),0)</f>
        <v>0</v>
      </c>
      <c r="O2683" s="10">
        <f>IF(Tank4!$C$23="No control",(SUMIF(Tank4!$B$32:$B$49,$J2683,Tank4!$C$32:$C$49)*Impacts!$F$11),0)</f>
        <v>0</v>
      </c>
      <c r="P2683" s="10">
        <f>IF(Tank5!$C$23="No control",(SUMIF(Tank5!$B$32:$B$49,$J2683,Tank5!$C$32:$C$49)*Impacts!$F$12),0)</f>
        <v>0</v>
      </c>
      <c r="Q2683" s="10">
        <f>IFERROR(IF(('Loading-drum,tote'!$C$21)="No control",SUMIF(('Loading-drum,tote'!$B$31:$B$48),$J2683,('Loading-drum,tote'!$D$31:$D$48))*Impacts!$F$13,IF(('Loading-drum,tote'!$C$21)&lt;&gt;"No control",SUMIF(('Loading-drum,tote'!$B$31:$B$48),$J2683,('Loading-drum,tote'!$E$31:$E$48))*Impacts!$F$13,0)),0)</f>
        <v>0</v>
      </c>
      <c r="R2683" s="10">
        <f>IFERROR(IF(('Loading-truck'!$C$21)="No control",SUMIF(('Loading-truck'!$B$31:$B$48),$J2683,('Loading-truck'!$D$31:$D$48))*Impacts!$F$14,IF(('Loading-truck'!$C$21)&lt;&gt;"No control",SUMIF(('Loading-truck'!$B$31:$B$48),$J2683,('Loading-truck'!$E$31:$E$48))*Impacts!$F$14,0)),0)</f>
        <v>0</v>
      </c>
      <c r="S2683" s="10">
        <f>IFERROR(IF(('Loading-rail'!$C$21)="No control",SUMIF(('Loading-rail'!$B$31:$B$48),$J2683,('Loading-rail'!$D$31:$D$48))*Impacts!$F$15,IF(('Loading-rail'!$C$21)&lt;&gt;"No control",SUMIF(('Loading-rail'!$B$31:$B$48),$J2683,('Loading-rail'!$E$31:$E$48))*Impacts!$F$15,0)),0)</f>
        <v>0</v>
      </c>
      <c r="T2683" s="10">
        <f>IF(Flare!$C$7="",0,(SUMIF(Flare!$B$46:$B$185,$J2683,Flare!$E$46:$E$185)*Impacts!$F$16))</f>
        <v>0</v>
      </c>
      <c r="U2683" s="10">
        <f>IF(VCU!$C$9="",0,(SUMIF(VCU!$B$51:$B$193,$J2683,VCU!$E$51:$E$193)*Impacts!$F$17))</f>
        <v>0</v>
      </c>
      <c r="V2683" s="10">
        <f>IF(CAS!$C$7="",0,(SUMIF(CAS!$B$31:$B$167,$J2683,CAS!$E$31:$E$167)*Impacts!$F$18))</f>
        <v>0</v>
      </c>
      <c r="W2683" s="10">
        <f t="shared" si="82"/>
        <v>0</v>
      </c>
      <c r="AK2683" s="10" t="str">
        <f t="array" ref="AK2683">IFERROR(INDEX(SelectedSpecies,SMALL(IF(SelectedSpecies=AK$1,ROW(SelectedSpecies)),ROW(2684:2684)),2),"")</f>
        <v/>
      </c>
      <c r="BE2683" s="10"/>
      <c r="BI2683" s="10"/>
    </row>
    <row r="2684" spans="1:61" ht="21" customHeight="1" x14ac:dyDescent="0.25">
      <c r="A2684" s="10"/>
      <c r="B2684" s="10"/>
      <c r="E2684" s="10"/>
      <c r="G2684" s="10"/>
      <c r="I2684" s="436" t="s">
        <v>592</v>
      </c>
      <c r="J2684" s="26" t="s">
        <v>591</v>
      </c>
      <c r="K2684" s="10">
        <v>82</v>
      </c>
      <c r="L2684" s="73">
        <f>IF(Tank1!$C$23="No control",(SUMIF(Tank1!$B$32:$B$49,$J2684,Tank1!$C$32:$C$49)*Impacts!$F$8),0)</f>
        <v>0</v>
      </c>
      <c r="M2684" s="10">
        <f>IF(Tank2!$C$23="No control",(SUMIF(Tank2!$B$32:$B$49,$J2684,Tank2!$C$32:$C$49)*Impacts!$F$9),0)</f>
        <v>0</v>
      </c>
      <c r="N2684" s="10">
        <f>IF(Tank3!$C$23="No control",(SUMIF(Tank3!$B$32:$B$49,$J2684,Tank3!$C$32:$C$49)*Impacts!$F$10),0)</f>
        <v>0</v>
      </c>
      <c r="O2684" s="10">
        <f>IF(Tank4!$C$23="No control",(SUMIF(Tank4!$B$32:$B$49,$J2684,Tank4!$C$32:$C$49)*Impacts!$F$11),0)</f>
        <v>0</v>
      </c>
      <c r="P2684" s="10">
        <f>IF(Tank5!$C$23="No control",(SUMIF(Tank5!$B$32:$B$49,$J2684,Tank5!$C$32:$C$49)*Impacts!$F$12),0)</f>
        <v>0</v>
      </c>
      <c r="Q2684" s="10">
        <f>IFERROR(IF(('Loading-drum,tote'!$C$21)="No control",SUMIF(('Loading-drum,tote'!$B$31:$B$48),$J2684,('Loading-drum,tote'!$D$31:$D$48))*Impacts!$F$13,IF(('Loading-drum,tote'!$C$21)&lt;&gt;"No control",SUMIF(('Loading-drum,tote'!$B$31:$B$48),$J2684,('Loading-drum,tote'!$E$31:$E$48))*Impacts!$F$13,0)),0)</f>
        <v>0</v>
      </c>
      <c r="R2684" s="10">
        <f>IFERROR(IF(('Loading-truck'!$C$21)="No control",SUMIF(('Loading-truck'!$B$31:$B$48),$J2684,('Loading-truck'!$D$31:$D$48))*Impacts!$F$14,IF(('Loading-truck'!$C$21)&lt;&gt;"No control",SUMIF(('Loading-truck'!$B$31:$B$48),$J2684,('Loading-truck'!$E$31:$E$48))*Impacts!$F$14,0)),0)</f>
        <v>0</v>
      </c>
      <c r="S2684" s="10">
        <f>IFERROR(IF(('Loading-rail'!$C$21)="No control",SUMIF(('Loading-rail'!$B$31:$B$48),$J2684,('Loading-rail'!$D$31:$D$48))*Impacts!$F$15,IF(('Loading-rail'!$C$21)&lt;&gt;"No control",SUMIF(('Loading-rail'!$B$31:$B$48),$J2684,('Loading-rail'!$E$31:$E$48))*Impacts!$F$15,0)),0)</f>
        <v>0</v>
      </c>
      <c r="T2684" s="10">
        <f>IF(Flare!$C$7="",0,(SUMIF(Flare!$B$46:$B$185,$J2684,Flare!$E$46:$E$185)*Impacts!$F$16))</f>
        <v>0</v>
      </c>
      <c r="U2684" s="10">
        <f>IF(VCU!$C$9="",0,(SUMIF(VCU!$B$51:$B$193,$J2684,VCU!$E$51:$E$193)*Impacts!$F$17))</f>
        <v>0</v>
      </c>
      <c r="V2684" s="10">
        <f>IF(CAS!$C$7="",0,(SUMIF(CAS!$B$31:$B$167,$J2684,CAS!$E$31:$E$167)*Impacts!$F$18))</f>
        <v>0</v>
      </c>
      <c r="W2684" s="10">
        <f t="shared" si="82"/>
        <v>0</v>
      </c>
      <c r="AK2684" s="10" t="str">
        <f t="array" ref="AK2684">IFERROR(INDEX(SelectedSpecies,SMALL(IF(SelectedSpecies=AK$1,ROW(SelectedSpecies)),ROW(2685:2685)),2),"")</f>
        <v/>
      </c>
      <c r="BE2684" s="10"/>
      <c r="BI2684" s="10"/>
    </row>
    <row r="2685" spans="1:61" ht="21" customHeight="1" x14ac:dyDescent="0.25">
      <c r="A2685" s="10"/>
      <c r="B2685" s="10"/>
      <c r="E2685" s="10"/>
      <c r="G2685" s="10"/>
      <c r="I2685" s="436" t="s">
        <v>5115</v>
      </c>
      <c r="J2685" s="26" t="s">
        <v>5114</v>
      </c>
      <c r="K2685" s="10">
        <v>2.1</v>
      </c>
      <c r="L2685" s="73">
        <f>IF(Tank1!$C$23="No control",(SUMIF(Tank1!$B$32:$B$49,$J2685,Tank1!$C$32:$C$49)*Impacts!$F$8),0)</f>
        <v>0</v>
      </c>
      <c r="M2685" s="10">
        <f>IF(Tank2!$C$23="No control",(SUMIF(Tank2!$B$32:$B$49,$J2685,Tank2!$C$32:$C$49)*Impacts!$F$9),0)</f>
        <v>0</v>
      </c>
      <c r="N2685" s="10">
        <f>IF(Tank3!$C$23="No control",(SUMIF(Tank3!$B$32:$B$49,$J2685,Tank3!$C$32:$C$49)*Impacts!$F$10),0)</f>
        <v>0</v>
      </c>
      <c r="O2685" s="10">
        <f>IF(Tank4!$C$23="No control",(SUMIF(Tank4!$B$32:$B$49,$J2685,Tank4!$C$32:$C$49)*Impacts!$F$11),0)</f>
        <v>0</v>
      </c>
      <c r="P2685" s="10">
        <f>IF(Tank5!$C$23="No control",(SUMIF(Tank5!$B$32:$B$49,$J2685,Tank5!$C$32:$C$49)*Impacts!$F$12),0)</f>
        <v>0</v>
      </c>
      <c r="Q2685" s="10">
        <f>IFERROR(IF(('Loading-drum,tote'!$C$21)="No control",SUMIF(('Loading-drum,tote'!$B$31:$B$48),$J2685,('Loading-drum,tote'!$D$31:$D$48))*Impacts!$F$13,IF(('Loading-drum,tote'!$C$21)&lt;&gt;"No control",SUMIF(('Loading-drum,tote'!$B$31:$B$48),$J2685,('Loading-drum,tote'!$E$31:$E$48))*Impacts!$F$13,0)),0)</f>
        <v>0</v>
      </c>
      <c r="R2685" s="10">
        <f>IFERROR(IF(('Loading-truck'!$C$21)="No control",SUMIF(('Loading-truck'!$B$31:$B$48),$J2685,('Loading-truck'!$D$31:$D$48))*Impacts!$F$14,IF(('Loading-truck'!$C$21)&lt;&gt;"No control",SUMIF(('Loading-truck'!$B$31:$B$48),$J2685,('Loading-truck'!$E$31:$E$48))*Impacts!$F$14,0)),0)</f>
        <v>0</v>
      </c>
      <c r="S2685" s="10">
        <f>IFERROR(IF(('Loading-rail'!$C$21)="No control",SUMIF(('Loading-rail'!$B$31:$B$48),$J2685,('Loading-rail'!$D$31:$D$48))*Impacts!$F$15,IF(('Loading-rail'!$C$21)&lt;&gt;"No control",SUMIF(('Loading-rail'!$B$31:$B$48),$J2685,('Loading-rail'!$E$31:$E$48))*Impacts!$F$15,0)),0)</f>
        <v>0</v>
      </c>
      <c r="T2685" s="10">
        <f>IF(Flare!$C$7="",0,(SUMIF(Flare!$B$46:$B$185,$J2685,Flare!$E$46:$E$185)*Impacts!$F$16))</f>
        <v>0</v>
      </c>
      <c r="U2685" s="10">
        <f>IF(VCU!$C$9="",0,(SUMIF(VCU!$B$51:$B$193,$J2685,VCU!$E$51:$E$193)*Impacts!$F$17))</f>
        <v>0</v>
      </c>
      <c r="V2685" s="10">
        <f>IF(CAS!$C$7="",0,(SUMIF(CAS!$B$31:$B$167,$J2685,CAS!$E$31:$E$167)*Impacts!$F$18))</f>
        <v>0</v>
      </c>
      <c r="W2685" s="10">
        <f t="shared" si="82"/>
        <v>0</v>
      </c>
      <c r="AK2685" s="10" t="str">
        <f t="array" ref="AK2685">IFERROR(INDEX(SelectedSpecies,SMALL(IF(SelectedSpecies=AK$1,ROW(SelectedSpecies)),ROW(2686:2686)),2),"")</f>
        <v/>
      </c>
      <c r="BE2685" s="10"/>
      <c r="BI2685" s="10"/>
    </row>
    <row r="2686" spans="1:61" ht="21" customHeight="1" x14ac:dyDescent="0.25">
      <c r="A2686" s="10"/>
      <c r="B2686" s="10"/>
      <c r="E2686" s="10"/>
      <c r="G2686" s="10"/>
      <c r="I2686" s="436" t="s">
        <v>4845</v>
      </c>
      <c r="J2686" s="26" t="s">
        <v>4844</v>
      </c>
      <c r="K2686" s="10">
        <v>2.9000000000000004</v>
      </c>
      <c r="L2686" s="73">
        <f>IF(Tank1!$C$23="No control",(SUMIF(Tank1!$B$32:$B$49,$J2686,Tank1!$C$32:$C$49)*Impacts!$F$8),0)</f>
        <v>0</v>
      </c>
      <c r="M2686" s="10">
        <f>IF(Tank2!$C$23="No control",(SUMIF(Tank2!$B$32:$B$49,$J2686,Tank2!$C$32:$C$49)*Impacts!$F$9),0)</f>
        <v>0</v>
      </c>
      <c r="N2686" s="10">
        <f>IF(Tank3!$C$23="No control",(SUMIF(Tank3!$B$32:$B$49,$J2686,Tank3!$C$32:$C$49)*Impacts!$F$10),0)</f>
        <v>0</v>
      </c>
      <c r="O2686" s="10">
        <f>IF(Tank4!$C$23="No control",(SUMIF(Tank4!$B$32:$B$49,$J2686,Tank4!$C$32:$C$49)*Impacts!$F$11),0)</f>
        <v>0</v>
      </c>
      <c r="P2686" s="10">
        <f>IF(Tank5!$C$23="No control",(SUMIF(Tank5!$B$32:$B$49,$J2686,Tank5!$C$32:$C$49)*Impacts!$F$12),0)</f>
        <v>0</v>
      </c>
      <c r="Q2686" s="10">
        <f>IFERROR(IF(('Loading-drum,tote'!$C$21)="No control",SUMIF(('Loading-drum,tote'!$B$31:$B$48),$J2686,('Loading-drum,tote'!$D$31:$D$48))*Impacts!$F$13,IF(('Loading-drum,tote'!$C$21)&lt;&gt;"No control",SUMIF(('Loading-drum,tote'!$B$31:$B$48),$J2686,('Loading-drum,tote'!$E$31:$E$48))*Impacts!$F$13,0)),0)</f>
        <v>0</v>
      </c>
      <c r="R2686" s="10">
        <f>IFERROR(IF(('Loading-truck'!$C$21)="No control",SUMIF(('Loading-truck'!$B$31:$B$48),$J2686,('Loading-truck'!$D$31:$D$48))*Impacts!$F$14,IF(('Loading-truck'!$C$21)&lt;&gt;"No control",SUMIF(('Loading-truck'!$B$31:$B$48),$J2686,('Loading-truck'!$E$31:$E$48))*Impacts!$F$14,0)),0)</f>
        <v>0</v>
      </c>
      <c r="S2686" s="10">
        <f>IFERROR(IF(('Loading-rail'!$C$21)="No control",SUMIF(('Loading-rail'!$B$31:$B$48),$J2686,('Loading-rail'!$D$31:$D$48))*Impacts!$F$15,IF(('Loading-rail'!$C$21)&lt;&gt;"No control",SUMIF(('Loading-rail'!$B$31:$B$48),$J2686,('Loading-rail'!$E$31:$E$48))*Impacts!$F$15,0)),0)</f>
        <v>0</v>
      </c>
      <c r="T2686" s="10">
        <f>IF(Flare!$C$7="",0,(SUMIF(Flare!$B$46:$B$185,$J2686,Flare!$E$46:$E$185)*Impacts!$F$16))</f>
        <v>0</v>
      </c>
      <c r="U2686" s="10">
        <f>IF(VCU!$C$9="",0,(SUMIF(VCU!$B$51:$B$193,$J2686,VCU!$E$51:$E$193)*Impacts!$F$17))</f>
        <v>0</v>
      </c>
      <c r="V2686" s="10">
        <f>IF(CAS!$C$7="",0,(SUMIF(CAS!$B$31:$B$167,$J2686,CAS!$E$31:$E$167)*Impacts!$F$18))</f>
        <v>0</v>
      </c>
      <c r="W2686" s="10">
        <f t="shared" si="82"/>
        <v>0</v>
      </c>
      <c r="AK2686" s="10" t="str">
        <f t="array" ref="AK2686">IFERROR(INDEX(SelectedSpecies,SMALL(IF(SelectedSpecies=AK$1,ROW(SelectedSpecies)),ROW(2687:2687)),2),"")</f>
        <v/>
      </c>
      <c r="BE2686" s="10"/>
      <c r="BI2686" s="10"/>
    </row>
    <row r="2687" spans="1:61" ht="21" customHeight="1" x14ac:dyDescent="0.25">
      <c r="A2687" s="10"/>
      <c r="B2687" s="10"/>
      <c r="E2687" s="10"/>
      <c r="G2687" s="10"/>
      <c r="I2687" s="436" t="s">
        <v>6888</v>
      </c>
      <c r="J2687" s="26" t="s">
        <v>6887</v>
      </c>
      <c r="K2687" s="10">
        <v>0.5</v>
      </c>
      <c r="L2687" s="73">
        <f>IF(Tank1!$C$23="No control",(SUMIF(Tank1!$B$32:$B$49,$J2687,Tank1!$C$32:$C$49)*Impacts!$F$8),0)</f>
        <v>0</v>
      </c>
      <c r="M2687" s="10">
        <f>IF(Tank2!$C$23="No control",(SUMIF(Tank2!$B$32:$B$49,$J2687,Tank2!$C$32:$C$49)*Impacts!$F$9),0)</f>
        <v>0</v>
      </c>
      <c r="N2687" s="10">
        <f>IF(Tank3!$C$23="No control",(SUMIF(Tank3!$B$32:$B$49,$J2687,Tank3!$C$32:$C$49)*Impacts!$F$10),0)</f>
        <v>0</v>
      </c>
      <c r="O2687" s="10">
        <f>IF(Tank4!$C$23="No control",(SUMIF(Tank4!$B$32:$B$49,$J2687,Tank4!$C$32:$C$49)*Impacts!$F$11),0)</f>
        <v>0</v>
      </c>
      <c r="P2687" s="10">
        <f>IF(Tank5!$C$23="No control",(SUMIF(Tank5!$B$32:$B$49,$J2687,Tank5!$C$32:$C$49)*Impacts!$F$12),0)</f>
        <v>0</v>
      </c>
      <c r="Q2687" s="10">
        <f>IFERROR(IF(('Loading-drum,tote'!$C$21)="No control",SUMIF(('Loading-drum,tote'!$B$31:$B$48),$J2687,('Loading-drum,tote'!$D$31:$D$48))*Impacts!$F$13,IF(('Loading-drum,tote'!$C$21)&lt;&gt;"No control",SUMIF(('Loading-drum,tote'!$B$31:$B$48),$J2687,('Loading-drum,tote'!$E$31:$E$48))*Impacts!$F$13,0)),0)</f>
        <v>0</v>
      </c>
      <c r="R2687" s="10">
        <f>IFERROR(IF(('Loading-truck'!$C$21)="No control",SUMIF(('Loading-truck'!$B$31:$B$48),$J2687,('Loading-truck'!$D$31:$D$48))*Impacts!$F$14,IF(('Loading-truck'!$C$21)&lt;&gt;"No control",SUMIF(('Loading-truck'!$B$31:$B$48),$J2687,('Loading-truck'!$E$31:$E$48))*Impacts!$F$14,0)),0)</f>
        <v>0</v>
      </c>
      <c r="S2687" s="10">
        <f>IFERROR(IF(('Loading-rail'!$C$21)="No control",SUMIF(('Loading-rail'!$B$31:$B$48),$J2687,('Loading-rail'!$D$31:$D$48))*Impacts!$F$15,IF(('Loading-rail'!$C$21)&lt;&gt;"No control",SUMIF(('Loading-rail'!$B$31:$B$48),$J2687,('Loading-rail'!$E$31:$E$48))*Impacts!$F$15,0)),0)</f>
        <v>0</v>
      </c>
      <c r="T2687" s="10">
        <f>IF(Flare!$C$7="",0,(SUMIF(Flare!$B$46:$B$185,$J2687,Flare!$E$46:$E$185)*Impacts!$F$16))</f>
        <v>0</v>
      </c>
      <c r="U2687" s="10">
        <f>IF(VCU!$C$9="",0,(SUMIF(VCU!$B$51:$B$193,$J2687,VCU!$E$51:$E$193)*Impacts!$F$17))</f>
        <v>0</v>
      </c>
      <c r="V2687" s="10">
        <f>IF(CAS!$C$7="",0,(SUMIF(CAS!$B$31:$B$167,$J2687,CAS!$E$31:$E$167)*Impacts!$F$18))</f>
        <v>0</v>
      </c>
      <c r="W2687" s="10">
        <f t="shared" si="82"/>
        <v>0</v>
      </c>
      <c r="AK2687" s="10" t="str">
        <f t="array" ref="AK2687">IFERROR(INDEX(SelectedSpecies,SMALL(IF(SelectedSpecies=AK$1,ROW(SelectedSpecies)),ROW(2688:2688)),2),"")</f>
        <v/>
      </c>
      <c r="BE2687" s="10"/>
      <c r="BI2687" s="10"/>
    </row>
    <row r="2688" spans="1:61" ht="21" customHeight="1" x14ac:dyDescent="0.25">
      <c r="A2688" s="10"/>
      <c r="B2688" s="10"/>
      <c r="E2688" s="10"/>
      <c r="G2688" s="10"/>
      <c r="I2688" s="436" t="s">
        <v>1865</v>
      </c>
      <c r="J2688" s="26" t="s">
        <v>1864</v>
      </c>
      <c r="K2688" s="10">
        <v>20</v>
      </c>
      <c r="L2688" s="73">
        <f>IF(Tank1!$C$23="No control",(SUMIF(Tank1!$B$32:$B$49,$J2688,Tank1!$C$32:$C$49)*Impacts!$F$8),0)</f>
        <v>0</v>
      </c>
      <c r="M2688" s="10">
        <f>IF(Tank2!$C$23="No control",(SUMIF(Tank2!$B$32:$B$49,$J2688,Tank2!$C$32:$C$49)*Impacts!$F$9),0)</f>
        <v>0</v>
      </c>
      <c r="N2688" s="10">
        <f>IF(Tank3!$C$23="No control",(SUMIF(Tank3!$B$32:$B$49,$J2688,Tank3!$C$32:$C$49)*Impacts!$F$10),0)</f>
        <v>0</v>
      </c>
      <c r="O2688" s="10">
        <f>IF(Tank4!$C$23="No control",(SUMIF(Tank4!$B$32:$B$49,$J2688,Tank4!$C$32:$C$49)*Impacts!$F$11),0)</f>
        <v>0</v>
      </c>
      <c r="P2688" s="10">
        <f>IF(Tank5!$C$23="No control",(SUMIF(Tank5!$B$32:$B$49,$J2688,Tank5!$C$32:$C$49)*Impacts!$F$12),0)</f>
        <v>0</v>
      </c>
      <c r="Q2688" s="10">
        <f>IFERROR(IF(('Loading-drum,tote'!$C$21)="No control",SUMIF(('Loading-drum,tote'!$B$31:$B$48),$J2688,('Loading-drum,tote'!$D$31:$D$48))*Impacts!$F$13,IF(('Loading-drum,tote'!$C$21)&lt;&gt;"No control",SUMIF(('Loading-drum,tote'!$B$31:$B$48),$J2688,('Loading-drum,tote'!$E$31:$E$48))*Impacts!$F$13,0)),0)</f>
        <v>0</v>
      </c>
      <c r="R2688" s="10">
        <f>IFERROR(IF(('Loading-truck'!$C$21)="No control",SUMIF(('Loading-truck'!$B$31:$B$48),$J2688,('Loading-truck'!$D$31:$D$48))*Impacts!$F$14,IF(('Loading-truck'!$C$21)&lt;&gt;"No control",SUMIF(('Loading-truck'!$B$31:$B$48),$J2688,('Loading-truck'!$E$31:$E$48))*Impacts!$F$14,0)),0)</f>
        <v>0</v>
      </c>
      <c r="S2688" s="10">
        <f>IFERROR(IF(('Loading-rail'!$C$21)="No control",SUMIF(('Loading-rail'!$B$31:$B$48),$J2688,('Loading-rail'!$D$31:$D$48))*Impacts!$F$15,IF(('Loading-rail'!$C$21)&lt;&gt;"No control",SUMIF(('Loading-rail'!$B$31:$B$48),$J2688,('Loading-rail'!$E$31:$E$48))*Impacts!$F$15,0)),0)</f>
        <v>0</v>
      </c>
      <c r="T2688" s="10">
        <f>IF(Flare!$C$7="",0,(SUMIF(Flare!$B$46:$B$185,$J2688,Flare!$E$46:$E$185)*Impacts!$F$16))</f>
        <v>0</v>
      </c>
      <c r="U2688" s="10">
        <f>IF(VCU!$C$9="",0,(SUMIF(VCU!$B$51:$B$193,$J2688,VCU!$E$51:$E$193)*Impacts!$F$17))</f>
        <v>0</v>
      </c>
      <c r="V2688" s="10">
        <f>IF(CAS!$C$7="",0,(SUMIF(CAS!$B$31:$B$167,$J2688,CAS!$E$31:$E$167)*Impacts!$F$18))</f>
        <v>0</v>
      </c>
      <c r="W2688" s="10">
        <f t="shared" si="82"/>
        <v>0</v>
      </c>
      <c r="AK2688" s="10" t="str">
        <f t="array" ref="AK2688">IFERROR(INDEX(SelectedSpecies,SMALL(IF(SelectedSpecies=AK$1,ROW(SelectedSpecies)),ROW(2689:2689)),2),"")</f>
        <v/>
      </c>
      <c r="BE2688" s="10"/>
      <c r="BI2688" s="10"/>
    </row>
    <row r="2689" spans="1:61" ht="21" customHeight="1" x14ac:dyDescent="0.25">
      <c r="A2689" s="10"/>
      <c r="B2689" s="10"/>
      <c r="E2689" s="10"/>
      <c r="G2689" s="10"/>
      <c r="I2689" s="436" t="s">
        <v>3011</v>
      </c>
      <c r="J2689" s="26" t="s">
        <v>3010</v>
      </c>
      <c r="K2689" s="10">
        <v>10</v>
      </c>
      <c r="L2689" s="73">
        <f>IF(Tank1!$C$23="No control",(SUMIF(Tank1!$B$32:$B$49,$J2689,Tank1!$C$32:$C$49)*Impacts!$F$8),0)</f>
        <v>0</v>
      </c>
      <c r="M2689" s="10">
        <f>IF(Tank2!$C$23="No control",(SUMIF(Tank2!$B$32:$B$49,$J2689,Tank2!$C$32:$C$49)*Impacts!$F$9),0)</f>
        <v>0</v>
      </c>
      <c r="N2689" s="10">
        <f>IF(Tank3!$C$23="No control",(SUMIF(Tank3!$B$32:$B$49,$J2689,Tank3!$C$32:$C$49)*Impacts!$F$10),0)</f>
        <v>0</v>
      </c>
      <c r="O2689" s="10">
        <f>IF(Tank4!$C$23="No control",(SUMIF(Tank4!$B$32:$B$49,$J2689,Tank4!$C$32:$C$49)*Impacts!$F$11),0)</f>
        <v>0</v>
      </c>
      <c r="P2689" s="10">
        <f>IF(Tank5!$C$23="No control",(SUMIF(Tank5!$B$32:$B$49,$J2689,Tank5!$C$32:$C$49)*Impacts!$F$12),0)</f>
        <v>0</v>
      </c>
      <c r="Q2689" s="10">
        <f>IFERROR(IF(('Loading-drum,tote'!$C$21)="No control",SUMIF(('Loading-drum,tote'!$B$31:$B$48),$J2689,('Loading-drum,tote'!$D$31:$D$48))*Impacts!$F$13,IF(('Loading-drum,tote'!$C$21)&lt;&gt;"No control",SUMIF(('Loading-drum,tote'!$B$31:$B$48),$J2689,('Loading-drum,tote'!$E$31:$E$48))*Impacts!$F$13,0)),0)</f>
        <v>0</v>
      </c>
      <c r="R2689" s="10">
        <f>IFERROR(IF(('Loading-truck'!$C$21)="No control",SUMIF(('Loading-truck'!$B$31:$B$48),$J2689,('Loading-truck'!$D$31:$D$48))*Impacts!$F$14,IF(('Loading-truck'!$C$21)&lt;&gt;"No control",SUMIF(('Loading-truck'!$B$31:$B$48),$J2689,('Loading-truck'!$E$31:$E$48))*Impacts!$F$14,0)),0)</f>
        <v>0</v>
      </c>
      <c r="S2689" s="10">
        <f>IFERROR(IF(('Loading-rail'!$C$21)="No control",SUMIF(('Loading-rail'!$B$31:$B$48),$J2689,('Loading-rail'!$D$31:$D$48))*Impacts!$F$15,IF(('Loading-rail'!$C$21)&lt;&gt;"No control",SUMIF(('Loading-rail'!$B$31:$B$48),$J2689,('Loading-rail'!$E$31:$E$48))*Impacts!$F$15,0)),0)</f>
        <v>0</v>
      </c>
      <c r="T2689" s="10">
        <f>IF(Flare!$C$7="",0,(SUMIF(Flare!$B$46:$B$185,$J2689,Flare!$E$46:$E$185)*Impacts!$F$16))</f>
        <v>0</v>
      </c>
      <c r="U2689" s="10">
        <f>IF(VCU!$C$9="",0,(SUMIF(VCU!$B$51:$B$193,$J2689,VCU!$E$51:$E$193)*Impacts!$F$17))</f>
        <v>0</v>
      </c>
      <c r="V2689" s="10">
        <f>IF(CAS!$C$7="",0,(SUMIF(CAS!$B$31:$B$167,$J2689,CAS!$E$31:$E$167)*Impacts!$F$18))</f>
        <v>0</v>
      </c>
      <c r="W2689" s="10">
        <f t="shared" si="82"/>
        <v>0</v>
      </c>
      <c r="AK2689" s="10" t="str">
        <f t="array" ref="AK2689">IFERROR(INDEX(SelectedSpecies,SMALL(IF(SelectedSpecies=AK$1,ROW(SelectedSpecies)),ROW(2690:2690)),2),"")</f>
        <v/>
      </c>
      <c r="BE2689" s="10"/>
      <c r="BI2689" s="10"/>
    </row>
    <row r="2690" spans="1:61" ht="21" customHeight="1" x14ac:dyDescent="0.25">
      <c r="A2690" s="10"/>
      <c r="B2690" s="10"/>
      <c r="E2690" s="10"/>
      <c r="G2690" s="10"/>
      <c r="I2690" s="436" t="s">
        <v>2209</v>
      </c>
      <c r="J2690" s="26" t="s">
        <v>2208</v>
      </c>
      <c r="K2690" s="10">
        <v>14</v>
      </c>
      <c r="L2690" s="73">
        <f>IF(Tank1!$C$23="No control",(SUMIF(Tank1!$B$32:$B$49,$J2690,Tank1!$C$32:$C$49)*Impacts!$F$8),0)</f>
        <v>0</v>
      </c>
      <c r="M2690" s="10">
        <f>IF(Tank2!$C$23="No control",(SUMIF(Tank2!$B$32:$B$49,$J2690,Tank2!$C$32:$C$49)*Impacts!$F$9),0)</f>
        <v>0</v>
      </c>
      <c r="N2690" s="10">
        <f>IF(Tank3!$C$23="No control",(SUMIF(Tank3!$B$32:$B$49,$J2690,Tank3!$C$32:$C$49)*Impacts!$F$10),0)</f>
        <v>0</v>
      </c>
      <c r="O2690" s="10">
        <f>IF(Tank4!$C$23="No control",(SUMIF(Tank4!$B$32:$B$49,$J2690,Tank4!$C$32:$C$49)*Impacts!$F$11),0)</f>
        <v>0</v>
      </c>
      <c r="P2690" s="10">
        <f>IF(Tank5!$C$23="No control",(SUMIF(Tank5!$B$32:$B$49,$J2690,Tank5!$C$32:$C$49)*Impacts!$F$12),0)</f>
        <v>0</v>
      </c>
      <c r="Q2690" s="10">
        <f>IFERROR(IF(('Loading-drum,tote'!$C$21)="No control",SUMIF(('Loading-drum,tote'!$B$31:$B$48),$J2690,('Loading-drum,tote'!$D$31:$D$48))*Impacts!$F$13,IF(('Loading-drum,tote'!$C$21)&lt;&gt;"No control",SUMIF(('Loading-drum,tote'!$B$31:$B$48),$J2690,('Loading-drum,tote'!$E$31:$E$48))*Impacts!$F$13,0)),0)</f>
        <v>0</v>
      </c>
      <c r="R2690" s="10">
        <f>IFERROR(IF(('Loading-truck'!$C$21)="No control",SUMIF(('Loading-truck'!$B$31:$B$48),$J2690,('Loading-truck'!$D$31:$D$48))*Impacts!$F$14,IF(('Loading-truck'!$C$21)&lt;&gt;"No control",SUMIF(('Loading-truck'!$B$31:$B$48),$J2690,('Loading-truck'!$E$31:$E$48))*Impacts!$F$14,0)),0)</f>
        <v>0</v>
      </c>
      <c r="S2690" s="10">
        <f>IFERROR(IF(('Loading-rail'!$C$21)="No control",SUMIF(('Loading-rail'!$B$31:$B$48),$J2690,('Loading-rail'!$D$31:$D$48))*Impacts!$F$15,IF(('Loading-rail'!$C$21)&lt;&gt;"No control",SUMIF(('Loading-rail'!$B$31:$B$48),$J2690,('Loading-rail'!$E$31:$E$48))*Impacts!$F$15,0)),0)</f>
        <v>0</v>
      </c>
      <c r="T2690" s="10">
        <f>IF(Flare!$C$7="",0,(SUMIF(Flare!$B$46:$B$185,$J2690,Flare!$E$46:$E$185)*Impacts!$F$16))</f>
        <v>0</v>
      </c>
      <c r="U2690" s="10">
        <f>IF(VCU!$C$9="",0,(SUMIF(VCU!$B$51:$B$193,$J2690,VCU!$E$51:$E$193)*Impacts!$F$17))</f>
        <v>0</v>
      </c>
      <c r="V2690" s="10">
        <f>IF(CAS!$C$7="",0,(SUMIF(CAS!$B$31:$B$167,$J2690,CAS!$E$31:$E$167)*Impacts!$F$18))</f>
        <v>0</v>
      </c>
      <c r="W2690" s="10">
        <f t="shared" si="82"/>
        <v>0</v>
      </c>
      <c r="AK2690" s="10" t="str">
        <f t="array" ref="AK2690">IFERROR(INDEX(SelectedSpecies,SMALL(IF(SelectedSpecies=AK$1,ROW(SelectedSpecies)),ROW(2691:2691)),2),"")</f>
        <v/>
      </c>
      <c r="BE2690" s="10"/>
      <c r="BI2690" s="10"/>
    </row>
    <row r="2691" spans="1:61" ht="21" customHeight="1" x14ac:dyDescent="0.25">
      <c r="A2691" s="10"/>
      <c r="B2691" s="10"/>
      <c r="E2691" s="10"/>
      <c r="G2691" s="10"/>
      <c r="I2691" s="436" t="s">
        <v>4637</v>
      </c>
      <c r="J2691" s="26" t="s">
        <v>4636</v>
      </c>
      <c r="K2691" s="10">
        <v>4</v>
      </c>
      <c r="L2691" s="73">
        <f>IF(Tank1!$C$23="No control",(SUMIF(Tank1!$B$32:$B$49,$J2691,Tank1!$C$32:$C$49)*Impacts!$F$8),0)</f>
        <v>0</v>
      </c>
      <c r="M2691" s="10">
        <f>IF(Tank2!$C$23="No control",(SUMIF(Tank2!$B$32:$B$49,$J2691,Tank2!$C$32:$C$49)*Impacts!$F$9),0)</f>
        <v>0</v>
      </c>
      <c r="N2691" s="10">
        <f>IF(Tank3!$C$23="No control",(SUMIF(Tank3!$B$32:$B$49,$J2691,Tank3!$C$32:$C$49)*Impacts!$F$10),0)</f>
        <v>0</v>
      </c>
      <c r="O2691" s="10">
        <f>IF(Tank4!$C$23="No control",(SUMIF(Tank4!$B$32:$B$49,$J2691,Tank4!$C$32:$C$49)*Impacts!$F$11),0)</f>
        <v>0</v>
      </c>
      <c r="P2691" s="10">
        <f>IF(Tank5!$C$23="No control",(SUMIF(Tank5!$B$32:$B$49,$J2691,Tank5!$C$32:$C$49)*Impacts!$F$12),0)</f>
        <v>0</v>
      </c>
      <c r="Q2691" s="10">
        <f>IFERROR(IF(('Loading-drum,tote'!$C$21)="No control",SUMIF(('Loading-drum,tote'!$B$31:$B$48),$J2691,('Loading-drum,tote'!$D$31:$D$48))*Impacts!$F$13,IF(('Loading-drum,tote'!$C$21)&lt;&gt;"No control",SUMIF(('Loading-drum,tote'!$B$31:$B$48),$J2691,('Loading-drum,tote'!$E$31:$E$48))*Impacts!$F$13,0)),0)</f>
        <v>0</v>
      </c>
      <c r="R2691" s="10">
        <f>IFERROR(IF(('Loading-truck'!$C$21)="No control",SUMIF(('Loading-truck'!$B$31:$B$48),$J2691,('Loading-truck'!$D$31:$D$48))*Impacts!$F$14,IF(('Loading-truck'!$C$21)&lt;&gt;"No control",SUMIF(('Loading-truck'!$B$31:$B$48),$J2691,('Loading-truck'!$E$31:$E$48))*Impacts!$F$14,0)),0)</f>
        <v>0</v>
      </c>
      <c r="S2691" s="10">
        <f>IFERROR(IF(('Loading-rail'!$C$21)="No control",SUMIF(('Loading-rail'!$B$31:$B$48),$J2691,('Loading-rail'!$D$31:$D$48))*Impacts!$F$15,IF(('Loading-rail'!$C$21)&lt;&gt;"No control",SUMIF(('Loading-rail'!$B$31:$B$48),$J2691,('Loading-rail'!$E$31:$E$48))*Impacts!$F$15,0)),0)</f>
        <v>0</v>
      </c>
      <c r="T2691" s="10">
        <f>IF(Flare!$C$7="",0,(SUMIF(Flare!$B$46:$B$185,$J2691,Flare!$E$46:$E$185)*Impacts!$F$16))</f>
        <v>0</v>
      </c>
      <c r="U2691" s="10">
        <f>IF(VCU!$C$9="",0,(SUMIF(VCU!$B$51:$B$193,$J2691,VCU!$E$51:$E$193)*Impacts!$F$17))</f>
        <v>0</v>
      </c>
      <c r="V2691" s="10">
        <f>IF(CAS!$C$7="",0,(SUMIF(CAS!$B$31:$B$167,$J2691,CAS!$E$31:$E$167)*Impacts!$F$18))</f>
        <v>0</v>
      </c>
      <c r="W2691" s="10">
        <f t="shared" si="82"/>
        <v>0</v>
      </c>
      <c r="AK2691" s="10" t="str">
        <f t="array" ref="AK2691">IFERROR(INDEX(SelectedSpecies,SMALL(IF(SelectedSpecies=AK$1,ROW(SelectedSpecies)),ROW(2692:2692)),2),"")</f>
        <v/>
      </c>
      <c r="BE2691" s="10"/>
      <c r="BI2691" s="10"/>
    </row>
    <row r="2692" spans="1:61" ht="21" customHeight="1" x14ac:dyDescent="0.25">
      <c r="A2692" s="10"/>
      <c r="B2692" s="10"/>
      <c r="E2692" s="10"/>
      <c r="G2692" s="10"/>
      <c r="I2692" s="436" t="s">
        <v>6890</v>
      </c>
      <c r="J2692" s="26" t="s">
        <v>6889</v>
      </c>
      <c r="K2692" s="10">
        <v>0.5</v>
      </c>
      <c r="L2692" s="73">
        <f>IF(Tank1!$C$23="No control",(SUMIF(Tank1!$B$32:$B$49,$J2692,Tank1!$C$32:$C$49)*Impacts!$F$8),0)</f>
        <v>0</v>
      </c>
      <c r="M2692" s="10">
        <f>IF(Tank2!$C$23="No control",(SUMIF(Tank2!$B$32:$B$49,$J2692,Tank2!$C$32:$C$49)*Impacts!$F$9),0)</f>
        <v>0</v>
      </c>
      <c r="N2692" s="10">
        <f>IF(Tank3!$C$23="No control",(SUMIF(Tank3!$B$32:$B$49,$J2692,Tank3!$C$32:$C$49)*Impacts!$F$10),0)</f>
        <v>0</v>
      </c>
      <c r="O2692" s="10">
        <f>IF(Tank4!$C$23="No control",(SUMIF(Tank4!$B$32:$B$49,$J2692,Tank4!$C$32:$C$49)*Impacts!$F$11),0)</f>
        <v>0</v>
      </c>
      <c r="P2692" s="10">
        <f>IF(Tank5!$C$23="No control",(SUMIF(Tank5!$B$32:$B$49,$J2692,Tank5!$C$32:$C$49)*Impacts!$F$12),0)</f>
        <v>0</v>
      </c>
      <c r="Q2692" s="10">
        <f>IFERROR(IF(('Loading-drum,tote'!$C$21)="No control",SUMIF(('Loading-drum,tote'!$B$31:$B$48),$J2692,('Loading-drum,tote'!$D$31:$D$48))*Impacts!$F$13,IF(('Loading-drum,tote'!$C$21)&lt;&gt;"No control",SUMIF(('Loading-drum,tote'!$B$31:$B$48),$J2692,('Loading-drum,tote'!$E$31:$E$48))*Impacts!$F$13,0)),0)</f>
        <v>0</v>
      </c>
      <c r="R2692" s="10">
        <f>IFERROR(IF(('Loading-truck'!$C$21)="No control",SUMIF(('Loading-truck'!$B$31:$B$48),$J2692,('Loading-truck'!$D$31:$D$48))*Impacts!$F$14,IF(('Loading-truck'!$C$21)&lt;&gt;"No control",SUMIF(('Loading-truck'!$B$31:$B$48),$J2692,('Loading-truck'!$E$31:$E$48))*Impacts!$F$14,0)),0)</f>
        <v>0</v>
      </c>
      <c r="S2692" s="10">
        <f>IFERROR(IF(('Loading-rail'!$C$21)="No control",SUMIF(('Loading-rail'!$B$31:$B$48),$J2692,('Loading-rail'!$D$31:$D$48))*Impacts!$F$15,IF(('Loading-rail'!$C$21)&lt;&gt;"No control",SUMIF(('Loading-rail'!$B$31:$B$48),$J2692,('Loading-rail'!$E$31:$E$48))*Impacts!$F$15,0)),0)</f>
        <v>0</v>
      </c>
      <c r="T2692" s="10">
        <f>IF(Flare!$C$7="",0,(SUMIF(Flare!$B$46:$B$185,$J2692,Flare!$E$46:$E$185)*Impacts!$F$16))</f>
        <v>0</v>
      </c>
      <c r="U2692" s="10">
        <f>IF(VCU!$C$9="",0,(SUMIF(VCU!$B$51:$B$193,$J2692,VCU!$E$51:$E$193)*Impacts!$F$17))</f>
        <v>0</v>
      </c>
      <c r="V2692" s="10">
        <f>IF(CAS!$C$7="",0,(SUMIF(CAS!$B$31:$B$167,$J2692,CAS!$E$31:$E$167)*Impacts!$F$18))</f>
        <v>0</v>
      </c>
      <c r="W2692" s="10">
        <f t="shared" si="82"/>
        <v>0</v>
      </c>
      <c r="AK2692" s="10" t="str">
        <f t="array" ref="AK2692">IFERROR(INDEX(SelectedSpecies,SMALL(IF(SelectedSpecies=AK$1,ROW(SelectedSpecies)),ROW(2693:2693)),2),"")</f>
        <v/>
      </c>
      <c r="BE2692" s="10"/>
      <c r="BI2692" s="10"/>
    </row>
    <row r="2693" spans="1:61" ht="21" customHeight="1" x14ac:dyDescent="0.25">
      <c r="A2693" s="10"/>
      <c r="B2693" s="10"/>
      <c r="E2693" s="10"/>
      <c r="G2693" s="10"/>
      <c r="I2693" s="436" t="s">
        <v>373</v>
      </c>
      <c r="J2693" s="26" t="s">
        <v>372</v>
      </c>
      <c r="K2693" s="10">
        <v>370</v>
      </c>
      <c r="L2693" s="73">
        <f>IF(Tank1!$C$23="No control",(SUMIF(Tank1!$B$32:$B$49,$J2693,Tank1!$C$32:$C$49)*Impacts!$F$8),0)</f>
        <v>0</v>
      </c>
      <c r="M2693" s="10">
        <f>IF(Tank2!$C$23="No control",(SUMIF(Tank2!$B$32:$B$49,$J2693,Tank2!$C$32:$C$49)*Impacts!$F$9),0)</f>
        <v>0</v>
      </c>
      <c r="N2693" s="10">
        <f>IF(Tank3!$C$23="No control",(SUMIF(Tank3!$B$32:$B$49,$J2693,Tank3!$C$32:$C$49)*Impacts!$F$10),0)</f>
        <v>0</v>
      </c>
      <c r="O2693" s="10">
        <f>IF(Tank4!$C$23="No control",(SUMIF(Tank4!$B$32:$B$49,$J2693,Tank4!$C$32:$C$49)*Impacts!$F$11),0)</f>
        <v>0</v>
      </c>
      <c r="P2693" s="10">
        <f>IF(Tank5!$C$23="No control",(SUMIF(Tank5!$B$32:$B$49,$J2693,Tank5!$C$32:$C$49)*Impacts!$F$12),0)</f>
        <v>0</v>
      </c>
      <c r="Q2693" s="10">
        <f>IFERROR(IF(('Loading-drum,tote'!$C$21)="No control",SUMIF(('Loading-drum,tote'!$B$31:$B$48),$J2693,('Loading-drum,tote'!$D$31:$D$48))*Impacts!$F$13,IF(('Loading-drum,tote'!$C$21)&lt;&gt;"No control",SUMIF(('Loading-drum,tote'!$B$31:$B$48),$J2693,('Loading-drum,tote'!$E$31:$E$48))*Impacts!$F$13,0)),0)</f>
        <v>0</v>
      </c>
      <c r="R2693" s="10">
        <f>IFERROR(IF(('Loading-truck'!$C$21)="No control",SUMIF(('Loading-truck'!$B$31:$B$48),$J2693,('Loading-truck'!$D$31:$D$48))*Impacts!$F$14,IF(('Loading-truck'!$C$21)&lt;&gt;"No control",SUMIF(('Loading-truck'!$B$31:$B$48),$J2693,('Loading-truck'!$E$31:$E$48))*Impacts!$F$14,0)),0)</f>
        <v>0</v>
      </c>
      <c r="S2693" s="10">
        <f>IFERROR(IF(('Loading-rail'!$C$21)="No control",SUMIF(('Loading-rail'!$B$31:$B$48),$J2693,('Loading-rail'!$D$31:$D$48))*Impacts!$F$15,IF(('Loading-rail'!$C$21)&lt;&gt;"No control",SUMIF(('Loading-rail'!$B$31:$B$48),$J2693,('Loading-rail'!$E$31:$E$48))*Impacts!$F$15,0)),0)</f>
        <v>0</v>
      </c>
      <c r="T2693" s="10">
        <f>IF(Flare!$C$7="",0,(SUMIF(Flare!$B$46:$B$185,$J2693,Flare!$E$46:$E$185)*Impacts!$F$16))</f>
        <v>0</v>
      </c>
      <c r="U2693" s="10">
        <f>IF(VCU!$C$9="",0,(SUMIF(VCU!$B$51:$B$193,$J2693,VCU!$E$51:$E$193)*Impacts!$F$17))</f>
        <v>0</v>
      </c>
      <c r="V2693" s="10">
        <f>IF(CAS!$C$7="",0,(SUMIF(CAS!$B$31:$B$167,$J2693,CAS!$E$31:$E$167)*Impacts!$F$18))</f>
        <v>0</v>
      </c>
      <c r="W2693" s="10">
        <f t="shared" si="82"/>
        <v>0</v>
      </c>
      <c r="AK2693" s="10" t="str">
        <f t="array" ref="AK2693">IFERROR(INDEX(SelectedSpecies,SMALL(IF(SelectedSpecies=AK$1,ROW(SelectedSpecies)),ROW(2694:2694)),2),"")</f>
        <v/>
      </c>
      <c r="BE2693" s="10"/>
      <c r="BI2693" s="10"/>
    </row>
    <row r="2694" spans="1:61" ht="21" customHeight="1" x14ac:dyDescent="0.25">
      <c r="A2694" s="10"/>
      <c r="B2694" s="10"/>
      <c r="E2694" s="10"/>
      <c r="G2694" s="10"/>
      <c r="I2694" s="436" t="s">
        <v>6546</v>
      </c>
      <c r="J2694" s="26" t="s">
        <v>6545</v>
      </c>
      <c r="K2694" s="10">
        <v>0.70000000000000007</v>
      </c>
      <c r="L2694" s="73">
        <f>IF(Tank1!$C$23="No control",(SUMIF(Tank1!$B$32:$B$49,$J2694,Tank1!$C$32:$C$49)*Impacts!$F$8),0)</f>
        <v>0</v>
      </c>
      <c r="M2694" s="10">
        <f>IF(Tank2!$C$23="No control",(SUMIF(Tank2!$B$32:$B$49,$J2694,Tank2!$C$32:$C$49)*Impacts!$F$9),0)</f>
        <v>0</v>
      </c>
      <c r="N2694" s="10">
        <f>IF(Tank3!$C$23="No control",(SUMIF(Tank3!$B$32:$B$49,$J2694,Tank3!$C$32:$C$49)*Impacts!$F$10),0)</f>
        <v>0</v>
      </c>
      <c r="O2694" s="10">
        <f>IF(Tank4!$C$23="No control",(SUMIF(Tank4!$B$32:$B$49,$J2694,Tank4!$C$32:$C$49)*Impacts!$F$11),0)</f>
        <v>0</v>
      </c>
      <c r="P2694" s="10">
        <f>IF(Tank5!$C$23="No control",(SUMIF(Tank5!$B$32:$B$49,$J2694,Tank5!$C$32:$C$49)*Impacts!$F$12),0)</f>
        <v>0</v>
      </c>
      <c r="Q2694" s="10">
        <f>IFERROR(IF(('Loading-drum,tote'!$C$21)="No control",SUMIF(('Loading-drum,tote'!$B$31:$B$48),$J2694,('Loading-drum,tote'!$D$31:$D$48))*Impacts!$F$13,IF(('Loading-drum,tote'!$C$21)&lt;&gt;"No control",SUMIF(('Loading-drum,tote'!$B$31:$B$48),$J2694,('Loading-drum,tote'!$E$31:$E$48))*Impacts!$F$13,0)),0)</f>
        <v>0</v>
      </c>
      <c r="R2694" s="10">
        <f>IFERROR(IF(('Loading-truck'!$C$21)="No control",SUMIF(('Loading-truck'!$B$31:$B$48),$J2694,('Loading-truck'!$D$31:$D$48))*Impacts!$F$14,IF(('Loading-truck'!$C$21)&lt;&gt;"No control",SUMIF(('Loading-truck'!$B$31:$B$48),$J2694,('Loading-truck'!$E$31:$E$48))*Impacts!$F$14,0)),0)</f>
        <v>0</v>
      </c>
      <c r="S2694" s="10">
        <f>IFERROR(IF(('Loading-rail'!$C$21)="No control",SUMIF(('Loading-rail'!$B$31:$B$48),$J2694,('Loading-rail'!$D$31:$D$48))*Impacts!$F$15,IF(('Loading-rail'!$C$21)&lt;&gt;"No control",SUMIF(('Loading-rail'!$B$31:$B$48),$J2694,('Loading-rail'!$E$31:$E$48))*Impacts!$F$15,0)),0)</f>
        <v>0</v>
      </c>
      <c r="T2694" s="10">
        <f>IF(Flare!$C$7="",0,(SUMIF(Flare!$B$46:$B$185,$J2694,Flare!$E$46:$E$185)*Impacts!$F$16))</f>
        <v>0</v>
      </c>
      <c r="U2694" s="10">
        <f>IF(VCU!$C$9="",0,(SUMIF(VCU!$B$51:$B$193,$J2694,VCU!$E$51:$E$193)*Impacts!$F$17))</f>
        <v>0</v>
      </c>
      <c r="V2694" s="10">
        <f>IF(CAS!$C$7="",0,(SUMIF(CAS!$B$31:$B$167,$J2694,CAS!$E$31:$E$167)*Impacts!$F$18))</f>
        <v>0</v>
      </c>
      <c r="W2694" s="10">
        <f t="shared" si="82"/>
        <v>0</v>
      </c>
      <c r="AK2694" s="10" t="str">
        <f t="array" ref="AK2694">IFERROR(INDEX(SelectedSpecies,SMALL(IF(SelectedSpecies=AK$1,ROW(SelectedSpecies)),ROW(2695:2695)),2),"")</f>
        <v/>
      </c>
      <c r="BE2694" s="10"/>
      <c r="BI2694" s="10"/>
    </row>
    <row r="2695" spans="1:61" ht="21" customHeight="1" x14ac:dyDescent="0.25">
      <c r="A2695" s="10"/>
      <c r="B2695" s="10"/>
      <c r="E2695" s="10"/>
      <c r="G2695" s="10"/>
      <c r="I2695" s="436" t="s">
        <v>4639</v>
      </c>
      <c r="J2695" s="26" t="s">
        <v>4638</v>
      </c>
      <c r="K2695" s="10">
        <v>4</v>
      </c>
      <c r="L2695" s="73">
        <f>IF(Tank1!$C$23="No control",(SUMIF(Tank1!$B$32:$B$49,$J2695,Tank1!$C$32:$C$49)*Impacts!$F$8),0)</f>
        <v>0</v>
      </c>
      <c r="M2695" s="10">
        <f>IF(Tank2!$C$23="No control",(SUMIF(Tank2!$B$32:$B$49,$J2695,Tank2!$C$32:$C$49)*Impacts!$F$9),0)</f>
        <v>0</v>
      </c>
      <c r="N2695" s="10">
        <f>IF(Tank3!$C$23="No control",(SUMIF(Tank3!$B$32:$B$49,$J2695,Tank3!$C$32:$C$49)*Impacts!$F$10),0)</f>
        <v>0</v>
      </c>
      <c r="O2695" s="10">
        <f>IF(Tank4!$C$23="No control",(SUMIF(Tank4!$B$32:$B$49,$J2695,Tank4!$C$32:$C$49)*Impacts!$F$11),0)</f>
        <v>0</v>
      </c>
      <c r="P2695" s="10">
        <f>IF(Tank5!$C$23="No control",(SUMIF(Tank5!$B$32:$B$49,$J2695,Tank5!$C$32:$C$49)*Impacts!$F$12),0)</f>
        <v>0</v>
      </c>
      <c r="Q2695" s="10">
        <f>IFERROR(IF(('Loading-drum,tote'!$C$21)="No control",SUMIF(('Loading-drum,tote'!$B$31:$B$48),$J2695,('Loading-drum,tote'!$D$31:$D$48))*Impacts!$F$13,IF(('Loading-drum,tote'!$C$21)&lt;&gt;"No control",SUMIF(('Loading-drum,tote'!$B$31:$B$48),$J2695,('Loading-drum,tote'!$E$31:$E$48))*Impacts!$F$13,0)),0)</f>
        <v>0</v>
      </c>
      <c r="R2695" s="10">
        <f>IFERROR(IF(('Loading-truck'!$C$21)="No control",SUMIF(('Loading-truck'!$B$31:$B$48),$J2695,('Loading-truck'!$D$31:$D$48))*Impacts!$F$14,IF(('Loading-truck'!$C$21)&lt;&gt;"No control",SUMIF(('Loading-truck'!$B$31:$B$48),$J2695,('Loading-truck'!$E$31:$E$48))*Impacts!$F$14,0)),0)</f>
        <v>0</v>
      </c>
      <c r="S2695" s="10">
        <f>IFERROR(IF(('Loading-rail'!$C$21)="No control",SUMIF(('Loading-rail'!$B$31:$B$48),$J2695,('Loading-rail'!$D$31:$D$48))*Impacts!$F$15,IF(('Loading-rail'!$C$21)&lt;&gt;"No control",SUMIF(('Loading-rail'!$B$31:$B$48),$J2695,('Loading-rail'!$E$31:$E$48))*Impacts!$F$15,0)),0)</f>
        <v>0</v>
      </c>
      <c r="T2695" s="10">
        <f>IF(Flare!$C$7="",0,(SUMIF(Flare!$B$46:$B$185,$J2695,Flare!$E$46:$E$185)*Impacts!$F$16))</f>
        <v>0</v>
      </c>
      <c r="U2695" s="10">
        <f>IF(VCU!$C$9="",0,(SUMIF(VCU!$B$51:$B$193,$J2695,VCU!$E$51:$E$193)*Impacts!$F$17))</f>
        <v>0</v>
      </c>
      <c r="V2695" s="10">
        <f>IF(CAS!$C$7="",0,(SUMIF(CAS!$B$31:$B$167,$J2695,CAS!$E$31:$E$167)*Impacts!$F$18))</f>
        <v>0</v>
      </c>
      <c r="W2695" s="10">
        <f t="shared" si="82"/>
        <v>0</v>
      </c>
      <c r="AK2695" s="10" t="str">
        <f t="array" ref="AK2695">IFERROR(INDEX(SelectedSpecies,SMALL(IF(SelectedSpecies=AK$1,ROW(SelectedSpecies)),ROW(2696:2696)),2),"")</f>
        <v/>
      </c>
      <c r="BE2695" s="10"/>
      <c r="BI2695" s="10"/>
    </row>
    <row r="2696" spans="1:61" ht="21" customHeight="1" x14ac:dyDescent="0.25">
      <c r="A2696" s="10"/>
      <c r="B2696" s="10"/>
      <c r="E2696" s="10"/>
      <c r="G2696" s="10"/>
      <c r="I2696" s="436" t="s">
        <v>6892</v>
      </c>
      <c r="J2696" s="26" t="s">
        <v>6891</v>
      </c>
      <c r="K2696" s="10">
        <v>0.5</v>
      </c>
      <c r="L2696" s="73">
        <f>IF(Tank1!$C$23="No control",(SUMIF(Tank1!$B$32:$B$49,$J2696,Tank1!$C$32:$C$49)*Impacts!$F$8),0)</f>
        <v>0</v>
      </c>
      <c r="M2696" s="10">
        <f>IF(Tank2!$C$23="No control",(SUMIF(Tank2!$B$32:$B$49,$J2696,Tank2!$C$32:$C$49)*Impacts!$F$9),0)</f>
        <v>0</v>
      </c>
      <c r="N2696" s="10">
        <f>IF(Tank3!$C$23="No control",(SUMIF(Tank3!$B$32:$B$49,$J2696,Tank3!$C$32:$C$49)*Impacts!$F$10),0)</f>
        <v>0</v>
      </c>
      <c r="O2696" s="10">
        <f>IF(Tank4!$C$23="No control",(SUMIF(Tank4!$B$32:$B$49,$J2696,Tank4!$C$32:$C$49)*Impacts!$F$11),0)</f>
        <v>0</v>
      </c>
      <c r="P2696" s="10">
        <f>IF(Tank5!$C$23="No control",(SUMIF(Tank5!$B$32:$B$49,$J2696,Tank5!$C$32:$C$49)*Impacts!$F$12),0)</f>
        <v>0</v>
      </c>
      <c r="Q2696" s="10">
        <f>IFERROR(IF(('Loading-drum,tote'!$C$21)="No control",SUMIF(('Loading-drum,tote'!$B$31:$B$48),$J2696,('Loading-drum,tote'!$D$31:$D$48))*Impacts!$F$13,IF(('Loading-drum,tote'!$C$21)&lt;&gt;"No control",SUMIF(('Loading-drum,tote'!$B$31:$B$48),$J2696,('Loading-drum,tote'!$E$31:$E$48))*Impacts!$F$13,0)),0)</f>
        <v>0</v>
      </c>
      <c r="R2696" s="10">
        <f>IFERROR(IF(('Loading-truck'!$C$21)="No control",SUMIF(('Loading-truck'!$B$31:$B$48),$J2696,('Loading-truck'!$D$31:$D$48))*Impacts!$F$14,IF(('Loading-truck'!$C$21)&lt;&gt;"No control",SUMIF(('Loading-truck'!$B$31:$B$48),$J2696,('Loading-truck'!$E$31:$E$48))*Impacts!$F$14,0)),0)</f>
        <v>0</v>
      </c>
      <c r="S2696" s="10">
        <f>IFERROR(IF(('Loading-rail'!$C$21)="No control",SUMIF(('Loading-rail'!$B$31:$B$48),$J2696,('Loading-rail'!$D$31:$D$48))*Impacts!$F$15,IF(('Loading-rail'!$C$21)&lt;&gt;"No control",SUMIF(('Loading-rail'!$B$31:$B$48),$J2696,('Loading-rail'!$E$31:$E$48))*Impacts!$F$15,0)),0)</f>
        <v>0</v>
      </c>
      <c r="T2696" s="10">
        <f>IF(Flare!$C$7="",0,(SUMIF(Flare!$B$46:$B$185,$J2696,Flare!$E$46:$E$185)*Impacts!$F$16))</f>
        <v>0</v>
      </c>
      <c r="U2696" s="10">
        <f>IF(VCU!$C$9="",0,(SUMIF(VCU!$B$51:$B$193,$J2696,VCU!$E$51:$E$193)*Impacts!$F$17))</f>
        <v>0</v>
      </c>
      <c r="V2696" s="10">
        <f>IF(CAS!$C$7="",0,(SUMIF(CAS!$B$31:$B$167,$J2696,CAS!$E$31:$E$167)*Impacts!$F$18))</f>
        <v>0</v>
      </c>
      <c r="W2696" s="10">
        <f t="shared" si="82"/>
        <v>0</v>
      </c>
      <c r="AK2696" s="10" t="str">
        <f t="array" ref="AK2696">IFERROR(INDEX(SelectedSpecies,SMALL(IF(SelectedSpecies=AK$1,ROW(SelectedSpecies)),ROW(2697:2697)),2),"")</f>
        <v/>
      </c>
      <c r="BE2696" s="10"/>
      <c r="BI2696" s="10"/>
    </row>
    <row r="2697" spans="1:61" ht="21" customHeight="1" x14ac:dyDescent="0.25">
      <c r="A2697" s="10"/>
      <c r="B2697" s="10"/>
      <c r="E2697" s="10"/>
      <c r="G2697" s="10"/>
      <c r="I2697" s="436" t="s">
        <v>4919</v>
      </c>
      <c r="J2697" s="26" t="s">
        <v>4918</v>
      </c>
      <c r="K2697" s="10">
        <v>2.6</v>
      </c>
      <c r="L2697" s="73">
        <f>IF(Tank1!$C$23="No control",(SUMIF(Tank1!$B$32:$B$49,$J2697,Tank1!$C$32:$C$49)*Impacts!$F$8),0)</f>
        <v>0</v>
      </c>
      <c r="M2697" s="10">
        <f>IF(Tank2!$C$23="No control",(SUMIF(Tank2!$B$32:$B$49,$J2697,Tank2!$C$32:$C$49)*Impacts!$F$9),0)</f>
        <v>0</v>
      </c>
      <c r="N2697" s="10">
        <f>IF(Tank3!$C$23="No control",(SUMIF(Tank3!$B$32:$B$49,$J2697,Tank3!$C$32:$C$49)*Impacts!$F$10),0)</f>
        <v>0</v>
      </c>
      <c r="O2697" s="10">
        <f>IF(Tank4!$C$23="No control",(SUMIF(Tank4!$B$32:$B$49,$J2697,Tank4!$C$32:$C$49)*Impacts!$F$11),0)</f>
        <v>0</v>
      </c>
      <c r="P2697" s="10">
        <f>IF(Tank5!$C$23="No control",(SUMIF(Tank5!$B$32:$B$49,$J2697,Tank5!$C$32:$C$49)*Impacts!$F$12),0)</f>
        <v>0</v>
      </c>
      <c r="Q2697" s="10">
        <f>IFERROR(IF(('Loading-drum,tote'!$C$21)="No control",SUMIF(('Loading-drum,tote'!$B$31:$B$48),$J2697,('Loading-drum,tote'!$D$31:$D$48))*Impacts!$F$13,IF(('Loading-drum,tote'!$C$21)&lt;&gt;"No control",SUMIF(('Loading-drum,tote'!$B$31:$B$48),$J2697,('Loading-drum,tote'!$E$31:$E$48))*Impacts!$F$13,0)),0)</f>
        <v>0</v>
      </c>
      <c r="R2697" s="10">
        <f>IFERROR(IF(('Loading-truck'!$C$21)="No control",SUMIF(('Loading-truck'!$B$31:$B$48),$J2697,('Loading-truck'!$D$31:$D$48))*Impacts!$F$14,IF(('Loading-truck'!$C$21)&lt;&gt;"No control",SUMIF(('Loading-truck'!$B$31:$B$48),$J2697,('Loading-truck'!$E$31:$E$48))*Impacts!$F$14,0)),0)</f>
        <v>0</v>
      </c>
      <c r="S2697" s="10">
        <f>IFERROR(IF(('Loading-rail'!$C$21)="No control",SUMIF(('Loading-rail'!$B$31:$B$48),$J2697,('Loading-rail'!$D$31:$D$48))*Impacts!$F$15,IF(('Loading-rail'!$C$21)&lt;&gt;"No control",SUMIF(('Loading-rail'!$B$31:$B$48),$J2697,('Loading-rail'!$E$31:$E$48))*Impacts!$F$15,0)),0)</f>
        <v>0</v>
      </c>
      <c r="T2697" s="10">
        <f>IF(Flare!$C$7="",0,(SUMIF(Flare!$B$46:$B$185,$J2697,Flare!$E$46:$E$185)*Impacts!$F$16))</f>
        <v>0</v>
      </c>
      <c r="U2697" s="10">
        <f>IF(VCU!$C$9="",0,(SUMIF(VCU!$B$51:$B$193,$J2697,VCU!$E$51:$E$193)*Impacts!$F$17))</f>
        <v>0</v>
      </c>
      <c r="V2697" s="10">
        <f>IF(CAS!$C$7="",0,(SUMIF(CAS!$B$31:$B$167,$J2697,CAS!$E$31:$E$167)*Impacts!$F$18))</f>
        <v>0</v>
      </c>
      <c r="W2697" s="10">
        <f t="shared" si="82"/>
        <v>0</v>
      </c>
      <c r="AK2697" s="10" t="str">
        <f t="array" ref="AK2697">IFERROR(INDEX(SelectedSpecies,SMALL(IF(SelectedSpecies=AK$1,ROW(SelectedSpecies)),ROW(2698:2698)),2),"")</f>
        <v/>
      </c>
      <c r="BE2697" s="10"/>
      <c r="BI2697" s="10"/>
    </row>
    <row r="2698" spans="1:61" ht="21" customHeight="1" x14ac:dyDescent="0.25">
      <c r="A2698" s="10"/>
      <c r="B2698" s="10"/>
      <c r="E2698" s="10"/>
      <c r="G2698" s="10"/>
      <c r="I2698" s="436" t="s">
        <v>1702</v>
      </c>
      <c r="J2698" s="26" t="s">
        <v>1701</v>
      </c>
      <c r="K2698" s="10">
        <v>24.5</v>
      </c>
      <c r="L2698" s="73">
        <f>IF(Tank1!$C$23="No control",(SUMIF(Tank1!$B$32:$B$49,$J2698,Tank1!$C$32:$C$49)*Impacts!$F$8),0)</f>
        <v>0</v>
      </c>
      <c r="M2698" s="10">
        <f>IF(Tank2!$C$23="No control",(SUMIF(Tank2!$B$32:$B$49,$J2698,Tank2!$C$32:$C$49)*Impacts!$F$9),0)</f>
        <v>0</v>
      </c>
      <c r="N2698" s="10">
        <f>IF(Tank3!$C$23="No control",(SUMIF(Tank3!$B$32:$B$49,$J2698,Tank3!$C$32:$C$49)*Impacts!$F$10),0)</f>
        <v>0</v>
      </c>
      <c r="O2698" s="10">
        <f>IF(Tank4!$C$23="No control",(SUMIF(Tank4!$B$32:$B$49,$J2698,Tank4!$C$32:$C$49)*Impacts!$F$11),0)</f>
        <v>0</v>
      </c>
      <c r="P2698" s="10">
        <f>IF(Tank5!$C$23="No control",(SUMIF(Tank5!$B$32:$B$49,$J2698,Tank5!$C$32:$C$49)*Impacts!$F$12),0)</f>
        <v>0</v>
      </c>
      <c r="Q2698" s="10">
        <f>IFERROR(IF(('Loading-drum,tote'!$C$21)="No control",SUMIF(('Loading-drum,tote'!$B$31:$B$48),$J2698,('Loading-drum,tote'!$D$31:$D$48))*Impacts!$F$13,IF(('Loading-drum,tote'!$C$21)&lt;&gt;"No control",SUMIF(('Loading-drum,tote'!$B$31:$B$48),$J2698,('Loading-drum,tote'!$E$31:$E$48))*Impacts!$F$13,0)),0)</f>
        <v>0</v>
      </c>
      <c r="R2698" s="10">
        <f>IFERROR(IF(('Loading-truck'!$C$21)="No control",SUMIF(('Loading-truck'!$B$31:$B$48),$J2698,('Loading-truck'!$D$31:$D$48))*Impacts!$F$14,IF(('Loading-truck'!$C$21)&lt;&gt;"No control",SUMIF(('Loading-truck'!$B$31:$B$48),$J2698,('Loading-truck'!$E$31:$E$48))*Impacts!$F$14,0)),0)</f>
        <v>0</v>
      </c>
      <c r="S2698" s="10">
        <f>IFERROR(IF(('Loading-rail'!$C$21)="No control",SUMIF(('Loading-rail'!$B$31:$B$48),$J2698,('Loading-rail'!$D$31:$D$48))*Impacts!$F$15,IF(('Loading-rail'!$C$21)&lt;&gt;"No control",SUMIF(('Loading-rail'!$B$31:$B$48),$J2698,('Loading-rail'!$E$31:$E$48))*Impacts!$F$15,0)),0)</f>
        <v>0</v>
      </c>
      <c r="T2698" s="10">
        <f>IF(Flare!$C$7="",0,(SUMIF(Flare!$B$46:$B$185,$J2698,Flare!$E$46:$E$185)*Impacts!$F$16))</f>
        <v>0</v>
      </c>
      <c r="U2698" s="10">
        <f>IF(VCU!$C$9="",0,(SUMIF(VCU!$B$51:$B$193,$J2698,VCU!$E$51:$E$193)*Impacts!$F$17))</f>
        <v>0</v>
      </c>
      <c r="V2698" s="10">
        <f>IF(CAS!$C$7="",0,(SUMIF(CAS!$B$31:$B$167,$J2698,CAS!$E$31:$E$167)*Impacts!$F$18))</f>
        <v>0</v>
      </c>
      <c r="W2698" s="10">
        <f t="shared" si="82"/>
        <v>0</v>
      </c>
      <c r="AK2698" s="10" t="str">
        <f t="array" ref="AK2698">IFERROR(INDEX(SelectedSpecies,SMALL(IF(SelectedSpecies=AK$1,ROW(SelectedSpecies)),ROW(2699:2699)),2),"")</f>
        <v/>
      </c>
      <c r="BE2698" s="10"/>
      <c r="BI2698" s="10"/>
    </row>
    <row r="2699" spans="1:61" ht="21" customHeight="1" x14ac:dyDescent="0.25">
      <c r="A2699" s="10"/>
      <c r="B2699" s="10"/>
      <c r="E2699" s="10"/>
      <c r="G2699" s="10"/>
      <c r="I2699" s="436" t="s">
        <v>4385</v>
      </c>
      <c r="J2699" s="26" t="s">
        <v>4384</v>
      </c>
      <c r="K2699" s="10">
        <v>4.8000000000000007</v>
      </c>
      <c r="L2699" s="73">
        <f>IF(Tank1!$C$23="No control",(SUMIF(Tank1!$B$32:$B$49,$J2699,Tank1!$C$32:$C$49)*Impacts!$F$8),0)</f>
        <v>0</v>
      </c>
      <c r="M2699" s="10">
        <f>IF(Tank2!$C$23="No control",(SUMIF(Tank2!$B$32:$B$49,$J2699,Tank2!$C$32:$C$49)*Impacts!$F$9),0)</f>
        <v>0</v>
      </c>
      <c r="N2699" s="10">
        <f>IF(Tank3!$C$23="No control",(SUMIF(Tank3!$B$32:$B$49,$J2699,Tank3!$C$32:$C$49)*Impacts!$F$10),0)</f>
        <v>0</v>
      </c>
      <c r="O2699" s="10">
        <f>IF(Tank4!$C$23="No control",(SUMIF(Tank4!$B$32:$B$49,$J2699,Tank4!$C$32:$C$49)*Impacts!$F$11),0)</f>
        <v>0</v>
      </c>
      <c r="P2699" s="10">
        <f>IF(Tank5!$C$23="No control",(SUMIF(Tank5!$B$32:$B$49,$J2699,Tank5!$C$32:$C$49)*Impacts!$F$12),0)</f>
        <v>0</v>
      </c>
      <c r="Q2699" s="10">
        <f>IFERROR(IF(('Loading-drum,tote'!$C$21)="No control",SUMIF(('Loading-drum,tote'!$B$31:$B$48),$J2699,('Loading-drum,tote'!$D$31:$D$48))*Impacts!$F$13,IF(('Loading-drum,tote'!$C$21)&lt;&gt;"No control",SUMIF(('Loading-drum,tote'!$B$31:$B$48),$J2699,('Loading-drum,tote'!$E$31:$E$48))*Impacts!$F$13,0)),0)</f>
        <v>0</v>
      </c>
      <c r="R2699" s="10">
        <f>IFERROR(IF(('Loading-truck'!$C$21)="No control",SUMIF(('Loading-truck'!$B$31:$B$48),$J2699,('Loading-truck'!$D$31:$D$48))*Impacts!$F$14,IF(('Loading-truck'!$C$21)&lt;&gt;"No control",SUMIF(('Loading-truck'!$B$31:$B$48),$J2699,('Loading-truck'!$E$31:$E$48))*Impacts!$F$14,0)),0)</f>
        <v>0</v>
      </c>
      <c r="S2699" s="10">
        <f>IFERROR(IF(('Loading-rail'!$C$21)="No control",SUMIF(('Loading-rail'!$B$31:$B$48),$J2699,('Loading-rail'!$D$31:$D$48))*Impacts!$F$15,IF(('Loading-rail'!$C$21)&lt;&gt;"No control",SUMIF(('Loading-rail'!$B$31:$B$48),$J2699,('Loading-rail'!$E$31:$E$48))*Impacts!$F$15,0)),0)</f>
        <v>0</v>
      </c>
      <c r="T2699" s="10">
        <f>IF(Flare!$C$7="",0,(SUMIF(Flare!$B$46:$B$185,$J2699,Flare!$E$46:$E$185)*Impacts!$F$16))</f>
        <v>0</v>
      </c>
      <c r="U2699" s="10">
        <f>IF(VCU!$C$9="",0,(SUMIF(VCU!$B$51:$B$193,$J2699,VCU!$E$51:$E$193)*Impacts!$F$17))</f>
        <v>0</v>
      </c>
      <c r="V2699" s="10">
        <f>IF(CAS!$C$7="",0,(SUMIF(CAS!$B$31:$B$167,$J2699,CAS!$E$31:$E$167)*Impacts!$F$18))</f>
        <v>0</v>
      </c>
      <c r="W2699" s="10">
        <f t="shared" si="82"/>
        <v>0</v>
      </c>
      <c r="AK2699" s="10" t="str">
        <f t="array" ref="AK2699">IFERROR(INDEX(SelectedSpecies,SMALL(IF(SelectedSpecies=AK$1,ROW(SelectedSpecies)),ROW(2700:2700)),2),"")</f>
        <v/>
      </c>
      <c r="BE2699" s="10"/>
      <c r="BI2699" s="10"/>
    </row>
    <row r="2700" spans="1:61" ht="21" customHeight="1" x14ac:dyDescent="0.25">
      <c r="A2700" s="10"/>
      <c r="B2700" s="10"/>
      <c r="E2700" s="10"/>
      <c r="G2700" s="10"/>
      <c r="I2700" s="436" t="s">
        <v>3685</v>
      </c>
      <c r="J2700" s="26" t="s">
        <v>3684</v>
      </c>
      <c r="K2700" s="10">
        <v>7</v>
      </c>
      <c r="L2700" s="73">
        <f>IF(Tank1!$C$23="No control",(SUMIF(Tank1!$B$32:$B$49,$J2700,Tank1!$C$32:$C$49)*Impacts!$F$8),0)</f>
        <v>0</v>
      </c>
      <c r="M2700" s="10">
        <f>IF(Tank2!$C$23="No control",(SUMIF(Tank2!$B$32:$B$49,$J2700,Tank2!$C$32:$C$49)*Impacts!$F$9),0)</f>
        <v>0</v>
      </c>
      <c r="N2700" s="10">
        <f>IF(Tank3!$C$23="No control",(SUMIF(Tank3!$B$32:$B$49,$J2700,Tank3!$C$32:$C$49)*Impacts!$F$10),0)</f>
        <v>0</v>
      </c>
      <c r="O2700" s="10">
        <f>IF(Tank4!$C$23="No control",(SUMIF(Tank4!$B$32:$B$49,$J2700,Tank4!$C$32:$C$49)*Impacts!$F$11),0)</f>
        <v>0</v>
      </c>
      <c r="P2700" s="10">
        <f>IF(Tank5!$C$23="No control",(SUMIF(Tank5!$B$32:$B$49,$J2700,Tank5!$C$32:$C$49)*Impacts!$F$12),0)</f>
        <v>0</v>
      </c>
      <c r="Q2700" s="10">
        <f>IFERROR(IF(('Loading-drum,tote'!$C$21)="No control",SUMIF(('Loading-drum,tote'!$B$31:$B$48),$J2700,('Loading-drum,tote'!$D$31:$D$48))*Impacts!$F$13,IF(('Loading-drum,tote'!$C$21)&lt;&gt;"No control",SUMIF(('Loading-drum,tote'!$B$31:$B$48),$J2700,('Loading-drum,tote'!$E$31:$E$48))*Impacts!$F$13,0)),0)</f>
        <v>0</v>
      </c>
      <c r="R2700" s="10">
        <f>IFERROR(IF(('Loading-truck'!$C$21)="No control",SUMIF(('Loading-truck'!$B$31:$B$48),$J2700,('Loading-truck'!$D$31:$D$48))*Impacts!$F$14,IF(('Loading-truck'!$C$21)&lt;&gt;"No control",SUMIF(('Loading-truck'!$B$31:$B$48),$J2700,('Loading-truck'!$E$31:$E$48))*Impacts!$F$14,0)),0)</f>
        <v>0</v>
      </c>
      <c r="S2700" s="10">
        <f>IFERROR(IF(('Loading-rail'!$C$21)="No control",SUMIF(('Loading-rail'!$B$31:$B$48),$J2700,('Loading-rail'!$D$31:$D$48))*Impacts!$F$15,IF(('Loading-rail'!$C$21)&lt;&gt;"No control",SUMIF(('Loading-rail'!$B$31:$B$48),$J2700,('Loading-rail'!$E$31:$E$48))*Impacts!$F$15,0)),0)</f>
        <v>0</v>
      </c>
      <c r="T2700" s="10">
        <f>IF(Flare!$C$7="",0,(SUMIF(Flare!$B$46:$B$185,$J2700,Flare!$E$46:$E$185)*Impacts!$F$16))</f>
        <v>0</v>
      </c>
      <c r="U2700" s="10">
        <f>IF(VCU!$C$9="",0,(SUMIF(VCU!$B$51:$B$193,$J2700,VCU!$E$51:$E$193)*Impacts!$F$17))</f>
        <v>0</v>
      </c>
      <c r="V2700" s="10">
        <f>IF(CAS!$C$7="",0,(SUMIF(CAS!$B$31:$B$167,$J2700,CAS!$E$31:$E$167)*Impacts!$F$18))</f>
        <v>0</v>
      </c>
      <c r="W2700" s="10">
        <f t="shared" si="82"/>
        <v>0</v>
      </c>
      <c r="AK2700" s="10" t="str">
        <f t="array" ref="AK2700">IFERROR(INDEX(SelectedSpecies,SMALL(IF(SelectedSpecies=AK$1,ROW(SelectedSpecies)),ROW(2701:2701)),2),"")</f>
        <v/>
      </c>
      <c r="BE2700" s="10"/>
      <c r="BI2700" s="10"/>
    </row>
    <row r="2701" spans="1:61" ht="21" customHeight="1" x14ac:dyDescent="0.25">
      <c r="A2701" s="10"/>
      <c r="B2701" s="10"/>
      <c r="E2701" s="10"/>
      <c r="G2701" s="10"/>
      <c r="I2701" s="436" t="s">
        <v>4823</v>
      </c>
      <c r="J2701" s="26" t="s">
        <v>4822</v>
      </c>
      <c r="K2701" s="10">
        <v>3</v>
      </c>
      <c r="L2701" s="73">
        <f>IF(Tank1!$C$23="No control",(SUMIF(Tank1!$B$32:$B$49,$J2701,Tank1!$C$32:$C$49)*Impacts!$F$8),0)</f>
        <v>0</v>
      </c>
      <c r="M2701" s="10">
        <f>IF(Tank2!$C$23="No control",(SUMIF(Tank2!$B$32:$B$49,$J2701,Tank2!$C$32:$C$49)*Impacts!$F$9),0)</f>
        <v>0</v>
      </c>
      <c r="N2701" s="10">
        <f>IF(Tank3!$C$23="No control",(SUMIF(Tank3!$B$32:$B$49,$J2701,Tank3!$C$32:$C$49)*Impacts!$F$10),0)</f>
        <v>0</v>
      </c>
      <c r="O2701" s="10">
        <f>IF(Tank4!$C$23="No control",(SUMIF(Tank4!$B$32:$B$49,$J2701,Tank4!$C$32:$C$49)*Impacts!$F$11),0)</f>
        <v>0</v>
      </c>
      <c r="P2701" s="10">
        <f>IF(Tank5!$C$23="No control",(SUMIF(Tank5!$B$32:$B$49,$J2701,Tank5!$C$32:$C$49)*Impacts!$F$12),0)</f>
        <v>0</v>
      </c>
      <c r="Q2701" s="10">
        <f>IFERROR(IF(('Loading-drum,tote'!$C$21)="No control",SUMIF(('Loading-drum,tote'!$B$31:$B$48),$J2701,('Loading-drum,tote'!$D$31:$D$48))*Impacts!$F$13,IF(('Loading-drum,tote'!$C$21)&lt;&gt;"No control",SUMIF(('Loading-drum,tote'!$B$31:$B$48),$J2701,('Loading-drum,tote'!$E$31:$E$48))*Impacts!$F$13,0)),0)</f>
        <v>0</v>
      </c>
      <c r="R2701" s="10">
        <f>IFERROR(IF(('Loading-truck'!$C$21)="No control",SUMIF(('Loading-truck'!$B$31:$B$48),$J2701,('Loading-truck'!$D$31:$D$48))*Impacts!$F$14,IF(('Loading-truck'!$C$21)&lt;&gt;"No control",SUMIF(('Loading-truck'!$B$31:$B$48),$J2701,('Loading-truck'!$E$31:$E$48))*Impacts!$F$14,0)),0)</f>
        <v>0</v>
      </c>
      <c r="S2701" s="10">
        <f>IFERROR(IF(('Loading-rail'!$C$21)="No control",SUMIF(('Loading-rail'!$B$31:$B$48),$J2701,('Loading-rail'!$D$31:$D$48))*Impacts!$F$15,IF(('Loading-rail'!$C$21)&lt;&gt;"No control",SUMIF(('Loading-rail'!$B$31:$B$48),$J2701,('Loading-rail'!$E$31:$E$48))*Impacts!$F$15,0)),0)</f>
        <v>0</v>
      </c>
      <c r="T2701" s="10">
        <f>IF(Flare!$C$7="",0,(SUMIF(Flare!$B$46:$B$185,$J2701,Flare!$E$46:$E$185)*Impacts!$F$16))</f>
        <v>0</v>
      </c>
      <c r="U2701" s="10">
        <f>IF(VCU!$C$9="",0,(SUMIF(VCU!$B$51:$B$193,$J2701,VCU!$E$51:$E$193)*Impacts!$F$17))</f>
        <v>0</v>
      </c>
      <c r="V2701" s="10">
        <f>IF(CAS!$C$7="",0,(SUMIF(CAS!$B$31:$B$167,$J2701,CAS!$E$31:$E$167)*Impacts!$F$18))</f>
        <v>0</v>
      </c>
      <c r="W2701" s="10">
        <f t="shared" si="82"/>
        <v>0</v>
      </c>
      <c r="AK2701" s="10" t="str">
        <f t="array" ref="AK2701">IFERROR(INDEX(SelectedSpecies,SMALL(IF(SelectedSpecies=AK$1,ROW(SelectedSpecies)),ROW(2702:2702)),2),"")</f>
        <v/>
      </c>
      <c r="BE2701" s="10"/>
      <c r="BI2701" s="10"/>
    </row>
    <row r="2702" spans="1:61" ht="21" customHeight="1" x14ac:dyDescent="0.25">
      <c r="A2702" s="10"/>
      <c r="B2702" s="10"/>
      <c r="E2702" s="10"/>
      <c r="G2702" s="10"/>
      <c r="I2702" s="436" t="s">
        <v>4221</v>
      </c>
      <c r="J2702" s="26" t="s">
        <v>4220</v>
      </c>
      <c r="K2702" s="10">
        <v>5</v>
      </c>
      <c r="L2702" s="73">
        <f>IF(Tank1!$C$23="No control",(SUMIF(Tank1!$B$32:$B$49,$J2702,Tank1!$C$32:$C$49)*Impacts!$F$8),0)</f>
        <v>0</v>
      </c>
      <c r="M2702" s="10">
        <f>IF(Tank2!$C$23="No control",(SUMIF(Tank2!$B$32:$B$49,$J2702,Tank2!$C$32:$C$49)*Impacts!$F$9),0)</f>
        <v>0</v>
      </c>
      <c r="N2702" s="10">
        <f>IF(Tank3!$C$23="No control",(SUMIF(Tank3!$B$32:$B$49,$J2702,Tank3!$C$32:$C$49)*Impacts!$F$10),0)</f>
        <v>0</v>
      </c>
      <c r="O2702" s="10">
        <f>IF(Tank4!$C$23="No control",(SUMIF(Tank4!$B$32:$B$49,$J2702,Tank4!$C$32:$C$49)*Impacts!$F$11),0)</f>
        <v>0</v>
      </c>
      <c r="P2702" s="10">
        <f>IF(Tank5!$C$23="No control",(SUMIF(Tank5!$B$32:$B$49,$J2702,Tank5!$C$32:$C$49)*Impacts!$F$12),0)</f>
        <v>0</v>
      </c>
      <c r="Q2702" s="10">
        <f>IFERROR(IF(('Loading-drum,tote'!$C$21)="No control",SUMIF(('Loading-drum,tote'!$B$31:$B$48),$J2702,('Loading-drum,tote'!$D$31:$D$48))*Impacts!$F$13,IF(('Loading-drum,tote'!$C$21)&lt;&gt;"No control",SUMIF(('Loading-drum,tote'!$B$31:$B$48),$J2702,('Loading-drum,tote'!$E$31:$E$48))*Impacts!$F$13,0)),0)</f>
        <v>0</v>
      </c>
      <c r="R2702" s="10">
        <f>IFERROR(IF(('Loading-truck'!$C$21)="No control",SUMIF(('Loading-truck'!$B$31:$B$48),$J2702,('Loading-truck'!$D$31:$D$48))*Impacts!$F$14,IF(('Loading-truck'!$C$21)&lt;&gt;"No control",SUMIF(('Loading-truck'!$B$31:$B$48),$J2702,('Loading-truck'!$E$31:$E$48))*Impacts!$F$14,0)),0)</f>
        <v>0</v>
      </c>
      <c r="S2702" s="10">
        <f>IFERROR(IF(('Loading-rail'!$C$21)="No control",SUMIF(('Loading-rail'!$B$31:$B$48),$J2702,('Loading-rail'!$D$31:$D$48))*Impacts!$F$15,IF(('Loading-rail'!$C$21)&lt;&gt;"No control",SUMIF(('Loading-rail'!$B$31:$B$48),$J2702,('Loading-rail'!$E$31:$E$48))*Impacts!$F$15,0)),0)</f>
        <v>0</v>
      </c>
      <c r="T2702" s="10">
        <f>IF(Flare!$C$7="",0,(SUMIF(Flare!$B$46:$B$185,$J2702,Flare!$E$46:$E$185)*Impacts!$F$16))</f>
        <v>0</v>
      </c>
      <c r="U2702" s="10">
        <f>IF(VCU!$C$9="",0,(SUMIF(VCU!$B$51:$B$193,$J2702,VCU!$E$51:$E$193)*Impacts!$F$17))</f>
        <v>0</v>
      </c>
      <c r="V2702" s="10">
        <f>IF(CAS!$C$7="",0,(SUMIF(CAS!$B$31:$B$167,$J2702,CAS!$E$31:$E$167)*Impacts!$F$18))</f>
        <v>0</v>
      </c>
      <c r="W2702" s="10">
        <f t="shared" si="82"/>
        <v>0</v>
      </c>
      <c r="AK2702" s="10" t="str">
        <f t="array" ref="AK2702">IFERROR(INDEX(SelectedSpecies,SMALL(IF(SelectedSpecies=AK$1,ROW(SelectedSpecies)),ROW(2703:2703)),2),"")</f>
        <v/>
      </c>
      <c r="BE2702" s="10"/>
      <c r="BI2702" s="10"/>
    </row>
    <row r="2703" spans="1:61" ht="21" customHeight="1" x14ac:dyDescent="0.25">
      <c r="A2703" s="10"/>
      <c r="B2703" s="10"/>
      <c r="E2703" s="10"/>
      <c r="G2703" s="10"/>
      <c r="I2703" s="436" t="s">
        <v>3565</v>
      </c>
      <c r="J2703" s="26" t="s">
        <v>3564</v>
      </c>
      <c r="K2703" s="10">
        <v>8.3000000000000007</v>
      </c>
      <c r="L2703" s="73">
        <f>IF(Tank1!$C$23="No control",(SUMIF(Tank1!$B$32:$B$49,$J2703,Tank1!$C$32:$C$49)*Impacts!$F$8),0)</f>
        <v>0</v>
      </c>
      <c r="M2703" s="10">
        <f>IF(Tank2!$C$23="No control",(SUMIF(Tank2!$B$32:$B$49,$J2703,Tank2!$C$32:$C$49)*Impacts!$F$9),0)</f>
        <v>0</v>
      </c>
      <c r="N2703" s="10">
        <f>IF(Tank3!$C$23="No control",(SUMIF(Tank3!$B$32:$B$49,$J2703,Tank3!$C$32:$C$49)*Impacts!$F$10),0)</f>
        <v>0</v>
      </c>
      <c r="O2703" s="10">
        <f>IF(Tank4!$C$23="No control",(SUMIF(Tank4!$B$32:$B$49,$J2703,Tank4!$C$32:$C$49)*Impacts!$F$11),0)</f>
        <v>0</v>
      </c>
      <c r="P2703" s="10">
        <f>IF(Tank5!$C$23="No control",(SUMIF(Tank5!$B$32:$B$49,$J2703,Tank5!$C$32:$C$49)*Impacts!$F$12),0)</f>
        <v>0</v>
      </c>
      <c r="Q2703" s="10">
        <f>IFERROR(IF(('Loading-drum,tote'!$C$21)="No control",SUMIF(('Loading-drum,tote'!$B$31:$B$48),$J2703,('Loading-drum,tote'!$D$31:$D$48))*Impacts!$F$13,IF(('Loading-drum,tote'!$C$21)&lt;&gt;"No control",SUMIF(('Loading-drum,tote'!$B$31:$B$48),$J2703,('Loading-drum,tote'!$E$31:$E$48))*Impacts!$F$13,0)),0)</f>
        <v>0</v>
      </c>
      <c r="R2703" s="10">
        <f>IFERROR(IF(('Loading-truck'!$C$21)="No control",SUMIF(('Loading-truck'!$B$31:$B$48),$J2703,('Loading-truck'!$D$31:$D$48))*Impacts!$F$14,IF(('Loading-truck'!$C$21)&lt;&gt;"No control",SUMIF(('Loading-truck'!$B$31:$B$48),$J2703,('Loading-truck'!$E$31:$E$48))*Impacts!$F$14,0)),0)</f>
        <v>0</v>
      </c>
      <c r="S2703" s="10">
        <f>IFERROR(IF(('Loading-rail'!$C$21)="No control",SUMIF(('Loading-rail'!$B$31:$B$48),$J2703,('Loading-rail'!$D$31:$D$48))*Impacts!$F$15,IF(('Loading-rail'!$C$21)&lt;&gt;"No control",SUMIF(('Loading-rail'!$B$31:$B$48),$J2703,('Loading-rail'!$E$31:$E$48))*Impacts!$F$15,0)),0)</f>
        <v>0</v>
      </c>
      <c r="T2703" s="10">
        <f>IF(Flare!$C$7="",0,(SUMIF(Flare!$B$46:$B$185,$J2703,Flare!$E$46:$E$185)*Impacts!$F$16))</f>
        <v>0</v>
      </c>
      <c r="U2703" s="10">
        <f>IF(VCU!$C$9="",0,(SUMIF(VCU!$B$51:$B$193,$J2703,VCU!$E$51:$E$193)*Impacts!$F$17))</f>
        <v>0</v>
      </c>
      <c r="V2703" s="10">
        <f>IF(CAS!$C$7="",0,(SUMIF(CAS!$B$31:$B$167,$J2703,CAS!$E$31:$E$167)*Impacts!$F$18))</f>
        <v>0</v>
      </c>
      <c r="W2703" s="10">
        <f t="shared" si="82"/>
        <v>0</v>
      </c>
      <c r="AK2703" s="10" t="str">
        <f t="array" ref="AK2703">IFERROR(INDEX(SelectedSpecies,SMALL(IF(SelectedSpecies=AK$1,ROW(SelectedSpecies)),ROW(2704:2704)),2),"")</f>
        <v/>
      </c>
      <c r="BE2703" s="10"/>
      <c r="BI2703" s="10"/>
    </row>
    <row r="2704" spans="1:61" ht="21" customHeight="1" x14ac:dyDescent="0.25">
      <c r="A2704" s="10"/>
      <c r="B2704" s="10"/>
      <c r="E2704" s="10"/>
      <c r="G2704" s="10"/>
      <c r="I2704" s="436" t="s">
        <v>5117</v>
      </c>
      <c r="J2704" s="26" t="s">
        <v>5116</v>
      </c>
      <c r="K2704" s="10">
        <v>2.1</v>
      </c>
      <c r="L2704" s="73">
        <f>IF(Tank1!$C$23="No control",(SUMIF(Tank1!$B$32:$B$49,$J2704,Tank1!$C$32:$C$49)*Impacts!$F$8),0)</f>
        <v>0</v>
      </c>
      <c r="M2704" s="10">
        <f>IF(Tank2!$C$23="No control",(SUMIF(Tank2!$B$32:$B$49,$J2704,Tank2!$C$32:$C$49)*Impacts!$F$9),0)</f>
        <v>0</v>
      </c>
      <c r="N2704" s="10">
        <f>IF(Tank3!$C$23="No control",(SUMIF(Tank3!$B$32:$B$49,$J2704,Tank3!$C$32:$C$49)*Impacts!$F$10),0)</f>
        <v>0</v>
      </c>
      <c r="O2704" s="10">
        <f>IF(Tank4!$C$23="No control",(SUMIF(Tank4!$B$32:$B$49,$J2704,Tank4!$C$32:$C$49)*Impacts!$F$11),0)</f>
        <v>0</v>
      </c>
      <c r="P2704" s="10">
        <f>IF(Tank5!$C$23="No control",(SUMIF(Tank5!$B$32:$B$49,$J2704,Tank5!$C$32:$C$49)*Impacts!$F$12),0)</f>
        <v>0</v>
      </c>
      <c r="Q2704" s="10">
        <f>IFERROR(IF(('Loading-drum,tote'!$C$21)="No control",SUMIF(('Loading-drum,tote'!$B$31:$B$48),$J2704,('Loading-drum,tote'!$D$31:$D$48))*Impacts!$F$13,IF(('Loading-drum,tote'!$C$21)&lt;&gt;"No control",SUMIF(('Loading-drum,tote'!$B$31:$B$48),$J2704,('Loading-drum,tote'!$E$31:$E$48))*Impacts!$F$13,0)),0)</f>
        <v>0</v>
      </c>
      <c r="R2704" s="10">
        <f>IFERROR(IF(('Loading-truck'!$C$21)="No control",SUMIF(('Loading-truck'!$B$31:$B$48),$J2704,('Loading-truck'!$D$31:$D$48))*Impacts!$F$14,IF(('Loading-truck'!$C$21)&lt;&gt;"No control",SUMIF(('Loading-truck'!$B$31:$B$48),$J2704,('Loading-truck'!$E$31:$E$48))*Impacts!$F$14,0)),0)</f>
        <v>0</v>
      </c>
      <c r="S2704" s="10">
        <f>IFERROR(IF(('Loading-rail'!$C$21)="No control",SUMIF(('Loading-rail'!$B$31:$B$48),$J2704,('Loading-rail'!$D$31:$D$48))*Impacts!$F$15,IF(('Loading-rail'!$C$21)&lt;&gt;"No control",SUMIF(('Loading-rail'!$B$31:$B$48),$J2704,('Loading-rail'!$E$31:$E$48))*Impacts!$F$15,0)),0)</f>
        <v>0</v>
      </c>
      <c r="T2704" s="10">
        <f>IF(Flare!$C$7="",0,(SUMIF(Flare!$B$46:$B$185,$J2704,Flare!$E$46:$E$185)*Impacts!$F$16))</f>
        <v>0</v>
      </c>
      <c r="U2704" s="10">
        <f>IF(VCU!$C$9="",0,(SUMIF(VCU!$B$51:$B$193,$J2704,VCU!$E$51:$E$193)*Impacts!$F$17))</f>
        <v>0</v>
      </c>
      <c r="V2704" s="10">
        <f>IF(CAS!$C$7="",0,(SUMIF(CAS!$B$31:$B$167,$J2704,CAS!$E$31:$E$167)*Impacts!$F$18))</f>
        <v>0</v>
      </c>
      <c r="W2704" s="10">
        <f t="shared" si="82"/>
        <v>0</v>
      </c>
      <c r="AK2704" s="10" t="str">
        <f t="array" ref="AK2704">IFERROR(INDEX(SelectedSpecies,SMALL(IF(SelectedSpecies=AK$1,ROW(SelectedSpecies)),ROW(2705:2705)),2),"")</f>
        <v/>
      </c>
      <c r="BE2704" s="10"/>
      <c r="BI2704" s="10"/>
    </row>
    <row r="2705" spans="1:61" ht="21" customHeight="1" x14ac:dyDescent="0.25">
      <c r="A2705" s="10"/>
      <c r="B2705" s="10"/>
      <c r="E2705" s="10"/>
      <c r="G2705" s="10"/>
      <c r="I2705" s="436" t="s">
        <v>6036</v>
      </c>
      <c r="J2705" s="26" t="s">
        <v>6035</v>
      </c>
      <c r="K2705" s="10">
        <v>1</v>
      </c>
      <c r="L2705" s="73">
        <f>IF(Tank1!$C$23="No control",(SUMIF(Tank1!$B$32:$B$49,$J2705,Tank1!$C$32:$C$49)*Impacts!$F$8),0)</f>
        <v>0</v>
      </c>
      <c r="M2705" s="10">
        <f>IF(Tank2!$C$23="No control",(SUMIF(Tank2!$B$32:$B$49,$J2705,Tank2!$C$32:$C$49)*Impacts!$F$9),0)</f>
        <v>0</v>
      </c>
      <c r="N2705" s="10">
        <f>IF(Tank3!$C$23="No control",(SUMIF(Tank3!$B$32:$B$49,$J2705,Tank3!$C$32:$C$49)*Impacts!$F$10),0)</f>
        <v>0</v>
      </c>
      <c r="O2705" s="10">
        <f>IF(Tank4!$C$23="No control",(SUMIF(Tank4!$B$32:$B$49,$J2705,Tank4!$C$32:$C$49)*Impacts!$F$11),0)</f>
        <v>0</v>
      </c>
      <c r="P2705" s="10">
        <f>IF(Tank5!$C$23="No control",(SUMIF(Tank5!$B$32:$B$49,$J2705,Tank5!$C$32:$C$49)*Impacts!$F$12),0)</f>
        <v>0</v>
      </c>
      <c r="Q2705" s="10">
        <f>IFERROR(IF(('Loading-drum,tote'!$C$21)="No control",SUMIF(('Loading-drum,tote'!$B$31:$B$48),$J2705,('Loading-drum,tote'!$D$31:$D$48))*Impacts!$F$13,IF(('Loading-drum,tote'!$C$21)&lt;&gt;"No control",SUMIF(('Loading-drum,tote'!$B$31:$B$48),$J2705,('Loading-drum,tote'!$E$31:$E$48))*Impacts!$F$13,0)),0)</f>
        <v>0</v>
      </c>
      <c r="R2705" s="10">
        <f>IFERROR(IF(('Loading-truck'!$C$21)="No control",SUMIF(('Loading-truck'!$B$31:$B$48),$J2705,('Loading-truck'!$D$31:$D$48))*Impacts!$F$14,IF(('Loading-truck'!$C$21)&lt;&gt;"No control",SUMIF(('Loading-truck'!$B$31:$B$48),$J2705,('Loading-truck'!$E$31:$E$48))*Impacts!$F$14,0)),0)</f>
        <v>0</v>
      </c>
      <c r="S2705" s="10">
        <f>IFERROR(IF(('Loading-rail'!$C$21)="No control",SUMIF(('Loading-rail'!$B$31:$B$48),$J2705,('Loading-rail'!$D$31:$D$48))*Impacts!$F$15,IF(('Loading-rail'!$C$21)&lt;&gt;"No control",SUMIF(('Loading-rail'!$B$31:$B$48),$J2705,('Loading-rail'!$E$31:$E$48))*Impacts!$F$15,0)),0)</f>
        <v>0</v>
      </c>
      <c r="T2705" s="10">
        <f>IF(Flare!$C$7="",0,(SUMIF(Flare!$B$46:$B$185,$J2705,Flare!$E$46:$E$185)*Impacts!$F$16))</f>
        <v>0</v>
      </c>
      <c r="U2705" s="10">
        <f>IF(VCU!$C$9="",0,(SUMIF(VCU!$B$51:$B$193,$J2705,VCU!$E$51:$E$193)*Impacts!$F$17))</f>
        <v>0</v>
      </c>
      <c r="V2705" s="10">
        <f>IF(CAS!$C$7="",0,(SUMIF(CAS!$B$31:$B$167,$J2705,CAS!$E$31:$E$167)*Impacts!$F$18))</f>
        <v>0</v>
      </c>
      <c r="W2705" s="10">
        <f t="shared" si="82"/>
        <v>0</v>
      </c>
      <c r="AK2705" s="10" t="str">
        <f t="array" ref="AK2705">IFERROR(INDEX(SelectedSpecies,SMALL(IF(SelectedSpecies=AK$1,ROW(SelectedSpecies)),ROW(2706:2706)),2),"")</f>
        <v/>
      </c>
      <c r="BE2705" s="10"/>
      <c r="BI2705" s="10"/>
    </row>
    <row r="2706" spans="1:61" ht="21" customHeight="1" x14ac:dyDescent="0.25">
      <c r="A2706" s="10"/>
      <c r="B2706" s="10"/>
      <c r="E2706" s="10"/>
      <c r="G2706" s="10"/>
      <c r="I2706" s="436" t="s">
        <v>1244</v>
      </c>
      <c r="J2706" s="26" t="s">
        <v>1243</v>
      </c>
      <c r="K2706" s="10">
        <v>161</v>
      </c>
      <c r="L2706" s="73">
        <f>IF(Tank1!$C$23="No control",(SUMIF(Tank1!$B$32:$B$49,$J2706,Tank1!$C$32:$C$49)*Impacts!$F$8),0)</f>
        <v>0</v>
      </c>
      <c r="M2706" s="10">
        <f>IF(Tank2!$C$23="No control",(SUMIF(Tank2!$B$32:$B$49,$J2706,Tank2!$C$32:$C$49)*Impacts!$F$9),0)</f>
        <v>0</v>
      </c>
      <c r="N2706" s="10">
        <f>IF(Tank3!$C$23="No control",(SUMIF(Tank3!$B$32:$B$49,$J2706,Tank3!$C$32:$C$49)*Impacts!$F$10),0)</f>
        <v>0</v>
      </c>
      <c r="O2706" s="10">
        <f>IF(Tank4!$C$23="No control",(SUMIF(Tank4!$B$32:$B$49,$J2706,Tank4!$C$32:$C$49)*Impacts!$F$11),0)</f>
        <v>0</v>
      </c>
      <c r="P2706" s="10">
        <f>IF(Tank5!$C$23="No control",(SUMIF(Tank5!$B$32:$B$49,$J2706,Tank5!$C$32:$C$49)*Impacts!$F$12),0)</f>
        <v>0</v>
      </c>
      <c r="Q2706" s="10">
        <f>IFERROR(IF(('Loading-drum,tote'!$C$21)="No control",SUMIF(('Loading-drum,tote'!$B$31:$B$48),$J2706,('Loading-drum,tote'!$D$31:$D$48))*Impacts!$F$13,IF(('Loading-drum,tote'!$C$21)&lt;&gt;"No control",SUMIF(('Loading-drum,tote'!$B$31:$B$48),$J2706,('Loading-drum,tote'!$E$31:$E$48))*Impacts!$F$13,0)),0)</f>
        <v>0</v>
      </c>
      <c r="R2706" s="10">
        <f>IFERROR(IF(('Loading-truck'!$C$21)="No control",SUMIF(('Loading-truck'!$B$31:$B$48),$J2706,('Loading-truck'!$D$31:$D$48))*Impacts!$F$14,IF(('Loading-truck'!$C$21)&lt;&gt;"No control",SUMIF(('Loading-truck'!$B$31:$B$48),$J2706,('Loading-truck'!$E$31:$E$48))*Impacts!$F$14,0)),0)</f>
        <v>0</v>
      </c>
      <c r="S2706" s="10">
        <f>IFERROR(IF(('Loading-rail'!$C$21)="No control",SUMIF(('Loading-rail'!$B$31:$B$48),$J2706,('Loading-rail'!$D$31:$D$48))*Impacts!$F$15,IF(('Loading-rail'!$C$21)&lt;&gt;"No control",SUMIF(('Loading-rail'!$B$31:$B$48),$J2706,('Loading-rail'!$E$31:$E$48))*Impacts!$F$15,0)),0)</f>
        <v>0</v>
      </c>
      <c r="T2706" s="10">
        <f>IF(Flare!$C$7="",0,(SUMIF(Flare!$B$46:$B$185,$J2706,Flare!$E$46:$E$185)*Impacts!$F$16))</f>
        <v>0</v>
      </c>
      <c r="U2706" s="10">
        <f>IF(VCU!$C$9="",0,(SUMIF(VCU!$B$51:$B$193,$J2706,VCU!$E$51:$E$193)*Impacts!$F$17))</f>
        <v>0</v>
      </c>
      <c r="V2706" s="10">
        <f>IF(CAS!$C$7="",0,(SUMIF(CAS!$B$31:$B$167,$J2706,CAS!$E$31:$E$167)*Impacts!$F$18))</f>
        <v>0</v>
      </c>
      <c r="W2706" s="10">
        <f t="shared" si="82"/>
        <v>0</v>
      </c>
      <c r="AK2706" s="10" t="str">
        <f t="array" ref="AK2706">IFERROR(INDEX(SelectedSpecies,SMALL(IF(SelectedSpecies=AK$1,ROW(SelectedSpecies)),ROW(2707:2707)),2),"")</f>
        <v/>
      </c>
      <c r="BE2706" s="10"/>
      <c r="BI2706" s="10"/>
    </row>
    <row r="2707" spans="1:61" ht="21" customHeight="1" x14ac:dyDescent="0.25">
      <c r="A2707" s="10"/>
      <c r="B2707" s="10"/>
      <c r="E2707" s="10"/>
      <c r="G2707" s="10"/>
      <c r="I2707" s="436" t="s">
        <v>7366</v>
      </c>
      <c r="J2707" s="26" t="s">
        <v>7365</v>
      </c>
      <c r="K2707" s="10">
        <v>0.25</v>
      </c>
      <c r="L2707" s="73">
        <f>IF(Tank1!$C$23="No control",(SUMIF(Tank1!$B$32:$B$49,$J2707,Tank1!$C$32:$C$49)*Impacts!$F$8),0)</f>
        <v>0</v>
      </c>
      <c r="M2707" s="10">
        <f>IF(Tank2!$C$23="No control",(SUMIF(Tank2!$B$32:$B$49,$J2707,Tank2!$C$32:$C$49)*Impacts!$F$9),0)</f>
        <v>0</v>
      </c>
      <c r="N2707" s="10">
        <f>IF(Tank3!$C$23="No control",(SUMIF(Tank3!$B$32:$B$49,$J2707,Tank3!$C$32:$C$49)*Impacts!$F$10),0)</f>
        <v>0</v>
      </c>
      <c r="O2707" s="10">
        <f>IF(Tank4!$C$23="No control",(SUMIF(Tank4!$B$32:$B$49,$J2707,Tank4!$C$32:$C$49)*Impacts!$F$11),0)</f>
        <v>0</v>
      </c>
      <c r="P2707" s="10">
        <f>IF(Tank5!$C$23="No control",(SUMIF(Tank5!$B$32:$B$49,$J2707,Tank5!$C$32:$C$49)*Impacts!$F$12),0)</f>
        <v>0</v>
      </c>
      <c r="Q2707" s="10">
        <f>IFERROR(IF(('Loading-drum,tote'!$C$21)="No control",SUMIF(('Loading-drum,tote'!$B$31:$B$48),$J2707,('Loading-drum,tote'!$D$31:$D$48))*Impacts!$F$13,IF(('Loading-drum,tote'!$C$21)&lt;&gt;"No control",SUMIF(('Loading-drum,tote'!$B$31:$B$48),$J2707,('Loading-drum,tote'!$E$31:$E$48))*Impacts!$F$13,0)),0)</f>
        <v>0</v>
      </c>
      <c r="R2707" s="10">
        <f>IFERROR(IF(('Loading-truck'!$C$21)="No control",SUMIF(('Loading-truck'!$B$31:$B$48),$J2707,('Loading-truck'!$D$31:$D$48))*Impacts!$F$14,IF(('Loading-truck'!$C$21)&lt;&gt;"No control",SUMIF(('Loading-truck'!$B$31:$B$48),$J2707,('Loading-truck'!$E$31:$E$48))*Impacts!$F$14,0)),0)</f>
        <v>0</v>
      </c>
      <c r="S2707" s="10">
        <f>IFERROR(IF(('Loading-rail'!$C$21)="No control",SUMIF(('Loading-rail'!$B$31:$B$48),$J2707,('Loading-rail'!$D$31:$D$48))*Impacts!$F$15,IF(('Loading-rail'!$C$21)&lt;&gt;"No control",SUMIF(('Loading-rail'!$B$31:$B$48),$J2707,('Loading-rail'!$E$31:$E$48))*Impacts!$F$15,0)),0)</f>
        <v>0</v>
      </c>
      <c r="T2707" s="10">
        <f>IF(Flare!$C$7="",0,(SUMIF(Flare!$B$46:$B$185,$J2707,Flare!$E$46:$E$185)*Impacts!$F$16))</f>
        <v>0</v>
      </c>
      <c r="U2707" s="10">
        <f>IF(VCU!$C$9="",0,(SUMIF(VCU!$B$51:$B$193,$J2707,VCU!$E$51:$E$193)*Impacts!$F$17))</f>
        <v>0</v>
      </c>
      <c r="V2707" s="10">
        <f>IF(CAS!$C$7="",0,(SUMIF(CAS!$B$31:$B$167,$J2707,CAS!$E$31:$E$167)*Impacts!$F$18))</f>
        <v>0</v>
      </c>
      <c r="W2707" s="10">
        <f t="shared" si="82"/>
        <v>0</v>
      </c>
      <c r="AK2707" s="10" t="str">
        <f t="array" ref="AK2707">IFERROR(INDEX(SelectedSpecies,SMALL(IF(SelectedSpecies=AK$1,ROW(SelectedSpecies)),ROW(2708:2708)),2),"")</f>
        <v/>
      </c>
      <c r="BE2707" s="10"/>
      <c r="BI2707" s="10"/>
    </row>
    <row r="2708" spans="1:61" ht="21" customHeight="1" x14ac:dyDescent="0.25">
      <c r="A2708" s="10"/>
      <c r="B2708" s="10"/>
      <c r="E2708" s="10"/>
      <c r="G2708" s="10"/>
      <c r="I2708" s="436" t="s">
        <v>1470</v>
      </c>
      <c r="J2708" s="26" t="s">
        <v>1469</v>
      </c>
      <c r="K2708" s="10">
        <v>30</v>
      </c>
      <c r="L2708" s="73">
        <f>IF(Tank1!$C$23="No control",(SUMIF(Tank1!$B$32:$B$49,$J2708,Tank1!$C$32:$C$49)*Impacts!$F$8),0)</f>
        <v>0</v>
      </c>
      <c r="M2708" s="10">
        <f>IF(Tank2!$C$23="No control",(SUMIF(Tank2!$B$32:$B$49,$J2708,Tank2!$C$32:$C$49)*Impacts!$F$9),0)</f>
        <v>0</v>
      </c>
      <c r="N2708" s="10">
        <f>IF(Tank3!$C$23="No control",(SUMIF(Tank3!$B$32:$B$49,$J2708,Tank3!$C$32:$C$49)*Impacts!$F$10),0)</f>
        <v>0</v>
      </c>
      <c r="O2708" s="10">
        <f>IF(Tank4!$C$23="No control",(SUMIF(Tank4!$B$32:$B$49,$J2708,Tank4!$C$32:$C$49)*Impacts!$F$11),0)</f>
        <v>0</v>
      </c>
      <c r="P2708" s="10">
        <f>IF(Tank5!$C$23="No control",(SUMIF(Tank5!$B$32:$B$49,$J2708,Tank5!$C$32:$C$49)*Impacts!$F$12),0)</f>
        <v>0</v>
      </c>
      <c r="Q2708" s="10">
        <f>IFERROR(IF(('Loading-drum,tote'!$C$21)="No control",SUMIF(('Loading-drum,tote'!$B$31:$B$48),$J2708,('Loading-drum,tote'!$D$31:$D$48))*Impacts!$F$13,IF(('Loading-drum,tote'!$C$21)&lt;&gt;"No control",SUMIF(('Loading-drum,tote'!$B$31:$B$48),$J2708,('Loading-drum,tote'!$E$31:$E$48))*Impacts!$F$13,0)),0)</f>
        <v>0</v>
      </c>
      <c r="R2708" s="10">
        <f>IFERROR(IF(('Loading-truck'!$C$21)="No control",SUMIF(('Loading-truck'!$B$31:$B$48),$J2708,('Loading-truck'!$D$31:$D$48))*Impacts!$F$14,IF(('Loading-truck'!$C$21)&lt;&gt;"No control",SUMIF(('Loading-truck'!$B$31:$B$48),$J2708,('Loading-truck'!$E$31:$E$48))*Impacts!$F$14,0)),0)</f>
        <v>0</v>
      </c>
      <c r="S2708" s="10">
        <f>IFERROR(IF(('Loading-rail'!$C$21)="No control",SUMIF(('Loading-rail'!$B$31:$B$48),$J2708,('Loading-rail'!$D$31:$D$48))*Impacts!$F$15,IF(('Loading-rail'!$C$21)&lt;&gt;"No control",SUMIF(('Loading-rail'!$B$31:$B$48),$J2708,('Loading-rail'!$E$31:$E$48))*Impacts!$F$15,0)),0)</f>
        <v>0</v>
      </c>
      <c r="T2708" s="10">
        <f>IF(Flare!$C$7="",0,(SUMIF(Flare!$B$46:$B$185,$J2708,Flare!$E$46:$E$185)*Impacts!$F$16))</f>
        <v>0</v>
      </c>
      <c r="U2708" s="10">
        <f>IF(VCU!$C$9="",0,(SUMIF(VCU!$B$51:$B$193,$J2708,VCU!$E$51:$E$193)*Impacts!$F$17))</f>
        <v>0</v>
      </c>
      <c r="V2708" s="10">
        <f>IF(CAS!$C$7="",0,(SUMIF(CAS!$B$31:$B$167,$J2708,CAS!$E$31:$E$167)*Impacts!$F$18))</f>
        <v>0</v>
      </c>
      <c r="W2708" s="10">
        <f t="shared" si="82"/>
        <v>0</v>
      </c>
      <c r="AK2708" s="10" t="str">
        <f t="array" ref="AK2708">IFERROR(INDEX(SelectedSpecies,SMALL(IF(SelectedSpecies=AK$1,ROW(SelectedSpecies)),ROW(2709:2709)),2),"")</f>
        <v/>
      </c>
      <c r="BE2708" s="10"/>
      <c r="BI2708" s="10"/>
    </row>
    <row r="2709" spans="1:61" ht="21" customHeight="1" x14ac:dyDescent="0.25">
      <c r="A2709" s="10"/>
      <c r="B2709" s="10"/>
      <c r="E2709" s="10"/>
      <c r="G2709" s="10"/>
      <c r="I2709" s="436" t="s">
        <v>8020</v>
      </c>
      <c r="J2709" s="26" t="s">
        <v>8019</v>
      </c>
      <c r="K2709" s="10">
        <v>2.3000000000000003E-2</v>
      </c>
      <c r="L2709" s="73">
        <f>IF(Tank1!$C$23="No control",(SUMIF(Tank1!$B$32:$B$49,$J2709,Tank1!$C$32:$C$49)*Impacts!$F$8),0)</f>
        <v>0</v>
      </c>
      <c r="M2709" s="10">
        <f>IF(Tank2!$C$23="No control",(SUMIF(Tank2!$B$32:$B$49,$J2709,Tank2!$C$32:$C$49)*Impacts!$F$9),0)</f>
        <v>0</v>
      </c>
      <c r="N2709" s="10">
        <f>IF(Tank3!$C$23="No control",(SUMIF(Tank3!$B$32:$B$49,$J2709,Tank3!$C$32:$C$49)*Impacts!$F$10),0)</f>
        <v>0</v>
      </c>
      <c r="O2709" s="10">
        <f>IF(Tank4!$C$23="No control",(SUMIF(Tank4!$B$32:$B$49,$J2709,Tank4!$C$32:$C$49)*Impacts!$F$11),0)</f>
        <v>0</v>
      </c>
      <c r="P2709" s="10">
        <f>IF(Tank5!$C$23="No control",(SUMIF(Tank5!$B$32:$B$49,$J2709,Tank5!$C$32:$C$49)*Impacts!$F$12),0)</f>
        <v>0</v>
      </c>
      <c r="Q2709" s="10">
        <f>IFERROR(IF(('Loading-drum,tote'!$C$21)="No control",SUMIF(('Loading-drum,tote'!$B$31:$B$48),$J2709,('Loading-drum,tote'!$D$31:$D$48))*Impacts!$F$13,IF(('Loading-drum,tote'!$C$21)&lt;&gt;"No control",SUMIF(('Loading-drum,tote'!$B$31:$B$48),$J2709,('Loading-drum,tote'!$E$31:$E$48))*Impacts!$F$13,0)),0)</f>
        <v>0</v>
      </c>
      <c r="R2709" s="10">
        <f>IFERROR(IF(('Loading-truck'!$C$21)="No control",SUMIF(('Loading-truck'!$B$31:$B$48),$J2709,('Loading-truck'!$D$31:$D$48))*Impacts!$F$14,IF(('Loading-truck'!$C$21)&lt;&gt;"No control",SUMIF(('Loading-truck'!$B$31:$B$48),$J2709,('Loading-truck'!$E$31:$E$48))*Impacts!$F$14,0)),0)</f>
        <v>0</v>
      </c>
      <c r="S2709" s="10">
        <f>IFERROR(IF(('Loading-rail'!$C$21)="No control",SUMIF(('Loading-rail'!$B$31:$B$48),$J2709,('Loading-rail'!$D$31:$D$48))*Impacts!$F$15,IF(('Loading-rail'!$C$21)&lt;&gt;"No control",SUMIF(('Loading-rail'!$B$31:$B$48),$J2709,('Loading-rail'!$E$31:$E$48))*Impacts!$F$15,0)),0)</f>
        <v>0</v>
      </c>
      <c r="T2709" s="10">
        <f>IF(Flare!$C$7="",0,(SUMIF(Flare!$B$46:$B$185,$J2709,Flare!$E$46:$E$185)*Impacts!$F$16))</f>
        <v>0</v>
      </c>
      <c r="U2709" s="10">
        <f>IF(VCU!$C$9="",0,(SUMIF(VCU!$B$51:$B$193,$J2709,VCU!$E$51:$E$193)*Impacts!$F$17))</f>
        <v>0</v>
      </c>
      <c r="V2709" s="10">
        <f>IF(CAS!$C$7="",0,(SUMIF(CAS!$B$31:$B$167,$J2709,CAS!$E$31:$E$167)*Impacts!$F$18))</f>
        <v>0</v>
      </c>
      <c r="W2709" s="10">
        <f t="shared" si="82"/>
        <v>0</v>
      </c>
      <c r="AK2709" s="10" t="str">
        <f t="array" ref="AK2709">IFERROR(INDEX(SelectedSpecies,SMALL(IF(SelectedSpecies=AK$1,ROW(SelectedSpecies)),ROW(2710:2710)),2),"")</f>
        <v/>
      </c>
      <c r="BE2709" s="10"/>
      <c r="BI2709" s="10"/>
    </row>
    <row r="2710" spans="1:61" ht="21" customHeight="1" x14ac:dyDescent="0.25">
      <c r="A2710" s="10"/>
      <c r="B2710" s="10"/>
      <c r="E2710" s="10"/>
      <c r="G2710" s="10"/>
      <c r="I2710" s="436" t="s">
        <v>720</v>
      </c>
      <c r="J2710" s="26" t="s">
        <v>719</v>
      </c>
      <c r="K2710" s="10">
        <v>57</v>
      </c>
      <c r="L2710" s="73">
        <f>IF(Tank1!$C$23="No control",(SUMIF(Tank1!$B$32:$B$49,$J2710,Tank1!$C$32:$C$49)*Impacts!$F$8),0)</f>
        <v>0</v>
      </c>
      <c r="M2710" s="10">
        <f>IF(Tank2!$C$23="No control",(SUMIF(Tank2!$B$32:$B$49,$J2710,Tank2!$C$32:$C$49)*Impacts!$F$9),0)</f>
        <v>0</v>
      </c>
      <c r="N2710" s="10">
        <f>IF(Tank3!$C$23="No control",(SUMIF(Tank3!$B$32:$B$49,$J2710,Tank3!$C$32:$C$49)*Impacts!$F$10),0)</f>
        <v>0</v>
      </c>
      <c r="O2710" s="10">
        <f>IF(Tank4!$C$23="No control",(SUMIF(Tank4!$B$32:$B$49,$J2710,Tank4!$C$32:$C$49)*Impacts!$F$11),0)</f>
        <v>0</v>
      </c>
      <c r="P2710" s="10">
        <f>IF(Tank5!$C$23="No control",(SUMIF(Tank5!$B$32:$B$49,$J2710,Tank5!$C$32:$C$49)*Impacts!$F$12),0)</f>
        <v>0</v>
      </c>
      <c r="Q2710" s="10">
        <f>IFERROR(IF(('Loading-drum,tote'!$C$21)="No control",SUMIF(('Loading-drum,tote'!$B$31:$B$48),$J2710,('Loading-drum,tote'!$D$31:$D$48))*Impacts!$F$13,IF(('Loading-drum,tote'!$C$21)&lt;&gt;"No control",SUMIF(('Loading-drum,tote'!$B$31:$B$48),$J2710,('Loading-drum,tote'!$E$31:$E$48))*Impacts!$F$13,0)),0)</f>
        <v>0</v>
      </c>
      <c r="R2710" s="10">
        <f>IFERROR(IF(('Loading-truck'!$C$21)="No control",SUMIF(('Loading-truck'!$B$31:$B$48),$J2710,('Loading-truck'!$D$31:$D$48))*Impacts!$F$14,IF(('Loading-truck'!$C$21)&lt;&gt;"No control",SUMIF(('Loading-truck'!$B$31:$B$48),$J2710,('Loading-truck'!$E$31:$E$48))*Impacts!$F$14,0)),0)</f>
        <v>0</v>
      </c>
      <c r="S2710" s="10">
        <f>IFERROR(IF(('Loading-rail'!$C$21)="No control",SUMIF(('Loading-rail'!$B$31:$B$48),$J2710,('Loading-rail'!$D$31:$D$48))*Impacts!$F$15,IF(('Loading-rail'!$C$21)&lt;&gt;"No control",SUMIF(('Loading-rail'!$B$31:$B$48),$J2710,('Loading-rail'!$E$31:$E$48))*Impacts!$F$15,0)),0)</f>
        <v>0</v>
      </c>
      <c r="T2710" s="10">
        <f>IF(Flare!$C$7="",0,(SUMIF(Flare!$B$46:$B$185,$J2710,Flare!$E$46:$E$185)*Impacts!$F$16))</f>
        <v>0</v>
      </c>
      <c r="U2710" s="10">
        <f>IF(VCU!$C$9="",0,(SUMIF(VCU!$B$51:$B$193,$J2710,VCU!$E$51:$E$193)*Impacts!$F$17))</f>
        <v>0</v>
      </c>
      <c r="V2710" s="10">
        <f>IF(CAS!$C$7="",0,(SUMIF(CAS!$B$31:$B$167,$J2710,CAS!$E$31:$E$167)*Impacts!$F$18))</f>
        <v>0</v>
      </c>
      <c r="W2710" s="10">
        <f t="shared" si="82"/>
        <v>0</v>
      </c>
      <c r="AK2710" s="10" t="str">
        <f t="array" ref="AK2710">IFERROR(INDEX(SelectedSpecies,SMALL(IF(SelectedSpecies=AK$1,ROW(SelectedSpecies)),ROW(2711:2711)),2),"")</f>
        <v/>
      </c>
      <c r="BE2710" s="10"/>
      <c r="BI2710" s="10"/>
    </row>
    <row r="2711" spans="1:61" ht="21" customHeight="1" x14ac:dyDescent="0.25">
      <c r="A2711" s="10"/>
      <c r="B2711" s="10"/>
      <c r="E2711" s="10"/>
      <c r="G2711" s="10"/>
      <c r="I2711" s="436" t="s">
        <v>1472</v>
      </c>
      <c r="J2711" s="26" t="s">
        <v>1471</v>
      </c>
      <c r="K2711" s="10">
        <v>30</v>
      </c>
      <c r="L2711" s="73">
        <f>IF(Tank1!$C$23="No control",(SUMIF(Tank1!$B$32:$B$49,$J2711,Tank1!$C$32:$C$49)*Impacts!$F$8),0)</f>
        <v>0</v>
      </c>
      <c r="M2711" s="10">
        <f>IF(Tank2!$C$23="No control",(SUMIF(Tank2!$B$32:$B$49,$J2711,Tank2!$C$32:$C$49)*Impacts!$F$9),0)</f>
        <v>0</v>
      </c>
      <c r="N2711" s="10">
        <f>IF(Tank3!$C$23="No control",(SUMIF(Tank3!$B$32:$B$49,$J2711,Tank3!$C$32:$C$49)*Impacts!$F$10),0)</f>
        <v>0</v>
      </c>
      <c r="O2711" s="10">
        <f>IF(Tank4!$C$23="No control",(SUMIF(Tank4!$B$32:$B$49,$J2711,Tank4!$C$32:$C$49)*Impacts!$F$11),0)</f>
        <v>0</v>
      </c>
      <c r="P2711" s="10">
        <f>IF(Tank5!$C$23="No control",(SUMIF(Tank5!$B$32:$B$49,$J2711,Tank5!$C$32:$C$49)*Impacts!$F$12),0)</f>
        <v>0</v>
      </c>
      <c r="Q2711" s="10">
        <f>IFERROR(IF(('Loading-drum,tote'!$C$21)="No control",SUMIF(('Loading-drum,tote'!$B$31:$B$48),$J2711,('Loading-drum,tote'!$D$31:$D$48))*Impacts!$F$13,IF(('Loading-drum,tote'!$C$21)&lt;&gt;"No control",SUMIF(('Loading-drum,tote'!$B$31:$B$48),$J2711,('Loading-drum,tote'!$E$31:$E$48))*Impacts!$F$13,0)),0)</f>
        <v>0</v>
      </c>
      <c r="R2711" s="10">
        <f>IFERROR(IF(('Loading-truck'!$C$21)="No control",SUMIF(('Loading-truck'!$B$31:$B$48),$J2711,('Loading-truck'!$D$31:$D$48))*Impacts!$F$14,IF(('Loading-truck'!$C$21)&lt;&gt;"No control",SUMIF(('Loading-truck'!$B$31:$B$48),$J2711,('Loading-truck'!$E$31:$E$48))*Impacts!$F$14,0)),0)</f>
        <v>0</v>
      </c>
      <c r="S2711" s="10">
        <f>IFERROR(IF(('Loading-rail'!$C$21)="No control",SUMIF(('Loading-rail'!$B$31:$B$48),$J2711,('Loading-rail'!$D$31:$D$48))*Impacts!$F$15,IF(('Loading-rail'!$C$21)&lt;&gt;"No control",SUMIF(('Loading-rail'!$B$31:$B$48),$J2711,('Loading-rail'!$E$31:$E$48))*Impacts!$F$15,0)),0)</f>
        <v>0</v>
      </c>
      <c r="T2711" s="10">
        <f>IF(Flare!$C$7="",0,(SUMIF(Flare!$B$46:$B$185,$J2711,Flare!$E$46:$E$185)*Impacts!$F$16))</f>
        <v>0</v>
      </c>
      <c r="U2711" s="10">
        <f>IF(VCU!$C$9="",0,(SUMIF(VCU!$B$51:$B$193,$J2711,VCU!$E$51:$E$193)*Impacts!$F$17))</f>
        <v>0</v>
      </c>
      <c r="V2711" s="10">
        <f>IF(CAS!$C$7="",0,(SUMIF(CAS!$B$31:$B$167,$J2711,CAS!$E$31:$E$167)*Impacts!$F$18))</f>
        <v>0</v>
      </c>
      <c r="W2711" s="10">
        <f t="shared" si="82"/>
        <v>0</v>
      </c>
      <c r="AK2711" s="10" t="str">
        <f t="array" ref="AK2711">IFERROR(INDEX(SelectedSpecies,SMALL(IF(SelectedSpecies=AK$1,ROW(SelectedSpecies)),ROW(2712:2712)),2),"")</f>
        <v/>
      </c>
      <c r="BE2711" s="10"/>
      <c r="BI2711" s="10"/>
    </row>
    <row r="2712" spans="1:61" ht="21" customHeight="1" x14ac:dyDescent="0.25">
      <c r="A2712" s="10"/>
      <c r="B2712" s="10"/>
      <c r="E2712" s="10"/>
      <c r="G2712" s="10"/>
      <c r="I2712" s="436" t="s">
        <v>8198</v>
      </c>
      <c r="J2712" s="26" t="s">
        <v>8197</v>
      </c>
      <c r="K2712" s="10">
        <v>1.0000000000000002E-2</v>
      </c>
      <c r="L2712" s="73">
        <f>IF(Tank1!$C$23="No control",(SUMIF(Tank1!$B$32:$B$49,$J2712,Tank1!$C$32:$C$49)*Impacts!$F$8),0)</f>
        <v>0</v>
      </c>
      <c r="M2712" s="10">
        <f>IF(Tank2!$C$23="No control",(SUMIF(Tank2!$B$32:$B$49,$J2712,Tank2!$C$32:$C$49)*Impacts!$F$9),0)</f>
        <v>0</v>
      </c>
      <c r="N2712" s="10">
        <f>IF(Tank3!$C$23="No control",(SUMIF(Tank3!$B$32:$B$49,$J2712,Tank3!$C$32:$C$49)*Impacts!$F$10),0)</f>
        <v>0</v>
      </c>
      <c r="O2712" s="10">
        <f>IF(Tank4!$C$23="No control",(SUMIF(Tank4!$B$32:$B$49,$J2712,Tank4!$C$32:$C$49)*Impacts!$F$11),0)</f>
        <v>0</v>
      </c>
      <c r="P2712" s="10">
        <f>IF(Tank5!$C$23="No control",(SUMIF(Tank5!$B$32:$B$49,$J2712,Tank5!$C$32:$C$49)*Impacts!$F$12),0)</f>
        <v>0</v>
      </c>
      <c r="Q2712" s="10">
        <f>IFERROR(IF(('Loading-drum,tote'!$C$21)="No control",SUMIF(('Loading-drum,tote'!$B$31:$B$48),$J2712,('Loading-drum,tote'!$D$31:$D$48))*Impacts!$F$13,IF(('Loading-drum,tote'!$C$21)&lt;&gt;"No control",SUMIF(('Loading-drum,tote'!$B$31:$B$48),$J2712,('Loading-drum,tote'!$E$31:$E$48))*Impacts!$F$13,0)),0)</f>
        <v>0</v>
      </c>
      <c r="R2712" s="10">
        <f>IFERROR(IF(('Loading-truck'!$C$21)="No control",SUMIF(('Loading-truck'!$B$31:$B$48),$J2712,('Loading-truck'!$D$31:$D$48))*Impacts!$F$14,IF(('Loading-truck'!$C$21)&lt;&gt;"No control",SUMIF(('Loading-truck'!$B$31:$B$48),$J2712,('Loading-truck'!$E$31:$E$48))*Impacts!$F$14,0)),0)</f>
        <v>0</v>
      </c>
      <c r="S2712" s="10">
        <f>IFERROR(IF(('Loading-rail'!$C$21)="No control",SUMIF(('Loading-rail'!$B$31:$B$48),$J2712,('Loading-rail'!$D$31:$D$48))*Impacts!$F$15,IF(('Loading-rail'!$C$21)&lt;&gt;"No control",SUMIF(('Loading-rail'!$B$31:$B$48),$J2712,('Loading-rail'!$E$31:$E$48))*Impacts!$F$15,0)),0)</f>
        <v>0</v>
      </c>
      <c r="T2712" s="10">
        <f>IF(Flare!$C$7="",0,(SUMIF(Flare!$B$46:$B$185,$J2712,Flare!$E$46:$E$185)*Impacts!$F$16))</f>
        <v>0</v>
      </c>
      <c r="U2712" s="10">
        <f>IF(VCU!$C$9="",0,(SUMIF(VCU!$B$51:$B$193,$J2712,VCU!$E$51:$E$193)*Impacts!$F$17))</f>
        <v>0</v>
      </c>
      <c r="V2712" s="10">
        <f>IF(CAS!$C$7="",0,(SUMIF(CAS!$B$31:$B$167,$J2712,CAS!$E$31:$E$167)*Impacts!$F$18))</f>
        <v>0</v>
      </c>
      <c r="W2712" s="10">
        <f t="shared" si="82"/>
        <v>0</v>
      </c>
      <c r="AK2712" s="10" t="str">
        <f t="array" ref="AK2712">IFERROR(INDEX(SelectedSpecies,SMALL(IF(SelectedSpecies=AK$1,ROW(SelectedSpecies)),ROW(2713:2713)),2),"")</f>
        <v/>
      </c>
      <c r="BE2712" s="10"/>
      <c r="BI2712" s="10"/>
    </row>
    <row r="2713" spans="1:61" ht="21" customHeight="1" x14ac:dyDescent="0.25">
      <c r="A2713" s="10"/>
      <c r="B2713" s="10"/>
      <c r="E2713" s="10"/>
      <c r="G2713" s="10"/>
      <c r="I2713" s="436" t="s">
        <v>7768</v>
      </c>
      <c r="J2713" s="26" t="s">
        <v>7767</v>
      </c>
      <c r="K2713" s="10">
        <v>0.1</v>
      </c>
      <c r="L2713" s="73">
        <f>IF(Tank1!$C$23="No control",(SUMIF(Tank1!$B$32:$B$49,$J2713,Tank1!$C$32:$C$49)*Impacts!$F$8),0)</f>
        <v>0</v>
      </c>
      <c r="M2713" s="10">
        <f>IF(Tank2!$C$23="No control",(SUMIF(Tank2!$B$32:$B$49,$J2713,Tank2!$C$32:$C$49)*Impacts!$F$9),0)</f>
        <v>0</v>
      </c>
      <c r="N2713" s="10">
        <f>IF(Tank3!$C$23="No control",(SUMIF(Tank3!$B$32:$B$49,$J2713,Tank3!$C$32:$C$49)*Impacts!$F$10),0)</f>
        <v>0</v>
      </c>
      <c r="O2713" s="10">
        <f>IF(Tank4!$C$23="No control",(SUMIF(Tank4!$B$32:$B$49,$J2713,Tank4!$C$32:$C$49)*Impacts!$F$11),0)</f>
        <v>0</v>
      </c>
      <c r="P2713" s="10">
        <f>IF(Tank5!$C$23="No control",(SUMIF(Tank5!$B$32:$B$49,$J2713,Tank5!$C$32:$C$49)*Impacts!$F$12),0)</f>
        <v>0</v>
      </c>
      <c r="Q2713" s="10">
        <f>IFERROR(IF(('Loading-drum,tote'!$C$21)="No control",SUMIF(('Loading-drum,tote'!$B$31:$B$48),$J2713,('Loading-drum,tote'!$D$31:$D$48))*Impacts!$F$13,IF(('Loading-drum,tote'!$C$21)&lt;&gt;"No control",SUMIF(('Loading-drum,tote'!$B$31:$B$48),$J2713,('Loading-drum,tote'!$E$31:$E$48))*Impacts!$F$13,0)),0)</f>
        <v>0</v>
      </c>
      <c r="R2713" s="10">
        <f>IFERROR(IF(('Loading-truck'!$C$21)="No control",SUMIF(('Loading-truck'!$B$31:$B$48),$J2713,('Loading-truck'!$D$31:$D$48))*Impacts!$F$14,IF(('Loading-truck'!$C$21)&lt;&gt;"No control",SUMIF(('Loading-truck'!$B$31:$B$48),$J2713,('Loading-truck'!$E$31:$E$48))*Impacts!$F$14,0)),0)</f>
        <v>0</v>
      </c>
      <c r="S2713" s="10">
        <f>IFERROR(IF(('Loading-rail'!$C$21)="No control",SUMIF(('Loading-rail'!$B$31:$B$48),$J2713,('Loading-rail'!$D$31:$D$48))*Impacts!$F$15,IF(('Loading-rail'!$C$21)&lt;&gt;"No control",SUMIF(('Loading-rail'!$B$31:$B$48),$J2713,('Loading-rail'!$E$31:$E$48))*Impacts!$F$15,0)),0)</f>
        <v>0</v>
      </c>
      <c r="T2713" s="10">
        <f>IF(Flare!$C$7="",0,(SUMIF(Flare!$B$46:$B$185,$J2713,Flare!$E$46:$E$185)*Impacts!$F$16))</f>
        <v>0</v>
      </c>
      <c r="U2713" s="10">
        <f>IF(VCU!$C$9="",0,(SUMIF(VCU!$B$51:$B$193,$J2713,VCU!$E$51:$E$193)*Impacts!$F$17))</f>
        <v>0</v>
      </c>
      <c r="V2713" s="10">
        <f>IF(CAS!$C$7="",0,(SUMIF(CAS!$B$31:$B$167,$J2713,CAS!$E$31:$E$167)*Impacts!$F$18))</f>
        <v>0</v>
      </c>
      <c r="W2713" s="10">
        <f t="shared" si="82"/>
        <v>0</v>
      </c>
      <c r="AK2713" s="10" t="str">
        <f t="array" ref="AK2713">IFERROR(INDEX(SelectedSpecies,SMALL(IF(SelectedSpecies=AK$1,ROW(SelectedSpecies)),ROW(2714:2714)),2),"")</f>
        <v/>
      </c>
      <c r="BE2713" s="10"/>
      <c r="BI2713" s="10"/>
    </row>
    <row r="2714" spans="1:61" ht="21" customHeight="1" x14ac:dyDescent="0.25">
      <c r="A2714" s="10"/>
      <c r="B2714" s="10"/>
      <c r="E2714" s="10"/>
      <c r="G2714" s="10"/>
      <c r="I2714" s="436" t="s">
        <v>3013</v>
      </c>
      <c r="J2714" s="26" t="s">
        <v>3012</v>
      </c>
      <c r="K2714" s="10">
        <v>10</v>
      </c>
      <c r="L2714" s="73">
        <f>IF(Tank1!$C$23="No control",(SUMIF(Tank1!$B$32:$B$49,$J2714,Tank1!$C$32:$C$49)*Impacts!$F$8),0)</f>
        <v>0</v>
      </c>
      <c r="M2714" s="10">
        <f>IF(Tank2!$C$23="No control",(SUMIF(Tank2!$B$32:$B$49,$J2714,Tank2!$C$32:$C$49)*Impacts!$F$9),0)</f>
        <v>0</v>
      </c>
      <c r="N2714" s="10">
        <f>IF(Tank3!$C$23="No control",(SUMIF(Tank3!$B$32:$B$49,$J2714,Tank3!$C$32:$C$49)*Impacts!$F$10),0)</f>
        <v>0</v>
      </c>
      <c r="O2714" s="10">
        <f>IF(Tank4!$C$23="No control",(SUMIF(Tank4!$B$32:$B$49,$J2714,Tank4!$C$32:$C$49)*Impacts!$F$11),0)</f>
        <v>0</v>
      </c>
      <c r="P2714" s="10">
        <f>IF(Tank5!$C$23="No control",(SUMIF(Tank5!$B$32:$B$49,$J2714,Tank5!$C$32:$C$49)*Impacts!$F$12),0)</f>
        <v>0</v>
      </c>
      <c r="Q2714" s="10">
        <f>IFERROR(IF(('Loading-drum,tote'!$C$21)="No control",SUMIF(('Loading-drum,tote'!$B$31:$B$48),$J2714,('Loading-drum,tote'!$D$31:$D$48))*Impacts!$F$13,IF(('Loading-drum,tote'!$C$21)&lt;&gt;"No control",SUMIF(('Loading-drum,tote'!$B$31:$B$48),$J2714,('Loading-drum,tote'!$E$31:$E$48))*Impacts!$F$13,0)),0)</f>
        <v>0</v>
      </c>
      <c r="R2714" s="10">
        <f>IFERROR(IF(('Loading-truck'!$C$21)="No control",SUMIF(('Loading-truck'!$B$31:$B$48),$J2714,('Loading-truck'!$D$31:$D$48))*Impacts!$F$14,IF(('Loading-truck'!$C$21)&lt;&gt;"No control",SUMIF(('Loading-truck'!$B$31:$B$48),$J2714,('Loading-truck'!$E$31:$E$48))*Impacts!$F$14,0)),0)</f>
        <v>0</v>
      </c>
      <c r="S2714" s="10">
        <f>IFERROR(IF(('Loading-rail'!$C$21)="No control",SUMIF(('Loading-rail'!$B$31:$B$48),$J2714,('Loading-rail'!$D$31:$D$48))*Impacts!$F$15,IF(('Loading-rail'!$C$21)&lt;&gt;"No control",SUMIF(('Loading-rail'!$B$31:$B$48),$J2714,('Loading-rail'!$E$31:$E$48))*Impacts!$F$15,0)),0)</f>
        <v>0</v>
      </c>
      <c r="T2714" s="10">
        <f>IF(Flare!$C$7="",0,(SUMIF(Flare!$B$46:$B$185,$J2714,Flare!$E$46:$E$185)*Impacts!$F$16))</f>
        <v>0</v>
      </c>
      <c r="U2714" s="10">
        <f>IF(VCU!$C$9="",0,(SUMIF(VCU!$B$51:$B$193,$J2714,VCU!$E$51:$E$193)*Impacts!$F$17))</f>
        <v>0</v>
      </c>
      <c r="V2714" s="10">
        <f>IF(CAS!$C$7="",0,(SUMIF(CAS!$B$31:$B$167,$J2714,CAS!$E$31:$E$167)*Impacts!$F$18))</f>
        <v>0</v>
      </c>
      <c r="W2714" s="10">
        <f t="shared" ref="W2714:W2777" si="83">SUM(L2714:V2714)</f>
        <v>0</v>
      </c>
      <c r="AK2714" s="10" t="str">
        <f t="array" ref="AK2714">IFERROR(INDEX(SelectedSpecies,SMALL(IF(SelectedSpecies=AK$1,ROW(SelectedSpecies)),ROW(2715:2715)),2),"")</f>
        <v/>
      </c>
      <c r="BE2714" s="10"/>
      <c r="BI2714" s="10"/>
    </row>
    <row r="2715" spans="1:61" ht="21" customHeight="1" x14ac:dyDescent="0.25">
      <c r="A2715" s="10"/>
      <c r="B2715" s="10"/>
      <c r="E2715" s="10"/>
      <c r="G2715" s="10"/>
      <c r="I2715" s="436" t="s">
        <v>3015</v>
      </c>
      <c r="J2715" s="26" t="s">
        <v>3014</v>
      </c>
      <c r="K2715" s="10">
        <v>10</v>
      </c>
      <c r="L2715" s="73">
        <f>IF(Tank1!$C$23="No control",(SUMIF(Tank1!$B$32:$B$49,$J2715,Tank1!$C$32:$C$49)*Impacts!$F$8),0)</f>
        <v>0</v>
      </c>
      <c r="M2715" s="10">
        <f>IF(Tank2!$C$23="No control",(SUMIF(Tank2!$B$32:$B$49,$J2715,Tank2!$C$32:$C$49)*Impacts!$F$9),0)</f>
        <v>0</v>
      </c>
      <c r="N2715" s="10">
        <f>IF(Tank3!$C$23="No control",(SUMIF(Tank3!$B$32:$B$49,$J2715,Tank3!$C$32:$C$49)*Impacts!$F$10),0)</f>
        <v>0</v>
      </c>
      <c r="O2715" s="10">
        <f>IF(Tank4!$C$23="No control",(SUMIF(Tank4!$B$32:$B$49,$J2715,Tank4!$C$32:$C$49)*Impacts!$F$11),0)</f>
        <v>0</v>
      </c>
      <c r="P2715" s="10">
        <f>IF(Tank5!$C$23="No control",(SUMIF(Tank5!$B$32:$B$49,$J2715,Tank5!$C$32:$C$49)*Impacts!$F$12),0)</f>
        <v>0</v>
      </c>
      <c r="Q2715" s="10">
        <f>IFERROR(IF(('Loading-drum,tote'!$C$21)="No control",SUMIF(('Loading-drum,tote'!$B$31:$B$48),$J2715,('Loading-drum,tote'!$D$31:$D$48))*Impacts!$F$13,IF(('Loading-drum,tote'!$C$21)&lt;&gt;"No control",SUMIF(('Loading-drum,tote'!$B$31:$B$48),$J2715,('Loading-drum,tote'!$E$31:$E$48))*Impacts!$F$13,0)),0)</f>
        <v>0</v>
      </c>
      <c r="R2715" s="10">
        <f>IFERROR(IF(('Loading-truck'!$C$21)="No control",SUMIF(('Loading-truck'!$B$31:$B$48),$J2715,('Loading-truck'!$D$31:$D$48))*Impacts!$F$14,IF(('Loading-truck'!$C$21)&lt;&gt;"No control",SUMIF(('Loading-truck'!$B$31:$B$48),$J2715,('Loading-truck'!$E$31:$E$48))*Impacts!$F$14,0)),0)</f>
        <v>0</v>
      </c>
      <c r="S2715" s="10">
        <f>IFERROR(IF(('Loading-rail'!$C$21)="No control",SUMIF(('Loading-rail'!$B$31:$B$48),$J2715,('Loading-rail'!$D$31:$D$48))*Impacts!$F$15,IF(('Loading-rail'!$C$21)&lt;&gt;"No control",SUMIF(('Loading-rail'!$B$31:$B$48),$J2715,('Loading-rail'!$E$31:$E$48))*Impacts!$F$15,0)),0)</f>
        <v>0</v>
      </c>
      <c r="T2715" s="10">
        <f>IF(Flare!$C$7="",0,(SUMIF(Flare!$B$46:$B$185,$J2715,Flare!$E$46:$E$185)*Impacts!$F$16))</f>
        <v>0</v>
      </c>
      <c r="U2715" s="10">
        <f>IF(VCU!$C$9="",0,(SUMIF(VCU!$B$51:$B$193,$J2715,VCU!$E$51:$E$193)*Impacts!$F$17))</f>
        <v>0</v>
      </c>
      <c r="V2715" s="10">
        <f>IF(CAS!$C$7="",0,(SUMIF(CAS!$B$31:$B$167,$J2715,CAS!$E$31:$E$167)*Impacts!$F$18))</f>
        <v>0</v>
      </c>
      <c r="W2715" s="10">
        <f t="shared" si="83"/>
        <v>0</v>
      </c>
      <c r="AK2715" s="10" t="str">
        <f t="array" ref="AK2715">IFERROR(INDEX(SelectedSpecies,SMALL(IF(SelectedSpecies=AK$1,ROW(SelectedSpecies)),ROW(2716:2716)),2),"")</f>
        <v/>
      </c>
      <c r="BE2715" s="10"/>
      <c r="BI2715" s="10"/>
    </row>
    <row r="2716" spans="1:61" ht="21" customHeight="1" x14ac:dyDescent="0.25">
      <c r="A2716" s="10"/>
      <c r="B2716" s="10"/>
      <c r="E2716" s="10"/>
      <c r="G2716" s="10"/>
      <c r="I2716" s="436" t="s">
        <v>423</v>
      </c>
      <c r="J2716" s="26" t="s">
        <v>422</v>
      </c>
      <c r="K2716" s="10">
        <v>188</v>
      </c>
      <c r="L2716" s="73">
        <f>IF(Tank1!$C$23="No control",(SUMIF(Tank1!$B$32:$B$49,$J2716,Tank1!$C$32:$C$49)*Impacts!$F$8),0)</f>
        <v>0</v>
      </c>
      <c r="M2716" s="10">
        <f>IF(Tank2!$C$23="No control",(SUMIF(Tank2!$B$32:$B$49,$J2716,Tank2!$C$32:$C$49)*Impacts!$F$9),0)</f>
        <v>0</v>
      </c>
      <c r="N2716" s="10">
        <f>IF(Tank3!$C$23="No control",(SUMIF(Tank3!$B$32:$B$49,$J2716,Tank3!$C$32:$C$49)*Impacts!$F$10),0)</f>
        <v>0</v>
      </c>
      <c r="O2716" s="10">
        <f>IF(Tank4!$C$23="No control",(SUMIF(Tank4!$B$32:$B$49,$J2716,Tank4!$C$32:$C$49)*Impacts!$F$11),0)</f>
        <v>0</v>
      </c>
      <c r="P2716" s="10">
        <f>IF(Tank5!$C$23="No control",(SUMIF(Tank5!$B$32:$B$49,$J2716,Tank5!$C$32:$C$49)*Impacts!$F$12),0)</f>
        <v>0</v>
      </c>
      <c r="Q2716" s="10">
        <f>IFERROR(IF(('Loading-drum,tote'!$C$21)="No control",SUMIF(('Loading-drum,tote'!$B$31:$B$48),$J2716,('Loading-drum,tote'!$D$31:$D$48))*Impacts!$F$13,IF(('Loading-drum,tote'!$C$21)&lt;&gt;"No control",SUMIF(('Loading-drum,tote'!$B$31:$B$48),$J2716,('Loading-drum,tote'!$E$31:$E$48))*Impacts!$F$13,0)),0)</f>
        <v>0</v>
      </c>
      <c r="R2716" s="10">
        <f>IFERROR(IF(('Loading-truck'!$C$21)="No control",SUMIF(('Loading-truck'!$B$31:$B$48),$J2716,('Loading-truck'!$D$31:$D$48))*Impacts!$F$14,IF(('Loading-truck'!$C$21)&lt;&gt;"No control",SUMIF(('Loading-truck'!$B$31:$B$48),$J2716,('Loading-truck'!$E$31:$E$48))*Impacts!$F$14,0)),0)</f>
        <v>0</v>
      </c>
      <c r="S2716" s="10">
        <f>IFERROR(IF(('Loading-rail'!$C$21)="No control",SUMIF(('Loading-rail'!$B$31:$B$48),$J2716,('Loading-rail'!$D$31:$D$48))*Impacts!$F$15,IF(('Loading-rail'!$C$21)&lt;&gt;"No control",SUMIF(('Loading-rail'!$B$31:$B$48),$J2716,('Loading-rail'!$E$31:$E$48))*Impacts!$F$15,0)),0)</f>
        <v>0</v>
      </c>
      <c r="T2716" s="10">
        <f>IF(Flare!$C$7="",0,(SUMIF(Flare!$B$46:$B$185,$J2716,Flare!$E$46:$E$185)*Impacts!$F$16))</f>
        <v>0</v>
      </c>
      <c r="U2716" s="10">
        <f>IF(VCU!$C$9="",0,(SUMIF(VCU!$B$51:$B$193,$J2716,VCU!$E$51:$E$193)*Impacts!$F$17))</f>
        <v>0</v>
      </c>
      <c r="V2716" s="10">
        <f>IF(CAS!$C$7="",0,(SUMIF(CAS!$B$31:$B$167,$J2716,CAS!$E$31:$E$167)*Impacts!$F$18))</f>
        <v>0</v>
      </c>
      <c r="W2716" s="10">
        <f t="shared" si="83"/>
        <v>0</v>
      </c>
      <c r="AK2716" s="10" t="str">
        <f t="array" ref="AK2716">IFERROR(INDEX(SelectedSpecies,SMALL(IF(SelectedSpecies=AK$1,ROW(SelectedSpecies)),ROW(2717:2717)),2),"")</f>
        <v/>
      </c>
      <c r="BE2716" s="10"/>
      <c r="BI2716" s="10"/>
    </row>
    <row r="2717" spans="1:61" ht="21" customHeight="1" x14ac:dyDescent="0.25">
      <c r="A2717" s="10"/>
      <c r="B2717" s="10"/>
      <c r="E2717" s="10"/>
      <c r="G2717" s="10"/>
      <c r="I2717" s="436" t="s">
        <v>6330</v>
      </c>
      <c r="J2717" s="26" t="s">
        <v>6329</v>
      </c>
      <c r="K2717" s="10">
        <v>0.9</v>
      </c>
      <c r="L2717" s="73">
        <f>IF(Tank1!$C$23="No control",(SUMIF(Tank1!$B$32:$B$49,$J2717,Tank1!$C$32:$C$49)*Impacts!$F$8),0)</f>
        <v>0</v>
      </c>
      <c r="M2717" s="10">
        <f>IF(Tank2!$C$23="No control",(SUMIF(Tank2!$B$32:$B$49,$J2717,Tank2!$C$32:$C$49)*Impacts!$F$9),0)</f>
        <v>0</v>
      </c>
      <c r="N2717" s="10">
        <f>IF(Tank3!$C$23="No control",(SUMIF(Tank3!$B$32:$B$49,$J2717,Tank3!$C$32:$C$49)*Impacts!$F$10),0)</f>
        <v>0</v>
      </c>
      <c r="O2717" s="10">
        <f>IF(Tank4!$C$23="No control",(SUMIF(Tank4!$B$32:$B$49,$J2717,Tank4!$C$32:$C$49)*Impacts!$F$11),0)</f>
        <v>0</v>
      </c>
      <c r="P2717" s="10">
        <f>IF(Tank5!$C$23="No control",(SUMIF(Tank5!$B$32:$B$49,$J2717,Tank5!$C$32:$C$49)*Impacts!$F$12),0)</f>
        <v>0</v>
      </c>
      <c r="Q2717" s="10">
        <f>IFERROR(IF(('Loading-drum,tote'!$C$21)="No control",SUMIF(('Loading-drum,tote'!$B$31:$B$48),$J2717,('Loading-drum,tote'!$D$31:$D$48))*Impacts!$F$13,IF(('Loading-drum,tote'!$C$21)&lt;&gt;"No control",SUMIF(('Loading-drum,tote'!$B$31:$B$48),$J2717,('Loading-drum,tote'!$E$31:$E$48))*Impacts!$F$13,0)),0)</f>
        <v>0</v>
      </c>
      <c r="R2717" s="10">
        <f>IFERROR(IF(('Loading-truck'!$C$21)="No control",SUMIF(('Loading-truck'!$B$31:$B$48),$J2717,('Loading-truck'!$D$31:$D$48))*Impacts!$F$14,IF(('Loading-truck'!$C$21)&lt;&gt;"No control",SUMIF(('Loading-truck'!$B$31:$B$48),$J2717,('Loading-truck'!$E$31:$E$48))*Impacts!$F$14,0)),0)</f>
        <v>0</v>
      </c>
      <c r="S2717" s="10">
        <f>IFERROR(IF(('Loading-rail'!$C$21)="No control",SUMIF(('Loading-rail'!$B$31:$B$48),$J2717,('Loading-rail'!$D$31:$D$48))*Impacts!$F$15,IF(('Loading-rail'!$C$21)&lt;&gt;"No control",SUMIF(('Loading-rail'!$B$31:$B$48),$J2717,('Loading-rail'!$E$31:$E$48))*Impacts!$F$15,0)),0)</f>
        <v>0</v>
      </c>
      <c r="T2717" s="10">
        <f>IF(Flare!$C$7="",0,(SUMIF(Flare!$B$46:$B$185,$J2717,Flare!$E$46:$E$185)*Impacts!$F$16))</f>
        <v>0</v>
      </c>
      <c r="U2717" s="10">
        <f>IF(VCU!$C$9="",0,(SUMIF(VCU!$B$51:$B$193,$J2717,VCU!$E$51:$E$193)*Impacts!$F$17))</f>
        <v>0</v>
      </c>
      <c r="V2717" s="10">
        <f>IF(CAS!$C$7="",0,(SUMIF(CAS!$B$31:$B$167,$J2717,CAS!$E$31:$E$167)*Impacts!$F$18))</f>
        <v>0</v>
      </c>
      <c r="W2717" s="10">
        <f t="shared" si="83"/>
        <v>0</v>
      </c>
      <c r="AK2717" s="10" t="str">
        <f t="array" ref="AK2717">IFERROR(INDEX(SelectedSpecies,SMALL(IF(SelectedSpecies=AK$1,ROW(SelectedSpecies)),ROW(2718:2718)),2),"")</f>
        <v/>
      </c>
      <c r="BE2717" s="10"/>
      <c r="BI2717" s="10"/>
    </row>
    <row r="2718" spans="1:61" ht="21" customHeight="1" x14ac:dyDescent="0.25">
      <c r="A2718" s="10"/>
      <c r="B2718" s="10"/>
      <c r="E2718" s="10"/>
      <c r="G2718" s="10"/>
      <c r="I2718" s="436" t="s">
        <v>4983</v>
      </c>
      <c r="J2718" s="26" t="s">
        <v>4982</v>
      </c>
      <c r="K2718" s="10">
        <v>2.5</v>
      </c>
      <c r="L2718" s="73">
        <f>IF(Tank1!$C$23="No control",(SUMIF(Tank1!$B$32:$B$49,$J2718,Tank1!$C$32:$C$49)*Impacts!$F$8),0)</f>
        <v>0</v>
      </c>
      <c r="M2718" s="10">
        <f>IF(Tank2!$C$23="No control",(SUMIF(Tank2!$B$32:$B$49,$J2718,Tank2!$C$32:$C$49)*Impacts!$F$9),0)</f>
        <v>0</v>
      </c>
      <c r="N2718" s="10">
        <f>IF(Tank3!$C$23="No control",(SUMIF(Tank3!$B$32:$B$49,$J2718,Tank3!$C$32:$C$49)*Impacts!$F$10),0)</f>
        <v>0</v>
      </c>
      <c r="O2718" s="10">
        <f>IF(Tank4!$C$23="No control",(SUMIF(Tank4!$B$32:$B$49,$J2718,Tank4!$C$32:$C$49)*Impacts!$F$11),0)</f>
        <v>0</v>
      </c>
      <c r="P2718" s="10">
        <f>IF(Tank5!$C$23="No control",(SUMIF(Tank5!$B$32:$B$49,$J2718,Tank5!$C$32:$C$49)*Impacts!$F$12),0)</f>
        <v>0</v>
      </c>
      <c r="Q2718" s="10">
        <f>IFERROR(IF(('Loading-drum,tote'!$C$21)="No control",SUMIF(('Loading-drum,tote'!$B$31:$B$48),$J2718,('Loading-drum,tote'!$D$31:$D$48))*Impacts!$F$13,IF(('Loading-drum,tote'!$C$21)&lt;&gt;"No control",SUMIF(('Loading-drum,tote'!$B$31:$B$48),$J2718,('Loading-drum,tote'!$E$31:$E$48))*Impacts!$F$13,0)),0)</f>
        <v>0</v>
      </c>
      <c r="R2718" s="10">
        <f>IFERROR(IF(('Loading-truck'!$C$21)="No control",SUMIF(('Loading-truck'!$B$31:$B$48),$J2718,('Loading-truck'!$D$31:$D$48))*Impacts!$F$14,IF(('Loading-truck'!$C$21)&lt;&gt;"No control",SUMIF(('Loading-truck'!$B$31:$B$48),$J2718,('Loading-truck'!$E$31:$E$48))*Impacts!$F$14,0)),0)</f>
        <v>0</v>
      </c>
      <c r="S2718" s="10">
        <f>IFERROR(IF(('Loading-rail'!$C$21)="No control",SUMIF(('Loading-rail'!$B$31:$B$48),$J2718,('Loading-rail'!$D$31:$D$48))*Impacts!$F$15,IF(('Loading-rail'!$C$21)&lt;&gt;"No control",SUMIF(('Loading-rail'!$B$31:$B$48),$J2718,('Loading-rail'!$E$31:$E$48))*Impacts!$F$15,0)),0)</f>
        <v>0</v>
      </c>
      <c r="T2718" s="10">
        <f>IF(Flare!$C$7="",0,(SUMIF(Flare!$B$46:$B$185,$J2718,Flare!$E$46:$E$185)*Impacts!$F$16))</f>
        <v>0</v>
      </c>
      <c r="U2718" s="10">
        <f>IF(VCU!$C$9="",0,(SUMIF(VCU!$B$51:$B$193,$J2718,VCU!$E$51:$E$193)*Impacts!$F$17))</f>
        <v>0</v>
      </c>
      <c r="V2718" s="10">
        <f>IF(CAS!$C$7="",0,(SUMIF(CAS!$B$31:$B$167,$J2718,CAS!$E$31:$E$167)*Impacts!$F$18))</f>
        <v>0</v>
      </c>
      <c r="W2718" s="10">
        <f t="shared" si="83"/>
        <v>0</v>
      </c>
      <c r="AK2718" s="10" t="str">
        <f t="array" ref="AK2718">IFERROR(INDEX(SelectedSpecies,SMALL(IF(SelectedSpecies=AK$1,ROW(SelectedSpecies)),ROW(2719:2719)),2),"")</f>
        <v/>
      </c>
      <c r="BE2718" s="10"/>
      <c r="BI2718" s="10"/>
    </row>
    <row r="2719" spans="1:61" ht="21" customHeight="1" x14ac:dyDescent="0.25">
      <c r="A2719" s="10"/>
      <c r="B2719" s="10"/>
      <c r="E2719" s="10"/>
      <c r="G2719" s="10"/>
      <c r="I2719" s="436" t="s">
        <v>10391</v>
      </c>
      <c r="J2719" s="26" t="s">
        <v>10392</v>
      </c>
      <c r="K2719" s="10">
        <v>0.15000000000000002</v>
      </c>
      <c r="L2719" s="73">
        <f>IF(Tank1!$C$23="No control",(SUMIF(Tank1!$B$32:$B$49,$J2719,Tank1!$C$32:$C$49)*Impacts!$F$8),0)</f>
        <v>0</v>
      </c>
      <c r="M2719" s="10">
        <f>IF(Tank2!$C$23="No control",(SUMIF(Tank2!$B$32:$B$49,$J2719,Tank2!$C$32:$C$49)*Impacts!$F$9),0)</f>
        <v>0</v>
      </c>
      <c r="N2719" s="10">
        <f>IF(Tank3!$C$23="No control",(SUMIF(Tank3!$B$32:$B$49,$J2719,Tank3!$C$32:$C$49)*Impacts!$F$10),0)</f>
        <v>0</v>
      </c>
      <c r="O2719" s="10">
        <f>IF(Tank4!$C$23="No control",(SUMIF(Tank4!$B$32:$B$49,$J2719,Tank4!$C$32:$C$49)*Impacts!$F$11),0)</f>
        <v>0</v>
      </c>
      <c r="P2719" s="10">
        <f>IF(Tank5!$C$23="No control",(SUMIF(Tank5!$B$32:$B$49,$J2719,Tank5!$C$32:$C$49)*Impacts!$F$12),0)</f>
        <v>0</v>
      </c>
      <c r="Q2719" s="10">
        <f>IFERROR(IF(('Loading-drum,tote'!$C$21)="No control",SUMIF(('Loading-drum,tote'!$B$31:$B$48),$J2719,('Loading-drum,tote'!$D$31:$D$48))*Impacts!$F$13,IF(('Loading-drum,tote'!$C$21)&lt;&gt;"No control",SUMIF(('Loading-drum,tote'!$B$31:$B$48),$J2719,('Loading-drum,tote'!$E$31:$E$48))*Impacts!$F$13,0)),0)</f>
        <v>0</v>
      </c>
      <c r="R2719" s="10">
        <f>IFERROR(IF(('Loading-truck'!$C$21)="No control",SUMIF(('Loading-truck'!$B$31:$B$48),$J2719,('Loading-truck'!$D$31:$D$48))*Impacts!$F$14,IF(('Loading-truck'!$C$21)&lt;&gt;"No control",SUMIF(('Loading-truck'!$B$31:$B$48),$J2719,('Loading-truck'!$E$31:$E$48))*Impacts!$F$14,0)),0)</f>
        <v>0</v>
      </c>
      <c r="S2719" s="10">
        <f>IFERROR(IF(('Loading-rail'!$C$21)="No control",SUMIF(('Loading-rail'!$B$31:$B$48),$J2719,('Loading-rail'!$D$31:$D$48))*Impacts!$F$15,IF(('Loading-rail'!$C$21)&lt;&gt;"No control",SUMIF(('Loading-rail'!$B$31:$B$48),$J2719,('Loading-rail'!$E$31:$E$48))*Impacts!$F$15,0)),0)</f>
        <v>0</v>
      </c>
      <c r="T2719" s="10">
        <f>IF(Flare!$C$7="",0,(SUMIF(Flare!$B$46:$B$185,$J2719,Flare!$E$46:$E$185)*Impacts!$F$16))</f>
        <v>0</v>
      </c>
      <c r="U2719" s="10">
        <f>IF(VCU!$C$9="",0,(SUMIF(VCU!$B$51:$B$193,$J2719,VCU!$E$51:$E$193)*Impacts!$F$17))</f>
        <v>0</v>
      </c>
      <c r="V2719" s="10">
        <f>IF(CAS!$C$7="",0,(SUMIF(CAS!$B$31:$B$167,$J2719,CAS!$E$31:$E$167)*Impacts!$F$18))</f>
        <v>0</v>
      </c>
      <c r="W2719" s="10">
        <f t="shared" si="83"/>
        <v>0</v>
      </c>
      <c r="AK2719" s="10" t="str">
        <f t="array" ref="AK2719">IFERROR(INDEX(SelectedSpecies,SMALL(IF(SelectedSpecies=AK$1,ROW(SelectedSpecies)),ROW(2720:2720)),2),"")</f>
        <v/>
      </c>
      <c r="BE2719" s="10"/>
      <c r="BI2719" s="10"/>
    </row>
    <row r="2720" spans="1:61" ht="21" customHeight="1" x14ac:dyDescent="0.25">
      <c r="A2720" s="10"/>
      <c r="B2720" s="10"/>
      <c r="E2720" s="10"/>
      <c r="G2720" s="10"/>
      <c r="I2720" s="436" t="s">
        <v>6894</v>
      </c>
      <c r="J2720" s="26" t="s">
        <v>6893</v>
      </c>
      <c r="K2720" s="10">
        <v>0.5</v>
      </c>
      <c r="L2720" s="73">
        <f>IF(Tank1!$C$23="No control",(SUMIF(Tank1!$B$32:$B$49,$J2720,Tank1!$C$32:$C$49)*Impacts!$F$8),0)</f>
        <v>0</v>
      </c>
      <c r="M2720" s="10">
        <f>IF(Tank2!$C$23="No control",(SUMIF(Tank2!$B$32:$B$49,$J2720,Tank2!$C$32:$C$49)*Impacts!$F$9),0)</f>
        <v>0</v>
      </c>
      <c r="N2720" s="10">
        <f>IF(Tank3!$C$23="No control",(SUMIF(Tank3!$B$32:$B$49,$J2720,Tank3!$C$32:$C$49)*Impacts!$F$10),0)</f>
        <v>0</v>
      </c>
      <c r="O2720" s="10">
        <f>IF(Tank4!$C$23="No control",(SUMIF(Tank4!$B$32:$B$49,$J2720,Tank4!$C$32:$C$49)*Impacts!$F$11),0)</f>
        <v>0</v>
      </c>
      <c r="P2720" s="10">
        <f>IF(Tank5!$C$23="No control",(SUMIF(Tank5!$B$32:$B$49,$J2720,Tank5!$C$32:$C$49)*Impacts!$F$12),0)</f>
        <v>0</v>
      </c>
      <c r="Q2720" s="10">
        <f>IFERROR(IF(('Loading-drum,tote'!$C$21)="No control",SUMIF(('Loading-drum,tote'!$B$31:$B$48),$J2720,('Loading-drum,tote'!$D$31:$D$48))*Impacts!$F$13,IF(('Loading-drum,tote'!$C$21)&lt;&gt;"No control",SUMIF(('Loading-drum,tote'!$B$31:$B$48),$J2720,('Loading-drum,tote'!$E$31:$E$48))*Impacts!$F$13,0)),0)</f>
        <v>0</v>
      </c>
      <c r="R2720" s="10">
        <f>IFERROR(IF(('Loading-truck'!$C$21)="No control",SUMIF(('Loading-truck'!$B$31:$B$48),$J2720,('Loading-truck'!$D$31:$D$48))*Impacts!$F$14,IF(('Loading-truck'!$C$21)&lt;&gt;"No control",SUMIF(('Loading-truck'!$B$31:$B$48),$J2720,('Loading-truck'!$E$31:$E$48))*Impacts!$F$14,0)),0)</f>
        <v>0</v>
      </c>
      <c r="S2720" s="10">
        <f>IFERROR(IF(('Loading-rail'!$C$21)="No control",SUMIF(('Loading-rail'!$B$31:$B$48),$J2720,('Loading-rail'!$D$31:$D$48))*Impacts!$F$15,IF(('Loading-rail'!$C$21)&lt;&gt;"No control",SUMIF(('Loading-rail'!$B$31:$B$48),$J2720,('Loading-rail'!$E$31:$E$48))*Impacts!$F$15,0)),0)</f>
        <v>0</v>
      </c>
      <c r="T2720" s="10">
        <f>IF(Flare!$C$7="",0,(SUMIF(Flare!$B$46:$B$185,$J2720,Flare!$E$46:$E$185)*Impacts!$F$16))</f>
        <v>0</v>
      </c>
      <c r="U2720" s="10">
        <f>IF(VCU!$C$9="",0,(SUMIF(VCU!$B$51:$B$193,$J2720,VCU!$E$51:$E$193)*Impacts!$F$17))</f>
        <v>0</v>
      </c>
      <c r="V2720" s="10">
        <f>IF(CAS!$C$7="",0,(SUMIF(CAS!$B$31:$B$167,$J2720,CAS!$E$31:$E$167)*Impacts!$F$18))</f>
        <v>0</v>
      </c>
      <c r="W2720" s="10">
        <f t="shared" si="83"/>
        <v>0</v>
      </c>
      <c r="AK2720" s="10" t="str">
        <f t="array" ref="AK2720">IFERROR(INDEX(SelectedSpecies,SMALL(IF(SelectedSpecies=AK$1,ROW(SelectedSpecies)),ROW(2721:2721)),2),"")</f>
        <v/>
      </c>
      <c r="BE2720" s="10"/>
      <c r="BI2720" s="10"/>
    </row>
    <row r="2721" spans="1:61" ht="21" customHeight="1" x14ac:dyDescent="0.25">
      <c r="A2721" s="10"/>
      <c r="B2721" s="10"/>
      <c r="E2721" s="10"/>
      <c r="G2721" s="10"/>
      <c r="I2721" s="436" t="s">
        <v>8004</v>
      </c>
      <c r="J2721" s="26" t="s">
        <v>8003</v>
      </c>
      <c r="K2721" s="10">
        <v>0.03</v>
      </c>
      <c r="L2721" s="73">
        <f>IF(Tank1!$C$23="No control",(SUMIF(Tank1!$B$32:$B$49,$J2721,Tank1!$C$32:$C$49)*Impacts!$F$8),0)</f>
        <v>0</v>
      </c>
      <c r="M2721" s="10">
        <f>IF(Tank2!$C$23="No control",(SUMIF(Tank2!$B$32:$B$49,$J2721,Tank2!$C$32:$C$49)*Impacts!$F$9),0)</f>
        <v>0</v>
      </c>
      <c r="N2721" s="10">
        <f>IF(Tank3!$C$23="No control",(SUMIF(Tank3!$B$32:$B$49,$J2721,Tank3!$C$32:$C$49)*Impacts!$F$10),0)</f>
        <v>0</v>
      </c>
      <c r="O2721" s="10">
        <f>IF(Tank4!$C$23="No control",(SUMIF(Tank4!$B$32:$B$49,$J2721,Tank4!$C$32:$C$49)*Impacts!$F$11),0)</f>
        <v>0</v>
      </c>
      <c r="P2721" s="10">
        <f>IF(Tank5!$C$23="No control",(SUMIF(Tank5!$B$32:$B$49,$J2721,Tank5!$C$32:$C$49)*Impacts!$F$12),0)</f>
        <v>0</v>
      </c>
      <c r="Q2721" s="10">
        <f>IFERROR(IF(('Loading-drum,tote'!$C$21)="No control",SUMIF(('Loading-drum,tote'!$B$31:$B$48),$J2721,('Loading-drum,tote'!$D$31:$D$48))*Impacts!$F$13,IF(('Loading-drum,tote'!$C$21)&lt;&gt;"No control",SUMIF(('Loading-drum,tote'!$B$31:$B$48),$J2721,('Loading-drum,tote'!$E$31:$E$48))*Impacts!$F$13,0)),0)</f>
        <v>0</v>
      </c>
      <c r="R2721" s="10">
        <f>IFERROR(IF(('Loading-truck'!$C$21)="No control",SUMIF(('Loading-truck'!$B$31:$B$48),$J2721,('Loading-truck'!$D$31:$D$48))*Impacts!$F$14,IF(('Loading-truck'!$C$21)&lt;&gt;"No control",SUMIF(('Loading-truck'!$B$31:$B$48),$J2721,('Loading-truck'!$E$31:$E$48))*Impacts!$F$14,0)),0)</f>
        <v>0</v>
      </c>
      <c r="S2721" s="10">
        <f>IFERROR(IF(('Loading-rail'!$C$21)="No control",SUMIF(('Loading-rail'!$B$31:$B$48),$J2721,('Loading-rail'!$D$31:$D$48))*Impacts!$F$15,IF(('Loading-rail'!$C$21)&lt;&gt;"No control",SUMIF(('Loading-rail'!$B$31:$B$48),$J2721,('Loading-rail'!$E$31:$E$48))*Impacts!$F$15,0)),0)</f>
        <v>0</v>
      </c>
      <c r="T2721" s="10">
        <f>IF(Flare!$C$7="",0,(SUMIF(Flare!$B$46:$B$185,$J2721,Flare!$E$46:$E$185)*Impacts!$F$16))</f>
        <v>0</v>
      </c>
      <c r="U2721" s="10">
        <f>IF(VCU!$C$9="",0,(SUMIF(VCU!$B$51:$B$193,$J2721,VCU!$E$51:$E$193)*Impacts!$F$17))</f>
        <v>0</v>
      </c>
      <c r="V2721" s="10">
        <f>IF(CAS!$C$7="",0,(SUMIF(CAS!$B$31:$B$167,$J2721,CAS!$E$31:$E$167)*Impacts!$F$18))</f>
        <v>0</v>
      </c>
      <c r="W2721" s="10">
        <f t="shared" si="83"/>
        <v>0</v>
      </c>
      <c r="AK2721" s="10" t="str">
        <f t="array" ref="AK2721">IFERROR(INDEX(SelectedSpecies,SMALL(IF(SelectedSpecies=AK$1,ROW(SelectedSpecies)),ROW(2722:2722)),2),"")</f>
        <v/>
      </c>
      <c r="BE2721" s="10"/>
      <c r="BI2721" s="10"/>
    </row>
    <row r="2722" spans="1:61" ht="21" customHeight="1" x14ac:dyDescent="0.25">
      <c r="A2722" s="10"/>
      <c r="B2722" s="10"/>
      <c r="E2722" s="10"/>
      <c r="G2722" s="10"/>
      <c r="I2722" s="436" t="s">
        <v>5031</v>
      </c>
      <c r="J2722" s="26" t="s">
        <v>5030</v>
      </c>
      <c r="K2722" s="10">
        <v>2.4000000000000004</v>
      </c>
      <c r="L2722" s="73">
        <f>IF(Tank1!$C$23="No control",(SUMIF(Tank1!$B$32:$B$49,$J2722,Tank1!$C$32:$C$49)*Impacts!$F$8),0)</f>
        <v>0</v>
      </c>
      <c r="M2722" s="10">
        <f>IF(Tank2!$C$23="No control",(SUMIF(Tank2!$B$32:$B$49,$J2722,Tank2!$C$32:$C$49)*Impacts!$F$9),0)</f>
        <v>0</v>
      </c>
      <c r="N2722" s="10">
        <f>IF(Tank3!$C$23="No control",(SUMIF(Tank3!$B$32:$B$49,$J2722,Tank3!$C$32:$C$49)*Impacts!$F$10),0)</f>
        <v>0</v>
      </c>
      <c r="O2722" s="10">
        <f>IF(Tank4!$C$23="No control",(SUMIF(Tank4!$B$32:$B$49,$J2722,Tank4!$C$32:$C$49)*Impacts!$F$11),0)</f>
        <v>0</v>
      </c>
      <c r="P2722" s="10">
        <f>IF(Tank5!$C$23="No control",(SUMIF(Tank5!$B$32:$B$49,$J2722,Tank5!$C$32:$C$49)*Impacts!$F$12),0)</f>
        <v>0</v>
      </c>
      <c r="Q2722" s="10">
        <f>IFERROR(IF(('Loading-drum,tote'!$C$21)="No control",SUMIF(('Loading-drum,tote'!$B$31:$B$48),$J2722,('Loading-drum,tote'!$D$31:$D$48))*Impacts!$F$13,IF(('Loading-drum,tote'!$C$21)&lt;&gt;"No control",SUMIF(('Loading-drum,tote'!$B$31:$B$48),$J2722,('Loading-drum,tote'!$E$31:$E$48))*Impacts!$F$13,0)),0)</f>
        <v>0</v>
      </c>
      <c r="R2722" s="10">
        <f>IFERROR(IF(('Loading-truck'!$C$21)="No control",SUMIF(('Loading-truck'!$B$31:$B$48),$J2722,('Loading-truck'!$D$31:$D$48))*Impacts!$F$14,IF(('Loading-truck'!$C$21)&lt;&gt;"No control",SUMIF(('Loading-truck'!$B$31:$B$48),$J2722,('Loading-truck'!$E$31:$E$48))*Impacts!$F$14,0)),0)</f>
        <v>0</v>
      </c>
      <c r="S2722" s="10">
        <f>IFERROR(IF(('Loading-rail'!$C$21)="No control",SUMIF(('Loading-rail'!$B$31:$B$48),$J2722,('Loading-rail'!$D$31:$D$48))*Impacts!$F$15,IF(('Loading-rail'!$C$21)&lt;&gt;"No control",SUMIF(('Loading-rail'!$B$31:$B$48),$J2722,('Loading-rail'!$E$31:$E$48))*Impacts!$F$15,0)),0)</f>
        <v>0</v>
      </c>
      <c r="T2722" s="10">
        <f>IF(Flare!$C$7="",0,(SUMIF(Flare!$B$46:$B$185,$J2722,Flare!$E$46:$E$185)*Impacts!$F$16))</f>
        <v>0</v>
      </c>
      <c r="U2722" s="10">
        <f>IF(VCU!$C$9="",0,(SUMIF(VCU!$B$51:$B$193,$J2722,VCU!$E$51:$E$193)*Impacts!$F$17))</f>
        <v>0</v>
      </c>
      <c r="V2722" s="10">
        <f>IF(CAS!$C$7="",0,(SUMIF(CAS!$B$31:$B$167,$J2722,CAS!$E$31:$E$167)*Impacts!$F$18))</f>
        <v>0</v>
      </c>
      <c r="W2722" s="10">
        <f t="shared" si="83"/>
        <v>0</v>
      </c>
      <c r="AK2722" s="10" t="str">
        <f t="array" ref="AK2722">IFERROR(INDEX(SelectedSpecies,SMALL(IF(SelectedSpecies=AK$1,ROW(SelectedSpecies)),ROW(2723:2723)),2),"")</f>
        <v/>
      </c>
      <c r="BE2722" s="10"/>
      <c r="BI2722" s="10"/>
    </row>
    <row r="2723" spans="1:61" ht="21" customHeight="1" x14ac:dyDescent="0.25">
      <c r="A2723" s="10"/>
      <c r="B2723" s="10"/>
      <c r="E2723" s="10"/>
      <c r="G2723" s="10"/>
      <c r="I2723" s="436" t="s">
        <v>4689</v>
      </c>
      <c r="J2723" s="26" t="s">
        <v>4688</v>
      </c>
      <c r="K2723" s="10">
        <v>3.6</v>
      </c>
      <c r="L2723" s="73">
        <f>IF(Tank1!$C$23="No control",(SUMIF(Tank1!$B$32:$B$49,$J2723,Tank1!$C$32:$C$49)*Impacts!$F$8),0)</f>
        <v>0</v>
      </c>
      <c r="M2723" s="10">
        <f>IF(Tank2!$C$23="No control",(SUMIF(Tank2!$B$32:$B$49,$J2723,Tank2!$C$32:$C$49)*Impacts!$F$9),0)</f>
        <v>0</v>
      </c>
      <c r="N2723" s="10">
        <f>IF(Tank3!$C$23="No control",(SUMIF(Tank3!$B$32:$B$49,$J2723,Tank3!$C$32:$C$49)*Impacts!$F$10),0)</f>
        <v>0</v>
      </c>
      <c r="O2723" s="10">
        <f>IF(Tank4!$C$23="No control",(SUMIF(Tank4!$B$32:$B$49,$J2723,Tank4!$C$32:$C$49)*Impacts!$F$11),0)</f>
        <v>0</v>
      </c>
      <c r="P2723" s="10">
        <f>IF(Tank5!$C$23="No control",(SUMIF(Tank5!$B$32:$B$49,$J2723,Tank5!$C$32:$C$49)*Impacts!$F$12),0)</f>
        <v>0</v>
      </c>
      <c r="Q2723" s="10">
        <f>IFERROR(IF(('Loading-drum,tote'!$C$21)="No control",SUMIF(('Loading-drum,tote'!$B$31:$B$48),$J2723,('Loading-drum,tote'!$D$31:$D$48))*Impacts!$F$13,IF(('Loading-drum,tote'!$C$21)&lt;&gt;"No control",SUMIF(('Loading-drum,tote'!$B$31:$B$48),$J2723,('Loading-drum,tote'!$E$31:$E$48))*Impacts!$F$13,0)),0)</f>
        <v>0</v>
      </c>
      <c r="R2723" s="10">
        <f>IFERROR(IF(('Loading-truck'!$C$21)="No control",SUMIF(('Loading-truck'!$B$31:$B$48),$J2723,('Loading-truck'!$D$31:$D$48))*Impacts!$F$14,IF(('Loading-truck'!$C$21)&lt;&gt;"No control",SUMIF(('Loading-truck'!$B$31:$B$48),$J2723,('Loading-truck'!$E$31:$E$48))*Impacts!$F$14,0)),0)</f>
        <v>0</v>
      </c>
      <c r="S2723" s="10">
        <f>IFERROR(IF(('Loading-rail'!$C$21)="No control",SUMIF(('Loading-rail'!$B$31:$B$48),$J2723,('Loading-rail'!$D$31:$D$48))*Impacts!$F$15,IF(('Loading-rail'!$C$21)&lt;&gt;"No control",SUMIF(('Loading-rail'!$B$31:$B$48),$J2723,('Loading-rail'!$E$31:$E$48))*Impacts!$F$15,0)),0)</f>
        <v>0</v>
      </c>
      <c r="T2723" s="10">
        <f>IF(Flare!$C$7="",0,(SUMIF(Flare!$B$46:$B$185,$J2723,Flare!$E$46:$E$185)*Impacts!$F$16))</f>
        <v>0</v>
      </c>
      <c r="U2723" s="10">
        <f>IF(VCU!$C$9="",0,(SUMIF(VCU!$B$51:$B$193,$J2723,VCU!$E$51:$E$193)*Impacts!$F$17))</f>
        <v>0</v>
      </c>
      <c r="V2723" s="10">
        <f>IF(CAS!$C$7="",0,(SUMIF(CAS!$B$31:$B$167,$J2723,CAS!$E$31:$E$167)*Impacts!$F$18))</f>
        <v>0</v>
      </c>
      <c r="W2723" s="10">
        <f t="shared" si="83"/>
        <v>0</v>
      </c>
      <c r="AK2723" s="10" t="str">
        <f t="array" ref="AK2723">IFERROR(INDEX(SelectedSpecies,SMALL(IF(SelectedSpecies=AK$1,ROW(SelectedSpecies)),ROW(2724:2724)),2),"")</f>
        <v/>
      </c>
      <c r="BE2723" s="10"/>
      <c r="BI2723" s="10"/>
    </row>
    <row r="2724" spans="1:61" ht="21" customHeight="1" x14ac:dyDescent="0.25">
      <c r="A2724" s="10"/>
      <c r="B2724" s="10"/>
      <c r="E2724" s="10"/>
      <c r="G2724" s="10"/>
      <c r="I2724" s="436" t="s">
        <v>1076</v>
      </c>
      <c r="J2724" s="26" t="s">
        <v>1075</v>
      </c>
      <c r="K2724" s="10">
        <v>35</v>
      </c>
      <c r="L2724" s="73">
        <f>IF(Tank1!$C$23="No control",(SUMIF(Tank1!$B$32:$B$49,$J2724,Tank1!$C$32:$C$49)*Impacts!$F$8),0)</f>
        <v>0</v>
      </c>
      <c r="M2724" s="10">
        <f>IF(Tank2!$C$23="No control",(SUMIF(Tank2!$B$32:$B$49,$J2724,Tank2!$C$32:$C$49)*Impacts!$F$9),0)</f>
        <v>0</v>
      </c>
      <c r="N2724" s="10">
        <f>IF(Tank3!$C$23="No control",(SUMIF(Tank3!$B$32:$B$49,$J2724,Tank3!$C$32:$C$49)*Impacts!$F$10),0)</f>
        <v>0</v>
      </c>
      <c r="O2724" s="10">
        <f>IF(Tank4!$C$23="No control",(SUMIF(Tank4!$B$32:$B$49,$J2724,Tank4!$C$32:$C$49)*Impacts!$F$11),0)</f>
        <v>0</v>
      </c>
      <c r="P2724" s="10">
        <f>IF(Tank5!$C$23="No control",(SUMIF(Tank5!$B$32:$B$49,$J2724,Tank5!$C$32:$C$49)*Impacts!$F$12),0)</f>
        <v>0</v>
      </c>
      <c r="Q2724" s="10">
        <f>IFERROR(IF(('Loading-drum,tote'!$C$21)="No control",SUMIF(('Loading-drum,tote'!$B$31:$B$48),$J2724,('Loading-drum,tote'!$D$31:$D$48))*Impacts!$F$13,IF(('Loading-drum,tote'!$C$21)&lt;&gt;"No control",SUMIF(('Loading-drum,tote'!$B$31:$B$48),$J2724,('Loading-drum,tote'!$E$31:$E$48))*Impacts!$F$13,0)),0)</f>
        <v>0</v>
      </c>
      <c r="R2724" s="10">
        <f>IFERROR(IF(('Loading-truck'!$C$21)="No control",SUMIF(('Loading-truck'!$B$31:$B$48),$J2724,('Loading-truck'!$D$31:$D$48))*Impacts!$F$14,IF(('Loading-truck'!$C$21)&lt;&gt;"No control",SUMIF(('Loading-truck'!$B$31:$B$48),$J2724,('Loading-truck'!$E$31:$E$48))*Impacts!$F$14,0)),0)</f>
        <v>0</v>
      </c>
      <c r="S2724" s="10">
        <f>IFERROR(IF(('Loading-rail'!$C$21)="No control",SUMIF(('Loading-rail'!$B$31:$B$48),$J2724,('Loading-rail'!$D$31:$D$48))*Impacts!$F$15,IF(('Loading-rail'!$C$21)&lt;&gt;"No control",SUMIF(('Loading-rail'!$B$31:$B$48),$J2724,('Loading-rail'!$E$31:$E$48))*Impacts!$F$15,0)),0)</f>
        <v>0</v>
      </c>
      <c r="T2724" s="10">
        <f>IF(Flare!$C$7="",0,(SUMIF(Flare!$B$46:$B$185,$J2724,Flare!$E$46:$E$185)*Impacts!$F$16))</f>
        <v>0</v>
      </c>
      <c r="U2724" s="10">
        <f>IF(VCU!$C$9="",0,(SUMIF(VCU!$B$51:$B$193,$J2724,VCU!$E$51:$E$193)*Impacts!$F$17))</f>
        <v>0</v>
      </c>
      <c r="V2724" s="10">
        <f>IF(CAS!$C$7="",0,(SUMIF(CAS!$B$31:$B$167,$J2724,CAS!$E$31:$E$167)*Impacts!$F$18))</f>
        <v>0</v>
      </c>
      <c r="W2724" s="10">
        <f t="shared" si="83"/>
        <v>0</v>
      </c>
      <c r="AK2724" s="10" t="str">
        <f t="array" ref="AK2724">IFERROR(INDEX(SelectedSpecies,SMALL(IF(SelectedSpecies=AK$1,ROW(SelectedSpecies)),ROW(2725:2725)),2),"")</f>
        <v/>
      </c>
      <c r="BE2724" s="10"/>
      <c r="BI2724" s="10"/>
    </row>
    <row r="2725" spans="1:61" ht="21" customHeight="1" x14ac:dyDescent="0.25">
      <c r="A2725" s="10"/>
      <c r="B2725" s="10"/>
      <c r="E2725" s="10"/>
      <c r="G2725" s="10"/>
      <c r="I2725" s="436" t="s">
        <v>5611</v>
      </c>
      <c r="J2725" s="26" t="s">
        <v>5610</v>
      </c>
      <c r="K2725" s="10">
        <v>1.1000000000000001</v>
      </c>
      <c r="L2725" s="73">
        <f>IF(Tank1!$C$23="No control",(SUMIF(Tank1!$B$32:$B$49,$J2725,Tank1!$C$32:$C$49)*Impacts!$F$8),0)</f>
        <v>0</v>
      </c>
      <c r="M2725" s="10">
        <f>IF(Tank2!$C$23="No control",(SUMIF(Tank2!$B$32:$B$49,$J2725,Tank2!$C$32:$C$49)*Impacts!$F$9),0)</f>
        <v>0</v>
      </c>
      <c r="N2725" s="10">
        <f>IF(Tank3!$C$23="No control",(SUMIF(Tank3!$B$32:$B$49,$J2725,Tank3!$C$32:$C$49)*Impacts!$F$10),0)</f>
        <v>0</v>
      </c>
      <c r="O2725" s="10">
        <f>IF(Tank4!$C$23="No control",(SUMIF(Tank4!$B$32:$B$49,$J2725,Tank4!$C$32:$C$49)*Impacts!$F$11),0)</f>
        <v>0</v>
      </c>
      <c r="P2725" s="10">
        <f>IF(Tank5!$C$23="No control",(SUMIF(Tank5!$B$32:$B$49,$J2725,Tank5!$C$32:$C$49)*Impacts!$F$12),0)</f>
        <v>0</v>
      </c>
      <c r="Q2725" s="10">
        <f>IFERROR(IF(('Loading-drum,tote'!$C$21)="No control",SUMIF(('Loading-drum,tote'!$B$31:$B$48),$J2725,('Loading-drum,tote'!$D$31:$D$48))*Impacts!$F$13,IF(('Loading-drum,tote'!$C$21)&lt;&gt;"No control",SUMIF(('Loading-drum,tote'!$B$31:$B$48),$J2725,('Loading-drum,tote'!$E$31:$E$48))*Impacts!$F$13,0)),0)</f>
        <v>0</v>
      </c>
      <c r="R2725" s="10">
        <f>IFERROR(IF(('Loading-truck'!$C$21)="No control",SUMIF(('Loading-truck'!$B$31:$B$48),$J2725,('Loading-truck'!$D$31:$D$48))*Impacts!$F$14,IF(('Loading-truck'!$C$21)&lt;&gt;"No control",SUMIF(('Loading-truck'!$B$31:$B$48),$J2725,('Loading-truck'!$E$31:$E$48))*Impacts!$F$14,0)),0)</f>
        <v>0</v>
      </c>
      <c r="S2725" s="10">
        <f>IFERROR(IF(('Loading-rail'!$C$21)="No control",SUMIF(('Loading-rail'!$B$31:$B$48),$J2725,('Loading-rail'!$D$31:$D$48))*Impacts!$F$15,IF(('Loading-rail'!$C$21)&lt;&gt;"No control",SUMIF(('Loading-rail'!$B$31:$B$48),$J2725,('Loading-rail'!$E$31:$E$48))*Impacts!$F$15,0)),0)</f>
        <v>0</v>
      </c>
      <c r="T2725" s="10">
        <f>IF(Flare!$C$7="",0,(SUMIF(Flare!$B$46:$B$185,$J2725,Flare!$E$46:$E$185)*Impacts!$F$16))</f>
        <v>0</v>
      </c>
      <c r="U2725" s="10">
        <f>IF(VCU!$C$9="",0,(SUMIF(VCU!$B$51:$B$193,$J2725,VCU!$E$51:$E$193)*Impacts!$F$17))</f>
        <v>0</v>
      </c>
      <c r="V2725" s="10">
        <f>IF(CAS!$C$7="",0,(SUMIF(CAS!$B$31:$B$167,$J2725,CAS!$E$31:$E$167)*Impacts!$F$18))</f>
        <v>0</v>
      </c>
      <c r="W2725" s="10">
        <f t="shared" si="83"/>
        <v>0</v>
      </c>
      <c r="AK2725" s="10" t="str">
        <f t="array" ref="AK2725">IFERROR(INDEX(SelectedSpecies,SMALL(IF(SelectedSpecies=AK$1,ROW(SelectedSpecies)),ROW(2726:2726)),2),"")</f>
        <v/>
      </c>
      <c r="BE2725" s="10"/>
      <c r="BI2725" s="10"/>
    </row>
    <row r="2726" spans="1:61" ht="21" customHeight="1" x14ac:dyDescent="0.25">
      <c r="A2726" s="10"/>
      <c r="B2726" s="10"/>
      <c r="E2726" s="10"/>
      <c r="G2726" s="10"/>
      <c r="I2726" s="436" t="s">
        <v>7646</v>
      </c>
      <c r="J2726" s="26" t="s">
        <v>7645</v>
      </c>
      <c r="K2726" s="10">
        <v>0.13</v>
      </c>
      <c r="L2726" s="73">
        <f>IF(Tank1!$C$23="No control",(SUMIF(Tank1!$B$32:$B$49,$J2726,Tank1!$C$32:$C$49)*Impacts!$F$8),0)</f>
        <v>0</v>
      </c>
      <c r="M2726" s="10">
        <f>IF(Tank2!$C$23="No control",(SUMIF(Tank2!$B$32:$B$49,$J2726,Tank2!$C$32:$C$49)*Impacts!$F$9),0)</f>
        <v>0</v>
      </c>
      <c r="N2726" s="10">
        <f>IF(Tank3!$C$23="No control",(SUMIF(Tank3!$B$32:$B$49,$J2726,Tank3!$C$32:$C$49)*Impacts!$F$10),0)</f>
        <v>0</v>
      </c>
      <c r="O2726" s="10">
        <f>IF(Tank4!$C$23="No control",(SUMIF(Tank4!$B$32:$B$49,$J2726,Tank4!$C$32:$C$49)*Impacts!$F$11),0)</f>
        <v>0</v>
      </c>
      <c r="P2726" s="10">
        <f>IF(Tank5!$C$23="No control",(SUMIF(Tank5!$B$32:$B$49,$J2726,Tank5!$C$32:$C$49)*Impacts!$F$12),0)</f>
        <v>0</v>
      </c>
      <c r="Q2726" s="10">
        <f>IFERROR(IF(('Loading-drum,tote'!$C$21)="No control",SUMIF(('Loading-drum,tote'!$B$31:$B$48),$J2726,('Loading-drum,tote'!$D$31:$D$48))*Impacts!$F$13,IF(('Loading-drum,tote'!$C$21)&lt;&gt;"No control",SUMIF(('Loading-drum,tote'!$B$31:$B$48),$J2726,('Loading-drum,tote'!$E$31:$E$48))*Impacts!$F$13,0)),0)</f>
        <v>0</v>
      </c>
      <c r="R2726" s="10">
        <f>IFERROR(IF(('Loading-truck'!$C$21)="No control",SUMIF(('Loading-truck'!$B$31:$B$48),$J2726,('Loading-truck'!$D$31:$D$48))*Impacts!$F$14,IF(('Loading-truck'!$C$21)&lt;&gt;"No control",SUMIF(('Loading-truck'!$B$31:$B$48),$J2726,('Loading-truck'!$E$31:$E$48))*Impacts!$F$14,0)),0)</f>
        <v>0</v>
      </c>
      <c r="S2726" s="10">
        <f>IFERROR(IF(('Loading-rail'!$C$21)="No control",SUMIF(('Loading-rail'!$B$31:$B$48),$J2726,('Loading-rail'!$D$31:$D$48))*Impacts!$F$15,IF(('Loading-rail'!$C$21)&lt;&gt;"No control",SUMIF(('Loading-rail'!$B$31:$B$48),$J2726,('Loading-rail'!$E$31:$E$48))*Impacts!$F$15,0)),0)</f>
        <v>0</v>
      </c>
      <c r="T2726" s="10">
        <f>IF(Flare!$C$7="",0,(SUMIF(Flare!$B$46:$B$185,$J2726,Flare!$E$46:$E$185)*Impacts!$F$16))</f>
        <v>0</v>
      </c>
      <c r="U2726" s="10">
        <f>IF(VCU!$C$9="",0,(SUMIF(VCU!$B$51:$B$193,$J2726,VCU!$E$51:$E$193)*Impacts!$F$17))</f>
        <v>0</v>
      </c>
      <c r="V2726" s="10">
        <f>IF(CAS!$C$7="",0,(SUMIF(CAS!$B$31:$B$167,$J2726,CAS!$E$31:$E$167)*Impacts!$F$18))</f>
        <v>0</v>
      </c>
      <c r="W2726" s="10">
        <f t="shared" si="83"/>
        <v>0</v>
      </c>
      <c r="AK2726" s="10" t="str">
        <f t="array" ref="AK2726">IFERROR(INDEX(SelectedSpecies,SMALL(IF(SelectedSpecies=AK$1,ROW(SelectedSpecies)),ROW(2727:2727)),2),"")</f>
        <v/>
      </c>
      <c r="BE2726" s="10"/>
      <c r="BI2726" s="10"/>
    </row>
    <row r="2727" spans="1:61" ht="21" customHeight="1" x14ac:dyDescent="0.25">
      <c r="A2727" s="10"/>
      <c r="B2727" s="10"/>
      <c r="E2727" s="10"/>
      <c r="G2727" s="10"/>
      <c r="I2727" s="436" t="s">
        <v>8248</v>
      </c>
      <c r="J2727" s="26" t="s">
        <v>8247</v>
      </c>
      <c r="K2727" s="10">
        <v>6.0000000000000001E-3</v>
      </c>
      <c r="L2727" s="73">
        <f>IF(Tank1!$C$23="No control",(SUMIF(Tank1!$B$32:$B$49,$J2727,Tank1!$C$32:$C$49)*Impacts!$F$8),0)</f>
        <v>0</v>
      </c>
      <c r="M2727" s="10">
        <f>IF(Tank2!$C$23="No control",(SUMIF(Tank2!$B$32:$B$49,$J2727,Tank2!$C$32:$C$49)*Impacts!$F$9),0)</f>
        <v>0</v>
      </c>
      <c r="N2727" s="10">
        <f>IF(Tank3!$C$23="No control",(SUMIF(Tank3!$B$32:$B$49,$J2727,Tank3!$C$32:$C$49)*Impacts!$F$10),0)</f>
        <v>0</v>
      </c>
      <c r="O2727" s="10">
        <f>IF(Tank4!$C$23="No control",(SUMIF(Tank4!$B$32:$B$49,$J2727,Tank4!$C$32:$C$49)*Impacts!$F$11),0)</f>
        <v>0</v>
      </c>
      <c r="P2727" s="10">
        <f>IF(Tank5!$C$23="No control",(SUMIF(Tank5!$B$32:$B$49,$J2727,Tank5!$C$32:$C$49)*Impacts!$F$12),0)</f>
        <v>0</v>
      </c>
      <c r="Q2727" s="10">
        <f>IFERROR(IF(('Loading-drum,tote'!$C$21)="No control",SUMIF(('Loading-drum,tote'!$B$31:$B$48),$J2727,('Loading-drum,tote'!$D$31:$D$48))*Impacts!$F$13,IF(('Loading-drum,tote'!$C$21)&lt;&gt;"No control",SUMIF(('Loading-drum,tote'!$B$31:$B$48),$J2727,('Loading-drum,tote'!$E$31:$E$48))*Impacts!$F$13,0)),0)</f>
        <v>0</v>
      </c>
      <c r="R2727" s="10">
        <f>IFERROR(IF(('Loading-truck'!$C$21)="No control",SUMIF(('Loading-truck'!$B$31:$B$48),$J2727,('Loading-truck'!$D$31:$D$48))*Impacts!$F$14,IF(('Loading-truck'!$C$21)&lt;&gt;"No control",SUMIF(('Loading-truck'!$B$31:$B$48),$J2727,('Loading-truck'!$E$31:$E$48))*Impacts!$F$14,0)),0)</f>
        <v>0</v>
      </c>
      <c r="S2727" s="10">
        <f>IFERROR(IF(('Loading-rail'!$C$21)="No control",SUMIF(('Loading-rail'!$B$31:$B$48),$J2727,('Loading-rail'!$D$31:$D$48))*Impacts!$F$15,IF(('Loading-rail'!$C$21)&lt;&gt;"No control",SUMIF(('Loading-rail'!$B$31:$B$48),$J2727,('Loading-rail'!$E$31:$E$48))*Impacts!$F$15,0)),0)</f>
        <v>0</v>
      </c>
      <c r="T2727" s="10">
        <f>IF(Flare!$C$7="",0,(SUMIF(Flare!$B$46:$B$185,$J2727,Flare!$E$46:$E$185)*Impacts!$F$16))</f>
        <v>0</v>
      </c>
      <c r="U2727" s="10">
        <f>IF(VCU!$C$9="",0,(SUMIF(VCU!$B$51:$B$193,$J2727,VCU!$E$51:$E$193)*Impacts!$F$17))</f>
        <v>0</v>
      </c>
      <c r="V2727" s="10">
        <f>IF(CAS!$C$7="",0,(SUMIF(CAS!$B$31:$B$167,$J2727,CAS!$E$31:$E$167)*Impacts!$F$18))</f>
        <v>0</v>
      </c>
      <c r="W2727" s="10">
        <f t="shared" si="83"/>
        <v>0</v>
      </c>
      <c r="AK2727" s="10" t="str">
        <f t="array" ref="AK2727">IFERROR(INDEX(SelectedSpecies,SMALL(IF(SelectedSpecies=AK$1,ROW(SelectedSpecies)),ROW(2728:2728)),2),"")</f>
        <v/>
      </c>
      <c r="BE2727" s="10"/>
      <c r="BI2727" s="10"/>
    </row>
    <row r="2728" spans="1:61" ht="21" customHeight="1" x14ac:dyDescent="0.25">
      <c r="A2728" s="10"/>
      <c r="B2728" s="10"/>
      <c r="E2728" s="10"/>
      <c r="G2728" s="10"/>
      <c r="I2728" s="436" t="s">
        <v>3017</v>
      </c>
      <c r="J2728" s="26" t="s">
        <v>3016</v>
      </c>
      <c r="K2728" s="10">
        <v>10</v>
      </c>
      <c r="L2728" s="73">
        <f>IF(Tank1!$C$23="No control",(SUMIF(Tank1!$B$32:$B$49,$J2728,Tank1!$C$32:$C$49)*Impacts!$F$8),0)</f>
        <v>0</v>
      </c>
      <c r="M2728" s="10">
        <f>IF(Tank2!$C$23="No control",(SUMIF(Tank2!$B$32:$B$49,$J2728,Tank2!$C$32:$C$49)*Impacts!$F$9),0)</f>
        <v>0</v>
      </c>
      <c r="N2728" s="10">
        <f>IF(Tank3!$C$23="No control",(SUMIF(Tank3!$B$32:$B$49,$J2728,Tank3!$C$32:$C$49)*Impacts!$F$10),0)</f>
        <v>0</v>
      </c>
      <c r="O2728" s="10">
        <f>IF(Tank4!$C$23="No control",(SUMIF(Tank4!$B$32:$B$49,$J2728,Tank4!$C$32:$C$49)*Impacts!$F$11),0)</f>
        <v>0</v>
      </c>
      <c r="P2728" s="10">
        <f>IF(Tank5!$C$23="No control",(SUMIF(Tank5!$B$32:$B$49,$J2728,Tank5!$C$32:$C$49)*Impacts!$F$12),0)</f>
        <v>0</v>
      </c>
      <c r="Q2728" s="10">
        <f>IFERROR(IF(('Loading-drum,tote'!$C$21)="No control",SUMIF(('Loading-drum,tote'!$B$31:$B$48),$J2728,('Loading-drum,tote'!$D$31:$D$48))*Impacts!$F$13,IF(('Loading-drum,tote'!$C$21)&lt;&gt;"No control",SUMIF(('Loading-drum,tote'!$B$31:$B$48),$J2728,('Loading-drum,tote'!$E$31:$E$48))*Impacts!$F$13,0)),0)</f>
        <v>0</v>
      </c>
      <c r="R2728" s="10">
        <f>IFERROR(IF(('Loading-truck'!$C$21)="No control",SUMIF(('Loading-truck'!$B$31:$B$48),$J2728,('Loading-truck'!$D$31:$D$48))*Impacts!$F$14,IF(('Loading-truck'!$C$21)&lt;&gt;"No control",SUMIF(('Loading-truck'!$B$31:$B$48),$J2728,('Loading-truck'!$E$31:$E$48))*Impacts!$F$14,0)),0)</f>
        <v>0</v>
      </c>
      <c r="S2728" s="10">
        <f>IFERROR(IF(('Loading-rail'!$C$21)="No control",SUMIF(('Loading-rail'!$B$31:$B$48),$J2728,('Loading-rail'!$D$31:$D$48))*Impacts!$F$15,IF(('Loading-rail'!$C$21)&lt;&gt;"No control",SUMIF(('Loading-rail'!$B$31:$B$48),$J2728,('Loading-rail'!$E$31:$E$48))*Impacts!$F$15,0)),0)</f>
        <v>0</v>
      </c>
      <c r="T2728" s="10">
        <f>IF(Flare!$C$7="",0,(SUMIF(Flare!$B$46:$B$185,$J2728,Flare!$E$46:$E$185)*Impacts!$F$16))</f>
        <v>0</v>
      </c>
      <c r="U2728" s="10">
        <f>IF(VCU!$C$9="",0,(SUMIF(VCU!$B$51:$B$193,$J2728,VCU!$E$51:$E$193)*Impacts!$F$17))</f>
        <v>0</v>
      </c>
      <c r="V2728" s="10">
        <f>IF(CAS!$C$7="",0,(SUMIF(CAS!$B$31:$B$167,$J2728,CAS!$E$31:$E$167)*Impacts!$F$18))</f>
        <v>0</v>
      </c>
      <c r="W2728" s="10">
        <f t="shared" si="83"/>
        <v>0</v>
      </c>
      <c r="AK2728" s="10" t="str">
        <f t="array" ref="AK2728">IFERROR(INDEX(SelectedSpecies,SMALL(IF(SelectedSpecies=AK$1,ROW(SelectedSpecies)),ROW(2729:2729)),2),"")</f>
        <v/>
      </c>
      <c r="BE2728" s="10"/>
      <c r="BI2728" s="10"/>
    </row>
    <row r="2729" spans="1:61" ht="21" customHeight="1" x14ac:dyDescent="0.25">
      <c r="A2729" s="10"/>
      <c r="B2729" s="10"/>
      <c r="E2729" s="10"/>
      <c r="G2729" s="10"/>
      <c r="I2729" s="436" t="s">
        <v>7648</v>
      </c>
      <c r="J2729" s="26" t="s">
        <v>7647</v>
      </c>
      <c r="K2729" s="10">
        <v>0.13</v>
      </c>
      <c r="L2729" s="73">
        <f>IF(Tank1!$C$23="No control",(SUMIF(Tank1!$B$32:$B$49,$J2729,Tank1!$C$32:$C$49)*Impacts!$F$8),0)</f>
        <v>0</v>
      </c>
      <c r="M2729" s="10">
        <f>IF(Tank2!$C$23="No control",(SUMIF(Tank2!$B$32:$B$49,$J2729,Tank2!$C$32:$C$49)*Impacts!$F$9),0)</f>
        <v>0</v>
      </c>
      <c r="N2729" s="10">
        <f>IF(Tank3!$C$23="No control",(SUMIF(Tank3!$B$32:$B$49,$J2729,Tank3!$C$32:$C$49)*Impacts!$F$10),0)</f>
        <v>0</v>
      </c>
      <c r="O2729" s="10">
        <f>IF(Tank4!$C$23="No control",(SUMIF(Tank4!$B$32:$B$49,$J2729,Tank4!$C$32:$C$49)*Impacts!$F$11),0)</f>
        <v>0</v>
      </c>
      <c r="P2729" s="10">
        <f>IF(Tank5!$C$23="No control",(SUMIF(Tank5!$B$32:$B$49,$J2729,Tank5!$C$32:$C$49)*Impacts!$F$12),0)</f>
        <v>0</v>
      </c>
      <c r="Q2729" s="10">
        <f>IFERROR(IF(('Loading-drum,tote'!$C$21)="No control",SUMIF(('Loading-drum,tote'!$B$31:$B$48),$J2729,('Loading-drum,tote'!$D$31:$D$48))*Impacts!$F$13,IF(('Loading-drum,tote'!$C$21)&lt;&gt;"No control",SUMIF(('Loading-drum,tote'!$B$31:$B$48),$J2729,('Loading-drum,tote'!$E$31:$E$48))*Impacts!$F$13,0)),0)</f>
        <v>0</v>
      </c>
      <c r="R2729" s="10">
        <f>IFERROR(IF(('Loading-truck'!$C$21)="No control",SUMIF(('Loading-truck'!$B$31:$B$48),$J2729,('Loading-truck'!$D$31:$D$48))*Impacts!$F$14,IF(('Loading-truck'!$C$21)&lt;&gt;"No control",SUMIF(('Loading-truck'!$B$31:$B$48),$J2729,('Loading-truck'!$E$31:$E$48))*Impacts!$F$14,0)),0)</f>
        <v>0</v>
      </c>
      <c r="S2729" s="10">
        <f>IFERROR(IF(('Loading-rail'!$C$21)="No control",SUMIF(('Loading-rail'!$B$31:$B$48),$J2729,('Loading-rail'!$D$31:$D$48))*Impacts!$F$15,IF(('Loading-rail'!$C$21)&lt;&gt;"No control",SUMIF(('Loading-rail'!$B$31:$B$48),$J2729,('Loading-rail'!$E$31:$E$48))*Impacts!$F$15,0)),0)</f>
        <v>0</v>
      </c>
      <c r="T2729" s="10">
        <f>IF(Flare!$C$7="",0,(SUMIF(Flare!$B$46:$B$185,$J2729,Flare!$E$46:$E$185)*Impacts!$F$16))</f>
        <v>0</v>
      </c>
      <c r="U2729" s="10">
        <f>IF(VCU!$C$9="",0,(SUMIF(VCU!$B$51:$B$193,$J2729,VCU!$E$51:$E$193)*Impacts!$F$17))</f>
        <v>0</v>
      </c>
      <c r="V2729" s="10">
        <f>IF(CAS!$C$7="",0,(SUMIF(CAS!$B$31:$B$167,$J2729,CAS!$E$31:$E$167)*Impacts!$F$18))</f>
        <v>0</v>
      </c>
      <c r="W2729" s="10">
        <f t="shared" si="83"/>
        <v>0</v>
      </c>
      <c r="AK2729" s="10" t="str">
        <f t="array" ref="AK2729">IFERROR(INDEX(SelectedSpecies,SMALL(IF(SelectedSpecies=AK$1,ROW(SelectedSpecies)),ROW(2730:2730)),2),"")</f>
        <v/>
      </c>
      <c r="BE2729" s="10"/>
      <c r="BI2729" s="10"/>
    </row>
    <row r="2730" spans="1:61" ht="21" customHeight="1" x14ac:dyDescent="0.25">
      <c r="A2730" s="10"/>
      <c r="B2730" s="10"/>
      <c r="E2730" s="10"/>
      <c r="G2730" s="10"/>
      <c r="I2730" s="436" t="s">
        <v>5353</v>
      </c>
      <c r="J2730" s="26" t="s">
        <v>5352</v>
      </c>
      <c r="K2730" s="10">
        <v>1.6</v>
      </c>
      <c r="L2730" s="73">
        <f>IF(Tank1!$C$23="No control",(SUMIF(Tank1!$B$32:$B$49,$J2730,Tank1!$C$32:$C$49)*Impacts!$F$8),0)</f>
        <v>0</v>
      </c>
      <c r="M2730" s="10">
        <f>IF(Tank2!$C$23="No control",(SUMIF(Tank2!$B$32:$B$49,$J2730,Tank2!$C$32:$C$49)*Impacts!$F$9),0)</f>
        <v>0</v>
      </c>
      <c r="N2730" s="10">
        <f>IF(Tank3!$C$23="No control",(SUMIF(Tank3!$B$32:$B$49,$J2730,Tank3!$C$32:$C$49)*Impacts!$F$10),0)</f>
        <v>0</v>
      </c>
      <c r="O2730" s="10">
        <f>IF(Tank4!$C$23="No control",(SUMIF(Tank4!$B$32:$B$49,$J2730,Tank4!$C$32:$C$49)*Impacts!$F$11),0)</f>
        <v>0</v>
      </c>
      <c r="P2730" s="10">
        <f>IF(Tank5!$C$23="No control",(SUMIF(Tank5!$B$32:$B$49,$J2730,Tank5!$C$32:$C$49)*Impacts!$F$12),0)</f>
        <v>0</v>
      </c>
      <c r="Q2730" s="10">
        <f>IFERROR(IF(('Loading-drum,tote'!$C$21)="No control",SUMIF(('Loading-drum,tote'!$B$31:$B$48),$J2730,('Loading-drum,tote'!$D$31:$D$48))*Impacts!$F$13,IF(('Loading-drum,tote'!$C$21)&lt;&gt;"No control",SUMIF(('Loading-drum,tote'!$B$31:$B$48),$J2730,('Loading-drum,tote'!$E$31:$E$48))*Impacts!$F$13,0)),0)</f>
        <v>0</v>
      </c>
      <c r="R2730" s="10">
        <f>IFERROR(IF(('Loading-truck'!$C$21)="No control",SUMIF(('Loading-truck'!$B$31:$B$48),$J2730,('Loading-truck'!$D$31:$D$48))*Impacts!$F$14,IF(('Loading-truck'!$C$21)&lt;&gt;"No control",SUMIF(('Loading-truck'!$B$31:$B$48),$J2730,('Loading-truck'!$E$31:$E$48))*Impacts!$F$14,0)),0)</f>
        <v>0</v>
      </c>
      <c r="S2730" s="10">
        <f>IFERROR(IF(('Loading-rail'!$C$21)="No control",SUMIF(('Loading-rail'!$B$31:$B$48),$J2730,('Loading-rail'!$D$31:$D$48))*Impacts!$F$15,IF(('Loading-rail'!$C$21)&lt;&gt;"No control",SUMIF(('Loading-rail'!$B$31:$B$48),$J2730,('Loading-rail'!$E$31:$E$48))*Impacts!$F$15,0)),0)</f>
        <v>0</v>
      </c>
      <c r="T2730" s="10">
        <f>IF(Flare!$C$7="",0,(SUMIF(Flare!$B$46:$B$185,$J2730,Flare!$E$46:$E$185)*Impacts!$F$16))</f>
        <v>0</v>
      </c>
      <c r="U2730" s="10">
        <f>IF(VCU!$C$9="",0,(SUMIF(VCU!$B$51:$B$193,$J2730,VCU!$E$51:$E$193)*Impacts!$F$17))</f>
        <v>0</v>
      </c>
      <c r="V2730" s="10">
        <f>IF(CAS!$C$7="",0,(SUMIF(CAS!$B$31:$B$167,$J2730,CAS!$E$31:$E$167)*Impacts!$F$18))</f>
        <v>0</v>
      </c>
      <c r="W2730" s="10">
        <f t="shared" si="83"/>
        <v>0</v>
      </c>
      <c r="AK2730" s="10" t="str">
        <f t="array" ref="AK2730">IFERROR(INDEX(SelectedSpecies,SMALL(IF(SelectedSpecies=AK$1,ROW(SelectedSpecies)),ROW(2731:2731)),2),"")</f>
        <v/>
      </c>
      <c r="BE2730" s="10"/>
      <c r="BI2730" s="10"/>
    </row>
    <row r="2731" spans="1:61" ht="21" customHeight="1" x14ac:dyDescent="0.25">
      <c r="A2731" s="10"/>
      <c r="B2731" s="10"/>
      <c r="E2731" s="10"/>
      <c r="G2731" s="10"/>
      <c r="I2731" s="436" t="s">
        <v>7650</v>
      </c>
      <c r="J2731" s="26" t="s">
        <v>7649</v>
      </c>
      <c r="K2731" s="10">
        <v>0.13</v>
      </c>
      <c r="L2731" s="73">
        <f>IF(Tank1!$C$23="No control",(SUMIF(Tank1!$B$32:$B$49,$J2731,Tank1!$C$32:$C$49)*Impacts!$F$8),0)</f>
        <v>0</v>
      </c>
      <c r="M2731" s="10">
        <f>IF(Tank2!$C$23="No control",(SUMIF(Tank2!$B$32:$B$49,$J2731,Tank2!$C$32:$C$49)*Impacts!$F$9),0)</f>
        <v>0</v>
      </c>
      <c r="N2731" s="10">
        <f>IF(Tank3!$C$23="No control",(SUMIF(Tank3!$B$32:$B$49,$J2731,Tank3!$C$32:$C$49)*Impacts!$F$10),0)</f>
        <v>0</v>
      </c>
      <c r="O2731" s="10">
        <f>IF(Tank4!$C$23="No control",(SUMIF(Tank4!$B$32:$B$49,$J2731,Tank4!$C$32:$C$49)*Impacts!$F$11),0)</f>
        <v>0</v>
      </c>
      <c r="P2731" s="10">
        <f>IF(Tank5!$C$23="No control",(SUMIF(Tank5!$B$32:$B$49,$J2731,Tank5!$C$32:$C$49)*Impacts!$F$12),0)</f>
        <v>0</v>
      </c>
      <c r="Q2731" s="10">
        <f>IFERROR(IF(('Loading-drum,tote'!$C$21)="No control",SUMIF(('Loading-drum,tote'!$B$31:$B$48),$J2731,('Loading-drum,tote'!$D$31:$D$48))*Impacts!$F$13,IF(('Loading-drum,tote'!$C$21)&lt;&gt;"No control",SUMIF(('Loading-drum,tote'!$B$31:$B$48),$J2731,('Loading-drum,tote'!$E$31:$E$48))*Impacts!$F$13,0)),0)</f>
        <v>0</v>
      </c>
      <c r="R2731" s="10">
        <f>IFERROR(IF(('Loading-truck'!$C$21)="No control",SUMIF(('Loading-truck'!$B$31:$B$48),$J2731,('Loading-truck'!$D$31:$D$48))*Impacts!$F$14,IF(('Loading-truck'!$C$21)&lt;&gt;"No control",SUMIF(('Loading-truck'!$B$31:$B$48),$J2731,('Loading-truck'!$E$31:$E$48))*Impacts!$F$14,0)),0)</f>
        <v>0</v>
      </c>
      <c r="S2731" s="10">
        <f>IFERROR(IF(('Loading-rail'!$C$21)="No control",SUMIF(('Loading-rail'!$B$31:$B$48),$J2731,('Loading-rail'!$D$31:$D$48))*Impacts!$F$15,IF(('Loading-rail'!$C$21)&lt;&gt;"No control",SUMIF(('Loading-rail'!$B$31:$B$48),$J2731,('Loading-rail'!$E$31:$E$48))*Impacts!$F$15,0)),0)</f>
        <v>0</v>
      </c>
      <c r="T2731" s="10">
        <f>IF(Flare!$C$7="",0,(SUMIF(Flare!$B$46:$B$185,$J2731,Flare!$E$46:$E$185)*Impacts!$F$16))</f>
        <v>0</v>
      </c>
      <c r="U2731" s="10">
        <f>IF(VCU!$C$9="",0,(SUMIF(VCU!$B$51:$B$193,$J2731,VCU!$E$51:$E$193)*Impacts!$F$17))</f>
        <v>0</v>
      </c>
      <c r="V2731" s="10">
        <f>IF(CAS!$C$7="",0,(SUMIF(CAS!$B$31:$B$167,$J2731,CAS!$E$31:$E$167)*Impacts!$F$18))</f>
        <v>0</v>
      </c>
      <c r="W2731" s="10">
        <f t="shared" si="83"/>
        <v>0</v>
      </c>
      <c r="AK2731" s="10" t="str">
        <f t="array" ref="AK2731">IFERROR(INDEX(SelectedSpecies,SMALL(IF(SelectedSpecies=AK$1,ROW(SelectedSpecies)),ROW(2732:2732)),2),"")</f>
        <v/>
      </c>
      <c r="BE2731" s="10"/>
      <c r="BI2731" s="10"/>
    </row>
    <row r="2732" spans="1:61" ht="21" customHeight="1" x14ac:dyDescent="0.25">
      <c r="A2732" s="10"/>
      <c r="B2732" s="10"/>
      <c r="E2732" s="10"/>
      <c r="G2732" s="10"/>
      <c r="I2732" s="436" t="s">
        <v>1078</v>
      </c>
      <c r="J2732" s="26" t="s">
        <v>1077</v>
      </c>
      <c r="K2732" s="10">
        <v>35</v>
      </c>
      <c r="L2732" s="73">
        <f>IF(Tank1!$C$23="No control",(SUMIF(Tank1!$B$32:$B$49,$J2732,Tank1!$C$32:$C$49)*Impacts!$F$8),0)</f>
        <v>0</v>
      </c>
      <c r="M2732" s="10">
        <f>IF(Tank2!$C$23="No control",(SUMIF(Tank2!$B$32:$B$49,$J2732,Tank2!$C$32:$C$49)*Impacts!$F$9),0)</f>
        <v>0</v>
      </c>
      <c r="N2732" s="10">
        <f>IF(Tank3!$C$23="No control",(SUMIF(Tank3!$B$32:$B$49,$J2732,Tank3!$C$32:$C$49)*Impacts!$F$10),0)</f>
        <v>0</v>
      </c>
      <c r="O2732" s="10">
        <f>IF(Tank4!$C$23="No control",(SUMIF(Tank4!$B$32:$B$49,$J2732,Tank4!$C$32:$C$49)*Impacts!$F$11),0)</f>
        <v>0</v>
      </c>
      <c r="P2732" s="10">
        <f>IF(Tank5!$C$23="No control",(SUMIF(Tank5!$B$32:$B$49,$J2732,Tank5!$C$32:$C$49)*Impacts!$F$12),0)</f>
        <v>0</v>
      </c>
      <c r="Q2732" s="10">
        <f>IFERROR(IF(('Loading-drum,tote'!$C$21)="No control",SUMIF(('Loading-drum,tote'!$B$31:$B$48),$J2732,('Loading-drum,tote'!$D$31:$D$48))*Impacts!$F$13,IF(('Loading-drum,tote'!$C$21)&lt;&gt;"No control",SUMIF(('Loading-drum,tote'!$B$31:$B$48),$J2732,('Loading-drum,tote'!$E$31:$E$48))*Impacts!$F$13,0)),0)</f>
        <v>0</v>
      </c>
      <c r="R2732" s="10">
        <f>IFERROR(IF(('Loading-truck'!$C$21)="No control",SUMIF(('Loading-truck'!$B$31:$B$48),$J2732,('Loading-truck'!$D$31:$D$48))*Impacts!$F$14,IF(('Loading-truck'!$C$21)&lt;&gt;"No control",SUMIF(('Loading-truck'!$B$31:$B$48),$J2732,('Loading-truck'!$E$31:$E$48))*Impacts!$F$14,0)),0)</f>
        <v>0</v>
      </c>
      <c r="S2732" s="10">
        <f>IFERROR(IF(('Loading-rail'!$C$21)="No control",SUMIF(('Loading-rail'!$B$31:$B$48),$J2732,('Loading-rail'!$D$31:$D$48))*Impacts!$F$15,IF(('Loading-rail'!$C$21)&lt;&gt;"No control",SUMIF(('Loading-rail'!$B$31:$B$48),$J2732,('Loading-rail'!$E$31:$E$48))*Impacts!$F$15,0)),0)</f>
        <v>0</v>
      </c>
      <c r="T2732" s="10">
        <f>IF(Flare!$C$7="",0,(SUMIF(Flare!$B$46:$B$185,$J2732,Flare!$E$46:$E$185)*Impacts!$F$16))</f>
        <v>0</v>
      </c>
      <c r="U2732" s="10">
        <f>IF(VCU!$C$9="",0,(SUMIF(VCU!$B$51:$B$193,$J2732,VCU!$E$51:$E$193)*Impacts!$F$17))</f>
        <v>0</v>
      </c>
      <c r="V2732" s="10">
        <f>IF(CAS!$C$7="",0,(SUMIF(CAS!$B$31:$B$167,$J2732,CAS!$E$31:$E$167)*Impacts!$F$18))</f>
        <v>0</v>
      </c>
      <c r="W2732" s="10">
        <f t="shared" si="83"/>
        <v>0</v>
      </c>
      <c r="AK2732" s="10" t="str">
        <f t="array" ref="AK2732">IFERROR(INDEX(SelectedSpecies,SMALL(IF(SelectedSpecies=AK$1,ROW(SelectedSpecies)),ROW(2733:2733)),2),"")</f>
        <v/>
      </c>
      <c r="BE2732" s="10"/>
      <c r="BI2732" s="10"/>
    </row>
    <row r="2733" spans="1:61" ht="21" customHeight="1" x14ac:dyDescent="0.25">
      <c r="A2733" s="10"/>
      <c r="B2733" s="10"/>
      <c r="E2733" s="10"/>
      <c r="G2733" s="10"/>
      <c r="I2733" s="436" t="s">
        <v>7286</v>
      </c>
      <c r="J2733" s="26" t="s">
        <v>7285</v>
      </c>
      <c r="K2733" s="10">
        <v>0.30000000000000004</v>
      </c>
      <c r="L2733" s="73">
        <f>IF(Tank1!$C$23="No control",(SUMIF(Tank1!$B$32:$B$49,$J2733,Tank1!$C$32:$C$49)*Impacts!$F$8),0)</f>
        <v>0</v>
      </c>
      <c r="M2733" s="10">
        <f>IF(Tank2!$C$23="No control",(SUMIF(Tank2!$B$32:$B$49,$J2733,Tank2!$C$32:$C$49)*Impacts!$F$9),0)</f>
        <v>0</v>
      </c>
      <c r="N2733" s="10">
        <f>IF(Tank3!$C$23="No control",(SUMIF(Tank3!$B$32:$B$49,$J2733,Tank3!$C$32:$C$49)*Impacts!$F$10),0)</f>
        <v>0</v>
      </c>
      <c r="O2733" s="10">
        <f>IF(Tank4!$C$23="No control",(SUMIF(Tank4!$B$32:$B$49,$J2733,Tank4!$C$32:$C$49)*Impacts!$F$11),0)</f>
        <v>0</v>
      </c>
      <c r="P2733" s="10">
        <f>IF(Tank5!$C$23="No control",(SUMIF(Tank5!$B$32:$B$49,$J2733,Tank5!$C$32:$C$49)*Impacts!$F$12),0)</f>
        <v>0</v>
      </c>
      <c r="Q2733" s="10">
        <f>IFERROR(IF(('Loading-drum,tote'!$C$21)="No control",SUMIF(('Loading-drum,tote'!$B$31:$B$48),$J2733,('Loading-drum,tote'!$D$31:$D$48))*Impacts!$F$13,IF(('Loading-drum,tote'!$C$21)&lt;&gt;"No control",SUMIF(('Loading-drum,tote'!$B$31:$B$48),$J2733,('Loading-drum,tote'!$E$31:$E$48))*Impacts!$F$13,0)),0)</f>
        <v>0</v>
      </c>
      <c r="R2733" s="10">
        <f>IFERROR(IF(('Loading-truck'!$C$21)="No control",SUMIF(('Loading-truck'!$B$31:$B$48),$J2733,('Loading-truck'!$D$31:$D$48))*Impacts!$F$14,IF(('Loading-truck'!$C$21)&lt;&gt;"No control",SUMIF(('Loading-truck'!$B$31:$B$48),$J2733,('Loading-truck'!$E$31:$E$48))*Impacts!$F$14,0)),0)</f>
        <v>0</v>
      </c>
      <c r="S2733" s="10">
        <f>IFERROR(IF(('Loading-rail'!$C$21)="No control",SUMIF(('Loading-rail'!$B$31:$B$48),$J2733,('Loading-rail'!$D$31:$D$48))*Impacts!$F$15,IF(('Loading-rail'!$C$21)&lt;&gt;"No control",SUMIF(('Loading-rail'!$B$31:$B$48),$J2733,('Loading-rail'!$E$31:$E$48))*Impacts!$F$15,0)),0)</f>
        <v>0</v>
      </c>
      <c r="T2733" s="10">
        <f>IF(Flare!$C$7="",0,(SUMIF(Flare!$B$46:$B$185,$J2733,Flare!$E$46:$E$185)*Impacts!$F$16))</f>
        <v>0</v>
      </c>
      <c r="U2733" s="10">
        <f>IF(VCU!$C$9="",0,(SUMIF(VCU!$B$51:$B$193,$J2733,VCU!$E$51:$E$193)*Impacts!$F$17))</f>
        <v>0</v>
      </c>
      <c r="V2733" s="10">
        <f>IF(CAS!$C$7="",0,(SUMIF(CAS!$B$31:$B$167,$J2733,CAS!$E$31:$E$167)*Impacts!$F$18))</f>
        <v>0</v>
      </c>
      <c r="W2733" s="10">
        <f t="shared" si="83"/>
        <v>0</v>
      </c>
      <c r="AK2733" s="10" t="str">
        <f t="array" ref="AK2733">IFERROR(INDEX(SelectedSpecies,SMALL(IF(SelectedSpecies=AK$1,ROW(SelectedSpecies)),ROW(2734:2734)),2),"")</f>
        <v/>
      </c>
      <c r="BE2733" s="10"/>
      <c r="BI2733" s="10"/>
    </row>
    <row r="2734" spans="1:61" ht="21" customHeight="1" x14ac:dyDescent="0.25">
      <c r="A2734" s="10"/>
      <c r="B2734" s="10"/>
      <c r="E2734" s="10"/>
      <c r="G2734" s="10"/>
      <c r="I2734" s="436" t="s">
        <v>4349</v>
      </c>
      <c r="J2734" s="26" t="s">
        <v>4348</v>
      </c>
      <c r="K2734" s="10">
        <v>4.9000000000000004</v>
      </c>
      <c r="L2734" s="73">
        <f>IF(Tank1!$C$23="No control",(SUMIF(Tank1!$B$32:$B$49,$J2734,Tank1!$C$32:$C$49)*Impacts!$F$8),0)</f>
        <v>0</v>
      </c>
      <c r="M2734" s="10">
        <f>IF(Tank2!$C$23="No control",(SUMIF(Tank2!$B$32:$B$49,$J2734,Tank2!$C$32:$C$49)*Impacts!$F$9),0)</f>
        <v>0</v>
      </c>
      <c r="N2734" s="10">
        <f>IF(Tank3!$C$23="No control",(SUMIF(Tank3!$B$32:$B$49,$J2734,Tank3!$C$32:$C$49)*Impacts!$F$10),0)</f>
        <v>0</v>
      </c>
      <c r="O2734" s="10">
        <f>IF(Tank4!$C$23="No control",(SUMIF(Tank4!$B$32:$B$49,$J2734,Tank4!$C$32:$C$49)*Impacts!$F$11),0)</f>
        <v>0</v>
      </c>
      <c r="P2734" s="10">
        <f>IF(Tank5!$C$23="No control",(SUMIF(Tank5!$B$32:$B$49,$J2734,Tank5!$C$32:$C$49)*Impacts!$F$12),0)</f>
        <v>0</v>
      </c>
      <c r="Q2734" s="10">
        <f>IFERROR(IF(('Loading-drum,tote'!$C$21)="No control",SUMIF(('Loading-drum,tote'!$B$31:$B$48),$J2734,('Loading-drum,tote'!$D$31:$D$48))*Impacts!$F$13,IF(('Loading-drum,tote'!$C$21)&lt;&gt;"No control",SUMIF(('Loading-drum,tote'!$B$31:$B$48),$J2734,('Loading-drum,tote'!$E$31:$E$48))*Impacts!$F$13,0)),0)</f>
        <v>0</v>
      </c>
      <c r="R2734" s="10">
        <f>IFERROR(IF(('Loading-truck'!$C$21)="No control",SUMIF(('Loading-truck'!$B$31:$B$48),$J2734,('Loading-truck'!$D$31:$D$48))*Impacts!$F$14,IF(('Loading-truck'!$C$21)&lt;&gt;"No control",SUMIF(('Loading-truck'!$B$31:$B$48),$J2734,('Loading-truck'!$E$31:$E$48))*Impacts!$F$14,0)),0)</f>
        <v>0</v>
      </c>
      <c r="S2734" s="10">
        <f>IFERROR(IF(('Loading-rail'!$C$21)="No control",SUMIF(('Loading-rail'!$B$31:$B$48),$J2734,('Loading-rail'!$D$31:$D$48))*Impacts!$F$15,IF(('Loading-rail'!$C$21)&lt;&gt;"No control",SUMIF(('Loading-rail'!$B$31:$B$48),$J2734,('Loading-rail'!$E$31:$E$48))*Impacts!$F$15,0)),0)</f>
        <v>0</v>
      </c>
      <c r="T2734" s="10">
        <f>IF(Flare!$C$7="",0,(SUMIF(Flare!$B$46:$B$185,$J2734,Flare!$E$46:$E$185)*Impacts!$F$16))</f>
        <v>0</v>
      </c>
      <c r="U2734" s="10">
        <f>IF(VCU!$C$9="",0,(SUMIF(VCU!$B$51:$B$193,$J2734,VCU!$E$51:$E$193)*Impacts!$F$17))</f>
        <v>0</v>
      </c>
      <c r="V2734" s="10">
        <f>IF(CAS!$C$7="",0,(SUMIF(CAS!$B$31:$B$167,$J2734,CAS!$E$31:$E$167)*Impacts!$F$18))</f>
        <v>0</v>
      </c>
      <c r="W2734" s="10">
        <f t="shared" si="83"/>
        <v>0</v>
      </c>
      <c r="AK2734" s="10" t="str">
        <f t="array" ref="AK2734">IFERROR(INDEX(SelectedSpecies,SMALL(IF(SelectedSpecies=AK$1,ROW(SelectedSpecies)),ROW(2735:2735)),2),"")</f>
        <v/>
      </c>
      <c r="BE2734" s="10"/>
      <c r="BI2734" s="10"/>
    </row>
    <row r="2735" spans="1:61" ht="21" customHeight="1" x14ac:dyDescent="0.25">
      <c r="A2735" s="10"/>
      <c r="B2735" s="10"/>
      <c r="E2735" s="10"/>
      <c r="G2735" s="10"/>
      <c r="I2735" s="436" t="s">
        <v>7518</v>
      </c>
      <c r="J2735" s="26" t="s">
        <v>7517</v>
      </c>
      <c r="K2735" s="10">
        <v>0.2</v>
      </c>
      <c r="L2735" s="73">
        <f>IF(Tank1!$C$23="No control",(SUMIF(Tank1!$B$32:$B$49,$J2735,Tank1!$C$32:$C$49)*Impacts!$F$8),0)</f>
        <v>0</v>
      </c>
      <c r="M2735" s="10">
        <f>IF(Tank2!$C$23="No control",(SUMIF(Tank2!$B$32:$B$49,$J2735,Tank2!$C$32:$C$49)*Impacts!$F$9),0)</f>
        <v>0</v>
      </c>
      <c r="N2735" s="10">
        <f>IF(Tank3!$C$23="No control",(SUMIF(Tank3!$B$32:$B$49,$J2735,Tank3!$C$32:$C$49)*Impacts!$F$10),0)</f>
        <v>0</v>
      </c>
      <c r="O2735" s="10">
        <f>IF(Tank4!$C$23="No control",(SUMIF(Tank4!$B$32:$B$49,$J2735,Tank4!$C$32:$C$49)*Impacts!$F$11),0)</f>
        <v>0</v>
      </c>
      <c r="P2735" s="10">
        <f>IF(Tank5!$C$23="No control",(SUMIF(Tank5!$B$32:$B$49,$J2735,Tank5!$C$32:$C$49)*Impacts!$F$12),0)</f>
        <v>0</v>
      </c>
      <c r="Q2735" s="10">
        <f>IFERROR(IF(('Loading-drum,tote'!$C$21)="No control",SUMIF(('Loading-drum,tote'!$B$31:$B$48),$J2735,('Loading-drum,tote'!$D$31:$D$48))*Impacts!$F$13,IF(('Loading-drum,tote'!$C$21)&lt;&gt;"No control",SUMIF(('Loading-drum,tote'!$B$31:$B$48),$J2735,('Loading-drum,tote'!$E$31:$E$48))*Impacts!$F$13,0)),0)</f>
        <v>0</v>
      </c>
      <c r="R2735" s="10">
        <f>IFERROR(IF(('Loading-truck'!$C$21)="No control",SUMIF(('Loading-truck'!$B$31:$B$48),$J2735,('Loading-truck'!$D$31:$D$48))*Impacts!$F$14,IF(('Loading-truck'!$C$21)&lt;&gt;"No control",SUMIF(('Loading-truck'!$B$31:$B$48),$J2735,('Loading-truck'!$E$31:$E$48))*Impacts!$F$14,0)),0)</f>
        <v>0</v>
      </c>
      <c r="S2735" s="10">
        <f>IFERROR(IF(('Loading-rail'!$C$21)="No control",SUMIF(('Loading-rail'!$B$31:$B$48),$J2735,('Loading-rail'!$D$31:$D$48))*Impacts!$F$15,IF(('Loading-rail'!$C$21)&lt;&gt;"No control",SUMIF(('Loading-rail'!$B$31:$B$48),$J2735,('Loading-rail'!$E$31:$E$48))*Impacts!$F$15,0)),0)</f>
        <v>0</v>
      </c>
      <c r="T2735" s="10">
        <f>IF(Flare!$C$7="",0,(SUMIF(Flare!$B$46:$B$185,$J2735,Flare!$E$46:$E$185)*Impacts!$F$16))</f>
        <v>0</v>
      </c>
      <c r="U2735" s="10">
        <f>IF(VCU!$C$9="",0,(SUMIF(VCU!$B$51:$B$193,$J2735,VCU!$E$51:$E$193)*Impacts!$F$17))</f>
        <v>0</v>
      </c>
      <c r="V2735" s="10">
        <f>IF(CAS!$C$7="",0,(SUMIF(CAS!$B$31:$B$167,$J2735,CAS!$E$31:$E$167)*Impacts!$F$18))</f>
        <v>0</v>
      </c>
      <c r="W2735" s="10">
        <f t="shared" si="83"/>
        <v>0</v>
      </c>
      <c r="AK2735" s="10" t="str">
        <f t="array" ref="AK2735">IFERROR(INDEX(SelectedSpecies,SMALL(IF(SelectedSpecies=AK$1,ROW(SelectedSpecies)),ROW(2736:2736)),2),"")</f>
        <v/>
      </c>
      <c r="BE2735" s="10"/>
      <c r="BI2735" s="10"/>
    </row>
    <row r="2736" spans="1:61" ht="21" customHeight="1" x14ac:dyDescent="0.25">
      <c r="A2736" s="10"/>
      <c r="B2736" s="10"/>
      <c r="E2736" s="10"/>
      <c r="G2736" s="10"/>
      <c r="I2736" s="436" t="s">
        <v>5612</v>
      </c>
      <c r="J2736" s="26" t="s">
        <v>5610</v>
      </c>
      <c r="K2736" s="10">
        <v>1.1000000000000001</v>
      </c>
      <c r="L2736" s="73">
        <f>IF(Tank1!$C$23="No control",(SUMIF(Tank1!$B$32:$B$49,$J2736,Tank1!$C$32:$C$49)*Impacts!$F$8),0)</f>
        <v>0</v>
      </c>
      <c r="M2736" s="10">
        <f>IF(Tank2!$C$23="No control",(SUMIF(Tank2!$B$32:$B$49,$J2736,Tank2!$C$32:$C$49)*Impacts!$F$9),0)</f>
        <v>0</v>
      </c>
      <c r="N2736" s="10">
        <f>IF(Tank3!$C$23="No control",(SUMIF(Tank3!$B$32:$B$49,$J2736,Tank3!$C$32:$C$49)*Impacts!$F$10),0)</f>
        <v>0</v>
      </c>
      <c r="O2736" s="10">
        <f>IF(Tank4!$C$23="No control",(SUMIF(Tank4!$B$32:$B$49,$J2736,Tank4!$C$32:$C$49)*Impacts!$F$11),0)</f>
        <v>0</v>
      </c>
      <c r="P2736" s="10">
        <f>IF(Tank5!$C$23="No control",(SUMIF(Tank5!$B$32:$B$49,$J2736,Tank5!$C$32:$C$49)*Impacts!$F$12),0)</f>
        <v>0</v>
      </c>
      <c r="Q2736" s="10">
        <f>IFERROR(IF(('Loading-drum,tote'!$C$21)="No control",SUMIF(('Loading-drum,tote'!$B$31:$B$48),$J2736,('Loading-drum,tote'!$D$31:$D$48))*Impacts!$F$13,IF(('Loading-drum,tote'!$C$21)&lt;&gt;"No control",SUMIF(('Loading-drum,tote'!$B$31:$B$48),$J2736,('Loading-drum,tote'!$E$31:$E$48))*Impacts!$F$13,0)),0)</f>
        <v>0</v>
      </c>
      <c r="R2736" s="10">
        <f>IFERROR(IF(('Loading-truck'!$C$21)="No control",SUMIF(('Loading-truck'!$B$31:$B$48),$J2736,('Loading-truck'!$D$31:$D$48))*Impacts!$F$14,IF(('Loading-truck'!$C$21)&lt;&gt;"No control",SUMIF(('Loading-truck'!$B$31:$B$48),$J2736,('Loading-truck'!$E$31:$E$48))*Impacts!$F$14,0)),0)</f>
        <v>0</v>
      </c>
      <c r="S2736" s="10">
        <f>IFERROR(IF(('Loading-rail'!$C$21)="No control",SUMIF(('Loading-rail'!$B$31:$B$48),$J2736,('Loading-rail'!$D$31:$D$48))*Impacts!$F$15,IF(('Loading-rail'!$C$21)&lt;&gt;"No control",SUMIF(('Loading-rail'!$B$31:$B$48),$J2736,('Loading-rail'!$E$31:$E$48))*Impacts!$F$15,0)),0)</f>
        <v>0</v>
      </c>
      <c r="T2736" s="10">
        <f>IF(Flare!$C$7="",0,(SUMIF(Flare!$B$46:$B$185,$J2736,Flare!$E$46:$E$185)*Impacts!$F$16))</f>
        <v>0</v>
      </c>
      <c r="U2736" s="10">
        <f>IF(VCU!$C$9="",0,(SUMIF(VCU!$B$51:$B$193,$J2736,VCU!$E$51:$E$193)*Impacts!$F$17))</f>
        <v>0</v>
      </c>
      <c r="V2736" s="10">
        <f>IF(CAS!$C$7="",0,(SUMIF(CAS!$B$31:$B$167,$J2736,CAS!$E$31:$E$167)*Impacts!$F$18))</f>
        <v>0</v>
      </c>
      <c r="W2736" s="10">
        <f t="shared" si="83"/>
        <v>0</v>
      </c>
      <c r="AK2736" s="10" t="str">
        <f t="array" ref="AK2736">IFERROR(INDEX(SelectedSpecies,SMALL(IF(SelectedSpecies=AK$1,ROW(SelectedSpecies)),ROW(2737:2737)),2),"")</f>
        <v/>
      </c>
      <c r="BE2736" s="10"/>
      <c r="BI2736" s="10"/>
    </row>
    <row r="2737" spans="1:61" ht="21" customHeight="1" x14ac:dyDescent="0.25">
      <c r="A2737" s="10"/>
      <c r="B2737" s="10"/>
      <c r="E2737" s="10"/>
      <c r="G2737" s="10"/>
      <c r="I2737" s="436" t="s">
        <v>840</v>
      </c>
      <c r="J2737" s="26" t="s">
        <v>839</v>
      </c>
      <c r="K2737" s="10">
        <v>48</v>
      </c>
      <c r="L2737" s="73">
        <f>IF(Tank1!$C$23="No control",(SUMIF(Tank1!$B$32:$B$49,$J2737,Tank1!$C$32:$C$49)*Impacts!$F$8),0)</f>
        <v>0</v>
      </c>
      <c r="M2737" s="10">
        <f>IF(Tank2!$C$23="No control",(SUMIF(Tank2!$B$32:$B$49,$J2737,Tank2!$C$32:$C$49)*Impacts!$F$9),0)</f>
        <v>0</v>
      </c>
      <c r="N2737" s="10">
        <f>IF(Tank3!$C$23="No control",(SUMIF(Tank3!$B$32:$B$49,$J2737,Tank3!$C$32:$C$49)*Impacts!$F$10),0)</f>
        <v>0</v>
      </c>
      <c r="O2737" s="10">
        <f>IF(Tank4!$C$23="No control",(SUMIF(Tank4!$B$32:$B$49,$J2737,Tank4!$C$32:$C$49)*Impacts!$F$11),0)</f>
        <v>0</v>
      </c>
      <c r="P2737" s="10">
        <f>IF(Tank5!$C$23="No control",(SUMIF(Tank5!$B$32:$B$49,$J2737,Tank5!$C$32:$C$49)*Impacts!$F$12),0)</f>
        <v>0</v>
      </c>
      <c r="Q2737" s="10">
        <f>IFERROR(IF(('Loading-drum,tote'!$C$21)="No control",SUMIF(('Loading-drum,tote'!$B$31:$B$48),$J2737,('Loading-drum,tote'!$D$31:$D$48))*Impacts!$F$13,IF(('Loading-drum,tote'!$C$21)&lt;&gt;"No control",SUMIF(('Loading-drum,tote'!$B$31:$B$48),$J2737,('Loading-drum,tote'!$E$31:$E$48))*Impacts!$F$13,0)),0)</f>
        <v>0</v>
      </c>
      <c r="R2737" s="10">
        <f>IFERROR(IF(('Loading-truck'!$C$21)="No control",SUMIF(('Loading-truck'!$B$31:$B$48),$J2737,('Loading-truck'!$D$31:$D$48))*Impacts!$F$14,IF(('Loading-truck'!$C$21)&lt;&gt;"No control",SUMIF(('Loading-truck'!$B$31:$B$48),$J2737,('Loading-truck'!$E$31:$E$48))*Impacts!$F$14,0)),0)</f>
        <v>0</v>
      </c>
      <c r="S2737" s="10">
        <f>IFERROR(IF(('Loading-rail'!$C$21)="No control",SUMIF(('Loading-rail'!$B$31:$B$48),$J2737,('Loading-rail'!$D$31:$D$48))*Impacts!$F$15,IF(('Loading-rail'!$C$21)&lt;&gt;"No control",SUMIF(('Loading-rail'!$B$31:$B$48),$J2737,('Loading-rail'!$E$31:$E$48))*Impacts!$F$15,0)),0)</f>
        <v>0</v>
      </c>
      <c r="T2737" s="10">
        <f>IF(Flare!$C$7="",0,(SUMIF(Flare!$B$46:$B$185,$J2737,Flare!$E$46:$E$185)*Impacts!$F$16))</f>
        <v>0</v>
      </c>
      <c r="U2737" s="10">
        <f>IF(VCU!$C$9="",0,(SUMIF(VCU!$B$51:$B$193,$J2737,VCU!$E$51:$E$193)*Impacts!$F$17))</f>
        <v>0</v>
      </c>
      <c r="V2737" s="10">
        <f>IF(CAS!$C$7="",0,(SUMIF(CAS!$B$31:$B$167,$J2737,CAS!$E$31:$E$167)*Impacts!$F$18))</f>
        <v>0</v>
      </c>
      <c r="W2737" s="10">
        <f t="shared" si="83"/>
        <v>0</v>
      </c>
      <c r="AK2737" s="10" t="str">
        <f t="array" ref="AK2737">IFERROR(INDEX(SelectedSpecies,SMALL(IF(SelectedSpecies=AK$1,ROW(SelectedSpecies)),ROW(2738:2738)),2),"")</f>
        <v/>
      </c>
      <c r="BE2737" s="10"/>
      <c r="BI2737" s="10"/>
    </row>
    <row r="2738" spans="1:61" ht="21" customHeight="1" x14ac:dyDescent="0.25">
      <c r="A2738" s="10"/>
      <c r="B2738" s="10"/>
      <c r="E2738" s="10"/>
      <c r="G2738" s="10"/>
      <c r="I2738" s="436" t="s">
        <v>3753</v>
      </c>
      <c r="J2738" s="26" t="s">
        <v>3752</v>
      </c>
      <c r="K2738" s="10">
        <v>6.1000000000000005</v>
      </c>
      <c r="L2738" s="73">
        <f>IF(Tank1!$C$23="No control",(SUMIF(Tank1!$B$32:$B$49,$J2738,Tank1!$C$32:$C$49)*Impacts!$F$8),0)</f>
        <v>0</v>
      </c>
      <c r="M2738" s="10">
        <f>IF(Tank2!$C$23="No control",(SUMIF(Tank2!$B$32:$B$49,$J2738,Tank2!$C$32:$C$49)*Impacts!$F$9),0)</f>
        <v>0</v>
      </c>
      <c r="N2738" s="10">
        <f>IF(Tank3!$C$23="No control",(SUMIF(Tank3!$B$32:$B$49,$J2738,Tank3!$C$32:$C$49)*Impacts!$F$10),0)</f>
        <v>0</v>
      </c>
      <c r="O2738" s="10">
        <f>IF(Tank4!$C$23="No control",(SUMIF(Tank4!$B$32:$B$49,$J2738,Tank4!$C$32:$C$49)*Impacts!$F$11),0)</f>
        <v>0</v>
      </c>
      <c r="P2738" s="10">
        <f>IF(Tank5!$C$23="No control",(SUMIF(Tank5!$B$32:$B$49,$J2738,Tank5!$C$32:$C$49)*Impacts!$F$12),0)</f>
        <v>0</v>
      </c>
      <c r="Q2738" s="10">
        <f>IFERROR(IF(('Loading-drum,tote'!$C$21)="No control",SUMIF(('Loading-drum,tote'!$B$31:$B$48),$J2738,('Loading-drum,tote'!$D$31:$D$48))*Impacts!$F$13,IF(('Loading-drum,tote'!$C$21)&lt;&gt;"No control",SUMIF(('Loading-drum,tote'!$B$31:$B$48),$J2738,('Loading-drum,tote'!$E$31:$E$48))*Impacts!$F$13,0)),0)</f>
        <v>0</v>
      </c>
      <c r="R2738" s="10">
        <f>IFERROR(IF(('Loading-truck'!$C$21)="No control",SUMIF(('Loading-truck'!$B$31:$B$48),$J2738,('Loading-truck'!$D$31:$D$48))*Impacts!$F$14,IF(('Loading-truck'!$C$21)&lt;&gt;"No control",SUMIF(('Loading-truck'!$B$31:$B$48),$J2738,('Loading-truck'!$E$31:$E$48))*Impacts!$F$14,0)),0)</f>
        <v>0</v>
      </c>
      <c r="S2738" s="10">
        <f>IFERROR(IF(('Loading-rail'!$C$21)="No control",SUMIF(('Loading-rail'!$B$31:$B$48),$J2738,('Loading-rail'!$D$31:$D$48))*Impacts!$F$15,IF(('Loading-rail'!$C$21)&lt;&gt;"No control",SUMIF(('Loading-rail'!$B$31:$B$48),$J2738,('Loading-rail'!$E$31:$E$48))*Impacts!$F$15,0)),0)</f>
        <v>0</v>
      </c>
      <c r="T2738" s="10">
        <f>IF(Flare!$C$7="",0,(SUMIF(Flare!$B$46:$B$185,$J2738,Flare!$E$46:$E$185)*Impacts!$F$16))</f>
        <v>0</v>
      </c>
      <c r="U2738" s="10">
        <f>IF(VCU!$C$9="",0,(SUMIF(VCU!$B$51:$B$193,$J2738,VCU!$E$51:$E$193)*Impacts!$F$17))</f>
        <v>0</v>
      </c>
      <c r="V2738" s="10">
        <f>IF(CAS!$C$7="",0,(SUMIF(CAS!$B$31:$B$167,$J2738,CAS!$E$31:$E$167)*Impacts!$F$18))</f>
        <v>0</v>
      </c>
      <c r="W2738" s="10">
        <f t="shared" si="83"/>
        <v>0</v>
      </c>
      <c r="AK2738" s="10" t="str">
        <f t="array" ref="AK2738">IFERROR(INDEX(SelectedSpecies,SMALL(IF(SelectedSpecies=AK$1,ROW(SelectedSpecies)),ROW(2739:2739)),2),"")</f>
        <v/>
      </c>
      <c r="BE2738" s="10"/>
      <c r="BI2738" s="10"/>
    </row>
    <row r="2739" spans="1:61" ht="21" customHeight="1" x14ac:dyDescent="0.25">
      <c r="A2739" s="10"/>
      <c r="B2739" s="10"/>
      <c r="E2739" s="10"/>
      <c r="G2739" s="10"/>
      <c r="I2739" s="436" t="s">
        <v>7932</v>
      </c>
      <c r="J2739" s="26" t="s">
        <v>7931</v>
      </c>
      <c r="K2739" s="10">
        <v>0.05</v>
      </c>
      <c r="L2739" s="73">
        <f>IF(Tank1!$C$23="No control",(SUMIF(Tank1!$B$32:$B$49,$J2739,Tank1!$C$32:$C$49)*Impacts!$F$8),0)</f>
        <v>0</v>
      </c>
      <c r="M2739" s="10">
        <f>IF(Tank2!$C$23="No control",(SUMIF(Tank2!$B$32:$B$49,$J2739,Tank2!$C$32:$C$49)*Impacts!$F$9),0)</f>
        <v>0</v>
      </c>
      <c r="N2739" s="10">
        <f>IF(Tank3!$C$23="No control",(SUMIF(Tank3!$B$32:$B$49,$J2739,Tank3!$C$32:$C$49)*Impacts!$F$10),0)</f>
        <v>0</v>
      </c>
      <c r="O2739" s="10">
        <f>IF(Tank4!$C$23="No control",(SUMIF(Tank4!$B$32:$B$49,$J2739,Tank4!$C$32:$C$49)*Impacts!$F$11),0)</f>
        <v>0</v>
      </c>
      <c r="P2739" s="10">
        <f>IF(Tank5!$C$23="No control",(SUMIF(Tank5!$B$32:$B$49,$J2739,Tank5!$C$32:$C$49)*Impacts!$F$12),0)</f>
        <v>0</v>
      </c>
      <c r="Q2739" s="10">
        <f>IFERROR(IF(('Loading-drum,tote'!$C$21)="No control",SUMIF(('Loading-drum,tote'!$B$31:$B$48),$J2739,('Loading-drum,tote'!$D$31:$D$48))*Impacts!$F$13,IF(('Loading-drum,tote'!$C$21)&lt;&gt;"No control",SUMIF(('Loading-drum,tote'!$B$31:$B$48),$J2739,('Loading-drum,tote'!$E$31:$E$48))*Impacts!$F$13,0)),0)</f>
        <v>0</v>
      </c>
      <c r="R2739" s="10">
        <f>IFERROR(IF(('Loading-truck'!$C$21)="No control",SUMIF(('Loading-truck'!$B$31:$B$48),$J2739,('Loading-truck'!$D$31:$D$48))*Impacts!$F$14,IF(('Loading-truck'!$C$21)&lt;&gt;"No control",SUMIF(('Loading-truck'!$B$31:$B$48),$J2739,('Loading-truck'!$E$31:$E$48))*Impacts!$F$14,0)),0)</f>
        <v>0</v>
      </c>
      <c r="S2739" s="10">
        <f>IFERROR(IF(('Loading-rail'!$C$21)="No control",SUMIF(('Loading-rail'!$B$31:$B$48),$J2739,('Loading-rail'!$D$31:$D$48))*Impacts!$F$15,IF(('Loading-rail'!$C$21)&lt;&gt;"No control",SUMIF(('Loading-rail'!$B$31:$B$48),$J2739,('Loading-rail'!$E$31:$E$48))*Impacts!$F$15,0)),0)</f>
        <v>0</v>
      </c>
      <c r="T2739" s="10">
        <f>IF(Flare!$C$7="",0,(SUMIF(Flare!$B$46:$B$185,$J2739,Flare!$E$46:$E$185)*Impacts!$F$16))</f>
        <v>0</v>
      </c>
      <c r="U2739" s="10">
        <f>IF(VCU!$C$9="",0,(SUMIF(VCU!$B$51:$B$193,$J2739,VCU!$E$51:$E$193)*Impacts!$F$17))</f>
        <v>0</v>
      </c>
      <c r="V2739" s="10">
        <f>IF(CAS!$C$7="",0,(SUMIF(CAS!$B$31:$B$167,$J2739,CAS!$E$31:$E$167)*Impacts!$F$18))</f>
        <v>0</v>
      </c>
      <c r="W2739" s="10">
        <f t="shared" si="83"/>
        <v>0</v>
      </c>
      <c r="AK2739" s="10" t="str">
        <f t="array" ref="AK2739">IFERROR(INDEX(SelectedSpecies,SMALL(IF(SelectedSpecies=AK$1,ROW(SelectedSpecies)),ROW(2740:2740)),2),"")</f>
        <v/>
      </c>
      <c r="BE2739" s="10"/>
      <c r="BI2739" s="10"/>
    </row>
    <row r="2740" spans="1:61" ht="21" customHeight="1" x14ac:dyDescent="0.25">
      <c r="A2740" s="10"/>
      <c r="B2740" s="10"/>
      <c r="E2740" s="10"/>
      <c r="G2740" s="10"/>
      <c r="I2740" s="436" t="s">
        <v>1704</v>
      </c>
      <c r="J2740" s="26" t="s">
        <v>1703</v>
      </c>
      <c r="K2740" s="10">
        <v>24.5</v>
      </c>
      <c r="L2740" s="73">
        <f>IF(Tank1!$C$23="No control",(SUMIF(Tank1!$B$32:$B$49,$J2740,Tank1!$C$32:$C$49)*Impacts!$F$8),0)</f>
        <v>0</v>
      </c>
      <c r="M2740" s="10">
        <f>IF(Tank2!$C$23="No control",(SUMIF(Tank2!$B$32:$B$49,$J2740,Tank2!$C$32:$C$49)*Impacts!$F$9),0)</f>
        <v>0</v>
      </c>
      <c r="N2740" s="10">
        <f>IF(Tank3!$C$23="No control",(SUMIF(Tank3!$B$32:$B$49,$J2740,Tank3!$C$32:$C$49)*Impacts!$F$10),0)</f>
        <v>0</v>
      </c>
      <c r="O2740" s="10">
        <f>IF(Tank4!$C$23="No control",(SUMIF(Tank4!$B$32:$B$49,$J2740,Tank4!$C$32:$C$49)*Impacts!$F$11),0)</f>
        <v>0</v>
      </c>
      <c r="P2740" s="10">
        <f>IF(Tank5!$C$23="No control",(SUMIF(Tank5!$B$32:$B$49,$J2740,Tank5!$C$32:$C$49)*Impacts!$F$12),0)</f>
        <v>0</v>
      </c>
      <c r="Q2740" s="10">
        <f>IFERROR(IF(('Loading-drum,tote'!$C$21)="No control",SUMIF(('Loading-drum,tote'!$B$31:$B$48),$J2740,('Loading-drum,tote'!$D$31:$D$48))*Impacts!$F$13,IF(('Loading-drum,tote'!$C$21)&lt;&gt;"No control",SUMIF(('Loading-drum,tote'!$B$31:$B$48),$J2740,('Loading-drum,tote'!$E$31:$E$48))*Impacts!$F$13,0)),0)</f>
        <v>0</v>
      </c>
      <c r="R2740" s="10">
        <f>IFERROR(IF(('Loading-truck'!$C$21)="No control",SUMIF(('Loading-truck'!$B$31:$B$48),$J2740,('Loading-truck'!$D$31:$D$48))*Impacts!$F$14,IF(('Loading-truck'!$C$21)&lt;&gt;"No control",SUMIF(('Loading-truck'!$B$31:$B$48),$J2740,('Loading-truck'!$E$31:$E$48))*Impacts!$F$14,0)),0)</f>
        <v>0</v>
      </c>
      <c r="S2740" s="10">
        <f>IFERROR(IF(('Loading-rail'!$C$21)="No control",SUMIF(('Loading-rail'!$B$31:$B$48),$J2740,('Loading-rail'!$D$31:$D$48))*Impacts!$F$15,IF(('Loading-rail'!$C$21)&lt;&gt;"No control",SUMIF(('Loading-rail'!$B$31:$B$48),$J2740,('Loading-rail'!$E$31:$E$48))*Impacts!$F$15,0)),0)</f>
        <v>0</v>
      </c>
      <c r="T2740" s="10">
        <f>IF(Flare!$C$7="",0,(SUMIF(Flare!$B$46:$B$185,$J2740,Flare!$E$46:$E$185)*Impacts!$F$16))</f>
        <v>0</v>
      </c>
      <c r="U2740" s="10">
        <f>IF(VCU!$C$9="",0,(SUMIF(VCU!$B$51:$B$193,$J2740,VCU!$E$51:$E$193)*Impacts!$F$17))</f>
        <v>0</v>
      </c>
      <c r="V2740" s="10">
        <f>IF(CAS!$C$7="",0,(SUMIF(CAS!$B$31:$B$167,$J2740,CAS!$E$31:$E$167)*Impacts!$F$18))</f>
        <v>0</v>
      </c>
      <c r="W2740" s="10">
        <f t="shared" si="83"/>
        <v>0</v>
      </c>
      <c r="AK2740" s="10" t="str">
        <f t="array" ref="AK2740">IFERROR(INDEX(SelectedSpecies,SMALL(IF(SelectedSpecies=AK$1,ROW(SelectedSpecies)),ROW(2741:2741)),2),"")</f>
        <v/>
      </c>
      <c r="BE2740" s="10"/>
      <c r="BI2740" s="10"/>
    </row>
    <row r="2741" spans="1:61" ht="21" customHeight="1" x14ac:dyDescent="0.25">
      <c r="A2741" s="10"/>
      <c r="B2741" s="10"/>
      <c r="E2741" s="10"/>
      <c r="G2741" s="10"/>
      <c r="I2741" s="436" t="s">
        <v>3019</v>
      </c>
      <c r="J2741" s="26" t="s">
        <v>3018</v>
      </c>
      <c r="K2741" s="10">
        <v>10</v>
      </c>
      <c r="L2741" s="73">
        <f>IF(Tank1!$C$23="No control",(SUMIF(Tank1!$B$32:$B$49,$J2741,Tank1!$C$32:$C$49)*Impacts!$F$8),0)</f>
        <v>0</v>
      </c>
      <c r="M2741" s="10">
        <f>IF(Tank2!$C$23="No control",(SUMIF(Tank2!$B$32:$B$49,$J2741,Tank2!$C$32:$C$49)*Impacts!$F$9),0)</f>
        <v>0</v>
      </c>
      <c r="N2741" s="10">
        <f>IF(Tank3!$C$23="No control",(SUMIF(Tank3!$B$32:$B$49,$J2741,Tank3!$C$32:$C$49)*Impacts!$F$10),0)</f>
        <v>0</v>
      </c>
      <c r="O2741" s="10">
        <f>IF(Tank4!$C$23="No control",(SUMIF(Tank4!$B$32:$B$49,$J2741,Tank4!$C$32:$C$49)*Impacts!$F$11),0)</f>
        <v>0</v>
      </c>
      <c r="P2741" s="10">
        <f>IF(Tank5!$C$23="No control",(SUMIF(Tank5!$B$32:$B$49,$J2741,Tank5!$C$32:$C$49)*Impacts!$F$12),0)</f>
        <v>0</v>
      </c>
      <c r="Q2741" s="10">
        <f>IFERROR(IF(('Loading-drum,tote'!$C$21)="No control",SUMIF(('Loading-drum,tote'!$B$31:$B$48),$J2741,('Loading-drum,tote'!$D$31:$D$48))*Impacts!$F$13,IF(('Loading-drum,tote'!$C$21)&lt;&gt;"No control",SUMIF(('Loading-drum,tote'!$B$31:$B$48),$J2741,('Loading-drum,tote'!$E$31:$E$48))*Impacts!$F$13,0)),0)</f>
        <v>0</v>
      </c>
      <c r="R2741" s="10">
        <f>IFERROR(IF(('Loading-truck'!$C$21)="No control",SUMIF(('Loading-truck'!$B$31:$B$48),$J2741,('Loading-truck'!$D$31:$D$48))*Impacts!$F$14,IF(('Loading-truck'!$C$21)&lt;&gt;"No control",SUMIF(('Loading-truck'!$B$31:$B$48),$J2741,('Loading-truck'!$E$31:$E$48))*Impacts!$F$14,0)),0)</f>
        <v>0</v>
      </c>
      <c r="S2741" s="10">
        <f>IFERROR(IF(('Loading-rail'!$C$21)="No control",SUMIF(('Loading-rail'!$B$31:$B$48),$J2741,('Loading-rail'!$D$31:$D$48))*Impacts!$F$15,IF(('Loading-rail'!$C$21)&lt;&gt;"No control",SUMIF(('Loading-rail'!$B$31:$B$48),$J2741,('Loading-rail'!$E$31:$E$48))*Impacts!$F$15,0)),0)</f>
        <v>0</v>
      </c>
      <c r="T2741" s="10">
        <f>IF(Flare!$C$7="",0,(SUMIF(Flare!$B$46:$B$185,$J2741,Flare!$E$46:$E$185)*Impacts!$F$16))</f>
        <v>0</v>
      </c>
      <c r="U2741" s="10">
        <f>IF(VCU!$C$9="",0,(SUMIF(VCU!$B$51:$B$193,$J2741,VCU!$E$51:$E$193)*Impacts!$F$17))</f>
        <v>0</v>
      </c>
      <c r="V2741" s="10">
        <f>IF(CAS!$C$7="",0,(SUMIF(CAS!$B$31:$B$167,$J2741,CAS!$E$31:$E$167)*Impacts!$F$18))</f>
        <v>0</v>
      </c>
      <c r="W2741" s="10">
        <f t="shared" si="83"/>
        <v>0</v>
      </c>
      <c r="AK2741" s="10" t="str">
        <f t="array" ref="AK2741">IFERROR(INDEX(SelectedSpecies,SMALL(IF(SelectedSpecies=AK$1,ROW(SelectedSpecies)),ROW(2742:2742)),2),"")</f>
        <v/>
      </c>
      <c r="BE2741" s="10"/>
      <c r="BI2741" s="10"/>
    </row>
    <row r="2742" spans="1:61" ht="21" customHeight="1" x14ac:dyDescent="0.25">
      <c r="A2742" s="10"/>
      <c r="B2742" s="10"/>
      <c r="E2742" s="10"/>
      <c r="G2742" s="10"/>
      <c r="I2742" s="436" t="s">
        <v>1080</v>
      </c>
      <c r="J2742" s="26" t="s">
        <v>1079</v>
      </c>
      <c r="K2742" s="10">
        <v>35</v>
      </c>
      <c r="L2742" s="73">
        <f>IF(Tank1!$C$23="No control",(SUMIF(Tank1!$B$32:$B$49,$J2742,Tank1!$C$32:$C$49)*Impacts!$F$8),0)</f>
        <v>0</v>
      </c>
      <c r="M2742" s="10">
        <f>IF(Tank2!$C$23="No control",(SUMIF(Tank2!$B$32:$B$49,$J2742,Tank2!$C$32:$C$49)*Impacts!$F$9),0)</f>
        <v>0</v>
      </c>
      <c r="N2742" s="10">
        <f>IF(Tank3!$C$23="No control",(SUMIF(Tank3!$B$32:$B$49,$J2742,Tank3!$C$32:$C$49)*Impacts!$F$10),0)</f>
        <v>0</v>
      </c>
      <c r="O2742" s="10">
        <f>IF(Tank4!$C$23="No control",(SUMIF(Tank4!$B$32:$B$49,$J2742,Tank4!$C$32:$C$49)*Impacts!$F$11),0)</f>
        <v>0</v>
      </c>
      <c r="P2742" s="10">
        <f>IF(Tank5!$C$23="No control",(SUMIF(Tank5!$B$32:$B$49,$J2742,Tank5!$C$32:$C$49)*Impacts!$F$12),0)</f>
        <v>0</v>
      </c>
      <c r="Q2742" s="10">
        <f>IFERROR(IF(('Loading-drum,tote'!$C$21)="No control",SUMIF(('Loading-drum,tote'!$B$31:$B$48),$J2742,('Loading-drum,tote'!$D$31:$D$48))*Impacts!$F$13,IF(('Loading-drum,tote'!$C$21)&lt;&gt;"No control",SUMIF(('Loading-drum,tote'!$B$31:$B$48),$J2742,('Loading-drum,tote'!$E$31:$E$48))*Impacts!$F$13,0)),0)</f>
        <v>0</v>
      </c>
      <c r="R2742" s="10">
        <f>IFERROR(IF(('Loading-truck'!$C$21)="No control",SUMIF(('Loading-truck'!$B$31:$B$48),$J2742,('Loading-truck'!$D$31:$D$48))*Impacts!$F$14,IF(('Loading-truck'!$C$21)&lt;&gt;"No control",SUMIF(('Loading-truck'!$B$31:$B$48),$J2742,('Loading-truck'!$E$31:$E$48))*Impacts!$F$14,0)),0)</f>
        <v>0</v>
      </c>
      <c r="S2742" s="10">
        <f>IFERROR(IF(('Loading-rail'!$C$21)="No control",SUMIF(('Loading-rail'!$B$31:$B$48),$J2742,('Loading-rail'!$D$31:$D$48))*Impacts!$F$15,IF(('Loading-rail'!$C$21)&lt;&gt;"No control",SUMIF(('Loading-rail'!$B$31:$B$48),$J2742,('Loading-rail'!$E$31:$E$48))*Impacts!$F$15,0)),0)</f>
        <v>0</v>
      </c>
      <c r="T2742" s="10">
        <f>IF(Flare!$C$7="",0,(SUMIF(Flare!$B$46:$B$185,$J2742,Flare!$E$46:$E$185)*Impacts!$F$16))</f>
        <v>0</v>
      </c>
      <c r="U2742" s="10">
        <f>IF(VCU!$C$9="",0,(SUMIF(VCU!$B$51:$B$193,$J2742,VCU!$E$51:$E$193)*Impacts!$F$17))</f>
        <v>0</v>
      </c>
      <c r="V2742" s="10">
        <f>IF(CAS!$C$7="",0,(SUMIF(CAS!$B$31:$B$167,$J2742,CAS!$E$31:$E$167)*Impacts!$F$18))</f>
        <v>0</v>
      </c>
      <c r="W2742" s="10">
        <f t="shared" si="83"/>
        <v>0</v>
      </c>
      <c r="AK2742" s="10" t="str">
        <f t="array" ref="AK2742">IFERROR(INDEX(SelectedSpecies,SMALL(IF(SelectedSpecies=AK$1,ROW(SelectedSpecies)),ROW(2743:2743)),2),"")</f>
        <v/>
      </c>
      <c r="BE2742" s="10"/>
      <c r="BI2742" s="10"/>
    </row>
    <row r="2743" spans="1:61" ht="21" customHeight="1" x14ac:dyDescent="0.25">
      <c r="A2743" s="10"/>
      <c r="B2743" s="10"/>
      <c r="E2743" s="10"/>
      <c r="G2743" s="10"/>
      <c r="I2743" s="436" t="s">
        <v>3021</v>
      </c>
      <c r="J2743" s="26" t="s">
        <v>3020</v>
      </c>
      <c r="K2743" s="10">
        <v>10</v>
      </c>
      <c r="L2743" s="73">
        <f>IF(Tank1!$C$23="No control",(SUMIF(Tank1!$B$32:$B$49,$J2743,Tank1!$C$32:$C$49)*Impacts!$F$8),0)</f>
        <v>0</v>
      </c>
      <c r="M2743" s="10">
        <f>IF(Tank2!$C$23="No control",(SUMIF(Tank2!$B$32:$B$49,$J2743,Tank2!$C$32:$C$49)*Impacts!$F$9),0)</f>
        <v>0</v>
      </c>
      <c r="N2743" s="10">
        <f>IF(Tank3!$C$23="No control",(SUMIF(Tank3!$B$32:$B$49,$J2743,Tank3!$C$32:$C$49)*Impacts!$F$10),0)</f>
        <v>0</v>
      </c>
      <c r="O2743" s="10">
        <f>IF(Tank4!$C$23="No control",(SUMIF(Tank4!$B$32:$B$49,$J2743,Tank4!$C$32:$C$49)*Impacts!$F$11),0)</f>
        <v>0</v>
      </c>
      <c r="P2743" s="10">
        <f>IF(Tank5!$C$23="No control",(SUMIF(Tank5!$B$32:$B$49,$J2743,Tank5!$C$32:$C$49)*Impacts!$F$12),0)</f>
        <v>0</v>
      </c>
      <c r="Q2743" s="10">
        <f>IFERROR(IF(('Loading-drum,tote'!$C$21)="No control",SUMIF(('Loading-drum,tote'!$B$31:$B$48),$J2743,('Loading-drum,tote'!$D$31:$D$48))*Impacts!$F$13,IF(('Loading-drum,tote'!$C$21)&lt;&gt;"No control",SUMIF(('Loading-drum,tote'!$B$31:$B$48),$J2743,('Loading-drum,tote'!$E$31:$E$48))*Impacts!$F$13,0)),0)</f>
        <v>0</v>
      </c>
      <c r="R2743" s="10">
        <f>IFERROR(IF(('Loading-truck'!$C$21)="No control",SUMIF(('Loading-truck'!$B$31:$B$48),$J2743,('Loading-truck'!$D$31:$D$48))*Impacts!$F$14,IF(('Loading-truck'!$C$21)&lt;&gt;"No control",SUMIF(('Loading-truck'!$B$31:$B$48),$J2743,('Loading-truck'!$E$31:$E$48))*Impacts!$F$14,0)),0)</f>
        <v>0</v>
      </c>
      <c r="S2743" s="10">
        <f>IFERROR(IF(('Loading-rail'!$C$21)="No control",SUMIF(('Loading-rail'!$B$31:$B$48),$J2743,('Loading-rail'!$D$31:$D$48))*Impacts!$F$15,IF(('Loading-rail'!$C$21)&lt;&gt;"No control",SUMIF(('Loading-rail'!$B$31:$B$48),$J2743,('Loading-rail'!$E$31:$E$48))*Impacts!$F$15,0)),0)</f>
        <v>0</v>
      </c>
      <c r="T2743" s="10">
        <f>IF(Flare!$C$7="",0,(SUMIF(Flare!$B$46:$B$185,$J2743,Flare!$E$46:$E$185)*Impacts!$F$16))</f>
        <v>0</v>
      </c>
      <c r="U2743" s="10">
        <f>IF(VCU!$C$9="",0,(SUMIF(VCU!$B$51:$B$193,$J2743,VCU!$E$51:$E$193)*Impacts!$F$17))</f>
        <v>0</v>
      </c>
      <c r="V2743" s="10">
        <f>IF(CAS!$C$7="",0,(SUMIF(CAS!$B$31:$B$167,$J2743,CAS!$E$31:$E$167)*Impacts!$F$18))</f>
        <v>0</v>
      </c>
      <c r="W2743" s="10">
        <f t="shared" si="83"/>
        <v>0</v>
      </c>
      <c r="AK2743" s="10" t="str">
        <f t="array" ref="AK2743">IFERROR(INDEX(SelectedSpecies,SMALL(IF(SelectedSpecies=AK$1,ROW(SelectedSpecies)),ROW(2744:2744)),2),"")</f>
        <v/>
      </c>
      <c r="BE2743" s="10"/>
      <c r="BI2743" s="10"/>
    </row>
    <row r="2744" spans="1:61" ht="21" customHeight="1" x14ac:dyDescent="0.25">
      <c r="A2744" s="10"/>
      <c r="B2744" s="10"/>
      <c r="E2744" s="10"/>
      <c r="G2744" s="10"/>
      <c r="I2744" s="436" t="s">
        <v>2261</v>
      </c>
      <c r="J2744" s="26" t="s">
        <v>2260</v>
      </c>
      <c r="K2744" s="10">
        <v>12.5</v>
      </c>
      <c r="L2744" s="73">
        <f>IF(Tank1!$C$23="No control",(SUMIF(Tank1!$B$32:$B$49,$J2744,Tank1!$C$32:$C$49)*Impacts!$F$8),0)</f>
        <v>0</v>
      </c>
      <c r="M2744" s="10">
        <f>IF(Tank2!$C$23="No control",(SUMIF(Tank2!$B$32:$B$49,$J2744,Tank2!$C$32:$C$49)*Impacts!$F$9),0)</f>
        <v>0</v>
      </c>
      <c r="N2744" s="10">
        <f>IF(Tank3!$C$23="No control",(SUMIF(Tank3!$B$32:$B$49,$J2744,Tank3!$C$32:$C$49)*Impacts!$F$10),0)</f>
        <v>0</v>
      </c>
      <c r="O2744" s="10">
        <f>IF(Tank4!$C$23="No control",(SUMIF(Tank4!$B$32:$B$49,$J2744,Tank4!$C$32:$C$49)*Impacts!$F$11),0)</f>
        <v>0</v>
      </c>
      <c r="P2744" s="10">
        <f>IF(Tank5!$C$23="No control",(SUMIF(Tank5!$B$32:$B$49,$J2744,Tank5!$C$32:$C$49)*Impacts!$F$12),0)</f>
        <v>0</v>
      </c>
      <c r="Q2744" s="10">
        <f>IFERROR(IF(('Loading-drum,tote'!$C$21)="No control",SUMIF(('Loading-drum,tote'!$B$31:$B$48),$J2744,('Loading-drum,tote'!$D$31:$D$48))*Impacts!$F$13,IF(('Loading-drum,tote'!$C$21)&lt;&gt;"No control",SUMIF(('Loading-drum,tote'!$B$31:$B$48),$J2744,('Loading-drum,tote'!$E$31:$E$48))*Impacts!$F$13,0)),0)</f>
        <v>0</v>
      </c>
      <c r="R2744" s="10">
        <f>IFERROR(IF(('Loading-truck'!$C$21)="No control",SUMIF(('Loading-truck'!$B$31:$B$48),$J2744,('Loading-truck'!$D$31:$D$48))*Impacts!$F$14,IF(('Loading-truck'!$C$21)&lt;&gt;"No control",SUMIF(('Loading-truck'!$B$31:$B$48),$J2744,('Loading-truck'!$E$31:$E$48))*Impacts!$F$14,0)),0)</f>
        <v>0</v>
      </c>
      <c r="S2744" s="10">
        <f>IFERROR(IF(('Loading-rail'!$C$21)="No control",SUMIF(('Loading-rail'!$B$31:$B$48),$J2744,('Loading-rail'!$D$31:$D$48))*Impacts!$F$15,IF(('Loading-rail'!$C$21)&lt;&gt;"No control",SUMIF(('Loading-rail'!$B$31:$B$48),$J2744,('Loading-rail'!$E$31:$E$48))*Impacts!$F$15,0)),0)</f>
        <v>0</v>
      </c>
      <c r="T2744" s="10">
        <f>IF(Flare!$C$7="",0,(SUMIF(Flare!$B$46:$B$185,$J2744,Flare!$E$46:$E$185)*Impacts!$F$16))</f>
        <v>0</v>
      </c>
      <c r="U2744" s="10">
        <f>IF(VCU!$C$9="",0,(SUMIF(VCU!$B$51:$B$193,$J2744,VCU!$E$51:$E$193)*Impacts!$F$17))</f>
        <v>0</v>
      </c>
      <c r="V2744" s="10">
        <f>IF(CAS!$C$7="",0,(SUMIF(CAS!$B$31:$B$167,$J2744,CAS!$E$31:$E$167)*Impacts!$F$18))</f>
        <v>0</v>
      </c>
      <c r="W2744" s="10">
        <f t="shared" si="83"/>
        <v>0</v>
      </c>
      <c r="AK2744" s="10" t="str">
        <f t="array" ref="AK2744">IFERROR(INDEX(SelectedSpecies,SMALL(IF(SelectedSpecies=AK$1,ROW(SelectedSpecies)),ROW(2745:2745)),2),"")</f>
        <v/>
      </c>
      <c r="BE2744" s="10"/>
      <c r="BI2744" s="10"/>
    </row>
    <row r="2745" spans="1:61" ht="21" customHeight="1" x14ac:dyDescent="0.25">
      <c r="A2745" s="10"/>
      <c r="B2745" s="10"/>
      <c r="E2745" s="10"/>
      <c r="G2745" s="10"/>
      <c r="I2745" s="436" t="s">
        <v>1082</v>
      </c>
      <c r="J2745" s="26" t="s">
        <v>1081</v>
      </c>
      <c r="K2745" s="10">
        <v>35</v>
      </c>
      <c r="L2745" s="73">
        <f>IF(Tank1!$C$23="No control",(SUMIF(Tank1!$B$32:$B$49,$J2745,Tank1!$C$32:$C$49)*Impacts!$F$8),0)</f>
        <v>0</v>
      </c>
      <c r="M2745" s="10">
        <f>IF(Tank2!$C$23="No control",(SUMIF(Tank2!$B$32:$B$49,$J2745,Tank2!$C$32:$C$49)*Impacts!$F$9),0)</f>
        <v>0</v>
      </c>
      <c r="N2745" s="10">
        <f>IF(Tank3!$C$23="No control",(SUMIF(Tank3!$B$32:$B$49,$J2745,Tank3!$C$32:$C$49)*Impacts!$F$10),0)</f>
        <v>0</v>
      </c>
      <c r="O2745" s="10">
        <f>IF(Tank4!$C$23="No control",(SUMIF(Tank4!$B$32:$B$49,$J2745,Tank4!$C$32:$C$49)*Impacts!$F$11),0)</f>
        <v>0</v>
      </c>
      <c r="P2745" s="10">
        <f>IF(Tank5!$C$23="No control",(SUMIF(Tank5!$B$32:$B$49,$J2745,Tank5!$C$32:$C$49)*Impacts!$F$12),0)</f>
        <v>0</v>
      </c>
      <c r="Q2745" s="10">
        <f>IFERROR(IF(('Loading-drum,tote'!$C$21)="No control",SUMIF(('Loading-drum,tote'!$B$31:$B$48),$J2745,('Loading-drum,tote'!$D$31:$D$48))*Impacts!$F$13,IF(('Loading-drum,tote'!$C$21)&lt;&gt;"No control",SUMIF(('Loading-drum,tote'!$B$31:$B$48),$J2745,('Loading-drum,tote'!$E$31:$E$48))*Impacts!$F$13,0)),0)</f>
        <v>0</v>
      </c>
      <c r="R2745" s="10">
        <f>IFERROR(IF(('Loading-truck'!$C$21)="No control",SUMIF(('Loading-truck'!$B$31:$B$48),$J2745,('Loading-truck'!$D$31:$D$48))*Impacts!$F$14,IF(('Loading-truck'!$C$21)&lt;&gt;"No control",SUMIF(('Loading-truck'!$B$31:$B$48),$J2745,('Loading-truck'!$E$31:$E$48))*Impacts!$F$14,0)),0)</f>
        <v>0</v>
      </c>
      <c r="S2745" s="10">
        <f>IFERROR(IF(('Loading-rail'!$C$21)="No control",SUMIF(('Loading-rail'!$B$31:$B$48),$J2745,('Loading-rail'!$D$31:$D$48))*Impacts!$F$15,IF(('Loading-rail'!$C$21)&lt;&gt;"No control",SUMIF(('Loading-rail'!$B$31:$B$48),$J2745,('Loading-rail'!$E$31:$E$48))*Impacts!$F$15,0)),0)</f>
        <v>0</v>
      </c>
      <c r="T2745" s="10">
        <f>IF(Flare!$C$7="",0,(SUMIF(Flare!$B$46:$B$185,$J2745,Flare!$E$46:$E$185)*Impacts!$F$16))</f>
        <v>0</v>
      </c>
      <c r="U2745" s="10">
        <f>IF(VCU!$C$9="",0,(SUMIF(VCU!$B$51:$B$193,$J2745,VCU!$E$51:$E$193)*Impacts!$F$17))</f>
        <v>0</v>
      </c>
      <c r="V2745" s="10">
        <f>IF(CAS!$C$7="",0,(SUMIF(CAS!$B$31:$B$167,$J2745,CAS!$E$31:$E$167)*Impacts!$F$18))</f>
        <v>0</v>
      </c>
      <c r="W2745" s="10">
        <f t="shared" si="83"/>
        <v>0</v>
      </c>
      <c r="AK2745" s="10" t="str">
        <f t="array" ref="AK2745">IFERROR(INDEX(SelectedSpecies,SMALL(IF(SelectedSpecies=AK$1,ROW(SelectedSpecies)),ROW(2746:2746)),2),"")</f>
        <v/>
      </c>
      <c r="BE2745" s="10"/>
      <c r="BI2745" s="10"/>
    </row>
    <row r="2746" spans="1:61" ht="21" customHeight="1" x14ac:dyDescent="0.25">
      <c r="A2746" s="10"/>
      <c r="B2746" s="10"/>
      <c r="E2746" s="10"/>
      <c r="G2746" s="10"/>
      <c r="I2746" s="436" t="s">
        <v>2543</v>
      </c>
      <c r="J2746" s="26" t="s">
        <v>2542</v>
      </c>
      <c r="K2746" s="10">
        <v>10</v>
      </c>
      <c r="L2746" s="73">
        <f>IF(Tank1!$C$23="No control",(SUMIF(Tank1!$B$32:$B$49,$J2746,Tank1!$C$32:$C$49)*Impacts!$F$8),0)</f>
        <v>0</v>
      </c>
      <c r="M2746" s="10">
        <f>IF(Tank2!$C$23="No control",(SUMIF(Tank2!$B$32:$B$49,$J2746,Tank2!$C$32:$C$49)*Impacts!$F$9),0)</f>
        <v>0</v>
      </c>
      <c r="N2746" s="10">
        <f>IF(Tank3!$C$23="No control",(SUMIF(Tank3!$B$32:$B$49,$J2746,Tank3!$C$32:$C$49)*Impacts!$F$10),0)</f>
        <v>0</v>
      </c>
      <c r="O2746" s="10">
        <f>IF(Tank4!$C$23="No control",(SUMIF(Tank4!$B$32:$B$49,$J2746,Tank4!$C$32:$C$49)*Impacts!$F$11),0)</f>
        <v>0</v>
      </c>
      <c r="P2746" s="10">
        <f>IF(Tank5!$C$23="No control",(SUMIF(Tank5!$B$32:$B$49,$J2746,Tank5!$C$32:$C$49)*Impacts!$F$12),0)</f>
        <v>0</v>
      </c>
      <c r="Q2746" s="10">
        <f>IFERROR(IF(('Loading-drum,tote'!$C$21)="No control",SUMIF(('Loading-drum,tote'!$B$31:$B$48),$J2746,('Loading-drum,tote'!$D$31:$D$48))*Impacts!$F$13,IF(('Loading-drum,tote'!$C$21)&lt;&gt;"No control",SUMIF(('Loading-drum,tote'!$B$31:$B$48),$J2746,('Loading-drum,tote'!$E$31:$E$48))*Impacts!$F$13,0)),0)</f>
        <v>0</v>
      </c>
      <c r="R2746" s="10">
        <f>IFERROR(IF(('Loading-truck'!$C$21)="No control",SUMIF(('Loading-truck'!$B$31:$B$48),$J2746,('Loading-truck'!$D$31:$D$48))*Impacts!$F$14,IF(('Loading-truck'!$C$21)&lt;&gt;"No control",SUMIF(('Loading-truck'!$B$31:$B$48),$J2746,('Loading-truck'!$E$31:$E$48))*Impacts!$F$14,0)),0)</f>
        <v>0</v>
      </c>
      <c r="S2746" s="10">
        <f>IFERROR(IF(('Loading-rail'!$C$21)="No control",SUMIF(('Loading-rail'!$B$31:$B$48),$J2746,('Loading-rail'!$D$31:$D$48))*Impacts!$F$15,IF(('Loading-rail'!$C$21)&lt;&gt;"No control",SUMIF(('Loading-rail'!$B$31:$B$48),$J2746,('Loading-rail'!$E$31:$E$48))*Impacts!$F$15,0)),0)</f>
        <v>0</v>
      </c>
      <c r="T2746" s="10">
        <f>IF(Flare!$C$7="",0,(SUMIF(Flare!$B$46:$B$185,$J2746,Flare!$E$46:$E$185)*Impacts!$F$16))</f>
        <v>0</v>
      </c>
      <c r="U2746" s="10">
        <f>IF(VCU!$C$9="",0,(SUMIF(VCU!$B$51:$B$193,$J2746,VCU!$E$51:$E$193)*Impacts!$F$17))</f>
        <v>0</v>
      </c>
      <c r="V2746" s="10">
        <f>IF(CAS!$C$7="",0,(SUMIF(CAS!$B$31:$B$167,$J2746,CAS!$E$31:$E$167)*Impacts!$F$18))</f>
        <v>0</v>
      </c>
      <c r="W2746" s="10">
        <f t="shared" si="83"/>
        <v>0</v>
      </c>
      <c r="AK2746" s="10" t="str">
        <f t="array" ref="AK2746">IFERROR(INDEX(SelectedSpecies,SMALL(IF(SelectedSpecies=AK$1,ROW(SelectedSpecies)),ROW(2747:2747)),2),"")</f>
        <v/>
      </c>
      <c r="BE2746" s="10"/>
      <c r="BI2746" s="10"/>
    </row>
    <row r="2747" spans="1:61" ht="21" customHeight="1" x14ac:dyDescent="0.25">
      <c r="A2747" s="10"/>
      <c r="B2747" s="10"/>
      <c r="E2747" s="10"/>
      <c r="G2747" s="10"/>
      <c r="I2747" s="436" t="s">
        <v>1200</v>
      </c>
      <c r="J2747" s="26" t="s">
        <v>1199</v>
      </c>
      <c r="K2747" s="10">
        <v>35</v>
      </c>
      <c r="L2747" s="73">
        <f>IF(Tank1!$C$23="No control",(SUMIF(Tank1!$B$32:$B$49,$J2747,Tank1!$C$32:$C$49)*Impacts!$F$8),0)</f>
        <v>0</v>
      </c>
      <c r="M2747" s="10">
        <f>IF(Tank2!$C$23="No control",(SUMIF(Tank2!$B$32:$B$49,$J2747,Tank2!$C$32:$C$49)*Impacts!$F$9),0)</f>
        <v>0</v>
      </c>
      <c r="N2747" s="10">
        <f>IF(Tank3!$C$23="No control",(SUMIF(Tank3!$B$32:$B$49,$J2747,Tank3!$C$32:$C$49)*Impacts!$F$10),0)</f>
        <v>0</v>
      </c>
      <c r="O2747" s="10">
        <f>IF(Tank4!$C$23="No control",(SUMIF(Tank4!$B$32:$B$49,$J2747,Tank4!$C$32:$C$49)*Impacts!$F$11),0)</f>
        <v>0</v>
      </c>
      <c r="P2747" s="10">
        <f>IF(Tank5!$C$23="No control",(SUMIF(Tank5!$B$32:$B$49,$J2747,Tank5!$C$32:$C$49)*Impacts!$F$12),0)</f>
        <v>0</v>
      </c>
      <c r="Q2747" s="10">
        <f>IFERROR(IF(('Loading-drum,tote'!$C$21)="No control",SUMIF(('Loading-drum,tote'!$B$31:$B$48),$J2747,('Loading-drum,tote'!$D$31:$D$48))*Impacts!$F$13,IF(('Loading-drum,tote'!$C$21)&lt;&gt;"No control",SUMIF(('Loading-drum,tote'!$B$31:$B$48),$J2747,('Loading-drum,tote'!$E$31:$E$48))*Impacts!$F$13,0)),0)</f>
        <v>0</v>
      </c>
      <c r="R2747" s="10">
        <f>IFERROR(IF(('Loading-truck'!$C$21)="No control",SUMIF(('Loading-truck'!$B$31:$B$48),$J2747,('Loading-truck'!$D$31:$D$48))*Impacts!$F$14,IF(('Loading-truck'!$C$21)&lt;&gt;"No control",SUMIF(('Loading-truck'!$B$31:$B$48),$J2747,('Loading-truck'!$E$31:$E$48))*Impacts!$F$14,0)),0)</f>
        <v>0</v>
      </c>
      <c r="S2747" s="10">
        <f>IFERROR(IF(('Loading-rail'!$C$21)="No control",SUMIF(('Loading-rail'!$B$31:$B$48),$J2747,('Loading-rail'!$D$31:$D$48))*Impacts!$F$15,IF(('Loading-rail'!$C$21)&lt;&gt;"No control",SUMIF(('Loading-rail'!$B$31:$B$48),$J2747,('Loading-rail'!$E$31:$E$48))*Impacts!$F$15,0)),0)</f>
        <v>0</v>
      </c>
      <c r="T2747" s="10">
        <f>IF(Flare!$C$7="",0,(SUMIF(Flare!$B$46:$B$185,$J2747,Flare!$E$46:$E$185)*Impacts!$F$16))</f>
        <v>0</v>
      </c>
      <c r="U2747" s="10">
        <f>IF(VCU!$C$9="",0,(SUMIF(VCU!$B$51:$B$193,$J2747,VCU!$E$51:$E$193)*Impacts!$F$17))</f>
        <v>0</v>
      </c>
      <c r="V2747" s="10">
        <f>IF(CAS!$C$7="",0,(SUMIF(CAS!$B$31:$B$167,$J2747,CAS!$E$31:$E$167)*Impacts!$F$18))</f>
        <v>0</v>
      </c>
      <c r="W2747" s="10">
        <f t="shared" si="83"/>
        <v>0</v>
      </c>
      <c r="AK2747" s="10" t="str">
        <f t="array" ref="AK2747">IFERROR(INDEX(SelectedSpecies,SMALL(IF(SelectedSpecies=AK$1,ROW(SelectedSpecies)),ROW(2748:2748)),2),"")</f>
        <v/>
      </c>
      <c r="BE2747" s="10"/>
      <c r="BI2747" s="10"/>
    </row>
    <row r="2748" spans="1:61" ht="21" customHeight="1" x14ac:dyDescent="0.25">
      <c r="A2748" s="10"/>
      <c r="B2748" s="10"/>
      <c r="E2748" s="10"/>
      <c r="G2748" s="10"/>
      <c r="I2748" s="436" t="s">
        <v>4743</v>
      </c>
      <c r="J2748" s="26" t="s">
        <v>4742</v>
      </c>
      <c r="K2748" s="10">
        <v>3.5</v>
      </c>
      <c r="L2748" s="73">
        <f>IF(Tank1!$C$23="No control",(SUMIF(Tank1!$B$32:$B$49,$J2748,Tank1!$C$32:$C$49)*Impacts!$F$8),0)</f>
        <v>0</v>
      </c>
      <c r="M2748" s="10">
        <f>IF(Tank2!$C$23="No control",(SUMIF(Tank2!$B$32:$B$49,$J2748,Tank2!$C$32:$C$49)*Impacts!$F$9),0)</f>
        <v>0</v>
      </c>
      <c r="N2748" s="10">
        <f>IF(Tank3!$C$23="No control",(SUMIF(Tank3!$B$32:$B$49,$J2748,Tank3!$C$32:$C$49)*Impacts!$F$10),0)</f>
        <v>0</v>
      </c>
      <c r="O2748" s="10">
        <f>IF(Tank4!$C$23="No control",(SUMIF(Tank4!$B$32:$B$49,$J2748,Tank4!$C$32:$C$49)*Impacts!$F$11),0)</f>
        <v>0</v>
      </c>
      <c r="P2748" s="10">
        <f>IF(Tank5!$C$23="No control",(SUMIF(Tank5!$B$32:$B$49,$J2748,Tank5!$C$32:$C$49)*Impacts!$F$12),0)</f>
        <v>0</v>
      </c>
      <c r="Q2748" s="10">
        <f>IFERROR(IF(('Loading-drum,tote'!$C$21)="No control",SUMIF(('Loading-drum,tote'!$B$31:$B$48),$J2748,('Loading-drum,tote'!$D$31:$D$48))*Impacts!$F$13,IF(('Loading-drum,tote'!$C$21)&lt;&gt;"No control",SUMIF(('Loading-drum,tote'!$B$31:$B$48),$J2748,('Loading-drum,tote'!$E$31:$E$48))*Impacts!$F$13,0)),0)</f>
        <v>0</v>
      </c>
      <c r="R2748" s="10">
        <f>IFERROR(IF(('Loading-truck'!$C$21)="No control",SUMIF(('Loading-truck'!$B$31:$B$48),$J2748,('Loading-truck'!$D$31:$D$48))*Impacts!$F$14,IF(('Loading-truck'!$C$21)&lt;&gt;"No control",SUMIF(('Loading-truck'!$B$31:$B$48),$J2748,('Loading-truck'!$E$31:$E$48))*Impacts!$F$14,0)),0)</f>
        <v>0</v>
      </c>
      <c r="S2748" s="10">
        <f>IFERROR(IF(('Loading-rail'!$C$21)="No control",SUMIF(('Loading-rail'!$B$31:$B$48),$J2748,('Loading-rail'!$D$31:$D$48))*Impacts!$F$15,IF(('Loading-rail'!$C$21)&lt;&gt;"No control",SUMIF(('Loading-rail'!$B$31:$B$48),$J2748,('Loading-rail'!$E$31:$E$48))*Impacts!$F$15,0)),0)</f>
        <v>0</v>
      </c>
      <c r="T2748" s="10">
        <f>IF(Flare!$C$7="",0,(SUMIF(Flare!$B$46:$B$185,$J2748,Flare!$E$46:$E$185)*Impacts!$F$16))</f>
        <v>0</v>
      </c>
      <c r="U2748" s="10">
        <f>IF(VCU!$C$9="",0,(SUMIF(VCU!$B$51:$B$193,$J2748,VCU!$E$51:$E$193)*Impacts!$F$17))</f>
        <v>0</v>
      </c>
      <c r="V2748" s="10">
        <f>IF(CAS!$C$7="",0,(SUMIF(CAS!$B$31:$B$167,$J2748,CAS!$E$31:$E$167)*Impacts!$F$18))</f>
        <v>0</v>
      </c>
      <c r="W2748" s="10">
        <f t="shared" si="83"/>
        <v>0</v>
      </c>
      <c r="AK2748" s="10" t="str">
        <f t="array" ref="AK2748">IFERROR(INDEX(SelectedSpecies,SMALL(IF(SelectedSpecies=AK$1,ROW(SelectedSpecies)),ROW(2749:2749)),2),"")</f>
        <v/>
      </c>
      <c r="BE2748" s="10"/>
      <c r="BI2748" s="10"/>
    </row>
    <row r="2749" spans="1:61" ht="21" customHeight="1" x14ac:dyDescent="0.25">
      <c r="A2749" s="10"/>
      <c r="B2749" s="10"/>
      <c r="E2749" s="10"/>
      <c r="G2749" s="10"/>
      <c r="I2749" s="436" t="s">
        <v>1084</v>
      </c>
      <c r="J2749" s="26" t="s">
        <v>1083</v>
      </c>
      <c r="K2749" s="10">
        <v>35</v>
      </c>
      <c r="L2749" s="73">
        <f>IF(Tank1!$C$23="No control",(SUMIF(Tank1!$B$32:$B$49,$J2749,Tank1!$C$32:$C$49)*Impacts!$F$8),0)</f>
        <v>0</v>
      </c>
      <c r="M2749" s="10">
        <f>IF(Tank2!$C$23="No control",(SUMIF(Tank2!$B$32:$B$49,$J2749,Tank2!$C$32:$C$49)*Impacts!$F$9),0)</f>
        <v>0</v>
      </c>
      <c r="N2749" s="10">
        <f>IF(Tank3!$C$23="No control",(SUMIF(Tank3!$B$32:$B$49,$J2749,Tank3!$C$32:$C$49)*Impacts!$F$10),0)</f>
        <v>0</v>
      </c>
      <c r="O2749" s="10">
        <f>IF(Tank4!$C$23="No control",(SUMIF(Tank4!$B$32:$B$49,$J2749,Tank4!$C$32:$C$49)*Impacts!$F$11),0)</f>
        <v>0</v>
      </c>
      <c r="P2749" s="10">
        <f>IF(Tank5!$C$23="No control",(SUMIF(Tank5!$B$32:$B$49,$J2749,Tank5!$C$32:$C$49)*Impacts!$F$12),0)</f>
        <v>0</v>
      </c>
      <c r="Q2749" s="10">
        <f>IFERROR(IF(('Loading-drum,tote'!$C$21)="No control",SUMIF(('Loading-drum,tote'!$B$31:$B$48),$J2749,('Loading-drum,tote'!$D$31:$D$48))*Impacts!$F$13,IF(('Loading-drum,tote'!$C$21)&lt;&gt;"No control",SUMIF(('Loading-drum,tote'!$B$31:$B$48),$J2749,('Loading-drum,tote'!$E$31:$E$48))*Impacts!$F$13,0)),0)</f>
        <v>0</v>
      </c>
      <c r="R2749" s="10">
        <f>IFERROR(IF(('Loading-truck'!$C$21)="No control",SUMIF(('Loading-truck'!$B$31:$B$48),$J2749,('Loading-truck'!$D$31:$D$48))*Impacts!$F$14,IF(('Loading-truck'!$C$21)&lt;&gt;"No control",SUMIF(('Loading-truck'!$B$31:$B$48),$J2749,('Loading-truck'!$E$31:$E$48))*Impacts!$F$14,0)),0)</f>
        <v>0</v>
      </c>
      <c r="S2749" s="10">
        <f>IFERROR(IF(('Loading-rail'!$C$21)="No control",SUMIF(('Loading-rail'!$B$31:$B$48),$J2749,('Loading-rail'!$D$31:$D$48))*Impacts!$F$15,IF(('Loading-rail'!$C$21)&lt;&gt;"No control",SUMIF(('Loading-rail'!$B$31:$B$48),$J2749,('Loading-rail'!$E$31:$E$48))*Impacts!$F$15,0)),0)</f>
        <v>0</v>
      </c>
      <c r="T2749" s="10">
        <f>IF(Flare!$C$7="",0,(SUMIF(Flare!$B$46:$B$185,$J2749,Flare!$E$46:$E$185)*Impacts!$F$16))</f>
        <v>0</v>
      </c>
      <c r="U2749" s="10">
        <f>IF(VCU!$C$9="",0,(SUMIF(VCU!$B$51:$B$193,$J2749,VCU!$E$51:$E$193)*Impacts!$F$17))</f>
        <v>0</v>
      </c>
      <c r="V2749" s="10">
        <f>IF(CAS!$C$7="",0,(SUMIF(CAS!$B$31:$B$167,$J2749,CAS!$E$31:$E$167)*Impacts!$F$18))</f>
        <v>0</v>
      </c>
      <c r="W2749" s="10">
        <f t="shared" si="83"/>
        <v>0</v>
      </c>
      <c r="AK2749" s="10" t="str">
        <f t="array" ref="AK2749">IFERROR(INDEX(SelectedSpecies,SMALL(IF(SelectedSpecies=AK$1,ROW(SelectedSpecies)),ROW(2750:2750)),2),"")</f>
        <v/>
      </c>
      <c r="BE2749" s="10"/>
      <c r="BI2749" s="10"/>
    </row>
    <row r="2750" spans="1:61" ht="21" customHeight="1" x14ac:dyDescent="0.25">
      <c r="A2750" s="10"/>
      <c r="B2750" s="10"/>
      <c r="E2750" s="10"/>
      <c r="G2750" s="10"/>
      <c r="I2750" s="436" t="s">
        <v>1086</v>
      </c>
      <c r="J2750" s="26" t="s">
        <v>1085</v>
      </c>
      <c r="K2750" s="10">
        <v>35</v>
      </c>
      <c r="L2750" s="73">
        <f>IF(Tank1!$C$23="No control",(SUMIF(Tank1!$B$32:$B$49,$J2750,Tank1!$C$32:$C$49)*Impacts!$F$8),0)</f>
        <v>0</v>
      </c>
      <c r="M2750" s="10">
        <f>IF(Tank2!$C$23="No control",(SUMIF(Tank2!$B$32:$B$49,$J2750,Tank2!$C$32:$C$49)*Impacts!$F$9),0)</f>
        <v>0</v>
      </c>
      <c r="N2750" s="10">
        <f>IF(Tank3!$C$23="No control",(SUMIF(Tank3!$B$32:$B$49,$J2750,Tank3!$C$32:$C$49)*Impacts!$F$10),0)</f>
        <v>0</v>
      </c>
      <c r="O2750" s="10">
        <f>IF(Tank4!$C$23="No control",(SUMIF(Tank4!$B$32:$B$49,$J2750,Tank4!$C$32:$C$49)*Impacts!$F$11),0)</f>
        <v>0</v>
      </c>
      <c r="P2750" s="10">
        <f>IF(Tank5!$C$23="No control",(SUMIF(Tank5!$B$32:$B$49,$J2750,Tank5!$C$32:$C$49)*Impacts!$F$12),0)</f>
        <v>0</v>
      </c>
      <c r="Q2750" s="10">
        <f>IFERROR(IF(('Loading-drum,tote'!$C$21)="No control",SUMIF(('Loading-drum,tote'!$B$31:$B$48),$J2750,('Loading-drum,tote'!$D$31:$D$48))*Impacts!$F$13,IF(('Loading-drum,tote'!$C$21)&lt;&gt;"No control",SUMIF(('Loading-drum,tote'!$B$31:$B$48),$J2750,('Loading-drum,tote'!$E$31:$E$48))*Impacts!$F$13,0)),0)</f>
        <v>0</v>
      </c>
      <c r="R2750" s="10">
        <f>IFERROR(IF(('Loading-truck'!$C$21)="No control",SUMIF(('Loading-truck'!$B$31:$B$48),$J2750,('Loading-truck'!$D$31:$D$48))*Impacts!$F$14,IF(('Loading-truck'!$C$21)&lt;&gt;"No control",SUMIF(('Loading-truck'!$B$31:$B$48),$J2750,('Loading-truck'!$E$31:$E$48))*Impacts!$F$14,0)),0)</f>
        <v>0</v>
      </c>
      <c r="S2750" s="10">
        <f>IFERROR(IF(('Loading-rail'!$C$21)="No control",SUMIF(('Loading-rail'!$B$31:$B$48),$J2750,('Loading-rail'!$D$31:$D$48))*Impacts!$F$15,IF(('Loading-rail'!$C$21)&lt;&gt;"No control",SUMIF(('Loading-rail'!$B$31:$B$48),$J2750,('Loading-rail'!$E$31:$E$48))*Impacts!$F$15,0)),0)</f>
        <v>0</v>
      </c>
      <c r="T2750" s="10">
        <f>IF(Flare!$C$7="",0,(SUMIF(Flare!$B$46:$B$185,$J2750,Flare!$E$46:$E$185)*Impacts!$F$16))</f>
        <v>0</v>
      </c>
      <c r="U2750" s="10">
        <f>IF(VCU!$C$9="",0,(SUMIF(VCU!$B$51:$B$193,$J2750,VCU!$E$51:$E$193)*Impacts!$F$17))</f>
        <v>0</v>
      </c>
      <c r="V2750" s="10">
        <f>IF(CAS!$C$7="",0,(SUMIF(CAS!$B$31:$B$167,$J2750,CAS!$E$31:$E$167)*Impacts!$F$18))</f>
        <v>0</v>
      </c>
      <c r="W2750" s="10">
        <f t="shared" si="83"/>
        <v>0</v>
      </c>
      <c r="AK2750" s="10" t="str">
        <f t="array" ref="AK2750">IFERROR(INDEX(SelectedSpecies,SMALL(IF(SelectedSpecies=AK$1,ROW(SelectedSpecies)),ROW(2751:2751)),2),"")</f>
        <v/>
      </c>
      <c r="BE2750" s="10"/>
      <c r="BI2750" s="10"/>
    </row>
    <row r="2751" spans="1:61" ht="21" customHeight="1" x14ac:dyDescent="0.25">
      <c r="A2751" s="10"/>
      <c r="B2751" s="10"/>
      <c r="E2751" s="10"/>
      <c r="G2751" s="10"/>
      <c r="I2751" s="436" t="s">
        <v>1088</v>
      </c>
      <c r="J2751" s="26" t="s">
        <v>1087</v>
      </c>
      <c r="K2751" s="10">
        <v>35</v>
      </c>
      <c r="L2751" s="73">
        <f>IF(Tank1!$C$23="No control",(SUMIF(Tank1!$B$32:$B$49,$J2751,Tank1!$C$32:$C$49)*Impacts!$F$8),0)</f>
        <v>0</v>
      </c>
      <c r="M2751" s="10">
        <f>IF(Tank2!$C$23="No control",(SUMIF(Tank2!$B$32:$B$49,$J2751,Tank2!$C$32:$C$49)*Impacts!$F$9),0)</f>
        <v>0</v>
      </c>
      <c r="N2751" s="10">
        <f>IF(Tank3!$C$23="No control",(SUMIF(Tank3!$B$32:$B$49,$J2751,Tank3!$C$32:$C$49)*Impacts!$F$10),0)</f>
        <v>0</v>
      </c>
      <c r="O2751" s="10">
        <f>IF(Tank4!$C$23="No control",(SUMIF(Tank4!$B$32:$B$49,$J2751,Tank4!$C$32:$C$49)*Impacts!$F$11),0)</f>
        <v>0</v>
      </c>
      <c r="P2751" s="10">
        <f>IF(Tank5!$C$23="No control",(SUMIF(Tank5!$B$32:$B$49,$J2751,Tank5!$C$32:$C$49)*Impacts!$F$12),0)</f>
        <v>0</v>
      </c>
      <c r="Q2751" s="10">
        <f>IFERROR(IF(('Loading-drum,tote'!$C$21)="No control",SUMIF(('Loading-drum,tote'!$B$31:$B$48),$J2751,('Loading-drum,tote'!$D$31:$D$48))*Impacts!$F$13,IF(('Loading-drum,tote'!$C$21)&lt;&gt;"No control",SUMIF(('Loading-drum,tote'!$B$31:$B$48),$J2751,('Loading-drum,tote'!$E$31:$E$48))*Impacts!$F$13,0)),0)</f>
        <v>0</v>
      </c>
      <c r="R2751" s="10">
        <f>IFERROR(IF(('Loading-truck'!$C$21)="No control",SUMIF(('Loading-truck'!$B$31:$B$48),$J2751,('Loading-truck'!$D$31:$D$48))*Impacts!$F$14,IF(('Loading-truck'!$C$21)&lt;&gt;"No control",SUMIF(('Loading-truck'!$B$31:$B$48),$J2751,('Loading-truck'!$E$31:$E$48))*Impacts!$F$14,0)),0)</f>
        <v>0</v>
      </c>
      <c r="S2751" s="10">
        <f>IFERROR(IF(('Loading-rail'!$C$21)="No control",SUMIF(('Loading-rail'!$B$31:$B$48),$J2751,('Loading-rail'!$D$31:$D$48))*Impacts!$F$15,IF(('Loading-rail'!$C$21)&lt;&gt;"No control",SUMIF(('Loading-rail'!$B$31:$B$48),$J2751,('Loading-rail'!$E$31:$E$48))*Impacts!$F$15,0)),0)</f>
        <v>0</v>
      </c>
      <c r="T2751" s="10">
        <f>IF(Flare!$C$7="",0,(SUMIF(Flare!$B$46:$B$185,$J2751,Flare!$E$46:$E$185)*Impacts!$F$16))</f>
        <v>0</v>
      </c>
      <c r="U2751" s="10">
        <f>IF(VCU!$C$9="",0,(SUMIF(VCU!$B$51:$B$193,$J2751,VCU!$E$51:$E$193)*Impacts!$F$17))</f>
        <v>0</v>
      </c>
      <c r="V2751" s="10">
        <f>IF(CAS!$C$7="",0,(SUMIF(CAS!$B$31:$B$167,$J2751,CAS!$E$31:$E$167)*Impacts!$F$18))</f>
        <v>0</v>
      </c>
      <c r="W2751" s="10">
        <f t="shared" si="83"/>
        <v>0</v>
      </c>
      <c r="AK2751" s="10" t="str">
        <f t="array" ref="AK2751">IFERROR(INDEX(SelectedSpecies,SMALL(IF(SelectedSpecies=AK$1,ROW(SelectedSpecies)),ROW(2752:2752)),2),"")</f>
        <v/>
      </c>
      <c r="BE2751" s="10"/>
      <c r="BI2751" s="10"/>
    </row>
    <row r="2752" spans="1:61" ht="21" customHeight="1" x14ac:dyDescent="0.25">
      <c r="A2752" s="10"/>
      <c r="B2752" s="10"/>
      <c r="E2752" s="10"/>
      <c r="G2752" s="10"/>
      <c r="I2752" s="436" t="s">
        <v>1706</v>
      </c>
      <c r="J2752" s="26" t="s">
        <v>1705</v>
      </c>
      <c r="K2752" s="10">
        <v>24.5</v>
      </c>
      <c r="L2752" s="73">
        <f>IF(Tank1!$C$23="No control",(SUMIF(Tank1!$B$32:$B$49,$J2752,Tank1!$C$32:$C$49)*Impacts!$F$8),0)</f>
        <v>0</v>
      </c>
      <c r="M2752" s="10">
        <f>IF(Tank2!$C$23="No control",(SUMIF(Tank2!$B$32:$B$49,$J2752,Tank2!$C$32:$C$49)*Impacts!$F$9),0)</f>
        <v>0</v>
      </c>
      <c r="N2752" s="10">
        <f>IF(Tank3!$C$23="No control",(SUMIF(Tank3!$B$32:$B$49,$J2752,Tank3!$C$32:$C$49)*Impacts!$F$10),0)</f>
        <v>0</v>
      </c>
      <c r="O2752" s="10">
        <f>IF(Tank4!$C$23="No control",(SUMIF(Tank4!$B$32:$B$49,$J2752,Tank4!$C$32:$C$49)*Impacts!$F$11),0)</f>
        <v>0</v>
      </c>
      <c r="P2752" s="10">
        <f>IF(Tank5!$C$23="No control",(SUMIF(Tank5!$B$32:$B$49,$J2752,Tank5!$C$32:$C$49)*Impacts!$F$12),0)</f>
        <v>0</v>
      </c>
      <c r="Q2752" s="10">
        <f>IFERROR(IF(('Loading-drum,tote'!$C$21)="No control",SUMIF(('Loading-drum,tote'!$B$31:$B$48),$J2752,('Loading-drum,tote'!$D$31:$D$48))*Impacts!$F$13,IF(('Loading-drum,tote'!$C$21)&lt;&gt;"No control",SUMIF(('Loading-drum,tote'!$B$31:$B$48),$J2752,('Loading-drum,tote'!$E$31:$E$48))*Impacts!$F$13,0)),0)</f>
        <v>0</v>
      </c>
      <c r="R2752" s="10">
        <f>IFERROR(IF(('Loading-truck'!$C$21)="No control",SUMIF(('Loading-truck'!$B$31:$B$48),$J2752,('Loading-truck'!$D$31:$D$48))*Impacts!$F$14,IF(('Loading-truck'!$C$21)&lt;&gt;"No control",SUMIF(('Loading-truck'!$B$31:$B$48),$J2752,('Loading-truck'!$E$31:$E$48))*Impacts!$F$14,0)),0)</f>
        <v>0</v>
      </c>
      <c r="S2752" s="10">
        <f>IFERROR(IF(('Loading-rail'!$C$21)="No control",SUMIF(('Loading-rail'!$B$31:$B$48),$J2752,('Loading-rail'!$D$31:$D$48))*Impacts!$F$15,IF(('Loading-rail'!$C$21)&lt;&gt;"No control",SUMIF(('Loading-rail'!$B$31:$B$48),$J2752,('Loading-rail'!$E$31:$E$48))*Impacts!$F$15,0)),0)</f>
        <v>0</v>
      </c>
      <c r="T2752" s="10">
        <f>IF(Flare!$C$7="",0,(SUMIF(Flare!$B$46:$B$185,$J2752,Flare!$E$46:$E$185)*Impacts!$F$16))</f>
        <v>0</v>
      </c>
      <c r="U2752" s="10">
        <f>IF(VCU!$C$9="",0,(SUMIF(VCU!$B$51:$B$193,$J2752,VCU!$E$51:$E$193)*Impacts!$F$17))</f>
        <v>0</v>
      </c>
      <c r="V2752" s="10">
        <f>IF(CAS!$C$7="",0,(SUMIF(CAS!$B$31:$B$167,$J2752,CAS!$E$31:$E$167)*Impacts!$F$18))</f>
        <v>0</v>
      </c>
      <c r="W2752" s="10">
        <f t="shared" si="83"/>
        <v>0</v>
      </c>
      <c r="AK2752" s="10" t="str">
        <f t="array" ref="AK2752">IFERROR(INDEX(SelectedSpecies,SMALL(IF(SelectedSpecies=AK$1,ROW(SelectedSpecies)),ROW(2753:2753)),2),"")</f>
        <v/>
      </c>
      <c r="BE2752" s="10"/>
      <c r="BI2752" s="10"/>
    </row>
    <row r="2753" spans="1:61" ht="21" customHeight="1" x14ac:dyDescent="0.25">
      <c r="A2753" s="10"/>
      <c r="B2753" s="10"/>
      <c r="E2753" s="10"/>
      <c r="G2753" s="10"/>
      <c r="I2753" s="436" t="s">
        <v>3023</v>
      </c>
      <c r="J2753" s="26" t="s">
        <v>3022</v>
      </c>
      <c r="K2753" s="10">
        <v>10</v>
      </c>
      <c r="L2753" s="73">
        <f>IF(Tank1!$C$23="No control",(SUMIF(Tank1!$B$32:$B$49,$J2753,Tank1!$C$32:$C$49)*Impacts!$F$8),0)</f>
        <v>0</v>
      </c>
      <c r="M2753" s="10">
        <f>IF(Tank2!$C$23="No control",(SUMIF(Tank2!$B$32:$B$49,$J2753,Tank2!$C$32:$C$49)*Impacts!$F$9),0)</f>
        <v>0</v>
      </c>
      <c r="N2753" s="10">
        <f>IF(Tank3!$C$23="No control",(SUMIF(Tank3!$B$32:$B$49,$J2753,Tank3!$C$32:$C$49)*Impacts!$F$10),0)</f>
        <v>0</v>
      </c>
      <c r="O2753" s="10">
        <f>IF(Tank4!$C$23="No control",(SUMIF(Tank4!$B$32:$B$49,$J2753,Tank4!$C$32:$C$49)*Impacts!$F$11),0)</f>
        <v>0</v>
      </c>
      <c r="P2753" s="10">
        <f>IF(Tank5!$C$23="No control",(SUMIF(Tank5!$B$32:$B$49,$J2753,Tank5!$C$32:$C$49)*Impacts!$F$12),0)</f>
        <v>0</v>
      </c>
      <c r="Q2753" s="10">
        <f>IFERROR(IF(('Loading-drum,tote'!$C$21)="No control",SUMIF(('Loading-drum,tote'!$B$31:$B$48),$J2753,('Loading-drum,tote'!$D$31:$D$48))*Impacts!$F$13,IF(('Loading-drum,tote'!$C$21)&lt;&gt;"No control",SUMIF(('Loading-drum,tote'!$B$31:$B$48),$J2753,('Loading-drum,tote'!$E$31:$E$48))*Impacts!$F$13,0)),0)</f>
        <v>0</v>
      </c>
      <c r="R2753" s="10">
        <f>IFERROR(IF(('Loading-truck'!$C$21)="No control",SUMIF(('Loading-truck'!$B$31:$B$48),$J2753,('Loading-truck'!$D$31:$D$48))*Impacts!$F$14,IF(('Loading-truck'!$C$21)&lt;&gt;"No control",SUMIF(('Loading-truck'!$B$31:$B$48),$J2753,('Loading-truck'!$E$31:$E$48))*Impacts!$F$14,0)),0)</f>
        <v>0</v>
      </c>
      <c r="S2753" s="10">
        <f>IFERROR(IF(('Loading-rail'!$C$21)="No control",SUMIF(('Loading-rail'!$B$31:$B$48),$J2753,('Loading-rail'!$D$31:$D$48))*Impacts!$F$15,IF(('Loading-rail'!$C$21)&lt;&gt;"No control",SUMIF(('Loading-rail'!$B$31:$B$48),$J2753,('Loading-rail'!$E$31:$E$48))*Impacts!$F$15,0)),0)</f>
        <v>0</v>
      </c>
      <c r="T2753" s="10">
        <f>IF(Flare!$C$7="",0,(SUMIF(Flare!$B$46:$B$185,$J2753,Flare!$E$46:$E$185)*Impacts!$F$16))</f>
        <v>0</v>
      </c>
      <c r="U2753" s="10">
        <f>IF(VCU!$C$9="",0,(SUMIF(VCU!$B$51:$B$193,$J2753,VCU!$E$51:$E$193)*Impacts!$F$17))</f>
        <v>0</v>
      </c>
      <c r="V2753" s="10">
        <f>IF(CAS!$C$7="",0,(SUMIF(CAS!$B$31:$B$167,$J2753,CAS!$E$31:$E$167)*Impacts!$F$18))</f>
        <v>0</v>
      </c>
      <c r="W2753" s="10">
        <f t="shared" si="83"/>
        <v>0</v>
      </c>
      <c r="AK2753" s="10" t="str">
        <f t="array" ref="AK2753">IFERROR(INDEX(SelectedSpecies,SMALL(IF(SelectedSpecies=AK$1,ROW(SelectedSpecies)),ROW(2754:2754)),2),"")</f>
        <v/>
      </c>
      <c r="BE2753" s="10"/>
      <c r="BI2753" s="10"/>
    </row>
    <row r="2754" spans="1:61" ht="21" customHeight="1" x14ac:dyDescent="0.25">
      <c r="A2754" s="10"/>
      <c r="B2754" s="10"/>
      <c r="E2754" s="10"/>
      <c r="G2754" s="10"/>
      <c r="I2754" s="436" t="s">
        <v>2263</v>
      </c>
      <c r="J2754" s="26" t="s">
        <v>2262</v>
      </c>
      <c r="K2754" s="10">
        <v>12.5</v>
      </c>
      <c r="L2754" s="73">
        <f>IF(Tank1!$C$23="No control",(SUMIF(Tank1!$B$32:$B$49,$J2754,Tank1!$C$32:$C$49)*Impacts!$F$8),0)</f>
        <v>0</v>
      </c>
      <c r="M2754" s="10">
        <f>IF(Tank2!$C$23="No control",(SUMIF(Tank2!$B$32:$B$49,$J2754,Tank2!$C$32:$C$49)*Impacts!$F$9),0)</f>
        <v>0</v>
      </c>
      <c r="N2754" s="10">
        <f>IF(Tank3!$C$23="No control",(SUMIF(Tank3!$B$32:$B$49,$J2754,Tank3!$C$32:$C$49)*Impacts!$F$10),0)</f>
        <v>0</v>
      </c>
      <c r="O2754" s="10">
        <f>IF(Tank4!$C$23="No control",(SUMIF(Tank4!$B$32:$B$49,$J2754,Tank4!$C$32:$C$49)*Impacts!$F$11),0)</f>
        <v>0</v>
      </c>
      <c r="P2754" s="10">
        <f>IF(Tank5!$C$23="No control",(SUMIF(Tank5!$B$32:$B$49,$J2754,Tank5!$C$32:$C$49)*Impacts!$F$12),0)</f>
        <v>0</v>
      </c>
      <c r="Q2754" s="10">
        <f>IFERROR(IF(('Loading-drum,tote'!$C$21)="No control",SUMIF(('Loading-drum,tote'!$B$31:$B$48),$J2754,('Loading-drum,tote'!$D$31:$D$48))*Impacts!$F$13,IF(('Loading-drum,tote'!$C$21)&lt;&gt;"No control",SUMIF(('Loading-drum,tote'!$B$31:$B$48),$J2754,('Loading-drum,tote'!$E$31:$E$48))*Impacts!$F$13,0)),0)</f>
        <v>0</v>
      </c>
      <c r="R2754" s="10">
        <f>IFERROR(IF(('Loading-truck'!$C$21)="No control",SUMIF(('Loading-truck'!$B$31:$B$48),$J2754,('Loading-truck'!$D$31:$D$48))*Impacts!$F$14,IF(('Loading-truck'!$C$21)&lt;&gt;"No control",SUMIF(('Loading-truck'!$B$31:$B$48),$J2754,('Loading-truck'!$E$31:$E$48))*Impacts!$F$14,0)),0)</f>
        <v>0</v>
      </c>
      <c r="S2754" s="10">
        <f>IFERROR(IF(('Loading-rail'!$C$21)="No control",SUMIF(('Loading-rail'!$B$31:$B$48),$J2754,('Loading-rail'!$D$31:$D$48))*Impacts!$F$15,IF(('Loading-rail'!$C$21)&lt;&gt;"No control",SUMIF(('Loading-rail'!$B$31:$B$48),$J2754,('Loading-rail'!$E$31:$E$48))*Impacts!$F$15,0)),0)</f>
        <v>0</v>
      </c>
      <c r="T2754" s="10">
        <f>IF(Flare!$C$7="",0,(SUMIF(Flare!$B$46:$B$185,$J2754,Flare!$E$46:$E$185)*Impacts!$F$16))</f>
        <v>0</v>
      </c>
      <c r="U2754" s="10">
        <f>IF(VCU!$C$9="",0,(SUMIF(VCU!$B$51:$B$193,$J2754,VCU!$E$51:$E$193)*Impacts!$F$17))</f>
        <v>0</v>
      </c>
      <c r="V2754" s="10">
        <f>IF(CAS!$C$7="",0,(SUMIF(CAS!$B$31:$B$167,$J2754,CAS!$E$31:$E$167)*Impacts!$F$18))</f>
        <v>0</v>
      </c>
      <c r="W2754" s="10">
        <f t="shared" si="83"/>
        <v>0</v>
      </c>
      <c r="AK2754" s="10" t="str">
        <f t="array" ref="AK2754">IFERROR(INDEX(SelectedSpecies,SMALL(IF(SelectedSpecies=AK$1,ROW(SelectedSpecies)),ROW(2755:2755)),2),"")</f>
        <v/>
      </c>
      <c r="BE2754" s="10"/>
      <c r="BI2754" s="10"/>
    </row>
    <row r="2755" spans="1:61" ht="21" customHeight="1" x14ac:dyDescent="0.25">
      <c r="A2755" s="10"/>
      <c r="B2755" s="10"/>
      <c r="E2755" s="10"/>
      <c r="G2755" s="10"/>
      <c r="I2755" s="436" t="s">
        <v>1991</v>
      </c>
      <c r="J2755" s="26" t="s">
        <v>1990</v>
      </c>
      <c r="K2755" s="10">
        <v>17.5</v>
      </c>
      <c r="L2755" s="73">
        <f>IF(Tank1!$C$23="No control",(SUMIF(Tank1!$B$32:$B$49,$J2755,Tank1!$C$32:$C$49)*Impacts!$F$8),0)</f>
        <v>0</v>
      </c>
      <c r="M2755" s="10">
        <f>IF(Tank2!$C$23="No control",(SUMIF(Tank2!$B$32:$B$49,$J2755,Tank2!$C$32:$C$49)*Impacts!$F$9),0)</f>
        <v>0</v>
      </c>
      <c r="N2755" s="10">
        <f>IF(Tank3!$C$23="No control",(SUMIF(Tank3!$B$32:$B$49,$J2755,Tank3!$C$32:$C$49)*Impacts!$F$10),0)</f>
        <v>0</v>
      </c>
      <c r="O2755" s="10">
        <f>IF(Tank4!$C$23="No control",(SUMIF(Tank4!$B$32:$B$49,$J2755,Tank4!$C$32:$C$49)*Impacts!$F$11),0)</f>
        <v>0</v>
      </c>
      <c r="P2755" s="10">
        <f>IF(Tank5!$C$23="No control",(SUMIF(Tank5!$B$32:$B$49,$J2755,Tank5!$C$32:$C$49)*Impacts!$F$12),0)</f>
        <v>0</v>
      </c>
      <c r="Q2755" s="10">
        <f>IFERROR(IF(('Loading-drum,tote'!$C$21)="No control",SUMIF(('Loading-drum,tote'!$B$31:$B$48),$J2755,('Loading-drum,tote'!$D$31:$D$48))*Impacts!$F$13,IF(('Loading-drum,tote'!$C$21)&lt;&gt;"No control",SUMIF(('Loading-drum,tote'!$B$31:$B$48),$J2755,('Loading-drum,tote'!$E$31:$E$48))*Impacts!$F$13,0)),0)</f>
        <v>0</v>
      </c>
      <c r="R2755" s="10">
        <f>IFERROR(IF(('Loading-truck'!$C$21)="No control",SUMIF(('Loading-truck'!$B$31:$B$48),$J2755,('Loading-truck'!$D$31:$D$48))*Impacts!$F$14,IF(('Loading-truck'!$C$21)&lt;&gt;"No control",SUMIF(('Loading-truck'!$B$31:$B$48),$J2755,('Loading-truck'!$E$31:$E$48))*Impacts!$F$14,0)),0)</f>
        <v>0</v>
      </c>
      <c r="S2755" s="10">
        <f>IFERROR(IF(('Loading-rail'!$C$21)="No control",SUMIF(('Loading-rail'!$B$31:$B$48),$J2755,('Loading-rail'!$D$31:$D$48))*Impacts!$F$15,IF(('Loading-rail'!$C$21)&lt;&gt;"No control",SUMIF(('Loading-rail'!$B$31:$B$48),$J2755,('Loading-rail'!$E$31:$E$48))*Impacts!$F$15,0)),0)</f>
        <v>0</v>
      </c>
      <c r="T2755" s="10">
        <f>IF(Flare!$C$7="",0,(SUMIF(Flare!$B$46:$B$185,$J2755,Flare!$E$46:$E$185)*Impacts!$F$16))</f>
        <v>0</v>
      </c>
      <c r="U2755" s="10">
        <f>IF(VCU!$C$9="",0,(SUMIF(VCU!$B$51:$B$193,$J2755,VCU!$E$51:$E$193)*Impacts!$F$17))</f>
        <v>0</v>
      </c>
      <c r="V2755" s="10">
        <f>IF(CAS!$C$7="",0,(SUMIF(CAS!$B$31:$B$167,$J2755,CAS!$E$31:$E$167)*Impacts!$F$18))</f>
        <v>0</v>
      </c>
      <c r="W2755" s="10">
        <f t="shared" si="83"/>
        <v>0</v>
      </c>
      <c r="AK2755" s="10" t="str">
        <f t="array" ref="AK2755">IFERROR(INDEX(SelectedSpecies,SMALL(IF(SelectedSpecies=AK$1,ROW(SelectedSpecies)),ROW(2756:2756)),2),"")</f>
        <v/>
      </c>
      <c r="BE2755" s="10"/>
      <c r="BI2755" s="10"/>
    </row>
    <row r="2756" spans="1:61" ht="21" customHeight="1" x14ac:dyDescent="0.25">
      <c r="A2756" s="10"/>
      <c r="B2756" s="10"/>
      <c r="E2756" s="10"/>
      <c r="G2756" s="10"/>
      <c r="I2756" s="436" t="s">
        <v>1474</v>
      </c>
      <c r="J2756" s="26" t="s">
        <v>1473</v>
      </c>
      <c r="K2756" s="10">
        <v>30</v>
      </c>
      <c r="L2756" s="73">
        <f>IF(Tank1!$C$23="No control",(SUMIF(Tank1!$B$32:$B$49,$J2756,Tank1!$C$32:$C$49)*Impacts!$F$8),0)</f>
        <v>0</v>
      </c>
      <c r="M2756" s="10">
        <f>IF(Tank2!$C$23="No control",(SUMIF(Tank2!$B$32:$B$49,$J2756,Tank2!$C$32:$C$49)*Impacts!$F$9),0)</f>
        <v>0</v>
      </c>
      <c r="N2756" s="10">
        <f>IF(Tank3!$C$23="No control",(SUMIF(Tank3!$B$32:$B$49,$J2756,Tank3!$C$32:$C$49)*Impacts!$F$10),0)</f>
        <v>0</v>
      </c>
      <c r="O2756" s="10">
        <f>IF(Tank4!$C$23="No control",(SUMIF(Tank4!$B$32:$B$49,$J2756,Tank4!$C$32:$C$49)*Impacts!$F$11),0)</f>
        <v>0</v>
      </c>
      <c r="P2756" s="10">
        <f>IF(Tank5!$C$23="No control",(SUMIF(Tank5!$B$32:$B$49,$J2756,Tank5!$C$32:$C$49)*Impacts!$F$12),0)</f>
        <v>0</v>
      </c>
      <c r="Q2756" s="10">
        <f>IFERROR(IF(('Loading-drum,tote'!$C$21)="No control",SUMIF(('Loading-drum,tote'!$B$31:$B$48),$J2756,('Loading-drum,tote'!$D$31:$D$48))*Impacts!$F$13,IF(('Loading-drum,tote'!$C$21)&lt;&gt;"No control",SUMIF(('Loading-drum,tote'!$B$31:$B$48),$J2756,('Loading-drum,tote'!$E$31:$E$48))*Impacts!$F$13,0)),0)</f>
        <v>0</v>
      </c>
      <c r="R2756" s="10">
        <f>IFERROR(IF(('Loading-truck'!$C$21)="No control",SUMIF(('Loading-truck'!$B$31:$B$48),$J2756,('Loading-truck'!$D$31:$D$48))*Impacts!$F$14,IF(('Loading-truck'!$C$21)&lt;&gt;"No control",SUMIF(('Loading-truck'!$B$31:$B$48),$J2756,('Loading-truck'!$E$31:$E$48))*Impacts!$F$14,0)),0)</f>
        <v>0</v>
      </c>
      <c r="S2756" s="10">
        <f>IFERROR(IF(('Loading-rail'!$C$21)="No control",SUMIF(('Loading-rail'!$B$31:$B$48),$J2756,('Loading-rail'!$D$31:$D$48))*Impacts!$F$15,IF(('Loading-rail'!$C$21)&lt;&gt;"No control",SUMIF(('Loading-rail'!$B$31:$B$48),$J2756,('Loading-rail'!$E$31:$E$48))*Impacts!$F$15,0)),0)</f>
        <v>0</v>
      </c>
      <c r="T2756" s="10">
        <f>IF(Flare!$C$7="",0,(SUMIF(Flare!$B$46:$B$185,$J2756,Flare!$E$46:$E$185)*Impacts!$F$16))</f>
        <v>0</v>
      </c>
      <c r="U2756" s="10">
        <f>IF(VCU!$C$9="",0,(SUMIF(VCU!$B$51:$B$193,$J2756,VCU!$E$51:$E$193)*Impacts!$F$17))</f>
        <v>0</v>
      </c>
      <c r="V2756" s="10">
        <f>IF(CAS!$C$7="",0,(SUMIF(CAS!$B$31:$B$167,$J2756,CAS!$E$31:$E$167)*Impacts!$F$18))</f>
        <v>0</v>
      </c>
      <c r="W2756" s="10">
        <f t="shared" si="83"/>
        <v>0</v>
      </c>
      <c r="AK2756" s="10" t="str">
        <f t="array" ref="AK2756">IFERROR(INDEX(SelectedSpecies,SMALL(IF(SelectedSpecies=AK$1,ROW(SelectedSpecies)),ROW(2757:2757)),2),"")</f>
        <v/>
      </c>
      <c r="BE2756" s="10"/>
      <c r="BI2756" s="10"/>
    </row>
    <row r="2757" spans="1:61" ht="21" customHeight="1" x14ac:dyDescent="0.25">
      <c r="A2757" s="10"/>
      <c r="B2757" s="10"/>
      <c r="E2757" s="10"/>
      <c r="G2757" s="10"/>
      <c r="I2757" s="436" t="s">
        <v>1090</v>
      </c>
      <c r="J2757" s="26" t="s">
        <v>1089</v>
      </c>
      <c r="K2757" s="10">
        <v>35</v>
      </c>
      <c r="L2757" s="73">
        <f>IF(Tank1!$C$23="No control",(SUMIF(Tank1!$B$32:$B$49,$J2757,Tank1!$C$32:$C$49)*Impacts!$F$8),0)</f>
        <v>0</v>
      </c>
      <c r="M2757" s="10">
        <f>IF(Tank2!$C$23="No control",(SUMIF(Tank2!$B$32:$B$49,$J2757,Tank2!$C$32:$C$49)*Impacts!$F$9),0)</f>
        <v>0</v>
      </c>
      <c r="N2757" s="10">
        <f>IF(Tank3!$C$23="No control",(SUMIF(Tank3!$B$32:$B$49,$J2757,Tank3!$C$32:$C$49)*Impacts!$F$10),0)</f>
        <v>0</v>
      </c>
      <c r="O2757" s="10">
        <f>IF(Tank4!$C$23="No control",(SUMIF(Tank4!$B$32:$B$49,$J2757,Tank4!$C$32:$C$49)*Impacts!$F$11),0)</f>
        <v>0</v>
      </c>
      <c r="P2757" s="10">
        <f>IF(Tank5!$C$23="No control",(SUMIF(Tank5!$B$32:$B$49,$J2757,Tank5!$C$32:$C$49)*Impacts!$F$12),0)</f>
        <v>0</v>
      </c>
      <c r="Q2757" s="10">
        <f>IFERROR(IF(('Loading-drum,tote'!$C$21)="No control",SUMIF(('Loading-drum,tote'!$B$31:$B$48),$J2757,('Loading-drum,tote'!$D$31:$D$48))*Impacts!$F$13,IF(('Loading-drum,tote'!$C$21)&lt;&gt;"No control",SUMIF(('Loading-drum,tote'!$B$31:$B$48),$J2757,('Loading-drum,tote'!$E$31:$E$48))*Impacts!$F$13,0)),0)</f>
        <v>0</v>
      </c>
      <c r="R2757" s="10">
        <f>IFERROR(IF(('Loading-truck'!$C$21)="No control",SUMIF(('Loading-truck'!$B$31:$B$48),$J2757,('Loading-truck'!$D$31:$D$48))*Impacts!$F$14,IF(('Loading-truck'!$C$21)&lt;&gt;"No control",SUMIF(('Loading-truck'!$B$31:$B$48),$J2757,('Loading-truck'!$E$31:$E$48))*Impacts!$F$14,0)),0)</f>
        <v>0</v>
      </c>
      <c r="S2757" s="10">
        <f>IFERROR(IF(('Loading-rail'!$C$21)="No control",SUMIF(('Loading-rail'!$B$31:$B$48),$J2757,('Loading-rail'!$D$31:$D$48))*Impacts!$F$15,IF(('Loading-rail'!$C$21)&lt;&gt;"No control",SUMIF(('Loading-rail'!$B$31:$B$48),$J2757,('Loading-rail'!$E$31:$E$48))*Impacts!$F$15,0)),0)</f>
        <v>0</v>
      </c>
      <c r="T2757" s="10">
        <f>IF(Flare!$C$7="",0,(SUMIF(Flare!$B$46:$B$185,$J2757,Flare!$E$46:$E$185)*Impacts!$F$16))</f>
        <v>0</v>
      </c>
      <c r="U2757" s="10">
        <f>IF(VCU!$C$9="",0,(SUMIF(VCU!$B$51:$B$193,$J2757,VCU!$E$51:$E$193)*Impacts!$F$17))</f>
        <v>0</v>
      </c>
      <c r="V2757" s="10">
        <f>IF(CAS!$C$7="",0,(SUMIF(CAS!$B$31:$B$167,$J2757,CAS!$E$31:$E$167)*Impacts!$F$18))</f>
        <v>0</v>
      </c>
      <c r="W2757" s="10">
        <f t="shared" si="83"/>
        <v>0</v>
      </c>
      <c r="AK2757" s="10" t="str">
        <f t="array" ref="AK2757">IFERROR(INDEX(SelectedSpecies,SMALL(IF(SelectedSpecies=AK$1,ROW(SelectedSpecies)),ROW(2758:2758)),2),"")</f>
        <v/>
      </c>
      <c r="BE2757" s="10"/>
      <c r="BI2757" s="10"/>
    </row>
    <row r="2758" spans="1:61" ht="21" customHeight="1" x14ac:dyDescent="0.25">
      <c r="A2758" s="10"/>
      <c r="B2758" s="10"/>
      <c r="E2758" s="10"/>
      <c r="G2758" s="10"/>
      <c r="I2758" s="436" t="s">
        <v>3025</v>
      </c>
      <c r="J2758" s="26" t="s">
        <v>3024</v>
      </c>
      <c r="K2758" s="10">
        <v>10</v>
      </c>
      <c r="L2758" s="73">
        <f>IF(Tank1!$C$23="No control",(SUMIF(Tank1!$B$32:$B$49,$J2758,Tank1!$C$32:$C$49)*Impacts!$F$8),0)</f>
        <v>0</v>
      </c>
      <c r="M2758" s="10">
        <f>IF(Tank2!$C$23="No control",(SUMIF(Tank2!$B$32:$B$49,$J2758,Tank2!$C$32:$C$49)*Impacts!$F$9),0)</f>
        <v>0</v>
      </c>
      <c r="N2758" s="10">
        <f>IF(Tank3!$C$23="No control",(SUMIF(Tank3!$B$32:$B$49,$J2758,Tank3!$C$32:$C$49)*Impacts!$F$10),0)</f>
        <v>0</v>
      </c>
      <c r="O2758" s="10">
        <f>IF(Tank4!$C$23="No control",(SUMIF(Tank4!$B$32:$B$49,$J2758,Tank4!$C$32:$C$49)*Impacts!$F$11),0)</f>
        <v>0</v>
      </c>
      <c r="P2758" s="10">
        <f>IF(Tank5!$C$23="No control",(SUMIF(Tank5!$B$32:$B$49,$J2758,Tank5!$C$32:$C$49)*Impacts!$F$12),0)</f>
        <v>0</v>
      </c>
      <c r="Q2758" s="10">
        <f>IFERROR(IF(('Loading-drum,tote'!$C$21)="No control",SUMIF(('Loading-drum,tote'!$B$31:$B$48),$J2758,('Loading-drum,tote'!$D$31:$D$48))*Impacts!$F$13,IF(('Loading-drum,tote'!$C$21)&lt;&gt;"No control",SUMIF(('Loading-drum,tote'!$B$31:$B$48),$J2758,('Loading-drum,tote'!$E$31:$E$48))*Impacts!$F$13,0)),0)</f>
        <v>0</v>
      </c>
      <c r="R2758" s="10">
        <f>IFERROR(IF(('Loading-truck'!$C$21)="No control",SUMIF(('Loading-truck'!$B$31:$B$48),$J2758,('Loading-truck'!$D$31:$D$48))*Impacts!$F$14,IF(('Loading-truck'!$C$21)&lt;&gt;"No control",SUMIF(('Loading-truck'!$B$31:$B$48),$J2758,('Loading-truck'!$E$31:$E$48))*Impacts!$F$14,0)),0)</f>
        <v>0</v>
      </c>
      <c r="S2758" s="10">
        <f>IFERROR(IF(('Loading-rail'!$C$21)="No control",SUMIF(('Loading-rail'!$B$31:$B$48),$J2758,('Loading-rail'!$D$31:$D$48))*Impacts!$F$15,IF(('Loading-rail'!$C$21)&lt;&gt;"No control",SUMIF(('Loading-rail'!$B$31:$B$48),$J2758,('Loading-rail'!$E$31:$E$48))*Impacts!$F$15,0)),0)</f>
        <v>0</v>
      </c>
      <c r="T2758" s="10">
        <f>IF(Flare!$C$7="",0,(SUMIF(Flare!$B$46:$B$185,$J2758,Flare!$E$46:$E$185)*Impacts!$F$16))</f>
        <v>0</v>
      </c>
      <c r="U2758" s="10">
        <f>IF(VCU!$C$9="",0,(SUMIF(VCU!$B$51:$B$193,$J2758,VCU!$E$51:$E$193)*Impacts!$F$17))</f>
        <v>0</v>
      </c>
      <c r="V2758" s="10">
        <f>IF(CAS!$C$7="",0,(SUMIF(CAS!$B$31:$B$167,$J2758,CAS!$E$31:$E$167)*Impacts!$F$18))</f>
        <v>0</v>
      </c>
      <c r="W2758" s="10">
        <f t="shared" si="83"/>
        <v>0</v>
      </c>
      <c r="AK2758" s="10" t="str">
        <f t="array" ref="AK2758">IFERROR(INDEX(SelectedSpecies,SMALL(IF(SelectedSpecies=AK$1,ROW(SelectedSpecies)),ROW(2759:2759)),2),"")</f>
        <v/>
      </c>
      <c r="BE2758" s="10"/>
      <c r="BI2758" s="10"/>
    </row>
    <row r="2759" spans="1:61" ht="21" customHeight="1" x14ac:dyDescent="0.25">
      <c r="A2759" s="10"/>
      <c r="B2759" s="10"/>
      <c r="E2759" s="10"/>
      <c r="G2759" s="10"/>
      <c r="I2759" s="436" t="s">
        <v>2265</v>
      </c>
      <c r="J2759" s="26" t="s">
        <v>2264</v>
      </c>
      <c r="K2759" s="10">
        <v>12.5</v>
      </c>
      <c r="L2759" s="73">
        <f>IF(Tank1!$C$23="No control",(SUMIF(Tank1!$B$32:$B$49,$J2759,Tank1!$C$32:$C$49)*Impacts!$F$8),0)</f>
        <v>0</v>
      </c>
      <c r="M2759" s="10">
        <f>IF(Tank2!$C$23="No control",(SUMIF(Tank2!$B$32:$B$49,$J2759,Tank2!$C$32:$C$49)*Impacts!$F$9),0)</f>
        <v>0</v>
      </c>
      <c r="N2759" s="10">
        <f>IF(Tank3!$C$23="No control",(SUMIF(Tank3!$B$32:$B$49,$J2759,Tank3!$C$32:$C$49)*Impacts!$F$10),0)</f>
        <v>0</v>
      </c>
      <c r="O2759" s="10">
        <f>IF(Tank4!$C$23="No control",(SUMIF(Tank4!$B$32:$B$49,$J2759,Tank4!$C$32:$C$49)*Impacts!$F$11),0)</f>
        <v>0</v>
      </c>
      <c r="P2759" s="10">
        <f>IF(Tank5!$C$23="No control",(SUMIF(Tank5!$B$32:$B$49,$J2759,Tank5!$C$32:$C$49)*Impacts!$F$12),0)</f>
        <v>0</v>
      </c>
      <c r="Q2759" s="10">
        <f>IFERROR(IF(('Loading-drum,tote'!$C$21)="No control",SUMIF(('Loading-drum,tote'!$B$31:$B$48),$J2759,('Loading-drum,tote'!$D$31:$D$48))*Impacts!$F$13,IF(('Loading-drum,tote'!$C$21)&lt;&gt;"No control",SUMIF(('Loading-drum,tote'!$B$31:$B$48),$J2759,('Loading-drum,tote'!$E$31:$E$48))*Impacts!$F$13,0)),0)</f>
        <v>0</v>
      </c>
      <c r="R2759" s="10">
        <f>IFERROR(IF(('Loading-truck'!$C$21)="No control",SUMIF(('Loading-truck'!$B$31:$B$48),$J2759,('Loading-truck'!$D$31:$D$48))*Impacts!$F$14,IF(('Loading-truck'!$C$21)&lt;&gt;"No control",SUMIF(('Loading-truck'!$B$31:$B$48),$J2759,('Loading-truck'!$E$31:$E$48))*Impacts!$F$14,0)),0)</f>
        <v>0</v>
      </c>
      <c r="S2759" s="10">
        <f>IFERROR(IF(('Loading-rail'!$C$21)="No control",SUMIF(('Loading-rail'!$B$31:$B$48),$J2759,('Loading-rail'!$D$31:$D$48))*Impacts!$F$15,IF(('Loading-rail'!$C$21)&lt;&gt;"No control",SUMIF(('Loading-rail'!$B$31:$B$48),$J2759,('Loading-rail'!$E$31:$E$48))*Impacts!$F$15,0)),0)</f>
        <v>0</v>
      </c>
      <c r="T2759" s="10">
        <f>IF(Flare!$C$7="",0,(SUMIF(Flare!$B$46:$B$185,$J2759,Flare!$E$46:$E$185)*Impacts!$F$16))</f>
        <v>0</v>
      </c>
      <c r="U2759" s="10">
        <f>IF(VCU!$C$9="",0,(SUMIF(VCU!$B$51:$B$193,$J2759,VCU!$E$51:$E$193)*Impacts!$F$17))</f>
        <v>0</v>
      </c>
      <c r="V2759" s="10">
        <f>IF(CAS!$C$7="",0,(SUMIF(CAS!$B$31:$B$167,$J2759,CAS!$E$31:$E$167)*Impacts!$F$18))</f>
        <v>0</v>
      </c>
      <c r="W2759" s="10">
        <f t="shared" si="83"/>
        <v>0</v>
      </c>
      <c r="AK2759" s="10" t="str">
        <f t="array" ref="AK2759">IFERROR(INDEX(SelectedSpecies,SMALL(IF(SelectedSpecies=AK$1,ROW(SelectedSpecies)),ROW(2760:2760)),2),"")</f>
        <v/>
      </c>
      <c r="BE2759" s="10"/>
      <c r="BI2759" s="10"/>
    </row>
    <row r="2760" spans="1:61" ht="21" customHeight="1" x14ac:dyDescent="0.25">
      <c r="A2760" s="10"/>
      <c r="B2760" s="10"/>
      <c r="E2760" s="10"/>
      <c r="G2760" s="10"/>
      <c r="I2760" s="436" t="s">
        <v>3027</v>
      </c>
      <c r="J2760" s="26" t="s">
        <v>3026</v>
      </c>
      <c r="K2760" s="10">
        <v>10</v>
      </c>
      <c r="L2760" s="73">
        <f>IF(Tank1!$C$23="No control",(SUMIF(Tank1!$B$32:$B$49,$J2760,Tank1!$C$32:$C$49)*Impacts!$F$8),0)</f>
        <v>0</v>
      </c>
      <c r="M2760" s="10">
        <f>IF(Tank2!$C$23="No control",(SUMIF(Tank2!$B$32:$B$49,$J2760,Tank2!$C$32:$C$49)*Impacts!$F$9),0)</f>
        <v>0</v>
      </c>
      <c r="N2760" s="10">
        <f>IF(Tank3!$C$23="No control",(SUMIF(Tank3!$B$32:$B$49,$J2760,Tank3!$C$32:$C$49)*Impacts!$F$10),0)</f>
        <v>0</v>
      </c>
      <c r="O2760" s="10">
        <f>IF(Tank4!$C$23="No control",(SUMIF(Tank4!$B$32:$B$49,$J2760,Tank4!$C$32:$C$49)*Impacts!$F$11),0)</f>
        <v>0</v>
      </c>
      <c r="P2760" s="10">
        <f>IF(Tank5!$C$23="No control",(SUMIF(Tank5!$B$32:$B$49,$J2760,Tank5!$C$32:$C$49)*Impacts!$F$12),0)</f>
        <v>0</v>
      </c>
      <c r="Q2760" s="10">
        <f>IFERROR(IF(('Loading-drum,tote'!$C$21)="No control",SUMIF(('Loading-drum,tote'!$B$31:$B$48),$J2760,('Loading-drum,tote'!$D$31:$D$48))*Impacts!$F$13,IF(('Loading-drum,tote'!$C$21)&lt;&gt;"No control",SUMIF(('Loading-drum,tote'!$B$31:$B$48),$J2760,('Loading-drum,tote'!$E$31:$E$48))*Impacts!$F$13,0)),0)</f>
        <v>0</v>
      </c>
      <c r="R2760" s="10">
        <f>IFERROR(IF(('Loading-truck'!$C$21)="No control",SUMIF(('Loading-truck'!$B$31:$B$48),$J2760,('Loading-truck'!$D$31:$D$48))*Impacts!$F$14,IF(('Loading-truck'!$C$21)&lt;&gt;"No control",SUMIF(('Loading-truck'!$B$31:$B$48),$J2760,('Loading-truck'!$E$31:$E$48))*Impacts!$F$14,0)),0)</f>
        <v>0</v>
      </c>
      <c r="S2760" s="10">
        <f>IFERROR(IF(('Loading-rail'!$C$21)="No control",SUMIF(('Loading-rail'!$B$31:$B$48),$J2760,('Loading-rail'!$D$31:$D$48))*Impacts!$F$15,IF(('Loading-rail'!$C$21)&lt;&gt;"No control",SUMIF(('Loading-rail'!$B$31:$B$48),$J2760,('Loading-rail'!$E$31:$E$48))*Impacts!$F$15,0)),0)</f>
        <v>0</v>
      </c>
      <c r="T2760" s="10">
        <f>IF(Flare!$C$7="",0,(SUMIF(Flare!$B$46:$B$185,$J2760,Flare!$E$46:$E$185)*Impacts!$F$16))</f>
        <v>0</v>
      </c>
      <c r="U2760" s="10">
        <f>IF(VCU!$C$9="",0,(SUMIF(VCU!$B$51:$B$193,$J2760,VCU!$E$51:$E$193)*Impacts!$F$17))</f>
        <v>0</v>
      </c>
      <c r="V2760" s="10">
        <f>IF(CAS!$C$7="",0,(SUMIF(CAS!$B$31:$B$167,$J2760,CAS!$E$31:$E$167)*Impacts!$F$18))</f>
        <v>0</v>
      </c>
      <c r="W2760" s="10">
        <f t="shared" si="83"/>
        <v>0</v>
      </c>
      <c r="AK2760" s="10" t="str">
        <f t="array" ref="AK2760">IFERROR(INDEX(SelectedSpecies,SMALL(IF(SelectedSpecies=AK$1,ROW(SelectedSpecies)),ROW(2761:2761)),2),"")</f>
        <v/>
      </c>
      <c r="BE2760" s="10"/>
      <c r="BI2760" s="10"/>
    </row>
    <row r="2761" spans="1:61" ht="21" customHeight="1" x14ac:dyDescent="0.25">
      <c r="A2761" s="10"/>
      <c r="B2761" s="10"/>
      <c r="E2761" s="10"/>
      <c r="G2761" s="10"/>
      <c r="I2761" s="436" t="s">
        <v>2545</v>
      </c>
      <c r="J2761" s="26" t="s">
        <v>2544</v>
      </c>
      <c r="K2761" s="10">
        <v>10</v>
      </c>
      <c r="L2761" s="73">
        <f>IF(Tank1!$C$23="No control",(SUMIF(Tank1!$B$32:$B$49,$J2761,Tank1!$C$32:$C$49)*Impacts!$F$8),0)</f>
        <v>0</v>
      </c>
      <c r="M2761" s="10">
        <f>IF(Tank2!$C$23="No control",(SUMIF(Tank2!$B$32:$B$49,$J2761,Tank2!$C$32:$C$49)*Impacts!$F$9),0)</f>
        <v>0</v>
      </c>
      <c r="N2761" s="10">
        <f>IF(Tank3!$C$23="No control",(SUMIF(Tank3!$B$32:$B$49,$J2761,Tank3!$C$32:$C$49)*Impacts!$F$10),0)</f>
        <v>0</v>
      </c>
      <c r="O2761" s="10">
        <f>IF(Tank4!$C$23="No control",(SUMIF(Tank4!$B$32:$B$49,$J2761,Tank4!$C$32:$C$49)*Impacts!$F$11),0)</f>
        <v>0</v>
      </c>
      <c r="P2761" s="10">
        <f>IF(Tank5!$C$23="No control",(SUMIF(Tank5!$B$32:$B$49,$J2761,Tank5!$C$32:$C$49)*Impacts!$F$12),0)</f>
        <v>0</v>
      </c>
      <c r="Q2761" s="10">
        <f>IFERROR(IF(('Loading-drum,tote'!$C$21)="No control",SUMIF(('Loading-drum,tote'!$B$31:$B$48),$J2761,('Loading-drum,tote'!$D$31:$D$48))*Impacts!$F$13,IF(('Loading-drum,tote'!$C$21)&lt;&gt;"No control",SUMIF(('Loading-drum,tote'!$B$31:$B$48),$J2761,('Loading-drum,tote'!$E$31:$E$48))*Impacts!$F$13,0)),0)</f>
        <v>0</v>
      </c>
      <c r="R2761" s="10">
        <f>IFERROR(IF(('Loading-truck'!$C$21)="No control",SUMIF(('Loading-truck'!$B$31:$B$48),$J2761,('Loading-truck'!$D$31:$D$48))*Impacts!$F$14,IF(('Loading-truck'!$C$21)&lt;&gt;"No control",SUMIF(('Loading-truck'!$B$31:$B$48),$J2761,('Loading-truck'!$E$31:$E$48))*Impacts!$F$14,0)),0)</f>
        <v>0</v>
      </c>
      <c r="S2761" s="10">
        <f>IFERROR(IF(('Loading-rail'!$C$21)="No control",SUMIF(('Loading-rail'!$B$31:$B$48),$J2761,('Loading-rail'!$D$31:$D$48))*Impacts!$F$15,IF(('Loading-rail'!$C$21)&lt;&gt;"No control",SUMIF(('Loading-rail'!$B$31:$B$48),$J2761,('Loading-rail'!$E$31:$E$48))*Impacts!$F$15,0)),0)</f>
        <v>0</v>
      </c>
      <c r="T2761" s="10">
        <f>IF(Flare!$C$7="",0,(SUMIF(Flare!$B$46:$B$185,$J2761,Flare!$E$46:$E$185)*Impacts!$F$16))</f>
        <v>0</v>
      </c>
      <c r="U2761" s="10">
        <f>IF(VCU!$C$9="",0,(SUMIF(VCU!$B$51:$B$193,$J2761,VCU!$E$51:$E$193)*Impacts!$F$17))</f>
        <v>0</v>
      </c>
      <c r="V2761" s="10">
        <f>IF(CAS!$C$7="",0,(SUMIF(CAS!$B$31:$B$167,$J2761,CAS!$E$31:$E$167)*Impacts!$F$18))</f>
        <v>0</v>
      </c>
      <c r="W2761" s="10">
        <f t="shared" si="83"/>
        <v>0</v>
      </c>
      <c r="AK2761" s="10" t="str">
        <f t="array" ref="AK2761">IFERROR(INDEX(SelectedSpecies,SMALL(IF(SelectedSpecies=AK$1,ROW(SelectedSpecies)),ROW(2762:2762)),2),"")</f>
        <v/>
      </c>
      <c r="BE2761" s="10"/>
      <c r="BI2761" s="10"/>
    </row>
    <row r="2762" spans="1:61" ht="21" customHeight="1" x14ac:dyDescent="0.25">
      <c r="A2762" s="10"/>
      <c r="B2762" s="10"/>
      <c r="E2762" s="10"/>
      <c r="G2762" s="10"/>
      <c r="I2762" s="436" t="s">
        <v>1092</v>
      </c>
      <c r="J2762" s="26" t="s">
        <v>1091</v>
      </c>
      <c r="K2762" s="10">
        <v>35</v>
      </c>
      <c r="L2762" s="73">
        <f>IF(Tank1!$C$23="No control",(SUMIF(Tank1!$B$32:$B$49,$J2762,Tank1!$C$32:$C$49)*Impacts!$F$8),0)</f>
        <v>0</v>
      </c>
      <c r="M2762" s="10">
        <f>IF(Tank2!$C$23="No control",(SUMIF(Tank2!$B$32:$B$49,$J2762,Tank2!$C$32:$C$49)*Impacts!$F$9),0)</f>
        <v>0</v>
      </c>
      <c r="N2762" s="10">
        <f>IF(Tank3!$C$23="No control",(SUMIF(Tank3!$B$32:$B$49,$J2762,Tank3!$C$32:$C$49)*Impacts!$F$10),0)</f>
        <v>0</v>
      </c>
      <c r="O2762" s="10">
        <f>IF(Tank4!$C$23="No control",(SUMIF(Tank4!$B$32:$B$49,$J2762,Tank4!$C$32:$C$49)*Impacts!$F$11),0)</f>
        <v>0</v>
      </c>
      <c r="P2762" s="10">
        <f>IF(Tank5!$C$23="No control",(SUMIF(Tank5!$B$32:$B$49,$J2762,Tank5!$C$32:$C$49)*Impacts!$F$12),0)</f>
        <v>0</v>
      </c>
      <c r="Q2762" s="10">
        <f>IFERROR(IF(('Loading-drum,tote'!$C$21)="No control",SUMIF(('Loading-drum,tote'!$B$31:$B$48),$J2762,('Loading-drum,tote'!$D$31:$D$48))*Impacts!$F$13,IF(('Loading-drum,tote'!$C$21)&lt;&gt;"No control",SUMIF(('Loading-drum,tote'!$B$31:$B$48),$J2762,('Loading-drum,tote'!$E$31:$E$48))*Impacts!$F$13,0)),0)</f>
        <v>0</v>
      </c>
      <c r="R2762" s="10">
        <f>IFERROR(IF(('Loading-truck'!$C$21)="No control",SUMIF(('Loading-truck'!$B$31:$B$48),$J2762,('Loading-truck'!$D$31:$D$48))*Impacts!$F$14,IF(('Loading-truck'!$C$21)&lt;&gt;"No control",SUMIF(('Loading-truck'!$B$31:$B$48),$J2762,('Loading-truck'!$E$31:$E$48))*Impacts!$F$14,0)),0)</f>
        <v>0</v>
      </c>
      <c r="S2762" s="10">
        <f>IFERROR(IF(('Loading-rail'!$C$21)="No control",SUMIF(('Loading-rail'!$B$31:$B$48),$J2762,('Loading-rail'!$D$31:$D$48))*Impacts!$F$15,IF(('Loading-rail'!$C$21)&lt;&gt;"No control",SUMIF(('Loading-rail'!$B$31:$B$48),$J2762,('Loading-rail'!$E$31:$E$48))*Impacts!$F$15,0)),0)</f>
        <v>0</v>
      </c>
      <c r="T2762" s="10">
        <f>IF(Flare!$C$7="",0,(SUMIF(Flare!$B$46:$B$185,$J2762,Flare!$E$46:$E$185)*Impacts!$F$16))</f>
        <v>0</v>
      </c>
      <c r="U2762" s="10">
        <f>IF(VCU!$C$9="",0,(SUMIF(VCU!$B$51:$B$193,$J2762,VCU!$E$51:$E$193)*Impacts!$F$17))</f>
        <v>0</v>
      </c>
      <c r="V2762" s="10">
        <f>IF(CAS!$C$7="",0,(SUMIF(CAS!$B$31:$B$167,$J2762,CAS!$E$31:$E$167)*Impacts!$F$18))</f>
        <v>0</v>
      </c>
      <c r="W2762" s="10">
        <f t="shared" si="83"/>
        <v>0</v>
      </c>
      <c r="AK2762" s="10" t="str">
        <f t="array" ref="AK2762">IFERROR(INDEX(SelectedSpecies,SMALL(IF(SelectedSpecies=AK$1,ROW(SelectedSpecies)),ROW(2763:2763)),2),"")</f>
        <v/>
      </c>
      <c r="BE2762" s="10"/>
      <c r="BI2762" s="10"/>
    </row>
    <row r="2763" spans="1:61" ht="21" customHeight="1" x14ac:dyDescent="0.25">
      <c r="A2763" s="10"/>
      <c r="B2763" s="10"/>
      <c r="E2763" s="10"/>
      <c r="G2763" s="10"/>
      <c r="I2763" s="436" t="s">
        <v>1094</v>
      </c>
      <c r="J2763" s="26" t="s">
        <v>1093</v>
      </c>
      <c r="K2763" s="10">
        <v>35</v>
      </c>
      <c r="L2763" s="73">
        <f>IF(Tank1!$C$23="No control",(SUMIF(Tank1!$B$32:$B$49,$J2763,Tank1!$C$32:$C$49)*Impacts!$F$8),0)</f>
        <v>0</v>
      </c>
      <c r="M2763" s="10">
        <f>IF(Tank2!$C$23="No control",(SUMIF(Tank2!$B$32:$B$49,$J2763,Tank2!$C$32:$C$49)*Impacts!$F$9),0)</f>
        <v>0</v>
      </c>
      <c r="N2763" s="10">
        <f>IF(Tank3!$C$23="No control",(SUMIF(Tank3!$B$32:$B$49,$J2763,Tank3!$C$32:$C$49)*Impacts!$F$10),0)</f>
        <v>0</v>
      </c>
      <c r="O2763" s="10">
        <f>IF(Tank4!$C$23="No control",(SUMIF(Tank4!$B$32:$B$49,$J2763,Tank4!$C$32:$C$49)*Impacts!$F$11),0)</f>
        <v>0</v>
      </c>
      <c r="P2763" s="10">
        <f>IF(Tank5!$C$23="No control",(SUMIF(Tank5!$B$32:$B$49,$J2763,Tank5!$C$32:$C$49)*Impacts!$F$12),0)</f>
        <v>0</v>
      </c>
      <c r="Q2763" s="10">
        <f>IFERROR(IF(('Loading-drum,tote'!$C$21)="No control",SUMIF(('Loading-drum,tote'!$B$31:$B$48),$J2763,('Loading-drum,tote'!$D$31:$D$48))*Impacts!$F$13,IF(('Loading-drum,tote'!$C$21)&lt;&gt;"No control",SUMIF(('Loading-drum,tote'!$B$31:$B$48),$J2763,('Loading-drum,tote'!$E$31:$E$48))*Impacts!$F$13,0)),0)</f>
        <v>0</v>
      </c>
      <c r="R2763" s="10">
        <f>IFERROR(IF(('Loading-truck'!$C$21)="No control",SUMIF(('Loading-truck'!$B$31:$B$48),$J2763,('Loading-truck'!$D$31:$D$48))*Impacts!$F$14,IF(('Loading-truck'!$C$21)&lt;&gt;"No control",SUMIF(('Loading-truck'!$B$31:$B$48),$J2763,('Loading-truck'!$E$31:$E$48))*Impacts!$F$14,0)),0)</f>
        <v>0</v>
      </c>
      <c r="S2763" s="10">
        <f>IFERROR(IF(('Loading-rail'!$C$21)="No control",SUMIF(('Loading-rail'!$B$31:$B$48),$J2763,('Loading-rail'!$D$31:$D$48))*Impacts!$F$15,IF(('Loading-rail'!$C$21)&lt;&gt;"No control",SUMIF(('Loading-rail'!$B$31:$B$48),$J2763,('Loading-rail'!$E$31:$E$48))*Impacts!$F$15,0)),0)</f>
        <v>0</v>
      </c>
      <c r="T2763" s="10">
        <f>IF(Flare!$C$7="",0,(SUMIF(Flare!$B$46:$B$185,$J2763,Flare!$E$46:$E$185)*Impacts!$F$16))</f>
        <v>0</v>
      </c>
      <c r="U2763" s="10">
        <f>IF(VCU!$C$9="",0,(SUMIF(VCU!$B$51:$B$193,$J2763,VCU!$E$51:$E$193)*Impacts!$F$17))</f>
        <v>0</v>
      </c>
      <c r="V2763" s="10">
        <f>IF(CAS!$C$7="",0,(SUMIF(CAS!$B$31:$B$167,$J2763,CAS!$E$31:$E$167)*Impacts!$F$18))</f>
        <v>0</v>
      </c>
      <c r="W2763" s="10">
        <f t="shared" si="83"/>
        <v>0</v>
      </c>
      <c r="AK2763" s="10" t="str">
        <f t="array" ref="AK2763">IFERROR(INDEX(SelectedSpecies,SMALL(IF(SelectedSpecies=AK$1,ROW(SelectedSpecies)),ROW(2764:2764)),2),"")</f>
        <v/>
      </c>
      <c r="BE2763" s="10"/>
      <c r="BI2763" s="10"/>
    </row>
    <row r="2764" spans="1:61" ht="21" customHeight="1" x14ac:dyDescent="0.25">
      <c r="A2764" s="10"/>
      <c r="B2764" s="10"/>
      <c r="E2764" s="10"/>
      <c r="G2764" s="10"/>
      <c r="I2764" s="436" t="s">
        <v>1096</v>
      </c>
      <c r="J2764" s="26" t="s">
        <v>1095</v>
      </c>
      <c r="K2764" s="10">
        <v>35</v>
      </c>
      <c r="L2764" s="73">
        <f>IF(Tank1!$C$23="No control",(SUMIF(Tank1!$B$32:$B$49,$J2764,Tank1!$C$32:$C$49)*Impacts!$F$8),0)</f>
        <v>0</v>
      </c>
      <c r="M2764" s="10">
        <f>IF(Tank2!$C$23="No control",(SUMIF(Tank2!$B$32:$B$49,$J2764,Tank2!$C$32:$C$49)*Impacts!$F$9),0)</f>
        <v>0</v>
      </c>
      <c r="N2764" s="10">
        <f>IF(Tank3!$C$23="No control",(SUMIF(Tank3!$B$32:$B$49,$J2764,Tank3!$C$32:$C$49)*Impacts!$F$10),0)</f>
        <v>0</v>
      </c>
      <c r="O2764" s="10">
        <f>IF(Tank4!$C$23="No control",(SUMIF(Tank4!$B$32:$B$49,$J2764,Tank4!$C$32:$C$49)*Impacts!$F$11),0)</f>
        <v>0</v>
      </c>
      <c r="P2764" s="10">
        <f>IF(Tank5!$C$23="No control",(SUMIF(Tank5!$B$32:$B$49,$J2764,Tank5!$C$32:$C$49)*Impacts!$F$12),0)</f>
        <v>0</v>
      </c>
      <c r="Q2764" s="10">
        <f>IFERROR(IF(('Loading-drum,tote'!$C$21)="No control",SUMIF(('Loading-drum,tote'!$B$31:$B$48),$J2764,('Loading-drum,tote'!$D$31:$D$48))*Impacts!$F$13,IF(('Loading-drum,tote'!$C$21)&lt;&gt;"No control",SUMIF(('Loading-drum,tote'!$B$31:$B$48),$J2764,('Loading-drum,tote'!$E$31:$E$48))*Impacts!$F$13,0)),0)</f>
        <v>0</v>
      </c>
      <c r="R2764" s="10">
        <f>IFERROR(IF(('Loading-truck'!$C$21)="No control",SUMIF(('Loading-truck'!$B$31:$B$48),$J2764,('Loading-truck'!$D$31:$D$48))*Impacts!$F$14,IF(('Loading-truck'!$C$21)&lt;&gt;"No control",SUMIF(('Loading-truck'!$B$31:$B$48),$J2764,('Loading-truck'!$E$31:$E$48))*Impacts!$F$14,0)),0)</f>
        <v>0</v>
      </c>
      <c r="S2764" s="10">
        <f>IFERROR(IF(('Loading-rail'!$C$21)="No control",SUMIF(('Loading-rail'!$B$31:$B$48),$J2764,('Loading-rail'!$D$31:$D$48))*Impacts!$F$15,IF(('Loading-rail'!$C$21)&lt;&gt;"No control",SUMIF(('Loading-rail'!$B$31:$B$48),$J2764,('Loading-rail'!$E$31:$E$48))*Impacts!$F$15,0)),0)</f>
        <v>0</v>
      </c>
      <c r="T2764" s="10">
        <f>IF(Flare!$C$7="",0,(SUMIF(Flare!$B$46:$B$185,$J2764,Flare!$E$46:$E$185)*Impacts!$F$16))</f>
        <v>0</v>
      </c>
      <c r="U2764" s="10">
        <f>IF(VCU!$C$9="",0,(SUMIF(VCU!$B$51:$B$193,$J2764,VCU!$E$51:$E$193)*Impacts!$F$17))</f>
        <v>0</v>
      </c>
      <c r="V2764" s="10">
        <f>IF(CAS!$C$7="",0,(SUMIF(CAS!$B$31:$B$167,$J2764,CAS!$E$31:$E$167)*Impacts!$F$18))</f>
        <v>0</v>
      </c>
      <c r="W2764" s="10">
        <f t="shared" si="83"/>
        <v>0</v>
      </c>
      <c r="AK2764" s="10" t="str">
        <f t="array" ref="AK2764">IFERROR(INDEX(SelectedSpecies,SMALL(IF(SelectedSpecies=AK$1,ROW(SelectedSpecies)),ROW(2765:2765)),2),"")</f>
        <v/>
      </c>
      <c r="BE2764" s="10"/>
      <c r="BI2764" s="10"/>
    </row>
    <row r="2765" spans="1:61" ht="21" customHeight="1" x14ac:dyDescent="0.25">
      <c r="A2765" s="10"/>
      <c r="B2765" s="10"/>
      <c r="E2765" s="10"/>
      <c r="G2765" s="10"/>
      <c r="I2765" s="436" t="s">
        <v>3029</v>
      </c>
      <c r="J2765" s="26" t="s">
        <v>3028</v>
      </c>
      <c r="K2765" s="10">
        <v>10</v>
      </c>
      <c r="L2765" s="73">
        <f>IF(Tank1!$C$23="No control",(SUMIF(Tank1!$B$32:$B$49,$J2765,Tank1!$C$32:$C$49)*Impacts!$F$8),0)</f>
        <v>0</v>
      </c>
      <c r="M2765" s="10">
        <f>IF(Tank2!$C$23="No control",(SUMIF(Tank2!$B$32:$B$49,$J2765,Tank2!$C$32:$C$49)*Impacts!$F$9),0)</f>
        <v>0</v>
      </c>
      <c r="N2765" s="10">
        <f>IF(Tank3!$C$23="No control",(SUMIF(Tank3!$B$32:$B$49,$J2765,Tank3!$C$32:$C$49)*Impacts!$F$10),0)</f>
        <v>0</v>
      </c>
      <c r="O2765" s="10">
        <f>IF(Tank4!$C$23="No control",(SUMIF(Tank4!$B$32:$B$49,$J2765,Tank4!$C$32:$C$49)*Impacts!$F$11),0)</f>
        <v>0</v>
      </c>
      <c r="P2765" s="10">
        <f>IF(Tank5!$C$23="No control",(SUMIF(Tank5!$B$32:$B$49,$J2765,Tank5!$C$32:$C$49)*Impacts!$F$12),0)</f>
        <v>0</v>
      </c>
      <c r="Q2765" s="10">
        <f>IFERROR(IF(('Loading-drum,tote'!$C$21)="No control",SUMIF(('Loading-drum,tote'!$B$31:$B$48),$J2765,('Loading-drum,tote'!$D$31:$D$48))*Impacts!$F$13,IF(('Loading-drum,tote'!$C$21)&lt;&gt;"No control",SUMIF(('Loading-drum,tote'!$B$31:$B$48),$J2765,('Loading-drum,tote'!$E$31:$E$48))*Impacts!$F$13,0)),0)</f>
        <v>0</v>
      </c>
      <c r="R2765" s="10">
        <f>IFERROR(IF(('Loading-truck'!$C$21)="No control",SUMIF(('Loading-truck'!$B$31:$B$48),$J2765,('Loading-truck'!$D$31:$D$48))*Impacts!$F$14,IF(('Loading-truck'!$C$21)&lt;&gt;"No control",SUMIF(('Loading-truck'!$B$31:$B$48),$J2765,('Loading-truck'!$E$31:$E$48))*Impacts!$F$14,0)),0)</f>
        <v>0</v>
      </c>
      <c r="S2765" s="10">
        <f>IFERROR(IF(('Loading-rail'!$C$21)="No control",SUMIF(('Loading-rail'!$B$31:$B$48),$J2765,('Loading-rail'!$D$31:$D$48))*Impacts!$F$15,IF(('Loading-rail'!$C$21)&lt;&gt;"No control",SUMIF(('Loading-rail'!$B$31:$B$48),$J2765,('Loading-rail'!$E$31:$E$48))*Impacts!$F$15,0)),0)</f>
        <v>0</v>
      </c>
      <c r="T2765" s="10">
        <f>IF(Flare!$C$7="",0,(SUMIF(Flare!$B$46:$B$185,$J2765,Flare!$E$46:$E$185)*Impacts!$F$16))</f>
        <v>0</v>
      </c>
      <c r="U2765" s="10">
        <f>IF(VCU!$C$9="",0,(SUMIF(VCU!$B$51:$B$193,$J2765,VCU!$E$51:$E$193)*Impacts!$F$17))</f>
        <v>0</v>
      </c>
      <c r="V2765" s="10">
        <f>IF(CAS!$C$7="",0,(SUMIF(CAS!$B$31:$B$167,$J2765,CAS!$E$31:$E$167)*Impacts!$F$18))</f>
        <v>0</v>
      </c>
      <c r="W2765" s="10">
        <f t="shared" si="83"/>
        <v>0</v>
      </c>
      <c r="AK2765" s="10" t="str">
        <f t="array" ref="AK2765">IFERROR(INDEX(SelectedSpecies,SMALL(IF(SelectedSpecies=AK$1,ROW(SelectedSpecies)),ROW(2766:2766)),2),"")</f>
        <v/>
      </c>
      <c r="BE2765" s="10"/>
      <c r="BI2765" s="10"/>
    </row>
    <row r="2766" spans="1:61" ht="21" customHeight="1" x14ac:dyDescent="0.25">
      <c r="A2766" s="10"/>
      <c r="B2766" s="10"/>
      <c r="E2766" s="10"/>
      <c r="G2766" s="10"/>
      <c r="I2766" s="436" t="s">
        <v>3031</v>
      </c>
      <c r="J2766" s="26" t="s">
        <v>3030</v>
      </c>
      <c r="K2766" s="10">
        <v>10</v>
      </c>
      <c r="L2766" s="73">
        <f>IF(Tank1!$C$23="No control",(SUMIF(Tank1!$B$32:$B$49,$J2766,Tank1!$C$32:$C$49)*Impacts!$F$8),0)</f>
        <v>0</v>
      </c>
      <c r="M2766" s="10">
        <f>IF(Tank2!$C$23="No control",(SUMIF(Tank2!$B$32:$B$49,$J2766,Tank2!$C$32:$C$49)*Impacts!$F$9),0)</f>
        <v>0</v>
      </c>
      <c r="N2766" s="10">
        <f>IF(Tank3!$C$23="No control",(SUMIF(Tank3!$B$32:$B$49,$J2766,Tank3!$C$32:$C$49)*Impacts!$F$10),0)</f>
        <v>0</v>
      </c>
      <c r="O2766" s="10">
        <f>IF(Tank4!$C$23="No control",(SUMIF(Tank4!$B$32:$B$49,$J2766,Tank4!$C$32:$C$49)*Impacts!$F$11),0)</f>
        <v>0</v>
      </c>
      <c r="P2766" s="10">
        <f>IF(Tank5!$C$23="No control",(SUMIF(Tank5!$B$32:$B$49,$J2766,Tank5!$C$32:$C$49)*Impacts!$F$12),0)</f>
        <v>0</v>
      </c>
      <c r="Q2766" s="10">
        <f>IFERROR(IF(('Loading-drum,tote'!$C$21)="No control",SUMIF(('Loading-drum,tote'!$B$31:$B$48),$J2766,('Loading-drum,tote'!$D$31:$D$48))*Impacts!$F$13,IF(('Loading-drum,tote'!$C$21)&lt;&gt;"No control",SUMIF(('Loading-drum,tote'!$B$31:$B$48),$J2766,('Loading-drum,tote'!$E$31:$E$48))*Impacts!$F$13,0)),0)</f>
        <v>0</v>
      </c>
      <c r="R2766" s="10">
        <f>IFERROR(IF(('Loading-truck'!$C$21)="No control",SUMIF(('Loading-truck'!$B$31:$B$48),$J2766,('Loading-truck'!$D$31:$D$48))*Impacts!$F$14,IF(('Loading-truck'!$C$21)&lt;&gt;"No control",SUMIF(('Loading-truck'!$B$31:$B$48),$J2766,('Loading-truck'!$E$31:$E$48))*Impacts!$F$14,0)),0)</f>
        <v>0</v>
      </c>
      <c r="S2766" s="10">
        <f>IFERROR(IF(('Loading-rail'!$C$21)="No control",SUMIF(('Loading-rail'!$B$31:$B$48),$J2766,('Loading-rail'!$D$31:$D$48))*Impacts!$F$15,IF(('Loading-rail'!$C$21)&lt;&gt;"No control",SUMIF(('Loading-rail'!$B$31:$B$48),$J2766,('Loading-rail'!$E$31:$E$48))*Impacts!$F$15,0)),0)</f>
        <v>0</v>
      </c>
      <c r="T2766" s="10">
        <f>IF(Flare!$C$7="",0,(SUMIF(Flare!$B$46:$B$185,$J2766,Flare!$E$46:$E$185)*Impacts!$F$16))</f>
        <v>0</v>
      </c>
      <c r="U2766" s="10">
        <f>IF(VCU!$C$9="",0,(SUMIF(VCU!$B$51:$B$193,$J2766,VCU!$E$51:$E$193)*Impacts!$F$17))</f>
        <v>0</v>
      </c>
      <c r="V2766" s="10">
        <f>IF(CAS!$C$7="",0,(SUMIF(CAS!$B$31:$B$167,$J2766,CAS!$E$31:$E$167)*Impacts!$F$18))</f>
        <v>0</v>
      </c>
      <c r="W2766" s="10">
        <f t="shared" si="83"/>
        <v>0</v>
      </c>
      <c r="AK2766" s="10" t="str">
        <f t="array" ref="AK2766">IFERROR(INDEX(SelectedSpecies,SMALL(IF(SelectedSpecies=AK$1,ROW(SelectedSpecies)),ROW(2767:2767)),2),"")</f>
        <v/>
      </c>
      <c r="BE2766" s="10"/>
      <c r="BI2766" s="10"/>
    </row>
    <row r="2767" spans="1:61" ht="21" customHeight="1" x14ac:dyDescent="0.25">
      <c r="A2767" s="10"/>
      <c r="B2767" s="10"/>
      <c r="E2767" s="10"/>
      <c r="G2767" s="10"/>
      <c r="I2767" s="436" t="s">
        <v>1098</v>
      </c>
      <c r="J2767" s="26" t="s">
        <v>1097</v>
      </c>
      <c r="K2767" s="10">
        <v>35</v>
      </c>
      <c r="L2767" s="73">
        <f>IF(Tank1!$C$23="No control",(SUMIF(Tank1!$B$32:$B$49,$J2767,Tank1!$C$32:$C$49)*Impacts!$F$8),0)</f>
        <v>0</v>
      </c>
      <c r="M2767" s="10">
        <f>IF(Tank2!$C$23="No control",(SUMIF(Tank2!$B$32:$B$49,$J2767,Tank2!$C$32:$C$49)*Impacts!$F$9),0)</f>
        <v>0</v>
      </c>
      <c r="N2767" s="10">
        <f>IF(Tank3!$C$23="No control",(SUMIF(Tank3!$B$32:$B$49,$J2767,Tank3!$C$32:$C$49)*Impacts!$F$10),0)</f>
        <v>0</v>
      </c>
      <c r="O2767" s="10">
        <f>IF(Tank4!$C$23="No control",(SUMIF(Tank4!$B$32:$B$49,$J2767,Tank4!$C$32:$C$49)*Impacts!$F$11),0)</f>
        <v>0</v>
      </c>
      <c r="P2767" s="10">
        <f>IF(Tank5!$C$23="No control",(SUMIF(Tank5!$B$32:$B$49,$J2767,Tank5!$C$32:$C$49)*Impacts!$F$12),0)</f>
        <v>0</v>
      </c>
      <c r="Q2767" s="10">
        <f>IFERROR(IF(('Loading-drum,tote'!$C$21)="No control",SUMIF(('Loading-drum,tote'!$B$31:$B$48),$J2767,('Loading-drum,tote'!$D$31:$D$48))*Impacts!$F$13,IF(('Loading-drum,tote'!$C$21)&lt;&gt;"No control",SUMIF(('Loading-drum,tote'!$B$31:$B$48),$J2767,('Loading-drum,tote'!$E$31:$E$48))*Impacts!$F$13,0)),0)</f>
        <v>0</v>
      </c>
      <c r="R2767" s="10">
        <f>IFERROR(IF(('Loading-truck'!$C$21)="No control",SUMIF(('Loading-truck'!$B$31:$B$48),$J2767,('Loading-truck'!$D$31:$D$48))*Impacts!$F$14,IF(('Loading-truck'!$C$21)&lt;&gt;"No control",SUMIF(('Loading-truck'!$B$31:$B$48),$J2767,('Loading-truck'!$E$31:$E$48))*Impacts!$F$14,0)),0)</f>
        <v>0</v>
      </c>
      <c r="S2767" s="10">
        <f>IFERROR(IF(('Loading-rail'!$C$21)="No control",SUMIF(('Loading-rail'!$B$31:$B$48),$J2767,('Loading-rail'!$D$31:$D$48))*Impacts!$F$15,IF(('Loading-rail'!$C$21)&lt;&gt;"No control",SUMIF(('Loading-rail'!$B$31:$B$48),$J2767,('Loading-rail'!$E$31:$E$48))*Impacts!$F$15,0)),0)</f>
        <v>0</v>
      </c>
      <c r="T2767" s="10">
        <f>IF(Flare!$C$7="",0,(SUMIF(Flare!$B$46:$B$185,$J2767,Flare!$E$46:$E$185)*Impacts!$F$16))</f>
        <v>0</v>
      </c>
      <c r="U2767" s="10">
        <f>IF(VCU!$C$9="",0,(SUMIF(VCU!$B$51:$B$193,$J2767,VCU!$E$51:$E$193)*Impacts!$F$17))</f>
        <v>0</v>
      </c>
      <c r="V2767" s="10">
        <f>IF(CAS!$C$7="",0,(SUMIF(CAS!$B$31:$B$167,$J2767,CAS!$E$31:$E$167)*Impacts!$F$18))</f>
        <v>0</v>
      </c>
      <c r="W2767" s="10">
        <f t="shared" si="83"/>
        <v>0</v>
      </c>
      <c r="AK2767" s="10" t="str">
        <f t="array" ref="AK2767">IFERROR(INDEX(SelectedSpecies,SMALL(IF(SelectedSpecies=AK$1,ROW(SelectedSpecies)),ROW(2768:2768)),2),"")</f>
        <v/>
      </c>
      <c r="BE2767" s="10"/>
      <c r="BI2767" s="10"/>
    </row>
    <row r="2768" spans="1:61" ht="21" customHeight="1" x14ac:dyDescent="0.25">
      <c r="A2768" s="10"/>
      <c r="B2768" s="10"/>
      <c r="E2768" s="10"/>
      <c r="G2768" s="10"/>
      <c r="I2768" s="436" t="s">
        <v>2547</v>
      </c>
      <c r="J2768" s="26" t="s">
        <v>2546</v>
      </c>
      <c r="K2768" s="10">
        <v>10</v>
      </c>
      <c r="L2768" s="73">
        <f>IF(Tank1!$C$23="No control",(SUMIF(Tank1!$B$32:$B$49,$J2768,Tank1!$C$32:$C$49)*Impacts!$F$8),0)</f>
        <v>0</v>
      </c>
      <c r="M2768" s="10">
        <f>IF(Tank2!$C$23="No control",(SUMIF(Tank2!$B$32:$B$49,$J2768,Tank2!$C$32:$C$49)*Impacts!$F$9),0)</f>
        <v>0</v>
      </c>
      <c r="N2768" s="10">
        <f>IF(Tank3!$C$23="No control",(SUMIF(Tank3!$B$32:$B$49,$J2768,Tank3!$C$32:$C$49)*Impacts!$F$10),0)</f>
        <v>0</v>
      </c>
      <c r="O2768" s="10">
        <f>IF(Tank4!$C$23="No control",(SUMIF(Tank4!$B$32:$B$49,$J2768,Tank4!$C$32:$C$49)*Impacts!$F$11),0)</f>
        <v>0</v>
      </c>
      <c r="P2768" s="10">
        <f>IF(Tank5!$C$23="No control",(SUMIF(Tank5!$B$32:$B$49,$J2768,Tank5!$C$32:$C$49)*Impacts!$F$12),0)</f>
        <v>0</v>
      </c>
      <c r="Q2768" s="10">
        <f>IFERROR(IF(('Loading-drum,tote'!$C$21)="No control",SUMIF(('Loading-drum,tote'!$B$31:$B$48),$J2768,('Loading-drum,tote'!$D$31:$D$48))*Impacts!$F$13,IF(('Loading-drum,tote'!$C$21)&lt;&gt;"No control",SUMIF(('Loading-drum,tote'!$B$31:$B$48),$J2768,('Loading-drum,tote'!$E$31:$E$48))*Impacts!$F$13,0)),0)</f>
        <v>0</v>
      </c>
      <c r="R2768" s="10">
        <f>IFERROR(IF(('Loading-truck'!$C$21)="No control",SUMIF(('Loading-truck'!$B$31:$B$48),$J2768,('Loading-truck'!$D$31:$D$48))*Impacts!$F$14,IF(('Loading-truck'!$C$21)&lt;&gt;"No control",SUMIF(('Loading-truck'!$B$31:$B$48),$J2768,('Loading-truck'!$E$31:$E$48))*Impacts!$F$14,0)),0)</f>
        <v>0</v>
      </c>
      <c r="S2768" s="10">
        <f>IFERROR(IF(('Loading-rail'!$C$21)="No control",SUMIF(('Loading-rail'!$B$31:$B$48),$J2768,('Loading-rail'!$D$31:$D$48))*Impacts!$F$15,IF(('Loading-rail'!$C$21)&lt;&gt;"No control",SUMIF(('Loading-rail'!$B$31:$B$48),$J2768,('Loading-rail'!$E$31:$E$48))*Impacts!$F$15,0)),0)</f>
        <v>0</v>
      </c>
      <c r="T2768" s="10">
        <f>IF(Flare!$C$7="",0,(SUMIF(Flare!$B$46:$B$185,$J2768,Flare!$E$46:$E$185)*Impacts!$F$16))</f>
        <v>0</v>
      </c>
      <c r="U2768" s="10">
        <f>IF(VCU!$C$9="",0,(SUMIF(VCU!$B$51:$B$193,$J2768,VCU!$E$51:$E$193)*Impacts!$F$17))</f>
        <v>0</v>
      </c>
      <c r="V2768" s="10">
        <f>IF(CAS!$C$7="",0,(SUMIF(CAS!$B$31:$B$167,$J2768,CAS!$E$31:$E$167)*Impacts!$F$18))</f>
        <v>0</v>
      </c>
      <c r="W2768" s="10">
        <f t="shared" si="83"/>
        <v>0</v>
      </c>
      <c r="AK2768" s="10" t="str">
        <f t="array" ref="AK2768">IFERROR(INDEX(SelectedSpecies,SMALL(IF(SelectedSpecies=AK$1,ROW(SelectedSpecies)),ROW(2769:2769)),2),"")</f>
        <v/>
      </c>
      <c r="BE2768" s="10"/>
      <c r="BI2768" s="10"/>
    </row>
    <row r="2769" spans="1:61" ht="21" customHeight="1" x14ac:dyDescent="0.25">
      <c r="A2769" s="10"/>
      <c r="B2769" s="10"/>
      <c r="E2769" s="10"/>
      <c r="G2769" s="10"/>
      <c r="I2769" s="436" t="s">
        <v>1100</v>
      </c>
      <c r="J2769" s="26" t="s">
        <v>1099</v>
      </c>
      <c r="K2769" s="10">
        <v>35</v>
      </c>
      <c r="L2769" s="73">
        <f>IF(Tank1!$C$23="No control",(SUMIF(Tank1!$B$32:$B$49,$J2769,Tank1!$C$32:$C$49)*Impacts!$F$8),0)</f>
        <v>0</v>
      </c>
      <c r="M2769" s="10">
        <f>IF(Tank2!$C$23="No control",(SUMIF(Tank2!$B$32:$B$49,$J2769,Tank2!$C$32:$C$49)*Impacts!$F$9),0)</f>
        <v>0</v>
      </c>
      <c r="N2769" s="10">
        <f>IF(Tank3!$C$23="No control",(SUMIF(Tank3!$B$32:$B$49,$J2769,Tank3!$C$32:$C$49)*Impacts!$F$10),0)</f>
        <v>0</v>
      </c>
      <c r="O2769" s="10">
        <f>IF(Tank4!$C$23="No control",(SUMIF(Tank4!$B$32:$B$49,$J2769,Tank4!$C$32:$C$49)*Impacts!$F$11),0)</f>
        <v>0</v>
      </c>
      <c r="P2769" s="10">
        <f>IF(Tank5!$C$23="No control",(SUMIF(Tank5!$B$32:$B$49,$J2769,Tank5!$C$32:$C$49)*Impacts!$F$12),0)</f>
        <v>0</v>
      </c>
      <c r="Q2769" s="10">
        <f>IFERROR(IF(('Loading-drum,tote'!$C$21)="No control",SUMIF(('Loading-drum,tote'!$B$31:$B$48),$J2769,('Loading-drum,tote'!$D$31:$D$48))*Impacts!$F$13,IF(('Loading-drum,tote'!$C$21)&lt;&gt;"No control",SUMIF(('Loading-drum,tote'!$B$31:$B$48),$J2769,('Loading-drum,tote'!$E$31:$E$48))*Impacts!$F$13,0)),0)</f>
        <v>0</v>
      </c>
      <c r="R2769" s="10">
        <f>IFERROR(IF(('Loading-truck'!$C$21)="No control",SUMIF(('Loading-truck'!$B$31:$B$48),$J2769,('Loading-truck'!$D$31:$D$48))*Impacts!$F$14,IF(('Loading-truck'!$C$21)&lt;&gt;"No control",SUMIF(('Loading-truck'!$B$31:$B$48),$J2769,('Loading-truck'!$E$31:$E$48))*Impacts!$F$14,0)),0)</f>
        <v>0</v>
      </c>
      <c r="S2769" s="10">
        <f>IFERROR(IF(('Loading-rail'!$C$21)="No control",SUMIF(('Loading-rail'!$B$31:$B$48),$J2769,('Loading-rail'!$D$31:$D$48))*Impacts!$F$15,IF(('Loading-rail'!$C$21)&lt;&gt;"No control",SUMIF(('Loading-rail'!$B$31:$B$48),$J2769,('Loading-rail'!$E$31:$E$48))*Impacts!$F$15,0)),0)</f>
        <v>0</v>
      </c>
      <c r="T2769" s="10">
        <f>IF(Flare!$C$7="",0,(SUMIF(Flare!$B$46:$B$185,$J2769,Flare!$E$46:$E$185)*Impacts!$F$16))</f>
        <v>0</v>
      </c>
      <c r="U2769" s="10">
        <f>IF(VCU!$C$9="",0,(SUMIF(VCU!$B$51:$B$193,$J2769,VCU!$E$51:$E$193)*Impacts!$F$17))</f>
        <v>0</v>
      </c>
      <c r="V2769" s="10">
        <f>IF(CAS!$C$7="",0,(SUMIF(CAS!$B$31:$B$167,$J2769,CAS!$E$31:$E$167)*Impacts!$F$18))</f>
        <v>0</v>
      </c>
      <c r="W2769" s="10">
        <f t="shared" si="83"/>
        <v>0</v>
      </c>
      <c r="AK2769" s="10" t="str">
        <f t="array" ref="AK2769">IFERROR(INDEX(SelectedSpecies,SMALL(IF(SelectedSpecies=AK$1,ROW(SelectedSpecies)),ROW(2770:2770)),2),"")</f>
        <v/>
      </c>
      <c r="BE2769" s="10"/>
      <c r="BI2769" s="10"/>
    </row>
    <row r="2770" spans="1:61" ht="21" customHeight="1" x14ac:dyDescent="0.25">
      <c r="A2770" s="10"/>
      <c r="B2770" s="10"/>
      <c r="E2770" s="10"/>
      <c r="G2770" s="10"/>
      <c r="I2770" s="436" t="s">
        <v>1102</v>
      </c>
      <c r="J2770" s="26" t="s">
        <v>1101</v>
      </c>
      <c r="K2770" s="10">
        <v>35</v>
      </c>
      <c r="L2770" s="73">
        <f>IF(Tank1!$C$23="No control",(SUMIF(Tank1!$B$32:$B$49,$J2770,Tank1!$C$32:$C$49)*Impacts!$F$8),0)</f>
        <v>0</v>
      </c>
      <c r="M2770" s="10">
        <f>IF(Tank2!$C$23="No control",(SUMIF(Tank2!$B$32:$B$49,$J2770,Tank2!$C$32:$C$49)*Impacts!$F$9),0)</f>
        <v>0</v>
      </c>
      <c r="N2770" s="10">
        <f>IF(Tank3!$C$23="No control",(SUMIF(Tank3!$B$32:$B$49,$J2770,Tank3!$C$32:$C$49)*Impacts!$F$10),0)</f>
        <v>0</v>
      </c>
      <c r="O2770" s="10">
        <f>IF(Tank4!$C$23="No control",(SUMIF(Tank4!$B$32:$B$49,$J2770,Tank4!$C$32:$C$49)*Impacts!$F$11),0)</f>
        <v>0</v>
      </c>
      <c r="P2770" s="10">
        <f>IF(Tank5!$C$23="No control",(SUMIF(Tank5!$B$32:$B$49,$J2770,Tank5!$C$32:$C$49)*Impacts!$F$12),0)</f>
        <v>0</v>
      </c>
      <c r="Q2770" s="10">
        <f>IFERROR(IF(('Loading-drum,tote'!$C$21)="No control",SUMIF(('Loading-drum,tote'!$B$31:$B$48),$J2770,('Loading-drum,tote'!$D$31:$D$48))*Impacts!$F$13,IF(('Loading-drum,tote'!$C$21)&lt;&gt;"No control",SUMIF(('Loading-drum,tote'!$B$31:$B$48),$J2770,('Loading-drum,tote'!$E$31:$E$48))*Impacts!$F$13,0)),0)</f>
        <v>0</v>
      </c>
      <c r="R2770" s="10">
        <f>IFERROR(IF(('Loading-truck'!$C$21)="No control",SUMIF(('Loading-truck'!$B$31:$B$48),$J2770,('Loading-truck'!$D$31:$D$48))*Impacts!$F$14,IF(('Loading-truck'!$C$21)&lt;&gt;"No control",SUMIF(('Loading-truck'!$B$31:$B$48),$J2770,('Loading-truck'!$E$31:$E$48))*Impacts!$F$14,0)),0)</f>
        <v>0</v>
      </c>
      <c r="S2770" s="10">
        <f>IFERROR(IF(('Loading-rail'!$C$21)="No control",SUMIF(('Loading-rail'!$B$31:$B$48),$J2770,('Loading-rail'!$D$31:$D$48))*Impacts!$F$15,IF(('Loading-rail'!$C$21)&lt;&gt;"No control",SUMIF(('Loading-rail'!$B$31:$B$48),$J2770,('Loading-rail'!$E$31:$E$48))*Impacts!$F$15,0)),0)</f>
        <v>0</v>
      </c>
      <c r="T2770" s="10">
        <f>IF(Flare!$C$7="",0,(SUMIF(Flare!$B$46:$B$185,$J2770,Flare!$E$46:$E$185)*Impacts!$F$16))</f>
        <v>0</v>
      </c>
      <c r="U2770" s="10">
        <f>IF(VCU!$C$9="",0,(SUMIF(VCU!$B$51:$B$193,$J2770,VCU!$E$51:$E$193)*Impacts!$F$17))</f>
        <v>0</v>
      </c>
      <c r="V2770" s="10">
        <f>IF(CAS!$C$7="",0,(SUMIF(CAS!$B$31:$B$167,$J2770,CAS!$E$31:$E$167)*Impacts!$F$18))</f>
        <v>0</v>
      </c>
      <c r="W2770" s="10">
        <f t="shared" si="83"/>
        <v>0</v>
      </c>
      <c r="AK2770" s="10" t="str">
        <f t="array" ref="AK2770">IFERROR(INDEX(SelectedSpecies,SMALL(IF(SelectedSpecies=AK$1,ROW(SelectedSpecies)),ROW(2771:2771)),2),"")</f>
        <v/>
      </c>
      <c r="BE2770" s="10"/>
      <c r="BI2770" s="10"/>
    </row>
    <row r="2771" spans="1:61" ht="21" customHeight="1" x14ac:dyDescent="0.25">
      <c r="A2771" s="10"/>
      <c r="B2771" s="10"/>
      <c r="E2771" s="10"/>
      <c r="G2771" s="10"/>
      <c r="I2771" s="436" t="s">
        <v>1594</v>
      </c>
      <c r="J2771" s="26" t="s">
        <v>1593</v>
      </c>
      <c r="K2771" s="10">
        <v>25.6</v>
      </c>
      <c r="L2771" s="73">
        <f>IF(Tank1!$C$23="No control",(SUMIF(Tank1!$B$32:$B$49,$J2771,Tank1!$C$32:$C$49)*Impacts!$F$8),0)</f>
        <v>0</v>
      </c>
      <c r="M2771" s="10">
        <f>IF(Tank2!$C$23="No control",(SUMIF(Tank2!$B$32:$B$49,$J2771,Tank2!$C$32:$C$49)*Impacts!$F$9),0)</f>
        <v>0</v>
      </c>
      <c r="N2771" s="10">
        <f>IF(Tank3!$C$23="No control",(SUMIF(Tank3!$B$32:$B$49,$J2771,Tank3!$C$32:$C$49)*Impacts!$F$10),0)</f>
        <v>0</v>
      </c>
      <c r="O2771" s="10">
        <f>IF(Tank4!$C$23="No control",(SUMIF(Tank4!$B$32:$B$49,$J2771,Tank4!$C$32:$C$49)*Impacts!$F$11),0)</f>
        <v>0</v>
      </c>
      <c r="P2771" s="10">
        <f>IF(Tank5!$C$23="No control",(SUMIF(Tank5!$B$32:$B$49,$J2771,Tank5!$C$32:$C$49)*Impacts!$F$12),0)</f>
        <v>0</v>
      </c>
      <c r="Q2771" s="10">
        <f>IFERROR(IF(('Loading-drum,tote'!$C$21)="No control",SUMIF(('Loading-drum,tote'!$B$31:$B$48),$J2771,('Loading-drum,tote'!$D$31:$D$48))*Impacts!$F$13,IF(('Loading-drum,tote'!$C$21)&lt;&gt;"No control",SUMIF(('Loading-drum,tote'!$B$31:$B$48),$J2771,('Loading-drum,tote'!$E$31:$E$48))*Impacts!$F$13,0)),0)</f>
        <v>0</v>
      </c>
      <c r="R2771" s="10">
        <f>IFERROR(IF(('Loading-truck'!$C$21)="No control",SUMIF(('Loading-truck'!$B$31:$B$48),$J2771,('Loading-truck'!$D$31:$D$48))*Impacts!$F$14,IF(('Loading-truck'!$C$21)&lt;&gt;"No control",SUMIF(('Loading-truck'!$B$31:$B$48),$J2771,('Loading-truck'!$E$31:$E$48))*Impacts!$F$14,0)),0)</f>
        <v>0</v>
      </c>
      <c r="S2771" s="10">
        <f>IFERROR(IF(('Loading-rail'!$C$21)="No control",SUMIF(('Loading-rail'!$B$31:$B$48),$J2771,('Loading-rail'!$D$31:$D$48))*Impacts!$F$15,IF(('Loading-rail'!$C$21)&lt;&gt;"No control",SUMIF(('Loading-rail'!$B$31:$B$48),$J2771,('Loading-rail'!$E$31:$E$48))*Impacts!$F$15,0)),0)</f>
        <v>0</v>
      </c>
      <c r="T2771" s="10">
        <f>IF(Flare!$C$7="",0,(SUMIF(Flare!$B$46:$B$185,$J2771,Flare!$E$46:$E$185)*Impacts!$F$16))</f>
        <v>0</v>
      </c>
      <c r="U2771" s="10">
        <f>IF(VCU!$C$9="",0,(SUMIF(VCU!$B$51:$B$193,$J2771,VCU!$E$51:$E$193)*Impacts!$F$17))</f>
        <v>0</v>
      </c>
      <c r="V2771" s="10">
        <f>IF(CAS!$C$7="",0,(SUMIF(CAS!$B$31:$B$167,$J2771,CAS!$E$31:$E$167)*Impacts!$F$18))</f>
        <v>0</v>
      </c>
      <c r="W2771" s="10">
        <f t="shared" si="83"/>
        <v>0</v>
      </c>
      <c r="AK2771" s="10" t="str">
        <f t="array" ref="AK2771">IFERROR(INDEX(SelectedSpecies,SMALL(IF(SelectedSpecies=AK$1,ROW(SelectedSpecies)),ROW(2772:2772)),2),"")</f>
        <v/>
      </c>
      <c r="BE2771" s="10"/>
      <c r="BI2771" s="10"/>
    </row>
    <row r="2772" spans="1:61" ht="21" customHeight="1" x14ac:dyDescent="0.25">
      <c r="A2772" s="10"/>
      <c r="B2772" s="10"/>
      <c r="E2772" s="10"/>
      <c r="G2772" s="10"/>
      <c r="I2772" s="436" t="s">
        <v>3719</v>
      </c>
      <c r="J2772" s="26" t="s">
        <v>3718</v>
      </c>
      <c r="K2772" s="10">
        <v>6.5</v>
      </c>
      <c r="L2772" s="73">
        <f>IF(Tank1!$C$23="No control",(SUMIF(Tank1!$B$32:$B$49,$J2772,Tank1!$C$32:$C$49)*Impacts!$F$8),0)</f>
        <v>0</v>
      </c>
      <c r="M2772" s="10">
        <f>IF(Tank2!$C$23="No control",(SUMIF(Tank2!$B$32:$B$49,$J2772,Tank2!$C$32:$C$49)*Impacts!$F$9),0)</f>
        <v>0</v>
      </c>
      <c r="N2772" s="10">
        <f>IF(Tank3!$C$23="No control",(SUMIF(Tank3!$B$32:$B$49,$J2772,Tank3!$C$32:$C$49)*Impacts!$F$10),0)</f>
        <v>0</v>
      </c>
      <c r="O2772" s="10">
        <f>IF(Tank4!$C$23="No control",(SUMIF(Tank4!$B$32:$B$49,$J2772,Tank4!$C$32:$C$49)*Impacts!$F$11),0)</f>
        <v>0</v>
      </c>
      <c r="P2772" s="10">
        <f>IF(Tank5!$C$23="No control",(SUMIF(Tank5!$B$32:$B$49,$J2772,Tank5!$C$32:$C$49)*Impacts!$F$12),0)</f>
        <v>0</v>
      </c>
      <c r="Q2772" s="10">
        <f>IFERROR(IF(('Loading-drum,tote'!$C$21)="No control",SUMIF(('Loading-drum,tote'!$B$31:$B$48),$J2772,('Loading-drum,tote'!$D$31:$D$48))*Impacts!$F$13,IF(('Loading-drum,tote'!$C$21)&lt;&gt;"No control",SUMIF(('Loading-drum,tote'!$B$31:$B$48),$J2772,('Loading-drum,tote'!$E$31:$E$48))*Impacts!$F$13,0)),0)</f>
        <v>0</v>
      </c>
      <c r="R2772" s="10">
        <f>IFERROR(IF(('Loading-truck'!$C$21)="No control",SUMIF(('Loading-truck'!$B$31:$B$48),$J2772,('Loading-truck'!$D$31:$D$48))*Impacts!$F$14,IF(('Loading-truck'!$C$21)&lt;&gt;"No control",SUMIF(('Loading-truck'!$B$31:$B$48),$J2772,('Loading-truck'!$E$31:$E$48))*Impacts!$F$14,0)),0)</f>
        <v>0</v>
      </c>
      <c r="S2772" s="10">
        <f>IFERROR(IF(('Loading-rail'!$C$21)="No control",SUMIF(('Loading-rail'!$B$31:$B$48),$J2772,('Loading-rail'!$D$31:$D$48))*Impacts!$F$15,IF(('Loading-rail'!$C$21)&lt;&gt;"No control",SUMIF(('Loading-rail'!$B$31:$B$48),$J2772,('Loading-rail'!$E$31:$E$48))*Impacts!$F$15,0)),0)</f>
        <v>0</v>
      </c>
      <c r="T2772" s="10">
        <f>IF(Flare!$C$7="",0,(SUMIF(Flare!$B$46:$B$185,$J2772,Flare!$E$46:$E$185)*Impacts!$F$16))</f>
        <v>0</v>
      </c>
      <c r="U2772" s="10">
        <f>IF(VCU!$C$9="",0,(SUMIF(VCU!$B$51:$B$193,$J2772,VCU!$E$51:$E$193)*Impacts!$F$17))</f>
        <v>0</v>
      </c>
      <c r="V2772" s="10">
        <f>IF(CAS!$C$7="",0,(SUMIF(CAS!$B$31:$B$167,$J2772,CAS!$E$31:$E$167)*Impacts!$F$18))</f>
        <v>0</v>
      </c>
      <c r="W2772" s="10">
        <f t="shared" si="83"/>
        <v>0</v>
      </c>
      <c r="AK2772" s="10" t="str">
        <f t="array" ref="AK2772">IFERROR(INDEX(SelectedSpecies,SMALL(IF(SelectedSpecies=AK$1,ROW(SelectedSpecies)),ROW(2773:2773)),2),"")</f>
        <v/>
      </c>
      <c r="BE2772" s="10"/>
      <c r="BI2772" s="10"/>
    </row>
    <row r="2773" spans="1:61" ht="21" customHeight="1" x14ac:dyDescent="0.25">
      <c r="A2773" s="10"/>
      <c r="B2773" s="10"/>
      <c r="E2773" s="10"/>
      <c r="G2773" s="10"/>
      <c r="I2773" s="436" t="s">
        <v>2549</v>
      </c>
      <c r="J2773" s="26" t="s">
        <v>2548</v>
      </c>
      <c r="K2773" s="10">
        <v>10</v>
      </c>
      <c r="L2773" s="73">
        <f>IF(Tank1!$C$23="No control",(SUMIF(Tank1!$B$32:$B$49,$J2773,Tank1!$C$32:$C$49)*Impacts!$F$8),0)</f>
        <v>0</v>
      </c>
      <c r="M2773" s="10">
        <f>IF(Tank2!$C$23="No control",(SUMIF(Tank2!$B$32:$B$49,$J2773,Tank2!$C$32:$C$49)*Impacts!$F$9),0)</f>
        <v>0</v>
      </c>
      <c r="N2773" s="10">
        <f>IF(Tank3!$C$23="No control",(SUMIF(Tank3!$B$32:$B$49,$J2773,Tank3!$C$32:$C$49)*Impacts!$F$10),0)</f>
        <v>0</v>
      </c>
      <c r="O2773" s="10">
        <f>IF(Tank4!$C$23="No control",(SUMIF(Tank4!$B$32:$B$49,$J2773,Tank4!$C$32:$C$49)*Impacts!$F$11),0)</f>
        <v>0</v>
      </c>
      <c r="P2773" s="10">
        <f>IF(Tank5!$C$23="No control",(SUMIF(Tank5!$B$32:$B$49,$J2773,Tank5!$C$32:$C$49)*Impacts!$F$12),0)</f>
        <v>0</v>
      </c>
      <c r="Q2773" s="10">
        <f>IFERROR(IF(('Loading-drum,tote'!$C$21)="No control",SUMIF(('Loading-drum,tote'!$B$31:$B$48),$J2773,('Loading-drum,tote'!$D$31:$D$48))*Impacts!$F$13,IF(('Loading-drum,tote'!$C$21)&lt;&gt;"No control",SUMIF(('Loading-drum,tote'!$B$31:$B$48),$J2773,('Loading-drum,tote'!$E$31:$E$48))*Impacts!$F$13,0)),0)</f>
        <v>0</v>
      </c>
      <c r="R2773" s="10">
        <f>IFERROR(IF(('Loading-truck'!$C$21)="No control",SUMIF(('Loading-truck'!$B$31:$B$48),$J2773,('Loading-truck'!$D$31:$D$48))*Impacts!$F$14,IF(('Loading-truck'!$C$21)&lt;&gt;"No control",SUMIF(('Loading-truck'!$B$31:$B$48),$J2773,('Loading-truck'!$E$31:$E$48))*Impacts!$F$14,0)),0)</f>
        <v>0</v>
      </c>
      <c r="S2773" s="10">
        <f>IFERROR(IF(('Loading-rail'!$C$21)="No control",SUMIF(('Loading-rail'!$B$31:$B$48),$J2773,('Loading-rail'!$D$31:$D$48))*Impacts!$F$15,IF(('Loading-rail'!$C$21)&lt;&gt;"No control",SUMIF(('Loading-rail'!$B$31:$B$48),$J2773,('Loading-rail'!$E$31:$E$48))*Impacts!$F$15,0)),0)</f>
        <v>0</v>
      </c>
      <c r="T2773" s="10">
        <f>IF(Flare!$C$7="",0,(SUMIF(Flare!$B$46:$B$185,$J2773,Flare!$E$46:$E$185)*Impacts!$F$16))</f>
        <v>0</v>
      </c>
      <c r="U2773" s="10">
        <f>IF(VCU!$C$9="",0,(SUMIF(VCU!$B$51:$B$193,$J2773,VCU!$E$51:$E$193)*Impacts!$F$17))</f>
        <v>0</v>
      </c>
      <c r="V2773" s="10">
        <f>IF(CAS!$C$7="",0,(SUMIF(CAS!$B$31:$B$167,$J2773,CAS!$E$31:$E$167)*Impacts!$F$18))</f>
        <v>0</v>
      </c>
      <c r="W2773" s="10">
        <f t="shared" si="83"/>
        <v>0</v>
      </c>
      <c r="AK2773" s="10" t="str">
        <f t="array" ref="AK2773">IFERROR(INDEX(SelectedSpecies,SMALL(IF(SelectedSpecies=AK$1,ROW(SelectedSpecies)),ROW(2774:2774)),2),"")</f>
        <v/>
      </c>
      <c r="BE2773" s="10"/>
      <c r="BI2773" s="10"/>
    </row>
    <row r="2774" spans="1:61" ht="21" customHeight="1" x14ac:dyDescent="0.25">
      <c r="A2774" s="10"/>
      <c r="B2774" s="10"/>
      <c r="E2774" s="10"/>
      <c r="G2774" s="10"/>
      <c r="I2774" s="436" t="s">
        <v>2551</v>
      </c>
      <c r="J2774" s="26" t="s">
        <v>2550</v>
      </c>
      <c r="K2774" s="10">
        <v>10</v>
      </c>
      <c r="L2774" s="73">
        <f>IF(Tank1!$C$23="No control",(SUMIF(Tank1!$B$32:$B$49,$J2774,Tank1!$C$32:$C$49)*Impacts!$F$8),0)</f>
        <v>0</v>
      </c>
      <c r="M2774" s="10">
        <f>IF(Tank2!$C$23="No control",(SUMIF(Tank2!$B$32:$B$49,$J2774,Tank2!$C$32:$C$49)*Impacts!$F$9),0)</f>
        <v>0</v>
      </c>
      <c r="N2774" s="10">
        <f>IF(Tank3!$C$23="No control",(SUMIF(Tank3!$B$32:$B$49,$J2774,Tank3!$C$32:$C$49)*Impacts!$F$10),0)</f>
        <v>0</v>
      </c>
      <c r="O2774" s="10">
        <f>IF(Tank4!$C$23="No control",(SUMIF(Tank4!$B$32:$B$49,$J2774,Tank4!$C$32:$C$49)*Impacts!$F$11),0)</f>
        <v>0</v>
      </c>
      <c r="P2774" s="10">
        <f>IF(Tank5!$C$23="No control",(SUMIF(Tank5!$B$32:$B$49,$J2774,Tank5!$C$32:$C$49)*Impacts!$F$12),0)</f>
        <v>0</v>
      </c>
      <c r="Q2774" s="10">
        <f>IFERROR(IF(('Loading-drum,tote'!$C$21)="No control",SUMIF(('Loading-drum,tote'!$B$31:$B$48),$J2774,('Loading-drum,tote'!$D$31:$D$48))*Impacts!$F$13,IF(('Loading-drum,tote'!$C$21)&lt;&gt;"No control",SUMIF(('Loading-drum,tote'!$B$31:$B$48),$J2774,('Loading-drum,tote'!$E$31:$E$48))*Impacts!$F$13,0)),0)</f>
        <v>0</v>
      </c>
      <c r="R2774" s="10">
        <f>IFERROR(IF(('Loading-truck'!$C$21)="No control",SUMIF(('Loading-truck'!$B$31:$B$48),$J2774,('Loading-truck'!$D$31:$D$48))*Impacts!$F$14,IF(('Loading-truck'!$C$21)&lt;&gt;"No control",SUMIF(('Loading-truck'!$B$31:$B$48),$J2774,('Loading-truck'!$E$31:$E$48))*Impacts!$F$14,0)),0)</f>
        <v>0</v>
      </c>
      <c r="S2774" s="10">
        <f>IFERROR(IF(('Loading-rail'!$C$21)="No control",SUMIF(('Loading-rail'!$B$31:$B$48),$J2774,('Loading-rail'!$D$31:$D$48))*Impacts!$F$15,IF(('Loading-rail'!$C$21)&lt;&gt;"No control",SUMIF(('Loading-rail'!$B$31:$B$48),$J2774,('Loading-rail'!$E$31:$E$48))*Impacts!$F$15,0)),0)</f>
        <v>0</v>
      </c>
      <c r="T2774" s="10">
        <f>IF(Flare!$C$7="",0,(SUMIF(Flare!$B$46:$B$185,$J2774,Flare!$E$46:$E$185)*Impacts!$F$16))</f>
        <v>0</v>
      </c>
      <c r="U2774" s="10">
        <f>IF(VCU!$C$9="",0,(SUMIF(VCU!$B$51:$B$193,$J2774,VCU!$E$51:$E$193)*Impacts!$F$17))</f>
        <v>0</v>
      </c>
      <c r="V2774" s="10">
        <f>IF(CAS!$C$7="",0,(SUMIF(CAS!$B$31:$B$167,$J2774,CAS!$E$31:$E$167)*Impacts!$F$18))</f>
        <v>0</v>
      </c>
      <c r="W2774" s="10">
        <f t="shared" si="83"/>
        <v>0</v>
      </c>
      <c r="AK2774" s="10" t="str">
        <f t="array" ref="AK2774">IFERROR(INDEX(SelectedSpecies,SMALL(IF(SelectedSpecies=AK$1,ROW(SelectedSpecies)),ROW(2775:2775)),2),"")</f>
        <v/>
      </c>
      <c r="BE2774" s="10"/>
      <c r="BI2774" s="10"/>
    </row>
    <row r="2775" spans="1:61" ht="21" customHeight="1" x14ac:dyDescent="0.25">
      <c r="A2775" s="10"/>
      <c r="B2775" s="10"/>
      <c r="E2775" s="10"/>
      <c r="G2775" s="10"/>
      <c r="I2775" s="436" t="s">
        <v>3033</v>
      </c>
      <c r="J2775" s="26" t="s">
        <v>3032</v>
      </c>
      <c r="K2775" s="10">
        <v>10</v>
      </c>
      <c r="L2775" s="73">
        <f>IF(Tank1!$C$23="No control",(SUMIF(Tank1!$B$32:$B$49,$J2775,Tank1!$C$32:$C$49)*Impacts!$F$8),0)</f>
        <v>0</v>
      </c>
      <c r="M2775" s="10">
        <f>IF(Tank2!$C$23="No control",(SUMIF(Tank2!$B$32:$B$49,$J2775,Tank2!$C$32:$C$49)*Impacts!$F$9),0)</f>
        <v>0</v>
      </c>
      <c r="N2775" s="10">
        <f>IF(Tank3!$C$23="No control",(SUMIF(Tank3!$B$32:$B$49,$J2775,Tank3!$C$32:$C$49)*Impacts!$F$10),0)</f>
        <v>0</v>
      </c>
      <c r="O2775" s="10">
        <f>IF(Tank4!$C$23="No control",(SUMIF(Tank4!$B$32:$B$49,$J2775,Tank4!$C$32:$C$49)*Impacts!$F$11),0)</f>
        <v>0</v>
      </c>
      <c r="P2775" s="10">
        <f>IF(Tank5!$C$23="No control",(SUMIF(Tank5!$B$32:$B$49,$J2775,Tank5!$C$32:$C$49)*Impacts!$F$12),0)</f>
        <v>0</v>
      </c>
      <c r="Q2775" s="10">
        <f>IFERROR(IF(('Loading-drum,tote'!$C$21)="No control",SUMIF(('Loading-drum,tote'!$B$31:$B$48),$J2775,('Loading-drum,tote'!$D$31:$D$48))*Impacts!$F$13,IF(('Loading-drum,tote'!$C$21)&lt;&gt;"No control",SUMIF(('Loading-drum,tote'!$B$31:$B$48),$J2775,('Loading-drum,tote'!$E$31:$E$48))*Impacts!$F$13,0)),0)</f>
        <v>0</v>
      </c>
      <c r="R2775" s="10">
        <f>IFERROR(IF(('Loading-truck'!$C$21)="No control",SUMIF(('Loading-truck'!$B$31:$B$48),$J2775,('Loading-truck'!$D$31:$D$48))*Impacts!$F$14,IF(('Loading-truck'!$C$21)&lt;&gt;"No control",SUMIF(('Loading-truck'!$B$31:$B$48),$J2775,('Loading-truck'!$E$31:$E$48))*Impacts!$F$14,0)),0)</f>
        <v>0</v>
      </c>
      <c r="S2775" s="10">
        <f>IFERROR(IF(('Loading-rail'!$C$21)="No control",SUMIF(('Loading-rail'!$B$31:$B$48),$J2775,('Loading-rail'!$D$31:$D$48))*Impacts!$F$15,IF(('Loading-rail'!$C$21)&lt;&gt;"No control",SUMIF(('Loading-rail'!$B$31:$B$48),$J2775,('Loading-rail'!$E$31:$E$48))*Impacts!$F$15,0)),0)</f>
        <v>0</v>
      </c>
      <c r="T2775" s="10">
        <f>IF(Flare!$C$7="",0,(SUMIF(Flare!$B$46:$B$185,$J2775,Flare!$E$46:$E$185)*Impacts!$F$16))</f>
        <v>0</v>
      </c>
      <c r="U2775" s="10">
        <f>IF(VCU!$C$9="",0,(SUMIF(VCU!$B$51:$B$193,$J2775,VCU!$E$51:$E$193)*Impacts!$F$17))</f>
        <v>0</v>
      </c>
      <c r="V2775" s="10">
        <f>IF(CAS!$C$7="",0,(SUMIF(CAS!$B$31:$B$167,$J2775,CAS!$E$31:$E$167)*Impacts!$F$18))</f>
        <v>0</v>
      </c>
      <c r="W2775" s="10">
        <f t="shared" si="83"/>
        <v>0</v>
      </c>
      <c r="AK2775" s="10" t="str">
        <f t="array" ref="AK2775">IFERROR(INDEX(SelectedSpecies,SMALL(IF(SelectedSpecies=AK$1,ROW(SelectedSpecies)),ROW(2776:2776)),2),"")</f>
        <v/>
      </c>
      <c r="BE2775" s="10"/>
      <c r="BI2775" s="10"/>
    </row>
    <row r="2776" spans="1:61" ht="21" customHeight="1" x14ac:dyDescent="0.25">
      <c r="A2776" s="10"/>
      <c r="B2776" s="10"/>
      <c r="E2776" s="10"/>
      <c r="G2776" s="10"/>
      <c r="I2776" s="436" t="s">
        <v>952</v>
      </c>
      <c r="J2776" s="26" t="s">
        <v>951</v>
      </c>
      <c r="K2776" s="10">
        <v>42</v>
      </c>
      <c r="L2776" s="73">
        <f>IF(Tank1!$C$23="No control",(SUMIF(Tank1!$B$32:$B$49,$J2776,Tank1!$C$32:$C$49)*Impacts!$F$8),0)</f>
        <v>0</v>
      </c>
      <c r="M2776" s="10">
        <f>IF(Tank2!$C$23="No control",(SUMIF(Tank2!$B$32:$B$49,$J2776,Tank2!$C$32:$C$49)*Impacts!$F$9),0)</f>
        <v>0</v>
      </c>
      <c r="N2776" s="10">
        <f>IF(Tank3!$C$23="No control",(SUMIF(Tank3!$B$32:$B$49,$J2776,Tank3!$C$32:$C$49)*Impacts!$F$10),0)</f>
        <v>0</v>
      </c>
      <c r="O2776" s="10">
        <f>IF(Tank4!$C$23="No control",(SUMIF(Tank4!$B$32:$B$49,$J2776,Tank4!$C$32:$C$49)*Impacts!$F$11),0)</f>
        <v>0</v>
      </c>
      <c r="P2776" s="10">
        <f>IF(Tank5!$C$23="No control",(SUMIF(Tank5!$B$32:$B$49,$J2776,Tank5!$C$32:$C$49)*Impacts!$F$12),0)</f>
        <v>0</v>
      </c>
      <c r="Q2776" s="10">
        <f>IFERROR(IF(('Loading-drum,tote'!$C$21)="No control",SUMIF(('Loading-drum,tote'!$B$31:$B$48),$J2776,('Loading-drum,tote'!$D$31:$D$48))*Impacts!$F$13,IF(('Loading-drum,tote'!$C$21)&lt;&gt;"No control",SUMIF(('Loading-drum,tote'!$B$31:$B$48),$J2776,('Loading-drum,tote'!$E$31:$E$48))*Impacts!$F$13,0)),0)</f>
        <v>0</v>
      </c>
      <c r="R2776" s="10">
        <f>IFERROR(IF(('Loading-truck'!$C$21)="No control",SUMIF(('Loading-truck'!$B$31:$B$48),$J2776,('Loading-truck'!$D$31:$D$48))*Impacts!$F$14,IF(('Loading-truck'!$C$21)&lt;&gt;"No control",SUMIF(('Loading-truck'!$B$31:$B$48),$J2776,('Loading-truck'!$E$31:$E$48))*Impacts!$F$14,0)),0)</f>
        <v>0</v>
      </c>
      <c r="S2776" s="10">
        <f>IFERROR(IF(('Loading-rail'!$C$21)="No control",SUMIF(('Loading-rail'!$B$31:$B$48),$J2776,('Loading-rail'!$D$31:$D$48))*Impacts!$F$15,IF(('Loading-rail'!$C$21)&lt;&gt;"No control",SUMIF(('Loading-rail'!$B$31:$B$48),$J2776,('Loading-rail'!$E$31:$E$48))*Impacts!$F$15,0)),0)</f>
        <v>0</v>
      </c>
      <c r="T2776" s="10">
        <f>IF(Flare!$C$7="",0,(SUMIF(Flare!$B$46:$B$185,$J2776,Flare!$E$46:$E$185)*Impacts!$F$16))</f>
        <v>0</v>
      </c>
      <c r="U2776" s="10">
        <f>IF(VCU!$C$9="",0,(SUMIF(VCU!$B$51:$B$193,$J2776,VCU!$E$51:$E$193)*Impacts!$F$17))</f>
        <v>0</v>
      </c>
      <c r="V2776" s="10">
        <f>IF(CAS!$C$7="",0,(SUMIF(CAS!$B$31:$B$167,$J2776,CAS!$E$31:$E$167)*Impacts!$F$18))</f>
        <v>0</v>
      </c>
      <c r="W2776" s="10">
        <f t="shared" si="83"/>
        <v>0</v>
      </c>
      <c r="AK2776" s="10" t="str">
        <f t="array" ref="AK2776">IFERROR(INDEX(SelectedSpecies,SMALL(IF(SelectedSpecies=AK$1,ROW(SelectedSpecies)),ROW(2777:2777)),2),"")</f>
        <v/>
      </c>
      <c r="BE2776" s="10"/>
      <c r="BI2776" s="10"/>
    </row>
    <row r="2777" spans="1:61" ht="21" customHeight="1" x14ac:dyDescent="0.25">
      <c r="A2777" s="10"/>
      <c r="B2777" s="10"/>
      <c r="E2777" s="10"/>
      <c r="G2777" s="10"/>
      <c r="I2777" s="436" t="s">
        <v>2553</v>
      </c>
      <c r="J2777" s="26" t="s">
        <v>2552</v>
      </c>
      <c r="K2777" s="10">
        <v>10</v>
      </c>
      <c r="L2777" s="73">
        <f>IF(Tank1!$C$23="No control",(SUMIF(Tank1!$B$32:$B$49,$J2777,Tank1!$C$32:$C$49)*Impacts!$F$8),0)</f>
        <v>0</v>
      </c>
      <c r="M2777" s="10">
        <f>IF(Tank2!$C$23="No control",(SUMIF(Tank2!$B$32:$B$49,$J2777,Tank2!$C$32:$C$49)*Impacts!$F$9),0)</f>
        <v>0</v>
      </c>
      <c r="N2777" s="10">
        <f>IF(Tank3!$C$23="No control",(SUMIF(Tank3!$B$32:$B$49,$J2777,Tank3!$C$32:$C$49)*Impacts!$F$10),0)</f>
        <v>0</v>
      </c>
      <c r="O2777" s="10">
        <f>IF(Tank4!$C$23="No control",(SUMIF(Tank4!$B$32:$B$49,$J2777,Tank4!$C$32:$C$49)*Impacts!$F$11),0)</f>
        <v>0</v>
      </c>
      <c r="P2777" s="10">
        <f>IF(Tank5!$C$23="No control",(SUMIF(Tank5!$B$32:$B$49,$J2777,Tank5!$C$32:$C$49)*Impacts!$F$12),0)</f>
        <v>0</v>
      </c>
      <c r="Q2777" s="10">
        <f>IFERROR(IF(('Loading-drum,tote'!$C$21)="No control",SUMIF(('Loading-drum,tote'!$B$31:$B$48),$J2777,('Loading-drum,tote'!$D$31:$D$48))*Impacts!$F$13,IF(('Loading-drum,tote'!$C$21)&lt;&gt;"No control",SUMIF(('Loading-drum,tote'!$B$31:$B$48),$J2777,('Loading-drum,tote'!$E$31:$E$48))*Impacts!$F$13,0)),0)</f>
        <v>0</v>
      </c>
      <c r="R2777" s="10">
        <f>IFERROR(IF(('Loading-truck'!$C$21)="No control",SUMIF(('Loading-truck'!$B$31:$B$48),$J2777,('Loading-truck'!$D$31:$D$48))*Impacts!$F$14,IF(('Loading-truck'!$C$21)&lt;&gt;"No control",SUMIF(('Loading-truck'!$B$31:$B$48),$J2777,('Loading-truck'!$E$31:$E$48))*Impacts!$F$14,0)),0)</f>
        <v>0</v>
      </c>
      <c r="S2777" s="10">
        <f>IFERROR(IF(('Loading-rail'!$C$21)="No control",SUMIF(('Loading-rail'!$B$31:$B$48),$J2777,('Loading-rail'!$D$31:$D$48))*Impacts!$F$15,IF(('Loading-rail'!$C$21)&lt;&gt;"No control",SUMIF(('Loading-rail'!$B$31:$B$48),$J2777,('Loading-rail'!$E$31:$E$48))*Impacts!$F$15,0)),0)</f>
        <v>0</v>
      </c>
      <c r="T2777" s="10">
        <f>IF(Flare!$C$7="",0,(SUMIF(Flare!$B$46:$B$185,$J2777,Flare!$E$46:$E$185)*Impacts!$F$16))</f>
        <v>0</v>
      </c>
      <c r="U2777" s="10">
        <f>IF(VCU!$C$9="",0,(SUMIF(VCU!$B$51:$B$193,$J2777,VCU!$E$51:$E$193)*Impacts!$F$17))</f>
        <v>0</v>
      </c>
      <c r="V2777" s="10">
        <f>IF(CAS!$C$7="",0,(SUMIF(CAS!$B$31:$B$167,$J2777,CAS!$E$31:$E$167)*Impacts!$F$18))</f>
        <v>0</v>
      </c>
      <c r="W2777" s="10">
        <f t="shared" si="83"/>
        <v>0</v>
      </c>
      <c r="AK2777" s="10" t="str">
        <f t="array" ref="AK2777">IFERROR(INDEX(SelectedSpecies,SMALL(IF(SelectedSpecies=AK$1,ROW(SelectedSpecies)),ROW(2778:2778)),2),"")</f>
        <v/>
      </c>
      <c r="BE2777" s="10"/>
      <c r="BI2777" s="10"/>
    </row>
    <row r="2778" spans="1:61" ht="21" customHeight="1" x14ac:dyDescent="0.25">
      <c r="A2778" s="10"/>
      <c r="B2778" s="10"/>
      <c r="E2778" s="10"/>
      <c r="G2778" s="10"/>
      <c r="I2778" s="436" t="s">
        <v>2555</v>
      </c>
      <c r="J2778" s="26" t="s">
        <v>2554</v>
      </c>
      <c r="K2778" s="10">
        <v>10</v>
      </c>
      <c r="L2778" s="73">
        <f>IF(Tank1!$C$23="No control",(SUMIF(Tank1!$B$32:$B$49,$J2778,Tank1!$C$32:$C$49)*Impacts!$F$8),0)</f>
        <v>0</v>
      </c>
      <c r="M2778" s="10">
        <f>IF(Tank2!$C$23="No control",(SUMIF(Tank2!$B$32:$B$49,$J2778,Tank2!$C$32:$C$49)*Impacts!$F$9),0)</f>
        <v>0</v>
      </c>
      <c r="N2778" s="10">
        <f>IF(Tank3!$C$23="No control",(SUMIF(Tank3!$B$32:$B$49,$J2778,Tank3!$C$32:$C$49)*Impacts!$F$10),0)</f>
        <v>0</v>
      </c>
      <c r="O2778" s="10">
        <f>IF(Tank4!$C$23="No control",(SUMIF(Tank4!$B$32:$B$49,$J2778,Tank4!$C$32:$C$49)*Impacts!$F$11),0)</f>
        <v>0</v>
      </c>
      <c r="P2778" s="10">
        <f>IF(Tank5!$C$23="No control",(SUMIF(Tank5!$B$32:$B$49,$J2778,Tank5!$C$32:$C$49)*Impacts!$F$12),0)</f>
        <v>0</v>
      </c>
      <c r="Q2778" s="10">
        <f>IFERROR(IF(('Loading-drum,tote'!$C$21)="No control",SUMIF(('Loading-drum,tote'!$B$31:$B$48),$J2778,('Loading-drum,tote'!$D$31:$D$48))*Impacts!$F$13,IF(('Loading-drum,tote'!$C$21)&lt;&gt;"No control",SUMIF(('Loading-drum,tote'!$B$31:$B$48),$J2778,('Loading-drum,tote'!$E$31:$E$48))*Impacts!$F$13,0)),0)</f>
        <v>0</v>
      </c>
      <c r="R2778" s="10">
        <f>IFERROR(IF(('Loading-truck'!$C$21)="No control",SUMIF(('Loading-truck'!$B$31:$B$48),$J2778,('Loading-truck'!$D$31:$D$48))*Impacts!$F$14,IF(('Loading-truck'!$C$21)&lt;&gt;"No control",SUMIF(('Loading-truck'!$B$31:$B$48),$J2778,('Loading-truck'!$E$31:$E$48))*Impacts!$F$14,0)),0)</f>
        <v>0</v>
      </c>
      <c r="S2778" s="10">
        <f>IFERROR(IF(('Loading-rail'!$C$21)="No control",SUMIF(('Loading-rail'!$B$31:$B$48),$J2778,('Loading-rail'!$D$31:$D$48))*Impacts!$F$15,IF(('Loading-rail'!$C$21)&lt;&gt;"No control",SUMIF(('Loading-rail'!$B$31:$B$48),$J2778,('Loading-rail'!$E$31:$E$48))*Impacts!$F$15,0)),0)</f>
        <v>0</v>
      </c>
      <c r="T2778" s="10">
        <f>IF(Flare!$C$7="",0,(SUMIF(Flare!$B$46:$B$185,$J2778,Flare!$E$46:$E$185)*Impacts!$F$16))</f>
        <v>0</v>
      </c>
      <c r="U2778" s="10">
        <f>IF(VCU!$C$9="",0,(SUMIF(VCU!$B$51:$B$193,$J2778,VCU!$E$51:$E$193)*Impacts!$F$17))</f>
        <v>0</v>
      </c>
      <c r="V2778" s="10">
        <f>IF(CAS!$C$7="",0,(SUMIF(CAS!$B$31:$B$167,$J2778,CAS!$E$31:$E$167)*Impacts!$F$18))</f>
        <v>0</v>
      </c>
      <c r="W2778" s="10">
        <f t="shared" ref="W2778:W2841" si="84">SUM(L2778:V2778)</f>
        <v>0</v>
      </c>
      <c r="AK2778" s="10" t="str">
        <f t="array" ref="AK2778">IFERROR(INDEX(SelectedSpecies,SMALL(IF(SelectedSpecies=AK$1,ROW(SelectedSpecies)),ROW(2779:2779)),2),"")</f>
        <v/>
      </c>
      <c r="BE2778" s="10"/>
      <c r="BI2778" s="10"/>
    </row>
    <row r="2779" spans="1:61" ht="21" customHeight="1" x14ac:dyDescent="0.25">
      <c r="A2779" s="10"/>
      <c r="B2779" s="10"/>
      <c r="E2779" s="10"/>
      <c r="G2779" s="10"/>
      <c r="I2779" s="436" t="s">
        <v>3035</v>
      </c>
      <c r="J2779" s="26" t="s">
        <v>3034</v>
      </c>
      <c r="K2779" s="10">
        <v>10</v>
      </c>
      <c r="L2779" s="73">
        <f>IF(Tank1!$C$23="No control",(SUMIF(Tank1!$B$32:$B$49,$J2779,Tank1!$C$32:$C$49)*Impacts!$F$8),0)</f>
        <v>0</v>
      </c>
      <c r="M2779" s="10">
        <f>IF(Tank2!$C$23="No control",(SUMIF(Tank2!$B$32:$B$49,$J2779,Tank2!$C$32:$C$49)*Impacts!$F$9),0)</f>
        <v>0</v>
      </c>
      <c r="N2779" s="10">
        <f>IF(Tank3!$C$23="No control",(SUMIF(Tank3!$B$32:$B$49,$J2779,Tank3!$C$32:$C$49)*Impacts!$F$10),0)</f>
        <v>0</v>
      </c>
      <c r="O2779" s="10">
        <f>IF(Tank4!$C$23="No control",(SUMIF(Tank4!$B$32:$B$49,$J2779,Tank4!$C$32:$C$49)*Impacts!$F$11),0)</f>
        <v>0</v>
      </c>
      <c r="P2779" s="10">
        <f>IF(Tank5!$C$23="No control",(SUMIF(Tank5!$B$32:$B$49,$J2779,Tank5!$C$32:$C$49)*Impacts!$F$12),0)</f>
        <v>0</v>
      </c>
      <c r="Q2779" s="10">
        <f>IFERROR(IF(('Loading-drum,tote'!$C$21)="No control",SUMIF(('Loading-drum,tote'!$B$31:$B$48),$J2779,('Loading-drum,tote'!$D$31:$D$48))*Impacts!$F$13,IF(('Loading-drum,tote'!$C$21)&lt;&gt;"No control",SUMIF(('Loading-drum,tote'!$B$31:$B$48),$J2779,('Loading-drum,tote'!$E$31:$E$48))*Impacts!$F$13,0)),0)</f>
        <v>0</v>
      </c>
      <c r="R2779" s="10">
        <f>IFERROR(IF(('Loading-truck'!$C$21)="No control",SUMIF(('Loading-truck'!$B$31:$B$48),$J2779,('Loading-truck'!$D$31:$D$48))*Impacts!$F$14,IF(('Loading-truck'!$C$21)&lt;&gt;"No control",SUMIF(('Loading-truck'!$B$31:$B$48),$J2779,('Loading-truck'!$E$31:$E$48))*Impacts!$F$14,0)),0)</f>
        <v>0</v>
      </c>
      <c r="S2779" s="10">
        <f>IFERROR(IF(('Loading-rail'!$C$21)="No control",SUMIF(('Loading-rail'!$B$31:$B$48),$J2779,('Loading-rail'!$D$31:$D$48))*Impacts!$F$15,IF(('Loading-rail'!$C$21)&lt;&gt;"No control",SUMIF(('Loading-rail'!$B$31:$B$48),$J2779,('Loading-rail'!$E$31:$E$48))*Impacts!$F$15,0)),0)</f>
        <v>0</v>
      </c>
      <c r="T2779" s="10">
        <f>IF(Flare!$C$7="",0,(SUMIF(Flare!$B$46:$B$185,$J2779,Flare!$E$46:$E$185)*Impacts!$F$16))</f>
        <v>0</v>
      </c>
      <c r="U2779" s="10">
        <f>IF(VCU!$C$9="",0,(SUMIF(VCU!$B$51:$B$193,$J2779,VCU!$E$51:$E$193)*Impacts!$F$17))</f>
        <v>0</v>
      </c>
      <c r="V2779" s="10">
        <f>IF(CAS!$C$7="",0,(SUMIF(CAS!$B$31:$B$167,$J2779,CAS!$E$31:$E$167)*Impacts!$F$18))</f>
        <v>0</v>
      </c>
      <c r="W2779" s="10">
        <f t="shared" si="84"/>
        <v>0</v>
      </c>
      <c r="AK2779" s="10" t="str">
        <f t="array" ref="AK2779">IFERROR(INDEX(SelectedSpecies,SMALL(IF(SelectedSpecies=AK$1,ROW(SelectedSpecies)),ROW(2780:2780)),2),"")</f>
        <v/>
      </c>
      <c r="BE2779" s="10"/>
      <c r="BI2779" s="10"/>
    </row>
    <row r="2780" spans="1:61" ht="21" customHeight="1" x14ac:dyDescent="0.25">
      <c r="A2780" s="10"/>
      <c r="B2780" s="10"/>
      <c r="E2780" s="10"/>
      <c r="G2780" s="10"/>
      <c r="I2780" s="436" t="s">
        <v>3037</v>
      </c>
      <c r="J2780" s="26" t="s">
        <v>3036</v>
      </c>
      <c r="K2780" s="10">
        <v>10</v>
      </c>
      <c r="L2780" s="73">
        <f>IF(Tank1!$C$23="No control",(SUMIF(Tank1!$B$32:$B$49,$J2780,Tank1!$C$32:$C$49)*Impacts!$F$8),0)</f>
        <v>0</v>
      </c>
      <c r="M2780" s="10">
        <f>IF(Tank2!$C$23="No control",(SUMIF(Tank2!$B$32:$B$49,$J2780,Tank2!$C$32:$C$49)*Impacts!$F$9),0)</f>
        <v>0</v>
      </c>
      <c r="N2780" s="10">
        <f>IF(Tank3!$C$23="No control",(SUMIF(Tank3!$B$32:$B$49,$J2780,Tank3!$C$32:$C$49)*Impacts!$F$10),0)</f>
        <v>0</v>
      </c>
      <c r="O2780" s="10">
        <f>IF(Tank4!$C$23="No control",(SUMIF(Tank4!$B$32:$B$49,$J2780,Tank4!$C$32:$C$49)*Impacts!$F$11),0)</f>
        <v>0</v>
      </c>
      <c r="P2780" s="10">
        <f>IF(Tank5!$C$23="No control",(SUMIF(Tank5!$B$32:$B$49,$J2780,Tank5!$C$32:$C$49)*Impacts!$F$12),0)</f>
        <v>0</v>
      </c>
      <c r="Q2780" s="10">
        <f>IFERROR(IF(('Loading-drum,tote'!$C$21)="No control",SUMIF(('Loading-drum,tote'!$B$31:$B$48),$J2780,('Loading-drum,tote'!$D$31:$D$48))*Impacts!$F$13,IF(('Loading-drum,tote'!$C$21)&lt;&gt;"No control",SUMIF(('Loading-drum,tote'!$B$31:$B$48),$J2780,('Loading-drum,tote'!$E$31:$E$48))*Impacts!$F$13,0)),0)</f>
        <v>0</v>
      </c>
      <c r="R2780" s="10">
        <f>IFERROR(IF(('Loading-truck'!$C$21)="No control",SUMIF(('Loading-truck'!$B$31:$B$48),$J2780,('Loading-truck'!$D$31:$D$48))*Impacts!$F$14,IF(('Loading-truck'!$C$21)&lt;&gt;"No control",SUMIF(('Loading-truck'!$B$31:$B$48),$J2780,('Loading-truck'!$E$31:$E$48))*Impacts!$F$14,0)),0)</f>
        <v>0</v>
      </c>
      <c r="S2780" s="10">
        <f>IFERROR(IF(('Loading-rail'!$C$21)="No control",SUMIF(('Loading-rail'!$B$31:$B$48),$J2780,('Loading-rail'!$D$31:$D$48))*Impacts!$F$15,IF(('Loading-rail'!$C$21)&lt;&gt;"No control",SUMIF(('Loading-rail'!$B$31:$B$48),$J2780,('Loading-rail'!$E$31:$E$48))*Impacts!$F$15,0)),0)</f>
        <v>0</v>
      </c>
      <c r="T2780" s="10">
        <f>IF(Flare!$C$7="",0,(SUMIF(Flare!$B$46:$B$185,$J2780,Flare!$E$46:$E$185)*Impacts!$F$16))</f>
        <v>0</v>
      </c>
      <c r="U2780" s="10">
        <f>IF(VCU!$C$9="",0,(SUMIF(VCU!$B$51:$B$193,$J2780,VCU!$E$51:$E$193)*Impacts!$F$17))</f>
        <v>0</v>
      </c>
      <c r="V2780" s="10">
        <f>IF(CAS!$C$7="",0,(SUMIF(CAS!$B$31:$B$167,$J2780,CAS!$E$31:$E$167)*Impacts!$F$18))</f>
        <v>0</v>
      </c>
      <c r="W2780" s="10">
        <f t="shared" si="84"/>
        <v>0</v>
      </c>
      <c r="AK2780" s="10" t="str">
        <f t="array" ref="AK2780">IFERROR(INDEX(SelectedSpecies,SMALL(IF(SelectedSpecies=AK$1,ROW(SelectedSpecies)),ROW(2781:2781)),2),"")</f>
        <v/>
      </c>
      <c r="BE2780" s="10"/>
      <c r="BI2780" s="10"/>
    </row>
    <row r="2781" spans="1:61" ht="21" customHeight="1" x14ac:dyDescent="0.25">
      <c r="A2781" s="10"/>
      <c r="B2781" s="10"/>
      <c r="E2781" s="10"/>
      <c r="G2781" s="10"/>
      <c r="I2781" s="436" t="s">
        <v>1708</v>
      </c>
      <c r="J2781" s="26" t="s">
        <v>1707</v>
      </c>
      <c r="K2781" s="10">
        <v>24.5</v>
      </c>
      <c r="L2781" s="73">
        <f>IF(Tank1!$C$23="No control",(SUMIF(Tank1!$B$32:$B$49,$J2781,Tank1!$C$32:$C$49)*Impacts!$F$8),0)</f>
        <v>0</v>
      </c>
      <c r="M2781" s="10">
        <f>IF(Tank2!$C$23="No control",(SUMIF(Tank2!$B$32:$B$49,$J2781,Tank2!$C$32:$C$49)*Impacts!$F$9),0)</f>
        <v>0</v>
      </c>
      <c r="N2781" s="10">
        <f>IF(Tank3!$C$23="No control",(SUMIF(Tank3!$B$32:$B$49,$J2781,Tank3!$C$32:$C$49)*Impacts!$F$10),0)</f>
        <v>0</v>
      </c>
      <c r="O2781" s="10">
        <f>IF(Tank4!$C$23="No control",(SUMIF(Tank4!$B$32:$B$49,$J2781,Tank4!$C$32:$C$49)*Impacts!$F$11),0)</f>
        <v>0</v>
      </c>
      <c r="P2781" s="10">
        <f>IF(Tank5!$C$23="No control",(SUMIF(Tank5!$B$32:$B$49,$J2781,Tank5!$C$32:$C$49)*Impacts!$F$12),0)</f>
        <v>0</v>
      </c>
      <c r="Q2781" s="10">
        <f>IFERROR(IF(('Loading-drum,tote'!$C$21)="No control",SUMIF(('Loading-drum,tote'!$B$31:$B$48),$J2781,('Loading-drum,tote'!$D$31:$D$48))*Impacts!$F$13,IF(('Loading-drum,tote'!$C$21)&lt;&gt;"No control",SUMIF(('Loading-drum,tote'!$B$31:$B$48),$J2781,('Loading-drum,tote'!$E$31:$E$48))*Impacts!$F$13,0)),0)</f>
        <v>0</v>
      </c>
      <c r="R2781" s="10">
        <f>IFERROR(IF(('Loading-truck'!$C$21)="No control",SUMIF(('Loading-truck'!$B$31:$B$48),$J2781,('Loading-truck'!$D$31:$D$48))*Impacts!$F$14,IF(('Loading-truck'!$C$21)&lt;&gt;"No control",SUMIF(('Loading-truck'!$B$31:$B$48),$J2781,('Loading-truck'!$E$31:$E$48))*Impacts!$F$14,0)),0)</f>
        <v>0</v>
      </c>
      <c r="S2781" s="10">
        <f>IFERROR(IF(('Loading-rail'!$C$21)="No control",SUMIF(('Loading-rail'!$B$31:$B$48),$J2781,('Loading-rail'!$D$31:$D$48))*Impacts!$F$15,IF(('Loading-rail'!$C$21)&lt;&gt;"No control",SUMIF(('Loading-rail'!$B$31:$B$48),$J2781,('Loading-rail'!$E$31:$E$48))*Impacts!$F$15,0)),0)</f>
        <v>0</v>
      </c>
      <c r="T2781" s="10">
        <f>IF(Flare!$C$7="",0,(SUMIF(Flare!$B$46:$B$185,$J2781,Flare!$E$46:$E$185)*Impacts!$F$16))</f>
        <v>0</v>
      </c>
      <c r="U2781" s="10">
        <f>IF(VCU!$C$9="",0,(SUMIF(VCU!$B$51:$B$193,$J2781,VCU!$E$51:$E$193)*Impacts!$F$17))</f>
        <v>0</v>
      </c>
      <c r="V2781" s="10">
        <f>IF(CAS!$C$7="",0,(SUMIF(CAS!$B$31:$B$167,$J2781,CAS!$E$31:$E$167)*Impacts!$F$18))</f>
        <v>0</v>
      </c>
      <c r="W2781" s="10">
        <f t="shared" si="84"/>
        <v>0</v>
      </c>
      <c r="AK2781" s="10" t="str">
        <f t="array" ref="AK2781">IFERROR(INDEX(SelectedSpecies,SMALL(IF(SelectedSpecies=AK$1,ROW(SelectedSpecies)),ROW(2782:2782)),2),"")</f>
        <v/>
      </c>
      <c r="BE2781" s="10"/>
      <c r="BI2781" s="10"/>
    </row>
    <row r="2782" spans="1:61" ht="21" customHeight="1" x14ac:dyDescent="0.25">
      <c r="A2782" s="10"/>
      <c r="B2782" s="10"/>
      <c r="E2782" s="10"/>
      <c r="G2782" s="10"/>
      <c r="I2782" s="436" t="s">
        <v>1104</v>
      </c>
      <c r="J2782" s="26" t="s">
        <v>1103</v>
      </c>
      <c r="K2782" s="10">
        <v>35</v>
      </c>
      <c r="L2782" s="73">
        <f>IF(Tank1!$C$23="No control",(SUMIF(Tank1!$B$32:$B$49,$J2782,Tank1!$C$32:$C$49)*Impacts!$F$8),0)</f>
        <v>0</v>
      </c>
      <c r="M2782" s="10">
        <f>IF(Tank2!$C$23="No control",(SUMIF(Tank2!$B$32:$B$49,$J2782,Tank2!$C$32:$C$49)*Impacts!$F$9),0)</f>
        <v>0</v>
      </c>
      <c r="N2782" s="10">
        <f>IF(Tank3!$C$23="No control",(SUMIF(Tank3!$B$32:$B$49,$J2782,Tank3!$C$32:$C$49)*Impacts!$F$10),0)</f>
        <v>0</v>
      </c>
      <c r="O2782" s="10">
        <f>IF(Tank4!$C$23="No control",(SUMIF(Tank4!$B$32:$B$49,$J2782,Tank4!$C$32:$C$49)*Impacts!$F$11),0)</f>
        <v>0</v>
      </c>
      <c r="P2782" s="10">
        <f>IF(Tank5!$C$23="No control",(SUMIF(Tank5!$B$32:$B$49,$J2782,Tank5!$C$32:$C$49)*Impacts!$F$12),0)</f>
        <v>0</v>
      </c>
      <c r="Q2782" s="10">
        <f>IFERROR(IF(('Loading-drum,tote'!$C$21)="No control",SUMIF(('Loading-drum,tote'!$B$31:$B$48),$J2782,('Loading-drum,tote'!$D$31:$D$48))*Impacts!$F$13,IF(('Loading-drum,tote'!$C$21)&lt;&gt;"No control",SUMIF(('Loading-drum,tote'!$B$31:$B$48),$J2782,('Loading-drum,tote'!$E$31:$E$48))*Impacts!$F$13,0)),0)</f>
        <v>0</v>
      </c>
      <c r="R2782" s="10">
        <f>IFERROR(IF(('Loading-truck'!$C$21)="No control",SUMIF(('Loading-truck'!$B$31:$B$48),$J2782,('Loading-truck'!$D$31:$D$48))*Impacts!$F$14,IF(('Loading-truck'!$C$21)&lt;&gt;"No control",SUMIF(('Loading-truck'!$B$31:$B$48),$J2782,('Loading-truck'!$E$31:$E$48))*Impacts!$F$14,0)),0)</f>
        <v>0</v>
      </c>
      <c r="S2782" s="10">
        <f>IFERROR(IF(('Loading-rail'!$C$21)="No control",SUMIF(('Loading-rail'!$B$31:$B$48),$J2782,('Loading-rail'!$D$31:$D$48))*Impacts!$F$15,IF(('Loading-rail'!$C$21)&lt;&gt;"No control",SUMIF(('Loading-rail'!$B$31:$B$48),$J2782,('Loading-rail'!$E$31:$E$48))*Impacts!$F$15,0)),0)</f>
        <v>0</v>
      </c>
      <c r="T2782" s="10">
        <f>IF(Flare!$C$7="",0,(SUMIF(Flare!$B$46:$B$185,$J2782,Flare!$E$46:$E$185)*Impacts!$F$16))</f>
        <v>0</v>
      </c>
      <c r="U2782" s="10">
        <f>IF(VCU!$C$9="",0,(SUMIF(VCU!$B$51:$B$193,$J2782,VCU!$E$51:$E$193)*Impacts!$F$17))</f>
        <v>0</v>
      </c>
      <c r="V2782" s="10">
        <f>IF(CAS!$C$7="",0,(SUMIF(CAS!$B$31:$B$167,$J2782,CAS!$E$31:$E$167)*Impacts!$F$18))</f>
        <v>0</v>
      </c>
      <c r="W2782" s="10">
        <f t="shared" si="84"/>
        <v>0</v>
      </c>
      <c r="AK2782" s="10" t="str">
        <f t="array" ref="AK2782">IFERROR(INDEX(SelectedSpecies,SMALL(IF(SelectedSpecies=AK$1,ROW(SelectedSpecies)),ROW(2783:2783)),2),"")</f>
        <v/>
      </c>
      <c r="BE2782" s="10"/>
      <c r="BI2782" s="10"/>
    </row>
    <row r="2783" spans="1:61" ht="21" customHeight="1" x14ac:dyDescent="0.25">
      <c r="A2783" s="10"/>
      <c r="B2783" s="10"/>
      <c r="E2783" s="10"/>
      <c r="G2783" s="10"/>
      <c r="I2783" s="436" t="s">
        <v>2557</v>
      </c>
      <c r="J2783" s="26" t="s">
        <v>2556</v>
      </c>
      <c r="K2783" s="10">
        <v>10</v>
      </c>
      <c r="L2783" s="73">
        <f>IF(Tank1!$C$23="No control",(SUMIF(Tank1!$B$32:$B$49,$J2783,Tank1!$C$32:$C$49)*Impacts!$F$8),0)</f>
        <v>0</v>
      </c>
      <c r="M2783" s="10">
        <f>IF(Tank2!$C$23="No control",(SUMIF(Tank2!$B$32:$B$49,$J2783,Tank2!$C$32:$C$49)*Impacts!$F$9),0)</f>
        <v>0</v>
      </c>
      <c r="N2783" s="10">
        <f>IF(Tank3!$C$23="No control",(SUMIF(Tank3!$B$32:$B$49,$J2783,Tank3!$C$32:$C$49)*Impacts!$F$10),0)</f>
        <v>0</v>
      </c>
      <c r="O2783" s="10">
        <f>IF(Tank4!$C$23="No control",(SUMIF(Tank4!$B$32:$B$49,$J2783,Tank4!$C$32:$C$49)*Impacts!$F$11),0)</f>
        <v>0</v>
      </c>
      <c r="P2783" s="10">
        <f>IF(Tank5!$C$23="No control",(SUMIF(Tank5!$B$32:$B$49,$J2783,Tank5!$C$32:$C$49)*Impacts!$F$12),0)</f>
        <v>0</v>
      </c>
      <c r="Q2783" s="10">
        <f>IFERROR(IF(('Loading-drum,tote'!$C$21)="No control",SUMIF(('Loading-drum,tote'!$B$31:$B$48),$J2783,('Loading-drum,tote'!$D$31:$D$48))*Impacts!$F$13,IF(('Loading-drum,tote'!$C$21)&lt;&gt;"No control",SUMIF(('Loading-drum,tote'!$B$31:$B$48),$J2783,('Loading-drum,tote'!$E$31:$E$48))*Impacts!$F$13,0)),0)</f>
        <v>0</v>
      </c>
      <c r="R2783" s="10">
        <f>IFERROR(IF(('Loading-truck'!$C$21)="No control",SUMIF(('Loading-truck'!$B$31:$B$48),$J2783,('Loading-truck'!$D$31:$D$48))*Impacts!$F$14,IF(('Loading-truck'!$C$21)&lt;&gt;"No control",SUMIF(('Loading-truck'!$B$31:$B$48),$J2783,('Loading-truck'!$E$31:$E$48))*Impacts!$F$14,0)),0)</f>
        <v>0</v>
      </c>
      <c r="S2783" s="10">
        <f>IFERROR(IF(('Loading-rail'!$C$21)="No control",SUMIF(('Loading-rail'!$B$31:$B$48),$J2783,('Loading-rail'!$D$31:$D$48))*Impacts!$F$15,IF(('Loading-rail'!$C$21)&lt;&gt;"No control",SUMIF(('Loading-rail'!$B$31:$B$48),$J2783,('Loading-rail'!$E$31:$E$48))*Impacts!$F$15,0)),0)</f>
        <v>0</v>
      </c>
      <c r="T2783" s="10">
        <f>IF(Flare!$C$7="",0,(SUMIF(Flare!$B$46:$B$185,$J2783,Flare!$E$46:$E$185)*Impacts!$F$16))</f>
        <v>0</v>
      </c>
      <c r="U2783" s="10">
        <f>IF(VCU!$C$9="",0,(SUMIF(VCU!$B$51:$B$193,$J2783,VCU!$E$51:$E$193)*Impacts!$F$17))</f>
        <v>0</v>
      </c>
      <c r="V2783" s="10">
        <f>IF(CAS!$C$7="",0,(SUMIF(CAS!$B$31:$B$167,$J2783,CAS!$E$31:$E$167)*Impacts!$F$18))</f>
        <v>0</v>
      </c>
      <c r="W2783" s="10">
        <f t="shared" si="84"/>
        <v>0</v>
      </c>
      <c r="AK2783" s="10" t="str">
        <f t="array" ref="AK2783">IFERROR(INDEX(SelectedSpecies,SMALL(IF(SelectedSpecies=AK$1,ROW(SelectedSpecies)),ROW(2784:2784)),2),"")</f>
        <v/>
      </c>
      <c r="BE2783" s="10"/>
      <c r="BI2783" s="10"/>
    </row>
    <row r="2784" spans="1:61" ht="21" customHeight="1" x14ac:dyDescent="0.25">
      <c r="A2784" s="10"/>
      <c r="B2784" s="10"/>
      <c r="E2784" s="10"/>
      <c r="G2784" s="10"/>
      <c r="I2784" s="436" t="s">
        <v>3039</v>
      </c>
      <c r="J2784" s="26" t="s">
        <v>3038</v>
      </c>
      <c r="K2784" s="10">
        <v>10</v>
      </c>
      <c r="L2784" s="73">
        <f>IF(Tank1!$C$23="No control",(SUMIF(Tank1!$B$32:$B$49,$J2784,Tank1!$C$32:$C$49)*Impacts!$F$8),0)</f>
        <v>0</v>
      </c>
      <c r="M2784" s="10">
        <f>IF(Tank2!$C$23="No control",(SUMIF(Tank2!$B$32:$B$49,$J2784,Tank2!$C$32:$C$49)*Impacts!$F$9),0)</f>
        <v>0</v>
      </c>
      <c r="N2784" s="10">
        <f>IF(Tank3!$C$23="No control",(SUMIF(Tank3!$B$32:$B$49,$J2784,Tank3!$C$32:$C$49)*Impacts!$F$10),0)</f>
        <v>0</v>
      </c>
      <c r="O2784" s="10">
        <f>IF(Tank4!$C$23="No control",(SUMIF(Tank4!$B$32:$B$49,$J2784,Tank4!$C$32:$C$49)*Impacts!$F$11),0)</f>
        <v>0</v>
      </c>
      <c r="P2784" s="10">
        <f>IF(Tank5!$C$23="No control",(SUMIF(Tank5!$B$32:$B$49,$J2784,Tank5!$C$32:$C$49)*Impacts!$F$12),0)</f>
        <v>0</v>
      </c>
      <c r="Q2784" s="10">
        <f>IFERROR(IF(('Loading-drum,tote'!$C$21)="No control",SUMIF(('Loading-drum,tote'!$B$31:$B$48),$J2784,('Loading-drum,tote'!$D$31:$D$48))*Impacts!$F$13,IF(('Loading-drum,tote'!$C$21)&lt;&gt;"No control",SUMIF(('Loading-drum,tote'!$B$31:$B$48),$J2784,('Loading-drum,tote'!$E$31:$E$48))*Impacts!$F$13,0)),0)</f>
        <v>0</v>
      </c>
      <c r="R2784" s="10">
        <f>IFERROR(IF(('Loading-truck'!$C$21)="No control",SUMIF(('Loading-truck'!$B$31:$B$48),$J2784,('Loading-truck'!$D$31:$D$48))*Impacts!$F$14,IF(('Loading-truck'!$C$21)&lt;&gt;"No control",SUMIF(('Loading-truck'!$B$31:$B$48),$J2784,('Loading-truck'!$E$31:$E$48))*Impacts!$F$14,0)),0)</f>
        <v>0</v>
      </c>
      <c r="S2784" s="10">
        <f>IFERROR(IF(('Loading-rail'!$C$21)="No control",SUMIF(('Loading-rail'!$B$31:$B$48),$J2784,('Loading-rail'!$D$31:$D$48))*Impacts!$F$15,IF(('Loading-rail'!$C$21)&lt;&gt;"No control",SUMIF(('Loading-rail'!$B$31:$B$48),$J2784,('Loading-rail'!$E$31:$E$48))*Impacts!$F$15,0)),0)</f>
        <v>0</v>
      </c>
      <c r="T2784" s="10">
        <f>IF(Flare!$C$7="",0,(SUMIF(Flare!$B$46:$B$185,$J2784,Flare!$E$46:$E$185)*Impacts!$F$16))</f>
        <v>0</v>
      </c>
      <c r="U2784" s="10">
        <f>IF(VCU!$C$9="",0,(SUMIF(VCU!$B$51:$B$193,$J2784,VCU!$E$51:$E$193)*Impacts!$F$17))</f>
        <v>0</v>
      </c>
      <c r="V2784" s="10">
        <f>IF(CAS!$C$7="",0,(SUMIF(CAS!$B$31:$B$167,$J2784,CAS!$E$31:$E$167)*Impacts!$F$18))</f>
        <v>0</v>
      </c>
      <c r="W2784" s="10">
        <f t="shared" si="84"/>
        <v>0</v>
      </c>
      <c r="AK2784" s="10" t="str">
        <f t="array" ref="AK2784">IFERROR(INDEX(SelectedSpecies,SMALL(IF(SelectedSpecies=AK$1,ROW(SelectedSpecies)),ROW(2785:2785)),2),"")</f>
        <v/>
      </c>
      <c r="BE2784" s="10"/>
      <c r="BI2784" s="10"/>
    </row>
    <row r="2785" spans="1:61" ht="21" customHeight="1" x14ac:dyDescent="0.25">
      <c r="A2785" s="10"/>
      <c r="B2785" s="10"/>
      <c r="E2785" s="10"/>
      <c r="G2785" s="10"/>
      <c r="I2785" s="436" t="s">
        <v>1106</v>
      </c>
      <c r="J2785" s="26" t="s">
        <v>1105</v>
      </c>
      <c r="K2785" s="10">
        <v>35</v>
      </c>
      <c r="L2785" s="73">
        <f>IF(Tank1!$C$23="No control",(SUMIF(Tank1!$B$32:$B$49,$J2785,Tank1!$C$32:$C$49)*Impacts!$F$8),0)</f>
        <v>0</v>
      </c>
      <c r="M2785" s="10">
        <f>IF(Tank2!$C$23="No control",(SUMIF(Tank2!$B$32:$B$49,$J2785,Tank2!$C$32:$C$49)*Impacts!$F$9),0)</f>
        <v>0</v>
      </c>
      <c r="N2785" s="10">
        <f>IF(Tank3!$C$23="No control",(SUMIF(Tank3!$B$32:$B$49,$J2785,Tank3!$C$32:$C$49)*Impacts!$F$10),0)</f>
        <v>0</v>
      </c>
      <c r="O2785" s="10">
        <f>IF(Tank4!$C$23="No control",(SUMIF(Tank4!$B$32:$B$49,$J2785,Tank4!$C$32:$C$49)*Impacts!$F$11),0)</f>
        <v>0</v>
      </c>
      <c r="P2785" s="10">
        <f>IF(Tank5!$C$23="No control",(SUMIF(Tank5!$B$32:$B$49,$J2785,Tank5!$C$32:$C$49)*Impacts!$F$12),0)</f>
        <v>0</v>
      </c>
      <c r="Q2785" s="10">
        <f>IFERROR(IF(('Loading-drum,tote'!$C$21)="No control",SUMIF(('Loading-drum,tote'!$B$31:$B$48),$J2785,('Loading-drum,tote'!$D$31:$D$48))*Impacts!$F$13,IF(('Loading-drum,tote'!$C$21)&lt;&gt;"No control",SUMIF(('Loading-drum,tote'!$B$31:$B$48),$J2785,('Loading-drum,tote'!$E$31:$E$48))*Impacts!$F$13,0)),0)</f>
        <v>0</v>
      </c>
      <c r="R2785" s="10">
        <f>IFERROR(IF(('Loading-truck'!$C$21)="No control",SUMIF(('Loading-truck'!$B$31:$B$48),$J2785,('Loading-truck'!$D$31:$D$48))*Impacts!$F$14,IF(('Loading-truck'!$C$21)&lt;&gt;"No control",SUMIF(('Loading-truck'!$B$31:$B$48),$J2785,('Loading-truck'!$E$31:$E$48))*Impacts!$F$14,0)),0)</f>
        <v>0</v>
      </c>
      <c r="S2785" s="10">
        <f>IFERROR(IF(('Loading-rail'!$C$21)="No control",SUMIF(('Loading-rail'!$B$31:$B$48),$J2785,('Loading-rail'!$D$31:$D$48))*Impacts!$F$15,IF(('Loading-rail'!$C$21)&lt;&gt;"No control",SUMIF(('Loading-rail'!$B$31:$B$48),$J2785,('Loading-rail'!$E$31:$E$48))*Impacts!$F$15,0)),0)</f>
        <v>0</v>
      </c>
      <c r="T2785" s="10">
        <f>IF(Flare!$C$7="",0,(SUMIF(Flare!$B$46:$B$185,$J2785,Flare!$E$46:$E$185)*Impacts!$F$16))</f>
        <v>0</v>
      </c>
      <c r="U2785" s="10">
        <f>IF(VCU!$C$9="",0,(SUMIF(VCU!$B$51:$B$193,$J2785,VCU!$E$51:$E$193)*Impacts!$F$17))</f>
        <v>0</v>
      </c>
      <c r="V2785" s="10">
        <f>IF(CAS!$C$7="",0,(SUMIF(CAS!$B$31:$B$167,$J2785,CAS!$E$31:$E$167)*Impacts!$F$18))</f>
        <v>0</v>
      </c>
      <c r="W2785" s="10">
        <f t="shared" si="84"/>
        <v>0</v>
      </c>
      <c r="AK2785" s="10" t="str">
        <f t="array" ref="AK2785">IFERROR(INDEX(SelectedSpecies,SMALL(IF(SelectedSpecies=AK$1,ROW(SelectedSpecies)),ROW(2786:2786)),2),"")</f>
        <v/>
      </c>
      <c r="BE2785" s="10"/>
      <c r="BI2785" s="10"/>
    </row>
    <row r="2786" spans="1:61" ht="21" customHeight="1" x14ac:dyDescent="0.25">
      <c r="A2786" s="10"/>
      <c r="B2786" s="10"/>
      <c r="E2786" s="10"/>
      <c r="G2786" s="10"/>
      <c r="I2786" s="436" t="s">
        <v>1108</v>
      </c>
      <c r="J2786" s="26" t="s">
        <v>1107</v>
      </c>
      <c r="K2786" s="10">
        <v>35</v>
      </c>
      <c r="L2786" s="73">
        <f>IF(Tank1!$C$23="No control",(SUMIF(Tank1!$B$32:$B$49,$J2786,Tank1!$C$32:$C$49)*Impacts!$F$8),0)</f>
        <v>0</v>
      </c>
      <c r="M2786" s="10">
        <f>IF(Tank2!$C$23="No control",(SUMIF(Tank2!$B$32:$B$49,$J2786,Tank2!$C$32:$C$49)*Impacts!$F$9),0)</f>
        <v>0</v>
      </c>
      <c r="N2786" s="10">
        <f>IF(Tank3!$C$23="No control",(SUMIF(Tank3!$B$32:$B$49,$J2786,Tank3!$C$32:$C$49)*Impacts!$F$10),0)</f>
        <v>0</v>
      </c>
      <c r="O2786" s="10">
        <f>IF(Tank4!$C$23="No control",(SUMIF(Tank4!$B$32:$B$49,$J2786,Tank4!$C$32:$C$49)*Impacts!$F$11),0)</f>
        <v>0</v>
      </c>
      <c r="P2786" s="10">
        <f>IF(Tank5!$C$23="No control",(SUMIF(Tank5!$B$32:$B$49,$J2786,Tank5!$C$32:$C$49)*Impacts!$F$12),0)</f>
        <v>0</v>
      </c>
      <c r="Q2786" s="10">
        <f>IFERROR(IF(('Loading-drum,tote'!$C$21)="No control",SUMIF(('Loading-drum,tote'!$B$31:$B$48),$J2786,('Loading-drum,tote'!$D$31:$D$48))*Impacts!$F$13,IF(('Loading-drum,tote'!$C$21)&lt;&gt;"No control",SUMIF(('Loading-drum,tote'!$B$31:$B$48),$J2786,('Loading-drum,tote'!$E$31:$E$48))*Impacts!$F$13,0)),0)</f>
        <v>0</v>
      </c>
      <c r="R2786" s="10">
        <f>IFERROR(IF(('Loading-truck'!$C$21)="No control",SUMIF(('Loading-truck'!$B$31:$B$48),$J2786,('Loading-truck'!$D$31:$D$48))*Impacts!$F$14,IF(('Loading-truck'!$C$21)&lt;&gt;"No control",SUMIF(('Loading-truck'!$B$31:$B$48),$J2786,('Loading-truck'!$E$31:$E$48))*Impacts!$F$14,0)),0)</f>
        <v>0</v>
      </c>
      <c r="S2786" s="10">
        <f>IFERROR(IF(('Loading-rail'!$C$21)="No control",SUMIF(('Loading-rail'!$B$31:$B$48),$J2786,('Loading-rail'!$D$31:$D$48))*Impacts!$F$15,IF(('Loading-rail'!$C$21)&lt;&gt;"No control",SUMIF(('Loading-rail'!$B$31:$B$48),$J2786,('Loading-rail'!$E$31:$E$48))*Impacts!$F$15,0)),0)</f>
        <v>0</v>
      </c>
      <c r="T2786" s="10">
        <f>IF(Flare!$C$7="",0,(SUMIF(Flare!$B$46:$B$185,$J2786,Flare!$E$46:$E$185)*Impacts!$F$16))</f>
        <v>0</v>
      </c>
      <c r="U2786" s="10">
        <f>IF(VCU!$C$9="",0,(SUMIF(VCU!$B$51:$B$193,$J2786,VCU!$E$51:$E$193)*Impacts!$F$17))</f>
        <v>0</v>
      </c>
      <c r="V2786" s="10">
        <f>IF(CAS!$C$7="",0,(SUMIF(CAS!$B$31:$B$167,$J2786,CAS!$E$31:$E$167)*Impacts!$F$18))</f>
        <v>0</v>
      </c>
      <c r="W2786" s="10">
        <f t="shared" si="84"/>
        <v>0</v>
      </c>
      <c r="AK2786" s="10" t="str">
        <f t="array" ref="AK2786">IFERROR(INDEX(SelectedSpecies,SMALL(IF(SelectedSpecies=AK$1,ROW(SelectedSpecies)),ROW(2787:2787)),2),"")</f>
        <v/>
      </c>
      <c r="BE2786" s="10"/>
      <c r="BI2786" s="10"/>
    </row>
    <row r="2787" spans="1:61" ht="21" customHeight="1" x14ac:dyDescent="0.25">
      <c r="A2787" s="10"/>
      <c r="B2787" s="10"/>
      <c r="E2787" s="10"/>
      <c r="G2787" s="10"/>
      <c r="I2787" s="436" t="s">
        <v>1476</v>
      </c>
      <c r="J2787" s="26" t="s">
        <v>1475</v>
      </c>
      <c r="K2787" s="10">
        <v>30</v>
      </c>
      <c r="L2787" s="73">
        <f>IF(Tank1!$C$23="No control",(SUMIF(Tank1!$B$32:$B$49,$J2787,Tank1!$C$32:$C$49)*Impacts!$F$8),0)</f>
        <v>0</v>
      </c>
      <c r="M2787" s="10">
        <f>IF(Tank2!$C$23="No control",(SUMIF(Tank2!$B$32:$B$49,$J2787,Tank2!$C$32:$C$49)*Impacts!$F$9),0)</f>
        <v>0</v>
      </c>
      <c r="N2787" s="10">
        <f>IF(Tank3!$C$23="No control",(SUMIF(Tank3!$B$32:$B$49,$J2787,Tank3!$C$32:$C$49)*Impacts!$F$10),0)</f>
        <v>0</v>
      </c>
      <c r="O2787" s="10">
        <f>IF(Tank4!$C$23="No control",(SUMIF(Tank4!$B$32:$B$49,$J2787,Tank4!$C$32:$C$49)*Impacts!$F$11),0)</f>
        <v>0</v>
      </c>
      <c r="P2787" s="10">
        <f>IF(Tank5!$C$23="No control",(SUMIF(Tank5!$B$32:$B$49,$J2787,Tank5!$C$32:$C$49)*Impacts!$F$12),0)</f>
        <v>0</v>
      </c>
      <c r="Q2787" s="10">
        <f>IFERROR(IF(('Loading-drum,tote'!$C$21)="No control",SUMIF(('Loading-drum,tote'!$B$31:$B$48),$J2787,('Loading-drum,tote'!$D$31:$D$48))*Impacts!$F$13,IF(('Loading-drum,tote'!$C$21)&lt;&gt;"No control",SUMIF(('Loading-drum,tote'!$B$31:$B$48),$J2787,('Loading-drum,tote'!$E$31:$E$48))*Impacts!$F$13,0)),0)</f>
        <v>0</v>
      </c>
      <c r="R2787" s="10">
        <f>IFERROR(IF(('Loading-truck'!$C$21)="No control",SUMIF(('Loading-truck'!$B$31:$B$48),$J2787,('Loading-truck'!$D$31:$D$48))*Impacts!$F$14,IF(('Loading-truck'!$C$21)&lt;&gt;"No control",SUMIF(('Loading-truck'!$B$31:$B$48),$J2787,('Loading-truck'!$E$31:$E$48))*Impacts!$F$14,0)),0)</f>
        <v>0</v>
      </c>
      <c r="S2787" s="10">
        <f>IFERROR(IF(('Loading-rail'!$C$21)="No control",SUMIF(('Loading-rail'!$B$31:$B$48),$J2787,('Loading-rail'!$D$31:$D$48))*Impacts!$F$15,IF(('Loading-rail'!$C$21)&lt;&gt;"No control",SUMIF(('Loading-rail'!$B$31:$B$48),$J2787,('Loading-rail'!$E$31:$E$48))*Impacts!$F$15,0)),0)</f>
        <v>0</v>
      </c>
      <c r="T2787" s="10">
        <f>IF(Flare!$C$7="",0,(SUMIF(Flare!$B$46:$B$185,$J2787,Flare!$E$46:$E$185)*Impacts!$F$16))</f>
        <v>0</v>
      </c>
      <c r="U2787" s="10">
        <f>IF(VCU!$C$9="",0,(SUMIF(VCU!$B$51:$B$193,$J2787,VCU!$E$51:$E$193)*Impacts!$F$17))</f>
        <v>0</v>
      </c>
      <c r="V2787" s="10">
        <f>IF(CAS!$C$7="",0,(SUMIF(CAS!$B$31:$B$167,$J2787,CAS!$E$31:$E$167)*Impacts!$F$18))</f>
        <v>0</v>
      </c>
      <c r="W2787" s="10">
        <f t="shared" si="84"/>
        <v>0</v>
      </c>
      <c r="AK2787" s="10" t="str">
        <f t="array" ref="AK2787">IFERROR(INDEX(SelectedSpecies,SMALL(IF(SelectedSpecies=AK$1,ROW(SelectedSpecies)),ROW(2788:2788)),2),"")</f>
        <v/>
      </c>
      <c r="BE2787" s="10"/>
      <c r="BI2787" s="10"/>
    </row>
    <row r="2788" spans="1:61" ht="21" customHeight="1" x14ac:dyDescent="0.25">
      <c r="A2788" s="10"/>
      <c r="B2788" s="10"/>
      <c r="E2788" s="10"/>
      <c r="G2788" s="10"/>
      <c r="I2788" s="436" t="s">
        <v>1110</v>
      </c>
      <c r="J2788" s="26" t="s">
        <v>1109</v>
      </c>
      <c r="K2788" s="10">
        <v>35</v>
      </c>
      <c r="L2788" s="73">
        <f>IF(Tank1!$C$23="No control",(SUMIF(Tank1!$B$32:$B$49,$J2788,Tank1!$C$32:$C$49)*Impacts!$F$8),0)</f>
        <v>0</v>
      </c>
      <c r="M2788" s="10">
        <f>IF(Tank2!$C$23="No control",(SUMIF(Tank2!$B$32:$B$49,$J2788,Tank2!$C$32:$C$49)*Impacts!$F$9),0)</f>
        <v>0</v>
      </c>
      <c r="N2788" s="10">
        <f>IF(Tank3!$C$23="No control",(SUMIF(Tank3!$B$32:$B$49,$J2788,Tank3!$C$32:$C$49)*Impacts!$F$10),0)</f>
        <v>0</v>
      </c>
      <c r="O2788" s="10">
        <f>IF(Tank4!$C$23="No control",(SUMIF(Tank4!$B$32:$B$49,$J2788,Tank4!$C$32:$C$49)*Impacts!$F$11),0)</f>
        <v>0</v>
      </c>
      <c r="P2788" s="10">
        <f>IF(Tank5!$C$23="No control",(SUMIF(Tank5!$B$32:$B$49,$J2788,Tank5!$C$32:$C$49)*Impacts!$F$12),0)</f>
        <v>0</v>
      </c>
      <c r="Q2788" s="10">
        <f>IFERROR(IF(('Loading-drum,tote'!$C$21)="No control",SUMIF(('Loading-drum,tote'!$B$31:$B$48),$J2788,('Loading-drum,tote'!$D$31:$D$48))*Impacts!$F$13,IF(('Loading-drum,tote'!$C$21)&lt;&gt;"No control",SUMIF(('Loading-drum,tote'!$B$31:$B$48),$J2788,('Loading-drum,tote'!$E$31:$E$48))*Impacts!$F$13,0)),0)</f>
        <v>0</v>
      </c>
      <c r="R2788" s="10">
        <f>IFERROR(IF(('Loading-truck'!$C$21)="No control",SUMIF(('Loading-truck'!$B$31:$B$48),$J2788,('Loading-truck'!$D$31:$D$48))*Impacts!$F$14,IF(('Loading-truck'!$C$21)&lt;&gt;"No control",SUMIF(('Loading-truck'!$B$31:$B$48),$J2788,('Loading-truck'!$E$31:$E$48))*Impacts!$F$14,0)),0)</f>
        <v>0</v>
      </c>
      <c r="S2788" s="10">
        <f>IFERROR(IF(('Loading-rail'!$C$21)="No control",SUMIF(('Loading-rail'!$B$31:$B$48),$J2788,('Loading-rail'!$D$31:$D$48))*Impacts!$F$15,IF(('Loading-rail'!$C$21)&lt;&gt;"No control",SUMIF(('Loading-rail'!$B$31:$B$48),$J2788,('Loading-rail'!$E$31:$E$48))*Impacts!$F$15,0)),0)</f>
        <v>0</v>
      </c>
      <c r="T2788" s="10">
        <f>IF(Flare!$C$7="",0,(SUMIF(Flare!$B$46:$B$185,$J2788,Flare!$E$46:$E$185)*Impacts!$F$16))</f>
        <v>0</v>
      </c>
      <c r="U2788" s="10">
        <f>IF(VCU!$C$9="",0,(SUMIF(VCU!$B$51:$B$193,$J2788,VCU!$E$51:$E$193)*Impacts!$F$17))</f>
        <v>0</v>
      </c>
      <c r="V2788" s="10">
        <f>IF(CAS!$C$7="",0,(SUMIF(CAS!$B$31:$B$167,$J2788,CAS!$E$31:$E$167)*Impacts!$F$18))</f>
        <v>0</v>
      </c>
      <c r="W2788" s="10">
        <f t="shared" si="84"/>
        <v>0</v>
      </c>
      <c r="AK2788" s="10" t="str">
        <f t="array" ref="AK2788">IFERROR(INDEX(SelectedSpecies,SMALL(IF(SelectedSpecies=AK$1,ROW(SelectedSpecies)),ROW(2789:2789)),2),"")</f>
        <v/>
      </c>
      <c r="BE2788" s="10"/>
      <c r="BI2788" s="10"/>
    </row>
    <row r="2789" spans="1:61" ht="21" customHeight="1" x14ac:dyDescent="0.25">
      <c r="A2789" s="10"/>
      <c r="B2789" s="10"/>
      <c r="E2789" s="10"/>
      <c r="G2789" s="10"/>
      <c r="I2789" s="436" t="s">
        <v>1112</v>
      </c>
      <c r="J2789" s="26" t="s">
        <v>1111</v>
      </c>
      <c r="K2789" s="10">
        <v>35</v>
      </c>
      <c r="L2789" s="73">
        <f>IF(Tank1!$C$23="No control",(SUMIF(Tank1!$B$32:$B$49,$J2789,Tank1!$C$32:$C$49)*Impacts!$F$8),0)</f>
        <v>0</v>
      </c>
      <c r="M2789" s="10">
        <f>IF(Tank2!$C$23="No control",(SUMIF(Tank2!$B$32:$B$49,$J2789,Tank2!$C$32:$C$49)*Impacts!$F$9),0)</f>
        <v>0</v>
      </c>
      <c r="N2789" s="10">
        <f>IF(Tank3!$C$23="No control",(SUMIF(Tank3!$B$32:$B$49,$J2789,Tank3!$C$32:$C$49)*Impacts!$F$10),0)</f>
        <v>0</v>
      </c>
      <c r="O2789" s="10">
        <f>IF(Tank4!$C$23="No control",(SUMIF(Tank4!$B$32:$B$49,$J2789,Tank4!$C$32:$C$49)*Impacts!$F$11),0)</f>
        <v>0</v>
      </c>
      <c r="P2789" s="10">
        <f>IF(Tank5!$C$23="No control",(SUMIF(Tank5!$B$32:$B$49,$J2789,Tank5!$C$32:$C$49)*Impacts!$F$12),0)</f>
        <v>0</v>
      </c>
      <c r="Q2789" s="10">
        <f>IFERROR(IF(('Loading-drum,tote'!$C$21)="No control",SUMIF(('Loading-drum,tote'!$B$31:$B$48),$J2789,('Loading-drum,tote'!$D$31:$D$48))*Impacts!$F$13,IF(('Loading-drum,tote'!$C$21)&lt;&gt;"No control",SUMIF(('Loading-drum,tote'!$B$31:$B$48),$J2789,('Loading-drum,tote'!$E$31:$E$48))*Impacts!$F$13,0)),0)</f>
        <v>0</v>
      </c>
      <c r="R2789" s="10">
        <f>IFERROR(IF(('Loading-truck'!$C$21)="No control",SUMIF(('Loading-truck'!$B$31:$B$48),$J2789,('Loading-truck'!$D$31:$D$48))*Impacts!$F$14,IF(('Loading-truck'!$C$21)&lt;&gt;"No control",SUMIF(('Loading-truck'!$B$31:$B$48),$J2789,('Loading-truck'!$E$31:$E$48))*Impacts!$F$14,0)),0)</f>
        <v>0</v>
      </c>
      <c r="S2789" s="10">
        <f>IFERROR(IF(('Loading-rail'!$C$21)="No control",SUMIF(('Loading-rail'!$B$31:$B$48),$J2789,('Loading-rail'!$D$31:$D$48))*Impacts!$F$15,IF(('Loading-rail'!$C$21)&lt;&gt;"No control",SUMIF(('Loading-rail'!$B$31:$B$48),$J2789,('Loading-rail'!$E$31:$E$48))*Impacts!$F$15,0)),0)</f>
        <v>0</v>
      </c>
      <c r="T2789" s="10">
        <f>IF(Flare!$C$7="",0,(SUMIF(Flare!$B$46:$B$185,$J2789,Flare!$E$46:$E$185)*Impacts!$F$16))</f>
        <v>0</v>
      </c>
      <c r="U2789" s="10">
        <f>IF(VCU!$C$9="",0,(SUMIF(VCU!$B$51:$B$193,$J2789,VCU!$E$51:$E$193)*Impacts!$F$17))</f>
        <v>0</v>
      </c>
      <c r="V2789" s="10">
        <f>IF(CAS!$C$7="",0,(SUMIF(CAS!$B$31:$B$167,$J2789,CAS!$E$31:$E$167)*Impacts!$F$18))</f>
        <v>0</v>
      </c>
      <c r="W2789" s="10">
        <f t="shared" si="84"/>
        <v>0</v>
      </c>
      <c r="AK2789" s="10" t="str">
        <f t="array" ref="AK2789">IFERROR(INDEX(SelectedSpecies,SMALL(IF(SelectedSpecies=AK$1,ROW(SelectedSpecies)),ROW(2790:2790)),2),"")</f>
        <v/>
      </c>
      <c r="BE2789" s="10"/>
      <c r="BI2789" s="10"/>
    </row>
    <row r="2790" spans="1:61" ht="21" customHeight="1" x14ac:dyDescent="0.25">
      <c r="A2790" s="10"/>
      <c r="B2790" s="10"/>
      <c r="E2790" s="10"/>
      <c r="G2790" s="10"/>
      <c r="I2790" s="436" t="s">
        <v>3041</v>
      </c>
      <c r="J2790" s="26" t="s">
        <v>3040</v>
      </c>
      <c r="K2790" s="10">
        <v>10</v>
      </c>
      <c r="L2790" s="73">
        <f>IF(Tank1!$C$23="No control",(SUMIF(Tank1!$B$32:$B$49,$J2790,Tank1!$C$32:$C$49)*Impacts!$F$8),0)</f>
        <v>0</v>
      </c>
      <c r="M2790" s="10">
        <f>IF(Tank2!$C$23="No control",(SUMIF(Tank2!$B$32:$B$49,$J2790,Tank2!$C$32:$C$49)*Impacts!$F$9),0)</f>
        <v>0</v>
      </c>
      <c r="N2790" s="10">
        <f>IF(Tank3!$C$23="No control",(SUMIF(Tank3!$B$32:$B$49,$J2790,Tank3!$C$32:$C$49)*Impacts!$F$10),0)</f>
        <v>0</v>
      </c>
      <c r="O2790" s="10">
        <f>IF(Tank4!$C$23="No control",(SUMIF(Tank4!$B$32:$B$49,$J2790,Tank4!$C$32:$C$49)*Impacts!$F$11),0)</f>
        <v>0</v>
      </c>
      <c r="P2790" s="10">
        <f>IF(Tank5!$C$23="No control",(SUMIF(Tank5!$B$32:$B$49,$J2790,Tank5!$C$32:$C$49)*Impacts!$F$12),0)</f>
        <v>0</v>
      </c>
      <c r="Q2790" s="10">
        <f>IFERROR(IF(('Loading-drum,tote'!$C$21)="No control",SUMIF(('Loading-drum,tote'!$B$31:$B$48),$J2790,('Loading-drum,tote'!$D$31:$D$48))*Impacts!$F$13,IF(('Loading-drum,tote'!$C$21)&lt;&gt;"No control",SUMIF(('Loading-drum,tote'!$B$31:$B$48),$J2790,('Loading-drum,tote'!$E$31:$E$48))*Impacts!$F$13,0)),0)</f>
        <v>0</v>
      </c>
      <c r="R2790" s="10">
        <f>IFERROR(IF(('Loading-truck'!$C$21)="No control",SUMIF(('Loading-truck'!$B$31:$B$48),$J2790,('Loading-truck'!$D$31:$D$48))*Impacts!$F$14,IF(('Loading-truck'!$C$21)&lt;&gt;"No control",SUMIF(('Loading-truck'!$B$31:$B$48),$J2790,('Loading-truck'!$E$31:$E$48))*Impacts!$F$14,0)),0)</f>
        <v>0</v>
      </c>
      <c r="S2790" s="10">
        <f>IFERROR(IF(('Loading-rail'!$C$21)="No control",SUMIF(('Loading-rail'!$B$31:$B$48),$J2790,('Loading-rail'!$D$31:$D$48))*Impacts!$F$15,IF(('Loading-rail'!$C$21)&lt;&gt;"No control",SUMIF(('Loading-rail'!$B$31:$B$48),$J2790,('Loading-rail'!$E$31:$E$48))*Impacts!$F$15,0)),0)</f>
        <v>0</v>
      </c>
      <c r="T2790" s="10">
        <f>IF(Flare!$C$7="",0,(SUMIF(Flare!$B$46:$B$185,$J2790,Flare!$E$46:$E$185)*Impacts!$F$16))</f>
        <v>0</v>
      </c>
      <c r="U2790" s="10">
        <f>IF(VCU!$C$9="",0,(SUMIF(VCU!$B$51:$B$193,$J2790,VCU!$E$51:$E$193)*Impacts!$F$17))</f>
        <v>0</v>
      </c>
      <c r="V2790" s="10">
        <f>IF(CAS!$C$7="",0,(SUMIF(CAS!$B$31:$B$167,$J2790,CAS!$E$31:$E$167)*Impacts!$F$18))</f>
        <v>0</v>
      </c>
      <c r="W2790" s="10">
        <f t="shared" si="84"/>
        <v>0</v>
      </c>
      <c r="AK2790" s="10" t="str">
        <f t="array" ref="AK2790">IFERROR(INDEX(SelectedSpecies,SMALL(IF(SelectedSpecies=AK$1,ROW(SelectedSpecies)),ROW(2791:2791)),2),"")</f>
        <v/>
      </c>
      <c r="BE2790" s="10"/>
      <c r="BI2790" s="10"/>
    </row>
    <row r="2791" spans="1:61" ht="21" customHeight="1" x14ac:dyDescent="0.25">
      <c r="A2791" s="10"/>
      <c r="B2791" s="10"/>
      <c r="E2791" s="10"/>
      <c r="G2791" s="10"/>
      <c r="I2791" s="436" t="s">
        <v>2559</v>
      </c>
      <c r="J2791" s="26" t="s">
        <v>2558</v>
      </c>
      <c r="K2791" s="10">
        <v>10</v>
      </c>
      <c r="L2791" s="73">
        <f>IF(Tank1!$C$23="No control",(SUMIF(Tank1!$B$32:$B$49,$J2791,Tank1!$C$32:$C$49)*Impacts!$F$8),0)</f>
        <v>0</v>
      </c>
      <c r="M2791" s="10">
        <f>IF(Tank2!$C$23="No control",(SUMIF(Tank2!$B$32:$B$49,$J2791,Tank2!$C$32:$C$49)*Impacts!$F$9),0)</f>
        <v>0</v>
      </c>
      <c r="N2791" s="10">
        <f>IF(Tank3!$C$23="No control",(SUMIF(Tank3!$B$32:$B$49,$J2791,Tank3!$C$32:$C$49)*Impacts!$F$10),0)</f>
        <v>0</v>
      </c>
      <c r="O2791" s="10">
        <f>IF(Tank4!$C$23="No control",(SUMIF(Tank4!$B$32:$B$49,$J2791,Tank4!$C$32:$C$49)*Impacts!$F$11),0)</f>
        <v>0</v>
      </c>
      <c r="P2791" s="10">
        <f>IF(Tank5!$C$23="No control",(SUMIF(Tank5!$B$32:$B$49,$J2791,Tank5!$C$32:$C$49)*Impacts!$F$12),0)</f>
        <v>0</v>
      </c>
      <c r="Q2791" s="10">
        <f>IFERROR(IF(('Loading-drum,tote'!$C$21)="No control",SUMIF(('Loading-drum,tote'!$B$31:$B$48),$J2791,('Loading-drum,tote'!$D$31:$D$48))*Impacts!$F$13,IF(('Loading-drum,tote'!$C$21)&lt;&gt;"No control",SUMIF(('Loading-drum,tote'!$B$31:$B$48),$J2791,('Loading-drum,tote'!$E$31:$E$48))*Impacts!$F$13,0)),0)</f>
        <v>0</v>
      </c>
      <c r="R2791" s="10">
        <f>IFERROR(IF(('Loading-truck'!$C$21)="No control",SUMIF(('Loading-truck'!$B$31:$B$48),$J2791,('Loading-truck'!$D$31:$D$48))*Impacts!$F$14,IF(('Loading-truck'!$C$21)&lt;&gt;"No control",SUMIF(('Loading-truck'!$B$31:$B$48),$J2791,('Loading-truck'!$E$31:$E$48))*Impacts!$F$14,0)),0)</f>
        <v>0</v>
      </c>
      <c r="S2791" s="10">
        <f>IFERROR(IF(('Loading-rail'!$C$21)="No control",SUMIF(('Loading-rail'!$B$31:$B$48),$J2791,('Loading-rail'!$D$31:$D$48))*Impacts!$F$15,IF(('Loading-rail'!$C$21)&lt;&gt;"No control",SUMIF(('Loading-rail'!$B$31:$B$48),$J2791,('Loading-rail'!$E$31:$E$48))*Impacts!$F$15,0)),0)</f>
        <v>0</v>
      </c>
      <c r="T2791" s="10">
        <f>IF(Flare!$C$7="",0,(SUMIF(Flare!$B$46:$B$185,$J2791,Flare!$E$46:$E$185)*Impacts!$F$16))</f>
        <v>0</v>
      </c>
      <c r="U2791" s="10">
        <f>IF(VCU!$C$9="",0,(SUMIF(VCU!$B$51:$B$193,$J2791,VCU!$E$51:$E$193)*Impacts!$F$17))</f>
        <v>0</v>
      </c>
      <c r="V2791" s="10">
        <f>IF(CAS!$C$7="",0,(SUMIF(CAS!$B$31:$B$167,$J2791,CAS!$E$31:$E$167)*Impacts!$F$18))</f>
        <v>0</v>
      </c>
      <c r="W2791" s="10">
        <f t="shared" si="84"/>
        <v>0</v>
      </c>
      <c r="AK2791" s="10" t="str">
        <f t="array" ref="AK2791">IFERROR(INDEX(SelectedSpecies,SMALL(IF(SelectedSpecies=AK$1,ROW(SelectedSpecies)),ROW(2792:2792)),2),"")</f>
        <v/>
      </c>
      <c r="BE2791" s="10"/>
      <c r="BI2791" s="10"/>
    </row>
    <row r="2792" spans="1:61" ht="21" customHeight="1" x14ac:dyDescent="0.25">
      <c r="A2792" s="10"/>
      <c r="B2792" s="10"/>
      <c r="E2792" s="10"/>
      <c r="G2792" s="10"/>
      <c r="I2792" s="436" t="s">
        <v>2561</v>
      </c>
      <c r="J2792" s="26" t="s">
        <v>2560</v>
      </c>
      <c r="K2792" s="10">
        <v>10</v>
      </c>
      <c r="L2792" s="73">
        <f>IF(Tank1!$C$23="No control",(SUMIF(Tank1!$B$32:$B$49,$J2792,Tank1!$C$32:$C$49)*Impacts!$F$8),0)</f>
        <v>0</v>
      </c>
      <c r="M2792" s="10">
        <f>IF(Tank2!$C$23="No control",(SUMIF(Tank2!$B$32:$B$49,$J2792,Tank2!$C$32:$C$49)*Impacts!$F$9),0)</f>
        <v>0</v>
      </c>
      <c r="N2792" s="10">
        <f>IF(Tank3!$C$23="No control",(SUMIF(Tank3!$B$32:$B$49,$J2792,Tank3!$C$32:$C$49)*Impacts!$F$10),0)</f>
        <v>0</v>
      </c>
      <c r="O2792" s="10">
        <f>IF(Tank4!$C$23="No control",(SUMIF(Tank4!$B$32:$B$49,$J2792,Tank4!$C$32:$C$49)*Impacts!$F$11),0)</f>
        <v>0</v>
      </c>
      <c r="P2792" s="10">
        <f>IF(Tank5!$C$23="No control",(SUMIF(Tank5!$B$32:$B$49,$J2792,Tank5!$C$32:$C$49)*Impacts!$F$12),0)</f>
        <v>0</v>
      </c>
      <c r="Q2792" s="10">
        <f>IFERROR(IF(('Loading-drum,tote'!$C$21)="No control",SUMIF(('Loading-drum,tote'!$B$31:$B$48),$J2792,('Loading-drum,tote'!$D$31:$D$48))*Impacts!$F$13,IF(('Loading-drum,tote'!$C$21)&lt;&gt;"No control",SUMIF(('Loading-drum,tote'!$B$31:$B$48),$J2792,('Loading-drum,tote'!$E$31:$E$48))*Impacts!$F$13,0)),0)</f>
        <v>0</v>
      </c>
      <c r="R2792" s="10">
        <f>IFERROR(IF(('Loading-truck'!$C$21)="No control",SUMIF(('Loading-truck'!$B$31:$B$48),$J2792,('Loading-truck'!$D$31:$D$48))*Impacts!$F$14,IF(('Loading-truck'!$C$21)&lt;&gt;"No control",SUMIF(('Loading-truck'!$B$31:$B$48),$J2792,('Loading-truck'!$E$31:$E$48))*Impacts!$F$14,0)),0)</f>
        <v>0</v>
      </c>
      <c r="S2792" s="10">
        <f>IFERROR(IF(('Loading-rail'!$C$21)="No control",SUMIF(('Loading-rail'!$B$31:$B$48),$J2792,('Loading-rail'!$D$31:$D$48))*Impacts!$F$15,IF(('Loading-rail'!$C$21)&lt;&gt;"No control",SUMIF(('Loading-rail'!$B$31:$B$48),$J2792,('Loading-rail'!$E$31:$E$48))*Impacts!$F$15,0)),0)</f>
        <v>0</v>
      </c>
      <c r="T2792" s="10">
        <f>IF(Flare!$C$7="",0,(SUMIF(Flare!$B$46:$B$185,$J2792,Flare!$E$46:$E$185)*Impacts!$F$16))</f>
        <v>0</v>
      </c>
      <c r="U2792" s="10">
        <f>IF(VCU!$C$9="",0,(SUMIF(VCU!$B$51:$B$193,$J2792,VCU!$E$51:$E$193)*Impacts!$F$17))</f>
        <v>0</v>
      </c>
      <c r="V2792" s="10">
        <f>IF(CAS!$C$7="",0,(SUMIF(CAS!$B$31:$B$167,$J2792,CAS!$E$31:$E$167)*Impacts!$F$18))</f>
        <v>0</v>
      </c>
      <c r="W2792" s="10">
        <f t="shared" si="84"/>
        <v>0</v>
      </c>
      <c r="AK2792" s="10" t="str">
        <f t="array" ref="AK2792">IFERROR(INDEX(SelectedSpecies,SMALL(IF(SelectedSpecies=AK$1,ROW(SelectedSpecies)),ROW(2793:2793)),2),"")</f>
        <v/>
      </c>
      <c r="BE2792" s="10"/>
      <c r="BI2792" s="10"/>
    </row>
    <row r="2793" spans="1:61" ht="21" customHeight="1" x14ac:dyDescent="0.25">
      <c r="A2793" s="10"/>
      <c r="B2793" s="10"/>
      <c r="E2793" s="10"/>
      <c r="G2793" s="10"/>
      <c r="I2793" s="436" t="s">
        <v>3043</v>
      </c>
      <c r="J2793" s="26" t="s">
        <v>3042</v>
      </c>
      <c r="K2793" s="10">
        <v>10</v>
      </c>
      <c r="L2793" s="73">
        <f>IF(Tank1!$C$23="No control",(SUMIF(Tank1!$B$32:$B$49,$J2793,Tank1!$C$32:$C$49)*Impacts!$F$8),0)</f>
        <v>0</v>
      </c>
      <c r="M2793" s="10">
        <f>IF(Tank2!$C$23="No control",(SUMIF(Tank2!$B$32:$B$49,$J2793,Tank2!$C$32:$C$49)*Impacts!$F$9),0)</f>
        <v>0</v>
      </c>
      <c r="N2793" s="10">
        <f>IF(Tank3!$C$23="No control",(SUMIF(Tank3!$B$32:$B$49,$J2793,Tank3!$C$32:$C$49)*Impacts!$F$10),0)</f>
        <v>0</v>
      </c>
      <c r="O2793" s="10">
        <f>IF(Tank4!$C$23="No control",(SUMIF(Tank4!$B$32:$B$49,$J2793,Tank4!$C$32:$C$49)*Impacts!$F$11),0)</f>
        <v>0</v>
      </c>
      <c r="P2793" s="10">
        <f>IF(Tank5!$C$23="No control",(SUMIF(Tank5!$B$32:$B$49,$J2793,Tank5!$C$32:$C$49)*Impacts!$F$12),0)</f>
        <v>0</v>
      </c>
      <c r="Q2793" s="10">
        <f>IFERROR(IF(('Loading-drum,tote'!$C$21)="No control",SUMIF(('Loading-drum,tote'!$B$31:$B$48),$J2793,('Loading-drum,tote'!$D$31:$D$48))*Impacts!$F$13,IF(('Loading-drum,tote'!$C$21)&lt;&gt;"No control",SUMIF(('Loading-drum,tote'!$B$31:$B$48),$J2793,('Loading-drum,tote'!$E$31:$E$48))*Impacts!$F$13,0)),0)</f>
        <v>0</v>
      </c>
      <c r="R2793" s="10">
        <f>IFERROR(IF(('Loading-truck'!$C$21)="No control",SUMIF(('Loading-truck'!$B$31:$B$48),$J2793,('Loading-truck'!$D$31:$D$48))*Impacts!$F$14,IF(('Loading-truck'!$C$21)&lt;&gt;"No control",SUMIF(('Loading-truck'!$B$31:$B$48),$J2793,('Loading-truck'!$E$31:$E$48))*Impacts!$F$14,0)),0)</f>
        <v>0</v>
      </c>
      <c r="S2793" s="10">
        <f>IFERROR(IF(('Loading-rail'!$C$21)="No control",SUMIF(('Loading-rail'!$B$31:$B$48),$J2793,('Loading-rail'!$D$31:$D$48))*Impacts!$F$15,IF(('Loading-rail'!$C$21)&lt;&gt;"No control",SUMIF(('Loading-rail'!$B$31:$B$48),$J2793,('Loading-rail'!$E$31:$E$48))*Impacts!$F$15,0)),0)</f>
        <v>0</v>
      </c>
      <c r="T2793" s="10">
        <f>IF(Flare!$C$7="",0,(SUMIF(Flare!$B$46:$B$185,$J2793,Flare!$E$46:$E$185)*Impacts!$F$16))</f>
        <v>0</v>
      </c>
      <c r="U2793" s="10">
        <f>IF(VCU!$C$9="",0,(SUMIF(VCU!$B$51:$B$193,$J2793,VCU!$E$51:$E$193)*Impacts!$F$17))</f>
        <v>0</v>
      </c>
      <c r="V2793" s="10">
        <f>IF(CAS!$C$7="",0,(SUMIF(CAS!$B$31:$B$167,$J2793,CAS!$E$31:$E$167)*Impacts!$F$18))</f>
        <v>0</v>
      </c>
      <c r="W2793" s="10">
        <f t="shared" si="84"/>
        <v>0</v>
      </c>
      <c r="AK2793" s="10" t="str">
        <f t="array" ref="AK2793">IFERROR(INDEX(SelectedSpecies,SMALL(IF(SelectedSpecies=AK$1,ROW(SelectedSpecies)),ROW(2794:2794)),2),"")</f>
        <v/>
      </c>
      <c r="BE2793" s="10"/>
      <c r="BI2793" s="10"/>
    </row>
    <row r="2794" spans="1:61" ht="21" customHeight="1" x14ac:dyDescent="0.25">
      <c r="A2794" s="10"/>
      <c r="B2794" s="10"/>
      <c r="E2794" s="10"/>
      <c r="G2794" s="10"/>
      <c r="I2794" s="436" t="s">
        <v>1114</v>
      </c>
      <c r="J2794" s="26" t="s">
        <v>1113</v>
      </c>
      <c r="K2794" s="10">
        <v>35</v>
      </c>
      <c r="L2794" s="73">
        <f>IF(Tank1!$C$23="No control",(SUMIF(Tank1!$B$32:$B$49,$J2794,Tank1!$C$32:$C$49)*Impacts!$F$8),0)</f>
        <v>0</v>
      </c>
      <c r="M2794" s="10">
        <f>IF(Tank2!$C$23="No control",(SUMIF(Tank2!$B$32:$B$49,$J2794,Tank2!$C$32:$C$49)*Impacts!$F$9),0)</f>
        <v>0</v>
      </c>
      <c r="N2794" s="10">
        <f>IF(Tank3!$C$23="No control",(SUMIF(Tank3!$B$32:$B$49,$J2794,Tank3!$C$32:$C$49)*Impacts!$F$10),0)</f>
        <v>0</v>
      </c>
      <c r="O2794" s="10">
        <f>IF(Tank4!$C$23="No control",(SUMIF(Tank4!$B$32:$B$49,$J2794,Tank4!$C$32:$C$49)*Impacts!$F$11),0)</f>
        <v>0</v>
      </c>
      <c r="P2794" s="10">
        <f>IF(Tank5!$C$23="No control",(SUMIF(Tank5!$B$32:$B$49,$J2794,Tank5!$C$32:$C$49)*Impacts!$F$12),0)</f>
        <v>0</v>
      </c>
      <c r="Q2794" s="10">
        <f>IFERROR(IF(('Loading-drum,tote'!$C$21)="No control",SUMIF(('Loading-drum,tote'!$B$31:$B$48),$J2794,('Loading-drum,tote'!$D$31:$D$48))*Impacts!$F$13,IF(('Loading-drum,tote'!$C$21)&lt;&gt;"No control",SUMIF(('Loading-drum,tote'!$B$31:$B$48),$J2794,('Loading-drum,tote'!$E$31:$E$48))*Impacts!$F$13,0)),0)</f>
        <v>0</v>
      </c>
      <c r="R2794" s="10">
        <f>IFERROR(IF(('Loading-truck'!$C$21)="No control",SUMIF(('Loading-truck'!$B$31:$B$48),$J2794,('Loading-truck'!$D$31:$D$48))*Impacts!$F$14,IF(('Loading-truck'!$C$21)&lt;&gt;"No control",SUMIF(('Loading-truck'!$B$31:$B$48),$J2794,('Loading-truck'!$E$31:$E$48))*Impacts!$F$14,0)),0)</f>
        <v>0</v>
      </c>
      <c r="S2794" s="10">
        <f>IFERROR(IF(('Loading-rail'!$C$21)="No control",SUMIF(('Loading-rail'!$B$31:$B$48),$J2794,('Loading-rail'!$D$31:$D$48))*Impacts!$F$15,IF(('Loading-rail'!$C$21)&lt;&gt;"No control",SUMIF(('Loading-rail'!$B$31:$B$48),$J2794,('Loading-rail'!$E$31:$E$48))*Impacts!$F$15,0)),0)</f>
        <v>0</v>
      </c>
      <c r="T2794" s="10">
        <f>IF(Flare!$C$7="",0,(SUMIF(Flare!$B$46:$B$185,$J2794,Flare!$E$46:$E$185)*Impacts!$F$16))</f>
        <v>0</v>
      </c>
      <c r="U2794" s="10">
        <f>IF(VCU!$C$9="",0,(SUMIF(VCU!$B$51:$B$193,$J2794,VCU!$E$51:$E$193)*Impacts!$F$17))</f>
        <v>0</v>
      </c>
      <c r="V2794" s="10">
        <f>IF(CAS!$C$7="",0,(SUMIF(CAS!$B$31:$B$167,$J2794,CAS!$E$31:$E$167)*Impacts!$F$18))</f>
        <v>0</v>
      </c>
      <c r="W2794" s="10">
        <f t="shared" si="84"/>
        <v>0</v>
      </c>
      <c r="AK2794" s="10" t="str">
        <f t="array" ref="AK2794">IFERROR(INDEX(SelectedSpecies,SMALL(IF(SelectedSpecies=AK$1,ROW(SelectedSpecies)),ROW(2795:2795)),2),"")</f>
        <v/>
      </c>
      <c r="BE2794" s="10"/>
      <c r="BI2794" s="10"/>
    </row>
    <row r="2795" spans="1:61" ht="21" customHeight="1" x14ac:dyDescent="0.25">
      <c r="A2795" s="10"/>
      <c r="B2795" s="10"/>
      <c r="E2795" s="10"/>
      <c r="G2795" s="10"/>
      <c r="I2795" s="436" t="s">
        <v>2563</v>
      </c>
      <c r="J2795" s="26" t="s">
        <v>2562</v>
      </c>
      <c r="K2795" s="10">
        <v>10</v>
      </c>
      <c r="L2795" s="73">
        <f>IF(Tank1!$C$23="No control",(SUMIF(Tank1!$B$32:$B$49,$J2795,Tank1!$C$32:$C$49)*Impacts!$F$8),0)</f>
        <v>0</v>
      </c>
      <c r="M2795" s="10">
        <f>IF(Tank2!$C$23="No control",(SUMIF(Tank2!$B$32:$B$49,$J2795,Tank2!$C$32:$C$49)*Impacts!$F$9),0)</f>
        <v>0</v>
      </c>
      <c r="N2795" s="10">
        <f>IF(Tank3!$C$23="No control",(SUMIF(Tank3!$B$32:$B$49,$J2795,Tank3!$C$32:$C$49)*Impacts!$F$10),0)</f>
        <v>0</v>
      </c>
      <c r="O2795" s="10">
        <f>IF(Tank4!$C$23="No control",(SUMIF(Tank4!$B$32:$B$49,$J2795,Tank4!$C$32:$C$49)*Impacts!$F$11),0)</f>
        <v>0</v>
      </c>
      <c r="P2795" s="10">
        <f>IF(Tank5!$C$23="No control",(SUMIF(Tank5!$B$32:$B$49,$J2795,Tank5!$C$32:$C$49)*Impacts!$F$12),0)</f>
        <v>0</v>
      </c>
      <c r="Q2795" s="10">
        <f>IFERROR(IF(('Loading-drum,tote'!$C$21)="No control",SUMIF(('Loading-drum,tote'!$B$31:$B$48),$J2795,('Loading-drum,tote'!$D$31:$D$48))*Impacts!$F$13,IF(('Loading-drum,tote'!$C$21)&lt;&gt;"No control",SUMIF(('Loading-drum,tote'!$B$31:$B$48),$J2795,('Loading-drum,tote'!$E$31:$E$48))*Impacts!$F$13,0)),0)</f>
        <v>0</v>
      </c>
      <c r="R2795" s="10">
        <f>IFERROR(IF(('Loading-truck'!$C$21)="No control",SUMIF(('Loading-truck'!$B$31:$B$48),$J2795,('Loading-truck'!$D$31:$D$48))*Impacts!$F$14,IF(('Loading-truck'!$C$21)&lt;&gt;"No control",SUMIF(('Loading-truck'!$B$31:$B$48),$J2795,('Loading-truck'!$E$31:$E$48))*Impacts!$F$14,0)),0)</f>
        <v>0</v>
      </c>
      <c r="S2795" s="10">
        <f>IFERROR(IF(('Loading-rail'!$C$21)="No control",SUMIF(('Loading-rail'!$B$31:$B$48),$J2795,('Loading-rail'!$D$31:$D$48))*Impacts!$F$15,IF(('Loading-rail'!$C$21)&lt;&gt;"No control",SUMIF(('Loading-rail'!$B$31:$B$48),$J2795,('Loading-rail'!$E$31:$E$48))*Impacts!$F$15,0)),0)</f>
        <v>0</v>
      </c>
      <c r="T2795" s="10">
        <f>IF(Flare!$C$7="",0,(SUMIF(Flare!$B$46:$B$185,$J2795,Flare!$E$46:$E$185)*Impacts!$F$16))</f>
        <v>0</v>
      </c>
      <c r="U2795" s="10">
        <f>IF(VCU!$C$9="",0,(SUMIF(VCU!$B$51:$B$193,$J2795,VCU!$E$51:$E$193)*Impacts!$F$17))</f>
        <v>0</v>
      </c>
      <c r="V2795" s="10">
        <f>IF(CAS!$C$7="",0,(SUMIF(CAS!$B$31:$B$167,$J2795,CAS!$E$31:$E$167)*Impacts!$F$18))</f>
        <v>0</v>
      </c>
      <c r="W2795" s="10">
        <f t="shared" si="84"/>
        <v>0</v>
      </c>
      <c r="AK2795" s="10" t="str">
        <f t="array" ref="AK2795">IFERROR(INDEX(SelectedSpecies,SMALL(IF(SelectedSpecies=AK$1,ROW(SelectedSpecies)),ROW(2796:2796)),2),"")</f>
        <v/>
      </c>
      <c r="BE2795" s="10"/>
      <c r="BI2795" s="10"/>
    </row>
    <row r="2796" spans="1:61" ht="21" customHeight="1" x14ac:dyDescent="0.25">
      <c r="A2796" s="10"/>
      <c r="B2796" s="10"/>
      <c r="E2796" s="10"/>
      <c r="G2796" s="10"/>
      <c r="I2796" s="436" t="s">
        <v>3045</v>
      </c>
      <c r="J2796" s="26" t="s">
        <v>3044</v>
      </c>
      <c r="K2796" s="10">
        <v>10</v>
      </c>
      <c r="L2796" s="73">
        <f>IF(Tank1!$C$23="No control",(SUMIF(Tank1!$B$32:$B$49,$J2796,Tank1!$C$32:$C$49)*Impacts!$F$8),0)</f>
        <v>0</v>
      </c>
      <c r="M2796" s="10">
        <f>IF(Tank2!$C$23="No control",(SUMIF(Tank2!$B$32:$B$49,$J2796,Tank2!$C$32:$C$49)*Impacts!$F$9),0)</f>
        <v>0</v>
      </c>
      <c r="N2796" s="10">
        <f>IF(Tank3!$C$23="No control",(SUMIF(Tank3!$B$32:$B$49,$J2796,Tank3!$C$32:$C$49)*Impacts!$F$10),0)</f>
        <v>0</v>
      </c>
      <c r="O2796" s="10">
        <f>IF(Tank4!$C$23="No control",(SUMIF(Tank4!$B$32:$B$49,$J2796,Tank4!$C$32:$C$49)*Impacts!$F$11),0)</f>
        <v>0</v>
      </c>
      <c r="P2796" s="10">
        <f>IF(Tank5!$C$23="No control",(SUMIF(Tank5!$B$32:$B$49,$J2796,Tank5!$C$32:$C$49)*Impacts!$F$12),0)</f>
        <v>0</v>
      </c>
      <c r="Q2796" s="10">
        <f>IFERROR(IF(('Loading-drum,tote'!$C$21)="No control",SUMIF(('Loading-drum,tote'!$B$31:$B$48),$J2796,('Loading-drum,tote'!$D$31:$D$48))*Impacts!$F$13,IF(('Loading-drum,tote'!$C$21)&lt;&gt;"No control",SUMIF(('Loading-drum,tote'!$B$31:$B$48),$J2796,('Loading-drum,tote'!$E$31:$E$48))*Impacts!$F$13,0)),0)</f>
        <v>0</v>
      </c>
      <c r="R2796" s="10">
        <f>IFERROR(IF(('Loading-truck'!$C$21)="No control",SUMIF(('Loading-truck'!$B$31:$B$48),$J2796,('Loading-truck'!$D$31:$D$48))*Impacts!$F$14,IF(('Loading-truck'!$C$21)&lt;&gt;"No control",SUMIF(('Loading-truck'!$B$31:$B$48),$J2796,('Loading-truck'!$E$31:$E$48))*Impacts!$F$14,0)),0)</f>
        <v>0</v>
      </c>
      <c r="S2796" s="10">
        <f>IFERROR(IF(('Loading-rail'!$C$21)="No control",SUMIF(('Loading-rail'!$B$31:$B$48),$J2796,('Loading-rail'!$D$31:$D$48))*Impacts!$F$15,IF(('Loading-rail'!$C$21)&lt;&gt;"No control",SUMIF(('Loading-rail'!$B$31:$B$48),$J2796,('Loading-rail'!$E$31:$E$48))*Impacts!$F$15,0)),0)</f>
        <v>0</v>
      </c>
      <c r="T2796" s="10">
        <f>IF(Flare!$C$7="",0,(SUMIF(Flare!$B$46:$B$185,$J2796,Flare!$E$46:$E$185)*Impacts!$F$16))</f>
        <v>0</v>
      </c>
      <c r="U2796" s="10">
        <f>IF(VCU!$C$9="",0,(SUMIF(VCU!$B$51:$B$193,$J2796,VCU!$E$51:$E$193)*Impacts!$F$17))</f>
        <v>0</v>
      </c>
      <c r="V2796" s="10">
        <f>IF(CAS!$C$7="",0,(SUMIF(CAS!$B$31:$B$167,$J2796,CAS!$E$31:$E$167)*Impacts!$F$18))</f>
        <v>0</v>
      </c>
      <c r="W2796" s="10">
        <f t="shared" si="84"/>
        <v>0</v>
      </c>
      <c r="AK2796" s="10" t="str">
        <f t="array" ref="AK2796">IFERROR(INDEX(SelectedSpecies,SMALL(IF(SelectedSpecies=AK$1,ROW(SelectedSpecies)),ROW(2797:2797)),2),"")</f>
        <v/>
      </c>
      <c r="BE2796" s="10"/>
      <c r="BI2796" s="10"/>
    </row>
    <row r="2797" spans="1:61" ht="21" customHeight="1" x14ac:dyDescent="0.25">
      <c r="A2797" s="10"/>
      <c r="B2797" s="10"/>
      <c r="E2797" s="10"/>
      <c r="G2797" s="10"/>
      <c r="I2797" s="436" t="s">
        <v>2565</v>
      </c>
      <c r="J2797" s="26" t="s">
        <v>2564</v>
      </c>
      <c r="K2797" s="10">
        <v>10</v>
      </c>
      <c r="L2797" s="73">
        <f>IF(Tank1!$C$23="No control",(SUMIF(Tank1!$B$32:$B$49,$J2797,Tank1!$C$32:$C$49)*Impacts!$F$8),0)</f>
        <v>0</v>
      </c>
      <c r="M2797" s="10">
        <f>IF(Tank2!$C$23="No control",(SUMIF(Tank2!$B$32:$B$49,$J2797,Tank2!$C$32:$C$49)*Impacts!$F$9),0)</f>
        <v>0</v>
      </c>
      <c r="N2797" s="10">
        <f>IF(Tank3!$C$23="No control",(SUMIF(Tank3!$B$32:$B$49,$J2797,Tank3!$C$32:$C$49)*Impacts!$F$10),0)</f>
        <v>0</v>
      </c>
      <c r="O2797" s="10">
        <f>IF(Tank4!$C$23="No control",(SUMIF(Tank4!$B$32:$B$49,$J2797,Tank4!$C$32:$C$49)*Impacts!$F$11),0)</f>
        <v>0</v>
      </c>
      <c r="P2797" s="10">
        <f>IF(Tank5!$C$23="No control",(SUMIF(Tank5!$B$32:$B$49,$J2797,Tank5!$C$32:$C$49)*Impacts!$F$12),0)</f>
        <v>0</v>
      </c>
      <c r="Q2797" s="10">
        <f>IFERROR(IF(('Loading-drum,tote'!$C$21)="No control",SUMIF(('Loading-drum,tote'!$B$31:$B$48),$J2797,('Loading-drum,tote'!$D$31:$D$48))*Impacts!$F$13,IF(('Loading-drum,tote'!$C$21)&lt;&gt;"No control",SUMIF(('Loading-drum,tote'!$B$31:$B$48),$J2797,('Loading-drum,tote'!$E$31:$E$48))*Impacts!$F$13,0)),0)</f>
        <v>0</v>
      </c>
      <c r="R2797" s="10">
        <f>IFERROR(IF(('Loading-truck'!$C$21)="No control",SUMIF(('Loading-truck'!$B$31:$B$48),$J2797,('Loading-truck'!$D$31:$D$48))*Impacts!$F$14,IF(('Loading-truck'!$C$21)&lt;&gt;"No control",SUMIF(('Loading-truck'!$B$31:$B$48),$J2797,('Loading-truck'!$E$31:$E$48))*Impacts!$F$14,0)),0)</f>
        <v>0</v>
      </c>
      <c r="S2797" s="10">
        <f>IFERROR(IF(('Loading-rail'!$C$21)="No control",SUMIF(('Loading-rail'!$B$31:$B$48),$J2797,('Loading-rail'!$D$31:$D$48))*Impacts!$F$15,IF(('Loading-rail'!$C$21)&lt;&gt;"No control",SUMIF(('Loading-rail'!$B$31:$B$48),$J2797,('Loading-rail'!$E$31:$E$48))*Impacts!$F$15,0)),0)</f>
        <v>0</v>
      </c>
      <c r="T2797" s="10">
        <f>IF(Flare!$C$7="",0,(SUMIF(Flare!$B$46:$B$185,$J2797,Flare!$E$46:$E$185)*Impacts!$F$16))</f>
        <v>0</v>
      </c>
      <c r="U2797" s="10">
        <f>IF(VCU!$C$9="",0,(SUMIF(VCU!$B$51:$B$193,$J2797,VCU!$E$51:$E$193)*Impacts!$F$17))</f>
        <v>0</v>
      </c>
      <c r="V2797" s="10">
        <f>IF(CAS!$C$7="",0,(SUMIF(CAS!$B$31:$B$167,$J2797,CAS!$E$31:$E$167)*Impacts!$F$18))</f>
        <v>0</v>
      </c>
      <c r="W2797" s="10">
        <f t="shared" si="84"/>
        <v>0</v>
      </c>
      <c r="AK2797" s="10" t="str">
        <f t="array" ref="AK2797">IFERROR(INDEX(SelectedSpecies,SMALL(IF(SelectedSpecies=AK$1,ROW(SelectedSpecies)),ROW(2798:2798)),2),"")</f>
        <v/>
      </c>
      <c r="BE2797" s="10"/>
      <c r="BI2797" s="10"/>
    </row>
    <row r="2798" spans="1:61" ht="21" customHeight="1" x14ac:dyDescent="0.25">
      <c r="A2798" s="10"/>
      <c r="B2798" s="10"/>
      <c r="E2798" s="10"/>
      <c r="G2798" s="10"/>
      <c r="I2798" s="436" t="s">
        <v>1116</v>
      </c>
      <c r="J2798" s="26" t="s">
        <v>1115</v>
      </c>
      <c r="K2798" s="10">
        <v>35</v>
      </c>
      <c r="L2798" s="73">
        <f>IF(Tank1!$C$23="No control",(SUMIF(Tank1!$B$32:$B$49,$J2798,Tank1!$C$32:$C$49)*Impacts!$F$8),0)</f>
        <v>0</v>
      </c>
      <c r="M2798" s="10">
        <f>IF(Tank2!$C$23="No control",(SUMIF(Tank2!$B$32:$B$49,$J2798,Tank2!$C$32:$C$49)*Impacts!$F$9),0)</f>
        <v>0</v>
      </c>
      <c r="N2798" s="10">
        <f>IF(Tank3!$C$23="No control",(SUMIF(Tank3!$B$32:$B$49,$J2798,Tank3!$C$32:$C$49)*Impacts!$F$10),0)</f>
        <v>0</v>
      </c>
      <c r="O2798" s="10">
        <f>IF(Tank4!$C$23="No control",(SUMIF(Tank4!$B$32:$B$49,$J2798,Tank4!$C$32:$C$49)*Impacts!$F$11),0)</f>
        <v>0</v>
      </c>
      <c r="P2798" s="10">
        <f>IF(Tank5!$C$23="No control",(SUMIF(Tank5!$B$32:$B$49,$J2798,Tank5!$C$32:$C$49)*Impacts!$F$12),0)</f>
        <v>0</v>
      </c>
      <c r="Q2798" s="10">
        <f>IFERROR(IF(('Loading-drum,tote'!$C$21)="No control",SUMIF(('Loading-drum,tote'!$B$31:$B$48),$J2798,('Loading-drum,tote'!$D$31:$D$48))*Impacts!$F$13,IF(('Loading-drum,tote'!$C$21)&lt;&gt;"No control",SUMIF(('Loading-drum,tote'!$B$31:$B$48),$J2798,('Loading-drum,tote'!$E$31:$E$48))*Impacts!$F$13,0)),0)</f>
        <v>0</v>
      </c>
      <c r="R2798" s="10">
        <f>IFERROR(IF(('Loading-truck'!$C$21)="No control",SUMIF(('Loading-truck'!$B$31:$B$48),$J2798,('Loading-truck'!$D$31:$D$48))*Impacts!$F$14,IF(('Loading-truck'!$C$21)&lt;&gt;"No control",SUMIF(('Loading-truck'!$B$31:$B$48),$J2798,('Loading-truck'!$E$31:$E$48))*Impacts!$F$14,0)),0)</f>
        <v>0</v>
      </c>
      <c r="S2798" s="10">
        <f>IFERROR(IF(('Loading-rail'!$C$21)="No control",SUMIF(('Loading-rail'!$B$31:$B$48),$J2798,('Loading-rail'!$D$31:$D$48))*Impacts!$F$15,IF(('Loading-rail'!$C$21)&lt;&gt;"No control",SUMIF(('Loading-rail'!$B$31:$B$48),$J2798,('Loading-rail'!$E$31:$E$48))*Impacts!$F$15,0)),0)</f>
        <v>0</v>
      </c>
      <c r="T2798" s="10">
        <f>IF(Flare!$C$7="",0,(SUMIF(Flare!$B$46:$B$185,$J2798,Flare!$E$46:$E$185)*Impacts!$F$16))</f>
        <v>0</v>
      </c>
      <c r="U2798" s="10">
        <f>IF(VCU!$C$9="",0,(SUMIF(VCU!$B$51:$B$193,$J2798,VCU!$E$51:$E$193)*Impacts!$F$17))</f>
        <v>0</v>
      </c>
      <c r="V2798" s="10">
        <f>IF(CAS!$C$7="",0,(SUMIF(CAS!$B$31:$B$167,$J2798,CAS!$E$31:$E$167)*Impacts!$F$18))</f>
        <v>0</v>
      </c>
      <c r="W2798" s="10">
        <f t="shared" si="84"/>
        <v>0</v>
      </c>
      <c r="AK2798" s="10" t="str">
        <f t="array" ref="AK2798">IFERROR(INDEX(SelectedSpecies,SMALL(IF(SelectedSpecies=AK$1,ROW(SelectedSpecies)),ROW(2799:2799)),2),"")</f>
        <v/>
      </c>
      <c r="BE2798" s="10"/>
      <c r="BI2798" s="10"/>
    </row>
    <row r="2799" spans="1:61" ht="21" customHeight="1" x14ac:dyDescent="0.25">
      <c r="A2799" s="10"/>
      <c r="B2799" s="10"/>
      <c r="E2799" s="10"/>
      <c r="G2799" s="10"/>
      <c r="I2799" s="436" t="s">
        <v>3047</v>
      </c>
      <c r="J2799" s="26" t="s">
        <v>3046</v>
      </c>
      <c r="K2799" s="10">
        <v>10</v>
      </c>
      <c r="L2799" s="73">
        <f>IF(Tank1!$C$23="No control",(SUMIF(Tank1!$B$32:$B$49,$J2799,Tank1!$C$32:$C$49)*Impacts!$F$8),0)</f>
        <v>0</v>
      </c>
      <c r="M2799" s="10">
        <f>IF(Tank2!$C$23="No control",(SUMIF(Tank2!$B$32:$B$49,$J2799,Tank2!$C$32:$C$49)*Impacts!$F$9),0)</f>
        <v>0</v>
      </c>
      <c r="N2799" s="10">
        <f>IF(Tank3!$C$23="No control",(SUMIF(Tank3!$B$32:$B$49,$J2799,Tank3!$C$32:$C$49)*Impacts!$F$10),0)</f>
        <v>0</v>
      </c>
      <c r="O2799" s="10">
        <f>IF(Tank4!$C$23="No control",(SUMIF(Tank4!$B$32:$B$49,$J2799,Tank4!$C$32:$C$49)*Impacts!$F$11),0)</f>
        <v>0</v>
      </c>
      <c r="P2799" s="10">
        <f>IF(Tank5!$C$23="No control",(SUMIF(Tank5!$B$32:$B$49,$J2799,Tank5!$C$32:$C$49)*Impacts!$F$12),0)</f>
        <v>0</v>
      </c>
      <c r="Q2799" s="10">
        <f>IFERROR(IF(('Loading-drum,tote'!$C$21)="No control",SUMIF(('Loading-drum,tote'!$B$31:$B$48),$J2799,('Loading-drum,tote'!$D$31:$D$48))*Impacts!$F$13,IF(('Loading-drum,tote'!$C$21)&lt;&gt;"No control",SUMIF(('Loading-drum,tote'!$B$31:$B$48),$J2799,('Loading-drum,tote'!$E$31:$E$48))*Impacts!$F$13,0)),0)</f>
        <v>0</v>
      </c>
      <c r="R2799" s="10">
        <f>IFERROR(IF(('Loading-truck'!$C$21)="No control",SUMIF(('Loading-truck'!$B$31:$B$48),$J2799,('Loading-truck'!$D$31:$D$48))*Impacts!$F$14,IF(('Loading-truck'!$C$21)&lt;&gt;"No control",SUMIF(('Loading-truck'!$B$31:$B$48),$J2799,('Loading-truck'!$E$31:$E$48))*Impacts!$F$14,0)),0)</f>
        <v>0</v>
      </c>
      <c r="S2799" s="10">
        <f>IFERROR(IF(('Loading-rail'!$C$21)="No control",SUMIF(('Loading-rail'!$B$31:$B$48),$J2799,('Loading-rail'!$D$31:$D$48))*Impacts!$F$15,IF(('Loading-rail'!$C$21)&lt;&gt;"No control",SUMIF(('Loading-rail'!$B$31:$B$48),$J2799,('Loading-rail'!$E$31:$E$48))*Impacts!$F$15,0)),0)</f>
        <v>0</v>
      </c>
      <c r="T2799" s="10">
        <f>IF(Flare!$C$7="",0,(SUMIF(Flare!$B$46:$B$185,$J2799,Flare!$E$46:$E$185)*Impacts!$F$16))</f>
        <v>0</v>
      </c>
      <c r="U2799" s="10">
        <f>IF(VCU!$C$9="",0,(SUMIF(VCU!$B$51:$B$193,$J2799,VCU!$E$51:$E$193)*Impacts!$F$17))</f>
        <v>0</v>
      </c>
      <c r="V2799" s="10">
        <f>IF(CAS!$C$7="",0,(SUMIF(CAS!$B$31:$B$167,$J2799,CAS!$E$31:$E$167)*Impacts!$F$18))</f>
        <v>0</v>
      </c>
      <c r="W2799" s="10">
        <f t="shared" si="84"/>
        <v>0</v>
      </c>
      <c r="AK2799" s="10" t="str">
        <f t="array" ref="AK2799">IFERROR(INDEX(SelectedSpecies,SMALL(IF(SelectedSpecies=AK$1,ROW(SelectedSpecies)),ROW(2800:2800)),2),"")</f>
        <v/>
      </c>
      <c r="BE2799" s="10"/>
      <c r="BI2799" s="10"/>
    </row>
    <row r="2800" spans="1:61" ht="21" customHeight="1" x14ac:dyDescent="0.25">
      <c r="A2800" s="10"/>
      <c r="B2800" s="10"/>
      <c r="E2800" s="10"/>
      <c r="G2800" s="10"/>
      <c r="I2800" s="436" t="s">
        <v>3049</v>
      </c>
      <c r="J2800" s="26" t="s">
        <v>3048</v>
      </c>
      <c r="K2800" s="10">
        <v>10</v>
      </c>
      <c r="L2800" s="73">
        <f>IF(Tank1!$C$23="No control",(SUMIF(Tank1!$B$32:$B$49,$J2800,Tank1!$C$32:$C$49)*Impacts!$F$8),0)</f>
        <v>0</v>
      </c>
      <c r="M2800" s="10">
        <f>IF(Tank2!$C$23="No control",(SUMIF(Tank2!$B$32:$B$49,$J2800,Tank2!$C$32:$C$49)*Impacts!$F$9),0)</f>
        <v>0</v>
      </c>
      <c r="N2800" s="10">
        <f>IF(Tank3!$C$23="No control",(SUMIF(Tank3!$B$32:$B$49,$J2800,Tank3!$C$32:$C$49)*Impacts!$F$10),0)</f>
        <v>0</v>
      </c>
      <c r="O2800" s="10">
        <f>IF(Tank4!$C$23="No control",(SUMIF(Tank4!$B$32:$B$49,$J2800,Tank4!$C$32:$C$49)*Impacts!$F$11),0)</f>
        <v>0</v>
      </c>
      <c r="P2800" s="10">
        <f>IF(Tank5!$C$23="No control",(SUMIF(Tank5!$B$32:$B$49,$J2800,Tank5!$C$32:$C$49)*Impacts!$F$12),0)</f>
        <v>0</v>
      </c>
      <c r="Q2800" s="10">
        <f>IFERROR(IF(('Loading-drum,tote'!$C$21)="No control",SUMIF(('Loading-drum,tote'!$B$31:$B$48),$J2800,('Loading-drum,tote'!$D$31:$D$48))*Impacts!$F$13,IF(('Loading-drum,tote'!$C$21)&lt;&gt;"No control",SUMIF(('Loading-drum,tote'!$B$31:$B$48),$J2800,('Loading-drum,tote'!$E$31:$E$48))*Impacts!$F$13,0)),0)</f>
        <v>0</v>
      </c>
      <c r="R2800" s="10">
        <f>IFERROR(IF(('Loading-truck'!$C$21)="No control",SUMIF(('Loading-truck'!$B$31:$B$48),$J2800,('Loading-truck'!$D$31:$D$48))*Impacts!$F$14,IF(('Loading-truck'!$C$21)&lt;&gt;"No control",SUMIF(('Loading-truck'!$B$31:$B$48),$J2800,('Loading-truck'!$E$31:$E$48))*Impacts!$F$14,0)),0)</f>
        <v>0</v>
      </c>
      <c r="S2800" s="10">
        <f>IFERROR(IF(('Loading-rail'!$C$21)="No control",SUMIF(('Loading-rail'!$B$31:$B$48),$J2800,('Loading-rail'!$D$31:$D$48))*Impacts!$F$15,IF(('Loading-rail'!$C$21)&lt;&gt;"No control",SUMIF(('Loading-rail'!$B$31:$B$48),$J2800,('Loading-rail'!$E$31:$E$48))*Impacts!$F$15,0)),0)</f>
        <v>0</v>
      </c>
      <c r="T2800" s="10">
        <f>IF(Flare!$C$7="",0,(SUMIF(Flare!$B$46:$B$185,$J2800,Flare!$E$46:$E$185)*Impacts!$F$16))</f>
        <v>0</v>
      </c>
      <c r="U2800" s="10">
        <f>IF(VCU!$C$9="",0,(SUMIF(VCU!$B$51:$B$193,$J2800,VCU!$E$51:$E$193)*Impacts!$F$17))</f>
        <v>0</v>
      </c>
      <c r="V2800" s="10">
        <f>IF(CAS!$C$7="",0,(SUMIF(CAS!$B$31:$B$167,$J2800,CAS!$E$31:$E$167)*Impacts!$F$18))</f>
        <v>0</v>
      </c>
      <c r="W2800" s="10">
        <f t="shared" si="84"/>
        <v>0</v>
      </c>
      <c r="AK2800" s="10" t="str">
        <f t="array" ref="AK2800">IFERROR(INDEX(SelectedSpecies,SMALL(IF(SelectedSpecies=AK$1,ROW(SelectedSpecies)),ROW(2801:2801)),2),"")</f>
        <v/>
      </c>
      <c r="BE2800" s="10"/>
      <c r="BI2800" s="10"/>
    </row>
    <row r="2801" spans="1:61" ht="21" customHeight="1" x14ac:dyDescent="0.25">
      <c r="A2801" s="10"/>
      <c r="B2801" s="10"/>
      <c r="E2801" s="10"/>
      <c r="G2801" s="10"/>
      <c r="I2801" s="436" t="s">
        <v>1596</v>
      </c>
      <c r="J2801" s="26" t="s">
        <v>1595</v>
      </c>
      <c r="K2801" s="10">
        <v>25.6</v>
      </c>
      <c r="L2801" s="73">
        <f>IF(Tank1!$C$23="No control",(SUMIF(Tank1!$B$32:$B$49,$J2801,Tank1!$C$32:$C$49)*Impacts!$F$8),0)</f>
        <v>0</v>
      </c>
      <c r="M2801" s="10">
        <f>IF(Tank2!$C$23="No control",(SUMIF(Tank2!$B$32:$B$49,$J2801,Tank2!$C$32:$C$49)*Impacts!$F$9),0)</f>
        <v>0</v>
      </c>
      <c r="N2801" s="10">
        <f>IF(Tank3!$C$23="No control",(SUMIF(Tank3!$B$32:$B$49,$J2801,Tank3!$C$32:$C$49)*Impacts!$F$10),0)</f>
        <v>0</v>
      </c>
      <c r="O2801" s="10">
        <f>IF(Tank4!$C$23="No control",(SUMIF(Tank4!$B$32:$B$49,$J2801,Tank4!$C$32:$C$49)*Impacts!$F$11),0)</f>
        <v>0</v>
      </c>
      <c r="P2801" s="10">
        <f>IF(Tank5!$C$23="No control",(SUMIF(Tank5!$B$32:$B$49,$J2801,Tank5!$C$32:$C$49)*Impacts!$F$12),0)</f>
        <v>0</v>
      </c>
      <c r="Q2801" s="10">
        <f>IFERROR(IF(('Loading-drum,tote'!$C$21)="No control",SUMIF(('Loading-drum,tote'!$B$31:$B$48),$J2801,('Loading-drum,tote'!$D$31:$D$48))*Impacts!$F$13,IF(('Loading-drum,tote'!$C$21)&lt;&gt;"No control",SUMIF(('Loading-drum,tote'!$B$31:$B$48),$J2801,('Loading-drum,tote'!$E$31:$E$48))*Impacts!$F$13,0)),0)</f>
        <v>0</v>
      </c>
      <c r="R2801" s="10">
        <f>IFERROR(IF(('Loading-truck'!$C$21)="No control",SUMIF(('Loading-truck'!$B$31:$B$48),$J2801,('Loading-truck'!$D$31:$D$48))*Impacts!$F$14,IF(('Loading-truck'!$C$21)&lt;&gt;"No control",SUMIF(('Loading-truck'!$B$31:$B$48),$J2801,('Loading-truck'!$E$31:$E$48))*Impacts!$F$14,0)),0)</f>
        <v>0</v>
      </c>
      <c r="S2801" s="10">
        <f>IFERROR(IF(('Loading-rail'!$C$21)="No control",SUMIF(('Loading-rail'!$B$31:$B$48),$J2801,('Loading-rail'!$D$31:$D$48))*Impacts!$F$15,IF(('Loading-rail'!$C$21)&lt;&gt;"No control",SUMIF(('Loading-rail'!$B$31:$B$48),$J2801,('Loading-rail'!$E$31:$E$48))*Impacts!$F$15,0)),0)</f>
        <v>0</v>
      </c>
      <c r="T2801" s="10">
        <f>IF(Flare!$C$7="",0,(SUMIF(Flare!$B$46:$B$185,$J2801,Flare!$E$46:$E$185)*Impacts!$F$16))</f>
        <v>0</v>
      </c>
      <c r="U2801" s="10">
        <f>IF(VCU!$C$9="",0,(SUMIF(VCU!$B$51:$B$193,$J2801,VCU!$E$51:$E$193)*Impacts!$F$17))</f>
        <v>0</v>
      </c>
      <c r="V2801" s="10">
        <f>IF(CAS!$C$7="",0,(SUMIF(CAS!$B$31:$B$167,$J2801,CAS!$E$31:$E$167)*Impacts!$F$18))</f>
        <v>0</v>
      </c>
      <c r="W2801" s="10">
        <f t="shared" si="84"/>
        <v>0</v>
      </c>
      <c r="AK2801" s="10" t="str">
        <f t="array" ref="AK2801">IFERROR(INDEX(SelectedSpecies,SMALL(IF(SelectedSpecies=AK$1,ROW(SelectedSpecies)),ROW(2802:2802)),2),"")</f>
        <v/>
      </c>
      <c r="BE2801" s="10"/>
      <c r="BI2801" s="10"/>
    </row>
    <row r="2802" spans="1:61" ht="21" customHeight="1" x14ac:dyDescent="0.25">
      <c r="A2802" s="10"/>
      <c r="B2802" s="10"/>
      <c r="E2802" s="10"/>
      <c r="G2802" s="10"/>
      <c r="I2802" s="436" t="s">
        <v>2567</v>
      </c>
      <c r="J2802" s="26" t="s">
        <v>2566</v>
      </c>
      <c r="K2802" s="10">
        <v>10</v>
      </c>
      <c r="L2802" s="73">
        <f>IF(Tank1!$C$23="No control",(SUMIF(Tank1!$B$32:$B$49,$J2802,Tank1!$C$32:$C$49)*Impacts!$F$8),0)</f>
        <v>0</v>
      </c>
      <c r="M2802" s="10">
        <f>IF(Tank2!$C$23="No control",(SUMIF(Tank2!$B$32:$B$49,$J2802,Tank2!$C$32:$C$49)*Impacts!$F$9),0)</f>
        <v>0</v>
      </c>
      <c r="N2802" s="10">
        <f>IF(Tank3!$C$23="No control",(SUMIF(Tank3!$B$32:$B$49,$J2802,Tank3!$C$32:$C$49)*Impacts!$F$10),0)</f>
        <v>0</v>
      </c>
      <c r="O2802" s="10">
        <f>IF(Tank4!$C$23="No control",(SUMIF(Tank4!$B$32:$B$49,$J2802,Tank4!$C$32:$C$49)*Impacts!$F$11),0)</f>
        <v>0</v>
      </c>
      <c r="P2802" s="10">
        <f>IF(Tank5!$C$23="No control",(SUMIF(Tank5!$B$32:$B$49,$J2802,Tank5!$C$32:$C$49)*Impacts!$F$12),0)</f>
        <v>0</v>
      </c>
      <c r="Q2802" s="10">
        <f>IFERROR(IF(('Loading-drum,tote'!$C$21)="No control",SUMIF(('Loading-drum,tote'!$B$31:$B$48),$J2802,('Loading-drum,tote'!$D$31:$D$48))*Impacts!$F$13,IF(('Loading-drum,tote'!$C$21)&lt;&gt;"No control",SUMIF(('Loading-drum,tote'!$B$31:$B$48),$J2802,('Loading-drum,tote'!$E$31:$E$48))*Impacts!$F$13,0)),0)</f>
        <v>0</v>
      </c>
      <c r="R2802" s="10">
        <f>IFERROR(IF(('Loading-truck'!$C$21)="No control",SUMIF(('Loading-truck'!$B$31:$B$48),$J2802,('Loading-truck'!$D$31:$D$48))*Impacts!$F$14,IF(('Loading-truck'!$C$21)&lt;&gt;"No control",SUMIF(('Loading-truck'!$B$31:$B$48),$J2802,('Loading-truck'!$E$31:$E$48))*Impacts!$F$14,0)),0)</f>
        <v>0</v>
      </c>
      <c r="S2802" s="10">
        <f>IFERROR(IF(('Loading-rail'!$C$21)="No control",SUMIF(('Loading-rail'!$B$31:$B$48),$J2802,('Loading-rail'!$D$31:$D$48))*Impacts!$F$15,IF(('Loading-rail'!$C$21)&lt;&gt;"No control",SUMIF(('Loading-rail'!$B$31:$B$48),$J2802,('Loading-rail'!$E$31:$E$48))*Impacts!$F$15,0)),0)</f>
        <v>0</v>
      </c>
      <c r="T2802" s="10">
        <f>IF(Flare!$C$7="",0,(SUMIF(Flare!$B$46:$B$185,$J2802,Flare!$E$46:$E$185)*Impacts!$F$16))</f>
        <v>0</v>
      </c>
      <c r="U2802" s="10">
        <f>IF(VCU!$C$9="",0,(SUMIF(VCU!$B$51:$B$193,$J2802,VCU!$E$51:$E$193)*Impacts!$F$17))</f>
        <v>0</v>
      </c>
      <c r="V2802" s="10">
        <f>IF(CAS!$C$7="",0,(SUMIF(CAS!$B$31:$B$167,$J2802,CAS!$E$31:$E$167)*Impacts!$F$18))</f>
        <v>0</v>
      </c>
      <c r="W2802" s="10">
        <f t="shared" si="84"/>
        <v>0</v>
      </c>
      <c r="AK2802" s="10" t="str">
        <f t="array" ref="AK2802">IFERROR(INDEX(SelectedSpecies,SMALL(IF(SelectedSpecies=AK$1,ROW(SelectedSpecies)),ROW(2803:2803)),2),"")</f>
        <v/>
      </c>
      <c r="BE2802" s="10"/>
      <c r="BI2802" s="10"/>
    </row>
    <row r="2803" spans="1:61" ht="21" customHeight="1" x14ac:dyDescent="0.25">
      <c r="A2803" s="10"/>
      <c r="B2803" s="10"/>
      <c r="E2803" s="10"/>
      <c r="G2803" s="10"/>
      <c r="I2803" s="436" t="s">
        <v>1118</v>
      </c>
      <c r="J2803" s="26" t="s">
        <v>1117</v>
      </c>
      <c r="K2803" s="10">
        <v>35</v>
      </c>
      <c r="L2803" s="73">
        <f>IF(Tank1!$C$23="No control",(SUMIF(Tank1!$B$32:$B$49,$J2803,Tank1!$C$32:$C$49)*Impacts!$F$8),0)</f>
        <v>0</v>
      </c>
      <c r="M2803" s="10">
        <f>IF(Tank2!$C$23="No control",(SUMIF(Tank2!$B$32:$B$49,$J2803,Tank2!$C$32:$C$49)*Impacts!$F$9),0)</f>
        <v>0</v>
      </c>
      <c r="N2803" s="10">
        <f>IF(Tank3!$C$23="No control",(SUMIF(Tank3!$B$32:$B$49,$J2803,Tank3!$C$32:$C$49)*Impacts!$F$10),0)</f>
        <v>0</v>
      </c>
      <c r="O2803" s="10">
        <f>IF(Tank4!$C$23="No control",(SUMIF(Tank4!$B$32:$B$49,$J2803,Tank4!$C$32:$C$49)*Impacts!$F$11),0)</f>
        <v>0</v>
      </c>
      <c r="P2803" s="10">
        <f>IF(Tank5!$C$23="No control",(SUMIF(Tank5!$B$32:$B$49,$J2803,Tank5!$C$32:$C$49)*Impacts!$F$12),0)</f>
        <v>0</v>
      </c>
      <c r="Q2803" s="10">
        <f>IFERROR(IF(('Loading-drum,tote'!$C$21)="No control",SUMIF(('Loading-drum,tote'!$B$31:$B$48),$J2803,('Loading-drum,tote'!$D$31:$D$48))*Impacts!$F$13,IF(('Loading-drum,tote'!$C$21)&lt;&gt;"No control",SUMIF(('Loading-drum,tote'!$B$31:$B$48),$J2803,('Loading-drum,tote'!$E$31:$E$48))*Impacts!$F$13,0)),0)</f>
        <v>0</v>
      </c>
      <c r="R2803" s="10">
        <f>IFERROR(IF(('Loading-truck'!$C$21)="No control",SUMIF(('Loading-truck'!$B$31:$B$48),$J2803,('Loading-truck'!$D$31:$D$48))*Impacts!$F$14,IF(('Loading-truck'!$C$21)&lt;&gt;"No control",SUMIF(('Loading-truck'!$B$31:$B$48),$J2803,('Loading-truck'!$E$31:$E$48))*Impacts!$F$14,0)),0)</f>
        <v>0</v>
      </c>
      <c r="S2803" s="10">
        <f>IFERROR(IF(('Loading-rail'!$C$21)="No control",SUMIF(('Loading-rail'!$B$31:$B$48),$J2803,('Loading-rail'!$D$31:$D$48))*Impacts!$F$15,IF(('Loading-rail'!$C$21)&lt;&gt;"No control",SUMIF(('Loading-rail'!$B$31:$B$48),$J2803,('Loading-rail'!$E$31:$E$48))*Impacts!$F$15,0)),0)</f>
        <v>0</v>
      </c>
      <c r="T2803" s="10">
        <f>IF(Flare!$C$7="",0,(SUMIF(Flare!$B$46:$B$185,$J2803,Flare!$E$46:$E$185)*Impacts!$F$16))</f>
        <v>0</v>
      </c>
      <c r="U2803" s="10">
        <f>IF(VCU!$C$9="",0,(SUMIF(VCU!$B$51:$B$193,$J2803,VCU!$E$51:$E$193)*Impacts!$F$17))</f>
        <v>0</v>
      </c>
      <c r="V2803" s="10">
        <f>IF(CAS!$C$7="",0,(SUMIF(CAS!$B$31:$B$167,$J2803,CAS!$E$31:$E$167)*Impacts!$F$18))</f>
        <v>0</v>
      </c>
      <c r="W2803" s="10">
        <f t="shared" si="84"/>
        <v>0</v>
      </c>
      <c r="AK2803" s="10" t="str">
        <f t="array" ref="AK2803">IFERROR(INDEX(SelectedSpecies,SMALL(IF(SelectedSpecies=AK$1,ROW(SelectedSpecies)),ROW(2804:2804)),2),"")</f>
        <v/>
      </c>
      <c r="BE2803" s="10"/>
      <c r="BI2803" s="10"/>
    </row>
    <row r="2804" spans="1:61" ht="21" customHeight="1" x14ac:dyDescent="0.25">
      <c r="A2804" s="10"/>
      <c r="B2804" s="10"/>
      <c r="E2804" s="10"/>
      <c r="G2804" s="10"/>
      <c r="I2804" s="436" t="s">
        <v>1120</v>
      </c>
      <c r="J2804" s="26" t="s">
        <v>1119</v>
      </c>
      <c r="K2804" s="10">
        <v>35</v>
      </c>
      <c r="L2804" s="73">
        <f>IF(Tank1!$C$23="No control",(SUMIF(Tank1!$B$32:$B$49,$J2804,Tank1!$C$32:$C$49)*Impacts!$F$8),0)</f>
        <v>0</v>
      </c>
      <c r="M2804" s="10">
        <f>IF(Tank2!$C$23="No control",(SUMIF(Tank2!$B$32:$B$49,$J2804,Tank2!$C$32:$C$49)*Impacts!$F$9),0)</f>
        <v>0</v>
      </c>
      <c r="N2804" s="10">
        <f>IF(Tank3!$C$23="No control",(SUMIF(Tank3!$B$32:$B$49,$J2804,Tank3!$C$32:$C$49)*Impacts!$F$10),0)</f>
        <v>0</v>
      </c>
      <c r="O2804" s="10">
        <f>IF(Tank4!$C$23="No control",(SUMIF(Tank4!$B$32:$B$49,$J2804,Tank4!$C$32:$C$49)*Impacts!$F$11),0)</f>
        <v>0</v>
      </c>
      <c r="P2804" s="10">
        <f>IF(Tank5!$C$23="No control",(SUMIF(Tank5!$B$32:$B$49,$J2804,Tank5!$C$32:$C$49)*Impacts!$F$12),0)</f>
        <v>0</v>
      </c>
      <c r="Q2804" s="10">
        <f>IFERROR(IF(('Loading-drum,tote'!$C$21)="No control",SUMIF(('Loading-drum,tote'!$B$31:$B$48),$J2804,('Loading-drum,tote'!$D$31:$D$48))*Impacts!$F$13,IF(('Loading-drum,tote'!$C$21)&lt;&gt;"No control",SUMIF(('Loading-drum,tote'!$B$31:$B$48),$J2804,('Loading-drum,tote'!$E$31:$E$48))*Impacts!$F$13,0)),0)</f>
        <v>0</v>
      </c>
      <c r="R2804" s="10">
        <f>IFERROR(IF(('Loading-truck'!$C$21)="No control",SUMIF(('Loading-truck'!$B$31:$B$48),$J2804,('Loading-truck'!$D$31:$D$48))*Impacts!$F$14,IF(('Loading-truck'!$C$21)&lt;&gt;"No control",SUMIF(('Loading-truck'!$B$31:$B$48),$J2804,('Loading-truck'!$E$31:$E$48))*Impacts!$F$14,0)),0)</f>
        <v>0</v>
      </c>
      <c r="S2804" s="10">
        <f>IFERROR(IF(('Loading-rail'!$C$21)="No control",SUMIF(('Loading-rail'!$B$31:$B$48),$J2804,('Loading-rail'!$D$31:$D$48))*Impacts!$F$15,IF(('Loading-rail'!$C$21)&lt;&gt;"No control",SUMIF(('Loading-rail'!$B$31:$B$48),$J2804,('Loading-rail'!$E$31:$E$48))*Impacts!$F$15,0)),0)</f>
        <v>0</v>
      </c>
      <c r="T2804" s="10">
        <f>IF(Flare!$C$7="",0,(SUMIF(Flare!$B$46:$B$185,$J2804,Flare!$E$46:$E$185)*Impacts!$F$16))</f>
        <v>0</v>
      </c>
      <c r="U2804" s="10">
        <f>IF(VCU!$C$9="",0,(SUMIF(VCU!$B$51:$B$193,$J2804,VCU!$E$51:$E$193)*Impacts!$F$17))</f>
        <v>0</v>
      </c>
      <c r="V2804" s="10">
        <f>IF(CAS!$C$7="",0,(SUMIF(CAS!$B$31:$B$167,$J2804,CAS!$E$31:$E$167)*Impacts!$F$18))</f>
        <v>0</v>
      </c>
      <c r="W2804" s="10">
        <f t="shared" si="84"/>
        <v>0</v>
      </c>
      <c r="AK2804" s="10" t="str">
        <f t="array" ref="AK2804">IFERROR(INDEX(SelectedSpecies,SMALL(IF(SelectedSpecies=AK$1,ROW(SelectedSpecies)),ROW(2805:2805)),2),"")</f>
        <v/>
      </c>
      <c r="BE2804" s="10"/>
      <c r="BI2804" s="10"/>
    </row>
    <row r="2805" spans="1:61" ht="21" customHeight="1" x14ac:dyDescent="0.25">
      <c r="A2805" s="10"/>
      <c r="B2805" s="10"/>
      <c r="E2805" s="10"/>
      <c r="G2805" s="10"/>
      <c r="I2805" s="436" t="s">
        <v>1122</v>
      </c>
      <c r="J2805" s="26" t="s">
        <v>1121</v>
      </c>
      <c r="K2805" s="10">
        <v>35</v>
      </c>
      <c r="L2805" s="73">
        <f>IF(Tank1!$C$23="No control",(SUMIF(Tank1!$B$32:$B$49,$J2805,Tank1!$C$32:$C$49)*Impacts!$F$8),0)</f>
        <v>0</v>
      </c>
      <c r="M2805" s="10">
        <f>IF(Tank2!$C$23="No control",(SUMIF(Tank2!$B$32:$B$49,$J2805,Tank2!$C$32:$C$49)*Impacts!$F$9),0)</f>
        <v>0</v>
      </c>
      <c r="N2805" s="10">
        <f>IF(Tank3!$C$23="No control",(SUMIF(Tank3!$B$32:$B$49,$J2805,Tank3!$C$32:$C$49)*Impacts!$F$10),0)</f>
        <v>0</v>
      </c>
      <c r="O2805" s="10">
        <f>IF(Tank4!$C$23="No control",(SUMIF(Tank4!$B$32:$B$49,$J2805,Tank4!$C$32:$C$49)*Impacts!$F$11),0)</f>
        <v>0</v>
      </c>
      <c r="P2805" s="10">
        <f>IF(Tank5!$C$23="No control",(SUMIF(Tank5!$B$32:$B$49,$J2805,Tank5!$C$32:$C$49)*Impacts!$F$12),0)</f>
        <v>0</v>
      </c>
      <c r="Q2805" s="10">
        <f>IFERROR(IF(('Loading-drum,tote'!$C$21)="No control",SUMIF(('Loading-drum,tote'!$B$31:$B$48),$J2805,('Loading-drum,tote'!$D$31:$D$48))*Impacts!$F$13,IF(('Loading-drum,tote'!$C$21)&lt;&gt;"No control",SUMIF(('Loading-drum,tote'!$B$31:$B$48),$J2805,('Loading-drum,tote'!$E$31:$E$48))*Impacts!$F$13,0)),0)</f>
        <v>0</v>
      </c>
      <c r="R2805" s="10">
        <f>IFERROR(IF(('Loading-truck'!$C$21)="No control",SUMIF(('Loading-truck'!$B$31:$B$48),$J2805,('Loading-truck'!$D$31:$D$48))*Impacts!$F$14,IF(('Loading-truck'!$C$21)&lt;&gt;"No control",SUMIF(('Loading-truck'!$B$31:$B$48),$J2805,('Loading-truck'!$E$31:$E$48))*Impacts!$F$14,0)),0)</f>
        <v>0</v>
      </c>
      <c r="S2805" s="10">
        <f>IFERROR(IF(('Loading-rail'!$C$21)="No control",SUMIF(('Loading-rail'!$B$31:$B$48),$J2805,('Loading-rail'!$D$31:$D$48))*Impacts!$F$15,IF(('Loading-rail'!$C$21)&lt;&gt;"No control",SUMIF(('Loading-rail'!$B$31:$B$48),$J2805,('Loading-rail'!$E$31:$E$48))*Impacts!$F$15,0)),0)</f>
        <v>0</v>
      </c>
      <c r="T2805" s="10">
        <f>IF(Flare!$C$7="",0,(SUMIF(Flare!$B$46:$B$185,$J2805,Flare!$E$46:$E$185)*Impacts!$F$16))</f>
        <v>0</v>
      </c>
      <c r="U2805" s="10">
        <f>IF(VCU!$C$9="",0,(SUMIF(VCU!$B$51:$B$193,$J2805,VCU!$E$51:$E$193)*Impacts!$F$17))</f>
        <v>0</v>
      </c>
      <c r="V2805" s="10">
        <f>IF(CAS!$C$7="",0,(SUMIF(CAS!$B$31:$B$167,$J2805,CAS!$E$31:$E$167)*Impacts!$F$18))</f>
        <v>0</v>
      </c>
      <c r="W2805" s="10">
        <f t="shared" si="84"/>
        <v>0</v>
      </c>
      <c r="AK2805" s="10" t="str">
        <f t="array" ref="AK2805">IFERROR(INDEX(SelectedSpecies,SMALL(IF(SelectedSpecies=AK$1,ROW(SelectedSpecies)),ROW(2806:2806)),2),"")</f>
        <v/>
      </c>
      <c r="BE2805" s="10"/>
      <c r="BI2805" s="10"/>
    </row>
    <row r="2806" spans="1:61" ht="21" customHeight="1" x14ac:dyDescent="0.25">
      <c r="A2806" s="10"/>
      <c r="B2806" s="10"/>
      <c r="E2806" s="10"/>
      <c r="G2806" s="10"/>
      <c r="I2806" s="436" t="s">
        <v>2569</v>
      </c>
      <c r="J2806" s="26" t="s">
        <v>2568</v>
      </c>
      <c r="K2806" s="10">
        <v>10</v>
      </c>
      <c r="L2806" s="73">
        <f>IF(Tank1!$C$23="No control",(SUMIF(Tank1!$B$32:$B$49,$J2806,Tank1!$C$32:$C$49)*Impacts!$F$8),0)</f>
        <v>0</v>
      </c>
      <c r="M2806" s="10">
        <f>IF(Tank2!$C$23="No control",(SUMIF(Tank2!$B$32:$B$49,$J2806,Tank2!$C$32:$C$49)*Impacts!$F$9),0)</f>
        <v>0</v>
      </c>
      <c r="N2806" s="10">
        <f>IF(Tank3!$C$23="No control",(SUMIF(Tank3!$B$32:$B$49,$J2806,Tank3!$C$32:$C$49)*Impacts!$F$10),0)</f>
        <v>0</v>
      </c>
      <c r="O2806" s="10">
        <f>IF(Tank4!$C$23="No control",(SUMIF(Tank4!$B$32:$B$49,$J2806,Tank4!$C$32:$C$49)*Impacts!$F$11),0)</f>
        <v>0</v>
      </c>
      <c r="P2806" s="10">
        <f>IF(Tank5!$C$23="No control",(SUMIF(Tank5!$B$32:$B$49,$J2806,Tank5!$C$32:$C$49)*Impacts!$F$12),0)</f>
        <v>0</v>
      </c>
      <c r="Q2806" s="10">
        <f>IFERROR(IF(('Loading-drum,tote'!$C$21)="No control",SUMIF(('Loading-drum,tote'!$B$31:$B$48),$J2806,('Loading-drum,tote'!$D$31:$D$48))*Impacts!$F$13,IF(('Loading-drum,tote'!$C$21)&lt;&gt;"No control",SUMIF(('Loading-drum,tote'!$B$31:$B$48),$J2806,('Loading-drum,tote'!$E$31:$E$48))*Impacts!$F$13,0)),0)</f>
        <v>0</v>
      </c>
      <c r="R2806" s="10">
        <f>IFERROR(IF(('Loading-truck'!$C$21)="No control",SUMIF(('Loading-truck'!$B$31:$B$48),$J2806,('Loading-truck'!$D$31:$D$48))*Impacts!$F$14,IF(('Loading-truck'!$C$21)&lt;&gt;"No control",SUMIF(('Loading-truck'!$B$31:$B$48),$J2806,('Loading-truck'!$E$31:$E$48))*Impacts!$F$14,0)),0)</f>
        <v>0</v>
      </c>
      <c r="S2806" s="10">
        <f>IFERROR(IF(('Loading-rail'!$C$21)="No control",SUMIF(('Loading-rail'!$B$31:$B$48),$J2806,('Loading-rail'!$D$31:$D$48))*Impacts!$F$15,IF(('Loading-rail'!$C$21)&lt;&gt;"No control",SUMIF(('Loading-rail'!$B$31:$B$48),$J2806,('Loading-rail'!$E$31:$E$48))*Impacts!$F$15,0)),0)</f>
        <v>0</v>
      </c>
      <c r="T2806" s="10">
        <f>IF(Flare!$C$7="",0,(SUMIF(Flare!$B$46:$B$185,$J2806,Flare!$E$46:$E$185)*Impacts!$F$16))</f>
        <v>0</v>
      </c>
      <c r="U2806" s="10">
        <f>IF(VCU!$C$9="",0,(SUMIF(VCU!$B$51:$B$193,$J2806,VCU!$E$51:$E$193)*Impacts!$F$17))</f>
        <v>0</v>
      </c>
      <c r="V2806" s="10">
        <f>IF(CAS!$C$7="",0,(SUMIF(CAS!$B$31:$B$167,$J2806,CAS!$E$31:$E$167)*Impacts!$F$18))</f>
        <v>0</v>
      </c>
      <c r="W2806" s="10">
        <f t="shared" si="84"/>
        <v>0</v>
      </c>
      <c r="AK2806" s="10" t="str">
        <f t="array" ref="AK2806">IFERROR(INDEX(SelectedSpecies,SMALL(IF(SelectedSpecies=AK$1,ROW(SelectedSpecies)),ROW(2807:2807)),2),"")</f>
        <v/>
      </c>
      <c r="BE2806" s="10"/>
      <c r="BI2806" s="10"/>
    </row>
    <row r="2807" spans="1:61" ht="21" customHeight="1" x14ac:dyDescent="0.25">
      <c r="A2807" s="10"/>
      <c r="B2807" s="10"/>
      <c r="E2807" s="10"/>
      <c r="G2807" s="10"/>
      <c r="I2807" s="436" t="s">
        <v>1598</v>
      </c>
      <c r="J2807" s="26" t="s">
        <v>1597</v>
      </c>
      <c r="K2807" s="10">
        <v>25.6</v>
      </c>
      <c r="L2807" s="73">
        <f>IF(Tank1!$C$23="No control",(SUMIF(Tank1!$B$32:$B$49,$J2807,Tank1!$C$32:$C$49)*Impacts!$F$8),0)</f>
        <v>0</v>
      </c>
      <c r="M2807" s="10">
        <f>IF(Tank2!$C$23="No control",(SUMIF(Tank2!$B$32:$B$49,$J2807,Tank2!$C$32:$C$49)*Impacts!$F$9),0)</f>
        <v>0</v>
      </c>
      <c r="N2807" s="10">
        <f>IF(Tank3!$C$23="No control",(SUMIF(Tank3!$B$32:$B$49,$J2807,Tank3!$C$32:$C$49)*Impacts!$F$10),0)</f>
        <v>0</v>
      </c>
      <c r="O2807" s="10">
        <f>IF(Tank4!$C$23="No control",(SUMIF(Tank4!$B$32:$B$49,$J2807,Tank4!$C$32:$C$49)*Impacts!$F$11),0)</f>
        <v>0</v>
      </c>
      <c r="P2807" s="10">
        <f>IF(Tank5!$C$23="No control",(SUMIF(Tank5!$B$32:$B$49,$J2807,Tank5!$C$32:$C$49)*Impacts!$F$12),0)</f>
        <v>0</v>
      </c>
      <c r="Q2807" s="10">
        <f>IFERROR(IF(('Loading-drum,tote'!$C$21)="No control",SUMIF(('Loading-drum,tote'!$B$31:$B$48),$J2807,('Loading-drum,tote'!$D$31:$D$48))*Impacts!$F$13,IF(('Loading-drum,tote'!$C$21)&lt;&gt;"No control",SUMIF(('Loading-drum,tote'!$B$31:$B$48),$J2807,('Loading-drum,tote'!$E$31:$E$48))*Impacts!$F$13,0)),0)</f>
        <v>0</v>
      </c>
      <c r="R2807" s="10">
        <f>IFERROR(IF(('Loading-truck'!$C$21)="No control",SUMIF(('Loading-truck'!$B$31:$B$48),$J2807,('Loading-truck'!$D$31:$D$48))*Impacts!$F$14,IF(('Loading-truck'!$C$21)&lt;&gt;"No control",SUMIF(('Loading-truck'!$B$31:$B$48),$J2807,('Loading-truck'!$E$31:$E$48))*Impacts!$F$14,0)),0)</f>
        <v>0</v>
      </c>
      <c r="S2807" s="10">
        <f>IFERROR(IF(('Loading-rail'!$C$21)="No control",SUMIF(('Loading-rail'!$B$31:$B$48),$J2807,('Loading-rail'!$D$31:$D$48))*Impacts!$F$15,IF(('Loading-rail'!$C$21)&lt;&gt;"No control",SUMIF(('Loading-rail'!$B$31:$B$48),$J2807,('Loading-rail'!$E$31:$E$48))*Impacts!$F$15,0)),0)</f>
        <v>0</v>
      </c>
      <c r="T2807" s="10">
        <f>IF(Flare!$C$7="",0,(SUMIF(Flare!$B$46:$B$185,$J2807,Flare!$E$46:$E$185)*Impacts!$F$16))</f>
        <v>0</v>
      </c>
      <c r="U2807" s="10">
        <f>IF(VCU!$C$9="",0,(SUMIF(VCU!$B$51:$B$193,$J2807,VCU!$E$51:$E$193)*Impacts!$F$17))</f>
        <v>0</v>
      </c>
      <c r="V2807" s="10">
        <f>IF(CAS!$C$7="",0,(SUMIF(CAS!$B$31:$B$167,$J2807,CAS!$E$31:$E$167)*Impacts!$F$18))</f>
        <v>0</v>
      </c>
      <c r="W2807" s="10">
        <f t="shared" si="84"/>
        <v>0</v>
      </c>
      <c r="AK2807" s="10" t="str">
        <f t="array" ref="AK2807">IFERROR(INDEX(SelectedSpecies,SMALL(IF(SelectedSpecies=AK$1,ROW(SelectedSpecies)),ROW(2808:2808)),2),"")</f>
        <v/>
      </c>
      <c r="BE2807" s="10"/>
      <c r="BI2807" s="10"/>
    </row>
    <row r="2808" spans="1:61" ht="21" customHeight="1" x14ac:dyDescent="0.25">
      <c r="A2808" s="10"/>
      <c r="B2808" s="10"/>
      <c r="E2808" s="10"/>
      <c r="G2808" s="10"/>
      <c r="I2808" s="436" t="s">
        <v>4113</v>
      </c>
      <c r="J2808" s="26" t="s">
        <v>4112</v>
      </c>
      <c r="K2808" s="10">
        <v>5.4</v>
      </c>
      <c r="L2808" s="73">
        <f>IF(Tank1!$C$23="No control",(SUMIF(Tank1!$B$32:$B$49,$J2808,Tank1!$C$32:$C$49)*Impacts!$F$8),0)</f>
        <v>0</v>
      </c>
      <c r="M2808" s="10">
        <f>IF(Tank2!$C$23="No control",(SUMIF(Tank2!$B$32:$B$49,$J2808,Tank2!$C$32:$C$49)*Impacts!$F$9),0)</f>
        <v>0</v>
      </c>
      <c r="N2808" s="10">
        <f>IF(Tank3!$C$23="No control",(SUMIF(Tank3!$B$32:$B$49,$J2808,Tank3!$C$32:$C$49)*Impacts!$F$10),0)</f>
        <v>0</v>
      </c>
      <c r="O2808" s="10">
        <f>IF(Tank4!$C$23="No control",(SUMIF(Tank4!$B$32:$B$49,$J2808,Tank4!$C$32:$C$49)*Impacts!$F$11),0)</f>
        <v>0</v>
      </c>
      <c r="P2808" s="10">
        <f>IF(Tank5!$C$23="No control",(SUMIF(Tank5!$B$32:$B$49,$J2808,Tank5!$C$32:$C$49)*Impacts!$F$12),0)</f>
        <v>0</v>
      </c>
      <c r="Q2808" s="10">
        <f>IFERROR(IF(('Loading-drum,tote'!$C$21)="No control",SUMIF(('Loading-drum,tote'!$B$31:$B$48),$J2808,('Loading-drum,tote'!$D$31:$D$48))*Impacts!$F$13,IF(('Loading-drum,tote'!$C$21)&lt;&gt;"No control",SUMIF(('Loading-drum,tote'!$B$31:$B$48),$J2808,('Loading-drum,tote'!$E$31:$E$48))*Impacts!$F$13,0)),0)</f>
        <v>0</v>
      </c>
      <c r="R2808" s="10">
        <f>IFERROR(IF(('Loading-truck'!$C$21)="No control",SUMIF(('Loading-truck'!$B$31:$B$48),$J2808,('Loading-truck'!$D$31:$D$48))*Impacts!$F$14,IF(('Loading-truck'!$C$21)&lt;&gt;"No control",SUMIF(('Loading-truck'!$B$31:$B$48),$J2808,('Loading-truck'!$E$31:$E$48))*Impacts!$F$14,0)),0)</f>
        <v>0</v>
      </c>
      <c r="S2808" s="10">
        <f>IFERROR(IF(('Loading-rail'!$C$21)="No control",SUMIF(('Loading-rail'!$B$31:$B$48),$J2808,('Loading-rail'!$D$31:$D$48))*Impacts!$F$15,IF(('Loading-rail'!$C$21)&lt;&gt;"No control",SUMIF(('Loading-rail'!$B$31:$B$48),$J2808,('Loading-rail'!$E$31:$E$48))*Impacts!$F$15,0)),0)</f>
        <v>0</v>
      </c>
      <c r="T2808" s="10">
        <f>IF(Flare!$C$7="",0,(SUMIF(Flare!$B$46:$B$185,$J2808,Flare!$E$46:$E$185)*Impacts!$F$16))</f>
        <v>0</v>
      </c>
      <c r="U2808" s="10">
        <f>IF(VCU!$C$9="",0,(SUMIF(VCU!$B$51:$B$193,$J2808,VCU!$E$51:$E$193)*Impacts!$F$17))</f>
        <v>0</v>
      </c>
      <c r="V2808" s="10">
        <f>IF(CAS!$C$7="",0,(SUMIF(CAS!$B$31:$B$167,$J2808,CAS!$E$31:$E$167)*Impacts!$F$18))</f>
        <v>0</v>
      </c>
      <c r="W2808" s="10">
        <f t="shared" si="84"/>
        <v>0</v>
      </c>
      <c r="AK2808" s="10" t="str">
        <f t="array" ref="AK2808">IFERROR(INDEX(SelectedSpecies,SMALL(IF(SelectedSpecies=AK$1,ROW(SelectedSpecies)),ROW(2809:2809)),2),"")</f>
        <v/>
      </c>
      <c r="BE2808" s="10"/>
      <c r="BI2808" s="10"/>
    </row>
    <row r="2809" spans="1:61" ht="21" customHeight="1" x14ac:dyDescent="0.25">
      <c r="A2809" s="10"/>
      <c r="B2809" s="10"/>
      <c r="E2809" s="10"/>
      <c r="G2809" s="10"/>
      <c r="I2809" s="436" t="s">
        <v>1600</v>
      </c>
      <c r="J2809" s="26" t="s">
        <v>1599</v>
      </c>
      <c r="K2809" s="10">
        <v>25.6</v>
      </c>
      <c r="L2809" s="73">
        <f>IF(Tank1!$C$23="No control",(SUMIF(Tank1!$B$32:$B$49,$J2809,Tank1!$C$32:$C$49)*Impacts!$F$8),0)</f>
        <v>0</v>
      </c>
      <c r="M2809" s="10">
        <f>IF(Tank2!$C$23="No control",(SUMIF(Tank2!$B$32:$B$49,$J2809,Tank2!$C$32:$C$49)*Impacts!$F$9),0)</f>
        <v>0</v>
      </c>
      <c r="N2809" s="10">
        <f>IF(Tank3!$C$23="No control",(SUMIF(Tank3!$B$32:$B$49,$J2809,Tank3!$C$32:$C$49)*Impacts!$F$10),0)</f>
        <v>0</v>
      </c>
      <c r="O2809" s="10">
        <f>IF(Tank4!$C$23="No control",(SUMIF(Tank4!$B$32:$B$49,$J2809,Tank4!$C$32:$C$49)*Impacts!$F$11),0)</f>
        <v>0</v>
      </c>
      <c r="P2809" s="10">
        <f>IF(Tank5!$C$23="No control",(SUMIF(Tank5!$B$32:$B$49,$J2809,Tank5!$C$32:$C$49)*Impacts!$F$12),0)</f>
        <v>0</v>
      </c>
      <c r="Q2809" s="10">
        <f>IFERROR(IF(('Loading-drum,tote'!$C$21)="No control",SUMIF(('Loading-drum,tote'!$B$31:$B$48),$J2809,('Loading-drum,tote'!$D$31:$D$48))*Impacts!$F$13,IF(('Loading-drum,tote'!$C$21)&lt;&gt;"No control",SUMIF(('Loading-drum,tote'!$B$31:$B$48),$J2809,('Loading-drum,tote'!$E$31:$E$48))*Impacts!$F$13,0)),0)</f>
        <v>0</v>
      </c>
      <c r="R2809" s="10">
        <f>IFERROR(IF(('Loading-truck'!$C$21)="No control",SUMIF(('Loading-truck'!$B$31:$B$48),$J2809,('Loading-truck'!$D$31:$D$48))*Impacts!$F$14,IF(('Loading-truck'!$C$21)&lt;&gt;"No control",SUMIF(('Loading-truck'!$B$31:$B$48),$J2809,('Loading-truck'!$E$31:$E$48))*Impacts!$F$14,0)),0)</f>
        <v>0</v>
      </c>
      <c r="S2809" s="10">
        <f>IFERROR(IF(('Loading-rail'!$C$21)="No control",SUMIF(('Loading-rail'!$B$31:$B$48),$J2809,('Loading-rail'!$D$31:$D$48))*Impacts!$F$15,IF(('Loading-rail'!$C$21)&lt;&gt;"No control",SUMIF(('Loading-rail'!$B$31:$B$48),$J2809,('Loading-rail'!$E$31:$E$48))*Impacts!$F$15,0)),0)</f>
        <v>0</v>
      </c>
      <c r="T2809" s="10">
        <f>IF(Flare!$C$7="",0,(SUMIF(Flare!$B$46:$B$185,$J2809,Flare!$E$46:$E$185)*Impacts!$F$16))</f>
        <v>0</v>
      </c>
      <c r="U2809" s="10">
        <f>IF(VCU!$C$9="",0,(SUMIF(VCU!$B$51:$B$193,$J2809,VCU!$E$51:$E$193)*Impacts!$F$17))</f>
        <v>0</v>
      </c>
      <c r="V2809" s="10">
        <f>IF(CAS!$C$7="",0,(SUMIF(CAS!$B$31:$B$167,$J2809,CAS!$E$31:$E$167)*Impacts!$F$18))</f>
        <v>0</v>
      </c>
      <c r="W2809" s="10">
        <f t="shared" si="84"/>
        <v>0</v>
      </c>
      <c r="AK2809" s="10" t="str">
        <f t="array" ref="AK2809">IFERROR(INDEX(SelectedSpecies,SMALL(IF(SelectedSpecies=AK$1,ROW(SelectedSpecies)),ROW(2810:2810)),2),"")</f>
        <v/>
      </c>
      <c r="BE2809" s="10"/>
      <c r="BI2809" s="10"/>
    </row>
    <row r="2810" spans="1:61" ht="21" customHeight="1" x14ac:dyDescent="0.25">
      <c r="A2810" s="10"/>
      <c r="B2810" s="10"/>
      <c r="E2810" s="10"/>
      <c r="G2810" s="10"/>
      <c r="I2810" s="436" t="s">
        <v>2267</v>
      </c>
      <c r="J2810" s="26" t="s">
        <v>2266</v>
      </c>
      <c r="K2810" s="10">
        <v>12.5</v>
      </c>
      <c r="L2810" s="73">
        <f>IF(Tank1!$C$23="No control",(SUMIF(Tank1!$B$32:$B$49,$J2810,Tank1!$C$32:$C$49)*Impacts!$F$8),0)</f>
        <v>0</v>
      </c>
      <c r="M2810" s="10">
        <f>IF(Tank2!$C$23="No control",(SUMIF(Tank2!$B$32:$B$49,$J2810,Tank2!$C$32:$C$49)*Impacts!$F$9),0)</f>
        <v>0</v>
      </c>
      <c r="N2810" s="10">
        <f>IF(Tank3!$C$23="No control",(SUMIF(Tank3!$B$32:$B$49,$J2810,Tank3!$C$32:$C$49)*Impacts!$F$10),0)</f>
        <v>0</v>
      </c>
      <c r="O2810" s="10">
        <f>IF(Tank4!$C$23="No control",(SUMIF(Tank4!$B$32:$B$49,$J2810,Tank4!$C$32:$C$49)*Impacts!$F$11),0)</f>
        <v>0</v>
      </c>
      <c r="P2810" s="10">
        <f>IF(Tank5!$C$23="No control",(SUMIF(Tank5!$B$32:$B$49,$J2810,Tank5!$C$32:$C$49)*Impacts!$F$12),0)</f>
        <v>0</v>
      </c>
      <c r="Q2810" s="10">
        <f>IFERROR(IF(('Loading-drum,tote'!$C$21)="No control",SUMIF(('Loading-drum,tote'!$B$31:$B$48),$J2810,('Loading-drum,tote'!$D$31:$D$48))*Impacts!$F$13,IF(('Loading-drum,tote'!$C$21)&lt;&gt;"No control",SUMIF(('Loading-drum,tote'!$B$31:$B$48),$J2810,('Loading-drum,tote'!$E$31:$E$48))*Impacts!$F$13,0)),0)</f>
        <v>0</v>
      </c>
      <c r="R2810" s="10">
        <f>IFERROR(IF(('Loading-truck'!$C$21)="No control",SUMIF(('Loading-truck'!$B$31:$B$48),$J2810,('Loading-truck'!$D$31:$D$48))*Impacts!$F$14,IF(('Loading-truck'!$C$21)&lt;&gt;"No control",SUMIF(('Loading-truck'!$B$31:$B$48),$J2810,('Loading-truck'!$E$31:$E$48))*Impacts!$F$14,0)),0)</f>
        <v>0</v>
      </c>
      <c r="S2810" s="10">
        <f>IFERROR(IF(('Loading-rail'!$C$21)="No control",SUMIF(('Loading-rail'!$B$31:$B$48),$J2810,('Loading-rail'!$D$31:$D$48))*Impacts!$F$15,IF(('Loading-rail'!$C$21)&lt;&gt;"No control",SUMIF(('Loading-rail'!$B$31:$B$48),$J2810,('Loading-rail'!$E$31:$E$48))*Impacts!$F$15,0)),0)</f>
        <v>0</v>
      </c>
      <c r="T2810" s="10">
        <f>IF(Flare!$C$7="",0,(SUMIF(Flare!$B$46:$B$185,$J2810,Flare!$E$46:$E$185)*Impacts!$F$16))</f>
        <v>0</v>
      </c>
      <c r="U2810" s="10">
        <f>IF(VCU!$C$9="",0,(SUMIF(VCU!$B$51:$B$193,$J2810,VCU!$E$51:$E$193)*Impacts!$F$17))</f>
        <v>0</v>
      </c>
      <c r="V2810" s="10">
        <f>IF(CAS!$C$7="",0,(SUMIF(CAS!$B$31:$B$167,$J2810,CAS!$E$31:$E$167)*Impacts!$F$18))</f>
        <v>0</v>
      </c>
      <c r="W2810" s="10">
        <f t="shared" si="84"/>
        <v>0</v>
      </c>
      <c r="AK2810" s="10" t="str">
        <f t="array" ref="AK2810">IFERROR(INDEX(SelectedSpecies,SMALL(IF(SelectedSpecies=AK$1,ROW(SelectedSpecies)),ROW(2811:2811)),2),"")</f>
        <v/>
      </c>
      <c r="BE2810" s="10"/>
      <c r="BI2810" s="10"/>
    </row>
    <row r="2811" spans="1:61" ht="21" customHeight="1" x14ac:dyDescent="0.25">
      <c r="A2811" s="10"/>
      <c r="B2811" s="10"/>
      <c r="E2811" s="10"/>
      <c r="G2811" s="10"/>
      <c r="I2811" s="436" t="s">
        <v>722</v>
      </c>
      <c r="J2811" s="26" t="s">
        <v>721</v>
      </c>
      <c r="K2811" s="10">
        <v>57</v>
      </c>
      <c r="L2811" s="73">
        <f>IF(Tank1!$C$23="No control",(SUMIF(Tank1!$B$32:$B$49,$J2811,Tank1!$C$32:$C$49)*Impacts!$F$8),0)</f>
        <v>0</v>
      </c>
      <c r="M2811" s="10">
        <f>IF(Tank2!$C$23="No control",(SUMIF(Tank2!$B$32:$B$49,$J2811,Tank2!$C$32:$C$49)*Impacts!$F$9),0)</f>
        <v>0</v>
      </c>
      <c r="N2811" s="10">
        <f>IF(Tank3!$C$23="No control",(SUMIF(Tank3!$B$32:$B$49,$J2811,Tank3!$C$32:$C$49)*Impacts!$F$10),0)</f>
        <v>0</v>
      </c>
      <c r="O2811" s="10">
        <f>IF(Tank4!$C$23="No control",(SUMIF(Tank4!$B$32:$B$49,$J2811,Tank4!$C$32:$C$49)*Impacts!$F$11),0)</f>
        <v>0</v>
      </c>
      <c r="P2811" s="10">
        <f>IF(Tank5!$C$23="No control",(SUMIF(Tank5!$B$32:$B$49,$J2811,Tank5!$C$32:$C$49)*Impacts!$F$12),0)</f>
        <v>0</v>
      </c>
      <c r="Q2811" s="10">
        <f>IFERROR(IF(('Loading-drum,tote'!$C$21)="No control",SUMIF(('Loading-drum,tote'!$B$31:$B$48),$J2811,('Loading-drum,tote'!$D$31:$D$48))*Impacts!$F$13,IF(('Loading-drum,tote'!$C$21)&lt;&gt;"No control",SUMIF(('Loading-drum,tote'!$B$31:$B$48),$J2811,('Loading-drum,tote'!$E$31:$E$48))*Impacts!$F$13,0)),0)</f>
        <v>0</v>
      </c>
      <c r="R2811" s="10">
        <f>IFERROR(IF(('Loading-truck'!$C$21)="No control",SUMIF(('Loading-truck'!$B$31:$B$48),$J2811,('Loading-truck'!$D$31:$D$48))*Impacts!$F$14,IF(('Loading-truck'!$C$21)&lt;&gt;"No control",SUMIF(('Loading-truck'!$B$31:$B$48),$J2811,('Loading-truck'!$E$31:$E$48))*Impacts!$F$14,0)),0)</f>
        <v>0</v>
      </c>
      <c r="S2811" s="10">
        <f>IFERROR(IF(('Loading-rail'!$C$21)="No control",SUMIF(('Loading-rail'!$B$31:$B$48),$J2811,('Loading-rail'!$D$31:$D$48))*Impacts!$F$15,IF(('Loading-rail'!$C$21)&lt;&gt;"No control",SUMIF(('Loading-rail'!$B$31:$B$48),$J2811,('Loading-rail'!$E$31:$E$48))*Impacts!$F$15,0)),0)</f>
        <v>0</v>
      </c>
      <c r="T2811" s="10">
        <f>IF(Flare!$C$7="",0,(SUMIF(Flare!$B$46:$B$185,$J2811,Flare!$E$46:$E$185)*Impacts!$F$16))</f>
        <v>0</v>
      </c>
      <c r="U2811" s="10">
        <f>IF(VCU!$C$9="",0,(SUMIF(VCU!$B$51:$B$193,$J2811,VCU!$E$51:$E$193)*Impacts!$F$17))</f>
        <v>0</v>
      </c>
      <c r="V2811" s="10">
        <f>IF(CAS!$C$7="",0,(SUMIF(CAS!$B$31:$B$167,$J2811,CAS!$E$31:$E$167)*Impacts!$F$18))</f>
        <v>0</v>
      </c>
      <c r="W2811" s="10">
        <f t="shared" si="84"/>
        <v>0</v>
      </c>
      <c r="AK2811" s="10" t="str">
        <f t="array" ref="AK2811">IFERROR(INDEX(SelectedSpecies,SMALL(IF(SelectedSpecies=AK$1,ROW(SelectedSpecies)),ROW(2812:2812)),2),"")</f>
        <v/>
      </c>
      <c r="BE2811" s="10"/>
      <c r="BI2811" s="10"/>
    </row>
    <row r="2812" spans="1:61" ht="21" customHeight="1" x14ac:dyDescent="0.25">
      <c r="A2812" s="10"/>
      <c r="B2812" s="10"/>
      <c r="E2812" s="10"/>
      <c r="G2812" s="10"/>
      <c r="I2812" s="436" t="s">
        <v>3051</v>
      </c>
      <c r="J2812" s="26" t="s">
        <v>3050</v>
      </c>
      <c r="K2812" s="10">
        <v>10</v>
      </c>
      <c r="L2812" s="73">
        <f>IF(Tank1!$C$23="No control",(SUMIF(Tank1!$B$32:$B$49,$J2812,Tank1!$C$32:$C$49)*Impacts!$F$8),0)</f>
        <v>0</v>
      </c>
      <c r="M2812" s="10">
        <f>IF(Tank2!$C$23="No control",(SUMIF(Tank2!$B$32:$B$49,$J2812,Tank2!$C$32:$C$49)*Impacts!$F$9),0)</f>
        <v>0</v>
      </c>
      <c r="N2812" s="10">
        <f>IF(Tank3!$C$23="No control",(SUMIF(Tank3!$B$32:$B$49,$J2812,Tank3!$C$32:$C$49)*Impacts!$F$10),0)</f>
        <v>0</v>
      </c>
      <c r="O2812" s="10">
        <f>IF(Tank4!$C$23="No control",(SUMIF(Tank4!$B$32:$B$49,$J2812,Tank4!$C$32:$C$49)*Impacts!$F$11),0)</f>
        <v>0</v>
      </c>
      <c r="P2812" s="10">
        <f>IF(Tank5!$C$23="No control",(SUMIF(Tank5!$B$32:$B$49,$J2812,Tank5!$C$32:$C$49)*Impacts!$F$12),0)</f>
        <v>0</v>
      </c>
      <c r="Q2812" s="10">
        <f>IFERROR(IF(('Loading-drum,tote'!$C$21)="No control",SUMIF(('Loading-drum,tote'!$B$31:$B$48),$J2812,('Loading-drum,tote'!$D$31:$D$48))*Impacts!$F$13,IF(('Loading-drum,tote'!$C$21)&lt;&gt;"No control",SUMIF(('Loading-drum,tote'!$B$31:$B$48),$J2812,('Loading-drum,tote'!$E$31:$E$48))*Impacts!$F$13,0)),0)</f>
        <v>0</v>
      </c>
      <c r="R2812" s="10">
        <f>IFERROR(IF(('Loading-truck'!$C$21)="No control",SUMIF(('Loading-truck'!$B$31:$B$48),$J2812,('Loading-truck'!$D$31:$D$48))*Impacts!$F$14,IF(('Loading-truck'!$C$21)&lt;&gt;"No control",SUMIF(('Loading-truck'!$B$31:$B$48),$J2812,('Loading-truck'!$E$31:$E$48))*Impacts!$F$14,0)),0)</f>
        <v>0</v>
      </c>
      <c r="S2812" s="10">
        <f>IFERROR(IF(('Loading-rail'!$C$21)="No control",SUMIF(('Loading-rail'!$B$31:$B$48),$J2812,('Loading-rail'!$D$31:$D$48))*Impacts!$F$15,IF(('Loading-rail'!$C$21)&lt;&gt;"No control",SUMIF(('Loading-rail'!$B$31:$B$48),$J2812,('Loading-rail'!$E$31:$E$48))*Impacts!$F$15,0)),0)</f>
        <v>0</v>
      </c>
      <c r="T2812" s="10">
        <f>IF(Flare!$C$7="",0,(SUMIF(Flare!$B$46:$B$185,$J2812,Flare!$E$46:$E$185)*Impacts!$F$16))</f>
        <v>0</v>
      </c>
      <c r="U2812" s="10">
        <f>IF(VCU!$C$9="",0,(SUMIF(VCU!$B$51:$B$193,$J2812,VCU!$E$51:$E$193)*Impacts!$F$17))</f>
        <v>0</v>
      </c>
      <c r="V2812" s="10">
        <f>IF(CAS!$C$7="",0,(SUMIF(CAS!$B$31:$B$167,$J2812,CAS!$E$31:$E$167)*Impacts!$F$18))</f>
        <v>0</v>
      </c>
      <c r="W2812" s="10">
        <f t="shared" si="84"/>
        <v>0</v>
      </c>
      <c r="AK2812" s="10" t="str">
        <f t="array" ref="AK2812">IFERROR(INDEX(SelectedSpecies,SMALL(IF(SelectedSpecies=AK$1,ROW(SelectedSpecies)),ROW(2813:2813)),2),"")</f>
        <v/>
      </c>
      <c r="BE2812" s="10"/>
      <c r="BI2812" s="10"/>
    </row>
    <row r="2813" spans="1:61" ht="21" customHeight="1" x14ac:dyDescent="0.25">
      <c r="A2813" s="10"/>
      <c r="B2813" s="10"/>
      <c r="E2813" s="10"/>
      <c r="G2813" s="10"/>
      <c r="I2813" s="436" t="s">
        <v>3053</v>
      </c>
      <c r="J2813" s="26" t="s">
        <v>3052</v>
      </c>
      <c r="K2813" s="10">
        <v>10</v>
      </c>
      <c r="L2813" s="73">
        <f>IF(Tank1!$C$23="No control",(SUMIF(Tank1!$B$32:$B$49,$J2813,Tank1!$C$32:$C$49)*Impacts!$F$8),0)</f>
        <v>0</v>
      </c>
      <c r="M2813" s="10">
        <f>IF(Tank2!$C$23="No control",(SUMIF(Tank2!$B$32:$B$49,$J2813,Tank2!$C$32:$C$49)*Impacts!$F$9),0)</f>
        <v>0</v>
      </c>
      <c r="N2813" s="10">
        <f>IF(Tank3!$C$23="No control",(SUMIF(Tank3!$B$32:$B$49,$J2813,Tank3!$C$32:$C$49)*Impacts!$F$10),0)</f>
        <v>0</v>
      </c>
      <c r="O2813" s="10">
        <f>IF(Tank4!$C$23="No control",(SUMIF(Tank4!$B$32:$B$49,$J2813,Tank4!$C$32:$C$49)*Impacts!$F$11),0)</f>
        <v>0</v>
      </c>
      <c r="P2813" s="10">
        <f>IF(Tank5!$C$23="No control",(SUMIF(Tank5!$B$32:$B$49,$J2813,Tank5!$C$32:$C$49)*Impacts!$F$12),0)</f>
        <v>0</v>
      </c>
      <c r="Q2813" s="10">
        <f>IFERROR(IF(('Loading-drum,tote'!$C$21)="No control",SUMIF(('Loading-drum,tote'!$B$31:$B$48),$J2813,('Loading-drum,tote'!$D$31:$D$48))*Impacts!$F$13,IF(('Loading-drum,tote'!$C$21)&lt;&gt;"No control",SUMIF(('Loading-drum,tote'!$B$31:$B$48),$J2813,('Loading-drum,tote'!$E$31:$E$48))*Impacts!$F$13,0)),0)</f>
        <v>0</v>
      </c>
      <c r="R2813" s="10">
        <f>IFERROR(IF(('Loading-truck'!$C$21)="No control",SUMIF(('Loading-truck'!$B$31:$B$48),$J2813,('Loading-truck'!$D$31:$D$48))*Impacts!$F$14,IF(('Loading-truck'!$C$21)&lt;&gt;"No control",SUMIF(('Loading-truck'!$B$31:$B$48),$J2813,('Loading-truck'!$E$31:$E$48))*Impacts!$F$14,0)),0)</f>
        <v>0</v>
      </c>
      <c r="S2813" s="10">
        <f>IFERROR(IF(('Loading-rail'!$C$21)="No control",SUMIF(('Loading-rail'!$B$31:$B$48),$J2813,('Loading-rail'!$D$31:$D$48))*Impacts!$F$15,IF(('Loading-rail'!$C$21)&lt;&gt;"No control",SUMIF(('Loading-rail'!$B$31:$B$48),$J2813,('Loading-rail'!$E$31:$E$48))*Impacts!$F$15,0)),0)</f>
        <v>0</v>
      </c>
      <c r="T2813" s="10">
        <f>IF(Flare!$C$7="",0,(SUMIF(Flare!$B$46:$B$185,$J2813,Flare!$E$46:$E$185)*Impacts!$F$16))</f>
        <v>0</v>
      </c>
      <c r="U2813" s="10">
        <f>IF(VCU!$C$9="",0,(SUMIF(VCU!$B$51:$B$193,$J2813,VCU!$E$51:$E$193)*Impacts!$F$17))</f>
        <v>0</v>
      </c>
      <c r="V2813" s="10">
        <f>IF(CAS!$C$7="",0,(SUMIF(CAS!$B$31:$B$167,$J2813,CAS!$E$31:$E$167)*Impacts!$F$18))</f>
        <v>0</v>
      </c>
      <c r="W2813" s="10">
        <f t="shared" si="84"/>
        <v>0</v>
      </c>
      <c r="AK2813" s="10" t="str">
        <f t="array" ref="AK2813">IFERROR(INDEX(SelectedSpecies,SMALL(IF(SelectedSpecies=AK$1,ROW(SelectedSpecies)),ROW(2814:2814)),2),"")</f>
        <v/>
      </c>
      <c r="BE2813" s="10"/>
      <c r="BI2813" s="10"/>
    </row>
    <row r="2814" spans="1:61" ht="21" customHeight="1" x14ac:dyDescent="0.25">
      <c r="A2814" s="10"/>
      <c r="B2814" s="10"/>
      <c r="E2814" s="10"/>
      <c r="G2814" s="10"/>
      <c r="I2814" s="436" t="s">
        <v>3055</v>
      </c>
      <c r="J2814" s="26" t="s">
        <v>3054</v>
      </c>
      <c r="K2814" s="10">
        <v>10</v>
      </c>
      <c r="L2814" s="73">
        <f>IF(Tank1!$C$23="No control",(SUMIF(Tank1!$B$32:$B$49,$J2814,Tank1!$C$32:$C$49)*Impacts!$F$8),0)</f>
        <v>0</v>
      </c>
      <c r="M2814" s="10">
        <f>IF(Tank2!$C$23="No control",(SUMIF(Tank2!$B$32:$B$49,$J2814,Tank2!$C$32:$C$49)*Impacts!$F$9),0)</f>
        <v>0</v>
      </c>
      <c r="N2814" s="10">
        <f>IF(Tank3!$C$23="No control",(SUMIF(Tank3!$B$32:$B$49,$J2814,Tank3!$C$32:$C$49)*Impacts!$F$10),0)</f>
        <v>0</v>
      </c>
      <c r="O2814" s="10">
        <f>IF(Tank4!$C$23="No control",(SUMIF(Tank4!$B$32:$B$49,$J2814,Tank4!$C$32:$C$49)*Impacts!$F$11),0)</f>
        <v>0</v>
      </c>
      <c r="P2814" s="10">
        <f>IF(Tank5!$C$23="No control",(SUMIF(Tank5!$B$32:$B$49,$J2814,Tank5!$C$32:$C$49)*Impacts!$F$12),0)</f>
        <v>0</v>
      </c>
      <c r="Q2814" s="10">
        <f>IFERROR(IF(('Loading-drum,tote'!$C$21)="No control",SUMIF(('Loading-drum,tote'!$B$31:$B$48),$J2814,('Loading-drum,tote'!$D$31:$D$48))*Impacts!$F$13,IF(('Loading-drum,tote'!$C$21)&lt;&gt;"No control",SUMIF(('Loading-drum,tote'!$B$31:$B$48),$J2814,('Loading-drum,tote'!$E$31:$E$48))*Impacts!$F$13,0)),0)</f>
        <v>0</v>
      </c>
      <c r="R2814" s="10">
        <f>IFERROR(IF(('Loading-truck'!$C$21)="No control",SUMIF(('Loading-truck'!$B$31:$B$48),$J2814,('Loading-truck'!$D$31:$D$48))*Impacts!$F$14,IF(('Loading-truck'!$C$21)&lt;&gt;"No control",SUMIF(('Loading-truck'!$B$31:$B$48),$J2814,('Loading-truck'!$E$31:$E$48))*Impacts!$F$14,0)),0)</f>
        <v>0</v>
      </c>
      <c r="S2814" s="10">
        <f>IFERROR(IF(('Loading-rail'!$C$21)="No control",SUMIF(('Loading-rail'!$B$31:$B$48),$J2814,('Loading-rail'!$D$31:$D$48))*Impacts!$F$15,IF(('Loading-rail'!$C$21)&lt;&gt;"No control",SUMIF(('Loading-rail'!$B$31:$B$48),$J2814,('Loading-rail'!$E$31:$E$48))*Impacts!$F$15,0)),0)</f>
        <v>0</v>
      </c>
      <c r="T2814" s="10">
        <f>IF(Flare!$C$7="",0,(SUMIF(Flare!$B$46:$B$185,$J2814,Flare!$E$46:$E$185)*Impacts!$F$16))</f>
        <v>0</v>
      </c>
      <c r="U2814" s="10">
        <f>IF(VCU!$C$9="",0,(SUMIF(VCU!$B$51:$B$193,$J2814,VCU!$E$51:$E$193)*Impacts!$F$17))</f>
        <v>0</v>
      </c>
      <c r="V2814" s="10">
        <f>IF(CAS!$C$7="",0,(SUMIF(CAS!$B$31:$B$167,$J2814,CAS!$E$31:$E$167)*Impacts!$F$18))</f>
        <v>0</v>
      </c>
      <c r="W2814" s="10">
        <f t="shared" si="84"/>
        <v>0</v>
      </c>
      <c r="AK2814" s="10" t="str">
        <f t="array" ref="AK2814">IFERROR(INDEX(SelectedSpecies,SMALL(IF(SelectedSpecies=AK$1,ROW(SelectedSpecies)),ROW(2815:2815)),2),"")</f>
        <v/>
      </c>
      <c r="BE2814" s="10"/>
      <c r="BI2814" s="10"/>
    </row>
    <row r="2815" spans="1:61" ht="21" customHeight="1" x14ac:dyDescent="0.25">
      <c r="A2815" s="10"/>
      <c r="B2815" s="10"/>
      <c r="E2815" s="10"/>
      <c r="G2815" s="10"/>
      <c r="I2815" s="436" t="s">
        <v>3057</v>
      </c>
      <c r="J2815" s="26" t="s">
        <v>3056</v>
      </c>
      <c r="K2815" s="10">
        <v>10</v>
      </c>
      <c r="L2815" s="73">
        <f>IF(Tank1!$C$23="No control",(SUMIF(Tank1!$B$32:$B$49,$J2815,Tank1!$C$32:$C$49)*Impacts!$F$8),0)</f>
        <v>0</v>
      </c>
      <c r="M2815" s="10">
        <f>IF(Tank2!$C$23="No control",(SUMIF(Tank2!$B$32:$B$49,$J2815,Tank2!$C$32:$C$49)*Impacts!$F$9),0)</f>
        <v>0</v>
      </c>
      <c r="N2815" s="10">
        <f>IF(Tank3!$C$23="No control",(SUMIF(Tank3!$B$32:$B$49,$J2815,Tank3!$C$32:$C$49)*Impacts!$F$10),0)</f>
        <v>0</v>
      </c>
      <c r="O2815" s="10">
        <f>IF(Tank4!$C$23="No control",(SUMIF(Tank4!$B$32:$B$49,$J2815,Tank4!$C$32:$C$49)*Impacts!$F$11),0)</f>
        <v>0</v>
      </c>
      <c r="P2815" s="10">
        <f>IF(Tank5!$C$23="No control",(SUMIF(Tank5!$B$32:$B$49,$J2815,Tank5!$C$32:$C$49)*Impacts!$F$12),0)</f>
        <v>0</v>
      </c>
      <c r="Q2815" s="10">
        <f>IFERROR(IF(('Loading-drum,tote'!$C$21)="No control",SUMIF(('Loading-drum,tote'!$B$31:$B$48),$J2815,('Loading-drum,tote'!$D$31:$D$48))*Impacts!$F$13,IF(('Loading-drum,tote'!$C$21)&lt;&gt;"No control",SUMIF(('Loading-drum,tote'!$B$31:$B$48),$J2815,('Loading-drum,tote'!$E$31:$E$48))*Impacts!$F$13,0)),0)</f>
        <v>0</v>
      </c>
      <c r="R2815" s="10">
        <f>IFERROR(IF(('Loading-truck'!$C$21)="No control",SUMIF(('Loading-truck'!$B$31:$B$48),$J2815,('Loading-truck'!$D$31:$D$48))*Impacts!$F$14,IF(('Loading-truck'!$C$21)&lt;&gt;"No control",SUMIF(('Loading-truck'!$B$31:$B$48),$J2815,('Loading-truck'!$E$31:$E$48))*Impacts!$F$14,0)),0)</f>
        <v>0</v>
      </c>
      <c r="S2815" s="10">
        <f>IFERROR(IF(('Loading-rail'!$C$21)="No control",SUMIF(('Loading-rail'!$B$31:$B$48),$J2815,('Loading-rail'!$D$31:$D$48))*Impacts!$F$15,IF(('Loading-rail'!$C$21)&lt;&gt;"No control",SUMIF(('Loading-rail'!$B$31:$B$48),$J2815,('Loading-rail'!$E$31:$E$48))*Impacts!$F$15,0)),0)</f>
        <v>0</v>
      </c>
      <c r="T2815" s="10">
        <f>IF(Flare!$C$7="",0,(SUMIF(Flare!$B$46:$B$185,$J2815,Flare!$E$46:$E$185)*Impacts!$F$16))</f>
        <v>0</v>
      </c>
      <c r="U2815" s="10">
        <f>IF(VCU!$C$9="",0,(SUMIF(VCU!$B$51:$B$193,$J2815,VCU!$E$51:$E$193)*Impacts!$F$17))</f>
        <v>0</v>
      </c>
      <c r="V2815" s="10">
        <f>IF(CAS!$C$7="",0,(SUMIF(CAS!$B$31:$B$167,$J2815,CAS!$E$31:$E$167)*Impacts!$F$18))</f>
        <v>0</v>
      </c>
      <c r="W2815" s="10">
        <f t="shared" si="84"/>
        <v>0</v>
      </c>
      <c r="AK2815" s="10" t="str">
        <f t="array" ref="AK2815">IFERROR(INDEX(SelectedSpecies,SMALL(IF(SelectedSpecies=AK$1,ROW(SelectedSpecies)),ROW(2816:2816)),2),"")</f>
        <v/>
      </c>
      <c r="BE2815" s="10"/>
      <c r="BI2815" s="10"/>
    </row>
    <row r="2816" spans="1:61" ht="21" customHeight="1" x14ac:dyDescent="0.25">
      <c r="A2816" s="10"/>
      <c r="B2816" s="10"/>
      <c r="E2816" s="10"/>
      <c r="G2816" s="10"/>
      <c r="I2816" s="436" t="s">
        <v>7960</v>
      </c>
      <c r="J2816" s="26" t="s">
        <v>7959</v>
      </c>
      <c r="K2816" s="10">
        <v>4.2000000000000003E-2</v>
      </c>
      <c r="L2816" s="73">
        <f>IF(Tank1!$C$23="No control",(SUMIF(Tank1!$B$32:$B$49,$J2816,Tank1!$C$32:$C$49)*Impacts!$F$8),0)</f>
        <v>0</v>
      </c>
      <c r="M2816" s="10">
        <f>IF(Tank2!$C$23="No control",(SUMIF(Tank2!$B$32:$B$49,$J2816,Tank2!$C$32:$C$49)*Impacts!$F$9),0)</f>
        <v>0</v>
      </c>
      <c r="N2816" s="10">
        <f>IF(Tank3!$C$23="No control",(SUMIF(Tank3!$B$32:$B$49,$J2816,Tank3!$C$32:$C$49)*Impacts!$F$10),0)</f>
        <v>0</v>
      </c>
      <c r="O2816" s="10">
        <f>IF(Tank4!$C$23="No control",(SUMIF(Tank4!$B$32:$B$49,$J2816,Tank4!$C$32:$C$49)*Impacts!$F$11),0)</f>
        <v>0</v>
      </c>
      <c r="P2816" s="10">
        <f>IF(Tank5!$C$23="No control",(SUMIF(Tank5!$B$32:$B$49,$J2816,Tank5!$C$32:$C$49)*Impacts!$F$12),0)</f>
        <v>0</v>
      </c>
      <c r="Q2816" s="10">
        <f>IFERROR(IF(('Loading-drum,tote'!$C$21)="No control",SUMIF(('Loading-drum,tote'!$B$31:$B$48),$J2816,('Loading-drum,tote'!$D$31:$D$48))*Impacts!$F$13,IF(('Loading-drum,tote'!$C$21)&lt;&gt;"No control",SUMIF(('Loading-drum,tote'!$B$31:$B$48),$J2816,('Loading-drum,tote'!$E$31:$E$48))*Impacts!$F$13,0)),0)</f>
        <v>0</v>
      </c>
      <c r="R2816" s="10">
        <f>IFERROR(IF(('Loading-truck'!$C$21)="No control",SUMIF(('Loading-truck'!$B$31:$B$48),$J2816,('Loading-truck'!$D$31:$D$48))*Impacts!$F$14,IF(('Loading-truck'!$C$21)&lt;&gt;"No control",SUMIF(('Loading-truck'!$B$31:$B$48),$J2816,('Loading-truck'!$E$31:$E$48))*Impacts!$F$14,0)),0)</f>
        <v>0</v>
      </c>
      <c r="S2816" s="10">
        <f>IFERROR(IF(('Loading-rail'!$C$21)="No control",SUMIF(('Loading-rail'!$B$31:$B$48),$J2816,('Loading-rail'!$D$31:$D$48))*Impacts!$F$15,IF(('Loading-rail'!$C$21)&lt;&gt;"No control",SUMIF(('Loading-rail'!$B$31:$B$48),$J2816,('Loading-rail'!$E$31:$E$48))*Impacts!$F$15,0)),0)</f>
        <v>0</v>
      </c>
      <c r="T2816" s="10">
        <f>IF(Flare!$C$7="",0,(SUMIF(Flare!$B$46:$B$185,$J2816,Flare!$E$46:$E$185)*Impacts!$F$16))</f>
        <v>0</v>
      </c>
      <c r="U2816" s="10">
        <f>IF(VCU!$C$9="",0,(SUMIF(VCU!$B$51:$B$193,$J2816,VCU!$E$51:$E$193)*Impacts!$F$17))</f>
        <v>0</v>
      </c>
      <c r="V2816" s="10">
        <f>IF(CAS!$C$7="",0,(SUMIF(CAS!$B$31:$B$167,$J2816,CAS!$E$31:$E$167)*Impacts!$F$18))</f>
        <v>0</v>
      </c>
      <c r="W2816" s="10">
        <f t="shared" si="84"/>
        <v>0</v>
      </c>
      <c r="AK2816" s="10" t="str">
        <f t="array" ref="AK2816">IFERROR(INDEX(SelectedSpecies,SMALL(IF(SelectedSpecies=AK$1,ROW(SelectedSpecies)),ROW(2817:2817)),2),"")</f>
        <v/>
      </c>
      <c r="BE2816" s="10"/>
      <c r="BI2816" s="10"/>
    </row>
    <row r="2817" spans="1:61" ht="21" customHeight="1" x14ac:dyDescent="0.25">
      <c r="A2817" s="10"/>
      <c r="B2817" s="10"/>
      <c r="E2817" s="10"/>
      <c r="G2817" s="10"/>
      <c r="I2817" s="436" t="s">
        <v>1124</v>
      </c>
      <c r="J2817" s="26" t="s">
        <v>1123</v>
      </c>
      <c r="K2817" s="10">
        <v>35</v>
      </c>
      <c r="L2817" s="73">
        <f>IF(Tank1!$C$23="No control",(SUMIF(Tank1!$B$32:$B$49,$J2817,Tank1!$C$32:$C$49)*Impacts!$F$8),0)</f>
        <v>0</v>
      </c>
      <c r="M2817" s="10">
        <f>IF(Tank2!$C$23="No control",(SUMIF(Tank2!$B$32:$B$49,$J2817,Tank2!$C$32:$C$49)*Impacts!$F$9),0)</f>
        <v>0</v>
      </c>
      <c r="N2817" s="10">
        <f>IF(Tank3!$C$23="No control",(SUMIF(Tank3!$B$32:$B$49,$J2817,Tank3!$C$32:$C$49)*Impacts!$F$10),0)</f>
        <v>0</v>
      </c>
      <c r="O2817" s="10">
        <f>IF(Tank4!$C$23="No control",(SUMIF(Tank4!$B$32:$B$49,$J2817,Tank4!$C$32:$C$49)*Impacts!$F$11),0)</f>
        <v>0</v>
      </c>
      <c r="P2817" s="10">
        <f>IF(Tank5!$C$23="No control",(SUMIF(Tank5!$B$32:$B$49,$J2817,Tank5!$C$32:$C$49)*Impacts!$F$12),0)</f>
        <v>0</v>
      </c>
      <c r="Q2817" s="10">
        <f>IFERROR(IF(('Loading-drum,tote'!$C$21)="No control",SUMIF(('Loading-drum,tote'!$B$31:$B$48),$J2817,('Loading-drum,tote'!$D$31:$D$48))*Impacts!$F$13,IF(('Loading-drum,tote'!$C$21)&lt;&gt;"No control",SUMIF(('Loading-drum,tote'!$B$31:$B$48),$J2817,('Loading-drum,tote'!$E$31:$E$48))*Impacts!$F$13,0)),0)</f>
        <v>0</v>
      </c>
      <c r="R2817" s="10">
        <f>IFERROR(IF(('Loading-truck'!$C$21)="No control",SUMIF(('Loading-truck'!$B$31:$B$48),$J2817,('Loading-truck'!$D$31:$D$48))*Impacts!$F$14,IF(('Loading-truck'!$C$21)&lt;&gt;"No control",SUMIF(('Loading-truck'!$B$31:$B$48),$J2817,('Loading-truck'!$E$31:$E$48))*Impacts!$F$14,0)),0)</f>
        <v>0</v>
      </c>
      <c r="S2817" s="10">
        <f>IFERROR(IF(('Loading-rail'!$C$21)="No control",SUMIF(('Loading-rail'!$B$31:$B$48),$J2817,('Loading-rail'!$D$31:$D$48))*Impacts!$F$15,IF(('Loading-rail'!$C$21)&lt;&gt;"No control",SUMIF(('Loading-rail'!$B$31:$B$48),$J2817,('Loading-rail'!$E$31:$E$48))*Impacts!$F$15,0)),0)</f>
        <v>0</v>
      </c>
      <c r="T2817" s="10">
        <f>IF(Flare!$C$7="",0,(SUMIF(Flare!$B$46:$B$185,$J2817,Flare!$E$46:$E$185)*Impacts!$F$16))</f>
        <v>0</v>
      </c>
      <c r="U2817" s="10">
        <f>IF(VCU!$C$9="",0,(SUMIF(VCU!$B$51:$B$193,$J2817,VCU!$E$51:$E$193)*Impacts!$F$17))</f>
        <v>0</v>
      </c>
      <c r="V2817" s="10">
        <f>IF(CAS!$C$7="",0,(SUMIF(CAS!$B$31:$B$167,$J2817,CAS!$E$31:$E$167)*Impacts!$F$18))</f>
        <v>0</v>
      </c>
      <c r="W2817" s="10">
        <f t="shared" si="84"/>
        <v>0</v>
      </c>
      <c r="AK2817" s="10" t="str">
        <f t="array" ref="AK2817">IFERROR(INDEX(SelectedSpecies,SMALL(IF(SelectedSpecies=AK$1,ROW(SelectedSpecies)),ROW(2818:2818)),2),"")</f>
        <v/>
      </c>
      <c r="BE2817" s="10"/>
      <c r="BI2817" s="10"/>
    </row>
    <row r="2818" spans="1:61" ht="21" customHeight="1" x14ac:dyDescent="0.25">
      <c r="A2818" s="10"/>
      <c r="B2818" s="10"/>
      <c r="E2818" s="10"/>
      <c r="G2818" s="10"/>
      <c r="I2818" s="436" t="s">
        <v>6038</v>
      </c>
      <c r="J2818" s="26" t="s">
        <v>6037</v>
      </c>
      <c r="K2818" s="10">
        <v>1</v>
      </c>
      <c r="L2818" s="73">
        <f>IF(Tank1!$C$23="No control",(SUMIF(Tank1!$B$32:$B$49,$J2818,Tank1!$C$32:$C$49)*Impacts!$F$8),0)</f>
        <v>0</v>
      </c>
      <c r="M2818" s="10">
        <f>IF(Tank2!$C$23="No control",(SUMIF(Tank2!$B$32:$B$49,$J2818,Tank2!$C$32:$C$49)*Impacts!$F$9),0)</f>
        <v>0</v>
      </c>
      <c r="N2818" s="10">
        <f>IF(Tank3!$C$23="No control",(SUMIF(Tank3!$B$32:$B$49,$J2818,Tank3!$C$32:$C$49)*Impacts!$F$10),0)</f>
        <v>0</v>
      </c>
      <c r="O2818" s="10">
        <f>IF(Tank4!$C$23="No control",(SUMIF(Tank4!$B$32:$B$49,$J2818,Tank4!$C$32:$C$49)*Impacts!$F$11),0)</f>
        <v>0</v>
      </c>
      <c r="P2818" s="10">
        <f>IF(Tank5!$C$23="No control",(SUMIF(Tank5!$B$32:$B$49,$J2818,Tank5!$C$32:$C$49)*Impacts!$F$12),0)</f>
        <v>0</v>
      </c>
      <c r="Q2818" s="10">
        <f>IFERROR(IF(('Loading-drum,tote'!$C$21)="No control",SUMIF(('Loading-drum,tote'!$B$31:$B$48),$J2818,('Loading-drum,tote'!$D$31:$D$48))*Impacts!$F$13,IF(('Loading-drum,tote'!$C$21)&lt;&gt;"No control",SUMIF(('Loading-drum,tote'!$B$31:$B$48),$J2818,('Loading-drum,tote'!$E$31:$E$48))*Impacts!$F$13,0)),0)</f>
        <v>0</v>
      </c>
      <c r="R2818" s="10">
        <f>IFERROR(IF(('Loading-truck'!$C$21)="No control",SUMIF(('Loading-truck'!$B$31:$B$48),$J2818,('Loading-truck'!$D$31:$D$48))*Impacts!$F$14,IF(('Loading-truck'!$C$21)&lt;&gt;"No control",SUMIF(('Loading-truck'!$B$31:$B$48),$J2818,('Loading-truck'!$E$31:$E$48))*Impacts!$F$14,0)),0)</f>
        <v>0</v>
      </c>
      <c r="S2818" s="10">
        <f>IFERROR(IF(('Loading-rail'!$C$21)="No control",SUMIF(('Loading-rail'!$B$31:$B$48),$J2818,('Loading-rail'!$D$31:$D$48))*Impacts!$F$15,IF(('Loading-rail'!$C$21)&lt;&gt;"No control",SUMIF(('Loading-rail'!$B$31:$B$48),$J2818,('Loading-rail'!$E$31:$E$48))*Impacts!$F$15,0)),0)</f>
        <v>0</v>
      </c>
      <c r="T2818" s="10">
        <f>IF(Flare!$C$7="",0,(SUMIF(Flare!$B$46:$B$185,$J2818,Flare!$E$46:$E$185)*Impacts!$F$16))</f>
        <v>0</v>
      </c>
      <c r="U2818" s="10">
        <f>IF(VCU!$C$9="",0,(SUMIF(VCU!$B$51:$B$193,$J2818,VCU!$E$51:$E$193)*Impacts!$F$17))</f>
        <v>0</v>
      </c>
      <c r="V2818" s="10">
        <f>IF(CAS!$C$7="",0,(SUMIF(CAS!$B$31:$B$167,$J2818,CAS!$E$31:$E$167)*Impacts!$F$18))</f>
        <v>0</v>
      </c>
      <c r="W2818" s="10">
        <f t="shared" si="84"/>
        <v>0</v>
      </c>
      <c r="AK2818" s="10" t="str">
        <f t="array" ref="AK2818">IFERROR(INDEX(SelectedSpecies,SMALL(IF(SelectedSpecies=AK$1,ROW(SelectedSpecies)),ROW(2819:2819)),2),"")</f>
        <v/>
      </c>
      <c r="BE2818" s="10"/>
      <c r="BI2818" s="10"/>
    </row>
    <row r="2819" spans="1:61" ht="21" customHeight="1" x14ac:dyDescent="0.25">
      <c r="A2819" s="10"/>
      <c r="B2819" s="10"/>
      <c r="E2819" s="10"/>
      <c r="G2819" s="10"/>
      <c r="I2819" s="436" t="s">
        <v>3059</v>
      </c>
      <c r="J2819" s="26" t="s">
        <v>3058</v>
      </c>
      <c r="K2819" s="10">
        <v>10</v>
      </c>
      <c r="L2819" s="73">
        <f>IF(Tank1!$C$23="No control",(SUMIF(Tank1!$B$32:$B$49,$J2819,Tank1!$C$32:$C$49)*Impacts!$F$8),0)</f>
        <v>0</v>
      </c>
      <c r="M2819" s="10">
        <f>IF(Tank2!$C$23="No control",(SUMIF(Tank2!$B$32:$B$49,$J2819,Tank2!$C$32:$C$49)*Impacts!$F$9),0)</f>
        <v>0</v>
      </c>
      <c r="N2819" s="10">
        <f>IF(Tank3!$C$23="No control",(SUMIF(Tank3!$B$32:$B$49,$J2819,Tank3!$C$32:$C$49)*Impacts!$F$10),0)</f>
        <v>0</v>
      </c>
      <c r="O2819" s="10">
        <f>IF(Tank4!$C$23="No control",(SUMIF(Tank4!$B$32:$B$49,$J2819,Tank4!$C$32:$C$49)*Impacts!$F$11),0)</f>
        <v>0</v>
      </c>
      <c r="P2819" s="10">
        <f>IF(Tank5!$C$23="No control",(SUMIF(Tank5!$B$32:$B$49,$J2819,Tank5!$C$32:$C$49)*Impacts!$F$12),0)</f>
        <v>0</v>
      </c>
      <c r="Q2819" s="10">
        <f>IFERROR(IF(('Loading-drum,tote'!$C$21)="No control",SUMIF(('Loading-drum,tote'!$B$31:$B$48),$J2819,('Loading-drum,tote'!$D$31:$D$48))*Impacts!$F$13,IF(('Loading-drum,tote'!$C$21)&lt;&gt;"No control",SUMIF(('Loading-drum,tote'!$B$31:$B$48),$J2819,('Loading-drum,tote'!$E$31:$E$48))*Impacts!$F$13,0)),0)</f>
        <v>0</v>
      </c>
      <c r="R2819" s="10">
        <f>IFERROR(IF(('Loading-truck'!$C$21)="No control",SUMIF(('Loading-truck'!$B$31:$B$48),$J2819,('Loading-truck'!$D$31:$D$48))*Impacts!$F$14,IF(('Loading-truck'!$C$21)&lt;&gt;"No control",SUMIF(('Loading-truck'!$B$31:$B$48),$J2819,('Loading-truck'!$E$31:$E$48))*Impacts!$F$14,0)),0)</f>
        <v>0</v>
      </c>
      <c r="S2819" s="10">
        <f>IFERROR(IF(('Loading-rail'!$C$21)="No control",SUMIF(('Loading-rail'!$B$31:$B$48),$J2819,('Loading-rail'!$D$31:$D$48))*Impacts!$F$15,IF(('Loading-rail'!$C$21)&lt;&gt;"No control",SUMIF(('Loading-rail'!$B$31:$B$48),$J2819,('Loading-rail'!$E$31:$E$48))*Impacts!$F$15,0)),0)</f>
        <v>0</v>
      </c>
      <c r="T2819" s="10">
        <f>IF(Flare!$C$7="",0,(SUMIF(Flare!$B$46:$B$185,$J2819,Flare!$E$46:$E$185)*Impacts!$F$16))</f>
        <v>0</v>
      </c>
      <c r="U2819" s="10">
        <f>IF(VCU!$C$9="",0,(SUMIF(VCU!$B$51:$B$193,$J2819,VCU!$E$51:$E$193)*Impacts!$F$17))</f>
        <v>0</v>
      </c>
      <c r="V2819" s="10">
        <f>IF(CAS!$C$7="",0,(SUMIF(CAS!$B$31:$B$167,$J2819,CAS!$E$31:$E$167)*Impacts!$F$18))</f>
        <v>0</v>
      </c>
      <c r="W2819" s="10">
        <f t="shared" si="84"/>
        <v>0</v>
      </c>
      <c r="AK2819" s="10" t="str">
        <f t="array" ref="AK2819">IFERROR(INDEX(SelectedSpecies,SMALL(IF(SelectedSpecies=AK$1,ROW(SelectedSpecies)),ROW(2820:2820)),2),"")</f>
        <v/>
      </c>
      <c r="BE2819" s="10"/>
      <c r="BI2819" s="10"/>
    </row>
    <row r="2820" spans="1:61" ht="21" customHeight="1" x14ac:dyDescent="0.25">
      <c r="A2820" s="10"/>
      <c r="B2820" s="10"/>
      <c r="E2820" s="10"/>
      <c r="G2820" s="10"/>
      <c r="I2820" s="436" t="s">
        <v>10393</v>
      </c>
      <c r="J2820" s="26" t="s">
        <v>10394</v>
      </c>
      <c r="K2820" s="10">
        <v>19</v>
      </c>
      <c r="L2820" s="73">
        <f>IF(Tank1!$C$23="No control",(SUMIF(Tank1!$B$32:$B$49,$J2820,Tank1!$C$32:$C$49)*Impacts!$F$8),0)</f>
        <v>0</v>
      </c>
      <c r="M2820" s="10">
        <f>IF(Tank2!$C$23="No control",(SUMIF(Tank2!$B$32:$B$49,$J2820,Tank2!$C$32:$C$49)*Impacts!$F$9),0)</f>
        <v>0</v>
      </c>
      <c r="N2820" s="10">
        <f>IF(Tank3!$C$23="No control",(SUMIF(Tank3!$B$32:$B$49,$J2820,Tank3!$C$32:$C$49)*Impacts!$F$10),0)</f>
        <v>0</v>
      </c>
      <c r="O2820" s="10">
        <f>IF(Tank4!$C$23="No control",(SUMIF(Tank4!$B$32:$B$49,$J2820,Tank4!$C$32:$C$49)*Impacts!$F$11),0)</f>
        <v>0</v>
      </c>
      <c r="P2820" s="10">
        <f>IF(Tank5!$C$23="No control",(SUMIF(Tank5!$B$32:$B$49,$J2820,Tank5!$C$32:$C$49)*Impacts!$F$12),0)</f>
        <v>0</v>
      </c>
      <c r="Q2820" s="10">
        <f>IFERROR(IF(('Loading-drum,tote'!$C$21)="No control",SUMIF(('Loading-drum,tote'!$B$31:$B$48),$J2820,('Loading-drum,tote'!$D$31:$D$48))*Impacts!$F$13,IF(('Loading-drum,tote'!$C$21)&lt;&gt;"No control",SUMIF(('Loading-drum,tote'!$B$31:$B$48),$J2820,('Loading-drum,tote'!$E$31:$E$48))*Impacts!$F$13,0)),0)</f>
        <v>0</v>
      </c>
      <c r="R2820" s="10">
        <f>IFERROR(IF(('Loading-truck'!$C$21)="No control",SUMIF(('Loading-truck'!$B$31:$B$48),$J2820,('Loading-truck'!$D$31:$D$48))*Impacts!$F$14,IF(('Loading-truck'!$C$21)&lt;&gt;"No control",SUMIF(('Loading-truck'!$B$31:$B$48),$J2820,('Loading-truck'!$E$31:$E$48))*Impacts!$F$14,0)),0)</f>
        <v>0</v>
      </c>
      <c r="S2820" s="10">
        <f>IFERROR(IF(('Loading-rail'!$C$21)="No control",SUMIF(('Loading-rail'!$B$31:$B$48),$J2820,('Loading-rail'!$D$31:$D$48))*Impacts!$F$15,IF(('Loading-rail'!$C$21)&lt;&gt;"No control",SUMIF(('Loading-rail'!$B$31:$B$48),$J2820,('Loading-rail'!$E$31:$E$48))*Impacts!$F$15,0)),0)</f>
        <v>0</v>
      </c>
      <c r="T2820" s="10">
        <f>IF(Flare!$C$7="",0,(SUMIF(Flare!$B$46:$B$185,$J2820,Flare!$E$46:$E$185)*Impacts!$F$16))</f>
        <v>0</v>
      </c>
      <c r="U2820" s="10">
        <f>IF(VCU!$C$9="",0,(SUMIF(VCU!$B$51:$B$193,$J2820,VCU!$E$51:$E$193)*Impacts!$F$17))</f>
        <v>0</v>
      </c>
      <c r="V2820" s="10">
        <f>IF(CAS!$C$7="",0,(SUMIF(CAS!$B$31:$B$167,$J2820,CAS!$E$31:$E$167)*Impacts!$F$18))</f>
        <v>0</v>
      </c>
      <c r="W2820" s="10">
        <f t="shared" si="84"/>
        <v>0</v>
      </c>
      <c r="AK2820" s="10" t="str">
        <f t="array" ref="AK2820">IFERROR(INDEX(SelectedSpecies,SMALL(IF(SelectedSpecies=AK$1,ROW(SelectedSpecies)),ROW(2821:2821)),2),"")</f>
        <v/>
      </c>
      <c r="BE2820" s="10"/>
      <c r="BI2820" s="10"/>
    </row>
    <row r="2821" spans="1:61" ht="21" customHeight="1" x14ac:dyDescent="0.25">
      <c r="A2821" s="10"/>
      <c r="B2821" s="10"/>
      <c r="E2821" s="10"/>
      <c r="G2821" s="10"/>
      <c r="I2821" s="436" t="s">
        <v>3755</v>
      </c>
      <c r="J2821" s="26" t="s">
        <v>3754</v>
      </c>
      <c r="K2821" s="10">
        <v>6.1000000000000005</v>
      </c>
      <c r="L2821" s="73">
        <f>IF(Tank1!$C$23="No control",(SUMIF(Tank1!$B$32:$B$49,$J2821,Tank1!$C$32:$C$49)*Impacts!$F$8),0)</f>
        <v>0</v>
      </c>
      <c r="M2821" s="10">
        <f>IF(Tank2!$C$23="No control",(SUMIF(Tank2!$B$32:$B$49,$J2821,Tank2!$C$32:$C$49)*Impacts!$F$9),0)</f>
        <v>0</v>
      </c>
      <c r="N2821" s="10">
        <f>IF(Tank3!$C$23="No control",(SUMIF(Tank3!$B$32:$B$49,$J2821,Tank3!$C$32:$C$49)*Impacts!$F$10),0)</f>
        <v>0</v>
      </c>
      <c r="O2821" s="10">
        <f>IF(Tank4!$C$23="No control",(SUMIF(Tank4!$B$32:$B$49,$J2821,Tank4!$C$32:$C$49)*Impacts!$F$11),0)</f>
        <v>0</v>
      </c>
      <c r="P2821" s="10">
        <f>IF(Tank5!$C$23="No control",(SUMIF(Tank5!$B$32:$B$49,$J2821,Tank5!$C$32:$C$49)*Impacts!$F$12),0)</f>
        <v>0</v>
      </c>
      <c r="Q2821" s="10">
        <f>IFERROR(IF(('Loading-drum,tote'!$C$21)="No control",SUMIF(('Loading-drum,tote'!$B$31:$B$48),$J2821,('Loading-drum,tote'!$D$31:$D$48))*Impacts!$F$13,IF(('Loading-drum,tote'!$C$21)&lt;&gt;"No control",SUMIF(('Loading-drum,tote'!$B$31:$B$48),$J2821,('Loading-drum,tote'!$E$31:$E$48))*Impacts!$F$13,0)),0)</f>
        <v>0</v>
      </c>
      <c r="R2821" s="10">
        <f>IFERROR(IF(('Loading-truck'!$C$21)="No control",SUMIF(('Loading-truck'!$B$31:$B$48),$J2821,('Loading-truck'!$D$31:$D$48))*Impacts!$F$14,IF(('Loading-truck'!$C$21)&lt;&gt;"No control",SUMIF(('Loading-truck'!$B$31:$B$48),$J2821,('Loading-truck'!$E$31:$E$48))*Impacts!$F$14,0)),0)</f>
        <v>0</v>
      </c>
      <c r="S2821" s="10">
        <f>IFERROR(IF(('Loading-rail'!$C$21)="No control",SUMIF(('Loading-rail'!$B$31:$B$48),$J2821,('Loading-rail'!$D$31:$D$48))*Impacts!$F$15,IF(('Loading-rail'!$C$21)&lt;&gt;"No control",SUMIF(('Loading-rail'!$B$31:$B$48),$J2821,('Loading-rail'!$E$31:$E$48))*Impacts!$F$15,0)),0)</f>
        <v>0</v>
      </c>
      <c r="T2821" s="10">
        <f>IF(Flare!$C$7="",0,(SUMIF(Flare!$B$46:$B$185,$J2821,Flare!$E$46:$E$185)*Impacts!$F$16))</f>
        <v>0</v>
      </c>
      <c r="U2821" s="10">
        <f>IF(VCU!$C$9="",0,(SUMIF(VCU!$B$51:$B$193,$J2821,VCU!$E$51:$E$193)*Impacts!$F$17))</f>
        <v>0</v>
      </c>
      <c r="V2821" s="10">
        <f>IF(CAS!$C$7="",0,(SUMIF(CAS!$B$31:$B$167,$J2821,CAS!$E$31:$E$167)*Impacts!$F$18))</f>
        <v>0</v>
      </c>
      <c r="W2821" s="10">
        <f t="shared" si="84"/>
        <v>0</v>
      </c>
      <c r="AK2821" s="10" t="str">
        <f t="array" ref="AK2821">IFERROR(INDEX(SelectedSpecies,SMALL(IF(SelectedSpecies=AK$1,ROW(SelectedSpecies)),ROW(2822:2822)),2),"")</f>
        <v/>
      </c>
      <c r="BE2821" s="10"/>
      <c r="BI2821" s="10"/>
    </row>
    <row r="2822" spans="1:61" ht="21" customHeight="1" x14ac:dyDescent="0.25">
      <c r="A2822" s="10"/>
      <c r="B2822" s="10"/>
      <c r="E2822" s="10"/>
      <c r="G2822" s="10"/>
      <c r="I2822" s="436" t="s">
        <v>6548</v>
      </c>
      <c r="J2822" s="26" t="s">
        <v>6547</v>
      </c>
      <c r="K2822" s="10">
        <v>0.70000000000000007</v>
      </c>
      <c r="L2822" s="73">
        <f>IF(Tank1!$C$23="No control",(SUMIF(Tank1!$B$32:$B$49,$J2822,Tank1!$C$32:$C$49)*Impacts!$F$8),0)</f>
        <v>0</v>
      </c>
      <c r="M2822" s="10">
        <f>IF(Tank2!$C$23="No control",(SUMIF(Tank2!$B$32:$B$49,$J2822,Tank2!$C$32:$C$49)*Impacts!$F$9),0)</f>
        <v>0</v>
      </c>
      <c r="N2822" s="10">
        <f>IF(Tank3!$C$23="No control",(SUMIF(Tank3!$B$32:$B$49,$J2822,Tank3!$C$32:$C$49)*Impacts!$F$10),0)</f>
        <v>0</v>
      </c>
      <c r="O2822" s="10">
        <f>IF(Tank4!$C$23="No control",(SUMIF(Tank4!$B$32:$B$49,$J2822,Tank4!$C$32:$C$49)*Impacts!$F$11),0)</f>
        <v>0</v>
      </c>
      <c r="P2822" s="10">
        <f>IF(Tank5!$C$23="No control",(SUMIF(Tank5!$B$32:$B$49,$J2822,Tank5!$C$32:$C$49)*Impacts!$F$12),0)</f>
        <v>0</v>
      </c>
      <c r="Q2822" s="10">
        <f>IFERROR(IF(('Loading-drum,tote'!$C$21)="No control",SUMIF(('Loading-drum,tote'!$B$31:$B$48),$J2822,('Loading-drum,tote'!$D$31:$D$48))*Impacts!$F$13,IF(('Loading-drum,tote'!$C$21)&lt;&gt;"No control",SUMIF(('Loading-drum,tote'!$B$31:$B$48),$J2822,('Loading-drum,tote'!$E$31:$E$48))*Impacts!$F$13,0)),0)</f>
        <v>0</v>
      </c>
      <c r="R2822" s="10">
        <f>IFERROR(IF(('Loading-truck'!$C$21)="No control",SUMIF(('Loading-truck'!$B$31:$B$48),$J2822,('Loading-truck'!$D$31:$D$48))*Impacts!$F$14,IF(('Loading-truck'!$C$21)&lt;&gt;"No control",SUMIF(('Loading-truck'!$B$31:$B$48),$J2822,('Loading-truck'!$E$31:$E$48))*Impacts!$F$14,0)),0)</f>
        <v>0</v>
      </c>
      <c r="S2822" s="10">
        <f>IFERROR(IF(('Loading-rail'!$C$21)="No control",SUMIF(('Loading-rail'!$B$31:$B$48),$J2822,('Loading-rail'!$D$31:$D$48))*Impacts!$F$15,IF(('Loading-rail'!$C$21)&lt;&gt;"No control",SUMIF(('Loading-rail'!$B$31:$B$48),$J2822,('Loading-rail'!$E$31:$E$48))*Impacts!$F$15,0)),0)</f>
        <v>0</v>
      </c>
      <c r="T2822" s="10">
        <f>IF(Flare!$C$7="",0,(SUMIF(Flare!$B$46:$B$185,$J2822,Flare!$E$46:$E$185)*Impacts!$F$16))</f>
        <v>0</v>
      </c>
      <c r="U2822" s="10">
        <f>IF(VCU!$C$9="",0,(SUMIF(VCU!$B$51:$B$193,$J2822,VCU!$E$51:$E$193)*Impacts!$F$17))</f>
        <v>0</v>
      </c>
      <c r="V2822" s="10">
        <f>IF(CAS!$C$7="",0,(SUMIF(CAS!$B$31:$B$167,$J2822,CAS!$E$31:$E$167)*Impacts!$F$18))</f>
        <v>0</v>
      </c>
      <c r="W2822" s="10">
        <f t="shared" si="84"/>
        <v>0</v>
      </c>
      <c r="AK2822" s="10" t="str">
        <f t="array" ref="AK2822">IFERROR(INDEX(SelectedSpecies,SMALL(IF(SelectedSpecies=AK$1,ROW(SelectedSpecies)),ROW(2823:2823)),2),"")</f>
        <v/>
      </c>
      <c r="BE2822" s="10"/>
      <c r="BI2822" s="10"/>
    </row>
    <row r="2823" spans="1:61" ht="21" customHeight="1" x14ac:dyDescent="0.25">
      <c r="A2823" s="10"/>
      <c r="B2823" s="10"/>
      <c r="E2823" s="10"/>
      <c r="G2823" s="10"/>
      <c r="I2823" s="436" t="s">
        <v>5287</v>
      </c>
      <c r="J2823" s="26" t="s">
        <v>5286</v>
      </c>
      <c r="K2823" s="10">
        <v>1.8</v>
      </c>
      <c r="L2823" s="73">
        <f>IF(Tank1!$C$23="No control",(SUMIF(Tank1!$B$32:$B$49,$J2823,Tank1!$C$32:$C$49)*Impacts!$F$8),0)</f>
        <v>0</v>
      </c>
      <c r="M2823" s="10">
        <f>IF(Tank2!$C$23="No control",(SUMIF(Tank2!$B$32:$B$49,$J2823,Tank2!$C$32:$C$49)*Impacts!$F$9),0)</f>
        <v>0</v>
      </c>
      <c r="N2823" s="10">
        <f>IF(Tank3!$C$23="No control",(SUMIF(Tank3!$B$32:$B$49,$J2823,Tank3!$C$32:$C$49)*Impacts!$F$10),0)</f>
        <v>0</v>
      </c>
      <c r="O2823" s="10">
        <f>IF(Tank4!$C$23="No control",(SUMIF(Tank4!$B$32:$B$49,$J2823,Tank4!$C$32:$C$49)*Impacts!$F$11),0)</f>
        <v>0</v>
      </c>
      <c r="P2823" s="10">
        <f>IF(Tank5!$C$23="No control",(SUMIF(Tank5!$B$32:$B$49,$J2823,Tank5!$C$32:$C$49)*Impacts!$F$12),0)</f>
        <v>0</v>
      </c>
      <c r="Q2823" s="10">
        <f>IFERROR(IF(('Loading-drum,tote'!$C$21)="No control",SUMIF(('Loading-drum,tote'!$B$31:$B$48),$J2823,('Loading-drum,tote'!$D$31:$D$48))*Impacts!$F$13,IF(('Loading-drum,tote'!$C$21)&lt;&gt;"No control",SUMIF(('Loading-drum,tote'!$B$31:$B$48),$J2823,('Loading-drum,tote'!$E$31:$E$48))*Impacts!$F$13,0)),0)</f>
        <v>0</v>
      </c>
      <c r="R2823" s="10">
        <f>IFERROR(IF(('Loading-truck'!$C$21)="No control",SUMIF(('Loading-truck'!$B$31:$B$48),$J2823,('Loading-truck'!$D$31:$D$48))*Impacts!$F$14,IF(('Loading-truck'!$C$21)&lt;&gt;"No control",SUMIF(('Loading-truck'!$B$31:$B$48),$J2823,('Loading-truck'!$E$31:$E$48))*Impacts!$F$14,0)),0)</f>
        <v>0</v>
      </c>
      <c r="S2823" s="10">
        <f>IFERROR(IF(('Loading-rail'!$C$21)="No control",SUMIF(('Loading-rail'!$B$31:$B$48),$J2823,('Loading-rail'!$D$31:$D$48))*Impacts!$F$15,IF(('Loading-rail'!$C$21)&lt;&gt;"No control",SUMIF(('Loading-rail'!$B$31:$B$48),$J2823,('Loading-rail'!$E$31:$E$48))*Impacts!$F$15,0)),0)</f>
        <v>0</v>
      </c>
      <c r="T2823" s="10">
        <f>IF(Flare!$C$7="",0,(SUMIF(Flare!$B$46:$B$185,$J2823,Flare!$E$46:$E$185)*Impacts!$F$16))</f>
        <v>0</v>
      </c>
      <c r="U2823" s="10">
        <f>IF(VCU!$C$9="",0,(SUMIF(VCU!$B$51:$B$193,$J2823,VCU!$E$51:$E$193)*Impacts!$F$17))</f>
        <v>0</v>
      </c>
      <c r="V2823" s="10">
        <f>IF(CAS!$C$7="",0,(SUMIF(CAS!$B$31:$B$167,$J2823,CAS!$E$31:$E$167)*Impacts!$F$18))</f>
        <v>0</v>
      </c>
      <c r="W2823" s="10">
        <f t="shared" si="84"/>
        <v>0</v>
      </c>
      <c r="AK2823" s="10" t="str">
        <f t="array" ref="AK2823">IFERROR(INDEX(SelectedSpecies,SMALL(IF(SelectedSpecies=AK$1,ROW(SelectedSpecies)),ROW(2824:2824)),2),"")</f>
        <v/>
      </c>
      <c r="BE2823" s="10"/>
      <c r="BI2823" s="10"/>
    </row>
    <row r="2824" spans="1:61" ht="21" customHeight="1" x14ac:dyDescent="0.25">
      <c r="A2824" s="10"/>
      <c r="B2824" s="10"/>
      <c r="E2824" s="10"/>
      <c r="G2824" s="10"/>
      <c r="I2824" s="436" t="s">
        <v>5289</v>
      </c>
      <c r="J2824" s="26" t="s">
        <v>5288</v>
      </c>
      <c r="K2824" s="10">
        <v>1.8</v>
      </c>
      <c r="L2824" s="73">
        <f>IF(Tank1!$C$23="No control",(SUMIF(Tank1!$B$32:$B$49,$J2824,Tank1!$C$32:$C$49)*Impacts!$F$8),0)</f>
        <v>0</v>
      </c>
      <c r="M2824" s="10">
        <f>IF(Tank2!$C$23="No control",(SUMIF(Tank2!$B$32:$B$49,$J2824,Tank2!$C$32:$C$49)*Impacts!$F$9),0)</f>
        <v>0</v>
      </c>
      <c r="N2824" s="10">
        <f>IF(Tank3!$C$23="No control",(SUMIF(Tank3!$B$32:$B$49,$J2824,Tank3!$C$32:$C$49)*Impacts!$F$10),0)</f>
        <v>0</v>
      </c>
      <c r="O2824" s="10">
        <f>IF(Tank4!$C$23="No control",(SUMIF(Tank4!$B$32:$B$49,$J2824,Tank4!$C$32:$C$49)*Impacts!$F$11),0)</f>
        <v>0</v>
      </c>
      <c r="P2824" s="10">
        <f>IF(Tank5!$C$23="No control",(SUMIF(Tank5!$B$32:$B$49,$J2824,Tank5!$C$32:$C$49)*Impacts!$F$12),0)</f>
        <v>0</v>
      </c>
      <c r="Q2824" s="10">
        <f>IFERROR(IF(('Loading-drum,tote'!$C$21)="No control",SUMIF(('Loading-drum,tote'!$B$31:$B$48),$J2824,('Loading-drum,tote'!$D$31:$D$48))*Impacts!$F$13,IF(('Loading-drum,tote'!$C$21)&lt;&gt;"No control",SUMIF(('Loading-drum,tote'!$B$31:$B$48),$J2824,('Loading-drum,tote'!$E$31:$E$48))*Impacts!$F$13,0)),0)</f>
        <v>0</v>
      </c>
      <c r="R2824" s="10">
        <f>IFERROR(IF(('Loading-truck'!$C$21)="No control",SUMIF(('Loading-truck'!$B$31:$B$48),$J2824,('Loading-truck'!$D$31:$D$48))*Impacts!$F$14,IF(('Loading-truck'!$C$21)&lt;&gt;"No control",SUMIF(('Loading-truck'!$B$31:$B$48),$J2824,('Loading-truck'!$E$31:$E$48))*Impacts!$F$14,0)),0)</f>
        <v>0</v>
      </c>
      <c r="S2824" s="10">
        <f>IFERROR(IF(('Loading-rail'!$C$21)="No control",SUMIF(('Loading-rail'!$B$31:$B$48),$J2824,('Loading-rail'!$D$31:$D$48))*Impacts!$F$15,IF(('Loading-rail'!$C$21)&lt;&gt;"No control",SUMIF(('Loading-rail'!$B$31:$B$48),$J2824,('Loading-rail'!$E$31:$E$48))*Impacts!$F$15,0)),0)</f>
        <v>0</v>
      </c>
      <c r="T2824" s="10">
        <f>IF(Flare!$C$7="",0,(SUMIF(Flare!$B$46:$B$185,$J2824,Flare!$E$46:$E$185)*Impacts!$F$16))</f>
        <v>0</v>
      </c>
      <c r="U2824" s="10">
        <f>IF(VCU!$C$9="",0,(SUMIF(VCU!$B$51:$B$193,$J2824,VCU!$E$51:$E$193)*Impacts!$F$17))</f>
        <v>0</v>
      </c>
      <c r="V2824" s="10">
        <f>IF(CAS!$C$7="",0,(SUMIF(CAS!$B$31:$B$167,$J2824,CAS!$E$31:$E$167)*Impacts!$F$18))</f>
        <v>0</v>
      </c>
      <c r="W2824" s="10">
        <f t="shared" si="84"/>
        <v>0</v>
      </c>
      <c r="AK2824" s="10" t="str">
        <f t="array" ref="AK2824">IFERROR(INDEX(SelectedSpecies,SMALL(IF(SelectedSpecies=AK$1,ROW(SelectedSpecies)),ROW(2825:2825)),2),"")</f>
        <v/>
      </c>
      <c r="BE2824" s="10"/>
      <c r="BI2824" s="10"/>
    </row>
    <row r="2825" spans="1:61" ht="21" customHeight="1" x14ac:dyDescent="0.25">
      <c r="A2825" s="10"/>
      <c r="B2825" s="10"/>
      <c r="E2825" s="10"/>
      <c r="G2825" s="10"/>
      <c r="I2825" s="436" t="s">
        <v>4309</v>
      </c>
      <c r="J2825" s="26" t="s">
        <v>4308</v>
      </c>
      <c r="K2825" s="10">
        <v>5</v>
      </c>
      <c r="L2825" s="73">
        <f>IF(Tank1!$C$23="No control",(SUMIF(Tank1!$B$32:$B$49,$J2825,Tank1!$C$32:$C$49)*Impacts!$F$8),0)</f>
        <v>0</v>
      </c>
      <c r="M2825" s="10">
        <f>IF(Tank2!$C$23="No control",(SUMIF(Tank2!$B$32:$B$49,$J2825,Tank2!$C$32:$C$49)*Impacts!$F$9),0)</f>
        <v>0</v>
      </c>
      <c r="N2825" s="10">
        <f>IF(Tank3!$C$23="No control",(SUMIF(Tank3!$B$32:$B$49,$J2825,Tank3!$C$32:$C$49)*Impacts!$F$10),0)</f>
        <v>0</v>
      </c>
      <c r="O2825" s="10">
        <f>IF(Tank4!$C$23="No control",(SUMIF(Tank4!$B$32:$B$49,$J2825,Tank4!$C$32:$C$49)*Impacts!$F$11),0)</f>
        <v>0</v>
      </c>
      <c r="P2825" s="10">
        <f>IF(Tank5!$C$23="No control",(SUMIF(Tank5!$B$32:$B$49,$J2825,Tank5!$C$32:$C$49)*Impacts!$F$12),0)</f>
        <v>0</v>
      </c>
      <c r="Q2825" s="10">
        <f>IFERROR(IF(('Loading-drum,tote'!$C$21)="No control",SUMIF(('Loading-drum,tote'!$B$31:$B$48),$J2825,('Loading-drum,tote'!$D$31:$D$48))*Impacts!$F$13,IF(('Loading-drum,tote'!$C$21)&lt;&gt;"No control",SUMIF(('Loading-drum,tote'!$B$31:$B$48),$J2825,('Loading-drum,tote'!$E$31:$E$48))*Impacts!$F$13,0)),0)</f>
        <v>0</v>
      </c>
      <c r="R2825" s="10">
        <f>IFERROR(IF(('Loading-truck'!$C$21)="No control",SUMIF(('Loading-truck'!$B$31:$B$48),$J2825,('Loading-truck'!$D$31:$D$48))*Impacts!$F$14,IF(('Loading-truck'!$C$21)&lt;&gt;"No control",SUMIF(('Loading-truck'!$B$31:$B$48),$J2825,('Loading-truck'!$E$31:$E$48))*Impacts!$F$14,0)),0)</f>
        <v>0</v>
      </c>
      <c r="S2825" s="10">
        <f>IFERROR(IF(('Loading-rail'!$C$21)="No control",SUMIF(('Loading-rail'!$B$31:$B$48),$J2825,('Loading-rail'!$D$31:$D$48))*Impacts!$F$15,IF(('Loading-rail'!$C$21)&lt;&gt;"No control",SUMIF(('Loading-rail'!$B$31:$B$48),$J2825,('Loading-rail'!$E$31:$E$48))*Impacts!$F$15,0)),0)</f>
        <v>0</v>
      </c>
      <c r="T2825" s="10">
        <f>IF(Flare!$C$7="",0,(SUMIF(Flare!$B$46:$B$185,$J2825,Flare!$E$46:$E$185)*Impacts!$F$16))</f>
        <v>0</v>
      </c>
      <c r="U2825" s="10">
        <f>IF(VCU!$C$9="",0,(SUMIF(VCU!$B$51:$B$193,$J2825,VCU!$E$51:$E$193)*Impacts!$F$17))</f>
        <v>0</v>
      </c>
      <c r="V2825" s="10">
        <f>IF(CAS!$C$7="",0,(SUMIF(CAS!$B$31:$B$167,$J2825,CAS!$E$31:$E$167)*Impacts!$F$18))</f>
        <v>0</v>
      </c>
      <c r="W2825" s="10">
        <f t="shared" si="84"/>
        <v>0</v>
      </c>
      <c r="AK2825" s="10" t="str">
        <f t="array" ref="AK2825">IFERROR(INDEX(SelectedSpecies,SMALL(IF(SelectedSpecies=AK$1,ROW(SelectedSpecies)),ROW(2826:2826)),2),"")</f>
        <v/>
      </c>
      <c r="BE2825" s="10"/>
      <c r="BI2825" s="10"/>
    </row>
    <row r="2826" spans="1:61" ht="21" customHeight="1" x14ac:dyDescent="0.25">
      <c r="A2826" s="10"/>
      <c r="B2826" s="10"/>
      <c r="E2826" s="10"/>
      <c r="G2826" s="10"/>
      <c r="I2826" s="436" t="s">
        <v>3555</v>
      </c>
      <c r="J2826" s="26" t="s">
        <v>3554</v>
      </c>
      <c r="K2826" s="10">
        <v>8.4</v>
      </c>
      <c r="L2826" s="73">
        <f>IF(Tank1!$C$23="No control",(SUMIF(Tank1!$B$32:$B$49,$J2826,Tank1!$C$32:$C$49)*Impacts!$F$8),0)</f>
        <v>0</v>
      </c>
      <c r="M2826" s="10">
        <f>IF(Tank2!$C$23="No control",(SUMIF(Tank2!$B$32:$B$49,$J2826,Tank2!$C$32:$C$49)*Impacts!$F$9),0)</f>
        <v>0</v>
      </c>
      <c r="N2826" s="10">
        <f>IF(Tank3!$C$23="No control",(SUMIF(Tank3!$B$32:$B$49,$J2826,Tank3!$C$32:$C$49)*Impacts!$F$10),0)</f>
        <v>0</v>
      </c>
      <c r="O2826" s="10">
        <f>IF(Tank4!$C$23="No control",(SUMIF(Tank4!$B$32:$B$49,$J2826,Tank4!$C$32:$C$49)*Impacts!$F$11),0)</f>
        <v>0</v>
      </c>
      <c r="P2826" s="10">
        <f>IF(Tank5!$C$23="No control",(SUMIF(Tank5!$B$32:$B$49,$J2826,Tank5!$C$32:$C$49)*Impacts!$F$12),0)</f>
        <v>0</v>
      </c>
      <c r="Q2826" s="10">
        <f>IFERROR(IF(('Loading-drum,tote'!$C$21)="No control",SUMIF(('Loading-drum,tote'!$B$31:$B$48),$J2826,('Loading-drum,tote'!$D$31:$D$48))*Impacts!$F$13,IF(('Loading-drum,tote'!$C$21)&lt;&gt;"No control",SUMIF(('Loading-drum,tote'!$B$31:$B$48),$J2826,('Loading-drum,tote'!$E$31:$E$48))*Impacts!$F$13,0)),0)</f>
        <v>0</v>
      </c>
      <c r="R2826" s="10">
        <f>IFERROR(IF(('Loading-truck'!$C$21)="No control",SUMIF(('Loading-truck'!$B$31:$B$48),$J2826,('Loading-truck'!$D$31:$D$48))*Impacts!$F$14,IF(('Loading-truck'!$C$21)&lt;&gt;"No control",SUMIF(('Loading-truck'!$B$31:$B$48),$J2826,('Loading-truck'!$E$31:$E$48))*Impacts!$F$14,0)),0)</f>
        <v>0</v>
      </c>
      <c r="S2826" s="10">
        <f>IFERROR(IF(('Loading-rail'!$C$21)="No control",SUMIF(('Loading-rail'!$B$31:$B$48),$J2826,('Loading-rail'!$D$31:$D$48))*Impacts!$F$15,IF(('Loading-rail'!$C$21)&lt;&gt;"No control",SUMIF(('Loading-rail'!$B$31:$B$48),$J2826,('Loading-rail'!$E$31:$E$48))*Impacts!$F$15,0)),0)</f>
        <v>0</v>
      </c>
      <c r="T2826" s="10">
        <f>IF(Flare!$C$7="",0,(SUMIF(Flare!$B$46:$B$185,$J2826,Flare!$E$46:$E$185)*Impacts!$F$16))</f>
        <v>0</v>
      </c>
      <c r="U2826" s="10">
        <f>IF(VCU!$C$9="",0,(SUMIF(VCU!$B$51:$B$193,$J2826,VCU!$E$51:$E$193)*Impacts!$F$17))</f>
        <v>0</v>
      </c>
      <c r="V2826" s="10">
        <f>IF(CAS!$C$7="",0,(SUMIF(CAS!$B$31:$B$167,$J2826,CAS!$E$31:$E$167)*Impacts!$F$18))</f>
        <v>0</v>
      </c>
      <c r="W2826" s="10">
        <f t="shared" si="84"/>
        <v>0</v>
      </c>
      <c r="AK2826" s="10" t="str">
        <f t="array" ref="AK2826">IFERROR(INDEX(SelectedSpecies,SMALL(IF(SelectedSpecies=AK$1,ROW(SelectedSpecies)),ROW(2827:2827)),2),"")</f>
        <v/>
      </c>
      <c r="BE2826" s="10"/>
      <c r="BI2826" s="10"/>
    </row>
    <row r="2827" spans="1:61" ht="21" customHeight="1" x14ac:dyDescent="0.25">
      <c r="A2827" s="10"/>
      <c r="B2827" s="10"/>
      <c r="E2827" s="10"/>
      <c r="G2827" s="10"/>
      <c r="I2827" s="436" t="s">
        <v>6584</v>
      </c>
      <c r="J2827" s="26" t="s">
        <v>6583</v>
      </c>
      <c r="K2827" s="10">
        <v>0.63</v>
      </c>
      <c r="L2827" s="73">
        <f>IF(Tank1!$C$23="No control",(SUMIF(Tank1!$B$32:$B$49,$J2827,Tank1!$C$32:$C$49)*Impacts!$F$8),0)</f>
        <v>0</v>
      </c>
      <c r="M2827" s="10">
        <f>IF(Tank2!$C$23="No control",(SUMIF(Tank2!$B$32:$B$49,$J2827,Tank2!$C$32:$C$49)*Impacts!$F$9),0)</f>
        <v>0</v>
      </c>
      <c r="N2827" s="10">
        <f>IF(Tank3!$C$23="No control",(SUMIF(Tank3!$B$32:$B$49,$J2827,Tank3!$C$32:$C$49)*Impacts!$F$10),0)</f>
        <v>0</v>
      </c>
      <c r="O2827" s="10">
        <f>IF(Tank4!$C$23="No control",(SUMIF(Tank4!$B$32:$B$49,$J2827,Tank4!$C$32:$C$49)*Impacts!$F$11),0)</f>
        <v>0</v>
      </c>
      <c r="P2827" s="10">
        <f>IF(Tank5!$C$23="No control",(SUMIF(Tank5!$B$32:$B$49,$J2827,Tank5!$C$32:$C$49)*Impacts!$F$12),0)</f>
        <v>0</v>
      </c>
      <c r="Q2827" s="10">
        <f>IFERROR(IF(('Loading-drum,tote'!$C$21)="No control",SUMIF(('Loading-drum,tote'!$B$31:$B$48),$J2827,('Loading-drum,tote'!$D$31:$D$48))*Impacts!$F$13,IF(('Loading-drum,tote'!$C$21)&lt;&gt;"No control",SUMIF(('Loading-drum,tote'!$B$31:$B$48),$J2827,('Loading-drum,tote'!$E$31:$E$48))*Impacts!$F$13,0)),0)</f>
        <v>0</v>
      </c>
      <c r="R2827" s="10">
        <f>IFERROR(IF(('Loading-truck'!$C$21)="No control",SUMIF(('Loading-truck'!$B$31:$B$48),$J2827,('Loading-truck'!$D$31:$D$48))*Impacts!$F$14,IF(('Loading-truck'!$C$21)&lt;&gt;"No control",SUMIF(('Loading-truck'!$B$31:$B$48),$J2827,('Loading-truck'!$E$31:$E$48))*Impacts!$F$14,0)),0)</f>
        <v>0</v>
      </c>
      <c r="S2827" s="10">
        <f>IFERROR(IF(('Loading-rail'!$C$21)="No control",SUMIF(('Loading-rail'!$B$31:$B$48),$J2827,('Loading-rail'!$D$31:$D$48))*Impacts!$F$15,IF(('Loading-rail'!$C$21)&lt;&gt;"No control",SUMIF(('Loading-rail'!$B$31:$B$48),$J2827,('Loading-rail'!$E$31:$E$48))*Impacts!$F$15,0)),0)</f>
        <v>0</v>
      </c>
      <c r="T2827" s="10">
        <f>IF(Flare!$C$7="",0,(SUMIF(Flare!$B$46:$B$185,$J2827,Flare!$E$46:$E$185)*Impacts!$F$16))</f>
        <v>0</v>
      </c>
      <c r="U2827" s="10">
        <f>IF(VCU!$C$9="",0,(SUMIF(VCU!$B$51:$B$193,$J2827,VCU!$E$51:$E$193)*Impacts!$F$17))</f>
        <v>0</v>
      </c>
      <c r="V2827" s="10">
        <f>IF(CAS!$C$7="",0,(SUMIF(CAS!$B$31:$B$167,$J2827,CAS!$E$31:$E$167)*Impacts!$F$18))</f>
        <v>0</v>
      </c>
      <c r="W2827" s="10">
        <f t="shared" si="84"/>
        <v>0</v>
      </c>
      <c r="AK2827" s="10" t="str">
        <f t="array" ref="AK2827">IFERROR(INDEX(SelectedSpecies,SMALL(IF(SelectedSpecies=AK$1,ROW(SelectedSpecies)),ROW(2828:2828)),2),"")</f>
        <v/>
      </c>
      <c r="BE2827" s="10"/>
      <c r="BI2827" s="10"/>
    </row>
    <row r="2828" spans="1:61" ht="21" customHeight="1" x14ac:dyDescent="0.25">
      <c r="A2828" s="10"/>
      <c r="B2828" s="10"/>
      <c r="E2828" s="10"/>
      <c r="G2828" s="10"/>
      <c r="I2828" s="436" t="s">
        <v>1126</v>
      </c>
      <c r="J2828" s="26" t="s">
        <v>1125</v>
      </c>
      <c r="K2828" s="10">
        <v>35</v>
      </c>
      <c r="L2828" s="73">
        <f>IF(Tank1!$C$23="No control",(SUMIF(Tank1!$B$32:$B$49,$J2828,Tank1!$C$32:$C$49)*Impacts!$F$8),0)</f>
        <v>0</v>
      </c>
      <c r="M2828" s="10">
        <f>IF(Tank2!$C$23="No control",(SUMIF(Tank2!$B$32:$B$49,$J2828,Tank2!$C$32:$C$49)*Impacts!$F$9),0)</f>
        <v>0</v>
      </c>
      <c r="N2828" s="10">
        <f>IF(Tank3!$C$23="No control",(SUMIF(Tank3!$B$32:$B$49,$J2828,Tank3!$C$32:$C$49)*Impacts!$F$10),0)</f>
        <v>0</v>
      </c>
      <c r="O2828" s="10">
        <f>IF(Tank4!$C$23="No control",(SUMIF(Tank4!$B$32:$B$49,$J2828,Tank4!$C$32:$C$49)*Impacts!$F$11),0)</f>
        <v>0</v>
      </c>
      <c r="P2828" s="10">
        <f>IF(Tank5!$C$23="No control",(SUMIF(Tank5!$B$32:$B$49,$J2828,Tank5!$C$32:$C$49)*Impacts!$F$12),0)</f>
        <v>0</v>
      </c>
      <c r="Q2828" s="10">
        <f>IFERROR(IF(('Loading-drum,tote'!$C$21)="No control",SUMIF(('Loading-drum,tote'!$B$31:$B$48),$J2828,('Loading-drum,tote'!$D$31:$D$48))*Impacts!$F$13,IF(('Loading-drum,tote'!$C$21)&lt;&gt;"No control",SUMIF(('Loading-drum,tote'!$B$31:$B$48),$J2828,('Loading-drum,tote'!$E$31:$E$48))*Impacts!$F$13,0)),0)</f>
        <v>0</v>
      </c>
      <c r="R2828" s="10">
        <f>IFERROR(IF(('Loading-truck'!$C$21)="No control",SUMIF(('Loading-truck'!$B$31:$B$48),$J2828,('Loading-truck'!$D$31:$D$48))*Impacts!$F$14,IF(('Loading-truck'!$C$21)&lt;&gt;"No control",SUMIF(('Loading-truck'!$B$31:$B$48),$J2828,('Loading-truck'!$E$31:$E$48))*Impacts!$F$14,0)),0)</f>
        <v>0</v>
      </c>
      <c r="S2828" s="10">
        <f>IFERROR(IF(('Loading-rail'!$C$21)="No control",SUMIF(('Loading-rail'!$B$31:$B$48),$J2828,('Loading-rail'!$D$31:$D$48))*Impacts!$F$15,IF(('Loading-rail'!$C$21)&lt;&gt;"No control",SUMIF(('Loading-rail'!$B$31:$B$48),$J2828,('Loading-rail'!$E$31:$E$48))*Impacts!$F$15,0)),0)</f>
        <v>0</v>
      </c>
      <c r="T2828" s="10">
        <f>IF(Flare!$C$7="",0,(SUMIF(Flare!$B$46:$B$185,$J2828,Flare!$E$46:$E$185)*Impacts!$F$16))</f>
        <v>0</v>
      </c>
      <c r="U2828" s="10">
        <f>IF(VCU!$C$9="",0,(SUMIF(VCU!$B$51:$B$193,$J2828,VCU!$E$51:$E$193)*Impacts!$F$17))</f>
        <v>0</v>
      </c>
      <c r="V2828" s="10">
        <f>IF(CAS!$C$7="",0,(SUMIF(CAS!$B$31:$B$167,$J2828,CAS!$E$31:$E$167)*Impacts!$F$18))</f>
        <v>0</v>
      </c>
      <c r="W2828" s="10">
        <f t="shared" si="84"/>
        <v>0</v>
      </c>
      <c r="AK2828" s="10" t="str">
        <f t="array" ref="AK2828">IFERROR(INDEX(SelectedSpecies,SMALL(IF(SelectedSpecies=AK$1,ROW(SelectedSpecies)),ROW(2829:2829)),2),"")</f>
        <v/>
      </c>
      <c r="BE2828" s="10"/>
      <c r="BI2828" s="10"/>
    </row>
    <row r="2829" spans="1:61" ht="21" customHeight="1" x14ac:dyDescent="0.25">
      <c r="A2829" s="10"/>
      <c r="B2829" s="10"/>
      <c r="E2829" s="10"/>
      <c r="G2829" s="10"/>
      <c r="I2829" s="436" t="s">
        <v>1128</v>
      </c>
      <c r="J2829" s="26" t="s">
        <v>1127</v>
      </c>
      <c r="K2829" s="10">
        <v>35</v>
      </c>
      <c r="L2829" s="73">
        <f>IF(Tank1!$C$23="No control",(SUMIF(Tank1!$B$32:$B$49,$J2829,Tank1!$C$32:$C$49)*Impacts!$F$8),0)</f>
        <v>0</v>
      </c>
      <c r="M2829" s="10">
        <f>IF(Tank2!$C$23="No control",(SUMIF(Tank2!$B$32:$B$49,$J2829,Tank2!$C$32:$C$49)*Impacts!$F$9),0)</f>
        <v>0</v>
      </c>
      <c r="N2829" s="10">
        <f>IF(Tank3!$C$23="No control",(SUMIF(Tank3!$B$32:$B$49,$J2829,Tank3!$C$32:$C$49)*Impacts!$F$10),0)</f>
        <v>0</v>
      </c>
      <c r="O2829" s="10">
        <f>IF(Tank4!$C$23="No control",(SUMIF(Tank4!$B$32:$B$49,$J2829,Tank4!$C$32:$C$49)*Impacts!$F$11),0)</f>
        <v>0</v>
      </c>
      <c r="P2829" s="10">
        <f>IF(Tank5!$C$23="No control",(SUMIF(Tank5!$B$32:$B$49,$J2829,Tank5!$C$32:$C$49)*Impacts!$F$12),0)</f>
        <v>0</v>
      </c>
      <c r="Q2829" s="10">
        <f>IFERROR(IF(('Loading-drum,tote'!$C$21)="No control",SUMIF(('Loading-drum,tote'!$B$31:$B$48),$J2829,('Loading-drum,tote'!$D$31:$D$48))*Impacts!$F$13,IF(('Loading-drum,tote'!$C$21)&lt;&gt;"No control",SUMIF(('Loading-drum,tote'!$B$31:$B$48),$J2829,('Loading-drum,tote'!$E$31:$E$48))*Impacts!$F$13,0)),0)</f>
        <v>0</v>
      </c>
      <c r="R2829" s="10">
        <f>IFERROR(IF(('Loading-truck'!$C$21)="No control",SUMIF(('Loading-truck'!$B$31:$B$48),$J2829,('Loading-truck'!$D$31:$D$48))*Impacts!$F$14,IF(('Loading-truck'!$C$21)&lt;&gt;"No control",SUMIF(('Loading-truck'!$B$31:$B$48),$J2829,('Loading-truck'!$E$31:$E$48))*Impacts!$F$14,0)),0)</f>
        <v>0</v>
      </c>
      <c r="S2829" s="10">
        <f>IFERROR(IF(('Loading-rail'!$C$21)="No control",SUMIF(('Loading-rail'!$B$31:$B$48),$J2829,('Loading-rail'!$D$31:$D$48))*Impacts!$F$15,IF(('Loading-rail'!$C$21)&lt;&gt;"No control",SUMIF(('Loading-rail'!$B$31:$B$48),$J2829,('Loading-rail'!$E$31:$E$48))*Impacts!$F$15,0)),0)</f>
        <v>0</v>
      </c>
      <c r="T2829" s="10">
        <f>IF(Flare!$C$7="",0,(SUMIF(Flare!$B$46:$B$185,$J2829,Flare!$E$46:$E$185)*Impacts!$F$16))</f>
        <v>0</v>
      </c>
      <c r="U2829" s="10">
        <f>IF(VCU!$C$9="",0,(SUMIF(VCU!$B$51:$B$193,$J2829,VCU!$E$51:$E$193)*Impacts!$F$17))</f>
        <v>0</v>
      </c>
      <c r="V2829" s="10">
        <f>IF(CAS!$C$7="",0,(SUMIF(CAS!$B$31:$B$167,$J2829,CAS!$E$31:$E$167)*Impacts!$F$18))</f>
        <v>0</v>
      </c>
      <c r="W2829" s="10">
        <f t="shared" si="84"/>
        <v>0</v>
      </c>
      <c r="AK2829" s="10" t="str">
        <f t="array" ref="AK2829">IFERROR(INDEX(SelectedSpecies,SMALL(IF(SelectedSpecies=AK$1,ROW(SelectedSpecies)),ROW(2830:2830)),2),"")</f>
        <v/>
      </c>
      <c r="BE2829" s="10"/>
      <c r="BI2829" s="10"/>
    </row>
    <row r="2830" spans="1:61" ht="21" customHeight="1" x14ac:dyDescent="0.25">
      <c r="A2830" s="10"/>
      <c r="B2830" s="10"/>
      <c r="E2830" s="10"/>
      <c r="G2830" s="10"/>
      <c r="I2830" s="436" t="s">
        <v>8200</v>
      </c>
      <c r="J2830" s="26" t="s">
        <v>8199</v>
      </c>
      <c r="K2830" s="10">
        <v>1.0000000000000002E-2</v>
      </c>
      <c r="L2830" s="73">
        <f>IF(Tank1!$C$23="No control",(SUMIF(Tank1!$B$32:$B$49,$J2830,Tank1!$C$32:$C$49)*Impacts!$F$8),0)</f>
        <v>0</v>
      </c>
      <c r="M2830" s="10">
        <f>IF(Tank2!$C$23="No control",(SUMIF(Tank2!$B$32:$B$49,$J2830,Tank2!$C$32:$C$49)*Impacts!$F$9),0)</f>
        <v>0</v>
      </c>
      <c r="N2830" s="10">
        <f>IF(Tank3!$C$23="No control",(SUMIF(Tank3!$B$32:$B$49,$J2830,Tank3!$C$32:$C$49)*Impacts!$F$10),0)</f>
        <v>0</v>
      </c>
      <c r="O2830" s="10">
        <f>IF(Tank4!$C$23="No control",(SUMIF(Tank4!$B$32:$B$49,$J2830,Tank4!$C$32:$C$49)*Impacts!$F$11),0)</f>
        <v>0</v>
      </c>
      <c r="P2830" s="10">
        <f>IF(Tank5!$C$23="No control",(SUMIF(Tank5!$B$32:$B$49,$J2830,Tank5!$C$32:$C$49)*Impacts!$F$12),0)</f>
        <v>0</v>
      </c>
      <c r="Q2830" s="10">
        <f>IFERROR(IF(('Loading-drum,tote'!$C$21)="No control",SUMIF(('Loading-drum,tote'!$B$31:$B$48),$J2830,('Loading-drum,tote'!$D$31:$D$48))*Impacts!$F$13,IF(('Loading-drum,tote'!$C$21)&lt;&gt;"No control",SUMIF(('Loading-drum,tote'!$B$31:$B$48),$J2830,('Loading-drum,tote'!$E$31:$E$48))*Impacts!$F$13,0)),0)</f>
        <v>0</v>
      </c>
      <c r="R2830" s="10">
        <f>IFERROR(IF(('Loading-truck'!$C$21)="No control",SUMIF(('Loading-truck'!$B$31:$B$48),$J2830,('Loading-truck'!$D$31:$D$48))*Impacts!$F$14,IF(('Loading-truck'!$C$21)&lt;&gt;"No control",SUMIF(('Loading-truck'!$B$31:$B$48),$J2830,('Loading-truck'!$E$31:$E$48))*Impacts!$F$14,0)),0)</f>
        <v>0</v>
      </c>
      <c r="S2830" s="10">
        <f>IFERROR(IF(('Loading-rail'!$C$21)="No control",SUMIF(('Loading-rail'!$B$31:$B$48),$J2830,('Loading-rail'!$D$31:$D$48))*Impacts!$F$15,IF(('Loading-rail'!$C$21)&lt;&gt;"No control",SUMIF(('Loading-rail'!$B$31:$B$48),$J2830,('Loading-rail'!$E$31:$E$48))*Impacts!$F$15,0)),0)</f>
        <v>0</v>
      </c>
      <c r="T2830" s="10">
        <f>IF(Flare!$C$7="",0,(SUMIF(Flare!$B$46:$B$185,$J2830,Flare!$E$46:$E$185)*Impacts!$F$16))</f>
        <v>0</v>
      </c>
      <c r="U2830" s="10">
        <f>IF(VCU!$C$9="",0,(SUMIF(VCU!$B$51:$B$193,$J2830,VCU!$E$51:$E$193)*Impacts!$F$17))</f>
        <v>0</v>
      </c>
      <c r="V2830" s="10">
        <f>IF(CAS!$C$7="",0,(SUMIF(CAS!$B$31:$B$167,$J2830,CAS!$E$31:$E$167)*Impacts!$F$18))</f>
        <v>0</v>
      </c>
      <c r="W2830" s="10">
        <f t="shared" si="84"/>
        <v>0</v>
      </c>
      <c r="AK2830" s="10" t="str">
        <f t="array" ref="AK2830">IFERROR(INDEX(SelectedSpecies,SMALL(IF(SelectedSpecies=AK$1,ROW(SelectedSpecies)),ROW(2831:2831)),2),"")</f>
        <v/>
      </c>
      <c r="BE2830" s="10"/>
      <c r="BI2830" s="10"/>
    </row>
    <row r="2831" spans="1:61" ht="21" customHeight="1" x14ac:dyDescent="0.25">
      <c r="A2831" s="10"/>
      <c r="B2831" s="10"/>
      <c r="E2831" s="10"/>
      <c r="G2831" s="10"/>
      <c r="I2831" s="436" t="s">
        <v>2333</v>
      </c>
      <c r="J2831" s="26" t="s">
        <v>2332</v>
      </c>
      <c r="K2831" s="10">
        <v>11.200000000000001</v>
      </c>
      <c r="L2831" s="73">
        <f>IF(Tank1!$C$23="No control",(SUMIF(Tank1!$B$32:$B$49,$J2831,Tank1!$C$32:$C$49)*Impacts!$F$8),0)</f>
        <v>0</v>
      </c>
      <c r="M2831" s="10">
        <f>IF(Tank2!$C$23="No control",(SUMIF(Tank2!$B$32:$B$49,$J2831,Tank2!$C$32:$C$49)*Impacts!$F$9),0)</f>
        <v>0</v>
      </c>
      <c r="N2831" s="10">
        <f>IF(Tank3!$C$23="No control",(SUMIF(Tank3!$B$32:$B$49,$J2831,Tank3!$C$32:$C$49)*Impacts!$F$10),0)</f>
        <v>0</v>
      </c>
      <c r="O2831" s="10">
        <f>IF(Tank4!$C$23="No control",(SUMIF(Tank4!$B$32:$B$49,$J2831,Tank4!$C$32:$C$49)*Impacts!$F$11),0)</f>
        <v>0</v>
      </c>
      <c r="P2831" s="10">
        <f>IF(Tank5!$C$23="No control",(SUMIF(Tank5!$B$32:$B$49,$J2831,Tank5!$C$32:$C$49)*Impacts!$F$12),0)</f>
        <v>0</v>
      </c>
      <c r="Q2831" s="10">
        <f>IFERROR(IF(('Loading-drum,tote'!$C$21)="No control",SUMIF(('Loading-drum,tote'!$B$31:$B$48),$J2831,('Loading-drum,tote'!$D$31:$D$48))*Impacts!$F$13,IF(('Loading-drum,tote'!$C$21)&lt;&gt;"No control",SUMIF(('Loading-drum,tote'!$B$31:$B$48),$J2831,('Loading-drum,tote'!$E$31:$E$48))*Impacts!$F$13,0)),0)</f>
        <v>0</v>
      </c>
      <c r="R2831" s="10">
        <f>IFERROR(IF(('Loading-truck'!$C$21)="No control",SUMIF(('Loading-truck'!$B$31:$B$48),$J2831,('Loading-truck'!$D$31:$D$48))*Impacts!$F$14,IF(('Loading-truck'!$C$21)&lt;&gt;"No control",SUMIF(('Loading-truck'!$B$31:$B$48),$J2831,('Loading-truck'!$E$31:$E$48))*Impacts!$F$14,0)),0)</f>
        <v>0</v>
      </c>
      <c r="S2831" s="10">
        <f>IFERROR(IF(('Loading-rail'!$C$21)="No control",SUMIF(('Loading-rail'!$B$31:$B$48),$J2831,('Loading-rail'!$D$31:$D$48))*Impacts!$F$15,IF(('Loading-rail'!$C$21)&lt;&gt;"No control",SUMIF(('Loading-rail'!$B$31:$B$48),$J2831,('Loading-rail'!$E$31:$E$48))*Impacts!$F$15,0)),0)</f>
        <v>0</v>
      </c>
      <c r="T2831" s="10">
        <f>IF(Flare!$C$7="",0,(SUMIF(Flare!$B$46:$B$185,$J2831,Flare!$E$46:$E$185)*Impacts!$F$16))</f>
        <v>0</v>
      </c>
      <c r="U2831" s="10">
        <f>IF(VCU!$C$9="",0,(SUMIF(VCU!$B$51:$B$193,$J2831,VCU!$E$51:$E$193)*Impacts!$F$17))</f>
        <v>0</v>
      </c>
      <c r="V2831" s="10">
        <f>IF(CAS!$C$7="",0,(SUMIF(CAS!$B$31:$B$167,$J2831,CAS!$E$31:$E$167)*Impacts!$F$18))</f>
        <v>0</v>
      </c>
      <c r="W2831" s="10">
        <f t="shared" si="84"/>
        <v>0</v>
      </c>
      <c r="AK2831" s="10" t="str">
        <f t="array" ref="AK2831">IFERROR(INDEX(SelectedSpecies,SMALL(IF(SelectedSpecies=AK$1,ROW(SelectedSpecies)),ROW(2832:2832)),2),"")</f>
        <v/>
      </c>
      <c r="BE2831" s="10"/>
      <c r="BI2831" s="10"/>
    </row>
    <row r="2832" spans="1:61" ht="21" customHeight="1" x14ac:dyDescent="0.25">
      <c r="A2832" s="10"/>
      <c r="B2832" s="10"/>
      <c r="E2832" s="10"/>
      <c r="G2832" s="10"/>
      <c r="I2832" s="436" t="s">
        <v>2335</v>
      </c>
      <c r="J2832" s="26" t="s">
        <v>2334</v>
      </c>
      <c r="K2832" s="10">
        <v>11.200000000000001</v>
      </c>
      <c r="L2832" s="73">
        <f>IF(Tank1!$C$23="No control",(SUMIF(Tank1!$B$32:$B$49,$J2832,Tank1!$C$32:$C$49)*Impacts!$F$8),0)</f>
        <v>0</v>
      </c>
      <c r="M2832" s="10">
        <f>IF(Tank2!$C$23="No control",(SUMIF(Tank2!$B$32:$B$49,$J2832,Tank2!$C$32:$C$49)*Impacts!$F$9),0)</f>
        <v>0</v>
      </c>
      <c r="N2832" s="10">
        <f>IF(Tank3!$C$23="No control",(SUMIF(Tank3!$B$32:$B$49,$J2832,Tank3!$C$32:$C$49)*Impacts!$F$10),0)</f>
        <v>0</v>
      </c>
      <c r="O2832" s="10">
        <f>IF(Tank4!$C$23="No control",(SUMIF(Tank4!$B$32:$B$49,$J2832,Tank4!$C$32:$C$49)*Impacts!$F$11),0)</f>
        <v>0</v>
      </c>
      <c r="P2832" s="10">
        <f>IF(Tank5!$C$23="No control",(SUMIF(Tank5!$B$32:$B$49,$J2832,Tank5!$C$32:$C$49)*Impacts!$F$12),0)</f>
        <v>0</v>
      </c>
      <c r="Q2832" s="10">
        <f>IFERROR(IF(('Loading-drum,tote'!$C$21)="No control",SUMIF(('Loading-drum,tote'!$B$31:$B$48),$J2832,('Loading-drum,tote'!$D$31:$D$48))*Impacts!$F$13,IF(('Loading-drum,tote'!$C$21)&lt;&gt;"No control",SUMIF(('Loading-drum,tote'!$B$31:$B$48),$J2832,('Loading-drum,tote'!$E$31:$E$48))*Impacts!$F$13,0)),0)</f>
        <v>0</v>
      </c>
      <c r="R2832" s="10">
        <f>IFERROR(IF(('Loading-truck'!$C$21)="No control",SUMIF(('Loading-truck'!$B$31:$B$48),$J2832,('Loading-truck'!$D$31:$D$48))*Impacts!$F$14,IF(('Loading-truck'!$C$21)&lt;&gt;"No control",SUMIF(('Loading-truck'!$B$31:$B$48),$J2832,('Loading-truck'!$E$31:$E$48))*Impacts!$F$14,0)),0)</f>
        <v>0</v>
      </c>
      <c r="S2832" s="10">
        <f>IFERROR(IF(('Loading-rail'!$C$21)="No control",SUMIF(('Loading-rail'!$B$31:$B$48),$J2832,('Loading-rail'!$D$31:$D$48))*Impacts!$F$15,IF(('Loading-rail'!$C$21)&lt;&gt;"No control",SUMIF(('Loading-rail'!$B$31:$B$48),$J2832,('Loading-rail'!$E$31:$E$48))*Impacts!$F$15,0)),0)</f>
        <v>0</v>
      </c>
      <c r="T2832" s="10">
        <f>IF(Flare!$C$7="",0,(SUMIF(Flare!$B$46:$B$185,$J2832,Flare!$E$46:$E$185)*Impacts!$F$16))</f>
        <v>0</v>
      </c>
      <c r="U2832" s="10">
        <f>IF(VCU!$C$9="",0,(SUMIF(VCU!$B$51:$B$193,$J2832,VCU!$E$51:$E$193)*Impacts!$F$17))</f>
        <v>0</v>
      </c>
      <c r="V2832" s="10">
        <f>IF(CAS!$C$7="",0,(SUMIF(CAS!$B$31:$B$167,$J2832,CAS!$E$31:$E$167)*Impacts!$F$18))</f>
        <v>0</v>
      </c>
      <c r="W2832" s="10">
        <f t="shared" si="84"/>
        <v>0</v>
      </c>
      <c r="AK2832" s="10" t="str">
        <f t="array" ref="AK2832">IFERROR(INDEX(SelectedSpecies,SMALL(IF(SelectedSpecies=AK$1,ROW(SelectedSpecies)),ROW(2833:2833)),2),"")</f>
        <v/>
      </c>
      <c r="BE2832" s="10"/>
      <c r="BI2832" s="10"/>
    </row>
    <row r="2833" spans="1:61" ht="21" customHeight="1" x14ac:dyDescent="0.25">
      <c r="A2833" s="10"/>
      <c r="B2833" s="10"/>
      <c r="E2833" s="10"/>
      <c r="G2833" s="10"/>
      <c r="I2833" s="436" t="s">
        <v>2359</v>
      </c>
      <c r="J2833" s="26" t="s">
        <v>2358</v>
      </c>
      <c r="K2833" s="10">
        <v>11</v>
      </c>
      <c r="L2833" s="73">
        <f>IF(Tank1!$C$23="No control",(SUMIF(Tank1!$B$32:$B$49,$J2833,Tank1!$C$32:$C$49)*Impacts!$F$8),0)</f>
        <v>0</v>
      </c>
      <c r="M2833" s="10">
        <f>IF(Tank2!$C$23="No control",(SUMIF(Tank2!$B$32:$B$49,$J2833,Tank2!$C$32:$C$49)*Impacts!$F$9),0)</f>
        <v>0</v>
      </c>
      <c r="N2833" s="10">
        <f>IF(Tank3!$C$23="No control",(SUMIF(Tank3!$B$32:$B$49,$J2833,Tank3!$C$32:$C$49)*Impacts!$F$10),0)</f>
        <v>0</v>
      </c>
      <c r="O2833" s="10">
        <f>IF(Tank4!$C$23="No control",(SUMIF(Tank4!$B$32:$B$49,$J2833,Tank4!$C$32:$C$49)*Impacts!$F$11),0)</f>
        <v>0</v>
      </c>
      <c r="P2833" s="10">
        <f>IF(Tank5!$C$23="No control",(SUMIF(Tank5!$B$32:$B$49,$J2833,Tank5!$C$32:$C$49)*Impacts!$F$12),0)</f>
        <v>0</v>
      </c>
      <c r="Q2833" s="10">
        <f>IFERROR(IF(('Loading-drum,tote'!$C$21)="No control",SUMIF(('Loading-drum,tote'!$B$31:$B$48),$J2833,('Loading-drum,tote'!$D$31:$D$48))*Impacts!$F$13,IF(('Loading-drum,tote'!$C$21)&lt;&gt;"No control",SUMIF(('Loading-drum,tote'!$B$31:$B$48),$J2833,('Loading-drum,tote'!$E$31:$E$48))*Impacts!$F$13,0)),0)</f>
        <v>0</v>
      </c>
      <c r="R2833" s="10">
        <f>IFERROR(IF(('Loading-truck'!$C$21)="No control",SUMIF(('Loading-truck'!$B$31:$B$48),$J2833,('Loading-truck'!$D$31:$D$48))*Impacts!$F$14,IF(('Loading-truck'!$C$21)&lt;&gt;"No control",SUMIF(('Loading-truck'!$B$31:$B$48),$J2833,('Loading-truck'!$E$31:$E$48))*Impacts!$F$14,0)),0)</f>
        <v>0</v>
      </c>
      <c r="S2833" s="10">
        <f>IFERROR(IF(('Loading-rail'!$C$21)="No control",SUMIF(('Loading-rail'!$B$31:$B$48),$J2833,('Loading-rail'!$D$31:$D$48))*Impacts!$F$15,IF(('Loading-rail'!$C$21)&lt;&gt;"No control",SUMIF(('Loading-rail'!$B$31:$B$48),$J2833,('Loading-rail'!$E$31:$E$48))*Impacts!$F$15,0)),0)</f>
        <v>0</v>
      </c>
      <c r="T2833" s="10">
        <f>IF(Flare!$C$7="",0,(SUMIF(Flare!$B$46:$B$185,$J2833,Flare!$E$46:$E$185)*Impacts!$F$16))</f>
        <v>0</v>
      </c>
      <c r="U2833" s="10">
        <f>IF(VCU!$C$9="",0,(SUMIF(VCU!$B$51:$B$193,$J2833,VCU!$E$51:$E$193)*Impacts!$F$17))</f>
        <v>0</v>
      </c>
      <c r="V2833" s="10">
        <f>IF(CAS!$C$7="",0,(SUMIF(CAS!$B$31:$B$167,$J2833,CAS!$E$31:$E$167)*Impacts!$F$18))</f>
        <v>0</v>
      </c>
      <c r="W2833" s="10">
        <f t="shared" si="84"/>
        <v>0</v>
      </c>
      <c r="AK2833" s="10" t="str">
        <f t="array" ref="AK2833">IFERROR(INDEX(SelectedSpecies,SMALL(IF(SelectedSpecies=AK$1,ROW(SelectedSpecies)),ROW(2834:2834)),2),"")</f>
        <v/>
      </c>
      <c r="BE2833" s="10"/>
      <c r="BI2833" s="10"/>
    </row>
    <row r="2834" spans="1:61" ht="21" customHeight="1" x14ac:dyDescent="0.25">
      <c r="A2834" s="10"/>
      <c r="B2834" s="10"/>
      <c r="E2834" s="10"/>
      <c r="G2834" s="10"/>
      <c r="I2834" s="436" t="s">
        <v>3061</v>
      </c>
      <c r="J2834" s="26" t="s">
        <v>3060</v>
      </c>
      <c r="K2834" s="10">
        <v>10</v>
      </c>
      <c r="L2834" s="73">
        <f>IF(Tank1!$C$23="No control",(SUMIF(Tank1!$B$32:$B$49,$J2834,Tank1!$C$32:$C$49)*Impacts!$F$8),0)</f>
        <v>0</v>
      </c>
      <c r="M2834" s="10">
        <f>IF(Tank2!$C$23="No control",(SUMIF(Tank2!$B$32:$B$49,$J2834,Tank2!$C$32:$C$49)*Impacts!$F$9),0)</f>
        <v>0</v>
      </c>
      <c r="N2834" s="10">
        <f>IF(Tank3!$C$23="No control",(SUMIF(Tank3!$B$32:$B$49,$J2834,Tank3!$C$32:$C$49)*Impacts!$F$10),0)</f>
        <v>0</v>
      </c>
      <c r="O2834" s="10">
        <f>IF(Tank4!$C$23="No control",(SUMIF(Tank4!$B$32:$B$49,$J2834,Tank4!$C$32:$C$49)*Impacts!$F$11),0)</f>
        <v>0</v>
      </c>
      <c r="P2834" s="10">
        <f>IF(Tank5!$C$23="No control",(SUMIF(Tank5!$B$32:$B$49,$J2834,Tank5!$C$32:$C$49)*Impacts!$F$12),0)</f>
        <v>0</v>
      </c>
      <c r="Q2834" s="10">
        <f>IFERROR(IF(('Loading-drum,tote'!$C$21)="No control",SUMIF(('Loading-drum,tote'!$B$31:$B$48),$J2834,('Loading-drum,tote'!$D$31:$D$48))*Impacts!$F$13,IF(('Loading-drum,tote'!$C$21)&lt;&gt;"No control",SUMIF(('Loading-drum,tote'!$B$31:$B$48),$J2834,('Loading-drum,tote'!$E$31:$E$48))*Impacts!$F$13,0)),0)</f>
        <v>0</v>
      </c>
      <c r="R2834" s="10">
        <f>IFERROR(IF(('Loading-truck'!$C$21)="No control",SUMIF(('Loading-truck'!$B$31:$B$48),$J2834,('Loading-truck'!$D$31:$D$48))*Impacts!$F$14,IF(('Loading-truck'!$C$21)&lt;&gt;"No control",SUMIF(('Loading-truck'!$B$31:$B$48),$J2834,('Loading-truck'!$E$31:$E$48))*Impacts!$F$14,0)),0)</f>
        <v>0</v>
      </c>
      <c r="S2834" s="10">
        <f>IFERROR(IF(('Loading-rail'!$C$21)="No control",SUMIF(('Loading-rail'!$B$31:$B$48),$J2834,('Loading-rail'!$D$31:$D$48))*Impacts!$F$15,IF(('Loading-rail'!$C$21)&lt;&gt;"No control",SUMIF(('Loading-rail'!$B$31:$B$48),$J2834,('Loading-rail'!$E$31:$E$48))*Impacts!$F$15,0)),0)</f>
        <v>0</v>
      </c>
      <c r="T2834" s="10">
        <f>IF(Flare!$C$7="",0,(SUMIF(Flare!$B$46:$B$185,$J2834,Flare!$E$46:$E$185)*Impacts!$F$16))</f>
        <v>0</v>
      </c>
      <c r="U2834" s="10">
        <f>IF(VCU!$C$9="",0,(SUMIF(VCU!$B$51:$B$193,$J2834,VCU!$E$51:$E$193)*Impacts!$F$17))</f>
        <v>0</v>
      </c>
      <c r="V2834" s="10">
        <f>IF(CAS!$C$7="",0,(SUMIF(CAS!$B$31:$B$167,$J2834,CAS!$E$31:$E$167)*Impacts!$F$18))</f>
        <v>0</v>
      </c>
      <c r="W2834" s="10">
        <f t="shared" si="84"/>
        <v>0</v>
      </c>
      <c r="AK2834" s="10" t="str">
        <f t="array" ref="AK2834">IFERROR(INDEX(SelectedSpecies,SMALL(IF(SelectedSpecies=AK$1,ROW(SelectedSpecies)),ROW(2835:2835)),2),"")</f>
        <v/>
      </c>
      <c r="BE2834" s="10"/>
      <c r="BI2834" s="10"/>
    </row>
    <row r="2835" spans="1:61" ht="21" customHeight="1" x14ac:dyDescent="0.25">
      <c r="A2835" s="10"/>
      <c r="B2835" s="10"/>
      <c r="E2835" s="10"/>
      <c r="G2835" s="10"/>
      <c r="I2835" s="436" t="s">
        <v>3063</v>
      </c>
      <c r="J2835" s="26" t="s">
        <v>3062</v>
      </c>
      <c r="K2835" s="10">
        <v>10</v>
      </c>
      <c r="L2835" s="73">
        <f>IF(Tank1!$C$23="No control",(SUMIF(Tank1!$B$32:$B$49,$J2835,Tank1!$C$32:$C$49)*Impacts!$F$8),0)</f>
        <v>0</v>
      </c>
      <c r="M2835" s="10">
        <f>IF(Tank2!$C$23="No control",(SUMIF(Tank2!$B$32:$B$49,$J2835,Tank2!$C$32:$C$49)*Impacts!$F$9),0)</f>
        <v>0</v>
      </c>
      <c r="N2835" s="10">
        <f>IF(Tank3!$C$23="No control",(SUMIF(Tank3!$B$32:$B$49,$J2835,Tank3!$C$32:$C$49)*Impacts!$F$10),0)</f>
        <v>0</v>
      </c>
      <c r="O2835" s="10">
        <f>IF(Tank4!$C$23="No control",(SUMIF(Tank4!$B$32:$B$49,$J2835,Tank4!$C$32:$C$49)*Impacts!$F$11),0)</f>
        <v>0</v>
      </c>
      <c r="P2835" s="10">
        <f>IF(Tank5!$C$23="No control",(SUMIF(Tank5!$B$32:$B$49,$J2835,Tank5!$C$32:$C$49)*Impacts!$F$12),0)</f>
        <v>0</v>
      </c>
      <c r="Q2835" s="10">
        <f>IFERROR(IF(('Loading-drum,tote'!$C$21)="No control",SUMIF(('Loading-drum,tote'!$B$31:$B$48),$J2835,('Loading-drum,tote'!$D$31:$D$48))*Impacts!$F$13,IF(('Loading-drum,tote'!$C$21)&lt;&gt;"No control",SUMIF(('Loading-drum,tote'!$B$31:$B$48),$J2835,('Loading-drum,tote'!$E$31:$E$48))*Impacts!$F$13,0)),0)</f>
        <v>0</v>
      </c>
      <c r="R2835" s="10">
        <f>IFERROR(IF(('Loading-truck'!$C$21)="No control",SUMIF(('Loading-truck'!$B$31:$B$48),$J2835,('Loading-truck'!$D$31:$D$48))*Impacts!$F$14,IF(('Loading-truck'!$C$21)&lt;&gt;"No control",SUMIF(('Loading-truck'!$B$31:$B$48),$J2835,('Loading-truck'!$E$31:$E$48))*Impacts!$F$14,0)),0)</f>
        <v>0</v>
      </c>
      <c r="S2835" s="10">
        <f>IFERROR(IF(('Loading-rail'!$C$21)="No control",SUMIF(('Loading-rail'!$B$31:$B$48),$J2835,('Loading-rail'!$D$31:$D$48))*Impacts!$F$15,IF(('Loading-rail'!$C$21)&lt;&gt;"No control",SUMIF(('Loading-rail'!$B$31:$B$48),$J2835,('Loading-rail'!$E$31:$E$48))*Impacts!$F$15,0)),0)</f>
        <v>0</v>
      </c>
      <c r="T2835" s="10">
        <f>IF(Flare!$C$7="",0,(SUMIF(Flare!$B$46:$B$185,$J2835,Flare!$E$46:$E$185)*Impacts!$F$16))</f>
        <v>0</v>
      </c>
      <c r="U2835" s="10">
        <f>IF(VCU!$C$9="",0,(SUMIF(VCU!$B$51:$B$193,$J2835,VCU!$E$51:$E$193)*Impacts!$F$17))</f>
        <v>0</v>
      </c>
      <c r="V2835" s="10">
        <f>IF(CAS!$C$7="",0,(SUMIF(CAS!$B$31:$B$167,$J2835,CAS!$E$31:$E$167)*Impacts!$F$18))</f>
        <v>0</v>
      </c>
      <c r="W2835" s="10">
        <f t="shared" si="84"/>
        <v>0</v>
      </c>
      <c r="AK2835" s="10" t="str">
        <f t="array" ref="AK2835">IFERROR(INDEX(SelectedSpecies,SMALL(IF(SelectedSpecies=AK$1,ROW(SelectedSpecies)),ROW(2836:2836)),2),"")</f>
        <v/>
      </c>
      <c r="BE2835" s="10"/>
      <c r="BI2835" s="10"/>
    </row>
    <row r="2836" spans="1:61" ht="21" customHeight="1" x14ac:dyDescent="0.25">
      <c r="A2836" s="10"/>
      <c r="B2836" s="10"/>
      <c r="E2836" s="10"/>
      <c r="G2836" s="10"/>
      <c r="I2836" s="436" t="s">
        <v>3065</v>
      </c>
      <c r="J2836" s="26" t="s">
        <v>3064</v>
      </c>
      <c r="K2836" s="10">
        <v>10</v>
      </c>
      <c r="L2836" s="73">
        <f>IF(Tank1!$C$23="No control",(SUMIF(Tank1!$B$32:$B$49,$J2836,Tank1!$C$32:$C$49)*Impacts!$F$8),0)</f>
        <v>0</v>
      </c>
      <c r="M2836" s="10">
        <f>IF(Tank2!$C$23="No control",(SUMIF(Tank2!$B$32:$B$49,$J2836,Tank2!$C$32:$C$49)*Impacts!$F$9),0)</f>
        <v>0</v>
      </c>
      <c r="N2836" s="10">
        <f>IF(Tank3!$C$23="No control",(SUMIF(Tank3!$B$32:$B$49,$J2836,Tank3!$C$32:$C$49)*Impacts!$F$10),0)</f>
        <v>0</v>
      </c>
      <c r="O2836" s="10">
        <f>IF(Tank4!$C$23="No control",(SUMIF(Tank4!$B$32:$B$49,$J2836,Tank4!$C$32:$C$49)*Impacts!$F$11),0)</f>
        <v>0</v>
      </c>
      <c r="P2836" s="10">
        <f>IF(Tank5!$C$23="No control",(SUMIF(Tank5!$B$32:$B$49,$J2836,Tank5!$C$32:$C$49)*Impacts!$F$12),0)</f>
        <v>0</v>
      </c>
      <c r="Q2836" s="10">
        <f>IFERROR(IF(('Loading-drum,tote'!$C$21)="No control",SUMIF(('Loading-drum,tote'!$B$31:$B$48),$J2836,('Loading-drum,tote'!$D$31:$D$48))*Impacts!$F$13,IF(('Loading-drum,tote'!$C$21)&lt;&gt;"No control",SUMIF(('Loading-drum,tote'!$B$31:$B$48),$J2836,('Loading-drum,tote'!$E$31:$E$48))*Impacts!$F$13,0)),0)</f>
        <v>0</v>
      </c>
      <c r="R2836" s="10">
        <f>IFERROR(IF(('Loading-truck'!$C$21)="No control",SUMIF(('Loading-truck'!$B$31:$B$48),$J2836,('Loading-truck'!$D$31:$D$48))*Impacts!$F$14,IF(('Loading-truck'!$C$21)&lt;&gt;"No control",SUMIF(('Loading-truck'!$B$31:$B$48),$J2836,('Loading-truck'!$E$31:$E$48))*Impacts!$F$14,0)),0)</f>
        <v>0</v>
      </c>
      <c r="S2836" s="10">
        <f>IFERROR(IF(('Loading-rail'!$C$21)="No control",SUMIF(('Loading-rail'!$B$31:$B$48),$J2836,('Loading-rail'!$D$31:$D$48))*Impacts!$F$15,IF(('Loading-rail'!$C$21)&lt;&gt;"No control",SUMIF(('Loading-rail'!$B$31:$B$48),$J2836,('Loading-rail'!$E$31:$E$48))*Impacts!$F$15,0)),0)</f>
        <v>0</v>
      </c>
      <c r="T2836" s="10">
        <f>IF(Flare!$C$7="",0,(SUMIF(Flare!$B$46:$B$185,$J2836,Flare!$E$46:$E$185)*Impacts!$F$16))</f>
        <v>0</v>
      </c>
      <c r="U2836" s="10">
        <f>IF(VCU!$C$9="",0,(SUMIF(VCU!$B$51:$B$193,$J2836,VCU!$E$51:$E$193)*Impacts!$F$17))</f>
        <v>0</v>
      </c>
      <c r="V2836" s="10">
        <f>IF(CAS!$C$7="",0,(SUMIF(CAS!$B$31:$B$167,$J2836,CAS!$E$31:$E$167)*Impacts!$F$18))</f>
        <v>0</v>
      </c>
      <c r="W2836" s="10">
        <f t="shared" si="84"/>
        <v>0</v>
      </c>
      <c r="AK2836" s="10" t="str">
        <f t="array" ref="AK2836">IFERROR(INDEX(SelectedSpecies,SMALL(IF(SelectedSpecies=AK$1,ROW(SelectedSpecies)),ROW(2837:2837)),2),"")</f>
        <v/>
      </c>
      <c r="BE2836" s="10"/>
      <c r="BI2836" s="10"/>
    </row>
    <row r="2837" spans="1:61" ht="21" customHeight="1" x14ac:dyDescent="0.25">
      <c r="A2837" s="10"/>
      <c r="B2837" s="10"/>
      <c r="E2837" s="10"/>
      <c r="G2837" s="10"/>
      <c r="I2837" s="436" t="s">
        <v>3067</v>
      </c>
      <c r="J2837" s="26" t="s">
        <v>3066</v>
      </c>
      <c r="K2837" s="10">
        <v>10</v>
      </c>
      <c r="L2837" s="73">
        <f>IF(Tank1!$C$23="No control",(SUMIF(Tank1!$B$32:$B$49,$J2837,Tank1!$C$32:$C$49)*Impacts!$F$8),0)</f>
        <v>0</v>
      </c>
      <c r="M2837" s="10">
        <f>IF(Tank2!$C$23="No control",(SUMIF(Tank2!$B$32:$B$49,$J2837,Tank2!$C$32:$C$49)*Impacts!$F$9),0)</f>
        <v>0</v>
      </c>
      <c r="N2837" s="10">
        <f>IF(Tank3!$C$23="No control",(SUMIF(Tank3!$B$32:$B$49,$J2837,Tank3!$C$32:$C$49)*Impacts!$F$10),0)</f>
        <v>0</v>
      </c>
      <c r="O2837" s="10">
        <f>IF(Tank4!$C$23="No control",(SUMIF(Tank4!$B$32:$B$49,$J2837,Tank4!$C$32:$C$49)*Impacts!$F$11),0)</f>
        <v>0</v>
      </c>
      <c r="P2837" s="10">
        <f>IF(Tank5!$C$23="No control",(SUMIF(Tank5!$B$32:$B$49,$J2837,Tank5!$C$32:$C$49)*Impacts!$F$12),0)</f>
        <v>0</v>
      </c>
      <c r="Q2837" s="10">
        <f>IFERROR(IF(('Loading-drum,tote'!$C$21)="No control",SUMIF(('Loading-drum,tote'!$B$31:$B$48),$J2837,('Loading-drum,tote'!$D$31:$D$48))*Impacts!$F$13,IF(('Loading-drum,tote'!$C$21)&lt;&gt;"No control",SUMIF(('Loading-drum,tote'!$B$31:$B$48),$J2837,('Loading-drum,tote'!$E$31:$E$48))*Impacts!$F$13,0)),0)</f>
        <v>0</v>
      </c>
      <c r="R2837" s="10">
        <f>IFERROR(IF(('Loading-truck'!$C$21)="No control",SUMIF(('Loading-truck'!$B$31:$B$48),$J2837,('Loading-truck'!$D$31:$D$48))*Impacts!$F$14,IF(('Loading-truck'!$C$21)&lt;&gt;"No control",SUMIF(('Loading-truck'!$B$31:$B$48),$J2837,('Loading-truck'!$E$31:$E$48))*Impacts!$F$14,0)),0)</f>
        <v>0</v>
      </c>
      <c r="S2837" s="10">
        <f>IFERROR(IF(('Loading-rail'!$C$21)="No control",SUMIF(('Loading-rail'!$B$31:$B$48),$J2837,('Loading-rail'!$D$31:$D$48))*Impacts!$F$15,IF(('Loading-rail'!$C$21)&lt;&gt;"No control",SUMIF(('Loading-rail'!$B$31:$B$48),$J2837,('Loading-rail'!$E$31:$E$48))*Impacts!$F$15,0)),0)</f>
        <v>0</v>
      </c>
      <c r="T2837" s="10">
        <f>IF(Flare!$C$7="",0,(SUMIF(Flare!$B$46:$B$185,$J2837,Flare!$E$46:$E$185)*Impacts!$F$16))</f>
        <v>0</v>
      </c>
      <c r="U2837" s="10">
        <f>IF(VCU!$C$9="",0,(SUMIF(VCU!$B$51:$B$193,$J2837,VCU!$E$51:$E$193)*Impacts!$F$17))</f>
        <v>0</v>
      </c>
      <c r="V2837" s="10">
        <f>IF(CAS!$C$7="",0,(SUMIF(CAS!$B$31:$B$167,$J2837,CAS!$E$31:$E$167)*Impacts!$F$18))</f>
        <v>0</v>
      </c>
      <c r="W2837" s="10">
        <f t="shared" si="84"/>
        <v>0</v>
      </c>
      <c r="AK2837" s="10" t="str">
        <f t="array" ref="AK2837">IFERROR(INDEX(SelectedSpecies,SMALL(IF(SelectedSpecies=AK$1,ROW(SelectedSpecies)),ROW(2838:2838)),2),"")</f>
        <v/>
      </c>
      <c r="BE2837" s="10"/>
      <c r="BI2837" s="10"/>
    </row>
    <row r="2838" spans="1:61" ht="21" customHeight="1" x14ac:dyDescent="0.25">
      <c r="A2838" s="10"/>
      <c r="B2838" s="10"/>
      <c r="E2838" s="10"/>
      <c r="G2838" s="10"/>
      <c r="I2838" s="436" t="s">
        <v>3069</v>
      </c>
      <c r="J2838" s="26" t="s">
        <v>3068</v>
      </c>
      <c r="K2838" s="10">
        <v>10</v>
      </c>
      <c r="L2838" s="73">
        <f>IF(Tank1!$C$23="No control",(SUMIF(Tank1!$B$32:$B$49,$J2838,Tank1!$C$32:$C$49)*Impacts!$F$8),0)</f>
        <v>0</v>
      </c>
      <c r="M2838" s="10">
        <f>IF(Tank2!$C$23="No control",(SUMIF(Tank2!$B$32:$B$49,$J2838,Tank2!$C$32:$C$49)*Impacts!$F$9),0)</f>
        <v>0</v>
      </c>
      <c r="N2838" s="10">
        <f>IF(Tank3!$C$23="No control",(SUMIF(Tank3!$B$32:$B$49,$J2838,Tank3!$C$32:$C$49)*Impacts!$F$10),0)</f>
        <v>0</v>
      </c>
      <c r="O2838" s="10">
        <f>IF(Tank4!$C$23="No control",(SUMIF(Tank4!$B$32:$B$49,$J2838,Tank4!$C$32:$C$49)*Impacts!$F$11),0)</f>
        <v>0</v>
      </c>
      <c r="P2838" s="10">
        <f>IF(Tank5!$C$23="No control",(SUMIF(Tank5!$B$32:$B$49,$J2838,Tank5!$C$32:$C$49)*Impacts!$F$12),0)</f>
        <v>0</v>
      </c>
      <c r="Q2838" s="10">
        <f>IFERROR(IF(('Loading-drum,tote'!$C$21)="No control",SUMIF(('Loading-drum,tote'!$B$31:$B$48),$J2838,('Loading-drum,tote'!$D$31:$D$48))*Impacts!$F$13,IF(('Loading-drum,tote'!$C$21)&lt;&gt;"No control",SUMIF(('Loading-drum,tote'!$B$31:$B$48),$J2838,('Loading-drum,tote'!$E$31:$E$48))*Impacts!$F$13,0)),0)</f>
        <v>0</v>
      </c>
      <c r="R2838" s="10">
        <f>IFERROR(IF(('Loading-truck'!$C$21)="No control",SUMIF(('Loading-truck'!$B$31:$B$48),$J2838,('Loading-truck'!$D$31:$D$48))*Impacts!$F$14,IF(('Loading-truck'!$C$21)&lt;&gt;"No control",SUMIF(('Loading-truck'!$B$31:$B$48),$J2838,('Loading-truck'!$E$31:$E$48))*Impacts!$F$14,0)),0)</f>
        <v>0</v>
      </c>
      <c r="S2838" s="10">
        <f>IFERROR(IF(('Loading-rail'!$C$21)="No control",SUMIF(('Loading-rail'!$B$31:$B$48),$J2838,('Loading-rail'!$D$31:$D$48))*Impacts!$F$15,IF(('Loading-rail'!$C$21)&lt;&gt;"No control",SUMIF(('Loading-rail'!$B$31:$B$48),$J2838,('Loading-rail'!$E$31:$E$48))*Impacts!$F$15,0)),0)</f>
        <v>0</v>
      </c>
      <c r="T2838" s="10">
        <f>IF(Flare!$C$7="",0,(SUMIF(Flare!$B$46:$B$185,$J2838,Flare!$E$46:$E$185)*Impacts!$F$16))</f>
        <v>0</v>
      </c>
      <c r="U2838" s="10">
        <f>IF(VCU!$C$9="",0,(SUMIF(VCU!$B$51:$B$193,$J2838,VCU!$E$51:$E$193)*Impacts!$F$17))</f>
        <v>0</v>
      </c>
      <c r="V2838" s="10">
        <f>IF(CAS!$C$7="",0,(SUMIF(CAS!$B$31:$B$167,$J2838,CAS!$E$31:$E$167)*Impacts!$F$18))</f>
        <v>0</v>
      </c>
      <c r="W2838" s="10">
        <f t="shared" si="84"/>
        <v>0</v>
      </c>
      <c r="AK2838" s="10" t="str">
        <f t="array" ref="AK2838">IFERROR(INDEX(SelectedSpecies,SMALL(IF(SelectedSpecies=AK$1,ROW(SelectedSpecies)),ROW(2839:2839)),2),"")</f>
        <v/>
      </c>
      <c r="BE2838" s="10"/>
      <c r="BI2838" s="10"/>
    </row>
    <row r="2839" spans="1:61" ht="21" customHeight="1" x14ac:dyDescent="0.25">
      <c r="A2839" s="10"/>
      <c r="B2839" s="10"/>
      <c r="E2839" s="10"/>
      <c r="G2839" s="10"/>
      <c r="I2839" s="436" t="s">
        <v>6896</v>
      </c>
      <c r="J2839" s="26" t="s">
        <v>6895</v>
      </c>
      <c r="K2839" s="10">
        <v>0.5</v>
      </c>
      <c r="L2839" s="73">
        <f>IF(Tank1!$C$23="No control",(SUMIF(Tank1!$B$32:$B$49,$J2839,Tank1!$C$32:$C$49)*Impacts!$F$8),0)</f>
        <v>0</v>
      </c>
      <c r="M2839" s="10">
        <f>IF(Tank2!$C$23="No control",(SUMIF(Tank2!$B$32:$B$49,$J2839,Tank2!$C$32:$C$49)*Impacts!$F$9),0)</f>
        <v>0</v>
      </c>
      <c r="N2839" s="10">
        <f>IF(Tank3!$C$23="No control",(SUMIF(Tank3!$B$32:$B$49,$J2839,Tank3!$C$32:$C$49)*Impacts!$F$10),0)</f>
        <v>0</v>
      </c>
      <c r="O2839" s="10">
        <f>IF(Tank4!$C$23="No control",(SUMIF(Tank4!$B$32:$B$49,$J2839,Tank4!$C$32:$C$49)*Impacts!$F$11),0)</f>
        <v>0</v>
      </c>
      <c r="P2839" s="10">
        <f>IF(Tank5!$C$23="No control",(SUMIF(Tank5!$B$32:$B$49,$J2839,Tank5!$C$32:$C$49)*Impacts!$F$12),0)</f>
        <v>0</v>
      </c>
      <c r="Q2839" s="10">
        <f>IFERROR(IF(('Loading-drum,tote'!$C$21)="No control",SUMIF(('Loading-drum,tote'!$B$31:$B$48),$J2839,('Loading-drum,tote'!$D$31:$D$48))*Impacts!$F$13,IF(('Loading-drum,tote'!$C$21)&lt;&gt;"No control",SUMIF(('Loading-drum,tote'!$B$31:$B$48),$J2839,('Loading-drum,tote'!$E$31:$E$48))*Impacts!$F$13,0)),0)</f>
        <v>0</v>
      </c>
      <c r="R2839" s="10">
        <f>IFERROR(IF(('Loading-truck'!$C$21)="No control",SUMIF(('Loading-truck'!$B$31:$B$48),$J2839,('Loading-truck'!$D$31:$D$48))*Impacts!$F$14,IF(('Loading-truck'!$C$21)&lt;&gt;"No control",SUMIF(('Loading-truck'!$B$31:$B$48),$J2839,('Loading-truck'!$E$31:$E$48))*Impacts!$F$14,0)),0)</f>
        <v>0</v>
      </c>
      <c r="S2839" s="10">
        <f>IFERROR(IF(('Loading-rail'!$C$21)="No control",SUMIF(('Loading-rail'!$B$31:$B$48),$J2839,('Loading-rail'!$D$31:$D$48))*Impacts!$F$15,IF(('Loading-rail'!$C$21)&lt;&gt;"No control",SUMIF(('Loading-rail'!$B$31:$B$48),$J2839,('Loading-rail'!$E$31:$E$48))*Impacts!$F$15,0)),0)</f>
        <v>0</v>
      </c>
      <c r="T2839" s="10">
        <f>IF(Flare!$C$7="",0,(SUMIF(Flare!$B$46:$B$185,$J2839,Flare!$E$46:$E$185)*Impacts!$F$16))</f>
        <v>0</v>
      </c>
      <c r="U2839" s="10">
        <f>IF(VCU!$C$9="",0,(SUMIF(VCU!$B$51:$B$193,$J2839,VCU!$E$51:$E$193)*Impacts!$F$17))</f>
        <v>0</v>
      </c>
      <c r="V2839" s="10">
        <f>IF(CAS!$C$7="",0,(SUMIF(CAS!$B$31:$B$167,$J2839,CAS!$E$31:$E$167)*Impacts!$F$18))</f>
        <v>0</v>
      </c>
      <c r="W2839" s="10">
        <f t="shared" si="84"/>
        <v>0</v>
      </c>
      <c r="AK2839" s="10" t="str">
        <f t="array" ref="AK2839">IFERROR(INDEX(SelectedSpecies,SMALL(IF(SelectedSpecies=AK$1,ROW(SelectedSpecies)),ROW(2840:2840)),2),"")</f>
        <v/>
      </c>
      <c r="BE2839" s="10"/>
      <c r="BI2839" s="10"/>
    </row>
    <row r="2840" spans="1:61" ht="21" customHeight="1" x14ac:dyDescent="0.25">
      <c r="A2840" s="10"/>
      <c r="B2840" s="10"/>
      <c r="E2840" s="10"/>
      <c r="G2840" s="10"/>
      <c r="I2840" s="436" t="s">
        <v>554</v>
      </c>
      <c r="J2840" s="26" t="s">
        <v>553</v>
      </c>
      <c r="K2840" s="10">
        <v>100</v>
      </c>
      <c r="L2840" s="73">
        <f>IF(Tank1!$C$23="No control",(SUMIF(Tank1!$B$32:$B$49,$J2840,Tank1!$C$32:$C$49)*Impacts!$F$8),0)</f>
        <v>0</v>
      </c>
      <c r="M2840" s="10">
        <f>IF(Tank2!$C$23="No control",(SUMIF(Tank2!$B$32:$B$49,$J2840,Tank2!$C$32:$C$49)*Impacts!$F$9),0)</f>
        <v>0</v>
      </c>
      <c r="N2840" s="10">
        <f>IF(Tank3!$C$23="No control",(SUMIF(Tank3!$B$32:$B$49,$J2840,Tank3!$C$32:$C$49)*Impacts!$F$10),0)</f>
        <v>0</v>
      </c>
      <c r="O2840" s="10">
        <f>IF(Tank4!$C$23="No control",(SUMIF(Tank4!$B$32:$B$49,$J2840,Tank4!$C$32:$C$49)*Impacts!$F$11),0)</f>
        <v>0</v>
      </c>
      <c r="P2840" s="10">
        <f>IF(Tank5!$C$23="No control",(SUMIF(Tank5!$B$32:$B$49,$J2840,Tank5!$C$32:$C$49)*Impacts!$F$12),0)</f>
        <v>0</v>
      </c>
      <c r="Q2840" s="10">
        <f>IFERROR(IF(('Loading-drum,tote'!$C$21)="No control",SUMIF(('Loading-drum,tote'!$B$31:$B$48),$J2840,('Loading-drum,tote'!$D$31:$D$48))*Impacts!$F$13,IF(('Loading-drum,tote'!$C$21)&lt;&gt;"No control",SUMIF(('Loading-drum,tote'!$B$31:$B$48),$J2840,('Loading-drum,tote'!$E$31:$E$48))*Impacts!$F$13,0)),0)</f>
        <v>0</v>
      </c>
      <c r="R2840" s="10">
        <f>IFERROR(IF(('Loading-truck'!$C$21)="No control",SUMIF(('Loading-truck'!$B$31:$B$48),$J2840,('Loading-truck'!$D$31:$D$48))*Impacts!$F$14,IF(('Loading-truck'!$C$21)&lt;&gt;"No control",SUMIF(('Loading-truck'!$B$31:$B$48),$J2840,('Loading-truck'!$E$31:$E$48))*Impacts!$F$14,0)),0)</f>
        <v>0</v>
      </c>
      <c r="S2840" s="10">
        <f>IFERROR(IF(('Loading-rail'!$C$21)="No control",SUMIF(('Loading-rail'!$B$31:$B$48),$J2840,('Loading-rail'!$D$31:$D$48))*Impacts!$F$15,IF(('Loading-rail'!$C$21)&lt;&gt;"No control",SUMIF(('Loading-rail'!$B$31:$B$48),$J2840,('Loading-rail'!$E$31:$E$48))*Impacts!$F$15,0)),0)</f>
        <v>0</v>
      </c>
      <c r="T2840" s="10">
        <f>IF(Flare!$C$7="",0,(SUMIF(Flare!$B$46:$B$185,$J2840,Flare!$E$46:$E$185)*Impacts!$F$16))</f>
        <v>0</v>
      </c>
      <c r="U2840" s="10">
        <f>IF(VCU!$C$9="",0,(SUMIF(VCU!$B$51:$B$193,$J2840,VCU!$E$51:$E$193)*Impacts!$F$17))</f>
        <v>0</v>
      </c>
      <c r="V2840" s="10">
        <f>IF(CAS!$C$7="",0,(SUMIF(CAS!$B$31:$B$167,$J2840,CAS!$E$31:$E$167)*Impacts!$F$18))</f>
        <v>0</v>
      </c>
      <c r="W2840" s="10">
        <f t="shared" si="84"/>
        <v>0</v>
      </c>
      <c r="AK2840" s="10" t="str">
        <f t="array" ref="AK2840">IFERROR(INDEX(SelectedSpecies,SMALL(IF(SelectedSpecies=AK$1,ROW(SelectedSpecies)),ROW(2841:2841)),2),"")</f>
        <v/>
      </c>
      <c r="BE2840" s="10"/>
      <c r="BI2840" s="10"/>
    </row>
    <row r="2841" spans="1:61" ht="21" customHeight="1" x14ac:dyDescent="0.25">
      <c r="A2841" s="10"/>
      <c r="B2841" s="10"/>
      <c r="E2841" s="10"/>
      <c r="G2841" s="10"/>
      <c r="I2841" s="436" t="s">
        <v>5355</v>
      </c>
      <c r="J2841" s="26" t="s">
        <v>5354</v>
      </c>
      <c r="K2841" s="10">
        <v>1.6</v>
      </c>
      <c r="L2841" s="73">
        <f>IF(Tank1!$C$23="No control",(SUMIF(Tank1!$B$32:$B$49,$J2841,Tank1!$C$32:$C$49)*Impacts!$F$8),0)</f>
        <v>0</v>
      </c>
      <c r="M2841" s="10">
        <f>IF(Tank2!$C$23="No control",(SUMIF(Tank2!$B$32:$B$49,$J2841,Tank2!$C$32:$C$49)*Impacts!$F$9),0)</f>
        <v>0</v>
      </c>
      <c r="N2841" s="10">
        <f>IF(Tank3!$C$23="No control",(SUMIF(Tank3!$B$32:$B$49,$J2841,Tank3!$C$32:$C$49)*Impacts!$F$10),0)</f>
        <v>0</v>
      </c>
      <c r="O2841" s="10">
        <f>IF(Tank4!$C$23="No control",(SUMIF(Tank4!$B$32:$B$49,$J2841,Tank4!$C$32:$C$49)*Impacts!$F$11),0)</f>
        <v>0</v>
      </c>
      <c r="P2841" s="10">
        <f>IF(Tank5!$C$23="No control",(SUMIF(Tank5!$B$32:$B$49,$J2841,Tank5!$C$32:$C$49)*Impacts!$F$12),0)</f>
        <v>0</v>
      </c>
      <c r="Q2841" s="10">
        <f>IFERROR(IF(('Loading-drum,tote'!$C$21)="No control",SUMIF(('Loading-drum,tote'!$B$31:$B$48),$J2841,('Loading-drum,tote'!$D$31:$D$48))*Impacts!$F$13,IF(('Loading-drum,tote'!$C$21)&lt;&gt;"No control",SUMIF(('Loading-drum,tote'!$B$31:$B$48),$J2841,('Loading-drum,tote'!$E$31:$E$48))*Impacts!$F$13,0)),0)</f>
        <v>0</v>
      </c>
      <c r="R2841" s="10">
        <f>IFERROR(IF(('Loading-truck'!$C$21)="No control",SUMIF(('Loading-truck'!$B$31:$B$48),$J2841,('Loading-truck'!$D$31:$D$48))*Impacts!$F$14,IF(('Loading-truck'!$C$21)&lt;&gt;"No control",SUMIF(('Loading-truck'!$B$31:$B$48),$J2841,('Loading-truck'!$E$31:$E$48))*Impacts!$F$14,0)),0)</f>
        <v>0</v>
      </c>
      <c r="S2841" s="10">
        <f>IFERROR(IF(('Loading-rail'!$C$21)="No control",SUMIF(('Loading-rail'!$B$31:$B$48),$J2841,('Loading-rail'!$D$31:$D$48))*Impacts!$F$15,IF(('Loading-rail'!$C$21)&lt;&gt;"No control",SUMIF(('Loading-rail'!$B$31:$B$48),$J2841,('Loading-rail'!$E$31:$E$48))*Impacts!$F$15,0)),0)</f>
        <v>0</v>
      </c>
      <c r="T2841" s="10">
        <f>IF(Flare!$C$7="",0,(SUMIF(Flare!$B$46:$B$185,$J2841,Flare!$E$46:$E$185)*Impacts!$F$16))</f>
        <v>0</v>
      </c>
      <c r="U2841" s="10">
        <f>IF(VCU!$C$9="",0,(SUMIF(VCU!$B$51:$B$193,$J2841,VCU!$E$51:$E$193)*Impacts!$F$17))</f>
        <v>0</v>
      </c>
      <c r="V2841" s="10">
        <f>IF(CAS!$C$7="",0,(SUMIF(CAS!$B$31:$B$167,$J2841,CAS!$E$31:$E$167)*Impacts!$F$18))</f>
        <v>0</v>
      </c>
      <c r="W2841" s="10">
        <f t="shared" si="84"/>
        <v>0</v>
      </c>
      <c r="AK2841" s="10" t="str">
        <f t="array" ref="AK2841">IFERROR(INDEX(SelectedSpecies,SMALL(IF(SelectedSpecies=AK$1,ROW(SelectedSpecies)),ROW(2842:2842)),2),"")</f>
        <v/>
      </c>
      <c r="BE2841" s="10"/>
      <c r="BI2841" s="10"/>
    </row>
    <row r="2842" spans="1:61" ht="21" customHeight="1" x14ac:dyDescent="0.25">
      <c r="A2842" s="10"/>
      <c r="B2842" s="10"/>
      <c r="E2842" s="10"/>
      <c r="G2842" s="10"/>
      <c r="I2842" s="436" t="s">
        <v>596</v>
      </c>
      <c r="J2842" s="26" t="s">
        <v>595</v>
      </c>
      <c r="K2842" s="10">
        <v>81.800000000000011</v>
      </c>
      <c r="L2842" s="73">
        <f>IF(Tank1!$C$23="No control",(SUMIF(Tank1!$B$32:$B$49,$J2842,Tank1!$C$32:$C$49)*Impacts!$F$8),0)</f>
        <v>0</v>
      </c>
      <c r="M2842" s="10">
        <f>IF(Tank2!$C$23="No control",(SUMIF(Tank2!$B$32:$B$49,$J2842,Tank2!$C$32:$C$49)*Impacts!$F$9),0)</f>
        <v>0</v>
      </c>
      <c r="N2842" s="10">
        <f>IF(Tank3!$C$23="No control",(SUMIF(Tank3!$B$32:$B$49,$J2842,Tank3!$C$32:$C$49)*Impacts!$F$10),0)</f>
        <v>0</v>
      </c>
      <c r="O2842" s="10">
        <f>IF(Tank4!$C$23="No control",(SUMIF(Tank4!$B$32:$B$49,$J2842,Tank4!$C$32:$C$49)*Impacts!$F$11),0)</f>
        <v>0</v>
      </c>
      <c r="P2842" s="10">
        <f>IF(Tank5!$C$23="No control",(SUMIF(Tank5!$B$32:$B$49,$J2842,Tank5!$C$32:$C$49)*Impacts!$F$12),0)</f>
        <v>0</v>
      </c>
      <c r="Q2842" s="10">
        <f>IFERROR(IF(('Loading-drum,tote'!$C$21)="No control",SUMIF(('Loading-drum,tote'!$B$31:$B$48),$J2842,('Loading-drum,tote'!$D$31:$D$48))*Impacts!$F$13,IF(('Loading-drum,tote'!$C$21)&lt;&gt;"No control",SUMIF(('Loading-drum,tote'!$B$31:$B$48),$J2842,('Loading-drum,tote'!$E$31:$E$48))*Impacts!$F$13,0)),0)</f>
        <v>0</v>
      </c>
      <c r="R2842" s="10">
        <f>IFERROR(IF(('Loading-truck'!$C$21)="No control",SUMIF(('Loading-truck'!$B$31:$B$48),$J2842,('Loading-truck'!$D$31:$D$48))*Impacts!$F$14,IF(('Loading-truck'!$C$21)&lt;&gt;"No control",SUMIF(('Loading-truck'!$B$31:$B$48),$J2842,('Loading-truck'!$E$31:$E$48))*Impacts!$F$14,0)),0)</f>
        <v>0</v>
      </c>
      <c r="S2842" s="10">
        <f>IFERROR(IF(('Loading-rail'!$C$21)="No control",SUMIF(('Loading-rail'!$B$31:$B$48),$J2842,('Loading-rail'!$D$31:$D$48))*Impacts!$F$15,IF(('Loading-rail'!$C$21)&lt;&gt;"No control",SUMIF(('Loading-rail'!$B$31:$B$48),$J2842,('Loading-rail'!$E$31:$E$48))*Impacts!$F$15,0)),0)</f>
        <v>0</v>
      </c>
      <c r="T2842" s="10">
        <f>IF(Flare!$C$7="",0,(SUMIF(Flare!$B$46:$B$185,$J2842,Flare!$E$46:$E$185)*Impacts!$F$16))</f>
        <v>0</v>
      </c>
      <c r="U2842" s="10">
        <f>IF(VCU!$C$9="",0,(SUMIF(VCU!$B$51:$B$193,$J2842,VCU!$E$51:$E$193)*Impacts!$F$17))</f>
        <v>0</v>
      </c>
      <c r="V2842" s="10">
        <f>IF(CAS!$C$7="",0,(SUMIF(CAS!$B$31:$B$167,$J2842,CAS!$E$31:$E$167)*Impacts!$F$18))</f>
        <v>0</v>
      </c>
      <c r="W2842" s="10">
        <f t="shared" ref="W2842:W2905" si="85">SUM(L2842:V2842)</f>
        <v>0</v>
      </c>
      <c r="AK2842" s="10" t="str">
        <f t="array" ref="AK2842">IFERROR(INDEX(SelectedSpecies,SMALL(IF(SelectedSpecies=AK$1,ROW(SelectedSpecies)),ROW(2843:2843)),2),"")</f>
        <v/>
      </c>
      <c r="BE2842" s="10"/>
      <c r="BI2842" s="10"/>
    </row>
    <row r="2843" spans="1:61" ht="21" customHeight="1" x14ac:dyDescent="0.25">
      <c r="A2843" s="10"/>
      <c r="B2843" s="10"/>
      <c r="E2843" s="10"/>
      <c r="G2843" s="10"/>
      <c r="I2843" s="436" t="s">
        <v>7368</v>
      </c>
      <c r="J2843" s="26" t="s">
        <v>7367</v>
      </c>
      <c r="K2843" s="10">
        <v>0.25</v>
      </c>
      <c r="L2843" s="73">
        <f>IF(Tank1!$C$23="No control",(SUMIF(Tank1!$B$32:$B$49,$J2843,Tank1!$C$32:$C$49)*Impacts!$F$8),0)</f>
        <v>0</v>
      </c>
      <c r="M2843" s="10">
        <f>IF(Tank2!$C$23="No control",(SUMIF(Tank2!$B$32:$B$49,$J2843,Tank2!$C$32:$C$49)*Impacts!$F$9),0)</f>
        <v>0</v>
      </c>
      <c r="N2843" s="10">
        <f>IF(Tank3!$C$23="No control",(SUMIF(Tank3!$B$32:$B$49,$J2843,Tank3!$C$32:$C$49)*Impacts!$F$10),0)</f>
        <v>0</v>
      </c>
      <c r="O2843" s="10">
        <f>IF(Tank4!$C$23="No control",(SUMIF(Tank4!$B$32:$B$49,$J2843,Tank4!$C$32:$C$49)*Impacts!$F$11),0)</f>
        <v>0</v>
      </c>
      <c r="P2843" s="10">
        <f>IF(Tank5!$C$23="No control",(SUMIF(Tank5!$B$32:$B$49,$J2843,Tank5!$C$32:$C$49)*Impacts!$F$12),0)</f>
        <v>0</v>
      </c>
      <c r="Q2843" s="10">
        <f>IFERROR(IF(('Loading-drum,tote'!$C$21)="No control",SUMIF(('Loading-drum,tote'!$B$31:$B$48),$J2843,('Loading-drum,tote'!$D$31:$D$48))*Impacts!$F$13,IF(('Loading-drum,tote'!$C$21)&lt;&gt;"No control",SUMIF(('Loading-drum,tote'!$B$31:$B$48),$J2843,('Loading-drum,tote'!$E$31:$E$48))*Impacts!$F$13,0)),0)</f>
        <v>0</v>
      </c>
      <c r="R2843" s="10">
        <f>IFERROR(IF(('Loading-truck'!$C$21)="No control",SUMIF(('Loading-truck'!$B$31:$B$48),$J2843,('Loading-truck'!$D$31:$D$48))*Impacts!$F$14,IF(('Loading-truck'!$C$21)&lt;&gt;"No control",SUMIF(('Loading-truck'!$B$31:$B$48),$J2843,('Loading-truck'!$E$31:$E$48))*Impacts!$F$14,0)),0)</f>
        <v>0</v>
      </c>
      <c r="S2843" s="10">
        <f>IFERROR(IF(('Loading-rail'!$C$21)="No control",SUMIF(('Loading-rail'!$B$31:$B$48),$J2843,('Loading-rail'!$D$31:$D$48))*Impacts!$F$15,IF(('Loading-rail'!$C$21)&lt;&gt;"No control",SUMIF(('Loading-rail'!$B$31:$B$48),$J2843,('Loading-rail'!$E$31:$E$48))*Impacts!$F$15,0)),0)</f>
        <v>0</v>
      </c>
      <c r="T2843" s="10">
        <f>IF(Flare!$C$7="",0,(SUMIF(Flare!$B$46:$B$185,$J2843,Flare!$E$46:$E$185)*Impacts!$F$16))</f>
        <v>0</v>
      </c>
      <c r="U2843" s="10">
        <f>IF(VCU!$C$9="",0,(SUMIF(VCU!$B$51:$B$193,$J2843,VCU!$E$51:$E$193)*Impacts!$F$17))</f>
        <v>0</v>
      </c>
      <c r="V2843" s="10">
        <f>IF(CAS!$C$7="",0,(SUMIF(CAS!$B$31:$B$167,$J2843,CAS!$E$31:$E$167)*Impacts!$F$18))</f>
        <v>0</v>
      </c>
      <c r="W2843" s="10">
        <f t="shared" si="85"/>
        <v>0</v>
      </c>
      <c r="AK2843" s="10" t="str">
        <f t="array" ref="AK2843">IFERROR(INDEX(SelectedSpecies,SMALL(IF(SelectedSpecies=AK$1,ROW(SelectedSpecies)),ROW(2844:2844)),2),"")</f>
        <v/>
      </c>
      <c r="BE2843" s="10"/>
      <c r="BI2843" s="10"/>
    </row>
    <row r="2844" spans="1:61" ht="21" customHeight="1" x14ac:dyDescent="0.25">
      <c r="A2844" s="10"/>
      <c r="B2844" s="10"/>
      <c r="E2844" s="10"/>
      <c r="G2844" s="10"/>
      <c r="I2844" s="436" t="s">
        <v>5379</v>
      </c>
      <c r="J2844" s="26" t="s">
        <v>5378</v>
      </c>
      <c r="K2844" s="10">
        <v>1.5</v>
      </c>
      <c r="L2844" s="73">
        <f>IF(Tank1!$C$23="No control",(SUMIF(Tank1!$B$32:$B$49,$J2844,Tank1!$C$32:$C$49)*Impacts!$F$8),0)</f>
        <v>0</v>
      </c>
      <c r="M2844" s="10">
        <f>IF(Tank2!$C$23="No control",(SUMIF(Tank2!$B$32:$B$49,$J2844,Tank2!$C$32:$C$49)*Impacts!$F$9),0)</f>
        <v>0</v>
      </c>
      <c r="N2844" s="10">
        <f>IF(Tank3!$C$23="No control",(SUMIF(Tank3!$B$32:$B$49,$J2844,Tank3!$C$32:$C$49)*Impacts!$F$10),0)</f>
        <v>0</v>
      </c>
      <c r="O2844" s="10">
        <f>IF(Tank4!$C$23="No control",(SUMIF(Tank4!$B$32:$B$49,$J2844,Tank4!$C$32:$C$49)*Impacts!$F$11),0)</f>
        <v>0</v>
      </c>
      <c r="P2844" s="10">
        <f>IF(Tank5!$C$23="No control",(SUMIF(Tank5!$B$32:$B$49,$J2844,Tank5!$C$32:$C$49)*Impacts!$F$12),0)</f>
        <v>0</v>
      </c>
      <c r="Q2844" s="10">
        <f>IFERROR(IF(('Loading-drum,tote'!$C$21)="No control",SUMIF(('Loading-drum,tote'!$B$31:$B$48),$J2844,('Loading-drum,tote'!$D$31:$D$48))*Impacts!$F$13,IF(('Loading-drum,tote'!$C$21)&lt;&gt;"No control",SUMIF(('Loading-drum,tote'!$B$31:$B$48),$J2844,('Loading-drum,tote'!$E$31:$E$48))*Impacts!$F$13,0)),0)</f>
        <v>0</v>
      </c>
      <c r="R2844" s="10">
        <f>IFERROR(IF(('Loading-truck'!$C$21)="No control",SUMIF(('Loading-truck'!$B$31:$B$48),$J2844,('Loading-truck'!$D$31:$D$48))*Impacts!$F$14,IF(('Loading-truck'!$C$21)&lt;&gt;"No control",SUMIF(('Loading-truck'!$B$31:$B$48),$J2844,('Loading-truck'!$E$31:$E$48))*Impacts!$F$14,0)),0)</f>
        <v>0</v>
      </c>
      <c r="S2844" s="10">
        <f>IFERROR(IF(('Loading-rail'!$C$21)="No control",SUMIF(('Loading-rail'!$B$31:$B$48),$J2844,('Loading-rail'!$D$31:$D$48))*Impacts!$F$15,IF(('Loading-rail'!$C$21)&lt;&gt;"No control",SUMIF(('Loading-rail'!$B$31:$B$48),$J2844,('Loading-rail'!$E$31:$E$48))*Impacts!$F$15,0)),0)</f>
        <v>0</v>
      </c>
      <c r="T2844" s="10">
        <f>IF(Flare!$C$7="",0,(SUMIF(Flare!$B$46:$B$185,$J2844,Flare!$E$46:$E$185)*Impacts!$F$16))</f>
        <v>0</v>
      </c>
      <c r="U2844" s="10">
        <f>IF(VCU!$C$9="",0,(SUMIF(VCU!$B$51:$B$193,$J2844,VCU!$E$51:$E$193)*Impacts!$F$17))</f>
        <v>0</v>
      </c>
      <c r="V2844" s="10">
        <f>IF(CAS!$C$7="",0,(SUMIF(CAS!$B$31:$B$167,$J2844,CAS!$E$31:$E$167)*Impacts!$F$18))</f>
        <v>0</v>
      </c>
      <c r="W2844" s="10">
        <f t="shared" si="85"/>
        <v>0</v>
      </c>
      <c r="AK2844" s="10" t="str">
        <f t="array" ref="AK2844">IFERROR(INDEX(SelectedSpecies,SMALL(IF(SelectedSpecies=AK$1,ROW(SelectedSpecies)),ROW(2845:2845)),2),"")</f>
        <v/>
      </c>
      <c r="BE2844" s="10"/>
      <c r="BI2844" s="10"/>
    </row>
    <row r="2845" spans="1:61" ht="21" customHeight="1" x14ac:dyDescent="0.25">
      <c r="A2845" s="10"/>
      <c r="B2845" s="10"/>
      <c r="E2845" s="10"/>
      <c r="G2845" s="10"/>
      <c r="I2845" s="436" t="s">
        <v>3821</v>
      </c>
      <c r="J2845" s="26" t="s">
        <v>3820</v>
      </c>
      <c r="K2845" s="10">
        <v>6</v>
      </c>
      <c r="L2845" s="73">
        <f>IF(Tank1!$C$23="No control",(SUMIF(Tank1!$B$32:$B$49,$J2845,Tank1!$C$32:$C$49)*Impacts!$F$8),0)</f>
        <v>0</v>
      </c>
      <c r="M2845" s="10">
        <f>IF(Tank2!$C$23="No control",(SUMIF(Tank2!$B$32:$B$49,$J2845,Tank2!$C$32:$C$49)*Impacts!$F$9),0)</f>
        <v>0</v>
      </c>
      <c r="N2845" s="10">
        <f>IF(Tank3!$C$23="No control",(SUMIF(Tank3!$B$32:$B$49,$J2845,Tank3!$C$32:$C$49)*Impacts!$F$10),0)</f>
        <v>0</v>
      </c>
      <c r="O2845" s="10">
        <f>IF(Tank4!$C$23="No control",(SUMIF(Tank4!$B$32:$B$49,$J2845,Tank4!$C$32:$C$49)*Impacts!$F$11),0)</f>
        <v>0</v>
      </c>
      <c r="P2845" s="10">
        <f>IF(Tank5!$C$23="No control",(SUMIF(Tank5!$B$32:$B$49,$J2845,Tank5!$C$32:$C$49)*Impacts!$F$12),0)</f>
        <v>0</v>
      </c>
      <c r="Q2845" s="10">
        <f>IFERROR(IF(('Loading-drum,tote'!$C$21)="No control",SUMIF(('Loading-drum,tote'!$B$31:$B$48),$J2845,('Loading-drum,tote'!$D$31:$D$48))*Impacts!$F$13,IF(('Loading-drum,tote'!$C$21)&lt;&gt;"No control",SUMIF(('Loading-drum,tote'!$B$31:$B$48),$J2845,('Loading-drum,tote'!$E$31:$E$48))*Impacts!$F$13,0)),0)</f>
        <v>0</v>
      </c>
      <c r="R2845" s="10">
        <f>IFERROR(IF(('Loading-truck'!$C$21)="No control",SUMIF(('Loading-truck'!$B$31:$B$48),$J2845,('Loading-truck'!$D$31:$D$48))*Impacts!$F$14,IF(('Loading-truck'!$C$21)&lt;&gt;"No control",SUMIF(('Loading-truck'!$B$31:$B$48),$J2845,('Loading-truck'!$E$31:$E$48))*Impacts!$F$14,0)),0)</f>
        <v>0</v>
      </c>
      <c r="S2845" s="10">
        <f>IFERROR(IF(('Loading-rail'!$C$21)="No control",SUMIF(('Loading-rail'!$B$31:$B$48),$J2845,('Loading-rail'!$D$31:$D$48))*Impacts!$F$15,IF(('Loading-rail'!$C$21)&lt;&gt;"No control",SUMIF(('Loading-rail'!$B$31:$B$48),$J2845,('Loading-rail'!$E$31:$E$48))*Impacts!$F$15,0)),0)</f>
        <v>0</v>
      </c>
      <c r="T2845" s="10">
        <f>IF(Flare!$C$7="",0,(SUMIF(Flare!$B$46:$B$185,$J2845,Flare!$E$46:$E$185)*Impacts!$F$16))</f>
        <v>0</v>
      </c>
      <c r="U2845" s="10">
        <f>IF(VCU!$C$9="",0,(SUMIF(VCU!$B$51:$B$193,$J2845,VCU!$E$51:$E$193)*Impacts!$F$17))</f>
        <v>0</v>
      </c>
      <c r="V2845" s="10">
        <f>IF(CAS!$C$7="",0,(SUMIF(CAS!$B$31:$B$167,$J2845,CAS!$E$31:$E$167)*Impacts!$F$18))</f>
        <v>0</v>
      </c>
      <c r="W2845" s="10">
        <f t="shared" si="85"/>
        <v>0</v>
      </c>
      <c r="AK2845" s="10" t="str">
        <f t="array" ref="AK2845">IFERROR(INDEX(SelectedSpecies,SMALL(IF(SelectedSpecies=AK$1,ROW(SelectedSpecies)),ROW(2846:2846)),2),"")</f>
        <v/>
      </c>
      <c r="BE2845" s="10"/>
      <c r="BI2845" s="10"/>
    </row>
    <row r="2846" spans="1:61" ht="21" customHeight="1" x14ac:dyDescent="0.25">
      <c r="A2846" s="10"/>
      <c r="B2846" s="10"/>
      <c r="E2846" s="10"/>
      <c r="G2846" s="10"/>
      <c r="I2846" s="436" t="s">
        <v>3823</v>
      </c>
      <c r="J2846" s="26" t="s">
        <v>3822</v>
      </c>
      <c r="K2846" s="10">
        <v>6</v>
      </c>
      <c r="L2846" s="73">
        <f>IF(Tank1!$C$23="No control",(SUMIF(Tank1!$B$32:$B$49,$J2846,Tank1!$C$32:$C$49)*Impacts!$F$8),0)</f>
        <v>0</v>
      </c>
      <c r="M2846" s="10">
        <f>IF(Tank2!$C$23="No control",(SUMIF(Tank2!$B$32:$B$49,$J2846,Tank2!$C$32:$C$49)*Impacts!$F$9),0)</f>
        <v>0</v>
      </c>
      <c r="N2846" s="10">
        <f>IF(Tank3!$C$23="No control",(SUMIF(Tank3!$B$32:$B$49,$J2846,Tank3!$C$32:$C$49)*Impacts!$F$10),0)</f>
        <v>0</v>
      </c>
      <c r="O2846" s="10">
        <f>IF(Tank4!$C$23="No control",(SUMIF(Tank4!$B$32:$B$49,$J2846,Tank4!$C$32:$C$49)*Impacts!$F$11),0)</f>
        <v>0</v>
      </c>
      <c r="P2846" s="10">
        <f>IF(Tank5!$C$23="No control",(SUMIF(Tank5!$B$32:$B$49,$J2846,Tank5!$C$32:$C$49)*Impacts!$F$12),0)</f>
        <v>0</v>
      </c>
      <c r="Q2846" s="10">
        <f>IFERROR(IF(('Loading-drum,tote'!$C$21)="No control",SUMIF(('Loading-drum,tote'!$B$31:$B$48),$J2846,('Loading-drum,tote'!$D$31:$D$48))*Impacts!$F$13,IF(('Loading-drum,tote'!$C$21)&lt;&gt;"No control",SUMIF(('Loading-drum,tote'!$B$31:$B$48),$J2846,('Loading-drum,tote'!$E$31:$E$48))*Impacts!$F$13,0)),0)</f>
        <v>0</v>
      </c>
      <c r="R2846" s="10">
        <f>IFERROR(IF(('Loading-truck'!$C$21)="No control",SUMIF(('Loading-truck'!$B$31:$B$48),$J2846,('Loading-truck'!$D$31:$D$48))*Impacts!$F$14,IF(('Loading-truck'!$C$21)&lt;&gt;"No control",SUMIF(('Loading-truck'!$B$31:$B$48),$J2846,('Loading-truck'!$E$31:$E$48))*Impacts!$F$14,0)),0)</f>
        <v>0</v>
      </c>
      <c r="S2846" s="10">
        <f>IFERROR(IF(('Loading-rail'!$C$21)="No control",SUMIF(('Loading-rail'!$B$31:$B$48),$J2846,('Loading-rail'!$D$31:$D$48))*Impacts!$F$15,IF(('Loading-rail'!$C$21)&lt;&gt;"No control",SUMIF(('Loading-rail'!$B$31:$B$48),$J2846,('Loading-rail'!$E$31:$E$48))*Impacts!$F$15,0)),0)</f>
        <v>0</v>
      </c>
      <c r="T2846" s="10">
        <f>IF(Flare!$C$7="",0,(SUMIF(Flare!$B$46:$B$185,$J2846,Flare!$E$46:$E$185)*Impacts!$F$16))</f>
        <v>0</v>
      </c>
      <c r="U2846" s="10">
        <f>IF(VCU!$C$9="",0,(SUMIF(VCU!$B$51:$B$193,$J2846,VCU!$E$51:$E$193)*Impacts!$F$17))</f>
        <v>0</v>
      </c>
      <c r="V2846" s="10">
        <f>IF(CAS!$C$7="",0,(SUMIF(CAS!$B$31:$B$167,$J2846,CAS!$E$31:$E$167)*Impacts!$F$18))</f>
        <v>0</v>
      </c>
      <c r="W2846" s="10">
        <f t="shared" si="85"/>
        <v>0</v>
      </c>
      <c r="AK2846" s="10" t="str">
        <f t="array" ref="AK2846">IFERROR(INDEX(SelectedSpecies,SMALL(IF(SelectedSpecies=AK$1,ROW(SelectedSpecies)),ROW(2847:2847)),2),"")</f>
        <v/>
      </c>
      <c r="BE2846" s="10"/>
      <c r="BI2846" s="10"/>
    </row>
    <row r="2847" spans="1:61" ht="21" customHeight="1" x14ac:dyDescent="0.25">
      <c r="A2847" s="10"/>
      <c r="B2847" s="10"/>
      <c r="E2847" s="10"/>
      <c r="G2847" s="10"/>
      <c r="I2847" s="436" t="s">
        <v>1867</v>
      </c>
      <c r="J2847" s="26" t="s">
        <v>1866</v>
      </c>
      <c r="K2847" s="10">
        <v>20</v>
      </c>
      <c r="L2847" s="73">
        <f>IF(Tank1!$C$23="No control",(SUMIF(Tank1!$B$32:$B$49,$J2847,Tank1!$C$32:$C$49)*Impacts!$F$8),0)</f>
        <v>0</v>
      </c>
      <c r="M2847" s="10">
        <f>IF(Tank2!$C$23="No control",(SUMIF(Tank2!$B$32:$B$49,$J2847,Tank2!$C$32:$C$49)*Impacts!$F$9),0)</f>
        <v>0</v>
      </c>
      <c r="N2847" s="10">
        <f>IF(Tank3!$C$23="No control",(SUMIF(Tank3!$B$32:$B$49,$J2847,Tank3!$C$32:$C$49)*Impacts!$F$10),0)</f>
        <v>0</v>
      </c>
      <c r="O2847" s="10">
        <f>IF(Tank4!$C$23="No control",(SUMIF(Tank4!$B$32:$B$49,$J2847,Tank4!$C$32:$C$49)*Impacts!$F$11),0)</f>
        <v>0</v>
      </c>
      <c r="P2847" s="10">
        <f>IF(Tank5!$C$23="No control",(SUMIF(Tank5!$B$32:$B$49,$J2847,Tank5!$C$32:$C$49)*Impacts!$F$12),0)</f>
        <v>0</v>
      </c>
      <c r="Q2847" s="10">
        <f>IFERROR(IF(('Loading-drum,tote'!$C$21)="No control",SUMIF(('Loading-drum,tote'!$B$31:$B$48),$J2847,('Loading-drum,tote'!$D$31:$D$48))*Impacts!$F$13,IF(('Loading-drum,tote'!$C$21)&lt;&gt;"No control",SUMIF(('Loading-drum,tote'!$B$31:$B$48),$J2847,('Loading-drum,tote'!$E$31:$E$48))*Impacts!$F$13,0)),0)</f>
        <v>0</v>
      </c>
      <c r="R2847" s="10">
        <f>IFERROR(IF(('Loading-truck'!$C$21)="No control",SUMIF(('Loading-truck'!$B$31:$B$48),$J2847,('Loading-truck'!$D$31:$D$48))*Impacts!$F$14,IF(('Loading-truck'!$C$21)&lt;&gt;"No control",SUMIF(('Loading-truck'!$B$31:$B$48),$J2847,('Loading-truck'!$E$31:$E$48))*Impacts!$F$14,0)),0)</f>
        <v>0</v>
      </c>
      <c r="S2847" s="10">
        <f>IFERROR(IF(('Loading-rail'!$C$21)="No control",SUMIF(('Loading-rail'!$B$31:$B$48),$J2847,('Loading-rail'!$D$31:$D$48))*Impacts!$F$15,IF(('Loading-rail'!$C$21)&lt;&gt;"No control",SUMIF(('Loading-rail'!$B$31:$B$48),$J2847,('Loading-rail'!$E$31:$E$48))*Impacts!$F$15,0)),0)</f>
        <v>0</v>
      </c>
      <c r="T2847" s="10">
        <f>IF(Flare!$C$7="",0,(SUMIF(Flare!$B$46:$B$185,$J2847,Flare!$E$46:$E$185)*Impacts!$F$16))</f>
        <v>0</v>
      </c>
      <c r="U2847" s="10">
        <f>IF(VCU!$C$9="",0,(SUMIF(VCU!$B$51:$B$193,$J2847,VCU!$E$51:$E$193)*Impacts!$F$17))</f>
        <v>0</v>
      </c>
      <c r="V2847" s="10">
        <f>IF(CAS!$C$7="",0,(SUMIF(CAS!$B$31:$B$167,$J2847,CAS!$E$31:$E$167)*Impacts!$F$18))</f>
        <v>0</v>
      </c>
      <c r="W2847" s="10">
        <f t="shared" si="85"/>
        <v>0</v>
      </c>
      <c r="AK2847" s="10" t="str">
        <f t="array" ref="AK2847">IFERROR(INDEX(SelectedSpecies,SMALL(IF(SelectedSpecies=AK$1,ROW(SelectedSpecies)),ROW(2848:2848)),2),"")</f>
        <v/>
      </c>
      <c r="BE2847" s="10"/>
      <c r="BI2847" s="10"/>
    </row>
    <row r="2848" spans="1:61" ht="21" customHeight="1" x14ac:dyDescent="0.25">
      <c r="A2848" s="10"/>
      <c r="B2848" s="10"/>
      <c r="E2848" s="10"/>
      <c r="G2848" s="10"/>
      <c r="I2848" s="436" t="s">
        <v>7520</v>
      </c>
      <c r="J2848" s="26" t="s">
        <v>7519</v>
      </c>
      <c r="K2848" s="10">
        <v>0.2</v>
      </c>
      <c r="L2848" s="73">
        <f>IF(Tank1!$C$23="No control",(SUMIF(Tank1!$B$32:$B$49,$J2848,Tank1!$C$32:$C$49)*Impacts!$F$8),0)</f>
        <v>0</v>
      </c>
      <c r="M2848" s="10">
        <f>IF(Tank2!$C$23="No control",(SUMIF(Tank2!$B$32:$B$49,$J2848,Tank2!$C$32:$C$49)*Impacts!$F$9),0)</f>
        <v>0</v>
      </c>
      <c r="N2848" s="10">
        <f>IF(Tank3!$C$23="No control",(SUMIF(Tank3!$B$32:$B$49,$J2848,Tank3!$C$32:$C$49)*Impacts!$F$10),0)</f>
        <v>0</v>
      </c>
      <c r="O2848" s="10">
        <f>IF(Tank4!$C$23="No control",(SUMIF(Tank4!$B$32:$B$49,$J2848,Tank4!$C$32:$C$49)*Impacts!$F$11),0)</f>
        <v>0</v>
      </c>
      <c r="P2848" s="10">
        <f>IF(Tank5!$C$23="No control",(SUMIF(Tank5!$B$32:$B$49,$J2848,Tank5!$C$32:$C$49)*Impacts!$F$12),0)</f>
        <v>0</v>
      </c>
      <c r="Q2848" s="10">
        <f>IFERROR(IF(('Loading-drum,tote'!$C$21)="No control",SUMIF(('Loading-drum,tote'!$B$31:$B$48),$J2848,('Loading-drum,tote'!$D$31:$D$48))*Impacts!$F$13,IF(('Loading-drum,tote'!$C$21)&lt;&gt;"No control",SUMIF(('Loading-drum,tote'!$B$31:$B$48),$J2848,('Loading-drum,tote'!$E$31:$E$48))*Impacts!$F$13,0)),0)</f>
        <v>0</v>
      </c>
      <c r="R2848" s="10">
        <f>IFERROR(IF(('Loading-truck'!$C$21)="No control",SUMIF(('Loading-truck'!$B$31:$B$48),$J2848,('Loading-truck'!$D$31:$D$48))*Impacts!$F$14,IF(('Loading-truck'!$C$21)&lt;&gt;"No control",SUMIF(('Loading-truck'!$B$31:$B$48),$J2848,('Loading-truck'!$E$31:$E$48))*Impacts!$F$14,0)),0)</f>
        <v>0</v>
      </c>
      <c r="S2848" s="10">
        <f>IFERROR(IF(('Loading-rail'!$C$21)="No control",SUMIF(('Loading-rail'!$B$31:$B$48),$J2848,('Loading-rail'!$D$31:$D$48))*Impacts!$F$15,IF(('Loading-rail'!$C$21)&lt;&gt;"No control",SUMIF(('Loading-rail'!$B$31:$B$48),$J2848,('Loading-rail'!$E$31:$E$48))*Impacts!$F$15,0)),0)</f>
        <v>0</v>
      </c>
      <c r="T2848" s="10">
        <f>IF(Flare!$C$7="",0,(SUMIF(Flare!$B$46:$B$185,$J2848,Flare!$E$46:$E$185)*Impacts!$F$16))</f>
        <v>0</v>
      </c>
      <c r="U2848" s="10">
        <f>IF(VCU!$C$9="",0,(SUMIF(VCU!$B$51:$B$193,$J2848,VCU!$E$51:$E$193)*Impacts!$F$17))</f>
        <v>0</v>
      </c>
      <c r="V2848" s="10">
        <f>IF(CAS!$C$7="",0,(SUMIF(CAS!$B$31:$B$167,$J2848,CAS!$E$31:$E$167)*Impacts!$F$18))</f>
        <v>0</v>
      </c>
      <c r="W2848" s="10">
        <f t="shared" si="85"/>
        <v>0</v>
      </c>
      <c r="AK2848" s="10" t="str">
        <f t="array" ref="AK2848">IFERROR(INDEX(SelectedSpecies,SMALL(IF(SelectedSpecies=AK$1,ROW(SelectedSpecies)),ROW(2849:2849)),2),"")</f>
        <v/>
      </c>
      <c r="BE2848" s="10"/>
      <c r="BI2848" s="10"/>
    </row>
    <row r="2849" spans="1:61" ht="21" customHeight="1" x14ac:dyDescent="0.25">
      <c r="A2849" s="10"/>
      <c r="B2849" s="10"/>
      <c r="E2849" s="10"/>
      <c r="G2849" s="10"/>
      <c r="I2849" s="436" t="s">
        <v>7934</v>
      </c>
      <c r="J2849" s="26" t="s">
        <v>7933</v>
      </c>
      <c r="K2849" s="10">
        <v>0.05</v>
      </c>
      <c r="L2849" s="73">
        <f>IF(Tank1!$C$23="No control",(SUMIF(Tank1!$B$32:$B$49,$J2849,Tank1!$C$32:$C$49)*Impacts!$F$8),0)</f>
        <v>0</v>
      </c>
      <c r="M2849" s="10">
        <f>IF(Tank2!$C$23="No control",(SUMIF(Tank2!$B$32:$B$49,$J2849,Tank2!$C$32:$C$49)*Impacts!$F$9),0)</f>
        <v>0</v>
      </c>
      <c r="N2849" s="10">
        <f>IF(Tank3!$C$23="No control",(SUMIF(Tank3!$B$32:$B$49,$J2849,Tank3!$C$32:$C$49)*Impacts!$F$10),0)</f>
        <v>0</v>
      </c>
      <c r="O2849" s="10">
        <f>IF(Tank4!$C$23="No control",(SUMIF(Tank4!$B$32:$B$49,$J2849,Tank4!$C$32:$C$49)*Impacts!$F$11),0)</f>
        <v>0</v>
      </c>
      <c r="P2849" s="10">
        <f>IF(Tank5!$C$23="No control",(SUMIF(Tank5!$B$32:$B$49,$J2849,Tank5!$C$32:$C$49)*Impacts!$F$12),0)</f>
        <v>0</v>
      </c>
      <c r="Q2849" s="10">
        <f>IFERROR(IF(('Loading-drum,tote'!$C$21)="No control",SUMIF(('Loading-drum,tote'!$B$31:$B$48),$J2849,('Loading-drum,tote'!$D$31:$D$48))*Impacts!$F$13,IF(('Loading-drum,tote'!$C$21)&lt;&gt;"No control",SUMIF(('Loading-drum,tote'!$B$31:$B$48),$J2849,('Loading-drum,tote'!$E$31:$E$48))*Impacts!$F$13,0)),0)</f>
        <v>0</v>
      </c>
      <c r="R2849" s="10">
        <f>IFERROR(IF(('Loading-truck'!$C$21)="No control",SUMIF(('Loading-truck'!$B$31:$B$48),$J2849,('Loading-truck'!$D$31:$D$48))*Impacts!$F$14,IF(('Loading-truck'!$C$21)&lt;&gt;"No control",SUMIF(('Loading-truck'!$B$31:$B$48),$J2849,('Loading-truck'!$E$31:$E$48))*Impacts!$F$14,0)),0)</f>
        <v>0</v>
      </c>
      <c r="S2849" s="10">
        <f>IFERROR(IF(('Loading-rail'!$C$21)="No control",SUMIF(('Loading-rail'!$B$31:$B$48),$J2849,('Loading-rail'!$D$31:$D$48))*Impacts!$F$15,IF(('Loading-rail'!$C$21)&lt;&gt;"No control",SUMIF(('Loading-rail'!$B$31:$B$48),$J2849,('Loading-rail'!$E$31:$E$48))*Impacts!$F$15,0)),0)</f>
        <v>0</v>
      </c>
      <c r="T2849" s="10">
        <f>IF(Flare!$C$7="",0,(SUMIF(Flare!$B$46:$B$185,$J2849,Flare!$E$46:$E$185)*Impacts!$F$16))</f>
        <v>0</v>
      </c>
      <c r="U2849" s="10">
        <f>IF(VCU!$C$9="",0,(SUMIF(VCU!$B$51:$B$193,$J2849,VCU!$E$51:$E$193)*Impacts!$F$17))</f>
        <v>0</v>
      </c>
      <c r="V2849" s="10">
        <f>IF(CAS!$C$7="",0,(SUMIF(CAS!$B$31:$B$167,$J2849,CAS!$E$31:$E$167)*Impacts!$F$18))</f>
        <v>0</v>
      </c>
      <c r="W2849" s="10">
        <f t="shared" si="85"/>
        <v>0</v>
      </c>
      <c r="AK2849" s="10" t="str">
        <f t="array" ref="AK2849">IFERROR(INDEX(SelectedSpecies,SMALL(IF(SelectedSpecies=AK$1,ROW(SelectedSpecies)),ROW(2850:2850)),2),"")</f>
        <v/>
      </c>
      <c r="BE2849" s="10"/>
      <c r="BI2849" s="10"/>
    </row>
    <row r="2850" spans="1:61" ht="21" customHeight="1" x14ac:dyDescent="0.25">
      <c r="A2850" s="10"/>
      <c r="B2850" s="10"/>
      <c r="E2850" s="10"/>
      <c r="G2850" s="10"/>
      <c r="I2850" s="436" t="s">
        <v>4223</v>
      </c>
      <c r="J2850" s="26" t="s">
        <v>4222</v>
      </c>
      <c r="K2850" s="10">
        <v>5</v>
      </c>
      <c r="L2850" s="73">
        <f>IF(Tank1!$C$23="No control",(SUMIF(Tank1!$B$32:$B$49,$J2850,Tank1!$C$32:$C$49)*Impacts!$F$8),0)</f>
        <v>0</v>
      </c>
      <c r="M2850" s="10">
        <f>IF(Tank2!$C$23="No control",(SUMIF(Tank2!$B$32:$B$49,$J2850,Tank2!$C$32:$C$49)*Impacts!$F$9),0)</f>
        <v>0</v>
      </c>
      <c r="N2850" s="10">
        <f>IF(Tank3!$C$23="No control",(SUMIF(Tank3!$B$32:$B$49,$J2850,Tank3!$C$32:$C$49)*Impacts!$F$10),0)</f>
        <v>0</v>
      </c>
      <c r="O2850" s="10">
        <f>IF(Tank4!$C$23="No control",(SUMIF(Tank4!$B$32:$B$49,$J2850,Tank4!$C$32:$C$49)*Impacts!$F$11),0)</f>
        <v>0</v>
      </c>
      <c r="P2850" s="10">
        <f>IF(Tank5!$C$23="No control",(SUMIF(Tank5!$B$32:$B$49,$J2850,Tank5!$C$32:$C$49)*Impacts!$F$12),0)</f>
        <v>0</v>
      </c>
      <c r="Q2850" s="10">
        <f>IFERROR(IF(('Loading-drum,tote'!$C$21)="No control",SUMIF(('Loading-drum,tote'!$B$31:$B$48),$J2850,('Loading-drum,tote'!$D$31:$D$48))*Impacts!$F$13,IF(('Loading-drum,tote'!$C$21)&lt;&gt;"No control",SUMIF(('Loading-drum,tote'!$B$31:$B$48),$J2850,('Loading-drum,tote'!$E$31:$E$48))*Impacts!$F$13,0)),0)</f>
        <v>0</v>
      </c>
      <c r="R2850" s="10">
        <f>IFERROR(IF(('Loading-truck'!$C$21)="No control",SUMIF(('Loading-truck'!$B$31:$B$48),$J2850,('Loading-truck'!$D$31:$D$48))*Impacts!$F$14,IF(('Loading-truck'!$C$21)&lt;&gt;"No control",SUMIF(('Loading-truck'!$B$31:$B$48),$J2850,('Loading-truck'!$E$31:$E$48))*Impacts!$F$14,0)),0)</f>
        <v>0</v>
      </c>
      <c r="S2850" s="10">
        <f>IFERROR(IF(('Loading-rail'!$C$21)="No control",SUMIF(('Loading-rail'!$B$31:$B$48),$J2850,('Loading-rail'!$D$31:$D$48))*Impacts!$F$15,IF(('Loading-rail'!$C$21)&lt;&gt;"No control",SUMIF(('Loading-rail'!$B$31:$B$48),$J2850,('Loading-rail'!$E$31:$E$48))*Impacts!$F$15,0)),0)</f>
        <v>0</v>
      </c>
      <c r="T2850" s="10">
        <f>IF(Flare!$C$7="",0,(SUMIF(Flare!$B$46:$B$185,$J2850,Flare!$E$46:$E$185)*Impacts!$F$16))</f>
        <v>0</v>
      </c>
      <c r="U2850" s="10">
        <f>IF(VCU!$C$9="",0,(SUMIF(VCU!$B$51:$B$193,$J2850,VCU!$E$51:$E$193)*Impacts!$F$17))</f>
        <v>0</v>
      </c>
      <c r="V2850" s="10">
        <f>IF(CAS!$C$7="",0,(SUMIF(CAS!$B$31:$B$167,$J2850,CAS!$E$31:$E$167)*Impacts!$F$18))</f>
        <v>0</v>
      </c>
      <c r="W2850" s="10">
        <f t="shared" si="85"/>
        <v>0</v>
      </c>
      <c r="AK2850" s="10" t="str">
        <f t="array" ref="AK2850">IFERROR(INDEX(SelectedSpecies,SMALL(IF(SelectedSpecies=AK$1,ROW(SelectedSpecies)),ROW(2851:2851)),2),"")</f>
        <v/>
      </c>
      <c r="BE2850" s="10"/>
      <c r="BI2850" s="10"/>
    </row>
    <row r="2851" spans="1:61" ht="21" customHeight="1" x14ac:dyDescent="0.25">
      <c r="A2851" s="10"/>
      <c r="B2851" s="10"/>
      <c r="E2851" s="10"/>
      <c r="G2851" s="10"/>
      <c r="I2851" s="436" t="s">
        <v>6040</v>
      </c>
      <c r="J2851" s="26" t="s">
        <v>6039</v>
      </c>
      <c r="K2851" s="10">
        <v>1</v>
      </c>
      <c r="L2851" s="73">
        <f>IF(Tank1!$C$23="No control",(SUMIF(Tank1!$B$32:$B$49,$J2851,Tank1!$C$32:$C$49)*Impacts!$F$8),0)</f>
        <v>0</v>
      </c>
      <c r="M2851" s="10">
        <f>IF(Tank2!$C$23="No control",(SUMIF(Tank2!$B$32:$B$49,$J2851,Tank2!$C$32:$C$49)*Impacts!$F$9),0)</f>
        <v>0</v>
      </c>
      <c r="N2851" s="10">
        <f>IF(Tank3!$C$23="No control",(SUMIF(Tank3!$B$32:$B$49,$J2851,Tank3!$C$32:$C$49)*Impacts!$F$10),0)</f>
        <v>0</v>
      </c>
      <c r="O2851" s="10">
        <f>IF(Tank4!$C$23="No control",(SUMIF(Tank4!$B$32:$B$49,$J2851,Tank4!$C$32:$C$49)*Impacts!$F$11),0)</f>
        <v>0</v>
      </c>
      <c r="P2851" s="10">
        <f>IF(Tank5!$C$23="No control",(SUMIF(Tank5!$B$32:$B$49,$J2851,Tank5!$C$32:$C$49)*Impacts!$F$12),0)</f>
        <v>0</v>
      </c>
      <c r="Q2851" s="10">
        <f>IFERROR(IF(('Loading-drum,tote'!$C$21)="No control",SUMIF(('Loading-drum,tote'!$B$31:$B$48),$J2851,('Loading-drum,tote'!$D$31:$D$48))*Impacts!$F$13,IF(('Loading-drum,tote'!$C$21)&lt;&gt;"No control",SUMIF(('Loading-drum,tote'!$B$31:$B$48),$J2851,('Loading-drum,tote'!$E$31:$E$48))*Impacts!$F$13,0)),0)</f>
        <v>0</v>
      </c>
      <c r="R2851" s="10">
        <f>IFERROR(IF(('Loading-truck'!$C$21)="No control",SUMIF(('Loading-truck'!$B$31:$B$48),$J2851,('Loading-truck'!$D$31:$D$48))*Impacts!$F$14,IF(('Loading-truck'!$C$21)&lt;&gt;"No control",SUMIF(('Loading-truck'!$B$31:$B$48),$J2851,('Loading-truck'!$E$31:$E$48))*Impacts!$F$14,0)),0)</f>
        <v>0</v>
      </c>
      <c r="S2851" s="10">
        <f>IFERROR(IF(('Loading-rail'!$C$21)="No control",SUMIF(('Loading-rail'!$B$31:$B$48),$J2851,('Loading-rail'!$D$31:$D$48))*Impacts!$F$15,IF(('Loading-rail'!$C$21)&lt;&gt;"No control",SUMIF(('Loading-rail'!$B$31:$B$48),$J2851,('Loading-rail'!$E$31:$E$48))*Impacts!$F$15,0)),0)</f>
        <v>0</v>
      </c>
      <c r="T2851" s="10">
        <f>IF(Flare!$C$7="",0,(SUMIF(Flare!$B$46:$B$185,$J2851,Flare!$E$46:$E$185)*Impacts!$F$16))</f>
        <v>0</v>
      </c>
      <c r="U2851" s="10">
        <f>IF(VCU!$C$9="",0,(SUMIF(VCU!$B$51:$B$193,$J2851,VCU!$E$51:$E$193)*Impacts!$F$17))</f>
        <v>0</v>
      </c>
      <c r="V2851" s="10">
        <f>IF(CAS!$C$7="",0,(SUMIF(CAS!$B$31:$B$167,$J2851,CAS!$E$31:$E$167)*Impacts!$F$18))</f>
        <v>0</v>
      </c>
      <c r="W2851" s="10">
        <f t="shared" si="85"/>
        <v>0</v>
      </c>
      <c r="AK2851" s="10" t="str">
        <f t="array" ref="AK2851">IFERROR(INDEX(SelectedSpecies,SMALL(IF(SelectedSpecies=AK$1,ROW(SelectedSpecies)),ROW(2852:2852)),2),"")</f>
        <v/>
      </c>
      <c r="BE2851" s="10"/>
      <c r="BI2851" s="10"/>
    </row>
    <row r="2852" spans="1:61" ht="21" customHeight="1" x14ac:dyDescent="0.25">
      <c r="A2852" s="10"/>
      <c r="B2852" s="10"/>
      <c r="E2852" s="10"/>
      <c r="G2852" s="10"/>
      <c r="I2852" s="436" t="s">
        <v>7522</v>
      </c>
      <c r="J2852" s="26" t="s">
        <v>7521</v>
      </c>
      <c r="K2852" s="10">
        <v>0.2</v>
      </c>
      <c r="L2852" s="73">
        <f>IF(Tank1!$C$23="No control",(SUMIF(Tank1!$B$32:$B$49,$J2852,Tank1!$C$32:$C$49)*Impacts!$F$8),0)</f>
        <v>0</v>
      </c>
      <c r="M2852" s="10">
        <f>IF(Tank2!$C$23="No control",(SUMIF(Tank2!$B$32:$B$49,$J2852,Tank2!$C$32:$C$49)*Impacts!$F$9),0)</f>
        <v>0</v>
      </c>
      <c r="N2852" s="10">
        <f>IF(Tank3!$C$23="No control",(SUMIF(Tank3!$B$32:$B$49,$J2852,Tank3!$C$32:$C$49)*Impacts!$F$10),0)</f>
        <v>0</v>
      </c>
      <c r="O2852" s="10">
        <f>IF(Tank4!$C$23="No control",(SUMIF(Tank4!$B$32:$B$49,$J2852,Tank4!$C$32:$C$49)*Impacts!$F$11),0)</f>
        <v>0</v>
      </c>
      <c r="P2852" s="10">
        <f>IF(Tank5!$C$23="No control",(SUMIF(Tank5!$B$32:$B$49,$J2852,Tank5!$C$32:$C$49)*Impacts!$F$12),0)</f>
        <v>0</v>
      </c>
      <c r="Q2852" s="10">
        <f>IFERROR(IF(('Loading-drum,tote'!$C$21)="No control",SUMIF(('Loading-drum,tote'!$B$31:$B$48),$J2852,('Loading-drum,tote'!$D$31:$D$48))*Impacts!$F$13,IF(('Loading-drum,tote'!$C$21)&lt;&gt;"No control",SUMIF(('Loading-drum,tote'!$B$31:$B$48),$J2852,('Loading-drum,tote'!$E$31:$E$48))*Impacts!$F$13,0)),0)</f>
        <v>0</v>
      </c>
      <c r="R2852" s="10">
        <f>IFERROR(IF(('Loading-truck'!$C$21)="No control",SUMIF(('Loading-truck'!$B$31:$B$48),$J2852,('Loading-truck'!$D$31:$D$48))*Impacts!$F$14,IF(('Loading-truck'!$C$21)&lt;&gt;"No control",SUMIF(('Loading-truck'!$B$31:$B$48),$J2852,('Loading-truck'!$E$31:$E$48))*Impacts!$F$14,0)),0)</f>
        <v>0</v>
      </c>
      <c r="S2852" s="10">
        <f>IFERROR(IF(('Loading-rail'!$C$21)="No control",SUMIF(('Loading-rail'!$B$31:$B$48),$J2852,('Loading-rail'!$D$31:$D$48))*Impacts!$F$15,IF(('Loading-rail'!$C$21)&lt;&gt;"No control",SUMIF(('Loading-rail'!$B$31:$B$48),$J2852,('Loading-rail'!$E$31:$E$48))*Impacts!$F$15,0)),0)</f>
        <v>0</v>
      </c>
      <c r="T2852" s="10">
        <f>IF(Flare!$C$7="",0,(SUMIF(Flare!$B$46:$B$185,$J2852,Flare!$E$46:$E$185)*Impacts!$F$16))</f>
        <v>0</v>
      </c>
      <c r="U2852" s="10">
        <f>IF(VCU!$C$9="",0,(SUMIF(VCU!$B$51:$B$193,$J2852,VCU!$E$51:$E$193)*Impacts!$F$17))</f>
        <v>0</v>
      </c>
      <c r="V2852" s="10">
        <f>IF(CAS!$C$7="",0,(SUMIF(CAS!$B$31:$B$167,$J2852,CAS!$E$31:$E$167)*Impacts!$F$18))</f>
        <v>0</v>
      </c>
      <c r="W2852" s="10">
        <f t="shared" si="85"/>
        <v>0</v>
      </c>
      <c r="AK2852" s="10" t="str">
        <f t="array" ref="AK2852">IFERROR(INDEX(SelectedSpecies,SMALL(IF(SelectedSpecies=AK$1,ROW(SelectedSpecies)),ROW(2853:2853)),2),"")</f>
        <v/>
      </c>
      <c r="BE2852" s="10"/>
      <c r="BI2852" s="10"/>
    </row>
    <row r="2853" spans="1:61" ht="21" customHeight="1" x14ac:dyDescent="0.25">
      <c r="A2853" s="10"/>
      <c r="B2853" s="10"/>
      <c r="E2853" s="10"/>
      <c r="G2853" s="10"/>
      <c r="I2853" s="436" t="s">
        <v>8066</v>
      </c>
      <c r="J2853" s="26" t="s">
        <v>8065</v>
      </c>
      <c r="K2853" s="10">
        <v>2.0000000000000004E-2</v>
      </c>
      <c r="L2853" s="73">
        <f>IF(Tank1!$C$23="No control",(SUMIF(Tank1!$B$32:$B$49,$J2853,Tank1!$C$32:$C$49)*Impacts!$F$8),0)</f>
        <v>0</v>
      </c>
      <c r="M2853" s="10">
        <f>IF(Tank2!$C$23="No control",(SUMIF(Tank2!$B$32:$B$49,$J2853,Tank2!$C$32:$C$49)*Impacts!$F$9),0)</f>
        <v>0</v>
      </c>
      <c r="N2853" s="10">
        <f>IF(Tank3!$C$23="No control",(SUMIF(Tank3!$B$32:$B$49,$J2853,Tank3!$C$32:$C$49)*Impacts!$F$10),0)</f>
        <v>0</v>
      </c>
      <c r="O2853" s="10">
        <f>IF(Tank4!$C$23="No control",(SUMIF(Tank4!$B$32:$B$49,$J2853,Tank4!$C$32:$C$49)*Impacts!$F$11),0)</f>
        <v>0</v>
      </c>
      <c r="P2853" s="10">
        <f>IF(Tank5!$C$23="No control",(SUMIF(Tank5!$B$32:$B$49,$J2853,Tank5!$C$32:$C$49)*Impacts!$F$12),0)</f>
        <v>0</v>
      </c>
      <c r="Q2853" s="10">
        <f>IFERROR(IF(('Loading-drum,tote'!$C$21)="No control",SUMIF(('Loading-drum,tote'!$B$31:$B$48),$J2853,('Loading-drum,tote'!$D$31:$D$48))*Impacts!$F$13,IF(('Loading-drum,tote'!$C$21)&lt;&gt;"No control",SUMIF(('Loading-drum,tote'!$B$31:$B$48),$J2853,('Loading-drum,tote'!$E$31:$E$48))*Impacts!$F$13,0)),0)</f>
        <v>0</v>
      </c>
      <c r="R2853" s="10">
        <f>IFERROR(IF(('Loading-truck'!$C$21)="No control",SUMIF(('Loading-truck'!$B$31:$B$48),$J2853,('Loading-truck'!$D$31:$D$48))*Impacts!$F$14,IF(('Loading-truck'!$C$21)&lt;&gt;"No control",SUMIF(('Loading-truck'!$B$31:$B$48),$J2853,('Loading-truck'!$E$31:$E$48))*Impacts!$F$14,0)),0)</f>
        <v>0</v>
      </c>
      <c r="S2853" s="10">
        <f>IFERROR(IF(('Loading-rail'!$C$21)="No control",SUMIF(('Loading-rail'!$B$31:$B$48),$J2853,('Loading-rail'!$D$31:$D$48))*Impacts!$F$15,IF(('Loading-rail'!$C$21)&lt;&gt;"No control",SUMIF(('Loading-rail'!$B$31:$B$48),$J2853,('Loading-rail'!$E$31:$E$48))*Impacts!$F$15,0)),0)</f>
        <v>0</v>
      </c>
      <c r="T2853" s="10">
        <f>IF(Flare!$C$7="",0,(SUMIF(Flare!$B$46:$B$185,$J2853,Flare!$E$46:$E$185)*Impacts!$F$16))</f>
        <v>0</v>
      </c>
      <c r="U2853" s="10">
        <f>IF(VCU!$C$9="",0,(SUMIF(VCU!$B$51:$B$193,$J2853,VCU!$E$51:$E$193)*Impacts!$F$17))</f>
        <v>0</v>
      </c>
      <c r="V2853" s="10">
        <f>IF(CAS!$C$7="",0,(SUMIF(CAS!$B$31:$B$167,$J2853,CAS!$E$31:$E$167)*Impacts!$F$18))</f>
        <v>0</v>
      </c>
      <c r="W2853" s="10">
        <f t="shared" si="85"/>
        <v>0</v>
      </c>
      <c r="AK2853" s="10" t="str">
        <f t="array" ref="AK2853">IFERROR(INDEX(SelectedSpecies,SMALL(IF(SelectedSpecies=AK$1,ROW(SelectedSpecies)),ROW(2854:2854)),2),"")</f>
        <v/>
      </c>
      <c r="BE2853" s="10"/>
      <c r="BI2853" s="10"/>
    </row>
    <row r="2854" spans="1:61" ht="21" customHeight="1" x14ac:dyDescent="0.25">
      <c r="A2854" s="10"/>
      <c r="B2854" s="10"/>
      <c r="E2854" s="10"/>
      <c r="G2854" s="10"/>
      <c r="I2854" s="436" t="s">
        <v>6898</v>
      </c>
      <c r="J2854" s="26" t="s">
        <v>6897</v>
      </c>
      <c r="K2854" s="10">
        <v>0.5</v>
      </c>
      <c r="L2854" s="73">
        <f>IF(Tank1!$C$23="No control",(SUMIF(Tank1!$B$32:$B$49,$J2854,Tank1!$C$32:$C$49)*Impacts!$F$8),0)</f>
        <v>0</v>
      </c>
      <c r="M2854" s="10">
        <f>IF(Tank2!$C$23="No control",(SUMIF(Tank2!$B$32:$B$49,$J2854,Tank2!$C$32:$C$49)*Impacts!$F$9),0)</f>
        <v>0</v>
      </c>
      <c r="N2854" s="10">
        <f>IF(Tank3!$C$23="No control",(SUMIF(Tank3!$B$32:$B$49,$J2854,Tank3!$C$32:$C$49)*Impacts!$F$10),0)</f>
        <v>0</v>
      </c>
      <c r="O2854" s="10">
        <f>IF(Tank4!$C$23="No control",(SUMIF(Tank4!$B$32:$B$49,$J2854,Tank4!$C$32:$C$49)*Impacts!$F$11),0)</f>
        <v>0</v>
      </c>
      <c r="P2854" s="10">
        <f>IF(Tank5!$C$23="No control",(SUMIF(Tank5!$B$32:$B$49,$J2854,Tank5!$C$32:$C$49)*Impacts!$F$12),0)</f>
        <v>0</v>
      </c>
      <c r="Q2854" s="10">
        <f>IFERROR(IF(('Loading-drum,tote'!$C$21)="No control",SUMIF(('Loading-drum,tote'!$B$31:$B$48),$J2854,('Loading-drum,tote'!$D$31:$D$48))*Impacts!$F$13,IF(('Loading-drum,tote'!$C$21)&lt;&gt;"No control",SUMIF(('Loading-drum,tote'!$B$31:$B$48),$J2854,('Loading-drum,tote'!$E$31:$E$48))*Impacts!$F$13,0)),0)</f>
        <v>0</v>
      </c>
      <c r="R2854" s="10">
        <f>IFERROR(IF(('Loading-truck'!$C$21)="No control",SUMIF(('Loading-truck'!$B$31:$B$48),$J2854,('Loading-truck'!$D$31:$D$48))*Impacts!$F$14,IF(('Loading-truck'!$C$21)&lt;&gt;"No control",SUMIF(('Loading-truck'!$B$31:$B$48),$J2854,('Loading-truck'!$E$31:$E$48))*Impacts!$F$14,0)),0)</f>
        <v>0</v>
      </c>
      <c r="S2854" s="10">
        <f>IFERROR(IF(('Loading-rail'!$C$21)="No control",SUMIF(('Loading-rail'!$B$31:$B$48),$J2854,('Loading-rail'!$D$31:$D$48))*Impacts!$F$15,IF(('Loading-rail'!$C$21)&lt;&gt;"No control",SUMIF(('Loading-rail'!$B$31:$B$48),$J2854,('Loading-rail'!$E$31:$E$48))*Impacts!$F$15,0)),0)</f>
        <v>0</v>
      </c>
      <c r="T2854" s="10">
        <f>IF(Flare!$C$7="",0,(SUMIF(Flare!$B$46:$B$185,$J2854,Flare!$E$46:$E$185)*Impacts!$F$16))</f>
        <v>0</v>
      </c>
      <c r="U2854" s="10">
        <f>IF(VCU!$C$9="",0,(SUMIF(VCU!$B$51:$B$193,$J2854,VCU!$E$51:$E$193)*Impacts!$F$17))</f>
        <v>0</v>
      </c>
      <c r="V2854" s="10">
        <f>IF(CAS!$C$7="",0,(SUMIF(CAS!$B$31:$B$167,$J2854,CAS!$E$31:$E$167)*Impacts!$F$18))</f>
        <v>0</v>
      </c>
      <c r="W2854" s="10">
        <f t="shared" si="85"/>
        <v>0</v>
      </c>
      <c r="AK2854" s="10" t="str">
        <f t="array" ref="AK2854">IFERROR(INDEX(SelectedSpecies,SMALL(IF(SelectedSpecies=AK$1,ROW(SelectedSpecies)),ROW(2855:2855)),2),"")</f>
        <v/>
      </c>
      <c r="BE2854" s="10"/>
      <c r="BI2854" s="10"/>
    </row>
    <row r="2855" spans="1:61" ht="21" customHeight="1" x14ac:dyDescent="0.25">
      <c r="A2855" s="10"/>
      <c r="B2855" s="10"/>
      <c r="E2855" s="10"/>
      <c r="G2855" s="10"/>
      <c r="I2855" s="436" t="s">
        <v>6042</v>
      </c>
      <c r="J2855" s="26" t="s">
        <v>6041</v>
      </c>
      <c r="K2855" s="10">
        <v>1</v>
      </c>
      <c r="L2855" s="73">
        <f>IF(Tank1!$C$23="No control",(SUMIF(Tank1!$B$32:$B$49,$J2855,Tank1!$C$32:$C$49)*Impacts!$F$8),0)</f>
        <v>0</v>
      </c>
      <c r="M2855" s="10">
        <f>IF(Tank2!$C$23="No control",(SUMIF(Tank2!$B$32:$B$49,$J2855,Tank2!$C$32:$C$49)*Impacts!$F$9),0)</f>
        <v>0</v>
      </c>
      <c r="N2855" s="10">
        <f>IF(Tank3!$C$23="No control",(SUMIF(Tank3!$B$32:$B$49,$J2855,Tank3!$C$32:$C$49)*Impacts!$F$10),0)</f>
        <v>0</v>
      </c>
      <c r="O2855" s="10">
        <f>IF(Tank4!$C$23="No control",(SUMIF(Tank4!$B$32:$B$49,$J2855,Tank4!$C$32:$C$49)*Impacts!$F$11),0)</f>
        <v>0</v>
      </c>
      <c r="P2855" s="10">
        <f>IF(Tank5!$C$23="No control",(SUMIF(Tank5!$B$32:$B$49,$J2855,Tank5!$C$32:$C$49)*Impacts!$F$12),0)</f>
        <v>0</v>
      </c>
      <c r="Q2855" s="10">
        <f>IFERROR(IF(('Loading-drum,tote'!$C$21)="No control",SUMIF(('Loading-drum,tote'!$B$31:$B$48),$J2855,('Loading-drum,tote'!$D$31:$D$48))*Impacts!$F$13,IF(('Loading-drum,tote'!$C$21)&lt;&gt;"No control",SUMIF(('Loading-drum,tote'!$B$31:$B$48),$J2855,('Loading-drum,tote'!$E$31:$E$48))*Impacts!$F$13,0)),0)</f>
        <v>0</v>
      </c>
      <c r="R2855" s="10">
        <f>IFERROR(IF(('Loading-truck'!$C$21)="No control",SUMIF(('Loading-truck'!$B$31:$B$48),$J2855,('Loading-truck'!$D$31:$D$48))*Impacts!$F$14,IF(('Loading-truck'!$C$21)&lt;&gt;"No control",SUMIF(('Loading-truck'!$B$31:$B$48),$J2855,('Loading-truck'!$E$31:$E$48))*Impacts!$F$14,0)),0)</f>
        <v>0</v>
      </c>
      <c r="S2855" s="10">
        <f>IFERROR(IF(('Loading-rail'!$C$21)="No control",SUMIF(('Loading-rail'!$B$31:$B$48),$J2855,('Loading-rail'!$D$31:$D$48))*Impacts!$F$15,IF(('Loading-rail'!$C$21)&lt;&gt;"No control",SUMIF(('Loading-rail'!$B$31:$B$48),$J2855,('Loading-rail'!$E$31:$E$48))*Impacts!$F$15,0)),0)</f>
        <v>0</v>
      </c>
      <c r="T2855" s="10">
        <f>IF(Flare!$C$7="",0,(SUMIF(Flare!$B$46:$B$185,$J2855,Flare!$E$46:$E$185)*Impacts!$F$16))</f>
        <v>0</v>
      </c>
      <c r="U2855" s="10">
        <f>IF(VCU!$C$9="",0,(SUMIF(VCU!$B$51:$B$193,$J2855,VCU!$E$51:$E$193)*Impacts!$F$17))</f>
        <v>0</v>
      </c>
      <c r="V2855" s="10">
        <f>IF(CAS!$C$7="",0,(SUMIF(CAS!$B$31:$B$167,$J2855,CAS!$E$31:$E$167)*Impacts!$F$18))</f>
        <v>0</v>
      </c>
      <c r="W2855" s="10">
        <f t="shared" si="85"/>
        <v>0</v>
      </c>
      <c r="AK2855" s="10" t="str">
        <f t="array" ref="AK2855">IFERROR(INDEX(SelectedSpecies,SMALL(IF(SelectedSpecies=AK$1,ROW(SelectedSpecies)),ROW(2856:2856)),2),"")</f>
        <v/>
      </c>
      <c r="BE2855" s="10"/>
      <c r="BI2855" s="10"/>
    </row>
    <row r="2856" spans="1:61" ht="21" customHeight="1" x14ac:dyDescent="0.25">
      <c r="A2856" s="10"/>
      <c r="B2856" s="10"/>
      <c r="E2856" s="10"/>
      <c r="G2856" s="10"/>
      <c r="I2856" s="436" t="s">
        <v>1710</v>
      </c>
      <c r="J2856" s="26" t="s">
        <v>1709</v>
      </c>
      <c r="K2856" s="10">
        <v>24.5</v>
      </c>
      <c r="L2856" s="73">
        <f>IF(Tank1!$C$23="No control",(SUMIF(Tank1!$B$32:$B$49,$J2856,Tank1!$C$32:$C$49)*Impacts!$F$8),0)</f>
        <v>0</v>
      </c>
      <c r="M2856" s="10">
        <f>IF(Tank2!$C$23="No control",(SUMIF(Tank2!$B$32:$B$49,$J2856,Tank2!$C$32:$C$49)*Impacts!$F$9),0)</f>
        <v>0</v>
      </c>
      <c r="N2856" s="10">
        <f>IF(Tank3!$C$23="No control",(SUMIF(Tank3!$B$32:$B$49,$J2856,Tank3!$C$32:$C$49)*Impacts!$F$10),0)</f>
        <v>0</v>
      </c>
      <c r="O2856" s="10">
        <f>IF(Tank4!$C$23="No control",(SUMIF(Tank4!$B$32:$B$49,$J2856,Tank4!$C$32:$C$49)*Impacts!$F$11),0)</f>
        <v>0</v>
      </c>
      <c r="P2856" s="10">
        <f>IF(Tank5!$C$23="No control",(SUMIF(Tank5!$B$32:$B$49,$J2856,Tank5!$C$32:$C$49)*Impacts!$F$12),0)</f>
        <v>0</v>
      </c>
      <c r="Q2856" s="10">
        <f>IFERROR(IF(('Loading-drum,tote'!$C$21)="No control",SUMIF(('Loading-drum,tote'!$B$31:$B$48),$J2856,('Loading-drum,tote'!$D$31:$D$48))*Impacts!$F$13,IF(('Loading-drum,tote'!$C$21)&lt;&gt;"No control",SUMIF(('Loading-drum,tote'!$B$31:$B$48),$J2856,('Loading-drum,tote'!$E$31:$E$48))*Impacts!$F$13,0)),0)</f>
        <v>0</v>
      </c>
      <c r="R2856" s="10">
        <f>IFERROR(IF(('Loading-truck'!$C$21)="No control",SUMIF(('Loading-truck'!$B$31:$B$48),$J2856,('Loading-truck'!$D$31:$D$48))*Impacts!$F$14,IF(('Loading-truck'!$C$21)&lt;&gt;"No control",SUMIF(('Loading-truck'!$B$31:$B$48),$J2856,('Loading-truck'!$E$31:$E$48))*Impacts!$F$14,0)),0)</f>
        <v>0</v>
      </c>
      <c r="S2856" s="10">
        <f>IFERROR(IF(('Loading-rail'!$C$21)="No control",SUMIF(('Loading-rail'!$B$31:$B$48),$J2856,('Loading-rail'!$D$31:$D$48))*Impacts!$F$15,IF(('Loading-rail'!$C$21)&lt;&gt;"No control",SUMIF(('Loading-rail'!$B$31:$B$48),$J2856,('Loading-rail'!$E$31:$E$48))*Impacts!$F$15,0)),0)</f>
        <v>0</v>
      </c>
      <c r="T2856" s="10">
        <f>IF(Flare!$C$7="",0,(SUMIF(Flare!$B$46:$B$185,$J2856,Flare!$E$46:$E$185)*Impacts!$F$16))</f>
        <v>0</v>
      </c>
      <c r="U2856" s="10">
        <f>IF(VCU!$C$9="",0,(SUMIF(VCU!$B$51:$B$193,$J2856,VCU!$E$51:$E$193)*Impacts!$F$17))</f>
        <v>0</v>
      </c>
      <c r="V2856" s="10">
        <f>IF(CAS!$C$7="",0,(SUMIF(CAS!$B$31:$B$167,$J2856,CAS!$E$31:$E$167)*Impacts!$F$18))</f>
        <v>0</v>
      </c>
      <c r="W2856" s="10">
        <f t="shared" si="85"/>
        <v>0</v>
      </c>
      <c r="AK2856" s="10" t="str">
        <f t="array" ref="AK2856">IFERROR(INDEX(SelectedSpecies,SMALL(IF(SelectedSpecies=AK$1,ROW(SelectedSpecies)),ROW(2857:2857)),2),"")</f>
        <v/>
      </c>
      <c r="BE2856" s="10"/>
      <c r="BI2856" s="10"/>
    </row>
    <row r="2857" spans="1:61" ht="21" customHeight="1" x14ac:dyDescent="0.25">
      <c r="A2857" s="10"/>
      <c r="B2857" s="10"/>
      <c r="E2857" s="10"/>
      <c r="G2857" s="10"/>
      <c r="I2857" s="436" t="s">
        <v>2021</v>
      </c>
      <c r="J2857" s="26" t="s">
        <v>2020</v>
      </c>
      <c r="K2857" s="10">
        <v>17</v>
      </c>
      <c r="L2857" s="73">
        <f>IF(Tank1!$C$23="No control",(SUMIF(Tank1!$B$32:$B$49,$J2857,Tank1!$C$32:$C$49)*Impacts!$F$8),0)</f>
        <v>0</v>
      </c>
      <c r="M2857" s="10">
        <f>IF(Tank2!$C$23="No control",(SUMIF(Tank2!$B$32:$B$49,$J2857,Tank2!$C$32:$C$49)*Impacts!$F$9),0)</f>
        <v>0</v>
      </c>
      <c r="N2857" s="10">
        <f>IF(Tank3!$C$23="No control",(SUMIF(Tank3!$B$32:$B$49,$J2857,Tank3!$C$32:$C$49)*Impacts!$F$10),0)</f>
        <v>0</v>
      </c>
      <c r="O2857" s="10">
        <f>IF(Tank4!$C$23="No control",(SUMIF(Tank4!$B$32:$B$49,$J2857,Tank4!$C$32:$C$49)*Impacts!$F$11),0)</f>
        <v>0</v>
      </c>
      <c r="P2857" s="10">
        <f>IF(Tank5!$C$23="No control",(SUMIF(Tank5!$B$32:$B$49,$J2857,Tank5!$C$32:$C$49)*Impacts!$F$12),0)</f>
        <v>0</v>
      </c>
      <c r="Q2857" s="10">
        <f>IFERROR(IF(('Loading-drum,tote'!$C$21)="No control",SUMIF(('Loading-drum,tote'!$B$31:$B$48),$J2857,('Loading-drum,tote'!$D$31:$D$48))*Impacts!$F$13,IF(('Loading-drum,tote'!$C$21)&lt;&gt;"No control",SUMIF(('Loading-drum,tote'!$B$31:$B$48),$J2857,('Loading-drum,tote'!$E$31:$E$48))*Impacts!$F$13,0)),0)</f>
        <v>0</v>
      </c>
      <c r="R2857" s="10">
        <f>IFERROR(IF(('Loading-truck'!$C$21)="No control",SUMIF(('Loading-truck'!$B$31:$B$48),$J2857,('Loading-truck'!$D$31:$D$48))*Impacts!$F$14,IF(('Loading-truck'!$C$21)&lt;&gt;"No control",SUMIF(('Loading-truck'!$B$31:$B$48),$J2857,('Loading-truck'!$E$31:$E$48))*Impacts!$F$14,0)),0)</f>
        <v>0</v>
      </c>
      <c r="S2857" s="10">
        <f>IFERROR(IF(('Loading-rail'!$C$21)="No control",SUMIF(('Loading-rail'!$B$31:$B$48),$J2857,('Loading-rail'!$D$31:$D$48))*Impacts!$F$15,IF(('Loading-rail'!$C$21)&lt;&gt;"No control",SUMIF(('Loading-rail'!$B$31:$B$48),$J2857,('Loading-rail'!$E$31:$E$48))*Impacts!$F$15,0)),0)</f>
        <v>0</v>
      </c>
      <c r="T2857" s="10">
        <f>IF(Flare!$C$7="",0,(SUMIF(Flare!$B$46:$B$185,$J2857,Flare!$E$46:$E$185)*Impacts!$F$16))</f>
        <v>0</v>
      </c>
      <c r="U2857" s="10">
        <f>IF(VCU!$C$9="",0,(SUMIF(VCU!$B$51:$B$193,$J2857,VCU!$E$51:$E$193)*Impacts!$F$17))</f>
        <v>0</v>
      </c>
      <c r="V2857" s="10">
        <f>IF(CAS!$C$7="",0,(SUMIF(CAS!$B$31:$B$167,$J2857,CAS!$E$31:$E$167)*Impacts!$F$18))</f>
        <v>0</v>
      </c>
      <c r="W2857" s="10">
        <f t="shared" si="85"/>
        <v>0</v>
      </c>
      <c r="AK2857" s="10" t="str">
        <f t="array" ref="AK2857">IFERROR(INDEX(SelectedSpecies,SMALL(IF(SelectedSpecies=AK$1,ROW(SelectedSpecies)),ROW(2858:2858)),2),"")</f>
        <v/>
      </c>
      <c r="BE2857" s="10"/>
      <c r="BI2857" s="10"/>
    </row>
    <row r="2858" spans="1:61" ht="21" customHeight="1" x14ac:dyDescent="0.25">
      <c r="A2858" s="10"/>
      <c r="B2858" s="10"/>
      <c r="E2858" s="10"/>
      <c r="G2858" s="10"/>
      <c r="I2858" s="436" t="s">
        <v>2153</v>
      </c>
      <c r="J2858" s="26" t="s">
        <v>2152</v>
      </c>
      <c r="K2858" s="10">
        <v>15</v>
      </c>
      <c r="L2858" s="73">
        <f>IF(Tank1!$C$23="No control",(SUMIF(Tank1!$B$32:$B$49,$J2858,Tank1!$C$32:$C$49)*Impacts!$F$8),0)</f>
        <v>0</v>
      </c>
      <c r="M2858" s="10">
        <f>IF(Tank2!$C$23="No control",(SUMIF(Tank2!$B$32:$B$49,$J2858,Tank2!$C$32:$C$49)*Impacts!$F$9),0)</f>
        <v>0</v>
      </c>
      <c r="N2858" s="10">
        <f>IF(Tank3!$C$23="No control",(SUMIF(Tank3!$B$32:$B$49,$J2858,Tank3!$C$32:$C$49)*Impacts!$F$10),0)</f>
        <v>0</v>
      </c>
      <c r="O2858" s="10">
        <f>IF(Tank4!$C$23="No control",(SUMIF(Tank4!$B$32:$B$49,$J2858,Tank4!$C$32:$C$49)*Impacts!$F$11),0)</f>
        <v>0</v>
      </c>
      <c r="P2858" s="10">
        <f>IF(Tank5!$C$23="No control",(SUMIF(Tank5!$B$32:$B$49,$J2858,Tank5!$C$32:$C$49)*Impacts!$F$12),0)</f>
        <v>0</v>
      </c>
      <c r="Q2858" s="10">
        <f>IFERROR(IF(('Loading-drum,tote'!$C$21)="No control",SUMIF(('Loading-drum,tote'!$B$31:$B$48),$J2858,('Loading-drum,tote'!$D$31:$D$48))*Impacts!$F$13,IF(('Loading-drum,tote'!$C$21)&lt;&gt;"No control",SUMIF(('Loading-drum,tote'!$B$31:$B$48),$J2858,('Loading-drum,tote'!$E$31:$E$48))*Impacts!$F$13,0)),0)</f>
        <v>0</v>
      </c>
      <c r="R2858" s="10">
        <f>IFERROR(IF(('Loading-truck'!$C$21)="No control",SUMIF(('Loading-truck'!$B$31:$B$48),$J2858,('Loading-truck'!$D$31:$D$48))*Impacts!$F$14,IF(('Loading-truck'!$C$21)&lt;&gt;"No control",SUMIF(('Loading-truck'!$B$31:$B$48),$J2858,('Loading-truck'!$E$31:$E$48))*Impacts!$F$14,0)),0)</f>
        <v>0</v>
      </c>
      <c r="S2858" s="10">
        <f>IFERROR(IF(('Loading-rail'!$C$21)="No control",SUMIF(('Loading-rail'!$B$31:$B$48),$J2858,('Loading-rail'!$D$31:$D$48))*Impacts!$F$15,IF(('Loading-rail'!$C$21)&lt;&gt;"No control",SUMIF(('Loading-rail'!$B$31:$B$48),$J2858,('Loading-rail'!$E$31:$E$48))*Impacts!$F$15,0)),0)</f>
        <v>0</v>
      </c>
      <c r="T2858" s="10">
        <f>IF(Flare!$C$7="",0,(SUMIF(Flare!$B$46:$B$185,$J2858,Flare!$E$46:$E$185)*Impacts!$F$16))</f>
        <v>0</v>
      </c>
      <c r="U2858" s="10">
        <f>IF(VCU!$C$9="",0,(SUMIF(VCU!$B$51:$B$193,$J2858,VCU!$E$51:$E$193)*Impacts!$F$17))</f>
        <v>0</v>
      </c>
      <c r="V2858" s="10">
        <f>IF(CAS!$C$7="",0,(SUMIF(CAS!$B$31:$B$167,$J2858,CAS!$E$31:$E$167)*Impacts!$F$18))</f>
        <v>0</v>
      </c>
      <c r="W2858" s="10">
        <f t="shared" si="85"/>
        <v>0</v>
      </c>
      <c r="AK2858" s="10" t="str">
        <f t="array" ref="AK2858">IFERROR(INDEX(SelectedSpecies,SMALL(IF(SelectedSpecies=AK$1,ROW(SelectedSpecies)),ROW(2859:2859)),2),"")</f>
        <v/>
      </c>
      <c r="BE2858" s="10"/>
      <c r="BI2858" s="10"/>
    </row>
    <row r="2859" spans="1:61" ht="21" customHeight="1" x14ac:dyDescent="0.25">
      <c r="A2859" s="10"/>
      <c r="B2859" s="10"/>
      <c r="E2859" s="10"/>
      <c r="G2859" s="10"/>
      <c r="I2859" s="436" t="s">
        <v>419</v>
      </c>
      <c r="J2859" s="26" t="s">
        <v>418</v>
      </c>
      <c r="K2859" s="10">
        <v>210</v>
      </c>
      <c r="L2859" s="73">
        <f>IF(Tank1!$C$23="No control",(SUMIF(Tank1!$B$32:$B$49,$J2859,Tank1!$C$32:$C$49)*Impacts!$F$8),0)</f>
        <v>0</v>
      </c>
      <c r="M2859" s="10">
        <f>IF(Tank2!$C$23="No control",(SUMIF(Tank2!$B$32:$B$49,$J2859,Tank2!$C$32:$C$49)*Impacts!$F$9),0)</f>
        <v>0</v>
      </c>
      <c r="N2859" s="10">
        <f>IF(Tank3!$C$23="No control",(SUMIF(Tank3!$B$32:$B$49,$J2859,Tank3!$C$32:$C$49)*Impacts!$F$10),0)</f>
        <v>0</v>
      </c>
      <c r="O2859" s="10">
        <f>IF(Tank4!$C$23="No control",(SUMIF(Tank4!$B$32:$B$49,$J2859,Tank4!$C$32:$C$49)*Impacts!$F$11),0)</f>
        <v>0</v>
      </c>
      <c r="P2859" s="10">
        <f>IF(Tank5!$C$23="No control",(SUMIF(Tank5!$B$32:$B$49,$J2859,Tank5!$C$32:$C$49)*Impacts!$F$12),0)</f>
        <v>0</v>
      </c>
      <c r="Q2859" s="10">
        <f>IFERROR(IF(('Loading-drum,tote'!$C$21)="No control",SUMIF(('Loading-drum,tote'!$B$31:$B$48),$J2859,('Loading-drum,tote'!$D$31:$D$48))*Impacts!$F$13,IF(('Loading-drum,tote'!$C$21)&lt;&gt;"No control",SUMIF(('Loading-drum,tote'!$B$31:$B$48),$J2859,('Loading-drum,tote'!$E$31:$E$48))*Impacts!$F$13,0)),0)</f>
        <v>0</v>
      </c>
      <c r="R2859" s="10">
        <f>IFERROR(IF(('Loading-truck'!$C$21)="No control",SUMIF(('Loading-truck'!$B$31:$B$48),$J2859,('Loading-truck'!$D$31:$D$48))*Impacts!$F$14,IF(('Loading-truck'!$C$21)&lt;&gt;"No control",SUMIF(('Loading-truck'!$B$31:$B$48),$J2859,('Loading-truck'!$E$31:$E$48))*Impacts!$F$14,0)),0)</f>
        <v>0</v>
      </c>
      <c r="S2859" s="10">
        <f>IFERROR(IF(('Loading-rail'!$C$21)="No control",SUMIF(('Loading-rail'!$B$31:$B$48),$J2859,('Loading-rail'!$D$31:$D$48))*Impacts!$F$15,IF(('Loading-rail'!$C$21)&lt;&gt;"No control",SUMIF(('Loading-rail'!$B$31:$B$48),$J2859,('Loading-rail'!$E$31:$E$48))*Impacts!$F$15,0)),0)</f>
        <v>0</v>
      </c>
      <c r="T2859" s="10">
        <f>IF(Flare!$C$7="",0,(SUMIF(Flare!$B$46:$B$185,$J2859,Flare!$E$46:$E$185)*Impacts!$F$16))</f>
        <v>0</v>
      </c>
      <c r="U2859" s="10">
        <f>IF(VCU!$C$9="",0,(SUMIF(VCU!$B$51:$B$193,$J2859,VCU!$E$51:$E$193)*Impacts!$F$17))</f>
        <v>0</v>
      </c>
      <c r="V2859" s="10">
        <f>IF(CAS!$C$7="",0,(SUMIF(CAS!$B$31:$B$167,$J2859,CAS!$E$31:$E$167)*Impacts!$F$18))</f>
        <v>0</v>
      </c>
      <c r="W2859" s="10">
        <f t="shared" si="85"/>
        <v>0</v>
      </c>
      <c r="AK2859" s="10" t="str">
        <f t="array" ref="AK2859">IFERROR(INDEX(SelectedSpecies,SMALL(IF(SelectedSpecies=AK$1,ROW(SelectedSpecies)),ROW(2860:2860)),2),"")</f>
        <v/>
      </c>
      <c r="BE2859" s="10"/>
      <c r="BI2859" s="10"/>
    </row>
    <row r="2860" spans="1:61" ht="21" customHeight="1" x14ac:dyDescent="0.25">
      <c r="A2860" s="10"/>
      <c r="B2860" s="10"/>
      <c r="E2860" s="10"/>
      <c r="G2860" s="10"/>
      <c r="I2860" s="436" t="s">
        <v>6044</v>
      </c>
      <c r="J2860" s="26" t="s">
        <v>6043</v>
      </c>
      <c r="K2860" s="10">
        <v>1</v>
      </c>
      <c r="L2860" s="73">
        <f>IF(Tank1!$C$23="No control",(SUMIF(Tank1!$B$32:$B$49,$J2860,Tank1!$C$32:$C$49)*Impacts!$F$8),0)</f>
        <v>0</v>
      </c>
      <c r="M2860" s="10">
        <f>IF(Tank2!$C$23="No control",(SUMIF(Tank2!$B$32:$B$49,$J2860,Tank2!$C$32:$C$49)*Impacts!$F$9),0)</f>
        <v>0</v>
      </c>
      <c r="N2860" s="10">
        <f>IF(Tank3!$C$23="No control",(SUMIF(Tank3!$B$32:$B$49,$J2860,Tank3!$C$32:$C$49)*Impacts!$F$10),0)</f>
        <v>0</v>
      </c>
      <c r="O2860" s="10">
        <f>IF(Tank4!$C$23="No control",(SUMIF(Tank4!$B$32:$B$49,$J2860,Tank4!$C$32:$C$49)*Impacts!$F$11),0)</f>
        <v>0</v>
      </c>
      <c r="P2860" s="10">
        <f>IF(Tank5!$C$23="No control",(SUMIF(Tank5!$B$32:$B$49,$J2860,Tank5!$C$32:$C$49)*Impacts!$F$12),0)</f>
        <v>0</v>
      </c>
      <c r="Q2860" s="10">
        <f>IFERROR(IF(('Loading-drum,tote'!$C$21)="No control",SUMIF(('Loading-drum,tote'!$B$31:$B$48),$J2860,('Loading-drum,tote'!$D$31:$D$48))*Impacts!$F$13,IF(('Loading-drum,tote'!$C$21)&lt;&gt;"No control",SUMIF(('Loading-drum,tote'!$B$31:$B$48),$J2860,('Loading-drum,tote'!$E$31:$E$48))*Impacts!$F$13,0)),0)</f>
        <v>0</v>
      </c>
      <c r="R2860" s="10">
        <f>IFERROR(IF(('Loading-truck'!$C$21)="No control",SUMIF(('Loading-truck'!$B$31:$B$48),$J2860,('Loading-truck'!$D$31:$D$48))*Impacts!$F$14,IF(('Loading-truck'!$C$21)&lt;&gt;"No control",SUMIF(('Loading-truck'!$B$31:$B$48),$J2860,('Loading-truck'!$E$31:$E$48))*Impacts!$F$14,0)),0)</f>
        <v>0</v>
      </c>
      <c r="S2860" s="10">
        <f>IFERROR(IF(('Loading-rail'!$C$21)="No control",SUMIF(('Loading-rail'!$B$31:$B$48),$J2860,('Loading-rail'!$D$31:$D$48))*Impacts!$F$15,IF(('Loading-rail'!$C$21)&lt;&gt;"No control",SUMIF(('Loading-rail'!$B$31:$B$48),$J2860,('Loading-rail'!$E$31:$E$48))*Impacts!$F$15,0)),0)</f>
        <v>0</v>
      </c>
      <c r="T2860" s="10">
        <f>IF(Flare!$C$7="",0,(SUMIF(Flare!$B$46:$B$185,$J2860,Flare!$E$46:$E$185)*Impacts!$F$16))</f>
        <v>0</v>
      </c>
      <c r="U2860" s="10">
        <f>IF(VCU!$C$9="",0,(SUMIF(VCU!$B$51:$B$193,$J2860,VCU!$E$51:$E$193)*Impacts!$F$17))</f>
        <v>0</v>
      </c>
      <c r="V2860" s="10">
        <f>IF(CAS!$C$7="",0,(SUMIF(CAS!$B$31:$B$167,$J2860,CAS!$E$31:$E$167)*Impacts!$F$18))</f>
        <v>0</v>
      </c>
      <c r="W2860" s="10">
        <f t="shared" si="85"/>
        <v>0</v>
      </c>
      <c r="AK2860" s="10" t="str">
        <f t="array" ref="AK2860">IFERROR(INDEX(SelectedSpecies,SMALL(IF(SelectedSpecies=AK$1,ROW(SelectedSpecies)),ROW(2861:2861)),2),"")</f>
        <v/>
      </c>
      <c r="BE2860" s="10"/>
      <c r="BI2860" s="10"/>
    </row>
    <row r="2861" spans="1:61" ht="21" customHeight="1" x14ac:dyDescent="0.25">
      <c r="A2861" s="10"/>
      <c r="B2861" s="10"/>
      <c r="E2861" s="10"/>
      <c r="G2861" s="10"/>
      <c r="I2861" s="436" t="s">
        <v>816</v>
      </c>
      <c r="J2861" s="26" t="s">
        <v>815</v>
      </c>
      <c r="K2861" s="10">
        <v>49.2</v>
      </c>
      <c r="L2861" s="73">
        <f>IF(Tank1!$C$23="No control",(SUMIF(Tank1!$B$32:$B$49,$J2861,Tank1!$C$32:$C$49)*Impacts!$F$8),0)</f>
        <v>0</v>
      </c>
      <c r="M2861" s="10">
        <f>IF(Tank2!$C$23="No control",(SUMIF(Tank2!$B$32:$B$49,$J2861,Tank2!$C$32:$C$49)*Impacts!$F$9),0)</f>
        <v>0</v>
      </c>
      <c r="N2861" s="10">
        <f>IF(Tank3!$C$23="No control",(SUMIF(Tank3!$B$32:$B$49,$J2861,Tank3!$C$32:$C$49)*Impacts!$F$10),0)</f>
        <v>0</v>
      </c>
      <c r="O2861" s="10">
        <f>IF(Tank4!$C$23="No control",(SUMIF(Tank4!$B$32:$B$49,$J2861,Tank4!$C$32:$C$49)*Impacts!$F$11),0)</f>
        <v>0</v>
      </c>
      <c r="P2861" s="10">
        <f>IF(Tank5!$C$23="No control",(SUMIF(Tank5!$B$32:$B$49,$J2861,Tank5!$C$32:$C$49)*Impacts!$F$12),0)</f>
        <v>0</v>
      </c>
      <c r="Q2861" s="10">
        <f>IFERROR(IF(('Loading-drum,tote'!$C$21)="No control",SUMIF(('Loading-drum,tote'!$B$31:$B$48),$J2861,('Loading-drum,tote'!$D$31:$D$48))*Impacts!$F$13,IF(('Loading-drum,tote'!$C$21)&lt;&gt;"No control",SUMIF(('Loading-drum,tote'!$B$31:$B$48),$J2861,('Loading-drum,tote'!$E$31:$E$48))*Impacts!$F$13,0)),0)</f>
        <v>0</v>
      </c>
      <c r="R2861" s="10">
        <f>IFERROR(IF(('Loading-truck'!$C$21)="No control",SUMIF(('Loading-truck'!$B$31:$B$48),$J2861,('Loading-truck'!$D$31:$D$48))*Impacts!$F$14,IF(('Loading-truck'!$C$21)&lt;&gt;"No control",SUMIF(('Loading-truck'!$B$31:$B$48),$J2861,('Loading-truck'!$E$31:$E$48))*Impacts!$F$14,0)),0)</f>
        <v>0</v>
      </c>
      <c r="S2861" s="10">
        <f>IFERROR(IF(('Loading-rail'!$C$21)="No control",SUMIF(('Loading-rail'!$B$31:$B$48),$J2861,('Loading-rail'!$D$31:$D$48))*Impacts!$F$15,IF(('Loading-rail'!$C$21)&lt;&gt;"No control",SUMIF(('Loading-rail'!$B$31:$B$48),$J2861,('Loading-rail'!$E$31:$E$48))*Impacts!$F$15,0)),0)</f>
        <v>0</v>
      </c>
      <c r="T2861" s="10">
        <f>IF(Flare!$C$7="",0,(SUMIF(Flare!$B$46:$B$185,$J2861,Flare!$E$46:$E$185)*Impacts!$F$16))</f>
        <v>0</v>
      </c>
      <c r="U2861" s="10">
        <f>IF(VCU!$C$9="",0,(SUMIF(VCU!$B$51:$B$193,$J2861,VCU!$E$51:$E$193)*Impacts!$F$17))</f>
        <v>0</v>
      </c>
      <c r="V2861" s="10">
        <f>IF(CAS!$C$7="",0,(SUMIF(CAS!$B$31:$B$167,$J2861,CAS!$E$31:$E$167)*Impacts!$F$18))</f>
        <v>0</v>
      </c>
      <c r="W2861" s="10">
        <f t="shared" si="85"/>
        <v>0</v>
      </c>
      <c r="AK2861" s="10" t="str">
        <f t="array" ref="AK2861">IFERROR(INDEX(SelectedSpecies,SMALL(IF(SelectedSpecies=AK$1,ROW(SelectedSpecies)),ROW(2862:2862)),2),"")</f>
        <v/>
      </c>
      <c r="BE2861" s="10"/>
      <c r="BI2861" s="10"/>
    </row>
    <row r="2862" spans="1:61" ht="21" customHeight="1" x14ac:dyDescent="0.25">
      <c r="A2862" s="10"/>
      <c r="B2862" s="10"/>
      <c r="E2862" s="10"/>
      <c r="G2862" s="10"/>
      <c r="I2862" s="436" t="s">
        <v>4859</v>
      </c>
      <c r="J2862" s="26" t="s">
        <v>4858</v>
      </c>
      <c r="K2862" s="10">
        <v>2.8000000000000003</v>
      </c>
      <c r="L2862" s="73">
        <f>IF(Tank1!$C$23="No control",(SUMIF(Tank1!$B$32:$B$49,$J2862,Tank1!$C$32:$C$49)*Impacts!$F$8),0)</f>
        <v>0</v>
      </c>
      <c r="M2862" s="10">
        <f>IF(Tank2!$C$23="No control",(SUMIF(Tank2!$B$32:$B$49,$J2862,Tank2!$C$32:$C$49)*Impacts!$F$9),0)</f>
        <v>0</v>
      </c>
      <c r="N2862" s="10">
        <f>IF(Tank3!$C$23="No control",(SUMIF(Tank3!$B$32:$B$49,$J2862,Tank3!$C$32:$C$49)*Impacts!$F$10),0)</f>
        <v>0</v>
      </c>
      <c r="O2862" s="10">
        <f>IF(Tank4!$C$23="No control",(SUMIF(Tank4!$B$32:$B$49,$J2862,Tank4!$C$32:$C$49)*Impacts!$F$11),0)</f>
        <v>0</v>
      </c>
      <c r="P2862" s="10">
        <f>IF(Tank5!$C$23="No control",(SUMIF(Tank5!$B$32:$B$49,$J2862,Tank5!$C$32:$C$49)*Impacts!$F$12),0)</f>
        <v>0</v>
      </c>
      <c r="Q2862" s="10">
        <f>IFERROR(IF(('Loading-drum,tote'!$C$21)="No control",SUMIF(('Loading-drum,tote'!$B$31:$B$48),$J2862,('Loading-drum,tote'!$D$31:$D$48))*Impacts!$F$13,IF(('Loading-drum,tote'!$C$21)&lt;&gt;"No control",SUMIF(('Loading-drum,tote'!$B$31:$B$48),$J2862,('Loading-drum,tote'!$E$31:$E$48))*Impacts!$F$13,0)),0)</f>
        <v>0</v>
      </c>
      <c r="R2862" s="10">
        <f>IFERROR(IF(('Loading-truck'!$C$21)="No control",SUMIF(('Loading-truck'!$B$31:$B$48),$J2862,('Loading-truck'!$D$31:$D$48))*Impacts!$F$14,IF(('Loading-truck'!$C$21)&lt;&gt;"No control",SUMIF(('Loading-truck'!$B$31:$B$48),$J2862,('Loading-truck'!$E$31:$E$48))*Impacts!$F$14,0)),0)</f>
        <v>0</v>
      </c>
      <c r="S2862" s="10">
        <f>IFERROR(IF(('Loading-rail'!$C$21)="No control",SUMIF(('Loading-rail'!$B$31:$B$48),$J2862,('Loading-rail'!$D$31:$D$48))*Impacts!$F$15,IF(('Loading-rail'!$C$21)&lt;&gt;"No control",SUMIF(('Loading-rail'!$B$31:$B$48),$J2862,('Loading-rail'!$E$31:$E$48))*Impacts!$F$15,0)),0)</f>
        <v>0</v>
      </c>
      <c r="T2862" s="10">
        <f>IF(Flare!$C$7="",0,(SUMIF(Flare!$B$46:$B$185,$J2862,Flare!$E$46:$E$185)*Impacts!$F$16))</f>
        <v>0</v>
      </c>
      <c r="U2862" s="10">
        <f>IF(VCU!$C$9="",0,(SUMIF(VCU!$B$51:$B$193,$J2862,VCU!$E$51:$E$193)*Impacts!$F$17))</f>
        <v>0</v>
      </c>
      <c r="V2862" s="10">
        <f>IF(CAS!$C$7="",0,(SUMIF(CAS!$B$31:$B$167,$J2862,CAS!$E$31:$E$167)*Impacts!$F$18))</f>
        <v>0</v>
      </c>
      <c r="W2862" s="10">
        <f t="shared" si="85"/>
        <v>0</v>
      </c>
      <c r="AK2862" s="10" t="str">
        <f t="array" ref="AK2862">IFERROR(INDEX(SelectedSpecies,SMALL(IF(SelectedSpecies=AK$1,ROW(SelectedSpecies)),ROW(2863:2863)),2),"")</f>
        <v/>
      </c>
      <c r="BE2862" s="10"/>
      <c r="BI2862" s="10"/>
    </row>
    <row r="2863" spans="1:61" ht="21" customHeight="1" x14ac:dyDescent="0.25">
      <c r="A2863" s="10"/>
      <c r="B2863" s="10"/>
      <c r="E2863" s="10"/>
      <c r="G2863" s="10"/>
      <c r="I2863" s="436" t="s">
        <v>331</v>
      </c>
      <c r="J2863" s="26" t="s">
        <v>330</v>
      </c>
      <c r="K2863" s="10">
        <v>480</v>
      </c>
      <c r="L2863" s="73">
        <f>IF(Tank1!$C$23="No control",(SUMIF(Tank1!$B$32:$B$49,$J2863,Tank1!$C$32:$C$49)*Impacts!$F$8),0)</f>
        <v>0</v>
      </c>
      <c r="M2863" s="10">
        <f>IF(Tank2!$C$23="No control",(SUMIF(Tank2!$B$32:$B$49,$J2863,Tank2!$C$32:$C$49)*Impacts!$F$9),0)</f>
        <v>0</v>
      </c>
      <c r="N2863" s="10">
        <f>IF(Tank3!$C$23="No control",(SUMIF(Tank3!$B$32:$B$49,$J2863,Tank3!$C$32:$C$49)*Impacts!$F$10),0)</f>
        <v>0</v>
      </c>
      <c r="O2863" s="10">
        <f>IF(Tank4!$C$23="No control",(SUMIF(Tank4!$B$32:$B$49,$J2863,Tank4!$C$32:$C$49)*Impacts!$F$11),0)</f>
        <v>0</v>
      </c>
      <c r="P2863" s="10">
        <f>IF(Tank5!$C$23="No control",(SUMIF(Tank5!$B$32:$B$49,$J2863,Tank5!$C$32:$C$49)*Impacts!$F$12),0)</f>
        <v>0</v>
      </c>
      <c r="Q2863" s="10">
        <f>IFERROR(IF(('Loading-drum,tote'!$C$21)="No control",SUMIF(('Loading-drum,tote'!$B$31:$B$48),$J2863,('Loading-drum,tote'!$D$31:$D$48))*Impacts!$F$13,IF(('Loading-drum,tote'!$C$21)&lt;&gt;"No control",SUMIF(('Loading-drum,tote'!$B$31:$B$48),$J2863,('Loading-drum,tote'!$E$31:$E$48))*Impacts!$F$13,0)),0)</f>
        <v>0</v>
      </c>
      <c r="R2863" s="10">
        <f>IFERROR(IF(('Loading-truck'!$C$21)="No control",SUMIF(('Loading-truck'!$B$31:$B$48),$J2863,('Loading-truck'!$D$31:$D$48))*Impacts!$F$14,IF(('Loading-truck'!$C$21)&lt;&gt;"No control",SUMIF(('Loading-truck'!$B$31:$B$48),$J2863,('Loading-truck'!$E$31:$E$48))*Impacts!$F$14,0)),0)</f>
        <v>0</v>
      </c>
      <c r="S2863" s="10">
        <f>IFERROR(IF(('Loading-rail'!$C$21)="No control",SUMIF(('Loading-rail'!$B$31:$B$48),$J2863,('Loading-rail'!$D$31:$D$48))*Impacts!$F$15,IF(('Loading-rail'!$C$21)&lt;&gt;"No control",SUMIF(('Loading-rail'!$B$31:$B$48),$J2863,('Loading-rail'!$E$31:$E$48))*Impacts!$F$15,0)),0)</f>
        <v>0</v>
      </c>
      <c r="T2863" s="10">
        <f>IF(Flare!$C$7="",0,(SUMIF(Flare!$B$46:$B$185,$J2863,Flare!$E$46:$E$185)*Impacts!$F$16))</f>
        <v>0</v>
      </c>
      <c r="U2863" s="10">
        <f>IF(VCU!$C$9="",0,(SUMIF(VCU!$B$51:$B$193,$J2863,VCU!$E$51:$E$193)*Impacts!$F$17))</f>
        <v>0</v>
      </c>
      <c r="V2863" s="10">
        <f>IF(CAS!$C$7="",0,(SUMIF(CAS!$B$31:$B$167,$J2863,CAS!$E$31:$E$167)*Impacts!$F$18))</f>
        <v>0</v>
      </c>
      <c r="W2863" s="10">
        <f t="shared" si="85"/>
        <v>0</v>
      </c>
      <c r="AK2863" s="10" t="str">
        <f t="array" ref="AK2863">IFERROR(INDEX(SelectedSpecies,SMALL(IF(SelectedSpecies=AK$1,ROW(SelectedSpecies)),ROW(2864:2864)),2),"")</f>
        <v/>
      </c>
      <c r="BE2863" s="10"/>
      <c r="BI2863" s="10"/>
    </row>
    <row r="2864" spans="1:61" ht="21" customHeight="1" x14ac:dyDescent="0.25">
      <c r="A2864" s="10"/>
      <c r="B2864" s="10"/>
      <c r="E2864" s="10"/>
      <c r="G2864" s="10"/>
      <c r="I2864" s="436" t="s">
        <v>724</v>
      </c>
      <c r="J2864" s="26" t="s">
        <v>723</v>
      </c>
      <c r="K2864" s="10">
        <v>57</v>
      </c>
      <c r="L2864" s="73">
        <f>IF(Tank1!$C$23="No control",(SUMIF(Tank1!$B$32:$B$49,$J2864,Tank1!$C$32:$C$49)*Impacts!$F$8),0)</f>
        <v>0</v>
      </c>
      <c r="M2864" s="10">
        <f>IF(Tank2!$C$23="No control",(SUMIF(Tank2!$B$32:$B$49,$J2864,Tank2!$C$32:$C$49)*Impacts!$F$9),0)</f>
        <v>0</v>
      </c>
      <c r="N2864" s="10">
        <f>IF(Tank3!$C$23="No control",(SUMIF(Tank3!$B$32:$B$49,$J2864,Tank3!$C$32:$C$49)*Impacts!$F$10),0)</f>
        <v>0</v>
      </c>
      <c r="O2864" s="10">
        <f>IF(Tank4!$C$23="No control",(SUMIF(Tank4!$B$32:$B$49,$J2864,Tank4!$C$32:$C$49)*Impacts!$F$11),0)</f>
        <v>0</v>
      </c>
      <c r="P2864" s="10">
        <f>IF(Tank5!$C$23="No control",(SUMIF(Tank5!$B$32:$B$49,$J2864,Tank5!$C$32:$C$49)*Impacts!$F$12),0)</f>
        <v>0</v>
      </c>
      <c r="Q2864" s="10">
        <f>IFERROR(IF(('Loading-drum,tote'!$C$21)="No control",SUMIF(('Loading-drum,tote'!$B$31:$B$48),$J2864,('Loading-drum,tote'!$D$31:$D$48))*Impacts!$F$13,IF(('Loading-drum,tote'!$C$21)&lt;&gt;"No control",SUMIF(('Loading-drum,tote'!$B$31:$B$48),$J2864,('Loading-drum,tote'!$E$31:$E$48))*Impacts!$F$13,0)),0)</f>
        <v>0</v>
      </c>
      <c r="R2864" s="10">
        <f>IFERROR(IF(('Loading-truck'!$C$21)="No control",SUMIF(('Loading-truck'!$B$31:$B$48),$J2864,('Loading-truck'!$D$31:$D$48))*Impacts!$F$14,IF(('Loading-truck'!$C$21)&lt;&gt;"No control",SUMIF(('Loading-truck'!$B$31:$B$48),$J2864,('Loading-truck'!$E$31:$E$48))*Impacts!$F$14,0)),0)</f>
        <v>0</v>
      </c>
      <c r="S2864" s="10">
        <f>IFERROR(IF(('Loading-rail'!$C$21)="No control",SUMIF(('Loading-rail'!$B$31:$B$48),$J2864,('Loading-rail'!$D$31:$D$48))*Impacts!$F$15,IF(('Loading-rail'!$C$21)&lt;&gt;"No control",SUMIF(('Loading-rail'!$B$31:$B$48),$J2864,('Loading-rail'!$E$31:$E$48))*Impacts!$F$15,0)),0)</f>
        <v>0</v>
      </c>
      <c r="T2864" s="10">
        <f>IF(Flare!$C$7="",0,(SUMIF(Flare!$B$46:$B$185,$J2864,Flare!$E$46:$E$185)*Impacts!$F$16))</f>
        <v>0</v>
      </c>
      <c r="U2864" s="10">
        <f>IF(VCU!$C$9="",0,(SUMIF(VCU!$B$51:$B$193,$J2864,VCU!$E$51:$E$193)*Impacts!$F$17))</f>
        <v>0</v>
      </c>
      <c r="V2864" s="10">
        <f>IF(CAS!$C$7="",0,(SUMIF(CAS!$B$31:$B$167,$J2864,CAS!$E$31:$E$167)*Impacts!$F$18))</f>
        <v>0</v>
      </c>
      <c r="W2864" s="10">
        <f t="shared" si="85"/>
        <v>0</v>
      </c>
      <c r="AK2864" s="10" t="str">
        <f t="array" ref="AK2864">IFERROR(INDEX(SelectedSpecies,SMALL(IF(SelectedSpecies=AK$1,ROW(SelectedSpecies)),ROW(2865:2865)),2),"")</f>
        <v/>
      </c>
      <c r="BE2864" s="10"/>
      <c r="BI2864" s="10"/>
    </row>
    <row r="2865" spans="1:61" ht="21" customHeight="1" x14ac:dyDescent="0.25">
      <c r="A2865" s="10"/>
      <c r="B2865" s="10"/>
      <c r="E2865" s="10"/>
      <c r="G2865" s="10"/>
      <c r="I2865" s="436" t="s">
        <v>6046</v>
      </c>
      <c r="J2865" s="26" t="s">
        <v>6045</v>
      </c>
      <c r="K2865" s="10">
        <v>1</v>
      </c>
      <c r="L2865" s="73">
        <f>IF(Tank1!$C$23="No control",(SUMIF(Tank1!$B$32:$B$49,$J2865,Tank1!$C$32:$C$49)*Impacts!$F$8),0)</f>
        <v>0</v>
      </c>
      <c r="M2865" s="10">
        <f>IF(Tank2!$C$23="No control",(SUMIF(Tank2!$B$32:$B$49,$J2865,Tank2!$C$32:$C$49)*Impacts!$F$9),0)</f>
        <v>0</v>
      </c>
      <c r="N2865" s="10">
        <f>IF(Tank3!$C$23="No control",(SUMIF(Tank3!$B$32:$B$49,$J2865,Tank3!$C$32:$C$49)*Impacts!$F$10),0)</f>
        <v>0</v>
      </c>
      <c r="O2865" s="10">
        <f>IF(Tank4!$C$23="No control",(SUMIF(Tank4!$B$32:$B$49,$J2865,Tank4!$C$32:$C$49)*Impacts!$F$11),0)</f>
        <v>0</v>
      </c>
      <c r="P2865" s="10">
        <f>IF(Tank5!$C$23="No control",(SUMIF(Tank5!$B$32:$B$49,$J2865,Tank5!$C$32:$C$49)*Impacts!$F$12),0)</f>
        <v>0</v>
      </c>
      <c r="Q2865" s="10">
        <f>IFERROR(IF(('Loading-drum,tote'!$C$21)="No control",SUMIF(('Loading-drum,tote'!$B$31:$B$48),$J2865,('Loading-drum,tote'!$D$31:$D$48))*Impacts!$F$13,IF(('Loading-drum,tote'!$C$21)&lt;&gt;"No control",SUMIF(('Loading-drum,tote'!$B$31:$B$48),$J2865,('Loading-drum,tote'!$E$31:$E$48))*Impacts!$F$13,0)),0)</f>
        <v>0</v>
      </c>
      <c r="R2865" s="10">
        <f>IFERROR(IF(('Loading-truck'!$C$21)="No control",SUMIF(('Loading-truck'!$B$31:$B$48),$J2865,('Loading-truck'!$D$31:$D$48))*Impacts!$F$14,IF(('Loading-truck'!$C$21)&lt;&gt;"No control",SUMIF(('Loading-truck'!$B$31:$B$48),$J2865,('Loading-truck'!$E$31:$E$48))*Impacts!$F$14,0)),0)</f>
        <v>0</v>
      </c>
      <c r="S2865" s="10">
        <f>IFERROR(IF(('Loading-rail'!$C$21)="No control",SUMIF(('Loading-rail'!$B$31:$B$48),$J2865,('Loading-rail'!$D$31:$D$48))*Impacts!$F$15,IF(('Loading-rail'!$C$21)&lt;&gt;"No control",SUMIF(('Loading-rail'!$B$31:$B$48),$J2865,('Loading-rail'!$E$31:$E$48))*Impacts!$F$15,0)),0)</f>
        <v>0</v>
      </c>
      <c r="T2865" s="10">
        <f>IF(Flare!$C$7="",0,(SUMIF(Flare!$B$46:$B$185,$J2865,Flare!$E$46:$E$185)*Impacts!$F$16))</f>
        <v>0</v>
      </c>
      <c r="U2865" s="10">
        <f>IF(VCU!$C$9="",0,(SUMIF(VCU!$B$51:$B$193,$J2865,VCU!$E$51:$E$193)*Impacts!$F$17))</f>
        <v>0</v>
      </c>
      <c r="V2865" s="10">
        <f>IF(CAS!$C$7="",0,(SUMIF(CAS!$B$31:$B$167,$J2865,CAS!$E$31:$E$167)*Impacts!$F$18))</f>
        <v>0</v>
      </c>
      <c r="W2865" s="10">
        <f t="shared" si="85"/>
        <v>0</v>
      </c>
      <c r="AK2865" s="10" t="str">
        <f t="array" ref="AK2865">IFERROR(INDEX(SelectedSpecies,SMALL(IF(SelectedSpecies=AK$1,ROW(SelectedSpecies)),ROW(2866:2866)),2),"")</f>
        <v/>
      </c>
      <c r="BE2865" s="10"/>
      <c r="BI2865" s="10"/>
    </row>
    <row r="2866" spans="1:61" ht="21" customHeight="1" x14ac:dyDescent="0.25">
      <c r="A2866" s="10"/>
      <c r="B2866" s="10"/>
      <c r="E2866" s="10"/>
      <c r="G2866" s="10"/>
      <c r="I2866" s="436" t="s">
        <v>2045</v>
      </c>
      <c r="J2866" s="26" t="s">
        <v>2044</v>
      </c>
      <c r="K2866" s="10">
        <v>16</v>
      </c>
      <c r="L2866" s="73">
        <f>IF(Tank1!$C$23="No control",(SUMIF(Tank1!$B$32:$B$49,$J2866,Tank1!$C$32:$C$49)*Impacts!$F$8),0)</f>
        <v>0</v>
      </c>
      <c r="M2866" s="10">
        <f>IF(Tank2!$C$23="No control",(SUMIF(Tank2!$B$32:$B$49,$J2866,Tank2!$C$32:$C$49)*Impacts!$F$9),0)</f>
        <v>0</v>
      </c>
      <c r="N2866" s="10">
        <f>IF(Tank3!$C$23="No control",(SUMIF(Tank3!$B$32:$B$49,$J2866,Tank3!$C$32:$C$49)*Impacts!$F$10),0)</f>
        <v>0</v>
      </c>
      <c r="O2866" s="10">
        <f>IF(Tank4!$C$23="No control",(SUMIF(Tank4!$B$32:$B$49,$J2866,Tank4!$C$32:$C$49)*Impacts!$F$11),0)</f>
        <v>0</v>
      </c>
      <c r="P2866" s="10">
        <f>IF(Tank5!$C$23="No control",(SUMIF(Tank5!$B$32:$B$49,$J2866,Tank5!$C$32:$C$49)*Impacts!$F$12),0)</f>
        <v>0</v>
      </c>
      <c r="Q2866" s="10">
        <f>IFERROR(IF(('Loading-drum,tote'!$C$21)="No control",SUMIF(('Loading-drum,tote'!$B$31:$B$48),$J2866,('Loading-drum,tote'!$D$31:$D$48))*Impacts!$F$13,IF(('Loading-drum,tote'!$C$21)&lt;&gt;"No control",SUMIF(('Loading-drum,tote'!$B$31:$B$48),$J2866,('Loading-drum,tote'!$E$31:$E$48))*Impacts!$F$13,0)),0)</f>
        <v>0</v>
      </c>
      <c r="R2866" s="10">
        <f>IFERROR(IF(('Loading-truck'!$C$21)="No control",SUMIF(('Loading-truck'!$B$31:$B$48),$J2866,('Loading-truck'!$D$31:$D$48))*Impacts!$F$14,IF(('Loading-truck'!$C$21)&lt;&gt;"No control",SUMIF(('Loading-truck'!$B$31:$B$48),$J2866,('Loading-truck'!$E$31:$E$48))*Impacts!$F$14,0)),0)</f>
        <v>0</v>
      </c>
      <c r="S2866" s="10">
        <f>IFERROR(IF(('Loading-rail'!$C$21)="No control",SUMIF(('Loading-rail'!$B$31:$B$48),$J2866,('Loading-rail'!$D$31:$D$48))*Impacts!$F$15,IF(('Loading-rail'!$C$21)&lt;&gt;"No control",SUMIF(('Loading-rail'!$B$31:$B$48),$J2866,('Loading-rail'!$E$31:$E$48))*Impacts!$F$15,0)),0)</f>
        <v>0</v>
      </c>
      <c r="T2866" s="10">
        <f>IF(Flare!$C$7="",0,(SUMIF(Flare!$B$46:$B$185,$J2866,Flare!$E$46:$E$185)*Impacts!$F$16))</f>
        <v>0</v>
      </c>
      <c r="U2866" s="10">
        <f>IF(VCU!$C$9="",0,(SUMIF(VCU!$B$51:$B$193,$J2866,VCU!$E$51:$E$193)*Impacts!$F$17))</f>
        <v>0</v>
      </c>
      <c r="V2866" s="10">
        <f>IF(CAS!$C$7="",0,(SUMIF(CAS!$B$31:$B$167,$J2866,CAS!$E$31:$E$167)*Impacts!$F$18))</f>
        <v>0</v>
      </c>
      <c r="W2866" s="10">
        <f t="shared" si="85"/>
        <v>0</v>
      </c>
      <c r="AK2866" s="10" t="str">
        <f t="array" ref="AK2866">IFERROR(INDEX(SelectedSpecies,SMALL(IF(SelectedSpecies=AK$1,ROW(SelectedSpecies)),ROW(2867:2867)),2),"")</f>
        <v/>
      </c>
      <c r="BE2866" s="10"/>
      <c r="BI2866" s="10"/>
    </row>
    <row r="2867" spans="1:61" ht="21" customHeight="1" x14ac:dyDescent="0.25">
      <c r="A2867" s="10"/>
      <c r="B2867" s="10"/>
      <c r="E2867" s="10"/>
      <c r="G2867" s="10"/>
      <c r="I2867" s="436" t="s">
        <v>3071</v>
      </c>
      <c r="J2867" s="26" t="s">
        <v>3070</v>
      </c>
      <c r="K2867" s="10">
        <v>10</v>
      </c>
      <c r="L2867" s="73">
        <f>IF(Tank1!$C$23="No control",(SUMIF(Tank1!$B$32:$B$49,$J2867,Tank1!$C$32:$C$49)*Impacts!$F$8),0)</f>
        <v>0</v>
      </c>
      <c r="M2867" s="10">
        <f>IF(Tank2!$C$23="No control",(SUMIF(Tank2!$B$32:$B$49,$J2867,Tank2!$C$32:$C$49)*Impacts!$F$9),0)</f>
        <v>0</v>
      </c>
      <c r="N2867" s="10">
        <f>IF(Tank3!$C$23="No control",(SUMIF(Tank3!$B$32:$B$49,$J2867,Tank3!$C$32:$C$49)*Impacts!$F$10),0)</f>
        <v>0</v>
      </c>
      <c r="O2867" s="10">
        <f>IF(Tank4!$C$23="No control",(SUMIF(Tank4!$B$32:$B$49,$J2867,Tank4!$C$32:$C$49)*Impacts!$F$11),0)</f>
        <v>0</v>
      </c>
      <c r="P2867" s="10">
        <f>IF(Tank5!$C$23="No control",(SUMIF(Tank5!$B$32:$B$49,$J2867,Tank5!$C$32:$C$49)*Impacts!$F$12),0)</f>
        <v>0</v>
      </c>
      <c r="Q2867" s="10">
        <f>IFERROR(IF(('Loading-drum,tote'!$C$21)="No control",SUMIF(('Loading-drum,tote'!$B$31:$B$48),$J2867,('Loading-drum,tote'!$D$31:$D$48))*Impacts!$F$13,IF(('Loading-drum,tote'!$C$21)&lt;&gt;"No control",SUMIF(('Loading-drum,tote'!$B$31:$B$48),$J2867,('Loading-drum,tote'!$E$31:$E$48))*Impacts!$F$13,0)),0)</f>
        <v>0</v>
      </c>
      <c r="R2867" s="10">
        <f>IFERROR(IF(('Loading-truck'!$C$21)="No control",SUMIF(('Loading-truck'!$B$31:$B$48),$J2867,('Loading-truck'!$D$31:$D$48))*Impacts!$F$14,IF(('Loading-truck'!$C$21)&lt;&gt;"No control",SUMIF(('Loading-truck'!$B$31:$B$48),$J2867,('Loading-truck'!$E$31:$E$48))*Impacts!$F$14,0)),0)</f>
        <v>0</v>
      </c>
      <c r="S2867" s="10">
        <f>IFERROR(IF(('Loading-rail'!$C$21)="No control",SUMIF(('Loading-rail'!$B$31:$B$48),$J2867,('Loading-rail'!$D$31:$D$48))*Impacts!$F$15,IF(('Loading-rail'!$C$21)&lt;&gt;"No control",SUMIF(('Loading-rail'!$B$31:$B$48),$J2867,('Loading-rail'!$E$31:$E$48))*Impacts!$F$15,0)),0)</f>
        <v>0</v>
      </c>
      <c r="T2867" s="10">
        <f>IF(Flare!$C$7="",0,(SUMIF(Flare!$B$46:$B$185,$J2867,Flare!$E$46:$E$185)*Impacts!$F$16))</f>
        <v>0</v>
      </c>
      <c r="U2867" s="10">
        <f>IF(VCU!$C$9="",0,(SUMIF(VCU!$B$51:$B$193,$J2867,VCU!$E$51:$E$193)*Impacts!$F$17))</f>
        <v>0</v>
      </c>
      <c r="V2867" s="10">
        <f>IF(CAS!$C$7="",0,(SUMIF(CAS!$B$31:$B$167,$J2867,CAS!$E$31:$E$167)*Impacts!$F$18))</f>
        <v>0</v>
      </c>
      <c r="W2867" s="10">
        <f t="shared" si="85"/>
        <v>0</v>
      </c>
      <c r="AK2867" s="10" t="str">
        <f t="array" ref="AK2867">IFERROR(INDEX(SelectedSpecies,SMALL(IF(SelectedSpecies=AK$1,ROW(SelectedSpecies)),ROW(2868:2868)),2),"")</f>
        <v/>
      </c>
      <c r="BE2867" s="10"/>
      <c r="BI2867" s="10"/>
    </row>
    <row r="2868" spans="1:61" ht="21" customHeight="1" x14ac:dyDescent="0.25">
      <c r="A2868" s="10"/>
      <c r="B2868" s="10"/>
      <c r="E2868" s="10"/>
      <c r="G2868" s="10"/>
      <c r="I2868" s="436" t="s">
        <v>3073</v>
      </c>
      <c r="J2868" s="26" t="s">
        <v>3072</v>
      </c>
      <c r="K2868" s="10">
        <v>10</v>
      </c>
      <c r="L2868" s="73">
        <f>IF(Tank1!$C$23="No control",(SUMIF(Tank1!$B$32:$B$49,$J2868,Tank1!$C$32:$C$49)*Impacts!$F$8),0)</f>
        <v>0</v>
      </c>
      <c r="M2868" s="10">
        <f>IF(Tank2!$C$23="No control",(SUMIF(Tank2!$B$32:$B$49,$J2868,Tank2!$C$32:$C$49)*Impacts!$F$9),0)</f>
        <v>0</v>
      </c>
      <c r="N2868" s="10">
        <f>IF(Tank3!$C$23="No control",(SUMIF(Tank3!$B$32:$B$49,$J2868,Tank3!$C$32:$C$49)*Impacts!$F$10),0)</f>
        <v>0</v>
      </c>
      <c r="O2868" s="10">
        <f>IF(Tank4!$C$23="No control",(SUMIF(Tank4!$B$32:$B$49,$J2868,Tank4!$C$32:$C$49)*Impacts!$F$11),0)</f>
        <v>0</v>
      </c>
      <c r="P2868" s="10">
        <f>IF(Tank5!$C$23="No control",(SUMIF(Tank5!$B$32:$B$49,$J2868,Tank5!$C$32:$C$49)*Impacts!$F$12),0)</f>
        <v>0</v>
      </c>
      <c r="Q2868" s="10">
        <f>IFERROR(IF(('Loading-drum,tote'!$C$21)="No control",SUMIF(('Loading-drum,tote'!$B$31:$B$48),$J2868,('Loading-drum,tote'!$D$31:$D$48))*Impacts!$F$13,IF(('Loading-drum,tote'!$C$21)&lt;&gt;"No control",SUMIF(('Loading-drum,tote'!$B$31:$B$48),$J2868,('Loading-drum,tote'!$E$31:$E$48))*Impacts!$F$13,0)),0)</f>
        <v>0</v>
      </c>
      <c r="R2868" s="10">
        <f>IFERROR(IF(('Loading-truck'!$C$21)="No control",SUMIF(('Loading-truck'!$B$31:$B$48),$J2868,('Loading-truck'!$D$31:$D$48))*Impacts!$F$14,IF(('Loading-truck'!$C$21)&lt;&gt;"No control",SUMIF(('Loading-truck'!$B$31:$B$48),$J2868,('Loading-truck'!$E$31:$E$48))*Impacts!$F$14,0)),0)</f>
        <v>0</v>
      </c>
      <c r="S2868" s="10">
        <f>IFERROR(IF(('Loading-rail'!$C$21)="No control",SUMIF(('Loading-rail'!$B$31:$B$48),$J2868,('Loading-rail'!$D$31:$D$48))*Impacts!$F$15,IF(('Loading-rail'!$C$21)&lt;&gt;"No control",SUMIF(('Loading-rail'!$B$31:$B$48),$J2868,('Loading-rail'!$E$31:$E$48))*Impacts!$F$15,0)),0)</f>
        <v>0</v>
      </c>
      <c r="T2868" s="10">
        <f>IF(Flare!$C$7="",0,(SUMIF(Flare!$B$46:$B$185,$J2868,Flare!$E$46:$E$185)*Impacts!$F$16))</f>
        <v>0</v>
      </c>
      <c r="U2868" s="10">
        <f>IF(VCU!$C$9="",0,(SUMIF(VCU!$B$51:$B$193,$J2868,VCU!$E$51:$E$193)*Impacts!$F$17))</f>
        <v>0</v>
      </c>
      <c r="V2868" s="10">
        <f>IF(CAS!$C$7="",0,(SUMIF(CAS!$B$31:$B$167,$J2868,CAS!$E$31:$E$167)*Impacts!$F$18))</f>
        <v>0</v>
      </c>
      <c r="W2868" s="10">
        <f t="shared" si="85"/>
        <v>0</v>
      </c>
      <c r="AK2868" s="10" t="str">
        <f t="array" ref="AK2868">IFERROR(INDEX(SelectedSpecies,SMALL(IF(SelectedSpecies=AK$1,ROW(SelectedSpecies)),ROW(2869:2869)),2),"")</f>
        <v/>
      </c>
      <c r="BE2868" s="10"/>
      <c r="BI2868" s="10"/>
    </row>
    <row r="2869" spans="1:61" ht="21" customHeight="1" x14ac:dyDescent="0.25">
      <c r="A2869" s="10"/>
      <c r="B2869" s="10"/>
      <c r="E2869" s="10"/>
      <c r="G2869" s="10"/>
      <c r="I2869" s="436" t="s">
        <v>3075</v>
      </c>
      <c r="J2869" s="26" t="s">
        <v>3074</v>
      </c>
      <c r="K2869" s="10">
        <v>10</v>
      </c>
      <c r="L2869" s="73">
        <f>IF(Tank1!$C$23="No control",(SUMIF(Tank1!$B$32:$B$49,$J2869,Tank1!$C$32:$C$49)*Impacts!$F$8),0)</f>
        <v>0</v>
      </c>
      <c r="M2869" s="10">
        <f>IF(Tank2!$C$23="No control",(SUMIF(Tank2!$B$32:$B$49,$J2869,Tank2!$C$32:$C$49)*Impacts!$F$9),0)</f>
        <v>0</v>
      </c>
      <c r="N2869" s="10">
        <f>IF(Tank3!$C$23="No control",(SUMIF(Tank3!$B$32:$B$49,$J2869,Tank3!$C$32:$C$49)*Impacts!$F$10),0)</f>
        <v>0</v>
      </c>
      <c r="O2869" s="10">
        <f>IF(Tank4!$C$23="No control",(SUMIF(Tank4!$B$32:$B$49,$J2869,Tank4!$C$32:$C$49)*Impacts!$F$11),0)</f>
        <v>0</v>
      </c>
      <c r="P2869" s="10">
        <f>IF(Tank5!$C$23="No control",(SUMIF(Tank5!$B$32:$B$49,$J2869,Tank5!$C$32:$C$49)*Impacts!$F$12),0)</f>
        <v>0</v>
      </c>
      <c r="Q2869" s="10">
        <f>IFERROR(IF(('Loading-drum,tote'!$C$21)="No control",SUMIF(('Loading-drum,tote'!$B$31:$B$48),$J2869,('Loading-drum,tote'!$D$31:$D$48))*Impacts!$F$13,IF(('Loading-drum,tote'!$C$21)&lt;&gt;"No control",SUMIF(('Loading-drum,tote'!$B$31:$B$48),$J2869,('Loading-drum,tote'!$E$31:$E$48))*Impacts!$F$13,0)),0)</f>
        <v>0</v>
      </c>
      <c r="R2869" s="10">
        <f>IFERROR(IF(('Loading-truck'!$C$21)="No control",SUMIF(('Loading-truck'!$B$31:$B$48),$J2869,('Loading-truck'!$D$31:$D$48))*Impacts!$F$14,IF(('Loading-truck'!$C$21)&lt;&gt;"No control",SUMIF(('Loading-truck'!$B$31:$B$48),$J2869,('Loading-truck'!$E$31:$E$48))*Impacts!$F$14,0)),0)</f>
        <v>0</v>
      </c>
      <c r="S2869" s="10">
        <f>IFERROR(IF(('Loading-rail'!$C$21)="No control",SUMIF(('Loading-rail'!$B$31:$B$48),$J2869,('Loading-rail'!$D$31:$D$48))*Impacts!$F$15,IF(('Loading-rail'!$C$21)&lt;&gt;"No control",SUMIF(('Loading-rail'!$B$31:$B$48),$J2869,('Loading-rail'!$E$31:$E$48))*Impacts!$F$15,0)),0)</f>
        <v>0</v>
      </c>
      <c r="T2869" s="10">
        <f>IF(Flare!$C$7="",0,(SUMIF(Flare!$B$46:$B$185,$J2869,Flare!$E$46:$E$185)*Impacts!$F$16))</f>
        <v>0</v>
      </c>
      <c r="U2869" s="10">
        <f>IF(VCU!$C$9="",0,(SUMIF(VCU!$B$51:$B$193,$J2869,VCU!$E$51:$E$193)*Impacts!$F$17))</f>
        <v>0</v>
      </c>
      <c r="V2869" s="10">
        <f>IF(CAS!$C$7="",0,(SUMIF(CAS!$B$31:$B$167,$J2869,CAS!$E$31:$E$167)*Impacts!$F$18))</f>
        <v>0</v>
      </c>
      <c r="W2869" s="10">
        <f t="shared" si="85"/>
        <v>0</v>
      </c>
      <c r="AK2869" s="10" t="str">
        <f t="array" ref="AK2869">IFERROR(INDEX(SelectedSpecies,SMALL(IF(SelectedSpecies=AK$1,ROW(SelectedSpecies)),ROW(2870:2870)),2),"")</f>
        <v/>
      </c>
      <c r="BE2869" s="10"/>
      <c r="BI2869" s="10"/>
    </row>
    <row r="2870" spans="1:61" ht="21" customHeight="1" x14ac:dyDescent="0.25">
      <c r="A2870" s="10"/>
      <c r="B2870" s="10"/>
      <c r="E2870" s="10"/>
      <c r="G2870" s="10"/>
      <c r="I2870" s="436" t="s">
        <v>3077</v>
      </c>
      <c r="J2870" s="26" t="s">
        <v>3076</v>
      </c>
      <c r="K2870" s="10">
        <v>10</v>
      </c>
      <c r="L2870" s="73">
        <f>IF(Tank1!$C$23="No control",(SUMIF(Tank1!$B$32:$B$49,$J2870,Tank1!$C$32:$C$49)*Impacts!$F$8),0)</f>
        <v>0</v>
      </c>
      <c r="M2870" s="10">
        <f>IF(Tank2!$C$23="No control",(SUMIF(Tank2!$B$32:$B$49,$J2870,Tank2!$C$32:$C$49)*Impacts!$F$9),0)</f>
        <v>0</v>
      </c>
      <c r="N2870" s="10">
        <f>IF(Tank3!$C$23="No control",(SUMIF(Tank3!$B$32:$B$49,$J2870,Tank3!$C$32:$C$49)*Impacts!$F$10),0)</f>
        <v>0</v>
      </c>
      <c r="O2870" s="10">
        <f>IF(Tank4!$C$23="No control",(SUMIF(Tank4!$B$32:$B$49,$J2870,Tank4!$C$32:$C$49)*Impacts!$F$11),0)</f>
        <v>0</v>
      </c>
      <c r="P2870" s="10">
        <f>IF(Tank5!$C$23="No control",(SUMIF(Tank5!$B$32:$B$49,$J2870,Tank5!$C$32:$C$49)*Impacts!$F$12),0)</f>
        <v>0</v>
      </c>
      <c r="Q2870" s="10">
        <f>IFERROR(IF(('Loading-drum,tote'!$C$21)="No control",SUMIF(('Loading-drum,tote'!$B$31:$B$48),$J2870,('Loading-drum,tote'!$D$31:$D$48))*Impacts!$F$13,IF(('Loading-drum,tote'!$C$21)&lt;&gt;"No control",SUMIF(('Loading-drum,tote'!$B$31:$B$48),$J2870,('Loading-drum,tote'!$E$31:$E$48))*Impacts!$F$13,0)),0)</f>
        <v>0</v>
      </c>
      <c r="R2870" s="10">
        <f>IFERROR(IF(('Loading-truck'!$C$21)="No control",SUMIF(('Loading-truck'!$B$31:$B$48),$J2870,('Loading-truck'!$D$31:$D$48))*Impacts!$F$14,IF(('Loading-truck'!$C$21)&lt;&gt;"No control",SUMIF(('Loading-truck'!$B$31:$B$48),$J2870,('Loading-truck'!$E$31:$E$48))*Impacts!$F$14,0)),0)</f>
        <v>0</v>
      </c>
      <c r="S2870" s="10">
        <f>IFERROR(IF(('Loading-rail'!$C$21)="No control",SUMIF(('Loading-rail'!$B$31:$B$48),$J2870,('Loading-rail'!$D$31:$D$48))*Impacts!$F$15,IF(('Loading-rail'!$C$21)&lt;&gt;"No control",SUMIF(('Loading-rail'!$B$31:$B$48),$J2870,('Loading-rail'!$E$31:$E$48))*Impacts!$F$15,0)),0)</f>
        <v>0</v>
      </c>
      <c r="T2870" s="10">
        <f>IF(Flare!$C$7="",0,(SUMIF(Flare!$B$46:$B$185,$J2870,Flare!$E$46:$E$185)*Impacts!$F$16))</f>
        <v>0</v>
      </c>
      <c r="U2870" s="10">
        <f>IF(VCU!$C$9="",0,(SUMIF(VCU!$B$51:$B$193,$J2870,VCU!$E$51:$E$193)*Impacts!$F$17))</f>
        <v>0</v>
      </c>
      <c r="V2870" s="10">
        <f>IF(CAS!$C$7="",0,(SUMIF(CAS!$B$31:$B$167,$J2870,CAS!$E$31:$E$167)*Impacts!$F$18))</f>
        <v>0</v>
      </c>
      <c r="W2870" s="10">
        <f t="shared" si="85"/>
        <v>0</v>
      </c>
      <c r="AK2870" s="10" t="str">
        <f t="array" ref="AK2870">IFERROR(INDEX(SelectedSpecies,SMALL(IF(SelectedSpecies=AK$1,ROW(SelectedSpecies)),ROW(2871:2871)),2),"")</f>
        <v/>
      </c>
      <c r="BE2870" s="10"/>
      <c r="BI2870" s="10"/>
    </row>
    <row r="2871" spans="1:61" ht="21" customHeight="1" x14ac:dyDescent="0.25">
      <c r="A2871" s="10"/>
      <c r="B2871" s="10"/>
      <c r="E2871" s="10"/>
      <c r="G2871" s="10"/>
      <c r="I2871" s="436" t="s">
        <v>3079</v>
      </c>
      <c r="J2871" s="26" t="s">
        <v>3078</v>
      </c>
      <c r="K2871" s="10">
        <v>10</v>
      </c>
      <c r="L2871" s="73">
        <f>IF(Tank1!$C$23="No control",(SUMIF(Tank1!$B$32:$B$49,$J2871,Tank1!$C$32:$C$49)*Impacts!$F$8),0)</f>
        <v>0</v>
      </c>
      <c r="M2871" s="10">
        <f>IF(Tank2!$C$23="No control",(SUMIF(Tank2!$B$32:$B$49,$J2871,Tank2!$C$32:$C$49)*Impacts!$F$9),0)</f>
        <v>0</v>
      </c>
      <c r="N2871" s="10">
        <f>IF(Tank3!$C$23="No control",(SUMIF(Tank3!$B$32:$B$49,$J2871,Tank3!$C$32:$C$49)*Impacts!$F$10),0)</f>
        <v>0</v>
      </c>
      <c r="O2871" s="10">
        <f>IF(Tank4!$C$23="No control",(SUMIF(Tank4!$B$32:$B$49,$J2871,Tank4!$C$32:$C$49)*Impacts!$F$11),0)</f>
        <v>0</v>
      </c>
      <c r="P2871" s="10">
        <f>IF(Tank5!$C$23="No control",(SUMIF(Tank5!$B$32:$B$49,$J2871,Tank5!$C$32:$C$49)*Impacts!$F$12),0)</f>
        <v>0</v>
      </c>
      <c r="Q2871" s="10">
        <f>IFERROR(IF(('Loading-drum,tote'!$C$21)="No control",SUMIF(('Loading-drum,tote'!$B$31:$B$48),$J2871,('Loading-drum,tote'!$D$31:$D$48))*Impacts!$F$13,IF(('Loading-drum,tote'!$C$21)&lt;&gt;"No control",SUMIF(('Loading-drum,tote'!$B$31:$B$48),$J2871,('Loading-drum,tote'!$E$31:$E$48))*Impacts!$F$13,0)),0)</f>
        <v>0</v>
      </c>
      <c r="R2871" s="10">
        <f>IFERROR(IF(('Loading-truck'!$C$21)="No control",SUMIF(('Loading-truck'!$B$31:$B$48),$J2871,('Loading-truck'!$D$31:$D$48))*Impacts!$F$14,IF(('Loading-truck'!$C$21)&lt;&gt;"No control",SUMIF(('Loading-truck'!$B$31:$B$48),$J2871,('Loading-truck'!$E$31:$E$48))*Impacts!$F$14,0)),0)</f>
        <v>0</v>
      </c>
      <c r="S2871" s="10">
        <f>IFERROR(IF(('Loading-rail'!$C$21)="No control",SUMIF(('Loading-rail'!$B$31:$B$48),$J2871,('Loading-rail'!$D$31:$D$48))*Impacts!$F$15,IF(('Loading-rail'!$C$21)&lt;&gt;"No control",SUMIF(('Loading-rail'!$B$31:$B$48),$J2871,('Loading-rail'!$E$31:$E$48))*Impacts!$F$15,0)),0)</f>
        <v>0</v>
      </c>
      <c r="T2871" s="10">
        <f>IF(Flare!$C$7="",0,(SUMIF(Flare!$B$46:$B$185,$J2871,Flare!$E$46:$E$185)*Impacts!$F$16))</f>
        <v>0</v>
      </c>
      <c r="U2871" s="10">
        <f>IF(VCU!$C$9="",0,(SUMIF(VCU!$B$51:$B$193,$J2871,VCU!$E$51:$E$193)*Impacts!$F$17))</f>
        <v>0</v>
      </c>
      <c r="V2871" s="10">
        <f>IF(CAS!$C$7="",0,(SUMIF(CAS!$B$31:$B$167,$J2871,CAS!$E$31:$E$167)*Impacts!$F$18))</f>
        <v>0</v>
      </c>
      <c r="W2871" s="10">
        <f t="shared" si="85"/>
        <v>0</v>
      </c>
      <c r="AK2871" s="10" t="str">
        <f t="array" ref="AK2871">IFERROR(INDEX(SelectedSpecies,SMALL(IF(SelectedSpecies=AK$1,ROW(SelectedSpecies)),ROW(2872:2872)),2),"")</f>
        <v/>
      </c>
      <c r="BE2871" s="10"/>
      <c r="BI2871" s="10"/>
    </row>
    <row r="2872" spans="1:61" ht="21" customHeight="1" x14ac:dyDescent="0.25">
      <c r="A2872" s="10"/>
      <c r="B2872" s="10"/>
      <c r="E2872" s="10"/>
      <c r="G2872" s="10"/>
      <c r="I2872" s="436" t="s">
        <v>2571</v>
      </c>
      <c r="J2872" s="26" t="s">
        <v>2570</v>
      </c>
      <c r="K2872" s="10">
        <v>10</v>
      </c>
      <c r="L2872" s="73">
        <f>IF(Tank1!$C$23="No control",(SUMIF(Tank1!$B$32:$B$49,$J2872,Tank1!$C$32:$C$49)*Impacts!$F$8),0)</f>
        <v>0</v>
      </c>
      <c r="M2872" s="10">
        <f>IF(Tank2!$C$23="No control",(SUMIF(Tank2!$B$32:$B$49,$J2872,Tank2!$C$32:$C$49)*Impacts!$F$9),0)</f>
        <v>0</v>
      </c>
      <c r="N2872" s="10">
        <f>IF(Tank3!$C$23="No control",(SUMIF(Tank3!$B$32:$B$49,$J2872,Tank3!$C$32:$C$49)*Impacts!$F$10),0)</f>
        <v>0</v>
      </c>
      <c r="O2872" s="10">
        <f>IF(Tank4!$C$23="No control",(SUMIF(Tank4!$B$32:$B$49,$J2872,Tank4!$C$32:$C$49)*Impacts!$F$11),0)</f>
        <v>0</v>
      </c>
      <c r="P2872" s="10">
        <f>IF(Tank5!$C$23="No control",(SUMIF(Tank5!$B$32:$B$49,$J2872,Tank5!$C$32:$C$49)*Impacts!$F$12),0)</f>
        <v>0</v>
      </c>
      <c r="Q2872" s="10">
        <f>IFERROR(IF(('Loading-drum,tote'!$C$21)="No control",SUMIF(('Loading-drum,tote'!$B$31:$B$48),$J2872,('Loading-drum,tote'!$D$31:$D$48))*Impacts!$F$13,IF(('Loading-drum,tote'!$C$21)&lt;&gt;"No control",SUMIF(('Loading-drum,tote'!$B$31:$B$48),$J2872,('Loading-drum,tote'!$E$31:$E$48))*Impacts!$F$13,0)),0)</f>
        <v>0</v>
      </c>
      <c r="R2872" s="10">
        <f>IFERROR(IF(('Loading-truck'!$C$21)="No control",SUMIF(('Loading-truck'!$B$31:$B$48),$J2872,('Loading-truck'!$D$31:$D$48))*Impacts!$F$14,IF(('Loading-truck'!$C$21)&lt;&gt;"No control",SUMIF(('Loading-truck'!$B$31:$B$48),$J2872,('Loading-truck'!$E$31:$E$48))*Impacts!$F$14,0)),0)</f>
        <v>0</v>
      </c>
      <c r="S2872" s="10">
        <f>IFERROR(IF(('Loading-rail'!$C$21)="No control",SUMIF(('Loading-rail'!$B$31:$B$48),$J2872,('Loading-rail'!$D$31:$D$48))*Impacts!$F$15,IF(('Loading-rail'!$C$21)&lt;&gt;"No control",SUMIF(('Loading-rail'!$B$31:$B$48),$J2872,('Loading-rail'!$E$31:$E$48))*Impacts!$F$15,0)),0)</f>
        <v>0</v>
      </c>
      <c r="T2872" s="10">
        <f>IF(Flare!$C$7="",0,(SUMIF(Flare!$B$46:$B$185,$J2872,Flare!$E$46:$E$185)*Impacts!$F$16))</f>
        <v>0</v>
      </c>
      <c r="U2872" s="10">
        <f>IF(VCU!$C$9="",0,(SUMIF(VCU!$B$51:$B$193,$J2872,VCU!$E$51:$E$193)*Impacts!$F$17))</f>
        <v>0</v>
      </c>
      <c r="V2872" s="10">
        <f>IF(CAS!$C$7="",0,(SUMIF(CAS!$B$31:$B$167,$J2872,CAS!$E$31:$E$167)*Impacts!$F$18))</f>
        <v>0</v>
      </c>
      <c r="W2872" s="10">
        <f t="shared" si="85"/>
        <v>0</v>
      </c>
      <c r="AK2872" s="10" t="str">
        <f t="array" ref="AK2872">IFERROR(INDEX(SelectedSpecies,SMALL(IF(SelectedSpecies=AK$1,ROW(SelectedSpecies)),ROW(2873:2873)),2),"")</f>
        <v/>
      </c>
      <c r="BE2872" s="10"/>
      <c r="BI2872" s="10"/>
    </row>
    <row r="2873" spans="1:61" ht="21" customHeight="1" x14ac:dyDescent="0.25">
      <c r="A2873" s="10"/>
      <c r="B2873" s="10"/>
      <c r="E2873" s="10"/>
      <c r="G2873" s="10"/>
      <c r="I2873" s="436" t="s">
        <v>556</v>
      </c>
      <c r="J2873" s="26" t="s">
        <v>555</v>
      </c>
      <c r="K2873" s="10">
        <v>100</v>
      </c>
      <c r="L2873" s="73">
        <f>IF(Tank1!$C$23="No control",(SUMIF(Tank1!$B$32:$B$49,$J2873,Tank1!$C$32:$C$49)*Impacts!$F$8),0)</f>
        <v>0</v>
      </c>
      <c r="M2873" s="10">
        <f>IF(Tank2!$C$23="No control",(SUMIF(Tank2!$B$32:$B$49,$J2873,Tank2!$C$32:$C$49)*Impacts!$F$9),0)</f>
        <v>0</v>
      </c>
      <c r="N2873" s="10">
        <f>IF(Tank3!$C$23="No control",(SUMIF(Tank3!$B$32:$B$49,$J2873,Tank3!$C$32:$C$49)*Impacts!$F$10),0)</f>
        <v>0</v>
      </c>
      <c r="O2873" s="10">
        <f>IF(Tank4!$C$23="No control",(SUMIF(Tank4!$B$32:$B$49,$J2873,Tank4!$C$32:$C$49)*Impacts!$F$11),0)</f>
        <v>0</v>
      </c>
      <c r="P2873" s="10">
        <f>IF(Tank5!$C$23="No control",(SUMIF(Tank5!$B$32:$B$49,$J2873,Tank5!$C$32:$C$49)*Impacts!$F$12),0)</f>
        <v>0</v>
      </c>
      <c r="Q2873" s="10">
        <f>IFERROR(IF(('Loading-drum,tote'!$C$21)="No control",SUMIF(('Loading-drum,tote'!$B$31:$B$48),$J2873,('Loading-drum,tote'!$D$31:$D$48))*Impacts!$F$13,IF(('Loading-drum,tote'!$C$21)&lt;&gt;"No control",SUMIF(('Loading-drum,tote'!$B$31:$B$48),$J2873,('Loading-drum,tote'!$E$31:$E$48))*Impacts!$F$13,0)),0)</f>
        <v>0</v>
      </c>
      <c r="R2873" s="10">
        <f>IFERROR(IF(('Loading-truck'!$C$21)="No control",SUMIF(('Loading-truck'!$B$31:$B$48),$J2873,('Loading-truck'!$D$31:$D$48))*Impacts!$F$14,IF(('Loading-truck'!$C$21)&lt;&gt;"No control",SUMIF(('Loading-truck'!$B$31:$B$48),$J2873,('Loading-truck'!$E$31:$E$48))*Impacts!$F$14,0)),0)</f>
        <v>0</v>
      </c>
      <c r="S2873" s="10">
        <f>IFERROR(IF(('Loading-rail'!$C$21)="No control",SUMIF(('Loading-rail'!$B$31:$B$48),$J2873,('Loading-rail'!$D$31:$D$48))*Impacts!$F$15,IF(('Loading-rail'!$C$21)&lt;&gt;"No control",SUMIF(('Loading-rail'!$B$31:$B$48),$J2873,('Loading-rail'!$E$31:$E$48))*Impacts!$F$15,0)),0)</f>
        <v>0</v>
      </c>
      <c r="T2873" s="10">
        <f>IF(Flare!$C$7="",0,(SUMIF(Flare!$B$46:$B$185,$J2873,Flare!$E$46:$E$185)*Impacts!$F$16))</f>
        <v>0</v>
      </c>
      <c r="U2873" s="10">
        <f>IF(VCU!$C$9="",0,(SUMIF(VCU!$B$51:$B$193,$J2873,VCU!$E$51:$E$193)*Impacts!$F$17))</f>
        <v>0</v>
      </c>
      <c r="V2873" s="10">
        <f>IF(CAS!$C$7="",0,(SUMIF(CAS!$B$31:$B$167,$J2873,CAS!$E$31:$E$167)*Impacts!$F$18))</f>
        <v>0</v>
      </c>
      <c r="W2873" s="10">
        <f t="shared" si="85"/>
        <v>0</v>
      </c>
      <c r="AK2873" s="10" t="str">
        <f t="array" ref="AK2873">IFERROR(INDEX(SelectedSpecies,SMALL(IF(SelectedSpecies=AK$1,ROW(SelectedSpecies)),ROW(2874:2874)),2),"")</f>
        <v/>
      </c>
      <c r="BE2873" s="10"/>
      <c r="BI2873" s="10"/>
    </row>
    <row r="2874" spans="1:61" ht="21" customHeight="1" x14ac:dyDescent="0.25">
      <c r="A2874" s="10"/>
      <c r="B2874" s="10"/>
      <c r="E2874" s="10"/>
      <c r="G2874" s="10"/>
      <c r="I2874" s="436" t="s">
        <v>3081</v>
      </c>
      <c r="J2874" s="26" t="s">
        <v>3080</v>
      </c>
      <c r="K2874" s="10">
        <v>10</v>
      </c>
      <c r="L2874" s="73">
        <f>IF(Tank1!$C$23="No control",(SUMIF(Tank1!$B$32:$B$49,$J2874,Tank1!$C$32:$C$49)*Impacts!$F$8),0)</f>
        <v>0</v>
      </c>
      <c r="M2874" s="10">
        <f>IF(Tank2!$C$23="No control",(SUMIF(Tank2!$B$32:$B$49,$J2874,Tank2!$C$32:$C$49)*Impacts!$F$9),0)</f>
        <v>0</v>
      </c>
      <c r="N2874" s="10">
        <f>IF(Tank3!$C$23="No control",(SUMIF(Tank3!$B$32:$B$49,$J2874,Tank3!$C$32:$C$49)*Impacts!$F$10),0)</f>
        <v>0</v>
      </c>
      <c r="O2874" s="10">
        <f>IF(Tank4!$C$23="No control",(SUMIF(Tank4!$B$32:$B$49,$J2874,Tank4!$C$32:$C$49)*Impacts!$F$11),0)</f>
        <v>0</v>
      </c>
      <c r="P2874" s="10">
        <f>IF(Tank5!$C$23="No control",(SUMIF(Tank5!$B$32:$B$49,$J2874,Tank5!$C$32:$C$49)*Impacts!$F$12),0)</f>
        <v>0</v>
      </c>
      <c r="Q2874" s="10">
        <f>IFERROR(IF(('Loading-drum,tote'!$C$21)="No control",SUMIF(('Loading-drum,tote'!$B$31:$B$48),$J2874,('Loading-drum,tote'!$D$31:$D$48))*Impacts!$F$13,IF(('Loading-drum,tote'!$C$21)&lt;&gt;"No control",SUMIF(('Loading-drum,tote'!$B$31:$B$48),$J2874,('Loading-drum,tote'!$E$31:$E$48))*Impacts!$F$13,0)),0)</f>
        <v>0</v>
      </c>
      <c r="R2874" s="10">
        <f>IFERROR(IF(('Loading-truck'!$C$21)="No control",SUMIF(('Loading-truck'!$B$31:$B$48),$J2874,('Loading-truck'!$D$31:$D$48))*Impacts!$F$14,IF(('Loading-truck'!$C$21)&lt;&gt;"No control",SUMIF(('Loading-truck'!$B$31:$B$48),$J2874,('Loading-truck'!$E$31:$E$48))*Impacts!$F$14,0)),0)</f>
        <v>0</v>
      </c>
      <c r="S2874" s="10">
        <f>IFERROR(IF(('Loading-rail'!$C$21)="No control",SUMIF(('Loading-rail'!$B$31:$B$48),$J2874,('Loading-rail'!$D$31:$D$48))*Impacts!$F$15,IF(('Loading-rail'!$C$21)&lt;&gt;"No control",SUMIF(('Loading-rail'!$B$31:$B$48),$J2874,('Loading-rail'!$E$31:$E$48))*Impacts!$F$15,0)),0)</f>
        <v>0</v>
      </c>
      <c r="T2874" s="10">
        <f>IF(Flare!$C$7="",0,(SUMIF(Flare!$B$46:$B$185,$J2874,Flare!$E$46:$E$185)*Impacts!$F$16))</f>
        <v>0</v>
      </c>
      <c r="U2874" s="10">
        <f>IF(VCU!$C$9="",0,(SUMIF(VCU!$B$51:$B$193,$J2874,VCU!$E$51:$E$193)*Impacts!$F$17))</f>
        <v>0</v>
      </c>
      <c r="V2874" s="10">
        <f>IF(CAS!$C$7="",0,(SUMIF(CAS!$B$31:$B$167,$J2874,CAS!$E$31:$E$167)*Impacts!$F$18))</f>
        <v>0</v>
      </c>
      <c r="W2874" s="10">
        <f t="shared" si="85"/>
        <v>0</v>
      </c>
      <c r="AK2874" s="10" t="str">
        <f t="array" ref="AK2874">IFERROR(INDEX(SelectedSpecies,SMALL(IF(SelectedSpecies=AK$1,ROW(SelectedSpecies)),ROW(2875:2875)),2),"")</f>
        <v/>
      </c>
      <c r="BE2874" s="10"/>
      <c r="BI2874" s="10"/>
    </row>
    <row r="2875" spans="1:61" ht="21" customHeight="1" x14ac:dyDescent="0.25">
      <c r="A2875" s="10"/>
      <c r="B2875" s="10"/>
      <c r="E2875" s="10"/>
      <c r="G2875" s="10"/>
      <c r="I2875" s="436" t="s">
        <v>3083</v>
      </c>
      <c r="J2875" s="26" t="s">
        <v>3082</v>
      </c>
      <c r="K2875" s="10">
        <v>10</v>
      </c>
      <c r="L2875" s="73">
        <f>IF(Tank1!$C$23="No control",(SUMIF(Tank1!$B$32:$B$49,$J2875,Tank1!$C$32:$C$49)*Impacts!$F$8),0)</f>
        <v>0</v>
      </c>
      <c r="M2875" s="10">
        <f>IF(Tank2!$C$23="No control",(SUMIF(Tank2!$B$32:$B$49,$J2875,Tank2!$C$32:$C$49)*Impacts!$F$9),0)</f>
        <v>0</v>
      </c>
      <c r="N2875" s="10">
        <f>IF(Tank3!$C$23="No control",(SUMIF(Tank3!$B$32:$B$49,$J2875,Tank3!$C$32:$C$49)*Impacts!$F$10),0)</f>
        <v>0</v>
      </c>
      <c r="O2875" s="10">
        <f>IF(Tank4!$C$23="No control",(SUMIF(Tank4!$B$32:$B$49,$J2875,Tank4!$C$32:$C$49)*Impacts!$F$11),0)</f>
        <v>0</v>
      </c>
      <c r="P2875" s="10">
        <f>IF(Tank5!$C$23="No control",(SUMIF(Tank5!$B$32:$B$49,$J2875,Tank5!$C$32:$C$49)*Impacts!$F$12),0)</f>
        <v>0</v>
      </c>
      <c r="Q2875" s="10">
        <f>IFERROR(IF(('Loading-drum,tote'!$C$21)="No control",SUMIF(('Loading-drum,tote'!$B$31:$B$48),$J2875,('Loading-drum,tote'!$D$31:$D$48))*Impacts!$F$13,IF(('Loading-drum,tote'!$C$21)&lt;&gt;"No control",SUMIF(('Loading-drum,tote'!$B$31:$B$48),$J2875,('Loading-drum,tote'!$E$31:$E$48))*Impacts!$F$13,0)),0)</f>
        <v>0</v>
      </c>
      <c r="R2875" s="10">
        <f>IFERROR(IF(('Loading-truck'!$C$21)="No control",SUMIF(('Loading-truck'!$B$31:$B$48),$J2875,('Loading-truck'!$D$31:$D$48))*Impacts!$F$14,IF(('Loading-truck'!$C$21)&lt;&gt;"No control",SUMIF(('Loading-truck'!$B$31:$B$48),$J2875,('Loading-truck'!$E$31:$E$48))*Impacts!$F$14,0)),0)</f>
        <v>0</v>
      </c>
      <c r="S2875" s="10">
        <f>IFERROR(IF(('Loading-rail'!$C$21)="No control",SUMIF(('Loading-rail'!$B$31:$B$48),$J2875,('Loading-rail'!$D$31:$D$48))*Impacts!$F$15,IF(('Loading-rail'!$C$21)&lt;&gt;"No control",SUMIF(('Loading-rail'!$B$31:$B$48),$J2875,('Loading-rail'!$E$31:$E$48))*Impacts!$F$15,0)),0)</f>
        <v>0</v>
      </c>
      <c r="T2875" s="10">
        <f>IF(Flare!$C$7="",0,(SUMIF(Flare!$B$46:$B$185,$J2875,Flare!$E$46:$E$185)*Impacts!$F$16))</f>
        <v>0</v>
      </c>
      <c r="U2875" s="10">
        <f>IF(VCU!$C$9="",0,(SUMIF(VCU!$B$51:$B$193,$J2875,VCU!$E$51:$E$193)*Impacts!$F$17))</f>
        <v>0</v>
      </c>
      <c r="V2875" s="10">
        <f>IF(CAS!$C$7="",0,(SUMIF(CAS!$B$31:$B$167,$J2875,CAS!$E$31:$E$167)*Impacts!$F$18))</f>
        <v>0</v>
      </c>
      <c r="W2875" s="10">
        <f t="shared" si="85"/>
        <v>0</v>
      </c>
      <c r="AK2875" s="10" t="str">
        <f t="array" ref="AK2875">IFERROR(INDEX(SelectedSpecies,SMALL(IF(SelectedSpecies=AK$1,ROW(SelectedSpecies)),ROW(2876:2876)),2),"")</f>
        <v/>
      </c>
      <c r="BE2875" s="10"/>
      <c r="BI2875" s="10"/>
    </row>
    <row r="2876" spans="1:61" ht="21" customHeight="1" x14ac:dyDescent="0.25">
      <c r="A2876" s="10"/>
      <c r="B2876" s="10"/>
      <c r="E2876" s="10"/>
      <c r="G2876" s="10"/>
      <c r="I2876" s="436" t="s">
        <v>2155</v>
      </c>
      <c r="J2876" s="26" t="s">
        <v>2154</v>
      </c>
      <c r="K2876" s="10">
        <v>15</v>
      </c>
      <c r="L2876" s="73">
        <f>IF(Tank1!$C$23="No control",(SUMIF(Tank1!$B$32:$B$49,$J2876,Tank1!$C$32:$C$49)*Impacts!$F$8),0)</f>
        <v>0</v>
      </c>
      <c r="M2876" s="10">
        <f>IF(Tank2!$C$23="No control",(SUMIF(Tank2!$B$32:$B$49,$J2876,Tank2!$C$32:$C$49)*Impacts!$F$9),0)</f>
        <v>0</v>
      </c>
      <c r="N2876" s="10">
        <f>IF(Tank3!$C$23="No control",(SUMIF(Tank3!$B$32:$B$49,$J2876,Tank3!$C$32:$C$49)*Impacts!$F$10),0)</f>
        <v>0</v>
      </c>
      <c r="O2876" s="10">
        <f>IF(Tank4!$C$23="No control",(SUMIF(Tank4!$B$32:$B$49,$J2876,Tank4!$C$32:$C$49)*Impacts!$F$11),0)</f>
        <v>0</v>
      </c>
      <c r="P2876" s="10">
        <f>IF(Tank5!$C$23="No control",(SUMIF(Tank5!$B$32:$B$49,$J2876,Tank5!$C$32:$C$49)*Impacts!$F$12),0)</f>
        <v>0</v>
      </c>
      <c r="Q2876" s="10">
        <f>IFERROR(IF(('Loading-drum,tote'!$C$21)="No control",SUMIF(('Loading-drum,tote'!$B$31:$B$48),$J2876,('Loading-drum,tote'!$D$31:$D$48))*Impacts!$F$13,IF(('Loading-drum,tote'!$C$21)&lt;&gt;"No control",SUMIF(('Loading-drum,tote'!$B$31:$B$48),$J2876,('Loading-drum,tote'!$E$31:$E$48))*Impacts!$F$13,0)),0)</f>
        <v>0</v>
      </c>
      <c r="R2876" s="10">
        <f>IFERROR(IF(('Loading-truck'!$C$21)="No control",SUMIF(('Loading-truck'!$B$31:$B$48),$J2876,('Loading-truck'!$D$31:$D$48))*Impacts!$F$14,IF(('Loading-truck'!$C$21)&lt;&gt;"No control",SUMIF(('Loading-truck'!$B$31:$B$48),$J2876,('Loading-truck'!$E$31:$E$48))*Impacts!$F$14,0)),0)</f>
        <v>0</v>
      </c>
      <c r="S2876" s="10">
        <f>IFERROR(IF(('Loading-rail'!$C$21)="No control",SUMIF(('Loading-rail'!$B$31:$B$48),$J2876,('Loading-rail'!$D$31:$D$48))*Impacts!$F$15,IF(('Loading-rail'!$C$21)&lt;&gt;"No control",SUMIF(('Loading-rail'!$B$31:$B$48),$J2876,('Loading-rail'!$E$31:$E$48))*Impacts!$F$15,0)),0)</f>
        <v>0</v>
      </c>
      <c r="T2876" s="10">
        <f>IF(Flare!$C$7="",0,(SUMIF(Flare!$B$46:$B$185,$J2876,Flare!$E$46:$E$185)*Impacts!$F$16))</f>
        <v>0</v>
      </c>
      <c r="U2876" s="10">
        <f>IF(VCU!$C$9="",0,(SUMIF(VCU!$B$51:$B$193,$J2876,VCU!$E$51:$E$193)*Impacts!$F$17))</f>
        <v>0</v>
      </c>
      <c r="V2876" s="10">
        <f>IF(CAS!$C$7="",0,(SUMIF(CAS!$B$31:$B$167,$J2876,CAS!$E$31:$E$167)*Impacts!$F$18))</f>
        <v>0</v>
      </c>
      <c r="W2876" s="10">
        <f t="shared" si="85"/>
        <v>0</v>
      </c>
      <c r="AK2876" s="10" t="str">
        <f t="array" ref="AK2876">IFERROR(INDEX(SelectedSpecies,SMALL(IF(SelectedSpecies=AK$1,ROW(SelectedSpecies)),ROW(2877:2877)),2),"")</f>
        <v/>
      </c>
      <c r="BE2876" s="10"/>
      <c r="BI2876" s="10"/>
    </row>
    <row r="2877" spans="1:61" ht="21" customHeight="1" x14ac:dyDescent="0.25">
      <c r="A2877" s="10"/>
      <c r="B2877" s="10"/>
      <c r="E2877" s="10"/>
      <c r="G2877" s="10"/>
      <c r="I2877" s="436" t="s">
        <v>3085</v>
      </c>
      <c r="J2877" s="26" t="s">
        <v>3084</v>
      </c>
      <c r="K2877" s="10">
        <v>10</v>
      </c>
      <c r="L2877" s="73">
        <f>IF(Tank1!$C$23="No control",(SUMIF(Tank1!$B$32:$B$49,$J2877,Tank1!$C$32:$C$49)*Impacts!$F$8),0)</f>
        <v>0</v>
      </c>
      <c r="M2877" s="10">
        <f>IF(Tank2!$C$23="No control",(SUMIF(Tank2!$B$32:$B$49,$J2877,Tank2!$C$32:$C$49)*Impacts!$F$9),0)</f>
        <v>0</v>
      </c>
      <c r="N2877" s="10">
        <f>IF(Tank3!$C$23="No control",(SUMIF(Tank3!$B$32:$B$49,$J2877,Tank3!$C$32:$C$49)*Impacts!$F$10),0)</f>
        <v>0</v>
      </c>
      <c r="O2877" s="10">
        <f>IF(Tank4!$C$23="No control",(SUMIF(Tank4!$B$32:$B$49,$J2877,Tank4!$C$32:$C$49)*Impacts!$F$11),0)</f>
        <v>0</v>
      </c>
      <c r="P2877" s="10">
        <f>IF(Tank5!$C$23="No control",(SUMIF(Tank5!$B$32:$B$49,$J2877,Tank5!$C$32:$C$49)*Impacts!$F$12),0)</f>
        <v>0</v>
      </c>
      <c r="Q2877" s="10">
        <f>IFERROR(IF(('Loading-drum,tote'!$C$21)="No control",SUMIF(('Loading-drum,tote'!$B$31:$B$48),$J2877,('Loading-drum,tote'!$D$31:$D$48))*Impacts!$F$13,IF(('Loading-drum,tote'!$C$21)&lt;&gt;"No control",SUMIF(('Loading-drum,tote'!$B$31:$B$48),$J2877,('Loading-drum,tote'!$E$31:$E$48))*Impacts!$F$13,0)),0)</f>
        <v>0</v>
      </c>
      <c r="R2877" s="10">
        <f>IFERROR(IF(('Loading-truck'!$C$21)="No control",SUMIF(('Loading-truck'!$B$31:$B$48),$J2877,('Loading-truck'!$D$31:$D$48))*Impacts!$F$14,IF(('Loading-truck'!$C$21)&lt;&gt;"No control",SUMIF(('Loading-truck'!$B$31:$B$48),$J2877,('Loading-truck'!$E$31:$E$48))*Impacts!$F$14,0)),0)</f>
        <v>0</v>
      </c>
      <c r="S2877" s="10">
        <f>IFERROR(IF(('Loading-rail'!$C$21)="No control",SUMIF(('Loading-rail'!$B$31:$B$48),$J2877,('Loading-rail'!$D$31:$D$48))*Impacts!$F$15,IF(('Loading-rail'!$C$21)&lt;&gt;"No control",SUMIF(('Loading-rail'!$B$31:$B$48),$J2877,('Loading-rail'!$E$31:$E$48))*Impacts!$F$15,0)),0)</f>
        <v>0</v>
      </c>
      <c r="T2877" s="10">
        <f>IF(Flare!$C$7="",0,(SUMIF(Flare!$B$46:$B$185,$J2877,Flare!$E$46:$E$185)*Impacts!$F$16))</f>
        <v>0</v>
      </c>
      <c r="U2877" s="10">
        <f>IF(VCU!$C$9="",0,(SUMIF(VCU!$B$51:$B$193,$J2877,VCU!$E$51:$E$193)*Impacts!$F$17))</f>
        <v>0</v>
      </c>
      <c r="V2877" s="10">
        <f>IF(CAS!$C$7="",0,(SUMIF(CAS!$B$31:$B$167,$J2877,CAS!$E$31:$E$167)*Impacts!$F$18))</f>
        <v>0</v>
      </c>
      <c r="W2877" s="10">
        <f t="shared" si="85"/>
        <v>0</v>
      </c>
      <c r="AK2877" s="10" t="str">
        <f t="array" ref="AK2877">IFERROR(INDEX(SelectedSpecies,SMALL(IF(SelectedSpecies=AK$1,ROW(SelectedSpecies)),ROW(2878:2878)),2),"")</f>
        <v/>
      </c>
      <c r="BE2877" s="10"/>
      <c r="BI2877" s="10"/>
    </row>
    <row r="2878" spans="1:61" ht="21" customHeight="1" x14ac:dyDescent="0.25">
      <c r="A2878" s="10"/>
      <c r="B2878" s="10"/>
      <c r="E2878" s="10"/>
      <c r="G2878" s="10"/>
      <c r="I2878" s="436" t="s">
        <v>2573</v>
      </c>
      <c r="J2878" s="26" t="s">
        <v>2572</v>
      </c>
      <c r="K2878" s="10">
        <v>10</v>
      </c>
      <c r="L2878" s="73">
        <f>IF(Tank1!$C$23="No control",(SUMIF(Tank1!$B$32:$B$49,$J2878,Tank1!$C$32:$C$49)*Impacts!$F$8),0)</f>
        <v>0</v>
      </c>
      <c r="M2878" s="10">
        <f>IF(Tank2!$C$23="No control",(SUMIF(Tank2!$B$32:$B$49,$J2878,Tank2!$C$32:$C$49)*Impacts!$F$9),0)</f>
        <v>0</v>
      </c>
      <c r="N2878" s="10">
        <f>IF(Tank3!$C$23="No control",(SUMIF(Tank3!$B$32:$B$49,$J2878,Tank3!$C$32:$C$49)*Impacts!$F$10),0)</f>
        <v>0</v>
      </c>
      <c r="O2878" s="10">
        <f>IF(Tank4!$C$23="No control",(SUMIF(Tank4!$B$32:$B$49,$J2878,Tank4!$C$32:$C$49)*Impacts!$F$11),0)</f>
        <v>0</v>
      </c>
      <c r="P2878" s="10">
        <f>IF(Tank5!$C$23="No control",(SUMIF(Tank5!$B$32:$B$49,$J2878,Tank5!$C$32:$C$49)*Impacts!$F$12),0)</f>
        <v>0</v>
      </c>
      <c r="Q2878" s="10">
        <f>IFERROR(IF(('Loading-drum,tote'!$C$21)="No control",SUMIF(('Loading-drum,tote'!$B$31:$B$48),$J2878,('Loading-drum,tote'!$D$31:$D$48))*Impacts!$F$13,IF(('Loading-drum,tote'!$C$21)&lt;&gt;"No control",SUMIF(('Loading-drum,tote'!$B$31:$B$48),$J2878,('Loading-drum,tote'!$E$31:$E$48))*Impacts!$F$13,0)),0)</f>
        <v>0</v>
      </c>
      <c r="R2878" s="10">
        <f>IFERROR(IF(('Loading-truck'!$C$21)="No control",SUMIF(('Loading-truck'!$B$31:$B$48),$J2878,('Loading-truck'!$D$31:$D$48))*Impacts!$F$14,IF(('Loading-truck'!$C$21)&lt;&gt;"No control",SUMIF(('Loading-truck'!$B$31:$B$48),$J2878,('Loading-truck'!$E$31:$E$48))*Impacts!$F$14,0)),0)</f>
        <v>0</v>
      </c>
      <c r="S2878" s="10">
        <f>IFERROR(IF(('Loading-rail'!$C$21)="No control",SUMIF(('Loading-rail'!$B$31:$B$48),$J2878,('Loading-rail'!$D$31:$D$48))*Impacts!$F$15,IF(('Loading-rail'!$C$21)&lt;&gt;"No control",SUMIF(('Loading-rail'!$B$31:$B$48),$J2878,('Loading-rail'!$E$31:$E$48))*Impacts!$F$15,0)),0)</f>
        <v>0</v>
      </c>
      <c r="T2878" s="10">
        <f>IF(Flare!$C$7="",0,(SUMIF(Flare!$B$46:$B$185,$J2878,Flare!$E$46:$E$185)*Impacts!$F$16))</f>
        <v>0</v>
      </c>
      <c r="U2878" s="10">
        <f>IF(VCU!$C$9="",0,(SUMIF(VCU!$B$51:$B$193,$J2878,VCU!$E$51:$E$193)*Impacts!$F$17))</f>
        <v>0</v>
      </c>
      <c r="V2878" s="10">
        <f>IF(CAS!$C$7="",0,(SUMIF(CAS!$B$31:$B$167,$J2878,CAS!$E$31:$E$167)*Impacts!$F$18))</f>
        <v>0</v>
      </c>
      <c r="W2878" s="10">
        <f t="shared" si="85"/>
        <v>0</v>
      </c>
      <c r="AK2878" s="10" t="str">
        <f t="array" ref="AK2878">IFERROR(INDEX(SelectedSpecies,SMALL(IF(SelectedSpecies=AK$1,ROW(SelectedSpecies)),ROW(2879:2879)),2),"")</f>
        <v/>
      </c>
      <c r="BE2878" s="10"/>
      <c r="BI2878" s="10"/>
    </row>
    <row r="2879" spans="1:61" ht="21" customHeight="1" x14ac:dyDescent="0.25">
      <c r="A2879" s="10"/>
      <c r="B2879" s="10"/>
      <c r="E2879" s="10"/>
      <c r="G2879" s="10"/>
      <c r="I2879" s="436" t="s">
        <v>3087</v>
      </c>
      <c r="J2879" s="26" t="s">
        <v>3086</v>
      </c>
      <c r="K2879" s="10">
        <v>10</v>
      </c>
      <c r="L2879" s="73">
        <f>IF(Tank1!$C$23="No control",(SUMIF(Tank1!$B$32:$B$49,$J2879,Tank1!$C$32:$C$49)*Impacts!$F$8),0)</f>
        <v>0</v>
      </c>
      <c r="M2879" s="10">
        <f>IF(Tank2!$C$23="No control",(SUMIF(Tank2!$B$32:$B$49,$J2879,Tank2!$C$32:$C$49)*Impacts!$F$9),0)</f>
        <v>0</v>
      </c>
      <c r="N2879" s="10">
        <f>IF(Tank3!$C$23="No control",(SUMIF(Tank3!$B$32:$B$49,$J2879,Tank3!$C$32:$C$49)*Impacts!$F$10),0)</f>
        <v>0</v>
      </c>
      <c r="O2879" s="10">
        <f>IF(Tank4!$C$23="No control",(SUMIF(Tank4!$B$32:$B$49,$J2879,Tank4!$C$32:$C$49)*Impacts!$F$11),0)</f>
        <v>0</v>
      </c>
      <c r="P2879" s="10">
        <f>IF(Tank5!$C$23="No control",(SUMIF(Tank5!$B$32:$B$49,$J2879,Tank5!$C$32:$C$49)*Impacts!$F$12),0)</f>
        <v>0</v>
      </c>
      <c r="Q2879" s="10">
        <f>IFERROR(IF(('Loading-drum,tote'!$C$21)="No control",SUMIF(('Loading-drum,tote'!$B$31:$B$48),$J2879,('Loading-drum,tote'!$D$31:$D$48))*Impacts!$F$13,IF(('Loading-drum,tote'!$C$21)&lt;&gt;"No control",SUMIF(('Loading-drum,tote'!$B$31:$B$48),$J2879,('Loading-drum,tote'!$E$31:$E$48))*Impacts!$F$13,0)),0)</f>
        <v>0</v>
      </c>
      <c r="R2879" s="10">
        <f>IFERROR(IF(('Loading-truck'!$C$21)="No control",SUMIF(('Loading-truck'!$B$31:$B$48),$J2879,('Loading-truck'!$D$31:$D$48))*Impacts!$F$14,IF(('Loading-truck'!$C$21)&lt;&gt;"No control",SUMIF(('Loading-truck'!$B$31:$B$48),$J2879,('Loading-truck'!$E$31:$E$48))*Impacts!$F$14,0)),0)</f>
        <v>0</v>
      </c>
      <c r="S2879" s="10">
        <f>IFERROR(IF(('Loading-rail'!$C$21)="No control",SUMIF(('Loading-rail'!$B$31:$B$48),$J2879,('Loading-rail'!$D$31:$D$48))*Impacts!$F$15,IF(('Loading-rail'!$C$21)&lt;&gt;"No control",SUMIF(('Loading-rail'!$B$31:$B$48),$J2879,('Loading-rail'!$E$31:$E$48))*Impacts!$F$15,0)),0)</f>
        <v>0</v>
      </c>
      <c r="T2879" s="10">
        <f>IF(Flare!$C$7="",0,(SUMIF(Flare!$B$46:$B$185,$J2879,Flare!$E$46:$E$185)*Impacts!$F$16))</f>
        <v>0</v>
      </c>
      <c r="U2879" s="10">
        <f>IF(VCU!$C$9="",0,(SUMIF(VCU!$B$51:$B$193,$J2879,VCU!$E$51:$E$193)*Impacts!$F$17))</f>
        <v>0</v>
      </c>
      <c r="V2879" s="10">
        <f>IF(CAS!$C$7="",0,(SUMIF(CAS!$B$31:$B$167,$J2879,CAS!$E$31:$E$167)*Impacts!$F$18))</f>
        <v>0</v>
      </c>
      <c r="W2879" s="10">
        <f t="shared" si="85"/>
        <v>0</v>
      </c>
      <c r="AK2879" s="10" t="str">
        <f t="array" ref="AK2879">IFERROR(INDEX(SelectedSpecies,SMALL(IF(SelectedSpecies=AK$1,ROW(SelectedSpecies)),ROW(2880:2880)),2),"")</f>
        <v/>
      </c>
      <c r="BE2879" s="10"/>
      <c r="BI2879" s="10"/>
    </row>
    <row r="2880" spans="1:61" ht="21" customHeight="1" x14ac:dyDescent="0.25">
      <c r="A2880" s="10"/>
      <c r="B2880" s="10"/>
      <c r="E2880" s="10"/>
      <c r="G2880" s="10"/>
      <c r="I2880" s="436" t="s">
        <v>3089</v>
      </c>
      <c r="J2880" s="26" t="s">
        <v>3088</v>
      </c>
      <c r="K2880" s="10">
        <v>10</v>
      </c>
      <c r="L2880" s="73">
        <f>IF(Tank1!$C$23="No control",(SUMIF(Tank1!$B$32:$B$49,$J2880,Tank1!$C$32:$C$49)*Impacts!$F$8),0)</f>
        <v>0</v>
      </c>
      <c r="M2880" s="10">
        <f>IF(Tank2!$C$23="No control",(SUMIF(Tank2!$B$32:$B$49,$J2880,Tank2!$C$32:$C$49)*Impacts!$F$9),0)</f>
        <v>0</v>
      </c>
      <c r="N2880" s="10">
        <f>IF(Tank3!$C$23="No control",(SUMIF(Tank3!$B$32:$B$49,$J2880,Tank3!$C$32:$C$49)*Impacts!$F$10),0)</f>
        <v>0</v>
      </c>
      <c r="O2880" s="10">
        <f>IF(Tank4!$C$23="No control",(SUMIF(Tank4!$B$32:$B$49,$J2880,Tank4!$C$32:$C$49)*Impacts!$F$11),0)</f>
        <v>0</v>
      </c>
      <c r="P2880" s="10">
        <f>IF(Tank5!$C$23="No control",(SUMIF(Tank5!$B$32:$B$49,$J2880,Tank5!$C$32:$C$49)*Impacts!$F$12),0)</f>
        <v>0</v>
      </c>
      <c r="Q2880" s="10">
        <f>IFERROR(IF(('Loading-drum,tote'!$C$21)="No control",SUMIF(('Loading-drum,tote'!$B$31:$B$48),$J2880,('Loading-drum,tote'!$D$31:$D$48))*Impacts!$F$13,IF(('Loading-drum,tote'!$C$21)&lt;&gt;"No control",SUMIF(('Loading-drum,tote'!$B$31:$B$48),$J2880,('Loading-drum,tote'!$E$31:$E$48))*Impacts!$F$13,0)),0)</f>
        <v>0</v>
      </c>
      <c r="R2880" s="10">
        <f>IFERROR(IF(('Loading-truck'!$C$21)="No control",SUMIF(('Loading-truck'!$B$31:$B$48),$J2880,('Loading-truck'!$D$31:$D$48))*Impacts!$F$14,IF(('Loading-truck'!$C$21)&lt;&gt;"No control",SUMIF(('Loading-truck'!$B$31:$B$48),$J2880,('Loading-truck'!$E$31:$E$48))*Impacts!$F$14,0)),0)</f>
        <v>0</v>
      </c>
      <c r="S2880" s="10">
        <f>IFERROR(IF(('Loading-rail'!$C$21)="No control",SUMIF(('Loading-rail'!$B$31:$B$48),$J2880,('Loading-rail'!$D$31:$D$48))*Impacts!$F$15,IF(('Loading-rail'!$C$21)&lt;&gt;"No control",SUMIF(('Loading-rail'!$B$31:$B$48),$J2880,('Loading-rail'!$E$31:$E$48))*Impacts!$F$15,0)),0)</f>
        <v>0</v>
      </c>
      <c r="T2880" s="10">
        <f>IF(Flare!$C$7="",0,(SUMIF(Flare!$B$46:$B$185,$J2880,Flare!$E$46:$E$185)*Impacts!$F$16))</f>
        <v>0</v>
      </c>
      <c r="U2880" s="10">
        <f>IF(VCU!$C$9="",0,(SUMIF(VCU!$B$51:$B$193,$J2880,VCU!$E$51:$E$193)*Impacts!$F$17))</f>
        <v>0</v>
      </c>
      <c r="V2880" s="10">
        <f>IF(CAS!$C$7="",0,(SUMIF(CAS!$B$31:$B$167,$J2880,CAS!$E$31:$E$167)*Impacts!$F$18))</f>
        <v>0</v>
      </c>
      <c r="W2880" s="10">
        <f t="shared" si="85"/>
        <v>0</v>
      </c>
      <c r="AK2880" s="10" t="str">
        <f t="array" ref="AK2880">IFERROR(INDEX(SelectedSpecies,SMALL(IF(SelectedSpecies=AK$1,ROW(SelectedSpecies)),ROW(2881:2881)),2),"")</f>
        <v/>
      </c>
      <c r="BE2880" s="10"/>
      <c r="BI2880" s="10"/>
    </row>
    <row r="2881" spans="1:61" ht="21" customHeight="1" x14ac:dyDescent="0.25">
      <c r="A2881" s="10"/>
      <c r="B2881" s="10"/>
      <c r="E2881" s="10"/>
      <c r="G2881" s="10"/>
      <c r="I2881" s="436" t="s">
        <v>1869</v>
      </c>
      <c r="J2881" s="26" t="s">
        <v>1868</v>
      </c>
      <c r="K2881" s="10">
        <v>20</v>
      </c>
      <c r="L2881" s="73">
        <f>IF(Tank1!$C$23="No control",(SUMIF(Tank1!$B$32:$B$49,$J2881,Tank1!$C$32:$C$49)*Impacts!$F$8),0)</f>
        <v>0</v>
      </c>
      <c r="M2881" s="10">
        <f>IF(Tank2!$C$23="No control",(SUMIF(Tank2!$B$32:$B$49,$J2881,Tank2!$C$32:$C$49)*Impacts!$F$9),0)</f>
        <v>0</v>
      </c>
      <c r="N2881" s="10">
        <f>IF(Tank3!$C$23="No control",(SUMIF(Tank3!$B$32:$B$49,$J2881,Tank3!$C$32:$C$49)*Impacts!$F$10),0)</f>
        <v>0</v>
      </c>
      <c r="O2881" s="10">
        <f>IF(Tank4!$C$23="No control",(SUMIF(Tank4!$B$32:$B$49,$J2881,Tank4!$C$32:$C$49)*Impacts!$F$11),0)</f>
        <v>0</v>
      </c>
      <c r="P2881" s="10">
        <f>IF(Tank5!$C$23="No control",(SUMIF(Tank5!$B$32:$B$49,$J2881,Tank5!$C$32:$C$49)*Impacts!$F$12),0)</f>
        <v>0</v>
      </c>
      <c r="Q2881" s="10">
        <f>IFERROR(IF(('Loading-drum,tote'!$C$21)="No control",SUMIF(('Loading-drum,tote'!$B$31:$B$48),$J2881,('Loading-drum,tote'!$D$31:$D$48))*Impacts!$F$13,IF(('Loading-drum,tote'!$C$21)&lt;&gt;"No control",SUMIF(('Loading-drum,tote'!$B$31:$B$48),$J2881,('Loading-drum,tote'!$E$31:$E$48))*Impacts!$F$13,0)),0)</f>
        <v>0</v>
      </c>
      <c r="R2881" s="10">
        <f>IFERROR(IF(('Loading-truck'!$C$21)="No control",SUMIF(('Loading-truck'!$B$31:$B$48),$J2881,('Loading-truck'!$D$31:$D$48))*Impacts!$F$14,IF(('Loading-truck'!$C$21)&lt;&gt;"No control",SUMIF(('Loading-truck'!$B$31:$B$48),$J2881,('Loading-truck'!$E$31:$E$48))*Impacts!$F$14,0)),0)</f>
        <v>0</v>
      </c>
      <c r="S2881" s="10">
        <f>IFERROR(IF(('Loading-rail'!$C$21)="No control",SUMIF(('Loading-rail'!$B$31:$B$48),$J2881,('Loading-rail'!$D$31:$D$48))*Impacts!$F$15,IF(('Loading-rail'!$C$21)&lt;&gt;"No control",SUMIF(('Loading-rail'!$B$31:$B$48),$J2881,('Loading-rail'!$E$31:$E$48))*Impacts!$F$15,0)),0)</f>
        <v>0</v>
      </c>
      <c r="T2881" s="10">
        <f>IF(Flare!$C$7="",0,(SUMIF(Flare!$B$46:$B$185,$J2881,Flare!$E$46:$E$185)*Impacts!$F$16))</f>
        <v>0</v>
      </c>
      <c r="U2881" s="10">
        <f>IF(VCU!$C$9="",0,(SUMIF(VCU!$B$51:$B$193,$J2881,VCU!$E$51:$E$193)*Impacts!$F$17))</f>
        <v>0</v>
      </c>
      <c r="V2881" s="10">
        <f>IF(CAS!$C$7="",0,(SUMIF(CAS!$B$31:$B$167,$J2881,CAS!$E$31:$E$167)*Impacts!$F$18))</f>
        <v>0</v>
      </c>
      <c r="W2881" s="10">
        <f t="shared" si="85"/>
        <v>0</v>
      </c>
      <c r="AK2881" s="10" t="str">
        <f t="array" ref="AK2881">IFERROR(INDEX(SelectedSpecies,SMALL(IF(SelectedSpecies=AK$1,ROW(SelectedSpecies)),ROW(2882:2882)),2),"")</f>
        <v/>
      </c>
      <c r="BE2881" s="10"/>
      <c r="BI2881" s="10"/>
    </row>
    <row r="2882" spans="1:61" ht="21" customHeight="1" x14ac:dyDescent="0.25">
      <c r="A2882" s="10"/>
      <c r="B2882" s="10"/>
      <c r="E2882" s="10"/>
      <c r="G2882" s="10"/>
      <c r="I2882" s="436" t="s">
        <v>3697</v>
      </c>
      <c r="J2882" s="26" t="s">
        <v>3696</v>
      </c>
      <c r="K2882" s="10">
        <v>7</v>
      </c>
      <c r="L2882" s="73">
        <f>IF(Tank1!$C$23="No control",(SUMIF(Tank1!$B$32:$B$49,$J2882,Tank1!$C$32:$C$49)*Impacts!$F$8),0)</f>
        <v>0</v>
      </c>
      <c r="M2882" s="10">
        <f>IF(Tank2!$C$23="No control",(SUMIF(Tank2!$B$32:$B$49,$J2882,Tank2!$C$32:$C$49)*Impacts!$F$9),0)</f>
        <v>0</v>
      </c>
      <c r="N2882" s="10">
        <f>IF(Tank3!$C$23="No control",(SUMIF(Tank3!$B$32:$B$49,$J2882,Tank3!$C$32:$C$49)*Impacts!$F$10),0)</f>
        <v>0</v>
      </c>
      <c r="O2882" s="10">
        <f>IF(Tank4!$C$23="No control",(SUMIF(Tank4!$B$32:$B$49,$J2882,Tank4!$C$32:$C$49)*Impacts!$F$11),0)</f>
        <v>0</v>
      </c>
      <c r="P2882" s="10">
        <f>IF(Tank5!$C$23="No control",(SUMIF(Tank5!$B$32:$B$49,$J2882,Tank5!$C$32:$C$49)*Impacts!$F$12),0)</f>
        <v>0</v>
      </c>
      <c r="Q2882" s="10">
        <f>IFERROR(IF(('Loading-drum,tote'!$C$21)="No control",SUMIF(('Loading-drum,tote'!$B$31:$B$48),$J2882,('Loading-drum,tote'!$D$31:$D$48))*Impacts!$F$13,IF(('Loading-drum,tote'!$C$21)&lt;&gt;"No control",SUMIF(('Loading-drum,tote'!$B$31:$B$48),$J2882,('Loading-drum,tote'!$E$31:$E$48))*Impacts!$F$13,0)),0)</f>
        <v>0</v>
      </c>
      <c r="R2882" s="10">
        <f>IFERROR(IF(('Loading-truck'!$C$21)="No control",SUMIF(('Loading-truck'!$B$31:$B$48),$J2882,('Loading-truck'!$D$31:$D$48))*Impacts!$F$14,IF(('Loading-truck'!$C$21)&lt;&gt;"No control",SUMIF(('Loading-truck'!$B$31:$B$48),$J2882,('Loading-truck'!$E$31:$E$48))*Impacts!$F$14,0)),0)</f>
        <v>0</v>
      </c>
      <c r="S2882" s="10">
        <f>IFERROR(IF(('Loading-rail'!$C$21)="No control",SUMIF(('Loading-rail'!$B$31:$B$48),$J2882,('Loading-rail'!$D$31:$D$48))*Impacts!$F$15,IF(('Loading-rail'!$C$21)&lt;&gt;"No control",SUMIF(('Loading-rail'!$B$31:$B$48),$J2882,('Loading-rail'!$E$31:$E$48))*Impacts!$F$15,0)),0)</f>
        <v>0</v>
      </c>
      <c r="T2882" s="10">
        <f>IF(Flare!$C$7="",0,(SUMIF(Flare!$B$46:$B$185,$J2882,Flare!$E$46:$E$185)*Impacts!$F$16))</f>
        <v>0</v>
      </c>
      <c r="U2882" s="10">
        <f>IF(VCU!$C$9="",0,(SUMIF(VCU!$B$51:$B$193,$J2882,VCU!$E$51:$E$193)*Impacts!$F$17))</f>
        <v>0</v>
      </c>
      <c r="V2882" s="10">
        <f>IF(CAS!$C$7="",0,(SUMIF(CAS!$B$31:$B$167,$J2882,CAS!$E$31:$E$167)*Impacts!$F$18))</f>
        <v>0</v>
      </c>
      <c r="W2882" s="10">
        <f t="shared" si="85"/>
        <v>0</v>
      </c>
      <c r="AK2882" s="10" t="str">
        <f t="array" ref="AK2882">IFERROR(INDEX(SelectedSpecies,SMALL(IF(SelectedSpecies=AK$1,ROW(SelectedSpecies)),ROW(2883:2883)),2),"")</f>
        <v/>
      </c>
      <c r="BE2882" s="10"/>
      <c r="BI2882" s="10"/>
    </row>
    <row r="2883" spans="1:61" ht="21" customHeight="1" x14ac:dyDescent="0.25">
      <c r="A2883" s="10"/>
      <c r="B2883" s="10"/>
      <c r="E2883" s="10"/>
      <c r="G2883" s="10"/>
      <c r="I2883" s="436" t="s">
        <v>5033</v>
      </c>
      <c r="J2883" s="26" t="s">
        <v>5032</v>
      </c>
      <c r="K2883" s="10">
        <v>2.4000000000000004</v>
      </c>
      <c r="L2883" s="73">
        <f>IF(Tank1!$C$23="No control",(SUMIF(Tank1!$B$32:$B$49,$J2883,Tank1!$C$32:$C$49)*Impacts!$F$8),0)</f>
        <v>0</v>
      </c>
      <c r="M2883" s="10">
        <f>IF(Tank2!$C$23="No control",(SUMIF(Tank2!$B$32:$B$49,$J2883,Tank2!$C$32:$C$49)*Impacts!$F$9),0)</f>
        <v>0</v>
      </c>
      <c r="N2883" s="10">
        <f>IF(Tank3!$C$23="No control",(SUMIF(Tank3!$B$32:$B$49,$J2883,Tank3!$C$32:$C$49)*Impacts!$F$10),0)</f>
        <v>0</v>
      </c>
      <c r="O2883" s="10">
        <f>IF(Tank4!$C$23="No control",(SUMIF(Tank4!$B$32:$B$49,$J2883,Tank4!$C$32:$C$49)*Impacts!$F$11),0)</f>
        <v>0</v>
      </c>
      <c r="P2883" s="10">
        <f>IF(Tank5!$C$23="No control",(SUMIF(Tank5!$B$32:$B$49,$J2883,Tank5!$C$32:$C$49)*Impacts!$F$12),0)</f>
        <v>0</v>
      </c>
      <c r="Q2883" s="10">
        <f>IFERROR(IF(('Loading-drum,tote'!$C$21)="No control",SUMIF(('Loading-drum,tote'!$B$31:$B$48),$J2883,('Loading-drum,tote'!$D$31:$D$48))*Impacts!$F$13,IF(('Loading-drum,tote'!$C$21)&lt;&gt;"No control",SUMIF(('Loading-drum,tote'!$B$31:$B$48),$J2883,('Loading-drum,tote'!$E$31:$E$48))*Impacts!$F$13,0)),0)</f>
        <v>0</v>
      </c>
      <c r="R2883" s="10">
        <f>IFERROR(IF(('Loading-truck'!$C$21)="No control",SUMIF(('Loading-truck'!$B$31:$B$48),$J2883,('Loading-truck'!$D$31:$D$48))*Impacts!$F$14,IF(('Loading-truck'!$C$21)&lt;&gt;"No control",SUMIF(('Loading-truck'!$B$31:$B$48),$J2883,('Loading-truck'!$E$31:$E$48))*Impacts!$F$14,0)),0)</f>
        <v>0</v>
      </c>
      <c r="S2883" s="10">
        <f>IFERROR(IF(('Loading-rail'!$C$21)="No control",SUMIF(('Loading-rail'!$B$31:$B$48),$J2883,('Loading-rail'!$D$31:$D$48))*Impacts!$F$15,IF(('Loading-rail'!$C$21)&lt;&gt;"No control",SUMIF(('Loading-rail'!$B$31:$B$48),$J2883,('Loading-rail'!$E$31:$E$48))*Impacts!$F$15,0)),0)</f>
        <v>0</v>
      </c>
      <c r="T2883" s="10">
        <f>IF(Flare!$C$7="",0,(SUMIF(Flare!$B$46:$B$185,$J2883,Flare!$E$46:$E$185)*Impacts!$F$16))</f>
        <v>0</v>
      </c>
      <c r="U2883" s="10">
        <f>IF(VCU!$C$9="",0,(SUMIF(VCU!$B$51:$B$193,$J2883,VCU!$E$51:$E$193)*Impacts!$F$17))</f>
        <v>0</v>
      </c>
      <c r="V2883" s="10">
        <f>IF(CAS!$C$7="",0,(SUMIF(CAS!$B$31:$B$167,$J2883,CAS!$E$31:$E$167)*Impacts!$F$18))</f>
        <v>0</v>
      </c>
      <c r="W2883" s="10">
        <f t="shared" si="85"/>
        <v>0</v>
      </c>
      <c r="AK2883" s="10" t="str">
        <f t="array" ref="AK2883">IFERROR(INDEX(SelectedSpecies,SMALL(IF(SelectedSpecies=AK$1,ROW(SelectedSpecies)),ROW(2884:2884)),2),"")</f>
        <v/>
      </c>
      <c r="BE2883" s="10"/>
      <c r="BI2883" s="10"/>
    </row>
    <row r="2884" spans="1:61" ht="21" customHeight="1" x14ac:dyDescent="0.25">
      <c r="A2884" s="10"/>
      <c r="B2884" s="10"/>
      <c r="E2884" s="10"/>
      <c r="G2884" s="10"/>
      <c r="I2884" s="436" t="s">
        <v>3091</v>
      </c>
      <c r="J2884" s="26" t="s">
        <v>3090</v>
      </c>
      <c r="K2884" s="10">
        <v>10</v>
      </c>
      <c r="L2884" s="73">
        <f>IF(Tank1!$C$23="No control",(SUMIF(Tank1!$B$32:$B$49,$J2884,Tank1!$C$32:$C$49)*Impacts!$F$8),0)</f>
        <v>0</v>
      </c>
      <c r="M2884" s="10">
        <f>IF(Tank2!$C$23="No control",(SUMIF(Tank2!$B$32:$B$49,$J2884,Tank2!$C$32:$C$49)*Impacts!$F$9),0)</f>
        <v>0</v>
      </c>
      <c r="N2884" s="10">
        <f>IF(Tank3!$C$23="No control",(SUMIF(Tank3!$B$32:$B$49,$J2884,Tank3!$C$32:$C$49)*Impacts!$F$10),0)</f>
        <v>0</v>
      </c>
      <c r="O2884" s="10">
        <f>IF(Tank4!$C$23="No control",(SUMIF(Tank4!$B$32:$B$49,$J2884,Tank4!$C$32:$C$49)*Impacts!$F$11),0)</f>
        <v>0</v>
      </c>
      <c r="P2884" s="10">
        <f>IF(Tank5!$C$23="No control",(SUMIF(Tank5!$B$32:$B$49,$J2884,Tank5!$C$32:$C$49)*Impacts!$F$12),0)</f>
        <v>0</v>
      </c>
      <c r="Q2884" s="10">
        <f>IFERROR(IF(('Loading-drum,tote'!$C$21)="No control",SUMIF(('Loading-drum,tote'!$B$31:$B$48),$J2884,('Loading-drum,tote'!$D$31:$D$48))*Impacts!$F$13,IF(('Loading-drum,tote'!$C$21)&lt;&gt;"No control",SUMIF(('Loading-drum,tote'!$B$31:$B$48),$J2884,('Loading-drum,tote'!$E$31:$E$48))*Impacts!$F$13,0)),0)</f>
        <v>0</v>
      </c>
      <c r="R2884" s="10">
        <f>IFERROR(IF(('Loading-truck'!$C$21)="No control",SUMIF(('Loading-truck'!$B$31:$B$48),$J2884,('Loading-truck'!$D$31:$D$48))*Impacts!$F$14,IF(('Loading-truck'!$C$21)&lt;&gt;"No control",SUMIF(('Loading-truck'!$B$31:$B$48),$J2884,('Loading-truck'!$E$31:$E$48))*Impacts!$F$14,0)),0)</f>
        <v>0</v>
      </c>
      <c r="S2884" s="10">
        <f>IFERROR(IF(('Loading-rail'!$C$21)="No control",SUMIF(('Loading-rail'!$B$31:$B$48),$J2884,('Loading-rail'!$D$31:$D$48))*Impacts!$F$15,IF(('Loading-rail'!$C$21)&lt;&gt;"No control",SUMIF(('Loading-rail'!$B$31:$B$48),$J2884,('Loading-rail'!$E$31:$E$48))*Impacts!$F$15,0)),0)</f>
        <v>0</v>
      </c>
      <c r="T2884" s="10">
        <f>IF(Flare!$C$7="",0,(SUMIF(Flare!$B$46:$B$185,$J2884,Flare!$E$46:$E$185)*Impacts!$F$16))</f>
        <v>0</v>
      </c>
      <c r="U2884" s="10">
        <f>IF(VCU!$C$9="",0,(SUMIF(VCU!$B$51:$B$193,$J2884,VCU!$E$51:$E$193)*Impacts!$F$17))</f>
        <v>0</v>
      </c>
      <c r="V2884" s="10">
        <f>IF(CAS!$C$7="",0,(SUMIF(CAS!$B$31:$B$167,$J2884,CAS!$E$31:$E$167)*Impacts!$F$18))</f>
        <v>0</v>
      </c>
      <c r="W2884" s="10">
        <f t="shared" si="85"/>
        <v>0</v>
      </c>
      <c r="AK2884" s="10" t="str">
        <f t="array" ref="AK2884">IFERROR(INDEX(SelectedSpecies,SMALL(IF(SelectedSpecies=AK$1,ROW(SelectedSpecies)),ROW(2885:2885)),2),"")</f>
        <v/>
      </c>
      <c r="BE2884" s="10"/>
      <c r="BI2884" s="10"/>
    </row>
    <row r="2885" spans="1:61" ht="21" customHeight="1" x14ac:dyDescent="0.25">
      <c r="A2885" s="10"/>
      <c r="B2885" s="10"/>
      <c r="E2885" s="10"/>
      <c r="G2885" s="10"/>
      <c r="I2885" s="436" t="s">
        <v>3093</v>
      </c>
      <c r="J2885" s="26" t="s">
        <v>3092</v>
      </c>
      <c r="K2885" s="10">
        <v>10</v>
      </c>
      <c r="L2885" s="73">
        <f>IF(Tank1!$C$23="No control",(SUMIF(Tank1!$B$32:$B$49,$J2885,Tank1!$C$32:$C$49)*Impacts!$F$8),0)</f>
        <v>0</v>
      </c>
      <c r="M2885" s="10">
        <f>IF(Tank2!$C$23="No control",(SUMIF(Tank2!$B$32:$B$49,$J2885,Tank2!$C$32:$C$49)*Impacts!$F$9),0)</f>
        <v>0</v>
      </c>
      <c r="N2885" s="10">
        <f>IF(Tank3!$C$23="No control",(SUMIF(Tank3!$B$32:$B$49,$J2885,Tank3!$C$32:$C$49)*Impacts!$F$10),0)</f>
        <v>0</v>
      </c>
      <c r="O2885" s="10">
        <f>IF(Tank4!$C$23="No control",(SUMIF(Tank4!$B$32:$B$49,$J2885,Tank4!$C$32:$C$49)*Impacts!$F$11),0)</f>
        <v>0</v>
      </c>
      <c r="P2885" s="10">
        <f>IF(Tank5!$C$23="No control",(SUMIF(Tank5!$B$32:$B$49,$J2885,Tank5!$C$32:$C$49)*Impacts!$F$12),0)</f>
        <v>0</v>
      </c>
      <c r="Q2885" s="10">
        <f>IFERROR(IF(('Loading-drum,tote'!$C$21)="No control",SUMIF(('Loading-drum,tote'!$B$31:$B$48),$J2885,('Loading-drum,tote'!$D$31:$D$48))*Impacts!$F$13,IF(('Loading-drum,tote'!$C$21)&lt;&gt;"No control",SUMIF(('Loading-drum,tote'!$B$31:$B$48),$J2885,('Loading-drum,tote'!$E$31:$E$48))*Impacts!$F$13,0)),0)</f>
        <v>0</v>
      </c>
      <c r="R2885" s="10">
        <f>IFERROR(IF(('Loading-truck'!$C$21)="No control",SUMIF(('Loading-truck'!$B$31:$B$48),$J2885,('Loading-truck'!$D$31:$D$48))*Impacts!$F$14,IF(('Loading-truck'!$C$21)&lt;&gt;"No control",SUMIF(('Loading-truck'!$B$31:$B$48),$J2885,('Loading-truck'!$E$31:$E$48))*Impacts!$F$14,0)),0)</f>
        <v>0</v>
      </c>
      <c r="S2885" s="10">
        <f>IFERROR(IF(('Loading-rail'!$C$21)="No control",SUMIF(('Loading-rail'!$B$31:$B$48),$J2885,('Loading-rail'!$D$31:$D$48))*Impacts!$F$15,IF(('Loading-rail'!$C$21)&lt;&gt;"No control",SUMIF(('Loading-rail'!$B$31:$B$48),$J2885,('Loading-rail'!$E$31:$E$48))*Impacts!$F$15,0)),0)</f>
        <v>0</v>
      </c>
      <c r="T2885" s="10">
        <f>IF(Flare!$C$7="",0,(SUMIF(Flare!$B$46:$B$185,$J2885,Flare!$E$46:$E$185)*Impacts!$F$16))</f>
        <v>0</v>
      </c>
      <c r="U2885" s="10">
        <f>IF(VCU!$C$9="",0,(SUMIF(VCU!$B$51:$B$193,$J2885,VCU!$E$51:$E$193)*Impacts!$F$17))</f>
        <v>0</v>
      </c>
      <c r="V2885" s="10">
        <f>IF(CAS!$C$7="",0,(SUMIF(CAS!$B$31:$B$167,$J2885,CAS!$E$31:$E$167)*Impacts!$F$18))</f>
        <v>0</v>
      </c>
      <c r="W2885" s="10">
        <f t="shared" si="85"/>
        <v>0</v>
      </c>
      <c r="AK2885" s="10" t="str">
        <f t="array" ref="AK2885">IFERROR(INDEX(SelectedSpecies,SMALL(IF(SelectedSpecies=AK$1,ROW(SelectedSpecies)),ROW(2886:2886)),2),"")</f>
        <v/>
      </c>
      <c r="BE2885" s="10"/>
      <c r="BI2885" s="10"/>
    </row>
    <row r="2886" spans="1:61" ht="21" customHeight="1" x14ac:dyDescent="0.25">
      <c r="A2886" s="10"/>
      <c r="B2886" s="10"/>
      <c r="E2886" s="10"/>
      <c r="G2886" s="10"/>
      <c r="I2886" s="436" t="s">
        <v>3095</v>
      </c>
      <c r="J2886" s="26" t="s">
        <v>3094</v>
      </c>
      <c r="K2886" s="10">
        <v>10</v>
      </c>
      <c r="L2886" s="73">
        <f>IF(Tank1!$C$23="No control",(SUMIF(Tank1!$B$32:$B$49,$J2886,Tank1!$C$32:$C$49)*Impacts!$F$8),0)</f>
        <v>0</v>
      </c>
      <c r="M2886" s="10">
        <f>IF(Tank2!$C$23="No control",(SUMIF(Tank2!$B$32:$B$49,$J2886,Tank2!$C$32:$C$49)*Impacts!$F$9),0)</f>
        <v>0</v>
      </c>
      <c r="N2886" s="10">
        <f>IF(Tank3!$C$23="No control",(SUMIF(Tank3!$B$32:$B$49,$J2886,Tank3!$C$32:$C$49)*Impacts!$F$10),0)</f>
        <v>0</v>
      </c>
      <c r="O2886" s="10">
        <f>IF(Tank4!$C$23="No control",(SUMIF(Tank4!$B$32:$B$49,$J2886,Tank4!$C$32:$C$49)*Impacts!$F$11),0)</f>
        <v>0</v>
      </c>
      <c r="P2886" s="10">
        <f>IF(Tank5!$C$23="No control",(SUMIF(Tank5!$B$32:$B$49,$J2886,Tank5!$C$32:$C$49)*Impacts!$F$12),0)</f>
        <v>0</v>
      </c>
      <c r="Q2886" s="10">
        <f>IFERROR(IF(('Loading-drum,tote'!$C$21)="No control",SUMIF(('Loading-drum,tote'!$B$31:$B$48),$J2886,('Loading-drum,tote'!$D$31:$D$48))*Impacts!$F$13,IF(('Loading-drum,tote'!$C$21)&lt;&gt;"No control",SUMIF(('Loading-drum,tote'!$B$31:$B$48),$J2886,('Loading-drum,tote'!$E$31:$E$48))*Impacts!$F$13,0)),0)</f>
        <v>0</v>
      </c>
      <c r="R2886" s="10">
        <f>IFERROR(IF(('Loading-truck'!$C$21)="No control",SUMIF(('Loading-truck'!$B$31:$B$48),$J2886,('Loading-truck'!$D$31:$D$48))*Impacts!$F$14,IF(('Loading-truck'!$C$21)&lt;&gt;"No control",SUMIF(('Loading-truck'!$B$31:$B$48),$J2886,('Loading-truck'!$E$31:$E$48))*Impacts!$F$14,0)),0)</f>
        <v>0</v>
      </c>
      <c r="S2886" s="10">
        <f>IFERROR(IF(('Loading-rail'!$C$21)="No control",SUMIF(('Loading-rail'!$B$31:$B$48),$J2886,('Loading-rail'!$D$31:$D$48))*Impacts!$F$15,IF(('Loading-rail'!$C$21)&lt;&gt;"No control",SUMIF(('Loading-rail'!$B$31:$B$48),$J2886,('Loading-rail'!$E$31:$E$48))*Impacts!$F$15,0)),0)</f>
        <v>0</v>
      </c>
      <c r="T2886" s="10">
        <f>IF(Flare!$C$7="",0,(SUMIF(Flare!$B$46:$B$185,$J2886,Flare!$E$46:$E$185)*Impacts!$F$16))</f>
        <v>0</v>
      </c>
      <c r="U2886" s="10">
        <f>IF(VCU!$C$9="",0,(SUMIF(VCU!$B$51:$B$193,$J2886,VCU!$E$51:$E$193)*Impacts!$F$17))</f>
        <v>0</v>
      </c>
      <c r="V2886" s="10">
        <f>IF(CAS!$C$7="",0,(SUMIF(CAS!$B$31:$B$167,$J2886,CAS!$E$31:$E$167)*Impacts!$F$18))</f>
        <v>0</v>
      </c>
      <c r="W2886" s="10">
        <f t="shared" si="85"/>
        <v>0</v>
      </c>
      <c r="AK2886" s="10" t="str">
        <f t="array" ref="AK2886">IFERROR(INDEX(SelectedSpecies,SMALL(IF(SelectedSpecies=AK$1,ROW(SelectedSpecies)),ROW(2887:2887)),2),"")</f>
        <v/>
      </c>
      <c r="BE2886" s="10"/>
      <c r="BI2886" s="10"/>
    </row>
    <row r="2887" spans="1:61" ht="21" customHeight="1" x14ac:dyDescent="0.25">
      <c r="A2887" s="10"/>
      <c r="B2887" s="10"/>
      <c r="E2887" s="10"/>
      <c r="G2887" s="10"/>
      <c r="I2887" s="436" t="s">
        <v>1711</v>
      </c>
      <c r="J2887" s="26" t="s">
        <v>1661</v>
      </c>
      <c r="K2887" s="10">
        <v>24.5</v>
      </c>
      <c r="L2887" s="73">
        <f>IF(Tank1!$C$23="No control",(SUMIF(Tank1!$B$32:$B$49,$J2887,Tank1!$C$32:$C$49)*Impacts!$F$8),0)</f>
        <v>0</v>
      </c>
      <c r="M2887" s="10">
        <f>IF(Tank2!$C$23="No control",(SUMIF(Tank2!$B$32:$B$49,$J2887,Tank2!$C$32:$C$49)*Impacts!$F$9),0)</f>
        <v>0</v>
      </c>
      <c r="N2887" s="10">
        <f>IF(Tank3!$C$23="No control",(SUMIF(Tank3!$B$32:$B$49,$J2887,Tank3!$C$32:$C$49)*Impacts!$F$10),0)</f>
        <v>0</v>
      </c>
      <c r="O2887" s="10">
        <f>IF(Tank4!$C$23="No control",(SUMIF(Tank4!$B$32:$B$49,$J2887,Tank4!$C$32:$C$49)*Impacts!$F$11),0)</f>
        <v>0</v>
      </c>
      <c r="P2887" s="10">
        <f>IF(Tank5!$C$23="No control",(SUMIF(Tank5!$B$32:$B$49,$J2887,Tank5!$C$32:$C$49)*Impacts!$F$12),0)</f>
        <v>0</v>
      </c>
      <c r="Q2887" s="10">
        <f>IFERROR(IF(('Loading-drum,tote'!$C$21)="No control",SUMIF(('Loading-drum,tote'!$B$31:$B$48),$J2887,('Loading-drum,tote'!$D$31:$D$48))*Impacts!$F$13,IF(('Loading-drum,tote'!$C$21)&lt;&gt;"No control",SUMIF(('Loading-drum,tote'!$B$31:$B$48),$J2887,('Loading-drum,tote'!$E$31:$E$48))*Impacts!$F$13,0)),0)</f>
        <v>0</v>
      </c>
      <c r="R2887" s="10">
        <f>IFERROR(IF(('Loading-truck'!$C$21)="No control",SUMIF(('Loading-truck'!$B$31:$B$48),$J2887,('Loading-truck'!$D$31:$D$48))*Impacts!$F$14,IF(('Loading-truck'!$C$21)&lt;&gt;"No control",SUMIF(('Loading-truck'!$B$31:$B$48),$J2887,('Loading-truck'!$E$31:$E$48))*Impacts!$F$14,0)),0)</f>
        <v>0</v>
      </c>
      <c r="S2887" s="10">
        <f>IFERROR(IF(('Loading-rail'!$C$21)="No control",SUMIF(('Loading-rail'!$B$31:$B$48),$J2887,('Loading-rail'!$D$31:$D$48))*Impacts!$F$15,IF(('Loading-rail'!$C$21)&lt;&gt;"No control",SUMIF(('Loading-rail'!$B$31:$B$48),$J2887,('Loading-rail'!$E$31:$E$48))*Impacts!$F$15,0)),0)</f>
        <v>0</v>
      </c>
      <c r="T2887" s="10">
        <f>IF(Flare!$C$7="",0,(SUMIF(Flare!$B$46:$B$185,$J2887,Flare!$E$46:$E$185)*Impacts!$F$16))</f>
        <v>0</v>
      </c>
      <c r="U2887" s="10">
        <f>IF(VCU!$C$9="",0,(SUMIF(VCU!$B$51:$B$193,$J2887,VCU!$E$51:$E$193)*Impacts!$F$17))</f>
        <v>0</v>
      </c>
      <c r="V2887" s="10">
        <f>IF(CAS!$C$7="",0,(SUMIF(CAS!$B$31:$B$167,$J2887,CAS!$E$31:$E$167)*Impacts!$F$18))</f>
        <v>0</v>
      </c>
      <c r="W2887" s="10">
        <f t="shared" si="85"/>
        <v>0</v>
      </c>
      <c r="AK2887" s="10" t="str">
        <f t="array" ref="AK2887">IFERROR(INDEX(SelectedSpecies,SMALL(IF(SelectedSpecies=AK$1,ROW(SelectedSpecies)),ROW(2888:2888)),2),"")</f>
        <v/>
      </c>
      <c r="BE2887" s="10"/>
      <c r="BI2887" s="10"/>
    </row>
    <row r="2888" spans="1:61" ht="21" customHeight="1" x14ac:dyDescent="0.25">
      <c r="A2888" s="10"/>
      <c r="B2888" s="10"/>
      <c r="E2888" s="10"/>
      <c r="G2888" s="10"/>
      <c r="I2888" s="436" t="s">
        <v>3097</v>
      </c>
      <c r="J2888" s="26" t="s">
        <v>3096</v>
      </c>
      <c r="K2888" s="10">
        <v>10</v>
      </c>
      <c r="L2888" s="73">
        <f>IF(Tank1!$C$23="No control",(SUMIF(Tank1!$B$32:$B$49,$J2888,Tank1!$C$32:$C$49)*Impacts!$F$8),0)</f>
        <v>0</v>
      </c>
      <c r="M2888" s="10">
        <f>IF(Tank2!$C$23="No control",(SUMIF(Tank2!$B$32:$B$49,$J2888,Tank2!$C$32:$C$49)*Impacts!$F$9),0)</f>
        <v>0</v>
      </c>
      <c r="N2888" s="10">
        <f>IF(Tank3!$C$23="No control",(SUMIF(Tank3!$B$32:$B$49,$J2888,Tank3!$C$32:$C$49)*Impacts!$F$10),0)</f>
        <v>0</v>
      </c>
      <c r="O2888" s="10">
        <f>IF(Tank4!$C$23="No control",(SUMIF(Tank4!$B$32:$B$49,$J2888,Tank4!$C$32:$C$49)*Impacts!$F$11),0)</f>
        <v>0</v>
      </c>
      <c r="P2888" s="10">
        <f>IF(Tank5!$C$23="No control",(SUMIF(Tank5!$B$32:$B$49,$J2888,Tank5!$C$32:$C$49)*Impacts!$F$12),0)</f>
        <v>0</v>
      </c>
      <c r="Q2888" s="10">
        <f>IFERROR(IF(('Loading-drum,tote'!$C$21)="No control",SUMIF(('Loading-drum,tote'!$B$31:$B$48),$J2888,('Loading-drum,tote'!$D$31:$D$48))*Impacts!$F$13,IF(('Loading-drum,tote'!$C$21)&lt;&gt;"No control",SUMIF(('Loading-drum,tote'!$B$31:$B$48),$J2888,('Loading-drum,tote'!$E$31:$E$48))*Impacts!$F$13,0)),0)</f>
        <v>0</v>
      </c>
      <c r="R2888" s="10">
        <f>IFERROR(IF(('Loading-truck'!$C$21)="No control",SUMIF(('Loading-truck'!$B$31:$B$48),$J2888,('Loading-truck'!$D$31:$D$48))*Impacts!$F$14,IF(('Loading-truck'!$C$21)&lt;&gt;"No control",SUMIF(('Loading-truck'!$B$31:$B$48),$J2888,('Loading-truck'!$E$31:$E$48))*Impacts!$F$14,0)),0)</f>
        <v>0</v>
      </c>
      <c r="S2888" s="10">
        <f>IFERROR(IF(('Loading-rail'!$C$21)="No control",SUMIF(('Loading-rail'!$B$31:$B$48),$J2888,('Loading-rail'!$D$31:$D$48))*Impacts!$F$15,IF(('Loading-rail'!$C$21)&lt;&gt;"No control",SUMIF(('Loading-rail'!$B$31:$B$48),$J2888,('Loading-rail'!$E$31:$E$48))*Impacts!$F$15,0)),0)</f>
        <v>0</v>
      </c>
      <c r="T2888" s="10">
        <f>IF(Flare!$C$7="",0,(SUMIF(Flare!$B$46:$B$185,$J2888,Flare!$E$46:$E$185)*Impacts!$F$16))</f>
        <v>0</v>
      </c>
      <c r="U2888" s="10">
        <f>IF(VCU!$C$9="",0,(SUMIF(VCU!$B$51:$B$193,$J2888,VCU!$E$51:$E$193)*Impacts!$F$17))</f>
        <v>0</v>
      </c>
      <c r="V2888" s="10">
        <f>IF(CAS!$C$7="",0,(SUMIF(CAS!$B$31:$B$167,$J2888,CAS!$E$31:$E$167)*Impacts!$F$18))</f>
        <v>0</v>
      </c>
      <c r="W2888" s="10">
        <f t="shared" si="85"/>
        <v>0</v>
      </c>
      <c r="AK2888" s="10" t="str">
        <f t="array" ref="AK2888">IFERROR(INDEX(SelectedSpecies,SMALL(IF(SelectedSpecies=AK$1,ROW(SelectedSpecies)),ROW(2889:2889)),2),"")</f>
        <v/>
      </c>
      <c r="BE2888" s="10"/>
      <c r="BI2888" s="10"/>
    </row>
    <row r="2889" spans="1:61" ht="21" customHeight="1" x14ac:dyDescent="0.25">
      <c r="A2889" s="10"/>
      <c r="B2889" s="10"/>
      <c r="E2889" s="10"/>
      <c r="G2889" s="10"/>
      <c r="I2889" s="436" t="s">
        <v>3099</v>
      </c>
      <c r="J2889" s="26" t="s">
        <v>3098</v>
      </c>
      <c r="K2889" s="10">
        <v>10</v>
      </c>
      <c r="L2889" s="73">
        <f>IF(Tank1!$C$23="No control",(SUMIF(Tank1!$B$32:$B$49,$J2889,Tank1!$C$32:$C$49)*Impacts!$F$8),0)</f>
        <v>0</v>
      </c>
      <c r="M2889" s="10">
        <f>IF(Tank2!$C$23="No control",(SUMIF(Tank2!$B$32:$B$49,$J2889,Tank2!$C$32:$C$49)*Impacts!$F$9),0)</f>
        <v>0</v>
      </c>
      <c r="N2889" s="10">
        <f>IF(Tank3!$C$23="No control",(SUMIF(Tank3!$B$32:$B$49,$J2889,Tank3!$C$32:$C$49)*Impacts!$F$10),0)</f>
        <v>0</v>
      </c>
      <c r="O2889" s="10">
        <f>IF(Tank4!$C$23="No control",(SUMIF(Tank4!$B$32:$B$49,$J2889,Tank4!$C$32:$C$49)*Impacts!$F$11),0)</f>
        <v>0</v>
      </c>
      <c r="P2889" s="10">
        <f>IF(Tank5!$C$23="No control",(SUMIF(Tank5!$B$32:$B$49,$J2889,Tank5!$C$32:$C$49)*Impacts!$F$12),0)</f>
        <v>0</v>
      </c>
      <c r="Q2889" s="10">
        <f>IFERROR(IF(('Loading-drum,tote'!$C$21)="No control",SUMIF(('Loading-drum,tote'!$B$31:$B$48),$J2889,('Loading-drum,tote'!$D$31:$D$48))*Impacts!$F$13,IF(('Loading-drum,tote'!$C$21)&lt;&gt;"No control",SUMIF(('Loading-drum,tote'!$B$31:$B$48),$J2889,('Loading-drum,tote'!$E$31:$E$48))*Impacts!$F$13,0)),0)</f>
        <v>0</v>
      </c>
      <c r="R2889" s="10">
        <f>IFERROR(IF(('Loading-truck'!$C$21)="No control",SUMIF(('Loading-truck'!$B$31:$B$48),$J2889,('Loading-truck'!$D$31:$D$48))*Impacts!$F$14,IF(('Loading-truck'!$C$21)&lt;&gt;"No control",SUMIF(('Loading-truck'!$B$31:$B$48),$J2889,('Loading-truck'!$E$31:$E$48))*Impacts!$F$14,0)),0)</f>
        <v>0</v>
      </c>
      <c r="S2889" s="10">
        <f>IFERROR(IF(('Loading-rail'!$C$21)="No control",SUMIF(('Loading-rail'!$B$31:$B$48),$J2889,('Loading-rail'!$D$31:$D$48))*Impacts!$F$15,IF(('Loading-rail'!$C$21)&lt;&gt;"No control",SUMIF(('Loading-rail'!$B$31:$B$48),$J2889,('Loading-rail'!$E$31:$E$48))*Impacts!$F$15,0)),0)</f>
        <v>0</v>
      </c>
      <c r="T2889" s="10">
        <f>IF(Flare!$C$7="",0,(SUMIF(Flare!$B$46:$B$185,$J2889,Flare!$E$46:$E$185)*Impacts!$F$16))</f>
        <v>0</v>
      </c>
      <c r="U2889" s="10">
        <f>IF(VCU!$C$9="",0,(SUMIF(VCU!$B$51:$B$193,$J2889,VCU!$E$51:$E$193)*Impacts!$F$17))</f>
        <v>0</v>
      </c>
      <c r="V2889" s="10">
        <f>IF(CAS!$C$7="",0,(SUMIF(CAS!$B$31:$B$167,$J2889,CAS!$E$31:$E$167)*Impacts!$F$18))</f>
        <v>0</v>
      </c>
      <c r="W2889" s="10">
        <f t="shared" si="85"/>
        <v>0</v>
      </c>
      <c r="AK2889" s="10" t="str">
        <f t="array" ref="AK2889">IFERROR(INDEX(SelectedSpecies,SMALL(IF(SelectedSpecies=AK$1,ROW(SelectedSpecies)),ROW(2890:2890)),2),"")</f>
        <v/>
      </c>
      <c r="BE2889" s="10"/>
      <c r="BI2889" s="10"/>
    </row>
    <row r="2890" spans="1:61" ht="21" customHeight="1" x14ac:dyDescent="0.25">
      <c r="A2890" s="10"/>
      <c r="B2890" s="10"/>
      <c r="E2890" s="10"/>
      <c r="G2890" s="10"/>
      <c r="I2890" s="436" t="s">
        <v>7194</v>
      </c>
      <c r="J2890" s="26" t="s">
        <v>7193</v>
      </c>
      <c r="K2890" s="10">
        <v>0.33</v>
      </c>
      <c r="L2890" s="73">
        <f>IF(Tank1!$C$23="No control",(SUMIF(Tank1!$B$32:$B$49,$J2890,Tank1!$C$32:$C$49)*Impacts!$F$8),0)</f>
        <v>0</v>
      </c>
      <c r="M2890" s="10">
        <f>IF(Tank2!$C$23="No control",(SUMIF(Tank2!$B$32:$B$49,$J2890,Tank2!$C$32:$C$49)*Impacts!$F$9),0)</f>
        <v>0</v>
      </c>
      <c r="N2890" s="10">
        <f>IF(Tank3!$C$23="No control",(SUMIF(Tank3!$B$32:$B$49,$J2890,Tank3!$C$32:$C$49)*Impacts!$F$10),0)</f>
        <v>0</v>
      </c>
      <c r="O2890" s="10">
        <f>IF(Tank4!$C$23="No control",(SUMIF(Tank4!$B$32:$B$49,$J2890,Tank4!$C$32:$C$49)*Impacts!$F$11),0)</f>
        <v>0</v>
      </c>
      <c r="P2890" s="10">
        <f>IF(Tank5!$C$23="No control",(SUMIF(Tank5!$B$32:$B$49,$J2890,Tank5!$C$32:$C$49)*Impacts!$F$12),0)</f>
        <v>0</v>
      </c>
      <c r="Q2890" s="10">
        <f>IFERROR(IF(('Loading-drum,tote'!$C$21)="No control",SUMIF(('Loading-drum,tote'!$B$31:$B$48),$J2890,('Loading-drum,tote'!$D$31:$D$48))*Impacts!$F$13,IF(('Loading-drum,tote'!$C$21)&lt;&gt;"No control",SUMIF(('Loading-drum,tote'!$B$31:$B$48),$J2890,('Loading-drum,tote'!$E$31:$E$48))*Impacts!$F$13,0)),0)</f>
        <v>0</v>
      </c>
      <c r="R2890" s="10">
        <f>IFERROR(IF(('Loading-truck'!$C$21)="No control",SUMIF(('Loading-truck'!$B$31:$B$48),$J2890,('Loading-truck'!$D$31:$D$48))*Impacts!$F$14,IF(('Loading-truck'!$C$21)&lt;&gt;"No control",SUMIF(('Loading-truck'!$B$31:$B$48),$J2890,('Loading-truck'!$E$31:$E$48))*Impacts!$F$14,0)),0)</f>
        <v>0</v>
      </c>
      <c r="S2890" s="10">
        <f>IFERROR(IF(('Loading-rail'!$C$21)="No control",SUMIF(('Loading-rail'!$B$31:$B$48),$J2890,('Loading-rail'!$D$31:$D$48))*Impacts!$F$15,IF(('Loading-rail'!$C$21)&lt;&gt;"No control",SUMIF(('Loading-rail'!$B$31:$B$48),$J2890,('Loading-rail'!$E$31:$E$48))*Impacts!$F$15,0)),0)</f>
        <v>0</v>
      </c>
      <c r="T2890" s="10">
        <f>IF(Flare!$C$7="",0,(SUMIF(Flare!$B$46:$B$185,$J2890,Flare!$E$46:$E$185)*Impacts!$F$16))</f>
        <v>0</v>
      </c>
      <c r="U2890" s="10">
        <f>IF(VCU!$C$9="",0,(SUMIF(VCU!$B$51:$B$193,$J2890,VCU!$E$51:$E$193)*Impacts!$F$17))</f>
        <v>0</v>
      </c>
      <c r="V2890" s="10">
        <f>IF(CAS!$C$7="",0,(SUMIF(CAS!$B$31:$B$167,$J2890,CAS!$E$31:$E$167)*Impacts!$F$18))</f>
        <v>0</v>
      </c>
      <c r="W2890" s="10">
        <f t="shared" si="85"/>
        <v>0</v>
      </c>
      <c r="AK2890" s="10" t="str">
        <f t="array" ref="AK2890">IFERROR(INDEX(SelectedSpecies,SMALL(IF(SelectedSpecies=AK$1,ROW(SelectedSpecies)),ROW(2891:2891)),2),"")</f>
        <v/>
      </c>
      <c r="BE2890" s="10"/>
      <c r="BI2890" s="10"/>
    </row>
    <row r="2891" spans="1:61" ht="21" customHeight="1" x14ac:dyDescent="0.25">
      <c r="A2891" s="10"/>
      <c r="B2891" s="10"/>
      <c r="E2891" s="10"/>
      <c r="G2891" s="10"/>
      <c r="I2891" s="436" t="s">
        <v>3101</v>
      </c>
      <c r="J2891" s="26" t="s">
        <v>3100</v>
      </c>
      <c r="K2891" s="10">
        <v>10</v>
      </c>
      <c r="L2891" s="73">
        <f>IF(Tank1!$C$23="No control",(SUMIF(Tank1!$B$32:$B$49,$J2891,Tank1!$C$32:$C$49)*Impacts!$F$8),0)</f>
        <v>0</v>
      </c>
      <c r="M2891" s="10">
        <f>IF(Tank2!$C$23="No control",(SUMIF(Tank2!$B$32:$B$49,$J2891,Tank2!$C$32:$C$49)*Impacts!$F$9),0)</f>
        <v>0</v>
      </c>
      <c r="N2891" s="10">
        <f>IF(Tank3!$C$23="No control",(SUMIF(Tank3!$B$32:$B$49,$J2891,Tank3!$C$32:$C$49)*Impacts!$F$10),0)</f>
        <v>0</v>
      </c>
      <c r="O2891" s="10">
        <f>IF(Tank4!$C$23="No control",(SUMIF(Tank4!$B$32:$B$49,$J2891,Tank4!$C$32:$C$49)*Impacts!$F$11),0)</f>
        <v>0</v>
      </c>
      <c r="P2891" s="10">
        <f>IF(Tank5!$C$23="No control",(SUMIF(Tank5!$B$32:$B$49,$J2891,Tank5!$C$32:$C$49)*Impacts!$F$12),0)</f>
        <v>0</v>
      </c>
      <c r="Q2891" s="10">
        <f>IFERROR(IF(('Loading-drum,tote'!$C$21)="No control",SUMIF(('Loading-drum,tote'!$B$31:$B$48),$J2891,('Loading-drum,tote'!$D$31:$D$48))*Impacts!$F$13,IF(('Loading-drum,tote'!$C$21)&lt;&gt;"No control",SUMIF(('Loading-drum,tote'!$B$31:$B$48),$J2891,('Loading-drum,tote'!$E$31:$E$48))*Impacts!$F$13,0)),0)</f>
        <v>0</v>
      </c>
      <c r="R2891" s="10">
        <f>IFERROR(IF(('Loading-truck'!$C$21)="No control",SUMIF(('Loading-truck'!$B$31:$B$48),$J2891,('Loading-truck'!$D$31:$D$48))*Impacts!$F$14,IF(('Loading-truck'!$C$21)&lt;&gt;"No control",SUMIF(('Loading-truck'!$B$31:$B$48),$J2891,('Loading-truck'!$E$31:$E$48))*Impacts!$F$14,0)),0)</f>
        <v>0</v>
      </c>
      <c r="S2891" s="10">
        <f>IFERROR(IF(('Loading-rail'!$C$21)="No control",SUMIF(('Loading-rail'!$B$31:$B$48),$J2891,('Loading-rail'!$D$31:$D$48))*Impacts!$F$15,IF(('Loading-rail'!$C$21)&lt;&gt;"No control",SUMIF(('Loading-rail'!$B$31:$B$48),$J2891,('Loading-rail'!$E$31:$E$48))*Impacts!$F$15,0)),0)</f>
        <v>0</v>
      </c>
      <c r="T2891" s="10">
        <f>IF(Flare!$C$7="",0,(SUMIF(Flare!$B$46:$B$185,$J2891,Flare!$E$46:$E$185)*Impacts!$F$16))</f>
        <v>0</v>
      </c>
      <c r="U2891" s="10">
        <f>IF(VCU!$C$9="",0,(SUMIF(VCU!$B$51:$B$193,$J2891,VCU!$E$51:$E$193)*Impacts!$F$17))</f>
        <v>0</v>
      </c>
      <c r="V2891" s="10">
        <f>IF(CAS!$C$7="",0,(SUMIF(CAS!$B$31:$B$167,$J2891,CAS!$E$31:$E$167)*Impacts!$F$18))</f>
        <v>0</v>
      </c>
      <c r="W2891" s="10">
        <f t="shared" si="85"/>
        <v>0</v>
      </c>
      <c r="AK2891" s="10" t="str">
        <f t="array" ref="AK2891">IFERROR(INDEX(SelectedSpecies,SMALL(IF(SelectedSpecies=AK$1,ROW(SelectedSpecies)),ROW(2892:2892)),2),"")</f>
        <v/>
      </c>
      <c r="BE2891" s="10"/>
      <c r="BI2891" s="10"/>
    </row>
    <row r="2892" spans="1:61" ht="21" customHeight="1" x14ac:dyDescent="0.25">
      <c r="A2892" s="10"/>
      <c r="B2892" s="10"/>
      <c r="E2892" s="10"/>
      <c r="G2892" s="10"/>
      <c r="I2892" s="436" t="s">
        <v>3103</v>
      </c>
      <c r="J2892" s="26" t="s">
        <v>3102</v>
      </c>
      <c r="K2892" s="10">
        <v>10</v>
      </c>
      <c r="L2892" s="73">
        <f>IF(Tank1!$C$23="No control",(SUMIF(Tank1!$B$32:$B$49,$J2892,Tank1!$C$32:$C$49)*Impacts!$F$8),0)</f>
        <v>0</v>
      </c>
      <c r="M2892" s="10">
        <f>IF(Tank2!$C$23="No control",(SUMIF(Tank2!$B$32:$B$49,$J2892,Tank2!$C$32:$C$49)*Impacts!$F$9),0)</f>
        <v>0</v>
      </c>
      <c r="N2892" s="10">
        <f>IF(Tank3!$C$23="No control",(SUMIF(Tank3!$B$32:$B$49,$J2892,Tank3!$C$32:$C$49)*Impacts!$F$10),0)</f>
        <v>0</v>
      </c>
      <c r="O2892" s="10">
        <f>IF(Tank4!$C$23="No control",(SUMIF(Tank4!$B$32:$B$49,$J2892,Tank4!$C$32:$C$49)*Impacts!$F$11),0)</f>
        <v>0</v>
      </c>
      <c r="P2892" s="10">
        <f>IF(Tank5!$C$23="No control",(SUMIF(Tank5!$B$32:$B$49,$J2892,Tank5!$C$32:$C$49)*Impacts!$F$12),0)</f>
        <v>0</v>
      </c>
      <c r="Q2892" s="10">
        <f>IFERROR(IF(('Loading-drum,tote'!$C$21)="No control",SUMIF(('Loading-drum,tote'!$B$31:$B$48),$J2892,('Loading-drum,tote'!$D$31:$D$48))*Impacts!$F$13,IF(('Loading-drum,tote'!$C$21)&lt;&gt;"No control",SUMIF(('Loading-drum,tote'!$B$31:$B$48),$J2892,('Loading-drum,tote'!$E$31:$E$48))*Impacts!$F$13,0)),0)</f>
        <v>0</v>
      </c>
      <c r="R2892" s="10">
        <f>IFERROR(IF(('Loading-truck'!$C$21)="No control",SUMIF(('Loading-truck'!$B$31:$B$48),$J2892,('Loading-truck'!$D$31:$D$48))*Impacts!$F$14,IF(('Loading-truck'!$C$21)&lt;&gt;"No control",SUMIF(('Loading-truck'!$B$31:$B$48),$J2892,('Loading-truck'!$E$31:$E$48))*Impacts!$F$14,0)),0)</f>
        <v>0</v>
      </c>
      <c r="S2892" s="10">
        <f>IFERROR(IF(('Loading-rail'!$C$21)="No control",SUMIF(('Loading-rail'!$B$31:$B$48),$J2892,('Loading-rail'!$D$31:$D$48))*Impacts!$F$15,IF(('Loading-rail'!$C$21)&lt;&gt;"No control",SUMIF(('Loading-rail'!$B$31:$B$48),$J2892,('Loading-rail'!$E$31:$E$48))*Impacts!$F$15,0)),0)</f>
        <v>0</v>
      </c>
      <c r="T2892" s="10">
        <f>IF(Flare!$C$7="",0,(SUMIF(Flare!$B$46:$B$185,$J2892,Flare!$E$46:$E$185)*Impacts!$F$16))</f>
        <v>0</v>
      </c>
      <c r="U2892" s="10">
        <f>IF(VCU!$C$9="",0,(SUMIF(VCU!$B$51:$B$193,$J2892,VCU!$E$51:$E$193)*Impacts!$F$17))</f>
        <v>0</v>
      </c>
      <c r="V2892" s="10">
        <f>IF(CAS!$C$7="",0,(SUMIF(CAS!$B$31:$B$167,$J2892,CAS!$E$31:$E$167)*Impacts!$F$18))</f>
        <v>0</v>
      </c>
      <c r="W2892" s="10">
        <f t="shared" si="85"/>
        <v>0</v>
      </c>
      <c r="AK2892" s="10" t="str">
        <f t="array" ref="AK2892">IFERROR(INDEX(SelectedSpecies,SMALL(IF(SelectedSpecies=AK$1,ROW(SelectedSpecies)),ROW(2893:2893)),2),"")</f>
        <v/>
      </c>
      <c r="BE2892" s="10"/>
      <c r="BI2892" s="10"/>
    </row>
    <row r="2893" spans="1:61" ht="21" customHeight="1" x14ac:dyDescent="0.25">
      <c r="A2893" s="10"/>
      <c r="B2893" s="10"/>
      <c r="E2893" s="10"/>
      <c r="G2893" s="10"/>
      <c r="I2893" s="436" t="s">
        <v>1713</v>
      </c>
      <c r="J2893" s="26" t="s">
        <v>1712</v>
      </c>
      <c r="K2893" s="10">
        <v>24.5</v>
      </c>
      <c r="L2893" s="73">
        <f>IF(Tank1!$C$23="No control",(SUMIF(Tank1!$B$32:$B$49,$J2893,Tank1!$C$32:$C$49)*Impacts!$F$8),0)</f>
        <v>0</v>
      </c>
      <c r="M2893" s="10">
        <f>IF(Tank2!$C$23="No control",(SUMIF(Tank2!$B$32:$B$49,$J2893,Tank2!$C$32:$C$49)*Impacts!$F$9),0)</f>
        <v>0</v>
      </c>
      <c r="N2893" s="10">
        <f>IF(Tank3!$C$23="No control",(SUMIF(Tank3!$B$32:$B$49,$J2893,Tank3!$C$32:$C$49)*Impacts!$F$10),0)</f>
        <v>0</v>
      </c>
      <c r="O2893" s="10">
        <f>IF(Tank4!$C$23="No control",(SUMIF(Tank4!$B$32:$B$49,$J2893,Tank4!$C$32:$C$49)*Impacts!$F$11),0)</f>
        <v>0</v>
      </c>
      <c r="P2893" s="10">
        <f>IF(Tank5!$C$23="No control",(SUMIF(Tank5!$B$32:$B$49,$J2893,Tank5!$C$32:$C$49)*Impacts!$F$12),0)</f>
        <v>0</v>
      </c>
      <c r="Q2893" s="10">
        <f>IFERROR(IF(('Loading-drum,tote'!$C$21)="No control",SUMIF(('Loading-drum,tote'!$B$31:$B$48),$J2893,('Loading-drum,tote'!$D$31:$D$48))*Impacts!$F$13,IF(('Loading-drum,tote'!$C$21)&lt;&gt;"No control",SUMIF(('Loading-drum,tote'!$B$31:$B$48),$J2893,('Loading-drum,tote'!$E$31:$E$48))*Impacts!$F$13,0)),0)</f>
        <v>0</v>
      </c>
      <c r="R2893" s="10">
        <f>IFERROR(IF(('Loading-truck'!$C$21)="No control",SUMIF(('Loading-truck'!$B$31:$B$48),$J2893,('Loading-truck'!$D$31:$D$48))*Impacts!$F$14,IF(('Loading-truck'!$C$21)&lt;&gt;"No control",SUMIF(('Loading-truck'!$B$31:$B$48),$J2893,('Loading-truck'!$E$31:$E$48))*Impacts!$F$14,0)),0)</f>
        <v>0</v>
      </c>
      <c r="S2893" s="10">
        <f>IFERROR(IF(('Loading-rail'!$C$21)="No control",SUMIF(('Loading-rail'!$B$31:$B$48),$J2893,('Loading-rail'!$D$31:$D$48))*Impacts!$F$15,IF(('Loading-rail'!$C$21)&lt;&gt;"No control",SUMIF(('Loading-rail'!$B$31:$B$48),$J2893,('Loading-rail'!$E$31:$E$48))*Impacts!$F$15,0)),0)</f>
        <v>0</v>
      </c>
      <c r="T2893" s="10">
        <f>IF(Flare!$C$7="",0,(SUMIF(Flare!$B$46:$B$185,$J2893,Flare!$E$46:$E$185)*Impacts!$F$16))</f>
        <v>0</v>
      </c>
      <c r="U2893" s="10">
        <f>IF(VCU!$C$9="",0,(SUMIF(VCU!$B$51:$B$193,$J2893,VCU!$E$51:$E$193)*Impacts!$F$17))</f>
        <v>0</v>
      </c>
      <c r="V2893" s="10">
        <f>IF(CAS!$C$7="",0,(SUMIF(CAS!$B$31:$B$167,$J2893,CAS!$E$31:$E$167)*Impacts!$F$18))</f>
        <v>0</v>
      </c>
      <c r="W2893" s="10">
        <f t="shared" si="85"/>
        <v>0</v>
      </c>
      <c r="AK2893" s="10" t="str">
        <f t="array" ref="AK2893">IFERROR(INDEX(SelectedSpecies,SMALL(IF(SelectedSpecies=AK$1,ROW(SelectedSpecies)),ROW(2894:2894)),2),"")</f>
        <v/>
      </c>
      <c r="BE2893" s="10"/>
      <c r="BI2893" s="10"/>
    </row>
    <row r="2894" spans="1:61" ht="21" customHeight="1" x14ac:dyDescent="0.25">
      <c r="A2894" s="10"/>
      <c r="B2894" s="10"/>
      <c r="E2894" s="10"/>
      <c r="G2894" s="10"/>
      <c r="I2894" s="436" t="s">
        <v>2269</v>
      </c>
      <c r="J2894" s="26" t="s">
        <v>2268</v>
      </c>
      <c r="K2894" s="10">
        <v>12.5</v>
      </c>
      <c r="L2894" s="73">
        <f>IF(Tank1!$C$23="No control",(SUMIF(Tank1!$B$32:$B$49,$J2894,Tank1!$C$32:$C$49)*Impacts!$F$8),0)</f>
        <v>0</v>
      </c>
      <c r="M2894" s="10">
        <f>IF(Tank2!$C$23="No control",(SUMIF(Tank2!$B$32:$B$49,$J2894,Tank2!$C$32:$C$49)*Impacts!$F$9),0)</f>
        <v>0</v>
      </c>
      <c r="N2894" s="10">
        <f>IF(Tank3!$C$23="No control",(SUMIF(Tank3!$B$32:$B$49,$J2894,Tank3!$C$32:$C$49)*Impacts!$F$10),0)</f>
        <v>0</v>
      </c>
      <c r="O2894" s="10">
        <f>IF(Tank4!$C$23="No control",(SUMIF(Tank4!$B$32:$B$49,$J2894,Tank4!$C$32:$C$49)*Impacts!$F$11),0)</f>
        <v>0</v>
      </c>
      <c r="P2894" s="10">
        <f>IF(Tank5!$C$23="No control",(SUMIF(Tank5!$B$32:$B$49,$J2894,Tank5!$C$32:$C$49)*Impacts!$F$12),0)</f>
        <v>0</v>
      </c>
      <c r="Q2894" s="10">
        <f>IFERROR(IF(('Loading-drum,tote'!$C$21)="No control",SUMIF(('Loading-drum,tote'!$B$31:$B$48),$J2894,('Loading-drum,tote'!$D$31:$D$48))*Impacts!$F$13,IF(('Loading-drum,tote'!$C$21)&lt;&gt;"No control",SUMIF(('Loading-drum,tote'!$B$31:$B$48),$J2894,('Loading-drum,tote'!$E$31:$E$48))*Impacts!$F$13,0)),0)</f>
        <v>0</v>
      </c>
      <c r="R2894" s="10">
        <f>IFERROR(IF(('Loading-truck'!$C$21)="No control",SUMIF(('Loading-truck'!$B$31:$B$48),$J2894,('Loading-truck'!$D$31:$D$48))*Impacts!$F$14,IF(('Loading-truck'!$C$21)&lt;&gt;"No control",SUMIF(('Loading-truck'!$B$31:$B$48),$J2894,('Loading-truck'!$E$31:$E$48))*Impacts!$F$14,0)),0)</f>
        <v>0</v>
      </c>
      <c r="S2894" s="10">
        <f>IFERROR(IF(('Loading-rail'!$C$21)="No control",SUMIF(('Loading-rail'!$B$31:$B$48),$J2894,('Loading-rail'!$D$31:$D$48))*Impacts!$F$15,IF(('Loading-rail'!$C$21)&lt;&gt;"No control",SUMIF(('Loading-rail'!$B$31:$B$48),$J2894,('Loading-rail'!$E$31:$E$48))*Impacts!$F$15,0)),0)</f>
        <v>0</v>
      </c>
      <c r="T2894" s="10">
        <f>IF(Flare!$C$7="",0,(SUMIF(Flare!$B$46:$B$185,$J2894,Flare!$E$46:$E$185)*Impacts!$F$16))</f>
        <v>0</v>
      </c>
      <c r="U2894" s="10">
        <f>IF(VCU!$C$9="",0,(SUMIF(VCU!$B$51:$B$193,$J2894,VCU!$E$51:$E$193)*Impacts!$F$17))</f>
        <v>0</v>
      </c>
      <c r="V2894" s="10">
        <f>IF(CAS!$C$7="",0,(SUMIF(CAS!$B$31:$B$167,$J2894,CAS!$E$31:$E$167)*Impacts!$F$18))</f>
        <v>0</v>
      </c>
      <c r="W2894" s="10">
        <f t="shared" si="85"/>
        <v>0</v>
      </c>
      <c r="AK2894" s="10" t="str">
        <f t="array" ref="AK2894">IFERROR(INDEX(SelectedSpecies,SMALL(IF(SelectedSpecies=AK$1,ROW(SelectedSpecies)),ROW(2895:2895)),2),"")</f>
        <v/>
      </c>
      <c r="BE2894" s="10"/>
      <c r="BI2894" s="10"/>
    </row>
    <row r="2895" spans="1:61" ht="21" customHeight="1" x14ac:dyDescent="0.25">
      <c r="A2895" s="10"/>
      <c r="B2895" s="10"/>
      <c r="E2895" s="10"/>
      <c r="G2895" s="10"/>
      <c r="I2895" s="436" t="s">
        <v>6048</v>
      </c>
      <c r="J2895" s="26" t="s">
        <v>6047</v>
      </c>
      <c r="K2895" s="10">
        <v>1</v>
      </c>
      <c r="L2895" s="73">
        <f>IF(Tank1!$C$23="No control",(SUMIF(Tank1!$B$32:$B$49,$J2895,Tank1!$C$32:$C$49)*Impacts!$F$8),0)</f>
        <v>0</v>
      </c>
      <c r="M2895" s="10">
        <f>IF(Tank2!$C$23="No control",(SUMIF(Tank2!$B$32:$B$49,$J2895,Tank2!$C$32:$C$49)*Impacts!$F$9),0)</f>
        <v>0</v>
      </c>
      <c r="N2895" s="10">
        <f>IF(Tank3!$C$23="No control",(SUMIF(Tank3!$B$32:$B$49,$J2895,Tank3!$C$32:$C$49)*Impacts!$F$10),0)</f>
        <v>0</v>
      </c>
      <c r="O2895" s="10">
        <f>IF(Tank4!$C$23="No control",(SUMIF(Tank4!$B$32:$B$49,$J2895,Tank4!$C$32:$C$49)*Impacts!$F$11),0)</f>
        <v>0</v>
      </c>
      <c r="P2895" s="10">
        <f>IF(Tank5!$C$23="No control",(SUMIF(Tank5!$B$32:$B$49,$J2895,Tank5!$C$32:$C$49)*Impacts!$F$12),0)</f>
        <v>0</v>
      </c>
      <c r="Q2895" s="10">
        <f>IFERROR(IF(('Loading-drum,tote'!$C$21)="No control",SUMIF(('Loading-drum,tote'!$B$31:$B$48),$J2895,('Loading-drum,tote'!$D$31:$D$48))*Impacts!$F$13,IF(('Loading-drum,tote'!$C$21)&lt;&gt;"No control",SUMIF(('Loading-drum,tote'!$B$31:$B$48),$J2895,('Loading-drum,tote'!$E$31:$E$48))*Impacts!$F$13,0)),0)</f>
        <v>0</v>
      </c>
      <c r="R2895" s="10">
        <f>IFERROR(IF(('Loading-truck'!$C$21)="No control",SUMIF(('Loading-truck'!$B$31:$B$48),$J2895,('Loading-truck'!$D$31:$D$48))*Impacts!$F$14,IF(('Loading-truck'!$C$21)&lt;&gt;"No control",SUMIF(('Loading-truck'!$B$31:$B$48),$J2895,('Loading-truck'!$E$31:$E$48))*Impacts!$F$14,0)),0)</f>
        <v>0</v>
      </c>
      <c r="S2895" s="10">
        <f>IFERROR(IF(('Loading-rail'!$C$21)="No control",SUMIF(('Loading-rail'!$B$31:$B$48),$J2895,('Loading-rail'!$D$31:$D$48))*Impacts!$F$15,IF(('Loading-rail'!$C$21)&lt;&gt;"No control",SUMIF(('Loading-rail'!$B$31:$B$48),$J2895,('Loading-rail'!$E$31:$E$48))*Impacts!$F$15,0)),0)</f>
        <v>0</v>
      </c>
      <c r="T2895" s="10">
        <f>IF(Flare!$C$7="",0,(SUMIF(Flare!$B$46:$B$185,$J2895,Flare!$E$46:$E$185)*Impacts!$F$16))</f>
        <v>0</v>
      </c>
      <c r="U2895" s="10">
        <f>IF(VCU!$C$9="",0,(SUMIF(VCU!$B$51:$B$193,$J2895,VCU!$E$51:$E$193)*Impacts!$F$17))</f>
        <v>0</v>
      </c>
      <c r="V2895" s="10">
        <f>IF(CAS!$C$7="",0,(SUMIF(CAS!$B$31:$B$167,$J2895,CAS!$E$31:$E$167)*Impacts!$F$18))</f>
        <v>0</v>
      </c>
      <c r="W2895" s="10">
        <f t="shared" si="85"/>
        <v>0</v>
      </c>
      <c r="AK2895" s="10" t="str">
        <f t="array" ref="AK2895">IFERROR(INDEX(SelectedSpecies,SMALL(IF(SelectedSpecies=AK$1,ROW(SelectedSpecies)),ROW(2896:2896)),2),"")</f>
        <v/>
      </c>
      <c r="BE2895" s="10"/>
      <c r="BI2895" s="10"/>
    </row>
    <row r="2896" spans="1:61" ht="21" customHeight="1" x14ac:dyDescent="0.25">
      <c r="A2896" s="10"/>
      <c r="B2896" s="10"/>
      <c r="E2896" s="10"/>
      <c r="G2896" s="10"/>
      <c r="I2896" s="436" t="s">
        <v>1975</v>
      </c>
      <c r="J2896" s="26" t="s">
        <v>1974</v>
      </c>
      <c r="K2896" s="10">
        <v>18</v>
      </c>
      <c r="L2896" s="73">
        <f>IF(Tank1!$C$23="No control",(SUMIF(Tank1!$B$32:$B$49,$J2896,Tank1!$C$32:$C$49)*Impacts!$F$8),0)</f>
        <v>0</v>
      </c>
      <c r="M2896" s="10">
        <f>IF(Tank2!$C$23="No control",(SUMIF(Tank2!$B$32:$B$49,$J2896,Tank2!$C$32:$C$49)*Impacts!$F$9),0)</f>
        <v>0</v>
      </c>
      <c r="N2896" s="10">
        <f>IF(Tank3!$C$23="No control",(SUMIF(Tank3!$B$32:$B$49,$J2896,Tank3!$C$32:$C$49)*Impacts!$F$10),0)</f>
        <v>0</v>
      </c>
      <c r="O2896" s="10">
        <f>IF(Tank4!$C$23="No control",(SUMIF(Tank4!$B$32:$B$49,$J2896,Tank4!$C$32:$C$49)*Impacts!$F$11),0)</f>
        <v>0</v>
      </c>
      <c r="P2896" s="10">
        <f>IF(Tank5!$C$23="No control",(SUMIF(Tank5!$B$32:$B$49,$J2896,Tank5!$C$32:$C$49)*Impacts!$F$12),0)</f>
        <v>0</v>
      </c>
      <c r="Q2896" s="10">
        <f>IFERROR(IF(('Loading-drum,tote'!$C$21)="No control",SUMIF(('Loading-drum,tote'!$B$31:$B$48),$J2896,('Loading-drum,tote'!$D$31:$D$48))*Impacts!$F$13,IF(('Loading-drum,tote'!$C$21)&lt;&gt;"No control",SUMIF(('Loading-drum,tote'!$B$31:$B$48),$J2896,('Loading-drum,tote'!$E$31:$E$48))*Impacts!$F$13,0)),0)</f>
        <v>0</v>
      </c>
      <c r="R2896" s="10">
        <f>IFERROR(IF(('Loading-truck'!$C$21)="No control",SUMIF(('Loading-truck'!$B$31:$B$48),$J2896,('Loading-truck'!$D$31:$D$48))*Impacts!$F$14,IF(('Loading-truck'!$C$21)&lt;&gt;"No control",SUMIF(('Loading-truck'!$B$31:$B$48),$J2896,('Loading-truck'!$E$31:$E$48))*Impacts!$F$14,0)),0)</f>
        <v>0</v>
      </c>
      <c r="S2896" s="10">
        <f>IFERROR(IF(('Loading-rail'!$C$21)="No control",SUMIF(('Loading-rail'!$B$31:$B$48),$J2896,('Loading-rail'!$D$31:$D$48))*Impacts!$F$15,IF(('Loading-rail'!$C$21)&lt;&gt;"No control",SUMIF(('Loading-rail'!$B$31:$B$48),$J2896,('Loading-rail'!$E$31:$E$48))*Impacts!$F$15,0)),0)</f>
        <v>0</v>
      </c>
      <c r="T2896" s="10">
        <f>IF(Flare!$C$7="",0,(SUMIF(Flare!$B$46:$B$185,$J2896,Flare!$E$46:$E$185)*Impacts!$F$16))</f>
        <v>0</v>
      </c>
      <c r="U2896" s="10">
        <f>IF(VCU!$C$9="",0,(SUMIF(VCU!$B$51:$B$193,$J2896,VCU!$E$51:$E$193)*Impacts!$F$17))</f>
        <v>0</v>
      </c>
      <c r="V2896" s="10">
        <f>IF(CAS!$C$7="",0,(SUMIF(CAS!$B$31:$B$167,$J2896,CAS!$E$31:$E$167)*Impacts!$F$18))</f>
        <v>0</v>
      </c>
      <c r="W2896" s="10">
        <f t="shared" si="85"/>
        <v>0</v>
      </c>
      <c r="AK2896" s="10" t="str">
        <f t="array" ref="AK2896">IFERROR(INDEX(SelectedSpecies,SMALL(IF(SelectedSpecies=AK$1,ROW(SelectedSpecies)),ROW(2897:2897)),2),"")</f>
        <v/>
      </c>
      <c r="BE2896" s="10"/>
      <c r="BI2896" s="10"/>
    </row>
    <row r="2897" spans="1:61" ht="21" customHeight="1" x14ac:dyDescent="0.25">
      <c r="A2897" s="10"/>
      <c r="B2897" s="10"/>
      <c r="E2897" s="10"/>
      <c r="G2897" s="10"/>
      <c r="I2897" s="436" t="s">
        <v>3105</v>
      </c>
      <c r="J2897" s="26" t="s">
        <v>3104</v>
      </c>
      <c r="K2897" s="10">
        <v>10</v>
      </c>
      <c r="L2897" s="73">
        <f>IF(Tank1!$C$23="No control",(SUMIF(Tank1!$B$32:$B$49,$J2897,Tank1!$C$32:$C$49)*Impacts!$F$8),0)</f>
        <v>0</v>
      </c>
      <c r="M2897" s="10">
        <f>IF(Tank2!$C$23="No control",(SUMIF(Tank2!$B$32:$B$49,$J2897,Tank2!$C$32:$C$49)*Impacts!$F$9),0)</f>
        <v>0</v>
      </c>
      <c r="N2897" s="10">
        <f>IF(Tank3!$C$23="No control",(SUMIF(Tank3!$B$32:$B$49,$J2897,Tank3!$C$32:$C$49)*Impacts!$F$10),0)</f>
        <v>0</v>
      </c>
      <c r="O2897" s="10">
        <f>IF(Tank4!$C$23="No control",(SUMIF(Tank4!$B$32:$B$49,$J2897,Tank4!$C$32:$C$49)*Impacts!$F$11),0)</f>
        <v>0</v>
      </c>
      <c r="P2897" s="10">
        <f>IF(Tank5!$C$23="No control",(SUMIF(Tank5!$B$32:$B$49,$J2897,Tank5!$C$32:$C$49)*Impacts!$F$12),0)</f>
        <v>0</v>
      </c>
      <c r="Q2897" s="10">
        <f>IFERROR(IF(('Loading-drum,tote'!$C$21)="No control",SUMIF(('Loading-drum,tote'!$B$31:$B$48),$J2897,('Loading-drum,tote'!$D$31:$D$48))*Impacts!$F$13,IF(('Loading-drum,tote'!$C$21)&lt;&gt;"No control",SUMIF(('Loading-drum,tote'!$B$31:$B$48),$J2897,('Loading-drum,tote'!$E$31:$E$48))*Impacts!$F$13,0)),0)</f>
        <v>0</v>
      </c>
      <c r="R2897" s="10">
        <f>IFERROR(IF(('Loading-truck'!$C$21)="No control",SUMIF(('Loading-truck'!$B$31:$B$48),$J2897,('Loading-truck'!$D$31:$D$48))*Impacts!$F$14,IF(('Loading-truck'!$C$21)&lt;&gt;"No control",SUMIF(('Loading-truck'!$B$31:$B$48),$J2897,('Loading-truck'!$E$31:$E$48))*Impacts!$F$14,0)),0)</f>
        <v>0</v>
      </c>
      <c r="S2897" s="10">
        <f>IFERROR(IF(('Loading-rail'!$C$21)="No control",SUMIF(('Loading-rail'!$B$31:$B$48),$J2897,('Loading-rail'!$D$31:$D$48))*Impacts!$F$15,IF(('Loading-rail'!$C$21)&lt;&gt;"No control",SUMIF(('Loading-rail'!$B$31:$B$48),$J2897,('Loading-rail'!$E$31:$E$48))*Impacts!$F$15,0)),0)</f>
        <v>0</v>
      </c>
      <c r="T2897" s="10">
        <f>IF(Flare!$C$7="",0,(SUMIF(Flare!$B$46:$B$185,$J2897,Flare!$E$46:$E$185)*Impacts!$F$16))</f>
        <v>0</v>
      </c>
      <c r="U2897" s="10">
        <f>IF(VCU!$C$9="",0,(SUMIF(VCU!$B$51:$B$193,$J2897,VCU!$E$51:$E$193)*Impacts!$F$17))</f>
        <v>0</v>
      </c>
      <c r="V2897" s="10">
        <f>IF(CAS!$C$7="",0,(SUMIF(CAS!$B$31:$B$167,$J2897,CAS!$E$31:$E$167)*Impacts!$F$18))</f>
        <v>0</v>
      </c>
      <c r="W2897" s="10">
        <f t="shared" si="85"/>
        <v>0</v>
      </c>
      <c r="AK2897" s="10" t="str">
        <f t="array" ref="AK2897">IFERROR(INDEX(SelectedSpecies,SMALL(IF(SelectedSpecies=AK$1,ROW(SelectedSpecies)),ROW(2898:2898)),2),"")</f>
        <v/>
      </c>
      <c r="BE2897" s="10"/>
      <c r="BI2897" s="10"/>
    </row>
    <row r="2898" spans="1:61" ht="21" customHeight="1" x14ac:dyDescent="0.25">
      <c r="A2898" s="10"/>
      <c r="B2898" s="10"/>
      <c r="E2898" s="10"/>
      <c r="G2898" s="10"/>
      <c r="I2898" s="436" t="s">
        <v>3107</v>
      </c>
      <c r="J2898" s="26" t="s">
        <v>3106</v>
      </c>
      <c r="K2898" s="10">
        <v>10</v>
      </c>
      <c r="L2898" s="73">
        <f>IF(Tank1!$C$23="No control",(SUMIF(Tank1!$B$32:$B$49,$J2898,Tank1!$C$32:$C$49)*Impacts!$F$8),0)</f>
        <v>0</v>
      </c>
      <c r="M2898" s="10">
        <f>IF(Tank2!$C$23="No control",(SUMIF(Tank2!$B$32:$B$49,$J2898,Tank2!$C$32:$C$49)*Impacts!$F$9),0)</f>
        <v>0</v>
      </c>
      <c r="N2898" s="10">
        <f>IF(Tank3!$C$23="No control",(SUMIF(Tank3!$B$32:$B$49,$J2898,Tank3!$C$32:$C$49)*Impacts!$F$10),0)</f>
        <v>0</v>
      </c>
      <c r="O2898" s="10">
        <f>IF(Tank4!$C$23="No control",(SUMIF(Tank4!$B$32:$B$49,$J2898,Tank4!$C$32:$C$49)*Impacts!$F$11),0)</f>
        <v>0</v>
      </c>
      <c r="P2898" s="10">
        <f>IF(Tank5!$C$23="No control",(SUMIF(Tank5!$B$32:$B$49,$J2898,Tank5!$C$32:$C$49)*Impacts!$F$12),0)</f>
        <v>0</v>
      </c>
      <c r="Q2898" s="10">
        <f>IFERROR(IF(('Loading-drum,tote'!$C$21)="No control",SUMIF(('Loading-drum,tote'!$B$31:$B$48),$J2898,('Loading-drum,tote'!$D$31:$D$48))*Impacts!$F$13,IF(('Loading-drum,tote'!$C$21)&lt;&gt;"No control",SUMIF(('Loading-drum,tote'!$B$31:$B$48),$J2898,('Loading-drum,tote'!$E$31:$E$48))*Impacts!$F$13,0)),0)</f>
        <v>0</v>
      </c>
      <c r="R2898" s="10">
        <f>IFERROR(IF(('Loading-truck'!$C$21)="No control",SUMIF(('Loading-truck'!$B$31:$B$48),$J2898,('Loading-truck'!$D$31:$D$48))*Impacts!$F$14,IF(('Loading-truck'!$C$21)&lt;&gt;"No control",SUMIF(('Loading-truck'!$B$31:$B$48),$J2898,('Loading-truck'!$E$31:$E$48))*Impacts!$F$14,0)),0)</f>
        <v>0</v>
      </c>
      <c r="S2898" s="10">
        <f>IFERROR(IF(('Loading-rail'!$C$21)="No control",SUMIF(('Loading-rail'!$B$31:$B$48),$J2898,('Loading-rail'!$D$31:$D$48))*Impacts!$F$15,IF(('Loading-rail'!$C$21)&lt;&gt;"No control",SUMIF(('Loading-rail'!$B$31:$B$48),$J2898,('Loading-rail'!$E$31:$E$48))*Impacts!$F$15,0)),0)</f>
        <v>0</v>
      </c>
      <c r="T2898" s="10">
        <f>IF(Flare!$C$7="",0,(SUMIF(Flare!$B$46:$B$185,$J2898,Flare!$E$46:$E$185)*Impacts!$F$16))</f>
        <v>0</v>
      </c>
      <c r="U2898" s="10">
        <f>IF(VCU!$C$9="",0,(SUMIF(VCU!$B$51:$B$193,$J2898,VCU!$E$51:$E$193)*Impacts!$F$17))</f>
        <v>0</v>
      </c>
      <c r="V2898" s="10">
        <f>IF(CAS!$C$7="",0,(SUMIF(CAS!$B$31:$B$167,$J2898,CAS!$E$31:$E$167)*Impacts!$F$18))</f>
        <v>0</v>
      </c>
      <c r="W2898" s="10">
        <f t="shared" si="85"/>
        <v>0</v>
      </c>
      <c r="AK2898" s="10" t="str">
        <f t="array" ref="AK2898">IFERROR(INDEX(SelectedSpecies,SMALL(IF(SelectedSpecies=AK$1,ROW(SelectedSpecies)),ROW(2899:2899)),2),"")</f>
        <v/>
      </c>
      <c r="BE2898" s="10"/>
      <c r="BI2898" s="10"/>
    </row>
    <row r="2899" spans="1:61" ht="21" customHeight="1" x14ac:dyDescent="0.25">
      <c r="A2899" s="10"/>
      <c r="B2899" s="10"/>
      <c r="E2899" s="10"/>
      <c r="G2899" s="10"/>
      <c r="I2899" s="436" t="s">
        <v>3109</v>
      </c>
      <c r="J2899" s="26" t="s">
        <v>3108</v>
      </c>
      <c r="K2899" s="10">
        <v>10</v>
      </c>
      <c r="L2899" s="73">
        <f>IF(Tank1!$C$23="No control",(SUMIF(Tank1!$B$32:$B$49,$J2899,Tank1!$C$32:$C$49)*Impacts!$F$8),0)</f>
        <v>0</v>
      </c>
      <c r="M2899" s="10">
        <f>IF(Tank2!$C$23="No control",(SUMIF(Tank2!$B$32:$B$49,$J2899,Tank2!$C$32:$C$49)*Impacts!$F$9),0)</f>
        <v>0</v>
      </c>
      <c r="N2899" s="10">
        <f>IF(Tank3!$C$23="No control",(SUMIF(Tank3!$B$32:$B$49,$J2899,Tank3!$C$32:$C$49)*Impacts!$F$10),0)</f>
        <v>0</v>
      </c>
      <c r="O2899" s="10">
        <f>IF(Tank4!$C$23="No control",(SUMIF(Tank4!$B$32:$B$49,$J2899,Tank4!$C$32:$C$49)*Impacts!$F$11),0)</f>
        <v>0</v>
      </c>
      <c r="P2899" s="10">
        <f>IF(Tank5!$C$23="No control",(SUMIF(Tank5!$B$32:$B$49,$J2899,Tank5!$C$32:$C$49)*Impacts!$F$12),0)</f>
        <v>0</v>
      </c>
      <c r="Q2899" s="10">
        <f>IFERROR(IF(('Loading-drum,tote'!$C$21)="No control",SUMIF(('Loading-drum,tote'!$B$31:$B$48),$J2899,('Loading-drum,tote'!$D$31:$D$48))*Impacts!$F$13,IF(('Loading-drum,tote'!$C$21)&lt;&gt;"No control",SUMIF(('Loading-drum,tote'!$B$31:$B$48),$J2899,('Loading-drum,tote'!$E$31:$E$48))*Impacts!$F$13,0)),0)</f>
        <v>0</v>
      </c>
      <c r="R2899" s="10">
        <f>IFERROR(IF(('Loading-truck'!$C$21)="No control",SUMIF(('Loading-truck'!$B$31:$B$48),$J2899,('Loading-truck'!$D$31:$D$48))*Impacts!$F$14,IF(('Loading-truck'!$C$21)&lt;&gt;"No control",SUMIF(('Loading-truck'!$B$31:$B$48),$J2899,('Loading-truck'!$E$31:$E$48))*Impacts!$F$14,0)),0)</f>
        <v>0</v>
      </c>
      <c r="S2899" s="10">
        <f>IFERROR(IF(('Loading-rail'!$C$21)="No control",SUMIF(('Loading-rail'!$B$31:$B$48),$J2899,('Loading-rail'!$D$31:$D$48))*Impacts!$F$15,IF(('Loading-rail'!$C$21)&lt;&gt;"No control",SUMIF(('Loading-rail'!$B$31:$B$48),$J2899,('Loading-rail'!$E$31:$E$48))*Impacts!$F$15,0)),0)</f>
        <v>0</v>
      </c>
      <c r="T2899" s="10">
        <f>IF(Flare!$C$7="",0,(SUMIF(Flare!$B$46:$B$185,$J2899,Flare!$E$46:$E$185)*Impacts!$F$16))</f>
        <v>0</v>
      </c>
      <c r="U2899" s="10">
        <f>IF(VCU!$C$9="",0,(SUMIF(VCU!$B$51:$B$193,$J2899,VCU!$E$51:$E$193)*Impacts!$F$17))</f>
        <v>0</v>
      </c>
      <c r="V2899" s="10">
        <f>IF(CAS!$C$7="",0,(SUMIF(CAS!$B$31:$B$167,$J2899,CAS!$E$31:$E$167)*Impacts!$F$18))</f>
        <v>0</v>
      </c>
      <c r="W2899" s="10">
        <f t="shared" si="85"/>
        <v>0</v>
      </c>
      <c r="AK2899" s="10" t="str">
        <f t="array" ref="AK2899">IFERROR(INDEX(SelectedSpecies,SMALL(IF(SelectedSpecies=AK$1,ROW(SelectedSpecies)),ROW(2900:2900)),2),"")</f>
        <v/>
      </c>
      <c r="BE2899" s="10"/>
      <c r="BI2899" s="10"/>
    </row>
    <row r="2900" spans="1:61" ht="21" customHeight="1" x14ac:dyDescent="0.25">
      <c r="A2900" s="10"/>
      <c r="B2900" s="10"/>
      <c r="E2900" s="10"/>
      <c r="G2900" s="10"/>
      <c r="I2900" s="436" t="s">
        <v>3825</v>
      </c>
      <c r="J2900" s="26" t="s">
        <v>3824</v>
      </c>
      <c r="K2900" s="10">
        <v>6</v>
      </c>
      <c r="L2900" s="73">
        <f>IF(Tank1!$C$23="No control",(SUMIF(Tank1!$B$32:$B$49,$J2900,Tank1!$C$32:$C$49)*Impacts!$F$8),0)</f>
        <v>0</v>
      </c>
      <c r="M2900" s="10">
        <f>IF(Tank2!$C$23="No control",(SUMIF(Tank2!$B$32:$B$49,$J2900,Tank2!$C$32:$C$49)*Impacts!$F$9),0)</f>
        <v>0</v>
      </c>
      <c r="N2900" s="10">
        <f>IF(Tank3!$C$23="No control",(SUMIF(Tank3!$B$32:$B$49,$J2900,Tank3!$C$32:$C$49)*Impacts!$F$10),0)</f>
        <v>0</v>
      </c>
      <c r="O2900" s="10">
        <f>IF(Tank4!$C$23="No control",(SUMIF(Tank4!$B$32:$B$49,$J2900,Tank4!$C$32:$C$49)*Impacts!$F$11),0)</f>
        <v>0</v>
      </c>
      <c r="P2900" s="10">
        <f>IF(Tank5!$C$23="No control",(SUMIF(Tank5!$B$32:$B$49,$J2900,Tank5!$C$32:$C$49)*Impacts!$F$12),0)</f>
        <v>0</v>
      </c>
      <c r="Q2900" s="10">
        <f>IFERROR(IF(('Loading-drum,tote'!$C$21)="No control",SUMIF(('Loading-drum,tote'!$B$31:$B$48),$J2900,('Loading-drum,tote'!$D$31:$D$48))*Impacts!$F$13,IF(('Loading-drum,tote'!$C$21)&lt;&gt;"No control",SUMIF(('Loading-drum,tote'!$B$31:$B$48),$J2900,('Loading-drum,tote'!$E$31:$E$48))*Impacts!$F$13,0)),0)</f>
        <v>0</v>
      </c>
      <c r="R2900" s="10">
        <f>IFERROR(IF(('Loading-truck'!$C$21)="No control",SUMIF(('Loading-truck'!$B$31:$B$48),$J2900,('Loading-truck'!$D$31:$D$48))*Impacts!$F$14,IF(('Loading-truck'!$C$21)&lt;&gt;"No control",SUMIF(('Loading-truck'!$B$31:$B$48),$J2900,('Loading-truck'!$E$31:$E$48))*Impacts!$F$14,0)),0)</f>
        <v>0</v>
      </c>
      <c r="S2900" s="10">
        <f>IFERROR(IF(('Loading-rail'!$C$21)="No control",SUMIF(('Loading-rail'!$B$31:$B$48),$J2900,('Loading-rail'!$D$31:$D$48))*Impacts!$F$15,IF(('Loading-rail'!$C$21)&lt;&gt;"No control",SUMIF(('Loading-rail'!$B$31:$B$48),$J2900,('Loading-rail'!$E$31:$E$48))*Impacts!$F$15,0)),0)</f>
        <v>0</v>
      </c>
      <c r="T2900" s="10">
        <f>IF(Flare!$C$7="",0,(SUMIF(Flare!$B$46:$B$185,$J2900,Flare!$E$46:$E$185)*Impacts!$F$16))</f>
        <v>0</v>
      </c>
      <c r="U2900" s="10">
        <f>IF(VCU!$C$9="",0,(SUMIF(VCU!$B$51:$B$193,$J2900,VCU!$E$51:$E$193)*Impacts!$F$17))</f>
        <v>0</v>
      </c>
      <c r="V2900" s="10">
        <f>IF(CAS!$C$7="",0,(SUMIF(CAS!$B$31:$B$167,$J2900,CAS!$E$31:$E$167)*Impacts!$F$18))</f>
        <v>0</v>
      </c>
      <c r="W2900" s="10">
        <f t="shared" si="85"/>
        <v>0</v>
      </c>
      <c r="AK2900" s="10" t="str">
        <f t="array" ref="AK2900">IFERROR(INDEX(SelectedSpecies,SMALL(IF(SelectedSpecies=AK$1,ROW(SelectedSpecies)),ROW(2901:2901)),2),"")</f>
        <v/>
      </c>
      <c r="BE2900" s="10"/>
      <c r="BI2900" s="10"/>
    </row>
    <row r="2901" spans="1:61" ht="21" customHeight="1" x14ac:dyDescent="0.25">
      <c r="A2901" s="10"/>
      <c r="B2901" s="10"/>
      <c r="E2901" s="10"/>
      <c r="G2901" s="10"/>
      <c r="I2901" s="436" t="s">
        <v>3827</v>
      </c>
      <c r="J2901" s="26" t="s">
        <v>3826</v>
      </c>
      <c r="K2901" s="10">
        <v>6</v>
      </c>
      <c r="L2901" s="73">
        <f>IF(Tank1!$C$23="No control",(SUMIF(Tank1!$B$32:$B$49,$J2901,Tank1!$C$32:$C$49)*Impacts!$F$8),0)</f>
        <v>0</v>
      </c>
      <c r="M2901" s="10">
        <f>IF(Tank2!$C$23="No control",(SUMIF(Tank2!$B$32:$B$49,$J2901,Tank2!$C$32:$C$49)*Impacts!$F$9),0)</f>
        <v>0</v>
      </c>
      <c r="N2901" s="10">
        <f>IF(Tank3!$C$23="No control",(SUMIF(Tank3!$B$32:$B$49,$J2901,Tank3!$C$32:$C$49)*Impacts!$F$10),0)</f>
        <v>0</v>
      </c>
      <c r="O2901" s="10">
        <f>IF(Tank4!$C$23="No control",(SUMIF(Tank4!$B$32:$B$49,$J2901,Tank4!$C$32:$C$49)*Impacts!$F$11),0)</f>
        <v>0</v>
      </c>
      <c r="P2901" s="10">
        <f>IF(Tank5!$C$23="No control",(SUMIF(Tank5!$B$32:$B$49,$J2901,Tank5!$C$32:$C$49)*Impacts!$F$12),0)</f>
        <v>0</v>
      </c>
      <c r="Q2901" s="10">
        <f>IFERROR(IF(('Loading-drum,tote'!$C$21)="No control",SUMIF(('Loading-drum,tote'!$B$31:$B$48),$J2901,('Loading-drum,tote'!$D$31:$D$48))*Impacts!$F$13,IF(('Loading-drum,tote'!$C$21)&lt;&gt;"No control",SUMIF(('Loading-drum,tote'!$B$31:$B$48),$J2901,('Loading-drum,tote'!$E$31:$E$48))*Impacts!$F$13,0)),0)</f>
        <v>0</v>
      </c>
      <c r="R2901" s="10">
        <f>IFERROR(IF(('Loading-truck'!$C$21)="No control",SUMIF(('Loading-truck'!$B$31:$B$48),$J2901,('Loading-truck'!$D$31:$D$48))*Impacts!$F$14,IF(('Loading-truck'!$C$21)&lt;&gt;"No control",SUMIF(('Loading-truck'!$B$31:$B$48),$J2901,('Loading-truck'!$E$31:$E$48))*Impacts!$F$14,0)),0)</f>
        <v>0</v>
      </c>
      <c r="S2901" s="10">
        <f>IFERROR(IF(('Loading-rail'!$C$21)="No control",SUMIF(('Loading-rail'!$B$31:$B$48),$J2901,('Loading-rail'!$D$31:$D$48))*Impacts!$F$15,IF(('Loading-rail'!$C$21)&lt;&gt;"No control",SUMIF(('Loading-rail'!$B$31:$B$48),$J2901,('Loading-rail'!$E$31:$E$48))*Impacts!$F$15,0)),0)</f>
        <v>0</v>
      </c>
      <c r="T2901" s="10">
        <f>IF(Flare!$C$7="",0,(SUMIF(Flare!$B$46:$B$185,$J2901,Flare!$E$46:$E$185)*Impacts!$F$16))</f>
        <v>0</v>
      </c>
      <c r="U2901" s="10">
        <f>IF(VCU!$C$9="",0,(SUMIF(VCU!$B$51:$B$193,$J2901,VCU!$E$51:$E$193)*Impacts!$F$17))</f>
        <v>0</v>
      </c>
      <c r="V2901" s="10">
        <f>IF(CAS!$C$7="",0,(SUMIF(CAS!$B$31:$B$167,$J2901,CAS!$E$31:$E$167)*Impacts!$F$18))</f>
        <v>0</v>
      </c>
      <c r="W2901" s="10">
        <f t="shared" si="85"/>
        <v>0</v>
      </c>
      <c r="AK2901" s="10" t="str">
        <f t="array" ref="AK2901">IFERROR(INDEX(SelectedSpecies,SMALL(IF(SelectedSpecies=AK$1,ROW(SelectedSpecies)),ROW(2902:2902)),2),"")</f>
        <v/>
      </c>
      <c r="BE2901" s="10"/>
      <c r="BI2901" s="10"/>
    </row>
    <row r="2902" spans="1:61" ht="21" customHeight="1" x14ac:dyDescent="0.25">
      <c r="A2902" s="10"/>
      <c r="B2902" s="10"/>
      <c r="E2902" s="10"/>
      <c r="G2902" s="10"/>
      <c r="I2902" s="436" t="s">
        <v>3829</v>
      </c>
      <c r="J2902" s="26" t="s">
        <v>3828</v>
      </c>
      <c r="K2902" s="10">
        <v>6</v>
      </c>
      <c r="L2902" s="73">
        <f>IF(Tank1!$C$23="No control",(SUMIF(Tank1!$B$32:$B$49,$J2902,Tank1!$C$32:$C$49)*Impacts!$F$8),0)</f>
        <v>0</v>
      </c>
      <c r="M2902" s="10">
        <f>IF(Tank2!$C$23="No control",(SUMIF(Tank2!$B$32:$B$49,$J2902,Tank2!$C$32:$C$49)*Impacts!$F$9),0)</f>
        <v>0</v>
      </c>
      <c r="N2902" s="10">
        <f>IF(Tank3!$C$23="No control",(SUMIF(Tank3!$B$32:$B$49,$J2902,Tank3!$C$32:$C$49)*Impacts!$F$10),0)</f>
        <v>0</v>
      </c>
      <c r="O2902" s="10">
        <f>IF(Tank4!$C$23="No control",(SUMIF(Tank4!$B$32:$B$49,$J2902,Tank4!$C$32:$C$49)*Impacts!$F$11),0)</f>
        <v>0</v>
      </c>
      <c r="P2902" s="10">
        <f>IF(Tank5!$C$23="No control",(SUMIF(Tank5!$B$32:$B$49,$J2902,Tank5!$C$32:$C$49)*Impacts!$F$12),0)</f>
        <v>0</v>
      </c>
      <c r="Q2902" s="10">
        <f>IFERROR(IF(('Loading-drum,tote'!$C$21)="No control",SUMIF(('Loading-drum,tote'!$B$31:$B$48),$J2902,('Loading-drum,tote'!$D$31:$D$48))*Impacts!$F$13,IF(('Loading-drum,tote'!$C$21)&lt;&gt;"No control",SUMIF(('Loading-drum,tote'!$B$31:$B$48),$J2902,('Loading-drum,tote'!$E$31:$E$48))*Impacts!$F$13,0)),0)</f>
        <v>0</v>
      </c>
      <c r="R2902" s="10">
        <f>IFERROR(IF(('Loading-truck'!$C$21)="No control",SUMIF(('Loading-truck'!$B$31:$B$48),$J2902,('Loading-truck'!$D$31:$D$48))*Impacts!$F$14,IF(('Loading-truck'!$C$21)&lt;&gt;"No control",SUMIF(('Loading-truck'!$B$31:$B$48),$J2902,('Loading-truck'!$E$31:$E$48))*Impacts!$F$14,0)),0)</f>
        <v>0</v>
      </c>
      <c r="S2902" s="10">
        <f>IFERROR(IF(('Loading-rail'!$C$21)="No control",SUMIF(('Loading-rail'!$B$31:$B$48),$J2902,('Loading-rail'!$D$31:$D$48))*Impacts!$F$15,IF(('Loading-rail'!$C$21)&lt;&gt;"No control",SUMIF(('Loading-rail'!$B$31:$B$48),$J2902,('Loading-rail'!$E$31:$E$48))*Impacts!$F$15,0)),0)</f>
        <v>0</v>
      </c>
      <c r="T2902" s="10">
        <f>IF(Flare!$C$7="",0,(SUMIF(Flare!$B$46:$B$185,$J2902,Flare!$E$46:$E$185)*Impacts!$F$16))</f>
        <v>0</v>
      </c>
      <c r="U2902" s="10">
        <f>IF(VCU!$C$9="",0,(SUMIF(VCU!$B$51:$B$193,$J2902,VCU!$E$51:$E$193)*Impacts!$F$17))</f>
        <v>0</v>
      </c>
      <c r="V2902" s="10">
        <f>IF(CAS!$C$7="",0,(SUMIF(CAS!$B$31:$B$167,$J2902,CAS!$E$31:$E$167)*Impacts!$F$18))</f>
        <v>0</v>
      </c>
      <c r="W2902" s="10">
        <f t="shared" si="85"/>
        <v>0</v>
      </c>
      <c r="AK2902" s="10" t="str">
        <f t="array" ref="AK2902">IFERROR(INDEX(SelectedSpecies,SMALL(IF(SelectedSpecies=AK$1,ROW(SelectedSpecies)),ROW(2903:2903)),2),"")</f>
        <v/>
      </c>
      <c r="BE2902" s="10"/>
      <c r="BI2902" s="10"/>
    </row>
    <row r="2903" spans="1:61" ht="21" customHeight="1" x14ac:dyDescent="0.25">
      <c r="A2903" s="10"/>
      <c r="B2903" s="10"/>
      <c r="E2903" s="10"/>
      <c r="G2903" s="10"/>
      <c r="I2903" s="436" t="s">
        <v>3111</v>
      </c>
      <c r="J2903" s="26" t="s">
        <v>3110</v>
      </c>
      <c r="K2903" s="10">
        <v>10</v>
      </c>
      <c r="L2903" s="73">
        <f>IF(Tank1!$C$23="No control",(SUMIF(Tank1!$B$32:$B$49,$J2903,Tank1!$C$32:$C$49)*Impacts!$F$8),0)</f>
        <v>0</v>
      </c>
      <c r="M2903" s="10">
        <f>IF(Tank2!$C$23="No control",(SUMIF(Tank2!$B$32:$B$49,$J2903,Tank2!$C$32:$C$49)*Impacts!$F$9),0)</f>
        <v>0</v>
      </c>
      <c r="N2903" s="10">
        <f>IF(Tank3!$C$23="No control",(SUMIF(Tank3!$B$32:$B$49,$J2903,Tank3!$C$32:$C$49)*Impacts!$F$10),0)</f>
        <v>0</v>
      </c>
      <c r="O2903" s="10">
        <f>IF(Tank4!$C$23="No control",(SUMIF(Tank4!$B$32:$B$49,$J2903,Tank4!$C$32:$C$49)*Impacts!$F$11),0)</f>
        <v>0</v>
      </c>
      <c r="P2903" s="10">
        <f>IF(Tank5!$C$23="No control",(SUMIF(Tank5!$B$32:$B$49,$J2903,Tank5!$C$32:$C$49)*Impacts!$F$12),0)</f>
        <v>0</v>
      </c>
      <c r="Q2903" s="10">
        <f>IFERROR(IF(('Loading-drum,tote'!$C$21)="No control",SUMIF(('Loading-drum,tote'!$B$31:$B$48),$J2903,('Loading-drum,tote'!$D$31:$D$48))*Impacts!$F$13,IF(('Loading-drum,tote'!$C$21)&lt;&gt;"No control",SUMIF(('Loading-drum,tote'!$B$31:$B$48),$J2903,('Loading-drum,tote'!$E$31:$E$48))*Impacts!$F$13,0)),0)</f>
        <v>0</v>
      </c>
      <c r="R2903" s="10">
        <f>IFERROR(IF(('Loading-truck'!$C$21)="No control",SUMIF(('Loading-truck'!$B$31:$B$48),$J2903,('Loading-truck'!$D$31:$D$48))*Impacts!$F$14,IF(('Loading-truck'!$C$21)&lt;&gt;"No control",SUMIF(('Loading-truck'!$B$31:$B$48),$J2903,('Loading-truck'!$E$31:$E$48))*Impacts!$F$14,0)),0)</f>
        <v>0</v>
      </c>
      <c r="S2903" s="10">
        <f>IFERROR(IF(('Loading-rail'!$C$21)="No control",SUMIF(('Loading-rail'!$B$31:$B$48),$J2903,('Loading-rail'!$D$31:$D$48))*Impacts!$F$15,IF(('Loading-rail'!$C$21)&lt;&gt;"No control",SUMIF(('Loading-rail'!$B$31:$B$48),$J2903,('Loading-rail'!$E$31:$E$48))*Impacts!$F$15,0)),0)</f>
        <v>0</v>
      </c>
      <c r="T2903" s="10">
        <f>IF(Flare!$C$7="",0,(SUMIF(Flare!$B$46:$B$185,$J2903,Flare!$E$46:$E$185)*Impacts!$F$16))</f>
        <v>0</v>
      </c>
      <c r="U2903" s="10">
        <f>IF(VCU!$C$9="",0,(SUMIF(VCU!$B$51:$B$193,$J2903,VCU!$E$51:$E$193)*Impacts!$F$17))</f>
        <v>0</v>
      </c>
      <c r="V2903" s="10">
        <f>IF(CAS!$C$7="",0,(SUMIF(CAS!$B$31:$B$167,$J2903,CAS!$E$31:$E$167)*Impacts!$F$18))</f>
        <v>0</v>
      </c>
      <c r="W2903" s="10">
        <f t="shared" si="85"/>
        <v>0</v>
      </c>
      <c r="AK2903" s="10" t="str">
        <f t="array" ref="AK2903">IFERROR(INDEX(SelectedSpecies,SMALL(IF(SelectedSpecies=AK$1,ROW(SelectedSpecies)),ROW(2904:2904)),2),"")</f>
        <v/>
      </c>
      <c r="BE2903" s="10"/>
      <c r="BI2903" s="10"/>
    </row>
    <row r="2904" spans="1:61" ht="21" customHeight="1" x14ac:dyDescent="0.25">
      <c r="A2904" s="10"/>
      <c r="B2904" s="10"/>
      <c r="E2904" s="10"/>
      <c r="G2904" s="10"/>
      <c r="I2904" s="436" t="s">
        <v>3113</v>
      </c>
      <c r="J2904" s="26" t="s">
        <v>3112</v>
      </c>
      <c r="K2904" s="10">
        <v>10</v>
      </c>
      <c r="L2904" s="73">
        <f>IF(Tank1!$C$23="No control",(SUMIF(Tank1!$B$32:$B$49,$J2904,Tank1!$C$32:$C$49)*Impacts!$F$8),0)</f>
        <v>0</v>
      </c>
      <c r="M2904" s="10">
        <f>IF(Tank2!$C$23="No control",(SUMIF(Tank2!$B$32:$B$49,$J2904,Tank2!$C$32:$C$49)*Impacts!$F$9),0)</f>
        <v>0</v>
      </c>
      <c r="N2904" s="10">
        <f>IF(Tank3!$C$23="No control",(SUMIF(Tank3!$B$32:$B$49,$J2904,Tank3!$C$32:$C$49)*Impacts!$F$10),0)</f>
        <v>0</v>
      </c>
      <c r="O2904" s="10">
        <f>IF(Tank4!$C$23="No control",(SUMIF(Tank4!$B$32:$B$49,$J2904,Tank4!$C$32:$C$49)*Impacts!$F$11),0)</f>
        <v>0</v>
      </c>
      <c r="P2904" s="10">
        <f>IF(Tank5!$C$23="No control",(SUMIF(Tank5!$B$32:$B$49,$J2904,Tank5!$C$32:$C$49)*Impacts!$F$12),0)</f>
        <v>0</v>
      </c>
      <c r="Q2904" s="10">
        <f>IFERROR(IF(('Loading-drum,tote'!$C$21)="No control",SUMIF(('Loading-drum,tote'!$B$31:$B$48),$J2904,('Loading-drum,tote'!$D$31:$D$48))*Impacts!$F$13,IF(('Loading-drum,tote'!$C$21)&lt;&gt;"No control",SUMIF(('Loading-drum,tote'!$B$31:$B$48),$J2904,('Loading-drum,tote'!$E$31:$E$48))*Impacts!$F$13,0)),0)</f>
        <v>0</v>
      </c>
      <c r="R2904" s="10">
        <f>IFERROR(IF(('Loading-truck'!$C$21)="No control",SUMIF(('Loading-truck'!$B$31:$B$48),$J2904,('Loading-truck'!$D$31:$D$48))*Impacts!$F$14,IF(('Loading-truck'!$C$21)&lt;&gt;"No control",SUMIF(('Loading-truck'!$B$31:$B$48),$J2904,('Loading-truck'!$E$31:$E$48))*Impacts!$F$14,0)),0)</f>
        <v>0</v>
      </c>
      <c r="S2904" s="10">
        <f>IFERROR(IF(('Loading-rail'!$C$21)="No control",SUMIF(('Loading-rail'!$B$31:$B$48),$J2904,('Loading-rail'!$D$31:$D$48))*Impacts!$F$15,IF(('Loading-rail'!$C$21)&lt;&gt;"No control",SUMIF(('Loading-rail'!$B$31:$B$48),$J2904,('Loading-rail'!$E$31:$E$48))*Impacts!$F$15,0)),0)</f>
        <v>0</v>
      </c>
      <c r="T2904" s="10">
        <f>IF(Flare!$C$7="",0,(SUMIF(Flare!$B$46:$B$185,$J2904,Flare!$E$46:$E$185)*Impacts!$F$16))</f>
        <v>0</v>
      </c>
      <c r="U2904" s="10">
        <f>IF(VCU!$C$9="",0,(SUMIF(VCU!$B$51:$B$193,$J2904,VCU!$E$51:$E$193)*Impacts!$F$17))</f>
        <v>0</v>
      </c>
      <c r="V2904" s="10">
        <f>IF(CAS!$C$7="",0,(SUMIF(CAS!$B$31:$B$167,$J2904,CAS!$E$31:$E$167)*Impacts!$F$18))</f>
        <v>0</v>
      </c>
      <c r="W2904" s="10">
        <f t="shared" si="85"/>
        <v>0</v>
      </c>
      <c r="AK2904" s="10" t="str">
        <f t="array" ref="AK2904">IFERROR(INDEX(SelectedSpecies,SMALL(IF(SelectedSpecies=AK$1,ROW(SelectedSpecies)),ROW(2905:2905)),2),"")</f>
        <v/>
      </c>
      <c r="BE2904" s="10"/>
      <c r="BI2904" s="10"/>
    </row>
    <row r="2905" spans="1:61" ht="21" customHeight="1" x14ac:dyDescent="0.25">
      <c r="A2905" s="10"/>
      <c r="B2905" s="10"/>
      <c r="E2905" s="10"/>
      <c r="G2905" s="10"/>
      <c r="I2905" s="436" t="s">
        <v>3981</v>
      </c>
      <c r="J2905" s="26" t="s">
        <v>3980</v>
      </c>
      <c r="K2905" s="10">
        <v>6</v>
      </c>
      <c r="L2905" s="73">
        <f>IF(Tank1!$C$23="No control",(SUMIF(Tank1!$B$32:$B$49,$J2905,Tank1!$C$32:$C$49)*Impacts!$F$8),0)</f>
        <v>0</v>
      </c>
      <c r="M2905" s="10">
        <f>IF(Tank2!$C$23="No control",(SUMIF(Tank2!$B$32:$B$49,$J2905,Tank2!$C$32:$C$49)*Impacts!$F$9),0)</f>
        <v>0</v>
      </c>
      <c r="N2905" s="10">
        <f>IF(Tank3!$C$23="No control",(SUMIF(Tank3!$B$32:$B$49,$J2905,Tank3!$C$32:$C$49)*Impacts!$F$10),0)</f>
        <v>0</v>
      </c>
      <c r="O2905" s="10">
        <f>IF(Tank4!$C$23="No control",(SUMIF(Tank4!$B$32:$B$49,$J2905,Tank4!$C$32:$C$49)*Impacts!$F$11),0)</f>
        <v>0</v>
      </c>
      <c r="P2905" s="10">
        <f>IF(Tank5!$C$23="No control",(SUMIF(Tank5!$B$32:$B$49,$J2905,Tank5!$C$32:$C$49)*Impacts!$F$12),0)</f>
        <v>0</v>
      </c>
      <c r="Q2905" s="10">
        <f>IFERROR(IF(('Loading-drum,tote'!$C$21)="No control",SUMIF(('Loading-drum,tote'!$B$31:$B$48),$J2905,('Loading-drum,tote'!$D$31:$D$48))*Impacts!$F$13,IF(('Loading-drum,tote'!$C$21)&lt;&gt;"No control",SUMIF(('Loading-drum,tote'!$B$31:$B$48),$J2905,('Loading-drum,tote'!$E$31:$E$48))*Impacts!$F$13,0)),0)</f>
        <v>0</v>
      </c>
      <c r="R2905" s="10">
        <f>IFERROR(IF(('Loading-truck'!$C$21)="No control",SUMIF(('Loading-truck'!$B$31:$B$48),$J2905,('Loading-truck'!$D$31:$D$48))*Impacts!$F$14,IF(('Loading-truck'!$C$21)&lt;&gt;"No control",SUMIF(('Loading-truck'!$B$31:$B$48),$J2905,('Loading-truck'!$E$31:$E$48))*Impacts!$F$14,0)),0)</f>
        <v>0</v>
      </c>
      <c r="S2905" s="10">
        <f>IFERROR(IF(('Loading-rail'!$C$21)="No control",SUMIF(('Loading-rail'!$B$31:$B$48),$J2905,('Loading-rail'!$D$31:$D$48))*Impacts!$F$15,IF(('Loading-rail'!$C$21)&lt;&gt;"No control",SUMIF(('Loading-rail'!$B$31:$B$48),$J2905,('Loading-rail'!$E$31:$E$48))*Impacts!$F$15,0)),0)</f>
        <v>0</v>
      </c>
      <c r="T2905" s="10">
        <f>IF(Flare!$C$7="",0,(SUMIF(Flare!$B$46:$B$185,$J2905,Flare!$E$46:$E$185)*Impacts!$F$16))</f>
        <v>0</v>
      </c>
      <c r="U2905" s="10">
        <f>IF(VCU!$C$9="",0,(SUMIF(VCU!$B$51:$B$193,$J2905,VCU!$E$51:$E$193)*Impacts!$F$17))</f>
        <v>0</v>
      </c>
      <c r="V2905" s="10">
        <f>IF(CAS!$C$7="",0,(SUMIF(CAS!$B$31:$B$167,$J2905,CAS!$E$31:$E$167)*Impacts!$F$18))</f>
        <v>0</v>
      </c>
      <c r="W2905" s="10">
        <f t="shared" si="85"/>
        <v>0</v>
      </c>
      <c r="AK2905" s="10" t="str">
        <f t="array" ref="AK2905">IFERROR(INDEX(SelectedSpecies,SMALL(IF(SelectedSpecies=AK$1,ROW(SelectedSpecies)),ROW(2906:2906)),2),"")</f>
        <v/>
      </c>
      <c r="BE2905" s="10"/>
      <c r="BI2905" s="10"/>
    </row>
    <row r="2906" spans="1:61" ht="21" customHeight="1" x14ac:dyDescent="0.25">
      <c r="A2906" s="10"/>
      <c r="B2906" s="10"/>
      <c r="E2906" s="10"/>
      <c r="G2906" s="10"/>
      <c r="I2906" s="436" t="s">
        <v>4583</v>
      </c>
      <c r="J2906" s="26" t="s">
        <v>4582</v>
      </c>
      <c r="K2906" s="10">
        <v>4</v>
      </c>
      <c r="L2906" s="73">
        <f>IF(Tank1!$C$23="No control",(SUMIF(Tank1!$B$32:$B$49,$J2906,Tank1!$C$32:$C$49)*Impacts!$F$8),0)</f>
        <v>0</v>
      </c>
      <c r="M2906" s="10">
        <f>IF(Tank2!$C$23="No control",(SUMIF(Tank2!$B$32:$B$49,$J2906,Tank2!$C$32:$C$49)*Impacts!$F$9),0)</f>
        <v>0</v>
      </c>
      <c r="N2906" s="10">
        <f>IF(Tank3!$C$23="No control",(SUMIF(Tank3!$B$32:$B$49,$J2906,Tank3!$C$32:$C$49)*Impacts!$F$10),0)</f>
        <v>0</v>
      </c>
      <c r="O2906" s="10">
        <f>IF(Tank4!$C$23="No control",(SUMIF(Tank4!$B$32:$B$49,$J2906,Tank4!$C$32:$C$49)*Impacts!$F$11),0)</f>
        <v>0</v>
      </c>
      <c r="P2906" s="10">
        <f>IF(Tank5!$C$23="No control",(SUMIF(Tank5!$B$32:$B$49,$J2906,Tank5!$C$32:$C$49)*Impacts!$F$12),0)</f>
        <v>0</v>
      </c>
      <c r="Q2906" s="10">
        <f>IFERROR(IF(('Loading-drum,tote'!$C$21)="No control",SUMIF(('Loading-drum,tote'!$B$31:$B$48),$J2906,('Loading-drum,tote'!$D$31:$D$48))*Impacts!$F$13,IF(('Loading-drum,tote'!$C$21)&lt;&gt;"No control",SUMIF(('Loading-drum,tote'!$B$31:$B$48),$J2906,('Loading-drum,tote'!$E$31:$E$48))*Impacts!$F$13,0)),0)</f>
        <v>0</v>
      </c>
      <c r="R2906" s="10">
        <f>IFERROR(IF(('Loading-truck'!$C$21)="No control",SUMIF(('Loading-truck'!$B$31:$B$48),$J2906,('Loading-truck'!$D$31:$D$48))*Impacts!$F$14,IF(('Loading-truck'!$C$21)&lt;&gt;"No control",SUMIF(('Loading-truck'!$B$31:$B$48),$J2906,('Loading-truck'!$E$31:$E$48))*Impacts!$F$14,0)),0)</f>
        <v>0</v>
      </c>
      <c r="S2906" s="10">
        <f>IFERROR(IF(('Loading-rail'!$C$21)="No control",SUMIF(('Loading-rail'!$B$31:$B$48),$J2906,('Loading-rail'!$D$31:$D$48))*Impacts!$F$15,IF(('Loading-rail'!$C$21)&lt;&gt;"No control",SUMIF(('Loading-rail'!$B$31:$B$48),$J2906,('Loading-rail'!$E$31:$E$48))*Impacts!$F$15,0)),0)</f>
        <v>0</v>
      </c>
      <c r="T2906" s="10">
        <f>IF(Flare!$C$7="",0,(SUMIF(Flare!$B$46:$B$185,$J2906,Flare!$E$46:$E$185)*Impacts!$F$16))</f>
        <v>0</v>
      </c>
      <c r="U2906" s="10">
        <f>IF(VCU!$C$9="",0,(SUMIF(VCU!$B$51:$B$193,$J2906,VCU!$E$51:$E$193)*Impacts!$F$17))</f>
        <v>0</v>
      </c>
      <c r="V2906" s="10">
        <f>IF(CAS!$C$7="",0,(SUMIF(CAS!$B$31:$B$167,$J2906,CAS!$E$31:$E$167)*Impacts!$F$18))</f>
        <v>0</v>
      </c>
      <c r="W2906" s="10">
        <f t="shared" ref="W2906:W2969" si="86">SUM(L2906:V2906)</f>
        <v>0</v>
      </c>
      <c r="AK2906" s="10" t="str">
        <f t="array" ref="AK2906">IFERROR(INDEX(SelectedSpecies,SMALL(IF(SelectedSpecies=AK$1,ROW(SelectedSpecies)),ROW(2907:2907)),2),"")</f>
        <v/>
      </c>
      <c r="BE2906" s="10"/>
      <c r="BI2906" s="10"/>
    </row>
    <row r="2907" spans="1:61" ht="21" customHeight="1" x14ac:dyDescent="0.25">
      <c r="A2907" s="10"/>
      <c r="B2907" s="10"/>
      <c r="E2907" s="10"/>
      <c r="G2907" s="10"/>
      <c r="I2907" s="436" t="s">
        <v>3115</v>
      </c>
      <c r="J2907" s="26" t="s">
        <v>3114</v>
      </c>
      <c r="K2907" s="10">
        <v>10</v>
      </c>
      <c r="L2907" s="73">
        <f>IF(Tank1!$C$23="No control",(SUMIF(Tank1!$B$32:$B$49,$J2907,Tank1!$C$32:$C$49)*Impacts!$F$8),0)</f>
        <v>0</v>
      </c>
      <c r="M2907" s="10">
        <f>IF(Tank2!$C$23="No control",(SUMIF(Tank2!$B$32:$B$49,$J2907,Tank2!$C$32:$C$49)*Impacts!$F$9),0)</f>
        <v>0</v>
      </c>
      <c r="N2907" s="10">
        <f>IF(Tank3!$C$23="No control",(SUMIF(Tank3!$B$32:$B$49,$J2907,Tank3!$C$32:$C$49)*Impacts!$F$10),0)</f>
        <v>0</v>
      </c>
      <c r="O2907" s="10">
        <f>IF(Tank4!$C$23="No control",(SUMIF(Tank4!$B$32:$B$49,$J2907,Tank4!$C$32:$C$49)*Impacts!$F$11),0)</f>
        <v>0</v>
      </c>
      <c r="P2907" s="10">
        <f>IF(Tank5!$C$23="No control",(SUMIF(Tank5!$B$32:$B$49,$J2907,Tank5!$C$32:$C$49)*Impacts!$F$12),0)</f>
        <v>0</v>
      </c>
      <c r="Q2907" s="10">
        <f>IFERROR(IF(('Loading-drum,tote'!$C$21)="No control",SUMIF(('Loading-drum,tote'!$B$31:$B$48),$J2907,('Loading-drum,tote'!$D$31:$D$48))*Impacts!$F$13,IF(('Loading-drum,tote'!$C$21)&lt;&gt;"No control",SUMIF(('Loading-drum,tote'!$B$31:$B$48),$J2907,('Loading-drum,tote'!$E$31:$E$48))*Impacts!$F$13,0)),0)</f>
        <v>0</v>
      </c>
      <c r="R2907" s="10">
        <f>IFERROR(IF(('Loading-truck'!$C$21)="No control",SUMIF(('Loading-truck'!$B$31:$B$48),$J2907,('Loading-truck'!$D$31:$D$48))*Impacts!$F$14,IF(('Loading-truck'!$C$21)&lt;&gt;"No control",SUMIF(('Loading-truck'!$B$31:$B$48),$J2907,('Loading-truck'!$E$31:$E$48))*Impacts!$F$14,0)),0)</f>
        <v>0</v>
      </c>
      <c r="S2907" s="10">
        <f>IFERROR(IF(('Loading-rail'!$C$21)="No control",SUMIF(('Loading-rail'!$B$31:$B$48),$J2907,('Loading-rail'!$D$31:$D$48))*Impacts!$F$15,IF(('Loading-rail'!$C$21)&lt;&gt;"No control",SUMIF(('Loading-rail'!$B$31:$B$48),$J2907,('Loading-rail'!$E$31:$E$48))*Impacts!$F$15,0)),0)</f>
        <v>0</v>
      </c>
      <c r="T2907" s="10">
        <f>IF(Flare!$C$7="",0,(SUMIF(Flare!$B$46:$B$185,$J2907,Flare!$E$46:$E$185)*Impacts!$F$16))</f>
        <v>0</v>
      </c>
      <c r="U2907" s="10">
        <f>IF(VCU!$C$9="",0,(SUMIF(VCU!$B$51:$B$193,$J2907,VCU!$E$51:$E$193)*Impacts!$F$17))</f>
        <v>0</v>
      </c>
      <c r="V2907" s="10">
        <f>IF(CAS!$C$7="",0,(SUMIF(CAS!$B$31:$B$167,$J2907,CAS!$E$31:$E$167)*Impacts!$F$18))</f>
        <v>0</v>
      </c>
      <c r="W2907" s="10">
        <f t="shared" si="86"/>
        <v>0</v>
      </c>
      <c r="AK2907" s="10" t="str">
        <f t="array" ref="AK2907">IFERROR(INDEX(SelectedSpecies,SMALL(IF(SelectedSpecies=AK$1,ROW(SelectedSpecies)),ROW(2908:2908)),2),"")</f>
        <v/>
      </c>
      <c r="BE2907" s="10"/>
      <c r="BI2907" s="10"/>
    </row>
    <row r="2908" spans="1:61" ht="21" customHeight="1" x14ac:dyDescent="0.25">
      <c r="A2908" s="10"/>
      <c r="B2908" s="10"/>
      <c r="E2908" s="10"/>
      <c r="G2908" s="10"/>
      <c r="I2908" s="436" t="s">
        <v>3117</v>
      </c>
      <c r="J2908" s="26" t="s">
        <v>3116</v>
      </c>
      <c r="K2908" s="10">
        <v>10</v>
      </c>
      <c r="L2908" s="73">
        <f>IF(Tank1!$C$23="No control",(SUMIF(Tank1!$B$32:$B$49,$J2908,Tank1!$C$32:$C$49)*Impacts!$F$8),0)</f>
        <v>0</v>
      </c>
      <c r="M2908" s="10">
        <f>IF(Tank2!$C$23="No control",(SUMIF(Tank2!$B$32:$B$49,$J2908,Tank2!$C$32:$C$49)*Impacts!$F$9),0)</f>
        <v>0</v>
      </c>
      <c r="N2908" s="10">
        <f>IF(Tank3!$C$23="No control",(SUMIF(Tank3!$B$32:$B$49,$J2908,Tank3!$C$32:$C$49)*Impacts!$F$10),0)</f>
        <v>0</v>
      </c>
      <c r="O2908" s="10">
        <f>IF(Tank4!$C$23="No control",(SUMIF(Tank4!$B$32:$B$49,$J2908,Tank4!$C$32:$C$49)*Impacts!$F$11),0)</f>
        <v>0</v>
      </c>
      <c r="P2908" s="10">
        <f>IF(Tank5!$C$23="No control",(SUMIF(Tank5!$B$32:$B$49,$J2908,Tank5!$C$32:$C$49)*Impacts!$F$12),0)</f>
        <v>0</v>
      </c>
      <c r="Q2908" s="10">
        <f>IFERROR(IF(('Loading-drum,tote'!$C$21)="No control",SUMIF(('Loading-drum,tote'!$B$31:$B$48),$J2908,('Loading-drum,tote'!$D$31:$D$48))*Impacts!$F$13,IF(('Loading-drum,tote'!$C$21)&lt;&gt;"No control",SUMIF(('Loading-drum,tote'!$B$31:$B$48),$J2908,('Loading-drum,tote'!$E$31:$E$48))*Impacts!$F$13,0)),0)</f>
        <v>0</v>
      </c>
      <c r="R2908" s="10">
        <f>IFERROR(IF(('Loading-truck'!$C$21)="No control",SUMIF(('Loading-truck'!$B$31:$B$48),$J2908,('Loading-truck'!$D$31:$D$48))*Impacts!$F$14,IF(('Loading-truck'!$C$21)&lt;&gt;"No control",SUMIF(('Loading-truck'!$B$31:$B$48),$J2908,('Loading-truck'!$E$31:$E$48))*Impacts!$F$14,0)),0)</f>
        <v>0</v>
      </c>
      <c r="S2908" s="10">
        <f>IFERROR(IF(('Loading-rail'!$C$21)="No control",SUMIF(('Loading-rail'!$B$31:$B$48),$J2908,('Loading-rail'!$D$31:$D$48))*Impacts!$F$15,IF(('Loading-rail'!$C$21)&lt;&gt;"No control",SUMIF(('Loading-rail'!$B$31:$B$48),$J2908,('Loading-rail'!$E$31:$E$48))*Impacts!$F$15,0)),0)</f>
        <v>0</v>
      </c>
      <c r="T2908" s="10">
        <f>IF(Flare!$C$7="",0,(SUMIF(Flare!$B$46:$B$185,$J2908,Flare!$E$46:$E$185)*Impacts!$F$16))</f>
        <v>0</v>
      </c>
      <c r="U2908" s="10">
        <f>IF(VCU!$C$9="",0,(SUMIF(VCU!$B$51:$B$193,$J2908,VCU!$E$51:$E$193)*Impacts!$F$17))</f>
        <v>0</v>
      </c>
      <c r="V2908" s="10">
        <f>IF(CAS!$C$7="",0,(SUMIF(CAS!$B$31:$B$167,$J2908,CAS!$E$31:$E$167)*Impacts!$F$18))</f>
        <v>0</v>
      </c>
      <c r="W2908" s="10">
        <f t="shared" si="86"/>
        <v>0</v>
      </c>
      <c r="AK2908" s="10" t="str">
        <f t="array" ref="AK2908">IFERROR(INDEX(SelectedSpecies,SMALL(IF(SelectedSpecies=AK$1,ROW(SelectedSpecies)),ROW(2909:2909)),2),"")</f>
        <v/>
      </c>
      <c r="BE2908" s="10"/>
      <c r="BI2908" s="10"/>
    </row>
    <row r="2909" spans="1:61" ht="21" customHeight="1" x14ac:dyDescent="0.25">
      <c r="A2909" s="10"/>
      <c r="B2909" s="10"/>
      <c r="E2909" s="10"/>
      <c r="G2909" s="10"/>
      <c r="I2909" s="436" t="s">
        <v>3119</v>
      </c>
      <c r="J2909" s="26" t="s">
        <v>3118</v>
      </c>
      <c r="K2909" s="10">
        <v>10</v>
      </c>
      <c r="L2909" s="73">
        <f>IF(Tank1!$C$23="No control",(SUMIF(Tank1!$B$32:$B$49,$J2909,Tank1!$C$32:$C$49)*Impacts!$F$8),0)</f>
        <v>0</v>
      </c>
      <c r="M2909" s="10">
        <f>IF(Tank2!$C$23="No control",(SUMIF(Tank2!$B$32:$B$49,$J2909,Tank2!$C$32:$C$49)*Impacts!$F$9),0)</f>
        <v>0</v>
      </c>
      <c r="N2909" s="10">
        <f>IF(Tank3!$C$23="No control",(SUMIF(Tank3!$B$32:$B$49,$J2909,Tank3!$C$32:$C$49)*Impacts!$F$10),0)</f>
        <v>0</v>
      </c>
      <c r="O2909" s="10">
        <f>IF(Tank4!$C$23="No control",(SUMIF(Tank4!$B$32:$B$49,$J2909,Tank4!$C$32:$C$49)*Impacts!$F$11),0)</f>
        <v>0</v>
      </c>
      <c r="P2909" s="10">
        <f>IF(Tank5!$C$23="No control",(SUMIF(Tank5!$B$32:$B$49,$J2909,Tank5!$C$32:$C$49)*Impacts!$F$12),0)</f>
        <v>0</v>
      </c>
      <c r="Q2909" s="10">
        <f>IFERROR(IF(('Loading-drum,tote'!$C$21)="No control",SUMIF(('Loading-drum,tote'!$B$31:$B$48),$J2909,('Loading-drum,tote'!$D$31:$D$48))*Impacts!$F$13,IF(('Loading-drum,tote'!$C$21)&lt;&gt;"No control",SUMIF(('Loading-drum,tote'!$B$31:$B$48),$J2909,('Loading-drum,tote'!$E$31:$E$48))*Impacts!$F$13,0)),0)</f>
        <v>0</v>
      </c>
      <c r="R2909" s="10">
        <f>IFERROR(IF(('Loading-truck'!$C$21)="No control",SUMIF(('Loading-truck'!$B$31:$B$48),$J2909,('Loading-truck'!$D$31:$D$48))*Impacts!$F$14,IF(('Loading-truck'!$C$21)&lt;&gt;"No control",SUMIF(('Loading-truck'!$B$31:$B$48),$J2909,('Loading-truck'!$E$31:$E$48))*Impacts!$F$14,0)),0)</f>
        <v>0</v>
      </c>
      <c r="S2909" s="10">
        <f>IFERROR(IF(('Loading-rail'!$C$21)="No control",SUMIF(('Loading-rail'!$B$31:$B$48),$J2909,('Loading-rail'!$D$31:$D$48))*Impacts!$F$15,IF(('Loading-rail'!$C$21)&lt;&gt;"No control",SUMIF(('Loading-rail'!$B$31:$B$48),$J2909,('Loading-rail'!$E$31:$E$48))*Impacts!$F$15,0)),0)</f>
        <v>0</v>
      </c>
      <c r="T2909" s="10">
        <f>IF(Flare!$C$7="",0,(SUMIF(Flare!$B$46:$B$185,$J2909,Flare!$E$46:$E$185)*Impacts!$F$16))</f>
        <v>0</v>
      </c>
      <c r="U2909" s="10">
        <f>IF(VCU!$C$9="",0,(SUMIF(VCU!$B$51:$B$193,$J2909,VCU!$E$51:$E$193)*Impacts!$F$17))</f>
        <v>0</v>
      </c>
      <c r="V2909" s="10">
        <f>IF(CAS!$C$7="",0,(SUMIF(CAS!$B$31:$B$167,$J2909,CAS!$E$31:$E$167)*Impacts!$F$18))</f>
        <v>0</v>
      </c>
      <c r="W2909" s="10">
        <f t="shared" si="86"/>
        <v>0</v>
      </c>
      <c r="AK2909" s="10" t="str">
        <f t="array" ref="AK2909">IFERROR(INDEX(SelectedSpecies,SMALL(IF(SelectedSpecies=AK$1,ROW(SelectedSpecies)),ROW(2910:2910)),2),"")</f>
        <v/>
      </c>
      <c r="BE2909" s="10"/>
      <c r="BI2909" s="10"/>
    </row>
    <row r="2910" spans="1:61" ht="21" customHeight="1" x14ac:dyDescent="0.25">
      <c r="A2910" s="10"/>
      <c r="B2910" s="10"/>
      <c r="E2910" s="10"/>
      <c r="G2910" s="10"/>
      <c r="I2910" s="436" t="s">
        <v>3121</v>
      </c>
      <c r="J2910" s="26" t="s">
        <v>3120</v>
      </c>
      <c r="K2910" s="10">
        <v>10</v>
      </c>
      <c r="L2910" s="73">
        <f>IF(Tank1!$C$23="No control",(SUMIF(Tank1!$B$32:$B$49,$J2910,Tank1!$C$32:$C$49)*Impacts!$F$8),0)</f>
        <v>0</v>
      </c>
      <c r="M2910" s="10">
        <f>IF(Tank2!$C$23="No control",(SUMIF(Tank2!$B$32:$B$49,$J2910,Tank2!$C$32:$C$49)*Impacts!$F$9),0)</f>
        <v>0</v>
      </c>
      <c r="N2910" s="10">
        <f>IF(Tank3!$C$23="No control",(SUMIF(Tank3!$B$32:$B$49,$J2910,Tank3!$C$32:$C$49)*Impacts!$F$10),0)</f>
        <v>0</v>
      </c>
      <c r="O2910" s="10">
        <f>IF(Tank4!$C$23="No control",(SUMIF(Tank4!$B$32:$B$49,$J2910,Tank4!$C$32:$C$49)*Impacts!$F$11),0)</f>
        <v>0</v>
      </c>
      <c r="P2910" s="10">
        <f>IF(Tank5!$C$23="No control",(SUMIF(Tank5!$B$32:$B$49,$J2910,Tank5!$C$32:$C$49)*Impacts!$F$12),0)</f>
        <v>0</v>
      </c>
      <c r="Q2910" s="10">
        <f>IFERROR(IF(('Loading-drum,tote'!$C$21)="No control",SUMIF(('Loading-drum,tote'!$B$31:$B$48),$J2910,('Loading-drum,tote'!$D$31:$D$48))*Impacts!$F$13,IF(('Loading-drum,tote'!$C$21)&lt;&gt;"No control",SUMIF(('Loading-drum,tote'!$B$31:$B$48),$J2910,('Loading-drum,tote'!$E$31:$E$48))*Impacts!$F$13,0)),0)</f>
        <v>0</v>
      </c>
      <c r="R2910" s="10">
        <f>IFERROR(IF(('Loading-truck'!$C$21)="No control",SUMIF(('Loading-truck'!$B$31:$B$48),$J2910,('Loading-truck'!$D$31:$D$48))*Impacts!$F$14,IF(('Loading-truck'!$C$21)&lt;&gt;"No control",SUMIF(('Loading-truck'!$B$31:$B$48),$J2910,('Loading-truck'!$E$31:$E$48))*Impacts!$F$14,0)),0)</f>
        <v>0</v>
      </c>
      <c r="S2910" s="10">
        <f>IFERROR(IF(('Loading-rail'!$C$21)="No control",SUMIF(('Loading-rail'!$B$31:$B$48),$J2910,('Loading-rail'!$D$31:$D$48))*Impacts!$F$15,IF(('Loading-rail'!$C$21)&lt;&gt;"No control",SUMIF(('Loading-rail'!$B$31:$B$48),$J2910,('Loading-rail'!$E$31:$E$48))*Impacts!$F$15,0)),0)</f>
        <v>0</v>
      </c>
      <c r="T2910" s="10">
        <f>IF(Flare!$C$7="",0,(SUMIF(Flare!$B$46:$B$185,$J2910,Flare!$E$46:$E$185)*Impacts!$F$16))</f>
        <v>0</v>
      </c>
      <c r="U2910" s="10">
        <f>IF(VCU!$C$9="",0,(SUMIF(VCU!$B$51:$B$193,$J2910,VCU!$E$51:$E$193)*Impacts!$F$17))</f>
        <v>0</v>
      </c>
      <c r="V2910" s="10">
        <f>IF(CAS!$C$7="",0,(SUMIF(CAS!$B$31:$B$167,$J2910,CAS!$E$31:$E$167)*Impacts!$F$18))</f>
        <v>0</v>
      </c>
      <c r="W2910" s="10">
        <f t="shared" si="86"/>
        <v>0</v>
      </c>
      <c r="AK2910" s="10" t="str">
        <f t="array" ref="AK2910">IFERROR(INDEX(SelectedSpecies,SMALL(IF(SelectedSpecies=AK$1,ROW(SelectedSpecies)),ROW(2911:2911)),2),"")</f>
        <v/>
      </c>
      <c r="BE2910" s="10"/>
      <c r="BI2910" s="10"/>
    </row>
    <row r="2911" spans="1:61" ht="21" customHeight="1" x14ac:dyDescent="0.25">
      <c r="A2911" s="10"/>
      <c r="B2911" s="10"/>
      <c r="E2911" s="10"/>
      <c r="G2911" s="10"/>
      <c r="I2911" s="436" t="s">
        <v>3123</v>
      </c>
      <c r="J2911" s="26" t="s">
        <v>3122</v>
      </c>
      <c r="K2911" s="10">
        <v>10</v>
      </c>
      <c r="L2911" s="73">
        <f>IF(Tank1!$C$23="No control",(SUMIF(Tank1!$B$32:$B$49,$J2911,Tank1!$C$32:$C$49)*Impacts!$F$8),0)</f>
        <v>0</v>
      </c>
      <c r="M2911" s="10">
        <f>IF(Tank2!$C$23="No control",(SUMIF(Tank2!$B$32:$B$49,$J2911,Tank2!$C$32:$C$49)*Impacts!$F$9),0)</f>
        <v>0</v>
      </c>
      <c r="N2911" s="10">
        <f>IF(Tank3!$C$23="No control",(SUMIF(Tank3!$B$32:$B$49,$J2911,Tank3!$C$32:$C$49)*Impacts!$F$10),0)</f>
        <v>0</v>
      </c>
      <c r="O2911" s="10">
        <f>IF(Tank4!$C$23="No control",(SUMIF(Tank4!$B$32:$B$49,$J2911,Tank4!$C$32:$C$49)*Impacts!$F$11),0)</f>
        <v>0</v>
      </c>
      <c r="P2911" s="10">
        <f>IF(Tank5!$C$23="No control",(SUMIF(Tank5!$B$32:$B$49,$J2911,Tank5!$C$32:$C$49)*Impacts!$F$12),0)</f>
        <v>0</v>
      </c>
      <c r="Q2911" s="10">
        <f>IFERROR(IF(('Loading-drum,tote'!$C$21)="No control",SUMIF(('Loading-drum,tote'!$B$31:$B$48),$J2911,('Loading-drum,tote'!$D$31:$D$48))*Impacts!$F$13,IF(('Loading-drum,tote'!$C$21)&lt;&gt;"No control",SUMIF(('Loading-drum,tote'!$B$31:$B$48),$J2911,('Loading-drum,tote'!$E$31:$E$48))*Impacts!$F$13,0)),0)</f>
        <v>0</v>
      </c>
      <c r="R2911" s="10">
        <f>IFERROR(IF(('Loading-truck'!$C$21)="No control",SUMIF(('Loading-truck'!$B$31:$B$48),$J2911,('Loading-truck'!$D$31:$D$48))*Impacts!$F$14,IF(('Loading-truck'!$C$21)&lt;&gt;"No control",SUMIF(('Loading-truck'!$B$31:$B$48),$J2911,('Loading-truck'!$E$31:$E$48))*Impacts!$F$14,0)),0)</f>
        <v>0</v>
      </c>
      <c r="S2911" s="10">
        <f>IFERROR(IF(('Loading-rail'!$C$21)="No control",SUMIF(('Loading-rail'!$B$31:$B$48),$J2911,('Loading-rail'!$D$31:$D$48))*Impacts!$F$15,IF(('Loading-rail'!$C$21)&lt;&gt;"No control",SUMIF(('Loading-rail'!$B$31:$B$48),$J2911,('Loading-rail'!$E$31:$E$48))*Impacts!$F$15,0)),0)</f>
        <v>0</v>
      </c>
      <c r="T2911" s="10">
        <f>IF(Flare!$C$7="",0,(SUMIF(Flare!$B$46:$B$185,$J2911,Flare!$E$46:$E$185)*Impacts!$F$16))</f>
        <v>0</v>
      </c>
      <c r="U2911" s="10">
        <f>IF(VCU!$C$9="",0,(SUMIF(VCU!$B$51:$B$193,$J2911,VCU!$E$51:$E$193)*Impacts!$F$17))</f>
        <v>0</v>
      </c>
      <c r="V2911" s="10">
        <f>IF(CAS!$C$7="",0,(SUMIF(CAS!$B$31:$B$167,$J2911,CAS!$E$31:$E$167)*Impacts!$F$18))</f>
        <v>0</v>
      </c>
      <c r="W2911" s="10">
        <f t="shared" si="86"/>
        <v>0</v>
      </c>
      <c r="AK2911" s="10" t="str">
        <f t="array" ref="AK2911">IFERROR(INDEX(SelectedSpecies,SMALL(IF(SelectedSpecies=AK$1,ROW(SelectedSpecies)),ROW(2912:2912)),2),"")</f>
        <v/>
      </c>
      <c r="BE2911" s="10"/>
      <c r="BI2911" s="10"/>
    </row>
    <row r="2912" spans="1:61" ht="21" customHeight="1" x14ac:dyDescent="0.25">
      <c r="A2912" s="10"/>
      <c r="B2912" s="10"/>
      <c r="E2912" s="10"/>
      <c r="G2912" s="10"/>
      <c r="I2912" s="436" t="s">
        <v>6050</v>
      </c>
      <c r="J2912" s="26" t="s">
        <v>6049</v>
      </c>
      <c r="K2912" s="10">
        <v>1</v>
      </c>
      <c r="L2912" s="73">
        <f>IF(Tank1!$C$23="No control",(SUMIF(Tank1!$B$32:$B$49,$J2912,Tank1!$C$32:$C$49)*Impacts!$F$8),0)</f>
        <v>0</v>
      </c>
      <c r="M2912" s="10">
        <f>IF(Tank2!$C$23="No control",(SUMIF(Tank2!$B$32:$B$49,$J2912,Tank2!$C$32:$C$49)*Impacts!$F$9),0)</f>
        <v>0</v>
      </c>
      <c r="N2912" s="10">
        <f>IF(Tank3!$C$23="No control",(SUMIF(Tank3!$B$32:$B$49,$J2912,Tank3!$C$32:$C$49)*Impacts!$F$10),0)</f>
        <v>0</v>
      </c>
      <c r="O2912" s="10">
        <f>IF(Tank4!$C$23="No control",(SUMIF(Tank4!$B$32:$B$49,$J2912,Tank4!$C$32:$C$49)*Impacts!$F$11),0)</f>
        <v>0</v>
      </c>
      <c r="P2912" s="10">
        <f>IF(Tank5!$C$23="No control",(SUMIF(Tank5!$B$32:$B$49,$J2912,Tank5!$C$32:$C$49)*Impacts!$F$12),0)</f>
        <v>0</v>
      </c>
      <c r="Q2912" s="10">
        <f>IFERROR(IF(('Loading-drum,tote'!$C$21)="No control",SUMIF(('Loading-drum,tote'!$B$31:$B$48),$J2912,('Loading-drum,tote'!$D$31:$D$48))*Impacts!$F$13,IF(('Loading-drum,tote'!$C$21)&lt;&gt;"No control",SUMIF(('Loading-drum,tote'!$B$31:$B$48),$J2912,('Loading-drum,tote'!$E$31:$E$48))*Impacts!$F$13,0)),0)</f>
        <v>0</v>
      </c>
      <c r="R2912" s="10">
        <f>IFERROR(IF(('Loading-truck'!$C$21)="No control",SUMIF(('Loading-truck'!$B$31:$B$48),$J2912,('Loading-truck'!$D$31:$D$48))*Impacts!$F$14,IF(('Loading-truck'!$C$21)&lt;&gt;"No control",SUMIF(('Loading-truck'!$B$31:$B$48),$J2912,('Loading-truck'!$E$31:$E$48))*Impacts!$F$14,0)),0)</f>
        <v>0</v>
      </c>
      <c r="S2912" s="10">
        <f>IFERROR(IF(('Loading-rail'!$C$21)="No control",SUMIF(('Loading-rail'!$B$31:$B$48),$J2912,('Loading-rail'!$D$31:$D$48))*Impacts!$F$15,IF(('Loading-rail'!$C$21)&lt;&gt;"No control",SUMIF(('Loading-rail'!$B$31:$B$48),$J2912,('Loading-rail'!$E$31:$E$48))*Impacts!$F$15,0)),0)</f>
        <v>0</v>
      </c>
      <c r="T2912" s="10">
        <f>IF(Flare!$C$7="",0,(SUMIF(Flare!$B$46:$B$185,$J2912,Flare!$E$46:$E$185)*Impacts!$F$16))</f>
        <v>0</v>
      </c>
      <c r="U2912" s="10">
        <f>IF(VCU!$C$9="",0,(SUMIF(VCU!$B$51:$B$193,$J2912,VCU!$E$51:$E$193)*Impacts!$F$17))</f>
        <v>0</v>
      </c>
      <c r="V2912" s="10">
        <f>IF(CAS!$C$7="",0,(SUMIF(CAS!$B$31:$B$167,$J2912,CAS!$E$31:$E$167)*Impacts!$F$18))</f>
        <v>0</v>
      </c>
      <c r="W2912" s="10">
        <f t="shared" si="86"/>
        <v>0</v>
      </c>
      <c r="AK2912" s="10" t="str">
        <f t="array" ref="AK2912">IFERROR(INDEX(SelectedSpecies,SMALL(IF(SelectedSpecies=AK$1,ROW(SelectedSpecies)),ROW(2913:2913)),2),"")</f>
        <v/>
      </c>
      <c r="BE2912" s="10"/>
      <c r="BI2912" s="10"/>
    </row>
    <row r="2913" spans="1:61" ht="21" customHeight="1" x14ac:dyDescent="0.25">
      <c r="A2913" s="10"/>
      <c r="B2913" s="10"/>
      <c r="E2913" s="10"/>
      <c r="G2913" s="10"/>
      <c r="I2913" s="436" t="s">
        <v>5381</v>
      </c>
      <c r="J2913" s="26" t="s">
        <v>5380</v>
      </c>
      <c r="K2913" s="10">
        <v>1.5</v>
      </c>
      <c r="L2913" s="73">
        <f>IF(Tank1!$C$23="No control",(SUMIF(Tank1!$B$32:$B$49,$J2913,Tank1!$C$32:$C$49)*Impacts!$F$8),0)</f>
        <v>0</v>
      </c>
      <c r="M2913" s="10">
        <f>IF(Tank2!$C$23="No control",(SUMIF(Tank2!$B$32:$B$49,$J2913,Tank2!$C$32:$C$49)*Impacts!$F$9),0)</f>
        <v>0</v>
      </c>
      <c r="N2913" s="10">
        <f>IF(Tank3!$C$23="No control",(SUMIF(Tank3!$B$32:$B$49,$J2913,Tank3!$C$32:$C$49)*Impacts!$F$10),0)</f>
        <v>0</v>
      </c>
      <c r="O2913" s="10">
        <f>IF(Tank4!$C$23="No control",(SUMIF(Tank4!$B$32:$B$49,$J2913,Tank4!$C$32:$C$49)*Impacts!$F$11),0)</f>
        <v>0</v>
      </c>
      <c r="P2913" s="10">
        <f>IF(Tank5!$C$23="No control",(SUMIF(Tank5!$B$32:$B$49,$J2913,Tank5!$C$32:$C$49)*Impacts!$F$12),0)</f>
        <v>0</v>
      </c>
      <c r="Q2913" s="10">
        <f>IFERROR(IF(('Loading-drum,tote'!$C$21)="No control",SUMIF(('Loading-drum,tote'!$B$31:$B$48),$J2913,('Loading-drum,tote'!$D$31:$D$48))*Impacts!$F$13,IF(('Loading-drum,tote'!$C$21)&lt;&gt;"No control",SUMIF(('Loading-drum,tote'!$B$31:$B$48),$J2913,('Loading-drum,tote'!$E$31:$E$48))*Impacts!$F$13,0)),0)</f>
        <v>0</v>
      </c>
      <c r="R2913" s="10">
        <f>IFERROR(IF(('Loading-truck'!$C$21)="No control",SUMIF(('Loading-truck'!$B$31:$B$48),$J2913,('Loading-truck'!$D$31:$D$48))*Impacts!$F$14,IF(('Loading-truck'!$C$21)&lt;&gt;"No control",SUMIF(('Loading-truck'!$B$31:$B$48),$J2913,('Loading-truck'!$E$31:$E$48))*Impacts!$F$14,0)),0)</f>
        <v>0</v>
      </c>
      <c r="S2913" s="10">
        <f>IFERROR(IF(('Loading-rail'!$C$21)="No control",SUMIF(('Loading-rail'!$B$31:$B$48),$J2913,('Loading-rail'!$D$31:$D$48))*Impacts!$F$15,IF(('Loading-rail'!$C$21)&lt;&gt;"No control",SUMIF(('Loading-rail'!$B$31:$B$48),$J2913,('Loading-rail'!$E$31:$E$48))*Impacts!$F$15,0)),0)</f>
        <v>0</v>
      </c>
      <c r="T2913" s="10">
        <f>IF(Flare!$C$7="",0,(SUMIF(Flare!$B$46:$B$185,$J2913,Flare!$E$46:$E$185)*Impacts!$F$16))</f>
        <v>0</v>
      </c>
      <c r="U2913" s="10">
        <f>IF(VCU!$C$9="",0,(SUMIF(VCU!$B$51:$B$193,$J2913,VCU!$E$51:$E$193)*Impacts!$F$17))</f>
        <v>0</v>
      </c>
      <c r="V2913" s="10">
        <f>IF(CAS!$C$7="",0,(SUMIF(CAS!$B$31:$B$167,$J2913,CAS!$E$31:$E$167)*Impacts!$F$18))</f>
        <v>0</v>
      </c>
      <c r="W2913" s="10">
        <f t="shared" si="86"/>
        <v>0</v>
      </c>
      <c r="AK2913" s="10" t="str">
        <f t="array" ref="AK2913">IFERROR(INDEX(SelectedSpecies,SMALL(IF(SelectedSpecies=AK$1,ROW(SelectedSpecies)),ROW(2914:2914)),2),"")</f>
        <v/>
      </c>
      <c r="BE2913" s="10"/>
      <c r="BI2913" s="10"/>
    </row>
    <row r="2914" spans="1:61" ht="21" customHeight="1" x14ac:dyDescent="0.25">
      <c r="A2914" s="10"/>
      <c r="B2914" s="10"/>
      <c r="E2914" s="10"/>
      <c r="G2914" s="10"/>
      <c r="I2914" s="436" t="s">
        <v>5095</v>
      </c>
      <c r="J2914" s="26" t="s">
        <v>5094</v>
      </c>
      <c r="K2914" s="10">
        <v>2.2000000000000002</v>
      </c>
      <c r="L2914" s="73">
        <f>IF(Tank1!$C$23="No control",(SUMIF(Tank1!$B$32:$B$49,$J2914,Tank1!$C$32:$C$49)*Impacts!$F$8),0)</f>
        <v>0</v>
      </c>
      <c r="M2914" s="10">
        <f>IF(Tank2!$C$23="No control",(SUMIF(Tank2!$B$32:$B$49,$J2914,Tank2!$C$32:$C$49)*Impacts!$F$9),0)</f>
        <v>0</v>
      </c>
      <c r="N2914" s="10">
        <f>IF(Tank3!$C$23="No control",(SUMIF(Tank3!$B$32:$B$49,$J2914,Tank3!$C$32:$C$49)*Impacts!$F$10),0)</f>
        <v>0</v>
      </c>
      <c r="O2914" s="10">
        <f>IF(Tank4!$C$23="No control",(SUMIF(Tank4!$B$32:$B$49,$J2914,Tank4!$C$32:$C$49)*Impacts!$F$11),0)</f>
        <v>0</v>
      </c>
      <c r="P2914" s="10">
        <f>IF(Tank5!$C$23="No control",(SUMIF(Tank5!$B$32:$B$49,$J2914,Tank5!$C$32:$C$49)*Impacts!$F$12),0)</f>
        <v>0</v>
      </c>
      <c r="Q2914" s="10">
        <f>IFERROR(IF(('Loading-drum,tote'!$C$21)="No control",SUMIF(('Loading-drum,tote'!$B$31:$B$48),$J2914,('Loading-drum,tote'!$D$31:$D$48))*Impacts!$F$13,IF(('Loading-drum,tote'!$C$21)&lt;&gt;"No control",SUMIF(('Loading-drum,tote'!$B$31:$B$48),$J2914,('Loading-drum,tote'!$E$31:$E$48))*Impacts!$F$13,0)),0)</f>
        <v>0</v>
      </c>
      <c r="R2914" s="10">
        <f>IFERROR(IF(('Loading-truck'!$C$21)="No control",SUMIF(('Loading-truck'!$B$31:$B$48),$J2914,('Loading-truck'!$D$31:$D$48))*Impacts!$F$14,IF(('Loading-truck'!$C$21)&lt;&gt;"No control",SUMIF(('Loading-truck'!$B$31:$B$48),$J2914,('Loading-truck'!$E$31:$E$48))*Impacts!$F$14,0)),0)</f>
        <v>0</v>
      </c>
      <c r="S2914" s="10">
        <f>IFERROR(IF(('Loading-rail'!$C$21)="No control",SUMIF(('Loading-rail'!$B$31:$B$48),$J2914,('Loading-rail'!$D$31:$D$48))*Impacts!$F$15,IF(('Loading-rail'!$C$21)&lt;&gt;"No control",SUMIF(('Loading-rail'!$B$31:$B$48),$J2914,('Loading-rail'!$E$31:$E$48))*Impacts!$F$15,0)),0)</f>
        <v>0</v>
      </c>
      <c r="T2914" s="10">
        <f>IF(Flare!$C$7="",0,(SUMIF(Flare!$B$46:$B$185,$J2914,Flare!$E$46:$E$185)*Impacts!$F$16))</f>
        <v>0</v>
      </c>
      <c r="U2914" s="10">
        <f>IF(VCU!$C$9="",0,(SUMIF(VCU!$B$51:$B$193,$J2914,VCU!$E$51:$E$193)*Impacts!$F$17))</f>
        <v>0</v>
      </c>
      <c r="V2914" s="10">
        <f>IF(CAS!$C$7="",0,(SUMIF(CAS!$B$31:$B$167,$J2914,CAS!$E$31:$E$167)*Impacts!$F$18))</f>
        <v>0</v>
      </c>
      <c r="W2914" s="10">
        <f t="shared" si="86"/>
        <v>0</v>
      </c>
      <c r="AK2914" s="10" t="str">
        <f t="array" ref="AK2914">IFERROR(INDEX(SelectedSpecies,SMALL(IF(SelectedSpecies=AK$1,ROW(SelectedSpecies)),ROW(2915:2915)),2),"")</f>
        <v/>
      </c>
      <c r="BE2914" s="10"/>
      <c r="BI2914" s="10"/>
    </row>
    <row r="2915" spans="1:61" ht="21" customHeight="1" x14ac:dyDescent="0.25">
      <c r="A2915" s="10"/>
      <c r="B2915" s="10"/>
      <c r="E2915" s="10"/>
      <c r="G2915" s="10"/>
      <c r="I2915" s="436" t="s">
        <v>3125</v>
      </c>
      <c r="J2915" s="26" t="s">
        <v>3124</v>
      </c>
      <c r="K2915" s="10">
        <v>10</v>
      </c>
      <c r="L2915" s="73">
        <f>IF(Tank1!$C$23="No control",(SUMIF(Tank1!$B$32:$B$49,$J2915,Tank1!$C$32:$C$49)*Impacts!$F$8),0)</f>
        <v>0</v>
      </c>
      <c r="M2915" s="10">
        <f>IF(Tank2!$C$23="No control",(SUMIF(Tank2!$B$32:$B$49,$J2915,Tank2!$C$32:$C$49)*Impacts!$F$9),0)</f>
        <v>0</v>
      </c>
      <c r="N2915" s="10">
        <f>IF(Tank3!$C$23="No control",(SUMIF(Tank3!$B$32:$B$49,$J2915,Tank3!$C$32:$C$49)*Impacts!$F$10),0)</f>
        <v>0</v>
      </c>
      <c r="O2915" s="10">
        <f>IF(Tank4!$C$23="No control",(SUMIF(Tank4!$B$32:$B$49,$J2915,Tank4!$C$32:$C$49)*Impacts!$F$11),0)</f>
        <v>0</v>
      </c>
      <c r="P2915" s="10">
        <f>IF(Tank5!$C$23="No control",(SUMIF(Tank5!$B$32:$B$49,$J2915,Tank5!$C$32:$C$49)*Impacts!$F$12),0)</f>
        <v>0</v>
      </c>
      <c r="Q2915" s="10">
        <f>IFERROR(IF(('Loading-drum,tote'!$C$21)="No control",SUMIF(('Loading-drum,tote'!$B$31:$B$48),$J2915,('Loading-drum,tote'!$D$31:$D$48))*Impacts!$F$13,IF(('Loading-drum,tote'!$C$21)&lt;&gt;"No control",SUMIF(('Loading-drum,tote'!$B$31:$B$48),$J2915,('Loading-drum,tote'!$E$31:$E$48))*Impacts!$F$13,0)),0)</f>
        <v>0</v>
      </c>
      <c r="R2915" s="10">
        <f>IFERROR(IF(('Loading-truck'!$C$21)="No control",SUMIF(('Loading-truck'!$B$31:$B$48),$J2915,('Loading-truck'!$D$31:$D$48))*Impacts!$F$14,IF(('Loading-truck'!$C$21)&lt;&gt;"No control",SUMIF(('Loading-truck'!$B$31:$B$48),$J2915,('Loading-truck'!$E$31:$E$48))*Impacts!$F$14,0)),0)</f>
        <v>0</v>
      </c>
      <c r="S2915" s="10">
        <f>IFERROR(IF(('Loading-rail'!$C$21)="No control",SUMIF(('Loading-rail'!$B$31:$B$48),$J2915,('Loading-rail'!$D$31:$D$48))*Impacts!$F$15,IF(('Loading-rail'!$C$21)&lt;&gt;"No control",SUMIF(('Loading-rail'!$B$31:$B$48),$J2915,('Loading-rail'!$E$31:$E$48))*Impacts!$F$15,0)),0)</f>
        <v>0</v>
      </c>
      <c r="T2915" s="10">
        <f>IF(Flare!$C$7="",0,(SUMIF(Flare!$B$46:$B$185,$J2915,Flare!$E$46:$E$185)*Impacts!$F$16))</f>
        <v>0</v>
      </c>
      <c r="U2915" s="10">
        <f>IF(VCU!$C$9="",0,(SUMIF(VCU!$B$51:$B$193,$J2915,VCU!$E$51:$E$193)*Impacts!$F$17))</f>
        <v>0</v>
      </c>
      <c r="V2915" s="10">
        <f>IF(CAS!$C$7="",0,(SUMIF(CAS!$B$31:$B$167,$J2915,CAS!$E$31:$E$167)*Impacts!$F$18))</f>
        <v>0</v>
      </c>
      <c r="W2915" s="10">
        <f t="shared" si="86"/>
        <v>0</v>
      </c>
      <c r="AK2915" s="10" t="str">
        <f t="array" ref="AK2915">IFERROR(INDEX(SelectedSpecies,SMALL(IF(SelectedSpecies=AK$1,ROW(SelectedSpecies)),ROW(2916:2916)),2),"")</f>
        <v/>
      </c>
      <c r="BE2915" s="10"/>
      <c r="BI2915" s="10"/>
    </row>
    <row r="2916" spans="1:61" ht="21" customHeight="1" x14ac:dyDescent="0.25">
      <c r="A2916" s="10"/>
      <c r="B2916" s="10"/>
      <c r="E2916" s="10"/>
      <c r="G2916" s="10"/>
      <c r="I2916" s="436" t="s">
        <v>3127</v>
      </c>
      <c r="J2916" s="26" t="s">
        <v>3126</v>
      </c>
      <c r="K2916" s="10">
        <v>10</v>
      </c>
      <c r="L2916" s="73">
        <f>IF(Tank1!$C$23="No control",(SUMIF(Tank1!$B$32:$B$49,$J2916,Tank1!$C$32:$C$49)*Impacts!$F$8),0)</f>
        <v>0</v>
      </c>
      <c r="M2916" s="10">
        <f>IF(Tank2!$C$23="No control",(SUMIF(Tank2!$B$32:$B$49,$J2916,Tank2!$C$32:$C$49)*Impacts!$F$9),0)</f>
        <v>0</v>
      </c>
      <c r="N2916" s="10">
        <f>IF(Tank3!$C$23="No control",(SUMIF(Tank3!$B$32:$B$49,$J2916,Tank3!$C$32:$C$49)*Impacts!$F$10),0)</f>
        <v>0</v>
      </c>
      <c r="O2916" s="10">
        <f>IF(Tank4!$C$23="No control",(SUMIF(Tank4!$B$32:$B$49,$J2916,Tank4!$C$32:$C$49)*Impacts!$F$11),0)</f>
        <v>0</v>
      </c>
      <c r="P2916" s="10">
        <f>IF(Tank5!$C$23="No control",(SUMIF(Tank5!$B$32:$B$49,$J2916,Tank5!$C$32:$C$49)*Impacts!$F$12),0)</f>
        <v>0</v>
      </c>
      <c r="Q2916" s="10">
        <f>IFERROR(IF(('Loading-drum,tote'!$C$21)="No control",SUMIF(('Loading-drum,tote'!$B$31:$B$48),$J2916,('Loading-drum,tote'!$D$31:$D$48))*Impacts!$F$13,IF(('Loading-drum,tote'!$C$21)&lt;&gt;"No control",SUMIF(('Loading-drum,tote'!$B$31:$B$48),$J2916,('Loading-drum,tote'!$E$31:$E$48))*Impacts!$F$13,0)),0)</f>
        <v>0</v>
      </c>
      <c r="R2916" s="10">
        <f>IFERROR(IF(('Loading-truck'!$C$21)="No control",SUMIF(('Loading-truck'!$B$31:$B$48),$J2916,('Loading-truck'!$D$31:$D$48))*Impacts!$F$14,IF(('Loading-truck'!$C$21)&lt;&gt;"No control",SUMIF(('Loading-truck'!$B$31:$B$48),$J2916,('Loading-truck'!$E$31:$E$48))*Impacts!$F$14,0)),0)</f>
        <v>0</v>
      </c>
      <c r="S2916" s="10">
        <f>IFERROR(IF(('Loading-rail'!$C$21)="No control",SUMIF(('Loading-rail'!$B$31:$B$48),$J2916,('Loading-rail'!$D$31:$D$48))*Impacts!$F$15,IF(('Loading-rail'!$C$21)&lt;&gt;"No control",SUMIF(('Loading-rail'!$B$31:$B$48),$J2916,('Loading-rail'!$E$31:$E$48))*Impacts!$F$15,0)),0)</f>
        <v>0</v>
      </c>
      <c r="T2916" s="10">
        <f>IF(Flare!$C$7="",0,(SUMIF(Flare!$B$46:$B$185,$J2916,Flare!$E$46:$E$185)*Impacts!$F$16))</f>
        <v>0</v>
      </c>
      <c r="U2916" s="10">
        <f>IF(VCU!$C$9="",0,(SUMIF(VCU!$B$51:$B$193,$J2916,VCU!$E$51:$E$193)*Impacts!$F$17))</f>
        <v>0</v>
      </c>
      <c r="V2916" s="10">
        <f>IF(CAS!$C$7="",0,(SUMIF(CAS!$B$31:$B$167,$J2916,CAS!$E$31:$E$167)*Impacts!$F$18))</f>
        <v>0</v>
      </c>
      <c r="W2916" s="10">
        <f t="shared" si="86"/>
        <v>0</v>
      </c>
      <c r="AK2916" s="10" t="str">
        <f t="array" ref="AK2916">IFERROR(INDEX(SelectedSpecies,SMALL(IF(SelectedSpecies=AK$1,ROW(SelectedSpecies)),ROW(2917:2917)),2),"")</f>
        <v/>
      </c>
      <c r="BE2916" s="10"/>
      <c r="BI2916" s="10"/>
    </row>
    <row r="2917" spans="1:61" ht="21" customHeight="1" x14ac:dyDescent="0.25">
      <c r="A2917" s="10"/>
      <c r="B2917" s="10"/>
      <c r="E2917" s="10"/>
      <c r="G2917" s="10"/>
      <c r="I2917" s="436" t="s">
        <v>3983</v>
      </c>
      <c r="J2917" s="26" t="s">
        <v>3982</v>
      </c>
      <c r="K2917" s="10">
        <v>6</v>
      </c>
      <c r="L2917" s="73">
        <f>IF(Tank1!$C$23="No control",(SUMIF(Tank1!$B$32:$B$49,$J2917,Tank1!$C$32:$C$49)*Impacts!$F$8),0)</f>
        <v>0</v>
      </c>
      <c r="M2917" s="10">
        <f>IF(Tank2!$C$23="No control",(SUMIF(Tank2!$B$32:$B$49,$J2917,Tank2!$C$32:$C$49)*Impacts!$F$9),0)</f>
        <v>0</v>
      </c>
      <c r="N2917" s="10">
        <f>IF(Tank3!$C$23="No control",(SUMIF(Tank3!$B$32:$B$49,$J2917,Tank3!$C$32:$C$49)*Impacts!$F$10),0)</f>
        <v>0</v>
      </c>
      <c r="O2917" s="10">
        <f>IF(Tank4!$C$23="No control",(SUMIF(Tank4!$B$32:$B$49,$J2917,Tank4!$C$32:$C$49)*Impacts!$F$11),0)</f>
        <v>0</v>
      </c>
      <c r="P2917" s="10">
        <f>IF(Tank5!$C$23="No control",(SUMIF(Tank5!$B$32:$B$49,$J2917,Tank5!$C$32:$C$49)*Impacts!$F$12),0)</f>
        <v>0</v>
      </c>
      <c r="Q2917" s="10">
        <f>IFERROR(IF(('Loading-drum,tote'!$C$21)="No control",SUMIF(('Loading-drum,tote'!$B$31:$B$48),$J2917,('Loading-drum,tote'!$D$31:$D$48))*Impacts!$F$13,IF(('Loading-drum,tote'!$C$21)&lt;&gt;"No control",SUMIF(('Loading-drum,tote'!$B$31:$B$48),$J2917,('Loading-drum,tote'!$E$31:$E$48))*Impacts!$F$13,0)),0)</f>
        <v>0</v>
      </c>
      <c r="R2917" s="10">
        <f>IFERROR(IF(('Loading-truck'!$C$21)="No control",SUMIF(('Loading-truck'!$B$31:$B$48),$J2917,('Loading-truck'!$D$31:$D$48))*Impacts!$F$14,IF(('Loading-truck'!$C$21)&lt;&gt;"No control",SUMIF(('Loading-truck'!$B$31:$B$48),$J2917,('Loading-truck'!$E$31:$E$48))*Impacts!$F$14,0)),0)</f>
        <v>0</v>
      </c>
      <c r="S2917" s="10">
        <f>IFERROR(IF(('Loading-rail'!$C$21)="No control",SUMIF(('Loading-rail'!$B$31:$B$48),$J2917,('Loading-rail'!$D$31:$D$48))*Impacts!$F$15,IF(('Loading-rail'!$C$21)&lt;&gt;"No control",SUMIF(('Loading-rail'!$B$31:$B$48),$J2917,('Loading-rail'!$E$31:$E$48))*Impacts!$F$15,0)),0)</f>
        <v>0</v>
      </c>
      <c r="T2917" s="10">
        <f>IF(Flare!$C$7="",0,(SUMIF(Flare!$B$46:$B$185,$J2917,Flare!$E$46:$E$185)*Impacts!$F$16))</f>
        <v>0</v>
      </c>
      <c r="U2917" s="10">
        <f>IF(VCU!$C$9="",0,(SUMIF(VCU!$B$51:$B$193,$J2917,VCU!$E$51:$E$193)*Impacts!$F$17))</f>
        <v>0</v>
      </c>
      <c r="V2917" s="10">
        <f>IF(CAS!$C$7="",0,(SUMIF(CAS!$B$31:$B$167,$J2917,CAS!$E$31:$E$167)*Impacts!$F$18))</f>
        <v>0</v>
      </c>
      <c r="W2917" s="10">
        <f t="shared" si="86"/>
        <v>0</v>
      </c>
      <c r="AK2917" s="10" t="str">
        <f t="array" ref="AK2917">IFERROR(INDEX(SelectedSpecies,SMALL(IF(SelectedSpecies=AK$1,ROW(SelectedSpecies)),ROW(2918:2918)),2),"")</f>
        <v/>
      </c>
      <c r="BE2917" s="10"/>
      <c r="BI2917" s="10"/>
    </row>
    <row r="2918" spans="1:61" ht="21" customHeight="1" x14ac:dyDescent="0.25">
      <c r="A2918" s="10"/>
      <c r="B2918" s="10"/>
      <c r="E2918" s="10"/>
      <c r="G2918" s="10"/>
      <c r="I2918" s="436" t="s">
        <v>3129</v>
      </c>
      <c r="J2918" s="26" t="s">
        <v>3128</v>
      </c>
      <c r="K2918" s="10">
        <v>10</v>
      </c>
      <c r="L2918" s="73">
        <f>IF(Tank1!$C$23="No control",(SUMIF(Tank1!$B$32:$B$49,$J2918,Tank1!$C$32:$C$49)*Impacts!$F$8),0)</f>
        <v>0</v>
      </c>
      <c r="M2918" s="10">
        <f>IF(Tank2!$C$23="No control",(SUMIF(Tank2!$B$32:$B$49,$J2918,Tank2!$C$32:$C$49)*Impacts!$F$9),0)</f>
        <v>0</v>
      </c>
      <c r="N2918" s="10">
        <f>IF(Tank3!$C$23="No control",(SUMIF(Tank3!$B$32:$B$49,$J2918,Tank3!$C$32:$C$49)*Impacts!$F$10),0)</f>
        <v>0</v>
      </c>
      <c r="O2918" s="10">
        <f>IF(Tank4!$C$23="No control",(SUMIF(Tank4!$B$32:$B$49,$J2918,Tank4!$C$32:$C$49)*Impacts!$F$11),0)</f>
        <v>0</v>
      </c>
      <c r="P2918" s="10">
        <f>IF(Tank5!$C$23="No control",(SUMIF(Tank5!$B$32:$B$49,$J2918,Tank5!$C$32:$C$49)*Impacts!$F$12),0)</f>
        <v>0</v>
      </c>
      <c r="Q2918" s="10">
        <f>IFERROR(IF(('Loading-drum,tote'!$C$21)="No control",SUMIF(('Loading-drum,tote'!$B$31:$B$48),$J2918,('Loading-drum,tote'!$D$31:$D$48))*Impacts!$F$13,IF(('Loading-drum,tote'!$C$21)&lt;&gt;"No control",SUMIF(('Loading-drum,tote'!$B$31:$B$48),$J2918,('Loading-drum,tote'!$E$31:$E$48))*Impacts!$F$13,0)),0)</f>
        <v>0</v>
      </c>
      <c r="R2918" s="10">
        <f>IFERROR(IF(('Loading-truck'!$C$21)="No control",SUMIF(('Loading-truck'!$B$31:$B$48),$J2918,('Loading-truck'!$D$31:$D$48))*Impacts!$F$14,IF(('Loading-truck'!$C$21)&lt;&gt;"No control",SUMIF(('Loading-truck'!$B$31:$B$48),$J2918,('Loading-truck'!$E$31:$E$48))*Impacts!$F$14,0)),0)</f>
        <v>0</v>
      </c>
      <c r="S2918" s="10">
        <f>IFERROR(IF(('Loading-rail'!$C$21)="No control",SUMIF(('Loading-rail'!$B$31:$B$48),$J2918,('Loading-rail'!$D$31:$D$48))*Impacts!$F$15,IF(('Loading-rail'!$C$21)&lt;&gt;"No control",SUMIF(('Loading-rail'!$B$31:$B$48),$J2918,('Loading-rail'!$E$31:$E$48))*Impacts!$F$15,0)),0)</f>
        <v>0</v>
      </c>
      <c r="T2918" s="10">
        <f>IF(Flare!$C$7="",0,(SUMIF(Flare!$B$46:$B$185,$J2918,Flare!$E$46:$E$185)*Impacts!$F$16))</f>
        <v>0</v>
      </c>
      <c r="U2918" s="10">
        <f>IF(VCU!$C$9="",0,(SUMIF(VCU!$B$51:$B$193,$J2918,VCU!$E$51:$E$193)*Impacts!$F$17))</f>
        <v>0</v>
      </c>
      <c r="V2918" s="10">
        <f>IF(CAS!$C$7="",0,(SUMIF(CAS!$B$31:$B$167,$J2918,CAS!$E$31:$E$167)*Impacts!$F$18))</f>
        <v>0</v>
      </c>
      <c r="W2918" s="10">
        <f t="shared" si="86"/>
        <v>0</v>
      </c>
      <c r="AK2918" s="10" t="str">
        <f t="array" ref="AK2918">IFERROR(INDEX(SelectedSpecies,SMALL(IF(SelectedSpecies=AK$1,ROW(SelectedSpecies)),ROW(2919:2919)),2),"")</f>
        <v/>
      </c>
      <c r="BE2918" s="10"/>
      <c r="BI2918" s="10"/>
    </row>
    <row r="2919" spans="1:61" ht="21" customHeight="1" x14ac:dyDescent="0.25">
      <c r="A2919" s="10"/>
      <c r="B2919" s="10"/>
      <c r="E2919" s="10"/>
      <c r="G2919" s="10"/>
      <c r="I2919" s="436" t="s">
        <v>3131</v>
      </c>
      <c r="J2919" s="26" t="s">
        <v>3130</v>
      </c>
      <c r="K2919" s="10">
        <v>10</v>
      </c>
      <c r="L2919" s="73">
        <f>IF(Tank1!$C$23="No control",(SUMIF(Tank1!$B$32:$B$49,$J2919,Tank1!$C$32:$C$49)*Impacts!$F$8),0)</f>
        <v>0</v>
      </c>
      <c r="M2919" s="10">
        <f>IF(Tank2!$C$23="No control",(SUMIF(Tank2!$B$32:$B$49,$J2919,Tank2!$C$32:$C$49)*Impacts!$F$9),0)</f>
        <v>0</v>
      </c>
      <c r="N2919" s="10">
        <f>IF(Tank3!$C$23="No control",(SUMIF(Tank3!$B$32:$B$49,$J2919,Tank3!$C$32:$C$49)*Impacts!$F$10),0)</f>
        <v>0</v>
      </c>
      <c r="O2919" s="10">
        <f>IF(Tank4!$C$23="No control",(SUMIF(Tank4!$B$32:$B$49,$J2919,Tank4!$C$32:$C$49)*Impacts!$F$11),0)</f>
        <v>0</v>
      </c>
      <c r="P2919" s="10">
        <f>IF(Tank5!$C$23="No control",(SUMIF(Tank5!$B$32:$B$49,$J2919,Tank5!$C$32:$C$49)*Impacts!$F$12),0)</f>
        <v>0</v>
      </c>
      <c r="Q2919" s="10">
        <f>IFERROR(IF(('Loading-drum,tote'!$C$21)="No control",SUMIF(('Loading-drum,tote'!$B$31:$B$48),$J2919,('Loading-drum,tote'!$D$31:$D$48))*Impacts!$F$13,IF(('Loading-drum,tote'!$C$21)&lt;&gt;"No control",SUMIF(('Loading-drum,tote'!$B$31:$B$48),$J2919,('Loading-drum,tote'!$E$31:$E$48))*Impacts!$F$13,0)),0)</f>
        <v>0</v>
      </c>
      <c r="R2919" s="10">
        <f>IFERROR(IF(('Loading-truck'!$C$21)="No control",SUMIF(('Loading-truck'!$B$31:$B$48),$J2919,('Loading-truck'!$D$31:$D$48))*Impacts!$F$14,IF(('Loading-truck'!$C$21)&lt;&gt;"No control",SUMIF(('Loading-truck'!$B$31:$B$48),$J2919,('Loading-truck'!$E$31:$E$48))*Impacts!$F$14,0)),0)</f>
        <v>0</v>
      </c>
      <c r="S2919" s="10">
        <f>IFERROR(IF(('Loading-rail'!$C$21)="No control",SUMIF(('Loading-rail'!$B$31:$B$48),$J2919,('Loading-rail'!$D$31:$D$48))*Impacts!$F$15,IF(('Loading-rail'!$C$21)&lt;&gt;"No control",SUMIF(('Loading-rail'!$B$31:$B$48),$J2919,('Loading-rail'!$E$31:$E$48))*Impacts!$F$15,0)),0)</f>
        <v>0</v>
      </c>
      <c r="T2919" s="10">
        <f>IF(Flare!$C$7="",0,(SUMIF(Flare!$B$46:$B$185,$J2919,Flare!$E$46:$E$185)*Impacts!$F$16))</f>
        <v>0</v>
      </c>
      <c r="U2919" s="10">
        <f>IF(VCU!$C$9="",0,(SUMIF(VCU!$B$51:$B$193,$J2919,VCU!$E$51:$E$193)*Impacts!$F$17))</f>
        <v>0</v>
      </c>
      <c r="V2919" s="10">
        <f>IF(CAS!$C$7="",0,(SUMIF(CAS!$B$31:$B$167,$J2919,CAS!$E$31:$E$167)*Impacts!$F$18))</f>
        <v>0</v>
      </c>
      <c r="W2919" s="10">
        <f t="shared" si="86"/>
        <v>0</v>
      </c>
      <c r="AK2919" s="10" t="str">
        <f t="array" ref="AK2919">IFERROR(INDEX(SelectedSpecies,SMALL(IF(SelectedSpecies=AK$1,ROW(SelectedSpecies)),ROW(2920:2920)),2),"")</f>
        <v/>
      </c>
      <c r="BE2919" s="10"/>
      <c r="BI2919" s="10"/>
    </row>
    <row r="2920" spans="1:61" ht="21" customHeight="1" x14ac:dyDescent="0.25">
      <c r="A2920" s="10"/>
      <c r="B2920" s="10"/>
      <c r="E2920" s="10"/>
      <c r="G2920" s="10"/>
      <c r="I2920" s="436" t="s">
        <v>3133</v>
      </c>
      <c r="J2920" s="26" t="s">
        <v>3132</v>
      </c>
      <c r="K2920" s="10">
        <v>10</v>
      </c>
      <c r="L2920" s="73">
        <f>IF(Tank1!$C$23="No control",(SUMIF(Tank1!$B$32:$B$49,$J2920,Tank1!$C$32:$C$49)*Impacts!$F$8),0)</f>
        <v>0</v>
      </c>
      <c r="M2920" s="10">
        <f>IF(Tank2!$C$23="No control",(SUMIF(Tank2!$B$32:$B$49,$J2920,Tank2!$C$32:$C$49)*Impacts!$F$9),0)</f>
        <v>0</v>
      </c>
      <c r="N2920" s="10">
        <f>IF(Tank3!$C$23="No control",(SUMIF(Tank3!$B$32:$B$49,$J2920,Tank3!$C$32:$C$49)*Impacts!$F$10),0)</f>
        <v>0</v>
      </c>
      <c r="O2920" s="10">
        <f>IF(Tank4!$C$23="No control",(SUMIF(Tank4!$B$32:$B$49,$J2920,Tank4!$C$32:$C$49)*Impacts!$F$11),0)</f>
        <v>0</v>
      </c>
      <c r="P2920" s="10">
        <f>IF(Tank5!$C$23="No control",(SUMIF(Tank5!$B$32:$B$49,$J2920,Tank5!$C$32:$C$49)*Impacts!$F$12),0)</f>
        <v>0</v>
      </c>
      <c r="Q2920" s="10">
        <f>IFERROR(IF(('Loading-drum,tote'!$C$21)="No control",SUMIF(('Loading-drum,tote'!$B$31:$B$48),$J2920,('Loading-drum,tote'!$D$31:$D$48))*Impacts!$F$13,IF(('Loading-drum,tote'!$C$21)&lt;&gt;"No control",SUMIF(('Loading-drum,tote'!$B$31:$B$48),$J2920,('Loading-drum,tote'!$E$31:$E$48))*Impacts!$F$13,0)),0)</f>
        <v>0</v>
      </c>
      <c r="R2920" s="10">
        <f>IFERROR(IF(('Loading-truck'!$C$21)="No control",SUMIF(('Loading-truck'!$B$31:$B$48),$J2920,('Loading-truck'!$D$31:$D$48))*Impacts!$F$14,IF(('Loading-truck'!$C$21)&lt;&gt;"No control",SUMIF(('Loading-truck'!$B$31:$B$48),$J2920,('Loading-truck'!$E$31:$E$48))*Impacts!$F$14,0)),0)</f>
        <v>0</v>
      </c>
      <c r="S2920" s="10">
        <f>IFERROR(IF(('Loading-rail'!$C$21)="No control",SUMIF(('Loading-rail'!$B$31:$B$48),$J2920,('Loading-rail'!$D$31:$D$48))*Impacts!$F$15,IF(('Loading-rail'!$C$21)&lt;&gt;"No control",SUMIF(('Loading-rail'!$B$31:$B$48),$J2920,('Loading-rail'!$E$31:$E$48))*Impacts!$F$15,0)),0)</f>
        <v>0</v>
      </c>
      <c r="T2920" s="10">
        <f>IF(Flare!$C$7="",0,(SUMIF(Flare!$B$46:$B$185,$J2920,Flare!$E$46:$E$185)*Impacts!$F$16))</f>
        <v>0</v>
      </c>
      <c r="U2920" s="10">
        <f>IF(VCU!$C$9="",0,(SUMIF(VCU!$B$51:$B$193,$J2920,VCU!$E$51:$E$193)*Impacts!$F$17))</f>
        <v>0</v>
      </c>
      <c r="V2920" s="10">
        <f>IF(CAS!$C$7="",0,(SUMIF(CAS!$B$31:$B$167,$J2920,CAS!$E$31:$E$167)*Impacts!$F$18))</f>
        <v>0</v>
      </c>
      <c r="W2920" s="10">
        <f t="shared" si="86"/>
        <v>0</v>
      </c>
      <c r="AK2920" s="10" t="str">
        <f t="array" ref="AK2920">IFERROR(INDEX(SelectedSpecies,SMALL(IF(SelectedSpecies=AK$1,ROW(SelectedSpecies)),ROW(2921:2921)),2),"")</f>
        <v/>
      </c>
      <c r="BE2920" s="10"/>
      <c r="BI2920" s="10"/>
    </row>
    <row r="2921" spans="1:61" ht="21" customHeight="1" x14ac:dyDescent="0.25">
      <c r="A2921" s="10"/>
      <c r="B2921" s="10"/>
      <c r="E2921" s="10"/>
      <c r="G2921" s="10"/>
      <c r="I2921" s="436" t="s">
        <v>7370</v>
      </c>
      <c r="J2921" s="26" t="s">
        <v>7369</v>
      </c>
      <c r="K2921" s="10">
        <v>0.25</v>
      </c>
      <c r="L2921" s="73">
        <f>IF(Tank1!$C$23="No control",(SUMIF(Tank1!$B$32:$B$49,$J2921,Tank1!$C$32:$C$49)*Impacts!$F$8),0)</f>
        <v>0</v>
      </c>
      <c r="M2921" s="10">
        <f>IF(Tank2!$C$23="No control",(SUMIF(Tank2!$B$32:$B$49,$J2921,Tank2!$C$32:$C$49)*Impacts!$F$9),0)</f>
        <v>0</v>
      </c>
      <c r="N2921" s="10">
        <f>IF(Tank3!$C$23="No control",(SUMIF(Tank3!$B$32:$B$49,$J2921,Tank3!$C$32:$C$49)*Impacts!$F$10),0)</f>
        <v>0</v>
      </c>
      <c r="O2921" s="10">
        <f>IF(Tank4!$C$23="No control",(SUMIF(Tank4!$B$32:$B$49,$J2921,Tank4!$C$32:$C$49)*Impacts!$F$11),0)</f>
        <v>0</v>
      </c>
      <c r="P2921" s="10">
        <f>IF(Tank5!$C$23="No control",(SUMIF(Tank5!$B$32:$B$49,$J2921,Tank5!$C$32:$C$49)*Impacts!$F$12),0)</f>
        <v>0</v>
      </c>
      <c r="Q2921" s="10">
        <f>IFERROR(IF(('Loading-drum,tote'!$C$21)="No control",SUMIF(('Loading-drum,tote'!$B$31:$B$48),$J2921,('Loading-drum,tote'!$D$31:$D$48))*Impacts!$F$13,IF(('Loading-drum,tote'!$C$21)&lt;&gt;"No control",SUMIF(('Loading-drum,tote'!$B$31:$B$48),$J2921,('Loading-drum,tote'!$E$31:$E$48))*Impacts!$F$13,0)),0)</f>
        <v>0</v>
      </c>
      <c r="R2921" s="10">
        <f>IFERROR(IF(('Loading-truck'!$C$21)="No control",SUMIF(('Loading-truck'!$B$31:$B$48),$J2921,('Loading-truck'!$D$31:$D$48))*Impacts!$F$14,IF(('Loading-truck'!$C$21)&lt;&gt;"No control",SUMIF(('Loading-truck'!$B$31:$B$48),$J2921,('Loading-truck'!$E$31:$E$48))*Impacts!$F$14,0)),0)</f>
        <v>0</v>
      </c>
      <c r="S2921" s="10">
        <f>IFERROR(IF(('Loading-rail'!$C$21)="No control",SUMIF(('Loading-rail'!$B$31:$B$48),$J2921,('Loading-rail'!$D$31:$D$48))*Impacts!$F$15,IF(('Loading-rail'!$C$21)&lt;&gt;"No control",SUMIF(('Loading-rail'!$B$31:$B$48),$J2921,('Loading-rail'!$E$31:$E$48))*Impacts!$F$15,0)),0)</f>
        <v>0</v>
      </c>
      <c r="T2921" s="10">
        <f>IF(Flare!$C$7="",0,(SUMIF(Flare!$B$46:$B$185,$J2921,Flare!$E$46:$E$185)*Impacts!$F$16))</f>
        <v>0</v>
      </c>
      <c r="U2921" s="10">
        <f>IF(VCU!$C$9="",0,(SUMIF(VCU!$B$51:$B$193,$J2921,VCU!$E$51:$E$193)*Impacts!$F$17))</f>
        <v>0</v>
      </c>
      <c r="V2921" s="10">
        <f>IF(CAS!$C$7="",0,(SUMIF(CAS!$B$31:$B$167,$J2921,CAS!$E$31:$E$167)*Impacts!$F$18))</f>
        <v>0</v>
      </c>
      <c r="W2921" s="10">
        <f t="shared" si="86"/>
        <v>0</v>
      </c>
      <c r="AK2921" s="10" t="str">
        <f t="array" ref="AK2921">IFERROR(INDEX(SelectedSpecies,SMALL(IF(SelectedSpecies=AK$1,ROW(SelectedSpecies)),ROW(2922:2922)),2),"")</f>
        <v/>
      </c>
      <c r="BE2921" s="10"/>
      <c r="BI2921" s="10"/>
    </row>
    <row r="2922" spans="1:61" ht="21" customHeight="1" x14ac:dyDescent="0.25">
      <c r="A2922" s="10"/>
      <c r="B2922" s="10"/>
      <c r="E2922" s="10"/>
      <c r="G2922" s="10"/>
      <c r="I2922" s="436" t="s">
        <v>6052</v>
      </c>
      <c r="J2922" s="26" t="s">
        <v>6051</v>
      </c>
      <c r="K2922" s="10">
        <v>1</v>
      </c>
      <c r="L2922" s="73">
        <f>IF(Tank1!$C$23="No control",(SUMIF(Tank1!$B$32:$B$49,$J2922,Tank1!$C$32:$C$49)*Impacts!$F$8),0)</f>
        <v>0</v>
      </c>
      <c r="M2922" s="10">
        <f>IF(Tank2!$C$23="No control",(SUMIF(Tank2!$B$32:$B$49,$J2922,Tank2!$C$32:$C$49)*Impacts!$F$9),0)</f>
        <v>0</v>
      </c>
      <c r="N2922" s="10">
        <f>IF(Tank3!$C$23="No control",(SUMIF(Tank3!$B$32:$B$49,$J2922,Tank3!$C$32:$C$49)*Impacts!$F$10),0)</f>
        <v>0</v>
      </c>
      <c r="O2922" s="10">
        <f>IF(Tank4!$C$23="No control",(SUMIF(Tank4!$B$32:$B$49,$J2922,Tank4!$C$32:$C$49)*Impacts!$F$11),0)</f>
        <v>0</v>
      </c>
      <c r="P2922" s="10">
        <f>IF(Tank5!$C$23="No control",(SUMIF(Tank5!$B$32:$B$49,$J2922,Tank5!$C$32:$C$49)*Impacts!$F$12),0)</f>
        <v>0</v>
      </c>
      <c r="Q2922" s="10">
        <f>IFERROR(IF(('Loading-drum,tote'!$C$21)="No control",SUMIF(('Loading-drum,tote'!$B$31:$B$48),$J2922,('Loading-drum,tote'!$D$31:$D$48))*Impacts!$F$13,IF(('Loading-drum,tote'!$C$21)&lt;&gt;"No control",SUMIF(('Loading-drum,tote'!$B$31:$B$48),$J2922,('Loading-drum,tote'!$E$31:$E$48))*Impacts!$F$13,0)),0)</f>
        <v>0</v>
      </c>
      <c r="R2922" s="10">
        <f>IFERROR(IF(('Loading-truck'!$C$21)="No control",SUMIF(('Loading-truck'!$B$31:$B$48),$J2922,('Loading-truck'!$D$31:$D$48))*Impacts!$F$14,IF(('Loading-truck'!$C$21)&lt;&gt;"No control",SUMIF(('Loading-truck'!$B$31:$B$48),$J2922,('Loading-truck'!$E$31:$E$48))*Impacts!$F$14,0)),0)</f>
        <v>0</v>
      </c>
      <c r="S2922" s="10">
        <f>IFERROR(IF(('Loading-rail'!$C$21)="No control",SUMIF(('Loading-rail'!$B$31:$B$48),$J2922,('Loading-rail'!$D$31:$D$48))*Impacts!$F$15,IF(('Loading-rail'!$C$21)&lt;&gt;"No control",SUMIF(('Loading-rail'!$B$31:$B$48),$J2922,('Loading-rail'!$E$31:$E$48))*Impacts!$F$15,0)),0)</f>
        <v>0</v>
      </c>
      <c r="T2922" s="10">
        <f>IF(Flare!$C$7="",0,(SUMIF(Flare!$B$46:$B$185,$J2922,Flare!$E$46:$E$185)*Impacts!$F$16))</f>
        <v>0</v>
      </c>
      <c r="U2922" s="10">
        <f>IF(VCU!$C$9="",0,(SUMIF(VCU!$B$51:$B$193,$J2922,VCU!$E$51:$E$193)*Impacts!$F$17))</f>
        <v>0</v>
      </c>
      <c r="V2922" s="10">
        <f>IF(CAS!$C$7="",0,(SUMIF(CAS!$B$31:$B$167,$J2922,CAS!$E$31:$E$167)*Impacts!$F$18))</f>
        <v>0</v>
      </c>
      <c r="W2922" s="10">
        <f t="shared" si="86"/>
        <v>0</v>
      </c>
      <c r="AK2922" s="10" t="str">
        <f t="array" ref="AK2922">IFERROR(INDEX(SelectedSpecies,SMALL(IF(SelectedSpecies=AK$1,ROW(SelectedSpecies)),ROW(2923:2923)),2),"")</f>
        <v/>
      </c>
      <c r="BE2922" s="10"/>
      <c r="BI2922" s="10"/>
    </row>
    <row r="2923" spans="1:61" ht="21" customHeight="1" x14ac:dyDescent="0.25">
      <c r="A2923" s="10"/>
      <c r="B2923" s="10"/>
      <c r="E2923" s="10"/>
      <c r="G2923" s="10"/>
      <c r="I2923" s="436" t="s">
        <v>7110</v>
      </c>
      <c r="J2923" s="26" t="s">
        <v>7109</v>
      </c>
      <c r="K2923" s="10">
        <v>0.4</v>
      </c>
      <c r="L2923" s="73">
        <f>IF(Tank1!$C$23="No control",(SUMIF(Tank1!$B$32:$B$49,$J2923,Tank1!$C$32:$C$49)*Impacts!$F$8),0)</f>
        <v>0</v>
      </c>
      <c r="M2923" s="10">
        <f>IF(Tank2!$C$23="No control",(SUMIF(Tank2!$B$32:$B$49,$J2923,Tank2!$C$32:$C$49)*Impacts!$F$9),0)</f>
        <v>0</v>
      </c>
      <c r="N2923" s="10">
        <f>IF(Tank3!$C$23="No control",(SUMIF(Tank3!$B$32:$B$49,$J2923,Tank3!$C$32:$C$49)*Impacts!$F$10),0)</f>
        <v>0</v>
      </c>
      <c r="O2923" s="10">
        <f>IF(Tank4!$C$23="No control",(SUMIF(Tank4!$B$32:$B$49,$J2923,Tank4!$C$32:$C$49)*Impacts!$F$11),0)</f>
        <v>0</v>
      </c>
      <c r="P2923" s="10">
        <f>IF(Tank5!$C$23="No control",(SUMIF(Tank5!$B$32:$B$49,$J2923,Tank5!$C$32:$C$49)*Impacts!$F$12),0)</f>
        <v>0</v>
      </c>
      <c r="Q2923" s="10">
        <f>IFERROR(IF(('Loading-drum,tote'!$C$21)="No control",SUMIF(('Loading-drum,tote'!$B$31:$B$48),$J2923,('Loading-drum,tote'!$D$31:$D$48))*Impacts!$F$13,IF(('Loading-drum,tote'!$C$21)&lt;&gt;"No control",SUMIF(('Loading-drum,tote'!$B$31:$B$48),$J2923,('Loading-drum,tote'!$E$31:$E$48))*Impacts!$F$13,0)),0)</f>
        <v>0</v>
      </c>
      <c r="R2923" s="10">
        <f>IFERROR(IF(('Loading-truck'!$C$21)="No control",SUMIF(('Loading-truck'!$B$31:$B$48),$J2923,('Loading-truck'!$D$31:$D$48))*Impacts!$F$14,IF(('Loading-truck'!$C$21)&lt;&gt;"No control",SUMIF(('Loading-truck'!$B$31:$B$48),$J2923,('Loading-truck'!$E$31:$E$48))*Impacts!$F$14,0)),0)</f>
        <v>0</v>
      </c>
      <c r="S2923" s="10">
        <f>IFERROR(IF(('Loading-rail'!$C$21)="No control",SUMIF(('Loading-rail'!$B$31:$B$48),$J2923,('Loading-rail'!$D$31:$D$48))*Impacts!$F$15,IF(('Loading-rail'!$C$21)&lt;&gt;"No control",SUMIF(('Loading-rail'!$B$31:$B$48),$J2923,('Loading-rail'!$E$31:$E$48))*Impacts!$F$15,0)),0)</f>
        <v>0</v>
      </c>
      <c r="T2923" s="10">
        <f>IF(Flare!$C$7="",0,(SUMIF(Flare!$B$46:$B$185,$J2923,Flare!$E$46:$E$185)*Impacts!$F$16))</f>
        <v>0</v>
      </c>
      <c r="U2923" s="10">
        <f>IF(VCU!$C$9="",0,(SUMIF(VCU!$B$51:$B$193,$J2923,VCU!$E$51:$E$193)*Impacts!$F$17))</f>
        <v>0</v>
      </c>
      <c r="V2923" s="10">
        <f>IF(CAS!$C$7="",0,(SUMIF(CAS!$B$31:$B$167,$J2923,CAS!$E$31:$E$167)*Impacts!$F$18))</f>
        <v>0</v>
      </c>
      <c r="W2923" s="10">
        <f t="shared" si="86"/>
        <v>0</v>
      </c>
      <c r="AK2923" s="10" t="str">
        <f t="array" ref="AK2923">IFERROR(INDEX(SelectedSpecies,SMALL(IF(SelectedSpecies=AK$1,ROW(SelectedSpecies)),ROW(2924:2924)),2),"")</f>
        <v/>
      </c>
      <c r="BE2923" s="10"/>
      <c r="BI2923" s="10"/>
    </row>
    <row r="2924" spans="1:61" ht="21" customHeight="1" x14ac:dyDescent="0.25">
      <c r="A2924" s="10"/>
      <c r="B2924" s="10"/>
      <c r="E2924" s="10"/>
      <c r="G2924" s="10"/>
      <c r="I2924" s="436" t="s">
        <v>4825</v>
      </c>
      <c r="J2924" s="26" t="s">
        <v>4824</v>
      </c>
      <c r="K2924" s="10">
        <v>3</v>
      </c>
      <c r="L2924" s="73">
        <f>IF(Tank1!$C$23="No control",(SUMIF(Tank1!$B$32:$B$49,$J2924,Tank1!$C$32:$C$49)*Impacts!$F$8),0)</f>
        <v>0</v>
      </c>
      <c r="M2924" s="10">
        <f>IF(Tank2!$C$23="No control",(SUMIF(Tank2!$B$32:$B$49,$J2924,Tank2!$C$32:$C$49)*Impacts!$F$9),0)</f>
        <v>0</v>
      </c>
      <c r="N2924" s="10">
        <f>IF(Tank3!$C$23="No control",(SUMIF(Tank3!$B$32:$B$49,$J2924,Tank3!$C$32:$C$49)*Impacts!$F$10),0)</f>
        <v>0</v>
      </c>
      <c r="O2924" s="10">
        <f>IF(Tank4!$C$23="No control",(SUMIF(Tank4!$B$32:$B$49,$J2924,Tank4!$C$32:$C$49)*Impacts!$F$11),0)</f>
        <v>0</v>
      </c>
      <c r="P2924" s="10">
        <f>IF(Tank5!$C$23="No control",(SUMIF(Tank5!$B$32:$B$49,$J2924,Tank5!$C$32:$C$49)*Impacts!$F$12),0)</f>
        <v>0</v>
      </c>
      <c r="Q2924" s="10">
        <f>IFERROR(IF(('Loading-drum,tote'!$C$21)="No control",SUMIF(('Loading-drum,tote'!$B$31:$B$48),$J2924,('Loading-drum,tote'!$D$31:$D$48))*Impacts!$F$13,IF(('Loading-drum,tote'!$C$21)&lt;&gt;"No control",SUMIF(('Loading-drum,tote'!$B$31:$B$48),$J2924,('Loading-drum,tote'!$E$31:$E$48))*Impacts!$F$13,0)),0)</f>
        <v>0</v>
      </c>
      <c r="R2924" s="10">
        <f>IFERROR(IF(('Loading-truck'!$C$21)="No control",SUMIF(('Loading-truck'!$B$31:$B$48),$J2924,('Loading-truck'!$D$31:$D$48))*Impacts!$F$14,IF(('Loading-truck'!$C$21)&lt;&gt;"No control",SUMIF(('Loading-truck'!$B$31:$B$48),$J2924,('Loading-truck'!$E$31:$E$48))*Impacts!$F$14,0)),0)</f>
        <v>0</v>
      </c>
      <c r="S2924" s="10">
        <f>IFERROR(IF(('Loading-rail'!$C$21)="No control",SUMIF(('Loading-rail'!$B$31:$B$48),$J2924,('Loading-rail'!$D$31:$D$48))*Impacts!$F$15,IF(('Loading-rail'!$C$21)&lt;&gt;"No control",SUMIF(('Loading-rail'!$B$31:$B$48),$J2924,('Loading-rail'!$E$31:$E$48))*Impacts!$F$15,0)),0)</f>
        <v>0</v>
      </c>
      <c r="T2924" s="10">
        <f>IF(Flare!$C$7="",0,(SUMIF(Flare!$B$46:$B$185,$J2924,Flare!$E$46:$E$185)*Impacts!$F$16))</f>
        <v>0</v>
      </c>
      <c r="U2924" s="10">
        <f>IF(VCU!$C$9="",0,(SUMIF(VCU!$B$51:$B$193,$J2924,VCU!$E$51:$E$193)*Impacts!$F$17))</f>
        <v>0</v>
      </c>
      <c r="V2924" s="10">
        <f>IF(CAS!$C$7="",0,(SUMIF(CAS!$B$31:$B$167,$J2924,CAS!$E$31:$E$167)*Impacts!$F$18))</f>
        <v>0</v>
      </c>
      <c r="W2924" s="10">
        <f t="shared" si="86"/>
        <v>0</v>
      </c>
      <c r="AK2924" s="10" t="str">
        <f t="array" ref="AK2924">IFERROR(INDEX(SelectedSpecies,SMALL(IF(SelectedSpecies=AK$1,ROW(SelectedSpecies)),ROW(2925:2925)),2),"")</f>
        <v/>
      </c>
      <c r="BE2924" s="10"/>
      <c r="BI2924" s="10"/>
    </row>
    <row r="2925" spans="1:61" ht="21" customHeight="1" x14ac:dyDescent="0.25">
      <c r="A2925" s="10"/>
      <c r="B2925" s="10"/>
      <c r="E2925" s="10"/>
      <c r="G2925" s="10"/>
      <c r="I2925" s="436" t="s">
        <v>2575</v>
      </c>
      <c r="J2925" s="26" t="s">
        <v>2574</v>
      </c>
      <c r="K2925" s="10">
        <v>10</v>
      </c>
      <c r="L2925" s="73">
        <f>IF(Tank1!$C$23="No control",(SUMIF(Tank1!$B$32:$B$49,$J2925,Tank1!$C$32:$C$49)*Impacts!$F$8),0)</f>
        <v>0</v>
      </c>
      <c r="M2925" s="10">
        <f>IF(Tank2!$C$23="No control",(SUMIF(Tank2!$B$32:$B$49,$J2925,Tank2!$C$32:$C$49)*Impacts!$F$9),0)</f>
        <v>0</v>
      </c>
      <c r="N2925" s="10">
        <f>IF(Tank3!$C$23="No control",(SUMIF(Tank3!$B$32:$B$49,$J2925,Tank3!$C$32:$C$49)*Impacts!$F$10),0)</f>
        <v>0</v>
      </c>
      <c r="O2925" s="10">
        <f>IF(Tank4!$C$23="No control",(SUMIF(Tank4!$B$32:$B$49,$J2925,Tank4!$C$32:$C$49)*Impacts!$F$11),0)</f>
        <v>0</v>
      </c>
      <c r="P2925" s="10">
        <f>IF(Tank5!$C$23="No control",(SUMIF(Tank5!$B$32:$B$49,$J2925,Tank5!$C$32:$C$49)*Impacts!$F$12),0)</f>
        <v>0</v>
      </c>
      <c r="Q2925" s="10">
        <f>IFERROR(IF(('Loading-drum,tote'!$C$21)="No control",SUMIF(('Loading-drum,tote'!$B$31:$B$48),$J2925,('Loading-drum,tote'!$D$31:$D$48))*Impacts!$F$13,IF(('Loading-drum,tote'!$C$21)&lt;&gt;"No control",SUMIF(('Loading-drum,tote'!$B$31:$B$48),$J2925,('Loading-drum,tote'!$E$31:$E$48))*Impacts!$F$13,0)),0)</f>
        <v>0</v>
      </c>
      <c r="R2925" s="10">
        <f>IFERROR(IF(('Loading-truck'!$C$21)="No control",SUMIF(('Loading-truck'!$B$31:$B$48),$J2925,('Loading-truck'!$D$31:$D$48))*Impacts!$F$14,IF(('Loading-truck'!$C$21)&lt;&gt;"No control",SUMIF(('Loading-truck'!$B$31:$B$48),$J2925,('Loading-truck'!$E$31:$E$48))*Impacts!$F$14,0)),0)</f>
        <v>0</v>
      </c>
      <c r="S2925" s="10">
        <f>IFERROR(IF(('Loading-rail'!$C$21)="No control",SUMIF(('Loading-rail'!$B$31:$B$48),$J2925,('Loading-rail'!$D$31:$D$48))*Impacts!$F$15,IF(('Loading-rail'!$C$21)&lt;&gt;"No control",SUMIF(('Loading-rail'!$B$31:$B$48),$J2925,('Loading-rail'!$E$31:$E$48))*Impacts!$F$15,0)),0)</f>
        <v>0</v>
      </c>
      <c r="T2925" s="10">
        <f>IF(Flare!$C$7="",0,(SUMIF(Flare!$B$46:$B$185,$J2925,Flare!$E$46:$E$185)*Impacts!$F$16))</f>
        <v>0</v>
      </c>
      <c r="U2925" s="10">
        <f>IF(VCU!$C$9="",0,(SUMIF(VCU!$B$51:$B$193,$J2925,VCU!$E$51:$E$193)*Impacts!$F$17))</f>
        <v>0</v>
      </c>
      <c r="V2925" s="10">
        <f>IF(CAS!$C$7="",0,(SUMIF(CAS!$B$31:$B$167,$J2925,CAS!$E$31:$E$167)*Impacts!$F$18))</f>
        <v>0</v>
      </c>
      <c r="W2925" s="10">
        <f t="shared" si="86"/>
        <v>0</v>
      </c>
      <c r="AK2925" s="10" t="str">
        <f t="array" ref="AK2925">IFERROR(INDEX(SelectedSpecies,SMALL(IF(SelectedSpecies=AK$1,ROW(SelectedSpecies)),ROW(2926:2926)),2),"")</f>
        <v/>
      </c>
      <c r="BE2925" s="10"/>
      <c r="BI2925" s="10"/>
    </row>
    <row r="2926" spans="1:61" ht="21" customHeight="1" x14ac:dyDescent="0.25">
      <c r="A2926" s="10"/>
      <c r="B2926" s="10"/>
      <c r="E2926" s="10"/>
      <c r="G2926" s="10"/>
      <c r="I2926" s="436" t="s">
        <v>3831</v>
      </c>
      <c r="J2926" s="26" t="s">
        <v>3830</v>
      </c>
      <c r="K2926" s="10">
        <v>6</v>
      </c>
      <c r="L2926" s="73">
        <f>IF(Tank1!$C$23="No control",(SUMIF(Tank1!$B$32:$B$49,$J2926,Tank1!$C$32:$C$49)*Impacts!$F$8),0)</f>
        <v>0</v>
      </c>
      <c r="M2926" s="10">
        <f>IF(Tank2!$C$23="No control",(SUMIF(Tank2!$B$32:$B$49,$J2926,Tank2!$C$32:$C$49)*Impacts!$F$9),0)</f>
        <v>0</v>
      </c>
      <c r="N2926" s="10">
        <f>IF(Tank3!$C$23="No control",(SUMIF(Tank3!$B$32:$B$49,$J2926,Tank3!$C$32:$C$49)*Impacts!$F$10),0)</f>
        <v>0</v>
      </c>
      <c r="O2926" s="10">
        <f>IF(Tank4!$C$23="No control",(SUMIF(Tank4!$B$32:$B$49,$J2926,Tank4!$C$32:$C$49)*Impacts!$F$11),0)</f>
        <v>0</v>
      </c>
      <c r="P2926" s="10">
        <f>IF(Tank5!$C$23="No control",(SUMIF(Tank5!$B$32:$B$49,$J2926,Tank5!$C$32:$C$49)*Impacts!$F$12),0)</f>
        <v>0</v>
      </c>
      <c r="Q2926" s="10">
        <f>IFERROR(IF(('Loading-drum,tote'!$C$21)="No control",SUMIF(('Loading-drum,tote'!$B$31:$B$48),$J2926,('Loading-drum,tote'!$D$31:$D$48))*Impacts!$F$13,IF(('Loading-drum,tote'!$C$21)&lt;&gt;"No control",SUMIF(('Loading-drum,tote'!$B$31:$B$48),$J2926,('Loading-drum,tote'!$E$31:$E$48))*Impacts!$F$13,0)),0)</f>
        <v>0</v>
      </c>
      <c r="R2926" s="10">
        <f>IFERROR(IF(('Loading-truck'!$C$21)="No control",SUMIF(('Loading-truck'!$B$31:$B$48),$J2926,('Loading-truck'!$D$31:$D$48))*Impacts!$F$14,IF(('Loading-truck'!$C$21)&lt;&gt;"No control",SUMIF(('Loading-truck'!$B$31:$B$48),$J2926,('Loading-truck'!$E$31:$E$48))*Impacts!$F$14,0)),0)</f>
        <v>0</v>
      </c>
      <c r="S2926" s="10">
        <f>IFERROR(IF(('Loading-rail'!$C$21)="No control",SUMIF(('Loading-rail'!$B$31:$B$48),$J2926,('Loading-rail'!$D$31:$D$48))*Impacts!$F$15,IF(('Loading-rail'!$C$21)&lt;&gt;"No control",SUMIF(('Loading-rail'!$B$31:$B$48),$J2926,('Loading-rail'!$E$31:$E$48))*Impacts!$F$15,0)),0)</f>
        <v>0</v>
      </c>
      <c r="T2926" s="10">
        <f>IF(Flare!$C$7="",0,(SUMIF(Flare!$B$46:$B$185,$J2926,Flare!$E$46:$E$185)*Impacts!$F$16))</f>
        <v>0</v>
      </c>
      <c r="U2926" s="10">
        <f>IF(VCU!$C$9="",0,(SUMIF(VCU!$B$51:$B$193,$J2926,VCU!$E$51:$E$193)*Impacts!$F$17))</f>
        <v>0</v>
      </c>
      <c r="V2926" s="10">
        <f>IF(CAS!$C$7="",0,(SUMIF(CAS!$B$31:$B$167,$J2926,CAS!$E$31:$E$167)*Impacts!$F$18))</f>
        <v>0</v>
      </c>
      <c r="W2926" s="10">
        <f t="shared" si="86"/>
        <v>0</v>
      </c>
      <c r="AK2926" s="10" t="str">
        <f t="array" ref="AK2926">IFERROR(INDEX(SelectedSpecies,SMALL(IF(SelectedSpecies=AK$1,ROW(SelectedSpecies)),ROW(2927:2927)),2),"")</f>
        <v/>
      </c>
      <c r="BE2926" s="10"/>
      <c r="BI2926" s="10"/>
    </row>
    <row r="2927" spans="1:61" ht="21" customHeight="1" x14ac:dyDescent="0.25">
      <c r="A2927" s="10"/>
      <c r="B2927" s="10"/>
      <c r="E2927" s="10"/>
      <c r="G2927" s="10"/>
      <c r="I2927" s="436" t="s">
        <v>3985</v>
      </c>
      <c r="J2927" s="26" t="s">
        <v>3984</v>
      </c>
      <c r="K2927" s="10">
        <v>6</v>
      </c>
      <c r="L2927" s="73">
        <f>IF(Tank1!$C$23="No control",(SUMIF(Tank1!$B$32:$B$49,$J2927,Tank1!$C$32:$C$49)*Impacts!$F$8),0)</f>
        <v>0</v>
      </c>
      <c r="M2927" s="10">
        <f>IF(Tank2!$C$23="No control",(SUMIF(Tank2!$B$32:$B$49,$J2927,Tank2!$C$32:$C$49)*Impacts!$F$9),0)</f>
        <v>0</v>
      </c>
      <c r="N2927" s="10">
        <f>IF(Tank3!$C$23="No control",(SUMIF(Tank3!$B$32:$B$49,$J2927,Tank3!$C$32:$C$49)*Impacts!$F$10),0)</f>
        <v>0</v>
      </c>
      <c r="O2927" s="10">
        <f>IF(Tank4!$C$23="No control",(SUMIF(Tank4!$B$32:$B$49,$J2927,Tank4!$C$32:$C$49)*Impacts!$F$11),0)</f>
        <v>0</v>
      </c>
      <c r="P2927" s="10">
        <f>IF(Tank5!$C$23="No control",(SUMIF(Tank5!$B$32:$B$49,$J2927,Tank5!$C$32:$C$49)*Impacts!$F$12),0)</f>
        <v>0</v>
      </c>
      <c r="Q2927" s="10">
        <f>IFERROR(IF(('Loading-drum,tote'!$C$21)="No control",SUMIF(('Loading-drum,tote'!$B$31:$B$48),$J2927,('Loading-drum,tote'!$D$31:$D$48))*Impacts!$F$13,IF(('Loading-drum,tote'!$C$21)&lt;&gt;"No control",SUMIF(('Loading-drum,tote'!$B$31:$B$48),$J2927,('Loading-drum,tote'!$E$31:$E$48))*Impacts!$F$13,0)),0)</f>
        <v>0</v>
      </c>
      <c r="R2927" s="10">
        <f>IFERROR(IF(('Loading-truck'!$C$21)="No control",SUMIF(('Loading-truck'!$B$31:$B$48),$J2927,('Loading-truck'!$D$31:$D$48))*Impacts!$F$14,IF(('Loading-truck'!$C$21)&lt;&gt;"No control",SUMIF(('Loading-truck'!$B$31:$B$48),$J2927,('Loading-truck'!$E$31:$E$48))*Impacts!$F$14,0)),0)</f>
        <v>0</v>
      </c>
      <c r="S2927" s="10">
        <f>IFERROR(IF(('Loading-rail'!$C$21)="No control",SUMIF(('Loading-rail'!$B$31:$B$48),$J2927,('Loading-rail'!$D$31:$D$48))*Impacts!$F$15,IF(('Loading-rail'!$C$21)&lt;&gt;"No control",SUMIF(('Loading-rail'!$B$31:$B$48),$J2927,('Loading-rail'!$E$31:$E$48))*Impacts!$F$15,0)),0)</f>
        <v>0</v>
      </c>
      <c r="T2927" s="10">
        <f>IF(Flare!$C$7="",0,(SUMIF(Flare!$B$46:$B$185,$J2927,Flare!$E$46:$E$185)*Impacts!$F$16))</f>
        <v>0</v>
      </c>
      <c r="U2927" s="10">
        <f>IF(VCU!$C$9="",0,(SUMIF(VCU!$B$51:$B$193,$J2927,VCU!$E$51:$E$193)*Impacts!$F$17))</f>
        <v>0</v>
      </c>
      <c r="V2927" s="10">
        <f>IF(CAS!$C$7="",0,(SUMIF(CAS!$B$31:$B$167,$J2927,CAS!$E$31:$E$167)*Impacts!$F$18))</f>
        <v>0</v>
      </c>
      <c r="W2927" s="10">
        <f t="shared" si="86"/>
        <v>0</v>
      </c>
      <c r="AK2927" s="10" t="str">
        <f t="array" ref="AK2927">IFERROR(INDEX(SelectedSpecies,SMALL(IF(SelectedSpecies=AK$1,ROW(SelectedSpecies)),ROW(2928:2928)),2),"")</f>
        <v/>
      </c>
      <c r="BE2927" s="10"/>
      <c r="BI2927" s="10"/>
    </row>
    <row r="2928" spans="1:61" ht="21" customHeight="1" x14ac:dyDescent="0.25">
      <c r="A2928" s="10"/>
      <c r="B2928" s="10"/>
      <c r="E2928" s="10"/>
      <c r="G2928" s="10"/>
      <c r="I2928" s="436" t="s">
        <v>7770</v>
      </c>
      <c r="J2928" s="26" t="s">
        <v>7769</v>
      </c>
      <c r="K2928" s="10">
        <v>0.1</v>
      </c>
      <c r="L2928" s="73">
        <f>IF(Tank1!$C$23="No control",(SUMIF(Tank1!$B$32:$B$49,$J2928,Tank1!$C$32:$C$49)*Impacts!$F$8),0)</f>
        <v>0</v>
      </c>
      <c r="M2928" s="10">
        <f>IF(Tank2!$C$23="No control",(SUMIF(Tank2!$B$32:$B$49,$J2928,Tank2!$C$32:$C$49)*Impacts!$F$9),0)</f>
        <v>0</v>
      </c>
      <c r="N2928" s="10">
        <f>IF(Tank3!$C$23="No control",(SUMIF(Tank3!$B$32:$B$49,$J2928,Tank3!$C$32:$C$49)*Impacts!$F$10),0)</f>
        <v>0</v>
      </c>
      <c r="O2928" s="10">
        <f>IF(Tank4!$C$23="No control",(SUMIF(Tank4!$B$32:$B$49,$J2928,Tank4!$C$32:$C$49)*Impacts!$F$11),0)</f>
        <v>0</v>
      </c>
      <c r="P2928" s="10">
        <f>IF(Tank5!$C$23="No control",(SUMIF(Tank5!$B$32:$B$49,$J2928,Tank5!$C$32:$C$49)*Impacts!$F$12),0)</f>
        <v>0</v>
      </c>
      <c r="Q2928" s="10">
        <f>IFERROR(IF(('Loading-drum,tote'!$C$21)="No control",SUMIF(('Loading-drum,tote'!$B$31:$B$48),$J2928,('Loading-drum,tote'!$D$31:$D$48))*Impacts!$F$13,IF(('Loading-drum,tote'!$C$21)&lt;&gt;"No control",SUMIF(('Loading-drum,tote'!$B$31:$B$48),$J2928,('Loading-drum,tote'!$E$31:$E$48))*Impacts!$F$13,0)),0)</f>
        <v>0</v>
      </c>
      <c r="R2928" s="10">
        <f>IFERROR(IF(('Loading-truck'!$C$21)="No control",SUMIF(('Loading-truck'!$B$31:$B$48),$J2928,('Loading-truck'!$D$31:$D$48))*Impacts!$F$14,IF(('Loading-truck'!$C$21)&lt;&gt;"No control",SUMIF(('Loading-truck'!$B$31:$B$48),$J2928,('Loading-truck'!$E$31:$E$48))*Impacts!$F$14,0)),0)</f>
        <v>0</v>
      </c>
      <c r="S2928" s="10">
        <f>IFERROR(IF(('Loading-rail'!$C$21)="No control",SUMIF(('Loading-rail'!$B$31:$B$48),$J2928,('Loading-rail'!$D$31:$D$48))*Impacts!$F$15,IF(('Loading-rail'!$C$21)&lt;&gt;"No control",SUMIF(('Loading-rail'!$B$31:$B$48),$J2928,('Loading-rail'!$E$31:$E$48))*Impacts!$F$15,0)),0)</f>
        <v>0</v>
      </c>
      <c r="T2928" s="10">
        <f>IF(Flare!$C$7="",0,(SUMIF(Flare!$B$46:$B$185,$J2928,Flare!$E$46:$E$185)*Impacts!$F$16))</f>
        <v>0</v>
      </c>
      <c r="U2928" s="10">
        <f>IF(VCU!$C$9="",0,(SUMIF(VCU!$B$51:$B$193,$J2928,VCU!$E$51:$E$193)*Impacts!$F$17))</f>
        <v>0</v>
      </c>
      <c r="V2928" s="10">
        <f>IF(CAS!$C$7="",0,(SUMIF(CAS!$B$31:$B$167,$J2928,CAS!$E$31:$E$167)*Impacts!$F$18))</f>
        <v>0</v>
      </c>
      <c r="W2928" s="10">
        <f t="shared" si="86"/>
        <v>0</v>
      </c>
      <c r="AK2928" s="10" t="str">
        <f t="array" ref="AK2928">IFERROR(INDEX(SelectedSpecies,SMALL(IF(SelectedSpecies=AK$1,ROW(SelectedSpecies)),ROW(2929:2929)),2),"")</f>
        <v/>
      </c>
      <c r="BE2928" s="10"/>
      <c r="BI2928" s="10"/>
    </row>
    <row r="2929" spans="1:61" ht="21" customHeight="1" x14ac:dyDescent="0.25">
      <c r="A2929" s="10"/>
      <c r="B2929" s="10"/>
      <c r="E2929" s="10"/>
      <c r="G2929" s="10"/>
      <c r="I2929" s="436" t="s">
        <v>6054</v>
      </c>
      <c r="J2929" s="26" t="s">
        <v>6053</v>
      </c>
      <c r="K2929" s="10">
        <v>1</v>
      </c>
      <c r="L2929" s="73">
        <f>IF(Tank1!$C$23="No control",(SUMIF(Tank1!$B$32:$B$49,$J2929,Tank1!$C$32:$C$49)*Impacts!$F$8),0)</f>
        <v>0</v>
      </c>
      <c r="M2929" s="10">
        <f>IF(Tank2!$C$23="No control",(SUMIF(Tank2!$B$32:$B$49,$J2929,Tank2!$C$32:$C$49)*Impacts!$F$9),0)</f>
        <v>0</v>
      </c>
      <c r="N2929" s="10">
        <f>IF(Tank3!$C$23="No control",(SUMIF(Tank3!$B$32:$B$49,$J2929,Tank3!$C$32:$C$49)*Impacts!$F$10),0)</f>
        <v>0</v>
      </c>
      <c r="O2929" s="10">
        <f>IF(Tank4!$C$23="No control",(SUMIF(Tank4!$B$32:$B$49,$J2929,Tank4!$C$32:$C$49)*Impacts!$F$11),0)</f>
        <v>0</v>
      </c>
      <c r="P2929" s="10">
        <f>IF(Tank5!$C$23="No control",(SUMIF(Tank5!$B$32:$B$49,$J2929,Tank5!$C$32:$C$49)*Impacts!$F$12),0)</f>
        <v>0</v>
      </c>
      <c r="Q2929" s="10">
        <f>IFERROR(IF(('Loading-drum,tote'!$C$21)="No control",SUMIF(('Loading-drum,tote'!$B$31:$B$48),$J2929,('Loading-drum,tote'!$D$31:$D$48))*Impacts!$F$13,IF(('Loading-drum,tote'!$C$21)&lt;&gt;"No control",SUMIF(('Loading-drum,tote'!$B$31:$B$48),$J2929,('Loading-drum,tote'!$E$31:$E$48))*Impacts!$F$13,0)),0)</f>
        <v>0</v>
      </c>
      <c r="R2929" s="10">
        <f>IFERROR(IF(('Loading-truck'!$C$21)="No control",SUMIF(('Loading-truck'!$B$31:$B$48),$J2929,('Loading-truck'!$D$31:$D$48))*Impacts!$F$14,IF(('Loading-truck'!$C$21)&lt;&gt;"No control",SUMIF(('Loading-truck'!$B$31:$B$48),$J2929,('Loading-truck'!$E$31:$E$48))*Impacts!$F$14,0)),0)</f>
        <v>0</v>
      </c>
      <c r="S2929" s="10">
        <f>IFERROR(IF(('Loading-rail'!$C$21)="No control",SUMIF(('Loading-rail'!$B$31:$B$48),$J2929,('Loading-rail'!$D$31:$D$48))*Impacts!$F$15,IF(('Loading-rail'!$C$21)&lt;&gt;"No control",SUMIF(('Loading-rail'!$B$31:$B$48),$J2929,('Loading-rail'!$E$31:$E$48))*Impacts!$F$15,0)),0)</f>
        <v>0</v>
      </c>
      <c r="T2929" s="10">
        <f>IF(Flare!$C$7="",0,(SUMIF(Flare!$B$46:$B$185,$J2929,Flare!$E$46:$E$185)*Impacts!$F$16))</f>
        <v>0</v>
      </c>
      <c r="U2929" s="10">
        <f>IF(VCU!$C$9="",0,(SUMIF(VCU!$B$51:$B$193,$J2929,VCU!$E$51:$E$193)*Impacts!$F$17))</f>
        <v>0</v>
      </c>
      <c r="V2929" s="10">
        <f>IF(CAS!$C$7="",0,(SUMIF(CAS!$B$31:$B$167,$J2929,CAS!$E$31:$E$167)*Impacts!$F$18))</f>
        <v>0</v>
      </c>
      <c r="W2929" s="10">
        <f t="shared" si="86"/>
        <v>0</v>
      </c>
      <c r="AK2929" s="10" t="str">
        <f t="array" ref="AK2929">IFERROR(INDEX(SelectedSpecies,SMALL(IF(SelectedSpecies=AK$1,ROW(SelectedSpecies)),ROW(2930:2930)),2),"")</f>
        <v/>
      </c>
      <c r="BE2929" s="10"/>
      <c r="BI2929" s="10"/>
    </row>
    <row r="2930" spans="1:61" ht="21" customHeight="1" x14ac:dyDescent="0.25">
      <c r="A2930" s="10"/>
      <c r="B2930" s="10"/>
      <c r="E2930" s="10"/>
      <c r="G2930" s="10"/>
      <c r="I2930" s="436" t="s">
        <v>1130</v>
      </c>
      <c r="J2930" s="26" t="s">
        <v>1129</v>
      </c>
      <c r="K2930" s="10">
        <v>35</v>
      </c>
      <c r="L2930" s="73">
        <f>IF(Tank1!$C$23="No control",(SUMIF(Tank1!$B$32:$B$49,$J2930,Tank1!$C$32:$C$49)*Impacts!$F$8),0)</f>
        <v>0</v>
      </c>
      <c r="M2930" s="10">
        <f>IF(Tank2!$C$23="No control",(SUMIF(Tank2!$B$32:$B$49,$J2930,Tank2!$C$32:$C$49)*Impacts!$F$9),0)</f>
        <v>0</v>
      </c>
      <c r="N2930" s="10">
        <f>IF(Tank3!$C$23="No control",(SUMIF(Tank3!$B$32:$B$49,$J2930,Tank3!$C$32:$C$49)*Impacts!$F$10),0)</f>
        <v>0</v>
      </c>
      <c r="O2930" s="10">
        <f>IF(Tank4!$C$23="No control",(SUMIF(Tank4!$B$32:$B$49,$J2930,Tank4!$C$32:$C$49)*Impacts!$F$11),0)</f>
        <v>0</v>
      </c>
      <c r="P2930" s="10">
        <f>IF(Tank5!$C$23="No control",(SUMIF(Tank5!$B$32:$B$49,$J2930,Tank5!$C$32:$C$49)*Impacts!$F$12),0)</f>
        <v>0</v>
      </c>
      <c r="Q2930" s="10">
        <f>IFERROR(IF(('Loading-drum,tote'!$C$21)="No control",SUMIF(('Loading-drum,tote'!$B$31:$B$48),$J2930,('Loading-drum,tote'!$D$31:$D$48))*Impacts!$F$13,IF(('Loading-drum,tote'!$C$21)&lt;&gt;"No control",SUMIF(('Loading-drum,tote'!$B$31:$B$48),$J2930,('Loading-drum,tote'!$E$31:$E$48))*Impacts!$F$13,0)),0)</f>
        <v>0</v>
      </c>
      <c r="R2930" s="10">
        <f>IFERROR(IF(('Loading-truck'!$C$21)="No control",SUMIF(('Loading-truck'!$B$31:$B$48),$J2930,('Loading-truck'!$D$31:$D$48))*Impacts!$F$14,IF(('Loading-truck'!$C$21)&lt;&gt;"No control",SUMIF(('Loading-truck'!$B$31:$B$48),$J2930,('Loading-truck'!$E$31:$E$48))*Impacts!$F$14,0)),0)</f>
        <v>0</v>
      </c>
      <c r="S2930" s="10">
        <f>IFERROR(IF(('Loading-rail'!$C$21)="No control",SUMIF(('Loading-rail'!$B$31:$B$48),$J2930,('Loading-rail'!$D$31:$D$48))*Impacts!$F$15,IF(('Loading-rail'!$C$21)&lt;&gt;"No control",SUMIF(('Loading-rail'!$B$31:$B$48),$J2930,('Loading-rail'!$E$31:$E$48))*Impacts!$F$15,0)),0)</f>
        <v>0</v>
      </c>
      <c r="T2930" s="10">
        <f>IF(Flare!$C$7="",0,(SUMIF(Flare!$B$46:$B$185,$J2930,Flare!$E$46:$E$185)*Impacts!$F$16))</f>
        <v>0</v>
      </c>
      <c r="U2930" s="10">
        <f>IF(VCU!$C$9="",0,(SUMIF(VCU!$B$51:$B$193,$J2930,VCU!$E$51:$E$193)*Impacts!$F$17))</f>
        <v>0</v>
      </c>
      <c r="V2930" s="10">
        <f>IF(CAS!$C$7="",0,(SUMIF(CAS!$B$31:$B$167,$J2930,CAS!$E$31:$E$167)*Impacts!$F$18))</f>
        <v>0</v>
      </c>
      <c r="W2930" s="10">
        <f t="shared" si="86"/>
        <v>0</v>
      </c>
      <c r="AK2930" s="10" t="str">
        <f t="array" ref="AK2930">IFERROR(INDEX(SelectedSpecies,SMALL(IF(SelectedSpecies=AK$1,ROW(SelectedSpecies)),ROW(2931:2931)),2),"")</f>
        <v/>
      </c>
      <c r="BE2930" s="10"/>
      <c r="BI2930" s="10"/>
    </row>
    <row r="2931" spans="1:61" ht="21" customHeight="1" x14ac:dyDescent="0.25">
      <c r="A2931" s="10"/>
      <c r="B2931" s="10"/>
      <c r="E2931" s="10"/>
      <c r="G2931" s="10"/>
      <c r="I2931" s="436" t="s">
        <v>1715</v>
      </c>
      <c r="J2931" s="26" t="s">
        <v>1714</v>
      </c>
      <c r="K2931" s="10">
        <v>24.5</v>
      </c>
      <c r="L2931" s="73">
        <f>IF(Tank1!$C$23="No control",(SUMIF(Tank1!$B$32:$B$49,$J2931,Tank1!$C$32:$C$49)*Impacts!$F$8),0)</f>
        <v>0</v>
      </c>
      <c r="M2931" s="10">
        <f>IF(Tank2!$C$23="No control",(SUMIF(Tank2!$B$32:$B$49,$J2931,Tank2!$C$32:$C$49)*Impacts!$F$9),0)</f>
        <v>0</v>
      </c>
      <c r="N2931" s="10">
        <f>IF(Tank3!$C$23="No control",(SUMIF(Tank3!$B$32:$B$49,$J2931,Tank3!$C$32:$C$49)*Impacts!$F$10),0)</f>
        <v>0</v>
      </c>
      <c r="O2931" s="10">
        <f>IF(Tank4!$C$23="No control",(SUMIF(Tank4!$B$32:$B$49,$J2931,Tank4!$C$32:$C$49)*Impacts!$F$11),0)</f>
        <v>0</v>
      </c>
      <c r="P2931" s="10">
        <f>IF(Tank5!$C$23="No control",(SUMIF(Tank5!$B$32:$B$49,$J2931,Tank5!$C$32:$C$49)*Impacts!$F$12),0)</f>
        <v>0</v>
      </c>
      <c r="Q2931" s="10">
        <f>IFERROR(IF(('Loading-drum,tote'!$C$21)="No control",SUMIF(('Loading-drum,tote'!$B$31:$B$48),$J2931,('Loading-drum,tote'!$D$31:$D$48))*Impacts!$F$13,IF(('Loading-drum,tote'!$C$21)&lt;&gt;"No control",SUMIF(('Loading-drum,tote'!$B$31:$B$48),$J2931,('Loading-drum,tote'!$E$31:$E$48))*Impacts!$F$13,0)),0)</f>
        <v>0</v>
      </c>
      <c r="R2931" s="10">
        <f>IFERROR(IF(('Loading-truck'!$C$21)="No control",SUMIF(('Loading-truck'!$B$31:$B$48),$J2931,('Loading-truck'!$D$31:$D$48))*Impacts!$F$14,IF(('Loading-truck'!$C$21)&lt;&gt;"No control",SUMIF(('Loading-truck'!$B$31:$B$48),$J2931,('Loading-truck'!$E$31:$E$48))*Impacts!$F$14,0)),0)</f>
        <v>0</v>
      </c>
      <c r="S2931" s="10">
        <f>IFERROR(IF(('Loading-rail'!$C$21)="No control",SUMIF(('Loading-rail'!$B$31:$B$48),$J2931,('Loading-rail'!$D$31:$D$48))*Impacts!$F$15,IF(('Loading-rail'!$C$21)&lt;&gt;"No control",SUMIF(('Loading-rail'!$B$31:$B$48),$J2931,('Loading-rail'!$E$31:$E$48))*Impacts!$F$15,0)),0)</f>
        <v>0</v>
      </c>
      <c r="T2931" s="10">
        <f>IF(Flare!$C$7="",0,(SUMIF(Flare!$B$46:$B$185,$J2931,Flare!$E$46:$E$185)*Impacts!$F$16))</f>
        <v>0</v>
      </c>
      <c r="U2931" s="10">
        <f>IF(VCU!$C$9="",0,(SUMIF(VCU!$B$51:$B$193,$J2931,VCU!$E$51:$E$193)*Impacts!$F$17))</f>
        <v>0</v>
      </c>
      <c r="V2931" s="10">
        <f>IF(CAS!$C$7="",0,(SUMIF(CAS!$B$31:$B$167,$J2931,CAS!$E$31:$E$167)*Impacts!$F$18))</f>
        <v>0</v>
      </c>
      <c r="W2931" s="10">
        <f t="shared" si="86"/>
        <v>0</v>
      </c>
      <c r="AK2931" s="10" t="str">
        <f t="array" ref="AK2931">IFERROR(INDEX(SelectedSpecies,SMALL(IF(SelectedSpecies=AK$1,ROW(SelectedSpecies)),ROW(2932:2932)),2),"")</f>
        <v/>
      </c>
      <c r="BE2931" s="10"/>
      <c r="BI2931" s="10"/>
    </row>
    <row r="2932" spans="1:61" ht="21" customHeight="1" x14ac:dyDescent="0.25">
      <c r="A2932" s="10"/>
      <c r="B2932" s="10"/>
      <c r="E2932" s="10"/>
      <c r="G2932" s="10"/>
      <c r="I2932" s="436" t="s">
        <v>3987</v>
      </c>
      <c r="J2932" s="26" t="s">
        <v>3986</v>
      </c>
      <c r="K2932" s="10">
        <v>6</v>
      </c>
      <c r="L2932" s="73">
        <f>IF(Tank1!$C$23="No control",(SUMIF(Tank1!$B$32:$B$49,$J2932,Tank1!$C$32:$C$49)*Impacts!$F$8),0)</f>
        <v>0</v>
      </c>
      <c r="M2932" s="10">
        <f>IF(Tank2!$C$23="No control",(SUMIF(Tank2!$B$32:$B$49,$J2932,Tank2!$C$32:$C$49)*Impacts!$F$9),0)</f>
        <v>0</v>
      </c>
      <c r="N2932" s="10">
        <f>IF(Tank3!$C$23="No control",(SUMIF(Tank3!$B$32:$B$49,$J2932,Tank3!$C$32:$C$49)*Impacts!$F$10),0)</f>
        <v>0</v>
      </c>
      <c r="O2932" s="10">
        <f>IF(Tank4!$C$23="No control",(SUMIF(Tank4!$B$32:$B$49,$J2932,Tank4!$C$32:$C$49)*Impacts!$F$11),0)</f>
        <v>0</v>
      </c>
      <c r="P2932" s="10">
        <f>IF(Tank5!$C$23="No control",(SUMIF(Tank5!$B$32:$B$49,$J2932,Tank5!$C$32:$C$49)*Impacts!$F$12),0)</f>
        <v>0</v>
      </c>
      <c r="Q2932" s="10">
        <f>IFERROR(IF(('Loading-drum,tote'!$C$21)="No control",SUMIF(('Loading-drum,tote'!$B$31:$B$48),$J2932,('Loading-drum,tote'!$D$31:$D$48))*Impacts!$F$13,IF(('Loading-drum,tote'!$C$21)&lt;&gt;"No control",SUMIF(('Loading-drum,tote'!$B$31:$B$48),$J2932,('Loading-drum,tote'!$E$31:$E$48))*Impacts!$F$13,0)),0)</f>
        <v>0</v>
      </c>
      <c r="R2932" s="10">
        <f>IFERROR(IF(('Loading-truck'!$C$21)="No control",SUMIF(('Loading-truck'!$B$31:$B$48),$J2932,('Loading-truck'!$D$31:$D$48))*Impacts!$F$14,IF(('Loading-truck'!$C$21)&lt;&gt;"No control",SUMIF(('Loading-truck'!$B$31:$B$48),$J2932,('Loading-truck'!$E$31:$E$48))*Impacts!$F$14,0)),0)</f>
        <v>0</v>
      </c>
      <c r="S2932" s="10">
        <f>IFERROR(IF(('Loading-rail'!$C$21)="No control",SUMIF(('Loading-rail'!$B$31:$B$48),$J2932,('Loading-rail'!$D$31:$D$48))*Impacts!$F$15,IF(('Loading-rail'!$C$21)&lt;&gt;"No control",SUMIF(('Loading-rail'!$B$31:$B$48),$J2932,('Loading-rail'!$E$31:$E$48))*Impacts!$F$15,0)),0)</f>
        <v>0</v>
      </c>
      <c r="T2932" s="10">
        <f>IF(Flare!$C$7="",0,(SUMIF(Flare!$B$46:$B$185,$J2932,Flare!$E$46:$E$185)*Impacts!$F$16))</f>
        <v>0</v>
      </c>
      <c r="U2932" s="10">
        <f>IF(VCU!$C$9="",0,(SUMIF(VCU!$B$51:$B$193,$J2932,VCU!$E$51:$E$193)*Impacts!$F$17))</f>
        <v>0</v>
      </c>
      <c r="V2932" s="10">
        <f>IF(CAS!$C$7="",0,(SUMIF(CAS!$B$31:$B$167,$J2932,CAS!$E$31:$E$167)*Impacts!$F$18))</f>
        <v>0</v>
      </c>
      <c r="W2932" s="10">
        <f t="shared" si="86"/>
        <v>0</v>
      </c>
      <c r="AK2932" s="10" t="str">
        <f t="array" ref="AK2932">IFERROR(INDEX(SelectedSpecies,SMALL(IF(SelectedSpecies=AK$1,ROW(SelectedSpecies)),ROW(2933:2933)),2),"")</f>
        <v/>
      </c>
      <c r="BE2932" s="10"/>
      <c r="BI2932" s="10"/>
    </row>
    <row r="2933" spans="1:61" ht="21" customHeight="1" x14ac:dyDescent="0.25">
      <c r="A2933" s="10"/>
      <c r="B2933" s="10"/>
      <c r="E2933" s="10"/>
      <c r="G2933" s="10"/>
      <c r="I2933" s="436" t="s">
        <v>3135</v>
      </c>
      <c r="J2933" s="26" t="s">
        <v>3134</v>
      </c>
      <c r="K2933" s="10">
        <v>10</v>
      </c>
      <c r="L2933" s="73">
        <f>IF(Tank1!$C$23="No control",(SUMIF(Tank1!$B$32:$B$49,$J2933,Tank1!$C$32:$C$49)*Impacts!$F$8),0)</f>
        <v>0</v>
      </c>
      <c r="M2933" s="10">
        <f>IF(Tank2!$C$23="No control",(SUMIF(Tank2!$B$32:$B$49,$J2933,Tank2!$C$32:$C$49)*Impacts!$F$9),0)</f>
        <v>0</v>
      </c>
      <c r="N2933" s="10">
        <f>IF(Tank3!$C$23="No control",(SUMIF(Tank3!$B$32:$B$49,$J2933,Tank3!$C$32:$C$49)*Impacts!$F$10),0)</f>
        <v>0</v>
      </c>
      <c r="O2933" s="10">
        <f>IF(Tank4!$C$23="No control",(SUMIF(Tank4!$B$32:$B$49,$J2933,Tank4!$C$32:$C$49)*Impacts!$F$11),0)</f>
        <v>0</v>
      </c>
      <c r="P2933" s="10">
        <f>IF(Tank5!$C$23="No control",(SUMIF(Tank5!$B$32:$B$49,$J2933,Tank5!$C$32:$C$49)*Impacts!$F$12),0)</f>
        <v>0</v>
      </c>
      <c r="Q2933" s="10">
        <f>IFERROR(IF(('Loading-drum,tote'!$C$21)="No control",SUMIF(('Loading-drum,tote'!$B$31:$B$48),$J2933,('Loading-drum,tote'!$D$31:$D$48))*Impacts!$F$13,IF(('Loading-drum,tote'!$C$21)&lt;&gt;"No control",SUMIF(('Loading-drum,tote'!$B$31:$B$48),$J2933,('Loading-drum,tote'!$E$31:$E$48))*Impacts!$F$13,0)),0)</f>
        <v>0</v>
      </c>
      <c r="R2933" s="10">
        <f>IFERROR(IF(('Loading-truck'!$C$21)="No control",SUMIF(('Loading-truck'!$B$31:$B$48),$J2933,('Loading-truck'!$D$31:$D$48))*Impacts!$F$14,IF(('Loading-truck'!$C$21)&lt;&gt;"No control",SUMIF(('Loading-truck'!$B$31:$B$48),$J2933,('Loading-truck'!$E$31:$E$48))*Impacts!$F$14,0)),0)</f>
        <v>0</v>
      </c>
      <c r="S2933" s="10">
        <f>IFERROR(IF(('Loading-rail'!$C$21)="No control",SUMIF(('Loading-rail'!$B$31:$B$48),$J2933,('Loading-rail'!$D$31:$D$48))*Impacts!$F$15,IF(('Loading-rail'!$C$21)&lt;&gt;"No control",SUMIF(('Loading-rail'!$B$31:$B$48),$J2933,('Loading-rail'!$E$31:$E$48))*Impacts!$F$15,0)),0)</f>
        <v>0</v>
      </c>
      <c r="T2933" s="10">
        <f>IF(Flare!$C$7="",0,(SUMIF(Flare!$B$46:$B$185,$J2933,Flare!$E$46:$E$185)*Impacts!$F$16))</f>
        <v>0</v>
      </c>
      <c r="U2933" s="10">
        <f>IF(VCU!$C$9="",0,(SUMIF(VCU!$B$51:$B$193,$J2933,VCU!$E$51:$E$193)*Impacts!$F$17))</f>
        <v>0</v>
      </c>
      <c r="V2933" s="10">
        <f>IF(CAS!$C$7="",0,(SUMIF(CAS!$B$31:$B$167,$J2933,CAS!$E$31:$E$167)*Impacts!$F$18))</f>
        <v>0</v>
      </c>
      <c r="W2933" s="10">
        <f t="shared" si="86"/>
        <v>0</v>
      </c>
      <c r="AK2933" s="10" t="str">
        <f t="array" ref="AK2933">IFERROR(INDEX(SelectedSpecies,SMALL(IF(SelectedSpecies=AK$1,ROW(SelectedSpecies)),ROW(2934:2934)),2),"")</f>
        <v/>
      </c>
      <c r="BE2933" s="10"/>
      <c r="BI2933" s="10"/>
    </row>
    <row r="2934" spans="1:61" ht="21" customHeight="1" x14ac:dyDescent="0.25">
      <c r="A2934" s="10"/>
      <c r="B2934" s="10"/>
      <c r="E2934" s="10"/>
      <c r="G2934" s="10"/>
      <c r="I2934" s="436" t="s">
        <v>3137</v>
      </c>
      <c r="J2934" s="26" t="s">
        <v>3136</v>
      </c>
      <c r="K2934" s="10">
        <v>10</v>
      </c>
      <c r="L2934" s="73">
        <f>IF(Tank1!$C$23="No control",(SUMIF(Tank1!$B$32:$B$49,$J2934,Tank1!$C$32:$C$49)*Impacts!$F$8),0)</f>
        <v>0</v>
      </c>
      <c r="M2934" s="10">
        <f>IF(Tank2!$C$23="No control",(SUMIF(Tank2!$B$32:$B$49,$J2934,Tank2!$C$32:$C$49)*Impacts!$F$9),0)</f>
        <v>0</v>
      </c>
      <c r="N2934" s="10">
        <f>IF(Tank3!$C$23="No control",(SUMIF(Tank3!$B$32:$B$49,$J2934,Tank3!$C$32:$C$49)*Impacts!$F$10),0)</f>
        <v>0</v>
      </c>
      <c r="O2934" s="10">
        <f>IF(Tank4!$C$23="No control",(SUMIF(Tank4!$B$32:$B$49,$J2934,Tank4!$C$32:$C$49)*Impacts!$F$11),0)</f>
        <v>0</v>
      </c>
      <c r="P2934" s="10">
        <f>IF(Tank5!$C$23="No control",(SUMIF(Tank5!$B$32:$B$49,$J2934,Tank5!$C$32:$C$49)*Impacts!$F$12),0)</f>
        <v>0</v>
      </c>
      <c r="Q2934" s="10">
        <f>IFERROR(IF(('Loading-drum,tote'!$C$21)="No control",SUMIF(('Loading-drum,tote'!$B$31:$B$48),$J2934,('Loading-drum,tote'!$D$31:$D$48))*Impacts!$F$13,IF(('Loading-drum,tote'!$C$21)&lt;&gt;"No control",SUMIF(('Loading-drum,tote'!$B$31:$B$48),$J2934,('Loading-drum,tote'!$E$31:$E$48))*Impacts!$F$13,0)),0)</f>
        <v>0</v>
      </c>
      <c r="R2934" s="10">
        <f>IFERROR(IF(('Loading-truck'!$C$21)="No control",SUMIF(('Loading-truck'!$B$31:$B$48),$J2934,('Loading-truck'!$D$31:$D$48))*Impacts!$F$14,IF(('Loading-truck'!$C$21)&lt;&gt;"No control",SUMIF(('Loading-truck'!$B$31:$B$48),$J2934,('Loading-truck'!$E$31:$E$48))*Impacts!$F$14,0)),0)</f>
        <v>0</v>
      </c>
      <c r="S2934" s="10">
        <f>IFERROR(IF(('Loading-rail'!$C$21)="No control",SUMIF(('Loading-rail'!$B$31:$B$48),$J2934,('Loading-rail'!$D$31:$D$48))*Impacts!$F$15,IF(('Loading-rail'!$C$21)&lt;&gt;"No control",SUMIF(('Loading-rail'!$B$31:$B$48),$J2934,('Loading-rail'!$E$31:$E$48))*Impacts!$F$15,0)),0)</f>
        <v>0</v>
      </c>
      <c r="T2934" s="10">
        <f>IF(Flare!$C$7="",0,(SUMIF(Flare!$B$46:$B$185,$J2934,Flare!$E$46:$E$185)*Impacts!$F$16))</f>
        <v>0</v>
      </c>
      <c r="U2934" s="10">
        <f>IF(VCU!$C$9="",0,(SUMIF(VCU!$B$51:$B$193,$J2934,VCU!$E$51:$E$193)*Impacts!$F$17))</f>
        <v>0</v>
      </c>
      <c r="V2934" s="10">
        <f>IF(CAS!$C$7="",0,(SUMIF(CAS!$B$31:$B$167,$J2934,CAS!$E$31:$E$167)*Impacts!$F$18))</f>
        <v>0</v>
      </c>
      <c r="W2934" s="10">
        <f t="shared" si="86"/>
        <v>0</v>
      </c>
      <c r="AK2934" s="10" t="str">
        <f t="array" ref="AK2934">IFERROR(INDEX(SelectedSpecies,SMALL(IF(SelectedSpecies=AK$1,ROW(SelectedSpecies)),ROW(2935:2935)),2),"")</f>
        <v/>
      </c>
      <c r="BE2934" s="10"/>
      <c r="BI2934" s="10"/>
    </row>
    <row r="2935" spans="1:61" ht="21" customHeight="1" x14ac:dyDescent="0.25">
      <c r="A2935" s="10"/>
      <c r="B2935" s="10"/>
      <c r="E2935" s="10"/>
      <c r="G2935" s="10"/>
      <c r="I2935" s="436" t="s">
        <v>3139</v>
      </c>
      <c r="J2935" s="26" t="s">
        <v>3138</v>
      </c>
      <c r="K2935" s="10">
        <v>10</v>
      </c>
      <c r="L2935" s="73">
        <f>IF(Tank1!$C$23="No control",(SUMIF(Tank1!$B$32:$B$49,$J2935,Tank1!$C$32:$C$49)*Impacts!$F$8),0)</f>
        <v>0</v>
      </c>
      <c r="M2935" s="10">
        <f>IF(Tank2!$C$23="No control",(SUMIF(Tank2!$B$32:$B$49,$J2935,Tank2!$C$32:$C$49)*Impacts!$F$9),0)</f>
        <v>0</v>
      </c>
      <c r="N2935" s="10">
        <f>IF(Tank3!$C$23="No control",(SUMIF(Tank3!$B$32:$B$49,$J2935,Tank3!$C$32:$C$49)*Impacts!$F$10),0)</f>
        <v>0</v>
      </c>
      <c r="O2935" s="10">
        <f>IF(Tank4!$C$23="No control",(SUMIF(Tank4!$B$32:$B$49,$J2935,Tank4!$C$32:$C$49)*Impacts!$F$11),0)</f>
        <v>0</v>
      </c>
      <c r="P2935" s="10">
        <f>IF(Tank5!$C$23="No control",(SUMIF(Tank5!$B$32:$B$49,$J2935,Tank5!$C$32:$C$49)*Impacts!$F$12),0)</f>
        <v>0</v>
      </c>
      <c r="Q2935" s="10">
        <f>IFERROR(IF(('Loading-drum,tote'!$C$21)="No control",SUMIF(('Loading-drum,tote'!$B$31:$B$48),$J2935,('Loading-drum,tote'!$D$31:$D$48))*Impacts!$F$13,IF(('Loading-drum,tote'!$C$21)&lt;&gt;"No control",SUMIF(('Loading-drum,tote'!$B$31:$B$48),$J2935,('Loading-drum,tote'!$E$31:$E$48))*Impacts!$F$13,0)),0)</f>
        <v>0</v>
      </c>
      <c r="R2935" s="10">
        <f>IFERROR(IF(('Loading-truck'!$C$21)="No control",SUMIF(('Loading-truck'!$B$31:$B$48),$J2935,('Loading-truck'!$D$31:$D$48))*Impacts!$F$14,IF(('Loading-truck'!$C$21)&lt;&gt;"No control",SUMIF(('Loading-truck'!$B$31:$B$48),$J2935,('Loading-truck'!$E$31:$E$48))*Impacts!$F$14,0)),0)</f>
        <v>0</v>
      </c>
      <c r="S2935" s="10">
        <f>IFERROR(IF(('Loading-rail'!$C$21)="No control",SUMIF(('Loading-rail'!$B$31:$B$48),$J2935,('Loading-rail'!$D$31:$D$48))*Impacts!$F$15,IF(('Loading-rail'!$C$21)&lt;&gt;"No control",SUMIF(('Loading-rail'!$B$31:$B$48),$J2935,('Loading-rail'!$E$31:$E$48))*Impacts!$F$15,0)),0)</f>
        <v>0</v>
      </c>
      <c r="T2935" s="10">
        <f>IF(Flare!$C$7="",0,(SUMIF(Flare!$B$46:$B$185,$J2935,Flare!$E$46:$E$185)*Impacts!$F$16))</f>
        <v>0</v>
      </c>
      <c r="U2935" s="10">
        <f>IF(VCU!$C$9="",0,(SUMIF(VCU!$B$51:$B$193,$J2935,VCU!$E$51:$E$193)*Impacts!$F$17))</f>
        <v>0</v>
      </c>
      <c r="V2935" s="10">
        <f>IF(CAS!$C$7="",0,(SUMIF(CAS!$B$31:$B$167,$J2935,CAS!$E$31:$E$167)*Impacts!$F$18))</f>
        <v>0</v>
      </c>
      <c r="W2935" s="10">
        <f t="shared" si="86"/>
        <v>0</v>
      </c>
      <c r="AK2935" s="10" t="str">
        <f t="array" ref="AK2935">IFERROR(INDEX(SelectedSpecies,SMALL(IF(SelectedSpecies=AK$1,ROW(SelectedSpecies)),ROW(2936:2936)),2),"")</f>
        <v/>
      </c>
      <c r="BE2935" s="10"/>
      <c r="BI2935" s="10"/>
    </row>
    <row r="2936" spans="1:61" ht="21" customHeight="1" x14ac:dyDescent="0.25">
      <c r="A2936" s="10"/>
      <c r="B2936" s="10"/>
      <c r="E2936" s="10"/>
      <c r="G2936" s="10"/>
      <c r="I2936" s="436" t="s">
        <v>4585</v>
      </c>
      <c r="J2936" s="26" t="s">
        <v>4584</v>
      </c>
      <c r="K2936" s="10">
        <v>4</v>
      </c>
      <c r="L2936" s="73">
        <f>IF(Tank1!$C$23="No control",(SUMIF(Tank1!$B$32:$B$49,$J2936,Tank1!$C$32:$C$49)*Impacts!$F$8),0)</f>
        <v>0</v>
      </c>
      <c r="M2936" s="10">
        <f>IF(Tank2!$C$23="No control",(SUMIF(Tank2!$B$32:$B$49,$J2936,Tank2!$C$32:$C$49)*Impacts!$F$9),0)</f>
        <v>0</v>
      </c>
      <c r="N2936" s="10">
        <f>IF(Tank3!$C$23="No control",(SUMIF(Tank3!$B$32:$B$49,$J2936,Tank3!$C$32:$C$49)*Impacts!$F$10),0)</f>
        <v>0</v>
      </c>
      <c r="O2936" s="10">
        <f>IF(Tank4!$C$23="No control",(SUMIF(Tank4!$B$32:$B$49,$J2936,Tank4!$C$32:$C$49)*Impacts!$F$11),0)</f>
        <v>0</v>
      </c>
      <c r="P2936" s="10">
        <f>IF(Tank5!$C$23="No control",(SUMIF(Tank5!$B$32:$B$49,$J2936,Tank5!$C$32:$C$49)*Impacts!$F$12),0)</f>
        <v>0</v>
      </c>
      <c r="Q2936" s="10">
        <f>IFERROR(IF(('Loading-drum,tote'!$C$21)="No control",SUMIF(('Loading-drum,tote'!$B$31:$B$48),$J2936,('Loading-drum,tote'!$D$31:$D$48))*Impacts!$F$13,IF(('Loading-drum,tote'!$C$21)&lt;&gt;"No control",SUMIF(('Loading-drum,tote'!$B$31:$B$48),$J2936,('Loading-drum,tote'!$E$31:$E$48))*Impacts!$F$13,0)),0)</f>
        <v>0</v>
      </c>
      <c r="R2936" s="10">
        <f>IFERROR(IF(('Loading-truck'!$C$21)="No control",SUMIF(('Loading-truck'!$B$31:$B$48),$J2936,('Loading-truck'!$D$31:$D$48))*Impacts!$F$14,IF(('Loading-truck'!$C$21)&lt;&gt;"No control",SUMIF(('Loading-truck'!$B$31:$B$48),$J2936,('Loading-truck'!$E$31:$E$48))*Impacts!$F$14,0)),0)</f>
        <v>0</v>
      </c>
      <c r="S2936" s="10">
        <f>IFERROR(IF(('Loading-rail'!$C$21)="No control",SUMIF(('Loading-rail'!$B$31:$B$48),$J2936,('Loading-rail'!$D$31:$D$48))*Impacts!$F$15,IF(('Loading-rail'!$C$21)&lt;&gt;"No control",SUMIF(('Loading-rail'!$B$31:$B$48),$J2936,('Loading-rail'!$E$31:$E$48))*Impacts!$F$15,0)),0)</f>
        <v>0</v>
      </c>
      <c r="T2936" s="10">
        <f>IF(Flare!$C$7="",0,(SUMIF(Flare!$B$46:$B$185,$J2936,Flare!$E$46:$E$185)*Impacts!$F$16))</f>
        <v>0</v>
      </c>
      <c r="U2936" s="10">
        <f>IF(VCU!$C$9="",0,(SUMIF(VCU!$B$51:$B$193,$J2936,VCU!$E$51:$E$193)*Impacts!$F$17))</f>
        <v>0</v>
      </c>
      <c r="V2936" s="10">
        <f>IF(CAS!$C$7="",0,(SUMIF(CAS!$B$31:$B$167,$J2936,CAS!$E$31:$E$167)*Impacts!$F$18))</f>
        <v>0</v>
      </c>
      <c r="W2936" s="10">
        <f t="shared" si="86"/>
        <v>0</v>
      </c>
      <c r="AK2936" s="10" t="str">
        <f t="array" ref="AK2936">IFERROR(INDEX(SelectedSpecies,SMALL(IF(SelectedSpecies=AK$1,ROW(SelectedSpecies)),ROW(2937:2937)),2),"")</f>
        <v/>
      </c>
      <c r="BE2936" s="10"/>
      <c r="BI2936" s="10"/>
    </row>
    <row r="2937" spans="1:61" ht="21" customHeight="1" x14ac:dyDescent="0.25">
      <c r="A2937" s="10"/>
      <c r="B2937" s="10"/>
      <c r="E2937" s="10"/>
      <c r="G2937" s="10"/>
      <c r="I2937" s="436" t="s">
        <v>3989</v>
      </c>
      <c r="J2937" s="26" t="s">
        <v>3988</v>
      </c>
      <c r="K2937" s="10">
        <v>6</v>
      </c>
      <c r="L2937" s="73">
        <f>IF(Tank1!$C$23="No control",(SUMIF(Tank1!$B$32:$B$49,$J2937,Tank1!$C$32:$C$49)*Impacts!$F$8),0)</f>
        <v>0</v>
      </c>
      <c r="M2937" s="10">
        <f>IF(Tank2!$C$23="No control",(SUMIF(Tank2!$B$32:$B$49,$J2937,Tank2!$C$32:$C$49)*Impacts!$F$9),0)</f>
        <v>0</v>
      </c>
      <c r="N2937" s="10">
        <f>IF(Tank3!$C$23="No control",(SUMIF(Tank3!$B$32:$B$49,$J2937,Tank3!$C$32:$C$49)*Impacts!$F$10),0)</f>
        <v>0</v>
      </c>
      <c r="O2937" s="10">
        <f>IF(Tank4!$C$23="No control",(SUMIF(Tank4!$B$32:$B$49,$J2937,Tank4!$C$32:$C$49)*Impacts!$F$11),0)</f>
        <v>0</v>
      </c>
      <c r="P2937" s="10">
        <f>IF(Tank5!$C$23="No control",(SUMIF(Tank5!$B$32:$B$49,$J2937,Tank5!$C$32:$C$49)*Impacts!$F$12),0)</f>
        <v>0</v>
      </c>
      <c r="Q2937" s="10">
        <f>IFERROR(IF(('Loading-drum,tote'!$C$21)="No control",SUMIF(('Loading-drum,tote'!$B$31:$B$48),$J2937,('Loading-drum,tote'!$D$31:$D$48))*Impacts!$F$13,IF(('Loading-drum,tote'!$C$21)&lt;&gt;"No control",SUMIF(('Loading-drum,tote'!$B$31:$B$48),$J2937,('Loading-drum,tote'!$E$31:$E$48))*Impacts!$F$13,0)),0)</f>
        <v>0</v>
      </c>
      <c r="R2937" s="10">
        <f>IFERROR(IF(('Loading-truck'!$C$21)="No control",SUMIF(('Loading-truck'!$B$31:$B$48),$J2937,('Loading-truck'!$D$31:$D$48))*Impacts!$F$14,IF(('Loading-truck'!$C$21)&lt;&gt;"No control",SUMIF(('Loading-truck'!$B$31:$B$48),$J2937,('Loading-truck'!$E$31:$E$48))*Impacts!$F$14,0)),0)</f>
        <v>0</v>
      </c>
      <c r="S2937" s="10">
        <f>IFERROR(IF(('Loading-rail'!$C$21)="No control",SUMIF(('Loading-rail'!$B$31:$B$48),$J2937,('Loading-rail'!$D$31:$D$48))*Impacts!$F$15,IF(('Loading-rail'!$C$21)&lt;&gt;"No control",SUMIF(('Loading-rail'!$B$31:$B$48),$J2937,('Loading-rail'!$E$31:$E$48))*Impacts!$F$15,0)),0)</f>
        <v>0</v>
      </c>
      <c r="T2937" s="10">
        <f>IF(Flare!$C$7="",0,(SUMIF(Flare!$B$46:$B$185,$J2937,Flare!$E$46:$E$185)*Impacts!$F$16))</f>
        <v>0</v>
      </c>
      <c r="U2937" s="10">
        <f>IF(VCU!$C$9="",0,(SUMIF(VCU!$B$51:$B$193,$J2937,VCU!$E$51:$E$193)*Impacts!$F$17))</f>
        <v>0</v>
      </c>
      <c r="V2937" s="10">
        <f>IF(CAS!$C$7="",0,(SUMIF(CAS!$B$31:$B$167,$J2937,CAS!$E$31:$E$167)*Impacts!$F$18))</f>
        <v>0</v>
      </c>
      <c r="W2937" s="10">
        <f t="shared" si="86"/>
        <v>0</v>
      </c>
      <c r="AK2937" s="10" t="str">
        <f t="array" ref="AK2937">IFERROR(INDEX(SelectedSpecies,SMALL(IF(SelectedSpecies=AK$1,ROW(SelectedSpecies)),ROW(2938:2938)),2),"")</f>
        <v/>
      </c>
      <c r="BE2937" s="10"/>
      <c r="BI2937" s="10"/>
    </row>
    <row r="2938" spans="1:61" ht="21" customHeight="1" x14ac:dyDescent="0.25">
      <c r="A2938" s="10"/>
      <c r="B2938" s="10"/>
      <c r="E2938" s="10"/>
      <c r="G2938" s="10"/>
      <c r="I2938" s="436" t="s">
        <v>3141</v>
      </c>
      <c r="J2938" s="26" t="s">
        <v>3140</v>
      </c>
      <c r="K2938" s="10">
        <v>10</v>
      </c>
      <c r="L2938" s="73">
        <f>IF(Tank1!$C$23="No control",(SUMIF(Tank1!$B$32:$B$49,$J2938,Tank1!$C$32:$C$49)*Impacts!$F$8),0)</f>
        <v>0</v>
      </c>
      <c r="M2938" s="10">
        <f>IF(Tank2!$C$23="No control",(SUMIF(Tank2!$B$32:$B$49,$J2938,Tank2!$C$32:$C$49)*Impacts!$F$9),0)</f>
        <v>0</v>
      </c>
      <c r="N2938" s="10">
        <f>IF(Tank3!$C$23="No control",(SUMIF(Tank3!$B$32:$B$49,$J2938,Tank3!$C$32:$C$49)*Impacts!$F$10),0)</f>
        <v>0</v>
      </c>
      <c r="O2938" s="10">
        <f>IF(Tank4!$C$23="No control",(SUMIF(Tank4!$B$32:$B$49,$J2938,Tank4!$C$32:$C$49)*Impacts!$F$11),0)</f>
        <v>0</v>
      </c>
      <c r="P2938" s="10">
        <f>IF(Tank5!$C$23="No control",(SUMIF(Tank5!$B$32:$B$49,$J2938,Tank5!$C$32:$C$49)*Impacts!$F$12),0)</f>
        <v>0</v>
      </c>
      <c r="Q2938" s="10">
        <f>IFERROR(IF(('Loading-drum,tote'!$C$21)="No control",SUMIF(('Loading-drum,tote'!$B$31:$B$48),$J2938,('Loading-drum,tote'!$D$31:$D$48))*Impacts!$F$13,IF(('Loading-drum,tote'!$C$21)&lt;&gt;"No control",SUMIF(('Loading-drum,tote'!$B$31:$B$48),$J2938,('Loading-drum,tote'!$E$31:$E$48))*Impacts!$F$13,0)),0)</f>
        <v>0</v>
      </c>
      <c r="R2938" s="10">
        <f>IFERROR(IF(('Loading-truck'!$C$21)="No control",SUMIF(('Loading-truck'!$B$31:$B$48),$J2938,('Loading-truck'!$D$31:$D$48))*Impacts!$F$14,IF(('Loading-truck'!$C$21)&lt;&gt;"No control",SUMIF(('Loading-truck'!$B$31:$B$48),$J2938,('Loading-truck'!$E$31:$E$48))*Impacts!$F$14,0)),0)</f>
        <v>0</v>
      </c>
      <c r="S2938" s="10">
        <f>IFERROR(IF(('Loading-rail'!$C$21)="No control",SUMIF(('Loading-rail'!$B$31:$B$48),$J2938,('Loading-rail'!$D$31:$D$48))*Impacts!$F$15,IF(('Loading-rail'!$C$21)&lt;&gt;"No control",SUMIF(('Loading-rail'!$B$31:$B$48),$J2938,('Loading-rail'!$E$31:$E$48))*Impacts!$F$15,0)),0)</f>
        <v>0</v>
      </c>
      <c r="T2938" s="10">
        <f>IF(Flare!$C$7="",0,(SUMIF(Flare!$B$46:$B$185,$J2938,Flare!$E$46:$E$185)*Impacts!$F$16))</f>
        <v>0</v>
      </c>
      <c r="U2938" s="10">
        <f>IF(VCU!$C$9="",0,(SUMIF(VCU!$B$51:$B$193,$J2938,VCU!$E$51:$E$193)*Impacts!$F$17))</f>
        <v>0</v>
      </c>
      <c r="V2938" s="10">
        <f>IF(CAS!$C$7="",0,(SUMIF(CAS!$B$31:$B$167,$J2938,CAS!$E$31:$E$167)*Impacts!$F$18))</f>
        <v>0</v>
      </c>
      <c r="W2938" s="10">
        <f t="shared" si="86"/>
        <v>0</v>
      </c>
      <c r="AK2938" s="10" t="str">
        <f t="array" ref="AK2938">IFERROR(INDEX(SelectedSpecies,SMALL(IF(SelectedSpecies=AK$1,ROW(SelectedSpecies)),ROW(2939:2939)),2),"")</f>
        <v/>
      </c>
      <c r="BE2938" s="10"/>
      <c r="BI2938" s="10"/>
    </row>
    <row r="2939" spans="1:61" ht="21" customHeight="1" x14ac:dyDescent="0.25">
      <c r="A2939" s="10"/>
      <c r="B2939" s="10"/>
      <c r="E2939" s="10"/>
      <c r="G2939" s="10"/>
      <c r="I2939" s="436" t="s">
        <v>6056</v>
      </c>
      <c r="J2939" s="26" t="s">
        <v>6055</v>
      </c>
      <c r="K2939" s="10">
        <v>1</v>
      </c>
      <c r="L2939" s="73">
        <f>IF(Tank1!$C$23="No control",(SUMIF(Tank1!$B$32:$B$49,$J2939,Tank1!$C$32:$C$49)*Impacts!$F$8),0)</f>
        <v>0</v>
      </c>
      <c r="M2939" s="10">
        <f>IF(Tank2!$C$23="No control",(SUMIF(Tank2!$B$32:$B$49,$J2939,Tank2!$C$32:$C$49)*Impacts!$F$9),0)</f>
        <v>0</v>
      </c>
      <c r="N2939" s="10">
        <f>IF(Tank3!$C$23="No control",(SUMIF(Tank3!$B$32:$B$49,$J2939,Tank3!$C$32:$C$49)*Impacts!$F$10),0)</f>
        <v>0</v>
      </c>
      <c r="O2939" s="10">
        <f>IF(Tank4!$C$23="No control",(SUMIF(Tank4!$B$32:$B$49,$J2939,Tank4!$C$32:$C$49)*Impacts!$F$11),0)</f>
        <v>0</v>
      </c>
      <c r="P2939" s="10">
        <f>IF(Tank5!$C$23="No control",(SUMIF(Tank5!$B$32:$B$49,$J2939,Tank5!$C$32:$C$49)*Impacts!$F$12),0)</f>
        <v>0</v>
      </c>
      <c r="Q2939" s="10">
        <f>IFERROR(IF(('Loading-drum,tote'!$C$21)="No control",SUMIF(('Loading-drum,tote'!$B$31:$B$48),$J2939,('Loading-drum,tote'!$D$31:$D$48))*Impacts!$F$13,IF(('Loading-drum,tote'!$C$21)&lt;&gt;"No control",SUMIF(('Loading-drum,tote'!$B$31:$B$48),$J2939,('Loading-drum,tote'!$E$31:$E$48))*Impacts!$F$13,0)),0)</f>
        <v>0</v>
      </c>
      <c r="R2939" s="10">
        <f>IFERROR(IF(('Loading-truck'!$C$21)="No control",SUMIF(('Loading-truck'!$B$31:$B$48),$J2939,('Loading-truck'!$D$31:$D$48))*Impacts!$F$14,IF(('Loading-truck'!$C$21)&lt;&gt;"No control",SUMIF(('Loading-truck'!$B$31:$B$48),$J2939,('Loading-truck'!$E$31:$E$48))*Impacts!$F$14,0)),0)</f>
        <v>0</v>
      </c>
      <c r="S2939" s="10">
        <f>IFERROR(IF(('Loading-rail'!$C$21)="No control",SUMIF(('Loading-rail'!$B$31:$B$48),$J2939,('Loading-rail'!$D$31:$D$48))*Impacts!$F$15,IF(('Loading-rail'!$C$21)&lt;&gt;"No control",SUMIF(('Loading-rail'!$B$31:$B$48),$J2939,('Loading-rail'!$E$31:$E$48))*Impacts!$F$15,0)),0)</f>
        <v>0</v>
      </c>
      <c r="T2939" s="10">
        <f>IF(Flare!$C$7="",0,(SUMIF(Flare!$B$46:$B$185,$J2939,Flare!$E$46:$E$185)*Impacts!$F$16))</f>
        <v>0</v>
      </c>
      <c r="U2939" s="10">
        <f>IF(VCU!$C$9="",0,(SUMIF(VCU!$B$51:$B$193,$J2939,VCU!$E$51:$E$193)*Impacts!$F$17))</f>
        <v>0</v>
      </c>
      <c r="V2939" s="10">
        <f>IF(CAS!$C$7="",0,(SUMIF(CAS!$B$31:$B$167,$J2939,CAS!$E$31:$E$167)*Impacts!$F$18))</f>
        <v>0</v>
      </c>
      <c r="W2939" s="10">
        <f t="shared" si="86"/>
        <v>0</v>
      </c>
      <c r="AK2939" s="10" t="str">
        <f t="array" ref="AK2939">IFERROR(INDEX(SelectedSpecies,SMALL(IF(SelectedSpecies=AK$1,ROW(SelectedSpecies)),ROW(2940:2940)),2),"")</f>
        <v/>
      </c>
      <c r="BE2939" s="10"/>
      <c r="BI2939" s="10"/>
    </row>
    <row r="2940" spans="1:61" ht="21" customHeight="1" x14ac:dyDescent="0.25">
      <c r="A2940" s="10"/>
      <c r="B2940" s="10"/>
      <c r="E2940" s="10"/>
      <c r="G2940" s="10"/>
      <c r="I2940" s="436" t="s">
        <v>6058</v>
      </c>
      <c r="J2940" s="26" t="s">
        <v>6057</v>
      </c>
      <c r="K2940" s="10">
        <v>1</v>
      </c>
      <c r="L2940" s="73">
        <f>IF(Tank1!$C$23="No control",(SUMIF(Tank1!$B$32:$B$49,$J2940,Tank1!$C$32:$C$49)*Impacts!$F$8),0)</f>
        <v>0</v>
      </c>
      <c r="M2940" s="10">
        <f>IF(Tank2!$C$23="No control",(SUMIF(Tank2!$B$32:$B$49,$J2940,Tank2!$C$32:$C$49)*Impacts!$F$9),0)</f>
        <v>0</v>
      </c>
      <c r="N2940" s="10">
        <f>IF(Tank3!$C$23="No control",(SUMIF(Tank3!$B$32:$B$49,$J2940,Tank3!$C$32:$C$49)*Impacts!$F$10),0)</f>
        <v>0</v>
      </c>
      <c r="O2940" s="10">
        <f>IF(Tank4!$C$23="No control",(SUMIF(Tank4!$B$32:$B$49,$J2940,Tank4!$C$32:$C$49)*Impacts!$F$11),0)</f>
        <v>0</v>
      </c>
      <c r="P2940" s="10">
        <f>IF(Tank5!$C$23="No control",(SUMIF(Tank5!$B$32:$B$49,$J2940,Tank5!$C$32:$C$49)*Impacts!$F$12),0)</f>
        <v>0</v>
      </c>
      <c r="Q2940" s="10">
        <f>IFERROR(IF(('Loading-drum,tote'!$C$21)="No control",SUMIF(('Loading-drum,tote'!$B$31:$B$48),$J2940,('Loading-drum,tote'!$D$31:$D$48))*Impacts!$F$13,IF(('Loading-drum,tote'!$C$21)&lt;&gt;"No control",SUMIF(('Loading-drum,tote'!$B$31:$B$48),$J2940,('Loading-drum,tote'!$E$31:$E$48))*Impacts!$F$13,0)),0)</f>
        <v>0</v>
      </c>
      <c r="R2940" s="10">
        <f>IFERROR(IF(('Loading-truck'!$C$21)="No control",SUMIF(('Loading-truck'!$B$31:$B$48),$J2940,('Loading-truck'!$D$31:$D$48))*Impacts!$F$14,IF(('Loading-truck'!$C$21)&lt;&gt;"No control",SUMIF(('Loading-truck'!$B$31:$B$48),$J2940,('Loading-truck'!$E$31:$E$48))*Impacts!$F$14,0)),0)</f>
        <v>0</v>
      </c>
      <c r="S2940" s="10">
        <f>IFERROR(IF(('Loading-rail'!$C$21)="No control",SUMIF(('Loading-rail'!$B$31:$B$48),$J2940,('Loading-rail'!$D$31:$D$48))*Impacts!$F$15,IF(('Loading-rail'!$C$21)&lt;&gt;"No control",SUMIF(('Loading-rail'!$B$31:$B$48),$J2940,('Loading-rail'!$E$31:$E$48))*Impacts!$F$15,0)),0)</f>
        <v>0</v>
      </c>
      <c r="T2940" s="10">
        <f>IF(Flare!$C$7="",0,(SUMIF(Flare!$B$46:$B$185,$J2940,Flare!$E$46:$E$185)*Impacts!$F$16))</f>
        <v>0</v>
      </c>
      <c r="U2940" s="10">
        <f>IF(VCU!$C$9="",0,(SUMIF(VCU!$B$51:$B$193,$J2940,VCU!$E$51:$E$193)*Impacts!$F$17))</f>
        <v>0</v>
      </c>
      <c r="V2940" s="10">
        <f>IF(CAS!$C$7="",0,(SUMIF(CAS!$B$31:$B$167,$J2940,CAS!$E$31:$E$167)*Impacts!$F$18))</f>
        <v>0</v>
      </c>
      <c r="W2940" s="10">
        <f t="shared" si="86"/>
        <v>0</v>
      </c>
      <c r="AK2940" s="10" t="str">
        <f t="array" ref="AK2940">IFERROR(INDEX(SelectedSpecies,SMALL(IF(SelectedSpecies=AK$1,ROW(SelectedSpecies)),ROW(2941:2941)),2),"")</f>
        <v/>
      </c>
      <c r="BE2940" s="10"/>
      <c r="BI2940" s="10"/>
    </row>
    <row r="2941" spans="1:61" ht="21" customHeight="1" x14ac:dyDescent="0.25">
      <c r="A2941" s="10"/>
      <c r="B2941" s="10"/>
      <c r="E2941" s="10"/>
      <c r="G2941" s="10"/>
      <c r="I2941" s="436" t="s">
        <v>6238</v>
      </c>
      <c r="J2941" s="26" t="s">
        <v>6237</v>
      </c>
      <c r="K2941" s="10">
        <v>1</v>
      </c>
      <c r="L2941" s="73">
        <f>IF(Tank1!$C$23="No control",(SUMIF(Tank1!$B$32:$B$49,$J2941,Tank1!$C$32:$C$49)*Impacts!$F$8),0)</f>
        <v>0</v>
      </c>
      <c r="M2941" s="10">
        <f>IF(Tank2!$C$23="No control",(SUMIF(Tank2!$B$32:$B$49,$J2941,Tank2!$C$32:$C$49)*Impacts!$F$9),0)</f>
        <v>0</v>
      </c>
      <c r="N2941" s="10">
        <f>IF(Tank3!$C$23="No control",(SUMIF(Tank3!$B$32:$B$49,$J2941,Tank3!$C$32:$C$49)*Impacts!$F$10),0)</f>
        <v>0</v>
      </c>
      <c r="O2941" s="10">
        <f>IF(Tank4!$C$23="No control",(SUMIF(Tank4!$B$32:$B$49,$J2941,Tank4!$C$32:$C$49)*Impacts!$F$11),0)</f>
        <v>0</v>
      </c>
      <c r="P2941" s="10">
        <f>IF(Tank5!$C$23="No control",(SUMIF(Tank5!$B$32:$B$49,$J2941,Tank5!$C$32:$C$49)*Impacts!$F$12),0)</f>
        <v>0</v>
      </c>
      <c r="Q2941" s="10">
        <f>IFERROR(IF(('Loading-drum,tote'!$C$21)="No control",SUMIF(('Loading-drum,tote'!$B$31:$B$48),$J2941,('Loading-drum,tote'!$D$31:$D$48))*Impacts!$F$13,IF(('Loading-drum,tote'!$C$21)&lt;&gt;"No control",SUMIF(('Loading-drum,tote'!$B$31:$B$48),$J2941,('Loading-drum,tote'!$E$31:$E$48))*Impacts!$F$13,0)),0)</f>
        <v>0</v>
      </c>
      <c r="R2941" s="10">
        <f>IFERROR(IF(('Loading-truck'!$C$21)="No control",SUMIF(('Loading-truck'!$B$31:$B$48),$J2941,('Loading-truck'!$D$31:$D$48))*Impacts!$F$14,IF(('Loading-truck'!$C$21)&lt;&gt;"No control",SUMIF(('Loading-truck'!$B$31:$B$48),$J2941,('Loading-truck'!$E$31:$E$48))*Impacts!$F$14,0)),0)</f>
        <v>0</v>
      </c>
      <c r="S2941" s="10">
        <f>IFERROR(IF(('Loading-rail'!$C$21)="No control",SUMIF(('Loading-rail'!$B$31:$B$48),$J2941,('Loading-rail'!$D$31:$D$48))*Impacts!$F$15,IF(('Loading-rail'!$C$21)&lt;&gt;"No control",SUMIF(('Loading-rail'!$B$31:$B$48),$J2941,('Loading-rail'!$E$31:$E$48))*Impacts!$F$15,0)),0)</f>
        <v>0</v>
      </c>
      <c r="T2941" s="10">
        <f>IF(Flare!$C$7="",0,(SUMIF(Flare!$B$46:$B$185,$J2941,Flare!$E$46:$E$185)*Impacts!$F$16))</f>
        <v>0</v>
      </c>
      <c r="U2941" s="10">
        <f>IF(VCU!$C$9="",0,(SUMIF(VCU!$B$51:$B$193,$J2941,VCU!$E$51:$E$193)*Impacts!$F$17))</f>
        <v>0</v>
      </c>
      <c r="V2941" s="10">
        <f>IF(CAS!$C$7="",0,(SUMIF(CAS!$B$31:$B$167,$J2941,CAS!$E$31:$E$167)*Impacts!$F$18))</f>
        <v>0</v>
      </c>
      <c r="W2941" s="10">
        <f t="shared" si="86"/>
        <v>0</v>
      </c>
      <c r="AK2941" s="10" t="str">
        <f t="array" ref="AK2941">IFERROR(INDEX(SelectedSpecies,SMALL(IF(SelectedSpecies=AK$1,ROW(SelectedSpecies)),ROW(2942:2942)),2),"")</f>
        <v/>
      </c>
      <c r="BE2941" s="10"/>
      <c r="BI2941" s="10"/>
    </row>
    <row r="2942" spans="1:61" ht="21" customHeight="1" x14ac:dyDescent="0.25">
      <c r="A2942" s="10"/>
      <c r="B2942" s="10"/>
      <c r="E2942" s="10"/>
      <c r="G2942" s="10"/>
      <c r="I2942" s="436" t="s">
        <v>6060</v>
      </c>
      <c r="J2942" s="26" t="s">
        <v>6059</v>
      </c>
      <c r="K2942" s="10">
        <v>1</v>
      </c>
      <c r="L2942" s="73">
        <f>IF(Tank1!$C$23="No control",(SUMIF(Tank1!$B$32:$B$49,$J2942,Tank1!$C$32:$C$49)*Impacts!$F$8),0)</f>
        <v>0</v>
      </c>
      <c r="M2942" s="10">
        <f>IF(Tank2!$C$23="No control",(SUMIF(Tank2!$B$32:$B$49,$J2942,Tank2!$C$32:$C$49)*Impacts!$F$9),0)</f>
        <v>0</v>
      </c>
      <c r="N2942" s="10">
        <f>IF(Tank3!$C$23="No control",(SUMIF(Tank3!$B$32:$B$49,$J2942,Tank3!$C$32:$C$49)*Impacts!$F$10),0)</f>
        <v>0</v>
      </c>
      <c r="O2942" s="10">
        <f>IF(Tank4!$C$23="No control",(SUMIF(Tank4!$B$32:$B$49,$J2942,Tank4!$C$32:$C$49)*Impacts!$F$11),0)</f>
        <v>0</v>
      </c>
      <c r="P2942" s="10">
        <f>IF(Tank5!$C$23="No control",(SUMIF(Tank5!$B$32:$B$49,$J2942,Tank5!$C$32:$C$49)*Impacts!$F$12),0)</f>
        <v>0</v>
      </c>
      <c r="Q2942" s="10">
        <f>IFERROR(IF(('Loading-drum,tote'!$C$21)="No control",SUMIF(('Loading-drum,tote'!$B$31:$B$48),$J2942,('Loading-drum,tote'!$D$31:$D$48))*Impacts!$F$13,IF(('Loading-drum,tote'!$C$21)&lt;&gt;"No control",SUMIF(('Loading-drum,tote'!$B$31:$B$48),$J2942,('Loading-drum,tote'!$E$31:$E$48))*Impacts!$F$13,0)),0)</f>
        <v>0</v>
      </c>
      <c r="R2942" s="10">
        <f>IFERROR(IF(('Loading-truck'!$C$21)="No control",SUMIF(('Loading-truck'!$B$31:$B$48),$J2942,('Loading-truck'!$D$31:$D$48))*Impacts!$F$14,IF(('Loading-truck'!$C$21)&lt;&gt;"No control",SUMIF(('Loading-truck'!$B$31:$B$48),$J2942,('Loading-truck'!$E$31:$E$48))*Impacts!$F$14,0)),0)</f>
        <v>0</v>
      </c>
      <c r="S2942" s="10">
        <f>IFERROR(IF(('Loading-rail'!$C$21)="No control",SUMIF(('Loading-rail'!$B$31:$B$48),$J2942,('Loading-rail'!$D$31:$D$48))*Impacts!$F$15,IF(('Loading-rail'!$C$21)&lt;&gt;"No control",SUMIF(('Loading-rail'!$B$31:$B$48),$J2942,('Loading-rail'!$E$31:$E$48))*Impacts!$F$15,0)),0)</f>
        <v>0</v>
      </c>
      <c r="T2942" s="10">
        <f>IF(Flare!$C$7="",0,(SUMIF(Flare!$B$46:$B$185,$J2942,Flare!$E$46:$E$185)*Impacts!$F$16))</f>
        <v>0</v>
      </c>
      <c r="U2942" s="10">
        <f>IF(VCU!$C$9="",0,(SUMIF(VCU!$B$51:$B$193,$J2942,VCU!$E$51:$E$193)*Impacts!$F$17))</f>
        <v>0</v>
      </c>
      <c r="V2942" s="10">
        <f>IF(CAS!$C$7="",0,(SUMIF(CAS!$B$31:$B$167,$J2942,CAS!$E$31:$E$167)*Impacts!$F$18))</f>
        <v>0</v>
      </c>
      <c r="W2942" s="10">
        <f t="shared" si="86"/>
        <v>0</v>
      </c>
      <c r="AK2942" s="10" t="str">
        <f t="array" ref="AK2942">IFERROR(INDEX(SelectedSpecies,SMALL(IF(SelectedSpecies=AK$1,ROW(SelectedSpecies)),ROW(2943:2943)),2),"")</f>
        <v/>
      </c>
      <c r="BE2942" s="10"/>
      <c r="BI2942" s="10"/>
    </row>
    <row r="2943" spans="1:61" ht="21" customHeight="1" x14ac:dyDescent="0.25">
      <c r="A2943" s="10"/>
      <c r="B2943" s="10"/>
      <c r="E2943" s="10"/>
      <c r="G2943" s="10"/>
      <c r="I2943" s="436" t="s">
        <v>3833</v>
      </c>
      <c r="J2943" s="26" t="s">
        <v>3832</v>
      </c>
      <c r="K2943" s="10">
        <v>6</v>
      </c>
      <c r="L2943" s="73">
        <f>IF(Tank1!$C$23="No control",(SUMIF(Tank1!$B$32:$B$49,$J2943,Tank1!$C$32:$C$49)*Impacts!$F$8),0)</f>
        <v>0</v>
      </c>
      <c r="M2943" s="10">
        <f>IF(Tank2!$C$23="No control",(SUMIF(Tank2!$B$32:$B$49,$J2943,Tank2!$C$32:$C$49)*Impacts!$F$9),0)</f>
        <v>0</v>
      </c>
      <c r="N2943" s="10">
        <f>IF(Tank3!$C$23="No control",(SUMIF(Tank3!$B$32:$B$49,$J2943,Tank3!$C$32:$C$49)*Impacts!$F$10),0)</f>
        <v>0</v>
      </c>
      <c r="O2943" s="10">
        <f>IF(Tank4!$C$23="No control",(SUMIF(Tank4!$B$32:$B$49,$J2943,Tank4!$C$32:$C$49)*Impacts!$F$11),0)</f>
        <v>0</v>
      </c>
      <c r="P2943" s="10">
        <f>IF(Tank5!$C$23="No control",(SUMIF(Tank5!$B$32:$B$49,$J2943,Tank5!$C$32:$C$49)*Impacts!$F$12),0)</f>
        <v>0</v>
      </c>
      <c r="Q2943" s="10">
        <f>IFERROR(IF(('Loading-drum,tote'!$C$21)="No control",SUMIF(('Loading-drum,tote'!$B$31:$B$48),$J2943,('Loading-drum,tote'!$D$31:$D$48))*Impacts!$F$13,IF(('Loading-drum,tote'!$C$21)&lt;&gt;"No control",SUMIF(('Loading-drum,tote'!$B$31:$B$48),$J2943,('Loading-drum,tote'!$E$31:$E$48))*Impacts!$F$13,0)),0)</f>
        <v>0</v>
      </c>
      <c r="R2943" s="10">
        <f>IFERROR(IF(('Loading-truck'!$C$21)="No control",SUMIF(('Loading-truck'!$B$31:$B$48),$J2943,('Loading-truck'!$D$31:$D$48))*Impacts!$F$14,IF(('Loading-truck'!$C$21)&lt;&gt;"No control",SUMIF(('Loading-truck'!$B$31:$B$48),$J2943,('Loading-truck'!$E$31:$E$48))*Impacts!$F$14,0)),0)</f>
        <v>0</v>
      </c>
      <c r="S2943" s="10">
        <f>IFERROR(IF(('Loading-rail'!$C$21)="No control",SUMIF(('Loading-rail'!$B$31:$B$48),$J2943,('Loading-rail'!$D$31:$D$48))*Impacts!$F$15,IF(('Loading-rail'!$C$21)&lt;&gt;"No control",SUMIF(('Loading-rail'!$B$31:$B$48),$J2943,('Loading-rail'!$E$31:$E$48))*Impacts!$F$15,0)),0)</f>
        <v>0</v>
      </c>
      <c r="T2943" s="10">
        <f>IF(Flare!$C$7="",0,(SUMIF(Flare!$B$46:$B$185,$J2943,Flare!$E$46:$E$185)*Impacts!$F$16))</f>
        <v>0</v>
      </c>
      <c r="U2943" s="10">
        <f>IF(VCU!$C$9="",0,(SUMIF(VCU!$B$51:$B$193,$J2943,VCU!$E$51:$E$193)*Impacts!$F$17))</f>
        <v>0</v>
      </c>
      <c r="V2943" s="10">
        <f>IF(CAS!$C$7="",0,(SUMIF(CAS!$B$31:$B$167,$J2943,CAS!$E$31:$E$167)*Impacts!$F$18))</f>
        <v>0</v>
      </c>
      <c r="W2943" s="10">
        <f t="shared" si="86"/>
        <v>0</v>
      </c>
      <c r="AK2943" s="10" t="str">
        <f t="array" ref="AK2943">IFERROR(INDEX(SelectedSpecies,SMALL(IF(SelectedSpecies=AK$1,ROW(SelectedSpecies)),ROW(2944:2944)),2),"")</f>
        <v/>
      </c>
      <c r="BE2943" s="10"/>
      <c r="BI2943" s="10"/>
    </row>
    <row r="2944" spans="1:61" ht="21" customHeight="1" x14ac:dyDescent="0.25">
      <c r="A2944" s="10"/>
      <c r="B2944" s="10"/>
      <c r="E2944" s="10"/>
      <c r="G2944" s="10"/>
      <c r="I2944" s="436" t="s">
        <v>3143</v>
      </c>
      <c r="J2944" s="26" t="s">
        <v>3142</v>
      </c>
      <c r="K2944" s="10">
        <v>10</v>
      </c>
      <c r="L2944" s="73">
        <f>IF(Tank1!$C$23="No control",(SUMIF(Tank1!$B$32:$B$49,$J2944,Tank1!$C$32:$C$49)*Impacts!$F$8),0)</f>
        <v>0</v>
      </c>
      <c r="M2944" s="10">
        <f>IF(Tank2!$C$23="No control",(SUMIF(Tank2!$B$32:$B$49,$J2944,Tank2!$C$32:$C$49)*Impacts!$F$9),0)</f>
        <v>0</v>
      </c>
      <c r="N2944" s="10">
        <f>IF(Tank3!$C$23="No control",(SUMIF(Tank3!$B$32:$B$49,$J2944,Tank3!$C$32:$C$49)*Impacts!$F$10),0)</f>
        <v>0</v>
      </c>
      <c r="O2944" s="10">
        <f>IF(Tank4!$C$23="No control",(SUMIF(Tank4!$B$32:$B$49,$J2944,Tank4!$C$32:$C$49)*Impacts!$F$11),0)</f>
        <v>0</v>
      </c>
      <c r="P2944" s="10">
        <f>IF(Tank5!$C$23="No control",(SUMIF(Tank5!$B$32:$B$49,$J2944,Tank5!$C$32:$C$49)*Impacts!$F$12),0)</f>
        <v>0</v>
      </c>
      <c r="Q2944" s="10">
        <f>IFERROR(IF(('Loading-drum,tote'!$C$21)="No control",SUMIF(('Loading-drum,tote'!$B$31:$B$48),$J2944,('Loading-drum,tote'!$D$31:$D$48))*Impacts!$F$13,IF(('Loading-drum,tote'!$C$21)&lt;&gt;"No control",SUMIF(('Loading-drum,tote'!$B$31:$B$48),$J2944,('Loading-drum,tote'!$E$31:$E$48))*Impacts!$F$13,0)),0)</f>
        <v>0</v>
      </c>
      <c r="R2944" s="10">
        <f>IFERROR(IF(('Loading-truck'!$C$21)="No control",SUMIF(('Loading-truck'!$B$31:$B$48),$J2944,('Loading-truck'!$D$31:$D$48))*Impacts!$F$14,IF(('Loading-truck'!$C$21)&lt;&gt;"No control",SUMIF(('Loading-truck'!$B$31:$B$48),$J2944,('Loading-truck'!$E$31:$E$48))*Impacts!$F$14,0)),0)</f>
        <v>0</v>
      </c>
      <c r="S2944" s="10">
        <f>IFERROR(IF(('Loading-rail'!$C$21)="No control",SUMIF(('Loading-rail'!$B$31:$B$48),$J2944,('Loading-rail'!$D$31:$D$48))*Impacts!$F$15,IF(('Loading-rail'!$C$21)&lt;&gt;"No control",SUMIF(('Loading-rail'!$B$31:$B$48),$J2944,('Loading-rail'!$E$31:$E$48))*Impacts!$F$15,0)),0)</f>
        <v>0</v>
      </c>
      <c r="T2944" s="10">
        <f>IF(Flare!$C$7="",0,(SUMIF(Flare!$B$46:$B$185,$J2944,Flare!$E$46:$E$185)*Impacts!$F$16))</f>
        <v>0</v>
      </c>
      <c r="U2944" s="10">
        <f>IF(VCU!$C$9="",0,(SUMIF(VCU!$B$51:$B$193,$J2944,VCU!$E$51:$E$193)*Impacts!$F$17))</f>
        <v>0</v>
      </c>
      <c r="V2944" s="10">
        <f>IF(CAS!$C$7="",0,(SUMIF(CAS!$B$31:$B$167,$J2944,CAS!$E$31:$E$167)*Impacts!$F$18))</f>
        <v>0</v>
      </c>
      <c r="W2944" s="10">
        <f t="shared" si="86"/>
        <v>0</v>
      </c>
      <c r="AK2944" s="10" t="str">
        <f t="array" ref="AK2944">IFERROR(INDEX(SelectedSpecies,SMALL(IF(SelectedSpecies=AK$1,ROW(SelectedSpecies)),ROW(2945:2945)),2),"")</f>
        <v/>
      </c>
      <c r="BE2944" s="10"/>
      <c r="BI2944" s="10"/>
    </row>
    <row r="2945" spans="1:61" ht="21" customHeight="1" x14ac:dyDescent="0.25">
      <c r="A2945" s="10"/>
      <c r="B2945" s="10"/>
      <c r="E2945" s="10"/>
      <c r="G2945" s="10"/>
      <c r="I2945" s="436" t="s">
        <v>3145</v>
      </c>
      <c r="J2945" s="26" t="s">
        <v>3144</v>
      </c>
      <c r="K2945" s="10">
        <v>10</v>
      </c>
      <c r="L2945" s="73">
        <f>IF(Tank1!$C$23="No control",(SUMIF(Tank1!$B$32:$B$49,$J2945,Tank1!$C$32:$C$49)*Impacts!$F$8),0)</f>
        <v>0</v>
      </c>
      <c r="M2945" s="10">
        <f>IF(Tank2!$C$23="No control",(SUMIF(Tank2!$B$32:$B$49,$J2945,Tank2!$C$32:$C$49)*Impacts!$F$9),0)</f>
        <v>0</v>
      </c>
      <c r="N2945" s="10">
        <f>IF(Tank3!$C$23="No control",(SUMIF(Tank3!$B$32:$B$49,$J2945,Tank3!$C$32:$C$49)*Impacts!$F$10),0)</f>
        <v>0</v>
      </c>
      <c r="O2945" s="10">
        <f>IF(Tank4!$C$23="No control",(SUMIF(Tank4!$B$32:$B$49,$J2945,Tank4!$C$32:$C$49)*Impacts!$F$11),0)</f>
        <v>0</v>
      </c>
      <c r="P2945" s="10">
        <f>IF(Tank5!$C$23="No control",(SUMIF(Tank5!$B$32:$B$49,$J2945,Tank5!$C$32:$C$49)*Impacts!$F$12),0)</f>
        <v>0</v>
      </c>
      <c r="Q2945" s="10">
        <f>IFERROR(IF(('Loading-drum,tote'!$C$21)="No control",SUMIF(('Loading-drum,tote'!$B$31:$B$48),$J2945,('Loading-drum,tote'!$D$31:$D$48))*Impacts!$F$13,IF(('Loading-drum,tote'!$C$21)&lt;&gt;"No control",SUMIF(('Loading-drum,tote'!$B$31:$B$48),$J2945,('Loading-drum,tote'!$E$31:$E$48))*Impacts!$F$13,0)),0)</f>
        <v>0</v>
      </c>
      <c r="R2945" s="10">
        <f>IFERROR(IF(('Loading-truck'!$C$21)="No control",SUMIF(('Loading-truck'!$B$31:$B$48),$J2945,('Loading-truck'!$D$31:$D$48))*Impacts!$F$14,IF(('Loading-truck'!$C$21)&lt;&gt;"No control",SUMIF(('Loading-truck'!$B$31:$B$48),$J2945,('Loading-truck'!$E$31:$E$48))*Impacts!$F$14,0)),0)</f>
        <v>0</v>
      </c>
      <c r="S2945" s="10">
        <f>IFERROR(IF(('Loading-rail'!$C$21)="No control",SUMIF(('Loading-rail'!$B$31:$B$48),$J2945,('Loading-rail'!$D$31:$D$48))*Impacts!$F$15,IF(('Loading-rail'!$C$21)&lt;&gt;"No control",SUMIF(('Loading-rail'!$B$31:$B$48),$J2945,('Loading-rail'!$E$31:$E$48))*Impacts!$F$15,0)),0)</f>
        <v>0</v>
      </c>
      <c r="T2945" s="10">
        <f>IF(Flare!$C$7="",0,(SUMIF(Flare!$B$46:$B$185,$J2945,Flare!$E$46:$E$185)*Impacts!$F$16))</f>
        <v>0</v>
      </c>
      <c r="U2945" s="10">
        <f>IF(VCU!$C$9="",0,(SUMIF(VCU!$B$51:$B$193,$J2945,VCU!$E$51:$E$193)*Impacts!$F$17))</f>
        <v>0</v>
      </c>
      <c r="V2945" s="10">
        <f>IF(CAS!$C$7="",0,(SUMIF(CAS!$B$31:$B$167,$J2945,CAS!$E$31:$E$167)*Impacts!$F$18))</f>
        <v>0</v>
      </c>
      <c r="W2945" s="10">
        <f t="shared" si="86"/>
        <v>0</v>
      </c>
      <c r="AK2945" s="10" t="str">
        <f t="array" ref="AK2945">IFERROR(INDEX(SelectedSpecies,SMALL(IF(SelectedSpecies=AK$1,ROW(SelectedSpecies)),ROW(2946:2946)),2),"")</f>
        <v/>
      </c>
      <c r="BE2945" s="10"/>
      <c r="BI2945" s="10"/>
    </row>
    <row r="2946" spans="1:61" ht="21" customHeight="1" x14ac:dyDescent="0.25">
      <c r="A2946" s="10"/>
      <c r="B2946" s="10"/>
      <c r="E2946" s="10"/>
      <c r="G2946" s="10"/>
      <c r="I2946" s="436" t="s">
        <v>4587</v>
      </c>
      <c r="J2946" s="26" t="s">
        <v>4586</v>
      </c>
      <c r="K2946" s="10">
        <v>4</v>
      </c>
      <c r="L2946" s="73">
        <f>IF(Tank1!$C$23="No control",(SUMIF(Tank1!$B$32:$B$49,$J2946,Tank1!$C$32:$C$49)*Impacts!$F$8),0)</f>
        <v>0</v>
      </c>
      <c r="M2946" s="10">
        <f>IF(Tank2!$C$23="No control",(SUMIF(Tank2!$B$32:$B$49,$J2946,Tank2!$C$32:$C$49)*Impacts!$F$9),0)</f>
        <v>0</v>
      </c>
      <c r="N2946" s="10">
        <f>IF(Tank3!$C$23="No control",(SUMIF(Tank3!$B$32:$B$49,$J2946,Tank3!$C$32:$C$49)*Impacts!$F$10),0)</f>
        <v>0</v>
      </c>
      <c r="O2946" s="10">
        <f>IF(Tank4!$C$23="No control",(SUMIF(Tank4!$B$32:$B$49,$J2946,Tank4!$C$32:$C$49)*Impacts!$F$11),0)</f>
        <v>0</v>
      </c>
      <c r="P2946" s="10">
        <f>IF(Tank5!$C$23="No control",(SUMIF(Tank5!$B$32:$B$49,$J2946,Tank5!$C$32:$C$49)*Impacts!$F$12),0)</f>
        <v>0</v>
      </c>
      <c r="Q2946" s="10">
        <f>IFERROR(IF(('Loading-drum,tote'!$C$21)="No control",SUMIF(('Loading-drum,tote'!$B$31:$B$48),$J2946,('Loading-drum,tote'!$D$31:$D$48))*Impacts!$F$13,IF(('Loading-drum,tote'!$C$21)&lt;&gt;"No control",SUMIF(('Loading-drum,tote'!$B$31:$B$48),$J2946,('Loading-drum,tote'!$E$31:$E$48))*Impacts!$F$13,0)),0)</f>
        <v>0</v>
      </c>
      <c r="R2946" s="10">
        <f>IFERROR(IF(('Loading-truck'!$C$21)="No control",SUMIF(('Loading-truck'!$B$31:$B$48),$J2946,('Loading-truck'!$D$31:$D$48))*Impacts!$F$14,IF(('Loading-truck'!$C$21)&lt;&gt;"No control",SUMIF(('Loading-truck'!$B$31:$B$48),$J2946,('Loading-truck'!$E$31:$E$48))*Impacts!$F$14,0)),0)</f>
        <v>0</v>
      </c>
      <c r="S2946" s="10">
        <f>IFERROR(IF(('Loading-rail'!$C$21)="No control",SUMIF(('Loading-rail'!$B$31:$B$48),$J2946,('Loading-rail'!$D$31:$D$48))*Impacts!$F$15,IF(('Loading-rail'!$C$21)&lt;&gt;"No control",SUMIF(('Loading-rail'!$B$31:$B$48),$J2946,('Loading-rail'!$E$31:$E$48))*Impacts!$F$15,0)),0)</f>
        <v>0</v>
      </c>
      <c r="T2946" s="10">
        <f>IF(Flare!$C$7="",0,(SUMIF(Flare!$B$46:$B$185,$J2946,Flare!$E$46:$E$185)*Impacts!$F$16))</f>
        <v>0</v>
      </c>
      <c r="U2946" s="10">
        <f>IF(VCU!$C$9="",0,(SUMIF(VCU!$B$51:$B$193,$J2946,VCU!$E$51:$E$193)*Impacts!$F$17))</f>
        <v>0</v>
      </c>
      <c r="V2946" s="10">
        <f>IF(CAS!$C$7="",0,(SUMIF(CAS!$B$31:$B$167,$J2946,CAS!$E$31:$E$167)*Impacts!$F$18))</f>
        <v>0</v>
      </c>
      <c r="W2946" s="10">
        <f t="shared" si="86"/>
        <v>0</v>
      </c>
      <c r="AK2946" s="10" t="str">
        <f t="array" ref="AK2946">IFERROR(INDEX(SelectedSpecies,SMALL(IF(SelectedSpecies=AK$1,ROW(SelectedSpecies)),ROW(2947:2947)),2),"")</f>
        <v/>
      </c>
      <c r="BE2946" s="10"/>
      <c r="BI2946" s="10"/>
    </row>
    <row r="2947" spans="1:61" ht="21" customHeight="1" x14ac:dyDescent="0.25">
      <c r="A2947" s="10"/>
      <c r="B2947" s="10"/>
      <c r="E2947" s="10"/>
      <c r="G2947" s="10"/>
      <c r="I2947" s="436" t="s">
        <v>4589</v>
      </c>
      <c r="J2947" s="26" t="s">
        <v>4588</v>
      </c>
      <c r="K2947" s="10">
        <v>4</v>
      </c>
      <c r="L2947" s="73">
        <f>IF(Tank1!$C$23="No control",(SUMIF(Tank1!$B$32:$B$49,$J2947,Tank1!$C$32:$C$49)*Impacts!$F$8),0)</f>
        <v>0</v>
      </c>
      <c r="M2947" s="10">
        <f>IF(Tank2!$C$23="No control",(SUMIF(Tank2!$B$32:$B$49,$J2947,Tank2!$C$32:$C$49)*Impacts!$F$9),0)</f>
        <v>0</v>
      </c>
      <c r="N2947" s="10">
        <f>IF(Tank3!$C$23="No control",(SUMIF(Tank3!$B$32:$B$49,$J2947,Tank3!$C$32:$C$49)*Impacts!$F$10),0)</f>
        <v>0</v>
      </c>
      <c r="O2947" s="10">
        <f>IF(Tank4!$C$23="No control",(SUMIF(Tank4!$B$32:$B$49,$J2947,Tank4!$C$32:$C$49)*Impacts!$F$11),0)</f>
        <v>0</v>
      </c>
      <c r="P2947" s="10">
        <f>IF(Tank5!$C$23="No control",(SUMIF(Tank5!$B$32:$B$49,$J2947,Tank5!$C$32:$C$49)*Impacts!$F$12),0)</f>
        <v>0</v>
      </c>
      <c r="Q2947" s="10">
        <f>IFERROR(IF(('Loading-drum,tote'!$C$21)="No control",SUMIF(('Loading-drum,tote'!$B$31:$B$48),$J2947,('Loading-drum,tote'!$D$31:$D$48))*Impacts!$F$13,IF(('Loading-drum,tote'!$C$21)&lt;&gt;"No control",SUMIF(('Loading-drum,tote'!$B$31:$B$48),$J2947,('Loading-drum,tote'!$E$31:$E$48))*Impacts!$F$13,0)),0)</f>
        <v>0</v>
      </c>
      <c r="R2947" s="10">
        <f>IFERROR(IF(('Loading-truck'!$C$21)="No control",SUMIF(('Loading-truck'!$B$31:$B$48),$J2947,('Loading-truck'!$D$31:$D$48))*Impacts!$F$14,IF(('Loading-truck'!$C$21)&lt;&gt;"No control",SUMIF(('Loading-truck'!$B$31:$B$48),$J2947,('Loading-truck'!$E$31:$E$48))*Impacts!$F$14,0)),0)</f>
        <v>0</v>
      </c>
      <c r="S2947" s="10">
        <f>IFERROR(IF(('Loading-rail'!$C$21)="No control",SUMIF(('Loading-rail'!$B$31:$B$48),$J2947,('Loading-rail'!$D$31:$D$48))*Impacts!$F$15,IF(('Loading-rail'!$C$21)&lt;&gt;"No control",SUMIF(('Loading-rail'!$B$31:$B$48),$J2947,('Loading-rail'!$E$31:$E$48))*Impacts!$F$15,0)),0)</f>
        <v>0</v>
      </c>
      <c r="T2947" s="10">
        <f>IF(Flare!$C$7="",0,(SUMIF(Flare!$B$46:$B$185,$J2947,Flare!$E$46:$E$185)*Impacts!$F$16))</f>
        <v>0</v>
      </c>
      <c r="U2947" s="10">
        <f>IF(VCU!$C$9="",0,(SUMIF(VCU!$B$51:$B$193,$J2947,VCU!$E$51:$E$193)*Impacts!$F$17))</f>
        <v>0</v>
      </c>
      <c r="V2947" s="10">
        <f>IF(CAS!$C$7="",0,(SUMIF(CAS!$B$31:$B$167,$J2947,CAS!$E$31:$E$167)*Impacts!$F$18))</f>
        <v>0</v>
      </c>
      <c r="W2947" s="10">
        <f t="shared" si="86"/>
        <v>0</v>
      </c>
      <c r="AK2947" s="10" t="str">
        <f t="array" ref="AK2947">IFERROR(INDEX(SelectedSpecies,SMALL(IF(SelectedSpecies=AK$1,ROW(SelectedSpecies)),ROW(2948:2948)),2),"")</f>
        <v/>
      </c>
      <c r="BE2947" s="10"/>
      <c r="BI2947" s="10"/>
    </row>
    <row r="2948" spans="1:61" ht="21" customHeight="1" x14ac:dyDescent="0.25">
      <c r="A2948" s="10"/>
      <c r="B2948" s="10"/>
      <c r="E2948" s="10"/>
      <c r="G2948" s="10"/>
      <c r="I2948" s="436" t="s">
        <v>3147</v>
      </c>
      <c r="J2948" s="26" t="s">
        <v>3146</v>
      </c>
      <c r="K2948" s="10">
        <v>10</v>
      </c>
      <c r="L2948" s="73">
        <f>IF(Tank1!$C$23="No control",(SUMIF(Tank1!$B$32:$B$49,$J2948,Tank1!$C$32:$C$49)*Impacts!$F$8),0)</f>
        <v>0</v>
      </c>
      <c r="M2948" s="10">
        <f>IF(Tank2!$C$23="No control",(SUMIF(Tank2!$B$32:$B$49,$J2948,Tank2!$C$32:$C$49)*Impacts!$F$9),0)</f>
        <v>0</v>
      </c>
      <c r="N2948" s="10">
        <f>IF(Tank3!$C$23="No control",(SUMIF(Tank3!$B$32:$B$49,$J2948,Tank3!$C$32:$C$49)*Impacts!$F$10),0)</f>
        <v>0</v>
      </c>
      <c r="O2948" s="10">
        <f>IF(Tank4!$C$23="No control",(SUMIF(Tank4!$B$32:$B$49,$J2948,Tank4!$C$32:$C$49)*Impacts!$F$11),0)</f>
        <v>0</v>
      </c>
      <c r="P2948" s="10">
        <f>IF(Tank5!$C$23="No control",(SUMIF(Tank5!$B$32:$B$49,$J2948,Tank5!$C$32:$C$49)*Impacts!$F$12),0)</f>
        <v>0</v>
      </c>
      <c r="Q2948" s="10">
        <f>IFERROR(IF(('Loading-drum,tote'!$C$21)="No control",SUMIF(('Loading-drum,tote'!$B$31:$B$48),$J2948,('Loading-drum,tote'!$D$31:$D$48))*Impacts!$F$13,IF(('Loading-drum,tote'!$C$21)&lt;&gt;"No control",SUMIF(('Loading-drum,tote'!$B$31:$B$48),$J2948,('Loading-drum,tote'!$E$31:$E$48))*Impacts!$F$13,0)),0)</f>
        <v>0</v>
      </c>
      <c r="R2948" s="10">
        <f>IFERROR(IF(('Loading-truck'!$C$21)="No control",SUMIF(('Loading-truck'!$B$31:$B$48),$J2948,('Loading-truck'!$D$31:$D$48))*Impacts!$F$14,IF(('Loading-truck'!$C$21)&lt;&gt;"No control",SUMIF(('Loading-truck'!$B$31:$B$48),$J2948,('Loading-truck'!$E$31:$E$48))*Impacts!$F$14,0)),0)</f>
        <v>0</v>
      </c>
      <c r="S2948" s="10">
        <f>IFERROR(IF(('Loading-rail'!$C$21)="No control",SUMIF(('Loading-rail'!$B$31:$B$48),$J2948,('Loading-rail'!$D$31:$D$48))*Impacts!$F$15,IF(('Loading-rail'!$C$21)&lt;&gt;"No control",SUMIF(('Loading-rail'!$B$31:$B$48),$J2948,('Loading-rail'!$E$31:$E$48))*Impacts!$F$15,0)),0)</f>
        <v>0</v>
      </c>
      <c r="T2948" s="10">
        <f>IF(Flare!$C$7="",0,(SUMIF(Flare!$B$46:$B$185,$J2948,Flare!$E$46:$E$185)*Impacts!$F$16))</f>
        <v>0</v>
      </c>
      <c r="U2948" s="10">
        <f>IF(VCU!$C$9="",0,(SUMIF(VCU!$B$51:$B$193,$J2948,VCU!$E$51:$E$193)*Impacts!$F$17))</f>
        <v>0</v>
      </c>
      <c r="V2948" s="10">
        <f>IF(CAS!$C$7="",0,(SUMIF(CAS!$B$31:$B$167,$J2948,CAS!$E$31:$E$167)*Impacts!$F$18))</f>
        <v>0</v>
      </c>
      <c r="W2948" s="10">
        <f t="shared" si="86"/>
        <v>0</v>
      </c>
      <c r="AK2948" s="10" t="str">
        <f t="array" ref="AK2948">IFERROR(INDEX(SelectedSpecies,SMALL(IF(SelectedSpecies=AK$1,ROW(SelectedSpecies)),ROW(2949:2949)),2),"")</f>
        <v/>
      </c>
      <c r="BE2948" s="10"/>
      <c r="BI2948" s="10"/>
    </row>
    <row r="2949" spans="1:61" ht="21" customHeight="1" x14ac:dyDescent="0.25">
      <c r="A2949" s="10"/>
      <c r="B2949" s="10"/>
      <c r="E2949" s="10"/>
      <c r="G2949" s="10"/>
      <c r="I2949" s="436" t="s">
        <v>3149</v>
      </c>
      <c r="J2949" s="26" t="s">
        <v>3148</v>
      </c>
      <c r="K2949" s="10">
        <v>10</v>
      </c>
      <c r="L2949" s="73">
        <f>IF(Tank1!$C$23="No control",(SUMIF(Tank1!$B$32:$B$49,$J2949,Tank1!$C$32:$C$49)*Impacts!$F$8),0)</f>
        <v>0</v>
      </c>
      <c r="M2949" s="10">
        <f>IF(Tank2!$C$23="No control",(SUMIF(Tank2!$B$32:$B$49,$J2949,Tank2!$C$32:$C$49)*Impacts!$F$9),0)</f>
        <v>0</v>
      </c>
      <c r="N2949" s="10">
        <f>IF(Tank3!$C$23="No control",(SUMIF(Tank3!$B$32:$B$49,$J2949,Tank3!$C$32:$C$49)*Impacts!$F$10),0)</f>
        <v>0</v>
      </c>
      <c r="O2949" s="10">
        <f>IF(Tank4!$C$23="No control",(SUMIF(Tank4!$B$32:$B$49,$J2949,Tank4!$C$32:$C$49)*Impacts!$F$11),0)</f>
        <v>0</v>
      </c>
      <c r="P2949" s="10">
        <f>IF(Tank5!$C$23="No control",(SUMIF(Tank5!$B$32:$B$49,$J2949,Tank5!$C$32:$C$49)*Impacts!$F$12),0)</f>
        <v>0</v>
      </c>
      <c r="Q2949" s="10">
        <f>IFERROR(IF(('Loading-drum,tote'!$C$21)="No control",SUMIF(('Loading-drum,tote'!$B$31:$B$48),$J2949,('Loading-drum,tote'!$D$31:$D$48))*Impacts!$F$13,IF(('Loading-drum,tote'!$C$21)&lt;&gt;"No control",SUMIF(('Loading-drum,tote'!$B$31:$B$48),$J2949,('Loading-drum,tote'!$E$31:$E$48))*Impacts!$F$13,0)),0)</f>
        <v>0</v>
      </c>
      <c r="R2949" s="10">
        <f>IFERROR(IF(('Loading-truck'!$C$21)="No control",SUMIF(('Loading-truck'!$B$31:$B$48),$J2949,('Loading-truck'!$D$31:$D$48))*Impacts!$F$14,IF(('Loading-truck'!$C$21)&lt;&gt;"No control",SUMIF(('Loading-truck'!$B$31:$B$48),$J2949,('Loading-truck'!$E$31:$E$48))*Impacts!$F$14,0)),0)</f>
        <v>0</v>
      </c>
      <c r="S2949" s="10">
        <f>IFERROR(IF(('Loading-rail'!$C$21)="No control",SUMIF(('Loading-rail'!$B$31:$B$48),$J2949,('Loading-rail'!$D$31:$D$48))*Impacts!$F$15,IF(('Loading-rail'!$C$21)&lt;&gt;"No control",SUMIF(('Loading-rail'!$B$31:$B$48),$J2949,('Loading-rail'!$E$31:$E$48))*Impacts!$F$15,0)),0)</f>
        <v>0</v>
      </c>
      <c r="T2949" s="10">
        <f>IF(Flare!$C$7="",0,(SUMIF(Flare!$B$46:$B$185,$J2949,Flare!$E$46:$E$185)*Impacts!$F$16))</f>
        <v>0</v>
      </c>
      <c r="U2949" s="10">
        <f>IF(VCU!$C$9="",0,(SUMIF(VCU!$B$51:$B$193,$J2949,VCU!$E$51:$E$193)*Impacts!$F$17))</f>
        <v>0</v>
      </c>
      <c r="V2949" s="10">
        <f>IF(CAS!$C$7="",0,(SUMIF(CAS!$B$31:$B$167,$J2949,CAS!$E$31:$E$167)*Impacts!$F$18))</f>
        <v>0</v>
      </c>
      <c r="W2949" s="10">
        <f t="shared" si="86"/>
        <v>0</v>
      </c>
      <c r="AK2949" s="10" t="str">
        <f t="array" ref="AK2949">IFERROR(INDEX(SelectedSpecies,SMALL(IF(SelectedSpecies=AK$1,ROW(SelectedSpecies)),ROW(2950:2950)),2),"")</f>
        <v/>
      </c>
      <c r="BE2949" s="10"/>
      <c r="BI2949" s="10"/>
    </row>
    <row r="2950" spans="1:61" ht="21" customHeight="1" x14ac:dyDescent="0.25">
      <c r="A2950" s="10"/>
      <c r="B2950" s="10"/>
      <c r="E2950" s="10"/>
      <c r="G2950" s="10"/>
      <c r="I2950" s="436" t="s">
        <v>3151</v>
      </c>
      <c r="J2950" s="26" t="s">
        <v>3150</v>
      </c>
      <c r="K2950" s="10">
        <v>10</v>
      </c>
      <c r="L2950" s="73">
        <f>IF(Tank1!$C$23="No control",(SUMIF(Tank1!$B$32:$B$49,$J2950,Tank1!$C$32:$C$49)*Impacts!$F$8),0)</f>
        <v>0</v>
      </c>
      <c r="M2950" s="10">
        <f>IF(Tank2!$C$23="No control",(SUMIF(Tank2!$B$32:$B$49,$J2950,Tank2!$C$32:$C$49)*Impacts!$F$9),0)</f>
        <v>0</v>
      </c>
      <c r="N2950" s="10">
        <f>IF(Tank3!$C$23="No control",(SUMIF(Tank3!$B$32:$B$49,$J2950,Tank3!$C$32:$C$49)*Impacts!$F$10),0)</f>
        <v>0</v>
      </c>
      <c r="O2950" s="10">
        <f>IF(Tank4!$C$23="No control",(SUMIF(Tank4!$B$32:$B$49,$J2950,Tank4!$C$32:$C$49)*Impacts!$F$11),0)</f>
        <v>0</v>
      </c>
      <c r="P2950" s="10">
        <f>IF(Tank5!$C$23="No control",(SUMIF(Tank5!$B$32:$B$49,$J2950,Tank5!$C$32:$C$49)*Impacts!$F$12),0)</f>
        <v>0</v>
      </c>
      <c r="Q2950" s="10">
        <f>IFERROR(IF(('Loading-drum,tote'!$C$21)="No control",SUMIF(('Loading-drum,tote'!$B$31:$B$48),$J2950,('Loading-drum,tote'!$D$31:$D$48))*Impacts!$F$13,IF(('Loading-drum,tote'!$C$21)&lt;&gt;"No control",SUMIF(('Loading-drum,tote'!$B$31:$B$48),$J2950,('Loading-drum,tote'!$E$31:$E$48))*Impacts!$F$13,0)),0)</f>
        <v>0</v>
      </c>
      <c r="R2950" s="10">
        <f>IFERROR(IF(('Loading-truck'!$C$21)="No control",SUMIF(('Loading-truck'!$B$31:$B$48),$J2950,('Loading-truck'!$D$31:$D$48))*Impacts!$F$14,IF(('Loading-truck'!$C$21)&lt;&gt;"No control",SUMIF(('Loading-truck'!$B$31:$B$48),$J2950,('Loading-truck'!$E$31:$E$48))*Impacts!$F$14,0)),0)</f>
        <v>0</v>
      </c>
      <c r="S2950" s="10">
        <f>IFERROR(IF(('Loading-rail'!$C$21)="No control",SUMIF(('Loading-rail'!$B$31:$B$48),$J2950,('Loading-rail'!$D$31:$D$48))*Impacts!$F$15,IF(('Loading-rail'!$C$21)&lt;&gt;"No control",SUMIF(('Loading-rail'!$B$31:$B$48),$J2950,('Loading-rail'!$E$31:$E$48))*Impacts!$F$15,0)),0)</f>
        <v>0</v>
      </c>
      <c r="T2950" s="10">
        <f>IF(Flare!$C$7="",0,(SUMIF(Flare!$B$46:$B$185,$J2950,Flare!$E$46:$E$185)*Impacts!$F$16))</f>
        <v>0</v>
      </c>
      <c r="U2950" s="10">
        <f>IF(VCU!$C$9="",0,(SUMIF(VCU!$B$51:$B$193,$J2950,VCU!$E$51:$E$193)*Impacts!$F$17))</f>
        <v>0</v>
      </c>
      <c r="V2950" s="10">
        <f>IF(CAS!$C$7="",0,(SUMIF(CAS!$B$31:$B$167,$J2950,CAS!$E$31:$E$167)*Impacts!$F$18))</f>
        <v>0</v>
      </c>
      <c r="W2950" s="10">
        <f t="shared" si="86"/>
        <v>0</v>
      </c>
      <c r="AK2950" s="10" t="str">
        <f t="array" ref="AK2950">IFERROR(INDEX(SelectedSpecies,SMALL(IF(SelectedSpecies=AK$1,ROW(SelectedSpecies)),ROW(2951:2951)),2),"")</f>
        <v/>
      </c>
      <c r="BE2950" s="10"/>
      <c r="BI2950" s="10"/>
    </row>
    <row r="2951" spans="1:61" ht="21" customHeight="1" x14ac:dyDescent="0.25">
      <c r="A2951" s="10"/>
      <c r="B2951" s="10"/>
      <c r="E2951" s="10"/>
      <c r="G2951" s="10"/>
      <c r="I2951" s="436" t="s">
        <v>3153</v>
      </c>
      <c r="J2951" s="26" t="s">
        <v>3152</v>
      </c>
      <c r="K2951" s="10">
        <v>10</v>
      </c>
      <c r="L2951" s="73">
        <f>IF(Tank1!$C$23="No control",(SUMIF(Tank1!$B$32:$B$49,$J2951,Tank1!$C$32:$C$49)*Impacts!$F$8),0)</f>
        <v>0</v>
      </c>
      <c r="M2951" s="10">
        <f>IF(Tank2!$C$23="No control",(SUMIF(Tank2!$B$32:$B$49,$J2951,Tank2!$C$32:$C$49)*Impacts!$F$9),0)</f>
        <v>0</v>
      </c>
      <c r="N2951" s="10">
        <f>IF(Tank3!$C$23="No control",(SUMIF(Tank3!$B$32:$B$49,$J2951,Tank3!$C$32:$C$49)*Impacts!$F$10),0)</f>
        <v>0</v>
      </c>
      <c r="O2951" s="10">
        <f>IF(Tank4!$C$23="No control",(SUMIF(Tank4!$B$32:$B$49,$J2951,Tank4!$C$32:$C$49)*Impacts!$F$11),0)</f>
        <v>0</v>
      </c>
      <c r="P2951" s="10">
        <f>IF(Tank5!$C$23="No control",(SUMIF(Tank5!$B$32:$B$49,$J2951,Tank5!$C$32:$C$49)*Impacts!$F$12),0)</f>
        <v>0</v>
      </c>
      <c r="Q2951" s="10">
        <f>IFERROR(IF(('Loading-drum,tote'!$C$21)="No control",SUMIF(('Loading-drum,tote'!$B$31:$B$48),$J2951,('Loading-drum,tote'!$D$31:$D$48))*Impacts!$F$13,IF(('Loading-drum,tote'!$C$21)&lt;&gt;"No control",SUMIF(('Loading-drum,tote'!$B$31:$B$48),$J2951,('Loading-drum,tote'!$E$31:$E$48))*Impacts!$F$13,0)),0)</f>
        <v>0</v>
      </c>
      <c r="R2951" s="10">
        <f>IFERROR(IF(('Loading-truck'!$C$21)="No control",SUMIF(('Loading-truck'!$B$31:$B$48),$J2951,('Loading-truck'!$D$31:$D$48))*Impacts!$F$14,IF(('Loading-truck'!$C$21)&lt;&gt;"No control",SUMIF(('Loading-truck'!$B$31:$B$48),$J2951,('Loading-truck'!$E$31:$E$48))*Impacts!$F$14,0)),0)</f>
        <v>0</v>
      </c>
      <c r="S2951" s="10">
        <f>IFERROR(IF(('Loading-rail'!$C$21)="No control",SUMIF(('Loading-rail'!$B$31:$B$48),$J2951,('Loading-rail'!$D$31:$D$48))*Impacts!$F$15,IF(('Loading-rail'!$C$21)&lt;&gt;"No control",SUMIF(('Loading-rail'!$B$31:$B$48),$J2951,('Loading-rail'!$E$31:$E$48))*Impacts!$F$15,0)),0)</f>
        <v>0</v>
      </c>
      <c r="T2951" s="10">
        <f>IF(Flare!$C$7="",0,(SUMIF(Flare!$B$46:$B$185,$J2951,Flare!$E$46:$E$185)*Impacts!$F$16))</f>
        <v>0</v>
      </c>
      <c r="U2951" s="10">
        <f>IF(VCU!$C$9="",0,(SUMIF(VCU!$B$51:$B$193,$J2951,VCU!$E$51:$E$193)*Impacts!$F$17))</f>
        <v>0</v>
      </c>
      <c r="V2951" s="10">
        <f>IF(CAS!$C$7="",0,(SUMIF(CAS!$B$31:$B$167,$J2951,CAS!$E$31:$E$167)*Impacts!$F$18))</f>
        <v>0</v>
      </c>
      <c r="W2951" s="10">
        <f t="shared" si="86"/>
        <v>0</v>
      </c>
      <c r="AK2951" s="10" t="str">
        <f t="array" ref="AK2951">IFERROR(INDEX(SelectedSpecies,SMALL(IF(SelectedSpecies=AK$1,ROW(SelectedSpecies)),ROW(2952:2952)),2),"")</f>
        <v/>
      </c>
      <c r="BE2951" s="10"/>
      <c r="BI2951" s="10"/>
    </row>
    <row r="2952" spans="1:61" ht="21" customHeight="1" x14ac:dyDescent="0.25">
      <c r="A2952" s="10"/>
      <c r="B2952" s="10"/>
      <c r="E2952" s="10"/>
      <c r="G2952" s="10"/>
      <c r="I2952" s="436" t="s">
        <v>3155</v>
      </c>
      <c r="J2952" s="26" t="s">
        <v>3154</v>
      </c>
      <c r="K2952" s="10">
        <v>10</v>
      </c>
      <c r="L2952" s="73">
        <f>IF(Tank1!$C$23="No control",(SUMIF(Tank1!$B$32:$B$49,$J2952,Tank1!$C$32:$C$49)*Impacts!$F$8),0)</f>
        <v>0</v>
      </c>
      <c r="M2952" s="10">
        <f>IF(Tank2!$C$23="No control",(SUMIF(Tank2!$B$32:$B$49,$J2952,Tank2!$C$32:$C$49)*Impacts!$F$9),0)</f>
        <v>0</v>
      </c>
      <c r="N2952" s="10">
        <f>IF(Tank3!$C$23="No control",(SUMIF(Tank3!$B$32:$B$49,$J2952,Tank3!$C$32:$C$49)*Impacts!$F$10),0)</f>
        <v>0</v>
      </c>
      <c r="O2952" s="10">
        <f>IF(Tank4!$C$23="No control",(SUMIF(Tank4!$B$32:$B$49,$J2952,Tank4!$C$32:$C$49)*Impacts!$F$11),0)</f>
        <v>0</v>
      </c>
      <c r="P2952" s="10">
        <f>IF(Tank5!$C$23="No control",(SUMIF(Tank5!$B$32:$B$49,$J2952,Tank5!$C$32:$C$49)*Impacts!$F$12),0)</f>
        <v>0</v>
      </c>
      <c r="Q2952" s="10">
        <f>IFERROR(IF(('Loading-drum,tote'!$C$21)="No control",SUMIF(('Loading-drum,tote'!$B$31:$B$48),$J2952,('Loading-drum,tote'!$D$31:$D$48))*Impacts!$F$13,IF(('Loading-drum,tote'!$C$21)&lt;&gt;"No control",SUMIF(('Loading-drum,tote'!$B$31:$B$48),$J2952,('Loading-drum,tote'!$E$31:$E$48))*Impacts!$F$13,0)),0)</f>
        <v>0</v>
      </c>
      <c r="R2952" s="10">
        <f>IFERROR(IF(('Loading-truck'!$C$21)="No control",SUMIF(('Loading-truck'!$B$31:$B$48),$J2952,('Loading-truck'!$D$31:$D$48))*Impacts!$F$14,IF(('Loading-truck'!$C$21)&lt;&gt;"No control",SUMIF(('Loading-truck'!$B$31:$B$48),$J2952,('Loading-truck'!$E$31:$E$48))*Impacts!$F$14,0)),0)</f>
        <v>0</v>
      </c>
      <c r="S2952" s="10">
        <f>IFERROR(IF(('Loading-rail'!$C$21)="No control",SUMIF(('Loading-rail'!$B$31:$B$48),$J2952,('Loading-rail'!$D$31:$D$48))*Impacts!$F$15,IF(('Loading-rail'!$C$21)&lt;&gt;"No control",SUMIF(('Loading-rail'!$B$31:$B$48),$J2952,('Loading-rail'!$E$31:$E$48))*Impacts!$F$15,0)),0)</f>
        <v>0</v>
      </c>
      <c r="T2952" s="10">
        <f>IF(Flare!$C$7="",0,(SUMIF(Flare!$B$46:$B$185,$J2952,Flare!$E$46:$E$185)*Impacts!$F$16))</f>
        <v>0</v>
      </c>
      <c r="U2952" s="10">
        <f>IF(VCU!$C$9="",0,(SUMIF(VCU!$B$51:$B$193,$J2952,VCU!$E$51:$E$193)*Impacts!$F$17))</f>
        <v>0</v>
      </c>
      <c r="V2952" s="10">
        <f>IF(CAS!$C$7="",0,(SUMIF(CAS!$B$31:$B$167,$J2952,CAS!$E$31:$E$167)*Impacts!$F$18))</f>
        <v>0</v>
      </c>
      <c r="W2952" s="10">
        <f t="shared" si="86"/>
        <v>0</v>
      </c>
      <c r="AK2952" s="10" t="str">
        <f t="array" ref="AK2952">IFERROR(INDEX(SelectedSpecies,SMALL(IF(SelectedSpecies=AK$1,ROW(SelectedSpecies)),ROW(2953:2953)),2),"")</f>
        <v/>
      </c>
      <c r="BE2952" s="10"/>
      <c r="BI2952" s="10"/>
    </row>
    <row r="2953" spans="1:61" ht="21" customHeight="1" x14ac:dyDescent="0.25">
      <c r="A2953" s="10"/>
      <c r="B2953" s="10"/>
      <c r="E2953" s="10"/>
      <c r="G2953" s="10"/>
      <c r="I2953" s="436" t="s">
        <v>3835</v>
      </c>
      <c r="J2953" s="26" t="s">
        <v>3834</v>
      </c>
      <c r="K2953" s="10">
        <v>6</v>
      </c>
      <c r="L2953" s="73">
        <f>IF(Tank1!$C$23="No control",(SUMIF(Tank1!$B$32:$B$49,$J2953,Tank1!$C$32:$C$49)*Impacts!$F$8),0)</f>
        <v>0</v>
      </c>
      <c r="M2953" s="10">
        <f>IF(Tank2!$C$23="No control",(SUMIF(Tank2!$B$32:$B$49,$J2953,Tank2!$C$32:$C$49)*Impacts!$F$9),0)</f>
        <v>0</v>
      </c>
      <c r="N2953" s="10">
        <f>IF(Tank3!$C$23="No control",(SUMIF(Tank3!$B$32:$B$49,$J2953,Tank3!$C$32:$C$49)*Impacts!$F$10),0)</f>
        <v>0</v>
      </c>
      <c r="O2953" s="10">
        <f>IF(Tank4!$C$23="No control",(SUMIF(Tank4!$B$32:$B$49,$J2953,Tank4!$C$32:$C$49)*Impacts!$F$11),0)</f>
        <v>0</v>
      </c>
      <c r="P2953" s="10">
        <f>IF(Tank5!$C$23="No control",(SUMIF(Tank5!$B$32:$B$49,$J2953,Tank5!$C$32:$C$49)*Impacts!$F$12),0)</f>
        <v>0</v>
      </c>
      <c r="Q2953" s="10">
        <f>IFERROR(IF(('Loading-drum,tote'!$C$21)="No control",SUMIF(('Loading-drum,tote'!$B$31:$B$48),$J2953,('Loading-drum,tote'!$D$31:$D$48))*Impacts!$F$13,IF(('Loading-drum,tote'!$C$21)&lt;&gt;"No control",SUMIF(('Loading-drum,tote'!$B$31:$B$48),$J2953,('Loading-drum,tote'!$E$31:$E$48))*Impacts!$F$13,0)),0)</f>
        <v>0</v>
      </c>
      <c r="R2953" s="10">
        <f>IFERROR(IF(('Loading-truck'!$C$21)="No control",SUMIF(('Loading-truck'!$B$31:$B$48),$J2953,('Loading-truck'!$D$31:$D$48))*Impacts!$F$14,IF(('Loading-truck'!$C$21)&lt;&gt;"No control",SUMIF(('Loading-truck'!$B$31:$B$48),$J2953,('Loading-truck'!$E$31:$E$48))*Impacts!$F$14,0)),0)</f>
        <v>0</v>
      </c>
      <c r="S2953" s="10">
        <f>IFERROR(IF(('Loading-rail'!$C$21)="No control",SUMIF(('Loading-rail'!$B$31:$B$48),$J2953,('Loading-rail'!$D$31:$D$48))*Impacts!$F$15,IF(('Loading-rail'!$C$21)&lt;&gt;"No control",SUMIF(('Loading-rail'!$B$31:$B$48),$J2953,('Loading-rail'!$E$31:$E$48))*Impacts!$F$15,0)),0)</f>
        <v>0</v>
      </c>
      <c r="T2953" s="10">
        <f>IF(Flare!$C$7="",0,(SUMIF(Flare!$B$46:$B$185,$J2953,Flare!$E$46:$E$185)*Impacts!$F$16))</f>
        <v>0</v>
      </c>
      <c r="U2953" s="10">
        <f>IF(VCU!$C$9="",0,(SUMIF(VCU!$B$51:$B$193,$J2953,VCU!$E$51:$E$193)*Impacts!$F$17))</f>
        <v>0</v>
      </c>
      <c r="V2953" s="10">
        <f>IF(CAS!$C$7="",0,(SUMIF(CAS!$B$31:$B$167,$J2953,CAS!$E$31:$E$167)*Impacts!$F$18))</f>
        <v>0</v>
      </c>
      <c r="W2953" s="10">
        <f t="shared" si="86"/>
        <v>0</v>
      </c>
      <c r="AK2953" s="10" t="str">
        <f t="array" ref="AK2953">IFERROR(INDEX(SelectedSpecies,SMALL(IF(SelectedSpecies=AK$1,ROW(SelectedSpecies)),ROW(2954:2954)),2),"")</f>
        <v/>
      </c>
      <c r="BE2953" s="10"/>
      <c r="BI2953" s="10"/>
    </row>
    <row r="2954" spans="1:61" ht="21" customHeight="1" x14ac:dyDescent="0.25">
      <c r="A2954" s="10"/>
      <c r="B2954" s="10"/>
      <c r="E2954" s="10"/>
      <c r="G2954" s="10"/>
      <c r="I2954" s="436" t="s">
        <v>3837</v>
      </c>
      <c r="J2954" s="26" t="s">
        <v>3836</v>
      </c>
      <c r="K2954" s="10">
        <v>6</v>
      </c>
      <c r="L2954" s="73">
        <f>IF(Tank1!$C$23="No control",(SUMIF(Tank1!$B$32:$B$49,$J2954,Tank1!$C$32:$C$49)*Impacts!$F$8),0)</f>
        <v>0</v>
      </c>
      <c r="M2954" s="10">
        <f>IF(Tank2!$C$23="No control",(SUMIF(Tank2!$B$32:$B$49,$J2954,Tank2!$C$32:$C$49)*Impacts!$F$9),0)</f>
        <v>0</v>
      </c>
      <c r="N2954" s="10">
        <f>IF(Tank3!$C$23="No control",(SUMIF(Tank3!$B$32:$B$49,$J2954,Tank3!$C$32:$C$49)*Impacts!$F$10),0)</f>
        <v>0</v>
      </c>
      <c r="O2954" s="10">
        <f>IF(Tank4!$C$23="No control",(SUMIF(Tank4!$B$32:$B$49,$J2954,Tank4!$C$32:$C$49)*Impacts!$F$11),0)</f>
        <v>0</v>
      </c>
      <c r="P2954" s="10">
        <f>IF(Tank5!$C$23="No control",(SUMIF(Tank5!$B$32:$B$49,$J2954,Tank5!$C$32:$C$49)*Impacts!$F$12),0)</f>
        <v>0</v>
      </c>
      <c r="Q2954" s="10">
        <f>IFERROR(IF(('Loading-drum,tote'!$C$21)="No control",SUMIF(('Loading-drum,tote'!$B$31:$B$48),$J2954,('Loading-drum,tote'!$D$31:$D$48))*Impacts!$F$13,IF(('Loading-drum,tote'!$C$21)&lt;&gt;"No control",SUMIF(('Loading-drum,tote'!$B$31:$B$48),$J2954,('Loading-drum,tote'!$E$31:$E$48))*Impacts!$F$13,0)),0)</f>
        <v>0</v>
      </c>
      <c r="R2954" s="10">
        <f>IFERROR(IF(('Loading-truck'!$C$21)="No control",SUMIF(('Loading-truck'!$B$31:$B$48),$J2954,('Loading-truck'!$D$31:$D$48))*Impacts!$F$14,IF(('Loading-truck'!$C$21)&lt;&gt;"No control",SUMIF(('Loading-truck'!$B$31:$B$48),$J2954,('Loading-truck'!$E$31:$E$48))*Impacts!$F$14,0)),0)</f>
        <v>0</v>
      </c>
      <c r="S2954" s="10">
        <f>IFERROR(IF(('Loading-rail'!$C$21)="No control",SUMIF(('Loading-rail'!$B$31:$B$48),$J2954,('Loading-rail'!$D$31:$D$48))*Impacts!$F$15,IF(('Loading-rail'!$C$21)&lt;&gt;"No control",SUMIF(('Loading-rail'!$B$31:$B$48),$J2954,('Loading-rail'!$E$31:$E$48))*Impacts!$F$15,0)),0)</f>
        <v>0</v>
      </c>
      <c r="T2954" s="10">
        <f>IF(Flare!$C$7="",0,(SUMIF(Flare!$B$46:$B$185,$J2954,Flare!$E$46:$E$185)*Impacts!$F$16))</f>
        <v>0</v>
      </c>
      <c r="U2954" s="10">
        <f>IF(VCU!$C$9="",0,(SUMIF(VCU!$B$51:$B$193,$J2954,VCU!$E$51:$E$193)*Impacts!$F$17))</f>
        <v>0</v>
      </c>
      <c r="V2954" s="10">
        <f>IF(CAS!$C$7="",0,(SUMIF(CAS!$B$31:$B$167,$J2954,CAS!$E$31:$E$167)*Impacts!$F$18))</f>
        <v>0</v>
      </c>
      <c r="W2954" s="10">
        <f t="shared" si="86"/>
        <v>0</v>
      </c>
      <c r="AK2954" s="10" t="str">
        <f t="array" ref="AK2954">IFERROR(INDEX(SelectedSpecies,SMALL(IF(SelectedSpecies=AK$1,ROW(SelectedSpecies)),ROW(2955:2955)),2),"")</f>
        <v/>
      </c>
      <c r="BE2954" s="10"/>
      <c r="BI2954" s="10"/>
    </row>
    <row r="2955" spans="1:61" ht="21" customHeight="1" x14ac:dyDescent="0.25">
      <c r="A2955" s="10"/>
      <c r="B2955" s="10"/>
      <c r="E2955" s="10"/>
      <c r="G2955" s="10"/>
      <c r="I2955" s="436" t="s">
        <v>6062</v>
      </c>
      <c r="J2955" s="26" t="s">
        <v>6061</v>
      </c>
      <c r="K2955" s="10">
        <v>1</v>
      </c>
      <c r="L2955" s="73">
        <f>IF(Tank1!$C$23="No control",(SUMIF(Tank1!$B$32:$B$49,$J2955,Tank1!$C$32:$C$49)*Impacts!$F$8),0)</f>
        <v>0</v>
      </c>
      <c r="M2955" s="10">
        <f>IF(Tank2!$C$23="No control",(SUMIF(Tank2!$B$32:$B$49,$J2955,Tank2!$C$32:$C$49)*Impacts!$F$9),0)</f>
        <v>0</v>
      </c>
      <c r="N2955" s="10">
        <f>IF(Tank3!$C$23="No control",(SUMIF(Tank3!$B$32:$B$49,$J2955,Tank3!$C$32:$C$49)*Impacts!$F$10),0)</f>
        <v>0</v>
      </c>
      <c r="O2955" s="10">
        <f>IF(Tank4!$C$23="No control",(SUMIF(Tank4!$B$32:$B$49,$J2955,Tank4!$C$32:$C$49)*Impacts!$F$11),0)</f>
        <v>0</v>
      </c>
      <c r="P2955" s="10">
        <f>IF(Tank5!$C$23="No control",(SUMIF(Tank5!$B$32:$B$49,$J2955,Tank5!$C$32:$C$49)*Impacts!$F$12),0)</f>
        <v>0</v>
      </c>
      <c r="Q2955" s="10">
        <f>IFERROR(IF(('Loading-drum,tote'!$C$21)="No control",SUMIF(('Loading-drum,tote'!$B$31:$B$48),$J2955,('Loading-drum,tote'!$D$31:$D$48))*Impacts!$F$13,IF(('Loading-drum,tote'!$C$21)&lt;&gt;"No control",SUMIF(('Loading-drum,tote'!$B$31:$B$48),$J2955,('Loading-drum,tote'!$E$31:$E$48))*Impacts!$F$13,0)),0)</f>
        <v>0</v>
      </c>
      <c r="R2955" s="10">
        <f>IFERROR(IF(('Loading-truck'!$C$21)="No control",SUMIF(('Loading-truck'!$B$31:$B$48),$J2955,('Loading-truck'!$D$31:$D$48))*Impacts!$F$14,IF(('Loading-truck'!$C$21)&lt;&gt;"No control",SUMIF(('Loading-truck'!$B$31:$B$48),$J2955,('Loading-truck'!$E$31:$E$48))*Impacts!$F$14,0)),0)</f>
        <v>0</v>
      </c>
      <c r="S2955" s="10">
        <f>IFERROR(IF(('Loading-rail'!$C$21)="No control",SUMIF(('Loading-rail'!$B$31:$B$48),$J2955,('Loading-rail'!$D$31:$D$48))*Impacts!$F$15,IF(('Loading-rail'!$C$21)&lt;&gt;"No control",SUMIF(('Loading-rail'!$B$31:$B$48),$J2955,('Loading-rail'!$E$31:$E$48))*Impacts!$F$15,0)),0)</f>
        <v>0</v>
      </c>
      <c r="T2955" s="10">
        <f>IF(Flare!$C$7="",0,(SUMIF(Flare!$B$46:$B$185,$J2955,Flare!$E$46:$E$185)*Impacts!$F$16))</f>
        <v>0</v>
      </c>
      <c r="U2955" s="10">
        <f>IF(VCU!$C$9="",0,(SUMIF(VCU!$B$51:$B$193,$J2955,VCU!$E$51:$E$193)*Impacts!$F$17))</f>
        <v>0</v>
      </c>
      <c r="V2955" s="10">
        <f>IF(CAS!$C$7="",0,(SUMIF(CAS!$B$31:$B$167,$J2955,CAS!$E$31:$E$167)*Impacts!$F$18))</f>
        <v>0</v>
      </c>
      <c r="W2955" s="10">
        <f t="shared" si="86"/>
        <v>0</v>
      </c>
      <c r="AK2955" s="10" t="str">
        <f t="array" ref="AK2955">IFERROR(INDEX(SelectedSpecies,SMALL(IF(SelectedSpecies=AK$1,ROW(SelectedSpecies)),ROW(2956:2956)),2),"")</f>
        <v/>
      </c>
      <c r="BE2955" s="10"/>
      <c r="BI2955" s="10"/>
    </row>
    <row r="2956" spans="1:61" ht="21" customHeight="1" x14ac:dyDescent="0.25">
      <c r="A2956" s="10"/>
      <c r="B2956" s="10"/>
      <c r="E2956" s="10"/>
      <c r="G2956" s="10"/>
      <c r="I2956" s="436" t="s">
        <v>6064</v>
      </c>
      <c r="J2956" s="26" t="s">
        <v>6063</v>
      </c>
      <c r="K2956" s="10">
        <v>1</v>
      </c>
      <c r="L2956" s="73">
        <f>IF(Tank1!$C$23="No control",(SUMIF(Tank1!$B$32:$B$49,$J2956,Tank1!$C$32:$C$49)*Impacts!$F$8),0)</f>
        <v>0</v>
      </c>
      <c r="M2956" s="10">
        <f>IF(Tank2!$C$23="No control",(SUMIF(Tank2!$B$32:$B$49,$J2956,Tank2!$C$32:$C$49)*Impacts!$F$9),0)</f>
        <v>0</v>
      </c>
      <c r="N2956" s="10">
        <f>IF(Tank3!$C$23="No control",(SUMIF(Tank3!$B$32:$B$49,$J2956,Tank3!$C$32:$C$49)*Impacts!$F$10),0)</f>
        <v>0</v>
      </c>
      <c r="O2956" s="10">
        <f>IF(Tank4!$C$23="No control",(SUMIF(Tank4!$B$32:$B$49,$J2956,Tank4!$C$32:$C$49)*Impacts!$F$11),0)</f>
        <v>0</v>
      </c>
      <c r="P2956" s="10">
        <f>IF(Tank5!$C$23="No control",(SUMIF(Tank5!$B$32:$B$49,$J2956,Tank5!$C$32:$C$49)*Impacts!$F$12),0)</f>
        <v>0</v>
      </c>
      <c r="Q2956" s="10">
        <f>IFERROR(IF(('Loading-drum,tote'!$C$21)="No control",SUMIF(('Loading-drum,tote'!$B$31:$B$48),$J2956,('Loading-drum,tote'!$D$31:$D$48))*Impacts!$F$13,IF(('Loading-drum,tote'!$C$21)&lt;&gt;"No control",SUMIF(('Loading-drum,tote'!$B$31:$B$48),$J2956,('Loading-drum,tote'!$E$31:$E$48))*Impacts!$F$13,0)),0)</f>
        <v>0</v>
      </c>
      <c r="R2956" s="10">
        <f>IFERROR(IF(('Loading-truck'!$C$21)="No control",SUMIF(('Loading-truck'!$B$31:$B$48),$J2956,('Loading-truck'!$D$31:$D$48))*Impacts!$F$14,IF(('Loading-truck'!$C$21)&lt;&gt;"No control",SUMIF(('Loading-truck'!$B$31:$B$48),$J2956,('Loading-truck'!$E$31:$E$48))*Impacts!$F$14,0)),0)</f>
        <v>0</v>
      </c>
      <c r="S2956" s="10">
        <f>IFERROR(IF(('Loading-rail'!$C$21)="No control",SUMIF(('Loading-rail'!$B$31:$B$48),$J2956,('Loading-rail'!$D$31:$D$48))*Impacts!$F$15,IF(('Loading-rail'!$C$21)&lt;&gt;"No control",SUMIF(('Loading-rail'!$B$31:$B$48),$J2956,('Loading-rail'!$E$31:$E$48))*Impacts!$F$15,0)),0)</f>
        <v>0</v>
      </c>
      <c r="T2956" s="10">
        <f>IF(Flare!$C$7="",0,(SUMIF(Flare!$B$46:$B$185,$J2956,Flare!$E$46:$E$185)*Impacts!$F$16))</f>
        <v>0</v>
      </c>
      <c r="U2956" s="10">
        <f>IF(VCU!$C$9="",0,(SUMIF(VCU!$B$51:$B$193,$J2956,VCU!$E$51:$E$193)*Impacts!$F$17))</f>
        <v>0</v>
      </c>
      <c r="V2956" s="10">
        <f>IF(CAS!$C$7="",0,(SUMIF(CAS!$B$31:$B$167,$J2956,CAS!$E$31:$E$167)*Impacts!$F$18))</f>
        <v>0</v>
      </c>
      <c r="W2956" s="10">
        <f t="shared" si="86"/>
        <v>0</v>
      </c>
      <c r="AK2956" s="10" t="str">
        <f t="array" ref="AK2956">IFERROR(INDEX(SelectedSpecies,SMALL(IF(SelectedSpecies=AK$1,ROW(SelectedSpecies)),ROW(2957:2957)),2),"")</f>
        <v/>
      </c>
      <c r="BE2956" s="10"/>
      <c r="BI2956" s="10"/>
    </row>
    <row r="2957" spans="1:61" ht="21" customHeight="1" x14ac:dyDescent="0.25">
      <c r="A2957" s="10"/>
      <c r="B2957" s="10"/>
      <c r="E2957" s="10"/>
      <c r="G2957" s="10"/>
      <c r="I2957" s="436" t="s">
        <v>3157</v>
      </c>
      <c r="J2957" s="26" t="s">
        <v>3156</v>
      </c>
      <c r="K2957" s="10">
        <v>10</v>
      </c>
      <c r="L2957" s="73">
        <f>IF(Tank1!$C$23="No control",(SUMIF(Tank1!$B$32:$B$49,$J2957,Tank1!$C$32:$C$49)*Impacts!$F$8),0)</f>
        <v>0</v>
      </c>
      <c r="M2957" s="10">
        <f>IF(Tank2!$C$23="No control",(SUMIF(Tank2!$B$32:$B$49,$J2957,Tank2!$C$32:$C$49)*Impacts!$F$9),0)</f>
        <v>0</v>
      </c>
      <c r="N2957" s="10">
        <f>IF(Tank3!$C$23="No control",(SUMIF(Tank3!$B$32:$B$49,$J2957,Tank3!$C$32:$C$49)*Impacts!$F$10),0)</f>
        <v>0</v>
      </c>
      <c r="O2957" s="10">
        <f>IF(Tank4!$C$23="No control",(SUMIF(Tank4!$B$32:$B$49,$J2957,Tank4!$C$32:$C$49)*Impacts!$F$11),0)</f>
        <v>0</v>
      </c>
      <c r="P2957" s="10">
        <f>IF(Tank5!$C$23="No control",(SUMIF(Tank5!$B$32:$B$49,$J2957,Tank5!$C$32:$C$49)*Impacts!$F$12),0)</f>
        <v>0</v>
      </c>
      <c r="Q2957" s="10">
        <f>IFERROR(IF(('Loading-drum,tote'!$C$21)="No control",SUMIF(('Loading-drum,tote'!$B$31:$B$48),$J2957,('Loading-drum,tote'!$D$31:$D$48))*Impacts!$F$13,IF(('Loading-drum,tote'!$C$21)&lt;&gt;"No control",SUMIF(('Loading-drum,tote'!$B$31:$B$48),$J2957,('Loading-drum,tote'!$E$31:$E$48))*Impacts!$F$13,0)),0)</f>
        <v>0</v>
      </c>
      <c r="R2957" s="10">
        <f>IFERROR(IF(('Loading-truck'!$C$21)="No control",SUMIF(('Loading-truck'!$B$31:$B$48),$J2957,('Loading-truck'!$D$31:$D$48))*Impacts!$F$14,IF(('Loading-truck'!$C$21)&lt;&gt;"No control",SUMIF(('Loading-truck'!$B$31:$B$48),$J2957,('Loading-truck'!$E$31:$E$48))*Impacts!$F$14,0)),0)</f>
        <v>0</v>
      </c>
      <c r="S2957" s="10">
        <f>IFERROR(IF(('Loading-rail'!$C$21)="No control",SUMIF(('Loading-rail'!$B$31:$B$48),$J2957,('Loading-rail'!$D$31:$D$48))*Impacts!$F$15,IF(('Loading-rail'!$C$21)&lt;&gt;"No control",SUMIF(('Loading-rail'!$B$31:$B$48),$J2957,('Loading-rail'!$E$31:$E$48))*Impacts!$F$15,0)),0)</f>
        <v>0</v>
      </c>
      <c r="T2957" s="10">
        <f>IF(Flare!$C$7="",0,(SUMIF(Flare!$B$46:$B$185,$J2957,Flare!$E$46:$E$185)*Impacts!$F$16))</f>
        <v>0</v>
      </c>
      <c r="U2957" s="10">
        <f>IF(VCU!$C$9="",0,(SUMIF(VCU!$B$51:$B$193,$J2957,VCU!$E$51:$E$193)*Impacts!$F$17))</f>
        <v>0</v>
      </c>
      <c r="V2957" s="10">
        <f>IF(CAS!$C$7="",0,(SUMIF(CAS!$B$31:$B$167,$J2957,CAS!$E$31:$E$167)*Impacts!$F$18))</f>
        <v>0</v>
      </c>
      <c r="W2957" s="10">
        <f t="shared" si="86"/>
        <v>0</v>
      </c>
      <c r="AK2957" s="10" t="str">
        <f t="array" ref="AK2957">IFERROR(INDEX(SelectedSpecies,SMALL(IF(SelectedSpecies=AK$1,ROW(SelectedSpecies)),ROW(2958:2958)),2),"")</f>
        <v/>
      </c>
      <c r="BE2957" s="10"/>
      <c r="BI2957" s="10"/>
    </row>
    <row r="2958" spans="1:61" ht="21" customHeight="1" x14ac:dyDescent="0.25">
      <c r="A2958" s="10"/>
      <c r="B2958" s="10"/>
      <c r="E2958" s="10"/>
      <c r="G2958" s="10"/>
      <c r="I2958" s="436" t="s">
        <v>3159</v>
      </c>
      <c r="J2958" s="26" t="s">
        <v>3158</v>
      </c>
      <c r="K2958" s="10">
        <v>10</v>
      </c>
      <c r="L2958" s="73">
        <f>IF(Tank1!$C$23="No control",(SUMIF(Tank1!$B$32:$B$49,$J2958,Tank1!$C$32:$C$49)*Impacts!$F$8),0)</f>
        <v>0</v>
      </c>
      <c r="M2958" s="10">
        <f>IF(Tank2!$C$23="No control",(SUMIF(Tank2!$B$32:$B$49,$J2958,Tank2!$C$32:$C$49)*Impacts!$F$9),0)</f>
        <v>0</v>
      </c>
      <c r="N2958" s="10">
        <f>IF(Tank3!$C$23="No control",(SUMIF(Tank3!$B$32:$B$49,$J2958,Tank3!$C$32:$C$49)*Impacts!$F$10),0)</f>
        <v>0</v>
      </c>
      <c r="O2958" s="10">
        <f>IF(Tank4!$C$23="No control",(SUMIF(Tank4!$B$32:$B$49,$J2958,Tank4!$C$32:$C$49)*Impacts!$F$11),0)</f>
        <v>0</v>
      </c>
      <c r="P2958" s="10">
        <f>IF(Tank5!$C$23="No control",(SUMIF(Tank5!$B$32:$B$49,$J2958,Tank5!$C$32:$C$49)*Impacts!$F$12),0)</f>
        <v>0</v>
      </c>
      <c r="Q2958" s="10">
        <f>IFERROR(IF(('Loading-drum,tote'!$C$21)="No control",SUMIF(('Loading-drum,tote'!$B$31:$B$48),$J2958,('Loading-drum,tote'!$D$31:$D$48))*Impacts!$F$13,IF(('Loading-drum,tote'!$C$21)&lt;&gt;"No control",SUMIF(('Loading-drum,tote'!$B$31:$B$48),$J2958,('Loading-drum,tote'!$E$31:$E$48))*Impacts!$F$13,0)),0)</f>
        <v>0</v>
      </c>
      <c r="R2958" s="10">
        <f>IFERROR(IF(('Loading-truck'!$C$21)="No control",SUMIF(('Loading-truck'!$B$31:$B$48),$J2958,('Loading-truck'!$D$31:$D$48))*Impacts!$F$14,IF(('Loading-truck'!$C$21)&lt;&gt;"No control",SUMIF(('Loading-truck'!$B$31:$B$48),$J2958,('Loading-truck'!$E$31:$E$48))*Impacts!$F$14,0)),0)</f>
        <v>0</v>
      </c>
      <c r="S2958" s="10">
        <f>IFERROR(IF(('Loading-rail'!$C$21)="No control",SUMIF(('Loading-rail'!$B$31:$B$48),$J2958,('Loading-rail'!$D$31:$D$48))*Impacts!$F$15,IF(('Loading-rail'!$C$21)&lt;&gt;"No control",SUMIF(('Loading-rail'!$B$31:$B$48),$J2958,('Loading-rail'!$E$31:$E$48))*Impacts!$F$15,0)),0)</f>
        <v>0</v>
      </c>
      <c r="T2958" s="10">
        <f>IF(Flare!$C$7="",0,(SUMIF(Flare!$B$46:$B$185,$J2958,Flare!$E$46:$E$185)*Impacts!$F$16))</f>
        <v>0</v>
      </c>
      <c r="U2958" s="10">
        <f>IF(VCU!$C$9="",0,(SUMIF(VCU!$B$51:$B$193,$J2958,VCU!$E$51:$E$193)*Impacts!$F$17))</f>
        <v>0</v>
      </c>
      <c r="V2958" s="10">
        <f>IF(CAS!$C$7="",0,(SUMIF(CAS!$B$31:$B$167,$J2958,CAS!$E$31:$E$167)*Impacts!$F$18))</f>
        <v>0</v>
      </c>
      <c r="W2958" s="10">
        <f t="shared" si="86"/>
        <v>0</v>
      </c>
      <c r="AK2958" s="10" t="str">
        <f t="array" ref="AK2958">IFERROR(INDEX(SelectedSpecies,SMALL(IF(SelectedSpecies=AK$1,ROW(SelectedSpecies)),ROW(2959:2959)),2),"")</f>
        <v/>
      </c>
      <c r="BE2958" s="10"/>
      <c r="BI2958" s="10"/>
    </row>
    <row r="2959" spans="1:61" ht="21" customHeight="1" x14ac:dyDescent="0.25">
      <c r="A2959" s="10"/>
      <c r="B2959" s="10"/>
      <c r="E2959" s="10"/>
      <c r="G2959" s="10"/>
      <c r="I2959" s="436" t="s">
        <v>3161</v>
      </c>
      <c r="J2959" s="26" t="s">
        <v>3160</v>
      </c>
      <c r="K2959" s="10">
        <v>10</v>
      </c>
      <c r="L2959" s="73">
        <f>IF(Tank1!$C$23="No control",(SUMIF(Tank1!$B$32:$B$49,$J2959,Tank1!$C$32:$C$49)*Impacts!$F$8),0)</f>
        <v>0</v>
      </c>
      <c r="M2959" s="10">
        <f>IF(Tank2!$C$23="No control",(SUMIF(Tank2!$B$32:$B$49,$J2959,Tank2!$C$32:$C$49)*Impacts!$F$9),0)</f>
        <v>0</v>
      </c>
      <c r="N2959" s="10">
        <f>IF(Tank3!$C$23="No control",(SUMIF(Tank3!$B$32:$B$49,$J2959,Tank3!$C$32:$C$49)*Impacts!$F$10),0)</f>
        <v>0</v>
      </c>
      <c r="O2959" s="10">
        <f>IF(Tank4!$C$23="No control",(SUMIF(Tank4!$B$32:$B$49,$J2959,Tank4!$C$32:$C$49)*Impacts!$F$11),0)</f>
        <v>0</v>
      </c>
      <c r="P2959" s="10">
        <f>IF(Tank5!$C$23="No control",(SUMIF(Tank5!$B$32:$B$49,$J2959,Tank5!$C$32:$C$49)*Impacts!$F$12),0)</f>
        <v>0</v>
      </c>
      <c r="Q2959" s="10">
        <f>IFERROR(IF(('Loading-drum,tote'!$C$21)="No control",SUMIF(('Loading-drum,tote'!$B$31:$B$48),$J2959,('Loading-drum,tote'!$D$31:$D$48))*Impacts!$F$13,IF(('Loading-drum,tote'!$C$21)&lt;&gt;"No control",SUMIF(('Loading-drum,tote'!$B$31:$B$48),$J2959,('Loading-drum,tote'!$E$31:$E$48))*Impacts!$F$13,0)),0)</f>
        <v>0</v>
      </c>
      <c r="R2959" s="10">
        <f>IFERROR(IF(('Loading-truck'!$C$21)="No control",SUMIF(('Loading-truck'!$B$31:$B$48),$J2959,('Loading-truck'!$D$31:$D$48))*Impacts!$F$14,IF(('Loading-truck'!$C$21)&lt;&gt;"No control",SUMIF(('Loading-truck'!$B$31:$B$48),$J2959,('Loading-truck'!$E$31:$E$48))*Impacts!$F$14,0)),0)</f>
        <v>0</v>
      </c>
      <c r="S2959" s="10">
        <f>IFERROR(IF(('Loading-rail'!$C$21)="No control",SUMIF(('Loading-rail'!$B$31:$B$48),$J2959,('Loading-rail'!$D$31:$D$48))*Impacts!$F$15,IF(('Loading-rail'!$C$21)&lt;&gt;"No control",SUMIF(('Loading-rail'!$B$31:$B$48),$J2959,('Loading-rail'!$E$31:$E$48))*Impacts!$F$15,0)),0)</f>
        <v>0</v>
      </c>
      <c r="T2959" s="10">
        <f>IF(Flare!$C$7="",0,(SUMIF(Flare!$B$46:$B$185,$J2959,Flare!$E$46:$E$185)*Impacts!$F$16))</f>
        <v>0</v>
      </c>
      <c r="U2959" s="10">
        <f>IF(VCU!$C$9="",0,(SUMIF(VCU!$B$51:$B$193,$J2959,VCU!$E$51:$E$193)*Impacts!$F$17))</f>
        <v>0</v>
      </c>
      <c r="V2959" s="10">
        <f>IF(CAS!$C$7="",0,(SUMIF(CAS!$B$31:$B$167,$J2959,CAS!$E$31:$E$167)*Impacts!$F$18))</f>
        <v>0</v>
      </c>
      <c r="W2959" s="10">
        <f t="shared" si="86"/>
        <v>0</v>
      </c>
      <c r="AK2959" s="10" t="str">
        <f t="array" ref="AK2959">IFERROR(INDEX(SelectedSpecies,SMALL(IF(SelectedSpecies=AK$1,ROW(SelectedSpecies)),ROW(2960:2960)),2),"")</f>
        <v/>
      </c>
      <c r="BE2959" s="10"/>
      <c r="BI2959" s="10"/>
    </row>
    <row r="2960" spans="1:61" ht="21" customHeight="1" x14ac:dyDescent="0.25">
      <c r="A2960" s="10"/>
      <c r="B2960" s="10"/>
      <c r="E2960" s="10"/>
      <c r="G2960" s="10"/>
      <c r="I2960" s="436" t="s">
        <v>6066</v>
      </c>
      <c r="J2960" s="26" t="s">
        <v>6065</v>
      </c>
      <c r="K2960" s="10">
        <v>1</v>
      </c>
      <c r="L2960" s="73">
        <f>IF(Tank1!$C$23="No control",(SUMIF(Tank1!$B$32:$B$49,$J2960,Tank1!$C$32:$C$49)*Impacts!$F$8),0)</f>
        <v>0</v>
      </c>
      <c r="M2960" s="10">
        <f>IF(Tank2!$C$23="No control",(SUMIF(Tank2!$B$32:$B$49,$J2960,Tank2!$C$32:$C$49)*Impacts!$F$9),0)</f>
        <v>0</v>
      </c>
      <c r="N2960" s="10">
        <f>IF(Tank3!$C$23="No control",(SUMIF(Tank3!$B$32:$B$49,$J2960,Tank3!$C$32:$C$49)*Impacts!$F$10),0)</f>
        <v>0</v>
      </c>
      <c r="O2960" s="10">
        <f>IF(Tank4!$C$23="No control",(SUMIF(Tank4!$B$32:$B$49,$J2960,Tank4!$C$32:$C$49)*Impacts!$F$11),0)</f>
        <v>0</v>
      </c>
      <c r="P2960" s="10">
        <f>IF(Tank5!$C$23="No control",(SUMIF(Tank5!$B$32:$B$49,$J2960,Tank5!$C$32:$C$49)*Impacts!$F$12),0)</f>
        <v>0</v>
      </c>
      <c r="Q2960" s="10">
        <f>IFERROR(IF(('Loading-drum,tote'!$C$21)="No control",SUMIF(('Loading-drum,tote'!$B$31:$B$48),$J2960,('Loading-drum,tote'!$D$31:$D$48))*Impacts!$F$13,IF(('Loading-drum,tote'!$C$21)&lt;&gt;"No control",SUMIF(('Loading-drum,tote'!$B$31:$B$48),$J2960,('Loading-drum,tote'!$E$31:$E$48))*Impacts!$F$13,0)),0)</f>
        <v>0</v>
      </c>
      <c r="R2960" s="10">
        <f>IFERROR(IF(('Loading-truck'!$C$21)="No control",SUMIF(('Loading-truck'!$B$31:$B$48),$J2960,('Loading-truck'!$D$31:$D$48))*Impacts!$F$14,IF(('Loading-truck'!$C$21)&lt;&gt;"No control",SUMIF(('Loading-truck'!$B$31:$B$48),$J2960,('Loading-truck'!$E$31:$E$48))*Impacts!$F$14,0)),0)</f>
        <v>0</v>
      </c>
      <c r="S2960" s="10">
        <f>IFERROR(IF(('Loading-rail'!$C$21)="No control",SUMIF(('Loading-rail'!$B$31:$B$48),$J2960,('Loading-rail'!$D$31:$D$48))*Impacts!$F$15,IF(('Loading-rail'!$C$21)&lt;&gt;"No control",SUMIF(('Loading-rail'!$B$31:$B$48),$J2960,('Loading-rail'!$E$31:$E$48))*Impacts!$F$15,0)),0)</f>
        <v>0</v>
      </c>
      <c r="T2960" s="10">
        <f>IF(Flare!$C$7="",0,(SUMIF(Flare!$B$46:$B$185,$J2960,Flare!$E$46:$E$185)*Impacts!$F$16))</f>
        <v>0</v>
      </c>
      <c r="U2960" s="10">
        <f>IF(VCU!$C$9="",0,(SUMIF(VCU!$B$51:$B$193,$J2960,VCU!$E$51:$E$193)*Impacts!$F$17))</f>
        <v>0</v>
      </c>
      <c r="V2960" s="10">
        <f>IF(CAS!$C$7="",0,(SUMIF(CAS!$B$31:$B$167,$J2960,CAS!$E$31:$E$167)*Impacts!$F$18))</f>
        <v>0</v>
      </c>
      <c r="W2960" s="10">
        <f t="shared" si="86"/>
        <v>0</v>
      </c>
      <c r="AK2960" s="10" t="str">
        <f t="array" ref="AK2960">IFERROR(INDEX(SelectedSpecies,SMALL(IF(SelectedSpecies=AK$1,ROW(SelectedSpecies)),ROW(2961:2961)),2),"")</f>
        <v/>
      </c>
      <c r="BE2960" s="10"/>
      <c r="BI2960" s="10"/>
    </row>
    <row r="2961" spans="1:61" ht="21" customHeight="1" x14ac:dyDescent="0.25">
      <c r="A2961" s="10"/>
      <c r="B2961" s="10"/>
      <c r="E2961" s="10"/>
      <c r="G2961" s="10"/>
      <c r="I2961" s="436" t="s">
        <v>5497</v>
      </c>
      <c r="J2961" s="26" t="s">
        <v>5496</v>
      </c>
      <c r="K2961" s="10">
        <v>1.3</v>
      </c>
      <c r="L2961" s="73">
        <f>IF(Tank1!$C$23="No control",(SUMIF(Tank1!$B$32:$B$49,$J2961,Tank1!$C$32:$C$49)*Impacts!$F$8),0)</f>
        <v>0</v>
      </c>
      <c r="M2961" s="10">
        <f>IF(Tank2!$C$23="No control",(SUMIF(Tank2!$B$32:$B$49,$J2961,Tank2!$C$32:$C$49)*Impacts!$F$9),0)</f>
        <v>0</v>
      </c>
      <c r="N2961" s="10">
        <f>IF(Tank3!$C$23="No control",(SUMIF(Tank3!$B$32:$B$49,$J2961,Tank3!$C$32:$C$49)*Impacts!$F$10),0)</f>
        <v>0</v>
      </c>
      <c r="O2961" s="10">
        <f>IF(Tank4!$C$23="No control",(SUMIF(Tank4!$B$32:$B$49,$J2961,Tank4!$C$32:$C$49)*Impacts!$F$11),0)</f>
        <v>0</v>
      </c>
      <c r="P2961" s="10">
        <f>IF(Tank5!$C$23="No control",(SUMIF(Tank5!$B$32:$B$49,$J2961,Tank5!$C$32:$C$49)*Impacts!$F$12),0)</f>
        <v>0</v>
      </c>
      <c r="Q2961" s="10">
        <f>IFERROR(IF(('Loading-drum,tote'!$C$21)="No control",SUMIF(('Loading-drum,tote'!$B$31:$B$48),$J2961,('Loading-drum,tote'!$D$31:$D$48))*Impacts!$F$13,IF(('Loading-drum,tote'!$C$21)&lt;&gt;"No control",SUMIF(('Loading-drum,tote'!$B$31:$B$48),$J2961,('Loading-drum,tote'!$E$31:$E$48))*Impacts!$F$13,0)),0)</f>
        <v>0</v>
      </c>
      <c r="R2961" s="10">
        <f>IFERROR(IF(('Loading-truck'!$C$21)="No control",SUMIF(('Loading-truck'!$B$31:$B$48),$J2961,('Loading-truck'!$D$31:$D$48))*Impacts!$F$14,IF(('Loading-truck'!$C$21)&lt;&gt;"No control",SUMIF(('Loading-truck'!$B$31:$B$48),$J2961,('Loading-truck'!$E$31:$E$48))*Impacts!$F$14,0)),0)</f>
        <v>0</v>
      </c>
      <c r="S2961" s="10">
        <f>IFERROR(IF(('Loading-rail'!$C$21)="No control",SUMIF(('Loading-rail'!$B$31:$B$48),$J2961,('Loading-rail'!$D$31:$D$48))*Impacts!$F$15,IF(('Loading-rail'!$C$21)&lt;&gt;"No control",SUMIF(('Loading-rail'!$B$31:$B$48),$J2961,('Loading-rail'!$E$31:$E$48))*Impacts!$F$15,0)),0)</f>
        <v>0</v>
      </c>
      <c r="T2961" s="10">
        <f>IF(Flare!$C$7="",0,(SUMIF(Flare!$B$46:$B$185,$J2961,Flare!$E$46:$E$185)*Impacts!$F$16))</f>
        <v>0</v>
      </c>
      <c r="U2961" s="10">
        <f>IF(VCU!$C$9="",0,(SUMIF(VCU!$B$51:$B$193,$J2961,VCU!$E$51:$E$193)*Impacts!$F$17))</f>
        <v>0</v>
      </c>
      <c r="V2961" s="10">
        <f>IF(CAS!$C$7="",0,(SUMIF(CAS!$B$31:$B$167,$J2961,CAS!$E$31:$E$167)*Impacts!$F$18))</f>
        <v>0</v>
      </c>
      <c r="W2961" s="10">
        <f t="shared" si="86"/>
        <v>0</v>
      </c>
      <c r="AK2961" s="10" t="str">
        <f t="array" ref="AK2961">IFERROR(INDEX(SelectedSpecies,SMALL(IF(SelectedSpecies=AK$1,ROW(SelectedSpecies)),ROW(2962:2962)),2),"")</f>
        <v/>
      </c>
      <c r="BE2961" s="10"/>
      <c r="BI2961" s="10"/>
    </row>
    <row r="2962" spans="1:61" ht="21" customHeight="1" x14ac:dyDescent="0.25">
      <c r="A2962" s="10"/>
      <c r="B2962" s="10"/>
      <c r="E2962" s="10"/>
      <c r="G2962" s="10"/>
      <c r="I2962" s="436" t="s">
        <v>3163</v>
      </c>
      <c r="J2962" s="26" t="s">
        <v>3162</v>
      </c>
      <c r="K2962" s="10">
        <v>10</v>
      </c>
      <c r="L2962" s="73">
        <f>IF(Tank1!$C$23="No control",(SUMIF(Tank1!$B$32:$B$49,$J2962,Tank1!$C$32:$C$49)*Impacts!$F$8),0)</f>
        <v>0</v>
      </c>
      <c r="M2962" s="10">
        <f>IF(Tank2!$C$23="No control",(SUMIF(Tank2!$B$32:$B$49,$J2962,Tank2!$C$32:$C$49)*Impacts!$F$9),0)</f>
        <v>0</v>
      </c>
      <c r="N2962" s="10">
        <f>IF(Tank3!$C$23="No control",(SUMIF(Tank3!$B$32:$B$49,$J2962,Tank3!$C$32:$C$49)*Impacts!$F$10),0)</f>
        <v>0</v>
      </c>
      <c r="O2962" s="10">
        <f>IF(Tank4!$C$23="No control",(SUMIF(Tank4!$B$32:$B$49,$J2962,Tank4!$C$32:$C$49)*Impacts!$F$11),0)</f>
        <v>0</v>
      </c>
      <c r="P2962" s="10">
        <f>IF(Tank5!$C$23="No control",(SUMIF(Tank5!$B$32:$B$49,$J2962,Tank5!$C$32:$C$49)*Impacts!$F$12),0)</f>
        <v>0</v>
      </c>
      <c r="Q2962" s="10">
        <f>IFERROR(IF(('Loading-drum,tote'!$C$21)="No control",SUMIF(('Loading-drum,tote'!$B$31:$B$48),$J2962,('Loading-drum,tote'!$D$31:$D$48))*Impacts!$F$13,IF(('Loading-drum,tote'!$C$21)&lt;&gt;"No control",SUMIF(('Loading-drum,tote'!$B$31:$B$48),$J2962,('Loading-drum,tote'!$E$31:$E$48))*Impacts!$F$13,0)),0)</f>
        <v>0</v>
      </c>
      <c r="R2962" s="10">
        <f>IFERROR(IF(('Loading-truck'!$C$21)="No control",SUMIF(('Loading-truck'!$B$31:$B$48),$J2962,('Loading-truck'!$D$31:$D$48))*Impacts!$F$14,IF(('Loading-truck'!$C$21)&lt;&gt;"No control",SUMIF(('Loading-truck'!$B$31:$B$48),$J2962,('Loading-truck'!$E$31:$E$48))*Impacts!$F$14,0)),0)</f>
        <v>0</v>
      </c>
      <c r="S2962" s="10">
        <f>IFERROR(IF(('Loading-rail'!$C$21)="No control",SUMIF(('Loading-rail'!$B$31:$B$48),$J2962,('Loading-rail'!$D$31:$D$48))*Impacts!$F$15,IF(('Loading-rail'!$C$21)&lt;&gt;"No control",SUMIF(('Loading-rail'!$B$31:$B$48),$J2962,('Loading-rail'!$E$31:$E$48))*Impacts!$F$15,0)),0)</f>
        <v>0</v>
      </c>
      <c r="T2962" s="10">
        <f>IF(Flare!$C$7="",0,(SUMIF(Flare!$B$46:$B$185,$J2962,Flare!$E$46:$E$185)*Impacts!$F$16))</f>
        <v>0</v>
      </c>
      <c r="U2962" s="10">
        <f>IF(VCU!$C$9="",0,(SUMIF(VCU!$B$51:$B$193,$J2962,VCU!$E$51:$E$193)*Impacts!$F$17))</f>
        <v>0</v>
      </c>
      <c r="V2962" s="10">
        <f>IF(CAS!$C$7="",0,(SUMIF(CAS!$B$31:$B$167,$J2962,CAS!$E$31:$E$167)*Impacts!$F$18))</f>
        <v>0</v>
      </c>
      <c r="W2962" s="10">
        <f t="shared" si="86"/>
        <v>0</v>
      </c>
      <c r="AK2962" s="10" t="str">
        <f t="array" ref="AK2962">IFERROR(INDEX(SelectedSpecies,SMALL(IF(SelectedSpecies=AK$1,ROW(SelectedSpecies)),ROW(2963:2963)),2),"")</f>
        <v/>
      </c>
      <c r="BE2962" s="10"/>
      <c r="BI2962" s="10"/>
    </row>
    <row r="2963" spans="1:61" ht="21" customHeight="1" x14ac:dyDescent="0.25">
      <c r="A2963" s="10"/>
      <c r="B2963" s="10"/>
      <c r="E2963" s="10"/>
      <c r="G2963" s="10"/>
      <c r="I2963" s="436" t="s">
        <v>5461</v>
      </c>
      <c r="J2963" s="26" t="s">
        <v>5460</v>
      </c>
      <c r="K2963" s="10">
        <v>1.4000000000000001</v>
      </c>
      <c r="L2963" s="73">
        <f>IF(Tank1!$C$23="No control",(SUMIF(Tank1!$B$32:$B$49,$J2963,Tank1!$C$32:$C$49)*Impacts!$F$8),0)</f>
        <v>0</v>
      </c>
      <c r="M2963" s="10">
        <f>IF(Tank2!$C$23="No control",(SUMIF(Tank2!$B$32:$B$49,$J2963,Tank2!$C$32:$C$49)*Impacts!$F$9),0)</f>
        <v>0</v>
      </c>
      <c r="N2963" s="10">
        <f>IF(Tank3!$C$23="No control",(SUMIF(Tank3!$B$32:$B$49,$J2963,Tank3!$C$32:$C$49)*Impacts!$F$10),0)</f>
        <v>0</v>
      </c>
      <c r="O2963" s="10">
        <f>IF(Tank4!$C$23="No control",(SUMIF(Tank4!$B$32:$B$49,$J2963,Tank4!$C$32:$C$49)*Impacts!$F$11),0)</f>
        <v>0</v>
      </c>
      <c r="P2963" s="10">
        <f>IF(Tank5!$C$23="No control",(SUMIF(Tank5!$B$32:$B$49,$J2963,Tank5!$C$32:$C$49)*Impacts!$F$12),0)</f>
        <v>0</v>
      </c>
      <c r="Q2963" s="10">
        <f>IFERROR(IF(('Loading-drum,tote'!$C$21)="No control",SUMIF(('Loading-drum,tote'!$B$31:$B$48),$J2963,('Loading-drum,tote'!$D$31:$D$48))*Impacts!$F$13,IF(('Loading-drum,tote'!$C$21)&lt;&gt;"No control",SUMIF(('Loading-drum,tote'!$B$31:$B$48),$J2963,('Loading-drum,tote'!$E$31:$E$48))*Impacts!$F$13,0)),0)</f>
        <v>0</v>
      </c>
      <c r="R2963" s="10">
        <f>IFERROR(IF(('Loading-truck'!$C$21)="No control",SUMIF(('Loading-truck'!$B$31:$B$48),$J2963,('Loading-truck'!$D$31:$D$48))*Impacts!$F$14,IF(('Loading-truck'!$C$21)&lt;&gt;"No control",SUMIF(('Loading-truck'!$B$31:$B$48),$J2963,('Loading-truck'!$E$31:$E$48))*Impacts!$F$14,0)),0)</f>
        <v>0</v>
      </c>
      <c r="S2963" s="10">
        <f>IFERROR(IF(('Loading-rail'!$C$21)="No control",SUMIF(('Loading-rail'!$B$31:$B$48),$J2963,('Loading-rail'!$D$31:$D$48))*Impacts!$F$15,IF(('Loading-rail'!$C$21)&lt;&gt;"No control",SUMIF(('Loading-rail'!$B$31:$B$48),$J2963,('Loading-rail'!$E$31:$E$48))*Impacts!$F$15,0)),0)</f>
        <v>0</v>
      </c>
      <c r="T2963" s="10">
        <f>IF(Flare!$C$7="",0,(SUMIF(Flare!$B$46:$B$185,$J2963,Flare!$E$46:$E$185)*Impacts!$F$16))</f>
        <v>0</v>
      </c>
      <c r="U2963" s="10">
        <f>IF(VCU!$C$9="",0,(SUMIF(VCU!$B$51:$B$193,$J2963,VCU!$E$51:$E$193)*Impacts!$F$17))</f>
        <v>0</v>
      </c>
      <c r="V2963" s="10">
        <f>IF(CAS!$C$7="",0,(SUMIF(CAS!$B$31:$B$167,$J2963,CAS!$E$31:$E$167)*Impacts!$F$18))</f>
        <v>0</v>
      </c>
      <c r="W2963" s="10">
        <f t="shared" si="86"/>
        <v>0</v>
      </c>
      <c r="AK2963" s="10" t="str">
        <f t="array" ref="AK2963">IFERROR(INDEX(SelectedSpecies,SMALL(IF(SelectedSpecies=AK$1,ROW(SelectedSpecies)),ROW(2964:2964)),2),"")</f>
        <v/>
      </c>
      <c r="BE2963" s="10"/>
      <c r="BI2963" s="10"/>
    </row>
    <row r="2964" spans="1:61" ht="21" customHeight="1" x14ac:dyDescent="0.25">
      <c r="A2964" s="10"/>
      <c r="B2964" s="10"/>
      <c r="E2964" s="10"/>
      <c r="G2964" s="10"/>
      <c r="I2964" s="436" t="s">
        <v>7524</v>
      </c>
      <c r="J2964" s="26" t="s">
        <v>7523</v>
      </c>
      <c r="K2964" s="10">
        <v>0.2</v>
      </c>
      <c r="L2964" s="73">
        <f>IF(Tank1!$C$23="No control",(SUMIF(Tank1!$B$32:$B$49,$J2964,Tank1!$C$32:$C$49)*Impacts!$F$8),0)</f>
        <v>0</v>
      </c>
      <c r="M2964" s="10">
        <f>IF(Tank2!$C$23="No control",(SUMIF(Tank2!$B$32:$B$49,$J2964,Tank2!$C$32:$C$49)*Impacts!$F$9),0)</f>
        <v>0</v>
      </c>
      <c r="N2964" s="10">
        <f>IF(Tank3!$C$23="No control",(SUMIF(Tank3!$B$32:$B$49,$J2964,Tank3!$C$32:$C$49)*Impacts!$F$10),0)</f>
        <v>0</v>
      </c>
      <c r="O2964" s="10">
        <f>IF(Tank4!$C$23="No control",(SUMIF(Tank4!$B$32:$B$49,$J2964,Tank4!$C$32:$C$49)*Impacts!$F$11),0)</f>
        <v>0</v>
      </c>
      <c r="P2964" s="10">
        <f>IF(Tank5!$C$23="No control",(SUMIF(Tank5!$B$32:$B$49,$J2964,Tank5!$C$32:$C$49)*Impacts!$F$12),0)</f>
        <v>0</v>
      </c>
      <c r="Q2964" s="10">
        <f>IFERROR(IF(('Loading-drum,tote'!$C$21)="No control",SUMIF(('Loading-drum,tote'!$B$31:$B$48),$J2964,('Loading-drum,tote'!$D$31:$D$48))*Impacts!$F$13,IF(('Loading-drum,tote'!$C$21)&lt;&gt;"No control",SUMIF(('Loading-drum,tote'!$B$31:$B$48),$J2964,('Loading-drum,tote'!$E$31:$E$48))*Impacts!$F$13,0)),0)</f>
        <v>0</v>
      </c>
      <c r="R2964" s="10">
        <f>IFERROR(IF(('Loading-truck'!$C$21)="No control",SUMIF(('Loading-truck'!$B$31:$B$48),$J2964,('Loading-truck'!$D$31:$D$48))*Impacts!$F$14,IF(('Loading-truck'!$C$21)&lt;&gt;"No control",SUMIF(('Loading-truck'!$B$31:$B$48),$J2964,('Loading-truck'!$E$31:$E$48))*Impacts!$F$14,0)),0)</f>
        <v>0</v>
      </c>
      <c r="S2964" s="10">
        <f>IFERROR(IF(('Loading-rail'!$C$21)="No control",SUMIF(('Loading-rail'!$B$31:$B$48),$J2964,('Loading-rail'!$D$31:$D$48))*Impacts!$F$15,IF(('Loading-rail'!$C$21)&lt;&gt;"No control",SUMIF(('Loading-rail'!$B$31:$B$48),$J2964,('Loading-rail'!$E$31:$E$48))*Impacts!$F$15,0)),0)</f>
        <v>0</v>
      </c>
      <c r="T2964" s="10">
        <f>IF(Flare!$C$7="",0,(SUMIF(Flare!$B$46:$B$185,$J2964,Flare!$E$46:$E$185)*Impacts!$F$16))</f>
        <v>0</v>
      </c>
      <c r="U2964" s="10">
        <f>IF(VCU!$C$9="",0,(SUMIF(VCU!$B$51:$B$193,$J2964,VCU!$E$51:$E$193)*Impacts!$F$17))</f>
        <v>0</v>
      </c>
      <c r="V2964" s="10">
        <f>IF(CAS!$C$7="",0,(SUMIF(CAS!$B$31:$B$167,$J2964,CAS!$E$31:$E$167)*Impacts!$F$18))</f>
        <v>0</v>
      </c>
      <c r="W2964" s="10">
        <f t="shared" si="86"/>
        <v>0</v>
      </c>
      <c r="AK2964" s="10" t="str">
        <f t="array" ref="AK2964">IFERROR(INDEX(SelectedSpecies,SMALL(IF(SelectedSpecies=AK$1,ROW(SelectedSpecies)),ROW(2965:2965)),2),"")</f>
        <v/>
      </c>
      <c r="BE2964" s="10"/>
      <c r="BI2964" s="10"/>
    </row>
    <row r="2965" spans="1:61" ht="21" customHeight="1" x14ac:dyDescent="0.25">
      <c r="A2965" s="10"/>
      <c r="B2965" s="10"/>
      <c r="E2965" s="10"/>
      <c r="G2965" s="10"/>
      <c r="I2965" s="436" t="s">
        <v>3165</v>
      </c>
      <c r="J2965" s="26" t="s">
        <v>3164</v>
      </c>
      <c r="K2965" s="10">
        <v>10</v>
      </c>
      <c r="L2965" s="73">
        <f>IF(Tank1!$C$23="No control",(SUMIF(Tank1!$B$32:$B$49,$J2965,Tank1!$C$32:$C$49)*Impacts!$F$8),0)</f>
        <v>0</v>
      </c>
      <c r="M2965" s="10">
        <f>IF(Tank2!$C$23="No control",(SUMIF(Tank2!$B$32:$B$49,$J2965,Tank2!$C$32:$C$49)*Impacts!$F$9),0)</f>
        <v>0</v>
      </c>
      <c r="N2965" s="10">
        <f>IF(Tank3!$C$23="No control",(SUMIF(Tank3!$B$32:$B$49,$J2965,Tank3!$C$32:$C$49)*Impacts!$F$10),0)</f>
        <v>0</v>
      </c>
      <c r="O2965" s="10">
        <f>IF(Tank4!$C$23="No control",(SUMIF(Tank4!$B$32:$B$49,$J2965,Tank4!$C$32:$C$49)*Impacts!$F$11),0)</f>
        <v>0</v>
      </c>
      <c r="P2965" s="10">
        <f>IF(Tank5!$C$23="No control",(SUMIF(Tank5!$B$32:$B$49,$J2965,Tank5!$C$32:$C$49)*Impacts!$F$12),0)</f>
        <v>0</v>
      </c>
      <c r="Q2965" s="10">
        <f>IFERROR(IF(('Loading-drum,tote'!$C$21)="No control",SUMIF(('Loading-drum,tote'!$B$31:$B$48),$J2965,('Loading-drum,tote'!$D$31:$D$48))*Impacts!$F$13,IF(('Loading-drum,tote'!$C$21)&lt;&gt;"No control",SUMIF(('Loading-drum,tote'!$B$31:$B$48),$J2965,('Loading-drum,tote'!$E$31:$E$48))*Impacts!$F$13,0)),0)</f>
        <v>0</v>
      </c>
      <c r="R2965" s="10">
        <f>IFERROR(IF(('Loading-truck'!$C$21)="No control",SUMIF(('Loading-truck'!$B$31:$B$48),$J2965,('Loading-truck'!$D$31:$D$48))*Impacts!$F$14,IF(('Loading-truck'!$C$21)&lt;&gt;"No control",SUMIF(('Loading-truck'!$B$31:$B$48),$J2965,('Loading-truck'!$E$31:$E$48))*Impacts!$F$14,0)),0)</f>
        <v>0</v>
      </c>
      <c r="S2965" s="10">
        <f>IFERROR(IF(('Loading-rail'!$C$21)="No control",SUMIF(('Loading-rail'!$B$31:$B$48),$J2965,('Loading-rail'!$D$31:$D$48))*Impacts!$F$15,IF(('Loading-rail'!$C$21)&lt;&gt;"No control",SUMIF(('Loading-rail'!$B$31:$B$48),$J2965,('Loading-rail'!$E$31:$E$48))*Impacts!$F$15,0)),0)</f>
        <v>0</v>
      </c>
      <c r="T2965" s="10">
        <f>IF(Flare!$C$7="",0,(SUMIF(Flare!$B$46:$B$185,$J2965,Flare!$E$46:$E$185)*Impacts!$F$16))</f>
        <v>0</v>
      </c>
      <c r="U2965" s="10">
        <f>IF(VCU!$C$9="",0,(SUMIF(VCU!$B$51:$B$193,$J2965,VCU!$E$51:$E$193)*Impacts!$F$17))</f>
        <v>0</v>
      </c>
      <c r="V2965" s="10">
        <f>IF(CAS!$C$7="",0,(SUMIF(CAS!$B$31:$B$167,$J2965,CAS!$E$31:$E$167)*Impacts!$F$18))</f>
        <v>0</v>
      </c>
      <c r="W2965" s="10">
        <f t="shared" si="86"/>
        <v>0</v>
      </c>
      <c r="AK2965" s="10" t="str">
        <f t="array" ref="AK2965">IFERROR(INDEX(SelectedSpecies,SMALL(IF(SelectedSpecies=AK$1,ROW(SelectedSpecies)),ROW(2966:2966)),2),"")</f>
        <v/>
      </c>
      <c r="BE2965" s="10"/>
      <c r="BI2965" s="10"/>
    </row>
    <row r="2966" spans="1:61" ht="21" customHeight="1" x14ac:dyDescent="0.25">
      <c r="A2966" s="10"/>
      <c r="B2966" s="10"/>
      <c r="E2966" s="10"/>
      <c r="G2966" s="10"/>
      <c r="I2966" s="436" t="s">
        <v>3167</v>
      </c>
      <c r="J2966" s="26" t="s">
        <v>3166</v>
      </c>
      <c r="K2966" s="10">
        <v>10</v>
      </c>
      <c r="L2966" s="73">
        <f>IF(Tank1!$C$23="No control",(SUMIF(Tank1!$B$32:$B$49,$J2966,Tank1!$C$32:$C$49)*Impacts!$F$8),0)</f>
        <v>0</v>
      </c>
      <c r="M2966" s="10">
        <f>IF(Tank2!$C$23="No control",(SUMIF(Tank2!$B$32:$B$49,$J2966,Tank2!$C$32:$C$49)*Impacts!$F$9),0)</f>
        <v>0</v>
      </c>
      <c r="N2966" s="10">
        <f>IF(Tank3!$C$23="No control",(SUMIF(Tank3!$B$32:$B$49,$J2966,Tank3!$C$32:$C$49)*Impacts!$F$10),0)</f>
        <v>0</v>
      </c>
      <c r="O2966" s="10">
        <f>IF(Tank4!$C$23="No control",(SUMIF(Tank4!$B$32:$B$49,$J2966,Tank4!$C$32:$C$49)*Impacts!$F$11),0)</f>
        <v>0</v>
      </c>
      <c r="P2966" s="10">
        <f>IF(Tank5!$C$23="No control",(SUMIF(Tank5!$B$32:$B$49,$J2966,Tank5!$C$32:$C$49)*Impacts!$F$12),0)</f>
        <v>0</v>
      </c>
      <c r="Q2966" s="10">
        <f>IFERROR(IF(('Loading-drum,tote'!$C$21)="No control",SUMIF(('Loading-drum,tote'!$B$31:$B$48),$J2966,('Loading-drum,tote'!$D$31:$D$48))*Impacts!$F$13,IF(('Loading-drum,tote'!$C$21)&lt;&gt;"No control",SUMIF(('Loading-drum,tote'!$B$31:$B$48),$J2966,('Loading-drum,tote'!$E$31:$E$48))*Impacts!$F$13,0)),0)</f>
        <v>0</v>
      </c>
      <c r="R2966" s="10">
        <f>IFERROR(IF(('Loading-truck'!$C$21)="No control",SUMIF(('Loading-truck'!$B$31:$B$48),$J2966,('Loading-truck'!$D$31:$D$48))*Impacts!$F$14,IF(('Loading-truck'!$C$21)&lt;&gt;"No control",SUMIF(('Loading-truck'!$B$31:$B$48),$J2966,('Loading-truck'!$E$31:$E$48))*Impacts!$F$14,0)),0)</f>
        <v>0</v>
      </c>
      <c r="S2966" s="10">
        <f>IFERROR(IF(('Loading-rail'!$C$21)="No control",SUMIF(('Loading-rail'!$B$31:$B$48),$J2966,('Loading-rail'!$D$31:$D$48))*Impacts!$F$15,IF(('Loading-rail'!$C$21)&lt;&gt;"No control",SUMIF(('Loading-rail'!$B$31:$B$48),$J2966,('Loading-rail'!$E$31:$E$48))*Impacts!$F$15,0)),0)</f>
        <v>0</v>
      </c>
      <c r="T2966" s="10">
        <f>IF(Flare!$C$7="",0,(SUMIF(Flare!$B$46:$B$185,$J2966,Flare!$E$46:$E$185)*Impacts!$F$16))</f>
        <v>0</v>
      </c>
      <c r="U2966" s="10">
        <f>IF(VCU!$C$9="",0,(SUMIF(VCU!$B$51:$B$193,$J2966,VCU!$E$51:$E$193)*Impacts!$F$17))</f>
        <v>0</v>
      </c>
      <c r="V2966" s="10">
        <f>IF(CAS!$C$7="",0,(SUMIF(CAS!$B$31:$B$167,$J2966,CAS!$E$31:$E$167)*Impacts!$F$18))</f>
        <v>0</v>
      </c>
      <c r="W2966" s="10">
        <f t="shared" si="86"/>
        <v>0</v>
      </c>
      <c r="AK2966" s="10" t="str">
        <f t="array" ref="AK2966">IFERROR(INDEX(SelectedSpecies,SMALL(IF(SelectedSpecies=AK$1,ROW(SelectedSpecies)),ROW(2967:2967)),2),"")</f>
        <v/>
      </c>
      <c r="BE2966" s="10"/>
      <c r="BI2966" s="10"/>
    </row>
    <row r="2967" spans="1:61" ht="21" customHeight="1" x14ac:dyDescent="0.25">
      <c r="A2967" s="10"/>
      <c r="B2967" s="10"/>
      <c r="E2967" s="10"/>
      <c r="G2967" s="10"/>
      <c r="I2967" s="436" t="s">
        <v>6068</v>
      </c>
      <c r="J2967" s="26" t="s">
        <v>6067</v>
      </c>
      <c r="K2967" s="10">
        <v>1</v>
      </c>
      <c r="L2967" s="73">
        <f>IF(Tank1!$C$23="No control",(SUMIF(Tank1!$B$32:$B$49,$J2967,Tank1!$C$32:$C$49)*Impacts!$F$8),0)</f>
        <v>0</v>
      </c>
      <c r="M2967" s="10">
        <f>IF(Tank2!$C$23="No control",(SUMIF(Tank2!$B$32:$B$49,$J2967,Tank2!$C$32:$C$49)*Impacts!$F$9),0)</f>
        <v>0</v>
      </c>
      <c r="N2967" s="10">
        <f>IF(Tank3!$C$23="No control",(SUMIF(Tank3!$B$32:$B$49,$J2967,Tank3!$C$32:$C$49)*Impacts!$F$10),0)</f>
        <v>0</v>
      </c>
      <c r="O2967" s="10">
        <f>IF(Tank4!$C$23="No control",(SUMIF(Tank4!$B$32:$B$49,$J2967,Tank4!$C$32:$C$49)*Impacts!$F$11),0)</f>
        <v>0</v>
      </c>
      <c r="P2967" s="10">
        <f>IF(Tank5!$C$23="No control",(SUMIF(Tank5!$B$32:$B$49,$J2967,Tank5!$C$32:$C$49)*Impacts!$F$12),0)</f>
        <v>0</v>
      </c>
      <c r="Q2967" s="10">
        <f>IFERROR(IF(('Loading-drum,tote'!$C$21)="No control",SUMIF(('Loading-drum,tote'!$B$31:$B$48),$J2967,('Loading-drum,tote'!$D$31:$D$48))*Impacts!$F$13,IF(('Loading-drum,tote'!$C$21)&lt;&gt;"No control",SUMIF(('Loading-drum,tote'!$B$31:$B$48),$J2967,('Loading-drum,tote'!$E$31:$E$48))*Impacts!$F$13,0)),0)</f>
        <v>0</v>
      </c>
      <c r="R2967" s="10">
        <f>IFERROR(IF(('Loading-truck'!$C$21)="No control",SUMIF(('Loading-truck'!$B$31:$B$48),$J2967,('Loading-truck'!$D$31:$D$48))*Impacts!$F$14,IF(('Loading-truck'!$C$21)&lt;&gt;"No control",SUMIF(('Loading-truck'!$B$31:$B$48),$J2967,('Loading-truck'!$E$31:$E$48))*Impacts!$F$14,0)),0)</f>
        <v>0</v>
      </c>
      <c r="S2967" s="10">
        <f>IFERROR(IF(('Loading-rail'!$C$21)="No control",SUMIF(('Loading-rail'!$B$31:$B$48),$J2967,('Loading-rail'!$D$31:$D$48))*Impacts!$F$15,IF(('Loading-rail'!$C$21)&lt;&gt;"No control",SUMIF(('Loading-rail'!$B$31:$B$48),$J2967,('Loading-rail'!$E$31:$E$48))*Impacts!$F$15,0)),0)</f>
        <v>0</v>
      </c>
      <c r="T2967" s="10">
        <f>IF(Flare!$C$7="",0,(SUMIF(Flare!$B$46:$B$185,$J2967,Flare!$E$46:$E$185)*Impacts!$F$16))</f>
        <v>0</v>
      </c>
      <c r="U2967" s="10">
        <f>IF(VCU!$C$9="",0,(SUMIF(VCU!$B$51:$B$193,$J2967,VCU!$E$51:$E$193)*Impacts!$F$17))</f>
        <v>0</v>
      </c>
      <c r="V2967" s="10">
        <f>IF(CAS!$C$7="",0,(SUMIF(CAS!$B$31:$B$167,$J2967,CAS!$E$31:$E$167)*Impacts!$F$18))</f>
        <v>0</v>
      </c>
      <c r="W2967" s="10">
        <f t="shared" si="86"/>
        <v>0</v>
      </c>
      <c r="AK2967" s="10" t="str">
        <f t="array" ref="AK2967">IFERROR(INDEX(SelectedSpecies,SMALL(IF(SelectedSpecies=AK$1,ROW(SelectedSpecies)),ROW(2968:2968)),2),"")</f>
        <v/>
      </c>
      <c r="BE2967" s="10"/>
      <c r="BI2967" s="10"/>
    </row>
    <row r="2968" spans="1:61" ht="21" customHeight="1" x14ac:dyDescent="0.25">
      <c r="A2968" s="10"/>
      <c r="B2968" s="10"/>
      <c r="E2968" s="10"/>
      <c r="G2968" s="10"/>
      <c r="I2968" s="436" t="s">
        <v>3169</v>
      </c>
      <c r="J2968" s="26" t="s">
        <v>3168</v>
      </c>
      <c r="K2968" s="10">
        <v>10</v>
      </c>
      <c r="L2968" s="73">
        <f>IF(Tank1!$C$23="No control",(SUMIF(Tank1!$B$32:$B$49,$J2968,Tank1!$C$32:$C$49)*Impacts!$F$8),0)</f>
        <v>0</v>
      </c>
      <c r="M2968" s="10">
        <f>IF(Tank2!$C$23="No control",(SUMIF(Tank2!$B$32:$B$49,$J2968,Tank2!$C$32:$C$49)*Impacts!$F$9),0)</f>
        <v>0</v>
      </c>
      <c r="N2968" s="10">
        <f>IF(Tank3!$C$23="No control",(SUMIF(Tank3!$B$32:$B$49,$J2968,Tank3!$C$32:$C$49)*Impacts!$F$10),0)</f>
        <v>0</v>
      </c>
      <c r="O2968" s="10">
        <f>IF(Tank4!$C$23="No control",(SUMIF(Tank4!$B$32:$B$49,$J2968,Tank4!$C$32:$C$49)*Impacts!$F$11),0)</f>
        <v>0</v>
      </c>
      <c r="P2968" s="10">
        <f>IF(Tank5!$C$23="No control",(SUMIF(Tank5!$B$32:$B$49,$J2968,Tank5!$C$32:$C$49)*Impacts!$F$12),0)</f>
        <v>0</v>
      </c>
      <c r="Q2968" s="10">
        <f>IFERROR(IF(('Loading-drum,tote'!$C$21)="No control",SUMIF(('Loading-drum,tote'!$B$31:$B$48),$J2968,('Loading-drum,tote'!$D$31:$D$48))*Impacts!$F$13,IF(('Loading-drum,tote'!$C$21)&lt;&gt;"No control",SUMIF(('Loading-drum,tote'!$B$31:$B$48),$J2968,('Loading-drum,tote'!$E$31:$E$48))*Impacts!$F$13,0)),0)</f>
        <v>0</v>
      </c>
      <c r="R2968" s="10">
        <f>IFERROR(IF(('Loading-truck'!$C$21)="No control",SUMIF(('Loading-truck'!$B$31:$B$48),$J2968,('Loading-truck'!$D$31:$D$48))*Impacts!$F$14,IF(('Loading-truck'!$C$21)&lt;&gt;"No control",SUMIF(('Loading-truck'!$B$31:$B$48),$J2968,('Loading-truck'!$E$31:$E$48))*Impacts!$F$14,0)),0)</f>
        <v>0</v>
      </c>
      <c r="S2968" s="10">
        <f>IFERROR(IF(('Loading-rail'!$C$21)="No control",SUMIF(('Loading-rail'!$B$31:$B$48),$J2968,('Loading-rail'!$D$31:$D$48))*Impacts!$F$15,IF(('Loading-rail'!$C$21)&lt;&gt;"No control",SUMIF(('Loading-rail'!$B$31:$B$48),$J2968,('Loading-rail'!$E$31:$E$48))*Impacts!$F$15,0)),0)</f>
        <v>0</v>
      </c>
      <c r="T2968" s="10">
        <f>IF(Flare!$C$7="",0,(SUMIF(Flare!$B$46:$B$185,$J2968,Flare!$E$46:$E$185)*Impacts!$F$16))</f>
        <v>0</v>
      </c>
      <c r="U2968" s="10">
        <f>IF(VCU!$C$9="",0,(SUMIF(VCU!$B$51:$B$193,$J2968,VCU!$E$51:$E$193)*Impacts!$F$17))</f>
        <v>0</v>
      </c>
      <c r="V2968" s="10">
        <f>IF(CAS!$C$7="",0,(SUMIF(CAS!$B$31:$B$167,$J2968,CAS!$E$31:$E$167)*Impacts!$F$18))</f>
        <v>0</v>
      </c>
      <c r="W2968" s="10">
        <f t="shared" si="86"/>
        <v>0</v>
      </c>
      <c r="AK2968" s="10" t="str">
        <f t="array" ref="AK2968">IFERROR(INDEX(SelectedSpecies,SMALL(IF(SelectedSpecies=AK$1,ROW(SelectedSpecies)),ROW(2969:2969)),2),"")</f>
        <v/>
      </c>
      <c r="BE2968" s="10"/>
      <c r="BI2968" s="10"/>
    </row>
    <row r="2969" spans="1:61" ht="21" customHeight="1" x14ac:dyDescent="0.25">
      <c r="A2969" s="10"/>
      <c r="B2969" s="10"/>
      <c r="E2969" s="10"/>
      <c r="G2969" s="10"/>
      <c r="I2969" s="436" t="s">
        <v>6070</v>
      </c>
      <c r="J2969" s="26" t="s">
        <v>6069</v>
      </c>
      <c r="K2969" s="10">
        <v>1</v>
      </c>
      <c r="L2969" s="73">
        <f>IF(Tank1!$C$23="No control",(SUMIF(Tank1!$B$32:$B$49,$J2969,Tank1!$C$32:$C$49)*Impacts!$F$8),0)</f>
        <v>0</v>
      </c>
      <c r="M2969" s="10">
        <f>IF(Tank2!$C$23="No control",(SUMIF(Tank2!$B$32:$B$49,$J2969,Tank2!$C$32:$C$49)*Impacts!$F$9),0)</f>
        <v>0</v>
      </c>
      <c r="N2969" s="10">
        <f>IF(Tank3!$C$23="No control",(SUMIF(Tank3!$B$32:$B$49,$J2969,Tank3!$C$32:$C$49)*Impacts!$F$10),0)</f>
        <v>0</v>
      </c>
      <c r="O2969" s="10">
        <f>IF(Tank4!$C$23="No control",(SUMIF(Tank4!$B$32:$B$49,$J2969,Tank4!$C$32:$C$49)*Impacts!$F$11),0)</f>
        <v>0</v>
      </c>
      <c r="P2969" s="10">
        <f>IF(Tank5!$C$23="No control",(SUMIF(Tank5!$B$32:$B$49,$J2969,Tank5!$C$32:$C$49)*Impacts!$F$12),0)</f>
        <v>0</v>
      </c>
      <c r="Q2969" s="10">
        <f>IFERROR(IF(('Loading-drum,tote'!$C$21)="No control",SUMIF(('Loading-drum,tote'!$B$31:$B$48),$J2969,('Loading-drum,tote'!$D$31:$D$48))*Impacts!$F$13,IF(('Loading-drum,tote'!$C$21)&lt;&gt;"No control",SUMIF(('Loading-drum,tote'!$B$31:$B$48),$J2969,('Loading-drum,tote'!$E$31:$E$48))*Impacts!$F$13,0)),0)</f>
        <v>0</v>
      </c>
      <c r="R2969" s="10">
        <f>IFERROR(IF(('Loading-truck'!$C$21)="No control",SUMIF(('Loading-truck'!$B$31:$B$48),$J2969,('Loading-truck'!$D$31:$D$48))*Impacts!$F$14,IF(('Loading-truck'!$C$21)&lt;&gt;"No control",SUMIF(('Loading-truck'!$B$31:$B$48),$J2969,('Loading-truck'!$E$31:$E$48))*Impacts!$F$14,0)),0)</f>
        <v>0</v>
      </c>
      <c r="S2969" s="10">
        <f>IFERROR(IF(('Loading-rail'!$C$21)="No control",SUMIF(('Loading-rail'!$B$31:$B$48),$J2969,('Loading-rail'!$D$31:$D$48))*Impacts!$F$15,IF(('Loading-rail'!$C$21)&lt;&gt;"No control",SUMIF(('Loading-rail'!$B$31:$B$48),$J2969,('Loading-rail'!$E$31:$E$48))*Impacts!$F$15,0)),0)</f>
        <v>0</v>
      </c>
      <c r="T2969" s="10">
        <f>IF(Flare!$C$7="",0,(SUMIF(Flare!$B$46:$B$185,$J2969,Flare!$E$46:$E$185)*Impacts!$F$16))</f>
        <v>0</v>
      </c>
      <c r="U2969" s="10">
        <f>IF(VCU!$C$9="",0,(SUMIF(VCU!$B$51:$B$193,$J2969,VCU!$E$51:$E$193)*Impacts!$F$17))</f>
        <v>0</v>
      </c>
      <c r="V2969" s="10">
        <f>IF(CAS!$C$7="",0,(SUMIF(CAS!$B$31:$B$167,$J2969,CAS!$E$31:$E$167)*Impacts!$F$18))</f>
        <v>0</v>
      </c>
      <c r="W2969" s="10">
        <f t="shared" si="86"/>
        <v>0</v>
      </c>
      <c r="AK2969" s="10" t="str">
        <f t="array" ref="AK2969">IFERROR(INDEX(SelectedSpecies,SMALL(IF(SelectedSpecies=AK$1,ROW(SelectedSpecies)),ROW(2970:2970)),2),"")</f>
        <v/>
      </c>
      <c r="BE2969" s="10"/>
      <c r="BI2969" s="10"/>
    </row>
    <row r="2970" spans="1:61" ht="21" customHeight="1" x14ac:dyDescent="0.25">
      <c r="A2970" s="10"/>
      <c r="B2970" s="10"/>
      <c r="E2970" s="10"/>
      <c r="G2970" s="10"/>
      <c r="I2970" s="436" t="s">
        <v>6072</v>
      </c>
      <c r="J2970" s="26" t="s">
        <v>6071</v>
      </c>
      <c r="K2970" s="10">
        <v>1</v>
      </c>
      <c r="L2970" s="73">
        <f>IF(Tank1!$C$23="No control",(SUMIF(Tank1!$B$32:$B$49,$J2970,Tank1!$C$32:$C$49)*Impacts!$F$8),0)</f>
        <v>0</v>
      </c>
      <c r="M2970" s="10">
        <f>IF(Tank2!$C$23="No control",(SUMIF(Tank2!$B$32:$B$49,$J2970,Tank2!$C$32:$C$49)*Impacts!$F$9),0)</f>
        <v>0</v>
      </c>
      <c r="N2970" s="10">
        <f>IF(Tank3!$C$23="No control",(SUMIF(Tank3!$B$32:$B$49,$J2970,Tank3!$C$32:$C$49)*Impacts!$F$10),0)</f>
        <v>0</v>
      </c>
      <c r="O2970" s="10">
        <f>IF(Tank4!$C$23="No control",(SUMIF(Tank4!$B$32:$B$49,$J2970,Tank4!$C$32:$C$49)*Impacts!$F$11),0)</f>
        <v>0</v>
      </c>
      <c r="P2970" s="10">
        <f>IF(Tank5!$C$23="No control",(SUMIF(Tank5!$B$32:$B$49,$J2970,Tank5!$C$32:$C$49)*Impacts!$F$12),0)</f>
        <v>0</v>
      </c>
      <c r="Q2970" s="10">
        <f>IFERROR(IF(('Loading-drum,tote'!$C$21)="No control",SUMIF(('Loading-drum,tote'!$B$31:$B$48),$J2970,('Loading-drum,tote'!$D$31:$D$48))*Impacts!$F$13,IF(('Loading-drum,tote'!$C$21)&lt;&gt;"No control",SUMIF(('Loading-drum,tote'!$B$31:$B$48),$J2970,('Loading-drum,tote'!$E$31:$E$48))*Impacts!$F$13,0)),0)</f>
        <v>0</v>
      </c>
      <c r="R2970" s="10">
        <f>IFERROR(IF(('Loading-truck'!$C$21)="No control",SUMIF(('Loading-truck'!$B$31:$B$48),$J2970,('Loading-truck'!$D$31:$D$48))*Impacts!$F$14,IF(('Loading-truck'!$C$21)&lt;&gt;"No control",SUMIF(('Loading-truck'!$B$31:$B$48),$J2970,('Loading-truck'!$E$31:$E$48))*Impacts!$F$14,0)),0)</f>
        <v>0</v>
      </c>
      <c r="S2970" s="10">
        <f>IFERROR(IF(('Loading-rail'!$C$21)="No control",SUMIF(('Loading-rail'!$B$31:$B$48),$J2970,('Loading-rail'!$D$31:$D$48))*Impacts!$F$15,IF(('Loading-rail'!$C$21)&lt;&gt;"No control",SUMIF(('Loading-rail'!$B$31:$B$48),$J2970,('Loading-rail'!$E$31:$E$48))*Impacts!$F$15,0)),0)</f>
        <v>0</v>
      </c>
      <c r="T2970" s="10">
        <f>IF(Flare!$C$7="",0,(SUMIF(Flare!$B$46:$B$185,$J2970,Flare!$E$46:$E$185)*Impacts!$F$16))</f>
        <v>0</v>
      </c>
      <c r="U2970" s="10">
        <f>IF(VCU!$C$9="",0,(SUMIF(VCU!$B$51:$B$193,$J2970,VCU!$E$51:$E$193)*Impacts!$F$17))</f>
        <v>0</v>
      </c>
      <c r="V2970" s="10">
        <f>IF(CAS!$C$7="",0,(SUMIF(CAS!$B$31:$B$167,$J2970,CAS!$E$31:$E$167)*Impacts!$F$18))</f>
        <v>0</v>
      </c>
      <c r="W2970" s="10">
        <f t="shared" ref="W2970:W3033" si="87">SUM(L2970:V2970)</f>
        <v>0</v>
      </c>
      <c r="AK2970" s="10" t="str">
        <f t="array" ref="AK2970">IFERROR(INDEX(SelectedSpecies,SMALL(IF(SelectedSpecies=AK$1,ROW(SelectedSpecies)),ROW(2971:2971)),2),"")</f>
        <v/>
      </c>
      <c r="BE2970" s="10"/>
      <c r="BI2970" s="10"/>
    </row>
    <row r="2971" spans="1:61" ht="21" customHeight="1" x14ac:dyDescent="0.25">
      <c r="A2971" s="10"/>
      <c r="B2971" s="10"/>
      <c r="E2971" s="10"/>
      <c r="G2971" s="10"/>
      <c r="I2971" s="436" t="s">
        <v>3171</v>
      </c>
      <c r="J2971" s="26" t="s">
        <v>3170</v>
      </c>
      <c r="K2971" s="10">
        <v>10</v>
      </c>
      <c r="L2971" s="73">
        <f>IF(Tank1!$C$23="No control",(SUMIF(Tank1!$B$32:$B$49,$J2971,Tank1!$C$32:$C$49)*Impacts!$F$8),0)</f>
        <v>0</v>
      </c>
      <c r="M2971" s="10">
        <f>IF(Tank2!$C$23="No control",(SUMIF(Tank2!$B$32:$B$49,$J2971,Tank2!$C$32:$C$49)*Impacts!$F$9),0)</f>
        <v>0</v>
      </c>
      <c r="N2971" s="10">
        <f>IF(Tank3!$C$23="No control",(SUMIF(Tank3!$B$32:$B$49,$J2971,Tank3!$C$32:$C$49)*Impacts!$F$10),0)</f>
        <v>0</v>
      </c>
      <c r="O2971" s="10">
        <f>IF(Tank4!$C$23="No control",(SUMIF(Tank4!$B$32:$B$49,$J2971,Tank4!$C$32:$C$49)*Impacts!$F$11),0)</f>
        <v>0</v>
      </c>
      <c r="P2971" s="10">
        <f>IF(Tank5!$C$23="No control",(SUMIF(Tank5!$B$32:$B$49,$J2971,Tank5!$C$32:$C$49)*Impacts!$F$12),0)</f>
        <v>0</v>
      </c>
      <c r="Q2971" s="10">
        <f>IFERROR(IF(('Loading-drum,tote'!$C$21)="No control",SUMIF(('Loading-drum,tote'!$B$31:$B$48),$J2971,('Loading-drum,tote'!$D$31:$D$48))*Impacts!$F$13,IF(('Loading-drum,tote'!$C$21)&lt;&gt;"No control",SUMIF(('Loading-drum,tote'!$B$31:$B$48),$J2971,('Loading-drum,tote'!$E$31:$E$48))*Impacts!$F$13,0)),0)</f>
        <v>0</v>
      </c>
      <c r="R2971" s="10">
        <f>IFERROR(IF(('Loading-truck'!$C$21)="No control",SUMIF(('Loading-truck'!$B$31:$B$48),$J2971,('Loading-truck'!$D$31:$D$48))*Impacts!$F$14,IF(('Loading-truck'!$C$21)&lt;&gt;"No control",SUMIF(('Loading-truck'!$B$31:$B$48),$J2971,('Loading-truck'!$E$31:$E$48))*Impacts!$F$14,0)),0)</f>
        <v>0</v>
      </c>
      <c r="S2971" s="10">
        <f>IFERROR(IF(('Loading-rail'!$C$21)="No control",SUMIF(('Loading-rail'!$B$31:$B$48),$J2971,('Loading-rail'!$D$31:$D$48))*Impacts!$F$15,IF(('Loading-rail'!$C$21)&lt;&gt;"No control",SUMIF(('Loading-rail'!$B$31:$B$48),$J2971,('Loading-rail'!$E$31:$E$48))*Impacts!$F$15,0)),0)</f>
        <v>0</v>
      </c>
      <c r="T2971" s="10">
        <f>IF(Flare!$C$7="",0,(SUMIF(Flare!$B$46:$B$185,$J2971,Flare!$E$46:$E$185)*Impacts!$F$16))</f>
        <v>0</v>
      </c>
      <c r="U2971" s="10">
        <f>IF(VCU!$C$9="",0,(SUMIF(VCU!$B$51:$B$193,$J2971,VCU!$E$51:$E$193)*Impacts!$F$17))</f>
        <v>0</v>
      </c>
      <c r="V2971" s="10">
        <f>IF(CAS!$C$7="",0,(SUMIF(CAS!$B$31:$B$167,$J2971,CAS!$E$31:$E$167)*Impacts!$F$18))</f>
        <v>0</v>
      </c>
      <c r="W2971" s="10">
        <f t="shared" si="87"/>
        <v>0</v>
      </c>
      <c r="AK2971" s="10" t="str">
        <f t="array" ref="AK2971">IFERROR(INDEX(SelectedSpecies,SMALL(IF(SelectedSpecies=AK$1,ROW(SelectedSpecies)),ROW(2972:2972)),2),"")</f>
        <v/>
      </c>
      <c r="BE2971" s="10"/>
      <c r="BI2971" s="10"/>
    </row>
    <row r="2972" spans="1:61" ht="21" customHeight="1" x14ac:dyDescent="0.25">
      <c r="A2972" s="10"/>
      <c r="B2972" s="10"/>
      <c r="E2972" s="10"/>
      <c r="G2972" s="10"/>
      <c r="I2972" s="436" t="s">
        <v>3839</v>
      </c>
      <c r="J2972" s="26" t="s">
        <v>3838</v>
      </c>
      <c r="K2972" s="10">
        <v>6</v>
      </c>
      <c r="L2972" s="73">
        <f>IF(Tank1!$C$23="No control",(SUMIF(Tank1!$B$32:$B$49,$J2972,Tank1!$C$32:$C$49)*Impacts!$F$8),0)</f>
        <v>0</v>
      </c>
      <c r="M2972" s="10">
        <f>IF(Tank2!$C$23="No control",(SUMIF(Tank2!$B$32:$B$49,$J2972,Tank2!$C$32:$C$49)*Impacts!$F$9),0)</f>
        <v>0</v>
      </c>
      <c r="N2972" s="10">
        <f>IF(Tank3!$C$23="No control",(SUMIF(Tank3!$B$32:$B$49,$J2972,Tank3!$C$32:$C$49)*Impacts!$F$10),0)</f>
        <v>0</v>
      </c>
      <c r="O2972" s="10">
        <f>IF(Tank4!$C$23="No control",(SUMIF(Tank4!$B$32:$B$49,$J2972,Tank4!$C$32:$C$49)*Impacts!$F$11),0)</f>
        <v>0</v>
      </c>
      <c r="P2972" s="10">
        <f>IF(Tank5!$C$23="No control",(SUMIF(Tank5!$B$32:$B$49,$J2972,Tank5!$C$32:$C$49)*Impacts!$F$12),0)</f>
        <v>0</v>
      </c>
      <c r="Q2972" s="10">
        <f>IFERROR(IF(('Loading-drum,tote'!$C$21)="No control",SUMIF(('Loading-drum,tote'!$B$31:$B$48),$J2972,('Loading-drum,tote'!$D$31:$D$48))*Impacts!$F$13,IF(('Loading-drum,tote'!$C$21)&lt;&gt;"No control",SUMIF(('Loading-drum,tote'!$B$31:$B$48),$J2972,('Loading-drum,tote'!$E$31:$E$48))*Impacts!$F$13,0)),0)</f>
        <v>0</v>
      </c>
      <c r="R2972" s="10">
        <f>IFERROR(IF(('Loading-truck'!$C$21)="No control",SUMIF(('Loading-truck'!$B$31:$B$48),$J2972,('Loading-truck'!$D$31:$D$48))*Impacts!$F$14,IF(('Loading-truck'!$C$21)&lt;&gt;"No control",SUMIF(('Loading-truck'!$B$31:$B$48),$J2972,('Loading-truck'!$E$31:$E$48))*Impacts!$F$14,0)),0)</f>
        <v>0</v>
      </c>
      <c r="S2972" s="10">
        <f>IFERROR(IF(('Loading-rail'!$C$21)="No control",SUMIF(('Loading-rail'!$B$31:$B$48),$J2972,('Loading-rail'!$D$31:$D$48))*Impacts!$F$15,IF(('Loading-rail'!$C$21)&lt;&gt;"No control",SUMIF(('Loading-rail'!$B$31:$B$48),$J2972,('Loading-rail'!$E$31:$E$48))*Impacts!$F$15,0)),0)</f>
        <v>0</v>
      </c>
      <c r="T2972" s="10">
        <f>IF(Flare!$C$7="",0,(SUMIF(Flare!$B$46:$B$185,$J2972,Flare!$E$46:$E$185)*Impacts!$F$16))</f>
        <v>0</v>
      </c>
      <c r="U2972" s="10">
        <f>IF(VCU!$C$9="",0,(SUMIF(VCU!$B$51:$B$193,$J2972,VCU!$E$51:$E$193)*Impacts!$F$17))</f>
        <v>0</v>
      </c>
      <c r="V2972" s="10">
        <f>IF(CAS!$C$7="",0,(SUMIF(CAS!$B$31:$B$167,$J2972,CAS!$E$31:$E$167)*Impacts!$F$18))</f>
        <v>0</v>
      </c>
      <c r="W2972" s="10">
        <f t="shared" si="87"/>
        <v>0</v>
      </c>
      <c r="AK2972" s="10" t="str">
        <f t="array" ref="AK2972">IFERROR(INDEX(SelectedSpecies,SMALL(IF(SelectedSpecies=AK$1,ROW(SelectedSpecies)),ROW(2973:2973)),2),"")</f>
        <v/>
      </c>
      <c r="BE2972" s="10"/>
      <c r="BI2972" s="10"/>
    </row>
    <row r="2973" spans="1:61" ht="21" customHeight="1" x14ac:dyDescent="0.25">
      <c r="A2973" s="10"/>
      <c r="B2973" s="10"/>
      <c r="E2973" s="10"/>
      <c r="G2973" s="10"/>
      <c r="I2973" s="436" t="s">
        <v>6074</v>
      </c>
      <c r="J2973" s="26" t="s">
        <v>6073</v>
      </c>
      <c r="K2973" s="10">
        <v>1</v>
      </c>
      <c r="L2973" s="73">
        <f>IF(Tank1!$C$23="No control",(SUMIF(Tank1!$B$32:$B$49,$J2973,Tank1!$C$32:$C$49)*Impacts!$F$8),0)</f>
        <v>0</v>
      </c>
      <c r="M2973" s="10">
        <f>IF(Tank2!$C$23="No control",(SUMIF(Tank2!$B$32:$B$49,$J2973,Tank2!$C$32:$C$49)*Impacts!$F$9),0)</f>
        <v>0</v>
      </c>
      <c r="N2973" s="10">
        <f>IF(Tank3!$C$23="No control",(SUMIF(Tank3!$B$32:$B$49,$J2973,Tank3!$C$32:$C$49)*Impacts!$F$10),0)</f>
        <v>0</v>
      </c>
      <c r="O2973" s="10">
        <f>IF(Tank4!$C$23="No control",(SUMIF(Tank4!$B$32:$B$49,$J2973,Tank4!$C$32:$C$49)*Impacts!$F$11),0)</f>
        <v>0</v>
      </c>
      <c r="P2973" s="10">
        <f>IF(Tank5!$C$23="No control",(SUMIF(Tank5!$B$32:$B$49,$J2973,Tank5!$C$32:$C$49)*Impacts!$F$12),0)</f>
        <v>0</v>
      </c>
      <c r="Q2973" s="10">
        <f>IFERROR(IF(('Loading-drum,tote'!$C$21)="No control",SUMIF(('Loading-drum,tote'!$B$31:$B$48),$J2973,('Loading-drum,tote'!$D$31:$D$48))*Impacts!$F$13,IF(('Loading-drum,tote'!$C$21)&lt;&gt;"No control",SUMIF(('Loading-drum,tote'!$B$31:$B$48),$J2973,('Loading-drum,tote'!$E$31:$E$48))*Impacts!$F$13,0)),0)</f>
        <v>0</v>
      </c>
      <c r="R2973" s="10">
        <f>IFERROR(IF(('Loading-truck'!$C$21)="No control",SUMIF(('Loading-truck'!$B$31:$B$48),$J2973,('Loading-truck'!$D$31:$D$48))*Impacts!$F$14,IF(('Loading-truck'!$C$21)&lt;&gt;"No control",SUMIF(('Loading-truck'!$B$31:$B$48),$J2973,('Loading-truck'!$E$31:$E$48))*Impacts!$F$14,0)),0)</f>
        <v>0</v>
      </c>
      <c r="S2973" s="10">
        <f>IFERROR(IF(('Loading-rail'!$C$21)="No control",SUMIF(('Loading-rail'!$B$31:$B$48),$J2973,('Loading-rail'!$D$31:$D$48))*Impacts!$F$15,IF(('Loading-rail'!$C$21)&lt;&gt;"No control",SUMIF(('Loading-rail'!$B$31:$B$48),$J2973,('Loading-rail'!$E$31:$E$48))*Impacts!$F$15,0)),0)</f>
        <v>0</v>
      </c>
      <c r="T2973" s="10">
        <f>IF(Flare!$C$7="",0,(SUMIF(Flare!$B$46:$B$185,$J2973,Flare!$E$46:$E$185)*Impacts!$F$16))</f>
        <v>0</v>
      </c>
      <c r="U2973" s="10">
        <f>IF(VCU!$C$9="",0,(SUMIF(VCU!$B$51:$B$193,$J2973,VCU!$E$51:$E$193)*Impacts!$F$17))</f>
        <v>0</v>
      </c>
      <c r="V2973" s="10">
        <f>IF(CAS!$C$7="",0,(SUMIF(CAS!$B$31:$B$167,$J2973,CAS!$E$31:$E$167)*Impacts!$F$18))</f>
        <v>0</v>
      </c>
      <c r="W2973" s="10">
        <f t="shared" si="87"/>
        <v>0</v>
      </c>
      <c r="AK2973" s="10" t="str">
        <f t="array" ref="AK2973">IFERROR(INDEX(SelectedSpecies,SMALL(IF(SelectedSpecies=AK$1,ROW(SelectedSpecies)),ROW(2974:2974)),2),"")</f>
        <v/>
      </c>
      <c r="BE2973" s="10"/>
      <c r="BI2973" s="10"/>
    </row>
    <row r="2974" spans="1:61" ht="21" customHeight="1" x14ac:dyDescent="0.25">
      <c r="A2974" s="10"/>
      <c r="B2974" s="10"/>
      <c r="E2974" s="10"/>
      <c r="G2974" s="10"/>
      <c r="I2974" s="436" t="s">
        <v>3173</v>
      </c>
      <c r="J2974" s="26" t="s">
        <v>3172</v>
      </c>
      <c r="K2974" s="10">
        <v>10</v>
      </c>
      <c r="L2974" s="73">
        <f>IF(Tank1!$C$23="No control",(SUMIF(Tank1!$B$32:$B$49,$J2974,Tank1!$C$32:$C$49)*Impacts!$F$8),0)</f>
        <v>0</v>
      </c>
      <c r="M2974" s="10">
        <f>IF(Tank2!$C$23="No control",(SUMIF(Tank2!$B$32:$B$49,$J2974,Tank2!$C$32:$C$49)*Impacts!$F$9),0)</f>
        <v>0</v>
      </c>
      <c r="N2974" s="10">
        <f>IF(Tank3!$C$23="No control",(SUMIF(Tank3!$B$32:$B$49,$J2974,Tank3!$C$32:$C$49)*Impacts!$F$10),0)</f>
        <v>0</v>
      </c>
      <c r="O2974" s="10">
        <f>IF(Tank4!$C$23="No control",(SUMIF(Tank4!$B$32:$B$49,$J2974,Tank4!$C$32:$C$49)*Impacts!$F$11),0)</f>
        <v>0</v>
      </c>
      <c r="P2974" s="10">
        <f>IF(Tank5!$C$23="No control",(SUMIF(Tank5!$B$32:$B$49,$J2974,Tank5!$C$32:$C$49)*Impacts!$F$12),0)</f>
        <v>0</v>
      </c>
      <c r="Q2974" s="10">
        <f>IFERROR(IF(('Loading-drum,tote'!$C$21)="No control",SUMIF(('Loading-drum,tote'!$B$31:$B$48),$J2974,('Loading-drum,tote'!$D$31:$D$48))*Impacts!$F$13,IF(('Loading-drum,tote'!$C$21)&lt;&gt;"No control",SUMIF(('Loading-drum,tote'!$B$31:$B$48),$J2974,('Loading-drum,tote'!$E$31:$E$48))*Impacts!$F$13,0)),0)</f>
        <v>0</v>
      </c>
      <c r="R2974" s="10">
        <f>IFERROR(IF(('Loading-truck'!$C$21)="No control",SUMIF(('Loading-truck'!$B$31:$B$48),$J2974,('Loading-truck'!$D$31:$D$48))*Impacts!$F$14,IF(('Loading-truck'!$C$21)&lt;&gt;"No control",SUMIF(('Loading-truck'!$B$31:$B$48),$J2974,('Loading-truck'!$E$31:$E$48))*Impacts!$F$14,0)),0)</f>
        <v>0</v>
      </c>
      <c r="S2974" s="10">
        <f>IFERROR(IF(('Loading-rail'!$C$21)="No control",SUMIF(('Loading-rail'!$B$31:$B$48),$J2974,('Loading-rail'!$D$31:$D$48))*Impacts!$F$15,IF(('Loading-rail'!$C$21)&lt;&gt;"No control",SUMIF(('Loading-rail'!$B$31:$B$48),$J2974,('Loading-rail'!$E$31:$E$48))*Impacts!$F$15,0)),0)</f>
        <v>0</v>
      </c>
      <c r="T2974" s="10">
        <f>IF(Flare!$C$7="",0,(SUMIF(Flare!$B$46:$B$185,$J2974,Flare!$E$46:$E$185)*Impacts!$F$16))</f>
        <v>0</v>
      </c>
      <c r="U2974" s="10">
        <f>IF(VCU!$C$9="",0,(SUMIF(VCU!$B$51:$B$193,$J2974,VCU!$E$51:$E$193)*Impacts!$F$17))</f>
        <v>0</v>
      </c>
      <c r="V2974" s="10">
        <f>IF(CAS!$C$7="",0,(SUMIF(CAS!$B$31:$B$167,$J2974,CAS!$E$31:$E$167)*Impacts!$F$18))</f>
        <v>0</v>
      </c>
      <c r="W2974" s="10">
        <f t="shared" si="87"/>
        <v>0</v>
      </c>
      <c r="AK2974" s="10" t="str">
        <f t="array" ref="AK2974">IFERROR(INDEX(SelectedSpecies,SMALL(IF(SelectedSpecies=AK$1,ROW(SelectedSpecies)),ROW(2975:2975)),2),"")</f>
        <v/>
      </c>
      <c r="BE2974" s="10"/>
      <c r="BI2974" s="10"/>
    </row>
    <row r="2975" spans="1:61" ht="21" customHeight="1" x14ac:dyDescent="0.25">
      <c r="A2975" s="10"/>
      <c r="B2975" s="10"/>
      <c r="E2975" s="10"/>
      <c r="G2975" s="10"/>
      <c r="I2975" s="436" t="s">
        <v>8202</v>
      </c>
      <c r="J2975" s="26" t="s">
        <v>8201</v>
      </c>
      <c r="K2975" s="10">
        <v>1.0000000000000002E-2</v>
      </c>
      <c r="L2975" s="73">
        <f>IF(Tank1!$C$23="No control",(SUMIF(Tank1!$B$32:$B$49,$J2975,Tank1!$C$32:$C$49)*Impacts!$F$8),0)</f>
        <v>0</v>
      </c>
      <c r="M2975" s="10">
        <f>IF(Tank2!$C$23="No control",(SUMIF(Tank2!$B$32:$B$49,$J2975,Tank2!$C$32:$C$49)*Impacts!$F$9),0)</f>
        <v>0</v>
      </c>
      <c r="N2975" s="10">
        <f>IF(Tank3!$C$23="No control",(SUMIF(Tank3!$B$32:$B$49,$J2975,Tank3!$C$32:$C$49)*Impacts!$F$10),0)</f>
        <v>0</v>
      </c>
      <c r="O2975" s="10">
        <f>IF(Tank4!$C$23="No control",(SUMIF(Tank4!$B$32:$B$49,$J2975,Tank4!$C$32:$C$49)*Impacts!$F$11),0)</f>
        <v>0</v>
      </c>
      <c r="P2975" s="10">
        <f>IF(Tank5!$C$23="No control",(SUMIF(Tank5!$B$32:$B$49,$J2975,Tank5!$C$32:$C$49)*Impacts!$F$12),0)</f>
        <v>0</v>
      </c>
      <c r="Q2975" s="10">
        <f>IFERROR(IF(('Loading-drum,tote'!$C$21)="No control",SUMIF(('Loading-drum,tote'!$B$31:$B$48),$J2975,('Loading-drum,tote'!$D$31:$D$48))*Impacts!$F$13,IF(('Loading-drum,tote'!$C$21)&lt;&gt;"No control",SUMIF(('Loading-drum,tote'!$B$31:$B$48),$J2975,('Loading-drum,tote'!$E$31:$E$48))*Impacts!$F$13,0)),0)</f>
        <v>0</v>
      </c>
      <c r="R2975" s="10">
        <f>IFERROR(IF(('Loading-truck'!$C$21)="No control",SUMIF(('Loading-truck'!$B$31:$B$48),$J2975,('Loading-truck'!$D$31:$D$48))*Impacts!$F$14,IF(('Loading-truck'!$C$21)&lt;&gt;"No control",SUMIF(('Loading-truck'!$B$31:$B$48),$J2975,('Loading-truck'!$E$31:$E$48))*Impacts!$F$14,0)),0)</f>
        <v>0</v>
      </c>
      <c r="S2975" s="10">
        <f>IFERROR(IF(('Loading-rail'!$C$21)="No control",SUMIF(('Loading-rail'!$B$31:$B$48),$J2975,('Loading-rail'!$D$31:$D$48))*Impacts!$F$15,IF(('Loading-rail'!$C$21)&lt;&gt;"No control",SUMIF(('Loading-rail'!$B$31:$B$48),$J2975,('Loading-rail'!$E$31:$E$48))*Impacts!$F$15,0)),0)</f>
        <v>0</v>
      </c>
      <c r="T2975" s="10">
        <f>IF(Flare!$C$7="",0,(SUMIF(Flare!$B$46:$B$185,$J2975,Flare!$E$46:$E$185)*Impacts!$F$16))</f>
        <v>0</v>
      </c>
      <c r="U2975" s="10">
        <f>IF(VCU!$C$9="",0,(SUMIF(VCU!$B$51:$B$193,$J2975,VCU!$E$51:$E$193)*Impacts!$F$17))</f>
        <v>0</v>
      </c>
      <c r="V2975" s="10">
        <f>IF(CAS!$C$7="",0,(SUMIF(CAS!$B$31:$B$167,$J2975,CAS!$E$31:$E$167)*Impacts!$F$18))</f>
        <v>0</v>
      </c>
      <c r="W2975" s="10">
        <f t="shared" si="87"/>
        <v>0</v>
      </c>
      <c r="AK2975" s="10" t="str">
        <f t="array" ref="AK2975">IFERROR(INDEX(SelectedSpecies,SMALL(IF(SelectedSpecies=AK$1,ROW(SelectedSpecies)),ROW(2976:2976)),2),"")</f>
        <v/>
      </c>
      <c r="BE2975" s="10"/>
      <c r="BI2975" s="10"/>
    </row>
    <row r="2976" spans="1:61" ht="21" customHeight="1" x14ac:dyDescent="0.25">
      <c r="A2976" s="10"/>
      <c r="B2976" s="10"/>
      <c r="E2976" s="10"/>
      <c r="G2976" s="10"/>
      <c r="I2976" s="436" t="s">
        <v>3175</v>
      </c>
      <c r="J2976" s="26" t="s">
        <v>3174</v>
      </c>
      <c r="K2976" s="10">
        <v>10</v>
      </c>
      <c r="L2976" s="73">
        <f>IF(Tank1!$C$23="No control",(SUMIF(Tank1!$B$32:$B$49,$J2976,Tank1!$C$32:$C$49)*Impacts!$F$8),0)</f>
        <v>0</v>
      </c>
      <c r="M2976" s="10">
        <f>IF(Tank2!$C$23="No control",(SUMIF(Tank2!$B$32:$B$49,$J2976,Tank2!$C$32:$C$49)*Impacts!$F$9),0)</f>
        <v>0</v>
      </c>
      <c r="N2976" s="10">
        <f>IF(Tank3!$C$23="No control",(SUMIF(Tank3!$B$32:$B$49,$J2976,Tank3!$C$32:$C$49)*Impacts!$F$10),0)</f>
        <v>0</v>
      </c>
      <c r="O2976" s="10">
        <f>IF(Tank4!$C$23="No control",(SUMIF(Tank4!$B$32:$B$49,$J2976,Tank4!$C$32:$C$49)*Impacts!$F$11),0)</f>
        <v>0</v>
      </c>
      <c r="P2976" s="10">
        <f>IF(Tank5!$C$23="No control",(SUMIF(Tank5!$B$32:$B$49,$J2976,Tank5!$C$32:$C$49)*Impacts!$F$12),0)</f>
        <v>0</v>
      </c>
      <c r="Q2976" s="10">
        <f>IFERROR(IF(('Loading-drum,tote'!$C$21)="No control",SUMIF(('Loading-drum,tote'!$B$31:$B$48),$J2976,('Loading-drum,tote'!$D$31:$D$48))*Impacts!$F$13,IF(('Loading-drum,tote'!$C$21)&lt;&gt;"No control",SUMIF(('Loading-drum,tote'!$B$31:$B$48),$J2976,('Loading-drum,tote'!$E$31:$E$48))*Impacts!$F$13,0)),0)</f>
        <v>0</v>
      </c>
      <c r="R2976" s="10">
        <f>IFERROR(IF(('Loading-truck'!$C$21)="No control",SUMIF(('Loading-truck'!$B$31:$B$48),$J2976,('Loading-truck'!$D$31:$D$48))*Impacts!$F$14,IF(('Loading-truck'!$C$21)&lt;&gt;"No control",SUMIF(('Loading-truck'!$B$31:$B$48),$J2976,('Loading-truck'!$E$31:$E$48))*Impacts!$F$14,0)),0)</f>
        <v>0</v>
      </c>
      <c r="S2976" s="10">
        <f>IFERROR(IF(('Loading-rail'!$C$21)="No control",SUMIF(('Loading-rail'!$B$31:$B$48),$J2976,('Loading-rail'!$D$31:$D$48))*Impacts!$F$15,IF(('Loading-rail'!$C$21)&lt;&gt;"No control",SUMIF(('Loading-rail'!$B$31:$B$48),$J2976,('Loading-rail'!$E$31:$E$48))*Impacts!$F$15,0)),0)</f>
        <v>0</v>
      </c>
      <c r="T2976" s="10">
        <f>IF(Flare!$C$7="",0,(SUMIF(Flare!$B$46:$B$185,$J2976,Flare!$E$46:$E$185)*Impacts!$F$16))</f>
        <v>0</v>
      </c>
      <c r="U2976" s="10">
        <f>IF(VCU!$C$9="",0,(SUMIF(VCU!$B$51:$B$193,$J2976,VCU!$E$51:$E$193)*Impacts!$F$17))</f>
        <v>0</v>
      </c>
      <c r="V2976" s="10">
        <f>IF(CAS!$C$7="",0,(SUMIF(CAS!$B$31:$B$167,$J2976,CAS!$E$31:$E$167)*Impacts!$F$18))</f>
        <v>0</v>
      </c>
      <c r="W2976" s="10">
        <f t="shared" si="87"/>
        <v>0</v>
      </c>
      <c r="AK2976" s="10" t="str">
        <f t="array" ref="AK2976">IFERROR(INDEX(SelectedSpecies,SMALL(IF(SelectedSpecies=AK$1,ROW(SelectedSpecies)),ROW(2977:2977)),2),"")</f>
        <v/>
      </c>
      <c r="BE2976" s="10"/>
      <c r="BI2976" s="10"/>
    </row>
    <row r="2977" spans="1:61" ht="21" customHeight="1" x14ac:dyDescent="0.25">
      <c r="A2977" s="10"/>
      <c r="B2977" s="10"/>
      <c r="E2977" s="10"/>
      <c r="G2977" s="10"/>
      <c r="I2977" s="436" t="s">
        <v>3177</v>
      </c>
      <c r="J2977" s="26" t="s">
        <v>3176</v>
      </c>
      <c r="K2977" s="10">
        <v>10</v>
      </c>
      <c r="L2977" s="73">
        <f>IF(Tank1!$C$23="No control",(SUMIF(Tank1!$B$32:$B$49,$J2977,Tank1!$C$32:$C$49)*Impacts!$F$8),0)</f>
        <v>0</v>
      </c>
      <c r="M2977" s="10">
        <f>IF(Tank2!$C$23="No control",(SUMIF(Tank2!$B$32:$B$49,$J2977,Tank2!$C$32:$C$49)*Impacts!$F$9),0)</f>
        <v>0</v>
      </c>
      <c r="N2977" s="10">
        <f>IF(Tank3!$C$23="No control",(SUMIF(Tank3!$B$32:$B$49,$J2977,Tank3!$C$32:$C$49)*Impacts!$F$10),0)</f>
        <v>0</v>
      </c>
      <c r="O2977" s="10">
        <f>IF(Tank4!$C$23="No control",(SUMIF(Tank4!$B$32:$B$49,$J2977,Tank4!$C$32:$C$49)*Impacts!$F$11),0)</f>
        <v>0</v>
      </c>
      <c r="P2977" s="10">
        <f>IF(Tank5!$C$23="No control",(SUMIF(Tank5!$B$32:$B$49,$J2977,Tank5!$C$32:$C$49)*Impacts!$F$12),0)</f>
        <v>0</v>
      </c>
      <c r="Q2977" s="10">
        <f>IFERROR(IF(('Loading-drum,tote'!$C$21)="No control",SUMIF(('Loading-drum,tote'!$B$31:$B$48),$J2977,('Loading-drum,tote'!$D$31:$D$48))*Impacts!$F$13,IF(('Loading-drum,tote'!$C$21)&lt;&gt;"No control",SUMIF(('Loading-drum,tote'!$B$31:$B$48),$J2977,('Loading-drum,tote'!$E$31:$E$48))*Impacts!$F$13,0)),0)</f>
        <v>0</v>
      </c>
      <c r="R2977" s="10">
        <f>IFERROR(IF(('Loading-truck'!$C$21)="No control",SUMIF(('Loading-truck'!$B$31:$B$48),$J2977,('Loading-truck'!$D$31:$D$48))*Impacts!$F$14,IF(('Loading-truck'!$C$21)&lt;&gt;"No control",SUMIF(('Loading-truck'!$B$31:$B$48),$J2977,('Loading-truck'!$E$31:$E$48))*Impacts!$F$14,0)),0)</f>
        <v>0</v>
      </c>
      <c r="S2977" s="10">
        <f>IFERROR(IF(('Loading-rail'!$C$21)="No control",SUMIF(('Loading-rail'!$B$31:$B$48),$J2977,('Loading-rail'!$D$31:$D$48))*Impacts!$F$15,IF(('Loading-rail'!$C$21)&lt;&gt;"No control",SUMIF(('Loading-rail'!$B$31:$B$48),$J2977,('Loading-rail'!$E$31:$E$48))*Impacts!$F$15,0)),0)</f>
        <v>0</v>
      </c>
      <c r="T2977" s="10">
        <f>IF(Flare!$C$7="",0,(SUMIF(Flare!$B$46:$B$185,$J2977,Flare!$E$46:$E$185)*Impacts!$F$16))</f>
        <v>0</v>
      </c>
      <c r="U2977" s="10">
        <f>IF(VCU!$C$9="",0,(SUMIF(VCU!$B$51:$B$193,$J2977,VCU!$E$51:$E$193)*Impacts!$F$17))</f>
        <v>0</v>
      </c>
      <c r="V2977" s="10">
        <f>IF(CAS!$C$7="",0,(SUMIF(CAS!$B$31:$B$167,$J2977,CAS!$E$31:$E$167)*Impacts!$F$18))</f>
        <v>0</v>
      </c>
      <c r="W2977" s="10">
        <f t="shared" si="87"/>
        <v>0</v>
      </c>
      <c r="AK2977" s="10" t="str">
        <f t="array" ref="AK2977">IFERROR(INDEX(SelectedSpecies,SMALL(IF(SelectedSpecies=AK$1,ROW(SelectedSpecies)),ROW(2978:2978)),2),"")</f>
        <v/>
      </c>
      <c r="BE2977" s="10"/>
      <c r="BI2977" s="10"/>
    </row>
    <row r="2978" spans="1:61" ht="21" customHeight="1" x14ac:dyDescent="0.25">
      <c r="A2978" s="10"/>
      <c r="B2978" s="10"/>
      <c r="E2978" s="10"/>
      <c r="G2978" s="10"/>
      <c r="I2978" s="436" t="s">
        <v>3179</v>
      </c>
      <c r="J2978" s="26" t="s">
        <v>3178</v>
      </c>
      <c r="K2978" s="10">
        <v>10</v>
      </c>
      <c r="L2978" s="73">
        <f>IF(Tank1!$C$23="No control",(SUMIF(Tank1!$B$32:$B$49,$J2978,Tank1!$C$32:$C$49)*Impacts!$F$8),0)</f>
        <v>0</v>
      </c>
      <c r="M2978" s="10">
        <f>IF(Tank2!$C$23="No control",(SUMIF(Tank2!$B$32:$B$49,$J2978,Tank2!$C$32:$C$49)*Impacts!$F$9),0)</f>
        <v>0</v>
      </c>
      <c r="N2978" s="10">
        <f>IF(Tank3!$C$23="No control",(SUMIF(Tank3!$B$32:$B$49,$J2978,Tank3!$C$32:$C$49)*Impacts!$F$10),0)</f>
        <v>0</v>
      </c>
      <c r="O2978" s="10">
        <f>IF(Tank4!$C$23="No control",(SUMIF(Tank4!$B$32:$B$49,$J2978,Tank4!$C$32:$C$49)*Impacts!$F$11),0)</f>
        <v>0</v>
      </c>
      <c r="P2978" s="10">
        <f>IF(Tank5!$C$23="No control",(SUMIF(Tank5!$B$32:$B$49,$J2978,Tank5!$C$32:$C$49)*Impacts!$F$12),0)</f>
        <v>0</v>
      </c>
      <c r="Q2978" s="10">
        <f>IFERROR(IF(('Loading-drum,tote'!$C$21)="No control",SUMIF(('Loading-drum,tote'!$B$31:$B$48),$J2978,('Loading-drum,tote'!$D$31:$D$48))*Impacts!$F$13,IF(('Loading-drum,tote'!$C$21)&lt;&gt;"No control",SUMIF(('Loading-drum,tote'!$B$31:$B$48),$J2978,('Loading-drum,tote'!$E$31:$E$48))*Impacts!$F$13,0)),0)</f>
        <v>0</v>
      </c>
      <c r="R2978" s="10">
        <f>IFERROR(IF(('Loading-truck'!$C$21)="No control",SUMIF(('Loading-truck'!$B$31:$B$48),$J2978,('Loading-truck'!$D$31:$D$48))*Impacts!$F$14,IF(('Loading-truck'!$C$21)&lt;&gt;"No control",SUMIF(('Loading-truck'!$B$31:$B$48),$J2978,('Loading-truck'!$E$31:$E$48))*Impacts!$F$14,0)),0)</f>
        <v>0</v>
      </c>
      <c r="S2978" s="10">
        <f>IFERROR(IF(('Loading-rail'!$C$21)="No control",SUMIF(('Loading-rail'!$B$31:$B$48),$J2978,('Loading-rail'!$D$31:$D$48))*Impacts!$F$15,IF(('Loading-rail'!$C$21)&lt;&gt;"No control",SUMIF(('Loading-rail'!$B$31:$B$48),$J2978,('Loading-rail'!$E$31:$E$48))*Impacts!$F$15,0)),0)</f>
        <v>0</v>
      </c>
      <c r="T2978" s="10">
        <f>IF(Flare!$C$7="",0,(SUMIF(Flare!$B$46:$B$185,$J2978,Flare!$E$46:$E$185)*Impacts!$F$16))</f>
        <v>0</v>
      </c>
      <c r="U2978" s="10">
        <f>IF(VCU!$C$9="",0,(SUMIF(VCU!$B$51:$B$193,$J2978,VCU!$E$51:$E$193)*Impacts!$F$17))</f>
        <v>0</v>
      </c>
      <c r="V2978" s="10">
        <f>IF(CAS!$C$7="",0,(SUMIF(CAS!$B$31:$B$167,$J2978,CAS!$E$31:$E$167)*Impacts!$F$18))</f>
        <v>0</v>
      </c>
      <c r="W2978" s="10">
        <f t="shared" si="87"/>
        <v>0</v>
      </c>
      <c r="AK2978" s="10" t="str">
        <f t="array" ref="AK2978">IFERROR(INDEX(SelectedSpecies,SMALL(IF(SelectedSpecies=AK$1,ROW(SelectedSpecies)),ROW(2979:2979)),2),"")</f>
        <v/>
      </c>
      <c r="BE2978" s="10"/>
      <c r="BI2978" s="10"/>
    </row>
    <row r="2979" spans="1:61" ht="21" customHeight="1" x14ac:dyDescent="0.25">
      <c r="A2979" s="10"/>
      <c r="B2979" s="10"/>
      <c r="E2979" s="10"/>
      <c r="G2979" s="10"/>
      <c r="I2979" s="436" t="s">
        <v>3181</v>
      </c>
      <c r="J2979" s="26" t="s">
        <v>3180</v>
      </c>
      <c r="K2979" s="10">
        <v>10</v>
      </c>
      <c r="L2979" s="73">
        <f>IF(Tank1!$C$23="No control",(SUMIF(Tank1!$B$32:$B$49,$J2979,Tank1!$C$32:$C$49)*Impacts!$F$8),0)</f>
        <v>0</v>
      </c>
      <c r="M2979" s="10">
        <f>IF(Tank2!$C$23="No control",(SUMIF(Tank2!$B$32:$B$49,$J2979,Tank2!$C$32:$C$49)*Impacts!$F$9),0)</f>
        <v>0</v>
      </c>
      <c r="N2979" s="10">
        <f>IF(Tank3!$C$23="No control",(SUMIF(Tank3!$B$32:$B$49,$J2979,Tank3!$C$32:$C$49)*Impacts!$F$10),0)</f>
        <v>0</v>
      </c>
      <c r="O2979" s="10">
        <f>IF(Tank4!$C$23="No control",(SUMIF(Tank4!$B$32:$B$49,$J2979,Tank4!$C$32:$C$49)*Impacts!$F$11),0)</f>
        <v>0</v>
      </c>
      <c r="P2979" s="10">
        <f>IF(Tank5!$C$23="No control",(SUMIF(Tank5!$B$32:$B$49,$J2979,Tank5!$C$32:$C$49)*Impacts!$F$12),0)</f>
        <v>0</v>
      </c>
      <c r="Q2979" s="10">
        <f>IFERROR(IF(('Loading-drum,tote'!$C$21)="No control",SUMIF(('Loading-drum,tote'!$B$31:$B$48),$J2979,('Loading-drum,tote'!$D$31:$D$48))*Impacts!$F$13,IF(('Loading-drum,tote'!$C$21)&lt;&gt;"No control",SUMIF(('Loading-drum,tote'!$B$31:$B$48),$J2979,('Loading-drum,tote'!$E$31:$E$48))*Impacts!$F$13,0)),0)</f>
        <v>0</v>
      </c>
      <c r="R2979" s="10">
        <f>IFERROR(IF(('Loading-truck'!$C$21)="No control",SUMIF(('Loading-truck'!$B$31:$B$48),$J2979,('Loading-truck'!$D$31:$D$48))*Impacts!$F$14,IF(('Loading-truck'!$C$21)&lt;&gt;"No control",SUMIF(('Loading-truck'!$B$31:$B$48),$J2979,('Loading-truck'!$E$31:$E$48))*Impacts!$F$14,0)),0)</f>
        <v>0</v>
      </c>
      <c r="S2979" s="10">
        <f>IFERROR(IF(('Loading-rail'!$C$21)="No control",SUMIF(('Loading-rail'!$B$31:$B$48),$J2979,('Loading-rail'!$D$31:$D$48))*Impacts!$F$15,IF(('Loading-rail'!$C$21)&lt;&gt;"No control",SUMIF(('Loading-rail'!$B$31:$B$48),$J2979,('Loading-rail'!$E$31:$E$48))*Impacts!$F$15,0)),0)</f>
        <v>0</v>
      </c>
      <c r="T2979" s="10">
        <f>IF(Flare!$C$7="",0,(SUMIF(Flare!$B$46:$B$185,$J2979,Flare!$E$46:$E$185)*Impacts!$F$16))</f>
        <v>0</v>
      </c>
      <c r="U2979" s="10">
        <f>IF(VCU!$C$9="",0,(SUMIF(VCU!$B$51:$B$193,$J2979,VCU!$E$51:$E$193)*Impacts!$F$17))</f>
        <v>0</v>
      </c>
      <c r="V2979" s="10">
        <f>IF(CAS!$C$7="",0,(SUMIF(CAS!$B$31:$B$167,$J2979,CAS!$E$31:$E$167)*Impacts!$F$18))</f>
        <v>0</v>
      </c>
      <c r="W2979" s="10">
        <f t="shared" si="87"/>
        <v>0</v>
      </c>
      <c r="AK2979" s="10" t="str">
        <f t="array" ref="AK2979">IFERROR(INDEX(SelectedSpecies,SMALL(IF(SelectedSpecies=AK$1,ROW(SelectedSpecies)),ROW(2980:2980)),2),"")</f>
        <v/>
      </c>
      <c r="BE2979" s="10"/>
      <c r="BI2979" s="10"/>
    </row>
    <row r="2980" spans="1:61" ht="21" customHeight="1" x14ac:dyDescent="0.25">
      <c r="A2980" s="10"/>
      <c r="B2980" s="10"/>
      <c r="E2980" s="10"/>
      <c r="G2980" s="10"/>
      <c r="I2980" s="436" t="s">
        <v>3183</v>
      </c>
      <c r="J2980" s="26" t="s">
        <v>3182</v>
      </c>
      <c r="K2980" s="10">
        <v>10</v>
      </c>
      <c r="L2980" s="73">
        <f>IF(Tank1!$C$23="No control",(SUMIF(Tank1!$B$32:$B$49,$J2980,Tank1!$C$32:$C$49)*Impacts!$F$8),0)</f>
        <v>0</v>
      </c>
      <c r="M2980" s="10">
        <f>IF(Tank2!$C$23="No control",(SUMIF(Tank2!$B$32:$B$49,$J2980,Tank2!$C$32:$C$49)*Impacts!$F$9),0)</f>
        <v>0</v>
      </c>
      <c r="N2980" s="10">
        <f>IF(Tank3!$C$23="No control",(SUMIF(Tank3!$B$32:$B$49,$J2980,Tank3!$C$32:$C$49)*Impacts!$F$10),0)</f>
        <v>0</v>
      </c>
      <c r="O2980" s="10">
        <f>IF(Tank4!$C$23="No control",(SUMIF(Tank4!$B$32:$B$49,$J2980,Tank4!$C$32:$C$49)*Impacts!$F$11),0)</f>
        <v>0</v>
      </c>
      <c r="P2980" s="10">
        <f>IF(Tank5!$C$23="No control",(SUMIF(Tank5!$B$32:$B$49,$J2980,Tank5!$C$32:$C$49)*Impacts!$F$12),0)</f>
        <v>0</v>
      </c>
      <c r="Q2980" s="10">
        <f>IFERROR(IF(('Loading-drum,tote'!$C$21)="No control",SUMIF(('Loading-drum,tote'!$B$31:$B$48),$J2980,('Loading-drum,tote'!$D$31:$D$48))*Impacts!$F$13,IF(('Loading-drum,tote'!$C$21)&lt;&gt;"No control",SUMIF(('Loading-drum,tote'!$B$31:$B$48),$J2980,('Loading-drum,tote'!$E$31:$E$48))*Impacts!$F$13,0)),0)</f>
        <v>0</v>
      </c>
      <c r="R2980" s="10">
        <f>IFERROR(IF(('Loading-truck'!$C$21)="No control",SUMIF(('Loading-truck'!$B$31:$B$48),$J2980,('Loading-truck'!$D$31:$D$48))*Impacts!$F$14,IF(('Loading-truck'!$C$21)&lt;&gt;"No control",SUMIF(('Loading-truck'!$B$31:$B$48),$J2980,('Loading-truck'!$E$31:$E$48))*Impacts!$F$14,0)),0)</f>
        <v>0</v>
      </c>
      <c r="S2980" s="10">
        <f>IFERROR(IF(('Loading-rail'!$C$21)="No control",SUMIF(('Loading-rail'!$B$31:$B$48),$J2980,('Loading-rail'!$D$31:$D$48))*Impacts!$F$15,IF(('Loading-rail'!$C$21)&lt;&gt;"No control",SUMIF(('Loading-rail'!$B$31:$B$48),$J2980,('Loading-rail'!$E$31:$E$48))*Impacts!$F$15,0)),0)</f>
        <v>0</v>
      </c>
      <c r="T2980" s="10">
        <f>IF(Flare!$C$7="",0,(SUMIF(Flare!$B$46:$B$185,$J2980,Flare!$E$46:$E$185)*Impacts!$F$16))</f>
        <v>0</v>
      </c>
      <c r="U2980" s="10">
        <f>IF(VCU!$C$9="",0,(SUMIF(VCU!$B$51:$B$193,$J2980,VCU!$E$51:$E$193)*Impacts!$F$17))</f>
        <v>0</v>
      </c>
      <c r="V2980" s="10">
        <f>IF(CAS!$C$7="",0,(SUMIF(CAS!$B$31:$B$167,$J2980,CAS!$E$31:$E$167)*Impacts!$F$18))</f>
        <v>0</v>
      </c>
      <c r="W2980" s="10">
        <f t="shared" si="87"/>
        <v>0</v>
      </c>
      <c r="AK2980" s="10" t="str">
        <f t="array" ref="AK2980">IFERROR(INDEX(SelectedSpecies,SMALL(IF(SelectedSpecies=AK$1,ROW(SelectedSpecies)),ROW(2981:2981)),2),"")</f>
        <v/>
      </c>
      <c r="BE2980" s="10"/>
      <c r="BI2980" s="10"/>
    </row>
    <row r="2981" spans="1:61" ht="21" customHeight="1" x14ac:dyDescent="0.25">
      <c r="A2981" s="10"/>
      <c r="B2981" s="10"/>
      <c r="E2981" s="10"/>
      <c r="G2981" s="10"/>
      <c r="I2981" s="436" t="s">
        <v>6076</v>
      </c>
      <c r="J2981" s="26" t="s">
        <v>6075</v>
      </c>
      <c r="K2981" s="10">
        <v>1</v>
      </c>
      <c r="L2981" s="73">
        <f>IF(Tank1!$C$23="No control",(SUMIF(Tank1!$B$32:$B$49,$J2981,Tank1!$C$32:$C$49)*Impacts!$F$8),0)</f>
        <v>0</v>
      </c>
      <c r="M2981" s="10">
        <f>IF(Tank2!$C$23="No control",(SUMIF(Tank2!$B$32:$B$49,$J2981,Tank2!$C$32:$C$49)*Impacts!$F$9),0)</f>
        <v>0</v>
      </c>
      <c r="N2981" s="10">
        <f>IF(Tank3!$C$23="No control",(SUMIF(Tank3!$B$32:$B$49,$J2981,Tank3!$C$32:$C$49)*Impacts!$F$10),0)</f>
        <v>0</v>
      </c>
      <c r="O2981" s="10">
        <f>IF(Tank4!$C$23="No control",(SUMIF(Tank4!$B$32:$B$49,$J2981,Tank4!$C$32:$C$49)*Impacts!$F$11),0)</f>
        <v>0</v>
      </c>
      <c r="P2981" s="10">
        <f>IF(Tank5!$C$23="No control",(SUMIF(Tank5!$B$32:$B$49,$J2981,Tank5!$C$32:$C$49)*Impacts!$F$12),0)</f>
        <v>0</v>
      </c>
      <c r="Q2981" s="10">
        <f>IFERROR(IF(('Loading-drum,tote'!$C$21)="No control",SUMIF(('Loading-drum,tote'!$B$31:$B$48),$J2981,('Loading-drum,tote'!$D$31:$D$48))*Impacts!$F$13,IF(('Loading-drum,tote'!$C$21)&lt;&gt;"No control",SUMIF(('Loading-drum,tote'!$B$31:$B$48),$J2981,('Loading-drum,tote'!$E$31:$E$48))*Impacts!$F$13,0)),0)</f>
        <v>0</v>
      </c>
      <c r="R2981" s="10">
        <f>IFERROR(IF(('Loading-truck'!$C$21)="No control",SUMIF(('Loading-truck'!$B$31:$B$48),$J2981,('Loading-truck'!$D$31:$D$48))*Impacts!$F$14,IF(('Loading-truck'!$C$21)&lt;&gt;"No control",SUMIF(('Loading-truck'!$B$31:$B$48),$J2981,('Loading-truck'!$E$31:$E$48))*Impacts!$F$14,0)),0)</f>
        <v>0</v>
      </c>
      <c r="S2981" s="10">
        <f>IFERROR(IF(('Loading-rail'!$C$21)="No control",SUMIF(('Loading-rail'!$B$31:$B$48),$J2981,('Loading-rail'!$D$31:$D$48))*Impacts!$F$15,IF(('Loading-rail'!$C$21)&lt;&gt;"No control",SUMIF(('Loading-rail'!$B$31:$B$48),$J2981,('Loading-rail'!$E$31:$E$48))*Impacts!$F$15,0)),0)</f>
        <v>0</v>
      </c>
      <c r="T2981" s="10">
        <f>IF(Flare!$C$7="",0,(SUMIF(Flare!$B$46:$B$185,$J2981,Flare!$E$46:$E$185)*Impacts!$F$16))</f>
        <v>0</v>
      </c>
      <c r="U2981" s="10">
        <f>IF(VCU!$C$9="",0,(SUMIF(VCU!$B$51:$B$193,$J2981,VCU!$E$51:$E$193)*Impacts!$F$17))</f>
        <v>0</v>
      </c>
      <c r="V2981" s="10">
        <f>IF(CAS!$C$7="",0,(SUMIF(CAS!$B$31:$B$167,$J2981,CAS!$E$31:$E$167)*Impacts!$F$18))</f>
        <v>0</v>
      </c>
      <c r="W2981" s="10">
        <f t="shared" si="87"/>
        <v>0</v>
      </c>
      <c r="AK2981" s="10" t="str">
        <f t="array" ref="AK2981">IFERROR(INDEX(SelectedSpecies,SMALL(IF(SelectedSpecies=AK$1,ROW(SelectedSpecies)),ROW(2982:2982)),2),"")</f>
        <v/>
      </c>
      <c r="BE2981" s="10"/>
      <c r="BI2981" s="10"/>
    </row>
    <row r="2982" spans="1:61" ht="21" customHeight="1" x14ac:dyDescent="0.25">
      <c r="A2982" s="10"/>
      <c r="B2982" s="10"/>
      <c r="E2982" s="10"/>
      <c r="G2982" s="10"/>
      <c r="I2982" s="436" t="s">
        <v>4591</v>
      </c>
      <c r="J2982" s="26" t="s">
        <v>4590</v>
      </c>
      <c r="K2982" s="10">
        <v>4</v>
      </c>
      <c r="L2982" s="73">
        <f>IF(Tank1!$C$23="No control",(SUMIF(Tank1!$B$32:$B$49,$J2982,Tank1!$C$32:$C$49)*Impacts!$F$8),0)</f>
        <v>0</v>
      </c>
      <c r="M2982" s="10">
        <f>IF(Tank2!$C$23="No control",(SUMIF(Tank2!$B$32:$B$49,$J2982,Tank2!$C$32:$C$49)*Impacts!$F$9),0)</f>
        <v>0</v>
      </c>
      <c r="N2982" s="10">
        <f>IF(Tank3!$C$23="No control",(SUMIF(Tank3!$B$32:$B$49,$J2982,Tank3!$C$32:$C$49)*Impacts!$F$10),0)</f>
        <v>0</v>
      </c>
      <c r="O2982" s="10">
        <f>IF(Tank4!$C$23="No control",(SUMIF(Tank4!$B$32:$B$49,$J2982,Tank4!$C$32:$C$49)*Impacts!$F$11),0)</f>
        <v>0</v>
      </c>
      <c r="P2982" s="10">
        <f>IF(Tank5!$C$23="No control",(SUMIF(Tank5!$B$32:$B$49,$J2982,Tank5!$C$32:$C$49)*Impacts!$F$12),0)</f>
        <v>0</v>
      </c>
      <c r="Q2982" s="10">
        <f>IFERROR(IF(('Loading-drum,tote'!$C$21)="No control",SUMIF(('Loading-drum,tote'!$B$31:$B$48),$J2982,('Loading-drum,tote'!$D$31:$D$48))*Impacts!$F$13,IF(('Loading-drum,tote'!$C$21)&lt;&gt;"No control",SUMIF(('Loading-drum,tote'!$B$31:$B$48),$J2982,('Loading-drum,tote'!$E$31:$E$48))*Impacts!$F$13,0)),0)</f>
        <v>0</v>
      </c>
      <c r="R2982" s="10">
        <f>IFERROR(IF(('Loading-truck'!$C$21)="No control",SUMIF(('Loading-truck'!$B$31:$B$48),$J2982,('Loading-truck'!$D$31:$D$48))*Impacts!$F$14,IF(('Loading-truck'!$C$21)&lt;&gt;"No control",SUMIF(('Loading-truck'!$B$31:$B$48),$J2982,('Loading-truck'!$E$31:$E$48))*Impacts!$F$14,0)),0)</f>
        <v>0</v>
      </c>
      <c r="S2982" s="10">
        <f>IFERROR(IF(('Loading-rail'!$C$21)="No control",SUMIF(('Loading-rail'!$B$31:$B$48),$J2982,('Loading-rail'!$D$31:$D$48))*Impacts!$F$15,IF(('Loading-rail'!$C$21)&lt;&gt;"No control",SUMIF(('Loading-rail'!$B$31:$B$48),$J2982,('Loading-rail'!$E$31:$E$48))*Impacts!$F$15,0)),0)</f>
        <v>0</v>
      </c>
      <c r="T2982" s="10">
        <f>IF(Flare!$C$7="",0,(SUMIF(Flare!$B$46:$B$185,$J2982,Flare!$E$46:$E$185)*Impacts!$F$16))</f>
        <v>0</v>
      </c>
      <c r="U2982" s="10">
        <f>IF(VCU!$C$9="",0,(SUMIF(VCU!$B$51:$B$193,$J2982,VCU!$E$51:$E$193)*Impacts!$F$17))</f>
        <v>0</v>
      </c>
      <c r="V2982" s="10">
        <f>IF(CAS!$C$7="",0,(SUMIF(CAS!$B$31:$B$167,$J2982,CAS!$E$31:$E$167)*Impacts!$F$18))</f>
        <v>0</v>
      </c>
      <c r="W2982" s="10">
        <f t="shared" si="87"/>
        <v>0</v>
      </c>
      <c r="AK2982" s="10" t="str">
        <f t="array" ref="AK2982">IFERROR(INDEX(SelectedSpecies,SMALL(IF(SelectedSpecies=AK$1,ROW(SelectedSpecies)),ROW(2983:2983)),2),"")</f>
        <v/>
      </c>
      <c r="BE2982" s="10"/>
      <c r="BI2982" s="10"/>
    </row>
    <row r="2983" spans="1:61" ht="21" customHeight="1" x14ac:dyDescent="0.25">
      <c r="A2983" s="10"/>
      <c r="B2983" s="10"/>
      <c r="E2983" s="10"/>
      <c r="G2983" s="10"/>
      <c r="I2983" s="436" t="s">
        <v>3185</v>
      </c>
      <c r="J2983" s="26" t="s">
        <v>3184</v>
      </c>
      <c r="K2983" s="10">
        <v>10</v>
      </c>
      <c r="L2983" s="73">
        <f>IF(Tank1!$C$23="No control",(SUMIF(Tank1!$B$32:$B$49,$J2983,Tank1!$C$32:$C$49)*Impacts!$F$8),0)</f>
        <v>0</v>
      </c>
      <c r="M2983" s="10">
        <f>IF(Tank2!$C$23="No control",(SUMIF(Tank2!$B$32:$B$49,$J2983,Tank2!$C$32:$C$49)*Impacts!$F$9),0)</f>
        <v>0</v>
      </c>
      <c r="N2983" s="10">
        <f>IF(Tank3!$C$23="No control",(SUMIF(Tank3!$B$32:$B$49,$J2983,Tank3!$C$32:$C$49)*Impacts!$F$10),0)</f>
        <v>0</v>
      </c>
      <c r="O2983" s="10">
        <f>IF(Tank4!$C$23="No control",(SUMIF(Tank4!$B$32:$B$49,$J2983,Tank4!$C$32:$C$49)*Impacts!$F$11),0)</f>
        <v>0</v>
      </c>
      <c r="P2983" s="10">
        <f>IF(Tank5!$C$23="No control",(SUMIF(Tank5!$B$32:$B$49,$J2983,Tank5!$C$32:$C$49)*Impacts!$F$12),0)</f>
        <v>0</v>
      </c>
      <c r="Q2983" s="10">
        <f>IFERROR(IF(('Loading-drum,tote'!$C$21)="No control",SUMIF(('Loading-drum,tote'!$B$31:$B$48),$J2983,('Loading-drum,tote'!$D$31:$D$48))*Impacts!$F$13,IF(('Loading-drum,tote'!$C$21)&lt;&gt;"No control",SUMIF(('Loading-drum,tote'!$B$31:$B$48),$J2983,('Loading-drum,tote'!$E$31:$E$48))*Impacts!$F$13,0)),0)</f>
        <v>0</v>
      </c>
      <c r="R2983" s="10">
        <f>IFERROR(IF(('Loading-truck'!$C$21)="No control",SUMIF(('Loading-truck'!$B$31:$B$48),$J2983,('Loading-truck'!$D$31:$D$48))*Impacts!$F$14,IF(('Loading-truck'!$C$21)&lt;&gt;"No control",SUMIF(('Loading-truck'!$B$31:$B$48),$J2983,('Loading-truck'!$E$31:$E$48))*Impacts!$F$14,0)),0)</f>
        <v>0</v>
      </c>
      <c r="S2983" s="10">
        <f>IFERROR(IF(('Loading-rail'!$C$21)="No control",SUMIF(('Loading-rail'!$B$31:$B$48),$J2983,('Loading-rail'!$D$31:$D$48))*Impacts!$F$15,IF(('Loading-rail'!$C$21)&lt;&gt;"No control",SUMIF(('Loading-rail'!$B$31:$B$48),$J2983,('Loading-rail'!$E$31:$E$48))*Impacts!$F$15,0)),0)</f>
        <v>0</v>
      </c>
      <c r="T2983" s="10">
        <f>IF(Flare!$C$7="",0,(SUMIF(Flare!$B$46:$B$185,$J2983,Flare!$E$46:$E$185)*Impacts!$F$16))</f>
        <v>0</v>
      </c>
      <c r="U2983" s="10">
        <f>IF(VCU!$C$9="",0,(SUMIF(VCU!$B$51:$B$193,$J2983,VCU!$E$51:$E$193)*Impacts!$F$17))</f>
        <v>0</v>
      </c>
      <c r="V2983" s="10">
        <f>IF(CAS!$C$7="",0,(SUMIF(CAS!$B$31:$B$167,$J2983,CAS!$E$31:$E$167)*Impacts!$F$18))</f>
        <v>0</v>
      </c>
      <c r="W2983" s="10">
        <f t="shared" si="87"/>
        <v>0</v>
      </c>
      <c r="AK2983" s="10" t="str">
        <f t="array" ref="AK2983">IFERROR(INDEX(SelectedSpecies,SMALL(IF(SelectedSpecies=AK$1,ROW(SelectedSpecies)),ROW(2984:2984)),2),"")</f>
        <v/>
      </c>
      <c r="BE2983" s="10"/>
      <c r="BI2983" s="10"/>
    </row>
    <row r="2984" spans="1:61" ht="21" customHeight="1" x14ac:dyDescent="0.25">
      <c r="A2984" s="10"/>
      <c r="B2984" s="10"/>
      <c r="E2984" s="10"/>
      <c r="G2984" s="10"/>
      <c r="I2984" s="436" t="s">
        <v>2577</v>
      </c>
      <c r="J2984" s="26" t="s">
        <v>2576</v>
      </c>
      <c r="K2984" s="10">
        <v>10</v>
      </c>
      <c r="L2984" s="73">
        <f>IF(Tank1!$C$23="No control",(SUMIF(Tank1!$B$32:$B$49,$J2984,Tank1!$C$32:$C$49)*Impacts!$F$8),0)</f>
        <v>0</v>
      </c>
      <c r="M2984" s="10">
        <f>IF(Tank2!$C$23="No control",(SUMIF(Tank2!$B$32:$B$49,$J2984,Tank2!$C$32:$C$49)*Impacts!$F$9),0)</f>
        <v>0</v>
      </c>
      <c r="N2984" s="10">
        <f>IF(Tank3!$C$23="No control",(SUMIF(Tank3!$B$32:$B$49,$J2984,Tank3!$C$32:$C$49)*Impacts!$F$10),0)</f>
        <v>0</v>
      </c>
      <c r="O2984" s="10">
        <f>IF(Tank4!$C$23="No control",(SUMIF(Tank4!$B$32:$B$49,$J2984,Tank4!$C$32:$C$49)*Impacts!$F$11),0)</f>
        <v>0</v>
      </c>
      <c r="P2984" s="10">
        <f>IF(Tank5!$C$23="No control",(SUMIF(Tank5!$B$32:$B$49,$J2984,Tank5!$C$32:$C$49)*Impacts!$F$12),0)</f>
        <v>0</v>
      </c>
      <c r="Q2984" s="10">
        <f>IFERROR(IF(('Loading-drum,tote'!$C$21)="No control",SUMIF(('Loading-drum,tote'!$B$31:$B$48),$J2984,('Loading-drum,tote'!$D$31:$D$48))*Impacts!$F$13,IF(('Loading-drum,tote'!$C$21)&lt;&gt;"No control",SUMIF(('Loading-drum,tote'!$B$31:$B$48),$J2984,('Loading-drum,tote'!$E$31:$E$48))*Impacts!$F$13,0)),0)</f>
        <v>0</v>
      </c>
      <c r="R2984" s="10">
        <f>IFERROR(IF(('Loading-truck'!$C$21)="No control",SUMIF(('Loading-truck'!$B$31:$B$48),$J2984,('Loading-truck'!$D$31:$D$48))*Impacts!$F$14,IF(('Loading-truck'!$C$21)&lt;&gt;"No control",SUMIF(('Loading-truck'!$B$31:$B$48),$J2984,('Loading-truck'!$E$31:$E$48))*Impacts!$F$14,0)),0)</f>
        <v>0</v>
      </c>
      <c r="S2984" s="10">
        <f>IFERROR(IF(('Loading-rail'!$C$21)="No control",SUMIF(('Loading-rail'!$B$31:$B$48),$J2984,('Loading-rail'!$D$31:$D$48))*Impacts!$F$15,IF(('Loading-rail'!$C$21)&lt;&gt;"No control",SUMIF(('Loading-rail'!$B$31:$B$48),$J2984,('Loading-rail'!$E$31:$E$48))*Impacts!$F$15,0)),0)</f>
        <v>0</v>
      </c>
      <c r="T2984" s="10">
        <f>IF(Flare!$C$7="",0,(SUMIF(Flare!$B$46:$B$185,$J2984,Flare!$E$46:$E$185)*Impacts!$F$16))</f>
        <v>0</v>
      </c>
      <c r="U2984" s="10">
        <f>IF(VCU!$C$9="",0,(SUMIF(VCU!$B$51:$B$193,$J2984,VCU!$E$51:$E$193)*Impacts!$F$17))</f>
        <v>0</v>
      </c>
      <c r="V2984" s="10">
        <f>IF(CAS!$C$7="",0,(SUMIF(CAS!$B$31:$B$167,$J2984,CAS!$E$31:$E$167)*Impacts!$F$18))</f>
        <v>0</v>
      </c>
      <c r="W2984" s="10">
        <f t="shared" si="87"/>
        <v>0</v>
      </c>
      <c r="AK2984" s="10" t="str">
        <f t="array" ref="AK2984">IFERROR(INDEX(SelectedSpecies,SMALL(IF(SelectedSpecies=AK$1,ROW(SelectedSpecies)),ROW(2985:2985)),2),"")</f>
        <v/>
      </c>
      <c r="BE2984" s="10"/>
      <c r="BI2984" s="10"/>
    </row>
    <row r="2985" spans="1:61" ht="21" customHeight="1" x14ac:dyDescent="0.25">
      <c r="A2985" s="10"/>
      <c r="B2985" s="10"/>
      <c r="E2985" s="10"/>
      <c r="G2985" s="10"/>
      <c r="I2985" s="436" t="s">
        <v>6078</v>
      </c>
      <c r="J2985" s="26" t="s">
        <v>6077</v>
      </c>
      <c r="K2985" s="10">
        <v>1</v>
      </c>
      <c r="L2985" s="73">
        <f>IF(Tank1!$C$23="No control",(SUMIF(Tank1!$B$32:$B$49,$J2985,Tank1!$C$32:$C$49)*Impacts!$F$8),0)</f>
        <v>0</v>
      </c>
      <c r="M2985" s="10">
        <f>IF(Tank2!$C$23="No control",(SUMIF(Tank2!$B$32:$B$49,$J2985,Tank2!$C$32:$C$49)*Impacts!$F$9),0)</f>
        <v>0</v>
      </c>
      <c r="N2985" s="10">
        <f>IF(Tank3!$C$23="No control",(SUMIF(Tank3!$B$32:$B$49,$J2985,Tank3!$C$32:$C$49)*Impacts!$F$10),0)</f>
        <v>0</v>
      </c>
      <c r="O2985" s="10">
        <f>IF(Tank4!$C$23="No control",(SUMIF(Tank4!$B$32:$B$49,$J2985,Tank4!$C$32:$C$49)*Impacts!$F$11),0)</f>
        <v>0</v>
      </c>
      <c r="P2985" s="10">
        <f>IF(Tank5!$C$23="No control",(SUMIF(Tank5!$B$32:$B$49,$J2985,Tank5!$C$32:$C$49)*Impacts!$F$12),0)</f>
        <v>0</v>
      </c>
      <c r="Q2985" s="10">
        <f>IFERROR(IF(('Loading-drum,tote'!$C$21)="No control",SUMIF(('Loading-drum,tote'!$B$31:$B$48),$J2985,('Loading-drum,tote'!$D$31:$D$48))*Impacts!$F$13,IF(('Loading-drum,tote'!$C$21)&lt;&gt;"No control",SUMIF(('Loading-drum,tote'!$B$31:$B$48),$J2985,('Loading-drum,tote'!$E$31:$E$48))*Impacts!$F$13,0)),0)</f>
        <v>0</v>
      </c>
      <c r="R2985" s="10">
        <f>IFERROR(IF(('Loading-truck'!$C$21)="No control",SUMIF(('Loading-truck'!$B$31:$B$48),$J2985,('Loading-truck'!$D$31:$D$48))*Impacts!$F$14,IF(('Loading-truck'!$C$21)&lt;&gt;"No control",SUMIF(('Loading-truck'!$B$31:$B$48),$J2985,('Loading-truck'!$E$31:$E$48))*Impacts!$F$14,0)),0)</f>
        <v>0</v>
      </c>
      <c r="S2985" s="10">
        <f>IFERROR(IF(('Loading-rail'!$C$21)="No control",SUMIF(('Loading-rail'!$B$31:$B$48),$J2985,('Loading-rail'!$D$31:$D$48))*Impacts!$F$15,IF(('Loading-rail'!$C$21)&lt;&gt;"No control",SUMIF(('Loading-rail'!$B$31:$B$48),$J2985,('Loading-rail'!$E$31:$E$48))*Impacts!$F$15,0)),0)</f>
        <v>0</v>
      </c>
      <c r="T2985" s="10">
        <f>IF(Flare!$C$7="",0,(SUMIF(Flare!$B$46:$B$185,$J2985,Flare!$E$46:$E$185)*Impacts!$F$16))</f>
        <v>0</v>
      </c>
      <c r="U2985" s="10">
        <f>IF(VCU!$C$9="",0,(SUMIF(VCU!$B$51:$B$193,$J2985,VCU!$E$51:$E$193)*Impacts!$F$17))</f>
        <v>0</v>
      </c>
      <c r="V2985" s="10">
        <f>IF(CAS!$C$7="",0,(SUMIF(CAS!$B$31:$B$167,$J2985,CAS!$E$31:$E$167)*Impacts!$F$18))</f>
        <v>0</v>
      </c>
      <c r="W2985" s="10">
        <f t="shared" si="87"/>
        <v>0</v>
      </c>
      <c r="AK2985" s="10" t="str">
        <f t="array" ref="AK2985">IFERROR(INDEX(SelectedSpecies,SMALL(IF(SelectedSpecies=AK$1,ROW(SelectedSpecies)),ROW(2986:2986)),2),"")</f>
        <v/>
      </c>
      <c r="BE2985" s="10"/>
      <c r="BI2985" s="10"/>
    </row>
    <row r="2986" spans="1:61" ht="21" customHeight="1" x14ac:dyDescent="0.25">
      <c r="A2986" s="10"/>
      <c r="B2986" s="10"/>
      <c r="E2986" s="10"/>
      <c r="G2986" s="10"/>
      <c r="I2986" s="436" t="s">
        <v>3187</v>
      </c>
      <c r="J2986" s="26" t="s">
        <v>3186</v>
      </c>
      <c r="K2986" s="10">
        <v>10</v>
      </c>
      <c r="L2986" s="73">
        <f>IF(Tank1!$C$23="No control",(SUMIF(Tank1!$B$32:$B$49,$J2986,Tank1!$C$32:$C$49)*Impacts!$F$8),0)</f>
        <v>0</v>
      </c>
      <c r="M2986" s="10">
        <f>IF(Tank2!$C$23="No control",(SUMIF(Tank2!$B$32:$B$49,$J2986,Tank2!$C$32:$C$49)*Impacts!$F$9),0)</f>
        <v>0</v>
      </c>
      <c r="N2986" s="10">
        <f>IF(Tank3!$C$23="No control",(SUMIF(Tank3!$B$32:$B$49,$J2986,Tank3!$C$32:$C$49)*Impacts!$F$10),0)</f>
        <v>0</v>
      </c>
      <c r="O2986" s="10">
        <f>IF(Tank4!$C$23="No control",(SUMIF(Tank4!$B$32:$B$49,$J2986,Tank4!$C$32:$C$49)*Impacts!$F$11),0)</f>
        <v>0</v>
      </c>
      <c r="P2986" s="10">
        <f>IF(Tank5!$C$23="No control",(SUMIF(Tank5!$B$32:$B$49,$J2986,Tank5!$C$32:$C$49)*Impacts!$F$12),0)</f>
        <v>0</v>
      </c>
      <c r="Q2986" s="10">
        <f>IFERROR(IF(('Loading-drum,tote'!$C$21)="No control",SUMIF(('Loading-drum,tote'!$B$31:$B$48),$J2986,('Loading-drum,tote'!$D$31:$D$48))*Impacts!$F$13,IF(('Loading-drum,tote'!$C$21)&lt;&gt;"No control",SUMIF(('Loading-drum,tote'!$B$31:$B$48),$J2986,('Loading-drum,tote'!$E$31:$E$48))*Impacts!$F$13,0)),0)</f>
        <v>0</v>
      </c>
      <c r="R2986" s="10">
        <f>IFERROR(IF(('Loading-truck'!$C$21)="No control",SUMIF(('Loading-truck'!$B$31:$B$48),$J2986,('Loading-truck'!$D$31:$D$48))*Impacts!$F$14,IF(('Loading-truck'!$C$21)&lt;&gt;"No control",SUMIF(('Loading-truck'!$B$31:$B$48),$J2986,('Loading-truck'!$E$31:$E$48))*Impacts!$F$14,0)),0)</f>
        <v>0</v>
      </c>
      <c r="S2986" s="10">
        <f>IFERROR(IF(('Loading-rail'!$C$21)="No control",SUMIF(('Loading-rail'!$B$31:$B$48),$J2986,('Loading-rail'!$D$31:$D$48))*Impacts!$F$15,IF(('Loading-rail'!$C$21)&lt;&gt;"No control",SUMIF(('Loading-rail'!$B$31:$B$48),$J2986,('Loading-rail'!$E$31:$E$48))*Impacts!$F$15,0)),0)</f>
        <v>0</v>
      </c>
      <c r="T2986" s="10">
        <f>IF(Flare!$C$7="",0,(SUMIF(Flare!$B$46:$B$185,$J2986,Flare!$E$46:$E$185)*Impacts!$F$16))</f>
        <v>0</v>
      </c>
      <c r="U2986" s="10">
        <f>IF(VCU!$C$9="",0,(SUMIF(VCU!$B$51:$B$193,$J2986,VCU!$E$51:$E$193)*Impacts!$F$17))</f>
        <v>0</v>
      </c>
      <c r="V2986" s="10">
        <f>IF(CAS!$C$7="",0,(SUMIF(CAS!$B$31:$B$167,$J2986,CAS!$E$31:$E$167)*Impacts!$F$18))</f>
        <v>0</v>
      </c>
      <c r="W2986" s="10">
        <f t="shared" si="87"/>
        <v>0</v>
      </c>
      <c r="AK2986" s="10" t="str">
        <f t="array" ref="AK2986">IFERROR(INDEX(SelectedSpecies,SMALL(IF(SelectedSpecies=AK$1,ROW(SelectedSpecies)),ROW(2987:2987)),2),"")</f>
        <v/>
      </c>
      <c r="BE2986" s="10"/>
      <c r="BI2986" s="10"/>
    </row>
    <row r="2987" spans="1:61" ht="21" customHeight="1" x14ac:dyDescent="0.25">
      <c r="A2987" s="10"/>
      <c r="B2987" s="10"/>
      <c r="E2987" s="10"/>
      <c r="G2987" s="10"/>
      <c r="I2987" s="436" t="s">
        <v>3189</v>
      </c>
      <c r="J2987" s="26" t="s">
        <v>3188</v>
      </c>
      <c r="K2987" s="10">
        <v>10</v>
      </c>
      <c r="L2987" s="73">
        <f>IF(Tank1!$C$23="No control",(SUMIF(Tank1!$B$32:$B$49,$J2987,Tank1!$C$32:$C$49)*Impacts!$F$8),0)</f>
        <v>0</v>
      </c>
      <c r="M2987" s="10">
        <f>IF(Tank2!$C$23="No control",(SUMIF(Tank2!$B$32:$B$49,$J2987,Tank2!$C$32:$C$49)*Impacts!$F$9),0)</f>
        <v>0</v>
      </c>
      <c r="N2987" s="10">
        <f>IF(Tank3!$C$23="No control",(SUMIF(Tank3!$B$32:$B$49,$J2987,Tank3!$C$32:$C$49)*Impacts!$F$10),0)</f>
        <v>0</v>
      </c>
      <c r="O2987" s="10">
        <f>IF(Tank4!$C$23="No control",(SUMIF(Tank4!$B$32:$B$49,$J2987,Tank4!$C$32:$C$49)*Impacts!$F$11),0)</f>
        <v>0</v>
      </c>
      <c r="P2987" s="10">
        <f>IF(Tank5!$C$23="No control",(SUMIF(Tank5!$B$32:$B$49,$J2987,Tank5!$C$32:$C$49)*Impacts!$F$12),0)</f>
        <v>0</v>
      </c>
      <c r="Q2987" s="10">
        <f>IFERROR(IF(('Loading-drum,tote'!$C$21)="No control",SUMIF(('Loading-drum,tote'!$B$31:$B$48),$J2987,('Loading-drum,tote'!$D$31:$D$48))*Impacts!$F$13,IF(('Loading-drum,tote'!$C$21)&lt;&gt;"No control",SUMIF(('Loading-drum,tote'!$B$31:$B$48),$J2987,('Loading-drum,tote'!$E$31:$E$48))*Impacts!$F$13,0)),0)</f>
        <v>0</v>
      </c>
      <c r="R2987" s="10">
        <f>IFERROR(IF(('Loading-truck'!$C$21)="No control",SUMIF(('Loading-truck'!$B$31:$B$48),$J2987,('Loading-truck'!$D$31:$D$48))*Impacts!$F$14,IF(('Loading-truck'!$C$21)&lt;&gt;"No control",SUMIF(('Loading-truck'!$B$31:$B$48),$J2987,('Loading-truck'!$E$31:$E$48))*Impacts!$F$14,0)),0)</f>
        <v>0</v>
      </c>
      <c r="S2987" s="10">
        <f>IFERROR(IF(('Loading-rail'!$C$21)="No control",SUMIF(('Loading-rail'!$B$31:$B$48),$J2987,('Loading-rail'!$D$31:$D$48))*Impacts!$F$15,IF(('Loading-rail'!$C$21)&lt;&gt;"No control",SUMIF(('Loading-rail'!$B$31:$B$48),$J2987,('Loading-rail'!$E$31:$E$48))*Impacts!$F$15,0)),0)</f>
        <v>0</v>
      </c>
      <c r="T2987" s="10">
        <f>IF(Flare!$C$7="",0,(SUMIF(Flare!$B$46:$B$185,$J2987,Flare!$E$46:$E$185)*Impacts!$F$16))</f>
        <v>0</v>
      </c>
      <c r="U2987" s="10">
        <f>IF(VCU!$C$9="",0,(SUMIF(VCU!$B$51:$B$193,$J2987,VCU!$E$51:$E$193)*Impacts!$F$17))</f>
        <v>0</v>
      </c>
      <c r="V2987" s="10">
        <f>IF(CAS!$C$7="",0,(SUMIF(CAS!$B$31:$B$167,$J2987,CAS!$E$31:$E$167)*Impacts!$F$18))</f>
        <v>0</v>
      </c>
      <c r="W2987" s="10">
        <f t="shared" si="87"/>
        <v>0</v>
      </c>
      <c r="AK2987" s="10" t="str">
        <f t="array" ref="AK2987">IFERROR(INDEX(SelectedSpecies,SMALL(IF(SelectedSpecies=AK$1,ROW(SelectedSpecies)),ROW(2988:2988)),2),"")</f>
        <v/>
      </c>
      <c r="BE2987" s="10"/>
      <c r="BI2987" s="10"/>
    </row>
    <row r="2988" spans="1:61" ht="21" customHeight="1" x14ac:dyDescent="0.25">
      <c r="A2988" s="10"/>
      <c r="B2988" s="10"/>
      <c r="E2988" s="10"/>
      <c r="G2988" s="10"/>
      <c r="I2988" s="436" t="s">
        <v>3191</v>
      </c>
      <c r="J2988" s="26" t="s">
        <v>3190</v>
      </c>
      <c r="K2988" s="10">
        <v>10</v>
      </c>
      <c r="L2988" s="73">
        <f>IF(Tank1!$C$23="No control",(SUMIF(Tank1!$B$32:$B$49,$J2988,Tank1!$C$32:$C$49)*Impacts!$F$8),0)</f>
        <v>0</v>
      </c>
      <c r="M2988" s="10">
        <f>IF(Tank2!$C$23="No control",(SUMIF(Tank2!$B$32:$B$49,$J2988,Tank2!$C$32:$C$49)*Impacts!$F$9),0)</f>
        <v>0</v>
      </c>
      <c r="N2988" s="10">
        <f>IF(Tank3!$C$23="No control",(SUMIF(Tank3!$B$32:$B$49,$J2988,Tank3!$C$32:$C$49)*Impacts!$F$10),0)</f>
        <v>0</v>
      </c>
      <c r="O2988" s="10">
        <f>IF(Tank4!$C$23="No control",(SUMIF(Tank4!$B$32:$B$49,$J2988,Tank4!$C$32:$C$49)*Impacts!$F$11),0)</f>
        <v>0</v>
      </c>
      <c r="P2988" s="10">
        <f>IF(Tank5!$C$23="No control",(SUMIF(Tank5!$B$32:$B$49,$J2988,Tank5!$C$32:$C$49)*Impacts!$F$12),0)</f>
        <v>0</v>
      </c>
      <c r="Q2988" s="10">
        <f>IFERROR(IF(('Loading-drum,tote'!$C$21)="No control",SUMIF(('Loading-drum,tote'!$B$31:$B$48),$J2988,('Loading-drum,tote'!$D$31:$D$48))*Impacts!$F$13,IF(('Loading-drum,tote'!$C$21)&lt;&gt;"No control",SUMIF(('Loading-drum,tote'!$B$31:$B$48),$J2988,('Loading-drum,tote'!$E$31:$E$48))*Impacts!$F$13,0)),0)</f>
        <v>0</v>
      </c>
      <c r="R2988" s="10">
        <f>IFERROR(IF(('Loading-truck'!$C$21)="No control",SUMIF(('Loading-truck'!$B$31:$B$48),$J2988,('Loading-truck'!$D$31:$D$48))*Impacts!$F$14,IF(('Loading-truck'!$C$21)&lt;&gt;"No control",SUMIF(('Loading-truck'!$B$31:$B$48),$J2988,('Loading-truck'!$E$31:$E$48))*Impacts!$F$14,0)),0)</f>
        <v>0</v>
      </c>
      <c r="S2988" s="10">
        <f>IFERROR(IF(('Loading-rail'!$C$21)="No control",SUMIF(('Loading-rail'!$B$31:$B$48),$J2988,('Loading-rail'!$D$31:$D$48))*Impacts!$F$15,IF(('Loading-rail'!$C$21)&lt;&gt;"No control",SUMIF(('Loading-rail'!$B$31:$B$48),$J2988,('Loading-rail'!$E$31:$E$48))*Impacts!$F$15,0)),0)</f>
        <v>0</v>
      </c>
      <c r="T2988" s="10">
        <f>IF(Flare!$C$7="",0,(SUMIF(Flare!$B$46:$B$185,$J2988,Flare!$E$46:$E$185)*Impacts!$F$16))</f>
        <v>0</v>
      </c>
      <c r="U2988" s="10">
        <f>IF(VCU!$C$9="",0,(SUMIF(VCU!$B$51:$B$193,$J2988,VCU!$E$51:$E$193)*Impacts!$F$17))</f>
        <v>0</v>
      </c>
      <c r="V2988" s="10">
        <f>IF(CAS!$C$7="",0,(SUMIF(CAS!$B$31:$B$167,$J2988,CAS!$E$31:$E$167)*Impacts!$F$18))</f>
        <v>0</v>
      </c>
      <c r="W2988" s="10">
        <f t="shared" si="87"/>
        <v>0</v>
      </c>
      <c r="AK2988" s="10" t="str">
        <f t="array" ref="AK2988">IFERROR(INDEX(SelectedSpecies,SMALL(IF(SelectedSpecies=AK$1,ROW(SelectedSpecies)),ROW(2989:2989)),2),"")</f>
        <v/>
      </c>
      <c r="BE2988" s="10"/>
      <c r="BI2988" s="10"/>
    </row>
    <row r="2989" spans="1:61" ht="21" customHeight="1" x14ac:dyDescent="0.25">
      <c r="A2989" s="10"/>
      <c r="B2989" s="10"/>
      <c r="E2989" s="10"/>
      <c r="G2989" s="10"/>
      <c r="I2989" s="436" t="s">
        <v>6080</v>
      </c>
      <c r="J2989" s="26" t="s">
        <v>6079</v>
      </c>
      <c r="K2989" s="10">
        <v>1</v>
      </c>
      <c r="L2989" s="73">
        <f>IF(Tank1!$C$23="No control",(SUMIF(Tank1!$B$32:$B$49,$J2989,Tank1!$C$32:$C$49)*Impacts!$F$8),0)</f>
        <v>0</v>
      </c>
      <c r="M2989" s="10">
        <f>IF(Tank2!$C$23="No control",(SUMIF(Tank2!$B$32:$B$49,$J2989,Tank2!$C$32:$C$49)*Impacts!$F$9),0)</f>
        <v>0</v>
      </c>
      <c r="N2989" s="10">
        <f>IF(Tank3!$C$23="No control",(SUMIF(Tank3!$B$32:$B$49,$J2989,Tank3!$C$32:$C$49)*Impacts!$F$10),0)</f>
        <v>0</v>
      </c>
      <c r="O2989" s="10">
        <f>IF(Tank4!$C$23="No control",(SUMIF(Tank4!$B$32:$B$49,$J2989,Tank4!$C$32:$C$49)*Impacts!$F$11),0)</f>
        <v>0</v>
      </c>
      <c r="P2989" s="10">
        <f>IF(Tank5!$C$23="No control",(SUMIF(Tank5!$B$32:$B$49,$J2989,Tank5!$C$32:$C$49)*Impacts!$F$12),0)</f>
        <v>0</v>
      </c>
      <c r="Q2989" s="10">
        <f>IFERROR(IF(('Loading-drum,tote'!$C$21)="No control",SUMIF(('Loading-drum,tote'!$B$31:$B$48),$J2989,('Loading-drum,tote'!$D$31:$D$48))*Impacts!$F$13,IF(('Loading-drum,tote'!$C$21)&lt;&gt;"No control",SUMIF(('Loading-drum,tote'!$B$31:$B$48),$J2989,('Loading-drum,tote'!$E$31:$E$48))*Impacts!$F$13,0)),0)</f>
        <v>0</v>
      </c>
      <c r="R2989" s="10">
        <f>IFERROR(IF(('Loading-truck'!$C$21)="No control",SUMIF(('Loading-truck'!$B$31:$B$48),$J2989,('Loading-truck'!$D$31:$D$48))*Impacts!$F$14,IF(('Loading-truck'!$C$21)&lt;&gt;"No control",SUMIF(('Loading-truck'!$B$31:$B$48),$J2989,('Loading-truck'!$E$31:$E$48))*Impacts!$F$14,0)),0)</f>
        <v>0</v>
      </c>
      <c r="S2989" s="10">
        <f>IFERROR(IF(('Loading-rail'!$C$21)="No control",SUMIF(('Loading-rail'!$B$31:$B$48),$J2989,('Loading-rail'!$D$31:$D$48))*Impacts!$F$15,IF(('Loading-rail'!$C$21)&lt;&gt;"No control",SUMIF(('Loading-rail'!$B$31:$B$48),$J2989,('Loading-rail'!$E$31:$E$48))*Impacts!$F$15,0)),0)</f>
        <v>0</v>
      </c>
      <c r="T2989" s="10">
        <f>IF(Flare!$C$7="",0,(SUMIF(Flare!$B$46:$B$185,$J2989,Flare!$E$46:$E$185)*Impacts!$F$16))</f>
        <v>0</v>
      </c>
      <c r="U2989" s="10">
        <f>IF(VCU!$C$9="",0,(SUMIF(VCU!$B$51:$B$193,$J2989,VCU!$E$51:$E$193)*Impacts!$F$17))</f>
        <v>0</v>
      </c>
      <c r="V2989" s="10">
        <f>IF(CAS!$C$7="",0,(SUMIF(CAS!$B$31:$B$167,$J2989,CAS!$E$31:$E$167)*Impacts!$F$18))</f>
        <v>0</v>
      </c>
      <c r="W2989" s="10">
        <f t="shared" si="87"/>
        <v>0</v>
      </c>
      <c r="AK2989" s="10" t="str">
        <f t="array" ref="AK2989">IFERROR(INDEX(SelectedSpecies,SMALL(IF(SelectedSpecies=AK$1,ROW(SelectedSpecies)),ROW(2990:2990)),2),"")</f>
        <v/>
      </c>
      <c r="BE2989" s="10"/>
      <c r="BI2989" s="10"/>
    </row>
    <row r="2990" spans="1:61" ht="21" customHeight="1" x14ac:dyDescent="0.25">
      <c r="A2990" s="10"/>
      <c r="B2990" s="10"/>
      <c r="E2990" s="10"/>
      <c r="G2990" s="10"/>
      <c r="I2990" s="436" t="s">
        <v>6082</v>
      </c>
      <c r="J2990" s="26" t="s">
        <v>6081</v>
      </c>
      <c r="K2990" s="10">
        <v>1</v>
      </c>
      <c r="L2990" s="73">
        <f>IF(Tank1!$C$23="No control",(SUMIF(Tank1!$B$32:$B$49,$J2990,Tank1!$C$32:$C$49)*Impacts!$F$8),0)</f>
        <v>0</v>
      </c>
      <c r="M2990" s="10">
        <f>IF(Tank2!$C$23="No control",(SUMIF(Tank2!$B$32:$B$49,$J2990,Tank2!$C$32:$C$49)*Impacts!$F$9),0)</f>
        <v>0</v>
      </c>
      <c r="N2990" s="10">
        <f>IF(Tank3!$C$23="No control",(SUMIF(Tank3!$B$32:$B$49,$J2990,Tank3!$C$32:$C$49)*Impacts!$F$10),0)</f>
        <v>0</v>
      </c>
      <c r="O2990" s="10">
        <f>IF(Tank4!$C$23="No control",(SUMIF(Tank4!$B$32:$B$49,$J2990,Tank4!$C$32:$C$49)*Impacts!$F$11),0)</f>
        <v>0</v>
      </c>
      <c r="P2990" s="10">
        <f>IF(Tank5!$C$23="No control",(SUMIF(Tank5!$B$32:$B$49,$J2990,Tank5!$C$32:$C$49)*Impacts!$F$12),0)</f>
        <v>0</v>
      </c>
      <c r="Q2990" s="10">
        <f>IFERROR(IF(('Loading-drum,tote'!$C$21)="No control",SUMIF(('Loading-drum,tote'!$B$31:$B$48),$J2990,('Loading-drum,tote'!$D$31:$D$48))*Impacts!$F$13,IF(('Loading-drum,tote'!$C$21)&lt;&gt;"No control",SUMIF(('Loading-drum,tote'!$B$31:$B$48),$J2990,('Loading-drum,tote'!$E$31:$E$48))*Impacts!$F$13,0)),0)</f>
        <v>0</v>
      </c>
      <c r="R2990" s="10">
        <f>IFERROR(IF(('Loading-truck'!$C$21)="No control",SUMIF(('Loading-truck'!$B$31:$B$48),$J2990,('Loading-truck'!$D$31:$D$48))*Impacts!$F$14,IF(('Loading-truck'!$C$21)&lt;&gt;"No control",SUMIF(('Loading-truck'!$B$31:$B$48),$J2990,('Loading-truck'!$E$31:$E$48))*Impacts!$F$14,0)),0)</f>
        <v>0</v>
      </c>
      <c r="S2990" s="10">
        <f>IFERROR(IF(('Loading-rail'!$C$21)="No control",SUMIF(('Loading-rail'!$B$31:$B$48),$J2990,('Loading-rail'!$D$31:$D$48))*Impacts!$F$15,IF(('Loading-rail'!$C$21)&lt;&gt;"No control",SUMIF(('Loading-rail'!$B$31:$B$48),$J2990,('Loading-rail'!$E$31:$E$48))*Impacts!$F$15,0)),0)</f>
        <v>0</v>
      </c>
      <c r="T2990" s="10">
        <f>IF(Flare!$C$7="",0,(SUMIF(Flare!$B$46:$B$185,$J2990,Flare!$E$46:$E$185)*Impacts!$F$16))</f>
        <v>0</v>
      </c>
      <c r="U2990" s="10">
        <f>IF(VCU!$C$9="",0,(SUMIF(VCU!$B$51:$B$193,$J2990,VCU!$E$51:$E$193)*Impacts!$F$17))</f>
        <v>0</v>
      </c>
      <c r="V2990" s="10">
        <f>IF(CAS!$C$7="",0,(SUMIF(CAS!$B$31:$B$167,$J2990,CAS!$E$31:$E$167)*Impacts!$F$18))</f>
        <v>0</v>
      </c>
      <c r="W2990" s="10">
        <f t="shared" si="87"/>
        <v>0</v>
      </c>
      <c r="AK2990" s="10" t="str">
        <f t="array" ref="AK2990">IFERROR(INDEX(SelectedSpecies,SMALL(IF(SelectedSpecies=AK$1,ROW(SelectedSpecies)),ROW(2991:2991)),2),"")</f>
        <v/>
      </c>
      <c r="BE2990" s="10"/>
      <c r="BI2990" s="10"/>
    </row>
    <row r="2991" spans="1:61" ht="21" customHeight="1" x14ac:dyDescent="0.25">
      <c r="A2991" s="10"/>
      <c r="B2991" s="10"/>
      <c r="E2991" s="10"/>
      <c r="G2991" s="10"/>
      <c r="I2991" s="436" t="s">
        <v>1626</v>
      </c>
      <c r="J2991" s="26" t="s">
        <v>1625</v>
      </c>
      <c r="K2991" s="10">
        <v>25</v>
      </c>
      <c r="L2991" s="73">
        <f>IF(Tank1!$C$23="No control",(SUMIF(Tank1!$B$32:$B$49,$J2991,Tank1!$C$32:$C$49)*Impacts!$F$8),0)</f>
        <v>0</v>
      </c>
      <c r="M2991" s="10">
        <f>IF(Tank2!$C$23="No control",(SUMIF(Tank2!$B$32:$B$49,$J2991,Tank2!$C$32:$C$49)*Impacts!$F$9),0)</f>
        <v>0</v>
      </c>
      <c r="N2991" s="10">
        <f>IF(Tank3!$C$23="No control",(SUMIF(Tank3!$B$32:$B$49,$J2991,Tank3!$C$32:$C$49)*Impacts!$F$10),0)</f>
        <v>0</v>
      </c>
      <c r="O2991" s="10">
        <f>IF(Tank4!$C$23="No control",(SUMIF(Tank4!$B$32:$B$49,$J2991,Tank4!$C$32:$C$49)*Impacts!$F$11),0)</f>
        <v>0</v>
      </c>
      <c r="P2991" s="10">
        <f>IF(Tank5!$C$23="No control",(SUMIF(Tank5!$B$32:$B$49,$J2991,Tank5!$C$32:$C$49)*Impacts!$F$12),0)</f>
        <v>0</v>
      </c>
      <c r="Q2991" s="10">
        <f>IFERROR(IF(('Loading-drum,tote'!$C$21)="No control",SUMIF(('Loading-drum,tote'!$B$31:$B$48),$J2991,('Loading-drum,tote'!$D$31:$D$48))*Impacts!$F$13,IF(('Loading-drum,tote'!$C$21)&lt;&gt;"No control",SUMIF(('Loading-drum,tote'!$B$31:$B$48),$J2991,('Loading-drum,tote'!$E$31:$E$48))*Impacts!$F$13,0)),0)</f>
        <v>0</v>
      </c>
      <c r="R2991" s="10">
        <f>IFERROR(IF(('Loading-truck'!$C$21)="No control",SUMIF(('Loading-truck'!$B$31:$B$48),$J2991,('Loading-truck'!$D$31:$D$48))*Impacts!$F$14,IF(('Loading-truck'!$C$21)&lt;&gt;"No control",SUMIF(('Loading-truck'!$B$31:$B$48),$J2991,('Loading-truck'!$E$31:$E$48))*Impacts!$F$14,0)),0)</f>
        <v>0</v>
      </c>
      <c r="S2991" s="10">
        <f>IFERROR(IF(('Loading-rail'!$C$21)="No control",SUMIF(('Loading-rail'!$B$31:$B$48),$J2991,('Loading-rail'!$D$31:$D$48))*Impacts!$F$15,IF(('Loading-rail'!$C$21)&lt;&gt;"No control",SUMIF(('Loading-rail'!$B$31:$B$48),$J2991,('Loading-rail'!$E$31:$E$48))*Impacts!$F$15,0)),0)</f>
        <v>0</v>
      </c>
      <c r="T2991" s="10">
        <f>IF(Flare!$C$7="",0,(SUMIF(Flare!$B$46:$B$185,$J2991,Flare!$E$46:$E$185)*Impacts!$F$16))</f>
        <v>0</v>
      </c>
      <c r="U2991" s="10">
        <f>IF(VCU!$C$9="",0,(SUMIF(VCU!$B$51:$B$193,$J2991,VCU!$E$51:$E$193)*Impacts!$F$17))</f>
        <v>0</v>
      </c>
      <c r="V2991" s="10">
        <f>IF(CAS!$C$7="",0,(SUMIF(CAS!$B$31:$B$167,$J2991,CAS!$E$31:$E$167)*Impacts!$F$18))</f>
        <v>0</v>
      </c>
      <c r="W2991" s="10">
        <f t="shared" si="87"/>
        <v>0</v>
      </c>
      <c r="AK2991" s="10" t="str">
        <f t="array" ref="AK2991">IFERROR(INDEX(SelectedSpecies,SMALL(IF(SelectedSpecies=AK$1,ROW(SelectedSpecies)),ROW(2992:2992)),2),"")</f>
        <v/>
      </c>
      <c r="BE2991" s="10"/>
      <c r="BI2991" s="10"/>
    </row>
    <row r="2992" spans="1:61" ht="21" customHeight="1" x14ac:dyDescent="0.25">
      <c r="A2992" s="10"/>
      <c r="B2992" s="10"/>
      <c r="E2992" s="10"/>
      <c r="G2992" s="10"/>
      <c r="I2992" s="436" t="s">
        <v>3193</v>
      </c>
      <c r="J2992" s="26" t="s">
        <v>3192</v>
      </c>
      <c r="K2992" s="10">
        <v>10</v>
      </c>
      <c r="L2992" s="73">
        <f>IF(Tank1!$C$23="No control",(SUMIF(Tank1!$B$32:$B$49,$J2992,Tank1!$C$32:$C$49)*Impacts!$F$8),0)</f>
        <v>0</v>
      </c>
      <c r="M2992" s="10">
        <f>IF(Tank2!$C$23="No control",(SUMIF(Tank2!$B$32:$B$49,$J2992,Tank2!$C$32:$C$49)*Impacts!$F$9),0)</f>
        <v>0</v>
      </c>
      <c r="N2992" s="10">
        <f>IF(Tank3!$C$23="No control",(SUMIF(Tank3!$B$32:$B$49,$J2992,Tank3!$C$32:$C$49)*Impacts!$F$10),0)</f>
        <v>0</v>
      </c>
      <c r="O2992" s="10">
        <f>IF(Tank4!$C$23="No control",(SUMIF(Tank4!$B$32:$B$49,$J2992,Tank4!$C$32:$C$49)*Impacts!$F$11),0)</f>
        <v>0</v>
      </c>
      <c r="P2992" s="10">
        <f>IF(Tank5!$C$23="No control",(SUMIF(Tank5!$B$32:$B$49,$J2992,Tank5!$C$32:$C$49)*Impacts!$F$12),0)</f>
        <v>0</v>
      </c>
      <c r="Q2992" s="10">
        <f>IFERROR(IF(('Loading-drum,tote'!$C$21)="No control",SUMIF(('Loading-drum,tote'!$B$31:$B$48),$J2992,('Loading-drum,tote'!$D$31:$D$48))*Impacts!$F$13,IF(('Loading-drum,tote'!$C$21)&lt;&gt;"No control",SUMIF(('Loading-drum,tote'!$B$31:$B$48),$J2992,('Loading-drum,tote'!$E$31:$E$48))*Impacts!$F$13,0)),0)</f>
        <v>0</v>
      </c>
      <c r="R2992" s="10">
        <f>IFERROR(IF(('Loading-truck'!$C$21)="No control",SUMIF(('Loading-truck'!$B$31:$B$48),$J2992,('Loading-truck'!$D$31:$D$48))*Impacts!$F$14,IF(('Loading-truck'!$C$21)&lt;&gt;"No control",SUMIF(('Loading-truck'!$B$31:$B$48),$J2992,('Loading-truck'!$E$31:$E$48))*Impacts!$F$14,0)),0)</f>
        <v>0</v>
      </c>
      <c r="S2992" s="10">
        <f>IFERROR(IF(('Loading-rail'!$C$21)="No control",SUMIF(('Loading-rail'!$B$31:$B$48),$J2992,('Loading-rail'!$D$31:$D$48))*Impacts!$F$15,IF(('Loading-rail'!$C$21)&lt;&gt;"No control",SUMIF(('Loading-rail'!$B$31:$B$48),$J2992,('Loading-rail'!$E$31:$E$48))*Impacts!$F$15,0)),0)</f>
        <v>0</v>
      </c>
      <c r="T2992" s="10">
        <f>IF(Flare!$C$7="",0,(SUMIF(Flare!$B$46:$B$185,$J2992,Flare!$E$46:$E$185)*Impacts!$F$16))</f>
        <v>0</v>
      </c>
      <c r="U2992" s="10">
        <f>IF(VCU!$C$9="",0,(SUMIF(VCU!$B$51:$B$193,$J2992,VCU!$E$51:$E$193)*Impacts!$F$17))</f>
        <v>0</v>
      </c>
      <c r="V2992" s="10">
        <f>IF(CAS!$C$7="",0,(SUMIF(CAS!$B$31:$B$167,$J2992,CAS!$E$31:$E$167)*Impacts!$F$18))</f>
        <v>0</v>
      </c>
      <c r="W2992" s="10">
        <f t="shared" si="87"/>
        <v>0</v>
      </c>
      <c r="AK2992" s="10" t="str">
        <f t="array" ref="AK2992">IFERROR(INDEX(SelectedSpecies,SMALL(IF(SelectedSpecies=AK$1,ROW(SelectedSpecies)),ROW(2993:2993)),2),"")</f>
        <v/>
      </c>
      <c r="BE2992" s="10"/>
      <c r="BI2992" s="10"/>
    </row>
    <row r="2993" spans="1:61" ht="21" customHeight="1" x14ac:dyDescent="0.25">
      <c r="A2993" s="10"/>
      <c r="B2993" s="10"/>
      <c r="E2993" s="10"/>
      <c r="G2993" s="10"/>
      <c r="I2993" s="436" t="s">
        <v>2579</v>
      </c>
      <c r="J2993" s="26" t="s">
        <v>2578</v>
      </c>
      <c r="K2993" s="10">
        <v>10</v>
      </c>
      <c r="L2993" s="73">
        <f>IF(Tank1!$C$23="No control",(SUMIF(Tank1!$B$32:$B$49,$J2993,Tank1!$C$32:$C$49)*Impacts!$F$8),0)</f>
        <v>0</v>
      </c>
      <c r="M2993" s="10">
        <f>IF(Tank2!$C$23="No control",(SUMIF(Tank2!$B$32:$B$49,$J2993,Tank2!$C$32:$C$49)*Impacts!$F$9),0)</f>
        <v>0</v>
      </c>
      <c r="N2993" s="10">
        <f>IF(Tank3!$C$23="No control",(SUMIF(Tank3!$B$32:$B$49,$J2993,Tank3!$C$32:$C$49)*Impacts!$F$10),0)</f>
        <v>0</v>
      </c>
      <c r="O2993" s="10">
        <f>IF(Tank4!$C$23="No control",(SUMIF(Tank4!$B$32:$B$49,$J2993,Tank4!$C$32:$C$49)*Impacts!$F$11),0)</f>
        <v>0</v>
      </c>
      <c r="P2993" s="10">
        <f>IF(Tank5!$C$23="No control",(SUMIF(Tank5!$B$32:$B$49,$J2993,Tank5!$C$32:$C$49)*Impacts!$F$12),0)</f>
        <v>0</v>
      </c>
      <c r="Q2993" s="10">
        <f>IFERROR(IF(('Loading-drum,tote'!$C$21)="No control",SUMIF(('Loading-drum,tote'!$B$31:$B$48),$J2993,('Loading-drum,tote'!$D$31:$D$48))*Impacts!$F$13,IF(('Loading-drum,tote'!$C$21)&lt;&gt;"No control",SUMIF(('Loading-drum,tote'!$B$31:$B$48),$J2993,('Loading-drum,tote'!$E$31:$E$48))*Impacts!$F$13,0)),0)</f>
        <v>0</v>
      </c>
      <c r="R2993" s="10">
        <f>IFERROR(IF(('Loading-truck'!$C$21)="No control",SUMIF(('Loading-truck'!$B$31:$B$48),$J2993,('Loading-truck'!$D$31:$D$48))*Impacts!$F$14,IF(('Loading-truck'!$C$21)&lt;&gt;"No control",SUMIF(('Loading-truck'!$B$31:$B$48),$J2993,('Loading-truck'!$E$31:$E$48))*Impacts!$F$14,0)),0)</f>
        <v>0</v>
      </c>
      <c r="S2993" s="10">
        <f>IFERROR(IF(('Loading-rail'!$C$21)="No control",SUMIF(('Loading-rail'!$B$31:$B$48),$J2993,('Loading-rail'!$D$31:$D$48))*Impacts!$F$15,IF(('Loading-rail'!$C$21)&lt;&gt;"No control",SUMIF(('Loading-rail'!$B$31:$B$48),$J2993,('Loading-rail'!$E$31:$E$48))*Impacts!$F$15,0)),0)</f>
        <v>0</v>
      </c>
      <c r="T2993" s="10">
        <f>IF(Flare!$C$7="",0,(SUMIF(Flare!$B$46:$B$185,$J2993,Flare!$E$46:$E$185)*Impacts!$F$16))</f>
        <v>0</v>
      </c>
      <c r="U2993" s="10">
        <f>IF(VCU!$C$9="",0,(SUMIF(VCU!$B$51:$B$193,$J2993,VCU!$E$51:$E$193)*Impacts!$F$17))</f>
        <v>0</v>
      </c>
      <c r="V2993" s="10">
        <f>IF(CAS!$C$7="",0,(SUMIF(CAS!$B$31:$B$167,$J2993,CAS!$E$31:$E$167)*Impacts!$F$18))</f>
        <v>0</v>
      </c>
      <c r="W2993" s="10">
        <f t="shared" si="87"/>
        <v>0</v>
      </c>
      <c r="AK2993" s="10" t="str">
        <f t="array" ref="AK2993">IFERROR(INDEX(SelectedSpecies,SMALL(IF(SelectedSpecies=AK$1,ROW(SelectedSpecies)),ROW(2994:2994)),2),"")</f>
        <v/>
      </c>
      <c r="BE2993" s="10"/>
      <c r="BI2993" s="10"/>
    </row>
    <row r="2994" spans="1:61" ht="21" customHeight="1" x14ac:dyDescent="0.25">
      <c r="A2994" s="10"/>
      <c r="B2994" s="10"/>
      <c r="E2994" s="10"/>
      <c r="G2994" s="10"/>
      <c r="I2994" s="436" t="s">
        <v>2157</v>
      </c>
      <c r="J2994" s="26" t="s">
        <v>2156</v>
      </c>
      <c r="K2994" s="10">
        <v>15</v>
      </c>
      <c r="L2994" s="73">
        <f>IF(Tank1!$C$23="No control",(SUMIF(Tank1!$B$32:$B$49,$J2994,Tank1!$C$32:$C$49)*Impacts!$F$8),0)</f>
        <v>0</v>
      </c>
      <c r="M2994" s="10">
        <f>IF(Tank2!$C$23="No control",(SUMIF(Tank2!$B$32:$B$49,$J2994,Tank2!$C$32:$C$49)*Impacts!$F$9),0)</f>
        <v>0</v>
      </c>
      <c r="N2994" s="10">
        <f>IF(Tank3!$C$23="No control",(SUMIF(Tank3!$B$32:$B$49,$J2994,Tank3!$C$32:$C$49)*Impacts!$F$10),0)</f>
        <v>0</v>
      </c>
      <c r="O2994" s="10">
        <f>IF(Tank4!$C$23="No control",(SUMIF(Tank4!$B$32:$B$49,$J2994,Tank4!$C$32:$C$49)*Impacts!$F$11),0)</f>
        <v>0</v>
      </c>
      <c r="P2994" s="10">
        <f>IF(Tank5!$C$23="No control",(SUMIF(Tank5!$B$32:$B$49,$J2994,Tank5!$C$32:$C$49)*Impacts!$F$12),0)</f>
        <v>0</v>
      </c>
      <c r="Q2994" s="10">
        <f>IFERROR(IF(('Loading-drum,tote'!$C$21)="No control",SUMIF(('Loading-drum,tote'!$B$31:$B$48),$J2994,('Loading-drum,tote'!$D$31:$D$48))*Impacts!$F$13,IF(('Loading-drum,tote'!$C$21)&lt;&gt;"No control",SUMIF(('Loading-drum,tote'!$B$31:$B$48),$J2994,('Loading-drum,tote'!$E$31:$E$48))*Impacts!$F$13,0)),0)</f>
        <v>0</v>
      </c>
      <c r="R2994" s="10">
        <f>IFERROR(IF(('Loading-truck'!$C$21)="No control",SUMIF(('Loading-truck'!$B$31:$B$48),$J2994,('Loading-truck'!$D$31:$D$48))*Impacts!$F$14,IF(('Loading-truck'!$C$21)&lt;&gt;"No control",SUMIF(('Loading-truck'!$B$31:$B$48),$J2994,('Loading-truck'!$E$31:$E$48))*Impacts!$F$14,0)),0)</f>
        <v>0</v>
      </c>
      <c r="S2994" s="10">
        <f>IFERROR(IF(('Loading-rail'!$C$21)="No control",SUMIF(('Loading-rail'!$B$31:$B$48),$J2994,('Loading-rail'!$D$31:$D$48))*Impacts!$F$15,IF(('Loading-rail'!$C$21)&lt;&gt;"No control",SUMIF(('Loading-rail'!$B$31:$B$48),$J2994,('Loading-rail'!$E$31:$E$48))*Impacts!$F$15,0)),0)</f>
        <v>0</v>
      </c>
      <c r="T2994" s="10">
        <f>IF(Flare!$C$7="",0,(SUMIF(Flare!$B$46:$B$185,$J2994,Flare!$E$46:$E$185)*Impacts!$F$16))</f>
        <v>0</v>
      </c>
      <c r="U2994" s="10">
        <f>IF(VCU!$C$9="",0,(SUMIF(VCU!$B$51:$B$193,$J2994,VCU!$E$51:$E$193)*Impacts!$F$17))</f>
        <v>0</v>
      </c>
      <c r="V2994" s="10">
        <f>IF(CAS!$C$7="",0,(SUMIF(CAS!$B$31:$B$167,$J2994,CAS!$E$31:$E$167)*Impacts!$F$18))</f>
        <v>0</v>
      </c>
      <c r="W2994" s="10">
        <f t="shared" si="87"/>
        <v>0</v>
      </c>
      <c r="AK2994" s="10" t="str">
        <f t="array" ref="AK2994">IFERROR(INDEX(SelectedSpecies,SMALL(IF(SelectedSpecies=AK$1,ROW(SelectedSpecies)),ROW(2995:2995)),2),"")</f>
        <v/>
      </c>
      <c r="BE2994" s="10"/>
      <c r="BI2994" s="10"/>
    </row>
    <row r="2995" spans="1:61" ht="21" customHeight="1" x14ac:dyDescent="0.25">
      <c r="A2995" s="10"/>
      <c r="B2995" s="10"/>
      <c r="E2995" s="10"/>
      <c r="G2995" s="10"/>
      <c r="I2995" s="436" t="s">
        <v>6450</v>
      </c>
      <c r="J2995" s="26" t="s">
        <v>6449</v>
      </c>
      <c r="K2995" s="10">
        <v>0.8</v>
      </c>
      <c r="L2995" s="73">
        <f>IF(Tank1!$C$23="No control",(SUMIF(Tank1!$B$32:$B$49,$J2995,Tank1!$C$32:$C$49)*Impacts!$F$8),0)</f>
        <v>0</v>
      </c>
      <c r="M2995" s="10">
        <f>IF(Tank2!$C$23="No control",(SUMIF(Tank2!$B$32:$B$49,$J2995,Tank2!$C$32:$C$49)*Impacts!$F$9),0)</f>
        <v>0</v>
      </c>
      <c r="N2995" s="10">
        <f>IF(Tank3!$C$23="No control",(SUMIF(Tank3!$B$32:$B$49,$J2995,Tank3!$C$32:$C$49)*Impacts!$F$10),0)</f>
        <v>0</v>
      </c>
      <c r="O2995" s="10">
        <f>IF(Tank4!$C$23="No control",(SUMIF(Tank4!$B$32:$B$49,$J2995,Tank4!$C$32:$C$49)*Impacts!$F$11),0)</f>
        <v>0</v>
      </c>
      <c r="P2995" s="10">
        <f>IF(Tank5!$C$23="No control",(SUMIF(Tank5!$B$32:$B$49,$J2995,Tank5!$C$32:$C$49)*Impacts!$F$12),0)</f>
        <v>0</v>
      </c>
      <c r="Q2995" s="10">
        <f>IFERROR(IF(('Loading-drum,tote'!$C$21)="No control",SUMIF(('Loading-drum,tote'!$B$31:$B$48),$J2995,('Loading-drum,tote'!$D$31:$D$48))*Impacts!$F$13,IF(('Loading-drum,tote'!$C$21)&lt;&gt;"No control",SUMIF(('Loading-drum,tote'!$B$31:$B$48),$J2995,('Loading-drum,tote'!$E$31:$E$48))*Impacts!$F$13,0)),0)</f>
        <v>0</v>
      </c>
      <c r="R2995" s="10">
        <f>IFERROR(IF(('Loading-truck'!$C$21)="No control",SUMIF(('Loading-truck'!$B$31:$B$48),$J2995,('Loading-truck'!$D$31:$D$48))*Impacts!$F$14,IF(('Loading-truck'!$C$21)&lt;&gt;"No control",SUMIF(('Loading-truck'!$B$31:$B$48),$J2995,('Loading-truck'!$E$31:$E$48))*Impacts!$F$14,0)),0)</f>
        <v>0</v>
      </c>
      <c r="S2995" s="10">
        <f>IFERROR(IF(('Loading-rail'!$C$21)="No control",SUMIF(('Loading-rail'!$B$31:$B$48),$J2995,('Loading-rail'!$D$31:$D$48))*Impacts!$F$15,IF(('Loading-rail'!$C$21)&lt;&gt;"No control",SUMIF(('Loading-rail'!$B$31:$B$48),$J2995,('Loading-rail'!$E$31:$E$48))*Impacts!$F$15,0)),0)</f>
        <v>0</v>
      </c>
      <c r="T2995" s="10">
        <f>IF(Flare!$C$7="",0,(SUMIF(Flare!$B$46:$B$185,$J2995,Flare!$E$46:$E$185)*Impacts!$F$16))</f>
        <v>0</v>
      </c>
      <c r="U2995" s="10">
        <f>IF(VCU!$C$9="",0,(SUMIF(VCU!$B$51:$B$193,$J2995,VCU!$E$51:$E$193)*Impacts!$F$17))</f>
        <v>0</v>
      </c>
      <c r="V2995" s="10">
        <f>IF(CAS!$C$7="",0,(SUMIF(CAS!$B$31:$B$167,$J2995,CAS!$E$31:$E$167)*Impacts!$F$18))</f>
        <v>0</v>
      </c>
      <c r="W2995" s="10">
        <f t="shared" si="87"/>
        <v>0</v>
      </c>
      <c r="AK2995" s="10" t="str">
        <f t="array" ref="AK2995">IFERROR(INDEX(SelectedSpecies,SMALL(IF(SelectedSpecies=AK$1,ROW(SelectedSpecies)),ROW(2996:2996)),2),"")</f>
        <v/>
      </c>
      <c r="BE2995" s="10"/>
      <c r="BI2995" s="10"/>
    </row>
    <row r="2996" spans="1:61" ht="21" customHeight="1" x14ac:dyDescent="0.25">
      <c r="A2996" s="10"/>
      <c r="B2996" s="10"/>
      <c r="E2996" s="10"/>
      <c r="G2996" s="10"/>
      <c r="I2996" s="436" t="s">
        <v>6900</v>
      </c>
      <c r="J2996" s="26" t="s">
        <v>6899</v>
      </c>
      <c r="K2996" s="10">
        <v>0.5</v>
      </c>
      <c r="L2996" s="73">
        <f>IF(Tank1!$C$23="No control",(SUMIF(Tank1!$B$32:$B$49,$J2996,Tank1!$C$32:$C$49)*Impacts!$F$8),0)</f>
        <v>0</v>
      </c>
      <c r="M2996" s="10">
        <f>IF(Tank2!$C$23="No control",(SUMIF(Tank2!$B$32:$B$49,$J2996,Tank2!$C$32:$C$49)*Impacts!$F$9),0)</f>
        <v>0</v>
      </c>
      <c r="N2996" s="10">
        <f>IF(Tank3!$C$23="No control",(SUMIF(Tank3!$B$32:$B$49,$J2996,Tank3!$C$32:$C$49)*Impacts!$F$10),0)</f>
        <v>0</v>
      </c>
      <c r="O2996" s="10">
        <f>IF(Tank4!$C$23="No control",(SUMIF(Tank4!$B$32:$B$49,$J2996,Tank4!$C$32:$C$49)*Impacts!$F$11),0)</f>
        <v>0</v>
      </c>
      <c r="P2996" s="10">
        <f>IF(Tank5!$C$23="No control",(SUMIF(Tank5!$B$32:$B$49,$J2996,Tank5!$C$32:$C$49)*Impacts!$F$12),0)</f>
        <v>0</v>
      </c>
      <c r="Q2996" s="10">
        <f>IFERROR(IF(('Loading-drum,tote'!$C$21)="No control",SUMIF(('Loading-drum,tote'!$B$31:$B$48),$J2996,('Loading-drum,tote'!$D$31:$D$48))*Impacts!$F$13,IF(('Loading-drum,tote'!$C$21)&lt;&gt;"No control",SUMIF(('Loading-drum,tote'!$B$31:$B$48),$J2996,('Loading-drum,tote'!$E$31:$E$48))*Impacts!$F$13,0)),0)</f>
        <v>0</v>
      </c>
      <c r="R2996" s="10">
        <f>IFERROR(IF(('Loading-truck'!$C$21)="No control",SUMIF(('Loading-truck'!$B$31:$B$48),$J2996,('Loading-truck'!$D$31:$D$48))*Impacts!$F$14,IF(('Loading-truck'!$C$21)&lt;&gt;"No control",SUMIF(('Loading-truck'!$B$31:$B$48),$J2996,('Loading-truck'!$E$31:$E$48))*Impacts!$F$14,0)),0)</f>
        <v>0</v>
      </c>
      <c r="S2996" s="10">
        <f>IFERROR(IF(('Loading-rail'!$C$21)="No control",SUMIF(('Loading-rail'!$B$31:$B$48),$J2996,('Loading-rail'!$D$31:$D$48))*Impacts!$F$15,IF(('Loading-rail'!$C$21)&lt;&gt;"No control",SUMIF(('Loading-rail'!$B$31:$B$48),$J2996,('Loading-rail'!$E$31:$E$48))*Impacts!$F$15,0)),0)</f>
        <v>0</v>
      </c>
      <c r="T2996" s="10">
        <f>IF(Flare!$C$7="",0,(SUMIF(Flare!$B$46:$B$185,$J2996,Flare!$E$46:$E$185)*Impacts!$F$16))</f>
        <v>0</v>
      </c>
      <c r="U2996" s="10">
        <f>IF(VCU!$C$9="",0,(SUMIF(VCU!$B$51:$B$193,$J2996,VCU!$E$51:$E$193)*Impacts!$F$17))</f>
        <v>0</v>
      </c>
      <c r="V2996" s="10">
        <f>IF(CAS!$C$7="",0,(SUMIF(CAS!$B$31:$B$167,$J2996,CAS!$E$31:$E$167)*Impacts!$F$18))</f>
        <v>0</v>
      </c>
      <c r="W2996" s="10">
        <f t="shared" si="87"/>
        <v>0</v>
      </c>
      <c r="AK2996" s="10" t="str">
        <f t="array" ref="AK2996">IFERROR(INDEX(SelectedSpecies,SMALL(IF(SelectedSpecies=AK$1,ROW(SelectedSpecies)),ROW(2997:2997)),2),"")</f>
        <v/>
      </c>
      <c r="BE2996" s="10"/>
      <c r="BI2996" s="10"/>
    </row>
    <row r="2997" spans="1:61" ht="21" customHeight="1" x14ac:dyDescent="0.25">
      <c r="A2997" s="10"/>
      <c r="B2997" s="10"/>
      <c r="E2997" s="10"/>
      <c r="G2997" s="10"/>
      <c r="I2997" s="436" t="s">
        <v>3195</v>
      </c>
      <c r="J2997" s="26" t="s">
        <v>3194</v>
      </c>
      <c r="K2997" s="10">
        <v>10</v>
      </c>
      <c r="L2997" s="73">
        <f>IF(Tank1!$C$23="No control",(SUMIF(Tank1!$B$32:$B$49,$J2997,Tank1!$C$32:$C$49)*Impacts!$F$8),0)</f>
        <v>0</v>
      </c>
      <c r="M2997" s="10">
        <f>IF(Tank2!$C$23="No control",(SUMIF(Tank2!$B$32:$B$49,$J2997,Tank2!$C$32:$C$49)*Impacts!$F$9),0)</f>
        <v>0</v>
      </c>
      <c r="N2997" s="10">
        <f>IF(Tank3!$C$23="No control",(SUMIF(Tank3!$B$32:$B$49,$J2997,Tank3!$C$32:$C$49)*Impacts!$F$10),0)</f>
        <v>0</v>
      </c>
      <c r="O2997" s="10">
        <f>IF(Tank4!$C$23="No control",(SUMIF(Tank4!$B$32:$B$49,$J2997,Tank4!$C$32:$C$49)*Impacts!$F$11),0)</f>
        <v>0</v>
      </c>
      <c r="P2997" s="10">
        <f>IF(Tank5!$C$23="No control",(SUMIF(Tank5!$B$32:$B$49,$J2997,Tank5!$C$32:$C$49)*Impacts!$F$12),0)</f>
        <v>0</v>
      </c>
      <c r="Q2997" s="10">
        <f>IFERROR(IF(('Loading-drum,tote'!$C$21)="No control",SUMIF(('Loading-drum,tote'!$B$31:$B$48),$J2997,('Loading-drum,tote'!$D$31:$D$48))*Impacts!$F$13,IF(('Loading-drum,tote'!$C$21)&lt;&gt;"No control",SUMIF(('Loading-drum,tote'!$B$31:$B$48),$J2997,('Loading-drum,tote'!$E$31:$E$48))*Impacts!$F$13,0)),0)</f>
        <v>0</v>
      </c>
      <c r="R2997" s="10">
        <f>IFERROR(IF(('Loading-truck'!$C$21)="No control",SUMIF(('Loading-truck'!$B$31:$B$48),$J2997,('Loading-truck'!$D$31:$D$48))*Impacts!$F$14,IF(('Loading-truck'!$C$21)&lt;&gt;"No control",SUMIF(('Loading-truck'!$B$31:$B$48),$J2997,('Loading-truck'!$E$31:$E$48))*Impacts!$F$14,0)),0)</f>
        <v>0</v>
      </c>
      <c r="S2997" s="10">
        <f>IFERROR(IF(('Loading-rail'!$C$21)="No control",SUMIF(('Loading-rail'!$B$31:$B$48),$J2997,('Loading-rail'!$D$31:$D$48))*Impacts!$F$15,IF(('Loading-rail'!$C$21)&lt;&gt;"No control",SUMIF(('Loading-rail'!$B$31:$B$48),$J2997,('Loading-rail'!$E$31:$E$48))*Impacts!$F$15,0)),0)</f>
        <v>0</v>
      </c>
      <c r="T2997" s="10">
        <f>IF(Flare!$C$7="",0,(SUMIF(Flare!$B$46:$B$185,$J2997,Flare!$E$46:$E$185)*Impacts!$F$16))</f>
        <v>0</v>
      </c>
      <c r="U2997" s="10">
        <f>IF(VCU!$C$9="",0,(SUMIF(VCU!$B$51:$B$193,$J2997,VCU!$E$51:$E$193)*Impacts!$F$17))</f>
        <v>0</v>
      </c>
      <c r="V2997" s="10">
        <f>IF(CAS!$C$7="",0,(SUMIF(CAS!$B$31:$B$167,$J2997,CAS!$E$31:$E$167)*Impacts!$F$18))</f>
        <v>0</v>
      </c>
      <c r="W2997" s="10">
        <f t="shared" si="87"/>
        <v>0</v>
      </c>
      <c r="AK2997" s="10" t="str">
        <f t="array" ref="AK2997">IFERROR(INDEX(SelectedSpecies,SMALL(IF(SelectedSpecies=AK$1,ROW(SelectedSpecies)),ROW(2998:2998)),2),"")</f>
        <v/>
      </c>
      <c r="BE2997" s="10"/>
      <c r="BI2997" s="10"/>
    </row>
    <row r="2998" spans="1:61" ht="21" customHeight="1" x14ac:dyDescent="0.25">
      <c r="A2998" s="10"/>
      <c r="B2998" s="10"/>
      <c r="E2998" s="10"/>
      <c r="G2998" s="10"/>
      <c r="I2998" s="436" t="s">
        <v>6084</v>
      </c>
      <c r="J2998" s="26" t="s">
        <v>6083</v>
      </c>
      <c r="K2998" s="10">
        <v>1</v>
      </c>
      <c r="L2998" s="73">
        <f>IF(Tank1!$C$23="No control",(SUMIF(Tank1!$B$32:$B$49,$J2998,Tank1!$C$32:$C$49)*Impacts!$F$8),0)</f>
        <v>0</v>
      </c>
      <c r="M2998" s="10">
        <f>IF(Tank2!$C$23="No control",(SUMIF(Tank2!$B$32:$B$49,$J2998,Tank2!$C$32:$C$49)*Impacts!$F$9),0)</f>
        <v>0</v>
      </c>
      <c r="N2998" s="10">
        <f>IF(Tank3!$C$23="No control",(SUMIF(Tank3!$B$32:$B$49,$J2998,Tank3!$C$32:$C$49)*Impacts!$F$10),0)</f>
        <v>0</v>
      </c>
      <c r="O2998" s="10">
        <f>IF(Tank4!$C$23="No control",(SUMIF(Tank4!$B$32:$B$49,$J2998,Tank4!$C$32:$C$49)*Impacts!$F$11),0)</f>
        <v>0</v>
      </c>
      <c r="P2998" s="10">
        <f>IF(Tank5!$C$23="No control",(SUMIF(Tank5!$B$32:$B$49,$J2998,Tank5!$C$32:$C$49)*Impacts!$F$12),0)</f>
        <v>0</v>
      </c>
      <c r="Q2998" s="10">
        <f>IFERROR(IF(('Loading-drum,tote'!$C$21)="No control",SUMIF(('Loading-drum,tote'!$B$31:$B$48),$J2998,('Loading-drum,tote'!$D$31:$D$48))*Impacts!$F$13,IF(('Loading-drum,tote'!$C$21)&lt;&gt;"No control",SUMIF(('Loading-drum,tote'!$B$31:$B$48),$J2998,('Loading-drum,tote'!$E$31:$E$48))*Impacts!$F$13,0)),0)</f>
        <v>0</v>
      </c>
      <c r="R2998" s="10">
        <f>IFERROR(IF(('Loading-truck'!$C$21)="No control",SUMIF(('Loading-truck'!$B$31:$B$48),$J2998,('Loading-truck'!$D$31:$D$48))*Impacts!$F$14,IF(('Loading-truck'!$C$21)&lt;&gt;"No control",SUMIF(('Loading-truck'!$B$31:$B$48),$J2998,('Loading-truck'!$E$31:$E$48))*Impacts!$F$14,0)),0)</f>
        <v>0</v>
      </c>
      <c r="S2998" s="10">
        <f>IFERROR(IF(('Loading-rail'!$C$21)="No control",SUMIF(('Loading-rail'!$B$31:$B$48),$J2998,('Loading-rail'!$D$31:$D$48))*Impacts!$F$15,IF(('Loading-rail'!$C$21)&lt;&gt;"No control",SUMIF(('Loading-rail'!$B$31:$B$48),$J2998,('Loading-rail'!$E$31:$E$48))*Impacts!$F$15,0)),0)</f>
        <v>0</v>
      </c>
      <c r="T2998" s="10">
        <f>IF(Flare!$C$7="",0,(SUMIF(Flare!$B$46:$B$185,$J2998,Flare!$E$46:$E$185)*Impacts!$F$16))</f>
        <v>0</v>
      </c>
      <c r="U2998" s="10">
        <f>IF(VCU!$C$9="",0,(SUMIF(VCU!$B$51:$B$193,$J2998,VCU!$E$51:$E$193)*Impacts!$F$17))</f>
        <v>0</v>
      </c>
      <c r="V2998" s="10">
        <f>IF(CAS!$C$7="",0,(SUMIF(CAS!$B$31:$B$167,$J2998,CAS!$E$31:$E$167)*Impacts!$F$18))</f>
        <v>0</v>
      </c>
      <c r="W2998" s="10">
        <f t="shared" si="87"/>
        <v>0</v>
      </c>
      <c r="AK2998" s="10" t="str">
        <f t="array" ref="AK2998">IFERROR(INDEX(SelectedSpecies,SMALL(IF(SelectedSpecies=AK$1,ROW(SelectedSpecies)),ROW(2999:2999)),2),"")</f>
        <v/>
      </c>
      <c r="BE2998" s="10"/>
      <c r="BI2998" s="10"/>
    </row>
    <row r="2999" spans="1:61" ht="21" customHeight="1" x14ac:dyDescent="0.25">
      <c r="A2999" s="10"/>
      <c r="B2999" s="10"/>
      <c r="E2999" s="10"/>
      <c r="G2999" s="10"/>
      <c r="I2999" s="436" t="s">
        <v>7288</v>
      </c>
      <c r="J2999" s="26" t="s">
        <v>7287</v>
      </c>
      <c r="K2999" s="10">
        <v>0.30000000000000004</v>
      </c>
      <c r="L2999" s="73">
        <f>IF(Tank1!$C$23="No control",(SUMIF(Tank1!$B$32:$B$49,$J2999,Tank1!$C$32:$C$49)*Impacts!$F$8),0)</f>
        <v>0</v>
      </c>
      <c r="M2999" s="10">
        <f>IF(Tank2!$C$23="No control",(SUMIF(Tank2!$B$32:$B$49,$J2999,Tank2!$C$32:$C$49)*Impacts!$F$9),0)</f>
        <v>0</v>
      </c>
      <c r="N2999" s="10">
        <f>IF(Tank3!$C$23="No control",(SUMIF(Tank3!$B$32:$B$49,$J2999,Tank3!$C$32:$C$49)*Impacts!$F$10),0)</f>
        <v>0</v>
      </c>
      <c r="O2999" s="10">
        <f>IF(Tank4!$C$23="No control",(SUMIF(Tank4!$B$32:$B$49,$J2999,Tank4!$C$32:$C$49)*Impacts!$F$11),0)</f>
        <v>0</v>
      </c>
      <c r="P2999" s="10">
        <f>IF(Tank5!$C$23="No control",(SUMIF(Tank5!$B$32:$B$49,$J2999,Tank5!$C$32:$C$49)*Impacts!$F$12),0)</f>
        <v>0</v>
      </c>
      <c r="Q2999" s="10">
        <f>IFERROR(IF(('Loading-drum,tote'!$C$21)="No control",SUMIF(('Loading-drum,tote'!$B$31:$B$48),$J2999,('Loading-drum,tote'!$D$31:$D$48))*Impacts!$F$13,IF(('Loading-drum,tote'!$C$21)&lt;&gt;"No control",SUMIF(('Loading-drum,tote'!$B$31:$B$48),$J2999,('Loading-drum,tote'!$E$31:$E$48))*Impacts!$F$13,0)),0)</f>
        <v>0</v>
      </c>
      <c r="R2999" s="10">
        <f>IFERROR(IF(('Loading-truck'!$C$21)="No control",SUMIF(('Loading-truck'!$B$31:$B$48),$J2999,('Loading-truck'!$D$31:$D$48))*Impacts!$F$14,IF(('Loading-truck'!$C$21)&lt;&gt;"No control",SUMIF(('Loading-truck'!$B$31:$B$48),$J2999,('Loading-truck'!$E$31:$E$48))*Impacts!$F$14,0)),0)</f>
        <v>0</v>
      </c>
      <c r="S2999" s="10">
        <f>IFERROR(IF(('Loading-rail'!$C$21)="No control",SUMIF(('Loading-rail'!$B$31:$B$48),$J2999,('Loading-rail'!$D$31:$D$48))*Impacts!$F$15,IF(('Loading-rail'!$C$21)&lt;&gt;"No control",SUMIF(('Loading-rail'!$B$31:$B$48),$J2999,('Loading-rail'!$E$31:$E$48))*Impacts!$F$15,0)),0)</f>
        <v>0</v>
      </c>
      <c r="T2999" s="10">
        <f>IF(Flare!$C$7="",0,(SUMIF(Flare!$B$46:$B$185,$J2999,Flare!$E$46:$E$185)*Impacts!$F$16))</f>
        <v>0</v>
      </c>
      <c r="U2999" s="10">
        <f>IF(VCU!$C$9="",0,(SUMIF(VCU!$B$51:$B$193,$J2999,VCU!$E$51:$E$193)*Impacts!$F$17))</f>
        <v>0</v>
      </c>
      <c r="V2999" s="10">
        <f>IF(CAS!$C$7="",0,(SUMIF(CAS!$B$31:$B$167,$J2999,CAS!$E$31:$E$167)*Impacts!$F$18))</f>
        <v>0</v>
      </c>
      <c r="W2999" s="10">
        <f t="shared" si="87"/>
        <v>0</v>
      </c>
      <c r="AK2999" s="10" t="str">
        <f t="array" ref="AK2999">IFERROR(INDEX(SelectedSpecies,SMALL(IF(SelectedSpecies=AK$1,ROW(SelectedSpecies)),ROW(3000:3000)),2),"")</f>
        <v/>
      </c>
      <c r="BE2999" s="10"/>
      <c r="BI2999" s="10"/>
    </row>
    <row r="3000" spans="1:61" ht="21" customHeight="1" x14ac:dyDescent="0.25">
      <c r="A3000" s="10"/>
      <c r="B3000" s="10"/>
      <c r="E3000" s="10"/>
      <c r="G3000" s="10"/>
      <c r="I3000" s="436" t="s">
        <v>3197</v>
      </c>
      <c r="J3000" s="26" t="s">
        <v>3196</v>
      </c>
      <c r="K3000" s="10">
        <v>10</v>
      </c>
      <c r="L3000" s="73">
        <f>IF(Tank1!$C$23="No control",(SUMIF(Tank1!$B$32:$B$49,$J3000,Tank1!$C$32:$C$49)*Impacts!$F$8),0)</f>
        <v>0</v>
      </c>
      <c r="M3000" s="10">
        <f>IF(Tank2!$C$23="No control",(SUMIF(Tank2!$B$32:$B$49,$J3000,Tank2!$C$32:$C$49)*Impacts!$F$9),0)</f>
        <v>0</v>
      </c>
      <c r="N3000" s="10">
        <f>IF(Tank3!$C$23="No control",(SUMIF(Tank3!$B$32:$B$49,$J3000,Tank3!$C$32:$C$49)*Impacts!$F$10),0)</f>
        <v>0</v>
      </c>
      <c r="O3000" s="10">
        <f>IF(Tank4!$C$23="No control",(SUMIF(Tank4!$B$32:$B$49,$J3000,Tank4!$C$32:$C$49)*Impacts!$F$11),0)</f>
        <v>0</v>
      </c>
      <c r="P3000" s="10">
        <f>IF(Tank5!$C$23="No control",(SUMIF(Tank5!$B$32:$B$49,$J3000,Tank5!$C$32:$C$49)*Impacts!$F$12),0)</f>
        <v>0</v>
      </c>
      <c r="Q3000" s="10">
        <f>IFERROR(IF(('Loading-drum,tote'!$C$21)="No control",SUMIF(('Loading-drum,tote'!$B$31:$B$48),$J3000,('Loading-drum,tote'!$D$31:$D$48))*Impacts!$F$13,IF(('Loading-drum,tote'!$C$21)&lt;&gt;"No control",SUMIF(('Loading-drum,tote'!$B$31:$B$48),$J3000,('Loading-drum,tote'!$E$31:$E$48))*Impacts!$F$13,0)),0)</f>
        <v>0</v>
      </c>
      <c r="R3000" s="10">
        <f>IFERROR(IF(('Loading-truck'!$C$21)="No control",SUMIF(('Loading-truck'!$B$31:$B$48),$J3000,('Loading-truck'!$D$31:$D$48))*Impacts!$F$14,IF(('Loading-truck'!$C$21)&lt;&gt;"No control",SUMIF(('Loading-truck'!$B$31:$B$48),$J3000,('Loading-truck'!$E$31:$E$48))*Impacts!$F$14,0)),0)</f>
        <v>0</v>
      </c>
      <c r="S3000" s="10">
        <f>IFERROR(IF(('Loading-rail'!$C$21)="No control",SUMIF(('Loading-rail'!$B$31:$B$48),$J3000,('Loading-rail'!$D$31:$D$48))*Impacts!$F$15,IF(('Loading-rail'!$C$21)&lt;&gt;"No control",SUMIF(('Loading-rail'!$B$31:$B$48),$J3000,('Loading-rail'!$E$31:$E$48))*Impacts!$F$15,0)),0)</f>
        <v>0</v>
      </c>
      <c r="T3000" s="10">
        <f>IF(Flare!$C$7="",0,(SUMIF(Flare!$B$46:$B$185,$J3000,Flare!$E$46:$E$185)*Impacts!$F$16))</f>
        <v>0</v>
      </c>
      <c r="U3000" s="10">
        <f>IF(VCU!$C$9="",0,(SUMIF(VCU!$B$51:$B$193,$J3000,VCU!$E$51:$E$193)*Impacts!$F$17))</f>
        <v>0</v>
      </c>
      <c r="V3000" s="10">
        <f>IF(CAS!$C$7="",0,(SUMIF(CAS!$B$31:$B$167,$J3000,CAS!$E$31:$E$167)*Impacts!$F$18))</f>
        <v>0</v>
      </c>
      <c r="W3000" s="10">
        <f t="shared" si="87"/>
        <v>0</v>
      </c>
      <c r="AK3000" s="10" t="str">
        <f t="array" ref="AK3000">IFERROR(INDEX(SelectedSpecies,SMALL(IF(SelectedSpecies=AK$1,ROW(SelectedSpecies)),ROW(3001:3001)),2),"")</f>
        <v/>
      </c>
      <c r="BE3000" s="10"/>
      <c r="BI3000" s="10"/>
    </row>
    <row r="3001" spans="1:61" ht="21" customHeight="1" x14ac:dyDescent="0.25">
      <c r="A3001" s="10"/>
      <c r="B3001" s="10"/>
      <c r="E3001" s="10"/>
      <c r="G3001" s="10"/>
      <c r="I3001" s="436" t="s">
        <v>3199</v>
      </c>
      <c r="J3001" s="26" t="s">
        <v>3198</v>
      </c>
      <c r="K3001" s="10">
        <v>10</v>
      </c>
      <c r="L3001" s="73">
        <f>IF(Tank1!$C$23="No control",(SUMIF(Tank1!$B$32:$B$49,$J3001,Tank1!$C$32:$C$49)*Impacts!$F$8),0)</f>
        <v>0</v>
      </c>
      <c r="M3001" s="10">
        <f>IF(Tank2!$C$23="No control",(SUMIF(Tank2!$B$32:$B$49,$J3001,Tank2!$C$32:$C$49)*Impacts!$F$9),0)</f>
        <v>0</v>
      </c>
      <c r="N3001" s="10">
        <f>IF(Tank3!$C$23="No control",(SUMIF(Tank3!$B$32:$B$49,$J3001,Tank3!$C$32:$C$49)*Impacts!$F$10),0)</f>
        <v>0</v>
      </c>
      <c r="O3001" s="10">
        <f>IF(Tank4!$C$23="No control",(SUMIF(Tank4!$B$32:$B$49,$J3001,Tank4!$C$32:$C$49)*Impacts!$F$11),0)</f>
        <v>0</v>
      </c>
      <c r="P3001" s="10">
        <f>IF(Tank5!$C$23="No control",(SUMIF(Tank5!$B$32:$B$49,$J3001,Tank5!$C$32:$C$49)*Impacts!$F$12),0)</f>
        <v>0</v>
      </c>
      <c r="Q3001" s="10">
        <f>IFERROR(IF(('Loading-drum,tote'!$C$21)="No control",SUMIF(('Loading-drum,tote'!$B$31:$B$48),$J3001,('Loading-drum,tote'!$D$31:$D$48))*Impacts!$F$13,IF(('Loading-drum,tote'!$C$21)&lt;&gt;"No control",SUMIF(('Loading-drum,tote'!$B$31:$B$48),$J3001,('Loading-drum,tote'!$E$31:$E$48))*Impacts!$F$13,0)),0)</f>
        <v>0</v>
      </c>
      <c r="R3001" s="10">
        <f>IFERROR(IF(('Loading-truck'!$C$21)="No control",SUMIF(('Loading-truck'!$B$31:$B$48),$J3001,('Loading-truck'!$D$31:$D$48))*Impacts!$F$14,IF(('Loading-truck'!$C$21)&lt;&gt;"No control",SUMIF(('Loading-truck'!$B$31:$B$48),$J3001,('Loading-truck'!$E$31:$E$48))*Impacts!$F$14,0)),0)</f>
        <v>0</v>
      </c>
      <c r="S3001" s="10">
        <f>IFERROR(IF(('Loading-rail'!$C$21)="No control",SUMIF(('Loading-rail'!$B$31:$B$48),$J3001,('Loading-rail'!$D$31:$D$48))*Impacts!$F$15,IF(('Loading-rail'!$C$21)&lt;&gt;"No control",SUMIF(('Loading-rail'!$B$31:$B$48),$J3001,('Loading-rail'!$E$31:$E$48))*Impacts!$F$15,0)),0)</f>
        <v>0</v>
      </c>
      <c r="T3001" s="10">
        <f>IF(Flare!$C$7="",0,(SUMIF(Flare!$B$46:$B$185,$J3001,Flare!$E$46:$E$185)*Impacts!$F$16))</f>
        <v>0</v>
      </c>
      <c r="U3001" s="10">
        <f>IF(VCU!$C$9="",0,(SUMIF(VCU!$B$51:$B$193,$J3001,VCU!$E$51:$E$193)*Impacts!$F$17))</f>
        <v>0</v>
      </c>
      <c r="V3001" s="10">
        <f>IF(CAS!$C$7="",0,(SUMIF(CAS!$B$31:$B$167,$J3001,CAS!$E$31:$E$167)*Impacts!$F$18))</f>
        <v>0</v>
      </c>
      <c r="W3001" s="10">
        <f t="shared" si="87"/>
        <v>0</v>
      </c>
      <c r="AK3001" s="10" t="str">
        <f t="array" ref="AK3001">IFERROR(INDEX(SelectedSpecies,SMALL(IF(SelectedSpecies=AK$1,ROW(SelectedSpecies)),ROW(3002:3002)),2),"")</f>
        <v/>
      </c>
      <c r="BE3001" s="10"/>
      <c r="BI3001" s="10"/>
    </row>
    <row r="3002" spans="1:61" ht="21" customHeight="1" x14ac:dyDescent="0.25">
      <c r="A3002" s="10"/>
      <c r="B3002" s="10"/>
      <c r="E3002" s="10"/>
      <c r="G3002" s="10"/>
      <c r="I3002" s="436" t="s">
        <v>1132</v>
      </c>
      <c r="J3002" s="26" t="s">
        <v>1131</v>
      </c>
      <c r="K3002" s="10">
        <v>35</v>
      </c>
      <c r="L3002" s="73">
        <f>IF(Tank1!$C$23="No control",(SUMIF(Tank1!$B$32:$B$49,$J3002,Tank1!$C$32:$C$49)*Impacts!$F$8),0)</f>
        <v>0</v>
      </c>
      <c r="M3002" s="10">
        <f>IF(Tank2!$C$23="No control",(SUMIF(Tank2!$B$32:$B$49,$J3002,Tank2!$C$32:$C$49)*Impacts!$F$9),0)</f>
        <v>0</v>
      </c>
      <c r="N3002" s="10">
        <f>IF(Tank3!$C$23="No control",(SUMIF(Tank3!$B$32:$B$49,$J3002,Tank3!$C$32:$C$49)*Impacts!$F$10),0)</f>
        <v>0</v>
      </c>
      <c r="O3002" s="10">
        <f>IF(Tank4!$C$23="No control",(SUMIF(Tank4!$B$32:$B$49,$J3002,Tank4!$C$32:$C$49)*Impacts!$F$11),0)</f>
        <v>0</v>
      </c>
      <c r="P3002" s="10">
        <f>IF(Tank5!$C$23="No control",(SUMIF(Tank5!$B$32:$B$49,$J3002,Tank5!$C$32:$C$49)*Impacts!$F$12),0)</f>
        <v>0</v>
      </c>
      <c r="Q3002" s="10">
        <f>IFERROR(IF(('Loading-drum,tote'!$C$21)="No control",SUMIF(('Loading-drum,tote'!$B$31:$B$48),$J3002,('Loading-drum,tote'!$D$31:$D$48))*Impacts!$F$13,IF(('Loading-drum,tote'!$C$21)&lt;&gt;"No control",SUMIF(('Loading-drum,tote'!$B$31:$B$48),$J3002,('Loading-drum,tote'!$E$31:$E$48))*Impacts!$F$13,0)),0)</f>
        <v>0</v>
      </c>
      <c r="R3002" s="10">
        <f>IFERROR(IF(('Loading-truck'!$C$21)="No control",SUMIF(('Loading-truck'!$B$31:$B$48),$J3002,('Loading-truck'!$D$31:$D$48))*Impacts!$F$14,IF(('Loading-truck'!$C$21)&lt;&gt;"No control",SUMIF(('Loading-truck'!$B$31:$B$48),$J3002,('Loading-truck'!$E$31:$E$48))*Impacts!$F$14,0)),0)</f>
        <v>0</v>
      </c>
      <c r="S3002" s="10">
        <f>IFERROR(IF(('Loading-rail'!$C$21)="No control",SUMIF(('Loading-rail'!$B$31:$B$48),$J3002,('Loading-rail'!$D$31:$D$48))*Impacts!$F$15,IF(('Loading-rail'!$C$21)&lt;&gt;"No control",SUMIF(('Loading-rail'!$B$31:$B$48),$J3002,('Loading-rail'!$E$31:$E$48))*Impacts!$F$15,0)),0)</f>
        <v>0</v>
      </c>
      <c r="T3002" s="10">
        <f>IF(Flare!$C$7="",0,(SUMIF(Flare!$B$46:$B$185,$J3002,Flare!$E$46:$E$185)*Impacts!$F$16))</f>
        <v>0</v>
      </c>
      <c r="U3002" s="10">
        <f>IF(VCU!$C$9="",0,(SUMIF(VCU!$B$51:$B$193,$J3002,VCU!$E$51:$E$193)*Impacts!$F$17))</f>
        <v>0</v>
      </c>
      <c r="V3002" s="10">
        <f>IF(CAS!$C$7="",0,(SUMIF(CAS!$B$31:$B$167,$J3002,CAS!$E$31:$E$167)*Impacts!$F$18))</f>
        <v>0</v>
      </c>
      <c r="W3002" s="10">
        <f t="shared" si="87"/>
        <v>0</v>
      </c>
      <c r="AK3002" s="10" t="str">
        <f t="array" ref="AK3002">IFERROR(INDEX(SelectedSpecies,SMALL(IF(SelectedSpecies=AK$1,ROW(SelectedSpecies)),ROW(3003:3003)),2),"")</f>
        <v/>
      </c>
      <c r="BE3002" s="10"/>
      <c r="BI3002" s="10"/>
    </row>
    <row r="3003" spans="1:61" ht="21" customHeight="1" x14ac:dyDescent="0.25">
      <c r="A3003" s="10"/>
      <c r="B3003" s="10"/>
      <c r="E3003" s="10"/>
      <c r="G3003" s="10"/>
      <c r="I3003" s="436" t="s">
        <v>1134</v>
      </c>
      <c r="J3003" s="26" t="s">
        <v>1133</v>
      </c>
      <c r="K3003" s="10">
        <v>35</v>
      </c>
      <c r="L3003" s="73">
        <f>IF(Tank1!$C$23="No control",(SUMIF(Tank1!$B$32:$B$49,$J3003,Tank1!$C$32:$C$49)*Impacts!$F$8),0)</f>
        <v>0</v>
      </c>
      <c r="M3003" s="10">
        <f>IF(Tank2!$C$23="No control",(SUMIF(Tank2!$B$32:$B$49,$J3003,Tank2!$C$32:$C$49)*Impacts!$F$9),0)</f>
        <v>0</v>
      </c>
      <c r="N3003" s="10">
        <f>IF(Tank3!$C$23="No control",(SUMIF(Tank3!$B$32:$B$49,$J3003,Tank3!$C$32:$C$49)*Impacts!$F$10),0)</f>
        <v>0</v>
      </c>
      <c r="O3003" s="10">
        <f>IF(Tank4!$C$23="No control",(SUMIF(Tank4!$B$32:$B$49,$J3003,Tank4!$C$32:$C$49)*Impacts!$F$11),0)</f>
        <v>0</v>
      </c>
      <c r="P3003" s="10">
        <f>IF(Tank5!$C$23="No control",(SUMIF(Tank5!$B$32:$B$49,$J3003,Tank5!$C$32:$C$49)*Impacts!$F$12),0)</f>
        <v>0</v>
      </c>
      <c r="Q3003" s="10">
        <f>IFERROR(IF(('Loading-drum,tote'!$C$21)="No control",SUMIF(('Loading-drum,tote'!$B$31:$B$48),$J3003,('Loading-drum,tote'!$D$31:$D$48))*Impacts!$F$13,IF(('Loading-drum,tote'!$C$21)&lt;&gt;"No control",SUMIF(('Loading-drum,tote'!$B$31:$B$48),$J3003,('Loading-drum,tote'!$E$31:$E$48))*Impacts!$F$13,0)),0)</f>
        <v>0</v>
      </c>
      <c r="R3003" s="10">
        <f>IFERROR(IF(('Loading-truck'!$C$21)="No control",SUMIF(('Loading-truck'!$B$31:$B$48),$J3003,('Loading-truck'!$D$31:$D$48))*Impacts!$F$14,IF(('Loading-truck'!$C$21)&lt;&gt;"No control",SUMIF(('Loading-truck'!$B$31:$B$48),$J3003,('Loading-truck'!$E$31:$E$48))*Impacts!$F$14,0)),0)</f>
        <v>0</v>
      </c>
      <c r="S3003" s="10">
        <f>IFERROR(IF(('Loading-rail'!$C$21)="No control",SUMIF(('Loading-rail'!$B$31:$B$48),$J3003,('Loading-rail'!$D$31:$D$48))*Impacts!$F$15,IF(('Loading-rail'!$C$21)&lt;&gt;"No control",SUMIF(('Loading-rail'!$B$31:$B$48),$J3003,('Loading-rail'!$E$31:$E$48))*Impacts!$F$15,0)),0)</f>
        <v>0</v>
      </c>
      <c r="T3003" s="10">
        <f>IF(Flare!$C$7="",0,(SUMIF(Flare!$B$46:$B$185,$J3003,Flare!$E$46:$E$185)*Impacts!$F$16))</f>
        <v>0</v>
      </c>
      <c r="U3003" s="10">
        <f>IF(VCU!$C$9="",0,(SUMIF(VCU!$B$51:$B$193,$J3003,VCU!$E$51:$E$193)*Impacts!$F$17))</f>
        <v>0</v>
      </c>
      <c r="V3003" s="10">
        <f>IF(CAS!$C$7="",0,(SUMIF(CAS!$B$31:$B$167,$J3003,CAS!$E$31:$E$167)*Impacts!$F$18))</f>
        <v>0</v>
      </c>
      <c r="W3003" s="10">
        <f t="shared" si="87"/>
        <v>0</v>
      </c>
      <c r="AK3003" s="10" t="str">
        <f t="array" ref="AK3003">IFERROR(INDEX(SelectedSpecies,SMALL(IF(SelectedSpecies=AK$1,ROW(SelectedSpecies)),ROW(3004:3004)),2),"")</f>
        <v/>
      </c>
      <c r="BE3003" s="10"/>
      <c r="BI3003" s="10"/>
    </row>
    <row r="3004" spans="1:61" ht="21" customHeight="1" x14ac:dyDescent="0.25">
      <c r="A3004" s="10"/>
      <c r="B3004" s="10"/>
      <c r="E3004" s="10"/>
      <c r="G3004" s="10"/>
      <c r="I3004" s="436" t="s">
        <v>3201</v>
      </c>
      <c r="J3004" s="26" t="s">
        <v>3200</v>
      </c>
      <c r="K3004" s="10">
        <v>10</v>
      </c>
      <c r="L3004" s="73">
        <f>IF(Tank1!$C$23="No control",(SUMIF(Tank1!$B$32:$B$49,$J3004,Tank1!$C$32:$C$49)*Impacts!$F$8),0)</f>
        <v>0</v>
      </c>
      <c r="M3004" s="10">
        <f>IF(Tank2!$C$23="No control",(SUMIF(Tank2!$B$32:$B$49,$J3004,Tank2!$C$32:$C$49)*Impacts!$F$9),0)</f>
        <v>0</v>
      </c>
      <c r="N3004" s="10">
        <f>IF(Tank3!$C$23="No control",(SUMIF(Tank3!$B$32:$B$49,$J3004,Tank3!$C$32:$C$49)*Impacts!$F$10),0)</f>
        <v>0</v>
      </c>
      <c r="O3004" s="10">
        <f>IF(Tank4!$C$23="No control",(SUMIF(Tank4!$B$32:$B$49,$J3004,Tank4!$C$32:$C$49)*Impacts!$F$11),0)</f>
        <v>0</v>
      </c>
      <c r="P3004" s="10">
        <f>IF(Tank5!$C$23="No control",(SUMIF(Tank5!$B$32:$B$49,$J3004,Tank5!$C$32:$C$49)*Impacts!$F$12),0)</f>
        <v>0</v>
      </c>
      <c r="Q3004" s="10">
        <f>IFERROR(IF(('Loading-drum,tote'!$C$21)="No control",SUMIF(('Loading-drum,tote'!$B$31:$B$48),$J3004,('Loading-drum,tote'!$D$31:$D$48))*Impacts!$F$13,IF(('Loading-drum,tote'!$C$21)&lt;&gt;"No control",SUMIF(('Loading-drum,tote'!$B$31:$B$48),$J3004,('Loading-drum,tote'!$E$31:$E$48))*Impacts!$F$13,0)),0)</f>
        <v>0</v>
      </c>
      <c r="R3004" s="10">
        <f>IFERROR(IF(('Loading-truck'!$C$21)="No control",SUMIF(('Loading-truck'!$B$31:$B$48),$J3004,('Loading-truck'!$D$31:$D$48))*Impacts!$F$14,IF(('Loading-truck'!$C$21)&lt;&gt;"No control",SUMIF(('Loading-truck'!$B$31:$B$48),$J3004,('Loading-truck'!$E$31:$E$48))*Impacts!$F$14,0)),0)</f>
        <v>0</v>
      </c>
      <c r="S3004" s="10">
        <f>IFERROR(IF(('Loading-rail'!$C$21)="No control",SUMIF(('Loading-rail'!$B$31:$B$48),$J3004,('Loading-rail'!$D$31:$D$48))*Impacts!$F$15,IF(('Loading-rail'!$C$21)&lt;&gt;"No control",SUMIF(('Loading-rail'!$B$31:$B$48),$J3004,('Loading-rail'!$E$31:$E$48))*Impacts!$F$15,0)),0)</f>
        <v>0</v>
      </c>
      <c r="T3004" s="10">
        <f>IF(Flare!$C$7="",0,(SUMIF(Flare!$B$46:$B$185,$J3004,Flare!$E$46:$E$185)*Impacts!$F$16))</f>
        <v>0</v>
      </c>
      <c r="U3004" s="10">
        <f>IF(VCU!$C$9="",0,(SUMIF(VCU!$B$51:$B$193,$J3004,VCU!$E$51:$E$193)*Impacts!$F$17))</f>
        <v>0</v>
      </c>
      <c r="V3004" s="10">
        <f>IF(CAS!$C$7="",0,(SUMIF(CAS!$B$31:$B$167,$J3004,CAS!$E$31:$E$167)*Impacts!$F$18))</f>
        <v>0</v>
      </c>
      <c r="W3004" s="10">
        <f t="shared" si="87"/>
        <v>0</v>
      </c>
      <c r="AK3004" s="10" t="str">
        <f t="array" ref="AK3004">IFERROR(INDEX(SelectedSpecies,SMALL(IF(SelectedSpecies=AK$1,ROW(SelectedSpecies)),ROW(3005:3005)),2),"")</f>
        <v/>
      </c>
      <c r="BE3004" s="10"/>
      <c r="BI3004" s="10"/>
    </row>
    <row r="3005" spans="1:61" ht="21" customHeight="1" x14ac:dyDescent="0.25">
      <c r="A3005" s="10"/>
      <c r="B3005" s="10"/>
      <c r="E3005" s="10"/>
      <c r="G3005" s="10"/>
      <c r="I3005" s="436" t="s">
        <v>3203</v>
      </c>
      <c r="J3005" s="26" t="s">
        <v>3202</v>
      </c>
      <c r="K3005" s="10">
        <v>10</v>
      </c>
      <c r="L3005" s="73">
        <f>IF(Tank1!$C$23="No control",(SUMIF(Tank1!$B$32:$B$49,$J3005,Tank1!$C$32:$C$49)*Impacts!$F$8),0)</f>
        <v>0</v>
      </c>
      <c r="M3005" s="10">
        <f>IF(Tank2!$C$23="No control",(SUMIF(Tank2!$B$32:$B$49,$J3005,Tank2!$C$32:$C$49)*Impacts!$F$9),0)</f>
        <v>0</v>
      </c>
      <c r="N3005" s="10">
        <f>IF(Tank3!$C$23="No control",(SUMIF(Tank3!$B$32:$B$49,$J3005,Tank3!$C$32:$C$49)*Impacts!$F$10),0)</f>
        <v>0</v>
      </c>
      <c r="O3005" s="10">
        <f>IF(Tank4!$C$23="No control",(SUMIF(Tank4!$B$32:$B$49,$J3005,Tank4!$C$32:$C$49)*Impacts!$F$11),0)</f>
        <v>0</v>
      </c>
      <c r="P3005" s="10">
        <f>IF(Tank5!$C$23="No control",(SUMIF(Tank5!$B$32:$B$49,$J3005,Tank5!$C$32:$C$49)*Impacts!$F$12),0)</f>
        <v>0</v>
      </c>
      <c r="Q3005" s="10">
        <f>IFERROR(IF(('Loading-drum,tote'!$C$21)="No control",SUMIF(('Loading-drum,tote'!$B$31:$B$48),$J3005,('Loading-drum,tote'!$D$31:$D$48))*Impacts!$F$13,IF(('Loading-drum,tote'!$C$21)&lt;&gt;"No control",SUMIF(('Loading-drum,tote'!$B$31:$B$48),$J3005,('Loading-drum,tote'!$E$31:$E$48))*Impacts!$F$13,0)),0)</f>
        <v>0</v>
      </c>
      <c r="R3005" s="10">
        <f>IFERROR(IF(('Loading-truck'!$C$21)="No control",SUMIF(('Loading-truck'!$B$31:$B$48),$J3005,('Loading-truck'!$D$31:$D$48))*Impacts!$F$14,IF(('Loading-truck'!$C$21)&lt;&gt;"No control",SUMIF(('Loading-truck'!$B$31:$B$48),$J3005,('Loading-truck'!$E$31:$E$48))*Impacts!$F$14,0)),0)</f>
        <v>0</v>
      </c>
      <c r="S3005" s="10">
        <f>IFERROR(IF(('Loading-rail'!$C$21)="No control",SUMIF(('Loading-rail'!$B$31:$B$48),$J3005,('Loading-rail'!$D$31:$D$48))*Impacts!$F$15,IF(('Loading-rail'!$C$21)&lt;&gt;"No control",SUMIF(('Loading-rail'!$B$31:$B$48),$J3005,('Loading-rail'!$E$31:$E$48))*Impacts!$F$15,0)),0)</f>
        <v>0</v>
      </c>
      <c r="T3005" s="10">
        <f>IF(Flare!$C$7="",0,(SUMIF(Flare!$B$46:$B$185,$J3005,Flare!$E$46:$E$185)*Impacts!$F$16))</f>
        <v>0</v>
      </c>
      <c r="U3005" s="10">
        <f>IF(VCU!$C$9="",0,(SUMIF(VCU!$B$51:$B$193,$J3005,VCU!$E$51:$E$193)*Impacts!$F$17))</f>
        <v>0</v>
      </c>
      <c r="V3005" s="10">
        <f>IF(CAS!$C$7="",0,(SUMIF(CAS!$B$31:$B$167,$J3005,CAS!$E$31:$E$167)*Impacts!$F$18))</f>
        <v>0</v>
      </c>
      <c r="W3005" s="10">
        <f t="shared" si="87"/>
        <v>0</v>
      </c>
      <c r="AK3005" s="10" t="str">
        <f t="array" ref="AK3005">IFERROR(INDEX(SelectedSpecies,SMALL(IF(SelectedSpecies=AK$1,ROW(SelectedSpecies)),ROW(3006:3006)),2),"")</f>
        <v/>
      </c>
      <c r="BE3005" s="10"/>
      <c r="BI3005" s="10"/>
    </row>
    <row r="3006" spans="1:61" ht="21" customHeight="1" x14ac:dyDescent="0.25">
      <c r="A3006" s="10"/>
      <c r="B3006" s="10"/>
      <c r="E3006" s="10"/>
      <c r="G3006" s="10"/>
      <c r="I3006" s="436" t="s">
        <v>427</v>
      </c>
      <c r="J3006" s="26" t="s">
        <v>426</v>
      </c>
      <c r="K3006" s="10">
        <v>180</v>
      </c>
      <c r="L3006" s="73">
        <f>IF(Tank1!$C$23="No control",(SUMIF(Tank1!$B$32:$B$49,$J3006,Tank1!$C$32:$C$49)*Impacts!$F$8),0)</f>
        <v>0</v>
      </c>
      <c r="M3006" s="10">
        <f>IF(Tank2!$C$23="No control",(SUMIF(Tank2!$B$32:$B$49,$J3006,Tank2!$C$32:$C$49)*Impacts!$F$9),0)</f>
        <v>0</v>
      </c>
      <c r="N3006" s="10">
        <f>IF(Tank3!$C$23="No control",(SUMIF(Tank3!$B$32:$B$49,$J3006,Tank3!$C$32:$C$49)*Impacts!$F$10),0)</f>
        <v>0</v>
      </c>
      <c r="O3006" s="10">
        <f>IF(Tank4!$C$23="No control",(SUMIF(Tank4!$B$32:$B$49,$J3006,Tank4!$C$32:$C$49)*Impacts!$F$11),0)</f>
        <v>0</v>
      </c>
      <c r="P3006" s="10">
        <f>IF(Tank5!$C$23="No control",(SUMIF(Tank5!$B$32:$B$49,$J3006,Tank5!$C$32:$C$49)*Impacts!$F$12),0)</f>
        <v>0</v>
      </c>
      <c r="Q3006" s="10">
        <f>IFERROR(IF(('Loading-drum,tote'!$C$21)="No control",SUMIF(('Loading-drum,tote'!$B$31:$B$48),$J3006,('Loading-drum,tote'!$D$31:$D$48))*Impacts!$F$13,IF(('Loading-drum,tote'!$C$21)&lt;&gt;"No control",SUMIF(('Loading-drum,tote'!$B$31:$B$48),$J3006,('Loading-drum,tote'!$E$31:$E$48))*Impacts!$F$13,0)),0)</f>
        <v>0</v>
      </c>
      <c r="R3006" s="10">
        <f>IFERROR(IF(('Loading-truck'!$C$21)="No control",SUMIF(('Loading-truck'!$B$31:$B$48),$J3006,('Loading-truck'!$D$31:$D$48))*Impacts!$F$14,IF(('Loading-truck'!$C$21)&lt;&gt;"No control",SUMIF(('Loading-truck'!$B$31:$B$48),$J3006,('Loading-truck'!$E$31:$E$48))*Impacts!$F$14,0)),0)</f>
        <v>0</v>
      </c>
      <c r="S3006" s="10">
        <f>IFERROR(IF(('Loading-rail'!$C$21)="No control",SUMIF(('Loading-rail'!$B$31:$B$48),$J3006,('Loading-rail'!$D$31:$D$48))*Impacts!$F$15,IF(('Loading-rail'!$C$21)&lt;&gt;"No control",SUMIF(('Loading-rail'!$B$31:$B$48),$J3006,('Loading-rail'!$E$31:$E$48))*Impacts!$F$15,0)),0)</f>
        <v>0</v>
      </c>
      <c r="T3006" s="10">
        <f>IF(Flare!$C$7="",0,(SUMIF(Flare!$B$46:$B$185,$J3006,Flare!$E$46:$E$185)*Impacts!$F$16))</f>
        <v>0</v>
      </c>
      <c r="U3006" s="10">
        <f>IF(VCU!$C$9="",0,(SUMIF(VCU!$B$51:$B$193,$J3006,VCU!$E$51:$E$193)*Impacts!$F$17))</f>
        <v>0</v>
      </c>
      <c r="V3006" s="10">
        <f>IF(CAS!$C$7="",0,(SUMIF(CAS!$B$31:$B$167,$J3006,CAS!$E$31:$E$167)*Impacts!$F$18))</f>
        <v>0</v>
      </c>
      <c r="W3006" s="10">
        <f t="shared" si="87"/>
        <v>0</v>
      </c>
      <c r="AK3006" s="10" t="str">
        <f t="array" ref="AK3006">IFERROR(INDEX(SelectedSpecies,SMALL(IF(SelectedSpecies=AK$1,ROW(SelectedSpecies)),ROW(3007:3007)),2),"")</f>
        <v/>
      </c>
      <c r="BE3006" s="10"/>
      <c r="BI3006" s="10"/>
    </row>
    <row r="3007" spans="1:61" ht="21" customHeight="1" x14ac:dyDescent="0.25">
      <c r="A3007" s="10"/>
      <c r="B3007" s="10"/>
      <c r="E3007" s="10"/>
      <c r="G3007" s="10"/>
      <c r="I3007" s="436" t="s">
        <v>1136</v>
      </c>
      <c r="J3007" s="26" t="s">
        <v>1135</v>
      </c>
      <c r="K3007" s="10">
        <v>35</v>
      </c>
      <c r="L3007" s="73">
        <f>IF(Tank1!$C$23="No control",(SUMIF(Tank1!$B$32:$B$49,$J3007,Tank1!$C$32:$C$49)*Impacts!$F$8),0)</f>
        <v>0</v>
      </c>
      <c r="M3007" s="10">
        <f>IF(Tank2!$C$23="No control",(SUMIF(Tank2!$B$32:$B$49,$J3007,Tank2!$C$32:$C$49)*Impacts!$F$9),0)</f>
        <v>0</v>
      </c>
      <c r="N3007" s="10">
        <f>IF(Tank3!$C$23="No control",(SUMIF(Tank3!$B$32:$B$49,$J3007,Tank3!$C$32:$C$49)*Impacts!$F$10),0)</f>
        <v>0</v>
      </c>
      <c r="O3007" s="10">
        <f>IF(Tank4!$C$23="No control",(SUMIF(Tank4!$B$32:$B$49,$J3007,Tank4!$C$32:$C$49)*Impacts!$F$11),0)</f>
        <v>0</v>
      </c>
      <c r="P3007" s="10">
        <f>IF(Tank5!$C$23="No control",(SUMIF(Tank5!$B$32:$B$49,$J3007,Tank5!$C$32:$C$49)*Impacts!$F$12),0)</f>
        <v>0</v>
      </c>
      <c r="Q3007" s="10">
        <f>IFERROR(IF(('Loading-drum,tote'!$C$21)="No control",SUMIF(('Loading-drum,tote'!$B$31:$B$48),$J3007,('Loading-drum,tote'!$D$31:$D$48))*Impacts!$F$13,IF(('Loading-drum,tote'!$C$21)&lt;&gt;"No control",SUMIF(('Loading-drum,tote'!$B$31:$B$48),$J3007,('Loading-drum,tote'!$E$31:$E$48))*Impacts!$F$13,0)),0)</f>
        <v>0</v>
      </c>
      <c r="R3007" s="10">
        <f>IFERROR(IF(('Loading-truck'!$C$21)="No control",SUMIF(('Loading-truck'!$B$31:$B$48),$J3007,('Loading-truck'!$D$31:$D$48))*Impacts!$F$14,IF(('Loading-truck'!$C$21)&lt;&gt;"No control",SUMIF(('Loading-truck'!$B$31:$B$48),$J3007,('Loading-truck'!$E$31:$E$48))*Impacts!$F$14,0)),0)</f>
        <v>0</v>
      </c>
      <c r="S3007" s="10">
        <f>IFERROR(IF(('Loading-rail'!$C$21)="No control",SUMIF(('Loading-rail'!$B$31:$B$48),$J3007,('Loading-rail'!$D$31:$D$48))*Impacts!$F$15,IF(('Loading-rail'!$C$21)&lt;&gt;"No control",SUMIF(('Loading-rail'!$B$31:$B$48),$J3007,('Loading-rail'!$E$31:$E$48))*Impacts!$F$15,0)),0)</f>
        <v>0</v>
      </c>
      <c r="T3007" s="10">
        <f>IF(Flare!$C$7="",0,(SUMIF(Flare!$B$46:$B$185,$J3007,Flare!$E$46:$E$185)*Impacts!$F$16))</f>
        <v>0</v>
      </c>
      <c r="U3007" s="10">
        <f>IF(VCU!$C$9="",0,(SUMIF(VCU!$B$51:$B$193,$J3007,VCU!$E$51:$E$193)*Impacts!$F$17))</f>
        <v>0</v>
      </c>
      <c r="V3007" s="10">
        <f>IF(CAS!$C$7="",0,(SUMIF(CAS!$B$31:$B$167,$J3007,CAS!$E$31:$E$167)*Impacts!$F$18))</f>
        <v>0</v>
      </c>
      <c r="W3007" s="10">
        <f t="shared" si="87"/>
        <v>0</v>
      </c>
      <c r="AK3007" s="10" t="str">
        <f t="array" ref="AK3007">IFERROR(INDEX(SelectedSpecies,SMALL(IF(SelectedSpecies=AK$1,ROW(SelectedSpecies)),ROW(3008:3008)),2),"")</f>
        <v/>
      </c>
      <c r="BE3007" s="10"/>
      <c r="BI3007" s="10"/>
    </row>
    <row r="3008" spans="1:61" ht="21" customHeight="1" x14ac:dyDescent="0.25">
      <c r="A3008" s="10"/>
      <c r="B3008" s="10"/>
      <c r="E3008" s="10"/>
      <c r="G3008" s="10"/>
      <c r="I3008" s="436" t="s">
        <v>2581</v>
      </c>
      <c r="J3008" s="26" t="s">
        <v>2580</v>
      </c>
      <c r="K3008" s="10">
        <v>10</v>
      </c>
      <c r="L3008" s="73">
        <f>IF(Tank1!$C$23="No control",(SUMIF(Tank1!$B$32:$B$49,$J3008,Tank1!$C$32:$C$49)*Impacts!$F$8),0)</f>
        <v>0</v>
      </c>
      <c r="M3008" s="10">
        <f>IF(Tank2!$C$23="No control",(SUMIF(Tank2!$B$32:$B$49,$J3008,Tank2!$C$32:$C$49)*Impacts!$F$9),0)</f>
        <v>0</v>
      </c>
      <c r="N3008" s="10">
        <f>IF(Tank3!$C$23="No control",(SUMIF(Tank3!$B$32:$B$49,$J3008,Tank3!$C$32:$C$49)*Impacts!$F$10),0)</f>
        <v>0</v>
      </c>
      <c r="O3008" s="10">
        <f>IF(Tank4!$C$23="No control",(SUMIF(Tank4!$B$32:$B$49,$J3008,Tank4!$C$32:$C$49)*Impacts!$F$11),0)</f>
        <v>0</v>
      </c>
      <c r="P3008" s="10">
        <f>IF(Tank5!$C$23="No control",(SUMIF(Tank5!$B$32:$B$49,$J3008,Tank5!$C$32:$C$49)*Impacts!$F$12),0)</f>
        <v>0</v>
      </c>
      <c r="Q3008" s="10">
        <f>IFERROR(IF(('Loading-drum,tote'!$C$21)="No control",SUMIF(('Loading-drum,tote'!$B$31:$B$48),$J3008,('Loading-drum,tote'!$D$31:$D$48))*Impacts!$F$13,IF(('Loading-drum,tote'!$C$21)&lt;&gt;"No control",SUMIF(('Loading-drum,tote'!$B$31:$B$48),$J3008,('Loading-drum,tote'!$E$31:$E$48))*Impacts!$F$13,0)),0)</f>
        <v>0</v>
      </c>
      <c r="R3008" s="10">
        <f>IFERROR(IF(('Loading-truck'!$C$21)="No control",SUMIF(('Loading-truck'!$B$31:$B$48),$J3008,('Loading-truck'!$D$31:$D$48))*Impacts!$F$14,IF(('Loading-truck'!$C$21)&lt;&gt;"No control",SUMIF(('Loading-truck'!$B$31:$B$48),$J3008,('Loading-truck'!$E$31:$E$48))*Impacts!$F$14,0)),0)</f>
        <v>0</v>
      </c>
      <c r="S3008" s="10">
        <f>IFERROR(IF(('Loading-rail'!$C$21)="No control",SUMIF(('Loading-rail'!$B$31:$B$48),$J3008,('Loading-rail'!$D$31:$D$48))*Impacts!$F$15,IF(('Loading-rail'!$C$21)&lt;&gt;"No control",SUMIF(('Loading-rail'!$B$31:$B$48),$J3008,('Loading-rail'!$E$31:$E$48))*Impacts!$F$15,0)),0)</f>
        <v>0</v>
      </c>
      <c r="T3008" s="10">
        <f>IF(Flare!$C$7="",0,(SUMIF(Flare!$B$46:$B$185,$J3008,Flare!$E$46:$E$185)*Impacts!$F$16))</f>
        <v>0</v>
      </c>
      <c r="U3008" s="10">
        <f>IF(VCU!$C$9="",0,(SUMIF(VCU!$B$51:$B$193,$J3008,VCU!$E$51:$E$193)*Impacts!$F$17))</f>
        <v>0</v>
      </c>
      <c r="V3008" s="10">
        <f>IF(CAS!$C$7="",0,(SUMIF(CAS!$B$31:$B$167,$J3008,CAS!$E$31:$E$167)*Impacts!$F$18))</f>
        <v>0</v>
      </c>
      <c r="W3008" s="10">
        <f t="shared" si="87"/>
        <v>0</v>
      </c>
      <c r="AK3008" s="10" t="str">
        <f t="array" ref="AK3008">IFERROR(INDEX(SelectedSpecies,SMALL(IF(SelectedSpecies=AK$1,ROW(SelectedSpecies)),ROW(3009:3009)),2),"")</f>
        <v/>
      </c>
      <c r="BE3008" s="10"/>
      <c r="BI3008" s="10"/>
    </row>
    <row r="3009" spans="1:61" ht="21" customHeight="1" x14ac:dyDescent="0.25">
      <c r="A3009" s="10"/>
      <c r="B3009" s="10"/>
      <c r="E3009" s="10"/>
      <c r="G3009" s="10"/>
      <c r="I3009" s="436" t="s">
        <v>4827</v>
      </c>
      <c r="J3009" s="26" t="s">
        <v>4826</v>
      </c>
      <c r="K3009" s="10">
        <v>3</v>
      </c>
      <c r="L3009" s="73">
        <f>IF(Tank1!$C$23="No control",(SUMIF(Tank1!$B$32:$B$49,$J3009,Tank1!$C$32:$C$49)*Impacts!$F$8),0)</f>
        <v>0</v>
      </c>
      <c r="M3009" s="10">
        <f>IF(Tank2!$C$23="No control",(SUMIF(Tank2!$B$32:$B$49,$J3009,Tank2!$C$32:$C$49)*Impacts!$F$9),0)</f>
        <v>0</v>
      </c>
      <c r="N3009" s="10">
        <f>IF(Tank3!$C$23="No control",(SUMIF(Tank3!$B$32:$B$49,$J3009,Tank3!$C$32:$C$49)*Impacts!$F$10),0)</f>
        <v>0</v>
      </c>
      <c r="O3009" s="10">
        <f>IF(Tank4!$C$23="No control",(SUMIF(Tank4!$B$32:$B$49,$J3009,Tank4!$C$32:$C$49)*Impacts!$F$11),0)</f>
        <v>0</v>
      </c>
      <c r="P3009" s="10">
        <f>IF(Tank5!$C$23="No control",(SUMIF(Tank5!$B$32:$B$49,$J3009,Tank5!$C$32:$C$49)*Impacts!$F$12),0)</f>
        <v>0</v>
      </c>
      <c r="Q3009" s="10">
        <f>IFERROR(IF(('Loading-drum,tote'!$C$21)="No control",SUMIF(('Loading-drum,tote'!$B$31:$B$48),$J3009,('Loading-drum,tote'!$D$31:$D$48))*Impacts!$F$13,IF(('Loading-drum,tote'!$C$21)&lt;&gt;"No control",SUMIF(('Loading-drum,tote'!$B$31:$B$48),$J3009,('Loading-drum,tote'!$E$31:$E$48))*Impacts!$F$13,0)),0)</f>
        <v>0</v>
      </c>
      <c r="R3009" s="10">
        <f>IFERROR(IF(('Loading-truck'!$C$21)="No control",SUMIF(('Loading-truck'!$B$31:$B$48),$J3009,('Loading-truck'!$D$31:$D$48))*Impacts!$F$14,IF(('Loading-truck'!$C$21)&lt;&gt;"No control",SUMIF(('Loading-truck'!$B$31:$B$48),$J3009,('Loading-truck'!$E$31:$E$48))*Impacts!$F$14,0)),0)</f>
        <v>0</v>
      </c>
      <c r="S3009" s="10">
        <f>IFERROR(IF(('Loading-rail'!$C$21)="No control",SUMIF(('Loading-rail'!$B$31:$B$48),$J3009,('Loading-rail'!$D$31:$D$48))*Impacts!$F$15,IF(('Loading-rail'!$C$21)&lt;&gt;"No control",SUMIF(('Loading-rail'!$B$31:$B$48),$J3009,('Loading-rail'!$E$31:$E$48))*Impacts!$F$15,0)),0)</f>
        <v>0</v>
      </c>
      <c r="T3009" s="10">
        <f>IF(Flare!$C$7="",0,(SUMIF(Flare!$B$46:$B$185,$J3009,Flare!$E$46:$E$185)*Impacts!$F$16))</f>
        <v>0</v>
      </c>
      <c r="U3009" s="10">
        <f>IF(VCU!$C$9="",0,(SUMIF(VCU!$B$51:$B$193,$J3009,VCU!$E$51:$E$193)*Impacts!$F$17))</f>
        <v>0</v>
      </c>
      <c r="V3009" s="10">
        <f>IF(CAS!$C$7="",0,(SUMIF(CAS!$B$31:$B$167,$J3009,CAS!$E$31:$E$167)*Impacts!$F$18))</f>
        <v>0</v>
      </c>
      <c r="W3009" s="10">
        <f t="shared" si="87"/>
        <v>0</v>
      </c>
      <c r="AK3009" s="10" t="str">
        <f t="array" ref="AK3009">IFERROR(INDEX(SelectedSpecies,SMALL(IF(SelectedSpecies=AK$1,ROW(SelectedSpecies)),ROW(3010:3010)),2),"")</f>
        <v/>
      </c>
      <c r="BE3009" s="10"/>
      <c r="BI3009" s="10"/>
    </row>
    <row r="3010" spans="1:61" ht="21" customHeight="1" x14ac:dyDescent="0.25">
      <c r="A3010" s="10"/>
      <c r="B3010" s="10"/>
      <c r="E3010" s="10"/>
      <c r="G3010" s="10"/>
      <c r="I3010" s="436" t="s">
        <v>3991</v>
      </c>
      <c r="J3010" s="26" t="s">
        <v>3990</v>
      </c>
      <c r="K3010" s="10">
        <v>6</v>
      </c>
      <c r="L3010" s="73">
        <f>IF(Tank1!$C$23="No control",(SUMIF(Tank1!$B$32:$B$49,$J3010,Tank1!$C$32:$C$49)*Impacts!$F$8),0)</f>
        <v>0</v>
      </c>
      <c r="M3010" s="10">
        <f>IF(Tank2!$C$23="No control",(SUMIF(Tank2!$B$32:$B$49,$J3010,Tank2!$C$32:$C$49)*Impacts!$F$9),0)</f>
        <v>0</v>
      </c>
      <c r="N3010" s="10">
        <f>IF(Tank3!$C$23="No control",(SUMIF(Tank3!$B$32:$B$49,$J3010,Tank3!$C$32:$C$49)*Impacts!$F$10),0)</f>
        <v>0</v>
      </c>
      <c r="O3010" s="10">
        <f>IF(Tank4!$C$23="No control",(SUMIF(Tank4!$B$32:$B$49,$J3010,Tank4!$C$32:$C$49)*Impacts!$F$11),0)</f>
        <v>0</v>
      </c>
      <c r="P3010" s="10">
        <f>IF(Tank5!$C$23="No control",(SUMIF(Tank5!$B$32:$B$49,$J3010,Tank5!$C$32:$C$49)*Impacts!$F$12),0)</f>
        <v>0</v>
      </c>
      <c r="Q3010" s="10">
        <f>IFERROR(IF(('Loading-drum,tote'!$C$21)="No control",SUMIF(('Loading-drum,tote'!$B$31:$B$48),$J3010,('Loading-drum,tote'!$D$31:$D$48))*Impacts!$F$13,IF(('Loading-drum,tote'!$C$21)&lt;&gt;"No control",SUMIF(('Loading-drum,tote'!$B$31:$B$48),$J3010,('Loading-drum,tote'!$E$31:$E$48))*Impacts!$F$13,0)),0)</f>
        <v>0</v>
      </c>
      <c r="R3010" s="10">
        <f>IFERROR(IF(('Loading-truck'!$C$21)="No control",SUMIF(('Loading-truck'!$B$31:$B$48),$J3010,('Loading-truck'!$D$31:$D$48))*Impacts!$F$14,IF(('Loading-truck'!$C$21)&lt;&gt;"No control",SUMIF(('Loading-truck'!$B$31:$B$48),$J3010,('Loading-truck'!$E$31:$E$48))*Impacts!$F$14,0)),0)</f>
        <v>0</v>
      </c>
      <c r="S3010" s="10">
        <f>IFERROR(IF(('Loading-rail'!$C$21)="No control",SUMIF(('Loading-rail'!$B$31:$B$48),$J3010,('Loading-rail'!$D$31:$D$48))*Impacts!$F$15,IF(('Loading-rail'!$C$21)&lt;&gt;"No control",SUMIF(('Loading-rail'!$B$31:$B$48),$J3010,('Loading-rail'!$E$31:$E$48))*Impacts!$F$15,0)),0)</f>
        <v>0</v>
      </c>
      <c r="T3010" s="10">
        <f>IF(Flare!$C$7="",0,(SUMIF(Flare!$B$46:$B$185,$J3010,Flare!$E$46:$E$185)*Impacts!$F$16))</f>
        <v>0</v>
      </c>
      <c r="U3010" s="10">
        <f>IF(VCU!$C$9="",0,(SUMIF(VCU!$B$51:$B$193,$J3010,VCU!$E$51:$E$193)*Impacts!$F$17))</f>
        <v>0</v>
      </c>
      <c r="V3010" s="10">
        <f>IF(CAS!$C$7="",0,(SUMIF(CAS!$B$31:$B$167,$J3010,CAS!$E$31:$E$167)*Impacts!$F$18))</f>
        <v>0</v>
      </c>
      <c r="W3010" s="10">
        <f t="shared" si="87"/>
        <v>0</v>
      </c>
      <c r="AK3010" s="10" t="str">
        <f t="array" ref="AK3010">IFERROR(INDEX(SelectedSpecies,SMALL(IF(SelectedSpecies=AK$1,ROW(SelectedSpecies)),ROW(3011:3011)),2),"")</f>
        <v/>
      </c>
      <c r="BE3010" s="10"/>
      <c r="BI3010" s="10"/>
    </row>
    <row r="3011" spans="1:61" ht="21" customHeight="1" x14ac:dyDescent="0.25">
      <c r="A3011" s="10"/>
      <c r="B3011" s="10"/>
      <c r="E3011" s="10"/>
      <c r="G3011" s="10"/>
      <c r="I3011" s="436" t="s">
        <v>7112</v>
      </c>
      <c r="J3011" s="26" t="s">
        <v>7111</v>
      </c>
      <c r="K3011" s="10">
        <v>0.4</v>
      </c>
      <c r="L3011" s="73">
        <f>IF(Tank1!$C$23="No control",(SUMIF(Tank1!$B$32:$B$49,$J3011,Tank1!$C$32:$C$49)*Impacts!$F$8),0)</f>
        <v>0</v>
      </c>
      <c r="M3011" s="10">
        <f>IF(Tank2!$C$23="No control",(SUMIF(Tank2!$B$32:$B$49,$J3011,Tank2!$C$32:$C$49)*Impacts!$F$9),0)</f>
        <v>0</v>
      </c>
      <c r="N3011" s="10">
        <f>IF(Tank3!$C$23="No control",(SUMIF(Tank3!$B$32:$B$49,$J3011,Tank3!$C$32:$C$49)*Impacts!$F$10),0)</f>
        <v>0</v>
      </c>
      <c r="O3011" s="10">
        <f>IF(Tank4!$C$23="No control",(SUMIF(Tank4!$B$32:$B$49,$J3011,Tank4!$C$32:$C$49)*Impacts!$F$11),0)</f>
        <v>0</v>
      </c>
      <c r="P3011" s="10">
        <f>IF(Tank5!$C$23="No control",(SUMIF(Tank5!$B$32:$B$49,$J3011,Tank5!$C$32:$C$49)*Impacts!$F$12),0)</f>
        <v>0</v>
      </c>
      <c r="Q3011" s="10">
        <f>IFERROR(IF(('Loading-drum,tote'!$C$21)="No control",SUMIF(('Loading-drum,tote'!$B$31:$B$48),$J3011,('Loading-drum,tote'!$D$31:$D$48))*Impacts!$F$13,IF(('Loading-drum,tote'!$C$21)&lt;&gt;"No control",SUMIF(('Loading-drum,tote'!$B$31:$B$48),$J3011,('Loading-drum,tote'!$E$31:$E$48))*Impacts!$F$13,0)),0)</f>
        <v>0</v>
      </c>
      <c r="R3011" s="10">
        <f>IFERROR(IF(('Loading-truck'!$C$21)="No control",SUMIF(('Loading-truck'!$B$31:$B$48),$J3011,('Loading-truck'!$D$31:$D$48))*Impacts!$F$14,IF(('Loading-truck'!$C$21)&lt;&gt;"No control",SUMIF(('Loading-truck'!$B$31:$B$48),$J3011,('Loading-truck'!$E$31:$E$48))*Impacts!$F$14,0)),0)</f>
        <v>0</v>
      </c>
      <c r="S3011" s="10">
        <f>IFERROR(IF(('Loading-rail'!$C$21)="No control",SUMIF(('Loading-rail'!$B$31:$B$48),$J3011,('Loading-rail'!$D$31:$D$48))*Impacts!$F$15,IF(('Loading-rail'!$C$21)&lt;&gt;"No control",SUMIF(('Loading-rail'!$B$31:$B$48),$J3011,('Loading-rail'!$E$31:$E$48))*Impacts!$F$15,0)),0)</f>
        <v>0</v>
      </c>
      <c r="T3011" s="10">
        <f>IF(Flare!$C$7="",0,(SUMIF(Flare!$B$46:$B$185,$J3011,Flare!$E$46:$E$185)*Impacts!$F$16))</f>
        <v>0</v>
      </c>
      <c r="U3011" s="10">
        <f>IF(VCU!$C$9="",0,(SUMIF(VCU!$B$51:$B$193,$J3011,VCU!$E$51:$E$193)*Impacts!$F$17))</f>
        <v>0</v>
      </c>
      <c r="V3011" s="10">
        <f>IF(CAS!$C$7="",0,(SUMIF(CAS!$B$31:$B$167,$J3011,CAS!$E$31:$E$167)*Impacts!$F$18))</f>
        <v>0</v>
      </c>
      <c r="W3011" s="10">
        <f t="shared" si="87"/>
        <v>0</v>
      </c>
      <c r="AK3011" s="10" t="str">
        <f t="array" ref="AK3011">IFERROR(INDEX(SelectedSpecies,SMALL(IF(SelectedSpecies=AK$1,ROW(SelectedSpecies)),ROW(3012:3012)),2),"")</f>
        <v/>
      </c>
      <c r="BE3011" s="10"/>
      <c r="BI3011" s="10"/>
    </row>
    <row r="3012" spans="1:61" ht="21" customHeight="1" x14ac:dyDescent="0.25">
      <c r="A3012" s="10"/>
      <c r="B3012" s="10"/>
      <c r="E3012" s="10"/>
      <c r="G3012" s="10"/>
      <c r="I3012" s="436" t="s">
        <v>3533</v>
      </c>
      <c r="J3012" s="26" t="s">
        <v>3532</v>
      </c>
      <c r="K3012" s="10">
        <v>8.5</v>
      </c>
      <c r="L3012" s="73">
        <f>IF(Tank1!$C$23="No control",(SUMIF(Tank1!$B$32:$B$49,$J3012,Tank1!$C$32:$C$49)*Impacts!$F$8),0)</f>
        <v>0</v>
      </c>
      <c r="M3012" s="10">
        <f>IF(Tank2!$C$23="No control",(SUMIF(Tank2!$B$32:$B$49,$J3012,Tank2!$C$32:$C$49)*Impacts!$F$9),0)</f>
        <v>0</v>
      </c>
      <c r="N3012" s="10">
        <f>IF(Tank3!$C$23="No control",(SUMIF(Tank3!$B$32:$B$49,$J3012,Tank3!$C$32:$C$49)*Impacts!$F$10),0)</f>
        <v>0</v>
      </c>
      <c r="O3012" s="10">
        <f>IF(Tank4!$C$23="No control",(SUMIF(Tank4!$B$32:$B$49,$J3012,Tank4!$C$32:$C$49)*Impacts!$F$11),0)</f>
        <v>0</v>
      </c>
      <c r="P3012" s="10">
        <f>IF(Tank5!$C$23="No control",(SUMIF(Tank5!$B$32:$B$49,$J3012,Tank5!$C$32:$C$49)*Impacts!$F$12),0)</f>
        <v>0</v>
      </c>
      <c r="Q3012" s="10">
        <f>IFERROR(IF(('Loading-drum,tote'!$C$21)="No control",SUMIF(('Loading-drum,tote'!$B$31:$B$48),$J3012,('Loading-drum,tote'!$D$31:$D$48))*Impacts!$F$13,IF(('Loading-drum,tote'!$C$21)&lt;&gt;"No control",SUMIF(('Loading-drum,tote'!$B$31:$B$48),$J3012,('Loading-drum,tote'!$E$31:$E$48))*Impacts!$F$13,0)),0)</f>
        <v>0</v>
      </c>
      <c r="R3012" s="10">
        <f>IFERROR(IF(('Loading-truck'!$C$21)="No control",SUMIF(('Loading-truck'!$B$31:$B$48),$J3012,('Loading-truck'!$D$31:$D$48))*Impacts!$F$14,IF(('Loading-truck'!$C$21)&lt;&gt;"No control",SUMIF(('Loading-truck'!$B$31:$B$48),$J3012,('Loading-truck'!$E$31:$E$48))*Impacts!$F$14,0)),0)</f>
        <v>0</v>
      </c>
      <c r="S3012" s="10">
        <f>IFERROR(IF(('Loading-rail'!$C$21)="No control",SUMIF(('Loading-rail'!$B$31:$B$48),$J3012,('Loading-rail'!$D$31:$D$48))*Impacts!$F$15,IF(('Loading-rail'!$C$21)&lt;&gt;"No control",SUMIF(('Loading-rail'!$B$31:$B$48),$J3012,('Loading-rail'!$E$31:$E$48))*Impacts!$F$15,0)),0)</f>
        <v>0</v>
      </c>
      <c r="T3012" s="10">
        <f>IF(Flare!$C$7="",0,(SUMIF(Flare!$B$46:$B$185,$J3012,Flare!$E$46:$E$185)*Impacts!$F$16))</f>
        <v>0</v>
      </c>
      <c r="U3012" s="10">
        <f>IF(VCU!$C$9="",0,(SUMIF(VCU!$B$51:$B$193,$J3012,VCU!$E$51:$E$193)*Impacts!$F$17))</f>
        <v>0</v>
      </c>
      <c r="V3012" s="10">
        <f>IF(CAS!$C$7="",0,(SUMIF(CAS!$B$31:$B$167,$J3012,CAS!$E$31:$E$167)*Impacts!$F$18))</f>
        <v>0</v>
      </c>
      <c r="W3012" s="10">
        <f t="shared" si="87"/>
        <v>0</v>
      </c>
      <c r="AK3012" s="10" t="str">
        <f t="array" ref="AK3012">IFERROR(INDEX(SelectedSpecies,SMALL(IF(SelectedSpecies=AK$1,ROW(SelectedSpecies)),ROW(3013:3013)),2),"")</f>
        <v/>
      </c>
      <c r="BE3012" s="10"/>
      <c r="BI3012" s="10"/>
    </row>
    <row r="3013" spans="1:61" ht="21" customHeight="1" x14ac:dyDescent="0.25">
      <c r="A3013" s="10"/>
      <c r="B3013" s="10"/>
      <c r="E3013" s="10"/>
      <c r="G3013" s="10"/>
      <c r="I3013" s="436" t="s">
        <v>6086</v>
      </c>
      <c r="J3013" s="26" t="s">
        <v>6085</v>
      </c>
      <c r="K3013" s="10">
        <v>1</v>
      </c>
      <c r="L3013" s="73">
        <f>IF(Tank1!$C$23="No control",(SUMIF(Tank1!$B$32:$B$49,$J3013,Tank1!$C$32:$C$49)*Impacts!$F$8),0)</f>
        <v>0</v>
      </c>
      <c r="M3013" s="10">
        <f>IF(Tank2!$C$23="No control",(SUMIF(Tank2!$B$32:$B$49,$J3013,Tank2!$C$32:$C$49)*Impacts!$F$9),0)</f>
        <v>0</v>
      </c>
      <c r="N3013" s="10">
        <f>IF(Tank3!$C$23="No control",(SUMIF(Tank3!$B$32:$B$49,$J3013,Tank3!$C$32:$C$49)*Impacts!$F$10),0)</f>
        <v>0</v>
      </c>
      <c r="O3013" s="10">
        <f>IF(Tank4!$C$23="No control",(SUMIF(Tank4!$B$32:$B$49,$J3013,Tank4!$C$32:$C$49)*Impacts!$F$11),0)</f>
        <v>0</v>
      </c>
      <c r="P3013" s="10">
        <f>IF(Tank5!$C$23="No control",(SUMIF(Tank5!$B$32:$B$49,$J3013,Tank5!$C$32:$C$49)*Impacts!$F$12),0)</f>
        <v>0</v>
      </c>
      <c r="Q3013" s="10">
        <f>IFERROR(IF(('Loading-drum,tote'!$C$21)="No control",SUMIF(('Loading-drum,tote'!$B$31:$B$48),$J3013,('Loading-drum,tote'!$D$31:$D$48))*Impacts!$F$13,IF(('Loading-drum,tote'!$C$21)&lt;&gt;"No control",SUMIF(('Loading-drum,tote'!$B$31:$B$48),$J3013,('Loading-drum,tote'!$E$31:$E$48))*Impacts!$F$13,0)),0)</f>
        <v>0</v>
      </c>
      <c r="R3013" s="10">
        <f>IFERROR(IF(('Loading-truck'!$C$21)="No control",SUMIF(('Loading-truck'!$B$31:$B$48),$J3013,('Loading-truck'!$D$31:$D$48))*Impacts!$F$14,IF(('Loading-truck'!$C$21)&lt;&gt;"No control",SUMIF(('Loading-truck'!$B$31:$B$48),$J3013,('Loading-truck'!$E$31:$E$48))*Impacts!$F$14,0)),0)</f>
        <v>0</v>
      </c>
      <c r="S3013" s="10">
        <f>IFERROR(IF(('Loading-rail'!$C$21)="No control",SUMIF(('Loading-rail'!$B$31:$B$48),$J3013,('Loading-rail'!$D$31:$D$48))*Impacts!$F$15,IF(('Loading-rail'!$C$21)&lt;&gt;"No control",SUMIF(('Loading-rail'!$B$31:$B$48),$J3013,('Loading-rail'!$E$31:$E$48))*Impacts!$F$15,0)),0)</f>
        <v>0</v>
      </c>
      <c r="T3013" s="10">
        <f>IF(Flare!$C$7="",0,(SUMIF(Flare!$B$46:$B$185,$J3013,Flare!$E$46:$E$185)*Impacts!$F$16))</f>
        <v>0</v>
      </c>
      <c r="U3013" s="10">
        <f>IF(VCU!$C$9="",0,(SUMIF(VCU!$B$51:$B$193,$J3013,VCU!$E$51:$E$193)*Impacts!$F$17))</f>
        <v>0</v>
      </c>
      <c r="V3013" s="10">
        <f>IF(CAS!$C$7="",0,(SUMIF(CAS!$B$31:$B$167,$J3013,CAS!$E$31:$E$167)*Impacts!$F$18))</f>
        <v>0</v>
      </c>
      <c r="W3013" s="10">
        <f t="shared" si="87"/>
        <v>0</v>
      </c>
      <c r="AK3013" s="10" t="str">
        <f t="array" ref="AK3013">IFERROR(INDEX(SelectedSpecies,SMALL(IF(SelectedSpecies=AK$1,ROW(SelectedSpecies)),ROW(3014:3014)),2),"")</f>
        <v/>
      </c>
      <c r="BE3013" s="10"/>
      <c r="BI3013" s="10"/>
    </row>
    <row r="3014" spans="1:61" ht="21" customHeight="1" x14ac:dyDescent="0.25">
      <c r="A3014" s="10"/>
      <c r="B3014" s="10"/>
      <c r="E3014" s="10"/>
      <c r="G3014" s="10"/>
      <c r="I3014" s="436" t="s">
        <v>7840</v>
      </c>
      <c r="J3014" s="26" t="s">
        <v>7839</v>
      </c>
      <c r="K3014" s="10">
        <v>6.9999999999999993E-2</v>
      </c>
      <c r="L3014" s="73">
        <f>IF(Tank1!$C$23="No control",(SUMIF(Tank1!$B$32:$B$49,$J3014,Tank1!$C$32:$C$49)*Impacts!$F$8),0)</f>
        <v>0</v>
      </c>
      <c r="M3014" s="10">
        <f>IF(Tank2!$C$23="No control",(SUMIF(Tank2!$B$32:$B$49,$J3014,Tank2!$C$32:$C$49)*Impacts!$F$9),0)</f>
        <v>0</v>
      </c>
      <c r="N3014" s="10">
        <f>IF(Tank3!$C$23="No control",(SUMIF(Tank3!$B$32:$B$49,$J3014,Tank3!$C$32:$C$49)*Impacts!$F$10),0)</f>
        <v>0</v>
      </c>
      <c r="O3014" s="10">
        <f>IF(Tank4!$C$23="No control",(SUMIF(Tank4!$B$32:$B$49,$J3014,Tank4!$C$32:$C$49)*Impacts!$F$11),0)</f>
        <v>0</v>
      </c>
      <c r="P3014" s="10">
        <f>IF(Tank5!$C$23="No control",(SUMIF(Tank5!$B$32:$B$49,$J3014,Tank5!$C$32:$C$49)*Impacts!$F$12),0)</f>
        <v>0</v>
      </c>
      <c r="Q3014" s="10">
        <f>IFERROR(IF(('Loading-drum,tote'!$C$21)="No control",SUMIF(('Loading-drum,tote'!$B$31:$B$48),$J3014,('Loading-drum,tote'!$D$31:$D$48))*Impacts!$F$13,IF(('Loading-drum,tote'!$C$21)&lt;&gt;"No control",SUMIF(('Loading-drum,tote'!$B$31:$B$48),$J3014,('Loading-drum,tote'!$E$31:$E$48))*Impacts!$F$13,0)),0)</f>
        <v>0</v>
      </c>
      <c r="R3014" s="10">
        <f>IFERROR(IF(('Loading-truck'!$C$21)="No control",SUMIF(('Loading-truck'!$B$31:$B$48),$J3014,('Loading-truck'!$D$31:$D$48))*Impacts!$F$14,IF(('Loading-truck'!$C$21)&lt;&gt;"No control",SUMIF(('Loading-truck'!$B$31:$B$48),$J3014,('Loading-truck'!$E$31:$E$48))*Impacts!$F$14,0)),0)</f>
        <v>0</v>
      </c>
      <c r="S3014" s="10">
        <f>IFERROR(IF(('Loading-rail'!$C$21)="No control",SUMIF(('Loading-rail'!$B$31:$B$48),$J3014,('Loading-rail'!$D$31:$D$48))*Impacts!$F$15,IF(('Loading-rail'!$C$21)&lt;&gt;"No control",SUMIF(('Loading-rail'!$B$31:$B$48),$J3014,('Loading-rail'!$E$31:$E$48))*Impacts!$F$15,0)),0)</f>
        <v>0</v>
      </c>
      <c r="T3014" s="10">
        <f>IF(Flare!$C$7="",0,(SUMIF(Flare!$B$46:$B$185,$J3014,Flare!$E$46:$E$185)*Impacts!$F$16))</f>
        <v>0</v>
      </c>
      <c r="U3014" s="10">
        <f>IF(VCU!$C$9="",0,(SUMIF(VCU!$B$51:$B$193,$J3014,VCU!$E$51:$E$193)*Impacts!$F$17))</f>
        <v>0</v>
      </c>
      <c r="V3014" s="10">
        <f>IF(CAS!$C$7="",0,(SUMIF(CAS!$B$31:$B$167,$J3014,CAS!$E$31:$E$167)*Impacts!$F$18))</f>
        <v>0</v>
      </c>
      <c r="W3014" s="10">
        <f t="shared" si="87"/>
        <v>0</v>
      </c>
      <c r="AK3014" s="10" t="str">
        <f t="array" ref="AK3014">IFERROR(INDEX(SelectedSpecies,SMALL(IF(SelectedSpecies=AK$1,ROW(SelectedSpecies)),ROW(3015:3015)),2),"")</f>
        <v/>
      </c>
      <c r="BE3014" s="10"/>
      <c r="BI3014" s="10"/>
    </row>
    <row r="3015" spans="1:61" ht="21" customHeight="1" x14ac:dyDescent="0.25">
      <c r="A3015" s="10"/>
      <c r="B3015" s="10"/>
      <c r="E3015" s="10"/>
      <c r="G3015" s="10"/>
      <c r="I3015" s="436" t="s">
        <v>4469</v>
      </c>
      <c r="J3015" s="26" t="s">
        <v>4468</v>
      </c>
      <c r="K3015" s="10">
        <v>4.4000000000000004</v>
      </c>
      <c r="L3015" s="73">
        <f>IF(Tank1!$C$23="No control",(SUMIF(Tank1!$B$32:$B$49,$J3015,Tank1!$C$32:$C$49)*Impacts!$F$8),0)</f>
        <v>0</v>
      </c>
      <c r="M3015" s="10">
        <f>IF(Tank2!$C$23="No control",(SUMIF(Tank2!$B$32:$B$49,$J3015,Tank2!$C$32:$C$49)*Impacts!$F$9),0)</f>
        <v>0</v>
      </c>
      <c r="N3015" s="10">
        <f>IF(Tank3!$C$23="No control",(SUMIF(Tank3!$B$32:$B$49,$J3015,Tank3!$C$32:$C$49)*Impacts!$F$10),0)</f>
        <v>0</v>
      </c>
      <c r="O3015" s="10">
        <f>IF(Tank4!$C$23="No control",(SUMIF(Tank4!$B$32:$B$49,$J3015,Tank4!$C$32:$C$49)*Impacts!$F$11),0)</f>
        <v>0</v>
      </c>
      <c r="P3015" s="10">
        <f>IF(Tank5!$C$23="No control",(SUMIF(Tank5!$B$32:$B$49,$J3015,Tank5!$C$32:$C$49)*Impacts!$F$12),0)</f>
        <v>0</v>
      </c>
      <c r="Q3015" s="10">
        <f>IFERROR(IF(('Loading-drum,tote'!$C$21)="No control",SUMIF(('Loading-drum,tote'!$B$31:$B$48),$J3015,('Loading-drum,tote'!$D$31:$D$48))*Impacts!$F$13,IF(('Loading-drum,tote'!$C$21)&lt;&gt;"No control",SUMIF(('Loading-drum,tote'!$B$31:$B$48),$J3015,('Loading-drum,tote'!$E$31:$E$48))*Impacts!$F$13,0)),0)</f>
        <v>0</v>
      </c>
      <c r="R3015" s="10">
        <f>IFERROR(IF(('Loading-truck'!$C$21)="No control",SUMIF(('Loading-truck'!$B$31:$B$48),$J3015,('Loading-truck'!$D$31:$D$48))*Impacts!$F$14,IF(('Loading-truck'!$C$21)&lt;&gt;"No control",SUMIF(('Loading-truck'!$B$31:$B$48),$J3015,('Loading-truck'!$E$31:$E$48))*Impacts!$F$14,0)),0)</f>
        <v>0</v>
      </c>
      <c r="S3015" s="10">
        <f>IFERROR(IF(('Loading-rail'!$C$21)="No control",SUMIF(('Loading-rail'!$B$31:$B$48),$J3015,('Loading-rail'!$D$31:$D$48))*Impacts!$F$15,IF(('Loading-rail'!$C$21)&lt;&gt;"No control",SUMIF(('Loading-rail'!$B$31:$B$48),$J3015,('Loading-rail'!$E$31:$E$48))*Impacts!$F$15,0)),0)</f>
        <v>0</v>
      </c>
      <c r="T3015" s="10">
        <f>IF(Flare!$C$7="",0,(SUMIF(Flare!$B$46:$B$185,$J3015,Flare!$E$46:$E$185)*Impacts!$F$16))</f>
        <v>0</v>
      </c>
      <c r="U3015" s="10">
        <f>IF(VCU!$C$9="",0,(SUMIF(VCU!$B$51:$B$193,$J3015,VCU!$E$51:$E$193)*Impacts!$F$17))</f>
        <v>0</v>
      </c>
      <c r="V3015" s="10">
        <f>IF(CAS!$C$7="",0,(SUMIF(CAS!$B$31:$B$167,$J3015,CAS!$E$31:$E$167)*Impacts!$F$18))</f>
        <v>0</v>
      </c>
      <c r="W3015" s="10">
        <f t="shared" si="87"/>
        <v>0</v>
      </c>
      <c r="AK3015" s="10" t="str">
        <f t="array" ref="AK3015">IFERROR(INDEX(SelectedSpecies,SMALL(IF(SelectedSpecies=AK$1,ROW(SelectedSpecies)),ROW(3016:3016)),2),"")</f>
        <v/>
      </c>
      <c r="BE3015" s="10"/>
      <c r="BI3015" s="10"/>
    </row>
    <row r="3016" spans="1:61" ht="21" customHeight="1" x14ac:dyDescent="0.25">
      <c r="A3016" s="10"/>
      <c r="B3016" s="10"/>
      <c r="E3016" s="10"/>
      <c r="G3016" s="10"/>
      <c r="I3016" s="436" t="s">
        <v>3993</v>
      </c>
      <c r="J3016" s="26" t="s">
        <v>3992</v>
      </c>
      <c r="K3016" s="10">
        <v>6</v>
      </c>
      <c r="L3016" s="73">
        <f>IF(Tank1!$C$23="No control",(SUMIF(Tank1!$B$32:$B$49,$J3016,Tank1!$C$32:$C$49)*Impacts!$F$8),0)</f>
        <v>0</v>
      </c>
      <c r="M3016" s="10">
        <f>IF(Tank2!$C$23="No control",(SUMIF(Tank2!$B$32:$B$49,$J3016,Tank2!$C$32:$C$49)*Impacts!$F$9),0)</f>
        <v>0</v>
      </c>
      <c r="N3016" s="10">
        <f>IF(Tank3!$C$23="No control",(SUMIF(Tank3!$B$32:$B$49,$J3016,Tank3!$C$32:$C$49)*Impacts!$F$10),0)</f>
        <v>0</v>
      </c>
      <c r="O3016" s="10">
        <f>IF(Tank4!$C$23="No control",(SUMIF(Tank4!$B$32:$B$49,$J3016,Tank4!$C$32:$C$49)*Impacts!$F$11),0)</f>
        <v>0</v>
      </c>
      <c r="P3016" s="10">
        <f>IF(Tank5!$C$23="No control",(SUMIF(Tank5!$B$32:$B$49,$J3016,Tank5!$C$32:$C$49)*Impacts!$F$12),0)</f>
        <v>0</v>
      </c>
      <c r="Q3016" s="10">
        <f>IFERROR(IF(('Loading-drum,tote'!$C$21)="No control",SUMIF(('Loading-drum,tote'!$B$31:$B$48),$J3016,('Loading-drum,tote'!$D$31:$D$48))*Impacts!$F$13,IF(('Loading-drum,tote'!$C$21)&lt;&gt;"No control",SUMIF(('Loading-drum,tote'!$B$31:$B$48),$J3016,('Loading-drum,tote'!$E$31:$E$48))*Impacts!$F$13,0)),0)</f>
        <v>0</v>
      </c>
      <c r="R3016" s="10">
        <f>IFERROR(IF(('Loading-truck'!$C$21)="No control",SUMIF(('Loading-truck'!$B$31:$B$48),$J3016,('Loading-truck'!$D$31:$D$48))*Impacts!$F$14,IF(('Loading-truck'!$C$21)&lt;&gt;"No control",SUMIF(('Loading-truck'!$B$31:$B$48),$J3016,('Loading-truck'!$E$31:$E$48))*Impacts!$F$14,0)),0)</f>
        <v>0</v>
      </c>
      <c r="S3016" s="10">
        <f>IFERROR(IF(('Loading-rail'!$C$21)="No control",SUMIF(('Loading-rail'!$B$31:$B$48),$J3016,('Loading-rail'!$D$31:$D$48))*Impacts!$F$15,IF(('Loading-rail'!$C$21)&lt;&gt;"No control",SUMIF(('Loading-rail'!$B$31:$B$48),$J3016,('Loading-rail'!$E$31:$E$48))*Impacts!$F$15,0)),0)</f>
        <v>0</v>
      </c>
      <c r="T3016" s="10">
        <f>IF(Flare!$C$7="",0,(SUMIF(Flare!$B$46:$B$185,$J3016,Flare!$E$46:$E$185)*Impacts!$F$16))</f>
        <v>0</v>
      </c>
      <c r="U3016" s="10">
        <f>IF(VCU!$C$9="",0,(SUMIF(VCU!$B$51:$B$193,$J3016,VCU!$E$51:$E$193)*Impacts!$F$17))</f>
        <v>0</v>
      </c>
      <c r="V3016" s="10">
        <f>IF(CAS!$C$7="",0,(SUMIF(CAS!$B$31:$B$167,$J3016,CAS!$E$31:$E$167)*Impacts!$F$18))</f>
        <v>0</v>
      </c>
      <c r="W3016" s="10">
        <f t="shared" si="87"/>
        <v>0</v>
      </c>
      <c r="AK3016" s="10" t="str">
        <f t="array" ref="AK3016">IFERROR(INDEX(SelectedSpecies,SMALL(IF(SelectedSpecies=AK$1,ROW(SelectedSpecies)),ROW(3017:3017)),2),"")</f>
        <v/>
      </c>
      <c r="BE3016" s="10"/>
      <c r="BI3016" s="10"/>
    </row>
    <row r="3017" spans="1:61" ht="21" customHeight="1" x14ac:dyDescent="0.25">
      <c r="A3017" s="10"/>
      <c r="B3017" s="10"/>
      <c r="E3017" s="10"/>
      <c r="G3017" s="10"/>
      <c r="I3017" s="436" t="s">
        <v>3995</v>
      </c>
      <c r="J3017" s="26" t="s">
        <v>3994</v>
      </c>
      <c r="K3017" s="10">
        <v>6</v>
      </c>
      <c r="L3017" s="73">
        <f>IF(Tank1!$C$23="No control",(SUMIF(Tank1!$B$32:$B$49,$J3017,Tank1!$C$32:$C$49)*Impacts!$F$8),0)</f>
        <v>0</v>
      </c>
      <c r="M3017" s="10">
        <f>IF(Tank2!$C$23="No control",(SUMIF(Tank2!$B$32:$B$49,$J3017,Tank2!$C$32:$C$49)*Impacts!$F$9),0)</f>
        <v>0</v>
      </c>
      <c r="N3017" s="10">
        <f>IF(Tank3!$C$23="No control",(SUMIF(Tank3!$B$32:$B$49,$J3017,Tank3!$C$32:$C$49)*Impacts!$F$10),0)</f>
        <v>0</v>
      </c>
      <c r="O3017" s="10">
        <f>IF(Tank4!$C$23="No control",(SUMIF(Tank4!$B$32:$B$49,$J3017,Tank4!$C$32:$C$49)*Impacts!$F$11),0)</f>
        <v>0</v>
      </c>
      <c r="P3017" s="10">
        <f>IF(Tank5!$C$23="No control",(SUMIF(Tank5!$B$32:$B$49,$J3017,Tank5!$C$32:$C$49)*Impacts!$F$12),0)</f>
        <v>0</v>
      </c>
      <c r="Q3017" s="10">
        <f>IFERROR(IF(('Loading-drum,tote'!$C$21)="No control",SUMIF(('Loading-drum,tote'!$B$31:$B$48),$J3017,('Loading-drum,tote'!$D$31:$D$48))*Impacts!$F$13,IF(('Loading-drum,tote'!$C$21)&lt;&gt;"No control",SUMIF(('Loading-drum,tote'!$B$31:$B$48),$J3017,('Loading-drum,tote'!$E$31:$E$48))*Impacts!$F$13,0)),0)</f>
        <v>0</v>
      </c>
      <c r="R3017" s="10">
        <f>IFERROR(IF(('Loading-truck'!$C$21)="No control",SUMIF(('Loading-truck'!$B$31:$B$48),$J3017,('Loading-truck'!$D$31:$D$48))*Impacts!$F$14,IF(('Loading-truck'!$C$21)&lt;&gt;"No control",SUMIF(('Loading-truck'!$B$31:$B$48),$J3017,('Loading-truck'!$E$31:$E$48))*Impacts!$F$14,0)),0)</f>
        <v>0</v>
      </c>
      <c r="S3017" s="10">
        <f>IFERROR(IF(('Loading-rail'!$C$21)="No control",SUMIF(('Loading-rail'!$B$31:$B$48),$J3017,('Loading-rail'!$D$31:$D$48))*Impacts!$F$15,IF(('Loading-rail'!$C$21)&lt;&gt;"No control",SUMIF(('Loading-rail'!$B$31:$B$48),$J3017,('Loading-rail'!$E$31:$E$48))*Impacts!$F$15,0)),0)</f>
        <v>0</v>
      </c>
      <c r="T3017" s="10">
        <f>IF(Flare!$C$7="",0,(SUMIF(Flare!$B$46:$B$185,$J3017,Flare!$E$46:$E$185)*Impacts!$F$16))</f>
        <v>0</v>
      </c>
      <c r="U3017" s="10">
        <f>IF(VCU!$C$9="",0,(SUMIF(VCU!$B$51:$B$193,$J3017,VCU!$E$51:$E$193)*Impacts!$F$17))</f>
        <v>0</v>
      </c>
      <c r="V3017" s="10">
        <f>IF(CAS!$C$7="",0,(SUMIF(CAS!$B$31:$B$167,$J3017,CAS!$E$31:$E$167)*Impacts!$F$18))</f>
        <v>0</v>
      </c>
      <c r="W3017" s="10">
        <f t="shared" si="87"/>
        <v>0</v>
      </c>
      <c r="AK3017" s="10" t="str">
        <f t="array" ref="AK3017">IFERROR(INDEX(SelectedSpecies,SMALL(IF(SelectedSpecies=AK$1,ROW(SelectedSpecies)),ROW(3018:3018)),2),"")</f>
        <v/>
      </c>
      <c r="BE3017" s="10"/>
      <c r="BI3017" s="10"/>
    </row>
    <row r="3018" spans="1:61" ht="21" customHeight="1" x14ac:dyDescent="0.25">
      <c r="A3018" s="10"/>
      <c r="B3018" s="10"/>
      <c r="E3018" s="10"/>
      <c r="G3018" s="10"/>
      <c r="I3018" s="436" t="s">
        <v>5463</v>
      </c>
      <c r="J3018" s="26" t="s">
        <v>5462</v>
      </c>
      <c r="K3018" s="10">
        <v>1.4000000000000001</v>
      </c>
      <c r="L3018" s="73">
        <f>IF(Tank1!$C$23="No control",(SUMIF(Tank1!$B$32:$B$49,$J3018,Tank1!$C$32:$C$49)*Impacts!$F$8),0)</f>
        <v>0</v>
      </c>
      <c r="M3018" s="10">
        <f>IF(Tank2!$C$23="No control",(SUMIF(Tank2!$B$32:$B$49,$J3018,Tank2!$C$32:$C$49)*Impacts!$F$9),0)</f>
        <v>0</v>
      </c>
      <c r="N3018" s="10">
        <f>IF(Tank3!$C$23="No control",(SUMIF(Tank3!$B$32:$B$49,$J3018,Tank3!$C$32:$C$49)*Impacts!$F$10),0)</f>
        <v>0</v>
      </c>
      <c r="O3018" s="10">
        <f>IF(Tank4!$C$23="No control",(SUMIF(Tank4!$B$32:$B$49,$J3018,Tank4!$C$32:$C$49)*Impacts!$F$11),0)</f>
        <v>0</v>
      </c>
      <c r="P3018" s="10">
        <f>IF(Tank5!$C$23="No control",(SUMIF(Tank5!$B$32:$B$49,$J3018,Tank5!$C$32:$C$49)*Impacts!$F$12),0)</f>
        <v>0</v>
      </c>
      <c r="Q3018" s="10">
        <f>IFERROR(IF(('Loading-drum,tote'!$C$21)="No control",SUMIF(('Loading-drum,tote'!$B$31:$B$48),$J3018,('Loading-drum,tote'!$D$31:$D$48))*Impacts!$F$13,IF(('Loading-drum,tote'!$C$21)&lt;&gt;"No control",SUMIF(('Loading-drum,tote'!$B$31:$B$48),$J3018,('Loading-drum,tote'!$E$31:$E$48))*Impacts!$F$13,0)),0)</f>
        <v>0</v>
      </c>
      <c r="R3018" s="10">
        <f>IFERROR(IF(('Loading-truck'!$C$21)="No control",SUMIF(('Loading-truck'!$B$31:$B$48),$J3018,('Loading-truck'!$D$31:$D$48))*Impacts!$F$14,IF(('Loading-truck'!$C$21)&lt;&gt;"No control",SUMIF(('Loading-truck'!$B$31:$B$48),$J3018,('Loading-truck'!$E$31:$E$48))*Impacts!$F$14,0)),0)</f>
        <v>0</v>
      </c>
      <c r="S3018" s="10">
        <f>IFERROR(IF(('Loading-rail'!$C$21)="No control",SUMIF(('Loading-rail'!$B$31:$B$48),$J3018,('Loading-rail'!$D$31:$D$48))*Impacts!$F$15,IF(('Loading-rail'!$C$21)&lt;&gt;"No control",SUMIF(('Loading-rail'!$B$31:$B$48),$J3018,('Loading-rail'!$E$31:$E$48))*Impacts!$F$15,0)),0)</f>
        <v>0</v>
      </c>
      <c r="T3018" s="10">
        <f>IF(Flare!$C$7="",0,(SUMIF(Flare!$B$46:$B$185,$J3018,Flare!$E$46:$E$185)*Impacts!$F$16))</f>
        <v>0</v>
      </c>
      <c r="U3018" s="10">
        <f>IF(VCU!$C$9="",0,(SUMIF(VCU!$B$51:$B$193,$J3018,VCU!$E$51:$E$193)*Impacts!$F$17))</f>
        <v>0</v>
      </c>
      <c r="V3018" s="10">
        <f>IF(CAS!$C$7="",0,(SUMIF(CAS!$B$31:$B$167,$J3018,CAS!$E$31:$E$167)*Impacts!$F$18))</f>
        <v>0</v>
      </c>
      <c r="W3018" s="10">
        <f t="shared" si="87"/>
        <v>0</v>
      </c>
      <c r="AK3018" s="10" t="str">
        <f t="array" ref="AK3018">IFERROR(INDEX(SelectedSpecies,SMALL(IF(SelectedSpecies=AK$1,ROW(SelectedSpecies)),ROW(3019:3019)),2),"")</f>
        <v/>
      </c>
      <c r="BE3018" s="10"/>
      <c r="BI3018" s="10"/>
    </row>
    <row r="3019" spans="1:61" ht="21" customHeight="1" x14ac:dyDescent="0.25">
      <c r="A3019" s="10"/>
      <c r="B3019" s="10"/>
      <c r="E3019" s="10"/>
      <c r="G3019" s="10"/>
      <c r="I3019" s="436" t="s">
        <v>1202</v>
      </c>
      <c r="J3019" s="26" t="s">
        <v>1201</v>
      </c>
      <c r="K3019" s="10">
        <v>35</v>
      </c>
      <c r="L3019" s="73">
        <f>IF(Tank1!$C$23="No control",(SUMIF(Tank1!$B$32:$B$49,$J3019,Tank1!$C$32:$C$49)*Impacts!$F$8),0)</f>
        <v>0</v>
      </c>
      <c r="M3019" s="10">
        <f>IF(Tank2!$C$23="No control",(SUMIF(Tank2!$B$32:$B$49,$J3019,Tank2!$C$32:$C$49)*Impacts!$F$9),0)</f>
        <v>0</v>
      </c>
      <c r="N3019" s="10">
        <f>IF(Tank3!$C$23="No control",(SUMIF(Tank3!$B$32:$B$49,$J3019,Tank3!$C$32:$C$49)*Impacts!$F$10),0)</f>
        <v>0</v>
      </c>
      <c r="O3019" s="10">
        <f>IF(Tank4!$C$23="No control",(SUMIF(Tank4!$B$32:$B$49,$J3019,Tank4!$C$32:$C$49)*Impacts!$F$11),0)</f>
        <v>0</v>
      </c>
      <c r="P3019" s="10">
        <f>IF(Tank5!$C$23="No control",(SUMIF(Tank5!$B$32:$B$49,$J3019,Tank5!$C$32:$C$49)*Impacts!$F$12),0)</f>
        <v>0</v>
      </c>
      <c r="Q3019" s="10">
        <f>IFERROR(IF(('Loading-drum,tote'!$C$21)="No control",SUMIF(('Loading-drum,tote'!$B$31:$B$48),$J3019,('Loading-drum,tote'!$D$31:$D$48))*Impacts!$F$13,IF(('Loading-drum,tote'!$C$21)&lt;&gt;"No control",SUMIF(('Loading-drum,tote'!$B$31:$B$48),$J3019,('Loading-drum,tote'!$E$31:$E$48))*Impacts!$F$13,0)),0)</f>
        <v>0</v>
      </c>
      <c r="R3019" s="10">
        <f>IFERROR(IF(('Loading-truck'!$C$21)="No control",SUMIF(('Loading-truck'!$B$31:$B$48),$J3019,('Loading-truck'!$D$31:$D$48))*Impacts!$F$14,IF(('Loading-truck'!$C$21)&lt;&gt;"No control",SUMIF(('Loading-truck'!$B$31:$B$48),$J3019,('Loading-truck'!$E$31:$E$48))*Impacts!$F$14,0)),0)</f>
        <v>0</v>
      </c>
      <c r="S3019" s="10">
        <f>IFERROR(IF(('Loading-rail'!$C$21)="No control",SUMIF(('Loading-rail'!$B$31:$B$48),$J3019,('Loading-rail'!$D$31:$D$48))*Impacts!$F$15,IF(('Loading-rail'!$C$21)&lt;&gt;"No control",SUMIF(('Loading-rail'!$B$31:$B$48),$J3019,('Loading-rail'!$E$31:$E$48))*Impacts!$F$15,0)),0)</f>
        <v>0</v>
      </c>
      <c r="T3019" s="10">
        <f>IF(Flare!$C$7="",0,(SUMIF(Flare!$B$46:$B$185,$J3019,Flare!$E$46:$E$185)*Impacts!$F$16))</f>
        <v>0</v>
      </c>
      <c r="U3019" s="10">
        <f>IF(VCU!$C$9="",0,(SUMIF(VCU!$B$51:$B$193,$J3019,VCU!$E$51:$E$193)*Impacts!$F$17))</f>
        <v>0</v>
      </c>
      <c r="V3019" s="10">
        <f>IF(CAS!$C$7="",0,(SUMIF(CAS!$B$31:$B$167,$J3019,CAS!$E$31:$E$167)*Impacts!$F$18))</f>
        <v>0</v>
      </c>
      <c r="W3019" s="10">
        <f t="shared" si="87"/>
        <v>0</v>
      </c>
      <c r="AK3019" s="10" t="str">
        <f t="array" ref="AK3019">IFERROR(INDEX(SelectedSpecies,SMALL(IF(SelectedSpecies=AK$1,ROW(SelectedSpecies)),ROW(3020:3020)),2),"")</f>
        <v/>
      </c>
      <c r="BE3019" s="10"/>
      <c r="BI3019" s="10"/>
    </row>
    <row r="3020" spans="1:61" ht="21" customHeight="1" x14ac:dyDescent="0.25">
      <c r="A3020" s="10"/>
      <c r="B3020" s="10"/>
      <c r="E3020" s="10"/>
      <c r="G3020" s="10"/>
      <c r="I3020" s="436" t="s">
        <v>3687</v>
      </c>
      <c r="J3020" s="26" t="s">
        <v>3686</v>
      </c>
      <c r="K3020" s="10">
        <v>7</v>
      </c>
      <c r="L3020" s="73">
        <f>IF(Tank1!$C$23="No control",(SUMIF(Tank1!$B$32:$B$49,$J3020,Tank1!$C$32:$C$49)*Impacts!$F$8),0)</f>
        <v>0</v>
      </c>
      <c r="M3020" s="10">
        <f>IF(Tank2!$C$23="No control",(SUMIF(Tank2!$B$32:$B$49,$J3020,Tank2!$C$32:$C$49)*Impacts!$F$9),0)</f>
        <v>0</v>
      </c>
      <c r="N3020" s="10">
        <f>IF(Tank3!$C$23="No control",(SUMIF(Tank3!$B$32:$B$49,$J3020,Tank3!$C$32:$C$49)*Impacts!$F$10),0)</f>
        <v>0</v>
      </c>
      <c r="O3020" s="10">
        <f>IF(Tank4!$C$23="No control",(SUMIF(Tank4!$B$32:$B$49,$J3020,Tank4!$C$32:$C$49)*Impacts!$F$11),0)</f>
        <v>0</v>
      </c>
      <c r="P3020" s="10">
        <f>IF(Tank5!$C$23="No control",(SUMIF(Tank5!$B$32:$B$49,$J3020,Tank5!$C$32:$C$49)*Impacts!$F$12),0)</f>
        <v>0</v>
      </c>
      <c r="Q3020" s="10">
        <f>IFERROR(IF(('Loading-drum,tote'!$C$21)="No control",SUMIF(('Loading-drum,tote'!$B$31:$B$48),$J3020,('Loading-drum,tote'!$D$31:$D$48))*Impacts!$F$13,IF(('Loading-drum,tote'!$C$21)&lt;&gt;"No control",SUMIF(('Loading-drum,tote'!$B$31:$B$48),$J3020,('Loading-drum,tote'!$E$31:$E$48))*Impacts!$F$13,0)),0)</f>
        <v>0</v>
      </c>
      <c r="R3020" s="10">
        <f>IFERROR(IF(('Loading-truck'!$C$21)="No control",SUMIF(('Loading-truck'!$B$31:$B$48),$J3020,('Loading-truck'!$D$31:$D$48))*Impacts!$F$14,IF(('Loading-truck'!$C$21)&lt;&gt;"No control",SUMIF(('Loading-truck'!$B$31:$B$48),$J3020,('Loading-truck'!$E$31:$E$48))*Impacts!$F$14,0)),0)</f>
        <v>0</v>
      </c>
      <c r="S3020" s="10">
        <f>IFERROR(IF(('Loading-rail'!$C$21)="No control",SUMIF(('Loading-rail'!$B$31:$B$48),$J3020,('Loading-rail'!$D$31:$D$48))*Impacts!$F$15,IF(('Loading-rail'!$C$21)&lt;&gt;"No control",SUMIF(('Loading-rail'!$B$31:$B$48),$J3020,('Loading-rail'!$E$31:$E$48))*Impacts!$F$15,0)),0)</f>
        <v>0</v>
      </c>
      <c r="T3020" s="10">
        <f>IF(Flare!$C$7="",0,(SUMIF(Flare!$B$46:$B$185,$J3020,Flare!$E$46:$E$185)*Impacts!$F$16))</f>
        <v>0</v>
      </c>
      <c r="U3020" s="10">
        <f>IF(VCU!$C$9="",0,(SUMIF(VCU!$B$51:$B$193,$J3020,VCU!$E$51:$E$193)*Impacts!$F$17))</f>
        <v>0</v>
      </c>
      <c r="V3020" s="10">
        <f>IF(CAS!$C$7="",0,(SUMIF(CAS!$B$31:$B$167,$J3020,CAS!$E$31:$E$167)*Impacts!$F$18))</f>
        <v>0</v>
      </c>
      <c r="W3020" s="10">
        <f t="shared" si="87"/>
        <v>0</v>
      </c>
      <c r="AK3020" s="10" t="str">
        <f t="array" ref="AK3020">IFERROR(INDEX(SelectedSpecies,SMALL(IF(SelectedSpecies=AK$1,ROW(SelectedSpecies)),ROW(3021:3021)),2),"")</f>
        <v/>
      </c>
      <c r="BE3020" s="10"/>
      <c r="BI3020" s="10"/>
    </row>
    <row r="3021" spans="1:61" ht="21" customHeight="1" x14ac:dyDescent="0.25">
      <c r="A3021" s="10"/>
      <c r="B3021" s="10"/>
      <c r="E3021" s="10"/>
      <c r="G3021" s="10"/>
      <c r="I3021" s="436" t="s">
        <v>2583</v>
      </c>
      <c r="J3021" s="26" t="s">
        <v>2582</v>
      </c>
      <c r="K3021" s="10">
        <v>10</v>
      </c>
      <c r="L3021" s="73">
        <f>IF(Tank1!$C$23="No control",(SUMIF(Tank1!$B$32:$B$49,$J3021,Tank1!$C$32:$C$49)*Impacts!$F$8),0)</f>
        <v>0</v>
      </c>
      <c r="M3021" s="10">
        <f>IF(Tank2!$C$23="No control",(SUMIF(Tank2!$B$32:$B$49,$J3021,Tank2!$C$32:$C$49)*Impacts!$F$9),0)</f>
        <v>0</v>
      </c>
      <c r="N3021" s="10">
        <f>IF(Tank3!$C$23="No control",(SUMIF(Tank3!$B$32:$B$49,$J3021,Tank3!$C$32:$C$49)*Impacts!$F$10),0)</f>
        <v>0</v>
      </c>
      <c r="O3021" s="10">
        <f>IF(Tank4!$C$23="No control",(SUMIF(Tank4!$B$32:$B$49,$J3021,Tank4!$C$32:$C$49)*Impacts!$F$11),0)</f>
        <v>0</v>
      </c>
      <c r="P3021" s="10">
        <f>IF(Tank5!$C$23="No control",(SUMIF(Tank5!$B$32:$B$49,$J3021,Tank5!$C$32:$C$49)*Impacts!$F$12),0)</f>
        <v>0</v>
      </c>
      <c r="Q3021" s="10">
        <f>IFERROR(IF(('Loading-drum,tote'!$C$21)="No control",SUMIF(('Loading-drum,tote'!$B$31:$B$48),$J3021,('Loading-drum,tote'!$D$31:$D$48))*Impacts!$F$13,IF(('Loading-drum,tote'!$C$21)&lt;&gt;"No control",SUMIF(('Loading-drum,tote'!$B$31:$B$48),$J3021,('Loading-drum,tote'!$E$31:$E$48))*Impacts!$F$13,0)),0)</f>
        <v>0</v>
      </c>
      <c r="R3021" s="10">
        <f>IFERROR(IF(('Loading-truck'!$C$21)="No control",SUMIF(('Loading-truck'!$B$31:$B$48),$J3021,('Loading-truck'!$D$31:$D$48))*Impacts!$F$14,IF(('Loading-truck'!$C$21)&lt;&gt;"No control",SUMIF(('Loading-truck'!$B$31:$B$48),$J3021,('Loading-truck'!$E$31:$E$48))*Impacts!$F$14,0)),0)</f>
        <v>0</v>
      </c>
      <c r="S3021" s="10">
        <f>IFERROR(IF(('Loading-rail'!$C$21)="No control",SUMIF(('Loading-rail'!$B$31:$B$48),$J3021,('Loading-rail'!$D$31:$D$48))*Impacts!$F$15,IF(('Loading-rail'!$C$21)&lt;&gt;"No control",SUMIF(('Loading-rail'!$B$31:$B$48),$J3021,('Loading-rail'!$E$31:$E$48))*Impacts!$F$15,0)),0)</f>
        <v>0</v>
      </c>
      <c r="T3021" s="10">
        <f>IF(Flare!$C$7="",0,(SUMIF(Flare!$B$46:$B$185,$J3021,Flare!$E$46:$E$185)*Impacts!$F$16))</f>
        <v>0</v>
      </c>
      <c r="U3021" s="10">
        <f>IF(VCU!$C$9="",0,(SUMIF(VCU!$B$51:$B$193,$J3021,VCU!$E$51:$E$193)*Impacts!$F$17))</f>
        <v>0</v>
      </c>
      <c r="V3021" s="10">
        <f>IF(CAS!$C$7="",0,(SUMIF(CAS!$B$31:$B$167,$J3021,CAS!$E$31:$E$167)*Impacts!$F$18))</f>
        <v>0</v>
      </c>
      <c r="W3021" s="10">
        <f t="shared" si="87"/>
        <v>0</v>
      </c>
      <c r="AK3021" s="10" t="str">
        <f t="array" ref="AK3021">IFERROR(INDEX(SelectedSpecies,SMALL(IF(SelectedSpecies=AK$1,ROW(SelectedSpecies)),ROW(3022:3022)),2),"")</f>
        <v/>
      </c>
      <c r="BE3021" s="10"/>
      <c r="BI3021" s="10"/>
    </row>
    <row r="3022" spans="1:61" ht="21" customHeight="1" x14ac:dyDescent="0.25">
      <c r="A3022" s="10"/>
      <c r="B3022" s="10"/>
      <c r="E3022" s="10"/>
      <c r="G3022" s="10"/>
      <c r="I3022" s="436" t="s">
        <v>3841</v>
      </c>
      <c r="J3022" s="26" t="s">
        <v>3840</v>
      </c>
      <c r="K3022" s="10">
        <v>6</v>
      </c>
      <c r="L3022" s="73">
        <f>IF(Tank1!$C$23="No control",(SUMIF(Tank1!$B$32:$B$49,$J3022,Tank1!$C$32:$C$49)*Impacts!$F$8),0)</f>
        <v>0</v>
      </c>
      <c r="M3022" s="10">
        <f>IF(Tank2!$C$23="No control",(SUMIF(Tank2!$B$32:$B$49,$J3022,Tank2!$C$32:$C$49)*Impacts!$F$9),0)</f>
        <v>0</v>
      </c>
      <c r="N3022" s="10">
        <f>IF(Tank3!$C$23="No control",(SUMIF(Tank3!$B$32:$B$49,$J3022,Tank3!$C$32:$C$49)*Impacts!$F$10),0)</f>
        <v>0</v>
      </c>
      <c r="O3022" s="10">
        <f>IF(Tank4!$C$23="No control",(SUMIF(Tank4!$B$32:$B$49,$J3022,Tank4!$C$32:$C$49)*Impacts!$F$11),0)</f>
        <v>0</v>
      </c>
      <c r="P3022" s="10">
        <f>IF(Tank5!$C$23="No control",(SUMIF(Tank5!$B$32:$B$49,$J3022,Tank5!$C$32:$C$49)*Impacts!$F$12),0)</f>
        <v>0</v>
      </c>
      <c r="Q3022" s="10">
        <f>IFERROR(IF(('Loading-drum,tote'!$C$21)="No control",SUMIF(('Loading-drum,tote'!$B$31:$B$48),$J3022,('Loading-drum,tote'!$D$31:$D$48))*Impacts!$F$13,IF(('Loading-drum,tote'!$C$21)&lt;&gt;"No control",SUMIF(('Loading-drum,tote'!$B$31:$B$48),$J3022,('Loading-drum,tote'!$E$31:$E$48))*Impacts!$F$13,0)),0)</f>
        <v>0</v>
      </c>
      <c r="R3022" s="10">
        <f>IFERROR(IF(('Loading-truck'!$C$21)="No control",SUMIF(('Loading-truck'!$B$31:$B$48),$J3022,('Loading-truck'!$D$31:$D$48))*Impacts!$F$14,IF(('Loading-truck'!$C$21)&lt;&gt;"No control",SUMIF(('Loading-truck'!$B$31:$B$48),$J3022,('Loading-truck'!$E$31:$E$48))*Impacts!$F$14,0)),0)</f>
        <v>0</v>
      </c>
      <c r="S3022" s="10">
        <f>IFERROR(IF(('Loading-rail'!$C$21)="No control",SUMIF(('Loading-rail'!$B$31:$B$48),$J3022,('Loading-rail'!$D$31:$D$48))*Impacts!$F$15,IF(('Loading-rail'!$C$21)&lt;&gt;"No control",SUMIF(('Loading-rail'!$B$31:$B$48),$J3022,('Loading-rail'!$E$31:$E$48))*Impacts!$F$15,0)),0)</f>
        <v>0</v>
      </c>
      <c r="T3022" s="10">
        <f>IF(Flare!$C$7="",0,(SUMIF(Flare!$B$46:$B$185,$J3022,Flare!$E$46:$E$185)*Impacts!$F$16))</f>
        <v>0</v>
      </c>
      <c r="U3022" s="10">
        <f>IF(VCU!$C$9="",0,(SUMIF(VCU!$B$51:$B$193,$J3022,VCU!$E$51:$E$193)*Impacts!$F$17))</f>
        <v>0</v>
      </c>
      <c r="V3022" s="10">
        <f>IF(CAS!$C$7="",0,(SUMIF(CAS!$B$31:$B$167,$J3022,CAS!$E$31:$E$167)*Impacts!$F$18))</f>
        <v>0</v>
      </c>
      <c r="W3022" s="10">
        <f t="shared" si="87"/>
        <v>0</v>
      </c>
      <c r="AK3022" s="10" t="str">
        <f t="array" ref="AK3022">IFERROR(INDEX(SelectedSpecies,SMALL(IF(SelectedSpecies=AK$1,ROW(SelectedSpecies)),ROW(3023:3023)),2),"")</f>
        <v/>
      </c>
      <c r="BE3022" s="10"/>
      <c r="BI3022" s="10"/>
    </row>
    <row r="3023" spans="1:61" ht="21" customHeight="1" x14ac:dyDescent="0.25">
      <c r="A3023" s="10"/>
      <c r="B3023" s="10"/>
      <c r="E3023" s="10"/>
      <c r="G3023" s="10"/>
      <c r="I3023" s="436" t="s">
        <v>3843</v>
      </c>
      <c r="J3023" s="26" t="s">
        <v>3842</v>
      </c>
      <c r="K3023" s="10">
        <v>6</v>
      </c>
      <c r="L3023" s="73">
        <f>IF(Tank1!$C$23="No control",(SUMIF(Tank1!$B$32:$B$49,$J3023,Tank1!$C$32:$C$49)*Impacts!$F$8),0)</f>
        <v>0</v>
      </c>
      <c r="M3023" s="10">
        <f>IF(Tank2!$C$23="No control",(SUMIF(Tank2!$B$32:$B$49,$J3023,Tank2!$C$32:$C$49)*Impacts!$F$9),0)</f>
        <v>0</v>
      </c>
      <c r="N3023" s="10">
        <f>IF(Tank3!$C$23="No control",(SUMIF(Tank3!$B$32:$B$49,$J3023,Tank3!$C$32:$C$49)*Impacts!$F$10),0)</f>
        <v>0</v>
      </c>
      <c r="O3023" s="10">
        <f>IF(Tank4!$C$23="No control",(SUMIF(Tank4!$B$32:$B$49,$J3023,Tank4!$C$32:$C$49)*Impacts!$F$11),0)</f>
        <v>0</v>
      </c>
      <c r="P3023" s="10">
        <f>IF(Tank5!$C$23="No control",(SUMIF(Tank5!$B$32:$B$49,$J3023,Tank5!$C$32:$C$49)*Impacts!$F$12),0)</f>
        <v>0</v>
      </c>
      <c r="Q3023" s="10">
        <f>IFERROR(IF(('Loading-drum,tote'!$C$21)="No control",SUMIF(('Loading-drum,tote'!$B$31:$B$48),$J3023,('Loading-drum,tote'!$D$31:$D$48))*Impacts!$F$13,IF(('Loading-drum,tote'!$C$21)&lt;&gt;"No control",SUMIF(('Loading-drum,tote'!$B$31:$B$48),$J3023,('Loading-drum,tote'!$E$31:$E$48))*Impacts!$F$13,0)),0)</f>
        <v>0</v>
      </c>
      <c r="R3023" s="10">
        <f>IFERROR(IF(('Loading-truck'!$C$21)="No control",SUMIF(('Loading-truck'!$B$31:$B$48),$J3023,('Loading-truck'!$D$31:$D$48))*Impacts!$F$14,IF(('Loading-truck'!$C$21)&lt;&gt;"No control",SUMIF(('Loading-truck'!$B$31:$B$48),$J3023,('Loading-truck'!$E$31:$E$48))*Impacts!$F$14,0)),0)</f>
        <v>0</v>
      </c>
      <c r="S3023" s="10">
        <f>IFERROR(IF(('Loading-rail'!$C$21)="No control",SUMIF(('Loading-rail'!$B$31:$B$48),$J3023,('Loading-rail'!$D$31:$D$48))*Impacts!$F$15,IF(('Loading-rail'!$C$21)&lt;&gt;"No control",SUMIF(('Loading-rail'!$B$31:$B$48),$J3023,('Loading-rail'!$E$31:$E$48))*Impacts!$F$15,0)),0)</f>
        <v>0</v>
      </c>
      <c r="T3023" s="10">
        <f>IF(Flare!$C$7="",0,(SUMIF(Flare!$B$46:$B$185,$J3023,Flare!$E$46:$E$185)*Impacts!$F$16))</f>
        <v>0</v>
      </c>
      <c r="U3023" s="10">
        <f>IF(VCU!$C$9="",0,(SUMIF(VCU!$B$51:$B$193,$J3023,VCU!$E$51:$E$193)*Impacts!$F$17))</f>
        <v>0</v>
      </c>
      <c r="V3023" s="10">
        <f>IF(CAS!$C$7="",0,(SUMIF(CAS!$B$31:$B$167,$J3023,CAS!$E$31:$E$167)*Impacts!$F$18))</f>
        <v>0</v>
      </c>
      <c r="W3023" s="10">
        <f t="shared" si="87"/>
        <v>0</v>
      </c>
      <c r="AK3023" s="10" t="str">
        <f t="array" ref="AK3023">IFERROR(INDEX(SelectedSpecies,SMALL(IF(SelectedSpecies=AK$1,ROW(SelectedSpecies)),ROW(3024:3024)),2),"")</f>
        <v/>
      </c>
      <c r="BE3023" s="10"/>
      <c r="BI3023" s="10"/>
    </row>
    <row r="3024" spans="1:61" ht="21" customHeight="1" x14ac:dyDescent="0.25">
      <c r="A3024" s="10"/>
      <c r="B3024" s="10"/>
      <c r="E3024" s="10"/>
      <c r="G3024" s="10"/>
      <c r="I3024" s="436" t="s">
        <v>3845</v>
      </c>
      <c r="J3024" s="26" t="s">
        <v>3844</v>
      </c>
      <c r="K3024" s="10">
        <v>6</v>
      </c>
      <c r="L3024" s="73">
        <f>IF(Tank1!$C$23="No control",(SUMIF(Tank1!$B$32:$B$49,$J3024,Tank1!$C$32:$C$49)*Impacts!$F$8),0)</f>
        <v>0</v>
      </c>
      <c r="M3024" s="10">
        <f>IF(Tank2!$C$23="No control",(SUMIF(Tank2!$B$32:$B$49,$J3024,Tank2!$C$32:$C$49)*Impacts!$F$9),0)</f>
        <v>0</v>
      </c>
      <c r="N3024" s="10">
        <f>IF(Tank3!$C$23="No control",(SUMIF(Tank3!$B$32:$B$49,$J3024,Tank3!$C$32:$C$49)*Impacts!$F$10),0)</f>
        <v>0</v>
      </c>
      <c r="O3024" s="10">
        <f>IF(Tank4!$C$23="No control",(SUMIF(Tank4!$B$32:$B$49,$J3024,Tank4!$C$32:$C$49)*Impacts!$F$11),0)</f>
        <v>0</v>
      </c>
      <c r="P3024" s="10">
        <f>IF(Tank5!$C$23="No control",(SUMIF(Tank5!$B$32:$B$49,$J3024,Tank5!$C$32:$C$49)*Impacts!$F$12),0)</f>
        <v>0</v>
      </c>
      <c r="Q3024" s="10">
        <f>IFERROR(IF(('Loading-drum,tote'!$C$21)="No control",SUMIF(('Loading-drum,tote'!$B$31:$B$48),$J3024,('Loading-drum,tote'!$D$31:$D$48))*Impacts!$F$13,IF(('Loading-drum,tote'!$C$21)&lt;&gt;"No control",SUMIF(('Loading-drum,tote'!$B$31:$B$48),$J3024,('Loading-drum,tote'!$E$31:$E$48))*Impacts!$F$13,0)),0)</f>
        <v>0</v>
      </c>
      <c r="R3024" s="10">
        <f>IFERROR(IF(('Loading-truck'!$C$21)="No control",SUMIF(('Loading-truck'!$B$31:$B$48),$J3024,('Loading-truck'!$D$31:$D$48))*Impacts!$F$14,IF(('Loading-truck'!$C$21)&lt;&gt;"No control",SUMIF(('Loading-truck'!$B$31:$B$48),$J3024,('Loading-truck'!$E$31:$E$48))*Impacts!$F$14,0)),0)</f>
        <v>0</v>
      </c>
      <c r="S3024" s="10">
        <f>IFERROR(IF(('Loading-rail'!$C$21)="No control",SUMIF(('Loading-rail'!$B$31:$B$48),$J3024,('Loading-rail'!$D$31:$D$48))*Impacts!$F$15,IF(('Loading-rail'!$C$21)&lt;&gt;"No control",SUMIF(('Loading-rail'!$B$31:$B$48),$J3024,('Loading-rail'!$E$31:$E$48))*Impacts!$F$15,0)),0)</f>
        <v>0</v>
      </c>
      <c r="T3024" s="10">
        <f>IF(Flare!$C$7="",0,(SUMIF(Flare!$B$46:$B$185,$J3024,Flare!$E$46:$E$185)*Impacts!$F$16))</f>
        <v>0</v>
      </c>
      <c r="U3024" s="10">
        <f>IF(VCU!$C$9="",0,(SUMIF(VCU!$B$51:$B$193,$J3024,VCU!$E$51:$E$193)*Impacts!$F$17))</f>
        <v>0</v>
      </c>
      <c r="V3024" s="10">
        <f>IF(CAS!$C$7="",0,(SUMIF(CAS!$B$31:$B$167,$J3024,CAS!$E$31:$E$167)*Impacts!$F$18))</f>
        <v>0</v>
      </c>
      <c r="W3024" s="10">
        <f t="shared" si="87"/>
        <v>0</v>
      </c>
      <c r="AK3024" s="10" t="str">
        <f t="array" ref="AK3024">IFERROR(INDEX(SelectedSpecies,SMALL(IF(SelectedSpecies=AK$1,ROW(SelectedSpecies)),ROW(3025:3025)),2),"")</f>
        <v/>
      </c>
      <c r="BE3024" s="10"/>
      <c r="BI3024" s="10"/>
    </row>
    <row r="3025" spans="1:61" ht="21" customHeight="1" x14ac:dyDescent="0.25">
      <c r="A3025" s="10"/>
      <c r="B3025" s="10"/>
      <c r="E3025" s="10"/>
      <c r="G3025" s="10"/>
      <c r="I3025" s="436" t="s">
        <v>3847</v>
      </c>
      <c r="J3025" s="26" t="s">
        <v>3846</v>
      </c>
      <c r="K3025" s="10">
        <v>6</v>
      </c>
      <c r="L3025" s="73">
        <f>IF(Tank1!$C$23="No control",(SUMIF(Tank1!$B$32:$B$49,$J3025,Tank1!$C$32:$C$49)*Impacts!$F$8),0)</f>
        <v>0</v>
      </c>
      <c r="M3025" s="10">
        <f>IF(Tank2!$C$23="No control",(SUMIF(Tank2!$B$32:$B$49,$J3025,Tank2!$C$32:$C$49)*Impacts!$F$9),0)</f>
        <v>0</v>
      </c>
      <c r="N3025" s="10">
        <f>IF(Tank3!$C$23="No control",(SUMIF(Tank3!$B$32:$B$49,$J3025,Tank3!$C$32:$C$49)*Impacts!$F$10),0)</f>
        <v>0</v>
      </c>
      <c r="O3025" s="10">
        <f>IF(Tank4!$C$23="No control",(SUMIF(Tank4!$B$32:$B$49,$J3025,Tank4!$C$32:$C$49)*Impacts!$F$11),0)</f>
        <v>0</v>
      </c>
      <c r="P3025" s="10">
        <f>IF(Tank5!$C$23="No control",(SUMIF(Tank5!$B$32:$B$49,$J3025,Tank5!$C$32:$C$49)*Impacts!$F$12),0)</f>
        <v>0</v>
      </c>
      <c r="Q3025" s="10">
        <f>IFERROR(IF(('Loading-drum,tote'!$C$21)="No control",SUMIF(('Loading-drum,tote'!$B$31:$B$48),$J3025,('Loading-drum,tote'!$D$31:$D$48))*Impacts!$F$13,IF(('Loading-drum,tote'!$C$21)&lt;&gt;"No control",SUMIF(('Loading-drum,tote'!$B$31:$B$48),$J3025,('Loading-drum,tote'!$E$31:$E$48))*Impacts!$F$13,0)),0)</f>
        <v>0</v>
      </c>
      <c r="R3025" s="10">
        <f>IFERROR(IF(('Loading-truck'!$C$21)="No control",SUMIF(('Loading-truck'!$B$31:$B$48),$J3025,('Loading-truck'!$D$31:$D$48))*Impacts!$F$14,IF(('Loading-truck'!$C$21)&lt;&gt;"No control",SUMIF(('Loading-truck'!$B$31:$B$48),$J3025,('Loading-truck'!$E$31:$E$48))*Impacts!$F$14,0)),0)</f>
        <v>0</v>
      </c>
      <c r="S3025" s="10">
        <f>IFERROR(IF(('Loading-rail'!$C$21)="No control",SUMIF(('Loading-rail'!$B$31:$B$48),$J3025,('Loading-rail'!$D$31:$D$48))*Impacts!$F$15,IF(('Loading-rail'!$C$21)&lt;&gt;"No control",SUMIF(('Loading-rail'!$B$31:$B$48),$J3025,('Loading-rail'!$E$31:$E$48))*Impacts!$F$15,0)),0)</f>
        <v>0</v>
      </c>
      <c r="T3025" s="10">
        <f>IF(Flare!$C$7="",0,(SUMIF(Flare!$B$46:$B$185,$J3025,Flare!$E$46:$E$185)*Impacts!$F$16))</f>
        <v>0</v>
      </c>
      <c r="U3025" s="10">
        <f>IF(VCU!$C$9="",0,(SUMIF(VCU!$B$51:$B$193,$J3025,VCU!$E$51:$E$193)*Impacts!$F$17))</f>
        <v>0</v>
      </c>
      <c r="V3025" s="10">
        <f>IF(CAS!$C$7="",0,(SUMIF(CAS!$B$31:$B$167,$J3025,CAS!$E$31:$E$167)*Impacts!$F$18))</f>
        <v>0</v>
      </c>
      <c r="W3025" s="10">
        <f t="shared" si="87"/>
        <v>0</v>
      </c>
      <c r="AK3025" s="10" t="str">
        <f t="array" ref="AK3025">IFERROR(INDEX(SelectedSpecies,SMALL(IF(SelectedSpecies=AK$1,ROW(SelectedSpecies)),ROW(3026:3026)),2),"")</f>
        <v/>
      </c>
      <c r="BE3025" s="10"/>
      <c r="BI3025" s="10"/>
    </row>
    <row r="3026" spans="1:61" ht="21" customHeight="1" x14ac:dyDescent="0.25">
      <c r="A3026" s="10"/>
      <c r="B3026" s="10"/>
      <c r="E3026" s="10"/>
      <c r="G3026" s="10"/>
      <c r="I3026" s="436" t="s">
        <v>3849</v>
      </c>
      <c r="J3026" s="26" t="s">
        <v>3848</v>
      </c>
      <c r="K3026" s="10">
        <v>6</v>
      </c>
      <c r="L3026" s="73">
        <f>IF(Tank1!$C$23="No control",(SUMIF(Tank1!$B$32:$B$49,$J3026,Tank1!$C$32:$C$49)*Impacts!$F$8),0)</f>
        <v>0</v>
      </c>
      <c r="M3026" s="10">
        <f>IF(Tank2!$C$23="No control",(SUMIF(Tank2!$B$32:$B$49,$J3026,Tank2!$C$32:$C$49)*Impacts!$F$9),0)</f>
        <v>0</v>
      </c>
      <c r="N3026" s="10">
        <f>IF(Tank3!$C$23="No control",(SUMIF(Tank3!$B$32:$B$49,$J3026,Tank3!$C$32:$C$49)*Impacts!$F$10),0)</f>
        <v>0</v>
      </c>
      <c r="O3026" s="10">
        <f>IF(Tank4!$C$23="No control",(SUMIF(Tank4!$B$32:$B$49,$J3026,Tank4!$C$32:$C$49)*Impacts!$F$11),0)</f>
        <v>0</v>
      </c>
      <c r="P3026" s="10">
        <f>IF(Tank5!$C$23="No control",(SUMIF(Tank5!$B$32:$B$49,$J3026,Tank5!$C$32:$C$49)*Impacts!$F$12),0)</f>
        <v>0</v>
      </c>
      <c r="Q3026" s="10">
        <f>IFERROR(IF(('Loading-drum,tote'!$C$21)="No control",SUMIF(('Loading-drum,tote'!$B$31:$B$48),$J3026,('Loading-drum,tote'!$D$31:$D$48))*Impacts!$F$13,IF(('Loading-drum,tote'!$C$21)&lt;&gt;"No control",SUMIF(('Loading-drum,tote'!$B$31:$B$48),$J3026,('Loading-drum,tote'!$E$31:$E$48))*Impacts!$F$13,0)),0)</f>
        <v>0</v>
      </c>
      <c r="R3026" s="10">
        <f>IFERROR(IF(('Loading-truck'!$C$21)="No control",SUMIF(('Loading-truck'!$B$31:$B$48),$J3026,('Loading-truck'!$D$31:$D$48))*Impacts!$F$14,IF(('Loading-truck'!$C$21)&lt;&gt;"No control",SUMIF(('Loading-truck'!$B$31:$B$48),$J3026,('Loading-truck'!$E$31:$E$48))*Impacts!$F$14,0)),0)</f>
        <v>0</v>
      </c>
      <c r="S3026" s="10">
        <f>IFERROR(IF(('Loading-rail'!$C$21)="No control",SUMIF(('Loading-rail'!$B$31:$B$48),$J3026,('Loading-rail'!$D$31:$D$48))*Impacts!$F$15,IF(('Loading-rail'!$C$21)&lt;&gt;"No control",SUMIF(('Loading-rail'!$B$31:$B$48),$J3026,('Loading-rail'!$E$31:$E$48))*Impacts!$F$15,0)),0)</f>
        <v>0</v>
      </c>
      <c r="T3026" s="10">
        <f>IF(Flare!$C$7="",0,(SUMIF(Flare!$B$46:$B$185,$J3026,Flare!$E$46:$E$185)*Impacts!$F$16))</f>
        <v>0</v>
      </c>
      <c r="U3026" s="10">
        <f>IF(VCU!$C$9="",0,(SUMIF(VCU!$B$51:$B$193,$J3026,VCU!$E$51:$E$193)*Impacts!$F$17))</f>
        <v>0</v>
      </c>
      <c r="V3026" s="10">
        <f>IF(CAS!$C$7="",0,(SUMIF(CAS!$B$31:$B$167,$J3026,CAS!$E$31:$E$167)*Impacts!$F$18))</f>
        <v>0</v>
      </c>
      <c r="W3026" s="10">
        <f t="shared" si="87"/>
        <v>0</v>
      </c>
      <c r="AK3026" s="10" t="str">
        <f t="array" ref="AK3026">IFERROR(INDEX(SelectedSpecies,SMALL(IF(SelectedSpecies=AK$1,ROW(SelectedSpecies)),ROW(3027:3027)),2),"")</f>
        <v/>
      </c>
      <c r="BE3026" s="10"/>
      <c r="BI3026" s="10"/>
    </row>
    <row r="3027" spans="1:61" ht="21" customHeight="1" x14ac:dyDescent="0.25">
      <c r="A3027" s="10"/>
      <c r="B3027" s="10"/>
      <c r="E3027" s="10"/>
      <c r="G3027" s="10"/>
      <c r="I3027" s="436" t="s">
        <v>3997</v>
      </c>
      <c r="J3027" s="26" t="s">
        <v>3996</v>
      </c>
      <c r="K3027" s="10">
        <v>6</v>
      </c>
      <c r="L3027" s="73">
        <f>IF(Tank1!$C$23="No control",(SUMIF(Tank1!$B$32:$B$49,$J3027,Tank1!$C$32:$C$49)*Impacts!$F$8),0)</f>
        <v>0</v>
      </c>
      <c r="M3027" s="10">
        <f>IF(Tank2!$C$23="No control",(SUMIF(Tank2!$B$32:$B$49,$J3027,Tank2!$C$32:$C$49)*Impacts!$F$9),0)</f>
        <v>0</v>
      </c>
      <c r="N3027" s="10">
        <f>IF(Tank3!$C$23="No control",(SUMIF(Tank3!$B$32:$B$49,$J3027,Tank3!$C$32:$C$49)*Impacts!$F$10),0)</f>
        <v>0</v>
      </c>
      <c r="O3027" s="10">
        <f>IF(Tank4!$C$23="No control",(SUMIF(Tank4!$B$32:$B$49,$J3027,Tank4!$C$32:$C$49)*Impacts!$F$11),0)</f>
        <v>0</v>
      </c>
      <c r="P3027" s="10">
        <f>IF(Tank5!$C$23="No control",(SUMIF(Tank5!$B$32:$B$49,$J3027,Tank5!$C$32:$C$49)*Impacts!$F$12),0)</f>
        <v>0</v>
      </c>
      <c r="Q3027" s="10">
        <f>IFERROR(IF(('Loading-drum,tote'!$C$21)="No control",SUMIF(('Loading-drum,tote'!$B$31:$B$48),$J3027,('Loading-drum,tote'!$D$31:$D$48))*Impacts!$F$13,IF(('Loading-drum,tote'!$C$21)&lt;&gt;"No control",SUMIF(('Loading-drum,tote'!$B$31:$B$48),$J3027,('Loading-drum,tote'!$E$31:$E$48))*Impacts!$F$13,0)),0)</f>
        <v>0</v>
      </c>
      <c r="R3027" s="10">
        <f>IFERROR(IF(('Loading-truck'!$C$21)="No control",SUMIF(('Loading-truck'!$B$31:$B$48),$J3027,('Loading-truck'!$D$31:$D$48))*Impacts!$F$14,IF(('Loading-truck'!$C$21)&lt;&gt;"No control",SUMIF(('Loading-truck'!$B$31:$B$48),$J3027,('Loading-truck'!$E$31:$E$48))*Impacts!$F$14,0)),0)</f>
        <v>0</v>
      </c>
      <c r="S3027" s="10">
        <f>IFERROR(IF(('Loading-rail'!$C$21)="No control",SUMIF(('Loading-rail'!$B$31:$B$48),$J3027,('Loading-rail'!$D$31:$D$48))*Impacts!$F$15,IF(('Loading-rail'!$C$21)&lt;&gt;"No control",SUMIF(('Loading-rail'!$B$31:$B$48),$J3027,('Loading-rail'!$E$31:$E$48))*Impacts!$F$15,0)),0)</f>
        <v>0</v>
      </c>
      <c r="T3027" s="10">
        <f>IF(Flare!$C$7="",0,(SUMIF(Flare!$B$46:$B$185,$J3027,Flare!$E$46:$E$185)*Impacts!$F$16))</f>
        <v>0</v>
      </c>
      <c r="U3027" s="10">
        <f>IF(VCU!$C$9="",0,(SUMIF(VCU!$B$51:$B$193,$J3027,VCU!$E$51:$E$193)*Impacts!$F$17))</f>
        <v>0</v>
      </c>
      <c r="V3027" s="10">
        <f>IF(CAS!$C$7="",0,(SUMIF(CAS!$B$31:$B$167,$J3027,CAS!$E$31:$E$167)*Impacts!$F$18))</f>
        <v>0</v>
      </c>
      <c r="W3027" s="10">
        <f t="shared" si="87"/>
        <v>0</v>
      </c>
      <c r="AK3027" s="10" t="str">
        <f t="array" ref="AK3027">IFERROR(INDEX(SelectedSpecies,SMALL(IF(SelectedSpecies=AK$1,ROW(SelectedSpecies)),ROW(3028:3028)),2),"")</f>
        <v/>
      </c>
      <c r="BE3027" s="10"/>
      <c r="BI3027" s="10"/>
    </row>
    <row r="3028" spans="1:61" ht="21" customHeight="1" x14ac:dyDescent="0.25">
      <c r="A3028" s="10"/>
      <c r="B3028" s="10"/>
      <c r="E3028" s="10"/>
      <c r="G3028" s="10"/>
      <c r="I3028" s="436" t="s">
        <v>6088</v>
      </c>
      <c r="J3028" s="26" t="s">
        <v>6087</v>
      </c>
      <c r="K3028" s="10">
        <v>1</v>
      </c>
      <c r="L3028" s="73">
        <f>IF(Tank1!$C$23="No control",(SUMIF(Tank1!$B$32:$B$49,$J3028,Tank1!$C$32:$C$49)*Impacts!$F$8),0)</f>
        <v>0</v>
      </c>
      <c r="M3028" s="10">
        <f>IF(Tank2!$C$23="No control",(SUMIF(Tank2!$B$32:$B$49,$J3028,Tank2!$C$32:$C$49)*Impacts!$F$9),0)</f>
        <v>0</v>
      </c>
      <c r="N3028" s="10">
        <f>IF(Tank3!$C$23="No control",(SUMIF(Tank3!$B$32:$B$49,$J3028,Tank3!$C$32:$C$49)*Impacts!$F$10),0)</f>
        <v>0</v>
      </c>
      <c r="O3028" s="10">
        <f>IF(Tank4!$C$23="No control",(SUMIF(Tank4!$B$32:$B$49,$J3028,Tank4!$C$32:$C$49)*Impacts!$F$11),0)</f>
        <v>0</v>
      </c>
      <c r="P3028" s="10">
        <f>IF(Tank5!$C$23="No control",(SUMIF(Tank5!$B$32:$B$49,$J3028,Tank5!$C$32:$C$49)*Impacts!$F$12),0)</f>
        <v>0</v>
      </c>
      <c r="Q3028" s="10">
        <f>IFERROR(IF(('Loading-drum,tote'!$C$21)="No control",SUMIF(('Loading-drum,tote'!$B$31:$B$48),$J3028,('Loading-drum,tote'!$D$31:$D$48))*Impacts!$F$13,IF(('Loading-drum,tote'!$C$21)&lt;&gt;"No control",SUMIF(('Loading-drum,tote'!$B$31:$B$48),$J3028,('Loading-drum,tote'!$E$31:$E$48))*Impacts!$F$13,0)),0)</f>
        <v>0</v>
      </c>
      <c r="R3028" s="10">
        <f>IFERROR(IF(('Loading-truck'!$C$21)="No control",SUMIF(('Loading-truck'!$B$31:$B$48),$J3028,('Loading-truck'!$D$31:$D$48))*Impacts!$F$14,IF(('Loading-truck'!$C$21)&lt;&gt;"No control",SUMIF(('Loading-truck'!$B$31:$B$48),$J3028,('Loading-truck'!$E$31:$E$48))*Impacts!$F$14,0)),0)</f>
        <v>0</v>
      </c>
      <c r="S3028" s="10">
        <f>IFERROR(IF(('Loading-rail'!$C$21)="No control",SUMIF(('Loading-rail'!$B$31:$B$48),$J3028,('Loading-rail'!$D$31:$D$48))*Impacts!$F$15,IF(('Loading-rail'!$C$21)&lt;&gt;"No control",SUMIF(('Loading-rail'!$B$31:$B$48),$J3028,('Loading-rail'!$E$31:$E$48))*Impacts!$F$15,0)),0)</f>
        <v>0</v>
      </c>
      <c r="T3028" s="10">
        <f>IF(Flare!$C$7="",0,(SUMIF(Flare!$B$46:$B$185,$J3028,Flare!$E$46:$E$185)*Impacts!$F$16))</f>
        <v>0</v>
      </c>
      <c r="U3028" s="10">
        <f>IF(VCU!$C$9="",0,(SUMIF(VCU!$B$51:$B$193,$J3028,VCU!$E$51:$E$193)*Impacts!$F$17))</f>
        <v>0</v>
      </c>
      <c r="V3028" s="10">
        <f>IF(CAS!$C$7="",0,(SUMIF(CAS!$B$31:$B$167,$J3028,CAS!$E$31:$E$167)*Impacts!$F$18))</f>
        <v>0</v>
      </c>
      <c r="W3028" s="10">
        <f t="shared" si="87"/>
        <v>0</v>
      </c>
      <c r="AK3028" s="10" t="str">
        <f t="array" ref="AK3028">IFERROR(INDEX(SelectedSpecies,SMALL(IF(SelectedSpecies=AK$1,ROW(SelectedSpecies)),ROW(3029:3029)),2),"")</f>
        <v/>
      </c>
      <c r="BE3028" s="10"/>
      <c r="BI3028" s="10"/>
    </row>
    <row r="3029" spans="1:61" ht="21" customHeight="1" x14ac:dyDescent="0.25">
      <c r="A3029" s="10"/>
      <c r="B3029" s="10"/>
      <c r="E3029" s="10"/>
      <c r="G3029" s="10"/>
      <c r="I3029" s="436" t="s">
        <v>3205</v>
      </c>
      <c r="J3029" s="26" t="s">
        <v>3204</v>
      </c>
      <c r="K3029" s="10">
        <v>10</v>
      </c>
      <c r="L3029" s="73">
        <f>IF(Tank1!$C$23="No control",(SUMIF(Tank1!$B$32:$B$49,$J3029,Tank1!$C$32:$C$49)*Impacts!$F$8),0)</f>
        <v>0</v>
      </c>
      <c r="M3029" s="10">
        <f>IF(Tank2!$C$23="No control",(SUMIF(Tank2!$B$32:$B$49,$J3029,Tank2!$C$32:$C$49)*Impacts!$F$9),0)</f>
        <v>0</v>
      </c>
      <c r="N3029" s="10">
        <f>IF(Tank3!$C$23="No control",(SUMIF(Tank3!$B$32:$B$49,$J3029,Tank3!$C$32:$C$49)*Impacts!$F$10),0)</f>
        <v>0</v>
      </c>
      <c r="O3029" s="10">
        <f>IF(Tank4!$C$23="No control",(SUMIF(Tank4!$B$32:$B$49,$J3029,Tank4!$C$32:$C$49)*Impacts!$F$11),0)</f>
        <v>0</v>
      </c>
      <c r="P3029" s="10">
        <f>IF(Tank5!$C$23="No control",(SUMIF(Tank5!$B$32:$B$49,$J3029,Tank5!$C$32:$C$49)*Impacts!$F$12),0)</f>
        <v>0</v>
      </c>
      <c r="Q3029" s="10">
        <f>IFERROR(IF(('Loading-drum,tote'!$C$21)="No control",SUMIF(('Loading-drum,tote'!$B$31:$B$48),$J3029,('Loading-drum,tote'!$D$31:$D$48))*Impacts!$F$13,IF(('Loading-drum,tote'!$C$21)&lt;&gt;"No control",SUMIF(('Loading-drum,tote'!$B$31:$B$48),$J3029,('Loading-drum,tote'!$E$31:$E$48))*Impacts!$F$13,0)),0)</f>
        <v>0</v>
      </c>
      <c r="R3029" s="10">
        <f>IFERROR(IF(('Loading-truck'!$C$21)="No control",SUMIF(('Loading-truck'!$B$31:$B$48),$J3029,('Loading-truck'!$D$31:$D$48))*Impacts!$F$14,IF(('Loading-truck'!$C$21)&lt;&gt;"No control",SUMIF(('Loading-truck'!$B$31:$B$48),$J3029,('Loading-truck'!$E$31:$E$48))*Impacts!$F$14,0)),0)</f>
        <v>0</v>
      </c>
      <c r="S3029" s="10">
        <f>IFERROR(IF(('Loading-rail'!$C$21)="No control",SUMIF(('Loading-rail'!$B$31:$B$48),$J3029,('Loading-rail'!$D$31:$D$48))*Impacts!$F$15,IF(('Loading-rail'!$C$21)&lt;&gt;"No control",SUMIF(('Loading-rail'!$B$31:$B$48),$J3029,('Loading-rail'!$E$31:$E$48))*Impacts!$F$15,0)),0)</f>
        <v>0</v>
      </c>
      <c r="T3029" s="10">
        <f>IF(Flare!$C$7="",0,(SUMIF(Flare!$B$46:$B$185,$J3029,Flare!$E$46:$E$185)*Impacts!$F$16))</f>
        <v>0</v>
      </c>
      <c r="U3029" s="10">
        <f>IF(VCU!$C$9="",0,(SUMIF(VCU!$B$51:$B$193,$J3029,VCU!$E$51:$E$193)*Impacts!$F$17))</f>
        <v>0</v>
      </c>
      <c r="V3029" s="10">
        <f>IF(CAS!$C$7="",0,(SUMIF(CAS!$B$31:$B$167,$J3029,CAS!$E$31:$E$167)*Impacts!$F$18))</f>
        <v>0</v>
      </c>
      <c r="W3029" s="10">
        <f t="shared" si="87"/>
        <v>0</v>
      </c>
      <c r="AK3029" s="10" t="str">
        <f t="array" ref="AK3029">IFERROR(INDEX(SelectedSpecies,SMALL(IF(SelectedSpecies=AK$1,ROW(SelectedSpecies)),ROW(3030:3030)),2),"")</f>
        <v/>
      </c>
      <c r="BE3029" s="10"/>
      <c r="BI3029" s="10"/>
    </row>
    <row r="3030" spans="1:61" ht="21" customHeight="1" x14ac:dyDescent="0.25">
      <c r="A3030" s="10"/>
      <c r="B3030" s="10"/>
      <c r="E3030" s="10"/>
      <c r="G3030" s="10"/>
      <c r="I3030" s="436" t="s">
        <v>3207</v>
      </c>
      <c r="J3030" s="26" t="s">
        <v>3206</v>
      </c>
      <c r="K3030" s="10">
        <v>10</v>
      </c>
      <c r="L3030" s="73">
        <f>IF(Tank1!$C$23="No control",(SUMIF(Tank1!$B$32:$B$49,$J3030,Tank1!$C$32:$C$49)*Impacts!$F$8),0)</f>
        <v>0</v>
      </c>
      <c r="M3030" s="10">
        <f>IF(Tank2!$C$23="No control",(SUMIF(Tank2!$B$32:$B$49,$J3030,Tank2!$C$32:$C$49)*Impacts!$F$9),0)</f>
        <v>0</v>
      </c>
      <c r="N3030" s="10">
        <f>IF(Tank3!$C$23="No control",(SUMIF(Tank3!$B$32:$B$49,$J3030,Tank3!$C$32:$C$49)*Impacts!$F$10),0)</f>
        <v>0</v>
      </c>
      <c r="O3030" s="10">
        <f>IF(Tank4!$C$23="No control",(SUMIF(Tank4!$B$32:$B$49,$J3030,Tank4!$C$32:$C$49)*Impacts!$F$11),0)</f>
        <v>0</v>
      </c>
      <c r="P3030" s="10">
        <f>IF(Tank5!$C$23="No control",(SUMIF(Tank5!$B$32:$B$49,$J3030,Tank5!$C$32:$C$49)*Impacts!$F$12),0)</f>
        <v>0</v>
      </c>
      <c r="Q3030" s="10">
        <f>IFERROR(IF(('Loading-drum,tote'!$C$21)="No control",SUMIF(('Loading-drum,tote'!$B$31:$B$48),$J3030,('Loading-drum,tote'!$D$31:$D$48))*Impacts!$F$13,IF(('Loading-drum,tote'!$C$21)&lt;&gt;"No control",SUMIF(('Loading-drum,tote'!$B$31:$B$48),$J3030,('Loading-drum,tote'!$E$31:$E$48))*Impacts!$F$13,0)),0)</f>
        <v>0</v>
      </c>
      <c r="R3030" s="10">
        <f>IFERROR(IF(('Loading-truck'!$C$21)="No control",SUMIF(('Loading-truck'!$B$31:$B$48),$J3030,('Loading-truck'!$D$31:$D$48))*Impacts!$F$14,IF(('Loading-truck'!$C$21)&lt;&gt;"No control",SUMIF(('Loading-truck'!$B$31:$B$48),$J3030,('Loading-truck'!$E$31:$E$48))*Impacts!$F$14,0)),0)</f>
        <v>0</v>
      </c>
      <c r="S3030" s="10">
        <f>IFERROR(IF(('Loading-rail'!$C$21)="No control",SUMIF(('Loading-rail'!$B$31:$B$48),$J3030,('Loading-rail'!$D$31:$D$48))*Impacts!$F$15,IF(('Loading-rail'!$C$21)&lt;&gt;"No control",SUMIF(('Loading-rail'!$B$31:$B$48),$J3030,('Loading-rail'!$E$31:$E$48))*Impacts!$F$15,0)),0)</f>
        <v>0</v>
      </c>
      <c r="T3030" s="10">
        <f>IF(Flare!$C$7="",0,(SUMIF(Flare!$B$46:$B$185,$J3030,Flare!$E$46:$E$185)*Impacts!$F$16))</f>
        <v>0</v>
      </c>
      <c r="U3030" s="10">
        <f>IF(VCU!$C$9="",0,(SUMIF(VCU!$B$51:$B$193,$J3030,VCU!$E$51:$E$193)*Impacts!$F$17))</f>
        <v>0</v>
      </c>
      <c r="V3030" s="10">
        <f>IF(CAS!$C$7="",0,(SUMIF(CAS!$B$31:$B$167,$J3030,CAS!$E$31:$E$167)*Impacts!$F$18))</f>
        <v>0</v>
      </c>
      <c r="W3030" s="10">
        <f t="shared" si="87"/>
        <v>0</v>
      </c>
      <c r="AK3030" s="10" t="str">
        <f t="array" ref="AK3030">IFERROR(INDEX(SelectedSpecies,SMALL(IF(SelectedSpecies=AK$1,ROW(SelectedSpecies)),ROW(3031:3031)),2),"")</f>
        <v/>
      </c>
      <c r="BE3030" s="10"/>
      <c r="BI3030" s="10"/>
    </row>
    <row r="3031" spans="1:61" ht="21" customHeight="1" x14ac:dyDescent="0.25">
      <c r="A3031" s="10"/>
      <c r="B3031" s="10"/>
      <c r="E3031" s="10"/>
      <c r="G3031" s="10"/>
      <c r="I3031" s="436" t="s">
        <v>6090</v>
      </c>
      <c r="J3031" s="26" t="s">
        <v>6089</v>
      </c>
      <c r="K3031" s="10">
        <v>1</v>
      </c>
      <c r="L3031" s="73">
        <f>IF(Tank1!$C$23="No control",(SUMIF(Tank1!$B$32:$B$49,$J3031,Tank1!$C$32:$C$49)*Impacts!$F$8),0)</f>
        <v>0</v>
      </c>
      <c r="M3031" s="10">
        <f>IF(Tank2!$C$23="No control",(SUMIF(Tank2!$B$32:$B$49,$J3031,Tank2!$C$32:$C$49)*Impacts!$F$9),0)</f>
        <v>0</v>
      </c>
      <c r="N3031" s="10">
        <f>IF(Tank3!$C$23="No control",(SUMIF(Tank3!$B$32:$B$49,$J3031,Tank3!$C$32:$C$49)*Impacts!$F$10),0)</f>
        <v>0</v>
      </c>
      <c r="O3031" s="10">
        <f>IF(Tank4!$C$23="No control",(SUMIF(Tank4!$B$32:$B$49,$J3031,Tank4!$C$32:$C$49)*Impacts!$F$11),0)</f>
        <v>0</v>
      </c>
      <c r="P3031" s="10">
        <f>IF(Tank5!$C$23="No control",(SUMIF(Tank5!$B$32:$B$49,$J3031,Tank5!$C$32:$C$49)*Impacts!$F$12),0)</f>
        <v>0</v>
      </c>
      <c r="Q3031" s="10">
        <f>IFERROR(IF(('Loading-drum,tote'!$C$21)="No control",SUMIF(('Loading-drum,tote'!$B$31:$B$48),$J3031,('Loading-drum,tote'!$D$31:$D$48))*Impacts!$F$13,IF(('Loading-drum,tote'!$C$21)&lt;&gt;"No control",SUMIF(('Loading-drum,tote'!$B$31:$B$48),$J3031,('Loading-drum,tote'!$E$31:$E$48))*Impacts!$F$13,0)),0)</f>
        <v>0</v>
      </c>
      <c r="R3031" s="10">
        <f>IFERROR(IF(('Loading-truck'!$C$21)="No control",SUMIF(('Loading-truck'!$B$31:$B$48),$J3031,('Loading-truck'!$D$31:$D$48))*Impacts!$F$14,IF(('Loading-truck'!$C$21)&lt;&gt;"No control",SUMIF(('Loading-truck'!$B$31:$B$48),$J3031,('Loading-truck'!$E$31:$E$48))*Impacts!$F$14,0)),0)</f>
        <v>0</v>
      </c>
      <c r="S3031" s="10">
        <f>IFERROR(IF(('Loading-rail'!$C$21)="No control",SUMIF(('Loading-rail'!$B$31:$B$48),$J3031,('Loading-rail'!$D$31:$D$48))*Impacts!$F$15,IF(('Loading-rail'!$C$21)&lt;&gt;"No control",SUMIF(('Loading-rail'!$B$31:$B$48),$J3031,('Loading-rail'!$E$31:$E$48))*Impacts!$F$15,0)),0)</f>
        <v>0</v>
      </c>
      <c r="T3031" s="10">
        <f>IF(Flare!$C$7="",0,(SUMIF(Flare!$B$46:$B$185,$J3031,Flare!$E$46:$E$185)*Impacts!$F$16))</f>
        <v>0</v>
      </c>
      <c r="U3031" s="10">
        <f>IF(VCU!$C$9="",0,(SUMIF(VCU!$B$51:$B$193,$J3031,VCU!$E$51:$E$193)*Impacts!$F$17))</f>
        <v>0</v>
      </c>
      <c r="V3031" s="10">
        <f>IF(CAS!$C$7="",0,(SUMIF(CAS!$B$31:$B$167,$J3031,CAS!$E$31:$E$167)*Impacts!$F$18))</f>
        <v>0</v>
      </c>
      <c r="W3031" s="10">
        <f t="shared" si="87"/>
        <v>0</v>
      </c>
      <c r="AK3031" s="10" t="str">
        <f t="array" ref="AK3031">IFERROR(INDEX(SelectedSpecies,SMALL(IF(SelectedSpecies=AK$1,ROW(SelectedSpecies)),ROW(3032:3032)),2),"")</f>
        <v/>
      </c>
      <c r="BE3031" s="10"/>
      <c r="BI3031" s="10"/>
    </row>
    <row r="3032" spans="1:61" ht="21" customHeight="1" x14ac:dyDescent="0.25">
      <c r="A3032" s="10"/>
      <c r="B3032" s="10"/>
      <c r="E3032" s="10"/>
      <c r="G3032" s="10"/>
      <c r="I3032" s="436" t="s">
        <v>3209</v>
      </c>
      <c r="J3032" s="26" t="s">
        <v>3208</v>
      </c>
      <c r="K3032" s="10">
        <v>10</v>
      </c>
      <c r="L3032" s="73">
        <f>IF(Tank1!$C$23="No control",(SUMIF(Tank1!$B$32:$B$49,$J3032,Tank1!$C$32:$C$49)*Impacts!$F$8),0)</f>
        <v>0</v>
      </c>
      <c r="M3032" s="10">
        <f>IF(Tank2!$C$23="No control",(SUMIF(Tank2!$B$32:$B$49,$J3032,Tank2!$C$32:$C$49)*Impacts!$F$9),0)</f>
        <v>0</v>
      </c>
      <c r="N3032" s="10">
        <f>IF(Tank3!$C$23="No control",(SUMIF(Tank3!$B$32:$B$49,$J3032,Tank3!$C$32:$C$49)*Impacts!$F$10),0)</f>
        <v>0</v>
      </c>
      <c r="O3032" s="10">
        <f>IF(Tank4!$C$23="No control",(SUMIF(Tank4!$B$32:$B$49,$J3032,Tank4!$C$32:$C$49)*Impacts!$F$11),0)</f>
        <v>0</v>
      </c>
      <c r="P3032" s="10">
        <f>IF(Tank5!$C$23="No control",(SUMIF(Tank5!$B$32:$B$49,$J3032,Tank5!$C$32:$C$49)*Impacts!$F$12),0)</f>
        <v>0</v>
      </c>
      <c r="Q3032" s="10">
        <f>IFERROR(IF(('Loading-drum,tote'!$C$21)="No control",SUMIF(('Loading-drum,tote'!$B$31:$B$48),$J3032,('Loading-drum,tote'!$D$31:$D$48))*Impacts!$F$13,IF(('Loading-drum,tote'!$C$21)&lt;&gt;"No control",SUMIF(('Loading-drum,tote'!$B$31:$B$48),$J3032,('Loading-drum,tote'!$E$31:$E$48))*Impacts!$F$13,0)),0)</f>
        <v>0</v>
      </c>
      <c r="R3032" s="10">
        <f>IFERROR(IF(('Loading-truck'!$C$21)="No control",SUMIF(('Loading-truck'!$B$31:$B$48),$J3032,('Loading-truck'!$D$31:$D$48))*Impacts!$F$14,IF(('Loading-truck'!$C$21)&lt;&gt;"No control",SUMIF(('Loading-truck'!$B$31:$B$48),$J3032,('Loading-truck'!$E$31:$E$48))*Impacts!$F$14,0)),0)</f>
        <v>0</v>
      </c>
      <c r="S3032" s="10">
        <f>IFERROR(IF(('Loading-rail'!$C$21)="No control",SUMIF(('Loading-rail'!$B$31:$B$48),$J3032,('Loading-rail'!$D$31:$D$48))*Impacts!$F$15,IF(('Loading-rail'!$C$21)&lt;&gt;"No control",SUMIF(('Loading-rail'!$B$31:$B$48),$J3032,('Loading-rail'!$E$31:$E$48))*Impacts!$F$15,0)),0)</f>
        <v>0</v>
      </c>
      <c r="T3032" s="10">
        <f>IF(Flare!$C$7="",0,(SUMIF(Flare!$B$46:$B$185,$J3032,Flare!$E$46:$E$185)*Impacts!$F$16))</f>
        <v>0</v>
      </c>
      <c r="U3032" s="10">
        <f>IF(VCU!$C$9="",0,(SUMIF(VCU!$B$51:$B$193,$J3032,VCU!$E$51:$E$193)*Impacts!$F$17))</f>
        <v>0</v>
      </c>
      <c r="V3032" s="10">
        <f>IF(CAS!$C$7="",0,(SUMIF(CAS!$B$31:$B$167,$J3032,CAS!$E$31:$E$167)*Impacts!$F$18))</f>
        <v>0</v>
      </c>
      <c r="W3032" s="10">
        <f t="shared" si="87"/>
        <v>0</v>
      </c>
      <c r="AK3032" s="10" t="str">
        <f t="array" ref="AK3032">IFERROR(INDEX(SelectedSpecies,SMALL(IF(SelectedSpecies=AK$1,ROW(SelectedSpecies)),ROW(3033:3033)),2),"")</f>
        <v/>
      </c>
      <c r="BE3032" s="10"/>
      <c r="BI3032" s="10"/>
    </row>
    <row r="3033" spans="1:61" ht="21" customHeight="1" x14ac:dyDescent="0.25">
      <c r="A3033" s="10"/>
      <c r="B3033" s="10"/>
      <c r="E3033" s="10"/>
      <c r="G3033" s="10"/>
      <c r="I3033" s="436" t="s">
        <v>2585</v>
      </c>
      <c r="J3033" s="26" t="s">
        <v>2584</v>
      </c>
      <c r="K3033" s="10">
        <v>10</v>
      </c>
      <c r="L3033" s="73">
        <f>IF(Tank1!$C$23="No control",(SUMIF(Tank1!$B$32:$B$49,$J3033,Tank1!$C$32:$C$49)*Impacts!$F$8),0)</f>
        <v>0</v>
      </c>
      <c r="M3033" s="10">
        <f>IF(Tank2!$C$23="No control",(SUMIF(Tank2!$B$32:$B$49,$J3033,Tank2!$C$32:$C$49)*Impacts!$F$9),0)</f>
        <v>0</v>
      </c>
      <c r="N3033" s="10">
        <f>IF(Tank3!$C$23="No control",(SUMIF(Tank3!$B$32:$B$49,$J3033,Tank3!$C$32:$C$49)*Impacts!$F$10),0)</f>
        <v>0</v>
      </c>
      <c r="O3033" s="10">
        <f>IF(Tank4!$C$23="No control",(SUMIF(Tank4!$B$32:$B$49,$J3033,Tank4!$C$32:$C$49)*Impacts!$F$11),0)</f>
        <v>0</v>
      </c>
      <c r="P3033" s="10">
        <f>IF(Tank5!$C$23="No control",(SUMIF(Tank5!$B$32:$B$49,$J3033,Tank5!$C$32:$C$49)*Impacts!$F$12),0)</f>
        <v>0</v>
      </c>
      <c r="Q3033" s="10">
        <f>IFERROR(IF(('Loading-drum,tote'!$C$21)="No control",SUMIF(('Loading-drum,tote'!$B$31:$B$48),$J3033,('Loading-drum,tote'!$D$31:$D$48))*Impacts!$F$13,IF(('Loading-drum,tote'!$C$21)&lt;&gt;"No control",SUMIF(('Loading-drum,tote'!$B$31:$B$48),$J3033,('Loading-drum,tote'!$E$31:$E$48))*Impacts!$F$13,0)),0)</f>
        <v>0</v>
      </c>
      <c r="R3033" s="10">
        <f>IFERROR(IF(('Loading-truck'!$C$21)="No control",SUMIF(('Loading-truck'!$B$31:$B$48),$J3033,('Loading-truck'!$D$31:$D$48))*Impacts!$F$14,IF(('Loading-truck'!$C$21)&lt;&gt;"No control",SUMIF(('Loading-truck'!$B$31:$B$48),$J3033,('Loading-truck'!$E$31:$E$48))*Impacts!$F$14,0)),0)</f>
        <v>0</v>
      </c>
      <c r="S3033" s="10">
        <f>IFERROR(IF(('Loading-rail'!$C$21)="No control",SUMIF(('Loading-rail'!$B$31:$B$48),$J3033,('Loading-rail'!$D$31:$D$48))*Impacts!$F$15,IF(('Loading-rail'!$C$21)&lt;&gt;"No control",SUMIF(('Loading-rail'!$B$31:$B$48),$J3033,('Loading-rail'!$E$31:$E$48))*Impacts!$F$15,0)),0)</f>
        <v>0</v>
      </c>
      <c r="T3033" s="10">
        <f>IF(Flare!$C$7="",0,(SUMIF(Flare!$B$46:$B$185,$J3033,Flare!$E$46:$E$185)*Impacts!$F$16))</f>
        <v>0</v>
      </c>
      <c r="U3033" s="10">
        <f>IF(VCU!$C$9="",0,(SUMIF(VCU!$B$51:$B$193,$J3033,VCU!$E$51:$E$193)*Impacts!$F$17))</f>
        <v>0</v>
      </c>
      <c r="V3033" s="10">
        <f>IF(CAS!$C$7="",0,(SUMIF(CAS!$B$31:$B$167,$J3033,CAS!$E$31:$E$167)*Impacts!$F$18))</f>
        <v>0</v>
      </c>
      <c r="W3033" s="10">
        <f t="shared" si="87"/>
        <v>0</v>
      </c>
      <c r="AK3033" s="10" t="str">
        <f t="array" ref="AK3033">IFERROR(INDEX(SelectedSpecies,SMALL(IF(SelectedSpecies=AK$1,ROW(SelectedSpecies)),ROW(3034:3034)),2),"")</f>
        <v/>
      </c>
      <c r="BE3033" s="10"/>
      <c r="BI3033" s="10"/>
    </row>
    <row r="3034" spans="1:61" ht="21" customHeight="1" x14ac:dyDescent="0.25">
      <c r="A3034" s="10"/>
      <c r="B3034" s="10"/>
      <c r="E3034" s="10"/>
      <c r="G3034" s="10"/>
      <c r="I3034" s="436" t="s">
        <v>3211</v>
      </c>
      <c r="J3034" s="26" t="s">
        <v>3210</v>
      </c>
      <c r="K3034" s="10">
        <v>10</v>
      </c>
      <c r="L3034" s="73">
        <f>IF(Tank1!$C$23="No control",(SUMIF(Tank1!$B$32:$B$49,$J3034,Tank1!$C$32:$C$49)*Impacts!$F$8),0)</f>
        <v>0</v>
      </c>
      <c r="M3034" s="10">
        <f>IF(Tank2!$C$23="No control",(SUMIF(Tank2!$B$32:$B$49,$J3034,Tank2!$C$32:$C$49)*Impacts!$F$9),0)</f>
        <v>0</v>
      </c>
      <c r="N3034" s="10">
        <f>IF(Tank3!$C$23="No control",(SUMIF(Tank3!$B$32:$B$49,$J3034,Tank3!$C$32:$C$49)*Impacts!$F$10),0)</f>
        <v>0</v>
      </c>
      <c r="O3034" s="10">
        <f>IF(Tank4!$C$23="No control",(SUMIF(Tank4!$B$32:$B$49,$J3034,Tank4!$C$32:$C$49)*Impacts!$F$11),0)</f>
        <v>0</v>
      </c>
      <c r="P3034" s="10">
        <f>IF(Tank5!$C$23="No control",(SUMIF(Tank5!$B$32:$B$49,$J3034,Tank5!$C$32:$C$49)*Impacts!$F$12),0)</f>
        <v>0</v>
      </c>
      <c r="Q3034" s="10">
        <f>IFERROR(IF(('Loading-drum,tote'!$C$21)="No control",SUMIF(('Loading-drum,tote'!$B$31:$B$48),$J3034,('Loading-drum,tote'!$D$31:$D$48))*Impacts!$F$13,IF(('Loading-drum,tote'!$C$21)&lt;&gt;"No control",SUMIF(('Loading-drum,tote'!$B$31:$B$48),$J3034,('Loading-drum,tote'!$E$31:$E$48))*Impacts!$F$13,0)),0)</f>
        <v>0</v>
      </c>
      <c r="R3034" s="10">
        <f>IFERROR(IF(('Loading-truck'!$C$21)="No control",SUMIF(('Loading-truck'!$B$31:$B$48),$J3034,('Loading-truck'!$D$31:$D$48))*Impacts!$F$14,IF(('Loading-truck'!$C$21)&lt;&gt;"No control",SUMIF(('Loading-truck'!$B$31:$B$48),$J3034,('Loading-truck'!$E$31:$E$48))*Impacts!$F$14,0)),0)</f>
        <v>0</v>
      </c>
      <c r="S3034" s="10">
        <f>IFERROR(IF(('Loading-rail'!$C$21)="No control",SUMIF(('Loading-rail'!$B$31:$B$48),$J3034,('Loading-rail'!$D$31:$D$48))*Impacts!$F$15,IF(('Loading-rail'!$C$21)&lt;&gt;"No control",SUMIF(('Loading-rail'!$B$31:$B$48),$J3034,('Loading-rail'!$E$31:$E$48))*Impacts!$F$15,0)),0)</f>
        <v>0</v>
      </c>
      <c r="T3034" s="10">
        <f>IF(Flare!$C$7="",0,(SUMIF(Flare!$B$46:$B$185,$J3034,Flare!$E$46:$E$185)*Impacts!$F$16))</f>
        <v>0</v>
      </c>
      <c r="U3034" s="10">
        <f>IF(VCU!$C$9="",0,(SUMIF(VCU!$B$51:$B$193,$J3034,VCU!$E$51:$E$193)*Impacts!$F$17))</f>
        <v>0</v>
      </c>
      <c r="V3034" s="10">
        <f>IF(CAS!$C$7="",0,(SUMIF(CAS!$B$31:$B$167,$J3034,CAS!$E$31:$E$167)*Impacts!$F$18))</f>
        <v>0</v>
      </c>
      <c r="W3034" s="10">
        <f t="shared" ref="W3034:W3097" si="88">SUM(L3034:V3034)</f>
        <v>0</v>
      </c>
      <c r="AK3034" s="10" t="str">
        <f t="array" ref="AK3034">IFERROR(INDEX(SelectedSpecies,SMALL(IF(SelectedSpecies=AK$1,ROW(SelectedSpecies)),ROW(3035:3035)),2),"")</f>
        <v/>
      </c>
      <c r="BE3034" s="10"/>
      <c r="BI3034" s="10"/>
    </row>
    <row r="3035" spans="1:61" ht="21" customHeight="1" x14ac:dyDescent="0.25">
      <c r="A3035" s="10"/>
      <c r="B3035" s="10"/>
      <c r="E3035" s="10"/>
      <c r="G3035" s="10"/>
      <c r="I3035" s="436" t="s">
        <v>3213</v>
      </c>
      <c r="J3035" s="26" t="s">
        <v>3212</v>
      </c>
      <c r="K3035" s="10">
        <v>10</v>
      </c>
      <c r="L3035" s="73">
        <f>IF(Tank1!$C$23="No control",(SUMIF(Tank1!$B$32:$B$49,$J3035,Tank1!$C$32:$C$49)*Impacts!$F$8),0)</f>
        <v>0</v>
      </c>
      <c r="M3035" s="10">
        <f>IF(Tank2!$C$23="No control",(SUMIF(Tank2!$B$32:$B$49,$J3035,Tank2!$C$32:$C$49)*Impacts!$F$9),0)</f>
        <v>0</v>
      </c>
      <c r="N3035" s="10">
        <f>IF(Tank3!$C$23="No control",(SUMIF(Tank3!$B$32:$B$49,$J3035,Tank3!$C$32:$C$49)*Impacts!$F$10),0)</f>
        <v>0</v>
      </c>
      <c r="O3035" s="10">
        <f>IF(Tank4!$C$23="No control",(SUMIF(Tank4!$B$32:$B$49,$J3035,Tank4!$C$32:$C$49)*Impacts!$F$11),0)</f>
        <v>0</v>
      </c>
      <c r="P3035" s="10">
        <f>IF(Tank5!$C$23="No control",(SUMIF(Tank5!$B$32:$B$49,$J3035,Tank5!$C$32:$C$49)*Impacts!$F$12),0)</f>
        <v>0</v>
      </c>
      <c r="Q3035" s="10">
        <f>IFERROR(IF(('Loading-drum,tote'!$C$21)="No control",SUMIF(('Loading-drum,tote'!$B$31:$B$48),$J3035,('Loading-drum,tote'!$D$31:$D$48))*Impacts!$F$13,IF(('Loading-drum,tote'!$C$21)&lt;&gt;"No control",SUMIF(('Loading-drum,tote'!$B$31:$B$48),$J3035,('Loading-drum,tote'!$E$31:$E$48))*Impacts!$F$13,0)),0)</f>
        <v>0</v>
      </c>
      <c r="R3035" s="10">
        <f>IFERROR(IF(('Loading-truck'!$C$21)="No control",SUMIF(('Loading-truck'!$B$31:$B$48),$J3035,('Loading-truck'!$D$31:$D$48))*Impacts!$F$14,IF(('Loading-truck'!$C$21)&lt;&gt;"No control",SUMIF(('Loading-truck'!$B$31:$B$48),$J3035,('Loading-truck'!$E$31:$E$48))*Impacts!$F$14,0)),0)</f>
        <v>0</v>
      </c>
      <c r="S3035" s="10">
        <f>IFERROR(IF(('Loading-rail'!$C$21)="No control",SUMIF(('Loading-rail'!$B$31:$B$48),$J3035,('Loading-rail'!$D$31:$D$48))*Impacts!$F$15,IF(('Loading-rail'!$C$21)&lt;&gt;"No control",SUMIF(('Loading-rail'!$B$31:$B$48),$J3035,('Loading-rail'!$E$31:$E$48))*Impacts!$F$15,0)),0)</f>
        <v>0</v>
      </c>
      <c r="T3035" s="10">
        <f>IF(Flare!$C$7="",0,(SUMIF(Flare!$B$46:$B$185,$J3035,Flare!$E$46:$E$185)*Impacts!$F$16))</f>
        <v>0</v>
      </c>
      <c r="U3035" s="10">
        <f>IF(VCU!$C$9="",0,(SUMIF(VCU!$B$51:$B$193,$J3035,VCU!$E$51:$E$193)*Impacts!$F$17))</f>
        <v>0</v>
      </c>
      <c r="V3035" s="10">
        <f>IF(CAS!$C$7="",0,(SUMIF(CAS!$B$31:$B$167,$J3035,CAS!$E$31:$E$167)*Impacts!$F$18))</f>
        <v>0</v>
      </c>
      <c r="W3035" s="10">
        <f t="shared" si="88"/>
        <v>0</v>
      </c>
      <c r="AK3035" s="10" t="str">
        <f t="array" ref="AK3035">IFERROR(INDEX(SelectedSpecies,SMALL(IF(SelectedSpecies=AK$1,ROW(SelectedSpecies)),ROW(3036:3036)),2),"")</f>
        <v/>
      </c>
      <c r="BE3035" s="10"/>
      <c r="BI3035" s="10"/>
    </row>
    <row r="3036" spans="1:61" ht="21" customHeight="1" x14ac:dyDescent="0.25">
      <c r="A3036" s="10"/>
      <c r="B3036" s="10"/>
      <c r="E3036" s="10"/>
      <c r="G3036" s="10"/>
      <c r="I3036" s="436" t="s">
        <v>3215</v>
      </c>
      <c r="J3036" s="26" t="s">
        <v>3214</v>
      </c>
      <c r="K3036" s="10">
        <v>10</v>
      </c>
      <c r="L3036" s="73">
        <f>IF(Tank1!$C$23="No control",(SUMIF(Tank1!$B$32:$B$49,$J3036,Tank1!$C$32:$C$49)*Impacts!$F$8),0)</f>
        <v>0</v>
      </c>
      <c r="M3036" s="10">
        <f>IF(Tank2!$C$23="No control",(SUMIF(Tank2!$B$32:$B$49,$J3036,Tank2!$C$32:$C$49)*Impacts!$F$9),0)</f>
        <v>0</v>
      </c>
      <c r="N3036" s="10">
        <f>IF(Tank3!$C$23="No control",(SUMIF(Tank3!$B$32:$B$49,$J3036,Tank3!$C$32:$C$49)*Impacts!$F$10),0)</f>
        <v>0</v>
      </c>
      <c r="O3036" s="10">
        <f>IF(Tank4!$C$23="No control",(SUMIF(Tank4!$B$32:$B$49,$J3036,Tank4!$C$32:$C$49)*Impacts!$F$11),0)</f>
        <v>0</v>
      </c>
      <c r="P3036" s="10">
        <f>IF(Tank5!$C$23="No control",(SUMIF(Tank5!$B$32:$B$49,$J3036,Tank5!$C$32:$C$49)*Impacts!$F$12),0)</f>
        <v>0</v>
      </c>
      <c r="Q3036" s="10">
        <f>IFERROR(IF(('Loading-drum,tote'!$C$21)="No control",SUMIF(('Loading-drum,tote'!$B$31:$B$48),$J3036,('Loading-drum,tote'!$D$31:$D$48))*Impacts!$F$13,IF(('Loading-drum,tote'!$C$21)&lt;&gt;"No control",SUMIF(('Loading-drum,tote'!$B$31:$B$48),$J3036,('Loading-drum,tote'!$E$31:$E$48))*Impacts!$F$13,0)),0)</f>
        <v>0</v>
      </c>
      <c r="R3036" s="10">
        <f>IFERROR(IF(('Loading-truck'!$C$21)="No control",SUMIF(('Loading-truck'!$B$31:$B$48),$J3036,('Loading-truck'!$D$31:$D$48))*Impacts!$F$14,IF(('Loading-truck'!$C$21)&lt;&gt;"No control",SUMIF(('Loading-truck'!$B$31:$B$48),$J3036,('Loading-truck'!$E$31:$E$48))*Impacts!$F$14,0)),0)</f>
        <v>0</v>
      </c>
      <c r="S3036" s="10">
        <f>IFERROR(IF(('Loading-rail'!$C$21)="No control",SUMIF(('Loading-rail'!$B$31:$B$48),$J3036,('Loading-rail'!$D$31:$D$48))*Impacts!$F$15,IF(('Loading-rail'!$C$21)&lt;&gt;"No control",SUMIF(('Loading-rail'!$B$31:$B$48),$J3036,('Loading-rail'!$E$31:$E$48))*Impacts!$F$15,0)),0)</f>
        <v>0</v>
      </c>
      <c r="T3036" s="10">
        <f>IF(Flare!$C$7="",0,(SUMIF(Flare!$B$46:$B$185,$J3036,Flare!$E$46:$E$185)*Impacts!$F$16))</f>
        <v>0</v>
      </c>
      <c r="U3036" s="10">
        <f>IF(VCU!$C$9="",0,(SUMIF(VCU!$B$51:$B$193,$J3036,VCU!$E$51:$E$193)*Impacts!$F$17))</f>
        <v>0</v>
      </c>
      <c r="V3036" s="10">
        <f>IF(CAS!$C$7="",0,(SUMIF(CAS!$B$31:$B$167,$J3036,CAS!$E$31:$E$167)*Impacts!$F$18))</f>
        <v>0</v>
      </c>
      <c r="W3036" s="10">
        <f t="shared" si="88"/>
        <v>0</v>
      </c>
      <c r="AK3036" s="10" t="str">
        <f t="array" ref="AK3036">IFERROR(INDEX(SelectedSpecies,SMALL(IF(SelectedSpecies=AK$1,ROW(SelectedSpecies)),ROW(3037:3037)),2),"")</f>
        <v/>
      </c>
      <c r="BE3036" s="10"/>
      <c r="BI3036" s="10"/>
    </row>
    <row r="3037" spans="1:61" ht="21" customHeight="1" x14ac:dyDescent="0.25">
      <c r="A3037" s="10"/>
      <c r="B3037" s="10"/>
      <c r="E3037" s="10"/>
      <c r="G3037" s="10"/>
      <c r="I3037" s="436" t="s">
        <v>6092</v>
      </c>
      <c r="J3037" s="26" t="s">
        <v>6091</v>
      </c>
      <c r="K3037" s="10">
        <v>1</v>
      </c>
      <c r="L3037" s="73">
        <f>IF(Tank1!$C$23="No control",(SUMIF(Tank1!$B$32:$B$49,$J3037,Tank1!$C$32:$C$49)*Impacts!$F$8),0)</f>
        <v>0</v>
      </c>
      <c r="M3037" s="10">
        <f>IF(Tank2!$C$23="No control",(SUMIF(Tank2!$B$32:$B$49,$J3037,Tank2!$C$32:$C$49)*Impacts!$F$9),0)</f>
        <v>0</v>
      </c>
      <c r="N3037" s="10">
        <f>IF(Tank3!$C$23="No control",(SUMIF(Tank3!$B$32:$B$49,$J3037,Tank3!$C$32:$C$49)*Impacts!$F$10),0)</f>
        <v>0</v>
      </c>
      <c r="O3037" s="10">
        <f>IF(Tank4!$C$23="No control",(SUMIF(Tank4!$B$32:$B$49,$J3037,Tank4!$C$32:$C$49)*Impacts!$F$11),0)</f>
        <v>0</v>
      </c>
      <c r="P3037" s="10">
        <f>IF(Tank5!$C$23="No control",(SUMIF(Tank5!$B$32:$B$49,$J3037,Tank5!$C$32:$C$49)*Impacts!$F$12),0)</f>
        <v>0</v>
      </c>
      <c r="Q3037" s="10">
        <f>IFERROR(IF(('Loading-drum,tote'!$C$21)="No control",SUMIF(('Loading-drum,tote'!$B$31:$B$48),$J3037,('Loading-drum,tote'!$D$31:$D$48))*Impacts!$F$13,IF(('Loading-drum,tote'!$C$21)&lt;&gt;"No control",SUMIF(('Loading-drum,tote'!$B$31:$B$48),$J3037,('Loading-drum,tote'!$E$31:$E$48))*Impacts!$F$13,0)),0)</f>
        <v>0</v>
      </c>
      <c r="R3037" s="10">
        <f>IFERROR(IF(('Loading-truck'!$C$21)="No control",SUMIF(('Loading-truck'!$B$31:$B$48),$J3037,('Loading-truck'!$D$31:$D$48))*Impacts!$F$14,IF(('Loading-truck'!$C$21)&lt;&gt;"No control",SUMIF(('Loading-truck'!$B$31:$B$48),$J3037,('Loading-truck'!$E$31:$E$48))*Impacts!$F$14,0)),0)</f>
        <v>0</v>
      </c>
      <c r="S3037" s="10">
        <f>IFERROR(IF(('Loading-rail'!$C$21)="No control",SUMIF(('Loading-rail'!$B$31:$B$48),$J3037,('Loading-rail'!$D$31:$D$48))*Impacts!$F$15,IF(('Loading-rail'!$C$21)&lt;&gt;"No control",SUMIF(('Loading-rail'!$B$31:$B$48),$J3037,('Loading-rail'!$E$31:$E$48))*Impacts!$F$15,0)),0)</f>
        <v>0</v>
      </c>
      <c r="T3037" s="10">
        <f>IF(Flare!$C$7="",0,(SUMIF(Flare!$B$46:$B$185,$J3037,Flare!$E$46:$E$185)*Impacts!$F$16))</f>
        <v>0</v>
      </c>
      <c r="U3037" s="10">
        <f>IF(VCU!$C$9="",0,(SUMIF(VCU!$B$51:$B$193,$J3037,VCU!$E$51:$E$193)*Impacts!$F$17))</f>
        <v>0</v>
      </c>
      <c r="V3037" s="10">
        <f>IF(CAS!$C$7="",0,(SUMIF(CAS!$B$31:$B$167,$J3037,CAS!$E$31:$E$167)*Impacts!$F$18))</f>
        <v>0</v>
      </c>
      <c r="W3037" s="10">
        <f t="shared" si="88"/>
        <v>0</v>
      </c>
      <c r="AK3037" s="10" t="str">
        <f t="array" ref="AK3037">IFERROR(INDEX(SelectedSpecies,SMALL(IF(SelectedSpecies=AK$1,ROW(SelectedSpecies)),ROW(3038:3038)),2),"")</f>
        <v/>
      </c>
      <c r="BE3037" s="10"/>
      <c r="BI3037" s="10"/>
    </row>
    <row r="3038" spans="1:61" ht="21" customHeight="1" x14ac:dyDescent="0.25">
      <c r="A3038" s="10"/>
      <c r="B3038" s="10"/>
      <c r="E3038" s="10"/>
      <c r="G3038" s="10"/>
      <c r="I3038" s="436" t="s">
        <v>1717</v>
      </c>
      <c r="J3038" s="26" t="s">
        <v>1716</v>
      </c>
      <c r="K3038" s="10">
        <v>24.5</v>
      </c>
      <c r="L3038" s="73">
        <f>IF(Tank1!$C$23="No control",(SUMIF(Tank1!$B$32:$B$49,$J3038,Tank1!$C$32:$C$49)*Impacts!$F$8),0)</f>
        <v>0</v>
      </c>
      <c r="M3038" s="10">
        <f>IF(Tank2!$C$23="No control",(SUMIF(Tank2!$B$32:$B$49,$J3038,Tank2!$C$32:$C$49)*Impacts!$F$9),0)</f>
        <v>0</v>
      </c>
      <c r="N3038" s="10">
        <f>IF(Tank3!$C$23="No control",(SUMIF(Tank3!$B$32:$B$49,$J3038,Tank3!$C$32:$C$49)*Impacts!$F$10),0)</f>
        <v>0</v>
      </c>
      <c r="O3038" s="10">
        <f>IF(Tank4!$C$23="No control",(SUMIF(Tank4!$B$32:$B$49,$J3038,Tank4!$C$32:$C$49)*Impacts!$F$11),0)</f>
        <v>0</v>
      </c>
      <c r="P3038" s="10">
        <f>IF(Tank5!$C$23="No control",(SUMIF(Tank5!$B$32:$B$49,$J3038,Tank5!$C$32:$C$49)*Impacts!$F$12),0)</f>
        <v>0</v>
      </c>
      <c r="Q3038" s="10">
        <f>IFERROR(IF(('Loading-drum,tote'!$C$21)="No control",SUMIF(('Loading-drum,tote'!$B$31:$B$48),$J3038,('Loading-drum,tote'!$D$31:$D$48))*Impacts!$F$13,IF(('Loading-drum,tote'!$C$21)&lt;&gt;"No control",SUMIF(('Loading-drum,tote'!$B$31:$B$48),$J3038,('Loading-drum,tote'!$E$31:$E$48))*Impacts!$F$13,0)),0)</f>
        <v>0</v>
      </c>
      <c r="R3038" s="10">
        <f>IFERROR(IF(('Loading-truck'!$C$21)="No control",SUMIF(('Loading-truck'!$B$31:$B$48),$J3038,('Loading-truck'!$D$31:$D$48))*Impacts!$F$14,IF(('Loading-truck'!$C$21)&lt;&gt;"No control",SUMIF(('Loading-truck'!$B$31:$B$48),$J3038,('Loading-truck'!$E$31:$E$48))*Impacts!$F$14,0)),0)</f>
        <v>0</v>
      </c>
      <c r="S3038" s="10">
        <f>IFERROR(IF(('Loading-rail'!$C$21)="No control",SUMIF(('Loading-rail'!$B$31:$B$48),$J3038,('Loading-rail'!$D$31:$D$48))*Impacts!$F$15,IF(('Loading-rail'!$C$21)&lt;&gt;"No control",SUMIF(('Loading-rail'!$B$31:$B$48),$J3038,('Loading-rail'!$E$31:$E$48))*Impacts!$F$15,0)),0)</f>
        <v>0</v>
      </c>
      <c r="T3038" s="10">
        <f>IF(Flare!$C$7="",0,(SUMIF(Flare!$B$46:$B$185,$J3038,Flare!$E$46:$E$185)*Impacts!$F$16))</f>
        <v>0</v>
      </c>
      <c r="U3038" s="10">
        <f>IF(VCU!$C$9="",0,(SUMIF(VCU!$B$51:$B$193,$J3038,VCU!$E$51:$E$193)*Impacts!$F$17))</f>
        <v>0</v>
      </c>
      <c r="V3038" s="10">
        <f>IF(CAS!$C$7="",0,(SUMIF(CAS!$B$31:$B$167,$J3038,CAS!$E$31:$E$167)*Impacts!$F$18))</f>
        <v>0</v>
      </c>
      <c r="W3038" s="10">
        <f t="shared" si="88"/>
        <v>0</v>
      </c>
      <c r="AK3038" s="10" t="str">
        <f t="array" ref="AK3038">IFERROR(INDEX(SelectedSpecies,SMALL(IF(SelectedSpecies=AK$1,ROW(SelectedSpecies)),ROW(3039:3039)),2),"")</f>
        <v/>
      </c>
      <c r="BE3038" s="10"/>
      <c r="BI3038" s="10"/>
    </row>
    <row r="3039" spans="1:61" ht="21" customHeight="1" x14ac:dyDescent="0.25">
      <c r="A3039" s="10"/>
      <c r="B3039" s="10"/>
      <c r="E3039" s="10"/>
      <c r="G3039" s="10"/>
      <c r="I3039" s="436" t="s">
        <v>1785</v>
      </c>
      <c r="J3039" s="26" t="s">
        <v>1784</v>
      </c>
      <c r="K3039" s="10">
        <v>23</v>
      </c>
      <c r="L3039" s="73">
        <f>IF(Tank1!$C$23="No control",(SUMIF(Tank1!$B$32:$B$49,$J3039,Tank1!$C$32:$C$49)*Impacts!$F$8),0)</f>
        <v>0</v>
      </c>
      <c r="M3039" s="10">
        <f>IF(Tank2!$C$23="No control",(SUMIF(Tank2!$B$32:$B$49,$J3039,Tank2!$C$32:$C$49)*Impacts!$F$9),0)</f>
        <v>0</v>
      </c>
      <c r="N3039" s="10">
        <f>IF(Tank3!$C$23="No control",(SUMIF(Tank3!$B$32:$B$49,$J3039,Tank3!$C$32:$C$49)*Impacts!$F$10),0)</f>
        <v>0</v>
      </c>
      <c r="O3039" s="10">
        <f>IF(Tank4!$C$23="No control",(SUMIF(Tank4!$B$32:$B$49,$J3039,Tank4!$C$32:$C$49)*Impacts!$F$11),0)</f>
        <v>0</v>
      </c>
      <c r="P3039" s="10">
        <f>IF(Tank5!$C$23="No control",(SUMIF(Tank5!$B$32:$B$49,$J3039,Tank5!$C$32:$C$49)*Impacts!$F$12),0)</f>
        <v>0</v>
      </c>
      <c r="Q3039" s="10">
        <f>IFERROR(IF(('Loading-drum,tote'!$C$21)="No control",SUMIF(('Loading-drum,tote'!$B$31:$B$48),$J3039,('Loading-drum,tote'!$D$31:$D$48))*Impacts!$F$13,IF(('Loading-drum,tote'!$C$21)&lt;&gt;"No control",SUMIF(('Loading-drum,tote'!$B$31:$B$48),$J3039,('Loading-drum,tote'!$E$31:$E$48))*Impacts!$F$13,0)),0)</f>
        <v>0</v>
      </c>
      <c r="R3039" s="10">
        <f>IFERROR(IF(('Loading-truck'!$C$21)="No control",SUMIF(('Loading-truck'!$B$31:$B$48),$J3039,('Loading-truck'!$D$31:$D$48))*Impacts!$F$14,IF(('Loading-truck'!$C$21)&lt;&gt;"No control",SUMIF(('Loading-truck'!$B$31:$B$48),$J3039,('Loading-truck'!$E$31:$E$48))*Impacts!$F$14,0)),0)</f>
        <v>0</v>
      </c>
      <c r="S3039" s="10">
        <f>IFERROR(IF(('Loading-rail'!$C$21)="No control",SUMIF(('Loading-rail'!$B$31:$B$48),$J3039,('Loading-rail'!$D$31:$D$48))*Impacts!$F$15,IF(('Loading-rail'!$C$21)&lt;&gt;"No control",SUMIF(('Loading-rail'!$B$31:$B$48),$J3039,('Loading-rail'!$E$31:$E$48))*Impacts!$F$15,0)),0)</f>
        <v>0</v>
      </c>
      <c r="T3039" s="10">
        <f>IF(Flare!$C$7="",0,(SUMIF(Flare!$B$46:$B$185,$J3039,Flare!$E$46:$E$185)*Impacts!$F$16))</f>
        <v>0</v>
      </c>
      <c r="U3039" s="10">
        <f>IF(VCU!$C$9="",0,(SUMIF(VCU!$B$51:$B$193,$J3039,VCU!$E$51:$E$193)*Impacts!$F$17))</f>
        <v>0</v>
      </c>
      <c r="V3039" s="10">
        <f>IF(CAS!$C$7="",0,(SUMIF(CAS!$B$31:$B$167,$J3039,CAS!$E$31:$E$167)*Impacts!$F$18))</f>
        <v>0</v>
      </c>
      <c r="W3039" s="10">
        <f t="shared" si="88"/>
        <v>0</v>
      </c>
      <c r="AK3039" s="10" t="str">
        <f t="array" ref="AK3039">IFERROR(INDEX(SelectedSpecies,SMALL(IF(SelectedSpecies=AK$1,ROW(SelectedSpecies)),ROW(3040:3040)),2),"")</f>
        <v/>
      </c>
      <c r="BE3039" s="10"/>
      <c r="BI3039" s="10"/>
    </row>
    <row r="3040" spans="1:61" ht="21" customHeight="1" x14ac:dyDescent="0.25">
      <c r="A3040" s="10"/>
      <c r="B3040" s="10"/>
      <c r="E3040" s="10"/>
      <c r="G3040" s="10"/>
      <c r="I3040" s="436" t="s">
        <v>6240</v>
      </c>
      <c r="J3040" s="26" t="s">
        <v>6239</v>
      </c>
      <c r="K3040" s="10">
        <v>1</v>
      </c>
      <c r="L3040" s="73">
        <f>IF(Tank1!$C$23="No control",(SUMIF(Tank1!$B$32:$B$49,$J3040,Tank1!$C$32:$C$49)*Impacts!$F$8),0)</f>
        <v>0</v>
      </c>
      <c r="M3040" s="10">
        <f>IF(Tank2!$C$23="No control",(SUMIF(Tank2!$B$32:$B$49,$J3040,Tank2!$C$32:$C$49)*Impacts!$F$9),0)</f>
        <v>0</v>
      </c>
      <c r="N3040" s="10">
        <f>IF(Tank3!$C$23="No control",(SUMIF(Tank3!$B$32:$B$49,$J3040,Tank3!$C$32:$C$49)*Impacts!$F$10),0)</f>
        <v>0</v>
      </c>
      <c r="O3040" s="10">
        <f>IF(Tank4!$C$23="No control",(SUMIF(Tank4!$B$32:$B$49,$J3040,Tank4!$C$32:$C$49)*Impacts!$F$11),0)</f>
        <v>0</v>
      </c>
      <c r="P3040" s="10">
        <f>IF(Tank5!$C$23="No control",(SUMIF(Tank5!$B$32:$B$49,$J3040,Tank5!$C$32:$C$49)*Impacts!$F$12),0)</f>
        <v>0</v>
      </c>
      <c r="Q3040" s="10">
        <f>IFERROR(IF(('Loading-drum,tote'!$C$21)="No control",SUMIF(('Loading-drum,tote'!$B$31:$B$48),$J3040,('Loading-drum,tote'!$D$31:$D$48))*Impacts!$F$13,IF(('Loading-drum,tote'!$C$21)&lt;&gt;"No control",SUMIF(('Loading-drum,tote'!$B$31:$B$48),$J3040,('Loading-drum,tote'!$E$31:$E$48))*Impacts!$F$13,0)),0)</f>
        <v>0</v>
      </c>
      <c r="R3040" s="10">
        <f>IFERROR(IF(('Loading-truck'!$C$21)="No control",SUMIF(('Loading-truck'!$B$31:$B$48),$J3040,('Loading-truck'!$D$31:$D$48))*Impacts!$F$14,IF(('Loading-truck'!$C$21)&lt;&gt;"No control",SUMIF(('Loading-truck'!$B$31:$B$48),$J3040,('Loading-truck'!$E$31:$E$48))*Impacts!$F$14,0)),0)</f>
        <v>0</v>
      </c>
      <c r="S3040" s="10">
        <f>IFERROR(IF(('Loading-rail'!$C$21)="No control",SUMIF(('Loading-rail'!$B$31:$B$48),$J3040,('Loading-rail'!$D$31:$D$48))*Impacts!$F$15,IF(('Loading-rail'!$C$21)&lt;&gt;"No control",SUMIF(('Loading-rail'!$B$31:$B$48),$J3040,('Loading-rail'!$E$31:$E$48))*Impacts!$F$15,0)),0)</f>
        <v>0</v>
      </c>
      <c r="T3040" s="10">
        <f>IF(Flare!$C$7="",0,(SUMIF(Flare!$B$46:$B$185,$J3040,Flare!$E$46:$E$185)*Impacts!$F$16))</f>
        <v>0</v>
      </c>
      <c r="U3040" s="10">
        <f>IF(VCU!$C$9="",0,(SUMIF(VCU!$B$51:$B$193,$J3040,VCU!$E$51:$E$193)*Impacts!$F$17))</f>
        <v>0</v>
      </c>
      <c r="V3040" s="10">
        <f>IF(CAS!$C$7="",0,(SUMIF(CAS!$B$31:$B$167,$J3040,CAS!$E$31:$E$167)*Impacts!$F$18))</f>
        <v>0</v>
      </c>
      <c r="W3040" s="10">
        <f t="shared" si="88"/>
        <v>0</v>
      </c>
      <c r="AK3040" s="10" t="str">
        <f t="array" ref="AK3040">IFERROR(INDEX(SelectedSpecies,SMALL(IF(SelectedSpecies=AK$1,ROW(SelectedSpecies)),ROW(3041:3041)),2),"")</f>
        <v/>
      </c>
      <c r="BE3040" s="10"/>
      <c r="BI3040" s="10"/>
    </row>
    <row r="3041" spans="1:61" ht="21" customHeight="1" x14ac:dyDescent="0.25">
      <c r="A3041" s="10"/>
      <c r="B3041" s="10"/>
      <c r="E3041" s="10"/>
      <c r="G3041" s="10"/>
      <c r="I3041" s="436" t="s">
        <v>2185</v>
      </c>
      <c r="J3041" s="26" t="s">
        <v>2184</v>
      </c>
      <c r="K3041" s="10">
        <v>15</v>
      </c>
      <c r="L3041" s="73">
        <f>IF(Tank1!$C$23="No control",(SUMIF(Tank1!$B$32:$B$49,$J3041,Tank1!$C$32:$C$49)*Impacts!$F$8),0)</f>
        <v>0</v>
      </c>
      <c r="M3041" s="10">
        <f>IF(Tank2!$C$23="No control",(SUMIF(Tank2!$B$32:$B$49,$J3041,Tank2!$C$32:$C$49)*Impacts!$F$9),0)</f>
        <v>0</v>
      </c>
      <c r="N3041" s="10">
        <f>IF(Tank3!$C$23="No control",(SUMIF(Tank3!$B$32:$B$49,$J3041,Tank3!$C$32:$C$49)*Impacts!$F$10),0)</f>
        <v>0</v>
      </c>
      <c r="O3041" s="10">
        <f>IF(Tank4!$C$23="No control",(SUMIF(Tank4!$B$32:$B$49,$J3041,Tank4!$C$32:$C$49)*Impacts!$F$11),0)</f>
        <v>0</v>
      </c>
      <c r="P3041" s="10">
        <f>IF(Tank5!$C$23="No control",(SUMIF(Tank5!$B$32:$B$49,$J3041,Tank5!$C$32:$C$49)*Impacts!$F$12),0)</f>
        <v>0</v>
      </c>
      <c r="Q3041" s="10">
        <f>IFERROR(IF(('Loading-drum,tote'!$C$21)="No control",SUMIF(('Loading-drum,tote'!$B$31:$B$48),$J3041,('Loading-drum,tote'!$D$31:$D$48))*Impacts!$F$13,IF(('Loading-drum,tote'!$C$21)&lt;&gt;"No control",SUMIF(('Loading-drum,tote'!$B$31:$B$48),$J3041,('Loading-drum,tote'!$E$31:$E$48))*Impacts!$F$13,0)),0)</f>
        <v>0</v>
      </c>
      <c r="R3041" s="10">
        <f>IFERROR(IF(('Loading-truck'!$C$21)="No control",SUMIF(('Loading-truck'!$B$31:$B$48),$J3041,('Loading-truck'!$D$31:$D$48))*Impacts!$F$14,IF(('Loading-truck'!$C$21)&lt;&gt;"No control",SUMIF(('Loading-truck'!$B$31:$B$48),$J3041,('Loading-truck'!$E$31:$E$48))*Impacts!$F$14,0)),0)</f>
        <v>0</v>
      </c>
      <c r="S3041" s="10">
        <f>IFERROR(IF(('Loading-rail'!$C$21)="No control",SUMIF(('Loading-rail'!$B$31:$B$48),$J3041,('Loading-rail'!$D$31:$D$48))*Impacts!$F$15,IF(('Loading-rail'!$C$21)&lt;&gt;"No control",SUMIF(('Loading-rail'!$B$31:$B$48),$J3041,('Loading-rail'!$E$31:$E$48))*Impacts!$F$15,0)),0)</f>
        <v>0</v>
      </c>
      <c r="T3041" s="10">
        <f>IF(Flare!$C$7="",0,(SUMIF(Flare!$B$46:$B$185,$J3041,Flare!$E$46:$E$185)*Impacts!$F$16))</f>
        <v>0</v>
      </c>
      <c r="U3041" s="10">
        <f>IF(VCU!$C$9="",0,(SUMIF(VCU!$B$51:$B$193,$J3041,VCU!$E$51:$E$193)*Impacts!$F$17))</f>
        <v>0</v>
      </c>
      <c r="V3041" s="10">
        <f>IF(CAS!$C$7="",0,(SUMIF(CAS!$B$31:$B$167,$J3041,CAS!$E$31:$E$167)*Impacts!$F$18))</f>
        <v>0</v>
      </c>
      <c r="W3041" s="10">
        <f t="shared" si="88"/>
        <v>0</v>
      </c>
      <c r="AK3041" s="10" t="str">
        <f t="array" ref="AK3041">IFERROR(INDEX(SelectedSpecies,SMALL(IF(SelectedSpecies=AK$1,ROW(SelectedSpecies)),ROW(3042:3042)),2),"")</f>
        <v/>
      </c>
      <c r="BE3041" s="10"/>
      <c r="BI3041" s="10"/>
    </row>
    <row r="3042" spans="1:61" ht="21" customHeight="1" x14ac:dyDescent="0.25">
      <c r="A3042" s="10"/>
      <c r="B3042" s="10"/>
      <c r="E3042" s="10"/>
      <c r="G3042" s="10"/>
      <c r="I3042" s="436" t="s">
        <v>3217</v>
      </c>
      <c r="J3042" s="26" t="s">
        <v>3216</v>
      </c>
      <c r="K3042" s="10">
        <v>10</v>
      </c>
      <c r="L3042" s="73">
        <f>IF(Tank1!$C$23="No control",(SUMIF(Tank1!$B$32:$B$49,$J3042,Tank1!$C$32:$C$49)*Impacts!$F$8),0)</f>
        <v>0</v>
      </c>
      <c r="M3042" s="10">
        <f>IF(Tank2!$C$23="No control",(SUMIF(Tank2!$B$32:$B$49,$J3042,Tank2!$C$32:$C$49)*Impacts!$F$9),0)</f>
        <v>0</v>
      </c>
      <c r="N3042" s="10">
        <f>IF(Tank3!$C$23="No control",(SUMIF(Tank3!$B$32:$B$49,$J3042,Tank3!$C$32:$C$49)*Impacts!$F$10),0)</f>
        <v>0</v>
      </c>
      <c r="O3042" s="10">
        <f>IF(Tank4!$C$23="No control",(SUMIF(Tank4!$B$32:$B$49,$J3042,Tank4!$C$32:$C$49)*Impacts!$F$11),0)</f>
        <v>0</v>
      </c>
      <c r="P3042" s="10">
        <f>IF(Tank5!$C$23="No control",(SUMIF(Tank5!$B$32:$B$49,$J3042,Tank5!$C$32:$C$49)*Impacts!$F$12),0)</f>
        <v>0</v>
      </c>
      <c r="Q3042" s="10">
        <f>IFERROR(IF(('Loading-drum,tote'!$C$21)="No control",SUMIF(('Loading-drum,tote'!$B$31:$B$48),$J3042,('Loading-drum,tote'!$D$31:$D$48))*Impacts!$F$13,IF(('Loading-drum,tote'!$C$21)&lt;&gt;"No control",SUMIF(('Loading-drum,tote'!$B$31:$B$48),$J3042,('Loading-drum,tote'!$E$31:$E$48))*Impacts!$F$13,0)),0)</f>
        <v>0</v>
      </c>
      <c r="R3042" s="10">
        <f>IFERROR(IF(('Loading-truck'!$C$21)="No control",SUMIF(('Loading-truck'!$B$31:$B$48),$J3042,('Loading-truck'!$D$31:$D$48))*Impacts!$F$14,IF(('Loading-truck'!$C$21)&lt;&gt;"No control",SUMIF(('Loading-truck'!$B$31:$B$48),$J3042,('Loading-truck'!$E$31:$E$48))*Impacts!$F$14,0)),0)</f>
        <v>0</v>
      </c>
      <c r="S3042" s="10">
        <f>IFERROR(IF(('Loading-rail'!$C$21)="No control",SUMIF(('Loading-rail'!$B$31:$B$48),$J3042,('Loading-rail'!$D$31:$D$48))*Impacts!$F$15,IF(('Loading-rail'!$C$21)&lt;&gt;"No control",SUMIF(('Loading-rail'!$B$31:$B$48),$J3042,('Loading-rail'!$E$31:$E$48))*Impacts!$F$15,0)),0)</f>
        <v>0</v>
      </c>
      <c r="T3042" s="10">
        <f>IF(Flare!$C$7="",0,(SUMIF(Flare!$B$46:$B$185,$J3042,Flare!$E$46:$E$185)*Impacts!$F$16))</f>
        <v>0</v>
      </c>
      <c r="U3042" s="10">
        <f>IF(VCU!$C$9="",0,(SUMIF(VCU!$B$51:$B$193,$J3042,VCU!$E$51:$E$193)*Impacts!$F$17))</f>
        <v>0</v>
      </c>
      <c r="V3042" s="10">
        <f>IF(CAS!$C$7="",0,(SUMIF(CAS!$B$31:$B$167,$J3042,CAS!$E$31:$E$167)*Impacts!$F$18))</f>
        <v>0</v>
      </c>
      <c r="W3042" s="10">
        <f t="shared" si="88"/>
        <v>0</v>
      </c>
      <c r="AK3042" s="10" t="str">
        <f t="array" ref="AK3042">IFERROR(INDEX(SelectedSpecies,SMALL(IF(SelectedSpecies=AK$1,ROW(SelectedSpecies)),ROW(3043:3043)),2),"")</f>
        <v/>
      </c>
      <c r="BE3042" s="10"/>
      <c r="BI3042" s="10"/>
    </row>
    <row r="3043" spans="1:61" ht="21" customHeight="1" x14ac:dyDescent="0.25">
      <c r="A3043" s="10"/>
      <c r="B3043" s="10"/>
      <c r="E3043" s="10"/>
      <c r="G3043" s="10"/>
      <c r="I3043" s="436" t="s">
        <v>4471</v>
      </c>
      <c r="J3043" s="26" t="s">
        <v>4470</v>
      </c>
      <c r="K3043" s="10">
        <v>4.4000000000000004</v>
      </c>
      <c r="L3043" s="73">
        <f>IF(Tank1!$C$23="No control",(SUMIF(Tank1!$B$32:$B$49,$J3043,Tank1!$C$32:$C$49)*Impacts!$F$8),0)</f>
        <v>0</v>
      </c>
      <c r="M3043" s="10">
        <f>IF(Tank2!$C$23="No control",(SUMIF(Tank2!$B$32:$B$49,$J3043,Tank2!$C$32:$C$49)*Impacts!$F$9),0)</f>
        <v>0</v>
      </c>
      <c r="N3043" s="10">
        <f>IF(Tank3!$C$23="No control",(SUMIF(Tank3!$B$32:$B$49,$J3043,Tank3!$C$32:$C$49)*Impacts!$F$10),0)</f>
        <v>0</v>
      </c>
      <c r="O3043" s="10">
        <f>IF(Tank4!$C$23="No control",(SUMIF(Tank4!$B$32:$B$49,$J3043,Tank4!$C$32:$C$49)*Impacts!$F$11),0)</f>
        <v>0</v>
      </c>
      <c r="P3043" s="10">
        <f>IF(Tank5!$C$23="No control",(SUMIF(Tank5!$B$32:$B$49,$J3043,Tank5!$C$32:$C$49)*Impacts!$F$12),0)</f>
        <v>0</v>
      </c>
      <c r="Q3043" s="10">
        <f>IFERROR(IF(('Loading-drum,tote'!$C$21)="No control",SUMIF(('Loading-drum,tote'!$B$31:$B$48),$J3043,('Loading-drum,tote'!$D$31:$D$48))*Impacts!$F$13,IF(('Loading-drum,tote'!$C$21)&lt;&gt;"No control",SUMIF(('Loading-drum,tote'!$B$31:$B$48),$J3043,('Loading-drum,tote'!$E$31:$E$48))*Impacts!$F$13,0)),0)</f>
        <v>0</v>
      </c>
      <c r="R3043" s="10">
        <f>IFERROR(IF(('Loading-truck'!$C$21)="No control",SUMIF(('Loading-truck'!$B$31:$B$48),$J3043,('Loading-truck'!$D$31:$D$48))*Impacts!$F$14,IF(('Loading-truck'!$C$21)&lt;&gt;"No control",SUMIF(('Loading-truck'!$B$31:$B$48),$J3043,('Loading-truck'!$E$31:$E$48))*Impacts!$F$14,0)),0)</f>
        <v>0</v>
      </c>
      <c r="S3043" s="10">
        <f>IFERROR(IF(('Loading-rail'!$C$21)="No control",SUMIF(('Loading-rail'!$B$31:$B$48),$J3043,('Loading-rail'!$D$31:$D$48))*Impacts!$F$15,IF(('Loading-rail'!$C$21)&lt;&gt;"No control",SUMIF(('Loading-rail'!$B$31:$B$48),$J3043,('Loading-rail'!$E$31:$E$48))*Impacts!$F$15,0)),0)</f>
        <v>0</v>
      </c>
      <c r="T3043" s="10">
        <f>IF(Flare!$C$7="",0,(SUMIF(Flare!$B$46:$B$185,$J3043,Flare!$E$46:$E$185)*Impacts!$F$16))</f>
        <v>0</v>
      </c>
      <c r="U3043" s="10">
        <f>IF(VCU!$C$9="",0,(SUMIF(VCU!$B$51:$B$193,$J3043,VCU!$E$51:$E$193)*Impacts!$F$17))</f>
        <v>0</v>
      </c>
      <c r="V3043" s="10">
        <f>IF(CAS!$C$7="",0,(SUMIF(CAS!$B$31:$B$167,$J3043,CAS!$E$31:$E$167)*Impacts!$F$18))</f>
        <v>0</v>
      </c>
      <c r="W3043" s="10">
        <f t="shared" si="88"/>
        <v>0</v>
      </c>
      <c r="AK3043" s="10" t="str">
        <f t="array" ref="AK3043">IFERROR(INDEX(SelectedSpecies,SMALL(IF(SelectedSpecies=AK$1,ROW(SelectedSpecies)),ROW(3044:3044)),2),"")</f>
        <v/>
      </c>
      <c r="BE3043" s="10"/>
      <c r="BI3043" s="10"/>
    </row>
    <row r="3044" spans="1:61" ht="21" customHeight="1" x14ac:dyDescent="0.25">
      <c r="A3044" s="10"/>
      <c r="B3044" s="10"/>
      <c r="E3044" s="10"/>
      <c r="G3044" s="10"/>
      <c r="I3044" s="436" t="s">
        <v>301</v>
      </c>
      <c r="J3044" s="26" t="s">
        <v>300</v>
      </c>
      <c r="K3044" s="10">
        <v>710</v>
      </c>
      <c r="L3044" s="73">
        <f>IF(Tank1!$C$23="No control",(SUMIF(Tank1!$B$32:$B$49,$J3044,Tank1!$C$32:$C$49)*Impacts!$F$8),0)</f>
        <v>0</v>
      </c>
      <c r="M3044" s="10">
        <f>IF(Tank2!$C$23="No control",(SUMIF(Tank2!$B$32:$B$49,$J3044,Tank2!$C$32:$C$49)*Impacts!$F$9),0)</f>
        <v>0</v>
      </c>
      <c r="N3044" s="10">
        <f>IF(Tank3!$C$23="No control",(SUMIF(Tank3!$B$32:$B$49,$J3044,Tank3!$C$32:$C$49)*Impacts!$F$10),0)</f>
        <v>0</v>
      </c>
      <c r="O3044" s="10">
        <f>IF(Tank4!$C$23="No control",(SUMIF(Tank4!$B$32:$B$49,$J3044,Tank4!$C$32:$C$49)*Impacts!$F$11),0)</f>
        <v>0</v>
      </c>
      <c r="P3044" s="10">
        <f>IF(Tank5!$C$23="No control",(SUMIF(Tank5!$B$32:$B$49,$J3044,Tank5!$C$32:$C$49)*Impacts!$F$12),0)</f>
        <v>0</v>
      </c>
      <c r="Q3044" s="10">
        <f>IFERROR(IF(('Loading-drum,tote'!$C$21)="No control",SUMIF(('Loading-drum,tote'!$B$31:$B$48),$J3044,('Loading-drum,tote'!$D$31:$D$48))*Impacts!$F$13,IF(('Loading-drum,tote'!$C$21)&lt;&gt;"No control",SUMIF(('Loading-drum,tote'!$B$31:$B$48),$J3044,('Loading-drum,tote'!$E$31:$E$48))*Impacts!$F$13,0)),0)</f>
        <v>0</v>
      </c>
      <c r="R3044" s="10">
        <f>IFERROR(IF(('Loading-truck'!$C$21)="No control",SUMIF(('Loading-truck'!$B$31:$B$48),$J3044,('Loading-truck'!$D$31:$D$48))*Impacts!$F$14,IF(('Loading-truck'!$C$21)&lt;&gt;"No control",SUMIF(('Loading-truck'!$B$31:$B$48),$J3044,('Loading-truck'!$E$31:$E$48))*Impacts!$F$14,0)),0)</f>
        <v>0</v>
      </c>
      <c r="S3044" s="10">
        <f>IFERROR(IF(('Loading-rail'!$C$21)="No control",SUMIF(('Loading-rail'!$B$31:$B$48),$J3044,('Loading-rail'!$D$31:$D$48))*Impacts!$F$15,IF(('Loading-rail'!$C$21)&lt;&gt;"No control",SUMIF(('Loading-rail'!$B$31:$B$48),$J3044,('Loading-rail'!$E$31:$E$48))*Impacts!$F$15,0)),0)</f>
        <v>0</v>
      </c>
      <c r="T3044" s="10">
        <f>IF(Flare!$C$7="",0,(SUMIF(Flare!$B$46:$B$185,$J3044,Flare!$E$46:$E$185)*Impacts!$F$16))</f>
        <v>0</v>
      </c>
      <c r="U3044" s="10">
        <f>IF(VCU!$C$9="",0,(SUMIF(VCU!$B$51:$B$193,$J3044,VCU!$E$51:$E$193)*Impacts!$F$17))</f>
        <v>0</v>
      </c>
      <c r="V3044" s="10">
        <f>IF(CAS!$C$7="",0,(SUMIF(CAS!$B$31:$B$167,$J3044,CAS!$E$31:$E$167)*Impacts!$F$18))</f>
        <v>0</v>
      </c>
      <c r="W3044" s="10">
        <f t="shared" si="88"/>
        <v>0</v>
      </c>
      <c r="AK3044" s="10" t="str">
        <f t="array" ref="AK3044">IFERROR(INDEX(SelectedSpecies,SMALL(IF(SelectedSpecies=AK$1,ROW(SelectedSpecies)),ROW(3045:3045)),2),"")</f>
        <v/>
      </c>
      <c r="BE3044" s="10"/>
      <c r="BI3044" s="10"/>
    </row>
    <row r="3045" spans="1:61" ht="21" customHeight="1" x14ac:dyDescent="0.25">
      <c r="A3045" s="10"/>
      <c r="B3045" s="10"/>
      <c r="E3045" s="10"/>
      <c r="G3045" s="10"/>
      <c r="I3045" s="436" t="s">
        <v>3219</v>
      </c>
      <c r="J3045" s="26" t="s">
        <v>3218</v>
      </c>
      <c r="K3045" s="10">
        <v>10</v>
      </c>
      <c r="L3045" s="73">
        <f>IF(Tank1!$C$23="No control",(SUMIF(Tank1!$B$32:$B$49,$J3045,Tank1!$C$32:$C$49)*Impacts!$F$8),0)</f>
        <v>0</v>
      </c>
      <c r="M3045" s="10">
        <f>IF(Tank2!$C$23="No control",(SUMIF(Tank2!$B$32:$B$49,$J3045,Tank2!$C$32:$C$49)*Impacts!$F$9),0)</f>
        <v>0</v>
      </c>
      <c r="N3045" s="10">
        <f>IF(Tank3!$C$23="No control",(SUMIF(Tank3!$B$32:$B$49,$J3045,Tank3!$C$32:$C$49)*Impacts!$F$10),0)</f>
        <v>0</v>
      </c>
      <c r="O3045" s="10">
        <f>IF(Tank4!$C$23="No control",(SUMIF(Tank4!$B$32:$B$49,$J3045,Tank4!$C$32:$C$49)*Impacts!$F$11),0)</f>
        <v>0</v>
      </c>
      <c r="P3045" s="10">
        <f>IF(Tank5!$C$23="No control",(SUMIF(Tank5!$B$32:$B$49,$J3045,Tank5!$C$32:$C$49)*Impacts!$F$12),0)</f>
        <v>0</v>
      </c>
      <c r="Q3045" s="10">
        <f>IFERROR(IF(('Loading-drum,tote'!$C$21)="No control",SUMIF(('Loading-drum,tote'!$B$31:$B$48),$J3045,('Loading-drum,tote'!$D$31:$D$48))*Impacts!$F$13,IF(('Loading-drum,tote'!$C$21)&lt;&gt;"No control",SUMIF(('Loading-drum,tote'!$B$31:$B$48),$J3045,('Loading-drum,tote'!$E$31:$E$48))*Impacts!$F$13,0)),0)</f>
        <v>0</v>
      </c>
      <c r="R3045" s="10">
        <f>IFERROR(IF(('Loading-truck'!$C$21)="No control",SUMIF(('Loading-truck'!$B$31:$B$48),$J3045,('Loading-truck'!$D$31:$D$48))*Impacts!$F$14,IF(('Loading-truck'!$C$21)&lt;&gt;"No control",SUMIF(('Loading-truck'!$B$31:$B$48),$J3045,('Loading-truck'!$E$31:$E$48))*Impacts!$F$14,0)),0)</f>
        <v>0</v>
      </c>
      <c r="S3045" s="10">
        <f>IFERROR(IF(('Loading-rail'!$C$21)="No control",SUMIF(('Loading-rail'!$B$31:$B$48),$J3045,('Loading-rail'!$D$31:$D$48))*Impacts!$F$15,IF(('Loading-rail'!$C$21)&lt;&gt;"No control",SUMIF(('Loading-rail'!$B$31:$B$48),$J3045,('Loading-rail'!$E$31:$E$48))*Impacts!$F$15,0)),0)</f>
        <v>0</v>
      </c>
      <c r="T3045" s="10">
        <f>IF(Flare!$C$7="",0,(SUMIF(Flare!$B$46:$B$185,$J3045,Flare!$E$46:$E$185)*Impacts!$F$16))</f>
        <v>0</v>
      </c>
      <c r="U3045" s="10">
        <f>IF(VCU!$C$9="",0,(SUMIF(VCU!$B$51:$B$193,$J3045,VCU!$E$51:$E$193)*Impacts!$F$17))</f>
        <v>0</v>
      </c>
      <c r="V3045" s="10">
        <f>IF(CAS!$C$7="",0,(SUMIF(CAS!$B$31:$B$167,$J3045,CAS!$E$31:$E$167)*Impacts!$F$18))</f>
        <v>0</v>
      </c>
      <c r="W3045" s="10">
        <f t="shared" si="88"/>
        <v>0</v>
      </c>
      <c r="AK3045" s="10" t="str">
        <f t="array" ref="AK3045">IFERROR(INDEX(SelectedSpecies,SMALL(IF(SelectedSpecies=AK$1,ROW(SelectedSpecies)),ROW(3046:3046)),2),"")</f>
        <v/>
      </c>
      <c r="BE3045" s="10"/>
      <c r="BI3045" s="10"/>
    </row>
    <row r="3046" spans="1:61" ht="21" customHeight="1" x14ac:dyDescent="0.25">
      <c r="A3046" s="10"/>
      <c r="B3046" s="10"/>
      <c r="E3046" s="10"/>
      <c r="G3046" s="10"/>
      <c r="I3046" s="436" t="s">
        <v>2587</v>
      </c>
      <c r="J3046" s="26" t="s">
        <v>2586</v>
      </c>
      <c r="K3046" s="10">
        <v>10</v>
      </c>
      <c r="L3046" s="73">
        <f>IF(Tank1!$C$23="No control",(SUMIF(Tank1!$B$32:$B$49,$J3046,Tank1!$C$32:$C$49)*Impacts!$F$8),0)</f>
        <v>0</v>
      </c>
      <c r="M3046" s="10">
        <f>IF(Tank2!$C$23="No control",(SUMIF(Tank2!$B$32:$B$49,$J3046,Tank2!$C$32:$C$49)*Impacts!$F$9),0)</f>
        <v>0</v>
      </c>
      <c r="N3046" s="10">
        <f>IF(Tank3!$C$23="No control",(SUMIF(Tank3!$B$32:$B$49,$J3046,Tank3!$C$32:$C$49)*Impacts!$F$10),0)</f>
        <v>0</v>
      </c>
      <c r="O3046" s="10">
        <f>IF(Tank4!$C$23="No control",(SUMIF(Tank4!$B$32:$B$49,$J3046,Tank4!$C$32:$C$49)*Impacts!$F$11),0)</f>
        <v>0</v>
      </c>
      <c r="P3046" s="10">
        <f>IF(Tank5!$C$23="No control",(SUMIF(Tank5!$B$32:$B$49,$J3046,Tank5!$C$32:$C$49)*Impacts!$F$12),0)</f>
        <v>0</v>
      </c>
      <c r="Q3046" s="10">
        <f>IFERROR(IF(('Loading-drum,tote'!$C$21)="No control",SUMIF(('Loading-drum,tote'!$B$31:$B$48),$J3046,('Loading-drum,tote'!$D$31:$D$48))*Impacts!$F$13,IF(('Loading-drum,tote'!$C$21)&lt;&gt;"No control",SUMIF(('Loading-drum,tote'!$B$31:$B$48),$J3046,('Loading-drum,tote'!$E$31:$E$48))*Impacts!$F$13,0)),0)</f>
        <v>0</v>
      </c>
      <c r="R3046" s="10">
        <f>IFERROR(IF(('Loading-truck'!$C$21)="No control",SUMIF(('Loading-truck'!$B$31:$B$48),$J3046,('Loading-truck'!$D$31:$D$48))*Impacts!$F$14,IF(('Loading-truck'!$C$21)&lt;&gt;"No control",SUMIF(('Loading-truck'!$B$31:$B$48),$J3046,('Loading-truck'!$E$31:$E$48))*Impacts!$F$14,0)),0)</f>
        <v>0</v>
      </c>
      <c r="S3046" s="10">
        <f>IFERROR(IF(('Loading-rail'!$C$21)="No control",SUMIF(('Loading-rail'!$B$31:$B$48),$J3046,('Loading-rail'!$D$31:$D$48))*Impacts!$F$15,IF(('Loading-rail'!$C$21)&lt;&gt;"No control",SUMIF(('Loading-rail'!$B$31:$B$48),$J3046,('Loading-rail'!$E$31:$E$48))*Impacts!$F$15,0)),0)</f>
        <v>0</v>
      </c>
      <c r="T3046" s="10">
        <f>IF(Flare!$C$7="",0,(SUMIF(Flare!$B$46:$B$185,$J3046,Flare!$E$46:$E$185)*Impacts!$F$16))</f>
        <v>0</v>
      </c>
      <c r="U3046" s="10">
        <f>IF(VCU!$C$9="",0,(SUMIF(VCU!$B$51:$B$193,$J3046,VCU!$E$51:$E$193)*Impacts!$F$17))</f>
        <v>0</v>
      </c>
      <c r="V3046" s="10">
        <f>IF(CAS!$C$7="",0,(SUMIF(CAS!$B$31:$B$167,$J3046,CAS!$E$31:$E$167)*Impacts!$F$18))</f>
        <v>0</v>
      </c>
      <c r="W3046" s="10">
        <f t="shared" si="88"/>
        <v>0</v>
      </c>
      <c r="AK3046" s="10" t="str">
        <f t="array" ref="AK3046">IFERROR(INDEX(SelectedSpecies,SMALL(IF(SelectedSpecies=AK$1,ROW(SelectedSpecies)),ROW(3047:3047)),2),"")</f>
        <v/>
      </c>
      <c r="BE3046" s="10"/>
      <c r="BI3046" s="10"/>
    </row>
    <row r="3047" spans="1:61" ht="21" customHeight="1" x14ac:dyDescent="0.25">
      <c r="A3047" s="10"/>
      <c r="B3047" s="10"/>
      <c r="E3047" s="10"/>
      <c r="G3047" s="10"/>
      <c r="I3047" s="436" t="s">
        <v>2589</v>
      </c>
      <c r="J3047" s="26" t="s">
        <v>2588</v>
      </c>
      <c r="K3047" s="10">
        <v>10</v>
      </c>
      <c r="L3047" s="73">
        <f>IF(Tank1!$C$23="No control",(SUMIF(Tank1!$B$32:$B$49,$J3047,Tank1!$C$32:$C$49)*Impacts!$F$8),0)</f>
        <v>0</v>
      </c>
      <c r="M3047" s="10">
        <f>IF(Tank2!$C$23="No control",(SUMIF(Tank2!$B$32:$B$49,$J3047,Tank2!$C$32:$C$49)*Impacts!$F$9),0)</f>
        <v>0</v>
      </c>
      <c r="N3047" s="10">
        <f>IF(Tank3!$C$23="No control",(SUMIF(Tank3!$B$32:$B$49,$J3047,Tank3!$C$32:$C$49)*Impacts!$F$10),0)</f>
        <v>0</v>
      </c>
      <c r="O3047" s="10">
        <f>IF(Tank4!$C$23="No control",(SUMIF(Tank4!$B$32:$B$49,$J3047,Tank4!$C$32:$C$49)*Impacts!$F$11),0)</f>
        <v>0</v>
      </c>
      <c r="P3047" s="10">
        <f>IF(Tank5!$C$23="No control",(SUMIF(Tank5!$B$32:$B$49,$J3047,Tank5!$C$32:$C$49)*Impacts!$F$12),0)</f>
        <v>0</v>
      </c>
      <c r="Q3047" s="10">
        <f>IFERROR(IF(('Loading-drum,tote'!$C$21)="No control",SUMIF(('Loading-drum,tote'!$B$31:$B$48),$J3047,('Loading-drum,tote'!$D$31:$D$48))*Impacts!$F$13,IF(('Loading-drum,tote'!$C$21)&lt;&gt;"No control",SUMIF(('Loading-drum,tote'!$B$31:$B$48),$J3047,('Loading-drum,tote'!$E$31:$E$48))*Impacts!$F$13,0)),0)</f>
        <v>0</v>
      </c>
      <c r="R3047" s="10">
        <f>IFERROR(IF(('Loading-truck'!$C$21)="No control",SUMIF(('Loading-truck'!$B$31:$B$48),$J3047,('Loading-truck'!$D$31:$D$48))*Impacts!$F$14,IF(('Loading-truck'!$C$21)&lt;&gt;"No control",SUMIF(('Loading-truck'!$B$31:$B$48),$J3047,('Loading-truck'!$E$31:$E$48))*Impacts!$F$14,0)),0)</f>
        <v>0</v>
      </c>
      <c r="S3047" s="10">
        <f>IFERROR(IF(('Loading-rail'!$C$21)="No control",SUMIF(('Loading-rail'!$B$31:$B$48),$J3047,('Loading-rail'!$D$31:$D$48))*Impacts!$F$15,IF(('Loading-rail'!$C$21)&lt;&gt;"No control",SUMIF(('Loading-rail'!$B$31:$B$48),$J3047,('Loading-rail'!$E$31:$E$48))*Impacts!$F$15,0)),0)</f>
        <v>0</v>
      </c>
      <c r="T3047" s="10">
        <f>IF(Flare!$C$7="",0,(SUMIF(Flare!$B$46:$B$185,$J3047,Flare!$E$46:$E$185)*Impacts!$F$16))</f>
        <v>0</v>
      </c>
      <c r="U3047" s="10">
        <f>IF(VCU!$C$9="",0,(SUMIF(VCU!$B$51:$B$193,$J3047,VCU!$E$51:$E$193)*Impacts!$F$17))</f>
        <v>0</v>
      </c>
      <c r="V3047" s="10">
        <f>IF(CAS!$C$7="",0,(SUMIF(CAS!$B$31:$B$167,$J3047,CAS!$E$31:$E$167)*Impacts!$F$18))</f>
        <v>0</v>
      </c>
      <c r="W3047" s="10">
        <f t="shared" si="88"/>
        <v>0</v>
      </c>
      <c r="AK3047" s="10" t="str">
        <f t="array" ref="AK3047">IFERROR(INDEX(SelectedSpecies,SMALL(IF(SelectedSpecies=AK$1,ROW(SelectedSpecies)),ROW(3048:3048)),2),"")</f>
        <v/>
      </c>
      <c r="BE3047" s="10"/>
      <c r="BI3047" s="10"/>
    </row>
    <row r="3048" spans="1:61" ht="21" customHeight="1" x14ac:dyDescent="0.25">
      <c r="A3048" s="10"/>
      <c r="B3048" s="10"/>
      <c r="E3048" s="10"/>
      <c r="G3048" s="10"/>
      <c r="I3048" s="436" t="s">
        <v>2591</v>
      </c>
      <c r="J3048" s="26" t="s">
        <v>2590</v>
      </c>
      <c r="K3048" s="10">
        <v>10</v>
      </c>
      <c r="L3048" s="73">
        <f>IF(Tank1!$C$23="No control",(SUMIF(Tank1!$B$32:$B$49,$J3048,Tank1!$C$32:$C$49)*Impacts!$F$8),0)</f>
        <v>0</v>
      </c>
      <c r="M3048" s="10">
        <f>IF(Tank2!$C$23="No control",(SUMIF(Tank2!$B$32:$B$49,$J3048,Tank2!$C$32:$C$49)*Impacts!$F$9),0)</f>
        <v>0</v>
      </c>
      <c r="N3048" s="10">
        <f>IF(Tank3!$C$23="No control",(SUMIF(Tank3!$B$32:$B$49,$J3048,Tank3!$C$32:$C$49)*Impacts!$F$10),0)</f>
        <v>0</v>
      </c>
      <c r="O3048" s="10">
        <f>IF(Tank4!$C$23="No control",(SUMIF(Tank4!$B$32:$B$49,$J3048,Tank4!$C$32:$C$49)*Impacts!$F$11),0)</f>
        <v>0</v>
      </c>
      <c r="P3048" s="10">
        <f>IF(Tank5!$C$23="No control",(SUMIF(Tank5!$B$32:$B$49,$J3048,Tank5!$C$32:$C$49)*Impacts!$F$12),0)</f>
        <v>0</v>
      </c>
      <c r="Q3048" s="10">
        <f>IFERROR(IF(('Loading-drum,tote'!$C$21)="No control",SUMIF(('Loading-drum,tote'!$B$31:$B$48),$J3048,('Loading-drum,tote'!$D$31:$D$48))*Impacts!$F$13,IF(('Loading-drum,tote'!$C$21)&lt;&gt;"No control",SUMIF(('Loading-drum,tote'!$B$31:$B$48),$J3048,('Loading-drum,tote'!$E$31:$E$48))*Impacts!$F$13,0)),0)</f>
        <v>0</v>
      </c>
      <c r="R3048" s="10">
        <f>IFERROR(IF(('Loading-truck'!$C$21)="No control",SUMIF(('Loading-truck'!$B$31:$B$48),$J3048,('Loading-truck'!$D$31:$D$48))*Impacts!$F$14,IF(('Loading-truck'!$C$21)&lt;&gt;"No control",SUMIF(('Loading-truck'!$B$31:$B$48),$J3048,('Loading-truck'!$E$31:$E$48))*Impacts!$F$14,0)),0)</f>
        <v>0</v>
      </c>
      <c r="S3048" s="10">
        <f>IFERROR(IF(('Loading-rail'!$C$21)="No control",SUMIF(('Loading-rail'!$B$31:$B$48),$J3048,('Loading-rail'!$D$31:$D$48))*Impacts!$F$15,IF(('Loading-rail'!$C$21)&lt;&gt;"No control",SUMIF(('Loading-rail'!$B$31:$B$48),$J3048,('Loading-rail'!$E$31:$E$48))*Impacts!$F$15,0)),0)</f>
        <v>0</v>
      </c>
      <c r="T3048" s="10">
        <f>IF(Flare!$C$7="",0,(SUMIF(Flare!$B$46:$B$185,$J3048,Flare!$E$46:$E$185)*Impacts!$F$16))</f>
        <v>0</v>
      </c>
      <c r="U3048" s="10">
        <f>IF(VCU!$C$9="",0,(SUMIF(VCU!$B$51:$B$193,$J3048,VCU!$E$51:$E$193)*Impacts!$F$17))</f>
        <v>0</v>
      </c>
      <c r="V3048" s="10">
        <f>IF(CAS!$C$7="",0,(SUMIF(CAS!$B$31:$B$167,$J3048,CAS!$E$31:$E$167)*Impacts!$F$18))</f>
        <v>0</v>
      </c>
      <c r="W3048" s="10">
        <f t="shared" si="88"/>
        <v>0</v>
      </c>
      <c r="AK3048" s="10" t="str">
        <f t="array" ref="AK3048">IFERROR(INDEX(SelectedSpecies,SMALL(IF(SelectedSpecies=AK$1,ROW(SelectedSpecies)),ROW(3049:3049)),2),"")</f>
        <v/>
      </c>
      <c r="BE3048" s="10"/>
      <c r="BI3048" s="10"/>
    </row>
    <row r="3049" spans="1:61" ht="21" customHeight="1" x14ac:dyDescent="0.25">
      <c r="A3049" s="10"/>
      <c r="B3049" s="10"/>
      <c r="E3049" s="10"/>
      <c r="G3049" s="10"/>
      <c r="I3049" s="436" t="s">
        <v>2593</v>
      </c>
      <c r="J3049" s="26" t="s">
        <v>2592</v>
      </c>
      <c r="K3049" s="10">
        <v>10</v>
      </c>
      <c r="L3049" s="73">
        <f>IF(Tank1!$C$23="No control",(SUMIF(Tank1!$B$32:$B$49,$J3049,Tank1!$C$32:$C$49)*Impacts!$F$8),0)</f>
        <v>0</v>
      </c>
      <c r="M3049" s="10">
        <f>IF(Tank2!$C$23="No control",(SUMIF(Tank2!$B$32:$B$49,$J3049,Tank2!$C$32:$C$49)*Impacts!$F$9),0)</f>
        <v>0</v>
      </c>
      <c r="N3049" s="10">
        <f>IF(Tank3!$C$23="No control",(SUMIF(Tank3!$B$32:$B$49,$J3049,Tank3!$C$32:$C$49)*Impacts!$F$10),0)</f>
        <v>0</v>
      </c>
      <c r="O3049" s="10">
        <f>IF(Tank4!$C$23="No control",(SUMIF(Tank4!$B$32:$B$49,$J3049,Tank4!$C$32:$C$49)*Impacts!$F$11),0)</f>
        <v>0</v>
      </c>
      <c r="P3049" s="10">
        <f>IF(Tank5!$C$23="No control",(SUMIF(Tank5!$B$32:$B$49,$J3049,Tank5!$C$32:$C$49)*Impacts!$F$12),0)</f>
        <v>0</v>
      </c>
      <c r="Q3049" s="10">
        <f>IFERROR(IF(('Loading-drum,tote'!$C$21)="No control",SUMIF(('Loading-drum,tote'!$B$31:$B$48),$J3049,('Loading-drum,tote'!$D$31:$D$48))*Impacts!$F$13,IF(('Loading-drum,tote'!$C$21)&lt;&gt;"No control",SUMIF(('Loading-drum,tote'!$B$31:$B$48),$J3049,('Loading-drum,tote'!$E$31:$E$48))*Impacts!$F$13,0)),0)</f>
        <v>0</v>
      </c>
      <c r="R3049" s="10">
        <f>IFERROR(IF(('Loading-truck'!$C$21)="No control",SUMIF(('Loading-truck'!$B$31:$B$48),$J3049,('Loading-truck'!$D$31:$D$48))*Impacts!$F$14,IF(('Loading-truck'!$C$21)&lt;&gt;"No control",SUMIF(('Loading-truck'!$B$31:$B$48),$J3049,('Loading-truck'!$E$31:$E$48))*Impacts!$F$14,0)),0)</f>
        <v>0</v>
      </c>
      <c r="S3049" s="10">
        <f>IFERROR(IF(('Loading-rail'!$C$21)="No control",SUMIF(('Loading-rail'!$B$31:$B$48),$J3049,('Loading-rail'!$D$31:$D$48))*Impacts!$F$15,IF(('Loading-rail'!$C$21)&lt;&gt;"No control",SUMIF(('Loading-rail'!$B$31:$B$48),$J3049,('Loading-rail'!$E$31:$E$48))*Impacts!$F$15,0)),0)</f>
        <v>0</v>
      </c>
      <c r="T3049" s="10">
        <f>IF(Flare!$C$7="",0,(SUMIF(Flare!$B$46:$B$185,$J3049,Flare!$E$46:$E$185)*Impacts!$F$16))</f>
        <v>0</v>
      </c>
      <c r="U3049" s="10">
        <f>IF(VCU!$C$9="",0,(SUMIF(VCU!$B$51:$B$193,$J3049,VCU!$E$51:$E$193)*Impacts!$F$17))</f>
        <v>0</v>
      </c>
      <c r="V3049" s="10">
        <f>IF(CAS!$C$7="",0,(SUMIF(CAS!$B$31:$B$167,$J3049,CAS!$E$31:$E$167)*Impacts!$F$18))</f>
        <v>0</v>
      </c>
      <c r="W3049" s="10">
        <f t="shared" si="88"/>
        <v>0</v>
      </c>
      <c r="AK3049" s="10" t="str">
        <f t="array" ref="AK3049">IFERROR(INDEX(SelectedSpecies,SMALL(IF(SelectedSpecies=AK$1,ROW(SelectedSpecies)),ROW(3050:3050)),2),"")</f>
        <v/>
      </c>
      <c r="BE3049" s="10"/>
      <c r="BI3049" s="10"/>
    </row>
    <row r="3050" spans="1:61" ht="21" customHeight="1" x14ac:dyDescent="0.25">
      <c r="A3050" s="10"/>
      <c r="B3050" s="10"/>
      <c r="E3050" s="10"/>
      <c r="G3050" s="10"/>
      <c r="I3050" s="436" t="s">
        <v>1138</v>
      </c>
      <c r="J3050" s="26" t="s">
        <v>1137</v>
      </c>
      <c r="K3050" s="10">
        <v>35</v>
      </c>
      <c r="L3050" s="73">
        <f>IF(Tank1!$C$23="No control",(SUMIF(Tank1!$B$32:$B$49,$J3050,Tank1!$C$32:$C$49)*Impacts!$F$8),0)</f>
        <v>0</v>
      </c>
      <c r="M3050" s="10">
        <f>IF(Tank2!$C$23="No control",(SUMIF(Tank2!$B$32:$B$49,$J3050,Tank2!$C$32:$C$49)*Impacts!$F$9),0)</f>
        <v>0</v>
      </c>
      <c r="N3050" s="10">
        <f>IF(Tank3!$C$23="No control",(SUMIF(Tank3!$B$32:$B$49,$J3050,Tank3!$C$32:$C$49)*Impacts!$F$10),0)</f>
        <v>0</v>
      </c>
      <c r="O3050" s="10">
        <f>IF(Tank4!$C$23="No control",(SUMIF(Tank4!$B$32:$B$49,$J3050,Tank4!$C$32:$C$49)*Impacts!$F$11),0)</f>
        <v>0</v>
      </c>
      <c r="P3050" s="10">
        <f>IF(Tank5!$C$23="No control",(SUMIF(Tank5!$B$32:$B$49,$J3050,Tank5!$C$32:$C$49)*Impacts!$F$12),0)</f>
        <v>0</v>
      </c>
      <c r="Q3050" s="10">
        <f>IFERROR(IF(('Loading-drum,tote'!$C$21)="No control",SUMIF(('Loading-drum,tote'!$B$31:$B$48),$J3050,('Loading-drum,tote'!$D$31:$D$48))*Impacts!$F$13,IF(('Loading-drum,tote'!$C$21)&lt;&gt;"No control",SUMIF(('Loading-drum,tote'!$B$31:$B$48),$J3050,('Loading-drum,tote'!$E$31:$E$48))*Impacts!$F$13,0)),0)</f>
        <v>0</v>
      </c>
      <c r="R3050" s="10">
        <f>IFERROR(IF(('Loading-truck'!$C$21)="No control",SUMIF(('Loading-truck'!$B$31:$B$48),$J3050,('Loading-truck'!$D$31:$D$48))*Impacts!$F$14,IF(('Loading-truck'!$C$21)&lt;&gt;"No control",SUMIF(('Loading-truck'!$B$31:$B$48),$J3050,('Loading-truck'!$E$31:$E$48))*Impacts!$F$14,0)),0)</f>
        <v>0</v>
      </c>
      <c r="S3050" s="10">
        <f>IFERROR(IF(('Loading-rail'!$C$21)="No control",SUMIF(('Loading-rail'!$B$31:$B$48),$J3050,('Loading-rail'!$D$31:$D$48))*Impacts!$F$15,IF(('Loading-rail'!$C$21)&lt;&gt;"No control",SUMIF(('Loading-rail'!$B$31:$B$48),$J3050,('Loading-rail'!$E$31:$E$48))*Impacts!$F$15,0)),0)</f>
        <v>0</v>
      </c>
      <c r="T3050" s="10">
        <f>IF(Flare!$C$7="",0,(SUMIF(Flare!$B$46:$B$185,$J3050,Flare!$E$46:$E$185)*Impacts!$F$16))</f>
        <v>0</v>
      </c>
      <c r="U3050" s="10">
        <f>IF(VCU!$C$9="",0,(SUMIF(VCU!$B$51:$B$193,$J3050,VCU!$E$51:$E$193)*Impacts!$F$17))</f>
        <v>0</v>
      </c>
      <c r="V3050" s="10">
        <f>IF(CAS!$C$7="",0,(SUMIF(CAS!$B$31:$B$167,$J3050,CAS!$E$31:$E$167)*Impacts!$F$18))</f>
        <v>0</v>
      </c>
      <c r="W3050" s="10">
        <f t="shared" si="88"/>
        <v>0</v>
      </c>
      <c r="AK3050" s="10" t="str">
        <f t="array" ref="AK3050">IFERROR(INDEX(SelectedSpecies,SMALL(IF(SelectedSpecies=AK$1,ROW(SelectedSpecies)),ROW(3051:3051)),2),"")</f>
        <v/>
      </c>
      <c r="BE3050" s="10"/>
      <c r="BI3050" s="10"/>
    </row>
    <row r="3051" spans="1:61" ht="21" customHeight="1" x14ac:dyDescent="0.25">
      <c r="A3051" s="10"/>
      <c r="B3051" s="10"/>
      <c r="E3051" s="10"/>
      <c r="G3051" s="10"/>
      <c r="I3051" s="436" t="s">
        <v>7372</v>
      </c>
      <c r="J3051" s="26" t="s">
        <v>7371</v>
      </c>
      <c r="K3051" s="10">
        <v>0.25</v>
      </c>
      <c r="L3051" s="73">
        <f>IF(Tank1!$C$23="No control",(SUMIF(Tank1!$B$32:$B$49,$J3051,Tank1!$C$32:$C$49)*Impacts!$F$8),0)</f>
        <v>0</v>
      </c>
      <c r="M3051" s="10">
        <f>IF(Tank2!$C$23="No control",(SUMIF(Tank2!$B$32:$B$49,$J3051,Tank2!$C$32:$C$49)*Impacts!$F$9),0)</f>
        <v>0</v>
      </c>
      <c r="N3051" s="10">
        <f>IF(Tank3!$C$23="No control",(SUMIF(Tank3!$B$32:$B$49,$J3051,Tank3!$C$32:$C$49)*Impacts!$F$10),0)</f>
        <v>0</v>
      </c>
      <c r="O3051" s="10">
        <f>IF(Tank4!$C$23="No control",(SUMIF(Tank4!$B$32:$B$49,$J3051,Tank4!$C$32:$C$49)*Impacts!$F$11),0)</f>
        <v>0</v>
      </c>
      <c r="P3051" s="10">
        <f>IF(Tank5!$C$23="No control",(SUMIF(Tank5!$B$32:$B$49,$J3051,Tank5!$C$32:$C$49)*Impacts!$F$12),0)</f>
        <v>0</v>
      </c>
      <c r="Q3051" s="10">
        <f>IFERROR(IF(('Loading-drum,tote'!$C$21)="No control",SUMIF(('Loading-drum,tote'!$B$31:$B$48),$J3051,('Loading-drum,tote'!$D$31:$D$48))*Impacts!$F$13,IF(('Loading-drum,tote'!$C$21)&lt;&gt;"No control",SUMIF(('Loading-drum,tote'!$B$31:$B$48),$J3051,('Loading-drum,tote'!$E$31:$E$48))*Impacts!$F$13,0)),0)</f>
        <v>0</v>
      </c>
      <c r="R3051" s="10">
        <f>IFERROR(IF(('Loading-truck'!$C$21)="No control",SUMIF(('Loading-truck'!$B$31:$B$48),$J3051,('Loading-truck'!$D$31:$D$48))*Impacts!$F$14,IF(('Loading-truck'!$C$21)&lt;&gt;"No control",SUMIF(('Loading-truck'!$B$31:$B$48),$J3051,('Loading-truck'!$E$31:$E$48))*Impacts!$F$14,0)),0)</f>
        <v>0</v>
      </c>
      <c r="S3051" s="10">
        <f>IFERROR(IF(('Loading-rail'!$C$21)="No control",SUMIF(('Loading-rail'!$B$31:$B$48),$J3051,('Loading-rail'!$D$31:$D$48))*Impacts!$F$15,IF(('Loading-rail'!$C$21)&lt;&gt;"No control",SUMIF(('Loading-rail'!$B$31:$B$48),$J3051,('Loading-rail'!$E$31:$E$48))*Impacts!$F$15,0)),0)</f>
        <v>0</v>
      </c>
      <c r="T3051" s="10">
        <f>IF(Flare!$C$7="",0,(SUMIF(Flare!$B$46:$B$185,$J3051,Flare!$E$46:$E$185)*Impacts!$F$16))</f>
        <v>0</v>
      </c>
      <c r="U3051" s="10">
        <f>IF(VCU!$C$9="",0,(SUMIF(VCU!$B$51:$B$193,$J3051,VCU!$E$51:$E$193)*Impacts!$F$17))</f>
        <v>0</v>
      </c>
      <c r="V3051" s="10">
        <f>IF(CAS!$C$7="",0,(SUMIF(CAS!$B$31:$B$167,$J3051,CAS!$E$31:$E$167)*Impacts!$F$18))</f>
        <v>0</v>
      </c>
      <c r="W3051" s="10">
        <f t="shared" si="88"/>
        <v>0</v>
      </c>
      <c r="AK3051" s="10" t="str">
        <f t="array" ref="AK3051">IFERROR(INDEX(SelectedSpecies,SMALL(IF(SelectedSpecies=AK$1,ROW(SelectedSpecies)),ROW(3052:3052)),2),"")</f>
        <v/>
      </c>
      <c r="BE3051" s="10"/>
      <c r="BI3051" s="10"/>
    </row>
    <row r="3052" spans="1:61" ht="21" customHeight="1" x14ac:dyDescent="0.25">
      <c r="A3052" s="10"/>
      <c r="B3052" s="10"/>
      <c r="E3052" s="10"/>
      <c r="G3052" s="10"/>
      <c r="I3052" s="436" t="s">
        <v>2595</v>
      </c>
      <c r="J3052" s="26" t="s">
        <v>2594</v>
      </c>
      <c r="K3052" s="10">
        <v>10</v>
      </c>
      <c r="L3052" s="73">
        <f>IF(Tank1!$C$23="No control",(SUMIF(Tank1!$B$32:$B$49,$J3052,Tank1!$C$32:$C$49)*Impacts!$F$8),0)</f>
        <v>0</v>
      </c>
      <c r="M3052" s="10">
        <f>IF(Tank2!$C$23="No control",(SUMIF(Tank2!$B$32:$B$49,$J3052,Tank2!$C$32:$C$49)*Impacts!$F$9),0)</f>
        <v>0</v>
      </c>
      <c r="N3052" s="10">
        <f>IF(Tank3!$C$23="No control",(SUMIF(Tank3!$B$32:$B$49,$J3052,Tank3!$C$32:$C$49)*Impacts!$F$10),0)</f>
        <v>0</v>
      </c>
      <c r="O3052" s="10">
        <f>IF(Tank4!$C$23="No control",(SUMIF(Tank4!$B$32:$B$49,$J3052,Tank4!$C$32:$C$49)*Impacts!$F$11),0)</f>
        <v>0</v>
      </c>
      <c r="P3052" s="10">
        <f>IF(Tank5!$C$23="No control",(SUMIF(Tank5!$B$32:$B$49,$J3052,Tank5!$C$32:$C$49)*Impacts!$F$12),0)</f>
        <v>0</v>
      </c>
      <c r="Q3052" s="10">
        <f>IFERROR(IF(('Loading-drum,tote'!$C$21)="No control",SUMIF(('Loading-drum,tote'!$B$31:$B$48),$J3052,('Loading-drum,tote'!$D$31:$D$48))*Impacts!$F$13,IF(('Loading-drum,tote'!$C$21)&lt;&gt;"No control",SUMIF(('Loading-drum,tote'!$B$31:$B$48),$J3052,('Loading-drum,tote'!$E$31:$E$48))*Impacts!$F$13,0)),0)</f>
        <v>0</v>
      </c>
      <c r="R3052" s="10">
        <f>IFERROR(IF(('Loading-truck'!$C$21)="No control",SUMIF(('Loading-truck'!$B$31:$B$48),$J3052,('Loading-truck'!$D$31:$D$48))*Impacts!$F$14,IF(('Loading-truck'!$C$21)&lt;&gt;"No control",SUMIF(('Loading-truck'!$B$31:$B$48),$J3052,('Loading-truck'!$E$31:$E$48))*Impacts!$F$14,0)),0)</f>
        <v>0</v>
      </c>
      <c r="S3052" s="10">
        <f>IFERROR(IF(('Loading-rail'!$C$21)="No control",SUMIF(('Loading-rail'!$B$31:$B$48),$J3052,('Loading-rail'!$D$31:$D$48))*Impacts!$F$15,IF(('Loading-rail'!$C$21)&lt;&gt;"No control",SUMIF(('Loading-rail'!$B$31:$B$48),$J3052,('Loading-rail'!$E$31:$E$48))*Impacts!$F$15,0)),0)</f>
        <v>0</v>
      </c>
      <c r="T3052" s="10">
        <f>IF(Flare!$C$7="",0,(SUMIF(Flare!$B$46:$B$185,$J3052,Flare!$E$46:$E$185)*Impacts!$F$16))</f>
        <v>0</v>
      </c>
      <c r="U3052" s="10">
        <f>IF(VCU!$C$9="",0,(SUMIF(VCU!$B$51:$B$193,$J3052,VCU!$E$51:$E$193)*Impacts!$F$17))</f>
        <v>0</v>
      </c>
      <c r="V3052" s="10">
        <f>IF(CAS!$C$7="",0,(SUMIF(CAS!$B$31:$B$167,$J3052,CAS!$E$31:$E$167)*Impacts!$F$18))</f>
        <v>0</v>
      </c>
      <c r="W3052" s="10">
        <f t="shared" si="88"/>
        <v>0</v>
      </c>
      <c r="AK3052" s="10" t="str">
        <f t="array" ref="AK3052">IFERROR(INDEX(SelectedSpecies,SMALL(IF(SelectedSpecies=AK$1,ROW(SelectedSpecies)),ROW(3053:3053)),2),"")</f>
        <v/>
      </c>
      <c r="BE3052" s="10"/>
      <c r="BI3052" s="10"/>
    </row>
    <row r="3053" spans="1:61" ht="21" customHeight="1" x14ac:dyDescent="0.25">
      <c r="A3053" s="10"/>
      <c r="B3053" s="10"/>
      <c r="E3053" s="10"/>
      <c r="G3053" s="10"/>
      <c r="I3053" s="436" t="s">
        <v>2271</v>
      </c>
      <c r="J3053" s="26" t="s">
        <v>2270</v>
      </c>
      <c r="K3053" s="10">
        <v>12.5</v>
      </c>
      <c r="L3053" s="73">
        <f>IF(Tank1!$C$23="No control",(SUMIF(Tank1!$B$32:$B$49,$J3053,Tank1!$C$32:$C$49)*Impacts!$F$8),0)</f>
        <v>0</v>
      </c>
      <c r="M3053" s="10">
        <f>IF(Tank2!$C$23="No control",(SUMIF(Tank2!$B$32:$B$49,$J3053,Tank2!$C$32:$C$49)*Impacts!$F$9),0)</f>
        <v>0</v>
      </c>
      <c r="N3053" s="10">
        <f>IF(Tank3!$C$23="No control",(SUMIF(Tank3!$B$32:$B$49,$J3053,Tank3!$C$32:$C$49)*Impacts!$F$10),0)</f>
        <v>0</v>
      </c>
      <c r="O3053" s="10">
        <f>IF(Tank4!$C$23="No control",(SUMIF(Tank4!$B$32:$B$49,$J3053,Tank4!$C$32:$C$49)*Impacts!$F$11),0)</f>
        <v>0</v>
      </c>
      <c r="P3053" s="10">
        <f>IF(Tank5!$C$23="No control",(SUMIF(Tank5!$B$32:$B$49,$J3053,Tank5!$C$32:$C$49)*Impacts!$F$12),0)</f>
        <v>0</v>
      </c>
      <c r="Q3053" s="10">
        <f>IFERROR(IF(('Loading-drum,tote'!$C$21)="No control",SUMIF(('Loading-drum,tote'!$B$31:$B$48),$J3053,('Loading-drum,tote'!$D$31:$D$48))*Impacts!$F$13,IF(('Loading-drum,tote'!$C$21)&lt;&gt;"No control",SUMIF(('Loading-drum,tote'!$B$31:$B$48),$J3053,('Loading-drum,tote'!$E$31:$E$48))*Impacts!$F$13,0)),0)</f>
        <v>0</v>
      </c>
      <c r="R3053" s="10">
        <f>IFERROR(IF(('Loading-truck'!$C$21)="No control",SUMIF(('Loading-truck'!$B$31:$B$48),$J3053,('Loading-truck'!$D$31:$D$48))*Impacts!$F$14,IF(('Loading-truck'!$C$21)&lt;&gt;"No control",SUMIF(('Loading-truck'!$B$31:$B$48),$J3053,('Loading-truck'!$E$31:$E$48))*Impacts!$F$14,0)),0)</f>
        <v>0</v>
      </c>
      <c r="S3053" s="10">
        <f>IFERROR(IF(('Loading-rail'!$C$21)="No control",SUMIF(('Loading-rail'!$B$31:$B$48),$J3053,('Loading-rail'!$D$31:$D$48))*Impacts!$F$15,IF(('Loading-rail'!$C$21)&lt;&gt;"No control",SUMIF(('Loading-rail'!$B$31:$B$48),$J3053,('Loading-rail'!$E$31:$E$48))*Impacts!$F$15,0)),0)</f>
        <v>0</v>
      </c>
      <c r="T3053" s="10">
        <f>IF(Flare!$C$7="",0,(SUMIF(Flare!$B$46:$B$185,$J3053,Flare!$E$46:$E$185)*Impacts!$F$16))</f>
        <v>0</v>
      </c>
      <c r="U3053" s="10">
        <f>IF(VCU!$C$9="",0,(SUMIF(VCU!$B$51:$B$193,$J3053,VCU!$E$51:$E$193)*Impacts!$F$17))</f>
        <v>0</v>
      </c>
      <c r="V3053" s="10">
        <f>IF(CAS!$C$7="",0,(SUMIF(CAS!$B$31:$B$167,$J3053,CAS!$E$31:$E$167)*Impacts!$F$18))</f>
        <v>0</v>
      </c>
      <c r="W3053" s="10">
        <f t="shared" si="88"/>
        <v>0</v>
      </c>
      <c r="AK3053" s="10" t="str">
        <f t="array" ref="AK3053">IFERROR(INDEX(SelectedSpecies,SMALL(IF(SelectedSpecies=AK$1,ROW(SelectedSpecies)),ROW(3054:3054)),2),"")</f>
        <v/>
      </c>
      <c r="BE3053" s="10"/>
      <c r="BI3053" s="10"/>
    </row>
    <row r="3054" spans="1:61" ht="21" customHeight="1" x14ac:dyDescent="0.25">
      <c r="A3054" s="10"/>
      <c r="B3054" s="10"/>
      <c r="E3054" s="10"/>
      <c r="G3054" s="10"/>
      <c r="I3054" s="436" t="s">
        <v>2273</v>
      </c>
      <c r="J3054" s="26" t="s">
        <v>2272</v>
      </c>
      <c r="K3054" s="10">
        <v>12.5</v>
      </c>
      <c r="L3054" s="73">
        <f>IF(Tank1!$C$23="No control",(SUMIF(Tank1!$B$32:$B$49,$J3054,Tank1!$C$32:$C$49)*Impacts!$F$8),0)</f>
        <v>0</v>
      </c>
      <c r="M3054" s="10">
        <f>IF(Tank2!$C$23="No control",(SUMIF(Tank2!$B$32:$B$49,$J3054,Tank2!$C$32:$C$49)*Impacts!$F$9),0)</f>
        <v>0</v>
      </c>
      <c r="N3054" s="10">
        <f>IF(Tank3!$C$23="No control",(SUMIF(Tank3!$B$32:$B$49,$J3054,Tank3!$C$32:$C$49)*Impacts!$F$10),0)</f>
        <v>0</v>
      </c>
      <c r="O3054" s="10">
        <f>IF(Tank4!$C$23="No control",(SUMIF(Tank4!$B$32:$B$49,$J3054,Tank4!$C$32:$C$49)*Impacts!$F$11),0)</f>
        <v>0</v>
      </c>
      <c r="P3054" s="10">
        <f>IF(Tank5!$C$23="No control",(SUMIF(Tank5!$B$32:$B$49,$J3054,Tank5!$C$32:$C$49)*Impacts!$F$12),0)</f>
        <v>0</v>
      </c>
      <c r="Q3054" s="10">
        <f>IFERROR(IF(('Loading-drum,tote'!$C$21)="No control",SUMIF(('Loading-drum,tote'!$B$31:$B$48),$J3054,('Loading-drum,tote'!$D$31:$D$48))*Impacts!$F$13,IF(('Loading-drum,tote'!$C$21)&lt;&gt;"No control",SUMIF(('Loading-drum,tote'!$B$31:$B$48),$J3054,('Loading-drum,tote'!$E$31:$E$48))*Impacts!$F$13,0)),0)</f>
        <v>0</v>
      </c>
      <c r="R3054" s="10">
        <f>IFERROR(IF(('Loading-truck'!$C$21)="No control",SUMIF(('Loading-truck'!$B$31:$B$48),$J3054,('Loading-truck'!$D$31:$D$48))*Impacts!$F$14,IF(('Loading-truck'!$C$21)&lt;&gt;"No control",SUMIF(('Loading-truck'!$B$31:$B$48),$J3054,('Loading-truck'!$E$31:$E$48))*Impacts!$F$14,0)),0)</f>
        <v>0</v>
      </c>
      <c r="S3054" s="10">
        <f>IFERROR(IF(('Loading-rail'!$C$21)="No control",SUMIF(('Loading-rail'!$B$31:$B$48),$J3054,('Loading-rail'!$D$31:$D$48))*Impacts!$F$15,IF(('Loading-rail'!$C$21)&lt;&gt;"No control",SUMIF(('Loading-rail'!$B$31:$B$48),$J3054,('Loading-rail'!$E$31:$E$48))*Impacts!$F$15,0)),0)</f>
        <v>0</v>
      </c>
      <c r="T3054" s="10">
        <f>IF(Flare!$C$7="",0,(SUMIF(Flare!$B$46:$B$185,$J3054,Flare!$E$46:$E$185)*Impacts!$F$16))</f>
        <v>0</v>
      </c>
      <c r="U3054" s="10">
        <f>IF(VCU!$C$9="",0,(SUMIF(VCU!$B$51:$B$193,$J3054,VCU!$E$51:$E$193)*Impacts!$F$17))</f>
        <v>0</v>
      </c>
      <c r="V3054" s="10">
        <f>IF(CAS!$C$7="",0,(SUMIF(CAS!$B$31:$B$167,$J3054,CAS!$E$31:$E$167)*Impacts!$F$18))</f>
        <v>0</v>
      </c>
      <c r="W3054" s="10">
        <f t="shared" si="88"/>
        <v>0</v>
      </c>
      <c r="AK3054" s="10" t="str">
        <f t="array" ref="AK3054">IFERROR(INDEX(SelectedSpecies,SMALL(IF(SelectedSpecies=AK$1,ROW(SelectedSpecies)),ROW(3055:3055)),2),"")</f>
        <v/>
      </c>
      <c r="BE3054" s="10"/>
      <c r="BI3054" s="10"/>
    </row>
    <row r="3055" spans="1:61" ht="21" customHeight="1" x14ac:dyDescent="0.25">
      <c r="A3055" s="10"/>
      <c r="B3055" s="10"/>
      <c r="E3055" s="10"/>
      <c r="G3055" s="10"/>
      <c r="I3055" s="436" t="s">
        <v>4921</v>
      </c>
      <c r="J3055" s="26" t="s">
        <v>4920</v>
      </c>
      <c r="K3055" s="10">
        <v>2.6</v>
      </c>
      <c r="L3055" s="73">
        <f>IF(Tank1!$C$23="No control",(SUMIF(Tank1!$B$32:$B$49,$J3055,Tank1!$C$32:$C$49)*Impacts!$F$8),0)</f>
        <v>0</v>
      </c>
      <c r="M3055" s="10">
        <f>IF(Tank2!$C$23="No control",(SUMIF(Tank2!$B$32:$B$49,$J3055,Tank2!$C$32:$C$49)*Impacts!$F$9),0)</f>
        <v>0</v>
      </c>
      <c r="N3055" s="10">
        <f>IF(Tank3!$C$23="No control",(SUMIF(Tank3!$B$32:$B$49,$J3055,Tank3!$C$32:$C$49)*Impacts!$F$10),0)</f>
        <v>0</v>
      </c>
      <c r="O3055" s="10">
        <f>IF(Tank4!$C$23="No control",(SUMIF(Tank4!$B$32:$B$49,$J3055,Tank4!$C$32:$C$49)*Impacts!$F$11),0)</f>
        <v>0</v>
      </c>
      <c r="P3055" s="10">
        <f>IF(Tank5!$C$23="No control",(SUMIF(Tank5!$B$32:$B$49,$J3055,Tank5!$C$32:$C$49)*Impacts!$F$12),0)</f>
        <v>0</v>
      </c>
      <c r="Q3055" s="10">
        <f>IFERROR(IF(('Loading-drum,tote'!$C$21)="No control",SUMIF(('Loading-drum,tote'!$B$31:$B$48),$J3055,('Loading-drum,tote'!$D$31:$D$48))*Impacts!$F$13,IF(('Loading-drum,tote'!$C$21)&lt;&gt;"No control",SUMIF(('Loading-drum,tote'!$B$31:$B$48),$J3055,('Loading-drum,tote'!$E$31:$E$48))*Impacts!$F$13,0)),0)</f>
        <v>0</v>
      </c>
      <c r="R3055" s="10">
        <f>IFERROR(IF(('Loading-truck'!$C$21)="No control",SUMIF(('Loading-truck'!$B$31:$B$48),$J3055,('Loading-truck'!$D$31:$D$48))*Impacts!$F$14,IF(('Loading-truck'!$C$21)&lt;&gt;"No control",SUMIF(('Loading-truck'!$B$31:$B$48),$J3055,('Loading-truck'!$E$31:$E$48))*Impacts!$F$14,0)),0)</f>
        <v>0</v>
      </c>
      <c r="S3055" s="10">
        <f>IFERROR(IF(('Loading-rail'!$C$21)="No control",SUMIF(('Loading-rail'!$B$31:$B$48),$J3055,('Loading-rail'!$D$31:$D$48))*Impacts!$F$15,IF(('Loading-rail'!$C$21)&lt;&gt;"No control",SUMIF(('Loading-rail'!$B$31:$B$48),$J3055,('Loading-rail'!$E$31:$E$48))*Impacts!$F$15,0)),0)</f>
        <v>0</v>
      </c>
      <c r="T3055" s="10">
        <f>IF(Flare!$C$7="",0,(SUMIF(Flare!$B$46:$B$185,$J3055,Flare!$E$46:$E$185)*Impacts!$F$16))</f>
        <v>0</v>
      </c>
      <c r="U3055" s="10">
        <f>IF(VCU!$C$9="",0,(SUMIF(VCU!$B$51:$B$193,$J3055,VCU!$E$51:$E$193)*Impacts!$F$17))</f>
        <v>0</v>
      </c>
      <c r="V3055" s="10">
        <f>IF(CAS!$C$7="",0,(SUMIF(CAS!$B$31:$B$167,$J3055,CAS!$E$31:$E$167)*Impacts!$F$18))</f>
        <v>0</v>
      </c>
      <c r="W3055" s="10">
        <f t="shared" si="88"/>
        <v>0</v>
      </c>
      <c r="AK3055" s="10" t="str">
        <f t="array" ref="AK3055">IFERROR(INDEX(SelectedSpecies,SMALL(IF(SelectedSpecies=AK$1,ROW(SelectedSpecies)),ROW(3056:3056)),2),"")</f>
        <v/>
      </c>
      <c r="BE3055" s="10"/>
      <c r="BI3055" s="10"/>
    </row>
    <row r="3056" spans="1:61" ht="21" customHeight="1" x14ac:dyDescent="0.25">
      <c r="A3056" s="10"/>
      <c r="B3056" s="10"/>
      <c r="E3056" s="10"/>
      <c r="G3056" s="10"/>
      <c r="I3056" s="436" t="s">
        <v>1719</v>
      </c>
      <c r="J3056" s="26" t="s">
        <v>1718</v>
      </c>
      <c r="K3056" s="10">
        <v>24.5</v>
      </c>
      <c r="L3056" s="73">
        <f>IF(Tank1!$C$23="No control",(SUMIF(Tank1!$B$32:$B$49,$J3056,Tank1!$C$32:$C$49)*Impacts!$F$8),0)</f>
        <v>0</v>
      </c>
      <c r="M3056" s="10">
        <f>IF(Tank2!$C$23="No control",(SUMIF(Tank2!$B$32:$B$49,$J3056,Tank2!$C$32:$C$49)*Impacts!$F$9),0)</f>
        <v>0</v>
      </c>
      <c r="N3056" s="10">
        <f>IF(Tank3!$C$23="No control",(SUMIF(Tank3!$B$32:$B$49,$J3056,Tank3!$C$32:$C$49)*Impacts!$F$10),0)</f>
        <v>0</v>
      </c>
      <c r="O3056" s="10">
        <f>IF(Tank4!$C$23="No control",(SUMIF(Tank4!$B$32:$B$49,$J3056,Tank4!$C$32:$C$49)*Impacts!$F$11),0)</f>
        <v>0</v>
      </c>
      <c r="P3056" s="10">
        <f>IF(Tank5!$C$23="No control",(SUMIF(Tank5!$B$32:$B$49,$J3056,Tank5!$C$32:$C$49)*Impacts!$F$12),0)</f>
        <v>0</v>
      </c>
      <c r="Q3056" s="10">
        <f>IFERROR(IF(('Loading-drum,tote'!$C$21)="No control",SUMIF(('Loading-drum,tote'!$B$31:$B$48),$J3056,('Loading-drum,tote'!$D$31:$D$48))*Impacts!$F$13,IF(('Loading-drum,tote'!$C$21)&lt;&gt;"No control",SUMIF(('Loading-drum,tote'!$B$31:$B$48),$J3056,('Loading-drum,tote'!$E$31:$E$48))*Impacts!$F$13,0)),0)</f>
        <v>0</v>
      </c>
      <c r="R3056" s="10">
        <f>IFERROR(IF(('Loading-truck'!$C$21)="No control",SUMIF(('Loading-truck'!$B$31:$B$48),$J3056,('Loading-truck'!$D$31:$D$48))*Impacts!$F$14,IF(('Loading-truck'!$C$21)&lt;&gt;"No control",SUMIF(('Loading-truck'!$B$31:$B$48),$J3056,('Loading-truck'!$E$31:$E$48))*Impacts!$F$14,0)),0)</f>
        <v>0</v>
      </c>
      <c r="S3056" s="10">
        <f>IFERROR(IF(('Loading-rail'!$C$21)="No control",SUMIF(('Loading-rail'!$B$31:$B$48),$J3056,('Loading-rail'!$D$31:$D$48))*Impacts!$F$15,IF(('Loading-rail'!$C$21)&lt;&gt;"No control",SUMIF(('Loading-rail'!$B$31:$B$48),$J3056,('Loading-rail'!$E$31:$E$48))*Impacts!$F$15,0)),0)</f>
        <v>0</v>
      </c>
      <c r="T3056" s="10">
        <f>IF(Flare!$C$7="",0,(SUMIF(Flare!$B$46:$B$185,$J3056,Flare!$E$46:$E$185)*Impacts!$F$16))</f>
        <v>0</v>
      </c>
      <c r="U3056" s="10">
        <f>IF(VCU!$C$9="",0,(SUMIF(VCU!$B$51:$B$193,$J3056,VCU!$E$51:$E$193)*Impacts!$F$17))</f>
        <v>0</v>
      </c>
      <c r="V3056" s="10">
        <f>IF(CAS!$C$7="",0,(SUMIF(CAS!$B$31:$B$167,$J3056,CAS!$E$31:$E$167)*Impacts!$F$18))</f>
        <v>0</v>
      </c>
      <c r="W3056" s="10">
        <f t="shared" si="88"/>
        <v>0</v>
      </c>
      <c r="AK3056" s="10" t="str">
        <f t="array" ref="AK3056">IFERROR(INDEX(SelectedSpecies,SMALL(IF(SelectedSpecies=AK$1,ROW(SelectedSpecies)),ROW(3057:3057)),2),"")</f>
        <v/>
      </c>
      <c r="BE3056" s="10"/>
      <c r="BI3056" s="10"/>
    </row>
    <row r="3057" spans="1:61" ht="21" customHeight="1" x14ac:dyDescent="0.25">
      <c r="A3057" s="10"/>
      <c r="B3057" s="10"/>
      <c r="E3057" s="10"/>
      <c r="G3057" s="10"/>
      <c r="I3057" s="436" t="s">
        <v>1977</v>
      </c>
      <c r="J3057" s="26" t="s">
        <v>1976</v>
      </c>
      <c r="K3057" s="10">
        <v>18</v>
      </c>
      <c r="L3057" s="73">
        <f>IF(Tank1!$C$23="No control",(SUMIF(Tank1!$B$32:$B$49,$J3057,Tank1!$C$32:$C$49)*Impacts!$F$8),0)</f>
        <v>0</v>
      </c>
      <c r="M3057" s="10">
        <f>IF(Tank2!$C$23="No control",(SUMIF(Tank2!$B$32:$B$49,$J3057,Tank2!$C$32:$C$49)*Impacts!$F$9),0)</f>
        <v>0</v>
      </c>
      <c r="N3057" s="10">
        <f>IF(Tank3!$C$23="No control",(SUMIF(Tank3!$B$32:$B$49,$J3057,Tank3!$C$32:$C$49)*Impacts!$F$10),0)</f>
        <v>0</v>
      </c>
      <c r="O3057" s="10">
        <f>IF(Tank4!$C$23="No control",(SUMIF(Tank4!$B$32:$B$49,$J3057,Tank4!$C$32:$C$49)*Impacts!$F$11),0)</f>
        <v>0</v>
      </c>
      <c r="P3057" s="10">
        <f>IF(Tank5!$C$23="No control",(SUMIF(Tank5!$B$32:$B$49,$J3057,Tank5!$C$32:$C$49)*Impacts!$F$12),0)</f>
        <v>0</v>
      </c>
      <c r="Q3057" s="10">
        <f>IFERROR(IF(('Loading-drum,tote'!$C$21)="No control",SUMIF(('Loading-drum,tote'!$B$31:$B$48),$J3057,('Loading-drum,tote'!$D$31:$D$48))*Impacts!$F$13,IF(('Loading-drum,tote'!$C$21)&lt;&gt;"No control",SUMIF(('Loading-drum,tote'!$B$31:$B$48),$J3057,('Loading-drum,tote'!$E$31:$E$48))*Impacts!$F$13,0)),0)</f>
        <v>0</v>
      </c>
      <c r="R3057" s="10">
        <f>IFERROR(IF(('Loading-truck'!$C$21)="No control",SUMIF(('Loading-truck'!$B$31:$B$48),$J3057,('Loading-truck'!$D$31:$D$48))*Impacts!$F$14,IF(('Loading-truck'!$C$21)&lt;&gt;"No control",SUMIF(('Loading-truck'!$B$31:$B$48),$J3057,('Loading-truck'!$E$31:$E$48))*Impacts!$F$14,0)),0)</f>
        <v>0</v>
      </c>
      <c r="S3057" s="10">
        <f>IFERROR(IF(('Loading-rail'!$C$21)="No control",SUMIF(('Loading-rail'!$B$31:$B$48),$J3057,('Loading-rail'!$D$31:$D$48))*Impacts!$F$15,IF(('Loading-rail'!$C$21)&lt;&gt;"No control",SUMIF(('Loading-rail'!$B$31:$B$48),$J3057,('Loading-rail'!$E$31:$E$48))*Impacts!$F$15,0)),0)</f>
        <v>0</v>
      </c>
      <c r="T3057" s="10">
        <f>IF(Flare!$C$7="",0,(SUMIF(Flare!$B$46:$B$185,$J3057,Flare!$E$46:$E$185)*Impacts!$F$16))</f>
        <v>0</v>
      </c>
      <c r="U3057" s="10">
        <f>IF(VCU!$C$9="",0,(SUMIF(VCU!$B$51:$B$193,$J3057,VCU!$E$51:$E$193)*Impacts!$F$17))</f>
        <v>0</v>
      </c>
      <c r="V3057" s="10">
        <f>IF(CAS!$C$7="",0,(SUMIF(CAS!$B$31:$B$167,$J3057,CAS!$E$31:$E$167)*Impacts!$F$18))</f>
        <v>0</v>
      </c>
      <c r="W3057" s="10">
        <f t="shared" si="88"/>
        <v>0</v>
      </c>
      <c r="AK3057" s="10" t="str">
        <f t="array" ref="AK3057">IFERROR(INDEX(SelectedSpecies,SMALL(IF(SelectedSpecies=AK$1,ROW(SelectedSpecies)),ROW(3058:3058)),2),"")</f>
        <v/>
      </c>
      <c r="BE3057" s="10"/>
      <c r="BI3057" s="10"/>
    </row>
    <row r="3058" spans="1:61" ht="21" customHeight="1" x14ac:dyDescent="0.25">
      <c r="A3058" s="10"/>
      <c r="B3058" s="10"/>
      <c r="E3058" s="10"/>
      <c r="G3058" s="10"/>
      <c r="I3058" s="436" t="s">
        <v>1140</v>
      </c>
      <c r="J3058" s="26" t="s">
        <v>1139</v>
      </c>
      <c r="K3058" s="10">
        <v>35</v>
      </c>
      <c r="L3058" s="73">
        <f>IF(Tank1!$C$23="No control",(SUMIF(Tank1!$B$32:$B$49,$J3058,Tank1!$C$32:$C$49)*Impacts!$F$8),0)</f>
        <v>0</v>
      </c>
      <c r="M3058" s="10">
        <f>IF(Tank2!$C$23="No control",(SUMIF(Tank2!$B$32:$B$49,$J3058,Tank2!$C$32:$C$49)*Impacts!$F$9),0)</f>
        <v>0</v>
      </c>
      <c r="N3058" s="10">
        <f>IF(Tank3!$C$23="No control",(SUMIF(Tank3!$B$32:$B$49,$J3058,Tank3!$C$32:$C$49)*Impacts!$F$10),0)</f>
        <v>0</v>
      </c>
      <c r="O3058" s="10">
        <f>IF(Tank4!$C$23="No control",(SUMIF(Tank4!$B$32:$B$49,$J3058,Tank4!$C$32:$C$49)*Impacts!$F$11),0)</f>
        <v>0</v>
      </c>
      <c r="P3058" s="10">
        <f>IF(Tank5!$C$23="No control",(SUMIF(Tank5!$B$32:$B$49,$J3058,Tank5!$C$32:$C$49)*Impacts!$F$12),0)</f>
        <v>0</v>
      </c>
      <c r="Q3058" s="10">
        <f>IFERROR(IF(('Loading-drum,tote'!$C$21)="No control",SUMIF(('Loading-drum,tote'!$B$31:$B$48),$J3058,('Loading-drum,tote'!$D$31:$D$48))*Impacts!$F$13,IF(('Loading-drum,tote'!$C$21)&lt;&gt;"No control",SUMIF(('Loading-drum,tote'!$B$31:$B$48),$J3058,('Loading-drum,tote'!$E$31:$E$48))*Impacts!$F$13,0)),0)</f>
        <v>0</v>
      </c>
      <c r="R3058" s="10">
        <f>IFERROR(IF(('Loading-truck'!$C$21)="No control",SUMIF(('Loading-truck'!$B$31:$B$48),$J3058,('Loading-truck'!$D$31:$D$48))*Impacts!$F$14,IF(('Loading-truck'!$C$21)&lt;&gt;"No control",SUMIF(('Loading-truck'!$B$31:$B$48),$J3058,('Loading-truck'!$E$31:$E$48))*Impacts!$F$14,0)),0)</f>
        <v>0</v>
      </c>
      <c r="S3058" s="10">
        <f>IFERROR(IF(('Loading-rail'!$C$21)="No control",SUMIF(('Loading-rail'!$B$31:$B$48),$J3058,('Loading-rail'!$D$31:$D$48))*Impacts!$F$15,IF(('Loading-rail'!$C$21)&lt;&gt;"No control",SUMIF(('Loading-rail'!$B$31:$B$48),$J3058,('Loading-rail'!$E$31:$E$48))*Impacts!$F$15,0)),0)</f>
        <v>0</v>
      </c>
      <c r="T3058" s="10">
        <f>IF(Flare!$C$7="",0,(SUMIF(Flare!$B$46:$B$185,$J3058,Flare!$E$46:$E$185)*Impacts!$F$16))</f>
        <v>0</v>
      </c>
      <c r="U3058" s="10">
        <f>IF(VCU!$C$9="",0,(SUMIF(VCU!$B$51:$B$193,$J3058,VCU!$E$51:$E$193)*Impacts!$F$17))</f>
        <v>0</v>
      </c>
      <c r="V3058" s="10">
        <f>IF(CAS!$C$7="",0,(SUMIF(CAS!$B$31:$B$167,$J3058,CAS!$E$31:$E$167)*Impacts!$F$18))</f>
        <v>0</v>
      </c>
      <c r="W3058" s="10">
        <f t="shared" si="88"/>
        <v>0</v>
      </c>
      <c r="AK3058" s="10" t="str">
        <f t="array" ref="AK3058">IFERROR(INDEX(SelectedSpecies,SMALL(IF(SelectedSpecies=AK$1,ROW(SelectedSpecies)),ROW(3059:3059)),2),"")</f>
        <v/>
      </c>
      <c r="BE3058" s="10"/>
      <c r="BI3058" s="10"/>
    </row>
    <row r="3059" spans="1:61" ht="21" customHeight="1" x14ac:dyDescent="0.25">
      <c r="A3059" s="10"/>
      <c r="B3059" s="10"/>
      <c r="E3059" s="10"/>
      <c r="G3059" s="10"/>
      <c r="I3059" s="436" t="s">
        <v>429</v>
      </c>
      <c r="J3059" s="26" t="s">
        <v>428</v>
      </c>
      <c r="K3059" s="10">
        <v>180</v>
      </c>
      <c r="L3059" s="73">
        <f>IF(Tank1!$C$23="No control",(SUMIF(Tank1!$B$32:$B$49,$J3059,Tank1!$C$32:$C$49)*Impacts!$F$8),0)</f>
        <v>0</v>
      </c>
      <c r="M3059" s="10">
        <f>IF(Tank2!$C$23="No control",(SUMIF(Tank2!$B$32:$B$49,$J3059,Tank2!$C$32:$C$49)*Impacts!$F$9),0)</f>
        <v>0</v>
      </c>
      <c r="N3059" s="10">
        <f>IF(Tank3!$C$23="No control",(SUMIF(Tank3!$B$32:$B$49,$J3059,Tank3!$C$32:$C$49)*Impacts!$F$10),0)</f>
        <v>0</v>
      </c>
      <c r="O3059" s="10">
        <f>IF(Tank4!$C$23="No control",(SUMIF(Tank4!$B$32:$B$49,$J3059,Tank4!$C$32:$C$49)*Impacts!$F$11),0)</f>
        <v>0</v>
      </c>
      <c r="P3059" s="10">
        <f>IF(Tank5!$C$23="No control",(SUMIF(Tank5!$B$32:$B$49,$J3059,Tank5!$C$32:$C$49)*Impacts!$F$12),0)</f>
        <v>0</v>
      </c>
      <c r="Q3059" s="10">
        <f>IFERROR(IF(('Loading-drum,tote'!$C$21)="No control",SUMIF(('Loading-drum,tote'!$B$31:$B$48),$J3059,('Loading-drum,tote'!$D$31:$D$48))*Impacts!$F$13,IF(('Loading-drum,tote'!$C$21)&lt;&gt;"No control",SUMIF(('Loading-drum,tote'!$B$31:$B$48),$J3059,('Loading-drum,tote'!$E$31:$E$48))*Impacts!$F$13,0)),0)</f>
        <v>0</v>
      </c>
      <c r="R3059" s="10">
        <f>IFERROR(IF(('Loading-truck'!$C$21)="No control",SUMIF(('Loading-truck'!$B$31:$B$48),$J3059,('Loading-truck'!$D$31:$D$48))*Impacts!$F$14,IF(('Loading-truck'!$C$21)&lt;&gt;"No control",SUMIF(('Loading-truck'!$B$31:$B$48),$J3059,('Loading-truck'!$E$31:$E$48))*Impacts!$F$14,0)),0)</f>
        <v>0</v>
      </c>
      <c r="S3059" s="10">
        <f>IFERROR(IF(('Loading-rail'!$C$21)="No control",SUMIF(('Loading-rail'!$B$31:$B$48),$J3059,('Loading-rail'!$D$31:$D$48))*Impacts!$F$15,IF(('Loading-rail'!$C$21)&lt;&gt;"No control",SUMIF(('Loading-rail'!$B$31:$B$48),$J3059,('Loading-rail'!$E$31:$E$48))*Impacts!$F$15,0)),0)</f>
        <v>0</v>
      </c>
      <c r="T3059" s="10">
        <f>IF(Flare!$C$7="",0,(SUMIF(Flare!$B$46:$B$185,$J3059,Flare!$E$46:$E$185)*Impacts!$F$16))</f>
        <v>0</v>
      </c>
      <c r="U3059" s="10">
        <f>IF(VCU!$C$9="",0,(SUMIF(VCU!$B$51:$B$193,$J3059,VCU!$E$51:$E$193)*Impacts!$F$17))</f>
        <v>0</v>
      </c>
      <c r="V3059" s="10">
        <f>IF(CAS!$C$7="",0,(SUMIF(CAS!$B$31:$B$167,$J3059,CAS!$E$31:$E$167)*Impacts!$F$18))</f>
        <v>0</v>
      </c>
      <c r="W3059" s="10">
        <f t="shared" si="88"/>
        <v>0</v>
      </c>
      <c r="AK3059" s="10" t="str">
        <f t="array" ref="AK3059">IFERROR(INDEX(SelectedSpecies,SMALL(IF(SelectedSpecies=AK$1,ROW(SelectedSpecies)),ROW(3060:3060)),2),"")</f>
        <v/>
      </c>
      <c r="BE3059" s="10"/>
      <c r="BI3059" s="10"/>
    </row>
    <row r="3060" spans="1:61" ht="21" customHeight="1" x14ac:dyDescent="0.25">
      <c r="A3060" s="10"/>
      <c r="B3060" s="10"/>
      <c r="E3060" s="10"/>
      <c r="G3060" s="10"/>
      <c r="I3060" s="436" t="s">
        <v>6902</v>
      </c>
      <c r="J3060" s="26" t="s">
        <v>6901</v>
      </c>
      <c r="K3060" s="10">
        <v>0.5</v>
      </c>
      <c r="L3060" s="73">
        <f>IF(Tank1!$C$23="No control",(SUMIF(Tank1!$B$32:$B$49,$J3060,Tank1!$C$32:$C$49)*Impacts!$F$8),0)</f>
        <v>0</v>
      </c>
      <c r="M3060" s="10">
        <f>IF(Tank2!$C$23="No control",(SUMIF(Tank2!$B$32:$B$49,$J3060,Tank2!$C$32:$C$49)*Impacts!$F$9),0)</f>
        <v>0</v>
      </c>
      <c r="N3060" s="10">
        <f>IF(Tank3!$C$23="No control",(SUMIF(Tank3!$B$32:$B$49,$J3060,Tank3!$C$32:$C$49)*Impacts!$F$10),0)</f>
        <v>0</v>
      </c>
      <c r="O3060" s="10">
        <f>IF(Tank4!$C$23="No control",(SUMIF(Tank4!$B$32:$B$49,$J3060,Tank4!$C$32:$C$49)*Impacts!$F$11),0)</f>
        <v>0</v>
      </c>
      <c r="P3060" s="10">
        <f>IF(Tank5!$C$23="No control",(SUMIF(Tank5!$B$32:$B$49,$J3060,Tank5!$C$32:$C$49)*Impacts!$F$12),0)</f>
        <v>0</v>
      </c>
      <c r="Q3060" s="10">
        <f>IFERROR(IF(('Loading-drum,tote'!$C$21)="No control",SUMIF(('Loading-drum,tote'!$B$31:$B$48),$J3060,('Loading-drum,tote'!$D$31:$D$48))*Impacts!$F$13,IF(('Loading-drum,tote'!$C$21)&lt;&gt;"No control",SUMIF(('Loading-drum,tote'!$B$31:$B$48),$J3060,('Loading-drum,tote'!$E$31:$E$48))*Impacts!$F$13,0)),0)</f>
        <v>0</v>
      </c>
      <c r="R3060" s="10">
        <f>IFERROR(IF(('Loading-truck'!$C$21)="No control",SUMIF(('Loading-truck'!$B$31:$B$48),$J3060,('Loading-truck'!$D$31:$D$48))*Impacts!$F$14,IF(('Loading-truck'!$C$21)&lt;&gt;"No control",SUMIF(('Loading-truck'!$B$31:$B$48),$J3060,('Loading-truck'!$E$31:$E$48))*Impacts!$F$14,0)),0)</f>
        <v>0</v>
      </c>
      <c r="S3060" s="10">
        <f>IFERROR(IF(('Loading-rail'!$C$21)="No control",SUMIF(('Loading-rail'!$B$31:$B$48),$J3060,('Loading-rail'!$D$31:$D$48))*Impacts!$F$15,IF(('Loading-rail'!$C$21)&lt;&gt;"No control",SUMIF(('Loading-rail'!$B$31:$B$48),$J3060,('Loading-rail'!$E$31:$E$48))*Impacts!$F$15,0)),0)</f>
        <v>0</v>
      </c>
      <c r="T3060" s="10">
        <f>IF(Flare!$C$7="",0,(SUMIF(Flare!$B$46:$B$185,$J3060,Flare!$E$46:$E$185)*Impacts!$F$16))</f>
        <v>0</v>
      </c>
      <c r="U3060" s="10">
        <f>IF(VCU!$C$9="",0,(SUMIF(VCU!$B$51:$B$193,$J3060,VCU!$E$51:$E$193)*Impacts!$F$17))</f>
        <v>0</v>
      </c>
      <c r="V3060" s="10">
        <f>IF(CAS!$C$7="",0,(SUMIF(CAS!$B$31:$B$167,$J3060,CAS!$E$31:$E$167)*Impacts!$F$18))</f>
        <v>0</v>
      </c>
      <c r="W3060" s="10">
        <f t="shared" si="88"/>
        <v>0</v>
      </c>
      <c r="AK3060" s="10" t="str">
        <f t="array" ref="AK3060">IFERROR(INDEX(SelectedSpecies,SMALL(IF(SelectedSpecies=AK$1,ROW(SelectedSpecies)),ROW(3061:3061)),2),"")</f>
        <v/>
      </c>
      <c r="BE3060" s="10"/>
      <c r="BI3060" s="10"/>
    </row>
    <row r="3061" spans="1:61" ht="21" customHeight="1" x14ac:dyDescent="0.25">
      <c r="A3061" s="10"/>
      <c r="B3061" s="10"/>
      <c r="E3061" s="10"/>
      <c r="G3061" s="10"/>
      <c r="I3061" s="436" t="s">
        <v>3999</v>
      </c>
      <c r="J3061" s="26" t="s">
        <v>3998</v>
      </c>
      <c r="K3061" s="10">
        <v>6</v>
      </c>
      <c r="L3061" s="73">
        <f>IF(Tank1!$C$23="No control",(SUMIF(Tank1!$B$32:$B$49,$J3061,Tank1!$C$32:$C$49)*Impacts!$F$8),0)</f>
        <v>0</v>
      </c>
      <c r="M3061" s="10">
        <f>IF(Tank2!$C$23="No control",(SUMIF(Tank2!$B$32:$B$49,$J3061,Tank2!$C$32:$C$49)*Impacts!$F$9),0)</f>
        <v>0</v>
      </c>
      <c r="N3061" s="10">
        <f>IF(Tank3!$C$23="No control",(SUMIF(Tank3!$B$32:$B$49,$J3061,Tank3!$C$32:$C$49)*Impacts!$F$10),0)</f>
        <v>0</v>
      </c>
      <c r="O3061" s="10">
        <f>IF(Tank4!$C$23="No control",(SUMIF(Tank4!$B$32:$B$49,$J3061,Tank4!$C$32:$C$49)*Impacts!$F$11),0)</f>
        <v>0</v>
      </c>
      <c r="P3061" s="10">
        <f>IF(Tank5!$C$23="No control",(SUMIF(Tank5!$B$32:$B$49,$J3061,Tank5!$C$32:$C$49)*Impacts!$F$12),0)</f>
        <v>0</v>
      </c>
      <c r="Q3061" s="10">
        <f>IFERROR(IF(('Loading-drum,tote'!$C$21)="No control",SUMIF(('Loading-drum,tote'!$B$31:$B$48),$J3061,('Loading-drum,tote'!$D$31:$D$48))*Impacts!$F$13,IF(('Loading-drum,tote'!$C$21)&lt;&gt;"No control",SUMIF(('Loading-drum,tote'!$B$31:$B$48),$J3061,('Loading-drum,tote'!$E$31:$E$48))*Impacts!$F$13,0)),0)</f>
        <v>0</v>
      </c>
      <c r="R3061" s="10">
        <f>IFERROR(IF(('Loading-truck'!$C$21)="No control",SUMIF(('Loading-truck'!$B$31:$B$48),$J3061,('Loading-truck'!$D$31:$D$48))*Impacts!$F$14,IF(('Loading-truck'!$C$21)&lt;&gt;"No control",SUMIF(('Loading-truck'!$B$31:$B$48),$J3061,('Loading-truck'!$E$31:$E$48))*Impacts!$F$14,0)),0)</f>
        <v>0</v>
      </c>
      <c r="S3061" s="10">
        <f>IFERROR(IF(('Loading-rail'!$C$21)="No control",SUMIF(('Loading-rail'!$B$31:$B$48),$J3061,('Loading-rail'!$D$31:$D$48))*Impacts!$F$15,IF(('Loading-rail'!$C$21)&lt;&gt;"No control",SUMIF(('Loading-rail'!$B$31:$B$48),$J3061,('Loading-rail'!$E$31:$E$48))*Impacts!$F$15,0)),0)</f>
        <v>0</v>
      </c>
      <c r="T3061" s="10">
        <f>IF(Flare!$C$7="",0,(SUMIF(Flare!$B$46:$B$185,$J3061,Flare!$E$46:$E$185)*Impacts!$F$16))</f>
        <v>0</v>
      </c>
      <c r="U3061" s="10">
        <f>IF(VCU!$C$9="",0,(SUMIF(VCU!$B$51:$B$193,$J3061,VCU!$E$51:$E$193)*Impacts!$F$17))</f>
        <v>0</v>
      </c>
      <c r="V3061" s="10">
        <f>IF(CAS!$C$7="",0,(SUMIF(CAS!$B$31:$B$167,$J3061,CAS!$E$31:$E$167)*Impacts!$F$18))</f>
        <v>0</v>
      </c>
      <c r="W3061" s="10">
        <f t="shared" si="88"/>
        <v>0</v>
      </c>
      <c r="AK3061" s="10" t="str">
        <f t="array" ref="AK3061">IFERROR(INDEX(SelectedSpecies,SMALL(IF(SelectedSpecies=AK$1,ROW(SelectedSpecies)),ROW(3062:3062)),2),"")</f>
        <v/>
      </c>
      <c r="BE3061" s="10"/>
      <c r="BI3061" s="10"/>
    </row>
    <row r="3062" spans="1:61" ht="21" customHeight="1" x14ac:dyDescent="0.25">
      <c r="A3062" s="10"/>
      <c r="B3062" s="10"/>
      <c r="E3062" s="10"/>
      <c r="G3062" s="10"/>
      <c r="I3062" s="436" t="s">
        <v>3221</v>
      </c>
      <c r="J3062" s="26" t="s">
        <v>3220</v>
      </c>
      <c r="K3062" s="10">
        <v>10</v>
      </c>
      <c r="L3062" s="73">
        <f>IF(Tank1!$C$23="No control",(SUMIF(Tank1!$B$32:$B$49,$J3062,Tank1!$C$32:$C$49)*Impacts!$F$8),0)</f>
        <v>0</v>
      </c>
      <c r="M3062" s="10">
        <f>IF(Tank2!$C$23="No control",(SUMIF(Tank2!$B$32:$B$49,$J3062,Tank2!$C$32:$C$49)*Impacts!$F$9),0)</f>
        <v>0</v>
      </c>
      <c r="N3062" s="10">
        <f>IF(Tank3!$C$23="No control",(SUMIF(Tank3!$B$32:$B$49,$J3062,Tank3!$C$32:$C$49)*Impacts!$F$10),0)</f>
        <v>0</v>
      </c>
      <c r="O3062" s="10">
        <f>IF(Tank4!$C$23="No control",(SUMIF(Tank4!$B$32:$B$49,$J3062,Tank4!$C$32:$C$49)*Impacts!$F$11),0)</f>
        <v>0</v>
      </c>
      <c r="P3062" s="10">
        <f>IF(Tank5!$C$23="No control",(SUMIF(Tank5!$B$32:$B$49,$J3062,Tank5!$C$32:$C$49)*Impacts!$F$12),0)</f>
        <v>0</v>
      </c>
      <c r="Q3062" s="10">
        <f>IFERROR(IF(('Loading-drum,tote'!$C$21)="No control",SUMIF(('Loading-drum,tote'!$B$31:$B$48),$J3062,('Loading-drum,tote'!$D$31:$D$48))*Impacts!$F$13,IF(('Loading-drum,tote'!$C$21)&lt;&gt;"No control",SUMIF(('Loading-drum,tote'!$B$31:$B$48),$J3062,('Loading-drum,tote'!$E$31:$E$48))*Impacts!$F$13,0)),0)</f>
        <v>0</v>
      </c>
      <c r="R3062" s="10">
        <f>IFERROR(IF(('Loading-truck'!$C$21)="No control",SUMIF(('Loading-truck'!$B$31:$B$48),$J3062,('Loading-truck'!$D$31:$D$48))*Impacts!$F$14,IF(('Loading-truck'!$C$21)&lt;&gt;"No control",SUMIF(('Loading-truck'!$B$31:$B$48),$J3062,('Loading-truck'!$E$31:$E$48))*Impacts!$F$14,0)),0)</f>
        <v>0</v>
      </c>
      <c r="S3062" s="10">
        <f>IFERROR(IF(('Loading-rail'!$C$21)="No control",SUMIF(('Loading-rail'!$B$31:$B$48),$J3062,('Loading-rail'!$D$31:$D$48))*Impacts!$F$15,IF(('Loading-rail'!$C$21)&lt;&gt;"No control",SUMIF(('Loading-rail'!$B$31:$B$48),$J3062,('Loading-rail'!$E$31:$E$48))*Impacts!$F$15,0)),0)</f>
        <v>0</v>
      </c>
      <c r="T3062" s="10">
        <f>IF(Flare!$C$7="",0,(SUMIF(Flare!$B$46:$B$185,$J3062,Flare!$E$46:$E$185)*Impacts!$F$16))</f>
        <v>0</v>
      </c>
      <c r="U3062" s="10">
        <f>IF(VCU!$C$9="",0,(SUMIF(VCU!$B$51:$B$193,$J3062,VCU!$E$51:$E$193)*Impacts!$F$17))</f>
        <v>0</v>
      </c>
      <c r="V3062" s="10">
        <f>IF(CAS!$C$7="",0,(SUMIF(CAS!$B$31:$B$167,$J3062,CAS!$E$31:$E$167)*Impacts!$F$18))</f>
        <v>0</v>
      </c>
      <c r="W3062" s="10">
        <f t="shared" si="88"/>
        <v>0</v>
      </c>
      <c r="AK3062" s="10" t="str">
        <f t="array" ref="AK3062">IFERROR(INDEX(SelectedSpecies,SMALL(IF(SelectedSpecies=AK$1,ROW(SelectedSpecies)),ROW(3063:3063)),2),"")</f>
        <v/>
      </c>
      <c r="BE3062" s="10"/>
      <c r="BI3062" s="10"/>
    </row>
    <row r="3063" spans="1:61" ht="21" customHeight="1" x14ac:dyDescent="0.25">
      <c r="A3063" s="10"/>
      <c r="B3063" s="10"/>
      <c r="E3063" s="10"/>
      <c r="G3063" s="10"/>
      <c r="I3063" s="436" t="s">
        <v>6332</v>
      </c>
      <c r="J3063" s="26" t="s">
        <v>6331</v>
      </c>
      <c r="K3063" s="10">
        <v>0.9</v>
      </c>
      <c r="L3063" s="73">
        <f>IF(Tank1!$C$23="No control",(SUMIF(Tank1!$B$32:$B$49,$J3063,Tank1!$C$32:$C$49)*Impacts!$F$8),0)</f>
        <v>0</v>
      </c>
      <c r="M3063" s="10">
        <f>IF(Tank2!$C$23="No control",(SUMIF(Tank2!$B$32:$B$49,$J3063,Tank2!$C$32:$C$49)*Impacts!$F$9),0)</f>
        <v>0</v>
      </c>
      <c r="N3063" s="10">
        <f>IF(Tank3!$C$23="No control",(SUMIF(Tank3!$B$32:$B$49,$J3063,Tank3!$C$32:$C$49)*Impacts!$F$10),0)</f>
        <v>0</v>
      </c>
      <c r="O3063" s="10">
        <f>IF(Tank4!$C$23="No control",(SUMIF(Tank4!$B$32:$B$49,$J3063,Tank4!$C$32:$C$49)*Impacts!$F$11),0)</f>
        <v>0</v>
      </c>
      <c r="P3063" s="10">
        <f>IF(Tank5!$C$23="No control",(SUMIF(Tank5!$B$32:$B$49,$J3063,Tank5!$C$32:$C$49)*Impacts!$F$12),0)</f>
        <v>0</v>
      </c>
      <c r="Q3063" s="10">
        <f>IFERROR(IF(('Loading-drum,tote'!$C$21)="No control",SUMIF(('Loading-drum,tote'!$B$31:$B$48),$J3063,('Loading-drum,tote'!$D$31:$D$48))*Impacts!$F$13,IF(('Loading-drum,tote'!$C$21)&lt;&gt;"No control",SUMIF(('Loading-drum,tote'!$B$31:$B$48),$J3063,('Loading-drum,tote'!$E$31:$E$48))*Impacts!$F$13,0)),0)</f>
        <v>0</v>
      </c>
      <c r="R3063" s="10">
        <f>IFERROR(IF(('Loading-truck'!$C$21)="No control",SUMIF(('Loading-truck'!$B$31:$B$48),$J3063,('Loading-truck'!$D$31:$D$48))*Impacts!$F$14,IF(('Loading-truck'!$C$21)&lt;&gt;"No control",SUMIF(('Loading-truck'!$B$31:$B$48),$J3063,('Loading-truck'!$E$31:$E$48))*Impacts!$F$14,0)),0)</f>
        <v>0</v>
      </c>
      <c r="S3063" s="10">
        <f>IFERROR(IF(('Loading-rail'!$C$21)="No control",SUMIF(('Loading-rail'!$B$31:$B$48),$J3063,('Loading-rail'!$D$31:$D$48))*Impacts!$F$15,IF(('Loading-rail'!$C$21)&lt;&gt;"No control",SUMIF(('Loading-rail'!$B$31:$B$48),$J3063,('Loading-rail'!$E$31:$E$48))*Impacts!$F$15,0)),0)</f>
        <v>0</v>
      </c>
      <c r="T3063" s="10">
        <f>IF(Flare!$C$7="",0,(SUMIF(Flare!$B$46:$B$185,$J3063,Flare!$E$46:$E$185)*Impacts!$F$16))</f>
        <v>0</v>
      </c>
      <c r="U3063" s="10">
        <f>IF(VCU!$C$9="",0,(SUMIF(VCU!$B$51:$B$193,$J3063,VCU!$E$51:$E$193)*Impacts!$F$17))</f>
        <v>0</v>
      </c>
      <c r="V3063" s="10">
        <f>IF(CAS!$C$7="",0,(SUMIF(CAS!$B$31:$B$167,$J3063,CAS!$E$31:$E$167)*Impacts!$F$18))</f>
        <v>0</v>
      </c>
      <c r="W3063" s="10">
        <f t="shared" si="88"/>
        <v>0</v>
      </c>
      <c r="AK3063" s="10" t="str">
        <f t="array" ref="AK3063">IFERROR(INDEX(SelectedSpecies,SMALL(IF(SelectedSpecies=AK$1,ROW(SelectedSpecies)),ROW(3064:3064)),2),"")</f>
        <v/>
      </c>
      <c r="BE3063" s="10"/>
      <c r="BI3063" s="10"/>
    </row>
    <row r="3064" spans="1:61" ht="21" customHeight="1" x14ac:dyDescent="0.25">
      <c r="A3064" s="10"/>
      <c r="B3064" s="10"/>
      <c r="E3064" s="10"/>
      <c r="G3064" s="10"/>
      <c r="I3064" s="436" t="s">
        <v>3223</v>
      </c>
      <c r="J3064" s="26" t="s">
        <v>3222</v>
      </c>
      <c r="K3064" s="10">
        <v>10</v>
      </c>
      <c r="L3064" s="73">
        <f>IF(Tank1!$C$23="No control",(SUMIF(Tank1!$B$32:$B$49,$J3064,Tank1!$C$32:$C$49)*Impacts!$F$8),0)</f>
        <v>0</v>
      </c>
      <c r="M3064" s="10">
        <f>IF(Tank2!$C$23="No control",(SUMIF(Tank2!$B$32:$B$49,$J3064,Tank2!$C$32:$C$49)*Impacts!$F$9),0)</f>
        <v>0</v>
      </c>
      <c r="N3064" s="10">
        <f>IF(Tank3!$C$23="No control",(SUMIF(Tank3!$B$32:$B$49,$J3064,Tank3!$C$32:$C$49)*Impacts!$F$10),0)</f>
        <v>0</v>
      </c>
      <c r="O3064" s="10">
        <f>IF(Tank4!$C$23="No control",(SUMIF(Tank4!$B$32:$B$49,$J3064,Tank4!$C$32:$C$49)*Impacts!$F$11),0)</f>
        <v>0</v>
      </c>
      <c r="P3064" s="10">
        <f>IF(Tank5!$C$23="No control",(SUMIF(Tank5!$B$32:$B$49,$J3064,Tank5!$C$32:$C$49)*Impacts!$F$12),0)</f>
        <v>0</v>
      </c>
      <c r="Q3064" s="10">
        <f>IFERROR(IF(('Loading-drum,tote'!$C$21)="No control",SUMIF(('Loading-drum,tote'!$B$31:$B$48),$J3064,('Loading-drum,tote'!$D$31:$D$48))*Impacts!$F$13,IF(('Loading-drum,tote'!$C$21)&lt;&gt;"No control",SUMIF(('Loading-drum,tote'!$B$31:$B$48),$J3064,('Loading-drum,tote'!$E$31:$E$48))*Impacts!$F$13,0)),0)</f>
        <v>0</v>
      </c>
      <c r="R3064" s="10">
        <f>IFERROR(IF(('Loading-truck'!$C$21)="No control",SUMIF(('Loading-truck'!$B$31:$B$48),$J3064,('Loading-truck'!$D$31:$D$48))*Impacts!$F$14,IF(('Loading-truck'!$C$21)&lt;&gt;"No control",SUMIF(('Loading-truck'!$B$31:$B$48),$J3064,('Loading-truck'!$E$31:$E$48))*Impacts!$F$14,0)),0)</f>
        <v>0</v>
      </c>
      <c r="S3064" s="10">
        <f>IFERROR(IF(('Loading-rail'!$C$21)="No control",SUMIF(('Loading-rail'!$B$31:$B$48),$J3064,('Loading-rail'!$D$31:$D$48))*Impacts!$F$15,IF(('Loading-rail'!$C$21)&lt;&gt;"No control",SUMIF(('Loading-rail'!$B$31:$B$48),$J3064,('Loading-rail'!$E$31:$E$48))*Impacts!$F$15,0)),0)</f>
        <v>0</v>
      </c>
      <c r="T3064" s="10">
        <f>IF(Flare!$C$7="",0,(SUMIF(Flare!$B$46:$B$185,$J3064,Flare!$E$46:$E$185)*Impacts!$F$16))</f>
        <v>0</v>
      </c>
      <c r="U3064" s="10">
        <f>IF(VCU!$C$9="",0,(SUMIF(VCU!$B$51:$B$193,$J3064,VCU!$E$51:$E$193)*Impacts!$F$17))</f>
        <v>0</v>
      </c>
      <c r="V3064" s="10">
        <f>IF(CAS!$C$7="",0,(SUMIF(CAS!$B$31:$B$167,$J3064,CAS!$E$31:$E$167)*Impacts!$F$18))</f>
        <v>0</v>
      </c>
      <c r="W3064" s="10">
        <f t="shared" si="88"/>
        <v>0</v>
      </c>
      <c r="AK3064" s="10" t="str">
        <f t="array" ref="AK3064">IFERROR(INDEX(SelectedSpecies,SMALL(IF(SelectedSpecies=AK$1,ROW(SelectedSpecies)),ROW(3065:3065)),2),"")</f>
        <v/>
      </c>
      <c r="BE3064" s="10"/>
      <c r="BI3064" s="10"/>
    </row>
    <row r="3065" spans="1:61" ht="21" customHeight="1" x14ac:dyDescent="0.25">
      <c r="A3065" s="10"/>
      <c r="B3065" s="10"/>
      <c r="E3065" s="10"/>
      <c r="G3065" s="10"/>
      <c r="I3065" s="436" t="s">
        <v>2211</v>
      </c>
      <c r="J3065" s="26" t="s">
        <v>2210</v>
      </c>
      <c r="K3065" s="10">
        <v>14</v>
      </c>
      <c r="L3065" s="73">
        <f>IF(Tank1!$C$23="No control",(SUMIF(Tank1!$B$32:$B$49,$J3065,Tank1!$C$32:$C$49)*Impacts!$F$8),0)</f>
        <v>0</v>
      </c>
      <c r="M3065" s="10">
        <f>IF(Tank2!$C$23="No control",(SUMIF(Tank2!$B$32:$B$49,$J3065,Tank2!$C$32:$C$49)*Impacts!$F$9),0)</f>
        <v>0</v>
      </c>
      <c r="N3065" s="10">
        <f>IF(Tank3!$C$23="No control",(SUMIF(Tank3!$B$32:$B$49,$J3065,Tank3!$C$32:$C$49)*Impacts!$F$10),0)</f>
        <v>0</v>
      </c>
      <c r="O3065" s="10">
        <f>IF(Tank4!$C$23="No control",(SUMIF(Tank4!$B$32:$B$49,$J3065,Tank4!$C$32:$C$49)*Impacts!$F$11),0)</f>
        <v>0</v>
      </c>
      <c r="P3065" s="10">
        <f>IF(Tank5!$C$23="No control",(SUMIF(Tank5!$B$32:$B$49,$J3065,Tank5!$C$32:$C$49)*Impacts!$F$12),0)</f>
        <v>0</v>
      </c>
      <c r="Q3065" s="10">
        <f>IFERROR(IF(('Loading-drum,tote'!$C$21)="No control",SUMIF(('Loading-drum,tote'!$B$31:$B$48),$J3065,('Loading-drum,tote'!$D$31:$D$48))*Impacts!$F$13,IF(('Loading-drum,tote'!$C$21)&lt;&gt;"No control",SUMIF(('Loading-drum,tote'!$B$31:$B$48),$J3065,('Loading-drum,tote'!$E$31:$E$48))*Impacts!$F$13,0)),0)</f>
        <v>0</v>
      </c>
      <c r="R3065" s="10">
        <f>IFERROR(IF(('Loading-truck'!$C$21)="No control",SUMIF(('Loading-truck'!$B$31:$B$48),$J3065,('Loading-truck'!$D$31:$D$48))*Impacts!$F$14,IF(('Loading-truck'!$C$21)&lt;&gt;"No control",SUMIF(('Loading-truck'!$B$31:$B$48),$J3065,('Loading-truck'!$E$31:$E$48))*Impacts!$F$14,0)),0)</f>
        <v>0</v>
      </c>
      <c r="S3065" s="10">
        <f>IFERROR(IF(('Loading-rail'!$C$21)="No control",SUMIF(('Loading-rail'!$B$31:$B$48),$J3065,('Loading-rail'!$D$31:$D$48))*Impacts!$F$15,IF(('Loading-rail'!$C$21)&lt;&gt;"No control",SUMIF(('Loading-rail'!$B$31:$B$48),$J3065,('Loading-rail'!$E$31:$E$48))*Impacts!$F$15,0)),0)</f>
        <v>0</v>
      </c>
      <c r="T3065" s="10">
        <f>IF(Flare!$C$7="",0,(SUMIF(Flare!$B$46:$B$185,$J3065,Flare!$E$46:$E$185)*Impacts!$F$16))</f>
        <v>0</v>
      </c>
      <c r="U3065" s="10">
        <f>IF(VCU!$C$9="",0,(SUMIF(VCU!$B$51:$B$193,$J3065,VCU!$E$51:$E$193)*Impacts!$F$17))</f>
        <v>0</v>
      </c>
      <c r="V3065" s="10">
        <f>IF(CAS!$C$7="",0,(SUMIF(CAS!$B$31:$B$167,$J3065,CAS!$E$31:$E$167)*Impacts!$F$18))</f>
        <v>0</v>
      </c>
      <c r="W3065" s="10">
        <f t="shared" si="88"/>
        <v>0</v>
      </c>
      <c r="AK3065" s="10" t="str">
        <f t="array" ref="AK3065">IFERROR(INDEX(SelectedSpecies,SMALL(IF(SelectedSpecies=AK$1,ROW(SelectedSpecies)),ROW(3066:3066)),2),"")</f>
        <v/>
      </c>
      <c r="BE3065" s="10"/>
      <c r="BI3065" s="10"/>
    </row>
    <row r="3066" spans="1:61" ht="21" customHeight="1" x14ac:dyDescent="0.25">
      <c r="A3066" s="10"/>
      <c r="B3066" s="10"/>
      <c r="E3066" s="10"/>
      <c r="G3066" s="10"/>
      <c r="I3066" s="436" t="s">
        <v>2275</v>
      </c>
      <c r="J3066" s="26" t="s">
        <v>2274</v>
      </c>
      <c r="K3066" s="10">
        <v>12.5</v>
      </c>
      <c r="L3066" s="73">
        <f>IF(Tank1!$C$23="No control",(SUMIF(Tank1!$B$32:$B$49,$J3066,Tank1!$C$32:$C$49)*Impacts!$F$8),0)</f>
        <v>0</v>
      </c>
      <c r="M3066" s="10">
        <f>IF(Tank2!$C$23="No control",(SUMIF(Tank2!$B$32:$B$49,$J3066,Tank2!$C$32:$C$49)*Impacts!$F$9),0)</f>
        <v>0</v>
      </c>
      <c r="N3066" s="10">
        <f>IF(Tank3!$C$23="No control",(SUMIF(Tank3!$B$32:$B$49,$J3066,Tank3!$C$32:$C$49)*Impacts!$F$10),0)</f>
        <v>0</v>
      </c>
      <c r="O3066" s="10">
        <f>IF(Tank4!$C$23="No control",(SUMIF(Tank4!$B$32:$B$49,$J3066,Tank4!$C$32:$C$49)*Impacts!$F$11),0)</f>
        <v>0</v>
      </c>
      <c r="P3066" s="10">
        <f>IF(Tank5!$C$23="No control",(SUMIF(Tank5!$B$32:$B$49,$J3066,Tank5!$C$32:$C$49)*Impacts!$F$12),0)</f>
        <v>0</v>
      </c>
      <c r="Q3066" s="10">
        <f>IFERROR(IF(('Loading-drum,tote'!$C$21)="No control",SUMIF(('Loading-drum,tote'!$B$31:$B$48),$J3066,('Loading-drum,tote'!$D$31:$D$48))*Impacts!$F$13,IF(('Loading-drum,tote'!$C$21)&lt;&gt;"No control",SUMIF(('Loading-drum,tote'!$B$31:$B$48),$J3066,('Loading-drum,tote'!$E$31:$E$48))*Impacts!$F$13,0)),0)</f>
        <v>0</v>
      </c>
      <c r="R3066" s="10">
        <f>IFERROR(IF(('Loading-truck'!$C$21)="No control",SUMIF(('Loading-truck'!$B$31:$B$48),$J3066,('Loading-truck'!$D$31:$D$48))*Impacts!$F$14,IF(('Loading-truck'!$C$21)&lt;&gt;"No control",SUMIF(('Loading-truck'!$B$31:$B$48),$J3066,('Loading-truck'!$E$31:$E$48))*Impacts!$F$14,0)),0)</f>
        <v>0</v>
      </c>
      <c r="S3066" s="10">
        <f>IFERROR(IF(('Loading-rail'!$C$21)="No control",SUMIF(('Loading-rail'!$B$31:$B$48),$J3066,('Loading-rail'!$D$31:$D$48))*Impacts!$F$15,IF(('Loading-rail'!$C$21)&lt;&gt;"No control",SUMIF(('Loading-rail'!$B$31:$B$48),$J3066,('Loading-rail'!$E$31:$E$48))*Impacts!$F$15,0)),0)</f>
        <v>0</v>
      </c>
      <c r="T3066" s="10">
        <f>IF(Flare!$C$7="",0,(SUMIF(Flare!$B$46:$B$185,$J3066,Flare!$E$46:$E$185)*Impacts!$F$16))</f>
        <v>0</v>
      </c>
      <c r="U3066" s="10">
        <f>IF(VCU!$C$9="",0,(SUMIF(VCU!$B$51:$B$193,$J3066,VCU!$E$51:$E$193)*Impacts!$F$17))</f>
        <v>0</v>
      </c>
      <c r="V3066" s="10">
        <f>IF(CAS!$C$7="",0,(SUMIF(CAS!$B$31:$B$167,$J3066,CAS!$E$31:$E$167)*Impacts!$F$18))</f>
        <v>0</v>
      </c>
      <c r="W3066" s="10">
        <f t="shared" si="88"/>
        <v>0</v>
      </c>
      <c r="AK3066" s="10" t="str">
        <f t="array" ref="AK3066">IFERROR(INDEX(SelectedSpecies,SMALL(IF(SelectedSpecies=AK$1,ROW(SelectedSpecies)),ROW(3067:3067)),2),"")</f>
        <v/>
      </c>
      <c r="BE3066" s="10"/>
      <c r="BI3066" s="10"/>
    </row>
    <row r="3067" spans="1:61" ht="21" customHeight="1" x14ac:dyDescent="0.25">
      <c r="A3067" s="10"/>
      <c r="B3067" s="10"/>
      <c r="E3067" s="10"/>
      <c r="G3067" s="10"/>
      <c r="I3067" s="436" t="s">
        <v>6094</v>
      </c>
      <c r="J3067" s="26" t="s">
        <v>6093</v>
      </c>
      <c r="K3067" s="10">
        <v>1</v>
      </c>
      <c r="L3067" s="73">
        <f>IF(Tank1!$C$23="No control",(SUMIF(Tank1!$B$32:$B$49,$J3067,Tank1!$C$32:$C$49)*Impacts!$F$8),0)</f>
        <v>0</v>
      </c>
      <c r="M3067" s="10">
        <f>IF(Tank2!$C$23="No control",(SUMIF(Tank2!$B$32:$B$49,$J3067,Tank2!$C$32:$C$49)*Impacts!$F$9),0)</f>
        <v>0</v>
      </c>
      <c r="N3067" s="10">
        <f>IF(Tank3!$C$23="No control",(SUMIF(Tank3!$B$32:$B$49,$J3067,Tank3!$C$32:$C$49)*Impacts!$F$10),0)</f>
        <v>0</v>
      </c>
      <c r="O3067" s="10">
        <f>IF(Tank4!$C$23="No control",(SUMIF(Tank4!$B$32:$B$49,$J3067,Tank4!$C$32:$C$49)*Impacts!$F$11),0)</f>
        <v>0</v>
      </c>
      <c r="P3067" s="10">
        <f>IF(Tank5!$C$23="No control",(SUMIF(Tank5!$B$32:$B$49,$J3067,Tank5!$C$32:$C$49)*Impacts!$F$12),0)</f>
        <v>0</v>
      </c>
      <c r="Q3067" s="10">
        <f>IFERROR(IF(('Loading-drum,tote'!$C$21)="No control",SUMIF(('Loading-drum,tote'!$B$31:$B$48),$J3067,('Loading-drum,tote'!$D$31:$D$48))*Impacts!$F$13,IF(('Loading-drum,tote'!$C$21)&lt;&gt;"No control",SUMIF(('Loading-drum,tote'!$B$31:$B$48),$J3067,('Loading-drum,tote'!$E$31:$E$48))*Impacts!$F$13,0)),0)</f>
        <v>0</v>
      </c>
      <c r="R3067" s="10">
        <f>IFERROR(IF(('Loading-truck'!$C$21)="No control",SUMIF(('Loading-truck'!$B$31:$B$48),$J3067,('Loading-truck'!$D$31:$D$48))*Impacts!$F$14,IF(('Loading-truck'!$C$21)&lt;&gt;"No control",SUMIF(('Loading-truck'!$B$31:$B$48),$J3067,('Loading-truck'!$E$31:$E$48))*Impacts!$F$14,0)),0)</f>
        <v>0</v>
      </c>
      <c r="S3067" s="10">
        <f>IFERROR(IF(('Loading-rail'!$C$21)="No control",SUMIF(('Loading-rail'!$B$31:$B$48),$J3067,('Loading-rail'!$D$31:$D$48))*Impacts!$F$15,IF(('Loading-rail'!$C$21)&lt;&gt;"No control",SUMIF(('Loading-rail'!$B$31:$B$48),$J3067,('Loading-rail'!$E$31:$E$48))*Impacts!$F$15,0)),0)</f>
        <v>0</v>
      </c>
      <c r="T3067" s="10">
        <f>IF(Flare!$C$7="",0,(SUMIF(Flare!$B$46:$B$185,$J3067,Flare!$E$46:$E$185)*Impacts!$F$16))</f>
        <v>0</v>
      </c>
      <c r="U3067" s="10">
        <f>IF(VCU!$C$9="",0,(SUMIF(VCU!$B$51:$B$193,$J3067,VCU!$E$51:$E$193)*Impacts!$F$17))</f>
        <v>0</v>
      </c>
      <c r="V3067" s="10">
        <f>IF(CAS!$C$7="",0,(SUMIF(CAS!$B$31:$B$167,$J3067,CAS!$E$31:$E$167)*Impacts!$F$18))</f>
        <v>0</v>
      </c>
      <c r="W3067" s="10">
        <f t="shared" si="88"/>
        <v>0</v>
      </c>
      <c r="AK3067" s="10" t="str">
        <f t="array" ref="AK3067">IFERROR(INDEX(SelectedSpecies,SMALL(IF(SelectedSpecies=AK$1,ROW(SelectedSpecies)),ROW(3068:3068)),2),"")</f>
        <v/>
      </c>
      <c r="BE3067" s="10"/>
      <c r="BI3067" s="10"/>
    </row>
    <row r="3068" spans="1:61" ht="21" customHeight="1" x14ac:dyDescent="0.25">
      <c r="A3068" s="10"/>
      <c r="B3068" s="10"/>
      <c r="E3068" s="10"/>
      <c r="G3068" s="10"/>
      <c r="I3068" s="436" t="s">
        <v>3225</v>
      </c>
      <c r="J3068" s="26" t="s">
        <v>3224</v>
      </c>
      <c r="K3068" s="10">
        <v>10</v>
      </c>
      <c r="L3068" s="73">
        <f>IF(Tank1!$C$23="No control",(SUMIF(Tank1!$B$32:$B$49,$J3068,Tank1!$C$32:$C$49)*Impacts!$F$8),0)</f>
        <v>0</v>
      </c>
      <c r="M3068" s="10">
        <f>IF(Tank2!$C$23="No control",(SUMIF(Tank2!$B$32:$B$49,$J3068,Tank2!$C$32:$C$49)*Impacts!$F$9),0)</f>
        <v>0</v>
      </c>
      <c r="N3068" s="10">
        <f>IF(Tank3!$C$23="No control",(SUMIF(Tank3!$B$32:$B$49,$J3068,Tank3!$C$32:$C$49)*Impacts!$F$10),0)</f>
        <v>0</v>
      </c>
      <c r="O3068" s="10">
        <f>IF(Tank4!$C$23="No control",(SUMIF(Tank4!$B$32:$B$49,$J3068,Tank4!$C$32:$C$49)*Impacts!$F$11),0)</f>
        <v>0</v>
      </c>
      <c r="P3068" s="10">
        <f>IF(Tank5!$C$23="No control",(SUMIF(Tank5!$B$32:$B$49,$J3068,Tank5!$C$32:$C$49)*Impacts!$F$12),0)</f>
        <v>0</v>
      </c>
      <c r="Q3068" s="10">
        <f>IFERROR(IF(('Loading-drum,tote'!$C$21)="No control",SUMIF(('Loading-drum,tote'!$B$31:$B$48),$J3068,('Loading-drum,tote'!$D$31:$D$48))*Impacts!$F$13,IF(('Loading-drum,tote'!$C$21)&lt;&gt;"No control",SUMIF(('Loading-drum,tote'!$B$31:$B$48),$J3068,('Loading-drum,tote'!$E$31:$E$48))*Impacts!$F$13,0)),0)</f>
        <v>0</v>
      </c>
      <c r="R3068" s="10">
        <f>IFERROR(IF(('Loading-truck'!$C$21)="No control",SUMIF(('Loading-truck'!$B$31:$B$48),$J3068,('Loading-truck'!$D$31:$D$48))*Impacts!$F$14,IF(('Loading-truck'!$C$21)&lt;&gt;"No control",SUMIF(('Loading-truck'!$B$31:$B$48),$J3068,('Loading-truck'!$E$31:$E$48))*Impacts!$F$14,0)),0)</f>
        <v>0</v>
      </c>
      <c r="S3068" s="10">
        <f>IFERROR(IF(('Loading-rail'!$C$21)="No control",SUMIF(('Loading-rail'!$B$31:$B$48),$J3068,('Loading-rail'!$D$31:$D$48))*Impacts!$F$15,IF(('Loading-rail'!$C$21)&lt;&gt;"No control",SUMIF(('Loading-rail'!$B$31:$B$48),$J3068,('Loading-rail'!$E$31:$E$48))*Impacts!$F$15,0)),0)</f>
        <v>0</v>
      </c>
      <c r="T3068" s="10">
        <f>IF(Flare!$C$7="",0,(SUMIF(Flare!$B$46:$B$185,$J3068,Flare!$E$46:$E$185)*Impacts!$F$16))</f>
        <v>0</v>
      </c>
      <c r="U3068" s="10">
        <f>IF(VCU!$C$9="",0,(SUMIF(VCU!$B$51:$B$193,$J3068,VCU!$E$51:$E$193)*Impacts!$F$17))</f>
        <v>0</v>
      </c>
      <c r="V3068" s="10">
        <f>IF(CAS!$C$7="",0,(SUMIF(CAS!$B$31:$B$167,$J3068,CAS!$E$31:$E$167)*Impacts!$F$18))</f>
        <v>0</v>
      </c>
      <c r="W3068" s="10">
        <f t="shared" si="88"/>
        <v>0</v>
      </c>
      <c r="AK3068" s="10" t="str">
        <f t="array" ref="AK3068">IFERROR(INDEX(SelectedSpecies,SMALL(IF(SelectedSpecies=AK$1,ROW(SelectedSpecies)),ROW(3069:3069)),2),"")</f>
        <v/>
      </c>
      <c r="BE3068" s="10"/>
      <c r="BI3068" s="10"/>
    </row>
    <row r="3069" spans="1:61" ht="21" customHeight="1" x14ac:dyDescent="0.25">
      <c r="A3069" s="10"/>
      <c r="B3069" s="10"/>
      <c r="E3069" s="10"/>
      <c r="G3069" s="10"/>
      <c r="I3069" s="436" t="s">
        <v>2597</v>
      </c>
      <c r="J3069" s="26" t="s">
        <v>2596</v>
      </c>
      <c r="K3069" s="10">
        <v>10</v>
      </c>
      <c r="L3069" s="73">
        <f>IF(Tank1!$C$23="No control",(SUMIF(Tank1!$B$32:$B$49,$J3069,Tank1!$C$32:$C$49)*Impacts!$F$8),0)</f>
        <v>0</v>
      </c>
      <c r="M3069" s="10">
        <f>IF(Tank2!$C$23="No control",(SUMIF(Tank2!$B$32:$B$49,$J3069,Tank2!$C$32:$C$49)*Impacts!$F$9),0)</f>
        <v>0</v>
      </c>
      <c r="N3069" s="10">
        <f>IF(Tank3!$C$23="No control",(SUMIF(Tank3!$B$32:$B$49,$J3069,Tank3!$C$32:$C$49)*Impacts!$F$10),0)</f>
        <v>0</v>
      </c>
      <c r="O3069" s="10">
        <f>IF(Tank4!$C$23="No control",(SUMIF(Tank4!$B$32:$B$49,$J3069,Tank4!$C$32:$C$49)*Impacts!$F$11),0)</f>
        <v>0</v>
      </c>
      <c r="P3069" s="10">
        <f>IF(Tank5!$C$23="No control",(SUMIF(Tank5!$B$32:$B$49,$J3069,Tank5!$C$32:$C$49)*Impacts!$F$12),0)</f>
        <v>0</v>
      </c>
      <c r="Q3069" s="10">
        <f>IFERROR(IF(('Loading-drum,tote'!$C$21)="No control",SUMIF(('Loading-drum,tote'!$B$31:$B$48),$J3069,('Loading-drum,tote'!$D$31:$D$48))*Impacts!$F$13,IF(('Loading-drum,tote'!$C$21)&lt;&gt;"No control",SUMIF(('Loading-drum,tote'!$B$31:$B$48),$J3069,('Loading-drum,tote'!$E$31:$E$48))*Impacts!$F$13,0)),0)</f>
        <v>0</v>
      </c>
      <c r="R3069" s="10">
        <f>IFERROR(IF(('Loading-truck'!$C$21)="No control",SUMIF(('Loading-truck'!$B$31:$B$48),$J3069,('Loading-truck'!$D$31:$D$48))*Impacts!$F$14,IF(('Loading-truck'!$C$21)&lt;&gt;"No control",SUMIF(('Loading-truck'!$B$31:$B$48),$J3069,('Loading-truck'!$E$31:$E$48))*Impacts!$F$14,0)),0)</f>
        <v>0</v>
      </c>
      <c r="S3069" s="10">
        <f>IFERROR(IF(('Loading-rail'!$C$21)="No control",SUMIF(('Loading-rail'!$B$31:$B$48),$J3069,('Loading-rail'!$D$31:$D$48))*Impacts!$F$15,IF(('Loading-rail'!$C$21)&lt;&gt;"No control",SUMIF(('Loading-rail'!$B$31:$B$48),$J3069,('Loading-rail'!$E$31:$E$48))*Impacts!$F$15,0)),0)</f>
        <v>0</v>
      </c>
      <c r="T3069" s="10">
        <f>IF(Flare!$C$7="",0,(SUMIF(Flare!$B$46:$B$185,$J3069,Flare!$E$46:$E$185)*Impacts!$F$16))</f>
        <v>0</v>
      </c>
      <c r="U3069" s="10">
        <f>IF(VCU!$C$9="",0,(SUMIF(VCU!$B$51:$B$193,$J3069,VCU!$E$51:$E$193)*Impacts!$F$17))</f>
        <v>0</v>
      </c>
      <c r="V3069" s="10">
        <f>IF(CAS!$C$7="",0,(SUMIF(CAS!$B$31:$B$167,$J3069,CAS!$E$31:$E$167)*Impacts!$F$18))</f>
        <v>0</v>
      </c>
      <c r="W3069" s="10">
        <f t="shared" si="88"/>
        <v>0</v>
      </c>
      <c r="AK3069" s="10" t="str">
        <f t="array" ref="AK3069">IFERROR(INDEX(SelectedSpecies,SMALL(IF(SelectedSpecies=AK$1,ROW(SelectedSpecies)),ROW(3070:3070)),2),"")</f>
        <v/>
      </c>
      <c r="BE3069" s="10"/>
      <c r="BI3069" s="10"/>
    </row>
    <row r="3070" spans="1:61" ht="21" customHeight="1" x14ac:dyDescent="0.25">
      <c r="A3070" s="10"/>
      <c r="B3070" s="10"/>
      <c r="E3070" s="10"/>
      <c r="G3070" s="10"/>
      <c r="I3070" s="436" t="s">
        <v>2277</v>
      </c>
      <c r="J3070" s="26" t="s">
        <v>2276</v>
      </c>
      <c r="K3070" s="10">
        <v>12.5</v>
      </c>
      <c r="L3070" s="73">
        <f>IF(Tank1!$C$23="No control",(SUMIF(Tank1!$B$32:$B$49,$J3070,Tank1!$C$32:$C$49)*Impacts!$F$8),0)</f>
        <v>0</v>
      </c>
      <c r="M3070" s="10">
        <f>IF(Tank2!$C$23="No control",(SUMIF(Tank2!$B$32:$B$49,$J3070,Tank2!$C$32:$C$49)*Impacts!$F$9),0)</f>
        <v>0</v>
      </c>
      <c r="N3070" s="10">
        <f>IF(Tank3!$C$23="No control",(SUMIF(Tank3!$B$32:$B$49,$J3070,Tank3!$C$32:$C$49)*Impacts!$F$10),0)</f>
        <v>0</v>
      </c>
      <c r="O3070" s="10">
        <f>IF(Tank4!$C$23="No control",(SUMIF(Tank4!$B$32:$B$49,$J3070,Tank4!$C$32:$C$49)*Impacts!$F$11),0)</f>
        <v>0</v>
      </c>
      <c r="P3070" s="10">
        <f>IF(Tank5!$C$23="No control",(SUMIF(Tank5!$B$32:$B$49,$J3070,Tank5!$C$32:$C$49)*Impacts!$F$12),0)</f>
        <v>0</v>
      </c>
      <c r="Q3070" s="10">
        <f>IFERROR(IF(('Loading-drum,tote'!$C$21)="No control",SUMIF(('Loading-drum,tote'!$B$31:$B$48),$J3070,('Loading-drum,tote'!$D$31:$D$48))*Impacts!$F$13,IF(('Loading-drum,tote'!$C$21)&lt;&gt;"No control",SUMIF(('Loading-drum,tote'!$B$31:$B$48),$J3070,('Loading-drum,tote'!$E$31:$E$48))*Impacts!$F$13,0)),0)</f>
        <v>0</v>
      </c>
      <c r="R3070" s="10">
        <f>IFERROR(IF(('Loading-truck'!$C$21)="No control",SUMIF(('Loading-truck'!$B$31:$B$48),$J3070,('Loading-truck'!$D$31:$D$48))*Impacts!$F$14,IF(('Loading-truck'!$C$21)&lt;&gt;"No control",SUMIF(('Loading-truck'!$B$31:$B$48),$J3070,('Loading-truck'!$E$31:$E$48))*Impacts!$F$14,0)),0)</f>
        <v>0</v>
      </c>
      <c r="S3070" s="10">
        <f>IFERROR(IF(('Loading-rail'!$C$21)="No control",SUMIF(('Loading-rail'!$B$31:$B$48),$J3070,('Loading-rail'!$D$31:$D$48))*Impacts!$F$15,IF(('Loading-rail'!$C$21)&lt;&gt;"No control",SUMIF(('Loading-rail'!$B$31:$B$48),$J3070,('Loading-rail'!$E$31:$E$48))*Impacts!$F$15,0)),0)</f>
        <v>0</v>
      </c>
      <c r="T3070" s="10">
        <f>IF(Flare!$C$7="",0,(SUMIF(Flare!$B$46:$B$185,$J3070,Flare!$E$46:$E$185)*Impacts!$F$16))</f>
        <v>0</v>
      </c>
      <c r="U3070" s="10">
        <f>IF(VCU!$C$9="",0,(SUMIF(VCU!$B$51:$B$193,$J3070,VCU!$E$51:$E$193)*Impacts!$F$17))</f>
        <v>0</v>
      </c>
      <c r="V3070" s="10">
        <f>IF(CAS!$C$7="",0,(SUMIF(CAS!$B$31:$B$167,$J3070,CAS!$E$31:$E$167)*Impacts!$F$18))</f>
        <v>0</v>
      </c>
      <c r="W3070" s="10">
        <f t="shared" si="88"/>
        <v>0</v>
      </c>
      <c r="AK3070" s="10" t="str">
        <f t="array" ref="AK3070">IFERROR(INDEX(SelectedSpecies,SMALL(IF(SelectedSpecies=AK$1,ROW(SelectedSpecies)),ROW(3071:3071)),2),"")</f>
        <v/>
      </c>
      <c r="BE3070" s="10"/>
      <c r="BI3070" s="10"/>
    </row>
    <row r="3071" spans="1:61" ht="21" customHeight="1" x14ac:dyDescent="0.25">
      <c r="A3071" s="10"/>
      <c r="B3071" s="10"/>
      <c r="E3071" s="10"/>
      <c r="G3071" s="10"/>
      <c r="I3071" s="436" t="s">
        <v>1721</v>
      </c>
      <c r="J3071" s="26" t="s">
        <v>1720</v>
      </c>
      <c r="K3071" s="10">
        <v>24.5</v>
      </c>
      <c r="L3071" s="73">
        <f>IF(Tank1!$C$23="No control",(SUMIF(Tank1!$B$32:$B$49,$J3071,Tank1!$C$32:$C$49)*Impacts!$F$8),0)</f>
        <v>0</v>
      </c>
      <c r="M3071" s="10">
        <f>IF(Tank2!$C$23="No control",(SUMIF(Tank2!$B$32:$B$49,$J3071,Tank2!$C$32:$C$49)*Impacts!$F$9),0)</f>
        <v>0</v>
      </c>
      <c r="N3071" s="10">
        <f>IF(Tank3!$C$23="No control",(SUMIF(Tank3!$B$32:$B$49,$J3071,Tank3!$C$32:$C$49)*Impacts!$F$10),0)</f>
        <v>0</v>
      </c>
      <c r="O3071" s="10">
        <f>IF(Tank4!$C$23="No control",(SUMIF(Tank4!$B$32:$B$49,$J3071,Tank4!$C$32:$C$49)*Impacts!$F$11),0)</f>
        <v>0</v>
      </c>
      <c r="P3071" s="10">
        <f>IF(Tank5!$C$23="No control",(SUMIF(Tank5!$B$32:$B$49,$J3071,Tank5!$C$32:$C$49)*Impacts!$F$12),0)</f>
        <v>0</v>
      </c>
      <c r="Q3071" s="10">
        <f>IFERROR(IF(('Loading-drum,tote'!$C$21)="No control",SUMIF(('Loading-drum,tote'!$B$31:$B$48),$J3071,('Loading-drum,tote'!$D$31:$D$48))*Impacts!$F$13,IF(('Loading-drum,tote'!$C$21)&lt;&gt;"No control",SUMIF(('Loading-drum,tote'!$B$31:$B$48),$J3071,('Loading-drum,tote'!$E$31:$E$48))*Impacts!$F$13,0)),0)</f>
        <v>0</v>
      </c>
      <c r="R3071" s="10">
        <f>IFERROR(IF(('Loading-truck'!$C$21)="No control",SUMIF(('Loading-truck'!$B$31:$B$48),$J3071,('Loading-truck'!$D$31:$D$48))*Impacts!$F$14,IF(('Loading-truck'!$C$21)&lt;&gt;"No control",SUMIF(('Loading-truck'!$B$31:$B$48),$J3071,('Loading-truck'!$E$31:$E$48))*Impacts!$F$14,0)),0)</f>
        <v>0</v>
      </c>
      <c r="S3071" s="10">
        <f>IFERROR(IF(('Loading-rail'!$C$21)="No control",SUMIF(('Loading-rail'!$B$31:$B$48),$J3071,('Loading-rail'!$D$31:$D$48))*Impacts!$F$15,IF(('Loading-rail'!$C$21)&lt;&gt;"No control",SUMIF(('Loading-rail'!$B$31:$B$48),$J3071,('Loading-rail'!$E$31:$E$48))*Impacts!$F$15,0)),0)</f>
        <v>0</v>
      </c>
      <c r="T3071" s="10">
        <f>IF(Flare!$C$7="",0,(SUMIF(Flare!$B$46:$B$185,$J3071,Flare!$E$46:$E$185)*Impacts!$F$16))</f>
        <v>0</v>
      </c>
      <c r="U3071" s="10">
        <f>IF(VCU!$C$9="",0,(SUMIF(VCU!$B$51:$B$193,$J3071,VCU!$E$51:$E$193)*Impacts!$F$17))</f>
        <v>0</v>
      </c>
      <c r="V3071" s="10">
        <f>IF(CAS!$C$7="",0,(SUMIF(CAS!$B$31:$B$167,$J3071,CAS!$E$31:$E$167)*Impacts!$F$18))</f>
        <v>0</v>
      </c>
      <c r="W3071" s="10">
        <f t="shared" si="88"/>
        <v>0</v>
      </c>
      <c r="AK3071" s="10" t="str">
        <f t="array" ref="AK3071">IFERROR(INDEX(SelectedSpecies,SMALL(IF(SelectedSpecies=AK$1,ROW(SelectedSpecies)),ROW(3072:3072)),2),"")</f>
        <v/>
      </c>
      <c r="BE3071" s="10"/>
      <c r="BI3071" s="10"/>
    </row>
    <row r="3072" spans="1:61" ht="21" customHeight="1" x14ac:dyDescent="0.25">
      <c r="A3072" s="10"/>
      <c r="B3072" s="10"/>
      <c r="E3072" s="10"/>
      <c r="G3072" s="10"/>
      <c r="I3072" s="436" t="s">
        <v>6904</v>
      </c>
      <c r="J3072" s="26" t="s">
        <v>6903</v>
      </c>
      <c r="K3072" s="10">
        <v>0.5</v>
      </c>
      <c r="L3072" s="73">
        <f>IF(Tank1!$C$23="No control",(SUMIF(Tank1!$B$32:$B$49,$J3072,Tank1!$C$32:$C$49)*Impacts!$F$8),0)</f>
        <v>0</v>
      </c>
      <c r="M3072" s="10">
        <f>IF(Tank2!$C$23="No control",(SUMIF(Tank2!$B$32:$B$49,$J3072,Tank2!$C$32:$C$49)*Impacts!$F$9),0)</f>
        <v>0</v>
      </c>
      <c r="N3072" s="10">
        <f>IF(Tank3!$C$23="No control",(SUMIF(Tank3!$B$32:$B$49,$J3072,Tank3!$C$32:$C$49)*Impacts!$F$10),0)</f>
        <v>0</v>
      </c>
      <c r="O3072" s="10">
        <f>IF(Tank4!$C$23="No control",(SUMIF(Tank4!$B$32:$B$49,$J3072,Tank4!$C$32:$C$49)*Impacts!$F$11),0)</f>
        <v>0</v>
      </c>
      <c r="P3072" s="10">
        <f>IF(Tank5!$C$23="No control",(SUMIF(Tank5!$B$32:$B$49,$J3072,Tank5!$C$32:$C$49)*Impacts!$F$12),0)</f>
        <v>0</v>
      </c>
      <c r="Q3072" s="10">
        <f>IFERROR(IF(('Loading-drum,tote'!$C$21)="No control",SUMIF(('Loading-drum,tote'!$B$31:$B$48),$J3072,('Loading-drum,tote'!$D$31:$D$48))*Impacts!$F$13,IF(('Loading-drum,tote'!$C$21)&lt;&gt;"No control",SUMIF(('Loading-drum,tote'!$B$31:$B$48),$J3072,('Loading-drum,tote'!$E$31:$E$48))*Impacts!$F$13,0)),0)</f>
        <v>0</v>
      </c>
      <c r="R3072" s="10">
        <f>IFERROR(IF(('Loading-truck'!$C$21)="No control",SUMIF(('Loading-truck'!$B$31:$B$48),$J3072,('Loading-truck'!$D$31:$D$48))*Impacts!$F$14,IF(('Loading-truck'!$C$21)&lt;&gt;"No control",SUMIF(('Loading-truck'!$B$31:$B$48),$J3072,('Loading-truck'!$E$31:$E$48))*Impacts!$F$14,0)),0)</f>
        <v>0</v>
      </c>
      <c r="S3072" s="10">
        <f>IFERROR(IF(('Loading-rail'!$C$21)="No control",SUMIF(('Loading-rail'!$B$31:$B$48),$J3072,('Loading-rail'!$D$31:$D$48))*Impacts!$F$15,IF(('Loading-rail'!$C$21)&lt;&gt;"No control",SUMIF(('Loading-rail'!$B$31:$B$48),$J3072,('Loading-rail'!$E$31:$E$48))*Impacts!$F$15,0)),0)</f>
        <v>0</v>
      </c>
      <c r="T3072" s="10">
        <f>IF(Flare!$C$7="",0,(SUMIF(Flare!$B$46:$B$185,$J3072,Flare!$E$46:$E$185)*Impacts!$F$16))</f>
        <v>0</v>
      </c>
      <c r="U3072" s="10">
        <f>IF(VCU!$C$9="",0,(SUMIF(VCU!$B$51:$B$193,$J3072,VCU!$E$51:$E$193)*Impacts!$F$17))</f>
        <v>0</v>
      </c>
      <c r="V3072" s="10">
        <f>IF(CAS!$C$7="",0,(SUMIF(CAS!$B$31:$B$167,$J3072,CAS!$E$31:$E$167)*Impacts!$F$18))</f>
        <v>0</v>
      </c>
      <c r="W3072" s="10">
        <f t="shared" si="88"/>
        <v>0</v>
      </c>
      <c r="AK3072" s="10" t="str">
        <f t="array" ref="AK3072">IFERROR(INDEX(SelectedSpecies,SMALL(IF(SelectedSpecies=AK$1,ROW(SelectedSpecies)),ROW(3073:3073)),2),"")</f>
        <v/>
      </c>
      <c r="BE3072" s="10"/>
      <c r="BI3072" s="10"/>
    </row>
    <row r="3073" spans="1:61" ht="21" customHeight="1" x14ac:dyDescent="0.25">
      <c r="A3073" s="10"/>
      <c r="B3073" s="10"/>
      <c r="E3073" s="10"/>
      <c r="G3073" s="10"/>
      <c r="I3073" s="436" t="s">
        <v>6906</v>
      </c>
      <c r="J3073" s="26" t="s">
        <v>6905</v>
      </c>
      <c r="K3073" s="10">
        <v>0.5</v>
      </c>
      <c r="L3073" s="73">
        <f>IF(Tank1!$C$23="No control",(SUMIF(Tank1!$B$32:$B$49,$J3073,Tank1!$C$32:$C$49)*Impacts!$F$8),0)</f>
        <v>0</v>
      </c>
      <c r="M3073" s="10">
        <f>IF(Tank2!$C$23="No control",(SUMIF(Tank2!$B$32:$B$49,$J3073,Tank2!$C$32:$C$49)*Impacts!$F$9),0)</f>
        <v>0</v>
      </c>
      <c r="N3073" s="10">
        <f>IF(Tank3!$C$23="No control",(SUMIF(Tank3!$B$32:$B$49,$J3073,Tank3!$C$32:$C$49)*Impacts!$F$10),0)</f>
        <v>0</v>
      </c>
      <c r="O3073" s="10">
        <f>IF(Tank4!$C$23="No control",(SUMIF(Tank4!$B$32:$B$49,$J3073,Tank4!$C$32:$C$49)*Impacts!$F$11),0)</f>
        <v>0</v>
      </c>
      <c r="P3073" s="10">
        <f>IF(Tank5!$C$23="No control",(SUMIF(Tank5!$B$32:$B$49,$J3073,Tank5!$C$32:$C$49)*Impacts!$F$12),0)</f>
        <v>0</v>
      </c>
      <c r="Q3073" s="10">
        <f>IFERROR(IF(('Loading-drum,tote'!$C$21)="No control",SUMIF(('Loading-drum,tote'!$B$31:$B$48),$J3073,('Loading-drum,tote'!$D$31:$D$48))*Impacts!$F$13,IF(('Loading-drum,tote'!$C$21)&lt;&gt;"No control",SUMIF(('Loading-drum,tote'!$B$31:$B$48),$J3073,('Loading-drum,tote'!$E$31:$E$48))*Impacts!$F$13,0)),0)</f>
        <v>0</v>
      </c>
      <c r="R3073" s="10">
        <f>IFERROR(IF(('Loading-truck'!$C$21)="No control",SUMIF(('Loading-truck'!$B$31:$B$48),$J3073,('Loading-truck'!$D$31:$D$48))*Impacts!$F$14,IF(('Loading-truck'!$C$21)&lt;&gt;"No control",SUMIF(('Loading-truck'!$B$31:$B$48),$J3073,('Loading-truck'!$E$31:$E$48))*Impacts!$F$14,0)),0)</f>
        <v>0</v>
      </c>
      <c r="S3073" s="10">
        <f>IFERROR(IF(('Loading-rail'!$C$21)="No control",SUMIF(('Loading-rail'!$B$31:$B$48),$J3073,('Loading-rail'!$D$31:$D$48))*Impacts!$F$15,IF(('Loading-rail'!$C$21)&lt;&gt;"No control",SUMIF(('Loading-rail'!$B$31:$B$48),$J3073,('Loading-rail'!$E$31:$E$48))*Impacts!$F$15,0)),0)</f>
        <v>0</v>
      </c>
      <c r="T3073" s="10">
        <f>IF(Flare!$C$7="",0,(SUMIF(Flare!$B$46:$B$185,$J3073,Flare!$E$46:$E$185)*Impacts!$F$16))</f>
        <v>0</v>
      </c>
      <c r="U3073" s="10">
        <f>IF(VCU!$C$9="",0,(SUMIF(VCU!$B$51:$B$193,$J3073,VCU!$E$51:$E$193)*Impacts!$F$17))</f>
        <v>0</v>
      </c>
      <c r="V3073" s="10">
        <f>IF(CAS!$C$7="",0,(SUMIF(CAS!$B$31:$B$167,$J3073,CAS!$E$31:$E$167)*Impacts!$F$18))</f>
        <v>0</v>
      </c>
      <c r="W3073" s="10">
        <f t="shared" si="88"/>
        <v>0</v>
      </c>
      <c r="AK3073" s="10" t="str">
        <f t="array" ref="AK3073">IFERROR(INDEX(SelectedSpecies,SMALL(IF(SelectedSpecies=AK$1,ROW(SelectedSpecies)),ROW(3074:3074)),2),"")</f>
        <v/>
      </c>
      <c r="BE3073" s="10"/>
      <c r="BI3073" s="10"/>
    </row>
    <row r="3074" spans="1:61" ht="21" customHeight="1" x14ac:dyDescent="0.25">
      <c r="A3074" s="10"/>
      <c r="B3074" s="10"/>
      <c r="E3074" s="10"/>
      <c r="G3074" s="10"/>
      <c r="I3074" s="436" t="s">
        <v>6908</v>
      </c>
      <c r="J3074" s="26" t="s">
        <v>6907</v>
      </c>
      <c r="K3074" s="10">
        <v>0.5</v>
      </c>
      <c r="L3074" s="73">
        <f>IF(Tank1!$C$23="No control",(SUMIF(Tank1!$B$32:$B$49,$J3074,Tank1!$C$32:$C$49)*Impacts!$F$8),0)</f>
        <v>0</v>
      </c>
      <c r="M3074" s="10">
        <f>IF(Tank2!$C$23="No control",(SUMIF(Tank2!$B$32:$B$49,$J3074,Tank2!$C$32:$C$49)*Impacts!$F$9),0)</f>
        <v>0</v>
      </c>
      <c r="N3074" s="10">
        <f>IF(Tank3!$C$23="No control",(SUMIF(Tank3!$B$32:$B$49,$J3074,Tank3!$C$32:$C$49)*Impacts!$F$10),0)</f>
        <v>0</v>
      </c>
      <c r="O3074" s="10">
        <f>IF(Tank4!$C$23="No control",(SUMIF(Tank4!$B$32:$B$49,$J3074,Tank4!$C$32:$C$49)*Impacts!$F$11),0)</f>
        <v>0</v>
      </c>
      <c r="P3074" s="10">
        <f>IF(Tank5!$C$23="No control",(SUMIF(Tank5!$B$32:$B$49,$J3074,Tank5!$C$32:$C$49)*Impacts!$F$12),0)</f>
        <v>0</v>
      </c>
      <c r="Q3074" s="10">
        <f>IFERROR(IF(('Loading-drum,tote'!$C$21)="No control",SUMIF(('Loading-drum,tote'!$B$31:$B$48),$J3074,('Loading-drum,tote'!$D$31:$D$48))*Impacts!$F$13,IF(('Loading-drum,tote'!$C$21)&lt;&gt;"No control",SUMIF(('Loading-drum,tote'!$B$31:$B$48),$J3074,('Loading-drum,tote'!$E$31:$E$48))*Impacts!$F$13,0)),0)</f>
        <v>0</v>
      </c>
      <c r="R3074" s="10">
        <f>IFERROR(IF(('Loading-truck'!$C$21)="No control",SUMIF(('Loading-truck'!$B$31:$B$48),$J3074,('Loading-truck'!$D$31:$D$48))*Impacts!$F$14,IF(('Loading-truck'!$C$21)&lt;&gt;"No control",SUMIF(('Loading-truck'!$B$31:$B$48),$J3074,('Loading-truck'!$E$31:$E$48))*Impacts!$F$14,0)),0)</f>
        <v>0</v>
      </c>
      <c r="S3074" s="10">
        <f>IFERROR(IF(('Loading-rail'!$C$21)="No control",SUMIF(('Loading-rail'!$B$31:$B$48),$J3074,('Loading-rail'!$D$31:$D$48))*Impacts!$F$15,IF(('Loading-rail'!$C$21)&lt;&gt;"No control",SUMIF(('Loading-rail'!$B$31:$B$48),$J3074,('Loading-rail'!$E$31:$E$48))*Impacts!$F$15,0)),0)</f>
        <v>0</v>
      </c>
      <c r="T3074" s="10">
        <f>IF(Flare!$C$7="",0,(SUMIF(Flare!$B$46:$B$185,$J3074,Flare!$E$46:$E$185)*Impacts!$F$16))</f>
        <v>0</v>
      </c>
      <c r="U3074" s="10">
        <f>IF(VCU!$C$9="",0,(SUMIF(VCU!$B$51:$B$193,$J3074,VCU!$E$51:$E$193)*Impacts!$F$17))</f>
        <v>0</v>
      </c>
      <c r="V3074" s="10">
        <f>IF(CAS!$C$7="",0,(SUMIF(CAS!$B$31:$B$167,$J3074,CAS!$E$31:$E$167)*Impacts!$F$18))</f>
        <v>0</v>
      </c>
      <c r="W3074" s="10">
        <f t="shared" si="88"/>
        <v>0</v>
      </c>
      <c r="AK3074" s="10" t="str">
        <f t="array" ref="AK3074">IFERROR(INDEX(SelectedSpecies,SMALL(IF(SelectedSpecies=AK$1,ROW(SelectedSpecies)),ROW(3075:3075)),2),"")</f>
        <v/>
      </c>
      <c r="BE3074" s="10"/>
      <c r="BI3074" s="10"/>
    </row>
    <row r="3075" spans="1:61" ht="21" customHeight="1" x14ac:dyDescent="0.25">
      <c r="A3075" s="10"/>
      <c r="B3075" s="10"/>
      <c r="E3075" s="10"/>
      <c r="G3075" s="10"/>
      <c r="I3075" s="436" t="s">
        <v>6910</v>
      </c>
      <c r="J3075" s="26" t="s">
        <v>6909</v>
      </c>
      <c r="K3075" s="10">
        <v>0.5</v>
      </c>
      <c r="L3075" s="73">
        <f>IF(Tank1!$C$23="No control",(SUMIF(Tank1!$B$32:$B$49,$J3075,Tank1!$C$32:$C$49)*Impacts!$F$8),0)</f>
        <v>0</v>
      </c>
      <c r="M3075" s="10">
        <f>IF(Tank2!$C$23="No control",(SUMIF(Tank2!$B$32:$B$49,$J3075,Tank2!$C$32:$C$49)*Impacts!$F$9),0)</f>
        <v>0</v>
      </c>
      <c r="N3075" s="10">
        <f>IF(Tank3!$C$23="No control",(SUMIF(Tank3!$B$32:$B$49,$J3075,Tank3!$C$32:$C$49)*Impacts!$F$10),0)</f>
        <v>0</v>
      </c>
      <c r="O3075" s="10">
        <f>IF(Tank4!$C$23="No control",(SUMIF(Tank4!$B$32:$B$49,$J3075,Tank4!$C$32:$C$49)*Impacts!$F$11),0)</f>
        <v>0</v>
      </c>
      <c r="P3075" s="10">
        <f>IF(Tank5!$C$23="No control",(SUMIF(Tank5!$B$32:$B$49,$J3075,Tank5!$C$32:$C$49)*Impacts!$F$12),0)</f>
        <v>0</v>
      </c>
      <c r="Q3075" s="10">
        <f>IFERROR(IF(('Loading-drum,tote'!$C$21)="No control",SUMIF(('Loading-drum,tote'!$B$31:$B$48),$J3075,('Loading-drum,tote'!$D$31:$D$48))*Impacts!$F$13,IF(('Loading-drum,tote'!$C$21)&lt;&gt;"No control",SUMIF(('Loading-drum,tote'!$B$31:$B$48),$J3075,('Loading-drum,tote'!$E$31:$E$48))*Impacts!$F$13,0)),0)</f>
        <v>0</v>
      </c>
      <c r="R3075" s="10">
        <f>IFERROR(IF(('Loading-truck'!$C$21)="No control",SUMIF(('Loading-truck'!$B$31:$B$48),$J3075,('Loading-truck'!$D$31:$D$48))*Impacts!$F$14,IF(('Loading-truck'!$C$21)&lt;&gt;"No control",SUMIF(('Loading-truck'!$B$31:$B$48),$J3075,('Loading-truck'!$E$31:$E$48))*Impacts!$F$14,0)),0)</f>
        <v>0</v>
      </c>
      <c r="S3075" s="10">
        <f>IFERROR(IF(('Loading-rail'!$C$21)="No control",SUMIF(('Loading-rail'!$B$31:$B$48),$J3075,('Loading-rail'!$D$31:$D$48))*Impacts!$F$15,IF(('Loading-rail'!$C$21)&lt;&gt;"No control",SUMIF(('Loading-rail'!$B$31:$B$48),$J3075,('Loading-rail'!$E$31:$E$48))*Impacts!$F$15,0)),0)</f>
        <v>0</v>
      </c>
      <c r="T3075" s="10">
        <f>IF(Flare!$C$7="",0,(SUMIF(Flare!$B$46:$B$185,$J3075,Flare!$E$46:$E$185)*Impacts!$F$16))</f>
        <v>0</v>
      </c>
      <c r="U3075" s="10">
        <f>IF(VCU!$C$9="",0,(SUMIF(VCU!$B$51:$B$193,$J3075,VCU!$E$51:$E$193)*Impacts!$F$17))</f>
        <v>0</v>
      </c>
      <c r="V3075" s="10">
        <f>IF(CAS!$C$7="",0,(SUMIF(CAS!$B$31:$B$167,$J3075,CAS!$E$31:$E$167)*Impacts!$F$18))</f>
        <v>0</v>
      </c>
      <c r="W3075" s="10">
        <f t="shared" si="88"/>
        <v>0</v>
      </c>
      <c r="AK3075" s="10" t="str">
        <f t="array" ref="AK3075">IFERROR(INDEX(SelectedSpecies,SMALL(IF(SelectedSpecies=AK$1,ROW(SelectedSpecies)),ROW(3076:3076)),2),"")</f>
        <v/>
      </c>
      <c r="BE3075" s="10"/>
      <c r="BI3075" s="10"/>
    </row>
    <row r="3076" spans="1:61" ht="21" customHeight="1" x14ac:dyDescent="0.25">
      <c r="A3076" s="10"/>
      <c r="B3076" s="10"/>
      <c r="E3076" s="10"/>
      <c r="G3076" s="10"/>
      <c r="I3076" s="436" t="s">
        <v>6912</v>
      </c>
      <c r="J3076" s="26" t="s">
        <v>6911</v>
      </c>
      <c r="K3076" s="10">
        <v>0.5</v>
      </c>
      <c r="L3076" s="73">
        <f>IF(Tank1!$C$23="No control",(SUMIF(Tank1!$B$32:$B$49,$J3076,Tank1!$C$32:$C$49)*Impacts!$F$8),0)</f>
        <v>0</v>
      </c>
      <c r="M3076" s="10">
        <f>IF(Tank2!$C$23="No control",(SUMIF(Tank2!$B$32:$B$49,$J3076,Tank2!$C$32:$C$49)*Impacts!$F$9),0)</f>
        <v>0</v>
      </c>
      <c r="N3076" s="10">
        <f>IF(Tank3!$C$23="No control",(SUMIF(Tank3!$B$32:$B$49,$J3076,Tank3!$C$32:$C$49)*Impacts!$F$10),0)</f>
        <v>0</v>
      </c>
      <c r="O3076" s="10">
        <f>IF(Tank4!$C$23="No control",(SUMIF(Tank4!$B$32:$B$49,$J3076,Tank4!$C$32:$C$49)*Impacts!$F$11),0)</f>
        <v>0</v>
      </c>
      <c r="P3076" s="10">
        <f>IF(Tank5!$C$23="No control",(SUMIF(Tank5!$B$32:$B$49,$J3076,Tank5!$C$32:$C$49)*Impacts!$F$12),0)</f>
        <v>0</v>
      </c>
      <c r="Q3076" s="10">
        <f>IFERROR(IF(('Loading-drum,tote'!$C$21)="No control",SUMIF(('Loading-drum,tote'!$B$31:$B$48),$J3076,('Loading-drum,tote'!$D$31:$D$48))*Impacts!$F$13,IF(('Loading-drum,tote'!$C$21)&lt;&gt;"No control",SUMIF(('Loading-drum,tote'!$B$31:$B$48),$J3076,('Loading-drum,tote'!$E$31:$E$48))*Impacts!$F$13,0)),0)</f>
        <v>0</v>
      </c>
      <c r="R3076" s="10">
        <f>IFERROR(IF(('Loading-truck'!$C$21)="No control",SUMIF(('Loading-truck'!$B$31:$B$48),$J3076,('Loading-truck'!$D$31:$D$48))*Impacts!$F$14,IF(('Loading-truck'!$C$21)&lt;&gt;"No control",SUMIF(('Loading-truck'!$B$31:$B$48),$J3076,('Loading-truck'!$E$31:$E$48))*Impacts!$F$14,0)),0)</f>
        <v>0</v>
      </c>
      <c r="S3076" s="10">
        <f>IFERROR(IF(('Loading-rail'!$C$21)="No control",SUMIF(('Loading-rail'!$B$31:$B$48),$J3076,('Loading-rail'!$D$31:$D$48))*Impacts!$F$15,IF(('Loading-rail'!$C$21)&lt;&gt;"No control",SUMIF(('Loading-rail'!$B$31:$B$48),$J3076,('Loading-rail'!$E$31:$E$48))*Impacts!$F$15,0)),0)</f>
        <v>0</v>
      </c>
      <c r="T3076" s="10">
        <f>IF(Flare!$C$7="",0,(SUMIF(Flare!$B$46:$B$185,$J3076,Flare!$E$46:$E$185)*Impacts!$F$16))</f>
        <v>0</v>
      </c>
      <c r="U3076" s="10">
        <f>IF(VCU!$C$9="",0,(SUMIF(VCU!$B$51:$B$193,$J3076,VCU!$E$51:$E$193)*Impacts!$F$17))</f>
        <v>0</v>
      </c>
      <c r="V3076" s="10">
        <f>IF(CAS!$C$7="",0,(SUMIF(CAS!$B$31:$B$167,$J3076,CAS!$E$31:$E$167)*Impacts!$F$18))</f>
        <v>0</v>
      </c>
      <c r="W3076" s="10">
        <f t="shared" si="88"/>
        <v>0</v>
      </c>
      <c r="AK3076" s="10" t="str">
        <f t="array" ref="AK3076">IFERROR(INDEX(SelectedSpecies,SMALL(IF(SelectedSpecies=AK$1,ROW(SelectedSpecies)),ROW(3077:3077)),2),"")</f>
        <v/>
      </c>
      <c r="BE3076" s="10"/>
      <c r="BI3076" s="10"/>
    </row>
    <row r="3077" spans="1:61" ht="21" customHeight="1" x14ac:dyDescent="0.25">
      <c r="A3077" s="10"/>
      <c r="B3077" s="10"/>
      <c r="E3077" s="10"/>
      <c r="G3077" s="10"/>
      <c r="I3077" s="436" t="s">
        <v>6914</v>
      </c>
      <c r="J3077" s="26" t="s">
        <v>6913</v>
      </c>
      <c r="K3077" s="10">
        <v>0.5</v>
      </c>
      <c r="L3077" s="73">
        <f>IF(Tank1!$C$23="No control",(SUMIF(Tank1!$B$32:$B$49,$J3077,Tank1!$C$32:$C$49)*Impacts!$F$8),0)</f>
        <v>0</v>
      </c>
      <c r="M3077" s="10">
        <f>IF(Tank2!$C$23="No control",(SUMIF(Tank2!$B$32:$B$49,$J3077,Tank2!$C$32:$C$49)*Impacts!$F$9),0)</f>
        <v>0</v>
      </c>
      <c r="N3077" s="10">
        <f>IF(Tank3!$C$23="No control",(SUMIF(Tank3!$B$32:$B$49,$J3077,Tank3!$C$32:$C$49)*Impacts!$F$10),0)</f>
        <v>0</v>
      </c>
      <c r="O3077" s="10">
        <f>IF(Tank4!$C$23="No control",(SUMIF(Tank4!$B$32:$B$49,$J3077,Tank4!$C$32:$C$49)*Impacts!$F$11),0)</f>
        <v>0</v>
      </c>
      <c r="P3077" s="10">
        <f>IF(Tank5!$C$23="No control",(SUMIF(Tank5!$B$32:$B$49,$J3077,Tank5!$C$32:$C$49)*Impacts!$F$12),0)</f>
        <v>0</v>
      </c>
      <c r="Q3077" s="10">
        <f>IFERROR(IF(('Loading-drum,tote'!$C$21)="No control",SUMIF(('Loading-drum,tote'!$B$31:$B$48),$J3077,('Loading-drum,tote'!$D$31:$D$48))*Impacts!$F$13,IF(('Loading-drum,tote'!$C$21)&lt;&gt;"No control",SUMIF(('Loading-drum,tote'!$B$31:$B$48),$J3077,('Loading-drum,tote'!$E$31:$E$48))*Impacts!$F$13,0)),0)</f>
        <v>0</v>
      </c>
      <c r="R3077" s="10">
        <f>IFERROR(IF(('Loading-truck'!$C$21)="No control",SUMIF(('Loading-truck'!$B$31:$B$48),$J3077,('Loading-truck'!$D$31:$D$48))*Impacts!$F$14,IF(('Loading-truck'!$C$21)&lt;&gt;"No control",SUMIF(('Loading-truck'!$B$31:$B$48),$J3077,('Loading-truck'!$E$31:$E$48))*Impacts!$F$14,0)),0)</f>
        <v>0</v>
      </c>
      <c r="S3077" s="10">
        <f>IFERROR(IF(('Loading-rail'!$C$21)="No control",SUMIF(('Loading-rail'!$B$31:$B$48),$J3077,('Loading-rail'!$D$31:$D$48))*Impacts!$F$15,IF(('Loading-rail'!$C$21)&lt;&gt;"No control",SUMIF(('Loading-rail'!$B$31:$B$48),$J3077,('Loading-rail'!$E$31:$E$48))*Impacts!$F$15,0)),0)</f>
        <v>0</v>
      </c>
      <c r="T3077" s="10">
        <f>IF(Flare!$C$7="",0,(SUMIF(Flare!$B$46:$B$185,$J3077,Flare!$E$46:$E$185)*Impacts!$F$16))</f>
        <v>0</v>
      </c>
      <c r="U3077" s="10">
        <f>IF(VCU!$C$9="",0,(SUMIF(VCU!$B$51:$B$193,$J3077,VCU!$E$51:$E$193)*Impacts!$F$17))</f>
        <v>0</v>
      </c>
      <c r="V3077" s="10">
        <f>IF(CAS!$C$7="",0,(SUMIF(CAS!$B$31:$B$167,$J3077,CAS!$E$31:$E$167)*Impacts!$F$18))</f>
        <v>0</v>
      </c>
      <c r="W3077" s="10">
        <f t="shared" si="88"/>
        <v>0</v>
      </c>
      <c r="AK3077" s="10" t="str">
        <f t="array" ref="AK3077">IFERROR(INDEX(SelectedSpecies,SMALL(IF(SelectedSpecies=AK$1,ROW(SelectedSpecies)),ROW(3078:3078)),2),"")</f>
        <v/>
      </c>
      <c r="BE3077" s="10"/>
      <c r="BI3077" s="10"/>
    </row>
    <row r="3078" spans="1:61" ht="21" customHeight="1" x14ac:dyDescent="0.25">
      <c r="A3078" s="10"/>
      <c r="B3078" s="10"/>
      <c r="E3078" s="10"/>
      <c r="G3078" s="10"/>
      <c r="I3078" s="436" t="s">
        <v>6916</v>
      </c>
      <c r="J3078" s="26" t="s">
        <v>6915</v>
      </c>
      <c r="K3078" s="10">
        <v>0.5</v>
      </c>
      <c r="L3078" s="73">
        <f>IF(Tank1!$C$23="No control",(SUMIF(Tank1!$B$32:$B$49,$J3078,Tank1!$C$32:$C$49)*Impacts!$F$8),0)</f>
        <v>0</v>
      </c>
      <c r="M3078" s="10">
        <f>IF(Tank2!$C$23="No control",(SUMIF(Tank2!$B$32:$B$49,$J3078,Tank2!$C$32:$C$49)*Impacts!$F$9),0)</f>
        <v>0</v>
      </c>
      <c r="N3078" s="10">
        <f>IF(Tank3!$C$23="No control",(SUMIF(Tank3!$B$32:$B$49,$J3078,Tank3!$C$32:$C$49)*Impacts!$F$10),0)</f>
        <v>0</v>
      </c>
      <c r="O3078" s="10">
        <f>IF(Tank4!$C$23="No control",(SUMIF(Tank4!$B$32:$B$49,$J3078,Tank4!$C$32:$C$49)*Impacts!$F$11),0)</f>
        <v>0</v>
      </c>
      <c r="P3078" s="10">
        <f>IF(Tank5!$C$23="No control",(SUMIF(Tank5!$B$32:$B$49,$J3078,Tank5!$C$32:$C$49)*Impacts!$F$12),0)</f>
        <v>0</v>
      </c>
      <c r="Q3078" s="10">
        <f>IFERROR(IF(('Loading-drum,tote'!$C$21)="No control",SUMIF(('Loading-drum,tote'!$B$31:$B$48),$J3078,('Loading-drum,tote'!$D$31:$D$48))*Impacts!$F$13,IF(('Loading-drum,tote'!$C$21)&lt;&gt;"No control",SUMIF(('Loading-drum,tote'!$B$31:$B$48),$J3078,('Loading-drum,tote'!$E$31:$E$48))*Impacts!$F$13,0)),0)</f>
        <v>0</v>
      </c>
      <c r="R3078" s="10">
        <f>IFERROR(IF(('Loading-truck'!$C$21)="No control",SUMIF(('Loading-truck'!$B$31:$B$48),$J3078,('Loading-truck'!$D$31:$D$48))*Impacts!$F$14,IF(('Loading-truck'!$C$21)&lt;&gt;"No control",SUMIF(('Loading-truck'!$B$31:$B$48),$J3078,('Loading-truck'!$E$31:$E$48))*Impacts!$F$14,0)),0)</f>
        <v>0</v>
      </c>
      <c r="S3078" s="10">
        <f>IFERROR(IF(('Loading-rail'!$C$21)="No control",SUMIF(('Loading-rail'!$B$31:$B$48),$J3078,('Loading-rail'!$D$31:$D$48))*Impacts!$F$15,IF(('Loading-rail'!$C$21)&lt;&gt;"No control",SUMIF(('Loading-rail'!$B$31:$B$48),$J3078,('Loading-rail'!$E$31:$E$48))*Impacts!$F$15,0)),0)</f>
        <v>0</v>
      </c>
      <c r="T3078" s="10">
        <f>IF(Flare!$C$7="",0,(SUMIF(Flare!$B$46:$B$185,$J3078,Flare!$E$46:$E$185)*Impacts!$F$16))</f>
        <v>0</v>
      </c>
      <c r="U3078" s="10">
        <f>IF(VCU!$C$9="",0,(SUMIF(VCU!$B$51:$B$193,$J3078,VCU!$E$51:$E$193)*Impacts!$F$17))</f>
        <v>0</v>
      </c>
      <c r="V3078" s="10">
        <f>IF(CAS!$C$7="",0,(SUMIF(CAS!$B$31:$B$167,$J3078,CAS!$E$31:$E$167)*Impacts!$F$18))</f>
        <v>0</v>
      </c>
      <c r="W3078" s="10">
        <f t="shared" si="88"/>
        <v>0</v>
      </c>
      <c r="AK3078" s="10" t="str">
        <f t="array" ref="AK3078">IFERROR(INDEX(SelectedSpecies,SMALL(IF(SelectedSpecies=AK$1,ROW(SelectedSpecies)),ROW(3079:3079)),2),"")</f>
        <v/>
      </c>
      <c r="BE3078" s="10"/>
      <c r="BI3078" s="10"/>
    </row>
    <row r="3079" spans="1:61" ht="21" customHeight="1" x14ac:dyDescent="0.25">
      <c r="A3079" s="10"/>
      <c r="B3079" s="10"/>
      <c r="E3079" s="10"/>
      <c r="G3079" s="10"/>
      <c r="I3079" s="436" t="s">
        <v>6918</v>
      </c>
      <c r="J3079" s="26" t="s">
        <v>6917</v>
      </c>
      <c r="K3079" s="10">
        <v>0.5</v>
      </c>
      <c r="L3079" s="73">
        <f>IF(Tank1!$C$23="No control",(SUMIF(Tank1!$B$32:$B$49,$J3079,Tank1!$C$32:$C$49)*Impacts!$F$8),0)</f>
        <v>0</v>
      </c>
      <c r="M3079" s="10">
        <f>IF(Tank2!$C$23="No control",(SUMIF(Tank2!$B$32:$B$49,$J3079,Tank2!$C$32:$C$49)*Impacts!$F$9),0)</f>
        <v>0</v>
      </c>
      <c r="N3079" s="10">
        <f>IF(Tank3!$C$23="No control",(SUMIF(Tank3!$B$32:$B$49,$J3079,Tank3!$C$32:$C$49)*Impacts!$F$10),0)</f>
        <v>0</v>
      </c>
      <c r="O3079" s="10">
        <f>IF(Tank4!$C$23="No control",(SUMIF(Tank4!$B$32:$B$49,$J3079,Tank4!$C$32:$C$49)*Impacts!$F$11),0)</f>
        <v>0</v>
      </c>
      <c r="P3079" s="10">
        <f>IF(Tank5!$C$23="No control",(SUMIF(Tank5!$B$32:$B$49,$J3079,Tank5!$C$32:$C$49)*Impacts!$F$12),0)</f>
        <v>0</v>
      </c>
      <c r="Q3079" s="10">
        <f>IFERROR(IF(('Loading-drum,tote'!$C$21)="No control",SUMIF(('Loading-drum,tote'!$B$31:$B$48),$J3079,('Loading-drum,tote'!$D$31:$D$48))*Impacts!$F$13,IF(('Loading-drum,tote'!$C$21)&lt;&gt;"No control",SUMIF(('Loading-drum,tote'!$B$31:$B$48),$J3079,('Loading-drum,tote'!$E$31:$E$48))*Impacts!$F$13,0)),0)</f>
        <v>0</v>
      </c>
      <c r="R3079" s="10">
        <f>IFERROR(IF(('Loading-truck'!$C$21)="No control",SUMIF(('Loading-truck'!$B$31:$B$48),$J3079,('Loading-truck'!$D$31:$D$48))*Impacts!$F$14,IF(('Loading-truck'!$C$21)&lt;&gt;"No control",SUMIF(('Loading-truck'!$B$31:$B$48),$J3079,('Loading-truck'!$E$31:$E$48))*Impacts!$F$14,0)),0)</f>
        <v>0</v>
      </c>
      <c r="S3079" s="10">
        <f>IFERROR(IF(('Loading-rail'!$C$21)="No control",SUMIF(('Loading-rail'!$B$31:$B$48),$J3079,('Loading-rail'!$D$31:$D$48))*Impacts!$F$15,IF(('Loading-rail'!$C$21)&lt;&gt;"No control",SUMIF(('Loading-rail'!$B$31:$B$48),$J3079,('Loading-rail'!$E$31:$E$48))*Impacts!$F$15,0)),0)</f>
        <v>0</v>
      </c>
      <c r="T3079" s="10">
        <f>IF(Flare!$C$7="",0,(SUMIF(Flare!$B$46:$B$185,$J3079,Flare!$E$46:$E$185)*Impacts!$F$16))</f>
        <v>0</v>
      </c>
      <c r="U3079" s="10">
        <f>IF(VCU!$C$9="",0,(SUMIF(VCU!$B$51:$B$193,$J3079,VCU!$E$51:$E$193)*Impacts!$F$17))</f>
        <v>0</v>
      </c>
      <c r="V3079" s="10">
        <f>IF(CAS!$C$7="",0,(SUMIF(CAS!$B$31:$B$167,$J3079,CAS!$E$31:$E$167)*Impacts!$F$18))</f>
        <v>0</v>
      </c>
      <c r="W3079" s="10">
        <f t="shared" si="88"/>
        <v>0</v>
      </c>
      <c r="AK3079" s="10" t="str">
        <f t="array" ref="AK3079">IFERROR(INDEX(SelectedSpecies,SMALL(IF(SelectedSpecies=AK$1,ROW(SelectedSpecies)),ROW(3080:3080)),2),"")</f>
        <v/>
      </c>
      <c r="BE3079" s="10"/>
      <c r="BI3079" s="10"/>
    </row>
    <row r="3080" spans="1:61" ht="21" customHeight="1" x14ac:dyDescent="0.25">
      <c r="A3080" s="10"/>
      <c r="B3080" s="10"/>
      <c r="E3080" s="10"/>
      <c r="G3080" s="10"/>
      <c r="I3080" s="436" t="s">
        <v>6920</v>
      </c>
      <c r="J3080" s="26" t="s">
        <v>6919</v>
      </c>
      <c r="K3080" s="10">
        <v>0.5</v>
      </c>
      <c r="L3080" s="73">
        <f>IF(Tank1!$C$23="No control",(SUMIF(Tank1!$B$32:$B$49,$J3080,Tank1!$C$32:$C$49)*Impacts!$F$8),0)</f>
        <v>0</v>
      </c>
      <c r="M3080" s="10">
        <f>IF(Tank2!$C$23="No control",(SUMIF(Tank2!$B$32:$B$49,$J3080,Tank2!$C$32:$C$49)*Impacts!$F$9),0)</f>
        <v>0</v>
      </c>
      <c r="N3080" s="10">
        <f>IF(Tank3!$C$23="No control",(SUMIF(Tank3!$B$32:$B$49,$J3080,Tank3!$C$32:$C$49)*Impacts!$F$10),0)</f>
        <v>0</v>
      </c>
      <c r="O3080" s="10">
        <f>IF(Tank4!$C$23="No control",(SUMIF(Tank4!$B$32:$B$49,$J3080,Tank4!$C$32:$C$49)*Impacts!$F$11),0)</f>
        <v>0</v>
      </c>
      <c r="P3080" s="10">
        <f>IF(Tank5!$C$23="No control",(SUMIF(Tank5!$B$32:$B$49,$J3080,Tank5!$C$32:$C$49)*Impacts!$F$12),0)</f>
        <v>0</v>
      </c>
      <c r="Q3080" s="10">
        <f>IFERROR(IF(('Loading-drum,tote'!$C$21)="No control",SUMIF(('Loading-drum,tote'!$B$31:$B$48),$J3080,('Loading-drum,tote'!$D$31:$D$48))*Impacts!$F$13,IF(('Loading-drum,tote'!$C$21)&lt;&gt;"No control",SUMIF(('Loading-drum,tote'!$B$31:$B$48),$J3080,('Loading-drum,tote'!$E$31:$E$48))*Impacts!$F$13,0)),0)</f>
        <v>0</v>
      </c>
      <c r="R3080" s="10">
        <f>IFERROR(IF(('Loading-truck'!$C$21)="No control",SUMIF(('Loading-truck'!$B$31:$B$48),$J3080,('Loading-truck'!$D$31:$D$48))*Impacts!$F$14,IF(('Loading-truck'!$C$21)&lt;&gt;"No control",SUMIF(('Loading-truck'!$B$31:$B$48),$J3080,('Loading-truck'!$E$31:$E$48))*Impacts!$F$14,0)),0)</f>
        <v>0</v>
      </c>
      <c r="S3080" s="10">
        <f>IFERROR(IF(('Loading-rail'!$C$21)="No control",SUMIF(('Loading-rail'!$B$31:$B$48),$J3080,('Loading-rail'!$D$31:$D$48))*Impacts!$F$15,IF(('Loading-rail'!$C$21)&lt;&gt;"No control",SUMIF(('Loading-rail'!$B$31:$B$48),$J3080,('Loading-rail'!$E$31:$E$48))*Impacts!$F$15,0)),0)</f>
        <v>0</v>
      </c>
      <c r="T3080" s="10">
        <f>IF(Flare!$C$7="",0,(SUMIF(Flare!$B$46:$B$185,$J3080,Flare!$E$46:$E$185)*Impacts!$F$16))</f>
        <v>0</v>
      </c>
      <c r="U3080" s="10">
        <f>IF(VCU!$C$9="",0,(SUMIF(VCU!$B$51:$B$193,$J3080,VCU!$E$51:$E$193)*Impacts!$F$17))</f>
        <v>0</v>
      </c>
      <c r="V3080" s="10">
        <f>IF(CAS!$C$7="",0,(SUMIF(CAS!$B$31:$B$167,$J3080,CAS!$E$31:$E$167)*Impacts!$F$18))</f>
        <v>0</v>
      </c>
      <c r="W3080" s="10">
        <f t="shared" si="88"/>
        <v>0</v>
      </c>
      <c r="AK3080" s="10" t="str">
        <f t="array" ref="AK3080">IFERROR(INDEX(SelectedSpecies,SMALL(IF(SelectedSpecies=AK$1,ROW(SelectedSpecies)),ROW(3081:3081)),2),"")</f>
        <v/>
      </c>
      <c r="BE3080" s="10"/>
      <c r="BI3080" s="10"/>
    </row>
    <row r="3081" spans="1:61" ht="21" customHeight="1" x14ac:dyDescent="0.25">
      <c r="A3081" s="10"/>
      <c r="B3081" s="10"/>
      <c r="E3081" s="10"/>
      <c r="G3081" s="10"/>
      <c r="I3081" s="436" t="s">
        <v>948</v>
      </c>
      <c r="J3081" s="26" t="s">
        <v>947</v>
      </c>
      <c r="K3081" s="10">
        <v>43</v>
      </c>
      <c r="L3081" s="73">
        <f>IF(Tank1!$C$23="No control",(SUMIF(Tank1!$B$32:$B$49,$J3081,Tank1!$C$32:$C$49)*Impacts!$F$8),0)</f>
        <v>0</v>
      </c>
      <c r="M3081" s="10">
        <f>IF(Tank2!$C$23="No control",(SUMIF(Tank2!$B$32:$B$49,$J3081,Tank2!$C$32:$C$49)*Impacts!$F$9),0)</f>
        <v>0</v>
      </c>
      <c r="N3081" s="10">
        <f>IF(Tank3!$C$23="No control",(SUMIF(Tank3!$B$32:$B$49,$J3081,Tank3!$C$32:$C$49)*Impacts!$F$10),0)</f>
        <v>0</v>
      </c>
      <c r="O3081" s="10">
        <f>IF(Tank4!$C$23="No control",(SUMIF(Tank4!$B$32:$B$49,$J3081,Tank4!$C$32:$C$49)*Impacts!$F$11),0)</f>
        <v>0</v>
      </c>
      <c r="P3081" s="10">
        <f>IF(Tank5!$C$23="No control",(SUMIF(Tank5!$B$32:$B$49,$J3081,Tank5!$C$32:$C$49)*Impacts!$F$12),0)</f>
        <v>0</v>
      </c>
      <c r="Q3081" s="10">
        <f>IFERROR(IF(('Loading-drum,tote'!$C$21)="No control",SUMIF(('Loading-drum,tote'!$B$31:$B$48),$J3081,('Loading-drum,tote'!$D$31:$D$48))*Impacts!$F$13,IF(('Loading-drum,tote'!$C$21)&lt;&gt;"No control",SUMIF(('Loading-drum,tote'!$B$31:$B$48),$J3081,('Loading-drum,tote'!$E$31:$E$48))*Impacts!$F$13,0)),0)</f>
        <v>0</v>
      </c>
      <c r="R3081" s="10">
        <f>IFERROR(IF(('Loading-truck'!$C$21)="No control",SUMIF(('Loading-truck'!$B$31:$B$48),$J3081,('Loading-truck'!$D$31:$D$48))*Impacts!$F$14,IF(('Loading-truck'!$C$21)&lt;&gt;"No control",SUMIF(('Loading-truck'!$B$31:$B$48),$J3081,('Loading-truck'!$E$31:$E$48))*Impacts!$F$14,0)),0)</f>
        <v>0</v>
      </c>
      <c r="S3081" s="10">
        <f>IFERROR(IF(('Loading-rail'!$C$21)="No control",SUMIF(('Loading-rail'!$B$31:$B$48),$J3081,('Loading-rail'!$D$31:$D$48))*Impacts!$F$15,IF(('Loading-rail'!$C$21)&lt;&gt;"No control",SUMIF(('Loading-rail'!$B$31:$B$48),$J3081,('Loading-rail'!$E$31:$E$48))*Impacts!$F$15,0)),0)</f>
        <v>0</v>
      </c>
      <c r="T3081" s="10">
        <f>IF(Flare!$C$7="",0,(SUMIF(Flare!$B$46:$B$185,$J3081,Flare!$E$46:$E$185)*Impacts!$F$16))</f>
        <v>0</v>
      </c>
      <c r="U3081" s="10">
        <f>IF(VCU!$C$9="",0,(SUMIF(VCU!$B$51:$B$193,$J3081,VCU!$E$51:$E$193)*Impacts!$F$17))</f>
        <v>0</v>
      </c>
      <c r="V3081" s="10">
        <f>IF(CAS!$C$7="",0,(SUMIF(CAS!$B$31:$B$167,$J3081,CAS!$E$31:$E$167)*Impacts!$F$18))</f>
        <v>0</v>
      </c>
      <c r="W3081" s="10">
        <f t="shared" si="88"/>
        <v>0</v>
      </c>
      <c r="AK3081" s="10" t="str">
        <f t="array" ref="AK3081">IFERROR(INDEX(SelectedSpecies,SMALL(IF(SelectedSpecies=AK$1,ROW(SelectedSpecies)),ROW(3082:3082)),2),"")</f>
        <v/>
      </c>
      <c r="BE3081" s="10"/>
      <c r="BI3081" s="10"/>
    </row>
    <row r="3082" spans="1:61" ht="21" customHeight="1" x14ac:dyDescent="0.25">
      <c r="A3082" s="10"/>
      <c r="B3082" s="10"/>
      <c r="E3082" s="10"/>
      <c r="G3082" s="10"/>
      <c r="I3082" s="436" t="s">
        <v>2159</v>
      </c>
      <c r="J3082" s="26" t="s">
        <v>2158</v>
      </c>
      <c r="K3082" s="10">
        <v>15</v>
      </c>
      <c r="L3082" s="73">
        <f>IF(Tank1!$C$23="No control",(SUMIF(Tank1!$B$32:$B$49,$J3082,Tank1!$C$32:$C$49)*Impacts!$F$8),0)</f>
        <v>0</v>
      </c>
      <c r="M3082" s="10">
        <f>IF(Tank2!$C$23="No control",(SUMIF(Tank2!$B$32:$B$49,$J3082,Tank2!$C$32:$C$49)*Impacts!$F$9),0)</f>
        <v>0</v>
      </c>
      <c r="N3082" s="10">
        <f>IF(Tank3!$C$23="No control",(SUMIF(Tank3!$B$32:$B$49,$J3082,Tank3!$C$32:$C$49)*Impacts!$F$10),0)</f>
        <v>0</v>
      </c>
      <c r="O3082" s="10">
        <f>IF(Tank4!$C$23="No control",(SUMIF(Tank4!$B$32:$B$49,$J3082,Tank4!$C$32:$C$49)*Impacts!$F$11),0)</f>
        <v>0</v>
      </c>
      <c r="P3082" s="10">
        <f>IF(Tank5!$C$23="No control",(SUMIF(Tank5!$B$32:$B$49,$J3082,Tank5!$C$32:$C$49)*Impacts!$F$12),0)</f>
        <v>0</v>
      </c>
      <c r="Q3082" s="10">
        <f>IFERROR(IF(('Loading-drum,tote'!$C$21)="No control",SUMIF(('Loading-drum,tote'!$B$31:$B$48),$J3082,('Loading-drum,tote'!$D$31:$D$48))*Impacts!$F$13,IF(('Loading-drum,tote'!$C$21)&lt;&gt;"No control",SUMIF(('Loading-drum,tote'!$B$31:$B$48),$J3082,('Loading-drum,tote'!$E$31:$E$48))*Impacts!$F$13,0)),0)</f>
        <v>0</v>
      </c>
      <c r="R3082" s="10">
        <f>IFERROR(IF(('Loading-truck'!$C$21)="No control",SUMIF(('Loading-truck'!$B$31:$B$48),$J3082,('Loading-truck'!$D$31:$D$48))*Impacts!$F$14,IF(('Loading-truck'!$C$21)&lt;&gt;"No control",SUMIF(('Loading-truck'!$B$31:$B$48),$J3082,('Loading-truck'!$E$31:$E$48))*Impacts!$F$14,0)),0)</f>
        <v>0</v>
      </c>
      <c r="S3082" s="10">
        <f>IFERROR(IF(('Loading-rail'!$C$21)="No control",SUMIF(('Loading-rail'!$B$31:$B$48),$J3082,('Loading-rail'!$D$31:$D$48))*Impacts!$F$15,IF(('Loading-rail'!$C$21)&lt;&gt;"No control",SUMIF(('Loading-rail'!$B$31:$B$48),$J3082,('Loading-rail'!$E$31:$E$48))*Impacts!$F$15,0)),0)</f>
        <v>0</v>
      </c>
      <c r="T3082" s="10">
        <f>IF(Flare!$C$7="",0,(SUMIF(Flare!$B$46:$B$185,$J3082,Flare!$E$46:$E$185)*Impacts!$F$16))</f>
        <v>0</v>
      </c>
      <c r="U3082" s="10">
        <f>IF(VCU!$C$9="",0,(SUMIF(VCU!$B$51:$B$193,$J3082,VCU!$E$51:$E$193)*Impacts!$F$17))</f>
        <v>0</v>
      </c>
      <c r="V3082" s="10">
        <f>IF(CAS!$C$7="",0,(SUMIF(CAS!$B$31:$B$167,$J3082,CAS!$E$31:$E$167)*Impacts!$F$18))</f>
        <v>0</v>
      </c>
      <c r="W3082" s="10">
        <f t="shared" si="88"/>
        <v>0</v>
      </c>
      <c r="AK3082" s="10" t="str">
        <f t="array" ref="AK3082">IFERROR(INDEX(SelectedSpecies,SMALL(IF(SelectedSpecies=AK$1,ROW(SelectedSpecies)),ROW(3083:3083)),2),"")</f>
        <v/>
      </c>
      <c r="BE3082" s="10"/>
      <c r="BI3082" s="10"/>
    </row>
    <row r="3083" spans="1:61" ht="21" customHeight="1" x14ac:dyDescent="0.25">
      <c r="A3083" s="10"/>
      <c r="B3083" s="10"/>
      <c r="E3083" s="10"/>
      <c r="G3083" s="10"/>
      <c r="I3083" s="436" t="s">
        <v>6096</v>
      </c>
      <c r="J3083" s="26" t="s">
        <v>6095</v>
      </c>
      <c r="K3083" s="10">
        <v>1</v>
      </c>
      <c r="L3083" s="73">
        <f>IF(Tank1!$C$23="No control",(SUMIF(Tank1!$B$32:$B$49,$J3083,Tank1!$C$32:$C$49)*Impacts!$F$8),0)</f>
        <v>0</v>
      </c>
      <c r="M3083" s="10">
        <f>IF(Tank2!$C$23="No control",(SUMIF(Tank2!$B$32:$B$49,$J3083,Tank2!$C$32:$C$49)*Impacts!$F$9),0)</f>
        <v>0</v>
      </c>
      <c r="N3083" s="10">
        <f>IF(Tank3!$C$23="No control",(SUMIF(Tank3!$B$32:$B$49,$J3083,Tank3!$C$32:$C$49)*Impacts!$F$10),0)</f>
        <v>0</v>
      </c>
      <c r="O3083" s="10">
        <f>IF(Tank4!$C$23="No control",(SUMIF(Tank4!$B$32:$B$49,$J3083,Tank4!$C$32:$C$49)*Impacts!$F$11),0)</f>
        <v>0</v>
      </c>
      <c r="P3083" s="10">
        <f>IF(Tank5!$C$23="No control",(SUMIF(Tank5!$B$32:$B$49,$J3083,Tank5!$C$32:$C$49)*Impacts!$F$12),0)</f>
        <v>0</v>
      </c>
      <c r="Q3083" s="10">
        <f>IFERROR(IF(('Loading-drum,tote'!$C$21)="No control",SUMIF(('Loading-drum,tote'!$B$31:$B$48),$J3083,('Loading-drum,tote'!$D$31:$D$48))*Impacts!$F$13,IF(('Loading-drum,tote'!$C$21)&lt;&gt;"No control",SUMIF(('Loading-drum,tote'!$B$31:$B$48),$J3083,('Loading-drum,tote'!$E$31:$E$48))*Impacts!$F$13,0)),0)</f>
        <v>0</v>
      </c>
      <c r="R3083" s="10">
        <f>IFERROR(IF(('Loading-truck'!$C$21)="No control",SUMIF(('Loading-truck'!$B$31:$B$48),$J3083,('Loading-truck'!$D$31:$D$48))*Impacts!$F$14,IF(('Loading-truck'!$C$21)&lt;&gt;"No control",SUMIF(('Loading-truck'!$B$31:$B$48),$J3083,('Loading-truck'!$E$31:$E$48))*Impacts!$F$14,0)),0)</f>
        <v>0</v>
      </c>
      <c r="S3083" s="10">
        <f>IFERROR(IF(('Loading-rail'!$C$21)="No control",SUMIF(('Loading-rail'!$B$31:$B$48),$J3083,('Loading-rail'!$D$31:$D$48))*Impacts!$F$15,IF(('Loading-rail'!$C$21)&lt;&gt;"No control",SUMIF(('Loading-rail'!$B$31:$B$48),$J3083,('Loading-rail'!$E$31:$E$48))*Impacts!$F$15,0)),0)</f>
        <v>0</v>
      </c>
      <c r="T3083" s="10">
        <f>IF(Flare!$C$7="",0,(SUMIF(Flare!$B$46:$B$185,$J3083,Flare!$E$46:$E$185)*Impacts!$F$16))</f>
        <v>0</v>
      </c>
      <c r="U3083" s="10">
        <f>IF(VCU!$C$9="",0,(SUMIF(VCU!$B$51:$B$193,$J3083,VCU!$E$51:$E$193)*Impacts!$F$17))</f>
        <v>0</v>
      </c>
      <c r="V3083" s="10">
        <f>IF(CAS!$C$7="",0,(SUMIF(CAS!$B$31:$B$167,$J3083,CAS!$E$31:$E$167)*Impacts!$F$18))</f>
        <v>0</v>
      </c>
      <c r="W3083" s="10">
        <f t="shared" si="88"/>
        <v>0</v>
      </c>
      <c r="AK3083" s="10" t="str">
        <f t="array" ref="AK3083">IFERROR(INDEX(SelectedSpecies,SMALL(IF(SelectedSpecies=AK$1,ROW(SelectedSpecies)),ROW(3084:3084)),2),"")</f>
        <v/>
      </c>
      <c r="BE3083" s="10"/>
      <c r="BI3083" s="10"/>
    </row>
    <row r="3084" spans="1:61" ht="21" customHeight="1" x14ac:dyDescent="0.25">
      <c r="A3084" s="10"/>
      <c r="B3084" s="10"/>
      <c r="E3084" s="10"/>
      <c r="G3084" s="10"/>
      <c r="I3084" s="436" t="s">
        <v>3227</v>
      </c>
      <c r="J3084" s="26" t="s">
        <v>3226</v>
      </c>
      <c r="K3084" s="10">
        <v>10</v>
      </c>
      <c r="L3084" s="73">
        <f>IF(Tank1!$C$23="No control",(SUMIF(Tank1!$B$32:$B$49,$J3084,Tank1!$C$32:$C$49)*Impacts!$F$8),0)</f>
        <v>0</v>
      </c>
      <c r="M3084" s="10">
        <f>IF(Tank2!$C$23="No control",(SUMIF(Tank2!$B$32:$B$49,$J3084,Tank2!$C$32:$C$49)*Impacts!$F$9),0)</f>
        <v>0</v>
      </c>
      <c r="N3084" s="10">
        <f>IF(Tank3!$C$23="No control",(SUMIF(Tank3!$B$32:$B$49,$J3084,Tank3!$C$32:$C$49)*Impacts!$F$10),0)</f>
        <v>0</v>
      </c>
      <c r="O3084" s="10">
        <f>IF(Tank4!$C$23="No control",(SUMIF(Tank4!$B$32:$B$49,$J3084,Tank4!$C$32:$C$49)*Impacts!$F$11),0)</f>
        <v>0</v>
      </c>
      <c r="P3084" s="10">
        <f>IF(Tank5!$C$23="No control",(SUMIF(Tank5!$B$32:$B$49,$J3084,Tank5!$C$32:$C$49)*Impacts!$F$12),0)</f>
        <v>0</v>
      </c>
      <c r="Q3084" s="10">
        <f>IFERROR(IF(('Loading-drum,tote'!$C$21)="No control",SUMIF(('Loading-drum,tote'!$B$31:$B$48),$J3084,('Loading-drum,tote'!$D$31:$D$48))*Impacts!$F$13,IF(('Loading-drum,tote'!$C$21)&lt;&gt;"No control",SUMIF(('Loading-drum,tote'!$B$31:$B$48),$J3084,('Loading-drum,tote'!$E$31:$E$48))*Impacts!$F$13,0)),0)</f>
        <v>0</v>
      </c>
      <c r="R3084" s="10">
        <f>IFERROR(IF(('Loading-truck'!$C$21)="No control",SUMIF(('Loading-truck'!$B$31:$B$48),$J3084,('Loading-truck'!$D$31:$D$48))*Impacts!$F$14,IF(('Loading-truck'!$C$21)&lt;&gt;"No control",SUMIF(('Loading-truck'!$B$31:$B$48),$J3084,('Loading-truck'!$E$31:$E$48))*Impacts!$F$14,0)),0)</f>
        <v>0</v>
      </c>
      <c r="S3084" s="10">
        <f>IFERROR(IF(('Loading-rail'!$C$21)="No control",SUMIF(('Loading-rail'!$B$31:$B$48),$J3084,('Loading-rail'!$D$31:$D$48))*Impacts!$F$15,IF(('Loading-rail'!$C$21)&lt;&gt;"No control",SUMIF(('Loading-rail'!$B$31:$B$48),$J3084,('Loading-rail'!$E$31:$E$48))*Impacts!$F$15,0)),0)</f>
        <v>0</v>
      </c>
      <c r="T3084" s="10">
        <f>IF(Flare!$C$7="",0,(SUMIF(Flare!$B$46:$B$185,$J3084,Flare!$E$46:$E$185)*Impacts!$F$16))</f>
        <v>0</v>
      </c>
      <c r="U3084" s="10">
        <f>IF(VCU!$C$9="",0,(SUMIF(VCU!$B$51:$B$193,$J3084,VCU!$E$51:$E$193)*Impacts!$F$17))</f>
        <v>0</v>
      </c>
      <c r="V3084" s="10">
        <f>IF(CAS!$C$7="",0,(SUMIF(CAS!$B$31:$B$167,$J3084,CAS!$E$31:$E$167)*Impacts!$F$18))</f>
        <v>0</v>
      </c>
      <c r="W3084" s="10">
        <f t="shared" si="88"/>
        <v>0</v>
      </c>
      <c r="AK3084" s="10" t="str">
        <f t="array" ref="AK3084">IFERROR(INDEX(SelectedSpecies,SMALL(IF(SelectedSpecies=AK$1,ROW(SelectedSpecies)),ROW(3085:3085)),2),"")</f>
        <v/>
      </c>
      <c r="BE3084" s="10"/>
      <c r="BI3084" s="10"/>
    </row>
    <row r="3085" spans="1:61" ht="21" customHeight="1" x14ac:dyDescent="0.25">
      <c r="A3085" s="10"/>
      <c r="B3085" s="10"/>
      <c r="E3085" s="10"/>
      <c r="G3085" s="10"/>
      <c r="I3085" s="436" t="s">
        <v>2023</v>
      </c>
      <c r="J3085" s="26" t="s">
        <v>2022</v>
      </c>
      <c r="K3085" s="10">
        <v>17</v>
      </c>
      <c r="L3085" s="73">
        <f>IF(Tank1!$C$23="No control",(SUMIF(Tank1!$B$32:$B$49,$J3085,Tank1!$C$32:$C$49)*Impacts!$F$8),0)</f>
        <v>0</v>
      </c>
      <c r="M3085" s="10">
        <f>IF(Tank2!$C$23="No control",(SUMIF(Tank2!$B$32:$B$49,$J3085,Tank2!$C$32:$C$49)*Impacts!$F$9),0)</f>
        <v>0</v>
      </c>
      <c r="N3085" s="10">
        <f>IF(Tank3!$C$23="No control",(SUMIF(Tank3!$B$32:$B$49,$J3085,Tank3!$C$32:$C$49)*Impacts!$F$10),0)</f>
        <v>0</v>
      </c>
      <c r="O3085" s="10">
        <f>IF(Tank4!$C$23="No control",(SUMIF(Tank4!$B$32:$B$49,$J3085,Tank4!$C$32:$C$49)*Impacts!$F$11),0)</f>
        <v>0</v>
      </c>
      <c r="P3085" s="10">
        <f>IF(Tank5!$C$23="No control",(SUMIF(Tank5!$B$32:$B$49,$J3085,Tank5!$C$32:$C$49)*Impacts!$F$12),0)</f>
        <v>0</v>
      </c>
      <c r="Q3085" s="10">
        <f>IFERROR(IF(('Loading-drum,tote'!$C$21)="No control",SUMIF(('Loading-drum,tote'!$B$31:$B$48),$J3085,('Loading-drum,tote'!$D$31:$D$48))*Impacts!$F$13,IF(('Loading-drum,tote'!$C$21)&lt;&gt;"No control",SUMIF(('Loading-drum,tote'!$B$31:$B$48),$J3085,('Loading-drum,tote'!$E$31:$E$48))*Impacts!$F$13,0)),0)</f>
        <v>0</v>
      </c>
      <c r="R3085" s="10">
        <f>IFERROR(IF(('Loading-truck'!$C$21)="No control",SUMIF(('Loading-truck'!$B$31:$B$48),$J3085,('Loading-truck'!$D$31:$D$48))*Impacts!$F$14,IF(('Loading-truck'!$C$21)&lt;&gt;"No control",SUMIF(('Loading-truck'!$B$31:$B$48),$J3085,('Loading-truck'!$E$31:$E$48))*Impacts!$F$14,0)),0)</f>
        <v>0</v>
      </c>
      <c r="S3085" s="10">
        <f>IFERROR(IF(('Loading-rail'!$C$21)="No control",SUMIF(('Loading-rail'!$B$31:$B$48),$J3085,('Loading-rail'!$D$31:$D$48))*Impacts!$F$15,IF(('Loading-rail'!$C$21)&lt;&gt;"No control",SUMIF(('Loading-rail'!$B$31:$B$48),$J3085,('Loading-rail'!$E$31:$E$48))*Impacts!$F$15,0)),0)</f>
        <v>0</v>
      </c>
      <c r="T3085" s="10">
        <f>IF(Flare!$C$7="",0,(SUMIF(Flare!$B$46:$B$185,$J3085,Flare!$E$46:$E$185)*Impacts!$F$16))</f>
        <v>0</v>
      </c>
      <c r="U3085" s="10">
        <f>IF(VCU!$C$9="",0,(SUMIF(VCU!$B$51:$B$193,$J3085,VCU!$E$51:$E$193)*Impacts!$F$17))</f>
        <v>0</v>
      </c>
      <c r="V3085" s="10">
        <f>IF(CAS!$C$7="",0,(SUMIF(CAS!$B$31:$B$167,$J3085,CAS!$E$31:$E$167)*Impacts!$F$18))</f>
        <v>0</v>
      </c>
      <c r="W3085" s="10">
        <f t="shared" si="88"/>
        <v>0</v>
      </c>
      <c r="AK3085" s="10" t="str">
        <f t="array" ref="AK3085">IFERROR(INDEX(SelectedSpecies,SMALL(IF(SelectedSpecies=AK$1,ROW(SelectedSpecies)),ROW(3086:3086)),2),"")</f>
        <v/>
      </c>
      <c r="BE3085" s="10"/>
      <c r="BI3085" s="10"/>
    </row>
    <row r="3086" spans="1:61" ht="21" customHeight="1" x14ac:dyDescent="0.25">
      <c r="A3086" s="10"/>
      <c r="B3086" s="10"/>
      <c r="E3086" s="10"/>
      <c r="G3086" s="10"/>
      <c r="I3086" s="436" t="s">
        <v>726</v>
      </c>
      <c r="J3086" s="26" t="s">
        <v>725</v>
      </c>
      <c r="K3086" s="10">
        <v>34</v>
      </c>
      <c r="L3086" s="73">
        <f>IF(Tank1!$C$23="No control",(SUMIF(Tank1!$B$32:$B$49,$J3086,Tank1!$C$32:$C$49)*Impacts!$F$8),0)</f>
        <v>0</v>
      </c>
      <c r="M3086" s="10">
        <f>IF(Tank2!$C$23="No control",(SUMIF(Tank2!$B$32:$B$49,$J3086,Tank2!$C$32:$C$49)*Impacts!$F$9),0)</f>
        <v>0</v>
      </c>
      <c r="N3086" s="10">
        <f>IF(Tank3!$C$23="No control",(SUMIF(Tank3!$B$32:$B$49,$J3086,Tank3!$C$32:$C$49)*Impacts!$F$10),0)</f>
        <v>0</v>
      </c>
      <c r="O3086" s="10">
        <f>IF(Tank4!$C$23="No control",(SUMIF(Tank4!$B$32:$B$49,$J3086,Tank4!$C$32:$C$49)*Impacts!$F$11),0)</f>
        <v>0</v>
      </c>
      <c r="P3086" s="10">
        <f>IF(Tank5!$C$23="No control",(SUMIF(Tank5!$B$32:$B$49,$J3086,Tank5!$C$32:$C$49)*Impacts!$F$12),0)</f>
        <v>0</v>
      </c>
      <c r="Q3086" s="10">
        <f>IFERROR(IF(('Loading-drum,tote'!$C$21)="No control",SUMIF(('Loading-drum,tote'!$B$31:$B$48),$J3086,('Loading-drum,tote'!$D$31:$D$48))*Impacts!$F$13,IF(('Loading-drum,tote'!$C$21)&lt;&gt;"No control",SUMIF(('Loading-drum,tote'!$B$31:$B$48),$J3086,('Loading-drum,tote'!$E$31:$E$48))*Impacts!$F$13,0)),0)</f>
        <v>0</v>
      </c>
      <c r="R3086" s="10">
        <f>IFERROR(IF(('Loading-truck'!$C$21)="No control",SUMIF(('Loading-truck'!$B$31:$B$48),$J3086,('Loading-truck'!$D$31:$D$48))*Impacts!$F$14,IF(('Loading-truck'!$C$21)&lt;&gt;"No control",SUMIF(('Loading-truck'!$B$31:$B$48),$J3086,('Loading-truck'!$E$31:$E$48))*Impacts!$F$14,0)),0)</f>
        <v>0</v>
      </c>
      <c r="S3086" s="10">
        <f>IFERROR(IF(('Loading-rail'!$C$21)="No control",SUMIF(('Loading-rail'!$B$31:$B$48),$J3086,('Loading-rail'!$D$31:$D$48))*Impacts!$F$15,IF(('Loading-rail'!$C$21)&lt;&gt;"No control",SUMIF(('Loading-rail'!$B$31:$B$48),$J3086,('Loading-rail'!$E$31:$E$48))*Impacts!$F$15,0)),0)</f>
        <v>0</v>
      </c>
      <c r="T3086" s="10">
        <f>IF(Flare!$C$7="",0,(SUMIF(Flare!$B$46:$B$185,$J3086,Flare!$E$46:$E$185)*Impacts!$F$16))</f>
        <v>0</v>
      </c>
      <c r="U3086" s="10">
        <f>IF(VCU!$C$9="",0,(SUMIF(VCU!$B$51:$B$193,$J3086,VCU!$E$51:$E$193)*Impacts!$F$17))</f>
        <v>0</v>
      </c>
      <c r="V3086" s="10">
        <f>IF(CAS!$C$7="",0,(SUMIF(CAS!$B$31:$B$167,$J3086,CAS!$E$31:$E$167)*Impacts!$F$18))</f>
        <v>0</v>
      </c>
      <c r="W3086" s="10">
        <f t="shared" si="88"/>
        <v>0</v>
      </c>
      <c r="AK3086" s="10" t="str">
        <f t="array" ref="AK3086">IFERROR(INDEX(SelectedSpecies,SMALL(IF(SelectedSpecies=AK$1,ROW(SelectedSpecies)),ROW(3087:3087)),2),"")</f>
        <v/>
      </c>
      <c r="BE3086" s="10"/>
      <c r="BI3086" s="10"/>
    </row>
    <row r="3087" spans="1:61" ht="21" customHeight="1" x14ac:dyDescent="0.25">
      <c r="A3087" s="10"/>
      <c r="B3087" s="10"/>
      <c r="E3087" s="10"/>
      <c r="G3087" s="10"/>
      <c r="I3087" s="436" t="s">
        <v>728</v>
      </c>
      <c r="J3087" s="26" t="s">
        <v>727</v>
      </c>
      <c r="K3087" s="10">
        <v>34</v>
      </c>
      <c r="L3087" s="73">
        <f>IF(Tank1!$C$23="No control",(SUMIF(Tank1!$B$32:$B$49,$J3087,Tank1!$C$32:$C$49)*Impacts!$F$8),0)</f>
        <v>0</v>
      </c>
      <c r="M3087" s="10">
        <f>IF(Tank2!$C$23="No control",(SUMIF(Tank2!$B$32:$B$49,$J3087,Tank2!$C$32:$C$49)*Impacts!$F$9),0)</f>
        <v>0</v>
      </c>
      <c r="N3087" s="10">
        <f>IF(Tank3!$C$23="No control",(SUMIF(Tank3!$B$32:$B$49,$J3087,Tank3!$C$32:$C$49)*Impacts!$F$10),0)</f>
        <v>0</v>
      </c>
      <c r="O3087" s="10">
        <f>IF(Tank4!$C$23="No control",(SUMIF(Tank4!$B$32:$B$49,$J3087,Tank4!$C$32:$C$49)*Impacts!$F$11),0)</f>
        <v>0</v>
      </c>
      <c r="P3087" s="10">
        <f>IF(Tank5!$C$23="No control",(SUMIF(Tank5!$B$32:$B$49,$J3087,Tank5!$C$32:$C$49)*Impacts!$F$12),0)</f>
        <v>0</v>
      </c>
      <c r="Q3087" s="10">
        <f>IFERROR(IF(('Loading-drum,tote'!$C$21)="No control",SUMIF(('Loading-drum,tote'!$B$31:$B$48),$J3087,('Loading-drum,tote'!$D$31:$D$48))*Impacts!$F$13,IF(('Loading-drum,tote'!$C$21)&lt;&gt;"No control",SUMIF(('Loading-drum,tote'!$B$31:$B$48),$J3087,('Loading-drum,tote'!$E$31:$E$48))*Impacts!$F$13,0)),0)</f>
        <v>0</v>
      </c>
      <c r="R3087" s="10">
        <f>IFERROR(IF(('Loading-truck'!$C$21)="No control",SUMIF(('Loading-truck'!$B$31:$B$48),$J3087,('Loading-truck'!$D$31:$D$48))*Impacts!$F$14,IF(('Loading-truck'!$C$21)&lt;&gt;"No control",SUMIF(('Loading-truck'!$B$31:$B$48),$J3087,('Loading-truck'!$E$31:$E$48))*Impacts!$F$14,0)),0)</f>
        <v>0</v>
      </c>
      <c r="S3087" s="10">
        <f>IFERROR(IF(('Loading-rail'!$C$21)="No control",SUMIF(('Loading-rail'!$B$31:$B$48),$J3087,('Loading-rail'!$D$31:$D$48))*Impacts!$F$15,IF(('Loading-rail'!$C$21)&lt;&gt;"No control",SUMIF(('Loading-rail'!$B$31:$B$48),$J3087,('Loading-rail'!$E$31:$E$48))*Impacts!$F$15,0)),0)</f>
        <v>0</v>
      </c>
      <c r="T3087" s="10">
        <f>IF(Flare!$C$7="",0,(SUMIF(Flare!$B$46:$B$185,$J3087,Flare!$E$46:$E$185)*Impacts!$F$16))</f>
        <v>0</v>
      </c>
      <c r="U3087" s="10">
        <f>IF(VCU!$C$9="",0,(SUMIF(VCU!$B$51:$B$193,$J3087,VCU!$E$51:$E$193)*Impacts!$F$17))</f>
        <v>0</v>
      </c>
      <c r="V3087" s="10">
        <f>IF(CAS!$C$7="",0,(SUMIF(CAS!$B$31:$B$167,$J3087,CAS!$E$31:$E$167)*Impacts!$F$18))</f>
        <v>0</v>
      </c>
      <c r="W3087" s="10">
        <f t="shared" si="88"/>
        <v>0</v>
      </c>
      <c r="AK3087" s="10" t="str">
        <f t="array" ref="AK3087">IFERROR(INDEX(SelectedSpecies,SMALL(IF(SelectedSpecies=AK$1,ROW(SelectedSpecies)),ROW(3088:3088)),2),"")</f>
        <v/>
      </c>
      <c r="BE3087" s="10"/>
      <c r="BI3087" s="10"/>
    </row>
    <row r="3088" spans="1:61" ht="21" customHeight="1" x14ac:dyDescent="0.25">
      <c r="A3088" s="10"/>
      <c r="B3088" s="10"/>
      <c r="E3088" s="10"/>
      <c r="G3088" s="10"/>
      <c r="I3088" s="436" t="s">
        <v>730</v>
      </c>
      <c r="J3088" s="26" t="s">
        <v>729</v>
      </c>
      <c r="K3088" s="10">
        <v>57</v>
      </c>
      <c r="L3088" s="73">
        <f>IF(Tank1!$C$23="No control",(SUMIF(Tank1!$B$32:$B$49,$J3088,Tank1!$C$32:$C$49)*Impacts!$F$8),0)</f>
        <v>0</v>
      </c>
      <c r="M3088" s="10">
        <f>IF(Tank2!$C$23="No control",(SUMIF(Tank2!$B$32:$B$49,$J3088,Tank2!$C$32:$C$49)*Impacts!$F$9),0)</f>
        <v>0</v>
      </c>
      <c r="N3088" s="10">
        <f>IF(Tank3!$C$23="No control",(SUMIF(Tank3!$B$32:$B$49,$J3088,Tank3!$C$32:$C$49)*Impacts!$F$10),0)</f>
        <v>0</v>
      </c>
      <c r="O3088" s="10">
        <f>IF(Tank4!$C$23="No control",(SUMIF(Tank4!$B$32:$B$49,$J3088,Tank4!$C$32:$C$49)*Impacts!$F$11),0)</f>
        <v>0</v>
      </c>
      <c r="P3088" s="10">
        <f>IF(Tank5!$C$23="No control",(SUMIF(Tank5!$B$32:$B$49,$J3088,Tank5!$C$32:$C$49)*Impacts!$F$12),0)</f>
        <v>0</v>
      </c>
      <c r="Q3088" s="10">
        <f>IFERROR(IF(('Loading-drum,tote'!$C$21)="No control",SUMIF(('Loading-drum,tote'!$B$31:$B$48),$J3088,('Loading-drum,tote'!$D$31:$D$48))*Impacts!$F$13,IF(('Loading-drum,tote'!$C$21)&lt;&gt;"No control",SUMIF(('Loading-drum,tote'!$B$31:$B$48),$J3088,('Loading-drum,tote'!$E$31:$E$48))*Impacts!$F$13,0)),0)</f>
        <v>0</v>
      </c>
      <c r="R3088" s="10">
        <f>IFERROR(IF(('Loading-truck'!$C$21)="No control",SUMIF(('Loading-truck'!$B$31:$B$48),$J3088,('Loading-truck'!$D$31:$D$48))*Impacts!$F$14,IF(('Loading-truck'!$C$21)&lt;&gt;"No control",SUMIF(('Loading-truck'!$B$31:$B$48),$J3088,('Loading-truck'!$E$31:$E$48))*Impacts!$F$14,0)),0)</f>
        <v>0</v>
      </c>
      <c r="S3088" s="10">
        <f>IFERROR(IF(('Loading-rail'!$C$21)="No control",SUMIF(('Loading-rail'!$B$31:$B$48),$J3088,('Loading-rail'!$D$31:$D$48))*Impacts!$F$15,IF(('Loading-rail'!$C$21)&lt;&gt;"No control",SUMIF(('Loading-rail'!$B$31:$B$48),$J3088,('Loading-rail'!$E$31:$E$48))*Impacts!$F$15,0)),0)</f>
        <v>0</v>
      </c>
      <c r="T3088" s="10">
        <f>IF(Flare!$C$7="",0,(SUMIF(Flare!$B$46:$B$185,$J3088,Flare!$E$46:$E$185)*Impacts!$F$16))</f>
        <v>0</v>
      </c>
      <c r="U3088" s="10">
        <f>IF(VCU!$C$9="",0,(SUMIF(VCU!$B$51:$B$193,$J3088,VCU!$E$51:$E$193)*Impacts!$F$17))</f>
        <v>0</v>
      </c>
      <c r="V3088" s="10">
        <f>IF(CAS!$C$7="",0,(SUMIF(CAS!$B$31:$B$167,$J3088,CAS!$E$31:$E$167)*Impacts!$F$18))</f>
        <v>0</v>
      </c>
      <c r="W3088" s="10">
        <f t="shared" si="88"/>
        <v>0</v>
      </c>
      <c r="AK3088" s="10" t="str">
        <f t="array" ref="AK3088">IFERROR(INDEX(SelectedSpecies,SMALL(IF(SelectedSpecies=AK$1,ROW(SelectedSpecies)),ROW(3089:3089)),2),"")</f>
        <v/>
      </c>
      <c r="BE3088" s="10"/>
      <c r="BI3088" s="10"/>
    </row>
    <row r="3089" spans="1:61" ht="21" customHeight="1" x14ac:dyDescent="0.25">
      <c r="A3089" s="10"/>
      <c r="B3089" s="10"/>
      <c r="E3089" s="10"/>
      <c r="G3089" s="10"/>
      <c r="I3089" s="436" t="s">
        <v>732</v>
      </c>
      <c r="J3089" s="26" t="s">
        <v>731</v>
      </c>
      <c r="K3089" s="10">
        <v>57</v>
      </c>
      <c r="L3089" s="73">
        <f>IF(Tank1!$C$23="No control",(SUMIF(Tank1!$B$32:$B$49,$J3089,Tank1!$C$32:$C$49)*Impacts!$F$8),0)</f>
        <v>0</v>
      </c>
      <c r="M3089" s="10">
        <f>IF(Tank2!$C$23="No control",(SUMIF(Tank2!$B$32:$B$49,$J3089,Tank2!$C$32:$C$49)*Impacts!$F$9),0)</f>
        <v>0</v>
      </c>
      <c r="N3089" s="10">
        <f>IF(Tank3!$C$23="No control",(SUMIF(Tank3!$B$32:$B$49,$J3089,Tank3!$C$32:$C$49)*Impacts!$F$10),0)</f>
        <v>0</v>
      </c>
      <c r="O3089" s="10">
        <f>IF(Tank4!$C$23="No control",(SUMIF(Tank4!$B$32:$B$49,$J3089,Tank4!$C$32:$C$49)*Impacts!$F$11),0)</f>
        <v>0</v>
      </c>
      <c r="P3089" s="10">
        <f>IF(Tank5!$C$23="No control",(SUMIF(Tank5!$B$32:$B$49,$J3089,Tank5!$C$32:$C$49)*Impacts!$F$12),0)</f>
        <v>0</v>
      </c>
      <c r="Q3089" s="10">
        <f>IFERROR(IF(('Loading-drum,tote'!$C$21)="No control",SUMIF(('Loading-drum,tote'!$B$31:$B$48),$J3089,('Loading-drum,tote'!$D$31:$D$48))*Impacts!$F$13,IF(('Loading-drum,tote'!$C$21)&lt;&gt;"No control",SUMIF(('Loading-drum,tote'!$B$31:$B$48),$J3089,('Loading-drum,tote'!$E$31:$E$48))*Impacts!$F$13,0)),0)</f>
        <v>0</v>
      </c>
      <c r="R3089" s="10">
        <f>IFERROR(IF(('Loading-truck'!$C$21)="No control",SUMIF(('Loading-truck'!$B$31:$B$48),$J3089,('Loading-truck'!$D$31:$D$48))*Impacts!$F$14,IF(('Loading-truck'!$C$21)&lt;&gt;"No control",SUMIF(('Loading-truck'!$B$31:$B$48),$J3089,('Loading-truck'!$E$31:$E$48))*Impacts!$F$14,0)),0)</f>
        <v>0</v>
      </c>
      <c r="S3089" s="10">
        <f>IFERROR(IF(('Loading-rail'!$C$21)="No control",SUMIF(('Loading-rail'!$B$31:$B$48),$J3089,('Loading-rail'!$D$31:$D$48))*Impacts!$F$15,IF(('Loading-rail'!$C$21)&lt;&gt;"No control",SUMIF(('Loading-rail'!$B$31:$B$48),$J3089,('Loading-rail'!$E$31:$E$48))*Impacts!$F$15,0)),0)</f>
        <v>0</v>
      </c>
      <c r="T3089" s="10">
        <f>IF(Flare!$C$7="",0,(SUMIF(Flare!$B$46:$B$185,$J3089,Flare!$E$46:$E$185)*Impacts!$F$16))</f>
        <v>0</v>
      </c>
      <c r="U3089" s="10">
        <f>IF(VCU!$C$9="",0,(SUMIF(VCU!$B$51:$B$193,$J3089,VCU!$E$51:$E$193)*Impacts!$F$17))</f>
        <v>0</v>
      </c>
      <c r="V3089" s="10">
        <f>IF(CAS!$C$7="",0,(SUMIF(CAS!$B$31:$B$167,$J3089,CAS!$E$31:$E$167)*Impacts!$F$18))</f>
        <v>0</v>
      </c>
      <c r="W3089" s="10">
        <f t="shared" si="88"/>
        <v>0</v>
      </c>
      <c r="AK3089" s="10" t="str">
        <f t="array" ref="AK3089">IFERROR(INDEX(SelectedSpecies,SMALL(IF(SelectedSpecies=AK$1,ROW(SelectedSpecies)),ROW(3090:3090)),2),"")</f>
        <v/>
      </c>
      <c r="BE3089" s="10"/>
      <c r="BI3089" s="10"/>
    </row>
    <row r="3090" spans="1:61" ht="21" customHeight="1" x14ac:dyDescent="0.25">
      <c r="A3090" s="10"/>
      <c r="B3090" s="10"/>
      <c r="E3090" s="10"/>
      <c r="G3090" s="10"/>
      <c r="I3090" s="436" t="s">
        <v>1572</v>
      </c>
      <c r="J3090" s="26" t="s">
        <v>1571</v>
      </c>
      <c r="K3090" s="10">
        <v>27</v>
      </c>
      <c r="L3090" s="73">
        <f>IF(Tank1!$C$23="No control",(SUMIF(Tank1!$B$32:$B$49,$J3090,Tank1!$C$32:$C$49)*Impacts!$F$8),0)</f>
        <v>0</v>
      </c>
      <c r="M3090" s="10">
        <f>IF(Tank2!$C$23="No control",(SUMIF(Tank2!$B$32:$B$49,$J3090,Tank2!$C$32:$C$49)*Impacts!$F$9),0)</f>
        <v>0</v>
      </c>
      <c r="N3090" s="10">
        <f>IF(Tank3!$C$23="No control",(SUMIF(Tank3!$B$32:$B$49,$J3090,Tank3!$C$32:$C$49)*Impacts!$F$10),0)</f>
        <v>0</v>
      </c>
      <c r="O3090" s="10">
        <f>IF(Tank4!$C$23="No control",(SUMIF(Tank4!$B$32:$B$49,$J3090,Tank4!$C$32:$C$49)*Impacts!$F$11),0)</f>
        <v>0</v>
      </c>
      <c r="P3090" s="10">
        <f>IF(Tank5!$C$23="No control",(SUMIF(Tank5!$B$32:$B$49,$J3090,Tank5!$C$32:$C$49)*Impacts!$F$12),0)</f>
        <v>0</v>
      </c>
      <c r="Q3090" s="10">
        <f>IFERROR(IF(('Loading-drum,tote'!$C$21)="No control",SUMIF(('Loading-drum,tote'!$B$31:$B$48),$J3090,('Loading-drum,tote'!$D$31:$D$48))*Impacts!$F$13,IF(('Loading-drum,tote'!$C$21)&lt;&gt;"No control",SUMIF(('Loading-drum,tote'!$B$31:$B$48),$J3090,('Loading-drum,tote'!$E$31:$E$48))*Impacts!$F$13,0)),0)</f>
        <v>0</v>
      </c>
      <c r="R3090" s="10">
        <f>IFERROR(IF(('Loading-truck'!$C$21)="No control",SUMIF(('Loading-truck'!$B$31:$B$48),$J3090,('Loading-truck'!$D$31:$D$48))*Impacts!$F$14,IF(('Loading-truck'!$C$21)&lt;&gt;"No control",SUMIF(('Loading-truck'!$B$31:$B$48),$J3090,('Loading-truck'!$E$31:$E$48))*Impacts!$F$14,0)),0)</f>
        <v>0</v>
      </c>
      <c r="S3090" s="10">
        <f>IFERROR(IF(('Loading-rail'!$C$21)="No control",SUMIF(('Loading-rail'!$B$31:$B$48),$J3090,('Loading-rail'!$D$31:$D$48))*Impacts!$F$15,IF(('Loading-rail'!$C$21)&lt;&gt;"No control",SUMIF(('Loading-rail'!$B$31:$B$48),$J3090,('Loading-rail'!$E$31:$E$48))*Impacts!$F$15,0)),0)</f>
        <v>0</v>
      </c>
      <c r="T3090" s="10">
        <f>IF(Flare!$C$7="",0,(SUMIF(Flare!$B$46:$B$185,$J3090,Flare!$E$46:$E$185)*Impacts!$F$16))</f>
        <v>0</v>
      </c>
      <c r="U3090" s="10">
        <f>IF(VCU!$C$9="",0,(SUMIF(VCU!$B$51:$B$193,$J3090,VCU!$E$51:$E$193)*Impacts!$F$17))</f>
        <v>0</v>
      </c>
      <c r="V3090" s="10">
        <f>IF(CAS!$C$7="",0,(SUMIF(CAS!$B$31:$B$167,$J3090,CAS!$E$31:$E$167)*Impacts!$F$18))</f>
        <v>0</v>
      </c>
      <c r="W3090" s="10">
        <f t="shared" si="88"/>
        <v>0</v>
      </c>
      <c r="AK3090" s="10" t="str">
        <f t="array" ref="AK3090">IFERROR(INDEX(SelectedSpecies,SMALL(IF(SelectedSpecies=AK$1,ROW(SelectedSpecies)),ROW(3091:3091)),2),"")</f>
        <v/>
      </c>
      <c r="BE3090" s="10"/>
      <c r="BI3090" s="10"/>
    </row>
    <row r="3091" spans="1:61" ht="21" customHeight="1" x14ac:dyDescent="0.25">
      <c r="A3091" s="10"/>
      <c r="B3091" s="10"/>
      <c r="E3091" s="10"/>
      <c r="G3091" s="10"/>
      <c r="I3091" s="436" t="s">
        <v>1574</v>
      </c>
      <c r="J3091" s="26" t="s">
        <v>1573</v>
      </c>
      <c r="K3091" s="10">
        <v>27</v>
      </c>
      <c r="L3091" s="73">
        <f>IF(Tank1!$C$23="No control",(SUMIF(Tank1!$B$32:$B$49,$J3091,Tank1!$C$32:$C$49)*Impacts!$F$8),0)</f>
        <v>0</v>
      </c>
      <c r="M3091" s="10">
        <f>IF(Tank2!$C$23="No control",(SUMIF(Tank2!$B$32:$B$49,$J3091,Tank2!$C$32:$C$49)*Impacts!$F$9),0)</f>
        <v>0</v>
      </c>
      <c r="N3091" s="10">
        <f>IF(Tank3!$C$23="No control",(SUMIF(Tank3!$B$32:$B$49,$J3091,Tank3!$C$32:$C$49)*Impacts!$F$10),0)</f>
        <v>0</v>
      </c>
      <c r="O3091" s="10">
        <f>IF(Tank4!$C$23="No control",(SUMIF(Tank4!$B$32:$B$49,$J3091,Tank4!$C$32:$C$49)*Impacts!$F$11),0)</f>
        <v>0</v>
      </c>
      <c r="P3091" s="10">
        <f>IF(Tank5!$C$23="No control",(SUMIF(Tank5!$B$32:$B$49,$J3091,Tank5!$C$32:$C$49)*Impacts!$F$12),0)</f>
        <v>0</v>
      </c>
      <c r="Q3091" s="10">
        <f>IFERROR(IF(('Loading-drum,tote'!$C$21)="No control",SUMIF(('Loading-drum,tote'!$B$31:$B$48),$J3091,('Loading-drum,tote'!$D$31:$D$48))*Impacts!$F$13,IF(('Loading-drum,tote'!$C$21)&lt;&gt;"No control",SUMIF(('Loading-drum,tote'!$B$31:$B$48),$J3091,('Loading-drum,tote'!$E$31:$E$48))*Impacts!$F$13,0)),0)</f>
        <v>0</v>
      </c>
      <c r="R3091" s="10">
        <f>IFERROR(IF(('Loading-truck'!$C$21)="No control",SUMIF(('Loading-truck'!$B$31:$B$48),$J3091,('Loading-truck'!$D$31:$D$48))*Impacts!$F$14,IF(('Loading-truck'!$C$21)&lt;&gt;"No control",SUMIF(('Loading-truck'!$B$31:$B$48),$J3091,('Loading-truck'!$E$31:$E$48))*Impacts!$F$14,0)),0)</f>
        <v>0</v>
      </c>
      <c r="S3091" s="10">
        <f>IFERROR(IF(('Loading-rail'!$C$21)="No control",SUMIF(('Loading-rail'!$B$31:$B$48),$J3091,('Loading-rail'!$D$31:$D$48))*Impacts!$F$15,IF(('Loading-rail'!$C$21)&lt;&gt;"No control",SUMIF(('Loading-rail'!$B$31:$B$48),$J3091,('Loading-rail'!$E$31:$E$48))*Impacts!$F$15,0)),0)</f>
        <v>0</v>
      </c>
      <c r="T3091" s="10">
        <f>IF(Flare!$C$7="",0,(SUMIF(Flare!$B$46:$B$185,$J3091,Flare!$E$46:$E$185)*Impacts!$F$16))</f>
        <v>0</v>
      </c>
      <c r="U3091" s="10">
        <f>IF(VCU!$C$9="",0,(SUMIF(VCU!$B$51:$B$193,$J3091,VCU!$E$51:$E$193)*Impacts!$F$17))</f>
        <v>0</v>
      </c>
      <c r="V3091" s="10">
        <f>IF(CAS!$C$7="",0,(SUMIF(CAS!$B$31:$B$167,$J3091,CAS!$E$31:$E$167)*Impacts!$F$18))</f>
        <v>0</v>
      </c>
      <c r="W3091" s="10">
        <f t="shared" si="88"/>
        <v>0</v>
      </c>
      <c r="AK3091" s="10" t="str">
        <f t="array" ref="AK3091">IFERROR(INDEX(SelectedSpecies,SMALL(IF(SelectedSpecies=AK$1,ROW(SelectedSpecies)),ROW(3092:3092)),2),"")</f>
        <v/>
      </c>
      <c r="BE3091" s="10"/>
      <c r="BI3091" s="10"/>
    </row>
    <row r="3092" spans="1:61" ht="21" customHeight="1" x14ac:dyDescent="0.25">
      <c r="A3092" s="10"/>
      <c r="B3092" s="10"/>
      <c r="E3092" s="10"/>
      <c r="G3092" s="10"/>
      <c r="I3092" s="436" t="s">
        <v>2161</v>
      </c>
      <c r="J3092" s="26" t="s">
        <v>2160</v>
      </c>
      <c r="K3092" s="10">
        <v>15</v>
      </c>
      <c r="L3092" s="73">
        <f>IF(Tank1!$C$23="No control",(SUMIF(Tank1!$B$32:$B$49,$J3092,Tank1!$C$32:$C$49)*Impacts!$F$8),0)</f>
        <v>0</v>
      </c>
      <c r="M3092" s="10">
        <f>IF(Tank2!$C$23="No control",(SUMIF(Tank2!$B$32:$B$49,$J3092,Tank2!$C$32:$C$49)*Impacts!$F$9),0)</f>
        <v>0</v>
      </c>
      <c r="N3092" s="10">
        <f>IF(Tank3!$C$23="No control",(SUMIF(Tank3!$B$32:$B$49,$J3092,Tank3!$C$32:$C$49)*Impacts!$F$10),0)</f>
        <v>0</v>
      </c>
      <c r="O3092" s="10">
        <f>IF(Tank4!$C$23="No control",(SUMIF(Tank4!$B$32:$B$49,$J3092,Tank4!$C$32:$C$49)*Impacts!$F$11),0)</f>
        <v>0</v>
      </c>
      <c r="P3092" s="10">
        <f>IF(Tank5!$C$23="No control",(SUMIF(Tank5!$B$32:$B$49,$J3092,Tank5!$C$32:$C$49)*Impacts!$F$12),0)</f>
        <v>0</v>
      </c>
      <c r="Q3092" s="10">
        <f>IFERROR(IF(('Loading-drum,tote'!$C$21)="No control",SUMIF(('Loading-drum,tote'!$B$31:$B$48),$J3092,('Loading-drum,tote'!$D$31:$D$48))*Impacts!$F$13,IF(('Loading-drum,tote'!$C$21)&lt;&gt;"No control",SUMIF(('Loading-drum,tote'!$B$31:$B$48),$J3092,('Loading-drum,tote'!$E$31:$E$48))*Impacts!$F$13,0)),0)</f>
        <v>0</v>
      </c>
      <c r="R3092" s="10">
        <f>IFERROR(IF(('Loading-truck'!$C$21)="No control",SUMIF(('Loading-truck'!$B$31:$B$48),$J3092,('Loading-truck'!$D$31:$D$48))*Impacts!$F$14,IF(('Loading-truck'!$C$21)&lt;&gt;"No control",SUMIF(('Loading-truck'!$B$31:$B$48),$J3092,('Loading-truck'!$E$31:$E$48))*Impacts!$F$14,0)),0)</f>
        <v>0</v>
      </c>
      <c r="S3092" s="10">
        <f>IFERROR(IF(('Loading-rail'!$C$21)="No control",SUMIF(('Loading-rail'!$B$31:$B$48),$J3092,('Loading-rail'!$D$31:$D$48))*Impacts!$F$15,IF(('Loading-rail'!$C$21)&lt;&gt;"No control",SUMIF(('Loading-rail'!$B$31:$B$48),$J3092,('Loading-rail'!$E$31:$E$48))*Impacts!$F$15,0)),0)</f>
        <v>0</v>
      </c>
      <c r="T3092" s="10">
        <f>IF(Flare!$C$7="",0,(SUMIF(Flare!$B$46:$B$185,$J3092,Flare!$E$46:$E$185)*Impacts!$F$16))</f>
        <v>0</v>
      </c>
      <c r="U3092" s="10">
        <f>IF(VCU!$C$9="",0,(SUMIF(VCU!$B$51:$B$193,$J3092,VCU!$E$51:$E$193)*Impacts!$F$17))</f>
        <v>0</v>
      </c>
      <c r="V3092" s="10">
        <f>IF(CAS!$C$7="",0,(SUMIF(CAS!$B$31:$B$167,$J3092,CAS!$E$31:$E$167)*Impacts!$F$18))</f>
        <v>0</v>
      </c>
      <c r="W3092" s="10">
        <f t="shared" si="88"/>
        <v>0</v>
      </c>
      <c r="AK3092" s="10" t="str">
        <f t="array" ref="AK3092">IFERROR(INDEX(SelectedSpecies,SMALL(IF(SelectedSpecies=AK$1,ROW(SelectedSpecies)),ROW(3093:3093)),2),"")</f>
        <v/>
      </c>
      <c r="BE3092" s="10"/>
      <c r="BI3092" s="10"/>
    </row>
    <row r="3093" spans="1:61" ht="21" customHeight="1" x14ac:dyDescent="0.25">
      <c r="A3093" s="10"/>
      <c r="B3093" s="10"/>
      <c r="E3093" s="10"/>
      <c r="G3093" s="10"/>
      <c r="I3093" s="436" t="s">
        <v>1204</v>
      </c>
      <c r="J3093" s="26" t="s">
        <v>1203</v>
      </c>
      <c r="K3093" s="10">
        <v>35</v>
      </c>
      <c r="L3093" s="73">
        <f>IF(Tank1!$C$23="No control",(SUMIF(Tank1!$B$32:$B$49,$J3093,Tank1!$C$32:$C$49)*Impacts!$F$8),0)</f>
        <v>0</v>
      </c>
      <c r="M3093" s="10">
        <f>IF(Tank2!$C$23="No control",(SUMIF(Tank2!$B$32:$B$49,$J3093,Tank2!$C$32:$C$49)*Impacts!$F$9),0)</f>
        <v>0</v>
      </c>
      <c r="N3093" s="10">
        <f>IF(Tank3!$C$23="No control",(SUMIF(Tank3!$B$32:$B$49,$J3093,Tank3!$C$32:$C$49)*Impacts!$F$10),0)</f>
        <v>0</v>
      </c>
      <c r="O3093" s="10">
        <f>IF(Tank4!$C$23="No control",(SUMIF(Tank4!$B$32:$B$49,$J3093,Tank4!$C$32:$C$49)*Impacts!$F$11),0)</f>
        <v>0</v>
      </c>
      <c r="P3093" s="10">
        <f>IF(Tank5!$C$23="No control",(SUMIF(Tank5!$B$32:$B$49,$J3093,Tank5!$C$32:$C$49)*Impacts!$F$12),0)</f>
        <v>0</v>
      </c>
      <c r="Q3093" s="10">
        <f>IFERROR(IF(('Loading-drum,tote'!$C$21)="No control",SUMIF(('Loading-drum,tote'!$B$31:$B$48),$J3093,('Loading-drum,tote'!$D$31:$D$48))*Impacts!$F$13,IF(('Loading-drum,tote'!$C$21)&lt;&gt;"No control",SUMIF(('Loading-drum,tote'!$B$31:$B$48),$J3093,('Loading-drum,tote'!$E$31:$E$48))*Impacts!$F$13,0)),0)</f>
        <v>0</v>
      </c>
      <c r="R3093" s="10">
        <f>IFERROR(IF(('Loading-truck'!$C$21)="No control",SUMIF(('Loading-truck'!$B$31:$B$48),$J3093,('Loading-truck'!$D$31:$D$48))*Impacts!$F$14,IF(('Loading-truck'!$C$21)&lt;&gt;"No control",SUMIF(('Loading-truck'!$B$31:$B$48),$J3093,('Loading-truck'!$E$31:$E$48))*Impacts!$F$14,0)),0)</f>
        <v>0</v>
      </c>
      <c r="S3093" s="10">
        <f>IFERROR(IF(('Loading-rail'!$C$21)="No control",SUMIF(('Loading-rail'!$B$31:$B$48),$J3093,('Loading-rail'!$D$31:$D$48))*Impacts!$F$15,IF(('Loading-rail'!$C$21)&lt;&gt;"No control",SUMIF(('Loading-rail'!$B$31:$B$48),$J3093,('Loading-rail'!$E$31:$E$48))*Impacts!$F$15,0)),0)</f>
        <v>0</v>
      </c>
      <c r="T3093" s="10">
        <f>IF(Flare!$C$7="",0,(SUMIF(Flare!$B$46:$B$185,$J3093,Flare!$E$46:$E$185)*Impacts!$F$16))</f>
        <v>0</v>
      </c>
      <c r="U3093" s="10">
        <f>IF(VCU!$C$9="",0,(SUMIF(VCU!$B$51:$B$193,$J3093,VCU!$E$51:$E$193)*Impacts!$F$17))</f>
        <v>0</v>
      </c>
      <c r="V3093" s="10">
        <f>IF(CAS!$C$7="",0,(SUMIF(CAS!$B$31:$B$167,$J3093,CAS!$E$31:$E$167)*Impacts!$F$18))</f>
        <v>0</v>
      </c>
      <c r="W3093" s="10">
        <f t="shared" si="88"/>
        <v>0</v>
      </c>
      <c r="AK3093" s="10" t="str">
        <f t="array" ref="AK3093">IFERROR(INDEX(SelectedSpecies,SMALL(IF(SelectedSpecies=AK$1,ROW(SelectedSpecies)),ROW(3094:3094)),2),"")</f>
        <v/>
      </c>
      <c r="BE3093" s="10"/>
      <c r="BI3093" s="10"/>
    </row>
    <row r="3094" spans="1:61" ht="21" customHeight="1" x14ac:dyDescent="0.25">
      <c r="A3094" s="10"/>
      <c r="B3094" s="10"/>
      <c r="E3094" s="10"/>
      <c r="G3094" s="10"/>
      <c r="I3094" s="436" t="s">
        <v>7056</v>
      </c>
      <c r="J3094" s="26" t="s">
        <v>7055</v>
      </c>
      <c r="K3094" s="10">
        <v>0.42000000000000004</v>
      </c>
      <c r="L3094" s="73">
        <f>IF(Tank1!$C$23="No control",(SUMIF(Tank1!$B$32:$B$49,$J3094,Tank1!$C$32:$C$49)*Impacts!$F$8),0)</f>
        <v>0</v>
      </c>
      <c r="M3094" s="10">
        <f>IF(Tank2!$C$23="No control",(SUMIF(Tank2!$B$32:$B$49,$J3094,Tank2!$C$32:$C$49)*Impacts!$F$9),0)</f>
        <v>0</v>
      </c>
      <c r="N3094" s="10">
        <f>IF(Tank3!$C$23="No control",(SUMIF(Tank3!$B$32:$B$49,$J3094,Tank3!$C$32:$C$49)*Impacts!$F$10),0)</f>
        <v>0</v>
      </c>
      <c r="O3094" s="10">
        <f>IF(Tank4!$C$23="No control",(SUMIF(Tank4!$B$32:$B$49,$J3094,Tank4!$C$32:$C$49)*Impacts!$F$11),0)</f>
        <v>0</v>
      </c>
      <c r="P3094" s="10">
        <f>IF(Tank5!$C$23="No control",(SUMIF(Tank5!$B$32:$B$49,$J3094,Tank5!$C$32:$C$49)*Impacts!$F$12),0)</f>
        <v>0</v>
      </c>
      <c r="Q3094" s="10">
        <f>IFERROR(IF(('Loading-drum,tote'!$C$21)="No control",SUMIF(('Loading-drum,tote'!$B$31:$B$48),$J3094,('Loading-drum,tote'!$D$31:$D$48))*Impacts!$F$13,IF(('Loading-drum,tote'!$C$21)&lt;&gt;"No control",SUMIF(('Loading-drum,tote'!$B$31:$B$48),$J3094,('Loading-drum,tote'!$E$31:$E$48))*Impacts!$F$13,0)),0)</f>
        <v>0</v>
      </c>
      <c r="R3094" s="10">
        <f>IFERROR(IF(('Loading-truck'!$C$21)="No control",SUMIF(('Loading-truck'!$B$31:$B$48),$J3094,('Loading-truck'!$D$31:$D$48))*Impacts!$F$14,IF(('Loading-truck'!$C$21)&lt;&gt;"No control",SUMIF(('Loading-truck'!$B$31:$B$48),$J3094,('Loading-truck'!$E$31:$E$48))*Impacts!$F$14,0)),0)</f>
        <v>0</v>
      </c>
      <c r="S3094" s="10">
        <f>IFERROR(IF(('Loading-rail'!$C$21)="No control",SUMIF(('Loading-rail'!$B$31:$B$48),$J3094,('Loading-rail'!$D$31:$D$48))*Impacts!$F$15,IF(('Loading-rail'!$C$21)&lt;&gt;"No control",SUMIF(('Loading-rail'!$B$31:$B$48),$J3094,('Loading-rail'!$E$31:$E$48))*Impacts!$F$15,0)),0)</f>
        <v>0</v>
      </c>
      <c r="T3094" s="10">
        <f>IF(Flare!$C$7="",0,(SUMIF(Flare!$B$46:$B$185,$J3094,Flare!$E$46:$E$185)*Impacts!$F$16))</f>
        <v>0</v>
      </c>
      <c r="U3094" s="10">
        <f>IF(VCU!$C$9="",0,(SUMIF(VCU!$B$51:$B$193,$J3094,VCU!$E$51:$E$193)*Impacts!$F$17))</f>
        <v>0</v>
      </c>
      <c r="V3094" s="10">
        <f>IF(CAS!$C$7="",0,(SUMIF(CAS!$B$31:$B$167,$J3094,CAS!$E$31:$E$167)*Impacts!$F$18))</f>
        <v>0</v>
      </c>
      <c r="W3094" s="10">
        <f t="shared" si="88"/>
        <v>0</v>
      </c>
      <c r="AK3094" s="10" t="str">
        <f t="array" ref="AK3094">IFERROR(INDEX(SelectedSpecies,SMALL(IF(SelectedSpecies=AK$1,ROW(SelectedSpecies)),ROW(3095:3095)),2),"")</f>
        <v/>
      </c>
      <c r="BE3094" s="10"/>
      <c r="BI3094" s="10"/>
    </row>
    <row r="3095" spans="1:61" ht="21" customHeight="1" x14ac:dyDescent="0.25">
      <c r="A3095" s="10"/>
      <c r="B3095" s="10"/>
      <c r="E3095" s="10"/>
      <c r="G3095" s="10"/>
      <c r="I3095" s="436" t="s">
        <v>2213</v>
      </c>
      <c r="J3095" s="26" t="s">
        <v>2212</v>
      </c>
      <c r="K3095" s="10">
        <v>14</v>
      </c>
      <c r="L3095" s="73">
        <f>IF(Tank1!$C$23="No control",(SUMIF(Tank1!$B$32:$B$49,$J3095,Tank1!$C$32:$C$49)*Impacts!$F$8),0)</f>
        <v>0</v>
      </c>
      <c r="M3095" s="10">
        <f>IF(Tank2!$C$23="No control",(SUMIF(Tank2!$B$32:$B$49,$J3095,Tank2!$C$32:$C$49)*Impacts!$F$9),0)</f>
        <v>0</v>
      </c>
      <c r="N3095" s="10">
        <f>IF(Tank3!$C$23="No control",(SUMIF(Tank3!$B$32:$B$49,$J3095,Tank3!$C$32:$C$49)*Impacts!$F$10),0)</f>
        <v>0</v>
      </c>
      <c r="O3095" s="10">
        <f>IF(Tank4!$C$23="No control",(SUMIF(Tank4!$B$32:$B$49,$J3095,Tank4!$C$32:$C$49)*Impacts!$F$11),0)</f>
        <v>0</v>
      </c>
      <c r="P3095" s="10">
        <f>IF(Tank5!$C$23="No control",(SUMIF(Tank5!$B$32:$B$49,$J3095,Tank5!$C$32:$C$49)*Impacts!$F$12),0)</f>
        <v>0</v>
      </c>
      <c r="Q3095" s="10">
        <f>IFERROR(IF(('Loading-drum,tote'!$C$21)="No control",SUMIF(('Loading-drum,tote'!$B$31:$B$48),$J3095,('Loading-drum,tote'!$D$31:$D$48))*Impacts!$F$13,IF(('Loading-drum,tote'!$C$21)&lt;&gt;"No control",SUMIF(('Loading-drum,tote'!$B$31:$B$48),$J3095,('Loading-drum,tote'!$E$31:$E$48))*Impacts!$F$13,0)),0)</f>
        <v>0</v>
      </c>
      <c r="R3095" s="10">
        <f>IFERROR(IF(('Loading-truck'!$C$21)="No control",SUMIF(('Loading-truck'!$B$31:$B$48),$J3095,('Loading-truck'!$D$31:$D$48))*Impacts!$F$14,IF(('Loading-truck'!$C$21)&lt;&gt;"No control",SUMIF(('Loading-truck'!$B$31:$B$48),$J3095,('Loading-truck'!$E$31:$E$48))*Impacts!$F$14,0)),0)</f>
        <v>0</v>
      </c>
      <c r="S3095" s="10">
        <f>IFERROR(IF(('Loading-rail'!$C$21)="No control",SUMIF(('Loading-rail'!$B$31:$B$48),$J3095,('Loading-rail'!$D$31:$D$48))*Impacts!$F$15,IF(('Loading-rail'!$C$21)&lt;&gt;"No control",SUMIF(('Loading-rail'!$B$31:$B$48),$J3095,('Loading-rail'!$E$31:$E$48))*Impacts!$F$15,0)),0)</f>
        <v>0</v>
      </c>
      <c r="T3095" s="10">
        <f>IF(Flare!$C$7="",0,(SUMIF(Flare!$B$46:$B$185,$J3095,Flare!$E$46:$E$185)*Impacts!$F$16))</f>
        <v>0</v>
      </c>
      <c r="U3095" s="10">
        <f>IF(VCU!$C$9="",0,(SUMIF(VCU!$B$51:$B$193,$J3095,VCU!$E$51:$E$193)*Impacts!$F$17))</f>
        <v>0</v>
      </c>
      <c r="V3095" s="10">
        <f>IF(CAS!$C$7="",0,(SUMIF(CAS!$B$31:$B$167,$J3095,CAS!$E$31:$E$167)*Impacts!$F$18))</f>
        <v>0</v>
      </c>
      <c r="W3095" s="10">
        <f t="shared" si="88"/>
        <v>0</v>
      </c>
      <c r="AK3095" s="10" t="str">
        <f t="array" ref="AK3095">IFERROR(INDEX(SelectedSpecies,SMALL(IF(SelectedSpecies=AK$1,ROW(SelectedSpecies)),ROW(3096:3096)),2),"")</f>
        <v/>
      </c>
      <c r="BE3095" s="10"/>
      <c r="BI3095" s="10"/>
    </row>
    <row r="3096" spans="1:61" ht="21" customHeight="1" x14ac:dyDescent="0.25">
      <c r="A3096" s="10"/>
      <c r="B3096" s="10"/>
      <c r="E3096" s="10"/>
      <c r="G3096" s="10"/>
      <c r="I3096" s="436" t="s">
        <v>3851</v>
      </c>
      <c r="J3096" s="26" t="s">
        <v>3850</v>
      </c>
      <c r="K3096" s="10">
        <v>6</v>
      </c>
      <c r="L3096" s="73">
        <f>IF(Tank1!$C$23="No control",(SUMIF(Tank1!$B$32:$B$49,$J3096,Tank1!$C$32:$C$49)*Impacts!$F$8),0)</f>
        <v>0</v>
      </c>
      <c r="M3096" s="10">
        <f>IF(Tank2!$C$23="No control",(SUMIF(Tank2!$B$32:$B$49,$J3096,Tank2!$C$32:$C$49)*Impacts!$F$9),0)</f>
        <v>0</v>
      </c>
      <c r="N3096" s="10">
        <f>IF(Tank3!$C$23="No control",(SUMIF(Tank3!$B$32:$B$49,$J3096,Tank3!$C$32:$C$49)*Impacts!$F$10),0)</f>
        <v>0</v>
      </c>
      <c r="O3096" s="10">
        <f>IF(Tank4!$C$23="No control",(SUMIF(Tank4!$B$32:$B$49,$J3096,Tank4!$C$32:$C$49)*Impacts!$F$11),0)</f>
        <v>0</v>
      </c>
      <c r="P3096" s="10">
        <f>IF(Tank5!$C$23="No control",(SUMIF(Tank5!$B$32:$B$49,$J3096,Tank5!$C$32:$C$49)*Impacts!$F$12),0)</f>
        <v>0</v>
      </c>
      <c r="Q3096" s="10">
        <f>IFERROR(IF(('Loading-drum,tote'!$C$21)="No control",SUMIF(('Loading-drum,tote'!$B$31:$B$48),$J3096,('Loading-drum,tote'!$D$31:$D$48))*Impacts!$F$13,IF(('Loading-drum,tote'!$C$21)&lt;&gt;"No control",SUMIF(('Loading-drum,tote'!$B$31:$B$48),$J3096,('Loading-drum,tote'!$E$31:$E$48))*Impacts!$F$13,0)),0)</f>
        <v>0</v>
      </c>
      <c r="R3096" s="10">
        <f>IFERROR(IF(('Loading-truck'!$C$21)="No control",SUMIF(('Loading-truck'!$B$31:$B$48),$J3096,('Loading-truck'!$D$31:$D$48))*Impacts!$F$14,IF(('Loading-truck'!$C$21)&lt;&gt;"No control",SUMIF(('Loading-truck'!$B$31:$B$48),$J3096,('Loading-truck'!$E$31:$E$48))*Impacts!$F$14,0)),0)</f>
        <v>0</v>
      </c>
      <c r="S3096" s="10">
        <f>IFERROR(IF(('Loading-rail'!$C$21)="No control",SUMIF(('Loading-rail'!$B$31:$B$48),$J3096,('Loading-rail'!$D$31:$D$48))*Impacts!$F$15,IF(('Loading-rail'!$C$21)&lt;&gt;"No control",SUMIF(('Loading-rail'!$B$31:$B$48),$J3096,('Loading-rail'!$E$31:$E$48))*Impacts!$F$15,0)),0)</f>
        <v>0</v>
      </c>
      <c r="T3096" s="10">
        <f>IF(Flare!$C$7="",0,(SUMIF(Flare!$B$46:$B$185,$J3096,Flare!$E$46:$E$185)*Impacts!$F$16))</f>
        <v>0</v>
      </c>
      <c r="U3096" s="10">
        <f>IF(VCU!$C$9="",0,(SUMIF(VCU!$B$51:$B$193,$J3096,VCU!$E$51:$E$193)*Impacts!$F$17))</f>
        <v>0</v>
      </c>
      <c r="V3096" s="10">
        <f>IF(CAS!$C$7="",0,(SUMIF(CAS!$B$31:$B$167,$J3096,CAS!$E$31:$E$167)*Impacts!$F$18))</f>
        <v>0</v>
      </c>
      <c r="W3096" s="10">
        <f t="shared" si="88"/>
        <v>0</v>
      </c>
      <c r="AK3096" s="10" t="str">
        <f t="array" ref="AK3096">IFERROR(INDEX(SelectedSpecies,SMALL(IF(SelectedSpecies=AK$1,ROW(SelectedSpecies)),ROW(3097:3097)),2),"")</f>
        <v/>
      </c>
      <c r="BE3096" s="10"/>
      <c r="BI3096" s="10"/>
    </row>
    <row r="3097" spans="1:61" ht="21" customHeight="1" x14ac:dyDescent="0.25">
      <c r="A3097" s="10"/>
      <c r="B3097" s="10"/>
      <c r="E3097" s="10"/>
      <c r="G3097" s="10"/>
      <c r="I3097" s="436" t="s">
        <v>1142</v>
      </c>
      <c r="J3097" s="26" t="s">
        <v>1141</v>
      </c>
      <c r="K3097" s="10">
        <v>35</v>
      </c>
      <c r="L3097" s="73">
        <f>IF(Tank1!$C$23="No control",(SUMIF(Tank1!$B$32:$B$49,$J3097,Tank1!$C$32:$C$49)*Impacts!$F$8),0)</f>
        <v>0</v>
      </c>
      <c r="M3097" s="10">
        <f>IF(Tank2!$C$23="No control",(SUMIF(Tank2!$B$32:$B$49,$J3097,Tank2!$C$32:$C$49)*Impacts!$F$9),0)</f>
        <v>0</v>
      </c>
      <c r="N3097" s="10">
        <f>IF(Tank3!$C$23="No control",(SUMIF(Tank3!$B$32:$B$49,$J3097,Tank3!$C$32:$C$49)*Impacts!$F$10),0)</f>
        <v>0</v>
      </c>
      <c r="O3097" s="10">
        <f>IF(Tank4!$C$23="No control",(SUMIF(Tank4!$B$32:$B$49,$J3097,Tank4!$C$32:$C$49)*Impacts!$F$11),0)</f>
        <v>0</v>
      </c>
      <c r="P3097" s="10">
        <f>IF(Tank5!$C$23="No control",(SUMIF(Tank5!$B$32:$B$49,$J3097,Tank5!$C$32:$C$49)*Impacts!$F$12),0)</f>
        <v>0</v>
      </c>
      <c r="Q3097" s="10">
        <f>IFERROR(IF(('Loading-drum,tote'!$C$21)="No control",SUMIF(('Loading-drum,tote'!$B$31:$B$48),$J3097,('Loading-drum,tote'!$D$31:$D$48))*Impacts!$F$13,IF(('Loading-drum,tote'!$C$21)&lt;&gt;"No control",SUMIF(('Loading-drum,tote'!$B$31:$B$48),$J3097,('Loading-drum,tote'!$E$31:$E$48))*Impacts!$F$13,0)),0)</f>
        <v>0</v>
      </c>
      <c r="R3097" s="10">
        <f>IFERROR(IF(('Loading-truck'!$C$21)="No control",SUMIF(('Loading-truck'!$B$31:$B$48),$J3097,('Loading-truck'!$D$31:$D$48))*Impacts!$F$14,IF(('Loading-truck'!$C$21)&lt;&gt;"No control",SUMIF(('Loading-truck'!$B$31:$B$48),$J3097,('Loading-truck'!$E$31:$E$48))*Impacts!$F$14,0)),0)</f>
        <v>0</v>
      </c>
      <c r="S3097" s="10">
        <f>IFERROR(IF(('Loading-rail'!$C$21)="No control",SUMIF(('Loading-rail'!$B$31:$B$48),$J3097,('Loading-rail'!$D$31:$D$48))*Impacts!$F$15,IF(('Loading-rail'!$C$21)&lt;&gt;"No control",SUMIF(('Loading-rail'!$B$31:$B$48),$J3097,('Loading-rail'!$E$31:$E$48))*Impacts!$F$15,0)),0)</f>
        <v>0</v>
      </c>
      <c r="T3097" s="10">
        <f>IF(Flare!$C$7="",0,(SUMIF(Flare!$B$46:$B$185,$J3097,Flare!$E$46:$E$185)*Impacts!$F$16))</f>
        <v>0</v>
      </c>
      <c r="U3097" s="10">
        <f>IF(VCU!$C$9="",0,(SUMIF(VCU!$B$51:$B$193,$J3097,VCU!$E$51:$E$193)*Impacts!$F$17))</f>
        <v>0</v>
      </c>
      <c r="V3097" s="10">
        <f>IF(CAS!$C$7="",0,(SUMIF(CAS!$B$31:$B$167,$J3097,CAS!$E$31:$E$167)*Impacts!$F$18))</f>
        <v>0</v>
      </c>
      <c r="W3097" s="10">
        <f t="shared" si="88"/>
        <v>0</v>
      </c>
      <c r="AK3097" s="10" t="str">
        <f t="array" ref="AK3097">IFERROR(INDEX(SelectedSpecies,SMALL(IF(SelectedSpecies=AK$1,ROW(SelectedSpecies)),ROW(3098:3098)),2),"")</f>
        <v/>
      </c>
      <c r="BE3097" s="10"/>
      <c r="BI3097" s="10"/>
    </row>
    <row r="3098" spans="1:61" ht="21" customHeight="1" x14ac:dyDescent="0.25">
      <c r="A3098" s="10"/>
      <c r="B3098" s="10"/>
      <c r="E3098" s="10"/>
      <c r="G3098" s="10"/>
      <c r="I3098" s="436" t="s">
        <v>1144</v>
      </c>
      <c r="J3098" s="26" t="s">
        <v>1143</v>
      </c>
      <c r="K3098" s="10">
        <v>35</v>
      </c>
      <c r="L3098" s="73">
        <f>IF(Tank1!$C$23="No control",(SUMIF(Tank1!$B$32:$B$49,$J3098,Tank1!$C$32:$C$49)*Impacts!$F$8),0)</f>
        <v>0</v>
      </c>
      <c r="M3098" s="10">
        <f>IF(Tank2!$C$23="No control",(SUMIF(Tank2!$B$32:$B$49,$J3098,Tank2!$C$32:$C$49)*Impacts!$F$9),0)</f>
        <v>0</v>
      </c>
      <c r="N3098" s="10">
        <f>IF(Tank3!$C$23="No control",(SUMIF(Tank3!$B$32:$B$49,$J3098,Tank3!$C$32:$C$49)*Impacts!$F$10),0)</f>
        <v>0</v>
      </c>
      <c r="O3098" s="10">
        <f>IF(Tank4!$C$23="No control",(SUMIF(Tank4!$B$32:$B$49,$J3098,Tank4!$C$32:$C$49)*Impacts!$F$11),0)</f>
        <v>0</v>
      </c>
      <c r="P3098" s="10">
        <f>IF(Tank5!$C$23="No control",(SUMIF(Tank5!$B$32:$B$49,$J3098,Tank5!$C$32:$C$49)*Impacts!$F$12),0)</f>
        <v>0</v>
      </c>
      <c r="Q3098" s="10">
        <f>IFERROR(IF(('Loading-drum,tote'!$C$21)="No control",SUMIF(('Loading-drum,tote'!$B$31:$B$48),$J3098,('Loading-drum,tote'!$D$31:$D$48))*Impacts!$F$13,IF(('Loading-drum,tote'!$C$21)&lt;&gt;"No control",SUMIF(('Loading-drum,tote'!$B$31:$B$48),$J3098,('Loading-drum,tote'!$E$31:$E$48))*Impacts!$F$13,0)),0)</f>
        <v>0</v>
      </c>
      <c r="R3098" s="10">
        <f>IFERROR(IF(('Loading-truck'!$C$21)="No control",SUMIF(('Loading-truck'!$B$31:$B$48),$J3098,('Loading-truck'!$D$31:$D$48))*Impacts!$F$14,IF(('Loading-truck'!$C$21)&lt;&gt;"No control",SUMIF(('Loading-truck'!$B$31:$B$48),$J3098,('Loading-truck'!$E$31:$E$48))*Impacts!$F$14,0)),0)</f>
        <v>0</v>
      </c>
      <c r="S3098" s="10">
        <f>IFERROR(IF(('Loading-rail'!$C$21)="No control",SUMIF(('Loading-rail'!$B$31:$B$48),$J3098,('Loading-rail'!$D$31:$D$48))*Impacts!$F$15,IF(('Loading-rail'!$C$21)&lt;&gt;"No control",SUMIF(('Loading-rail'!$B$31:$B$48),$J3098,('Loading-rail'!$E$31:$E$48))*Impacts!$F$15,0)),0)</f>
        <v>0</v>
      </c>
      <c r="T3098" s="10">
        <f>IF(Flare!$C$7="",0,(SUMIF(Flare!$B$46:$B$185,$J3098,Flare!$E$46:$E$185)*Impacts!$F$16))</f>
        <v>0</v>
      </c>
      <c r="U3098" s="10">
        <f>IF(VCU!$C$9="",0,(SUMIF(VCU!$B$51:$B$193,$J3098,VCU!$E$51:$E$193)*Impacts!$F$17))</f>
        <v>0</v>
      </c>
      <c r="V3098" s="10">
        <f>IF(CAS!$C$7="",0,(SUMIF(CAS!$B$31:$B$167,$J3098,CAS!$E$31:$E$167)*Impacts!$F$18))</f>
        <v>0</v>
      </c>
      <c r="W3098" s="10">
        <f t="shared" ref="W3098:W3161" si="89">SUM(L3098:V3098)</f>
        <v>0</v>
      </c>
      <c r="AK3098" s="10" t="str">
        <f t="array" ref="AK3098">IFERROR(INDEX(SelectedSpecies,SMALL(IF(SelectedSpecies=AK$1,ROW(SelectedSpecies)),ROW(3099:3099)),2),"")</f>
        <v/>
      </c>
      <c r="BE3098" s="10"/>
      <c r="BI3098" s="10"/>
    </row>
    <row r="3099" spans="1:61" ht="21" customHeight="1" x14ac:dyDescent="0.25">
      <c r="A3099" s="10"/>
      <c r="B3099" s="10"/>
      <c r="E3099" s="10"/>
      <c r="G3099" s="10"/>
      <c r="I3099" s="436" t="s">
        <v>1146</v>
      </c>
      <c r="J3099" s="26" t="s">
        <v>1145</v>
      </c>
      <c r="K3099" s="10">
        <v>35</v>
      </c>
      <c r="L3099" s="73">
        <f>IF(Tank1!$C$23="No control",(SUMIF(Tank1!$B$32:$B$49,$J3099,Tank1!$C$32:$C$49)*Impacts!$F$8),0)</f>
        <v>0</v>
      </c>
      <c r="M3099" s="10">
        <f>IF(Tank2!$C$23="No control",(SUMIF(Tank2!$B$32:$B$49,$J3099,Tank2!$C$32:$C$49)*Impacts!$F$9),0)</f>
        <v>0</v>
      </c>
      <c r="N3099" s="10">
        <f>IF(Tank3!$C$23="No control",(SUMIF(Tank3!$B$32:$B$49,$J3099,Tank3!$C$32:$C$49)*Impacts!$F$10),0)</f>
        <v>0</v>
      </c>
      <c r="O3099" s="10">
        <f>IF(Tank4!$C$23="No control",(SUMIF(Tank4!$B$32:$B$49,$J3099,Tank4!$C$32:$C$49)*Impacts!$F$11),0)</f>
        <v>0</v>
      </c>
      <c r="P3099" s="10">
        <f>IF(Tank5!$C$23="No control",(SUMIF(Tank5!$B$32:$B$49,$J3099,Tank5!$C$32:$C$49)*Impacts!$F$12),0)</f>
        <v>0</v>
      </c>
      <c r="Q3099" s="10">
        <f>IFERROR(IF(('Loading-drum,tote'!$C$21)="No control",SUMIF(('Loading-drum,tote'!$B$31:$B$48),$J3099,('Loading-drum,tote'!$D$31:$D$48))*Impacts!$F$13,IF(('Loading-drum,tote'!$C$21)&lt;&gt;"No control",SUMIF(('Loading-drum,tote'!$B$31:$B$48),$J3099,('Loading-drum,tote'!$E$31:$E$48))*Impacts!$F$13,0)),0)</f>
        <v>0</v>
      </c>
      <c r="R3099" s="10">
        <f>IFERROR(IF(('Loading-truck'!$C$21)="No control",SUMIF(('Loading-truck'!$B$31:$B$48),$J3099,('Loading-truck'!$D$31:$D$48))*Impacts!$F$14,IF(('Loading-truck'!$C$21)&lt;&gt;"No control",SUMIF(('Loading-truck'!$B$31:$B$48),$J3099,('Loading-truck'!$E$31:$E$48))*Impacts!$F$14,0)),0)</f>
        <v>0</v>
      </c>
      <c r="S3099" s="10">
        <f>IFERROR(IF(('Loading-rail'!$C$21)="No control",SUMIF(('Loading-rail'!$B$31:$B$48),$J3099,('Loading-rail'!$D$31:$D$48))*Impacts!$F$15,IF(('Loading-rail'!$C$21)&lt;&gt;"No control",SUMIF(('Loading-rail'!$B$31:$B$48),$J3099,('Loading-rail'!$E$31:$E$48))*Impacts!$F$15,0)),0)</f>
        <v>0</v>
      </c>
      <c r="T3099" s="10">
        <f>IF(Flare!$C$7="",0,(SUMIF(Flare!$B$46:$B$185,$J3099,Flare!$E$46:$E$185)*Impacts!$F$16))</f>
        <v>0</v>
      </c>
      <c r="U3099" s="10">
        <f>IF(VCU!$C$9="",0,(SUMIF(VCU!$B$51:$B$193,$J3099,VCU!$E$51:$E$193)*Impacts!$F$17))</f>
        <v>0</v>
      </c>
      <c r="V3099" s="10">
        <f>IF(CAS!$C$7="",0,(SUMIF(CAS!$B$31:$B$167,$J3099,CAS!$E$31:$E$167)*Impacts!$F$18))</f>
        <v>0</v>
      </c>
      <c r="W3099" s="10">
        <f t="shared" si="89"/>
        <v>0</v>
      </c>
      <c r="AK3099" s="10" t="str">
        <f t="array" ref="AK3099">IFERROR(INDEX(SelectedSpecies,SMALL(IF(SelectedSpecies=AK$1,ROW(SelectedSpecies)),ROW(3100:3100)),2),"")</f>
        <v/>
      </c>
      <c r="BE3099" s="10"/>
      <c r="BI3099" s="10"/>
    </row>
    <row r="3100" spans="1:61" ht="21" customHeight="1" x14ac:dyDescent="0.25">
      <c r="A3100" s="10"/>
      <c r="B3100" s="10"/>
      <c r="E3100" s="10"/>
      <c r="G3100" s="10"/>
      <c r="I3100" s="436" t="s">
        <v>1148</v>
      </c>
      <c r="J3100" s="26" t="s">
        <v>1147</v>
      </c>
      <c r="K3100" s="10">
        <v>35</v>
      </c>
      <c r="L3100" s="73">
        <f>IF(Tank1!$C$23="No control",(SUMIF(Tank1!$B$32:$B$49,$J3100,Tank1!$C$32:$C$49)*Impacts!$F$8),0)</f>
        <v>0</v>
      </c>
      <c r="M3100" s="10">
        <f>IF(Tank2!$C$23="No control",(SUMIF(Tank2!$B$32:$B$49,$J3100,Tank2!$C$32:$C$49)*Impacts!$F$9),0)</f>
        <v>0</v>
      </c>
      <c r="N3100" s="10">
        <f>IF(Tank3!$C$23="No control",(SUMIF(Tank3!$B$32:$B$49,$J3100,Tank3!$C$32:$C$49)*Impacts!$F$10),0)</f>
        <v>0</v>
      </c>
      <c r="O3100" s="10">
        <f>IF(Tank4!$C$23="No control",(SUMIF(Tank4!$B$32:$B$49,$J3100,Tank4!$C$32:$C$49)*Impacts!$F$11),0)</f>
        <v>0</v>
      </c>
      <c r="P3100" s="10">
        <f>IF(Tank5!$C$23="No control",(SUMIF(Tank5!$B$32:$B$49,$J3100,Tank5!$C$32:$C$49)*Impacts!$F$12),0)</f>
        <v>0</v>
      </c>
      <c r="Q3100" s="10">
        <f>IFERROR(IF(('Loading-drum,tote'!$C$21)="No control",SUMIF(('Loading-drum,tote'!$B$31:$B$48),$J3100,('Loading-drum,tote'!$D$31:$D$48))*Impacts!$F$13,IF(('Loading-drum,tote'!$C$21)&lt;&gt;"No control",SUMIF(('Loading-drum,tote'!$B$31:$B$48),$J3100,('Loading-drum,tote'!$E$31:$E$48))*Impacts!$F$13,0)),0)</f>
        <v>0</v>
      </c>
      <c r="R3100" s="10">
        <f>IFERROR(IF(('Loading-truck'!$C$21)="No control",SUMIF(('Loading-truck'!$B$31:$B$48),$J3100,('Loading-truck'!$D$31:$D$48))*Impacts!$F$14,IF(('Loading-truck'!$C$21)&lt;&gt;"No control",SUMIF(('Loading-truck'!$B$31:$B$48),$J3100,('Loading-truck'!$E$31:$E$48))*Impacts!$F$14,0)),0)</f>
        <v>0</v>
      </c>
      <c r="S3100" s="10">
        <f>IFERROR(IF(('Loading-rail'!$C$21)="No control",SUMIF(('Loading-rail'!$B$31:$B$48),$J3100,('Loading-rail'!$D$31:$D$48))*Impacts!$F$15,IF(('Loading-rail'!$C$21)&lt;&gt;"No control",SUMIF(('Loading-rail'!$B$31:$B$48),$J3100,('Loading-rail'!$E$31:$E$48))*Impacts!$F$15,0)),0)</f>
        <v>0</v>
      </c>
      <c r="T3100" s="10">
        <f>IF(Flare!$C$7="",0,(SUMIF(Flare!$B$46:$B$185,$J3100,Flare!$E$46:$E$185)*Impacts!$F$16))</f>
        <v>0</v>
      </c>
      <c r="U3100" s="10">
        <f>IF(VCU!$C$9="",0,(SUMIF(VCU!$B$51:$B$193,$J3100,VCU!$E$51:$E$193)*Impacts!$F$17))</f>
        <v>0</v>
      </c>
      <c r="V3100" s="10">
        <f>IF(CAS!$C$7="",0,(SUMIF(CAS!$B$31:$B$167,$J3100,CAS!$E$31:$E$167)*Impacts!$F$18))</f>
        <v>0</v>
      </c>
      <c r="W3100" s="10">
        <f t="shared" si="89"/>
        <v>0</v>
      </c>
      <c r="AK3100" s="10" t="str">
        <f t="array" ref="AK3100">IFERROR(INDEX(SelectedSpecies,SMALL(IF(SelectedSpecies=AK$1,ROW(SelectedSpecies)),ROW(3101:3101)),2),"")</f>
        <v/>
      </c>
      <c r="BE3100" s="10"/>
      <c r="BI3100" s="10"/>
    </row>
    <row r="3101" spans="1:61" ht="21" customHeight="1" x14ac:dyDescent="0.25">
      <c r="A3101" s="10"/>
      <c r="B3101" s="10"/>
      <c r="E3101" s="10"/>
      <c r="G3101" s="10"/>
      <c r="I3101" s="436" t="s">
        <v>1150</v>
      </c>
      <c r="J3101" s="26" t="s">
        <v>1149</v>
      </c>
      <c r="K3101" s="10">
        <v>35</v>
      </c>
      <c r="L3101" s="73">
        <f>IF(Tank1!$C$23="No control",(SUMIF(Tank1!$B$32:$B$49,$J3101,Tank1!$C$32:$C$49)*Impacts!$F$8),0)</f>
        <v>0</v>
      </c>
      <c r="M3101" s="10">
        <f>IF(Tank2!$C$23="No control",(SUMIF(Tank2!$B$32:$B$49,$J3101,Tank2!$C$32:$C$49)*Impacts!$F$9),0)</f>
        <v>0</v>
      </c>
      <c r="N3101" s="10">
        <f>IF(Tank3!$C$23="No control",(SUMIF(Tank3!$B$32:$B$49,$J3101,Tank3!$C$32:$C$49)*Impacts!$F$10),0)</f>
        <v>0</v>
      </c>
      <c r="O3101" s="10">
        <f>IF(Tank4!$C$23="No control",(SUMIF(Tank4!$B$32:$B$49,$J3101,Tank4!$C$32:$C$49)*Impacts!$F$11),0)</f>
        <v>0</v>
      </c>
      <c r="P3101" s="10">
        <f>IF(Tank5!$C$23="No control",(SUMIF(Tank5!$B$32:$B$49,$J3101,Tank5!$C$32:$C$49)*Impacts!$F$12),0)</f>
        <v>0</v>
      </c>
      <c r="Q3101" s="10">
        <f>IFERROR(IF(('Loading-drum,tote'!$C$21)="No control",SUMIF(('Loading-drum,tote'!$B$31:$B$48),$J3101,('Loading-drum,tote'!$D$31:$D$48))*Impacts!$F$13,IF(('Loading-drum,tote'!$C$21)&lt;&gt;"No control",SUMIF(('Loading-drum,tote'!$B$31:$B$48),$J3101,('Loading-drum,tote'!$E$31:$E$48))*Impacts!$F$13,0)),0)</f>
        <v>0</v>
      </c>
      <c r="R3101" s="10">
        <f>IFERROR(IF(('Loading-truck'!$C$21)="No control",SUMIF(('Loading-truck'!$B$31:$B$48),$J3101,('Loading-truck'!$D$31:$D$48))*Impacts!$F$14,IF(('Loading-truck'!$C$21)&lt;&gt;"No control",SUMIF(('Loading-truck'!$B$31:$B$48),$J3101,('Loading-truck'!$E$31:$E$48))*Impacts!$F$14,0)),0)</f>
        <v>0</v>
      </c>
      <c r="S3101" s="10">
        <f>IFERROR(IF(('Loading-rail'!$C$21)="No control",SUMIF(('Loading-rail'!$B$31:$B$48),$J3101,('Loading-rail'!$D$31:$D$48))*Impacts!$F$15,IF(('Loading-rail'!$C$21)&lt;&gt;"No control",SUMIF(('Loading-rail'!$B$31:$B$48),$J3101,('Loading-rail'!$E$31:$E$48))*Impacts!$F$15,0)),0)</f>
        <v>0</v>
      </c>
      <c r="T3101" s="10">
        <f>IF(Flare!$C$7="",0,(SUMIF(Flare!$B$46:$B$185,$J3101,Flare!$E$46:$E$185)*Impacts!$F$16))</f>
        <v>0</v>
      </c>
      <c r="U3101" s="10">
        <f>IF(VCU!$C$9="",0,(SUMIF(VCU!$B$51:$B$193,$J3101,VCU!$E$51:$E$193)*Impacts!$F$17))</f>
        <v>0</v>
      </c>
      <c r="V3101" s="10">
        <f>IF(CAS!$C$7="",0,(SUMIF(CAS!$B$31:$B$167,$J3101,CAS!$E$31:$E$167)*Impacts!$F$18))</f>
        <v>0</v>
      </c>
      <c r="W3101" s="10">
        <f t="shared" si="89"/>
        <v>0</v>
      </c>
      <c r="AK3101" s="10" t="str">
        <f t="array" ref="AK3101">IFERROR(INDEX(SelectedSpecies,SMALL(IF(SelectedSpecies=AK$1,ROW(SelectedSpecies)),ROW(3102:3102)),2),"")</f>
        <v/>
      </c>
      <c r="BE3101" s="10"/>
      <c r="BI3101" s="10"/>
    </row>
    <row r="3102" spans="1:61" ht="21" customHeight="1" x14ac:dyDescent="0.25">
      <c r="A3102" s="10"/>
      <c r="B3102" s="10"/>
      <c r="E3102" s="10"/>
      <c r="G3102" s="10"/>
      <c r="I3102" s="436" t="s">
        <v>4593</v>
      </c>
      <c r="J3102" s="26" t="s">
        <v>4592</v>
      </c>
      <c r="K3102" s="10">
        <v>4</v>
      </c>
      <c r="L3102" s="73">
        <f>IF(Tank1!$C$23="No control",(SUMIF(Tank1!$B$32:$B$49,$J3102,Tank1!$C$32:$C$49)*Impacts!$F$8),0)</f>
        <v>0</v>
      </c>
      <c r="M3102" s="10">
        <f>IF(Tank2!$C$23="No control",(SUMIF(Tank2!$B$32:$B$49,$J3102,Tank2!$C$32:$C$49)*Impacts!$F$9),0)</f>
        <v>0</v>
      </c>
      <c r="N3102" s="10">
        <f>IF(Tank3!$C$23="No control",(SUMIF(Tank3!$B$32:$B$49,$J3102,Tank3!$C$32:$C$49)*Impacts!$F$10),0)</f>
        <v>0</v>
      </c>
      <c r="O3102" s="10">
        <f>IF(Tank4!$C$23="No control",(SUMIF(Tank4!$B$32:$B$49,$J3102,Tank4!$C$32:$C$49)*Impacts!$F$11),0)</f>
        <v>0</v>
      </c>
      <c r="P3102" s="10">
        <f>IF(Tank5!$C$23="No control",(SUMIF(Tank5!$B$32:$B$49,$J3102,Tank5!$C$32:$C$49)*Impacts!$F$12),0)</f>
        <v>0</v>
      </c>
      <c r="Q3102" s="10">
        <f>IFERROR(IF(('Loading-drum,tote'!$C$21)="No control",SUMIF(('Loading-drum,tote'!$B$31:$B$48),$J3102,('Loading-drum,tote'!$D$31:$D$48))*Impacts!$F$13,IF(('Loading-drum,tote'!$C$21)&lt;&gt;"No control",SUMIF(('Loading-drum,tote'!$B$31:$B$48),$J3102,('Loading-drum,tote'!$E$31:$E$48))*Impacts!$F$13,0)),0)</f>
        <v>0</v>
      </c>
      <c r="R3102" s="10">
        <f>IFERROR(IF(('Loading-truck'!$C$21)="No control",SUMIF(('Loading-truck'!$B$31:$B$48),$J3102,('Loading-truck'!$D$31:$D$48))*Impacts!$F$14,IF(('Loading-truck'!$C$21)&lt;&gt;"No control",SUMIF(('Loading-truck'!$B$31:$B$48),$J3102,('Loading-truck'!$E$31:$E$48))*Impacts!$F$14,0)),0)</f>
        <v>0</v>
      </c>
      <c r="S3102" s="10">
        <f>IFERROR(IF(('Loading-rail'!$C$21)="No control",SUMIF(('Loading-rail'!$B$31:$B$48),$J3102,('Loading-rail'!$D$31:$D$48))*Impacts!$F$15,IF(('Loading-rail'!$C$21)&lt;&gt;"No control",SUMIF(('Loading-rail'!$B$31:$B$48),$J3102,('Loading-rail'!$E$31:$E$48))*Impacts!$F$15,0)),0)</f>
        <v>0</v>
      </c>
      <c r="T3102" s="10">
        <f>IF(Flare!$C$7="",0,(SUMIF(Flare!$B$46:$B$185,$J3102,Flare!$E$46:$E$185)*Impacts!$F$16))</f>
        <v>0</v>
      </c>
      <c r="U3102" s="10">
        <f>IF(VCU!$C$9="",0,(SUMIF(VCU!$B$51:$B$193,$J3102,VCU!$E$51:$E$193)*Impacts!$F$17))</f>
        <v>0</v>
      </c>
      <c r="V3102" s="10">
        <f>IF(CAS!$C$7="",0,(SUMIF(CAS!$B$31:$B$167,$J3102,CAS!$E$31:$E$167)*Impacts!$F$18))</f>
        <v>0</v>
      </c>
      <c r="W3102" s="10">
        <f t="shared" si="89"/>
        <v>0</v>
      </c>
      <c r="AK3102" s="10" t="str">
        <f t="array" ref="AK3102">IFERROR(INDEX(SelectedSpecies,SMALL(IF(SelectedSpecies=AK$1,ROW(SelectedSpecies)),ROW(3103:3103)),2),"")</f>
        <v/>
      </c>
      <c r="BE3102" s="10"/>
      <c r="BI3102" s="10"/>
    </row>
    <row r="3103" spans="1:61" ht="21" customHeight="1" x14ac:dyDescent="0.25">
      <c r="A3103" s="10"/>
      <c r="B3103" s="10"/>
      <c r="E3103" s="10"/>
      <c r="G3103" s="10"/>
      <c r="I3103" s="436" t="s">
        <v>7526</v>
      </c>
      <c r="J3103" s="26" t="s">
        <v>7525</v>
      </c>
      <c r="K3103" s="10">
        <v>0.2</v>
      </c>
      <c r="L3103" s="73">
        <f>IF(Tank1!$C$23="No control",(SUMIF(Tank1!$B$32:$B$49,$J3103,Tank1!$C$32:$C$49)*Impacts!$F$8),0)</f>
        <v>0</v>
      </c>
      <c r="M3103" s="10">
        <f>IF(Tank2!$C$23="No control",(SUMIF(Tank2!$B$32:$B$49,$J3103,Tank2!$C$32:$C$49)*Impacts!$F$9),0)</f>
        <v>0</v>
      </c>
      <c r="N3103" s="10">
        <f>IF(Tank3!$C$23="No control",(SUMIF(Tank3!$B$32:$B$49,$J3103,Tank3!$C$32:$C$49)*Impacts!$F$10),0)</f>
        <v>0</v>
      </c>
      <c r="O3103" s="10">
        <f>IF(Tank4!$C$23="No control",(SUMIF(Tank4!$B$32:$B$49,$J3103,Tank4!$C$32:$C$49)*Impacts!$F$11),0)</f>
        <v>0</v>
      </c>
      <c r="P3103" s="10">
        <f>IF(Tank5!$C$23="No control",(SUMIF(Tank5!$B$32:$B$49,$J3103,Tank5!$C$32:$C$49)*Impacts!$F$12),0)</f>
        <v>0</v>
      </c>
      <c r="Q3103" s="10">
        <f>IFERROR(IF(('Loading-drum,tote'!$C$21)="No control",SUMIF(('Loading-drum,tote'!$B$31:$B$48),$J3103,('Loading-drum,tote'!$D$31:$D$48))*Impacts!$F$13,IF(('Loading-drum,tote'!$C$21)&lt;&gt;"No control",SUMIF(('Loading-drum,tote'!$B$31:$B$48),$J3103,('Loading-drum,tote'!$E$31:$E$48))*Impacts!$F$13,0)),0)</f>
        <v>0</v>
      </c>
      <c r="R3103" s="10">
        <f>IFERROR(IF(('Loading-truck'!$C$21)="No control",SUMIF(('Loading-truck'!$B$31:$B$48),$J3103,('Loading-truck'!$D$31:$D$48))*Impacts!$F$14,IF(('Loading-truck'!$C$21)&lt;&gt;"No control",SUMIF(('Loading-truck'!$B$31:$B$48),$J3103,('Loading-truck'!$E$31:$E$48))*Impacts!$F$14,0)),0)</f>
        <v>0</v>
      </c>
      <c r="S3103" s="10">
        <f>IFERROR(IF(('Loading-rail'!$C$21)="No control",SUMIF(('Loading-rail'!$B$31:$B$48),$J3103,('Loading-rail'!$D$31:$D$48))*Impacts!$F$15,IF(('Loading-rail'!$C$21)&lt;&gt;"No control",SUMIF(('Loading-rail'!$B$31:$B$48),$J3103,('Loading-rail'!$E$31:$E$48))*Impacts!$F$15,0)),0)</f>
        <v>0</v>
      </c>
      <c r="T3103" s="10">
        <f>IF(Flare!$C$7="",0,(SUMIF(Flare!$B$46:$B$185,$J3103,Flare!$E$46:$E$185)*Impacts!$F$16))</f>
        <v>0</v>
      </c>
      <c r="U3103" s="10">
        <f>IF(VCU!$C$9="",0,(SUMIF(VCU!$B$51:$B$193,$J3103,VCU!$E$51:$E$193)*Impacts!$F$17))</f>
        <v>0</v>
      </c>
      <c r="V3103" s="10">
        <f>IF(CAS!$C$7="",0,(SUMIF(CAS!$B$31:$B$167,$J3103,CAS!$E$31:$E$167)*Impacts!$F$18))</f>
        <v>0</v>
      </c>
      <c r="W3103" s="10">
        <f t="shared" si="89"/>
        <v>0</v>
      </c>
      <c r="AK3103" s="10" t="str">
        <f t="array" ref="AK3103">IFERROR(INDEX(SelectedSpecies,SMALL(IF(SelectedSpecies=AK$1,ROW(SelectedSpecies)),ROW(3104:3104)),2),"")</f>
        <v/>
      </c>
      <c r="BE3103" s="10"/>
      <c r="BI3103" s="10"/>
    </row>
    <row r="3104" spans="1:61" ht="21" customHeight="1" x14ac:dyDescent="0.25">
      <c r="A3104" s="10"/>
      <c r="B3104" s="10"/>
      <c r="E3104" s="10"/>
      <c r="G3104" s="10"/>
      <c r="I3104" s="436" t="s">
        <v>3229</v>
      </c>
      <c r="J3104" s="26" t="s">
        <v>3228</v>
      </c>
      <c r="K3104" s="10">
        <v>10</v>
      </c>
      <c r="L3104" s="73">
        <f>IF(Tank1!$C$23="No control",(SUMIF(Tank1!$B$32:$B$49,$J3104,Tank1!$C$32:$C$49)*Impacts!$F$8),0)</f>
        <v>0</v>
      </c>
      <c r="M3104" s="10">
        <f>IF(Tank2!$C$23="No control",(SUMIF(Tank2!$B$32:$B$49,$J3104,Tank2!$C$32:$C$49)*Impacts!$F$9),0)</f>
        <v>0</v>
      </c>
      <c r="N3104" s="10">
        <f>IF(Tank3!$C$23="No control",(SUMIF(Tank3!$B$32:$B$49,$J3104,Tank3!$C$32:$C$49)*Impacts!$F$10),0)</f>
        <v>0</v>
      </c>
      <c r="O3104" s="10">
        <f>IF(Tank4!$C$23="No control",(SUMIF(Tank4!$B$32:$B$49,$J3104,Tank4!$C$32:$C$49)*Impacts!$F$11),0)</f>
        <v>0</v>
      </c>
      <c r="P3104" s="10">
        <f>IF(Tank5!$C$23="No control",(SUMIF(Tank5!$B$32:$B$49,$J3104,Tank5!$C$32:$C$49)*Impacts!$F$12),0)</f>
        <v>0</v>
      </c>
      <c r="Q3104" s="10">
        <f>IFERROR(IF(('Loading-drum,tote'!$C$21)="No control",SUMIF(('Loading-drum,tote'!$B$31:$B$48),$J3104,('Loading-drum,tote'!$D$31:$D$48))*Impacts!$F$13,IF(('Loading-drum,tote'!$C$21)&lt;&gt;"No control",SUMIF(('Loading-drum,tote'!$B$31:$B$48),$J3104,('Loading-drum,tote'!$E$31:$E$48))*Impacts!$F$13,0)),0)</f>
        <v>0</v>
      </c>
      <c r="R3104" s="10">
        <f>IFERROR(IF(('Loading-truck'!$C$21)="No control",SUMIF(('Loading-truck'!$B$31:$B$48),$J3104,('Loading-truck'!$D$31:$D$48))*Impacts!$F$14,IF(('Loading-truck'!$C$21)&lt;&gt;"No control",SUMIF(('Loading-truck'!$B$31:$B$48),$J3104,('Loading-truck'!$E$31:$E$48))*Impacts!$F$14,0)),0)</f>
        <v>0</v>
      </c>
      <c r="S3104" s="10">
        <f>IFERROR(IF(('Loading-rail'!$C$21)="No control",SUMIF(('Loading-rail'!$B$31:$B$48),$J3104,('Loading-rail'!$D$31:$D$48))*Impacts!$F$15,IF(('Loading-rail'!$C$21)&lt;&gt;"No control",SUMIF(('Loading-rail'!$B$31:$B$48),$J3104,('Loading-rail'!$E$31:$E$48))*Impacts!$F$15,0)),0)</f>
        <v>0</v>
      </c>
      <c r="T3104" s="10">
        <f>IF(Flare!$C$7="",0,(SUMIF(Flare!$B$46:$B$185,$J3104,Flare!$E$46:$E$185)*Impacts!$F$16))</f>
        <v>0</v>
      </c>
      <c r="U3104" s="10">
        <f>IF(VCU!$C$9="",0,(SUMIF(VCU!$B$51:$B$193,$J3104,VCU!$E$51:$E$193)*Impacts!$F$17))</f>
        <v>0</v>
      </c>
      <c r="V3104" s="10">
        <f>IF(CAS!$C$7="",0,(SUMIF(CAS!$B$31:$B$167,$J3104,CAS!$E$31:$E$167)*Impacts!$F$18))</f>
        <v>0</v>
      </c>
      <c r="W3104" s="10">
        <f t="shared" si="89"/>
        <v>0</v>
      </c>
      <c r="AK3104" s="10" t="str">
        <f t="array" ref="AK3104">IFERROR(INDEX(SelectedSpecies,SMALL(IF(SelectedSpecies=AK$1,ROW(SelectedSpecies)),ROW(3105:3105)),2),"")</f>
        <v/>
      </c>
      <c r="BE3104" s="10"/>
      <c r="BI3104" s="10"/>
    </row>
    <row r="3105" spans="1:61" ht="21" customHeight="1" x14ac:dyDescent="0.25">
      <c r="A3105" s="10"/>
      <c r="B3105" s="10"/>
      <c r="E3105" s="10"/>
      <c r="G3105" s="10"/>
      <c r="I3105" s="436" t="s">
        <v>3231</v>
      </c>
      <c r="J3105" s="26" t="s">
        <v>3230</v>
      </c>
      <c r="K3105" s="10">
        <v>10</v>
      </c>
      <c r="L3105" s="73">
        <f>IF(Tank1!$C$23="No control",(SUMIF(Tank1!$B$32:$B$49,$J3105,Tank1!$C$32:$C$49)*Impacts!$F$8),0)</f>
        <v>0</v>
      </c>
      <c r="M3105" s="10">
        <f>IF(Tank2!$C$23="No control",(SUMIF(Tank2!$B$32:$B$49,$J3105,Tank2!$C$32:$C$49)*Impacts!$F$9),0)</f>
        <v>0</v>
      </c>
      <c r="N3105" s="10">
        <f>IF(Tank3!$C$23="No control",(SUMIF(Tank3!$B$32:$B$49,$J3105,Tank3!$C$32:$C$49)*Impacts!$F$10),0)</f>
        <v>0</v>
      </c>
      <c r="O3105" s="10">
        <f>IF(Tank4!$C$23="No control",(SUMIF(Tank4!$B$32:$B$49,$J3105,Tank4!$C$32:$C$49)*Impacts!$F$11),0)</f>
        <v>0</v>
      </c>
      <c r="P3105" s="10">
        <f>IF(Tank5!$C$23="No control",(SUMIF(Tank5!$B$32:$B$49,$J3105,Tank5!$C$32:$C$49)*Impacts!$F$12),0)</f>
        <v>0</v>
      </c>
      <c r="Q3105" s="10">
        <f>IFERROR(IF(('Loading-drum,tote'!$C$21)="No control",SUMIF(('Loading-drum,tote'!$B$31:$B$48),$J3105,('Loading-drum,tote'!$D$31:$D$48))*Impacts!$F$13,IF(('Loading-drum,tote'!$C$21)&lt;&gt;"No control",SUMIF(('Loading-drum,tote'!$B$31:$B$48),$J3105,('Loading-drum,tote'!$E$31:$E$48))*Impacts!$F$13,0)),0)</f>
        <v>0</v>
      </c>
      <c r="R3105" s="10">
        <f>IFERROR(IF(('Loading-truck'!$C$21)="No control",SUMIF(('Loading-truck'!$B$31:$B$48),$J3105,('Loading-truck'!$D$31:$D$48))*Impacts!$F$14,IF(('Loading-truck'!$C$21)&lt;&gt;"No control",SUMIF(('Loading-truck'!$B$31:$B$48),$J3105,('Loading-truck'!$E$31:$E$48))*Impacts!$F$14,0)),0)</f>
        <v>0</v>
      </c>
      <c r="S3105" s="10">
        <f>IFERROR(IF(('Loading-rail'!$C$21)="No control",SUMIF(('Loading-rail'!$B$31:$B$48),$J3105,('Loading-rail'!$D$31:$D$48))*Impacts!$F$15,IF(('Loading-rail'!$C$21)&lt;&gt;"No control",SUMIF(('Loading-rail'!$B$31:$B$48),$J3105,('Loading-rail'!$E$31:$E$48))*Impacts!$F$15,0)),0)</f>
        <v>0</v>
      </c>
      <c r="T3105" s="10">
        <f>IF(Flare!$C$7="",0,(SUMIF(Flare!$B$46:$B$185,$J3105,Flare!$E$46:$E$185)*Impacts!$F$16))</f>
        <v>0</v>
      </c>
      <c r="U3105" s="10">
        <f>IF(VCU!$C$9="",0,(SUMIF(VCU!$B$51:$B$193,$J3105,VCU!$E$51:$E$193)*Impacts!$F$17))</f>
        <v>0</v>
      </c>
      <c r="V3105" s="10">
        <f>IF(CAS!$C$7="",0,(SUMIF(CAS!$B$31:$B$167,$J3105,CAS!$E$31:$E$167)*Impacts!$F$18))</f>
        <v>0</v>
      </c>
      <c r="W3105" s="10">
        <f t="shared" si="89"/>
        <v>0</v>
      </c>
      <c r="AK3105" s="10" t="str">
        <f t="array" ref="AK3105">IFERROR(INDEX(SelectedSpecies,SMALL(IF(SelectedSpecies=AK$1,ROW(SelectedSpecies)),ROW(3106:3106)),2),"")</f>
        <v/>
      </c>
      <c r="BE3105" s="10"/>
      <c r="BI3105" s="10"/>
    </row>
    <row r="3106" spans="1:61" ht="21" customHeight="1" x14ac:dyDescent="0.25">
      <c r="A3106" s="10"/>
      <c r="B3106" s="10"/>
      <c r="E3106" s="10"/>
      <c r="G3106" s="10"/>
      <c r="I3106" s="436" t="s">
        <v>3233</v>
      </c>
      <c r="J3106" s="26" t="s">
        <v>3232</v>
      </c>
      <c r="K3106" s="10">
        <v>10</v>
      </c>
      <c r="L3106" s="73">
        <f>IF(Tank1!$C$23="No control",(SUMIF(Tank1!$B$32:$B$49,$J3106,Tank1!$C$32:$C$49)*Impacts!$F$8),0)</f>
        <v>0</v>
      </c>
      <c r="M3106" s="10">
        <f>IF(Tank2!$C$23="No control",(SUMIF(Tank2!$B$32:$B$49,$J3106,Tank2!$C$32:$C$49)*Impacts!$F$9),0)</f>
        <v>0</v>
      </c>
      <c r="N3106" s="10">
        <f>IF(Tank3!$C$23="No control",(SUMIF(Tank3!$B$32:$B$49,$J3106,Tank3!$C$32:$C$49)*Impacts!$F$10),0)</f>
        <v>0</v>
      </c>
      <c r="O3106" s="10">
        <f>IF(Tank4!$C$23="No control",(SUMIF(Tank4!$B$32:$B$49,$J3106,Tank4!$C$32:$C$49)*Impacts!$F$11),0)</f>
        <v>0</v>
      </c>
      <c r="P3106" s="10">
        <f>IF(Tank5!$C$23="No control",(SUMIF(Tank5!$B$32:$B$49,$J3106,Tank5!$C$32:$C$49)*Impacts!$F$12),0)</f>
        <v>0</v>
      </c>
      <c r="Q3106" s="10">
        <f>IFERROR(IF(('Loading-drum,tote'!$C$21)="No control",SUMIF(('Loading-drum,tote'!$B$31:$B$48),$J3106,('Loading-drum,tote'!$D$31:$D$48))*Impacts!$F$13,IF(('Loading-drum,tote'!$C$21)&lt;&gt;"No control",SUMIF(('Loading-drum,tote'!$B$31:$B$48),$J3106,('Loading-drum,tote'!$E$31:$E$48))*Impacts!$F$13,0)),0)</f>
        <v>0</v>
      </c>
      <c r="R3106" s="10">
        <f>IFERROR(IF(('Loading-truck'!$C$21)="No control",SUMIF(('Loading-truck'!$B$31:$B$48),$J3106,('Loading-truck'!$D$31:$D$48))*Impacts!$F$14,IF(('Loading-truck'!$C$21)&lt;&gt;"No control",SUMIF(('Loading-truck'!$B$31:$B$48),$J3106,('Loading-truck'!$E$31:$E$48))*Impacts!$F$14,0)),0)</f>
        <v>0</v>
      </c>
      <c r="S3106" s="10">
        <f>IFERROR(IF(('Loading-rail'!$C$21)="No control",SUMIF(('Loading-rail'!$B$31:$B$48),$J3106,('Loading-rail'!$D$31:$D$48))*Impacts!$F$15,IF(('Loading-rail'!$C$21)&lt;&gt;"No control",SUMIF(('Loading-rail'!$B$31:$B$48),$J3106,('Loading-rail'!$E$31:$E$48))*Impacts!$F$15,0)),0)</f>
        <v>0</v>
      </c>
      <c r="T3106" s="10">
        <f>IF(Flare!$C$7="",0,(SUMIF(Flare!$B$46:$B$185,$J3106,Flare!$E$46:$E$185)*Impacts!$F$16))</f>
        <v>0</v>
      </c>
      <c r="U3106" s="10">
        <f>IF(VCU!$C$9="",0,(SUMIF(VCU!$B$51:$B$193,$J3106,VCU!$E$51:$E$193)*Impacts!$F$17))</f>
        <v>0</v>
      </c>
      <c r="V3106" s="10">
        <f>IF(CAS!$C$7="",0,(SUMIF(CAS!$B$31:$B$167,$J3106,CAS!$E$31:$E$167)*Impacts!$F$18))</f>
        <v>0</v>
      </c>
      <c r="W3106" s="10">
        <f t="shared" si="89"/>
        <v>0</v>
      </c>
      <c r="AK3106" s="10" t="str">
        <f t="array" ref="AK3106">IFERROR(INDEX(SelectedSpecies,SMALL(IF(SelectedSpecies=AK$1,ROW(SelectedSpecies)),ROW(3107:3107)),2),"")</f>
        <v/>
      </c>
      <c r="BE3106" s="10"/>
      <c r="BI3106" s="10"/>
    </row>
    <row r="3107" spans="1:61" ht="21" customHeight="1" x14ac:dyDescent="0.25">
      <c r="A3107" s="10"/>
      <c r="B3107" s="10"/>
      <c r="E3107" s="10"/>
      <c r="G3107" s="10"/>
      <c r="I3107" s="436" t="s">
        <v>2279</v>
      </c>
      <c r="J3107" s="26" t="s">
        <v>2278</v>
      </c>
      <c r="K3107" s="10">
        <v>12.5</v>
      </c>
      <c r="L3107" s="73">
        <f>IF(Tank1!$C$23="No control",(SUMIF(Tank1!$B$32:$B$49,$J3107,Tank1!$C$32:$C$49)*Impacts!$F$8),0)</f>
        <v>0</v>
      </c>
      <c r="M3107" s="10">
        <f>IF(Tank2!$C$23="No control",(SUMIF(Tank2!$B$32:$B$49,$J3107,Tank2!$C$32:$C$49)*Impacts!$F$9),0)</f>
        <v>0</v>
      </c>
      <c r="N3107" s="10">
        <f>IF(Tank3!$C$23="No control",(SUMIF(Tank3!$B$32:$B$49,$J3107,Tank3!$C$32:$C$49)*Impacts!$F$10),0)</f>
        <v>0</v>
      </c>
      <c r="O3107" s="10">
        <f>IF(Tank4!$C$23="No control",(SUMIF(Tank4!$B$32:$B$49,$J3107,Tank4!$C$32:$C$49)*Impacts!$F$11),0)</f>
        <v>0</v>
      </c>
      <c r="P3107" s="10">
        <f>IF(Tank5!$C$23="No control",(SUMIF(Tank5!$B$32:$B$49,$J3107,Tank5!$C$32:$C$49)*Impacts!$F$12),0)</f>
        <v>0</v>
      </c>
      <c r="Q3107" s="10">
        <f>IFERROR(IF(('Loading-drum,tote'!$C$21)="No control",SUMIF(('Loading-drum,tote'!$B$31:$B$48),$J3107,('Loading-drum,tote'!$D$31:$D$48))*Impacts!$F$13,IF(('Loading-drum,tote'!$C$21)&lt;&gt;"No control",SUMIF(('Loading-drum,tote'!$B$31:$B$48),$J3107,('Loading-drum,tote'!$E$31:$E$48))*Impacts!$F$13,0)),0)</f>
        <v>0</v>
      </c>
      <c r="R3107" s="10">
        <f>IFERROR(IF(('Loading-truck'!$C$21)="No control",SUMIF(('Loading-truck'!$B$31:$B$48),$J3107,('Loading-truck'!$D$31:$D$48))*Impacts!$F$14,IF(('Loading-truck'!$C$21)&lt;&gt;"No control",SUMIF(('Loading-truck'!$B$31:$B$48),$J3107,('Loading-truck'!$E$31:$E$48))*Impacts!$F$14,0)),0)</f>
        <v>0</v>
      </c>
      <c r="S3107" s="10">
        <f>IFERROR(IF(('Loading-rail'!$C$21)="No control",SUMIF(('Loading-rail'!$B$31:$B$48),$J3107,('Loading-rail'!$D$31:$D$48))*Impacts!$F$15,IF(('Loading-rail'!$C$21)&lt;&gt;"No control",SUMIF(('Loading-rail'!$B$31:$B$48),$J3107,('Loading-rail'!$E$31:$E$48))*Impacts!$F$15,0)),0)</f>
        <v>0</v>
      </c>
      <c r="T3107" s="10">
        <f>IF(Flare!$C$7="",0,(SUMIF(Flare!$B$46:$B$185,$J3107,Flare!$E$46:$E$185)*Impacts!$F$16))</f>
        <v>0</v>
      </c>
      <c r="U3107" s="10">
        <f>IF(VCU!$C$9="",0,(SUMIF(VCU!$B$51:$B$193,$J3107,VCU!$E$51:$E$193)*Impacts!$F$17))</f>
        <v>0</v>
      </c>
      <c r="V3107" s="10">
        <f>IF(CAS!$C$7="",0,(SUMIF(CAS!$B$31:$B$167,$J3107,CAS!$E$31:$E$167)*Impacts!$F$18))</f>
        <v>0</v>
      </c>
      <c r="W3107" s="10">
        <f t="shared" si="89"/>
        <v>0</v>
      </c>
      <c r="AK3107" s="10" t="str">
        <f t="array" ref="AK3107">IFERROR(INDEX(SelectedSpecies,SMALL(IF(SelectedSpecies=AK$1,ROW(SelectedSpecies)),ROW(3108:3108)),2),"")</f>
        <v/>
      </c>
      <c r="BE3107" s="10"/>
      <c r="BI3107" s="10"/>
    </row>
    <row r="3108" spans="1:61" ht="21" customHeight="1" x14ac:dyDescent="0.25">
      <c r="A3108" s="10"/>
      <c r="B3108" s="10"/>
      <c r="E3108" s="10"/>
      <c r="G3108" s="10"/>
      <c r="I3108" s="436" t="s">
        <v>4001</v>
      </c>
      <c r="J3108" s="26" t="s">
        <v>4000</v>
      </c>
      <c r="K3108" s="10">
        <v>6</v>
      </c>
      <c r="L3108" s="73">
        <f>IF(Tank1!$C$23="No control",(SUMIF(Tank1!$B$32:$B$49,$J3108,Tank1!$C$32:$C$49)*Impacts!$F$8),0)</f>
        <v>0</v>
      </c>
      <c r="M3108" s="10">
        <f>IF(Tank2!$C$23="No control",(SUMIF(Tank2!$B$32:$B$49,$J3108,Tank2!$C$32:$C$49)*Impacts!$F$9),0)</f>
        <v>0</v>
      </c>
      <c r="N3108" s="10">
        <f>IF(Tank3!$C$23="No control",(SUMIF(Tank3!$B$32:$B$49,$J3108,Tank3!$C$32:$C$49)*Impacts!$F$10),0)</f>
        <v>0</v>
      </c>
      <c r="O3108" s="10">
        <f>IF(Tank4!$C$23="No control",(SUMIF(Tank4!$B$32:$B$49,$J3108,Tank4!$C$32:$C$49)*Impacts!$F$11),0)</f>
        <v>0</v>
      </c>
      <c r="P3108" s="10">
        <f>IF(Tank5!$C$23="No control",(SUMIF(Tank5!$B$32:$B$49,$J3108,Tank5!$C$32:$C$49)*Impacts!$F$12),0)</f>
        <v>0</v>
      </c>
      <c r="Q3108" s="10">
        <f>IFERROR(IF(('Loading-drum,tote'!$C$21)="No control",SUMIF(('Loading-drum,tote'!$B$31:$B$48),$J3108,('Loading-drum,tote'!$D$31:$D$48))*Impacts!$F$13,IF(('Loading-drum,tote'!$C$21)&lt;&gt;"No control",SUMIF(('Loading-drum,tote'!$B$31:$B$48),$J3108,('Loading-drum,tote'!$E$31:$E$48))*Impacts!$F$13,0)),0)</f>
        <v>0</v>
      </c>
      <c r="R3108" s="10">
        <f>IFERROR(IF(('Loading-truck'!$C$21)="No control",SUMIF(('Loading-truck'!$B$31:$B$48),$J3108,('Loading-truck'!$D$31:$D$48))*Impacts!$F$14,IF(('Loading-truck'!$C$21)&lt;&gt;"No control",SUMIF(('Loading-truck'!$B$31:$B$48),$J3108,('Loading-truck'!$E$31:$E$48))*Impacts!$F$14,0)),0)</f>
        <v>0</v>
      </c>
      <c r="S3108" s="10">
        <f>IFERROR(IF(('Loading-rail'!$C$21)="No control",SUMIF(('Loading-rail'!$B$31:$B$48),$J3108,('Loading-rail'!$D$31:$D$48))*Impacts!$F$15,IF(('Loading-rail'!$C$21)&lt;&gt;"No control",SUMIF(('Loading-rail'!$B$31:$B$48),$J3108,('Loading-rail'!$E$31:$E$48))*Impacts!$F$15,0)),0)</f>
        <v>0</v>
      </c>
      <c r="T3108" s="10">
        <f>IF(Flare!$C$7="",0,(SUMIF(Flare!$B$46:$B$185,$J3108,Flare!$E$46:$E$185)*Impacts!$F$16))</f>
        <v>0</v>
      </c>
      <c r="U3108" s="10">
        <f>IF(VCU!$C$9="",0,(SUMIF(VCU!$B$51:$B$193,$J3108,VCU!$E$51:$E$193)*Impacts!$F$17))</f>
        <v>0</v>
      </c>
      <c r="V3108" s="10">
        <f>IF(CAS!$C$7="",0,(SUMIF(CAS!$B$31:$B$167,$J3108,CAS!$E$31:$E$167)*Impacts!$F$18))</f>
        <v>0</v>
      </c>
      <c r="W3108" s="10">
        <f t="shared" si="89"/>
        <v>0</v>
      </c>
      <c r="AK3108" s="10" t="str">
        <f t="array" ref="AK3108">IFERROR(INDEX(SelectedSpecies,SMALL(IF(SelectedSpecies=AK$1,ROW(SelectedSpecies)),ROW(3109:3109)),2),"")</f>
        <v/>
      </c>
      <c r="BE3108" s="10"/>
      <c r="BI3108" s="10"/>
    </row>
    <row r="3109" spans="1:61" ht="21" customHeight="1" x14ac:dyDescent="0.25">
      <c r="A3109" s="10"/>
      <c r="B3109" s="10"/>
      <c r="E3109" s="10"/>
      <c r="G3109" s="10"/>
      <c r="I3109" s="436" t="s">
        <v>4003</v>
      </c>
      <c r="J3109" s="26" t="s">
        <v>4002</v>
      </c>
      <c r="K3109" s="10">
        <v>6</v>
      </c>
      <c r="L3109" s="73">
        <f>IF(Tank1!$C$23="No control",(SUMIF(Tank1!$B$32:$B$49,$J3109,Tank1!$C$32:$C$49)*Impacts!$F$8),0)</f>
        <v>0</v>
      </c>
      <c r="M3109" s="10">
        <f>IF(Tank2!$C$23="No control",(SUMIF(Tank2!$B$32:$B$49,$J3109,Tank2!$C$32:$C$49)*Impacts!$F$9),0)</f>
        <v>0</v>
      </c>
      <c r="N3109" s="10">
        <f>IF(Tank3!$C$23="No control",(SUMIF(Tank3!$B$32:$B$49,$J3109,Tank3!$C$32:$C$49)*Impacts!$F$10),0)</f>
        <v>0</v>
      </c>
      <c r="O3109" s="10">
        <f>IF(Tank4!$C$23="No control",(SUMIF(Tank4!$B$32:$B$49,$J3109,Tank4!$C$32:$C$49)*Impacts!$F$11),0)</f>
        <v>0</v>
      </c>
      <c r="P3109" s="10">
        <f>IF(Tank5!$C$23="No control",(SUMIF(Tank5!$B$32:$B$49,$J3109,Tank5!$C$32:$C$49)*Impacts!$F$12),0)</f>
        <v>0</v>
      </c>
      <c r="Q3109" s="10">
        <f>IFERROR(IF(('Loading-drum,tote'!$C$21)="No control",SUMIF(('Loading-drum,tote'!$B$31:$B$48),$J3109,('Loading-drum,tote'!$D$31:$D$48))*Impacts!$F$13,IF(('Loading-drum,tote'!$C$21)&lt;&gt;"No control",SUMIF(('Loading-drum,tote'!$B$31:$B$48),$J3109,('Loading-drum,tote'!$E$31:$E$48))*Impacts!$F$13,0)),0)</f>
        <v>0</v>
      </c>
      <c r="R3109" s="10">
        <f>IFERROR(IF(('Loading-truck'!$C$21)="No control",SUMIF(('Loading-truck'!$B$31:$B$48),$J3109,('Loading-truck'!$D$31:$D$48))*Impacts!$F$14,IF(('Loading-truck'!$C$21)&lt;&gt;"No control",SUMIF(('Loading-truck'!$B$31:$B$48),$J3109,('Loading-truck'!$E$31:$E$48))*Impacts!$F$14,0)),0)</f>
        <v>0</v>
      </c>
      <c r="S3109" s="10">
        <f>IFERROR(IF(('Loading-rail'!$C$21)="No control",SUMIF(('Loading-rail'!$B$31:$B$48),$J3109,('Loading-rail'!$D$31:$D$48))*Impacts!$F$15,IF(('Loading-rail'!$C$21)&lt;&gt;"No control",SUMIF(('Loading-rail'!$B$31:$B$48),$J3109,('Loading-rail'!$E$31:$E$48))*Impacts!$F$15,0)),0)</f>
        <v>0</v>
      </c>
      <c r="T3109" s="10">
        <f>IF(Flare!$C$7="",0,(SUMIF(Flare!$B$46:$B$185,$J3109,Flare!$E$46:$E$185)*Impacts!$F$16))</f>
        <v>0</v>
      </c>
      <c r="U3109" s="10">
        <f>IF(VCU!$C$9="",0,(SUMIF(VCU!$B$51:$B$193,$J3109,VCU!$E$51:$E$193)*Impacts!$F$17))</f>
        <v>0</v>
      </c>
      <c r="V3109" s="10">
        <f>IF(CAS!$C$7="",0,(SUMIF(CAS!$B$31:$B$167,$J3109,CAS!$E$31:$E$167)*Impacts!$F$18))</f>
        <v>0</v>
      </c>
      <c r="W3109" s="10">
        <f t="shared" si="89"/>
        <v>0</v>
      </c>
      <c r="AK3109" s="10" t="str">
        <f t="array" ref="AK3109">IFERROR(INDEX(SelectedSpecies,SMALL(IF(SelectedSpecies=AK$1,ROW(SelectedSpecies)),ROW(3110:3110)),2),"")</f>
        <v/>
      </c>
      <c r="BE3109" s="10"/>
      <c r="BI3109" s="10"/>
    </row>
    <row r="3110" spans="1:61" ht="21" customHeight="1" x14ac:dyDescent="0.25">
      <c r="A3110" s="10"/>
      <c r="B3110" s="10"/>
      <c r="E3110" s="10"/>
      <c r="G3110" s="10"/>
      <c r="I3110" s="436" t="s">
        <v>3519</v>
      </c>
      <c r="J3110" s="26" t="s">
        <v>3518</v>
      </c>
      <c r="K3110" s="10">
        <v>9</v>
      </c>
      <c r="L3110" s="73">
        <f>IF(Tank1!$C$23="No control",(SUMIF(Tank1!$B$32:$B$49,$J3110,Tank1!$C$32:$C$49)*Impacts!$F$8),0)</f>
        <v>0</v>
      </c>
      <c r="M3110" s="10">
        <f>IF(Tank2!$C$23="No control",(SUMIF(Tank2!$B$32:$B$49,$J3110,Tank2!$C$32:$C$49)*Impacts!$F$9),0)</f>
        <v>0</v>
      </c>
      <c r="N3110" s="10">
        <f>IF(Tank3!$C$23="No control",(SUMIF(Tank3!$B$32:$B$49,$J3110,Tank3!$C$32:$C$49)*Impacts!$F$10),0)</f>
        <v>0</v>
      </c>
      <c r="O3110" s="10">
        <f>IF(Tank4!$C$23="No control",(SUMIF(Tank4!$B$32:$B$49,$J3110,Tank4!$C$32:$C$49)*Impacts!$F$11),0)</f>
        <v>0</v>
      </c>
      <c r="P3110" s="10">
        <f>IF(Tank5!$C$23="No control",(SUMIF(Tank5!$B$32:$B$49,$J3110,Tank5!$C$32:$C$49)*Impacts!$F$12),0)</f>
        <v>0</v>
      </c>
      <c r="Q3110" s="10">
        <f>IFERROR(IF(('Loading-drum,tote'!$C$21)="No control",SUMIF(('Loading-drum,tote'!$B$31:$B$48),$J3110,('Loading-drum,tote'!$D$31:$D$48))*Impacts!$F$13,IF(('Loading-drum,tote'!$C$21)&lt;&gt;"No control",SUMIF(('Loading-drum,tote'!$B$31:$B$48),$J3110,('Loading-drum,tote'!$E$31:$E$48))*Impacts!$F$13,0)),0)</f>
        <v>0</v>
      </c>
      <c r="R3110" s="10">
        <f>IFERROR(IF(('Loading-truck'!$C$21)="No control",SUMIF(('Loading-truck'!$B$31:$B$48),$J3110,('Loading-truck'!$D$31:$D$48))*Impacts!$F$14,IF(('Loading-truck'!$C$21)&lt;&gt;"No control",SUMIF(('Loading-truck'!$B$31:$B$48),$J3110,('Loading-truck'!$E$31:$E$48))*Impacts!$F$14,0)),0)</f>
        <v>0</v>
      </c>
      <c r="S3110" s="10">
        <f>IFERROR(IF(('Loading-rail'!$C$21)="No control",SUMIF(('Loading-rail'!$B$31:$B$48),$J3110,('Loading-rail'!$D$31:$D$48))*Impacts!$F$15,IF(('Loading-rail'!$C$21)&lt;&gt;"No control",SUMIF(('Loading-rail'!$B$31:$B$48),$J3110,('Loading-rail'!$E$31:$E$48))*Impacts!$F$15,0)),0)</f>
        <v>0</v>
      </c>
      <c r="T3110" s="10">
        <f>IF(Flare!$C$7="",0,(SUMIF(Flare!$B$46:$B$185,$J3110,Flare!$E$46:$E$185)*Impacts!$F$16))</f>
        <v>0</v>
      </c>
      <c r="U3110" s="10">
        <f>IF(VCU!$C$9="",0,(SUMIF(VCU!$B$51:$B$193,$J3110,VCU!$E$51:$E$193)*Impacts!$F$17))</f>
        <v>0</v>
      </c>
      <c r="V3110" s="10">
        <f>IF(CAS!$C$7="",0,(SUMIF(CAS!$B$31:$B$167,$J3110,CAS!$E$31:$E$167)*Impacts!$F$18))</f>
        <v>0</v>
      </c>
      <c r="W3110" s="10">
        <f t="shared" si="89"/>
        <v>0</v>
      </c>
      <c r="AK3110" s="10" t="str">
        <f t="array" ref="AK3110">IFERROR(INDEX(SelectedSpecies,SMALL(IF(SelectedSpecies=AK$1,ROW(SelectedSpecies)),ROW(3111:3111)),2),"")</f>
        <v/>
      </c>
      <c r="BE3110" s="10"/>
      <c r="BI3110" s="10"/>
    </row>
    <row r="3111" spans="1:61" ht="21" customHeight="1" x14ac:dyDescent="0.25">
      <c r="A3111" s="10"/>
      <c r="B3111" s="10"/>
      <c r="E3111" s="10"/>
      <c r="G3111" s="10"/>
      <c r="I3111" s="436" t="s">
        <v>4005</v>
      </c>
      <c r="J3111" s="26" t="s">
        <v>4004</v>
      </c>
      <c r="K3111" s="10">
        <v>6</v>
      </c>
      <c r="L3111" s="73">
        <f>IF(Tank1!$C$23="No control",(SUMIF(Tank1!$B$32:$B$49,$J3111,Tank1!$C$32:$C$49)*Impacts!$F$8),0)</f>
        <v>0</v>
      </c>
      <c r="M3111" s="10">
        <f>IF(Tank2!$C$23="No control",(SUMIF(Tank2!$B$32:$B$49,$J3111,Tank2!$C$32:$C$49)*Impacts!$F$9),0)</f>
        <v>0</v>
      </c>
      <c r="N3111" s="10">
        <f>IF(Tank3!$C$23="No control",(SUMIF(Tank3!$B$32:$B$49,$J3111,Tank3!$C$32:$C$49)*Impacts!$F$10),0)</f>
        <v>0</v>
      </c>
      <c r="O3111" s="10">
        <f>IF(Tank4!$C$23="No control",(SUMIF(Tank4!$B$32:$B$49,$J3111,Tank4!$C$32:$C$49)*Impacts!$F$11),0)</f>
        <v>0</v>
      </c>
      <c r="P3111" s="10">
        <f>IF(Tank5!$C$23="No control",(SUMIF(Tank5!$B$32:$B$49,$J3111,Tank5!$C$32:$C$49)*Impacts!$F$12),0)</f>
        <v>0</v>
      </c>
      <c r="Q3111" s="10">
        <f>IFERROR(IF(('Loading-drum,tote'!$C$21)="No control",SUMIF(('Loading-drum,tote'!$B$31:$B$48),$J3111,('Loading-drum,tote'!$D$31:$D$48))*Impacts!$F$13,IF(('Loading-drum,tote'!$C$21)&lt;&gt;"No control",SUMIF(('Loading-drum,tote'!$B$31:$B$48),$J3111,('Loading-drum,tote'!$E$31:$E$48))*Impacts!$F$13,0)),0)</f>
        <v>0</v>
      </c>
      <c r="R3111" s="10">
        <f>IFERROR(IF(('Loading-truck'!$C$21)="No control",SUMIF(('Loading-truck'!$B$31:$B$48),$J3111,('Loading-truck'!$D$31:$D$48))*Impacts!$F$14,IF(('Loading-truck'!$C$21)&lt;&gt;"No control",SUMIF(('Loading-truck'!$B$31:$B$48),$J3111,('Loading-truck'!$E$31:$E$48))*Impacts!$F$14,0)),0)</f>
        <v>0</v>
      </c>
      <c r="S3111" s="10">
        <f>IFERROR(IF(('Loading-rail'!$C$21)="No control",SUMIF(('Loading-rail'!$B$31:$B$48),$J3111,('Loading-rail'!$D$31:$D$48))*Impacts!$F$15,IF(('Loading-rail'!$C$21)&lt;&gt;"No control",SUMIF(('Loading-rail'!$B$31:$B$48),$J3111,('Loading-rail'!$E$31:$E$48))*Impacts!$F$15,0)),0)</f>
        <v>0</v>
      </c>
      <c r="T3111" s="10">
        <f>IF(Flare!$C$7="",0,(SUMIF(Flare!$B$46:$B$185,$J3111,Flare!$E$46:$E$185)*Impacts!$F$16))</f>
        <v>0</v>
      </c>
      <c r="U3111" s="10">
        <f>IF(VCU!$C$9="",0,(SUMIF(VCU!$B$51:$B$193,$J3111,VCU!$E$51:$E$193)*Impacts!$F$17))</f>
        <v>0</v>
      </c>
      <c r="V3111" s="10">
        <f>IF(CAS!$C$7="",0,(SUMIF(CAS!$B$31:$B$167,$J3111,CAS!$E$31:$E$167)*Impacts!$F$18))</f>
        <v>0</v>
      </c>
      <c r="W3111" s="10">
        <f t="shared" si="89"/>
        <v>0</v>
      </c>
      <c r="AK3111" s="10" t="str">
        <f t="array" ref="AK3111">IFERROR(INDEX(SelectedSpecies,SMALL(IF(SelectedSpecies=AK$1,ROW(SelectedSpecies)),ROW(3112:3112)),2),"")</f>
        <v/>
      </c>
      <c r="BE3111" s="10"/>
      <c r="BI3111" s="10"/>
    </row>
    <row r="3112" spans="1:61" ht="21" customHeight="1" x14ac:dyDescent="0.25">
      <c r="A3112" s="10"/>
      <c r="B3112" s="10"/>
      <c r="E3112" s="10"/>
      <c r="G3112" s="10"/>
      <c r="I3112" s="436" t="s">
        <v>4007</v>
      </c>
      <c r="J3112" s="26" t="s">
        <v>4006</v>
      </c>
      <c r="K3112" s="10">
        <v>6</v>
      </c>
      <c r="L3112" s="73">
        <f>IF(Tank1!$C$23="No control",(SUMIF(Tank1!$B$32:$B$49,$J3112,Tank1!$C$32:$C$49)*Impacts!$F$8),0)</f>
        <v>0</v>
      </c>
      <c r="M3112" s="10">
        <f>IF(Tank2!$C$23="No control",(SUMIF(Tank2!$B$32:$B$49,$J3112,Tank2!$C$32:$C$49)*Impacts!$F$9),0)</f>
        <v>0</v>
      </c>
      <c r="N3112" s="10">
        <f>IF(Tank3!$C$23="No control",(SUMIF(Tank3!$B$32:$B$49,$J3112,Tank3!$C$32:$C$49)*Impacts!$F$10),0)</f>
        <v>0</v>
      </c>
      <c r="O3112" s="10">
        <f>IF(Tank4!$C$23="No control",(SUMIF(Tank4!$B$32:$B$49,$J3112,Tank4!$C$32:$C$49)*Impacts!$F$11),0)</f>
        <v>0</v>
      </c>
      <c r="P3112" s="10">
        <f>IF(Tank5!$C$23="No control",(SUMIF(Tank5!$B$32:$B$49,$J3112,Tank5!$C$32:$C$49)*Impacts!$F$12),0)</f>
        <v>0</v>
      </c>
      <c r="Q3112" s="10">
        <f>IFERROR(IF(('Loading-drum,tote'!$C$21)="No control",SUMIF(('Loading-drum,tote'!$B$31:$B$48),$J3112,('Loading-drum,tote'!$D$31:$D$48))*Impacts!$F$13,IF(('Loading-drum,tote'!$C$21)&lt;&gt;"No control",SUMIF(('Loading-drum,tote'!$B$31:$B$48),$J3112,('Loading-drum,tote'!$E$31:$E$48))*Impacts!$F$13,0)),0)</f>
        <v>0</v>
      </c>
      <c r="R3112" s="10">
        <f>IFERROR(IF(('Loading-truck'!$C$21)="No control",SUMIF(('Loading-truck'!$B$31:$B$48),$J3112,('Loading-truck'!$D$31:$D$48))*Impacts!$F$14,IF(('Loading-truck'!$C$21)&lt;&gt;"No control",SUMIF(('Loading-truck'!$B$31:$B$48),$J3112,('Loading-truck'!$E$31:$E$48))*Impacts!$F$14,0)),0)</f>
        <v>0</v>
      </c>
      <c r="S3112" s="10">
        <f>IFERROR(IF(('Loading-rail'!$C$21)="No control",SUMIF(('Loading-rail'!$B$31:$B$48),$J3112,('Loading-rail'!$D$31:$D$48))*Impacts!$F$15,IF(('Loading-rail'!$C$21)&lt;&gt;"No control",SUMIF(('Loading-rail'!$B$31:$B$48),$J3112,('Loading-rail'!$E$31:$E$48))*Impacts!$F$15,0)),0)</f>
        <v>0</v>
      </c>
      <c r="T3112" s="10">
        <f>IF(Flare!$C$7="",0,(SUMIF(Flare!$B$46:$B$185,$J3112,Flare!$E$46:$E$185)*Impacts!$F$16))</f>
        <v>0</v>
      </c>
      <c r="U3112" s="10">
        <f>IF(VCU!$C$9="",0,(SUMIF(VCU!$B$51:$B$193,$J3112,VCU!$E$51:$E$193)*Impacts!$F$17))</f>
        <v>0</v>
      </c>
      <c r="V3112" s="10">
        <f>IF(CAS!$C$7="",0,(SUMIF(CAS!$B$31:$B$167,$J3112,CAS!$E$31:$E$167)*Impacts!$F$18))</f>
        <v>0</v>
      </c>
      <c r="W3112" s="10">
        <f t="shared" si="89"/>
        <v>0</v>
      </c>
      <c r="AK3112" s="10" t="str">
        <f t="array" ref="AK3112">IFERROR(INDEX(SelectedSpecies,SMALL(IF(SelectedSpecies=AK$1,ROW(SelectedSpecies)),ROW(3113:3113)),2),"")</f>
        <v/>
      </c>
      <c r="BE3112" s="10"/>
      <c r="BI3112" s="10"/>
    </row>
    <row r="3113" spans="1:61" ht="21" customHeight="1" x14ac:dyDescent="0.25">
      <c r="A3113" s="10"/>
      <c r="B3113" s="10"/>
      <c r="E3113" s="10"/>
      <c r="G3113" s="10"/>
      <c r="I3113" s="436" t="s">
        <v>2599</v>
      </c>
      <c r="J3113" s="26" t="s">
        <v>2598</v>
      </c>
      <c r="K3113" s="10">
        <v>10</v>
      </c>
      <c r="L3113" s="73">
        <f>IF(Tank1!$C$23="No control",(SUMIF(Tank1!$B$32:$B$49,$J3113,Tank1!$C$32:$C$49)*Impacts!$F$8),0)</f>
        <v>0</v>
      </c>
      <c r="M3113" s="10">
        <f>IF(Tank2!$C$23="No control",(SUMIF(Tank2!$B$32:$B$49,$J3113,Tank2!$C$32:$C$49)*Impacts!$F$9),0)</f>
        <v>0</v>
      </c>
      <c r="N3113" s="10">
        <f>IF(Tank3!$C$23="No control",(SUMIF(Tank3!$B$32:$B$49,$J3113,Tank3!$C$32:$C$49)*Impacts!$F$10),0)</f>
        <v>0</v>
      </c>
      <c r="O3113" s="10">
        <f>IF(Tank4!$C$23="No control",(SUMIF(Tank4!$B$32:$B$49,$J3113,Tank4!$C$32:$C$49)*Impacts!$F$11),0)</f>
        <v>0</v>
      </c>
      <c r="P3113" s="10">
        <f>IF(Tank5!$C$23="No control",(SUMIF(Tank5!$B$32:$B$49,$J3113,Tank5!$C$32:$C$49)*Impacts!$F$12),0)</f>
        <v>0</v>
      </c>
      <c r="Q3113" s="10">
        <f>IFERROR(IF(('Loading-drum,tote'!$C$21)="No control",SUMIF(('Loading-drum,tote'!$B$31:$B$48),$J3113,('Loading-drum,tote'!$D$31:$D$48))*Impacts!$F$13,IF(('Loading-drum,tote'!$C$21)&lt;&gt;"No control",SUMIF(('Loading-drum,tote'!$B$31:$B$48),$J3113,('Loading-drum,tote'!$E$31:$E$48))*Impacts!$F$13,0)),0)</f>
        <v>0</v>
      </c>
      <c r="R3113" s="10">
        <f>IFERROR(IF(('Loading-truck'!$C$21)="No control",SUMIF(('Loading-truck'!$B$31:$B$48),$J3113,('Loading-truck'!$D$31:$D$48))*Impacts!$F$14,IF(('Loading-truck'!$C$21)&lt;&gt;"No control",SUMIF(('Loading-truck'!$B$31:$B$48),$J3113,('Loading-truck'!$E$31:$E$48))*Impacts!$F$14,0)),0)</f>
        <v>0</v>
      </c>
      <c r="S3113" s="10">
        <f>IFERROR(IF(('Loading-rail'!$C$21)="No control",SUMIF(('Loading-rail'!$B$31:$B$48),$J3113,('Loading-rail'!$D$31:$D$48))*Impacts!$F$15,IF(('Loading-rail'!$C$21)&lt;&gt;"No control",SUMIF(('Loading-rail'!$B$31:$B$48),$J3113,('Loading-rail'!$E$31:$E$48))*Impacts!$F$15,0)),0)</f>
        <v>0</v>
      </c>
      <c r="T3113" s="10">
        <f>IF(Flare!$C$7="",0,(SUMIF(Flare!$B$46:$B$185,$J3113,Flare!$E$46:$E$185)*Impacts!$F$16))</f>
        <v>0</v>
      </c>
      <c r="U3113" s="10">
        <f>IF(VCU!$C$9="",0,(SUMIF(VCU!$B$51:$B$193,$J3113,VCU!$E$51:$E$193)*Impacts!$F$17))</f>
        <v>0</v>
      </c>
      <c r="V3113" s="10">
        <f>IF(CAS!$C$7="",0,(SUMIF(CAS!$B$31:$B$167,$J3113,CAS!$E$31:$E$167)*Impacts!$F$18))</f>
        <v>0</v>
      </c>
      <c r="W3113" s="10">
        <f t="shared" si="89"/>
        <v>0</v>
      </c>
      <c r="AK3113" s="10" t="str">
        <f t="array" ref="AK3113">IFERROR(INDEX(SelectedSpecies,SMALL(IF(SelectedSpecies=AK$1,ROW(SelectedSpecies)),ROW(3114:3114)),2),"")</f>
        <v/>
      </c>
      <c r="BE3113" s="10"/>
      <c r="BI3113" s="10"/>
    </row>
    <row r="3114" spans="1:61" ht="21" customHeight="1" x14ac:dyDescent="0.25">
      <c r="A3114" s="10"/>
      <c r="B3114" s="10"/>
      <c r="E3114" s="10"/>
      <c r="G3114" s="10"/>
      <c r="I3114" s="436" t="s">
        <v>1152</v>
      </c>
      <c r="J3114" s="26" t="s">
        <v>1151</v>
      </c>
      <c r="K3114" s="10">
        <v>35</v>
      </c>
      <c r="L3114" s="73">
        <f>IF(Tank1!$C$23="No control",(SUMIF(Tank1!$B$32:$B$49,$J3114,Tank1!$C$32:$C$49)*Impacts!$F$8),0)</f>
        <v>0</v>
      </c>
      <c r="M3114" s="10">
        <f>IF(Tank2!$C$23="No control",(SUMIF(Tank2!$B$32:$B$49,$J3114,Tank2!$C$32:$C$49)*Impacts!$F$9),0)</f>
        <v>0</v>
      </c>
      <c r="N3114" s="10">
        <f>IF(Tank3!$C$23="No control",(SUMIF(Tank3!$B$32:$B$49,$J3114,Tank3!$C$32:$C$49)*Impacts!$F$10),0)</f>
        <v>0</v>
      </c>
      <c r="O3114" s="10">
        <f>IF(Tank4!$C$23="No control",(SUMIF(Tank4!$B$32:$B$49,$J3114,Tank4!$C$32:$C$49)*Impacts!$F$11),0)</f>
        <v>0</v>
      </c>
      <c r="P3114" s="10">
        <f>IF(Tank5!$C$23="No control",(SUMIF(Tank5!$B$32:$B$49,$J3114,Tank5!$C$32:$C$49)*Impacts!$F$12),0)</f>
        <v>0</v>
      </c>
      <c r="Q3114" s="10">
        <f>IFERROR(IF(('Loading-drum,tote'!$C$21)="No control",SUMIF(('Loading-drum,tote'!$B$31:$B$48),$J3114,('Loading-drum,tote'!$D$31:$D$48))*Impacts!$F$13,IF(('Loading-drum,tote'!$C$21)&lt;&gt;"No control",SUMIF(('Loading-drum,tote'!$B$31:$B$48),$J3114,('Loading-drum,tote'!$E$31:$E$48))*Impacts!$F$13,0)),0)</f>
        <v>0</v>
      </c>
      <c r="R3114" s="10">
        <f>IFERROR(IF(('Loading-truck'!$C$21)="No control",SUMIF(('Loading-truck'!$B$31:$B$48),$J3114,('Loading-truck'!$D$31:$D$48))*Impacts!$F$14,IF(('Loading-truck'!$C$21)&lt;&gt;"No control",SUMIF(('Loading-truck'!$B$31:$B$48),$J3114,('Loading-truck'!$E$31:$E$48))*Impacts!$F$14,0)),0)</f>
        <v>0</v>
      </c>
      <c r="S3114" s="10">
        <f>IFERROR(IF(('Loading-rail'!$C$21)="No control",SUMIF(('Loading-rail'!$B$31:$B$48),$J3114,('Loading-rail'!$D$31:$D$48))*Impacts!$F$15,IF(('Loading-rail'!$C$21)&lt;&gt;"No control",SUMIF(('Loading-rail'!$B$31:$B$48),$J3114,('Loading-rail'!$E$31:$E$48))*Impacts!$F$15,0)),0)</f>
        <v>0</v>
      </c>
      <c r="T3114" s="10">
        <f>IF(Flare!$C$7="",0,(SUMIF(Flare!$B$46:$B$185,$J3114,Flare!$E$46:$E$185)*Impacts!$F$16))</f>
        <v>0</v>
      </c>
      <c r="U3114" s="10">
        <f>IF(VCU!$C$9="",0,(SUMIF(VCU!$B$51:$B$193,$J3114,VCU!$E$51:$E$193)*Impacts!$F$17))</f>
        <v>0</v>
      </c>
      <c r="V3114" s="10">
        <f>IF(CAS!$C$7="",0,(SUMIF(CAS!$B$31:$B$167,$J3114,CAS!$E$31:$E$167)*Impacts!$F$18))</f>
        <v>0</v>
      </c>
      <c r="W3114" s="10">
        <f t="shared" si="89"/>
        <v>0</v>
      </c>
      <c r="AK3114" s="10" t="str">
        <f t="array" ref="AK3114">IFERROR(INDEX(SelectedSpecies,SMALL(IF(SelectedSpecies=AK$1,ROW(SelectedSpecies)),ROW(3115:3115)),2),"")</f>
        <v/>
      </c>
      <c r="BE3114" s="10"/>
      <c r="BI3114" s="10"/>
    </row>
    <row r="3115" spans="1:61" ht="21" customHeight="1" x14ac:dyDescent="0.25">
      <c r="A3115" s="10"/>
      <c r="B3115" s="10"/>
      <c r="E3115" s="10"/>
      <c r="G3115" s="10"/>
      <c r="I3115" s="436" t="s">
        <v>1871</v>
      </c>
      <c r="J3115" s="26" t="s">
        <v>1870</v>
      </c>
      <c r="K3115" s="10">
        <v>20</v>
      </c>
      <c r="L3115" s="73">
        <f>IF(Tank1!$C$23="No control",(SUMIF(Tank1!$B$32:$B$49,$J3115,Tank1!$C$32:$C$49)*Impacts!$F$8),0)</f>
        <v>0</v>
      </c>
      <c r="M3115" s="10">
        <f>IF(Tank2!$C$23="No control",(SUMIF(Tank2!$B$32:$B$49,$J3115,Tank2!$C$32:$C$49)*Impacts!$F$9),0)</f>
        <v>0</v>
      </c>
      <c r="N3115" s="10">
        <f>IF(Tank3!$C$23="No control",(SUMIF(Tank3!$B$32:$B$49,$J3115,Tank3!$C$32:$C$49)*Impacts!$F$10),0)</f>
        <v>0</v>
      </c>
      <c r="O3115" s="10">
        <f>IF(Tank4!$C$23="No control",(SUMIF(Tank4!$B$32:$B$49,$J3115,Tank4!$C$32:$C$49)*Impacts!$F$11),0)</f>
        <v>0</v>
      </c>
      <c r="P3115" s="10">
        <f>IF(Tank5!$C$23="No control",(SUMIF(Tank5!$B$32:$B$49,$J3115,Tank5!$C$32:$C$49)*Impacts!$F$12),0)</f>
        <v>0</v>
      </c>
      <c r="Q3115" s="10">
        <f>IFERROR(IF(('Loading-drum,tote'!$C$21)="No control",SUMIF(('Loading-drum,tote'!$B$31:$B$48),$J3115,('Loading-drum,tote'!$D$31:$D$48))*Impacts!$F$13,IF(('Loading-drum,tote'!$C$21)&lt;&gt;"No control",SUMIF(('Loading-drum,tote'!$B$31:$B$48),$J3115,('Loading-drum,tote'!$E$31:$E$48))*Impacts!$F$13,0)),0)</f>
        <v>0</v>
      </c>
      <c r="R3115" s="10">
        <f>IFERROR(IF(('Loading-truck'!$C$21)="No control",SUMIF(('Loading-truck'!$B$31:$B$48),$J3115,('Loading-truck'!$D$31:$D$48))*Impacts!$F$14,IF(('Loading-truck'!$C$21)&lt;&gt;"No control",SUMIF(('Loading-truck'!$B$31:$B$48),$J3115,('Loading-truck'!$E$31:$E$48))*Impacts!$F$14,0)),0)</f>
        <v>0</v>
      </c>
      <c r="S3115" s="10">
        <f>IFERROR(IF(('Loading-rail'!$C$21)="No control",SUMIF(('Loading-rail'!$B$31:$B$48),$J3115,('Loading-rail'!$D$31:$D$48))*Impacts!$F$15,IF(('Loading-rail'!$C$21)&lt;&gt;"No control",SUMIF(('Loading-rail'!$B$31:$B$48),$J3115,('Loading-rail'!$E$31:$E$48))*Impacts!$F$15,0)),0)</f>
        <v>0</v>
      </c>
      <c r="T3115" s="10">
        <f>IF(Flare!$C$7="",0,(SUMIF(Flare!$B$46:$B$185,$J3115,Flare!$E$46:$E$185)*Impacts!$F$16))</f>
        <v>0</v>
      </c>
      <c r="U3115" s="10">
        <f>IF(VCU!$C$9="",0,(SUMIF(VCU!$B$51:$B$193,$J3115,VCU!$E$51:$E$193)*Impacts!$F$17))</f>
        <v>0</v>
      </c>
      <c r="V3115" s="10">
        <f>IF(CAS!$C$7="",0,(SUMIF(CAS!$B$31:$B$167,$J3115,CAS!$E$31:$E$167)*Impacts!$F$18))</f>
        <v>0</v>
      </c>
      <c r="W3115" s="10">
        <f t="shared" si="89"/>
        <v>0</v>
      </c>
      <c r="AK3115" s="10" t="str">
        <f t="array" ref="AK3115">IFERROR(INDEX(SelectedSpecies,SMALL(IF(SelectedSpecies=AK$1,ROW(SelectedSpecies)),ROW(3116:3116)),2),"")</f>
        <v/>
      </c>
      <c r="BE3115" s="10"/>
      <c r="BI3115" s="10"/>
    </row>
    <row r="3116" spans="1:61" ht="21" customHeight="1" x14ac:dyDescent="0.25">
      <c r="A3116" s="10"/>
      <c r="B3116" s="10"/>
      <c r="E3116" s="10"/>
      <c r="G3116" s="10"/>
      <c r="I3116" s="436" t="s">
        <v>1873</v>
      </c>
      <c r="J3116" s="26" t="s">
        <v>1872</v>
      </c>
      <c r="K3116" s="10">
        <v>20</v>
      </c>
      <c r="L3116" s="73">
        <f>IF(Tank1!$C$23="No control",(SUMIF(Tank1!$B$32:$B$49,$J3116,Tank1!$C$32:$C$49)*Impacts!$F$8),0)</f>
        <v>0</v>
      </c>
      <c r="M3116" s="10">
        <f>IF(Tank2!$C$23="No control",(SUMIF(Tank2!$B$32:$B$49,$J3116,Tank2!$C$32:$C$49)*Impacts!$F$9),0)</f>
        <v>0</v>
      </c>
      <c r="N3116" s="10">
        <f>IF(Tank3!$C$23="No control",(SUMIF(Tank3!$B$32:$B$49,$J3116,Tank3!$C$32:$C$49)*Impacts!$F$10),0)</f>
        <v>0</v>
      </c>
      <c r="O3116" s="10">
        <f>IF(Tank4!$C$23="No control",(SUMIF(Tank4!$B$32:$B$49,$J3116,Tank4!$C$32:$C$49)*Impacts!$F$11),0)</f>
        <v>0</v>
      </c>
      <c r="P3116" s="10">
        <f>IF(Tank5!$C$23="No control",(SUMIF(Tank5!$B$32:$B$49,$J3116,Tank5!$C$32:$C$49)*Impacts!$F$12),0)</f>
        <v>0</v>
      </c>
      <c r="Q3116" s="10">
        <f>IFERROR(IF(('Loading-drum,tote'!$C$21)="No control",SUMIF(('Loading-drum,tote'!$B$31:$B$48),$J3116,('Loading-drum,tote'!$D$31:$D$48))*Impacts!$F$13,IF(('Loading-drum,tote'!$C$21)&lt;&gt;"No control",SUMIF(('Loading-drum,tote'!$B$31:$B$48),$J3116,('Loading-drum,tote'!$E$31:$E$48))*Impacts!$F$13,0)),0)</f>
        <v>0</v>
      </c>
      <c r="R3116" s="10">
        <f>IFERROR(IF(('Loading-truck'!$C$21)="No control",SUMIF(('Loading-truck'!$B$31:$B$48),$J3116,('Loading-truck'!$D$31:$D$48))*Impacts!$F$14,IF(('Loading-truck'!$C$21)&lt;&gt;"No control",SUMIF(('Loading-truck'!$B$31:$B$48),$J3116,('Loading-truck'!$E$31:$E$48))*Impacts!$F$14,0)),0)</f>
        <v>0</v>
      </c>
      <c r="S3116" s="10">
        <f>IFERROR(IF(('Loading-rail'!$C$21)="No control",SUMIF(('Loading-rail'!$B$31:$B$48),$J3116,('Loading-rail'!$D$31:$D$48))*Impacts!$F$15,IF(('Loading-rail'!$C$21)&lt;&gt;"No control",SUMIF(('Loading-rail'!$B$31:$B$48),$J3116,('Loading-rail'!$E$31:$E$48))*Impacts!$F$15,0)),0)</f>
        <v>0</v>
      </c>
      <c r="T3116" s="10">
        <f>IF(Flare!$C$7="",0,(SUMIF(Flare!$B$46:$B$185,$J3116,Flare!$E$46:$E$185)*Impacts!$F$16))</f>
        <v>0</v>
      </c>
      <c r="U3116" s="10">
        <f>IF(VCU!$C$9="",0,(SUMIF(VCU!$B$51:$B$193,$J3116,VCU!$E$51:$E$193)*Impacts!$F$17))</f>
        <v>0</v>
      </c>
      <c r="V3116" s="10">
        <f>IF(CAS!$C$7="",0,(SUMIF(CAS!$B$31:$B$167,$J3116,CAS!$E$31:$E$167)*Impacts!$F$18))</f>
        <v>0</v>
      </c>
      <c r="W3116" s="10">
        <f t="shared" si="89"/>
        <v>0</v>
      </c>
      <c r="AK3116" s="10" t="str">
        <f t="array" ref="AK3116">IFERROR(INDEX(SelectedSpecies,SMALL(IF(SelectedSpecies=AK$1,ROW(SelectedSpecies)),ROW(3117:3117)),2),"")</f>
        <v/>
      </c>
      <c r="BE3116" s="10"/>
      <c r="BI3116" s="10"/>
    </row>
    <row r="3117" spans="1:61" ht="21" customHeight="1" x14ac:dyDescent="0.25">
      <c r="A3117" s="10"/>
      <c r="B3117" s="10"/>
      <c r="E3117" s="10"/>
      <c r="G3117" s="10"/>
      <c r="I3117" s="436" t="s">
        <v>1875</v>
      </c>
      <c r="J3117" s="26" t="s">
        <v>1874</v>
      </c>
      <c r="K3117" s="10">
        <v>20</v>
      </c>
      <c r="L3117" s="73">
        <f>IF(Tank1!$C$23="No control",(SUMIF(Tank1!$B$32:$B$49,$J3117,Tank1!$C$32:$C$49)*Impacts!$F$8),0)</f>
        <v>0</v>
      </c>
      <c r="M3117" s="10">
        <f>IF(Tank2!$C$23="No control",(SUMIF(Tank2!$B$32:$B$49,$J3117,Tank2!$C$32:$C$49)*Impacts!$F$9),0)</f>
        <v>0</v>
      </c>
      <c r="N3117" s="10">
        <f>IF(Tank3!$C$23="No control",(SUMIF(Tank3!$B$32:$B$49,$J3117,Tank3!$C$32:$C$49)*Impacts!$F$10),0)</f>
        <v>0</v>
      </c>
      <c r="O3117" s="10">
        <f>IF(Tank4!$C$23="No control",(SUMIF(Tank4!$B$32:$B$49,$J3117,Tank4!$C$32:$C$49)*Impacts!$F$11),0)</f>
        <v>0</v>
      </c>
      <c r="P3117" s="10">
        <f>IF(Tank5!$C$23="No control",(SUMIF(Tank5!$B$32:$B$49,$J3117,Tank5!$C$32:$C$49)*Impacts!$F$12),0)</f>
        <v>0</v>
      </c>
      <c r="Q3117" s="10">
        <f>IFERROR(IF(('Loading-drum,tote'!$C$21)="No control",SUMIF(('Loading-drum,tote'!$B$31:$B$48),$J3117,('Loading-drum,tote'!$D$31:$D$48))*Impacts!$F$13,IF(('Loading-drum,tote'!$C$21)&lt;&gt;"No control",SUMIF(('Loading-drum,tote'!$B$31:$B$48),$J3117,('Loading-drum,tote'!$E$31:$E$48))*Impacts!$F$13,0)),0)</f>
        <v>0</v>
      </c>
      <c r="R3117" s="10">
        <f>IFERROR(IF(('Loading-truck'!$C$21)="No control",SUMIF(('Loading-truck'!$B$31:$B$48),$J3117,('Loading-truck'!$D$31:$D$48))*Impacts!$F$14,IF(('Loading-truck'!$C$21)&lt;&gt;"No control",SUMIF(('Loading-truck'!$B$31:$B$48),$J3117,('Loading-truck'!$E$31:$E$48))*Impacts!$F$14,0)),0)</f>
        <v>0</v>
      </c>
      <c r="S3117" s="10">
        <f>IFERROR(IF(('Loading-rail'!$C$21)="No control",SUMIF(('Loading-rail'!$B$31:$B$48),$J3117,('Loading-rail'!$D$31:$D$48))*Impacts!$F$15,IF(('Loading-rail'!$C$21)&lt;&gt;"No control",SUMIF(('Loading-rail'!$B$31:$B$48),$J3117,('Loading-rail'!$E$31:$E$48))*Impacts!$F$15,0)),0)</f>
        <v>0</v>
      </c>
      <c r="T3117" s="10">
        <f>IF(Flare!$C$7="",0,(SUMIF(Flare!$B$46:$B$185,$J3117,Flare!$E$46:$E$185)*Impacts!$F$16))</f>
        <v>0</v>
      </c>
      <c r="U3117" s="10">
        <f>IF(VCU!$C$9="",0,(SUMIF(VCU!$B$51:$B$193,$J3117,VCU!$E$51:$E$193)*Impacts!$F$17))</f>
        <v>0</v>
      </c>
      <c r="V3117" s="10">
        <f>IF(CAS!$C$7="",0,(SUMIF(CAS!$B$31:$B$167,$J3117,CAS!$E$31:$E$167)*Impacts!$F$18))</f>
        <v>0</v>
      </c>
      <c r="W3117" s="10">
        <f t="shared" si="89"/>
        <v>0</v>
      </c>
      <c r="AK3117" s="10" t="str">
        <f t="array" ref="AK3117">IFERROR(INDEX(SelectedSpecies,SMALL(IF(SelectedSpecies=AK$1,ROW(SelectedSpecies)),ROW(3118:3118)),2),"")</f>
        <v/>
      </c>
      <c r="BE3117" s="10"/>
      <c r="BI3117" s="10"/>
    </row>
    <row r="3118" spans="1:61" ht="21" customHeight="1" x14ac:dyDescent="0.25">
      <c r="A3118" s="10"/>
      <c r="B3118" s="10"/>
      <c r="E3118" s="10"/>
      <c r="G3118" s="10"/>
      <c r="I3118" s="436" t="s">
        <v>6098</v>
      </c>
      <c r="J3118" s="26" t="s">
        <v>6097</v>
      </c>
      <c r="K3118" s="10">
        <v>1</v>
      </c>
      <c r="L3118" s="73">
        <f>IF(Tank1!$C$23="No control",(SUMIF(Tank1!$B$32:$B$49,$J3118,Tank1!$C$32:$C$49)*Impacts!$F$8),0)</f>
        <v>0</v>
      </c>
      <c r="M3118" s="10">
        <f>IF(Tank2!$C$23="No control",(SUMIF(Tank2!$B$32:$B$49,$J3118,Tank2!$C$32:$C$49)*Impacts!$F$9),0)</f>
        <v>0</v>
      </c>
      <c r="N3118" s="10">
        <f>IF(Tank3!$C$23="No control",(SUMIF(Tank3!$B$32:$B$49,$J3118,Tank3!$C$32:$C$49)*Impacts!$F$10),0)</f>
        <v>0</v>
      </c>
      <c r="O3118" s="10">
        <f>IF(Tank4!$C$23="No control",(SUMIF(Tank4!$B$32:$B$49,$J3118,Tank4!$C$32:$C$49)*Impacts!$F$11),0)</f>
        <v>0</v>
      </c>
      <c r="P3118" s="10">
        <f>IF(Tank5!$C$23="No control",(SUMIF(Tank5!$B$32:$B$49,$J3118,Tank5!$C$32:$C$49)*Impacts!$F$12),0)</f>
        <v>0</v>
      </c>
      <c r="Q3118" s="10">
        <f>IFERROR(IF(('Loading-drum,tote'!$C$21)="No control",SUMIF(('Loading-drum,tote'!$B$31:$B$48),$J3118,('Loading-drum,tote'!$D$31:$D$48))*Impacts!$F$13,IF(('Loading-drum,tote'!$C$21)&lt;&gt;"No control",SUMIF(('Loading-drum,tote'!$B$31:$B$48),$J3118,('Loading-drum,tote'!$E$31:$E$48))*Impacts!$F$13,0)),0)</f>
        <v>0</v>
      </c>
      <c r="R3118" s="10">
        <f>IFERROR(IF(('Loading-truck'!$C$21)="No control",SUMIF(('Loading-truck'!$B$31:$B$48),$J3118,('Loading-truck'!$D$31:$D$48))*Impacts!$F$14,IF(('Loading-truck'!$C$21)&lt;&gt;"No control",SUMIF(('Loading-truck'!$B$31:$B$48),$J3118,('Loading-truck'!$E$31:$E$48))*Impacts!$F$14,0)),0)</f>
        <v>0</v>
      </c>
      <c r="S3118" s="10">
        <f>IFERROR(IF(('Loading-rail'!$C$21)="No control",SUMIF(('Loading-rail'!$B$31:$B$48),$J3118,('Loading-rail'!$D$31:$D$48))*Impacts!$F$15,IF(('Loading-rail'!$C$21)&lt;&gt;"No control",SUMIF(('Loading-rail'!$B$31:$B$48),$J3118,('Loading-rail'!$E$31:$E$48))*Impacts!$F$15,0)),0)</f>
        <v>0</v>
      </c>
      <c r="T3118" s="10">
        <f>IF(Flare!$C$7="",0,(SUMIF(Flare!$B$46:$B$185,$J3118,Flare!$E$46:$E$185)*Impacts!$F$16))</f>
        <v>0</v>
      </c>
      <c r="U3118" s="10">
        <f>IF(VCU!$C$9="",0,(SUMIF(VCU!$B$51:$B$193,$J3118,VCU!$E$51:$E$193)*Impacts!$F$17))</f>
        <v>0</v>
      </c>
      <c r="V3118" s="10">
        <f>IF(CAS!$C$7="",0,(SUMIF(CAS!$B$31:$B$167,$J3118,CAS!$E$31:$E$167)*Impacts!$F$18))</f>
        <v>0</v>
      </c>
      <c r="W3118" s="10">
        <f t="shared" si="89"/>
        <v>0</v>
      </c>
      <c r="AK3118" s="10" t="str">
        <f t="array" ref="AK3118">IFERROR(INDEX(SelectedSpecies,SMALL(IF(SelectedSpecies=AK$1,ROW(SelectedSpecies)),ROW(3119:3119)),2),"")</f>
        <v/>
      </c>
      <c r="BE3118" s="10"/>
      <c r="BI3118" s="10"/>
    </row>
    <row r="3119" spans="1:61" ht="21" customHeight="1" x14ac:dyDescent="0.25">
      <c r="A3119" s="10"/>
      <c r="B3119" s="10"/>
      <c r="E3119" s="10"/>
      <c r="G3119" s="10"/>
      <c r="I3119" s="436" t="s">
        <v>6100</v>
      </c>
      <c r="J3119" s="26" t="s">
        <v>6099</v>
      </c>
      <c r="K3119" s="10">
        <v>1</v>
      </c>
      <c r="L3119" s="73">
        <f>IF(Tank1!$C$23="No control",(SUMIF(Tank1!$B$32:$B$49,$J3119,Tank1!$C$32:$C$49)*Impacts!$F$8),0)</f>
        <v>0</v>
      </c>
      <c r="M3119" s="10">
        <f>IF(Tank2!$C$23="No control",(SUMIF(Tank2!$B$32:$B$49,$J3119,Tank2!$C$32:$C$49)*Impacts!$F$9),0)</f>
        <v>0</v>
      </c>
      <c r="N3119" s="10">
        <f>IF(Tank3!$C$23="No control",(SUMIF(Tank3!$B$32:$B$49,$J3119,Tank3!$C$32:$C$49)*Impacts!$F$10),0)</f>
        <v>0</v>
      </c>
      <c r="O3119" s="10">
        <f>IF(Tank4!$C$23="No control",(SUMIF(Tank4!$B$32:$B$49,$J3119,Tank4!$C$32:$C$49)*Impacts!$F$11),0)</f>
        <v>0</v>
      </c>
      <c r="P3119" s="10">
        <f>IF(Tank5!$C$23="No control",(SUMIF(Tank5!$B$32:$B$49,$J3119,Tank5!$C$32:$C$49)*Impacts!$F$12),0)</f>
        <v>0</v>
      </c>
      <c r="Q3119" s="10">
        <f>IFERROR(IF(('Loading-drum,tote'!$C$21)="No control",SUMIF(('Loading-drum,tote'!$B$31:$B$48),$J3119,('Loading-drum,tote'!$D$31:$D$48))*Impacts!$F$13,IF(('Loading-drum,tote'!$C$21)&lt;&gt;"No control",SUMIF(('Loading-drum,tote'!$B$31:$B$48),$J3119,('Loading-drum,tote'!$E$31:$E$48))*Impacts!$F$13,0)),0)</f>
        <v>0</v>
      </c>
      <c r="R3119" s="10">
        <f>IFERROR(IF(('Loading-truck'!$C$21)="No control",SUMIF(('Loading-truck'!$B$31:$B$48),$J3119,('Loading-truck'!$D$31:$D$48))*Impacts!$F$14,IF(('Loading-truck'!$C$21)&lt;&gt;"No control",SUMIF(('Loading-truck'!$B$31:$B$48),$J3119,('Loading-truck'!$E$31:$E$48))*Impacts!$F$14,0)),0)</f>
        <v>0</v>
      </c>
      <c r="S3119" s="10">
        <f>IFERROR(IF(('Loading-rail'!$C$21)="No control",SUMIF(('Loading-rail'!$B$31:$B$48),$J3119,('Loading-rail'!$D$31:$D$48))*Impacts!$F$15,IF(('Loading-rail'!$C$21)&lt;&gt;"No control",SUMIF(('Loading-rail'!$B$31:$B$48),$J3119,('Loading-rail'!$E$31:$E$48))*Impacts!$F$15,0)),0)</f>
        <v>0</v>
      </c>
      <c r="T3119" s="10">
        <f>IF(Flare!$C$7="",0,(SUMIF(Flare!$B$46:$B$185,$J3119,Flare!$E$46:$E$185)*Impacts!$F$16))</f>
        <v>0</v>
      </c>
      <c r="U3119" s="10">
        <f>IF(VCU!$C$9="",0,(SUMIF(VCU!$B$51:$B$193,$J3119,VCU!$E$51:$E$193)*Impacts!$F$17))</f>
        <v>0</v>
      </c>
      <c r="V3119" s="10">
        <f>IF(CAS!$C$7="",0,(SUMIF(CAS!$B$31:$B$167,$J3119,CAS!$E$31:$E$167)*Impacts!$F$18))</f>
        <v>0</v>
      </c>
      <c r="W3119" s="10">
        <f t="shared" si="89"/>
        <v>0</v>
      </c>
      <c r="AK3119" s="10" t="str">
        <f t="array" ref="AK3119">IFERROR(INDEX(SelectedSpecies,SMALL(IF(SelectedSpecies=AK$1,ROW(SelectedSpecies)),ROW(3120:3120)),2),"")</f>
        <v/>
      </c>
      <c r="BE3119" s="10"/>
      <c r="BI3119" s="10"/>
    </row>
    <row r="3120" spans="1:61" ht="21" customHeight="1" x14ac:dyDescent="0.25">
      <c r="A3120" s="10"/>
      <c r="B3120" s="10"/>
      <c r="E3120" s="10"/>
      <c r="G3120" s="10"/>
      <c r="I3120" s="436" t="s">
        <v>6102</v>
      </c>
      <c r="J3120" s="26" t="s">
        <v>6101</v>
      </c>
      <c r="K3120" s="10">
        <v>1</v>
      </c>
      <c r="L3120" s="73">
        <f>IF(Tank1!$C$23="No control",(SUMIF(Tank1!$B$32:$B$49,$J3120,Tank1!$C$32:$C$49)*Impacts!$F$8),0)</f>
        <v>0</v>
      </c>
      <c r="M3120" s="10">
        <f>IF(Tank2!$C$23="No control",(SUMIF(Tank2!$B$32:$B$49,$J3120,Tank2!$C$32:$C$49)*Impacts!$F$9),0)</f>
        <v>0</v>
      </c>
      <c r="N3120" s="10">
        <f>IF(Tank3!$C$23="No control",(SUMIF(Tank3!$B$32:$B$49,$J3120,Tank3!$C$32:$C$49)*Impacts!$F$10),0)</f>
        <v>0</v>
      </c>
      <c r="O3120" s="10">
        <f>IF(Tank4!$C$23="No control",(SUMIF(Tank4!$B$32:$B$49,$J3120,Tank4!$C$32:$C$49)*Impacts!$F$11),0)</f>
        <v>0</v>
      </c>
      <c r="P3120" s="10">
        <f>IF(Tank5!$C$23="No control",(SUMIF(Tank5!$B$32:$B$49,$J3120,Tank5!$C$32:$C$49)*Impacts!$F$12),0)</f>
        <v>0</v>
      </c>
      <c r="Q3120" s="10">
        <f>IFERROR(IF(('Loading-drum,tote'!$C$21)="No control",SUMIF(('Loading-drum,tote'!$B$31:$B$48),$J3120,('Loading-drum,tote'!$D$31:$D$48))*Impacts!$F$13,IF(('Loading-drum,tote'!$C$21)&lt;&gt;"No control",SUMIF(('Loading-drum,tote'!$B$31:$B$48),$J3120,('Loading-drum,tote'!$E$31:$E$48))*Impacts!$F$13,0)),0)</f>
        <v>0</v>
      </c>
      <c r="R3120" s="10">
        <f>IFERROR(IF(('Loading-truck'!$C$21)="No control",SUMIF(('Loading-truck'!$B$31:$B$48),$J3120,('Loading-truck'!$D$31:$D$48))*Impacts!$F$14,IF(('Loading-truck'!$C$21)&lt;&gt;"No control",SUMIF(('Loading-truck'!$B$31:$B$48),$J3120,('Loading-truck'!$E$31:$E$48))*Impacts!$F$14,0)),0)</f>
        <v>0</v>
      </c>
      <c r="S3120" s="10">
        <f>IFERROR(IF(('Loading-rail'!$C$21)="No control",SUMIF(('Loading-rail'!$B$31:$B$48),$J3120,('Loading-rail'!$D$31:$D$48))*Impacts!$F$15,IF(('Loading-rail'!$C$21)&lt;&gt;"No control",SUMIF(('Loading-rail'!$B$31:$B$48),$J3120,('Loading-rail'!$E$31:$E$48))*Impacts!$F$15,0)),0)</f>
        <v>0</v>
      </c>
      <c r="T3120" s="10">
        <f>IF(Flare!$C$7="",0,(SUMIF(Flare!$B$46:$B$185,$J3120,Flare!$E$46:$E$185)*Impacts!$F$16))</f>
        <v>0</v>
      </c>
      <c r="U3120" s="10">
        <f>IF(VCU!$C$9="",0,(SUMIF(VCU!$B$51:$B$193,$J3120,VCU!$E$51:$E$193)*Impacts!$F$17))</f>
        <v>0</v>
      </c>
      <c r="V3120" s="10">
        <f>IF(CAS!$C$7="",0,(SUMIF(CAS!$B$31:$B$167,$J3120,CAS!$E$31:$E$167)*Impacts!$F$18))</f>
        <v>0</v>
      </c>
      <c r="W3120" s="10">
        <f t="shared" si="89"/>
        <v>0</v>
      </c>
      <c r="AK3120" s="10" t="str">
        <f t="array" ref="AK3120">IFERROR(INDEX(SelectedSpecies,SMALL(IF(SelectedSpecies=AK$1,ROW(SelectedSpecies)),ROW(3121:3121)),2),"")</f>
        <v/>
      </c>
      <c r="BE3120" s="10"/>
      <c r="BI3120" s="10"/>
    </row>
    <row r="3121" spans="1:61" ht="21" customHeight="1" x14ac:dyDescent="0.25">
      <c r="A3121" s="10"/>
      <c r="B3121" s="10"/>
      <c r="E3121" s="10"/>
      <c r="G3121" s="10"/>
      <c r="I3121" s="436" t="s">
        <v>4595</v>
      </c>
      <c r="J3121" s="26" t="s">
        <v>4594</v>
      </c>
      <c r="K3121" s="10">
        <v>4</v>
      </c>
      <c r="L3121" s="73">
        <f>IF(Tank1!$C$23="No control",(SUMIF(Tank1!$B$32:$B$49,$J3121,Tank1!$C$32:$C$49)*Impacts!$F$8),0)</f>
        <v>0</v>
      </c>
      <c r="M3121" s="10">
        <f>IF(Tank2!$C$23="No control",(SUMIF(Tank2!$B$32:$B$49,$J3121,Tank2!$C$32:$C$49)*Impacts!$F$9),0)</f>
        <v>0</v>
      </c>
      <c r="N3121" s="10">
        <f>IF(Tank3!$C$23="No control",(SUMIF(Tank3!$B$32:$B$49,$J3121,Tank3!$C$32:$C$49)*Impacts!$F$10),0)</f>
        <v>0</v>
      </c>
      <c r="O3121" s="10">
        <f>IF(Tank4!$C$23="No control",(SUMIF(Tank4!$B$32:$B$49,$J3121,Tank4!$C$32:$C$49)*Impacts!$F$11),0)</f>
        <v>0</v>
      </c>
      <c r="P3121" s="10">
        <f>IF(Tank5!$C$23="No control",(SUMIF(Tank5!$B$32:$B$49,$J3121,Tank5!$C$32:$C$49)*Impacts!$F$12),0)</f>
        <v>0</v>
      </c>
      <c r="Q3121" s="10">
        <f>IFERROR(IF(('Loading-drum,tote'!$C$21)="No control",SUMIF(('Loading-drum,tote'!$B$31:$B$48),$J3121,('Loading-drum,tote'!$D$31:$D$48))*Impacts!$F$13,IF(('Loading-drum,tote'!$C$21)&lt;&gt;"No control",SUMIF(('Loading-drum,tote'!$B$31:$B$48),$J3121,('Loading-drum,tote'!$E$31:$E$48))*Impacts!$F$13,0)),0)</f>
        <v>0</v>
      </c>
      <c r="R3121" s="10">
        <f>IFERROR(IF(('Loading-truck'!$C$21)="No control",SUMIF(('Loading-truck'!$B$31:$B$48),$J3121,('Loading-truck'!$D$31:$D$48))*Impacts!$F$14,IF(('Loading-truck'!$C$21)&lt;&gt;"No control",SUMIF(('Loading-truck'!$B$31:$B$48),$J3121,('Loading-truck'!$E$31:$E$48))*Impacts!$F$14,0)),0)</f>
        <v>0</v>
      </c>
      <c r="S3121" s="10">
        <f>IFERROR(IF(('Loading-rail'!$C$21)="No control",SUMIF(('Loading-rail'!$B$31:$B$48),$J3121,('Loading-rail'!$D$31:$D$48))*Impacts!$F$15,IF(('Loading-rail'!$C$21)&lt;&gt;"No control",SUMIF(('Loading-rail'!$B$31:$B$48),$J3121,('Loading-rail'!$E$31:$E$48))*Impacts!$F$15,0)),0)</f>
        <v>0</v>
      </c>
      <c r="T3121" s="10">
        <f>IF(Flare!$C$7="",0,(SUMIF(Flare!$B$46:$B$185,$J3121,Flare!$E$46:$E$185)*Impacts!$F$16))</f>
        <v>0</v>
      </c>
      <c r="U3121" s="10">
        <f>IF(VCU!$C$9="",0,(SUMIF(VCU!$B$51:$B$193,$J3121,VCU!$E$51:$E$193)*Impacts!$F$17))</f>
        <v>0</v>
      </c>
      <c r="V3121" s="10">
        <f>IF(CAS!$C$7="",0,(SUMIF(CAS!$B$31:$B$167,$J3121,CAS!$E$31:$E$167)*Impacts!$F$18))</f>
        <v>0</v>
      </c>
      <c r="W3121" s="10">
        <f t="shared" si="89"/>
        <v>0</v>
      </c>
      <c r="AK3121" s="10" t="str">
        <f t="array" ref="AK3121">IFERROR(INDEX(SelectedSpecies,SMALL(IF(SelectedSpecies=AK$1,ROW(SelectedSpecies)),ROW(3122:3122)),2),"")</f>
        <v/>
      </c>
      <c r="BE3121" s="10"/>
      <c r="BI3121" s="10"/>
    </row>
    <row r="3122" spans="1:61" ht="21" customHeight="1" x14ac:dyDescent="0.25">
      <c r="A3122" s="10"/>
      <c r="B3122" s="10"/>
      <c r="E3122" s="10"/>
      <c r="G3122" s="10"/>
      <c r="I3122" s="436" t="s">
        <v>4597</v>
      </c>
      <c r="J3122" s="26" t="s">
        <v>4596</v>
      </c>
      <c r="K3122" s="10">
        <v>4</v>
      </c>
      <c r="L3122" s="73">
        <f>IF(Tank1!$C$23="No control",(SUMIF(Tank1!$B$32:$B$49,$J3122,Tank1!$C$32:$C$49)*Impacts!$F$8),0)</f>
        <v>0</v>
      </c>
      <c r="M3122" s="10">
        <f>IF(Tank2!$C$23="No control",(SUMIF(Tank2!$B$32:$B$49,$J3122,Tank2!$C$32:$C$49)*Impacts!$F$9),0)</f>
        <v>0</v>
      </c>
      <c r="N3122" s="10">
        <f>IF(Tank3!$C$23="No control",(SUMIF(Tank3!$B$32:$B$49,$J3122,Tank3!$C$32:$C$49)*Impacts!$F$10),0)</f>
        <v>0</v>
      </c>
      <c r="O3122" s="10">
        <f>IF(Tank4!$C$23="No control",(SUMIF(Tank4!$B$32:$B$49,$J3122,Tank4!$C$32:$C$49)*Impacts!$F$11),0)</f>
        <v>0</v>
      </c>
      <c r="P3122" s="10">
        <f>IF(Tank5!$C$23="No control",(SUMIF(Tank5!$B$32:$B$49,$J3122,Tank5!$C$32:$C$49)*Impacts!$F$12),0)</f>
        <v>0</v>
      </c>
      <c r="Q3122" s="10">
        <f>IFERROR(IF(('Loading-drum,tote'!$C$21)="No control",SUMIF(('Loading-drum,tote'!$B$31:$B$48),$J3122,('Loading-drum,tote'!$D$31:$D$48))*Impacts!$F$13,IF(('Loading-drum,tote'!$C$21)&lt;&gt;"No control",SUMIF(('Loading-drum,tote'!$B$31:$B$48),$J3122,('Loading-drum,tote'!$E$31:$E$48))*Impacts!$F$13,0)),0)</f>
        <v>0</v>
      </c>
      <c r="R3122" s="10">
        <f>IFERROR(IF(('Loading-truck'!$C$21)="No control",SUMIF(('Loading-truck'!$B$31:$B$48),$J3122,('Loading-truck'!$D$31:$D$48))*Impacts!$F$14,IF(('Loading-truck'!$C$21)&lt;&gt;"No control",SUMIF(('Loading-truck'!$B$31:$B$48),$J3122,('Loading-truck'!$E$31:$E$48))*Impacts!$F$14,0)),0)</f>
        <v>0</v>
      </c>
      <c r="S3122" s="10">
        <f>IFERROR(IF(('Loading-rail'!$C$21)="No control",SUMIF(('Loading-rail'!$B$31:$B$48),$J3122,('Loading-rail'!$D$31:$D$48))*Impacts!$F$15,IF(('Loading-rail'!$C$21)&lt;&gt;"No control",SUMIF(('Loading-rail'!$B$31:$B$48),$J3122,('Loading-rail'!$E$31:$E$48))*Impacts!$F$15,0)),0)</f>
        <v>0</v>
      </c>
      <c r="T3122" s="10">
        <f>IF(Flare!$C$7="",0,(SUMIF(Flare!$B$46:$B$185,$J3122,Flare!$E$46:$E$185)*Impacts!$F$16))</f>
        <v>0</v>
      </c>
      <c r="U3122" s="10">
        <f>IF(VCU!$C$9="",0,(SUMIF(VCU!$B$51:$B$193,$J3122,VCU!$E$51:$E$193)*Impacts!$F$17))</f>
        <v>0</v>
      </c>
      <c r="V3122" s="10">
        <f>IF(CAS!$C$7="",0,(SUMIF(CAS!$B$31:$B$167,$J3122,CAS!$E$31:$E$167)*Impacts!$F$18))</f>
        <v>0</v>
      </c>
      <c r="W3122" s="10">
        <f t="shared" si="89"/>
        <v>0</v>
      </c>
      <c r="AK3122" s="10" t="str">
        <f t="array" ref="AK3122">IFERROR(INDEX(SelectedSpecies,SMALL(IF(SelectedSpecies=AK$1,ROW(SelectedSpecies)),ROW(3123:3123)),2),"")</f>
        <v/>
      </c>
      <c r="BE3122" s="10"/>
      <c r="BI3122" s="10"/>
    </row>
    <row r="3123" spans="1:61" ht="21" customHeight="1" x14ac:dyDescent="0.25">
      <c r="A3123" s="10"/>
      <c r="B3123" s="10"/>
      <c r="E3123" s="10"/>
      <c r="G3123" s="10"/>
      <c r="I3123" s="436" t="s">
        <v>3235</v>
      </c>
      <c r="J3123" s="26" t="s">
        <v>3234</v>
      </c>
      <c r="K3123" s="10">
        <v>10</v>
      </c>
      <c r="L3123" s="73">
        <f>IF(Tank1!$C$23="No control",(SUMIF(Tank1!$B$32:$B$49,$J3123,Tank1!$C$32:$C$49)*Impacts!$F$8),0)</f>
        <v>0</v>
      </c>
      <c r="M3123" s="10">
        <f>IF(Tank2!$C$23="No control",(SUMIF(Tank2!$B$32:$B$49,$J3123,Tank2!$C$32:$C$49)*Impacts!$F$9),0)</f>
        <v>0</v>
      </c>
      <c r="N3123" s="10">
        <f>IF(Tank3!$C$23="No control",(SUMIF(Tank3!$B$32:$B$49,$J3123,Tank3!$C$32:$C$49)*Impacts!$F$10),0)</f>
        <v>0</v>
      </c>
      <c r="O3123" s="10">
        <f>IF(Tank4!$C$23="No control",(SUMIF(Tank4!$B$32:$B$49,$J3123,Tank4!$C$32:$C$49)*Impacts!$F$11),0)</f>
        <v>0</v>
      </c>
      <c r="P3123" s="10">
        <f>IF(Tank5!$C$23="No control",(SUMIF(Tank5!$B$32:$B$49,$J3123,Tank5!$C$32:$C$49)*Impacts!$F$12),0)</f>
        <v>0</v>
      </c>
      <c r="Q3123" s="10">
        <f>IFERROR(IF(('Loading-drum,tote'!$C$21)="No control",SUMIF(('Loading-drum,tote'!$B$31:$B$48),$J3123,('Loading-drum,tote'!$D$31:$D$48))*Impacts!$F$13,IF(('Loading-drum,tote'!$C$21)&lt;&gt;"No control",SUMIF(('Loading-drum,tote'!$B$31:$B$48),$J3123,('Loading-drum,tote'!$E$31:$E$48))*Impacts!$F$13,0)),0)</f>
        <v>0</v>
      </c>
      <c r="R3123" s="10">
        <f>IFERROR(IF(('Loading-truck'!$C$21)="No control",SUMIF(('Loading-truck'!$B$31:$B$48),$J3123,('Loading-truck'!$D$31:$D$48))*Impacts!$F$14,IF(('Loading-truck'!$C$21)&lt;&gt;"No control",SUMIF(('Loading-truck'!$B$31:$B$48),$J3123,('Loading-truck'!$E$31:$E$48))*Impacts!$F$14,0)),0)</f>
        <v>0</v>
      </c>
      <c r="S3123" s="10">
        <f>IFERROR(IF(('Loading-rail'!$C$21)="No control",SUMIF(('Loading-rail'!$B$31:$B$48),$J3123,('Loading-rail'!$D$31:$D$48))*Impacts!$F$15,IF(('Loading-rail'!$C$21)&lt;&gt;"No control",SUMIF(('Loading-rail'!$B$31:$B$48),$J3123,('Loading-rail'!$E$31:$E$48))*Impacts!$F$15,0)),0)</f>
        <v>0</v>
      </c>
      <c r="T3123" s="10">
        <f>IF(Flare!$C$7="",0,(SUMIF(Flare!$B$46:$B$185,$J3123,Flare!$E$46:$E$185)*Impacts!$F$16))</f>
        <v>0</v>
      </c>
      <c r="U3123" s="10">
        <f>IF(VCU!$C$9="",0,(SUMIF(VCU!$B$51:$B$193,$J3123,VCU!$E$51:$E$193)*Impacts!$F$17))</f>
        <v>0</v>
      </c>
      <c r="V3123" s="10">
        <f>IF(CAS!$C$7="",0,(SUMIF(CAS!$B$31:$B$167,$J3123,CAS!$E$31:$E$167)*Impacts!$F$18))</f>
        <v>0</v>
      </c>
      <c r="W3123" s="10">
        <f t="shared" si="89"/>
        <v>0</v>
      </c>
      <c r="AK3123" s="10" t="str">
        <f t="array" ref="AK3123">IFERROR(INDEX(SelectedSpecies,SMALL(IF(SelectedSpecies=AK$1,ROW(SelectedSpecies)),ROW(3124:3124)),2),"")</f>
        <v/>
      </c>
      <c r="BE3123" s="10"/>
      <c r="BI3123" s="10"/>
    </row>
    <row r="3124" spans="1:61" ht="21" customHeight="1" x14ac:dyDescent="0.25">
      <c r="A3124" s="10"/>
      <c r="B3124" s="10"/>
      <c r="E3124" s="10"/>
      <c r="G3124" s="10"/>
      <c r="I3124" s="436" t="s">
        <v>3237</v>
      </c>
      <c r="J3124" s="26" t="s">
        <v>3236</v>
      </c>
      <c r="K3124" s="10">
        <v>10</v>
      </c>
      <c r="L3124" s="73">
        <f>IF(Tank1!$C$23="No control",(SUMIF(Tank1!$B$32:$B$49,$J3124,Tank1!$C$32:$C$49)*Impacts!$F$8),0)</f>
        <v>0</v>
      </c>
      <c r="M3124" s="10">
        <f>IF(Tank2!$C$23="No control",(SUMIF(Tank2!$B$32:$B$49,$J3124,Tank2!$C$32:$C$49)*Impacts!$F$9),0)</f>
        <v>0</v>
      </c>
      <c r="N3124" s="10">
        <f>IF(Tank3!$C$23="No control",(SUMIF(Tank3!$B$32:$B$49,$J3124,Tank3!$C$32:$C$49)*Impacts!$F$10),0)</f>
        <v>0</v>
      </c>
      <c r="O3124" s="10">
        <f>IF(Tank4!$C$23="No control",(SUMIF(Tank4!$B$32:$B$49,$J3124,Tank4!$C$32:$C$49)*Impacts!$F$11),0)</f>
        <v>0</v>
      </c>
      <c r="P3124" s="10">
        <f>IF(Tank5!$C$23="No control",(SUMIF(Tank5!$B$32:$B$49,$J3124,Tank5!$C$32:$C$49)*Impacts!$F$12),0)</f>
        <v>0</v>
      </c>
      <c r="Q3124" s="10">
        <f>IFERROR(IF(('Loading-drum,tote'!$C$21)="No control",SUMIF(('Loading-drum,tote'!$B$31:$B$48),$J3124,('Loading-drum,tote'!$D$31:$D$48))*Impacts!$F$13,IF(('Loading-drum,tote'!$C$21)&lt;&gt;"No control",SUMIF(('Loading-drum,tote'!$B$31:$B$48),$J3124,('Loading-drum,tote'!$E$31:$E$48))*Impacts!$F$13,0)),0)</f>
        <v>0</v>
      </c>
      <c r="R3124" s="10">
        <f>IFERROR(IF(('Loading-truck'!$C$21)="No control",SUMIF(('Loading-truck'!$B$31:$B$48),$J3124,('Loading-truck'!$D$31:$D$48))*Impacts!$F$14,IF(('Loading-truck'!$C$21)&lt;&gt;"No control",SUMIF(('Loading-truck'!$B$31:$B$48),$J3124,('Loading-truck'!$E$31:$E$48))*Impacts!$F$14,0)),0)</f>
        <v>0</v>
      </c>
      <c r="S3124" s="10">
        <f>IFERROR(IF(('Loading-rail'!$C$21)="No control",SUMIF(('Loading-rail'!$B$31:$B$48),$J3124,('Loading-rail'!$D$31:$D$48))*Impacts!$F$15,IF(('Loading-rail'!$C$21)&lt;&gt;"No control",SUMIF(('Loading-rail'!$B$31:$B$48),$J3124,('Loading-rail'!$E$31:$E$48))*Impacts!$F$15,0)),0)</f>
        <v>0</v>
      </c>
      <c r="T3124" s="10">
        <f>IF(Flare!$C$7="",0,(SUMIF(Flare!$B$46:$B$185,$J3124,Flare!$E$46:$E$185)*Impacts!$F$16))</f>
        <v>0</v>
      </c>
      <c r="U3124" s="10">
        <f>IF(VCU!$C$9="",0,(SUMIF(VCU!$B$51:$B$193,$J3124,VCU!$E$51:$E$193)*Impacts!$F$17))</f>
        <v>0</v>
      </c>
      <c r="V3124" s="10">
        <f>IF(CAS!$C$7="",0,(SUMIF(CAS!$B$31:$B$167,$J3124,CAS!$E$31:$E$167)*Impacts!$F$18))</f>
        <v>0</v>
      </c>
      <c r="W3124" s="10">
        <f t="shared" si="89"/>
        <v>0</v>
      </c>
      <c r="AK3124" s="10" t="str">
        <f t="array" ref="AK3124">IFERROR(INDEX(SelectedSpecies,SMALL(IF(SelectedSpecies=AK$1,ROW(SelectedSpecies)),ROW(3125:3125)),2),"")</f>
        <v/>
      </c>
      <c r="BE3124" s="10"/>
      <c r="BI3124" s="10"/>
    </row>
    <row r="3125" spans="1:61" ht="21" customHeight="1" x14ac:dyDescent="0.25">
      <c r="A3125" s="10"/>
      <c r="B3125" s="10"/>
      <c r="E3125" s="10"/>
      <c r="G3125" s="10"/>
      <c r="I3125" s="436" t="s">
        <v>3239</v>
      </c>
      <c r="J3125" s="26" t="s">
        <v>3238</v>
      </c>
      <c r="K3125" s="10">
        <v>10</v>
      </c>
      <c r="L3125" s="73">
        <f>IF(Tank1!$C$23="No control",(SUMIF(Tank1!$B$32:$B$49,$J3125,Tank1!$C$32:$C$49)*Impacts!$F$8),0)</f>
        <v>0</v>
      </c>
      <c r="M3125" s="10">
        <f>IF(Tank2!$C$23="No control",(SUMIF(Tank2!$B$32:$B$49,$J3125,Tank2!$C$32:$C$49)*Impacts!$F$9),0)</f>
        <v>0</v>
      </c>
      <c r="N3125" s="10">
        <f>IF(Tank3!$C$23="No control",(SUMIF(Tank3!$B$32:$B$49,$J3125,Tank3!$C$32:$C$49)*Impacts!$F$10),0)</f>
        <v>0</v>
      </c>
      <c r="O3125" s="10">
        <f>IF(Tank4!$C$23="No control",(SUMIF(Tank4!$B$32:$B$49,$J3125,Tank4!$C$32:$C$49)*Impacts!$F$11),0)</f>
        <v>0</v>
      </c>
      <c r="P3125" s="10">
        <f>IF(Tank5!$C$23="No control",(SUMIF(Tank5!$B$32:$B$49,$J3125,Tank5!$C$32:$C$49)*Impacts!$F$12),0)</f>
        <v>0</v>
      </c>
      <c r="Q3125" s="10">
        <f>IFERROR(IF(('Loading-drum,tote'!$C$21)="No control",SUMIF(('Loading-drum,tote'!$B$31:$B$48),$J3125,('Loading-drum,tote'!$D$31:$D$48))*Impacts!$F$13,IF(('Loading-drum,tote'!$C$21)&lt;&gt;"No control",SUMIF(('Loading-drum,tote'!$B$31:$B$48),$J3125,('Loading-drum,tote'!$E$31:$E$48))*Impacts!$F$13,0)),0)</f>
        <v>0</v>
      </c>
      <c r="R3125" s="10">
        <f>IFERROR(IF(('Loading-truck'!$C$21)="No control",SUMIF(('Loading-truck'!$B$31:$B$48),$J3125,('Loading-truck'!$D$31:$D$48))*Impacts!$F$14,IF(('Loading-truck'!$C$21)&lt;&gt;"No control",SUMIF(('Loading-truck'!$B$31:$B$48),$J3125,('Loading-truck'!$E$31:$E$48))*Impacts!$F$14,0)),0)</f>
        <v>0</v>
      </c>
      <c r="S3125" s="10">
        <f>IFERROR(IF(('Loading-rail'!$C$21)="No control",SUMIF(('Loading-rail'!$B$31:$B$48),$J3125,('Loading-rail'!$D$31:$D$48))*Impacts!$F$15,IF(('Loading-rail'!$C$21)&lt;&gt;"No control",SUMIF(('Loading-rail'!$B$31:$B$48),$J3125,('Loading-rail'!$E$31:$E$48))*Impacts!$F$15,0)),0)</f>
        <v>0</v>
      </c>
      <c r="T3125" s="10">
        <f>IF(Flare!$C$7="",0,(SUMIF(Flare!$B$46:$B$185,$J3125,Flare!$E$46:$E$185)*Impacts!$F$16))</f>
        <v>0</v>
      </c>
      <c r="U3125" s="10">
        <f>IF(VCU!$C$9="",0,(SUMIF(VCU!$B$51:$B$193,$J3125,VCU!$E$51:$E$193)*Impacts!$F$17))</f>
        <v>0</v>
      </c>
      <c r="V3125" s="10">
        <f>IF(CAS!$C$7="",0,(SUMIF(CAS!$B$31:$B$167,$J3125,CAS!$E$31:$E$167)*Impacts!$F$18))</f>
        <v>0</v>
      </c>
      <c r="W3125" s="10">
        <f t="shared" si="89"/>
        <v>0</v>
      </c>
      <c r="AK3125" s="10" t="str">
        <f t="array" ref="AK3125">IFERROR(INDEX(SelectedSpecies,SMALL(IF(SelectedSpecies=AK$1,ROW(SelectedSpecies)),ROW(3126:3126)),2),"")</f>
        <v/>
      </c>
      <c r="BE3125" s="10"/>
      <c r="BI3125" s="10"/>
    </row>
    <row r="3126" spans="1:61" ht="21" customHeight="1" x14ac:dyDescent="0.25">
      <c r="A3126" s="10"/>
      <c r="B3126" s="10"/>
      <c r="E3126" s="10"/>
      <c r="G3126" s="10"/>
      <c r="I3126" s="436" t="s">
        <v>6578</v>
      </c>
      <c r="J3126" s="26" t="s">
        <v>6577</v>
      </c>
      <c r="K3126" s="10">
        <v>0.64000000000000012</v>
      </c>
      <c r="L3126" s="73">
        <f>IF(Tank1!$C$23="No control",(SUMIF(Tank1!$B$32:$B$49,$J3126,Tank1!$C$32:$C$49)*Impacts!$F$8),0)</f>
        <v>0</v>
      </c>
      <c r="M3126" s="10">
        <f>IF(Tank2!$C$23="No control",(SUMIF(Tank2!$B$32:$B$49,$J3126,Tank2!$C$32:$C$49)*Impacts!$F$9),0)</f>
        <v>0</v>
      </c>
      <c r="N3126" s="10">
        <f>IF(Tank3!$C$23="No control",(SUMIF(Tank3!$B$32:$B$49,$J3126,Tank3!$C$32:$C$49)*Impacts!$F$10),0)</f>
        <v>0</v>
      </c>
      <c r="O3126" s="10">
        <f>IF(Tank4!$C$23="No control",(SUMIF(Tank4!$B$32:$B$49,$J3126,Tank4!$C$32:$C$49)*Impacts!$F$11),0)</f>
        <v>0</v>
      </c>
      <c r="P3126" s="10">
        <f>IF(Tank5!$C$23="No control",(SUMIF(Tank5!$B$32:$B$49,$J3126,Tank5!$C$32:$C$49)*Impacts!$F$12),0)</f>
        <v>0</v>
      </c>
      <c r="Q3126" s="10">
        <f>IFERROR(IF(('Loading-drum,tote'!$C$21)="No control",SUMIF(('Loading-drum,tote'!$B$31:$B$48),$J3126,('Loading-drum,tote'!$D$31:$D$48))*Impacts!$F$13,IF(('Loading-drum,tote'!$C$21)&lt;&gt;"No control",SUMIF(('Loading-drum,tote'!$B$31:$B$48),$J3126,('Loading-drum,tote'!$E$31:$E$48))*Impacts!$F$13,0)),0)</f>
        <v>0</v>
      </c>
      <c r="R3126" s="10">
        <f>IFERROR(IF(('Loading-truck'!$C$21)="No control",SUMIF(('Loading-truck'!$B$31:$B$48),$J3126,('Loading-truck'!$D$31:$D$48))*Impacts!$F$14,IF(('Loading-truck'!$C$21)&lt;&gt;"No control",SUMIF(('Loading-truck'!$B$31:$B$48),$J3126,('Loading-truck'!$E$31:$E$48))*Impacts!$F$14,0)),0)</f>
        <v>0</v>
      </c>
      <c r="S3126" s="10">
        <f>IFERROR(IF(('Loading-rail'!$C$21)="No control",SUMIF(('Loading-rail'!$B$31:$B$48),$J3126,('Loading-rail'!$D$31:$D$48))*Impacts!$F$15,IF(('Loading-rail'!$C$21)&lt;&gt;"No control",SUMIF(('Loading-rail'!$B$31:$B$48),$J3126,('Loading-rail'!$E$31:$E$48))*Impacts!$F$15,0)),0)</f>
        <v>0</v>
      </c>
      <c r="T3126" s="10">
        <f>IF(Flare!$C$7="",0,(SUMIF(Flare!$B$46:$B$185,$J3126,Flare!$E$46:$E$185)*Impacts!$F$16))</f>
        <v>0</v>
      </c>
      <c r="U3126" s="10">
        <f>IF(VCU!$C$9="",0,(SUMIF(VCU!$B$51:$B$193,$J3126,VCU!$E$51:$E$193)*Impacts!$F$17))</f>
        <v>0</v>
      </c>
      <c r="V3126" s="10">
        <f>IF(CAS!$C$7="",0,(SUMIF(CAS!$B$31:$B$167,$J3126,CAS!$E$31:$E$167)*Impacts!$F$18))</f>
        <v>0</v>
      </c>
      <c r="W3126" s="10">
        <f t="shared" si="89"/>
        <v>0</v>
      </c>
      <c r="AK3126" s="10" t="str">
        <f t="array" ref="AK3126">IFERROR(INDEX(SelectedSpecies,SMALL(IF(SelectedSpecies=AK$1,ROW(SelectedSpecies)),ROW(3127:3127)),2),"")</f>
        <v/>
      </c>
      <c r="BE3126" s="10"/>
      <c r="BI3126" s="10"/>
    </row>
    <row r="3127" spans="1:61" ht="21" customHeight="1" x14ac:dyDescent="0.25">
      <c r="A3127" s="10"/>
      <c r="B3127" s="10"/>
      <c r="E3127" s="10"/>
      <c r="G3127" s="10"/>
      <c r="I3127" s="436" t="s">
        <v>7290</v>
      </c>
      <c r="J3127" s="26" t="s">
        <v>7289</v>
      </c>
      <c r="K3127" s="10">
        <v>0.30000000000000004</v>
      </c>
      <c r="L3127" s="73">
        <f>IF(Tank1!$C$23="No control",(SUMIF(Tank1!$B$32:$B$49,$J3127,Tank1!$C$32:$C$49)*Impacts!$F$8),0)</f>
        <v>0</v>
      </c>
      <c r="M3127" s="10">
        <f>IF(Tank2!$C$23="No control",(SUMIF(Tank2!$B$32:$B$49,$J3127,Tank2!$C$32:$C$49)*Impacts!$F$9),0)</f>
        <v>0</v>
      </c>
      <c r="N3127" s="10">
        <f>IF(Tank3!$C$23="No control",(SUMIF(Tank3!$B$32:$B$49,$J3127,Tank3!$C$32:$C$49)*Impacts!$F$10),0)</f>
        <v>0</v>
      </c>
      <c r="O3127" s="10">
        <f>IF(Tank4!$C$23="No control",(SUMIF(Tank4!$B$32:$B$49,$J3127,Tank4!$C$32:$C$49)*Impacts!$F$11),0)</f>
        <v>0</v>
      </c>
      <c r="P3127" s="10">
        <f>IF(Tank5!$C$23="No control",(SUMIF(Tank5!$B$32:$B$49,$J3127,Tank5!$C$32:$C$49)*Impacts!$F$12),0)</f>
        <v>0</v>
      </c>
      <c r="Q3127" s="10">
        <f>IFERROR(IF(('Loading-drum,tote'!$C$21)="No control",SUMIF(('Loading-drum,tote'!$B$31:$B$48),$J3127,('Loading-drum,tote'!$D$31:$D$48))*Impacts!$F$13,IF(('Loading-drum,tote'!$C$21)&lt;&gt;"No control",SUMIF(('Loading-drum,tote'!$B$31:$B$48),$J3127,('Loading-drum,tote'!$E$31:$E$48))*Impacts!$F$13,0)),0)</f>
        <v>0</v>
      </c>
      <c r="R3127" s="10">
        <f>IFERROR(IF(('Loading-truck'!$C$21)="No control",SUMIF(('Loading-truck'!$B$31:$B$48),$J3127,('Loading-truck'!$D$31:$D$48))*Impacts!$F$14,IF(('Loading-truck'!$C$21)&lt;&gt;"No control",SUMIF(('Loading-truck'!$B$31:$B$48),$J3127,('Loading-truck'!$E$31:$E$48))*Impacts!$F$14,0)),0)</f>
        <v>0</v>
      </c>
      <c r="S3127" s="10">
        <f>IFERROR(IF(('Loading-rail'!$C$21)="No control",SUMIF(('Loading-rail'!$B$31:$B$48),$J3127,('Loading-rail'!$D$31:$D$48))*Impacts!$F$15,IF(('Loading-rail'!$C$21)&lt;&gt;"No control",SUMIF(('Loading-rail'!$B$31:$B$48),$J3127,('Loading-rail'!$E$31:$E$48))*Impacts!$F$15,0)),0)</f>
        <v>0</v>
      </c>
      <c r="T3127" s="10">
        <f>IF(Flare!$C$7="",0,(SUMIF(Flare!$B$46:$B$185,$J3127,Flare!$E$46:$E$185)*Impacts!$F$16))</f>
        <v>0</v>
      </c>
      <c r="U3127" s="10">
        <f>IF(VCU!$C$9="",0,(SUMIF(VCU!$B$51:$B$193,$J3127,VCU!$E$51:$E$193)*Impacts!$F$17))</f>
        <v>0</v>
      </c>
      <c r="V3127" s="10">
        <f>IF(CAS!$C$7="",0,(SUMIF(CAS!$B$31:$B$167,$J3127,CAS!$E$31:$E$167)*Impacts!$F$18))</f>
        <v>0</v>
      </c>
      <c r="W3127" s="10">
        <f t="shared" si="89"/>
        <v>0</v>
      </c>
      <c r="AK3127" s="10" t="str">
        <f t="array" ref="AK3127">IFERROR(INDEX(SelectedSpecies,SMALL(IF(SelectedSpecies=AK$1,ROW(SelectedSpecies)),ROW(3128:3128)),2),"")</f>
        <v/>
      </c>
      <c r="BE3127" s="10"/>
      <c r="BI3127" s="10"/>
    </row>
    <row r="3128" spans="1:61" ht="21" customHeight="1" x14ac:dyDescent="0.25">
      <c r="A3128" s="10"/>
      <c r="B3128" s="10"/>
      <c r="E3128" s="10"/>
      <c r="G3128" s="10"/>
      <c r="I3128" s="436" t="s">
        <v>3241</v>
      </c>
      <c r="J3128" s="26" t="s">
        <v>3240</v>
      </c>
      <c r="K3128" s="10">
        <v>10</v>
      </c>
      <c r="L3128" s="73">
        <f>IF(Tank1!$C$23="No control",(SUMIF(Tank1!$B$32:$B$49,$J3128,Tank1!$C$32:$C$49)*Impacts!$F$8),0)</f>
        <v>0</v>
      </c>
      <c r="M3128" s="10">
        <f>IF(Tank2!$C$23="No control",(SUMIF(Tank2!$B$32:$B$49,$J3128,Tank2!$C$32:$C$49)*Impacts!$F$9),0)</f>
        <v>0</v>
      </c>
      <c r="N3128" s="10">
        <f>IF(Tank3!$C$23="No control",(SUMIF(Tank3!$B$32:$B$49,$J3128,Tank3!$C$32:$C$49)*Impacts!$F$10),0)</f>
        <v>0</v>
      </c>
      <c r="O3128" s="10">
        <f>IF(Tank4!$C$23="No control",(SUMIF(Tank4!$B$32:$B$49,$J3128,Tank4!$C$32:$C$49)*Impacts!$F$11),0)</f>
        <v>0</v>
      </c>
      <c r="P3128" s="10">
        <f>IF(Tank5!$C$23="No control",(SUMIF(Tank5!$B$32:$B$49,$J3128,Tank5!$C$32:$C$49)*Impacts!$F$12),0)</f>
        <v>0</v>
      </c>
      <c r="Q3128" s="10">
        <f>IFERROR(IF(('Loading-drum,tote'!$C$21)="No control",SUMIF(('Loading-drum,tote'!$B$31:$B$48),$J3128,('Loading-drum,tote'!$D$31:$D$48))*Impacts!$F$13,IF(('Loading-drum,tote'!$C$21)&lt;&gt;"No control",SUMIF(('Loading-drum,tote'!$B$31:$B$48),$J3128,('Loading-drum,tote'!$E$31:$E$48))*Impacts!$F$13,0)),0)</f>
        <v>0</v>
      </c>
      <c r="R3128" s="10">
        <f>IFERROR(IF(('Loading-truck'!$C$21)="No control",SUMIF(('Loading-truck'!$B$31:$B$48),$J3128,('Loading-truck'!$D$31:$D$48))*Impacts!$F$14,IF(('Loading-truck'!$C$21)&lt;&gt;"No control",SUMIF(('Loading-truck'!$B$31:$B$48),$J3128,('Loading-truck'!$E$31:$E$48))*Impacts!$F$14,0)),0)</f>
        <v>0</v>
      </c>
      <c r="S3128" s="10">
        <f>IFERROR(IF(('Loading-rail'!$C$21)="No control",SUMIF(('Loading-rail'!$B$31:$B$48),$J3128,('Loading-rail'!$D$31:$D$48))*Impacts!$F$15,IF(('Loading-rail'!$C$21)&lt;&gt;"No control",SUMIF(('Loading-rail'!$B$31:$B$48),$J3128,('Loading-rail'!$E$31:$E$48))*Impacts!$F$15,0)),0)</f>
        <v>0</v>
      </c>
      <c r="T3128" s="10">
        <f>IF(Flare!$C$7="",0,(SUMIF(Flare!$B$46:$B$185,$J3128,Flare!$E$46:$E$185)*Impacts!$F$16))</f>
        <v>0</v>
      </c>
      <c r="U3128" s="10">
        <f>IF(VCU!$C$9="",0,(SUMIF(VCU!$B$51:$B$193,$J3128,VCU!$E$51:$E$193)*Impacts!$F$17))</f>
        <v>0</v>
      </c>
      <c r="V3128" s="10">
        <f>IF(CAS!$C$7="",0,(SUMIF(CAS!$B$31:$B$167,$J3128,CAS!$E$31:$E$167)*Impacts!$F$18))</f>
        <v>0</v>
      </c>
      <c r="W3128" s="10">
        <f t="shared" si="89"/>
        <v>0</v>
      </c>
      <c r="AK3128" s="10" t="str">
        <f t="array" ref="AK3128">IFERROR(INDEX(SelectedSpecies,SMALL(IF(SelectedSpecies=AK$1,ROW(SelectedSpecies)),ROW(3129:3129)),2),"")</f>
        <v/>
      </c>
      <c r="BE3128" s="10"/>
      <c r="BI3128" s="10"/>
    </row>
    <row r="3129" spans="1:61" ht="21" customHeight="1" x14ac:dyDescent="0.25">
      <c r="A3129" s="10"/>
      <c r="B3129" s="10"/>
      <c r="E3129" s="10"/>
      <c r="G3129" s="10"/>
      <c r="I3129" s="436" t="s">
        <v>3243</v>
      </c>
      <c r="J3129" s="26" t="s">
        <v>3242</v>
      </c>
      <c r="K3129" s="10">
        <v>10</v>
      </c>
      <c r="L3129" s="73">
        <f>IF(Tank1!$C$23="No control",(SUMIF(Tank1!$B$32:$B$49,$J3129,Tank1!$C$32:$C$49)*Impacts!$F$8),0)</f>
        <v>0</v>
      </c>
      <c r="M3129" s="10">
        <f>IF(Tank2!$C$23="No control",(SUMIF(Tank2!$B$32:$B$49,$J3129,Tank2!$C$32:$C$49)*Impacts!$F$9),0)</f>
        <v>0</v>
      </c>
      <c r="N3129" s="10">
        <f>IF(Tank3!$C$23="No control",(SUMIF(Tank3!$B$32:$B$49,$J3129,Tank3!$C$32:$C$49)*Impacts!$F$10),0)</f>
        <v>0</v>
      </c>
      <c r="O3129" s="10">
        <f>IF(Tank4!$C$23="No control",(SUMIF(Tank4!$B$32:$B$49,$J3129,Tank4!$C$32:$C$49)*Impacts!$F$11),0)</f>
        <v>0</v>
      </c>
      <c r="P3129" s="10">
        <f>IF(Tank5!$C$23="No control",(SUMIF(Tank5!$B$32:$B$49,$J3129,Tank5!$C$32:$C$49)*Impacts!$F$12),0)</f>
        <v>0</v>
      </c>
      <c r="Q3129" s="10">
        <f>IFERROR(IF(('Loading-drum,tote'!$C$21)="No control",SUMIF(('Loading-drum,tote'!$B$31:$B$48),$J3129,('Loading-drum,tote'!$D$31:$D$48))*Impacts!$F$13,IF(('Loading-drum,tote'!$C$21)&lt;&gt;"No control",SUMIF(('Loading-drum,tote'!$B$31:$B$48),$J3129,('Loading-drum,tote'!$E$31:$E$48))*Impacts!$F$13,0)),0)</f>
        <v>0</v>
      </c>
      <c r="R3129" s="10">
        <f>IFERROR(IF(('Loading-truck'!$C$21)="No control",SUMIF(('Loading-truck'!$B$31:$B$48),$J3129,('Loading-truck'!$D$31:$D$48))*Impacts!$F$14,IF(('Loading-truck'!$C$21)&lt;&gt;"No control",SUMIF(('Loading-truck'!$B$31:$B$48),$J3129,('Loading-truck'!$E$31:$E$48))*Impacts!$F$14,0)),0)</f>
        <v>0</v>
      </c>
      <c r="S3129" s="10">
        <f>IFERROR(IF(('Loading-rail'!$C$21)="No control",SUMIF(('Loading-rail'!$B$31:$B$48),$J3129,('Loading-rail'!$D$31:$D$48))*Impacts!$F$15,IF(('Loading-rail'!$C$21)&lt;&gt;"No control",SUMIF(('Loading-rail'!$B$31:$B$48),$J3129,('Loading-rail'!$E$31:$E$48))*Impacts!$F$15,0)),0)</f>
        <v>0</v>
      </c>
      <c r="T3129" s="10">
        <f>IF(Flare!$C$7="",0,(SUMIF(Flare!$B$46:$B$185,$J3129,Flare!$E$46:$E$185)*Impacts!$F$16))</f>
        <v>0</v>
      </c>
      <c r="U3129" s="10">
        <f>IF(VCU!$C$9="",0,(SUMIF(VCU!$B$51:$B$193,$J3129,VCU!$E$51:$E$193)*Impacts!$F$17))</f>
        <v>0</v>
      </c>
      <c r="V3129" s="10">
        <f>IF(CAS!$C$7="",0,(SUMIF(CAS!$B$31:$B$167,$J3129,CAS!$E$31:$E$167)*Impacts!$F$18))</f>
        <v>0</v>
      </c>
      <c r="W3129" s="10">
        <f t="shared" si="89"/>
        <v>0</v>
      </c>
      <c r="AK3129" s="10" t="str">
        <f t="array" ref="AK3129">IFERROR(INDEX(SelectedSpecies,SMALL(IF(SelectedSpecies=AK$1,ROW(SelectedSpecies)),ROW(3130:3130)),2),"")</f>
        <v/>
      </c>
      <c r="BE3129" s="10"/>
      <c r="BI3129" s="10"/>
    </row>
    <row r="3130" spans="1:61" ht="21" customHeight="1" x14ac:dyDescent="0.25">
      <c r="A3130" s="10"/>
      <c r="B3130" s="10"/>
      <c r="E3130" s="10"/>
      <c r="G3130" s="10"/>
      <c r="I3130" s="436" t="s">
        <v>4009</v>
      </c>
      <c r="J3130" s="26" t="s">
        <v>4008</v>
      </c>
      <c r="K3130" s="10">
        <v>6</v>
      </c>
      <c r="L3130" s="73">
        <f>IF(Tank1!$C$23="No control",(SUMIF(Tank1!$B$32:$B$49,$J3130,Tank1!$C$32:$C$49)*Impacts!$F$8),0)</f>
        <v>0</v>
      </c>
      <c r="M3130" s="10">
        <f>IF(Tank2!$C$23="No control",(SUMIF(Tank2!$B$32:$B$49,$J3130,Tank2!$C$32:$C$49)*Impacts!$F$9),0)</f>
        <v>0</v>
      </c>
      <c r="N3130" s="10">
        <f>IF(Tank3!$C$23="No control",(SUMIF(Tank3!$B$32:$B$49,$J3130,Tank3!$C$32:$C$49)*Impacts!$F$10),0)</f>
        <v>0</v>
      </c>
      <c r="O3130" s="10">
        <f>IF(Tank4!$C$23="No control",(SUMIF(Tank4!$B$32:$B$49,$J3130,Tank4!$C$32:$C$49)*Impacts!$F$11),0)</f>
        <v>0</v>
      </c>
      <c r="P3130" s="10">
        <f>IF(Tank5!$C$23="No control",(SUMIF(Tank5!$B$32:$B$49,$J3130,Tank5!$C$32:$C$49)*Impacts!$F$12),0)</f>
        <v>0</v>
      </c>
      <c r="Q3130" s="10">
        <f>IFERROR(IF(('Loading-drum,tote'!$C$21)="No control",SUMIF(('Loading-drum,tote'!$B$31:$B$48),$J3130,('Loading-drum,tote'!$D$31:$D$48))*Impacts!$F$13,IF(('Loading-drum,tote'!$C$21)&lt;&gt;"No control",SUMIF(('Loading-drum,tote'!$B$31:$B$48),$J3130,('Loading-drum,tote'!$E$31:$E$48))*Impacts!$F$13,0)),0)</f>
        <v>0</v>
      </c>
      <c r="R3130" s="10">
        <f>IFERROR(IF(('Loading-truck'!$C$21)="No control",SUMIF(('Loading-truck'!$B$31:$B$48),$J3130,('Loading-truck'!$D$31:$D$48))*Impacts!$F$14,IF(('Loading-truck'!$C$21)&lt;&gt;"No control",SUMIF(('Loading-truck'!$B$31:$B$48),$J3130,('Loading-truck'!$E$31:$E$48))*Impacts!$F$14,0)),0)</f>
        <v>0</v>
      </c>
      <c r="S3130" s="10">
        <f>IFERROR(IF(('Loading-rail'!$C$21)="No control",SUMIF(('Loading-rail'!$B$31:$B$48),$J3130,('Loading-rail'!$D$31:$D$48))*Impacts!$F$15,IF(('Loading-rail'!$C$21)&lt;&gt;"No control",SUMIF(('Loading-rail'!$B$31:$B$48),$J3130,('Loading-rail'!$E$31:$E$48))*Impacts!$F$15,0)),0)</f>
        <v>0</v>
      </c>
      <c r="T3130" s="10">
        <f>IF(Flare!$C$7="",0,(SUMIF(Flare!$B$46:$B$185,$J3130,Flare!$E$46:$E$185)*Impacts!$F$16))</f>
        <v>0</v>
      </c>
      <c r="U3130" s="10">
        <f>IF(VCU!$C$9="",0,(SUMIF(VCU!$B$51:$B$193,$J3130,VCU!$E$51:$E$193)*Impacts!$F$17))</f>
        <v>0</v>
      </c>
      <c r="V3130" s="10">
        <f>IF(CAS!$C$7="",0,(SUMIF(CAS!$B$31:$B$167,$J3130,CAS!$E$31:$E$167)*Impacts!$F$18))</f>
        <v>0</v>
      </c>
      <c r="W3130" s="10">
        <f t="shared" si="89"/>
        <v>0</v>
      </c>
      <c r="AK3130" s="10" t="str">
        <f t="array" ref="AK3130">IFERROR(INDEX(SelectedSpecies,SMALL(IF(SelectedSpecies=AK$1,ROW(SelectedSpecies)),ROW(3131:3131)),2),"")</f>
        <v/>
      </c>
      <c r="BE3130" s="10"/>
      <c r="BI3130" s="10"/>
    </row>
    <row r="3131" spans="1:61" ht="21" customHeight="1" x14ac:dyDescent="0.25">
      <c r="A3131" s="10"/>
      <c r="B3131" s="10"/>
      <c r="E3131" s="10"/>
      <c r="G3131" s="10"/>
      <c r="I3131" s="436" t="s">
        <v>4011</v>
      </c>
      <c r="J3131" s="26" t="s">
        <v>4010</v>
      </c>
      <c r="K3131" s="10">
        <v>6</v>
      </c>
      <c r="L3131" s="73">
        <f>IF(Tank1!$C$23="No control",(SUMIF(Tank1!$B$32:$B$49,$J3131,Tank1!$C$32:$C$49)*Impacts!$F$8),0)</f>
        <v>0</v>
      </c>
      <c r="M3131" s="10">
        <f>IF(Tank2!$C$23="No control",(SUMIF(Tank2!$B$32:$B$49,$J3131,Tank2!$C$32:$C$49)*Impacts!$F$9),0)</f>
        <v>0</v>
      </c>
      <c r="N3131" s="10">
        <f>IF(Tank3!$C$23="No control",(SUMIF(Tank3!$B$32:$B$49,$J3131,Tank3!$C$32:$C$49)*Impacts!$F$10),0)</f>
        <v>0</v>
      </c>
      <c r="O3131" s="10">
        <f>IF(Tank4!$C$23="No control",(SUMIF(Tank4!$B$32:$B$49,$J3131,Tank4!$C$32:$C$49)*Impacts!$F$11),0)</f>
        <v>0</v>
      </c>
      <c r="P3131" s="10">
        <f>IF(Tank5!$C$23="No control",(SUMIF(Tank5!$B$32:$B$49,$J3131,Tank5!$C$32:$C$49)*Impacts!$F$12),0)</f>
        <v>0</v>
      </c>
      <c r="Q3131" s="10">
        <f>IFERROR(IF(('Loading-drum,tote'!$C$21)="No control",SUMIF(('Loading-drum,tote'!$B$31:$B$48),$J3131,('Loading-drum,tote'!$D$31:$D$48))*Impacts!$F$13,IF(('Loading-drum,tote'!$C$21)&lt;&gt;"No control",SUMIF(('Loading-drum,tote'!$B$31:$B$48),$J3131,('Loading-drum,tote'!$E$31:$E$48))*Impacts!$F$13,0)),0)</f>
        <v>0</v>
      </c>
      <c r="R3131" s="10">
        <f>IFERROR(IF(('Loading-truck'!$C$21)="No control",SUMIF(('Loading-truck'!$B$31:$B$48),$J3131,('Loading-truck'!$D$31:$D$48))*Impacts!$F$14,IF(('Loading-truck'!$C$21)&lt;&gt;"No control",SUMIF(('Loading-truck'!$B$31:$B$48),$J3131,('Loading-truck'!$E$31:$E$48))*Impacts!$F$14,0)),0)</f>
        <v>0</v>
      </c>
      <c r="S3131" s="10">
        <f>IFERROR(IF(('Loading-rail'!$C$21)="No control",SUMIF(('Loading-rail'!$B$31:$B$48),$J3131,('Loading-rail'!$D$31:$D$48))*Impacts!$F$15,IF(('Loading-rail'!$C$21)&lt;&gt;"No control",SUMIF(('Loading-rail'!$B$31:$B$48),$J3131,('Loading-rail'!$E$31:$E$48))*Impacts!$F$15,0)),0)</f>
        <v>0</v>
      </c>
      <c r="T3131" s="10">
        <f>IF(Flare!$C$7="",0,(SUMIF(Flare!$B$46:$B$185,$J3131,Flare!$E$46:$E$185)*Impacts!$F$16))</f>
        <v>0</v>
      </c>
      <c r="U3131" s="10">
        <f>IF(VCU!$C$9="",0,(SUMIF(VCU!$B$51:$B$193,$J3131,VCU!$E$51:$E$193)*Impacts!$F$17))</f>
        <v>0</v>
      </c>
      <c r="V3131" s="10">
        <f>IF(CAS!$C$7="",0,(SUMIF(CAS!$B$31:$B$167,$J3131,CAS!$E$31:$E$167)*Impacts!$F$18))</f>
        <v>0</v>
      </c>
      <c r="W3131" s="10">
        <f t="shared" si="89"/>
        <v>0</v>
      </c>
      <c r="AK3131" s="10" t="str">
        <f t="array" ref="AK3131">IFERROR(INDEX(SelectedSpecies,SMALL(IF(SelectedSpecies=AK$1,ROW(SelectedSpecies)),ROW(3132:3132)),2),"")</f>
        <v/>
      </c>
      <c r="BE3131" s="10"/>
      <c r="BI3131" s="10"/>
    </row>
    <row r="3132" spans="1:61" ht="21" customHeight="1" x14ac:dyDescent="0.25">
      <c r="A3132" s="10"/>
      <c r="B3132" s="10"/>
      <c r="E3132" s="10"/>
      <c r="G3132" s="10"/>
      <c r="I3132" s="436" t="s">
        <v>4013</v>
      </c>
      <c r="J3132" s="26" t="s">
        <v>4012</v>
      </c>
      <c r="K3132" s="10">
        <v>6</v>
      </c>
      <c r="L3132" s="73">
        <f>IF(Tank1!$C$23="No control",(SUMIF(Tank1!$B$32:$B$49,$J3132,Tank1!$C$32:$C$49)*Impacts!$F$8),0)</f>
        <v>0</v>
      </c>
      <c r="M3132" s="10">
        <f>IF(Tank2!$C$23="No control",(SUMIF(Tank2!$B$32:$B$49,$J3132,Tank2!$C$32:$C$49)*Impacts!$F$9),0)</f>
        <v>0</v>
      </c>
      <c r="N3132" s="10">
        <f>IF(Tank3!$C$23="No control",(SUMIF(Tank3!$B$32:$B$49,$J3132,Tank3!$C$32:$C$49)*Impacts!$F$10),0)</f>
        <v>0</v>
      </c>
      <c r="O3132" s="10">
        <f>IF(Tank4!$C$23="No control",(SUMIF(Tank4!$B$32:$B$49,$J3132,Tank4!$C$32:$C$49)*Impacts!$F$11),0)</f>
        <v>0</v>
      </c>
      <c r="P3132" s="10">
        <f>IF(Tank5!$C$23="No control",(SUMIF(Tank5!$B$32:$B$49,$J3132,Tank5!$C$32:$C$49)*Impacts!$F$12),0)</f>
        <v>0</v>
      </c>
      <c r="Q3132" s="10">
        <f>IFERROR(IF(('Loading-drum,tote'!$C$21)="No control",SUMIF(('Loading-drum,tote'!$B$31:$B$48),$J3132,('Loading-drum,tote'!$D$31:$D$48))*Impacts!$F$13,IF(('Loading-drum,tote'!$C$21)&lt;&gt;"No control",SUMIF(('Loading-drum,tote'!$B$31:$B$48),$J3132,('Loading-drum,tote'!$E$31:$E$48))*Impacts!$F$13,0)),0)</f>
        <v>0</v>
      </c>
      <c r="R3132" s="10">
        <f>IFERROR(IF(('Loading-truck'!$C$21)="No control",SUMIF(('Loading-truck'!$B$31:$B$48),$J3132,('Loading-truck'!$D$31:$D$48))*Impacts!$F$14,IF(('Loading-truck'!$C$21)&lt;&gt;"No control",SUMIF(('Loading-truck'!$B$31:$B$48),$J3132,('Loading-truck'!$E$31:$E$48))*Impacts!$F$14,0)),0)</f>
        <v>0</v>
      </c>
      <c r="S3132" s="10">
        <f>IFERROR(IF(('Loading-rail'!$C$21)="No control",SUMIF(('Loading-rail'!$B$31:$B$48),$J3132,('Loading-rail'!$D$31:$D$48))*Impacts!$F$15,IF(('Loading-rail'!$C$21)&lt;&gt;"No control",SUMIF(('Loading-rail'!$B$31:$B$48),$J3132,('Loading-rail'!$E$31:$E$48))*Impacts!$F$15,0)),0)</f>
        <v>0</v>
      </c>
      <c r="T3132" s="10">
        <f>IF(Flare!$C$7="",0,(SUMIF(Flare!$B$46:$B$185,$J3132,Flare!$E$46:$E$185)*Impacts!$F$16))</f>
        <v>0</v>
      </c>
      <c r="U3132" s="10">
        <f>IF(VCU!$C$9="",0,(SUMIF(VCU!$B$51:$B$193,$J3132,VCU!$E$51:$E$193)*Impacts!$F$17))</f>
        <v>0</v>
      </c>
      <c r="V3132" s="10">
        <f>IF(CAS!$C$7="",0,(SUMIF(CAS!$B$31:$B$167,$J3132,CAS!$E$31:$E$167)*Impacts!$F$18))</f>
        <v>0</v>
      </c>
      <c r="W3132" s="10">
        <f t="shared" si="89"/>
        <v>0</v>
      </c>
      <c r="AK3132" s="10" t="str">
        <f t="array" ref="AK3132">IFERROR(INDEX(SelectedSpecies,SMALL(IF(SelectedSpecies=AK$1,ROW(SelectedSpecies)),ROW(3133:3133)),2),"")</f>
        <v/>
      </c>
      <c r="BE3132" s="10"/>
      <c r="BI3132" s="10"/>
    </row>
    <row r="3133" spans="1:61" ht="21" customHeight="1" x14ac:dyDescent="0.25">
      <c r="A3133" s="10"/>
      <c r="B3133" s="10"/>
      <c r="E3133" s="10"/>
      <c r="G3133" s="10"/>
      <c r="I3133" s="436" t="s">
        <v>1246</v>
      </c>
      <c r="J3133" s="26" t="s">
        <v>1245</v>
      </c>
      <c r="K3133" s="10">
        <v>34</v>
      </c>
      <c r="L3133" s="73">
        <f>IF(Tank1!$C$23="No control",(SUMIF(Tank1!$B$32:$B$49,$J3133,Tank1!$C$32:$C$49)*Impacts!$F$8),0)</f>
        <v>0</v>
      </c>
      <c r="M3133" s="10">
        <f>IF(Tank2!$C$23="No control",(SUMIF(Tank2!$B$32:$B$49,$J3133,Tank2!$C$32:$C$49)*Impacts!$F$9),0)</f>
        <v>0</v>
      </c>
      <c r="N3133" s="10">
        <f>IF(Tank3!$C$23="No control",(SUMIF(Tank3!$B$32:$B$49,$J3133,Tank3!$C$32:$C$49)*Impacts!$F$10),0)</f>
        <v>0</v>
      </c>
      <c r="O3133" s="10">
        <f>IF(Tank4!$C$23="No control",(SUMIF(Tank4!$B$32:$B$49,$J3133,Tank4!$C$32:$C$49)*Impacts!$F$11),0)</f>
        <v>0</v>
      </c>
      <c r="P3133" s="10">
        <f>IF(Tank5!$C$23="No control",(SUMIF(Tank5!$B$32:$B$49,$J3133,Tank5!$C$32:$C$49)*Impacts!$F$12),0)</f>
        <v>0</v>
      </c>
      <c r="Q3133" s="10">
        <f>IFERROR(IF(('Loading-drum,tote'!$C$21)="No control",SUMIF(('Loading-drum,tote'!$B$31:$B$48),$J3133,('Loading-drum,tote'!$D$31:$D$48))*Impacts!$F$13,IF(('Loading-drum,tote'!$C$21)&lt;&gt;"No control",SUMIF(('Loading-drum,tote'!$B$31:$B$48),$J3133,('Loading-drum,tote'!$E$31:$E$48))*Impacts!$F$13,0)),0)</f>
        <v>0</v>
      </c>
      <c r="R3133" s="10">
        <f>IFERROR(IF(('Loading-truck'!$C$21)="No control",SUMIF(('Loading-truck'!$B$31:$B$48),$J3133,('Loading-truck'!$D$31:$D$48))*Impacts!$F$14,IF(('Loading-truck'!$C$21)&lt;&gt;"No control",SUMIF(('Loading-truck'!$B$31:$B$48),$J3133,('Loading-truck'!$E$31:$E$48))*Impacts!$F$14,0)),0)</f>
        <v>0</v>
      </c>
      <c r="S3133" s="10">
        <f>IFERROR(IF(('Loading-rail'!$C$21)="No control",SUMIF(('Loading-rail'!$B$31:$B$48),$J3133,('Loading-rail'!$D$31:$D$48))*Impacts!$F$15,IF(('Loading-rail'!$C$21)&lt;&gt;"No control",SUMIF(('Loading-rail'!$B$31:$B$48),$J3133,('Loading-rail'!$E$31:$E$48))*Impacts!$F$15,0)),0)</f>
        <v>0</v>
      </c>
      <c r="T3133" s="10">
        <f>IF(Flare!$C$7="",0,(SUMIF(Flare!$B$46:$B$185,$J3133,Flare!$E$46:$E$185)*Impacts!$F$16))</f>
        <v>0</v>
      </c>
      <c r="U3133" s="10">
        <f>IF(VCU!$C$9="",0,(SUMIF(VCU!$B$51:$B$193,$J3133,VCU!$E$51:$E$193)*Impacts!$F$17))</f>
        <v>0</v>
      </c>
      <c r="V3133" s="10">
        <f>IF(CAS!$C$7="",0,(SUMIF(CAS!$B$31:$B$167,$J3133,CAS!$E$31:$E$167)*Impacts!$F$18))</f>
        <v>0</v>
      </c>
      <c r="W3133" s="10">
        <f t="shared" si="89"/>
        <v>0</v>
      </c>
      <c r="AK3133" s="10" t="str">
        <f t="array" ref="AK3133">IFERROR(INDEX(SelectedSpecies,SMALL(IF(SelectedSpecies=AK$1,ROW(SelectedSpecies)),ROW(3134:3134)),2),"")</f>
        <v/>
      </c>
      <c r="BE3133" s="10"/>
      <c r="BI3133" s="10"/>
    </row>
    <row r="3134" spans="1:61" ht="21" customHeight="1" x14ac:dyDescent="0.25">
      <c r="A3134" s="10"/>
      <c r="B3134" s="10"/>
      <c r="E3134" s="10"/>
      <c r="G3134" s="10"/>
      <c r="I3134" s="436" t="s">
        <v>3245</v>
      </c>
      <c r="J3134" s="26" t="s">
        <v>3244</v>
      </c>
      <c r="K3134" s="10">
        <v>10</v>
      </c>
      <c r="L3134" s="73">
        <f>IF(Tank1!$C$23="No control",(SUMIF(Tank1!$B$32:$B$49,$J3134,Tank1!$C$32:$C$49)*Impacts!$F$8),0)</f>
        <v>0</v>
      </c>
      <c r="M3134" s="10">
        <f>IF(Tank2!$C$23="No control",(SUMIF(Tank2!$B$32:$B$49,$J3134,Tank2!$C$32:$C$49)*Impacts!$F$9),0)</f>
        <v>0</v>
      </c>
      <c r="N3134" s="10">
        <f>IF(Tank3!$C$23="No control",(SUMIF(Tank3!$B$32:$B$49,$J3134,Tank3!$C$32:$C$49)*Impacts!$F$10),0)</f>
        <v>0</v>
      </c>
      <c r="O3134" s="10">
        <f>IF(Tank4!$C$23="No control",(SUMIF(Tank4!$B$32:$B$49,$J3134,Tank4!$C$32:$C$49)*Impacts!$F$11),0)</f>
        <v>0</v>
      </c>
      <c r="P3134" s="10">
        <f>IF(Tank5!$C$23="No control",(SUMIF(Tank5!$B$32:$B$49,$J3134,Tank5!$C$32:$C$49)*Impacts!$F$12),0)</f>
        <v>0</v>
      </c>
      <c r="Q3134" s="10">
        <f>IFERROR(IF(('Loading-drum,tote'!$C$21)="No control",SUMIF(('Loading-drum,tote'!$B$31:$B$48),$J3134,('Loading-drum,tote'!$D$31:$D$48))*Impacts!$F$13,IF(('Loading-drum,tote'!$C$21)&lt;&gt;"No control",SUMIF(('Loading-drum,tote'!$B$31:$B$48),$J3134,('Loading-drum,tote'!$E$31:$E$48))*Impacts!$F$13,0)),0)</f>
        <v>0</v>
      </c>
      <c r="R3134" s="10">
        <f>IFERROR(IF(('Loading-truck'!$C$21)="No control",SUMIF(('Loading-truck'!$B$31:$B$48),$J3134,('Loading-truck'!$D$31:$D$48))*Impacts!$F$14,IF(('Loading-truck'!$C$21)&lt;&gt;"No control",SUMIF(('Loading-truck'!$B$31:$B$48),$J3134,('Loading-truck'!$E$31:$E$48))*Impacts!$F$14,0)),0)</f>
        <v>0</v>
      </c>
      <c r="S3134" s="10">
        <f>IFERROR(IF(('Loading-rail'!$C$21)="No control",SUMIF(('Loading-rail'!$B$31:$B$48),$J3134,('Loading-rail'!$D$31:$D$48))*Impacts!$F$15,IF(('Loading-rail'!$C$21)&lt;&gt;"No control",SUMIF(('Loading-rail'!$B$31:$B$48),$J3134,('Loading-rail'!$E$31:$E$48))*Impacts!$F$15,0)),0)</f>
        <v>0</v>
      </c>
      <c r="T3134" s="10">
        <f>IF(Flare!$C$7="",0,(SUMIF(Flare!$B$46:$B$185,$J3134,Flare!$E$46:$E$185)*Impacts!$F$16))</f>
        <v>0</v>
      </c>
      <c r="U3134" s="10">
        <f>IF(VCU!$C$9="",0,(SUMIF(VCU!$B$51:$B$193,$J3134,VCU!$E$51:$E$193)*Impacts!$F$17))</f>
        <v>0</v>
      </c>
      <c r="V3134" s="10">
        <f>IF(CAS!$C$7="",0,(SUMIF(CAS!$B$31:$B$167,$J3134,CAS!$E$31:$E$167)*Impacts!$F$18))</f>
        <v>0</v>
      </c>
      <c r="W3134" s="10">
        <f t="shared" si="89"/>
        <v>0</v>
      </c>
      <c r="AK3134" s="10" t="str">
        <f t="array" ref="AK3134">IFERROR(INDEX(SelectedSpecies,SMALL(IF(SelectedSpecies=AK$1,ROW(SelectedSpecies)),ROW(3135:3135)),2),"")</f>
        <v/>
      </c>
      <c r="BE3134" s="10"/>
      <c r="BI3134" s="10"/>
    </row>
    <row r="3135" spans="1:61" ht="21" customHeight="1" x14ac:dyDescent="0.25">
      <c r="A3135" s="10"/>
      <c r="B3135" s="10"/>
      <c r="E3135" s="10"/>
      <c r="G3135" s="10"/>
      <c r="I3135" s="436" t="s">
        <v>4115</v>
      </c>
      <c r="J3135" s="26" t="s">
        <v>4114</v>
      </c>
      <c r="K3135" s="10">
        <v>5.4</v>
      </c>
      <c r="L3135" s="73">
        <f>IF(Tank1!$C$23="No control",(SUMIF(Tank1!$B$32:$B$49,$J3135,Tank1!$C$32:$C$49)*Impacts!$F$8),0)</f>
        <v>0</v>
      </c>
      <c r="M3135" s="10">
        <f>IF(Tank2!$C$23="No control",(SUMIF(Tank2!$B$32:$B$49,$J3135,Tank2!$C$32:$C$49)*Impacts!$F$9),0)</f>
        <v>0</v>
      </c>
      <c r="N3135" s="10">
        <f>IF(Tank3!$C$23="No control",(SUMIF(Tank3!$B$32:$B$49,$J3135,Tank3!$C$32:$C$49)*Impacts!$F$10),0)</f>
        <v>0</v>
      </c>
      <c r="O3135" s="10">
        <f>IF(Tank4!$C$23="No control",(SUMIF(Tank4!$B$32:$B$49,$J3135,Tank4!$C$32:$C$49)*Impacts!$F$11),0)</f>
        <v>0</v>
      </c>
      <c r="P3135" s="10">
        <f>IF(Tank5!$C$23="No control",(SUMIF(Tank5!$B$32:$B$49,$J3135,Tank5!$C$32:$C$49)*Impacts!$F$12),0)</f>
        <v>0</v>
      </c>
      <c r="Q3135" s="10">
        <f>IFERROR(IF(('Loading-drum,tote'!$C$21)="No control",SUMIF(('Loading-drum,tote'!$B$31:$B$48),$J3135,('Loading-drum,tote'!$D$31:$D$48))*Impacts!$F$13,IF(('Loading-drum,tote'!$C$21)&lt;&gt;"No control",SUMIF(('Loading-drum,tote'!$B$31:$B$48),$J3135,('Loading-drum,tote'!$E$31:$E$48))*Impacts!$F$13,0)),0)</f>
        <v>0</v>
      </c>
      <c r="R3135" s="10">
        <f>IFERROR(IF(('Loading-truck'!$C$21)="No control",SUMIF(('Loading-truck'!$B$31:$B$48),$J3135,('Loading-truck'!$D$31:$D$48))*Impacts!$F$14,IF(('Loading-truck'!$C$21)&lt;&gt;"No control",SUMIF(('Loading-truck'!$B$31:$B$48),$J3135,('Loading-truck'!$E$31:$E$48))*Impacts!$F$14,0)),0)</f>
        <v>0</v>
      </c>
      <c r="S3135" s="10">
        <f>IFERROR(IF(('Loading-rail'!$C$21)="No control",SUMIF(('Loading-rail'!$B$31:$B$48),$J3135,('Loading-rail'!$D$31:$D$48))*Impacts!$F$15,IF(('Loading-rail'!$C$21)&lt;&gt;"No control",SUMIF(('Loading-rail'!$B$31:$B$48),$J3135,('Loading-rail'!$E$31:$E$48))*Impacts!$F$15,0)),0)</f>
        <v>0</v>
      </c>
      <c r="T3135" s="10">
        <f>IF(Flare!$C$7="",0,(SUMIF(Flare!$B$46:$B$185,$J3135,Flare!$E$46:$E$185)*Impacts!$F$16))</f>
        <v>0</v>
      </c>
      <c r="U3135" s="10">
        <f>IF(VCU!$C$9="",0,(SUMIF(VCU!$B$51:$B$193,$J3135,VCU!$E$51:$E$193)*Impacts!$F$17))</f>
        <v>0</v>
      </c>
      <c r="V3135" s="10">
        <f>IF(CAS!$C$7="",0,(SUMIF(CAS!$B$31:$B$167,$J3135,CAS!$E$31:$E$167)*Impacts!$F$18))</f>
        <v>0</v>
      </c>
      <c r="W3135" s="10">
        <f t="shared" si="89"/>
        <v>0</v>
      </c>
      <c r="AK3135" s="10" t="str">
        <f t="array" ref="AK3135">IFERROR(INDEX(SelectedSpecies,SMALL(IF(SelectedSpecies=AK$1,ROW(SelectedSpecies)),ROW(3136:3136)),2),"")</f>
        <v/>
      </c>
      <c r="BE3135" s="10"/>
      <c r="BI3135" s="10"/>
    </row>
    <row r="3136" spans="1:61" ht="21" customHeight="1" x14ac:dyDescent="0.25">
      <c r="A3136" s="10"/>
      <c r="B3136" s="10"/>
      <c r="E3136" s="10"/>
      <c r="G3136" s="10"/>
      <c r="I3136" s="436" t="s">
        <v>3247</v>
      </c>
      <c r="J3136" s="26" t="s">
        <v>3246</v>
      </c>
      <c r="K3136" s="10">
        <v>10</v>
      </c>
      <c r="L3136" s="73">
        <f>IF(Tank1!$C$23="No control",(SUMIF(Tank1!$B$32:$B$49,$J3136,Tank1!$C$32:$C$49)*Impacts!$F$8),0)</f>
        <v>0</v>
      </c>
      <c r="M3136" s="10">
        <f>IF(Tank2!$C$23="No control",(SUMIF(Tank2!$B$32:$B$49,$J3136,Tank2!$C$32:$C$49)*Impacts!$F$9),0)</f>
        <v>0</v>
      </c>
      <c r="N3136" s="10">
        <f>IF(Tank3!$C$23="No control",(SUMIF(Tank3!$B$32:$B$49,$J3136,Tank3!$C$32:$C$49)*Impacts!$F$10),0)</f>
        <v>0</v>
      </c>
      <c r="O3136" s="10">
        <f>IF(Tank4!$C$23="No control",(SUMIF(Tank4!$B$32:$B$49,$J3136,Tank4!$C$32:$C$49)*Impacts!$F$11),0)</f>
        <v>0</v>
      </c>
      <c r="P3136" s="10">
        <f>IF(Tank5!$C$23="No control",(SUMIF(Tank5!$B$32:$B$49,$J3136,Tank5!$C$32:$C$49)*Impacts!$F$12),0)</f>
        <v>0</v>
      </c>
      <c r="Q3136" s="10">
        <f>IFERROR(IF(('Loading-drum,tote'!$C$21)="No control",SUMIF(('Loading-drum,tote'!$B$31:$B$48),$J3136,('Loading-drum,tote'!$D$31:$D$48))*Impacts!$F$13,IF(('Loading-drum,tote'!$C$21)&lt;&gt;"No control",SUMIF(('Loading-drum,tote'!$B$31:$B$48),$J3136,('Loading-drum,tote'!$E$31:$E$48))*Impacts!$F$13,0)),0)</f>
        <v>0</v>
      </c>
      <c r="R3136" s="10">
        <f>IFERROR(IF(('Loading-truck'!$C$21)="No control",SUMIF(('Loading-truck'!$B$31:$B$48),$J3136,('Loading-truck'!$D$31:$D$48))*Impacts!$F$14,IF(('Loading-truck'!$C$21)&lt;&gt;"No control",SUMIF(('Loading-truck'!$B$31:$B$48),$J3136,('Loading-truck'!$E$31:$E$48))*Impacts!$F$14,0)),0)</f>
        <v>0</v>
      </c>
      <c r="S3136" s="10">
        <f>IFERROR(IF(('Loading-rail'!$C$21)="No control",SUMIF(('Loading-rail'!$B$31:$B$48),$J3136,('Loading-rail'!$D$31:$D$48))*Impacts!$F$15,IF(('Loading-rail'!$C$21)&lt;&gt;"No control",SUMIF(('Loading-rail'!$B$31:$B$48),$J3136,('Loading-rail'!$E$31:$E$48))*Impacts!$F$15,0)),0)</f>
        <v>0</v>
      </c>
      <c r="T3136" s="10">
        <f>IF(Flare!$C$7="",0,(SUMIF(Flare!$B$46:$B$185,$J3136,Flare!$E$46:$E$185)*Impacts!$F$16))</f>
        <v>0</v>
      </c>
      <c r="U3136" s="10">
        <f>IF(VCU!$C$9="",0,(SUMIF(VCU!$B$51:$B$193,$J3136,VCU!$E$51:$E$193)*Impacts!$F$17))</f>
        <v>0</v>
      </c>
      <c r="V3136" s="10">
        <f>IF(CAS!$C$7="",0,(SUMIF(CAS!$B$31:$B$167,$J3136,CAS!$E$31:$E$167)*Impacts!$F$18))</f>
        <v>0</v>
      </c>
      <c r="W3136" s="10">
        <f t="shared" si="89"/>
        <v>0</v>
      </c>
      <c r="AK3136" s="10" t="str">
        <f t="array" ref="AK3136">IFERROR(INDEX(SelectedSpecies,SMALL(IF(SelectedSpecies=AK$1,ROW(SelectedSpecies)),ROW(3137:3137)),2),"")</f>
        <v/>
      </c>
      <c r="BE3136" s="10"/>
      <c r="BI3136" s="10"/>
    </row>
    <row r="3137" spans="1:61" ht="21" customHeight="1" x14ac:dyDescent="0.25">
      <c r="A3137" s="10"/>
      <c r="B3137" s="10"/>
      <c r="E3137" s="10"/>
      <c r="G3137" s="10"/>
      <c r="I3137" s="436" t="s">
        <v>7140</v>
      </c>
      <c r="J3137" s="26" t="s">
        <v>7139</v>
      </c>
      <c r="K3137" s="10">
        <v>0.38</v>
      </c>
      <c r="L3137" s="73">
        <f>IF(Tank1!$C$23="No control",(SUMIF(Tank1!$B$32:$B$49,$J3137,Tank1!$C$32:$C$49)*Impacts!$F$8),0)</f>
        <v>0</v>
      </c>
      <c r="M3137" s="10">
        <f>IF(Tank2!$C$23="No control",(SUMIF(Tank2!$B$32:$B$49,$J3137,Tank2!$C$32:$C$49)*Impacts!$F$9),0)</f>
        <v>0</v>
      </c>
      <c r="N3137" s="10">
        <f>IF(Tank3!$C$23="No control",(SUMIF(Tank3!$B$32:$B$49,$J3137,Tank3!$C$32:$C$49)*Impacts!$F$10),0)</f>
        <v>0</v>
      </c>
      <c r="O3137" s="10">
        <f>IF(Tank4!$C$23="No control",(SUMIF(Tank4!$B$32:$B$49,$J3137,Tank4!$C$32:$C$49)*Impacts!$F$11),0)</f>
        <v>0</v>
      </c>
      <c r="P3137" s="10">
        <f>IF(Tank5!$C$23="No control",(SUMIF(Tank5!$B$32:$B$49,$J3137,Tank5!$C$32:$C$49)*Impacts!$F$12),0)</f>
        <v>0</v>
      </c>
      <c r="Q3137" s="10">
        <f>IFERROR(IF(('Loading-drum,tote'!$C$21)="No control",SUMIF(('Loading-drum,tote'!$B$31:$B$48),$J3137,('Loading-drum,tote'!$D$31:$D$48))*Impacts!$F$13,IF(('Loading-drum,tote'!$C$21)&lt;&gt;"No control",SUMIF(('Loading-drum,tote'!$B$31:$B$48),$J3137,('Loading-drum,tote'!$E$31:$E$48))*Impacts!$F$13,0)),0)</f>
        <v>0</v>
      </c>
      <c r="R3137" s="10">
        <f>IFERROR(IF(('Loading-truck'!$C$21)="No control",SUMIF(('Loading-truck'!$B$31:$B$48),$J3137,('Loading-truck'!$D$31:$D$48))*Impacts!$F$14,IF(('Loading-truck'!$C$21)&lt;&gt;"No control",SUMIF(('Loading-truck'!$B$31:$B$48),$J3137,('Loading-truck'!$E$31:$E$48))*Impacts!$F$14,0)),0)</f>
        <v>0</v>
      </c>
      <c r="S3137" s="10">
        <f>IFERROR(IF(('Loading-rail'!$C$21)="No control",SUMIF(('Loading-rail'!$B$31:$B$48),$J3137,('Loading-rail'!$D$31:$D$48))*Impacts!$F$15,IF(('Loading-rail'!$C$21)&lt;&gt;"No control",SUMIF(('Loading-rail'!$B$31:$B$48),$J3137,('Loading-rail'!$E$31:$E$48))*Impacts!$F$15,0)),0)</f>
        <v>0</v>
      </c>
      <c r="T3137" s="10">
        <f>IF(Flare!$C$7="",0,(SUMIF(Flare!$B$46:$B$185,$J3137,Flare!$E$46:$E$185)*Impacts!$F$16))</f>
        <v>0</v>
      </c>
      <c r="U3137" s="10">
        <f>IF(VCU!$C$9="",0,(SUMIF(VCU!$B$51:$B$193,$J3137,VCU!$E$51:$E$193)*Impacts!$F$17))</f>
        <v>0</v>
      </c>
      <c r="V3137" s="10">
        <f>IF(CAS!$C$7="",0,(SUMIF(CAS!$B$31:$B$167,$J3137,CAS!$E$31:$E$167)*Impacts!$F$18))</f>
        <v>0</v>
      </c>
      <c r="W3137" s="10">
        <f t="shared" si="89"/>
        <v>0</v>
      </c>
      <c r="AK3137" s="10" t="str">
        <f t="array" ref="AK3137">IFERROR(INDEX(SelectedSpecies,SMALL(IF(SelectedSpecies=AK$1,ROW(SelectedSpecies)),ROW(3138:3138)),2),"")</f>
        <v/>
      </c>
      <c r="BE3137" s="10"/>
      <c r="BI3137" s="10"/>
    </row>
    <row r="3138" spans="1:61" ht="21" customHeight="1" x14ac:dyDescent="0.25">
      <c r="A3138" s="10"/>
      <c r="B3138" s="10"/>
      <c r="E3138" s="10"/>
      <c r="G3138" s="10"/>
      <c r="I3138" s="436" t="s">
        <v>5291</v>
      </c>
      <c r="J3138" s="26" t="s">
        <v>5290</v>
      </c>
      <c r="K3138" s="10">
        <v>1.8</v>
      </c>
      <c r="L3138" s="73">
        <f>IF(Tank1!$C$23="No control",(SUMIF(Tank1!$B$32:$B$49,$J3138,Tank1!$C$32:$C$49)*Impacts!$F$8),0)</f>
        <v>0</v>
      </c>
      <c r="M3138" s="10">
        <f>IF(Tank2!$C$23="No control",(SUMIF(Tank2!$B$32:$B$49,$J3138,Tank2!$C$32:$C$49)*Impacts!$F$9),0)</f>
        <v>0</v>
      </c>
      <c r="N3138" s="10">
        <f>IF(Tank3!$C$23="No control",(SUMIF(Tank3!$B$32:$B$49,$J3138,Tank3!$C$32:$C$49)*Impacts!$F$10),0)</f>
        <v>0</v>
      </c>
      <c r="O3138" s="10">
        <f>IF(Tank4!$C$23="No control",(SUMIF(Tank4!$B$32:$B$49,$J3138,Tank4!$C$32:$C$49)*Impacts!$F$11),0)</f>
        <v>0</v>
      </c>
      <c r="P3138" s="10">
        <f>IF(Tank5!$C$23="No control",(SUMIF(Tank5!$B$32:$B$49,$J3138,Tank5!$C$32:$C$49)*Impacts!$F$12),0)</f>
        <v>0</v>
      </c>
      <c r="Q3138" s="10">
        <f>IFERROR(IF(('Loading-drum,tote'!$C$21)="No control",SUMIF(('Loading-drum,tote'!$B$31:$B$48),$J3138,('Loading-drum,tote'!$D$31:$D$48))*Impacts!$F$13,IF(('Loading-drum,tote'!$C$21)&lt;&gt;"No control",SUMIF(('Loading-drum,tote'!$B$31:$B$48),$J3138,('Loading-drum,tote'!$E$31:$E$48))*Impacts!$F$13,0)),0)</f>
        <v>0</v>
      </c>
      <c r="R3138" s="10">
        <f>IFERROR(IF(('Loading-truck'!$C$21)="No control",SUMIF(('Loading-truck'!$B$31:$B$48),$J3138,('Loading-truck'!$D$31:$D$48))*Impacts!$F$14,IF(('Loading-truck'!$C$21)&lt;&gt;"No control",SUMIF(('Loading-truck'!$B$31:$B$48),$J3138,('Loading-truck'!$E$31:$E$48))*Impacts!$F$14,0)),0)</f>
        <v>0</v>
      </c>
      <c r="S3138" s="10">
        <f>IFERROR(IF(('Loading-rail'!$C$21)="No control",SUMIF(('Loading-rail'!$B$31:$B$48),$J3138,('Loading-rail'!$D$31:$D$48))*Impacts!$F$15,IF(('Loading-rail'!$C$21)&lt;&gt;"No control",SUMIF(('Loading-rail'!$B$31:$B$48),$J3138,('Loading-rail'!$E$31:$E$48))*Impacts!$F$15,0)),0)</f>
        <v>0</v>
      </c>
      <c r="T3138" s="10">
        <f>IF(Flare!$C$7="",0,(SUMIF(Flare!$B$46:$B$185,$J3138,Flare!$E$46:$E$185)*Impacts!$F$16))</f>
        <v>0</v>
      </c>
      <c r="U3138" s="10">
        <f>IF(VCU!$C$9="",0,(SUMIF(VCU!$B$51:$B$193,$J3138,VCU!$E$51:$E$193)*Impacts!$F$17))</f>
        <v>0</v>
      </c>
      <c r="V3138" s="10">
        <f>IF(CAS!$C$7="",0,(SUMIF(CAS!$B$31:$B$167,$J3138,CAS!$E$31:$E$167)*Impacts!$F$18))</f>
        <v>0</v>
      </c>
      <c r="W3138" s="10">
        <f t="shared" si="89"/>
        <v>0</v>
      </c>
      <c r="AK3138" s="10" t="str">
        <f t="array" ref="AK3138">IFERROR(INDEX(SelectedSpecies,SMALL(IF(SelectedSpecies=AK$1,ROW(SelectedSpecies)),ROW(3139:3139)),2),"")</f>
        <v/>
      </c>
      <c r="BE3138" s="10"/>
      <c r="BI3138" s="10"/>
    </row>
    <row r="3139" spans="1:61" ht="21" customHeight="1" x14ac:dyDescent="0.25">
      <c r="A3139" s="10"/>
      <c r="B3139" s="10"/>
      <c r="E3139" s="10"/>
      <c r="G3139" s="10"/>
      <c r="I3139" s="436" t="s">
        <v>6104</v>
      </c>
      <c r="J3139" s="26" t="s">
        <v>6103</v>
      </c>
      <c r="K3139" s="10">
        <v>1</v>
      </c>
      <c r="L3139" s="73">
        <f>IF(Tank1!$C$23="No control",(SUMIF(Tank1!$B$32:$B$49,$J3139,Tank1!$C$32:$C$49)*Impacts!$F$8),0)</f>
        <v>0</v>
      </c>
      <c r="M3139" s="10">
        <f>IF(Tank2!$C$23="No control",(SUMIF(Tank2!$B$32:$B$49,$J3139,Tank2!$C$32:$C$49)*Impacts!$F$9),0)</f>
        <v>0</v>
      </c>
      <c r="N3139" s="10">
        <f>IF(Tank3!$C$23="No control",(SUMIF(Tank3!$B$32:$B$49,$J3139,Tank3!$C$32:$C$49)*Impacts!$F$10),0)</f>
        <v>0</v>
      </c>
      <c r="O3139" s="10">
        <f>IF(Tank4!$C$23="No control",(SUMIF(Tank4!$B$32:$B$49,$J3139,Tank4!$C$32:$C$49)*Impacts!$F$11),0)</f>
        <v>0</v>
      </c>
      <c r="P3139" s="10">
        <f>IF(Tank5!$C$23="No control",(SUMIF(Tank5!$B$32:$B$49,$J3139,Tank5!$C$32:$C$49)*Impacts!$F$12),0)</f>
        <v>0</v>
      </c>
      <c r="Q3139" s="10">
        <f>IFERROR(IF(('Loading-drum,tote'!$C$21)="No control",SUMIF(('Loading-drum,tote'!$B$31:$B$48),$J3139,('Loading-drum,tote'!$D$31:$D$48))*Impacts!$F$13,IF(('Loading-drum,tote'!$C$21)&lt;&gt;"No control",SUMIF(('Loading-drum,tote'!$B$31:$B$48),$J3139,('Loading-drum,tote'!$E$31:$E$48))*Impacts!$F$13,0)),0)</f>
        <v>0</v>
      </c>
      <c r="R3139" s="10">
        <f>IFERROR(IF(('Loading-truck'!$C$21)="No control",SUMIF(('Loading-truck'!$B$31:$B$48),$J3139,('Loading-truck'!$D$31:$D$48))*Impacts!$F$14,IF(('Loading-truck'!$C$21)&lt;&gt;"No control",SUMIF(('Loading-truck'!$B$31:$B$48),$J3139,('Loading-truck'!$E$31:$E$48))*Impacts!$F$14,0)),0)</f>
        <v>0</v>
      </c>
      <c r="S3139" s="10">
        <f>IFERROR(IF(('Loading-rail'!$C$21)="No control",SUMIF(('Loading-rail'!$B$31:$B$48),$J3139,('Loading-rail'!$D$31:$D$48))*Impacts!$F$15,IF(('Loading-rail'!$C$21)&lt;&gt;"No control",SUMIF(('Loading-rail'!$B$31:$B$48),$J3139,('Loading-rail'!$E$31:$E$48))*Impacts!$F$15,0)),0)</f>
        <v>0</v>
      </c>
      <c r="T3139" s="10">
        <f>IF(Flare!$C$7="",0,(SUMIF(Flare!$B$46:$B$185,$J3139,Flare!$E$46:$E$185)*Impacts!$F$16))</f>
        <v>0</v>
      </c>
      <c r="U3139" s="10">
        <f>IF(VCU!$C$9="",0,(SUMIF(VCU!$B$51:$B$193,$J3139,VCU!$E$51:$E$193)*Impacts!$F$17))</f>
        <v>0</v>
      </c>
      <c r="V3139" s="10">
        <f>IF(CAS!$C$7="",0,(SUMIF(CAS!$B$31:$B$167,$J3139,CAS!$E$31:$E$167)*Impacts!$F$18))</f>
        <v>0</v>
      </c>
      <c r="W3139" s="10">
        <f t="shared" si="89"/>
        <v>0</v>
      </c>
      <c r="AK3139" s="10" t="str">
        <f t="array" ref="AK3139">IFERROR(INDEX(SelectedSpecies,SMALL(IF(SelectedSpecies=AK$1,ROW(SelectedSpecies)),ROW(3140:3140)),2),"")</f>
        <v/>
      </c>
      <c r="BE3139" s="10"/>
      <c r="BI3139" s="10"/>
    </row>
    <row r="3140" spans="1:61" ht="21" customHeight="1" x14ac:dyDescent="0.25">
      <c r="A3140" s="10"/>
      <c r="B3140" s="10"/>
      <c r="E3140" s="10"/>
      <c r="G3140" s="10"/>
      <c r="I3140" s="436" t="s">
        <v>6106</v>
      </c>
      <c r="J3140" s="26" t="s">
        <v>6105</v>
      </c>
      <c r="K3140" s="10">
        <v>1</v>
      </c>
      <c r="L3140" s="73">
        <f>IF(Tank1!$C$23="No control",(SUMIF(Tank1!$B$32:$B$49,$J3140,Tank1!$C$32:$C$49)*Impacts!$F$8),0)</f>
        <v>0</v>
      </c>
      <c r="M3140" s="10">
        <f>IF(Tank2!$C$23="No control",(SUMIF(Tank2!$B$32:$B$49,$J3140,Tank2!$C$32:$C$49)*Impacts!$F$9),0)</f>
        <v>0</v>
      </c>
      <c r="N3140" s="10">
        <f>IF(Tank3!$C$23="No control",(SUMIF(Tank3!$B$32:$B$49,$J3140,Tank3!$C$32:$C$49)*Impacts!$F$10),0)</f>
        <v>0</v>
      </c>
      <c r="O3140" s="10">
        <f>IF(Tank4!$C$23="No control",(SUMIF(Tank4!$B$32:$B$49,$J3140,Tank4!$C$32:$C$49)*Impacts!$F$11),0)</f>
        <v>0</v>
      </c>
      <c r="P3140" s="10">
        <f>IF(Tank5!$C$23="No control",(SUMIF(Tank5!$B$32:$B$49,$J3140,Tank5!$C$32:$C$49)*Impacts!$F$12),0)</f>
        <v>0</v>
      </c>
      <c r="Q3140" s="10">
        <f>IFERROR(IF(('Loading-drum,tote'!$C$21)="No control",SUMIF(('Loading-drum,tote'!$B$31:$B$48),$J3140,('Loading-drum,tote'!$D$31:$D$48))*Impacts!$F$13,IF(('Loading-drum,tote'!$C$21)&lt;&gt;"No control",SUMIF(('Loading-drum,tote'!$B$31:$B$48),$J3140,('Loading-drum,tote'!$E$31:$E$48))*Impacts!$F$13,0)),0)</f>
        <v>0</v>
      </c>
      <c r="R3140" s="10">
        <f>IFERROR(IF(('Loading-truck'!$C$21)="No control",SUMIF(('Loading-truck'!$B$31:$B$48),$J3140,('Loading-truck'!$D$31:$D$48))*Impacts!$F$14,IF(('Loading-truck'!$C$21)&lt;&gt;"No control",SUMIF(('Loading-truck'!$B$31:$B$48),$J3140,('Loading-truck'!$E$31:$E$48))*Impacts!$F$14,0)),0)</f>
        <v>0</v>
      </c>
      <c r="S3140" s="10">
        <f>IFERROR(IF(('Loading-rail'!$C$21)="No control",SUMIF(('Loading-rail'!$B$31:$B$48),$J3140,('Loading-rail'!$D$31:$D$48))*Impacts!$F$15,IF(('Loading-rail'!$C$21)&lt;&gt;"No control",SUMIF(('Loading-rail'!$B$31:$B$48),$J3140,('Loading-rail'!$E$31:$E$48))*Impacts!$F$15,0)),0)</f>
        <v>0</v>
      </c>
      <c r="T3140" s="10">
        <f>IF(Flare!$C$7="",0,(SUMIF(Flare!$B$46:$B$185,$J3140,Flare!$E$46:$E$185)*Impacts!$F$16))</f>
        <v>0</v>
      </c>
      <c r="U3140" s="10">
        <f>IF(VCU!$C$9="",0,(SUMIF(VCU!$B$51:$B$193,$J3140,VCU!$E$51:$E$193)*Impacts!$F$17))</f>
        <v>0</v>
      </c>
      <c r="V3140" s="10">
        <f>IF(CAS!$C$7="",0,(SUMIF(CAS!$B$31:$B$167,$J3140,CAS!$E$31:$E$167)*Impacts!$F$18))</f>
        <v>0</v>
      </c>
      <c r="W3140" s="10">
        <f t="shared" si="89"/>
        <v>0</v>
      </c>
      <c r="AK3140" s="10" t="str">
        <f t="array" ref="AK3140">IFERROR(INDEX(SelectedSpecies,SMALL(IF(SelectedSpecies=AK$1,ROW(SelectedSpecies)),ROW(3141:3141)),2),"")</f>
        <v/>
      </c>
      <c r="BE3140" s="10"/>
      <c r="BI3140" s="10"/>
    </row>
    <row r="3141" spans="1:61" ht="21" customHeight="1" x14ac:dyDescent="0.25">
      <c r="A3141" s="10"/>
      <c r="B3141" s="10"/>
      <c r="E3141" s="10"/>
      <c r="G3141" s="10"/>
      <c r="I3141" s="436" t="s">
        <v>6108</v>
      </c>
      <c r="J3141" s="26" t="s">
        <v>6107</v>
      </c>
      <c r="K3141" s="10">
        <v>1</v>
      </c>
      <c r="L3141" s="73">
        <f>IF(Tank1!$C$23="No control",(SUMIF(Tank1!$B$32:$B$49,$J3141,Tank1!$C$32:$C$49)*Impacts!$F$8),0)</f>
        <v>0</v>
      </c>
      <c r="M3141" s="10">
        <f>IF(Tank2!$C$23="No control",(SUMIF(Tank2!$B$32:$B$49,$J3141,Tank2!$C$32:$C$49)*Impacts!$F$9),0)</f>
        <v>0</v>
      </c>
      <c r="N3141" s="10">
        <f>IF(Tank3!$C$23="No control",(SUMIF(Tank3!$B$32:$B$49,$J3141,Tank3!$C$32:$C$49)*Impacts!$F$10),0)</f>
        <v>0</v>
      </c>
      <c r="O3141" s="10">
        <f>IF(Tank4!$C$23="No control",(SUMIF(Tank4!$B$32:$B$49,$J3141,Tank4!$C$32:$C$49)*Impacts!$F$11),0)</f>
        <v>0</v>
      </c>
      <c r="P3141" s="10">
        <f>IF(Tank5!$C$23="No control",(SUMIF(Tank5!$B$32:$B$49,$J3141,Tank5!$C$32:$C$49)*Impacts!$F$12),0)</f>
        <v>0</v>
      </c>
      <c r="Q3141" s="10">
        <f>IFERROR(IF(('Loading-drum,tote'!$C$21)="No control",SUMIF(('Loading-drum,tote'!$B$31:$B$48),$J3141,('Loading-drum,tote'!$D$31:$D$48))*Impacts!$F$13,IF(('Loading-drum,tote'!$C$21)&lt;&gt;"No control",SUMIF(('Loading-drum,tote'!$B$31:$B$48),$J3141,('Loading-drum,tote'!$E$31:$E$48))*Impacts!$F$13,0)),0)</f>
        <v>0</v>
      </c>
      <c r="R3141" s="10">
        <f>IFERROR(IF(('Loading-truck'!$C$21)="No control",SUMIF(('Loading-truck'!$B$31:$B$48),$J3141,('Loading-truck'!$D$31:$D$48))*Impacts!$F$14,IF(('Loading-truck'!$C$21)&lt;&gt;"No control",SUMIF(('Loading-truck'!$B$31:$B$48),$J3141,('Loading-truck'!$E$31:$E$48))*Impacts!$F$14,0)),0)</f>
        <v>0</v>
      </c>
      <c r="S3141" s="10">
        <f>IFERROR(IF(('Loading-rail'!$C$21)="No control",SUMIF(('Loading-rail'!$B$31:$B$48),$J3141,('Loading-rail'!$D$31:$D$48))*Impacts!$F$15,IF(('Loading-rail'!$C$21)&lt;&gt;"No control",SUMIF(('Loading-rail'!$B$31:$B$48),$J3141,('Loading-rail'!$E$31:$E$48))*Impacts!$F$15,0)),0)</f>
        <v>0</v>
      </c>
      <c r="T3141" s="10">
        <f>IF(Flare!$C$7="",0,(SUMIF(Flare!$B$46:$B$185,$J3141,Flare!$E$46:$E$185)*Impacts!$F$16))</f>
        <v>0</v>
      </c>
      <c r="U3141" s="10">
        <f>IF(VCU!$C$9="",0,(SUMIF(VCU!$B$51:$B$193,$J3141,VCU!$E$51:$E$193)*Impacts!$F$17))</f>
        <v>0</v>
      </c>
      <c r="V3141" s="10">
        <f>IF(CAS!$C$7="",0,(SUMIF(CAS!$B$31:$B$167,$J3141,CAS!$E$31:$E$167)*Impacts!$F$18))</f>
        <v>0</v>
      </c>
      <c r="W3141" s="10">
        <f t="shared" si="89"/>
        <v>0</v>
      </c>
      <c r="AK3141" s="10" t="str">
        <f t="array" ref="AK3141">IFERROR(INDEX(SelectedSpecies,SMALL(IF(SelectedSpecies=AK$1,ROW(SelectedSpecies)),ROW(3142:3142)),2),"")</f>
        <v/>
      </c>
      <c r="BE3141" s="10"/>
      <c r="BI3141" s="10"/>
    </row>
    <row r="3142" spans="1:61" ht="21" customHeight="1" x14ac:dyDescent="0.25">
      <c r="A3142" s="10"/>
      <c r="B3142" s="10"/>
      <c r="E3142" s="10"/>
      <c r="G3142" s="10"/>
      <c r="I3142" s="436" t="s">
        <v>3249</v>
      </c>
      <c r="J3142" s="26" t="s">
        <v>3248</v>
      </c>
      <c r="K3142" s="10">
        <v>10</v>
      </c>
      <c r="L3142" s="73">
        <f>IF(Tank1!$C$23="No control",(SUMIF(Tank1!$B$32:$B$49,$J3142,Tank1!$C$32:$C$49)*Impacts!$F$8),0)</f>
        <v>0</v>
      </c>
      <c r="M3142" s="10">
        <f>IF(Tank2!$C$23="No control",(SUMIF(Tank2!$B$32:$B$49,$J3142,Tank2!$C$32:$C$49)*Impacts!$F$9),0)</f>
        <v>0</v>
      </c>
      <c r="N3142" s="10">
        <f>IF(Tank3!$C$23="No control",(SUMIF(Tank3!$B$32:$B$49,$J3142,Tank3!$C$32:$C$49)*Impacts!$F$10),0)</f>
        <v>0</v>
      </c>
      <c r="O3142" s="10">
        <f>IF(Tank4!$C$23="No control",(SUMIF(Tank4!$B$32:$B$49,$J3142,Tank4!$C$32:$C$49)*Impacts!$F$11),0)</f>
        <v>0</v>
      </c>
      <c r="P3142" s="10">
        <f>IF(Tank5!$C$23="No control",(SUMIF(Tank5!$B$32:$B$49,$J3142,Tank5!$C$32:$C$49)*Impacts!$F$12),0)</f>
        <v>0</v>
      </c>
      <c r="Q3142" s="10">
        <f>IFERROR(IF(('Loading-drum,tote'!$C$21)="No control",SUMIF(('Loading-drum,tote'!$B$31:$B$48),$J3142,('Loading-drum,tote'!$D$31:$D$48))*Impacts!$F$13,IF(('Loading-drum,tote'!$C$21)&lt;&gt;"No control",SUMIF(('Loading-drum,tote'!$B$31:$B$48),$J3142,('Loading-drum,tote'!$E$31:$E$48))*Impacts!$F$13,0)),0)</f>
        <v>0</v>
      </c>
      <c r="R3142" s="10">
        <f>IFERROR(IF(('Loading-truck'!$C$21)="No control",SUMIF(('Loading-truck'!$B$31:$B$48),$J3142,('Loading-truck'!$D$31:$D$48))*Impacts!$F$14,IF(('Loading-truck'!$C$21)&lt;&gt;"No control",SUMIF(('Loading-truck'!$B$31:$B$48),$J3142,('Loading-truck'!$E$31:$E$48))*Impacts!$F$14,0)),0)</f>
        <v>0</v>
      </c>
      <c r="S3142" s="10">
        <f>IFERROR(IF(('Loading-rail'!$C$21)="No control",SUMIF(('Loading-rail'!$B$31:$B$48),$J3142,('Loading-rail'!$D$31:$D$48))*Impacts!$F$15,IF(('Loading-rail'!$C$21)&lt;&gt;"No control",SUMIF(('Loading-rail'!$B$31:$B$48),$J3142,('Loading-rail'!$E$31:$E$48))*Impacts!$F$15,0)),0)</f>
        <v>0</v>
      </c>
      <c r="T3142" s="10">
        <f>IF(Flare!$C$7="",0,(SUMIF(Flare!$B$46:$B$185,$J3142,Flare!$E$46:$E$185)*Impacts!$F$16))</f>
        <v>0</v>
      </c>
      <c r="U3142" s="10">
        <f>IF(VCU!$C$9="",0,(SUMIF(VCU!$B$51:$B$193,$J3142,VCU!$E$51:$E$193)*Impacts!$F$17))</f>
        <v>0</v>
      </c>
      <c r="V3142" s="10">
        <f>IF(CAS!$C$7="",0,(SUMIF(CAS!$B$31:$B$167,$J3142,CAS!$E$31:$E$167)*Impacts!$F$18))</f>
        <v>0</v>
      </c>
      <c r="W3142" s="10">
        <f t="shared" si="89"/>
        <v>0</v>
      </c>
      <c r="AK3142" s="10" t="str">
        <f t="array" ref="AK3142">IFERROR(INDEX(SelectedSpecies,SMALL(IF(SelectedSpecies=AK$1,ROW(SelectedSpecies)),ROW(3143:3143)),2),"")</f>
        <v/>
      </c>
      <c r="BE3142" s="10"/>
      <c r="BI3142" s="10"/>
    </row>
    <row r="3143" spans="1:61" ht="21" customHeight="1" x14ac:dyDescent="0.25">
      <c r="A3143" s="10"/>
      <c r="B3143" s="10"/>
      <c r="E3143" s="10"/>
      <c r="G3143" s="10"/>
      <c r="I3143" s="436" t="s">
        <v>2361</v>
      </c>
      <c r="J3143" s="26" t="s">
        <v>2360</v>
      </c>
      <c r="K3143" s="10">
        <v>11</v>
      </c>
      <c r="L3143" s="73">
        <f>IF(Tank1!$C$23="No control",(SUMIF(Tank1!$B$32:$B$49,$J3143,Tank1!$C$32:$C$49)*Impacts!$F$8),0)</f>
        <v>0</v>
      </c>
      <c r="M3143" s="10">
        <f>IF(Tank2!$C$23="No control",(SUMIF(Tank2!$B$32:$B$49,$J3143,Tank2!$C$32:$C$49)*Impacts!$F$9),0)</f>
        <v>0</v>
      </c>
      <c r="N3143" s="10">
        <f>IF(Tank3!$C$23="No control",(SUMIF(Tank3!$B$32:$B$49,$J3143,Tank3!$C$32:$C$49)*Impacts!$F$10),0)</f>
        <v>0</v>
      </c>
      <c r="O3143" s="10">
        <f>IF(Tank4!$C$23="No control",(SUMIF(Tank4!$B$32:$B$49,$J3143,Tank4!$C$32:$C$49)*Impacts!$F$11),0)</f>
        <v>0</v>
      </c>
      <c r="P3143" s="10">
        <f>IF(Tank5!$C$23="No control",(SUMIF(Tank5!$B$32:$B$49,$J3143,Tank5!$C$32:$C$49)*Impacts!$F$12),0)</f>
        <v>0</v>
      </c>
      <c r="Q3143" s="10">
        <f>IFERROR(IF(('Loading-drum,tote'!$C$21)="No control",SUMIF(('Loading-drum,tote'!$B$31:$B$48),$J3143,('Loading-drum,tote'!$D$31:$D$48))*Impacts!$F$13,IF(('Loading-drum,tote'!$C$21)&lt;&gt;"No control",SUMIF(('Loading-drum,tote'!$B$31:$B$48),$J3143,('Loading-drum,tote'!$E$31:$E$48))*Impacts!$F$13,0)),0)</f>
        <v>0</v>
      </c>
      <c r="R3143" s="10">
        <f>IFERROR(IF(('Loading-truck'!$C$21)="No control",SUMIF(('Loading-truck'!$B$31:$B$48),$J3143,('Loading-truck'!$D$31:$D$48))*Impacts!$F$14,IF(('Loading-truck'!$C$21)&lt;&gt;"No control",SUMIF(('Loading-truck'!$B$31:$B$48),$J3143,('Loading-truck'!$E$31:$E$48))*Impacts!$F$14,0)),0)</f>
        <v>0</v>
      </c>
      <c r="S3143" s="10">
        <f>IFERROR(IF(('Loading-rail'!$C$21)="No control",SUMIF(('Loading-rail'!$B$31:$B$48),$J3143,('Loading-rail'!$D$31:$D$48))*Impacts!$F$15,IF(('Loading-rail'!$C$21)&lt;&gt;"No control",SUMIF(('Loading-rail'!$B$31:$B$48),$J3143,('Loading-rail'!$E$31:$E$48))*Impacts!$F$15,0)),0)</f>
        <v>0</v>
      </c>
      <c r="T3143" s="10">
        <f>IF(Flare!$C$7="",0,(SUMIF(Flare!$B$46:$B$185,$J3143,Flare!$E$46:$E$185)*Impacts!$F$16))</f>
        <v>0</v>
      </c>
      <c r="U3143" s="10">
        <f>IF(VCU!$C$9="",0,(SUMIF(VCU!$B$51:$B$193,$J3143,VCU!$E$51:$E$193)*Impacts!$F$17))</f>
        <v>0</v>
      </c>
      <c r="V3143" s="10">
        <f>IF(CAS!$C$7="",0,(SUMIF(CAS!$B$31:$B$167,$J3143,CAS!$E$31:$E$167)*Impacts!$F$18))</f>
        <v>0</v>
      </c>
      <c r="W3143" s="10">
        <f t="shared" si="89"/>
        <v>0</v>
      </c>
      <c r="AK3143" s="10" t="str">
        <f t="array" ref="AK3143">IFERROR(INDEX(SelectedSpecies,SMALL(IF(SelectedSpecies=AK$1,ROW(SelectedSpecies)),ROW(3144:3144)),2),"")</f>
        <v/>
      </c>
      <c r="BE3143" s="10"/>
      <c r="BI3143" s="10"/>
    </row>
    <row r="3144" spans="1:61" ht="21" customHeight="1" x14ac:dyDescent="0.25">
      <c r="A3144" s="10"/>
      <c r="B3144" s="10"/>
      <c r="E3144" s="10"/>
      <c r="G3144" s="10"/>
      <c r="I3144" s="436" t="s">
        <v>6110</v>
      </c>
      <c r="J3144" s="26" t="s">
        <v>6109</v>
      </c>
      <c r="K3144" s="10">
        <v>1</v>
      </c>
      <c r="L3144" s="73">
        <f>IF(Tank1!$C$23="No control",(SUMIF(Tank1!$B$32:$B$49,$J3144,Tank1!$C$32:$C$49)*Impacts!$F$8),0)</f>
        <v>0</v>
      </c>
      <c r="M3144" s="10">
        <f>IF(Tank2!$C$23="No control",(SUMIF(Tank2!$B$32:$B$49,$J3144,Tank2!$C$32:$C$49)*Impacts!$F$9),0)</f>
        <v>0</v>
      </c>
      <c r="N3144" s="10">
        <f>IF(Tank3!$C$23="No control",(SUMIF(Tank3!$B$32:$B$49,$J3144,Tank3!$C$32:$C$49)*Impacts!$F$10),0)</f>
        <v>0</v>
      </c>
      <c r="O3144" s="10">
        <f>IF(Tank4!$C$23="No control",(SUMIF(Tank4!$B$32:$B$49,$J3144,Tank4!$C$32:$C$49)*Impacts!$F$11),0)</f>
        <v>0</v>
      </c>
      <c r="P3144" s="10">
        <f>IF(Tank5!$C$23="No control",(SUMIF(Tank5!$B$32:$B$49,$J3144,Tank5!$C$32:$C$49)*Impacts!$F$12),0)</f>
        <v>0</v>
      </c>
      <c r="Q3144" s="10">
        <f>IFERROR(IF(('Loading-drum,tote'!$C$21)="No control",SUMIF(('Loading-drum,tote'!$B$31:$B$48),$J3144,('Loading-drum,tote'!$D$31:$D$48))*Impacts!$F$13,IF(('Loading-drum,tote'!$C$21)&lt;&gt;"No control",SUMIF(('Loading-drum,tote'!$B$31:$B$48),$J3144,('Loading-drum,tote'!$E$31:$E$48))*Impacts!$F$13,0)),0)</f>
        <v>0</v>
      </c>
      <c r="R3144" s="10">
        <f>IFERROR(IF(('Loading-truck'!$C$21)="No control",SUMIF(('Loading-truck'!$B$31:$B$48),$J3144,('Loading-truck'!$D$31:$D$48))*Impacts!$F$14,IF(('Loading-truck'!$C$21)&lt;&gt;"No control",SUMIF(('Loading-truck'!$B$31:$B$48),$J3144,('Loading-truck'!$E$31:$E$48))*Impacts!$F$14,0)),0)</f>
        <v>0</v>
      </c>
      <c r="S3144" s="10">
        <f>IFERROR(IF(('Loading-rail'!$C$21)="No control",SUMIF(('Loading-rail'!$B$31:$B$48),$J3144,('Loading-rail'!$D$31:$D$48))*Impacts!$F$15,IF(('Loading-rail'!$C$21)&lt;&gt;"No control",SUMIF(('Loading-rail'!$B$31:$B$48),$J3144,('Loading-rail'!$E$31:$E$48))*Impacts!$F$15,0)),0)</f>
        <v>0</v>
      </c>
      <c r="T3144" s="10">
        <f>IF(Flare!$C$7="",0,(SUMIF(Flare!$B$46:$B$185,$J3144,Flare!$E$46:$E$185)*Impacts!$F$16))</f>
        <v>0</v>
      </c>
      <c r="U3144" s="10">
        <f>IF(VCU!$C$9="",0,(SUMIF(VCU!$B$51:$B$193,$J3144,VCU!$E$51:$E$193)*Impacts!$F$17))</f>
        <v>0</v>
      </c>
      <c r="V3144" s="10">
        <f>IF(CAS!$C$7="",0,(SUMIF(CAS!$B$31:$B$167,$J3144,CAS!$E$31:$E$167)*Impacts!$F$18))</f>
        <v>0</v>
      </c>
      <c r="W3144" s="10">
        <f t="shared" si="89"/>
        <v>0</v>
      </c>
      <c r="AK3144" s="10" t="str">
        <f t="array" ref="AK3144">IFERROR(INDEX(SelectedSpecies,SMALL(IF(SelectedSpecies=AK$1,ROW(SelectedSpecies)),ROW(3145:3145)),2),"")</f>
        <v/>
      </c>
      <c r="BE3144" s="10"/>
      <c r="BI3144" s="10"/>
    </row>
    <row r="3145" spans="1:61" ht="21" customHeight="1" x14ac:dyDescent="0.25">
      <c r="A3145" s="10"/>
      <c r="B3145" s="10"/>
      <c r="E3145" s="10"/>
      <c r="G3145" s="10"/>
      <c r="I3145" s="436" t="s">
        <v>3251</v>
      </c>
      <c r="J3145" s="26" t="s">
        <v>3250</v>
      </c>
      <c r="K3145" s="10">
        <v>10</v>
      </c>
      <c r="L3145" s="73">
        <f>IF(Tank1!$C$23="No control",(SUMIF(Tank1!$B$32:$B$49,$J3145,Tank1!$C$32:$C$49)*Impacts!$F$8),0)</f>
        <v>0</v>
      </c>
      <c r="M3145" s="10">
        <f>IF(Tank2!$C$23="No control",(SUMIF(Tank2!$B$32:$B$49,$J3145,Tank2!$C$32:$C$49)*Impacts!$F$9),0)</f>
        <v>0</v>
      </c>
      <c r="N3145" s="10">
        <f>IF(Tank3!$C$23="No control",(SUMIF(Tank3!$B$32:$B$49,$J3145,Tank3!$C$32:$C$49)*Impacts!$F$10),0)</f>
        <v>0</v>
      </c>
      <c r="O3145" s="10">
        <f>IF(Tank4!$C$23="No control",(SUMIF(Tank4!$B$32:$B$49,$J3145,Tank4!$C$32:$C$49)*Impacts!$F$11),0)</f>
        <v>0</v>
      </c>
      <c r="P3145" s="10">
        <f>IF(Tank5!$C$23="No control",(SUMIF(Tank5!$B$32:$B$49,$J3145,Tank5!$C$32:$C$49)*Impacts!$F$12),0)</f>
        <v>0</v>
      </c>
      <c r="Q3145" s="10">
        <f>IFERROR(IF(('Loading-drum,tote'!$C$21)="No control",SUMIF(('Loading-drum,tote'!$B$31:$B$48),$J3145,('Loading-drum,tote'!$D$31:$D$48))*Impacts!$F$13,IF(('Loading-drum,tote'!$C$21)&lt;&gt;"No control",SUMIF(('Loading-drum,tote'!$B$31:$B$48),$J3145,('Loading-drum,tote'!$E$31:$E$48))*Impacts!$F$13,0)),0)</f>
        <v>0</v>
      </c>
      <c r="R3145" s="10">
        <f>IFERROR(IF(('Loading-truck'!$C$21)="No control",SUMIF(('Loading-truck'!$B$31:$B$48),$J3145,('Loading-truck'!$D$31:$D$48))*Impacts!$F$14,IF(('Loading-truck'!$C$21)&lt;&gt;"No control",SUMIF(('Loading-truck'!$B$31:$B$48),$J3145,('Loading-truck'!$E$31:$E$48))*Impacts!$F$14,0)),0)</f>
        <v>0</v>
      </c>
      <c r="S3145" s="10">
        <f>IFERROR(IF(('Loading-rail'!$C$21)="No control",SUMIF(('Loading-rail'!$B$31:$B$48),$J3145,('Loading-rail'!$D$31:$D$48))*Impacts!$F$15,IF(('Loading-rail'!$C$21)&lt;&gt;"No control",SUMIF(('Loading-rail'!$B$31:$B$48),$J3145,('Loading-rail'!$E$31:$E$48))*Impacts!$F$15,0)),0)</f>
        <v>0</v>
      </c>
      <c r="T3145" s="10">
        <f>IF(Flare!$C$7="",0,(SUMIF(Flare!$B$46:$B$185,$J3145,Flare!$E$46:$E$185)*Impacts!$F$16))</f>
        <v>0</v>
      </c>
      <c r="U3145" s="10">
        <f>IF(VCU!$C$9="",0,(SUMIF(VCU!$B$51:$B$193,$J3145,VCU!$E$51:$E$193)*Impacts!$F$17))</f>
        <v>0</v>
      </c>
      <c r="V3145" s="10">
        <f>IF(CAS!$C$7="",0,(SUMIF(CAS!$B$31:$B$167,$J3145,CAS!$E$31:$E$167)*Impacts!$F$18))</f>
        <v>0</v>
      </c>
      <c r="W3145" s="10">
        <f t="shared" si="89"/>
        <v>0</v>
      </c>
      <c r="AK3145" s="10" t="str">
        <f t="array" ref="AK3145">IFERROR(INDEX(SelectedSpecies,SMALL(IF(SelectedSpecies=AK$1,ROW(SelectedSpecies)),ROW(3146:3146)),2),"")</f>
        <v/>
      </c>
      <c r="BE3145" s="10"/>
      <c r="BI3145" s="10"/>
    </row>
    <row r="3146" spans="1:61" ht="21" customHeight="1" x14ac:dyDescent="0.25">
      <c r="A3146" s="10"/>
      <c r="B3146" s="10"/>
      <c r="E3146" s="10"/>
      <c r="G3146" s="10"/>
      <c r="I3146" s="436" t="s">
        <v>3253</v>
      </c>
      <c r="J3146" s="26" t="s">
        <v>3252</v>
      </c>
      <c r="K3146" s="10">
        <v>10</v>
      </c>
      <c r="L3146" s="73">
        <f>IF(Tank1!$C$23="No control",(SUMIF(Tank1!$B$32:$B$49,$J3146,Tank1!$C$32:$C$49)*Impacts!$F$8),0)</f>
        <v>0</v>
      </c>
      <c r="M3146" s="10">
        <f>IF(Tank2!$C$23="No control",(SUMIF(Tank2!$B$32:$B$49,$J3146,Tank2!$C$32:$C$49)*Impacts!$F$9),0)</f>
        <v>0</v>
      </c>
      <c r="N3146" s="10">
        <f>IF(Tank3!$C$23="No control",(SUMIF(Tank3!$B$32:$B$49,$J3146,Tank3!$C$32:$C$49)*Impacts!$F$10),0)</f>
        <v>0</v>
      </c>
      <c r="O3146" s="10">
        <f>IF(Tank4!$C$23="No control",(SUMIF(Tank4!$B$32:$B$49,$J3146,Tank4!$C$32:$C$49)*Impacts!$F$11),0)</f>
        <v>0</v>
      </c>
      <c r="P3146" s="10">
        <f>IF(Tank5!$C$23="No control",(SUMIF(Tank5!$B$32:$B$49,$J3146,Tank5!$C$32:$C$49)*Impacts!$F$12),0)</f>
        <v>0</v>
      </c>
      <c r="Q3146" s="10">
        <f>IFERROR(IF(('Loading-drum,tote'!$C$21)="No control",SUMIF(('Loading-drum,tote'!$B$31:$B$48),$J3146,('Loading-drum,tote'!$D$31:$D$48))*Impacts!$F$13,IF(('Loading-drum,tote'!$C$21)&lt;&gt;"No control",SUMIF(('Loading-drum,tote'!$B$31:$B$48),$J3146,('Loading-drum,tote'!$E$31:$E$48))*Impacts!$F$13,0)),0)</f>
        <v>0</v>
      </c>
      <c r="R3146" s="10">
        <f>IFERROR(IF(('Loading-truck'!$C$21)="No control",SUMIF(('Loading-truck'!$B$31:$B$48),$J3146,('Loading-truck'!$D$31:$D$48))*Impacts!$F$14,IF(('Loading-truck'!$C$21)&lt;&gt;"No control",SUMIF(('Loading-truck'!$B$31:$B$48),$J3146,('Loading-truck'!$E$31:$E$48))*Impacts!$F$14,0)),0)</f>
        <v>0</v>
      </c>
      <c r="S3146" s="10">
        <f>IFERROR(IF(('Loading-rail'!$C$21)="No control",SUMIF(('Loading-rail'!$B$31:$B$48),$J3146,('Loading-rail'!$D$31:$D$48))*Impacts!$F$15,IF(('Loading-rail'!$C$21)&lt;&gt;"No control",SUMIF(('Loading-rail'!$B$31:$B$48),$J3146,('Loading-rail'!$E$31:$E$48))*Impacts!$F$15,0)),0)</f>
        <v>0</v>
      </c>
      <c r="T3146" s="10">
        <f>IF(Flare!$C$7="",0,(SUMIF(Flare!$B$46:$B$185,$J3146,Flare!$E$46:$E$185)*Impacts!$F$16))</f>
        <v>0</v>
      </c>
      <c r="U3146" s="10">
        <f>IF(VCU!$C$9="",0,(SUMIF(VCU!$B$51:$B$193,$J3146,VCU!$E$51:$E$193)*Impacts!$F$17))</f>
        <v>0</v>
      </c>
      <c r="V3146" s="10">
        <f>IF(CAS!$C$7="",0,(SUMIF(CAS!$B$31:$B$167,$J3146,CAS!$E$31:$E$167)*Impacts!$F$18))</f>
        <v>0</v>
      </c>
      <c r="W3146" s="10">
        <f t="shared" si="89"/>
        <v>0</v>
      </c>
      <c r="AK3146" s="10" t="str">
        <f t="array" ref="AK3146">IFERROR(INDEX(SelectedSpecies,SMALL(IF(SelectedSpecies=AK$1,ROW(SelectedSpecies)),ROW(3147:3147)),2),"")</f>
        <v/>
      </c>
      <c r="BE3146" s="10"/>
      <c r="BI3146" s="10"/>
    </row>
    <row r="3147" spans="1:61" ht="21" customHeight="1" x14ac:dyDescent="0.25">
      <c r="A3147" s="10"/>
      <c r="B3147" s="10"/>
      <c r="E3147" s="10"/>
      <c r="G3147" s="10"/>
      <c r="I3147" s="436" t="s">
        <v>3255</v>
      </c>
      <c r="J3147" s="26" t="s">
        <v>3254</v>
      </c>
      <c r="K3147" s="10">
        <v>10</v>
      </c>
      <c r="L3147" s="73">
        <f>IF(Tank1!$C$23="No control",(SUMIF(Tank1!$B$32:$B$49,$J3147,Tank1!$C$32:$C$49)*Impacts!$F$8),0)</f>
        <v>0</v>
      </c>
      <c r="M3147" s="10">
        <f>IF(Tank2!$C$23="No control",(SUMIF(Tank2!$B$32:$B$49,$J3147,Tank2!$C$32:$C$49)*Impacts!$F$9),0)</f>
        <v>0</v>
      </c>
      <c r="N3147" s="10">
        <f>IF(Tank3!$C$23="No control",(SUMIF(Tank3!$B$32:$B$49,$J3147,Tank3!$C$32:$C$49)*Impacts!$F$10),0)</f>
        <v>0</v>
      </c>
      <c r="O3147" s="10">
        <f>IF(Tank4!$C$23="No control",(SUMIF(Tank4!$B$32:$B$49,$J3147,Tank4!$C$32:$C$49)*Impacts!$F$11),0)</f>
        <v>0</v>
      </c>
      <c r="P3147" s="10">
        <f>IF(Tank5!$C$23="No control",(SUMIF(Tank5!$B$32:$B$49,$J3147,Tank5!$C$32:$C$49)*Impacts!$F$12),0)</f>
        <v>0</v>
      </c>
      <c r="Q3147" s="10">
        <f>IFERROR(IF(('Loading-drum,tote'!$C$21)="No control",SUMIF(('Loading-drum,tote'!$B$31:$B$48),$J3147,('Loading-drum,tote'!$D$31:$D$48))*Impacts!$F$13,IF(('Loading-drum,tote'!$C$21)&lt;&gt;"No control",SUMIF(('Loading-drum,tote'!$B$31:$B$48),$J3147,('Loading-drum,tote'!$E$31:$E$48))*Impacts!$F$13,0)),0)</f>
        <v>0</v>
      </c>
      <c r="R3147" s="10">
        <f>IFERROR(IF(('Loading-truck'!$C$21)="No control",SUMIF(('Loading-truck'!$B$31:$B$48),$J3147,('Loading-truck'!$D$31:$D$48))*Impacts!$F$14,IF(('Loading-truck'!$C$21)&lt;&gt;"No control",SUMIF(('Loading-truck'!$B$31:$B$48),$J3147,('Loading-truck'!$E$31:$E$48))*Impacts!$F$14,0)),0)</f>
        <v>0</v>
      </c>
      <c r="S3147" s="10">
        <f>IFERROR(IF(('Loading-rail'!$C$21)="No control",SUMIF(('Loading-rail'!$B$31:$B$48),$J3147,('Loading-rail'!$D$31:$D$48))*Impacts!$F$15,IF(('Loading-rail'!$C$21)&lt;&gt;"No control",SUMIF(('Loading-rail'!$B$31:$B$48),$J3147,('Loading-rail'!$E$31:$E$48))*Impacts!$F$15,0)),0)</f>
        <v>0</v>
      </c>
      <c r="T3147" s="10">
        <f>IF(Flare!$C$7="",0,(SUMIF(Flare!$B$46:$B$185,$J3147,Flare!$E$46:$E$185)*Impacts!$F$16))</f>
        <v>0</v>
      </c>
      <c r="U3147" s="10">
        <f>IF(VCU!$C$9="",0,(SUMIF(VCU!$B$51:$B$193,$J3147,VCU!$E$51:$E$193)*Impacts!$F$17))</f>
        <v>0</v>
      </c>
      <c r="V3147" s="10">
        <f>IF(CAS!$C$7="",0,(SUMIF(CAS!$B$31:$B$167,$J3147,CAS!$E$31:$E$167)*Impacts!$F$18))</f>
        <v>0</v>
      </c>
      <c r="W3147" s="10">
        <f t="shared" si="89"/>
        <v>0</v>
      </c>
      <c r="AK3147" s="10" t="str">
        <f t="array" ref="AK3147">IFERROR(INDEX(SelectedSpecies,SMALL(IF(SelectedSpecies=AK$1,ROW(SelectedSpecies)),ROW(3148:3148)),2),"")</f>
        <v/>
      </c>
      <c r="BE3147" s="10"/>
      <c r="BI3147" s="10"/>
    </row>
    <row r="3148" spans="1:61" ht="21" customHeight="1" x14ac:dyDescent="0.25">
      <c r="A3148" s="10"/>
      <c r="B3148" s="10"/>
      <c r="E3148" s="10"/>
      <c r="G3148" s="10"/>
      <c r="I3148" s="436" t="s">
        <v>1723</v>
      </c>
      <c r="J3148" s="26" t="s">
        <v>1722</v>
      </c>
      <c r="K3148" s="10">
        <v>24.5</v>
      </c>
      <c r="L3148" s="73">
        <f>IF(Tank1!$C$23="No control",(SUMIF(Tank1!$B$32:$B$49,$J3148,Tank1!$C$32:$C$49)*Impacts!$F$8),0)</f>
        <v>0</v>
      </c>
      <c r="M3148" s="10">
        <f>IF(Tank2!$C$23="No control",(SUMIF(Tank2!$B$32:$B$49,$J3148,Tank2!$C$32:$C$49)*Impacts!$F$9),0)</f>
        <v>0</v>
      </c>
      <c r="N3148" s="10">
        <f>IF(Tank3!$C$23="No control",(SUMIF(Tank3!$B$32:$B$49,$J3148,Tank3!$C$32:$C$49)*Impacts!$F$10),0)</f>
        <v>0</v>
      </c>
      <c r="O3148" s="10">
        <f>IF(Tank4!$C$23="No control",(SUMIF(Tank4!$B$32:$B$49,$J3148,Tank4!$C$32:$C$49)*Impacts!$F$11),0)</f>
        <v>0</v>
      </c>
      <c r="P3148" s="10">
        <f>IF(Tank5!$C$23="No control",(SUMIF(Tank5!$B$32:$B$49,$J3148,Tank5!$C$32:$C$49)*Impacts!$F$12),0)</f>
        <v>0</v>
      </c>
      <c r="Q3148" s="10">
        <f>IFERROR(IF(('Loading-drum,tote'!$C$21)="No control",SUMIF(('Loading-drum,tote'!$B$31:$B$48),$J3148,('Loading-drum,tote'!$D$31:$D$48))*Impacts!$F$13,IF(('Loading-drum,tote'!$C$21)&lt;&gt;"No control",SUMIF(('Loading-drum,tote'!$B$31:$B$48),$J3148,('Loading-drum,tote'!$E$31:$E$48))*Impacts!$F$13,0)),0)</f>
        <v>0</v>
      </c>
      <c r="R3148" s="10">
        <f>IFERROR(IF(('Loading-truck'!$C$21)="No control",SUMIF(('Loading-truck'!$B$31:$B$48),$J3148,('Loading-truck'!$D$31:$D$48))*Impacts!$F$14,IF(('Loading-truck'!$C$21)&lt;&gt;"No control",SUMIF(('Loading-truck'!$B$31:$B$48),$J3148,('Loading-truck'!$E$31:$E$48))*Impacts!$F$14,0)),0)</f>
        <v>0</v>
      </c>
      <c r="S3148" s="10">
        <f>IFERROR(IF(('Loading-rail'!$C$21)="No control",SUMIF(('Loading-rail'!$B$31:$B$48),$J3148,('Loading-rail'!$D$31:$D$48))*Impacts!$F$15,IF(('Loading-rail'!$C$21)&lt;&gt;"No control",SUMIF(('Loading-rail'!$B$31:$B$48),$J3148,('Loading-rail'!$E$31:$E$48))*Impacts!$F$15,0)),0)</f>
        <v>0</v>
      </c>
      <c r="T3148" s="10">
        <f>IF(Flare!$C$7="",0,(SUMIF(Flare!$B$46:$B$185,$J3148,Flare!$E$46:$E$185)*Impacts!$F$16))</f>
        <v>0</v>
      </c>
      <c r="U3148" s="10">
        <f>IF(VCU!$C$9="",0,(SUMIF(VCU!$B$51:$B$193,$J3148,VCU!$E$51:$E$193)*Impacts!$F$17))</f>
        <v>0</v>
      </c>
      <c r="V3148" s="10">
        <f>IF(CAS!$C$7="",0,(SUMIF(CAS!$B$31:$B$167,$J3148,CAS!$E$31:$E$167)*Impacts!$F$18))</f>
        <v>0</v>
      </c>
      <c r="W3148" s="10">
        <f t="shared" si="89"/>
        <v>0</v>
      </c>
      <c r="AK3148" s="10" t="str">
        <f t="array" ref="AK3148">IFERROR(INDEX(SelectedSpecies,SMALL(IF(SelectedSpecies=AK$1,ROW(SelectedSpecies)),ROW(3149:3149)),2),"")</f>
        <v/>
      </c>
      <c r="BE3148" s="10"/>
      <c r="BI3148" s="10"/>
    </row>
    <row r="3149" spans="1:61" ht="21" customHeight="1" x14ac:dyDescent="0.25">
      <c r="A3149" s="10"/>
      <c r="B3149" s="10"/>
      <c r="E3149" s="10"/>
      <c r="G3149" s="10"/>
      <c r="I3149" s="436" t="s">
        <v>4015</v>
      </c>
      <c r="J3149" s="26" t="s">
        <v>4014</v>
      </c>
      <c r="K3149" s="10">
        <v>6</v>
      </c>
      <c r="L3149" s="73">
        <f>IF(Tank1!$C$23="No control",(SUMIF(Tank1!$B$32:$B$49,$J3149,Tank1!$C$32:$C$49)*Impacts!$F$8),0)</f>
        <v>0</v>
      </c>
      <c r="M3149" s="10">
        <f>IF(Tank2!$C$23="No control",(SUMIF(Tank2!$B$32:$B$49,$J3149,Tank2!$C$32:$C$49)*Impacts!$F$9),0)</f>
        <v>0</v>
      </c>
      <c r="N3149" s="10">
        <f>IF(Tank3!$C$23="No control",(SUMIF(Tank3!$B$32:$B$49,$J3149,Tank3!$C$32:$C$49)*Impacts!$F$10),0)</f>
        <v>0</v>
      </c>
      <c r="O3149" s="10">
        <f>IF(Tank4!$C$23="No control",(SUMIF(Tank4!$B$32:$B$49,$J3149,Tank4!$C$32:$C$49)*Impacts!$F$11),0)</f>
        <v>0</v>
      </c>
      <c r="P3149" s="10">
        <f>IF(Tank5!$C$23="No control",(SUMIF(Tank5!$B$32:$B$49,$J3149,Tank5!$C$32:$C$49)*Impacts!$F$12),0)</f>
        <v>0</v>
      </c>
      <c r="Q3149" s="10">
        <f>IFERROR(IF(('Loading-drum,tote'!$C$21)="No control",SUMIF(('Loading-drum,tote'!$B$31:$B$48),$J3149,('Loading-drum,tote'!$D$31:$D$48))*Impacts!$F$13,IF(('Loading-drum,tote'!$C$21)&lt;&gt;"No control",SUMIF(('Loading-drum,tote'!$B$31:$B$48),$J3149,('Loading-drum,tote'!$E$31:$E$48))*Impacts!$F$13,0)),0)</f>
        <v>0</v>
      </c>
      <c r="R3149" s="10">
        <f>IFERROR(IF(('Loading-truck'!$C$21)="No control",SUMIF(('Loading-truck'!$B$31:$B$48),$J3149,('Loading-truck'!$D$31:$D$48))*Impacts!$F$14,IF(('Loading-truck'!$C$21)&lt;&gt;"No control",SUMIF(('Loading-truck'!$B$31:$B$48),$J3149,('Loading-truck'!$E$31:$E$48))*Impacts!$F$14,0)),0)</f>
        <v>0</v>
      </c>
      <c r="S3149" s="10">
        <f>IFERROR(IF(('Loading-rail'!$C$21)="No control",SUMIF(('Loading-rail'!$B$31:$B$48),$J3149,('Loading-rail'!$D$31:$D$48))*Impacts!$F$15,IF(('Loading-rail'!$C$21)&lt;&gt;"No control",SUMIF(('Loading-rail'!$B$31:$B$48),$J3149,('Loading-rail'!$E$31:$E$48))*Impacts!$F$15,0)),0)</f>
        <v>0</v>
      </c>
      <c r="T3149" s="10">
        <f>IF(Flare!$C$7="",0,(SUMIF(Flare!$B$46:$B$185,$J3149,Flare!$E$46:$E$185)*Impacts!$F$16))</f>
        <v>0</v>
      </c>
      <c r="U3149" s="10">
        <f>IF(VCU!$C$9="",0,(SUMIF(VCU!$B$51:$B$193,$J3149,VCU!$E$51:$E$193)*Impacts!$F$17))</f>
        <v>0</v>
      </c>
      <c r="V3149" s="10">
        <f>IF(CAS!$C$7="",0,(SUMIF(CAS!$B$31:$B$167,$J3149,CAS!$E$31:$E$167)*Impacts!$F$18))</f>
        <v>0</v>
      </c>
      <c r="W3149" s="10">
        <f t="shared" si="89"/>
        <v>0</v>
      </c>
      <c r="AK3149" s="10" t="str">
        <f t="array" ref="AK3149">IFERROR(INDEX(SelectedSpecies,SMALL(IF(SelectedSpecies=AK$1,ROW(SelectedSpecies)),ROW(3150:3150)),2),"")</f>
        <v/>
      </c>
      <c r="BE3149" s="10"/>
      <c r="BI3149" s="10"/>
    </row>
    <row r="3150" spans="1:61" ht="21" customHeight="1" x14ac:dyDescent="0.25">
      <c r="A3150" s="10"/>
      <c r="B3150" s="10"/>
      <c r="E3150" s="10"/>
      <c r="G3150" s="10"/>
      <c r="I3150" s="436" t="s">
        <v>7528</v>
      </c>
      <c r="J3150" s="26" t="s">
        <v>7527</v>
      </c>
      <c r="K3150" s="10">
        <v>0.2</v>
      </c>
      <c r="L3150" s="73">
        <f>IF(Tank1!$C$23="No control",(SUMIF(Tank1!$B$32:$B$49,$J3150,Tank1!$C$32:$C$49)*Impacts!$F$8),0)</f>
        <v>0</v>
      </c>
      <c r="M3150" s="10">
        <f>IF(Tank2!$C$23="No control",(SUMIF(Tank2!$B$32:$B$49,$J3150,Tank2!$C$32:$C$49)*Impacts!$F$9),0)</f>
        <v>0</v>
      </c>
      <c r="N3150" s="10">
        <f>IF(Tank3!$C$23="No control",(SUMIF(Tank3!$B$32:$B$49,$J3150,Tank3!$C$32:$C$49)*Impacts!$F$10),0)</f>
        <v>0</v>
      </c>
      <c r="O3150" s="10">
        <f>IF(Tank4!$C$23="No control",(SUMIF(Tank4!$B$32:$B$49,$J3150,Tank4!$C$32:$C$49)*Impacts!$F$11),0)</f>
        <v>0</v>
      </c>
      <c r="P3150" s="10">
        <f>IF(Tank5!$C$23="No control",(SUMIF(Tank5!$B$32:$B$49,$J3150,Tank5!$C$32:$C$49)*Impacts!$F$12),0)</f>
        <v>0</v>
      </c>
      <c r="Q3150" s="10">
        <f>IFERROR(IF(('Loading-drum,tote'!$C$21)="No control",SUMIF(('Loading-drum,tote'!$B$31:$B$48),$J3150,('Loading-drum,tote'!$D$31:$D$48))*Impacts!$F$13,IF(('Loading-drum,tote'!$C$21)&lt;&gt;"No control",SUMIF(('Loading-drum,tote'!$B$31:$B$48),$J3150,('Loading-drum,tote'!$E$31:$E$48))*Impacts!$F$13,0)),0)</f>
        <v>0</v>
      </c>
      <c r="R3150" s="10">
        <f>IFERROR(IF(('Loading-truck'!$C$21)="No control",SUMIF(('Loading-truck'!$B$31:$B$48),$J3150,('Loading-truck'!$D$31:$D$48))*Impacts!$F$14,IF(('Loading-truck'!$C$21)&lt;&gt;"No control",SUMIF(('Loading-truck'!$B$31:$B$48),$J3150,('Loading-truck'!$E$31:$E$48))*Impacts!$F$14,0)),0)</f>
        <v>0</v>
      </c>
      <c r="S3150" s="10">
        <f>IFERROR(IF(('Loading-rail'!$C$21)="No control",SUMIF(('Loading-rail'!$B$31:$B$48),$J3150,('Loading-rail'!$D$31:$D$48))*Impacts!$F$15,IF(('Loading-rail'!$C$21)&lt;&gt;"No control",SUMIF(('Loading-rail'!$B$31:$B$48),$J3150,('Loading-rail'!$E$31:$E$48))*Impacts!$F$15,0)),0)</f>
        <v>0</v>
      </c>
      <c r="T3150" s="10">
        <f>IF(Flare!$C$7="",0,(SUMIF(Flare!$B$46:$B$185,$J3150,Flare!$E$46:$E$185)*Impacts!$F$16))</f>
        <v>0</v>
      </c>
      <c r="U3150" s="10">
        <f>IF(VCU!$C$9="",0,(SUMIF(VCU!$B$51:$B$193,$J3150,VCU!$E$51:$E$193)*Impacts!$F$17))</f>
        <v>0</v>
      </c>
      <c r="V3150" s="10">
        <f>IF(CAS!$C$7="",0,(SUMIF(CAS!$B$31:$B$167,$J3150,CAS!$E$31:$E$167)*Impacts!$F$18))</f>
        <v>0</v>
      </c>
      <c r="W3150" s="10">
        <f t="shared" si="89"/>
        <v>0</v>
      </c>
      <c r="AK3150" s="10" t="str">
        <f t="array" ref="AK3150">IFERROR(INDEX(SelectedSpecies,SMALL(IF(SelectedSpecies=AK$1,ROW(SelectedSpecies)),ROW(3151:3151)),2),"")</f>
        <v/>
      </c>
      <c r="BE3150" s="10"/>
      <c r="BI3150" s="10"/>
    </row>
    <row r="3151" spans="1:61" ht="21" customHeight="1" x14ac:dyDescent="0.25">
      <c r="A3151" s="10"/>
      <c r="B3151" s="10"/>
      <c r="E3151" s="10"/>
      <c r="G3151" s="10"/>
      <c r="I3151" s="436" t="s">
        <v>6550</v>
      </c>
      <c r="J3151" s="26" t="s">
        <v>6549</v>
      </c>
      <c r="K3151" s="10">
        <v>0.70000000000000007</v>
      </c>
      <c r="L3151" s="73">
        <f>IF(Tank1!$C$23="No control",(SUMIF(Tank1!$B$32:$B$49,$J3151,Tank1!$C$32:$C$49)*Impacts!$F$8),0)</f>
        <v>0</v>
      </c>
      <c r="M3151" s="10">
        <f>IF(Tank2!$C$23="No control",(SUMIF(Tank2!$B$32:$B$49,$J3151,Tank2!$C$32:$C$49)*Impacts!$F$9),0)</f>
        <v>0</v>
      </c>
      <c r="N3151" s="10">
        <f>IF(Tank3!$C$23="No control",(SUMIF(Tank3!$B$32:$B$49,$J3151,Tank3!$C$32:$C$49)*Impacts!$F$10),0)</f>
        <v>0</v>
      </c>
      <c r="O3151" s="10">
        <f>IF(Tank4!$C$23="No control",(SUMIF(Tank4!$B$32:$B$49,$J3151,Tank4!$C$32:$C$49)*Impacts!$F$11),0)</f>
        <v>0</v>
      </c>
      <c r="P3151" s="10">
        <f>IF(Tank5!$C$23="No control",(SUMIF(Tank5!$B$32:$B$49,$J3151,Tank5!$C$32:$C$49)*Impacts!$F$12),0)</f>
        <v>0</v>
      </c>
      <c r="Q3151" s="10">
        <f>IFERROR(IF(('Loading-drum,tote'!$C$21)="No control",SUMIF(('Loading-drum,tote'!$B$31:$B$48),$J3151,('Loading-drum,tote'!$D$31:$D$48))*Impacts!$F$13,IF(('Loading-drum,tote'!$C$21)&lt;&gt;"No control",SUMIF(('Loading-drum,tote'!$B$31:$B$48),$J3151,('Loading-drum,tote'!$E$31:$E$48))*Impacts!$F$13,0)),0)</f>
        <v>0</v>
      </c>
      <c r="R3151" s="10">
        <f>IFERROR(IF(('Loading-truck'!$C$21)="No control",SUMIF(('Loading-truck'!$B$31:$B$48),$J3151,('Loading-truck'!$D$31:$D$48))*Impacts!$F$14,IF(('Loading-truck'!$C$21)&lt;&gt;"No control",SUMIF(('Loading-truck'!$B$31:$B$48),$J3151,('Loading-truck'!$E$31:$E$48))*Impacts!$F$14,0)),0)</f>
        <v>0</v>
      </c>
      <c r="S3151" s="10">
        <f>IFERROR(IF(('Loading-rail'!$C$21)="No control",SUMIF(('Loading-rail'!$B$31:$B$48),$J3151,('Loading-rail'!$D$31:$D$48))*Impacts!$F$15,IF(('Loading-rail'!$C$21)&lt;&gt;"No control",SUMIF(('Loading-rail'!$B$31:$B$48),$J3151,('Loading-rail'!$E$31:$E$48))*Impacts!$F$15,0)),0)</f>
        <v>0</v>
      </c>
      <c r="T3151" s="10">
        <f>IF(Flare!$C$7="",0,(SUMIF(Flare!$B$46:$B$185,$J3151,Flare!$E$46:$E$185)*Impacts!$F$16))</f>
        <v>0</v>
      </c>
      <c r="U3151" s="10">
        <f>IF(VCU!$C$9="",0,(SUMIF(VCU!$B$51:$B$193,$J3151,VCU!$E$51:$E$193)*Impacts!$F$17))</f>
        <v>0</v>
      </c>
      <c r="V3151" s="10">
        <f>IF(CAS!$C$7="",0,(SUMIF(CAS!$B$31:$B$167,$J3151,CAS!$E$31:$E$167)*Impacts!$F$18))</f>
        <v>0</v>
      </c>
      <c r="W3151" s="10">
        <f t="shared" si="89"/>
        <v>0</v>
      </c>
      <c r="AK3151" s="10" t="str">
        <f t="array" ref="AK3151">IFERROR(INDEX(SelectedSpecies,SMALL(IF(SelectedSpecies=AK$1,ROW(SelectedSpecies)),ROW(3152:3152)),2),"")</f>
        <v/>
      </c>
      <c r="BE3151" s="10"/>
      <c r="BI3151" s="10"/>
    </row>
    <row r="3152" spans="1:61" ht="21" customHeight="1" x14ac:dyDescent="0.25">
      <c r="A3152" s="10"/>
      <c r="B3152" s="10"/>
      <c r="E3152" s="10"/>
      <c r="G3152" s="10"/>
      <c r="I3152" s="436" t="s">
        <v>3257</v>
      </c>
      <c r="J3152" s="26" t="s">
        <v>3256</v>
      </c>
      <c r="K3152" s="10">
        <v>10</v>
      </c>
      <c r="L3152" s="73">
        <f>IF(Tank1!$C$23="No control",(SUMIF(Tank1!$B$32:$B$49,$J3152,Tank1!$C$32:$C$49)*Impacts!$F$8),0)</f>
        <v>0</v>
      </c>
      <c r="M3152" s="10">
        <f>IF(Tank2!$C$23="No control",(SUMIF(Tank2!$B$32:$B$49,$J3152,Tank2!$C$32:$C$49)*Impacts!$F$9),0)</f>
        <v>0</v>
      </c>
      <c r="N3152" s="10">
        <f>IF(Tank3!$C$23="No control",(SUMIF(Tank3!$B$32:$B$49,$J3152,Tank3!$C$32:$C$49)*Impacts!$F$10),0)</f>
        <v>0</v>
      </c>
      <c r="O3152" s="10">
        <f>IF(Tank4!$C$23="No control",(SUMIF(Tank4!$B$32:$B$49,$J3152,Tank4!$C$32:$C$49)*Impacts!$F$11),0)</f>
        <v>0</v>
      </c>
      <c r="P3152" s="10">
        <f>IF(Tank5!$C$23="No control",(SUMIF(Tank5!$B$32:$B$49,$J3152,Tank5!$C$32:$C$49)*Impacts!$F$12),0)</f>
        <v>0</v>
      </c>
      <c r="Q3152" s="10">
        <f>IFERROR(IF(('Loading-drum,tote'!$C$21)="No control",SUMIF(('Loading-drum,tote'!$B$31:$B$48),$J3152,('Loading-drum,tote'!$D$31:$D$48))*Impacts!$F$13,IF(('Loading-drum,tote'!$C$21)&lt;&gt;"No control",SUMIF(('Loading-drum,tote'!$B$31:$B$48),$J3152,('Loading-drum,tote'!$E$31:$E$48))*Impacts!$F$13,0)),0)</f>
        <v>0</v>
      </c>
      <c r="R3152" s="10">
        <f>IFERROR(IF(('Loading-truck'!$C$21)="No control",SUMIF(('Loading-truck'!$B$31:$B$48),$J3152,('Loading-truck'!$D$31:$D$48))*Impacts!$F$14,IF(('Loading-truck'!$C$21)&lt;&gt;"No control",SUMIF(('Loading-truck'!$B$31:$B$48),$J3152,('Loading-truck'!$E$31:$E$48))*Impacts!$F$14,0)),0)</f>
        <v>0</v>
      </c>
      <c r="S3152" s="10">
        <f>IFERROR(IF(('Loading-rail'!$C$21)="No control",SUMIF(('Loading-rail'!$B$31:$B$48),$J3152,('Loading-rail'!$D$31:$D$48))*Impacts!$F$15,IF(('Loading-rail'!$C$21)&lt;&gt;"No control",SUMIF(('Loading-rail'!$B$31:$B$48),$J3152,('Loading-rail'!$E$31:$E$48))*Impacts!$F$15,0)),0)</f>
        <v>0</v>
      </c>
      <c r="T3152" s="10">
        <f>IF(Flare!$C$7="",0,(SUMIF(Flare!$B$46:$B$185,$J3152,Flare!$E$46:$E$185)*Impacts!$F$16))</f>
        <v>0</v>
      </c>
      <c r="U3152" s="10">
        <f>IF(VCU!$C$9="",0,(SUMIF(VCU!$B$51:$B$193,$J3152,VCU!$E$51:$E$193)*Impacts!$F$17))</f>
        <v>0</v>
      </c>
      <c r="V3152" s="10">
        <f>IF(CAS!$C$7="",0,(SUMIF(CAS!$B$31:$B$167,$J3152,CAS!$E$31:$E$167)*Impacts!$F$18))</f>
        <v>0</v>
      </c>
      <c r="W3152" s="10">
        <f t="shared" si="89"/>
        <v>0</v>
      </c>
      <c r="AK3152" s="10" t="str">
        <f t="array" ref="AK3152">IFERROR(INDEX(SelectedSpecies,SMALL(IF(SelectedSpecies=AK$1,ROW(SelectedSpecies)),ROW(3153:3153)),2),"")</f>
        <v/>
      </c>
      <c r="BE3152" s="10"/>
      <c r="BI3152" s="10"/>
    </row>
    <row r="3153" spans="1:61" ht="21" customHeight="1" x14ac:dyDescent="0.25">
      <c r="A3153" s="10"/>
      <c r="B3153" s="10"/>
      <c r="E3153" s="10"/>
      <c r="G3153" s="10"/>
      <c r="I3153" s="436" t="s">
        <v>3259</v>
      </c>
      <c r="J3153" s="26" t="s">
        <v>3258</v>
      </c>
      <c r="K3153" s="10">
        <v>10</v>
      </c>
      <c r="L3153" s="73">
        <f>IF(Tank1!$C$23="No control",(SUMIF(Tank1!$B$32:$B$49,$J3153,Tank1!$C$32:$C$49)*Impacts!$F$8),0)</f>
        <v>0</v>
      </c>
      <c r="M3153" s="10">
        <f>IF(Tank2!$C$23="No control",(SUMIF(Tank2!$B$32:$B$49,$J3153,Tank2!$C$32:$C$49)*Impacts!$F$9),0)</f>
        <v>0</v>
      </c>
      <c r="N3153" s="10">
        <f>IF(Tank3!$C$23="No control",(SUMIF(Tank3!$B$32:$B$49,$J3153,Tank3!$C$32:$C$49)*Impacts!$F$10),0)</f>
        <v>0</v>
      </c>
      <c r="O3153" s="10">
        <f>IF(Tank4!$C$23="No control",(SUMIF(Tank4!$B$32:$B$49,$J3153,Tank4!$C$32:$C$49)*Impacts!$F$11),0)</f>
        <v>0</v>
      </c>
      <c r="P3153" s="10">
        <f>IF(Tank5!$C$23="No control",(SUMIF(Tank5!$B$32:$B$49,$J3153,Tank5!$C$32:$C$49)*Impacts!$F$12),0)</f>
        <v>0</v>
      </c>
      <c r="Q3153" s="10">
        <f>IFERROR(IF(('Loading-drum,tote'!$C$21)="No control",SUMIF(('Loading-drum,tote'!$B$31:$B$48),$J3153,('Loading-drum,tote'!$D$31:$D$48))*Impacts!$F$13,IF(('Loading-drum,tote'!$C$21)&lt;&gt;"No control",SUMIF(('Loading-drum,tote'!$B$31:$B$48),$J3153,('Loading-drum,tote'!$E$31:$E$48))*Impacts!$F$13,0)),0)</f>
        <v>0</v>
      </c>
      <c r="R3153" s="10">
        <f>IFERROR(IF(('Loading-truck'!$C$21)="No control",SUMIF(('Loading-truck'!$B$31:$B$48),$J3153,('Loading-truck'!$D$31:$D$48))*Impacts!$F$14,IF(('Loading-truck'!$C$21)&lt;&gt;"No control",SUMIF(('Loading-truck'!$B$31:$B$48),$J3153,('Loading-truck'!$E$31:$E$48))*Impacts!$F$14,0)),0)</f>
        <v>0</v>
      </c>
      <c r="S3153" s="10">
        <f>IFERROR(IF(('Loading-rail'!$C$21)="No control",SUMIF(('Loading-rail'!$B$31:$B$48),$J3153,('Loading-rail'!$D$31:$D$48))*Impacts!$F$15,IF(('Loading-rail'!$C$21)&lt;&gt;"No control",SUMIF(('Loading-rail'!$B$31:$B$48),$J3153,('Loading-rail'!$E$31:$E$48))*Impacts!$F$15,0)),0)</f>
        <v>0</v>
      </c>
      <c r="T3153" s="10">
        <f>IF(Flare!$C$7="",0,(SUMIF(Flare!$B$46:$B$185,$J3153,Flare!$E$46:$E$185)*Impacts!$F$16))</f>
        <v>0</v>
      </c>
      <c r="U3153" s="10">
        <f>IF(VCU!$C$9="",0,(SUMIF(VCU!$B$51:$B$193,$J3153,VCU!$E$51:$E$193)*Impacts!$F$17))</f>
        <v>0</v>
      </c>
      <c r="V3153" s="10">
        <f>IF(CAS!$C$7="",0,(SUMIF(CAS!$B$31:$B$167,$J3153,CAS!$E$31:$E$167)*Impacts!$F$18))</f>
        <v>0</v>
      </c>
      <c r="W3153" s="10">
        <f t="shared" si="89"/>
        <v>0</v>
      </c>
      <c r="AK3153" s="10" t="str">
        <f t="array" ref="AK3153">IFERROR(INDEX(SelectedSpecies,SMALL(IF(SelectedSpecies=AK$1,ROW(SelectedSpecies)),ROW(3154:3154)),2),"")</f>
        <v/>
      </c>
      <c r="BE3153" s="10"/>
      <c r="BI3153" s="10"/>
    </row>
    <row r="3154" spans="1:61" ht="21" customHeight="1" x14ac:dyDescent="0.25">
      <c r="A3154" s="10"/>
      <c r="B3154" s="10"/>
      <c r="E3154" s="10"/>
      <c r="G3154" s="10"/>
      <c r="I3154" s="436" t="s">
        <v>6922</v>
      </c>
      <c r="J3154" s="26" t="s">
        <v>6921</v>
      </c>
      <c r="K3154" s="10">
        <v>0.5</v>
      </c>
      <c r="L3154" s="73">
        <f>IF(Tank1!$C$23="No control",(SUMIF(Tank1!$B$32:$B$49,$J3154,Tank1!$C$32:$C$49)*Impacts!$F$8),0)</f>
        <v>0</v>
      </c>
      <c r="M3154" s="10">
        <f>IF(Tank2!$C$23="No control",(SUMIF(Tank2!$B$32:$B$49,$J3154,Tank2!$C$32:$C$49)*Impacts!$F$9),0)</f>
        <v>0</v>
      </c>
      <c r="N3154" s="10">
        <f>IF(Tank3!$C$23="No control",(SUMIF(Tank3!$B$32:$B$49,$J3154,Tank3!$C$32:$C$49)*Impacts!$F$10),0)</f>
        <v>0</v>
      </c>
      <c r="O3154" s="10">
        <f>IF(Tank4!$C$23="No control",(SUMIF(Tank4!$B$32:$B$49,$J3154,Tank4!$C$32:$C$49)*Impacts!$F$11),0)</f>
        <v>0</v>
      </c>
      <c r="P3154" s="10">
        <f>IF(Tank5!$C$23="No control",(SUMIF(Tank5!$B$32:$B$49,$J3154,Tank5!$C$32:$C$49)*Impacts!$F$12),0)</f>
        <v>0</v>
      </c>
      <c r="Q3154" s="10">
        <f>IFERROR(IF(('Loading-drum,tote'!$C$21)="No control",SUMIF(('Loading-drum,tote'!$B$31:$B$48),$J3154,('Loading-drum,tote'!$D$31:$D$48))*Impacts!$F$13,IF(('Loading-drum,tote'!$C$21)&lt;&gt;"No control",SUMIF(('Loading-drum,tote'!$B$31:$B$48),$J3154,('Loading-drum,tote'!$E$31:$E$48))*Impacts!$F$13,0)),0)</f>
        <v>0</v>
      </c>
      <c r="R3154" s="10">
        <f>IFERROR(IF(('Loading-truck'!$C$21)="No control",SUMIF(('Loading-truck'!$B$31:$B$48),$J3154,('Loading-truck'!$D$31:$D$48))*Impacts!$F$14,IF(('Loading-truck'!$C$21)&lt;&gt;"No control",SUMIF(('Loading-truck'!$B$31:$B$48),$J3154,('Loading-truck'!$E$31:$E$48))*Impacts!$F$14,0)),0)</f>
        <v>0</v>
      </c>
      <c r="S3154" s="10">
        <f>IFERROR(IF(('Loading-rail'!$C$21)="No control",SUMIF(('Loading-rail'!$B$31:$B$48),$J3154,('Loading-rail'!$D$31:$D$48))*Impacts!$F$15,IF(('Loading-rail'!$C$21)&lt;&gt;"No control",SUMIF(('Loading-rail'!$B$31:$B$48),$J3154,('Loading-rail'!$E$31:$E$48))*Impacts!$F$15,0)),0)</f>
        <v>0</v>
      </c>
      <c r="T3154" s="10">
        <f>IF(Flare!$C$7="",0,(SUMIF(Flare!$B$46:$B$185,$J3154,Flare!$E$46:$E$185)*Impacts!$F$16))</f>
        <v>0</v>
      </c>
      <c r="U3154" s="10">
        <f>IF(VCU!$C$9="",0,(SUMIF(VCU!$B$51:$B$193,$J3154,VCU!$E$51:$E$193)*Impacts!$F$17))</f>
        <v>0</v>
      </c>
      <c r="V3154" s="10">
        <f>IF(CAS!$C$7="",0,(SUMIF(CAS!$B$31:$B$167,$J3154,CAS!$E$31:$E$167)*Impacts!$F$18))</f>
        <v>0</v>
      </c>
      <c r="W3154" s="10">
        <f t="shared" si="89"/>
        <v>0</v>
      </c>
      <c r="AK3154" s="10" t="str">
        <f t="array" ref="AK3154">IFERROR(INDEX(SelectedSpecies,SMALL(IF(SelectedSpecies=AK$1,ROW(SelectedSpecies)),ROW(3155:3155)),2),"")</f>
        <v/>
      </c>
      <c r="BE3154" s="10"/>
      <c r="BI3154" s="10"/>
    </row>
    <row r="3155" spans="1:61" ht="21" customHeight="1" x14ac:dyDescent="0.25">
      <c r="A3155" s="10"/>
      <c r="B3155" s="10"/>
      <c r="E3155" s="10"/>
      <c r="G3155" s="10"/>
      <c r="I3155" s="436" t="s">
        <v>1248</v>
      </c>
      <c r="J3155" s="26" t="s">
        <v>1247</v>
      </c>
      <c r="K3155" s="10">
        <v>34</v>
      </c>
      <c r="L3155" s="73">
        <f>IF(Tank1!$C$23="No control",(SUMIF(Tank1!$B$32:$B$49,$J3155,Tank1!$C$32:$C$49)*Impacts!$F$8),0)</f>
        <v>0</v>
      </c>
      <c r="M3155" s="10">
        <f>IF(Tank2!$C$23="No control",(SUMIF(Tank2!$B$32:$B$49,$J3155,Tank2!$C$32:$C$49)*Impacts!$F$9),0)</f>
        <v>0</v>
      </c>
      <c r="N3155" s="10">
        <f>IF(Tank3!$C$23="No control",(SUMIF(Tank3!$B$32:$B$49,$J3155,Tank3!$C$32:$C$49)*Impacts!$F$10),0)</f>
        <v>0</v>
      </c>
      <c r="O3155" s="10">
        <f>IF(Tank4!$C$23="No control",(SUMIF(Tank4!$B$32:$B$49,$J3155,Tank4!$C$32:$C$49)*Impacts!$F$11),0)</f>
        <v>0</v>
      </c>
      <c r="P3155" s="10">
        <f>IF(Tank5!$C$23="No control",(SUMIF(Tank5!$B$32:$B$49,$J3155,Tank5!$C$32:$C$49)*Impacts!$F$12),0)</f>
        <v>0</v>
      </c>
      <c r="Q3155" s="10">
        <f>IFERROR(IF(('Loading-drum,tote'!$C$21)="No control",SUMIF(('Loading-drum,tote'!$B$31:$B$48),$J3155,('Loading-drum,tote'!$D$31:$D$48))*Impacts!$F$13,IF(('Loading-drum,tote'!$C$21)&lt;&gt;"No control",SUMIF(('Loading-drum,tote'!$B$31:$B$48),$J3155,('Loading-drum,tote'!$E$31:$E$48))*Impacts!$F$13,0)),0)</f>
        <v>0</v>
      </c>
      <c r="R3155" s="10">
        <f>IFERROR(IF(('Loading-truck'!$C$21)="No control",SUMIF(('Loading-truck'!$B$31:$B$48),$J3155,('Loading-truck'!$D$31:$D$48))*Impacts!$F$14,IF(('Loading-truck'!$C$21)&lt;&gt;"No control",SUMIF(('Loading-truck'!$B$31:$B$48),$J3155,('Loading-truck'!$E$31:$E$48))*Impacts!$F$14,0)),0)</f>
        <v>0</v>
      </c>
      <c r="S3155" s="10">
        <f>IFERROR(IF(('Loading-rail'!$C$21)="No control",SUMIF(('Loading-rail'!$B$31:$B$48),$J3155,('Loading-rail'!$D$31:$D$48))*Impacts!$F$15,IF(('Loading-rail'!$C$21)&lt;&gt;"No control",SUMIF(('Loading-rail'!$B$31:$B$48),$J3155,('Loading-rail'!$E$31:$E$48))*Impacts!$F$15,0)),0)</f>
        <v>0</v>
      </c>
      <c r="T3155" s="10">
        <f>IF(Flare!$C$7="",0,(SUMIF(Flare!$B$46:$B$185,$J3155,Flare!$E$46:$E$185)*Impacts!$F$16))</f>
        <v>0</v>
      </c>
      <c r="U3155" s="10">
        <f>IF(VCU!$C$9="",0,(SUMIF(VCU!$B$51:$B$193,$J3155,VCU!$E$51:$E$193)*Impacts!$F$17))</f>
        <v>0</v>
      </c>
      <c r="V3155" s="10">
        <f>IF(CAS!$C$7="",0,(SUMIF(CAS!$B$31:$B$167,$J3155,CAS!$E$31:$E$167)*Impacts!$F$18))</f>
        <v>0</v>
      </c>
      <c r="W3155" s="10">
        <f t="shared" si="89"/>
        <v>0</v>
      </c>
      <c r="AK3155" s="10" t="str">
        <f t="array" ref="AK3155">IFERROR(INDEX(SelectedSpecies,SMALL(IF(SelectedSpecies=AK$1,ROW(SelectedSpecies)),ROW(3156:3156)),2),"")</f>
        <v/>
      </c>
      <c r="BE3155" s="10"/>
      <c r="BI3155" s="10"/>
    </row>
    <row r="3156" spans="1:61" ht="21" customHeight="1" x14ac:dyDescent="0.25">
      <c r="A3156" s="10"/>
      <c r="B3156" s="10"/>
      <c r="E3156" s="10"/>
      <c r="G3156" s="10"/>
      <c r="I3156" s="436" t="s">
        <v>6112</v>
      </c>
      <c r="J3156" s="26" t="s">
        <v>6111</v>
      </c>
      <c r="K3156" s="10">
        <v>1</v>
      </c>
      <c r="L3156" s="73">
        <f>IF(Tank1!$C$23="No control",(SUMIF(Tank1!$B$32:$B$49,$J3156,Tank1!$C$32:$C$49)*Impacts!$F$8),0)</f>
        <v>0</v>
      </c>
      <c r="M3156" s="10">
        <f>IF(Tank2!$C$23="No control",(SUMIF(Tank2!$B$32:$B$49,$J3156,Tank2!$C$32:$C$49)*Impacts!$F$9),0)</f>
        <v>0</v>
      </c>
      <c r="N3156" s="10">
        <f>IF(Tank3!$C$23="No control",(SUMIF(Tank3!$B$32:$B$49,$J3156,Tank3!$C$32:$C$49)*Impacts!$F$10),0)</f>
        <v>0</v>
      </c>
      <c r="O3156" s="10">
        <f>IF(Tank4!$C$23="No control",(SUMIF(Tank4!$B$32:$B$49,$J3156,Tank4!$C$32:$C$49)*Impacts!$F$11),0)</f>
        <v>0</v>
      </c>
      <c r="P3156" s="10">
        <f>IF(Tank5!$C$23="No control",(SUMIF(Tank5!$B$32:$B$49,$J3156,Tank5!$C$32:$C$49)*Impacts!$F$12),0)</f>
        <v>0</v>
      </c>
      <c r="Q3156" s="10">
        <f>IFERROR(IF(('Loading-drum,tote'!$C$21)="No control",SUMIF(('Loading-drum,tote'!$B$31:$B$48),$J3156,('Loading-drum,tote'!$D$31:$D$48))*Impacts!$F$13,IF(('Loading-drum,tote'!$C$21)&lt;&gt;"No control",SUMIF(('Loading-drum,tote'!$B$31:$B$48),$J3156,('Loading-drum,tote'!$E$31:$E$48))*Impacts!$F$13,0)),0)</f>
        <v>0</v>
      </c>
      <c r="R3156" s="10">
        <f>IFERROR(IF(('Loading-truck'!$C$21)="No control",SUMIF(('Loading-truck'!$B$31:$B$48),$J3156,('Loading-truck'!$D$31:$D$48))*Impacts!$F$14,IF(('Loading-truck'!$C$21)&lt;&gt;"No control",SUMIF(('Loading-truck'!$B$31:$B$48),$J3156,('Loading-truck'!$E$31:$E$48))*Impacts!$F$14,0)),0)</f>
        <v>0</v>
      </c>
      <c r="S3156" s="10">
        <f>IFERROR(IF(('Loading-rail'!$C$21)="No control",SUMIF(('Loading-rail'!$B$31:$B$48),$J3156,('Loading-rail'!$D$31:$D$48))*Impacts!$F$15,IF(('Loading-rail'!$C$21)&lt;&gt;"No control",SUMIF(('Loading-rail'!$B$31:$B$48),$J3156,('Loading-rail'!$E$31:$E$48))*Impacts!$F$15,0)),0)</f>
        <v>0</v>
      </c>
      <c r="T3156" s="10">
        <f>IF(Flare!$C$7="",0,(SUMIF(Flare!$B$46:$B$185,$J3156,Flare!$E$46:$E$185)*Impacts!$F$16))</f>
        <v>0</v>
      </c>
      <c r="U3156" s="10">
        <f>IF(VCU!$C$9="",0,(SUMIF(VCU!$B$51:$B$193,$J3156,VCU!$E$51:$E$193)*Impacts!$F$17))</f>
        <v>0</v>
      </c>
      <c r="V3156" s="10">
        <f>IF(CAS!$C$7="",0,(SUMIF(CAS!$B$31:$B$167,$J3156,CAS!$E$31:$E$167)*Impacts!$F$18))</f>
        <v>0</v>
      </c>
      <c r="W3156" s="10">
        <f t="shared" si="89"/>
        <v>0</v>
      </c>
      <c r="AK3156" s="10" t="str">
        <f t="array" ref="AK3156">IFERROR(INDEX(SelectedSpecies,SMALL(IF(SelectedSpecies=AK$1,ROW(SelectedSpecies)),ROW(3157:3157)),2),"")</f>
        <v/>
      </c>
      <c r="BE3156" s="10"/>
      <c r="BI3156" s="10"/>
    </row>
    <row r="3157" spans="1:61" ht="21" customHeight="1" x14ac:dyDescent="0.25">
      <c r="A3157" s="10"/>
      <c r="B3157" s="10"/>
      <c r="E3157" s="10"/>
      <c r="G3157" s="10"/>
      <c r="I3157" s="436" t="s">
        <v>3261</v>
      </c>
      <c r="J3157" s="26" t="s">
        <v>3260</v>
      </c>
      <c r="K3157" s="10">
        <v>10</v>
      </c>
      <c r="L3157" s="73">
        <f>IF(Tank1!$C$23="No control",(SUMIF(Tank1!$B$32:$B$49,$J3157,Tank1!$C$32:$C$49)*Impacts!$F$8),0)</f>
        <v>0</v>
      </c>
      <c r="M3157" s="10">
        <f>IF(Tank2!$C$23="No control",(SUMIF(Tank2!$B$32:$B$49,$J3157,Tank2!$C$32:$C$49)*Impacts!$F$9),0)</f>
        <v>0</v>
      </c>
      <c r="N3157" s="10">
        <f>IF(Tank3!$C$23="No control",(SUMIF(Tank3!$B$32:$B$49,$J3157,Tank3!$C$32:$C$49)*Impacts!$F$10),0)</f>
        <v>0</v>
      </c>
      <c r="O3157" s="10">
        <f>IF(Tank4!$C$23="No control",(SUMIF(Tank4!$B$32:$B$49,$J3157,Tank4!$C$32:$C$49)*Impacts!$F$11),0)</f>
        <v>0</v>
      </c>
      <c r="P3157" s="10">
        <f>IF(Tank5!$C$23="No control",(SUMIF(Tank5!$B$32:$B$49,$J3157,Tank5!$C$32:$C$49)*Impacts!$F$12),0)</f>
        <v>0</v>
      </c>
      <c r="Q3157" s="10">
        <f>IFERROR(IF(('Loading-drum,tote'!$C$21)="No control",SUMIF(('Loading-drum,tote'!$B$31:$B$48),$J3157,('Loading-drum,tote'!$D$31:$D$48))*Impacts!$F$13,IF(('Loading-drum,tote'!$C$21)&lt;&gt;"No control",SUMIF(('Loading-drum,tote'!$B$31:$B$48),$J3157,('Loading-drum,tote'!$E$31:$E$48))*Impacts!$F$13,0)),0)</f>
        <v>0</v>
      </c>
      <c r="R3157" s="10">
        <f>IFERROR(IF(('Loading-truck'!$C$21)="No control",SUMIF(('Loading-truck'!$B$31:$B$48),$J3157,('Loading-truck'!$D$31:$D$48))*Impacts!$F$14,IF(('Loading-truck'!$C$21)&lt;&gt;"No control",SUMIF(('Loading-truck'!$B$31:$B$48),$J3157,('Loading-truck'!$E$31:$E$48))*Impacts!$F$14,0)),0)</f>
        <v>0</v>
      </c>
      <c r="S3157" s="10">
        <f>IFERROR(IF(('Loading-rail'!$C$21)="No control",SUMIF(('Loading-rail'!$B$31:$B$48),$J3157,('Loading-rail'!$D$31:$D$48))*Impacts!$F$15,IF(('Loading-rail'!$C$21)&lt;&gt;"No control",SUMIF(('Loading-rail'!$B$31:$B$48),$J3157,('Loading-rail'!$E$31:$E$48))*Impacts!$F$15,0)),0)</f>
        <v>0</v>
      </c>
      <c r="T3157" s="10">
        <f>IF(Flare!$C$7="",0,(SUMIF(Flare!$B$46:$B$185,$J3157,Flare!$E$46:$E$185)*Impacts!$F$16))</f>
        <v>0</v>
      </c>
      <c r="U3157" s="10">
        <f>IF(VCU!$C$9="",0,(SUMIF(VCU!$B$51:$B$193,$J3157,VCU!$E$51:$E$193)*Impacts!$F$17))</f>
        <v>0</v>
      </c>
      <c r="V3157" s="10">
        <f>IF(CAS!$C$7="",0,(SUMIF(CAS!$B$31:$B$167,$J3157,CAS!$E$31:$E$167)*Impacts!$F$18))</f>
        <v>0</v>
      </c>
      <c r="W3157" s="10">
        <f t="shared" si="89"/>
        <v>0</v>
      </c>
      <c r="AK3157" s="10" t="str">
        <f t="array" ref="AK3157">IFERROR(INDEX(SelectedSpecies,SMALL(IF(SelectedSpecies=AK$1,ROW(SelectedSpecies)),ROW(3158:3158)),2),"")</f>
        <v/>
      </c>
      <c r="BE3157" s="10"/>
      <c r="BI3157" s="10"/>
    </row>
    <row r="3158" spans="1:61" ht="21" customHeight="1" x14ac:dyDescent="0.25">
      <c r="A3158" s="10"/>
      <c r="B3158" s="10"/>
      <c r="E3158" s="10"/>
      <c r="G3158" s="10"/>
      <c r="I3158" s="436" t="s">
        <v>4071</v>
      </c>
      <c r="J3158" s="26" t="s">
        <v>4070</v>
      </c>
      <c r="K3158" s="10">
        <v>5.8000000000000007</v>
      </c>
      <c r="L3158" s="73">
        <f>IF(Tank1!$C$23="No control",(SUMIF(Tank1!$B$32:$B$49,$J3158,Tank1!$C$32:$C$49)*Impacts!$F$8),0)</f>
        <v>0</v>
      </c>
      <c r="M3158" s="10">
        <f>IF(Tank2!$C$23="No control",(SUMIF(Tank2!$B$32:$B$49,$J3158,Tank2!$C$32:$C$49)*Impacts!$F$9),0)</f>
        <v>0</v>
      </c>
      <c r="N3158" s="10">
        <f>IF(Tank3!$C$23="No control",(SUMIF(Tank3!$B$32:$B$49,$J3158,Tank3!$C$32:$C$49)*Impacts!$F$10),0)</f>
        <v>0</v>
      </c>
      <c r="O3158" s="10">
        <f>IF(Tank4!$C$23="No control",(SUMIF(Tank4!$B$32:$B$49,$J3158,Tank4!$C$32:$C$49)*Impacts!$F$11),0)</f>
        <v>0</v>
      </c>
      <c r="P3158" s="10">
        <f>IF(Tank5!$C$23="No control",(SUMIF(Tank5!$B$32:$B$49,$J3158,Tank5!$C$32:$C$49)*Impacts!$F$12),0)</f>
        <v>0</v>
      </c>
      <c r="Q3158" s="10">
        <f>IFERROR(IF(('Loading-drum,tote'!$C$21)="No control",SUMIF(('Loading-drum,tote'!$B$31:$B$48),$J3158,('Loading-drum,tote'!$D$31:$D$48))*Impacts!$F$13,IF(('Loading-drum,tote'!$C$21)&lt;&gt;"No control",SUMIF(('Loading-drum,tote'!$B$31:$B$48),$J3158,('Loading-drum,tote'!$E$31:$E$48))*Impacts!$F$13,0)),0)</f>
        <v>0</v>
      </c>
      <c r="R3158" s="10">
        <f>IFERROR(IF(('Loading-truck'!$C$21)="No control",SUMIF(('Loading-truck'!$B$31:$B$48),$J3158,('Loading-truck'!$D$31:$D$48))*Impacts!$F$14,IF(('Loading-truck'!$C$21)&lt;&gt;"No control",SUMIF(('Loading-truck'!$B$31:$B$48),$J3158,('Loading-truck'!$E$31:$E$48))*Impacts!$F$14,0)),0)</f>
        <v>0</v>
      </c>
      <c r="S3158" s="10">
        <f>IFERROR(IF(('Loading-rail'!$C$21)="No control",SUMIF(('Loading-rail'!$B$31:$B$48),$J3158,('Loading-rail'!$D$31:$D$48))*Impacts!$F$15,IF(('Loading-rail'!$C$21)&lt;&gt;"No control",SUMIF(('Loading-rail'!$B$31:$B$48),$J3158,('Loading-rail'!$E$31:$E$48))*Impacts!$F$15,0)),0)</f>
        <v>0</v>
      </c>
      <c r="T3158" s="10">
        <f>IF(Flare!$C$7="",0,(SUMIF(Flare!$B$46:$B$185,$J3158,Flare!$E$46:$E$185)*Impacts!$F$16))</f>
        <v>0</v>
      </c>
      <c r="U3158" s="10">
        <f>IF(VCU!$C$9="",0,(SUMIF(VCU!$B$51:$B$193,$J3158,VCU!$E$51:$E$193)*Impacts!$F$17))</f>
        <v>0</v>
      </c>
      <c r="V3158" s="10">
        <f>IF(CAS!$C$7="",0,(SUMIF(CAS!$B$31:$B$167,$J3158,CAS!$E$31:$E$167)*Impacts!$F$18))</f>
        <v>0</v>
      </c>
      <c r="W3158" s="10">
        <f t="shared" si="89"/>
        <v>0</v>
      </c>
      <c r="AK3158" s="10" t="str">
        <f t="array" ref="AK3158">IFERROR(INDEX(SelectedSpecies,SMALL(IF(SelectedSpecies=AK$1,ROW(SelectedSpecies)),ROW(3159:3159)),2),"")</f>
        <v/>
      </c>
      <c r="BE3158" s="10"/>
      <c r="BI3158" s="10"/>
    </row>
    <row r="3159" spans="1:61" ht="21" customHeight="1" x14ac:dyDescent="0.25">
      <c r="A3159" s="10"/>
      <c r="B3159" s="10"/>
      <c r="E3159" s="10"/>
      <c r="G3159" s="10"/>
      <c r="I3159" s="436" t="s">
        <v>4599</v>
      </c>
      <c r="J3159" s="26" t="s">
        <v>4598</v>
      </c>
      <c r="K3159" s="10">
        <v>4</v>
      </c>
      <c r="L3159" s="73">
        <f>IF(Tank1!$C$23="No control",(SUMIF(Tank1!$B$32:$B$49,$J3159,Tank1!$C$32:$C$49)*Impacts!$F$8),0)</f>
        <v>0</v>
      </c>
      <c r="M3159" s="10">
        <f>IF(Tank2!$C$23="No control",(SUMIF(Tank2!$B$32:$B$49,$J3159,Tank2!$C$32:$C$49)*Impacts!$F$9),0)</f>
        <v>0</v>
      </c>
      <c r="N3159" s="10">
        <f>IF(Tank3!$C$23="No control",(SUMIF(Tank3!$B$32:$B$49,$J3159,Tank3!$C$32:$C$49)*Impacts!$F$10),0)</f>
        <v>0</v>
      </c>
      <c r="O3159" s="10">
        <f>IF(Tank4!$C$23="No control",(SUMIF(Tank4!$B$32:$B$49,$J3159,Tank4!$C$32:$C$49)*Impacts!$F$11),0)</f>
        <v>0</v>
      </c>
      <c r="P3159" s="10">
        <f>IF(Tank5!$C$23="No control",(SUMIF(Tank5!$B$32:$B$49,$J3159,Tank5!$C$32:$C$49)*Impacts!$F$12),0)</f>
        <v>0</v>
      </c>
      <c r="Q3159" s="10">
        <f>IFERROR(IF(('Loading-drum,tote'!$C$21)="No control",SUMIF(('Loading-drum,tote'!$B$31:$B$48),$J3159,('Loading-drum,tote'!$D$31:$D$48))*Impacts!$F$13,IF(('Loading-drum,tote'!$C$21)&lt;&gt;"No control",SUMIF(('Loading-drum,tote'!$B$31:$B$48),$J3159,('Loading-drum,tote'!$E$31:$E$48))*Impacts!$F$13,0)),0)</f>
        <v>0</v>
      </c>
      <c r="R3159" s="10">
        <f>IFERROR(IF(('Loading-truck'!$C$21)="No control",SUMIF(('Loading-truck'!$B$31:$B$48),$J3159,('Loading-truck'!$D$31:$D$48))*Impacts!$F$14,IF(('Loading-truck'!$C$21)&lt;&gt;"No control",SUMIF(('Loading-truck'!$B$31:$B$48),$J3159,('Loading-truck'!$E$31:$E$48))*Impacts!$F$14,0)),0)</f>
        <v>0</v>
      </c>
      <c r="S3159" s="10">
        <f>IFERROR(IF(('Loading-rail'!$C$21)="No control",SUMIF(('Loading-rail'!$B$31:$B$48),$J3159,('Loading-rail'!$D$31:$D$48))*Impacts!$F$15,IF(('Loading-rail'!$C$21)&lt;&gt;"No control",SUMIF(('Loading-rail'!$B$31:$B$48),$J3159,('Loading-rail'!$E$31:$E$48))*Impacts!$F$15,0)),0)</f>
        <v>0</v>
      </c>
      <c r="T3159" s="10">
        <f>IF(Flare!$C$7="",0,(SUMIF(Flare!$B$46:$B$185,$J3159,Flare!$E$46:$E$185)*Impacts!$F$16))</f>
        <v>0</v>
      </c>
      <c r="U3159" s="10">
        <f>IF(VCU!$C$9="",0,(SUMIF(VCU!$B$51:$B$193,$J3159,VCU!$E$51:$E$193)*Impacts!$F$17))</f>
        <v>0</v>
      </c>
      <c r="V3159" s="10">
        <f>IF(CAS!$C$7="",0,(SUMIF(CAS!$B$31:$B$167,$J3159,CAS!$E$31:$E$167)*Impacts!$F$18))</f>
        <v>0</v>
      </c>
      <c r="W3159" s="10">
        <f t="shared" si="89"/>
        <v>0</v>
      </c>
      <c r="AK3159" s="10" t="str">
        <f t="array" ref="AK3159">IFERROR(INDEX(SelectedSpecies,SMALL(IF(SelectedSpecies=AK$1,ROW(SelectedSpecies)),ROW(3160:3160)),2),"")</f>
        <v/>
      </c>
      <c r="BE3159" s="10"/>
      <c r="BI3159" s="10"/>
    </row>
    <row r="3160" spans="1:61" ht="21" customHeight="1" x14ac:dyDescent="0.25">
      <c r="A3160" s="10"/>
      <c r="B3160" s="10"/>
      <c r="E3160" s="10"/>
      <c r="G3160" s="10"/>
      <c r="I3160" s="436" t="s">
        <v>6114</v>
      </c>
      <c r="J3160" s="26" t="s">
        <v>6113</v>
      </c>
      <c r="K3160" s="10">
        <v>1</v>
      </c>
      <c r="L3160" s="73">
        <f>IF(Tank1!$C$23="No control",(SUMIF(Tank1!$B$32:$B$49,$J3160,Tank1!$C$32:$C$49)*Impacts!$F$8),0)</f>
        <v>0</v>
      </c>
      <c r="M3160" s="10">
        <f>IF(Tank2!$C$23="No control",(SUMIF(Tank2!$B$32:$B$49,$J3160,Tank2!$C$32:$C$49)*Impacts!$F$9),0)</f>
        <v>0</v>
      </c>
      <c r="N3160" s="10">
        <f>IF(Tank3!$C$23="No control",(SUMIF(Tank3!$B$32:$B$49,$J3160,Tank3!$C$32:$C$49)*Impacts!$F$10),0)</f>
        <v>0</v>
      </c>
      <c r="O3160" s="10">
        <f>IF(Tank4!$C$23="No control",(SUMIF(Tank4!$B$32:$B$49,$J3160,Tank4!$C$32:$C$49)*Impacts!$F$11),0)</f>
        <v>0</v>
      </c>
      <c r="P3160" s="10">
        <f>IF(Tank5!$C$23="No control",(SUMIF(Tank5!$B$32:$B$49,$J3160,Tank5!$C$32:$C$49)*Impacts!$F$12),0)</f>
        <v>0</v>
      </c>
      <c r="Q3160" s="10">
        <f>IFERROR(IF(('Loading-drum,tote'!$C$21)="No control",SUMIF(('Loading-drum,tote'!$B$31:$B$48),$J3160,('Loading-drum,tote'!$D$31:$D$48))*Impacts!$F$13,IF(('Loading-drum,tote'!$C$21)&lt;&gt;"No control",SUMIF(('Loading-drum,tote'!$B$31:$B$48),$J3160,('Loading-drum,tote'!$E$31:$E$48))*Impacts!$F$13,0)),0)</f>
        <v>0</v>
      </c>
      <c r="R3160" s="10">
        <f>IFERROR(IF(('Loading-truck'!$C$21)="No control",SUMIF(('Loading-truck'!$B$31:$B$48),$J3160,('Loading-truck'!$D$31:$D$48))*Impacts!$F$14,IF(('Loading-truck'!$C$21)&lt;&gt;"No control",SUMIF(('Loading-truck'!$B$31:$B$48),$J3160,('Loading-truck'!$E$31:$E$48))*Impacts!$F$14,0)),0)</f>
        <v>0</v>
      </c>
      <c r="S3160" s="10">
        <f>IFERROR(IF(('Loading-rail'!$C$21)="No control",SUMIF(('Loading-rail'!$B$31:$B$48),$J3160,('Loading-rail'!$D$31:$D$48))*Impacts!$F$15,IF(('Loading-rail'!$C$21)&lt;&gt;"No control",SUMIF(('Loading-rail'!$B$31:$B$48),$J3160,('Loading-rail'!$E$31:$E$48))*Impacts!$F$15,0)),0)</f>
        <v>0</v>
      </c>
      <c r="T3160" s="10">
        <f>IF(Flare!$C$7="",0,(SUMIF(Flare!$B$46:$B$185,$J3160,Flare!$E$46:$E$185)*Impacts!$F$16))</f>
        <v>0</v>
      </c>
      <c r="U3160" s="10">
        <f>IF(VCU!$C$9="",0,(SUMIF(VCU!$B$51:$B$193,$J3160,VCU!$E$51:$E$193)*Impacts!$F$17))</f>
        <v>0</v>
      </c>
      <c r="V3160" s="10">
        <f>IF(CAS!$C$7="",0,(SUMIF(CAS!$B$31:$B$167,$J3160,CAS!$E$31:$E$167)*Impacts!$F$18))</f>
        <v>0</v>
      </c>
      <c r="W3160" s="10">
        <f t="shared" si="89"/>
        <v>0</v>
      </c>
      <c r="AK3160" s="10" t="str">
        <f t="array" ref="AK3160">IFERROR(INDEX(SelectedSpecies,SMALL(IF(SelectedSpecies=AK$1,ROW(SelectedSpecies)),ROW(3161:3161)),2),"")</f>
        <v/>
      </c>
      <c r="BE3160" s="10"/>
      <c r="BI3160" s="10"/>
    </row>
    <row r="3161" spans="1:61" ht="21" customHeight="1" x14ac:dyDescent="0.25">
      <c r="A3161" s="10"/>
      <c r="B3161" s="10"/>
      <c r="E3161" s="10"/>
      <c r="G3161" s="10"/>
      <c r="I3161" s="436" t="s">
        <v>3263</v>
      </c>
      <c r="J3161" s="26" t="s">
        <v>3262</v>
      </c>
      <c r="K3161" s="10">
        <v>10</v>
      </c>
      <c r="L3161" s="73">
        <f>IF(Tank1!$C$23="No control",(SUMIF(Tank1!$B$32:$B$49,$J3161,Tank1!$C$32:$C$49)*Impacts!$F$8),0)</f>
        <v>0</v>
      </c>
      <c r="M3161" s="10">
        <f>IF(Tank2!$C$23="No control",(SUMIF(Tank2!$B$32:$B$49,$J3161,Tank2!$C$32:$C$49)*Impacts!$F$9),0)</f>
        <v>0</v>
      </c>
      <c r="N3161" s="10">
        <f>IF(Tank3!$C$23="No control",(SUMIF(Tank3!$B$32:$B$49,$J3161,Tank3!$C$32:$C$49)*Impacts!$F$10),0)</f>
        <v>0</v>
      </c>
      <c r="O3161" s="10">
        <f>IF(Tank4!$C$23="No control",(SUMIF(Tank4!$B$32:$B$49,$J3161,Tank4!$C$32:$C$49)*Impacts!$F$11),0)</f>
        <v>0</v>
      </c>
      <c r="P3161" s="10">
        <f>IF(Tank5!$C$23="No control",(SUMIF(Tank5!$B$32:$B$49,$J3161,Tank5!$C$32:$C$49)*Impacts!$F$12),0)</f>
        <v>0</v>
      </c>
      <c r="Q3161" s="10">
        <f>IFERROR(IF(('Loading-drum,tote'!$C$21)="No control",SUMIF(('Loading-drum,tote'!$B$31:$B$48),$J3161,('Loading-drum,tote'!$D$31:$D$48))*Impacts!$F$13,IF(('Loading-drum,tote'!$C$21)&lt;&gt;"No control",SUMIF(('Loading-drum,tote'!$B$31:$B$48),$J3161,('Loading-drum,tote'!$E$31:$E$48))*Impacts!$F$13,0)),0)</f>
        <v>0</v>
      </c>
      <c r="R3161" s="10">
        <f>IFERROR(IF(('Loading-truck'!$C$21)="No control",SUMIF(('Loading-truck'!$B$31:$B$48),$J3161,('Loading-truck'!$D$31:$D$48))*Impacts!$F$14,IF(('Loading-truck'!$C$21)&lt;&gt;"No control",SUMIF(('Loading-truck'!$B$31:$B$48),$J3161,('Loading-truck'!$E$31:$E$48))*Impacts!$F$14,0)),0)</f>
        <v>0</v>
      </c>
      <c r="S3161" s="10">
        <f>IFERROR(IF(('Loading-rail'!$C$21)="No control",SUMIF(('Loading-rail'!$B$31:$B$48),$J3161,('Loading-rail'!$D$31:$D$48))*Impacts!$F$15,IF(('Loading-rail'!$C$21)&lt;&gt;"No control",SUMIF(('Loading-rail'!$B$31:$B$48),$J3161,('Loading-rail'!$E$31:$E$48))*Impacts!$F$15,0)),0)</f>
        <v>0</v>
      </c>
      <c r="T3161" s="10">
        <f>IF(Flare!$C$7="",0,(SUMIF(Flare!$B$46:$B$185,$J3161,Flare!$E$46:$E$185)*Impacts!$F$16))</f>
        <v>0</v>
      </c>
      <c r="U3161" s="10">
        <f>IF(VCU!$C$9="",0,(SUMIF(VCU!$B$51:$B$193,$J3161,VCU!$E$51:$E$193)*Impacts!$F$17))</f>
        <v>0</v>
      </c>
      <c r="V3161" s="10">
        <f>IF(CAS!$C$7="",0,(SUMIF(CAS!$B$31:$B$167,$J3161,CAS!$E$31:$E$167)*Impacts!$F$18))</f>
        <v>0</v>
      </c>
      <c r="W3161" s="10">
        <f t="shared" si="89"/>
        <v>0</v>
      </c>
      <c r="AK3161" s="10" t="str">
        <f t="array" ref="AK3161">IFERROR(INDEX(SelectedSpecies,SMALL(IF(SelectedSpecies=AK$1,ROW(SelectedSpecies)),ROW(3162:3162)),2),"")</f>
        <v/>
      </c>
      <c r="BE3161" s="10"/>
      <c r="BI3161" s="10"/>
    </row>
    <row r="3162" spans="1:61" ht="21" customHeight="1" x14ac:dyDescent="0.25">
      <c r="A3162" s="10"/>
      <c r="B3162" s="10"/>
      <c r="E3162" s="10"/>
      <c r="G3162" s="10"/>
      <c r="I3162" s="436" t="s">
        <v>4225</v>
      </c>
      <c r="J3162" s="26" t="s">
        <v>4224</v>
      </c>
      <c r="K3162" s="10">
        <v>5</v>
      </c>
      <c r="L3162" s="73">
        <f>IF(Tank1!$C$23="No control",(SUMIF(Tank1!$B$32:$B$49,$J3162,Tank1!$C$32:$C$49)*Impacts!$F$8),0)</f>
        <v>0</v>
      </c>
      <c r="M3162" s="10">
        <f>IF(Tank2!$C$23="No control",(SUMIF(Tank2!$B$32:$B$49,$J3162,Tank2!$C$32:$C$49)*Impacts!$F$9),0)</f>
        <v>0</v>
      </c>
      <c r="N3162" s="10">
        <f>IF(Tank3!$C$23="No control",(SUMIF(Tank3!$B$32:$B$49,$J3162,Tank3!$C$32:$C$49)*Impacts!$F$10),0)</f>
        <v>0</v>
      </c>
      <c r="O3162" s="10">
        <f>IF(Tank4!$C$23="No control",(SUMIF(Tank4!$B$32:$B$49,$J3162,Tank4!$C$32:$C$49)*Impacts!$F$11),0)</f>
        <v>0</v>
      </c>
      <c r="P3162" s="10">
        <f>IF(Tank5!$C$23="No control",(SUMIF(Tank5!$B$32:$B$49,$J3162,Tank5!$C$32:$C$49)*Impacts!$F$12),0)</f>
        <v>0</v>
      </c>
      <c r="Q3162" s="10">
        <f>IFERROR(IF(('Loading-drum,tote'!$C$21)="No control",SUMIF(('Loading-drum,tote'!$B$31:$B$48),$J3162,('Loading-drum,tote'!$D$31:$D$48))*Impacts!$F$13,IF(('Loading-drum,tote'!$C$21)&lt;&gt;"No control",SUMIF(('Loading-drum,tote'!$B$31:$B$48),$J3162,('Loading-drum,tote'!$E$31:$E$48))*Impacts!$F$13,0)),0)</f>
        <v>0</v>
      </c>
      <c r="R3162" s="10">
        <f>IFERROR(IF(('Loading-truck'!$C$21)="No control",SUMIF(('Loading-truck'!$B$31:$B$48),$J3162,('Loading-truck'!$D$31:$D$48))*Impacts!$F$14,IF(('Loading-truck'!$C$21)&lt;&gt;"No control",SUMIF(('Loading-truck'!$B$31:$B$48),$J3162,('Loading-truck'!$E$31:$E$48))*Impacts!$F$14,0)),0)</f>
        <v>0</v>
      </c>
      <c r="S3162" s="10">
        <f>IFERROR(IF(('Loading-rail'!$C$21)="No control",SUMIF(('Loading-rail'!$B$31:$B$48),$J3162,('Loading-rail'!$D$31:$D$48))*Impacts!$F$15,IF(('Loading-rail'!$C$21)&lt;&gt;"No control",SUMIF(('Loading-rail'!$B$31:$B$48),$J3162,('Loading-rail'!$E$31:$E$48))*Impacts!$F$15,0)),0)</f>
        <v>0</v>
      </c>
      <c r="T3162" s="10">
        <f>IF(Flare!$C$7="",0,(SUMIF(Flare!$B$46:$B$185,$J3162,Flare!$E$46:$E$185)*Impacts!$F$16))</f>
        <v>0</v>
      </c>
      <c r="U3162" s="10">
        <f>IF(VCU!$C$9="",0,(SUMIF(VCU!$B$51:$B$193,$J3162,VCU!$E$51:$E$193)*Impacts!$F$17))</f>
        <v>0</v>
      </c>
      <c r="V3162" s="10">
        <f>IF(CAS!$C$7="",0,(SUMIF(CAS!$B$31:$B$167,$J3162,CAS!$E$31:$E$167)*Impacts!$F$18))</f>
        <v>0</v>
      </c>
      <c r="W3162" s="10">
        <f t="shared" ref="W3162:W3225" si="90">SUM(L3162:V3162)</f>
        <v>0</v>
      </c>
      <c r="AK3162" s="10" t="str">
        <f t="array" ref="AK3162">IFERROR(INDEX(SelectedSpecies,SMALL(IF(SelectedSpecies=AK$1,ROW(SelectedSpecies)),ROW(3163:3163)),2),"")</f>
        <v/>
      </c>
      <c r="BE3162" s="10"/>
      <c r="BI3162" s="10"/>
    </row>
    <row r="3163" spans="1:61" ht="21" customHeight="1" x14ac:dyDescent="0.25">
      <c r="A3163" s="10"/>
      <c r="B3163" s="10"/>
      <c r="E3163" s="10"/>
      <c r="G3163" s="10"/>
      <c r="I3163" s="436" t="s">
        <v>1725</v>
      </c>
      <c r="J3163" s="26" t="s">
        <v>1724</v>
      </c>
      <c r="K3163" s="10">
        <v>24.5</v>
      </c>
      <c r="L3163" s="73">
        <f>IF(Tank1!$C$23="No control",(SUMIF(Tank1!$B$32:$B$49,$J3163,Tank1!$C$32:$C$49)*Impacts!$F$8),0)</f>
        <v>0</v>
      </c>
      <c r="M3163" s="10">
        <f>IF(Tank2!$C$23="No control",(SUMIF(Tank2!$B$32:$B$49,$J3163,Tank2!$C$32:$C$49)*Impacts!$F$9),0)</f>
        <v>0</v>
      </c>
      <c r="N3163" s="10">
        <f>IF(Tank3!$C$23="No control",(SUMIF(Tank3!$B$32:$B$49,$J3163,Tank3!$C$32:$C$49)*Impacts!$F$10),0)</f>
        <v>0</v>
      </c>
      <c r="O3163" s="10">
        <f>IF(Tank4!$C$23="No control",(SUMIF(Tank4!$B$32:$B$49,$J3163,Tank4!$C$32:$C$49)*Impacts!$F$11),0)</f>
        <v>0</v>
      </c>
      <c r="P3163" s="10">
        <f>IF(Tank5!$C$23="No control",(SUMIF(Tank5!$B$32:$B$49,$J3163,Tank5!$C$32:$C$49)*Impacts!$F$12),0)</f>
        <v>0</v>
      </c>
      <c r="Q3163" s="10">
        <f>IFERROR(IF(('Loading-drum,tote'!$C$21)="No control",SUMIF(('Loading-drum,tote'!$B$31:$B$48),$J3163,('Loading-drum,tote'!$D$31:$D$48))*Impacts!$F$13,IF(('Loading-drum,tote'!$C$21)&lt;&gt;"No control",SUMIF(('Loading-drum,tote'!$B$31:$B$48),$J3163,('Loading-drum,tote'!$E$31:$E$48))*Impacts!$F$13,0)),0)</f>
        <v>0</v>
      </c>
      <c r="R3163" s="10">
        <f>IFERROR(IF(('Loading-truck'!$C$21)="No control",SUMIF(('Loading-truck'!$B$31:$B$48),$J3163,('Loading-truck'!$D$31:$D$48))*Impacts!$F$14,IF(('Loading-truck'!$C$21)&lt;&gt;"No control",SUMIF(('Loading-truck'!$B$31:$B$48),$J3163,('Loading-truck'!$E$31:$E$48))*Impacts!$F$14,0)),0)</f>
        <v>0</v>
      </c>
      <c r="S3163" s="10">
        <f>IFERROR(IF(('Loading-rail'!$C$21)="No control",SUMIF(('Loading-rail'!$B$31:$B$48),$J3163,('Loading-rail'!$D$31:$D$48))*Impacts!$F$15,IF(('Loading-rail'!$C$21)&lt;&gt;"No control",SUMIF(('Loading-rail'!$B$31:$B$48),$J3163,('Loading-rail'!$E$31:$E$48))*Impacts!$F$15,0)),0)</f>
        <v>0</v>
      </c>
      <c r="T3163" s="10">
        <f>IF(Flare!$C$7="",0,(SUMIF(Flare!$B$46:$B$185,$J3163,Flare!$E$46:$E$185)*Impacts!$F$16))</f>
        <v>0</v>
      </c>
      <c r="U3163" s="10">
        <f>IF(VCU!$C$9="",0,(SUMIF(VCU!$B$51:$B$193,$J3163,VCU!$E$51:$E$193)*Impacts!$F$17))</f>
        <v>0</v>
      </c>
      <c r="V3163" s="10">
        <f>IF(CAS!$C$7="",0,(SUMIF(CAS!$B$31:$B$167,$J3163,CAS!$E$31:$E$167)*Impacts!$F$18))</f>
        <v>0</v>
      </c>
      <c r="W3163" s="10">
        <f t="shared" si="90"/>
        <v>0</v>
      </c>
      <c r="AK3163" s="10" t="str">
        <f t="array" ref="AK3163">IFERROR(INDEX(SelectedSpecies,SMALL(IF(SelectedSpecies=AK$1,ROW(SelectedSpecies)),ROW(3164:3164)),2),"")</f>
        <v/>
      </c>
      <c r="BE3163" s="10"/>
      <c r="BI3163" s="10"/>
    </row>
    <row r="3164" spans="1:61" ht="21" customHeight="1" x14ac:dyDescent="0.25">
      <c r="A3164" s="10"/>
      <c r="B3164" s="10"/>
      <c r="E3164" s="10"/>
      <c r="G3164" s="10"/>
      <c r="I3164" s="436" t="s">
        <v>1877</v>
      </c>
      <c r="J3164" s="26" t="s">
        <v>1876</v>
      </c>
      <c r="K3164" s="10">
        <v>20</v>
      </c>
      <c r="L3164" s="73">
        <f>IF(Tank1!$C$23="No control",(SUMIF(Tank1!$B$32:$B$49,$J3164,Tank1!$C$32:$C$49)*Impacts!$F$8),0)</f>
        <v>0</v>
      </c>
      <c r="M3164" s="10">
        <f>IF(Tank2!$C$23="No control",(SUMIF(Tank2!$B$32:$B$49,$J3164,Tank2!$C$32:$C$49)*Impacts!$F$9),0)</f>
        <v>0</v>
      </c>
      <c r="N3164" s="10">
        <f>IF(Tank3!$C$23="No control",(SUMIF(Tank3!$B$32:$B$49,$J3164,Tank3!$C$32:$C$49)*Impacts!$F$10),0)</f>
        <v>0</v>
      </c>
      <c r="O3164" s="10">
        <f>IF(Tank4!$C$23="No control",(SUMIF(Tank4!$B$32:$B$49,$J3164,Tank4!$C$32:$C$49)*Impacts!$F$11),0)</f>
        <v>0</v>
      </c>
      <c r="P3164" s="10">
        <f>IF(Tank5!$C$23="No control",(SUMIF(Tank5!$B$32:$B$49,$J3164,Tank5!$C$32:$C$49)*Impacts!$F$12),0)</f>
        <v>0</v>
      </c>
      <c r="Q3164" s="10">
        <f>IFERROR(IF(('Loading-drum,tote'!$C$21)="No control",SUMIF(('Loading-drum,tote'!$B$31:$B$48),$J3164,('Loading-drum,tote'!$D$31:$D$48))*Impacts!$F$13,IF(('Loading-drum,tote'!$C$21)&lt;&gt;"No control",SUMIF(('Loading-drum,tote'!$B$31:$B$48),$J3164,('Loading-drum,tote'!$E$31:$E$48))*Impacts!$F$13,0)),0)</f>
        <v>0</v>
      </c>
      <c r="R3164" s="10">
        <f>IFERROR(IF(('Loading-truck'!$C$21)="No control",SUMIF(('Loading-truck'!$B$31:$B$48),$J3164,('Loading-truck'!$D$31:$D$48))*Impacts!$F$14,IF(('Loading-truck'!$C$21)&lt;&gt;"No control",SUMIF(('Loading-truck'!$B$31:$B$48),$J3164,('Loading-truck'!$E$31:$E$48))*Impacts!$F$14,0)),0)</f>
        <v>0</v>
      </c>
      <c r="S3164" s="10">
        <f>IFERROR(IF(('Loading-rail'!$C$21)="No control",SUMIF(('Loading-rail'!$B$31:$B$48),$J3164,('Loading-rail'!$D$31:$D$48))*Impacts!$F$15,IF(('Loading-rail'!$C$21)&lt;&gt;"No control",SUMIF(('Loading-rail'!$B$31:$B$48),$J3164,('Loading-rail'!$E$31:$E$48))*Impacts!$F$15,0)),0)</f>
        <v>0</v>
      </c>
      <c r="T3164" s="10">
        <f>IF(Flare!$C$7="",0,(SUMIF(Flare!$B$46:$B$185,$J3164,Flare!$E$46:$E$185)*Impacts!$F$16))</f>
        <v>0</v>
      </c>
      <c r="U3164" s="10">
        <f>IF(VCU!$C$9="",0,(SUMIF(VCU!$B$51:$B$193,$J3164,VCU!$E$51:$E$193)*Impacts!$F$17))</f>
        <v>0</v>
      </c>
      <c r="V3164" s="10">
        <f>IF(CAS!$C$7="",0,(SUMIF(CAS!$B$31:$B$167,$J3164,CAS!$E$31:$E$167)*Impacts!$F$18))</f>
        <v>0</v>
      </c>
      <c r="W3164" s="10">
        <f t="shared" si="90"/>
        <v>0</v>
      </c>
      <c r="AK3164" s="10" t="str">
        <f t="array" ref="AK3164">IFERROR(INDEX(SelectedSpecies,SMALL(IF(SelectedSpecies=AK$1,ROW(SelectedSpecies)),ROW(3165:3165)),2),"")</f>
        <v/>
      </c>
      <c r="BE3164" s="10"/>
      <c r="BI3164" s="10"/>
    </row>
    <row r="3165" spans="1:61" ht="21" customHeight="1" x14ac:dyDescent="0.25">
      <c r="A3165" s="10"/>
      <c r="B3165" s="10"/>
      <c r="E3165" s="10"/>
      <c r="G3165" s="10"/>
      <c r="I3165" s="436" t="s">
        <v>3265</v>
      </c>
      <c r="J3165" s="26" t="s">
        <v>3264</v>
      </c>
      <c r="K3165" s="10">
        <v>10</v>
      </c>
      <c r="L3165" s="73">
        <f>IF(Tank1!$C$23="No control",(SUMIF(Tank1!$B$32:$B$49,$J3165,Tank1!$C$32:$C$49)*Impacts!$F$8),0)</f>
        <v>0</v>
      </c>
      <c r="M3165" s="10">
        <f>IF(Tank2!$C$23="No control",(SUMIF(Tank2!$B$32:$B$49,$J3165,Tank2!$C$32:$C$49)*Impacts!$F$9),0)</f>
        <v>0</v>
      </c>
      <c r="N3165" s="10">
        <f>IF(Tank3!$C$23="No control",(SUMIF(Tank3!$B$32:$B$49,$J3165,Tank3!$C$32:$C$49)*Impacts!$F$10),0)</f>
        <v>0</v>
      </c>
      <c r="O3165" s="10">
        <f>IF(Tank4!$C$23="No control",(SUMIF(Tank4!$B$32:$B$49,$J3165,Tank4!$C$32:$C$49)*Impacts!$F$11),0)</f>
        <v>0</v>
      </c>
      <c r="P3165" s="10">
        <f>IF(Tank5!$C$23="No control",(SUMIF(Tank5!$B$32:$B$49,$J3165,Tank5!$C$32:$C$49)*Impacts!$F$12),0)</f>
        <v>0</v>
      </c>
      <c r="Q3165" s="10">
        <f>IFERROR(IF(('Loading-drum,tote'!$C$21)="No control",SUMIF(('Loading-drum,tote'!$B$31:$B$48),$J3165,('Loading-drum,tote'!$D$31:$D$48))*Impacts!$F$13,IF(('Loading-drum,tote'!$C$21)&lt;&gt;"No control",SUMIF(('Loading-drum,tote'!$B$31:$B$48),$J3165,('Loading-drum,tote'!$E$31:$E$48))*Impacts!$F$13,0)),0)</f>
        <v>0</v>
      </c>
      <c r="R3165" s="10">
        <f>IFERROR(IF(('Loading-truck'!$C$21)="No control",SUMIF(('Loading-truck'!$B$31:$B$48),$J3165,('Loading-truck'!$D$31:$D$48))*Impacts!$F$14,IF(('Loading-truck'!$C$21)&lt;&gt;"No control",SUMIF(('Loading-truck'!$B$31:$B$48),$J3165,('Loading-truck'!$E$31:$E$48))*Impacts!$F$14,0)),0)</f>
        <v>0</v>
      </c>
      <c r="S3165" s="10">
        <f>IFERROR(IF(('Loading-rail'!$C$21)="No control",SUMIF(('Loading-rail'!$B$31:$B$48),$J3165,('Loading-rail'!$D$31:$D$48))*Impacts!$F$15,IF(('Loading-rail'!$C$21)&lt;&gt;"No control",SUMIF(('Loading-rail'!$B$31:$B$48),$J3165,('Loading-rail'!$E$31:$E$48))*Impacts!$F$15,0)),0)</f>
        <v>0</v>
      </c>
      <c r="T3165" s="10">
        <f>IF(Flare!$C$7="",0,(SUMIF(Flare!$B$46:$B$185,$J3165,Flare!$E$46:$E$185)*Impacts!$F$16))</f>
        <v>0</v>
      </c>
      <c r="U3165" s="10">
        <f>IF(VCU!$C$9="",0,(SUMIF(VCU!$B$51:$B$193,$J3165,VCU!$E$51:$E$193)*Impacts!$F$17))</f>
        <v>0</v>
      </c>
      <c r="V3165" s="10">
        <f>IF(CAS!$C$7="",0,(SUMIF(CAS!$B$31:$B$167,$J3165,CAS!$E$31:$E$167)*Impacts!$F$18))</f>
        <v>0</v>
      </c>
      <c r="W3165" s="10">
        <f t="shared" si="90"/>
        <v>0</v>
      </c>
      <c r="AK3165" s="10" t="str">
        <f t="array" ref="AK3165">IFERROR(INDEX(SelectedSpecies,SMALL(IF(SelectedSpecies=AK$1,ROW(SelectedSpecies)),ROW(3166:3166)),2),"")</f>
        <v/>
      </c>
      <c r="BE3165" s="10"/>
      <c r="BI3165" s="10"/>
    </row>
    <row r="3166" spans="1:61" ht="21" customHeight="1" x14ac:dyDescent="0.25">
      <c r="A3166" s="10"/>
      <c r="B3166" s="10"/>
      <c r="E3166" s="10"/>
      <c r="G3166" s="10"/>
      <c r="I3166" s="436" t="s">
        <v>2363</v>
      </c>
      <c r="J3166" s="26" t="s">
        <v>2362</v>
      </c>
      <c r="K3166" s="10">
        <v>11</v>
      </c>
      <c r="L3166" s="73">
        <f>IF(Tank1!$C$23="No control",(SUMIF(Tank1!$B$32:$B$49,$J3166,Tank1!$C$32:$C$49)*Impacts!$F$8),0)</f>
        <v>0</v>
      </c>
      <c r="M3166" s="10">
        <f>IF(Tank2!$C$23="No control",(SUMIF(Tank2!$B$32:$B$49,$J3166,Tank2!$C$32:$C$49)*Impacts!$F$9),0)</f>
        <v>0</v>
      </c>
      <c r="N3166" s="10">
        <f>IF(Tank3!$C$23="No control",(SUMIF(Tank3!$B$32:$B$49,$J3166,Tank3!$C$32:$C$49)*Impacts!$F$10),0)</f>
        <v>0</v>
      </c>
      <c r="O3166" s="10">
        <f>IF(Tank4!$C$23="No control",(SUMIF(Tank4!$B$32:$B$49,$J3166,Tank4!$C$32:$C$49)*Impacts!$F$11),0)</f>
        <v>0</v>
      </c>
      <c r="P3166" s="10">
        <f>IF(Tank5!$C$23="No control",(SUMIF(Tank5!$B$32:$B$49,$J3166,Tank5!$C$32:$C$49)*Impacts!$F$12),0)</f>
        <v>0</v>
      </c>
      <c r="Q3166" s="10">
        <f>IFERROR(IF(('Loading-drum,tote'!$C$21)="No control",SUMIF(('Loading-drum,tote'!$B$31:$B$48),$J3166,('Loading-drum,tote'!$D$31:$D$48))*Impacts!$F$13,IF(('Loading-drum,tote'!$C$21)&lt;&gt;"No control",SUMIF(('Loading-drum,tote'!$B$31:$B$48),$J3166,('Loading-drum,tote'!$E$31:$E$48))*Impacts!$F$13,0)),0)</f>
        <v>0</v>
      </c>
      <c r="R3166" s="10">
        <f>IFERROR(IF(('Loading-truck'!$C$21)="No control",SUMIF(('Loading-truck'!$B$31:$B$48),$J3166,('Loading-truck'!$D$31:$D$48))*Impacts!$F$14,IF(('Loading-truck'!$C$21)&lt;&gt;"No control",SUMIF(('Loading-truck'!$B$31:$B$48),$J3166,('Loading-truck'!$E$31:$E$48))*Impacts!$F$14,0)),0)</f>
        <v>0</v>
      </c>
      <c r="S3166" s="10">
        <f>IFERROR(IF(('Loading-rail'!$C$21)="No control",SUMIF(('Loading-rail'!$B$31:$B$48),$J3166,('Loading-rail'!$D$31:$D$48))*Impacts!$F$15,IF(('Loading-rail'!$C$21)&lt;&gt;"No control",SUMIF(('Loading-rail'!$B$31:$B$48),$J3166,('Loading-rail'!$E$31:$E$48))*Impacts!$F$15,0)),0)</f>
        <v>0</v>
      </c>
      <c r="T3166" s="10">
        <f>IF(Flare!$C$7="",0,(SUMIF(Flare!$B$46:$B$185,$J3166,Flare!$E$46:$E$185)*Impacts!$F$16))</f>
        <v>0</v>
      </c>
      <c r="U3166" s="10">
        <f>IF(VCU!$C$9="",0,(SUMIF(VCU!$B$51:$B$193,$J3166,VCU!$E$51:$E$193)*Impacts!$F$17))</f>
        <v>0</v>
      </c>
      <c r="V3166" s="10">
        <f>IF(CAS!$C$7="",0,(SUMIF(CAS!$B$31:$B$167,$J3166,CAS!$E$31:$E$167)*Impacts!$F$18))</f>
        <v>0</v>
      </c>
      <c r="W3166" s="10">
        <f t="shared" si="90"/>
        <v>0</v>
      </c>
      <c r="AK3166" s="10" t="str">
        <f t="array" ref="AK3166">IFERROR(INDEX(SelectedSpecies,SMALL(IF(SelectedSpecies=AK$1,ROW(SelectedSpecies)),ROW(3167:3167)),2),"")</f>
        <v/>
      </c>
      <c r="BE3166" s="10"/>
      <c r="BI3166" s="10"/>
    </row>
    <row r="3167" spans="1:61" ht="21" customHeight="1" x14ac:dyDescent="0.25">
      <c r="A3167" s="10"/>
      <c r="B3167" s="10"/>
      <c r="E3167" s="10"/>
      <c r="G3167" s="10"/>
      <c r="I3167" s="436" t="s">
        <v>6116</v>
      </c>
      <c r="J3167" s="26" t="s">
        <v>6115</v>
      </c>
      <c r="K3167" s="10">
        <v>1</v>
      </c>
      <c r="L3167" s="73">
        <f>IF(Tank1!$C$23="No control",(SUMIF(Tank1!$B$32:$B$49,$J3167,Tank1!$C$32:$C$49)*Impacts!$F$8),0)</f>
        <v>0</v>
      </c>
      <c r="M3167" s="10">
        <f>IF(Tank2!$C$23="No control",(SUMIF(Tank2!$B$32:$B$49,$J3167,Tank2!$C$32:$C$49)*Impacts!$F$9),0)</f>
        <v>0</v>
      </c>
      <c r="N3167" s="10">
        <f>IF(Tank3!$C$23="No control",(SUMIF(Tank3!$B$32:$B$49,$J3167,Tank3!$C$32:$C$49)*Impacts!$F$10),0)</f>
        <v>0</v>
      </c>
      <c r="O3167" s="10">
        <f>IF(Tank4!$C$23="No control",(SUMIF(Tank4!$B$32:$B$49,$J3167,Tank4!$C$32:$C$49)*Impacts!$F$11),0)</f>
        <v>0</v>
      </c>
      <c r="P3167" s="10">
        <f>IF(Tank5!$C$23="No control",(SUMIF(Tank5!$B$32:$B$49,$J3167,Tank5!$C$32:$C$49)*Impacts!$F$12),0)</f>
        <v>0</v>
      </c>
      <c r="Q3167" s="10">
        <f>IFERROR(IF(('Loading-drum,tote'!$C$21)="No control",SUMIF(('Loading-drum,tote'!$B$31:$B$48),$J3167,('Loading-drum,tote'!$D$31:$D$48))*Impacts!$F$13,IF(('Loading-drum,tote'!$C$21)&lt;&gt;"No control",SUMIF(('Loading-drum,tote'!$B$31:$B$48),$J3167,('Loading-drum,tote'!$E$31:$E$48))*Impacts!$F$13,0)),0)</f>
        <v>0</v>
      </c>
      <c r="R3167" s="10">
        <f>IFERROR(IF(('Loading-truck'!$C$21)="No control",SUMIF(('Loading-truck'!$B$31:$B$48),$J3167,('Loading-truck'!$D$31:$D$48))*Impacts!$F$14,IF(('Loading-truck'!$C$21)&lt;&gt;"No control",SUMIF(('Loading-truck'!$B$31:$B$48),$J3167,('Loading-truck'!$E$31:$E$48))*Impacts!$F$14,0)),0)</f>
        <v>0</v>
      </c>
      <c r="S3167" s="10">
        <f>IFERROR(IF(('Loading-rail'!$C$21)="No control",SUMIF(('Loading-rail'!$B$31:$B$48),$J3167,('Loading-rail'!$D$31:$D$48))*Impacts!$F$15,IF(('Loading-rail'!$C$21)&lt;&gt;"No control",SUMIF(('Loading-rail'!$B$31:$B$48),$J3167,('Loading-rail'!$E$31:$E$48))*Impacts!$F$15,0)),0)</f>
        <v>0</v>
      </c>
      <c r="T3167" s="10">
        <f>IF(Flare!$C$7="",0,(SUMIF(Flare!$B$46:$B$185,$J3167,Flare!$E$46:$E$185)*Impacts!$F$16))</f>
        <v>0</v>
      </c>
      <c r="U3167" s="10">
        <f>IF(VCU!$C$9="",0,(SUMIF(VCU!$B$51:$B$193,$J3167,VCU!$E$51:$E$193)*Impacts!$F$17))</f>
        <v>0</v>
      </c>
      <c r="V3167" s="10">
        <f>IF(CAS!$C$7="",0,(SUMIF(CAS!$B$31:$B$167,$J3167,CAS!$E$31:$E$167)*Impacts!$F$18))</f>
        <v>0</v>
      </c>
      <c r="W3167" s="10">
        <f t="shared" si="90"/>
        <v>0</v>
      </c>
      <c r="AK3167" s="10" t="str">
        <f t="array" ref="AK3167">IFERROR(INDEX(SelectedSpecies,SMALL(IF(SelectedSpecies=AK$1,ROW(SelectedSpecies)),ROW(3168:3168)),2),"")</f>
        <v/>
      </c>
      <c r="BE3167" s="10"/>
      <c r="BI3167" s="10"/>
    </row>
    <row r="3168" spans="1:61" ht="21" customHeight="1" x14ac:dyDescent="0.25">
      <c r="A3168" s="10"/>
      <c r="B3168" s="10"/>
      <c r="E3168" s="10"/>
      <c r="G3168" s="10"/>
      <c r="I3168" s="436" t="s">
        <v>3853</v>
      </c>
      <c r="J3168" s="26" t="s">
        <v>3852</v>
      </c>
      <c r="K3168" s="10">
        <v>6</v>
      </c>
      <c r="L3168" s="73">
        <f>IF(Tank1!$C$23="No control",(SUMIF(Tank1!$B$32:$B$49,$J3168,Tank1!$C$32:$C$49)*Impacts!$F$8),0)</f>
        <v>0</v>
      </c>
      <c r="M3168" s="10">
        <f>IF(Tank2!$C$23="No control",(SUMIF(Tank2!$B$32:$B$49,$J3168,Tank2!$C$32:$C$49)*Impacts!$F$9),0)</f>
        <v>0</v>
      </c>
      <c r="N3168" s="10">
        <f>IF(Tank3!$C$23="No control",(SUMIF(Tank3!$B$32:$B$49,$J3168,Tank3!$C$32:$C$49)*Impacts!$F$10),0)</f>
        <v>0</v>
      </c>
      <c r="O3168" s="10">
        <f>IF(Tank4!$C$23="No control",(SUMIF(Tank4!$B$32:$B$49,$J3168,Tank4!$C$32:$C$49)*Impacts!$F$11),0)</f>
        <v>0</v>
      </c>
      <c r="P3168" s="10">
        <f>IF(Tank5!$C$23="No control",(SUMIF(Tank5!$B$32:$B$49,$J3168,Tank5!$C$32:$C$49)*Impacts!$F$12),0)</f>
        <v>0</v>
      </c>
      <c r="Q3168" s="10">
        <f>IFERROR(IF(('Loading-drum,tote'!$C$21)="No control",SUMIF(('Loading-drum,tote'!$B$31:$B$48),$J3168,('Loading-drum,tote'!$D$31:$D$48))*Impacts!$F$13,IF(('Loading-drum,tote'!$C$21)&lt;&gt;"No control",SUMIF(('Loading-drum,tote'!$B$31:$B$48),$J3168,('Loading-drum,tote'!$E$31:$E$48))*Impacts!$F$13,0)),0)</f>
        <v>0</v>
      </c>
      <c r="R3168" s="10">
        <f>IFERROR(IF(('Loading-truck'!$C$21)="No control",SUMIF(('Loading-truck'!$B$31:$B$48),$J3168,('Loading-truck'!$D$31:$D$48))*Impacts!$F$14,IF(('Loading-truck'!$C$21)&lt;&gt;"No control",SUMIF(('Loading-truck'!$B$31:$B$48),$J3168,('Loading-truck'!$E$31:$E$48))*Impacts!$F$14,0)),0)</f>
        <v>0</v>
      </c>
      <c r="S3168" s="10">
        <f>IFERROR(IF(('Loading-rail'!$C$21)="No control",SUMIF(('Loading-rail'!$B$31:$B$48),$J3168,('Loading-rail'!$D$31:$D$48))*Impacts!$F$15,IF(('Loading-rail'!$C$21)&lt;&gt;"No control",SUMIF(('Loading-rail'!$B$31:$B$48),$J3168,('Loading-rail'!$E$31:$E$48))*Impacts!$F$15,0)),0)</f>
        <v>0</v>
      </c>
      <c r="T3168" s="10">
        <f>IF(Flare!$C$7="",0,(SUMIF(Flare!$B$46:$B$185,$J3168,Flare!$E$46:$E$185)*Impacts!$F$16))</f>
        <v>0</v>
      </c>
      <c r="U3168" s="10">
        <f>IF(VCU!$C$9="",0,(SUMIF(VCU!$B$51:$B$193,$J3168,VCU!$E$51:$E$193)*Impacts!$F$17))</f>
        <v>0</v>
      </c>
      <c r="V3168" s="10">
        <f>IF(CAS!$C$7="",0,(SUMIF(CAS!$B$31:$B$167,$J3168,CAS!$E$31:$E$167)*Impacts!$F$18))</f>
        <v>0</v>
      </c>
      <c r="W3168" s="10">
        <f t="shared" si="90"/>
        <v>0</v>
      </c>
      <c r="AK3168" s="10" t="str">
        <f t="array" ref="AK3168">IFERROR(INDEX(SelectedSpecies,SMALL(IF(SelectedSpecies=AK$1,ROW(SelectedSpecies)),ROW(3169:3169)),2),"")</f>
        <v/>
      </c>
      <c r="BE3168" s="10"/>
      <c r="BI3168" s="10"/>
    </row>
    <row r="3169" spans="1:61" ht="21" customHeight="1" x14ac:dyDescent="0.25">
      <c r="A3169" s="10"/>
      <c r="B3169" s="10"/>
      <c r="E3169" s="10"/>
      <c r="G3169" s="10"/>
      <c r="I3169" s="436" t="s">
        <v>3267</v>
      </c>
      <c r="J3169" s="26" t="s">
        <v>3266</v>
      </c>
      <c r="K3169" s="10">
        <v>10</v>
      </c>
      <c r="L3169" s="73">
        <f>IF(Tank1!$C$23="No control",(SUMIF(Tank1!$B$32:$B$49,$J3169,Tank1!$C$32:$C$49)*Impacts!$F$8),0)</f>
        <v>0</v>
      </c>
      <c r="M3169" s="10">
        <f>IF(Tank2!$C$23="No control",(SUMIF(Tank2!$B$32:$B$49,$J3169,Tank2!$C$32:$C$49)*Impacts!$F$9),0)</f>
        <v>0</v>
      </c>
      <c r="N3169" s="10">
        <f>IF(Tank3!$C$23="No control",(SUMIF(Tank3!$B$32:$B$49,$J3169,Tank3!$C$32:$C$49)*Impacts!$F$10),0)</f>
        <v>0</v>
      </c>
      <c r="O3169" s="10">
        <f>IF(Tank4!$C$23="No control",(SUMIF(Tank4!$B$32:$B$49,$J3169,Tank4!$C$32:$C$49)*Impacts!$F$11),0)</f>
        <v>0</v>
      </c>
      <c r="P3169" s="10">
        <f>IF(Tank5!$C$23="No control",(SUMIF(Tank5!$B$32:$B$49,$J3169,Tank5!$C$32:$C$49)*Impacts!$F$12),0)</f>
        <v>0</v>
      </c>
      <c r="Q3169" s="10">
        <f>IFERROR(IF(('Loading-drum,tote'!$C$21)="No control",SUMIF(('Loading-drum,tote'!$B$31:$B$48),$J3169,('Loading-drum,tote'!$D$31:$D$48))*Impacts!$F$13,IF(('Loading-drum,tote'!$C$21)&lt;&gt;"No control",SUMIF(('Loading-drum,tote'!$B$31:$B$48),$J3169,('Loading-drum,tote'!$E$31:$E$48))*Impacts!$F$13,0)),0)</f>
        <v>0</v>
      </c>
      <c r="R3169" s="10">
        <f>IFERROR(IF(('Loading-truck'!$C$21)="No control",SUMIF(('Loading-truck'!$B$31:$B$48),$J3169,('Loading-truck'!$D$31:$D$48))*Impacts!$F$14,IF(('Loading-truck'!$C$21)&lt;&gt;"No control",SUMIF(('Loading-truck'!$B$31:$B$48),$J3169,('Loading-truck'!$E$31:$E$48))*Impacts!$F$14,0)),0)</f>
        <v>0</v>
      </c>
      <c r="S3169" s="10">
        <f>IFERROR(IF(('Loading-rail'!$C$21)="No control",SUMIF(('Loading-rail'!$B$31:$B$48),$J3169,('Loading-rail'!$D$31:$D$48))*Impacts!$F$15,IF(('Loading-rail'!$C$21)&lt;&gt;"No control",SUMIF(('Loading-rail'!$B$31:$B$48),$J3169,('Loading-rail'!$E$31:$E$48))*Impacts!$F$15,0)),0)</f>
        <v>0</v>
      </c>
      <c r="T3169" s="10">
        <f>IF(Flare!$C$7="",0,(SUMIF(Flare!$B$46:$B$185,$J3169,Flare!$E$46:$E$185)*Impacts!$F$16))</f>
        <v>0</v>
      </c>
      <c r="U3169" s="10">
        <f>IF(VCU!$C$9="",0,(SUMIF(VCU!$B$51:$B$193,$J3169,VCU!$E$51:$E$193)*Impacts!$F$17))</f>
        <v>0</v>
      </c>
      <c r="V3169" s="10">
        <f>IF(CAS!$C$7="",0,(SUMIF(CAS!$B$31:$B$167,$J3169,CAS!$E$31:$E$167)*Impacts!$F$18))</f>
        <v>0</v>
      </c>
      <c r="W3169" s="10">
        <f t="shared" si="90"/>
        <v>0</v>
      </c>
      <c r="AK3169" s="10" t="str">
        <f t="array" ref="AK3169">IFERROR(INDEX(SelectedSpecies,SMALL(IF(SelectedSpecies=AK$1,ROW(SelectedSpecies)),ROW(3170:3170)),2),"")</f>
        <v/>
      </c>
      <c r="BE3169" s="10"/>
      <c r="BI3169" s="10"/>
    </row>
    <row r="3170" spans="1:61" ht="21" customHeight="1" x14ac:dyDescent="0.25">
      <c r="A3170" s="10"/>
      <c r="B3170" s="10"/>
      <c r="E3170" s="10"/>
      <c r="G3170" s="10"/>
      <c r="I3170" s="436" t="s">
        <v>4017</v>
      </c>
      <c r="J3170" s="26" t="s">
        <v>4016</v>
      </c>
      <c r="K3170" s="10">
        <v>6</v>
      </c>
      <c r="L3170" s="73">
        <f>IF(Tank1!$C$23="No control",(SUMIF(Tank1!$B$32:$B$49,$J3170,Tank1!$C$32:$C$49)*Impacts!$F$8),0)</f>
        <v>0</v>
      </c>
      <c r="M3170" s="10">
        <f>IF(Tank2!$C$23="No control",(SUMIF(Tank2!$B$32:$B$49,$J3170,Tank2!$C$32:$C$49)*Impacts!$F$9),0)</f>
        <v>0</v>
      </c>
      <c r="N3170" s="10">
        <f>IF(Tank3!$C$23="No control",(SUMIF(Tank3!$B$32:$B$49,$J3170,Tank3!$C$32:$C$49)*Impacts!$F$10),0)</f>
        <v>0</v>
      </c>
      <c r="O3170" s="10">
        <f>IF(Tank4!$C$23="No control",(SUMIF(Tank4!$B$32:$B$49,$J3170,Tank4!$C$32:$C$49)*Impacts!$F$11),0)</f>
        <v>0</v>
      </c>
      <c r="P3170" s="10">
        <f>IF(Tank5!$C$23="No control",(SUMIF(Tank5!$B$32:$B$49,$J3170,Tank5!$C$32:$C$49)*Impacts!$F$12),0)</f>
        <v>0</v>
      </c>
      <c r="Q3170" s="10">
        <f>IFERROR(IF(('Loading-drum,tote'!$C$21)="No control",SUMIF(('Loading-drum,tote'!$B$31:$B$48),$J3170,('Loading-drum,tote'!$D$31:$D$48))*Impacts!$F$13,IF(('Loading-drum,tote'!$C$21)&lt;&gt;"No control",SUMIF(('Loading-drum,tote'!$B$31:$B$48),$J3170,('Loading-drum,tote'!$E$31:$E$48))*Impacts!$F$13,0)),0)</f>
        <v>0</v>
      </c>
      <c r="R3170" s="10">
        <f>IFERROR(IF(('Loading-truck'!$C$21)="No control",SUMIF(('Loading-truck'!$B$31:$B$48),$J3170,('Loading-truck'!$D$31:$D$48))*Impacts!$F$14,IF(('Loading-truck'!$C$21)&lt;&gt;"No control",SUMIF(('Loading-truck'!$B$31:$B$48),$J3170,('Loading-truck'!$E$31:$E$48))*Impacts!$F$14,0)),0)</f>
        <v>0</v>
      </c>
      <c r="S3170" s="10">
        <f>IFERROR(IF(('Loading-rail'!$C$21)="No control",SUMIF(('Loading-rail'!$B$31:$B$48),$J3170,('Loading-rail'!$D$31:$D$48))*Impacts!$F$15,IF(('Loading-rail'!$C$21)&lt;&gt;"No control",SUMIF(('Loading-rail'!$B$31:$B$48),$J3170,('Loading-rail'!$E$31:$E$48))*Impacts!$F$15,0)),0)</f>
        <v>0</v>
      </c>
      <c r="T3170" s="10">
        <f>IF(Flare!$C$7="",0,(SUMIF(Flare!$B$46:$B$185,$J3170,Flare!$E$46:$E$185)*Impacts!$F$16))</f>
        <v>0</v>
      </c>
      <c r="U3170" s="10">
        <f>IF(VCU!$C$9="",0,(SUMIF(VCU!$B$51:$B$193,$J3170,VCU!$E$51:$E$193)*Impacts!$F$17))</f>
        <v>0</v>
      </c>
      <c r="V3170" s="10">
        <f>IF(CAS!$C$7="",0,(SUMIF(CAS!$B$31:$B$167,$J3170,CAS!$E$31:$E$167)*Impacts!$F$18))</f>
        <v>0</v>
      </c>
      <c r="W3170" s="10">
        <f t="shared" si="90"/>
        <v>0</v>
      </c>
      <c r="AK3170" s="10" t="str">
        <f t="array" ref="AK3170">IFERROR(INDEX(SelectedSpecies,SMALL(IF(SelectedSpecies=AK$1,ROW(SelectedSpecies)),ROW(3171:3171)),2),"")</f>
        <v/>
      </c>
      <c r="BE3170" s="10"/>
      <c r="BI3170" s="10"/>
    </row>
    <row r="3171" spans="1:61" ht="21" customHeight="1" x14ac:dyDescent="0.25">
      <c r="A3171" s="10"/>
      <c r="B3171" s="10"/>
      <c r="E3171" s="10"/>
      <c r="G3171" s="10"/>
      <c r="I3171" s="436" t="s">
        <v>3269</v>
      </c>
      <c r="J3171" s="26" t="s">
        <v>3268</v>
      </c>
      <c r="K3171" s="10">
        <v>10</v>
      </c>
      <c r="L3171" s="73">
        <f>IF(Tank1!$C$23="No control",(SUMIF(Tank1!$B$32:$B$49,$J3171,Tank1!$C$32:$C$49)*Impacts!$F$8),0)</f>
        <v>0</v>
      </c>
      <c r="M3171" s="10">
        <f>IF(Tank2!$C$23="No control",(SUMIF(Tank2!$B$32:$B$49,$J3171,Tank2!$C$32:$C$49)*Impacts!$F$9),0)</f>
        <v>0</v>
      </c>
      <c r="N3171" s="10">
        <f>IF(Tank3!$C$23="No control",(SUMIF(Tank3!$B$32:$B$49,$J3171,Tank3!$C$32:$C$49)*Impacts!$F$10),0)</f>
        <v>0</v>
      </c>
      <c r="O3171" s="10">
        <f>IF(Tank4!$C$23="No control",(SUMIF(Tank4!$B$32:$B$49,$J3171,Tank4!$C$32:$C$49)*Impacts!$F$11),0)</f>
        <v>0</v>
      </c>
      <c r="P3171" s="10">
        <f>IF(Tank5!$C$23="No control",(SUMIF(Tank5!$B$32:$B$49,$J3171,Tank5!$C$32:$C$49)*Impacts!$F$12),0)</f>
        <v>0</v>
      </c>
      <c r="Q3171" s="10">
        <f>IFERROR(IF(('Loading-drum,tote'!$C$21)="No control",SUMIF(('Loading-drum,tote'!$B$31:$B$48),$J3171,('Loading-drum,tote'!$D$31:$D$48))*Impacts!$F$13,IF(('Loading-drum,tote'!$C$21)&lt;&gt;"No control",SUMIF(('Loading-drum,tote'!$B$31:$B$48),$J3171,('Loading-drum,tote'!$E$31:$E$48))*Impacts!$F$13,0)),0)</f>
        <v>0</v>
      </c>
      <c r="R3171" s="10">
        <f>IFERROR(IF(('Loading-truck'!$C$21)="No control",SUMIF(('Loading-truck'!$B$31:$B$48),$J3171,('Loading-truck'!$D$31:$D$48))*Impacts!$F$14,IF(('Loading-truck'!$C$21)&lt;&gt;"No control",SUMIF(('Loading-truck'!$B$31:$B$48),$J3171,('Loading-truck'!$E$31:$E$48))*Impacts!$F$14,0)),0)</f>
        <v>0</v>
      </c>
      <c r="S3171" s="10">
        <f>IFERROR(IF(('Loading-rail'!$C$21)="No control",SUMIF(('Loading-rail'!$B$31:$B$48),$J3171,('Loading-rail'!$D$31:$D$48))*Impacts!$F$15,IF(('Loading-rail'!$C$21)&lt;&gt;"No control",SUMIF(('Loading-rail'!$B$31:$B$48),$J3171,('Loading-rail'!$E$31:$E$48))*Impacts!$F$15,0)),0)</f>
        <v>0</v>
      </c>
      <c r="T3171" s="10">
        <f>IF(Flare!$C$7="",0,(SUMIF(Flare!$B$46:$B$185,$J3171,Flare!$E$46:$E$185)*Impacts!$F$16))</f>
        <v>0</v>
      </c>
      <c r="U3171" s="10">
        <f>IF(VCU!$C$9="",0,(SUMIF(VCU!$B$51:$B$193,$J3171,VCU!$E$51:$E$193)*Impacts!$F$17))</f>
        <v>0</v>
      </c>
      <c r="V3171" s="10">
        <f>IF(CAS!$C$7="",0,(SUMIF(CAS!$B$31:$B$167,$J3171,CAS!$E$31:$E$167)*Impacts!$F$18))</f>
        <v>0</v>
      </c>
      <c r="W3171" s="10">
        <f t="shared" si="90"/>
        <v>0</v>
      </c>
      <c r="AK3171" s="10" t="str">
        <f t="array" ref="AK3171">IFERROR(INDEX(SelectedSpecies,SMALL(IF(SelectedSpecies=AK$1,ROW(SelectedSpecies)),ROW(3172:3172)),2),"")</f>
        <v/>
      </c>
      <c r="BE3171" s="10"/>
      <c r="BI3171" s="10"/>
    </row>
    <row r="3172" spans="1:61" ht="21" customHeight="1" x14ac:dyDescent="0.25">
      <c r="A3172" s="10"/>
      <c r="B3172" s="10"/>
      <c r="E3172" s="10"/>
      <c r="G3172" s="10"/>
      <c r="I3172" s="436" t="s">
        <v>7626</v>
      </c>
      <c r="J3172" s="26" t="s">
        <v>7625</v>
      </c>
      <c r="K3172" s="10">
        <v>0.13999999999999999</v>
      </c>
      <c r="L3172" s="73">
        <f>IF(Tank1!$C$23="No control",(SUMIF(Tank1!$B$32:$B$49,$J3172,Tank1!$C$32:$C$49)*Impacts!$F$8),0)</f>
        <v>0</v>
      </c>
      <c r="M3172" s="10">
        <f>IF(Tank2!$C$23="No control",(SUMIF(Tank2!$B$32:$B$49,$J3172,Tank2!$C$32:$C$49)*Impacts!$F$9),0)</f>
        <v>0</v>
      </c>
      <c r="N3172" s="10">
        <f>IF(Tank3!$C$23="No control",(SUMIF(Tank3!$B$32:$B$49,$J3172,Tank3!$C$32:$C$49)*Impacts!$F$10),0)</f>
        <v>0</v>
      </c>
      <c r="O3172" s="10">
        <f>IF(Tank4!$C$23="No control",(SUMIF(Tank4!$B$32:$B$49,$J3172,Tank4!$C$32:$C$49)*Impacts!$F$11),0)</f>
        <v>0</v>
      </c>
      <c r="P3172" s="10">
        <f>IF(Tank5!$C$23="No control",(SUMIF(Tank5!$B$32:$B$49,$J3172,Tank5!$C$32:$C$49)*Impacts!$F$12),0)</f>
        <v>0</v>
      </c>
      <c r="Q3172" s="10">
        <f>IFERROR(IF(('Loading-drum,tote'!$C$21)="No control",SUMIF(('Loading-drum,tote'!$B$31:$B$48),$J3172,('Loading-drum,tote'!$D$31:$D$48))*Impacts!$F$13,IF(('Loading-drum,tote'!$C$21)&lt;&gt;"No control",SUMIF(('Loading-drum,tote'!$B$31:$B$48),$J3172,('Loading-drum,tote'!$E$31:$E$48))*Impacts!$F$13,0)),0)</f>
        <v>0</v>
      </c>
      <c r="R3172" s="10">
        <f>IFERROR(IF(('Loading-truck'!$C$21)="No control",SUMIF(('Loading-truck'!$B$31:$B$48),$J3172,('Loading-truck'!$D$31:$D$48))*Impacts!$F$14,IF(('Loading-truck'!$C$21)&lt;&gt;"No control",SUMIF(('Loading-truck'!$B$31:$B$48),$J3172,('Loading-truck'!$E$31:$E$48))*Impacts!$F$14,0)),0)</f>
        <v>0</v>
      </c>
      <c r="S3172" s="10">
        <f>IFERROR(IF(('Loading-rail'!$C$21)="No control",SUMIF(('Loading-rail'!$B$31:$B$48),$J3172,('Loading-rail'!$D$31:$D$48))*Impacts!$F$15,IF(('Loading-rail'!$C$21)&lt;&gt;"No control",SUMIF(('Loading-rail'!$B$31:$B$48),$J3172,('Loading-rail'!$E$31:$E$48))*Impacts!$F$15,0)),0)</f>
        <v>0</v>
      </c>
      <c r="T3172" s="10">
        <f>IF(Flare!$C$7="",0,(SUMIF(Flare!$B$46:$B$185,$J3172,Flare!$E$46:$E$185)*Impacts!$F$16))</f>
        <v>0</v>
      </c>
      <c r="U3172" s="10">
        <f>IF(VCU!$C$9="",0,(SUMIF(VCU!$B$51:$B$193,$J3172,VCU!$E$51:$E$193)*Impacts!$F$17))</f>
        <v>0</v>
      </c>
      <c r="V3172" s="10">
        <f>IF(CAS!$C$7="",0,(SUMIF(CAS!$B$31:$B$167,$J3172,CAS!$E$31:$E$167)*Impacts!$F$18))</f>
        <v>0</v>
      </c>
      <c r="W3172" s="10">
        <f t="shared" si="90"/>
        <v>0</v>
      </c>
      <c r="AK3172" s="10" t="str">
        <f t="array" ref="AK3172">IFERROR(INDEX(SelectedSpecies,SMALL(IF(SelectedSpecies=AK$1,ROW(SelectedSpecies)),ROW(3173:3173)),2),"")</f>
        <v/>
      </c>
      <c r="BE3172" s="10"/>
      <c r="BI3172" s="10"/>
    </row>
    <row r="3173" spans="1:61" ht="21" customHeight="1" x14ac:dyDescent="0.25">
      <c r="A3173" s="10"/>
      <c r="B3173" s="10"/>
      <c r="E3173" s="10"/>
      <c r="G3173" s="10"/>
      <c r="I3173" s="436" t="s">
        <v>6118</v>
      </c>
      <c r="J3173" s="26" t="s">
        <v>6117</v>
      </c>
      <c r="K3173" s="10">
        <v>1</v>
      </c>
      <c r="L3173" s="73">
        <f>IF(Tank1!$C$23="No control",(SUMIF(Tank1!$B$32:$B$49,$J3173,Tank1!$C$32:$C$49)*Impacts!$F$8),0)</f>
        <v>0</v>
      </c>
      <c r="M3173" s="10">
        <f>IF(Tank2!$C$23="No control",(SUMIF(Tank2!$B$32:$B$49,$J3173,Tank2!$C$32:$C$49)*Impacts!$F$9),0)</f>
        <v>0</v>
      </c>
      <c r="N3173" s="10">
        <f>IF(Tank3!$C$23="No control",(SUMIF(Tank3!$B$32:$B$49,$J3173,Tank3!$C$32:$C$49)*Impacts!$F$10),0)</f>
        <v>0</v>
      </c>
      <c r="O3173" s="10">
        <f>IF(Tank4!$C$23="No control",(SUMIF(Tank4!$B$32:$B$49,$J3173,Tank4!$C$32:$C$49)*Impacts!$F$11),0)</f>
        <v>0</v>
      </c>
      <c r="P3173" s="10">
        <f>IF(Tank5!$C$23="No control",(SUMIF(Tank5!$B$32:$B$49,$J3173,Tank5!$C$32:$C$49)*Impacts!$F$12),0)</f>
        <v>0</v>
      </c>
      <c r="Q3173" s="10">
        <f>IFERROR(IF(('Loading-drum,tote'!$C$21)="No control",SUMIF(('Loading-drum,tote'!$B$31:$B$48),$J3173,('Loading-drum,tote'!$D$31:$D$48))*Impacts!$F$13,IF(('Loading-drum,tote'!$C$21)&lt;&gt;"No control",SUMIF(('Loading-drum,tote'!$B$31:$B$48),$J3173,('Loading-drum,tote'!$E$31:$E$48))*Impacts!$F$13,0)),0)</f>
        <v>0</v>
      </c>
      <c r="R3173" s="10">
        <f>IFERROR(IF(('Loading-truck'!$C$21)="No control",SUMIF(('Loading-truck'!$B$31:$B$48),$J3173,('Loading-truck'!$D$31:$D$48))*Impacts!$F$14,IF(('Loading-truck'!$C$21)&lt;&gt;"No control",SUMIF(('Loading-truck'!$B$31:$B$48),$J3173,('Loading-truck'!$E$31:$E$48))*Impacts!$F$14,0)),0)</f>
        <v>0</v>
      </c>
      <c r="S3173" s="10">
        <f>IFERROR(IF(('Loading-rail'!$C$21)="No control",SUMIF(('Loading-rail'!$B$31:$B$48),$J3173,('Loading-rail'!$D$31:$D$48))*Impacts!$F$15,IF(('Loading-rail'!$C$21)&lt;&gt;"No control",SUMIF(('Loading-rail'!$B$31:$B$48),$J3173,('Loading-rail'!$E$31:$E$48))*Impacts!$F$15,0)),0)</f>
        <v>0</v>
      </c>
      <c r="T3173" s="10">
        <f>IF(Flare!$C$7="",0,(SUMIF(Flare!$B$46:$B$185,$J3173,Flare!$E$46:$E$185)*Impacts!$F$16))</f>
        <v>0</v>
      </c>
      <c r="U3173" s="10">
        <f>IF(VCU!$C$9="",0,(SUMIF(VCU!$B$51:$B$193,$J3173,VCU!$E$51:$E$193)*Impacts!$F$17))</f>
        <v>0</v>
      </c>
      <c r="V3173" s="10">
        <f>IF(CAS!$C$7="",0,(SUMIF(CAS!$B$31:$B$167,$J3173,CAS!$E$31:$E$167)*Impacts!$F$18))</f>
        <v>0</v>
      </c>
      <c r="W3173" s="10">
        <f t="shared" si="90"/>
        <v>0</v>
      </c>
      <c r="AK3173" s="10" t="str">
        <f t="array" ref="AK3173">IFERROR(INDEX(SelectedSpecies,SMALL(IF(SelectedSpecies=AK$1,ROW(SelectedSpecies)),ROW(3174:3174)),2),"")</f>
        <v/>
      </c>
      <c r="BE3173" s="10"/>
      <c r="BI3173" s="10"/>
    </row>
    <row r="3174" spans="1:61" ht="21" customHeight="1" x14ac:dyDescent="0.25">
      <c r="A3174" s="10"/>
      <c r="B3174" s="10"/>
      <c r="E3174" s="10"/>
      <c r="G3174" s="10"/>
      <c r="I3174" s="436" t="s">
        <v>7292</v>
      </c>
      <c r="J3174" s="26" t="s">
        <v>7291</v>
      </c>
      <c r="K3174" s="10">
        <v>0.30000000000000004</v>
      </c>
      <c r="L3174" s="73">
        <f>IF(Tank1!$C$23="No control",(SUMIF(Tank1!$B$32:$B$49,$J3174,Tank1!$C$32:$C$49)*Impacts!$F$8),0)</f>
        <v>0</v>
      </c>
      <c r="M3174" s="10">
        <f>IF(Tank2!$C$23="No control",(SUMIF(Tank2!$B$32:$B$49,$J3174,Tank2!$C$32:$C$49)*Impacts!$F$9),0)</f>
        <v>0</v>
      </c>
      <c r="N3174" s="10">
        <f>IF(Tank3!$C$23="No control",(SUMIF(Tank3!$B$32:$B$49,$J3174,Tank3!$C$32:$C$49)*Impacts!$F$10),0)</f>
        <v>0</v>
      </c>
      <c r="O3174" s="10">
        <f>IF(Tank4!$C$23="No control",(SUMIF(Tank4!$B$32:$B$49,$J3174,Tank4!$C$32:$C$49)*Impacts!$F$11),0)</f>
        <v>0</v>
      </c>
      <c r="P3174" s="10">
        <f>IF(Tank5!$C$23="No control",(SUMIF(Tank5!$B$32:$B$49,$J3174,Tank5!$C$32:$C$49)*Impacts!$F$12),0)</f>
        <v>0</v>
      </c>
      <c r="Q3174" s="10">
        <f>IFERROR(IF(('Loading-drum,tote'!$C$21)="No control",SUMIF(('Loading-drum,tote'!$B$31:$B$48),$J3174,('Loading-drum,tote'!$D$31:$D$48))*Impacts!$F$13,IF(('Loading-drum,tote'!$C$21)&lt;&gt;"No control",SUMIF(('Loading-drum,tote'!$B$31:$B$48),$J3174,('Loading-drum,tote'!$E$31:$E$48))*Impacts!$F$13,0)),0)</f>
        <v>0</v>
      </c>
      <c r="R3174" s="10">
        <f>IFERROR(IF(('Loading-truck'!$C$21)="No control",SUMIF(('Loading-truck'!$B$31:$B$48),$J3174,('Loading-truck'!$D$31:$D$48))*Impacts!$F$14,IF(('Loading-truck'!$C$21)&lt;&gt;"No control",SUMIF(('Loading-truck'!$B$31:$B$48),$J3174,('Loading-truck'!$E$31:$E$48))*Impacts!$F$14,0)),0)</f>
        <v>0</v>
      </c>
      <c r="S3174" s="10">
        <f>IFERROR(IF(('Loading-rail'!$C$21)="No control",SUMIF(('Loading-rail'!$B$31:$B$48),$J3174,('Loading-rail'!$D$31:$D$48))*Impacts!$F$15,IF(('Loading-rail'!$C$21)&lt;&gt;"No control",SUMIF(('Loading-rail'!$B$31:$B$48),$J3174,('Loading-rail'!$E$31:$E$48))*Impacts!$F$15,0)),0)</f>
        <v>0</v>
      </c>
      <c r="T3174" s="10">
        <f>IF(Flare!$C$7="",0,(SUMIF(Flare!$B$46:$B$185,$J3174,Flare!$E$46:$E$185)*Impacts!$F$16))</f>
        <v>0</v>
      </c>
      <c r="U3174" s="10">
        <f>IF(VCU!$C$9="",0,(SUMIF(VCU!$B$51:$B$193,$J3174,VCU!$E$51:$E$193)*Impacts!$F$17))</f>
        <v>0</v>
      </c>
      <c r="V3174" s="10">
        <f>IF(CAS!$C$7="",0,(SUMIF(CAS!$B$31:$B$167,$J3174,CAS!$E$31:$E$167)*Impacts!$F$18))</f>
        <v>0</v>
      </c>
      <c r="W3174" s="10">
        <f t="shared" si="90"/>
        <v>0</v>
      </c>
      <c r="AK3174" s="10" t="str">
        <f t="array" ref="AK3174">IFERROR(INDEX(SelectedSpecies,SMALL(IF(SelectedSpecies=AK$1,ROW(SelectedSpecies)),ROW(3175:3175)),2),"")</f>
        <v/>
      </c>
      <c r="BE3174" s="10"/>
      <c r="BI3174" s="10"/>
    </row>
    <row r="3175" spans="1:61" ht="21" customHeight="1" x14ac:dyDescent="0.25">
      <c r="A3175" s="10"/>
      <c r="B3175" s="10"/>
      <c r="E3175" s="10"/>
      <c r="G3175" s="10"/>
      <c r="I3175" s="436" t="s">
        <v>6120</v>
      </c>
      <c r="J3175" s="26" t="s">
        <v>6119</v>
      </c>
      <c r="K3175" s="10">
        <v>1</v>
      </c>
      <c r="L3175" s="73">
        <f>IF(Tank1!$C$23="No control",(SUMIF(Tank1!$B$32:$B$49,$J3175,Tank1!$C$32:$C$49)*Impacts!$F$8),0)</f>
        <v>0</v>
      </c>
      <c r="M3175" s="10">
        <f>IF(Tank2!$C$23="No control",(SUMIF(Tank2!$B$32:$B$49,$J3175,Tank2!$C$32:$C$49)*Impacts!$F$9),0)</f>
        <v>0</v>
      </c>
      <c r="N3175" s="10">
        <f>IF(Tank3!$C$23="No control",(SUMIF(Tank3!$B$32:$B$49,$J3175,Tank3!$C$32:$C$49)*Impacts!$F$10),0)</f>
        <v>0</v>
      </c>
      <c r="O3175" s="10">
        <f>IF(Tank4!$C$23="No control",(SUMIF(Tank4!$B$32:$B$49,$J3175,Tank4!$C$32:$C$49)*Impacts!$F$11),0)</f>
        <v>0</v>
      </c>
      <c r="P3175" s="10">
        <f>IF(Tank5!$C$23="No control",(SUMIF(Tank5!$B$32:$B$49,$J3175,Tank5!$C$32:$C$49)*Impacts!$F$12),0)</f>
        <v>0</v>
      </c>
      <c r="Q3175" s="10">
        <f>IFERROR(IF(('Loading-drum,tote'!$C$21)="No control",SUMIF(('Loading-drum,tote'!$B$31:$B$48),$J3175,('Loading-drum,tote'!$D$31:$D$48))*Impacts!$F$13,IF(('Loading-drum,tote'!$C$21)&lt;&gt;"No control",SUMIF(('Loading-drum,tote'!$B$31:$B$48),$J3175,('Loading-drum,tote'!$E$31:$E$48))*Impacts!$F$13,0)),0)</f>
        <v>0</v>
      </c>
      <c r="R3175" s="10">
        <f>IFERROR(IF(('Loading-truck'!$C$21)="No control",SUMIF(('Loading-truck'!$B$31:$B$48),$J3175,('Loading-truck'!$D$31:$D$48))*Impacts!$F$14,IF(('Loading-truck'!$C$21)&lt;&gt;"No control",SUMIF(('Loading-truck'!$B$31:$B$48),$J3175,('Loading-truck'!$E$31:$E$48))*Impacts!$F$14,0)),0)</f>
        <v>0</v>
      </c>
      <c r="S3175" s="10">
        <f>IFERROR(IF(('Loading-rail'!$C$21)="No control",SUMIF(('Loading-rail'!$B$31:$B$48),$J3175,('Loading-rail'!$D$31:$D$48))*Impacts!$F$15,IF(('Loading-rail'!$C$21)&lt;&gt;"No control",SUMIF(('Loading-rail'!$B$31:$B$48),$J3175,('Loading-rail'!$E$31:$E$48))*Impacts!$F$15,0)),0)</f>
        <v>0</v>
      </c>
      <c r="T3175" s="10">
        <f>IF(Flare!$C$7="",0,(SUMIF(Flare!$B$46:$B$185,$J3175,Flare!$E$46:$E$185)*Impacts!$F$16))</f>
        <v>0</v>
      </c>
      <c r="U3175" s="10">
        <f>IF(VCU!$C$9="",0,(SUMIF(VCU!$B$51:$B$193,$J3175,VCU!$E$51:$E$193)*Impacts!$F$17))</f>
        <v>0</v>
      </c>
      <c r="V3175" s="10">
        <f>IF(CAS!$C$7="",0,(SUMIF(CAS!$B$31:$B$167,$J3175,CAS!$E$31:$E$167)*Impacts!$F$18))</f>
        <v>0</v>
      </c>
      <c r="W3175" s="10">
        <f t="shared" si="90"/>
        <v>0</v>
      </c>
      <c r="AK3175" s="10" t="str">
        <f t="array" ref="AK3175">IFERROR(INDEX(SelectedSpecies,SMALL(IF(SelectedSpecies=AK$1,ROW(SelectedSpecies)),ROW(3176:3176)),2),"")</f>
        <v/>
      </c>
      <c r="BE3175" s="10"/>
      <c r="BI3175" s="10"/>
    </row>
    <row r="3176" spans="1:61" ht="21" customHeight="1" x14ac:dyDescent="0.25">
      <c r="A3176" s="10"/>
      <c r="B3176" s="10"/>
      <c r="E3176" s="10"/>
      <c r="G3176" s="10"/>
      <c r="I3176" s="436" t="s">
        <v>2215</v>
      </c>
      <c r="J3176" s="26" t="s">
        <v>2214</v>
      </c>
      <c r="K3176" s="10">
        <v>14</v>
      </c>
      <c r="L3176" s="73">
        <f>IF(Tank1!$C$23="No control",(SUMIF(Tank1!$B$32:$B$49,$J3176,Tank1!$C$32:$C$49)*Impacts!$F$8),0)</f>
        <v>0</v>
      </c>
      <c r="M3176" s="10">
        <f>IF(Tank2!$C$23="No control",(SUMIF(Tank2!$B$32:$B$49,$J3176,Tank2!$C$32:$C$49)*Impacts!$F$9),0)</f>
        <v>0</v>
      </c>
      <c r="N3176" s="10">
        <f>IF(Tank3!$C$23="No control",(SUMIF(Tank3!$B$32:$B$49,$J3176,Tank3!$C$32:$C$49)*Impacts!$F$10),0)</f>
        <v>0</v>
      </c>
      <c r="O3176" s="10">
        <f>IF(Tank4!$C$23="No control",(SUMIF(Tank4!$B$32:$B$49,$J3176,Tank4!$C$32:$C$49)*Impacts!$F$11),0)</f>
        <v>0</v>
      </c>
      <c r="P3176" s="10">
        <f>IF(Tank5!$C$23="No control",(SUMIF(Tank5!$B$32:$B$49,$J3176,Tank5!$C$32:$C$49)*Impacts!$F$12),0)</f>
        <v>0</v>
      </c>
      <c r="Q3176" s="10">
        <f>IFERROR(IF(('Loading-drum,tote'!$C$21)="No control",SUMIF(('Loading-drum,tote'!$B$31:$B$48),$J3176,('Loading-drum,tote'!$D$31:$D$48))*Impacts!$F$13,IF(('Loading-drum,tote'!$C$21)&lt;&gt;"No control",SUMIF(('Loading-drum,tote'!$B$31:$B$48),$J3176,('Loading-drum,tote'!$E$31:$E$48))*Impacts!$F$13,0)),0)</f>
        <v>0</v>
      </c>
      <c r="R3176" s="10">
        <f>IFERROR(IF(('Loading-truck'!$C$21)="No control",SUMIF(('Loading-truck'!$B$31:$B$48),$J3176,('Loading-truck'!$D$31:$D$48))*Impacts!$F$14,IF(('Loading-truck'!$C$21)&lt;&gt;"No control",SUMIF(('Loading-truck'!$B$31:$B$48),$J3176,('Loading-truck'!$E$31:$E$48))*Impacts!$F$14,0)),0)</f>
        <v>0</v>
      </c>
      <c r="S3176" s="10">
        <f>IFERROR(IF(('Loading-rail'!$C$21)="No control",SUMIF(('Loading-rail'!$B$31:$B$48),$J3176,('Loading-rail'!$D$31:$D$48))*Impacts!$F$15,IF(('Loading-rail'!$C$21)&lt;&gt;"No control",SUMIF(('Loading-rail'!$B$31:$B$48),$J3176,('Loading-rail'!$E$31:$E$48))*Impacts!$F$15,0)),0)</f>
        <v>0</v>
      </c>
      <c r="T3176" s="10">
        <f>IF(Flare!$C$7="",0,(SUMIF(Flare!$B$46:$B$185,$J3176,Flare!$E$46:$E$185)*Impacts!$F$16))</f>
        <v>0</v>
      </c>
      <c r="U3176" s="10">
        <f>IF(VCU!$C$9="",0,(SUMIF(VCU!$B$51:$B$193,$J3176,VCU!$E$51:$E$193)*Impacts!$F$17))</f>
        <v>0</v>
      </c>
      <c r="V3176" s="10">
        <f>IF(CAS!$C$7="",0,(SUMIF(CAS!$B$31:$B$167,$J3176,CAS!$E$31:$E$167)*Impacts!$F$18))</f>
        <v>0</v>
      </c>
      <c r="W3176" s="10">
        <f t="shared" si="90"/>
        <v>0</v>
      </c>
      <c r="AK3176" s="10" t="str">
        <f t="array" ref="AK3176">IFERROR(INDEX(SelectedSpecies,SMALL(IF(SelectedSpecies=AK$1,ROW(SelectedSpecies)),ROW(3177:3177)),2),"")</f>
        <v/>
      </c>
      <c r="BE3176" s="10"/>
      <c r="BI3176" s="10"/>
    </row>
    <row r="3177" spans="1:61" ht="21" customHeight="1" x14ac:dyDescent="0.25">
      <c r="A3177" s="10"/>
      <c r="B3177" s="10"/>
      <c r="E3177" s="10"/>
      <c r="G3177" s="10"/>
      <c r="I3177" s="436" t="s">
        <v>4019</v>
      </c>
      <c r="J3177" s="26" t="s">
        <v>4018</v>
      </c>
      <c r="K3177" s="10">
        <v>6</v>
      </c>
      <c r="L3177" s="73">
        <f>IF(Tank1!$C$23="No control",(SUMIF(Tank1!$B$32:$B$49,$J3177,Tank1!$C$32:$C$49)*Impacts!$F$8),0)</f>
        <v>0</v>
      </c>
      <c r="M3177" s="10">
        <f>IF(Tank2!$C$23="No control",(SUMIF(Tank2!$B$32:$B$49,$J3177,Tank2!$C$32:$C$49)*Impacts!$F$9),0)</f>
        <v>0</v>
      </c>
      <c r="N3177" s="10">
        <f>IF(Tank3!$C$23="No control",(SUMIF(Tank3!$B$32:$B$49,$J3177,Tank3!$C$32:$C$49)*Impacts!$F$10),0)</f>
        <v>0</v>
      </c>
      <c r="O3177" s="10">
        <f>IF(Tank4!$C$23="No control",(SUMIF(Tank4!$B$32:$B$49,$J3177,Tank4!$C$32:$C$49)*Impacts!$F$11),0)</f>
        <v>0</v>
      </c>
      <c r="P3177" s="10">
        <f>IF(Tank5!$C$23="No control",(SUMIF(Tank5!$B$32:$B$49,$J3177,Tank5!$C$32:$C$49)*Impacts!$F$12),0)</f>
        <v>0</v>
      </c>
      <c r="Q3177" s="10">
        <f>IFERROR(IF(('Loading-drum,tote'!$C$21)="No control",SUMIF(('Loading-drum,tote'!$B$31:$B$48),$J3177,('Loading-drum,tote'!$D$31:$D$48))*Impacts!$F$13,IF(('Loading-drum,tote'!$C$21)&lt;&gt;"No control",SUMIF(('Loading-drum,tote'!$B$31:$B$48),$J3177,('Loading-drum,tote'!$E$31:$E$48))*Impacts!$F$13,0)),0)</f>
        <v>0</v>
      </c>
      <c r="R3177" s="10">
        <f>IFERROR(IF(('Loading-truck'!$C$21)="No control",SUMIF(('Loading-truck'!$B$31:$B$48),$J3177,('Loading-truck'!$D$31:$D$48))*Impacts!$F$14,IF(('Loading-truck'!$C$21)&lt;&gt;"No control",SUMIF(('Loading-truck'!$B$31:$B$48),$J3177,('Loading-truck'!$E$31:$E$48))*Impacts!$F$14,0)),0)</f>
        <v>0</v>
      </c>
      <c r="S3177" s="10">
        <f>IFERROR(IF(('Loading-rail'!$C$21)="No control",SUMIF(('Loading-rail'!$B$31:$B$48),$J3177,('Loading-rail'!$D$31:$D$48))*Impacts!$F$15,IF(('Loading-rail'!$C$21)&lt;&gt;"No control",SUMIF(('Loading-rail'!$B$31:$B$48),$J3177,('Loading-rail'!$E$31:$E$48))*Impacts!$F$15,0)),0)</f>
        <v>0</v>
      </c>
      <c r="T3177" s="10">
        <f>IF(Flare!$C$7="",0,(SUMIF(Flare!$B$46:$B$185,$J3177,Flare!$E$46:$E$185)*Impacts!$F$16))</f>
        <v>0</v>
      </c>
      <c r="U3177" s="10">
        <f>IF(VCU!$C$9="",0,(SUMIF(VCU!$B$51:$B$193,$J3177,VCU!$E$51:$E$193)*Impacts!$F$17))</f>
        <v>0</v>
      </c>
      <c r="V3177" s="10">
        <f>IF(CAS!$C$7="",0,(SUMIF(CAS!$B$31:$B$167,$J3177,CAS!$E$31:$E$167)*Impacts!$F$18))</f>
        <v>0</v>
      </c>
      <c r="W3177" s="10">
        <f t="shared" si="90"/>
        <v>0</v>
      </c>
      <c r="AK3177" s="10" t="str">
        <f t="array" ref="AK3177">IFERROR(INDEX(SelectedSpecies,SMALL(IF(SelectedSpecies=AK$1,ROW(SelectedSpecies)),ROW(3178:3178)),2),"")</f>
        <v/>
      </c>
      <c r="BE3177" s="10"/>
      <c r="BI3177" s="10"/>
    </row>
    <row r="3178" spans="1:61" ht="21" customHeight="1" x14ac:dyDescent="0.25">
      <c r="A3178" s="10"/>
      <c r="B3178" s="10"/>
      <c r="E3178" s="10"/>
      <c r="G3178" s="10"/>
      <c r="I3178" s="436" t="s">
        <v>3271</v>
      </c>
      <c r="J3178" s="26" t="s">
        <v>3270</v>
      </c>
      <c r="K3178" s="10">
        <v>10</v>
      </c>
      <c r="L3178" s="73">
        <f>IF(Tank1!$C$23="No control",(SUMIF(Tank1!$B$32:$B$49,$J3178,Tank1!$C$32:$C$49)*Impacts!$F$8),0)</f>
        <v>0</v>
      </c>
      <c r="M3178" s="10">
        <f>IF(Tank2!$C$23="No control",(SUMIF(Tank2!$B$32:$B$49,$J3178,Tank2!$C$32:$C$49)*Impacts!$F$9),0)</f>
        <v>0</v>
      </c>
      <c r="N3178" s="10">
        <f>IF(Tank3!$C$23="No control",(SUMIF(Tank3!$B$32:$B$49,$J3178,Tank3!$C$32:$C$49)*Impacts!$F$10),0)</f>
        <v>0</v>
      </c>
      <c r="O3178" s="10">
        <f>IF(Tank4!$C$23="No control",(SUMIF(Tank4!$B$32:$B$49,$J3178,Tank4!$C$32:$C$49)*Impacts!$F$11),0)</f>
        <v>0</v>
      </c>
      <c r="P3178" s="10">
        <f>IF(Tank5!$C$23="No control",(SUMIF(Tank5!$B$32:$B$49,$J3178,Tank5!$C$32:$C$49)*Impacts!$F$12),0)</f>
        <v>0</v>
      </c>
      <c r="Q3178" s="10">
        <f>IFERROR(IF(('Loading-drum,tote'!$C$21)="No control",SUMIF(('Loading-drum,tote'!$B$31:$B$48),$J3178,('Loading-drum,tote'!$D$31:$D$48))*Impacts!$F$13,IF(('Loading-drum,tote'!$C$21)&lt;&gt;"No control",SUMIF(('Loading-drum,tote'!$B$31:$B$48),$J3178,('Loading-drum,tote'!$E$31:$E$48))*Impacts!$F$13,0)),0)</f>
        <v>0</v>
      </c>
      <c r="R3178" s="10">
        <f>IFERROR(IF(('Loading-truck'!$C$21)="No control",SUMIF(('Loading-truck'!$B$31:$B$48),$J3178,('Loading-truck'!$D$31:$D$48))*Impacts!$F$14,IF(('Loading-truck'!$C$21)&lt;&gt;"No control",SUMIF(('Loading-truck'!$B$31:$B$48),$J3178,('Loading-truck'!$E$31:$E$48))*Impacts!$F$14,0)),0)</f>
        <v>0</v>
      </c>
      <c r="S3178" s="10">
        <f>IFERROR(IF(('Loading-rail'!$C$21)="No control",SUMIF(('Loading-rail'!$B$31:$B$48),$J3178,('Loading-rail'!$D$31:$D$48))*Impacts!$F$15,IF(('Loading-rail'!$C$21)&lt;&gt;"No control",SUMIF(('Loading-rail'!$B$31:$B$48),$J3178,('Loading-rail'!$E$31:$E$48))*Impacts!$F$15,0)),0)</f>
        <v>0</v>
      </c>
      <c r="T3178" s="10">
        <f>IF(Flare!$C$7="",0,(SUMIF(Flare!$B$46:$B$185,$J3178,Flare!$E$46:$E$185)*Impacts!$F$16))</f>
        <v>0</v>
      </c>
      <c r="U3178" s="10">
        <f>IF(VCU!$C$9="",0,(SUMIF(VCU!$B$51:$B$193,$J3178,VCU!$E$51:$E$193)*Impacts!$F$17))</f>
        <v>0</v>
      </c>
      <c r="V3178" s="10">
        <f>IF(CAS!$C$7="",0,(SUMIF(CAS!$B$31:$B$167,$J3178,CAS!$E$31:$E$167)*Impacts!$F$18))</f>
        <v>0</v>
      </c>
      <c r="W3178" s="10">
        <f t="shared" si="90"/>
        <v>0</v>
      </c>
      <c r="AK3178" s="10" t="str">
        <f t="array" ref="AK3178">IFERROR(INDEX(SelectedSpecies,SMALL(IF(SelectedSpecies=AK$1,ROW(SelectedSpecies)),ROW(3179:3179)),2),"")</f>
        <v/>
      </c>
      <c r="BE3178" s="10"/>
      <c r="BI3178" s="10"/>
    </row>
    <row r="3179" spans="1:61" ht="21" customHeight="1" x14ac:dyDescent="0.25">
      <c r="A3179" s="10"/>
      <c r="B3179" s="10"/>
      <c r="E3179" s="10"/>
      <c r="G3179" s="10"/>
      <c r="I3179" s="436" t="s">
        <v>4601</v>
      </c>
      <c r="J3179" s="26" t="s">
        <v>4600</v>
      </c>
      <c r="K3179" s="10">
        <v>4</v>
      </c>
      <c r="L3179" s="73">
        <f>IF(Tank1!$C$23="No control",(SUMIF(Tank1!$B$32:$B$49,$J3179,Tank1!$C$32:$C$49)*Impacts!$F$8),0)</f>
        <v>0</v>
      </c>
      <c r="M3179" s="10">
        <f>IF(Tank2!$C$23="No control",(SUMIF(Tank2!$B$32:$B$49,$J3179,Tank2!$C$32:$C$49)*Impacts!$F$9),0)</f>
        <v>0</v>
      </c>
      <c r="N3179" s="10">
        <f>IF(Tank3!$C$23="No control",(SUMIF(Tank3!$B$32:$B$49,$J3179,Tank3!$C$32:$C$49)*Impacts!$F$10),0)</f>
        <v>0</v>
      </c>
      <c r="O3179" s="10">
        <f>IF(Tank4!$C$23="No control",(SUMIF(Tank4!$B$32:$B$49,$J3179,Tank4!$C$32:$C$49)*Impacts!$F$11),0)</f>
        <v>0</v>
      </c>
      <c r="P3179" s="10">
        <f>IF(Tank5!$C$23="No control",(SUMIF(Tank5!$B$32:$B$49,$J3179,Tank5!$C$32:$C$49)*Impacts!$F$12),0)</f>
        <v>0</v>
      </c>
      <c r="Q3179" s="10">
        <f>IFERROR(IF(('Loading-drum,tote'!$C$21)="No control",SUMIF(('Loading-drum,tote'!$B$31:$B$48),$J3179,('Loading-drum,tote'!$D$31:$D$48))*Impacts!$F$13,IF(('Loading-drum,tote'!$C$21)&lt;&gt;"No control",SUMIF(('Loading-drum,tote'!$B$31:$B$48),$J3179,('Loading-drum,tote'!$E$31:$E$48))*Impacts!$F$13,0)),0)</f>
        <v>0</v>
      </c>
      <c r="R3179" s="10">
        <f>IFERROR(IF(('Loading-truck'!$C$21)="No control",SUMIF(('Loading-truck'!$B$31:$B$48),$J3179,('Loading-truck'!$D$31:$D$48))*Impacts!$F$14,IF(('Loading-truck'!$C$21)&lt;&gt;"No control",SUMIF(('Loading-truck'!$B$31:$B$48),$J3179,('Loading-truck'!$E$31:$E$48))*Impacts!$F$14,0)),0)</f>
        <v>0</v>
      </c>
      <c r="S3179" s="10">
        <f>IFERROR(IF(('Loading-rail'!$C$21)="No control",SUMIF(('Loading-rail'!$B$31:$B$48),$J3179,('Loading-rail'!$D$31:$D$48))*Impacts!$F$15,IF(('Loading-rail'!$C$21)&lt;&gt;"No control",SUMIF(('Loading-rail'!$B$31:$B$48),$J3179,('Loading-rail'!$E$31:$E$48))*Impacts!$F$15,0)),0)</f>
        <v>0</v>
      </c>
      <c r="T3179" s="10">
        <f>IF(Flare!$C$7="",0,(SUMIF(Flare!$B$46:$B$185,$J3179,Flare!$E$46:$E$185)*Impacts!$F$16))</f>
        <v>0</v>
      </c>
      <c r="U3179" s="10">
        <f>IF(VCU!$C$9="",0,(SUMIF(VCU!$B$51:$B$193,$J3179,VCU!$E$51:$E$193)*Impacts!$F$17))</f>
        <v>0</v>
      </c>
      <c r="V3179" s="10">
        <f>IF(CAS!$C$7="",0,(SUMIF(CAS!$B$31:$B$167,$J3179,CAS!$E$31:$E$167)*Impacts!$F$18))</f>
        <v>0</v>
      </c>
      <c r="W3179" s="10">
        <f t="shared" si="90"/>
        <v>0</v>
      </c>
      <c r="AK3179" s="10" t="str">
        <f t="array" ref="AK3179">IFERROR(INDEX(SelectedSpecies,SMALL(IF(SelectedSpecies=AK$1,ROW(SelectedSpecies)),ROW(3180:3180)),2),"")</f>
        <v/>
      </c>
      <c r="BE3179" s="10"/>
      <c r="BI3179" s="10"/>
    </row>
    <row r="3180" spans="1:61" ht="21" customHeight="1" x14ac:dyDescent="0.25">
      <c r="A3180" s="10"/>
      <c r="B3180" s="10"/>
      <c r="E3180" s="10"/>
      <c r="G3180" s="10"/>
      <c r="I3180" s="436" t="s">
        <v>3273</v>
      </c>
      <c r="J3180" s="26" t="s">
        <v>3272</v>
      </c>
      <c r="K3180" s="10">
        <v>10</v>
      </c>
      <c r="L3180" s="73">
        <f>IF(Tank1!$C$23="No control",(SUMIF(Tank1!$B$32:$B$49,$J3180,Tank1!$C$32:$C$49)*Impacts!$F$8),0)</f>
        <v>0</v>
      </c>
      <c r="M3180" s="10">
        <f>IF(Tank2!$C$23="No control",(SUMIF(Tank2!$B$32:$B$49,$J3180,Tank2!$C$32:$C$49)*Impacts!$F$9),0)</f>
        <v>0</v>
      </c>
      <c r="N3180" s="10">
        <f>IF(Tank3!$C$23="No control",(SUMIF(Tank3!$B$32:$B$49,$J3180,Tank3!$C$32:$C$49)*Impacts!$F$10),0)</f>
        <v>0</v>
      </c>
      <c r="O3180" s="10">
        <f>IF(Tank4!$C$23="No control",(SUMIF(Tank4!$B$32:$B$49,$J3180,Tank4!$C$32:$C$49)*Impacts!$F$11),0)</f>
        <v>0</v>
      </c>
      <c r="P3180" s="10">
        <f>IF(Tank5!$C$23="No control",(SUMIF(Tank5!$B$32:$B$49,$J3180,Tank5!$C$32:$C$49)*Impacts!$F$12),0)</f>
        <v>0</v>
      </c>
      <c r="Q3180" s="10">
        <f>IFERROR(IF(('Loading-drum,tote'!$C$21)="No control",SUMIF(('Loading-drum,tote'!$B$31:$B$48),$J3180,('Loading-drum,tote'!$D$31:$D$48))*Impacts!$F$13,IF(('Loading-drum,tote'!$C$21)&lt;&gt;"No control",SUMIF(('Loading-drum,tote'!$B$31:$B$48),$J3180,('Loading-drum,tote'!$E$31:$E$48))*Impacts!$F$13,0)),0)</f>
        <v>0</v>
      </c>
      <c r="R3180" s="10">
        <f>IFERROR(IF(('Loading-truck'!$C$21)="No control",SUMIF(('Loading-truck'!$B$31:$B$48),$J3180,('Loading-truck'!$D$31:$D$48))*Impacts!$F$14,IF(('Loading-truck'!$C$21)&lt;&gt;"No control",SUMIF(('Loading-truck'!$B$31:$B$48),$J3180,('Loading-truck'!$E$31:$E$48))*Impacts!$F$14,0)),0)</f>
        <v>0</v>
      </c>
      <c r="S3180" s="10">
        <f>IFERROR(IF(('Loading-rail'!$C$21)="No control",SUMIF(('Loading-rail'!$B$31:$B$48),$J3180,('Loading-rail'!$D$31:$D$48))*Impacts!$F$15,IF(('Loading-rail'!$C$21)&lt;&gt;"No control",SUMIF(('Loading-rail'!$B$31:$B$48),$J3180,('Loading-rail'!$E$31:$E$48))*Impacts!$F$15,0)),0)</f>
        <v>0</v>
      </c>
      <c r="T3180" s="10">
        <f>IF(Flare!$C$7="",0,(SUMIF(Flare!$B$46:$B$185,$J3180,Flare!$E$46:$E$185)*Impacts!$F$16))</f>
        <v>0</v>
      </c>
      <c r="U3180" s="10">
        <f>IF(VCU!$C$9="",0,(SUMIF(VCU!$B$51:$B$193,$J3180,VCU!$E$51:$E$193)*Impacts!$F$17))</f>
        <v>0</v>
      </c>
      <c r="V3180" s="10">
        <f>IF(CAS!$C$7="",0,(SUMIF(CAS!$B$31:$B$167,$J3180,CAS!$E$31:$E$167)*Impacts!$F$18))</f>
        <v>0</v>
      </c>
      <c r="W3180" s="10">
        <f t="shared" si="90"/>
        <v>0</v>
      </c>
      <c r="AK3180" s="10" t="str">
        <f t="array" ref="AK3180">IFERROR(INDEX(SelectedSpecies,SMALL(IF(SelectedSpecies=AK$1,ROW(SelectedSpecies)),ROW(3181:3181)),2),"")</f>
        <v/>
      </c>
      <c r="BE3180" s="10"/>
      <c r="BI3180" s="10"/>
    </row>
    <row r="3181" spans="1:61" ht="21" customHeight="1" x14ac:dyDescent="0.25">
      <c r="A3181" s="10"/>
      <c r="B3181" s="10"/>
      <c r="E3181" s="10"/>
      <c r="G3181" s="10"/>
      <c r="I3181" s="436" t="s">
        <v>3275</v>
      </c>
      <c r="J3181" s="26" t="s">
        <v>3274</v>
      </c>
      <c r="K3181" s="10">
        <v>10</v>
      </c>
      <c r="L3181" s="73">
        <f>IF(Tank1!$C$23="No control",(SUMIF(Tank1!$B$32:$B$49,$J3181,Tank1!$C$32:$C$49)*Impacts!$F$8),0)</f>
        <v>0</v>
      </c>
      <c r="M3181" s="10">
        <f>IF(Tank2!$C$23="No control",(SUMIF(Tank2!$B$32:$B$49,$J3181,Tank2!$C$32:$C$49)*Impacts!$F$9),0)</f>
        <v>0</v>
      </c>
      <c r="N3181" s="10">
        <f>IF(Tank3!$C$23="No control",(SUMIF(Tank3!$B$32:$B$49,$J3181,Tank3!$C$32:$C$49)*Impacts!$F$10),0)</f>
        <v>0</v>
      </c>
      <c r="O3181" s="10">
        <f>IF(Tank4!$C$23="No control",(SUMIF(Tank4!$B$32:$B$49,$J3181,Tank4!$C$32:$C$49)*Impacts!$F$11),0)</f>
        <v>0</v>
      </c>
      <c r="P3181" s="10">
        <f>IF(Tank5!$C$23="No control",(SUMIF(Tank5!$B$32:$B$49,$J3181,Tank5!$C$32:$C$49)*Impacts!$F$12),0)</f>
        <v>0</v>
      </c>
      <c r="Q3181" s="10">
        <f>IFERROR(IF(('Loading-drum,tote'!$C$21)="No control",SUMIF(('Loading-drum,tote'!$B$31:$B$48),$J3181,('Loading-drum,tote'!$D$31:$D$48))*Impacts!$F$13,IF(('Loading-drum,tote'!$C$21)&lt;&gt;"No control",SUMIF(('Loading-drum,tote'!$B$31:$B$48),$J3181,('Loading-drum,tote'!$E$31:$E$48))*Impacts!$F$13,0)),0)</f>
        <v>0</v>
      </c>
      <c r="R3181" s="10">
        <f>IFERROR(IF(('Loading-truck'!$C$21)="No control",SUMIF(('Loading-truck'!$B$31:$B$48),$J3181,('Loading-truck'!$D$31:$D$48))*Impacts!$F$14,IF(('Loading-truck'!$C$21)&lt;&gt;"No control",SUMIF(('Loading-truck'!$B$31:$B$48),$J3181,('Loading-truck'!$E$31:$E$48))*Impacts!$F$14,0)),0)</f>
        <v>0</v>
      </c>
      <c r="S3181" s="10">
        <f>IFERROR(IF(('Loading-rail'!$C$21)="No control",SUMIF(('Loading-rail'!$B$31:$B$48),$J3181,('Loading-rail'!$D$31:$D$48))*Impacts!$F$15,IF(('Loading-rail'!$C$21)&lt;&gt;"No control",SUMIF(('Loading-rail'!$B$31:$B$48),$J3181,('Loading-rail'!$E$31:$E$48))*Impacts!$F$15,0)),0)</f>
        <v>0</v>
      </c>
      <c r="T3181" s="10">
        <f>IF(Flare!$C$7="",0,(SUMIF(Flare!$B$46:$B$185,$J3181,Flare!$E$46:$E$185)*Impacts!$F$16))</f>
        <v>0</v>
      </c>
      <c r="U3181" s="10">
        <f>IF(VCU!$C$9="",0,(SUMIF(VCU!$B$51:$B$193,$J3181,VCU!$E$51:$E$193)*Impacts!$F$17))</f>
        <v>0</v>
      </c>
      <c r="V3181" s="10">
        <f>IF(CAS!$C$7="",0,(SUMIF(CAS!$B$31:$B$167,$J3181,CAS!$E$31:$E$167)*Impacts!$F$18))</f>
        <v>0</v>
      </c>
      <c r="W3181" s="10">
        <f t="shared" si="90"/>
        <v>0</v>
      </c>
      <c r="AK3181" s="10" t="str">
        <f t="array" ref="AK3181">IFERROR(INDEX(SelectedSpecies,SMALL(IF(SelectedSpecies=AK$1,ROW(SelectedSpecies)),ROW(3182:3182)),2),"")</f>
        <v/>
      </c>
      <c r="BE3181" s="10"/>
      <c r="BI3181" s="10"/>
    </row>
    <row r="3182" spans="1:61" ht="21" customHeight="1" x14ac:dyDescent="0.25">
      <c r="A3182" s="10"/>
      <c r="B3182" s="10"/>
      <c r="E3182" s="10"/>
      <c r="G3182" s="10"/>
      <c r="I3182" s="436" t="s">
        <v>3277</v>
      </c>
      <c r="J3182" s="26" t="s">
        <v>3276</v>
      </c>
      <c r="K3182" s="10">
        <v>10</v>
      </c>
      <c r="L3182" s="73">
        <f>IF(Tank1!$C$23="No control",(SUMIF(Tank1!$B$32:$B$49,$J3182,Tank1!$C$32:$C$49)*Impacts!$F$8),0)</f>
        <v>0</v>
      </c>
      <c r="M3182" s="10">
        <f>IF(Tank2!$C$23="No control",(SUMIF(Tank2!$B$32:$B$49,$J3182,Tank2!$C$32:$C$49)*Impacts!$F$9),0)</f>
        <v>0</v>
      </c>
      <c r="N3182" s="10">
        <f>IF(Tank3!$C$23="No control",(SUMIF(Tank3!$B$32:$B$49,$J3182,Tank3!$C$32:$C$49)*Impacts!$F$10),0)</f>
        <v>0</v>
      </c>
      <c r="O3182" s="10">
        <f>IF(Tank4!$C$23="No control",(SUMIF(Tank4!$B$32:$B$49,$J3182,Tank4!$C$32:$C$49)*Impacts!$F$11),0)</f>
        <v>0</v>
      </c>
      <c r="P3182" s="10">
        <f>IF(Tank5!$C$23="No control",(SUMIF(Tank5!$B$32:$B$49,$J3182,Tank5!$C$32:$C$49)*Impacts!$F$12),0)</f>
        <v>0</v>
      </c>
      <c r="Q3182" s="10">
        <f>IFERROR(IF(('Loading-drum,tote'!$C$21)="No control",SUMIF(('Loading-drum,tote'!$B$31:$B$48),$J3182,('Loading-drum,tote'!$D$31:$D$48))*Impacts!$F$13,IF(('Loading-drum,tote'!$C$21)&lt;&gt;"No control",SUMIF(('Loading-drum,tote'!$B$31:$B$48),$J3182,('Loading-drum,tote'!$E$31:$E$48))*Impacts!$F$13,0)),0)</f>
        <v>0</v>
      </c>
      <c r="R3182" s="10">
        <f>IFERROR(IF(('Loading-truck'!$C$21)="No control",SUMIF(('Loading-truck'!$B$31:$B$48),$J3182,('Loading-truck'!$D$31:$D$48))*Impacts!$F$14,IF(('Loading-truck'!$C$21)&lt;&gt;"No control",SUMIF(('Loading-truck'!$B$31:$B$48),$J3182,('Loading-truck'!$E$31:$E$48))*Impacts!$F$14,0)),0)</f>
        <v>0</v>
      </c>
      <c r="S3182" s="10">
        <f>IFERROR(IF(('Loading-rail'!$C$21)="No control",SUMIF(('Loading-rail'!$B$31:$B$48),$J3182,('Loading-rail'!$D$31:$D$48))*Impacts!$F$15,IF(('Loading-rail'!$C$21)&lt;&gt;"No control",SUMIF(('Loading-rail'!$B$31:$B$48),$J3182,('Loading-rail'!$E$31:$E$48))*Impacts!$F$15,0)),0)</f>
        <v>0</v>
      </c>
      <c r="T3182" s="10">
        <f>IF(Flare!$C$7="",0,(SUMIF(Flare!$B$46:$B$185,$J3182,Flare!$E$46:$E$185)*Impacts!$F$16))</f>
        <v>0</v>
      </c>
      <c r="U3182" s="10">
        <f>IF(VCU!$C$9="",0,(SUMIF(VCU!$B$51:$B$193,$J3182,VCU!$E$51:$E$193)*Impacts!$F$17))</f>
        <v>0</v>
      </c>
      <c r="V3182" s="10">
        <f>IF(CAS!$C$7="",0,(SUMIF(CAS!$B$31:$B$167,$J3182,CAS!$E$31:$E$167)*Impacts!$F$18))</f>
        <v>0</v>
      </c>
      <c r="W3182" s="10">
        <f t="shared" si="90"/>
        <v>0</v>
      </c>
      <c r="AK3182" s="10" t="str">
        <f t="array" ref="AK3182">IFERROR(INDEX(SelectedSpecies,SMALL(IF(SelectedSpecies=AK$1,ROW(SelectedSpecies)),ROW(3183:3183)),2),"")</f>
        <v/>
      </c>
      <c r="BE3182" s="10"/>
      <c r="BI3182" s="10"/>
    </row>
    <row r="3183" spans="1:61" ht="21" customHeight="1" x14ac:dyDescent="0.25">
      <c r="A3183" s="10"/>
      <c r="B3183" s="10"/>
      <c r="E3183" s="10"/>
      <c r="G3183" s="10"/>
      <c r="I3183" s="436" t="s">
        <v>6122</v>
      </c>
      <c r="J3183" s="26" t="s">
        <v>6121</v>
      </c>
      <c r="K3183" s="10">
        <v>1</v>
      </c>
      <c r="L3183" s="73">
        <f>IF(Tank1!$C$23="No control",(SUMIF(Tank1!$B$32:$B$49,$J3183,Tank1!$C$32:$C$49)*Impacts!$F$8),0)</f>
        <v>0</v>
      </c>
      <c r="M3183" s="10">
        <f>IF(Tank2!$C$23="No control",(SUMIF(Tank2!$B$32:$B$49,$J3183,Tank2!$C$32:$C$49)*Impacts!$F$9),0)</f>
        <v>0</v>
      </c>
      <c r="N3183" s="10">
        <f>IF(Tank3!$C$23="No control",(SUMIF(Tank3!$B$32:$B$49,$J3183,Tank3!$C$32:$C$49)*Impacts!$F$10),0)</f>
        <v>0</v>
      </c>
      <c r="O3183" s="10">
        <f>IF(Tank4!$C$23="No control",(SUMIF(Tank4!$B$32:$B$49,$J3183,Tank4!$C$32:$C$49)*Impacts!$F$11),0)</f>
        <v>0</v>
      </c>
      <c r="P3183" s="10">
        <f>IF(Tank5!$C$23="No control",(SUMIF(Tank5!$B$32:$B$49,$J3183,Tank5!$C$32:$C$49)*Impacts!$F$12),0)</f>
        <v>0</v>
      </c>
      <c r="Q3183" s="10">
        <f>IFERROR(IF(('Loading-drum,tote'!$C$21)="No control",SUMIF(('Loading-drum,tote'!$B$31:$B$48),$J3183,('Loading-drum,tote'!$D$31:$D$48))*Impacts!$F$13,IF(('Loading-drum,tote'!$C$21)&lt;&gt;"No control",SUMIF(('Loading-drum,tote'!$B$31:$B$48),$J3183,('Loading-drum,tote'!$E$31:$E$48))*Impacts!$F$13,0)),0)</f>
        <v>0</v>
      </c>
      <c r="R3183" s="10">
        <f>IFERROR(IF(('Loading-truck'!$C$21)="No control",SUMIF(('Loading-truck'!$B$31:$B$48),$J3183,('Loading-truck'!$D$31:$D$48))*Impacts!$F$14,IF(('Loading-truck'!$C$21)&lt;&gt;"No control",SUMIF(('Loading-truck'!$B$31:$B$48),$J3183,('Loading-truck'!$E$31:$E$48))*Impacts!$F$14,0)),0)</f>
        <v>0</v>
      </c>
      <c r="S3183" s="10">
        <f>IFERROR(IF(('Loading-rail'!$C$21)="No control",SUMIF(('Loading-rail'!$B$31:$B$48),$J3183,('Loading-rail'!$D$31:$D$48))*Impacts!$F$15,IF(('Loading-rail'!$C$21)&lt;&gt;"No control",SUMIF(('Loading-rail'!$B$31:$B$48),$J3183,('Loading-rail'!$E$31:$E$48))*Impacts!$F$15,0)),0)</f>
        <v>0</v>
      </c>
      <c r="T3183" s="10">
        <f>IF(Flare!$C$7="",0,(SUMIF(Flare!$B$46:$B$185,$J3183,Flare!$E$46:$E$185)*Impacts!$F$16))</f>
        <v>0</v>
      </c>
      <c r="U3183" s="10">
        <f>IF(VCU!$C$9="",0,(SUMIF(VCU!$B$51:$B$193,$J3183,VCU!$E$51:$E$193)*Impacts!$F$17))</f>
        <v>0</v>
      </c>
      <c r="V3183" s="10">
        <f>IF(CAS!$C$7="",0,(SUMIF(CAS!$B$31:$B$167,$J3183,CAS!$E$31:$E$167)*Impacts!$F$18))</f>
        <v>0</v>
      </c>
      <c r="W3183" s="10">
        <f t="shared" si="90"/>
        <v>0</v>
      </c>
      <c r="AK3183" s="10" t="str">
        <f t="array" ref="AK3183">IFERROR(INDEX(SelectedSpecies,SMALL(IF(SelectedSpecies=AK$1,ROW(SelectedSpecies)),ROW(3184:3184)),2),"")</f>
        <v/>
      </c>
      <c r="BE3183" s="10"/>
      <c r="BI3183" s="10"/>
    </row>
    <row r="3184" spans="1:61" ht="21" customHeight="1" x14ac:dyDescent="0.25">
      <c r="A3184" s="10"/>
      <c r="B3184" s="10"/>
      <c r="E3184" s="10"/>
      <c r="G3184" s="10"/>
      <c r="I3184" s="436" t="s">
        <v>6124</v>
      </c>
      <c r="J3184" s="26" t="s">
        <v>6123</v>
      </c>
      <c r="K3184" s="10">
        <v>1</v>
      </c>
      <c r="L3184" s="73">
        <f>IF(Tank1!$C$23="No control",(SUMIF(Tank1!$B$32:$B$49,$J3184,Tank1!$C$32:$C$49)*Impacts!$F$8),0)</f>
        <v>0</v>
      </c>
      <c r="M3184" s="10">
        <f>IF(Tank2!$C$23="No control",(SUMIF(Tank2!$B$32:$B$49,$J3184,Tank2!$C$32:$C$49)*Impacts!$F$9),0)</f>
        <v>0</v>
      </c>
      <c r="N3184" s="10">
        <f>IF(Tank3!$C$23="No control",(SUMIF(Tank3!$B$32:$B$49,$J3184,Tank3!$C$32:$C$49)*Impacts!$F$10),0)</f>
        <v>0</v>
      </c>
      <c r="O3184" s="10">
        <f>IF(Tank4!$C$23="No control",(SUMIF(Tank4!$B$32:$B$49,$J3184,Tank4!$C$32:$C$49)*Impacts!$F$11),0)</f>
        <v>0</v>
      </c>
      <c r="P3184" s="10">
        <f>IF(Tank5!$C$23="No control",(SUMIF(Tank5!$B$32:$B$49,$J3184,Tank5!$C$32:$C$49)*Impacts!$F$12),0)</f>
        <v>0</v>
      </c>
      <c r="Q3184" s="10">
        <f>IFERROR(IF(('Loading-drum,tote'!$C$21)="No control",SUMIF(('Loading-drum,tote'!$B$31:$B$48),$J3184,('Loading-drum,tote'!$D$31:$D$48))*Impacts!$F$13,IF(('Loading-drum,tote'!$C$21)&lt;&gt;"No control",SUMIF(('Loading-drum,tote'!$B$31:$B$48),$J3184,('Loading-drum,tote'!$E$31:$E$48))*Impacts!$F$13,0)),0)</f>
        <v>0</v>
      </c>
      <c r="R3184" s="10">
        <f>IFERROR(IF(('Loading-truck'!$C$21)="No control",SUMIF(('Loading-truck'!$B$31:$B$48),$J3184,('Loading-truck'!$D$31:$D$48))*Impacts!$F$14,IF(('Loading-truck'!$C$21)&lt;&gt;"No control",SUMIF(('Loading-truck'!$B$31:$B$48),$J3184,('Loading-truck'!$E$31:$E$48))*Impacts!$F$14,0)),0)</f>
        <v>0</v>
      </c>
      <c r="S3184" s="10">
        <f>IFERROR(IF(('Loading-rail'!$C$21)="No control",SUMIF(('Loading-rail'!$B$31:$B$48),$J3184,('Loading-rail'!$D$31:$D$48))*Impacts!$F$15,IF(('Loading-rail'!$C$21)&lt;&gt;"No control",SUMIF(('Loading-rail'!$B$31:$B$48),$J3184,('Loading-rail'!$E$31:$E$48))*Impacts!$F$15,0)),0)</f>
        <v>0</v>
      </c>
      <c r="T3184" s="10">
        <f>IF(Flare!$C$7="",0,(SUMIF(Flare!$B$46:$B$185,$J3184,Flare!$E$46:$E$185)*Impacts!$F$16))</f>
        <v>0</v>
      </c>
      <c r="U3184" s="10">
        <f>IF(VCU!$C$9="",0,(SUMIF(VCU!$B$51:$B$193,$J3184,VCU!$E$51:$E$193)*Impacts!$F$17))</f>
        <v>0</v>
      </c>
      <c r="V3184" s="10">
        <f>IF(CAS!$C$7="",0,(SUMIF(CAS!$B$31:$B$167,$J3184,CAS!$E$31:$E$167)*Impacts!$F$18))</f>
        <v>0</v>
      </c>
      <c r="W3184" s="10">
        <f t="shared" si="90"/>
        <v>0</v>
      </c>
      <c r="AK3184" s="10" t="str">
        <f t="array" ref="AK3184">IFERROR(INDEX(SelectedSpecies,SMALL(IF(SelectedSpecies=AK$1,ROW(SelectedSpecies)),ROW(3185:3185)),2),"")</f>
        <v/>
      </c>
      <c r="BE3184" s="10"/>
      <c r="BI3184" s="10"/>
    </row>
    <row r="3185" spans="1:61" ht="21" customHeight="1" x14ac:dyDescent="0.25">
      <c r="A3185" s="10"/>
      <c r="B3185" s="10"/>
      <c r="E3185" s="10"/>
      <c r="G3185" s="10"/>
      <c r="I3185" s="436" t="s">
        <v>7772</v>
      </c>
      <c r="J3185" s="26" t="s">
        <v>7771</v>
      </c>
      <c r="K3185" s="10">
        <v>0.1</v>
      </c>
      <c r="L3185" s="73">
        <f>IF(Tank1!$C$23="No control",(SUMIF(Tank1!$B$32:$B$49,$J3185,Tank1!$C$32:$C$49)*Impacts!$F$8),0)</f>
        <v>0</v>
      </c>
      <c r="M3185" s="10">
        <f>IF(Tank2!$C$23="No control",(SUMIF(Tank2!$B$32:$B$49,$J3185,Tank2!$C$32:$C$49)*Impacts!$F$9),0)</f>
        <v>0</v>
      </c>
      <c r="N3185" s="10">
        <f>IF(Tank3!$C$23="No control",(SUMIF(Tank3!$B$32:$B$49,$J3185,Tank3!$C$32:$C$49)*Impacts!$F$10),0)</f>
        <v>0</v>
      </c>
      <c r="O3185" s="10">
        <f>IF(Tank4!$C$23="No control",(SUMIF(Tank4!$B$32:$B$49,$J3185,Tank4!$C$32:$C$49)*Impacts!$F$11),0)</f>
        <v>0</v>
      </c>
      <c r="P3185" s="10">
        <f>IF(Tank5!$C$23="No control",(SUMIF(Tank5!$B$32:$B$49,$J3185,Tank5!$C$32:$C$49)*Impacts!$F$12),0)</f>
        <v>0</v>
      </c>
      <c r="Q3185" s="10">
        <f>IFERROR(IF(('Loading-drum,tote'!$C$21)="No control",SUMIF(('Loading-drum,tote'!$B$31:$B$48),$J3185,('Loading-drum,tote'!$D$31:$D$48))*Impacts!$F$13,IF(('Loading-drum,tote'!$C$21)&lt;&gt;"No control",SUMIF(('Loading-drum,tote'!$B$31:$B$48),$J3185,('Loading-drum,tote'!$E$31:$E$48))*Impacts!$F$13,0)),0)</f>
        <v>0</v>
      </c>
      <c r="R3185" s="10">
        <f>IFERROR(IF(('Loading-truck'!$C$21)="No control",SUMIF(('Loading-truck'!$B$31:$B$48),$J3185,('Loading-truck'!$D$31:$D$48))*Impacts!$F$14,IF(('Loading-truck'!$C$21)&lt;&gt;"No control",SUMIF(('Loading-truck'!$B$31:$B$48),$J3185,('Loading-truck'!$E$31:$E$48))*Impacts!$F$14,0)),0)</f>
        <v>0</v>
      </c>
      <c r="S3185" s="10">
        <f>IFERROR(IF(('Loading-rail'!$C$21)="No control",SUMIF(('Loading-rail'!$B$31:$B$48),$J3185,('Loading-rail'!$D$31:$D$48))*Impacts!$F$15,IF(('Loading-rail'!$C$21)&lt;&gt;"No control",SUMIF(('Loading-rail'!$B$31:$B$48),$J3185,('Loading-rail'!$E$31:$E$48))*Impacts!$F$15,0)),0)</f>
        <v>0</v>
      </c>
      <c r="T3185" s="10">
        <f>IF(Flare!$C$7="",0,(SUMIF(Flare!$B$46:$B$185,$J3185,Flare!$E$46:$E$185)*Impacts!$F$16))</f>
        <v>0</v>
      </c>
      <c r="U3185" s="10">
        <f>IF(VCU!$C$9="",0,(SUMIF(VCU!$B$51:$B$193,$J3185,VCU!$E$51:$E$193)*Impacts!$F$17))</f>
        <v>0</v>
      </c>
      <c r="V3185" s="10">
        <f>IF(CAS!$C$7="",0,(SUMIF(CAS!$B$31:$B$167,$J3185,CAS!$E$31:$E$167)*Impacts!$F$18))</f>
        <v>0</v>
      </c>
      <c r="W3185" s="10">
        <f t="shared" si="90"/>
        <v>0</v>
      </c>
      <c r="AK3185" s="10" t="str">
        <f t="array" ref="AK3185">IFERROR(INDEX(SelectedSpecies,SMALL(IF(SelectedSpecies=AK$1,ROW(SelectedSpecies)),ROW(3186:3186)),2),"")</f>
        <v/>
      </c>
      <c r="BE3185" s="10"/>
      <c r="BI3185" s="10"/>
    </row>
    <row r="3186" spans="1:61" ht="21" customHeight="1" x14ac:dyDescent="0.25">
      <c r="A3186" s="10"/>
      <c r="B3186" s="10"/>
      <c r="E3186" s="10"/>
      <c r="G3186" s="10"/>
      <c r="I3186" s="436" t="s">
        <v>10395</v>
      </c>
      <c r="J3186" s="26" t="s">
        <v>10396</v>
      </c>
      <c r="K3186" s="10">
        <v>11</v>
      </c>
      <c r="L3186" s="73">
        <f>IF(Tank1!$C$23="No control",(SUMIF(Tank1!$B$32:$B$49,$J3186,Tank1!$C$32:$C$49)*Impacts!$F$8),0)</f>
        <v>0</v>
      </c>
      <c r="M3186" s="10">
        <f>IF(Tank2!$C$23="No control",(SUMIF(Tank2!$B$32:$B$49,$J3186,Tank2!$C$32:$C$49)*Impacts!$F$9),0)</f>
        <v>0</v>
      </c>
      <c r="N3186" s="10">
        <f>IF(Tank3!$C$23="No control",(SUMIF(Tank3!$B$32:$B$49,$J3186,Tank3!$C$32:$C$49)*Impacts!$F$10),0)</f>
        <v>0</v>
      </c>
      <c r="O3186" s="10">
        <f>IF(Tank4!$C$23="No control",(SUMIF(Tank4!$B$32:$B$49,$J3186,Tank4!$C$32:$C$49)*Impacts!$F$11),0)</f>
        <v>0</v>
      </c>
      <c r="P3186" s="10">
        <f>IF(Tank5!$C$23="No control",(SUMIF(Tank5!$B$32:$B$49,$J3186,Tank5!$C$32:$C$49)*Impacts!$F$12),0)</f>
        <v>0</v>
      </c>
      <c r="Q3186" s="10">
        <f>IFERROR(IF(('Loading-drum,tote'!$C$21)="No control",SUMIF(('Loading-drum,tote'!$B$31:$B$48),$J3186,('Loading-drum,tote'!$D$31:$D$48))*Impacts!$F$13,IF(('Loading-drum,tote'!$C$21)&lt;&gt;"No control",SUMIF(('Loading-drum,tote'!$B$31:$B$48),$J3186,('Loading-drum,tote'!$E$31:$E$48))*Impacts!$F$13,0)),0)</f>
        <v>0</v>
      </c>
      <c r="R3186" s="10">
        <f>IFERROR(IF(('Loading-truck'!$C$21)="No control",SUMIF(('Loading-truck'!$B$31:$B$48),$J3186,('Loading-truck'!$D$31:$D$48))*Impacts!$F$14,IF(('Loading-truck'!$C$21)&lt;&gt;"No control",SUMIF(('Loading-truck'!$B$31:$B$48),$J3186,('Loading-truck'!$E$31:$E$48))*Impacts!$F$14,0)),0)</f>
        <v>0</v>
      </c>
      <c r="S3186" s="10">
        <f>IFERROR(IF(('Loading-rail'!$C$21)="No control",SUMIF(('Loading-rail'!$B$31:$B$48),$J3186,('Loading-rail'!$D$31:$D$48))*Impacts!$F$15,IF(('Loading-rail'!$C$21)&lt;&gt;"No control",SUMIF(('Loading-rail'!$B$31:$B$48),$J3186,('Loading-rail'!$E$31:$E$48))*Impacts!$F$15,0)),0)</f>
        <v>0</v>
      </c>
      <c r="T3186" s="10">
        <f>IF(Flare!$C$7="",0,(SUMIF(Flare!$B$46:$B$185,$J3186,Flare!$E$46:$E$185)*Impacts!$F$16))</f>
        <v>0</v>
      </c>
      <c r="U3186" s="10">
        <f>IF(VCU!$C$9="",0,(SUMIF(VCU!$B$51:$B$193,$J3186,VCU!$E$51:$E$193)*Impacts!$F$17))</f>
        <v>0</v>
      </c>
      <c r="V3186" s="10">
        <f>IF(CAS!$C$7="",0,(SUMIF(CAS!$B$31:$B$167,$J3186,CAS!$E$31:$E$167)*Impacts!$F$18))</f>
        <v>0</v>
      </c>
      <c r="W3186" s="10">
        <f t="shared" si="90"/>
        <v>0</v>
      </c>
      <c r="AK3186" s="10" t="str">
        <f t="array" ref="AK3186">IFERROR(INDEX(SelectedSpecies,SMALL(IF(SelectedSpecies=AK$1,ROW(SelectedSpecies)),ROW(3187:3187)),2),"")</f>
        <v/>
      </c>
      <c r="BE3186" s="10"/>
      <c r="BI3186" s="10"/>
    </row>
    <row r="3187" spans="1:61" ht="21" customHeight="1" x14ac:dyDescent="0.25">
      <c r="A3187" s="10"/>
      <c r="B3187" s="10"/>
      <c r="E3187" s="10"/>
      <c r="G3187" s="10"/>
      <c r="I3187" s="436" t="s">
        <v>10397</v>
      </c>
      <c r="J3187" s="26" t="s">
        <v>10398</v>
      </c>
      <c r="K3187" s="10">
        <v>11</v>
      </c>
      <c r="L3187" s="73">
        <f>IF(Tank1!$C$23="No control",(SUMIF(Tank1!$B$32:$B$49,$J3187,Tank1!$C$32:$C$49)*Impacts!$F$8),0)</f>
        <v>0</v>
      </c>
      <c r="M3187" s="10">
        <f>IF(Tank2!$C$23="No control",(SUMIF(Tank2!$B$32:$B$49,$J3187,Tank2!$C$32:$C$49)*Impacts!$F$9),0)</f>
        <v>0</v>
      </c>
      <c r="N3187" s="10">
        <f>IF(Tank3!$C$23="No control",(SUMIF(Tank3!$B$32:$B$49,$J3187,Tank3!$C$32:$C$49)*Impacts!$F$10),0)</f>
        <v>0</v>
      </c>
      <c r="O3187" s="10">
        <f>IF(Tank4!$C$23="No control",(SUMIF(Tank4!$B$32:$B$49,$J3187,Tank4!$C$32:$C$49)*Impacts!$F$11),0)</f>
        <v>0</v>
      </c>
      <c r="P3187" s="10">
        <f>IF(Tank5!$C$23="No control",(SUMIF(Tank5!$B$32:$B$49,$J3187,Tank5!$C$32:$C$49)*Impacts!$F$12),0)</f>
        <v>0</v>
      </c>
      <c r="Q3187" s="10">
        <f>IFERROR(IF(('Loading-drum,tote'!$C$21)="No control",SUMIF(('Loading-drum,tote'!$B$31:$B$48),$J3187,('Loading-drum,tote'!$D$31:$D$48))*Impacts!$F$13,IF(('Loading-drum,tote'!$C$21)&lt;&gt;"No control",SUMIF(('Loading-drum,tote'!$B$31:$B$48),$J3187,('Loading-drum,tote'!$E$31:$E$48))*Impacts!$F$13,0)),0)</f>
        <v>0</v>
      </c>
      <c r="R3187" s="10">
        <f>IFERROR(IF(('Loading-truck'!$C$21)="No control",SUMIF(('Loading-truck'!$B$31:$B$48),$J3187,('Loading-truck'!$D$31:$D$48))*Impacts!$F$14,IF(('Loading-truck'!$C$21)&lt;&gt;"No control",SUMIF(('Loading-truck'!$B$31:$B$48),$J3187,('Loading-truck'!$E$31:$E$48))*Impacts!$F$14,0)),0)</f>
        <v>0</v>
      </c>
      <c r="S3187" s="10">
        <f>IFERROR(IF(('Loading-rail'!$C$21)="No control",SUMIF(('Loading-rail'!$B$31:$B$48),$J3187,('Loading-rail'!$D$31:$D$48))*Impacts!$F$15,IF(('Loading-rail'!$C$21)&lt;&gt;"No control",SUMIF(('Loading-rail'!$B$31:$B$48),$J3187,('Loading-rail'!$E$31:$E$48))*Impacts!$F$15,0)),0)</f>
        <v>0</v>
      </c>
      <c r="T3187" s="10">
        <f>IF(Flare!$C$7="",0,(SUMIF(Flare!$B$46:$B$185,$J3187,Flare!$E$46:$E$185)*Impacts!$F$16))</f>
        <v>0</v>
      </c>
      <c r="U3187" s="10">
        <f>IF(VCU!$C$9="",0,(SUMIF(VCU!$B$51:$B$193,$J3187,VCU!$E$51:$E$193)*Impacts!$F$17))</f>
        <v>0</v>
      </c>
      <c r="V3187" s="10">
        <f>IF(CAS!$C$7="",0,(SUMIF(CAS!$B$31:$B$167,$J3187,CAS!$E$31:$E$167)*Impacts!$F$18))</f>
        <v>0</v>
      </c>
      <c r="W3187" s="10">
        <f t="shared" si="90"/>
        <v>0</v>
      </c>
      <c r="AK3187" s="10" t="str">
        <f t="array" ref="AK3187">IFERROR(INDEX(SelectedSpecies,SMALL(IF(SelectedSpecies=AK$1,ROW(SelectedSpecies)),ROW(3188:3188)),2),"")</f>
        <v/>
      </c>
      <c r="BE3187" s="10"/>
      <c r="BI3187" s="10"/>
    </row>
    <row r="3188" spans="1:61" ht="21" customHeight="1" x14ac:dyDescent="0.25">
      <c r="A3188" s="10"/>
      <c r="B3188" s="10"/>
      <c r="E3188" s="10"/>
      <c r="G3188" s="10"/>
      <c r="I3188" s="436" t="s">
        <v>10399</v>
      </c>
      <c r="J3188" s="26" t="s">
        <v>10400</v>
      </c>
      <c r="K3188" s="10">
        <v>11</v>
      </c>
      <c r="L3188" s="73">
        <f>IF(Tank1!$C$23="No control",(SUMIF(Tank1!$B$32:$B$49,$J3188,Tank1!$C$32:$C$49)*Impacts!$F$8),0)</f>
        <v>0</v>
      </c>
      <c r="M3188" s="10">
        <f>IF(Tank2!$C$23="No control",(SUMIF(Tank2!$B$32:$B$49,$J3188,Tank2!$C$32:$C$49)*Impacts!$F$9),0)</f>
        <v>0</v>
      </c>
      <c r="N3188" s="10">
        <f>IF(Tank3!$C$23="No control",(SUMIF(Tank3!$B$32:$B$49,$J3188,Tank3!$C$32:$C$49)*Impacts!$F$10),0)</f>
        <v>0</v>
      </c>
      <c r="O3188" s="10">
        <f>IF(Tank4!$C$23="No control",(SUMIF(Tank4!$B$32:$B$49,$J3188,Tank4!$C$32:$C$49)*Impacts!$F$11),0)</f>
        <v>0</v>
      </c>
      <c r="P3188" s="10">
        <f>IF(Tank5!$C$23="No control",(SUMIF(Tank5!$B$32:$B$49,$J3188,Tank5!$C$32:$C$49)*Impacts!$F$12),0)</f>
        <v>0</v>
      </c>
      <c r="Q3188" s="10">
        <f>IFERROR(IF(('Loading-drum,tote'!$C$21)="No control",SUMIF(('Loading-drum,tote'!$B$31:$B$48),$J3188,('Loading-drum,tote'!$D$31:$D$48))*Impacts!$F$13,IF(('Loading-drum,tote'!$C$21)&lt;&gt;"No control",SUMIF(('Loading-drum,tote'!$B$31:$B$48),$J3188,('Loading-drum,tote'!$E$31:$E$48))*Impacts!$F$13,0)),0)</f>
        <v>0</v>
      </c>
      <c r="R3188" s="10">
        <f>IFERROR(IF(('Loading-truck'!$C$21)="No control",SUMIF(('Loading-truck'!$B$31:$B$48),$J3188,('Loading-truck'!$D$31:$D$48))*Impacts!$F$14,IF(('Loading-truck'!$C$21)&lt;&gt;"No control",SUMIF(('Loading-truck'!$B$31:$B$48),$J3188,('Loading-truck'!$E$31:$E$48))*Impacts!$F$14,0)),0)</f>
        <v>0</v>
      </c>
      <c r="S3188" s="10">
        <f>IFERROR(IF(('Loading-rail'!$C$21)="No control",SUMIF(('Loading-rail'!$B$31:$B$48),$J3188,('Loading-rail'!$D$31:$D$48))*Impacts!$F$15,IF(('Loading-rail'!$C$21)&lt;&gt;"No control",SUMIF(('Loading-rail'!$B$31:$B$48),$J3188,('Loading-rail'!$E$31:$E$48))*Impacts!$F$15,0)),0)</f>
        <v>0</v>
      </c>
      <c r="T3188" s="10">
        <f>IF(Flare!$C$7="",0,(SUMIF(Flare!$B$46:$B$185,$J3188,Flare!$E$46:$E$185)*Impacts!$F$16))</f>
        <v>0</v>
      </c>
      <c r="U3188" s="10">
        <f>IF(VCU!$C$9="",0,(SUMIF(VCU!$B$51:$B$193,$J3188,VCU!$E$51:$E$193)*Impacts!$F$17))</f>
        <v>0</v>
      </c>
      <c r="V3188" s="10">
        <f>IF(CAS!$C$7="",0,(SUMIF(CAS!$B$31:$B$167,$J3188,CAS!$E$31:$E$167)*Impacts!$F$18))</f>
        <v>0</v>
      </c>
      <c r="W3188" s="10">
        <f t="shared" si="90"/>
        <v>0</v>
      </c>
      <c r="AK3188" s="10" t="str">
        <f t="array" ref="AK3188">IFERROR(INDEX(SelectedSpecies,SMALL(IF(SelectedSpecies=AK$1,ROW(SelectedSpecies)),ROW(3189:3189)),2),"")</f>
        <v/>
      </c>
      <c r="BE3188" s="10"/>
      <c r="BI3188" s="10"/>
    </row>
    <row r="3189" spans="1:61" ht="21" customHeight="1" x14ac:dyDescent="0.25">
      <c r="A3189" s="10"/>
      <c r="B3189" s="10"/>
      <c r="E3189" s="10"/>
      <c r="G3189" s="10"/>
      <c r="I3189" s="436" t="s">
        <v>7530</v>
      </c>
      <c r="J3189" s="26" t="s">
        <v>7529</v>
      </c>
      <c r="K3189" s="10">
        <v>0.2</v>
      </c>
      <c r="L3189" s="73">
        <f>IF(Tank1!$C$23="No control",(SUMIF(Tank1!$B$32:$B$49,$J3189,Tank1!$C$32:$C$49)*Impacts!$F$8),0)</f>
        <v>0</v>
      </c>
      <c r="M3189" s="10">
        <f>IF(Tank2!$C$23="No control",(SUMIF(Tank2!$B$32:$B$49,$J3189,Tank2!$C$32:$C$49)*Impacts!$F$9),0)</f>
        <v>0</v>
      </c>
      <c r="N3189" s="10">
        <f>IF(Tank3!$C$23="No control",(SUMIF(Tank3!$B$32:$B$49,$J3189,Tank3!$C$32:$C$49)*Impacts!$F$10),0)</f>
        <v>0</v>
      </c>
      <c r="O3189" s="10">
        <f>IF(Tank4!$C$23="No control",(SUMIF(Tank4!$B$32:$B$49,$J3189,Tank4!$C$32:$C$49)*Impacts!$F$11),0)</f>
        <v>0</v>
      </c>
      <c r="P3189" s="10">
        <f>IF(Tank5!$C$23="No control",(SUMIF(Tank5!$B$32:$B$49,$J3189,Tank5!$C$32:$C$49)*Impacts!$F$12),0)</f>
        <v>0</v>
      </c>
      <c r="Q3189" s="10">
        <f>IFERROR(IF(('Loading-drum,tote'!$C$21)="No control",SUMIF(('Loading-drum,tote'!$B$31:$B$48),$J3189,('Loading-drum,tote'!$D$31:$D$48))*Impacts!$F$13,IF(('Loading-drum,tote'!$C$21)&lt;&gt;"No control",SUMIF(('Loading-drum,tote'!$B$31:$B$48),$J3189,('Loading-drum,tote'!$E$31:$E$48))*Impacts!$F$13,0)),0)</f>
        <v>0</v>
      </c>
      <c r="R3189" s="10">
        <f>IFERROR(IF(('Loading-truck'!$C$21)="No control",SUMIF(('Loading-truck'!$B$31:$B$48),$J3189,('Loading-truck'!$D$31:$D$48))*Impacts!$F$14,IF(('Loading-truck'!$C$21)&lt;&gt;"No control",SUMIF(('Loading-truck'!$B$31:$B$48),$J3189,('Loading-truck'!$E$31:$E$48))*Impacts!$F$14,0)),0)</f>
        <v>0</v>
      </c>
      <c r="S3189" s="10">
        <f>IFERROR(IF(('Loading-rail'!$C$21)="No control",SUMIF(('Loading-rail'!$B$31:$B$48),$J3189,('Loading-rail'!$D$31:$D$48))*Impacts!$F$15,IF(('Loading-rail'!$C$21)&lt;&gt;"No control",SUMIF(('Loading-rail'!$B$31:$B$48),$J3189,('Loading-rail'!$E$31:$E$48))*Impacts!$F$15,0)),0)</f>
        <v>0</v>
      </c>
      <c r="T3189" s="10">
        <f>IF(Flare!$C$7="",0,(SUMIF(Flare!$B$46:$B$185,$J3189,Flare!$E$46:$E$185)*Impacts!$F$16))</f>
        <v>0</v>
      </c>
      <c r="U3189" s="10">
        <f>IF(VCU!$C$9="",0,(SUMIF(VCU!$B$51:$B$193,$J3189,VCU!$E$51:$E$193)*Impacts!$F$17))</f>
        <v>0</v>
      </c>
      <c r="V3189" s="10">
        <f>IF(CAS!$C$7="",0,(SUMIF(CAS!$B$31:$B$167,$J3189,CAS!$E$31:$E$167)*Impacts!$F$18))</f>
        <v>0</v>
      </c>
      <c r="W3189" s="10">
        <f t="shared" si="90"/>
        <v>0</v>
      </c>
      <c r="AK3189" s="10" t="str">
        <f t="array" ref="AK3189">IFERROR(INDEX(SelectedSpecies,SMALL(IF(SelectedSpecies=AK$1,ROW(SelectedSpecies)),ROW(3190:3190)),2),"")</f>
        <v/>
      </c>
      <c r="BE3189" s="10"/>
      <c r="BI3189" s="10"/>
    </row>
    <row r="3190" spans="1:61" ht="21" customHeight="1" x14ac:dyDescent="0.25">
      <c r="A3190" s="10"/>
      <c r="B3190" s="10"/>
      <c r="E3190" s="10"/>
      <c r="G3190" s="10"/>
      <c r="I3190" s="436" t="s">
        <v>1154</v>
      </c>
      <c r="J3190" s="26" t="s">
        <v>1153</v>
      </c>
      <c r="K3190" s="10">
        <v>35</v>
      </c>
      <c r="L3190" s="73">
        <f>IF(Tank1!$C$23="No control",(SUMIF(Tank1!$B$32:$B$49,$J3190,Tank1!$C$32:$C$49)*Impacts!$F$8),0)</f>
        <v>0</v>
      </c>
      <c r="M3190" s="10">
        <f>IF(Tank2!$C$23="No control",(SUMIF(Tank2!$B$32:$B$49,$J3190,Tank2!$C$32:$C$49)*Impacts!$F$9),0)</f>
        <v>0</v>
      </c>
      <c r="N3190" s="10">
        <f>IF(Tank3!$C$23="No control",(SUMIF(Tank3!$B$32:$B$49,$J3190,Tank3!$C$32:$C$49)*Impacts!$F$10),0)</f>
        <v>0</v>
      </c>
      <c r="O3190" s="10">
        <f>IF(Tank4!$C$23="No control",(SUMIF(Tank4!$B$32:$B$49,$J3190,Tank4!$C$32:$C$49)*Impacts!$F$11),0)</f>
        <v>0</v>
      </c>
      <c r="P3190" s="10">
        <f>IF(Tank5!$C$23="No control",(SUMIF(Tank5!$B$32:$B$49,$J3190,Tank5!$C$32:$C$49)*Impacts!$F$12),0)</f>
        <v>0</v>
      </c>
      <c r="Q3190" s="10">
        <f>IFERROR(IF(('Loading-drum,tote'!$C$21)="No control",SUMIF(('Loading-drum,tote'!$B$31:$B$48),$J3190,('Loading-drum,tote'!$D$31:$D$48))*Impacts!$F$13,IF(('Loading-drum,tote'!$C$21)&lt;&gt;"No control",SUMIF(('Loading-drum,tote'!$B$31:$B$48),$J3190,('Loading-drum,tote'!$E$31:$E$48))*Impacts!$F$13,0)),0)</f>
        <v>0</v>
      </c>
      <c r="R3190" s="10">
        <f>IFERROR(IF(('Loading-truck'!$C$21)="No control",SUMIF(('Loading-truck'!$B$31:$B$48),$J3190,('Loading-truck'!$D$31:$D$48))*Impacts!$F$14,IF(('Loading-truck'!$C$21)&lt;&gt;"No control",SUMIF(('Loading-truck'!$B$31:$B$48),$J3190,('Loading-truck'!$E$31:$E$48))*Impacts!$F$14,0)),0)</f>
        <v>0</v>
      </c>
      <c r="S3190" s="10">
        <f>IFERROR(IF(('Loading-rail'!$C$21)="No control",SUMIF(('Loading-rail'!$B$31:$B$48),$J3190,('Loading-rail'!$D$31:$D$48))*Impacts!$F$15,IF(('Loading-rail'!$C$21)&lt;&gt;"No control",SUMIF(('Loading-rail'!$B$31:$B$48),$J3190,('Loading-rail'!$E$31:$E$48))*Impacts!$F$15,0)),0)</f>
        <v>0</v>
      </c>
      <c r="T3190" s="10">
        <f>IF(Flare!$C$7="",0,(SUMIF(Flare!$B$46:$B$185,$J3190,Flare!$E$46:$E$185)*Impacts!$F$16))</f>
        <v>0</v>
      </c>
      <c r="U3190" s="10">
        <f>IF(VCU!$C$9="",0,(SUMIF(VCU!$B$51:$B$193,$J3190,VCU!$E$51:$E$193)*Impacts!$F$17))</f>
        <v>0</v>
      </c>
      <c r="V3190" s="10">
        <f>IF(CAS!$C$7="",0,(SUMIF(CAS!$B$31:$B$167,$J3190,CAS!$E$31:$E$167)*Impacts!$F$18))</f>
        <v>0</v>
      </c>
      <c r="W3190" s="10">
        <f t="shared" si="90"/>
        <v>0</v>
      </c>
      <c r="AK3190" s="10" t="str">
        <f t="array" ref="AK3190">IFERROR(INDEX(SelectedSpecies,SMALL(IF(SelectedSpecies=AK$1,ROW(SelectedSpecies)),ROW(3191:3191)),2),"")</f>
        <v/>
      </c>
      <c r="BE3190" s="10"/>
      <c r="BI3190" s="10"/>
    </row>
    <row r="3191" spans="1:61" ht="21" customHeight="1" x14ac:dyDescent="0.25">
      <c r="A3191" s="10"/>
      <c r="B3191" s="10"/>
      <c r="E3191" s="10"/>
      <c r="G3191" s="10"/>
      <c r="I3191" s="436" t="s">
        <v>3279</v>
      </c>
      <c r="J3191" s="26" t="s">
        <v>3278</v>
      </c>
      <c r="K3191" s="10">
        <v>10</v>
      </c>
      <c r="L3191" s="73">
        <f>IF(Tank1!$C$23="No control",(SUMIF(Tank1!$B$32:$B$49,$J3191,Tank1!$C$32:$C$49)*Impacts!$F$8),0)</f>
        <v>0</v>
      </c>
      <c r="M3191" s="10">
        <f>IF(Tank2!$C$23="No control",(SUMIF(Tank2!$B$32:$B$49,$J3191,Tank2!$C$32:$C$49)*Impacts!$F$9),0)</f>
        <v>0</v>
      </c>
      <c r="N3191" s="10">
        <f>IF(Tank3!$C$23="No control",(SUMIF(Tank3!$B$32:$B$49,$J3191,Tank3!$C$32:$C$49)*Impacts!$F$10),0)</f>
        <v>0</v>
      </c>
      <c r="O3191" s="10">
        <f>IF(Tank4!$C$23="No control",(SUMIF(Tank4!$B$32:$B$49,$J3191,Tank4!$C$32:$C$49)*Impacts!$F$11),0)</f>
        <v>0</v>
      </c>
      <c r="P3191" s="10">
        <f>IF(Tank5!$C$23="No control",(SUMIF(Tank5!$B$32:$B$49,$J3191,Tank5!$C$32:$C$49)*Impacts!$F$12),0)</f>
        <v>0</v>
      </c>
      <c r="Q3191" s="10">
        <f>IFERROR(IF(('Loading-drum,tote'!$C$21)="No control",SUMIF(('Loading-drum,tote'!$B$31:$B$48),$J3191,('Loading-drum,tote'!$D$31:$D$48))*Impacts!$F$13,IF(('Loading-drum,tote'!$C$21)&lt;&gt;"No control",SUMIF(('Loading-drum,tote'!$B$31:$B$48),$J3191,('Loading-drum,tote'!$E$31:$E$48))*Impacts!$F$13,0)),0)</f>
        <v>0</v>
      </c>
      <c r="R3191" s="10">
        <f>IFERROR(IF(('Loading-truck'!$C$21)="No control",SUMIF(('Loading-truck'!$B$31:$B$48),$J3191,('Loading-truck'!$D$31:$D$48))*Impacts!$F$14,IF(('Loading-truck'!$C$21)&lt;&gt;"No control",SUMIF(('Loading-truck'!$B$31:$B$48),$J3191,('Loading-truck'!$E$31:$E$48))*Impacts!$F$14,0)),0)</f>
        <v>0</v>
      </c>
      <c r="S3191" s="10">
        <f>IFERROR(IF(('Loading-rail'!$C$21)="No control",SUMIF(('Loading-rail'!$B$31:$B$48),$J3191,('Loading-rail'!$D$31:$D$48))*Impacts!$F$15,IF(('Loading-rail'!$C$21)&lt;&gt;"No control",SUMIF(('Loading-rail'!$B$31:$B$48),$J3191,('Loading-rail'!$E$31:$E$48))*Impacts!$F$15,0)),0)</f>
        <v>0</v>
      </c>
      <c r="T3191" s="10">
        <f>IF(Flare!$C$7="",0,(SUMIF(Flare!$B$46:$B$185,$J3191,Flare!$E$46:$E$185)*Impacts!$F$16))</f>
        <v>0</v>
      </c>
      <c r="U3191" s="10">
        <f>IF(VCU!$C$9="",0,(SUMIF(VCU!$B$51:$B$193,$J3191,VCU!$E$51:$E$193)*Impacts!$F$17))</f>
        <v>0</v>
      </c>
      <c r="V3191" s="10">
        <f>IF(CAS!$C$7="",0,(SUMIF(CAS!$B$31:$B$167,$J3191,CAS!$E$31:$E$167)*Impacts!$F$18))</f>
        <v>0</v>
      </c>
      <c r="W3191" s="10">
        <f t="shared" si="90"/>
        <v>0</v>
      </c>
      <c r="AK3191" s="10" t="str">
        <f t="array" ref="AK3191">IFERROR(INDEX(SelectedSpecies,SMALL(IF(SelectedSpecies=AK$1,ROW(SelectedSpecies)),ROW(3192:3192)),2),"")</f>
        <v/>
      </c>
      <c r="BE3191" s="10"/>
      <c r="BI3191" s="10"/>
    </row>
    <row r="3192" spans="1:61" ht="21" customHeight="1" x14ac:dyDescent="0.25">
      <c r="A3192" s="10"/>
      <c r="B3192" s="10"/>
      <c r="E3192" s="10"/>
      <c r="G3192" s="10"/>
      <c r="I3192" s="436" t="s">
        <v>3281</v>
      </c>
      <c r="J3192" s="26" t="s">
        <v>3280</v>
      </c>
      <c r="K3192" s="10">
        <v>10</v>
      </c>
      <c r="L3192" s="73">
        <f>IF(Tank1!$C$23="No control",(SUMIF(Tank1!$B$32:$B$49,$J3192,Tank1!$C$32:$C$49)*Impacts!$F$8),0)</f>
        <v>0</v>
      </c>
      <c r="M3192" s="10">
        <f>IF(Tank2!$C$23="No control",(SUMIF(Tank2!$B$32:$B$49,$J3192,Tank2!$C$32:$C$49)*Impacts!$F$9),0)</f>
        <v>0</v>
      </c>
      <c r="N3192" s="10">
        <f>IF(Tank3!$C$23="No control",(SUMIF(Tank3!$B$32:$B$49,$J3192,Tank3!$C$32:$C$49)*Impacts!$F$10),0)</f>
        <v>0</v>
      </c>
      <c r="O3192" s="10">
        <f>IF(Tank4!$C$23="No control",(SUMIF(Tank4!$B$32:$B$49,$J3192,Tank4!$C$32:$C$49)*Impacts!$F$11),0)</f>
        <v>0</v>
      </c>
      <c r="P3192" s="10">
        <f>IF(Tank5!$C$23="No control",(SUMIF(Tank5!$B$32:$B$49,$J3192,Tank5!$C$32:$C$49)*Impacts!$F$12),0)</f>
        <v>0</v>
      </c>
      <c r="Q3192" s="10">
        <f>IFERROR(IF(('Loading-drum,tote'!$C$21)="No control",SUMIF(('Loading-drum,tote'!$B$31:$B$48),$J3192,('Loading-drum,tote'!$D$31:$D$48))*Impacts!$F$13,IF(('Loading-drum,tote'!$C$21)&lt;&gt;"No control",SUMIF(('Loading-drum,tote'!$B$31:$B$48),$J3192,('Loading-drum,tote'!$E$31:$E$48))*Impacts!$F$13,0)),0)</f>
        <v>0</v>
      </c>
      <c r="R3192" s="10">
        <f>IFERROR(IF(('Loading-truck'!$C$21)="No control",SUMIF(('Loading-truck'!$B$31:$B$48),$J3192,('Loading-truck'!$D$31:$D$48))*Impacts!$F$14,IF(('Loading-truck'!$C$21)&lt;&gt;"No control",SUMIF(('Loading-truck'!$B$31:$B$48),$J3192,('Loading-truck'!$E$31:$E$48))*Impacts!$F$14,0)),0)</f>
        <v>0</v>
      </c>
      <c r="S3192" s="10">
        <f>IFERROR(IF(('Loading-rail'!$C$21)="No control",SUMIF(('Loading-rail'!$B$31:$B$48),$J3192,('Loading-rail'!$D$31:$D$48))*Impacts!$F$15,IF(('Loading-rail'!$C$21)&lt;&gt;"No control",SUMIF(('Loading-rail'!$B$31:$B$48),$J3192,('Loading-rail'!$E$31:$E$48))*Impacts!$F$15,0)),0)</f>
        <v>0</v>
      </c>
      <c r="T3192" s="10">
        <f>IF(Flare!$C$7="",0,(SUMIF(Flare!$B$46:$B$185,$J3192,Flare!$E$46:$E$185)*Impacts!$F$16))</f>
        <v>0</v>
      </c>
      <c r="U3192" s="10">
        <f>IF(VCU!$C$9="",0,(SUMIF(VCU!$B$51:$B$193,$J3192,VCU!$E$51:$E$193)*Impacts!$F$17))</f>
        <v>0</v>
      </c>
      <c r="V3192" s="10">
        <f>IF(CAS!$C$7="",0,(SUMIF(CAS!$B$31:$B$167,$J3192,CAS!$E$31:$E$167)*Impacts!$F$18))</f>
        <v>0</v>
      </c>
      <c r="W3192" s="10">
        <f t="shared" si="90"/>
        <v>0</v>
      </c>
      <c r="AK3192" s="10" t="str">
        <f t="array" ref="AK3192">IFERROR(INDEX(SelectedSpecies,SMALL(IF(SelectedSpecies=AK$1,ROW(SelectedSpecies)),ROW(3193:3193)),2),"")</f>
        <v/>
      </c>
      <c r="BE3192" s="10"/>
      <c r="BI3192" s="10"/>
    </row>
    <row r="3193" spans="1:61" ht="21" customHeight="1" x14ac:dyDescent="0.25">
      <c r="A3193" s="10"/>
      <c r="B3193" s="10"/>
      <c r="E3193" s="10"/>
      <c r="G3193" s="10"/>
      <c r="I3193" s="436" t="s">
        <v>3283</v>
      </c>
      <c r="J3193" s="26" t="s">
        <v>3282</v>
      </c>
      <c r="K3193" s="10">
        <v>10</v>
      </c>
      <c r="L3193" s="73">
        <f>IF(Tank1!$C$23="No control",(SUMIF(Tank1!$B$32:$B$49,$J3193,Tank1!$C$32:$C$49)*Impacts!$F$8),0)</f>
        <v>0</v>
      </c>
      <c r="M3193" s="10">
        <f>IF(Tank2!$C$23="No control",(SUMIF(Tank2!$B$32:$B$49,$J3193,Tank2!$C$32:$C$49)*Impacts!$F$9),0)</f>
        <v>0</v>
      </c>
      <c r="N3193" s="10">
        <f>IF(Tank3!$C$23="No control",(SUMIF(Tank3!$B$32:$B$49,$J3193,Tank3!$C$32:$C$49)*Impacts!$F$10),0)</f>
        <v>0</v>
      </c>
      <c r="O3193" s="10">
        <f>IF(Tank4!$C$23="No control",(SUMIF(Tank4!$B$32:$B$49,$J3193,Tank4!$C$32:$C$49)*Impacts!$F$11),0)</f>
        <v>0</v>
      </c>
      <c r="P3193" s="10">
        <f>IF(Tank5!$C$23="No control",(SUMIF(Tank5!$B$32:$B$49,$J3193,Tank5!$C$32:$C$49)*Impacts!$F$12),0)</f>
        <v>0</v>
      </c>
      <c r="Q3193" s="10">
        <f>IFERROR(IF(('Loading-drum,tote'!$C$21)="No control",SUMIF(('Loading-drum,tote'!$B$31:$B$48),$J3193,('Loading-drum,tote'!$D$31:$D$48))*Impacts!$F$13,IF(('Loading-drum,tote'!$C$21)&lt;&gt;"No control",SUMIF(('Loading-drum,tote'!$B$31:$B$48),$J3193,('Loading-drum,tote'!$E$31:$E$48))*Impacts!$F$13,0)),0)</f>
        <v>0</v>
      </c>
      <c r="R3193" s="10">
        <f>IFERROR(IF(('Loading-truck'!$C$21)="No control",SUMIF(('Loading-truck'!$B$31:$B$48),$J3193,('Loading-truck'!$D$31:$D$48))*Impacts!$F$14,IF(('Loading-truck'!$C$21)&lt;&gt;"No control",SUMIF(('Loading-truck'!$B$31:$B$48),$J3193,('Loading-truck'!$E$31:$E$48))*Impacts!$F$14,0)),0)</f>
        <v>0</v>
      </c>
      <c r="S3193" s="10">
        <f>IFERROR(IF(('Loading-rail'!$C$21)="No control",SUMIF(('Loading-rail'!$B$31:$B$48),$J3193,('Loading-rail'!$D$31:$D$48))*Impacts!$F$15,IF(('Loading-rail'!$C$21)&lt;&gt;"No control",SUMIF(('Loading-rail'!$B$31:$B$48),$J3193,('Loading-rail'!$E$31:$E$48))*Impacts!$F$15,0)),0)</f>
        <v>0</v>
      </c>
      <c r="T3193" s="10">
        <f>IF(Flare!$C$7="",0,(SUMIF(Flare!$B$46:$B$185,$J3193,Flare!$E$46:$E$185)*Impacts!$F$16))</f>
        <v>0</v>
      </c>
      <c r="U3193" s="10">
        <f>IF(VCU!$C$9="",0,(SUMIF(VCU!$B$51:$B$193,$J3193,VCU!$E$51:$E$193)*Impacts!$F$17))</f>
        <v>0</v>
      </c>
      <c r="V3193" s="10">
        <f>IF(CAS!$C$7="",0,(SUMIF(CAS!$B$31:$B$167,$J3193,CAS!$E$31:$E$167)*Impacts!$F$18))</f>
        <v>0</v>
      </c>
      <c r="W3193" s="10">
        <f t="shared" si="90"/>
        <v>0</v>
      </c>
      <c r="AK3193" s="10" t="str">
        <f t="array" ref="AK3193">IFERROR(INDEX(SelectedSpecies,SMALL(IF(SelectedSpecies=AK$1,ROW(SelectedSpecies)),ROW(3194:3194)),2),"")</f>
        <v/>
      </c>
      <c r="BE3193" s="10"/>
      <c r="BI3193" s="10"/>
    </row>
    <row r="3194" spans="1:61" ht="21" customHeight="1" x14ac:dyDescent="0.25">
      <c r="A3194" s="10"/>
      <c r="B3194" s="10"/>
      <c r="E3194" s="10"/>
      <c r="G3194" s="10"/>
      <c r="I3194" s="436" t="s">
        <v>3285</v>
      </c>
      <c r="J3194" s="26" t="s">
        <v>3284</v>
      </c>
      <c r="K3194" s="10">
        <v>10</v>
      </c>
      <c r="L3194" s="73">
        <f>IF(Tank1!$C$23="No control",(SUMIF(Tank1!$B$32:$B$49,$J3194,Tank1!$C$32:$C$49)*Impacts!$F$8),0)</f>
        <v>0</v>
      </c>
      <c r="M3194" s="10">
        <f>IF(Tank2!$C$23="No control",(SUMIF(Tank2!$B$32:$B$49,$J3194,Tank2!$C$32:$C$49)*Impacts!$F$9),0)</f>
        <v>0</v>
      </c>
      <c r="N3194" s="10">
        <f>IF(Tank3!$C$23="No control",(SUMIF(Tank3!$B$32:$B$49,$J3194,Tank3!$C$32:$C$49)*Impacts!$F$10),0)</f>
        <v>0</v>
      </c>
      <c r="O3194" s="10">
        <f>IF(Tank4!$C$23="No control",(SUMIF(Tank4!$B$32:$B$49,$J3194,Tank4!$C$32:$C$49)*Impacts!$F$11),0)</f>
        <v>0</v>
      </c>
      <c r="P3194" s="10">
        <f>IF(Tank5!$C$23="No control",(SUMIF(Tank5!$B$32:$B$49,$J3194,Tank5!$C$32:$C$49)*Impacts!$F$12),0)</f>
        <v>0</v>
      </c>
      <c r="Q3194" s="10">
        <f>IFERROR(IF(('Loading-drum,tote'!$C$21)="No control",SUMIF(('Loading-drum,tote'!$B$31:$B$48),$J3194,('Loading-drum,tote'!$D$31:$D$48))*Impacts!$F$13,IF(('Loading-drum,tote'!$C$21)&lt;&gt;"No control",SUMIF(('Loading-drum,tote'!$B$31:$B$48),$J3194,('Loading-drum,tote'!$E$31:$E$48))*Impacts!$F$13,0)),0)</f>
        <v>0</v>
      </c>
      <c r="R3194" s="10">
        <f>IFERROR(IF(('Loading-truck'!$C$21)="No control",SUMIF(('Loading-truck'!$B$31:$B$48),$J3194,('Loading-truck'!$D$31:$D$48))*Impacts!$F$14,IF(('Loading-truck'!$C$21)&lt;&gt;"No control",SUMIF(('Loading-truck'!$B$31:$B$48),$J3194,('Loading-truck'!$E$31:$E$48))*Impacts!$F$14,0)),0)</f>
        <v>0</v>
      </c>
      <c r="S3194" s="10">
        <f>IFERROR(IF(('Loading-rail'!$C$21)="No control",SUMIF(('Loading-rail'!$B$31:$B$48),$J3194,('Loading-rail'!$D$31:$D$48))*Impacts!$F$15,IF(('Loading-rail'!$C$21)&lt;&gt;"No control",SUMIF(('Loading-rail'!$B$31:$B$48),$J3194,('Loading-rail'!$E$31:$E$48))*Impacts!$F$15,0)),0)</f>
        <v>0</v>
      </c>
      <c r="T3194" s="10">
        <f>IF(Flare!$C$7="",0,(SUMIF(Flare!$B$46:$B$185,$J3194,Flare!$E$46:$E$185)*Impacts!$F$16))</f>
        <v>0</v>
      </c>
      <c r="U3194" s="10">
        <f>IF(VCU!$C$9="",0,(SUMIF(VCU!$B$51:$B$193,$J3194,VCU!$E$51:$E$193)*Impacts!$F$17))</f>
        <v>0</v>
      </c>
      <c r="V3194" s="10">
        <f>IF(CAS!$C$7="",0,(SUMIF(CAS!$B$31:$B$167,$J3194,CAS!$E$31:$E$167)*Impacts!$F$18))</f>
        <v>0</v>
      </c>
      <c r="W3194" s="10">
        <f t="shared" si="90"/>
        <v>0</v>
      </c>
      <c r="AK3194" s="10" t="str">
        <f t="array" ref="AK3194">IFERROR(INDEX(SelectedSpecies,SMALL(IF(SelectedSpecies=AK$1,ROW(SelectedSpecies)),ROW(3195:3195)),2),"")</f>
        <v/>
      </c>
      <c r="BE3194" s="10"/>
      <c r="BI3194" s="10"/>
    </row>
    <row r="3195" spans="1:61" ht="21" customHeight="1" x14ac:dyDescent="0.25">
      <c r="A3195" s="10"/>
      <c r="B3195" s="10"/>
      <c r="E3195" s="10"/>
      <c r="G3195" s="10"/>
      <c r="I3195" s="436" t="s">
        <v>5035</v>
      </c>
      <c r="J3195" s="26" t="s">
        <v>5034</v>
      </c>
      <c r="K3195" s="10">
        <v>2.4000000000000004</v>
      </c>
      <c r="L3195" s="73">
        <f>IF(Tank1!$C$23="No control",(SUMIF(Tank1!$B$32:$B$49,$J3195,Tank1!$C$32:$C$49)*Impacts!$F$8),0)</f>
        <v>0</v>
      </c>
      <c r="M3195" s="10">
        <f>IF(Tank2!$C$23="No control",(SUMIF(Tank2!$B$32:$B$49,$J3195,Tank2!$C$32:$C$49)*Impacts!$F$9),0)</f>
        <v>0</v>
      </c>
      <c r="N3195" s="10">
        <f>IF(Tank3!$C$23="No control",(SUMIF(Tank3!$B$32:$B$49,$J3195,Tank3!$C$32:$C$49)*Impacts!$F$10),0)</f>
        <v>0</v>
      </c>
      <c r="O3195" s="10">
        <f>IF(Tank4!$C$23="No control",(SUMIF(Tank4!$B$32:$B$49,$J3195,Tank4!$C$32:$C$49)*Impacts!$F$11),0)</f>
        <v>0</v>
      </c>
      <c r="P3195" s="10">
        <f>IF(Tank5!$C$23="No control",(SUMIF(Tank5!$B$32:$B$49,$J3195,Tank5!$C$32:$C$49)*Impacts!$F$12),0)</f>
        <v>0</v>
      </c>
      <c r="Q3195" s="10">
        <f>IFERROR(IF(('Loading-drum,tote'!$C$21)="No control",SUMIF(('Loading-drum,tote'!$B$31:$B$48),$J3195,('Loading-drum,tote'!$D$31:$D$48))*Impacts!$F$13,IF(('Loading-drum,tote'!$C$21)&lt;&gt;"No control",SUMIF(('Loading-drum,tote'!$B$31:$B$48),$J3195,('Loading-drum,tote'!$E$31:$E$48))*Impacts!$F$13,0)),0)</f>
        <v>0</v>
      </c>
      <c r="R3195" s="10">
        <f>IFERROR(IF(('Loading-truck'!$C$21)="No control",SUMIF(('Loading-truck'!$B$31:$B$48),$J3195,('Loading-truck'!$D$31:$D$48))*Impacts!$F$14,IF(('Loading-truck'!$C$21)&lt;&gt;"No control",SUMIF(('Loading-truck'!$B$31:$B$48),$J3195,('Loading-truck'!$E$31:$E$48))*Impacts!$F$14,0)),0)</f>
        <v>0</v>
      </c>
      <c r="S3195" s="10">
        <f>IFERROR(IF(('Loading-rail'!$C$21)="No control",SUMIF(('Loading-rail'!$B$31:$B$48),$J3195,('Loading-rail'!$D$31:$D$48))*Impacts!$F$15,IF(('Loading-rail'!$C$21)&lt;&gt;"No control",SUMIF(('Loading-rail'!$B$31:$B$48),$J3195,('Loading-rail'!$E$31:$E$48))*Impacts!$F$15,0)),0)</f>
        <v>0</v>
      </c>
      <c r="T3195" s="10">
        <f>IF(Flare!$C$7="",0,(SUMIF(Flare!$B$46:$B$185,$J3195,Flare!$E$46:$E$185)*Impacts!$F$16))</f>
        <v>0</v>
      </c>
      <c r="U3195" s="10">
        <f>IF(VCU!$C$9="",0,(SUMIF(VCU!$B$51:$B$193,$J3195,VCU!$E$51:$E$193)*Impacts!$F$17))</f>
        <v>0</v>
      </c>
      <c r="V3195" s="10">
        <f>IF(CAS!$C$7="",0,(SUMIF(CAS!$B$31:$B$167,$J3195,CAS!$E$31:$E$167)*Impacts!$F$18))</f>
        <v>0</v>
      </c>
      <c r="W3195" s="10">
        <f t="shared" si="90"/>
        <v>0</v>
      </c>
      <c r="AK3195" s="10" t="str">
        <f t="array" ref="AK3195">IFERROR(INDEX(SelectedSpecies,SMALL(IF(SelectedSpecies=AK$1,ROW(SelectedSpecies)),ROW(3196:3196)),2),"")</f>
        <v/>
      </c>
      <c r="BE3195" s="10"/>
      <c r="BI3195" s="10"/>
    </row>
    <row r="3196" spans="1:61" ht="21" customHeight="1" x14ac:dyDescent="0.25">
      <c r="A3196" s="10"/>
      <c r="B3196" s="10"/>
      <c r="E3196" s="10"/>
      <c r="G3196" s="10"/>
      <c r="I3196" s="436" t="s">
        <v>3855</v>
      </c>
      <c r="J3196" s="26" t="s">
        <v>3854</v>
      </c>
      <c r="K3196" s="10">
        <v>6</v>
      </c>
      <c r="L3196" s="73">
        <f>IF(Tank1!$C$23="No control",(SUMIF(Tank1!$B$32:$B$49,$J3196,Tank1!$C$32:$C$49)*Impacts!$F$8),0)</f>
        <v>0</v>
      </c>
      <c r="M3196" s="10">
        <f>IF(Tank2!$C$23="No control",(SUMIF(Tank2!$B$32:$B$49,$J3196,Tank2!$C$32:$C$49)*Impacts!$F$9),0)</f>
        <v>0</v>
      </c>
      <c r="N3196" s="10">
        <f>IF(Tank3!$C$23="No control",(SUMIF(Tank3!$B$32:$B$49,$J3196,Tank3!$C$32:$C$49)*Impacts!$F$10),0)</f>
        <v>0</v>
      </c>
      <c r="O3196" s="10">
        <f>IF(Tank4!$C$23="No control",(SUMIF(Tank4!$B$32:$B$49,$J3196,Tank4!$C$32:$C$49)*Impacts!$F$11),0)</f>
        <v>0</v>
      </c>
      <c r="P3196" s="10">
        <f>IF(Tank5!$C$23="No control",(SUMIF(Tank5!$B$32:$B$49,$J3196,Tank5!$C$32:$C$49)*Impacts!$F$12),0)</f>
        <v>0</v>
      </c>
      <c r="Q3196" s="10">
        <f>IFERROR(IF(('Loading-drum,tote'!$C$21)="No control",SUMIF(('Loading-drum,tote'!$B$31:$B$48),$J3196,('Loading-drum,tote'!$D$31:$D$48))*Impacts!$F$13,IF(('Loading-drum,tote'!$C$21)&lt;&gt;"No control",SUMIF(('Loading-drum,tote'!$B$31:$B$48),$J3196,('Loading-drum,tote'!$E$31:$E$48))*Impacts!$F$13,0)),0)</f>
        <v>0</v>
      </c>
      <c r="R3196" s="10">
        <f>IFERROR(IF(('Loading-truck'!$C$21)="No control",SUMIF(('Loading-truck'!$B$31:$B$48),$J3196,('Loading-truck'!$D$31:$D$48))*Impacts!$F$14,IF(('Loading-truck'!$C$21)&lt;&gt;"No control",SUMIF(('Loading-truck'!$B$31:$B$48),$J3196,('Loading-truck'!$E$31:$E$48))*Impacts!$F$14,0)),0)</f>
        <v>0</v>
      </c>
      <c r="S3196" s="10">
        <f>IFERROR(IF(('Loading-rail'!$C$21)="No control",SUMIF(('Loading-rail'!$B$31:$B$48),$J3196,('Loading-rail'!$D$31:$D$48))*Impacts!$F$15,IF(('Loading-rail'!$C$21)&lt;&gt;"No control",SUMIF(('Loading-rail'!$B$31:$B$48),$J3196,('Loading-rail'!$E$31:$E$48))*Impacts!$F$15,0)),0)</f>
        <v>0</v>
      </c>
      <c r="T3196" s="10">
        <f>IF(Flare!$C$7="",0,(SUMIF(Flare!$B$46:$B$185,$J3196,Flare!$E$46:$E$185)*Impacts!$F$16))</f>
        <v>0</v>
      </c>
      <c r="U3196" s="10">
        <f>IF(VCU!$C$9="",0,(SUMIF(VCU!$B$51:$B$193,$J3196,VCU!$E$51:$E$193)*Impacts!$F$17))</f>
        <v>0</v>
      </c>
      <c r="V3196" s="10">
        <f>IF(CAS!$C$7="",0,(SUMIF(CAS!$B$31:$B$167,$J3196,CAS!$E$31:$E$167)*Impacts!$F$18))</f>
        <v>0</v>
      </c>
      <c r="W3196" s="10">
        <f t="shared" si="90"/>
        <v>0</v>
      </c>
      <c r="AK3196" s="10" t="str">
        <f t="array" ref="AK3196">IFERROR(INDEX(SelectedSpecies,SMALL(IF(SelectedSpecies=AK$1,ROW(SelectedSpecies)),ROW(3197:3197)),2),"")</f>
        <v/>
      </c>
      <c r="BE3196" s="10"/>
      <c r="BI3196" s="10"/>
    </row>
    <row r="3197" spans="1:61" ht="21" customHeight="1" x14ac:dyDescent="0.25">
      <c r="A3197" s="10"/>
      <c r="B3197" s="10"/>
      <c r="E3197" s="10"/>
      <c r="G3197" s="10"/>
      <c r="I3197" s="436" t="s">
        <v>6126</v>
      </c>
      <c r="J3197" s="26" t="s">
        <v>6125</v>
      </c>
      <c r="K3197" s="10">
        <v>1</v>
      </c>
      <c r="L3197" s="73">
        <f>IF(Tank1!$C$23="No control",(SUMIF(Tank1!$B$32:$B$49,$J3197,Tank1!$C$32:$C$49)*Impacts!$F$8),0)</f>
        <v>0</v>
      </c>
      <c r="M3197" s="10">
        <f>IF(Tank2!$C$23="No control",(SUMIF(Tank2!$B$32:$B$49,$J3197,Tank2!$C$32:$C$49)*Impacts!$F$9),0)</f>
        <v>0</v>
      </c>
      <c r="N3197" s="10">
        <f>IF(Tank3!$C$23="No control",(SUMIF(Tank3!$B$32:$B$49,$J3197,Tank3!$C$32:$C$49)*Impacts!$F$10),0)</f>
        <v>0</v>
      </c>
      <c r="O3197" s="10">
        <f>IF(Tank4!$C$23="No control",(SUMIF(Tank4!$B$32:$B$49,$J3197,Tank4!$C$32:$C$49)*Impacts!$F$11),0)</f>
        <v>0</v>
      </c>
      <c r="P3197" s="10">
        <f>IF(Tank5!$C$23="No control",(SUMIF(Tank5!$B$32:$B$49,$J3197,Tank5!$C$32:$C$49)*Impacts!$F$12),0)</f>
        <v>0</v>
      </c>
      <c r="Q3197" s="10">
        <f>IFERROR(IF(('Loading-drum,tote'!$C$21)="No control",SUMIF(('Loading-drum,tote'!$B$31:$B$48),$J3197,('Loading-drum,tote'!$D$31:$D$48))*Impacts!$F$13,IF(('Loading-drum,tote'!$C$21)&lt;&gt;"No control",SUMIF(('Loading-drum,tote'!$B$31:$B$48),$J3197,('Loading-drum,tote'!$E$31:$E$48))*Impacts!$F$13,0)),0)</f>
        <v>0</v>
      </c>
      <c r="R3197" s="10">
        <f>IFERROR(IF(('Loading-truck'!$C$21)="No control",SUMIF(('Loading-truck'!$B$31:$B$48),$J3197,('Loading-truck'!$D$31:$D$48))*Impacts!$F$14,IF(('Loading-truck'!$C$21)&lt;&gt;"No control",SUMIF(('Loading-truck'!$B$31:$B$48),$J3197,('Loading-truck'!$E$31:$E$48))*Impacts!$F$14,0)),0)</f>
        <v>0</v>
      </c>
      <c r="S3197" s="10">
        <f>IFERROR(IF(('Loading-rail'!$C$21)="No control",SUMIF(('Loading-rail'!$B$31:$B$48),$J3197,('Loading-rail'!$D$31:$D$48))*Impacts!$F$15,IF(('Loading-rail'!$C$21)&lt;&gt;"No control",SUMIF(('Loading-rail'!$B$31:$B$48),$J3197,('Loading-rail'!$E$31:$E$48))*Impacts!$F$15,0)),0)</f>
        <v>0</v>
      </c>
      <c r="T3197" s="10">
        <f>IF(Flare!$C$7="",0,(SUMIF(Flare!$B$46:$B$185,$J3197,Flare!$E$46:$E$185)*Impacts!$F$16))</f>
        <v>0</v>
      </c>
      <c r="U3197" s="10">
        <f>IF(VCU!$C$9="",0,(SUMIF(VCU!$B$51:$B$193,$J3197,VCU!$E$51:$E$193)*Impacts!$F$17))</f>
        <v>0</v>
      </c>
      <c r="V3197" s="10">
        <f>IF(CAS!$C$7="",0,(SUMIF(CAS!$B$31:$B$167,$J3197,CAS!$E$31:$E$167)*Impacts!$F$18))</f>
        <v>0</v>
      </c>
      <c r="W3197" s="10">
        <f t="shared" si="90"/>
        <v>0</v>
      </c>
      <c r="AK3197" s="10" t="str">
        <f t="array" ref="AK3197">IFERROR(INDEX(SelectedSpecies,SMALL(IF(SelectedSpecies=AK$1,ROW(SelectedSpecies)),ROW(3198:3198)),2),"")</f>
        <v/>
      </c>
      <c r="BE3197" s="10"/>
      <c r="BI3197" s="10"/>
    </row>
    <row r="3198" spans="1:61" ht="21" customHeight="1" x14ac:dyDescent="0.25">
      <c r="A3198" s="10"/>
      <c r="B3198" s="10"/>
      <c r="E3198" s="10"/>
      <c r="G3198" s="10"/>
      <c r="I3198" s="436" t="s">
        <v>6580</v>
      </c>
      <c r="J3198" s="26" t="s">
        <v>6579</v>
      </c>
      <c r="K3198" s="10">
        <v>0.64000000000000012</v>
      </c>
      <c r="L3198" s="73">
        <f>IF(Tank1!$C$23="No control",(SUMIF(Tank1!$B$32:$B$49,$J3198,Tank1!$C$32:$C$49)*Impacts!$F$8),0)</f>
        <v>0</v>
      </c>
      <c r="M3198" s="10">
        <f>IF(Tank2!$C$23="No control",(SUMIF(Tank2!$B$32:$B$49,$J3198,Tank2!$C$32:$C$49)*Impacts!$F$9),0)</f>
        <v>0</v>
      </c>
      <c r="N3198" s="10">
        <f>IF(Tank3!$C$23="No control",(SUMIF(Tank3!$B$32:$B$49,$J3198,Tank3!$C$32:$C$49)*Impacts!$F$10),0)</f>
        <v>0</v>
      </c>
      <c r="O3198" s="10">
        <f>IF(Tank4!$C$23="No control",(SUMIF(Tank4!$B$32:$B$49,$J3198,Tank4!$C$32:$C$49)*Impacts!$F$11),0)</f>
        <v>0</v>
      </c>
      <c r="P3198" s="10">
        <f>IF(Tank5!$C$23="No control",(SUMIF(Tank5!$B$32:$B$49,$J3198,Tank5!$C$32:$C$49)*Impacts!$F$12),0)</f>
        <v>0</v>
      </c>
      <c r="Q3198" s="10">
        <f>IFERROR(IF(('Loading-drum,tote'!$C$21)="No control",SUMIF(('Loading-drum,tote'!$B$31:$B$48),$J3198,('Loading-drum,tote'!$D$31:$D$48))*Impacts!$F$13,IF(('Loading-drum,tote'!$C$21)&lt;&gt;"No control",SUMIF(('Loading-drum,tote'!$B$31:$B$48),$J3198,('Loading-drum,tote'!$E$31:$E$48))*Impacts!$F$13,0)),0)</f>
        <v>0</v>
      </c>
      <c r="R3198" s="10">
        <f>IFERROR(IF(('Loading-truck'!$C$21)="No control",SUMIF(('Loading-truck'!$B$31:$B$48),$J3198,('Loading-truck'!$D$31:$D$48))*Impacts!$F$14,IF(('Loading-truck'!$C$21)&lt;&gt;"No control",SUMIF(('Loading-truck'!$B$31:$B$48),$J3198,('Loading-truck'!$E$31:$E$48))*Impacts!$F$14,0)),0)</f>
        <v>0</v>
      </c>
      <c r="S3198" s="10">
        <f>IFERROR(IF(('Loading-rail'!$C$21)="No control",SUMIF(('Loading-rail'!$B$31:$B$48),$J3198,('Loading-rail'!$D$31:$D$48))*Impacts!$F$15,IF(('Loading-rail'!$C$21)&lt;&gt;"No control",SUMIF(('Loading-rail'!$B$31:$B$48),$J3198,('Loading-rail'!$E$31:$E$48))*Impacts!$F$15,0)),0)</f>
        <v>0</v>
      </c>
      <c r="T3198" s="10">
        <f>IF(Flare!$C$7="",0,(SUMIF(Flare!$B$46:$B$185,$J3198,Flare!$E$46:$E$185)*Impacts!$F$16))</f>
        <v>0</v>
      </c>
      <c r="U3198" s="10">
        <f>IF(VCU!$C$9="",0,(SUMIF(VCU!$B$51:$B$193,$J3198,VCU!$E$51:$E$193)*Impacts!$F$17))</f>
        <v>0</v>
      </c>
      <c r="V3198" s="10">
        <f>IF(CAS!$C$7="",0,(SUMIF(CAS!$B$31:$B$167,$J3198,CAS!$E$31:$E$167)*Impacts!$F$18))</f>
        <v>0</v>
      </c>
      <c r="W3198" s="10">
        <f t="shared" si="90"/>
        <v>0</v>
      </c>
      <c r="AK3198" s="10" t="str">
        <f t="array" ref="AK3198">IFERROR(INDEX(SelectedSpecies,SMALL(IF(SelectedSpecies=AK$1,ROW(SelectedSpecies)),ROW(3199:3199)),2),"")</f>
        <v/>
      </c>
      <c r="BE3198" s="10"/>
      <c r="BI3198" s="10"/>
    </row>
    <row r="3199" spans="1:61" ht="21" customHeight="1" x14ac:dyDescent="0.25">
      <c r="A3199" s="10"/>
      <c r="B3199" s="10"/>
      <c r="E3199" s="10"/>
      <c r="G3199" s="10"/>
      <c r="I3199" s="436" t="s">
        <v>3287</v>
      </c>
      <c r="J3199" s="26" t="s">
        <v>3286</v>
      </c>
      <c r="K3199" s="10">
        <v>10</v>
      </c>
      <c r="L3199" s="73">
        <f>IF(Tank1!$C$23="No control",(SUMIF(Tank1!$B$32:$B$49,$J3199,Tank1!$C$32:$C$49)*Impacts!$F$8),0)</f>
        <v>0</v>
      </c>
      <c r="M3199" s="10">
        <f>IF(Tank2!$C$23="No control",(SUMIF(Tank2!$B$32:$B$49,$J3199,Tank2!$C$32:$C$49)*Impacts!$F$9),0)</f>
        <v>0</v>
      </c>
      <c r="N3199" s="10">
        <f>IF(Tank3!$C$23="No control",(SUMIF(Tank3!$B$32:$B$49,$J3199,Tank3!$C$32:$C$49)*Impacts!$F$10),0)</f>
        <v>0</v>
      </c>
      <c r="O3199" s="10">
        <f>IF(Tank4!$C$23="No control",(SUMIF(Tank4!$B$32:$B$49,$J3199,Tank4!$C$32:$C$49)*Impacts!$F$11),0)</f>
        <v>0</v>
      </c>
      <c r="P3199" s="10">
        <f>IF(Tank5!$C$23="No control",(SUMIF(Tank5!$B$32:$B$49,$J3199,Tank5!$C$32:$C$49)*Impacts!$F$12),0)</f>
        <v>0</v>
      </c>
      <c r="Q3199" s="10">
        <f>IFERROR(IF(('Loading-drum,tote'!$C$21)="No control",SUMIF(('Loading-drum,tote'!$B$31:$B$48),$J3199,('Loading-drum,tote'!$D$31:$D$48))*Impacts!$F$13,IF(('Loading-drum,tote'!$C$21)&lt;&gt;"No control",SUMIF(('Loading-drum,tote'!$B$31:$B$48),$J3199,('Loading-drum,tote'!$E$31:$E$48))*Impacts!$F$13,0)),0)</f>
        <v>0</v>
      </c>
      <c r="R3199" s="10">
        <f>IFERROR(IF(('Loading-truck'!$C$21)="No control",SUMIF(('Loading-truck'!$B$31:$B$48),$J3199,('Loading-truck'!$D$31:$D$48))*Impacts!$F$14,IF(('Loading-truck'!$C$21)&lt;&gt;"No control",SUMIF(('Loading-truck'!$B$31:$B$48),$J3199,('Loading-truck'!$E$31:$E$48))*Impacts!$F$14,0)),0)</f>
        <v>0</v>
      </c>
      <c r="S3199" s="10">
        <f>IFERROR(IF(('Loading-rail'!$C$21)="No control",SUMIF(('Loading-rail'!$B$31:$B$48),$J3199,('Loading-rail'!$D$31:$D$48))*Impacts!$F$15,IF(('Loading-rail'!$C$21)&lt;&gt;"No control",SUMIF(('Loading-rail'!$B$31:$B$48),$J3199,('Loading-rail'!$E$31:$E$48))*Impacts!$F$15,0)),0)</f>
        <v>0</v>
      </c>
      <c r="T3199" s="10">
        <f>IF(Flare!$C$7="",0,(SUMIF(Flare!$B$46:$B$185,$J3199,Flare!$E$46:$E$185)*Impacts!$F$16))</f>
        <v>0</v>
      </c>
      <c r="U3199" s="10">
        <f>IF(VCU!$C$9="",0,(SUMIF(VCU!$B$51:$B$193,$J3199,VCU!$E$51:$E$193)*Impacts!$F$17))</f>
        <v>0</v>
      </c>
      <c r="V3199" s="10">
        <f>IF(CAS!$C$7="",0,(SUMIF(CAS!$B$31:$B$167,$J3199,CAS!$E$31:$E$167)*Impacts!$F$18))</f>
        <v>0</v>
      </c>
      <c r="W3199" s="10">
        <f t="shared" si="90"/>
        <v>0</v>
      </c>
      <c r="AK3199" s="10" t="str">
        <f t="array" ref="AK3199">IFERROR(INDEX(SelectedSpecies,SMALL(IF(SelectedSpecies=AK$1,ROW(SelectedSpecies)),ROW(3200:3200)),2),"")</f>
        <v/>
      </c>
      <c r="BE3199" s="10"/>
      <c r="BI3199" s="10"/>
    </row>
    <row r="3200" spans="1:61" ht="21" customHeight="1" x14ac:dyDescent="0.25">
      <c r="A3200" s="10"/>
      <c r="B3200" s="10"/>
      <c r="E3200" s="10"/>
      <c r="G3200" s="10"/>
      <c r="I3200" s="436" t="s">
        <v>7196</v>
      </c>
      <c r="J3200" s="26" t="s">
        <v>7195</v>
      </c>
      <c r="K3200" s="10">
        <v>0.33</v>
      </c>
      <c r="L3200" s="73">
        <f>IF(Tank1!$C$23="No control",(SUMIF(Tank1!$B$32:$B$49,$J3200,Tank1!$C$32:$C$49)*Impacts!$F$8),0)</f>
        <v>0</v>
      </c>
      <c r="M3200" s="10">
        <f>IF(Tank2!$C$23="No control",(SUMIF(Tank2!$B$32:$B$49,$J3200,Tank2!$C$32:$C$49)*Impacts!$F$9),0)</f>
        <v>0</v>
      </c>
      <c r="N3200" s="10">
        <f>IF(Tank3!$C$23="No control",(SUMIF(Tank3!$B$32:$B$49,$J3200,Tank3!$C$32:$C$49)*Impacts!$F$10),0)</f>
        <v>0</v>
      </c>
      <c r="O3200" s="10">
        <f>IF(Tank4!$C$23="No control",(SUMIF(Tank4!$B$32:$B$49,$J3200,Tank4!$C$32:$C$49)*Impacts!$F$11),0)</f>
        <v>0</v>
      </c>
      <c r="P3200" s="10">
        <f>IF(Tank5!$C$23="No control",(SUMIF(Tank5!$B$32:$B$49,$J3200,Tank5!$C$32:$C$49)*Impacts!$F$12),0)</f>
        <v>0</v>
      </c>
      <c r="Q3200" s="10">
        <f>IFERROR(IF(('Loading-drum,tote'!$C$21)="No control",SUMIF(('Loading-drum,tote'!$B$31:$B$48),$J3200,('Loading-drum,tote'!$D$31:$D$48))*Impacts!$F$13,IF(('Loading-drum,tote'!$C$21)&lt;&gt;"No control",SUMIF(('Loading-drum,tote'!$B$31:$B$48),$J3200,('Loading-drum,tote'!$E$31:$E$48))*Impacts!$F$13,0)),0)</f>
        <v>0</v>
      </c>
      <c r="R3200" s="10">
        <f>IFERROR(IF(('Loading-truck'!$C$21)="No control",SUMIF(('Loading-truck'!$B$31:$B$48),$J3200,('Loading-truck'!$D$31:$D$48))*Impacts!$F$14,IF(('Loading-truck'!$C$21)&lt;&gt;"No control",SUMIF(('Loading-truck'!$B$31:$B$48),$J3200,('Loading-truck'!$E$31:$E$48))*Impacts!$F$14,0)),0)</f>
        <v>0</v>
      </c>
      <c r="S3200" s="10">
        <f>IFERROR(IF(('Loading-rail'!$C$21)="No control",SUMIF(('Loading-rail'!$B$31:$B$48),$J3200,('Loading-rail'!$D$31:$D$48))*Impacts!$F$15,IF(('Loading-rail'!$C$21)&lt;&gt;"No control",SUMIF(('Loading-rail'!$B$31:$B$48),$J3200,('Loading-rail'!$E$31:$E$48))*Impacts!$F$15,0)),0)</f>
        <v>0</v>
      </c>
      <c r="T3200" s="10">
        <f>IF(Flare!$C$7="",0,(SUMIF(Flare!$B$46:$B$185,$J3200,Flare!$E$46:$E$185)*Impacts!$F$16))</f>
        <v>0</v>
      </c>
      <c r="U3200" s="10">
        <f>IF(VCU!$C$9="",0,(SUMIF(VCU!$B$51:$B$193,$J3200,VCU!$E$51:$E$193)*Impacts!$F$17))</f>
        <v>0</v>
      </c>
      <c r="V3200" s="10">
        <f>IF(CAS!$C$7="",0,(SUMIF(CAS!$B$31:$B$167,$J3200,CAS!$E$31:$E$167)*Impacts!$F$18))</f>
        <v>0</v>
      </c>
      <c r="W3200" s="10">
        <f t="shared" si="90"/>
        <v>0</v>
      </c>
      <c r="AK3200" s="10" t="str">
        <f t="array" ref="AK3200">IFERROR(INDEX(SelectedSpecies,SMALL(IF(SelectedSpecies=AK$1,ROW(SelectedSpecies)),ROW(3201:3201)),2),"")</f>
        <v/>
      </c>
      <c r="BE3200" s="10"/>
      <c r="BI3200" s="10"/>
    </row>
    <row r="3201" spans="1:61" ht="21" customHeight="1" x14ac:dyDescent="0.25">
      <c r="A3201" s="10"/>
      <c r="B3201" s="10"/>
      <c r="E3201" s="10"/>
      <c r="G3201" s="10"/>
      <c r="I3201" s="436" t="s">
        <v>3289</v>
      </c>
      <c r="J3201" s="26" t="s">
        <v>3288</v>
      </c>
      <c r="K3201" s="10">
        <v>10</v>
      </c>
      <c r="L3201" s="73">
        <f>IF(Tank1!$C$23="No control",(SUMIF(Tank1!$B$32:$B$49,$J3201,Tank1!$C$32:$C$49)*Impacts!$F$8),0)</f>
        <v>0</v>
      </c>
      <c r="M3201" s="10">
        <f>IF(Tank2!$C$23="No control",(SUMIF(Tank2!$B$32:$B$49,$J3201,Tank2!$C$32:$C$49)*Impacts!$F$9),0)</f>
        <v>0</v>
      </c>
      <c r="N3201" s="10">
        <f>IF(Tank3!$C$23="No control",(SUMIF(Tank3!$B$32:$B$49,$J3201,Tank3!$C$32:$C$49)*Impacts!$F$10),0)</f>
        <v>0</v>
      </c>
      <c r="O3201" s="10">
        <f>IF(Tank4!$C$23="No control",(SUMIF(Tank4!$B$32:$B$49,$J3201,Tank4!$C$32:$C$49)*Impacts!$F$11),0)</f>
        <v>0</v>
      </c>
      <c r="P3201" s="10">
        <f>IF(Tank5!$C$23="No control",(SUMIF(Tank5!$B$32:$B$49,$J3201,Tank5!$C$32:$C$49)*Impacts!$F$12),0)</f>
        <v>0</v>
      </c>
      <c r="Q3201" s="10">
        <f>IFERROR(IF(('Loading-drum,tote'!$C$21)="No control",SUMIF(('Loading-drum,tote'!$B$31:$B$48),$J3201,('Loading-drum,tote'!$D$31:$D$48))*Impacts!$F$13,IF(('Loading-drum,tote'!$C$21)&lt;&gt;"No control",SUMIF(('Loading-drum,tote'!$B$31:$B$48),$J3201,('Loading-drum,tote'!$E$31:$E$48))*Impacts!$F$13,0)),0)</f>
        <v>0</v>
      </c>
      <c r="R3201" s="10">
        <f>IFERROR(IF(('Loading-truck'!$C$21)="No control",SUMIF(('Loading-truck'!$B$31:$B$48),$J3201,('Loading-truck'!$D$31:$D$48))*Impacts!$F$14,IF(('Loading-truck'!$C$21)&lt;&gt;"No control",SUMIF(('Loading-truck'!$B$31:$B$48),$J3201,('Loading-truck'!$E$31:$E$48))*Impacts!$F$14,0)),0)</f>
        <v>0</v>
      </c>
      <c r="S3201" s="10">
        <f>IFERROR(IF(('Loading-rail'!$C$21)="No control",SUMIF(('Loading-rail'!$B$31:$B$48),$J3201,('Loading-rail'!$D$31:$D$48))*Impacts!$F$15,IF(('Loading-rail'!$C$21)&lt;&gt;"No control",SUMIF(('Loading-rail'!$B$31:$B$48),$J3201,('Loading-rail'!$E$31:$E$48))*Impacts!$F$15,0)),0)</f>
        <v>0</v>
      </c>
      <c r="T3201" s="10">
        <f>IF(Flare!$C$7="",0,(SUMIF(Flare!$B$46:$B$185,$J3201,Flare!$E$46:$E$185)*Impacts!$F$16))</f>
        <v>0</v>
      </c>
      <c r="U3201" s="10">
        <f>IF(VCU!$C$9="",0,(SUMIF(VCU!$B$51:$B$193,$J3201,VCU!$E$51:$E$193)*Impacts!$F$17))</f>
        <v>0</v>
      </c>
      <c r="V3201" s="10">
        <f>IF(CAS!$C$7="",0,(SUMIF(CAS!$B$31:$B$167,$J3201,CAS!$E$31:$E$167)*Impacts!$F$18))</f>
        <v>0</v>
      </c>
      <c r="W3201" s="10">
        <f t="shared" si="90"/>
        <v>0</v>
      </c>
      <c r="AK3201" s="10" t="str">
        <f t="array" ref="AK3201">IFERROR(INDEX(SelectedSpecies,SMALL(IF(SelectedSpecies=AK$1,ROW(SelectedSpecies)),ROW(3202:3202)),2),"")</f>
        <v/>
      </c>
      <c r="BE3201" s="10"/>
      <c r="BI3201" s="10"/>
    </row>
    <row r="3202" spans="1:61" ht="21" customHeight="1" x14ac:dyDescent="0.25">
      <c r="A3202" s="10"/>
      <c r="B3202" s="10"/>
      <c r="E3202" s="10"/>
      <c r="G3202" s="10"/>
      <c r="I3202" s="436" t="s">
        <v>3857</v>
      </c>
      <c r="J3202" s="26" t="s">
        <v>3856</v>
      </c>
      <c r="K3202" s="10">
        <v>6</v>
      </c>
      <c r="L3202" s="73">
        <f>IF(Tank1!$C$23="No control",(SUMIF(Tank1!$B$32:$B$49,$J3202,Tank1!$C$32:$C$49)*Impacts!$F$8),0)</f>
        <v>0</v>
      </c>
      <c r="M3202" s="10">
        <f>IF(Tank2!$C$23="No control",(SUMIF(Tank2!$B$32:$B$49,$J3202,Tank2!$C$32:$C$49)*Impacts!$F$9),0)</f>
        <v>0</v>
      </c>
      <c r="N3202" s="10">
        <f>IF(Tank3!$C$23="No control",(SUMIF(Tank3!$B$32:$B$49,$J3202,Tank3!$C$32:$C$49)*Impacts!$F$10),0)</f>
        <v>0</v>
      </c>
      <c r="O3202" s="10">
        <f>IF(Tank4!$C$23="No control",(SUMIF(Tank4!$B$32:$B$49,$J3202,Tank4!$C$32:$C$49)*Impacts!$F$11),0)</f>
        <v>0</v>
      </c>
      <c r="P3202" s="10">
        <f>IF(Tank5!$C$23="No control",(SUMIF(Tank5!$B$32:$B$49,$J3202,Tank5!$C$32:$C$49)*Impacts!$F$12),0)</f>
        <v>0</v>
      </c>
      <c r="Q3202" s="10">
        <f>IFERROR(IF(('Loading-drum,tote'!$C$21)="No control",SUMIF(('Loading-drum,tote'!$B$31:$B$48),$J3202,('Loading-drum,tote'!$D$31:$D$48))*Impacts!$F$13,IF(('Loading-drum,tote'!$C$21)&lt;&gt;"No control",SUMIF(('Loading-drum,tote'!$B$31:$B$48),$J3202,('Loading-drum,tote'!$E$31:$E$48))*Impacts!$F$13,0)),0)</f>
        <v>0</v>
      </c>
      <c r="R3202" s="10">
        <f>IFERROR(IF(('Loading-truck'!$C$21)="No control",SUMIF(('Loading-truck'!$B$31:$B$48),$J3202,('Loading-truck'!$D$31:$D$48))*Impacts!$F$14,IF(('Loading-truck'!$C$21)&lt;&gt;"No control",SUMIF(('Loading-truck'!$B$31:$B$48),$J3202,('Loading-truck'!$E$31:$E$48))*Impacts!$F$14,0)),0)</f>
        <v>0</v>
      </c>
      <c r="S3202" s="10">
        <f>IFERROR(IF(('Loading-rail'!$C$21)="No control",SUMIF(('Loading-rail'!$B$31:$B$48),$J3202,('Loading-rail'!$D$31:$D$48))*Impacts!$F$15,IF(('Loading-rail'!$C$21)&lt;&gt;"No control",SUMIF(('Loading-rail'!$B$31:$B$48),$J3202,('Loading-rail'!$E$31:$E$48))*Impacts!$F$15,0)),0)</f>
        <v>0</v>
      </c>
      <c r="T3202" s="10">
        <f>IF(Flare!$C$7="",0,(SUMIF(Flare!$B$46:$B$185,$J3202,Flare!$E$46:$E$185)*Impacts!$F$16))</f>
        <v>0</v>
      </c>
      <c r="U3202" s="10">
        <f>IF(VCU!$C$9="",0,(SUMIF(VCU!$B$51:$B$193,$J3202,VCU!$E$51:$E$193)*Impacts!$F$17))</f>
        <v>0</v>
      </c>
      <c r="V3202" s="10">
        <f>IF(CAS!$C$7="",0,(SUMIF(CAS!$B$31:$B$167,$J3202,CAS!$E$31:$E$167)*Impacts!$F$18))</f>
        <v>0</v>
      </c>
      <c r="W3202" s="10">
        <f t="shared" si="90"/>
        <v>0</v>
      </c>
      <c r="AK3202" s="10" t="str">
        <f t="array" ref="AK3202">IFERROR(INDEX(SelectedSpecies,SMALL(IF(SelectedSpecies=AK$1,ROW(SelectedSpecies)),ROW(3203:3203)),2),"")</f>
        <v/>
      </c>
      <c r="BE3202" s="10"/>
      <c r="BI3202" s="10"/>
    </row>
    <row r="3203" spans="1:61" ht="21" customHeight="1" x14ac:dyDescent="0.25">
      <c r="A3203" s="10"/>
      <c r="B3203" s="10"/>
      <c r="E3203" s="10"/>
      <c r="G3203" s="10"/>
      <c r="I3203" s="436" t="s">
        <v>3291</v>
      </c>
      <c r="J3203" s="26" t="s">
        <v>3290</v>
      </c>
      <c r="K3203" s="10">
        <v>10</v>
      </c>
      <c r="L3203" s="73">
        <f>IF(Tank1!$C$23="No control",(SUMIF(Tank1!$B$32:$B$49,$J3203,Tank1!$C$32:$C$49)*Impacts!$F$8),0)</f>
        <v>0</v>
      </c>
      <c r="M3203" s="10">
        <f>IF(Tank2!$C$23="No control",(SUMIF(Tank2!$B$32:$B$49,$J3203,Tank2!$C$32:$C$49)*Impacts!$F$9),0)</f>
        <v>0</v>
      </c>
      <c r="N3203" s="10">
        <f>IF(Tank3!$C$23="No control",(SUMIF(Tank3!$B$32:$B$49,$J3203,Tank3!$C$32:$C$49)*Impacts!$F$10),0)</f>
        <v>0</v>
      </c>
      <c r="O3203" s="10">
        <f>IF(Tank4!$C$23="No control",(SUMIF(Tank4!$B$32:$B$49,$J3203,Tank4!$C$32:$C$49)*Impacts!$F$11),0)</f>
        <v>0</v>
      </c>
      <c r="P3203" s="10">
        <f>IF(Tank5!$C$23="No control",(SUMIF(Tank5!$B$32:$B$49,$J3203,Tank5!$C$32:$C$49)*Impacts!$F$12),0)</f>
        <v>0</v>
      </c>
      <c r="Q3203" s="10">
        <f>IFERROR(IF(('Loading-drum,tote'!$C$21)="No control",SUMIF(('Loading-drum,tote'!$B$31:$B$48),$J3203,('Loading-drum,tote'!$D$31:$D$48))*Impacts!$F$13,IF(('Loading-drum,tote'!$C$21)&lt;&gt;"No control",SUMIF(('Loading-drum,tote'!$B$31:$B$48),$J3203,('Loading-drum,tote'!$E$31:$E$48))*Impacts!$F$13,0)),0)</f>
        <v>0</v>
      </c>
      <c r="R3203" s="10">
        <f>IFERROR(IF(('Loading-truck'!$C$21)="No control",SUMIF(('Loading-truck'!$B$31:$B$48),$J3203,('Loading-truck'!$D$31:$D$48))*Impacts!$F$14,IF(('Loading-truck'!$C$21)&lt;&gt;"No control",SUMIF(('Loading-truck'!$B$31:$B$48),$J3203,('Loading-truck'!$E$31:$E$48))*Impacts!$F$14,0)),0)</f>
        <v>0</v>
      </c>
      <c r="S3203" s="10">
        <f>IFERROR(IF(('Loading-rail'!$C$21)="No control",SUMIF(('Loading-rail'!$B$31:$B$48),$J3203,('Loading-rail'!$D$31:$D$48))*Impacts!$F$15,IF(('Loading-rail'!$C$21)&lt;&gt;"No control",SUMIF(('Loading-rail'!$B$31:$B$48),$J3203,('Loading-rail'!$E$31:$E$48))*Impacts!$F$15,0)),0)</f>
        <v>0</v>
      </c>
      <c r="T3203" s="10">
        <f>IF(Flare!$C$7="",0,(SUMIF(Flare!$B$46:$B$185,$J3203,Flare!$E$46:$E$185)*Impacts!$F$16))</f>
        <v>0</v>
      </c>
      <c r="U3203" s="10">
        <f>IF(VCU!$C$9="",0,(SUMIF(VCU!$B$51:$B$193,$J3203,VCU!$E$51:$E$193)*Impacts!$F$17))</f>
        <v>0</v>
      </c>
      <c r="V3203" s="10">
        <f>IF(CAS!$C$7="",0,(SUMIF(CAS!$B$31:$B$167,$J3203,CAS!$E$31:$E$167)*Impacts!$F$18))</f>
        <v>0</v>
      </c>
      <c r="W3203" s="10">
        <f t="shared" si="90"/>
        <v>0</v>
      </c>
      <c r="AK3203" s="10" t="str">
        <f t="array" ref="AK3203">IFERROR(INDEX(SelectedSpecies,SMALL(IF(SelectedSpecies=AK$1,ROW(SelectedSpecies)),ROW(3204:3204)),2),"")</f>
        <v/>
      </c>
      <c r="BE3203" s="10"/>
      <c r="BI3203" s="10"/>
    </row>
    <row r="3204" spans="1:61" ht="21" customHeight="1" x14ac:dyDescent="0.25">
      <c r="A3204" s="10"/>
      <c r="B3204" s="10"/>
      <c r="E3204" s="10"/>
      <c r="G3204" s="10"/>
      <c r="I3204" s="436" t="s">
        <v>3293</v>
      </c>
      <c r="J3204" s="26" t="s">
        <v>3292</v>
      </c>
      <c r="K3204" s="10">
        <v>10</v>
      </c>
      <c r="L3204" s="73">
        <f>IF(Tank1!$C$23="No control",(SUMIF(Tank1!$B$32:$B$49,$J3204,Tank1!$C$32:$C$49)*Impacts!$F$8),0)</f>
        <v>0</v>
      </c>
      <c r="M3204" s="10">
        <f>IF(Tank2!$C$23="No control",(SUMIF(Tank2!$B$32:$B$49,$J3204,Tank2!$C$32:$C$49)*Impacts!$F$9),0)</f>
        <v>0</v>
      </c>
      <c r="N3204" s="10">
        <f>IF(Tank3!$C$23="No control",(SUMIF(Tank3!$B$32:$B$49,$J3204,Tank3!$C$32:$C$49)*Impacts!$F$10),0)</f>
        <v>0</v>
      </c>
      <c r="O3204" s="10">
        <f>IF(Tank4!$C$23="No control",(SUMIF(Tank4!$B$32:$B$49,$J3204,Tank4!$C$32:$C$49)*Impacts!$F$11),0)</f>
        <v>0</v>
      </c>
      <c r="P3204" s="10">
        <f>IF(Tank5!$C$23="No control",(SUMIF(Tank5!$B$32:$B$49,$J3204,Tank5!$C$32:$C$49)*Impacts!$F$12),0)</f>
        <v>0</v>
      </c>
      <c r="Q3204" s="10">
        <f>IFERROR(IF(('Loading-drum,tote'!$C$21)="No control",SUMIF(('Loading-drum,tote'!$B$31:$B$48),$J3204,('Loading-drum,tote'!$D$31:$D$48))*Impacts!$F$13,IF(('Loading-drum,tote'!$C$21)&lt;&gt;"No control",SUMIF(('Loading-drum,tote'!$B$31:$B$48),$J3204,('Loading-drum,tote'!$E$31:$E$48))*Impacts!$F$13,0)),0)</f>
        <v>0</v>
      </c>
      <c r="R3204" s="10">
        <f>IFERROR(IF(('Loading-truck'!$C$21)="No control",SUMIF(('Loading-truck'!$B$31:$B$48),$J3204,('Loading-truck'!$D$31:$D$48))*Impacts!$F$14,IF(('Loading-truck'!$C$21)&lt;&gt;"No control",SUMIF(('Loading-truck'!$B$31:$B$48),$J3204,('Loading-truck'!$E$31:$E$48))*Impacts!$F$14,0)),0)</f>
        <v>0</v>
      </c>
      <c r="S3204" s="10">
        <f>IFERROR(IF(('Loading-rail'!$C$21)="No control",SUMIF(('Loading-rail'!$B$31:$B$48),$J3204,('Loading-rail'!$D$31:$D$48))*Impacts!$F$15,IF(('Loading-rail'!$C$21)&lt;&gt;"No control",SUMIF(('Loading-rail'!$B$31:$B$48),$J3204,('Loading-rail'!$E$31:$E$48))*Impacts!$F$15,0)),0)</f>
        <v>0</v>
      </c>
      <c r="T3204" s="10">
        <f>IF(Flare!$C$7="",0,(SUMIF(Flare!$B$46:$B$185,$J3204,Flare!$E$46:$E$185)*Impacts!$F$16))</f>
        <v>0</v>
      </c>
      <c r="U3204" s="10">
        <f>IF(VCU!$C$9="",0,(SUMIF(VCU!$B$51:$B$193,$J3204,VCU!$E$51:$E$193)*Impacts!$F$17))</f>
        <v>0</v>
      </c>
      <c r="V3204" s="10">
        <f>IF(CAS!$C$7="",0,(SUMIF(CAS!$B$31:$B$167,$J3204,CAS!$E$31:$E$167)*Impacts!$F$18))</f>
        <v>0</v>
      </c>
      <c r="W3204" s="10">
        <f t="shared" si="90"/>
        <v>0</v>
      </c>
      <c r="AK3204" s="10" t="str">
        <f t="array" ref="AK3204">IFERROR(INDEX(SelectedSpecies,SMALL(IF(SelectedSpecies=AK$1,ROW(SelectedSpecies)),ROW(3205:3205)),2),"")</f>
        <v/>
      </c>
      <c r="BE3204" s="10"/>
      <c r="BI3204" s="10"/>
    </row>
    <row r="3205" spans="1:61" ht="21" customHeight="1" x14ac:dyDescent="0.25">
      <c r="A3205" s="10"/>
      <c r="B3205" s="10"/>
      <c r="E3205" s="10"/>
      <c r="G3205" s="10"/>
      <c r="I3205" s="436" t="s">
        <v>3295</v>
      </c>
      <c r="J3205" s="26" t="s">
        <v>3294</v>
      </c>
      <c r="K3205" s="10">
        <v>10</v>
      </c>
      <c r="L3205" s="73">
        <f>IF(Tank1!$C$23="No control",(SUMIF(Tank1!$B$32:$B$49,$J3205,Tank1!$C$32:$C$49)*Impacts!$F$8),0)</f>
        <v>0</v>
      </c>
      <c r="M3205" s="10">
        <f>IF(Tank2!$C$23="No control",(SUMIF(Tank2!$B$32:$B$49,$J3205,Tank2!$C$32:$C$49)*Impacts!$F$9),0)</f>
        <v>0</v>
      </c>
      <c r="N3205" s="10">
        <f>IF(Tank3!$C$23="No control",(SUMIF(Tank3!$B$32:$B$49,$J3205,Tank3!$C$32:$C$49)*Impacts!$F$10),0)</f>
        <v>0</v>
      </c>
      <c r="O3205" s="10">
        <f>IF(Tank4!$C$23="No control",(SUMIF(Tank4!$B$32:$B$49,$J3205,Tank4!$C$32:$C$49)*Impacts!$F$11),0)</f>
        <v>0</v>
      </c>
      <c r="P3205" s="10">
        <f>IF(Tank5!$C$23="No control",(SUMIF(Tank5!$B$32:$B$49,$J3205,Tank5!$C$32:$C$49)*Impacts!$F$12),0)</f>
        <v>0</v>
      </c>
      <c r="Q3205" s="10">
        <f>IFERROR(IF(('Loading-drum,tote'!$C$21)="No control",SUMIF(('Loading-drum,tote'!$B$31:$B$48),$J3205,('Loading-drum,tote'!$D$31:$D$48))*Impacts!$F$13,IF(('Loading-drum,tote'!$C$21)&lt;&gt;"No control",SUMIF(('Loading-drum,tote'!$B$31:$B$48),$J3205,('Loading-drum,tote'!$E$31:$E$48))*Impacts!$F$13,0)),0)</f>
        <v>0</v>
      </c>
      <c r="R3205" s="10">
        <f>IFERROR(IF(('Loading-truck'!$C$21)="No control",SUMIF(('Loading-truck'!$B$31:$B$48),$J3205,('Loading-truck'!$D$31:$D$48))*Impacts!$F$14,IF(('Loading-truck'!$C$21)&lt;&gt;"No control",SUMIF(('Loading-truck'!$B$31:$B$48),$J3205,('Loading-truck'!$E$31:$E$48))*Impacts!$F$14,0)),0)</f>
        <v>0</v>
      </c>
      <c r="S3205" s="10">
        <f>IFERROR(IF(('Loading-rail'!$C$21)="No control",SUMIF(('Loading-rail'!$B$31:$B$48),$J3205,('Loading-rail'!$D$31:$D$48))*Impacts!$F$15,IF(('Loading-rail'!$C$21)&lt;&gt;"No control",SUMIF(('Loading-rail'!$B$31:$B$48),$J3205,('Loading-rail'!$E$31:$E$48))*Impacts!$F$15,0)),0)</f>
        <v>0</v>
      </c>
      <c r="T3205" s="10">
        <f>IF(Flare!$C$7="",0,(SUMIF(Flare!$B$46:$B$185,$J3205,Flare!$E$46:$E$185)*Impacts!$F$16))</f>
        <v>0</v>
      </c>
      <c r="U3205" s="10">
        <f>IF(VCU!$C$9="",0,(SUMIF(VCU!$B$51:$B$193,$J3205,VCU!$E$51:$E$193)*Impacts!$F$17))</f>
        <v>0</v>
      </c>
      <c r="V3205" s="10">
        <f>IF(CAS!$C$7="",0,(SUMIF(CAS!$B$31:$B$167,$J3205,CAS!$E$31:$E$167)*Impacts!$F$18))</f>
        <v>0</v>
      </c>
      <c r="W3205" s="10">
        <f t="shared" si="90"/>
        <v>0</v>
      </c>
      <c r="AK3205" s="10" t="str">
        <f t="array" ref="AK3205">IFERROR(INDEX(SelectedSpecies,SMALL(IF(SelectedSpecies=AK$1,ROW(SelectedSpecies)),ROW(3206:3206)),2),"")</f>
        <v/>
      </c>
      <c r="BE3205" s="10"/>
      <c r="BI3205" s="10"/>
    </row>
    <row r="3206" spans="1:61" ht="21" customHeight="1" x14ac:dyDescent="0.25">
      <c r="A3206" s="10"/>
      <c r="B3206" s="10"/>
      <c r="E3206" s="10"/>
      <c r="G3206" s="10"/>
      <c r="I3206" s="436" t="s">
        <v>5465</v>
      </c>
      <c r="J3206" s="26" t="s">
        <v>5464</v>
      </c>
      <c r="K3206" s="10">
        <v>1.4000000000000001</v>
      </c>
      <c r="L3206" s="73">
        <f>IF(Tank1!$C$23="No control",(SUMIF(Tank1!$B$32:$B$49,$J3206,Tank1!$C$32:$C$49)*Impacts!$F$8),0)</f>
        <v>0</v>
      </c>
      <c r="M3206" s="10">
        <f>IF(Tank2!$C$23="No control",(SUMIF(Tank2!$B$32:$B$49,$J3206,Tank2!$C$32:$C$49)*Impacts!$F$9),0)</f>
        <v>0</v>
      </c>
      <c r="N3206" s="10">
        <f>IF(Tank3!$C$23="No control",(SUMIF(Tank3!$B$32:$B$49,$J3206,Tank3!$C$32:$C$49)*Impacts!$F$10),0)</f>
        <v>0</v>
      </c>
      <c r="O3206" s="10">
        <f>IF(Tank4!$C$23="No control",(SUMIF(Tank4!$B$32:$B$49,$J3206,Tank4!$C$32:$C$49)*Impacts!$F$11),0)</f>
        <v>0</v>
      </c>
      <c r="P3206" s="10">
        <f>IF(Tank5!$C$23="No control",(SUMIF(Tank5!$B$32:$B$49,$J3206,Tank5!$C$32:$C$49)*Impacts!$F$12),0)</f>
        <v>0</v>
      </c>
      <c r="Q3206" s="10">
        <f>IFERROR(IF(('Loading-drum,tote'!$C$21)="No control",SUMIF(('Loading-drum,tote'!$B$31:$B$48),$J3206,('Loading-drum,tote'!$D$31:$D$48))*Impacts!$F$13,IF(('Loading-drum,tote'!$C$21)&lt;&gt;"No control",SUMIF(('Loading-drum,tote'!$B$31:$B$48),$J3206,('Loading-drum,tote'!$E$31:$E$48))*Impacts!$F$13,0)),0)</f>
        <v>0</v>
      </c>
      <c r="R3206" s="10">
        <f>IFERROR(IF(('Loading-truck'!$C$21)="No control",SUMIF(('Loading-truck'!$B$31:$B$48),$J3206,('Loading-truck'!$D$31:$D$48))*Impacts!$F$14,IF(('Loading-truck'!$C$21)&lt;&gt;"No control",SUMIF(('Loading-truck'!$B$31:$B$48),$J3206,('Loading-truck'!$E$31:$E$48))*Impacts!$F$14,0)),0)</f>
        <v>0</v>
      </c>
      <c r="S3206" s="10">
        <f>IFERROR(IF(('Loading-rail'!$C$21)="No control",SUMIF(('Loading-rail'!$B$31:$B$48),$J3206,('Loading-rail'!$D$31:$D$48))*Impacts!$F$15,IF(('Loading-rail'!$C$21)&lt;&gt;"No control",SUMIF(('Loading-rail'!$B$31:$B$48),$J3206,('Loading-rail'!$E$31:$E$48))*Impacts!$F$15,0)),0)</f>
        <v>0</v>
      </c>
      <c r="T3206" s="10">
        <f>IF(Flare!$C$7="",0,(SUMIF(Flare!$B$46:$B$185,$J3206,Flare!$E$46:$E$185)*Impacts!$F$16))</f>
        <v>0</v>
      </c>
      <c r="U3206" s="10">
        <f>IF(VCU!$C$9="",0,(SUMIF(VCU!$B$51:$B$193,$J3206,VCU!$E$51:$E$193)*Impacts!$F$17))</f>
        <v>0</v>
      </c>
      <c r="V3206" s="10">
        <f>IF(CAS!$C$7="",0,(SUMIF(CAS!$B$31:$B$167,$J3206,CAS!$E$31:$E$167)*Impacts!$F$18))</f>
        <v>0</v>
      </c>
      <c r="W3206" s="10">
        <f t="shared" si="90"/>
        <v>0</v>
      </c>
      <c r="AK3206" s="10" t="str">
        <f t="array" ref="AK3206">IFERROR(INDEX(SelectedSpecies,SMALL(IF(SelectedSpecies=AK$1,ROW(SelectedSpecies)),ROW(3207:3207)),2),"")</f>
        <v/>
      </c>
      <c r="BE3206" s="10"/>
      <c r="BI3206" s="10"/>
    </row>
    <row r="3207" spans="1:61" ht="21" customHeight="1" x14ac:dyDescent="0.25">
      <c r="A3207" s="10"/>
      <c r="B3207" s="10"/>
      <c r="E3207" s="10"/>
      <c r="G3207" s="10"/>
      <c r="I3207" s="436" t="s">
        <v>3297</v>
      </c>
      <c r="J3207" s="26" t="s">
        <v>3296</v>
      </c>
      <c r="K3207" s="10">
        <v>10</v>
      </c>
      <c r="L3207" s="73">
        <f>IF(Tank1!$C$23="No control",(SUMIF(Tank1!$B$32:$B$49,$J3207,Tank1!$C$32:$C$49)*Impacts!$F$8),0)</f>
        <v>0</v>
      </c>
      <c r="M3207" s="10">
        <f>IF(Tank2!$C$23="No control",(SUMIF(Tank2!$B$32:$B$49,$J3207,Tank2!$C$32:$C$49)*Impacts!$F$9),0)</f>
        <v>0</v>
      </c>
      <c r="N3207" s="10">
        <f>IF(Tank3!$C$23="No control",(SUMIF(Tank3!$B$32:$B$49,$J3207,Tank3!$C$32:$C$49)*Impacts!$F$10),0)</f>
        <v>0</v>
      </c>
      <c r="O3207" s="10">
        <f>IF(Tank4!$C$23="No control",(SUMIF(Tank4!$B$32:$B$49,$J3207,Tank4!$C$32:$C$49)*Impacts!$F$11),0)</f>
        <v>0</v>
      </c>
      <c r="P3207" s="10">
        <f>IF(Tank5!$C$23="No control",(SUMIF(Tank5!$B$32:$B$49,$J3207,Tank5!$C$32:$C$49)*Impacts!$F$12),0)</f>
        <v>0</v>
      </c>
      <c r="Q3207" s="10">
        <f>IFERROR(IF(('Loading-drum,tote'!$C$21)="No control",SUMIF(('Loading-drum,tote'!$B$31:$B$48),$J3207,('Loading-drum,tote'!$D$31:$D$48))*Impacts!$F$13,IF(('Loading-drum,tote'!$C$21)&lt;&gt;"No control",SUMIF(('Loading-drum,tote'!$B$31:$B$48),$J3207,('Loading-drum,tote'!$E$31:$E$48))*Impacts!$F$13,0)),0)</f>
        <v>0</v>
      </c>
      <c r="R3207" s="10">
        <f>IFERROR(IF(('Loading-truck'!$C$21)="No control",SUMIF(('Loading-truck'!$B$31:$B$48),$J3207,('Loading-truck'!$D$31:$D$48))*Impacts!$F$14,IF(('Loading-truck'!$C$21)&lt;&gt;"No control",SUMIF(('Loading-truck'!$B$31:$B$48),$J3207,('Loading-truck'!$E$31:$E$48))*Impacts!$F$14,0)),0)</f>
        <v>0</v>
      </c>
      <c r="S3207" s="10">
        <f>IFERROR(IF(('Loading-rail'!$C$21)="No control",SUMIF(('Loading-rail'!$B$31:$B$48),$J3207,('Loading-rail'!$D$31:$D$48))*Impacts!$F$15,IF(('Loading-rail'!$C$21)&lt;&gt;"No control",SUMIF(('Loading-rail'!$B$31:$B$48),$J3207,('Loading-rail'!$E$31:$E$48))*Impacts!$F$15,0)),0)</f>
        <v>0</v>
      </c>
      <c r="T3207" s="10">
        <f>IF(Flare!$C$7="",0,(SUMIF(Flare!$B$46:$B$185,$J3207,Flare!$E$46:$E$185)*Impacts!$F$16))</f>
        <v>0</v>
      </c>
      <c r="U3207" s="10">
        <f>IF(VCU!$C$9="",0,(SUMIF(VCU!$B$51:$B$193,$J3207,VCU!$E$51:$E$193)*Impacts!$F$17))</f>
        <v>0</v>
      </c>
      <c r="V3207" s="10">
        <f>IF(CAS!$C$7="",0,(SUMIF(CAS!$B$31:$B$167,$J3207,CAS!$E$31:$E$167)*Impacts!$F$18))</f>
        <v>0</v>
      </c>
      <c r="W3207" s="10">
        <f t="shared" si="90"/>
        <v>0</v>
      </c>
      <c r="AK3207" s="10" t="str">
        <f t="array" ref="AK3207">IFERROR(INDEX(SelectedSpecies,SMALL(IF(SelectedSpecies=AK$1,ROW(SelectedSpecies)),ROW(3208:3208)),2),"")</f>
        <v/>
      </c>
      <c r="BE3207" s="10"/>
      <c r="BI3207" s="10"/>
    </row>
    <row r="3208" spans="1:61" ht="21" customHeight="1" x14ac:dyDescent="0.25">
      <c r="A3208" s="10"/>
      <c r="B3208" s="10"/>
      <c r="E3208" s="10"/>
      <c r="G3208" s="10"/>
      <c r="I3208" s="436" t="s">
        <v>3299</v>
      </c>
      <c r="J3208" s="26" t="s">
        <v>3298</v>
      </c>
      <c r="K3208" s="10">
        <v>10</v>
      </c>
      <c r="L3208" s="73">
        <f>IF(Tank1!$C$23="No control",(SUMIF(Tank1!$B$32:$B$49,$J3208,Tank1!$C$32:$C$49)*Impacts!$F$8),0)</f>
        <v>0</v>
      </c>
      <c r="M3208" s="10">
        <f>IF(Tank2!$C$23="No control",(SUMIF(Tank2!$B$32:$B$49,$J3208,Tank2!$C$32:$C$49)*Impacts!$F$9),0)</f>
        <v>0</v>
      </c>
      <c r="N3208" s="10">
        <f>IF(Tank3!$C$23="No control",(SUMIF(Tank3!$B$32:$B$49,$J3208,Tank3!$C$32:$C$49)*Impacts!$F$10),0)</f>
        <v>0</v>
      </c>
      <c r="O3208" s="10">
        <f>IF(Tank4!$C$23="No control",(SUMIF(Tank4!$B$32:$B$49,$J3208,Tank4!$C$32:$C$49)*Impacts!$F$11),0)</f>
        <v>0</v>
      </c>
      <c r="P3208" s="10">
        <f>IF(Tank5!$C$23="No control",(SUMIF(Tank5!$B$32:$B$49,$J3208,Tank5!$C$32:$C$49)*Impacts!$F$12),0)</f>
        <v>0</v>
      </c>
      <c r="Q3208" s="10">
        <f>IFERROR(IF(('Loading-drum,tote'!$C$21)="No control",SUMIF(('Loading-drum,tote'!$B$31:$B$48),$J3208,('Loading-drum,tote'!$D$31:$D$48))*Impacts!$F$13,IF(('Loading-drum,tote'!$C$21)&lt;&gt;"No control",SUMIF(('Loading-drum,tote'!$B$31:$B$48),$J3208,('Loading-drum,tote'!$E$31:$E$48))*Impacts!$F$13,0)),0)</f>
        <v>0</v>
      </c>
      <c r="R3208" s="10">
        <f>IFERROR(IF(('Loading-truck'!$C$21)="No control",SUMIF(('Loading-truck'!$B$31:$B$48),$J3208,('Loading-truck'!$D$31:$D$48))*Impacts!$F$14,IF(('Loading-truck'!$C$21)&lt;&gt;"No control",SUMIF(('Loading-truck'!$B$31:$B$48),$J3208,('Loading-truck'!$E$31:$E$48))*Impacts!$F$14,0)),0)</f>
        <v>0</v>
      </c>
      <c r="S3208" s="10">
        <f>IFERROR(IF(('Loading-rail'!$C$21)="No control",SUMIF(('Loading-rail'!$B$31:$B$48),$J3208,('Loading-rail'!$D$31:$D$48))*Impacts!$F$15,IF(('Loading-rail'!$C$21)&lt;&gt;"No control",SUMIF(('Loading-rail'!$B$31:$B$48),$J3208,('Loading-rail'!$E$31:$E$48))*Impacts!$F$15,0)),0)</f>
        <v>0</v>
      </c>
      <c r="T3208" s="10">
        <f>IF(Flare!$C$7="",0,(SUMIF(Flare!$B$46:$B$185,$J3208,Flare!$E$46:$E$185)*Impacts!$F$16))</f>
        <v>0</v>
      </c>
      <c r="U3208" s="10">
        <f>IF(VCU!$C$9="",0,(SUMIF(VCU!$B$51:$B$193,$J3208,VCU!$E$51:$E$193)*Impacts!$F$17))</f>
        <v>0</v>
      </c>
      <c r="V3208" s="10">
        <f>IF(CAS!$C$7="",0,(SUMIF(CAS!$B$31:$B$167,$J3208,CAS!$E$31:$E$167)*Impacts!$F$18))</f>
        <v>0</v>
      </c>
      <c r="W3208" s="10">
        <f t="shared" si="90"/>
        <v>0</v>
      </c>
      <c r="AK3208" s="10" t="str">
        <f t="array" ref="AK3208">IFERROR(INDEX(SelectedSpecies,SMALL(IF(SelectedSpecies=AK$1,ROW(SelectedSpecies)),ROW(3209:3209)),2),"")</f>
        <v/>
      </c>
      <c r="BE3208" s="10"/>
      <c r="BI3208" s="10"/>
    </row>
    <row r="3209" spans="1:61" ht="21" customHeight="1" x14ac:dyDescent="0.25">
      <c r="A3209" s="10"/>
      <c r="B3209" s="10"/>
      <c r="E3209" s="10"/>
      <c r="G3209" s="10"/>
      <c r="I3209" s="436" t="s">
        <v>3301</v>
      </c>
      <c r="J3209" s="26" t="s">
        <v>3300</v>
      </c>
      <c r="K3209" s="10">
        <v>10</v>
      </c>
      <c r="L3209" s="73">
        <f>IF(Tank1!$C$23="No control",(SUMIF(Tank1!$B$32:$B$49,$J3209,Tank1!$C$32:$C$49)*Impacts!$F$8),0)</f>
        <v>0</v>
      </c>
      <c r="M3209" s="10">
        <f>IF(Tank2!$C$23="No control",(SUMIF(Tank2!$B$32:$B$49,$J3209,Tank2!$C$32:$C$49)*Impacts!$F$9),0)</f>
        <v>0</v>
      </c>
      <c r="N3209" s="10">
        <f>IF(Tank3!$C$23="No control",(SUMIF(Tank3!$B$32:$B$49,$J3209,Tank3!$C$32:$C$49)*Impacts!$F$10),0)</f>
        <v>0</v>
      </c>
      <c r="O3209" s="10">
        <f>IF(Tank4!$C$23="No control",(SUMIF(Tank4!$B$32:$B$49,$J3209,Tank4!$C$32:$C$49)*Impacts!$F$11),0)</f>
        <v>0</v>
      </c>
      <c r="P3209" s="10">
        <f>IF(Tank5!$C$23="No control",(SUMIF(Tank5!$B$32:$B$49,$J3209,Tank5!$C$32:$C$49)*Impacts!$F$12),0)</f>
        <v>0</v>
      </c>
      <c r="Q3209" s="10">
        <f>IFERROR(IF(('Loading-drum,tote'!$C$21)="No control",SUMIF(('Loading-drum,tote'!$B$31:$B$48),$J3209,('Loading-drum,tote'!$D$31:$D$48))*Impacts!$F$13,IF(('Loading-drum,tote'!$C$21)&lt;&gt;"No control",SUMIF(('Loading-drum,tote'!$B$31:$B$48),$J3209,('Loading-drum,tote'!$E$31:$E$48))*Impacts!$F$13,0)),0)</f>
        <v>0</v>
      </c>
      <c r="R3209" s="10">
        <f>IFERROR(IF(('Loading-truck'!$C$21)="No control",SUMIF(('Loading-truck'!$B$31:$B$48),$J3209,('Loading-truck'!$D$31:$D$48))*Impacts!$F$14,IF(('Loading-truck'!$C$21)&lt;&gt;"No control",SUMIF(('Loading-truck'!$B$31:$B$48),$J3209,('Loading-truck'!$E$31:$E$48))*Impacts!$F$14,0)),0)</f>
        <v>0</v>
      </c>
      <c r="S3209" s="10">
        <f>IFERROR(IF(('Loading-rail'!$C$21)="No control",SUMIF(('Loading-rail'!$B$31:$B$48),$J3209,('Loading-rail'!$D$31:$D$48))*Impacts!$F$15,IF(('Loading-rail'!$C$21)&lt;&gt;"No control",SUMIF(('Loading-rail'!$B$31:$B$48),$J3209,('Loading-rail'!$E$31:$E$48))*Impacts!$F$15,0)),0)</f>
        <v>0</v>
      </c>
      <c r="T3209" s="10">
        <f>IF(Flare!$C$7="",0,(SUMIF(Flare!$B$46:$B$185,$J3209,Flare!$E$46:$E$185)*Impacts!$F$16))</f>
        <v>0</v>
      </c>
      <c r="U3209" s="10">
        <f>IF(VCU!$C$9="",0,(SUMIF(VCU!$B$51:$B$193,$J3209,VCU!$E$51:$E$193)*Impacts!$F$17))</f>
        <v>0</v>
      </c>
      <c r="V3209" s="10">
        <f>IF(CAS!$C$7="",0,(SUMIF(CAS!$B$31:$B$167,$J3209,CAS!$E$31:$E$167)*Impacts!$F$18))</f>
        <v>0</v>
      </c>
      <c r="W3209" s="10">
        <f t="shared" si="90"/>
        <v>0</v>
      </c>
      <c r="AK3209" s="10" t="str">
        <f t="array" ref="AK3209">IFERROR(INDEX(SelectedSpecies,SMALL(IF(SelectedSpecies=AK$1,ROW(SelectedSpecies)),ROW(3210:3210)),2),"")</f>
        <v/>
      </c>
      <c r="BE3209" s="10"/>
      <c r="BI3209" s="10"/>
    </row>
    <row r="3210" spans="1:61" ht="21" customHeight="1" x14ac:dyDescent="0.25">
      <c r="A3210" s="10"/>
      <c r="B3210" s="10"/>
      <c r="E3210" s="10"/>
      <c r="G3210" s="10"/>
      <c r="I3210" s="436" t="s">
        <v>4603</v>
      </c>
      <c r="J3210" s="26" t="s">
        <v>4602</v>
      </c>
      <c r="K3210" s="10">
        <v>4</v>
      </c>
      <c r="L3210" s="73">
        <f>IF(Tank1!$C$23="No control",(SUMIF(Tank1!$B$32:$B$49,$J3210,Tank1!$C$32:$C$49)*Impacts!$F$8),0)</f>
        <v>0</v>
      </c>
      <c r="M3210" s="10">
        <f>IF(Tank2!$C$23="No control",(SUMIF(Tank2!$B$32:$B$49,$J3210,Tank2!$C$32:$C$49)*Impacts!$F$9),0)</f>
        <v>0</v>
      </c>
      <c r="N3210" s="10">
        <f>IF(Tank3!$C$23="No control",(SUMIF(Tank3!$B$32:$B$49,$J3210,Tank3!$C$32:$C$49)*Impacts!$F$10),0)</f>
        <v>0</v>
      </c>
      <c r="O3210" s="10">
        <f>IF(Tank4!$C$23="No control",(SUMIF(Tank4!$B$32:$B$49,$J3210,Tank4!$C$32:$C$49)*Impacts!$F$11),0)</f>
        <v>0</v>
      </c>
      <c r="P3210" s="10">
        <f>IF(Tank5!$C$23="No control",(SUMIF(Tank5!$B$32:$B$49,$J3210,Tank5!$C$32:$C$49)*Impacts!$F$12),0)</f>
        <v>0</v>
      </c>
      <c r="Q3210" s="10">
        <f>IFERROR(IF(('Loading-drum,tote'!$C$21)="No control",SUMIF(('Loading-drum,tote'!$B$31:$B$48),$J3210,('Loading-drum,tote'!$D$31:$D$48))*Impacts!$F$13,IF(('Loading-drum,tote'!$C$21)&lt;&gt;"No control",SUMIF(('Loading-drum,tote'!$B$31:$B$48),$J3210,('Loading-drum,tote'!$E$31:$E$48))*Impacts!$F$13,0)),0)</f>
        <v>0</v>
      </c>
      <c r="R3210" s="10">
        <f>IFERROR(IF(('Loading-truck'!$C$21)="No control",SUMIF(('Loading-truck'!$B$31:$B$48),$J3210,('Loading-truck'!$D$31:$D$48))*Impacts!$F$14,IF(('Loading-truck'!$C$21)&lt;&gt;"No control",SUMIF(('Loading-truck'!$B$31:$B$48),$J3210,('Loading-truck'!$E$31:$E$48))*Impacts!$F$14,0)),0)</f>
        <v>0</v>
      </c>
      <c r="S3210" s="10">
        <f>IFERROR(IF(('Loading-rail'!$C$21)="No control",SUMIF(('Loading-rail'!$B$31:$B$48),$J3210,('Loading-rail'!$D$31:$D$48))*Impacts!$F$15,IF(('Loading-rail'!$C$21)&lt;&gt;"No control",SUMIF(('Loading-rail'!$B$31:$B$48),$J3210,('Loading-rail'!$E$31:$E$48))*Impacts!$F$15,0)),0)</f>
        <v>0</v>
      </c>
      <c r="T3210" s="10">
        <f>IF(Flare!$C$7="",0,(SUMIF(Flare!$B$46:$B$185,$J3210,Flare!$E$46:$E$185)*Impacts!$F$16))</f>
        <v>0</v>
      </c>
      <c r="U3210" s="10">
        <f>IF(VCU!$C$9="",0,(SUMIF(VCU!$B$51:$B$193,$J3210,VCU!$E$51:$E$193)*Impacts!$F$17))</f>
        <v>0</v>
      </c>
      <c r="V3210" s="10">
        <f>IF(CAS!$C$7="",0,(SUMIF(CAS!$B$31:$B$167,$J3210,CAS!$E$31:$E$167)*Impacts!$F$18))</f>
        <v>0</v>
      </c>
      <c r="W3210" s="10">
        <f t="shared" si="90"/>
        <v>0</v>
      </c>
      <c r="AK3210" s="10" t="str">
        <f t="array" ref="AK3210">IFERROR(INDEX(SelectedSpecies,SMALL(IF(SelectedSpecies=AK$1,ROW(SelectedSpecies)),ROW(3211:3211)),2),"")</f>
        <v/>
      </c>
      <c r="BE3210" s="10"/>
      <c r="BI3210" s="10"/>
    </row>
    <row r="3211" spans="1:61" ht="21" customHeight="1" x14ac:dyDescent="0.25">
      <c r="A3211" s="10"/>
      <c r="B3211" s="10"/>
      <c r="E3211" s="10"/>
      <c r="G3211" s="10"/>
      <c r="I3211" s="436" t="s">
        <v>3303</v>
      </c>
      <c r="J3211" s="26" t="s">
        <v>3302</v>
      </c>
      <c r="K3211" s="10">
        <v>10</v>
      </c>
      <c r="L3211" s="73">
        <f>IF(Tank1!$C$23="No control",(SUMIF(Tank1!$B$32:$B$49,$J3211,Tank1!$C$32:$C$49)*Impacts!$F$8),0)</f>
        <v>0</v>
      </c>
      <c r="M3211" s="10">
        <f>IF(Tank2!$C$23="No control",(SUMIF(Tank2!$B$32:$B$49,$J3211,Tank2!$C$32:$C$49)*Impacts!$F$9),0)</f>
        <v>0</v>
      </c>
      <c r="N3211" s="10">
        <f>IF(Tank3!$C$23="No control",(SUMIF(Tank3!$B$32:$B$49,$J3211,Tank3!$C$32:$C$49)*Impacts!$F$10),0)</f>
        <v>0</v>
      </c>
      <c r="O3211" s="10">
        <f>IF(Tank4!$C$23="No control",(SUMIF(Tank4!$B$32:$B$49,$J3211,Tank4!$C$32:$C$49)*Impacts!$F$11),0)</f>
        <v>0</v>
      </c>
      <c r="P3211" s="10">
        <f>IF(Tank5!$C$23="No control",(SUMIF(Tank5!$B$32:$B$49,$J3211,Tank5!$C$32:$C$49)*Impacts!$F$12),0)</f>
        <v>0</v>
      </c>
      <c r="Q3211" s="10">
        <f>IFERROR(IF(('Loading-drum,tote'!$C$21)="No control",SUMIF(('Loading-drum,tote'!$B$31:$B$48),$J3211,('Loading-drum,tote'!$D$31:$D$48))*Impacts!$F$13,IF(('Loading-drum,tote'!$C$21)&lt;&gt;"No control",SUMIF(('Loading-drum,tote'!$B$31:$B$48),$J3211,('Loading-drum,tote'!$E$31:$E$48))*Impacts!$F$13,0)),0)</f>
        <v>0</v>
      </c>
      <c r="R3211" s="10">
        <f>IFERROR(IF(('Loading-truck'!$C$21)="No control",SUMIF(('Loading-truck'!$B$31:$B$48),$J3211,('Loading-truck'!$D$31:$D$48))*Impacts!$F$14,IF(('Loading-truck'!$C$21)&lt;&gt;"No control",SUMIF(('Loading-truck'!$B$31:$B$48),$J3211,('Loading-truck'!$E$31:$E$48))*Impacts!$F$14,0)),0)</f>
        <v>0</v>
      </c>
      <c r="S3211" s="10">
        <f>IFERROR(IF(('Loading-rail'!$C$21)="No control",SUMIF(('Loading-rail'!$B$31:$B$48),$J3211,('Loading-rail'!$D$31:$D$48))*Impacts!$F$15,IF(('Loading-rail'!$C$21)&lt;&gt;"No control",SUMIF(('Loading-rail'!$B$31:$B$48),$J3211,('Loading-rail'!$E$31:$E$48))*Impacts!$F$15,0)),0)</f>
        <v>0</v>
      </c>
      <c r="T3211" s="10">
        <f>IF(Flare!$C$7="",0,(SUMIF(Flare!$B$46:$B$185,$J3211,Flare!$E$46:$E$185)*Impacts!$F$16))</f>
        <v>0</v>
      </c>
      <c r="U3211" s="10">
        <f>IF(VCU!$C$9="",0,(SUMIF(VCU!$B$51:$B$193,$J3211,VCU!$E$51:$E$193)*Impacts!$F$17))</f>
        <v>0</v>
      </c>
      <c r="V3211" s="10">
        <f>IF(CAS!$C$7="",0,(SUMIF(CAS!$B$31:$B$167,$J3211,CAS!$E$31:$E$167)*Impacts!$F$18))</f>
        <v>0</v>
      </c>
      <c r="W3211" s="10">
        <f t="shared" si="90"/>
        <v>0</v>
      </c>
      <c r="AK3211" s="10" t="str">
        <f t="array" ref="AK3211">IFERROR(INDEX(SelectedSpecies,SMALL(IF(SelectedSpecies=AK$1,ROW(SelectedSpecies)),ROW(3212:3212)),2),"")</f>
        <v/>
      </c>
      <c r="BE3211" s="10"/>
      <c r="BI3211" s="10"/>
    </row>
    <row r="3212" spans="1:61" ht="21" customHeight="1" x14ac:dyDescent="0.25">
      <c r="A3212" s="10"/>
      <c r="B3212" s="10"/>
      <c r="E3212" s="10"/>
      <c r="G3212" s="10"/>
      <c r="I3212" s="436" t="s">
        <v>3305</v>
      </c>
      <c r="J3212" s="26" t="s">
        <v>3304</v>
      </c>
      <c r="K3212" s="10">
        <v>10</v>
      </c>
      <c r="L3212" s="73">
        <f>IF(Tank1!$C$23="No control",(SUMIF(Tank1!$B$32:$B$49,$J3212,Tank1!$C$32:$C$49)*Impacts!$F$8),0)</f>
        <v>0</v>
      </c>
      <c r="M3212" s="10">
        <f>IF(Tank2!$C$23="No control",(SUMIF(Tank2!$B$32:$B$49,$J3212,Tank2!$C$32:$C$49)*Impacts!$F$9),0)</f>
        <v>0</v>
      </c>
      <c r="N3212" s="10">
        <f>IF(Tank3!$C$23="No control",(SUMIF(Tank3!$B$32:$B$49,$J3212,Tank3!$C$32:$C$49)*Impacts!$F$10),0)</f>
        <v>0</v>
      </c>
      <c r="O3212" s="10">
        <f>IF(Tank4!$C$23="No control",(SUMIF(Tank4!$B$32:$B$49,$J3212,Tank4!$C$32:$C$49)*Impacts!$F$11),0)</f>
        <v>0</v>
      </c>
      <c r="P3212" s="10">
        <f>IF(Tank5!$C$23="No control",(SUMIF(Tank5!$B$32:$B$49,$J3212,Tank5!$C$32:$C$49)*Impacts!$F$12),0)</f>
        <v>0</v>
      </c>
      <c r="Q3212" s="10">
        <f>IFERROR(IF(('Loading-drum,tote'!$C$21)="No control",SUMIF(('Loading-drum,tote'!$B$31:$B$48),$J3212,('Loading-drum,tote'!$D$31:$D$48))*Impacts!$F$13,IF(('Loading-drum,tote'!$C$21)&lt;&gt;"No control",SUMIF(('Loading-drum,tote'!$B$31:$B$48),$J3212,('Loading-drum,tote'!$E$31:$E$48))*Impacts!$F$13,0)),0)</f>
        <v>0</v>
      </c>
      <c r="R3212" s="10">
        <f>IFERROR(IF(('Loading-truck'!$C$21)="No control",SUMIF(('Loading-truck'!$B$31:$B$48),$J3212,('Loading-truck'!$D$31:$D$48))*Impacts!$F$14,IF(('Loading-truck'!$C$21)&lt;&gt;"No control",SUMIF(('Loading-truck'!$B$31:$B$48),$J3212,('Loading-truck'!$E$31:$E$48))*Impacts!$F$14,0)),0)</f>
        <v>0</v>
      </c>
      <c r="S3212" s="10">
        <f>IFERROR(IF(('Loading-rail'!$C$21)="No control",SUMIF(('Loading-rail'!$B$31:$B$48),$J3212,('Loading-rail'!$D$31:$D$48))*Impacts!$F$15,IF(('Loading-rail'!$C$21)&lt;&gt;"No control",SUMIF(('Loading-rail'!$B$31:$B$48),$J3212,('Loading-rail'!$E$31:$E$48))*Impacts!$F$15,0)),0)</f>
        <v>0</v>
      </c>
      <c r="T3212" s="10">
        <f>IF(Flare!$C$7="",0,(SUMIF(Flare!$B$46:$B$185,$J3212,Flare!$E$46:$E$185)*Impacts!$F$16))</f>
        <v>0</v>
      </c>
      <c r="U3212" s="10">
        <f>IF(VCU!$C$9="",0,(SUMIF(VCU!$B$51:$B$193,$J3212,VCU!$E$51:$E$193)*Impacts!$F$17))</f>
        <v>0</v>
      </c>
      <c r="V3212" s="10">
        <f>IF(CAS!$C$7="",0,(SUMIF(CAS!$B$31:$B$167,$J3212,CAS!$E$31:$E$167)*Impacts!$F$18))</f>
        <v>0</v>
      </c>
      <c r="W3212" s="10">
        <f t="shared" si="90"/>
        <v>0</v>
      </c>
      <c r="AK3212" s="10" t="str">
        <f t="array" ref="AK3212">IFERROR(INDEX(SelectedSpecies,SMALL(IF(SelectedSpecies=AK$1,ROW(SelectedSpecies)),ROW(3213:3213)),2),"")</f>
        <v/>
      </c>
      <c r="BE3212" s="10"/>
      <c r="BI3212" s="10"/>
    </row>
    <row r="3213" spans="1:61" ht="21" customHeight="1" x14ac:dyDescent="0.25">
      <c r="A3213" s="10"/>
      <c r="B3213" s="10"/>
      <c r="E3213" s="10"/>
      <c r="G3213" s="10"/>
      <c r="I3213" s="436" t="s">
        <v>3307</v>
      </c>
      <c r="J3213" s="26" t="s">
        <v>3306</v>
      </c>
      <c r="K3213" s="10">
        <v>10</v>
      </c>
      <c r="L3213" s="73">
        <f>IF(Tank1!$C$23="No control",(SUMIF(Tank1!$B$32:$B$49,$J3213,Tank1!$C$32:$C$49)*Impacts!$F$8),0)</f>
        <v>0</v>
      </c>
      <c r="M3213" s="10">
        <f>IF(Tank2!$C$23="No control",(SUMIF(Tank2!$B$32:$B$49,$J3213,Tank2!$C$32:$C$49)*Impacts!$F$9),0)</f>
        <v>0</v>
      </c>
      <c r="N3213" s="10">
        <f>IF(Tank3!$C$23="No control",(SUMIF(Tank3!$B$32:$B$49,$J3213,Tank3!$C$32:$C$49)*Impacts!$F$10),0)</f>
        <v>0</v>
      </c>
      <c r="O3213" s="10">
        <f>IF(Tank4!$C$23="No control",(SUMIF(Tank4!$B$32:$B$49,$J3213,Tank4!$C$32:$C$49)*Impacts!$F$11),0)</f>
        <v>0</v>
      </c>
      <c r="P3213" s="10">
        <f>IF(Tank5!$C$23="No control",(SUMIF(Tank5!$B$32:$B$49,$J3213,Tank5!$C$32:$C$49)*Impacts!$F$12),0)</f>
        <v>0</v>
      </c>
      <c r="Q3213" s="10">
        <f>IFERROR(IF(('Loading-drum,tote'!$C$21)="No control",SUMIF(('Loading-drum,tote'!$B$31:$B$48),$J3213,('Loading-drum,tote'!$D$31:$D$48))*Impacts!$F$13,IF(('Loading-drum,tote'!$C$21)&lt;&gt;"No control",SUMIF(('Loading-drum,tote'!$B$31:$B$48),$J3213,('Loading-drum,tote'!$E$31:$E$48))*Impacts!$F$13,0)),0)</f>
        <v>0</v>
      </c>
      <c r="R3213" s="10">
        <f>IFERROR(IF(('Loading-truck'!$C$21)="No control",SUMIF(('Loading-truck'!$B$31:$B$48),$J3213,('Loading-truck'!$D$31:$D$48))*Impacts!$F$14,IF(('Loading-truck'!$C$21)&lt;&gt;"No control",SUMIF(('Loading-truck'!$B$31:$B$48),$J3213,('Loading-truck'!$E$31:$E$48))*Impacts!$F$14,0)),0)</f>
        <v>0</v>
      </c>
      <c r="S3213" s="10">
        <f>IFERROR(IF(('Loading-rail'!$C$21)="No control",SUMIF(('Loading-rail'!$B$31:$B$48),$J3213,('Loading-rail'!$D$31:$D$48))*Impacts!$F$15,IF(('Loading-rail'!$C$21)&lt;&gt;"No control",SUMIF(('Loading-rail'!$B$31:$B$48),$J3213,('Loading-rail'!$E$31:$E$48))*Impacts!$F$15,0)),0)</f>
        <v>0</v>
      </c>
      <c r="T3213" s="10">
        <f>IF(Flare!$C$7="",0,(SUMIF(Flare!$B$46:$B$185,$J3213,Flare!$E$46:$E$185)*Impacts!$F$16))</f>
        <v>0</v>
      </c>
      <c r="U3213" s="10">
        <f>IF(VCU!$C$9="",0,(SUMIF(VCU!$B$51:$B$193,$J3213,VCU!$E$51:$E$193)*Impacts!$F$17))</f>
        <v>0</v>
      </c>
      <c r="V3213" s="10">
        <f>IF(CAS!$C$7="",0,(SUMIF(CAS!$B$31:$B$167,$J3213,CAS!$E$31:$E$167)*Impacts!$F$18))</f>
        <v>0</v>
      </c>
      <c r="W3213" s="10">
        <f t="shared" si="90"/>
        <v>0</v>
      </c>
      <c r="AK3213" s="10" t="str">
        <f t="array" ref="AK3213">IFERROR(INDEX(SelectedSpecies,SMALL(IF(SelectedSpecies=AK$1,ROW(SelectedSpecies)),ROW(3214:3214)),2),"")</f>
        <v/>
      </c>
      <c r="BE3213" s="10"/>
      <c r="BI3213" s="10"/>
    </row>
    <row r="3214" spans="1:61" ht="21" customHeight="1" x14ac:dyDescent="0.25">
      <c r="A3214" s="10"/>
      <c r="B3214" s="10"/>
      <c r="E3214" s="10"/>
      <c r="G3214" s="10"/>
      <c r="I3214" s="436" t="s">
        <v>3309</v>
      </c>
      <c r="J3214" s="26" t="s">
        <v>3308</v>
      </c>
      <c r="K3214" s="10">
        <v>10</v>
      </c>
      <c r="L3214" s="73">
        <f>IF(Tank1!$C$23="No control",(SUMIF(Tank1!$B$32:$B$49,$J3214,Tank1!$C$32:$C$49)*Impacts!$F$8),0)</f>
        <v>0</v>
      </c>
      <c r="M3214" s="10">
        <f>IF(Tank2!$C$23="No control",(SUMIF(Tank2!$B$32:$B$49,$J3214,Tank2!$C$32:$C$49)*Impacts!$F$9),0)</f>
        <v>0</v>
      </c>
      <c r="N3214" s="10">
        <f>IF(Tank3!$C$23="No control",(SUMIF(Tank3!$B$32:$B$49,$J3214,Tank3!$C$32:$C$49)*Impacts!$F$10),0)</f>
        <v>0</v>
      </c>
      <c r="O3214" s="10">
        <f>IF(Tank4!$C$23="No control",(SUMIF(Tank4!$B$32:$B$49,$J3214,Tank4!$C$32:$C$49)*Impacts!$F$11),0)</f>
        <v>0</v>
      </c>
      <c r="P3214" s="10">
        <f>IF(Tank5!$C$23="No control",(SUMIF(Tank5!$B$32:$B$49,$J3214,Tank5!$C$32:$C$49)*Impacts!$F$12),0)</f>
        <v>0</v>
      </c>
      <c r="Q3214" s="10">
        <f>IFERROR(IF(('Loading-drum,tote'!$C$21)="No control",SUMIF(('Loading-drum,tote'!$B$31:$B$48),$J3214,('Loading-drum,tote'!$D$31:$D$48))*Impacts!$F$13,IF(('Loading-drum,tote'!$C$21)&lt;&gt;"No control",SUMIF(('Loading-drum,tote'!$B$31:$B$48),$J3214,('Loading-drum,tote'!$E$31:$E$48))*Impacts!$F$13,0)),0)</f>
        <v>0</v>
      </c>
      <c r="R3214" s="10">
        <f>IFERROR(IF(('Loading-truck'!$C$21)="No control",SUMIF(('Loading-truck'!$B$31:$B$48),$J3214,('Loading-truck'!$D$31:$D$48))*Impacts!$F$14,IF(('Loading-truck'!$C$21)&lt;&gt;"No control",SUMIF(('Loading-truck'!$B$31:$B$48),$J3214,('Loading-truck'!$E$31:$E$48))*Impacts!$F$14,0)),0)</f>
        <v>0</v>
      </c>
      <c r="S3214" s="10">
        <f>IFERROR(IF(('Loading-rail'!$C$21)="No control",SUMIF(('Loading-rail'!$B$31:$B$48),$J3214,('Loading-rail'!$D$31:$D$48))*Impacts!$F$15,IF(('Loading-rail'!$C$21)&lt;&gt;"No control",SUMIF(('Loading-rail'!$B$31:$B$48),$J3214,('Loading-rail'!$E$31:$E$48))*Impacts!$F$15,0)),0)</f>
        <v>0</v>
      </c>
      <c r="T3214" s="10">
        <f>IF(Flare!$C$7="",0,(SUMIF(Flare!$B$46:$B$185,$J3214,Flare!$E$46:$E$185)*Impacts!$F$16))</f>
        <v>0</v>
      </c>
      <c r="U3214" s="10">
        <f>IF(VCU!$C$9="",0,(SUMIF(VCU!$B$51:$B$193,$J3214,VCU!$E$51:$E$193)*Impacts!$F$17))</f>
        <v>0</v>
      </c>
      <c r="V3214" s="10">
        <f>IF(CAS!$C$7="",0,(SUMIF(CAS!$B$31:$B$167,$J3214,CAS!$E$31:$E$167)*Impacts!$F$18))</f>
        <v>0</v>
      </c>
      <c r="W3214" s="10">
        <f t="shared" si="90"/>
        <v>0</v>
      </c>
      <c r="AK3214" s="10" t="str">
        <f t="array" ref="AK3214">IFERROR(INDEX(SelectedSpecies,SMALL(IF(SelectedSpecies=AK$1,ROW(SelectedSpecies)),ROW(3215:3215)),2),"")</f>
        <v/>
      </c>
      <c r="BE3214" s="10"/>
      <c r="BI3214" s="10"/>
    </row>
    <row r="3215" spans="1:61" ht="21" customHeight="1" x14ac:dyDescent="0.25">
      <c r="A3215" s="10"/>
      <c r="B3215" s="10"/>
      <c r="E3215" s="10"/>
      <c r="G3215" s="10"/>
      <c r="I3215" s="436" t="s">
        <v>3311</v>
      </c>
      <c r="J3215" s="26" t="s">
        <v>3310</v>
      </c>
      <c r="K3215" s="10">
        <v>10</v>
      </c>
      <c r="L3215" s="73">
        <f>IF(Tank1!$C$23="No control",(SUMIF(Tank1!$B$32:$B$49,$J3215,Tank1!$C$32:$C$49)*Impacts!$F$8),0)</f>
        <v>0</v>
      </c>
      <c r="M3215" s="10">
        <f>IF(Tank2!$C$23="No control",(SUMIF(Tank2!$B$32:$B$49,$J3215,Tank2!$C$32:$C$49)*Impacts!$F$9),0)</f>
        <v>0</v>
      </c>
      <c r="N3215" s="10">
        <f>IF(Tank3!$C$23="No control",(SUMIF(Tank3!$B$32:$B$49,$J3215,Tank3!$C$32:$C$49)*Impacts!$F$10),0)</f>
        <v>0</v>
      </c>
      <c r="O3215" s="10">
        <f>IF(Tank4!$C$23="No control",(SUMIF(Tank4!$B$32:$B$49,$J3215,Tank4!$C$32:$C$49)*Impacts!$F$11),0)</f>
        <v>0</v>
      </c>
      <c r="P3215" s="10">
        <f>IF(Tank5!$C$23="No control",(SUMIF(Tank5!$B$32:$B$49,$J3215,Tank5!$C$32:$C$49)*Impacts!$F$12),0)</f>
        <v>0</v>
      </c>
      <c r="Q3215" s="10">
        <f>IFERROR(IF(('Loading-drum,tote'!$C$21)="No control",SUMIF(('Loading-drum,tote'!$B$31:$B$48),$J3215,('Loading-drum,tote'!$D$31:$D$48))*Impacts!$F$13,IF(('Loading-drum,tote'!$C$21)&lt;&gt;"No control",SUMIF(('Loading-drum,tote'!$B$31:$B$48),$J3215,('Loading-drum,tote'!$E$31:$E$48))*Impacts!$F$13,0)),0)</f>
        <v>0</v>
      </c>
      <c r="R3215" s="10">
        <f>IFERROR(IF(('Loading-truck'!$C$21)="No control",SUMIF(('Loading-truck'!$B$31:$B$48),$J3215,('Loading-truck'!$D$31:$D$48))*Impacts!$F$14,IF(('Loading-truck'!$C$21)&lt;&gt;"No control",SUMIF(('Loading-truck'!$B$31:$B$48),$J3215,('Loading-truck'!$E$31:$E$48))*Impacts!$F$14,0)),0)</f>
        <v>0</v>
      </c>
      <c r="S3215" s="10">
        <f>IFERROR(IF(('Loading-rail'!$C$21)="No control",SUMIF(('Loading-rail'!$B$31:$B$48),$J3215,('Loading-rail'!$D$31:$D$48))*Impacts!$F$15,IF(('Loading-rail'!$C$21)&lt;&gt;"No control",SUMIF(('Loading-rail'!$B$31:$B$48),$J3215,('Loading-rail'!$E$31:$E$48))*Impacts!$F$15,0)),0)</f>
        <v>0</v>
      </c>
      <c r="T3215" s="10">
        <f>IF(Flare!$C$7="",0,(SUMIF(Flare!$B$46:$B$185,$J3215,Flare!$E$46:$E$185)*Impacts!$F$16))</f>
        <v>0</v>
      </c>
      <c r="U3215" s="10">
        <f>IF(VCU!$C$9="",0,(SUMIF(VCU!$B$51:$B$193,$J3215,VCU!$E$51:$E$193)*Impacts!$F$17))</f>
        <v>0</v>
      </c>
      <c r="V3215" s="10">
        <f>IF(CAS!$C$7="",0,(SUMIF(CAS!$B$31:$B$167,$J3215,CAS!$E$31:$E$167)*Impacts!$F$18))</f>
        <v>0</v>
      </c>
      <c r="W3215" s="10">
        <f t="shared" si="90"/>
        <v>0</v>
      </c>
      <c r="AK3215" s="10" t="str">
        <f t="array" ref="AK3215">IFERROR(INDEX(SelectedSpecies,SMALL(IF(SelectedSpecies=AK$1,ROW(SelectedSpecies)),ROW(3216:3216)),2),"")</f>
        <v/>
      </c>
      <c r="BE3215" s="10"/>
      <c r="BI3215" s="10"/>
    </row>
    <row r="3216" spans="1:61" ht="21" customHeight="1" x14ac:dyDescent="0.25">
      <c r="A3216" s="10"/>
      <c r="B3216" s="10"/>
      <c r="E3216" s="10"/>
      <c r="G3216" s="10"/>
      <c r="I3216" s="436" t="s">
        <v>4021</v>
      </c>
      <c r="J3216" s="26" t="s">
        <v>4020</v>
      </c>
      <c r="K3216" s="10">
        <v>6</v>
      </c>
      <c r="L3216" s="73">
        <f>IF(Tank1!$C$23="No control",(SUMIF(Tank1!$B$32:$B$49,$J3216,Tank1!$C$32:$C$49)*Impacts!$F$8),0)</f>
        <v>0</v>
      </c>
      <c r="M3216" s="10">
        <f>IF(Tank2!$C$23="No control",(SUMIF(Tank2!$B$32:$B$49,$J3216,Tank2!$C$32:$C$49)*Impacts!$F$9),0)</f>
        <v>0</v>
      </c>
      <c r="N3216" s="10">
        <f>IF(Tank3!$C$23="No control",(SUMIF(Tank3!$B$32:$B$49,$J3216,Tank3!$C$32:$C$49)*Impacts!$F$10),0)</f>
        <v>0</v>
      </c>
      <c r="O3216" s="10">
        <f>IF(Tank4!$C$23="No control",(SUMIF(Tank4!$B$32:$B$49,$J3216,Tank4!$C$32:$C$49)*Impacts!$F$11),0)</f>
        <v>0</v>
      </c>
      <c r="P3216" s="10">
        <f>IF(Tank5!$C$23="No control",(SUMIF(Tank5!$B$32:$B$49,$J3216,Tank5!$C$32:$C$49)*Impacts!$F$12),0)</f>
        <v>0</v>
      </c>
      <c r="Q3216" s="10">
        <f>IFERROR(IF(('Loading-drum,tote'!$C$21)="No control",SUMIF(('Loading-drum,tote'!$B$31:$B$48),$J3216,('Loading-drum,tote'!$D$31:$D$48))*Impacts!$F$13,IF(('Loading-drum,tote'!$C$21)&lt;&gt;"No control",SUMIF(('Loading-drum,tote'!$B$31:$B$48),$J3216,('Loading-drum,tote'!$E$31:$E$48))*Impacts!$F$13,0)),0)</f>
        <v>0</v>
      </c>
      <c r="R3216" s="10">
        <f>IFERROR(IF(('Loading-truck'!$C$21)="No control",SUMIF(('Loading-truck'!$B$31:$B$48),$J3216,('Loading-truck'!$D$31:$D$48))*Impacts!$F$14,IF(('Loading-truck'!$C$21)&lt;&gt;"No control",SUMIF(('Loading-truck'!$B$31:$B$48),$J3216,('Loading-truck'!$E$31:$E$48))*Impacts!$F$14,0)),0)</f>
        <v>0</v>
      </c>
      <c r="S3216" s="10">
        <f>IFERROR(IF(('Loading-rail'!$C$21)="No control",SUMIF(('Loading-rail'!$B$31:$B$48),$J3216,('Loading-rail'!$D$31:$D$48))*Impacts!$F$15,IF(('Loading-rail'!$C$21)&lt;&gt;"No control",SUMIF(('Loading-rail'!$B$31:$B$48),$J3216,('Loading-rail'!$E$31:$E$48))*Impacts!$F$15,0)),0)</f>
        <v>0</v>
      </c>
      <c r="T3216" s="10">
        <f>IF(Flare!$C$7="",0,(SUMIF(Flare!$B$46:$B$185,$J3216,Flare!$E$46:$E$185)*Impacts!$F$16))</f>
        <v>0</v>
      </c>
      <c r="U3216" s="10">
        <f>IF(VCU!$C$9="",0,(SUMIF(VCU!$B$51:$B$193,$J3216,VCU!$E$51:$E$193)*Impacts!$F$17))</f>
        <v>0</v>
      </c>
      <c r="V3216" s="10">
        <f>IF(CAS!$C$7="",0,(SUMIF(CAS!$B$31:$B$167,$J3216,CAS!$E$31:$E$167)*Impacts!$F$18))</f>
        <v>0</v>
      </c>
      <c r="W3216" s="10">
        <f t="shared" si="90"/>
        <v>0</v>
      </c>
      <c r="AK3216" s="10" t="str">
        <f t="array" ref="AK3216">IFERROR(INDEX(SelectedSpecies,SMALL(IF(SelectedSpecies=AK$1,ROW(SelectedSpecies)),ROW(3217:3217)),2),"")</f>
        <v/>
      </c>
      <c r="BE3216" s="10"/>
      <c r="BI3216" s="10"/>
    </row>
    <row r="3217" spans="1:61" ht="21" customHeight="1" x14ac:dyDescent="0.25">
      <c r="A3217" s="10"/>
      <c r="B3217" s="10"/>
      <c r="E3217" s="10"/>
      <c r="G3217" s="10"/>
      <c r="I3217" s="436" t="s">
        <v>1727</v>
      </c>
      <c r="J3217" s="26" t="s">
        <v>1726</v>
      </c>
      <c r="K3217" s="10">
        <v>24.5</v>
      </c>
      <c r="L3217" s="73">
        <f>IF(Tank1!$C$23="No control",(SUMIF(Tank1!$B$32:$B$49,$J3217,Tank1!$C$32:$C$49)*Impacts!$F$8),0)</f>
        <v>0</v>
      </c>
      <c r="M3217" s="10">
        <f>IF(Tank2!$C$23="No control",(SUMIF(Tank2!$B$32:$B$49,$J3217,Tank2!$C$32:$C$49)*Impacts!$F$9),0)</f>
        <v>0</v>
      </c>
      <c r="N3217" s="10">
        <f>IF(Tank3!$C$23="No control",(SUMIF(Tank3!$B$32:$B$49,$J3217,Tank3!$C$32:$C$49)*Impacts!$F$10),0)</f>
        <v>0</v>
      </c>
      <c r="O3217" s="10">
        <f>IF(Tank4!$C$23="No control",(SUMIF(Tank4!$B$32:$B$49,$J3217,Tank4!$C$32:$C$49)*Impacts!$F$11),0)</f>
        <v>0</v>
      </c>
      <c r="P3217" s="10">
        <f>IF(Tank5!$C$23="No control",(SUMIF(Tank5!$B$32:$B$49,$J3217,Tank5!$C$32:$C$49)*Impacts!$F$12),0)</f>
        <v>0</v>
      </c>
      <c r="Q3217" s="10">
        <f>IFERROR(IF(('Loading-drum,tote'!$C$21)="No control",SUMIF(('Loading-drum,tote'!$B$31:$B$48),$J3217,('Loading-drum,tote'!$D$31:$D$48))*Impacts!$F$13,IF(('Loading-drum,tote'!$C$21)&lt;&gt;"No control",SUMIF(('Loading-drum,tote'!$B$31:$B$48),$J3217,('Loading-drum,tote'!$E$31:$E$48))*Impacts!$F$13,0)),0)</f>
        <v>0</v>
      </c>
      <c r="R3217" s="10">
        <f>IFERROR(IF(('Loading-truck'!$C$21)="No control",SUMIF(('Loading-truck'!$B$31:$B$48),$J3217,('Loading-truck'!$D$31:$D$48))*Impacts!$F$14,IF(('Loading-truck'!$C$21)&lt;&gt;"No control",SUMIF(('Loading-truck'!$B$31:$B$48),$J3217,('Loading-truck'!$E$31:$E$48))*Impacts!$F$14,0)),0)</f>
        <v>0</v>
      </c>
      <c r="S3217" s="10">
        <f>IFERROR(IF(('Loading-rail'!$C$21)="No control",SUMIF(('Loading-rail'!$B$31:$B$48),$J3217,('Loading-rail'!$D$31:$D$48))*Impacts!$F$15,IF(('Loading-rail'!$C$21)&lt;&gt;"No control",SUMIF(('Loading-rail'!$B$31:$B$48),$J3217,('Loading-rail'!$E$31:$E$48))*Impacts!$F$15,0)),0)</f>
        <v>0</v>
      </c>
      <c r="T3217" s="10">
        <f>IF(Flare!$C$7="",0,(SUMIF(Flare!$B$46:$B$185,$J3217,Flare!$E$46:$E$185)*Impacts!$F$16))</f>
        <v>0</v>
      </c>
      <c r="U3217" s="10">
        <f>IF(VCU!$C$9="",0,(SUMIF(VCU!$B$51:$B$193,$J3217,VCU!$E$51:$E$193)*Impacts!$F$17))</f>
        <v>0</v>
      </c>
      <c r="V3217" s="10">
        <f>IF(CAS!$C$7="",0,(SUMIF(CAS!$B$31:$B$167,$J3217,CAS!$E$31:$E$167)*Impacts!$F$18))</f>
        <v>0</v>
      </c>
      <c r="W3217" s="10">
        <f t="shared" si="90"/>
        <v>0</v>
      </c>
      <c r="AK3217" s="10" t="str">
        <f t="array" ref="AK3217">IFERROR(INDEX(SelectedSpecies,SMALL(IF(SelectedSpecies=AK$1,ROW(SelectedSpecies)),ROW(3218:3218)),2),"")</f>
        <v/>
      </c>
      <c r="BE3217" s="10"/>
      <c r="BI3217" s="10"/>
    </row>
    <row r="3218" spans="1:61" ht="21" customHeight="1" x14ac:dyDescent="0.25">
      <c r="A3218" s="10"/>
      <c r="B3218" s="10"/>
      <c r="E3218" s="10"/>
      <c r="G3218" s="10"/>
      <c r="I3218" s="436" t="s">
        <v>2601</v>
      </c>
      <c r="J3218" s="26" t="s">
        <v>2600</v>
      </c>
      <c r="K3218" s="10">
        <v>10</v>
      </c>
      <c r="L3218" s="73">
        <f>IF(Tank1!$C$23="No control",(SUMIF(Tank1!$B$32:$B$49,$J3218,Tank1!$C$32:$C$49)*Impacts!$F$8),0)</f>
        <v>0</v>
      </c>
      <c r="M3218" s="10">
        <f>IF(Tank2!$C$23="No control",(SUMIF(Tank2!$B$32:$B$49,$J3218,Tank2!$C$32:$C$49)*Impacts!$F$9),0)</f>
        <v>0</v>
      </c>
      <c r="N3218" s="10">
        <f>IF(Tank3!$C$23="No control",(SUMIF(Tank3!$B$32:$B$49,$J3218,Tank3!$C$32:$C$49)*Impacts!$F$10),0)</f>
        <v>0</v>
      </c>
      <c r="O3218" s="10">
        <f>IF(Tank4!$C$23="No control",(SUMIF(Tank4!$B$32:$B$49,$J3218,Tank4!$C$32:$C$49)*Impacts!$F$11),0)</f>
        <v>0</v>
      </c>
      <c r="P3218" s="10">
        <f>IF(Tank5!$C$23="No control",(SUMIF(Tank5!$B$32:$B$49,$J3218,Tank5!$C$32:$C$49)*Impacts!$F$12),0)</f>
        <v>0</v>
      </c>
      <c r="Q3218" s="10">
        <f>IFERROR(IF(('Loading-drum,tote'!$C$21)="No control",SUMIF(('Loading-drum,tote'!$B$31:$B$48),$J3218,('Loading-drum,tote'!$D$31:$D$48))*Impacts!$F$13,IF(('Loading-drum,tote'!$C$21)&lt;&gt;"No control",SUMIF(('Loading-drum,tote'!$B$31:$B$48),$J3218,('Loading-drum,tote'!$E$31:$E$48))*Impacts!$F$13,0)),0)</f>
        <v>0</v>
      </c>
      <c r="R3218" s="10">
        <f>IFERROR(IF(('Loading-truck'!$C$21)="No control",SUMIF(('Loading-truck'!$B$31:$B$48),$J3218,('Loading-truck'!$D$31:$D$48))*Impacts!$F$14,IF(('Loading-truck'!$C$21)&lt;&gt;"No control",SUMIF(('Loading-truck'!$B$31:$B$48),$J3218,('Loading-truck'!$E$31:$E$48))*Impacts!$F$14,0)),0)</f>
        <v>0</v>
      </c>
      <c r="S3218" s="10">
        <f>IFERROR(IF(('Loading-rail'!$C$21)="No control",SUMIF(('Loading-rail'!$B$31:$B$48),$J3218,('Loading-rail'!$D$31:$D$48))*Impacts!$F$15,IF(('Loading-rail'!$C$21)&lt;&gt;"No control",SUMIF(('Loading-rail'!$B$31:$B$48),$J3218,('Loading-rail'!$E$31:$E$48))*Impacts!$F$15,0)),0)</f>
        <v>0</v>
      </c>
      <c r="T3218" s="10">
        <f>IF(Flare!$C$7="",0,(SUMIF(Flare!$B$46:$B$185,$J3218,Flare!$E$46:$E$185)*Impacts!$F$16))</f>
        <v>0</v>
      </c>
      <c r="U3218" s="10">
        <f>IF(VCU!$C$9="",0,(SUMIF(VCU!$B$51:$B$193,$J3218,VCU!$E$51:$E$193)*Impacts!$F$17))</f>
        <v>0</v>
      </c>
      <c r="V3218" s="10">
        <f>IF(CAS!$C$7="",0,(SUMIF(CAS!$B$31:$B$167,$J3218,CAS!$E$31:$E$167)*Impacts!$F$18))</f>
        <v>0</v>
      </c>
      <c r="W3218" s="10">
        <f t="shared" si="90"/>
        <v>0</v>
      </c>
      <c r="AK3218" s="10" t="str">
        <f t="array" ref="AK3218">IFERROR(INDEX(SelectedSpecies,SMALL(IF(SelectedSpecies=AK$1,ROW(SelectedSpecies)),ROW(3219:3219)),2),"")</f>
        <v/>
      </c>
      <c r="BE3218" s="10"/>
      <c r="BI3218" s="10"/>
    </row>
    <row r="3219" spans="1:61" ht="21" customHeight="1" x14ac:dyDescent="0.25">
      <c r="A3219" s="10"/>
      <c r="B3219" s="10"/>
      <c r="E3219" s="10"/>
      <c r="G3219" s="10"/>
      <c r="I3219" s="436" t="s">
        <v>2281</v>
      </c>
      <c r="J3219" s="26" t="s">
        <v>2280</v>
      </c>
      <c r="K3219" s="10">
        <v>12.5</v>
      </c>
      <c r="L3219" s="73">
        <f>IF(Tank1!$C$23="No control",(SUMIF(Tank1!$B$32:$B$49,$J3219,Tank1!$C$32:$C$49)*Impacts!$F$8),0)</f>
        <v>0</v>
      </c>
      <c r="M3219" s="10">
        <f>IF(Tank2!$C$23="No control",(SUMIF(Tank2!$B$32:$B$49,$J3219,Tank2!$C$32:$C$49)*Impacts!$F$9),0)</f>
        <v>0</v>
      </c>
      <c r="N3219" s="10">
        <f>IF(Tank3!$C$23="No control",(SUMIF(Tank3!$B$32:$B$49,$J3219,Tank3!$C$32:$C$49)*Impacts!$F$10),0)</f>
        <v>0</v>
      </c>
      <c r="O3219" s="10">
        <f>IF(Tank4!$C$23="No control",(SUMIF(Tank4!$B$32:$B$49,$J3219,Tank4!$C$32:$C$49)*Impacts!$F$11),0)</f>
        <v>0</v>
      </c>
      <c r="P3219" s="10">
        <f>IF(Tank5!$C$23="No control",(SUMIF(Tank5!$B$32:$B$49,$J3219,Tank5!$C$32:$C$49)*Impacts!$F$12),0)</f>
        <v>0</v>
      </c>
      <c r="Q3219" s="10">
        <f>IFERROR(IF(('Loading-drum,tote'!$C$21)="No control",SUMIF(('Loading-drum,tote'!$B$31:$B$48),$J3219,('Loading-drum,tote'!$D$31:$D$48))*Impacts!$F$13,IF(('Loading-drum,tote'!$C$21)&lt;&gt;"No control",SUMIF(('Loading-drum,tote'!$B$31:$B$48),$J3219,('Loading-drum,tote'!$E$31:$E$48))*Impacts!$F$13,0)),0)</f>
        <v>0</v>
      </c>
      <c r="R3219" s="10">
        <f>IFERROR(IF(('Loading-truck'!$C$21)="No control",SUMIF(('Loading-truck'!$B$31:$B$48),$J3219,('Loading-truck'!$D$31:$D$48))*Impacts!$F$14,IF(('Loading-truck'!$C$21)&lt;&gt;"No control",SUMIF(('Loading-truck'!$B$31:$B$48),$J3219,('Loading-truck'!$E$31:$E$48))*Impacts!$F$14,0)),0)</f>
        <v>0</v>
      </c>
      <c r="S3219" s="10">
        <f>IFERROR(IF(('Loading-rail'!$C$21)="No control",SUMIF(('Loading-rail'!$B$31:$B$48),$J3219,('Loading-rail'!$D$31:$D$48))*Impacts!$F$15,IF(('Loading-rail'!$C$21)&lt;&gt;"No control",SUMIF(('Loading-rail'!$B$31:$B$48),$J3219,('Loading-rail'!$E$31:$E$48))*Impacts!$F$15,0)),0)</f>
        <v>0</v>
      </c>
      <c r="T3219" s="10">
        <f>IF(Flare!$C$7="",0,(SUMIF(Flare!$B$46:$B$185,$J3219,Flare!$E$46:$E$185)*Impacts!$F$16))</f>
        <v>0</v>
      </c>
      <c r="U3219" s="10">
        <f>IF(VCU!$C$9="",0,(SUMIF(VCU!$B$51:$B$193,$J3219,VCU!$E$51:$E$193)*Impacts!$F$17))</f>
        <v>0</v>
      </c>
      <c r="V3219" s="10">
        <f>IF(CAS!$C$7="",0,(SUMIF(CAS!$B$31:$B$167,$J3219,CAS!$E$31:$E$167)*Impacts!$F$18))</f>
        <v>0</v>
      </c>
      <c r="W3219" s="10">
        <f t="shared" si="90"/>
        <v>0</v>
      </c>
      <c r="AK3219" s="10" t="str">
        <f t="array" ref="AK3219">IFERROR(INDEX(SelectedSpecies,SMALL(IF(SelectedSpecies=AK$1,ROW(SelectedSpecies)),ROW(3220:3220)),2),"")</f>
        <v/>
      </c>
      <c r="BE3219" s="10"/>
      <c r="BI3219" s="10"/>
    </row>
    <row r="3220" spans="1:61" ht="21" customHeight="1" x14ac:dyDescent="0.25">
      <c r="A3220" s="10"/>
      <c r="B3220" s="10"/>
      <c r="E3220" s="10"/>
      <c r="G3220" s="10"/>
      <c r="I3220" s="436" t="s">
        <v>6258</v>
      </c>
      <c r="J3220" s="26" t="s">
        <v>6257</v>
      </c>
      <c r="K3220" s="10">
        <v>0.9900000000000001</v>
      </c>
      <c r="L3220" s="73">
        <f>IF(Tank1!$C$23="No control",(SUMIF(Tank1!$B$32:$B$49,$J3220,Tank1!$C$32:$C$49)*Impacts!$F$8),0)</f>
        <v>0</v>
      </c>
      <c r="M3220" s="10">
        <f>IF(Tank2!$C$23="No control",(SUMIF(Tank2!$B$32:$B$49,$J3220,Tank2!$C$32:$C$49)*Impacts!$F$9),0)</f>
        <v>0</v>
      </c>
      <c r="N3220" s="10">
        <f>IF(Tank3!$C$23="No control",(SUMIF(Tank3!$B$32:$B$49,$J3220,Tank3!$C$32:$C$49)*Impacts!$F$10),0)</f>
        <v>0</v>
      </c>
      <c r="O3220" s="10">
        <f>IF(Tank4!$C$23="No control",(SUMIF(Tank4!$B$32:$B$49,$J3220,Tank4!$C$32:$C$49)*Impacts!$F$11),0)</f>
        <v>0</v>
      </c>
      <c r="P3220" s="10">
        <f>IF(Tank5!$C$23="No control",(SUMIF(Tank5!$B$32:$B$49,$J3220,Tank5!$C$32:$C$49)*Impacts!$F$12),0)</f>
        <v>0</v>
      </c>
      <c r="Q3220" s="10">
        <f>IFERROR(IF(('Loading-drum,tote'!$C$21)="No control",SUMIF(('Loading-drum,tote'!$B$31:$B$48),$J3220,('Loading-drum,tote'!$D$31:$D$48))*Impacts!$F$13,IF(('Loading-drum,tote'!$C$21)&lt;&gt;"No control",SUMIF(('Loading-drum,tote'!$B$31:$B$48),$J3220,('Loading-drum,tote'!$E$31:$E$48))*Impacts!$F$13,0)),0)</f>
        <v>0</v>
      </c>
      <c r="R3220" s="10">
        <f>IFERROR(IF(('Loading-truck'!$C$21)="No control",SUMIF(('Loading-truck'!$B$31:$B$48),$J3220,('Loading-truck'!$D$31:$D$48))*Impacts!$F$14,IF(('Loading-truck'!$C$21)&lt;&gt;"No control",SUMIF(('Loading-truck'!$B$31:$B$48),$J3220,('Loading-truck'!$E$31:$E$48))*Impacts!$F$14,0)),0)</f>
        <v>0</v>
      </c>
      <c r="S3220" s="10">
        <f>IFERROR(IF(('Loading-rail'!$C$21)="No control",SUMIF(('Loading-rail'!$B$31:$B$48),$J3220,('Loading-rail'!$D$31:$D$48))*Impacts!$F$15,IF(('Loading-rail'!$C$21)&lt;&gt;"No control",SUMIF(('Loading-rail'!$B$31:$B$48),$J3220,('Loading-rail'!$E$31:$E$48))*Impacts!$F$15,0)),0)</f>
        <v>0</v>
      </c>
      <c r="T3220" s="10">
        <f>IF(Flare!$C$7="",0,(SUMIF(Flare!$B$46:$B$185,$J3220,Flare!$E$46:$E$185)*Impacts!$F$16))</f>
        <v>0</v>
      </c>
      <c r="U3220" s="10">
        <f>IF(VCU!$C$9="",0,(SUMIF(VCU!$B$51:$B$193,$J3220,VCU!$E$51:$E$193)*Impacts!$F$17))</f>
        <v>0</v>
      </c>
      <c r="V3220" s="10">
        <f>IF(CAS!$C$7="",0,(SUMIF(CAS!$B$31:$B$167,$J3220,CAS!$E$31:$E$167)*Impacts!$F$18))</f>
        <v>0</v>
      </c>
      <c r="W3220" s="10">
        <f t="shared" si="90"/>
        <v>0</v>
      </c>
      <c r="AK3220" s="10" t="str">
        <f t="array" ref="AK3220">IFERROR(INDEX(SelectedSpecies,SMALL(IF(SelectedSpecies=AK$1,ROW(SelectedSpecies)),ROW(3221:3221)),2),"")</f>
        <v/>
      </c>
      <c r="BE3220" s="10"/>
      <c r="BI3220" s="10"/>
    </row>
    <row r="3221" spans="1:61" ht="21" customHeight="1" x14ac:dyDescent="0.25">
      <c r="A3221" s="10"/>
      <c r="B3221" s="10"/>
      <c r="E3221" s="10"/>
      <c r="G3221" s="10"/>
      <c r="I3221" s="436" t="s">
        <v>6128</v>
      </c>
      <c r="J3221" s="26" t="s">
        <v>6127</v>
      </c>
      <c r="K3221" s="10">
        <v>1</v>
      </c>
      <c r="L3221" s="73">
        <f>IF(Tank1!$C$23="No control",(SUMIF(Tank1!$B$32:$B$49,$J3221,Tank1!$C$32:$C$49)*Impacts!$F$8),0)</f>
        <v>0</v>
      </c>
      <c r="M3221" s="10">
        <f>IF(Tank2!$C$23="No control",(SUMIF(Tank2!$B$32:$B$49,$J3221,Tank2!$C$32:$C$49)*Impacts!$F$9),0)</f>
        <v>0</v>
      </c>
      <c r="N3221" s="10">
        <f>IF(Tank3!$C$23="No control",(SUMIF(Tank3!$B$32:$B$49,$J3221,Tank3!$C$32:$C$49)*Impacts!$F$10),0)</f>
        <v>0</v>
      </c>
      <c r="O3221" s="10">
        <f>IF(Tank4!$C$23="No control",(SUMIF(Tank4!$B$32:$B$49,$J3221,Tank4!$C$32:$C$49)*Impacts!$F$11),0)</f>
        <v>0</v>
      </c>
      <c r="P3221" s="10">
        <f>IF(Tank5!$C$23="No control",(SUMIF(Tank5!$B$32:$B$49,$J3221,Tank5!$C$32:$C$49)*Impacts!$F$12),0)</f>
        <v>0</v>
      </c>
      <c r="Q3221" s="10">
        <f>IFERROR(IF(('Loading-drum,tote'!$C$21)="No control",SUMIF(('Loading-drum,tote'!$B$31:$B$48),$J3221,('Loading-drum,tote'!$D$31:$D$48))*Impacts!$F$13,IF(('Loading-drum,tote'!$C$21)&lt;&gt;"No control",SUMIF(('Loading-drum,tote'!$B$31:$B$48),$J3221,('Loading-drum,tote'!$E$31:$E$48))*Impacts!$F$13,0)),0)</f>
        <v>0</v>
      </c>
      <c r="R3221" s="10">
        <f>IFERROR(IF(('Loading-truck'!$C$21)="No control",SUMIF(('Loading-truck'!$B$31:$B$48),$J3221,('Loading-truck'!$D$31:$D$48))*Impacts!$F$14,IF(('Loading-truck'!$C$21)&lt;&gt;"No control",SUMIF(('Loading-truck'!$B$31:$B$48),$J3221,('Loading-truck'!$E$31:$E$48))*Impacts!$F$14,0)),0)</f>
        <v>0</v>
      </c>
      <c r="S3221" s="10">
        <f>IFERROR(IF(('Loading-rail'!$C$21)="No control",SUMIF(('Loading-rail'!$B$31:$B$48),$J3221,('Loading-rail'!$D$31:$D$48))*Impacts!$F$15,IF(('Loading-rail'!$C$21)&lt;&gt;"No control",SUMIF(('Loading-rail'!$B$31:$B$48),$J3221,('Loading-rail'!$E$31:$E$48))*Impacts!$F$15,0)),0)</f>
        <v>0</v>
      </c>
      <c r="T3221" s="10">
        <f>IF(Flare!$C$7="",0,(SUMIF(Flare!$B$46:$B$185,$J3221,Flare!$E$46:$E$185)*Impacts!$F$16))</f>
        <v>0</v>
      </c>
      <c r="U3221" s="10">
        <f>IF(VCU!$C$9="",0,(SUMIF(VCU!$B$51:$B$193,$J3221,VCU!$E$51:$E$193)*Impacts!$F$17))</f>
        <v>0</v>
      </c>
      <c r="V3221" s="10">
        <f>IF(CAS!$C$7="",0,(SUMIF(CAS!$B$31:$B$167,$J3221,CAS!$E$31:$E$167)*Impacts!$F$18))</f>
        <v>0</v>
      </c>
      <c r="W3221" s="10">
        <f t="shared" si="90"/>
        <v>0</v>
      </c>
      <c r="AK3221" s="10" t="str">
        <f t="array" ref="AK3221">IFERROR(INDEX(SelectedSpecies,SMALL(IF(SelectedSpecies=AK$1,ROW(SelectedSpecies)),ROW(3222:3222)),2),"")</f>
        <v/>
      </c>
      <c r="BE3221" s="10"/>
      <c r="BI3221" s="10"/>
    </row>
    <row r="3222" spans="1:61" ht="21" customHeight="1" x14ac:dyDescent="0.25">
      <c r="A3222" s="10"/>
      <c r="B3222" s="10"/>
      <c r="E3222" s="10"/>
      <c r="G3222" s="10"/>
      <c r="I3222" s="436" t="s">
        <v>3859</v>
      </c>
      <c r="J3222" s="26" t="s">
        <v>3858</v>
      </c>
      <c r="K3222" s="10">
        <v>6</v>
      </c>
      <c r="L3222" s="73">
        <f>IF(Tank1!$C$23="No control",(SUMIF(Tank1!$B$32:$B$49,$J3222,Tank1!$C$32:$C$49)*Impacts!$F$8),0)</f>
        <v>0</v>
      </c>
      <c r="M3222" s="10">
        <f>IF(Tank2!$C$23="No control",(SUMIF(Tank2!$B$32:$B$49,$J3222,Tank2!$C$32:$C$49)*Impacts!$F$9),0)</f>
        <v>0</v>
      </c>
      <c r="N3222" s="10">
        <f>IF(Tank3!$C$23="No control",(SUMIF(Tank3!$B$32:$B$49,$J3222,Tank3!$C$32:$C$49)*Impacts!$F$10),0)</f>
        <v>0</v>
      </c>
      <c r="O3222" s="10">
        <f>IF(Tank4!$C$23="No control",(SUMIF(Tank4!$B$32:$B$49,$J3222,Tank4!$C$32:$C$49)*Impacts!$F$11),0)</f>
        <v>0</v>
      </c>
      <c r="P3222" s="10">
        <f>IF(Tank5!$C$23="No control",(SUMIF(Tank5!$B$32:$B$49,$J3222,Tank5!$C$32:$C$49)*Impacts!$F$12),0)</f>
        <v>0</v>
      </c>
      <c r="Q3222" s="10">
        <f>IFERROR(IF(('Loading-drum,tote'!$C$21)="No control",SUMIF(('Loading-drum,tote'!$B$31:$B$48),$J3222,('Loading-drum,tote'!$D$31:$D$48))*Impacts!$F$13,IF(('Loading-drum,tote'!$C$21)&lt;&gt;"No control",SUMIF(('Loading-drum,tote'!$B$31:$B$48),$J3222,('Loading-drum,tote'!$E$31:$E$48))*Impacts!$F$13,0)),0)</f>
        <v>0</v>
      </c>
      <c r="R3222" s="10">
        <f>IFERROR(IF(('Loading-truck'!$C$21)="No control",SUMIF(('Loading-truck'!$B$31:$B$48),$J3222,('Loading-truck'!$D$31:$D$48))*Impacts!$F$14,IF(('Loading-truck'!$C$21)&lt;&gt;"No control",SUMIF(('Loading-truck'!$B$31:$B$48),$J3222,('Loading-truck'!$E$31:$E$48))*Impacts!$F$14,0)),0)</f>
        <v>0</v>
      </c>
      <c r="S3222" s="10">
        <f>IFERROR(IF(('Loading-rail'!$C$21)="No control",SUMIF(('Loading-rail'!$B$31:$B$48),$J3222,('Loading-rail'!$D$31:$D$48))*Impacts!$F$15,IF(('Loading-rail'!$C$21)&lt;&gt;"No control",SUMIF(('Loading-rail'!$B$31:$B$48),$J3222,('Loading-rail'!$E$31:$E$48))*Impacts!$F$15,0)),0)</f>
        <v>0</v>
      </c>
      <c r="T3222" s="10">
        <f>IF(Flare!$C$7="",0,(SUMIF(Flare!$B$46:$B$185,$J3222,Flare!$E$46:$E$185)*Impacts!$F$16))</f>
        <v>0</v>
      </c>
      <c r="U3222" s="10">
        <f>IF(VCU!$C$9="",0,(SUMIF(VCU!$B$51:$B$193,$J3222,VCU!$E$51:$E$193)*Impacts!$F$17))</f>
        <v>0</v>
      </c>
      <c r="V3222" s="10">
        <f>IF(CAS!$C$7="",0,(SUMIF(CAS!$B$31:$B$167,$J3222,CAS!$E$31:$E$167)*Impacts!$F$18))</f>
        <v>0</v>
      </c>
      <c r="W3222" s="10">
        <f t="shared" si="90"/>
        <v>0</v>
      </c>
      <c r="AK3222" s="10" t="str">
        <f t="array" ref="AK3222">IFERROR(INDEX(SelectedSpecies,SMALL(IF(SelectedSpecies=AK$1,ROW(SelectedSpecies)),ROW(3223:3223)),2),"")</f>
        <v/>
      </c>
      <c r="BE3222" s="10"/>
      <c r="BI3222" s="10"/>
    </row>
    <row r="3223" spans="1:61" ht="21" customHeight="1" x14ac:dyDescent="0.25">
      <c r="A3223" s="10"/>
      <c r="B3223" s="10"/>
      <c r="E3223" s="10"/>
      <c r="G3223" s="10"/>
      <c r="I3223" s="436" t="s">
        <v>4605</v>
      </c>
      <c r="J3223" s="26" t="s">
        <v>4604</v>
      </c>
      <c r="K3223" s="10">
        <v>4</v>
      </c>
      <c r="L3223" s="73">
        <f>IF(Tank1!$C$23="No control",(SUMIF(Tank1!$B$32:$B$49,$J3223,Tank1!$C$32:$C$49)*Impacts!$F$8),0)</f>
        <v>0</v>
      </c>
      <c r="M3223" s="10">
        <f>IF(Tank2!$C$23="No control",(SUMIF(Tank2!$B$32:$B$49,$J3223,Tank2!$C$32:$C$49)*Impacts!$F$9),0)</f>
        <v>0</v>
      </c>
      <c r="N3223" s="10">
        <f>IF(Tank3!$C$23="No control",(SUMIF(Tank3!$B$32:$B$49,$J3223,Tank3!$C$32:$C$49)*Impacts!$F$10),0)</f>
        <v>0</v>
      </c>
      <c r="O3223" s="10">
        <f>IF(Tank4!$C$23="No control",(SUMIF(Tank4!$B$32:$B$49,$J3223,Tank4!$C$32:$C$49)*Impacts!$F$11),0)</f>
        <v>0</v>
      </c>
      <c r="P3223" s="10">
        <f>IF(Tank5!$C$23="No control",(SUMIF(Tank5!$B$32:$B$49,$J3223,Tank5!$C$32:$C$49)*Impacts!$F$12),0)</f>
        <v>0</v>
      </c>
      <c r="Q3223" s="10">
        <f>IFERROR(IF(('Loading-drum,tote'!$C$21)="No control",SUMIF(('Loading-drum,tote'!$B$31:$B$48),$J3223,('Loading-drum,tote'!$D$31:$D$48))*Impacts!$F$13,IF(('Loading-drum,tote'!$C$21)&lt;&gt;"No control",SUMIF(('Loading-drum,tote'!$B$31:$B$48),$J3223,('Loading-drum,tote'!$E$31:$E$48))*Impacts!$F$13,0)),0)</f>
        <v>0</v>
      </c>
      <c r="R3223" s="10">
        <f>IFERROR(IF(('Loading-truck'!$C$21)="No control",SUMIF(('Loading-truck'!$B$31:$B$48),$J3223,('Loading-truck'!$D$31:$D$48))*Impacts!$F$14,IF(('Loading-truck'!$C$21)&lt;&gt;"No control",SUMIF(('Loading-truck'!$B$31:$B$48),$J3223,('Loading-truck'!$E$31:$E$48))*Impacts!$F$14,0)),0)</f>
        <v>0</v>
      </c>
      <c r="S3223" s="10">
        <f>IFERROR(IF(('Loading-rail'!$C$21)="No control",SUMIF(('Loading-rail'!$B$31:$B$48),$J3223,('Loading-rail'!$D$31:$D$48))*Impacts!$F$15,IF(('Loading-rail'!$C$21)&lt;&gt;"No control",SUMIF(('Loading-rail'!$B$31:$B$48),$J3223,('Loading-rail'!$E$31:$E$48))*Impacts!$F$15,0)),0)</f>
        <v>0</v>
      </c>
      <c r="T3223" s="10">
        <f>IF(Flare!$C$7="",0,(SUMIF(Flare!$B$46:$B$185,$J3223,Flare!$E$46:$E$185)*Impacts!$F$16))</f>
        <v>0</v>
      </c>
      <c r="U3223" s="10">
        <f>IF(VCU!$C$9="",0,(SUMIF(VCU!$B$51:$B$193,$J3223,VCU!$E$51:$E$193)*Impacts!$F$17))</f>
        <v>0</v>
      </c>
      <c r="V3223" s="10">
        <f>IF(CAS!$C$7="",0,(SUMIF(CAS!$B$31:$B$167,$J3223,CAS!$E$31:$E$167)*Impacts!$F$18))</f>
        <v>0</v>
      </c>
      <c r="W3223" s="10">
        <f t="shared" si="90"/>
        <v>0</v>
      </c>
      <c r="AK3223" s="10" t="str">
        <f t="array" ref="AK3223">IFERROR(INDEX(SelectedSpecies,SMALL(IF(SelectedSpecies=AK$1,ROW(SelectedSpecies)),ROW(3224:3224)),2),"")</f>
        <v/>
      </c>
      <c r="BE3223" s="10"/>
      <c r="BI3223" s="10"/>
    </row>
    <row r="3224" spans="1:61" ht="21" customHeight="1" x14ac:dyDescent="0.25">
      <c r="A3224" s="10"/>
      <c r="B3224" s="10"/>
      <c r="E3224" s="10"/>
      <c r="G3224" s="10"/>
      <c r="I3224" s="436" t="s">
        <v>3313</v>
      </c>
      <c r="J3224" s="26" t="s">
        <v>3312</v>
      </c>
      <c r="K3224" s="10">
        <v>10</v>
      </c>
      <c r="L3224" s="73">
        <f>IF(Tank1!$C$23="No control",(SUMIF(Tank1!$B$32:$B$49,$J3224,Tank1!$C$32:$C$49)*Impacts!$F$8),0)</f>
        <v>0</v>
      </c>
      <c r="M3224" s="10">
        <f>IF(Tank2!$C$23="No control",(SUMIF(Tank2!$B$32:$B$49,$J3224,Tank2!$C$32:$C$49)*Impacts!$F$9),0)</f>
        <v>0</v>
      </c>
      <c r="N3224" s="10">
        <f>IF(Tank3!$C$23="No control",(SUMIF(Tank3!$B$32:$B$49,$J3224,Tank3!$C$32:$C$49)*Impacts!$F$10),0)</f>
        <v>0</v>
      </c>
      <c r="O3224" s="10">
        <f>IF(Tank4!$C$23="No control",(SUMIF(Tank4!$B$32:$B$49,$J3224,Tank4!$C$32:$C$49)*Impacts!$F$11),0)</f>
        <v>0</v>
      </c>
      <c r="P3224" s="10">
        <f>IF(Tank5!$C$23="No control",(SUMIF(Tank5!$B$32:$B$49,$J3224,Tank5!$C$32:$C$49)*Impacts!$F$12),0)</f>
        <v>0</v>
      </c>
      <c r="Q3224" s="10">
        <f>IFERROR(IF(('Loading-drum,tote'!$C$21)="No control",SUMIF(('Loading-drum,tote'!$B$31:$B$48),$J3224,('Loading-drum,tote'!$D$31:$D$48))*Impacts!$F$13,IF(('Loading-drum,tote'!$C$21)&lt;&gt;"No control",SUMIF(('Loading-drum,tote'!$B$31:$B$48),$J3224,('Loading-drum,tote'!$E$31:$E$48))*Impacts!$F$13,0)),0)</f>
        <v>0</v>
      </c>
      <c r="R3224" s="10">
        <f>IFERROR(IF(('Loading-truck'!$C$21)="No control",SUMIF(('Loading-truck'!$B$31:$B$48),$J3224,('Loading-truck'!$D$31:$D$48))*Impacts!$F$14,IF(('Loading-truck'!$C$21)&lt;&gt;"No control",SUMIF(('Loading-truck'!$B$31:$B$48),$J3224,('Loading-truck'!$E$31:$E$48))*Impacts!$F$14,0)),0)</f>
        <v>0</v>
      </c>
      <c r="S3224" s="10">
        <f>IFERROR(IF(('Loading-rail'!$C$21)="No control",SUMIF(('Loading-rail'!$B$31:$B$48),$J3224,('Loading-rail'!$D$31:$D$48))*Impacts!$F$15,IF(('Loading-rail'!$C$21)&lt;&gt;"No control",SUMIF(('Loading-rail'!$B$31:$B$48),$J3224,('Loading-rail'!$E$31:$E$48))*Impacts!$F$15,0)),0)</f>
        <v>0</v>
      </c>
      <c r="T3224" s="10">
        <f>IF(Flare!$C$7="",0,(SUMIF(Flare!$B$46:$B$185,$J3224,Flare!$E$46:$E$185)*Impacts!$F$16))</f>
        <v>0</v>
      </c>
      <c r="U3224" s="10">
        <f>IF(VCU!$C$9="",0,(SUMIF(VCU!$B$51:$B$193,$J3224,VCU!$E$51:$E$193)*Impacts!$F$17))</f>
        <v>0</v>
      </c>
      <c r="V3224" s="10">
        <f>IF(CAS!$C$7="",0,(SUMIF(CAS!$B$31:$B$167,$J3224,CAS!$E$31:$E$167)*Impacts!$F$18))</f>
        <v>0</v>
      </c>
      <c r="W3224" s="10">
        <f t="shared" si="90"/>
        <v>0</v>
      </c>
      <c r="AK3224" s="10" t="str">
        <f t="array" ref="AK3224">IFERROR(INDEX(SelectedSpecies,SMALL(IF(SelectedSpecies=AK$1,ROW(SelectedSpecies)),ROW(3225:3225)),2),"")</f>
        <v/>
      </c>
      <c r="BE3224" s="10"/>
      <c r="BI3224" s="10"/>
    </row>
    <row r="3225" spans="1:61" ht="21" customHeight="1" x14ac:dyDescent="0.25">
      <c r="A3225" s="10"/>
      <c r="B3225" s="10"/>
      <c r="E3225" s="10"/>
      <c r="G3225" s="10"/>
      <c r="I3225" s="436" t="s">
        <v>3315</v>
      </c>
      <c r="J3225" s="26" t="s">
        <v>3314</v>
      </c>
      <c r="K3225" s="10">
        <v>10</v>
      </c>
      <c r="L3225" s="73">
        <f>IF(Tank1!$C$23="No control",(SUMIF(Tank1!$B$32:$B$49,$J3225,Tank1!$C$32:$C$49)*Impacts!$F$8),0)</f>
        <v>0</v>
      </c>
      <c r="M3225" s="10">
        <f>IF(Tank2!$C$23="No control",(SUMIF(Tank2!$B$32:$B$49,$J3225,Tank2!$C$32:$C$49)*Impacts!$F$9),0)</f>
        <v>0</v>
      </c>
      <c r="N3225" s="10">
        <f>IF(Tank3!$C$23="No control",(SUMIF(Tank3!$B$32:$B$49,$J3225,Tank3!$C$32:$C$49)*Impacts!$F$10),0)</f>
        <v>0</v>
      </c>
      <c r="O3225" s="10">
        <f>IF(Tank4!$C$23="No control",(SUMIF(Tank4!$B$32:$B$49,$J3225,Tank4!$C$32:$C$49)*Impacts!$F$11),0)</f>
        <v>0</v>
      </c>
      <c r="P3225" s="10">
        <f>IF(Tank5!$C$23="No control",(SUMIF(Tank5!$B$32:$B$49,$J3225,Tank5!$C$32:$C$49)*Impacts!$F$12),0)</f>
        <v>0</v>
      </c>
      <c r="Q3225" s="10">
        <f>IFERROR(IF(('Loading-drum,tote'!$C$21)="No control",SUMIF(('Loading-drum,tote'!$B$31:$B$48),$J3225,('Loading-drum,tote'!$D$31:$D$48))*Impacts!$F$13,IF(('Loading-drum,tote'!$C$21)&lt;&gt;"No control",SUMIF(('Loading-drum,tote'!$B$31:$B$48),$J3225,('Loading-drum,tote'!$E$31:$E$48))*Impacts!$F$13,0)),0)</f>
        <v>0</v>
      </c>
      <c r="R3225" s="10">
        <f>IFERROR(IF(('Loading-truck'!$C$21)="No control",SUMIF(('Loading-truck'!$B$31:$B$48),$J3225,('Loading-truck'!$D$31:$D$48))*Impacts!$F$14,IF(('Loading-truck'!$C$21)&lt;&gt;"No control",SUMIF(('Loading-truck'!$B$31:$B$48),$J3225,('Loading-truck'!$E$31:$E$48))*Impacts!$F$14,0)),0)</f>
        <v>0</v>
      </c>
      <c r="S3225" s="10">
        <f>IFERROR(IF(('Loading-rail'!$C$21)="No control",SUMIF(('Loading-rail'!$B$31:$B$48),$J3225,('Loading-rail'!$D$31:$D$48))*Impacts!$F$15,IF(('Loading-rail'!$C$21)&lt;&gt;"No control",SUMIF(('Loading-rail'!$B$31:$B$48),$J3225,('Loading-rail'!$E$31:$E$48))*Impacts!$F$15,0)),0)</f>
        <v>0</v>
      </c>
      <c r="T3225" s="10">
        <f>IF(Flare!$C$7="",0,(SUMIF(Flare!$B$46:$B$185,$J3225,Flare!$E$46:$E$185)*Impacts!$F$16))</f>
        <v>0</v>
      </c>
      <c r="U3225" s="10">
        <f>IF(VCU!$C$9="",0,(SUMIF(VCU!$B$51:$B$193,$J3225,VCU!$E$51:$E$193)*Impacts!$F$17))</f>
        <v>0</v>
      </c>
      <c r="V3225" s="10">
        <f>IF(CAS!$C$7="",0,(SUMIF(CAS!$B$31:$B$167,$J3225,CAS!$E$31:$E$167)*Impacts!$F$18))</f>
        <v>0</v>
      </c>
      <c r="W3225" s="10">
        <f t="shared" si="90"/>
        <v>0</v>
      </c>
      <c r="AK3225" s="10" t="str">
        <f t="array" ref="AK3225">IFERROR(INDEX(SelectedSpecies,SMALL(IF(SelectedSpecies=AK$1,ROW(SelectedSpecies)),ROW(3226:3226)),2),"")</f>
        <v/>
      </c>
      <c r="BE3225" s="10"/>
      <c r="BI3225" s="10"/>
    </row>
    <row r="3226" spans="1:61" ht="21" customHeight="1" x14ac:dyDescent="0.25">
      <c r="A3226" s="10"/>
      <c r="B3226" s="10"/>
      <c r="E3226" s="10"/>
      <c r="G3226" s="10"/>
      <c r="I3226" s="436" t="s">
        <v>3317</v>
      </c>
      <c r="J3226" s="26" t="s">
        <v>3316</v>
      </c>
      <c r="K3226" s="10">
        <v>10</v>
      </c>
      <c r="L3226" s="73">
        <f>IF(Tank1!$C$23="No control",(SUMIF(Tank1!$B$32:$B$49,$J3226,Tank1!$C$32:$C$49)*Impacts!$F$8),0)</f>
        <v>0</v>
      </c>
      <c r="M3226" s="10">
        <f>IF(Tank2!$C$23="No control",(SUMIF(Tank2!$B$32:$B$49,$J3226,Tank2!$C$32:$C$49)*Impacts!$F$9),0)</f>
        <v>0</v>
      </c>
      <c r="N3226" s="10">
        <f>IF(Tank3!$C$23="No control",(SUMIF(Tank3!$B$32:$B$49,$J3226,Tank3!$C$32:$C$49)*Impacts!$F$10),0)</f>
        <v>0</v>
      </c>
      <c r="O3226" s="10">
        <f>IF(Tank4!$C$23="No control",(SUMIF(Tank4!$B$32:$B$49,$J3226,Tank4!$C$32:$C$49)*Impacts!$F$11),0)</f>
        <v>0</v>
      </c>
      <c r="P3226" s="10">
        <f>IF(Tank5!$C$23="No control",(SUMIF(Tank5!$B$32:$B$49,$J3226,Tank5!$C$32:$C$49)*Impacts!$F$12),0)</f>
        <v>0</v>
      </c>
      <c r="Q3226" s="10">
        <f>IFERROR(IF(('Loading-drum,tote'!$C$21)="No control",SUMIF(('Loading-drum,tote'!$B$31:$B$48),$J3226,('Loading-drum,tote'!$D$31:$D$48))*Impacts!$F$13,IF(('Loading-drum,tote'!$C$21)&lt;&gt;"No control",SUMIF(('Loading-drum,tote'!$B$31:$B$48),$J3226,('Loading-drum,tote'!$E$31:$E$48))*Impacts!$F$13,0)),0)</f>
        <v>0</v>
      </c>
      <c r="R3226" s="10">
        <f>IFERROR(IF(('Loading-truck'!$C$21)="No control",SUMIF(('Loading-truck'!$B$31:$B$48),$J3226,('Loading-truck'!$D$31:$D$48))*Impacts!$F$14,IF(('Loading-truck'!$C$21)&lt;&gt;"No control",SUMIF(('Loading-truck'!$B$31:$B$48),$J3226,('Loading-truck'!$E$31:$E$48))*Impacts!$F$14,0)),0)</f>
        <v>0</v>
      </c>
      <c r="S3226" s="10">
        <f>IFERROR(IF(('Loading-rail'!$C$21)="No control",SUMIF(('Loading-rail'!$B$31:$B$48),$J3226,('Loading-rail'!$D$31:$D$48))*Impacts!$F$15,IF(('Loading-rail'!$C$21)&lt;&gt;"No control",SUMIF(('Loading-rail'!$B$31:$B$48),$J3226,('Loading-rail'!$E$31:$E$48))*Impacts!$F$15,0)),0)</f>
        <v>0</v>
      </c>
      <c r="T3226" s="10">
        <f>IF(Flare!$C$7="",0,(SUMIF(Flare!$B$46:$B$185,$J3226,Flare!$E$46:$E$185)*Impacts!$F$16))</f>
        <v>0</v>
      </c>
      <c r="U3226" s="10">
        <f>IF(VCU!$C$9="",0,(SUMIF(VCU!$B$51:$B$193,$J3226,VCU!$E$51:$E$193)*Impacts!$F$17))</f>
        <v>0</v>
      </c>
      <c r="V3226" s="10">
        <f>IF(CAS!$C$7="",0,(SUMIF(CAS!$B$31:$B$167,$J3226,CAS!$E$31:$E$167)*Impacts!$F$18))</f>
        <v>0</v>
      </c>
      <c r="W3226" s="10">
        <f t="shared" ref="W3226:W3289" si="91">SUM(L3226:V3226)</f>
        <v>0</v>
      </c>
      <c r="AK3226" s="10" t="str">
        <f t="array" ref="AK3226">IFERROR(INDEX(SelectedSpecies,SMALL(IF(SelectedSpecies=AK$1,ROW(SelectedSpecies)),ROW(3227:3227)),2),"")</f>
        <v/>
      </c>
      <c r="BE3226" s="10"/>
      <c r="BI3226" s="10"/>
    </row>
    <row r="3227" spans="1:61" ht="21" customHeight="1" x14ac:dyDescent="0.25">
      <c r="A3227" s="10"/>
      <c r="B3227" s="10"/>
      <c r="E3227" s="10"/>
      <c r="G3227" s="10"/>
      <c r="I3227" s="436" t="s">
        <v>3319</v>
      </c>
      <c r="J3227" s="26" t="s">
        <v>3318</v>
      </c>
      <c r="K3227" s="10">
        <v>10</v>
      </c>
      <c r="L3227" s="73">
        <f>IF(Tank1!$C$23="No control",(SUMIF(Tank1!$B$32:$B$49,$J3227,Tank1!$C$32:$C$49)*Impacts!$F$8),0)</f>
        <v>0</v>
      </c>
      <c r="M3227" s="10">
        <f>IF(Tank2!$C$23="No control",(SUMIF(Tank2!$B$32:$B$49,$J3227,Tank2!$C$32:$C$49)*Impacts!$F$9),0)</f>
        <v>0</v>
      </c>
      <c r="N3227" s="10">
        <f>IF(Tank3!$C$23="No control",(SUMIF(Tank3!$B$32:$B$49,$J3227,Tank3!$C$32:$C$49)*Impacts!$F$10),0)</f>
        <v>0</v>
      </c>
      <c r="O3227" s="10">
        <f>IF(Tank4!$C$23="No control",(SUMIF(Tank4!$B$32:$B$49,$J3227,Tank4!$C$32:$C$49)*Impacts!$F$11),0)</f>
        <v>0</v>
      </c>
      <c r="P3227" s="10">
        <f>IF(Tank5!$C$23="No control",(SUMIF(Tank5!$B$32:$B$49,$J3227,Tank5!$C$32:$C$49)*Impacts!$F$12),0)</f>
        <v>0</v>
      </c>
      <c r="Q3227" s="10">
        <f>IFERROR(IF(('Loading-drum,tote'!$C$21)="No control",SUMIF(('Loading-drum,tote'!$B$31:$B$48),$J3227,('Loading-drum,tote'!$D$31:$D$48))*Impacts!$F$13,IF(('Loading-drum,tote'!$C$21)&lt;&gt;"No control",SUMIF(('Loading-drum,tote'!$B$31:$B$48),$J3227,('Loading-drum,tote'!$E$31:$E$48))*Impacts!$F$13,0)),0)</f>
        <v>0</v>
      </c>
      <c r="R3227" s="10">
        <f>IFERROR(IF(('Loading-truck'!$C$21)="No control",SUMIF(('Loading-truck'!$B$31:$B$48),$J3227,('Loading-truck'!$D$31:$D$48))*Impacts!$F$14,IF(('Loading-truck'!$C$21)&lt;&gt;"No control",SUMIF(('Loading-truck'!$B$31:$B$48),$J3227,('Loading-truck'!$E$31:$E$48))*Impacts!$F$14,0)),0)</f>
        <v>0</v>
      </c>
      <c r="S3227" s="10">
        <f>IFERROR(IF(('Loading-rail'!$C$21)="No control",SUMIF(('Loading-rail'!$B$31:$B$48),$J3227,('Loading-rail'!$D$31:$D$48))*Impacts!$F$15,IF(('Loading-rail'!$C$21)&lt;&gt;"No control",SUMIF(('Loading-rail'!$B$31:$B$48),$J3227,('Loading-rail'!$E$31:$E$48))*Impacts!$F$15,0)),0)</f>
        <v>0</v>
      </c>
      <c r="T3227" s="10">
        <f>IF(Flare!$C$7="",0,(SUMIF(Flare!$B$46:$B$185,$J3227,Flare!$E$46:$E$185)*Impacts!$F$16))</f>
        <v>0</v>
      </c>
      <c r="U3227" s="10">
        <f>IF(VCU!$C$9="",0,(SUMIF(VCU!$B$51:$B$193,$J3227,VCU!$E$51:$E$193)*Impacts!$F$17))</f>
        <v>0</v>
      </c>
      <c r="V3227" s="10">
        <f>IF(CAS!$C$7="",0,(SUMIF(CAS!$B$31:$B$167,$J3227,CAS!$E$31:$E$167)*Impacts!$F$18))</f>
        <v>0</v>
      </c>
      <c r="W3227" s="10">
        <f t="shared" si="91"/>
        <v>0</v>
      </c>
      <c r="AK3227" s="10" t="str">
        <f t="array" ref="AK3227">IFERROR(INDEX(SelectedSpecies,SMALL(IF(SelectedSpecies=AK$1,ROW(SelectedSpecies)),ROW(3228:3228)),2),"")</f>
        <v/>
      </c>
      <c r="BE3227" s="10"/>
      <c r="BI3227" s="10"/>
    </row>
    <row r="3228" spans="1:61" ht="21" customHeight="1" x14ac:dyDescent="0.25">
      <c r="A3228" s="10"/>
      <c r="B3228" s="10"/>
      <c r="E3228" s="10"/>
      <c r="G3228" s="10"/>
      <c r="I3228" s="436" t="s">
        <v>3321</v>
      </c>
      <c r="J3228" s="26" t="s">
        <v>3320</v>
      </c>
      <c r="K3228" s="10">
        <v>10</v>
      </c>
      <c r="L3228" s="73">
        <f>IF(Tank1!$C$23="No control",(SUMIF(Tank1!$B$32:$B$49,$J3228,Tank1!$C$32:$C$49)*Impacts!$F$8),0)</f>
        <v>0</v>
      </c>
      <c r="M3228" s="10">
        <f>IF(Tank2!$C$23="No control",(SUMIF(Tank2!$B$32:$B$49,$J3228,Tank2!$C$32:$C$49)*Impacts!$F$9),0)</f>
        <v>0</v>
      </c>
      <c r="N3228" s="10">
        <f>IF(Tank3!$C$23="No control",(SUMIF(Tank3!$B$32:$B$49,$J3228,Tank3!$C$32:$C$49)*Impacts!$F$10),0)</f>
        <v>0</v>
      </c>
      <c r="O3228" s="10">
        <f>IF(Tank4!$C$23="No control",(SUMIF(Tank4!$B$32:$B$49,$J3228,Tank4!$C$32:$C$49)*Impacts!$F$11),0)</f>
        <v>0</v>
      </c>
      <c r="P3228" s="10">
        <f>IF(Tank5!$C$23="No control",(SUMIF(Tank5!$B$32:$B$49,$J3228,Tank5!$C$32:$C$49)*Impacts!$F$12),0)</f>
        <v>0</v>
      </c>
      <c r="Q3228" s="10">
        <f>IFERROR(IF(('Loading-drum,tote'!$C$21)="No control",SUMIF(('Loading-drum,tote'!$B$31:$B$48),$J3228,('Loading-drum,tote'!$D$31:$D$48))*Impacts!$F$13,IF(('Loading-drum,tote'!$C$21)&lt;&gt;"No control",SUMIF(('Loading-drum,tote'!$B$31:$B$48),$J3228,('Loading-drum,tote'!$E$31:$E$48))*Impacts!$F$13,0)),0)</f>
        <v>0</v>
      </c>
      <c r="R3228" s="10">
        <f>IFERROR(IF(('Loading-truck'!$C$21)="No control",SUMIF(('Loading-truck'!$B$31:$B$48),$J3228,('Loading-truck'!$D$31:$D$48))*Impacts!$F$14,IF(('Loading-truck'!$C$21)&lt;&gt;"No control",SUMIF(('Loading-truck'!$B$31:$B$48),$J3228,('Loading-truck'!$E$31:$E$48))*Impacts!$F$14,0)),0)</f>
        <v>0</v>
      </c>
      <c r="S3228" s="10">
        <f>IFERROR(IF(('Loading-rail'!$C$21)="No control",SUMIF(('Loading-rail'!$B$31:$B$48),$J3228,('Loading-rail'!$D$31:$D$48))*Impacts!$F$15,IF(('Loading-rail'!$C$21)&lt;&gt;"No control",SUMIF(('Loading-rail'!$B$31:$B$48),$J3228,('Loading-rail'!$E$31:$E$48))*Impacts!$F$15,0)),0)</f>
        <v>0</v>
      </c>
      <c r="T3228" s="10">
        <f>IF(Flare!$C$7="",0,(SUMIF(Flare!$B$46:$B$185,$J3228,Flare!$E$46:$E$185)*Impacts!$F$16))</f>
        <v>0</v>
      </c>
      <c r="U3228" s="10">
        <f>IF(VCU!$C$9="",0,(SUMIF(VCU!$B$51:$B$193,$J3228,VCU!$E$51:$E$193)*Impacts!$F$17))</f>
        <v>0</v>
      </c>
      <c r="V3228" s="10">
        <f>IF(CAS!$C$7="",0,(SUMIF(CAS!$B$31:$B$167,$J3228,CAS!$E$31:$E$167)*Impacts!$F$18))</f>
        <v>0</v>
      </c>
      <c r="W3228" s="10">
        <f t="shared" si="91"/>
        <v>0</v>
      </c>
      <c r="AK3228" s="10" t="str">
        <f t="array" ref="AK3228">IFERROR(INDEX(SelectedSpecies,SMALL(IF(SelectedSpecies=AK$1,ROW(SelectedSpecies)),ROW(3229:3229)),2),"")</f>
        <v/>
      </c>
      <c r="BE3228" s="10"/>
      <c r="BI3228" s="10"/>
    </row>
    <row r="3229" spans="1:61" ht="21" customHeight="1" x14ac:dyDescent="0.25">
      <c r="A3229" s="10"/>
      <c r="B3229" s="10"/>
      <c r="E3229" s="10"/>
      <c r="G3229" s="10"/>
      <c r="I3229" s="436" t="s">
        <v>3323</v>
      </c>
      <c r="J3229" s="26" t="s">
        <v>3322</v>
      </c>
      <c r="K3229" s="10">
        <v>10</v>
      </c>
      <c r="L3229" s="73">
        <f>IF(Tank1!$C$23="No control",(SUMIF(Tank1!$B$32:$B$49,$J3229,Tank1!$C$32:$C$49)*Impacts!$F$8),0)</f>
        <v>0</v>
      </c>
      <c r="M3229" s="10">
        <f>IF(Tank2!$C$23="No control",(SUMIF(Tank2!$B$32:$B$49,$J3229,Tank2!$C$32:$C$49)*Impacts!$F$9),0)</f>
        <v>0</v>
      </c>
      <c r="N3229" s="10">
        <f>IF(Tank3!$C$23="No control",(SUMIF(Tank3!$B$32:$B$49,$J3229,Tank3!$C$32:$C$49)*Impacts!$F$10),0)</f>
        <v>0</v>
      </c>
      <c r="O3229" s="10">
        <f>IF(Tank4!$C$23="No control",(SUMIF(Tank4!$B$32:$B$49,$J3229,Tank4!$C$32:$C$49)*Impacts!$F$11),0)</f>
        <v>0</v>
      </c>
      <c r="P3229" s="10">
        <f>IF(Tank5!$C$23="No control",(SUMIF(Tank5!$B$32:$B$49,$J3229,Tank5!$C$32:$C$49)*Impacts!$F$12),0)</f>
        <v>0</v>
      </c>
      <c r="Q3229" s="10">
        <f>IFERROR(IF(('Loading-drum,tote'!$C$21)="No control",SUMIF(('Loading-drum,tote'!$B$31:$B$48),$J3229,('Loading-drum,tote'!$D$31:$D$48))*Impacts!$F$13,IF(('Loading-drum,tote'!$C$21)&lt;&gt;"No control",SUMIF(('Loading-drum,tote'!$B$31:$B$48),$J3229,('Loading-drum,tote'!$E$31:$E$48))*Impacts!$F$13,0)),0)</f>
        <v>0</v>
      </c>
      <c r="R3229" s="10">
        <f>IFERROR(IF(('Loading-truck'!$C$21)="No control",SUMIF(('Loading-truck'!$B$31:$B$48),$J3229,('Loading-truck'!$D$31:$D$48))*Impacts!$F$14,IF(('Loading-truck'!$C$21)&lt;&gt;"No control",SUMIF(('Loading-truck'!$B$31:$B$48),$J3229,('Loading-truck'!$E$31:$E$48))*Impacts!$F$14,0)),0)</f>
        <v>0</v>
      </c>
      <c r="S3229" s="10">
        <f>IFERROR(IF(('Loading-rail'!$C$21)="No control",SUMIF(('Loading-rail'!$B$31:$B$48),$J3229,('Loading-rail'!$D$31:$D$48))*Impacts!$F$15,IF(('Loading-rail'!$C$21)&lt;&gt;"No control",SUMIF(('Loading-rail'!$B$31:$B$48),$J3229,('Loading-rail'!$E$31:$E$48))*Impacts!$F$15,0)),0)</f>
        <v>0</v>
      </c>
      <c r="T3229" s="10">
        <f>IF(Flare!$C$7="",0,(SUMIF(Flare!$B$46:$B$185,$J3229,Flare!$E$46:$E$185)*Impacts!$F$16))</f>
        <v>0</v>
      </c>
      <c r="U3229" s="10">
        <f>IF(VCU!$C$9="",0,(SUMIF(VCU!$B$51:$B$193,$J3229,VCU!$E$51:$E$193)*Impacts!$F$17))</f>
        <v>0</v>
      </c>
      <c r="V3229" s="10">
        <f>IF(CAS!$C$7="",0,(SUMIF(CAS!$B$31:$B$167,$J3229,CAS!$E$31:$E$167)*Impacts!$F$18))</f>
        <v>0</v>
      </c>
      <c r="W3229" s="10">
        <f t="shared" si="91"/>
        <v>0</v>
      </c>
      <c r="AK3229" s="10" t="str">
        <f t="array" ref="AK3229">IFERROR(INDEX(SelectedSpecies,SMALL(IF(SelectedSpecies=AK$1,ROW(SelectedSpecies)),ROW(3230:3230)),2),"")</f>
        <v/>
      </c>
      <c r="BE3229" s="10"/>
      <c r="BI3229" s="10"/>
    </row>
    <row r="3230" spans="1:61" ht="21" customHeight="1" x14ac:dyDescent="0.25">
      <c r="A3230" s="10"/>
      <c r="B3230" s="10"/>
      <c r="E3230" s="10"/>
      <c r="G3230" s="10"/>
      <c r="I3230" s="436" t="s">
        <v>842</v>
      </c>
      <c r="J3230" s="26" t="s">
        <v>841</v>
      </c>
      <c r="K3230" s="10">
        <v>48</v>
      </c>
      <c r="L3230" s="73">
        <f>IF(Tank1!$C$23="No control",(SUMIF(Tank1!$B$32:$B$49,$J3230,Tank1!$C$32:$C$49)*Impacts!$F$8),0)</f>
        <v>0</v>
      </c>
      <c r="M3230" s="10">
        <f>IF(Tank2!$C$23="No control",(SUMIF(Tank2!$B$32:$B$49,$J3230,Tank2!$C$32:$C$49)*Impacts!$F$9),0)</f>
        <v>0</v>
      </c>
      <c r="N3230" s="10">
        <f>IF(Tank3!$C$23="No control",(SUMIF(Tank3!$B$32:$B$49,$J3230,Tank3!$C$32:$C$49)*Impacts!$F$10),0)</f>
        <v>0</v>
      </c>
      <c r="O3230" s="10">
        <f>IF(Tank4!$C$23="No control",(SUMIF(Tank4!$B$32:$B$49,$J3230,Tank4!$C$32:$C$49)*Impacts!$F$11),0)</f>
        <v>0</v>
      </c>
      <c r="P3230" s="10">
        <f>IF(Tank5!$C$23="No control",(SUMIF(Tank5!$B$32:$B$49,$J3230,Tank5!$C$32:$C$49)*Impacts!$F$12),0)</f>
        <v>0</v>
      </c>
      <c r="Q3230" s="10">
        <f>IFERROR(IF(('Loading-drum,tote'!$C$21)="No control",SUMIF(('Loading-drum,tote'!$B$31:$B$48),$J3230,('Loading-drum,tote'!$D$31:$D$48))*Impacts!$F$13,IF(('Loading-drum,tote'!$C$21)&lt;&gt;"No control",SUMIF(('Loading-drum,tote'!$B$31:$B$48),$J3230,('Loading-drum,tote'!$E$31:$E$48))*Impacts!$F$13,0)),0)</f>
        <v>0</v>
      </c>
      <c r="R3230" s="10">
        <f>IFERROR(IF(('Loading-truck'!$C$21)="No control",SUMIF(('Loading-truck'!$B$31:$B$48),$J3230,('Loading-truck'!$D$31:$D$48))*Impacts!$F$14,IF(('Loading-truck'!$C$21)&lt;&gt;"No control",SUMIF(('Loading-truck'!$B$31:$B$48),$J3230,('Loading-truck'!$E$31:$E$48))*Impacts!$F$14,0)),0)</f>
        <v>0</v>
      </c>
      <c r="S3230" s="10">
        <f>IFERROR(IF(('Loading-rail'!$C$21)="No control",SUMIF(('Loading-rail'!$B$31:$B$48),$J3230,('Loading-rail'!$D$31:$D$48))*Impacts!$F$15,IF(('Loading-rail'!$C$21)&lt;&gt;"No control",SUMIF(('Loading-rail'!$B$31:$B$48),$J3230,('Loading-rail'!$E$31:$E$48))*Impacts!$F$15,0)),0)</f>
        <v>0</v>
      </c>
      <c r="T3230" s="10">
        <f>IF(Flare!$C$7="",0,(SUMIF(Flare!$B$46:$B$185,$J3230,Flare!$E$46:$E$185)*Impacts!$F$16))</f>
        <v>0</v>
      </c>
      <c r="U3230" s="10">
        <f>IF(VCU!$C$9="",0,(SUMIF(VCU!$B$51:$B$193,$J3230,VCU!$E$51:$E$193)*Impacts!$F$17))</f>
        <v>0</v>
      </c>
      <c r="V3230" s="10">
        <f>IF(CAS!$C$7="",0,(SUMIF(CAS!$B$31:$B$167,$J3230,CAS!$E$31:$E$167)*Impacts!$F$18))</f>
        <v>0</v>
      </c>
      <c r="W3230" s="10">
        <f t="shared" si="91"/>
        <v>0</v>
      </c>
      <c r="AK3230" s="10" t="str">
        <f t="array" ref="AK3230">IFERROR(INDEX(SelectedSpecies,SMALL(IF(SelectedSpecies=AK$1,ROW(SelectedSpecies)),ROW(3231:3231)),2),"")</f>
        <v/>
      </c>
      <c r="BE3230" s="10"/>
      <c r="BI3230" s="10"/>
    </row>
    <row r="3231" spans="1:61" ht="21" customHeight="1" x14ac:dyDescent="0.25">
      <c r="A3231" s="10"/>
      <c r="B3231" s="10"/>
      <c r="E3231" s="10"/>
      <c r="G3231" s="10"/>
      <c r="I3231" s="436" t="s">
        <v>2365</v>
      </c>
      <c r="J3231" s="26" t="s">
        <v>2364</v>
      </c>
      <c r="K3231" s="10">
        <v>11</v>
      </c>
      <c r="L3231" s="73">
        <f>IF(Tank1!$C$23="No control",(SUMIF(Tank1!$B$32:$B$49,$J3231,Tank1!$C$32:$C$49)*Impacts!$F$8),0)</f>
        <v>0</v>
      </c>
      <c r="M3231" s="10">
        <f>IF(Tank2!$C$23="No control",(SUMIF(Tank2!$B$32:$B$49,$J3231,Tank2!$C$32:$C$49)*Impacts!$F$9),0)</f>
        <v>0</v>
      </c>
      <c r="N3231" s="10">
        <f>IF(Tank3!$C$23="No control",(SUMIF(Tank3!$B$32:$B$49,$J3231,Tank3!$C$32:$C$49)*Impacts!$F$10),0)</f>
        <v>0</v>
      </c>
      <c r="O3231" s="10">
        <f>IF(Tank4!$C$23="No control",(SUMIF(Tank4!$B$32:$B$49,$J3231,Tank4!$C$32:$C$49)*Impacts!$F$11),0)</f>
        <v>0</v>
      </c>
      <c r="P3231" s="10">
        <f>IF(Tank5!$C$23="No control",(SUMIF(Tank5!$B$32:$B$49,$J3231,Tank5!$C$32:$C$49)*Impacts!$F$12),0)</f>
        <v>0</v>
      </c>
      <c r="Q3231" s="10">
        <f>IFERROR(IF(('Loading-drum,tote'!$C$21)="No control",SUMIF(('Loading-drum,tote'!$B$31:$B$48),$J3231,('Loading-drum,tote'!$D$31:$D$48))*Impacts!$F$13,IF(('Loading-drum,tote'!$C$21)&lt;&gt;"No control",SUMIF(('Loading-drum,tote'!$B$31:$B$48),$J3231,('Loading-drum,tote'!$E$31:$E$48))*Impacts!$F$13,0)),0)</f>
        <v>0</v>
      </c>
      <c r="R3231" s="10">
        <f>IFERROR(IF(('Loading-truck'!$C$21)="No control",SUMIF(('Loading-truck'!$B$31:$B$48),$J3231,('Loading-truck'!$D$31:$D$48))*Impacts!$F$14,IF(('Loading-truck'!$C$21)&lt;&gt;"No control",SUMIF(('Loading-truck'!$B$31:$B$48),$J3231,('Loading-truck'!$E$31:$E$48))*Impacts!$F$14,0)),0)</f>
        <v>0</v>
      </c>
      <c r="S3231" s="10">
        <f>IFERROR(IF(('Loading-rail'!$C$21)="No control",SUMIF(('Loading-rail'!$B$31:$B$48),$J3231,('Loading-rail'!$D$31:$D$48))*Impacts!$F$15,IF(('Loading-rail'!$C$21)&lt;&gt;"No control",SUMIF(('Loading-rail'!$B$31:$B$48),$J3231,('Loading-rail'!$E$31:$E$48))*Impacts!$F$15,0)),0)</f>
        <v>0</v>
      </c>
      <c r="T3231" s="10">
        <f>IF(Flare!$C$7="",0,(SUMIF(Flare!$B$46:$B$185,$J3231,Flare!$E$46:$E$185)*Impacts!$F$16))</f>
        <v>0</v>
      </c>
      <c r="U3231" s="10">
        <f>IF(VCU!$C$9="",0,(SUMIF(VCU!$B$51:$B$193,$J3231,VCU!$E$51:$E$193)*Impacts!$F$17))</f>
        <v>0</v>
      </c>
      <c r="V3231" s="10">
        <f>IF(CAS!$C$7="",0,(SUMIF(CAS!$B$31:$B$167,$J3231,CAS!$E$31:$E$167)*Impacts!$F$18))</f>
        <v>0</v>
      </c>
      <c r="W3231" s="10">
        <f t="shared" si="91"/>
        <v>0</v>
      </c>
      <c r="AK3231" s="10" t="str">
        <f t="array" ref="AK3231">IFERROR(INDEX(SelectedSpecies,SMALL(IF(SelectedSpecies=AK$1,ROW(SelectedSpecies)),ROW(3232:3232)),2),"")</f>
        <v/>
      </c>
      <c r="BE3231" s="10"/>
      <c r="BI3231" s="10"/>
    </row>
    <row r="3232" spans="1:61" ht="21" customHeight="1" x14ac:dyDescent="0.25">
      <c r="A3232" s="10"/>
      <c r="B3232" s="10"/>
      <c r="E3232" s="10"/>
      <c r="G3232" s="10"/>
      <c r="I3232" s="436" t="s">
        <v>3325</v>
      </c>
      <c r="J3232" s="26" t="s">
        <v>3324</v>
      </c>
      <c r="K3232" s="10">
        <v>10</v>
      </c>
      <c r="L3232" s="73">
        <f>IF(Tank1!$C$23="No control",(SUMIF(Tank1!$B$32:$B$49,$J3232,Tank1!$C$32:$C$49)*Impacts!$F$8),0)</f>
        <v>0</v>
      </c>
      <c r="M3232" s="10">
        <f>IF(Tank2!$C$23="No control",(SUMIF(Tank2!$B$32:$B$49,$J3232,Tank2!$C$32:$C$49)*Impacts!$F$9),0)</f>
        <v>0</v>
      </c>
      <c r="N3232" s="10">
        <f>IF(Tank3!$C$23="No control",(SUMIF(Tank3!$B$32:$B$49,$J3232,Tank3!$C$32:$C$49)*Impacts!$F$10),0)</f>
        <v>0</v>
      </c>
      <c r="O3232" s="10">
        <f>IF(Tank4!$C$23="No control",(SUMIF(Tank4!$B$32:$B$49,$J3232,Tank4!$C$32:$C$49)*Impacts!$F$11),0)</f>
        <v>0</v>
      </c>
      <c r="P3232" s="10">
        <f>IF(Tank5!$C$23="No control",(SUMIF(Tank5!$B$32:$B$49,$J3232,Tank5!$C$32:$C$49)*Impacts!$F$12),0)</f>
        <v>0</v>
      </c>
      <c r="Q3232" s="10">
        <f>IFERROR(IF(('Loading-drum,tote'!$C$21)="No control",SUMIF(('Loading-drum,tote'!$B$31:$B$48),$J3232,('Loading-drum,tote'!$D$31:$D$48))*Impacts!$F$13,IF(('Loading-drum,tote'!$C$21)&lt;&gt;"No control",SUMIF(('Loading-drum,tote'!$B$31:$B$48),$J3232,('Loading-drum,tote'!$E$31:$E$48))*Impacts!$F$13,0)),0)</f>
        <v>0</v>
      </c>
      <c r="R3232" s="10">
        <f>IFERROR(IF(('Loading-truck'!$C$21)="No control",SUMIF(('Loading-truck'!$B$31:$B$48),$J3232,('Loading-truck'!$D$31:$D$48))*Impacts!$F$14,IF(('Loading-truck'!$C$21)&lt;&gt;"No control",SUMIF(('Loading-truck'!$B$31:$B$48),$J3232,('Loading-truck'!$E$31:$E$48))*Impacts!$F$14,0)),0)</f>
        <v>0</v>
      </c>
      <c r="S3232" s="10">
        <f>IFERROR(IF(('Loading-rail'!$C$21)="No control",SUMIF(('Loading-rail'!$B$31:$B$48),$J3232,('Loading-rail'!$D$31:$D$48))*Impacts!$F$15,IF(('Loading-rail'!$C$21)&lt;&gt;"No control",SUMIF(('Loading-rail'!$B$31:$B$48),$J3232,('Loading-rail'!$E$31:$E$48))*Impacts!$F$15,0)),0)</f>
        <v>0</v>
      </c>
      <c r="T3232" s="10">
        <f>IF(Flare!$C$7="",0,(SUMIF(Flare!$B$46:$B$185,$J3232,Flare!$E$46:$E$185)*Impacts!$F$16))</f>
        <v>0</v>
      </c>
      <c r="U3232" s="10">
        <f>IF(VCU!$C$9="",0,(SUMIF(VCU!$B$51:$B$193,$J3232,VCU!$E$51:$E$193)*Impacts!$F$17))</f>
        <v>0</v>
      </c>
      <c r="V3232" s="10">
        <f>IF(CAS!$C$7="",0,(SUMIF(CAS!$B$31:$B$167,$J3232,CAS!$E$31:$E$167)*Impacts!$F$18))</f>
        <v>0</v>
      </c>
      <c r="W3232" s="10">
        <f t="shared" si="91"/>
        <v>0</v>
      </c>
      <c r="AK3232" s="10" t="str">
        <f t="array" ref="AK3232">IFERROR(INDEX(SelectedSpecies,SMALL(IF(SelectedSpecies=AK$1,ROW(SelectedSpecies)),ROW(3233:3233)),2),"")</f>
        <v/>
      </c>
      <c r="BE3232" s="10"/>
      <c r="BI3232" s="10"/>
    </row>
    <row r="3233" spans="1:61" ht="21" customHeight="1" x14ac:dyDescent="0.25">
      <c r="A3233" s="10"/>
      <c r="B3233" s="10"/>
      <c r="E3233" s="10"/>
      <c r="G3233" s="10"/>
      <c r="I3233" s="436" t="s">
        <v>3327</v>
      </c>
      <c r="J3233" s="26" t="s">
        <v>3326</v>
      </c>
      <c r="K3233" s="10">
        <v>10</v>
      </c>
      <c r="L3233" s="73">
        <f>IF(Tank1!$C$23="No control",(SUMIF(Tank1!$B$32:$B$49,$J3233,Tank1!$C$32:$C$49)*Impacts!$F$8),0)</f>
        <v>0</v>
      </c>
      <c r="M3233" s="10">
        <f>IF(Tank2!$C$23="No control",(SUMIF(Tank2!$B$32:$B$49,$J3233,Tank2!$C$32:$C$49)*Impacts!$F$9),0)</f>
        <v>0</v>
      </c>
      <c r="N3233" s="10">
        <f>IF(Tank3!$C$23="No control",(SUMIF(Tank3!$B$32:$B$49,$J3233,Tank3!$C$32:$C$49)*Impacts!$F$10),0)</f>
        <v>0</v>
      </c>
      <c r="O3233" s="10">
        <f>IF(Tank4!$C$23="No control",(SUMIF(Tank4!$B$32:$B$49,$J3233,Tank4!$C$32:$C$49)*Impacts!$F$11),0)</f>
        <v>0</v>
      </c>
      <c r="P3233" s="10">
        <f>IF(Tank5!$C$23="No control",(SUMIF(Tank5!$B$32:$B$49,$J3233,Tank5!$C$32:$C$49)*Impacts!$F$12),0)</f>
        <v>0</v>
      </c>
      <c r="Q3233" s="10">
        <f>IFERROR(IF(('Loading-drum,tote'!$C$21)="No control",SUMIF(('Loading-drum,tote'!$B$31:$B$48),$J3233,('Loading-drum,tote'!$D$31:$D$48))*Impacts!$F$13,IF(('Loading-drum,tote'!$C$21)&lt;&gt;"No control",SUMIF(('Loading-drum,tote'!$B$31:$B$48),$J3233,('Loading-drum,tote'!$E$31:$E$48))*Impacts!$F$13,0)),0)</f>
        <v>0</v>
      </c>
      <c r="R3233" s="10">
        <f>IFERROR(IF(('Loading-truck'!$C$21)="No control",SUMIF(('Loading-truck'!$B$31:$B$48),$J3233,('Loading-truck'!$D$31:$D$48))*Impacts!$F$14,IF(('Loading-truck'!$C$21)&lt;&gt;"No control",SUMIF(('Loading-truck'!$B$31:$B$48),$J3233,('Loading-truck'!$E$31:$E$48))*Impacts!$F$14,0)),0)</f>
        <v>0</v>
      </c>
      <c r="S3233" s="10">
        <f>IFERROR(IF(('Loading-rail'!$C$21)="No control",SUMIF(('Loading-rail'!$B$31:$B$48),$J3233,('Loading-rail'!$D$31:$D$48))*Impacts!$F$15,IF(('Loading-rail'!$C$21)&lt;&gt;"No control",SUMIF(('Loading-rail'!$B$31:$B$48),$J3233,('Loading-rail'!$E$31:$E$48))*Impacts!$F$15,0)),0)</f>
        <v>0</v>
      </c>
      <c r="T3233" s="10">
        <f>IF(Flare!$C$7="",0,(SUMIF(Flare!$B$46:$B$185,$J3233,Flare!$E$46:$E$185)*Impacts!$F$16))</f>
        <v>0</v>
      </c>
      <c r="U3233" s="10">
        <f>IF(VCU!$C$9="",0,(SUMIF(VCU!$B$51:$B$193,$J3233,VCU!$E$51:$E$193)*Impacts!$F$17))</f>
        <v>0</v>
      </c>
      <c r="V3233" s="10">
        <f>IF(CAS!$C$7="",0,(SUMIF(CAS!$B$31:$B$167,$J3233,CAS!$E$31:$E$167)*Impacts!$F$18))</f>
        <v>0</v>
      </c>
      <c r="W3233" s="10">
        <f t="shared" si="91"/>
        <v>0</v>
      </c>
      <c r="AK3233" s="10" t="str">
        <f t="array" ref="AK3233">IFERROR(INDEX(SelectedSpecies,SMALL(IF(SelectedSpecies=AK$1,ROW(SelectedSpecies)),ROW(3234:3234)),2),"")</f>
        <v/>
      </c>
      <c r="BE3233" s="10"/>
      <c r="BI3233" s="10"/>
    </row>
    <row r="3234" spans="1:61" ht="21" customHeight="1" x14ac:dyDescent="0.25">
      <c r="A3234" s="10"/>
      <c r="B3234" s="10"/>
      <c r="E3234" s="10"/>
      <c r="G3234" s="10"/>
      <c r="I3234" s="436" t="s">
        <v>6924</v>
      </c>
      <c r="J3234" s="26" t="s">
        <v>6923</v>
      </c>
      <c r="K3234" s="10">
        <v>0.5</v>
      </c>
      <c r="L3234" s="73">
        <f>IF(Tank1!$C$23="No control",(SUMIF(Tank1!$B$32:$B$49,$J3234,Tank1!$C$32:$C$49)*Impacts!$F$8),0)</f>
        <v>0</v>
      </c>
      <c r="M3234" s="10">
        <f>IF(Tank2!$C$23="No control",(SUMIF(Tank2!$B$32:$B$49,$J3234,Tank2!$C$32:$C$49)*Impacts!$F$9),0)</f>
        <v>0</v>
      </c>
      <c r="N3234" s="10">
        <f>IF(Tank3!$C$23="No control",(SUMIF(Tank3!$B$32:$B$49,$J3234,Tank3!$C$32:$C$49)*Impacts!$F$10),0)</f>
        <v>0</v>
      </c>
      <c r="O3234" s="10">
        <f>IF(Tank4!$C$23="No control",(SUMIF(Tank4!$B$32:$B$49,$J3234,Tank4!$C$32:$C$49)*Impacts!$F$11),0)</f>
        <v>0</v>
      </c>
      <c r="P3234" s="10">
        <f>IF(Tank5!$C$23="No control",(SUMIF(Tank5!$B$32:$B$49,$J3234,Tank5!$C$32:$C$49)*Impacts!$F$12),0)</f>
        <v>0</v>
      </c>
      <c r="Q3234" s="10">
        <f>IFERROR(IF(('Loading-drum,tote'!$C$21)="No control",SUMIF(('Loading-drum,tote'!$B$31:$B$48),$J3234,('Loading-drum,tote'!$D$31:$D$48))*Impacts!$F$13,IF(('Loading-drum,tote'!$C$21)&lt;&gt;"No control",SUMIF(('Loading-drum,tote'!$B$31:$B$48),$J3234,('Loading-drum,tote'!$E$31:$E$48))*Impacts!$F$13,0)),0)</f>
        <v>0</v>
      </c>
      <c r="R3234" s="10">
        <f>IFERROR(IF(('Loading-truck'!$C$21)="No control",SUMIF(('Loading-truck'!$B$31:$B$48),$J3234,('Loading-truck'!$D$31:$D$48))*Impacts!$F$14,IF(('Loading-truck'!$C$21)&lt;&gt;"No control",SUMIF(('Loading-truck'!$B$31:$B$48),$J3234,('Loading-truck'!$E$31:$E$48))*Impacts!$F$14,0)),0)</f>
        <v>0</v>
      </c>
      <c r="S3234" s="10">
        <f>IFERROR(IF(('Loading-rail'!$C$21)="No control",SUMIF(('Loading-rail'!$B$31:$B$48),$J3234,('Loading-rail'!$D$31:$D$48))*Impacts!$F$15,IF(('Loading-rail'!$C$21)&lt;&gt;"No control",SUMIF(('Loading-rail'!$B$31:$B$48),$J3234,('Loading-rail'!$E$31:$E$48))*Impacts!$F$15,0)),0)</f>
        <v>0</v>
      </c>
      <c r="T3234" s="10">
        <f>IF(Flare!$C$7="",0,(SUMIF(Flare!$B$46:$B$185,$J3234,Flare!$E$46:$E$185)*Impacts!$F$16))</f>
        <v>0</v>
      </c>
      <c r="U3234" s="10">
        <f>IF(VCU!$C$9="",0,(SUMIF(VCU!$B$51:$B$193,$J3234,VCU!$E$51:$E$193)*Impacts!$F$17))</f>
        <v>0</v>
      </c>
      <c r="V3234" s="10">
        <f>IF(CAS!$C$7="",0,(SUMIF(CAS!$B$31:$B$167,$J3234,CAS!$E$31:$E$167)*Impacts!$F$18))</f>
        <v>0</v>
      </c>
      <c r="W3234" s="10">
        <f t="shared" si="91"/>
        <v>0</v>
      </c>
      <c r="AK3234" s="10" t="str">
        <f t="array" ref="AK3234">IFERROR(INDEX(SelectedSpecies,SMALL(IF(SelectedSpecies=AK$1,ROW(SelectedSpecies)),ROW(3235:3235)),2),"")</f>
        <v/>
      </c>
      <c r="BE3234" s="10"/>
      <c r="BI3234" s="10"/>
    </row>
    <row r="3235" spans="1:61" ht="21" customHeight="1" x14ac:dyDescent="0.25">
      <c r="A3235" s="10"/>
      <c r="B3235" s="10"/>
      <c r="E3235" s="10"/>
      <c r="G3235" s="10"/>
      <c r="I3235" s="436" t="s">
        <v>6130</v>
      </c>
      <c r="J3235" s="26" t="s">
        <v>6129</v>
      </c>
      <c r="K3235" s="10">
        <v>1</v>
      </c>
      <c r="L3235" s="73">
        <f>IF(Tank1!$C$23="No control",(SUMIF(Tank1!$B$32:$B$49,$J3235,Tank1!$C$32:$C$49)*Impacts!$F$8),0)</f>
        <v>0</v>
      </c>
      <c r="M3235" s="10">
        <f>IF(Tank2!$C$23="No control",(SUMIF(Tank2!$B$32:$B$49,$J3235,Tank2!$C$32:$C$49)*Impacts!$F$9),0)</f>
        <v>0</v>
      </c>
      <c r="N3235" s="10">
        <f>IF(Tank3!$C$23="No control",(SUMIF(Tank3!$B$32:$B$49,$J3235,Tank3!$C$32:$C$49)*Impacts!$F$10),0)</f>
        <v>0</v>
      </c>
      <c r="O3235" s="10">
        <f>IF(Tank4!$C$23="No control",(SUMIF(Tank4!$B$32:$B$49,$J3235,Tank4!$C$32:$C$49)*Impacts!$F$11),0)</f>
        <v>0</v>
      </c>
      <c r="P3235" s="10">
        <f>IF(Tank5!$C$23="No control",(SUMIF(Tank5!$B$32:$B$49,$J3235,Tank5!$C$32:$C$49)*Impacts!$F$12),0)</f>
        <v>0</v>
      </c>
      <c r="Q3235" s="10">
        <f>IFERROR(IF(('Loading-drum,tote'!$C$21)="No control",SUMIF(('Loading-drum,tote'!$B$31:$B$48),$J3235,('Loading-drum,tote'!$D$31:$D$48))*Impacts!$F$13,IF(('Loading-drum,tote'!$C$21)&lt;&gt;"No control",SUMIF(('Loading-drum,tote'!$B$31:$B$48),$J3235,('Loading-drum,tote'!$E$31:$E$48))*Impacts!$F$13,0)),0)</f>
        <v>0</v>
      </c>
      <c r="R3235" s="10">
        <f>IFERROR(IF(('Loading-truck'!$C$21)="No control",SUMIF(('Loading-truck'!$B$31:$B$48),$J3235,('Loading-truck'!$D$31:$D$48))*Impacts!$F$14,IF(('Loading-truck'!$C$21)&lt;&gt;"No control",SUMIF(('Loading-truck'!$B$31:$B$48),$J3235,('Loading-truck'!$E$31:$E$48))*Impacts!$F$14,0)),0)</f>
        <v>0</v>
      </c>
      <c r="S3235" s="10">
        <f>IFERROR(IF(('Loading-rail'!$C$21)="No control",SUMIF(('Loading-rail'!$B$31:$B$48),$J3235,('Loading-rail'!$D$31:$D$48))*Impacts!$F$15,IF(('Loading-rail'!$C$21)&lt;&gt;"No control",SUMIF(('Loading-rail'!$B$31:$B$48),$J3235,('Loading-rail'!$E$31:$E$48))*Impacts!$F$15,0)),0)</f>
        <v>0</v>
      </c>
      <c r="T3235" s="10">
        <f>IF(Flare!$C$7="",0,(SUMIF(Flare!$B$46:$B$185,$J3235,Flare!$E$46:$E$185)*Impacts!$F$16))</f>
        <v>0</v>
      </c>
      <c r="U3235" s="10">
        <f>IF(VCU!$C$9="",0,(SUMIF(VCU!$B$51:$B$193,$J3235,VCU!$E$51:$E$193)*Impacts!$F$17))</f>
        <v>0</v>
      </c>
      <c r="V3235" s="10">
        <f>IF(CAS!$C$7="",0,(SUMIF(CAS!$B$31:$B$167,$J3235,CAS!$E$31:$E$167)*Impacts!$F$18))</f>
        <v>0</v>
      </c>
      <c r="W3235" s="10">
        <f t="shared" si="91"/>
        <v>0</v>
      </c>
      <c r="AK3235" s="10" t="str">
        <f t="array" ref="AK3235">IFERROR(INDEX(SelectedSpecies,SMALL(IF(SelectedSpecies=AK$1,ROW(SelectedSpecies)),ROW(3236:3236)),2),"")</f>
        <v/>
      </c>
      <c r="BE3235" s="10"/>
      <c r="BI3235" s="10"/>
    </row>
    <row r="3236" spans="1:61" ht="21" customHeight="1" x14ac:dyDescent="0.25">
      <c r="A3236" s="10"/>
      <c r="B3236" s="10"/>
      <c r="E3236" s="10"/>
      <c r="G3236" s="10"/>
      <c r="I3236" s="436" t="s">
        <v>6926</v>
      </c>
      <c r="J3236" s="26" t="s">
        <v>6925</v>
      </c>
      <c r="K3236" s="10">
        <v>0.5</v>
      </c>
      <c r="L3236" s="73">
        <f>IF(Tank1!$C$23="No control",(SUMIF(Tank1!$B$32:$B$49,$J3236,Tank1!$C$32:$C$49)*Impacts!$F$8),0)</f>
        <v>0</v>
      </c>
      <c r="M3236" s="10">
        <f>IF(Tank2!$C$23="No control",(SUMIF(Tank2!$B$32:$B$49,$J3236,Tank2!$C$32:$C$49)*Impacts!$F$9),0)</f>
        <v>0</v>
      </c>
      <c r="N3236" s="10">
        <f>IF(Tank3!$C$23="No control",(SUMIF(Tank3!$B$32:$B$49,$J3236,Tank3!$C$32:$C$49)*Impacts!$F$10),0)</f>
        <v>0</v>
      </c>
      <c r="O3236" s="10">
        <f>IF(Tank4!$C$23="No control",(SUMIF(Tank4!$B$32:$B$49,$J3236,Tank4!$C$32:$C$49)*Impacts!$F$11),0)</f>
        <v>0</v>
      </c>
      <c r="P3236" s="10">
        <f>IF(Tank5!$C$23="No control",(SUMIF(Tank5!$B$32:$B$49,$J3236,Tank5!$C$32:$C$49)*Impacts!$F$12),0)</f>
        <v>0</v>
      </c>
      <c r="Q3236" s="10">
        <f>IFERROR(IF(('Loading-drum,tote'!$C$21)="No control",SUMIF(('Loading-drum,tote'!$B$31:$B$48),$J3236,('Loading-drum,tote'!$D$31:$D$48))*Impacts!$F$13,IF(('Loading-drum,tote'!$C$21)&lt;&gt;"No control",SUMIF(('Loading-drum,tote'!$B$31:$B$48),$J3236,('Loading-drum,tote'!$E$31:$E$48))*Impacts!$F$13,0)),0)</f>
        <v>0</v>
      </c>
      <c r="R3236" s="10">
        <f>IFERROR(IF(('Loading-truck'!$C$21)="No control",SUMIF(('Loading-truck'!$B$31:$B$48),$J3236,('Loading-truck'!$D$31:$D$48))*Impacts!$F$14,IF(('Loading-truck'!$C$21)&lt;&gt;"No control",SUMIF(('Loading-truck'!$B$31:$B$48),$J3236,('Loading-truck'!$E$31:$E$48))*Impacts!$F$14,0)),0)</f>
        <v>0</v>
      </c>
      <c r="S3236" s="10">
        <f>IFERROR(IF(('Loading-rail'!$C$21)="No control",SUMIF(('Loading-rail'!$B$31:$B$48),$J3236,('Loading-rail'!$D$31:$D$48))*Impacts!$F$15,IF(('Loading-rail'!$C$21)&lt;&gt;"No control",SUMIF(('Loading-rail'!$B$31:$B$48),$J3236,('Loading-rail'!$E$31:$E$48))*Impacts!$F$15,0)),0)</f>
        <v>0</v>
      </c>
      <c r="T3236" s="10">
        <f>IF(Flare!$C$7="",0,(SUMIF(Flare!$B$46:$B$185,$J3236,Flare!$E$46:$E$185)*Impacts!$F$16))</f>
        <v>0</v>
      </c>
      <c r="U3236" s="10">
        <f>IF(VCU!$C$9="",0,(SUMIF(VCU!$B$51:$B$193,$J3236,VCU!$E$51:$E$193)*Impacts!$F$17))</f>
        <v>0</v>
      </c>
      <c r="V3236" s="10">
        <f>IF(CAS!$C$7="",0,(SUMIF(CAS!$B$31:$B$167,$J3236,CAS!$E$31:$E$167)*Impacts!$F$18))</f>
        <v>0</v>
      </c>
      <c r="W3236" s="10">
        <f t="shared" si="91"/>
        <v>0</v>
      </c>
      <c r="AK3236" s="10" t="str">
        <f t="array" ref="AK3236">IFERROR(INDEX(SelectedSpecies,SMALL(IF(SelectedSpecies=AK$1,ROW(SelectedSpecies)),ROW(3237:3237)),2),"")</f>
        <v/>
      </c>
      <c r="BE3236" s="10"/>
      <c r="BI3236" s="10"/>
    </row>
    <row r="3237" spans="1:61" ht="21" customHeight="1" x14ac:dyDescent="0.25">
      <c r="A3237" s="10"/>
      <c r="B3237" s="10"/>
      <c r="E3237" s="10"/>
      <c r="G3237" s="10"/>
      <c r="I3237" s="436" t="s">
        <v>3861</v>
      </c>
      <c r="J3237" s="26" t="s">
        <v>3860</v>
      </c>
      <c r="K3237" s="10">
        <v>6</v>
      </c>
      <c r="L3237" s="73">
        <f>IF(Tank1!$C$23="No control",(SUMIF(Tank1!$B$32:$B$49,$J3237,Tank1!$C$32:$C$49)*Impacts!$F$8),0)</f>
        <v>0</v>
      </c>
      <c r="M3237" s="10">
        <f>IF(Tank2!$C$23="No control",(SUMIF(Tank2!$B$32:$B$49,$J3237,Tank2!$C$32:$C$49)*Impacts!$F$9),0)</f>
        <v>0</v>
      </c>
      <c r="N3237" s="10">
        <f>IF(Tank3!$C$23="No control",(SUMIF(Tank3!$B$32:$B$49,$J3237,Tank3!$C$32:$C$49)*Impacts!$F$10),0)</f>
        <v>0</v>
      </c>
      <c r="O3237" s="10">
        <f>IF(Tank4!$C$23="No control",(SUMIF(Tank4!$B$32:$B$49,$J3237,Tank4!$C$32:$C$49)*Impacts!$F$11),0)</f>
        <v>0</v>
      </c>
      <c r="P3237" s="10">
        <f>IF(Tank5!$C$23="No control",(SUMIF(Tank5!$B$32:$B$49,$J3237,Tank5!$C$32:$C$49)*Impacts!$F$12),0)</f>
        <v>0</v>
      </c>
      <c r="Q3237" s="10">
        <f>IFERROR(IF(('Loading-drum,tote'!$C$21)="No control",SUMIF(('Loading-drum,tote'!$B$31:$B$48),$J3237,('Loading-drum,tote'!$D$31:$D$48))*Impacts!$F$13,IF(('Loading-drum,tote'!$C$21)&lt;&gt;"No control",SUMIF(('Loading-drum,tote'!$B$31:$B$48),$J3237,('Loading-drum,tote'!$E$31:$E$48))*Impacts!$F$13,0)),0)</f>
        <v>0</v>
      </c>
      <c r="R3237" s="10">
        <f>IFERROR(IF(('Loading-truck'!$C$21)="No control",SUMIF(('Loading-truck'!$B$31:$B$48),$J3237,('Loading-truck'!$D$31:$D$48))*Impacts!$F$14,IF(('Loading-truck'!$C$21)&lt;&gt;"No control",SUMIF(('Loading-truck'!$B$31:$B$48),$J3237,('Loading-truck'!$E$31:$E$48))*Impacts!$F$14,0)),0)</f>
        <v>0</v>
      </c>
      <c r="S3237" s="10">
        <f>IFERROR(IF(('Loading-rail'!$C$21)="No control",SUMIF(('Loading-rail'!$B$31:$B$48),$J3237,('Loading-rail'!$D$31:$D$48))*Impacts!$F$15,IF(('Loading-rail'!$C$21)&lt;&gt;"No control",SUMIF(('Loading-rail'!$B$31:$B$48),$J3237,('Loading-rail'!$E$31:$E$48))*Impacts!$F$15,0)),0)</f>
        <v>0</v>
      </c>
      <c r="T3237" s="10">
        <f>IF(Flare!$C$7="",0,(SUMIF(Flare!$B$46:$B$185,$J3237,Flare!$E$46:$E$185)*Impacts!$F$16))</f>
        <v>0</v>
      </c>
      <c r="U3237" s="10">
        <f>IF(VCU!$C$9="",0,(SUMIF(VCU!$B$51:$B$193,$J3237,VCU!$E$51:$E$193)*Impacts!$F$17))</f>
        <v>0</v>
      </c>
      <c r="V3237" s="10">
        <f>IF(CAS!$C$7="",0,(SUMIF(CAS!$B$31:$B$167,$J3237,CAS!$E$31:$E$167)*Impacts!$F$18))</f>
        <v>0</v>
      </c>
      <c r="W3237" s="10">
        <f t="shared" si="91"/>
        <v>0</v>
      </c>
      <c r="AK3237" s="10" t="str">
        <f t="array" ref="AK3237">IFERROR(INDEX(SelectedSpecies,SMALL(IF(SelectedSpecies=AK$1,ROW(SelectedSpecies)),ROW(3238:3238)),2),"")</f>
        <v/>
      </c>
      <c r="BE3237" s="10"/>
      <c r="BI3237" s="10"/>
    </row>
    <row r="3238" spans="1:61" ht="21" customHeight="1" x14ac:dyDescent="0.25">
      <c r="A3238" s="10"/>
      <c r="B3238" s="10"/>
      <c r="E3238" s="10"/>
      <c r="G3238" s="10"/>
      <c r="I3238" s="436" t="s">
        <v>3329</v>
      </c>
      <c r="J3238" s="26" t="s">
        <v>3328</v>
      </c>
      <c r="K3238" s="10">
        <v>10</v>
      </c>
      <c r="L3238" s="73">
        <f>IF(Tank1!$C$23="No control",(SUMIF(Tank1!$B$32:$B$49,$J3238,Tank1!$C$32:$C$49)*Impacts!$F$8),0)</f>
        <v>0</v>
      </c>
      <c r="M3238" s="10">
        <f>IF(Tank2!$C$23="No control",(SUMIF(Tank2!$B$32:$B$49,$J3238,Tank2!$C$32:$C$49)*Impacts!$F$9),0)</f>
        <v>0</v>
      </c>
      <c r="N3238" s="10">
        <f>IF(Tank3!$C$23="No control",(SUMIF(Tank3!$B$32:$B$49,$J3238,Tank3!$C$32:$C$49)*Impacts!$F$10),0)</f>
        <v>0</v>
      </c>
      <c r="O3238" s="10">
        <f>IF(Tank4!$C$23="No control",(SUMIF(Tank4!$B$32:$B$49,$J3238,Tank4!$C$32:$C$49)*Impacts!$F$11),0)</f>
        <v>0</v>
      </c>
      <c r="P3238" s="10">
        <f>IF(Tank5!$C$23="No control",(SUMIF(Tank5!$B$32:$B$49,$J3238,Tank5!$C$32:$C$49)*Impacts!$F$12),0)</f>
        <v>0</v>
      </c>
      <c r="Q3238" s="10">
        <f>IFERROR(IF(('Loading-drum,tote'!$C$21)="No control",SUMIF(('Loading-drum,tote'!$B$31:$B$48),$J3238,('Loading-drum,tote'!$D$31:$D$48))*Impacts!$F$13,IF(('Loading-drum,tote'!$C$21)&lt;&gt;"No control",SUMIF(('Loading-drum,tote'!$B$31:$B$48),$J3238,('Loading-drum,tote'!$E$31:$E$48))*Impacts!$F$13,0)),0)</f>
        <v>0</v>
      </c>
      <c r="R3238" s="10">
        <f>IFERROR(IF(('Loading-truck'!$C$21)="No control",SUMIF(('Loading-truck'!$B$31:$B$48),$J3238,('Loading-truck'!$D$31:$D$48))*Impacts!$F$14,IF(('Loading-truck'!$C$21)&lt;&gt;"No control",SUMIF(('Loading-truck'!$B$31:$B$48),$J3238,('Loading-truck'!$E$31:$E$48))*Impacts!$F$14,0)),0)</f>
        <v>0</v>
      </c>
      <c r="S3238" s="10">
        <f>IFERROR(IF(('Loading-rail'!$C$21)="No control",SUMIF(('Loading-rail'!$B$31:$B$48),$J3238,('Loading-rail'!$D$31:$D$48))*Impacts!$F$15,IF(('Loading-rail'!$C$21)&lt;&gt;"No control",SUMIF(('Loading-rail'!$B$31:$B$48),$J3238,('Loading-rail'!$E$31:$E$48))*Impacts!$F$15,0)),0)</f>
        <v>0</v>
      </c>
      <c r="T3238" s="10">
        <f>IF(Flare!$C$7="",0,(SUMIF(Flare!$B$46:$B$185,$J3238,Flare!$E$46:$E$185)*Impacts!$F$16))</f>
        <v>0</v>
      </c>
      <c r="U3238" s="10">
        <f>IF(VCU!$C$9="",0,(SUMIF(VCU!$B$51:$B$193,$J3238,VCU!$E$51:$E$193)*Impacts!$F$17))</f>
        <v>0</v>
      </c>
      <c r="V3238" s="10">
        <f>IF(CAS!$C$7="",0,(SUMIF(CAS!$B$31:$B$167,$J3238,CAS!$E$31:$E$167)*Impacts!$F$18))</f>
        <v>0</v>
      </c>
      <c r="W3238" s="10">
        <f t="shared" si="91"/>
        <v>0</v>
      </c>
      <c r="AK3238" s="10" t="str">
        <f t="array" ref="AK3238">IFERROR(INDEX(SelectedSpecies,SMALL(IF(SelectedSpecies=AK$1,ROW(SelectedSpecies)),ROW(3239:3239)),2),"")</f>
        <v/>
      </c>
      <c r="BE3238" s="10"/>
      <c r="BI3238" s="10"/>
    </row>
    <row r="3239" spans="1:61" ht="21" customHeight="1" x14ac:dyDescent="0.25">
      <c r="A3239" s="10"/>
      <c r="B3239" s="10"/>
      <c r="E3239" s="10"/>
      <c r="G3239" s="10"/>
      <c r="I3239" s="436" t="s">
        <v>3331</v>
      </c>
      <c r="J3239" s="26" t="s">
        <v>3330</v>
      </c>
      <c r="K3239" s="10">
        <v>10</v>
      </c>
      <c r="L3239" s="73">
        <f>IF(Tank1!$C$23="No control",(SUMIF(Tank1!$B$32:$B$49,$J3239,Tank1!$C$32:$C$49)*Impacts!$F$8),0)</f>
        <v>0</v>
      </c>
      <c r="M3239" s="10">
        <f>IF(Tank2!$C$23="No control",(SUMIF(Tank2!$B$32:$B$49,$J3239,Tank2!$C$32:$C$49)*Impacts!$F$9),0)</f>
        <v>0</v>
      </c>
      <c r="N3239" s="10">
        <f>IF(Tank3!$C$23="No control",(SUMIF(Tank3!$B$32:$B$49,$J3239,Tank3!$C$32:$C$49)*Impacts!$F$10),0)</f>
        <v>0</v>
      </c>
      <c r="O3239" s="10">
        <f>IF(Tank4!$C$23="No control",(SUMIF(Tank4!$B$32:$B$49,$J3239,Tank4!$C$32:$C$49)*Impacts!$F$11),0)</f>
        <v>0</v>
      </c>
      <c r="P3239" s="10">
        <f>IF(Tank5!$C$23="No control",(SUMIF(Tank5!$B$32:$B$49,$J3239,Tank5!$C$32:$C$49)*Impacts!$F$12),0)</f>
        <v>0</v>
      </c>
      <c r="Q3239" s="10">
        <f>IFERROR(IF(('Loading-drum,tote'!$C$21)="No control",SUMIF(('Loading-drum,tote'!$B$31:$B$48),$J3239,('Loading-drum,tote'!$D$31:$D$48))*Impacts!$F$13,IF(('Loading-drum,tote'!$C$21)&lt;&gt;"No control",SUMIF(('Loading-drum,tote'!$B$31:$B$48),$J3239,('Loading-drum,tote'!$E$31:$E$48))*Impacts!$F$13,0)),0)</f>
        <v>0</v>
      </c>
      <c r="R3239" s="10">
        <f>IFERROR(IF(('Loading-truck'!$C$21)="No control",SUMIF(('Loading-truck'!$B$31:$B$48),$J3239,('Loading-truck'!$D$31:$D$48))*Impacts!$F$14,IF(('Loading-truck'!$C$21)&lt;&gt;"No control",SUMIF(('Loading-truck'!$B$31:$B$48),$J3239,('Loading-truck'!$E$31:$E$48))*Impacts!$F$14,0)),0)</f>
        <v>0</v>
      </c>
      <c r="S3239" s="10">
        <f>IFERROR(IF(('Loading-rail'!$C$21)="No control",SUMIF(('Loading-rail'!$B$31:$B$48),$J3239,('Loading-rail'!$D$31:$D$48))*Impacts!$F$15,IF(('Loading-rail'!$C$21)&lt;&gt;"No control",SUMIF(('Loading-rail'!$B$31:$B$48),$J3239,('Loading-rail'!$E$31:$E$48))*Impacts!$F$15,0)),0)</f>
        <v>0</v>
      </c>
      <c r="T3239" s="10">
        <f>IF(Flare!$C$7="",0,(SUMIF(Flare!$B$46:$B$185,$J3239,Flare!$E$46:$E$185)*Impacts!$F$16))</f>
        <v>0</v>
      </c>
      <c r="U3239" s="10">
        <f>IF(VCU!$C$9="",0,(SUMIF(VCU!$B$51:$B$193,$J3239,VCU!$E$51:$E$193)*Impacts!$F$17))</f>
        <v>0</v>
      </c>
      <c r="V3239" s="10">
        <f>IF(CAS!$C$7="",0,(SUMIF(CAS!$B$31:$B$167,$J3239,CAS!$E$31:$E$167)*Impacts!$F$18))</f>
        <v>0</v>
      </c>
      <c r="W3239" s="10">
        <f t="shared" si="91"/>
        <v>0</v>
      </c>
      <c r="AK3239" s="10" t="str">
        <f t="array" ref="AK3239">IFERROR(INDEX(SelectedSpecies,SMALL(IF(SelectedSpecies=AK$1,ROW(SelectedSpecies)),ROW(3240:3240)),2),"")</f>
        <v/>
      </c>
      <c r="BE3239" s="10"/>
      <c r="BI3239" s="10"/>
    </row>
    <row r="3240" spans="1:61" ht="21" customHeight="1" x14ac:dyDescent="0.25">
      <c r="A3240" s="10"/>
      <c r="B3240" s="10"/>
      <c r="E3240" s="10"/>
      <c r="G3240" s="10"/>
      <c r="I3240" s="436" t="s">
        <v>734</v>
      </c>
      <c r="J3240" s="26" t="s">
        <v>733</v>
      </c>
      <c r="K3240" s="10">
        <v>57</v>
      </c>
      <c r="L3240" s="73">
        <f>IF(Tank1!$C$23="No control",(SUMIF(Tank1!$B$32:$B$49,$J3240,Tank1!$C$32:$C$49)*Impacts!$F$8),0)</f>
        <v>0</v>
      </c>
      <c r="M3240" s="10">
        <f>IF(Tank2!$C$23="No control",(SUMIF(Tank2!$B$32:$B$49,$J3240,Tank2!$C$32:$C$49)*Impacts!$F$9),0)</f>
        <v>0</v>
      </c>
      <c r="N3240" s="10">
        <f>IF(Tank3!$C$23="No control",(SUMIF(Tank3!$B$32:$B$49,$J3240,Tank3!$C$32:$C$49)*Impacts!$F$10),0)</f>
        <v>0</v>
      </c>
      <c r="O3240" s="10">
        <f>IF(Tank4!$C$23="No control",(SUMIF(Tank4!$B$32:$B$49,$J3240,Tank4!$C$32:$C$49)*Impacts!$F$11),0)</f>
        <v>0</v>
      </c>
      <c r="P3240" s="10">
        <f>IF(Tank5!$C$23="No control",(SUMIF(Tank5!$B$32:$B$49,$J3240,Tank5!$C$32:$C$49)*Impacts!$F$12),0)</f>
        <v>0</v>
      </c>
      <c r="Q3240" s="10">
        <f>IFERROR(IF(('Loading-drum,tote'!$C$21)="No control",SUMIF(('Loading-drum,tote'!$B$31:$B$48),$J3240,('Loading-drum,tote'!$D$31:$D$48))*Impacts!$F$13,IF(('Loading-drum,tote'!$C$21)&lt;&gt;"No control",SUMIF(('Loading-drum,tote'!$B$31:$B$48),$J3240,('Loading-drum,tote'!$E$31:$E$48))*Impacts!$F$13,0)),0)</f>
        <v>0</v>
      </c>
      <c r="R3240" s="10">
        <f>IFERROR(IF(('Loading-truck'!$C$21)="No control",SUMIF(('Loading-truck'!$B$31:$B$48),$J3240,('Loading-truck'!$D$31:$D$48))*Impacts!$F$14,IF(('Loading-truck'!$C$21)&lt;&gt;"No control",SUMIF(('Loading-truck'!$B$31:$B$48),$J3240,('Loading-truck'!$E$31:$E$48))*Impacts!$F$14,0)),0)</f>
        <v>0</v>
      </c>
      <c r="S3240" s="10">
        <f>IFERROR(IF(('Loading-rail'!$C$21)="No control",SUMIF(('Loading-rail'!$B$31:$B$48),$J3240,('Loading-rail'!$D$31:$D$48))*Impacts!$F$15,IF(('Loading-rail'!$C$21)&lt;&gt;"No control",SUMIF(('Loading-rail'!$B$31:$B$48),$J3240,('Loading-rail'!$E$31:$E$48))*Impacts!$F$15,0)),0)</f>
        <v>0</v>
      </c>
      <c r="T3240" s="10">
        <f>IF(Flare!$C$7="",0,(SUMIF(Flare!$B$46:$B$185,$J3240,Flare!$E$46:$E$185)*Impacts!$F$16))</f>
        <v>0</v>
      </c>
      <c r="U3240" s="10">
        <f>IF(VCU!$C$9="",0,(SUMIF(VCU!$B$51:$B$193,$J3240,VCU!$E$51:$E$193)*Impacts!$F$17))</f>
        <v>0</v>
      </c>
      <c r="V3240" s="10">
        <f>IF(CAS!$C$7="",0,(SUMIF(CAS!$B$31:$B$167,$J3240,CAS!$E$31:$E$167)*Impacts!$F$18))</f>
        <v>0</v>
      </c>
      <c r="W3240" s="10">
        <f t="shared" si="91"/>
        <v>0</v>
      </c>
      <c r="AK3240" s="10" t="str">
        <f t="array" ref="AK3240">IFERROR(INDEX(SelectedSpecies,SMALL(IF(SelectedSpecies=AK$1,ROW(SelectedSpecies)),ROW(3241:3241)),2),"")</f>
        <v/>
      </c>
      <c r="BE3240" s="10"/>
      <c r="BI3240" s="10"/>
    </row>
    <row r="3241" spans="1:61" ht="21" customHeight="1" x14ac:dyDescent="0.25">
      <c r="A3241" s="10"/>
      <c r="B3241" s="10"/>
      <c r="E3241" s="10"/>
      <c r="G3241" s="10"/>
      <c r="I3241" s="436" t="s">
        <v>455</v>
      </c>
      <c r="J3241" s="26" t="s">
        <v>454</v>
      </c>
      <c r="K3241" s="10">
        <v>164</v>
      </c>
      <c r="L3241" s="73">
        <f>IF(Tank1!$C$23="No control",(SUMIF(Tank1!$B$32:$B$49,$J3241,Tank1!$C$32:$C$49)*Impacts!$F$8),0)</f>
        <v>0</v>
      </c>
      <c r="M3241" s="10">
        <f>IF(Tank2!$C$23="No control",(SUMIF(Tank2!$B$32:$B$49,$J3241,Tank2!$C$32:$C$49)*Impacts!$F$9),0)</f>
        <v>0</v>
      </c>
      <c r="N3241" s="10">
        <f>IF(Tank3!$C$23="No control",(SUMIF(Tank3!$B$32:$B$49,$J3241,Tank3!$C$32:$C$49)*Impacts!$F$10),0)</f>
        <v>0</v>
      </c>
      <c r="O3241" s="10">
        <f>IF(Tank4!$C$23="No control",(SUMIF(Tank4!$B$32:$B$49,$J3241,Tank4!$C$32:$C$49)*Impacts!$F$11),0)</f>
        <v>0</v>
      </c>
      <c r="P3241" s="10">
        <f>IF(Tank5!$C$23="No control",(SUMIF(Tank5!$B$32:$B$49,$J3241,Tank5!$C$32:$C$49)*Impacts!$F$12),0)</f>
        <v>0</v>
      </c>
      <c r="Q3241" s="10">
        <f>IFERROR(IF(('Loading-drum,tote'!$C$21)="No control",SUMIF(('Loading-drum,tote'!$B$31:$B$48),$J3241,('Loading-drum,tote'!$D$31:$D$48))*Impacts!$F$13,IF(('Loading-drum,tote'!$C$21)&lt;&gt;"No control",SUMIF(('Loading-drum,tote'!$B$31:$B$48),$J3241,('Loading-drum,tote'!$E$31:$E$48))*Impacts!$F$13,0)),0)</f>
        <v>0</v>
      </c>
      <c r="R3241" s="10">
        <f>IFERROR(IF(('Loading-truck'!$C$21)="No control",SUMIF(('Loading-truck'!$B$31:$B$48),$J3241,('Loading-truck'!$D$31:$D$48))*Impacts!$F$14,IF(('Loading-truck'!$C$21)&lt;&gt;"No control",SUMIF(('Loading-truck'!$B$31:$B$48),$J3241,('Loading-truck'!$E$31:$E$48))*Impacts!$F$14,0)),0)</f>
        <v>0</v>
      </c>
      <c r="S3241" s="10">
        <f>IFERROR(IF(('Loading-rail'!$C$21)="No control",SUMIF(('Loading-rail'!$B$31:$B$48),$J3241,('Loading-rail'!$D$31:$D$48))*Impacts!$F$15,IF(('Loading-rail'!$C$21)&lt;&gt;"No control",SUMIF(('Loading-rail'!$B$31:$B$48),$J3241,('Loading-rail'!$E$31:$E$48))*Impacts!$F$15,0)),0)</f>
        <v>0</v>
      </c>
      <c r="T3241" s="10">
        <f>IF(Flare!$C$7="",0,(SUMIF(Flare!$B$46:$B$185,$J3241,Flare!$E$46:$E$185)*Impacts!$F$16))</f>
        <v>0</v>
      </c>
      <c r="U3241" s="10">
        <f>IF(VCU!$C$9="",0,(SUMIF(VCU!$B$51:$B$193,$J3241,VCU!$E$51:$E$193)*Impacts!$F$17))</f>
        <v>0</v>
      </c>
      <c r="V3241" s="10">
        <f>IF(CAS!$C$7="",0,(SUMIF(CAS!$B$31:$B$167,$J3241,CAS!$E$31:$E$167)*Impacts!$F$18))</f>
        <v>0</v>
      </c>
      <c r="W3241" s="10">
        <f t="shared" si="91"/>
        <v>0</v>
      </c>
      <c r="AK3241" s="10" t="str">
        <f t="array" ref="AK3241">IFERROR(INDEX(SelectedSpecies,SMALL(IF(SelectedSpecies=AK$1,ROW(SelectedSpecies)),ROW(3242:3242)),2),"")</f>
        <v/>
      </c>
      <c r="BE3241" s="10"/>
      <c r="BI3241" s="10"/>
    </row>
    <row r="3242" spans="1:61" ht="21" customHeight="1" x14ac:dyDescent="0.25">
      <c r="A3242" s="10"/>
      <c r="B3242" s="10"/>
      <c r="E3242" s="10"/>
      <c r="G3242" s="10"/>
      <c r="I3242" s="436" t="s">
        <v>7652</v>
      </c>
      <c r="J3242" s="26" t="s">
        <v>7651</v>
      </c>
      <c r="K3242" s="10">
        <v>0.13</v>
      </c>
      <c r="L3242" s="73">
        <f>IF(Tank1!$C$23="No control",(SUMIF(Tank1!$B$32:$B$49,$J3242,Tank1!$C$32:$C$49)*Impacts!$F$8),0)</f>
        <v>0</v>
      </c>
      <c r="M3242" s="10">
        <f>IF(Tank2!$C$23="No control",(SUMIF(Tank2!$B$32:$B$49,$J3242,Tank2!$C$32:$C$49)*Impacts!$F$9),0)</f>
        <v>0</v>
      </c>
      <c r="N3242" s="10">
        <f>IF(Tank3!$C$23="No control",(SUMIF(Tank3!$B$32:$B$49,$J3242,Tank3!$C$32:$C$49)*Impacts!$F$10),0)</f>
        <v>0</v>
      </c>
      <c r="O3242" s="10">
        <f>IF(Tank4!$C$23="No control",(SUMIF(Tank4!$B$32:$B$49,$J3242,Tank4!$C$32:$C$49)*Impacts!$F$11),0)</f>
        <v>0</v>
      </c>
      <c r="P3242" s="10">
        <f>IF(Tank5!$C$23="No control",(SUMIF(Tank5!$B$32:$B$49,$J3242,Tank5!$C$32:$C$49)*Impacts!$F$12),0)</f>
        <v>0</v>
      </c>
      <c r="Q3242" s="10">
        <f>IFERROR(IF(('Loading-drum,tote'!$C$21)="No control",SUMIF(('Loading-drum,tote'!$B$31:$B$48),$J3242,('Loading-drum,tote'!$D$31:$D$48))*Impacts!$F$13,IF(('Loading-drum,tote'!$C$21)&lt;&gt;"No control",SUMIF(('Loading-drum,tote'!$B$31:$B$48),$J3242,('Loading-drum,tote'!$E$31:$E$48))*Impacts!$F$13,0)),0)</f>
        <v>0</v>
      </c>
      <c r="R3242" s="10">
        <f>IFERROR(IF(('Loading-truck'!$C$21)="No control",SUMIF(('Loading-truck'!$B$31:$B$48),$J3242,('Loading-truck'!$D$31:$D$48))*Impacts!$F$14,IF(('Loading-truck'!$C$21)&lt;&gt;"No control",SUMIF(('Loading-truck'!$B$31:$B$48),$J3242,('Loading-truck'!$E$31:$E$48))*Impacts!$F$14,0)),0)</f>
        <v>0</v>
      </c>
      <c r="S3242" s="10">
        <f>IFERROR(IF(('Loading-rail'!$C$21)="No control",SUMIF(('Loading-rail'!$B$31:$B$48),$J3242,('Loading-rail'!$D$31:$D$48))*Impacts!$F$15,IF(('Loading-rail'!$C$21)&lt;&gt;"No control",SUMIF(('Loading-rail'!$B$31:$B$48),$J3242,('Loading-rail'!$E$31:$E$48))*Impacts!$F$15,0)),0)</f>
        <v>0</v>
      </c>
      <c r="T3242" s="10">
        <f>IF(Flare!$C$7="",0,(SUMIF(Flare!$B$46:$B$185,$J3242,Flare!$E$46:$E$185)*Impacts!$F$16))</f>
        <v>0</v>
      </c>
      <c r="U3242" s="10">
        <f>IF(VCU!$C$9="",0,(SUMIF(VCU!$B$51:$B$193,$J3242,VCU!$E$51:$E$193)*Impacts!$F$17))</f>
        <v>0</v>
      </c>
      <c r="V3242" s="10">
        <f>IF(CAS!$C$7="",0,(SUMIF(CAS!$B$31:$B$167,$J3242,CAS!$E$31:$E$167)*Impacts!$F$18))</f>
        <v>0</v>
      </c>
      <c r="W3242" s="10">
        <f t="shared" si="91"/>
        <v>0</v>
      </c>
      <c r="AK3242" s="10" t="str">
        <f t="array" ref="AK3242">IFERROR(INDEX(SelectedSpecies,SMALL(IF(SelectedSpecies=AK$1,ROW(SelectedSpecies)),ROW(3243:3243)),2),"")</f>
        <v/>
      </c>
      <c r="BE3242" s="10"/>
      <c r="BI3242" s="10"/>
    </row>
    <row r="3243" spans="1:61" ht="21" customHeight="1" x14ac:dyDescent="0.25">
      <c r="A3243" s="10"/>
      <c r="B3243" s="10"/>
      <c r="E3243" s="10"/>
      <c r="G3243" s="10"/>
      <c r="I3243" s="436" t="s">
        <v>3863</v>
      </c>
      <c r="J3243" s="26" t="s">
        <v>3862</v>
      </c>
      <c r="K3243" s="10">
        <v>6</v>
      </c>
      <c r="L3243" s="73">
        <f>IF(Tank1!$C$23="No control",(SUMIF(Tank1!$B$32:$B$49,$J3243,Tank1!$C$32:$C$49)*Impacts!$F$8),0)</f>
        <v>0</v>
      </c>
      <c r="M3243" s="10">
        <f>IF(Tank2!$C$23="No control",(SUMIF(Tank2!$B$32:$B$49,$J3243,Tank2!$C$32:$C$49)*Impacts!$F$9),0)</f>
        <v>0</v>
      </c>
      <c r="N3243" s="10">
        <f>IF(Tank3!$C$23="No control",(SUMIF(Tank3!$B$32:$B$49,$J3243,Tank3!$C$32:$C$49)*Impacts!$F$10),0)</f>
        <v>0</v>
      </c>
      <c r="O3243" s="10">
        <f>IF(Tank4!$C$23="No control",(SUMIF(Tank4!$B$32:$B$49,$J3243,Tank4!$C$32:$C$49)*Impacts!$F$11),0)</f>
        <v>0</v>
      </c>
      <c r="P3243" s="10">
        <f>IF(Tank5!$C$23="No control",(SUMIF(Tank5!$B$32:$B$49,$J3243,Tank5!$C$32:$C$49)*Impacts!$F$12),0)</f>
        <v>0</v>
      </c>
      <c r="Q3243" s="10">
        <f>IFERROR(IF(('Loading-drum,tote'!$C$21)="No control",SUMIF(('Loading-drum,tote'!$B$31:$B$48),$J3243,('Loading-drum,tote'!$D$31:$D$48))*Impacts!$F$13,IF(('Loading-drum,tote'!$C$21)&lt;&gt;"No control",SUMIF(('Loading-drum,tote'!$B$31:$B$48),$J3243,('Loading-drum,tote'!$E$31:$E$48))*Impacts!$F$13,0)),0)</f>
        <v>0</v>
      </c>
      <c r="R3243" s="10">
        <f>IFERROR(IF(('Loading-truck'!$C$21)="No control",SUMIF(('Loading-truck'!$B$31:$B$48),$J3243,('Loading-truck'!$D$31:$D$48))*Impacts!$F$14,IF(('Loading-truck'!$C$21)&lt;&gt;"No control",SUMIF(('Loading-truck'!$B$31:$B$48),$J3243,('Loading-truck'!$E$31:$E$48))*Impacts!$F$14,0)),0)</f>
        <v>0</v>
      </c>
      <c r="S3243" s="10">
        <f>IFERROR(IF(('Loading-rail'!$C$21)="No control",SUMIF(('Loading-rail'!$B$31:$B$48),$J3243,('Loading-rail'!$D$31:$D$48))*Impacts!$F$15,IF(('Loading-rail'!$C$21)&lt;&gt;"No control",SUMIF(('Loading-rail'!$B$31:$B$48),$J3243,('Loading-rail'!$E$31:$E$48))*Impacts!$F$15,0)),0)</f>
        <v>0</v>
      </c>
      <c r="T3243" s="10">
        <f>IF(Flare!$C$7="",0,(SUMIF(Flare!$B$46:$B$185,$J3243,Flare!$E$46:$E$185)*Impacts!$F$16))</f>
        <v>0</v>
      </c>
      <c r="U3243" s="10">
        <f>IF(VCU!$C$9="",0,(SUMIF(VCU!$B$51:$B$193,$J3243,VCU!$E$51:$E$193)*Impacts!$F$17))</f>
        <v>0</v>
      </c>
      <c r="V3243" s="10">
        <f>IF(CAS!$C$7="",0,(SUMIF(CAS!$B$31:$B$167,$J3243,CAS!$E$31:$E$167)*Impacts!$F$18))</f>
        <v>0</v>
      </c>
      <c r="W3243" s="10">
        <f t="shared" si="91"/>
        <v>0</v>
      </c>
      <c r="AK3243" s="10" t="str">
        <f t="array" ref="AK3243">IFERROR(INDEX(SelectedSpecies,SMALL(IF(SelectedSpecies=AK$1,ROW(SelectedSpecies)),ROW(3244:3244)),2),"")</f>
        <v/>
      </c>
      <c r="BE3243" s="10"/>
      <c r="BI3243" s="10"/>
    </row>
    <row r="3244" spans="1:61" ht="21" customHeight="1" x14ac:dyDescent="0.25">
      <c r="A3244" s="10"/>
      <c r="B3244" s="10"/>
      <c r="E3244" s="10"/>
      <c r="G3244" s="10"/>
      <c r="I3244" s="436" t="s">
        <v>3865</v>
      </c>
      <c r="J3244" s="26" t="s">
        <v>3864</v>
      </c>
      <c r="K3244" s="10">
        <v>6</v>
      </c>
      <c r="L3244" s="73">
        <f>IF(Tank1!$C$23="No control",(SUMIF(Tank1!$B$32:$B$49,$J3244,Tank1!$C$32:$C$49)*Impacts!$F$8),0)</f>
        <v>0</v>
      </c>
      <c r="M3244" s="10">
        <f>IF(Tank2!$C$23="No control",(SUMIF(Tank2!$B$32:$B$49,$J3244,Tank2!$C$32:$C$49)*Impacts!$F$9),0)</f>
        <v>0</v>
      </c>
      <c r="N3244" s="10">
        <f>IF(Tank3!$C$23="No control",(SUMIF(Tank3!$B$32:$B$49,$J3244,Tank3!$C$32:$C$49)*Impacts!$F$10),0)</f>
        <v>0</v>
      </c>
      <c r="O3244" s="10">
        <f>IF(Tank4!$C$23="No control",(SUMIF(Tank4!$B$32:$B$49,$J3244,Tank4!$C$32:$C$49)*Impacts!$F$11),0)</f>
        <v>0</v>
      </c>
      <c r="P3244" s="10">
        <f>IF(Tank5!$C$23="No control",(SUMIF(Tank5!$B$32:$B$49,$J3244,Tank5!$C$32:$C$49)*Impacts!$F$12),0)</f>
        <v>0</v>
      </c>
      <c r="Q3244" s="10">
        <f>IFERROR(IF(('Loading-drum,tote'!$C$21)="No control",SUMIF(('Loading-drum,tote'!$B$31:$B$48),$J3244,('Loading-drum,tote'!$D$31:$D$48))*Impacts!$F$13,IF(('Loading-drum,tote'!$C$21)&lt;&gt;"No control",SUMIF(('Loading-drum,tote'!$B$31:$B$48),$J3244,('Loading-drum,tote'!$E$31:$E$48))*Impacts!$F$13,0)),0)</f>
        <v>0</v>
      </c>
      <c r="R3244" s="10">
        <f>IFERROR(IF(('Loading-truck'!$C$21)="No control",SUMIF(('Loading-truck'!$B$31:$B$48),$J3244,('Loading-truck'!$D$31:$D$48))*Impacts!$F$14,IF(('Loading-truck'!$C$21)&lt;&gt;"No control",SUMIF(('Loading-truck'!$B$31:$B$48),$J3244,('Loading-truck'!$E$31:$E$48))*Impacts!$F$14,0)),0)</f>
        <v>0</v>
      </c>
      <c r="S3244" s="10">
        <f>IFERROR(IF(('Loading-rail'!$C$21)="No control",SUMIF(('Loading-rail'!$B$31:$B$48),$J3244,('Loading-rail'!$D$31:$D$48))*Impacts!$F$15,IF(('Loading-rail'!$C$21)&lt;&gt;"No control",SUMIF(('Loading-rail'!$B$31:$B$48),$J3244,('Loading-rail'!$E$31:$E$48))*Impacts!$F$15,0)),0)</f>
        <v>0</v>
      </c>
      <c r="T3244" s="10">
        <f>IF(Flare!$C$7="",0,(SUMIF(Flare!$B$46:$B$185,$J3244,Flare!$E$46:$E$185)*Impacts!$F$16))</f>
        <v>0</v>
      </c>
      <c r="U3244" s="10">
        <f>IF(VCU!$C$9="",0,(SUMIF(VCU!$B$51:$B$193,$J3244,VCU!$E$51:$E$193)*Impacts!$F$17))</f>
        <v>0</v>
      </c>
      <c r="V3244" s="10">
        <f>IF(CAS!$C$7="",0,(SUMIF(CAS!$B$31:$B$167,$J3244,CAS!$E$31:$E$167)*Impacts!$F$18))</f>
        <v>0</v>
      </c>
      <c r="W3244" s="10">
        <f t="shared" si="91"/>
        <v>0</v>
      </c>
      <c r="AK3244" s="10" t="str">
        <f t="array" ref="AK3244">IFERROR(INDEX(SelectedSpecies,SMALL(IF(SelectedSpecies=AK$1,ROW(SelectedSpecies)),ROW(3245:3245)),2),"")</f>
        <v/>
      </c>
      <c r="BE3244" s="10"/>
      <c r="BI3244" s="10"/>
    </row>
    <row r="3245" spans="1:61" ht="21" customHeight="1" x14ac:dyDescent="0.25">
      <c r="A3245" s="10"/>
      <c r="B3245" s="10"/>
      <c r="E3245" s="10"/>
      <c r="G3245" s="10"/>
      <c r="I3245" s="436" t="s">
        <v>4985</v>
      </c>
      <c r="J3245" s="26" t="s">
        <v>4984</v>
      </c>
      <c r="K3245" s="10">
        <v>2.5</v>
      </c>
      <c r="L3245" s="73">
        <f>IF(Tank1!$C$23="No control",(SUMIF(Tank1!$B$32:$B$49,$J3245,Tank1!$C$32:$C$49)*Impacts!$F$8),0)</f>
        <v>0</v>
      </c>
      <c r="M3245" s="10">
        <f>IF(Tank2!$C$23="No control",(SUMIF(Tank2!$B$32:$B$49,$J3245,Tank2!$C$32:$C$49)*Impacts!$F$9),0)</f>
        <v>0</v>
      </c>
      <c r="N3245" s="10">
        <f>IF(Tank3!$C$23="No control",(SUMIF(Tank3!$B$32:$B$49,$J3245,Tank3!$C$32:$C$49)*Impacts!$F$10),0)</f>
        <v>0</v>
      </c>
      <c r="O3245" s="10">
        <f>IF(Tank4!$C$23="No control",(SUMIF(Tank4!$B$32:$B$49,$J3245,Tank4!$C$32:$C$49)*Impacts!$F$11),0)</f>
        <v>0</v>
      </c>
      <c r="P3245" s="10">
        <f>IF(Tank5!$C$23="No control",(SUMIF(Tank5!$B$32:$B$49,$J3245,Tank5!$C$32:$C$49)*Impacts!$F$12),0)</f>
        <v>0</v>
      </c>
      <c r="Q3245" s="10">
        <f>IFERROR(IF(('Loading-drum,tote'!$C$21)="No control",SUMIF(('Loading-drum,tote'!$B$31:$B$48),$J3245,('Loading-drum,tote'!$D$31:$D$48))*Impacts!$F$13,IF(('Loading-drum,tote'!$C$21)&lt;&gt;"No control",SUMIF(('Loading-drum,tote'!$B$31:$B$48),$J3245,('Loading-drum,tote'!$E$31:$E$48))*Impacts!$F$13,0)),0)</f>
        <v>0</v>
      </c>
      <c r="R3245" s="10">
        <f>IFERROR(IF(('Loading-truck'!$C$21)="No control",SUMIF(('Loading-truck'!$B$31:$B$48),$J3245,('Loading-truck'!$D$31:$D$48))*Impacts!$F$14,IF(('Loading-truck'!$C$21)&lt;&gt;"No control",SUMIF(('Loading-truck'!$B$31:$B$48),$J3245,('Loading-truck'!$E$31:$E$48))*Impacts!$F$14,0)),0)</f>
        <v>0</v>
      </c>
      <c r="S3245" s="10">
        <f>IFERROR(IF(('Loading-rail'!$C$21)="No control",SUMIF(('Loading-rail'!$B$31:$B$48),$J3245,('Loading-rail'!$D$31:$D$48))*Impacts!$F$15,IF(('Loading-rail'!$C$21)&lt;&gt;"No control",SUMIF(('Loading-rail'!$B$31:$B$48),$J3245,('Loading-rail'!$E$31:$E$48))*Impacts!$F$15,0)),0)</f>
        <v>0</v>
      </c>
      <c r="T3245" s="10">
        <f>IF(Flare!$C$7="",0,(SUMIF(Flare!$B$46:$B$185,$J3245,Flare!$E$46:$E$185)*Impacts!$F$16))</f>
        <v>0</v>
      </c>
      <c r="U3245" s="10">
        <f>IF(VCU!$C$9="",0,(SUMIF(VCU!$B$51:$B$193,$J3245,VCU!$E$51:$E$193)*Impacts!$F$17))</f>
        <v>0</v>
      </c>
      <c r="V3245" s="10">
        <f>IF(CAS!$C$7="",0,(SUMIF(CAS!$B$31:$B$167,$J3245,CAS!$E$31:$E$167)*Impacts!$F$18))</f>
        <v>0</v>
      </c>
      <c r="W3245" s="10">
        <f t="shared" si="91"/>
        <v>0</v>
      </c>
      <c r="AK3245" s="10" t="str">
        <f t="array" ref="AK3245">IFERROR(INDEX(SelectedSpecies,SMALL(IF(SelectedSpecies=AK$1,ROW(SelectedSpecies)),ROW(3246:3246)),2),"")</f>
        <v/>
      </c>
      <c r="BE3245" s="10"/>
      <c r="BI3245" s="10"/>
    </row>
    <row r="3246" spans="1:61" ht="21" customHeight="1" x14ac:dyDescent="0.25">
      <c r="A3246" s="10"/>
      <c r="B3246" s="10"/>
      <c r="E3246" s="10"/>
      <c r="G3246" s="10"/>
      <c r="I3246" s="436" t="s">
        <v>317</v>
      </c>
      <c r="J3246" s="26" t="s">
        <v>316</v>
      </c>
      <c r="K3246" s="10">
        <v>620</v>
      </c>
      <c r="L3246" s="73">
        <f>IF(Tank1!$C$23="No control",(SUMIF(Tank1!$B$32:$B$49,$J3246,Tank1!$C$32:$C$49)*Impacts!$F$8),0)</f>
        <v>0</v>
      </c>
      <c r="M3246" s="10">
        <f>IF(Tank2!$C$23="No control",(SUMIF(Tank2!$B$32:$B$49,$J3246,Tank2!$C$32:$C$49)*Impacts!$F$9),0)</f>
        <v>0</v>
      </c>
      <c r="N3246" s="10">
        <f>IF(Tank3!$C$23="No control",(SUMIF(Tank3!$B$32:$B$49,$J3246,Tank3!$C$32:$C$49)*Impacts!$F$10),0)</f>
        <v>0</v>
      </c>
      <c r="O3246" s="10">
        <f>IF(Tank4!$C$23="No control",(SUMIF(Tank4!$B$32:$B$49,$J3246,Tank4!$C$32:$C$49)*Impacts!$F$11),0)</f>
        <v>0</v>
      </c>
      <c r="P3246" s="10">
        <f>IF(Tank5!$C$23="No control",(SUMIF(Tank5!$B$32:$B$49,$J3246,Tank5!$C$32:$C$49)*Impacts!$F$12),0)</f>
        <v>0</v>
      </c>
      <c r="Q3246" s="10">
        <f>IFERROR(IF(('Loading-drum,tote'!$C$21)="No control",SUMIF(('Loading-drum,tote'!$B$31:$B$48),$J3246,('Loading-drum,tote'!$D$31:$D$48))*Impacts!$F$13,IF(('Loading-drum,tote'!$C$21)&lt;&gt;"No control",SUMIF(('Loading-drum,tote'!$B$31:$B$48),$J3246,('Loading-drum,tote'!$E$31:$E$48))*Impacts!$F$13,0)),0)</f>
        <v>0</v>
      </c>
      <c r="R3246" s="10">
        <f>IFERROR(IF(('Loading-truck'!$C$21)="No control",SUMIF(('Loading-truck'!$B$31:$B$48),$J3246,('Loading-truck'!$D$31:$D$48))*Impacts!$F$14,IF(('Loading-truck'!$C$21)&lt;&gt;"No control",SUMIF(('Loading-truck'!$B$31:$B$48),$J3246,('Loading-truck'!$E$31:$E$48))*Impacts!$F$14,0)),0)</f>
        <v>0</v>
      </c>
      <c r="S3246" s="10">
        <f>IFERROR(IF(('Loading-rail'!$C$21)="No control",SUMIF(('Loading-rail'!$B$31:$B$48),$J3246,('Loading-rail'!$D$31:$D$48))*Impacts!$F$15,IF(('Loading-rail'!$C$21)&lt;&gt;"No control",SUMIF(('Loading-rail'!$B$31:$B$48),$J3246,('Loading-rail'!$E$31:$E$48))*Impacts!$F$15,0)),0)</f>
        <v>0</v>
      </c>
      <c r="T3246" s="10">
        <f>IF(Flare!$C$7="",0,(SUMIF(Flare!$B$46:$B$185,$J3246,Flare!$E$46:$E$185)*Impacts!$F$16))</f>
        <v>0</v>
      </c>
      <c r="U3246" s="10">
        <f>IF(VCU!$C$9="",0,(SUMIF(VCU!$B$51:$B$193,$J3246,VCU!$E$51:$E$193)*Impacts!$F$17))</f>
        <v>0</v>
      </c>
      <c r="V3246" s="10">
        <f>IF(CAS!$C$7="",0,(SUMIF(CAS!$B$31:$B$167,$J3246,CAS!$E$31:$E$167)*Impacts!$F$18))</f>
        <v>0</v>
      </c>
      <c r="W3246" s="10">
        <f t="shared" si="91"/>
        <v>0</v>
      </c>
      <c r="AK3246" s="10" t="str">
        <f t="array" ref="AK3246">IFERROR(INDEX(SelectedSpecies,SMALL(IF(SelectedSpecies=AK$1,ROW(SelectedSpecies)),ROW(3247:3247)),2),"")</f>
        <v/>
      </c>
      <c r="BE3246" s="10"/>
      <c r="BI3246" s="10"/>
    </row>
    <row r="3247" spans="1:61" ht="21" customHeight="1" x14ac:dyDescent="0.25">
      <c r="A3247" s="10"/>
      <c r="B3247" s="10"/>
      <c r="E3247" s="10"/>
      <c r="G3247" s="10"/>
      <c r="I3247" s="436" t="s">
        <v>6132</v>
      </c>
      <c r="J3247" s="26" t="s">
        <v>6131</v>
      </c>
      <c r="K3247" s="10">
        <v>1</v>
      </c>
      <c r="L3247" s="73">
        <f>IF(Tank1!$C$23="No control",(SUMIF(Tank1!$B$32:$B$49,$J3247,Tank1!$C$32:$C$49)*Impacts!$F$8),0)</f>
        <v>0</v>
      </c>
      <c r="M3247" s="10">
        <f>IF(Tank2!$C$23="No control",(SUMIF(Tank2!$B$32:$B$49,$J3247,Tank2!$C$32:$C$49)*Impacts!$F$9),0)</f>
        <v>0</v>
      </c>
      <c r="N3247" s="10">
        <f>IF(Tank3!$C$23="No control",(SUMIF(Tank3!$B$32:$B$49,$J3247,Tank3!$C$32:$C$49)*Impacts!$F$10),0)</f>
        <v>0</v>
      </c>
      <c r="O3247" s="10">
        <f>IF(Tank4!$C$23="No control",(SUMIF(Tank4!$B$32:$B$49,$J3247,Tank4!$C$32:$C$49)*Impacts!$F$11),0)</f>
        <v>0</v>
      </c>
      <c r="P3247" s="10">
        <f>IF(Tank5!$C$23="No control",(SUMIF(Tank5!$B$32:$B$49,$J3247,Tank5!$C$32:$C$49)*Impacts!$F$12),0)</f>
        <v>0</v>
      </c>
      <c r="Q3247" s="10">
        <f>IFERROR(IF(('Loading-drum,tote'!$C$21)="No control",SUMIF(('Loading-drum,tote'!$B$31:$B$48),$J3247,('Loading-drum,tote'!$D$31:$D$48))*Impacts!$F$13,IF(('Loading-drum,tote'!$C$21)&lt;&gt;"No control",SUMIF(('Loading-drum,tote'!$B$31:$B$48),$J3247,('Loading-drum,tote'!$E$31:$E$48))*Impacts!$F$13,0)),0)</f>
        <v>0</v>
      </c>
      <c r="R3247" s="10">
        <f>IFERROR(IF(('Loading-truck'!$C$21)="No control",SUMIF(('Loading-truck'!$B$31:$B$48),$J3247,('Loading-truck'!$D$31:$D$48))*Impacts!$F$14,IF(('Loading-truck'!$C$21)&lt;&gt;"No control",SUMIF(('Loading-truck'!$B$31:$B$48),$J3247,('Loading-truck'!$E$31:$E$48))*Impacts!$F$14,0)),0)</f>
        <v>0</v>
      </c>
      <c r="S3247" s="10">
        <f>IFERROR(IF(('Loading-rail'!$C$21)="No control",SUMIF(('Loading-rail'!$B$31:$B$48),$J3247,('Loading-rail'!$D$31:$D$48))*Impacts!$F$15,IF(('Loading-rail'!$C$21)&lt;&gt;"No control",SUMIF(('Loading-rail'!$B$31:$B$48),$J3247,('Loading-rail'!$E$31:$E$48))*Impacts!$F$15,0)),0)</f>
        <v>0</v>
      </c>
      <c r="T3247" s="10">
        <f>IF(Flare!$C$7="",0,(SUMIF(Flare!$B$46:$B$185,$J3247,Flare!$E$46:$E$185)*Impacts!$F$16))</f>
        <v>0</v>
      </c>
      <c r="U3247" s="10">
        <f>IF(VCU!$C$9="",0,(SUMIF(VCU!$B$51:$B$193,$J3247,VCU!$E$51:$E$193)*Impacts!$F$17))</f>
        <v>0</v>
      </c>
      <c r="V3247" s="10">
        <f>IF(CAS!$C$7="",0,(SUMIF(CAS!$B$31:$B$167,$J3247,CAS!$E$31:$E$167)*Impacts!$F$18))</f>
        <v>0</v>
      </c>
      <c r="W3247" s="10">
        <f t="shared" si="91"/>
        <v>0</v>
      </c>
      <c r="AK3247" s="10" t="str">
        <f t="array" ref="AK3247">IFERROR(INDEX(SelectedSpecies,SMALL(IF(SelectedSpecies=AK$1,ROW(SelectedSpecies)),ROW(3248:3248)),2),"")</f>
        <v/>
      </c>
      <c r="BE3247" s="10"/>
      <c r="BI3247" s="10"/>
    </row>
    <row r="3248" spans="1:61" ht="21" customHeight="1" x14ac:dyDescent="0.25">
      <c r="A3248" s="10"/>
      <c r="B3248" s="10"/>
      <c r="E3248" s="10"/>
      <c r="G3248" s="10"/>
      <c r="I3248" s="436" t="s">
        <v>6134</v>
      </c>
      <c r="J3248" s="26" t="s">
        <v>6133</v>
      </c>
      <c r="K3248" s="10">
        <v>1</v>
      </c>
      <c r="L3248" s="73">
        <f>IF(Tank1!$C$23="No control",(SUMIF(Tank1!$B$32:$B$49,$J3248,Tank1!$C$32:$C$49)*Impacts!$F$8),0)</f>
        <v>0</v>
      </c>
      <c r="M3248" s="10">
        <f>IF(Tank2!$C$23="No control",(SUMIF(Tank2!$B$32:$B$49,$J3248,Tank2!$C$32:$C$49)*Impacts!$F$9),0)</f>
        <v>0</v>
      </c>
      <c r="N3248" s="10">
        <f>IF(Tank3!$C$23="No control",(SUMIF(Tank3!$B$32:$B$49,$J3248,Tank3!$C$32:$C$49)*Impacts!$F$10),0)</f>
        <v>0</v>
      </c>
      <c r="O3248" s="10">
        <f>IF(Tank4!$C$23="No control",(SUMIF(Tank4!$B$32:$B$49,$J3248,Tank4!$C$32:$C$49)*Impacts!$F$11),0)</f>
        <v>0</v>
      </c>
      <c r="P3248" s="10">
        <f>IF(Tank5!$C$23="No control",(SUMIF(Tank5!$B$32:$B$49,$J3248,Tank5!$C$32:$C$49)*Impacts!$F$12),0)</f>
        <v>0</v>
      </c>
      <c r="Q3248" s="10">
        <f>IFERROR(IF(('Loading-drum,tote'!$C$21)="No control",SUMIF(('Loading-drum,tote'!$B$31:$B$48),$J3248,('Loading-drum,tote'!$D$31:$D$48))*Impacts!$F$13,IF(('Loading-drum,tote'!$C$21)&lt;&gt;"No control",SUMIF(('Loading-drum,tote'!$B$31:$B$48),$J3248,('Loading-drum,tote'!$E$31:$E$48))*Impacts!$F$13,0)),0)</f>
        <v>0</v>
      </c>
      <c r="R3248" s="10">
        <f>IFERROR(IF(('Loading-truck'!$C$21)="No control",SUMIF(('Loading-truck'!$B$31:$B$48),$J3248,('Loading-truck'!$D$31:$D$48))*Impacts!$F$14,IF(('Loading-truck'!$C$21)&lt;&gt;"No control",SUMIF(('Loading-truck'!$B$31:$B$48),$J3248,('Loading-truck'!$E$31:$E$48))*Impacts!$F$14,0)),0)</f>
        <v>0</v>
      </c>
      <c r="S3248" s="10">
        <f>IFERROR(IF(('Loading-rail'!$C$21)="No control",SUMIF(('Loading-rail'!$B$31:$B$48),$J3248,('Loading-rail'!$D$31:$D$48))*Impacts!$F$15,IF(('Loading-rail'!$C$21)&lt;&gt;"No control",SUMIF(('Loading-rail'!$B$31:$B$48),$J3248,('Loading-rail'!$E$31:$E$48))*Impacts!$F$15,0)),0)</f>
        <v>0</v>
      </c>
      <c r="T3248" s="10">
        <f>IF(Flare!$C$7="",0,(SUMIF(Flare!$B$46:$B$185,$J3248,Flare!$E$46:$E$185)*Impacts!$F$16))</f>
        <v>0</v>
      </c>
      <c r="U3248" s="10">
        <f>IF(VCU!$C$9="",0,(SUMIF(VCU!$B$51:$B$193,$J3248,VCU!$E$51:$E$193)*Impacts!$F$17))</f>
        <v>0</v>
      </c>
      <c r="V3248" s="10">
        <f>IF(CAS!$C$7="",0,(SUMIF(CAS!$B$31:$B$167,$J3248,CAS!$E$31:$E$167)*Impacts!$F$18))</f>
        <v>0</v>
      </c>
      <c r="W3248" s="10">
        <f t="shared" si="91"/>
        <v>0</v>
      </c>
      <c r="AK3248" s="10" t="str">
        <f t="array" ref="AK3248">IFERROR(INDEX(SelectedSpecies,SMALL(IF(SelectedSpecies=AK$1,ROW(SelectedSpecies)),ROW(3249:3249)),2),"")</f>
        <v/>
      </c>
      <c r="BE3248" s="10"/>
      <c r="BI3248" s="10"/>
    </row>
    <row r="3249" spans="1:61" ht="21" customHeight="1" x14ac:dyDescent="0.25">
      <c r="A3249" s="10"/>
      <c r="B3249" s="10"/>
      <c r="E3249" s="10"/>
      <c r="G3249" s="10"/>
      <c r="I3249" s="436" t="s">
        <v>2025</v>
      </c>
      <c r="J3249" s="26" t="s">
        <v>2024</v>
      </c>
      <c r="K3249" s="10">
        <v>17</v>
      </c>
      <c r="L3249" s="73">
        <f>IF(Tank1!$C$23="No control",(SUMIF(Tank1!$B$32:$B$49,$J3249,Tank1!$C$32:$C$49)*Impacts!$F$8),0)</f>
        <v>0</v>
      </c>
      <c r="M3249" s="10">
        <f>IF(Tank2!$C$23="No control",(SUMIF(Tank2!$B$32:$B$49,$J3249,Tank2!$C$32:$C$49)*Impacts!$F$9),0)</f>
        <v>0</v>
      </c>
      <c r="N3249" s="10">
        <f>IF(Tank3!$C$23="No control",(SUMIF(Tank3!$B$32:$B$49,$J3249,Tank3!$C$32:$C$49)*Impacts!$F$10),0)</f>
        <v>0</v>
      </c>
      <c r="O3249" s="10">
        <f>IF(Tank4!$C$23="No control",(SUMIF(Tank4!$B$32:$B$49,$J3249,Tank4!$C$32:$C$49)*Impacts!$F$11),0)</f>
        <v>0</v>
      </c>
      <c r="P3249" s="10">
        <f>IF(Tank5!$C$23="No control",(SUMIF(Tank5!$B$32:$B$49,$J3249,Tank5!$C$32:$C$49)*Impacts!$F$12),0)</f>
        <v>0</v>
      </c>
      <c r="Q3249" s="10">
        <f>IFERROR(IF(('Loading-drum,tote'!$C$21)="No control",SUMIF(('Loading-drum,tote'!$B$31:$B$48),$J3249,('Loading-drum,tote'!$D$31:$D$48))*Impacts!$F$13,IF(('Loading-drum,tote'!$C$21)&lt;&gt;"No control",SUMIF(('Loading-drum,tote'!$B$31:$B$48),$J3249,('Loading-drum,tote'!$E$31:$E$48))*Impacts!$F$13,0)),0)</f>
        <v>0</v>
      </c>
      <c r="R3249" s="10">
        <f>IFERROR(IF(('Loading-truck'!$C$21)="No control",SUMIF(('Loading-truck'!$B$31:$B$48),$J3249,('Loading-truck'!$D$31:$D$48))*Impacts!$F$14,IF(('Loading-truck'!$C$21)&lt;&gt;"No control",SUMIF(('Loading-truck'!$B$31:$B$48),$J3249,('Loading-truck'!$E$31:$E$48))*Impacts!$F$14,0)),0)</f>
        <v>0</v>
      </c>
      <c r="S3249" s="10">
        <f>IFERROR(IF(('Loading-rail'!$C$21)="No control",SUMIF(('Loading-rail'!$B$31:$B$48),$J3249,('Loading-rail'!$D$31:$D$48))*Impacts!$F$15,IF(('Loading-rail'!$C$21)&lt;&gt;"No control",SUMIF(('Loading-rail'!$B$31:$B$48),$J3249,('Loading-rail'!$E$31:$E$48))*Impacts!$F$15,0)),0)</f>
        <v>0</v>
      </c>
      <c r="T3249" s="10">
        <f>IF(Flare!$C$7="",0,(SUMIF(Flare!$B$46:$B$185,$J3249,Flare!$E$46:$E$185)*Impacts!$F$16))</f>
        <v>0</v>
      </c>
      <c r="U3249" s="10">
        <f>IF(VCU!$C$9="",0,(SUMIF(VCU!$B$51:$B$193,$J3249,VCU!$E$51:$E$193)*Impacts!$F$17))</f>
        <v>0</v>
      </c>
      <c r="V3249" s="10">
        <f>IF(CAS!$C$7="",0,(SUMIF(CAS!$B$31:$B$167,$J3249,CAS!$E$31:$E$167)*Impacts!$F$18))</f>
        <v>0</v>
      </c>
      <c r="W3249" s="10">
        <f t="shared" si="91"/>
        <v>0</v>
      </c>
      <c r="AK3249" s="10" t="str">
        <f t="array" ref="AK3249">IFERROR(INDEX(SelectedSpecies,SMALL(IF(SelectedSpecies=AK$1,ROW(SelectedSpecies)),ROW(3250:3250)),2),"")</f>
        <v/>
      </c>
      <c r="BE3249" s="10"/>
      <c r="BI3249" s="10"/>
    </row>
    <row r="3250" spans="1:61" ht="21" customHeight="1" x14ac:dyDescent="0.25">
      <c r="A3250" s="10"/>
      <c r="B3250" s="10"/>
      <c r="E3250" s="10"/>
      <c r="G3250" s="10"/>
      <c r="I3250" s="436" t="s">
        <v>2027</v>
      </c>
      <c r="J3250" s="26" t="s">
        <v>2026</v>
      </c>
      <c r="K3250" s="10">
        <v>17</v>
      </c>
      <c r="L3250" s="73">
        <f>IF(Tank1!$C$23="No control",(SUMIF(Tank1!$B$32:$B$49,$J3250,Tank1!$C$32:$C$49)*Impacts!$F$8),0)</f>
        <v>0</v>
      </c>
      <c r="M3250" s="10">
        <f>IF(Tank2!$C$23="No control",(SUMIF(Tank2!$B$32:$B$49,$J3250,Tank2!$C$32:$C$49)*Impacts!$F$9),0)</f>
        <v>0</v>
      </c>
      <c r="N3250" s="10">
        <f>IF(Tank3!$C$23="No control",(SUMIF(Tank3!$B$32:$B$49,$J3250,Tank3!$C$32:$C$49)*Impacts!$F$10),0)</f>
        <v>0</v>
      </c>
      <c r="O3250" s="10">
        <f>IF(Tank4!$C$23="No control",(SUMIF(Tank4!$B$32:$B$49,$J3250,Tank4!$C$32:$C$49)*Impacts!$F$11),0)</f>
        <v>0</v>
      </c>
      <c r="P3250" s="10">
        <f>IF(Tank5!$C$23="No control",(SUMIF(Tank5!$B$32:$B$49,$J3250,Tank5!$C$32:$C$49)*Impacts!$F$12),0)</f>
        <v>0</v>
      </c>
      <c r="Q3250" s="10">
        <f>IFERROR(IF(('Loading-drum,tote'!$C$21)="No control",SUMIF(('Loading-drum,tote'!$B$31:$B$48),$J3250,('Loading-drum,tote'!$D$31:$D$48))*Impacts!$F$13,IF(('Loading-drum,tote'!$C$21)&lt;&gt;"No control",SUMIF(('Loading-drum,tote'!$B$31:$B$48),$J3250,('Loading-drum,tote'!$E$31:$E$48))*Impacts!$F$13,0)),0)</f>
        <v>0</v>
      </c>
      <c r="R3250" s="10">
        <f>IFERROR(IF(('Loading-truck'!$C$21)="No control",SUMIF(('Loading-truck'!$B$31:$B$48),$J3250,('Loading-truck'!$D$31:$D$48))*Impacts!$F$14,IF(('Loading-truck'!$C$21)&lt;&gt;"No control",SUMIF(('Loading-truck'!$B$31:$B$48),$J3250,('Loading-truck'!$E$31:$E$48))*Impacts!$F$14,0)),0)</f>
        <v>0</v>
      </c>
      <c r="S3250" s="10">
        <f>IFERROR(IF(('Loading-rail'!$C$21)="No control",SUMIF(('Loading-rail'!$B$31:$B$48),$J3250,('Loading-rail'!$D$31:$D$48))*Impacts!$F$15,IF(('Loading-rail'!$C$21)&lt;&gt;"No control",SUMIF(('Loading-rail'!$B$31:$B$48),$J3250,('Loading-rail'!$E$31:$E$48))*Impacts!$F$15,0)),0)</f>
        <v>0</v>
      </c>
      <c r="T3250" s="10">
        <f>IF(Flare!$C$7="",0,(SUMIF(Flare!$B$46:$B$185,$J3250,Flare!$E$46:$E$185)*Impacts!$F$16))</f>
        <v>0</v>
      </c>
      <c r="U3250" s="10">
        <f>IF(VCU!$C$9="",0,(SUMIF(VCU!$B$51:$B$193,$J3250,VCU!$E$51:$E$193)*Impacts!$F$17))</f>
        <v>0</v>
      </c>
      <c r="V3250" s="10">
        <f>IF(CAS!$C$7="",0,(SUMIF(CAS!$B$31:$B$167,$J3250,CAS!$E$31:$E$167)*Impacts!$F$18))</f>
        <v>0</v>
      </c>
      <c r="W3250" s="10">
        <f t="shared" si="91"/>
        <v>0</v>
      </c>
      <c r="AK3250" s="10" t="str">
        <f t="array" ref="AK3250">IFERROR(INDEX(SelectedSpecies,SMALL(IF(SelectedSpecies=AK$1,ROW(SelectedSpecies)),ROW(3251:3251)),2),"")</f>
        <v/>
      </c>
      <c r="BE3250" s="10"/>
      <c r="BI3250" s="10"/>
    </row>
    <row r="3251" spans="1:61" ht="21" customHeight="1" x14ac:dyDescent="0.25">
      <c r="A3251" s="10"/>
      <c r="B3251" s="10"/>
      <c r="E3251" s="10"/>
      <c r="G3251" s="10"/>
      <c r="I3251" s="436" t="s">
        <v>7374</v>
      </c>
      <c r="J3251" s="26" t="s">
        <v>7373</v>
      </c>
      <c r="K3251" s="10">
        <v>0.25</v>
      </c>
      <c r="L3251" s="73">
        <f>IF(Tank1!$C$23="No control",(SUMIF(Tank1!$B$32:$B$49,$J3251,Tank1!$C$32:$C$49)*Impacts!$F$8),0)</f>
        <v>0</v>
      </c>
      <c r="M3251" s="10">
        <f>IF(Tank2!$C$23="No control",(SUMIF(Tank2!$B$32:$B$49,$J3251,Tank2!$C$32:$C$49)*Impacts!$F$9),0)</f>
        <v>0</v>
      </c>
      <c r="N3251" s="10">
        <f>IF(Tank3!$C$23="No control",(SUMIF(Tank3!$B$32:$B$49,$J3251,Tank3!$C$32:$C$49)*Impacts!$F$10),0)</f>
        <v>0</v>
      </c>
      <c r="O3251" s="10">
        <f>IF(Tank4!$C$23="No control",(SUMIF(Tank4!$B$32:$B$49,$J3251,Tank4!$C$32:$C$49)*Impacts!$F$11),0)</f>
        <v>0</v>
      </c>
      <c r="P3251" s="10">
        <f>IF(Tank5!$C$23="No control",(SUMIF(Tank5!$B$32:$B$49,$J3251,Tank5!$C$32:$C$49)*Impacts!$F$12),0)</f>
        <v>0</v>
      </c>
      <c r="Q3251" s="10">
        <f>IFERROR(IF(('Loading-drum,tote'!$C$21)="No control",SUMIF(('Loading-drum,tote'!$B$31:$B$48),$J3251,('Loading-drum,tote'!$D$31:$D$48))*Impacts!$F$13,IF(('Loading-drum,tote'!$C$21)&lt;&gt;"No control",SUMIF(('Loading-drum,tote'!$B$31:$B$48),$J3251,('Loading-drum,tote'!$E$31:$E$48))*Impacts!$F$13,0)),0)</f>
        <v>0</v>
      </c>
      <c r="R3251" s="10">
        <f>IFERROR(IF(('Loading-truck'!$C$21)="No control",SUMIF(('Loading-truck'!$B$31:$B$48),$J3251,('Loading-truck'!$D$31:$D$48))*Impacts!$F$14,IF(('Loading-truck'!$C$21)&lt;&gt;"No control",SUMIF(('Loading-truck'!$B$31:$B$48),$J3251,('Loading-truck'!$E$31:$E$48))*Impacts!$F$14,0)),0)</f>
        <v>0</v>
      </c>
      <c r="S3251" s="10">
        <f>IFERROR(IF(('Loading-rail'!$C$21)="No control",SUMIF(('Loading-rail'!$B$31:$B$48),$J3251,('Loading-rail'!$D$31:$D$48))*Impacts!$F$15,IF(('Loading-rail'!$C$21)&lt;&gt;"No control",SUMIF(('Loading-rail'!$B$31:$B$48),$J3251,('Loading-rail'!$E$31:$E$48))*Impacts!$F$15,0)),0)</f>
        <v>0</v>
      </c>
      <c r="T3251" s="10">
        <f>IF(Flare!$C$7="",0,(SUMIF(Flare!$B$46:$B$185,$J3251,Flare!$E$46:$E$185)*Impacts!$F$16))</f>
        <v>0</v>
      </c>
      <c r="U3251" s="10">
        <f>IF(VCU!$C$9="",0,(SUMIF(VCU!$B$51:$B$193,$J3251,VCU!$E$51:$E$193)*Impacts!$F$17))</f>
        <v>0</v>
      </c>
      <c r="V3251" s="10">
        <f>IF(CAS!$C$7="",0,(SUMIF(CAS!$B$31:$B$167,$J3251,CAS!$E$31:$E$167)*Impacts!$F$18))</f>
        <v>0</v>
      </c>
      <c r="W3251" s="10">
        <f t="shared" si="91"/>
        <v>0</v>
      </c>
      <c r="AK3251" s="10" t="str">
        <f t="array" ref="AK3251">IFERROR(INDEX(SelectedSpecies,SMALL(IF(SelectedSpecies=AK$1,ROW(SelectedSpecies)),ROW(3252:3252)),2),"")</f>
        <v/>
      </c>
      <c r="BE3251" s="10"/>
      <c r="BI3251" s="10"/>
    </row>
    <row r="3252" spans="1:61" ht="21" customHeight="1" x14ac:dyDescent="0.25">
      <c r="A3252" s="10"/>
      <c r="B3252" s="10"/>
      <c r="E3252" s="10"/>
      <c r="G3252" s="10"/>
      <c r="I3252" s="436" t="s">
        <v>6136</v>
      </c>
      <c r="J3252" s="26" t="s">
        <v>6135</v>
      </c>
      <c r="K3252" s="10">
        <v>1</v>
      </c>
      <c r="L3252" s="73">
        <f>IF(Tank1!$C$23="No control",(SUMIF(Tank1!$B$32:$B$49,$J3252,Tank1!$C$32:$C$49)*Impacts!$F$8),0)</f>
        <v>0</v>
      </c>
      <c r="M3252" s="10">
        <f>IF(Tank2!$C$23="No control",(SUMIF(Tank2!$B$32:$B$49,$J3252,Tank2!$C$32:$C$49)*Impacts!$F$9),0)</f>
        <v>0</v>
      </c>
      <c r="N3252" s="10">
        <f>IF(Tank3!$C$23="No control",(SUMIF(Tank3!$B$32:$B$49,$J3252,Tank3!$C$32:$C$49)*Impacts!$F$10),0)</f>
        <v>0</v>
      </c>
      <c r="O3252" s="10">
        <f>IF(Tank4!$C$23="No control",(SUMIF(Tank4!$B$32:$B$49,$J3252,Tank4!$C$32:$C$49)*Impacts!$F$11),0)</f>
        <v>0</v>
      </c>
      <c r="P3252" s="10">
        <f>IF(Tank5!$C$23="No control",(SUMIF(Tank5!$B$32:$B$49,$J3252,Tank5!$C$32:$C$49)*Impacts!$F$12),0)</f>
        <v>0</v>
      </c>
      <c r="Q3252" s="10">
        <f>IFERROR(IF(('Loading-drum,tote'!$C$21)="No control",SUMIF(('Loading-drum,tote'!$B$31:$B$48),$J3252,('Loading-drum,tote'!$D$31:$D$48))*Impacts!$F$13,IF(('Loading-drum,tote'!$C$21)&lt;&gt;"No control",SUMIF(('Loading-drum,tote'!$B$31:$B$48),$J3252,('Loading-drum,tote'!$E$31:$E$48))*Impacts!$F$13,0)),0)</f>
        <v>0</v>
      </c>
      <c r="R3252" s="10">
        <f>IFERROR(IF(('Loading-truck'!$C$21)="No control",SUMIF(('Loading-truck'!$B$31:$B$48),$J3252,('Loading-truck'!$D$31:$D$48))*Impacts!$F$14,IF(('Loading-truck'!$C$21)&lt;&gt;"No control",SUMIF(('Loading-truck'!$B$31:$B$48),$J3252,('Loading-truck'!$E$31:$E$48))*Impacts!$F$14,0)),0)</f>
        <v>0</v>
      </c>
      <c r="S3252" s="10">
        <f>IFERROR(IF(('Loading-rail'!$C$21)="No control",SUMIF(('Loading-rail'!$B$31:$B$48),$J3252,('Loading-rail'!$D$31:$D$48))*Impacts!$F$15,IF(('Loading-rail'!$C$21)&lt;&gt;"No control",SUMIF(('Loading-rail'!$B$31:$B$48),$J3252,('Loading-rail'!$E$31:$E$48))*Impacts!$F$15,0)),0)</f>
        <v>0</v>
      </c>
      <c r="T3252" s="10">
        <f>IF(Flare!$C$7="",0,(SUMIF(Flare!$B$46:$B$185,$J3252,Flare!$E$46:$E$185)*Impacts!$F$16))</f>
        <v>0</v>
      </c>
      <c r="U3252" s="10">
        <f>IF(VCU!$C$9="",0,(SUMIF(VCU!$B$51:$B$193,$J3252,VCU!$E$51:$E$193)*Impacts!$F$17))</f>
        <v>0</v>
      </c>
      <c r="V3252" s="10">
        <f>IF(CAS!$C$7="",0,(SUMIF(CAS!$B$31:$B$167,$J3252,CAS!$E$31:$E$167)*Impacts!$F$18))</f>
        <v>0</v>
      </c>
      <c r="W3252" s="10">
        <f t="shared" si="91"/>
        <v>0</v>
      </c>
      <c r="AK3252" s="10" t="str">
        <f t="array" ref="AK3252">IFERROR(INDEX(SelectedSpecies,SMALL(IF(SelectedSpecies=AK$1,ROW(SelectedSpecies)),ROW(3253:3253)),2),"")</f>
        <v/>
      </c>
      <c r="BE3252" s="10"/>
      <c r="BI3252" s="10"/>
    </row>
    <row r="3253" spans="1:61" ht="21" customHeight="1" x14ac:dyDescent="0.25">
      <c r="A3253" s="10"/>
      <c r="B3253" s="10"/>
      <c r="E3253" s="10"/>
      <c r="G3253" s="10"/>
      <c r="I3253" s="436" t="s">
        <v>3867</v>
      </c>
      <c r="J3253" s="26" t="s">
        <v>3866</v>
      </c>
      <c r="K3253" s="10">
        <v>6</v>
      </c>
      <c r="L3253" s="73">
        <f>IF(Tank1!$C$23="No control",(SUMIF(Tank1!$B$32:$B$49,$J3253,Tank1!$C$32:$C$49)*Impacts!$F$8),0)</f>
        <v>0</v>
      </c>
      <c r="M3253" s="10">
        <f>IF(Tank2!$C$23="No control",(SUMIF(Tank2!$B$32:$B$49,$J3253,Tank2!$C$32:$C$49)*Impacts!$F$9),0)</f>
        <v>0</v>
      </c>
      <c r="N3253" s="10">
        <f>IF(Tank3!$C$23="No control",(SUMIF(Tank3!$B$32:$B$49,$J3253,Tank3!$C$32:$C$49)*Impacts!$F$10),0)</f>
        <v>0</v>
      </c>
      <c r="O3253" s="10">
        <f>IF(Tank4!$C$23="No control",(SUMIF(Tank4!$B$32:$B$49,$J3253,Tank4!$C$32:$C$49)*Impacts!$F$11),0)</f>
        <v>0</v>
      </c>
      <c r="P3253" s="10">
        <f>IF(Tank5!$C$23="No control",(SUMIF(Tank5!$B$32:$B$49,$J3253,Tank5!$C$32:$C$49)*Impacts!$F$12),0)</f>
        <v>0</v>
      </c>
      <c r="Q3253" s="10">
        <f>IFERROR(IF(('Loading-drum,tote'!$C$21)="No control",SUMIF(('Loading-drum,tote'!$B$31:$B$48),$J3253,('Loading-drum,tote'!$D$31:$D$48))*Impacts!$F$13,IF(('Loading-drum,tote'!$C$21)&lt;&gt;"No control",SUMIF(('Loading-drum,tote'!$B$31:$B$48),$J3253,('Loading-drum,tote'!$E$31:$E$48))*Impacts!$F$13,0)),0)</f>
        <v>0</v>
      </c>
      <c r="R3253" s="10">
        <f>IFERROR(IF(('Loading-truck'!$C$21)="No control",SUMIF(('Loading-truck'!$B$31:$B$48),$J3253,('Loading-truck'!$D$31:$D$48))*Impacts!$F$14,IF(('Loading-truck'!$C$21)&lt;&gt;"No control",SUMIF(('Loading-truck'!$B$31:$B$48),$J3253,('Loading-truck'!$E$31:$E$48))*Impacts!$F$14,0)),0)</f>
        <v>0</v>
      </c>
      <c r="S3253" s="10">
        <f>IFERROR(IF(('Loading-rail'!$C$21)="No control",SUMIF(('Loading-rail'!$B$31:$B$48),$J3253,('Loading-rail'!$D$31:$D$48))*Impacts!$F$15,IF(('Loading-rail'!$C$21)&lt;&gt;"No control",SUMIF(('Loading-rail'!$B$31:$B$48),$J3253,('Loading-rail'!$E$31:$E$48))*Impacts!$F$15,0)),0)</f>
        <v>0</v>
      </c>
      <c r="T3253" s="10">
        <f>IF(Flare!$C$7="",0,(SUMIF(Flare!$B$46:$B$185,$J3253,Flare!$E$46:$E$185)*Impacts!$F$16))</f>
        <v>0</v>
      </c>
      <c r="U3253" s="10">
        <f>IF(VCU!$C$9="",0,(SUMIF(VCU!$B$51:$B$193,$J3253,VCU!$E$51:$E$193)*Impacts!$F$17))</f>
        <v>0</v>
      </c>
      <c r="V3253" s="10">
        <f>IF(CAS!$C$7="",0,(SUMIF(CAS!$B$31:$B$167,$J3253,CAS!$E$31:$E$167)*Impacts!$F$18))</f>
        <v>0</v>
      </c>
      <c r="W3253" s="10">
        <f t="shared" si="91"/>
        <v>0</v>
      </c>
      <c r="AK3253" s="10" t="str">
        <f t="array" ref="AK3253">IFERROR(INDEX(SelectedSpecies,SMALL(IF(SelectedSpecies=AK$1,ROW(SelectedSpecies)),ROW(3254:3254)),2),"")</f>
        <v/>
      </c>
      <c r="BE3253" s="10"/>
      <c r="BI3253" s="10"/>
    </row>
    <row r="3254" spans="1:61" ht="21" customHeight="1" x14ac:dyDescent="0.25">
      <c r="A3254" s="10"/>
      <c r="B3254" s="10"/>
      <c r="E3254" s="10"/>
      <c r="G3254" s="10"/>
      <c r="I3254" s="436" t="s">
        <v>3869</v>
      </c>
      <c r="J3254" s="26" t="s">
        <v>3868</v>
      </c>
      <c r="K3254" s="10">
        <v>6</v>
      </c>
      <c r="L3254" s="73">
        <f>IF(Tank1!$C$23="No control",(SUMIF(Tank1!$B$32:$B$49,$J3254,Tank1!$C$32:$C$49)*Impacts!$F$8),0)</f>
        <v>0</v>
      </c>
      <c r="M3254" s="10">
        <f>IF(Tank2!$C$23="No control",(SUMIF(Tank2!$B$32:$B$49,$J3254,Tank2!$C$32:$C$49)*Impacts!$F$9),0)</f>
        <v>0</v>
      </c>
      <c r="N3254" s="10">
        <f>IF(Tank3!$C$23="No control",(SUMIF(Tank3!$B$32:$B$49,$J3254,Tank3!$C$32:$C$49)*Impacts!$F$10),0)</f>
        <v>0</v>
      </c>
      <c r="O3254" s="10">
        <f>IF(Tank4!$C$23="No control",(SUMIF(Tank4!$B$32:$B$49,$J3254,Tank4!$C$32:$C$49)*Impacts!$F$11),0)</f>
        <v>0</v>
      </c>
      <c r="P3254" s="10">
        <f>IF(Tank5!$C$23="No control",(SUMIF(Tank5!$B$32:$B$49,$J3254,Tank5!$C$32:$C$49)*Impacts!$F$12),0)</f>
        <v>0</v>
      </c>
      <c r="Q3254" s="10">
        <f>IFERROR(IF(('Loading-drum,tote'!$C$21)="No control",SUMIF(('Loading-drum,tote'!$B$31:$B$48),$J3254,('Loading-drum,tote'!$D$31:$D$48))*Impacts!$F$13,IF(('Loading-drum,tote'!$C$21)&lt;&gt;"No control",SUMIF(('Loading-drum,tote'!$B$31:$B$48),$J3254,('Loading-drum,tote'!$E$31:$E$48))*Impacts!$F$13,0)),0)</f>
        <v>0</v>
      </c>
      <c r="R3254" s="10">
        <f>IFERROR(IF(('Loading-truck'!$C$21)="No control",SUMIF(('Loading-truck'!$B$31:$B$48),$J3254,('Loading-truck'!$D$31:$D$48))*Impacts!$F$14,IF(('Loading-truck'!$C$21)&lt;&gt;"No control",SUMIF(('Loading-truck'!$B$31:$B$48),$J3254,('Loading-truck'!$E$31:$E$48))*Impacts!$F$14,0)),0)</f>
        <v>0</v>
      </c>
      <c r="S3254" s="10">
        <f>IFERROR(IF(('Loading-rail'!$C$21)="No control",SUMIF(('Loading-rail'!$B$31:$B$48),$J3254,('Loading-rail'!$D$31:$D$48))*Impacts!$F$15,IF(('Loading-rail'!$C$21)&lt;&gt;"No control",SUMIF(('Loading-rail'!$B$31:$B$48),$J3254,('Loading-rail'!$E$31:$E$48))*Impacts!$F$15,0)),0)</f>
        <v>0</v>
      </c>
      <c r="T3254" s="10">
        <f>IF(Flare!$C$7="",0,(SUMIF(Flare!$B$46:$B$185,$J3254,Flare!$E$46:$E$185)*Impacts!$F$16))</f>
        <v>0</v>
      </c>
      <c r="U3254" s="10">
        <f>IF(VCU!$C$9="",0,(SUMIF(VCU!$B$51:$B$193,$J3254,VCU!$E$51:$E$193)*Impacts!$F$17))</f>
        <v>0</v>
      </c>
      <c r="V3254" s="10">
        <f>IF(CAS!$C$7="",0,(SUMIF(CAS!$B$31:$B$167,$J3254,CAS!$E$31:$E$167)*Impacts!$F$18))</f>
        <v>0</v>
      </c>
      <c r="W3254" s="10">
        <f t="shared" si="91"/>
        <v>0</v>
      </c>
      <c r="AK3254" s="10" t="str">
        <f t="array" ref="AK3254">IFERROR(INDEX(SelectedSpecies,SMALL(IF(SelectedSpecies=AK$1,ROW(SelectedSpecies)),ROW(3255:3255)),2),"")</f>
        <v/>
      </c>
      <c r="BE3254" s="10"/>
      <c r="BI3254" s="10"/>
    </row>
    <row r="3255" spans="1:61" ht="21" customHeight="1" x14ac:dyDescent="0.25">
      <c r="A3255" s="10"/>
      <c r="B3255" s="10"/>
      <c r="E3255" s="10"/>
      <c r="G3255" s="10"/>
      <c r="I3255" s="436" t="s">
        <v>3333</v>
      </c>
      <c r="J3255" s="26" t="s">
        <v>3332</v>
      </c>
      <c r="K3255" s="10">
        <v>10</v>
      </c>
      <c r="L3255" s="73">
        <f>IF(Tank1!$C$23="No control",(SUMIF(Tank1!$B$32:$B$49,$J3255,Tank1!$C$32:$C$49)*Impacts!$F$8),0)</f>
        <v>0</v>
      </c>
      <c r="M3255" s="10">
        <f>IF(Tank2!$C$23="No control",(SUMIF(Tank2!$B$32:$B$49,$J3255,Tank2!$C$32:$C$49)*Impacts!$F$9),0)</f>
        <v>0</v>
      </c>
      <c r="N3255" s="10">
        <f>IF(Tank3!$C$23="No control",(SUMIF(Tank3!$B$32:$B$49,$J3255,Tank3!$C$32:$C$49)*Impacts!$F$10),0)</f>
        <v>0</v>
      </c>
      <c r="O3255" s="10">
        <f>IF(Tank4!$C$23="No control",(SUMIF(Tank4!$B$32:$B$49,$J3255,Tank4!$C$32:$C$49)*Impacts!$F$11),0)</f>
        <v>0</v>
      </c>
      <c r="P3255" s="10">
        <f>IF(Tank5!$C$23="No control",(SUMIF(Tank5!$B$32:$B$49,$J3255,Tank5!$C$32:$C$49)*Impacts!$F$12),0)</f>
        <v>0</v>
      </c>
      <c r="Q3255" s="10">
        <f>IFERROR(IF(('Loading-drum,tote'!$C$21)="No control",SUMIF(('Loading-drum,tote'!$B$31:$B$48),$J3255,('Loading-drum,tote'!$D$31:$D$48))*Impacts!$F$13,IF(('Loading-drum,tote'!$C$21)&lt;&gt;"No control",SUMIF(('Loading-drum,tote'!$B$31:$B$48),$J3255,('Loading-drum,tote'!$E$31:$E$48))*Impacts!$F$13,0)),0)</f>
        <v>0</v>
      </c>
      <c r="R3255" s="10">
        <f>IFERROR(IF(('Loading-truck'!$C$21)="No control",SUMIF(('Loading-truck'!$B$31:$B$48),$J3255,('Loading-truck'!$D$31:$D$48))*Impacts!$F$14,IF(('Loading-truck'!$C$21)&lt;&gt;"No control",SUMIF(('Loading-truck'!$B$31:$B$48),$J3255,('Loading-truck'!$E$31:$E$48))*Impacts!$F$14,0)),0)</f>
        <v>0</v>
      </c>
      <c r="S3255" s="10">
        <f>IFERROR(IF(('Loading-rail'!$C$21)="No control",SUMIF(('Loading-rail'!$B$31:$B$48),$J3255,('Loading-rail'!$D$31:$D$48))*Impacts!$F$15,IF(('Loading-rail'!$C$21)&lt;&gt;"No control",SUMIF(('Loading-rail'!$B$31:$B$48),$J3255,('Loading-rail'!$E$31:$E$48))*Impacts!$F$15,0)),0)</f>
        <v>0</v>
      </c>
      <c r="T3255" s="10">
        <f>IF(Flare!$C$7="",0,(SUMIF(Flare!$B$46:$B$185,$J3255,Flare!$E$46:$E$185)*Impacts!$F$16))</f>
        <v>0</v>
      </c>
      <c r="U3255" s="10">
        <f>IF(VCU!$C$9="",0,(SUMIF(VCU!$B$51:$B$193,$J3255,VCU!$E$51:$E$193)*Impacts!$F$17))</f>
        <v>0</v>
      </c>
      <c r="V3255" s="10">
        <f>IF(CAS!$C$7="",0,(SUMIF(CAS!$B$31:$B$167,$J3255,CAS!$E$31:$E$167)*Impacts!$F$18))</f>
        <v>0</v>
      </c>
      <c r="W3255" s="10">
        <f t="shared" si="91"/>
        <v>0</v>
      </c>
      <c r="AK3255" s="10" t="str">
        <f t="array" ref="AK3255">IFERROR(INDEX(SelectedSpecies,SMALL(IF(SelectedSpecies=AK$1,ROW(SelectedSpecies)),ROW(3256:3256)),2),"")</f>
        <v/>
      </c>
      <c r="BE3255" s="10"/>
      <c r="BI3255" s="10"/>
    </row>
    <row r="3256" spans="1:61" ht="21" customHeight="1" x14ac:dyDescent="0.25">
      <c r="A3256" s="10"/>
      <c r="B3256" s="10"/>
      <c r="E3256" s="10"/>
      <c r="G3256" s="10"/>
      <c r="I3256" s="436" t="s">
        <v>4691</v>
      </c>
      <c r="J3256" s="26" t="s">
        <v>4690</v>
      </c>
      <c r="K3256" s="10">
        <v>3.6</v>
      </c>
      <c r="L3256" s="73">
        <f>IF(Tank1!$C$23="No control",(SUMIF(Tank1!$B$32:$B$49,$J3256,Tank1!$C$32:$C$49)*Impacts!$F$8),0)</f>
        <v>0</v>
      </c>
      <c r="M3256" s="10">
        <f>IF(Tank2!$C$23="No control",(SUMIF(Tank2!$B$32:$B$49,$J3256,Tank2!$C$32:$C$49)*Impacts!$F$9),0)</f>
        <v>0</v>
      </c>
      <c r="N3256" s="10">
        <f>IF(Tank3!$C$23="No control",(SUMIF(Tank3!$B$32:$B$49,$J3256,Tank3!$C$32:$C$49)*Impacts!$F$10),0)</f>
        <v>0</v>
      </c>
      <c r="O3256" s="10">
        <f>IF(Tank4!$C$23="No control",(SUMIF(Tank4!$B$32:$B$49,$J3256,Tank4!$C$32:$C$49)*Impacts!$F$11),0)</f>
        <v>0</v>
      </c>
      <c r="P3256" s="10">
        <f>IF(Tank5!$C$23="No control",(SUMIF(Tank5!$B$32:$B$49,$J3256,Tank5!$C$32:$C$49)*Impacts!$F$12),0)</f>
        <v>0</v>
      </c>
      <c r="Q3256" s="10">
        <f>IFERROR(IF(('Loading-drum,tote'!$C$21)="No control",SUMIF(('Loading-drum,tote'!$B$31:$B$48),$J3256,('Loading-drum,tote'!$D$31:$D$48))*Impacts!$F$13,IF(('Loading-drum,tote'!$C$21)&lt;&gt;"No control",SUMIF(('Loading-drum,tote'!$B$31:$B$48),$J3256,('Loading-drum,tote'!$E$31:$E$48))*Impacts!$F$13,0)),0)</f>
        <v>0</v>
      </c>
      <c r="R3256" s="10">
        <f>IFERROR(IF(('Loading-truck'!$C$21)="No control",SUMIF(('Loading-truck'!$B$31:$B$48),$J3256,('Loading-truck'!$D$31:$D$48))*Impacts!$F$14,IF(('Loading-truck'!$C$21)&lt;&gt;"No control",SUMIF(('Loading-truck'!$B$31:$B$48),$J3256,('Loading-truck'!$E$31:$E$48))*Impacts!$F$14,0)),0)</f>
        <v>0</v>
      </c>
      <c r="S3256" s="10">
        <f>IFERROR(IF(('Loading-rail'!$C$21)="No control",SUMIF(('Loading-rail'!$B$31:$B$48),$J3256,('Loading-rail'!$D$31:$D$48))*Impacts!$F$15,IF(('Loading-rail'!$C$21)&lt;&gt;"No control",SUMIF(('Loading-rail'!$B$31:$B$48),$J3256,('Loading-rail'!$E$31:$E$48))*Impacts!$F$15,0)),0)</f>
        <v>0</v>
      </c>
      <c r="T3256" s="10">
        <f>IF(Flare!$C$7="",0,(SUMIF(Flare!$B$46:$B$185,$J3256,Flare!$E$46:$E$185)*Impacts!$F$16))</f>
        <v>0</v>
      </c>
      <c r="U3256" s="10">
        <f>IF(VCU!$C$9="",0,(SUMIF(VCU!$B$51:$B$193,$J3256,VCU!$E$51:$E$193)*Impacts!$F$17))</f>
        <v>0</v>
      </c>
      <c r="V3256" s="10">
        <f>IF(CAS!$C$7="",0,(SUMIF(CAS!$B$31:$B$167,$J3256,CAS!$E$31:$E$167)*Impacts!$F$18))</f>
        <v>0</v>
      </c>
      <c r="W3256" s="10">
        <f t="shared" si="91"/>
        <v>0</v>
      </c>
      <c r="AK3256" s="10" t="str">
        <f t="array" ref="AK3256">IFERROR(INDEX(SelectedSpecies,SMALL(IF(SelectedSpecies=AK$1,ROW(SelectedSpecies)),ROW(3257:3257)),2),"")</f>
        <v/>
      </c>
      <c r="BE3256" s="10"/>
      <c r="BI3256" s="10"/>
    </row>
    <row r="3257" spans="1:61" ht="21" customHeight="1" x14ac:dyDescent="0.25">
      <c r="A3257" s="10"/>
      <c r="B3257" s="10"/>
      <c r="E3257" s="10"/>
      <c r="G3257" s="10"/>
      <c r="I3257" s="436" t="s">
        <v>3729</v>
      </c>
      <c r="J3257" s="26" t="s">
        <v>3728</v>
      </c>
      <c r="K3257" s="10">
        <v>6.4</v>
      </c>
      <c r="L3257" s="73">
        <f>IF(Tank1!$C$23="No control",(SUMIF(Tank1!$B$32:$B$49,$J3257,Tank1!$C$32:$C$49)*Impacts!$F$8),0)</f>
        <v>0</v>
      </c>
      <c r="M3257" s="10">
        <f>IF(Tank2!$C$23="No control",(SUMIF(Tank2!$B$32:$B$49,$J3257,Tank2!$C$32:$C$49)*Impacts!$F$9),0)</f>
        <v>0</v>
      </c>
      <c r="N3257" s="10">
        <f>IF(Tank3!$C$23="No control",(SUMIF(Tank3!$B$32:$B$49,$J3257,Tank3!$C$32:$C$49)*Impacts!$F$10),0)</f>
        <v>0</v>
      </c>
      <c r="O3257" s="10">
        <f>IF(Tank4!$C$23="No control",(SUMIF(Tank4!$B$32:$B$49,$J3257,Tank4!$C$32:$C$49)*Impacts!$F$11),0)</f>
        <v>0</v>
      </c>
      <c r="P3257" s="10">
        <f>IF(Tank5!$C$23="No control",(SUMIF(Tank5!$B$32:$B$49,$J3257,Tank5!$C$32:$C$49)*Impacts!$F$12),0)</f>
        <v>0</v>
      </c>
      <c r="Q3257" s="10">
        <f>IFERROR(IF(('Loading-drum,tote'!$C$21)="No control",SUMIF(('Loading-drum,tote'!$B$31:$B$48),$J3257,('Loading-drum,tote'!$D$31:$D$48))*Impacts!$F$13,IF(('Loading-drum,tote'!$C$21)&lt;&gt;"No control",SUMIF(('Loading-drum,tote'!$B$31:$B$48),$J3257,('Loading-drum,tote'!$E$31:$E$48))*Impacts!$F$13,0)),0)</f>
        <v>0</v>
      </c>
      <c r="R3257" s="10">
        <f>IFERROR(IF(('Loading-truck'!$C$21)="No control",SUMIF(('Loading-truck'!$B$31:$B$48),$J3257,('Loading-truck'!$D$31:$D$48))*Impacts!$F$14,IF(('Loading-truck'!$C$21)&lt;&gt;"No control",SUMIF(('Loading-truck'!$B$31:$B$48),$J3257,('Loading-truck'!$E$31:$E$48))*Impacts!$F$14,0)),0)</f>
        <v>0</v>
      </c>
      <c r="S3257" s="10">
        <f>IFERROR(IF(('Loading-rail'!$C$21)="No control",SUMIF(('Loading-rail'!$B$31:$B$48),$J3257,('Loading-rail'!$D$31:$D$48))*Impacts!$F$15,IF(('Loading-rail'!$C$21)&lt;&gt;"No control",SUMIF(('Loading-rail'!$B$31:$B$48),$J3257,('Loading-rail'!$E$31:$E$48))*Impacts!$F$15,0)),0)</f>
        <v>0</v>
      </c>
      <c r="T3257" s="10">
        <f>IF(Flare!$C$7="",0,(SUMIF(Flare!$B$46:$B$185,$J3257,Flare!$E$46:$E$185)*Impacts!$F$16))</f>
        <v>0</v>
      </c>
      <c r="U3257" s="10">
        <f>IF(VCU!$C$9="",0,(SUMIF(VCU!$B$51:$B$193,$J3257,VCU!$E$51:$E$193)*Impacts!$F$17))</f>
        <v>0</v>
      </c>
      <c r="V3257" s="10">
        <f>IF(CAS!$C$7="",0,(SUMIF(CAS!$B$31:$B$167,$J3257,CAS!$E$31:$E$167)*Impacts!$F$18))</f>
        <v>0</v>
      </c>
      <c r="W3257" s="10">
        <f t="shared" si="91"/>
        <v>0</v>
      </c>
      <c r="AK3257" s="10" t="str">
        <f t="array" ref="AK3257">IFERROR(INDEX(SelectedSpecies,SMALL(IF(SelectedSpecies=AK$1,ROW(SelectedSpecies)),ROW(3258:3258)),2),"")</f>
        <v/>
      </c>
      <c r="BE3257" s="10"/>
      <c r="BI3257" s="10"/>
    </row>
    <row r="3258" spans="1:61" ht="21" customHeight="1" x14ac:dyDescent="0.25">
      <c r="A3258" s="10"/>
      <c r="B3258" s="10"/>
      <c r="E3258" s="10"/>
      <c r="G3258" s="10"/>
      <c r="I3258" s="436" t="s">
        <v>2603</v>
      </c>
      <c r="J3258" s="26" t="s">
        <v>2602</v>
      </c>
      <c r="K3258" s="10">
        <v>10</v>
      </c>
      <c r="L3258" s="73">
        <f>IF(Tank1!$C$23="No control",(SUMIF(Tank1!$B$32:$B$49,$J3258,Tank1!$C$32:$C$49)*Impacts!$F$8),0)</f>
        <v>0</v>
      </c>
      <c r="M3258" s="10">
        <f>IF(Tank2!$C$23="No control",(SUMIF(Tank2!$B$32:$B$49,$J3258,Tank2!$C$32:$C$49)*Impacts!$F$9),0)</f>
        <v>0</v>
      </c>
      <c r="N3258" s="10">
        <f>IF(Tank3!$C$23="No control",(SUMIF(Tank3!$B$32:$B$49,$J3258,Tank3!$C$32:$C$49)*Impacts!$F$10),0)</f>
        <v>0</v>
      </c>
      <c r="O3258" s="10">
        <f>IF(Tank4!$C$23="No control",(SUMIF(Tank4!$B$32:$B$49,$J3258,Tank4!$C$32:$C$49)*Impacts!$F$11),0)</f>
        <v>0</v>
      </c>
      <c r="P3258" s="10">
        <f>IF(Tank5!$C$23="No control",(SUMIF(Tank5!$B$32:$B$49,$J3258,Tank5!$C$32:$C$49)*Impacts!$F$12),0)</f>
        <v>0</v>
      </c>
      <c r="Q3258" s="10">
        <f>IFERROR(IF(('Loading-drum,tote'!$C$21)="No control",SUMIF(('Loading-drum,tote'!$B$31:$B$48),$J3258,('Loading-drum,tote'!$D$31:$D$48))*Impacts!$F$13,IF(('Loading-drum,tote'!$C$21)&lt;&gt;"No control",SUMIF(('Loading-drum,tote'!$B$31:$B$48),$J3258,('Loading-drum,tote'!$E$31:$E$48))*Impacts!$F$13,0)),0)</f>
        <v>0</v>
      </c>
      <c r="R3258" s="10">
        <f>IFERROR(IF(('Loading-truck'!$C$21)="No control",SUMIF(('Loading-truck'!$B$31:$B$48),$J3258,('Loading-truck'!$D$31:$D$48))*Impacts!$F$14,IF(('Loading-truck'!$C$21)&lt;&gt;"No control",SUMIF(('Loading-truck'!$B$31:$B$48),$J3258,('Loading-truck'!$E$31:$E$48))*Impacts!$F$14,0)),0)</f>
        <v>0</v>
      </c>
      <c r="S3258" s="10">
        <f>IFERROR(IF(('Loading-rail'!$C$21)="No control",SUMIF(('Loading-rail'!$B$31:$B$48),$J3258,('Loading-rail'!$D$31:$D$48))*Impacts!$F$15,IF(('Loading-rail'!$C$21)&lt;&gt;"No control",SUMIF(('Loading-rail'!$B$31:$B$48),$J3258,('Loading-rail'!$E$31:$E$48))*Impacts!$F$15,0)),0)</f>
        <v>0</v>
      </c>
      <c r="T3258" s="10">
        <f>IF(Flare!$C$7="",0,(SUMIF(Flare!$B$46:$B$185,$J3258,Flare!$E$46:$E$185)*Impacts!$F$16))</f>
        <v>0</v>
      </c>
      <c r="U3258" s="10">
        <f>IF(VCU!$C$9="",0,(SUMIF(VCU!$B$51:$B$193,$J3258,VCU!$E$51:$E$193)*Impacts!$F$17))</f>
        <v>0</v>
      </c>
      <c r="V3258" s="10">
        <f>IF(CAS!$C$7="",0,(SUMIF(CAS!$B$31:$B$167,$J3258,CAS!$E$31:$E$167)*Impacts!$F$18))</f>
        <v>0</v>
      </c>
      <c r="W3258" s="10">
        <f t="shared" si="91"/>
        <v>0</v>
      </c>
      <c r="AK3258" s="10" t="str">
        <f t="array" ref="AK3258">IFERROR(INDEX(SelectedSpecies,SMALL(IF(SelectedSpecies=AK$1,ROW(SelectedSpecies)),ROW(3259:3259)),2),"")</f>
        <v/>
      </c>
      <c r="BE3258" s="10"/>
      <c r="BI3258" s="10"/>
    </row>
    <row r="3259" spans="1:61" ht="21" customHeight="1" x14ac:dyDescent="0.25">
      <c r="A3259" s="10"/>
      <c r="B3259" s="10"/>
      <c r="E3259" s="10"/>
      <c r="G3259" s="10"/>
      <c r="I3259" s="436" t="s">
        <v>2605</v>
      </c>
      <c r="J3259" s="26" t="s">
        <v>2604</v>
      </c>
      <c r="K3259" s="10">
        <v>10</v>
      </c>
      <c r="L3259" s="73">
        <f>IF(Tank1!$C$23="No control",(SUMIF(Tank1!$B$32:$B$49,$J3259,Tank1!$C$32:$C$49)*Impacts!$F$8),0)</f>
        <v>0</v>
      </c>
      <c r="M3259" s="10">
        <f>IF(Tank2!$C$23="No control",(SUMIF(Tank2!$B$32:$B$49,$J3259,Tank2!$C$32:$C$49)*Impacts!$F$9),0)</f>
        <v>0</v>
      </c>
      <c r="N3259" s="10">
        <f>IF(Tank3!$C$23="No control",(SUMIF(Tank3!$B$32:$B$49,$J3259,Tank3!$C$32:$C$49)*Impacts!$F$10),0)</f>
        <v>0</v>
      </c>
      <c r="O3259" s="10">
        <f>IF(Tank4!$C$23="No control",(SUMIF(Tank4!$B$32:$B$49,$J3259,Tank4!$C$32:$C$49)*Impacts!$F$11),0)</f>
        <v>0</v>
      </c>
      <c r="P3259" s="10">
        <f>IF(Tank5!$C$23="No control",(SUMIF(Tank5!$B$32:$B$49,$J3259,Tank5!$C$32:$C$49)*Impacts!$F$12),0)</f>
        <v>0</v>
      </c>
      <c r="Q3259" s="10">
        <f>IFERROR(IF(('Loading-drum,tote'!$C$21)="No control",SUMIF(('Loading-drum,tote'!$B$31:$B$48),$J3259,('Loading-drum,tote'!$D$31:$D$48))*Impacts!$F$13,IF(('Loading-drum,tote'!$C$21)&lt;&gt;"No control",SUMIF(('Loading-drum,tote'!$B$31:$B$48),$J3259,('Loading-drum,tote'!$E$31:$E$48))*Impacts!$F$13,0)),0)</f>
        <v>0</v>
      </c>
      <c r="R3259" s="10">
        <f>IFERROR(IF(('Loading-truck'!$C$21)="No control",SUMIF(('Loading-truck'!$B$31:$B$48),$J3259,('Loading-truck'!$D$31:$D$48))*Impacts!$F$14,IF(('Loading-truck'!$C$21)&lt;&gt;"No control",SUMIF(('Loading-truck'!$B$31:$B$48),$J3259,('Loading-truck'!$E$31:$E$48))*Impacts!$F$14,0)),0)</f>
        <v>0</v>
      </c>
      <c r="S3259" s="10">
        <f>IFERROR(IF(('Loading-rail'!$C$21)="No control",SUMIF(('Loading-rail'!$B$31:$B$48),$J3259,('Loading-rail'!$D$31:$D$48))*Impacts!$F$15,IF(('Loading-rail'!$C$21)&lt;&gt;"No control",SUMIF(('Loading-rail'!$B$31:$B$48),$J3259,('Loading-rail'!$E$31:$E$48))*Impacts!$F$15,0)),0)</f>
        <v>0</v>
      </c>
      <c r="T3259" s="10">
        <f>IF(Flare!$C$7="",0,(SUMIF(Flare!$B$46:$B$185,$J3259,Flare!$E$46:$E$185)*Impacts!$F$16))</f>
        <v>0</v>
      </c>
      <c r="U3259" s="10">
        <f>IF(VCU!$C$9="",0,(SUMIF(VCU!$B$51:$B$193,$J3259,VCU!$E$51:$E$193)*Impacts!$F$17))</f>
        <v>0</v>
      </c>
      <c r="V3259" s="10">
        <f>IF(CAS!$C$7="",0,(SUMIF(CAS!$B$31:$B$167,$J3259,CAS!$E$31:$E$167)*Impacts!$F$18))</f>
        <v>0</v>
      </c>
      <c r="W3259" s="10">
        <f t="shared" si="91"/>
        <v>0</v>
      </c>
      <c r="AK3259" s="10" t="str">
        <f t="array" ref="AK3259">IFERROR(INDEX(SelectedSpecies,SMALL(IF(SelectedSpecies=AK$1,ROW(SelectedSpecies)),ROW(3260:3260)),2),"")</f>
        <v/>
      </c>
      <c r="BE3259" s="10"/>
      <c r="BI3259" s="10"/>
    </row>
    <row r="3260" spans="1:61" ht="21" customHeight="1" x14ac:dyDescent="0.25">
      <c r="A3260" s="10"/>
      <c r="B3260" s="10"/>
      <c r="E3260" s="10"/>
      <c r="G3260" s="10"/>
      <c r="I3260" s="436" t="s">
        <v>604</v>
      </c>
      <c r="J3260" s="26" t="s">
        <v>603</v>
      </c>
      <c r="K3260" s="10">
        <v>37</v>
      </c>
      <c r="L3260" s="73">
        <f>IF(Tank1!$C$23="No control",(SUMIF(Tank1!$B$32:$B$49,$J3260,Tank1!$C$32:$C$49)*Impacts!$F$8),0)</f>
        <v>0</v>
      </c>
      <c r="M3260" s="10">
        <f>IF(Tank2!$C$23="No control",(SUMIF(Tank2!$B$32:$B$49,$J3260,Tank2!$C$32:$C$49)*Impacts!$F$9),0)</f>
        <v>0</v>
      </c>
      <c r="N3260" s="10">
        <f>IF(Tank3!$C$23="No control",(SUMIF(Tank3!$B$32:$B$49,$J3260,Tank3!$C$32:$C$49)*Impacts!$F$10),0)</f>
        <v>0</v>
      </c>
      <c r="O3260" s="10">
        <f>IF(Tank4!$C$23="No control",(SUMIF(Tank4!$B$32:$B$49,$J3260,Tank4!$C$32:$C$49)*Impacts!$F$11),0)</f>
        <v>0</v>
      </c>
      <c r="P3260" s="10">
        <f>IF(Tank5!$C$23="No control",(SUMIF(Tank5!$B$32:$B$49,$J3260,Tank5!$C$32:$C$49)*Impacts!$F$12),0)</f>
        <v>0</v>
      </c>
      <c r="Q3260" s="10">
        <f>IFERROR(IF(('Loading-drum,tote'!$C$21)="No control",SUMIF(('Loading-drum,tote'!$B$31:$B$48),$J3260,('Loading-drum,tote'!$D$31:$D$48))*Impacts!$F$13,IF(('Loading-drum,tote'!$C$21)&lt;&gt;"No control",SUMIF(('Loading-drum,tote'!$B$31:$B$48),$J3260,('Loading-drum,tote'!$E$31:$E$48))*Impacts!$F$13,0)),0)</f>
        <v>0</v>
      </c>
      <c r="R3260" s="10">
        <f>IFERROR(IF(('Loading-truck'!$C$21)="No control",SUMIF(('Loading-truck'!$B$31:$B$48),$J3260,('Loading-truck'!$D$31:$D$48))*Impacts!$F$14,IF(('Loading-truck'!$C$21)&lt;&gt;"No control",SUMIF(('Loading-truck'!$B$31:$B$48),$J3260,('Loading-truck'!$E$31:$E$48))*Impacts!$F$14,0)),0)</f>
        <v>0</v>
      </c>
      <c r="S3260" s="10">
        <f>IFERROR(IF(('Loading-rail'!$C$21)="No control",SUMIF(('Loading-rail'!$B$31:$B$48),$J3260,('Loading-rail'!$D$31:$D$48))*Impacts!$F$15,IF(('Loading-rail'!$C$21)&lt;&gt;"No control",SUMIF(('Loading-rail'!$B$31:$B$48),$J3260,('Loading-rail'!$E$31:$E$48))*Impacts!$F$15,0)),0)</f>
        <v>0</v>
      </c>
      <c r="T3260" s="10">
        <f>IF(Flare!$C$7="",0,(SUMIF(Flare!$B$46:$B$185,$J3260,Flare!$E$46:$E$185)*Impacts!$F$16))</f>
        <v>0</v>
      </c>
      <c r="U3260" s="10">
        <f>IF(VCU!$C$9="",0,(SUMIF(VCU!$B$51:$B$193,$J3260,VCU!$E$51:$E$193)*Impacts!$F$17))</f>
        <v>0</v>
      </c>
      <c r="V3260" s="10">
        <f>IF(CAS!$C$7="",0,(SUMIF(CAS!$B$31:$B$167,$J3260,CAS!$E$31:$E$167)*Impacts!$F$18))</f>
        <v>0</v>
      </c>
      <c r="W3260" s="10">
        <f t="shared" si="91"/>
        <v>0</v>
      </c>
      <c r="AK3260" s="10" t="str">
        <f t="array" ref="AK3260">IFERROR(INDEX(SelectedSpecies,SMALL(IF(SelectedSpecies=AK$1,ROW(SelectedSpecies)),ROW(3261:3261)),2),"")</f>
        <v/>
      </c>
      <c r="BE3260" s="10"/>
      <c r="BI3260" s="10"/>
    </row>
    <row r="3261" spans="1:61" ht="21" customHeight="1" x14ac:dyDescent="0.25">
      <c r="A3261" s="10"/>
      <c r="B3261" s="10"/>
      <c r="E3261" s="10"/>
      <c r="G3261" s="10"/>
      <c r="I3261" s="436" t="s">
        <v>3335</v>
      </c>
      <c r="J3261" s="26" t="s">
        <v>3334</v>
      </c>
      <c r="K3261" s="10">
        <v>10</v>
      </c>
      <c r="L3261" s="73">
        <f>IF(Tank1!$C$23="No control",(SUMIF(Tank1!$B$32:$B$49,$J3261,Tank1!$C$32:$C$49)*Impacts!$F$8),0)</f>
        <v>0</v>
      </c>
      <c r="M3261" s="10">
        <f>IF(Tank2!$C$23="No control",(SUMIF(Tank2!$B$32:$B$49,$J3261,Tank2!$C$32:$C$49)*Impacts!$F$9),0)</f>
        <v>0</v>
      </c>
      <c r="N3261" s="10">
        <f>IF(Tank3!$C$23="No control",(SUMIF(Tank3!$B$32:$B$49,$J3261,Tank3!$C$32:$C$49)*Impacts!$F$10),0)</f>
        <v>0</v>
      </c>
      <c r="O3261" s="10">
        <f>IF(Tank4!$C$23="No control",(SUMIF(Tank4!$B$32:$B$49,$J3261,Tank4!$C$32:$C$49)*Impacts!$F$11),0)</f>
        <v>0</v>
      </c>
      <c r="P3261" s="10">
        <f>IF(Tank5!$C$23="No control",(SUMIF(Tank5!$B$32:$B$49,$J3261,Tank5!$C$32:$C$49)*Impacts!$F$12),0)</f>
        <v>0</v>
      </c>
      <c r="Q3261" s="10">
        <f>IFERROR(IF(('Loading-drum,tote'!$C$21)="No control",SUMIF(('Loading-drum,tote'!$B$31:$B$48),$J3261,('Loading-drum,tote'!$D$31:$D$48))*Impacts!$F$13,IF(('Loading-drum,tote'!$C$21)&lt;&gt;"No control",SUMIF(('Loading-drum,tote'!$B$31:$B$48),$J3261,('Loading-drum,tote'!$E$31:$E$48))*Impacts!$F$13,0)),0)</f>
        <v>0</v>
      </c>
      <c r="R3261" s="10">
        <f>IFERROR(IF(('Loading-truck'!$C$21)="No control",SUMIF(('Loading-truck'!$B$31:$B$48),$J3261,('Loading-truck'!$D$31:$D$48))*Impacts!$F$14,IF(('Loading-truck'!$C$21)&lt;&gt;"No control",SUMIF(('Loading-truck'!$B$31:$B$48),$J3261,('Loading-truck'!$E$31:$E$48))*Impacts!$F$14,0)),0)</f>
        <v>0</v>
      </c>
      <c r="S3261" s="10">
        <f>IFERROR(IF(('Loading-rail'!$C$21)="No control",SUMIF(('Loading-rail'!$B$31:$B$48),$J3261,('Loading-rail'!$D$31:$D$48))*Impacts!$F$15,IF(('Loading-rail'!$C$21)&lt;&gt;"No control",SUMIF(('Loading-rail'!$B$31:$B$48),$J3261,('Loading-rail'!$E$31:$E$48))*Impacts!$F$15,0)),0)</f>
        <v>0</v>
      </c>
      <c r="T3261" s="10">
        <f>IF(Flare!$C$7="",0,(SUMIF(Flare!$B$46:$B$185,$J3261,Flare!$E$46:$E$185)*Impacts!$F$16))</f>
        <v>0</v>
      </c>
      <c r="U3261" s="10">
        <f>IF(VCU!$C$9="",0,(SUMIF(VCU!$B$51:$B$193,$J3261,VCU!$E$51:$E$193)*Impacts!$F$17))</f>
        <v>0</v>
      </c>
      <c r="V3261" s="10">
        <f>IF(CAS!$C$7="",0,(SUMIF(CAS!$B$31:$B$167,$J3261,CAS!$E$31:$E$167)*Impacts!$F$18))</f>
        <v>0</v>
      </c>
      <c r="W3261" s="10">
        <f t="shared" si="91"/>
        <v>0</v>
      </c>
      <c r="AK3261" s="10" t="str">
        <f t="array" ref="AK3261">IFERROR(INDEX(SelectedSpecies,SMALL(IF(SelectedSpecies=AK$1,ROW(SelectedSpecies)),ROW(3262:3262)),2),"")</f>
        <v/>
      </c>
      <c r="BE3261" s="10"/>
      <c r="BI3261" s="10"/>
    </row>
    <row r="3262" spans="1:61" ht="21" customHeight="1" x14ac:dyDescent="0.25">
      <c r="A3262" s="10"/>
      <c r="B3262" s="10"/>
      <c r="E3262" s="10"/>
      <c r="G3262" s="10"/>
      <c r="I3262" s="436" t="s">
        <v>1729</v>
      </c>
      <c r="J3262" s="26" t="s">
        <v>1728</v>
      </c>
      <c r="K3262" s="10">
        <v>24.5</v>
      </c>
      <c r="L3262" s="73">
        <f>IF(Tank1!$C$23="No control",(SUMIF(Tank1!$B$32:$B$49,$J3262,Tank1!$C$32:$C$49)*Impacts!$F$8),0)</f>
        <v>0</v>
      </c>
      <c r="M3262" s="10">
        <f>IF(Tank2!$C$23="No control",(SUMIF(Tank2!$B$32:$B$49,$J3262,Tank2!$C$32:$C$49)*Impacts!$F$9),0)</f>
        <v>0</v>
      </c>
      <c r="N3262" s="10">
        <f>IF(Tank3!$C$23="No control",(SUMIF(Tank3!$B$32:$B$49,$J3262,Tank3!$C$32:$C$49)*Impacts!$F$10),0)</f>
        <v>0</v>
      </c>
      <c r="O3262" s="10">
        <f>IF(Tank4!$C$23="No control",(SUMIF(Tank4!$B$32:$B$49,$J3262,Tank4!$C$32:$C$49)*Impacts!$F$11),0)</f>
        <v>0</v>
      </c>
      <c r="P3262" s="10">
        <f>IF(Tank5!$C$23="No control",(SUMIF(Tank5!$B$32:$B$49,$J3262,Tank5!$C$32:$C$49)*Impacts!$F$12),0)</f>
        <v>0</v>
      </c>
      <c r="Q3262" s="10">
        <f>IFERROR(IF(('Loading-drum,tote'!$C$21)="No control",SUMIF(('Loading-drum,tote'!$B$31:$B$48),$J3262,('Loading-drum,tote'!$D$31:$D$48))*Impacts!$F$13,IF(('Loading-drum,tote'!$C$21)&lt;&gt;"No control",SUMIF(('Loading-drum,tote'!$B$31:$B$48),$J3262,('Loading-drum,tote'!$E$31:$E$48))*Impacts!$F$13,0)),0)</f>
        <v>0</v>
      </c>
      <c r="R3262" s="10">
        <f>IFERROR(IF(('Loading-truck'!$C$21)="No control",SUMIF(('Loading-truck'!$B$31:$B$48),$J3262,('Loading-truck'!$D$31:$D$48))*Impacts!$F$14,IF(('Loading-truck'!$C$21)&lt;&gt;"No control",SUMIF(('Loading-truck'!$B$31:$B$48),$J3262,('Loading-truck'!$E$31:$E$48))*Impacts!$F$14,0)),0)</f>
        <v>0</v>
      </c>
      <c r="S3262" s="10">
        <f>IFERROR(IF(('Loading-rail'!$C$21)="No control",SUMIF(('Loading-rail'!$B$31:$B$48),$J3262,('Loading-rail'!$D$31:$D$48))*Impacts!$F$15,IF(('Loading-rail'!$C$21)&lt;&gt;"No control",SUMIF(('Loading-rail'!$B$31:$B$48),$J3262,('Loading-rail'!$E$31:$E$48))*Impacts!$F$15,0)),0)</f>
        <v>0</v>
      </c>
      <c r="T3262" s="10">
        <f>IF(Flare!$C$7="",0,(SUMIF(Flare!$B$46:$B$185,$J3262,Flare!$E$46:$E$185)*Impacts!$F$16))</f>
        <v>0</v>
      </c>
      <c r="U3262" s="10">
        <f>IF(VCU!$C$9="",0,(SUMIF(VCU!$B$51:$B$193,$J3262,VCU!$E$51:$E$193)*Impacts!$F$17))</f>
        <v>0</v>
      </c>
      <c r="V3262" s="10">
        <f>IF(CAS!$C$7="",0,(SUMIF(CAS!$B$31:$B$167,$J3262,CAS!$E$31:$E$167)*Impacts!$F$18))</f>
        <v>0</v>
      </c>
      <c r="W3262" s="10">
        <f t="shared" si="91"/>
        <v>0</v>
      </c>
      <c r="AK3262" s="10" t="str">
        <f t="array" ref="AK3262">IFERROR(INDEX(SelectedSpecies,SMALL(IF(SelectedSpecies=AK$1,ROW(SelectedSpecies)),ROW(3263:3263)),2),"")</f>
        <v/>
      </c>
      <c r="BE3262" s="10"/>
      <c r="BI3262" s="10"/>
    </row>
    <row r="3263" spans="1:61" ht="21" customHeight="1" x14ac:dyDescent="0.25">
      <c r="A3263" s="10"/>
      <c r="B3263" s="10"/>
      <c r="E3263" s="10"/>
      <c r="G3263" s="10"/>
      <c r="I3263" s="436" t="s">
        <v>3337</v>
      </c>
      <c r="J3263" s="26" t="s">
        <v>3336</v>
      </c>
      <c r="K3263" s="10">
        <v>10</v>
      </c>
      <c r="L3263" s="73">
        <f>IF(Tank1!$C$23="No control",(SUMIF(Tank1!$B$32:$B$49,$J3263,Tank1!$C$32:$C$49)*Impacts!$F$8),0)</f>
        <v>0</v>
      </c>
      <c r="M3263" s="10">
        <f>IF(Tank2!$C$23="No control",(SUMIF(Tank2!$B$32:$B$49,$J3263,Tank2!$C$32:$C$49)*Impacts!$F$9),0)</f>
        <v>0</v>
      </c>
      <c r="N3263" s="10">
        <f>IF(Tank3!$C$23="No control",(SUMIF(Tank3!$B$32:$B$49,$J3263,Tank3!$C$32:$C$49)*Impacts!$F$10),0)</f>
        <v>0</v>
      </c>
      <c r="O3263" s="10">
        <f>IF(Tank4!$C$23="No control",(SUMIF(Tank4!$B$32:$B$49,$J3263,Tank4!$C$32:$C$49)*Impacts!$F$11),0)</f>
        <v>0</v>
      </c>
      <c r="P3263" s="10">
        <f>IF(Tank5!$C$23="No control",(SUMIF(Tank5!$B$32:$B$49,$J3263,Tank5!$C$32:$C$49)*Impacts!$F$12),0)</f>
        <v>0</v>
      </c>
      <c r="Q3263" s="10">
        <f>IFERROR(IF(('Loading-drum,tote'!$C$21)="No control",SUMIF(('Loading-drum,tote'!$B$31:$B$48),$J3263,('Loading-drum,tote'!$D$31:$D$48))*Impacts!$F$13,IF(('Loading-drum,tote'!$C$21)&lt;&gt;"No control",SUMIF(('Loading-drum,tote'!$B$31:$B$48),$J3263,('Loading-drum,tote'!$E$31:$E$48))*Impacts!$F$13,0)),0)</f>
        <v>0</v>
      </c>
      <c r="R3263" s="10">
        <f>IFERROR(IF(('Loading-truck'!$C$21)="No control",SUMIF(('Loading-truck'!$B$31:$B$48),$J3263,('Loading-truck'!$D$31:$D$48))*Impacts!$F$14,IF(('Loading-truck'!$C$21)&lt;&gt;"No control",SUMIF(('Loading-truck'!$B$31:$B$48),$J3263,('Loading-truck'!$E$31:$E$48))*Impacts!$F$14,0)),0)</f>
        <v>0</v>
      </c>
      <c r="S3263" s="10">
        <f>IFERROR(IF(('Loading-rail'!$C$21)="No control",SUMIF(('Loading-rail'!$B$31:$B$48),$J3263,('Loading-rail'!$D$31:$D$48))*Impacts!$F$15,IF(('Loading-rail'!$C$21)&lt;&gt;"No control",SUMIF(('Loading-rail'!$B$31:$B$48),$J3263,('Loading-rail'!$E$31:$E$48))*Impacts!$F$15,0)),0)</f>
        <v>0</v>
      </c>
      <c r="T3263" s="10">
        <f>IF(Flare!$C$7="",0,(SUMIF(Flare!$B$46:$B$185,$J3263,Flare!$E$46:$E$185)*Impacts!$F$16))</f>
        <v>0</v>
      </c>
      <c r="U3263" s="10">
        <f>IF(VCU!$C$9="",0,(SUMIF(VCU!$B$51:$B$193,$J3263,VCU!$E$51:$E$193)*Impacts!$F$17))</f>
        <v>0</v>
      </c>
      <c r="V3263" s="10">
        <f>IF(CAS!$C$7="",0,(SUMIF(CAS!$B$31:$B$167,$J3263,CAS!$E$31:$E$167)*Impacts!$F$18))</f>
        <v>0</v>
      </c>
      <c r="W3263" s="10">
        <f t="shared" si="91"/>
        <v>0</v>
      </c>
      <c r="AK3263" s="10" t="str">
        <f t="array" ref="AK3263">IFERROR(INDEX(SelectedSpecies,SMALL(IF(SelectedSpecies=AK$1,ROW(SelectedSpecies)),ROW(3264:3264)),2),"")</f>
        <v/>
      </c>
      <c r="BE3263" s="10"/>
      <c r="BI3263" s="10"/>
    </row>
    <row r="3264" spans="1:61" ht="21" customHeight="1" x14ac:dyDescent="0.25">
      <c r="A3264" s="10"/>
      <c r="B3264" s="10"/>
      <c r="E3264" s="10"/>
      <c r="G3264" s="10"/>
      <c r="I3264" s="436" t="s">
        <v>4399</v>
      </c>
      <c r="J3264" s="26" t="s">
        <v>4398</v>
      </c>
      <c r="K3264" s="10">
        <v>4.7</v>
      </c>
      <c r="L3264" s="73">
        <f>IF(Tank1!$C$23="No control",(SUMIF(Tank1!$B$32:$B$49,$J3264,Tank1!$C$32:$C$49)*Impacts!$F$8),0)</f>
        <v>0</v>
      </c>
      <c r="M3264" s="10">
        <f>IF(Tank2!$C$23="No control",(SUMIF(Tank2!$B$32:$B$49,$J3264,Tank2!$C$32:$C$49)*Impacts!$F$9),0)</f>
        <v>0</v>
      </c>
      <c r="N3264" s="10">
        <f>IF(Tank3!$C$23="No control",(SUMIF(Tank3!$B$32:$B$49,$J3264,Tank3!$C$32:$C$49)*Impacts!$F$10),0)</f>
        <v>0</v>
      </c>
      <c r="O3264" s="10">
        <f>IF(Tank4!$C$23="No control",(SUMIF(Tank4!$B$32:$B$49,$J3264,Tank4!$C$32:$C$49)*Impacts!$F$11),0)</f>
        <v>0</v>
      </c>
      <c r="P3264" s="10">
        <f>IF(Tank5!$C$23="No control",(SUMIF(Tank5!$B$32:$B$49,$J3264,Tank5!$C$32:$C$49)*Impacts!$F$12),0)</f>
        <v>0</v>
      </c>
      <c r="Q3264" s="10">
        <f>IFERROR(IF(('Loading-drum,tote'!$C$21)="No control",SUMIF(('Loading-drum,tote'!$B$31:$B$48),$J3264,('Loading-drum,tote'!$D$31:$D$48))*Impacts!$F$13,IF(('Loading-drum,tote'!$C$21)&lt;&gt;"No control",SUMIF(('Loading-drum,tote'!$B$31:$B$48),$J3264,('Loading-drum,tote'!$E$31:$E$48))*Impacts!$F$13,0)),0)</f>
        <v>0</v>
      </c>
      <c r="R3264" s="10">
        <f>IFERROR(IF(('Loading-truck'!$C$21)="No control",SUMIF(('Loading-truck'!$B$31:$B$48),$J3264,('Loading-truck'!$D$31:$D$48))*Impacts!$F$14,IF(('Loading-truck'!$C$21)&lt;&gt;"No control",SUMIF(('Loading-truck'!$B$31:$B$48),$J3264,('Loading-truck'!$E$31:$E$48))*Impacts!$F$14,0)),0)</f>
        <v>0</v>
      </c>
      <c r="S3264" s="10">
        <f>IFERROR(IF(('Loading-rail'!$C$21)="No control",SUMIF(('Loading-rail'!$B$31:$B$48),$J3264,('Loading-rail'!$D$31:$D$48))*Impacts!$F$15,IF(('Loading-rail'!$C$21)&lt;&gt;"No control",SUMIF(('Loading-rail'!$B$31:$B$48),$J3264,('Loading-rail'!$E$31:$E$48))*Impacts!$F$15,0)),0)</f>
        <v>0</v>
      </c>
      <c r="T3264" s="10">
        <f>IF(Flare!$C$7="",0,(SUMIF(Flare!$B$46:$B$185,$J3264,Flare!$E$46:$E$185)*Impacts!$F$16))</f>
        <v>0</v>
      </c>
      <c r="U3264" s="10">
        <f>IF(VCU!$C$9="",0,(SUMIF(VCU!$B$51:$B$193,$J3264,VCU!$E$51:$E$193)*Impacts!$F$17))</f>
        <v>0</v>
      </c>
      <c r="V3264" s="10">
        <f>IF(CAS!$C$7="",0,(SUMIF(CAS!$B$31:$B$167,$J3264,CAS!$E$31:$E$167)*Impacts!$F$18))</f>
        <v>0</v>
      </c>
      <c r="W3264" s="10">
        <f t="shared" si="91"/>
        <v>0</v>
      </c>
      <c r="AK3264" s="10" t="str">
        <f t="array" ref="AK3264">IFERROR(INDEX(SelectedSpecies,SMALL(IF(SelectedSpecies=AK$1,ROW(SelectedSpecies)),ROW(3265:3265)),2),"")</f>
        <v/>
      </c>
      <c r="BE3264" s="10"/>
      <c r="BI3264" s="10"/>
    </row>
    <row r="3265" spans="1:61" ht="21" customHeight="1" x14ac:dyDescent="0.25">
      <c r="A3265" s="10"/>
      <c r="B3265" s="10"/>
      <c r="E3265" s="10"/>
      <c r="G3265" s="10"/>
      <c r="I3265" s="436" t="s">
        <v>2323</v>
      </c>
      <c r="J3265" s="26" t="s">
        <v>2322</v>
      </c>
      <c r="K3265" s="10">
        <v>12</v>
      </c>
      <c r="L3265" s="73">
        <f>IF(Tank1!$C$23="No control",(SUMIF(Tank1!$B$32:$B$49,$J3265,Tank1!$C$32:$C$49)*Impacts!$F$8),0)</f>
        <v>0</v>
      </c>
      <c r="M3265" s="10">
        <f>IF(Tank2!$C$23="No control",(SUMIF(Tank2!$B$32:$B$49,$J3265,Tank2!$C$32:$C$49)*Impacts!$F$9),0)</f>
        <v>0</v>
      </c>
      <c r="N3265" s="10">
        <f>IF(Tank3!$C$23="No control",(SUMIF(Tank3!$B$32:$B$49,$J3265,Tank3!$C$32:$C$49)*Impacts!$F$10),0)</f>
        <v>0</v>
      </c>
      <c r="O3265" s="10">
        <f>IF(Tank4!$C$23="No control",(SUMIF(Tank4!$B$32:$B$49,$J3265,Tank4!$C$32:$C$49)*Impacts!$F$11),0)</f>
        <v>0</v>
      </c>
      <c r="P3265" s="10">
        <f>IF(Tank5!$C$23="No control",(SUMIF(Tank5!$B$32:$B$49,$J3265,Tank5!$C$32:$C$49)*Impacts!$F$12),0)</f>
        <v>0</v>
      </c>
      <c r="Q3265" s="10">
        <f>IFERROR(IF(('Loading-drum,tote'!$C$21)="No control",SUMIF(('Loading-drum,tote'!$B$31:$B$48),$J3265,('Loading-drum,tote'!$D$31:$D$48))*Impacts!$F$13,IF(('Loading-drum,tote'!$C$21)&lt;&gt;"No control",SUMIF(('Loading-drum,tote'!$B$31:$B$48),$J3265,('Loading-drum,tote'!$E$31:$E$48))*Impacts!$F$13,0)),0)</f>
        <v>0</v>
      </c>
      <c r="R3265" s="10">
        <f>IFERROR(IF(('Loading-truck'!$C$21)="No control",SUMIF(('Loading-truck'!$B$31:$B$48),$J3265,('Loading-truck'!$D$31:$D$48))*Impacts!$F$14,IF(('Loading-truck'!$C$21)&lt;&gt;"No control",SUMIF(('Loading-truck'!$B$31:$B$48),$J3265,('Loading-truck'!$E$31:$E$48))*Impacts!$F$14,0)),0)</f>
        <v>0</v>
      </c>
      <c r="S3265" s="10">
        <f>IFERROR(IF(('Loading-rail'!$C$21)="No control",SUMIF(('Loading-rail'!$B$31:$B$48),$J3265,('Loading-rail'!$D$31:$D$48))*Impacts!$F$15,IF(('Loading-rail'!$C$21)&lt;&gt;"No control",SUMIF(('Loading-rail'!$B$31:$B$48),$J3265,('Loading-rail'!$E$31:$E$48))*Impacts!$F$15,0)),0)</f>
        <v>0</v>
      </c>
      <c r="T3265" s="10">
        <f>IF(Flare!$C$7="",0,(SUMIF(Flare!$B$46:$B$185,$J3265,Flare!$E$46:$E$185)*Impacts!$F$16))</f>
        <v>0</v>
      </c>
      <c r="U3265" s="10">
        <f>IF(VCU!$C$9="",0,(SUMIF(VCU!$B$51:$B$193,$J3265,VCU!$E$51:$E$193)*Impacts!$F$17))</f>
        <v>0</v>
      </c>
      <c r="V3265" s="10">
        <f>IF(CAS!$C$7="",0,(SUMIF(CAS!$B$31:$B$167,$J3265,CAS!$E$31:$E$167)*Impacts!$F$18))</f>
        <v>0</v>
      </c>
      <c r="W3265" s="10">
        <f t="shared" si="91"/>
        <v>0</v>
      </c>
      <c r="AK3265" s="10" t="str">
        <f t="array" ref="AK3265">IFERROR(INDEX(SelectedSpecies,SMALL(IF(SelectedSpecies=AK$1,ROW(SelectedSpecies)),ROW(3266:3266)),2),"")</f>
        <v/>
      </c>
      <c r="BE3265" s="10"/>
      <c r="BI3265" s="10"/>
    </row>
    <row r="3266" spans="1:61" ht="21" customHeight="1" x14ac:dyDescent="0.25">
      <c r="A3266" s="10"/>
      <c r="B3266" s="10"/>
      <c r="E3266" s="10"/>
      <c r="G3266" s="10"/>
      <c r="I3266" s="436" t="s">
        <v>2163</v>
      </c>
      <c r="J3266" s="26" t="s">
        <v>2162</v>
      </c>
      <c r="K3266" s="10">
        <v>15</v>
      </c>
      <c r="L3266" s="73">
        <f>IF(Tank1!$C$23="No control",(SUMIF(Tank1!$B$32:$B$49,$J3266,Tank1!$C$32:$C$49)*Impacts!$F$8),0)</f>
        <v>0</v>
      </c>
      <c r="M3266" s="10">
        <f>IF(Tank2!$C$23="No control",(SUMIF(Tank2!$B$32:$B$49,$J3266,Tank2!$C$32:$C$49)*Impacts!$F$9),0)</f>
        <v>0</v>
      </c>
      <c r="N3266" s="10">
        <f>IF(Tank3!$C$23="No control",(SUMIF(Tank3!$B$32:$B$49,$J3266,Tank3!$C$32:$C$49)*Impacts!$F$10),0)</f>
        <v>0</v>
      </c>
      <c r="O3266" s="10">
        <f>IF(Tank4!$C$23="No control",(SUMIF(Tank4!$B$32:$B$49,$J3266,Tank4!$C$32:$C$49)*Impacts!$F$11),0)</f>
        <v>0</v>
      </c>
      <c r="P3266" s="10">
        <f>IF(Tank5!$C$23="No control",(SUMIF(Tank5!$B$32:$B$49,$J3266,Tank5!$C$32:$C$49)*Impacts!$F$12),0)</f>
        <v>0</v>
      </c>
      <c r="Q3266" s="10">
        <f>IFERROR(IF(('Loading-drum,tote'!$C$21)="No control",SUMIF(('Loading-drum,tote'!$B$31:$B$48),$J3266,('Loading-drum,tote'!$D$31:$D$48))*Impacts!$F$13,IF(('Loading-drum,tote'!$C$21)&lt;&gt;"No control",SUMIF(('Loading-drum,tote'!$B$31:$B$48),$J3266,('Loading-drum,tote'!$E$31:$E$48))*Impacts!$F$13,0)),0)</f>
        <v>0</v>
      </c>
      <c r="R3266" s="10">
        <f>IFERROR(IF(('Loading-truck'!$C$21)="No control",SUMIF(('Loading-truck'!$B$31:$B$48),$J3266,('Loading-truck'!$D$31:$D$48))*Impacts!$F$14,IF(('Loading-truck'!$C$21)&lt;&gt;"No control",SUMIF(('Loading-truck'!$B$31:$B$48),$J3266,('Loading-truck'!$E$31:$E$48))*Impacts!$F$14,0)),0)</f>
        <v>0</v>
      </c>
      <c r="S3266" s="10">
        <f>IFERROR(IF(('Loading-rail'!$C$21)="No control",SUMIF(('Loading-rail'!$B$31:$B$48),$J3266,('Loading-rail'!$D$31:$D$48))*Impacts!$F$15,IF(('Loading-rail'!$C$21)&lt;&gt;"No control",SUMIF(('Loading-rail'!$B$31:$B$48),$J3266,('Loading-rail'!$E$31:$E$48))*Impacts!$F$15,0)),0)</f>
        <v>0</v>
      </c>
      <c r="T3266" s="10">
        <f>IF(Flare!$C$7="",0,(SUMIF(Flare!$B$46:$B$185,$J3266,Flare!$E$46:$E$185)*Impacts!$F$16))</f>
        <v>0</v>
      </c>
      <c r="U3266" s="10">
        <f>IF(VCU!$C$9="",0,(SUMIF(VCU!$B$51:$B$193,$J3266,VCU!$E$51:$E$193)*Impacts!$F$17))</f>
        <v>0</v>
      </c>
      <c r="V3266" s="10">
        <f>IF(CAS!$C$7="",0,(SUMIF(CAS!$B$31:$B$167,$J3266,CAS!$E$31:$E$167)*Impacts!$F$18))</f>
        <v>0</v>
      </c>
      <c r="W3266" s="10">
        <f t="shared" si="91"/>
        <v>0</v>
      </c>
      <c r="AK3266" s="10" t="str">
        <f t="array" ref="AK3266">IFERROR(INDEX(SelectedSpecies,SMALL(IF(SelectedSpecies=AK$1,ROW(SelectedSpecies)),ROW(3267:3267)),2),"")</f>
        <v/>
      </c>
      <c r="BE3266" s="10"/>
      <c r="BI3266" s="10"/>
    </row>
    <row r="3267" spans="1:61" ht="21" customHeight="1" x14ac:dyDescent="0.25">
      <c r="A3267" s="10"/>
      <c r="B3267" s="10"/>
      <c r="E3267" s="10"/>
      <c r="G3267" s="10"/>
      <c r="I3267" s="436" t="s">
        <v>1156</v>
      </c>
      <c r="J3267" s="26" t="s">
        <v>1155</v>
      </c>
      <c r="K3267" s="10">
        <v>35</v>
      </c>
      <c r="L3267" s="73">
        <f>IF(Tank1!$C$23="No control",(SUMIF(Tank1!$B$32:$B$49,$J3267,Tank1!$C$32:$C$49)*Impacts!$F$8),0)</f>
        <v>0</v>
      </c>
      <c r="M3267" s="10">
        <f>IF(Tank2!$C$23="No control",(SUMIF(Tank2!$B$32:$B$49,$J3267,Tank2!$C$32:$C$49)*Impacts!$F$9),0)</f>
        <v>0</v>
      </c>
      <c r="N3267" s="10">
        <f>IF(Tank3!$C$23="No control",(SUMIF(Tank3!$B$32:$B$49,$J3267,Tank3!$C$32:$C$49)*Impacts!$F$10),0)</f>
        <v>0</v>
      </c>
      <c r="O3267" s="10">
        <f>IF(Tank4!$C$23="No control",(SUMIF(Tank4!$B$32:$B$49,$J3267,Tank4!$C$32:$C$49)*Impacts!$F$11),0)</f>
        <v>0</v>
      </c>
      <c r="P3267" s="10">
        <f>IF(Tank5!$C$23="No control",(SUMIF(Tank5!$B$32:$B$49,$J3267,Tank5!$C$32:$C$49)*Impacts!$F$12),0)</f>
        <v>0</v>
      </c>
      <c r="Q3267" s="10">
        <f>IFERROR(IF(('Loading-drum,tote'!$C$21)="No control",SUMIF(('Loading-drum,tote'!$B$31:$B$48),$J3267,('Loading-drum,tote'!$D$31:$D$48))*Impacts!$F$13,IF(('Loading-drum,tote'!$C$21)&lt;&gt;"No control",SUMIF(('Loading-drum,tote'!$B$31:$B$48),$J3267,('Loading-drum,tote'!$E$31:$E$48))*Impacts!$F$13,0)),0)</f>
        <v>0</v>
      </c>
      <c r="R3267" s="10">
        <f>IFERROR(IF(('Loading-truck'!$C$21)="No control",SUMIF(('Loading-truck'!$B$31:$B$48),$J3267,('Loading-truck'!$D$31:$D$48))*Impacts!$F$14,IF(('Loading-truck'!$C$21)&lt;&gt;"No control",SUMIF(('Loading-truck'!$B$31:$B$48),$J3267,('Loading-truck'!$E$31:$E$48))*Impacts!$F$14,0)),0)</f>
        <v>0</v>
      </c>
      <c r="S3267" s="10">
        <f>IFERROR(IF(('Loading-rail'!$C$21)="No control",SUMIF(('Loading-rail'!$B$31:$B$48),$J3267,('Loading-rail'!$D$31:$D$48))*Impacts!$F$15,IF(('Loading-rail'!$C$21)&lt;&gt;"No control",SUMIF(('Loading-rail'!$B$31:$B$48),$J3267,('Loading-rail'!$E$31:$E$48))*Impacts!$F$15,0)),0)</f>
        <v>0</v>
      </c>
      <c r="T3267" s="10">
        <f>IF(Flare!$C$7="",0,(SUMIF(Flare!$B$46:$B$185,$J3267,Flare!$E$46:$E$185)*Impacts!$F$16))</f>
        <v>0</v>
      </c>
      <c r="U3267" s="10">
        <f>IF(VCU!$C$9="",0,(SUMIF(VCU!$B$51:$B$193,$J3267,VCU!$E$51:$E$193)*Impacts!$F$17))</f>
        <v>0</v>
      </c>
      <c r="V3267" s="10">
        <f>IF(CAS!$C$7="",0,(SUMIF(CAS!$B$31:$B$167,$J3267,CAS!$E$31:$E$167)*Impacts!$F$18))</f>
        <v>0</v>
      </c>
      <c r="W3267" s="10">
        <f t="shared" si="91"/>
        <v>0</v>
      </c>
      <c r="AK3267" s="10" t="str">
        <f t="array" ref="AK3267">IFERROR(INDEX(SelectedSpecies,SMALL(IF(SelectedSpecies=AK$1,ROW(SelectedSpecies)),ROW(3268:3268)),2),"")</f>
        <v/>
      </c>
      <c r="BE3267" s="10"/>
      <c r="BI3267" s="10"/>
    </row>
    <row r="3268" spans="1:61" ht="21" customHeight="1" x14ac:dyDescent="0.25">
      <c r="A3268" s="10"/>
      <c r="B3268" s="10"/>
      <c r="E3268" s="10"/>
      <c r="G3268" s="10"/>
      <c r="I3268" s="436" t="s">
        <v>6452</v>
      </c>
      <c r="J3268" s="26" t="s">
        <v>6451</v>
      </c>
      <c r="K3268" s="10">
        <v>0.8</v>
      </c>
      <c r="L3268" s="73">
        <f>IF(Tank1!$C$23="No control",(SUMIF(Tank1!$B$32:$B$49,$J3268,Tank1!$C$32:$C$49)*Impacts!$F$8),0)</f>
        <v>0</v>
      </c>
      <c r="M3268" s="10">
        <f>IF(Tank2!$C$23="No control",(SUMIF(Tank2!$B$32:$B$49,$J3268,Tank2!$C$32:$C$49)*Impacts!$F$9),0)</f>
        <v>0</v>
      </c>
      <c r="N3268" s="10">
        <f>IF(Tank3!$C$23="No control",(SUMIF(Tank3!$B$32:$B$49,$J3268,Tank3!$C$32:$C$49)*Impacts!$F$10),0)</f>
        <v>0</v>
      </c>
      <c r="O3268" s="10">
        <f>IF(Tank4!$C$23="No control",(SUMIF(Tank4!$B$32:$B$49,$J3268,Tank4!$C$32:$C$49)*Impacts!$F$11),0)</f>
        <v>0</v>
      </c>
      <c r="P3268" s="10">
        <f>IF(Tank5!$C$23="No control",(SUMIF(Tank5!$B$32:$B$49,$J3268,Tank5!$C$32:$C$49)*Impacts!$F$12),0)</f>
        <v>0</v>
      </c>
      <c r="Q3268" s="10">
        <f>IFERROR(IF(('Loading-drum,tote'!$C$21)="No control",SUMIF(('Loading-drum,tote'!$B$31:$B$48),$J3268,('Loading-drum,tote'!$D$31:$D$48))*Impacts!$F$13,IF(('Loading-drum,tote'!$C$21)&lt;&gt;"No control",SUMIF(('Loading-drum,tote'!$B$31:$B$48),$J3268,('Loading-drum,tote'!$E$31:$E$48))*Impacts!$F$13,0)),0)</f>
        <v>0</v>
      </c>
      <c r="R3268" s="10">
        <f>IFERROR(IF(('Loading-truck'!$C$21)="No control",SUMIF(('Loading-truck'!$B$31:$B$48),$J3268,('Loading-truck'!$D$31:$D$48))*Impacts!$F$14,IF(('Loading-truck'!$C$21)&lt;&gt;"No control",SUMIF(('Loading-truck'!$B$31:$B$48),$J3268,('Loading-truck'!$E$31:$E$48))*Impacts!$F$14,0)),0)</f>
        <v>0</v>
      </c>
      <c r="S3268" s="10">
        <f>IFERROR(IF(('Loading-rail'!$C$21)="No control",SUMIF(('Loading-rail'!$B$31:$B$48),$J3268,('Loading-rail'!$D$31:$D$48))*Impacts!$F$15,IF(('Loading-rail'!$C$21)&lt;&gt;"No control",SUMIF(('Loading-rail'!$B$31:$B$48),$J3268,('Loading-rail'!$E$31:$E$48))*Impacts!$F$15,0)),0)</f>
        <v>0</v>
      </c>
      <c r="T3268" s="10">
        <f>IF(Flare!$C$7="",0,(SUMIF(Flare!$B$46:$B$185,$J3268,Flare!$E$46:$E$185)*Impacts!$F$16))</f>
        <v>0</v>
      </c>
      <c r="U3268" s="10">
        <f>IF(VCU!$C$9="",0,(SUMIF(VCU!$B$51:$B$193,$J3268,VCU!$E$51:$E$193)*Impacts!$F$17))</f>
        <v>0</v>
      </c>
      <c r="V3268" s="10">
        <f>IF(CAS!$C$7="",0,(SUMIF(CAS!$B$31:$B$167,$J3268,CAS!$E$31:$E$167)*Impacts!$F$18))</f>
        <v>0</v>
      </c>
      <c r="W3268" s="10">
        <f t="shared" si="91"/>
        <v>0</v>
      </c>
      <c r="AK3268" s="10" t="str">
        <f t="array" ref="AK3268">IFERROR(INDEX(SelectedSpecies,SMALL(IF(SelectedSpecies=AK$1,ROW(SelectedSpecies)),ROW(3269:3269)),2),"")</f>
        <v/>
      </c>
      <c r="BE3268" s="10"/>
      <c r="BI3268" s="10"/>
    </row>
    <row r="3269" spans="1:61" ht="21" customHeight="1" x14ac:dyDescent="0.25">
      <c r="A3269" s="10"/>
      <c r="B3269" s="10"/>
      <c r="E3269" s="10"/>
      <c r="G3269" s="10"/>
      <c r="I3269" s="436" t="s">
        <v>2283</v>
      </c>
      <c r="J3269" s="26" t="s">
        <v>2282</v>
      </c>
      <c r="K3269" s="10">
        <v>12.5</v>
      </c>
      <c r="L3269" s="73">
        <f>IF(Tank1!$C$23="No control",(SUMIF(Tank1!$B$32:$B$49,$J3269,Tank1!$C$32:$C$49)*Impacts!$F$8),0)</f>
        <v>0</v>
      </c>
      <c r="M3269" s="10">
        <f>IF(Tank2!$C$23="No control",(SUMIF(Tank2!$B$32:$B$49,$J3269,Tank2!$C$32:$C$49)*Impacts!$F$9),0)</f>
        <v>0</v>
      </c>
      <c r="N3269" s="10">
        <f>IF(Tank3!$C$23="No control",(SUMIF(Tank3!$B$32:$B$49,$J3269,Tank3!$C$32:$C$49)*Impacts!$F$10),0)</f>
        <v>0</v>
      </c>
      <c r="O3269" s="10">
        <f>IF(Tank4!$C$23="No control",(SUMIF(Tank4!$B$32:$B$49,$J3269,Tank4!$C$32:$C$49)*Impacts!$F$11),0)</f>
        <v>0</v>
      </c>
      <c r="P3269" s="10">
        <f>IF(Tank5!$C$23="No control",(SUMIF(Tank5!$B$32:$B$49,$J3269,Tank5!$C$32:$C$49)*Impacts!$F$12),0)</f>
        <v>0</v>
      </c>
      <c r="Q3269" s="10">
        <f>IFERROR(IF(('Loading-drum,tote'!$C$21)="No control",SUMIF(('Loading-drum,tote'!$B$31:$B$48),$J3269,('Loading-drum,tote'!$D$31:$D$48))*Impacts!$F$13,IF(('Loading-drum,tote'!$C$21)&lt;&gt;"No control",SUMIF(('Loading-drum,tote'!$B$31:$B$48),$J3269,('Loading-drum,tote'!$E$31:$E$48))*Impacts!$F$13,0)),0)</f>
        <v>0</v>
      </c>
      <c r="R3269" s="10">
        <f>IFERROR(IF(('Loading-truck'!$C$21)="No control",SUMIF(('Loading-truck'!$B$31:$B$48),$J3269,('Loading-truck'!$D$31:$D$48))*Impacts!$F$14,IF(('Loading-truck'!$C$21)&lt;&gt;"No control",SUMIF(('Loading-truck'!$B$31:$B$48),$J3269,('Loading-truck'!$E$31:$E$48))*Impacts!$F$14,0)),0)</f>
        <v>0</v>
      </c>
      <c r="S3269" s="10">
        <f>IFERROR(IF(('Loading-rail'!$C$21)="No control",SUMIF(('Loading-rail'!$B$31:$B$48),$J3269,('Loading-rail'!$D$31:$D$48))*Impacts!$F$15,IF(('Loading-rail'!$C$21)&lt;&gt;"No control",SUMIF(('Loading-rail'!$B$31:$B$48),$J3269,('Loading-rail'!$E$31:$E$48))*Impacts!$F$15,0)),0)</f>
        <v>0</v>
      </c>
      <c r="T3269" s="10">
        <f>IF(Flare!$C$7="",0,(SUMIF(Flare!$B$46:$B$185,$J3269,Flare!$E$46:$E$185)*Impacts!$F$16))</f>
        <v>0</v>
      </c>
      <c r="U3269" s="10">
        <f>IF(VCU!$C$9="",0,(SUMIF(VCU!$B$51:$B$193,$J3269,VCU!$E$51:$E$193)*Impacts!$F$17))</f>
        <v>0</v>
      </c>
      <c r="V3269" s="10">
        <f>IF(CAS!$C$7="",0,(SUMIF(CAS!$B$31:$B$167,$J3269,CAS!$E$31:$E$167)*Impacts!$F$18))</f>
        <v>0</v>
      </c>
      <c r="W3269" s="10">
        <f t="shared" si="91"/>
        <v>0</v>
      </c>
      <c r="AK3269" s="10" t="str">
        <f t="array" ref="AK3269">IFERROR(INDEX(SelectedSpecies,SMALL(IF(SelectedSpecies=AK$1,ROW(SelectedSpecies)),ROW(3270:3270)),2),"")</f>
        <v/>
      </c>
      <c r="BE3269" s="10"/>
      <c r="BI3269" s="10"/>
    </row>
    <row r="3270" spans="1:61" ht="21" customHeight="1" x14ac:dyDescent="0.25">
      <c r="A3270" s="10"/>
      <c r="B3270" s="10"/>
      <c r="E3270" s="10"/>
      <c r="G3270" s="10"/>
      <c r="I3270" s="436" t="s">
        <v>4023</v>
      </c>
      <c r="J3270" s="26" t="s">
        <v>4022</v>
      </c>
      <c r="K3270" s="10">
        <v>6</v>
      </c>
      <c r="L3270" s="73">
        <f>IF(Tank1!$C$23="No control",(SUMIF(Tank1!$B$32:$B$49,$J3270,Tank1!$C$32:$C$49)*Impacts!$F$8),0)</f>
        <v>0</v>
      </c>
      <c r="M3270" s="10">
        <f>IF(Tank2!$C$23="No control",(SUMIF(Tank2!$B$32:$B$49,$J3270,Tank2!$C$32:$C$49)*Impacts!$F$9),0)</f>
        <v>0</v>
      </c>
      <c r="N3270" s="10">
        <f>IF(Tank3!$C$23="No control",(SUMIF(Tank3!$B$32:$B$49,$J3270,Tank3!$C$32:$C$49)*Impacts!$F$10),0)</f>
        <v>0</v>
      </c>
      <c r="O3270" s="10">
        <f>IF(Tank4!$C$23="No control",(SUMIF(Tank4!$B$32:$B$49,$J3270,Tank4!$C$32:$C$49)*Impacts!$F$11),0)</f>
        <v>0</v>
      </c>
      <c r="P3270" s="10">
        <f>IF(Tank5!$C$23="No control",(SUMIF(Tank5!$B$32:$B$49,$J3270,Tank5!$C$32:$C$49)*Impacts!$F$12),0)</f>
        <v>0</v>
      </c>
      <c r="Q3270" s="10">
        <f>IFERROR(IF(('Loading-drum,tote'!$C$21)="No control",SUMIF(('Loading-drum,tote'!$B$31:$B$48),$J3270,('Loading-drum,tote'!$D$31:$D$48))*Impacts!$F$13,IF(('Loading-drum,tote'!$C$21)&lt;&gt;"No control",SUMIF(('Loading-drum,tote'!$B$31:$B$48),$J3270,('Loading-drum,tote'!$E$31:$E$48))*Impacts!$F$13,0)),0)</f>
        <v>0</v>
      </c>
      <c r="R3270" s="10">
        <f>IFERROR(IF(('Loading-truck'!$C$21)="No control",SUMIF(('Loading-truck'!$B$31:$B$48),$J3270,('Loading-truck'!$D$31:$D$48))*Impacts!$F$14,IF(('Loading-truck'!$C$21)&lt;&gt;"No control",SUMIF(('Loading-truck'!$B$31:$B$48),$J3270,('Loading-truck'!$E$31:$E$48))*Impacts!$F$14,0)),0)</f>
        <v>0</v>
      </c>
      <c r="S3270" s="10">
        <f>IFERROR(IF(('Loading-rail'!$C$21)="No control",SUMIF(('Loading-rail'!$B$31:$B$48),$J3270,('Loading-rail'!$D$31:$D$48))*Impacts!$F$15,IF(('Loading-rail'!$C$21)&lt;&gt;"No control",SUMIF(('Loading-rail'!$B$31:$B$48),$J3270,('Loading-rail'!$E$31:$E$48))*Impacts!$F$15,0)),0)</f>
        <v>0</v>
      </c>
      <c r="T3270" s="10">
        <f>IF(Flare!$C$7="",0,(SUMIF(Flare!$B$46:$B$185,$J3270,Flare!$E$46:$E$185)*Impacts!$F$16))</f>
        <v>0</v>
      </c>
      <c r="U3270" s="10">
        <f>IF(VCU!$C$9="",0,(SUMIF(VCU!$B$51:$B$193,$J3270,VCU!$E$51:$E$193)*Impacts!$F$17))</f>
        <v>0</v>
      </c>
      <c r="V3270" s="10">
        <f>IF(CAS!$C$7="",0,(SUMIF(CAS!$B$31:$B$167,$J3270,CAS!$E$31:$E$167)*Impacts!$F$18))</f>
        <v>0</v>
      </c>
      <c r="W3270" s="10">
        <f t="shared" si="91"/>
        <v>0</v>
      </c>
      <c r="AK3270" s="10" t="str">
        <f t="array" ref="AK3270">IFERROR(INDEX(SelectedSpecies,SMALL(IF(SelectedSpecies=AK$1,ROW(SelectedSpecies)),ROW(3271:3271)),2),"")</f>
        <v/>
      </c>
      <c r="BE3270" s="10"/>
      <c r="BI3270" s="10"/>
    </row>
    <row r="3271" spans="1:61" ht="21" customHeight="1" x14ac:dyDescent="0.25">
      <c r="A3271" s="10"/>
      <c r="B3271" s="10"/>
      <c r="E3271" s="10"/>
      <c r="G3271" s="10"/>
      <c r="I3271" s="436" t="s">
        <v>1158</v>
      </c>
      <c r="J3271" s="26" t="s">
        <v>1157</v>
      </c>
      <c r="K3271" s="10">
        <v>35</v>
      </c>
      <c r="L3271" s="73">
        <f>IF(Tank1!$C$23="No control",(SUMIF(Tank1!$B$32:$B$49,$J3271,Tank1!$C$32:$C$49)*Impacts!$F$8),0)</f>
        <v>0</v>
      </c>
      <c r="M3271" s="10">
        <f>IF(Tank2!$C$23="No control",(SUMIF(Tank2!$B$32:$B$49,$J3271,Tank2!$C$32:$C$49)*Impacts!$F$9),0)</f>
        <v>0</v>
      </c>
      <c r="N3271" s="10">
        <f>IF(Tank3!$C$23="No control",(SUMIF(Tank3!$B$32:$B$49,$J3271,Tank3!$C$32:$C$49)*Impacts!$F$10),0)</f>
        <v>0</v>
      </c>
      <c r="O3271" s="10">
        <f>IF(Tank4!$C$23="No control",(SUMIF(Tank4!$B$32:$B$49,$J3271,Tank4!$C$32:$C$49)*Impacts!$F$11),0)</f>
        <v>0</v>
      </c>
      <c r="P3271" s="10">
        <f>IF(Tank5!$C$23="No control",(SUMIF(Tank5!$B$32:$B$49,$J3271,Tank5!$C$32:$C$49)*Impacts!$F$12),0)</f>
        <v>0</v>
      </c>
      <c r="Q3271" s="10">
        <f>IFERROR(IF(('Loading-drum,tote'!$C$21)="No control",SUMIF(('Loading-drum,tote'!$B$31:$B$48),$J3271,('Loading-drum,tote'!$D$31:$D$48))*Impacts!$F$13,IF(('Loading-drum,tote'!$C$21)&lt;&gt;"No control",SUMIF(('Loading-drum,tote'!$B$31:$B$48),$J3271,('Loading-drum,tote'!$E$31:$E$48))*Impacts!$F$13,0)),0)</f>
        <v>0</v>
      </c>
      <c r="R3271" s="10">
        <f>IFERROR(IF(('Loading-truck'!$C$21)="No control",SUMIF(('Loading-truck'!$B$31:$B$48),$J3271,('Loading-truck'!$D$31:$D$48))*Impacts!$F$14,IF(('Loading-truck'!$C$21)&lt;&gt;"No control",SUMIF(('Loading-truck'!$B$31:$B$48),$J3271,('Loading-truck'!$E$31:$E$48))*Impacts!$F$14,0)),0)</f>
        <v>0</v>
      </c>
      <c r="S3271" s="10">
        <f>IFERROR(IF(('Loading-rail'!$C$21)="No control",SUMIF(('Loading-rail'!$B$31:$B$48),$J3271,('Loading-rail'!$D$31:$D$48))*Impacts!$F$15,IF(('Loading-rail'!$C$21)&lt;&gt;"No control",SUMIF(('Loading-rail'!$B$31:$B$48),$J3271,('Loading-rail'!$E$31:$E$48))*Impacts!$F$15,0)),0)</f>
        <v>0</v>
      </c>
      <c r="T3271" s="10">
        <f>IF(Flare!$C$7="",0,(SUMIF(Flare!$B$46:$B$185,$J3271,Flare!$E$46:$E$185)*Impacts!$F$16))</f>
        <v>0</v>
      </c>
      <c r="U3271" s="10">
        <f>IF(VCU!$C$9="",0,(SUMIF(VCU!$B$51:$B$193,$J3271,VCU!$E$51:$E$193)*Impacts!$F$17))</f>
        <v>0</v>
      </c>
      <c r="V3271" s="10">
        <f>IF(CAS!$C$7="",0,(SUMIF(CAS!$B$31:$B$167,$J3271,CAS!$E$31:$E$167)*Impacts!$F$18))</f>
        <v>0</v>
      </c>
      <c r="W3271" s="10">
        <f t="shared" si="91"/>
        <v>0</v>
      </c>
      <c r="AK3271" s="10" t="str">
        <f t="array" ref="AK3271">IFERROR(INDEX(SelectedSpecies,SMALL(IF(SelectedSpecies=AK$1,ROW(SelectedSpecies)),ROW(3272:3272)),2),"")</f>
        <v/>
      </c>
      <c r="BE3271" s="10"/>
      <c r="BI3271" s="10"/>
    </row>
    <row r="3272" spans="1:61" ht="21" customHeight="1" x14ac:dyDescent="0.25">
      <c r="A3272" s="10"/>
      <c r="B3272" s="10"/>
      <c r="E3272" s="10"/>
      <c r="G3272" s="10"/>
      <c r="I3272" s="436" t="s">
        <v>7936</v>
      </c>
      <c r="J3272" s="26" t="s">
        <v>7935</v>
      </c>
      <c r="K3272" s="10">
        <v>0.05</v>
      </c>
      <c r="L3272" s="73">
        <f>IF(Tank1!$C$23="No control",(SUMIF(Tank1!$B$32:$B$49,$J3272,Tank1!$C$32:$C$49)*Impacts!$F$8),0)</f>
        <v>0</v>
      </c>
      <c r="M3272" s="10">
        <f>IF(Tank2!$C$23="No control",(SUMIF(Tank2!$B$32:$B$49,$J3272,Tank2!$C$32:$C$49)*Impacts!$F$9),0)</f>
        <v>0</v>
      </c>
      <c r="N3272" s="10">
        <f>IF(Tank3!$C$23="No control",(SUMIF(Tank3!$B$32:$B$49,$J3272,Tank3!$C$32:$C$49)*Impacts!$F$10),0)</f>
        <v>0</v>
      </c>
      <c r="O3272" s="10">
        <f>IF(Tank4!$C$23="No control",(SUMIF(Tank4!$B$32:$B$49,$J3272,Tank4!$C$32:$C$49)*Impacts!$F$11),0)</f>
        <v>0</v>
      </c>
      <c r="P3272" s="10">
        <f>IF(Tank5!$C$23="No control",(SUMIF(Tank5!$B$32:$B$49,$J3272,Tank5!$C$32:$C$49)*Impacts!$F$12),0)</f>
        <v>0</v>
      </c>
      <c r="Q3272" s="10">
        <f>IFERROR(IF(('Loading-drum,tote'!$C$21)="No control",SUMIF(('Loading-drum,tote'!$B$31:$B$48),$J3272,('Loading-drum,tote'!$D$31:$D$48))*Impacts!$F$13,IF(('Loading-drum,tote'!$C$21)&lt;&gt;"No control",SUMIF(('Loading-drum,tote'!$B$31:$B$48),$J3272,('Loading-drum,tote'!$E$31:$E$48))*Impacts!$F$13,0)),0)</f>
        <v>0</v>
      </c>
      <c r="R3272" s="10">
        <f>IFERROR(IF(('Loading-truck'!$C$21)="No control",SUMIF(('Loading-truck'!$B$31:$B$48),$J3272,('Loading-truck'!$D$31:$D$48))*Impacts!$F$14,IF(('Loading-truck'!$C$21)&lt;&gt;"No control",SUMIF(('Loading-truck'!$B$31:$B$48),$J3272,('Loading-truck'!$E$31:$E$48))*Impacts!$F$14,0)),0)</f>
        <v>0</v>
      </c>
      <c r="S3272" s="10">
        <f>IFERROR(IF(('Loading-rail'!$C$21)="No control",SUMIF(('Loading-rail'!$B$31:$B$48),$J3272,('Loading-rail'!$D$31:$D$48))*Impacts!$F$15,IF(('Loading-rail'!$C$21)&lt;&gt;"No control",SUMIF(('Loading-rail'!$B$31:$B$48),$J3272,('Loading-rail'!$E$31:$E$48))*Impacts!$F$15,0)),0)</f>
        <v>0</v>
      </c>
      <c r="T3272" s="10">
        <f>IF(Flare!$C$7="",0,(SUMIF(Flare!$B$46:$B$185,$J3272,Flare!$E$46:$E$185)*Impacts!$F$16))</f>
        <v>0</v>
      </c>
      <c r="U3272" s="10">
        <f>IF(VCU!$C$9="",0,(SUMIF(VCU!$B$51:$B$193,$J3272,VCU!$E$51:$E$193)*Impacts!$F$17))</f>
        <v>0</v>
      </c>
      <c r="V3272" s="10">
        <f>IF(CAS!$C$7="",0,(SUMIF(CAS!$B$31:$B$167,$J3272,CAS!$E$31:$E$167)*Impacts!$F$18))</f>
        <v>0</v>
      </c>
      <c r="W3272" s="10">
        <f t="shared" si="91"/>
        <v>0</v>
      </c>
      <c r="AK3272" s="10" t="str">
        <f t="array" ref="AK3272">IFERROR(INDEX(SelectedSpecies,SMALL(IF(SelectedSpecies=AK$1,ROW(SelectedSpecies)),ROW(3273:3273)),2),"")</f>
        <v/>
      </c>
      <c r="BE3272" s="10"/>
      <c r="BI3272" s="10"/>
    </row>
    <row r="3273" spans="1:61" ht="21" customHeight="1" x14ac:dyDescent="0.25">
      <c r="A3273" s="10"/>
      <c r="B3273" s="10"/>
      <c r="E3273" s="10"/>
      <c r="G3273" s="10"/>
      <c r="I3273" s="436" t="s">
        <v>3339</v>
      </c>
      <c r="J3273" s="26" t="s">
        <v>3338</v>
      </c>
      <c r="K3273" s="10">
        <v>10</v>
      </c>
      <c r="L3273" s="73">
        <f>IF(Tank1!$C$23="No control",(SUMIF(Tank1!$B$32:$B$49,$J3273,Tank1!$C$32:$C$49)*Impacts!$F$8),0)</f>
        <v>0</v>
      </c>
      <c r="M3273" s="10">
        <f>IF(Tank2!$C$23="No control",(SUMIF(Tank2!$B$32:$B$49,$J3273,Tank2!$C$32:$C$49)*Impacts!$F$9),0)</f>
        <v>0</v>
      </c>
      <c r="N3273" s="10">
        <f>IF(Tank3!$C$23="No control",(SUMIF(Tank3!$B$32:$B$49,$J3273,Tank3!$C$32:$C$49)*Impacts!$F$10),0)</f>
        <v>0</v>
      </c>
      <c r="O3273" s="10">
        <f>IF(Tank4!$C$23="No control",(SUMIF(Tank4!$B$32:$B$49,$J3273,Tank4!$C$32:$C$49)*Impacts!$F$11),0)</f>
        <v>0</v>
      </c>
      <c r="P3273" s="10">
        <f>IF(Tank5!$C$23="No control",(SUMIF(Tank5!$B$32:$B$49,$J3273,Tank5!$C$32:$C$49)*Impacts!$F$12),0)</f>
        <v>0</v>
      </c>
      <c r="Q3273" s="10">
        <f>IFERROR(IF(('Loading-drum,tote'!$C$21)="No control",SUMIF(('Loading-drum,tote'!$B$31:$B$48),$J3273,('Loading-drum,tote'!$D$31:$D$48))*Impacts!$F$13,IF(('Loading-drum,tote'!$C$21)&lt;&gt;"No control",SUMIF(('Loading-drum,tote'!$B$31:$B$48),$J3273,('Loading-drum,tote'!$E$31:$E$48))*Impacts!$F$13,0)),0)</f>
        <v>0</v>
      </c>
      <c r="R3273" s="10">
        <f>IFERROR(IF(('Loading-truck'!$C$21)="No control",SUMIF(('Loading-truck'!$B$31:$B$48),$J3273,('Loading-truck'!$D$31:$D$48))*Impacts!$F$14,IF(('Loading-truck'!$C$21)&lt;&gt;"No control",SUMIF(('Loading-truck'!$B$31:$B$48),$J3273,('Loading-truck'!$E$31:$E$48))*Impacts!$F$14,0)),0)</f>
        <v>0</v>
      </c>
      <c r="S3273" s="10">
        <f>IFERROR(IF(('Loading-rail'!$C$21)="No control",SUMIF(('Loading-rail'!$B$31:$B$48),$J3273,('Loading-rail'!$D$31:$D$48))*Impacts!$F$15,IF(('Loading-rail'!$C$21)&lt;&gt;"No control",SUMIF(('Loading-rail'!$B$31:$B$48),$J3273,('Loading-rail'!$E$31:$E$48))*Impacts!$F$15,0)),0)</f>
        <v>0</v>
      </c>
      <c r="T3273" s="10">
        <f>IF(Flare!$C$7="",0,(SUMIF(Flare!$B$46:$B$185,$J3273,Flare!$E$46:$E$185)*Impacts!$F$16))</f>
        <v>0</v>
      </c>
      <c r="U3273" s="10">
        <f>IF(VCU!$C$9="",0,(SUMIF(VCU!$B$51:$B$193,$J3273,VCU!$E$51:$E$193)*Impacts!$F$17))</f>
        <v>0</v>
      </c>
      <c r="V3273" s="10">
        <f>IF(CAS!$C$7="",0,(SUMIF(CAS!$B$31:$B$167,$J3273,CAS!$E$31:$E$167)*Impacts!$F$18))</f>
        <v>0</v>
      </c>
      <c r="W3273" s="10">
        <f t="shared" si="91"/>
        <v>0</v>
      </c>
      <c r="AK3273" s="10" t="str">
        <f t="array" ref="AK3273">IFERROR(INDEX(SelectedSpecies,SMALL(IF(SelectedSpecies=AK$1,ROW(SelectedSpecies)),ROW(3274:3274)),2),"")</f>
        <v/>
      </c>
      <c r="BE3273" s="10"/>
      <c r="BI3273" s="10"/>
    </row>
    <row r="3274" spans="1:61" ht="21" customHeight="1" x14ac:dyDescent="0.25">
      <c r="A3274" s="10"/>
      <c r="B3274" s="10"/>
      <c r="E3274" s="10"/>
      <c r="G3274" s="10"/>
      <c r="I3274" s="436" t="s">
        <v>6138</v>
      </c>
      <c r="J3274" s="26" t="s">
        <v>6137</v>
      </c>
      <c r="K3274" s="10">
        <v>1</v>
      </c>
      <c r="L3274" s="73">
        <f>IF(Tank1!$C$23="No control",(SUMIF(Tank1!$B$32:$B$49,$J3274,Tank1!$C$32:$C$49)*Impacts!$F$8),0)</f>
        <v>0</v>
      </c>
      <c r="M3274" s="10">
        <f>IF(Tank2!$C$23="No control",(SUMIF(Tank2!$B$32:$B$49,$J3274,Tank2!$C$32:$C$49)*Impacts!$F$9),0)</f>
        <v>0</v>
      </c>
      <c r="N3274" s="10">
        <f>IF(Tank3!$C$23="No control",(SUMIF(Tank3!$B$32:$B$49,$J3274,Tank3!$C$32:$C$49)*Impacts!$F$10),0)</f>
        <v>0</v>
      </c>
      <c r="O3274" s="10">
        <f>IF(Tank4!$C$23="No control",(SUMIF(Tank4!$B$32:$B$49,$J3274,Tank4!$C$32:$C$49)*Impacts!$F$11),0)</f>
        <v>0</v>
      </c>
      <c r="P3274" s="10">
        <f>IF(Tank5!$C$23="No control",(SUMIF(Tank5!$B$32:$B$49,$J3274,Tank5!$C$32:$C$49)*Impacts!$F$12),0)</f>
        <v>0</v>
      </c>
      <c r="Q3274" s="10">
        <f>IFERROR(IF(('Loading-drum,tote'!$C$21)="No control",SUMIF(('Loading-drum,tote'!$B$31:$B$48),$J3274,('Loading-drum,tote'!$D$31:$D$48))*Impacts!$F$13,IF(('Loading-drum,tote'!$C$21)&lt;&gt;"No control",SUMIF(('Loading-drum,tote'!$B$31:$B$48),$J3274,('Loading-drum,tote'!$E$31:$E$48))*Impacts!$F$13,0)),0)</f>
        <v>0</v>
      </c>
      <c r="R3274" s="10">
        <f>IFERROR(IF(('Loading-truck'!$C$21)="No control",SUMIF(('Loading-truck'!$B$31:$B$48),$J3274,('Loading-truck'!$D$31:$D$48))*Impacts!$F$14,IF(('Loading-truck'!$C$21)&lt;&gt;"No control",SUMIF(('Loading-truck'!$B$31:$B$48),$J3274,('Loading-truck'!$E$31:$E$48))*Impacts!$F$14,0)),0)</f>
        <v>0</v>
      </c>
      <c r="S3274" s="10">
        <f>IFERROR(IF(('Loading-rail'!$C$21)="No control",SUMIF(('Loading-rail'!$B$31:$B$48),$J3274,('Loading-rail'!$D$31:$D$48))*Impacts!$F$15,IF(('Loading-rail'!$C$21)&lt;&gt;"No control",SUMIF(('Loading-rail'!$B$31:$B$48),$J3274,('Loading-rail'!$E$31:$E$48))*Impacts!$F$15,0)),0)</f>
        <v>0</v>
      </c>
      <c r="T3274" s="10">
        <f>IF(Flare!$C$7="",0,(SUMIF(Flare!$B$46:$B$185,$J3274,Flare!$E$46:$E$185)*Impacts!$F$16))</f>
        <v>0</v>
      </c>
      <c r="U3274" s="10">
        <f>IF(VCU!$C$9="",0,(SUMIF(VCU!$B$51:$B$193,$J3274,VCU!$E$51:$E$193)*Impacts!$F$17))</f>
        <v>0</v>
      </c>
      <c r="V3274" s="10">
        <f>IF(CAS!$C$7="",0,(SUMIF(CAS!$B$31:$B$167,$J3274,CAS!$E$31:$E$167)*Impacts!$F$18))</f>
        <v>0</v>
      </c>
      <c r="W3274" s="10">
        <f t="shared" si="91"/>
        <v>0</v>
      </c>
      <c r="AK3274" s="10" t="str">
        <f t="array" ref="AK3274">IFERROR(INDEX(SelectedSpecies,SMALL(IF(SelectedSpecies=AK$1,ROW(SelectedSpecies)),ROW(3275:3275)),2),"")</f>
        <v/>
      </c>
      <c r="BE3274" s="10"/>
      <c r="BI3274" s="10"/>
    </row>
    <row r="3275" spans="1:61" ht="21" customHeight="1" x14ac:dyDescent="0.25">
      <c r="A3275" s="10"/>
      <c r="B3275" s="10"/>
      <c r="E3275" s="10"/>
      <c r="G3275" s="10"/>
      <c r="I3275" s="436" t="s">
        <v>3341</v>
      </c>
      <c r="J3275" s="26" t="s">
        <v>3340</v>
      </c>
      <c r="K3275" s="10">
        <v>10</v>
      </c>
      <c r="L3275" s="73">
        <f>IF(Tank1!$C$23="No control",(SUMIF(Tank1!$B$32:$B$49,$J3275,Tank1!$C$32:$C$49)*Impacts!$F$8),0)</f>
        <v>0</v>
      </c>
      <c r="M3275" s="10">
        <f>IF(Tank2!$C$23="No control",(SUMIF(Tank2!$B$32:$B$49,$J3275,Tank2!$C$32:$C$49)*Impacts!$F$9),0)</f>
        <v>0</v>
      </c>
      <c r="N3275" s="10">
        <f>IF(Tank3!$C$23="No control",(SUMIF(Tank3!$B$32:$B$49,$J3275,Tank3!$C$32:$C$49)*Impacts!$F$10),0)</f>
        <v>0</v>
      </c>
      <c r="O3275" s="10">
        <f>IF(Tank4!$C$23="No control",(SUMIF(Tank4!$B$32:$B$49,$J3275,Tank4!$C$32:$C$49)*Impacts!$F$11),0)</f>
        <v>0</v>
      </c>
      <c r="P3275" s="10">
        <f>IF(Tank5!$C$23="No control",(SUMIF(Tank5!$B$32:$B$49,$J3275,Tank5!$C$32:$C$49)*Impacts!$F$12),0)</f>
        <v>0</v>
      </c>
      <c r="Q3275" s="10">
        <f>IFERROR(IF(('Loading-drum,tote'!$C$21)="No control",SUMIF(('Loading-drum,tote'!$B$31:$B$48),$J3275,('Loading-drum,tote'!$D$31:$D$48))*Impacts!$F$13,IF(('Loading-drum,tote'!$C$21)&lt;&gt;"No control",SUMIF(('Loading-drum,tote'!$B$31:$B$48),$J3275,('Loading-drum,tote'!$E$31:$E$48))*Impacts!$F$13,0)),0)</f>
        <v>0</v>
      </c>
      <c r="R3275" s="10">
        <f>IFERROR(IF(('Loading-truck'!$C$21)="No control",SUMIF(('Loading-truck'!$B$31:$B$48),$J3275,('Loading-truck'!$D$31:$D$48))*Impacts!$F$14,IF(('Loading-truck'!$C$21)&lt;&gt;"No control",SUMIF(('Loading-truck'!$B$31:$B$48),$J3275,('Loading-truck'!$E$31:$E$48))*Impacts!$F$14,0)),0)</f>
        <v>0</v>
      </c>
      <c r="S3275" s="10">
        <f>IFERROR(IF(('Loading-rail'!$C$21)="No control",SUMIF(('Loading-rail'!$B$31:$B$48),$J3275,('Loading-rail'!$D$31:$D$48))*Impacts!$F$15,IF(('Loading-rail'!$C$21)&lt;&gt;"No control",SUMIF(('Loading-rail'!$B$31:$B$48),$J3275,('Loading-rail'!$E$31:$E$48))*Impacts!$F$15,0)),0)</f>
        <v>0</v>
      </c>
      <c r="T3275" s="10">
        <f>IF(Flare!$C$7="",0,(SUMIF(Flare!$B$46:$B$185,$J3275,Flare!$E$46:$E$185)*Impacts!$F$16))</f>
        <v>0</v>
      </c>
      <c r="U3275" s="10">
        <f>IF(VCU!$C$9="",0,(SUMIF(VCU!$B$51:$B$193,$J3275,VCU!$E$51:$E$193)*Impacts!$F$17))</f>
        <v>0</v>
      </c>
      <c r="V3275" s="10">
        <f>IF(CAS!$C$7="",0,(SUMIF(CAS!$B$31:$B$167,$J3275,CAS!$E$31:$E$167)*Impacts!$F$18))</f>
        <v>0</v>
      </c>
      <c r="W3275" s="10">
        <f t="shared" si="91"/>
        <v>0</v>
      </c>
      <c r="AK3275" s="10" t="str">
        <f t="array" ref="AK3275">IFERROR(INDEX(SelectedSpecies,SMALL(IF(SelectedSpecies=AK$1,ROW(SelectedSpecies)),ROW(3276:3276)),2),"")</f>
        <v/>
      </c>
      <c r="BE3275" s="10"/>
      <c r="BI3275" s="10"/>
    </row>
    <row r="3276" spans="1:61" ht="21" customHeight="1" x14ac:dyDescent="0.25">
      <c r="A3276" s="10"/>
      <c r="B3276" s="10"/>
      <c r="E3276" s="10"/>
      <c r="G3276" s="10"/>
      <c r="I3276" s="436" t="s">
        <v>7294</v>
      </c>
      <c r="J3276" s="26" t="s">
        <v>7293</v>
      </c>
      <c r="K3276" s="10">
        <v>0.30000000000000004</v>
      </c>
      <c r="L3276" s="73">
        <f>IF(Tank1!$C$23="No control",(SUMIF(Tank1!$B$32:$B$49,$J3276,Tank1!$C$32:$C$49)*Impacts!$F$8),0)</f>
        <v>0</v>
      </c>
      <c r="M3276" s="10">
        <f>IF(Tank2!$C$23="No control",(SUMIF(Tank2!$B$32:$B$49,$J3276,Tank2!$C$32:$C$49)*Impacts!$F$9),0)</f>
        <v>0</v>
      </c>
      <c r="N3276" s="10">
        <f>IF(Tank3!$C$23="No control",(SUMIF(Tank3!$B$32:$B$49,$J3276,Tank3!$C$32:$C$49)*Impacts!$F$10),0)</f>
        <v>0</v>
      </c>
      <c r="O3276" s="10">
        <f>IF(Tank4!$C$23="No control",(SUMIF(Tank4!$B$32:$B$49,$J3276,Tank4!$C$32:$C$49)*Impacts!$F$11),0)</f>
        <v>0</v>
      </c>
      <c r="P3276" s="10">
        <f>IF(Tank5!$C$23="No control",(SUMIF(Tank5!$B$32:$B$49,$J3276,Tank5!$C$32:$C$49)*Impacts!$F$12),0)</f>
        <v>0</v>
      </c>
      <c r="Q3276" s="10">
        <f>IFERROR(IF(('Loading-drum,tote'!$C$21)="No control",SUMIF(('Loading-drum,tote'!$B$31:$B$48),$J3276,('Loading-drum,tote'!$D$31:$D$48))*Impacts!$F$13,IF(('Loading-drum,tote'!$C$21)&lt;&gt;"No control",SUMIF(('Loading-drum,tote'!$B$31:$B$48),$J3276,('Loading-drum,tote'!$E$31:$E$48))*Impacts!$F$13,0)),0)</f>
        <v>0</v>
      </c>
      <c r="R3276" s="10">
        <f>IFERROR(IF(('Loading-truck'!$C$21)="No control",SUMIF(('Loading-truck'!$B$31:$B$48),$J3276,('Loading-truck'!$D$31:$D$48))*Impacts!$F$14,IF(('Loading-truck'!$C$21)&lt;&gt;"No control",SUMIF(('Loading-truck'!$B$31:$B$48),$J3276,('Loading-truck'!$E$31:$E$48))*Impacts!$F$14,0)),0)</f>
        <v>0</v>
      </c>
      <c r="S3276" s="10">
        <f>IFERROR(IF(('Loading-rail'!$C$21)="No control",SUMIF(('Loading-rail'!$B$31:$B$48),$J3276,('Loading-rail'!$D$31:$D$48))*Impacts!$F$15,IF(('Loading-rail'!$C$21)&lt;&gt;"No control",SUMIF(('Loading-rail'!$B$31:$B$48),$J3276,('Loading-rail'!$E$31:$E$48))*Impacts!$F$15,0)),0)</f>
        <v>0</v>
      </c>
      <c r="T3276" s="10">
        <f>IF(Flare!$C$7="",0,(SUMIF(Flare!$B$46:$B$185,$J3276,Flare!$E$46:$E$185)*Impacts!$F$16))</f>
        <v>0</v>
      </c>
      <c r="U3276" s="10">
        <f>IF(VCU!$C$9="",0,(SUMIF(VCU!$B$51:$B$193,$J3276,VCU!$E$51:$E$193)*Impacts!$F$17))</f>
        <v>0</v>
      </c>
      <c r="V3276" s="10">
        <f>IF(CAS!$C$7="",0,(SUMIF(CAS!$B$31:$B$167,$J3276,CAS!$E$31:$E$167)*Impacts!$F$18))</f>
        <v>0</v>
      </c>
      <c r="W3276" s="10">
        <f t="shared" si="91"/>
        <v>0</v>
      </c>
      <c r="AK3276" s="10" t="str">
        <f t="array" ref="AK3276">IFERROR(INDEX(SelectedSpecies,SMALL(IF(SelectedSpecies=AK$1,ROW(SelectedSpecies)),ROW(3277:3277)),2),"")</f>
        <v/>
      </c>
      <c r="BE3276" s="10"/>
      <c r="BI3276" s="10"/>
    </row>
    <row r="3277" spans="1:61" ht="21" customHeight="1" x14ac:dyDescent="0.25">
      <c r="A3277" s="10"/>
      <c r="B3277" s="10"/>
      <c r="E3277" s="10"/>
      <c r="G3277" s="10"/>
      <c r="I3277" s="436" t="s">
        <v>3343</v>
      </c>
      <c r="J3277" s="26" t="s">
        <v>3342</v>
      </c>
      <c r="K3277" s="10">
        <v>10</v>
      </c>
      <c r="L3277" s="73">
        <f>IF(Tank1!$C$23="No control",(SUMIF(Tank1!$B$32:$B$49,$J3277,Tank1!$C$32:$C$49)*Impacts!$F$8),0)</f>
        <v>0</v>
      </c>
      <c r="M3277" s="10">
        <f>IF(Tank2!$C$23="No control",(SUMIF(Tank2!$B$32:$B$49,$J3277,Tank2!$C$32:$C$49)*Impacts!$F$9),0)</f>
        <v>0</v>
      </c>
      <c r="N3277" s="10">
        <f>IF(Tank3!$C$23="No control",(SUMIF(Tank3!$B$32:$B$49,$J3277,Tank3!$C$32:$C$49)*Impacts!$F$10),0)</f>
        <v>0</v>
      </c>
      <c r="O3277" s="10">
        <f>IF(Tank4!$C$23="No control",(SUMIF(Tank4!$B$32:$B$49,$J3277,Tank4!$C$32:$C$49)*Impacts!$F$11),0)</f>
        <v>0</v>
      </c>
      <c r="P3277" s="10">
        <f>IF(Tank5!$C$23="No control",(SUMIF(Tank5!$B$32:$B$49,$J3277,Tank5!$C$32:$C$49)*Impacts!$F$12),0)</f>
        <v>0</v>
      </c>
      <c r="Q3277" s="10">
        <f>IFERROR(IF(('Loading-drum,tote'!$C$21)="No control",SUMIF(('Loading-drum,tote'!$B$31:$B$48),$J3277,('Loading-drum,tote'!$D$31:$D$48))*Impacts!$F$13,IF(('Loading-drum,tote'!$C$21)&lt;&gt;"No control",SUMIF(('Loading-drum,tote'!$B$31:$B$48),$J3277,('Loading-drum,tote'!$E$31:$E$48))*Impacts!$F$13,0)),0)</f>
        <v>0</v>
      </c>
      <c r="R3277" s="10">
        <f>IFERROR(IF(('Loading-truck'!$C$21)="No control",SUMIF(('Loading-truck'!$B$31:$B$48),$J3277,('Loading-truck'!$D$31:$D$48))*Impacts!$F$14,IF(('Loading-truck'!$C$21)&lt;&gt;"No control",SUMIF(('Loading-truck'!$B$31:$B$48),$J3277,('Loading-truck'!$E$31:$E$48))*Impacts!$F$14,0)),0)</f>
        <v>0</v>
      </c>
      <c r="S3277" s="10">
        <f>IFERROR(IF(('Loading-rail'!$C$21)="No control",SUMIF(('Loading-rail'!$B$31:$B$48),$J3277,('Loading-rail'!$D$31:$D$48))*Impacts!$F$15,IF(('Loading-rail'!$C$21)&lt;&gt;"No control",SUMIF(('Loading-rail'!$B$31:$B$48),$J3277,('Loading-rail'!$E$31:$E$48))*Impacts!$F$15,0)),0)</f>
        <v>0</v>
      </c>
      <c r="T3277" s="10">
        <f>IF(Flare!$C$7="",0,(SUMIF(Flare!$B$46:$B$185,$J3277,Flare!$E$46:$E$185)*Impacts!$F$16))</f>
        <v>0</v>
      </c>
      <c r="U3277" s="10">
        <f>IF(VCU!$C$9="",0,(SUMIF(VCU!$B$51:$B$193,$J3277,VCU!$E$51:$E$193)*Impacts!$F$17))</f>
        <v>0</v>
      </c>
      <c r="V3277" s="10">
        <f>IF(CAS!$C$7="",0,(SUMIF(CAS!$B$31:$B$167,$J3277,CAS!$E$31:$E$167)*Impacts!$F$18))</f>
        <v>0</v>
      </c>
      <c r="W3277" s="10">
        <f t="shared" si="91"/>
        <v>0</v>
      </c>
      <c r="AK3277" s="10" t="str">
        <f t="array" ref="AK3277">IFERROR(INDEX(SelectedSpecies,SMALL(IF(SelectedSpecies=AK$1,ROW(SelectedSpecies)),ROW(3278:3278)),2),"")</f>
        <v/>
      </c>
      <c r="BE3277" s="10"/>
      <c r="BI3277" s="10"/>
    </row>
    <row r="3278" spans="1:61" ht="21" customHeight="1" x14ac:dyDescent="0.25">
      <c r="A3278" s="10"/>
      <c r="B3278" s="10"/>
      <c r="E3278" s="10"/>
      <c r="G3278" s="10"/>
      <c r="I3278" s="436" t="s">
        <v>3597</v>
      </c>
      <c r="J3278" s="26" t="s">
        <v>3596</v>
      </c>
      <c r="K3278" s="10">
        <v>8</v>
      </c>
      <c r="L3278" s="73">
        <f>IF(Tank1!$C$23="No control",(SUMIF(Tank1!$B$32:$B$49,$J3278,Tank1!$C$32:$C$49)*Impacts!$F$8),0)</f>
        <v>0</v>
      </c>
      <c r="M3278" s="10">
        <f>IF(Tank2!$C$23="No control",(SUMIF(Tank2!$B$32:$B$49,$J3278,Tank2!$C$32:$C$49)*Impacts!$F$9),0)</f>
        <v>0</v>
      </c>
      <c r="N3278" s="10">
        <f>IF(Tank3!$C$23="No control",(SUMIF(Tank3!$B$32:$B$49,$J3278,Tank3!$C$32:$C$49)*Impacts!$F$10),0)</f>
        <v>0</v>
      </c>
      <c r="O3278" s="10">
        <f>IF(Tank4!$C$23="No control",(SUMIF(Tank4!$B$32:$B$49,$J3278,Tank4!$C$32:$C$49)*Impacts!$F$11),0)</f>
        <v>0</v>
      </c>
      <c r="P3278" s="10">
        <f>IF(Tank5!$C$23="No control",(SUMIF(Tank5!$B$32:$B$49,$J3278,Tank5!$C$32:$C$49)*Impacts!$F$12),0)</f>
        <v>0</v>
      </c>
      <c r="Q3278" s="10">
        <f>IFERROR(IF(('Loading-drum,tote'!$C$21)="No control",SUMIF(('Loading-drum,tote'!$B$31:$B$48),$J3278,('Loading-drum,tote'!$D$31:$D$48))*Impacts!$F$13,IF(('Loading-drum,tote'!$C$21)&lt;&gt;"No control",SUMIF(('Loading-drum,tote'!$B$31:$B$48),$J3278,('Loading-drum,tote'!$E$31:$E$48))*Impacts!$F$13,0)),0)</f>
        <v>0</v>
      </c>
      <c r="R3278" s="10">
        <f>IFERROR(IF(('Loading-truck'!$C$21)="No control",SUMIF(('Loading-truck'!$B$31:$B$48),$J3278,('Loading-truck'!$D$31:$D$48))*Impacts!$F$14,IF(('Loading-truck'!$C$21)&lt;&gt;"No control",SUMIF(('Loading-truck'!$B$31:$B$48),$J3278,('Loading-truck'!$E$31:$E$48))*Impacts!$F$14,0)),0)</f>
        <v>0</v>
      </c>
      <c r="S3278" s="10">
        <f>IFERROR(IF(('Loading-rail'!$C$21)="No control",SUMIF(('Loading-rail'!$B$31:$B$48),$J3278,('Loading-rail'!$D$31:$D$48))*Impacts!$F$15,IF(('Loading-rail'!$C$21)&lt;&gt;"No control",SUMIF(('Loading-rail'!$B$31:$B$48),$J3278,('Loading-rail'!$E$31:$E$48))*Impacts!$F$15,0)),0)</f>
        <v>0</v>
      </c>
      <c r="T3278" s="10">
        <f>IF(Flare!$C$7="",0,(SUMIF(Flare!$B$46:$B$185,$J3278,Flare!$E$46:$E$185)*Impacts!$F$16))</f>
        <v>0</v>
      </c>
      <c r="U3278" s="10">
        <f>IF(VCU!$C$9="",0,(SUMIF(VCU!$B$51:$B$193,$J3278,VCU!$E$51:$E$193)*Impacts!$F$17))</f>
        <v>0</v>
      </c>
      <c r="V3278" s="10">
        <f>IF(CAS!$C$7="",0,(SUMIF(CAS!$B$31:$B$167,$J3278,CAS!$E$31:$E$167)*Impacts!$F$18))</f>
        <v>0</v>
      </c>
      <c r="W3278" s="10">
        <f t="shared" si="91"/>
        <v>0</v>
      </c>
      <c r="AK3278" s="10" t="str">
        <f t="array" ref="AK3278">IFERROR(INDEX(SelectedSpecies,SMALL(IF(SelectedSpecies=AK$1,ROW(SelectedSpecies)),ROW(3279:3279)),2),"")</f>
        <v/>
      </c>
      <c r="BE3278" s="10"/>
      <c r="BI3278" s="10"/>
    </row>
    <row r="3279" spans="1:61" ht="21" customHeight="1" x14ac:dyDescent="0.25">
      <c r="A3279" s="10"/>
      <c r="B3279" s="10"/>
      <c r="E3279" s="10"/>
      <c r="G3279" s="10"/>
      <c r="I3279" s="436" t="s">
        <v>1638</v>
      </c>
      <c r="J3279" s="26" t="s">
        <v>1637</v>
      </c>
      <c r="K3279" s="10">
        <v>25</v>
      </c>
      <c r="L3279" s="73">
        <f>IF(Tank1!$C$23="No control",(SUMIF(Tank1!$B$32:$B$49,$J3279,Tank1!$C$32:$C$49)*Impacts!$F$8),0)</f>
        <v>0</v>
      </c>
      <c r="M3279" s="10">
        <f>IF(Tank2!$C$23="No control",(SUMIF(Tank2!$B$32:$B$49,$J3279,Tank2!$C$32:$C$49)*Impacts!$F$9),0)</f>
        <v>0</v>
      </c>
      <c r="N3279" s="10">
        <f>IF(Tank3!$C$23="No control",(SUMIF(Tank3!$B$32:$B$49,$J3279,Tank3!$C$32:$C$49)*Impacts!$F$10),0)</f>
        <v>0</v>
      </c>
      <c r="O3279" s="10">
        <f>IF(Tank4!$C$23="No control",(SUMIF(Tank4!$B$32:$B$49,$J3279,Tank4!$C$32:$C$49)*Impacts!$F$11),0)</f>
        <v>0</v>
      </c>
      <c r="P3279" s="10">
        <f>IF(Tank5!$C$23="No control",(SUMIF(Tank5!$B$32:$B$49,$J3279,Tank5!$C$32:$C$49)*Impacts!$F$12),0)</f>
        <v>0</v>
      </c>
      <c r="Q3279" s="10">
        <f>IFERROR(IF(('Loading-drum,tote'!$C$21)="No control",SUMIF(('Loading-drum,tote'!$B$31:$B$48),$J3279,('Loading-drum,tote'!$D$31:$D$48))*Impacts!$F$13,IF(('Loading-drum,tote'!$C$21)&lt;&gt;"No control",SUMIF(('Loading-drum,tote'!$B$31:$B$48),$J3279,('Loading-drum,tote'!$E$31:$E$48))*Impacts!$F$13,0)),0)</f>
        <v>0</v>
      </c>
      <c r="R3279" s="10">
        <f>IFERROR(IF(('Loading-truck'!$C$21)="No control",SUMIF(('Loading-truck'!$B$31:$B$48),$J3279,('Loading-truck'!$D$31:$D$48))*Impacts!$F$14,IF(('Loading-truck'!$C$21)&lt;&gt;"No control",SUMIF(('Loading-truck'!$B$31:$B$48),$J3279,('Loading-truck'!$E$31:$E$48))*Impacts!$F$14,0)),0)</f>
        <v>0</v>
      </c>
      <c r="S3279" s="10">
        <f>IFERROR(IF(('Loading-rail'!$C$21)="No control",SUMIF(('Loading-rail'!$B$31:$B$48),$J3279,('Loading-rail'!$D$31:$D$48))*Impacts!$F$15,IF(('Loading-rail'!$C$21)&lt;&gt;"No control",SUMIF(('Loading-rail'!$B$31:$B$48),$J3279,('Loading-rail'!$E$31:$E$48))*Impacts!$F$15,0)),0)</f>
        <v>0</v>
      </c>
      <c r="T3279" s="10">
        <f>IF(Flare!$C$7="",0,(SUMIF(Flare!$B$46:$B$185,$J3279,Flare!$E$46:$E$185)*Impacts!$F$16))</f>
        <v>0</v>
      </c>
      <c r="U3279" s="10">
        <f>IF(VCU!$C$9="",0,(SUMIF(VCU!$B$51:$B$193,$J3279,VCU!$E$51:$E$193)*Impacts!$F$17))</f>
        <v>0</v>
      </c>
      <c r="V3279" s="10">
        <f>IF(CAS!$C$7="",0,(SUMIF(CAS!$B$31:$B$167,$J3279,CAS!$E$31:$E$167)*Impacts!$F$18))</f>
        <v>0</v>
      </c>
      <c r="W3279" s="10">
        <f t="shared" si="91"/>
        <v>0</v>
      </c>
      <c r="AK3279" s="10" t="str">
        <f t="array" ref="AK3279">IFERROR(INDEX(SelectedSpecies,SMALL(IF(SelectedSpecies=AK$1,ROW(SelectedSpecies)),ROW(3280:3280)),2),"")</f>
        <v/>
      </c>
      <c r="BE3279" s="10"/>
      <c r="BI3279" s="10"/>
    </row>
    <row r="3280" spans="1:61" ht="21" customHeight="1" x14ac:dyDescent="0.25">
      <c r="A3280" s="10"/>
      <c r="B3280" s="10"/>
      <c r="E3280" s="10"/>
      <c r="G3280" s="10"/>
      <c r="I3280" s="436" t="s">
        <v>1160</v>
      </c>
      <c r="J3280" s="26" t="s">
        <v>1159</v>
      </c>
      <c r="K3280" s="10">
        <v>35</v>
      </c>
      <c r="L3280" s="73">
        <f>IF(Tank1!$C$23="No control",(SUMIF(Tank1!$B$32:$B$49,$J3280,Tank1!$C$32:$C$49)*Impacts!$F$8),0)</f>
        <v>0</v>
      </c>
      <c r="M3280" s="10">
        <f>IF(Tank2!$C$23="No control",(SUMIF(Tank2!$B$32:$B$49,$J3280,Tank2!$C$32:$C$49)*Impacts!$F$9),0)</f>
        <v>0</v>
      </c>
      <c r="N3280" s="10">
        <f>IF(Tank3!$C$23="No control",(SUMIF(Tank3!$B$32:$B$49,$J3280,Tank3!$C$32:$C$49)*Impacts!$F$10),0)</f>
        <v>0</v>
      </c>
      <c r="O3280" s="10">
        <f>IF(Tank4!$C$23="No control",(SUMIF(Tank4!$B$32:$B$49,$J3280,Tank4!$C$32:$C$49)*Impacts!$F$11),0)</f>
        <v>0</v>
      </c>
      <c r="P3280" s="10">
        <f>IF(Tank5!$C$23="No control",(SUMIF(Tank5!$B$32:$B$49,$J3280,Tank5!$C$32:$C$49)*Impacts!$F$12),0)</f>
        <v>0</v>
      </c>
      <c r="Q3280" s="10">
        <f>IFERROR(IF(('Loading-drum,tote'!$C$21)="No control",SUMIF(('Loading-drum,tote'!$B$31:$B$48),$J3280,('Loading-drum,tote'!$D$31:$D$48))*Impacts!$F$13,IF(('Loading-drum,tote'!$C$21)&lt;&gt;"No control",SUMIF(('Loading-drum,tote'!$B$31:$B$48),$J3280,('Loading-drum,tote'!$E$31:$E$48))*Impacts!$F$13,0)),0)</f>
        <v>0</v>
      </c>
      <c r="R3280" s="10">
        <f>IFERROR(IF(('Loading-truck'!$C$21)="No control",SUMIF(('Loading-truck'!$B$31:$B$48),$J3280,('Loading-truck'!$D$31:$D$48))*Impacts!$F$14,IF(('Loading-truck'!$C$21)&lt;&gt;"No control",SUMIF(('Loading-truck'!$B$31:$B$48),$J3280,('Loading-truck'!$E$31:$E$48))*Impacts!$F$14,0)),0)</f>
        <v>0</v>
      </c>
      <c r="S3280" s="10">
        <f>IFERROR(IF(('Loading-rail'!$C$21)="No control",SUMIF(('Loading-rail'!$B$31:$B$48),$J3280,('Loading-rail'!$D$31:$D$48))*Impacts!$F$15,IF(('Loading-rail'!$C$21)&lt;&gt;"No control",SUMIF(('Loading-rail'!$B$31:$B$48),$J3280,('Loading-rail'!$E$31:$E$48))*Impacts!$F$15,0)),0)</f>
        <v>0</v>
      </c>
      <c r="T3280" s="10">
        <f>IF(Flare!$C$7="",0,(SUMIF(Flare!$B$46:$B$185,$J3280,Flare!$E$46:$E$185)*Impacts!$F$16))</f>
        <v>0</v>
      </c>
      <c r="U3280" s="10">
        <f>IF(VCU!$C$9="",0,(SUMIF(VCU!$B$51:$B$193,$J3280,VCU!$E$51:$E$193)*Impacts!$F$17))</f>
        <v>0</v>
      </c>
      <c r="V3280" s="10">
        <f>IF(CAS!$C$7="",0,(SUMIF(CAS!$B$31:$B$167,$J3280,CAS!$E$31:$E$167)*Impacts!$F$18))</f>
        <v>0</v>
      </c>
      <c r="W3280" s="10">
        <f t="shared" si="91"/>
        <v>0</v>
      </c>
      <c r="AK3280" s="10" t="str">
        <f t="array" ref="AK3280">IFERROR(INDEX(SelectedSpecies,SMALL(IF(SelectedSpecies=AK$1,ROW(SelectedSpecies)),ROW(3281:3281)),2),"")</f>
        <v/>
      </c>
      <c r="BE3280" s="10"/>
      <c r="BI3280" s="10"/>
    </row>
    <row r="3281" spans="1:61" ht="21" customHeight="1" x14ac:dyDescent="0.25">
      <c r="A3281" s="10"/>
      <c r="B3281" s="10"/>
      <c r="E3281" s="10"/>
      <c r="G3281" s="10"/>
      <c r="I3281" s="436" t="s">
        <v>1162</v>
      </c>
      <c r="J3281" s="26" t="s">
        <v>1161</v>
      </c>
      <c r="K3281" s="10">
        <v>35</v>
      </c>
      <c r="L3281" s="73">
        <f>IF(Tank1!$C$23="No control",(SUMIF(Tank1!$B$32:$B$49,$J3281,Tank1!$C$32:$C$49)*Impacts!$F$8),0)</f>
        <v>0</v>
      </c>
      <c r="M3281" s="10">
        <f>IF(Tank2!$C$23="No control",(SUMIF(Tank2!$B$32:$B$49,$J3281,Tank2!$C$32:$C$49)*Impacts!$F$9),0)</f>
        <v>0</v>
      </c>
      <c r="N3281" s="10">
        <f>IF(Tank3!$C$23="No control",(SUMIF(Tank3!$B$32:$B$49,$J3281,Tank3!$C$32:$C$49)*Impacts!$F$10),0)</f>
        <v>0</v>
      </c>
      <c r="O3281" s="10">
        <f>IF(Tank4!$C$23="No control",(SUMIF(Tank4!$B$32:$B$49,$J3281,Tank4!$C$32:$C$49)*Impacts!$F$11),0)</f>
        <v>0</v>
      </c>
      <c r="P3281" s="10">
        <f>IF(Tank5!$C$23="No control",(SUMIF(Tank5!$B$32:$B$49,$J3281,Tank5!$C$32:$C$49)*Impacts!$F$12),0)</f>
        <v>0</v>
      </c>
      <c r="Q3281" s="10">
        <f>IFERROR(IF(('Loading-drum,tote'!$C$21)="No control",SUMIF(('Loading-drum,tote'!$B$31:$B$48),$J3281,('Loading-drum,tote'!$D$31:$D$48))*Impacts!$F$13,IF(('Loading-drum,tote'!$C$21)&lt;&gt;"No control",SUMIF(('Loading-drum,tote'!$B$31:$B$48),$J3281,('Loading-drum,tote'!$E$31:$E$48))*Impacts!$F$13,0)),0)</f>
        <v>0</v>
      </c>
      <c r="R3281" s="10">
        <f>IFERROR(IF(('Loading-truck'!$C$21)="No control",SUMIF(('Loading-truck'!$B$31:$B$48),$J3281,('Loading-truck'!$D$31:$D$48))*Impacts!$F$14,IF(('Loading-truck'!$C$21)&lt;&gt;"No control",SUMIF(('Loading-truck'!$B$31:$B$48),$J3281,('Loading-truck'!$E$31:$E$48))*Impacts!$F$14,0)),0)</f>
        <v>0</v>
      </c>
      <c r="S3281" s="10">
        <f>IFERROR(IF(('Loading-rail'!$C$21)="No control",SUMIF(('Loading-rail'!$B$31:$B$48),$J3281,('Loading-rail'!$D$31:$D$48))*Impacts!$F$15,IF(('Loading-rail'!$C$21)&lt;&gt;"No control",SUMIF(('Loading-rail'!$B$31:$B$48),$J3281,('Loading-rail'!$E$31:$E$48))*Impacts!$F$15,0)),0)</f>
        <v>0</v>
      </c>
      <c r="T3281" s="10">
        <f>IF(Flare!$C$7="",0,(SUMIF(Flare!$B$46:$B$185,$J3281,Flare!$E$46:$E$185)*Impacts!$F$16))</f>
        <v>0</v>
      </c>
      <c r="U3281" s="10">
        <f>IF(VCU!$C$9="",0,(SUMIF(VCU!$B$51:$B$193,$J3281,VCU!$E$51:$E$193)*Impacts!$F$17))</f>
        <v>0</v>
      </c>
      <c r="V3281" s="10">
        <f>IF(CAS!$C$7="",0,(SUMIF(CAS!$B$31:$B$167,$J3281,CAS!$E$31:$E$167)*Impacts!$F$18))</f>
        <v>0</v>
      </c>
      <c r="W3281" s="10">
        <f t="shared" si="91"/>
        <v>0</v>
      </c>
      <c r="AK3281" s="10" t="str">
        <f t="array" ref="AK3281">IFERROR(INDEX(SelectedSpecies,SMALL(IF(SelectedSpecies=AK$1,ROW(SelectedSpecies)),ROW(3282:3282)),2),"")</f>
        <v/>
      </c>
      <c r="BE3281" s="10"/>
      <c r="BI3281" s="10"/>
    </row>
    <row r="3282" spans="1:61" ht="21" customHeight="1" x14ac:dyDescent="0.25">
      <c r="A3282" s="10"/>
      <c r="B3282" s="10"/>
      <c r="E3282" s="10"/>
      <c r="G3282" s="10"/>
      <c r="I3282" s="436" t="s">
        <v>1164</v>
      </c>
      <c r="J3282" s="26" t="s">
        <v>1163</v>
      </c>
      <c r="K3282" s="10">
        <v>35</v>
      </c>
      <c r="L3282" s="73">
        <f>IF(Tank1!$C$23="No control",(SUMIF(Tank1!$B$32:$B$49,$J3282,Tank1!$C$32:$C$49)*Impacts!$F$8),0)</f>
        <v>0</v>
      </c>
      <c r="M3282" s="10">
        <f>IF(Tank2!$C$23="No control",(SUMIF(Tank2!$B$32:$B$49,$J3282,Tank2!$C$32:$C$49)*Impacts!$F$9),0)</f>
        <v>0</v>
      </c>
      <c r="N3282" s="10">
        <f>IF(Tank3!$C$23="No control",(SUMIF(Tank3!$B$32:$B$49,$J3282,Tank3!$C$32:$C$49)*Impacts!$F$10),0)</f>
        <v>0</v>
      </c>
      <c r="O3282" s="10">
        <f>IF(Tank4!$C$23="No control",(SUMIF(Tank4!$B$32:$B$49,$J3282,Tank4!$C$32:$C$49)*Impacts!$F$11),0)</f>
        <v>0</v>
      </c>
      <c r="P3282" s="10">
        <f>IF(Tank5!$C$23="No control",(SUMIF(Tank5!$B$32:$B$49,$J3282,Tank5!$C$32:$C$49)*Impacts!$F$12),0)</f>
        <v>0</v>
      </c>
      <c r="Q3282" s="10">
        <f>IFERROR(IF(('Loading-drum,tote'!$C$21)="No control",SUMIF(('Loading-drum,tote'!$B$31:$B$48),$J3282,('Loading-drum,tote'!$D$31:$D$48))*Impacts!$F$13,IF(('Loading-drum,tote'!$C$21)&lt;&gt;"No control",SUMIF(('Loading-drum,tote'!$B$31:$B$48),$J3282,('Loading-drum,tote'!$E$31:$E$48))*Impacts!$F$13,0)),0)</f>
        <v>0</v>
      </c>
      <c r="R3282" s="10">
        <f>IFERROR(IF(('Loading-truck'!$C$21)="No control",SUMIF(('Loading-truck'!$B$31:$B$48),$J3282,('Loading-truck'!$D$31:$D$48))*Impacts!$F$14,IF(('Loading-truck'!$C$21)&lt;&gt;"No control",SUMIF(('Loading-truck'!$B$31:$B$48),$J3282,('Loading-truck'!$E$31:$E$48))*Impacts!$F$14,0)),0)</f>
        <v>0</v>
      </c>
      <c r="S3282" s="10">
        <f>IFERROR(IF(('Loading-rail'!$C$21)="No control",SUMIF(('Loading-rail'!$B$31:$B$48),$J3282,('Loading-rail'!$D$31:$D$48))*Impacts!$F$15,IF(('Loading-rail'!$C$21)&lt;&gt;"No control",SUMIF(('Loading-rail'!$B$31:$B$48),$J3282,('Loading-rail'!$E$31:$E$48))*Impacts!$F$15,0)),0)</f>
        <v>0</v>
      </c>
      <c r="T3282" s="10">
        <f>IF(Flare!$C$7="",0,(SUMIF(Flare!$B$46:$B$185,$J3282,Flare!$E$46:$E$185)*Impacts!$F$16))</f>
        <v>0</v>
      </c>
      <c r="U3282" s="10">
        <f>IF(VCU!$C$9="",0,(SUMIF(VCU!$B$51:$B$193,$J3282,VCU!$E$51:$E$193)*Impacts!$F$17))</f>
        <v>0</v>
      </c>
      <c r="V3282" s="10">
        <f>IF(CAS!$C$7="",0,(SUMIF(CAS!$B$31:$B$167,$J3282,CAS!$E$31:$E$167)*Impacts!$F$18))</f>
        <v>0</v>
      </c>
      <c r="W3282" s="10">
        <f t="shared" si="91"/>
        <v>0</v>
      </c>
      <c r="AK3282" s="10" t="str">
        <f t="array" ref="AK3282">IFERROR(INDEX(SelectedSpecies,SMALL(IF(SelectedSpecies=AK$1,ROW(SelectedSpecies)),ROW(3283:3283)),2),"")</f>
        <v/>
      </c>
      <c r="BE3282" s="10"/>
      <c r="BI3282" s="10"/>
    </row>
    <row r="3283" spans="1:61" ht="21" customHeight="1" x14ac:dyDescent="0.25">
      <c r="A3283" s="10"/>
      <c r="B3283" s="10"/>
      <c r="E3283" s="10"/>
      <c r="G3283" s="10"/>
      <c r="I3283" s="436" t="s">
        <v>6140</v>
      </c>
      <c r="J3283" s="26" t="s">
        <v>6139</v>
      </c>
      <c r="K3283" s="10">
        <v>1</v>
      </c>
      <c r="L3283" s="73">
        <f>IF(Tank1!$C$23="No control",(SUMIF(Tank1!$B$32:$B$49,$J3283,Tank1!$C$32:$C$49)*Impacts!$F$8),0)</f>
        <v>0</v>
      </c>
      <c r="M3283" s="10">
        <f>IF(Tank2!$C$23="No control",(SUMIF(Tank2!$B$32:$B$49,$J3283,Tank2!$C$32:$C$49)*Impacts!$F$9),0)</f>
        <v>0</v>
      </c>
      <c r="N3283" s="10">
        <f>IF(Tank3!$C$23="No control",(SUMIF(Tank3!$B$32:$B$49,$J3283,Tank3!$C$32:$C$49)*Impacts!$F$10),0)</f>
        <v>0</v>
      </c>
      <c r="O3283" s="10">
        <f>IF(Tank4!$C$23="No control",(SUMIF(Tank4!$B$32:$B$49,$J3283,Tank4!$C$32:$C$49)*Impacts!$F$11),0)</f>
        <v>0</v>
      </c>
      <c r="P3283" s="10">
        <f>IF(Tank5!$C$23="No control",(SUMIF(Tank5!$B$32:$B$49,$J3283,Tank5!$C$32:$C$49)*Impacts!$F$12),0)</f>
        <v>0</v>
      </c>
      <c r="Q3283" s="10">
        <f>IFERROR(IF(('Loading-drum,tote'!$C$21)="No control",SUMIF(('Loading-drum,tote'!$B$31:$B$48),$J3283,('Loading-drum,tote'!$D$31:$D$48))*Impacts!$F$13,IF(('Loading-drum,tote'!$C$21)&lt;&gt;"No control",SUMIF(('Loading-drum,tote'!$B$31:$B$48),$J3283,('Loading-drum,tote'!$E$31:$E$48))*Impacts!$F$13,0)),0)</f>
        <v>0</v>
      </c>
      <c r="R3283" s="10">
        <f>IFERROR(IF(('Loading-truck'!$C$21)="No control",SUMIF(('Loading-truck'!$B$31:$B$48),$J3283,('Loading-truck'!$D$31:$D$48))*Impacts!$F$14,IF(('Loading-truck'!$C$21)&lt;&gt;"No control",SUMIF(('Loading-truck'!$B$31:$B$48),$J3283,('Loading-truck'!$E$31:$E$48))*Impacts!$F$14,0)),0)</f>
        <v>0</v>
      </c>
      <c r="S3283" s="10">
        <f>IFERROR(IF(('Loading-rail'!$C$21)="No control",SUMIF(('Loading-rail'!$B$31:$B$48),$J3283,('Loading-rail'!$D$31:$D$48))*Impacts!$F$15,IF(('Loading-rail'!$C$21)&lt;&gt;"No control",SUMIF(('Loading-rail'!$B$31:$B$48),$J3283,('Loading-rail'!$E$31:$E$48))*Impacts!$F$15,0)),0)</f>
        <v>0</v>
      </c>
      <c r="T3283" s="10">
        <f>IF(Flare!$C$7="",0,(SUMIF(Flare!$B$46:$B$185,$J3283,Flare!$E$46:$E$185)*Impacts!$F$16))</f>
        <v>0</v>
      </c>
      <c r="U3283" s="10">
        <f>IF(VCU!$C$9="",0,(SUMIF(VCU!$B$51:$B$193,$J3283,VCU!$E$51:$E$193)*Impacts!$F$17))</f>
        <v>0</v>
      </c>
      <c r="V3283" s="10">
        <f>IF(CAS!$C$7="",0,(SUMIF(CAS!$B$31:$B$167,$J3283,CAS!$E$31:$E$167)*Impacts!$F$18))</f>
        <v>0</v>
      </c>
      <c r="W3283" s="10">
        <f t="shared" si="91"/>
        <v>0</v>
      </c>
      <c r="AK3283" s="10" t="str">
        <f t="array" ref="AK3283">IFERROR(INDEX(SelectedSpecies,SMALL(IF(SelectedSpecies=AK$1,ROW(SelectedSpecies)),ROW(3284:3284)),2),"")</f>
        <v/>
      </c>
      <c r="BE3283" s="10"/>
      <c r="BI3283" s="10"/>
    </row>
    <row r="3284" spans="1:61" ht="21" customHeight="1" x14ac:dyDescent="0.25">
      <c r="A3284" s="10"/>
      <c r="B3284" s="10"/>
      <c r="E3284" s="10"/>
      <c r="G3284" s="10"/>
      <c r="I3284" s="436" t="s">
        <v>6142</v>
      </c>
      <c r="J3284" s="26" t="s">
        <v>6141</v>
      </c>
      <c r="K3284" s="10">
        <v>1</v>
      </c>
      <c r="L3284" s="73">
        <f>IF(Tank1!$C$23="No control",(SUMIF(Tank1!$B$32:$B$49,$J3284,Tank1!$C$32:$C$49)*Impacts!$F$8),0)</f>
        <v>0</v>
      </c>
      <c r="M3284" s="10">
        <f>IF(Tank2!$C$23="No control",(SUMIF(Tank2!$B$32:$B$49,$J3284,Tank2!$C$32:$C$49)*Impacts!$F$9),0)</f>
        <v>0</v>
      </c>
      <c r="N3284" s="10">
        <f>IF(Tank3!$C$23="No control",(SUMIF(Tank3!$B$32:$B$49,$J3284,Tank3!$C$32:$C$49)*Impacts!$F$10),0)</f>
        <v>0</v>
      </c>
      <c r="O3284" s="10">
        <f>IF(Tank4!$C$23="No control",(SUMIF(Tank4!$B$32:$B$49,$J3284,Tank4!$C$32:$C$49)*Impacts!$F$11),0)</f>
        <v>0</v>
      </c>
      <c r="P3284" s="10">
        <f>IF(Tank5!$C$23="No control",(SUMIF(Tank5!$B$32:$B$49,$J3284,Tank5!$C$32:$C$49)*Impacts!$F$12),0)</f>
        <v>0</v>
      </c>
      <c r="Q3284" s="10">
        <f>IFERROR(IF(('Loading-drum,tote'!$C$21)="No control",SUMIF(('Loading-drum,tote'!$B$31:$B$48),$J3284,('Loading-drum,tote'!$D$31:$D$48))*Impacts!$F$13,IF(('Loading-drum,tote'!$C$21)&lt;&gt;"No control",SUMIF(('Loading-drum,tote'!$B$31:$B$48),$J3284,('Loading-drum,tote'!$E$31:$E$48))*Impacts!$F$13,0)),0)</f>
        <v>0</v>
      </c>
      <c r="R3284" s="10">
        <f>IFERROR(IF(('Loading-truck'!$C$21)="No control",SUMIF(('Loading-truck'!$B$31:$B$48),$J3284,('Loading-truck'!$D$31:$D$48))*Impacts!$F$14,IF(('Loading-truck'!$C$21)&lt;&gt;"No control",SUMIF(('Loading-truck'!$B$31:$B$48),$J3284,('Loading-truck'!$E$31:$E$48))*Impacts!$F$14,0)),0)</f>
        <v>0</v>
      </c>
      <c r="S3284" s="10">
        <f>IFERROR(IF(('Loading-rail'!$C$21)="No control",SUMIF(('Loading-rail'!$B$31:$B$48),$J3284,('Loading-rail'!$D$31:$D$48))*Impacts!$F$15,IF(('Loading-rail'!$C$21)&lt;&gt;"No control",SUMIF(('Loading-rail'!$B$31:$B$48),$J3284,('Loading-rail'!$E$31:$E$48))*Impacts!$F$15,0)),0)</f>
        <v>0</v>
      </c>
      <c r="T3284" s="10">
        <f>IF(Flare!$C$7="",0,(SUMIF(Flare!$B$46:$B$185,$J3284,Flare!$E$46:$E$185)*Impacts!$F$16))</f>
        <v>0</v>
      </c>
      <c r="U3284" s="10">
        <f>IF(VCU!$C$9="",0,(SUMIF(VCU!$B$51:$B$193,$J3284,VCU!$E$51:$E$193)*Impacts!$F$17))</f>
        <v>0</v>
      </c>
      <c r="V3284" s="10">
        <f>IF(CAS!$C$7="",0,(SUMIF(CAS!$B$31:$B$167,$J3284,CAS!$E$31:$E$167)*Impacts!$F$18))</f>
        <v>0</v>
      </c>
      <c r="W3284" s="10">
        <f t="shared" si="91"/>
        <v>0</v>
      </c>
      <c r="AK3284" s="10" t="str">
        <f t="array" ref="AK3284">IFERROR(INDEX(SelectedSpecies,SMALL(IF(SelectedSpecies=AK$1,ROW(SelectedSpecies)),ROW(3285:3285)),2),"")</f>
        <v/>
      </c>
      <c r="BE3284" s="10"/>
      <c r="BI3284" s="10"/>
    </row>
    <row r="3285" spans="1:61" ht="21" customHeight="1" x14ac:dyDescent="0.25">
      <c r="A3285" s="10"/>
      <c r="B3285" s="10"/>
      <c r="E3285" s="10"/>
      <c r="G3285" s="10"/>
      <c r="I3285" s="436" t="s">
        <v>4861</v>
      </c>
      <c r="J3285" s="26" t="s">
        <v>4860</v>
      </c>
      <c r="K3285" s="10">
        <v>2.8000000000000003</v>
      </c>
      <c r="L3285" s="73">
        <f>IF(Tank1!$C$23="No control",(SUMIF(Tank1!$B$32:$B$49,$J3285,Tank1!$C$32:$C$49)*Impacts!$F$8),0)</f>
        <v>0</v>
      </c>
      <c r="M3285" s="10">
        <f>IF(Tank2!$C$23="No control",(SUMIF(Tank2!$B$32:$B$49,$J3285,Tank2!$C$32:$C$49)*Impacts!$F$9),0)</f>
        <v>0</v>
      </c>
      <c r="N3285" s="10">
        <f>IF(Tank3!$C$23="No control",(SUMIF(Tank3!$B$32:$B$49,$J3285,Tank3!$C$32:$C$49)*Impacts!$F$10),0)</f>
        <v>0</v>
      </c>
      <c r="O3285" s="10">
        <f>IF(Tank4!$C$23="No control",(SUMIF(Tank4!$B$32:$B$49,$J3285,Tank4!$C$32:$C$49)*Impacts!$F$11),0)</f>
        <v>0</v>
      </c>
      <c r="P3285" s="10">
        <f>IF(Tank5!$C$23="No control",(SUMIF(Tank5!$B$32:$B$49,$J3285,Tank5!$C$32:$C$49)*Impacts!$F$12),0)</f>
        <v>0</v>
      </c>
      <c r="Q3285" s="10">
        <f>IFERROR(IF(('Loading-drum,tote'!$C$21)="No control",SUMIF(('Loading-drum,tote'!$B$31:$B$48),$J3285,('Loading-drum,tote'!$D$31:$D$48))*Impacts!$F$13,IF(('Loading-drum,tote'!$C$21)&lt;&gt;"No control",SUMIF(('Loading-drum,tote'!$B$31:$B$48),$J3285,('Loading-drum,tote'!$E$31:$E$48))*Impacts!$F$13,0)),0)</f>
        <v>0</v>
      </c>
      <c r="R3285" s="10">
        <f>IFERROR(IF(('Loading-truck'!$C$21)="No control",SUMIF(('Loading-truck'!$B$31:$B$48),$J3285,('Loading-truck'!$D$31:$D$48))*Impacts!$F$14,IF(('Loading-truck'!$C$21)&lt;&gt;"No control",SUMIF(('Loading-truck'!$B$31:$B$48),$J3285,('Loading-truck'!$E$31:$E$48))*Impacts!$F$14,0)),0)</f>
        <v>0</v>
      </c>
      <c r="S3285" s="10">
        <f>IFERROR(IF(('Loading-rail'!$C$21)="No control",SUMIF(('Loading-rail'!$B$31:$B$48),$J3285,('Loading-rail'!$D$31:$D$48))*Impacts!$F$15,IF(('Loading-rail'!$C$21)&lt;&gt;"No control",SUMIF(('Loading-rail'!$B$31:$B$48),$J3285,('Loading-rail'!$E$31:$E$48))*Impacts!$F$15,0)),0)</f>
        <v>0</v>
      </c>
      <c r="T3285" s="10">
        <f>IF(Flare!$C$7="",0,(SUMIF(Flare!$B$46:$B$185,$J3285,Flare!$E$46:$E$185)*Impacts!$F$16))</f>
        <v>0</v>
      </c>
      <c r="U3285" s="10">
        <f>IF(VCU!$C$9="",0,(SUMIF(VCU!$B$51:$B$193,$J3285,VCU!$E$51:$E$193)*Impacts!$F$17))</f>
        <v>0</v>
      </c>
      <c r="V3285" s="10">
        <f>IF(CAS!$C$7="",0,(SUMIF(CAS!$B$31:$B$167,$J3285,CAS!$E$31:$E$167)*Impacts!$F$18))</f>
        <v>0</v>
      </c>
      <c r="W3285" s="10">
        <f t="shared" si="91"/>
        <v>0</v>
      </c>
      <c r="AK3285" s="10" t="str">
        <f t="array" ref="AK3285">IFERROR(INDEX(SelectedSpecies,SMALL(IF(SelectedSpecies=AK$1,ROW(SelectedSpecies)),ROW(3286:3286)),2),"")</f>
        <v/>
      </c>
      <c r="BE3285" s="10"/>
      <c r="BI3285" s="10"/>
    </row>
    <row r="3286" spans="1:61" ht="21" customHeight="1" x14ac:dyDescent="0.25">
      <c r="A3286" s="10"/>
      <c r="B3286" s="10"/>
      <c r="E3286" s="10"/>
      <c r="G3286" s="10"/>
      <c r="I3286" s="436" t="s">
        <v>3485</v>
      </c>
      <c r="J3286" s="26" t="s">
        <v>3484</v>
      </c>
      <c r="K3286" s="10">
        <v>9.4</v>
      </c>
      <c r="L3286" s="73">
        <f>IF(Tank1!$C$23="No control",(SUMIF(Tank1!$B$32:$B$49,$J3286,Tank1!$C$32:$C$49)*Impacts!$F$8),0)</f>
        <v>0</v>
      </c>
      <c r="M3286" s="10">
        <f>IF(Tank2!$C$23="No control",(SUMIF(Tank2!$B$32:$B$49,$J3286,Tank2!$C$32:$C$49)*Impacts!$F$9),0)</f>
        <v>0</v>
      </c>
      <c r="N3286" s="10">
        <f>IF(Tank3!$C$23="No control",(SUMIF(Tank3!$B$32:$B$49,$J3286,Tank3!$C$32:$C$49)*Impacts!$F$10),0)</f>
        <v>0</v>
      </c>
      <c r="O3286" s="10">
        <f>IF(Tank4!$C$23="No control",(SUMIF(Tank4!$B$32:$B$49,$J3286,Tank4!$C$32:$C$49)*Impacts!$F$11),0)</f>
        <v>0</v>
      </c>
      <c r="P3286" s="10">
        <f>IF(Tank5!$C$23="No control",(SUMIF(Tank5!$B$32:$B$49,$J3286,Tank5!$C$32:$C$49)*Impacts!$F$12),0)</f>
        <v>0</v>
      </c>
      <c r="Q3286" s="10">
        <f>IFERROR(IF(('Loading-drum,tote'!$C$21)="No control",SUMIF(('Loading-drum,tote'!$B$31:$B$48),$J3286,('Loading-drum,tote'!$D$31:$D$48))*Impacts!$F$13,IF(('Loading-drum,tote'!$C$21)&lt;&gt;"No control",SUMIF(('Loading-drum,tote'!$B$31:$B$48),$J3286,('Loading-drum,tote'!$E$31:$E$48))*Impacts!$F$13,0)),0)</f>
        <v>0</v>
      </c>
      <c r="R3286" s="10">
        <f>IFERROR(IF(('Loading-truck'!$C$21)="No control",SUMIF(('Loading-truck'!$B$31:$B$48),$J3286,('Loading-truck'!$D$31:$D$48))*Impacts!$F$14,IF(('Loading-truck'!$C$21)&lt;&gt;"No control",SUMIF(('Loading-truck'!$B$31:$B$48),$J3286,('Loading-truck'!$E$31:$E$48))*Impacts!$F$14,0)),0)</f>
        <v>0</v>
      </c>
      <c r="S3286" s="10">
        <f>IFERROR(IF(('Loading-rail'!$C$21)="No control",SUMIF(('Loading-rail'!$B$31:$B$48),$J3286,('Loading-rail'!$D$31:$D$48))*Impacts!$F$15,IF(('Loading-rail'!$C$21)&lt;&gt;"No control",SUMIF(('Loading-rail'!$B$31:$B$48),$J3286,('Loading-rail'!$E$31:$E$48))*Impacts!$F$15,0)),0)</f>
        <v>0</v>
      </c>
      <c r="T3286" s="10">
        <f>IF(Flare!$C$7="",0,(SUMIF(Flare!$B$46:$B$185,$J3286,Flare!$E$46:$E$185)*Impacts!$F$16))</f>
        <v>0</v>
      </c>
      <c r="U3286" s="10">
        <f>IF(VCU!$C$9="",0,(SUMIF(VCU!$B$51:$B$193,$J3286,VCU!$E$51:$E$193)*Impacts!$F$17))</f>
        <v>0</v>
      </c>
      <c r="V3286" s="10">
        <f>IF(CAS!$C$7="",0,(SUMIF(CAS!$B$31:$B$167,$J3286,CAS!$E$31:$E$167)*Impacts!$F$18))</f>
        <v>0</v>
      </c>
      <c r="W3286" s="10">
        <f t="shared" si="91"/>
        <v>0</v>
      </c>
      <c r="AK3286" s="10" t="str">
        <f t="array" ref="AK3286">IFERROR(INDEX(SelectedSpecies,SMALL(IF(SelectedSpecies=AK$1,ROW(SelectedSpecies)),ROW(3287:3287)),2),"")</f>
        <v/>
      </c>
      <c r="BE3286" s="10"/>
      <c r="BI3286" s="10"/>
    </row>
    <row r="3287" spans="1:61" ht="21" customHeight="1" x14ac:dyDescent="0.25">
      <c r="A3287" s="10"/>
      <c r="B3287" s="10"/>
      <c r="E3287" s="10"/>
      <c r="G3287" s="10"/>
      <c r="I3287" s="436" t="s">
        <v>2285</v>
      </c>
      <c r="J3287" s="26" t="s">
        <v>2284</v>
      </c>
      <c r="K3287" s="10">
        <v>12.5</v>
      </c>
      <c r="L3287" s="73">
        <f>IF(Tank1!$C$23="No control",(SUMIF(Tank1!$B$32:$B$49,$J3287,Tank1!$C$32:$C$49)*Impacts!$F$8),0)</f>
        <v>0</v>
      </c>
      <c r="M3287" s="10">
        <f>IF(Tank2!$C$23="No control",(SUMIF(Tank2!$B$32:$B$49,$J3287,Tank2!$C$32:$C$49)*Impacts!$F$9),0)</f>
        <v>0</v>
      </c>
      <c r="N3287" s="10">
        <f>IF(Tank3!$C$23="No control",(SUMIF(Tank3!$B$32:$B$49,$J3287,Tank3!$C$32:$C$49)*Impacts!$F$10),0)</f>
        <v>0</v>
      </c>
      <c r="O3287" s="10">
        <f>IF(Tank4!$C$23="No control",(SUMIF(Tank4!$B$32:$B$49,$J3287,Tank4!$C$32:$C$49)*Impacts!$F$11),0)</f>
        <v>0</v>
      </c>
      <c r="P3287" s="10">
        <f>IF(Tank5!$C$23="No control",(SUMIF(Tank5!$B$32:$B$49,$J3287,Tank5!$C$32:$C$49)*Impacts!$F$12),0)</f>
        <v>0</v>
      </c>
      <c r="Q3287" s="10">
        <f>IFERROR(IF(('Loading-drum,tote'!$C$21)="No control",SUMIF(('Loading-drum,tote'!$B$31:$B$48),$J3287,('Loading-drum,tote'!$D$31:$D$48))*Impacts!$F$13,IF(('Loading-drum,tote'!$C$21)&lt;&gt;"No control",SUMIF(('Loading-drum,tote'!$B$31:$B$48),$J3287,('Loading-drum,tote'!$E$31:$E$48))*Impacts!$F$13,0)),0)</f>
        <v>0</v>
      </c>
      <c r="R3287" s="10">
        <f>IFERROR(IF(('Loading-truck'!$C$21)="No control",SUMIF(('Loading-truck'!$B$31:$B$48),$J3287,('Loading-truck'!$D$31:$D$48))*Impacts!$F$14,IF(('Loading-truck'!$C$21)&lt;&gt;"No control",SUMIF(('Loading-truck'!$B$31:$B$48),$J3287,('Loading-truck'!$E$31:$E$48))*Impacts!$F$14,0)),0)</f>
        <v>0</v>
      </c>
      <c r="S3287" s="10">
        <f>IFERROR(IF(('Loading-rail'!$C$21)="No control",SUMIF(('Loading-rail'!$B$31:$B$48),$J3287,('Loading-rail'!$D$31:$D$48))*Impacts!$F$15,IF(('Loading-rail'!$C$21)&lt;&gt;"No control",SUMIF(('Loading-rail'!$B$31:$B$48),$J3287,('Loading-rail'!$E$31:$E$48))*Impacts!$F$15,0)),0)</f>
        <v>0</v>
      </c>
      <c r="T3287" s="10">
        <f>IF(Flare!$C$7="",0,(SUMIF(Flare!$B$46:$B$185,$J3287,Flare!$E$46:$E$185)*Impacts!$F$16))</f>
        <v>0</v>
      </c>
      <c r="U3287" s="10">
        <f>IF(VCU!$C$9="",0,(SUMIF(VCU!$B$51:$B$193,$J3287,VCU!$E$51:$E$193)*Impacts!$F$17))</f>
        <v>0</v>
      </c>
      <c r="V3287" s="10">
        <f>IF(CAS!$C$7="",0,(SUMIF(CAS!$B$31:$B$167,$J3287,CAS!$E$31:$E$167)*Impacts!$F$18))</f>
        <v>0</v>
      </c>
      <c r="W3287" s="10">
        <f t="shared" si="91"/>
        <v>0</v>
      </c>
      <c r="AK3287" s="10" t="str">
        <f t="array" ref="AK3287">IFERROR(INDEX(SelectedSpecies,SMALL(IF(SelectedSpecies=AK$1,ROW(SelectedSpecies)),ROW(3288:3288)),2),"")</f>
        <v/>
      </c>
      <c r="BE3287" s="10"/>
      <c r="BI3287" s="10"/>
    </row>
    <row r="3288" spans="1:61" ht="21" customHeight="1" x14ac:dyDescent="0.25">
      <c r="A3288" s="10"/>
      <c r="B3288" s="10"/>
      <c r="E3288" s="10"/>
      <c r="G3288" s="10"/>
      <c r="I3288" s="436" t="s">
        <v>4025</v>
      </c>
      <c r="J3288" s="26" t="s">
        <v>4024</v>
      </c>
      <c r="K3288" s="10">
        <v>6</v>
      </c>
      <c r="L3288" s="73">
        <f>IF(Tank1!$C$23="No control",(SUMIF(Tank1!$B$32:$B$49,$J3288,Tank1!$C$32:$C$49)*Impacts!$F$8),0)</f>
        <v>0</v>
      </c>
      <c r="M3288" s="10">
        <f>IF(Tank2!$C$23="No control",(SUMIF(Tank2!$B$32:$B$49,$J3288,Tank2!$C$32:$C$49)*Impacts!$F$9),0)</f>
        <v>0</v>
      </c>
      <c r="N3288" s="10">
        <f>IF(Tank3!$C$23="No control",(SUMIF(Tank3!$B$32:$B$49,$J3288,Tank3!$C$32:$C$49)*Impacts!$F$10),0)</f>
        <v>0</v>
      </c>
      <c r="O3288" s="10">
        <f>IF(Tank4!$C$23="No control",(SUMIF(Tank4!$B$32:$B$49,$J3288,Tank4!$C$32:$C$49)*Impacts!$F$11),0)</f>
        <v>0</v>
      </c>
      <c r="P3288" s="10">
        <f>IF(Tank5!$C$23="No control",(SUMIF(Tank5!$B$32:$B$49,$J3288,Tank5!$C$32:$C$49)*Impacts!$F$12),0)</f>
        <v>0</v>
      </c>
      <c r="Q3288" s="10">
        <f>IFERROR(IF(('Loading-drum,tote'!$C$21)="No control",SUMIF(('Loading-drum,tote'!$B$31:$B$48),$J3288,('Loading-drum,tote'!$D$31:$D$48))*Impacts!$F$13,IF(('Loading-drum,tote'!$C$21)&lt;&gt;"No control",SUMIF(('Loading-drum,tote'!$B$31:$B$48),$J3288,('Loading-drum,tote'!$E$31:$E$48))*Impacts!$F$13,0)),0)</f>
        <v>0</v>
      </c>
      <c r="R3288" s="10">
        <f>IFERROR(IF(('Loading-truck'!$C$21)="No control",SUMIF(('Loading-truck'!$B$31:$B$48),$J3288,('Loading-truck'!$D$31:$D$48))*Impacts!$F$14,IF(('Loading-truck'!$C$21)&lt;&gt;"No control",SUMIF(('Loading-truck'!$B$31:$B$48),$J3288,('Loading-truck'!$E$31:$E$48))*Impacts!$F$14,0)),0)</f>
        <v>0</v>
      </c>
      <c r="S3288" s="10">
        <f>IFERROR(IF(('Loading-rail'!$C$21)="No control",SUMIF(('Loading-rail'!$B$31:$B$48),$J3288,('Loading-rail'!$D$31:$D$48))*Impacts!$F$15,IF(('Loading-rail'!$C$21)&lt;&gt;"No control",SUMIF(('Loading-rail'!$B$31:$B$48),$J3288,('Loading-rail'!$E$31:$E$48))*Impacts!$F$15,0)),0)</f>
        <v>0</v>
      </c>
      <c r="T3288" s="10">
        <f>IF(Flare!$C$7="",0,(SUMIF(Flare!$B$46:$B$185,$J3288,Flare!$E$46:$E$185)*Impacts!$F$16))</f>
        <v>0</v>
      </c>
      <c r="U3288" s="10">
        <f>IF(VCU!$C$9="",0,(SUMIF(VCU!$B$51:$B$193,$J3288,VCU!$E$51:$E$193)*Impacts!$F$17))</f>
        <v>0</v>
      </c>
      <c r="V3288" s="10">
        <f>IF(CAS!$C$7="",0,(SUMIF(CAS!$B$31:$B$167,$J3288,CAS!$E$31:$E$167)*Impacts!$F$18))</f>
        <v>0</v>
      </c>
      <c r="W3288" s="10">
        <f t="shared" si="91"/>
        <v>0</v>
      </c>
      <c r="AK3288" s="10" t="str">
        <f t="array" ref="AK3288">IFERROR(INDEX(SelectedSpecies,SMALL(IF(SelectedSpecies=AK$1,ROW(SelectedSpecies)),ROW(3289:3289)),2),"")</f>
        <v/>
      </c>
      <c r="BE3288" s="10"/>
      <c r="BI3288" s="10"/>
    </row>
    <row r="3289" spans="1:61" ht="21" customHeight="1" x14ac:dyDescent="0.25">
      <c r="A3289" s="10"/>
      <c r="B3289" s="10"/>
      <c r="E3289" s="10"/>
      <c r="G3289" s="10"/>
      <c r="I3289" s="436" t="s">
        <v>7774</v>
      </c>
      <c r="J3289" s="26" t="s">
        <v>7773</v>
      </c>
      <c r="K3289" s="10">
        <v>0.1</v>
      </c>
      <c r="L3289" s="73">
        <f>IF(Tank1!$C$23="No control",(SUMIF(Tank1!$B$32:$B$49,$J3289,Tank1!$C$32:$C$49)*Impacts!$F$8),0)</f>
        <v>0</v>
      </c>
      <c r="M3289" s="10">
        <f>IF(Tank2!$C$23="No control",(SUMIF(Tank2!$B$32:$B$49,$J3289,Tank2!$C$32:$C$49)*Impacts!$F$9),0)</f>
        <v>0</v>
      </c>
      <c r="N3289" s="10">
        <f>IF(Tank3!$C$23="No control",(SUMIF(Tank3!$B$32:$B$49,$J3289,Tank3!$C$32:$C$49)*Impacts!$F$10),0)</f>
        <v>0</v>
      </c>
      <c r="O3289" s="10">
        <f>IF(Tank4!$C$23="No control",(SUMIF(Tank4!$B$32:$B$49,$J3289,Tank4!$C$32:$C$49)*Impacts!$F$11),0)</f>
        <v>0</v>
      </c>
      <c r="P3289" s="10">
        <f>IF(Tank5!$C$23="No control",(SUMIF(Tank5!$B$32:$B$49,$J3289,Tank5!$C$32:$C$49)*Impacts!$F$12),0)</f>
        <v>0</v>
      </c>
      <c r="Q3289" s="10">
        <f>IFERROR(IF(('Loading-drum,tote'!$C$21)="No control",SUMIF(('Loading-drum,tote'!$B$31:$B$48),$J3289,('Loading-drum,tote'!$D$31:$D$48))*Impacts!$F$13,IF(('Loading-drum,tote'!$C$21)&lt;&gt;"No control",SUMIF(('Loading-drum,tote'!$B$31:$B$48),$J3289,('Loading-drum,tote'!$E$31:$E$48))*Impacts!$F$13,0)),0)</f>
        <v>0</v>
      </c>
      <c r="R3289" s="10">
        <f>IFERROR(IF(('Loading-truck'!$C$21)="No control",SUMIF(('Loading-truck'!$B$31:$B$48),$J3289,('Loading-truck'!$D$31:$D$48))*Impacts!$F$14,IF(('Loading-truck'!$C$21)&lt;&gt;"No control",SUMIF(('Loading-truck'!$B$31:$B$48),$J3289,('Loading-truck'!$E$31:$E$48))*Impacts!$F$14,0)),0)</f>
        <v>0</v>
      </c>
      <c r="S3289" s="10">
        <f>IFERROR(IF(('Loading-rail'!$C$21)="No control",SUMIF(('Loading-rail'!$B$31:$B$48),$J3289,('Loading-rail'!$D$31:$D$48))*Impacts!$F$15,IF(('Loading-rail'!$C$21)&lt;&gt;"No control",SUMIF(('Loading-rail'!$B$31:$B$48),$J3289,('Loading-rail'!$E$31:$E$48))*Impacts!$F$15,0)),0)</f>
        <v>0</v>
      </c>
      <c r="T3289" s="10">
        <f>IF(Flare!$C$7="",0,(SUMIF(Flare!$B$46:$B$185,$J3289,Flare!$E$46:$E$185)*Impacts!$F$16))</f>
        <v>0</v>
      </c>
      <c r="U3289" s="10">
        <f>IF(VCU!$C$9="",0,(SUMIF(VCU!$B$51:$B$193,$J3289,VCU!$E$51:$E$193)*Impacts!$F$17))</f>
        <v>0</v>
      </c>
      <c r="V3289" s="10">
        <f>IF(CAS!$C$7="",0,(SUMIF(CAS!$B$31:$B$167,$J3289,CAS!$E$31:$E$167)*Impacts!$F$18))</f>
        <v>0</v>
      </c>
      <c r="W3289" s="10">
        <f t="shared" si="91"/>
        <v>0</v>
      </c>
      <c r="AK3289" s="10" t="str">
        <f t="array" ref="AK3289">IFERROR(INDEX(SelectedSpecies,SMALL(IF(SelectedSpecies=AK$1,ROW(SelectedSpecies)),ROW(3290:3290)),2),"")</f>
        <v/>
      </c>
      <c r="BE3289" s="10"/>
      <c r="BI3289" s="10"/>
    </row>
    <row r="3290" spans="1:61" ht="21" customHeight="1" x14ac:dyDescent="0.25">
      <c r="A3290" s="10"/>
      <c r="B3290" s="10"/>
      <c r="E3290" s="10"/>
      <c r="G3290" s="10"/>
      <c r="I3290" s="436" t="s">
        <v>5531</v>
      </c>
      <c r="J3290" s="26" t="s">
        <v>5530</v>
      </c>
      <c r="K3290" s="10">
        <v>1.25</v>
      </c>
      <c r="L3290" s="73">
        <f>IF(Tank1!$C$23="No control",(SUMIF(Tank1!$B$32:$B$49,$J3290,Tank1!$C$32:$C$49)*Impacts!$F$8),0)</f>
        <v>0</v>
      </c>
      <c r="M3290" s="10">
        <f>IF(Tank2!$C$23="No control",(SUMIF(Tank2!$B$32:$B$49,$J3290,Tank2!$C$32:$C$49)*Impacts!$F$9),0)</f>
        <v>0</v>
      </c>
      <c r="N3290" s="10">
        <f>IF(Tank3!$C$23="No control",(SUMIF(Tank3!$B$32:$B$49,$J3290,Tank3!$C$32:$C$49)*Impacts!$F$10),0)</f>
        <v>0</v>
      </c>
      <c r="O3290" s="10">
        <f>IF(Tank4!$C$23="No control",(SUMIF(Tank4!$B$32:$B$49,$J3290,Tank4!$C$32:$C$49)*Impacts!$F$11),0)</f>
        <v>0</v>
      </c>
      <c r="P3290" s="10">
        <f>IF(Tank5!$C$23="No control",(SUMIF(Tank5!$B$32:$B$49,$J3290,Tank5!$C$32:$C$49)*Impacts!$F$12),0)</f>
        <v>0</v>
      </c>
      <c r="Q3290" s="10">
        <f>IFERROR(IF(('Loading-drum,tote'!$C$21)="No control",SUMIF(('Loading-drum,tote'!$B$31:$B$48),$J3290,('Loading-drum,tote'!$D$31:$D$48))*Impacts!$F$13,IF(('Loading-drum,tote'!$C$21)&lt;&gt;"No control",SUMIF(('Loading-drum,tote'!$B$31:$B$48),$J3290,('Loading-drum,tote'!$E$31:$E$48))*Impacts!$F$13,0)),0)</f>
        <v>0</v>
      </c>
      <c r="R3290" s="10">
        <f>IFERROR(IF(('Loading-truck'!$C$21)="No control",SUMIF(('Loading-truck'!$B$31:$B$48),$J3290,('Loading-truck'!$D$31:$D$48))*Impacts!$F$14,IF(('Loading-truck'!$C$21)&lt;&gt;"No control",SUMIF(('Loading-truck'!$B$31:$B$48),$J3290,('Loading-truck'!$E$31:$E$48))*Impacts!$F$14,0)),0)</f>
        <v>0</v>
      </c>
      <c r="S3290" s="10">
        <f>IFERROR(IF(('Loading-rail'!$C$21)="No control",SUMIF(('Loading-rail'!$B$31:$B$48),$J3290,('Loading-rail'!$D$31:$D$48))*Impacts!$F$15,IF(('Loading-rail'!$C$21)&lt;&gt;"No control",SUMIF(('Loading-rail'!$B$31:$B$48),$J3290,('Loading-rail'!$E$31:$E$48))*Impacts!$F$15,0)),0)</f>
        <v>0</v>
      </c>
      <c r="T3290" s="10">
        <f>IF(Flare!$C$7="",0,(SUMIF(Flare!$B$46:$B$185,$J3290,Flare!$E$46:$E$185)*Impacts!$F$16))</f>
        <v>0</v>
      </c>
      <c r="U3290" s="10">
        <f>IF(VCU!$C$9="",0,(SUMIF(VCU!$B$51:$B$193,$J3290,VCU!$E$51:$E$193)*Impacts!$F$17))</f>
        <v>0</v>
      </c>
      <c r="V3290" s="10">
        <f>IF(CAS!$C$7="",0,(SUMIF(CAS!$B$31:$B$167,$J3290,CAS!$E$31:$E$167)*Impacts!$F$18))</f>
        <v>0</v>
      </c>
      <c r="W3290" s="10">
        <f t="shared" ref="W3290:W3353" si="92">SUM(L3290:V3290)</f>
        <v>0</v>
      </c>
      <c r="AK3290" s="10" t="str">
        <f t="array" ref="AK3290">IFERROR(INDEX(SelectedSpecies,SMALL(IF(SelectedSpecies=AK$1,ROW(SelectedSpecies)),ROW(3291:3291)),2),"")</f>
        <v/>
      </c>
      <c r="BE3290" s="10"/>
      <c r="BI3290" s="10"/>
    </row>
    <row r="3291" spans="1:61" ht="21" customHeight="1" x14ac:dyDescent="0.25">
      <c r="A3291" s="10"/>
      <c r="B3291" s="10"/>
      <c r="E3291" s="10"/>
      <c r="G3291" s="10"/>
      <c r="I3291" s="436" t="s">
        <v>3871</v>
      </c>
      <c r="J3291" s="26" t="s">
        <v>3870</v>
      </c>
      <c r="K3291" s="10">
        <v>6</v>
      </c>
      <c r="L3291" s="73">
        <f>IF(Tank1!$C$23="No control",(SUMIF(Tank1!$B$32:$B$49,$J3291,Tank1!$C$32:$C$49)*Impacts!$F$8),0)</f>
        <v>0</v>
      </c>
      <c r="M3291" s="10">
        <f>IF(Tank2!$C$23="No control",(SUMIF(Tank2!$B$32:$B$49,$J3291,Tank2!$C$32:$C$49)*Impacts!$F$9),0)</f>
        <v>0</v>
      </c>
      <c r="N3291" s="10">
        <f>IF(Tank3!$C$23="No control",(SUMIF(Tank3!$B$32:$B$49,$J3291,Tank3!$C$32:$C$49)*Impacts!$F$10),0)</f>
        <v>0</v>
      </c>
      <c r="O3291" s="10">
        <f>IF(Tank4!$C$23="No control",(SUMIF(Tank4!$B$32:$B$49,$J3291,Tank4!$C$32:$C$49)*Impacts!$F$11),0)</f>
        <v>0</v>
      </c>
      <c r="P3291" s="10">
        <f>IF(Tank5!$C$23="No control",(SUMIF(Tank5!$B$32:$B$49,$J3291,Tank5!$C$32:$C$49)*Impacts!$F$12),0)</f>
        <v>0</v>
      </c>
      <c r="Q3291" s="10">
        <f>IFERROR(IF(('Loading-drum,tote'!$C$21)="No control",SUMIF(('Loading-drum,tote'!$B$31:$B$48),$J3291,('Loading-drum,tote'!$D$31:$D$48))*Impacts!$F$13,IF(('Loading-drum,tote'!$C$21)&lt;&gt;"No control",SUMIF(('Loading-drum,tote'!$B$31:$B$48),$J3291,('Loading-drum,tote'!$E$31:$E$48))*Impacts!$F$13,0)),0)</f>
        <v>0</v>
      </c>
      <c r="R3291" s="10">
        <f>IFERROR(IF(('Loading-truck'!$C$21)="No control",SUMIF(('Loading-truck'!$B$31:$B$48),$J3291,('Loading-truck'!$D$31:$D$48))*Impacts!$F$14,IF(('Loading-truck'!$C$21)&lt;&gt;"No control",SUMIF(('Loading-truck'!$B$31:$B$48),$J3291,('Loading-truck'!$E$31:$E$48))*Impacts!$F$14,0)),0)</f>
        <v>0</v>
      </c>
      <c r="S3291" s="10">
        <f>IFERROR(IF(('Loading-rail'!$C$21)="No control",SUMIF(('Loading-rail'!$B$31:$B$48),$J3291,('Loading-rail'!$D$31:$D$48))*Impacts!$F$15,IF(('Loading-rail'!$C$21)&lt;&gt;"No control",SUMIF(('Loading-rail'!$B$31:$B$48),$J3291,('Loading-rail'!$E$31:$E$48))*Impacts!$F$15,0)),0)</f>
        <v>0</v>
      </c>
      <c r="T3291" s="10">
        <f>IF(Flare!$C$7="",0,(SUMIF(Flare!$B$46:$B$185,$J3291,Flare!$E$46:$E$185)*Impacts!$F$16))</f>
        <v>0</v>
      </c>
      <c r="U3291" s="10">
        <f>IF(VCU!$C$9="",0,(SUMIF(VCU!$B$51:$B$193,$J3291,VCU!$E$51:$E$193)*Impacts!$F$17))</f>
        <v>0</v>
      </c>
      <c r="V3291" s="10">
        <f>IF(CAS!$C$7="",0,(SUMIF(CAS!$B$31:$B$167,$J3291,CAS!$E$31:$E$167)*Impacts!$F$18))</f>
        <v>0</v>
      </c>
      <c r="W3291" s="10">
        <f t="shared" si="92"/>
        <v>0</v>
      </c>
      <c r="AK3291" s="10" t="str">
        <f t="array" ref="AK3291">IFERROR(INDEX(SelectedSpecies,SMALL(IF(SelectedSpecies=AK$1,ROW(SelectedSpecies)),ROW(3292:3292)),2),"")</f>
        <v/>
      </c>
      <c r="BE3291" s="10"/>
      <c r="BI3291" s="10"/>
    </row>
    <row r="3292" spans="1:61" ht="21" customHeight="1" x14ac:dyDescent="0.25">
      <c r="A3292" s="10"/>
      <c r="B3292" s="10"/>
      <c r="E3292" s="10"/>
      <c r="G3292" s="10"/>
      <c r="I3292" s="436" t="s">
        <v>3345</v>
      </c>
      <c r="J3292" s="26" t="s">
        <v>3344</v>
      </c>
      <c r="K3292" s="10">
        <v>10</v>
      </c>
      <c r="L3292" s="73">
        <f>IF(Tank1!$C$23="No control",(SUMIF(Tank1!$B$32:$B$49,$J3292,Tank1!$C$32:$C$49)*Impacts!$F$8),0)</f>
        <v>0</v>
      </c>
      <c r="M3292" s="10">
        <f>IF(Tank2!$C$23="No control",(SUMIF(Tank2!$B$32:$B$49,$J3292,Tank2!$C$32:$C$49)*Impacts!$F$9),0)</f>
        <v>0</v>
      </c>
      <c r="N3292" s="10">
        <f>IF(Tank3!$C$23="No control",(SUMIF(Tank3!$B$32:$B$49,$J3292,Tank3!$C$32:$C$49)*Impacts!$F$10),0)</f>
        <v>0</v>
      </c>
      <c r="O3292" s="10">
        <f>IF(Tank4!$C$23="No control",(SUMIF(Tank4!$B$32:$B$49,$J3292,Tank4!$C$32:$C$49)*Impacts!$F$11),0)</f>
        <v>0</v>
      </c>
      <c r="P3292" s="10">
        <f>IF(Tank5!$C$23="No control",(SUMIF(Tank5!$B$32:$B$49,$J3292,Tank5!$C$32:$C$49)*Impacts!$F$12),0)</f>
        <v>0</v>
      </c>
      <c r="Q3292" s="10">
        <f>IFERROR(IF(('Loading-drum,tote'!$C$21)="No control",SUMIF(('Loading-drum,tote'!$B$31:$B$48),$J3292,('Loading-drum,tote'!$D$31:$D$48))*Impacts!$F$13,IF(('Loading-drum,tote'!$C$21)&lt;&gt;"No control",SUMIF(('Loading-drum,tote'!$B$31:$B$48),$J3292,('Loading-drum,tote'!$E$31:$E$48))*Impacts!$F$13,0)),0)</f>
        <v>0</v>
      </c>
      <c r="R3292" s="10">
        <f>IFERROR(IF(('Loading-truck'!$C$21)="No control",SUMIF(('Loading-truck'!$B$31:$B$48),$J3292,('Loading-truck'!$D$31:$D$48))*Impacts!$F$14,IF(('Loading-truck'!$C$21)&lt;&gt;"No control",SUMIF(('Loading-truck'!$B$31:$B$48),$J3292,('Loading-truck'!$E$31:$E$48))*Impacts!$F$14,0)),0)</f>
        <v>0</v>
      </c>
      <c r="S3292" s="10">
        <f>IFERROR(IF(('Loading-rail'!$C$21)="No control",SUMIF(('Loading-rail'!$B$31:$B$48),$J3292,('Loading-rail'!$D$31:$D$48))*Impacts!$F$15,IF(('Loading-rail'!$C$21)&lt;&gt;"No control",SUMIF(('Loading-rail'!$B$31:$B$48),$J3292,('Loading-rail'!$E$31:$E$48))*Impacts!$F$15,0)),0)</f>
        <v>0</v>
      </c>
      <c r="T3292" s="10">
        <f>IF(Flare!$C$7="",0,(SUMIF(Flare!$B$46:$B$185,$J3292,Flare!$E$46:$E$185)*Impacts!$F$16))</f>
        <v>0</v>
      </c>
      <c r="U3292" s="10">
        <f>IF(VCU!$C$9="",0,(SUMIF(VCU!$B$51:$B$193,$J3292,VCU!$E$51:$E$193)*Impacts!$F$17))</f>
        <v>0</v>
      </c>
      <c r="V3292" s="10">
        <f>IF(CAS!$C$7="",0,(SUMIF(CAS!$B$31:$B$167,$J3292,CAS!$E$31:$E$167)*Impacts!$F$18))</f>
        <v>0</v>
      </c>
      <c r="W3292" s="10">
        <f t="shared" si="92"/>
        <v>0</v>
      </c>
      <c r="AK3292" s="10" t="str">
        <f t="array" ref="AK3292">IFERROR(INDEX(SelectedSpecies,SMALL(IF(SelectedSpecies=AK$1,ROW(SelectedSpecies)),ROW(3293:3293)),2),"")</f>
        <v/>
      </c>
      <c r="BE3292" s="10"/>
      <c r="BI3292" s="10"/>
    </row>
    <row r="3293" spans="1:61" ht="21" customHeight="1" x14ac:dyDescent="0.25">
      <c r="A3293" s="10"/>
      <c r="B3293" s="10"/>
      <c r="E3293" s="10"/>
      <c r="G3293" s="10"/>
      <c r="I3293" s="436" t="s">
        <v>5293</v>
      </c>
      <c r="J3293" s="26" t="s">
        <v>5292</v>
      </c>
      <c r="K3293" s="10">
        <v>1.8</v>
      </c>
      <c r="L3293" s="73">
        <f>IF(Tank1!$C$23="No control",(SUMIF(Tank1!$B$32:$B$49,$J3293,Tank1!$C$32:$C$49)*Impacts!$F$8),0)</f>
        <v>0</v>
      </c>
      <c r="M3293" s="10">
        <f>IF(Tank2!$C$23="No control",(SUMIF(Tank2!$B$32:$B$49,$J3293,Tank2!$C$32:$C$49)*Impacts!$F$9),0)</f>
        <v>0</v>
      </c>
      <c r="N3293" s="10">
        <f>IF(Tank3!$C$23="No control",(SUMIF(Tank3!$B$32:$B$49,$J3293,Tank3!$C$32:$C$49)*Impacts!$F$10),0)</f>
        <v>0</v>
      </c>
      <c r="O3293" s="10">
        <f>IF(Tank4!$C$23="No control",(SUMIF(Tank4!$B$32:$B$49,$J3293,Tank4!$C$32:$C$49)*Impacts!$F$11),0)</f>
        <v>0</v>
      </c>
      <c r="P3293" s="10">
        <f>IF(Tank5!$C$23="No control",(SUMIF(Tank5!$B$32:$B$49,$J3293,Tank5!$C$32:$C$49)*Impacts!$F$12),0)</f>
        <v>0</v>
      </c>
      <c r="Q3293" s="10">
        <f>IFERROR(IF(('Loading-drum,tote'!$C$21)="No control",SUMIF(('Loading-drum,tote'!$B$31:$B$48),$J3293,('Loading-drum,tote'!$D$31:$D$48))*Impacts!$F$13,IF(('Loading-drum,tote'!$C$21)&lt;&gt;"No control",SUMIF(('Loading-drum,tote'!$B$31:$B$48),$J3293,('Loading-drum,tote'!$E$31:$E$48))*Impacts!$F$13,0)),0)</f>
        <v>0</v>
      </c>
      <c r="R3293" s="10">
        <f>IFERROR(IF(('Loading-truck'!$C$21)="No control",SUMIF(('Loading-truck'!$B$31:$B$48),$J3293,('Loading-truck'!$D$31:$D$48))*Impacts!$F$14,IF(('Loading-truck'!$C$21)&lt;&gt;"No control",SUMIF(('Loading-truck'!$B$31:$B$48),$J3293,('Loading-truck'!$E$31:$E$48))*Impacts!$F$14,0)),0)</f>
        <v>0</v>
      </c>
      <c r="S3293" s="10">
        <f>IFERROR(IF(('Loading-rail'!$C$21)="No control",SUMIF(('Loading-rail'!$B$31:$B$48),$J3293,('Loading-rail'!$D$31:$D$48))*Impacts!$F$15,IF(('Loading-rail'!$C$21)&lt;&gt;"No control",SUMIF(('Loading-rail'!$B$31:$B$48),$J3293,('Loading-rail'!$E$31:$E$48))*Impacts!$F$15,0)),0)</f>
        <v>0</v>
      </c>
      <c r="T3293" s="10">
        <f>IF(Flare!$C$7="",0,(SUMIF(Flare!$B$46:$B$185,$J3293,Flare!$E$46:$E$185)*Impacts!$F$16))</f>
        <v>0</v>
      </c>
      <c r="U3293" s="10">
        <f>IF(VCU!$C$9="",0,(SUMIF(VCU!$B$51:$B$193,$J3293,VCU!$E$51:$E$193)*Impacts!$F$17))</f>
        <v>0</v>
      </c>
      <c r="V3293" s="10">
        <f>IF(CAS!$C$7="",0,(SUMIF(CAS!$B$31:$B$167,$J3293,CAS!$E$31:$E$167)*Impacts!$F$18))</f>
        <v>0</v>
      </c>
      <c r="W3293" s="10">
        <f t="shared" si="92"/>
        <v>0</v>
      </c>
      <c r="AK3293" s="10" t="str">
        <f t="array" ref="AK3293">IFERROR(INDEX(SelectedSpecies,SMALL(IF(SelectedSpecies=AK$1,ROW(SelectedSpecies)),ROW(3294:3294)),2),"")</f>
        <v/>
      </c>
      <c r="BE3293" s="10"/>
      <c r="BI3293" s="10"/>
    </row>
    <row r="3294" spans="1:61" ht="21" customHeight="1" x14ac:dyDescent="0.25">
      <c r="A3294" s="10"/>
      <c r="B3294" s="10"/>
      <c r="E3294" s="10"/>
      <c r="G3294" s="10"/>
      <c r="I3294" s="436" t="s">
        <v>3347</v>
      </c>
      <c r="J3294" s="26" t="s">
        <v>3346</v>
      </c>
      <c r="K3294" s="10">
        <v>10</v>
      </c>
      <c r="L3294" s="73">
        <f>IF(Tank1!$C$23="No control",(SUMIF(Tank1!$B$32:$B$49,$J3294,Tank1!$C$32:$C$49)*Impacts!$F$8),0)</f>
        <v>0</v>
      </c>
      <c r="M3294" s="10">
        <f>IF(Tank2!$C$23="No control",(SUMIF(Tank2!$B$32:$B$49,$J3294,Tank2!$C$32:$C$49)*Impacts!$F$9),0)</f>
        <v>0</v>
      </c>
      <c r="N3294" s="10">
        <f>IF(Tank3!$C$23="No control",(SUMIF(Tank3!$B$32:$B$49,$J3294,Tank3!$C$32:$C$49)*Impacts!$F$10),0)</f>
        <v>0</v>
      </c>
      <c r="O3294" s="10">
        <f>IF(Tank4!$C$23="No control",(SUMIF(Tank4!$B$32:$B$49,$J3294,Tank4!$C$32:$C$49)*Impacts!$F$11),0)</f>
        <v>0</v>
      </c>
      <c r="P3294" s="10">
        <f>IF(Tank5!$C$23="No control",(SUMIF(Tank5!$B$32:$B$49,$J3294,Tank5!$C$32:$C$49)*Impacts!$F$12),0)</f>
        <v>0</v>
      </c>
      <c r="Q3294" s="10">
        <f>IFERROR(IF(('Loading-drum,tote'!$C$21)="No control",SUMIF(('Loading-drum,tote'!$B$31:$B$48),$J3294,('Loading-drum,tote'!$D$31:$D$48))*Impacts!$F$13,IF(('Loading-drum,tote'!$C$21)&lt;&gt;"No control",SUMIF(('Loading-drum,tote'!$B$31:$B$48),$J3294,('Loading-drum,tote'!$E$31:$E$48))*Impacts!$F$13,0)),0)</f>
        <v>0</v>
      </c>
      <c r="R3294" s="10">
        <f>IFERROR(IF(('Loading-truck'!$C$21)="No control",SUMIF(('Loading-truck'!$B$31:$B$48),$J3294,('Loading-truck'!$D$31:$D$48))*Impacts!$F$14,IF(('Loading-truck'!$C$21)&lt;&gt;"No control",SUMIF(('Loading-truck'!$B$31:$B$48),$J3294,('Loading-truck'!$E$31:$E$48))*Impacts!$F$14,0)),0)</f>
        <v>0</v>
      </c>
      <c r="S3294" s="10">
        <f>IFERROR(IF(('Loading-rail'!$C$21)="No control",SUMIF(('Loading-rail'!$B$31:$B$48),$J3294,('Loading-rail'!$D$31:$D$48))*Impacts!$F$15,IF(('Loading-rail'!$C$21)&lt;&gt;"No control",SUMIF(('Loading-rail'!$B$31:$B$48),$J3294,('Loading-rail'!$E$31:$E$48))*Impacts!$F$15,0)),0)</f>
        <v>0</v>
      </c>
      <c r="T3294" s="10">
        <f>IF(Flare!$C$7="",0,(SUMIF(Flare!$B$46:$B$185,$J3294,Flare!$E$46:$E$185)*Impacts!$F$16))</f>
        <v>0</v>
      </c>
      <c r="U3294" s="10">
        <f>IF(VCU!$C$9="",0,(SUMIF(VCU!$B$51:$B$193,$J3294,VCU!$E$51:$E$193)*Impacts!$F$17))</f>
        <v>0</v>
      </c>
      <c r="V3294" s="10">
        <f>IF(CAS!$C$7="",0,(SUMIF(CAS!$B$31:$B$167,$J3294,CAS!$E$31:$E$167)*Impacts!$F$18))</f>
        <v>0</v>
      </c>
      <c r="W3294" s="10">
        <f t="shared" si="92"/>
        <v>0</v>
      </c>
      <c r="AK3294" s="10" t="str">
        <f t="array" ref="AK3294">IFERROR(INDEX(SelectedSpecies,SMALL(IF(SelectedSpecies=AK$1,ROW(SelectedSpecies)),ROW(3295:3295)),2),"")</f>
        <v/>
      </c>
      <c r="BE3294" s="10"/>
      <c r="BI3294" s="10"/>
    </row>
    <row r="3295" spans="1:61" ht="21" customHeight="1" x14ac:dyDescent="0.25">
      <c r="A3295" s="10"/>
      <c r="B3295" s="10"/>
      <c r="E3295" s="10"/>
      <c r="G3295" s="10"/>
      <c r="I3295" s="436" t="s">
        <v>1250</v>
      </c>
      <c r="J3295" s="26" t="s">
        <v>1249</v>
      </c>
      <c r="K3295" s="10">
        <v>34</v>
      </c>
      <c r="L3295" s="73">
        <f>IF(Tank1!$C$23="No control",(SUMIF(Tank1!$B$32:$B$49,$J3295,Tank1!$C$32:$C$49)*Impacts!$F$8),0)</f>
        <v>0</v>
      </c>
      <c r="M3295" s="10">
        <f>IF(Tank2!$C$23="No control",(SUMIF(Tank2!$B$32:$B$49,$J3295,Tank2!$C$32:$C$49)*Impacts!$F$9),0)</f>
        <v>0</v>
      </c>
      <c r="N3295" s="10">
        <f>IF(Tank3!$C$23="No control",(SUMIF(Tank3!$B$32:$B$49,$J3295,Tank3!$C$32:$C$49)*Impacts!$F$10),0)</f>
        <v>0</v>
      </c>
      <c r="O3295" s="10">
        <f>IF(Tank4!$C$23="No control",(SUMIF(Tank4!$B$32:$B$49,$J3295,Tank4!$C$32:$C$49)*Impacts!$F$11),0)</f>
        <v>0</v>
      </c>
      <c r="P3295" s="10">
        <f>IF(Tank5!$C$23="No control",(SUMIF(Tank5!$B$32:$B$49,$J3295,Tank5!$C$32:$C$49)*Impacts!$F$12),0)</f>
        <v>0</v>
      </c>
      <c r="Q3295" s="10">
        <f>IFERROR(IF(('Loading-drum,tote'!$C$21)="No control",SUMIF(('Loading-drum,tote'!$B$31:$B$48),$J3295,('Loading-drum,tote'!$D$31:$D$48))*Impacts!$F$13,IF(('Loading-drum,tote'!$C$21)&lt;&gt;"No control",SUMIF(('Loading-drum,tote'!$B$31:$B$48),$J3295,('Loading-drum,tote'!$E$31:$E$48))*Impacts!$F$13,0)),0)</f>
        <v>0</v>
      </c>
      <c r="R3295" s="10">
        <f>IFERROR(IF(('Loading-truck'!$C$21)="No control",SUMIF(('Loading-truck'!$B$31:$B$48),$J3295,('Loading-truck'!$D$31:$D$48))*Impacts!$F$14,IF(('Loading-truck'!$C$21)&lt;&gt;"No control",SUMIF(('Loading-truck'!$B$31:$B$48),$J3295,('Loading-truck'!$E$31:$E$48))*Impacts!$F$14,0)),0)</f>
        <v>0</v>
      </c>
      <c r="S3295" s="10">
        <f>IFERROR(IF(('Loading-rail'!$C$21)="No control",SUMIF(('Loading-rail'!$B$31:$B$48),$J3295,('Loading-rail'!$D$31:$D$48))*Impacts!$F$15,IF(('Loading-rail'!$C$21)&lt;&gt;"No control",SUMIF(('Loading-rail'!$B$31:$B$48),$J3295,('Loading-rail'!$E$31:$E$48))*Impacts!$F$15,0)),0)</f>
        <v>0</v>
      </c>
      <c r="T3295" s="10">
        <f>IF(Flare!$C$7="",0,(SUMIF(Flare!$B$46:$B$185,$J3295,Flare!$E$46:$E$185)*Impacts!$F$16))</f>
        <v>0</v>
      </c>
      <c r="U3295" s="10">
        <f>IF(VCU!$C$9="",0,(SUMIF(VCU!$B$51:$B$193,$J3295,VCU!$E$51:$E$193)*Impacts!$F$17))</f>
        <v>0</v>
      </c>
      <c r="V3295" s="10">
        <f>IF(CAS!$C$7="",0,(SUMIF(CAS!$B$31:$B$167,$J3295,CAS!$E$31:$E$167)*Impacts!$F$18))</f>
        <v>0</v>
      </c>
      <c r="W3295" s="10">
        <f t="shared" si="92"/>
        <v>0</v>
      </c>
      <c r="AK3295" s="10" t="str">
        <f t="array" ref="AK3295">IFERROR(INDEX(SelectedSpecies,SMALL(IF(SelectedSpecies=AK$1,ROW(SelectedSpecies)),ROW(3296:3296)),2),"")</f>
        <v/>
      </c>
      <c r="BE3295" s="10"/>
      <c r="BI3295" s="10"/>
    </row>
    <row r="3296" spans="1:61" ht="21" customHeight="1" x14ac:dyDescent="0.25">
      <c r="A3296" s="10"/>
      <c r="B3296" s="10"/>
      <c r="E3296" s="10"/>
      <c r="G3296" s="10"/>
      <c r="I3296" s="436" t="s">
        <v>1252</v>
      </c>
      <c r="J3296" s="26" t="s">
        <v>1251</v>
      </c>
      <c r="K3296" s="10">
        <v>34</v>
      </c>
      <c r="L3296" s="73">
        <f>IF(Tank1!$C$23="No control",(SUMIF(Tank1!$B$32:$B$49,$J3296,Tank1!$C$32:$C$49)*Impacts!$F$8),0)</f>
        <v>0</v>
      </c>
      <c r="M3296" s="10">
        <f>IF(Tank2!$C$23="No control",(SUMIF(Tank2!$B$32:$B$49,$J3296,Tank2!$C$32:$C$49)*Impacts!$F$9),0)</f>
        <v>0</v>
      </c>
      <c r="N3296" s="10">
        <f>IF(Tank3!$C$23="No control",(SUMIF(Tank3!$B$32:$B$49,$J3296,Tank3!$C$32:$C$49)*Impacts!$F$10),0)</f>
        <v>0</v>
      </c>
      <c r="O3296" s="10">
        <f>IF(Tank4!$C$23="No control",(SUMIF(Tank4!$B$32:$B$49,$J3296,Tank4!$C$32:$C$49)*Impacts!$F$11),0)</f>
        <v>0</v>
      </c>
      <c r="P3296" s="10">
        <f>IF(Tank5!$C$23="No control",(SUMIF(Tank5!$B$32:$B$49,$J3296,Tank5!$C$32:$C$49)*Impacts!$F$12),0)</f>
        <v>0</v>
      </c>
      <c r="Q3296" s="10">
        <f>IFERROR(IF(('Loading-drum,tote'!$C$21)="No control",SUMIF(('Loading-drum,tote'!$B$31:$B$48),$J3296,('Loading-drum,tote'!$D$31:$D$48))*Impacts!$F$13,IF(('Loading-drum,tote'!$C$21)&lt;&gt;"No control",SUMIF(('Loading-drum,tote'!$B$31:$B$48),$J3296,('Loading-drum,tote'!$E$31:$E$48))*Impacts!$F$13,0)),0)</f>
        <v>0</v>
      </c>
      <c r="R3296" s="10">
        <f>IFERROR(IF(('Loading-truck'!$C$21)="No control",SUMIF(('Loading-truck'!$B$31:$B$48),$J3296,('Loading-truck'!$D$31:$D$48))*Impacts!$F$14,IF(('Loading-truck'!$C$21)&lt;&gt;"No control",SUMIF(('Loading-truck'!$B$31:$B$48),$J3296,('Loading-truck'!$E$31:$E$48))*Impacts!$F$14,0)),0)</f>
        <v>0</v>
      </c>
      <c r="S3296" s="10">
        <f>IFERROR(IF(('Loading-rail'!$C$21)="No control",SUMIF(('Loading-rail'!$B$31:$B$48),$J3296,('Loading-rail'!$D$31:$D$48))*Impacts!$F$15,IF(('Loading-rail'!$C$21)&lt;&gt;"No control",SUMIF(('Loading-rail'!$B$31:$B$48),$J3296,('Loading-rail'!$E$31:$E$48))*Impacts!$F$15,0)),0)</f>
        <v>0</v>
      </c>
      <c r="T3296" s="10">
        <f>IF(Flare!$C$7="",0,(SUMIF(Flare!$B$46:$B$185,$J3296,Flare!$E$46:$E$185)*Impacts!$F$16))</f>
        <v>0</v>
      </c>
      <c r="U3296" s="10">
        <f>IF(VCU!$C$9="",0,(SUMIF(VCU!$B$51:$B$193,$J3296,VCU!$E$51:$E$193)*Impacts!$F$17))</f>
        <v>0</v>
      </c>
      <c r="V3296" s="10">
        <f>IF(CAS!$C$7="",0,(SUMIF(CAS!$B$31:$B$167,$J3296,CAS!$E$31:$E$167)*Impacts!$F$18))</f>
        <v>0</v>
      </c>
      <c r="W3296" s="10">
        <f t="shared" si="92"/>
        <v>0</v>
      </c>
      <c r="AK3296" s="10" t="str">
        <f t="array" ref="AK3296">IFERROR(INDEX(SelectedSpecies,SMALL(IF(SelectedSpecies=AK$1,ROW(SelectedSpecies)),ROW(3297:3297)),2),"")</f>
        <v/>
      </c>
      <c r="BE3296" s="10"/>
      <c r="BI3296" s="10"/>
    </row>
    <row r="3297" spans="1:61" ht="21" customHeight="1" x14ac:dyDescent="0.25">
      <c r="A3297" s="10"/>
      <c r="B3297" s="10"/>
      <c r="E3297" s="10"/>
      <c r="G3297" s="10"/>
      <c r="I3297" s="436" t="s">
        <v>3349</v>
      </c>
      <c r="J3297" s="26" t="s">
        <v>3348</v>
      </c>
      <c r="K3297" s="10">
        <v>10</v>
      </c>
      <c r="L3297" s="73">
        <f>IF(Tank1!$C$23="No control",(SUMIF(Tank1!$B$32:$B$49,$J3297,Tank1!$C$32:$C$49)*Impacts!$F$8),0)</f>
        <v>0</v>
      </c>
      <c r="M3297" s="10">
        <f>IF(Tank2!$C$23="No control",(SUMIF(Tank2!$B$32:$B$49,$J3297,Tank2!$C$32:$C$49)*Impacts!$F$9),0)</f>
        <v>0</v>
      </c>
      <c r="N3297" s="10">
        <f>IF(Tank3!$C$23="No control",(SUMIF(Tank3!$B$32:$B$49,$J3297,Tank3!$C$32:$C$49)*Impacts!$F$10),0)</f>
        <v>0</v>
      </c>
      <c r="O3297" s="10">
        <f>IF(Tank4!$C$23="No control",(SUMIF(Tank4!$B$32:$B$49,$J3297,Tank4!$C$32:$C$49)*Impacts!$F$11),0)</f>
        <v>0</v>
      </c>
      <c r="P3297" s="10">
        <f>IF(Tank5!$C$23="No control",(SUMIF(Tank5!$B$32:$B$49,$J3297,Tank5!$C$32:$C$49)*Impacts!$F$12),0)</f>
        <v>0</v>
      </c>
      <c r="Q3297" s="10">
        <f>IFERROR(IF(('Loading-drum,tote'!$C$21)="No control",SUMIF(('Loading-drum,tote'!$B$31:$B$48),$J3297,('Loading-drum,tote'!$D$31:$D$48))*Impacts!$F$13,IF(('Loading-drum,tote'!$C$21)&lt;&gt;"No control",SUMIF(('Loading-drum,tote'!$B$31:$B$48),$J3297,('Loading-drum,tote'!$E$31:$E$48))*Impacts!$F$13,0)),0)</f>
        <v>0</v>
      </c>
      <c r="R3297" s="10">
        <f>IFERROR(IF(('Loading-truck'!$C$21)="No control",SUMIF(('Loading-truck'!$B$31:$B$48),$J3297,('Loading-truck'!$D$31:$D$48))*Impacts!$F$14,IF(('Loading-truck'!$C$21)&lt;&gt;"No control",SUMIF(('Loading-truck'!$B$31:$B$48),$J3297,('Loading-truck'!$E$31:$E$48))*Impacts!$F$14,0)),0)</f>
        <v>0</v>
      </c>
      <c r="S3297" s="10">
        <f>IFERROR(IF(('Loading-rail'!$C$21)="No control",SUMIF(('Loading-rail'!$B$31:$B$48),$J3297,('Loading-rail'!$D$31:$D$48))*Impacts!$F$15,IF(('Loading-rail'!$C$21)&lt;&gt;"No control",SUMIF(('Loading-rail'!$B$31:$B$48),$J3297,('Loading-rail'!$E$31:$E$48))*Impacts!$F$15,0)),0)</f>
        <v>0</v>
      </c>
      <c r="T3297" s="10">
        <f>IF(Flare!$C$7="",0,(SUMIF(Flare!$B$46:$B$185,$J3297,Flare!$E$46:$E$185)*Impacts!$F$16))</f>
        <v>0</v>
      </c>
      <c r="U3297" s="10">
        <f>IF(VCU!$C$9="",0,(SUMIF(VCU!$B$51:$B$193,$J3297,VCU!$E$51:$E$193)*Impacts!$F$17))</f>
        <v>0</v>
      </c>
      <c r="V3297" s="10">
        <f>IF(CAS!$C$7="",0,(SUMIF(CAS!$B$31:$B$167,$J3297,CAS!$E$31:$E$167)*Impacts!$F$18))</f>
        <v>0</v>
      </c>
      <c r="W3297" s="10">
        <f t="shared" si="92"/>
        <v>0</v>
      </c>
      <c r="AK3297" s="10" t="str">
        <f t="array" ref="AK3297">IFERROR(INDEX(SelectedSpecies,SMALL(IF(SelectedSpecies=AK$1,ROW(SelectedSpecies)),ROW(3298:3298)),2),"")</f>
        <v/>
      </c>
      <c r="BE3297" s="10"/>
      <c r="BI3297" s="10"/>
    </row>
    <row r="3298" spans="1:61" ht="21" customHeight="1" x14ac:dyDescent="0.25">
      <c r="A3298" s="10"/>
      <c r="B3298" s="10"/>
      <c r="E3298" s="10"/>
      <c r="G3298" s="10"/>
      <c r="I3298" s="436" t="s">
        <v>7616</v>
      </c>
      <c r="J3298" s="26" t="s">
        <v>7615</v>
      </c>
      <c r="K3298" s="10">
        <v>0.15000000000000002</v>
      </c>
      <c r="L3298" s="73">
        <f>IF(Tank1!$C$23="No control",(SUMIF(Tank1!$B$32:$B$49,$J3298,Tank1!$C$32:$C$49)*Impacts!$F$8),0)</f>
        <v>0</v>
      </c>
      <c r="M3298" s="10">
        <f>IF(Tank2!$C$23="No control",(SUMIF(Tank2!$B$32:$B$49,$J3298,Tank2!$C$32:$C$49)*Impacts!$F$9),0)</f>
        <v>0</v>
      </c>
      <c r="N3298" s="10">
        <f>IF(Tank3!$C$23="No control",(SUMIF(Tank3!$B$32:$B$49,$J3298,Tank3!$C$32:$C$49)*Impacts!$F$10),0)</f>
        <v>0</v>
      </c>
      <c r="O3298" s="10">
        <f>IF(Tank4!$C$23="No control",(SUMIF(Tank4!$B$32:$B$49,$J3298,Tank4!$C$32:$C$49)*Impacts!$F$11),0)</f>
        <v>0</v>
      </c>
      <c r="P3298" s="10">
        <f>IF(Tank5!$C$23="No control",(SUMIF(Tank5!$B$32:$B$49,$J3298,Tank5!$C$32:$C$49)*Impacts!$F$12),0)</f>
        <v>0</v>
      </c>
      <c r="Q3298" s="10">
        <f>IFERROR(IF(('Loading-drum,tote'!$C$21)="No control",SUMIF(('Loading-drum,tote'!$B$31:$B$48),$J3298,('Loading-drum,tote'!$D$31:$D$48))*Impacts!$F$13,IF(('Loading-drum,tote'!$C$21)&lt;&gt;"No control",SUMIF(('Loading-drum,tote'!$B$31:$B$48),$J3298,('Loading-drum,tote'!$E$31:$E$48))*Impacts!$F$13,0)),0)</f>
        <v>0</v>
      </c>
      <c r="R3298" s="10">
        <f>IFERROR(IF(('Loading-truck'!$C$21)="No control",SUMIF(('Loading-truck'!$B$31:$B$48),$J3298,('Loading-truck'!$D$31:$D$48))*Impacts!$F$14,IF(('Loading-truck'!$C$21)&lt;&gt;"No control",SUMIF(('Loading-truck'!$B$31:$B$48),$J3298,('Loading-truck'!$E$31:$E$48))*Impacts!$F$14,0)),0)</f>
        <v>0</v>
      </c>
      <c r="S3298" s="10">
        <f>IFERROR(IF(('Loading-rail'!$C$21)="No control",SUMIF(('Loading-rail'!$B$31:$B$48),$J3298,('Loading-rail'!$D$31:$D$48))*Impacts!$F$15,IF(('Loading-rail'!$C$21)&lt;&gt;"No control",SUMIF(('Loading-rail'!$B$31:$B$48),$J3298,('Loading-rail'!$E$31:$E$48))*Impacts!$F$15,0)),0)</f>
        <v>0</v>
      </c>
      <c r="T3298" s="10">
        <f>IF(Flare!$C$7="",0,(SUMIF(Flare!$B$46:$B$185,$J3298,Flare!$E$46:$E$185)*Impacts!$F$16))</f>
        <v>0</v>
      </c>
      <c r="U3298" s="10">
        <f>IF(VCU!$C$9="",0,(SUMIF(VCU!$B$51:$B$193,$J3298,VCU!$E$51:$E$193)*Impacts!$F$17))</f>
        <v>0</v>
      </c>
      <c r="V3298" s="10">
        <f>IF(CAS!$C$7="",0,(SUMIF(CAS!$B$31:$B$167,$J3298,CAS!$E$31:$E$167)*Impacts!$F$18))</f>
        <v>0</v>
      </c>
      <c r="W3298" s="10">
        <f t="shared" si="92"/>
        <v>0</v>
      </c>
      <c r="AK3298" s="10" t="str">
        <f t="array" ref="AK3298">IFERROR(INDEX(SelectedSpecies,SMALL(IF(SelectedSpecies=AK$1,ROW(SelectedSpecies)),ROW(3299:3299)),2),"")</f>
        <v/>
      </c>
      <c r="BE3298" s="10"/>
      <c r="BI3298" s="10"/>
    </row>
    <row r="3299" spans="1:61" ht="21" customHeight="1" x14ac:dyDescent="0.25">
      <c r="A3299" s="10"/>
      <c r="B3299" s="10"/>
      <c r="E3299" s="10"/>
      <c r="G3299" s="10"/>
      <c r="I3299" s="436" t="s">
        <v>3351</v>
      </c>
      <c r="J3299" s="26" t="s">
        <v>3350</v>
      </c>
      <c r="K3299" s="10">
        <v>10</v>
      </c>
      <c r="L3299" s="73">
        <f>IF(Tank1!$C$23="No control",(SUMIF(Tank1!$B$32:$B$49,$J3299,Tank1!$C$32:$C$49)*Impacts!$F$8),0)</f>
        <v>0</v>
      </c>
      <c r="M3299" s="10">
        <f>IF(Tank2!$C$23="No control",(SUMIF(Tank2!$B$32:$B$49,$J3299,Tank2!$C$32:$C$49)*Impacts!$F$9),0)</f>
        <v>0</v>
      </c>
      <c r="N3299" s="10">
        <f>IF(Tank3!$C$23="No control",(SUMIF(Tank3!$B$32:$B$49,$J3299,Tank3!$C$32:$C$49)*Impacts!$F$10),0)</f>
        <v>0</v>
      </c>
      <c r="O3299" s="10">
        <f>IF(Tank4!$C$23="No control",(SUMIF(Tank4!$B$32:$B$49,$J3299,Tank4!$C$32:$C$49)*Impacts!$F$11),0)</f>
        <v>0</v>
      </c>
      <c r="P3299" s="10">
        <f>IF(Tank5!$C$23="No control",(SUMIF(Tank5!$B$32:$B$49,$J3299,Tank5!$C$32:$C$49)*Impacts!$F$12),0)</f>
        <v>0</v>
      </c>
      <c r="Q3299" s="10">
        <f>IFERROR(IF(('Loading-drum,tote'!$C$21)="No control",SUMIF(('Loading-drum,tote'!$B$31:$B$48),$J3299,('Loading-drum,tote'!$D$31:$D$48))*Impacts!$F$13,IF(('Loading-drum,tote'!$C$21)&lt;&gt;"No control",SUMIF(('Loading-drum,tote'!$B$31:$B$48),$J3299,('Loading-drum,tote'!$E$31:$E$48))*Impacts!$F$13,0)),0)</f>
        <v>0</v>
      </c>
      <c r="R3299" s="10">
        <f>IFERROR(IF(('Loading-truck'!$C$21)="No control",SUMIF(('Loading-truck'!$B$31:$B$48),$J3299,('Loading-truck'!$D$31:$D$48))*Impacts!$F$14,IF(('Loading-truck'!$C$21)&lt;&gt;"No control",SUMIF(('Loading-truck'!$B$31:$B$48),$J3299,('Loading-truck'!$E$31:$E$48))*Impacts!$F$14,0)),0)</f>
        <v>0</v>
      </c>
      <c r="S3299" s="10">
        <f>IFERROR(IF(('Loading-rail'!$C$21)="No control",SUMIF(('Loading-rail'!$B$31:$B$48),$J3299,('Loading-rail'!$D$31:$D$48))*Impacts!$F$15,IF(('Loading-rail'!$C$21)&lt;&gt;"No control",SUMIF(('Loading-rail'!$B$31:$B$48),$J3299,('Loading-rail'!$E$31:$E$48))*Impacts!$F$15,0)),0)</f>
        <v>0</v>
      </c>
      <c r="T3299" s="10">
        <f>IF(Flare!$C$7="",0,(SUMIF(Flare!$B$46:$B$185,$J3299,Flare!$E$46:$E$185)*Impacts!$F$16))</f>
        <v>0</v>
      </c>
      <c r="U3299" s="10">
        <f>IF(VCU!$C$9="",0,(SUMIF(VCU!$B$51:$B$193,$J3299,VCU!$E$51:$E$193)*Impacts!$F$17))</f>
        <v>0</v>
      </c>
      <c r="V3299" s="10">
        <f>IF(CAS!$C$7="",0,(SUMIF(CAS!$B$31:$B$167,$J3299,CAS!$E$31:$E$167)*Impacts!$F$18))</f>
        <v>0</v>
      </c>
      <c r="W3299" s="10">
        <f t="shared" si="92"/>
        <v>0</v>
      </c>
      <c r="AK3299" s="10" t="str">
        <f t="array" ref="AK3299">IFERROR(INDEX(SelectedSpecies,SMALL(IF(SelectedSpecies=AK$1,ROW(SelectedSpecies)),ROW(3300:3300)),2),"")</f>
        <v/>
      </c>
      <c r="BE3299" s="10"/>
      <c r="BI3299" s="10"/>
    </row>
    <row r="3300" spans="1:61" ht="21" customHeight="1" x14ac:dyDescent="0.25">
      <c r="A3300" s="10"/>
      <c r="B3300" s="10"/>
      <c r="E3300" s="10"/>
      <c r="G3300" s="10"/>
      <c r="I3300" s="436" t="s">
        <v>3873</v>
      </c>
      <c r="J3300" s="26" t="s">
        <v>3872</v>
      </c>
      <c r="K3300" s="10">
        <v>6</v>
      </c>
      <c r="L3300" s="73">
        <f>IF(Tank1!$C$23="No control",(SUMIF(Tank1!$B$32:$B$49,$J3300,Tank1!$C$32:$C$49)*Impacts!$F$8),0)</f>
        <v>0</v>
      </c>
      <c r="M3300" s="10">
        <f>IF(Tank2!$C$23="No control",(SUMIF(Tank2!$B$32:$B$49,$J3300,Tank2!$C$32:$C$49)*Impacts!$F$9),0)</f>
        <v>0</v>
      </c>
      <c r="N3300" s="10">
        <f>IF(Tank3!$C$23="No control",(SUMIF(Tank3!$B$32:$B$49,$J3300,Tank3!$C$32:$C$49)*Impacts!$F$10),0)</f>
        <v>0</v>
      </c>
      <c r="O3300" s="10">
        <f>IF(Tank4!$C$23="No control",(SUMIF(Tank4!$B$32:$B$49,$J3300,Tank4!$C$32:$C$49)*Impacts!$F$11),0)</f>
        <v>0</v>
      </c>
      <c r="P3300" s="10">
        <f>IF(Tank5!$C$23="No control",(SUMIF(Tank5!$B$32:$B$49,$J3300,Tank5!$C$32:$C$49)*Impacts!$F$12),0)</f>
        <v>0</v>
      </c>
      <c r="Q3300" s="10">
        <f>IFERROR(IF(('Loading-drum,tote'!$C$21)="No control",SUMIF(('Loading-drum,tote'!$B$31:$B$48),$J3300,('Loading-drum,tote'!$D$31:$D$48))*Impacts!$F$13,IF(('Loading-drum,tote'!$C$21)&lt;&gt;"No control",SUMIF(('Loading-drum,tote'!$B$31:$B$48),$J3300,('Loading-drum,tote'!$E$31:$E$48))*Impacts!$F$13,0)),0)</f>
        <v>0</v>
      </c>
      <c r="R3300" s="10">
        <f>IFERROR(IF(('Loading-truck'!$C$21)="No control",SUMIF(('Loading-truck'!$B$31:$B$48),$J3300,('Loading-truck'!$D$31:$D$48))*Impacts!$F$14,IF(('Loading-truck'!$C$21)&lt;&gt;"No control",SUMIF(('Loading-truck'!$B$31:$B$48),$J3300,('Loading-truck'!$E$31:$E$48))*Impacts!$F$14,0)),0)</f>
        <v>0</v>
      </c>
      <c r="S3300" s="10">
        <f>IFERROR(IF(('Loading-rail'!$C$21)="No control",SUMIF(('Loading-rail'!$B$31:$B$48),$J3300,('Loading-rail'!$D$31:$D$48))*Impacts!$F$15,IF(('Loading-rail'!$C$21)&lt;&gt;"No control",SUMIF(('Loading-rail'!$B$31:$B$48),$J3300,('Loading-rail'!$E$31:$E$48))*Impacts!$F$15,0)),0)</f>
        <v>0</v>
      </c>
      <c r="T3300" s="10">
        <f>IF(Flare!$C$7="",0,(SUMIF(Flare!$B$46:$B$185,$J3300,Flare!$E$46:$E$185)*Impacts!$F$16))</f>
        <v>0</v>
      </c>
      <c r="U3300" s="10">
        <f>IF(VCU!$C$9="",0,(SUMIF(VCU!$B$51:$B$193,$J3300,VCU!$E$51:$E$193)*Impacts!$F$17))</f>
        <v>0</v>
      </c>
      <c r="V3300" s="10">
        <f>IF(CAS!$C$7="",0,(SUMIF(CAS!$B$31:$B$167,$J3300,CAS!$E$31:$E$167)*Impacts!$F$18))</f>
        <v>0</v>
      </c>
      <c r="W3300" s="10">
        <f t="shared" si="92"/>
        <v>0</v>
      </c>
      <c r="AK3300" s="10" t="str">
        <f t="array" ref="AK3300">IFERROR(INDEX(SelectedSpecies,SMALL(IF(SelectedSpecies=AK$1,ROW(SelectedSpecies)),ROW(3301:3301)),2),"")</f>
        <v/>
      </c>
      <c r="BE3300" s="10"/>
      <c r="BI3300" s="10"/>
    </row>
    <row r="3301" spans="1:61" ht="21" customHeight="1" x14ac:dyDescent="0.25">
      <c r="A3301" s="10"/>
      <c r="B3301" s="10"/>
      <c r="E3301" s="10"/>
      <c r="G3301" s="10"/>
      <c r="I3301" s="436" t="s">
        <v>7532</v>
      </c>
      <c r="J3301" s="26" t="s">
        <v>7531</v>
      </c>
      <c r="K3301" s="10">
        <v>0.2</v>
      </c>
      <c r="L3301" s="73">
        <f>IF(Tank1!$C$23="No control",(SUMIF(Tank1!$B$32:$B$49,$J3301,Tank1!$C$32:$C$49)*Impacts!$F$8),0)</f>
        <v>0</v>
      </c>
      <c r="M3301" s="10">
        <f>IF(Tank2!$C$23="No control",(SUMIF(Tank2!$B$32:$B$49,$J3301,Tank2!$C$32:$C$49)*Impacts!$F$9),0)</f>
        <v>0</v>
      </c>
      <c r="N3301" s="10">
        <f>IF(Tank3!$C$23="No control",(SUMIF(Tank3!$B$32:$B$49,$J3301,Tank3!$C$32:$C$49)*Impacts!$F$10),0)</f>
        <v>0</v>
      </c>
      <c r="O3301" s="10">
        <f>IF(Tank4!$C$23="No control",(SUMIF(Tank4!$B$32:$B$49,$J3301,Tank4!$C$32:$C$49)*Impacts!$F$11),0)</f>
        <v>0</v>
      </c>
      <c r="P3301" s="10">
        <f>IF(Tank5!$C$23="No control",(SUMIF(Tank5!$B$32:$B$49,$J3301,Tank5!$C$32:$C$49)*Impacts!$F$12),0)</f>
        <v>0</v>
      </c>
      <c r="Q3301" s="10">
        <f>IFERROR(IF(('Loading-drum,tote'!$C$21)="No control",SUMIF(('Loading-drum,tote'!$B$31:$B$48),$J3301,('Loading-drum,tote'!$D$31:$D$48))*Impacts!$F$13,IF(('Loading-drum,tote'!$C$21)&lt;&gt;"No control",SUMIF(('Loading-drum,tote'!$B$31:$B$48),$J3301,('Loading-drum,tote'!$E$31:$E$48))*Impacts!$F$13,0)),0)</f>
        <v>0</v>
      </c>
      <c r="R3301" s="10">
        <f>IFERROR(IF(('Loading-truck'!$C$21)="No control",SUMIF(('Loading-truck'!$B$31:$B$48),$J3301,('Loading-truck'!$D$31:$D$48))*Impacts!$F$14,IF(('Loading-truck'!$C$21)&lt;&gt;"No control",SUMIF(('Loading-truck'!$B$31:$B$48),$J3301,('Loading-truck'!$E$31:$E$48))*Impacts!$F$14,0)),0)</f>
        <v>0</v>
      </c>
      <c r="S3301" s="10">
        <f>IFERROR(IF(('Loading-rail'!$C$21)="No control",SUMIF(('Loading-rail'!$B$31:$B$48),$J3301,('Loading-rail'!$D$31:$D$48))*Impacts!$F$15,IF(('Loading-rail'!$C$21)&lt;&gt;"No control",SUMIF(('Loading-rail'!$B$31:$B$48),$J3301,('Loading-rail'!$E$31:$E$48))*Impacts!$F$15,0)),0)</f>
        <v>0</v>
      </c>
      <c r="T3301" s="10">
        <f>IF(Flare!$C$7="",0,(SUMIF(Flare!$B$46:$B$185,$J3301,Flare!$E$46:$E$185)*Impacts!$F$16))</f>
        <v>0</v>
      </c>
      <c r="U3301" s="10">
        <f>IF(VCU!$C$9="",0,(SUMIF(VCU!$B$51:$B$193,$J3301,VCU!$E$51:$E$193)*Impacts!$F$17))</f>
        <v>0</v>
      </c>
      <c r="V3301" s="10">
        <f>IF(CAS!$C$7="",0,(SUMIF(CAS!$B$31:$B$167,$J3301,CAS!$E$31:$E$167)*Impacts!$F$18))</f>
        <v>0</v>
      </c>
      <c r="W3301" s="10">
        <f t="shared" si="92"/>
        <v>0</v>
      </c>
      <c r="AK3301" s="10" t="str">
        <f t="array" ref="AK3301">IFERROR(INDEX(SelectedSpecies,SMALL(IF(SelectedSpecies=AK$1,ROW(SelectedSpecies)),ROW(3302:3302)),2),"")</f>
        <v/>
      </c>
      <c r="BE3301" s="10"/>
      <c r="BI3301" s="10"/>
    </row>
    <row r="3302" spans="1:61" ht="21" customHeight="1" x14ac:dyDescent="0.25">
      <c r="A3302" s="10"/>
      <c r="B3302" s="10"/>
      <c r="E3302" s="10"/>
      <c r="G3302" s="10"/>
      <c r="I3302" s="436" t="s">
        <v>4505</v>
      </c>
      <c r="J3302" s="26" t="s">
        <v>4504</v>
      </c>
      <c r="K3302" s="10">
        <v>4.2</v>
      </c>
      <c r="L3302" s="73">
        <f>IF(Tank1!$C$23="No control",(SUMIF(Tank1!$B$32:$B$49,$J3302,Tank1!$C$32:$C$49)*Impacts!$F$8),0)</f>
        <v>0</v>
      </c>
      <c r="M3302" s="10">
        <f>IF(Tank2!$C$23="No control",(SUMIF(Tank2!$B$32:$B$49,$J3302,Tank2!$C$32:$C$49)*Impacts!$F$9),0)</f>
        <v>0</v>
      </c>
      <c r="N3302" s="10">
        <f>IF(Tank3!$C$23="No control",(SUMIF(Tank3!$B$32:$B$49,$J3302,Tank3!$C$32:$C$49)*Impacts!$F$10),0)</f>
        <v>0</v>
      </c>
      <c r="O3302" s="10">
        <f>IF(Tank4!$C$23="No control",(SUMIF(Tank4!$B$32:$B$49,$J3302,Tank4!$C$32:$C$49)*Impacts!$F$11),0)</f>
        <v>0</v>
      </c>
      <c r="P3302" s="10">
        <f>IF(Tank5!$C$23="No control",(SUMIF(Tank5!$B$32:$B$49,$J3302,Tank5!$C$32:$C$49)*Impacts!$F$12),0)</f>
        <v>0</v>
      </c>
      <c r="Q3302" s="10">
        <f>IFERROR(IF(('Loading-drum,tote'!$C$21)="No control",SUMIF(('Loading-drum,tote'!$B$31:$B$48),$J3302,('Loading-drum,tote'!$D$31:$D$48))*Impacts!$F$13,IF(('Loading-drum,tote'!$C$21)&lt;&gt;"No control",SUMIF(('Loading-drum,tote'!$B$31:$B$48),$J3302,('Loading-drum,tote'!$E$31:$E$48))*Impacts!$F$13,0)),0)</f>
        <v>0</v>
      </c>
      <c r="R3302" s="10">
        <f>IFERROR(IF(('Loading-truck'!$C$21)="No control",SUMIF(('Loading-truck'!$B$31:$B$48),$J3302,('Loading-truck'!$D$31:$D$48))*Impacts!$F$14,IF(('Loading-truck'!$C$21)&lt;&gt;"No control",SUMIF(('Loading-truck'!$B$31:$B$48),$J3302,('Loading-truck'!$E$31:$E$48))*Impacts!$F$14,0)),0)</f>
        <v>0</v>
      </c>
      <c r="S3302" s="10">
        <f>IFERROR(IF(('Loading-rail'!$C$21)="No control",SUMIF(('Loading-rail'!$B$31:$B$48),$J3302,('Loading-rail'!$D$31:$D$48))*Impacts!$F$15,IF(('Loading-rail'!$C$21)&lt;&gt;"No control",SUMIF(('Loading-rail'!$B$31:$B$48),$J3302,('Loading-rail'!$E$31:$E$48))*Impacts!$F$15,0)),0)</f>
        <v>0</v>
      </c>
      <c r="T3302" s="10">
        <f>IF(Flare!$C$7="",0,(SUMIF(Flare!$B$46:$B$185,$J3302,Flare!$E$46:$E$185)*Impacts!$F$16))</f>
        <v>0</v>
      </c>
      <c r="U3302" s="10">
        <f>IF(VCU!$C$9="",0,(SUMIF(VCU!$B$51:$B$193,$J3302,VCU!$E$51:$E$193)*Impacts!$F$17))</f>
        <v>0</v>
      </c>
      <c r="V3302" s="10">
        <f>IF(CAS!$C$7="",0,(SUMIF(CAS!$B$31:$B$167,$J3302,CAS!$E$31:$E$167)*Impacts!$F$18))</f>
        <v>0</v>
      </c>
      <c r="W3302" s="10">
        <f t="shared" si="92"/>
        <v>0</v>
      </c>
      <c r="AK3302" s="10" t="str">
        <f t="array" ref="AK3302">IFERROR(INDEX(SelectedSpecies,SMALL(IF(SelectedSpecies=AK$1,ROW(SelectedSpecies)),ROW(3303:3303)),2),"")</f>
        <v/>
      </c>
      <c r="BE3302" s="10"/>
      <c r="BI3302" s="10"/>
    </row>
    <row r="3303" spans="1:61" ht="21" customHeight="1" x14ac:dyDescent="0.25">
      <c r="A3303" s="10"/>
      <c r="B3303" s="10"/>
      <c r="E3303" s="10"/>
      <c r="G3303" s="10"/>
      <c r="I3303" s="436" t="s">
        <v>7296</v>
      </c>
      <c r="J3303" s="26" t="s">
        <v>7295</v>
      </c>
      <c r="K3303" s="10">
        <v>0.30000000000000004</v>
      </c>
      <c r="L3303" s="73">
        <f>IF(Tank1!$C$23="No control",(SUMIF(Tank1!$B$32:$B$49,$J3303,Tank1!$C$32:$C$49)*Impacts!$F$8),0)</f>
        <v>0</v>
      </c>
      <c r="M3303" s="10">
        <f>IF(Tank2!$C$23="No control",(SUMIF(Tank2!$B$32:$B$49,$J3303,Tank2!$C$32:$C$49)*Impacts!$F$9),0)</f>
        <v>0</v>
      </c>
      <c r="N3303" s="10">
        <f>IF(Tank3!$C$23="No control",(SUMIF(Tank3!$B$32:$B$49,$J3303,Tank3!$C$32:$C$49)*Impacts!$F$10),0)</f>
        <v>0</v>
      </c>
      <c r="O3303" s="10">
        <f>IF(Tank4!$C$23="No control",(SUMIF(Tank4!$B$32:$B$49,$J3303,Tank4!$C$32:$C$49)*Impacts!$F$11),0)</f>
        <v>0</v>
      </c>
      <c r="P3303" s="10">
        <f>IF(Tank5!$C$23="No control",(SUMIF(Tank5!$B$32:$B$49,$J3303,Tank5!$C$32:$C$49)*Impacts!$F$12),0)</f>
        <v>0</v>
      </c>
      <c r="Q3303" s="10">
        <f>IFERROR(IF(('Loading-drum,tote'!$C$21)="No control",SUMIF(('Loading-drum,tote'!$B$31:$B$48),$J3303,('Loading-drum,tote'!$D$31:$D$48))*Impacts!$F$13,IF(('Loading-drum,tote'!$C$21)&lt;&gt;"No control",SUMIF(('Loading-drum,tote'!$B$31:$B$48),$J3303,('Loading-drum,tote'!$E$31:$E$48))*Impacts!$F$13,0)),0)</f>
        <v>0</v>
      </c>
      <c r="R3303" s="10">
        <f>IFERROR(IF(('Loading-truck'!$C$21)="No control",SUMIF(('Loading-truck'!$B$31:$B$48),$J3303,('Loading-truck'!$D$31:$D$48))*Impacts!$F$14,IF(('Loading-truck'!$C$21)&lt;&gt;"No control",SUMIF(('Loading-truck'!$B$31:$B$48),$J3303,('Loading-truck'!$E$31:$E$48))*Impacts!$F$14,0)),0)</f>
        <v>0</v>
      </c>
      <c r="S3303" s="10">
        <f>IFERROR(IF(('Loading-rail'!$C$21)="No control",SUMIF(('Loading-rail'!$B$31:$B$48),$J3303,('Loading-rail'!$D$31:$D$48))*Impacts!$F$15,IF(('Loading-rail'!$C$21)&lt;&gt;"No control",SUMIF(('Loading-rail'!$B$31:$B$48),$J3303,('Loading-rail'!$E$31:$E$48))*Impacts!$F$15,0)),0)</f>
        <v>0</v>
      </c>
      <c r="T3303" s="10">
        <f>IF(Flare!$C$7="",0,(SUMIF(Flare!$B$46:$B$185,$J3303,Flare!$E$46:$E$185)*Impacts!$F$16))</f>
        <v>0</v>
      </c>
      <c r="U3303" s="10">
        <f>IF(VCU!$C$9="",0,(SUMIF(VCU!$B$51:$B$193,$J3303,VCU!$E$51:$E$193)*Impacts!$F$17))</f>
        <v>0</v>
      </c>
      <c r="V3303" s="10">
        <f>IF(CAS!$C$7="",0,(SUMIF(CAS!$B$31:$B$167,$J3303,CAS!$E$31:$E$167)*Impacts!$F$18))</f>
        <v>0</v>
      </c>
      <c r="W3303" s="10">
        <f t="shared" si="92"/>
        <v>0</v>
      </c>
      <c r="AK3303" s="10" t="str">
        <f t="array" ref="AK3303">IFERROR(INDEX(SelectedSpecies,SMALL(IF(SelectedSpecies=AK$1,ROW(SelectedSpecies)),ROW(3304:3304)),2),"")</f>
        <v/>
      </c>
      <c r="BE3303" s="10"/>
      <c r="BI3303" s="10"/>
    </row>
    <row r="3304" spans="1:61" ht="21" customHeight="1" x14ac:dyDescent="0.25">
      <c r="A3304" s="10"/>
      <c r="B3304" s="10"/>
      <c r="E3304" s="10"/>
      <c r="G3304" s="10"/>
      <c r="I3304" s="436" t="s">
        <v>8204</v>
      </c>
      <c r="J3304" s="26" t="s">
        <v>8203</v>
      </c>
      <c r="K3304" s="10">
        <v>1.0000000000000002E-2</v>
      </c>
      <c r="L3304" s="73">
        <f>IF(Tank1!$C$23="No control",(SUMIF(Tank1!$B$32:$B$49,$J3304,Tank1!$C$32:$C$49)*Impacts!$F$8),0)</f>
        <v>0</v>
      </c>
      <c r="M3304" s="10">
        <f>IF(Tank2!$C$23="No control",(SUMIF(Tank2!$B$32:$B$49,$J3304,Tank2!$C$32:$C$49)*Impacts!$F$9),0)</f>
        <v>0</v>
      </c>
      <c r="N3304" s="10">
        <f>IF(Tank3!$C$23="No control",(SUMIF(Tank3!$B$32:$B$49,$J3304,Tank3!$C$32:$C$49)*Impacts!$F$10),0)</f>
        <v>0</v>
      </c>
      <c r="O3304" s="10">
        <f>IF(Tank4!$C$23="No control",(SUMIF(Tank4!$B$32:$B$49,$J3304,Tank4!$C$32:$C$49)*Impacts!$F$11),0)</f>
        <v>0</v>
      </c>
      <c r="P3304" s="10">
        <f>IF(Tank5!$C$23="No control",(SUMIF(Tank5!$B$32:$B$49,$J3304,Tank5!$C$32:$C$49)*Impacts!$F$12),0)</f>
        <v>0</v>
      </c>
      <c r="Q3304" s="10">
        <f>IFERROR(IF(('Loading-drum,tote'!$C$21)="No control",SUMIF(('Loading-drum,tote'!$B$31:$B$48),$J3304,('Loading-drum,tote'!$D$31:$D$48))*Impacts!$F$13,IF(('Loading-drum,tote'!$C$21)&lt;&gt;"No control",SUMIF(('Loading-drum,tote'!$B$31:$B$48),$J3304,('Loading-drum,tote'!$E$31:$E$48))*Impacts!$F$13,0)),0)</f>
        <v>0</v>
      </c>
      <c r="R3304" s="10">
        <f>IFERROR(IF(('Loading-truck'!$C$21)="No control",SUMIF(('Loading-truck'!$B$31:$B$48),$J3304,('Loading-truck'!$D$31:$D$48))*Impacts!$F$14,IF(('Loading-truck'!$C$21)&lt;&gt;"No control",SUMIF(('Loading-truck'!$B$31:$B$48),$J3304,('Loading-truck'!$E$31:$E$48))*Impacts!$F$14,0)),0)</f>
        <v>0</v>
      </c>
      <c r="S3304" s="10">
        <f>IFERROR(IF(('Loading-rail'!$C$21)="No control",SUMIF(('Loading-rail'!$B$31:$B$48),$J3304,('Loading-rail'!$D$31:$D$48))*Impacts!$F$15,IF(('Loading-rail'!$C$21)&lt;&gt;"No control",SUMIF(('Loading-rail'!$B$31:$B$48),$J3304,('Loading-rail'!$E$31:$E$48))*Impacts!$F$15,0)),0)</f>
        <v>0</v>
      </c>
      <c r="T3304" s="10">
        <f>IF(Flare!$C$7="",0,(SUMIF(Flare!$B$46:$B$185,$J3304,Flare!$E$46:$E$185)*Impacts!$F$16))</f>
        <v>0</v>
      </c>
      <c r="U3304" s="10">
        <f>IF(VCU!$C$9="",0,(SUMIF(VCU!$B$51:$B$193,$J3304,VCU!$E$51:$E$193)*Impacts!$F$17))</f>
        <v>0</v>
      </c>
      <c r="V3304" s="10">
        <f>IF(CAS!$C$7="",0,(SUMIF(CAS!$B$31:$B$167,$J3304,CAS!$E$31:$E$167)*Impacts!$F$18))</f>
        <v>0</v>
      </c>
      <c r="W3304" s="10">
        <f t="shared" si="92"/>
        <v>0</v>
      </c>
      <c r="AK3304" s="10" t="str">
        <f t="array" ref="AK3304">IFERROR(INDEX(SelectedSpecies,SMALL(IF(SelectedSpecies=AK$1,ROW(SelectedSpecies)),ROW(3305:3305)),2),"")</f>
        <v/>
      </c>
      <c r="BE3304" s="10"/>
      <c r="BI3304" s="10"/>
    </row>
    <row r="3305" spans="1:61" ht="21" customHeight="1" x14ac:dyDescent="0.25">
      <c r="A3305" s="10"/>
      <c r="B3305" s="10"/>
      <c r="E3305" s="10"/>
      <c r="G3305" s="10"/>
      <c r="I3305" s="436" t="s">
        <v>6144</v>
      </c>
      <c r="J3305" s="26" t="s">
        <v>6143</v>
      </c>
      <c r="K3305" s="10">
        <v>1</v>
      </c>
      <c r="L3305" s="73">
        <f>IF(Tank1!$C$23="No control",(SUMIF(Tank1!$B$32:$B$49,$J3305,Tank1!$C$32:$C$49)*Impacts!$F$8),0)</f>
        <v>0</v>
      </c>
      <c r="M3305" s="10">
        <f>IF(Tank2!$C$23="No control",(SUMIF(Tank2!$B$32:$B$49,$J3305,Tank2!$C$32:$C$49)*Impacts!$F$9),0)</f>
        <v>0</v>
      </c>
      <c r="N3305" s="10">
        <f>IF(Tank3!$C$23="No control",(SUMIF(Tank3!$B$32:$B$49,$J3305,Tank3!$C$32:$C$49)*Impacts!$F$10),0)</f>
        <v>0</v>
      </c>
      <c r="O3305" s="10">
        <f>IF(Tank4!$C$23="No control",(SUMIF(Tank4!$B$32:$B$49,$J3305,Tank4!$C$32:$C$49)*Impacts!$F$11),0)</f>
        <v>0</v>
      </c>
      <c r="P3305" s="10">
        <f>IF(Tank5!$C$23="No control",(SUMIF(Tank5!$B$32:$B$49,$J3305,Tank5!$C$32:$C$49)*Impacts!$F$12),0)</f>
        <v>0</v>
      </c>
      <c r="Q3305" s="10">
        <f>IFERROR(IF(('Loading-drum,tote'!$C$21)="No control",SUMIF(('Loading-drum,tote'!$B$31:$B$48),$J3305,('Loading-drum,tote'!$D$31:$D$48))*Impacts!$F$13,IF(('Loading-drum,tote'!$C$21)&lt;&gt;"No control",SUMIF(('Loading-drum,tote'!$B$31:$B$48),$J3305,('Loading-drum,tote'!$E$31:$E$48))*Impacts!$F$13,0)),0)</f>
        <v>0</v>
      </c>
      <c r="R3305" s="10">
        <f>IFERROR(IF(('Loading-truck'!$C$21)="No control",SUMIF(('Loading-truck'!$B$31:$B$48),$J3305,('Loading-truck'!$D$31:$D$48))*Impacts!$F$14,IF(('Loading-truck'!$C$21)&lt;&gt;"No control",SUMIF(('Loading-truck'!$B$31:$B$48),$J3305,('Loading-truck'!$E$31:$E$48))*Impacts!$F$14,0)),0)</f>
        <v>0</v>
      </c>
      <c r="S3305" s="10">
        <f>IFERROR(IF(('Loading-rail'!$C$21)="No control",SUMIF(('Loading-rail'!$B$31:$B$48),$J3305,('Loading-rail'!$D$31:$D$48))*Impacts!$F$15,IF(('Loading-rail'!$C$21)&lt;&gt;"No control",SUMIF(('Loading-rail'!$B$31:$B$48),$J3305,('Loading-rail'!$E$31:$E$48))*Impacts!$F$15,0)),0)</f>
        <v>0</v>
      </c>
      <c r="T3305" s="10">
        <f>IF(Flare!$C$7="",0,(SUMIF(Flare!$B$46:$B$185,$J3305,Flare!$E$46:$E$185)*Impacts!$F$16))</f>
        <v>0</v>
      </c>
      <c r="U3305" s="10">
        <f>IF(VCU!$C$9="",0,(SUMIF(VCU!$B$51:$B$193,$J3305,VCU!$E$51:$E$193)*Impacts!$F$17))</f>
        <v>0</v>
      </c>
      <c r="V3305" s="10">
        <f>IF(CAS!$C$7="",0,(SUMIF(CAS!$B$31:$B$167,$J3305,CAS!$E$31:$E$167)*Impacts!$F$18))</f>
        <v>0</v>
      </c>
      <c r="W3305" s="10">
        <f t="shared" si="92"/>
        <v>0</v>
      </c>
      <c r="AK3305" s="10" t="str">
        <f t="array" ref="AK3305">IFERROR(INDEX(SelectedSpecies,SMALL(IF(SelectedSpecies=AK$1,ROW(SelectedSpecies)),ROW(3306:3306)),2),"")</f>
        <v/>
      </c>
      <c r="BE3305" s="10"/>
      <c r="BI3305" s="10"/>
    </row>
    <row r="3306" spans="1:61" ht="21" customHeight="1" x14ac:dyDescent="0.25">
      <c r="A3306" s="10"/>
      <c r="B3306" s="10"/>
      <c r="E3306" s="10"/>
      <c r="G3306" s="10"/>
      <c r="I3306" s="436" t="s">
        <v>6928</v>
      </c>
      <c r="J3306" s="26" t="s">
        <v>6927</v>
      </c>
      <c r="K3306" s="10">
        <v>0.5</v>
      </c>
      <c r="L3306" s="73">
        <f>IF(Tank1!$C$23="No control",(SUMIF(Tank1!$B$32:$B$49,$J3306,Tank1!$C$32:$C$49)*Impacts!$F$8),0)</f>
        <v>0</v>
      </c>
      <c r="M3306" s="10">
        <f>IF(Tank2!$C$23="No control",(SUMIF(Tank2!$B$32:$B$49,$J3306,Tank2!$C$32:$C$49)*Impacts!$F$9),0)</f>
        <v>0</v>
      </c>
      <c r="N3306" s="10">
        <f>IF(Tank3!$C$23="No control",(SUMIF(Tank3!$B$32:$B$49,$J3306,Tank3!$C$32:$C$49)*Impacts!$F$10),0)</f>
        <v>0</v>
      </c>
      <c r="O3306" s="10">
        <f>IF(Tank4!$C$23="No control",(SUMIF(Tank4!$B$32:$B$49,$J3306,Tank4!$C$32:$C$49)*Impacts!$F$11),0)</f>
        <v>0</v>
      </c>
      <c r="P3306" s="10">
        <f>IF(Tank5!$C$23="No control",(SUMIF(Tank5!$B$32:$B$49,$J3306,Tank5!$C$32:$C$49)*Impacts!$F$12),0)</f>
        <v>0</v>
      </c>
      <c r="Q3306" s="10">
        <f>IFERROR(IF(('Loading-drum,tote'!$C$21)="No control",SUMIF(('Loading-drum,tote'!$B$31:$B$48),$J3306,('Loading-drum,tote'!$D$31:$D$48))*Impacts!$F$13,IF(('Loading-drum,tote'!$C$21)&lt;&gt;"No control",SUMIF(('Loading-drum,tote'!$B$31:$B$48),$J3306,('Loading-drum,tote'!$E$31:$E$48))*Impacts!$F$13,0)),0)</f>
        <v>0</v>
      </c>
      <c r="R3306" s="10">
        <f>IFERROR(IF(('Loading-truck'!$C$21)="No control",SUMIF(('Loading-truck'!$B$31:$B$48),$J3306,('Loading-truck'!$D$31:$D$48))*Impacts!$F$14,IF(('Loading-truck'!$C$21)&lt;&gt;"No control",SUMIF(('Loading-truck'!$B$31:$B$48),$J3306,('Loading-truck'!$E$31:$E$48))*Impacts!$F$14,0)),0)</f>
        <v>0</v>
      </c>
      <c r="S3306" s="10">
        <f>IFERROR(IF(('Loading-rail'!$C$21)="No control",SUMIF(('Loading-rail'!$B$31:$B$48),$J3306,('Loading-rail'!$D$31:$D$48))*Impacts!$F$15,IF(('Loading-rail'!$C$21)&lt;&gt;"No control",SUMIF(('Loading-rail'!$B$31:$B$48),$J3306,('Loading-rail'!$E$31:$E$48))*Impacts!$F$15,0)),0)</f>
        <v>0</v>
      </c>
      <c r="T3306" s="10">
        <f>IF(Flare!$C$7="",0,(SUMIF(Flare!$B$46:$B$185,$J3306,Flare!$E$46:$E$185)*Impacts!$F$16))</f>
        <v>0</v>
      </c>
      <c r="U3306" s="10">
        <f>IF(VCU!$C$9="",0,(SUMIF(VCU!$B$51:$B$193,$J3306,VCU!$E$51:$E$193)*Impacts!$F$17))</f>
        <v>0</v>
      </c>
      <c r="V3306" s="10">
        <f>IF(CAS!$C$7="",0,(SUMIF(CAS!$B$31:$B$167,$J3306,CAS!$E$31:$E$167)*Impacts!$F$18))</f>
        <v>0</v>
      </c>
      <c r="W3306" s="10">
        <f t="shared" si="92"/>
        <v>0</v>
      </c>
      <c r="AK3306" s="10" t="str">
        <f t="array" ref="AK3306">IFERROR(INDEX(SelectedSpecies,SMALL(IF(SelectedSpecies=AK$1,ROW(SelectedSpecies)),ROW(3307:3307)),2),"")</f>
        <v/>
      </c>
      <c r="BE3306" s="10"/>
      <c r="BI3306" s="10"/>
    </row>
    <row r="3307" spans="1:61" ht="21" customHeight="1" x14ac:dyDescent="0.25">
      <c r="A3307" s="10"/>
      <c r="B3307" s="10"/>
      <c r="E3307" s="10"/>
      <c r="G3307" s="10"/>
      <c r="I3307" s="436" t="s">
        <v>1644</v>
      </c>
      <c r="J3307" s="26" t="s">
        <v>1643</v>
      </c>
      <c r="K3307" s="10">
        <v>24.6</v>
      </c>
      <c r="L3307" s="73">
        <f>IF(Tank1!$C$23="No control",(SUMIF(Tank1!$B$32:$B$49,$J3307,Tank1!$C$32:$C$49)*Impacts!$F$8),0)</f>
        <v>0</v>
      </c>
      <c r="M3307" s="10">
        <f>IF(Tank2!$C$23="No control",(SUMIF(Tank2!$B$32:$B$49,$J3307,Tank2!$C$32:$C$49)*Impacts!$F$9),0)</f>
        <v>0</v>
      </c>
      <c r="N3307" s="10">
        <f>IF(Tank3!$C$23="No control",(SUMIF(Tank3!$B$32:$B$49,$J3307,Tank3!$C$32:$C$49)*Impacts!$F$10),0)</f>
        <v>0</v>
      </c>
      <c r="O3307" s="10">
        <f>IF(Tank4!$C$23="No control",(SUMIF(Tank4!$B$32:$B$49,$J3307,Tank4!$C$32:$C$49)*Impacts!$F$11),0)</f>
        <v>0</v>
      </c>
      <c r="P3307" s="10">
        <f>IF(Tank5!$C$23="No control",(SUMIF(Tank5!$B$32:$B$49,$J3307,Tank5!$C$32:$C$49)*Impacts!$F$12),0)</f>
        <v>0</v>
      </c>
      <c r="Q3307" s="10">
        <f>IFERROR(IF(('Loading-drum,tote'!$C$21)="No control",SUMIF(('Loading-drum,tote'!$B$31:$B$48),$J3307,('Loading-drum,tote'!$D$31:$D$48))*Impacts!$F$13,IF(('Loading-drum,tote'!$C$21)&lt;&gt;"No control",SUMIF(('Loading-drum,tote'!$B$31:$B$48),$J3307,('Loading-drum,tote'!$E$31:$E$48))*Impacts!$F$13,0)),0)</f>
        <v>0</v>
      </c>
      <c r="R3307" s="10">
        <f>IFERROR(IF(('Loading-truck'!$C$21)="No control",SUMIF(('Loading-truck'!$B$31:$B$48),$J3307,('Loading-truck'!$D$31:$D$48))*Impacts!$F$14,IF(('Loading-truck'!$C$21)&lt;&gt;"No control",SUMIF(('Loading-truck'!$B$31:$B$48),$J3307,('Loading-truck'!$E$31:$E$48))*Impacts!$F$14,0)),0)</f>
        <v>0</v>
      </c>
      <c r="S3307" s="10">
        <f>IFERROR(IF(('Loading-rail'!$C$21)="No control",SUMIF(('Loading-rail'!$B$31:$B$48),$J3307,('Loading-rail'!$D$31:$D$48))*Impacts!$F$15,IF(('Loading-rail'!$C$21)&lt;&gt;"No control",SUMIF(('Loading-rail'!$B$31:$B$48),$J3307,('Loading-rail'!$E$31:$E$48))*Impacts!$F$15,0)),0)</f>
        <v>0</v>
      </c>
      <c r="T3307" s="10">
        <f>IF(Flare!$C$7="",0,(SUMIF(Flare!$B$46:$B$185,$J3307,Flare!$E$46:$E$185)*Impacts!$F$16))</f>
        <v>0</v>
      </c>
      <c r="U3307" s="10">
        <f>IF(VCU!$C$9="",0,(SUMIF(VCU!$B$51:$B$193,$J3307,VCU!$E$51:$E$193)*Impacts!$F$17))</f>
        <v>0</v>
      </c>
      <c r="V3307" s="10">
        <f>IF(CAS!$C$7="",0,(SUMIF(CAS!$B$31:$B$167,$J3307,CAS!$E$31:$E$167)*Impacts!$F$18))</f>
        <v>0</v>
      </c>
      <c r="W3307" s="10">
        <f t="shared" si="92"/>
        <v>0</v>
      </c>
      <c r="AK3307" s="10" t="str">
        <f t="array" ref="AK3307">IFERROR(INDEX(SelectedSpecies,SMALL(IF(SelectedSpecies=AK$1,ROW(SelectedSpecies)),ROW(3308:3308)),2),"")</f>
        <v/>
      </c>
      <c r="BE3307" s="10"/>
      <c r="BI3307" s="10"/>
    </row>
    <row r="3308" spans="1:61" ht="21" customHeight="1" x14ac:dyDescent="0.25">
      <c r="A3308" s="10"/>
      <c r="B3308" s="10"/>
      <c r="E3308" s="10"/>
      <c r="G3308" s="10"/>
      <c r="I3308" s="436" t="s">
        <v>3757</v>
      </c>
      <c r="J3308" s="26" t="s">
        <v>3756</v>
      </c>
      <c r="K3308" s="10">
        <v>6.1000000000000005</v>
      </c>
      <c r="L3308" s="73">
        <f>IF(Tank1!$C$23="No control",(SUMIF(Tank1!$B$32:$B$49,$J3308,Tank1!$C$32:$C$49)*Impacts!$F$8),0)</f>
        <v>0</v>
      </c>
      <c r="M3308" s="10">
        <f>IF(Tank2!$C$23="No control",(SUMIF(Tank2!$B$32:$B$49,$J3308,Tank2!$C$32:$C$49)*Impacts!$F$9),0)</f>
        <v>0</v>
      </c>
      <c r="N3308" s="10">
        <f>IF(Tank3!$C$23="No control",(SUMIF(Tank3!$B$32:$B$49,$J3308,Tank3!$C$32:$C$49)*Impacts!$F$10),0)</f>
        <v>0</v>
      </c>
      <c r="O3308" s="10">
        <f>IF(Tank4!$C$23="No control",(SUMIF(Tank4!$B$32:$B$49,$J3308,Tank4!$C$32:$C$49)*Impacts!$F$11),0)</f>
        <v>0</v>
      </c>
      <c r="P3308" s="10">
        <f>IF(Tank5!$C$23="No control",(SUMIF(Tank5!$B$32:$B$49,$J3308,Tank5!$C$32:$C$49)*Impacts!$F$12),0)</f>
        <v>0</v>
      </c>
      <c r="Q3308" s="10">
        <f>IFERROR(IF(('Loading-drum,tote'!$C$21)="No control",SUMIF(('Loading-drum,tote'!$B$31:$B$48),$J3308,('Loading-drum,tote'!$D$31:$D$48))*Impacts!$F$13,IF(('Loading-drum,tote'!$C$21)&lt;&gt;"No control",SUMIF(('Loading-drum,tote'!$B$31:$B$48),$J3308,('Loading-drum,tote'!$E$31:$E$48))*Impacts!$F$13,0)),0)</f>
        <v>0</v>
      </c>
      <c r="R3308" s="10">
        <f>IFERROR(IF(('Loading-truck'!$C$21)="No control",SUMIF(('Loading-truck'!$B$31:$B$48),$J3308,('Loading-truck'!$D$31:$D$48))*Impacts!$F$14,IF(('Loading-truck'!$C$21)&lt;&gt;"No control",SUMIF(('Loading-truck'!$B$31:$B$48),$J3308,('Loading-truck'!$E$31:$E$48))*Impacts!$F$14,0)),0)</f>
        <v>0</v>
      </c>
      <c r="S3308" s="10">
        <f>IFERROR(IF(('Loading-rail'!$C$21)="No control",SUMIF(('Loading-rail'!$B$31:$B$48),$J3308,('Loading-rail'!$D$31:$D$48))*Impacts!$F$15,IF(('Loading-rail'!$C$21)&lt;&gt;"No control",SUMIF(('Loading-rail'!$B$31:$B$48),$J3308,('Loading-rail'!$E$31:$E$48))*Impacts!$F$15,0)),0)</f>
        <v>0</v>
      </c>
      <c r="T3308" s="10">
        <f>IF(Flare!$C$7="",0,(SUMIF(Flare!$B$46:$B$185,$J3308,Flare!$E$46:$E$185)*Impacts!$F$16))</f>
        <v>0</v>
      </c>
      <c r="U3308" s="10">
        <f>IF(VCU!$C$9="",0,(SUMIF(VCU!$B$51:$B$193,$J3308,VCU!$E$51:$E$193)*Impacts!$F$17))</f>
        <v>0</v>
      </c>
      <c r="V3308" s="10">
        <f>IF(CAS!$C$7="",0,(SUMIF(CAS!$B$31:$B$167,$J3308,CAS!$E$31:$E$167)*Impacts!$F$18))</f>
        <v>0</v>
      </c>
      <c r="W3308" s="10">
        <f t="shared" si="92"/>
        <v>0</v>
      </c>
      <c r="AK3308" s="10" t="str">
        <f t="array" ref="AK3308">IFERROR(INDEX(SelectedSpecies,SMALL(IF(SelectedSpecies=AK$1,ROW(SelectedSpecies)),ROW(3309:3309)),2),"")</f>
        <v/>
      </c>
      <c r="BE3308" s="10"/>
      <c r="BI3308" s="10"/>
    </row>
    <row r="3309" spans="1:61" ht="21" customHeight="1" x14ac:dyDescent="0.25">
      <c r="A3309" s="10"/>
      <c r="B3309" s="10"/>
      <c r="E3309" s="10"/>
      <c r="G3309" s="10"/>
      <c r="I3309" s="436" t="s">
        <v>4607</v>
      </c>
      <c r="J3309" s="26" t="s">
        <v>4606</v>
      </c>
      <c r="K3309" s="10">
        <v>4</v>
      </c>
      <c r="L3309" s="73">
        <f>IF(Tank1!$C$23="No control",(SUMIF(Tank1!$B$32:$B$49,$J3309,Tank1!$C$32:$C$49)*Impacts!$F$8),0)</f>
        <v>0</v>
      </c>
      <c r="M3309" s="10">
        <f>IF(Tank2!$C$23="No control",(SUMIF(Tank2!$B$32:$B$49,$J3309,Tank2!$C$32:$C$49)*Impacts!$F$9),0)</f>
        <v>0</v>
      </c>
      <c r="N3309" s="10">
        <f>IF(Tank3!$C$23="No control",(SUMIF(Tank3!$B$32:$B$49,$J3309,Tank3!$C$32:$C$49)*Impacts!$F$10),0)</f>
        <v>0</v>
      </c>
      <c r="O3309" s="10">
        <f>IF(Tank4!$C$23="No control",(SUMIF(Tank4!$B$32:$B$49,$J3309,Tank4!$C$32:$C$49)*Impacts!$F$11),0)</f>
        <v>0</v>
      </c>
      <c r="P3309" s="10">
        <f>IF(Tank5!$C$23="No control",(SUMIF(Tank5!$B$32:$B$49,$J3309,Tank5!$C$32:$C$49)*Impacts!$F$12),0)</f>
        <v>0</v>
      </c>
      <c r="Q3309" s="10">
        <f>IFERROR(IF(('Loading-drum,tote'!$C$21)="No control",SUMIF(('Loading-drum,tote'!$B$31:$B$48),$J3309,('Loading-drum,tote'!$D$31:$D$48))*Impacts!$F$13,IF(('Loading-drum,tote'!$C$21)&lt;&gt;"No control",SUMIF(('Loading-drum,tote'!$B$31:$B$48),$J3309,('Loading-drum,tote'!$E$31:$E$48))*Impacts!$F$13,0)),0)</f>
        <v>0</v>
      </c>
      <c r="R3309" s="10">
        <f>IFERROR(IF(('Loading-truck'!$C$21)="No control",SUMIF(('Loading-truck'!$B$31:$B$48),$J3309,('Loading-truck'!$D$31:$D$48))*Impacts!$F$14,IF(('Loading-truck'!$C$21)&lt;&gt;"No control",SUMIF(('Loading-truck'!$B$31:$B$48),$J3309,('Loading-truck'!$E$31:$E$48))*Impacts!$F$14,0)),0)</f>
        <v>0</v>
      </c>
      <c r="S3309" s="10">
        <f>IFERROR(IF(('Loading-rail'!$C$21)="No control",SUMIF(('Loading-rail'!$B$31:$B$48),$J3309,('Loading-rail'!$D$31:$D$48))*Impacts!$F$15,IF(('Loading-rail'!$C$21)&lt;&gt;"No control",SUMIF(('Loading-rail'!$B$31:$B$48),$J3309,('Loading-rail'!$E$31:$E$48))*Impacts!$F$15,0)),0)</f>
        <v>0</v>
      </c>
      <c r="T3309" s="10">
        <f>IF(Flare!$C$7="",0,(SUMIF(Flare!$B$46:$B$185,$J3309,Flare!$E$46:$E$185)*Impacts!$F$16))</f>
        <v>0</v>
      </c>
      <c r="U3309" s="10">
        <f>IF(VCU!$C$9="",0,(SUMIF(VCU!$B$51:$B$193,$J3309,VCU!$E$51:$E$193)*Impacts!$F$17))</f>
        <v>0</v>
      </c>
      <c r="V3309" s="10">
        <f>IF(CAS!$C$7="",0,(SUMIF(CAS!$B$31:$B$167,$J3309,CAS!$E$31:$E$167)*Impacts!$F$18))</f>
        <v>0</v>
      </c>
      <c r="W3309" s="10">
        <f t="shared" si="92"/>
        <v>0</v>
      </c>
      <c r="AK3309" s="10" t="str">
        <f t="array" ref="AK3309">IFERROR(INDEX(SelectedSpecies,SMALL(IF(SelectedSpecies=AK$1,ROW(SelectedSpecies)),ROW(3310:3310)),2),"")</f>
        <v/>
      </c>
      <c r="BE3309" s="10"/>
      <c r="BI3309" s="10"/>
    </row>
    <row r="3310" spans="1:61" ht="21" customHeight="1" x14ac:dyDescent="0.25">
      <c r="A3310" s="10"/>
      <c r="B3310" s="10"/>
      <c r="E3310" s="10"/>
      <c r="G3310" s="10"/>
      <c r="I3310" s="436" t="s">
        <v>3759</v>
      </c>
      <c r="J3310" s="26" t="s">
        <v>3758</v>
      </c>
      <c r="K3310" s="10">
        <v>6.1000000000000005</v>
      </c>
      <c r="L3310" s="73">
        <f>IF(Tank1!$C$23="No control",(SUMIF(Tank1!$B$32:$B$49,$J3310,Tank1!$C$32:$C$49)*Impacts!$F$8),0)</f>
        <v>0</v>
      </c>
      <c r="M3310" s="10">
        <f>IF(Tank2!$C$23="No control",(SUMIF(Tank2!$B$32:$B$49,$J3310,Tank2!$C$32:$C$49)*Impacts!$F$9),0)</f>
        <v>0</v>
      </c>
      <c r="N3310" s="10">
        <f>IF(Tank3!$C$23="No control",(SUMIF(Tank3!$B$32:$B$49,$J3310,Tank3!$C$32:$C$49)*Impacts!$F$10),0)</f>
        <v>0</v>
      </c>
      <c r="O3310" s="10">
        <f>IF(Tank4!$C$23="No control",(SUMIF(Tank4!$B$32:$B$49,$J3310,Tank4!$C$32:$C$49)*Impacts!$F$11),0)</f>
        <v>0</v>
      </c>
      <c r="P3310" s="10">
        <f>IF(Tank5!$C$23="No control",(SUMIF(Tank5!$B$32:$B$49,$J3310,Tank5!$C$32:$C$49)*Impacts!$F$12),0)</f>
        <v>0</v>
      </c>
      <c r="Q3310" s="10">
        <f>IFERROR(IF(('Loading-drum,tote'!$C$21)="No control",SUMIF(('Loading-drum,tote'!$B$31:$B$48),$J3310,('Loading-drum,tote'!$D$31:$D$48))*Impacts!$F$13,IF(('Loading-drum,tote'!$C$21)&lt;&gt;"No control",SUMIF(('Loading-drum,tote'!$B$31:$B$48),$J3310,('Loading-drum,tote'!$E$31:$E$48))*Impacts!$F$13,0)),0)</f>
        <v>0</v>
      </c>
      <c r="R3310" s="10">
        <f>IFERROR(IF(('Loading-truck'!$C$21)="No control",SUMIF(('Loading-truck'!$B$31:$B$48),$J3310,('Loading-truck'!$D$31:$D$48))*Impacts!$F$14,IF(('Loading-truck'!$C$21)&lt;&gt;"No control",SUMIF(('Loading-truck'!$B$31:$B$48),$J3310,('Loading-truck'!$E$31:$E$48))*Impacts!$F$14,0)),0)</f>
        <v>0</v>
      </c>
      <c r="S3310" s="10">
        <f>IFERROR(IF(('Loading-rail'!$C$21)="No control",SUMIF(('Loading-rail'!$B$31:$B$48),$J3310,('Loading-rail'!$D$31:$D$48))*Impacts!$F$15,IF(('Loading-rail'!$C$21)&lt;&gt;"No control",SUMIF(('Loading-rail'!$B$31:$B$48),$J3310,('Loading-rail'!$E$31:$E$48))*Impacts!$F$15,0)),0)</f>
        <v>0</v>
      </c>
      <c r="T3310" s="10">
        <f>IF(Flare!$C$7="",0,(SUMIF(Flare!$B$46:$B$185,$J3310,Flare!$E$46:$E$185)*Impacts!$F$16))</f>
        <v>0</v>
      </c>
      <c r="U3310" s="10">
        <f>IF(VCU!$C$9="",0,(SUMIF(VCU!$B$51:$B$193,$J3310,VCU!$E$51:$E$193)*Impacts!$F$17))</f>
        <v>0</v>
      </c>
      <c r="V3310" s="10">
        <f>IF(CAS!$C$7="",0,(SUMIF(CAS!$B$31:$B$167,$J3310,CAS!$E$31:$E$167)*Impacts!$F$18))</f>
        <v>0</v>
      </c>
      <c r="W3310" s="10">
        <f t="shared" si="92"/>
        <v>0</v>
      </c>
      <c r="AK3310" s="10" t="str">
        <f t="array" ref="AK3310">IFERROR(INDEX(SelectedSpecies,SMALL(IF(SelectedSpecies=AK$1,ROW(SelectedSpecies)),ROW(3311:3311)),2),"")</f>
        <v/>
      </c>
      <c r="BE3310" s="10"/>
      <c r="BI3310" s="10"/>
    </row>
    <row r="3311" spans="1:61" ht="21" customHeight="1" x14ac:dyDescent="0.25">
      <c r="A3311" s="10"/>
      <c r="B3311" s="10"/>
      <c r="E3311" s="10"/>
      <c r="G3311" s="10"/>
      <c r="I3311" s="436" t="s">
        <v>6930</v>
      </c>
      <c r="J3311" s="26" t="s">
        <v>6929</v>
      </c>
      <c r="K3311" s="10">
        <v>0.5</v>
      </c>
      <c r="L3311" s="73">
        <f>IF(Tank1!$C$23="No control",(SUMIF(Tank1!$B$32:$B$49,$J3311,Tank1!$C$32:$C$49)*Impacts!$F$8),0)</f>
        <v>0</v>
      </c>
      <c r="M3311" s="10">
        <f>IF(Tank2!$C$23="No control",(SUMIF(Tank2!$B$32:$B$49,$J3311,Tank2!$C$32:$C$49)*Impacts!$F$9),0)</f>
        <v>0</v>
      </c>
      <c r="N3311" s="10">
        <f>IF(Tank3!$C$23="No control",(SUMIF(Tank3!$B$32:$B$49,$J3311,Tank3!$C$32:$C$49)*Impacts!$F$10),0)</f>
        <v>0</v>
      </c>
      <c r="O3311" s="10">
        <f>IF(Tank4!$C$23="No control",(SUMIF(Tank4!$B$32:$B$49,$J3311,Tank4!$C$32:$C$49)*Impacts!$F$11),0)</f>
        <v>0</v>
      </c>
      <c r="P3311" s="10">
        <f>IF(Tank5!$C$23="No control",(SUMIF(Tank5!$B$32:$B$49,$J3311,Tank5!$C$32:$C$49)*Impacts!$F$12),0)</f>
        <v>0</v>
      </c>
      <c r="Q3311" s="10">
        <f>IFERROR(IF(('Loading-drum,tote'!$C$21)="No control",SUMIF(('Loading-drum,tote'!$B$31:$B$48),$J3311,('Loading-drum,tote'!$D$31:$D$48))*Impacts!$F$13,IF(('Loading-drum,tote'!$C$21)&lt;&gt;"No control",SUMIF(('Loading-drum,tote'!$B$31:$B$48),$J3311,('Loading-drum,tote'!$E$31:$E$48))*Impacts!$F$13,0)),0)</f>
        <v>0</v>
      </c>
      <c r="R3311" s="10">
        <f>IFERROR(IF(('Loading-truck'!$C$21)="No control",SUMIF(('Loading-truck'!$B$31:$B$48),$J3311,('Loading-truck'!$D$31:$D$48))*Impacts!$F$14,IF(('Loading-truck'!$C$21)&lt;&gt;"No control",SUMIF(('Loading-truck'!$B$31:$B$48),$J3311,('Loading-truck'!$E$31:$E$48))*Impacts!$F$14,0)),0)</f>
        <v>0</v>
      </c>
      <c r="S3311" s="10">
        <f>IFERROR(IF(('Loading-rail'!$C$21)="No control",SUMIF(('Loading-rail'!$B$31:$B$48),$J3311,('Loading-rail'!$D$31:$D$48))*Impacts!$F$15,IF(('Loading-rail'!$C$21)&lt;&gt;"No control",SUMIF(('Loading-rail'!$B$31:$B$48),$J3311,('Loading-rail'!$E$31:$E$48))*Impacts!$F$15,0)),0)</f>
        <v>0</v>
      </c>
      <c r="T3311" s="10">
        <f>IF(Flare!$C$7="",0,(SUMIF(Flare!$B$46:$B$185,$J3311,Flare!$E$46:$E$185)*Impacts!$F$16))</f>
        <v>0</v>
      </c>
      <c r="U3311" s="10">
        <f>IF(VCU!$C$9="",0,(SUMIF(VCU!$B$51:$B$193,$J3311,VCU!$E$51:$E$193)*Impacts!$F$17))</f>
        <v>0</v>
      </c>
      <c r="V3311" s="10">
        <f>IF(CAS!$C$7="",0,(SUMIF(CAS!$B$31:$B$167,$J3311,CAS!$E$31:$E$167)*Impacts!$F$18))</f>
        <v>0</v>
      </c>
      <c r="W3311" s="10">
        <f t="shared" si="92"/>
        <v>0</v>
      </c>
      <c r="AK3311" s="10" t="str">
        <f t="array" ref="AK3311">IFERROR(INDEX(SelectedSpecies,SMALL(IF(SelectedSpecies=AK$1,ROW(SelectedSpecies)),ROW(3312:3312)),2),"")</f>
        <v/>
      </c>
      <c r="BE3311" s="10"/>
      <c r="BI3311" s="10"/>
    </row>
    <row r="3312" spans="1:61" ht="21" customHeight="1" x14ac:dyDescent="0.25">
      <c r="A3312" s="10"/>
      <c r="B3312" s="10"/>
      <c r="E3312" s="10"/>
      <c r="G3312" s="10"/>
      <c r="I3312" s="436" t="s">
        <v>3633</v>
      </c>
      <c r="J3312" s="26" t="s">
        <v>3632</v>
      </c>
      <c r="K3312" s="10">
        <v>7.3000000000000007</v>
      </c>
      <c r="L3312" s="73">
        <f>IF(Tank1!$C$23="No control",(SUMIF(Tank1!$B$32:$B$49,$J3312,Tank1!$C$32:$C$49)*Impacts!$F$8),0)</f>
        <v>0</v>
      </c>
      <c r="M3312" s="10">
        <f>IF(Tank2!$C$23="No control",(SUMIF(Tank2!$B$32:$B$49,$J3312,Tank2!$C$32:$C$49)*Impacts!$F$9),0)</f>
        <v>0</v>
      </c>
      <c r="N3312" s="10">
        <f>IF(Tank3!$C$23="No control",(SUMIF(Tank3!$B$32:$B$49,$J3312,Tank3!$C$32:$C$49)*Impacts!$F$10),0)</f>
        <v>0</v>
      </c>
      <c r="O3312" s="10">
        <f>IF(Tank4!$C$23="No control",(SUMIF(Tank4!$B$32:$B$49,$J3312,Tank4!$C$32:$C$49)*Impacts!$F$11),0)</f>
        <v>0</v>
      </c>
      <c r="P3312" s="10">
        <f>IF(Tank5!$C$23="No control",(SUMIF(Tank5!$B$32:$B$49,$J3312,Tank5!$C$32:$C$49)*Impacts!$F$12),0)</f>
        <v>0</v>
      </c>
      <c r="Q3312" s="10">
        <f>IFERROR(IF(('Loading-drum,tote'!$C$21)="No control",SUMIF(('Loading-drum,tote'!$B$31:$B$48),$J3312,('Loading-drum,tote'!$D$31:$D$48))*Impacts!$F$13,IF(('Loading-drum,tote'!$C$21)&lt;&gt;"No control",SUMIF(('Loading-drum,tote'!$B$31:$B$48),$J3312,('Loading-drum,tote'!$E$31:$E$48))*Impacts!$F$13,0)),0)</f>
        <v>0</v>
      </c>
      <c r="R3312" s="10">
        <f>IFERROR(IF(('Loading-truck'!$C$21)="No control",SUMIF(('Loading-truck'!$B$31:$B$48),$J3312,('Loading-truck'!$D$31:$D$48))*Impacts!$F$14,IF(('Loading-truck'!$C$21)&lt;&gt;"No control",SUMIF(('Loading-truck'!$B$31:$B$48),$J3312,('Loading-truck'!$E$31:$E$48))*Impacts!$F$14,0)),0)</f>
        <v>0</v>
      </c>
      <c r="S3312" s="10">
        <f>IFERROR(IF(('Loading-rail'!$C$21)="No control",SUMIF(('Loading-rail'!$B$31:$B$48),$J3312,('Loading-rail'!$D$31:$D$48))*Impacts!$F$15,IF(('Loading-rail'!$C$21)&lt;&gt;"No control",SUMIF(('Loading-rail'!$B$31:$B$48),$J3312,('Loading-rail'!$E$31:$E$48))*Impacts!$F$15,0)),0)</f>
        <v>0</v>
      </c>
      <c r="T3312" s="10">
        <f>IF(Flare!$C$7="",0,(SUMIF(Flare!$B$46:$B$185,$J3312,Flare!$E$46:$E$185)*Impacts!$F$16))</f>
        <v>0</v>
      </c>
      <c r="U3312" s="10">
        <f>IF(VCU!$C$9="",0,(SUMIF(VCU!$B$51:$B$193,$J3312,VCU!$E$51:$E$193)*Impacts!$F$17))</f>
        <v>0</v>
      </c>
      <c r="V3312" s="10">
        <f>IF(CAS!$C$7="",0,(SUMIF(CAS!$B$31:$B$167,$J3312,CAS!$E$31:$E$167)*Impacts!$F$18))</f>
        <v>0</v>
      </c>
      <c r="W3312" s="10">
        <f t="shared" si="92"/>
        <v>0</v>
      </c>
      <c r="AK3312" s="10" t="str">
        <f t="array" ref="AK3312">IFERROR(INDEX(SelectedSpecies,SMALL(IF(SelectedSpecies=AK$1,ROW(SelectedSpecies)),ROW(3313:3313)),2),"")</f>
        <v/>
      </c>
      <c r="BE3312" s="10"/>
      <c r="BI3312" s="10"/>
    </row>
    <row r="3313" spans="1:61" ht="21" customHeight="1" x14ac:dyDescent="0.25">
      <c r="A3313" s="10"/>
      <c r="B3313" s="10"/>
      <c r="E3313" s="10"/>
      <c r="G3313" s="10"/>
      <c r="I3313" s="436" t="s">
        <v>7036</v>
      </c>
      <c r="J3313" s="26" t="s">
        <v>7035</v>
      </c>
      <c r="K3313" s="10">
        <v>0.45</v>
      </c>
      <c r="L3313" s="73">
        <f>IF(Tank1!$C$23="No control",(SUMIF(Tank1!$B$32:$B$49,$J3313,Tank1!$C$32:$C$49)*Impacts!$F$8),0)</f>
        <v>0</v>
      </c>
      <c r="M3313" s="10">
        <f>IF(Tank2!$C$23="No control",(SUMIF(Tank2!$B$32:$B$49,$J3313,Tank2!$C$32:$C$49)*Impacts!$F$9),0)</f>
        <v>0</v>
      </c>
      <c r="N3313" s="10">
        <f>IF(Tank3!$C$23="No control",(SUMIF(Tank3!$B$32:$B$49,$J3313,Tank3!$C$32:$C$49)*Impacts!$F$10),0)</f>
        <v>0</v>
      </c>
      <c r="O3313" s="10">
        <f>IF(Tank4!$C$23="No control",(SUMIF(Tank4!$B$32:$B$49,$J3313,Tank4!$C$32:$C$49)*Impacts!$F$11),0)</f>
        <v>0</v>
      </c>
      <c r="P3313" s="10">
        <f>IF(Tank5!$C$23="No control",(SUMIF(Tank5!$B$32:$B$49,$J3313,Tank5!$C$32:$C$49)*Impacts!$F$12),0)</f>
        <v>0</v>
      </c>
      <c r="Q3313" s="10">
        <f>IFERROR(IF(('Loading-drum,tote'!$C$21)="No control",SUMIF(('Loading-drum,tote'!$B$31:$B$48),$J3313,('Loading-drum,tote'!$D$31:$D$48))*Impacts!$F$13,IF(('Loading-drum,tote'!$C$21)&lt;&gt;"No control",SUMIF(('Loading-drum,tote'!$B$31:$B$48),$J3313,('Loading-drum,tote'!$E$31:$E$48))*Impacts!$F$13,0)),0)</f>
        <v>0</v>
      </c>
      <c r="R3313" s="10">
        <f>IFERROR(IF(('Loading-truck'!$C$21)="No control",SUMIF(('Loading-truck'!$B$31:$B$48),$J3313,('Loading-truck'!$D$31:$D$48))*Impacts!$F$14,IF(('Loading-truck'!$C$21)&lt;&gt;"No control",SUMIF(('Loading-truck'!$B$31:$B$48),$J3313,('Loading-truck'!$E$31:$E$48))*Impacts!$F$14,0)),0)</f>
        <v>0</v>
      </c>
      <c r="S3313" s="10">
        <f>IFERROR(IF(('Loading-rail'!$C$21)="No control",SUMIF(('Loading-rail'!$B$31:$B$48),$J3313,('Loading-rail'!$D$31:$D$48))*Impacts!$F$15,IF(('Loading-rail'!$C$21)&lt;&gt;"No control",SUMIF(('Loading-rail'!$B$31:$B$48),$J3313,('Loading-rail'!$E$31:$E$48))*Impacts!$F$15,0)),0)</f>
        <v>0</v>
      </c>
      <c r="T3313" s="10">
        <f>IF(Flare!$C$7="",0,(SUMIF(Flare!$B$46:$B$185,$J3313,Flare!$E$46:$E$185)*Impacts!$F$16))</f>
        <v>0</v>
      </c>
      <c r="U3313" s="10">
        <f>IF(VCU!$C$9="",0,(SUMIF(VCU!$B$51:$B$193,$J3313,VCU!$E$51:$E$193)*Impacts!$F$17))</f>
        <v>0</v>
      </c>
      <c r="V3313" s="10">
        <f>IF(CAS!$C$7="",0,(SUMIF(CAS!$B$31:$B$167,$J3313,CAS!$E$31:$E$167)*Impacts!$F$18))</f>
        <v>0</v>
      </c>
      <c r="W3313" s="10">
        <f t="shared" si="92"/>
        <v>0</v>
      </c>
      <c r="AK3313" s="10" t="str">
        <f t="array" ref="AK3313">IFERROR(INDEX(SelectedSpecies,SMALL(IF(SelectedSpecies=AK$1,ROW(SelectedSpecies)),ROW(3314:3314)),2),"")</f>
        <v/>
      </c>
      <c r="BE3313" s="10"/>
      <c r="BI3313" s="10"/>
    </row>
    <row r="3314" spans="1:61" ht="21" customHeight="1" x14ac:dyDescent="0.25">
      <c r="A3314" s="10"/>
      <c r="B3314" s="10"/>
      <c r="E3314" s="10"/>
      <c r="G3314" s="10"/>
      <c r="I3314" s="436" t="s">
        <v>736</v>
      </c>
      <c r="J3314" s="26" t="s">
        <v>735</v>
      </c>
      <c r="K3314" s="10">
        <v>57</v>
      </c>
      <c r="L3314" s="73">
        <f>IF(Tank1!$C$23="No control",(SUMIF(Tank1!$B$32:$B$49,$J3314,Tank1!$C$32:$C$49)*Impacts!$F$8),0)</f>
        <v>0</v>
      </c>
      <c r="M3314" s="10">
        <f>IF(Tank2!$C$23="No control",(SUMIF(Tank2!$B$32:$B$49,$J3314,Tank2!$C$32:$C$49)*Impacts!$F$9),0)</f>
        <v>0</v>
      </c>
      <c r="N3314" s="10">
        <f>IF(Tank3!$C$23="No control",(SUMIF(Tank3!$B$32:$B$49,$J3314,Tank3!$C$32:$C$49)*Impacts!$F$10),0)</f>
        <v>0</v>
      </c>
      <c r="O3314" s="10">
        <f>IF(Tank4!$C$23="No control",(SUMIF(Tank4!$B$32:$B$49,$J3314,Tank4!$C$32:$C$49)*Impacts!$F$11),0)</f>
        <v>0</v>
      </c>
      <c r="P3314" s="10">
        <f>IF(Tank5!$C$23="No control",(SUMIF(Tank5!$B$32:$B$49,$J3314,Tank5!$C$32:$C$49)*Impacts!$F$12),0)</f>
        <v>0</v>
      </c>
      <c r="Q3314" s="10">
        <f>IFERROR(IF(('Loading-drum,tote'!$C$21)="No control",SUMIF(('Loading-drum,tote'!$B$31:$B$48),$J3314,('Loading-drum,tote'!$D$31:$D$48))*Impacts!$F$13,IF(('Loading-drum,tote'!$C$21)&lt;&gt;"No control",SUMIF(('Loading-drum,tote'!$B$31:$B$48),$J3314,('Loading-drum,tote'!$E$31:$E$48))*Impacts!$F$13,0)),0)</f>
        <v>0</v>
      </c>
      <c r="R3314" s="10">
        <f>IFERROR(IF(('Loading-truck'!$C$21)="No control",SUMIF(('Loading-truck'!$B$31:$B$48),$J3314,('Loading-truck'!$D$31:$D$48))*Impacts!$F$14,IF(('Loading-truck'!$C$21)&lt;&gt;"No control",SUMIF(('Loading-truck'!$B$31:$B$48),$J3314,('Loading-truck'!$E$31:$E$48))*Impacts!$F$14,0)),0)</f>
        <v>0</v>
      </c>
      <c r="S3314" s="10">
        <f>IFERROR(IF(('Loading-rail'!$C$21)="No control",SUMIF(('Loading-rail'!$B$31:$B$48),$J3314,('Loading-rail'!$D$31:$D$48))*Impacts!$F$15,IF(('Loading-rail'!$C$21)&lt;&gt;"No control",SUMIF(('Loading-rail'!$B$31:$B$48),$J3314,('Loading-rail'!$E$31:$E$48))*Impacts!$F$15,0)),0)</f>
        <v>0</v>
      </c>
      <c r="T3314" s="10">
        <f>IF(Flare!$C$7="",0,(SUMIF(Flare!$B$46:$B$185,$J3314,Flare!$E$46:$E$185)*Impacts!$F$16))</f>
        <v>0</v>
      </c>
      <c r="U3314" s="10">
        <f>IF(VCU!$C$9="",0,(SUMIF(VCU!$B$51:$B$193,$J3314,VCU!$E$51:$E$193)*Impacts!$F$17))</f>
        <v>0</v>
      </c>
      <c r="V3314" s="10">
        <f>IF(CAS!$C$7="",0,(SUMIF(CAS!$B$31:$B$167,$J3314,CAS!$E$31:$E$167)*Impacts!$F$18))</f>
        <v>0</v>
      </c>
      <c r="W3314" s="10">
        <f t="shared" si="92"/>
        <v>0</v>
      </c>
      <c r="AK3314" s="10" t="str">
        <f t="array" ref="AK3314">IFERROR(INDEX(SelectedSpecies,SMALL(IF(SelectedSpecies=AK$1,ROW(SelectedSpecies)),ROW(3315:3315)),2),"")</f>
        <v/>
      </c>
      <c r="BE3314" s="10"/>
      <c r="BI3314" s="10"/>
    </row>
    <row r="3315" spans="1:61" ht="21" customHeight="1" x14ac:dyDescent="0.25">
      <c r="A3315" s="10"/>
      <c r="B3315" s="10"/>
      <c r="E3315" s="10"/>
      <c r="G3315" s="10"/>
      <c r="I3315" s="436" t="s">
        <v>1396</v>
      </c>
      <c r="J3315" s="26" t="s">
        <v>1395</v>
      </c>
      <c r="K3315" s="10">
        <v>33</v>
      </c>
      <c r="L3315" s="73">
        <f>IF(Tank1!$C$23="No control",(SUMIF(Tank1!$B$32:$B$49,$J3315,Tank1!$C$32:$C$49)*Impacts!$F$8),0)</f>
        <v>0</v>
      </c>
      <c r="M3315" s="10">
        <f>IF(Tank2!$C$23="No control",(SUMIF(Tank2!$B$32:$B$49,$J3315,Tank2!$C$32:$C$49)*Impacts!$F$9),0)</f>
        <v>0</v>
      </c>
      <c r="N3315" s="10">
        <f>IF(Tank3!$C$23="No control",(SUMIF(Tank3!$B$32:$B$49,$J3315,Tank3!$C$32:$C$49)*Impacts!$F$10),0)</f>
        <v>0</v>
      </c>
      <c r="O3315" s="10">
        <f>IF(Tank4!$C$23="No control",(SUMIF(Tank4!$B$32:$B$49,$J3315,Tank4!$C$32:$C$49)*Impacts!$F$11),0)</f>
        <v>0</v>
      </c>
      <c r="P3315" s="10">
        <f>IF(Tank5!$C$23="No control",(SUMIF(Tank5!$B$32:$B$49,$J3315,Tank5!$C$32:$C$49)*Impacts!$F$12),0)</f>
        <v>0</v>
      </c>
      <c r="Q3315" s="10">
        <f>IFERROR(IF(('Loading-drum,tote'!$C$21)="No control",SUMIF(('Loading-drum,tote'!$B$31:$B$48),$J3315,('Loading-drum,tote'!$D$31:$D$48))*Impacts!$F$13,IF(('Loading-drum,tote'!$C$21)&lt;&gt;"No control",SUMIF(('Loading-drum,tote'!$B$31:$B$48),$J3315,('Loading-drum,tote'!$E$31:$E$48))*Impacts!$F$13,0)),0)</f>
        <v>0</v>
      </c>
      <c r="R3315" s="10">
        <f>IFERROR(IF(('Loading-truck'!$C$21)="No control",SUMIF(('Loading-truck'!$B$31:$B$48),$J3315,('Loading-truck'!$D$31:$D$48))*Impacts!$F$14,IF(('Loading-truck'!$C$21)&lt;&gt;"No control",SUMIF(('Loading-truck'!$B$31:$B$48),$J3315,('Loading-truck'!$E$31:$E$48))*Impacts!$F$14,0)),0)</f>
        <v>0</v>
      </c>
      <c r="S3315" s="10">
        <f>IFERROR(IF(('Loading-rail'!$C$21)="No control",SUMIF(('Loading-rail'!$B$31:$B$48),$J3315,('Loading-rail'!$D$31:$D$48))*Impacts!$F$15,IF(('Loading-rail'!$C$21)&lt;&gt;"No control",SUMIF(('Loading-rail'!$B$31:$B$48),$J3315,('Loading-rail'!$E$31:$E$48))*Impacts!$F$15,0)),0)</f>
        <v>0</v>
      </c>
      <c r="T3315" s="10">
        <f>IF(Flare!$C$7="",0,(SUMIF(Flare!$B$46:$B$185,$J3315,Flare!$E$46:$E$185)*Impacts!$F$16))</f>
        <v>0</v>
      </c>
      <c r="U3315" s="10">
        <f>IF(VCU!$C$9="",0,(SUMIF(VCU!$B$51:$B$193,$J3315,VCU!$E$51:$E$193)*Impacts!$F$17))</f>
        <v>0</v>
      </c>
      <c r="V3315" s="10">
        <f>IF(CAS!$C$7="",0,(SUMIF(CAS!$B$31:$B$167,$J3315,CAS!$E$31:$E$167)*Impacts!$F$18))</f>
        <v>0</v>
      </c>
      <c r="W3315" s="10">
        <f t="shared" si="92"/>
        <v>0</v>
      </c>
      <c r="AK3315" s="10" t="str">
        <f t="array" ref="AK3315">IFERROR(INDEX(SelectedSpecies,SMALL(IF(SelectedSpecies=AK$1,ROW(SelectedSpecies)),ROW(3316:3316)),2),"")</f>
        <v/>
      </c>
      <c r="BE3315" s="10"/>
      <c r="BI3315" s="10"/>
    </row>
    <row r="3316" spans="1:61" ht="21" customHeight="1" x14ac:dyDescent="0.25">
      <c r="A3316" s="10"/>
      <c r="B3316" s="10"/>
      <c r="E3316" s="10"/>
      <c r="G3316" s="10"/>
      <c r="I3316" s="436" t="s">
        <v>6146</v>
      </c>
      <c r="J3316" s="26" t="s">
        <v>6145</v>
      </c>
      <c r="K3316" s="10">
        <v>1</v>
      </c>
      <c r="L3316" s="73">
        <f>IF(Tank1!$C$23="No control",(SUMIF(Tank1!$B$32:$B$49,$J3316,Tank1!$C$32:$C$49)*Impacts!$F$8),0)</f>
        <v>0</v>
      </c>
      <c r="M3316" s="10">
        <f>IF(Tank2!$C$23="No control",(SUMIF(Tank2!$B$32:$B$49,$J3316,Tank2!$C$32:$C$49)*Impacts!$F$9),0)</f>
        <v>0</v>
      </c>
      <c r="N3316" s="10">
        <f>IF(Tank3!$C$23="No control",(SUMIF(Tank3!$B$32:$B$49,$J3316,Tank3!$C$32:$C$49)*Impacts!$F$10),0)</f>
        <v>0</v>
      </c>
      <c r="O3316" s="10">
        <f>IF(Tank4!$C$23="No control",(SUMIF(Tank4!$B$32:$B$49,$J3316,Tank4!$C$32:$C$49)*Impacts!$F$11),0)</f>
        <v>0</v>
      </c>
      <c r="P3316" s="10">
        <f>IF(Tank5!$C$23="No control",(SUMIF(Tank5!$B$32:$B$49,$J3316,Tank5!$C$32:$C$49)*Impacts!$F$12),0)</f>
        <v>0</v>
      </c>
      <c r="Q3316" s="10">
        <f>IFERROR(IF(('Loading-drum,tote'!$C$21)="No control",SUMIF(('Loading-drum,tote'!$B$31:$B$48),$J3316,('Loading-drum,tote'!$D$31:$D$48))*Impacts!$F$13,IF(('Loading-drum,tote'!$C$21)&lt;&gt;"No control",SUMIF(('Loading-drum,tote'!$B$31:$B$48),$J3316,('Loading-drum,tote'!$E$31:$E$48))*Impacts!$F$13,0)),0)</f>
        <v>0</v>
      </c>
      <c r="R3316" s="10">
        <f>IFERROR(IF(('Loading-truck'!$C$21)="No control",SUMIF(('Loading-truck'!$B$31:$B$48),$J3316,('Loading-truck'!$D$31:$D$48))*Impacts!$F$14,IF(('Loading-truck'!$C$21)&lt;&gt;"No control",SUMIF(('Loading-truck'!$B$31:$B$48),$J3316,('Loading-truck'!$E$31:$E$48))*Impacts!$F$14,0)),0)</f>
        <v>0</v>
      </c>
      <c r="S3316" s="10">
        <f>IFERROR(IF(('Loading-rail'!$C$21)="No control",SUMIF(('Loading-rail'!$B$31:$B$48),$J3316,('Loading-rail'!$D$31:$D$48))*Impacts!$F$15,IF(('Loading-rail'!$C$21)&lt;&gt;"No control",SUMIF(('Loading-rail'!$B$31:$B$48),$J3316,('Loading-rail'!$E$31:$E$48))*Impacts!$F$15,0)),0)</f>
        <v>0</v>
      </c>
      <c r="T3316" s="10">
        <f>IF(Flare!$C$7="",0,(SUMIF(Flare!$B$46:$B$185,$J3316,Flare!$E$46:$E$185)*Impacts!$F$16))</f>
        <v>0</v>
      </c>
      <c r="U3316" s="10">
        <f>IF(VCU!$C$9="",0,(SUMIF(VCU!$B$51:$B$193,$J3316,VCU!$E$51:$E$193)*Impacts!$F$17))</f>
        <v>0</v>
      </c>
      <c r="V3316" s="10">
        <f>IF(CAS!$C$7="",0,(SUMIF(CAS!$B$31:$B$167,$J3316,CAS!$E$31:$E$167)*Impacts!$F$18))</f>
        <v>0</v>
      </c>
      <c r="W3316" s="10">
        <f t="shared" si="92"/>
        <v>0</v>
      </c>
      <c r="AK3316" s="10" t="str">
        <f t="array" ref="AK3316">IFERROR(INDEX(SelectedSpecies,SMALL(IF(SelectedSpecies=AK$1,ROW(SelectedSpecies)),ROW(3317:3317)),2),"")</f>
        <v/>
      </c>
      <c r="BE3316" s="10"/>
      <c r="BI3316" s="10"/>
    </row>
    <row r="3317" spans="1:61" ht="21" customHeight="1" x14ac:dyDescent="0.25">
      <c r="A3317" s="10"/>
      <c r="B3317" s="10"/>
      <c r="E3317" s="10"/>
      <c r="G3317" s="10"/>
      <c r="I3317" s="436" t="s">
        <v>912</v>
      </c>
      <c r="J3317" s="26" t="s">
        <v>911</v>
      </c>
      <c r="K3317" s="10">
        <v>45</v>
      </c>
      <c r="L3317" s="73">
        <f>IF(Tank1!$C$23="No control",(SUMIF(Tank1!$B$32:$B$49,$J3317,Tank1!$C$32:$C$49)*Impacts!$F$8),0)</f>
        <v>0</v>
      </c>
      <c r="M3317" s="10">
        <f>IF(Tank2!$C$23="No control",(SUMIF(Tank2!$B$32:$B$49,$J3317,Tank2!$C$32:$C$49)*Impacts!$F$9),0)</f>
        <v>0</v>
      </c>
      <c r="N3317" s="10">
        <f>IF(Tank3!$C$23="No control",(SUMIF(Tank3!$B$32:$B$49,$J3317,Tank3!$C$32:$C$49)*Impacts!$F$10),0)</f>
        <v>0</v>
      </c>
      <c r="O3317" s="10">
        <f>IF(Tank4!$C$23="No control",(SUMIF(Tank4!$B$32:$B$49,$J3317,Tank4!$C$32:$C$49)*Impacts!$F$11),0)</f>
        <v>0</v>
      </c>
      <c r="P3317" s="10">
        <f>IF(Tank5!$C$23="No control",(SUMIF(Tank5!$B$32:$B$49,$J3317,Tank5!$C$32:$C$49)*Impacts!$F$12),0)</f>
        <v>0</v>
      </c>
      <c r="Q3317" s="10">
        <f>IFERROR(IF(('Loading-drum,tote'!$C$21)="No control",SUMIF(('Loading-drum,tote'!$B$31:$B$48),$J3317,('Loading-drum,tote'!$D$31:$D$48))*Impacts!$F$13,IF(('Loading-drum,tote'!$C$21)&lt;&gt;"No control",SUMIF(('Loading-drum,tote'!$B$31:$B$48),$J3317,('Loading-drum,tote'!$E$31:$E$48))*Impacts!$F$13,0)),0)</f>
        <v>0</v>
      </c>
      <c r="R3317" s="10">
        <f>IFERROR(IF(('Loading-truck'!$C$21)="No control",SUMIF(('Loading-truck'!$B$31:$B$48),$J3317,('Loading-truck'!$D$31:$D$48))*Impacts!$F$14,IF(('Loading-truck'!$C$21)&lt;&gt;"No control",SUMIF(('Loading-truck'!$B$31:$B$48),$J3317,('Loading-truck'!$E$31:$E$48))*Impacts!$F$14,0)),0)</f>
        <v>0</v>
      </c>
      <c r="S3317" s="10">
        <f>IFERROR(IF(('Loading-rail'!$C$21)="No control",SUMIF(('Loading-rail'!$B$31:$B$48),$J3317,('Loading-rail'!$D$31:$D$48))*Impacts!$F$15,IF(('Loading-rail'!$C$21)&lt;&gt;"No control",SUMIF(('Loading-rail'!$B$31:$B$48),$J3317,('Loading-rail'!$E$31:$E$48))*Impacts!$F$15,0)),0)</f>
        <v>0</v>
      </c>
      <c r="T3317" s="10">
        <f>IF(Flare!$C$7="",0,(SUMIF(Flare!$B$46:$B$185,$J3317,Flare!$E$46:$E$185)*Impacts!$F$16))</f>
        <v>0</v>
      </c>
      <c r="U3317" s="10">
        <f>IF(VCU!$C$9="",0,(SUMIF(VCU!$B$51:$B$193,$J3317,VCU!$E$51:$E$193)*Impacts!$F$17))</f>
        <v>0</v>
      </c>
      <c r="V3317" s="10">
        <f>IF(CAS!$C$7="",0,(SUMIF(CAS!$B$31:$B$167,$J3317,CAS!$E$31:$E$167)*Impacts!$F$18))</f>
        <v>0</v>
      </c>
      <c r="W3317" s="10">
        <f t="shared" si="92"/>
        <v>0</v>
      </c>
      <c r="AK3317" s="10" t="str">
        <f t="array" ref="AK3317">IFERROR(INDEX(SelectedSpecies,SMALL(IF(SelectedSpecies=AK$1,ROW(SelectedSpecies)),ROW(3318:3318)),2),"")</f>
        <v/>
      </c>
      <c r="BE3317" s="10"/>
      <c r="BI3317" s="10"/>
    </row>
    <row r="3318" spans="1:61" ht="21" customHeight="1" x14ac:dyDescent="0.25">
      <c r="A3318" s="10"/>
      <c r="B3318" s="10"/>
      <c r="E3318" s="10"/>
      <c r="G3318" s="10"/>
      <c r="I3318" s="436" t="s">
        <v>1398</v>
      </c>
      <c r="J3318" s="26" t="s">
        <v>1397</v>
      </c>
      <c r="K3318" s="10">
        <v>33</v>
      </c>
      <c r="L3318" s="73">
        <f>IF(Tank1!$C$23="No control",(SUMIF(Tank1!$B$32:$B$49,$J3318,Tank1!$C$32:$C$49)*Impacts!$F$8),0)</f>
        <v>0</v>
      </c>
      <c r="M3318" s="10">
        <f>IF(Tank2!$C$23="No control",(SUMIF(Tank2!$B$32:$B$49,$J3318,Tank2!$C$32:$C$49)*Impacts!$F$9),0)</f>
        <v>0</v>
      </c>
      <c r="N3318" s="10">
        <f>IF(Tank3!$C$23="No control",(SUMIF(Tank3!$B$32:$B$49,$J3318,Tank3!$C$32:$C$49)*Impacts!$F$10),0)</f>
        <v>0</v>
      </c>
      <c r="O3318" s="10">
        <f>IF(Tank4!$C$23="No control",(SUMIF(Tank4!$B$32:$B$49,$J3318,Tank4!$C$32:$C$49)*Impacts!$F$11),0)</f>
        <v>0</v>
      </c>
      <c r="P3318" s="10">
        <f>IF(Tank5!$C$23="No control",(SUMIF(Tank5!$B$32:$B$49,$J3318,Tank5!$C$32:$C$49)*Impacts!$F$12),0)</f>
        <v>0</v>
      </c>
      <c r="Q3318" s="10">
        <f>IFERROR(IF(('Loading-drum,tote'!$C$21)="No control",SUMIF(('Loading-drum,tote'!$B$31:$B$48),$J3318,('Loading-drum,tote'!$D$31:$D$48))*Impacts!$F$13,IF(('Loading-drum,tote'!$C$21)&lt;&gt;"No control",SUMIF(('Loading-drum,tote'!$B$31:$B$48),$J3318,('Loading-drum,tote'!$E$31:$E$48))*Impacts!$F$13,0)),0)</f>
        <v>0</v>
      </c>
      <c r="R3318" s="10">
        <f>IFERROR(IF(('Loading-truck'!$C$21)="No control",SUMIF(('Loading-truck'!$B$31:$B$48),$J3318,('Loading-truck'!$D$31:$D$48))*Impacts!$F$14,IF(('Loading-truck'!$C$21)&lt;&gt;"No control",SUMIF(('Loading-truck'!$B$31:$B$48),$J3318,('Loading-truck'!$E$31:$E$48))*Impacts!$F$14,0)),0)</f>
        <v>0</v>
      </c>
      <c r="S3318" s="10">
        <f>IFERROR(IF(('Loading-rail'!$C$21)="No control",SUMIF(('Loading-rail'!$B$31:$B$48),$J3318,('Loading-rail'!$D$31:$D$48))*Impacts!$F$15,IF(('Loading-rail'!$C$21)&lt;&gt;"No control",SUMIF(('Loading-rail'!$B$31:$B$48),$J3318,('Loading-rail'!$E$31:$E$48))*Impacts!$F$15,0)),0)</f>
        <v>0</v>
      </c>
      <c r="T3318" s="10">
        <f>IF(Flare!$C$7="",0,(SUMIF(Flare!$B$46:$B$185,$J3318,Flare!$E$46:$E$185)*Impacts!$F$16))</f>
        <v>0</v>
      </c>
      <c r="U3318" s="10">
        <f>IF(VCU!$C$9="",0,(SUMIF(VCU!$B$51:$B$193,$J3318,VCU!$E$51:$E$193)*Impacts!$F$17))</f>
        <v>0</v>
      </c>
      <c r="V3318" s="10">
        <f>IF(CAS!$C$7="",0,(SUMIF(CAS!$B$31:$B$167,$J3318,CAS!$E$31:$E$167)*Impacts!$F$18))</f>
        <v>0</v>
      </c>
      <c r="W3318" s="10">
        <f t="shared" si="92"/>
        <v>0</v>
      </c>
      <c r="AK3318" s="10" t="str">
        <f t="array" ref="AK3318">IFERROR(INDEX(SelectedSpecies,SMALL(IF(SelectedSpecies=AK$1,ROW(SelectedSpecies)),ROW(3319:3319)),2),"")</f>
        <v/>
      </c>
      <c r="BE3318" s="10"/>
      <c r="BI3318" s="10"/>
    </row>
    <row r="3319" spans="1:61" ht="21" customHeight="1" x14ac:dyDescent="0.25">
      <c r="A3319" s="10"/>
      <c r="B3319" s="10"/>
      <c r="E3319" s="10"/>
      <c r="G3319" s="10"/>
      <c r="I3319" s="436" t="s">
        <v>469</v>
      </c>
      <c r="J3319" s="26" t="s">
        <v>468</v>
      </c>
      <c r="K3319" s="10">
        <v>150</v>
      </c>
      <c r="L3319" s="73">
        <f>IF(Tank1!$C$23="No control",(SUMIF(Tank1!$B$32:$B$49,$J3319,Tank1!$C$32:$C$49)*Impacts!$F$8),0)</f>
        <v>0</v>
      </c>
      <c r="M3319" s="10">
        <f>IF(Tank2!$C$23="No control",(SUMIF(Tank2!$B$32:$B$49,$J3319,Tank2!$C$32:$C$49)*Impacts!$F$9),0)</f>
        <v>0</v>
      </c>
      <c r="N3319" s="10">
        <f>IF(Tank3!$C$23="No control",(SUMIF(Tank3!$B$32:$B$49,$J3319,Tank3!$C$32:$C$49)*Impacts!$F$10),0)</f>
        <v>0</v>
      </c>
      <c r="O3319" s="10">
        <f>IF(Tank4!$C$23="No control",(SUMIF(Tank4!$B$32:$B$49,$J3319,Tank4!$C$32:$C$49)*Impacts!$F$11),0)</f>
        <v>0</v>
      </c>
      <c r="P3319" s="10">
        <f>IF(Tank5!$C$23="No control",(SUMIF(Tank5!$B$32:$B$49,$J3319,Tank5!$C$32:$C$49)*Impacts!$F$12),0)</f>
        <v>0</v>
      </c>
      <c r="Q3319" s="10">
        <f>IFERROR(IF(('Loading-drum,tote'!$C$21)="No control",SUMIF(('Loading-drum,tote'!$B$31:$B$48),$J3319,('Loading-drum,tote'!$D$31:$D$48))*Impacts!$F$13,IF(('Loading-drum,tote'!$C$21)&lt;&gt;"No control",SUMIF(('Loading-drum,tote'!$B$31:$B$48),$J3319,('Loading-drum,tote'!$E$31:$E$48))*Impacts!$F$13,0)),0)</f>
        <v>0</v>
      </c>
      <c r="R3319" s="10">
        <f>IFERROR(IF(('Loading-truck'!$C$21)="No control",SUMIF(('Loading-truck'!$B$31:$B$48),$J3319,('Loading-truck'!$D$31:$D$48))*Impacts!$F$14,IF(('Loading-truck'!$C$21)&lt;&gt;"No control",SUMIF(('Loading-truck'!$B$31:$B$48),$J3319,('Loading-truck'!$E$31:$E$48))*Impacts!$F$14,0)),0)</f>
        <v>0</v>
      </c>
      <c r="S3319" s="10">
        <f>IFERROR(IF(('Loading-rail'!$C$21)="No control",SUMIF(('Loading-rail'!$B$31:$B$48),$J3319,('Loading-rail'!$D$31:$D$48))*Impacts!$F$15,IF(('Loading-rail'!$C$21)&lt;&gt;"No control",SUMIF(('Loading-rail'!$B$31:$B$48),$J3319,('Loading-rail'!$E$31:$E$48))*Impacts!$F$15,0)),0)</f>
        <v>0</v>
      </c>
      <c r="T3319" s="10">
        <f>IF(Flare!$C$7="",0,(SUMIF(Flare!$B$46:$B$185,$J3319,Flare!$E$46:$E$185)*Impacts!$F$16))</f>
        <v>0</v>
      </c>
      <c r="U3319" s="10">
        <f>IF(VCU!$C$9="",0,(SUMIF(VCU!$B$51:$B$193,$J3319,VCU!$E$51:$E$193)*Impacts!$F$17))</f>
        <v>0</v>
      </c>
      <c r="V3319" s="10">
        <f>IF(CAS!$C$7="",0,(SUMIF(CAS!$B$31:$B$167,$J3319,CAS!$E$31:$E$167)*Impacts!$F$18))</f>
        <v>0</v>
      </c>
      <c r="W3319" s="10">
        <f t="shared" si="92"/>
        <v>0</v>
      </c>
      <c r="AK3319" s="10" t="str">
        <f t="array" ref="AK3319">IFERROR(INDEX(SelectedSpecies,SMALL(IF(SelectedSpecies=AK$1,ROW(SelectedSpecies)),ROW(3320:3320)),2),"")</f>
        <v/>
      </c>
      <c r="BE3319" s="10"/>
      <c r="BI3319" s="10"/>
    </row>
    <row r="3320" spans="1:61" ht="21" customHeight="1" x14ac:dyDescent="0.25">
      <c r="A3320" s="10"/>
      <c r="B3320" s="10"/>
      <c r="E3320" s="10"/>
      <c r="G3320" s="10"/>
      <c r="I3320" s="436" t="s">
        <v>4889</v>
      </c>
      <c r="J3320" s="26" t="s">
        <v>4888</v>
      </c>
      <c r="K3320" s="10">
        <v>2.7</v>
      </c>
      <c r="L3320" s="73">
        <f>IF(Tank1!$C$23="No control",(SUMIF(Tank1!$B$32:$B$49,$J3320,Tank1!$C$32:$C$49)*Impacts!$F$8),0)</f>
        <v>0</v>
      </c>
      <c r="M3320" s="10">
        <f>IF(Tank2!$C$23="No control",(SUMIF(Tank2!$B$32:$B$49,$J3320,Tank2!$C$32:$C$49)*Impacts!$F$9),0)</f>
        <v>0</v>
      </c>
      <c r="N3320" s="10">
        <f>IF(Tank3!$C$23="No control",(SUMIF(Tank3!$B$32:$B$49,$J3320,Tank3!$C$32:$C$49)*Impacts!$F$10),0)</f>
        <v>0</v>
      </c>
      <c r="O3320" s="10">
        <f>IF(Tank4!$C$23="No control",(SUMIF(Tank4!$B$32:$B$49,$J3320,Tank4!$C$32:$C$49)*Impacts!$F$11),0)</f>
        <v>0</v>
      </c>
      <c r="P3320" s="10">
        <f>IF(Tank5!$C$23="No control",(SUMIF(Tank5!$B$32:$B$49,$J3320,Tank5!$C$32:$C$49)*Impacts!$F$12),0)</f>
        <v>0</v>
      </c>
      <c r="Q3320" s="10">
        <f>IFERROR(IF(('Loading-drum,tote'!$C$21)="No control",SUMIF(('Loading-drum,tote'!$B$31:$B$48),$J3320,('Loading-drum,tote'!$D$31:$D$48))*Impacts!$F$13,IF(('Loading-drum,tote'!$C$21)&lt;&gt;"No control",SUMIF(('Loading-drum,tote'!$B$31:$B$48),$J3320,('Loading-drum,tote'!$E$31:$E$48))*Impacts!$F$13,0)),0)</f>
        <v>0</v>
      </c>
      <c r="R3320" s="10">
        <f>IFERROR(IF(('Loading-truck'!$C$21)="No control",SUMIF(('Loading-truck'!$B$31:$B$48),$J3320,('Loading-truck'!$D$31:$D$48))*Impacts!$F$14,IF(('Loading-truck'!$C$21)&lt;&gt;"No control",SUMIF(('Loading-truck'!$B$31:$B$48),$J3320,('Loading-truck'!$E$31:$E$48))*Impacts!$F$14,0)),0)</f>
        <v>0</v>
      </c>
      <c r="S3320" s="10">
        <f>IFERROR(IF(('Loading-rail'!$C$21)="No control",SUMIF(('Loading-rail'!$B$31:$B$48),$J3320,('Loading-rail'!$D$31:$D$48))*Impacts!$F$15,IF(('Loading-rail'!$C$21)&lt;&gt;"No control",SUMIF(('Loading-rail'!$B$31:$B$48),$J3320,('Loading-rail'!$E$31:$E$48))*Impacts!$F$15,0)),0)</f>
        <v>0</v>
      </c>
      <c r="T3320" s="10">
        <f>IF(Flare!$C$7="",0,(SUMIF(Flare!$B$46:$B$185,$J3320,Flare!$E$46:$E$185)*Impacts!$F$16))</f>
        <v>0</v>
      </c>
      <c r="U3320" s="10">
        <f>IF(VCU!$C$9="",0,(SUMIF(VCU!$B$51:$B$193,$J3320,VCU!$E$51:$E$193)*Impacts!$F$17))</f>
        <v>0</v>
      </c>
      <c r="V3320" s="10">
        <f>IF(CAS!$C$7="",0,(SUMIF(CAS!$B$31:$B$167,$J3320,CAS!$E$31:$E$167)*Impacts!$F$18))</f>
        <v>0</v>
      </c>
      <c r="W3320" s="10">
        <f t="shared" si="92"/>
        <v>0</v>
      </c>
      <c r="AK3320" s="10" t="str">
        <f t="array" ref="AK3320">IFERROR(INDEX(SelectedSpecies,SMALL(IF(SelectedSpecies=AK$1,ROW(SelectedSpecies)),ROW(3321:3321)),2),"")</f>
        <v/>
      </c>
      <c r="BE3320" s="10"/>
      <c r="BI3320" s="10"/>
    </row>
    <row r="3321" spans="1:61" ht="21" customHeight="1" x14ac:dyDescent="0.25">
      <c r="A3321" s="10"/>
      <c r="B3321" s="10"/>
      <c r="E3321" s="10"/>
      <c r="G3321" s="10"/>
      <c r="I3321" s="436" t="s">
        <v>3353</v>
      </c>
      <c r="J3321" s="26" t="s">
        <v>3352</v>
      </c>
      <c r="K3321" s="10">
        <v>10</v>
      </c>
      <c r="L3321" s="73">
        <f>IF(Tank1!$C$23="No control",(SUMIF(Tank1!$B$32:$B$49,$J3321,Tank1!$C$32:$C$49)*Impacts!$F$8),0)</f>
        <v>0</v>
      </c>
      <c r="M3321" s="10">
        <f>IF(Tank2!$C$23="No control",(SUMIF(Tank2!$B$32:$B$49,$J3321,Tank2!$C$32:$C$49)*Impacts!$F$9),0)</f>
        <v>0</v>
      </c>
      <c r="N3321" s="10">
        <f>IF(Tank3!$C$23="No control",(SUMIF(Tank3!$B$32:$B$49,$J3321,Tank3!$C$32:$C$49)*Impacts!$F$10),0)</f>
        <v>0</v>
      </c>
      <c r="O3321" s="10">
        <f>IF(Tank4!$C$23="No control",(SUMIF(Tank4!$B$32:$B$49,$J3321,Tank4!$C$32:$C$49)*Impacts!$F$11),0)</f>
        <v>0</v>
      </c>
      <c r="P3321" s="10">
        <f>IF(Tank5!$C$23="No control",(SUMIF(Tank5!$B$32:$B$49,$J3321,Tank5!$C$32:$C$49)*Impacts!$F$12),0)</f>
        <v>0</v>
      </c>
      <c r="Q3321" s="10">
        <f>IFERROR(IF(('Loading-drum,tote'!$C$21)="No control",SUMIF(('Loading-drum,tote'!$B$31:$B$48),$J3321,('Loading-drum,tote'!$D$31:$D$48))*Impacts!$F$13,IF(('Loading-drum,tote'!$C$21)&lt;&gt;"No control",SUMIF(('Loading-drum,tote'!$B$31:$B$48),$J3321,('Loading-drum,tote'!$E$31:$E$48))*Impacts!$F$13,0)),0)</f>
        <v>0</v>
      </c>
      <c r="R3321" s="10">
        <f>IFERROR(IF(('Loading-truck'!$C$21)="No control",SUMIF(('Loading-truck'!$B$31:$B$48),$J3321,('Loading-truck'!$D$31:$D$48))*Impacts!$F$14,IF(('Loading-truck'!$C$21)&lt;&gt;"No control",SUMIF(('Loading-truck'!$B$31:$B$48),$J3321,('Loading-truck'!$E$31:$E$48))*Impacts!$F$14,0)),0)</f>
        <v>0</v>
      </c>
      <c r="S3321" s="10">
        <f>IFERROR(IF(('Loading-rail'!$C$21)="No control",SUMIF(('Loading-rail'!$B$31:$B$48),$J3321,('Loading-rail'!$D$31:$D$48))*Impacts!$F$15,IF(('Loading-rail'!$C$21)&lt;&gt;"No control",SUMIF(('Loading-rail'!$B$31:$B$48),$J3321,('Loading-rail'!$E$31:$E$48))*Impacts!$F$15,0)),0)</f>
        <v>0</v>
      </c>
      <c r="T3321" s="10">
        <f>IF(Flare!$C$7="",0,(SUMIF(Flare!$B$46:$B$185,$J3321,Flare!$E$46:$E$185)*Impacts!$F$16))</f>
        <v>0</v>
      </c>
      <c r="U3321" s="10">
        <f>IF(VCU!$C$9="",0,(SUMIF(VCU!$B$51:$B$193,$J3321,VCU!$E$51:$E$193)*Impacts!$F$17))</f>
        <v>0</v>
      </c>
      <c r="V3321" s="10">
        <f>IF(CAS!$C$7="",0,(SUMIF(CAS!$B$31:$B$167,$J3321,CAS!$E$31:$E$167)*Impacts!$F$18))</f>
        <v>0</v>
      </c>
      <c r="W3321" s="10">
        <f t="shared" si="92"/>
        <v>0</v>
      </c>
      <c r="AK3321" s="10" t="str">
        <f t="array" ref="AK3321">IFERROR(INDEX(SelectedSpecies,SMALL(IF(SelectedSpecies=AK$1,ROW(SelectedSpecies)),ROW(3322:3322)),2),"")</f>
        <v/>
      </c>
      <c r="BE3321" s="10"/>
      <c r="BI3321" s="10"/>
    </row>
    <row r="3322" spans="1:61" ht="21" customHeight="1" x14ac:dyDescent="0.25">
      <c r="A3322" s="10"/>
      <c r="B3322" s="10"/>
      <c r="E3322" s="10"/>
      <c r="G3322" s="10"/>
      <c r="I3322" s="436" t="s">
        <v>6148</v>
      </c>
      <c r="J3322" s="26" t="s">
        <v>6147</v>
      </c>
      <c r="K3322" s="10">
        <v>1</v>
      </c>
      <c r="L3322" s="73">
        <f>IF(Tank1!$C$23="No control",(SUMIF(Tank1!$B$32:$B$49,$J3322,Tank1!$C$32:$C$49)*Impacts!$F$8),0)</f>
        <v>0</v>
      </c>
      <c r="M3322" s="10">
        <f>IF(Tank2!$C$23="No control",(SUMIF(Tank2!$B$32:$B$49,$J3322,Tank2!$C$32:$C$49)*Impacts!$F$9),0)</f>
        <v>0</v>
      </c>
      <c r="N3322" s="10">
        <f>IF(Tank3!$C$23="No control",(SUMIF(Tank3!$B$32:$B$49,$J3322,Tank3!$C$32:$C$49)*Impacts!$F$10),0)</f>
        <v>0</v>
      </c>
      <c r="O3322" s="10">
        <f>IF(Tank4!$C$23="No control",(SUMIF(Tank4!$B$32:$B$49,$J3322,Tank4!$C$32:$C$49)*Impacts!$F$11),0)</f>
        <v>0</v>
      </c>
      <c r="P3322" s="10">
        <f>IF(Tank5!$C$23="No control",(SUMIF(Tank5!$B$32:$B$49,$J3322,Tank5!$C$32:$C$49)*Impacts!$F$12),0)</f>
        <v>0</v>
      </c>
      <c r="Q3322" s="10">
        <f>IFERROR(IF(('Loading-drum,tote'!$C$21)="No control",SUMIF(('Loading-drum,tote'!$B$31:$B$48),$J3322,('Loading-drum,tote'!$D$31:$D$48))*Impacts!$F$13,IF(('Loading-drum,tote'!$C$21)&lt;&gt;"No control",SUMIF(('Loading-drum,tote'!$B$31:$B$48),$J3322,('Loading-drum,tote'!$E$31:$E$48))*Impacts!$F$13,0)),0)</f>
        <v>0</v>
      </c>
      <c r="R3322" s="10">
        <f>IFERROR(IF(('Loading-truck'!$C$21)="No control",SUMIF(('Loading-truck'!$B$31:$B$48),$J3322,('Loading-truck'!$D$31:$D$48))*Impacts!$F$14,IF(('Loading-truck'!$C$21)&lt;&gt;"No control",SUMIF(('Loading-truck'!$B$31:$B$48),$J3322,('Loading-truck'!$E$31:$E$48))*Impacts!$F$14,0)),0)</f>
        <v>0</v>
      </c>
      <c r="S3322" s="10">
        <f>IFERROR(IF(('Loading-rail'!$C$21)="No control",SUMIF(('Loading-rail'!$B$31:$B$48),$J3322,('Loading-rail'!$D$31:$D$48))*Impacts!$F$15,IF(('Loading-rail'!$C$21)&lt;&gt;"No control",SUMIF(('Loading-rail'!$B$31:$B$48),$J3322,('Loading-rail'!$E$31:$E$48))*Impacts!$F$15,0)),0)</f>
        <v>0</v>
      </c>
      <c r="T3322" s="10">
        <f>IF(Flare!$C$7="",0,(SUMIF(Flare!$B$46:$B$185,$J3322,Flare!$E$46:$E$185)*Impacts!$F$16))</f>
        <v>0</v>
      </c>
      <c r="U3322" s="10">
        <f>IF(VCU!$C$9="",0,(SUMIF(VCU!$B$51:$B$193,$J3322,VCU!$E$51:$E$193)*Impacts!$F$17))</f>
        <v>0</v>
      </c>
      <c r="V3322" s="10">
        <f>IF(CAS!$C$7="",0,(SUMIF(CAS!$B$31:$B$167,$J3322,CAS!$E$31:$E$167)*Impacts!$F$18))</f>
        <v>0</v>
      </c>
      <c r="W3322" s="10">
        <f t="shared" si="92"/>
        <v>0</v>
      </c>
      <c r="AK3322" s="10" t="str">
        <f t="array" ref="AK3322">IFERROR(INDEX(SelectedSpecies,SMALL(IF(SelectedSpecies=AK$1,ROW(SelectedSpecies)),ROW(3323:3323)),2),"")</f>
        <v/>
      </c>
      <c r="BE3322" s="10"/>
      <c r="BI3322" s="10"/>
    </row>
    <row r="3323" spans="1:61" ht="21" customHeight="1" x14ac:dyDescent="0.25">
      <c r="A3323" s="10"/>
      <c r="B3323" s="10"/>
      <c r="E3323" s="10"/>
      <c r="G3323" s="10"/>
      <c r="I3323" s="436" t="s">
        <v>6150</v>
      </c>
      <c r="J3323" s="26" t="s">
        <v>6149</v>
      </c>
      <c r="K3323" s="10">
        <v>1</v>
      </c>
      <c r="L3323" s="73">
        <f>IF(Tank1!$C$23="No control",(SUMIF(Tank1!$B$32:$B$49,$J3323,Tank1!$C$32:$C$49)*Impacts!$F$8),0)</f>
        <v>0</v>
      </c>
      <c r="M3323" s="10">
        <f>IF(Tank2!$C$23="No control",(SUMIF(Tank2!$B$32:$B$49,$J3323,Tank2!$C$32:$C$49)*Impacts!$F$9),0)</f>
        <v>0</v>
      </c>
      <c r="N3323" s="10">
        <f>IF(Tank3!$C$23="No control",(SUMIF(Tank3!$B$32:$B$49,$J3323,Tank3!$C$32:$C$49)*Impacts!$F$10),0)</f>
        <v>0</v>
      </c>
      <c r="O3323" s="10">
        <f>IF(Tank4!$C$23="No control",(SUMIF(Tank4!$B$32:$B$49,$J3323,Tank4!$C$32:$C$49)*Impacts!$F$11),0)</f>
        <v>0</v>
      </c>
      <c r="P3323" s="10">
        <f>IF(Tank5!$C$23="No control",(SUMIF(Tank5!$B$32:$B$49,$J3323,Tank5!$C$32:$C$49)*Impacts!$F$12),0)</f>
        <v>0</v>
      </c>
      <c r="Q3323" s="10">
        <f>IFERROR(IF(('Loading-drum,tote'!$C$21)="No control",SUMIF(('Loading-drum,tote'!$B$31:$B$48),$J3323,('Loading-drum,tote'!$D$31:$D$48))*Impacts!$F$13,IF(('Loading-drum,tote'!$C$21)&lt;&gt;"No control",SUMIF(('Loading-drum,tote'!$B$31:$B$48),$J3323,('Loading-drum,tote'!$E$31:$E$48))*Impacts!$F$13,0)),0)</f>
        <v>0</v>
      </c>
      <c r="R3323" s="10">
        <f>IFERROR(IF(('Loading-truck'!$C$21)="No control",SUMIF(('Loading-truck'!$B$31:$B$48),$J3323,('Loading-truck'!$D$31:$D$48))*Impacts!$F$14,IF(('Loading-truck'!$C$21)&lt;&gt;"No control",SUMIF(('Loading-truck'!$B$31:$B$48),$J3323,('Loading-truck'!$E$31:$E$48))*Impacts!$F$14,0)),0)</f>
        <v>0</v>
      </c>
      <c r="S3323" s="10">
        <f>IFERROR(IF(('Loading-rail'!$C$21)="No control",SUMIF(('Loading-rail'!$B$31:$B$48),$J3323,('Loading-rail'!$D$31:$D$48))*Impacts!$F$15,IF(('Loading-rail'!$C$21)&lt;&gt;"No control",SUMIF(('Loading-rail'!$B$31:$B$48),$J3323,('Loading-rail'!$E$31:$E$48))*Impacts!$F$15,0)),0)</f>
        <v>0</v>
      </c>
      <c r="T3323" s="10">
        <f>IF(Flare!$C$7="",0,(SUMIF(Flare!$B$46:$B$185,$J3323,Flare!$E$46:$E$185)*Impacts!$F$16))</f>
        <v>0</v>
      </c>
      <c r="U3323" s="10">
        <f>IF(VCU!$C$9="",0,(SUMIF(VCU!$B$51:$B$193,$J3323,VCU!$E$51:$E$193)*Impacts!$F$17))</f>
        <v>0</v>
      </c>
      <c r="V3323" s="10">
        <f>IF(CAS!$C$7="",0,(SUMIF(CAS!$B$31:$B$167,$J3323,CAS!$E$31:$E$167)*Impacts!$F$18))</f>
        <v>0</v>
      </c>
      <c r="W3323" s="10">
        <f t="shared" si="92"/>
        <v>0</v>
      </c>
      <c r="AK3323" s="10" t="str">
        <f t="array" ref="AK3323">IFERROR(INDEX(SelectedSpecies,SMALL(IF(SelectedSpecies=AK$1,ROW(SelectedSpecies)),ROW(3324:3324)),2),"")</f>
        <v/>
      </c>
      <c r="BE3323" s="10"/>
      <c r="BI3323" s="10"/>
    </row>
    <row r="3324" spans="1:61" ht="21" customHeight="1" x14ac:dyDescent="0.25">
      <c r="A3324" s="10"/>
      <c r="B3324" s="10"/>
      <c r="E3324" s="10"/>
      <c r="G3324" s="10"/>
      <c r="I3324" s="436" t="s">
        <v>1731</v>
      </c>
      <c r="J3324" s="26" t="s">
        <v>1730</v>
      </c>
      <c r="K3324" s="10">
        <v>24.5</v>
      </c>
      <c r="L3324" s="73">
        <f>IF(Tank1!$C$23="No control",(SUMIF(Tank1!$B$32:$B$49,$J3324,Tank1!$C$32:$C$49)*Impacts!$F$8),0)</f>
        <v>0</v>
      </c>
      <c r="M3324" s="10">
        <f>IF(Tank2!$C$23="No control",(SUMIF(Tank2!$B$32:$B$49,$J3324,Tank2!$C$32:$C$49)*Impacts!$F$9),0)</f>
        <v>0</v>
      </c>
      <c r="N3324" s="10">
        <f>IF(Tank3!$C$23="No control",(SUMIF(Tank3!$B$32:$B$49,$J3324,Tank3!$C$32:$C$49)*Impacts!$F$10),0)</f>
        <v>0</v>
      </c>
      <c r="O3324" s="10">
        <f>IF(Tank4!$C$23="No control",(SUMIF(Tank4!$B$32:$B$49,$J3324,Tank4!$C$32:$C$49)*Impacts!$F$11),0)</f>
        <v>0</v>
      </c>
      <c r="P3324" s="10">
        <f>IF(Tank5!$C$23="No control",(SUMIF(Tank5!$B$32:$B$49,$J3324,Tank5!$C$32:$C$49)*Impacts!$F$12),0)</f>
        <v>0</v>
      </c>
      <c r="Q3324" s="10">
        <f>IFERROR(IF(('Loading-drum,tote'!$C$21)="No control",SUMIF(('Loading-drum,tote'!$B$31:$B$48),$J3324,('Loading-drum,tote'!$D$31:$D$48))*Impacts!$F$13,IF(('Loading-drum,tote'!$C$21)&lt;&gt;"No control",SUMIF(('Loading-drum,tote'!$B$31:$B$48),$J3324,('Loading-drum,tote'!$E$31:$E$48))*Impacts!$F$13,0)),0)</f>
        <v>0</v>
      </c>
      <c r="R3324" s="10">
        <f>IFERROR(IF(('Loading-truck'!$C$21)="No control",SUMIF(('Loading-truck'!$B$31:$B$48),$J3324,('Loading-truck'!$D$31:$D$48))*Impacts!$F$14,IF(('Loading-truck'!$C$21)&lt;&gt;"No control",SUMIF(('Loading-truck'!$B$31:$B$48),$J3324,('Loading-truck'!$E$31:$E$48))*Impacts!$F$14,0)),0)</f>
        <v>0</v>
      </c>
      <c r="S3324" s="10">
        <f>IFERROR(IF(('Loading-rail'!$C$21)="No control",SUMIF(('Loading-rail'!$B$31:$B$48),$J3324,('Loading-rail'!$D$31:$D$48))*Impacts!$F$15,IF(('Loading-rail'!$C$21)&lt;&gt;"No control",SUMIF(('Loading-rail'!$B$31:$B$48),$J3324,('Loading-rail'!$E$31:$E$48))*Impacts!$F$15,0)),0)</f>
        <v>0</v>
      </c>
      <c r="T3324" s="10">
        <f>IF(Flare!$C$7="",0,(SUMIF(Flare!$B$46:$B$185,$J3324,Flare!$E$46:$E$185)*Impacts!$F$16))</f>
        <v>0</v>
      </c>
      <c r="U3324" s="10">
        <f>IF(VCU!$C$9="",0,(SUMIF(VCU!$B$51:$B$193,$J3324,VCU!$E$51:$E$193)*Impacts!$F$17))</f>
        <v>0</v>
      </c>
      <c r="V3324" s="10">
        <f>IF(CAS!$C$7="",0,(SUMIF(CAS!$B$31:$B$167,$J3324,CAS!$E$31:$E$167)*Impacts!$F$18))</f>
        <v>0</v>
      </c>
      <c r="W3324" s="10">
        <f t="shared" si="92"/>
        <v>0</v>
      </c>
      <c r="AK3324" s="10" t="str">
        <f t="array" ref="AK3324">IFERROR(INDEX(SelectedSpecies,SMALL(IF(SelectedSpecies=AK$1,ROW(SelectedSpecies)),ROW(3325:3325)),2),"")</f>
        <v/>
      </c>
      <c r="BE3324" s="10"/>
      <c r="BI3324" s="10"/>
    </row>
    <row r="3325" spans="1:61" ht="21" customHeight="1" x14ac:dyDescent="0.25">
      <c r="A3325" s="10"/>
      <c r="B3325" s="10"/>
      <c r="E3325" s="10"/>
      <c r="G3325" s="10"/>
      <c r="I3325" s="436" t="s">
        <v>6152</v>
      </c>
      <c r="J3325" s="26" t="s">
        <v>6151</v>
      </c>
      <c r="K3325" s="10">
        <v>1</v>
      </c>
      <c r="L3325" s="73">
        <f>IF(Tank1!$C$23="No control",(SUMIF(Tank1!$B$32:$B$49,$J3325,Tank1!$C$32:$C$49)*Impacts!$F$8),0)</f>
        <v>0</v>
      </c>
      <c r="M3325" s="10">
        <f>IF(Tank2!$C$23="No control",(SUMIF(Tank2!$B$32:$B$49,$J3325,Tank2!$C$32:$C$49)*Impacts!$F$9),0)</f>
        <v>0</v>
      </c>
      <c r="N3325" s="10">
        <f>IF(Tank3!$C$23="No control",(SUMIF(Tank3!$B$32:$B$49,$J3325,Tank3!$C$32:$C$49)*Impacts!$F$10),0)</f>
        <v>0</v>
      </c>
      <c r="O3325" s="10">
        <f>IF(Tank4!$C$23="No control",(SUMIF(Tank4!$B$32:$B$49,$J3325,Tank4!$C$32:$C$49)*Impacts!$F$11),0)</f>
        <v>0</v>
      </c>
      <c r="P3325" s="10">
        <f>IF(Tank5!$C$23="No control",(SUMIF(Tank5!$B$32:$B$49,$J3325,Tank5!$C$32:$C$49)*Impacts!$F$12),0)</f>
        <v>0</v>
      </c>
      <c r="Q3325" s="10">
        <f>IFERROR(IF(('Loading-drum,tote'!$C$21)="No control",SUMIF(('Loading-drum,tote'!$B$31:$B$48),$J3325,('Loading-drum,tote'!$D$31:$D$48))*Impacts!$F$13,IF(('Loading-drum,tote'!$C$21)&lt;&gt;"No control",SUMIF(('Loading-drum,tote'!$B$31:$B$48),$J3325,('Loading-drum,tote'!$E$31:$E$48))*Impacts!$F$13,0)),0)</f>
        <v>0</v>
      </c>
      <c r="R3325" s="10">
        <f>IFERROR(IF(('Loading-truck'!$C$21)="No control",SUMIF(('Loading-truck'!$B$31:$B$48),$J3325,('Loading-truck'!$D$31:$D$48))*Impacts!$F$14,IF(('Loading-truck'!$C$21)&lt;&gt;"No control",SUMIF(('Loading-truck'!$B$31:$B$48),$J3325,('Loading-truck'!$E$31:$E$48))*Impacts!$F$14,0)),0)</f>
        <v>0</v>
      </c>
      <c r="S3325" s="10">
        <f>IFERROR(IF(('Loading-rail'!$C$21)="No control",SUMIF(('Loading-rail'!$B$31:$B$48),$J3325,('Loading-rail'!$D$31:$D$48))*Impacts!$F$15,IF(('Loading-rail'!$C$21)&lt;&gt;"No control",SUMIF(('Loading-rail'!$B$31:$B$48),$J3325,('Loading-rail'!$E$31:$E$48))*Impacts!$F$15,0)),0)</f>
        <v>0</v>
      </c>
      <c r="T3325" s="10">
        <f>IF(Flare!$C$7="",0,(SUMIF(Flare!$B$46:$B$185,$J3325,Flare!$E$46:$E$185)*Impacts!$F$16))</f>
        <v>0</v>
      </c>
      <c r="U3325" s="10">
        <f>IF(VCU!$C$9="",0,(SUMIF(VCU!$B$51:$B$193,$J3325,VCU!$E$51:$E$193)*Impacts!$F$17))</f>
        <v>0</v>
      </c>
      <c r="V3325" s="10">
        <f>IF(CAS!$C$7="",0,(SUMIF(CAS!$B$31:$B$167,$J3325,CAS!$E$31:$E$167)*Impacts!$F$18))</f>
        <v>0</v>
      </c>
      <c r="W3325" s="10">
        <f t="shared" si="92"/>
        <v>0</v>
      </c>
      <c r="AK3325" s="10" t="str">
        <f t="array" ref="AK3325">IFERROR(INDEX(SelectedSpecies,SMALL(IF(SelectedSpecies=AK$1,ROW(SelectedSpecies)),ROW(3326:3326)),2),"")</f>
        <v/>
      </c>
      <c r="BE3325" s="10"/>
      <c r="BI3325" s="10"/>
    </row>
    <row r="3326" spans="1:61" ht="21" customHeight="1" x14ac:dyDescent="0.25">
      <c r="A3326" s="10"/>
      <c r="B3326" s="10"/>
      <c r="E3326" s="10"/>
      <c r="G3326" s="10"/>
      <c r="I3326" s="436" t="s">
        <v>2607</v>
      </c>
      <c r="J3326" s="26" t="s">
        <v>2606</v>
      </c>
      <c r="K3326" s="10">
        <v>10</v>
      </c>
      <c r="L3326" s="73">
        <f>IF(Tank1!$C$23="No control",(SUMIF(Tank1!$B$32:$B$49,$J3326,Tank1!$C$32:$C$49)*Impacts!$F$8),0)</f>
        <v>0</v>
      </c>
      <c r="M3326" s="10">
        <f>IF(Tank2!$C$23="No control",(SUMIF(Tank2!$B$32:$B$49,$J3326,Tank2!$C$32:$C$49)*Impacts!$F$9),0)</f>
        <v>0</v>
      </c>
      <c r="N3326" s="10">
        <f>IF(Tank3!$C$23="No control",(SUMIF(Tank3!$B$32:$B$49,$J3326,Tank3!$C$32:$C$49)*Impacts!$F$10),0)</f>
        <v>0</v>
      </c>
      <c r="O3326" s="10">
        <f>IF(Tank4!$C$23="No control",(SUMIF(Tank4!$B$32:$B$49,$J3326,Tank4!$C$32:$C$49)*Impacts!$F$11),0)</f>
        <v>0</v>
      </c>
      <c r="P3326" s="10">
        <f>IF(Tank5!$C$23="No control",(SUMIF(Tank5!$B$32:$B$49,$J3326,Tank5!$C$32:$C$49)*Impacts!$F$12),0)</f>
        <v>0</v>
      </c>
      <c r="Q3326" s="10">
        <f>IFERROR(IF(('Loading-drum,tote'!$C$21)="No control",SUMIF(('Loading-drum,tote'!$B$31:$B$48),$J3326,('Loading-drum,tote'!$D$31:$D$48))*Impacts!$F$13,IF(('Loading-drum,tote'!$C$21)&lt;&gt;"No control",SUMIF(('Loading-drum,tote'!$B$31:$B$48),$J3326,('Loading-drum,tote'!$E$31:$E$48))*Impacts!$F$13,0)),0)</f>
        <v>0</v>
      </c>
      <c r="R3326" s="10">
        <f>IFERROR(IF(('Loading-truck'!$C$21)="No control",SUMIF(('Loading-truck'!$B$31:$B$48),$J3326,('Loading-truck'!$D$31:$D$48))*Impacts!$F$14,IF(('Loading-truck'!$C$21)&lt;&gt;"No control",SUMIF(('Loading-truck'!$B$31:$B$48),$J3326,('Loading-truck'!$E$31:$E$48))*Impacts!$F$14,0)),0)</f>
        <v>0</v>
      </c>
      <c r="S3326" s="10">
        <f>IFERROR(IF(('Loading-rail'!$C$21)="No control",SUMIF(('Loading-rail'!$B$31:$B$48),$J3326,('Loading-rail'!$D$31:$D$48))*Impacts!$F$15,IF(('Loading-rail'!$C$21)&lt;&gt;"No control",SUMIF(('Loading-rail'!$B$31:$B$48),$J3326,('Loading-rail'!$E$31:$E$48))*Impacts!$F$15,0)),0)</f>
        <v>0</v>
      </c>
      <c r="T3326" s="10">
        <f>IF(Flare!$C$7="",0,(SUMIF(Flare!$B$46:$B$185,$J3326,Flare!$E$46:$E$185)*Impacts!$F$16))</f>
        <v>0</v>
      </c>
      <c r="U3326" s="10">
        <f>IF(VCU!$C$9="",0,(SUMIF(VCU!$B$51:$B$193,$J3326,VCU!$E$51:$E$193)*Impacts!$F$17))</f>
        <v>0</v>
      </c>
      <c r="V3326" s="10">
        <f>IF(CAS!$C$7="",0,(SUMIF(CAS!$B$31:$B$167,$J3326,CAS!$E$31:$E$167)*Impacts!$F$18))</f>
        <v>0</v>
      </c>
      <c r="W3326" s="10">
        <f t="shared" si="92"/>
        <v>0</v>
      </c>
      <c r="AK3326" s="10" t="str">
        <f t="array" ref="AK3326">IFERROR(INDEX(SelectedSpecies,SMALL(IF(SelectedSpecies=AK$1,ROW(SelectedSpecies)),ROW(3327:3327)),2),"")</f>
        <v/>
      </c>
      <c r="BE3326" s="10"/>
      <c r="BI3326" s="10"/>
    </row>
    <row r="3327" spans="1:61" ht="21" customHeight="1" x14ac:dyDescent="0.25">
      <c r="A3327" s="10"/>
      <c r="B3327" s="10"/>
      <c r="E3327" s="10"/>
      <c r="G3327" s="10"/>
      <c r="I3327" s="436" t="s">
        <v>3355</v>
      </c>
      <c r="J3327" s="26" t="s">
        <v>3354</v>
      </c>
      <c r="K3327" s="10">
        <v>10</v>
      </c>
      <c r="L3327" s="73">
        <f>IF(Tank1!$C$23="No control",(SUMIF(Tank1!$B$32:$B$49,$J3327,Tank1!$C$32:$C$49)*Impacts!$F$8),0)</f>
        <v>0</v>
      </c>
      <c r="M3327" s="10">
        <f>IF(Tank2!$C$23="No control",(SUMIF(Tank2!$B$32:$B$49,$J3327,Tank2!$C$32:$C$49)*Impacts!$F$9),0)</f>
        <v>0</v>
      </c>
      <c r="N3327" s="10">
        <f>IF(Tank3!$C$23="No control",(SUMIF(Tank3!$B$32:$B$49,$J3327,Tank3!$C$32:$C$49)*Impacts!$F$10),0)</f>
        <v>0</v>
      </c>
      <c r="O3327" s="10">
        <f>IF(Tank4!$C$23="No control",(SUMIF(Tank4!$B$32:$B$49,$J3327,Tank4!$C$32:$C$49)*Impacts!$F$11),0)</f>
        <v>0</v>
      </c>
      <c r="P3327" s="10">
        <f>IF(Tank5!$C$23="No control",(SUMIF(Tank5!$B$32:$B$49,$J3327,Tank5!$C$32:$C$49)*Impacts!$F$12),0)</f>
        <v>0</v>
      </c>
      <c r="Q3327" s="10">
        <f>IFERROR(IF(('Loading-drum,tote'!$C$21)="No control",SUMIF(('Loading-drum,tote'!$B$31:$B$48),$J3327,('Loading-drum,tote'!$D$31:$D$48))*Impacts!$F$13,IF(('Loading-drum,tote'!$C$21)&lt;&gt;"No control",SUMIF(('Loading-drum,tote'!$B$31:$B$48),$J3327,('Loading-drum,tote'!$E$31:$E$48))*Impacts!$F$13,0)),0)</f>
        <v>0</v>
      </c>
      <c r="R3327" s="10">
        <f>IFERROR(IF(('Loading-truck'!$C$21)="No control",SUMIF(('Loading-truck'!$B$31:$B$48),$J3327,('Loading-truck'!$D$31:$D$48))*Impacts!$F$14,IF(('Loading-truck'!$C$21)&lt;&gt;"No control",SUMIF(('Loading-truck'!$B$31:$B$48),$J3327,('Loading-truck'!$E$31:$E$48))*Impacts!$F$14,0)),0)</f>
        <v>0</v>
      </c>
      <c r="S3327" s="10">
        <f>IFERROR(IF(('Loading-rail'!$C$21)="No control",SUMIF(('Loading-rail'!$B$31:$B$48),$J3327,('Loading-rail'!$D$31:$D$48))*Impacts!$F$15,IF(('Loading-rail'!$C$21)&lt;&gt;"No control",SUMIF(('Loading-rail'!$B$31:$B$48),$J3327,('Loading-rail'!$E$31:$E$48))*Impacts!$F$15,0)),0)</f>
        <v>0</v>
      </c>
      <c r="T3327" s="10">
        <f>IF(Flare!$C$7="",0,(SUMIF(Flare!$B$46:$B$185,$J3327,Flare!$E$46:$E$185)*Impacts!$F$16))</f>
        <v>0</v>
      </c>
      <c r="U3327" s="10">
        <f>IF(VCU!$C$9="",0,(SUMIF(VCU!$B$51:$B$193,$J3327,VCU!$E$51:$E$193)*Impacts!$F$17))</f>
        <v>0</v>
      </c>
      <c r="V3327" s="10">
        <f>IF(CAS!$C$7="",0,(SUMIF(CAS!$B$31:$B$167,$J3327,CAS!$E$31:$E$167)*Impacts!$F$18))</f>
        <v>0</v>
      </c>
      <c r="W3327" s="10">
        <f t="shared" si="92"/>
        <v>0</v>
      </c>
      <c r="AK3327" s="10" t="str">
        <f t="array" ref="AK3327">IFERROR(INDEX(SelectedSpecies,SMALL(IF(SelectedSpecies=AK$1,ROW(SelectedSpecies)),ROW(3328:3328)),2),"")</f>
        <v/>
      </c>
      <c r="BE3327" s="10"/>
      <c r="BI3327" s="10"/>
    </row>
    <row r="3328" spans="1:61" ht="21" customHeight="1" x14ac:dyDescent="0.25">
      <c r="A3328" s="10"/>
      <c r="B3328" s="10"/>
      <c r="E3328" s="10"/>
      <c r="G3328" s="10"/>
      <c r="I3328" s="436" t="s">
        <v>6932</v>
      </c>
      <c r="J3328" s="26" t="s">
        <v>6931</v>
      </c>
      <c r="K3328" s="10">
        <v>0.5</v>
      </c>
      <c r="L3328" s="73">
        <f>IF(Tank1!$C$23="No control",(SUMIF(Tank1!$B$32:$B$49,$J3328,Tank1!$C$32:$C$49)*Impacts!$F$8),0)</f>
        <v>0</v>
      </c>
      <c r="M3328" s="10">
        <f>IF(Tank2!$C$23="No control",(SUMIF(Tank2!$B$32:$B$49,$J3328,Tank2!$C$32:$C$49)*Impacts!$F$9),0)</f>
        <v>0</v>
      </c>
      <c r="N3328" s="10">
        <f>IF(Tank3!$C$23="No control",(SUMIF(Tank3!$B$32:$B$49,$J3328,Tank3!$C$32:$C$49)*Impacts!$F$10),0)</f>
        <v>0</v>
      </c>
      <c r="O3328" s="10">
        <f>IF(Tank4!$C$23="No control",(SUMIF(Tank4!$B$32:$B$49,$J3328,Tank4!$C$32:$C$49)*Impacts!$F$11),0)</f>
        <v>0</v>
      </c>
      <c r="P3328" s="10">
        <f>IF(Tank5!$C$23="No control",(SUMIF(Tank5!$B$32:$B$49,$J3328,Tank5!$C$32:$C$49)*Impacts!$F$12),0)</f>
        <v>0</v>
      </c>
      <c r="Q3328" s="10">
        <f>IFERROR(IF(('Loading-drum,tote'!$C$21)="No control",SUMIF(('Loading-drum,tote'!$B$31:$B$48),$J3328,('Loading-drum,tote'!$D$31:$D$48))*Impacts!$F$13,IF(('Loading-drum,tote'!$C$21)&lt;&gt;"No control",SUMIF(('Loading-drum,tote'!$B$31:$B$48),$J3328,('Loading-drum,tote'!$E$31:$E$48))*Impacts!$F$13,0)),0)</f>
        <v>0</v>
      </c>
      <c r="R3328" s="10">
        <f>IFERROR(IF(('Loading-truck'!$C$21)="No control",SUMIF(('Loading-truck'!$B$31:$B$48),$J3328,('Loading-truck'!$D$31:$D$48))*Impacts!$F$14,IF(('Loading-truck'!$C$21)&lt;&gt;"No control",SUMIF(('Loading-truck'!$B$31:$B$48),$J3328,('Loading-truck'!$E$31:$E$48))*Impacts!$F$14,0)),0)</f>
        <v>0</v>
      </c>
      <c r="S3328" s="10">
        <f>IFERROR(IF(('Loading-rail'!$C$21)="No control",SUMIF(('Loading-rail'!$B$31:$B$48),$J3328,('Loading-rail'!$D$31:$D$48))*Impacts!$F$15,IF(('Loading-rail'!$C$21)&lt;&gt;"No control",SUMIF(('Loading-rail'!$B$31:$B$48),$J3328,('Loading-rail'!$E$31:$E$48))*Impacts!$F$15,0)),0)</f>
        <v>0</v>
      </c>
      <c r="T3328" s="10">
        <f>IF(Flare!$C$7="",0,(SUMIF(Flare!$B$46:$B$185,$J3328,Flare!$E$46:$E$185)*Impacts!$F$16))</f>
        <v>0</v>
      </c>
      <c r="U3328" s="10">
        <f>IF(VCU!$C$9="",0,(SUMIF(VCU!$B$51:$B$193,$J3328,VCU!$E$51:$E$193)*Impacts!$F$17))</f>
        <v>0</v>
      </c>
      <c r="V3328" s="10">
        <f>IF(CAS!$C$7="",0,(SUMIF(CAS!$B$31:$B$167,$J3328,CAS!$E$31:$E$167)*Impacts!$F$18))</f>
        <v>0</v>
      </c>
      <c r="W3328" s="10">
        <f t="shared" si="92"/>
        <v>0</v>
      </c>
      <c r="AK3328" s="10" t="str">
        <f t="array" ref="AK3328">IFERROR(INDEX(SelectedSpecies,SMALL(IF(SelectedSpecies=AK$1,ROW(SelectedSpecies)),ROW(3329:3329)),2),"")</f>
        <v/>
      </c>
      <c r="BE3328" s="10"/>
      <c r="BI3328" s="10"/>
    </row>
    <row r="3329" spans="1:61" ht="21" customHeight="1" x14ac:dyDescent="0.25">
      <c r="A3329" s="10"/>
      <c r="B3329" s="10"/>
      <c r="E3329" s="10"/>
      <c r="G3329" s="10"/>
      <c r="I3329" s="436" t="s">
        <v>6154</v>
      </c>
      <c r="J3329" s="26" t="s">
        <v>6153</v>
      </c>
      <c r="K3329" s="10">
        <v>1</v>
      </c>
      <c r="L3329" s="73">
        <f>IF(Tank1!$C$23="No control",(SUMIF(Tank1!$B$32:$B$49,$J3329,Tank1!$C$32:$C$49)*Impacts!$F$8),0)</f>
        <v>0</v>
      </c>
      <c r="M3329" s="10">
        <f>IF(Tank2!$C$23="No control",(SUMIF(Tank2!$B$32:$B$49,$J3329,Tank2!$C$32:$C$49)*Impacts!$F$9),0)</f>
        <v>0</v>
      </c>
      <c r="N3329" s="10">
        <f>IF(Tank3!$C$23="No control",(SUMIF(Tank3!$B$32:$B$49,$J3329,Tank3!$C$32:$C$49)*Impacts!$F$10),0)</f>
        <v>0</v>
      </c>
      <c r="O3329" s="10">
        <f>IF(Tank4!$C$23="No control",(SUMIF(Tank4!$B$32:$B$49,$J3329,Tank4!$C$32:$C$49)*Impacts!$F$11),0)</f>
        <v>0</v>
      </c>
      <c r="P3329" s="10">
        <f>IF(Tank5!$C$23="No control",(SUMIF(Tank5!$B$32:$B$49,$J3329,Tank5!$C$32:$C$49)*Impacts!$F$12),0)</f>
        <v>0</v>
      </c>
      <c r="Q3329" s="10">
        <f>IFERROR(IF(('Loading-drum,tote'!$C$21)="No control",SUMIF(('Loading-drum,tote'!$B$31:$B$48),$J3329,('Loading-drum,tote'!$D$31:$D$48))*Impacts!$F$13,IF(('Loading-drum,tote'!$C$21)&lt;&gt;"No control",SUMIF(('Loading-drum,tote'!$B$31:$B$48),$J3329,('Loading-drum,tote'!$E$31:$E$48))*Impacts!$F$13,0)),0)</f>
        <v>0</v>
      </c>
      <c r="R3329" s="10">
        <f>IFERROR(IF(('Loading-truck'!$C$21)="No control",SUMIF(('Loading-truck'!$B$31:$B$48),$J3329,('Loading-truck'!$D$31:$D$48))*Impacts!$F$14,IF(('Loading-truck'!$C$21)&lt;&gt;"No control",SUMIF(('Loading-truck'!$B$31:$B$48),$J3329,('Loading-truck'!$E$31:$E$48))*Impacts!$F$14,0)),0)</f>
        <v>0</v>
      </c>
      <c r="S3329" s="10">
        <f>IFERROR(IF(('Loading-rail'!$C$21)="No control",SUMIF(('Loading-rail'!$B$31:$B$48),$J3329,('Loading-rail'!$D$31:$D$48))*Impacts!$F$15,IF(('Loading-rail'!$C$21)&lt;&gt;"No control",SUMIF(('Loading-rail'!$B$31:$B$48),$J3329,('Loading-rail'!$E$31:$E$48))*Impacts!$F$15,0)),0)</f>
        <v>0</v>
      </c>
      <c r="T3329" s="10">
        <f>IF(Flare!$C$7="",0,(SUMIF(Flare!$B$46:$B$185,$J3329,Flare!$E$46:$E$185)*Impacts!$F$16))</f>
        <v>0</v>
      </c>
      <c r="U3329" s="10">
        <f>IF(VCU!$C$9="",0,(SUMIF(VCU!$B$51:$B$193,$J3329,VCU!$E$51:$E$193)*Impacts!$F$17))</f>
        <v>0</v>
      </c>
      <c r="V3329" s="10">
        <f>IF(CAS!$C$7="",0,(SUMIF(CAS!$B$31:$B$167,$J3329,CAS!$E$31:$E$167)*Impacts!$F$18))</f>
        <v>0</v>
      </c>
      <c r="W3329" s="10">
        <f t="shared" si="92"/>
        <v>0</v>
      </c>
      <c r="AK3329" s="10" t="str">
        <f t="array" ref="AK3329">IFERROR(INDEX(SelectedSpecies,SMALL(IF(SelectedSpecies=AK$1,ROW(SelectedSpecies)),ROW(3330:3330)),2),"")</f>
        <v/>
      </c>
      <c r="BE3329" s="10"/>
      <c r="BI3329" s="10"/>
    </row>
    <row r="3330" spans="1:61" ht="21" customHeight="1" x14ac:dyDescent="0.25">
      <c r="A3330" s="10"/>
      <c r="B3330" s="10"/>
      <c r="E3330" s="10"/>
      <c r="G3330" s="10"/>
      <c r="I3330" s="436" t="s">
        <v>738</v>
      </c>
      <c r="J3330" s="26" t="s">
        <v>737</v>
      </c>
      <c r="K3330" s="10">
        <v>57</v>
      </c>
      <c r="L3330" s="73">
        <f>IF(Tank1!$C$23="No control",(SUMIF(Tank1!$B$32:$B$49,$J3330,Tank1!$C$32:$C$49)*Impacts!$F$8),0)</f>
        <v>0</v>
      </c>
      <c r="M3330" s="10">
        <f>IF(Tank2!$C$23="No control",(SUMIF(Tank2!$B$32:$B$49,$J3330,Tank2!$C$32:$C$49)*Impacts!$F$9),0)</f>
        <v>0</v>
      </c>
      <c r="N3330" s="10">
        <f>IF(Tank3!$C$23="No control",(SUMIF(Tank3!$B$32:$B$49,$J3330,Tank3!$C$32:$C$49)*Impacts!$F$10),0)</f>
        <v>0</v>
      </c>
      <c r="O3330" s="10">
        <f>IF(Tank4!$C$23="No control",(SUMIF(Tank4!$B$32:$B$49,$J3330,Tank4!$C$32:$C$49)*Impacts!$F$11),0)</f>
        <v>0</v>
      </c>
      <c r="P3330" s="10">
        <f>IF(Tank5!$C$23="No control",(SUMIF(Tank5!$B$32:$B$49,$J3330,Tank5!$C$32:$C$49)*Impacts!$F$12),0)</f>
        <v>0</v>
      </c>
      <c r="Q3330" s="10">
        <f>IFERROR(IF(('Loading-drum,tote'!$C$21)="No control",SUMIF(('Loading-drum,tote'!$B$31:$B$48),$J3330,('Loading-drum,tote'!$D$31:$D$48))*Impacts!$F$13,IF(('Loading-drum,tote'!$C$21)&lt;&gt;"No control",SUMIF(('Loading-drum,tote'!$B$31:$B$48),$J3330,('Loading-drum,tote'!$E$31:$E$48))*Impacts!$F$13,0)),0)</f>
        <v>0</v>
      </c>
      <c r="R3330" s="10">
        <f>IFERROR(IF(('Loading-truck'!$C$21)="No control",SUMIF(('Loading-truck'!$B$31:$B$48),$J3330,('Loading-truck'!$D$31:$D$48))*Impacts!$F$14,IF(('Loading-truck'!$C$21)&lt;&gt;"No control",SUMIF(('Loading-truck'!$B$31:$B$48),$J3330,('Loading-truck'!$E$31:$E$48))*Impacts!$F$14,0)),0)</f>
        <v>0</v>
      </c>
      <c r="S3330" s="10">
        <f>IFERROR(IF(('Loading-rail'!$C$21)="No control",SUMIF(('Loading-rail'!$B$31:$B$48),$J3330,('Loading-rail'!$D$31:$D$48))*Impacts!$F$15,IF(('Loading-rail'!$C$21)&lt;&gt;"No control",SUMIF(('Loading-rail'!$B$31:$B$48),$J3330,('Loading-rail'!$E$31:$E$48))*Impacts!$F$15,0)),0)</f>
        <v>0</v>
      </c>
      <c r="T3330" s="10">
        <f>IF(Flare!$C$7="",0,(SUMIF(Flare!$B$46:$B$185,$J3330,Flare!$E$46:$E$185)*Impacts!$F$16))</f>
        <v>0</v>
      </c>
      <c r="U3330" s="10">
        <f>IF(VCU!$C$9="",0,(SUMIF(VCU!$B$51:$B$193,$J3330,VCU!$E$51:$E$193)*Impacts!$F$17))</f>
        <v>0</v>
      </c>
      <c r="V3330" s="10">
        <f>IF(CAS!$C$7="",0,(SUMIF(CAS!$B$31:$B$167,$J3330,CAS!$E$31:$E$167)*Impacts!$F$18))</f>
        <v>0</v>
      </c>
      <c r="W3330" s="10">
        <f t="shared" si="92"/>
        <v>0</v>
      </c>
      <c r="AK3330" s="10" t="str">
        <f t="array" ref="AK3330">IFERROR(INDEX(SelectedSpecies,SMALL(IF(SelectedSpecies=AK$1,ROW(SelectedSpecies)),ROW(3331:3331)),2),"")</f>
        <v/>
      </c>
      <c r="BE3330" s="10"/>
      <c r="BI3330" s="10"/>
    </row>
    <row r="3331" spans="1:61" ht="21" customHeight="1" x14ac:dyDescent="0.25">
      <c r="A3331" s="10"/>
      <c r="B3331" s="10"/>
      <c r="E3331" s="10"/>
      <c r="G3331" s="10"/>
      <c r="I3331" s="436" t="s">
        <v>3761</v>
      </c>
      <c r="J3331" s="26" t="s">
        <v>3760</v>
      </c>
      <c r="K3331" s="10">
        <v>6.1000000000000005</v>
      </c>
      <c r="L3331" s="73">
        <f>IF(Tank1!$C$23="No control",(SUMIF(Tank1!$B$32:$B$49,$J3331,Tank1!$C$32:$C$49)*Impacts!$F$8),0)</f>
        <v>0</v>
      </c>
      <c r="M3331" s="10">
        <f>IF(Tank2!$C$23="No control",(SUMIF(Tank2!$B$32:$B$49,$J3331,Tank2!$C$32:$C$49)*Impacts!$F$9),0)</f>
        <v>0</v>
      </c>
      <c r="N3331" s="10">
        <f>IF(Tank3!$C$23="No control",(SUMIF(Tank3!$B$32:$B$49,$J3331,Tank3!$C$32:$C$49)*Impacts!$F$10),0)</f>
        <v>0</v>
      </c>
      <c r="O3331" s="10">
        <f>IF(Tank4!$C$23="No control",(SUMIF(Tank4!$B$32:$B$49,$J3331,Tank4!$C$32:$C$49)*Impacts!$F$11),0)</f>
        <v>0</v>
      </c>
      <c r="P3331" s="10">
        <f>IF(Tank5!$C$23="No control",(SUMIF(Tank5!$B$32:$B$49,$J3331,Tank5!$C$32:$C$49)*Impacts!$F$12),0)</f>
        <v>0</v>
      </c>
      <c r="Q3331" s="10">
        <f>IFERROR(IF(('Loading-drum,tote'!$C$21)="No control",SUMIF(('Loading-drum,tote'!$B$31:$B$48),$J3331,('Loading-drum,tote'!$D$31:$D$48))*Impacts!$F$13,IF(('Loading-drum,tote'!$C$21)&lt;&gt;"No control",SUMIF(('Loading-drum,tote'!$B$31:$B$48),$J3331,('Loading-drum,tote'!$E$31:$E$48))*Impacts!$F$13,0)),0)</f>
        <v>0</v>
      </c>
      <c r="R3331" s="10">
        <f>IFERROR(IF(('Loading-truck'!$C$21)="No control",SUMIF(('Loading-truck'!$B$31:$B$48),$J3331,('Loading-truck'!$D$31:$D$48))*Impacts!$F$14,IF(('Loading-truck'!$C$21)&lt;&gt;"No control",SUMIF(('Loading-truck'!$B$31:$B$48),$J3331,('Loading-truck'!$E$31:$E$48))*Impacts!$F$14,0)),0)</f>
        <v>0</v>
      </c>
      <c r="S3331" s="10">
        <f>IFERROR(IF(('Loading-rail'!$C$21)="No control",SUMIF(('Loading-rail'!$B$31:$B$48),$J3331,('Loading-rail'!$D$31:$D$48))*Impacts!$F$15,IF(('Loading-rail'!$C$21)&lt;&gt;"No control",SUMIF(('Loading-rail'!$B$31:$B$48),$J3331,('Loading-rail'!$E$31:$E$48))*Impacts!$F$15,0)),0)</f>
        <v>0</v>
      </c>
      <c r="T3331" s="10">
        <f>IF(Flare!$C$7="",0,(SUMIF(Flare!$B$46:$B$185,$J3331,Flare!$E$46:$E$185)*Impacts!$F$16))</f>
        <v>0</v>
      </c>
      <c r="U3331" s="10">
        <f>IF(VCU!$C$9="",0,(SUMIF(VCU!$B$51:$B$193,$J3331,VCU!$E$51:$E$193)*Impacts!$F$17))</f>
        <v>0</v>
      </c>
      <c r="V3331" s="10">
        <f>IF(CAS!$C$7="",0,(SUMIF(CAS!$B$31:$B$167,$J3331,CAS!$E$31:$E$167)*Impacts!$F$18))</f>
        <v>0</v>
      </c>
      <c r="W3331" s="10">
        <f t="shared" si="92"/>
        <v>0</v>
      </c>
      <c r="AK3331" s="10" t="str">
        <f t="array" ref="AK3331">IFERROR(INDEX(SelectedSpecies,SMALL(IF(SelectedSpecies=AK$1,ROW(SelectedSpecies)),ROW(3332:3332)),2),"")</f>
        <v/>
      </c>
      <c r="BE3331" s="10"/>
      <c r="BI3331" s="10"/>
    </row>
    <row r="3332" spans="1:61" ht="21" customHeight="1" x14ac:dyDescent="0.25">
      <c r="A3332" s="10"/>
      <c r="B3332" s="10"/>
      <c r="E3332" s="10"/>
      <c r="G3332" s="10"/>
      <c r="I3332" s="436" t="s">
        <v>1400</v>
      </c>
      <c r="J3332" s="26" t="s">
        <v>1399</v>
      </c>
      <c r="K3332" s="10">
        <v>33</v>
      </c>
      <c r="L3332" s="73">
        <f>IF(Tank1!$C$23="No control",(SUMIF(Tank1!$B$32:$B$49,$J3332,Tank1!$C$32:$C$49)*Impacts!$F$8),0)</f>
        <v>0</v>
      </c>
      <c r="M3332" s="10">
        <f>IF(Tank2!$C$23="No control",(SUMIF(Tank2!$B$32:$B$49,$J3332,Tank2!$C$32:$C$49)*Impacts!$F$9),0)</f>
        <v>0</v>
      </c>
      <c r="N3332" s="10">
        <f>IF(Tank3!$C$23="No control",(SUMIF(Tank3!$B$32:$B$49,$J3332,Tank3!$C$32:$C$49)*Impacts!$F$10),0)</f>
        <v>0</v>
      </c>
      <c r="O3332" s="10">
        <f>IF(Tank4!$C$23="No control",(SUMIF(Tank4!$B$32:$B$49,$J3332,Tank4!$C$32:$C$49)*Impacts!$F$11),0)</f>
        <v>0</v>
      </c>
      <c r="P3332" s="10">
        <f>IF(Tank5!$C$23="No control",(SUMIF(Tank5!$B$32:$B$49,$J3332,Tank5!$C$32:$C$49)*Impacts!$F$12),0)</f>
        <v>0</v>
      </c>
      <c r="Q3332" s="10">
        <f>IFERROR(IF(('Loading-drum,tote'!$C$21)="No control",SUMIF(('Loading-drum,tote'!$B$31:$B$48),$J3332,('Loading-drum,tote'!$D$31:$D$48))*Impacts!$F$13,IF(('Loading-drum,tote'!$C$21)&lt;&gt;"No control",SUMIF(('Loading-drum,tote'!$B$31:$B$48),$J3332,('Loading-drum,tote'!$E$31:$E$48))*Impacts!$F$13,0)),0)</f>
        <v>0</v>
      </c>
      <c r="R3332" s="10">
        <f>IFERROR(IF(('Loading-truck'!$C$21)="No control",SUMIF(('Loading-truck'!$B$31:$B$48),$J3332,('Loading-truck'!$D$31:$D$48))*Impacts!$F$14,IF(('Loading-truck'!$C$21)&lt;&gt;"No control",SUMIF(('Loading-truck'!$B$31:$B$48),$J3332,('Loading-truck'!$E$31:$E$48))*Impacts!$F$14,0)),0)</f>
        <v>0</v>
      </c>
      <c r="S3332" s="10">
        <f>IFERROR(IF(('Loading-rail'!$C$21)="No control",SUMIF(('Loading-rail'!$B$31:$B$48),$J3332,('Loading-rail'!$D$31:$D$48))*Impacts!$F$15,IF(('Loading-rail'!$C$21)&lt;&gt;"No control",SUMIF(('Loading-rail'!$B$31:$B$48),$J3332,('Loading-rail'!$E$31:$E$48))*Impacts!$F$15,0)),0)</f>
        <v>0</v>
      </c>
      <c r="T3332" s="10">
        <f>IF(Flare!$C$7="",0,(SUMIF(Flare!$B$46:$B$185,$J3332,Flare!$E$46:$E$185)*Impacts!$F$16))</f>
        <v>0</v>
      </c>
      <c r="U3332" s="10">
        <f>IF(VCU!$C$9="",0,(SUMIF(VCU!$B$51:$B$193,$J3332,VCU!$E$51:$E$193)*Impacts!$F$17))</f>
        <v>0</v>
      </c>
      <c r="V3332" s="10">
        <f>IF(CAS!$C$7="",0,(SUMIF(CAS!$B$31:$B$167,$J3332,CAS!$E$31:$E$167)*Impacts!$F$18))</f>
        <v>0</v>
      </c>
      <c r="W3332" s="10">
        <f t="shared" si="92"/>
        <v>0</v>
      </c>
      <c r="AK3332" s="10" t="str">
        <f t="array" ref="AK3332">IFERROR(INDEX(SelectedSpecies,SMALL(IF(SelectedSpecies=AK$1,ROW(SelectedSpecies)),ROW(3333:3333)),2),"")</f>
        <v/>
      </c>
      <c r="BE3332" s="10"/>
      <c r="BI3332" s="10"/>
    </row>
    <row r="3333" spans="1:61" ht="21" customHeight="1" x14ac:dyDescent="0.25">
      <c r="A3333" s="10"/>
      <c r="B3333" s="10"/>
      <c r="E3333" s="10"/>
      <c r="G3333" s="10"/>
      <c r="I3333" s="436" t="s">
        <v>6934</v>
      </c>
      <c r="J3333" s="26" t="s">
        <v>6933</v>
      </c>
      <c r="K3333" s="10">
        <v>0.5</v>
      </c>
      <c r="L3333" s="73">
        <f>IF(Tank1!$C$23="No control",(SUMIF(Tank1!$B$32:$B$49,$J3333,Tank1!$C$32:$C$49)*Impacts!$F$8),0)</f>
        <v>0</v>
      </c>
      <c r="M3333" s="10">
        <f>IF(Tank2!$C$23="No control",(SUMIF(Tank2!$B$32:$B$49,$J3333,Tank2!$C$32:$C$49)*Impacts!$F$9),0)</f>
        <v>0</v>
      </c>
      <c r="N3333" s="10">
        <f>IF(Tank3!$C$23="No control",(SUMIF(Tank3!$B$32:$B$49,$J3333,Tank3!$C$32:$C$49)*Impacts!$F$10),0)</f>
        <v>0</v>
      </c>
      <c r="O3333" s="10">
        <f>IF(Tank4!$C$23="No control",(SUMIF(Tank4!$B$32:$B$49,$J3333,Tank4!$C$32:$C$49)*Impacts!$F$11),0)</f>
        <v>0</v>
      </c>
      <c r="P3333" s="10">
        <f>IF(Tank5!$C$23="No control",(SUMIF(Tank5!$B$32:$B$49,$J3333,Tank5!$C$32:$C$49)*Impacts!$F$12),0)</f>
        <v>0</v>
      </c>
      <c r="Q3333" s="10">
        <f>IFERROR(IF(('Loading-drum,tote'!$C$21)="No control",SUMIF(('Loading-drum,tote'!$B$31:$B$48),$J3333,('Loading-drum,tote'!$D$31:$D$48))*Impacts!$F$13,IF(('Loading-drum,tote'!$C$21)&lt;&gt;"No control",SUMIF(('Loading-drum,tote'!$B$31:$B$48),$J3333,('Loading-drum,tote'!$E$31:$E$48))*Impacts!$F$13,0)),0)</f>
        <v>0</v>
      </c>
      <c r="R3333" s="10">
        <f>IFERROR(IF(('Loading-truck'!$C$21)="No control",SUMIF(('Loading-truck'!$B$31:$B$48),$J3333,('Loading-truck'!$D$31:$D$48))*Impacts!$F$14,IF(('Loading-truck'!$C$21)&lt;&gt;"No control",SUMIF(('Loading-truck'!$B$31:$B$48),$J3333,('Loading-truck'!$E$31:$E$48))*Impacts!$F$14,0)),0)</f>
        <v>0</v>
      </c>
      <c r="S3333" s="10">
        <f>IFERROR(IF(('Loading-rail'!$C$21)="No control",SUMIF(('Loading-rail'!$B$31:$B$48),$J3333,('Loading-rail'!$D$31:$D$48))*Impacts!$F$15,IF(('Loading-rail'!$C$21)&lt;&gt;"No control",SUMIF(('Loading-rail'!$B$31:$B$48),$J3333,('Loading-rail'!$E$31:$E$48))*Impacts!$F$15,0)),0)</f>
        <v>0</v>
      </c>
      <c r="T3333" s="10">
        <f>IF(Flare!$C$7="",0,(SUMIF(Flare!$B$46:$B$185,$J3333,Flare!$E$46:$E$185)*Impacts!$F$16))</f>
        <v>0</v>
      </c>
      <c r="U3333" s="10">
        <f>IF(VCU!$C$9="",0,(SUMIF(VCU!$B$51:$B$193,$J3333,VCU!$E$51:$E$193)*Impacts!$F$17))</f>
        <v>0</v>
      </c>
      <c r="V3333" s="10">
        <f>IF(CAS!$C$7="",0,(SUMIF(CAS!$B$31:$B$167,$J3333,CAS!$E$31:$E$167)*Impacts!$F$18))</f>
        <v>0</v>
      </c>
      <c r="W3333" s="10">
        <f t="shared" si="92"/>
        <v>0</v>
      </c>
      <c r="AK3333" s="10" t="str">
        <f t="array" ref="AK3333">IFERROR(INDEX(SelectedSpecies,SMALL(IF(SelectedSpecies=AK$1,ROW(SelectedSpecies)),ROW(3334:3334)),2),"")</f>
        <v/>
      </c>
      <c r="BE3333" s="10"/>
      <c r="BI3333" s="10"/>
    </row>
    <row r="3334" spans="1:61" ht="21" customHeight="1" x14ac:dyDescent="0.25">
      <c r="A3334" s="10"/>
      <c r="B3334" s="10"/>
      <c r="E3334" s="10"/>
      <c r="G3334" s="10"/>
      <c r="I3334" s="436" t="s">
        <v>4311</v>
      </c>
      <c r="J3334" s="26" t="s">
        <v>4310</v>
      </c>
      <c r="K3334" s="10">
        <v>5</v>
      </c>
      <c r="L3334" s="73">
        <f>IF(Tank1!$C$23="No control",(SUMIF(Tank1!$B$32:$B$49,$J3334,Tank1!$C$32:$C$49)*Impacts!$F$8),0)</f>
        <v>0</v>
      </c>
      <c r="M3334" s="10">
        <f>IF(Tank2!$C$23="No control",(SUMIF(Tank2!$B$32:$B$49,$J3334,Tank2!$C$32:$C$49)*Impacts!$F$9),0)</f>
        <v>0</v>
      </c>
      <c r="N3334" s="10">
        <f>IF(Tank3!$C$23="No control",(SUMIF(Tank3!$B$32:$B$49,$J3334,Tank3!$C$32:$C$49)*Impacts!$F$10),0)</f>
        <v>0</v>
      </c>
      <c r="O3334" s="10">
        <f>IF(Tank4!$C$23="No control",(SUMIF(Tank4!$B$32:$B$49,$J3334,Tank4!$C$32:$C$49)*Impacts!$F$11),0)</f>
        <v>0</v>
      </c>
      <c r="P3334" s="10">
        <f>IF(Tank5!$C$23="No control",(SUMIF(Tank5!$B$32:$B$49,$J3334,Tank5!$C$32:$C$49)*Impacts!$F$12),0)</f>
        <v>0</v>
      </c>
      <c r="Q3334" s="10">
        <f>IFERROR(IF(('Loading-drum,tote'!$C$21)="No control",SUMIF(('Loading-drum,tote'!$B$31:$B$48),$J3334,('Loading-drum,tote'!$D$31:$D$48))*Impacts!$F$13,IF(('Loading-drum,tote'!$C$21)&lt;&gt;"No control",SUMIF(('Loading-drum,tote'!$B$31:$B$48),$J3334,('Loading-drum,tote'!$E$31:$E$48))*Impacts!$F$13,0)),0)</f>
        <v>0</v>
      </c>
      <c r="R3334" s="10">
        <f>IFERROR(IF(('Loading-truck'!$C$21)="No control",SUMIF(('Loading-truck'!$B$31:$B$48),$J3334,('Loading-truck'!$D$31:$D$48))*Impacts!$F$14,IF(('Loading-truck'!$C$21)&lt;&gt;"No control",SUMIF(('Loading-truck'!$B$31:$B$48),$J3334,('Loading-truck'!$E$31:$E$48))*Impacts!$F$14,0)),0)</f>
        <v>0</v>
      </c>
      <c r="S3334" s="10">
        <f>IFERROR(IF(('Loading-rail'!$C$21)="No control",SUMIF(('Loading-rail'!$B$31:$B$48),$J3334,('Loading-rail'!$D$31:$D$48))*Impacts!$F$15,IF(('Loading-rail'!$C$21)&lt;&gt;"No control",SUMIF(('Loading-rail'!$B$31:$B$48),$J3334,('Loading-rail'!$E$31:$E$48))*Impacts!$F$15,0)),0)</f>
        <v>0</v>
      </c>
      <c r="T3334" s="10">
        <f>IF(Flare!$C$7="",0,(SUMIF(Flare!$B$46:$B$185,$J3334,Flare!$E$46:$E$185)*Impacts!$F$16))</f>
        <v>0</v>
      </c>
      <c r="U3334" s="10">
        <f>IF(VCU!$C$9="",0,(SUMIF(VCU!$B$51:$B$193,$J3334,VCU!$E$51:$E$193)*Impacts!$F$17))</f>
        <v>0</v>
      </c>
      <c r="V3334" s="10">
        <f>IF(CAS!$C$7="",0,(SUMIF(CAS!$B$31:$B$167,$J3334,CAS!$E$31:$E$167)*Impacts!$F$18))</f>
        <v>0</v>
      </c>
      <c r="W3334" s="10">
        <f t="shared" si="92"/>
        <v>0</v>
      </c>
      <c r="AK3334" s="10" t="str">
        <f t="array" ref="AK3334">IFERROR(INDEX(SelectedSpecies,SMALL(IF(SelectedSpecies=AK$1,ROW(SelectedSpecies)),ROW(3335:3335)),2),"")</f>
        <v/>
      </c>
      <c r="BE3334" s="10"/>
      <c r="BI3334" s="10"/>
    </row>
    <row r="3335" spans="1:61" ht="21" customHeight="1" x14ac:dyDescent="0.25">
      <c r="A3335" s="10"/>
      <c r="B3335" s="10"/>
      <c r="E3335" s="10"/>
      <c r="G3335" s="10"/>
      <c r="I3335" s="436" t="s">
        <v>1879</v>
      </c>
      <c r="J3335" s="26" t="s">
        <v>1878</v>
      </c>
      <c r="K3335" s="10">
        <v>20</v>
      </c>
      <c r="L3335" s="73">
        <f>IF(Tank1!$C$23="No control",(SUMIF(Tank1!$B$32:$B$49,$J3335,Tank1!$C$32:$C$49)*Impacts!$F$8),0)</f>
        <v>0</v>
      </c>
      <c r="M3335" s="10">
        <f>IF(Tank2!$C$23="No control",(SUMIF(Tank2!$B$32:$B$49,$J3335,Tank2!$C$32:$C$49)*Impacts!$F$9),0)</f>
        <v>0</v>
      </c>
      <c r="N3335" s="10">
        <f>IF(Tank3!$C$23="No control",(SUMIF(Tank3!$B$32:$B$49,$J3335,Tank3!$C$32:$C$49)*Impacts!$F$10),0)</f>
        <v>0</v>
      </c>
      <c r="O3335" s="10">
        <f>IF(Tank4!$C$23="No control",(SUMIF(Tank4!$B$32:$B$49,$J3335,Tank4!$C$32:$C$49)*Impacts!$F$11),0)</f>
        <v>0</v>
      </c>
      <c r="P3335" s="10">
        <f>IF(Tank5!$C$23="No control",(SUMIF(Tank5!$B$32:$B$49,$J3335,Tank5!$C$32:$C$49)*Impacts!$F$12),0)</f>
        <v>0</v>
      </c>
      <c r="Q3335" s="10">
        <f>IFERROR(IF(('Loading-drum,tote'!$C$21)="No control",SUMIF(('Loading-drum,tote'!$B$31:$B$48),$J3335,('Loading-drum,tote'!$D$31:$D$48))*Impacts!$F$13,IF(('Loading-drum,tote'!$C$21)&lt;&gt;"No control",SUMIF(('Loading-drum,tote'!$B$31:$B$48),$J3335,('Loading-drum,tote'!$E$31:$E$48))*Impacts!$F$13,0)),0)</f>
        <v>0</v>
      </c>
      <c r="R3335" s="10">
        <f>IFERROR(IF(('Loading-truck'!$C$21)="No control",SUMIF(('Loading-truck'!$B$31:$B$48),$J3335,('Loading-truck'!$D$31:$D$48))*Impacts!$F$14,IF(('Loading-truck'!$C$21)&lt;&gt;"No control",SUMIF(('Loading-truck'!$B$31:$B$48),$J3335,('Loading-truck'!$E$31:$E$48))*Impacts!$F$14,0)),0)</f>
        <v>0</v>
      </c>
      <c r="S3335" s="10">
        <f>IFERROR(IF(('Loading-rail'!$C$21)="No control",SUMIF(('Loading-rail'!$B$31:$B$48),$J3335,('Loading-rail'!$D$31:$D$48))*Impacts!$F$15,IF(('Loading-rail'!$C$21)&lt;&gt;"No control",SUMIF(('Loading-rail'!$B$31:$B$48),$J3335,('Loading-rail'!$E$31:$E$48))*Impacts!$F$15,0)),0)</f>
        <v>0</v>
      </c>
      <c r="T3335" s="10">
        <f>IF(Flare!$C$7="",0,(SUMIF(Flare!$B$46:$B$185,$J3335,Flare!$E$46:$E$185)*Impacts!$F$16))</f>
        <v>0</v>
      </c>
      <c r="U3335" s="10">
        <f>IF(VCU!$C$9="",0,(SUMIF(VCU!$B$51:$B$193,$J3335,VCU!$E$51:$E$193)*Impacts!$F$17))</f>
        <v>0</v>
      </c>
      <c r="V3335" s="10">
        <f>IF(CAS!$C$7="",0,(SUMIF(CAS!$B$31:$B$167,$J3335,CAS!$E$31:$E$167)*Impacts!$F$18))</f>
        <v>0</v>
      </c>
      <c r="W3335" s="10">
        <f t="shared" si="92"/>
        <v>0</v>
      </c>
      <c r="AK3335" s="10" t="str">
        <f t="array" ref="AK3335">IFERROR(INDEX(SelectedSpecies,SMALL(IF(SelectedSpecies=AK$1,ROW(SelectedSpecies)),ROW(3336:3336)),2),"")</f>
        <v/>
      </c>
      <c r="BE3335" s="10"/>
      <c r="BI3335" s="10"/>
    </row>
    <row r="3336" spans="1:61" ht="21" customHeight="1" x14ac:dyDescent="0.25">
      <c r="A3336" s="10"/>
      <c r="B3336" s="10"/>
      <c r="E3336" s="10"/>
      <c r="G3336" s="10"/>
      <c r="I3336" s="436" t="s">
        <v>4027</v>
      </c>
      <c r="J3336" s="26" t="s">
        <v>4026</v>
      </c>
      <c r="K3336" s="10">
        <v>6</v>
      </c>
      <c r="L3336" s="73">
        <f>IF(Tank1!$C$23="No control",(SUMIF(Tank1!$B$32:$B$49,$J3336,Tank1!$C$32:$C$49)*Impacts!$F$8),0)</f>
        <v>0</v>
      </c>
      <c r="M3336" s="10">
        <f>IF(Tank2!$C$23="No control",(SUMIF(Tank2!$B$32:$B$49,$J3336,Tank2!$C$32:$C$49)*Impacts!$F$9),0)</f>
        <v>0</v>
      </c>
      <c r="N3336" s="10">
        <f>IF(Tank3!$C$23="No control",(SUMIF(Tank3!$B$32:$B$49,$J3336,Tank3!$C$32:$C$49)*Impacts!$F$10),0)</f>
        <v>0</v>
      </c>
      <c r="O3336" s="10">
        <f>IF(Tank4!$C$23="No control",(SUMIF(Tank4!$B$32:$B$49,$J3336,Tank4!$C$32:$C$49)*Impacts!$F$11),0)</f>
        <v>0</v>
      </c>
      <c r="P3336" s="10">
        <f>IF(Tank5!$C$23="No control",(SUMIF(Tank5!$B$32:$B$49,$J3336,Tank5!$C$32:$C$49)*Impacts!$F$12),0)</f>
        <v>0</v>
      </c>
      <c r="Q3336" s="10">
        <f>IFERROR(IF(('Loading-drum,tote'!$C$21)="No control",SUMIF(('Loading-drum,tote'!$B$31:$B$48),$J3336,('Loading-drum,tote'!$D$31:$D$48))*Impacts!$F$13,IF(('Loading-drum,tote'!$C$21)&lt;&gt;"No control",SUMIF(('Loading-drum,tote'!$B$31:$B$48),$J3336,('Loading-drum,tote'!$E$31:$E$48))*Impacts!$F$13,0)),0)</f>
        <v>0</v>
      </c>
      <c r="R3336" s="10">
        <f>IFERROR(IF(('Loading-truck'!$C$21)="No control",SUMIF(('Loading-truck'!$B$31:$B$48),$J3336,('Loading-truck'!$D$31:$D$48))*Impacts!$F$14,IF(('Loading-truck'!$C$21)&lt;&gt;"No control",SUMIF(('Loading-truck'!$B$31:$B$48),$J3336,('Loading-truck'!$E$31:$E$48))*Impacts!$F$14,0)),0)</f>
        <v>0</v>
      </c>
      <c r="S3336" s="10">
        <f>IFERROR(IF(('Loading-rail'!$C$21)="No control",SUMIF(('Loading-rail'!$B$31:$B$48),$J3336,('Loading-rail'!$D$31:$D$48))*Impacts!$F$15,IF(('Loading-rail'!$C$21)&lt;&gt;"No control",SUMIF(('Loading-rail'!$B$31:$B$48),$J3336,('Loading-rail'!$E$31:$E$48))*Impacts!$F$15,0)),0)</f>
        <v>0</v>
      </c>
      <c r="T3336" s="10">
        <f>IF(Flare!$C$7="",0,(SUMIF(Flare!$B$46:$B$185,$J3336,Flare!$E$46:$E$185)*Impacts!$F$16))</f>
        <v>0</v>
      </c>
      <c r="U3336" s="10">
        <f>IF(VCU!$C$9="",0,(SUMIF(VCU!$B$51:$B$193,$J3336,VCU!$E$51:$E$193)*Impacts!$F$17))</f>
        <v>0</v>
      </c>
      <c r="V3336" s="10">
        <f>IF(CAS!$C$7="",0,(SUMIF(CAS!$B$31:$B$167,$J3336,CAS!$E$31:$E$167)*Impacts!$F$18))</f>
        <v>0</v>
      </c>
      <c r="W3336" s="10">
        <f t="shared" si="92"/>
        <v>0</v>
      </c>
      <c r="AK3336" s="10" t="str">
        <f t="array" ref="AK3336">IFERROR(INDEX(SelectedSpecies,SMALL(IF(SelectedSpecies=AK$1,ROW(SelectedSpecies)),ROW(3337:3337)),2),"")</f>
        <v/>
      </c>
      <c r="BE3336" s="10"/>
      <c r="BI3336" s="10"/>
    </row>
    <row r="3337" spans="1:61" ht="21" customHeight="1" x14ac:dyDescent="0.25">
      <c r="A3337" s="10"/>
      <c r="B3337" s="10"/>
      <c r="E3337" s="10"/>
      <c r="G3337" s="10"/>
      <c r="I3337" s="436" t="s">
        <v>740</v>
      </c>
      <c r="J3337" s="26" t="s">
        <v>739</v>
      </c>
      <c r="K3337" s="10">
        <v>57</v>
      </c>
      <c r="L3337" s="73">
        <f>IF(Tank1!$C$23="No control",(SUMIF(Tank1!$B$32:$B$49,$J3337,Tank1!$C$32:$C$49)*Impacts!$F$8),0)</f>
        <v>0</v>
      </c>
      <c r="M3337" s="10">
        <f>IF(Tank2!$C$23="No control",(SUMIF(Tank2!$B$32:$B$49,$J3337,Tank2!$C$32:$C$49)*Impacts!$F$9),0)</f>
        <v>0</v>
      </c>
      <c r="N3337" s="10">
        <f>IF(Tank3!$C$23="No control",(SUMIF(Tank3!$B$32:$B$49,$J3337,Tank3!$C$32:$C$49)*Impacts!$F$10),0)</f>
        <v>0</v>
      </c>
      <c r="O3337" s="10">
        <f>IF(Tank4!$C$23="No control",(SUMIF(Tank4!$B$32:$B$49,$J3337,Tank4!$C$32:$C$49)*Impacts!$F$11),0)</f>
        <v>0</v>
      </c>
      <c r="P3337" s="10">
        <f>IF(Tank5!$C$23="No control",(SUMIF(Tank5!$B$32:$B$49,$J3337,Tank5!$C$32:$C$49)*Impacts!$F$12),0)</f>
        <v>0</v>
      </c>
      <c r="Q3337" s="10">
        <f>IFERROR(IF(('Loading-drum,tote'!$C$21)="No control",SUMIF(('Loading-drum,tote'!$B$31:$B$48),$J3337,('Loading-drum,tote'!$D$31:$D$48))*Impacts!$F$13,IF(('Loading-drum,tote'!$C$21)&lt;&gt;"No control",SUMIF(('Loading-drum,tote'!$B$31:$B$48),$J3337,('Loading-drum,tote'!$E$31:$E$48))*Impacts!$F$13,0)),0)</f>
        <v>0</v>
      </c>
      <c r="R3337" s="10">
        <f>IFERROR(IF(('Loading-truck'!$C$21)="No control",SUMIF(('Loading-truck'!$B$31:$B$48),$J3337,('Loading-truck'!$D$31:$D$48))*Impacts!$F$14,IF(('Loading-truck'!$C$21)&lt;&gt;"No control",SUMIF(('Loading-truck'!$B$31:$B$48),$J3337,('Loading-truck'!$E$31:$E$48))*Impacts!$F$14,0)),0)</f>
        <v>0</v>
      </c>
      <c r="S3337" s="10">
        <f>IFERROR(IF(('Loading-rail'!$C$21)="No control",SUMIF(('Loading-rail'!$B$31:$B$48),$J3337,('Loading-rail'!$D$31:$D$48))*Impacts!$F$15,IF(('Loading-rail'!$C$21)&lt;&gt;"No control",SUMIF(('Loading-rail'!$B$31:$B$48),$J3337,('Loading-rail'!$E$31:$E$48))*Impacts!$F$15,0)),0)</f>
        <v>0</v>
      </c>
      <c r="T3337" s="10">
        <f>IF(Flare!$C$7="",0,(SUMIF(Flare!$B$46:$B$185,$J3337,Flare!$E$46:$E$185)*Impacts!$F$16))</f>
        <v>0</v>
      </c>
      <c r="U3337" s="10">
        <f>IF(VCU!$C$9="",0,(SUMIF(VCU!$B$51:$B$193,$J3337,VCU!$E$51:$E$193)*Impacts!$F$17))</f>
        <v>0</v>
      </c>
      <c r="V3337" s="10">
        <f>IF(CAS!$C$7="",0,(SUMIF(CAS!$B$31:$B$167,$J3337,CAS!$E$31:$E$167)*Impacts!$F$18))</f>
        <v>0</v>
      </c>
      <c r="W3337" s="10">
        <f t="shared" si="92"/>
        <v>0</v>
      </c>
      <c r="AK3337" s="10" t="str">
        <f t="array" ref="AK3337">IFERROR(INDEX(SelectedSpecies,SMALL(IF(SelectedSpecies=AK$1,ROW(SelectedSpecies)),ROW(3338:3338)),2),"")</f>
        <v/>
      </c>
      <c r="BE3337" s="10"/>
      <c r="BI3337" s="10"/>
    </row>
    <row r="3338" spans="1:61" ht="21" customHeight="1" x14ac:dyDescent="0.25">
      <c r="A3338" s="10"/>
      <c r="B3338" s="10"/>
      <c r="E3338" s="10"/>
      <c r="G3338" s="10"/>
      <c r="I3338" s="436" t="s">
        <v>3357</v>
      </c>
      <c r="J3338" s="26" t="s">
        <v>3356</v>
      </c>
      <c r="K3338" s="10">
        <v>10</v>
      </c>
      <c r="L3338" s="73">
        <f>IF(Tank1!$C$23="No control",(SUMIF(Tank1!$B$32:$B$49,$J3338,Tank1!$C$32:$C$49)*Impacts!$F$8),0)</f>
        <v>0</v>
      </c>
      <c r="M3338" s="10">
        <f>IF(Tank2!$C$23="No control",(SUMIF(Tank2!$B$32:$B$49,$J3338,Tank2!$C$32:$C$49)*Impacts!$F$9),0)</f>
        <v>0</v>
      </c>
      <c r="N3338" s="10">
        <f>IF(Tank3!$C$23="No control",(SUMIF(Tank3!$B$32:$B$49,$J3338,Tank3!$C$32:$C$49)*Impacts!$F$10),0)</f>
        <v>0</v>
      </c>
      <c r="O3338" s="10">
        <f>IF(Tank4!$C$23="No control",(SUMIF(Tank4!$B$32:$B$49,$J3338,Tank4!$C$32:$C$49)*Impacts!$F$11),0)</f>
        <v>0</v>
      </c>
      <c r="P3338" s="10">
        <f>IF(Tank5!$C$23="No control",(SUMIF(Tank5!$B$32:$B$49,$J3338,Tank5!$C$32:$C$49)*Impacts!$F$12),0)</f>
        <v>0</v>
      </c>
      <c r="Q3338" s="10">
        <f>IFERROR(IF(('Loading-drum,tote'!$C$21)="No control",SUMIF(('Loading-drum,tote'!$B$31:$B$48),$J3338,('Loading-drum,tote'!$D$31:$D$48))*Impacts!$F$13,IF(('Loading-drum,tote'!$C$21)&lt;&gt;"No control",SUMIF(('Loading-drum,tote'!$B$31:$B$48),$J3338,('Loading-drum,tote'!$E$31:$E$48))*Impacts!$F$13,0)),0)</f>
        <v>0</v>
      </c>
      <c r="R3338" s="10">
        <f>IFERROR(IF(('Loading-truck'!$C$21)="No control",SUMIF(('Loading-truck'!$B$31:$B$48),$J3338,('Loading-truck'!$D$31:$D$48))*Impacts!$F$14,IF(('Loading-truck'!$C$21)&lt;&gt;"No control",SUMIF(('Loading-truck'!$B$31:$B$48),$J3338,('Loading-truck'!$E$31:$E$48))*Impacts!$F$14,0)),0)</f>
        <v>0</v>
      </c>
      <c r="S3338" s="10">
        <f>IFERROR(IF(('Loading-rail'!$C$21)="No control",SUMIF(('Loading-rail'!$B$31:$B$48),$J3338,('Loading-rail'!$D$31:$D$48))*Impacts!$F$15,IF(('Loading-rail'!$C$21)&lt;&gt;"No control",SUMIF(('Loading-rail'!$B$31:$B$48),$J3338,('Loading-rail'!$E$31:$E$48))*Impacts!$F$15,0)),0)</f>
        <v>0</v>
      </c>
      <c r="T3338" s="10">
        <f>IF(Flare!$C$7="",0,(SUMIF(Flare!$B$46:$B$185,$J3338,Flare!$E$46:$E$185)*Impacts!$F$16))</f>
        <v>0</v>
      </c>
      <c r="U3338" s="10">
        <f>IF(VCU!$C$9="",0,(SUMIF(VCU!$B$51:$B$193,$J3338,VCU!$E$51:$E$193)*Impacts!$F$17))</f>
        <v>0</v>
      </c>
      <c r="V3338" s="10">
        <f>IF(CAS!$C$7="",0,(SUMIF(CAS!$B$31:$B$167,$J3338,CAS!$E$31:$E$167)*Impacts!$F$18))</f>
        <v>0</v>
      </c>
      <c r="W3338" s="10">
        <f t="shared" si="92"/>
        <v>0</v>
      </c>
      <c r="AK3338" s="10" t="str">
        <f t="array" ref="AK3338">IFERROR(INDEX(SelectedSpecies,SMALL(IF(SelectedSpecies=AK$1,ROW(SelectedSpecies)),ROW(3339:3339)),2),"")</f>
        <v/>
      </c>
      <c r="BE3338" s="10"/>
      <c r="BI3338" s="10"/>
    </row>
    <row r="3339" spans="1:61" ht="21" customHeight="1" x14ac:dyDescent="0.25">
      <c r="A3339" s="10"/>
      <c r="B3339" s="10"/>
      <c r="E3339" s="10"/>
      <c r="G3339" s="10"/>
      <c r="I3339" s="436" t="s">
        <v>7938</v>
      </c>
      <c r="J3339" s="26" t="s">
        <v>7937</v>
      </c>
      <c r="K3339" s="10">
        <v>0.05</v>
      </c>
      <c r="L3339" s="73">
        <f>IF(Tank1!$C$23="No control",(SUMIF(Tank1!$B$32:$B$49,$J3339,Tank1!$C$32:$C$49)*Impacts!$F$8),0)</f>
        <v>0</v>
      </c>
      <c r="M3339" s="10">
        <f>IF(Tank2!$C$23="No control",(SUMIF(Tank2!$B$32:$B$49,$J3339,Tank2!$C$32:$C$49)*Impacts!$F$9),0)</f>
        <v>0</v>
      </c>
      <c r="N3339" s="10">
        <f>IF(Tank3!$C$23="No control",(SUMIF(Tank3!$B$32:$B$49,$J3339,Tank3!$C$32:$C$49)*Impacts!$F$10),0)</f>
        <v>0</v>
      </c>
      <c r="O3339" s="10">
        <f>IF(Tank4!$C$23="No control",(SUMIF(Tank4!$B$32:$B$49,$J3339,Tank4!$C$32:$C$49)*Impacts!$F$11),0)</f>
        <v>0</v>
      </c>
      <c r="P3339" s="10">
        <f>IF(Tank5!$C$23="No control",(SUMIF(Tank5!$B$32:$B$49,$J3339,Tank5!$C$32:$C$49)*Impacts!$F$12),0)</f>
        <v>0</v>
      </c>
      <c r="Q3339" s="10">
        <f>IFERROR(IF(('Loading-drum,tote'!$C$21)="No control",SUMIF(('Loading-drum,tote'!$B$31:$B$48),$J3339,('Loading-drum,tote'!$D$31:$D$48))*Impacts!$F$13,IF(('Loading-drum,tote'!$C$21)&lt;&gt;"No control",SUMIF(('Loading-drum,tote'!$B$31:$B$48),$J3339,('Loading-drum,tote'!$E$31:$E$48))*Impacts!$F$13,0)),0)</f>
        <v>0</v>
      </c>
      <c r="R3339" s="10">
        <f>IFERROR(IF(('Loading-truck'!$C$21)="No control",SUMIF(('Loading-truck'!$B$31:$B$48),$J3339,('Loading-truck'!$D$31:$D$48))*Impacts!$F$14,IF(('Loading-truck'!$C$21)&lt;&gt;"No control",SUMIF(('Loading-truck'!$B$31:$B$48),$J3339,('Loading-truck'!$E$31:$E$48))*Impacts!$F$14,0)),0)</f>
        <v>0</v>
      </c>
      <c r="S3339" s="10">
        <f>IFERROR(IF(('Loading-rail'!$C$21)="No control",SUMIF(('Loading-rail'!$B$31:$B$48),$J3339,('Loading-rail'!$D$31:$D$48))*Impacts!$F$15,IF(('Loading-rail'!$C$21)&lt;&gt;"No control",SUMIF(('Loading-rail'!$B$31:$B$48),$J3339,('Loading-rail'!$E$31:$E$48))*Impacts!$F$15,0)),0)</f>
        <v>0</v>
      </c>
      <c r="T3339" s="10">
        <f>IF(Flare!$C$7="",0,(SUMIF(Flare!$B$46:$B$185,$J3339,Flare!$E$46:$E$185)*Impacts!$F$16))</f>
        <v>0</v>
      </c>
      <c r="U3339" s="10">
        <f>IF(VCU!$C$9="",0,(SUMIF(VCU!$B$51:$B$193,$J3339,VCU!$E$51:$E$193)*Impacts!$F$17))</f>
        <v>0</v>
      </c>
      <c r="V3339" s="10">
        <f>IF(CAS!$C$7="",0,(SUMIF(CAS!$B$31:$B$167,$J3339,CAS!$E$31:$E$167)*Impacts!$F$18))</f>
        <v>0</v>
      </c>
      <c r="W3339" s="10">
        <f t="shared" si="92"/>
        <v>0</v>
      </c>
      <c r="AK3339" s="10" t="str">
        <f t="array" ref="AK3339">IFERROR(INDEX(SelectedSpecies,SMALL(IF(SelectedSpecies=AK$1,ROW(SelectedSpecies)),ROW(3340:3340)),2),"")</f>
        <v/>
      </c>
      <c r="BE3339" s="10"/>
      <c r="BI3339" s="10"/>
    </row>
    <row r="3340" spans="1:61" ht="21" customHeight="1" x14ac:dyDescent="0.25">
      <c r="A3340" s="10"/>
      <c r="B3340" s="10"/>
      <c r="E3340" s="10"/>
      <c r="G3340" s="10"/>
      <c r="I3340" s="436" t="s">
        <v>2609</v>
      </c>
      <c r="J3340" s="26" t="s">
        <v>2608</v>
      </c>
      <c r="K3340" s="10">
        <v>10</v>
      </c>
      <c r="L3340" s="73">
        <f>IF(Tank1!$C$23="No control",(SUMIF(Tank1!$B$32:$B$49,$J3340,Tank1!$C$32:$C$49)*Impacts!$F$8),0)</f>
        <v>0</v>
      </c>
      <c r="M3340" s="10">
        <f>IF(Tank2!$C$23="No control",(SUMIF(Tank2!$B$32:$B$49,$J3340,Tank2!$C$32:$C$49)*Impacts!$F$9),0)</f>
        <v>0</v>
      </c>
      <c r="N3340" s="10">
        <f>IF(Tank3!$C$23="No control",(SUMIF(Tank3!$B$32:$B$49,$J3340,Tank3!$C$32:$C$49)*Impacts!$F$10),0)</f>
        <v>0</v>
      </c>
      <c r="O3340" s="10">
        <f>IF(Tank4!$C$23="No control",(SUMIF(Tank4!$B$32:$B$49,$J3340,Tank4!$C$32:$C$49)*Impacts!$F$11),0)</f>
        <v>0</v>
      </c>
      <c r="P3340" s="10">
        <f>IF(Tank5!$C$23="No control",(SUMIF(Tank5!$B$32:$B$49,$J3340,Tank5!$C$32:$C$49)*Impacts!$F$12),0)</f>
        <v>0</v>
      </c>
      <c r="Q3340" s="10">
        <f>IFERROR(IF(('Loading-drum,tote'!$C$21)="No control",SUMIF(('Loading-drum,tote'!$B$31:$B$48),$J3340,('Loading-drum,tote'!$D$31:$D$48))*Impacts!$F$13,IF(('Loading-drum,tote'!$C$21)&lt;&gt;"No control",SUMIF(('Loading-drum,tote'!$B$31:$B$48),$J3340,('Loading-drum,tote'!$E$31:$E$48))*Impacts!$F$13,0)),0)</f>
        <v>0</v>
      </c>
      <c r="R3340" s="10">
        <f>IFERROR(IF(('Loading-truck'!$C$21)="No control",SUMIF(('Loading-truck'!$B$31:$B$48),$J3340,('Loading-truck'!$D$31:$D$48))*Impacts!$F$14,IF(('Loading-truck'!$C$21)&lt;&gt;"No control",SUMIF(('Loading-truck'!$B$31:$B$48),$J3340,('Loading-truck'!$E$31:$E$48))*Impacts!$F$14,0)),0)</f>
        <v>0</v>
      </c>
      <c r="S3340" s="10">
        <f>IFERROR(IF(('Loading-rail'!$C$21)="No control",SUMIF(('Loading-rail'!$B$31:$B$48),$J3340,('Loading-rail'!$D$31:$D$48))*Impacts!$F$15,IF(('Loading-rail'!$C$21)&lt;&gt;"No control",SUMIF(('Loading-rail'!$B$31:$B$48),$J3340,('Loading-rail'!$E$31:$E$48))*Impacts!$F$15,0)),0)</f>
        <v>0</v>
      </c>
      <c r="T3340" s="10">
        <f>IF(Flare!$C$7="",0,(SUMIF(Flare!$B$46:$B$185,$J3340,Flare!$E$46:$E$185)*Impacts!$F$16))</f>
        <v>0</v>
      </c>
      <c r="U3340" s="10">
        <f>IF(VCU!$C$9="",0,(SUMIF(VCU!$B$51:$B$193,$J3340,VCU!$E$51:$E$193)*Impacts!$F$17))</f>
        <v>0</v>
      </c>
      <c r="V3340" s="10">
        <f>IF(CAS!$C$7="",0,(SUMIF(CAS!$B$31:$B$167,$J3340,CAS!$E$31:$E$167)*Impacts!$F$18))</f>
        <v>0</v>
      </c>
      <c r="W3340" s="10">
        <f t="shared" si="92"/>
        <v>0</v>
      </c>
      <c r="AK3340" s="10" t="str">
        <f t="array" ref="AK3340">IFERROR(INDEX(SelectedSpecies,SMALL(IF(SelectedSpecies=AK$1,ROW(SelectedSpecies)),ROW(3341:3341)),2),"")</f>
        <v/>
      </c>
      <c r="BE3340" s="10"/>
      <c r="BI3340" s="10"/>
    </row>
    <row r="3341" spans="1:61" ht="21" customHeight="1" x14ac:dyDescent="0.25">
      <c r="A3341" s="10"/>
      <c r="B3341" s="10"/>
      <c r="E3341" s="10"/>
      <c r="G3341" s="10"/>
      <c r="I3341" s="436" t="s">
        <v>2611</v>
      </c>
      <c r="J3341" s="26" t="s">
        <v>2610</v>
      </c>
      <c r="K3341" s="10">
        <v>10</v>
      </c>
      <c r="L3341" s="73">
        <f>IF(Tank1!$C$23="No control",(SUMIF(Tank1!$B$32:$B$49,$J3341,Tank1!$C$32:$C$49)*Impacts!$F$8),0)</f>
        <v>0</v>
      </c>
      <c r="M3341" s="10">
        <f>IF(Tank2!$C$23="No control",(SUMIF(Tank2!$B$32:$B$49,$J3341,Tank2!$C$32:$C$49)*Impacts!$F$9),0)</f>
        <v>0</v>
      </c>
      <c r="N3341" s="10">
        <f>IF(Tank3!$C$23="No control",(SUMIF(Tank3!$B$32:$B$49,$J3341,Tank3!$C$32:$C$49)*Impacts!$F$10),0)</f>
        <v>0</v>
      </c>
      <c r="O3341" s="10">
        <f>IF(Tank4!$C$23="No control",(SUMIF(Tank4!$B$32:$B$49,$J3341,Tank4!$C$32:$C$49)*Impacts!$F$11),0)</f>
        <v>0</v>
      </c>
      <c r="P3341" s="10">
        <f>IF(Tank5!$C$23="No control",(SUMIF(Tank5!$B$32:$B$49,$J3341,Tank5!$C$32:$C$49)*Impacts!$F$12),0)</f>
        <v>0</v>
      </c>
      <c r="Q3341" s="10">
        <f>IFERROR(IF(('Loading-drum,tote'!$C$21)="No control",SUMIF(('Loading-drum,tote'!$B$31:$B$48),$J3341,('Loading-drum,tote'!$D$31:$D$48))*Impacts!$F$13,IF(('Loading-drum,tote'!$C$21)&lt;&gt;"No control",SUMIF(('Loading-drum,tote'!$B$31:$B$48),$J3341,('Loading-drum,tote'!$E$31:$E$48))*Impacts!$F$13,0)),0)</f>
        <v>0</v>
      </c>
      <c r="R3341" s="10">
        <f>IFERROR(IF(('Loading-truck'!$C$21)="No control",SUMIF(('Loading-truck'!$B$31:$B$48),$J3341,('Loading-truck'!$D$31:$D$48))*Impacts!$F$14,IF(('Loading-truck'!$C$21)&lt;&gt;"No control",SUMIF(('Loading-truck'!$B$31:$B$48),$J3341,('Loading-truck'!$E$31:$E$48))*Impacts!$F$14,0)),0)</f>
        <v>0</v>
      </c>
      <c r="S3341" s="10">
        <f>IFERROR(IF(('Loading-rail'!$C$21)="No control",SUMIF(('Loading-rail'!$B$31:$B$48),$J3341,('Loading-rail'!$D$31:$D$48))*Impacts!$F$15,IF(('Loading-rail'!$C$21)&lt;&gt;"No control",SUMIF(('Loading-rail'!$B$31:$B$48),$J3341,('Loading-rail'!$E$31:$E$48))*Impacts!$F$15,0)),0)</f>
        <v>0</v>
      </c>
      <c r="T3341" s="10">
        <f>IF(Flare!$C$7="",0,(SUMIF(Flare!$B$46:$B$185,$J3341,Flare!$E$46:$E$185)*Impacts!$F$16))</f>
        <v>0</v>
      </c>
      <c r="U3341" s="10">
        <f>IF(VCU!$C$9="",0,(SUMIF(VCU!$B$51:$B$193,$J3341,VCU!$E$51:$E$193)*Impacts!$F$17))</f>
        <v>0</v>
      </c>
      <c r="V3341" s="10">
        <f>IF(CAS!$C$7="",0,(SUMIF(CAS!$B$31:$B$167,$J3341,CAS!$E$31:$E$167)*Impacts!$F$18))</f>
        <v>0</v>
      </c>
      <c r="W3341" s="10">
        <f t="shared" si="92"/>
        <v>0</v>
      </c>
      <c r="AK3341" s="10" t="str">
        <f t="array" ref="AK3341">IFERROR(INDEX(SelectedSpecies,SMALL(IF(SelectedSpecies=AK$1,ROW(SelectedSpecies)),ROW(3342:3342)),2),"")</f>
        <v/>
      </c>
      <c r="BE3341" s="10"/>
      <c r="BI3341" s="10"/>
    </row>
    <row r="3342" spans="1:61" ht="21" customHeight="1" x14ac:dyDescent="0.25">
      <c r="A3342" s="10"/>
      <c r="B3342" s="10"/>
      <c r="E3342" s="10"/>
      <c r="G3342" s="10"/>
      <c r="I3342" s="436" t="s">
        <v>4029</v>
      </c>
      <c r="J3342" s="26" t="s">
        <v>4028</v>
      </c>
      <c r="K3342" s="10">
        <v>6</v>
      </c>
      <c r="L3342" s="73">
        <f>IF(Tank1!$C$23="No control",(SUMIF(Tank1!$B$32:$B$49,$J3342,Tank1!$C$32:$C$49)*Impacts!$F$8),0)</f>
        <v>0</v>
      </c>
      <c r="M3342" s="10">
        <f>IF(Tank2!$C$23="No control",(SUMIF(Tank2!$B$32:$B$49,$J3342,Tank2!$C$32:$C$49)*Impacts!$F$9),0)</f>
        <v>0</v>
      </c>
      <c r="N3342" s="10">
        <f>IF(Tank3!$C$23="No control",(SUMIF(Tank3!$B$32:$B$49,$J3342,Tank3!$C$32:$C$49)*Impacts!$F$10),0)</f>
        <v>0</v>
      </c>
      <c r="O3342" s="10">
        <f>IF(Tank4!$C$23="No control",(SUMIF(Tank4!$B$32:$B$49,$J3342,Tank4!$C$32:$C$49)*Impacts!$F$11),0)</f>
        <v>0</v>
      </c>
      <c r="P3342" s="10">
        <f>IF(Tank5!$C$23="No control",(SUMIF(Tank5!$B$32:$B$49,$J3342,Tank5!$C$32:$C$49)*Impacts!$F$12),0)</f>
        <v>0</v>
      </c>
      <c r="Q3342" s="10">
        <f>IFERROR(IF(('Loading-drum,tote'!$C$21)="No control",SUMIF(('Loading-drum,tote'!$B$31:$B$48),$J3342,('Loading-drum,tote'!$D$31:$D$48))*Impacts!$F$13,IF(('Loading-drum,tote'!$C$21)&lt;&gt;"No control",SUMIF(('Loading-drum,tote'!$B$31:$B$48),$J3342,('Loading-drum,tote'!$E$31:$E$48))*Impacts!$F$13,0)),0)</f>
        <v>0</v>
      </c>
      <c r="R3342" s="10">
        <f>IFERROR(IF(('Loading-truck'!$C$21)="No control",SUMIF(('Loading-truck'!$B$31:$B$48),$J3342,('Loading-truck'!$D$31:$D$48))*Impacts!$F$14,IF(('Loading-truck'!$C$21)&lt;&gt;"No control",SUMIF(('Loading-truck'!$B$31:$B$48),$J3342,('Loading-truck'!$E$31:$E$48))*Impacts!$F$14,0)),0)</f>
        <v>0</v>
      </c>
      <c r="S3342" s="10">
        <f>IFERROR(IF(('Loading-rail'!$C$21)="No control",SUMIF(('Loading-rail'!$B$31:$B$48),$J3342,('Loading-rail'!$D$31:$D$48))*Impacts!$F$15,IF(('Loading-rail'!$C$21)&lt;&gt;"No control",SUMIF(('Loading-rail'!$B$31:$B$48),$J3342,('Loading-rail'!$E$31:$E$48))*Impacts!$F$15,0)),0)</f>
        <v>0</v>
      </c>
      <c r="T3342" s="10">
        <f>IF(Flare!$C$7="",0,(SUMIF(Flare!$B$46:$B$185,$J3342,Flare!$E$46:$E$185)*Impacts!$F$16))</f>
        <v>0</v>
      </c>
      <c r="U3342" s="10">
        <f>IF(VCU!$C$9="",0,(SUMIF(VCU!$B$51:$B$193,$J3342,VCU!$E$51:$E$193)*Impacts!$F$17))</f>
        <v>0</v>
      </c>
      <c r="V3342" s="10">
        <f>IF(CAS!$C$7="",0,(SUMIF(CAS!$B$31:$B$167,$J3342,CAS!$E$31:$E$167)*Impacts!$F$18))</f>
        <v>0</v>
      </c>
      <c r="W3342" s="10">
        <f t="shared" si="92"/>
        <v>0</v>
      </c>
      <c r="AK3342" s="10" t="str">
        <f t="array" ref="AK3342">IFERROR(INDEX(SelectedSpecies,SMALL(IF(SelectedSpecies=AK$1,ROW(SelectedSpecies)),ROW(3343:3343)),2),"")</f>
        <v/>
      </c>
      <c r="BE3342" s="10"/>
      <c r="BI3342" s="10"/>
    </row>
    <row r="3343" spans="1:61" ht="21" customHeight="1" x14ac:dyDescent="0.25">
      <c r="A3343" s="10"/>
      <c r="B3343" s="10"/>
      <c r="E3343" s="10"/>
      <c r="G3343" s="10"/>
      <c r="I3343" s="436" t="s">
        <v>4609</v>
      </c>
      <c r="J3343" s="26" t="s">
        <v>4608</v>
      </c>
      <c r="K3343" s="10">
        <v>4</v>
      </c>
      <c r="L3343" s="73">
        <f>IF(Tank1!$C$23="No control",(SUMIF(Tank1!$B$32:$B$49,$J3343,Tank1!$C$32:$C$49)*Impacts!$F$8),0)</f>
        <v>0</v>
      </c>
      <c r="M3343" s="10">
        <f>IF(Tank2!$C$23="No control",(SUMIF(Tank2!$B$32:$B$49,$J3343,Tank2!$C$32:$C$49)*Impacts!$F$9),0)</f>
        <v>0</v>
      </c>
      <c r="N3343" s="10">
        <f>IF(Tank3!$C$23="No control",(SUMIF(Tank3!$B$32:$B$49,$J3343,Tank3!$C$32:$C$49)*Impacts!$F$10),0)</f>
        <v>0</v>
      </c>
      <c r="O3343" s="10">
        <f>IF(Tank4!$C$23="No control",(SUMIF(Tank4!$B$32:$B$49,$J3343,Tank4!$C$32:$C$49)*Impacts!$F$11),0)</f>
        <v>0</v>
      </c>
      <c r="P3343" s="10">
        <f>IF(Tank5!$C$23="No control",(SUMIF(Tank5!$B$32:$B$49,$J3343,Tank5!$C$32:$C$49)*Impacts!$F$12),0)</f>
        <v>0</v>
      </c>
      <c r="Q3343" s="10">
        <f>IFERROR(IF(('Loading-drum,tote'!$C$21)="No control",SUMIF(('Loading-drum,tote'!$B$31:$B$48),$J3343,('Loading-drum,tote'!$D$31:$D$48))*Impacts!$F$13,IF(('Loading-drum,tote'!$C$21)&lt;&gt;"No control",SUMIF(('Loading-drum,tote'!$B$31:$B$48),$J3343,('Loading-drum,tote'!$E$31:$E$48))*Impacts!$F$13,0)),0)</f>
        <v>0</v>
      </c>
      <c r="R3343" s="10">
        <f>IFERROR(IF(('Loading-truck'!$C$21)="No control",SUMIF(('Loading-truck'!$B$31:$B$48),$J3343,('Loading-truck'!$D$31:$D$48))*Impacts!$F$14,IF(('Loading-truck'!$C$21)&lt;&gt;"No control",SUMIF(('Loading-truck'!$B$31:$B$48),$J3343,('Loading-truck'!$E$31:$E$48))*Impacts!$F$14,0)),0)</f>
        <v>0</v>
      </c>
      <c r="S3343" s="10">
        <f>IFERROR(IF(('Loading-rail'!$C$21)="No control",SUMIF(('Loading-rail'!$B$31:$B$48),$J3343,('Loading-rail'!$D$31:$D$48))*Impacts!$F$15,IF(('Loading-rail'!$C$21)&lt;&gt;"No control",SUMIF(('Loading-rail'!$B$31:$B$48),$J3343,('Loading-rail'!$E$31:$E$48))*Impacts!$F$15,0)),0)</f>
        <v>0</v>
      </c>
      <c r="T3343" s="10">
        <f>IF(Flare!$C$7="",0,(SUMIF(Flare!$B$46:$B$185,$J3343,Flare!$E$46:$E$185)*Impacts!$F$16))</f>
        <v>0</v>
      </c>
      <c r="U3343" s="10">
        <f>IF(VCU!$C$9="",0,(SUMIF(VCU!$B$51:$B$193,$J3343,VCU!$E$51:$E$193)*Impacts!$F$17))</f>
        <v>0</v>
      </c>
      <c r="V3343" s="10">
        <f>IF(CAS!$C$7="",0,(SUMIF(CAS!$B$31:$B$167,$J3343,CAS!$E$31:$E$167)*Impacts!$F$18))</f>
        <v>0</v>
      </c>
      <c r="W3343" s="10">
        <f t="shared" si="92"/>
        <v>0</v>
      </c>
      <c r="AK3343" s="10" t="str">
        <f t="array" ref="AK3343">IFERROR(INDEX(SelectedSpecies,SMALL(IF(SelectedSpecies=AK$1,ROW(SelectedSpecies)),ROW(3344:3344)),2),"")</f>
        <v/>
      </c>
      <c r="BE3343" s="10"/>
      <c r="BI3343" s="10"/>
    </row>
    <row r="3344" spans="1:61" ht="21" customHeight="1" x14ac:dyDescent="0.25">
      <c r="A3344" s="10"/>
      <c r="B3344" s="10"/>
      <c r="E3344" s="10"/>
      <c r="G3344" s="10"/>
      <c r="I3344" s="436" t="s">
        <v>3663</v>
      </c>
      <c r="J3344" s="26" t="s">
        <v>3662</v>
      </c>
      <c r="K3344" s="10">
        <v>7.2</v>
      </c>
      <c r="L3344" s="73">
        <f>IF(Tank1!$C$23="No control",(SUMIF(Tank1!$B$32:$B$49,$J3344,Tank1!$C$32:$C$49)*Impacts!$F$8),0)</f>
        <v>0</v>
      </c>
      <c r="M3344" s="10">
        <f>IF(Tank2!$C$23="No control",(SUMIF(Tank2!$B$32:$B$49,$J3344,Tank2!$C$32:$C$49)*Impacts!$F$9),0)</f>
        <v>0</v>
      </c>
      <c r="N3344" s="10">
        <f>IF(Tank3!$C$23="No control",(SUMIF(Tank3!$B$32:$B$49,$J3344,Tank3!$C$32:$C$49)*Impacts!$F$10),0)</f>
        <v>0</v>
      </c>
      <c r="O3344" s="10">
        <f>IF(Tank4!$C$23="No control",(SUMIF(Tank4!$B$32:$B$49,$J3344,Tank4!$C$32:$C$49)*Impacts!$F$11),0)</f>
        <v>0</v>
      </c>
      <c r="P3344" s="10">
        <f>IF(Tank5!$C$23="No control",(SUMIF(Tank5!$B$32:$B$49,$J3344,Tank5!$C$32:$C$49)*Impacts!$F$12),0)</f>
        <v>0</v>
      </c>
      <c r="Q3344" s="10">
        <f>IFERROR(IF(('Loading-drum,tote'!$C$21)="No control",SUMIF(('Loading-drum,tote'!$B$31:$B$48),$J3344,('Loading-drum,tote'!$D$31:$D$48))*Impacts!$F$13,IF(('Loading-drum,tote'!$C$21)&lt;&gt;"No control",SUMIF(('Loading-drum,tote'!$B$31:$B$48),$J3344,('Loading-drum,tote'!$E$31:$E$48))*Impacts!$F$13,0)),0)</f>
        <v>0</v>
      </c>
      <c r="R3344" s="10">
        <f>IFERROR(IF(('Loading-truck'!$C$21)="No control",SUMIF(('Loading-truck'!$B$31:$B$48),$J3344,('Loading-truck'!$D$31:$D$48))*Impacts!$F$14,IF(('Loading-truck'!$C$21)&lt;&gt;"No control",SUMIF(('Loading-truck'!$B$31:$B$48),$J3344,('Loading-truck'!$E$31:$E$48))*Impacts!$F$14,0)),0)</f>
        <v>0</v>
      </c>
      <c r="S3344" s="10">
        <f>IFERROR(IF(('Loading-rail'!$C$21)="No control",SUMIF(('Loading-rail'!$B$31:$B$48),$J3344,('Loading-rail'!$D$31:$D$48))*Impacts!$F$15,IF(('Loading-rail'!$C$21)&lt;&gt;"No control",SUMIF(('Loading-rail'!$B$31:$B$48),$J3344,('Loading-rail'!$E$31:$E$48))*Impacts!$F$15,0)),0)</f>
        <v>0</v>
      </c>
      <c r="T3344" s="10">
        <f>IF(Flare!$C$7="",0,(SUMIF(Flare!$B$46:$B$185,$J3344,Flare!$E$46:$E$185)*Impacts!$F$16))</f>
        <v>0</v>
      </c>
      <c r="U3344" s="10">
        <f>IF(VCU!$C$9="",0,(SUMIF(VCU!$B$51:$B$193,$J3344,VCU!$E$51:$E$193)*Impacts!$F$17))</f>
        <v>0</v>
      </c>
      <c r="V3344" s="10">
        <f>IF(CAS!$C$7="",0,(SUMIF(CAS!$B$31:$B$167,$J3344,CAS!$E$31:$E$167)*Impacts!$F$18))</f>
        <v>0</v>
      </c>
      <c r="W3344" s="10">
        <f t="shared" si="92"/>
        <v>0</v>
      </c>
      <c r="AK3344" s="10" t="str">
        <f t="array" ref="AK3344">IFERROR(INDEX(SelectedSpecies,SMALL(IF(SelectedSpecies=AK$1,ROW(SelectedSpecies)),ROW(3345:3345)),2),"")</f>
        <v/>
      </c>
      <c r="BE3344" s="10"/>
      <c r="BI3344" s="10"/>
    </row>
    <row r="3345" spans="1:61" ht="21" customHeight="1" x14ac:dyDescent="0.25">
      <c r="A3345" s="10"/>
      <c r="B3345" s="10"/>
      <c r="E3345" s="10"/>
      <c r="G3345" s="10"/>
      <c r="I3345" s="436" t="s">
        <v>6156</v>
      </c>
      <c r="J3345" s="26" t="s">
        <v>6155</v>
      </c>
      <c r="K3345" s="10">
        <v>1</v>
      </c>
      <c r="L3345" s="73">
        <f>IF(Tank1!$C$23="No control",(SUMIF(Tank1!$B$32:$B$49,$J3345,Tank1!$C$32:$C$49)*Impacts!$F$8),0)</f>
        <v>0</v>
      </c>
      <c r="M3345" s="10">
        <f>IF(Tank2!$C$23="No control",(SUMIF(Tank2!$B$32:$B$49,$J3345,Tank2!$C$32:$C$49)*Impacts!$F$9),0)</f>
        <v>0</v>
      </c>
      <c r="N3345" s="10">
        <f>IF(Tank3!$C$23="No control",(SUMIF(Tank3!$B$32:$B$49,$J3345,Tank3!$C$32:$C$49)*Impacts!$F$10),0)</f>
        <v>0</v>
      </c>
      <c r="O3345" s="10">
        <f>IF(Tank4!$C$23="No control",(SUMIF(Tank4!$B$32:$B$49,$J3345,Tank4!$C$32:$C$49)*Impacts!$F$11),0)</f>
        <v>0</v>
      </c>
      <c r="P3345" s="10">
        <f>IF(Tank5!$C$23="No control",(SUMIF(Tank5!$B$32:$B$49,$J3345,Tank5!$C$32:$C$49)*Impacts!$F$12),0)</f>
        <v>0</v>
      </c>
      <c r="Q3345" s="10">
        <f>IFERROR(IF(('Loading-drum,tote'!$C$21)="No control",SUMIF(('Loading-drum,tote'!$B$31:$B$48),$J3345,('Loading-drum,tote'!$D$31:$D$48))*Impacts!$F$13,IF(('Loading-drum,tote'!$C$21)&lt;&gt;"No control",SUMIF(('Loading-drum,tote'!$B$31:$B$48),$J3345,('Loading-drum,tote'!$E$31:$E$48))*Impacts!$F$13,0)),0)</f>
        <v>0</v>
      </c>
      <c r="R3345" s="10">
        <f>IFERROR(IF(('Loading-truck'!$C$21)="No control",SUMIF(('Loading-truck'!$B$31:$B$48),$J3345,('Loading-truck'!$D$31:$D$48))*Impacts!$F$14,IF(('Loading-truck'!$C$21)&lt;&gt;"No control",SUMIF(('Loading-truck'!$B$31:$B$48),$J3345,('Loading-truck'!$E$31:$E$48))*Impacts!$F$14,0)),0)</f>
        <v>0</v>
      </c>
      <c r="S3345" s="10">
        <f>IFERROR(IF(('Loading-rail'!$C$21)="No control",SUMIF(('Loading-rail'!$B$31:$B$48),$J3345,('Loading-rail'!$D$31:$D$48))*Impacts!$F$15,IF(('Loading-rail'!$C$21)&lt;&gt;"No control",SUMIF(('Loading-rail'!$B$31:$B$48),$J3345,('Loading-rail'!$E$31:$E$48))*Impacts!$F$15,0)),0)</f>
        <v>0</v>
      </c>
      <c r="T3345" s="10">
        <f>IF(Flare!$C$7="",0,(SUMIF(Flare!$B$46:$B$185,$J3345,Flare!$E$46:$E$185)*Impacts!$F$16))</f>
        <v>0</v>
      </c>
      <c r="U3345" s="10">
        <f>IF(VCU!$C$9="",0,(SUMIF(VCU!$B$51:$B$193,$J3345,VCU!$E$51:$E$193)*Impacts!$F$17))</f>
        <v>0</v>
      </c>
      <c r="V3345" s="10">
        <f>IF(CAS!$C$7="",0,(SUMIF(CAS!$B$31:$B$167,$J3345,CAS!$E$31:$E$167)*Impacts!$F$18))</f>
        <v>0</v>
      </c>
      <c r="W3345" s="10">
        <f t="shared" si="92"/>
        <v>0</v>
      </c>
      <c r="AK3345" s="10" t="str">
        <f t="array" ref="AK3345">IFERROR(INDEX(SelectedSpecies,SMALL(IF(SelectedSpecies=AK$1,ROW(SelectedSpecies)),ROW(3346:3346)),2),"")</f>
        <v/>
      </c>
      <c r="BE3345" s="10"/>
      <c r="BI3345" s="10"/>
    </row>
    <row r="3346" spans="1:61" ht="21" customHeight="1" x14ac:dyDescent="0.25">
      <c r="A3346" s="10"/>
      <c r="B3346" s="10"/>
      <c r="E3346" s="10"/>
      <c r="G3346" s="10"/>
      <c r="I3346" s="436" t="s">
        <v>3359</v>
      </c>
      <c r="J3346" s="26" t="s">
        <v>3358</v>
      </c>
      <c r="K3346" s="10">
        <v>10</v>
      </c>
      <c r="L3346" s="73">
        <f>IF(Tank1!$C$23="No control",(SUMIF(Tank1!$B$32:$B$49,$J3346,Tank1!$C$32:$C$49)*Impacts!$F$8),0)</f>
        <v>0</v>
      </c>
      <c r="M3346" s="10">
        <f>IF(Tank2!$C$23="No control",(SUMIF(Tank2!$B$32:$B$49,$J3346,Tank2!$C$32:$C$49)*Impacts!$F$9),0)</f>
        <v>0</v>
      </c>
      <c r="N3346" s="10">
        <f>IF(Tank3!$C$23="No control",(SUMIF(Tank3!$B$32:$B$49,$J3346,Tank3!$C$32:$C$49)*Impacts!$F$10),0)</f>
        <v>0</v>
      </c>
      <c r="O3346" s="10">
        <f>IF(Tank4!$C$23="No control",(SUMIF(Tank4!$B$32:$B$49,$J3346,Tank4!$C$32:$C$49)*Impacts!$F$11),0)</f>
        <v>0</v>
      </c>
      <c r="P3346" s="10">
        <f>IF(Tank5!$C$23="No control",(SUMIF(Tank5!$B$32:$B$49,$J3346,Tank5!$C$32:$C$49)*Impacts!$F$12),0)</f>
        <v>0</v>
      </c>
      <c r="Q3346" s="10">
        <f>IFERROR(IF(('Loading-drum,tote'!$C$21)="No control",SUMIF(('Loading-drum,tote'!$B$31:$B$48),$J3346,('Loading-drum,tote'!$D$31:$D$48))*Impacts!$F$13,IF(('Loading-drum,tote'!$C$21)&lt;&gt;"No control",SUMIF(('Loading-drum,tote'!$B$31:$B$48),$J3346,('Loading-drum,tote'!$E$31:$E$48))*Impacts!$F$13,0)),0)</f>
        <v>0</v>
      </c>
      <c r="R3346" s="10">
        <f>IFERROR(IF(('Loading-truck'!$C$21)="No control",SUMIF(('Loading-truck'!$B$31:$B$48),$J3346,('Loading-truck'!$D$31:$D$48))*Impacts!$F$14,IF(('Loading-truck'!$C$21)&lt;&gt;"No control",SUMIF(('Loading-truck'!$B$31:$B$48),$J3346,('Loading-truck'!$E$31:$E$48))*Impacts!$F$14,0)),0)</f>
        <v>0</v>
      </c>
      <c r="S3346" s="10">
        <f>IFERROR(IF(('Loading-rail'!$C$21)="No control",SUMIF(('Loading-rail'!$B$31:$B$48),$J3346,('Loading-rail'!$D$31:$D$48))*Impacts!$F$15,IF(('Loading-rail'!$C$21)&lt;&gt;"No control",SUMIF(('Loading-rail'!$B$31:$B$48),$J3346,('Loading-rail'!$E$31:$E$48))*Impacts!$F$15,0)),0)</f>
        <v>0</v>
      </c>
      <c r="T3346" s="10">
        <f>IF(Flare!$C$7="",0,(SUMIF(Flare!$B$46:$B$185,$J3346,Flare!$E$46:$E$185)*Impacts!$F$16))</f>
        <v>0</v>
      </c>
      <c r="U3346" s="10">
        <f>IF(VCU!$C$9="",0,(SUMIF(VCU!$B$51:$B$193,$J3346,VCU!$E$51:$E$193)*Impacts!$F$17))</f>
        <v>0</v>
      </c>
      <c r="V3346" s="10">
        <f>IF(CAS!$C$7="",0,(SUMIF(CAS!$B$31:$B$167,$J3346,CAS!$E$31:$E$167)*Impacts!$F$18))</f>
        <v>0</v>
      </c>
      <c r="W3346" s="10">
        <f t="shared" si="92"/>
        <v>0</v>
      </c>
      <c r="AK3346" s="10" t="str">
        <f t="array" ref="AK3346">IFERROR(INDEX(SelectedSpecies,SMALL(IF(SelectedSpecies=AK$1,ROW(SelectedSpecies)),ROW(3347:3347)),2),"")</f>
        <v/>
      </c>
      <c r="BE3346" s="10"/>
      <c r="BI3346" s="10"/>
    </row>
    <row r="3347" spans="1:61" ht="21" customHeight="1" x14ac:dyDescent="0.25">
      <c r="A3347" s="10"/>
      <c r="B3347" s="10"/>
      <c r="E3347" s="10"/>
      <c r="G3347" s="10"/>
      <c r="I3347" s="436" t="s">
        <v>6158</v>
      </c>
      <c r="J3347" s="26" t="s">
        <v>6157</v>
      </c>
      <c r="K3347" s="10">
        <v>1</v>
      </c>
      <c r="L3347" s="73">
        <f>IF(Tank1!$C$23="No control",(SUMIF(Tank1!$B$32:$B$49,$J3347,Tank1!$C$32:$C$49)*Impacts!$F$8),0)</f>
        <v>0</v>
      </c>
      <c r="M3347" s="10">
        <f>IF(Tank2!$C$23="No control",(SUMIF(Tank2!$B$32:$B$49,$J3347,Tank2!$C$32:$C$49)*Impacts!$F$9),0)</f>
        <v>0</v>
      </c>
      <c r="N3347" s="10">
        <f>IF(Tank3!$C$23="No control",(SUMIF(Tank3!$B$32:$B$49,$J3347,Tank3!$C$32:$C$49)*Impacts!$F$10),0)</f>
        <v>0</v>
      </c>
      <c r="O3347" s="10">
        <f>IF(Tank4!$C$23="No control",(SUMIF(Tank4!$B$32:$B$49,$J3347,Tank4!$C$32:$C$49)*Impacts!$F$11),0)</f>
        <v>0</v>
      </c>
      <c r="P3347" s="10">
        <f>IF(Tank5!$C$23="No control",(SUMIF(Tank5!$B$32:$B$49,$J3347,Tank5!$C$32:$C$49)*Impacts!$F$12),0)</f>
        <v>0</v>
      </c>
      <c r="Q3347" s="10">
        <f>IFERROR(IF(('Loading-drum,tote'!$C$21)="No control",SUMIF(('Loading-drum,tote'!$B$31:$B$48),$J3347,('Loading-drum,tote'!$D$31:$D$48))*Impacts!$F$13,IF(('Loading-drum,tote'!$C$21)&lt;&gt;"No control",SUMIF(('Loading-drum,tote'!$B$31:$B$48),$J3347,('Loading-drum,tote'!$E$31:$E$48))*Impacts!$F$13,0)),0)</f>
        <v>0</v>
      </c>
      <c r="R3347" s="10">
        <f>IFERROR(IF(('Loading-truck'!$C$21)="No control",SUMIF(('Loading-truck'!$B$31:$B$48),$J3347,('Loading-truck'!$D$31:$D$48))*Impacts!$F$14,IF(('Loading-truck'!$C$21)&lt;&gt;"No control",SUMIF(('Loading-truck'!$B$31:$B$48),$J3347,('Loading-truck'!$E$31:$E$48))*Impacts!$F$14,0)),0)</f>
        <v>0</v>
      </c>
      <c r="S3347" s="10">
        <f>IFERROR(IF(('Loading-rail'!$C$21)="No control",SUMIF(('Loading-rail'!$B$31:$B$48),$J3347,('Loading-rail'!$D$31:$D$48))*Impacts!$F$15,IF(('Loading-rail'!$C$21)&lt;&gt;"No control",SUMIF(('Loading-rail'!$B$31:$B$48),$J3347,('Loading-rail'!$E$31:$E$48))*Impacts!$F$15,0)),0)</f>
        <v>0</v>
      </c>
      <c r="T3347" s="10">
        <f>IF(Flare!$C$7="",0,(SUMIF(Flare!$B$46:$B$185,$J3347,Flare!$E$46:$E$185)*Impacts!$F$16))</f>
        <v>0</v>
      </c>
      <c r="U3347" s="10">
        <f>IF(VCU!$C$9="",0,(SUMIF(VCU!$B$51:$B$193,$J3347,VCU!$E$51:$E$193)*Impacts!$F$17))</f>
        <v>0</v>
      </c>
      <c r="V3347" s="10">
        <f>IF(CAS!$C$7="",0,(SUMIF(CAS!$B$31:$B$167,$J3347,CAS!$E$31:$E$167)*Impacts!$F$18))</f>
        <v>0</v>
      </c>
      <c r="W3347" s="10">
        <f t="shared" si="92"/>
        <v>0</v>
      </c>
      <c r="AK3347" s="10" t="str">
        <f t="array" ref="AK3347">IFERROR(INDEX(SelectedSpecies,SMALL(IF(SelectedSpecies=AK$1,ROW(SelectedSpecies)),ROW(3348:3348)),2),"")</f>
        <v/>
      </c>
      <c r="BE3347" s="10"/>
      <c r="BI3347" s="10"/>
    </row>
    <row r="3348" spans="1:61" ht="21" customHeight="1" x14ac:dyDescent="0.25">
      <c r="A3348" s="10"/>
      <c r="B3348" s="10"/>
      <c r="E3348" s="10"/>
      <c r="G3348" s="10"/>
      <c r="I3348" s="436" t="s">
        <v>3361</v>
      </c>
      <c r="J3348" s="26" t="s">
        <v>3360</v>
      </c>
      <c r="K3348" s="10">
        <v>10</v>
      </c>
      <c r="L3348" s="73">
        <f>IF(Tank1!$C$23="No control",(SUMIF(Tank1!$B$32:$B$49,$J3348,Tank1!$C$32:$C$49)*Impacts!$F$8),0)</f>
        <v>0</v>
      </c>
      <c r="M3348" s="10">
        <f>IF(Tank2!$C$23="No control",(SUMIF(Tank2!$B$32:$B$49,$J3348,Tank2!$C$32:$C$49)*Impacts!$F$9),0)</f>
        <v>0</v>
      </c>
      <c r="N3348" s="10">
        <f>IF(Tank3!$C$23="No control",(SUMIF(Tank3!$B$32:$B$49,$J3348,Tank3!$C$32:$C$49)*Impacts!$F$10),0)</f>
        <v>0</v>
      </c>
      <c r="O3348" s="10">
        <f>IF(Tank4!$C$23="No control",(SUMIF(Tank4!$B$32:$B$49,$J3348,Tank4!$C$32:$C$49)*Impacts!$F$11),0)</f>
        <v>0</v>
      </c>
      <c r="P3348" s="10">
        <f>IF(Tank5!$C$23="No control",(SUMIF(Tank5!$B$32:$B$49,$J3348,Tank5!$C$32:$C$49)*Impacts!$F$12),0)</f>
        <v>0</v>
      </c>
      <c r="Q3348" s="10">
        <f>IFERROR(IF(('Loading-drum,tote'!$C$21)="No control",SUMIF(('Loading-drum,tote'!$B$31:$B$48),$J3348,('Loading-drum,tote'!$D$31:$D$48))*Impacts!$F$13,IF(('Loading-drum,tote'!$C$21)&lt;&gt;"No control",SUMIF(('Loading-drum,tote'!$B$31:$B$48),$J3348,('Loading-drum,tote'!$E$31:$E$48))*Impacts!$F$13,0)),0)</f>
        <v>0</v>
      </c>
      <c r="R3348" s="10">
        <f>IFERROR(IF(('Loading-truck'!$C$21)="No control",SUMIF(('Loading-truck'!$B$31:$B$48),$J3348,('Loading-truck'!$D$31:$D$48))*Impacts!$F$14,IF(('Loading-truck'!$C$21)&lt;&gt;"No control",SUMIF(('Loading-truck'!$B$31:$B$48),$J3348,('Loading-truck'!$E$31:$E$48))*Impacts!$F$14,0)),0)</f>
        <v>0</v>
      </c>
      <c r="S3348" s="10">
        <f>IFERROR(IF(('Loading-rail'!$C$21)="No control",SUMIF(('Loading-rail'!$B$31:$B$48),$J3348,('Loading-rail'!$D$31:$D$48))*Impacts!$F$15,IF(('Loading-rail'!$C$21)&lt;&gt;"No control",SUMIF(('Loading-rail'!$B$31:$B$48),$J3348,('Loading-rail'!$E$31:$E$48))*Impacts!$F$15,0)),0)</f>
        <v>0</v>
      </c>
      <c r="T3348" s="10">
        <f>IF(Flare!$C$7="",0,(SUMIF(Flare!$B$46:$B$185,$J3348,Flare!$E$46:$E$185)*Impacts!$F$16))</f>
        <v>0</v>
      </c>
      <c r="U3348" s="10">
        <f>IF(VCU!$C$9="",0,(SUMIF(VCU!$B$51:$B$193,$J3348,VCU!$E$51:$E$193)*Impacts!$F$17))</f>
        <v>0</v>
      </c>
      <c r="V3348" s="10">
        <f>IF(CAS!$C$7="",0,(SUMIF(CAS!$B$31:$B$167,$J3348,CAS!$E$31:$E$167)*Impacts!$F$18))</f>
        <v>0</v>
      </c>
      <c r="W3348" s="10">
        <f t="shared" si="92"/>
        <v>0</v>
      </c>
      <c r="AK3348" s="10" t="str">
        <f t="array" ref="AK3348">IFERROR(INDEX(SelectedSpecies,SMALL(IF(SelectedSpecies=AK$1,ROW(SelectedSpecies)),ROW(3349:3349)),2),"")</f>
        <v/>
      </c>
      <c r="BE3348" s="10"/>
      <c r="BI3348" s="10"/>
    </row>
    <row r="3349" spans="1:61" ht="21" customHeight="1" x14ac:dyDescent="0.25">
      <c r="A3349" s="10"/>
      <c r="B3349" s="10"/>
      <c r="E3349" s="10"/>
      <c r="G3349" s="10"/>
      <c r="I3349" s="436" t="s">
        <v>7198</v>
      </c>
      <c r="J3349" s="26" t="s">
        <v>7197</v>
      </c>
      <c r="K3349" s="10">
        <v>0.33</v>
      </c>
      <c r="L3349" s="73">
        <f>IF(Tank1!$C$23="No control",(SUMIF(Tank1!$B$32:$B$49,$J3349,Tank1!$C$32:$C$49)*Impacts!$F$8),0)</f>
        <v>0</v>
      </c>
      <c r="M3349" s="10">
        <f>IF(Tank2!$C$23="No control",(SUMIF(Tank2!$B$32:$B$49,$J3349,Tank2!$C$32:$C$49)*Impacts!$F$9),0)</f>
        <v>0</v>
      </c>
      <c r="N3349" s="10">
        <f>IF(Tank3!$C$23="No control",(SUMIF(Tank3!$B$32:$B$49,$J3349,Tank3!$C$32:$C$49)*Impacts!$F$10),0)</f>
        <v>0</v>
      </c>
      <c r="O3349" s="10">
        <f>IF(Tank4!$C$23="No control",(SUMIF(Tank4!$B$32:$B$49,$J3349,Tank4!$C$32:$C$49)*Impacts!$F$11),0)</f>
        <v>0</v>
      </c>
      <c r="P3349" s="10">
        <f>IF(Tank5!$C$23="No control",(SUMIF(Tank5!$B$32:$B$49,$J3349,Tank5!$C$32:$C$49)*Impacts!$F$12),0)</f>
        <v>0</v>
      </c>
      <c r="Q3349" s="10">
        <f>IFERROR(IF(('Loading-drum,tote'!$C$21)="No control",SUMIF(('Loading-drum,tote'!$B$31:$B$48),$J3349,('Loading-drum,tote'!$D$31:$D$48))*Impacts!$F$13,IF(('Loading-drum,tote'!$C$21)&lt;&gt;"No control",SUMIF(('Loading-drum,tote'!$B$31:$B$48),$J3349,('Loading-drum,tote'!$E$31:$E$48))*Impacts!$F$13,0)),0)</f>
        <v>0</v>
      </c>
      <c r="R3349" s="10">
        <f>IFERROR(IF(('Loading-truck'!$C$21)="No control",SUMIF(('Loading-truck'!$B$31:$B$48),$J3349,('Loading-truck'!$D$31:$D$48))*Impacts!$F$14,IF(('Loading-truck'!$C$21)&lt;&gt;"No control",SUMIF(('Loading-truck'!$B$31:$B$48),$J3349,('Loading-truck'!$E$31:$E$48))*Impacts!$F$14,0)),0)</f>
        <v>0</v>
      </c>
      <c r="S3349" s="10">
        <f>IFERROR(IF(('Loading-rail'!$C$21)="No control",SUMIF(('Loading-rail'!$B$31:$B$48),$J3349,('Loading-rail'!$D$31:$D$48))*Impacts!$F$15,IF(('Loading-rail'!$C$21)&lt;&gt;"No control",SUMIF(('Loading-rail'!$B$31:$B$48),$J3349,('Loading-rail'!$E$31:$E$48))*Impacts!$F$15,0)),0)</f>
        <v>0</v>
      </c>
      <c r="T3349" s="10">
        <f>IF(Flare!$C$7="",0,(SUMIF(Flare!$B$46:$B$185,$J3349,Flare!$E$46:$E$185)*Impacts!$F$16))</f>
        <v>0</v>
      </c>
      <c r="U3349" s="10">
        <f>IF(VCU!$C$9="",0,(SUMIF(VCU!$B$51:$B$193,$J3349,VCU!$E$51:$E$193)*Impacts!$F$17))</f>
        <v>0</v>
      </c>
      <c r="V3349" s="10">
        <f>IF(CAS!$C$7="",0,(SUMIF(CAS!$B$31:$B$167,$J3349,CAS!$E$31:$E$167)*Impacts!$F$18))</f>
        <v>0</v>
      </c>
      <c r="W3349" s="10">
        <f t="shared" si="92"/>
        <v>0</v>
      </c>
      <c r="AK3349" s="10" t="str">
        <f t="array" ref="AK3349">IFERROR(INDEX(SelectedSpecies,SMALL(IF(SelectedSpecies=AK$1,ROW(SelectedSpecies)),ROW(3350:3350)),2),"")</f>
        <v/>
      </c>
      <c r="BE3349" s="10"/>
      <c r="BI3349" s="10"/>
    </row>
    <row r="3350" spans="1:61" ht="21" customHeight="1" x14ac:dyDescent="0.25">
      <c r="A3350" s="10"/>
      <c r="B3350" s="10"/>
      <c r="E3350" s="10"/>
      <c r="G3350" s="10"/>
      <c r="I3350" s="436" t="s">
        <v>7776</v>
      </c>
      <c r="J3350" s="26" t="s">
        <v>7775</v>
      </c>
      <c r="K3350" s="10">
        <v>0.1</v>
      </c>
      <c r="L3350" s="73">
        <f>IF(Tank1!$C$23="No control",(SUMIF(Tank1!$B$32:$B$49,$J3350,Tank1!$C$32:$C$49)*Impacts!$F$8),0)</f>
        <v>0</v>
      </c>
      <c r="M3350" s="10">
        <f>IF(Tank2!$C$23="No control",(SUMIF(Tank2!$B$32:$B$49,$J3350,Tank2!$C$32:$C$49)*Impacts!$F$9),0)</f>
        <v>0</v>
      </c>
      <c r="N3350" s="10">
        <f>IF(Tank3!$C$23="No control",(SUMIF(Tank3!$B$32:$B$49,$J3350,Tank3!$C$32:$C$49)*Impacts!$F$10),0)</f>
        <v>0</v>
      </c>
      <c r="O3350" s="10">
        <f>IF(Tank4!$C$23="No control",(SUMIF(Tank4!$B$32:$B$49,$J3350,Tank4!$C$32:$C$49)*Impacts!$F$11),0)</f>
        <v>0</v>
      </c>
      <c r="P3350" s="10">
        <f>IF(Tank5!$C$23="No control",(SUMIF(Tank5!$B$32:$B$49,$J3350,Tank5!$C$32:$C$49)*Impacts!$F$12),0)</f>
        <v>0</v>
      </c>
      <c r="Q3350" s="10">
        <f>IFERROR(IF(('Loading-drum,tote'!$C$21)="No control",SUMIF(('Loading-drum,tote'!$B$31:$B$48),$J3350,('Loading-drum,tote'!$D$31:$D$48))*Impacts!$F$13,IF(('Loading-drum,tote'!$C$21)&lt;&gt;"No control",SUMIF(('Loading-drum,tote'!$B$31:$B$48),$J3350,('Loading-drum,tote'!$E$31:$E$48))*Impacts!$F$13,0)),0)</f>
        <v>0</v>
      </c>
      <c r="R3350" s="10">
        <f>IFERROR(IF(('Loading-truck'!$C$21)="No control",SUMIF(('Loading-truck'!$B$31:$B$48),$J3350,('Loading-truck'!$D$31:$D$48))*Impacts!$F$14,IF(('Loading-truck'!$C$21)&lt;&gt;"No control",SUMIF(('Loading-truck'!$B$31:$B$48),$J3350,('Loading-truck'!$E$31:$E$48))*Impacts!$F$14,0)),0)</f>
        <v>0</v>
      </c>
      <c r="S3350" s="10">
        <f>IFERROR(IF(('Loading-rail'!$C$21)="No control",SUMIF(('Loading-rail'!$B$31:$B$48),$J3350,('Loading-rail'!$D$31:$D$48))*Impacts!$F$15,IF(('Loading-rail'!$C$21)&lt;&gt;"No control",SUMIF(('Loading-rail'!$B$31:$B$48),$J3350,('Loading-rail'!$E$31:$E$48))*Impacts!$F$15,0)),0)</f>
        <v>0</v>
      </c>
      <c r="T3350" s="10">
        <f>IF(Flare!$C$7="",0,(SUMIF(Flare!$B$46:$B$185,$J3350,Flare!$E$46:$E$185)*Impacts!$F$16))</f>
        <v>0</v>
      </c>
      <c r="U3350" s="10">
        <f>IF(VCU!$C$9="",0,(SUMIF(VCU!$B$51:$B$193,$J3350,VCU!$E$51:$E$193)*Impacts!$F$17))</f>
        <v>0</v>
      </c>
      <c r="V3350" s="10">
        <f>IF(CAS!$C$7="",0,(SUMIF(CAS!$B$31:$B$167,$J3350,CAS!$E$31:$E$167)*Impacts!$F$18))</f>
        <v>0</v>
      </c>
      <c r="W3350" s="10">
        <f t="shared" si="92"/>
        <v>0</v>
      </c>
      <c r="AK3350" s="10" t="str">
        <f t="array" ref="AK3350">IFERROR(INDEX(SelectedSpecies,SMALL(IF(SelectedSpecies=AK$1,ROW(SelectedSpecies)),ROW(3351:3351)),2),"")</f>
        <v/>
      </c>
      <c r="BE3350" s="10"/>
      <c r="BI3350" s="10"/>
    </row>
    <row r="3351" spans="1:61" ht="21" customHeight="1" x14ac:dyDescent="0.25">
      <c r="A3351" s="10"/>
      <c r="B3351" s="10"/>
      <c r="E3351" s="10"/>
      <c r="G3351" s="10"/>
      <c r="I3351" s="436" t="s">
        <v>4031</v>
      </c>
      <c r="J3351" s="26" t="s">
        <v>4030</v>
      </c>
      <c r="K3351" s="10">
        <v>6</v>
      </c>
      <c r="L3351" s="73">
        <f>IF(Tank1!$C$23="No control",(SUMIF(Tank1!$B$32:$B$49,$J3351,Tank1!$C$32:$C$49)*Impacts!$F$8),0)</f>
        <v>0</v>
      </c>
      <c r="M3351" s="10">
        <f>IF(Tank2!$C$23="No control",(SUMIF(Tank2!$B$32:$B$49,$J3351,Tank2!$C$32:$C$49)*Impacts!$F$9),0)</f>
        <v>0</v>
      </c>
      <c r="N3351" s="10">
        <f>IF(Tank3!$C$23="No control",(SUMIF(Tank3!$B$32:$B$49,$J3351,Tank3!$C$32:$C$49)*Impacts!$F$10),0)</f>
        <v>0</v>
      </c>
      <c r="O3351" s="10">
        <f>IF(Tank4!$C$23="No control",(SUMIF(Tank4!$B$32:$B$49,$J3351,Tank4!$C$32:$C$49)*Impacts!$F$11),0)</f>
        <v>0</v>
      </c>
      <c r="P3351" s="10">
        <f>IF(Tank5!$C$23="No control",(SUMIF(Tank5!$B$32:$B$49,$J3351,Tank5!$C$32:$C$49)*Impacts!$F$12),0)</f>
        <v>0</v>
      </c>
      <c r="Q3351" s="10">
        <f>IFERROR(IF(('Loading-drum,tote'!$C$21)="No control",SUMIF(('Loading-drum,tote'!$B$31:$B$48),$J3351,('Loading-drum,tote'!$D$31:$D$48))*Impacts!$F$13,IF(('Loading-drum,tote'!$C$21)&lt;&gt;"No control",SUMIF(('Loading-drum,tote'!$B$31:$B$48),$J3351,('Loading-drum,tote'!$E$31:$E$48))*Impacts!$F$13,0)),0)</f>
        <v>0</v>
      </c>
      <c r="R3351" s="10">
        <f>IFERROR(IF(('Loading-truck'!$C$21)="No control",SUMIF(('Loading-truck'!$B$31:$B$48),$J3351,('Loading-truck'!$D$31:$D$48))*Impacts!$F$14,IF(('Loading-truck'!$C$21)&lt;&gt;"No control",SUMIF(('Loading-truck'!$B$31:$B$48),$J3351,('Loading-truck'!$E$31:$E$48))*Impacts!$F$14,0)),0)</f>
        <v>0</v>
      </c>
      <c r="S3351" s="10">
        <f>IFERROR(IF(('Loading-rail'!$C$21)="No control",SUMIF(('Loading-rail'!$B$31:$B$48),$J3351,('Loading-rail'!$D$31:$D$48))*Impacts!$F$15,IF(('Loading-rail'!$C$21)&lt;&gt;"No control",SUMIF(('Loading-rail'!$B$31:$B$48),$J3351,('Loading-rail'!$E$31:$E$48))*Impacts!$F$15,0)),0)</f>
        <v>0</v>
      </c>
      <c r="T3351" s="10">
        <f>IF(Flare!$C$7="",0,(SUMIF(Flare!$B$46:$B$185,$J3351,Flare!$E$46:$E$185)*Impacts!$F$16))</f>
        <v>0</v>
      </c>
      <c r="U3351" s="10">
        <f>IF(VCU!$C$9="",0,(SUMIF(VCU!$B$51:$B$193,$J3351,VCU!$E$51:$E$193)*Impacts!$F$17))</f>
        <v>0</v>
      </c>
      <c r="V3351" s="10">
        <f>IF(CAS!$C$7="",0,(SUMIF(CAS!$B$31:$B$167,$J3351,CAS!$E$31:$E$167)*Impacts!$F$18))</f>
        <v>0</v>
      </c>
      <c r="W3351" s="10">
        <f t="shared" si="92"/>
        <v>0</v>
      </c>
      <c r="AK3351" s="10" t="str">
        <f t="array" ref="AK3351">IFERROR(INDEX(SelectedSpecies,SMALL(IF(SelectedSpecies=AK$1,ROW(SelectedSpecies)),ROW(3352:3352)),2),"")</f>
        <v/>
      </c>
      <c r="BE3351" s="10"/>
      <c r="BI3351" s="10"/>
    </row>
    <row r="3352" spans="1:61" ht="21" customHeight="1" x14ac:dyDescent="0.25">
      <c r="A3352" s="10"/>
      <c r="B3352" s="10"/>
      <c r="E3352" s="10"/>
      <c r="G3352" s="10"/>
      <c r="I3352" s="436" t="s">
        <v>4033</v>
      </c>
      <c r="J3352" s="26" t="s">
        <v>4032</v>
      </c>
      <c r="K3352" s="10">
        <v>6</v>
      </c>
      <c r="L3352" s="73">
        <f>IF(Tank1!$C$23="No control",(SUMIF(Tank1!$B$32:$B$49,$J3352,Tank1!$C$32:$C$49)*Impacts!$F$8),0)</f>
        <v>0</v>
      </c>
      <c r="M3352" s="10">
        <f>IF(Tank2!$C$23="No control",(SUMIF(Tank2!$B$32:$B$49,$J3352,Tank2!$C$32:$C$49)*Impacts!$F$9),0)</f>
        <v>0</v>
      </c>
      <c r="N3352" s="10">
        <f>IF(Tank3!$C$23="No control",(SUMIF(Tank3!$B$32:$B$49,$J3352,Tank3!$C$32:$C$49)*Impacts!$F$10),0)</f>
        <v>0</v>
      </c>
      <c r="O3352" s="10">
        <f>IF(Tank4!$C$23="No control",(SUMIF(Tank4!$B$32:$B$49,$J3352,Tank4!$C$32:$C$49)*Impacts!$F$11),0)</f>
        <v>0</v>
      </c>
      <c r="P3352" s="10">
        <f>IF(Tank5!$C$23="No control",(SUMIF(Tank5!$B$32:$B$49,$J3352,Tank5!$C$32:$C$49)*Impacts!$F$12),0)</f>
        <v>0</v>
      </c>
      <c r="Q3352" s="10">
        <f>IFERROR(IF(('Loading-drum,tote'!$C$21)="No control",SUMIF(('Loading-drum,tote'!$B$31:$B$48),$J3352,('Loading-drum,tote'!$D$31:$D$48))*Impacts!$F$13,IF(('Loading-drum,tote'!$C$21)&lt;&gt;"No control",SUMIF(('Loading-drum,tote'!$B$31:$B$48),$J3352,('Loading-drum,tote'!$E$31:$E$48))*Impacts!$F$13,0)),0)</f>
        <v>0</v>
      </c>
      <c r="R3352" s="10">
        <f>IFERROR(IF(('Loading-truck'!$C$21)="No control",SUMIF(('Loading-truck'!$B$31:$B$48),$J3352,('Loading-truck'!$D$31:$D$48))*Impacts!$F$14,IF(('Loading-truck'!$C$21)&lt;&gt;"No control",SUMIF(('Loading-truck'!$B$31:$B$48),$J3352,('Loading-truck'!$E$31:$E$48))*Impacts!$F$14,0)),0)</f>
        <v>0</v>
      </c>
      <c r="S3352" s="10">
        <f>IFERROR(IF(('Loading-rail'!$C$21)="No control",SUMIF(('Loading-rail'!$B$31:$B$48),$J3352,('Loading-rail'!$D$31:$D$48))*Impacts!$F$15,IF(('Loading-rail'!$C$21)&lt;&gt;"No control",SUMIF(('Loading-rail'!$B$31:$B$48),$J3352,('Loading-rail'!$E$31:$E$48))*Impacts!$F$15,0)),0)</f>
        <v>0</v>
      </c>
      <c r="T3352" s="10">
        <f>IF(Flare!$C$7="",0,(SUMIF(Flare!$B$46:$B$185,$J3352,Flare!$E$46:$E$185)*Impacts!$F$16))</f>
        <v>0</v>
      </c>
      <c r="U3352" s="10">
        <f>IF(VCU!$C$9="",0,(SUMIF(VCU!$B$51:$B$193,$J3352,VCU!$E$51:$E$193)*Impacts!$F$17))</f>
        <v>0</v>
      </c>
      <c r="V3352" s="10">
        <f>IF(CAS!$C$7="",0,(SUMIF(CAS!$B$31:$B$167,$J3352,CAS!$E$31:$E$167)*Impacts!$F$18))</f>
        <v>0</v>
      </c>
      <c r="W3352" s="10">
        <f t="shared" si="92"/>
        <v>0</v>
      </c>
      <c r="AK3352" s="10" t="str">
        <f t="array" ref="AK3352">IFERROR(INDEX(SelectedSpecies,SMALL(IF(SelectedSpecies=AK$1,ROW(SelectedSpecies)),ROW(3353:3353)),2),"")</f>
        <v/>
      </c>
      <c r="BE3352" s="10"/>
      <c r="BI3352" s="10"/>
    </row>
    <row r="3353" spans="1:61" ht="21" customHeight="1" x14ac:dyDescent="0.25">
      <c r="A3353" s="10"/>
      <c r="B3353" s="10"/>
      <c r="E3353" s="10"/>
      <c r="G3353" s="10"/>
      <c r="I3353" s="436" t="s">
        <v>6160</v>
      </c>
      <c r="J3353" s="26" t="s">
        <v>6159</v>
      </c>
      <c r="K3353" s="10">
        <v>1</v>
      </c>
      <c r="L3353" s="73">
        <f>IF(Tank1!$C$23="No control",(SUMIF(Tank1!$B$32:$B$49,$J3353,Tank1!$C$32:$C$49)*Impacts!$F$8),0)</f>
        <v>0</v>
      </c>
      <c r="M3353" s="10">
        <f>IF(Tank2!$C$23="No control",(SUMIF(Tank2!$B$32:$B$49,$J3353,Tank2!$C$32:$C$49)*Impacts!$F$9),0)</f>
        <v>0</v>
      </c>
      <c r="N3353" s="10">
        <f>IF(Tank3!$C$23="No control",(SUMIF(Tank3!$B$32:$B$49,$J3353,Tank3!$C$32:$C$49)*Impacts!$F$10),0)</f>
        <v>0</v>
      </c>
      <c r="O3353" s="10">
        <f>IF(Tank4!$C$23="No control",(SUMIF(Tank4!$B$32:$B$49,$J3353,Tank4!$C$32:$C$49)*Impacts!$F$11),0)</f>
        <v>0</v>
      </c>
      <c r="P3353" s="10">
        <f>IF(Tank5!$C$23="No control",(SUMIF(Tank5!$B$32:$B$49,$J3353,Tank5!$C$32:$C$49)*Impacts!$F$12),0)</f>
        <v>0</v>
      </c>
      <c r="Q3353" s="10">
        <f>IFERROR(IF(('Loading-drum,tote'!$C$21)="No control",SUMIF(('Loading-drum,tote'!$B$31:$B$48),$J3353,('Loading-drum,tote'!$D$31:$D$48))*Impacts!$F$13,IF(('Loading-drum,tote'!$C$21)&lt;&gt;"No control",SUMIF(('Loading-drum,tote'!$B$31:$B$48),$J3353,('Loading-drum,tote'!$E$31:$E$48))*Impacts!$F$13,0)),0)</f>
        <v>0</v>
      </c>
      <c r="R3353" s="10">
        <f>IFERROR(IF(('Loading-truck'!$C$21)="No control",SUMIF(('Loading-truck'!$B$31:$B$48),$J3353,('Loading-truck'!$D$31:$D$48))*Impacts!$F$14,IF(('Loading-truck'!$C$21)&lt;&gt;"No control",SUMIF(('Loading-truck'!$B$31:$B$48),$J3353,('Loading-truck'!$E$31:$E$48))*Impacts!$F$14,0)),0)</f>
        <v>0</v>
      </c>
      <c r="S3353" s="10">
        <f>IFERROR(IF(('Loading-rail'!$C$21)="No control",SUMIF(('Loading-rail'!$B$31:$B$48),$J3353,('Loading-rail'!$D$31:$D$48))*Impacts!$F$15,IF(('Loading-rail'!$C$21)&lt;&gt;"No control",SUMIF(('Loading-rail'!$B$31:$B$48),$J3353,('Loading-rail'!$E$31:$E$48))*Impacts!$F$15,0)),0)</f>
        <v>0</v>
      </c>
      <c r="T3353" s="10">
        <f>IF(Flare!$C$7="",0,(SUMIF(Flare!$B$46:$B$185,$J3353,Flare!$E$46:$E$185)*Impacts!$F$16))</f>
        <v>0</v>
      </c>
      <c r="U3353" s="10">
        <f>IF(VCU!$C$9="",0,(SUMIF(VCU!$B$51:$B$193,$J3353,VCU!$E$51:$E$193)*Impacts!$F$17))</f>
        <v>0</v>
      </c>
      <c r="V3353" s="10">
        <f>IF(CAS!$C$7="",0,(SUMIF(CAS!$B$31:$B$167,$J3353,CAS!$E$31:$E$167)*Impacts!$F$18))</f>
        <v>0</v>
      </c>
      <c r="W3353" s="10">
        <f t="shared" si="92"/>
        <v>0</v>
      </c>
      <c r="AK3353" s="10" t="str">
        <f t="array" ref="AK3353">IFERROR(INDEX(SelectedSpecies,SMALL(IF(SelectedSpecies=AK$1,ROW(SelectedSpecies)),ROW(3354:3354)),2),"")</f>
        <v/>
      </c>
      <c r="BE3353" s="10"/>
      <c r="BI3353" s="10"/>
    </row>
    <row r="3354" spans="1:61" ht="21" customHeight="1" x14ac:dyDescent="0.25">
      <c r="A3354" s="10"/>
      <c r="B3354" s="10"/>
      <c r="E3354" s="10"/>
      <c r="G3354" s="10"/>
      <c r="I3354" s="436" t="s">
        <v>5533</v>
      </c>
      <c r="J3354" s="26" t="s">
        <v>5532</v>
      </c>
      <c r="K3354" s="10">
        <v>1.25</v>
      </c>
      <c r="L3354" s="73">
        <f>IF(Tank1!$C$23="No control",(SUMIF(Tank1!$B$32:$B$49,$J3354,Tank1!$C$32:$C$49)*Impacts!$F$8),0)</f>
        <v>0</v>
      </c>
      <c r="M3354" s="10">
        <f>IF(Tank2!$C$23="No control",(SUMIF(Tank2!$B$32:$B$49,$J3354,Tank2!$C$32:$C$49)*Impacts!$F$9),0)</f>
        <v>0</v>
      </c>
      <c r="N3354" s="10">
        <f>IF(Tank3!$C$23="No control",(SUMIF(Tank3!$B$32:$B$49,$J3354,Tank3!$C$32:$C$49)*Impacts!$F$10),0)</f>
        <v>0</v>
      </c>
      <c r="O3354" s="10">
        <f>IF(Tank4!$C$23="No control",(SUMIF(Tank4!$B$32:$B$49,$J3354,Tank4!$C$32:$C$49)*Impacts!$F$11),0)</f>
        <v>0</v>
      </c>
      <c r="P3354" s="10">
        <f>IF(Tank5!$C$23="No control",(SUMIF(Tank5!$B$32:$B$49,$J3354,Tank5!$C$32:$C$49)*Impacts!$F$12),0)</f>
        <v>0</v>
      </c>
      <c r="Q3354" s="10">
        <f>IFERROR(IF(('Loading-drum,tote'!$C$21)="No control",SUMIF(('Loading-drum,tote'!$B$31:$B$48),$J3354,('Loading-drum,tote'!$D$31:$D$48))*Impacts!$F$13,IF(('Loading-drum,tote'!$C$21)&lt;&gt;"No control",SUMIF(('Loading-drum,tote'!$B$31:$B$48),$J3354,('Loading-drum,tote'!$E$31:$E$48))*Impacts!$F$13,0)),0)</f>
        <v>0</v>
      </c>
      <c r="R3354" s="10">
        <f>IFERROR(IF(('Loading-truck'!$C$21)="No control",SUMIF(('Loading-truck'!$B$31:$B$48),$J3354,('Loading-truck'!$D$31:$D$48))*Impacts!$F$14,IF(('Loading-truck'!$C$21)&lt;&gt;"No control",SUMIF(('Loading-truck'!$B$31:$B$48),$J3354,('Loading-truck'!$E$31:$E$48))*Impacts!$F$14,0)),0)</f>
        <v>0</v>
      </c>
      <c r="S3354" s="10">
        <f>IFERROR(IF(('Loading-rail'!$C$21)="No control",SUMIF(('Loading-rail'!$B$31:$B$48),$J3354,('Loading-rail'!$D$31:$D$48))*Impacts!$F$15,IF(('Loading-rail'!$C$21)&lt;&gt;"No control",SUMIF(('Loading-rail'!$B$31:$B$48),$J3354,('Loading-rail'!$E$31:$E$48))*Impacts!$F$15,0)),0)</f>
        <v>0</v>
      </c>
      <c r="T3354" s="10">
        <f>IF(Flare!$C$7="",0,(SUMIF(Flare!$B$46:$B$185,$J3354,Flare!$E$46:$E$185)*Impacts!$F$16))</f>
        <v>0</v>
      </c>
      <c r="U3354" s="10">
        <f>IF(VCU!$C$9="",0,(SUMIF(VCU!$B$51:$B$193,$J3354,VCU!$E$51:$E$193)*Impacts!$F$17))</f>
        <v>0</v>
      </c>
      <c r="V3354" s="10">
        <f>IF(CAS!$C$7="",0,(SUMIF(CAS!$B$31:$B$167,$J3354,CAS!$E$31:$E$167)*Impacts!$F$18))</f>
        <v>0</v>
      </c>
      <c r="W3354" s="10">
        <f t="shared" ref="W3354:W3417" si="93">SUM(L3354:V3354)</f>
        <v>0</v>
      </c>
      <c r="AK3354" s="10" t="str">
        <f t="array" ref="AK3354">IFERROR(INDEX(SelectedSpecies,SMALL(IF(SelectedSpecies=AK$1,ROW(SelectedSpecies)),ROW(3355:3355)),2),"")</f>
        <v/>
      </c>
      <c r="BE3354" s="10"/>
      <c r="BI3354" s="10"/>
    </row>
    <row r="3355" spans="1:61" ht="21" customHeight="1" x14ac:dyDescent="0.25">
      <c r="A3355" s="10"/>
      <c r="B3355" s="10"/>
      <c r="E3355" s="10"/>
      <c r="G3355" s="10"/>
      <c r="I3355" s="436" t="s">
        <v>742</v>
      </c>
      <c r="J3355" s="26" t="s">
        <v>741</v>
      </c>
      <c r="K3355" s="10">
        <v>57</v>
      </c>
      <c r="L3355" s="73">
        <f>IF(Tank1!$C$23="No control",(SUMIF(Tank1!$B$32:$B$49,$J3355,Tank1!$C$32:$C$49)*Impacts!$F$8),0)</f>
        <v>0</v>
      </c>
      <c r="M3355" s="10">
        <f>IF(Tank2!$C$23="No control",(SUMIF(Tank2!$B$32:$B$49,$J3355,Tank2!$C$32:$C$49)*Impacts!$F$9),0)</f>
        <v>0</v>
      </c>
      <c r="N3355" s="10">
        <f>IF(Tank3!$C$23="No control",(SUMIF(Tank3!$B$32:$B$49,$J3355,Tank3!$C$32:$C$49)*Impacts!$F$10),0)</f>
        <v>0</v>
      </c>
      <c r="O3355" s="10">
        <f>IF(Tank4!$C$23="No control",(SUMIF(Tank4!$B$32:$B$49,$J3355,Tank4!$C$32:$C$49)*Impacts!$F$11),0)</f>
        <v>0</v>
      </c>
      <c r="P3355" s="10">
        <f>IF(Tank5!$C$23="No control",(SUMIF(Tank5!$B$32:$B$49,$J3355,Tank5!$C$32:$C$49)*Impacts!$F$12),0)</f>
        <v>0</v>
      </c>
      <c r="Q3355" s="10">
        <f>IFERROR(IF(('Loading-drum,tote'!$C$21)="No control",SUMIF(('Loading-drum,tote'!$B$31:$B$48),$J3355,('Loading-drum,tote'!$D$31:$D$48))*Impacts!$F$13,IF(('Loading-drum,tote'!$C$21)&lt;&gt;"No control",SUMIF(('Loading-drum,tote'!$B$31:$B$48),$J3355,('Loading-drum,tote'!$E$31:$E$48))*Impacts!$F$13,0)),0)</f>
        <v>0</v>
      </c>
      <c r="R3355" s="10">
        <f>IFERROR(IF(('Loading-truck'!$C$21)="No control",SUMIF(('Loading-truck'!$B$31:$B$48),$J3355,('Loading-truck'!$D$31:$D$48))*Impacts!$F$14,IF(('Loading-truck'!$C$21)&lt;&gt;"No control",SUMIF(('Loading-truck'!$B$31:$B$48),$J3355,('Loading-truck'!$E$31:$E$48))*Impacts!$F$14,0)),0)</f>
        <v>0</v>
      </c>
      <c r="S3355" s="10">
        <f>IFERROR(IF(('Loading-rail'!$C$21)="No control",SUMIF(('Loading-rail'!$B$31:$B$48),$J3355,('Loading-rail'!$D$31:$D$48))*Impacts!$F$15,IF(('Loading-rail'!$C$21)&lt;&gt;"No control",SUMIF(('Loading-rail'!$B$31:$B$48),$J3355,('Loading-rail'!$E$31:$E$48))*Impacts!$F$15,0)),0)</f>
        <v>0</v>
      </c>
      <c r="T3355" s="10">
        <f>IF(Flare!$C$7="",0,(SUMIF(Flare!$B$46:$B$185,$J3355,Flare!$E$46:$E$185)*Impacts!$F$16))</f>
        <v>0</v>
      </c>
      <c r="U3355" s="10">
        <f>IF(VCU!$C$9="",0,(SUMIF(VCU!$B$51:$B$193,$J3355,VCU!$E$51:$E$193)*Impacts!$F$17))</f>
        <v>0</v>
      </c>
      <c r="V3355" s="10">
        <f>IF(CAS!$C$7="",0,(SUMIF(CAS!$B$31:$B$167,$J3355,CAS!$E$31:$E$167)*Impacts!$F$18))</f>
        <v>0</v>
      </c>
      <c r="W3355" s="10">
        <f t="shared" si="93"/>
        <v>0</v>
      </c>
      <c r="AK3355" s="10" t="str">
        <f t="array" ref="AK3355">IFERROR(INDEX(SelectedSpecies,SMALL(IF(SelectedSpecies=AK$1,ROW(SelectedSpecies)),ROW(3356:3356)),2),"")</f>
        <v/>
      </c>
      <c r="BE3355" s="10"/>
      <c r="BI3355" s="10"/>
    </row>
    <row r="3356" spans="1:61" ht="21" customHeight="1" x14ac:dyDescent="0.25">
      <c r="A3356" s="10"/>
      <c r="B3356" s="10"/>
      <c r="E3356" s="10"/>
      <c r="G3356" s="10"/>
      <c r="I3356" s="436" t="s">
        <v>3363</v>
      </c>
      <c r="J3356" s="26" t="s">
        <v>3362</v>
      </c>
      <c r="K3356" s="10">
        <v>10</v>
      </c>
      <c r="L3356" s="73">
        <f>IF(Tank1!$C$23="No control",(SUMIF(Tank1!$B$32:$B$49,$J3356,Tank1!$C$32:$C$49)*Impacts!$F$8),0)</f>
        <v>0</v>
      </c>
      <c r="M3356" s="10">
        <f>IF(Tank2!$C$23="No control",(SUMIF(Tank2!$B$32:$B$49,$J3356,Tank2!$C$32:$C$49)*Impacts!$F$9),0)</f>
        <v>0</v>
      </c>
      <c r="N3356" s="10">
        <f>IF(Tank3!$C$23="No control",(SUMIF(Tank3!$B$32:$B$49,$J3356,Tank3!$C$32:$C$49)*Impacts!$F$10),0)</f>
        <v>0</v>
      </c>
      <c r="O3356" s="10">
        <f>IF(Tank4!$C$23="No control",(SUMIF(Tank4!$B$32:$B$49,$J3356,Tank4!$C$32:$C$49)*Impacts!$F$11),0)</f>
        <v>0</v>
      </c>
      <c r="P3356" s="10">
        <f>IF(Tank5!$C$23="No control",(SUMIF(Tank5!$B$32:$B$49,$J3356,Tank5!$C$32:$C$49)*Impacts!$F$12),0)</f>
        <v>0</v>
      </c>
      <c r="Q3356" s="10">
        <f>IFERROR(IF(('Loading-drum,tote'!$C$21)="No control",SUMIF(('Loading-drum,tote'!$B$31:$B$48),$J3356,('Loading-drum,tote'!$D$31:$D$48))*Impacts!$F$13,IF(('Loading-drum,tote'!$C$21)&lt;&gt;"No control",SUMIF(('Loading-drum,tote'!$B$31:$B$48),$J3356,('Loading-drum,tote'!$E$31:$E$48))*Impacts!$F$13,0)),0)</f>
        <v>0</v>
      </c>
      <c r="R3356" s="10">
        <f>IFERROR(IF(('Loading-truck'!$C$21)="No control",SUMIF(('Loading-truck'!$B$31:$B$48),$J3356,('Loading-truck'!$D$31:$D$48))*Impacts!$F$14,IF(('Loading-truck'!$C$21)&lt;&gt;"No control",SUMIF(('Loading-truck'!$B$31:$B$48),$J3356,('Loading-truck'!$E$31:$E$48))*Impacts!$F$14,0)),0)</f>
        <v>0</v>
      </c>
      <c r="S3356" s="10">
        <f>IFERROR(IF(('Loading-rail'!$C$21)="No control",SUMIF(('Loading-rail'!$B$31:$B$48),$J3356,('Loading-rail'!$D$31:$D$48))*Impacts!$F$15,IF(('Loading-rail'!$C$21)&lt;&gt;"No control",SUMIF(('Loading-rail'!$B$31:$B$48),$J3356,('Loading-rail'!$E$31:$E$48))*Impacts!$F$15,0)),0)</f>
        <v>0</v>
      </c>
      <c r="T3356" s="10">
        <f>IF(Flare!$C$7="",0,(SUMIF(Flare!$B$46:$B$185,$J3356,Flare!$E$46:$E$185)*Impacts!$F$16))</f>
        <v>0</v>
      </c>
      <c r="U3356" s="10">
        <f>IF(VCU!$C$9="",0,(SUMIF(VCU!$B$51:$B$193,$J3356,VCU!$E$51:$E$193)*Impacts!$F$17))</f>
        <v>0</v>
      </c>
      <c r="V3356" s="10">
        <f>IF(CAS!$C$7="",0,(SUMIF(CAS!$B$31:$B$167,$J3356,CAS!$E$31:$E$167)*Impacts!$F$18))</f>
        <v>0</v>
      </c>
      <c r="W3356" s="10">
        <f t="shared" si="93"/>
        <v>0</v>
      </c>
      <c r="AK3356" s="10" t="str">
        <f t="array" ref="AK3356">IFERROR(INDEX(SelectedSpecies,SMALL(IF(SelectedSpecies=AK$1,ROW(SelectedSpecies)),ROW(3357:3357)),2),"")</f>
        <v/>
      </c>
      <c r="BE3356" s="10"/>
      <c r="BI3356" s="10"/>
    </row>
    <row r="3357" spans="1:61" ht="21" customHeight="1" x14ac:dyDescent="0.25">
      <c r="A3357" s="10"/>
      <c r="B3357" s="10"/>
      <c r="E3357" s="10"/>
      <c r="G3357" s="10"/>
      <c r="I3357" s="436" t="s">
        <v>5573</v>
      </c>
      <c r="J3357" s="26" t="s">
        <v>5572</v>
      </c>
      <c r="K3357" s="10">
        <v>1.2000000000000002</v>
      </c>
      <c r="L3357" s="73">
        <f>IF(Tank1!$C$23="No control",(SUMIF(Tank1!$B$32:$B$49,$J3357,Tank1!$C$32:$C$49)*Impacts!$F$8),0)</f>
        <v>0</v>
      </c>
      <c r="M3357" s="10">
        <f>IF(Tank2!$C$23="No control",(SUMIF(Tank2!$B$32:$B$49,$J3357,Tank2!$C$32:$C$49)*Impacts!$F$9),0)</f>
        <v>0</v>
      </c>
      <c r="N3357" s="10">
        <f>IF(Tank3!$C$23="No control",(SUMIF(Tank3!$B$32:$B$49,$J3357,Tank3!$C$32:$C$49)*Impacts!$F$10),0)</f>
        <v>0</v>
      </c>
      <c r="O3357" s="10">
        <f>IF(Tank4!$C$23="No control",(SUMIF(Tank4!$B$32:$B$49,$J3357,Tank4!$C$32:$C$49)*Impacts!$F$11),0)</f>
        <v>0</v>
      </c>
      <c r="P3357" s="10">
        <f>IF(Tank5!$C$23="No control",(SUMIF(Tank5!$B$32:$B$49,$J3357,Tank5!$C$32:$C$49)*Impacts!$F$12),0)</f>
        <v>0</v>
      </c>
      <c r="Q3357" s="10">
        <f>IFERROR(IF(('Loading-drum,tote'!$C$21)="No control",SUMIF(('Loading-drum,tote'!$B$31:$B$48),$J3357,('Loading-drum,tote'!$D$31:$D$48))*Impacts!$F$13,IF(('Loading-drum,tote'!$C$21)&lt;&gt;"No control",SUMIF(('Loading-drum,tote'!$B$31:$B$48),$J3357,('Loading-drum,tote'!$E$31:$E$48))*Impacts!$F$13,0)),0)</f>
        <v>0</v>
      </c>
      <c r="R3357" s="10">
        <f>IFERROR(IF(('Loading-truck'!$C$21)="No control",SUMIF(('Loading-truck'!$B$31:$B$48),$J3357,('Loading-truck'!$D$31:$D$48))*Impacts!$F$14,IF(('Loading-truck'!$C$21)&lt;&gt;"No control",SUMIF(('Loading-truck'!$B$31:$B$48),$J3357,('Loading-truck'!$E$31:$E$48))*Impacts!$F$14,0)),0)</f>
        <v>0</v>
      </c>
      <c r="S3357" s="10">
        <f>IFERROR(IF(('Loading-rail'!$C$21)="No control",SUMIF(('Loading-rail'!$B$31:$B$48),$J3357,('Loading-rail'!$D$31:$D$48))*Impacts!$F$15,IF(('Loading-rail'!$C$21)&lt;&gt;"No control",SUMIF(('Loading-rail'!$B$31:$B$48),$J3357,('Loading-rail'!$E$31:$E$48))*Impacts!$F$15,0)),0)</f>
        <v>0</v>
      </c>
      <c r="T3357" s="10">
        <f>IF(Flare!$C$7="",0,(SUMIF(Flare!$B$46:$B$185,$J3357,Flare!$E$46:$E$185)*Impacts!$F$16))</f>
        <v>0</v>
      </c>
      <c r="U3357" s="10">
        <f>IF(VCU!$C$9="",0,(SUMIF(VCU!$B$51:$B$193,$J3357,VCU!$E$51:$E$193)*Impacts!$F$17))</f>
        <v>0</v>
      </c>
      <c r="V3357" s="10">
        <f>IF(CAS!$C$7="",0,(SUMIF(CAS!$B$31:$B$167,$J3357,CAS!$E$31:$E$167)*Impacts!$F$18))</f>
        <v>0</v>
      </c>
      <c r="W3357" s="10">
        <f t="shared" si="93"/>
        <v>0</v>
      </c>
      <c r="AK3357" s="10" t="str">
        <f t="array" ref="AK3357">IFERROR(INDEX(SelectedSpecies,SMALL(IF(SelectedSpecies=AK$1,ROW(SelectedSpecies)),ROW(3358:3358)),2),"")</f>
        <v/>
      </c>
      <c r="BE3357" s="10"/>
      <c r="BI3357" s="10"/>
    </row>
    <row r="3358" spans="1:61" ht="21" customHeight="1" x14ac:dyDescent="0.25">
      <c r="A3358" s="10"/>
      <c r="B3358" s="10"/>
      <c r="E3358" s="10"/>
      <c r="G3358" s="10"/>
      <c r="I3358" s="436" t="s">
        <v>6162</v>
      </c>
      <c r="J3358" s="26" t="s">
        <v>6161</v>
      </c>
      <c r="K3358" s="10">
        <v>1</v>
      </c>
      <c r="L3358" s="73">
        <f>IF(Tank1!$C$23="No control",(SUMIF(Tank1!$B$32:$B$49,$J3358,Tank1!$C$32:$C$49)*Impacts!$F$8),0)</f>
        <v>0</v>
      </c>
      <c r="M3358" s="10">
        <f>IF(Tank2!$C$23="No control",(SUMIF(Tank2!$B$32:$B$49,$J3358,Tank2!$C$32:$C$49)*Impacts!$F$9),0)</f>
        <v>0</v>
      </c>
      <c r="N3358" s="10">
        <f>IF(Tank3!$C$23="No control",(SUMIF(Tank3!$B$32:$B$49,$J3358,Tank3!$C$32:$C$49)*Impacts!$F$10),0)</f>
        <v>0</v>
      </c>
      <c r="O3358" s="10">
        <f>IF(Tank4!$C$23="No control",(SUMIF(Tank4!$B$32:$B$49,$J3358,Tank4!$C$32:$C$49)*Impacts!$F$11),0)</f>
        <v>0</v>
      </c>
      <c r="P3358" s="10">
        <f>IF(Tank5!$C$23="No control",(SUMIF(Tank5!$B$32:$B$49,$J3358,Tank5!$C$32:$C$49)*Impacts!$F$12),0)</f>
        <v>0</v>
      </c>
      <c r="Q3358" s="10">
        <f>IFERROR(IF(('Loading-drum,tote'!$C$21)="No control",SUMIF(('Loading-drum,tote'!$B$31:$B$48),$J3358,('Loading-drum,tote'!$D$31:$D$48))*Impacts!$F$13,IF(('Loading-drum,tote'!$C$21)&lt;&gt;"No control",SUMIF(('Loading-drum,tote'!$B$31:$B$48),$J3358,('Loading-drum,tote'!$E$31:$E$48))*Impacts!$F$13,0)),0)</f>
        <v>0</v>
      </c>
      <c r="R3358" s="10">
        <f>IFERROR(IF(('Loading-truck'!$C$21)="No control",SUMIF(('Loading-truck'!$B$31:$B$48),$J3358,('Loading-truck'!$D$31:$D$48))*Impacts!$F$14,IF(('Loading-truck'!$C$21)&lt;&gt;"No control",SUMIF(('Loading-truck'!$B$31:$B$48),$J3358,('Loading-truck'!$E$31:$E$48))*Impacts!$F$14,0)),0)</f>
        <v>0</v>
      </c>
      <c r="S3358" s="10">
        <f>IFERROR(IF(('Loading-rail'!$C$21)="No control",SUMIF(('Loading-rail'!$B$31:$B$48),$J3358,('Loading-rail'!$D$31:$D$48))*Impacts!$F$15,IF(('Loading-rail'!$C$21)&lt;&gt;"No control",SUMIF(('Loading-rail'!$B$31:$B$48),$J3358,('Loading-rail'!$E$31:$E$48))*Impacts!$F$15,0)),0)</f>
        <v>0</v>
      </c>
      <c r="T3358" s="10">
        <f>IF(Flare!$C$7="",0,(SUMIF(Flare!$B$46:$B$185,$J3358,Flare!$E$46:$E$185)*Impacts!$F$16))</f>
        <v>0</v>
      </c>
      <c r="U3358" s="10">
        <f>IF(VCU!$C$9="",0,(SUMIF(VCU!$B$51:$B$193,$J3358,VCU!$E$51:$E$193)*Impacts!$F$17))</f>
        <v>0</v>
      </c>
      <c r="V3358" s="10">
        <f>IF(CAS!$C$7="",0,(SUMIF(CAS!$B$31:$B$167,$J3358,CAS!$E$31:$E$167)*Impacts!$F$18))</f>
        <v>0</v>
      </c>
      <c r="W3358" s="10">
        <f t="shared" si="93"/>
        <v>0</v>
      </c>
      <c r="AK3358" s="10" t="str">
        <f t="array" ref="AK3358">IFERROR(INDEX(SelectedSpecies,SMALL(IF(SelectedSpecies=AK$1,ROW(SelectedSpecies)),ROW(3359:3359)),2),"")</f>
        <v/>
      </c>
      <c r="BE3358" s="10"/>
      <c r="BI3358" s="10"/>
    </row>
    <row r="3359" spans="1:61" ht="21" customHeight="1" x14ac:dyDescent="0.25">
      <c r="A3359" s="10"/>
      <c r="B3359" s="10"/>
      <c r="E3359" s="10"/>
      <c r="G3359" s="10"/>
      <c r="I3359" s="436" t="s">
        <v>4891</v>
      </c>
      <c r="J3359" s="26" t="s">
        <v>4890</v>
      </c>
      <c r="K3359" s="10">
        <v>2.7</v>
      </c>
      <c r="L3359" s="73">
        <f>IF(Tank1!$C$23="No control",(SUMIF(Tank1!$B$32:$B$49,$J3359,Tank1!$C$32:$C$49)*Impacts!$F$8),0)</f>
        <v>0</v>
      </c>
      <c r="M3359" s="10">
        <f>IF(Tank2!$C$23="No control",(SUMIF(Tank2!$B$32:$B$49,$J3359,Tank2!$C$32:$C$49)*Impacts!$F$9),0)</f>
        <v>0</v>
      </c>
      <c r="N3359" s="10">
        <f>IF(Tank3!$C$23="No control",(SUMIF(Tank3!$B$32:$B$49,$J3359,Tank3!$C$32:$C$49)*Impacts!$F$10),0)</f>
        <v>0</v>
      </c>
      <c r="O3359" s="10">
        <f>IF(Tank4!$C$23="No control",(SUMIF(Tank4!$B$32:$B$49,$J3359,Tank4!$C$32:$C$49)*Impacts!$F$11),0)</f>
        <v>0</v>
      </c>
      <c r="P3359" s="10">
        <f>IF(Tank5!$C$23="No control",(SUMIF(Tank5!$B$32:$B$49,$J3359,Tank5!$C$32:$C$49)*Impacts!$F$12),0)</f>
        <v>0</v>
      </c>
      <c r="Q3359" s="10">
        <f>IFERROR(IF(('Loading-drum,tote'!$C$21)="No control",SUMIF(('Loading-drum,tote'!$B$31:$B$48),$J3359,('Loading-drum,tote'!$D$31:$D$48))*Impacts!$F$13,IF(('Loading-drum,tote'!$C$21)&lt;&gt;"No control",SUMIF(('Loading-drum,tote'!$B$31:$B$48),$J3359,('Loading-drum,tote'!$E$31:$E$48))*Impacts!$F$13,0)),0)</f>
        <v>0</v>
      </c>
      <c r="R3359" s="10">
        <f>IFERROR(IF(('Loading-truck'!$C$21)="No control",SUMIF(('Loading-truck'!$B$31:$B$48),$J3359,('Loading-truck'!$D$31:$D$48))*Impacts!$F$14,IF(('Loading-truck'!$C$21)&lt;&gt;"No control",SUMIF(('Loading-truck'!$B$31:$B$48),$J3359,('Loading-truck'!$E$31:$E$48))*Impacts!$F$14,0)),0)</f>
        <v>0</v>
      </c>
      <c r="S3359" s="10">
        <f>IFERROR(IF(('Loading-rail'!$C$21)="No control",SUMIF(('Loading-rail'!$B$31:$B$48),$J3359,('Loading-rail'!$D$31:$D$48))*Impacts!$F$15,IF(('Loading-rail'!$C$21)&lt;&gt;"No control",SUMIF(('Loading-rail'!$B$31:$B$48),$J3359,('Loading-rail'!$E$31:$E$48))*Impacts!$F$15,0)),0)</f>
        <v>0</v>
      </c>
      <c r="T3359" s="10">
        <f>IF(Flare!$C$7="",0,(SUMIF(Flare!$B$46:$B$185,$J3359,Flare!$E$46:$E$185)*Impacts!$F$16))</f>
        <v>0</v>
      </c>
      <c r="U3359" s="10">
        <f>IF(VCU!$C$9="",0,(SUMIF(VCU!$B$51:$B$193,$J3359,VCU!$E$51:$E$193)*Impacts!$F$17))</f>
        <v>0</v>
      </c>
      <c r="V3359" s="10">
        <f>IF(CAS!$C$7="",0,(SUMIF(CAS!$B$31:$B$167,$J3359,CAS!$E$31:$E$167)*Impacts!$F$18))</f>
        <v>0</v>
      </c>
      <c r="W3359" s="10">
        <f t="shared" si="93"/>
        <v>0</v>
      </c>
      <c r="AK3359" s="10" t="str">
        <f t="array" ref="AK3359">IFERROR(INDEX(SelectedSpecies,SMALL(IF(SelectedSpecies=AK$1,ROW(SelectedSpecies)),ROW(3360:3360)),2),"")</f>
        <v/>
      </c>
      <c r="BE3359" s="10"/>
      <c r="BI3359" s="10"/>
    </row>
    <row r="3360" spans="1:61" ht="21" customHeight="1" x14ac:dyDescent="0.25">
      <c r="A3360" s="10"/>
      <c r="B3360" s="10"/>
      <c r="E3360" s="10"/>
      <c r="G3360" s="10"/>
      <c r="I3360" s="436" t="s">
        <v>6552</v>
      </c>
      <c r="J3360" s="26" t="s">
        <v>6551</v>
      </c>
      <c r="K3360" s="10">
        <v>0.70000000000000007</v>
      </c>
      <c r="L3360" s="73">
        <f>IF(Tank1!$C$23="No control",(SUMIF(Tank1!$B$32:$B$49,$J3360,Tank1!$C$32:$C$49)*Impacts!$F$8),0)</f>
        <v>0</v>
      </c>
      <c r="M3360" s="10">
        <f>IF(Tank2!$C$23="No control",(SUMIF(Tank2!$B$32:$B$49,$J3360,Tank2!$C$32:$C$49)*Impacts!$F$9),0)</f>
        <v>0</v>
      </c>
      <c r="N3360" s="10">
        <f>IF(Tank3!$C$23="No control",(SUMIF(Tank3!$B$32:$B$49,$J3360,Tank3!$C$32:$C$49)*Impacts!$F$10),0)</f>
        <v>0</v>
      </c>
      <c r="O3360" s="10">
        <f>IF(Tank4!$C$23="No control",(SUMIF(Tank4!$B$32:$B$49,$J3360,Tank4!$C$32:$C$49)*Impacts!$F$11),0)</f>
        <v>0</v>
      </c>
      <c r="P3360" s="10">
        <f>IF(Tank5!$C$23="No control",(SUMIF(Tank5!$B$32:$B$49,$J3360,Tank5!$C$32:$C$49)*Impacts!$F$12),0)</f>
        <v>0</v>
      </c>
      <c r="Q3360" s="10">
        <f>IFERROR(IF(('Loading-drum,tote'!$C$21)="No control",SUMIF(('Loading-drum,tote'!$B$31:$B$48),$J3360,('Loading-drum,tote'!$D$31:$D$48))*Impacts!$F$13,IF(('Loading-drum,tote'!$C$21)&lt;&gt;"No control",SUMIF(('Loading-drum,tote'!$B$31:$B$48),$J3360,('Loading-drum,tote'!$E$31:$E$48))*Impacts!$F$13,0)),0)</f>
        <v>0</v>
      </c>
      <c r="R3360" s="10">
        <f>IFERROR(IF(('Loading-truck'!$C$21)="No control",SUMIF(('Loading-truck'!$B$31:$B$48),$J3360,('Loading-truck'!$D$31:$D$48))*Impacts!$F$14,IF(('Loading-truck'!$C$21)&lt;&gt;"No control",SUMIF(('Loading-truck'!$B$31:$B$48),$J3360,('Loading-truck'!$E$31:$E$48))*Impacts!$F$14,0)),0)</f>
        <v>0</v>
      </c>
      <c r="S3360" s="10">
        <f>IFERROR(IF(('Loading-rail'!$C$21)="No control",SUMIF(('Loading-rail'!$B$31:$B$48),$J3360,('Loading-rail'!$D$31:$D$48))*Impacts!$F$15,IF(('Loading-rail'!$C$21)&lt;&gt;"No control",SUMIF(('Loading-rail'!$B$31:$B$48),$J3360,('Loading-rail'!$E$31:$E$48))*Impacts!$F$15,0)),0)</f>
        <v>0</v>
      </c>
      <c r="T3360" s="10">
        <f>IF(Flare!$C$7="",0,(SUMIF(Flare!$B$46:$B$185,$J3360,Flare!$E$46:$E$185)*Impacts!$F$16))</f>
        <v>0</v>
      </c>
      <c r="U3360" s="10">
        <f>IF(VCU!$C$9="",0,(SUMIF(VCU!$B$51:$B$193,$J3360,VCU!$E$51:$E$193)*Impacts!$F$17))</f>
        <v>0</v>
      </c>
      <c r="V3360" s="10">
        <f>IF(CAS!$C$7="",0,(SUMIF(CAS!$B$31:$B$167,$J3360,CAS!$E$31:$E$167)*Impacts!$F$18))</f>
        <v>0</v>
      </c>
      <c r="W3360" s="10">
        <f t="shared" si="93"/>
        <v>0</v>
      </c>
      <c r="AK3360" s="10" t="str">
        <f t="array" ref="AK3360">IFERROR(INDEX(SelectedSpecies,SMALL(IF(SelectedSpecies=AK$1,ROW(SelectedSpecies)),ROW(3361:3361)),2),"")</f>
        <v/>
      </c>
      <c r="BE3360" s="10"/>
      <c r="BI3360" s="10"/>
    </row>
    <row r="3361" spans="1:61" ht="21" customHeight="1" x14ac:dyDescent="0.25">
      <c r="A3361" s="10"/>
      <c r="B3361" s="10"/>
      <c r="E3361" s="10"/>
      <c r="G3361" s="10"/>
      <c r="I3361" s="436" t="s">
        <v>5357</v>
      </c>
      <c r="J3361" s="26" t="s">
        <v>5356</v>
      </c>
      <c r="K3361" s="10">
        <v>1.6</v>
      </c>
      <c r="L3361" s="73">
        <f>IF(Tank1!$C$23="No control",(SUMIF(Tank1!$B$32:$B$49,$J3361,Tank1!$C$32:$C$49)*Impacts!$F$8),0)</f>
        <v>0</v>
      </c>
      <c r="M3361" s="10">
        <f>IF(Tank2!$C$23="No control",(SUMIF(Tank2!$B$32:$B$49,$J3361,Tank2!$C$32:$C$49)*Impacts!$F$9),0)</f>
        <v>0</v>
      </c>
      <c r="N3361" s="10">
        <f>IF(Tank3!$C$23="No control",(SUMIF(Tank3!$B$32:$B$49,$J3361,Tank3!$C$32:$C$49)*Impacts!$F$10),0)</f>
        <v>0</v>
      </c>
      <c r="O3361" s="10">
        <f>IF(Tank4!$C$23="No control",(SUMIF(Tank4!$B$32:$B$49,$J3361,Tank4!$C$32:$C$49)*Impacts!$F$11),0)</f>
        <v>0</v>
      </c>
      <c r="P3361" s="10">
        <f>IF(Tank5!$C$23="No control",(SUMIF(Tank5!$B$32:$B$49,$J3361,Tank5!$C$32:$C$49)*Impacts!$F$12),0)</f>
        <v>0</v>
      </c>
      <c r="Q3361" s="10">
        <f>IFERROR(IF(('Loading-drum,tote'!$C$21)="No control",SUMIF(('Loading-drum,tote'!$B$31:$B$48),$J3361,('Loading-drum,tote'!$D$31:$D$48))*Impacts!$F$13,IF(('Loading-drum,tote'!$C$21)&lt;&gt;"No control",SUMIF(('Loading-drum,tote'!$B$31:$B$48),$J3361,('Loading-drum,tote'!$E$31:$E$48))*Impacts!$F$13,0)),0)</f>
        <v>0</v>
      </c>
      <c r="R3361" s="10">
        <f>IFERROR(IF(('Loading-truck'!$C$21)="No control",SUMIF(('Loading-truck'!$B$31:$B$48),$J3361,('Loading-truck'!$D$31:$D$48))*Impacts!$F$14,IF(('Loading-truck'!$C$21)&lt;&gt;"No control",SUMIF(('Loading-truck'!$B$31:$B$48),$J3361,('Loading-truck'!$E$31:$E$48))*Impacts!$F$14,0)),0)</f>
        <v>0</v>
      </c>
      <c r="S3361" s="10">
        <f>IFERROR(IF(('Loading-rail'!$C$21)="No control",SUMIF(('Loading-rail'!$B$31:$B$48),$J3361,('Loading-rail'!$D$31:$D$48))*Impacts!$F$15,IF(('Loading-rail'!$C$21)&lt;&gt;"No control",SUMIF(('Loading-rail'!$B$31:$B$48),$J3361,('Loading-rail'!$E$31:$E$48))*Impacts!$F$15,0)),0)</f>
        <v>0</v>
      </c>
      <c r="T3361" s="10">
        <f>IF(Flare!$C$7="",0,(SUMIF(Flare!$B$46:$B$185,$J3361,Flare!$E$46:$E$185)*Impacts!$F$16))</f>
        <v>0</v>
      </c>
      <c r="U3361" s="10">
        <f>IF(VCU!$C$9="",0,(SUMIF(VCU!$B$51:$B$193,$J3361,VCU!$E$51:$E$193)*Impacts!$F$17))</f>
        <v>0</v>
      </c>
      <c r="V3361" s="10">
        <f>IF(CAS!$C$7="",0,(SUMIF(CAS!$B$31:$B$167,$J3361,CAS!$E$31:$E$167)*Impacts!$F$18))</f>
        <v>0</v>
      </c>
      <c r="W3361" s="10">
        <f t="shared" si="93"/>
        <v>0</v>
      </c>
      <c r="AK3361" s="10" t="str">
        <f t="array" ref="AK3361">IFERROR(INDEX(SelectedSpecies,SMALL(IF(SelectedSpecies=AK$1,ROW(SelectedSpecies)),ROW(3362:3362)),2),"")</f>
        <v/>
      </c>
      <c r="BE3361" s="10"/>
      <c r="BI3361" s="10"/>
    </row>
    <row r="3362" spans="1:61" ht="21" customHeight="1" x14ac:dyDescent="0.25">
      <c r="A3362" s="10"/>
      <c r="B3362" s="10"/>
      <c r="E3362" s="10"/>
      <c r="G3362" s="10"/>
      <c r="I3362" s="436" t="s">
        <v>744</v>
      </c>
      <c r="J3362" s="26" t="s">
        <v>743</v>
      </c>
      <c r="K3362" s="10">
        <v>57</v>
      </c>
      <c r="L3362" s="73">
        <f>IF(Tank1!$C$23="No control",(SUMIF(Tank1!$B$32:$B$49,$J3362,Tank1!$C$32:$C$49)*Impacts!$F$8),0)</f>
        <v>0</v>
      </c>
      <c r="M3362" s="10">
        <f>IF(Tank2!$C$23="No control",(SUMIF(Tank2!$B$32:$B$49,$J3362,Tank2!$C$32:$C$49)*Impacts!$F$9),0)</f>
        <v>0</v>
      </c>
      <c r="N3362" s="10">
        <f>IF(Tank3!$C$23="No control",(SUMIF(Tank3!$B$32:$B$49,$J3362,Tank3!$C$32:$C$49)*Impacts!$F$10),0)</f>
        <v>0</v>
      </c>
      <c r="O3362" s="10">
        <f>IF(Tank4!$C$23="No control",(SUMIF(Tank4!$B$32:$B$49,$J3362,Tank4!$C$32:$C$49)*Impacts!$F$11),0)</f>
        <v>0</v>
      </c>
      <c r="P3362" s="10">
        <f>IF(Tank5!$C$23="No control",(SUMIF(Tank5!$B$32:$B$49,$J3362,Tank5!$C$32:$C$49)*Impacts!$F$12),0)</f>
        <v>0</v>
      </c>
      <c r="Q3362" s="10">
        <f>IFERROR(IF(('Loading-drum,tote'!$C$21)="No control",SUMIF(('Loading-drum,tote'!$B$31:$B$48),$J3362,('Loading-drum,tote'!$D$31:$D$48))*Impacts!$F$13,IF(('Loading-drum,tote'!$C$21)&lt;&gt;"No control",SUMIF(('Loading-drum,tote'!$B$31:$B$48),$J3362,('Loading-drum,tote'!$E$31:$E$48))*Impacts!$F$13,0)),0)</f>
        <v>0</v>
      </c>
      <c r="R3362" s="10">
        <f>IFERROR(IF(('Loading-truck'!$C$21)="No control",SUMIF(('Loading-truck'!$B$31:$B$48),$J3362,('Loading-truck'!$D$31:$D$48))*Impacts!$F$14,IF(('Loading-truck'!$C$21)&lt;&gt;"No control",SUMIF(('Loading-truck'!$B$31:$B$48),$J3362,('Loading-truck'!$E$31:$E$48))*Impacts!$F$14,0)),0)</f>
        <v>0</v>
      </c>
      <c r="S3362" s="10">
        <f>IFERROR(IF(('Loading-rail'!$C$21)="No control",SUMIF(('Loading-rail'!$B$31:$B$48),$J3362,('Loading-rail'!$D$31:$D$48))*Impacts!$F$15,IF(('Loading-rail'!$C$21)&lt;&gt;"No control",SUMIF(('Loading-rail'!$B$31:$B$48),$J3362,('Loading-rail'!$E$31:$E$48))*Impacts!$F$15,0)),0)</f>
        <v>0</v>
      </c>
      <c r="T3362" s="10">
        <f>IF(Flare!$C$7="",0,(SUMIF(Flare!$B$46:$B$185,$J3362,Flare!$E$46:$E$185)*Impacts!$F$16))</f>
        <v>0</v>
      </c>
      <c r="U3362" s="10">
        <f>IF(VCU!$C$9="",0,(SUMIF(VCU!$B$51:$B$193,$J3362,VCU!$E$51:$E$193)*Impacts!$F$17))</f>
        <v>0</v>
      </c>
      <c r="V3362" s="10">
        <f>IF(CAS!$C$7="",0,(SUMIF(CAS!$B$31:$B$167,$J3362,CAS!$E$31:$E$167)*Impacts!$F$18))</f>
        <v>0</v>
      </c>
      <c r="W3362" s="10">
        <f t="shared" si="93"/>
        <v>0</v>
      </c>
      <c r="AK3362" s="10" t="str">
        <f t="array" ref="AK3362">IFERROR(INDEX(SelectedSpecies,SMALL(IF(SelectedSpecies=AK$1,ROW(SelectedSpecies)),ROW(3363:3363)),2),"")</f>
        <v/>
      </c>
      <c r="BE3362" s="10"/>
      <c r="BI3362" s="10"/>
    </row>
    <row r="3363" spans="1:61" ht="21" customHeight="1" x14ac:dyDescent="0.25">
      <c r="A3363" s="10"/>
      <c r="B3363" s="10"/>
      <c r="E3363" s="10"/>
      <c r="G3363" s="10"/>
      <c r="I3363" s="436" t="s">
        <v>746</v>
      </c>
      <c r="J3363" s="26" t="s">
        <v>745</v>
      </c>
      <c r="K3363" s="10">
        <v>57</v>
      </c>
      <c r="L3363" s="73">
        <f>IF(Tank1!$C$23="No control",(SUMIF(Tank1!$B$32:$B$49,$J3363,Tank1!$C$32:$C$49)*Impacts!$F$8),0)</f>
        <v>0</v>
      </c>
      <c r="M3363" s="10">
        <f>IF(Tank2!$C$23="No control",(SUMIF(Tank2!$B$32:$B$49,$J3363,Tank2!$C$32:$C$49)*Impacts!$F$9),0)</f>
        <v>0</v>
      </c>
      <c r="N3363" s="10">
        <f>IF(Tank3!$C$23="No control",(SUMIF(Tank3!$B$32:$B$49,$J3363,Tank3!$C$32:$C$49)*Impacts!$F$10),0)</f>
        <v>0</v>
      </c>
      <c r="O3363" s="10">
        <f>IF(Tank4!$C$23="No control",(SUMIF(Tank4!$B$32:$B$49,$J3363,Tank4!$C$32:$C$49)*Impacts!$F$11),0)</f>
        <v>0</v>
      </c>
      <c r="P3363" s="10">
        <f>IF(Tank5!$C$23="No control",(SUMIF(Tank5!$B$32:$B$49,$J3363,Tank5!$C$32:$C$49)*Impacts!$F$12),0)</f>
        <v>0</v>
      </c>
      <c r="Q3363" s="10">
        <f>IFERROR(IF(('Loading-drum,tote'!$C$21)="No control",SUMIF(('Loading-drum,tote'!$B$31:$B$48),$J3363,('Loading-drum,tote'!$D$31:$D$48))*Impacts!$F$13,IF(('Loading-drum,tote'!$C$21)&lt;&gt;"No control",SUMIF(('Loading-drum,tote'!$B$31:$B$48),$J3363,('Loading-drum,tote'!$E$31:$E$48))*Impacts!$F$13,0)),0)</f>
        <v>0</v>
      </c>
      <c r="R3363" s="10">
        <f>IFERROR(IF(('Loading-truck'!$C$21)="No control",SUMIF(('Loading-truck'!$B$31:$B$48),$J3363,('Loading-truck'!$D$31:$D$48))*Impacts!$F$14,IF(('Loading-truck'!$C$21)&lt;&gt;"No control",SUMIF(('Loading-truck'!$B$31:$B$48),$J3363,('Loading-truck'!$E$31:$E$48))*Impacts!$F$14,0)),0)</f>
        <v>0</v>
      </c>
      <c r="S3363" s="10">
        <f>IFERROR(IF(('Loading-rail'!$C$21)="No control",SUMIF(('Loading-rail'!$B$31:$B$48),$J3363,('Loading-rail'!$D$31:$D$48))*Impacts!$F$15,IF(('Loading-rail'!$C$21)&lt;&gt;"No control",SUMIF(('Loading-rail'!$B$31:$B$48),$J3363,('Loading-rail'!$E$31:$E$48))*Impacts!$F$15,0)),0)</f>
        <v>0</v>
      </c>
      <c r="T3363" s="10">
        <f>IF(Flare!$C$7="",0,(SUMIF(Flare!$B$46:$B$185,$J3363,Flare!$E$46:$E$185)*Impacts!$F$16))</f>
        <v>0</v>
      </c>
      <c r="U3363" s="10">
        <f>IF(VCU!$C$9="",0,(SUMIF(VCU!$B$51:$B$193,$J3363,VCU!$E$51:$E$193)*Impacts!$F$17))</f>
        <v>0</v>
      </c>
      <c r="V3363" s="10">
        <f>IF(CAS!$C$7="",0,(SUMIF(CAS!$B$31:$B$167,$J3363,CAS!$E$31:$E$167)*Impacts!$F$18))</f>
        <v>0</v>
      </c>
      <c r="W3363" s="10">
        <f t="shared" si="93"/>
        <v>0</v>
      </c>
      <c r="AK3363" s="10" t="str">
        <f t="array" ref="AK3363">IFERROR(INDEX(SelectedSpecies,SMALL(IF(SelectedSpecies=AK$1,ROW(SelectedSpecies)),ROW(3364:3364)),2),"")</f>
        <v/>
      </c>
      <c r="BE3363" s="10"/>
      <c r="BI3363" s="10"/>
    </row>
    <row r="3364" spans="1:61" ht="21" customHeight="1" x14ac:dyDescent="0.25">
      <c r="A3364" s="10"/>
      <c r="B3364" s="10"/>
      <c r="E3364" s="10"/>
      <c r="G3364" s="10"/>
      <c r="I3364" s="436" t="s">
        <v>7534</v>
      </c>
      <c r="J3364" s="26" t="s">
        <v>7533</v>
      </c>
      <c r="K3364" s="10">
        <v>0.2</v>
      </c>
      <c r="L3364" s="73">
        <f>IF(Tank1!$C$23="No control",(SUMIF(Tank1!$B$32:$B$49,$J3364,Tank1!$C$32:$C$49)*Impacts!$F$8),0)</f>
        <v>0</v>
      </c>
      <c r="M3364" s="10">
        <f>IF(Tank2!$C$23="No control",(SUMIF(Tank2!$B$32:$B$49,$J3364,Tank2!$C$32:$C$49)*Impacts!$F$9),0)</f>
        <v>0</v>
      </c>
      <c r="N3364" s="10">
        <f>IF(Tank3!$C$23="No control",(SUMIF(Tank3!$B$32:$B$49,$J3364,Tank3!$C$32:$C$49)*Impacts!$F$10),0)</f>
        <v>0</v>
      </c>
      <c r="O3364" s="10">
        <f>IF(Tank4!$C$23="No control",(SUMIF(Tank4!$B$32:$B$49,$J3364,Tank4!$C$32:$C$49)*Impacts!$F$11),0)</f>
        <v>0</v>
      </c>
      <c r="P3364" s="10">
        <f>IF(Tank5!$C$23="No control",(SUMIF(Tank5!$B$32:$B$49,$J3364,Tank5!$C$32:$C$49)*Impacts!$F$12),0)</f>
        <v>0</v>
      </c>
      <c r="Q3364" s="10">
        <f>IFERROR(IF(('Loading-drum,tote'!$C$21)="No control",SUMIF(('Loading-drum,tote'!$B$31:$B$48),$J3364,('Loading-drum,tote'!$D$31:$D$48))*Impacts!$F$13,IF(('Loading-drum,tote'!$C$21)&lt;&gt;"No control",SUMIF(('Loading-drum,tote'!$B$31:$B$48),$J3364,('Loading-drum,tote'!$E$31:$E$48))*Impacts!$F$13,0)),0)</f>
        <v>0</v>
      </c>
      <c r="R3364" s="10">
        <f>IFERROR(IF(('Loading-truck'!$C$21)="No control",SUMIF(('Loading-truck'!$B$31:$B$48),$J3364,('Loading-truck'!$D$31:$D$48))*Impacts!$F$14,IF(('Loading-truck'!$C$21)&lt;&gt;"No control",SUMIF(('Loading-truck'!$B$31:$B$48),$J3364,('Loading-truck'!$E$31:$E$48))*Impacts!$F$14,0)),0)</f>
        <v>0</v>
      </c>
      <c r="S3364" s="10">
        <f>IFERROR(IF(('Loading-rail'!$C$21)="No control",SUMIF(('Loading-rail'!$B$31:$B$48),$J3364,('Loading-rail'!$D$31:$D$48))*Impacts!$F$15,IF(('Loading-rail'!$C$21)&lt;&gt;"No control",SUMIF(('Loading-rail'!$B$31:$B$48),$J3364,('Loading-rail'!$E$31:$E$48))*Impacts!$F$15,0)),0)</f>
        <v>0</v>
      </c>
      <c r="T3364" s="10">
        <f>IF(Flare!$C$7="",0,(SUMIF(Flare!$B$46:$B$185,$J3364,Flare!$E$46:$E$185)*Impacts!$F$16))</f>
        <v>0</v>
      </c>
      <c r="U3364" s="10">
        <f>IF(VCU!$C$9="",0,(SUMIF(VCU!$B$51:$B$193,$J3364,VCU!$E$51:$E$193)*Impacts!$F$17))</f>
        <v>0</v>
      </c>
      <c r="V3364" s="10">
        <f>IF(CAS!$C$7="",0,(SUMIF(CAS!$B$31:$B$167,$J3364,CAS!$E$31:$E$167)*Impacts!$F$18))</f>
        <v>0</v>
      </c>
      <c r="W3364" s="10">
        <f t="shared" si="93"/>
        <v>0</v>
      </c>
      <c r="AK3364" s="10" t="str">
        <f t="array" ref="AK3364">IFERROR(INDEX(SelectedSpecies,SMALL(IF(SelectedSpecies=AK$1,ROW(SelectedSpecies)),ROW(3365:3365)),2),"")</f>
        <v/>
      </c>
      <c r="BE3364" s="10"/>
      <c r="BI3364" s="10"/>
    </row>
    <row r="3365" spans="1:61" ht="21" customHeight="1" x14ac:dyDescent="0.25">
      <c r="A3365" s="10"/>
      <c r="B3365" s="10"/>
      <c r="E3365" s="10"/>
      <c r="G3365" s="10"/>
      <c r="I3365" s="436" t="s">
        <v>3875</v>
      </c>
      <c r="J3365" s="26" t="s">
        <v>3874</v>
      </c>
      <c r="K3365" s="10">
        <v>6</v>
      </c>
      <c r="L3365" s="73">
        <f>IF(Tank1!$C$23="No control",(SUMIF(Tank1!$B$32:$B$49,$J3365,Tank1!$C$32:$C$49)*Impacts!$F$8),0)</f>
        <v>0</v>
      </c>
      <c r="M3365" s="10">
        <f>IF(Tank2!$C$23="No control",(SUMIF(Tank2!$B$32:$B$49,$J3365,Tank2!$C$32:$C$49)*Impacts!$F$9),0)</f>
        <v>0</v>
      </c>
      <c r="N3365" s="10">
        <f>IF(Tank3!$C$23="No control",(SUMIF(Tank3!$B$32:$B$49,$J3365,Tank3!$C$32:$C$49)*Impacts!$F$10),0)</f>
        <v>0</v>
      </c>
      <c r="O3365" s="10">
        <f>IF(Tank4!$C$23="No control",(SUMIF(Tank4!$B$32:$B$49,$J3365,Tank4!$C$32:$C$49)*Impacts!$F$11),0)</f>
        <v>0</v>
      </c>
      <c r="P3365" s="10">
        <f>IF(Tank5!$C$23="No control",(SUMIF(Tank5!$B$32:$B$49,$J3365,Tank5!$C$32:$C$49)*Impacts!$F$12),0)</f>
        <v>0</v>
      </c>
      <c r="Q3365" s="10">
        <f>IFERROR(IF(('Loading-drum,tote'!$C$21)="No control",SUMIF(('Loading-drum,tote'!$B$31:$B$48),$J3365,('Loading-drum,tote'!$D$31:$D$48))*Impacts!$F$13,IF(('Loading-drum,tote'!$C$21)&lt;&gt;"No control",SUMIF(('Loading-drum,tote'!$B$31:$B$48),$J3365,('Loading-drum,tote'!$E$31:$E$48))*Impacts!$F$13,0)),0)</f>
        <v>0</v>
      </c>
      <c r="R3365" s="10">
        <f>IFERROR(IF(('Loading-truck'!$C$21)="No control",SUMIF(('Loading-truck'!$B$31:$B$48),$J3365,('Loading-truck'!$D$31:$D$48))*Impacts!$F$14,IF(('Loading-truck'!$C$21)&lt;&gt;"No control",SUMIF(('Loading-truck'!$B$31:$B$48),$J3365,('Loading-truck'!$E$31:$E$48))*Impacts!$F$14,0)),0)</f>
        <v>0</v>
      </c>
      <c r="S3365" s="10">
        <f>IFERROR(IF(('Loading-rail'!$C$21)="No control",SUMIF(('Loading-rail'!$B$31:$B$48),$J3365,('Loading-rail'!$D$31:$D$48))*Impacts!$F$15,IF(('Loading-rail'!$C$21)&lt;&gt;"No control",SUMIF(('Loading-rail'!$B$31:$B$48),$J3365,('Loading-rail'!$E$31:$E$48))*Impacts!$F$15,0)),0)</f>
        <v>0</v>
      </c>
      <c r="T3365" s="10">
        <f>IF(Flare!$C$7="",0,(SUMIF(Flare!$B$46:$B$185,$J3365,Flare!$E$46:$E$185)*Impacts!$F$16))</f>
        <v>0</v>
      </c>
      <c r="U3365" s="10">
        <f>IF(VCU!$C$9="",0,(SUMIF(VCU!$B$51:$B$193,$J3365,VCU!$E$51:$E$193)*Impacts!$F$17))</f>
        <v>0</v>
      </c>
      <c r="V3365" s="10">
        <f>IF(CAS!$C$7="",0,(SUMIF(CAS!$B$31:$B$167,$J3365,CAS!$E$31:$E$167)*Impacts!$F$18))</f>
        <v>0</v>
      </c>
      <c r="W3365" s="10">
        <f t="shared" si="93"/>
        <v>0</v>
      </c>
      <c r="AK3365" s="10" t="str">
        <f t="array" ref="AK3365">IFERROR(INDEX(SelectedSpecies,SMALL(IF(SelectedSpecies=AK$1,ROW(SelectedSpecies)),ROW(3366:3366)),2),"")</f>
        <v/>
      </c>
      <c r="BE3365" s="10"/>
      <c r="BI3365" s="10"/>
    </row>
    <row r="3366" spans="1:61" ht="21" customHeight="1" x14ac:dyDescent="0.25">
      <c r="A3366" s="10"/>
      <c r="B3366" s="10"/>
      <c r="E3366" s="10"/>
      <c r="G3366" s="10"/>
      <c r="I3366" s="436" t="s">
        <v>748</v>
      </c>
      <c r="J3366" s="26" t="s">
        <v>747</v>
      </c>
      <c r="K3366" s="10">
        <v>57</v>
      </c>
      <c r="L3366" s="73">
        <f>IF(Tank1!$C$23="No control",(SUMIF(Tank1!$B$32:$B$49,$J3366,Tank1!$C$32:$C$49)*Impacts!$F$8),0)</f>
        <v>0</v>
      </c>
      <c r="M3366" s="10">
        <f>IF(Tank2!$C$23="No control",(SUMIF(Tank2!$B$32:$B$49,$J3366,Tank2!$C$32:$C$49)*Impacts!$F$9),0)</f>
        <v>0</v>
      </c>
      <c r="N3366" s="10">
        <f>IF(Tank3!$C$23="No control",(SUMIF(Tank3!$B$32:$B$49,$J3366,Tank3!$C$32:$C$49)*Impacts!$F$10),0)</f>
        <v>0</v>
      </c>
      <c r="O3366" s="10">
        <f>IF(Tank4!$C$23="No control",(SUMIF(Tank4!$B$32:$B$49,$J3366,Tank4!$C$32:$C$49)*Impacts!$F$11),0)</f>
        <v>0</v>
      </c>
      <c r="P3366" s="10">
        <f>IF(Tank5!$C$23="No control",(SUMIF(Tank5!$B$32:$B$49,$J3366,Tank5!$C$32:$C$49)*Impacts!$F$12),0)</f>
        <v>0</v>
      </c>
      <c r="Q3366" s="10">
        <f>IFERROR(IF(('Loading-drum,tote'!$C$21)="No control",SUMIF(('Loading-drum,tote'!$B$31:$B$48),$J3366,('Loading-drum,tote'!$D$31:$D$48))*Impacts!$F$13,IF(('Loading-drum,tote'!$C$21)&lt;&gt;"No control",SUMIF(('Loading-drum,tote'!$B$31:$B$48),$J3366,('Loading-drum,tote'!$E$31:$E$48))*Impacts!$F$13,0)),0)</f>
        <v>0</v>
      </c>
      <c r="R3366" s="10">
        <f>IFERROR(IF(('Loading-truck'!$C$21)="No control",SUMIF(('Loading-truck'!$B$31:$B$48),$J3366,('Loading-truck'!$D$31:$D$48))*Impacts!$F$14,IF(('Loading-truck'!$C$21)&lt;&gt;"No control",SUMIF(('Loading-truck'!$B$31:$B$48),$J3366,('Loading-truck'!$E$31:$E$48))*Impacts!$F$14,0)),0)</f>
        <v>0</v>
      </c>
      <c r="S3366" s="10">
        <f>IFERROR(IF(('Loading-rail'!$C$21)="No control",SUMIF(('Loading-rail'!$B$31:$B$48),$J3366,('Loading-rail'!$D$31:$D$48))*Impacts!$F$15,IF(('Loading-rail'!$C$21)&lt;&gt;"No control",SUMIF(('Loading-rail'!$B$31:$B$48),$J3366,('Loading-rail'!$E$31:$E$48))*Impacts!$F$15,0)),0)</f>
        <v>0</v>
      </c>
      <c r="T3366" s="10">
        <f>IF(Flare!$C$7="",0,(SUMIF(Flare!$B$46:$B$185,$J3366,Flare!$E$46:$E$185)*Impacts!$F$16))</f>
        <v>0</v>
      </c>
      <c r="U3366" s="10">
        <f>IF(VCU!$C$9="",0,(SUMIF(VCU!$B$51:$B$193,$J3366,VCU!$E$51:$E$193)*Impacts!$F$17))</f>
        <v>0</v>
      </c>
      <c r="V3366" s="10">
        <f>IF(CAS!$C$7="",0,(SUMIF(CAS!$B$31:$B$167,$J3366,CAS!$E$31:$E$167)*Impacts!$F$18))</f>
        <v>0</v>
      </c>
      <c r="W3366" s="10">
        <f t="shared" si="93"/>
        <v>0</v>
      </c>
      <c r="AK3366" s="10" t="str">
        <f t="array" ref="AK3366">IFERROR(INDEX(SelectedSpecies,SMALL(IF(SelectedSpecies=AK$1,ROW(SelectedSpecies)),ROW(3367:3367)),2),"")</f>
        <v/>
      </c>
      <c r="BE3366" s="10"/>
      <c r="BI3366" s="10"/>
    </row>
    <row r="3367" spans="1:61" ht="21" customHeight="1" x14ac:dyDescent="0.25">
      <c r="A3367" s="10"/>
      <c r="B3367" s="10"/>
      <c r="E3367" s="10"/>
      <c r="G3367" s="10"/>
      <c r="I3367" s="436" t="s">
        <v>5243</v>
      </c>
      <c r="J3367" s="26" t="s">
        <v>5242</v>
      </c>
      <c r="K3367" s="10">
        <v>1.9000000000000001</v>
      </c>
      <c r="L3367" s="73">
        <f>IF(Tank1!$C$23="No control",(SUMIF(Tank1!$B$32:$B$49,$J3367,Tank1!$C$32:$C$49)*Impacts!$F$8),0)</f>
        <v>0</v>
      </c>
      <c r="M3367" s="10">
        <f>IF(Tank2!$C$23="No control",(SUMIF(Tank2!$B$32:$B$49,$J3367,Tank2!$C$32:$C$49)*Impacts!$F$9),0)</f>
        <v>0</v>
      </c>
      <c r="N3367" s="10">
        <f>IF(Tank3!$C$23="No control",(SUMIF(Tank3!$B$32:$B$49,$J3367,Tank3!$C$32:$C$49)*Impacts!$F$10),0)</f>
        <v>0</v>
      </c>
      <c r="O3367" s="10">
        <f>IF(Tank4!$C$23="No control",(SUMIF(Tank4!$B$32:$B$49,$J3367,Tank4!$C$32:$C$49)*Impacts!$F$11),0)</f>
        <v>0</v>
      </c>
      <c r="P3367" s="10">
        <f>IF(Tank5!$C$23="No control",(SUMIF(Tank5!$B$32:$B$49,$J3367,Tank5!$C$32:$C$49)*Impacts!$F$12),0)</f>
        <v>0</v>
      </c>
      <c r="Q3367" s="10">
        <f>IFERROR(IF(('Loading-drum,tote'!$C$21)="No control",SUMIF(('Loading-drum,tote'!$B$31:$B$48),$J3367,('Loading-drum,tote'!$D$31:$D$48))*Impacts!$F$13,IF(('Loading-drum,tote'!$C$21)&lt;&gt;"No control",SUMIF(('Loading-drum,tote'!$B$31:$B$48),$J3367,('Loading-drum,tote'!$E$31:$E$48))*Impacts!$F$13,0)),0)</f>
        <v>0</v>
      </c>
      <c r="R3367" s="10">
        <f>IFERROR(IF(('Loading-truck'!$C$21)="No control",SUMIF(('Loading-truck'!$B$31:$B$48),$J3367,('Loading-truck'!$D$31:$D$48))*Impacts!$F$14,IF(('Loading-truck'!$C$21)&lt;&gt;"No control",SUMIF(('Loading-truck'!$B$31:$B$48),$J3367,('Loading-truck'!$E$31:$E$48))*Impacts!$F$14,0)),0)</f>
        <v>0</v>
      </c>
      <c r="S3367" s="10">
        <f>IFERROR(IF(('Loading-rail'!$C$21)="No control",SUMIF(('Loading-rail'!$B$31:$B$48),$J3367,('Loading-rail'!$D$31:$D$48))*Impacts!$F$15,IF(('Loading-rail'!$C$21)&lt;&gt;"No control",SUMIF(('Loading-rail'!$B$31:$B$48),$J3367,('Loading-rail'!$E$31:$E$48))*Impacts!$F$15,0)),0)</f>
        <v>0</v>
      </c>
      <c r="T3367" s="10">
        <f>IF(Flare!$C$7="",0,(SUMIF(Flare!$B$46:$B$185,$J3367,Flare!$E$46:$E$185)*Impacts!$F$16))</f>
        <v>0</v>
      </c>
      <c r="U3367" s="10">
        <f>IF(VCU!$C$9="",0,(SUMIF(VCU!$B$51:$B$193,$J3367,VCU!$E$51:$E$193)*Impacts!$F$17))</f>
        <v>0</v>
      </c>
      <c r="V3367" s="10">
        <f>IF(CAS!$C$7="",0,(SUMIF(CAS!$B$31:$B$167,$J3367,CAS!$E$31:$E$167)*Impacts!$F$18))</f>
        <v>0</v>
      </c>
      <c r="W3367" s="10">
        <f t="shared" si="93"/>
        <v>0</v>
      </c>
      <c r="AK3367" s="10" t="str">
        <f t="array" ref="AK3367">IFERROR(INDEX(SelectedSpecies,SMALL(IF(SelectedSpecies=AK$1,ROW(SelectedSpecies)),ROW(3368:3368)),2),"")</f>
        <v/>
      </c>
      <c r="BE3367" s="10"/>
      <c r="BI3367" s="10"/>
    </row>
    <row r="3368" spans="1:61" ht="21" customHeight="1" x14ac:dyDescent="0.25">
      <c r="A3368" s="10"/>
      <c r="B3368" s="10"/>
      <c r="E3368" s="10"/>
      <c r="G3368" s="10"/>
      <c r="I3368" s="436" t="s">
        <v>5575</v>
      </c>
      <c r="J3368" s="26" t="s">
        <v>5574</v>
      </c>
      <c r="K3368" s="10">
        <v>1.2000000000000002</v>
      </c>
      <c r="L3368" s="73">
        <f>IF(Tank1!$C$23="No control",(SUMIF(Tank1!$B$32:$B$49,$J3368,Tank1!$C$32:$C$49)*Impacts!$F$8),0)</f>
        <v>0</v>
      </c>
      <c r="M3368" s="10">
        <f>IF(Tank2!$C$23="No control",(SUMIF(Tank2!$B$32:$B$49,$J3368,Tank2!$C$32:$C$49)*Impacts!$F$9),0)</f>
        <v>0</v>
      </c>
      <c r="N3368" s="10">
        <f>IF(Tank3!$C$23="No control",(SUMIF(Tank3!$B$32:$B$49,$J3368,Tank3!$C$32:$C$49)*Impacts!$F$10),0)</f>
        <v>0</v>
      </c>
      <c r="O3368" s="10">
        <f>IF(Tank4!$C$23="No control",(SUMIF(Tank4!$B$32:$B$49,$J3368,Tank4!$C$32:$C$49)*Impacts!$F$11),0)</f>
        <v>0</v>
      </c>
      <c r="P3368" s="10">
        <f>IF(Tank5!$C$23="No control",(SUMIF(Tank5!$B$32:$B$49,$J3368,Tank5!$C$32:$C$49)*Impacts!$F$12),0)</f>
        <v>0</v>
      </c>
      <c r="Q3368" s="10">
        <f>IFERROR(IF(('Loading-drum,tote'!$C$21)="No control",SUMIF(('Loading-drum,tote'!$B$31:$B$48),$J3368,('Loading-drum,tote'!$D$31:$D$48))*Impacts!$F$13,IF(('Loading-drum,tote'!$C$21)&lt;&gt;"No control",SUMIF(('Loading-drum,tote'!$B$31:$B$48),$J3368,('Loading-drum,tote'!$E$31:$E$48))*Impacts!$F$13,0)),0)</f>
        <v>0</v>
      </c>
      <c r="R3368" s="10">
        <f>IFERROR(IF(('Loading-truck'!$C$21)="No control",SUMIF(('Loading-truck'!$B$31:$B$48),$J3368,('Loading-truck'!$D$31:$D$48))*Impacts!$F$14,IF(('Loading-truck'!$C$21)&lt;&gt;"No control",SUMIF(('Loading-truck'!$B$31:$B$48),$J3368,('Loading-truck'!$E$31:$E$48))*Impacts!$F$14,0)),0)</f>
        <v>0</v>
      </c>
      <c r="S3368" s="10">
        <f>IFERROR(IF(('Loading-rail'!$C$21)="No control",SUMIF(('Loading-rail'!$B$31:$B$48),$J3368,('Loading-rail'!$D$31:$D$48))*Impacts!$F$15,IF(('Loading-rail'!$C$21)&lt;&gt;"No control",SUMIF(('Loading-rail'!$B$31:$B$48),$J3368,('Loading-rail'!$E$31:$E$48))*Impacts!$F$15,0)),0)</f>
        <v>0</v>
      </c>
      <c r="T3368" s="10">
        <f>IF(Flare!$C$7="",0,(SUMIF(Flare!$B$46:$B$185,$J3368,Flare!$E$46:$E$185)*Impacts!$F$16))</f>
        <v>0</v>
      </c>
      <c r="U3368" s="10">
        <f>IF(VCU!$C$9="",0,(SUMIF(VCU!$B$51:$B$193,$J3368,VCU!$E$51:$E$193)*Impacts!$F$17))</f>
        <v>0</v>
      </c>
      <c r="V3368" s="10">
        <f>IF(CAS!$C$7="",0,(SUMIF(CAS!$B$31:$B$167,$J3368,CAS!$E$31:$E$167)*Impacts!$F$18))</f>
        <v>0</v>
      </c>
      <c r="W3368" s="10">
        <f t="shared" si="93"/>
        <v>0</v>
      </c>
      <c r="AK3368" s="10" t="str">
        <f t="array" ref="AK3368">IFERROR(INDEX(SelectedSpecies,SMALL(IF(SelectedSpecies=AK$1,ROW(SelectedSpecies)),ROW(3369:3369)),2),"")</f>
        <v/>
      </c>
      <c r="BE3368" s="10"/>
      <c r="BI3368" s="10"/>
    </row>
    <row r="3369" spans="1:61" ht="21" customHeight="1" x14ac:dyDescent="0.25">
      <c r="A3369" s="10"/>
      <c r="B3369" s="10"/>
      <c r="E3369" s="10"/>
      <c r="G3369" s="10"/>
      <c r="I3369" s="436" t="s">
        <v>4777</v>
      </c>
      <c r="J3369" s="26" t="s">
        <v>4776</v>
      </c>
      <c r="K3369" s="10">
        <v>3.4000000000000004</v>
      </c>
      <c r="L3369" s="73">
        <f>IF(Tank1!$C$23="No control",(SUMIF(Tank1!$B$32:$B$49,$J3369,Tank1!$C$32:$C$49)*Impacts!$F$8),0)</f>
        <v>0</v>
      </c>
      <c r="M3369" s="10">
        <f>IF(Tank2!$C$23="No control",(SUMIF(Tank2!$B$32:$B$49,$J3369,Tank2!$C$32:$C$49)*Impacts!$F$9),0)</f>
        <v>0</v>
      </c>
      <c r="N3369" s="10">
        <f>IF(Tank3!$C$23="No control",(SUMIF(Tank3!$B$32:$B$49,$J3369,Tank3!$C$32:$C$49)*Impacts!$F$10),0)</f>
        <v>0</v>
      </c>
      <c r="O3369" s="10">
        <f>IF(Tank4!$C$23="No control",(SUMIF(Tank4!$B$32:$B$49,$J3369,Tank4!$C$32:$C$49)*Impacts!$F$11),0)</f>
        <v>0</v>
      </c>
      <c r="P3369" s="10">
        <f>IF(Tank5!$C$23="No control",(SUMIF(Tank5!$B$32:$B$49,$J3369,Tank5!$C$32:$C$49)*Impacts!$F$12),0)</f>
        <v>0</v>
      </c>
      <c r="Q3369" s="10">
        <f>IFERROR(IF(('Loading-drum,tote'!$C$21)="No control",SUMIF(('Loading-drum,tote'!$B$31:$B$48),$J3369,('Loading-drum,tote'!$D$31:$D$48))*Impacts!$F$13,IF(('Loading-drum,tote'!$C$21)&lt;&gt;"No control",SUMIF(('Loading-drum,tote'!$B$31:$B$48),$J3369,('Loading-drum,tote'!$E$31:$E$48))*Impacts!$F$13,0)),0)</f>
        <v>0</v>
      </c>
      <c r="R3369" s="10">
        <f>IFERROR(IF(('Loading-truck'!$C$21)="No control",SUMIF(('Loading-truck'!$B$31:$B$48),$J3369,('Loading-truck'!$D$31:$D$48))*Impacts!$F$14,IF(('Loading-truck'!$C$21)&lt;&gt;"No control",SUMIF(('Loading-truck'!$B$31:$B$48),$J3369,('Loading-truck'!$E$31:$E$48))*Impacts!$F$14,0)),0)</f>
        <v>0</v>
      </c>
      <c r="S3369" s="10">
        <f>IFERROR(IF(('Loading-rail'!$C$21)="No control",SUMIF(('Loading-rail'!$B$31:$B$48),$J3369,('Loading-rail'!$D$31:$D$48))*Impacts!$F$15,IF(('Loading-rail'!$C$21)&lt;&gt;"No control",SUMIF(('Loading-rail'!$B$31:$B$48),$J3369,('Loading-rail'!$E$31:$E$48))*Impacts!$F$15,0)),0)</f>
        <v>0</v>
      </c>
      <c r="T3369" s="10">
        <f>IF(Flare!$C$7="",0,(SUMIF(Flare!$B$46:$B$185,$J3369,Flare!$E$46:$E$185)*Impacts!$F$16))</f>
        <v>0</v>
      </c>
      <c r="U3369" s="10">
        <f>IF(VCU!$C$9="",0,(SUMIF(VCU!$B$51:$B$193,$J3369,VCU!$E$51:$E$193)*Impacts!$F$17))</f>
        <v>0</v>
      </c>
      <c r="V3369" s="10">
        <f>IF(CAS!$C$7="",0,(SUMIF(CAS!$B$31:$B$167,$J3369,CAS!$E$31:$E$167)*Impacts!$F$18))</f>
        <v>0</v>
      </c>
      <c r="W3369" s="10">
        <f t="shared" si="93"/>
        <v>0</v>
      </c>
      <c r="AK3369" s="10" t="str">
        <f t="array" ref="AK3369">IFERROR(INDEX(SelectedSpecies,SMALL(IF(SelectedSpecies=AK$1,ROW(SelectedSpecies)),ROW(3370:3370)),2),"")</f>
        <v/>
      </c>
      <c r="BE3369" s="10"/>
      <c r="BI3369" s="10"/>
    </row>
    <row r="3370" spans="1:61" ht="21" customHeight="1" x14ac:dyDescent="0.25">
      <c r="A3370" s="10"/>
      <c r="B3370" s="10"/>
      <c r="E3370" s="10"/>
      <c r="G3370" s="10"/>
      <c r="I3370" s="436" t="s">
        <v>409</v>
      </c>
      <c r="J3370" s="26" t="s">
        <v>408</v>
      </c>
      <c r="K3370" s="10">
        <v>266</v>
      </c>
      <c r="L3370" s="73">
        <f>IF(Tank1!$C$23="No control",(SUMIF(Tank1!$B$32:$B$49,$J3370,Tank1!$C$32:$C$49)*Impacts!$F$8),0)</f>
        <v>0</v>
      </c>
      <c r="M3370" s="10">
        <f>IF(Tank2!$C$23="No control",(SUMIF(Tank2!$B$32:$B$49,$J3370,Tank2!$C$32:$C$49)*Impacts!$F$9),0)</f>
        <v>0</v>
      </c>
      <c r="N3370" s="10">
        <f>IF(Tank3!$C$23="No control",(SUMIF(Tank3!$B$32:$B$49,$J3370,Tank3!$C$32:$C$49)*Impacts!$F$10),0)</f>
        <v>0</v>
      </c>
      <c r="O3370" s="10">
        <f>IF(Tank4!$C$23="No control",(SUMIF(Tank4!$B$32:$B$49,$J3370,Tank4!$C$32:$C$49)*Impacts!$F$11),0)</f>
        <v>0</v>
      </c>
      <c r="P3370" s="10">
        <f>IF(Tank5!$C$23="No control",(SUMIF(Tank5!$B$32:$B$49,$J3370,Tank5!$C$32:$C$49)*Impacts!$F$12),0)</f>
        <v>0</v>
      </c>
      <c r="Q3370" s="10">
        <f>IFERROR(IF(('Loading-drum,tote'!$C$21)="No control",SUMIF(('Loading-drum,tote'!$B$31:$B$48),$J3370,('Loading-drum,tote'!$D$31:$D$48))*Impacts!$F$13,IF(('Loading-drum,tote'!$C$21)&lt;&gt;"No control",SUMIF(('Loading-drum,tote'!$B$31:$B$48),$J3370,('Loading-drum,tote'!$E$31:$E$48))*Impacts!$F$13,0)),0)</f>
        <v>0</v>
      </c>
      <c r="R3370" s="10">
        <f>IFERROR(IF(('Loading-truck'!$C$21)="No control",SUMIF(('Loading-truck'!$B$31:$B$48),$J3370,('Loading-truck'!$D$31:$D$48))*Impacts!$F$14,IF(('Loading-truck'!$C$21)&lt;&gt;"No control",SUMIF(('Loading-truck'!$B$31:$B$48),$J3370,('Loading-truck'!$E$31:$E$48))*Impacts!$F$14,0)),0)</f>
        <v>0</v>
      </c>
      <c r="S3370" s="10">
        <f>IFERROR(IF(('Loading-rail'!$C$21)="No control",SUMIF(('Loading-rail'!$B$31:$B$48),$J3370,('Loading-rail'!$D$31:$D$48))*Impacts!$F$15,IF(('Loading-rail'!$C$21)&lt;&gt;"No control",SUMIF(('Loading-rail'!$B$31:$B$48),$J3370,('Loading-rail'!$E$31:$E$48))*Impacts!$F$15,0)),0)</f>
        <v>0</v>
      </c>
      <c r="T3370" s="10">
        <f>IF(Flare!$C$7="",0,(SUMIF(Flare!$B$46:$B$185,$J3370,Flare!$E$46:$E$185)*Impacts!$F$16))</f>
        <v>0</v>
      </c>
      <c r="U3370" s="10">
        <f>IF(VCU!$C$9="",0,(SUMIF(VCU!$B$51:$B$193,$J3370,VCU!$E$51:$E$193)*Impacts!$F$17))</f>
        <v>0</v>
      </c>
      <c r="V3370" s="10">
        <f>IF(CAS!$C$7="",0,(SUMIF(CAS!$B$31:$B$167,$J3370,CAS!$E$31:$E$167)*Impacts!$F$18))</f>
        <v>0</v>
      </c>
      <c r="W3370" s="10">
        <f t="shared" si="93"/>
        <v>0</v>
      </c>
      <c r="AK3370" s="10" t="str">
        <f t="array" ref="AK3370">IFERROR(INDEX(SelectedSpecies,SMALL(IF(SelectedSpecies=AK$1,ROW(SelectedSpecies)),ROW(3371:3371)),2),"")</f>
        <v/>
      </c>
      <c r="BE3370" s="10"/>
      <c r="BI3370" s="10"/>
    </row>
    <row r="3371" spans="1:61" ht="21" customHeight="1" x14ac:dyDescent="0.25">
      <c r="A3371" s="10"/>
      <c r="B3371" s="10"/>
      <c r="E3371" s="10"/>
      <c r="G3371" s="10"/>
      <c r="I3371" s="436" t="s">
        <v>2383</v>
      </c>
      <c r="J3371" s="26" t="s">
        <v>2382</v>
      </c>
      <c r="K3371" s="10">
        <v>10.3</v>
      </c>
      <c r="L3371" s="73">
        <f>IF(Tank1!$C$23="No control",(SUMIF(Tank1!$B$32:$B$49,$J3371,Tank1!$C$32:$C$49)*Impacts!$F$8),0)</f>
        <v>0</v>
      </c>
      <c r="M3371" s="10">
        <f>IF(Tank2!$C$23="No control",(SUMIF(Tank2!$B$32:$B$49,$J3371,Tank2!$C$32:$C$49)*Impacts!$F$9),0)</f>
        <v>0</v>
      </c>
      <c r="N3371" s="10">
        <f>IF(Tank3!$C$23="No control",(SUMIF(Tank3!$B$32:$B$49,$J3371,Tank3!$C$32:$C$49)*Impacts!$F$10),0)</f>
        <v>0</v>
      </c>
      <c r="O3371" s="10">
        <f>IF(Tank4!$C$23="No control",(SUMIF(Tank4!$B$32:$B$49,$J3371,Tank4!$C$32:$C$49)*Impacts!$F$11),0)</f>
        <v>0</v>
      </c>
      <c r="P3371" s="10">
        <f>IF(Tank5!$C$23="No control",(SUMIF(Tank5!$B$32:$B$49,$J3371,Tank5!$C$32:$C$49)*Impacts!$F$12),0)</f>
        <v>0</v>
      </c>
      <c r="Q3371" s="10">
        <f>IFERROR(IF(('Loading-drum,tote'!$C$21)="No control",SUMIF(('Loading-drum,tote'!$B$31:$B$48),$J3371,('Loading-drum,tote'!$D$31:$D$48))*Impacts!$F$13,IF(('Loading-drum,tote'!$C$21)&lt;&gt;"No control",SUMIF(('Loading-drum,tote'!$B$31:$B$48),$J3371,('Loading-drum,tote'!$E$31:$E$48))*Impacts!$F$13,0)),0)</f>
        <v>0</v>
      </c>
      <c r="R3371" s="10">
        <f>IFERROR(IF(('Loading-truck'!$C$21)="No control",SUMIF(('Loading-truck'!$B$31:$B$48),$J3371,('Loading-truck'!$D$31:$D$48))*Impacts!$F$14,IF(('Loading-truck'!$C$21)&lt;&gt;"No control",SUMIF(('Loading-truck'!$B$31:$B$48),$J3371,('Loading-truck'!$E$31:$E$48))*Impacts!$F$14,0)),0)</f>
        <v>0</v>
      </c>
      <c r="S3371" s="10">
        <f>IFERROR(IF(('Loading-rail'!$C$21)="No control",SUMIF(('Loading-rail'!$B$31:$B$48),$J3371,('Loading-rail'!$D$31:$D$48))*Impacts!$F$15,IF(('Loading-rail'!$C$21)&lt;&gt;"No control",SUMIF(('Loading-rail'!$B$31:$B$48),$J3371,('Loading-rail'!$E$31:$E$48))*Impacts!$F$15,0)),0)</f>
        <v>0</v>
      </c>
      <c r="T3371" s="10">
        <f>IF(Flare!$C$7="",0,(SUMIF(Flare!$B$46:$B$185,$J3371,Flare!$E$46:$E$185)*Impacts!$F$16))</f>
        <v>0</v>
      </c>
      <c r="U3371" s="10">
        <f>IF(VCU!$C$9="",0,(SUMIF(VCU!$B$51:$B$193,$J3371,VCU!$E$51:$E$193)*Impacts!$F$17))</f>
        <v>0</v>
      </c>
      <c r="V3371" s="10">
        <f>IF(CAS!$C$7="",0,(SUMIF(CAS!$B$31:$B$167,$J3371,CAS!$E$31:$E$167)*Impacts!$F$18))</f>
        <v>0</v>
      </c>
      <c r="W3371" s="10">
        <f t="shared" si="93"/>
        <v>0</v>
      </c>
      <c r="AK3371" s="10" t="str">
        <f t="array" ref="AK3371">IFERROR(INDEX(SelectedSpecies,SMALL(IF(SelectedSpecies=AK$1,ROW(SelectedSpecies)),ROW(3372:3372)),2),"")</f>
        <v/>
      </c>
      <c r="BE3371" s="10"/>
      <c r="BI3371" s="10"/>
    </row>
    <row r="3372" spans="1:61" ht="21" customHeight="1" x14ac:dyDescent="0.25">
      <c r="A3372" s="10"/>
      <c r="B3372" s="10"/>
      <c r="E3372" s="10"/>
      <c r="G3372" s="10"/>
      <c r="I3372" s="436" t="s">
        <v>5577</v>
      </c>
      <c r="J3372" s="26" t="s">
        <v>5576</v>
      </c>
      <c r="K3372" s="10">
        <v>1.2000000000000002</v>
      </c>
      <c r="L3372" s="73">
        <f>IF(Tank1!$C$23="No control",(SUMIF(Tank1!$B$32:$B$49,$J3372,Tank1!$C$32:$C$49)*Impacts!$F$8),0)</f>
        <v>0</v>
      </c>
      <c r="M3372" s="10">
        <f>IF(Tank2!$C$23="No control",(SUMIF(Tank2!$B$32:$B$49,$J3372,Tank2!$C$32:$C$49)*Impacts!$F$9),0)</f>
        <v>0</v>
      </c>
      <c r="N3372" s="10">
        <f>IF(Tank3!$C$23="No control",(SUMIF(Tank3!$B$32:$B$49,$J3372,Tank3!$C$32:$C$49)*Impacts!$F$10),0)</f>
        <v>0</v>
      </c>
      <c r="O3372" s="10">
        <f>IF(Tank4!$C$23="No control",(SUMIF(Tank4!$B$32:$B$49,$J3372,Tank4!$C$32:$C$49)*Impacts!$F$11),0)</f>
        <v>0</v>
      </c>
      <c r="P3372" s="10">
        <f>IF(Tank5!$C$23="No control",(SUMIF(Tank5!$B$32:$B$49,$J3372,Tank5!$C$32:$C$49)*Impacts!$F$12),0)</f>
        <v>0</v>
      </c>
      <c r="Q3372" s="10">
        <f>IFERROR(IF(('Loading-drum,tote'!$C$21)="No control",SUMIF(('Loading-drum,tote'!$B$31:$B$48),$J3372,('Loading-drum,tote'!$D$31:$D$48))*Impacts!$F$13,IF(('Loading-drum,tote'!$C$21)&lt;&gt;"No control",SUMIF(('Loading-drum,tote'!$B$31:$B$48),$J3372,('Loading-drum,tote'!$E$31:$E$48))*Impacts!$F$13,0)),0)</f>
        <v>0</v>
      </c>
      <c r="R3372" s="10">
        <f>IFERROR(IF(('Loading-truck'!$C$21)="No control",SUMIF(('Loading-truck'!$B$31:$B$48),$J3372,('Loading-truck'!$D$31:$D$48))*Impacts!$F$14,IF(('Loading-truck'!$C$21)&lt;&gt;"No control",SUMIF(('Loading-truck'!$B$31:$B$48),$J3372,('Loading-truck'!$E$31:$E$48))*Impacts!$F$14,0)),0)</f>
        <v>0</v>
      </c>
      <c r="S3372" s="10">
        <f>IFERROR(IF(('Loading-rail'!$C$21)="No control",SUMIF(('Loading-rail'!$B$31:$B$48),$J3372,('Loading-rail'!$D$31:$D$48))*Impacts!$F$15,IF(('Loading-rail'!$C$21)&lt;&gt;"No control",SUMIF(('Loading-rail'!$B$31:$B$48),$J3372,('Loading-rail'!$E$31:$E$48))*Impacts!$F$15,0)),0)</f>
        <v>0</v>
      </c>
      <c r="T3372" s="10">
        <f>IF(Flare!$C$7="",0,(SUMIF(Flare!$B$46:$B$185,$J3372,Flare!$E$46:$E$185)*Impacts!$F$16))</f>
        <v>0</v>
      </c>
      <c r="U3372" s="10">
        <f>IF(VCU!$C$9="",0,(SUMIF(VCU!$B$51:$B$193,$J3372,VCU!$E$51:$E$193)*Impacts!$F$17))</f>
        <v>0</v>
      </c>
      <c r="V3372" s="10">
        <f>IF(CAS!$C$7="",0,(SUMIF(CAS!$B$31:$B$167,$J3372,CAS!$E$31:$E$167)*Impacts!$F$18))</f>
        <v>0</v>
      </c>
      <c r="W3372" s="10">
        <f t="shared" si="93"/>
        <v>0</v>
      </c>
      <c r="AK3372" s="10" t="str">
        <f t="array" ref="AK3372">IFERROR(INDEX(SelectedSpecies,SMALL(IF(SelectedSpecies=AK$1,ROW(SelectedSpecies)),ROW(3373:3373)),2),"")</f>
        <v/>
      </c>
      <c r="BE3372" s="10"/>
      <c r="BI3372" s="10"/>
    </row>
    <row r="3373" spans="1:61" ht="21" customHeight="1" x14ac:dyDescent="0.25">
      <c r="A3373" s="10"/>
      <c r="B3373" s="10"/>
      <c r="E3373" s="10"/>
      <c r="G3373" s="10"/>
      <c r="I3373" s="436" t="s">
        <v>6582</v>
      </c>
      <c r="J3373" s="26" t="s">
        <v>6581</v>
      </c>
      <c r="K3373" s="10">
        <v>0.64000000000000012</v>
      </c>
      <c r="L3373" s="73">
        <f>IF(Tank1!$C$23="No control",(SUMIF(Tank1!$B$32:$B$49,$J3373,Tank1!$C$32:$C$49)*Impacts!$F$8),0)</f>
        <v>0</v>
      </c>
      <c r="M3373" s="10">
        <f>IF(Tank2!$C$23="No control",(SUMIF(Tank2!$B$32:$B$49,$J3373,Tank2!$C$32:$C$49)*Impacts!$F$9),0)</f>
        <v>0</v>
      </c>
      <c r="N3373" s="10">
        <f>IF(Tank3!$C$23="No control",(SUMIF(Tank3!$B$32:$B$49,$J3373,Tank3!$C$32:$C$49)*Impacts!$F$10),0)</f>
        <v>0</v>
      </c>
      <c r="O3373" s="10">
        <f>IF(Tank4!$C$23="No control",(SUMIF(Tank4!$B$32:$B$49,$J3373,Tank4!$C$32:$C$49)*Impacts!$F$11),0)</f>
        <v>0</v>
      </c>
      <c r="P3373" s="10">
        <f>IF(Tank5!$C$23="No control",(SUMIF(Tank5!$B$32:$B$49,$J3373,Tank5!$C$32:$C$49)*Impacts!$F$12),0)</f>
        <v>0</v>
      </c>
      <c r="Q3373" s="10">
        <f>IFERROR(IF(('Loading-drum,tote'!$C$21)="No control",SUMIF(('Loading-drum,tote'!$B$31:$B$48),$J3373,('Loading-drum,tote'!$D$31:$D$48))*Impacts!$F$13,IF(('Loading-drum,tote'!$C$21)&lt;&gt;"No control",SUMIF(('Loading-drum,tote'!$B$31:$B$48),$J3373,('Loading-drum,tote'!$E$31:$E$48))*Impacts!$F$13,0)),0)</f>
        <v>0</v>
      </c>
      <c r="R3373" s="10">
        <f>IFERROR(IF(('Loading-truck'!$C$21)="No control",SUMIF(('Loading-truck'!$B$31:$B$48),$J3373,('Loading-truck'!$D$31:$D$48))*Impacts!$F$14,IF(('Loading-truck'!$C$21)&lt;&gt;"No control",SUMIF(('Loading-truck'!$B$31:$B$48),$J3373,('Loading-truck'!$E$31:$E$48))*Impacts!$F$14,0)),0)</f>
        <v>0</v>
      </c>
      <c r="S3373" s="10">
        <f>IFERROR(IF(('Loading-rail'!$C$21)="No control",SUMIF(('Loading-rail'!$B$31:$B$48),$J3373,('Loading-rail'!$D$31:$D$48))*Impacts!$F$15,IF(('Loading-rail'!$C$21)&lt;&gt;"No control",SUMIF(('Loading-rail'!$B$31:$B$48),$J3373,('Loading-rail'!$E$31:$E$48))*Impacts!$F$15,0)),0)</f>
        <v>0</v>
      </c>
      <c r="T3373" s="10">
        <f>IF(Flare!$C$7="",0,(SUMIF(Flare!$B$46:$B$185,$J3373,Flare!$E$46:$E$185)*Impacts!$F$16))</f>
        <v>0</v>
      </c>
      <c r="U3373" s="10">
        <f>IF(VCU!$C$9="",0,(SUMIF(VCU!$B$51:$B$193,$J3373,VCU!$E$51:$E$193)*Impacts!$F$17))</f>
        <v>0</v>
      </c>
      <c r="V3373" s="10">
        <f>IF(CAS!$C$7="",0,(SUMIF(CAS!$B$31:$B$167,$J3373,CAS!$E$31:$E$167)*Impacts!$F$18))</f>
        <v>0</v>
      </c>
      <c r="W3373" s="10">
        <f t="shared" si="93"/>
        <v>0</v>
      </c>
      <c r="AK3373" s="10" t="str">
        <f t="array" ref="AK3373">IFERROR(INDEX(SelectedSpecies,SMALL(IF(SelectedSpecies=AK$1,ROW(SelectedSpecies)),ROW(3374:3374)),2),"")</f>
        <v/>
      </c>
      <c r="BE3373" s="10"/>
      <c r="BI3373" s="10"/>
    </row>
    <row r="3374" spans="1:61" ht="21" customHeight="1" x14ac:dyDescent="0.25">
      <c r="A3374" s="10"/>
      <c r="B3374" s="10"/>
      <c r="E3374" s="10"/>
      <c r="G3374" s="10"/>
      <c r="I3374" s="436" t="s">
        <v>7536</v>
      </c>
      <c r="J3374" s="26" t="s">
        <v>7535</v>
      </c>
      <c r="K3374" s="10">
        <v>0.2</v>
      </c>
      <c r="L3374" s="73">
        <f>IF(Tank1!$C$23="No control",(SUMIF(Tank1!$B$32:$B$49,$J3374,Tank1!$C$32:$C$49)*Impacts!$F$8),0)</f>
        <v>0</v>
      </c>
      <c r="M3374" s="10">
        <f>IF(Tank2!$C$23="No control",(SUMIF(Tank2!$B$32:$B$49,$J3374,Tank2!$C$32:$C$49)*Impacts!$F$9),0)</f>
        <v>0</v>
      </c>
      <c r="N3374" s="10">
        <f>IF(Tank3!$C$23="No control",(SUMIF(Tank3!$B$32:$B$49,$J3374,Tank3!$C$32:$C$49)*Impacts!$F$10),0)</f>
        <v>0</v>
      </c>
      <c r="O3374" s="10">
        <f>IF(Tank4!$C$23="No control",(SUMIF(Tank4!$B$32:$B$49,$J3374,Tank4!$C$32:$C$49)*Impacts!$F$11),0)</f>
        <v>0</v>
      </c>
      <c r="P3374" s="10">
        <f>IF(Tank5!$C$23="No control",(SUMIF(Tank5!$B$32:$B$49,$J3374,Tank5!$C$32:$C$49)*Impacts!$F$12),0)</f>
        <v>0</v>
      </c>
      <c r="Q3374" s="10">
        <f>IFERROR(IF(('Loading-drum,tote'!$C$21)="No control",SUMIF(('Loading-drum,tote'!$B$31:$B$48),$J3374,('Loading-drum,tote'!$D$31:$D$48))*Impacts!$F$13,IF(('Loading-drum,tote'!$C$21)&lt;&gt;"No control",SUMIF(('Loading-drum,tote'!$B$31:$B$48),$J3374,('Loading-drum,tote'!$E$31:$E$48))*Impacts!$F$13,0)),0)</f>
        <v>0</v>
      </c>
      <c r="R3374" s="10">
        <f>IFERROR(IF(('Loading-truck'!$C$21)="No control",SUMIF(('Loading-truck'!$B$31:$B$48),$J3374,('Loading-truck'!$D$31:$D$48))*Impacts!$F$14,IF(('Loading-truck'!$C$21)&lt;&gt;"No control",SUMIF(('Loading-truck'!$B$31:$B$48),$J3374,('Loading-truck'!$E$31:$E$48))*Impacts!$F$14,0)),0)</f>
        <v>0</v>
      </c>
      <c r="S3374" s="10">
        <f>IFERROR(IF(('Loading-rail'!$C$21)="No control",SUMIF(('Loading-rail'!$B$31:$B$48),$J3374,('Loading-rail'!$D$31:$D$48))*Impacts!$F$15,IF(('Loading-rail'!$C$21)&lt;&gt;"No control",SUMIF(('Loading-rail'!$B$31:$B$48),$J3374,('Loading-rail'!$E$31:$E$48))*Impacts!$F$15,0)),0)</f>
        <v>0</v>
      </c>
      <c r="T3374" s="10">
        <f>IF(Flare!$C$7="",0,(SUMIF(Flare!$B$46:$B$185,$J3374,Flare!$E$46:$E$185)*Impacts!$F$16))</f>
        <v>0</v>
      </c>
      <c r="U3374" s="10">
        <f>IF(VCU!$C$9="",0,(SUMIF(VCU!$B$51:$B$193,$J3374,VCU!$E$51:$E$193)*Impacts!$F$17))</f>
        <v>0</v>
      </c>
      <c r="V3374" s="10">
        <f>IF(CAS!$C$7="",0,(SUMIF(CAS!$B$31:$B$167,$J3374,CAS!$E$31:$E$167)*Impacts!$F$18))</f>
        <v>0</v>
      </c>
      <c r="W3374" s="10">
        <f t="shared" si="93"/>
        <v>0</v>
      </c>
      <c r="AK3374" s="10" t="str">
        <f t="array" ref="AK3374">IFERROR(INDEX(SelectedSpecies,SMALL(IF(SelectedSpecies=AK$1,ROW(SelectedSpecies)),ROW(3375:3375)),2),"")</f>
        <v/>
      </c>
      <c r="BE3374" s="10"/>
      <c r="BI3374" s="10"/>
    </row>
    <row r="3375" spans="1:61" ht="21" customHeight="1" x14ac:dyDescent="0.25">
      <c r="A3375" s="10"/>
      <c r="B3375" s="10"/>
      <c r="E3375" s="10"/>
      <c r="G3375" s="10"/>
      <c r="I3375" s="436" t="s">
        <v>7778</v>
      </c>
      <c r="J3375" s="26" t="s">
        <v>7777</v>
      </c>
      <c r="K3375" s="10">
        <v>0.1</v>
      </c>
      <c r="L3375" s="73">
        <f>IF(Tank1!$C$23="No control",(SUMIF(Tank1!$B$32:$B$49,$J3375,Tank1!$C$32:$C$49)*Impacts!$F$8),0)</f>
        <v>0</v>
      </c>
      <c r="M3375" s="10">
        <f>IF(Tank2!$C$23="No control",(SUMIF(Tank2!$B$32:$B$49,$J3375,Tank2!$C$32:$C$49)*Impacts!$F$9),0)</f>
        <v>0</v>
      </c>
      <c r="N3375" s="10">
        <f>IF(Tank3!$C$23="No control",(SUMIF(Tank3!$B$32:$B$49,$J3375,Tank3!$C$32:$C$49)*Impacts!$F$10),0)</f>
        <v>0</v>
      </c>
      <c r="O3375" s="10">
        <f>IF(Tank4!$C$23="No control",(SUMIF(Tank4!$B$32:$B$49,$J3375,Tank4!$C$32:$C$49)*Impacts!$F$11),0)</f>
        <v>0</v>
      </c>
      <c r="P3375" s="10">
        <f>IF(Tank5!$C$23="No control",(SUMIF(Tank5!$B$32:$B$49,$J3375,Tank5!$C$32:$C$49)*Impacts!$F$12),0)</f>
        <v>0</v>
      </c>
      <c r="Q3375" s="10">
        <f>IFERROR(IF(('Loading-drum,tote'!$C$21)="No control",SUMIF(('Loading-drum,tote'!$B$31:$B$48),$J3375,('Loading-drum,tote'!$D$31:$D$48))*Impacts!$F$13,IF(('Loading-drum,tote'!$C$21)&lt;&gt;"No control",SUMIF(('Loading-drum,tote'!$B$31:$B$48),$J3375,('Loading-drum,tote'!$E$31:$E$48))*Impacts!$F$13,0)),0)</f>
        <v>0</v>
      </c>
      <c r="R3375" s="10">
        <f>IFERROR(IF(('Loading-truck'!$C$21)="No control",SUMIF(('Loading-truck'!$B$31:$B$48),$J3375,('Loading-truck'!$D$31:$D$48))*Impacts!$F$14,IF(('Loading-truck'!$C$21)&lt;&gt;"No control",SUMIF(('Loading-truck'!$B$31:$B$48),$J3375,('Loading-truck'!$E$31:$E$48))*Impacts!$F$14,0)),0)</f>
        <v>0</v>
      </c>
      <c r="S3375" s="10">
        <f>IFERROR(IF(('Loading-rail'!$C$21)="No control",SUMIF(('Loading-rail'!$B$31:$B$48),$J3375,('Loading-rail'!$D$31:$D$48))*Impacts!$F$15,IF(('Loading-rail'!$C$21)&lt;&gt;"No control",SUMIF(('Loading-rail'!$B$31:$B$48),$J3375,('Loading-rail'!$E$31:$E$48))*Impacts!$F$15,0)),0)</f>
        <v>0</v>
      </c>
      <c r="T3375" s="10">
        <f>IF(Flare!$C$7="",0,(SUMIF(Flare!$B$46:$B$185,$J3375,Flare!$E$46:$E$185)*Impacts!$F$16))</f>
        <v>0</v>
      </c>
      <c r="U3375" s="10">
        <f>IF(VCU!$C$9="",0,(SUMIF(VCU!$B$51:$B$193,$J3375,VCU!$E$51:$E$193)*Impacts!$F$17))</f>
        <v>0</v>
      </c>
      <c r="V3375" s="10">
        <f>IF(CAS!$C$7="",0,(SUMIF(CAS!$B$31:$B$167,$J3375,CAS!$E$31:$E$167)*Impacts!$F$18))</f>
        <v>0</v>
      </c>
      <c r="W3375" s="10">
        <f t="shared" si="93"/>
        <v>0</v>
      </c>
      <c r="AK3375" s="10" t="str">
        <f t="array" ref="AK3375">IFERROR(INDEX(SelectedSpecies,SMALL(IF(SelectedSpecies=AK$1,ROW(SelectedSpecies)),ROW(3376:3376)),2),"")</f>
        <v/>
      </c>
      <c r="BE3375" s="10"/>
      <c r="BI3375" s="10"/>
    </row>
    <row r="3376" spans="1:61" ht="21" customHeight="1" x14ac:dyDescent="0.25">
      <c r="A3376" s="10"/>
      <c r="B3376" s="10"/>
      <c r="E3376" s="10"/>
      <c r="G3376" s="10"/>
      <c r="I3376" s="436" t="s">
        <v>7602</v>
      </c>
      <c r="J3376" s="26" t="s">
        <v>7601</v>
      </c>
      <c r="K3376" s="10">
        <v>0.17</v>
      </c>
      <c r="L3376" s="73">
        <f>IF(Tank1!$C$23="No control",(SUMIF(Tank1!$B$32:$B$49,$J3376,Tank1!$C$32:$C$49)*Impacts!$F$8),0)</f>
        <v>0</v>
      </c>
      <c r="M3376" s="10">
        <f>IF(Tank2!$C$23="No control",(SUMIF(Tank2!$B$32:$B$49,$J3376,Tank2!$C$32:$C$49)*Impacts!$F$9),0)</f>
        <v>0</v>
      </c>
      <c r="N3376" s="10">
        <f>IF(Tank3!$C$23="No control",(SUMIF(Tank3!$B$32:$B$49,$J3376,Tank3!$C$32:$C$49)*Impacts!$F$10),0)</f>
        <v>0</v>
      </c>
      <c r="O3376" s="10">
        <f>IF(Tank4!$C$23="No control",(SUMIF(Tank4!$B$32:$B$49,$J3376,Tank4!$C$32:$C$49)*Impacts!$F$11),0)</f>
        <v>0</v>
      </c>
      <c r="P3376" s="10">
        <f>IF(Tank5!$C$23="No control",(SUMIF(Tank5!$B$32:$B$49,$J3376,Tank5!$C$32:$C$49)*Impacts!$F$12),0)</f>
        <v>0</v>
      </c>
      <c r="Q3376" s="10">
        <f>IFERROR(IF(('Loading-drum,tote'!$C$21)="No control",SUMIF(('Loading-drum,tote'!$B$31:$B$48),$J3376,('Loading-drum,tote'!$D$31:$D$48))*Impacts!$F$13,IF(('Loading-drum,tote'!$C$21)&lt;&gt;"No control",SUMIF(('Loading-drum,tote'!$B$31:$B$48),$J3376,('Loading-drum,tote'!$E$31:$E$48))*Impacts!$F$13,0)),0)</f>
        <v>0</v>
      </c>
      <c r="R3376" s="10">
        <f>IFERROR(IF(('Loading-truck'!$C$21)="No control",SUMIF(('Loading-truck'!$B$31:$B$48),$J3376,('Loading-truck'!$D$31:$D$48))*Impacts!$F$14,IF(('Loading-truck'!$C$21)&lt;&gt;"No control",SUMIF(('Loading-truck'!$B$31:$B$48),$J3376,('Loading-truck'!$E$31:$E$48))*Impacts!$F$14,0)),0)</f>
        <v>0</v>
      </c>
      <c r="S3376" s="10">
        <f>IFERROR(IF(('Loading-rail'!$C$21)="No control",SUMIF(('Loading-rail'!$B$31:$B$48),$J3376,('Loading-rail'!$D$31:$D$48))*Impacts!$F$15,IF(('Loading-rail'!$C$21)&lt;&gt;"No control",SUMIF(('Loading-rail'!$B$31:$B$48),$J3376,('Loading-rail'!$E$31:$E$48))*Impacts!$F$15,0)),0)</f>
        <v>0</v>
      </c>
      <c r="T3376" s="10">
        <f>IF(Flare!$C$7="",0,(SUMIF(Flare!$B$46:$B$185,$J3376,Flare!$E$46:$E$185)*Impacts!$F$16))</f>
        <v>0</v>
      </c>
      <c r="U3376" s="10">
        <f>IF(VCU!$C$9="",0,(SUMIF(VCU!$B$51:$B$193,$J3376,VCU!$E$51:$E$193)*Impacts!$F$17))</f>
        <v>0</v>
      </c>
      <c r="V3376" s="10">
        <f>IF(CAS!$C$7="",0,(SUMIF(CAS!$B$31:$B$167,$J3376,CAS!$E$31:$E$167)*Impacts!$F$18))</f>
        <v>0</v>
      </c>
      <c r="W3376" s="10">
        <f t="shared" si="93"/>
        <v>0</v>
      </c>
      <c r="AK3376" s="10" t="str">
        <f t="array" ref="AK3376">IFERROR(INDEX(SelectedSpecies,SMALL(IF(SelectedSpecies=AK$1,ROW(SelectedSpecies)),ROW(3377:3377)),2),"")</f>
        <v/>
      </c>
      <c r="BE3376" s="10"/>
      <c r="BI3376" s="10"/>
    </row>
    <row r="3377" spans="1:61" ht="21" customHeight="1" x14ac:dyDescent="0.25">
      <c r="A3377" s="10"/>
      <c r="B3377" s="10"/>
      <c r="E3377" s="10"/>
      <c r="G3377" s="10"/>
      <c r="I3377" s="436" t="s">
        <v>2223</v>
      </c>
      <c r="J3377" s="26" t="s">
        <v>2222</v>
      </c>
      <c r="K3377" s="10">
        <v>13.200000000000001</v>
      </c>
      <c r="L3377" s="73">
        <f>IF(Tank1!$C$23="No control",(SUMIF(Tank1!$B$32:$B$49,$J3377,Tank1!$C$32:$C$49)*Impacts!$F$8),0)</f>
        <v>0</v>
      </c>
      <c r="M3377" s="10">
        <f>IF(Tank2!$C$23="No control",(SUMIF(Tank2!$B$32:$B$49,$J3377,Tank2!$C$32:$C$49)*Impacts!$F$9),0)</f>
        <v>0</v>
      </c>
      <c r="N3377" s="10">
        <f>IF(Tank3!$C$23="No control",(SUMIF(Tank3!$B$32:$B$49,$J3377,Tank3!$C$32:$C$49)*Impacts!$F$10),0)</f>
        <v>0</v>
      </c>
      <c r="O3377" s="10">
        <f>IF(Tank4!$C$23="No control",(SUMIF(Tank4!$B$32:$B$49,$J3377,Tank4!$C$32:$C$49)*Impacts!$F$11),0)</f>
        <v>0</v>
      </c>
      <c r="P3377" s="10">
        <f>IF(Tank5!$C$23="No control",(SUMIF(Tank5!$B$32:$B$49,$J3377,Tank5!$C$32:$C$49)*Impacts!$F$12),0)</f>
        <v>0</v>
      </c>
      <c r="Q3377" s="10">
        <f>IFERROR(IF(('Loading-drum,tote'!$C$21)="No control",SUMIF(('Loading-drum,tote'!$B$31:$B$48),$J3377,('Loading-drum,tote'!$D$31:$D$48))*Impacts!$F$13,IF(('Loading-drum,tote'!$C$21)&lt;&gt;"No control",SUMIF(('Loading-drum,tote'!$B$31:$B$48),$J3377,('Loading-drum,tote'!$E$31:$E$48))*Impacts!$F$13,0)),0)</f>
        <v>0</v>
      </c>
      <c r="R3377" s="10">
        <f>IFERROR(IF(('Loading-truck'!$C$21)="No control",SUMIF(('Loading-truck'!$B$31:$B$48),$J3377,('Loading-truck'!$D$31:$D$48))*Impacts!$F$14,IF(('Loading-truck'!$C$21)&lt;&gt;"No control",SUMIF(('Loading-truck'!$B$31:$B$48),$J3377,('Loading-truck'!$E$31:$E$48))*Impacts!$F$14,0)),0)</f>
        <v>0</v>
      </c>
      <c r="S3377" s="10">
        <f>IFERROR(IF(('Loading-rail'!$C$21)="No control",SUMIF(('Loading-rail'!$B$31:$B$48),$J3377,('Loading-rail'!$D$31:$D$48))*Impacts!$F$15,IF(('Loading-rail'!$C$21)&lt;&gt;"No control",SUMIF(('Loading-rail'!$B$31:$B$48),$J3377,('Loading-rail'!$E$31:$E$48))*Impacts!$F$15,0)),0)</f>
        <v>0</v>
      </c>
      <c r="T3377" s="10">
        <f>IF(Flare!$C$7="",0,(SUMIF(Flare!$B$46:$B$185,$J3377,Flare!$E$46:$E$185)*Impacts!$F$16))</f>
        <v>0</v>
      </c>
      <c r="U3377" s="10">
        <f>IF(VCU!$C$9="",0,(SUMIF(VCU!$B$51:$B$193,$J3377,VCU!$E$51:$E$193)*Impacts!$F$17))</f>
        <v>0</v>
      </c>
      <c r="V3377" s="10">
        <f>IF(CAS!$C$7="",0,(SUMIF(CAS!$B$31:$B$167,$J3377,CAS!$E$31:$E$167)*Impacts!$F$18))</f>
        <v>0</v>
      </c>
      <c r="W3377" s="10">
        <f t="shared" si="93"/>
        <v>0</v>
      </c>
      <c r="AK3377" s="10" t="str">
        <f t="array" ref="AK3377">IFERROR(INDEX(SelectedSpecies,SMALL(IF(SelectedSpecies=AK$1,ROW(SelectedSpecies)),ROW(3378:3378)),2),"")</f>
        <v/>
      </c>
      <c r="BE3377" s="10"/>
      <c r="BI3377" s="10"/>
    </row>
    <row r="3378" spans="1:61" ht="21" customHeight="1" x14ac:dyDescent="0.25">
      <c r="A3378" s="10"/>
      <c r="B3378" s="10"/>
      <c r="E3378" s="10"/>
      <c r="G3378" s="10"/>
      <c r="I3378" s="436" t="s">
        <v>5097</v>
      </c>
      <c r="J3378" s="26" t="s">
        <v>5096</v>
      </c>
      <c r="K3378" s="10">
        <v>2.2000000000000002</v>
      </c>
      <c r="L3378" s="73">
        <f>IF(Tank1!$C$23="No control",(SUMIF(Tank1!$B$32:$B$49,$J3378,Tank1!$C$32:$C$49)*Impacts!$F$8),0)</f>
        <v>0</v>
      </c>
      <c r="M3378" s="10">
        <f>IF(Tank2!$C$23="No control",(SUMIF(Tank2!$B$32:$B$49,$J3378,Tank2!$C$32:$C$49)*Impacts!$F$9),0)</f>
        <v>0</v>
      </c>
      <c r="N3378" s="10">
        <f>IF(Tank3!$C$23="No control",(SUMIF(Tank3!$B$32:$B$49,$J3378,Tank3!$C$32:$C$49)*Impacts!$F$10),0)</f>
        <v>0</v>
      </c>
      <c r="O3378" s="10">
        <f>IF(Tank4!$C$23="No control",(SUMIF(Tank4!$B$32:$B$49,$J3378,Tank4!$C$32:$C$49)*Impacts!$F$11),0)</f>
        <v>0</v>
      </c>
      <c r="P3378" s="10">
        <f>IF(Tank5!$C$23="No control",(SUMIF(Tank5!$B$32:$B$49,$J3378,Tank5!$C$32:$C$49)*Impacts!$F$12),0)</f>
        <v>0</v>
      </c>
      <c r="Q3378" s="10">
        <f>IFERROR(IF(('Loading-drum,tote'!$C$21)="No control",SUMIF(('Loading-drum,tote'!$B$31:$B$48),$J3378,('Loading-drum,tote'!$D$31:$D$48))*Impacts!$F$13,IF(('Loading-drum,tote'!$C$21)&lt;&gt;"No control",SUMIF(('Loading-drum,tote'!$B$31:$B$48),$J3378,('Loading-drum,tote'!$E$31:$E$48))*Impacts!$F$13,0)),0)</f>
        <v>0</v>
      </c>
      <c r="R3378" s="10">
        <f>IFERROR(IF(('Loading-truck'!$C$21)="No control",SUMIF(('Loading-truck'!$B$31:$B$48),$J3378,('Loading-truck'!$D$31:$D$48))*Impacts!$F$14,IF(('Loading-truck'!$C$21)&lt;&gt;"No control",SUMIF(('Loading-truck'!$B$31:$B$48),$J3378,('Loading-truck'!$E$31:$E$48))*Impacts!$F$14,0)),0)</f>
        <v>0</v>
      </c>
      <c r="S3378" s="10">
        <f>IFERROR(IF(('Loading-rail'!$C$21)="No control",SUMIF(('Loading-rail'!$B$31:$B$48),$J3378,('Loading-rail'!$D$31:$D$48))*Impacts!$F$15,IF(('Loading-rail'!$C$21)&lt;&gt;"No control",SUMIF(('Loading-rail'!$B$31:$B$48),$J3378,('Loading-rail'!$E$31:$E$48))*Impacts!$F$15,0)),0)</f>
        <v>0</v>
      </c>
      <c r="T3378" s="10">
        <f>IF(Flare!$C$7="",0,(SUMIF(Flare!$B$46:$B$185,$J3378,Flare!$E$46:$E$185)*Impacts!$F$16))</f>
        <v>0</v>
      </c>
      <c r="U3378" s="10">
        <f>IF(VCU!$C$9="",0,(SUMIF(VCU!$B$51:$B$193,$J3378,VCU!$E$51:$E$193)*Impacts!$F$17))</f>
        <v>0</v>
      </c>
      <c r="V3378" s="10">
        <f>IF(CAS!$C$7="",0,(SUMIF(CAS!$B$31:$B$167,$J3378,CAS!$E$31:$E$167)*Impacts!$F$18))</f>
        <v>0</v>
      </c>
      <c r="W3378" s="10">
        <f t="shared" si="93"/>
        <v>0</v>
      </c>
      <c r="AK3378" s="10" t="str">
        <f t="array" ref="AK3378">IFERROR(INDEX(SelectedSpecies,SMALL(IF(SelectedSpecies=AK$1,ROW(SelectedSpecies)),ROW(3379:3379)),2),"")</f>
        <v/>
      </c>
      <c r="BE3378" s="10"/>
      <c r="BI3378" s="10"/>
    </row>
    <row r="3379" spans="1:61" ht="21" customHeight="1" x14ac:dyDescent="0.25">
      <c r="A3379" s="10"/>
      <c r="B3379" s="10"/>
      <c r="E3379" s="10"/>
      <c r="G3379" s="10"/>
      <c r="I3379" s="436" t="s">
        <v>483</v>
      </c>
      <c r="J3379" s="26" t="s">
        <v>482</v>
      </c>
      <c r="K3379" s="10">
        <v>106</v>
      </c>
      <c r="L3379" s="73">
        <f>IF(Tank1!$C$23="No control",(SUMIF(Tank1!$B$32:$B$49,$J3379,Tank1!$C$32:$C$49)*Impacts!$F$8),0)</f>
        <v>0</v>
      </c>
      <c r="M3379" s="10">
        <f>IF(Tank2!$C$23="No control",(SUMIF(Tank2!$B$32:$B$49,$J3379,Tank2!$C$32:$C$49)*Impacts!$F$9),0)</f>
        <v>0</v>
      </c>
      <c r="N3379" s="10">
        <f>IF(Tank3!$C$23="No control",(SUMIF(Tank3!$B$32:$B$49,$J3379,Tank3!$C$32:$C$49)*Impacts!$F$10),0)</f>
        <v>0</v>
      </c>
      <c r="O3379" s="10">
        <f>IF(Tank4!$C$23="No control",(SUMIF(Tank4!$B$32:$B$49,$J3379,Tank4!$C$32:$C$49)*Impacts!$F$11),0)</f>
        <v>0</v>
      </c>
      <c r="P3379" s="10">
        <f>IF(Tank5!$C$23="No control",(SUMIF(Tank5!$B$32:$B$49,$J3379,Tank5!$C$32:$C$49)*Impacts!$F$12),0)</f>
        <v>0</v>
      </c>
      <c r="Q3379" s="10">
        <f>IFERROR(IF(('Loading-drum,tote'!$C$21)="No control",SUMIF(('Loading-drum,tote'!$B$31:$B$48),$J3379,('Loading-drum,tote'!$D$31:$D$48))*Impacts!$F$13,IF(('Loading-drum,tote'!$C$21)&lt;&gt;"No control",SUMIF(('Loading-drum,tote'!$B$31:$B$48),$J3379,('Loading-drum,tote'!$E$31:$E$48))*Impacts!$F$13,0)),0)</f>
        <v>0</v>
      </c>
      <c r="R3379" s="10">
        <f>IFERROR(IF(('Loading-truck'!$C$21)="No control",SUMIF(('Loading-truck'!$B$31:$B$48),$J3379,('Loading-truck'!$D$31:$D$48))*Impacts!$F$14,IF(('Loading-truck'!$C$21)&lt;&gt;"No control",SUMIF(('Loading-truck'!$B$31:$B$48),$J3379,('Loading-truck'!$E$31:$E$48))*Impacts!$F$14,0)),0)</f>
        <v>0</v>
      </c>
      <c r="S3379" s="10">
        <f>IFERROR(IF(('Loading-rail'!$C$21)="No control",SUMIF(('Loading-rail'!$B$31:$B$48),$J3379,('Loading-rail'!$D$31:$D$48))*Impacts!$F$15,IF(('Loading-rail'!$C$21)&lt;&gt;"No control",SUMIF(('Loading-rail'!$B$31:$B$48),$J3379,('Loading-rail'!$E$31:$E$48))*Impacts!$F$15,0)),0)</f>
        <v>0</v>
      </c>
      <c r="T3379" s="10">
        <f>IF(Flare!$C$7="",0,(SUMIF(Flare!$B$46:$B$185,$J3379,Flare!$E$46:$E$185)*Impacts!$F$16))</f>
        <v>0</v>
      </c>
      <c r="U3379" s="10">
        <f>IF(VCU!$C$9="",0,(SUMIF(VCU!$B$51:$B$193,$J3379,VCU!$E$51:$E$193)*Impacts!$F$17))</f>
        <v>0</v>
      </c>
      <c r="V3379" s="10">
        <f>IF(CAS!$C$7="",0,(SUMIF(CAS!$B$31:$B$167,$J3379,CAS!$E$31:$E$167)*Impacts!$F$18))</f>
        <v>0</v>
      </c>
      <c r="W3379" s="10">
        <f t="shared" si="93"/>
        <v>0</v>
      </c>
      <c r="AK3379" s="10" t="str">
        <f t="array" ref="AK3379">IFERROR(INDEX(SelectedSpecies,SMALL(IF(SelectedSpecies=AK$1,ROW(SelectedSpecies)),ROW(3380:3380)),2),"")</f>
        <v/>
      </c>
      <c r="BE3379" s="10"/>
      <c r="BI3379" s="10"/>
    </row>
    <row r="3380" spans="1:61" ht="21" customHeight="1" x14ac:dyDescent="0.25">
      <c r="A3380" s="10"/>
      <c r="B3380" s="10"/>
      <c r="E3380" s="10"/>
      <c r="G3380" s="10"/>
      <c r="I3380" s="436" t="s">
        <v>287</v>
      </c>
      <c r="J3380" s="26" t="s">
        <v>286</v>
      </c>
      <c r="K3380" s="10" t="s">
        <v>10275</v>
      </c>
      <c r="L3380" s="73">
        <f>IF(Tank1!$C$23="No control",(SUMIF(Tank1!$B$32:$B$49,$J3380,Tank1!$C$32:$C$49)*Impacts!$F$8),0)</f>
        <v>0</v>
      </c>
      <c r="M3380" s="10">
        <f>IF(Tank2!$C$23="No control",(SUMIF(Tank2!$B$32:$B$49,$J3380,Tank2!$C$32:$C$49)*Impacts!$F$9),0)</f>
        <v>0</v>
      </c>
      <c r="N3380" s="10">
        <f>IF(Tank3!$C$23="No control",(SUMIF(Tank3!$B$32:$B$49,$J3380,Tank3!$C$32:$C$49)*Impacts!$F$10),0)</f>
        <v>0</v>
      </c>
      <c r="O3380" s="10">
        <f>IF(Tank4!$C$23="No control",(SUMIF(Tank4!$B$32:$B$49,$J3380,Tank4!$C$32:$C$49)*Impacts!$F$11),0)</f>
        <v>0</v>
      </c>
      <c r="P3380" s="10">
        <f>IF(Tank5!$C$23="No control",(SUMIF(Tank5!$B$32:$B$49,$J3380,Tank5!$C$32:$C$49)*Impacts!$F$12),0)</f>
        <v>0</v>
      </c>
      <c r="Q3380" s="10">
        <f>IFERROR(IF(('Loading-drum,tote'!$C$21)="No control",SUMIF(('Loading-drum,tote'!$B$31:$B$48),$J3380,('Loading-drum,tote'!$D$31:$D$48))*Impacts!$F$13,IF(('Loading-drum,tote'!$C$21)&lt;&gt;"No control",SUMIF(('Loading-drum,tote'!$B$31:$B$48),$J3380,('Loading-drum,tote'!$E$31:$E$48))*Impacts!$F$13,0)),0)</f>
        <v>0</v>
      </c>
      <c r="R3380" s="10">
        <f>IFERROR(IF(('Loading-truck'!$C$21)="No control",SUMIF(('Loading-truck'!$B$31:$B$48),$J3380,('Loading-truck'!$D$31:$D$48))*Impacts!$F$14,IF(('Loading-truck'!$C$21)&lt;&gt;"No control",SUMIF(('Loading-truck'!$B$31:$B$48),$J3380,('Loading-truck'!$E$31:$E$48))*Impacts!$F$14,0)),0)</f>
        <v>0</v>
      </c>
      <c r="S3380" s="10">
        <f>IFERROR(IF(('Loading-rail'!$C$21)="No control",SUMIF(('Loading-rail'!$B$31:$B$48),$J3380,('Loading-rail'!$D$31:$D$48))*Impacts!$F$15,IF(('Loading-rail'!$C$21)&lt;&gt;"No control",SUMIF(('Loading-rail'!$B$31:$B$48),$J3380,('Loading-rail'!$E$31:$E$48))*Impacts!$F$15,0)),0)</f>
        <v>0</v>
      </c>
      <c r="T3380" s="10">
        <f>IF(Flare!$C$7="",0,(SUMIF(Flare!$B$46:$B$185,$J3380,Flare!$E$46:$E$185)*Impacts!$F$16))</f>
        <v>0</v>
      </c>
      <c r="U3380" s="10">
        <f>IF(VCU!$C$9="",0,(SUMIF(VCU!$B$51:$B$193,$J3380,VCU!$E$51:$E$193)*Impacts!$F$17))</f>
        <v>0</v>
      </c>
      <c r="V3380" s="10">
        <f>IF(CAS!$C$7="",0,(SUMIF(CAS!$B$31:$B$167,$J3380,CAS!$E$31:$E$167)*Impacts!$F$18))</f>
        <v>0</v>
      </c>
      <c r="W3380" s="10">
        <f t="shared" si="93"/>
        <v>0</v>
      </c>
      <c r="AK3380" s="10" t="str">
        <f t="array" ref="AK3380">IFERROR(INDEX(SelectedSpecies,SMALL(IF(SelectedSpecies=AK$1,ROW(SelectedSpecies)),ROW(3381:3381)),2),"")</f>
        <v/>
      </c>
      <c r="BE3380" s="10"/>
      <c r="BI3380" s="10"/>
    </row>
    <row r="3381" spans="1:61" ht="21" customHeight="1" x14ac:dyDescent="0.25">
      <c r="A3381" s="10"/>
      <c r="B3381" s="10"/>
      <c r="E3381" s="10"/>
      <c r="G3381" s="10"/>
      <c r="I3381" s="436" t="s">
        <v>457</v>
      </c>
      <c r="J3381" s="26" t="s">
        <v>456</v>
      </c>
      <c r="K3381" s="10">
        <v>164</v>
      </c>
      <c r="L3381" s="73">
        <f>IF(Tank1!$C$23="No control",(SUMIF(Tank1!$B$32:$B$49,$J3381,Tank1!$C$32:$C$49)*Impacts!$F$8),0)</f>
        <v>0</v>
      </c>
      <c r="M3381" s="10">
        <f>IF(Tank2!$C$23="No control",(SUMIF(Tank2!$B$32:$B$49,$J3381,Tank2!$C$32:$C$49)*Impacts!$F$9),0)</f>
        <v>0</v>
      </c>
      <c r="N3381" s="10">
        <f>IF(Tank3!$C$23="No control",(SUMIF(Tank3!$B$32:$B$49,$J3381,Tank3!$C$32:$C$49)*Impacts!$F$10),0)</f>
        <v>0</v>
      </c>
      <c r="O3381" s="10">
        <f>IF(Tank4!$C$23="No control",(SUMIF(Tank4!$B$32:$B$49,$J3381,Tank4!$C$32:$C$49)*Impacts!$F$11),0)</f>
        <v>0</v>
      </c>
      <c r="P3381" s="10">
        <f>IF(Tank5!$C$23="No control",(SUMIF(Tank5!$B$32:$B$49,$J3381,Tank5!$C$32:$C$49)*Impacts!$F$12),0)</f>
        <v>0</v>
      </c>
      <c r="Q3381" s="10">
        <f>IFERROR(IF(('Loading-drum,tote'!$C$21)="No control",SUMIF(('Loading-drum,tote'!$B$31:$B$48),$J3381,('Loading-drum,tote'!$D$31:$D$48))*Impacts!$F$13,IF(('Loading-drum,tote'!$C$21)&lt;&gt;"No control",SUMIF(('Loading-drum,tote'!$B$31:$B$48),$J3381,('Loading-drum,tote'!$E$31:$E$48))*Impacts!$F$13,0)),0)</f>
        <v>0</v>
      </c>
      <c r="R3381" s="10">
        <f>IFERROR(IF(('Loading-truck'!$C$21)="No control",SUMIF(('Loading-truck'!$B$31:$B$48),$J3381,('Loading-truck'!$D$31:$D$48))*Impacts!$F$14,IF(('Loading-truck'!$C$21)&lt;&gt;"No control",SUMIF(('Loading-truck'!$B$31:$B$48),$J3381,('Loading-truck'!$E$31:$E$48))*Impacts!$F$14,0)),0)</f>
        <v>0</v>
      </c>
      <c r="S3381" s="10">
        <f>IFERROR(IF(('Loading-rail'!$C$21)="No control",SUMIF(('Loading-rail'!$B$31:$B$48),$J3381,('Loading-rail'!$D$31:$D$48))*Impacts!$F$15,IF(('Loading-rail'!$C$21)&lt;&gt;"No control",SUMIF(('Loading-rail'!$B$31:$B$48),$J3381,('Loading-rail'!$E$31:$E$48))*Impacts!$F$15,0)),0)</f>
        <v>0</v>
      </c>
      <c r="T3381" s="10">
        <f>IF(Flare!$C$7="",0,(SUMIF(Flare!$B$46:$B$185,$J3381,Flare!$E$46:$E$185)*Impacts!$F$16))</f>
        <v>0</v>
      </c>
      <c r="U3381" s="10">
        <f>IF(VCU!$C$9="",0,(SUMIF(VCU!$B$51:$B$193,$J3381,VCU!$E$51:$E$193)*Impacts!$F$17))</f>
        <v>0</v>
      </c>
      <c r="V3381" s="10">
        <f>IF(CAS!$C$7="",0,(SUMIF(CAS!$B$31:$B$167,$J3381,CAS!$E$31:$E$167)*Impacts!$F$18))</f>
        <v>0</v>
      </c>
      <c r="W3381" s="10">
        <f t="shared" si="93"/>
        <v>0</v>
      </c>
      <c r="AK3381" s="10" t="str">
        <f t="array" ref="AK3381">IFERROR(INDEX(SelectedSpecies,SMALL(IF(SelectedSpecies=AK$1,ROW(SelectedSpecies)),ROW(3382:3382)),2),"")</f>
        <v/>
      </c>
      <c r="BE3381" s="10"/>
      <c r="BI3381" s="10"/>
    </row>
    <row r="3382" spans="1:61" ht="21" customHeight="1" x14ac:dyDescent="0.25">
      <c r="A3382" s="10"/>
      <c r="B3382" s="10"/>
      <c r="E3382" s="10"/>
      <c r="G3382" s="10"/>
      <c r="I3382" s="436" t="s">
        <v>1576</v>
      </c>
      <c r="J3382" s="26" t="s">
        <v>1575</v>
      </c>
      <c r="K3382" s="10">
        <v>27</v>
      </c>
      <c r="L3382" s="73">
        <f>IF(Tank1!$C$23="No control",(SUMIF(Tank1!$B$32:$B$49,$J3382,Tank1!$C$32:$C$49)*Impacts!$F$8),0)</f>
        <v>0</v>
      </c>
      <c r="M3382" s="10">
        <f>IF(Tank2!$C$23="No control",(SUMIF(Tank2!$B$32:$B$49,$J3382,Tank2!$C$32:$C$49)*Impacts!$F$9),0)</f>
        <v>0</v>
      </c>
      <c r="N3382" s="10">
        <f>IF(Tank3!$C$23="No control",(SUMIF(Tank3!$B$32:$B$49,$J3382,Tank3!$C$32:$C$49)*Impacts!$F$10),0)</f>
        <v>0</v>
      </c>
      <c r="O3382" s="10">
        <f>IF(Tank4!$C$23="No control",(SUMIF(Tank4!$B$32:$B$49,$J3382,Tank4!$C$32:$C$49)*Impacts!$F$11),0)</f>
        <v>0</v>
      </c>
      <c r="P3382" s="10">
        <f>IF(Tank5!$C$23="No control",(SUMIF(Tank5!$B$32:$B$49,$J3382,Tank5!$C$32:$C$49)*Impacts!$F$12),0)</f>
        <v>0</v>
      </c>
      <c r="Q3382" s="10">
        <f>IFERROR(IF(('Loading-drum,tote'!$C$21)="No control",SUMIF(('Loading-drum,tote'!$B$31:$B$48),$J3382,('Loading-drum,tote'!$D$31:$D$48))*Impacts!$F$13,IF(('Loading-drum,tote'!$C$21)&lt;&gt;"No control",SUMIF(('Loading-drum,tote'!$B$31:$B$48),$J3382,('Loading-drum,tote'!$E$31:$E$48))*Impacts!$F$13,0)),0)</f>
        <v>0</v>
      </c>
      <c r="R3382" s="10">
        <f>IFERROR(IF(('Loading-truck'!$C$21)="No control",SUMIF(('Loading-truck'!$B$31:$B$48),$J3382,('Loading-truck'!$D$31:$D$48))*Impacts!$F$14,IF(('Loading-truck'!$C$21)&lt;&gt;"No control",SUMIF(('Loading-truck'!$B$31:$B$48),$J3382,('Loading-truck'!$E$31:$E$48))*Impacts!$F$14,0)),0)</f>
        <v>0</v>
      </c>
      <c r="S3382" s="10">
        <f>IFERROR(IF(('Loading-rail'!$C$21)="No control",SUMIF(('Loading-rail'!$B$31:$B$48),$J3382,('Loading-rail'!$D$31:$D$48))*Impacts!$F$15,IF(('Loading-rail'!$C$21)&lt;&gt;"No control",SUMIF(('Loading-rail'!$B$31:$B$48),$J3382,('Loading-rail'!$E$31:$E$48))*Impacts!$F$15,0)),0)</f>
        <v>0</v>
      </c>
      <c r="T3382" s="10">
        <f>IF(Flare!$C$7="",0,(SUMIF(Flare!$B$46:$B$185,$J3382,Flare!$E$46:$E$185)*Impacts!$F$16))</f>
        <v>0</v>
      </c>
      <c r="U3382" s="10">
        <f>IF(VCU!$C$9="",0,(SUMIF(VCU!$B$51:$B$193,$J3382,VCU!$E$51:$E$193)*Impacts!$F$17))</f>
        <v>0</v>
      </c>
      <c r="V3382" s="10">
        <f>IF(CAS!$C$7="",0,(SUMIF(CAS!$B$31:$B$167,$J3382,CAS!$E$31:$E$167)*Impacts!$F$18))</f>
        <v>0</v>
      </c>
      <c r="W3382" s="10">
        <f t="shared" si="93"/>
        <v>0</v>
      </c>
      <c r="AK3382" s="10" t="str">
        <f t="array" ref="AK3382">IFERROR(INDEX(SelectedSpecies,SMALL(IF(SelectedSpecies=AK$1,ROW(SelectedSpecies)),ROW(3383:3383)),2),"")</f>
        <v/>
      </c>
      <c r="BE3382" s="10"/>
      <c r="BI3382" s="10"/>
    </row>
    <row r="3383" spans="1:61" ht="21" customHeight="1" x14ac:dyDescent="0.25">
      <c r="A3383" s="10"/>
      <c r="B3383" s="10"/>
      <c r="E3383" s="10"/>
      <c r="G3383" s="10"/>
      <c r="I3383" s="436" t="s">
        <v>7662</v>
      </c>
      <c r="J3383" s="26" t="s">
        <v>7661</v>
      </c>
      <c r="K3383" s="10">
        <v>0.12</v>
      </c>
      <c r="L3383" s="73">
        <f>IF(Tank1!$C$23="No control",(SUMIF(Tank1!$B$32:$B$49,$J3383,Tank1!$C$32:$C$49)*Impacts!$F$8),0)</f>
        <v>0</v>
      </c>
      <c r="M3383" s="10">
        <f>IF(Tank2!$C$23="No control",(SUMIF(Tank2!$B$32:$B$49,$J3383,Tank2!$C$32:$C$49)*Impacts!$F$9),0)</f>
        <v>0</v>
      </c>
      <c r="N3383" s="10">
        <f>IF(Tank3!$C$23="No control",(SUMIF(Tank3!$B$32:$B$49,$J3383,Tank3!$C$32:$C$49)*Impacts!$F$10),0)</f>
        <v>0</v>
      </c>
      <c r="O3383" s="10">
        <f>IF(Tank4!$C$23="No control",(SUMIF(Tank4!$B$32:$B$49,$J3383,Tank4!$C$32:$C$49)*Impacts!$F$11),0)</f>
        <v>0</v>
      </c>
      <c r="P3383" s="10">
        <f>IF(Tank5!$C$23="No control",(SUMIF(Tank5!$B$32:$B$49,$J3383,Tank5!$C$32:$C$49)*Impacts!$F$12),0)</f>
        <v>0</v>
      </c>
      <c r="Q3383" s="10">
        <f>IFERROR(IF(('Loading-drum,tote'!$C$21)="No control",SUMIF(('Loading-drum,tote'!$B$31:$B$48),$J3383,('Loading-drum,tote'!$D$31:$D$48))*Impacts!$F$13,IF(('Loading-drum,tote'!$C$21)&lt;&gt;"No control",SUMIF(('Loading-drum,tote'!$B$31:$B$48),$J3383,('Loading-drum,tote'!$E$31:$E$48))*Impacts!$F$13,0)),0)</f>
        <v>0</v>
      </c>
      <c r="R3383" s="10">
        <f>IFERROR(IF(('Loading-truck'!$C$21)="No control",SUMIF(('Loading-truck'!$B$31:$B$48),$J3383,('Loading-truck'!$D$31:$D$48))*Impacts!$F$14,IF(('Loading-truck'!$C$21)&lt;&gt;"No control",SUMIF(('Loading-truck'!$B$31:$B$48),$J3383,('Loading-truck'!$E$31:$E$48))*Impacts!$F$14,0)),0)</f>
        <v>0</v>
      </c>
      <c r="S3383" s="10">
        <f>IFERROR(IF(('Loading-rail'!$C$21)="No control",SUMIF(('Loading-rail'!$B$31:$B$48),$J3383,('Loading-rail'!$D$31:$D$48))*Impacts!$F$15,IF(('Loading-rail'!$C$21)&lt;&gt;"No control",SUMIF(('Loading-rail'!$B$31:$B$48),$J3383,('Loading-rail'!$E$31:$E$48))*Impacts!$F$15,0)),0)</f>
        <v>0</v>
      </c>
      <c r="T3383" s="10">
        <f>IF(Flare!$C$7="",0,(SUMIF(Flare!$B$46:$B$185,$J3383,Flare!$E$46:$E$185)*Impacts!$F$16))</f>
        <v>0</v>
      </c>
      <c r="U3383" s="10">
        <f>IF(VCU!$C$9="",0,(SUMIF(VCU!$B$51:$B$193,$J3383,VCU!$E$51:$E$193)*Impacts!$F$17))</f>
        <v>0</v>
      </c>
      <c r="V3383" s="10">
        <f>IF(CAS!$C$7="",0,(SUMIF(CAS!$B$31:$B$167,$J3383,CAS!$E$31:$E$167)*Impacts!$F$18))</f>
        <v>0</v>
      </c>
      <c r="W3383" s="10">
        <f t="shared" si="93"/>
        <v>0</v>
      </c>
      <c r="AK3383" s="10" t="str">
        <f t="array" ref="AK3383">IFERROR(INDEX(SelectedSpecies,SMALL(IF(SelectedSpecies=AK$1,ROW(SelectedSpecies)),ROW(3384:3384)),2),"")</f>
        <v/>
      </c>
      <c r="BE3383" s="10"/>
      <c r="BI3383" s="10"/>
    </row>
    <row r="3384" spans="1:61" ht="21" customHeight="1" x14ac:dyDescent="0.25">
      <c r="A3384" s="10"/>
      <c r="B3384" s="10"/>
      <c r="E3384" s="10"/>
      <c r="G3384" s="10"/>
      <c r="I3384" s="436" t="s">
        <v>6400</v>
      </c>
      <c r="J3384" s="26" t="s">
        <v>6399</v>
      </c>
      <c r="K3384" s="10">
        <v>0.81</v>
      </c>
      <c r="L3384" s="73">
        <f>IF(Tank1!$C$23="No control",(SUMIF(Tank1!$B$32:$B$49,$J3384,Tank1!$C$32:$C$49)*Impacts!$F$8),0)</f>
        <v>0</v>
      </c>
      <c r="M3384" s="10">
        <f>IF(Tank2!$C$23="No control",(SUMIF(Tank2!$B$32:$B$49,$J3384,Tank2!$C$32:$C$49)*Impacts!$F$9),0)</f>
        <v>0</v>
      </c>
      <c r="N3384" s="10">
        <f>IF(Tank3!$C$23="No control",(SUMIF(Tank3!$B$32:$B$49,$J3384,Tank3!$C$32:$C$49)*Impacts!$F$10),0)</f>
        <v>0</v>
      </c>
      <c r="O3384" s="10">
        <f>IF(Tank4!$C$23="No control",(SUMIF(Tank4!$B$32:$B$49,$J3384,Tank4!$C$32:$C$49)*Impacts!$F$11),0)</f>
        <v>0</v>
      </c>
      <c r="P3384" s="10">
        <f>IF(Tank5!$C$23="No control",(SUMIF(Tank5!$B$32:$B$49,$J3384,Tank5!$C$32:$C$49)*Impacts!$F$12),0)</f>
        <v>0</v>
      </c>
      <c r="Q3384" s="10">
        <f>IFERROR(IF(('Loading-drum,tote'!$C$21)="No control",SUMIF(('Loading-drum,tote'!$B$31:$B$48),$J3384,('Loading-drum,tote'!$D$31:$D$48))*Impacts!$F$13,IF(('Loading-drum,tote'!$C$21)&lt;&gt;"No control",SUMIF(('Loading-drum,tote'!$B$31:$B$48),$J3384,('Loading-drum,tote'!$E$31:$E$48))*Impacts!$F$13,0)),0)</f>
        <v>0</v>
      </c>
      <c r="R3384" s="10">
        <f>IFERROR(IF(('Loading-truck'!$C$21)="No control",SUMIF(('Loading-truck'!$B$31:$B$48),$J3384,('Loading-truck'!$D$31:$D$48))*Impacts!$F$14,IF(('Loading-truck'!$C$21)&lt;&gt;"No control",SUMIF(('Loading-truck'!$B$31:$B$48),$J3384,('Loading-truck'!$E$31:$E$48))*Impacts!$F$14,0)),0)</f>
        <v>0</v>
      </c>
      <c r="S3384" s="10">
        <f>IFERROR(IF(('Loading-rail'!$C$21)="No control",SUMIF(('Loading-rail'!$B$31:$B$48),$J3384,('Loading-rail'!$D$31:$D$48))*Impacts!$F$15,IF(('Loading-rail'!$C$21)&lt;&gt;"No control",SUMIF(('Loading-rail'!$B$31:$B$48),$J3384,('Loading-rail'!$E$31:$E$48))*Impacts!$F$15,0)),0)</f>
        <v>0</v>
      </c>
      <c r="T3384" s="10">
        <f>IF(Flare!$C$7="",0,(SUMIF(Flare!$B$46:$B$185,$J3384,Flare!$E$46:$E$185)*Impacts!$F$16))</f>
        <v>0</v>
      </c>
      <c r="U3384" s="10">
        <f>IF(VCU!$C$9="",0,(SUMIF(VCU!$B$51:$B$193,$J3384,VCU!$E$51:$E$193)*Impacts!$F$17))</f>
        <v>0</v>
      </c>
      <c r="V3384" s="10">
        <f>IF(CAS!$C$7="",0,(SUMIF(CAS!$B$31:$B$167,$J3384,CAS!$E$31:$E$167)*Impacts!$F$18))</f>
        <v>0</v>
      </c>
      <c r="W3384" s="10">
        <f t="shared" si="93"/>
        <v>0</v>
      </c>
      <c r="AK3384" s="10" t="str">
        <f t="array" ref="AK3384">IFERROR(INDEX(SelectedSpecies,SMALL(IF(SelectedSpecies=AK$1,ROW(SelectedSpecies)),ROW(3385:3385)),2),"")</f>
        <v/>
      </c>
      <c r="BE3384" s="10"/>
      <c r="BI3384" s="10"/>
    </row>
    <row r="3385" spans="1:61" ht="21" customHeight="1" x14ac:dyDescent="0.25">
      <c r="A3385" s="10"/>
      <c r="B3385" s="10"/>
      <c r="E3385" s="10"/>
      <c r="G3385" s="10"/>
      <c r="I3385" s="436" t="s">
        <v>6400</v>
      </c>
      <c r="J3385" s="26" t="s">
        <v>10401</v>
      </c>
      <c r="K3385" s="10">
        <v>5.6999999999999995E-2</v>
      </c>
      <c r="L3385" s="73">
        <f>IF(Tank1!$C$23="No control",(SUMIF(Tank1!$B$32:$B$49,$J3385,Tank1!$C$32:$C$49)*Impacts!$F$8),0)</f>
        <v>0</v>
      </c>
      <c r="M3385" s="10">
        <f>IF(Tank2!$C$23="No control",(SUMIF(Tank2!$B$32:$B$49,$J3385,Tank2!$C$32:$C$49)*Impacts!$F$9),0)</f>
        <v>0</v>
      </c>
      <c r="N3385" s="10">
        <f>IF(Tank3!$C$23="No control",(SUMIF(Tank3!$B$32:$B$49,$J3385,Tank3!$C$32:$C$49)*Impacts!$F$10),0)</f>
        <v>0</v>
      </c>
      <c r="O3385" s="10">
        <f>IF(Tank4!$C$23="No control",(SUMIF(Tank4!$B$32:$B$49,$J3385,Tank4!$C$32:$C$49)*Impacts!$F$11),0)</f>
        <v>0</v>
      </c>
      <c r="P3385" s="10">
        <f>IF(Tank5!$C$23="No control",(SUMIF(Tank5!$B$32:$B$49,$J3385,Tank5!$C$32:$C$49)*Impacts!$F$12),0)</f>
        <v>0</v>
      </c>
      <c r="Q3385" s="10">
        <f>IFERROR(IF(('Loading-drum,tote'!$C$21)="No control",SUMIF(('Loading-drum,tote'!$B$31:$B$48),$J3385,('Loading-drum,tote'!$D$31:$D$48))*Impacts!$F$13,IF(('Loading-drum,tote'!$C$21)&lt;&gt;"No control",SUMIF(('Loading-drum,tote'!$B$31:$B$48),$J3385,('Loading-drum,tote'!$E$31:$E$48))*Impacts!$F$13,0)),0)</f>
        <v>0</v>
      </c>
      <c r="R3385" s="10">
        <f>IFERROR(IF(('Loading-truck'!$C$21)="No control",SUMIF(('Loading-truck'!$B$31:$B$48),$J3385,('Loading-truck'!$D$31:$D$48))*Impacts!$F$14,IF(('Loading-truck'!$C$21)&lt;&gt;"No control",SUMIF(('Loading-truck'!$B$31:$B$48),$J3385,('Loading-truck'!$E$31:$E$48))*Impacts!$F$14,0)),0)</f>
        <v>0</v>
      </c>
      <c r="S3385" s="10">
        <f>IFERROR(IF(('Loading-rail'!$C$21)="No control",SUMIF(('Loading-rail'!$B$31:$B$48),$J3385,('Loading-rail'!$D$31:$D$48))*Impacts!$F$15,IF(('Loading-rail'!$C$21)&lt;&gt;"No control",SUMIF(('Loading-rail'!$B$31:$B$48),$J3385,('Loading-rail'!$E$31:$E$48))*Impacts!$F$15,0)),0)</f>
        <v>0</v>
      </c>
      <c r="T3385" s="10">
        <f>IF(Flare!$C$7="",0,(SUMIF(Flare!$B$46:$B$185,$J3385,Flare!$E$46:$E$185)*Impacts!$F$16))</f>
        <v>0</v>
      </c>
      <c r="U3385" s="10">
        <f>IF(VCU!$C$9="",0,(SUMIF(VCU!$B$51:$B$193,$J3385,VCU!$E$51:$E$193)*Impacts!$F$17))</f>
        <v>0</v>
      </c>
      <c r="V3385" s="10">
        <f>IF(CAS!$C$7="",0,(SUMIF(CAS!$B$31:$B$167,$J3385,CAS!$E$31:$E$167)*Impacts!$F$18))</f>
        <v>0</v>
      </c>
      <c r="W3385" s="10">
        <f t="shared" si="93"/>
        <v>0</v>
      </c>
      <c r="AK3385" s="10" t="str">
        <f t="array" ref="AK3385">IFERROR(INDEX(SelectedSpecies,SMALL(IF(SelectedSpecies=AK$1,ROW(SelectedSpecies)),ROW(3386:3386)),2),"")</f>
        <v/>
      </c>
      <c r="BE3385" s="10"/>
      <c r="BI3385" s="10"/>
    </row>
    <row r="3386" spans="1:61" ht="21" customHeight="1" x14ac:dyDescent="0.25">
      <c r="A3386" s="10"/>
      <c r="B3386" s="10"/>
      <c r="E3386" s="10"/>
      <c r="G3386" s="10"/>
      <c r="I3386" s="436" t="s">
        <v>6400</v>
      </c>
      <c r="J3386" s="26" t="s">
        <v>10402</v>
      </c>
      <c r="K3386" s="10">
        <v>7.0999999999999994E-2</v>
      </c>
      <c r="L3386" s="73">
        <f>IF(Tank1!$C$23="No control",(SUMIF(Tank1!$B$32:$B$49,$J3386,Tank1!$C$32:$C$49)*Impacts!$F$8),0)</f>
        <v>0</v>
      </c>
      <c r="M3386" s="10">
        <f>IF(Tank2!$C$23="No control",(SUMIF(Tank2!$B$32:$B$49,$J3386,Tank2!$C$32:$C$49)*Impacts!$F$9),0)</f>
        <v>0</v>
      </c>
      <c r="N3386" s="10">
        <f>IF(Tank3!$C$23="No control",(SUMIF(Tank3!$B$32:$B$49,$J3386,Tank3!$C$32:$C$49)*Impacts!$F$10),0)</f>
        <v>0</v>
      </c>
      <c r="O3386" s="10">
        <f>IF(Tank4!$C$23="No control",(SUMIF(Tank4!$B$32:$B$49,$J3386,Tank4!$C$32:$C$49)*Impacts!$F$11),0)</f>
        <v>0</v>
      </c>
      <c r="P3386" s="10">
        <f>IF(Tank5!$C$23="No control",(SUMIF(Tank5!$B$32:$B$49,$J3386,Tank5!$C$32:$C$49)*Impacts!$F$12),0)</f>
        <v>0</v>
      </c>
      <c r="Q3386" s="10">
        <f>IFERROR(IF(('Loading-drum,tote'!$C$21)="No control",SUMIF(('Loading-drum,tote'!$B$31:$B$48),$J3386,('Loading-drum,tote'!$D$31:$D$48))*Impacts!$F$13,IF(('Loading-drum,tote'!$C$21)&lt;&gt;"No control",SUMIF(('Loading-drum,tote'!$B$31:$B$48),$J3386,('Loading-drum,tote'!$E$31:$E$48))*Impacts!$F$13,0)),0)</f>
        <v>0</v>
      </c>
      <c r="R3386" s="10">
        <f>IFERROR(IF(('Loading-truck'!$C$21)="No control",SUMIF(('Loading-truck'!$B$31:$B$48),$J3386,('Loading-truck'!$D$31:$D$48))*Impacts!$F$14,IF(('Loading-truck'!$C$21)&lt;&gt;"No control",SUMIF(('Loading-truck'!$B$31:$B$48),$J3386,('Loading-truck'!$E$31:$E$48))*Impacts!$F$14,0)),0)</f>
        <v>0</v>
      </c>
      <c r="S3386" s="10">
        <f>IFERROR(IF(('Loading-rail'!$C$21)="No control",SUMIF(('Loading-rail'!$B$31:$B$48),$J3386,('Loading-rail'!$D$31:$D$48))*Impacts!$F$15,IF(('Loading-rail'!$C$21)&lt;&gt;"No control",SUMIF(('Loading-rail'!$B$31:$B$48),$J3386,('Loading-rail'!$E$31:$E$48))*Impacts!$F$15,0)),0)</f>
        <v>0</v>
      </c>
      <c r="T3386" s="10">
        <f>IF(Flare!$C$7="",0,(SUMIF(Flare!$B$46:$B$185,$J3386,Flare!$E$46:$E$185)*Impacts!$F$16))</f>
        <v>0</v>
      </c>
      <c r="U3386" s="10">
        <f>IF(VCU!$C$9="",0,(SUMIF(VCU!$B$51:$B$193,$J3386,VCU!$E$51:$E$193)*Impacts!$F$17))</f>
        <v>0</v>
      </c>
      <c r="V3386" s="10">
        <f>IF(CAS!$C$7="",0,(SUMIF(CAS!$B$31:$B$167,$J3386,CAS!$E$31:$E$167)*Impacts!$F$18))</f>
        <v>0</v>
      </c>
      <c r="W3386" s="10">
        <f t="shared" si="93"/>
        <v>0</v>
      </c>
      <c r="AK3386" s="10" t="str">
        <f t="array" ref="AK3386">IFERROR(INDEX(SelectedSpecies,SMALL(IF(SelectedSpecies=AK$1,ROW(SelectedSpecies)),ROW(3387:3387)),2),"")</f>
        <v/>
      </c>
      <c r="BE3386" s="10"/>
      <c r="BI3386" s="10"/>
    </row>
    <row r="3387" spans="1:61" ht="21" customHeight="1" x14ac:dyDescent="0.25">
      <c r="A3387" s="10"/>
      <c r="B3387" s="10"/>
      <c r="E3387" s="10"/>
      <c r="G3387" s="10"/>
      <c r="I3387" s="436" t="s">
        <v>5195</v>
      </c>
      <c r="J3387" s="26" t="s">
        <v>5194</v>
      </c>
      <c r="K3387" s="10">
        <v>2</v>
      </c>
      <c r="L3387" s="73">
        <f>IF(Tank1!$C$23="No control",(SUMIF(Tank1!$B$32:$B$49,$J3387,Tank1!$C$32:$C$49)*Impacts!$F$8),0)</f>
        <v>0</v>
      </c>
      <c r="M3387" s="10">
        <f>IF(Tank2!$C$23="No control",(SUMIF(Tank2!$B$32:$B$49,$J3387,Tank2!$C$32:$C$49)*Impacts!$F$9),0)</f>
        <v>0</v>
      </c>
      <c r="N3387" s="10">
        <f>IF(Tank3!$C$23="No control",(SUMIF(Tank3!$B$32:$B$49,$J3387,Tank3!$C$32:$C$49)*Impacts!$F$10),0)</f>
        <v>0</v>
      </c>
      <c r="O3387" s="10">
        <f>IF(Tank4!$C$23="No control",(SUMIF(Tank4!$B$32:$B$49,$J3387,Tank4!$C$32:$C$49)*Impacts!$F$11),0)</f>
        <v>0</v>
      </c>
      <c r="P3387" s="10">
        <f>IF(Tank5!$C$23="No control",(SUMIF(Tank5!$B$32:$B$49,$J3387,Tank5!$C$32:$C$49)*Impacts!$F$12),0)</f>
        <v>0</v>
      </c>
      <c r="Q3387" s="10">
        <f>IFERROR(IF(('Loading-drum,tote'!$C$21)="No control",SUMIF(('Loading-drum,tote'!$B$31:$B$48),$J3387,('Loading-drum,tote'!$D$31:$D$48))*Impacts!$F$13,IF(('Loading-drum,tote'!$C$21)&lt;&gt;"No control",SUMIF(('Loading-drum,tote'!$B$31:$B$48),$J3387,('Loading-drum,tote'!$E$31:$E$48))*Impacts!$F$13,0)),0)</f>
        <v>0</v>
      </c>
      <c r="R3387" s="10">
        <f>IFERROR(IF(('Loading-truck'!$C$21)="No control",SUMIF(('Loading-truck'!$B$31:$B$48),$J3387,('Loading-truck'!$D$31:$D$48))*Impacts!$F$14,IF(('Loading-truck'!$C$21)&lt;&gt;"No control",SUMIF(('Loading-truck'!$B$31:$B$48),$J3387,('Loading-truck'!$E$31:$E$48))*Impacts!$F$14,0)),0)</f>
        <v>0</v>
      </c>
      <c r="S3387" s="10">
        <f>IFERROR(IF(('Loading-rail'!$C$21)="No control",SUMIF(('Loading-rail'!$B$31:$B$48),$J3387,('Loading-rail'!$D$31:$D$48))*Impacts!$F$15,IF(('Loading-rail'!$C$21)&lt;&gt;"No control",SUMIF(('Loading-rail'!$B$31:$B$48),$J3387,('Loading-rail'!$E$31:$E$48))*Impacts!$F$15,0)),0)</f>
        <v>0</v>
      </c>
      <c r="T3387" s="10">
        <f>IF(Flare!$C$7="",0,(SUMIF(Flare!$B$46:$B$185,$J3387,Flare!$E$46:$E$185)*Impacts!$F$16))</f>
        <v>0</v>
      </c>
      <c r="U3387" s="10">
        <f>IF(VCU!$C$9="",0,(SUMIF(VCU!$B$51:$B$193,$J3387,VCU!$E$51:$E$193)*Impacts!$F$17))</f>
        <v>0</v>
      </c>
      <c r="V3387" s="10">
        <f>IF(CAS!$C$7="",0,(SUMIF(CAS!$B$31:$B$167,$J3387,CAS!$E$31:$E$167)*Impacts!$F$18))</f>
        <v>0</v>
      </c>
      <c r="W3387" s="10">
        <f t="shared" si="93"/>
        <v>0</v>
      </c>
      <c r="AK3387" s="10" t="str">
        <f t="array" ref="AK3387">IFERROR(INDEX(SelectedSpecies,SMALL(IF(SelectedSpecies=AK$1,ROW(SelectedSpecies)),ROW(3388:3388)),2),"")</f>
        <v/>
      </c>
      <c r="BE3387" s="10"/>
      <c r="BI3387" s="10"/>
    </row>
    <row r="3388" spans="1:61" ht="21" customHeight="1" x14ac:dyDescent="0.25">
      <c r="A3388" s="10"/>
      <c r="B3388" s="10"/>
      <c r="E3388" s="10"/>
      <c r="G3388" s="10"/>
      <c r="I3388" s="436" t="s">
        <v>6334</v>
      </c>
      <c r="J3388" s="26" t="s">
        <v>6333</v>
      </c>
      <c r="K3388" s="10">
        <v>0.9</v>
      </c>
      <c r="L3388" s="73">
        <f>IF(Tank1!$C$23="No control",(SUMIF(Tank1!$B$32:$B$49,$J3388,Tank1!$C$32:$C$49)*Impacts!$F$8),0)</f>
        <v>0</v>
      </c>
      <c r="M3388" s="10">
        <f>IF(Tank2!$C$23="No control",(SUMIF(Tank2!$B$32:$B$49,$J3388,Tank2!$C$32:$C$49)*Impacts!$F$9),0)</f>
        <v>0</v>
      </c>
      <c r="N3388" s="10">
        <f>IF(Tank3!$C$23="No control",(SUMIF(Tank3!$B$32:$B$49,$J3388,Tank3!$C$32:$C$49)*Impacts!$F$10),0)</f>
        <v>0</v>
      </c>
      <c r="O3388" s="10">
        <f>IF(Tank4!$C$23="No control",(SUMIF(Tank4!$B$32:$B$49,$J3388,Tank4!$C$32:$C$49)*Impacts!$F$11),0)</f>
        <v>0</v>
      </c>
      <c r="P3388" s="10">
        <f>IF(Tank5!$C$23="No control",(SUMIF(Tank5!$B$32:$B$49,$J3388,Tank5!$C$32:$C$49)*Impacts!$F$12),0)</f>
        <v>0</v>
      </c>
      <c r="Q3388" s="10">
        <f>IFERROR(IF(('Loading-drum,tote'!$C$21)="No control",SUMIF(('Loading-drum,tote'!$B$31:$B$48),$J3388,('Loading-drum,tote'!$D$31:$D$48))*Impacts!$F$13,IF(('Loading-drum,tote'!$C$21)&lt;&gt;"No control",SUMIF(('Loading-drum,tote'!$B$31:$B$48),$J3388,('Loading-drum,tote'!$E$31:$E$48))*Impacts!$F$13,0)),0)</f>
        <v>0</v>
      </c>
      <c r="R3388" s="10">
        <f>IFERROR(IF(('Loading-truck'!$C$21)="No control",SUMIF(('Loading-truck'!$B$31:$B$48),$J3388,('Loading-truck'!$D$31:$D$48))*Impacts!$F$14,IF(('Loading-truck'!$C$21)&lt;&gt;"No control",SUMIF(('Loading-truck'!$B$31:$B$48),$J3388,('Loading-truck'!$E$31:$E$48))*Impacts!$F$14,0)),0)</f>
        <v>0</v>
      </c>
      <c r="S3388" s="10">
        <f>IFERROR(IF(('Loading-rail'!$C$21)="No control",SUMIF(('Loading-rail'!$B$31:$B$48),$J3388,('Loading-rail'!$D$31:$D$48))*Impacts!$F$15,IF(('Loading-rail'!$C$21)&lt;&gt;"No control",SUMIF(('Loading-rail'!$B$31:$B$48),$J3388,('Loading-rail'!$E$31:$E$48))*Impacts!$F$15,0)),0)</f>
        <v>0</v>
      </c>
      <c r="T3388" s="10">
        <f>IF(Flare!$C$7="",0,(SUMIF(Flare!$B$46:$B$185,$J3388,Flare!$E$46:$E$185)*Impacts!$F$16))</f>
        <v>0</v>
      </c>
      <c r="U3388" s="10">
        <f>IF(VCU!$C$9="",0,(SUMIF(VCU!$B$51:$B$193,$J3388,VCU!$E$51:$E$193)*Impacts!$F$17))</f>
        <v>0</v>
      </c>
      <c r="V3388" s="10">
        <f>IF(CAS!$C$7="",0,(SUMIF(CAS!$B$31:$B$167,$J3388,CAS!$E$31:$E$167)*Impacts!$F$18))</f>
        <v>0</v>
      </c>
      <c r="W3388" s="10">
        <f t="shared" si="93"/>
        <v>0</v>
      </c>
      <c r="AK3388" s="10" t="str">
        <f t="array" ref="AK3388">IFERROR(INDEX(SelectedSpecies,SMALL(IF(SelectedSpecies=AK$1,ROW(SelectedSpecies)),ROW(3389:3389)),2),"")</f>
        <v/>
      </c>
      <c r="BE3388" s="10"/>
      <c r="BI3388" s="10"/>
    </row>
    <row r="3389" spans="1:61" ht="21" customHeight="1" x14ac:dyDescent="0.25">
      <c r="A3389" s="10"/>
      <c r="B3389" s="10"/>
      <c r="E3389" s="10"/>
      <c r="G3389" s="10"/>
      <c r="I3389" s="436" t="s">
        <v>4779</v>
      </c>
      <c r="J3389" s="26" t="s">
        <v>4778</v>
      </c>
      <c r="K3389" s="10">
        <v>3.4000000000000004</v>
      </c>
      <c r="L3389" s="73">
        <f>IF(Tank1!$C$23="No control",(SUMIF(Tank1!$B$32:$B$49,$J3389,Tank1!$C$32:$C$49)*Impacts!$F$8),0)</f>
        <v>0</v>
      </c>
      <c r="M3389" s="10">
        <f>IF(Tank2!$C$23="No control",(SUMIF(Tank2!$B$32:$B$49,$J3389,Tank2!$C$32:$C$49)*Impacts!$F$9),0)</f>
        <v>0</v>
      </c>
      <c r="N3389" s="10">
        <f>IF(Tank3!$C$23="No control",(SUMIF(Tank3!$B$32:$B$49,$J3389,Tank3!$C$32:$C$49)*Impacts!$F$10),0)</f>
        <v>0</v>
      </c>
      <c r="O3389" s="10">
        <f>IF(Tank4!$C$23="No control",(SUMIF(Tank4!$B$32:$B$49,$J3389,Tank4!$C$32:$C$49)*Impacts!$F$11),0)</f>
        <v>0</v>
      </c>
      <c r="P3389" s="10">
        <f>IF(Tank5!$C$23="No control",(SUMIF(Tank5!$B$32:$B$49,$J3389,Tank5!$C$32:$C$49)*Impacts!$F$12),0)</f>
        <v>0</v>
      </c>
      <c r="Q3389" s="10">
        <f>IFERROR(IF(('Loading-drum,tote'!$C$21)="No control",SUMIF(('Loading-drum,tote'!$B$31:$B$48),$J3389,('Loading-drum,tote'!$D$31:$D$48))*Impacts!$F$13,IF(('Loading-drum,tote'!$C$21)&lt;&gt;"No control",SUMIF(('Loading-drum,tote'!$B$31:$B$48),$J3389,('Loading-drum,tote'!$E$31:$E$48))*Impacts!$F$13,0)),0)</f>
        <v>0</v>
      </c>
      <c r="R3389" s="10">
        <f>IFERROR(IF(('Loading-truck'!$C$21)="No control",SUMIF(('Loading-truck'!$B$31:$B$48),$J3389,('Loading-truck'!$D$31:$D$48))*Impacts!$F$14,IF(('Loading-truck'!$C$21)&lt;&gt;"No control",SUMIF(('Loading-truck'!$B$31:$B$48),$J3389,('Loading-truck'!$E$31:$E$48))*Impacts!$F$14,0)),0)</f>
        <v>0</v>
      </c>
      <c r="S3389" s="10">
        <f>IFERROR(IF(('Loading-rail'!$C$21)="No control",SUMIF(('Loading-rail'!$B$31:$B$48),$J3389,('Loading-rail'!$D$31:$D$48))*Impacts!$F$15,IF(('Loading-rail'!$C$21)&lt;&gt;"No control",SUMIF(('Loading-rail'!$B$31:$B$48),$J3389,('Loading-rail'!$E$31:$E$48))*Impacts!$F$15,0)),0)</f>
        <v>0</v>
      </c>
      <c r="T3389" s="10">
        <f>IF(Flare!$C$7="",0,(SUMIF(Flare!$B$46:$B$185,$J3389,Flare!$E$46:$E$185)*Impacts!$F$16))</f>
        <v>0</v>
      </c>
      <c r="U3389" s="10">
        <f>IF(VCU!$C$9="",0,(SUMIF(VCU!$B$51:$B$193,$J3389,VCU!$E$51:$E$193)*Impacts!$F$17))</f>
        <v>0</v>
      </c>
      <c r="V3389" s="10">
        <f>IF(CAS!$C$7="",0,(SUMIF(CAS!$B$31:$B$167,$J3389,CAS!$E$31:$E$167)*Impacts!$F$18))</f>
        <v>0</v>
      </c>
      <c r="W3389" s="10">
        <f t="shared" si="93"/>
        <v>0</v>
      </c>
      <c r="AK3389" s="10" t="str">
        <f t="array" ref="AK3389">IFERROR(INDEX(SelectedSpecies,SMALL(IF(SelectedSpecies=AK$1,ROW(SelectedSpecies)),ROW(3390:3390)),2),"")</f>
        <v/>
      </c>
      <c r="BE3389" s="10"/>
      <c r="BI3389" s="10"/>
    </row>
    <row r="3390" spans="1:61" ht="21" customHeight="1" x14ac:dyDescent="0.25">
      <c r="A3390" s="10"/>
      <c r="B3390" s="10"/>
      <c r="E3390" s="10"/>
      <c r="G3390" s="10"/>
      <c r="I3390" s="436" t="s">
        <v>4445</v>
      </c>
      <c r="J3390" s="26" t="s">
        <v>4444</v>
      </c>
      <c r="K3390" s="10">
        <v>4.5</v>
      </c>
      <c r="L3390" s="73">
        <f>IF(Tank1!$C$23="No control",(SUMIF(Tank1!$B$32:$B$49,$J3390,Tank1!$C$32:$C$49)*Impacts!$F$8),0)</f>
        <v>0</v>
      </c>
      <c r="M3390" s="10">
        <f>IF(Tank2!$C$23="No control",(SUMIF(Tank2!$B$32:$B$49,$J3390,Tank2!$C$32:$C$49)*Impacts!$F$9),0)</f>
        <v>0</v>
      </c>
      <c r="N3390" s="10">
        <f>IF(Tank3!$C$23="No control",(SUMIF(Tank3!$B$32:$B$49,$J3390,Tank3!$C$32:$C$49)*Impacts!$F$10),0)</f>
        <v>0</v>
      </c>
      <c r="O3390" s="10">
        <f>IF(Tank4!$C$23="No control",(SUMIF(Tank4!$B$32:$B$49,$J3390,Tank4!$C$32:$C$49)*Impacts!$F$11),0)</f>
        <v>0</v>
      </c>
      <c r="P3390" s="10">
        <f>IF(Tank5!$C$23="No control",(SUMIF(Tank5!$B$32:$B$49,$J3390,Tank5!$C$32:$C$49)*Impacts!$F$12),0)</f>
        <v>0</v>
      </c>
      <c r="Q3390" s="10">
        <f>IFERROR(IF(('Loading-drum,tote'!$C$21)="No control",SUMIF(('Loading-drum,tote'!$B$31:$B$48),$J3390,('Loading-drum,tote'!$D$31:$D$48))*Impacts!$F$13,IF(('Loading-drum,tote'!$C$21)&lt;&gt;"No control",SUMIF(('Loading-drum,tote'!$B$31:$B$48),$J3390,('Loading-drum,tote'!$E$31:$E$48))*Impacts!$F$13,0)),0)</f>
        <v>0</v>
      </c>
      <c r="R3390" s="10">
        <f>IFERROR(IF(('Loading-truck'!$C$21)="No control",SUMIF(('Loading-truck'!$B$31:$B$48),$J3390,('Loading-truck'!$D$31:$D$48))*Impacts!$F$14,IF(('Loading-truck'!$C$21)&lt;&gt;"No control",SUMIF(('Loading-truck'!$B$31:$B$48),$J3390,('Loading-truck'!$E$31:$E$48))*Impacts!$F$14,0)),0)</f>
        <v>0</v>
      </c>
      <c r="S3390" s="10">
        <f>IFERROR(IF(('Loading-rail'!$C$21)="No control",SUMIF(('Loading-rail'!$B$31:$B$48),$J3390,('Loading-rail'!$D$31:$D$48))*Impacts!$F$15,IF(('Loading-rail'!$C$21)&lt;&gt;"No control",SUMIF(('Loading-rail'!$B$31:$B$48),$J3390,('Loading-rail'!$E$31:$E$48))*Impacts!$F$15,0)),0)</f>
        <v>0</v>
      </c>
      <c r="T3390" s="10">
        <f>IF(Flare!$C$7="",0,(SUMIF(Flare!$B$46:$B$185,$J3390,Flare!$E$46:$E$185)*Impacts!$F$16))</f>
        <v>0</v>
      </c>
      <c r="U3390" s="10">
        <f>IF(VCU!$C$9="",0,(SUMIF(VCU!$B$51:$B$193,$J3390,VCU!$E$51:$E$193)*Impacts!$F$17))</f>
        <v>0</v>
      </c>
      <c r="V3390" s="10">
        <f>IF(CAS!$C$7="",0,(SUMIF(CAS!$B$31:$B$167,$J3390,CAS!$E$31:$E$167)*Impacts!$F$18))</f>
        <v>0</v>
      </c>
      <c r="W3390" s="10">
        <f t="shared" si="93"/>
        <v>0</v>
      </c>
      <c r="AK3390" s="10" t="str">
        <f t="array" ref="AK3390">IFERROR(INDEX(SelectedSpecies,SMALL(IF(SelectedSpecies=AK$1,ROW(SelectedSpecies)),ROW(3391:3391)),2),"")</f>
        <v/>
      </c>
      <c r="BE3390" s="10"/>
      <c r="BI3390" s="10"/>
    </row>
    <row r="3391" spans="1:61" ht="21" customHeight="1" x14ac:dyDescent="0.25">
      <c r="A3391" s="10"/>
      <c r="B3391" s="10"/>
      <c r="E3391" s="10"/>
      <c r="G3391" s="10"/>
      <c r="I3391" s="436" t="s">
        <v>7654</v>
      </c>
      <c r="J3391" s="26" t="s">
        <v>7653</v>
      </c>
      <c r="K3391" s="10">
        <v>0.13</v>
      </c>
      <c r="L3391" s="73">
        <f>IF(Tank1!$C$23="No control",(SUMIF(Tank1!$B$32:$B$49,$J3391,Tank1!$C$32:$C$49)*Impacts!$F$8),0)</f>
        <v>0</v>
      </c>
      <c r="M3391" s="10">
        <f>IF(Tank2!$C$23="No control",(SUMIF(Tank2!$B$32:$B$49,$J3391,Tank2!$C$32:$C$49)*Impacts!$F$9),0)</f>
        <v>0</v>
      </c>
      <c r="N3391" s="10">
        <f>IF(Tank3!$C$23="No control",(SUMIF(Tank3!$B$32:$B$49,$J3391,Tank3!$C$32:$C$49)*Impacts!$F$10),0)</f>
        <v>0</v>
      </c>
      <c r="O3391" s="10">
        <f>IF(Tank4!$C$23="No control",(SUMIF(Tank4!$B$32:$B$49,$J3391,Tank4!$C$32:$C$49)*Impacts!$F$11),0)</f>
        <v>0</v>
      </c>
      <c r="P3391" s="10">
        <f>IF(Tank5!$C$23="No control",(SUMIF(Tank5!$B$32:$B$49,$J3391,Tank5!$C$32:$C$49)*Impacts!$F$12),0)</f>
        <v>0</v>
      </c>
      <c r="Q3391" s="10">
        <f>IFERROR(IF(('Loading-drum,tote'!$C$21)="No control",SUMIF(('Loading-drum,tote'!$B$31:$B$48),$J3391,('Loading-drum,tote'!$D$31:$D$48))*Impacts!$F$13,IF(('Loading-drum,tote'!$C$21)&lt;&gt;"No control",SUMIF(('Loading-drum,tote'!$B$31:$B$48),$J3391,('Loading-drum,tote'!$E$31:$E$48))*Impacts!$F$13,0)),0)</f>
        <v>0</v>
      </c>
      <c r="R3391" s="10">
        <f>IFERROR(IF(('Loading-truck'!$C$21)="No control",SUMIF(('Loading-truck'!$B$31:$B$48),$J3391,('Loading-truck'!$D$31:$D$48))*Impacts!$F$14,IF(('Loading-truck'!$C$21)&lt;&gt;"No control",SUMIF(('Loading-truck'!$B$31:$B$48),$J3391,('Loading-truck'!$E$31:$E$48))*Impacts!$F$14,0)),0)</f>
        <v>0</v>
      </c>
      <c r="S3391" s="10">
        <f>IFERROR(IF(('Loading-rail'!$C$21)="No control",SUMIF(('Loading-rail'!$B$31:$B$48),$J3391,('Loading-rail'!$D$31:$D$48))*Impacts!$F$15,IF(('Loading-rail'!$C$21)&lt;&gt;"No control",SUMIF(('Loading-rail'!$B$31:$B$48),$J3391,('Loading-rail'!$E$31:$E$48))*Impacts!$F$15,0)),0)</f>
        <v>0</v>
      </c>
      <c r="T3391" s="10">
        <f>IF(Flare!$C$7="",0,(SUMIF(Flare!$B$46:$B$185,$J3391,Flare!$E$46:$E$185)*Impacts!$F$16))</f>
        <v>0</v>
      </c>
      <c r="U3391" s="10">
        <f>IF(VCU!$C$9="",0,(SUMIF(VCU!$B$51:$B$193,$J3391,VCU!$E$51:$E$193)*Impacts!$F$17))</f>
        <v>0</v>
      </c>
      <c r="V3391" s="10">
        <f>IF(CAS!$C$7="",0,(SUMIF(CAS!$B$31:$B$167,$J3391,CAS!$E$31:$E$167)*Impacts!$F$18))</f>
        <v>0</v>
      </c>
      <c r="W3391" s="10">
        <f t="shared" si="93"/>
        <v>0</v>
      </c>
      <c r="AK3391" s="10" t="str">
        <f t="array" ref="AK3391">IFERROR(INDEX(SelectedSpecies,SMALL(IF(SelectedSpecies=AK$1,ROW(SelectedSpecies)),ROW(3392:3392)),2),"")</f>
        <v/>
      </c>
      <c r="BE3391" s="10"/>
      <c r="BI3391" s="10"/>
    </row>
    <row r="3392" spans="1:61" ht="21" customHeight="1" x14ac:dyDescent="0.25">
      <c r="A3392" s="10"/>
      <c r="B3392" s="10"/>
      <c r="E3392" s="10"/>
      <c r="G3392" s="10"/>
      <c r="I3392" s="436" t="s">
        <v>1166</v>
      </c>
      <c r="J3392" s="26" t="s">
        <v>1165</v>
      </c>
      <c r="K3392" s="10">
        <v>35</v>
      </c>
      <c r="L3392" s="73">
        <f>IF(Tank1!$C$23="No control",(SUMIF(Tank1!$B$32:$B$49,$J3392,Tank1!$C$32:$C$49)*Impacts!$F$8),0)</f>
        <v>0</v>
      </c>
      <c r="M3392" s="10">
        <f>IF(Tank2!$C$23="No control",(SUMIF(Tank2!$B$32:$B$49,$J3392,Tank2!$C$32:$C$49)*Impacts!$F$9),0)</f>
        <v>0</v>
      </c>
      <c r="N3392" s="10">
        <f>IF(Tank3!$C$23="No control",(SUMIF(Tank3!$B$32:$B$49,$J3392,Tank3!$C$32:$C$49)*Impacts!$F$10),0)</f>
        <v>0</v>
      </c>
      <c r="O3392" s="10">
        <f>IF(Tank4!$C$23="No control",(SUMIF(Tank4!$B$32:$B$49,$J3392,Tank4!$C$32:$C$49)*Impacts!$F$11),0)</f>
        <v>0</v>
      </c>
      <c r="P3392" s="10">
        <f>IF(Tank5!$C$23="No control",(SUMIF(Tank5!$B$32:$B$49,$J3392,Tank5!$C$32:$C$49)*Impacts!$F$12),0)</f>
        <v>0</v>
      </c>
      <c r="Q3392" s="10">
        <f>IFERROR(IF(('Loading-drum,tote'!$C$21)="No control",SUMIF(('Loading-drum,tote'!$B$31:$B$48),$J3392,('Loading-drum,tote'!$D$31:$D$48))*Impacts!$F$13,IF(('Loading-drum,tote'!$C$21)&lt;&gt;"No control",SUMIF(('Loading-drum,tote'!$B$31:$B$48),$J3392,('Loading-drum,tote'!$E$31:$E$48))*Impacts!$F$13,0)),0)</f>
        <v>0</v>
      </c>
      <c r="R3392" s="10">
        <f>IFERROR(IF(('Loading-truck'!$C$21)="No control",SUMIF(('Loading-truck'!$B$31:$B$48),$J3392,('Loading-truck'!$D$31:$D$48))*Impacts!$F$14,IF(('Loading-truck'!$C$21)&lt;&gt;"No control",SUMIF(('Loading-truck'!$B$31:$B$48),$J3392,('Loading-truck'!$E$31:$E$48))*Impacts!$F$14,0)),0)</f>
        <v>0</v>
      </c>
      <c r="S3392" s="10">
        <f>IFERROR(IF(('Loading-rail'!$C$21)="No control",SUMIF(('Loading-rail'!$B$31:$B$48),$J3392,('Loading-rail'!$D$31:$D$48))*Impacts!$F$15,IF(('Loading-rail'!$C$21)&lt;&gt;"No control",SUMIF(('Loading-rail'!$B$31:$B$48),$J3392,('Loading-rail'!$E$31:$E$48))*Impacts!$F$15,0)),0)</f>
        <v>0</v>
      </c>
      <c r="T3392" s="10">
        <f>IF(Flare!$C$7="",0,(SUMIF(Flare!$B$46:$B$185,$J3392,Flare!$E$46:$E$185)*Impacts!$F$16))</f>
        <v>0</v>
      </c>
      <c r="U3392" s="10">
        <f>IF(VCU!$C$9="",0,(SUMIF(VCU!$B$51:$B$193,$J3392,VCU!$E$51:$E$193)*Impacts!$F$17))</f>
        <v>0</v>
      </c>
      <c r="V3392" s="10">
        <f>IF(CAS!$C$7="",0,(SUMIF(CAS!$B$31:$B$167,$J3392,CAS!$E$31:$E$167)*Impacts!$F$18))</f>
        <v>0</v>
      </c>
      <c r="W3392" s="10">
        <f t="shared" si="93"/>
        <v>0</v>
      </c>
      <c r="AK3392" s="10" t="str">
        <f t="array" ref="AK3392">IFERROR(INDEX(SelectedSpecies,SMALL(IF(SelectedSpecies=AK$1,ROW(SelectedSpecies)),ROW(3393:3393)),2),"")</f>
        <v/>
      </c>
      <c r="BE3392" s="10"/>
      <c r="BI3392" s="10"/>
    </row>
    <row r="3393" spans="1:61" ht="21" customHeight="1" x14ac:dyDescent="0.25">
      <c r="A3393" s="10"/>
      <c r="B3393" s="10"/>
      <c r="E3393" s="10"/>
      <c r="G3393" s="10"/>
      <c r="I3393" s="436" t="s">
        <v>383</v>
      </c>
      <c r="J3393" s="26" t="s">
        <v>382</v>
      </c>
      <c r="K3393" s="10">
        <v>300</v>
      </c>
      <c r="L3393" s="73">
        <f>IF(Tank1!$C$23="No control",(SUMIF(Tank1!$B$32:$B$49,$J3393,Tank1!$C$32:$C$49)*Impacts!$F$8),0)</f>
        <v>0</v>
      </c>
      <c r="M3393" s="10">
        <f>IF(Tank2!$C$23="No control",(SUMIF(Tank2!$B$32:$B$49,$J3393,Tank2!$C$32:$C$49)*Impacts!$F$9),0)</f>
        <v>0</v>
      </c>
      <c r="N3393" s="10">
        <f>IF(Tank3!$C$23="No control",(SUMIF(Tank3!$B$32:$B$49,$J3393,Tank3!$C$32:$C$49)*Impacts!$F$10),0)</f>
        <v>0</v>
      </c>
      <c r="O3393" s="10">
        <f>IF(Tank4!$C$23="No control",(SUMIF(Tank4!$B$32:$B$49,$J3393,Tank4!$C$32:$C$49)*Impacts!$F$11),0)</f>
        <v>0</v>
      </c>
      <c r="P3393" s="10">
        <f>IF(Tank5!$C$23="No control",(SUMIF(Tank5!$B$32:$B$49,$J3393,Tank5!$C$32:$C$49)*Impacts!$F$12),0)</f>
        <v>0</v>
      </c>
      <c r="Q3393" s="10">
        <f>IFERROR(IF(('Loading-drum,tote'!$C$21)="No control",SUMIF(('Loading-drum,tote'!$B$31:$B$48),$J3393,('Loading-drum,tote'!$D$31:$D$48))*Impacts!$F$13,IF(('Loading-drum,tote'!$C$21)&lt;&gt;"No control",SUMIF(('Loading-drum,tote'!$B$31:$B$48),$J3393,('Loading-drum,tote'!$E$31:$E$48))*Impacts!$F$13,0)),0)</f>
        <v>0</v>
      </c>
      <c r="R3393" s="10">
        <f>IFERROR(IF(('Loading-truck'!$C$21)="No control",SUMIF(('Loading-truck'!$B$31:$B$48),$J3393,('Loading-truck'!$D$31:$D$48))*Impacts!$F$14,IF(('Loading-truck'!$C$21)&lt;&gt;"No control",SUMIF(('Loading-truck'!$B$31:$B$48),$J3393,('Loading-truck'!$E$31:$E$48))*Impacts!$F$14,0)),0)</f>
        <v>0</v>
      </c>
      <c r="S3393" s="10">
        <f>IFERROR(IF(('Loading-rail'!$C$21)="No control",SUMIF(('Loading-rail'!$B$31:$B$48),$J3393,('Loading-rail'!$D$31:$D$48))*Impacts!$F$15,IF(('Loading-rail'!$C$21)&lt;&gt;"No control",SUMIF(('Loading-rail'!$B$31:$B$48),$J3393,('Loading-rail'!$E$31:$E$48))*Impacts!$F$15,0)),0)</f>
        <v>0</v>
      </c>
      <c r="T3393" s="10">
        <f>IF(Flare!$C$7="",0,(SUMIF(Flare!$B$46:$B$185,$J3393,Flare!$E$46:$E$185)*Impacts!$F$16))</f>
        <v>0</v>
      </c>
      <c r="U3393" s="10">
        <f>IF(VCU!$C$9="",0,(SUMIF(VCU!$B$51:$B$193,$J3393,VCU!$E$51:$E$193)*Impacts!$F$17))</f>
        <v>0</v>
      </c>
      <c r="V3393" s="10">
        <f>IF(CAS!$C$7="",0,(SUMIF(CAS!$B$31:$B$167,$J3393,CAS!$E$31:$E$167)*Impacts!$F$18))</f>
        <v>0</v>
      </c>
      <c r="W3393" s="10">
        <f t="shared" si="93"/>
        <v>0</v>
      </c>
      <c r="AK3393" s="10" t="str">
        <f t="array" ref="AK3393">IFERROR(INDEX(SelectedSpecies,SMALL(IF(SelectedSpecies=AK$1,ROW(SelectedSpecies)),ROW(3394:3394)),2),"")</f>
        <v/>
      </c>
      <c r="BE3393" s="10"/>
      <c r="BI3393" s="10"/>
    </row>
    <row r="3394" spans="1:61" ht="21" customHeight="1" x14ac:dyDescent="0.25">
      <c r="A3394" s="10"/>
      <c r="B3394" s="10"/>
      <c r="E3394" s="10"/>
      <c r="G3394" s="10"/>
      <c r="I3394" s="436" t="s">
        <v>5579</v>
      </c>
      <c r="J3394" s="26" t="s">
        <v>5578</v>
      </c>
      <c r="K3394" s="10">
        <v>1.2000000000000002</v>
      </c>
      <c r="L3394" s="73">
        <f>IF(Tank1!$C$23="No control",(SUMIF(Tank1!$B$32:$B$49,$J3394,Tank1!$C$32:$C$49)*Impacts!$F$8),0)</f>
        <v>0</v>
      </c>
      <c r="M3394" s="10">
        <f>IF(Tank2!$C$23="No control",(SUMIF(Tank2!$B$32:$B$49,$J3394,Tank2!$C$32:$C$49)*Impacts!$F$9),0)</f>
        <v>0</v>
      </c>
      <c r="N3394" s="10">
        <f>IF(Tank3!$C$23="No control",(SUMIF(Tank3!$B$32:$B$49,$J3394,Tank3!$C$32:$C$49)*Impacts!$F$10),0)</f>
        <v>0</v>
      </c>
      <c r="O3394" s="10">
        <f>IF(Tank4!$C$23="No control",(SUMIF(Tank4!$B$32:$B$49,$J3394,Tank4!$C$32:$C$49)*Impacts!$F$11),0)</f>
        <v>0</v>
      </c>
      <c r="P3394" s="10">
        <f>IF(Tank5!$C$23="No control",(SUMIF(Tank5!$B$32:$B$49,$J3394,Tank5!$C$32:$C$49)*Impacts!$F$12),0)</f>
        <v>0</v>
      </c>
      <c r="Q3394" s="10">
        <f>IFERROR(IF(('Loading-drum,tote'!$C$21)="No control",SUMIF(('Loading-drum,tote'!$B$31:$B$48),$J3394,('Loading-drum,tote'!$D$31:$D$48))*Impacts!$F$13,IF(('Loading-drum,tote'!$C$21)&lt;&gt;"No control",SUMIF(('Loading-drum,tote'!$B$31:$B$48),$J3394,('Loading-drum,tote'!$E$31:$E$48))*Impacts!$F$13,0)),0)</f>
        <v>0</v>
      </c>
      <c r="R3394" s="10">
        <f>IFERROR(IF(('Loading-truck'!$C$21)="No control",SUMIF(('Loading-truck'!$B$31:$B$48),$J3394,('Loading-truck'!$D$31:$D$48))*Impacts!$F$14,IF(('Loading-truck'!$C$21)&lt;&gt;"No control",SUMIF(('Loading-truck'!$B$31:$B$48),$J3394,('Loading-truck'!$E$31:$E$48))*Impacts!$F$14,0)),0)</f>
        <v>0</v>
      </c>
      <c r="S3394" s="10">
        <f>IFERROR(IF(('Loading-rail'!$C$21)="No control",SUMIF(('Loading-rail'!$B$31:$B$48),$J3394,('Loading-rail'!$D$31:$D$48))*Impacts!$F$15,IF(('Loading-rail'!$C$21)&lt;&gt;"No control",SUMIF(('Loading-rail'!$B$31:$B$48),$J3394,('Loading-rail'!$E$31:$E$48))*Impacts!$F$15,0)),0)</f>
        <v>0</v>
      </c>
      <c r="T3394" s="10">
        <f>IF(Flare!$C$7="",0,(SUMIF(Flare!$B$46:$B$185,$J3394,Flare!$E$46:$E$185)*Impacts!$F$16))</f>
        <v>0</v>
      </c>
      <c r="U3394" s="10">
        <f>IF(VCU!$C$9="",0,(SUMIF(VCU!$B$51:$B$193,$J3394,VCU!$E$51:$E$193)*Impacts!$F$17))</f>
        <v>0</v>
      </c>
      <c r="V3394" s="10">
        <f>IF(CAS!$C$7="",0,(SUMIF(CAS!$B$31:$B$167,$J3394,CAS!$E$31:$E$167)*Impacts!$F$18))</f>
        <v>0</v>
      </c>
      <c r="W3394" s="10">
        <f t="shared" si="93"/>
        <v>0</v>
      </c>
      <c r="AK3394" s="10" t="str">
        <f t="array" ref="AK3394">IFERROR(INDEX(SelectedSpecies,SMALL(IF(SelectedSpecies=AK$1,ROW(SelectedSpecies)),ROW(3395:3395)),2),"")</f>
        <v/>
      </c>
      <c r="BE3394" s="10"/>
      <c r="BI3394" s="10"/>
    </row>
    <row r="3395" spans="1:61" ht="21" customHeight="1" x14ac:dyDescent="0.25">
      <c r="A3395" s="10"/>
      <c r="B3395" s="10"/>
      <c r="E3395" s="10"/>
      <c r="G3395" s="10"/>
      <c r="I3395" s="436" t="s">
        <v>5295</v>
      </c>
      <c r="J3395" s="26" t="s">
        <v>5294</v>
      </c>
      <c r="K3395" s="10">
        <v>1.8</v>
      </c>
      <c r="L3395" s="73">
        <f>IF(Tank1!$C$23="No control",(SUMIF(Tank1!$B$32:$B$49,$J3395,Tank1!$C$32:$C$49)*Impacts!$F$8),0)</f>
        <v>0</v>
      </c>
      <c r="M3395" s="10">
        <f>IF(Tank2!$C$23="No control",(SUMIF(Tank2!$B$32:$B$49,$J3395,Tank2!$C$32:$C$49)*Impacts!$F$9),0)</f>
        <v>0</v>
      </c>
      <c r="N3395" s="10">
        <f>IF(Tank3!$C$23="No control",(SUMIF(Tank3!$B$32:$B$49,$J3395,Tank3!$C$32:$C$49)*Impacts!$F$10),0)</f>
        <v>0</v>
      </c>
      <c r="O3395" s="10">
        <f>IF(Tank4!$C$23="No control",(SUMIF(Tank4!$B$32:$B$49,$J3395,Tank4!$C$32:$C$49)*Impacts!$F$11),0)</f>
        <v>0</v>
      </c>
      <c r="P3395" s="10">
        <f>IF(Tank5!$C$23="No control",(SUMIF(Tank5!$B$32:$B$49,$J3395,Tank5!$C$32:$C$49)*Impacts!$F$12),0)</f>
        <v>0</v>
      </c>
      <c r="Q3395" s="10">
        <f>IFERROR(IF(('Loading-drum,tote'!$C$21)="No control",SUMIF(('Loading-drum,tote'!$B$31:$B$48),$J3395,('Loading-drum,tote'!$D$31:$D$48))*Impacts!$F$13,IF(('Loading-drum,tote'!$C$21)&lt;&gt;"No control",SUMIF(('Loading-drum,tote'!$B$31:$B$48),$J3395,('Loading-drum,tote'!$E$31:$E$48))*Impacts!$F$13,0)),0)</f>
        <v>0</v>
      </c>
      <c r="R3395" s="10">
        <f>IFERROR(IF(('Loading-truck'!$C$21)="No control",SUMIF(('Loading-truck'!$B$31:$B$48),$J3395,('Loading-truck'!$D$31:$D$48))*Impacts!$F$14,IF(('Loading-truck'!$C$21)&lt;&gt;"No control",SUMIF(('Loading-truck'!$B$31:$B$48),$J3395,('Loading-truck'!$E$31:$E$48))*Impacts!$F$14,0)),0)</f>
        <v>0</v>
      </c>
      <c r="S3395" s="10">
        <f>IFERROR(IF(('Loading-rail'!$C$21)="No control",SUMIF(('Loading-rail'!$B$31:$B$48),$J3395,('Loading-rail'!$D$31:$D$48))*Impacts!$F$15,IF(('Loading-rail'!$C$21)&lt;&gt;"No control",SUMIF(('Loading-rail'!$B$31:$B$48),$J3395,('Loading-rail'!$E$31:$E$48))*Impacts!$F$15,0)),0)</f>
        <v>0</v>
      </c>
      <c r="T3395" s="10">
        <f>IF(Flare!$C$7="",0,(SUMIF(Flare!$B$46:$B$185,$J3395,Flare!$E$46:$E$185)*Impacts!$F$16))</f>
        <v>0</v>
      </c>
      <c r="U3395" s="10">
        <f>IF(VCU!$C$9="",0,(SUMIF(VCU!$B$51:$B$193,$J3395,VCU!$E$51:$E$193)*Impacts!$F$17))</f>
        <v>0</v>
      </c>
      <c r="V3395" s="10">
        <f>IF(CAS!$C$7="",0,(SUMIF(CAS!$B$31:$B$167,$J3395,CAS!$E$31:$E$167)*Impacts!$F$18))</f>
        <v>0</v>
      </c>
      <c r="W3395" s="10">
        <f t="shared" si="93"/>
        <v>0</v>
      </c>
      <c r="AK3395" s="10" t="str">
        <f t="array" ref="AK3395">IFERROR(INDEX(SelectedSpecies,SMALL(IF(SelectedSpecies=AK$1,ROW(SelectedSpecies)),ROW(3396:3396)),2),"")</f>
        <v/>
      </c>
      <c r="BE3395" s="10"/>
      <c r="BI3395" s="10"/>
    </row>
    <row r="3396" spans="1:61" ht="21" customHeight="1" x14ac:dyDescent="0.25">
      <c r="A3396" s="10"/>
      <c r="B3396" s="10"/>
      <c r="E3396" s="10"/>
      <c r="G3396" s="10"/>
      <c r="I3396" s="436" t="s">
        <v>4791</v>
      </c>
      <c r="J3396" s="26" t="s">
        <v>4790</v>
      </c>
      <c r="K3396" s="10">
        <v>3.2</v>
      </c>
      <c r="L3396" s="73">
        <f>IF(Tank1!$C$23="No control",(SUMIF(Tank1!$B$32:$B$49,$J3396,Tank1!$C$32:$C$49)*Impacts!$F$8),0)</f>
        <v>0</v>
      </c>
      <c r="M3396" s="10">
        <f>IF(Tank2!$C$23="No control",(SUMIF(Tank2!$B$32:$B$49,$J3396,Tank2!$C$32:$C$49)*Impacts!$F$9),0)</f>
        <v>0</v>
      </c>
      <c r="N3396" s="10">
        <f>IF(Tank3!$C$23="No control",(SUMIF(Tank3!$B$32:$B$49,$J3396,Tank3!$C$32:$C$49)*Impacts!$F$10),0)</f>
        <v>0</v>
      </c>
      <c r="O3396" s="10">
        <f>IF(Tank4!$C$23="No control",(SUMIF(Tank4!$B$32:$B$49,$J3396,Tank4!$C$32:$C$49)*Impacts!$F$11),0)</f>
        <v>0</v>
      </c>
      <c r="P3396" s="10">
        <f>IF(Tank5!$C$23="No control",(SUMIF(Tank5!$B$32:$B$49,$J3396,Tank5!$C$32:$C$49)*Impacts!$F$12),0)</f>
        <v>0</v>
      </c>
      <c r="Q3396" s="10">
        <f>IFERROR(IF(('Loading-drum,tote'!$C$21)="No control",SUMIF(('Loading-drum,tote'!$B$31:$B$48),$J3396,('Loading-drum,tote'!$D$31:$D$48))*Impacts!$F$13,IF(('Loading-drum,tote'!$C$21)&lt;&gt;"No control",SUMIF(('Loading-drum,tote'!$B$31:$B$48),$J3396,('Loading-drum,tote'!$E$31:$E$48))*Impacts!$F$13,0)),0)</f>
        <v>0</v>
      </c>
      <c r="R3396" s="10">
        <f>IFERROR(IF(('Loading-truck'!$C$21)="No control",SUMIF(('Loading-truck'!$B$31:$B$48),$J3396,('Loading-truck'!$D$31:$D$48))*Impacts!$F$14,IF(('Loading-truck'!$C$21)&lt;&gt;"No control",SUMIF(('Loading-truck'!$B$31:$B$48),$J3396,('Loading-truck'!$E$31:$E$48))*Impacts!$F$14,0)),0)</f>
        <v>0</v>
      </c>
      <c r="S3396" s="10">
        <f>IFERROR(IF(('Loading-rail'!$C$21)="No control",SUMIF(('Loading-rail'!$B$31:$B$48),$J3396,('Loading-rail'!$D$31:$D$48))*Impacts!$F$15,IF(('Loading-rail'!$C$21)&lt;&gt;"No control",SUMIF(('Loading-rail'!$B$31:$B$48),$J3396,('Loading-rail'!$E$31:$E$48))*Impacts!$F$15,0)),0)</f>
        <v>0</v>
      </c>
      <c r="T3396" s="10">
        <f>IF(Flare!$C$7="",0,(SUMIF(Flare!$B$46:$B$185,$J3396,Flare!$E$46:$E$185)*Impacts!$F$16))</f>
        <v>0</v>
      </c>
      <c r="U3396" s="10">
        <f>IF(VCU!$C$9="",0,(SUMIF(VCU!$B$51:$B$193,$J3396,VCU!$E$51:$E$193)*Impacts!$F$17))</f>
        <v>0</v>
      </c>
      <c r="V3396" s="10">
        <f>IF(CAS!$C$7="",0,(SUMIF(CAS!$B$31:$B$167,$J3396,CAS!$E$31:$E$167)*Impacts!$F$18))</f>
        <v>0</v>
      </c>
      <c r="W3396" s="10">
        <f t="shared" si="93"/>
        <v>0</v>
      </c>
      <c r="AK3396" s="10" t="str">
        <f t="array" ref="AK3396">IFERROR(INDEX(SelectedSpecies,SMALL(IF(SelectedSpecies=AK$1,ROW(SelectedSpecies)),ROW(3397:3397)),2),"")</f>
        <v/>
      </c>
      <c r="BE3396" s="10"/>
      <c r="BI3396" s="10"/>
    </row>
    <row r="3397" spans="1:61" ht="21" customHeight="1" x14ac:dyDescent="0.25">
      <c r="A3397" s="10"/>
      <c r="B3397" s="10"/>
      <c r="E3397" s="10"/>
      <c r="G3397" s="10"/>
      <c r="I3397" s="436" t="s">
        <v>3365</v>
      </c>
      <c r="J3397" s="26" t="s">
        <v>3364</v>
      </c>
      <c r="K3397" s="10">
        <v>10</v>
      </c>
      <c r="L3397" s="73">
        <f>IF(Tank1!$C$23="No control",(SUMIF(Tank1!$B$32:$B$49,$J3397,Tank1!$C$32:$C$49)*Impacts!$F$8),0)</f>
        <v>0</v>
      </c>
      <c r="M3397" s="10">
        <f>IF(Tank2!$C$23="No control",(SUMIF(Tank2!$B$32:$B$49,$J3397,Tank2!$C$32:$C$49)*Impacts!$F$9),0)</f>
        <v>0</v>
      </c>
      <c r="N3397" s="10">
        <f>IF(Tank3!$C$23="No control",(SUMIF(Tank3!$B$32:$B$49,$J3397,Tank3!$C$32:$C$49)*Impacts!$F$10),0)</f>
        <v>0</v>
      </c>
      <c r="O3397" s="10">
        <f>IF(Tank4!$C$23="No control",(SUMIF(Tank4!$B$32:$B$49,$J3397,Tank4!$C$32:$C$49)*Impacts!$F$11),0)</f>
        <v>0</v>
      </c>
      <c r="P3397" s="10">
        <f>IF(Tank5!$C$23="No control",(SUMIF(Tank5!$B$32:$B$49,$J3397,Tank5!$C$32:$C$49)*Impacts!$F$12),0)</f>
        <v>0</v>
      </c>
      <c r="Q3397" s="10">
        <f>IFERROR(IF(('Loading-drum,tote'!$C$21)="No control",SUMIF(('Loading-drum,tote'!$B$31:$B$48),$J3397,('Loading-drum,tote'!$D$31:$D$48))*Impacts!$F$13,IF(('Loading-drum,tote'!$C$21)&lt;&gt;"No control",SUMIF(('Loading-drum,tote'!$B$31:$B$48),$J3397,('Loading-drum,tote'!$E$31:$E$48))*Impacts!$F$13,0)),0)</f>
        <v>0</v>
      </c>
      <c r="R3397" s="10">
        <f>IFERROR(IF(('Loading-truck'!$C$21)="No control",SUMIF(('Loading-truck'!$B$31:$B$48),$J3397,('Loading-truck'!$D$31:$D$48))*Impacts!$F$14,IF(('Loading-truck'!$C$21)&lt;&gt;"No control",SUMIF(('Loading-truck'!$B$31:$B$48),$J3397,('Loading-truck'!$E$31:$E$48))*Impacts!$F$14,0)),0)</f>
        <v>0</v>
      </c>
      <c r="S3397" s="10">
        <f>IFERROR(IF(('Loading-rail'!$C$21)="No control",SUMIF(('Loading-rail'!$B$31:$B$48),$J3397,('Loading-rail'!$D$31:$D$48))*Impacts!$F$15,IF(('Loading-rail'!$C$21)&lt;&gt;"No control",SUMIF(('Loading-rail'!$B$31:$B$48),$J3397,('Loading-rail'!$E$31:$E$48))*Impacts!$F$15,0)),0)</f>
        <v>0</v>
      </c>
      <c r="T3397" s="10">
        <f>IF(Flare!$C$7="",0,(SUMIF(Flare!$B$46:$B$185,$J3397,Flare!$E$46:$E$185)*Impacts!$F$16))</f>
        <v>0</v>
      </c>
      <c r="U3397" s="10">
        <f>IF(VCU!$C$9="",0,(SUMIF(VCU!$B$51:$B$193,$J3397,VCU!$E$51:$E$193)*Impacts!$F$17))</f>
        <v>0</v>
      </c>
      <c r="V3397" s="10">
        <f>IF(CAS!$C$7="",0,(SUMIF(CAS!$B$31:$B$167,$J3397,CAS!$E$31:$E$167)*Impacts!$F$18))</f>
        <v>0</v>
      </c>
      <c r="W3397" s="10">
        <f t="shared" si="93"/>
        <v>0</v>
      </c>
      <c r="AK3397" s="10" t="str">
        <f t="array" ref="AK3397">IFERROR(INDEX(SelectedSpecies,SMALL(IF(SelectedSpecies=AK$1,ROW(SelectedSpecies)),ROW(3398:3398)),2),"")</f>
        <v/>
      </c>
      <c r="BE3397" s="10"/>
      <c r="BI3397" s="10"/>
    </row>
    <row r="3398" spans="1:61" ht="21" customHeight="1" x14ac:dyDescent="0.25">
      <c r="A3398" s="10"/>
      <c r="B3398" s="10"/>
      <c r="E3398" s="10"/>
      <c r="G3398" s="10"/>
      <c r="I3398" s="436" t="s">
        <v>4987</v>
      </c>
      <c r="J3398" s="26" t="s">
        <v>4986</v>
      </c>
      <c r="K3398" s="10">
        <v>2.5</v>
      </c>
      <c r="L3398" s="73">
        <f>IF(Tank1!$C$23="No control",(SUMIF(Tank1!$B$32:$B$49,$J3398,Tank1!$C$32:$C$49)*Impacts!$F$8),0)</f>
        <v>0</v>
      </c>
      <c r="M3398" s="10">
        <f>IF(Tank2!$C$23="No control",(SUMIF(Tank2!$B$32:$B$49,$J3398,Tank2!$C$32:$C$49)*Impacts!$F$9),0)</f>
        <v>0</v>
      </c>
      <c r="N3398" s="10">
        <f>IF(Tank3!$C$23="No control",(SUMIF(Tank3!$B$32:$B$49,$J3398,Tank3!$C$32:$C$49)*Impacts!$F$10),0)</f>
        <v>0</v>
      </c>
      <c r="O3398" s="10">
        <f>IF(Tank4!$C$23="No control",(SUMIF(Tank4!$B$32:$B$49,$J3398,Tank4!$C$32:$C$49)*Impacts!$F$11),0)</f>
        <v>0</v>
      </c>
      <c r="P3398" s="10">
        <f>IF(Tank5!$C$23="No control",(SUMIF(Tank5!$B$32:$B$49,$J3398,Tank5!$C$32:$C$49)*Impacts!$F$12),0)</f>
        <v>0</v>
      </c>
      <c r="Q3398" s="10">
        <f>IFERROR(IF(('Loading-drum,tote'!$C$21)="No control",SUMIF(('Loading-drum,tote'!$B$31:$B$48),$J3398,('Loading-drum,tote'!$D$31:$D$48))*Impacts!$F$13,IF(('Loading-drum,tote'!$C$21)&lt;&gt;"No control",SUMIF(('Loading-drum,tote'!$B$31:$B$48),$J3398,('Loading-drum,tote'!$E$31:$E$48))*Impacts!$F$13,0)),0)</f>
        <v>0</v>
      </c>
      <c r="R3398" s="10">
        <f>IFERROR(IF(('Loading-truck'!$C$21)="No control",SUMIF(('Loading-truck'!$B$31:$B$48),$J3398,('Loading-truck'!$D$31:$D$48))*Impacts!$F$14,IF(('Loading-truck'!$C$21)&lt;&gt;"No control",SUMIF(('Loading-truck'!$B$31:$B$48),$J3398,('Loading-truck'!$E$31:$E$48))*Impacts!$F$14,0)),0)</f>
        <v>0</v>
      </c>
      <c r="S3398" s="10">
        <f>IFERROR(IF(('Loading-rail'!$C$21)="No control",SUMIF(('Loading-rail'!$B$31:$B$48),$J3398,('Loading-rail'!$D$31:$D$48))*Impacts!$F$15,IF(('Loading-rail'!$C$21)&lt;&gt;"No control",SUMIF(('Loading-rail'!$B$31:$B$48),$J3398,('Loading-rail'!$E$31:$E$48))*Impacts!$F$15,0)),0)</f>
        <v>0</v>
      </c>
      <c r="T3398" s="10">
        <f>IF(Flare!$C$7="",0,(SUMIF(Flare!$B$46:$B$185,$J3398,Flare!$E$46:$E$185)*Impacts!$F$16))</f>
        <v>0</v>
      </c>
      <c r="U3398" s="10">
        <f>IF(VCU!$C$9="",0,(SUMIF(VCU!$B$51:$B$193,$J3398,VCU!$E$51:$E$193)*Impacts!$F$17))</f>
        <v>0</v>
      </c>
      <c r="V3398" s="10">
        <f>IF(CAS!$C$7="",0,(SUMIF(CAS!$B$31:$B$167,$J3398,CAS!$E$31:$E$167)*Impacts!$F$18))</f>
        <v>0</v>
      </c>
      <c r="W3398" s="10">
        <f t="shared" si="93"/>
        <v>0</v>
      </c>
      <c r="AK3398" s="10" t="str">
        <f t="array" ref="AK3398">IFERROR(INDEX(SelectedSpecies,SMALL(IF(SelectedSpecies=AK$1,ROW(SelectedSpecies)),ROW(3399:3399)),2),"")</f>
        <v/>
      </c>
      <c r="BE3398" s="10"/>
      <c r="BI3398" s="10"/>
    </row>
    <row r="3399" spans="1:61" ht="21" customHeight="1" x14ac:dyDescent="0.25">
      <c r="A3399" s="10"/>
      <c r="B3399" s="10"/>
      <c r="E3399" s="10"/>
      <c r="G3399" s="10"/>
      <c r="I3399" s="436" t="s">
        <v>10403</v>
      </c>
      <c r="J3399" s="26" t="s">
        <v>10404</v>
      </c>
      <c r="K3399" s="10">
        <v>170</v>
      </c>
      <c r="L3399" s="73">
        <f>IF(Tank1!$C$23="No control",(SUMIF(Tank1!$B$32:$B$49,$J3399,Tank1!$C$32:$C$49)*Impacts!$F$8),0)</f>
        <v>0</v>
      </c>
      <c r="M3399" s="10">
        <f>IF(Tank2!$C$23="No control",(SUMIF(Tank2!$B$32:$B$49,$J3399,Tank2!$C$32:$C$49)*Impacts!$F$9),0)</f>
        <v>0</v>
      </c>
      <c r="N3399" s="10">
        <f>IF(Tank3!$C$23="No control",(SUMIF(Tank3!$B$32:$B$49,$J3399,Tank3!$C$32:$C$49)*Impacts!$F$10),0)</f>
        <v>0</v>
      </c>
      <c r="O3399" s="10">
        <f>IF(Tank4!$C$23="No control",(SUMIF(Tank4!$B$32:$B$49,$J3399,Tank4!$C$32:$C$49)*Impacts!$F$11),0)</f>
        <v>0</v>
      </c>
      <c r="P3399" s="10">
        <f>IF(Tank5!$C$23="No control",(SUMIF(Tank5!$B$32:$B$49,$J3399,Tank5!$C$32:$C$49)*Impacts!$F$12),0)</f>
        <v>0</v>
      </c>
      <c r="Q3399" s="10">
        <f>IFERROR(IF(('Loading-drum,tote'!$C$21)="No control",SUMIF(('Loading-drum,tote'!$B$31:$B$48),$J3399,('Loading-drum,tote'!$D$31:$D$48))*Impacts!$F$13,IF(('Loading-drum,tote'!$C$21)&lt;&gt;"No control",SUMIF(('Loading-drum,tote'!$B$31:$B$48),$J3399,('Loading-drum,tote'!$E$31:$E$48))*Impacts!$F$13,0)),0)</f>
        <v>0</v>
      </c>
      <c r="R3399" s="10">
        <f>IFERROR(IF(('Loading-truck'!$C$21)="No control",SUMIF(('Loading-truck'!$B$31:$B$48),$J3399,('Loading-truck'!$D$31:$D$48))*Impacts!$F$14,IF(('Loading-truck'!$C$21)&lt;&gt;"No control",SUMIF(('Loading-truck'!$B$31:$B$48),$J3399,('Loading-truck'!$E$31:$E$48))*Impacts!$F$14,0)),0)</f>
        <v>0</v>
      </c>
      <c r="S3399" s="10">
        <f>IFERROR(IF(('Loading-rail'!$C$21)="No control",SUMIF(('Loading-rail'!$B$31:$B$48),$J3399,('Loading-rail'!$D$31:$D$48))*Impacts!$F$15,IF(('Loading-rail'!$C$21)&lt;&gt;"No control",SUMIF(('Loading-rail'!$B$31:$B$48),$J3399,('Loading-rail'!$E$31:$E$48))*Impacts!$F$15,0)),0)</f>
        <v>0</v>
      </c>
      <c r="T3399" s="10">
        <f>IF(Flare!$C$7="",0,(SUMIF(Flare!$B$46:$B$185,$J3399,Flare!$E$46:$E$185)*Impacts!$F$16))</f>
        <v>0</v>
      </c>
      <c r="U3399" s="10">
        <f>IF(VCU!$C$9="",0,(SUMIF(VCU!$B$51:$B$193,$J3399,VCU!$E$51:$E$193)*Impacts!$F$17))</f>
        <v>0</v>
      </c>
      <c r="V3399" s="10">
        <f>IF(CAS!$C$7="",0,(SUMIF(CAS!$B$31:$B$167,$J3399,CAS!$E$31:$E$167)*Impacts!$F$18))</f>
        <v>0</v>
      </c>
      <c r="W3399" s="10">
        <f t="shared" si="93"/>
        <v>0</v>
      </c>
      <c r="AK3399" s="10" t="str">
        <f t="array" ref="AK3399">IFERROR(INDEX(SelectedSpecies,SMALL(IF(SelectedSpecies=AK$1,ROW(SelectedSpecies)),ROW(3400:3400)),2),"")</f>
        <v/>
      </c>
      <c r="BE3399" s="10"/>
      <c r="BI3399" s="10"/>
    </row>
    <row r="3400" spans="1:61" ht="21" customHeight="1" x14ac:dyDescent="0.25">
      <c r="A3400" s="10"/>
      <c r="B3400" s="10"/>
      <c r="E3400" s="10"/>
      <c r="G3400" s="10"/>
      <c r="I3400" s="436" t="s">
        <v>7538</v>
      </c>
      <c r="J3400" s="26" t="s">
        <v>7537</v>
      </c>
      <c r="K3400" s="10">
        <v>0.43</v>
      </c>
      <c r="L3400" s="73">
        <f>IF(Tank1!$C$23="No control",(SUMIF(Tank1!$B$32:$B$49,$J3400,Tank1!$C$32:$C$49)*Impacts!$F$8),0)</f>
        <v>0</v>
      </c>
      <c r="M3400" s="10">
        <f>IF(Tank2!$C$23="No control",(SUMIF(Tank2!$B$32:$B$49,$J3400,Tank2!$C$32:$C$49)*Impacts!$F$9),0)</f>
        <v>0</v>
      </c>
      <c r="N3400" s="10">
        <f>IF(Tank3!$C$23="No control",(SUMIF(Tank3!$B$32:$B$49,$J3400,Tank3!$C$32:$C$49)*Impacts!$F$10),0)</f>
        <v>0</v>
      </c>
      <c r="O3400" s="10">
        <f>IF(Tank4!$C$23="No control",(SUMIF(Tank4!$B$32:$B$49,$J3400,Tank4!$C$32:$C$49)*Impacts!$F$11),0)</f>
        <v>0</v>
      </c>
      <c r="P3400" s="10">
        <f>IF(Tank5!$C$23="No control",(SUMIF(Tank5!$B$32:$B$49,$J3400,Tank5!$C$32:$C$49)*Impacts!$F$12),0)</f>
        <v>0</v>
      </c>
      <c r="Q3400" s="10">
        <f>IFERROR(IF(('Loading-drum,tote'!$C$21)="No control",SUMIF(('Loading-drum,tote'!$B$31:$B$48),$J3400,('Loading-drum,tote'!$D$31:$D$48))*Impacts!$F$13,IF(('Loading-drum,tote'!$C$21)&lt;&gt;"No control",SUMIF(('Loading-drum,tote'!$B$31:$B$48),$J3400,('Loading-drum,tote'!$E$31:$E$48))*Impacts!$F$13,0)),0)</f>
        <v>0</v>
      </c>
      <c r="R3400" s="10">
        <f>IFERROR(IF(('Loading-truck'!$C$21)="No control",SUMIF(('Loading-truck'!$B$31:$B$48),$J3400,('Loading-truck'!$D$31:$D$48))*Impacts!$F$14,IF(('Loading-truck'!$C$21)&lt;&gt;"No control",SUMIF(('Loading-truck'!$B$31:$B$48),$J3400,('Loading-truck'!$E$31:$E$48))*Impacts!$F$14,0)),0)</f>
        <v>0</v>
      </c>
      <c r="S3400" s="10">
        <f>IFERROR(IF(('Loading-rail'!$C$21)="No control",SUMIF(('Loading-rail'!$B$31:$B$48),$J3400,('Loading-rail'!$D$31:$D$48))*Impacts!$F$15,IF(('Loading-rail'!$C$21)&lt;&gt;"No control",SUMIF(('Loading-rail'!$B$31:$B$48),$J3400,('Loading-rail'!$E$31:$E$48))*Impacts!$F$15,0)),0)</f>
        <v>0</v>
      </c>
      <c r="T3400" s="10">
        <f>IF(Flare!$C$7="",0,(SUMIF(Flare!$B$46:$B$185,$J3400,Flare!$E$46:$E$185)*Impacts!$F$16))</f>
        <v>0</v>
      </c>
      <c r="U3400" s="10">
        <f>IF(VCU!$C$9="",0,(SUMIF(VCU!$B$51:$B$193,$J3400,VCU!$E$51:$E$193)*Impacts!$F$17))</f>
        <v>0</v>
      </c>
      <c r="V3400" s="10">
        <f>IF(CAS!$C$7="",0,(SUMIF(CAS!$B$31:$B$167,$J3400,CAS!$E$31:$E$167)*Impacts!$F$18))</f>
        <v>0</v>
      </c>
      <c r="W3400" s="10">
        <f t="shared" si="93"/>
        <v>0</v>
      </c>
      <c r="AK3400" s="10" t="str">
        <f t="array" ref="AK3400">IFERROR(INDEX(SelectedSpecies,SMALL(IF(SelectedSpecies=AK$1,ROW(SelectedSpecies)),ROW(3401:3401)),2),"")</f>
        <v/>
      </c>
      <c r="BE3400" s="10"/>
      <c r="BI3400" s="10"/>
    </row>
    <row r="3401" spans="1:61" ht="21" customHeight="1" x14ac:dyDescent="0.25">
      <c r="A3401" s="10"/>
      <c r="B3401" s="10"/>
      <c r="E3401" s="10"/>
      <c r="G3401" s="10"/>
      <c r="I3401" s="436" t="s">
        <v>6936</v>
      </c>
      <c r="J3401" s="26" t="s">
        <v>6935</v>
      </c>
      <c r="K3401" s="10">
        <v>0.5</v>
      </c>
      <c r="L3401" s="73">
        <f>IF(Tank1!$C$23="No control",(SUMIF(Tank1!$B$32:$B$49,$J3401,Tank1!$C$32:$C$49)*Impacts!$F$8),0)</f>
        <v>0</v>
      </c>
      <c r="M3401" s="10">
        <f>IF(Tank2!$C$23="No control",(SUMIF(Tank2!$B$32:$B$49,$J3401,Tank2!$C$32:$C$49)*Impacts!$F$9),0)</f>
        <v>0</v>
      </c>
      <c r="N3401" s="10">
        <f>IF(Tank3!$C$23="No control",(SUMIF(Tank3!$B$32:$B$49,$J3401,Tank3!$C$32:$C$49)*Impacts!$F$10),0)</f>
        <v>0</v>
      </c>
      <c r="O3401" s="10">
        <f>IF(Tank4!$C$23="No control",(SUMIF(Tank4!$B$32:$B$49,$J3401,Tank4!$C$32:$C$49)*Impacts!$F$11),0)</f>
        <v>0</v>
      </c>
      <c r="P3401" s="10">
        <f>IF(Tank5!$C$23="No control",(SUMIF(Tank5!$B$32:$B$49,$J3401,Tank5!$C$32:$C$49)*Impacts!$F$12),0)</f>
        <v>0</v>
      </c>
      <c r="Q3401" s="10">
        <f>IFERROR(IF(('Loading-drum,tote'!$C$21)="No control",SUMIF(('Loading-drum,tote'!$B$31:$B$48),$J3401,('Loading-drum,tote'!$D$31:$D$48))*Impacts!$F$13,IF(('Loading-drum,tote'!$C$21)&lt;&gt;"No control",SUMIF(('Loading-drum,tote'!$B$31:$B$48),$J3401,('Loading-drum,tote'!$E$31:$E$48))*Impacts!$F$13,0)),0)</f>
        <v>0</v>
      </c>
      <c r="R3401" s="10">
        <f>IFERROR(IF(('Loading-truck'!$C$21)="No control",SUMIF(('Loading-truck'!$B$31:$B$48),$J3401,('Loading-truck'!$D$31:$D$48))*Impacts!$F$14,IF(('Loading-truck'!$C$21)&lt;&gt;"No control",SUMIF(('Loading-truck'!$B$31:$B$48),$J3401,('Loading-truck'!$E$31:$E$48))*Impacts!$F$14,0)),0)</f>
        <v>0</v>
      </c>
      <c r="S3401" s="10">
        <f>IFERROR(IF(('Loading-rail'!$C$21)="No control",SUMIF(('Loading-rail'!$B$31:$B$48),$J3401,('Loading-rail'!$D$31:$D$48))*Impacts!$F$15,IF(('Loading-rail'!$C$21)&lt;&gt;"No control",SUMIF(('Loading-rail'!$B$31:$B$48),$J3401,('Loading-rail'!$E$31:$E$48))*Impacts!$F$15,0)),0)</f>
        <v>0</v>
      </c>
      <c r="T3401" s="10">
        <f>IF(Flare!$C$7="",0,(SUMIF(Flare!$B$46:$B$185,$J3401,Flare!$E$46:$E$185)*Impacts!$F$16))</f>
        <v>0</v>
      </c>
      <c r="U3401" s="10">
        <f>IF(VCU!$C$9="",0,(SUMIF(VCU!$B$51:$B$193,$J3401,VCU!$E$51:$E$193)*Impacts!$F$17))</f>
        <v>0</v>
      </c>
      <c r="V3401" s="10">
        <f>IF(CAS!$C$7="",0,(SUMIF(CAS!$B$31:$B$167,$J3401,CAS!$E$31:$E$167)*Impacts!$F$18))</f>
        <v>0</v>
      </c>
      <c r="W3401" s="10">
        <f t="shared" si="93"/>
        <v>0</v>
      </c>
      <c r="AK3401" s="10" t="str">
        <f t="array" ref="AK3401">IFERROR(INDEX(SelectedSpecies,SMALL(IF(SelectedSpecies=AK$1,ROW(SelectedSpecies)),ROW(3402:3402)),2),"")</f>
        <v/>
      </c>
      <c r="BE3401" s="10"/>
      <c r="BI3401" s="10"/>
    </row>
    <row r="3402" spans="1:61" ht="21" customHeight="1" x14ac:dyDescent="0.25">
      <c r="A3402" s="10"/>
      <c r="B3402" s="10"/>
      <c r="E3402" s="10"/>
      <c r="G3402" s="10"/>
      <c r="I3402" s="436" t="s">
        <v>2367</v>
      </c>
      <c r="J3402" s="26" t="s">
        <v>2366</v>
      </c>
      <c r="K3402" s="10">
        <v>11</v>
      </c>
      <c r="L3402" s="73">
        <f>IF(Tank1!$C$23="No control",(SUMIF(Tank1!$B$32:$B$49,$J3402,Tank1!$C$32:$C$49)*Impacts!$F$8),0)</f>
        <v>0</v>
      </c>
      <c r="M3402" s="10">
        <f>IF(Tank2!$C$23="No control",(SUMIF(Tank2!$B$32:$B$49,$J3402,Tank2!$C$32:$C$49)*Impacts!$F$9),0)</f>
        <v>0</v>
      </c>
      <c r="N3402" s="10">
        <f>IF(Tank3!$C$23="No control",(SUMIF(Tank3!$B$32:$B$49,$J3402,Tank3!$C$32:$C$49)*Impacts!$F$10),0)</f>
        <v>0</v>
      </c>
      <c r="O3402" s="10">
        <f>IF(Tank4!$C$23="No control",(SUMIF(Tank4!$B$32:$B$49,$J3402,Tank4!$C$32:$C$49)*Impacts!$F$11),0)</f>
        <v>0</v>
      </c>
      <c r="P3402" s="10">
        <f>IF(Tank5!$C$23="No control",(SUMIF(Tank5!$B$32:$B$49,$J3402,Tank5!$C$32:$C$49)*Impacts!$F$12),0)</f>
        <v>0</v>
      </c>
      <c r="Q3402" s="10">
        <f>IFERROR(IF(('Loading-drum,tote'!$C$21)="No control",SUMIF(('Loading-drum,tote'!$B$31:$B$48),$J3402,('Loading-drum,tote'!$D$31:$D$48))*Impacts!$F$13,IF(('Loading-drum,tote'!$C$21)&lt;&gt;"No control",SUMIF(('Loading-drum,tote'!$B$31:$B$48),$J3402,('Loading-drum,tote'!$E$31:$E$48))*Impacts!$F$13,0)),0)</f>
        <v>0</v>
      </c>
      <c r="R3402" s="10">
        <f>IFERROR(IF(('Loading-truck'!$C$21)="No control",SUMIF(('Loading-truck'!$B$31:$B$48),$J3402,('Loading-truck'!$D$31:$D$48))*Impacts!$F$14,IF(('Loading-truck'!$C$21)&lt;&gt;"No control",SUMIF(('Loading-truck'!$B$31:$B$48),$J3402,('Loading-truck'!$E$31:$E$48))*Impacts!$F$14,0)),0)</f>
        <v>0</v>
      </c>
      <c r="S3402" s="10">
        <f>IFERROR(IF(('Loading-rail'!$C$21)="No control",SUMIF(('Loading-rail'!$B$31:$B$48),$J3402,('Loading-rail'!$D$31:$D$48))*Impacts!$F$15,IF(('Loading-rail'!$C$21)&lt;&gt;"No control",SUMIF(('Loading-rail'!$B$31:$B$48),$J3402,('Loading-rail'!$E$31:$E$48))*Impacts!$F$15,0)),0)</f>
        <v>0</v>
      </c>
      <c r="T3402" s="10">
        <f>IF(Flare!$C$7="",0,(SUMIF(Flare!$B$46:$B$185,$J3402,Flare!$E$46:$E$185)*Impacts!$F$16))</f>
        <v>0</v>
      </c>
      <c r="U3402" s="10">
        <f>IF(VCU!$C$9="",0,(SUMIF(VCU!$B$51:$B$193,$J3402,VCU!$E$51:$E$193)*Impacts!$F$17))</f>
        <v>0</v>
      </c>
      <c r="V3402" s="10">
        <f>IF(CAS!$C$7="",0,(SUMIF(CAS!$B$31:$B$167,$J3402,CAS!$E$31:$E$167)*Impacts!$F$18))</f>
        <v>0</v>
      </c>
      <c r="W3402" s="10">
        <f t="shared" si="93"/>
        <v>0</v>
      </c>
      <c r="AK3402" s="10" t="str">
        <f t="array" ref="AK3402">IFERROR(INDEX(SelectedSpecies,SMALL(IF(SelectedSpecies=AK$1,ROW(SelectedSpecies)),ROW(3403:3403)),2),"")</f>
        <v/>
      </c>
      <c r="BE3402" s="10"/>
      <c r="BI3402" s="10"/>
    </row>
    <row r="3403" spans="1:61" ht="21" customHeight="1" x14ac:dyDescent="0.25">
      <c r="A3403" s="10"/>
      <c r="B3403" s="10"/>
      <c r="E3403" s="10"/>
      <c r="G3403" s="10"/>
      <c r="I3403" s="436" t="s">
        <v>3689</v>
      </c>
      <c r="J3403" s="26" t="s">
        <v>3688</v>
      </c>
      <c r="K3403" s="10">
        <v>7</v>
      </c>
      <c r="L3403" s="73">
        <f>IF(Tank1!$C$23="No control",(SUMIF(Tank1!$B$32:$B$49,$J3403,Tank1!$C$32:$C$49)*Impacts!$F$8),0)</f>
        <v>0</v>
      </c>
      <c r="M3403" s="10">
        <f>IF(Tank2!$C$23="No control",(SUMIF(Tank2!$B$32:$B$49,$J3403,Tank2!$C$32:$C$49)*Impacts!$F$9),0)</f>
        <v>0</v>
      </c>
      <c r="N3403" s="10">
        <f>IF(Tank3!$C$23="No control",(SUMIF(Tank3!$B$32:$B$49,$J3403,Tank3!$C$32:$C$49)*Impacts!$F$10),0)</f>
        <v>0</v>
      </c>
      <c r="O3403" s="10">
        <f>IF(Tank4!$C$23="No control",(SUMIF(Tank4!$B$32:$B$49,$J3403,Tank4!$C$32:$C$49)*Impacts!$F$11),0)</f>
        <v>0</v>
      </c>
      <c r="P3403" s="10">
        <f>IF(Tank5!$C$23="No control",(SUMIF(Tank5!$B$32:$B$49,$J3403,Tank5!$C$32:$C$49)*Impacts!$F$12),0)</f>
        <v>0</v>
      </c>
      <c r="Q3403" s="10">
        <f>IFERROR(IF(('Loading-drum,tote'!$C$21)="No control",SUMIF(('Loading-drum,tote'!$B$31:$B$48),$J3403,('Loading-drum,tote'!$D$31:$D$48))*Impacts!$F$13,IF(('Loading-drum,tote'!$C$21)&lt;&gt;"No control",SUMIF(('Loading-drum,tote'!$B$31:$B$48),$J3403,('Loading-drum,tote'!$E$31:$E$48))*Impacts!$F$13,0)),0)</f>
        <v>0</v>
      </c>
      <c r="R3403" s="10">
        <f>IFERROR(IF(('Loading-truck'!$C$21)="No control",SUMIF(('Loading-truck'!$B$31:$B$48),$J3403,('Loading-truck'!$D$31:$D$48))*Impacts!$F$14,IF(('Loading-truck'!$C$21)&lt;&gt;"No control",SUMIF(('Loading-truck'!$B$31:$B$48),$J3403,('Loading-truck'!$E$31:$E$48))*Impacts!$F$14,0)),0)</f>
        <v>0</v>
      </c>
      <c r="S3403" s="10">
        <f>IFERROR(IF(('Loading-rail'!$C$21)="No control",SUMIF(('Loading-rail'!$B$31:$B$48),$J3403,('Loading-rail'!$D$31:$D$48))*Impacts!$F$15,IF(('Loading-rail'!$C$21)&lt;&gt;"No control",SUMIF(('Loading-rail'!$B$31:$B$48),$J3403,('Loading-rail'!$E$31:$E$48))*Impacts!$F$15,0)),0)</f>
        <v>0</v>
      </c>
      <c r="T3403" s="10">
        <f>IF(Flare!$C$7="",0,(SUMIF(Flare!$B$46:$B$185,$J3403,Flare!$E$46:$E$185)*Impacts!$F$16))</f>
        <v>0</v>
      </c>
      <c r="U3403" s="10">
        <f>IF(VCU!$C$9="",0,(SUMIF(VCU!$B$51:$B$193,$J3403,VCU!$E$51:$E$193)*Impacts!$F$17))</f>
        <v>0</v>
      </c>
      <c r="V3403" s="10">
        <f>IF(CAS!$C$7="",0,(SUMIF(CAS!$B$31:$B$167,$J3403,CAS!$E$31:$E$167)*Impacts!$F$18))</f>
        <v>0</v>
      </c>
      <c r="W3403" s="10">
        <f t="shared" si="93"/>
        <v>0</v>
      </c>
      <c r="AK3403" s="10" t="str">
        <f t="array" ref="AK3403">IFERROR(INDEX(SelectedSpecies,SMALL(IF(SelectedSpecies=AK$1,ROW(SelectedSpecies)),ROW(3404:3404)),2),"")</f>
        <v/>
      </c>
      <c r="BE3403" s="10"/>
      <c r="BI3403" s="10"/>
    </row>
    <row r="3404" spans="1:61" ht="21" customHeight="1" x14ac:dyDescent="0.25">
      <c r="A3404" s="10"/>
      <c r="B3404" s="10"/>
      <c r="E3404" s="10"/>
      <c r="G3404" s="10"/>
      <c r="I3404" s="436" t="s">
        <v>303</v>
      </c>
      <c r="J3404" s="26" t="s">
        <v>302</v>
      </c>
      <c r="K3404" s="10">
        <v>710</v>
      </c>
      <c r="L3404" s="73">
        <f>IF(Tank1!$C$23="No control",(SUMIF(Tank1!$B$32:$B$49,$J3404,Tank1!$C$32:$C$49)*Impacts!$F$8),0)</f>
        <v>0</v>
      </c>
      <c r="M3404" s="10">
        <f>IF(Tank2!$C$23="No control",(SUMIF(Tank2!$B$32:$B$49,$J3404,Tank2!$C$32:$C$49)*Impacts!$F$9),0)</f>
        <v>0</v>
      </c>
      <c r="N3404" s="10">
        <f>IF(Tank3!$C$23="No control",(SUMIF(Tank3!$B$32:$B$49,$J3404,Tank3!$C$32:$C$49)*Impacts!$F$10),0)</f>
        <v>0</v>
      </c>
      <c r="O3404" s="10">
        <f>IF(Tank4!$C$23="No control",(SUMIF(Tank4!$B$32:$B$49,$J3404,Tank4!$C$32:$C$49)*Impacts!$F$11),0)</f>
        <v>0</v>
      </c>
      <c r="P3404" s="10">
        <f>IF(Tank5!$C$23="No control",(SUMIF(Tank5!$B$32:$B$49,$J3404,Tank5!$C$32:$C$49)*Impacts!$F$12),0)</f>
        <v>0</v>
      </c>
      <c r="Q3404" s="10">
        <f>IFERROR(IF(('Loading-drum,tote'!$C$21)="No control",SUMIF(('Loading-drum,tote'!$B$31:$B$48),$J3404,('Loading-drum,tote'!$D$31:$D$48))*Impacts!$F$13,IF(('Loading-drum,tote'!$C$21)&lt;&gt;"No control",SUMIF(('Loading-drum,tote'!$B$31:$B$48),$J3404,('Loading-drum,tote'!$E$31:$E$48))*Impacts!$F$13,0)),0)</f>
        <v>0</v>
      </c>
      <c r="R3404" s="10">
        <f>IFERROR(IF(('Loading-truck'!$C$21)="No control",SUMIF(('Loading-truck'!$B$31:$B$48),$J3404,('Loading-truck'!$D$31:$D$48))*Impacts!$F$14,IF(('Loading-truck'!$C$21)&lt;&gt;"No control",SUMIF(('Loading-truck'!$B$31:$B$48),$J3404,('Loading-truck'!$E$31:$E$48))*Impacts!$F$14,0)),0)</f>
        <v>0</v>
      </c>
      <c r="S3404" s="10">
        <f>IFERROR(IF(('Loading-rail'!$C$21)="No control",SUMIF(('Loading-rail'!$B$31:$B$48),$J3404,('Loading-rail'!$D$31:$D$48))*Impacts!$F$15,IF(('Loading-rail'!$C$21)&lt;&gt;"No control",SUMIF(('Loading-rail'!$B$31:$B$48),$J3404,('Loading-rail'!$E$31:$E$48))*Impacts!$F$15,0)),0)</f>
        <v>0</v>
      </c>
      <c r="T3404" s="10">
        <f>IF(Flare!$C$7="",0,(SUMIF(Flare!$B$46:$B$185,$J3404,Flare!$E$46:$E$185)*Impacts!$F$16))</f>
        <v>0</v>
      </c>
      <c r="U3404" s="10">
        <f>IF(VCU!$C$9="",0,(SUMIF(VCU!$B$51:$B$193,$J3404,VCU!$E$51:$E$193)*Impacts!$F$17))</f>
        <v>0</v>
      </c>
      <c r="V3404" s="10">
        <f>IF(CAS!$C$7="",0,(SUMIF(CAS!$B$31:$B$167,$J3404,CAS!$E$31:$E$167)*Impacts!$F$18))</f>
        <v>0</v>
      </c>
      <c r="W3404" s="10">
        <f t="shared" si="93"/>
        <v>0</v>
      </c>
      <c r="AK3404" s="10" t="str">
        <f t="array" ref="AK3404">IFERROR(INDEX(SelectedSpecies,SMALL(IF(SelectedSpecies=AK$1,ROW(SelectedSpecies)),ROW(3405:3405)),2),"")</f>
        <v/>
      </c>
      <c r="BE3404" s="10"/>
      <c r="BI3404" s="10"/>
    </row>
    <row r="3405" spans="1:61" ht="21" customHeight="1" x14ac:dyDescent="0.25">
      <c r="A3405" s="10"/>
      <c r="B3405" s="10"/>
      <c r="E3405" s="10"/>
      <c r="G3405" s="10"/>
      <c r="I3405" s="436" t="s">
        <v>6336</v>
      </c>
      <c r="J3405" s="26" t="s">
        <v>6335</v>
      </c>
      <c r="K3405" s="10">
        <v>0.9</v>
      </c>
      <c r="L3405" s="73">
        <f>IF(Tank1!$C$23="No control",(SUMIF(Tank1!$B$32:$B$49,$J3405,Tank1!$C$32:$C$49)*Impacts!$F$8),0)</f>
        <v>0</v>
      </c>
      <c r="M3405" s="10">
        <f>IF(Tank2!$C$23="No control",(SUMIF(Tank2!$B$32:$B$49,$J3405,Tank2!$C$32:$C$49)*Impacts!$F$9),0)</f>
        <v>0</v>
      </c>
      <c r="N3405" s="10">
        <f>IF(Tank3!$C$23="No control",(SUMIF(Tank3!$B$32:$B$49,$J3405,Tank3!$C$32:$C$49)*Impacts!$F$10),0)</f>
        <v>0</v>
      </c>
      <c r="O3405" s="10">
        <f>IF(Tank4!$C$23="No control",(SUMIF(Tank4!$B$32:$B$49,$J3405,Tank4!$C$32:$C$49)*Impacts!$F$11),0)</f>
        <v>0</v>
      </c>
      <c r="P3405" s="10">
        <f>IF(Tank5!$C$23="No control",(SUMIF(Tank5!$B$32:$B$49,$J3405,Tank5!$C$32:$C$49)*Impacts!$F$12),0)</f>
        <v>0</v>
      </c>
      <c r="Q3405" s="10">
        <f>IFERROR(IF(('Loading-drum,tote'!$C$21)="No control",SUMIF(('Loading-drum,tote'!$B$31:$B$48),$J3405,('Loading-drum,tote'!$D$31:$D$48))*Impacts!$F$13,IF(('Loading-drum,tote'!$C$21)&lt;&gt;"No control",SUMIF(('Loading-drum,tote'!$B$31:$B$48),$J3405,('Loading-drum,tote'!$E$31:$E$48))*Impacts!$F$13,0)),0)</f>
        <v>0</v>
      </c>
      <c r="R3405" s="10">
        <f>IFERROR(IF(('Loading-truck'!$C$21)="No control",SUMIF(('Loading-truck'!$B$31:$B$48),$J3405,('Loading-truck'!$D$31:$D$48))*Impacts!$F$14,IF(('Loading-truck'!$C$21)&lt;&gt;"No control",SUMIF(('Loading-truck'!$B$31:$B$48),$J3405,('Loading-truck'!$E$31:$E$48))*Impacts!$F$14,0)),0)</f>
        <v>0</v>
      </c>
      <c r="S3405" s="10">
        <f>IFERROR(IF(('Loading-rail'!$C$21)="No control",SUMIF(('Loading-rail'!$B$31:$B$48),$J3405,('Loading-rail'!$D$31:$D$48))*Impacts!$F$15,IF(('Loading-rail'!$C$21)&lt;&gt;"No control",SUMIF(('Loading-rail'!$B$31:$B$48),$J3405,('Loading-rail'!$E$31:$E$48))*Impacts!$F$15,0)),0)</f>
        <v>0</v>
      </c>
      <c r="T3405" s="10">
        <f>IF(Flare!$C$7="",0,(SUMIF(Flare!$B$46:$B$185,$J3405,Flare!$E$46:$E$185)*Impacts!$F$16))</f>
        <v>0</v>
      </c>
      <c r="U3405" s="10">
        <f>IF(VCU!$C$9="",0,(SUMIF(VCU!$B$51:$B$193,$J3405,VCU!$E$51:$E$193)*Impacts!$F$17))</f>
        <v>0</v>
      </c>
      <c r="V3405" s="10">
        <f>IF(CAS!$C$7="",0,(SUMIF(CAS!$B$31:$B$167,$J3405,CAS!$E$31:$E$167)*Impacts!$F$18))</f>
        <v>0</v>
      </c>
      <c r="W3405" s="10">
        <f t="shared" si="93"/>
        <v>0</v>
      </c>
      <c r="AK3405" s="10" t="str">
        <f t="array" ref="AK3405">IFERROR(INDEX(SelectedSpecies,SMALL(IF(SelectedSpecies=AK$1,ROW(SelectedSpecies)),ROW(3406:3406)),2),"")</f>
        <v/>
      </c>
      <c r="BE3405" s="10"/>
      <c r="BI3405" s="10"/>
    </row>
    <row r="3406" spans="1:61" ht="21" customHeight="1" x14ac:dyDescent="0.25">
      <c r="A3406" s="10"/>
      <c r="B3406" s="10"/>
      <c r="E3406" s="10"/>
      <c r="G3406" s="10"/>
      <c r="I3406" s="436" t="s">
        <v>1578</v>
      </c>
      <c r="J3406" s="26" t="s">
        <v>1577</v>
      </c>
      <c r="K3406" s="10">
        <v>27</v>
      </c>
      <c r="L3406" s="73">
        <f>IF(Tank1!$C$23="No control",(SUMIF(Tank1!$B$32:$B$49,$J3406,Tank1!$C$32:$C$49)*Impacts!$F$8),0)</f>
        <v>0</v>
      </c>
      <c r="M3406" s="10">
        <f>IF(Tank2!$C$23="No control",(SUMIF(Tank2!$B$32:$B$49,$J3406,Tank2!$C$32:$C$49)*Impacts!$F$9),0)</f>
        <v>0</v>
      </c>
      <c r="N3406" s="10">
        <f>IF(Tank3!$C$23="No control",(SUMIF(Tank3!$B$32:$B$49,$J3406,Tank3!$C$32:$C$49)*Impacts!$F$10),0)</f>
        <v>0</v>
      </c>
      <c r="O3406" s="10">
        <f>IF(Tank4!$C$23="No control",(SUMIF(Tank4!$B$32:$B$49,$J3406,Tank4!$C$32:$C$49)*Impacts!$F$11),0)</f>
        <v>0</v>
      </c>
      <c r="P3406" s="10">
        <f>IF(Tank5!$C$23="No control",(SUMIF(Tank5!$B$32:$B$49,$J3406,Tank5!$C$32:$C$49)*Impacts!$F$12),0)</f>
        <v>0</v>
      </c>
      <c r="Q3406" s="10">
        <f>IFERROR(IF(('Loading-drum,tote'!$C$21)="No control",SUMIF(('Loading-drum,tote'!$B$31:$B$48),$J3406,('Loading-drum,tote'!$D$31:$D$48))*Impacts!$F$13,IF(('Loading-drum,tote'!$C$21)&lt;&gt;"No control",SUMIF(('Loading-drum,tote'!$B$31:$B$48),$J3406,('Loading-drum,tote'!$E$31:$E$48))*Impacts!$F$13,0)),0)</f>
        <v>0</v>
      </c>
      <c r="R3406" s="10">
        <f>IFERROR(IF(('Loading-truck'!$C$21)="No control",SUMIF(('Loading-truck'!$B$31:$B$48),$J3406,('Loading-truck'!$D$31:$D$48))*Impacts!$F$14,IF(('Loading-truck'!$C$21)&lt;&gt;"No control",SUMIF(('Loading-truck'!$B$31:$B$48),$J3406,('Loading-truck'!$E$31:$E$48))*Impacts!$F$14,0)),0)</f>
        <v>0</v>
      </c>
      <c r="S3406" s="10">
        <f>IFERROR(IF(('Loading-rail'!$C$21)="No control",SUMIF(('Loading-rail'!$B$31:$B$48),$J3406,('Loading-rail'!$D$31:$D$48))*Impacts!$F$15,IF(('Loading-rail'!$C$21)&lt;&gt;"No control",SUMIF(('Loading-rail'!$B$31:$B$48),$J3406,('Loading-rail'!$E$31:$E$48))*Impacts!$F$15,0)),0)</f>
        <v>0</v>
      </c>
      <c r="T3406" s="10">
        <f>IF(Flare!$C$7="",0,(SUMIF(Flare!$B$46:$B$185,$J3406,Flare!$E$46:$E$185)*Impacts!$F$16))</f>
        <v>0</v>
      </c>
      <c r="U3406" s="10">
        <f>IF(VCU!$C$9="",0,(SUMIF(VCU!$B$51:$B$193,$J3406,VCU!$E$51:$E$193)*Impacts!$F$17))</f>
        <v>0</v>
      </c>
      <c r="V3406" s="10">
        <f>IF(CAS!$C$7="",0,(SUMIF(CAS!$B$31:$B$167,$J3406,CAS!$E$31:$E$167)*Impacts!$F$18))</f>
        <v>0</v>
      </c>
      <c r="W3406" s="10">
        <f t="shared" si="93"/>
        <v>0</v>
      </c>
      <c r="AK3406" s="10" t="str">
        <f t="array" ref="AK3406">IFERROR(INDEX(SelectedSpecies,SMALL(IF(SelectedSpecies=AK$1,ROW(SelectedSpecies)),ROW(3407:3407)),2),"")</f>
        <v/>
      </c>
      <c r="BE3406" s="10"/>
      <c r="BI3406" s="10"/>
    </row>
    <row r="3407" spans="1:61" ht="21" customHeight="1" x14ac:dyDescent="0.25">
      <c r="A3407" s="10"/>
      <c r="B3407" s="10"/>
      <c r="E3407" s="10"/>
      <c r="G3407" s="10"/>
      <c r="I3407" s="436" t="s">
        <v>6164</v>
      </c>
      <c r="J3407" s="26" t="s">
        <v>6163</v>
      </c>
      <c r="K3407" s="10">
        <v>1</v>
      </c>
      <c r="L3407" s="73">
        <f>IF(Tank1!$C$23="No control",(SUMIF(Tank1!$B$32:$B$49,$J3407,Tank1!$C$32:$C$49)*Impacts!$F$8),0)</f>
        <v>0</v>
      </c>
      <c r="M3407" s="10">
        <f>IF(Tank2!$C$23="No control",(SUMIF(Tank2!$B$32:$B$49,$J3407,Tank2!$C$32:$C$49)*Impacts!$F$9),0)</f>
        <v>0</v>
      </c>
      <c r="N3407" s="10">
        <f>IF(Tank3!$C$23="No control",(SUMIF(Tank3!$B$32:$B$49,$J3407,Tank3!$C$32:$C$49)*Impacts!$F$10),0)</f>
        <v>0</v>
      </c>
      <c r="O3407" s="10">
        <f>IF(Tank4!$C$23="No control",(SUMIF(Tank4!$B$32:$B$49,$J3407,Tank4!$C$32:$C$49)*Impacts!$F$11),0)</f>
        <v>0</v>
      </c>
      <c r="P3407" s="10">
        <f>IF(Tank5!$C$23="No control",(SUMIF(Tank5!$B$32:$B$49,$J3407,Tank5!$C$32:$C$49)*Impacts!$F$12),0)</f>
        <v>0</v>
      </c>
      <c r="Q3407" s="10">
        <f>IFERROR(IF(('Loading-drum,tote'!$C$21)="No control",SUMIF(('Loading-drum,tote'!$B$31:$B$48),$J3407,('Loading-drum,tote'!$D$31:$D$48))*Impacts!$F$13,IF(('Loading-drum,tote'!$C$21)&lt;&gt;"No control",SUMIF(('Loading-drum,tote'!$B$31:$B$48),$J3407,('Loading-drum,tote'!$E$31:$E$48))*Impacts!$F$13,0)),0)</f>
        <v>0</v>
      </c>
      <c r="R3407" s="10">
        <f>IFERROR(IF(('Loading-truck'!$C$21)="No control",SUMIF(('Loading-truck'!$B$31:$B$48),$J3407,('Loading-truck'!$D$31:$D$48))*Impacts!$F$14,IF(('Loading-truck'!$C$21)&lt;&gt;"No control",SUMIF(('Loading-truck'!$B$31:$B$48),$J3407,('Loading-truck'!$E$31:$E$48))*Impacts!$F$14,0)),0)</f>
        <v>0</v>
      </c>
      <c r="S3407" s="10">
        <f>IFERROR(IF(('Loading-rail'!$C$21)="No control",SUMIF(('Loading-rail'!$B$31:$B$48),$J3407,('Loading-rail'!$D$31:$D$48))*Impacts!$F$15,IF(('Loading-rail'!$C$21)&lt;&gt;"No control",SUMIF(('Loading-rail'!$B$31:$B$48),$J3407,('Loading-rail'!$E$31:$E$48))*Impacts!$F$15,0)),0)</f>
        <v>0</v>
      </c>
      <c r="T3407" s="10">
        <f>IF(Flare!$C$7="",0,(SUMIF(Flare!$B$46:$B$185,$J3407,Flare!$E$46:$E$185)*Impacts!$F$16))</f>
        <v>0</v>
      </c>
      <c r="U3407" s="10">
        <f>IF(VCU!$C$9="",0,(SUMIF(VCU!$B$51:$B$193,$J3407,VCU!$E$51:$E$193)*Impacts!$F$17))</f>
        <v>0</v>
      </c>
      <c r="V3407" s="10">
        <f>IF(CAS!$C$7="",0,(SUMIF(CAS!$B$31:$B$167,$J3407,CAS!$E$31:$E$167)*Impacts!$F$18))</f>
        <v>0</v>
      </c>
      <c r="W3407" s="10">
        <f t="shared" si="93"/>
        <v>0</v>
      </c>
      <c r="AK3407" s="10" t="str">
        <f t="array" ref="AK3407">IFERROR(INDEX(SelectedSpecies,SMALL(IF(SelectedSpecies=AK$1,ROW(SelectedSpecies)),ROW(3408:3408)),2),"")</f>
        <v/>
      </c>
      <c r="BE3407" s="10"/>
      <c r="BI3407" s="10"/>
    </row>
    <row r="3408" spans="1:61" ht="21" customHeight="1" x14ac:dyDescent="0.25">
      <c r="A3408" s="10"/>
      <c r="B3408" s="10"/>
      <c r="E3408" s="10"/>
      <c r="G3408" s="10"/>
      <c r="I3408" s="436" t="s">
        <v>5581</v>
      </c>
      <c r="J3408" s="26" t="s">
        <v>5580</v>
      </c>
      <c r="K3408" s="10">
        <v>1.2000000000000002</v>
      </c>
      <c r="L3408" s="73">
        <f>IF(Tank1!$C$23="No control",(SUMIF(Tank1!$B$32:$B$49,$J3408,Tank1!$C$32:$C$49)*Impacts!$F$8),0)</f>
        <v>0</v>
      </c>
      <c r="M3408" s="10">
        <f>IF(Tank2!$C$23="No control",(SUMIF(Tank2!$B$32:$B$49,$J3408,Tank2!$C$32:$C$49)*Impacts!$F$9),0)</f>
        <v>0</v>
      </c>
      <c r="N3408" s="10">
        <f>IF(Tank3!$C$23="No control",(SUMIF(Tank3!$B$32:$B$49,$J3408,Tank3!$C$32:$C$49)*Impacts!$F$10),0)</f>
        <v>0</v>
      </c>
      <c r="O3408" s="10">
        <f>IF(Tank4!$C$23="No control",(SUMIF(Tank4!$B$32:$B$49,$J3408,Tank4!$C$32:$C$49)*Impacts!$F$11),0)</f>
        <v>0</v>
      </c>
      <c r="P3408" s="10">
        <f>IF(Tank5!$C$23="No control",(SUMIF(Tank5!$B$32:$B$49,$J3408,Tank5!$C$32:$C$49)*Impacts!$F$12),0)</f>
        <v>0</v>
      </c>
      <c r="Q3408" s="10">
        <f>IFERROR(IF(('Loading-drum,tote'!$C$21)="No control",SUMIF(('Loading-drum,tote'!$B$31:$B$48),$J3408,('Loading-drum,tote'!$D$31:$D$48))*Impacts!$F$13,IF(('Loading-drum,tote'!$C$21)&lt;&gt;"No control",SUMIF(('Loading-drum,tote'!$B$31:$B$48),$J3408,('Loading-drum,tote'!$E$31:$E$48))*Impacts!$F$13,0)),0)</f>
        <v>0</v>
      </c>
      <c r="R3408" s="10">
        <f>IFERROR(IF(('Loading-truck'!$C$21)="No control",SUMIF(('Loading-truck'!$B$31:$B$48),$J3408,('Loading-truck'!$D$31:$D$48))*Impacts!$F$14,IF(('Loading-truck'!$C$21)&lt;&gt;"No control",SUMIF(('Loading-truck'!$B$31:$B$48),$J3408,('Loading-truck'!$E$31:$E$48))*Impacts!$F$14,0)),0)</f>
        <v>0</v>
      </c>
      <c r="S3408" s="10">
        <f>IFERROR(IF(('Loading-rail'!$C$21)="No control",SUMIF(('Loading-rail'!$B$31:$B$48),$J3408,('Loading-rail'!$D$31:$D$48))*Impacts!$F$15,IF(('Loading-rail'!$C$21)&lt;&gt;"No control",SUMIF(('Loading-rail'!$B$31:$B$48),$J3408,('Loading-rail'!$E$31:$E$48))*Impacts!$F$15,0)),0)</f>
        <v>0</v>
      </c>
      <c r="T3408" s="10">
        <f>IF(Flare!$C$7="",0,(SUMIF(Flare!$B$46:$B$185,$J3408,Flare!$E$46:$E$185)*Impacts!$F$16))</f>
        <v>0</v>
      </c>
      <c r="U3408" s="10">
        <f>IF(VCU!$C$9="",0,(SUMIF(VCU!$B$51:$B$193,$J3408,VCU!$E$51:$E$193)*Impacts!$F$17))</f>
        <v>0</v>
      </c>
      <c r="V3408" s="10">
        <f>IF(CAS!$C$7="",0,(SUMIF(CAS!$B$31:$B$167,$J3408,CAS!$E$31:$E$167)*Impacts!$F$18))</f>
        <v>0</v>
      </c>
      <c r="W3408" s="10">
        <f t="shared" si="93"/>
        <v>0</v>
      </c>
      <c r="AK3408" s="10" t="str">
        <f t="array" ref="AK3408">IFERROR(INDEX(SelectedSpecies,SMALL(IF(SelectedSpecies=AK$1,ROW(SelectedSpecies)),ROW(3409:3409)),2),"")</f>
        <v/>
      </c>
      <c r="BE3408" s="10"/>
      <c r="BI3408" s="10"/>
    </row>
    <row r="3409" spans="1:61" ht="21" customHeight="1" x14ac:dyDescent="0.25">
      <c r="A3409" s="10"/>
      <c r="B3409" s="10"/>
      <c r="E3409" s="10"/>
      <c r="G3409" s="10"/>
      <c r="I3409" s="436" t="s">
        <v>7594</v>
      </c>
      <c r="J3409" s="26" t="s">
        <v>7593</v>
      </c>
      <c r="K3409" s="10">
        <v>0.18000000000000002</v>
      </c>
      <c r="L3409" s="73">
        <f>IF(Tank1!$C$23="No control",(SUMIF(Tank1!$B$32:$B$49,$J3409,Tank1!$C$32:$C$49)*Impacts!$F$8),0)</f>
        <v>0</v>
      </c>
      <c r="M3409" s="10">
        <f>IF(Tank2!$C$23="No control",(SUMIF(Tank2!$B$32:$B$49,$J3409,Tank2!$C$32:$C$49)*Impacts!$F$9),0)</f>
        <v>0</v>
      </c>
      <c r="N3409" s="10">
        <f>IF(Tank3!$C$23="No control",(SUMIF(Tank3!$B$32:$B$49,$J3409,Tank3!$C$32:$C$49)*Impacts!$F$10),0)</f>
        <v>0</v>
      </c>
      <c r="O3409" s="10">
        <f>IF(Tank4!$C$23="No control",(SUMIF(Tank4!$B$32:$B$49,$J3409,Tank4!$C$32:$C$49)*Impacts!$F$11),0)</f>
        <v>0</v>
      </c>
      <c r="P3409" s="10">
        <f>IF(Tank5!$C$23="No control",(SUMIF(Tank5!$B$32:$B$49,$J3409,Tank5!$C$32:$C$49)*Impacts!$F$12),0)</f>
        <v>0</v>
      </c>
      <c r="Q3409" s="10">
        <f>IFERROR(IF(('Loading-drum,tote'!$C$21)="No control",SUMIF(('Loading-drum,tote'!$B$31:$B$48),$J3409,('Loading-drum,tote'!$D$31:$D$48))*Impacts!$F$13,IF(('Loading-drum,tote'!$C$21)&lt;&gt;"No control",SUMIF(('Loading-drum,tote'!$B$31:$B$48),$J3409,('Loading-drum,tote'!$E$31:$E$48))*Impacts!$F$13,0)),0)</f>
        <v>0</v>
      </c>
      <c r="R3409" s="10">
        <f>IFERROR(IF(('Loading-truck'!$C$21)="No control",SUMIF(('Loading-truck'!$B$31:$B$48),$J3409,('Loading-truck'!$D$31:$D$48))*Impacts!$F$14,IF(('Loading-truck'!$C$21)&lt;&gt;"No control",SUMIF(('Loading-truck'!$B$31:$B$48),$J3409,('Loading-truck'!$E$31:$E$48))*Impacts!$F$14,0)),0)</f>
        <v>0</v>
      </c>
      <c r="S3409" s="10">
        <f>IFERROR(IF(('Loading-rail'!$C$21)="No control",SUMIF(('Loading-rail'!$B$31:$B$48),$J3409,('Loading-rail'!$D$31:$D$48))*Impacts!$F$15,IF(('Loading-rail'!$C$21)&lt;&gt;"No control",SUMIF(('Loading-rail'!$B$31:$B$48),$J3409,('Loading-rail'!$E$31:$E$48))*Impacts!$F$15,0)),0)</f>
        <v>0</v>
      </c>
      <c r="T3409" s="10">
        <f>IF(Flare!$C$7="",0,(SUMIF(Flare!$B$46:$B$185,$J3409,Flare!$E$46:$E$185)*Impacts!$F$16))</f>
        <v>0</v>
      </c>
      <c r="U3409" s="10">
        <f>IF(VCU!$C$9="",0,(SUMIF(VCU!$B$51:$B$193,$J3409,VCU!$E$51:$E$193)*Impacts!$F$17))</f>
        <v>0</v>
      </c>
      <c r="V3409" s="10">
        <f>IF(CAS!$C$7="",0,(SUMIF(CAS!$B$31:$B$167,$J3409,CAS!$E$31:$E$167)*Impacts!$F$18))</f>
        <v>0</v>
      </c>
      <c r="W3409" s="10">
        <f t="shared" si="93"/>
        <v>0</v>
      </c>
      <c r="AK3409" s="10" t="str">
        <f t="array" ref="AK3409">IFERROR(INDEX(SelectedSpecies,SMALL(IF(SelectedSpecies=AK$1,ROW(SelectedSpecies)),ROW(3410:3410)),2),"")</f>
        <v/>
      </c>
      <c r="BE3409" s="10"/>
      <c r="BI3409" s="10"/>
    </row>
    <row r="3410" spans="1:61" ht="21" customHeight="1" x14ac:dyDescent="0.25">
      <c r="A3410" s="10"/>
      <c r="B3410" s="10"/>
      <c r="E3410" s="10"/>
      <c r="G3410" s="10"/>
      <c r="I3410" s="436" t="s">
        <v>954</v>
      </c>
      <c r="J3410" s="26" t="s">
        <v>953</v>
      </c>
      <c r="K3410" s="10">
        <v>40</v>
      </c>
      <c r="L3410" s="73">
        <f>IF(Tank1!$C$23="No control",(SUMIF(Tank1!$B$32:$B$49,$J3410,Tank1!$C$32:$C$49)*Impacts!$F$8),0)</f>
        <v>0</v>
      </c>
      <c r="M3410" s="10">
        <f>IF(Tank2!$C$23="No control",(SUMIF(Tank2!$B$32:$B$49,$J3410,Tank2!$C$32:$C$49)*Impacts!$F$9),0)</f>
        <v>0</v>
      </c>
      <c r="N3410" s="10">
        <f>IF(Tank3!$C$23="No control",(SUMIF(Tank3!$B$32:$B$49,$J3410,Tank3!$C$32:$C$49)*Impacts!$F$10),0)</f>
        <v>0</v>
      </c>
      <c r="O3410" s="10">
        <f>IF(Tank4!$C$23="No control",(SUMIF(Tank4!$B$32:$B$49,$J3410,Tank4!$C$32:$C$49)*Impacts!$F$11),0)</f>
        <v>0</v>
      </c>
      <c r="P3410" s="10">
        <f>IF(Tank5!$C$23="No control",(SUMIF(Tank5!$B$32:$B$49,$J3410,Tank5!$C$32:$C$49)*Impacts!$F$12),0)</f>
        <v>0</v>
      </c>
      <c r="Q3410" s="10">
        <f>IFERROR(IF(('Loading-drum,tote'!$C$21)="No control",SUMIF(('Loading-drum,tote'!$B$31:$B$48),$J3410,('Loading-drum,tote'!$D$31:$D$48))*Impacts!$F$13,IF(('Loading-drum,tote'!$C$21)&lt;&gt;"No control",SUMIF(('Loading-drum,tote'!$B$31:$B$48),$J3410,('Loading-drum,tote'!$E$31:$E$48))*Impacts!$F$13,0)),0)</f>
        <v>0</v>
      </c>
      <c r="R3410" s="10">
        <f>IFERROR(IF(('Loading-truck'!$C$21)="No control",SUMIF(('Loading-truck'!$B$31:$B$48),$J3410,('Loading-truck'!$D$31:$D$48))*Impacts!$F$14,IF(('Loading-truck'!$C$21)&lt;&gt;"No control",SUMIF(('Loading-truck'!$B$31:$B$48),$J3410,('Loading-truck'!$E$31:$E$48))*Impacts!$F$14,0)),0)</f>
        <v>0</v>
      </c>
      <c r="S3410" s="10">
        <f>IFERROR(IF(('Loading-rail'!$C$21)="No control",SUMIF(('Loading-rail'!$B$31:$B$48),$J3410,('Loading-rail'!$D$31:$D$48))*Impacts!$F$15,IF(('Loading-rail'!$C$21)&lt;&gt;"No control",SUMIF(('Loading-rail'!$B$31:$B$48),$J3410,('Loading-rail'!$E$31:$E$48))*Impacts!$F$15,0)),0)</f>
        <v>0</v>
      </c>
      <c r="T3410" s="10">
        <f>IF(Flare!$C$7="",0,(SUMIF(Flare!$B$46:$B$185,$J3410,Flare!$E$46:$E$185)*Impacts!$F$16))</f>
        <v>0</v>
      </c>
      <c r="U3410" s="10">
        <f>IF(VCU!$C$9="",0,(SUMIF(VCU!$B$51:$B$193,$J3410,VCU!$E$51:$E$193)*Impacts!$F$17))</f>
        <v>0</v>
      </c>
      <c r="V3410" s="10">
        <f>IF(CAS!$C$7="",0,(SUMIF(CAS!$B$31:$B$167,$J3410,CAS!$E$31:$E$167)*Impacts!$F$18))</f>
        <v>0</v>
      </c>
      <c r="W3410" s="10">
        <f t="shared" si="93"/>
        <v>0</v>
      </c>
      <c r="AK3410" s="10" t="str">
        <f t="array" ref="AK3410">IFERROR(INDEX(SelectedSpecies,SMALL(IF(SelectedSpecies=AK$1,ROW(SelectedSpecies)),ROW(3411:3411)),2),"")</f>
        <v/>
      </c>
      <c r="BE3410" s="10"/>
      <c r="BI3410" s="10"/>
    </row>
    <row r="3411" spans="1:61" ht="21" customHeight="1" x14ac:dyDescent="0.25">
      <c r="A3411" s="10"/>
      <c r="B3411" s="10"/>
      <c r="E3411" s="10"/>
      <c r="G3411" s="10"/>
      <c r="I3411" s="436" t="s">
        <v>2613</v>
      </c>
      <c r="J3411" s="26" t="s">
        <v>2612</v>
      </c>
      <c r="K3411" s="10">
        <v>10</v>
      </c>
      <c r="L3411" s="73">
        <f>IF(Tank1!$C$23="No control",(SUMIF(Tank1!$B$32:$B$49,$J3411,Tank1!$C$32:$C$49)*Impacts!$F$8),0)</f>
        <v>0</v>
      </c>
      <c r="M3411" s="10">
        <f>IF(Tank2!$C$23="No control",(SUMIF(Tank2!$B$32:$B$49,$J3411,Tank2!$C$32:$C$49)*Impacts!$F$9),0)</f>
        <v>0</v>
      </c>
      <c r="N3411" s="10">
        <f>IF(Tank3!$C$23="No control",(SUMIF(Tank3!$B$32:$B$49,$J3411,Tank3!$C$32:$C$49)*Impacts!$F$10),0)</f>
        <v>0</v>
      </c>
      <c r="O3411" s="10">
        <f>IF(Tank4!$C$23="No control",(SUMIF(Tank4!$B$32:$B$49,$J3411,Tank4!$C$32:$C$49)*Impacts!$F$11),0)</f>
        <v>0</v>
      </c>
      <c r="P3411" s="10">
        <f>IF(Tank5!$C$23="No control",(SUMIF(Tank5!$B$32:$B$49,$J3411,Tank5!$C$32:$C$49)*Impacts!$F$12),0)</f>
        <v>0</v>
      </c>
      <c r="Q3411" s="10">
        <f>IFERROR(IF(('Loading-drum,tote'!$C$21)="No control",SUMIF(('Loading-drum,tote'!$B$31:$B$48),$J3411,('Loading-drum,tote'!$D$31:$D$48))*Impacts!$F$13,IF(('Loading-drum,tote'!$C$21)&lt;&gt;"No control",SUMIF(('Loading-drum,tote'!$B$31:$B$48),$J3411,('Loading-drum,tote'!$E$31:$E$48))*Impacts!$F$13,0)),0)</f>
        <v>0</v>
      </c>
      <c r="R3411" s="10">
        <f>IFERROR(IF(('Loading-truck'!$C$21)="No control",SUMIF(('Loading-truck'!$B$31:$B$48),$J3411,('Loading-truck'!$D$31:$D$48))*Impacts!$F$14,IF(('Loading-truck'!$C$21)&lt;&gt;"No control",SUMIF(('Loading-truck'!$B$31:$B$48),$J3411,('Loading-truck'!$E$31:$E$48))*Impacts!$F$14,0)),0)</f>
        <v>0</v>
      </c>
      <c r="S3411" s="10">
        <f>IFERROR(IF(('Loading-rail'!$C$21)="No control",SUMIF(('Loading-rail'!$B$31:$B$48),$J3411,('Loading-rail'!$D$31:$D$48))*Impacts!$F$15,IF(('Loading-rail'!$C$21)&lt;&gt;"No control",SUMIF(('Loading-rail'!$B$31:$B$48),$J3411,('Loading-rail'!$E$31:$E$48))*Impacts!$F$15,0)),0)</f>
        <v>0</v>
      </c>
      <c r="T3411" s="10">
        <f>IF(Flare!$C$7="",0,(SUMIF(Flare!$B$46:$B$185,$J3411,Flare!$E$46:$E$185)*Impacts!$F$16))</f>
        <v>0</v>
      </c>
      <c r="U3411" s="10">
        <f>IF(VCU!$C$9="",0,(SUMIF(VCU!$B$51:$B$193,$J3411,VCU!$E$51:$E$193)*Impacts!$F$17))</f>
        <v>0</v>
      </c>
      <c r="V3411" s="10">
        <f>IF(CAS!$C$7="",0,(SUMIF(CAS!$B$31:$B$167,$J3411,CAS!$E$31:$E$167)*Impacts!$F$18))</f>
        <v>0</v>
      </c>
      <c r="W3411" s="10">
        <f t="shared" si="93"/>
        <v>0</v>
      </c>
      <c r="AK3411" s="10" t="str">
        <f t="array" ref="AK3411">IFERROR(INDEX(SelectedSpecies,SMALL(IF(SelectedSpecies=AK$1,ROW(SelectedSpecies)),ROW(3412:3412)),2),"")</f>
        <v/>
      </c>
      <c r="BE3411" s="10"/>
      <c r="BI3411" s="10"/>
    </row>
    <row r="3412" spans="1:61" ht="21" customHeight="1" x14ac:dyDescent="0.25">
      <c r="A3412" s="10"/>
      <c r="B3412" s="10"/>
      <c r="E3412" s="10"/>
      <c r="G3412" s="10"/>
      <c r="I3412" s="436" t="s">
        <v>2615</v>
      </c>
      <c r="J3412" s="26" t="s">
        <v>2614</v>
      </c>
      <c r="K3412" s="10">
        <v>10</v>
      </c>
      <c r="L3412" s="73">
        <f>IF(Tank1!$C$23="No control",(SUMIF(Tank1!$B$32:$B$49,$J3412,Tank1!$C$32:$C$49)*Impacts!$F$8),0)</f>
        <v>0</v>
      </c>
      <c r="M3412" s="10">
        <f>IF(Tank2!$C$23="No control",(SUMIF(Tank2!$B$32:$B$49,$J3412,Tank2!$C$32:$C$49)*Impacts!$F$9),0)</f>
        <v>0</v>
      </c>
      <c r="N3412" s="10">
        <f>IF(Tank3!$C$23="No control",(SUMIF(Tank3!$B$32:$B$49,$J3412,Tank3!$C$32:$C$49)*Impacts!$F$10),0)</f>
        <v>0</v>
      </c>
      <c r="O3412" s="10">
        <f>IF(Tank4!$C$23="No control",(SUMIF(Tank4!$B$32:$B$49,$J3412,Tank4!$C$32:$C$49)*Impacts!$F$11),0)</f>
        <v>0</v>
      </c>
      <c r="P3412" s="10">
        <f>IF(Tank5!$C$23="No control",(SUMIF(Tank5!$B$32:$B$49,$J3412,Tank5!$C$32:$C$49)*Impacts!$F$12),0)</f>
        <v>0</v>
      </c>
      <c r="Q3412" s="10">
        <f>IFERROR(IF(('Loading-drum,tote'!$C$21)="No control",SUMIF(('Loading-drum,tote'!$B$31:$B$48),$J3412,('Loading-drum,tote'!$D$31:$D$48))*Impacts!$F$13,IF(('Loading-drum,tote'!$C$21)&lt;&gt;"No control",SUMIF(('Loading-drum,tote'!$B$31:$B$48),$J3412,('Loading-drum,tote'!$E$31:$E$48))*Impacts!$F$13,0)),0)</f>
        <v>0</v>
      </c>
      <c r="R3412" s="10">
        <f>IFERROR(IF(('Loading-truck'!$C$21)="No control",SUMIF(('Loading-truck'!$B$31:$B$48),$J3412,('Loading-truck'!$D$31:$D$48))*Impacts!$F$14,IF(('Loading-truck'!$C$21)&lt;&gt;"No control",SUMIF(('Loading-truck'!$B$31:$B$48),$J3412,('Loading-truck'!$E$31:$E$48))*Impacts!$F$14,0)),0)</f>
        <v>0</v>
      </c>
      <c r="S3412" s="10">
        <f>IFERROR(IF(('Loading-rail'!$C$21)="No control",SUMIF(('Loading-rail'!$B$31:$B$48),$J3412,('Loading-rail'!$D$31:$D$48))*Impacts!$F$15,IF(('Loading-rail'!$C$21)&lt;&gt;"No control",SUMIF(('Loading-rail'!$B$31:$B$48),$J3412,('Loading-rail'!$E$31:$E$48))*Impacts!$F$15,0)),0)</f>
        <v>0</v>
      </c>
      <c r="T3412" s="10">
        <f>IF(Flare!$C$7="",0,(SUMIF(Flare!$B$46:$B$185,$J3412,Flare!$E$46:$E$185)*Impacts!$F$16))</f>
        <v>0</v>
      </c>
      <c r="U3412" s="10">
        <f>IF(VCU!$C$9="",0,(SUMIF(VCU!$B$51:$B$193,$J3412,VCU!$E$51:$E$193)*Impacts!$F$17))</f>
        <v>0</v>
      </c>
      <c r="V3412" s="10">
        <f>IF(CAS!$C$7="",0,(SUMIF(CAS!$B$31:$B$167,$J3412,CAS!$E$31:$E$167)*Impacts!$F$18))</f>
        <v>0</v>
      </c>
      <c r="W3412" s="10">
        <f t="shared" si="93"/>
        <v>0</v>
      </c>
      <c r="AK3412" s="10" t="str">
        <f t="array" ref="AK3412">IFERROR(INDEX(SelectedSpecies,SMALL(IF(SelectedSpecies=AK$1,ROW(SelectedSpecies)),ROW(3413:3413)),2),"")</f>
        <v/>
      </c>
      <c r="BE3412" s="10"/>
      <c r="BI3412" s="10"/>
    </row>
    <row r="3413" spans="1:61" ht="21" customHeight="1" x14ac:dyDescent="0.25">
      <c r="A3413" s="10"/>
      <c r="B3413" s="10"/>
      <c r="E3413" s="10"/>
      <c r="G3413" s="10"/>
      <c r="I3413" s="436" t="s">
        <v>8022</v>
      </c>
      <c r="J3413" s="26" t="s">
        <v>8021</v>
      </c>
      <c r="K3413" s="10">
        <v>2.3000000000000003E-2</v>
      </c>
      <c r="L3413" s="73">
        <f>IF(Tank1!$C$23="No control",(SUMIF(Tank1!$B$32:$B$49,$J3413,Tank1!$C$32:$C$49)*Impacts!$F$8),0)</f>
        <v>0</v>
      </c>
      <c r="M3413" s="10">
        <f>IF(Tank2!$C$23="No control",(SUMIF(Tank2!$B$32:$B$49,$J3413,Tank2!$C$32:$C$49)*Impacts!$F$9),0)</f>
        <v>0</v>
      </c>
      <c r="N3413" s="10">
        <f>IF(Tank3!$C$23="No control",(SUMIF(Tank3!$B$32:$B$49,$J3413,Tank3!$C$32:$C$49)*Impacts!$F$10),0)</f>
        <v>0</v>
      </c>
      <c r="O3413" s="10">
        <f>IF(Tank4!$C$23="No control",(SUMIF(Tank4!$B$32:$B$49,$J3413,Tank4!$C$32:$C$49)*Impacts!$F$11),0)</f>
        <v>0</v>
      </c>
      <c r="P3413" s="10">
        <f>IF(Tank5!$C$23="No control",(SUMIF(Tank5!$B$32:$B$49,$J3413,Tank5!$C$32:$C$49)*Impacts!$F$12),0)</f>
        <v>0</v>
      </c>
      <c r="Q3413" s="10">
        <f>IFERROR(IF(('Loading-drum,tote'!$C$21)="No control",SUMIF(('Loading-drum,tote'!$B$31:$B$48),$J3413,('Loading-drum,tote'!$D$31:$D$48))*Impacts!$F$13,IF(('Loading-drum,tote'!$C$21)&lt;&gt;"No control",SUMIF(('Loading-drum,tote'!$B$31:$B$48),$J3413,('Loading-drum,tote'!$E$31:$E$48))*Impacts!$F$13,0)),0)</f>
        <v>0</v>
      </c>
      <c r="R3413" s="10">
        <f>IFERROR(IF(('Loading-truck'!$C$21)="No control",SUMIF(('Loading-truck'!$B$31:$B$48),$J3413,('Loading-truck'!$D$31:$D$48))*Impacts!$F$14,IF(('Loading-truck'!$C$21)&lt;&gt;"No control",SUMIF(('Loading-truck'!$B$31:$B$48),$J3413,('Loading-truck'!$E$31:$E$48))*Impacts!$F$14,0)),0)</f>
        <v>0</v>
      </c>
      <c r="S3413" s="10">
        <f>IFERROR(IF(('Loading-rail'!$C$21)="No control",SUMIF(('Loading-rail'!$B$31:$B$48),$J3413,('Loading-rail'!$D$31:$D$48))*Impacts!$F$15,IF(('Loading-rail'!$C$21)&lt;&gt;"No control",SUMIF(('Loading-rail'!$B$31:$B$48),$J3413,('Loading-rail'!$E$31:$E$48))*Impacts!$F$15,0)),0)</f>
        <v>0</v>
      </c>
      <c r="T3413" s="10">
        <f>IF(Flare!$C$7="",0,(SUMIF(Flare!$B$46:$B$185,$J3413,Flare!$E$46:$E$185)*Impacts!$F$16))</f>
        <v>0</v>
      </c>
      <c r="U3413" s="10">
        <f>IF(VCU!$C$9="",0,(SUMIF(VCU!$B$51:$B$193,$J3413,VCU!$E$51:$E$193)*Impacts!$F$17))</f>
        <v>0</v>
      </c>
      <c r="V3413" s="10">
        <f>IF(CAS!$C$7="",0,(SUMIF(CAS!$B$31:$B$167,$J3413,CAS!$E$31:$E$167)*Impacts!$F$18))</f>
        <v>0</v>
      </c>
      <c r="W3413" s="10">
        <f t="shared" si="93"/>
        <v>0</v>
      </c>
      <c r="AK3413" s="10" t="str">
        <f t="array" ref="AK3413">IFERROR(INDEX(SelectedSpecies,SMALL(IF(SelectedSpecies=AK$1,ROW(SelectedSpecies)),ROW(3414:3414)),2),"")</f>
        <v/>
      </c>
      <c r="BE3413" s="10"/>
      <c r="BI3413" s="10"/>
    </row>
    <row r="3414" spans="1:61" ht="21" customHeight="1" x14ac:dyDescent="0.25">
      <c r="A3414" s="10"/>
      <c r="B3414" s="10"/>
      <c r="E3414" s="10"/>
      <c r="G3414" s="10"/>
      <c r="I3414" s="436" t="s">
        <v>407</v>
      </c>
      <c r="J3414" s="26" t="s">
        <v>406</v>
      </c>
      <c r="K3414" s="10">
        <v>270</v>
      </c>
      <c r="L3414" s="73">
        <f>IF(Tank1!$C$23="No control",(SUMIF(Tank1!$B$32:$B$49,$J3414,Tank1!$C$32:$C$49)*Impacts!$F$8),0)</f>
        <v>0</v>
      </c>
      <c r="M3414" s="10">
        <f>IF(Tank2!$C$23="No control",(SUMIF(Tank2!$B$32:$B$49,$J3414,Tank2!$C$32:$C$49)*Impacts!$F$9),0)</f>
        <v>0</v>
      </c>
      <c r="N3414" s="10">
        <f>IF(Tank3!$C$23="No control",(SUMIF(Tank3!$B$32:$B$49,$J3414,Tank3!$C$32:$C$49)*Impacts!$F$10),0)</f>
        <v>0</v>
      </c>
      <c r="O3414" s="10">
        <f>IF(Tank4!$C$23="No control",(SUMIF(Tank4!$B$32:$B$49,$J3414,Tank4!$C$32:$C$49)*Impacts!$F$11),0)</f>
        <v>0</v>
      </c>
      <c r="P3414" s="10">
        <f>IF(Tank5!$C$23="No control",(SUMIF(Tank5!$B$32:$B$49,$J3414,Tank5!$C$32:$C$49)*Impacts!$F$12),0)</f>
        <v>0</v>
      </c>
      <c r="Q3414" s="10">
        <f>IFERROR(IF(('Loading-drum,tote'!$C$21)="No control",SUMIF(('Loading-drum,tote'!$B$31:$B$48),$J3414,('Loading-drum,tote'!$D$31:$D$48))*Impacts!$F$13,IF(('Loading-drum,tote'!$C$21)&lt;&gt;"No control",SUMIF(('Loading-drum,tote'!$B$31:$B$48),$J3414,('Loading-drum,tote'!$E$31:$E$48))*Impacts!$F$13,0)),0)</f>
        <v>0</v>
      </c>
      <c r="R3414" s="10">
        <f>IFERROR(IF(('Loading-truck'!$C$21)="No control",SUMIF(('Loading-truck'!$B$31:$B$48),$J3414,('Loading-truck'!$D$31:$D$48))*Impacts!$F$14,IF(('Loading-truck'!$C$21)&lt;&gt;"No control",SUMIF(('Loading-truck'!$B$31:$B$48),$J3414,('Loading-truck'!$E$31:$E$48))*Impacts!$F$14,0)),0)</f>
        <v>0</v>
      </c>
      <c r="S3414" s="10">
        <f>IFERROR(IF(('Loading-rail'!$C$21)="No control",SUMIF(('Loading-rail'!$B$31:$B$48),$J3414,('Loading-rail'!$D$31:$D$48))*Impacts!$F$15,IF(('Loading-rail'!$C$21)&lt;&gt;"No control",SUMIF(('Loading-rail'!$B$31:$B$48),$J3414,('Loading-rail'!$E$31:$E$48))*Impacts!$F$15,0)),0)</f>
        <v>0</v>
      </c>
      <c r="T3414" s="10">
        <f>IF(Flare!$C$7="",0,(SUMIF(Flare!$B$46:$B$185,$J3414,Flare!$E$46:$E$185)*Impacts!$F$16))</f>
        <v>0</v>
      </c>
      <c r="U3414" s="10">
        <f>IF(VCU!$C$9="",0,(SUMIF(VCU!$B$51:$B$193,$J3414,VCU!$E$51:$E$193)*Impacts!$F$17))</f>
        <v>0</v>
      </c>
      <c r="V3414" s="10">
        <f>IF(CAS!$C$7="",0,(SUMIF(CAS!$B$31:$B$167,$J3414,CAS!$E$31:$E$167)*Impacts!$F$18))</f>
        <v>0</v>
      </c>
      <c r="W3414" s="10">
        <f t="shared" si="93"/>
        <v>0</v>
      </c>
      <c r="AK3414" s="10" t="str">
        <f t="array" ref="AK3414">IFERROR(INDEX(SelectedSpecies,SMALL(IF(SelectedSpecies=AK$1,ROW(SelectedSpecies)),ROW(3415:3415)),2),"")</f>
        <v/>
      </c>
      <c r="BE3414" s="10"/>
      <c r="BI3414" s="10"/>
    </row>
    <row r="3415" spans="1:61" ht="21" customHeight="1" x14ac:dyDescent="0.25">
      <c r="A3415" s="10"/>
      <c r="B3415" s="10"/>
      <c r="E3415" s="10"/>
      <c r="G3415" s="10"/>
      <c r="I3415" s="436" t="s">
        <v>7336</v>
      </c>
      <c r="J3415" s="26" t="s">
        <v>7335</v>
      </c>
      <c r="K3415" s="10">
        <v>0.26</v>
      </c>
      <c r="L3415" s="73">
        <f>IF(Tank1!$C$23="No control",(SUMIF(Tank1!$B$32:$B$49,$J3415,Tank1!$C$32:$C$49)*Impacts!$F$8),0)</f>
        <v>0</v>
      </c>
      <c r="M3415" s="10">
        <f>IF(Tank2!$C$23="No control",(SUMIF(Tank2!$B$32:$B$49,$J3415,Tank2!$C$32:$C$49)*Impacts!$F$9),0)</f>
        <v>0</v>
      </c>
      <c r="N3415" s="10">
        <f>IF(Tank3!$C$23="No control",(SUMIF(Tank3!$B$32:$B$49,$J3415,Tank3!$C$32:$C$49)*Impacts!$F$10),0)</f>
        <v>0</v>
      </c>
      <c r="O3415" s="10">
        <f>IF(Tank4!$C$23="No control",(SUMIF(Tank4!$B$32:$B$49,$J3415,Tank4!$C$32:$C$49)*Impacts!$F$11),0)</f>
        <v>0</v>
      </c>
      <c r="P3415" s="10">
        <f>IF(Tank5!$C$23="No control",(SUMIF(Tank5!$B$32:$B$49,$J3415,Tank5!$C$32:$C$49)*Impacts!$F$12),0)</f>
        <v>0</v>
      </c>
      <c r="Q3415" s="10">
        <f>IFERROR(IF(('Loading-drum,tote'!$C$21)="No control",SUMIF(('Loading-drum,tote'!$B$31:$B$48),$J3415,('Loading-drum,tote'!$D$31:$D$48))*Impacts!$F$13,IF(('Loading-drum,tote'!$C$21)&lt;&gt;"No control",SUMIF(('Loading-drum,tote'!$B$31:$B$48),$J3415,('Loading-drum,tote'!$E$31:$E$48))*Impacts!$F$13,0)),0)</f>
        <v>0</v>
      </c>
      <c r="R3415" s="10">
        <f>IFERROR(IF(('Loading-truck'!$C$21)="No control",SUMIF(('Loading-truck'!$B$31:$B$48),$J3415,('Loading-truck'!$D$31:$D$48))*Impacts!$F$14,IF(('Loading-truck'!$C$21)&lt;&gt;"No control",SUMIF(('Loading-truck'!$B$31:$B$48),$J3415,('Loading-truck'!$E$31:$E$48))*Impacts!$F$14,0)),0)</f>
        <v>0</v>
      </c>
      <c r="S3415" s="10">
        <f>IFERROR(IF(('Loading-rail'!$C$21)="No control",SUMIF(('Loading-rail'!$B$31:$B$48),$J3415,('Loading-rail'!$D$31:$D$48))*Impacts!$F$15,IF(('Loading-rail'!$C$21)&lt;&gt;"No control",SUMIF(('Loading-rail'!$B$31:$B$48),$J3415,('Loading-rail'!$E$31:$E$48))*Impacts!$F$15,0)),0)</f>
        <v>0</v>
      </c>
      <c r="T3415" s="10">
        <f>IF(Flare!$C$7="",0,(SUMIF(Flare!$B$46:$B$185,$J3415,Flare!$E$46:$E$185)*Impacts!$F$16))</f>
        <v>0</v>
      </c>
      <c r="U3415" s="10">
        <f>IF(VCU!$C$9="",0,(SUMIF(VCU!$B$51:$B$193,$J3415,VCU!$E$51:$E$193)*Impacts!$F$17))</f>
        <v>0</v>
      </c>
      <c r="V3415" s="10">
        <f>IF(CAS!$C$7="",0,(SUMIF(CAS!$B$31:$B$167,$J3415,CAS!$E$31:$E$167)*Impacts!$F$18))</f>
        <v>0</v>
      </c>
      <c r="W3415" s="10">
        <f t="shared" si="93"/>
        <v>0</v>
      </c>
      <c r="AK3415" s="10" t="str">
        <f t="array" ref="AK3415">IFERROR(INDEX(SelectedSpecies,SMALL(IF(SelectedSpecies=AK$1,ROW(SelectedSpecies)),ROW(3416:3416)),2),"")</f>
        <v/>
      </c>
      <c r="BE3415" s="10"/>
      <c r="BI3415" s="10"/>
    </row>
    <row r="3416" spans="1:61" ht="21" customHeight="1" x14ac:dyDescent="0.25">
      <c r="A3416" s="10"/>
      <c r="B3416" s="10"/>
      <c r="E3416" s="10"/>
      <c r="G3416" s="10"/>
      <c r="I3416" s="436" t="s">
        <v>7872</v>
      </c>
      <c r="J3416" s="26" t="s">
        <v>7871</v>
      </c>
      <c r="K3416" s="10">
        <v>0.06</v>
      </c>
      <c r="L3416" s="73">
        <f>IF(Tank1!$C$23="No control",(SUMIF(Tank1!$B$32:$B$49,$J3416,Tank1!$C$32:$C$49)*Impacts!$F$8),0)</f>
        <v>0</v>
      </c>
      <c r="M3416" s="10">
        <f>IF(Tank2!$C$23="No control",(SUMIF(Tank2!$B$32:$B$49,$J3416,Tank2!$C$32:$C$49)*Impacts!$F$9),0)</f>
        <v>0</v>
      </c>
      <c r="N3416" s="10">
        <f>IF(Tank3!$C$23="No control",(SUMIF(Tank3!$B$32:$B$49,$J3416,Tank3!$C$32:$C$49)*Impacts!$F$10),0)</f>
        <v>0</v>
      </c>
      <c r="O3416" s="10">
        <f>IF(Tank4!$C$23="No control",(SUMIF(Tank4!$B$32:$B$49,$J3416,Tank4!$C$32:$C$49)*Impacts!$F$11),0)</f>
        <v>0</v>
      </c>
      <c r="P3416" s="10">
        <f>IF(Tank5!$C$23="No control",(SUMIF(Tank5!$B$32:$B$49,$J3416,Tank5!$C$32:$C$49)*Impacts!$F$12),0)</f>
        <v>0</v>
      </c>
      <c r="Q3416" s="10">
        <f>IFERROR(IF(('Loading-drum,tote'!$C$21)="No control",SUMIF(('Loading-drum,tote'!$B$31:$B$48),$J3416,('Loading-drum,tote'!$D$31:$D$48))*Impacts!$F$13,IF(('Loading-drum,tote'!$C$21)&lt;&gt;"No control",SUMIF(('Loading-drum,tote'!$B$31:$B$48),$J3416,('Loading-drum,tote'!$E$31:$E$48))*Impacts!$F$13,0)),0)</f>
        <v>0</v>
      </c>
      <c r="R3416" s="10">
        <f>IFERROR(IF(('Loading-truck'!$C$21)="No control",SUMIF(('Loading-truck'!$B$31:$B$48),$J3416,('Loading-truck'!$D$31:$D$48))*Impacts!$F$14,IF(('Loading-truck'!$C$21)&lt;&gt;"No control",SUMIF(('Loading-truck'!$B$31:$B$48),$J3416,('Loading-truck'!$E$31:$E$48))*Impacts!$F$14,0)),0)</f>
        <v>0</v>
      </c>
      <c r="S3416" s="10">
        <f>IFERROR(IF(('Loading-rail'!$C$21)="No control",SUMIF(('Loading-rail'!$B$31:$B$48),$J3416,('Loading-rail'!$D$31:$D$48))*Impacts!$F$15,IF(('Loading-rail'!$C$21)&lt;&gt;"No control",SUMIF(('Loading-rail'!$B$31:$B$48),$J3416,('Loading-rail'!$E$31:$E$48))*Impacts!$F$15,0)),0)</f>
        <v>0</v>
      </c>
      <c r="T3416" s="10">
        <f>IF(Flare!$C$7="",0,(SUMIF(Flare!$B$46:$B$185,$J3416,Flare!$E$46:$E$185)*Impacts!$F$16))</f>
        <v>0</v>
      </c>
      <c r="U3416" s="10">
        <f>IF(VCU!$C$9="",0,(SUMIF(VCU!$B$51:$B$193,$J3416,VCU!$E$51:$E$193)*Impacts!$F$17))</f>
        <v>0</v>
      </c>
      <c r="V3416" s="10">
        <f>IF(CAS!$C$7="",0,(SUMIF(CAS!$B$31:$B$167,$J3416,CAS!$E$31:$E$167)*Impacts!$F$18))</f>
        <v>0</v>
      </c>
      <c r="W3416" s="10">
        <f t="shared" si="93"/>
        <v>0</v>
      </c>
      <c r="AK3416" s="10" t="str">
        <f t="array" ref="AK3416">IFERROR(INDEX(SelectedSpecies,SMALL(IF(SelectedSpecies=AK$1,ROW(SelectedSpecies)),ROW(3417:3417)),2),"")</f>
        <v/>
      </c>
      <c r="BE3416" s="10"/>
      <c r="BI3416" s="10"/>
    </row>
    <row r="3417" spans="1:61" ht="21" customHeight="1" x14ac:dyDescent="0.25">
      <c r="A3417" s="10"/>
      <c r="B3417" s="10"/>
      <c r="E3417" s="10"/>
      <c r="G3417" s="10"/>
      <c r="I3417" s="436" t="s">
        <v>4447</v>
      </c>
      <c r="J3417" s="26" t="s">
        <v>4446</v>
      </c>
      <c r="K3417" s="10">
        <v>4.5</v>
      </c>
      <c r="L3417" s="73">
        <f>IF(Tank1!$C$23="No control",(SUMIF(Tank1!$B$32:$B$49,$J3417,Tank1!$C$32:$C$49)*Impacts!$F$8),0)</f>
        <v>0</v>
      </c>
      <c r="M3417" s="10">
        <f>IF(Tank2!$C$23="No control",(SUMIF(Tank2!$B$32:$B$49,$J3417,Tank2!$C$32:$C$49)*Impacts!$F$9),0)</f>
        <v>0</v>
      </c>
      <c r="N3417" s="10">
        <f>IF(Tank3!$C$23="No control",(SUMIF(Tank3!$B$32:$B$49,$J3417,Tank3!$C$32:$C$49)*Impacts!$F$10),0)</f>
        <v>0</v>
      </c>
      <c r="O3417" s="10">
        <f>IF(Tank4!$C$23="No control",(SUMIF(Tank4!$B$32:$B$49,$J3417,Tank4!$C$32:$C$49)*Impacts!$F$11),0)</f>
        <v>0</v>
      </c>
      <c r="P3417" s="10">
        <f>IF(Tank5!$C$23="No control",(SUMIF(Tank5!$B$32:$B$49,$J3417,Tank5!$C$32:$C$49)*Impacts!$F$12),0)</f>
        <v>0</v>
      </c>
      <c r="Q3417" s="10">
        <f>IFERROR(IF(('Loading-drum,tote'!$C$21)="No control",SUMIF(('Loading-drum,tote'!$B$31:$B$48),$J3417,('Loading-drum,tote'!$D$31:$D$48))*Impacts!$F$13,IF(('Loading-drum,tote'!$C$21)&lt;&gt;"No control",SUMIF(('Loading-drum,tote'!$B$31:$B$48),$J3417,('Loading-drum,tote'!$E$31:$E$48))*Impacts!$F$13,0)),0)</f>
        <v>0</v>
      </c>
      <c r="R3417" s="10">
        <f>IFERROR(IF(('Loading-truck'!$C$21)="No control",SUMIF(('Loading-truck'!$B$31:$B$48),$J3417,('Loading-truck'!$D$31:$D$48))*Impacts!$F$14,IF(('Loading-truck'!$C$21)&lt;&gt;"No control",SUMIF(('Loading-truck'!$B$31:$B$48),$J3417,('Loading-truck'!$E$31:$E$48))*Impacts!$F$14,0)),0)</f>
        <v>0</v>
      </c>
      <c r="S3417" s="10">
        <f>IFERROR(IF(('Loading-rail'!$C$21)="No control",SUMIF(('Loading-rail'!$B$31:$B$48),$J3417,('Loading-rail'!$D$31:$D$48))*Impacts!$F$15,IF(('Loading-rail'!$C$21)&lt;&gt;"No control",SUMIF(('Loading-rail'!$B$31:$B$48),$J3417,('Loading-rail'!$E$31:$E$48))*Impacts!$F$15,0)),0)</f>
        <v>0</v>
      </c>
      <c r="T3417" s="10">
        <f>IF(Flare!$C$7="",0,(SUMIF(Flare!$B$46:$B$185,$J3417,Flare!$E$46:$E$185)*Impacts!$F$16))</f>
        <v>0</v>
      </c>
      <c r="U3417" s="10">
        <f>IF(VCU!$C$9="",0,(SUMIF(VCU!$B$51:$B$193,$J3417,VCU!$E$51:$E$193)*Impacts!$F$17))</f>
        <v>0</v>
      </c>
      <c r="V3417" s="10">
        <f>IF(CAS!$C$7="",0,(SUMIF(CAS!$B$31:$B$167,$J3417,CAS!$E$31:$E$167)*Impacts!$F$18))</f>
        <v>0</v>
      </c>
      <c r="W3417" s="10">
        <f t="shared" si="93"/>
        <v>0</v>
      </c>
      <c r="AK3417" s="10" t="str">
        <f t="array" ref="AK3417">IFERROR(INDEX(SelectedSpecies,SMALL(IF(SelectedSpecies=AK$1,ROW(SelectedSpecies)),ROW(3418:3418)),2),"")</f>
        <v/>
      </c>
      <c r="BE3417" s="10"/>
      <c r="BI3417" s="10"/>
    </row>
    <row r="3418" spans="1:61" ht="21" customHeight="1" x14ac:dyDescent="0.25">
      <c r="A3418" s="10"/>
      <c r="B3418" s="10"/>
      <c r="E3418" s="10"/>
      <c r="G3418" s="10"/>
      <c r="I3418" s="436" t="s">
        <v>558</v>
      </c>
      <c r="J3418" s="26" t="s">
        <v>557</v>
      </c>
      <c r="K3418" s="10">
        <v>100</v>
      </c>
      <c r="L3418" s="73">
        <f>IF(Tank1!$C$23="No control",(SUMIF(Tank1!$B$32:$B$49,$J3418,Tank1!$C$32:$C$49)*Impacts!$F$8),0)</f>
        <v>0</v>
      </c>
      <c r="M3418" s="10">
        <f>IF(Tank2!$C$23="No control",(SUMIF(Tank2!$B$32:$B$49,$J3418,Tank2!$C$32:$C$49)*Impacts!$F$9),0)</f>
        <v>0</v>
      </c>
      <c r="N3418" s="10">
        <f>IF(Tank3!$C$23="No control",(SUMIF(Tank3!$B$32:$B$49,$J3418,Tank3!$C$32:$C$49)*Impacts!$F$10),0)</f>
        <v>0</v>
      </c>
      <c r="O3418" s="10">
        <f>IF(Tank4!$C$23="No control",(SUMIF(Tank4!$B$32:$B$49,$J3418,Tank4!$C$32:$C$49)*Impacts!$F$11),0)</f>
        <v>0</v>
      </c>
      <c r="P3418" s="10">
        <f>IF(Tank5!$C$23="No control",(SUMIF(Tank5!$B$32:$B$49,$J3418,Tank5!$C$32:$C$49)*Impacts!$F$12),0)</f>
        <v>0</v>
      </c>
      <c r="Q3418" s="10">
        <f>IFERROR(IF(('Loading-drum,tote'!$C$21)="No control",SUMIF(('Loading-drum,tote'!$B$31:$B$48),$J3418,('Loading-drum,tote'!$D$31:$D$48))*Impacts!$F$13,IF(('Loading-drum,tote'!$C$21)&lt;&gt;"No control",SUMIF(('Loading-drum,tote'!$B$31:$B$48),$J3418,('Loading-drum,tote'!$E$31:$E$48))*Impacts!$F$13,0)),0)</f>
        <v>0</v>
      </c>
      <c r="R3418" s="10">
        <f>IFERROR(IF(('Loading-truck'!$C$21)="No control",SUMIF(('Loading-truck'!$B$31:$B$48),$J3418,('Loading-truck'!$D$31:$D$48))*Impacts!$F$14,IF(('Loading-truck'!$C$21)&lt;&gt;"No control",SUMIF(('Loading-truck'!$B$31:$B$48),$J3418,('Loading-truck'!$E$31:$E$48))*Impacts!$F$14,0)),0)</f>
        <v>0</v>
      </c>
      <c r="S3418" s="10">
        <f>IFERROR(IF(('Loading-rail'!$C$21)="No control",SUMIF(('Loading-rail'!$B$31:$B$48),$J3418,('Loading-rail'!$D$31:$D$48))*Impacts!$F$15,IF(('Loading-rail'!$C$21)&lt;&gt;"No control",SUMIF(('Loading-rail'!$B$31:$B$48),$J3418,('Loading-rail'!$E$31:$E$48))*Impacts!$F$15,0)),0)</f>
        <v>0</v>
      </c>
      <c r="T3418" s="10">
        <f>IF(Flare!$C$7="",0,(SUMIF(Flare!$B$46:$B$185,$J3418,Flare!$E$46:$E$185)*Impacts!$F$16))</f>
        <v>0</v>
      </c>
      <c r="U3418" s="10">
        <f>IF(VCU!$C$9="",0,(SUMIF(VCU!$B$51:$B$193,$J3418,VCU!$E$51:$E$193)*Impacts!$F$17))</f>
        <v>0</v>
      </c>
      <c r="V3418" s="10">
        <f>IF(CAS!$C$7="",0,(SUMIF(CAS!$B$31:$B$167,$J3418,CAS!$E$31:$E$167)*Impacts!$F$18))</f>
        <v>0</v>
      </c>
      <c r="W3418" s="10">
        <f t="shared" ref="W3418:W3481" si="94">SUM(L3418:V3418)</f>
        <v>0</v>
      </c>
      <c r="AK3418" s="10" t="str">
        <f t="array" ref="AK3418">IFERROR(INDEX(SelectedSpecies,SMALL(IF(SelectedSpecies=AK$1,ROW(SelectedSpecies)),ROW(3419:3419)),2),"")</f>
        <v/>
      </c>
      <c r="BE3418" s="10"/>
      <c r="BI3418" s="10"/>
    </row>
    <row r="3419" spans="1:61" ht="21" customHeight="1" x14ac:dyDescent="0.25">
      <c r="A3419" s="10"/>
      <c r="B3419" s="10"/>
      <c r="E3419" s="10"/>
      <c r="G3419" s="10"/>
      <c r="I3419" s="436" t="s">
        <v>335</v>
      </c>
      <c r="J3419" s="26" t="s">
        <v>334</v>
      </c>
      <c r="K3419" s="10">
        <v>420</v>
      </c>
      <c r="L3419" s="73">
        <f>IF(Tank1!$C$23="No control",(SUMIF(Tank1!$B$32:$B$49,$J3419,Tank1!$C$32:$C$49)*Impacts!$F$8),0)</f>
        <v>0</v>
      </c>
      <c r="M3419" s="10">
        <f>IF(Tank2!$C$23="No control",(SUMIF(Tank2!$B$32:$B$49,$J3419,Tank2!$C$32:$C$49)*Impacts!$F$9),0)</f>
        <v>0</v>
      </c>
      <c r="N3419" s="10">
        <f>IF(Tank3!$C$23="No control",(SUMIF(Tank3!$B$32:$B$49,$J3419,Tank3!$C$32:$C$49)*Impacts!$F$10),0)</f>
        <v>0</v>
      </c>
      <c r="O3419" s="10">
        <f>IF(Tank4!$C$23="No control",(SUMIF(Tank4!$B$32:$B$49,$J3419,Tank4!$C$32:$C$49)*Impacts!$F$11),0)</f>
        <v>0</v>
      </c>
      <c r="P3419" s="10">
        <f>IF(Tank5!$C$23="No control",(SUMIF(Tank5!$B$32:$B$49,$J3419,Tank5!$C$32:$C$49)*Impacts!$F$12),0)</f>
        <v>0</v>
      </c>
      <c r="Q3419" s="10">
        <f>IFERROR(IF(('Loading-drum,tote'!$C$21)="No control",SUMIF(('Loading-drum,tote'!$B$31:$B$48),$J3419,('Loading-drum,tote'!$D$31:$D$48))*Impacts!$F$13,IF(('Loading-drum,tote'!$C$21)&lt;&gt;"No control",SUMIF(('Loading-drum,tote'!$B$31:$B$48),$J3419,('Loading-drum,tote'!$E$31:$E$48))*Impacts!$F$13,0)),0)</f>
        <v>0</v>
      </c>
      <c r="R3419" s="10">
        <f>IFERROR(IF(('Loading-truck'!$C$21)="No control",SUMIF(('Loading-truck'!$B$31:$B$48),$J3419,('Loading-truck'!$D$31:$D$48))*Impacts!$F$14,IF(('Loading-truck'!$C$21)&lt;&gt;"No control",SUMIF(('Loading-truck'!$B$31:$B$48),$J3419,('Loading-truck'!$E$31:$E$48))*Impacts!$F$14,0)),0)</f>
        <v>0</v>
      </c>
      <c r="S3419" s="10">
        <f>IFERROR(IF(('Loading-rail'!$C$21)="No control",SUMIF(('Loading-rail'!$B$31:$B$48),$J3419,('Loading-rail'!$D$31:$D$48))*Impacts!$F$15,IF(('Loading-rail'!$C$21)&lt;&gt;"No control",SUMIF(('Loading-rail'!$B$31:$B$48),$J3419,('Loading-rail'!$E$31:$E$48))*Impacts!$F$15,0)),0)</f>
        <v>0</v>
      </c>
      <c r="T3419" s="10">
        <f>IF(Flare!$C$7="",0,(SUMIF(Flare!$B$46:$B$185,$J3419,Flare!$E$46:$E$185)*Impacts!$F$16))</f>
        <v>0</v>
      </c>
      <c r="U3419" s="10">
        <f>IF(VCU!$C$9="",0,(SUMIF(VCU!$B$51:$B$193,$J3419,VCU!$E$51:$E$193)*Impacts!$F$17))</f>
        <v>0</v>
      </c>
      <c r="V3419" s="10">
        <f>IF(CAS!$C$7="",0,(SUMIF(CAS!$B$31:$B$167,$J3419,CAS!$E$31:$E$167)*Impacts!$F$18))</f>
        <v>0</v>
      </c>
      <c r="W3419" s="10">
        <f t="shared" si="94"/>
        <v>0</v>
      </c>
      <c r="AK3419" s="10" t="str">
        <f t="array" ref="AK3419">IFERROR(INDEX(SelectedSpecies,SMALL(IF(SelectedSpecies=AK$1,ROW(SelectedSpecies)),ROW(3420:3420)),2),"")</f>
        <v/>
      </c>
      <c r="BE3419" s="10"/>
      <c r="BI3419" s="10"/>
    </row>
    <row r="3420" spans="1:61" ht="21" customHeight="1" x14ac:dyDescent="0.25">
      <c r="A3420" s="10"/>
      <c r="B3420" s="10"/>
      <c r="E3420" s="10"/>
      <c r="G3420" s="10"/>
      <c r="I3420" s="436" t="s">
        <v>6166</v>
      </c>
      <c r="J3420" s="26" t="s">
        <v>6165</v>
      </c>
      <c r="K3420" s="10">
        <v>1</v>
      </c>
      <c r="L3420" s="73">
        <f>IF(Tank1!$C$23="No control",(SUMIF(Tank1!$B$32:$B$49,$J3420,Tank1!$C$32:$C$49)*Impacts!$F$8),0)</f>
        <v>0</v>
      </c>
      <c r="M3420" s="10">
        <f>IF(Tank2!$C$23="No control",(SUMIF(Tank2!$B$32:$B$49,$J3420,Tank2!$C$32:$C$49)*Impacts!$F$9),0)</f>
        <v>0</v>
      </c>
      <c r="N3420" s="10">
        <f>IF(Tank3!$C$23="No control",(SUMIF(Tank3!$B$32:$B$49,$J3420,Tank3!$C$32:$C$49)*Impacts!$F$10),0)</f>
        <v>0</v>
      </c>
      <c r="O3420" s="10">
        <f>IF(Tank4!$C$23="No control",(SUMIF(Tank4!$B$32:$B$49,$J3420,Tank4!$C$32:$C$49)*Impacts!$F$11),0)</f>
        <v>0</v>
      </c>
      <c r="P3420" s="10">
        <f>IF(Tank5!$C$23="No control",(SUMIF(Tank5!$B$32:$B$49,$J3420,Tank5!$C$32:$C$49)*Impacts!$F$12),0)</f>
        <v>0</v>
      </c>
      <c r="Q3420" s="10">
        <f>IFERROR(IF(('Loading-drum,tote'!$C$21)="No control",SUMIF(('Loading-drum,tote'!$B$31:$B$48),$J3420,('Loading-drum,tote'!$D$31:$D$48))*Impacts!$F$13,IF(('Loading-drum,tote'!$C$21)&lt;&gt;"No control",SUMIF(('Loading-drum,tote'!$B$31:$B$48),$J3420,('Loading-drum,tote'!$E$31:$E$48))*Impacts!$F$13,0)),0)</f>
        <v>0</v>
      </c>
      <c r="R3420" s="10">
        <f>IFERROR(IF(('Loading-truck'!$C$21)="No control",SUMIF(('Loading-truck'!$B$31:$B$48),$J3420,('Loading-truck'!$D$31:$D$48))*Impacts!$F$14,IF(('Loading-truck'!$C$21)&lt;&gt;"No control",SUMIF(('Loading-truck'!$B$31:$B$48),$J3420,('Loading-truck'!$E$31:$E$48))*Impacts!$F$14,0)),0)</f>
        <v>0</v>
      </c>
      <c r="S3420" s="10">
        <f>IFERROR(IF(('Loading-rail'!$C$21)="No control",SUMIF(('Loading-rail'!$B$31:$B$48),$J3420,('Loading-rail'!$D$31:$D$48))*Impacts!$F$15,IF(('Loading-rail'!$C$21)&lt;&gt;"No control",SUMIF(('Loading-rail'!$B$31:$B$48),$J3420,('Loading-rail'!$E$31:$E$48))*Impacts!$F$15,0)),0)</f>
        <v>0</v>
      </c>
      <c r="T3420" s="10">
        <f>IF(Flare!$C$7="",0,(SUMIF(Flare!$B$46:$B$185,$J3420,Flare!$E$46:$E$185)*Impacts!$F$16))</f>
        <v>0</v>
      </c>
      <c r="U3420" s="10">
        <f>IF(VCU!$C$9="",0,(SUMIF(VCU!$B$51:$B$193,$J3420,VCU!$E$51:$E$193)*Impacts!$F$17))</f>
        <v>0</v>
      </c>
      <c r="V3420" s="10">
        <f>IF(CAS!$C$7="",0,(SUMIF(CAS!$B$31:$B$167,$J3420,CAS!$E$31:$E$167)*Impacts!$F$18))</f>
        <v>0</v>
      </c>
      <c r="W3420" s="10">
        <f t="shared" si="94"/>
        <v>0</v>
      </c>
      <c r="AK3420" s="10" t="str">
        <f t="array" ref="AK3420">IFERROR(INDEX(SelectedSpecies,SMALL(IF(SelectedSpecies=AK$1,ROW(SelectedSpecies)),ROW(3421:3421)),2),"")</f>
        <v/>
      </c>
      <c r="BE3420" s="10"/>
      <c r="BI3420" s="10"/>
    </row>
    <row r="3421" spans="1:61" ht="21" customHeight="1" x14ac:dyDescent="0.25">
      <c r="A3421" s="10"/>
      <c r="B3421" s="10"/>
      <c r="E3421" s="10"/>
      <c r="G3421" s="10"/>
      <c r="I3421" s="436" t="s">
        <v>7972</v>
      </c>
      <c r="J3421" s="26" t="s">
        <v>7971</v>
      </c>
      <c r="K3421" s="10">
        <v>4.0000000000000008E-2</v>
      </c>
      <c r="L3421" s="73">
        <f>IF(Tank1!$C$23="No control",(SUMIF(Tank1!$B$32:$B$49,$J3421,Tank1!$C$32:$C$49)*Impacts!$F$8),0)</f>
        <v>0</v>
      </c>
      <c r="M3421" s="10">
        <f>IF(Tank2!$C$23="No control",(SUMIF(Tank2!$B$32:$B$49,$J3421,Tank2!$C$32:$C$49)*Impacts!$F$9),0)</f>
        <v>0</v>
      </c>
      <c r="N3421" s="10">
        <f>IF(Tank3!$C$23="No control",(SUMIF(Tank3!$B$32:$B$49,$J3421,Tank3!$C$32:$C$49)*Impacts!$F$10),0)</f>
        <v>0</v>
      </c>
      <c r="O3421" s="10">
        <f>IF(Tank4!$C$23="No control",(SUMIF(Tank4!$B$32:$B$49,$J3421,Tank4!$C$32:$C$49)*Impacts!$F$11),0)</f>
        <v>0</v>
      </c>
      <c r="P3421" s="10">
        <f>IF(Tank5!$C$23="No control",(SUMIF(Tank5!$B$32:$B$49,$J3421,Tank5!$C$32:$C$49)*Impacts!$F$12),0)</f>
        <v>0</v>
      </c>
      <c r="Q3421" s="10">
        <f>IFERROR(IF(('Loading-drum,tote'!$C$21)="No control",SUMIF(('Loading-drum,tote'!$B$31:$B$48),$J3421,('Loading-drum,tote'!$D$31:$D$48))*Impacts!$F$13,IF(('Loading-drum,tote'!$C$21)&lt;&gt;"No control",SUMIF(('Loading-drum,tote'!$B$31:$B$48),$J3421,('Loading-drum,tote'!$E$31:$E$48))*Impacts!$F$13,0)),0)</f>
        <v>0</v>
      </c>
      <c r="R3421" s="10">
        <f>IFERROR(IF(('Loading-truck'!$C$21)="No control",SUMIF(('Loading-truck'!$B$31:$B$48),$J3421,('Loading-truck'!$D$31:$D$48))*Impacts!$F$14,IF(('Loading-truck'!$C$21)&lt;&gt;"No control",SUMIF(('Loading-truck'!$B$31:$B$48),$J3421,('Loading-truck'!$E$31:$E$48))*Impacts!$F$14,0)),0)</f>
        <v>0</v>
      </c>
      <c r="S3421" s="10">
        <f>IFERROR(IF(('Loading-rail'!$C$21)="No control",SUMIF(('Loading-rail'!$B$31:$B$48),$J3421,('Loading-rail'!$D$31:$D$48))*Impacts!$F$15,IF(('Loading-rail'!$C$21)&lt;&gt;"No control",SUMIF(('Loading-rail'!$B$31:$B$48),$J3421,('Loading-rail'!$E$31:$E$48))*Impacts!$F$15,0)),0)</f>
        <v>0</v>
      </c>
      <c r="T3421" s="10">
        <f>IF(Flare!$C$7="",0,(SUMIF(Flare!$B$46:$B$185,$J3421,Flare!$E$46:$E$185)*Impacts!$F$16))</f>
        <v>0</v>
      </c>
      <c r="U3421" s="10">
        <f>IF(VCU!$C$9="",0,(SUMIF(VCU!$B$51:$B$193,$J3421,VCU!$E$51:$E$193)*Impacts!$F$17))</f>
        <v>0</v>
      </c>
      <c r="V3421" s="10">
        <f>IF(CAS!$C$7="",0,(SUMIF(CAS!$B$31:$B$167,$J3421,CAS!$E$31:$E$167)*Impacts!$F$18))</f>
        <v>0</v>
      </c>
      <c r="W3421" s="10">
        <f t="shared" si="94"/>
        <v>0</v>
      </c>
      <c r="AK3421" s="10" t="str">
        <f t="array" ref="AK3421">IFERROR(INDEX(SelectedSpecies,SMALL(IF(SelectedSpecies=AK$1,ROW(SelectedSpecies)),ROW(3422:3422)),2),"")</f>
        <v/>
      </c>
      <c r="BE3421" s="10"/>
      <c r="BI3421" s="10"/>
    </row>
    <row r="3422" spans="1:61" ht="21" customHeight="1" x14ac:dyDescent="0.25">
      <c r="A3422" s="10"/>
      <c r="B3422" s="10"/>
      <c r="E3422" s="10"/>
      <c r="G3422" s="10"/>
      <c r="I3422" s="436" t="s">
        <v>431</v>
      </c>
      <c r="J3422" s="26" t="s">
        <v>430</v>
      </c>
      <c r="K3422" s="10">
        <v>180</v>
      </c>
      <c r="L3422" s="73">
        <f>IF(Tank1!$C$23="No control",(SUMIF(Tank1!$B$32:$B$49,$J3422,Tank1!$C$32:$C$49)*Impacts!$F$8),0)</f>
        <v>0</v>
      </c>
      <c r="M3422" s="10">
        <f>IF(Tank2!$C$23="No control",(SUMIF(Tank2!$B$32:$B$49,$J3422,Tank2!$C$32:$C$49)*Impacts!$F$9),0)</f>
        <v>0</v>
      </c>
      <c r="N3422" s="10">
        <f>IF(Tank3!$C$23="No control",(SUMIF(Tank3!$B$32:$B$49,$J3422,Tank3!$C$32:$C$49)*Impacts!$F$10),0)</f>
        <v>0</v>
      </c>
      <c r="O3422" s="10">
        <f>IF(Tank4!$C$23="No control",(SUMIF(Tank4!$B$32:$B$49,$J3422,Tank4!$C$32:$C$49)*Impacts!$F$11),0)</f>
        <v>0</v>
      </c>
      <c r="P3422" s="10">
        <f>IF(Tank5!$C$23="No control",(SUMIF(Tank5!$B$32:$B$49,$J3422,Tank5!$C$32:$C$49)*Impacts!$F$12),0)</f>
        <v>0</v>
      </c>
      <c r="Q3422" s="10">
        <f>IFERROR(IF(('Loading-drum,tote'!$C$21)="No control",SUMIF(('Loading-drum,tote'!$B$31:$B$48),$J3422,('Loading-drum,tote'!$D$31:$D$48))*Impacts!$F$13,IF(('Loading-drum,tote'!$C$21)&lt;&gt;"No control",SUMIF(('Loading-drum,tote'!$B$31:$B$48),$J3422,('Loading-drum,tote'!$E$31:$E$48))*Impacts!$F$13,0)),0)</f>
        <v>0</v>
      </c>
      <c r="R3422" s="10">
        <f>IFERROR(IF(('Loading-truck'!$C$21)="No control",SUMIF(('Loading-truck'!$B$31:$B$48),$J3422,('Loading-truck'!$D$31:$D$48))*Impacts!$F$14,IF(('Loading-truck'!$C$21)&lt;&gt;"No control",SUMIF(('Loading-truck'!$B$31:$B$48),$J3422,('Loading-truck'!$E$31:$E$48))*Impacts!$F$14,0)),0)</f>
        <v>0</v>
      </c>
      <c r="S3422" s="10">
        <f>IFERROR(IF(('Loading-rail'!$C$21)="No control",SUMIF(('Loading-rail'!$B$31:$B$48),$J3422,('Loading-rail'!$D$31:$D$48))*Impacts!$F$15,IF(('Loading-rail'!$C$21)&lt;&gt;"No control",SUMIF(('Loading-rail'!$B$31:$B$48),$J3422,('Loading-rail'!$E$31:$E$48))*Impacts!$F$15,0)),0)</f>
        <v>0</v>
      </c>
      <c r="T3422" s="10">
        <f>IF(Flare!$C$7="",0,(SUMIF(Flare!$B$46:$B$185,$J3422,Flare!$E$46:$E$185)*Impacts!$F$16))</f>
        <v>0</v>
      </c>
      <c r="U3422" s="10">
        <f>IF(VCU!$C$9="",0,(SUMIF(VCU!$B$51:$B$193,$J3422,VCU!$E$51:$E$193)*Impacts!$F$17))</f>
        <v>0</v>
      </c>
      <c r="V3422" s="10">
        <f>IF(CAS!$C$7="",0,(SUMIF(CAS!$B$31:$B$167,$J3422,CAS!$E$31:$E$167)*Impacts!$F$18))</f>
        <v>0</v>
      </c>
      <c r="W3422" s="10">
        <f t="shared" si="94"/>
        <v>0</v>
      </c>
      <c r="AK3422" s="10" t="str">
        <f t="array" ref="AK3422">IFERROR(INDEX(SelectedSpecies,SMALL(IF(SelectedSpecies=AK$1,ROW(SelectedSpecies)),ROW(3423:3423)),2),"")</f>
        <v/>
      </c>
      <c r="BE3422" s="10"/>
      <c r="BI3422" s="10"/>
    </row>
    <row r="3423" spans="1:61" ht="21" customHeight="1" x14ac:dyDescent="0.25">
      <c r="A3423" s="10"/>
      <c r="B3423" s="10"/>
      <c r="E3423" s="10"/>
      <c r="G3423" s="10"/>
      <c r="I3423" s="436" t="s">
        <v>385</v>
      </c>
      <c r="J3423" s="26" t="s">
        <v>384</v>
      </c>
      <c r="K3423" s="10">
        <v>300</v>
      </c>
      <c r="L3423" s="73">
        <f>IF(Tank1!$C$23="No control",(SUMIF(Tank1!$B$32:$B$49,$J3423,Tank1!$C$32:$C$49)*Impacts!$F$8),0)</f>
        <v>0</v>
      </c>
      <c r="M3423" s="10">
        <f>IF(Tank2!$C$23="No control",(SUMIF(Tank2!$B$32:$B$49,$J3423,Tank2!$C$32:$C$49)*Impacts!$F$9),0)</f>
        <v>0</v>
      </c>
      <c r="N3423" s="10">
        <f>IF(Tank3!$C$23="No control",(SUMIF(Tank3!$B$32:$B$49,$J3423,Tank3!$C$32:$C$49)*Impacts!$F$10),0)</f>
        <v>0</v>
      </c>
      <c r="O3423" s="10">
        <f>IF(Tank4!$C$23="No control",(SUMIF(Tank4!$B$32:$B$49,$J3423,Tank4!$C$32:$C$49)*Impacts!$F$11),0)</f>
        <v>0</v>
      </c>
      <c r="P3423" s="10">
        <f>IF(Tank5!$C$23="No control",(SUMIF(Tank5!$B$32:$B$49,$J3423,Tank5!$C$32:$C$49)*Impacts!$F$12),0)</f>
        <v>0</v>
      </c>
      <c r="Q3423" s="10">
        <f>IFERROR(IF(('Loading-drum,tote'!$C$21)="No control",SUMIF(('Loading-drum,tote'!$B$31:$B$48),$J3423,('Loading-drum,tote'!$D$31:$D$48))*Impacts!$F$13,IF(('Loading-drum,tote'!$C$21)&lt;&gt;"No control",SUMIF(('Loading-drum,tote'!$B$31:$B$48),$J3423,('Loading-drum,tote'!$E$31:$E$48))*Impacts!$F$13,0)),0)</f>
        <v>0</v>
      </c>
      <c r="R3423" s="10">
        <f>IFERROR(IF(('Loading-truck'!$C$21)="No control",SUMIF(('Loading-truck'!$B$31:$B$48),$J3423,('Loading-truck'!$D$31:$D$48))*Impacts!$F$14,IF(('Loading-truck'!$C$21)&lt;&gt;"No control",SUMIF(('Loading-truck'!$B$31:$B$48),$J3423,('Loading-truck'!$E$31:$E$48))*Impacts!$F$14,0)),0)</f>
        <v>0</v>
      </c>
      <c r="S3423" s="10">
        <f>IFERROR(IF(('Loading-rail'!$C$21)="No control",SUMIF(('Loading-rail'!$B$31:$B$48),$J3423,('Loading-rail'!$D$31:$D$48))*Impacts!$F$15,IF(('Loading-rail'!$C$21)&lt;&gt;"No control",SUMIF(('Loading-rail'!$B$31:$B$48),$J3423,('Loading-rail'!$E$31:$E$48))*Impacts!$F$15,0)),0)</f>
        <v>0</v>
      </c>
      <c r="T3423" s="10">
        <f>IF(Flare!$C$7="",0,(SUMIF(Flare!$B$46:$B$185,$J3423,Flare!$E$46:$E$185)*Impacts!$F$16))</f>
        <v>0</v>
      </c>
      <c r="U3423" s="10">
        <f>IF(VCU!$C$9="",0,(SUMIF(VCU!$B$51:$B$193,$J3423,VCU!$E$51:$E$193)*Impacts!$F$17))</f>
        <v>0</v>
      </c>
      <c r="V3423" s="10">
        <f>IF(CAS!$C$7="",0,(SUMIF(CAS!$B$31:$B$167,$J3423,CAS!$E$31:$E$167)*Impacts!$F$18))</f>
        <v>0</v>
      </c>
      <c r="W3423" s="10">
        <f t="shared" si="94"/>
        <v>0</v>
      </c>
      <c r="AK3423" s="10" t="str">
        <f t="array" ref="AK3423">IFERROR(INDEX(SelectedSpecies,SMALL(IF(SelectedSpecies=AK$1,ROW(SelectedSpecies)),ROW(3424:3424)),2),"")</f>
        <v/>
      </c>
      <c r="BE3423" s="10"/>
      <c r="BI3423" s="10"/>
    </row>
    <row r="3424" spans="1:61" ht="21" customHeight="1" x14ac:dyDescent="0.25">
      <c r="A3424" s="10"/>
      <c r="B3424" s="10"/>
      <c r="E3424" s="10"/>
      <c r="G3424" s="10"/>
      <c r="I3424" s="436" t="s">
        <v>6168</v>
      </c>
      <c r="J3424" s="26" t="s">
        <v>6167</v>
      </c>
      <c r="K3424" s="10">
        <v>1</v>
      </c>
      <c r="L3424" s="73">
        <f>IF(Tank1!$C$23="No control",(SUMIF(Tank1!$B$32:$B$49,$J3424,Tank1!$C$32:$C$49)*Impacts!$F$8),0)</f>
        <v>0</v>
      </c>
      <c r="M3424" s="10">
        <f>IF(Tank2!$C$23="No control",(SUMIF(Tank2!$B$32:$B$49,$J3424,Tank2!$C$32:$C$49)*Impacts!$F$9),0)</f>
        <v>0</v>
      </c>
      <c r="N3424" s="10">
        <f>IF(Tank3!$C$23="No control",(SUMIF(Tank3!$B$32:$B$49,$J3424,Tank3!$C$32:$C$49)*Impacts!$F$10),0)</f>
        <v>0</v>
      </c>
      <c r="O3424" s="10">
        <f>IF(Tank4!$C$23="No control",(SUMIF(Tank4!$B$32:$B$49,$J3424,Tank4!$C$32:$C$49)*Impacts!$F$11),0)</f>
        <v>0</v>
      </c>
      <c r="P3424" s="10">
        <f>IF(Tank5!$C$23="No control",(SUMIF(Tank5!$B$32:$B$49,$J3424,Tank5!$C$32:$C$49)*Impacts!$F$12),0)</f>
        <v>0</v>
      </c>
      <c r="Q3424" s="10">
        <f>IFERROR(IF(('Loading-drum,tote'!$C$21)="No control",SUMIF(('Loading-drum,tote'!$B$31:$B$48),$J3424,('Loading-drum,tote'!$D$31:$D$48))*Impacts!$F$13,IF(('Loading-drum,tote'!$C$21)&lt;&gt;"No control",SUMIF(('Loading-drum,tote'!$B$31:$B$48),$J3424,('Loading-drum,tote'!$E$31:$E$48))*Impacts!$F$13,0)),0)</f>
        <v>0</v>
      </c>
      <c r="R3424" s="10">
        <f>IFERROR(IF(('Loading-truck'!$C$21)="No control",SUMIF(('Loading-truck'!$B$31:$B$48),$J3424,('Loading-truck'!$D$31:$D$48))*Impacts!$F$14,IF(('Loading-truck'!$C$21)&lt;&gt;"No control",SUMIF(('Loading-truck'!$B$31:$B$48),$J3424,('Loading-truck'!$E$31:$E$48))*Impacts!$F$14,0)),0)</f>
        <v>0</v>
      </c>
      <c r="S3424" s="10">
        <f>IFERROR(IF(('Loading-rail'!$C$21)="No control",SUMIF(('Loading-rail'!$B$31:$B$48),$J3424,('Loading-rail'!$D$31:$D$48))*Impacts!$F$15,IF(('Loading-rail'!$C$21)&lt;&gt;"No control",SUMIF(('Loading-rail'!$B$31:$B$48),$J3424,('Loading-rail'!$E$31:$E$48))*Impacts!$F$15,0)),0)</f>
        <v>0</v>
      </c>
      <c r="T3424" s="10">
        <f>IF(Flare!$C$7="",0,(SUMIF(Flare!$B$46:$B$185,$J3424,Flare!$E$46:$E$185)*Impacts!$F$16))</f>
        <v>0</v>
      </c>
      <c r="U3424" s="10">
        <f>IF(VCU!$C$9="",0,(SUMIF(VCU!$B$51:$B$193,$J3424,VCU!$E$51:$E$193)*Impacts!$F$17))</f>
        <v>0</v>
      </c>
      <c r="V3424" s="10">
        <f>IF(CAS!$C$7="",0,(SUMIF(CAS!$B$31:$B$167,$J3424,CAS!$E$31:$E$167)*Impacts!$F$18))</f>
        <v>0</v>
      </c>
      <c r="W3424" s="10">
        <f t="shared" si="94"/>
        <v>0</v>
      </c>
      <c r="AK3424" s="10" t="str">
        <f t="array" ref="AK3424">IFERROR(INDEX(SelectedSpecies,SMALL(IF(SelectedSpecies=AK$1,ROW(SelectedSpecies)),ROW(3425:3425)),2),"")</f>
        <v/>
      </c>
      <c r="BE3424" s="10"/>
      <c r="BI3424" s="10"/>
    </row>
    <row r="3425" spans="1:61" ht="21" customHeight="1" x14ac:dyDescent="0.25">
      <c r="A3425" s="10"/>
      <c r="B3425" s="10"/>
      <c r="E3425" s="10"/>
      <c r="G3425" s="10"/>
      <c r="I3425" s="436" t="s">
        <v>7376</v>
      </c>
      <c r="J3425" s="26" t="s">
        <v>7375</v>
      </c>
      <c r="K3425" s="10">
        <v>0.25</v>
      </c>
      <c r="L3425" s="73">
        <f>IF(Tank1!$C$23="No control",(SUMIF(Tank1!$B$32:$B$49,$J3425,Tank1!$C$32:$C$49)*Impacts!$F$8),0)</f>
        <v>0</v>
      </c>
      <c r="M3425" s="10">
        <f>IF(Tank2!$C$23="No control",(SUMIF(Tank2!$B$32:$B$49,$J3425,Tank2!$C$32:$C$49)*Impacts!$F$9),0)</f>
        <v>0</v>
      </c>
      <c r="N3425" s="10">
        <f>IF(Tank3!$C$23="No control",(SUMIF(Tank3!$B$32:$B$49,$J3425,Tank3!$C$32:$C$49)*Impacts!$F$10),0)</f>
        <v>0</v>
      </c>
      <c r="O3425" s="10">
        <f>IF(Tank4!$C$23="No control",(SUMIF(Tank4!$B$32:$B$49,$J3425,Tank4!$C$32:$C$49)*Impacts!$F$11),0)</f>
        <v>0</v>
      </c>
      <c r="P3425" s="10">
        <f>IF(Tank5!$C$23="No control",(SUMIF(Tank5!$B$32:$B$49,$J3425,Tank5!$C$32:$C$49)*Impacts!$F$12),0)</f>
        <v>0</v>
      </c>
      <c r="Q3425" s="10">
        <f>IFERROR(IF(('Loading-drum,tote'!$C$21)="No control",SUMIF(('Loading-drum,tote'!$B$31:$B$48),$J3425,('Loading-drum,tote'!$D$31:$D$48))*Impacts!$F$13,IF(('Loading-drum,tote'!$C$21)&lt;&gt;"No control",SUMIF(('Loading-drum,tote'!$B$31:$B$48),$J3425,('Loading-drum,tote'!$E$31:$E$48))*Impacts!$F$13,0)),0)</f>
        <v>0</v>
      </c>
      <c r="R3425" s="10">
        <f>IFERROR(IF(('Loading-truck'!$C$21)="No control",SUMIF(('Loading-truck'!$B$31:$B$48),$J3425,('Loading-truck'!$D$31:$D$48))*Impacts!$F$14,IF(('Loading-truck'!$C$21)&lt;&gt;"No control",SUMIF(('Loading-truck'!$B$31:$B$48),$J3425,('Loading-truck'!$E$31:$E$48))*Impacts!$F$14,0)),0)</f>
        <v>0</v>
      </c>
      <c r="S3425" s="10">
        <f>IFERROR(IF(('Loading-rail'!$C$21)="No control",SUMIF(('Loading-rail'!$B$31:$B$48),$J3425,('Loading-rail'!$D$31:$D$48))*Impacts!$F$15,IF(('Loading-rail'!$C$21)&lt;&gt;"No control",SUMIF(('Loading-rail'!$B$31:$B$48),$J3425,('Loading-rail'!$E$31:$E$48))*Impacts!$F$15,0)),0)</f>
        <v>0</v>
      </c>
      <c r="T3425" s="10">
        <f>IF(Flare!$C$7="",0,(SUMIF(Flare!$B$46:$B$185,$J3425,Flare!$E$46:$E$185)*Impacts!$F$16))</f>
        <v>0</v>
      </c>
      <c r="U3425" s="10">
        <f>IF(VCU!$C$9="",0,(SUMIF(VCU!$B$51:$B$193,$J3425,VCU!$E$51:$E$193)*Impacts!$F$17))</f>
        <v>0</v>
      </c>
      <c r="V3425" s="10">
        <f>IF(CAS!$C$7="",0,(SUMIF(CAS!$B$31:$B$167,$J3425,CAS!$E$31:$E$167)*Impacts!$F$18))</f>
        <v>0</v>
      </c>
      <c r="W3425" s="10">
        <f t="shared" si="94"/>
        <v>0</v>
      </c>
      <c r="AK3425" s="10" t="str">
        <f t="array" ref="AK3425">IFERROR(INDEX(SelectedSpecies,SMALL(IF(SelectedSpecies=AK$1,ROW(SelectedSpecies)),ROW(3426:3426)),2),"")</f>
        <v/>
      </c>
      <c r="BE3425" s="10"/>
      <c r="BI3425" s="10"/>
    </row>
    <row r="3426" spans="1:61" ht="21" customHeight="1" x14ac:dyDescent="0.25">
      <c r="A3426" s="10"/>
      <c r="B3426" s="10"/>
      <c r="E3426" s="10"/>
      <c r="G3426" s="10"/>
      <c r="I3426" s="436" t="s">
        <v>4227</v>
      </c>
      <c r="J3426" s="26" t="s">
        <v>4226</v>
      </c>
      <c r="K3426" s="10">
        <v>5</v>
      </c>
      <c r="L3426" s="73">
        <f>IF(Tank1!$C$23="No control",(SUMIF(Tank1!$B$32:$B$49,$J3426,Tank1!$C$32:$C$49)*Impacts!$F$8),0)</f>
        <v>0</v>
      </c>
      <c r="M3426" s="10">
        <f>IF(Tank2!$C$23="No control",(SUMIF(Tank2!$B$32:$B$49,$J3426,Tank2!$C$32:$C$49)*Impacts!$F$9),0)</f>
        <v>0</v>
      </c>
      <c r="N3426" s="10">
        <f>IF(Tank3!$C$23="No control",(SUMIF(Tank3!$B$32:$B$49,$J3426,Tank3!$C$32:$C$49)*Impacts!$F$10),0)</f>
        <v>0</v>
      </c>
      <c r="O3426" s="10">
        <f>IF(Tank4!$C$23="No control",(SUMIF(Tank4!$B$32:$B$49,$J3426,Tank4!$C$32:$C$49)*Impacts!$F$11),0)</f>
        <v>0</v>
      </c>
      <c r="P3426" s="10">
        <f>IF(Tank5!$C$23="No control",(SUMIF(Tank5!$B$32:$B$49,$J3426,Tank5!$C$32:$C$49)*Impacts!$F$12),0)</f>
        <v>0</v>
      </c>
      <c r="Q3426" s="10">
        <f>IFERROR(IF(('Loading-drum,tote'!$C$21)="No control",SUMIF(('Loading-drum,tote'!$B$31:$B$48),$J3426,('Loading-drum,tote'!$D$31:$D$48))*Impacts!$F$13,IF(('Loading-drum,tote'!$C$21)&lt;&gt;"No control",SUMIF(('Loading-drum,tote'!$B$31:$B$48),$J3426,('Loading-drum,tote'!$E$31:$E$48))*Impacts!$F$13,0)),0)</f>
        <v>0</v>
      </c>
      <c r="R3426" s="10">
        <f>IFERROR(IF(('Loading-truck'!$C$21)="No control",SUMIF(('Loading-truck'!$B$31:$B$48),$J3426,('Loading-truck'!$D$31:$D$48))*Impacts!$F$14,IF(('Loading-truck'!$C$21)&lt;&gt;"No control",SUMIF(('Loading-truck'!$B$31:$B$48),$J3426,('Loading-truck'!$E$31:$E$48))*Impacts!$F$14,0)),0)</f>
        <v>0</v>
      </c>
      <c r="S3426" s="10">
        <f>IFERROR(IF(('Loading-rail'!$C$21)="No control",SUMIF(('Loading-rail'!$B$31:$B$48),$J3426,('Loading-rail'!$D$31:$D$48))*Impacts!$F$15,IF(('Loading-rail'!$C$21)&lt;&gt;"No control",SUMIF(('Loading-rail'!$B$31:$B$48),$J3426,('Loading-rail'!$E$31:$E$48))*Impacts!$F$15,0)),0)</f>
        <v>0</v>
      </c>
      <c r="T3426" s="10">
        <f>IF(Flare!$C$7="",0,(SUMIF(Flare!$B$46:$B$185,$J3426,Flare!$E$46:$E$185)*Impacts!$F$16))</f>
        <v>0</v>
      </c>
      <c r="U3426" s="10">
        <f>IF(VCU!$C$9="",0,(SUMIF(VCU!$B$51:$B$193,$J3426,VCU!$E$51:$E$193)*Impacts!$F$17))</f>
        <v>0</v>
      </c>
      <c r="V3426" s="10">
        <f>IF(CAS!$C$7="",0,(SUMIF(CAS!$B$31:$B$167,$J3426,CAS!$E$31:$E$167)*Impacts!$F$18))</f>
        <v>0</v>
      </c>
      <c r="W3426" s="10">
        <f t="shared" si="94"/>
        <v>0</v>
      </c>
      <c r="AK3426" s="10" t="str">
        <f t="array" ref="AK3426">IFERROR(INDEX(SelectedSpecies,SMALL(IF(SelectedSpecies=AK$1,ROW(SelectedSpecies)),ROW(3427:3427)),2),"")</f>
        <v/>
      </c>
      <c r="BE3426" s="10"/>
      <c r="BI3426" s="10"/>
    </row>
    <row r="3427" spans="1:61" ht="21" customHeight="1" x14ac:dyDescent="0.25">
      <c r="A3427" s="10"/>
      <c r="B3427" s="10"/>
      <c r="E3427" s="10"/>
      <c r="G3427" s="10"/>
      <c r="I3427" s="436" t="s">
        <v>7780</v>
      </c>
      <c r="J3427" s="26" t="s">
        <v>7779</v>
      </c>
      <c r="K3427" s="10">
        <v>0.1</v>
      </c>
      <c r="L3427" s="73">
        <f>IF(Tank1!$C$23="No control",(SUMIF(Tank1!$B$32:$B$49,$J3427,Tank1!$C$32:$C$49)*Impacts!$F$8),0)</f>
        <v>0</v>
      </c>
      <c r="M3427" s="10">
        <f>IF(Tank2!$C$23="No control",(SUMIF(Tank2!$B$32:$B$49,$J3427,Tank2!$C$32:$C$49)*Impacts!$F$9),0)</f>
        <v>0</v>
      </c>
      <c r="N3427" s="10">
        <f>IF(Tank3!$C$23="No control",(SUMIF(Tank3!$B$32:$B$49,$J3427,Tank3!$C$32:$C$49)*Impacts!$F$10),0)</f>
        <v>0</v>
      </c>
      <c r="O3427" s="10">
        <f>IF(Tank4!$C$23="No control",(SUMIF(Tank4!$B$32:$B$49,$J3427,Tank4!$C$32:$C$49)*Impacts!$F$11),0)</f>
        <v>0</v>
      </c>
      <c r="P3427" s="10">
        <f>IF(Tank5!$C$23="No control",(SUMIF(Tank5!$B$32:$B$49,$J3427,Tank5!$C$32:$C$49)*Impacts!$F$12),0)</f>
        <v>0</v>
      </c>
      <c r="Q3427" s="10">
        <f>IFERROR(IF(('Loading-drum,tote'!$C$21)="No control",SUMIF(('Loading-drum,tote'!$B$31:$B$48),$J3427,('Loading-drum,tote'!$D$31:$D$48))*Impacts!$F$13,IF(('Loading-drum,tote'!$C$21)&lt;&gt;"No control",SUMIF(('Loading-drum,tote'!$B$31:$B$48),$J3427,('Loading-drum,tote'!$E$31:$E$48))*Impacts!$F$13,0)),0)</f>
        <v>0</v>
      </c>
      <c r="R3427" s="10">
        <f>IFERROR(IF(('Loading-truck'!$C$21)="No control",SUMIF(('Loading-truck'!$B$31:$B$48),$J3427,('Loading-truck'!$D$31:$D$48))*Impacts!$F$14,IF(('Loading-truck'!$C$21)&lt;&gt;"No control",SUMIF(('Loading-truck'!$B$31:$B$48),$J3427,('Loading-truck'!$E$31:$E$48))*Impacts!$F$14,0)),0)</f>
        <v>0</v>
      </c>
      <c r="S3427" s="10">
        <f>IFERROR(IF(('Loading-rail'!$C$21)="No control",SUMIF(('Loading-rail'!$B$31:$B$48),$J3427,('Loading-rail'!$D$31:$D$48))*Impacts!$F$15,IF(('Loading-rail'!$C$21)&lt;&gt;"No control",SUMIF(('Loading-rail'!$B$31:$B$48),$J3427,('Loading-rail'!$E$31:$E$48))*Impacts!$F$15,0)),0)</f>
        <v>0</v>
      </c>
      <c r="T3427" s="10">
        <f>IF(Flare!$C$7="",0,(SUMIF(Flare!$B$46:$B$185,$J3427,Flare!$E$46:$E$185)*Impacts!$F$16))</f>
        <v>0</v>
      </c>
      <c r="U3427" s="10">
        <f>IF(VCU!$C$9="",0,(SUMIF(VCU!$B$51:$B$193,$J3427,VCU!$E$51:$E$193)*Impacts!$F$17))</f>
        <v>0</v>
      </c>
      <c r="V3427" s="10">
        <f>IF(CAS!$C$7="",0,(SUMIF(CAS!$B$31:$B$167,$J3427,CAS!$E$31:$E$167)*Impacts!$F$18))</f>
        <v>0</v>
      </c>
      <c r="W3427" s="10">
        <f t="shared" si="94"/>
        <v>0</v>
      </c>
      <c r="AK3427" s="10" t="str">
        <f t="array" ref="AK3427">IFERROR(INDEX(SelectedSpecies,SMALL(IF(SelectedSpecies=AK$1,ROW(SelectedSpecies)),ROW(3428:3428)),2),"")</f>
        <v/>
      </c>
      <c r="BE3427" s="10"/>
      <c r="BI3427" s="10"/>
    </row>
    <row r="3428" spans="1:61" ht="21" customHeight="1" x14ac:dyDescent="0.25">
      <c r="A3428" s="10"/>
      <c r="B3428" s="10"/>
      <c r="E3428" s="10"/>
      <c r="G3428" s="10"/>
      <c r="I3428" s="436" t="s">
        <v>7824</v>
      </c>
      <c r="J3428" s="26" t="s">
        <v>7823</v>
      </c>
      <c r="K3428" s="10">
        <v>8.0000000000000016E-2</v>
      </c>
      <c r="L3428" s="73">
        <f>IF(Tank1!$C$23="No control",(SUMIF(Tank1!$B$32:$B$49,$J3428,Tank1!$C$32:$C$49)*Impacts!$F$8),0)</f>
        <v>0</v>
      </c>
      <c r="M3428" s="10">
        <f>IF(Tank2!$C$23="No control",(SUMIF(Tank2!$B$32:$B$49,$J3428,Tank2!$C$32:$C$49)*Impacts!$F$9),0)</f>
        <v>0</v>
      </c>
      <c r="N3428" s="10">
        <f>IF(Tank3!$C$23="No control",(SUMIF(Tank3!$B$32:$B$49,$J3428,Tank3!$C$32:$C$49)*Impacts!$F$10),0)</f>
        <v>0</v>
      </c>
      <c r="O3428" s="10">
        <f>IF(Tank4!$C$23="No control",(SUMIF(Tank4!$B$32:$B$49,$J3428,Tank4!$C$32:$C$49)*Impacts!$F$11),0)</f>
        <v>0</v>
      </c>
      <c r="P3428" s="10">
        <f>IF(Tank5!$C$23="No control",(SUMIF(Tank5!$B$32:$B$49,$J3428,Tank5!$C$32:$C$49)*Impacts!$F$12),0)</f>
        <v>0</v>
      </c>
      <c r="Q3428" s="10">
        <f>IFERROR(IF(('Loading-drum,tote'!$C$21)="No control",SUMIF(('Loading-drum,tote'!$B$31:$B$48),$J3428,('Loading-drum,tote'!$D$31:$D$48))*Impacts!$F$13,IF(('Loading-drum,tote'!$C$21)&lt;&gt;"No control",SUMIF(('Loading-drum,tote'!$B$31:$B$48),$J3428,('Loading-drum,tote'!$E$31:$E$48))*Impacts!$F$13,0)),0)</f>
        <v>0</v>
      </c>
      <c r="R3428" s="10">
        <f>IFERROR(IF(('Loading-truck'!$C$21)="No control",SUMIF(('Loading-truck'!$B$31:$B$48),$J3428,('Loading-truck'!$D$31:$D$48))*Impacts!$F$14,IF(('Loading-truck'!$C$21)&lt;&gt;"No control",SUMIF(('Loading-truck'!$B$31:$B$48),$J3428,('Loading-truck'!$E$31:$E$48))*Impacts!$F$14,0)),0)</f>
        <v>0</v>
      </c>
      <c r="S3428" s="10">
        <f>IFERROR(IF(('Loading-rail'!$C$21)="No control",SUMIF(('Loading-rail'!$B$31:$B$48),$J3428,('Loading-rail'!$D$31:$D$48))*Impacts!$F$15,IF(('Loading-rail'!$C$21)&lt;&gt;"No control",SUMIF(('Loading-rail'!$B$31:$B$48),$J3428,('Loading-rail'!$E$31:$E$48))*Impacts!$F$15,0)),0)</f>
        <v>0</v>
      </c>
      <c r="T3428" s="10">
        <f>IF(Flare!$C$7="",0,(SUMIF(Flare!$B$46:$B$185,$J3428,Flare!$E$46:$E$185)*Impacts!$F$16))</f>
        <v>0</v>
      </c>
      <c r="U3428" s="10">
        <f>IF(VCU!$C$9="",0,(SUMIF(VCU!$B$51:$B$193,$J3428,VCU!$E$51:$E$193)*Impacts!$F$17))</f>
        <v>0</v>
      </c>
      <c r="V3428" s="10">
        <f>IF(CAS!$C$7="",0,(SUMIF(CAS!$B$31:$B$167,$J3428,CAS!$E$31:$E$167)*Impacts!$F$18))</f>
        <v>0</v>
      </c>
      <c r="W3428" s="10">
        <f t="shared" si="94"/>
        <v>0</v>
      </c>
      <c r="AK3428" s="10" t="str">
        <f t="array" ref="AK3428">IFERROR(INDEX(SelectedSpecies,SMALL(IF(SelectedSpecies=AK$1,ROW(SelectedSpecies)),ROW(3429:3429)),2),"")</f>
        <v/>
      </c>
      <c r="BE3428" s="10"/>
      <c r="BI3428" s="10"/>
    </row>
    <row r="3429" spans="1:61" ht="21" customHeight="1" x14ac:dyDescent="0.25">
      <c r="A3429" s="10"/>
      <c r="B3429" s="10"/>
      <c r="E3429" s="10"/>
      <c r="G3429" s="10"/>
      <c r="I3429" s="436" t="s">
        <v>7782</v>
      </c>
      <c r="J3429" s="26" t="s">
        <v>7781</v>
      </c>
      <c r="K3429" s="10">
        <v>0.1</v>
      </c>
      <c r="L3429" s="73">
        <f>IF(Tank1!$C$23="No control",(SUMIF(Tank1!$B$32:$B$49,$J3429,Tank1!$C$32:$C$49)*Impacts!$F$8),0)</f>
        <v>0</v>
      </c>
      <c r="M3429" s="10">
        <f>IF(Tank2!$C$23="No control",(SUMIF(Tank2!$B$32:$B$49,$J3429,Tank2!$C$32:$C$49)*Impacts!$F$9),0)</f>
        <v>0</v>
      </c>
      <c r="N3429" s="10">
        <f>IF(Tank3!$C$23="No control",(SUMIF(Tank3!$B$32:$B$49,$J3429,Tank3!$C$32:$C$49)*Impacts!$F$10),0)</f>
        <v>0</v>
      </c>
      <c r="O3429" s="10">
        <f>IF(Tank4!$C$23="No control",(SUMIF(Tank4!$B$32:$B$49,$J3429,Tank4!$C$32:$C$49)*Impacts!$F$11),0)</f>
        <v>0</v>
      </c>
      <c r="P3429" s="10">
        <f>IF(Tank5!$C$23="No control",(SUMIF(Tank5!$B$32:$B$49,$J3429,Tank5!$C$32:$C$49)*Impacts!$F$12),0)</f>
        <v>0</v>
      </c>
      <c r="Q3429" s="10">
        <f>IFERROR(IF(('Loading-drum,tote'!$C$21)="No control",SUMIF(('Loading-drum,tote'!$B$31:$B$48),$J3429,('Loading-drum,tote'!$D$31:$D$48))*Impacts!$F$13,IF(('Loading-drum,tote'!$C$21)&lt;&gt;"No control",SUMIF(('Loading-drum,tote'!$B$31:$B$48),$J3429,('Loading-drum,tote'!$E$31:$E$48))*Impacts!$F$13,0)),0)</f>
        <v>0</v>
      </c>
      <c r="R3429" s="10">
        <f>IFERROR(IF(('Loading-truck'!$C$21)="No control",SUMIF(('Loading-truck'!$B$31:$B$48),$J3429,('Loading-truck'!$D$31:$D$48))*Impacts!$F$14,IF(('Loading-truck'!$C$21)&lt;&gt;"No control",SUMIF(('Loading-truck'!$B$31:$B$48),$J3429,('Loading-truck'!$E$31:$E$48))*Impacts!$F$14,0)),0)</f>
        <v>0</v>
      </c>
      <c r="S3429" s="10">
        <f>IFERROR(IF(('Loading-rail'!$C$21)="No control",SUMIF(('Loading-rail'!$B$31:$B$48),$J3429,('Loading-rail'!$D$31:$D$48))*Impacts!$F$15,IF(('Loading-rail'!$C$21)&lt;&gt;"No control",SUMIF(('Loading-rail'!$B$31:$B$48),$J3429,('Loading-rail'!$E$31:$E$48))*Impacts!$F$15,0)),0)</f>
        <v>0</v>
      </c>
      <c r="T3429" s="10">
        <f>IF(Flare!$C$7="",0,(SUMIF(Flare!$B$46:$B$185,$J3429,Flare!$E$46:$E$185)*Impacts!$F$16))</f>
        <v>0</v>
      </c>
      <c r="U3429" s="10">
        <f>IF(VCU!$C$9="",0,(SUMIF(VCU!$B$51:$B$193,$J3429,VCU!$E$51:$E$193)*Impacts!$F$17))</f>
        <v>0</v>
      </c>
      <c r="V3429" s="10">
        <f>IF(CAS!$C$7="",0,(SUMIF(CAS!$B$31:$B$167,$J3429,CAS!$E$31:$E$167)*Impacts!$F$18))</f>
        <v>0</v>
      </c>
      <c r="W3429" s="10">
        <f t="shared" si="94"/>
        <v>0</v>
      </c>
      <c r="AK3429" s="10" t="str">
        <f t="array" ref="AK3429">IFERROR(INDEX(SelectedSpecies,SMALL(IF(SelectedSpecies=AK$1,ROW(SelectedSpecies)),ROW(3430:3430)),2),"")</f>
        <v/>
      </c>
      <c r="BE3429" s="10"/>
      <c r="BI3429" s="10"/>
    </row>
    <row r="3430" spans="1:61" ht="21" customHeight="1" x14ac:dyDescent="0.25">
      <c r="A3430" s="10"/>
      <c r="B3430" s="10"/>
      <c r="E3430" s="10"/>
      <c r="G3430" s="10"/>
      <c r="I3430" s="436" t="s">
        <v>6554</v>
      </c>
      <c r="J3430" s="26" t="s">
        <v>6553</v>
      </c>
      <c r="K3430" s="10">
        <v>0.70000000000000007</v>
      </c>
      <c r="L3430" s="73">
        <f>IF(Tank1!$C$23="No control",(SUMIF(Tank1!$B$32:$B$49,$J3430,Tank1!$C$32:$C$49)*Impacts!$F$8),0)</f>
        <v>0</v>
      </c>
      <c r="M3430" s="10">
        <f>IF(Tank2!$C$23="No control",(SUMIF(Tank2!$B$32:$B$49,$J3430,Tank2!$C$32:$C$49)*Impacts!$F$9),0)</f>
        <v>0</v>
      </c>
      <c r="N3430" s="10">
        <f>IF(Tank3!$C$23="No control",(SUMIF(Tank3!$B$32:$B$49,$J3430,Tank3!$C$32:$C$49)*Impacts!$F$10),0)</f>
        <v>0</v>
      </c>
      <c r="O3430" s="10">
        <f>IF(Tank4!$C$23="No control",(SUMIF(Tank4!$B$32:$B$49,$J3430,Tank4!$C$32:$C$49)*Impacts!$F$11),0)</f>
        <v>0</v>
      </c>
      <c r="P3430" s="10">
        <f>IF(Tank5!$C$23="No control",(SUMIF(Tank5!$B$32:$B$49,$J3430,Tank5!$C$32:$C$49)*Impacts!$F$12),0)</f>
        <v>0</v>
      </c>
      <c r="Q3430" s="10">
        <f>IFERROR(IF(('Loading-drum,tote'!$C$21)="No control",SUMIF(('Loading-drum,tote'!$B$31:$B$48),$J3430,('Loading-drum,tote'!$D$31:$D$48))*Impacts!$F$13,IF(('Loading-drum,tote'!$C$21)&lt;&gt;"No control",SUMIF(('Loading-drum,tote'!$B$31:$B$48),$J3430,('Loading-drum,tote'!$E$31:$E$48))*Impacts!$F$13,0)),0)</f>
        <v>0</v>
      </c>
      <c r="R3430" s="10">
        <f>IFERROR(IF(('Loading-truck'!$C$21)="No control",SUMIF(('Loading-truck'!$B$31:$B$48),$J3430,('Loading-truck'!$D$31:$D$48))*Impacts!$F$14,IF(('Loading-truck'!$C$21)&lt;&gt;"No control",SUMIF(('Loading-truck'!$B$31:$B$48),$J3430,('Loading-truck'!$E$31:$E$48))*Impacts!$F$14,0)),0)</f>
        <v>0</v>
      </c>
      <c r="S3430" s="10">
        <f>IFERROR(IF(('Loading-rail'!$C$21)="No control",SUMIF(('Loading-rail'!$B$31:$B$48),$J3430,('Loading-rail'!$D$31:$D$48))*Impacts!$F$15,IF(('Loading-rail'!$C$21)&lt;&gt;"No control",SUMIF(('Loading-rail'!$B$31:$B$48),$J3430,('Loading-rail'!$E$31:$E$48))*Impacts!$F$15,0)),0)</f>
        <v>0</v>
      </c>
      <c r="T3430" s="10">
        <f>IF(Flare!$C$7="",0,(SUMIF(Flare!$B$46:$B$185,$J3430,Flare!$E$46:$E$185)*Impacts!$F$16))</f>
        <v>0</v>
      </c>
      <c r="U3430" s="10">
        <f>IF(VCU!$C$9="",0,(SUMIF(VCU!$B$51:$B$193,$J3430,VCU!$E$51:$E$193)*Impacts!$F$17))</f>
        <v>0</v>
      </c>
      <c r="V3430" s="10">
        <f>IF(CAS!$C$7="",0,(SUMIF(CAS!$B$31:$B$167,$J3430,CAS!$E$31:$E$167)*Impacts!$F$18))</f>
        <v>0</v>
      </c>
      <c r="W3430" s="10">
        <f t="shared" si="94"/>
        <v>0</v>
      </c>
      <c r="AK3430" s="10" t="str">
        <f t="array" ref="AK3430">IFERROR(INDEX(SelectedSpecies,SMALL(IF(SelectedSpecies=AK$1,ROW(SelectedSpecies)),ROW(3431:3431)),2),"")</f>
        <v/>
      </c>
      <c r="BE3430" s="10"/>
      <c r="BI3430" s="10"/>
    </row>
    <row r="3431" spans="1:61" ht="21" customHeight="1" x14ac:dyDescent="0.25">
      <c r="A3431" s="10"/>
      <c r="B3431" s="10"/>
      <c r="E3431" s="10"/>
      <c r="G3431" s="10"/>
      <c r="I3431" s="436" t="s">
        <v>3497</v>
      </c>
      <c r="J3431" s="26" t="s">
        <v>3496</v>
      </c>
      <c r="K3431" s="10">
        <v>9.2000000000000011</v>
      </c>
      <c r="L3431" s="73">
        <f>IF(Tank1!$C$23="No control",(SUMIF(Tank1!$B$32:$B$49,$J3431,Tank1!$C$32:$C$49)*Impacts!$F$8),0)</f>
        <v>0</v>
      </c>
      <c r="M3431" s="10">
        <f>IF(Tank2!$C$23="No control",(SUMIF(Tank2!$B$32:$B$49,$J3431,Tank2!$C$32:$C$49)*Impacts!$F$9),0)</f>
        <v>0</v>
      </c>
      <c r="N3431" s="10">
        <f>IF(Tank3!$C$23="No control",(SUMIF(Tank3!$B$32:$B$49,$J3431,Tank3!$C$32:$C$49)*Impacts!$F$10),0)</f>
        <v>0</v>
      </c>
      <c r="O3431" s="10">
        <f>IF(Tank4!$C$23="No control",(SUMIF(Tank4!$B$32:$B$49,$J3431,Tank4!$C$32:$C$49)*Impacts!$F$11),0)</f>
        <v>0</v>
      </c>
      <c r="P3431" s="10">
        <f>IF(Tank5!$C$23="No control",(SUMIF(Tank5!$B$32:$B$49,$J3431,Tank5!$C$32:$C$49)*Impacts!$F$12),0)</f>
        <v>0</v>
      </c>
      <c r="Q3431" s="10">
        <f>IFERROR(IF(('Loading-drum,tote'!$C$21)="No control",SUMIF(('Loading-drum,tote'!$B$31:$B$48),$J3431,('Loading-drum,tote'!$D$31:$D$48))*Impacts!$F$13,IF(('Loading-drum,tote'!$C$21)&lt;&gt;"No control",SUMIF(('Loading-drum,tote'!$B$31:$B$48),$J3431,('Loading-drum,tote'!$E$31:$E$48))*Impacts!$F$13,0)),0)</f>
        <v>0</v>
      </c>
      <c r="R3431" s="10">
        <f>IFERROR(IF(('Loading-truck'!$C$21)="No control",SUMIF(('Loading-truck'!$B$31:$B$48),$J3431,('Loading-truck'!$D$31:$D$48))*Impacts!$F$14,IF(('Loading-truck'!$C$21)&lt;&gt;"No control",SUMIF(('Loading-truck'!$B$31:$B$48),$J3431,('Loading-truck'!$E$31:$E$48))*Impacts!$F$14,0)),0)</f>
        <v>0</v>
      </c>
      <c r="S3431" s="10">
        <f>IFERROR(IF(('Loading-rail'!$C$21)="No control",SUMIF(('Loading-rail'!$B$31:$B$48),$J3431,('Loading-rail'!$D$31:$D$48))*Impacts!$F$15,IF(('Loading-rail'!$C$21)&lt;&gt;"No control",SUMIF(('Loading-rail'!$B$31:$B$48),$J3431,('Loading-rail'!$E$31:$E$48))*Impacts!$F$15,0)),0)</f>
        <v>0</v>
      </c>
      <c r="T3431" s="10">
        <f>IF(Flare!$C$7="",0,(SUMIF(Flare!$B$46:$B$185,$J3431,Flare!$E$46:$E$185)*Impacts!$F$16))</f>
        <v>0</v>
      </c>
      <c r="U3431" s="10">
        <f>IF(VCU!$C$9="",0,(SUMIF(VCU!$B$51:$B$193,$J3431,VCU!$E$51:$E$193)*Impacts!$F$17))</f>
        <v>0</v>
      </c>
      <c r="V3431" s="10">
        <f>IF(CAS!$C$7="",0,(SUMIF(CAS!$B$31:$B$167,$J3431,CAS!$E$31:$E$167)*Impacts!$F$18))</f>
        <v>0</v>
      </c>
      <c r="W3431" s="10">
        <f t="shared" si="94"/>
        <v>0</v>
      </c>
      <c r="AK3431" s="10" t="str">
        <f t="array" ref="AK3431">IFERROR(INDEX(SelectedSpecies,SMALL(IF(SelectedSpecies=AK$1,ROW(SelectedSpecies)),ROW(3432:3432)),2),"")</f>
        <v/>
      </c>
      <c r="BE3431" s="10"/>
      <c r="BI3431" s="10"/>
    </row>
    <row r="3432" spans="1:61" ht="21" customHeight="1" x14ac:dyDescent="0.25">
      <c r="A3432" s="10"/>
      <c r="B3432" s="10"/>
      <c r="E3432" s="10"/>
      <c r="G3432" s="10"/>
      <c r="I3432" s="436" t="s">
        <v>578</v>
      </c>
      <c r="J3432" s="26" t="s">
        <v>577</v>
      </c>
      <c r="K3432" s="10">
        <v>86</v>
      </c>
      <c r="L3432" s="73">
        <f>IF(Tank1!$C$23="No control",(SUMIF(Tank1!$B$32:$B$49,$J3432,Tank1!$C$32:$C$49)*Impacts!$F$8),0)</f>
        <v>0</v>
      </c>
      <c r="M3432" s="10">
        <f>IF(Tank2!$C$23="No control",(SUMIF(Tank2!$B$32:$B$49,$J3432,Tank2!$C$32:$C$49)*Impacts!$F$9),0)</f>
        <v>0</v>
      </c>
      <c r="N3432" s="10">
        <f>IF(Tank3!$C$23="No control",(SUMIF(Tank3!$B$32:$B$49,$J3432,Tank3!$C$32:$C$49)*Impacts!$F$10),0)</f>
        <v>0</v>
      </c>
      <c r="O3432" s="10">
        <f>IF(Tank4!$C$23="No control",(SUMIF(Tank4!$B$32:$B$49,$J3432,Tank4!$C$32:$C$49)*Impacts!$F$11),0)</f>
        <v>0</v>
      </c>
      <c r="P3432" s="10">
        <f>IF(Tank5!$C$23="No control",(SUMIF(Tank5!$B$32:$B$49,$J3432,Tank5!$C$32:$C$49)*Impacts!$F$12),0)</f>
        <v>0</v>
      </c>
      <c r="Q3432" s="10">
        <f>IFERROR(IF(('Loading-drum,tote'!$C$21)="No control",SUMIF(('Loading-drum,tote'!$B$31:$B$48),$J3432,('Loading-drum,tote'!$D$31:$D$48))*Impacts!$F$13,IF(('Loading-drum,tote'!$C$21)&lt;&gt;"No control",SUMIF(('Loading-drum,tote'!$B$31:$B$48),$J3432,('Loading-drum,tote'!$E$31:$E$48))*Impacts!$F$13,0)),0)</f>
        <v>0</v>
      </c>
      <c r="R3432" s="10">
        <f>IFERROR(IF(('Loading-truck'!$C$21)="No control",SUMIF(('Loading-truck'!$B$31:$B$48),$J3432,('Loading-truck'!$D$31:$D$48))*Impacts!$F$14,IF(('Loading-truck'!$C$21)&lt;&gt;"No control",SUMIF(('Loading-truck'!$B$31:$B$48),$J3432,('Loading-truck'!$E$31:$E$48))*Impacts!$F$14,0)),0)</f>
        <v>0</v>
      </c>
      <c r="S3432" s="10">
        <f>IFERROR(IF(('Loading-rail'!$C$21)="No control",SUMIF(('Loading-rail'!$B$31:$B$48),$J3432,('Loading-rail'!$D$31:$D$48))*Impacts!$F$15,IF(('Loading-rail'!$C$21)&lt;&gt;"No control",SUMIF(('Loading-rail'!$B$31:$B$48),$J3432,('Loading-rail'!$E$31:$E$48))*Impacts!$F$15,0)),0)</f>
        <v>0</v>
      </c>
      <c r="T3432" s="10">
        <f>IF(Flare!$C$7="",0,(SUMIF(Flare!$B$46:$B$185,$J3432,Flare!$E$46:$E$185)*Impacts!$F$16))</f>
        <v>0</v>
      </c>
      <c r="U3432" s="10">
        <f>IF(VCU!$C$9="",0,(SUMIF(VCU!$B$51:$B$193,$J3432,VCU!$E$51:$E$193)*Impacts!$F$17))</f>
        <v>0</v>
      </c>
      <c r="V3432" s="10">
        <f>IF(CAS!$C$7="",0,(SUMIF(CAS!$B$31:$B$167,$J3432,CAS!$E$31:$E$167)*Impacts!$F$18))</f>
        <v>0</v>
      </c>
      <c r="W3432" s="10">
        <f t="shared" si="94"/>
        <v>0</v>
      </c>
      <c r="AK3432" s="10" t="str">
        <f t="array" ref="AK3432">IFERROR(INDEX(SelectedSpecies,SMALL(IF(SelectedSpecies=AK$1,ROW(SelectedSpecies)),ROW(3433:3433)),2),"")</f>
        <v/>
      </c>
      <c r="BE3432" s="10"/>
      <c r="BI3432" s="10"/>
    </row>
    <row r="3433" spans="1:61" ht="21" customHeight="1" x14ac:dyDescent="0.25">
      <c r="A3433" s="10"/>
      <c r="B3433" s="10"/>
      <c r="E3433" s="10"/>
      <c r="G3433" s="10"/>
      <c r="I3433" s="436" t="s">
        <v>3499</v>
      </c>
      <c r="J3433" s="26" t="s">
        <v>3498</v>
      </c>
      <c r="K3433" s="10">
        <v>9.2000000000000011</v>
      </c>
      <c r="L3433" s="73">
        <f>IF(Tank1!$C$23="No control",(SUMIF(Tank1!$B$32:$B$49,$J3433,Tank1!$C$32:$C$49)*Impacts!$F$8),0)</f>
        <v>0</v>
      </c>
      <c r="M3433" s="10">
        <f>IF(Tank2!$C$23="No control",(SUMIF(Tank2!$B$32:$B$49,$J3433,Tank2!$C$32:$C$49)*Impacts!$F$9),0)</f>
        <v>0</v>
      </c>
      <c r="N3433" s="10">
        <f>IF(Tank3!$C$23="No control",(SUMIF(Tank3!$B$32:$B$49,$J3433,Tank3!$C$32:$C$49)*Impacts!$F$10),0)</f>
        <v>0</v>
      </c>
      <c r="O3433" s="10">
        <f>IF(Tank4!$C$23="No control",(SUMIF(Tank4!$B$32:$B$49,$J3433,Tank4!$C$32:$C$49)*Impacts!$F$11),0)</f>
        <v>0</v>
      </c>
      <c r="P3433" s="10">
        <f>IF(Tank5!$C$23="No control",(SUMIF(Tank5!$B$32:$B$49,$J3433,Tank5!$C$32:$C$49)*Impacts!$F$12),0)</f>
        <v>0</v>
      </c>
      <c r="Q3433" s="10">
        <f>IFERROR(IF(('Loading-drum,tote'!$C$21)="No control",SUMIF(('Loading-drum,tote'!$B$31:$B$48),$J3433,('Loading-drum,tote'!$D$31:$D$48))*Impacts!$F$13,IF(('Loading-drum,tote'!$C$21)&lt;&gt;"No control",SUMIF(('Loading-drum,tote'!$B$31:$B$48),$J3433,('Loading-drum,tote'!$E$31:$E$48))*Impacts!$F$13,0)),0)</f>
        <v>0</v>
      </c>
      <c r="R3433" s="10">
        <f>IFERROR(IF(('Loading-truck'!$C$21)="No control",SUMIF(('Loading-truck'!$B$31:$B$48),$J3433,('Loading-truck'!$D$31:$D$48))*Impacts!$F$14,IF(('Loading-truck'!$C$21)&lt;&gt;"No control",SUMIF(('Loading-truck'!$B$31:$B$48),$J3433,('Loading-truck'!$E$31:$E$48))*Impacts!$F$14,0)),0)</f>
        <v>0</v>
      </c>
      <c r="S3433" s="10">
        <f>IFERROR(IF(('Loading-rail'!$C$21)="No control",SUMIF(('Loading-rail'!$B$31:$B$48),$J3433,('Loading-rail'!$D$31:$D$48))*Impacts!$F$15,IF(('Loading-rail'!$C$21)&lt;&gt;"No control",SUMIF(('Loading-rail'!$B$31:$B$48),$J3433,('Loading-rail'!$E$31:$E$48))*Impacts!$F$15,0)),0)</f>
        <v>0</v>
      </c>
      <c r="T3433" s="10">
        <f>IF(Flare!$C$7="",0,(SUMIF(Flare!$B$46:$B$185,$J3433,Flare!$E$46:$E$185)*Impacts!$F$16))</f>
        <v>0</v>
      </c>
      <c r="U3433" s="10">
        <f>IF(VCU!$C$9="",0,(SUMIF(VCU!$B$51:$B$193,$J3433,VCU!$E$51:$E$193)*Impacts!$F$17))</f>
        <v>0</v>
      </c>
      <c r="V3433" s="10">
        <f>IF(CAS!$C$7="",0,(SUMIF(CAS!$B$31:$B$167,$J3433,CAS!$E$31:$E$167)*Impacts!$F$18))</f>
        <v>0</v>
      </c>
      <c r="W3433" s="10">
        <f t="shared" si="94"/>
        <v>0</v>
      </c>
      <c r="AK3433" s="10" t="str">
        <f t="array" ref="AK3433">IFERROR(INDEX(SelectedSpecies,SMALL(IF(SelectedSpecies=AK$1,ROW(SelectedSpecies)),ROW(3434:3434)),2),"")</f>
        <v/>
      </c>
      <c r="BE3433" s="10"/>
      <c r="BI3433" s="10"/>
    </row>
    <row r="3434" spans="1:61" ht="21" customHeight="1" x14ac:dyDescent="0.25">
      <c r="A3434" s="10"/>
      <c r="B3434" s="10"/>
      <c r="E3434" s="10"/>
      <c r="G3434" s="10"/>
      <c r="I3434" s="436" t="s">
        <v>321</v>
      </c>
      <c r="J3434" s="26" t="s">
        <v>320</v>
      </c>
      <c r="K3434" s="10">
        <v>610</v>
      </c>
      <c r="L3434" s="73">
        <f>IF(Tank1!$C$23="No control",(SUMIF(Tank1!$B$32:$B$49,$J3434,Tank1!$C$32:$C$49)*Impacts!$F$8),0)</f>
        <v>0</v>
      </c>
      <c r="M3434" s="10">
        <f>IF(Tank2!$C$23="No control",(SUMIF(Tank2!$B$32:$B$49,$J3434,Tank2!$C$32:$C$49)*Impacts!$F$9),0)</f>
        <v>0</v>
      </c>
      <c r="N3434" s="10">
        <f>IF(Tank3!$C$23="No control",(SUMIF(Tank3!$B$32:$B$49,$J3434,Tank3!$C$32:$C$49)*Impacts!$F$10),0)</f>
        <v>0</v>
      </c>
      <c r="O3434" s="10">
        <f>IF(Tank4!$C$23="No control",(SUMIF(Tank4!$B$32:$B$49,$J3434,Tank4!$C$32:$C$49)*Impacts!$F$11),0)</f>
        <v>0</v>
      </c>
      <c r="P3434" s="10">
        <f>IF(Tank5!$C$23="No control",(SUMIF(Tank5!$B$32:$B$49,$J3434,Tank5!$C$32:$C$49)*Impacts!$F$12),0)</f>
        <v>0</v>
      </c>
      <c r="Q3434" s="10">
        <f>IFERROR(IF(('Loading-drum,tote'!$C$21)="No control",SUMIF(('Loading-drum,tote'!$B$31:$B$48),$J3434,('Loading-drum,tote'!$D$31:$D$48))*Impacts!$F$13,IF(('Loading-drum,tote'!$C$21)&lt;&gt;"No control",SUMIF(('Loading-drum,tote'!$B$31:$B$48),$J3434,('Loading-drum,tote'!$E$31:$E$48))*Impacts!$F$13,0)),0)</f>
        <v>0</v>
      </c>
      <c r="R3434" s="10">
        <f>IFERROR(IF(('Loading-truck'!$C$21)="No control",SUMIF(('Loading-truck'!$B$31:$B$48),$J3434,('Loading-truck'!$D$31:$D$48))*Impacts!$F$14,IF(('Loading-truck'!$C$21)&lt;&gt;"No control",SUMIF(('Loading-truck'!$B$31:$B$48),$J3434,('Loading-truck'!$E$31:$E$48))*Impacts!$F$14,0)),0)</f>
        <v>0</v>
      </c>
      <c r="S3434" s="10">
        <f>IFERROR(IF(('Loading-rail'!$C$21)="No control",SUMIF(('Loading-rail'!$B$31:$B$48),$J3434,('Loading-rail'!$D$31:$D$48))*Impacts!$F$15,IF(('Loading-rail'!$C$21)&lt;&gt;"No control",SUMIF(('Loading-rail'!$B$31:$B$48),$J3434,('Loading-rail'!$E$31:$E$48))*Impacts!$F$15,0)),0)</f>
        <v>0</v>
      </c>
      <c r="T3434" s="10">
        <f>IF(Flare!$C$7="",0,(SUMIF(Flare!$B$46:$B$185,$J3434,Flare!$E$46:$E$185)*Impacts!$F$16))</f>
        <v>0</v>
      </c>
      <c r="U3434" s="10">
        <f>IF(VCU!$C$9="",0,(SUMIF(VCU!$B$51:$B$193,$J3434,VCU!$E$51:$E$193)*Impacts!$F$17))</f>
        <v>0</v>
      </c>
      <c r="V3434" s="10">
        <f>IF(CAS!$C$7="",0,(SUMIF(CAS!$B$31:$B$167,$J3434,CAS!$E$31:$E$167)*Impacts!$F$18))</f>
        <v>0</v>
      </c>
      <c r="W3434" s="10">
        <f t="shared" si="94"/>
        <v>0</v>
      </c>
      <c r="AK3434" s="10" t="str">
        <f t="array" ref="AK3434">IFERROR(INDEX(SelectedSpecies,SMALL(IF(SelectedSpecies=AK$1,ROW(SelectedSpecies)),ROW(3435:3435)),2),"")</f>
        <v/>
      </c>
      <c r="BE3434" s="10"/>
      <c r="BI3434" s="10"/>
    </row>
    <row r="3435" spans="1:61" ht="21" customHeight="1" x14ac:dyDescent="0.25">
      <c r="A3435" s="10"/>
      <c r="B3435" s="10"/>
      <c r="E3435" s="10"/>
      <c r="G3435" s="10"/>
      <c r="I3435" s="436" t="s">
        <v>6650</v>
      </c>
      <c r="J3435" s="26" t="s">
        <v>6649</v>
      </c>
      <c r="K3435" s="10">
        <v>0.60000000000000009</v>
      </c>
      <c r="L3435" s="73">
        <f>IF(Tank1!$C$23="No control",(SUMIF(Tank1!$B$32:$B$49,$J3435,Tank1!$C$32:$C$49)*Impacts!$F$8),0)</f>
        <v>0</v>
      </c>
      <c r="M3435" s="10">
        <f>IF(Tank2!$C$23="No control",(SUMIF(Tank2!$B$32:$B$49,$J3435,Tank2!$C$32:$C$49)*Impacts!$F$9),0)</f>
        <v>0</v>
      </c>
      <c r="N3435" s="10">
        <f>IF(Tank3!$C$23="No control",(SUMIF(Tank3!$B$32:$B$49,$J3435,Tank3!$C$32:$C$49)*Impacts!$F$10),0)</f>
        <v>0</v>
      </c>
      <c r="O3435" s="10">
        <f>IF(Tank4!$C$23="No control",(SUMIF(Tank4!$B$32:$B$49,$J3435,Tank4!$C$32:$C$49)*Impacts!$F$11),0)</f>
        <v>0</v>
      </c>
      <c r="P3435" s="10">
        <f>IF(Tank5!$C$23="No control",(SUMIF(Tank5!$B$32:$B$49,$J3435,Tank5!$C$32:$C$49)*Impacts!$F$12),0)</f>
        <v>0</v>
      </c>
      <c r="Q3435" s="10">
        <f>IFERROR(IF(('Loading-drum,tote'!$C$21)="No control",SUMIF(('Loading-drum,tote'!$B$31:$B$48),$J3435,('Loading-drum,tote'!$D$31:$D$48))*Impacts!$F$13,IF(('Loading-drum,tote'!$C$21)&lt;&gt;"No control",SUMIF(('Loading-drum,tote'!$B$31:$B$48),$J3435,('Loading-drum,tote'!$E$31:$E$48))*Impacts!$F$13,0)),0)</f>
        <v>0</v>
      </c>
      <c r="R3435" s="10">
        <f>IFERROR(IF(('Loading-truck'!$C$21)="No control",SUMIF(('Loading-truck'!$B$31:$B$48),$J3435,('Loading-truck'!$D$31:$D$48))*Impacts!$F$14,IF(('Loading-truck'!$C$21)&lt;&gt;"No control",SUMIF(('Loading-truck'!$B$31:$B$48),$J3435,('Loading-truck'!$E$31:$E$48))*Impacts!$F$14,0)),0)</f>
        <v>0</v>
      </c>
      <c r="S3435" s="10">
        <f>IFERROR(IF(('Loading-rail'!$C$21)="No control",SUMIF(('Loading-rail'!$B$31:$B$48),$J3435,('Loading-rail'!$D$31:$D$48))*Impacts!$F$15,IF(('Loading-rail'!$C$21)&lt;&gt;"No control",SUMIF(('Loading-rail'!$B$31:$B$48),$J3435,('Loading-rail'!$E$31:$E$48))*Impacts!$F$15,0)),0)</f>
        <v>0</v>
      </c>
      <c r="T3435" s="10">
        <f>IF(Flare!$C$7="",0,(SUMIF(Flare!$B$46:$B$185,$J3435,Flare!$E$46:$E$185)*Impacts!$F$16))</f>
        <v>0</v>
      </c>
      <c r="U3435" s="10">
        <f>IF(VCU!$C$9="",0,(SUMIF(VCU!$B$51:$B$193,$J3435,VCU!$E$51:$E$193)*Impacts!$F$17))</f>
        <v>0</v>
      </c>
      <c r="V3435" s="10">
        <f>IF(CAS!$C$7="",0,(SUMIF(CAS!$B$31:$B$167,$J3435,CAS!$E$31:$E$167)*Impacts!$F$18))</f>
        <v>0</v>
      </c>
      <c r="W3435" s="10">
        <f t="shared" si="94"/>
        <v>0</v>
      </c>
      <c r="AK3435" s="10" t="str">
        <f t="array" ref="AK3435">IFERROR(INDEX(SelectedSpecies,SMALL(IF(SelectedSpecies=AK$1,ROW(SelectedSpecies)),ROW(3436:3436)),2),"")</f>
        <v/>
      </c>
      <c r="BE3435" s="10"/>
      <c r="BI3435" s="10"/>
    </row>
    <row r="3436" spans="1:61" ht="21" customHeight="1" x14ac:dyDescent="0.25">
      <c r="A3436" s="10"/>
      <c r="B3436" s="10"/>
      <c r="E3436" s="10"/>
      <c r="G3436" s="10"/>
      <c r="I3436" s="436" t="s">
        <v>3735</v>
      </c>
      <c r="J3436" s="26" t="s">
        <v>3734</v>
      </c>
      <c r="K3436" s="10">
        <v>6.2</v>
      </c>
      <c r="L3436" s="73">
        <f>IF(Tank1!$C$23="No control",(SUMIF(Tank1!$B$32:$B$49,$J3436,Tank1!$C$32:$C$49)*Impacts!$F$8),0)</f>
        <v>0</v>
      </c>
      <c r="M3436" s="10">
        <f>IF(Tank2!$C$23="No control",(SUMIF(Tank2!$B$32:$B$49,$J3436,Tank2!$C$32:$C$49)*Impacts!$F$9),0)</f>
        <v>0</v>
      </c>
      <c r="N3436" s="10">
        <f>IF(Tank3!$C$23="No control",(SUMIF(Tank3!$B$32:$B$49,$J3436,Tank3!$C$32:$C$49)*Impacts!$F$10),0)</f>
        <v>0</v>
      </c>
      <c r="O3436" s="10">
        <f>IF(Tank4!$C$23="No control",(SUMIF(Tank4!$B$32:$B$49,$J3436,Tank4!$C$32:$C$49)*Impacts!$F$11),0)</f>
        <v>0</v>
      </c>
      <c r="P3436" s="10">
        <f>IF(Tank5!$C$23="No control",(SUMIF(Tank5!$B$32:$B$49,$J3436,Tank5!$C$32:$C$49)*Impacts!$F$12),0)</f>
        <v>0</v>
      </c>
      <c r="Q3436" s="10">
        <f>IFERROR(IF(('Loading-drum,tote'!$C$21)="No control",SUMIF(('Loading-drum,tote'!$B$31:$B$48),$J3436,('Loading-drum,tote'!$D$31:$D$48))*Impacts!$F$13,IF(('Loading-drum,tote'!$C$21)&lt;&gt;"No control",SUMIF(('Loading-drum,tote'!$B$31:$B$48),$J3436,('Loading-drum,tote'!$E$31:$E$48))*Impacts!$F$13,0)),0)</f>
        <v>0</v>
      </c>
      <c r="R3436" s="10">
        <f>IFERROR(IF(('Loading-truck'!$C$21)="No control",SUMIF(('Loading-truck'!$B$31:$B$48),$J3436,('Loading-truck'!$D$31:$D$48))*Impacts!$F$14,IF(('Loading-truck'!$C$21)&lt;&gt;"No control",SUMIF(('Loading-truck'!$B$31:$B$48),$J3436,('Loading-truck'!$E$31:$E$48))*Impacts!$F$14,0)),0)</f>
        <v>0</v>
      </c>
      <c r="S3436" s="10">
        <f>IFERROR(IF(('Loading-rail'!$C$21)="No control",SUMIF(('Loading-rail'!$B$31:$B$48),$J3436,('Loading-rail'!$D$31:$D$48))*Impacts!$F$15,IF(('Loading-rail'!$C$21)&lt;&gt;"No control",SUMIF(('Loading-rail'!$B$31:$B$48),$J3436,('Loading-rail'!$E$31:$E$48))*Impacts!$F$15,0)),0)</f>
        <v>0</v>
      </c>
      <c r="T3436" s="10">
        <f>IF(Flare!$C$7="",0,(SUMIF(Flare!$B$46:$B$185,$J3436,Flare!$E$46:$E$185)*Impacts!$F$16))</f>
        <v>0</v>
      </c>
      <c r="U3436" s="10">
        <f>IF(VCU!$C$9="",0,(SUMIF(VCU!$B$51:$B$193,$J3436,VCU!$E$51:$E$193)*Impacts!$F$17))</f>
        <v>0</v>
      </c>
      <c r="V3436" s="10">
        <f>IF(CAS!$C$7="",0,(SUMIF(CAS!$B$31:$B$167,$J3436,CAS!$E$31:$E$167)*Impacts!$F$18))</f>
        <v>0</v>
      </c>
      <c r="W3436" s="10">
        <f t="shared" si="94"/>
        <v>0</v>
      </c>
      <c r="AK3436" s="10" t="str">
        <f t="array" ref="AK3436">IFERROR(INDEX(SelectedSpecies,SMALL(IF(SelectedSpecies=AK$1,ROW(SelectedSpecies)),ROW(3437:3437)),2),"")</f>
        <v/>
      </c>
      <c r="BE3436" s="10"/>
      <c r="BI3436" s="10"/>
    </row>
    <row r="3437" spans="1:61" ht="21" customHeight="1" x14ac:dyDescent="0.25">
      <c r="A3437" s="10"/>
      <c r="B3437" s="10"/>
      <c r="E3437" s="10"/>
      <c r="G3437" s="10"/>
      <c r="I3437" s="436" t="s">
        <v>7596</v>
      </c>
      <c r="J3437" s="26" t="s">
        <v>7595</v>
      </c>
      <c r="K3437" s="10">
        <v>0.18000000000000002</v>
      </c>
      <c r="L3437" s="73">
        <f>IF(Tank1!$C$23="No control",(SUMIF(Tank1!$B$32:$B$49,$J3437,Tank1!$C$32:$C$49)*Impacts!$F$8),0)</f>
        <v>0</v>
      </c>
      <c r="M3437" s="10">
        <f>IF(Tank2!$C$23="No control",(SUMIF(Tank2!$B$32:$B$49,$J3437,Tank2!$C$32:$C$49)*Impacts!$F$9),0)</f>
        <v>0</v>
      </c>
      <c r="N3437" s="10">
        <f>IF(Tank3!$C$23="No control",(SUMIF(Tank3!$B$32:$B$49,$J3437,Tank3!$C$32:$C$49)*Impacts!$F$10),0)</f>
        <v>0</v>
      </c>
      <c r="O3437" s="10">
        <f>IF(Tank4!$C$23="No control",(SUMIF(Tank4!$B$32:$B$49,$J3437,Tank4!$C$32:$C$49)*Impacts!$F$11),0)</f>
        <v>0</v>
      </c>
      <c r="P3437" s="10">
        <f>IF(Tank5!$C$23="No control",(SUMIF(Tank5!$B$32:$B$49,$J3437,Tank5!$C$32:$C$49)*Impacts!$F$12),0)</f>
        <v>0</v>
      </c>
      <c r="Q3437" s="10">
        <f>IFERROR(IF(('Loading-drum,tote'!$C$21)="No control",SUMIF(('Loading-drum,tote'!$B$31:$B$48),$J3437,('Loading-drum,tote'!$D$31:$D$48))*Impacts!$F$13,IF(('Loading-drum,tote'!$C$21)&lt;&gt;"No control",SUMIF(('Loading-drum,tote'!$B$31:$B$48),$J3437,('Loading-drum,tote'!$E$31:$E$48))*Impacts!$F$13,0)),0)</f>
        <v>0</v>
      </c>
      <c r="R3437" s="10">
        <f>IFERROR(IF(('Loading-truck'!$C$21)="No control",SUMIF(('Loading-truck'!$B$31:$B$48),$J3437,('Loading-truck'!$D$31:$D$48))*Impacts!$F$14,IF(('Loading-truck'!$C$21)&lt;&gt;"No control",SUMIF(('Loading-truck'!$B$31:$B$48),$J3437,('Loading-truck'!$E$31:$E$48))*Impacts!$F$14,0)),0)</f>
        <v>0</v>
      </c>
      <c r="S3437" s="10">
        <f>IFERROR(IF(('Loading-rail'!$C$21)="No control",SUMIF(('Loading-rail'!$B$31:$B$48),$J3437,('Loading-rail'!$D$31:$D$48))*Impacts!$F$15,IF(('Loading-rail'!$C$21)&lt;&gt;"No control",SUMIF(('Loading-rail'!$B$31:$B$48),$J3437,('Loading-rail'!$E$31:$E$48))*Impacts!$F$15,0)),0)</f>
        <v>0</v>
      </c>
      <c r="T3437" s="10">
        <f>IF(Flare!$C$7="",0,(SUMIF(Flare!$B$46:$B$185,$J3437,Flare!$E$46:$E$185)*Impacts!$F$16))</f>
        <v>0</v>
      </c>
      <c r="U3437" s="10">
        <f>IF(VCU!$C$9="",0,(SUMIF(VCU!$B$51:$B$193,$J3437,VCU!$E$51:$E$193)*Impacts!$F$17))</f>
        <v>0</v>
      </c>
      <c r="V3437" s="10">
        <f>IF(CAS!$C$7="",0,(SUMIF(CAS!$B$31:$B$167,$J3437,CAS!$E$31:$E$167)*Impacts!$F$18))</f>
        <v>0</v>
      </c>
      <c r="W3437" s="10">
        <f t="shared" si="94"/>
        <v>0</v>
      </c>
      <c r="AK3437" s="10" t="str">
        <f t="array" ref="AK3437">IFERROR(INDEX(SelectedSpecies,SMALL(IF(SelectedSpecies=AK$1,ROW(SelectedSpecies)),ROW(3438:3438)),2),"")</f>
        <v/>
      </c>
      <c r="BE3437" s="10"/>
      <c r="BI3437" s="10"/>
    </row>
    <row r="3438" spans="1:61" ht="21" customHeight="1" x14ac:dyDescent="0.25">
      <c r="A3438" s="10"/>
      <c r="B3438" s="10"/>
      <c r="E3438" s="10"/>
      <c r="G3438" s="10"/>
      <c r="I3438" s="436" t="s">
        <v>3471</v>
      </c>
      <c r="J3438" s="26" t="s">
        <v>3470</v>
      </c>
      <c r="K3438" s="10">
        <v>9.7000000000000011</v>
      </c>
      <c r="L3438" s="73">
        <f>IF(Tank1!$C$23="No control",(SUMIF(Tank1!$B$32:$B$49,$J3438,Tank1!$C$32:$C$49)*Impacts!$F$8),0)</f>
        <v>0</v>
      </c>
      <c r="M3438" s="10">
        <f>IF(Tank2!$C$23="No control",(SUMIF(Tank2!$B$32:$B$49,$J3438,Tank2!$C$32:$C$49)*Impacts!$F$9),0)</f>
        <v>0</v>
      </c>
      <c r="N3438" s="10">
        <f>IF(Tank3!$C$23="No control",(SUMIF(Tank3!$B$32:$B$49,$J3438,Tank3!$C$32:$C$49)*Impacts!$F$10),0)</f>
        <v>0</v>
      </c>
      <c r="O3438" s="10">
        <f>IF(Tank4!$C$23="No control",(SUMIF(Tank4!$B$32:$B$49,$J3438,Tank4!$C$32:$C$49)*Impacts!$F$11),0)</f>
        <v>0</v>
      </c>
      <c r="P3438" s="10">
        <f>IF(Tank5!$C$23="No control",(SUMIF(Tank5!$B$32:$B$49,$J3438,Tank5!$C$32:$C$49)*Impacts!$F$12),0)</f>
        <v>0</v>
      </c>
      <c r="Q3438" s="10">
        <f>IFERROR(IF(('Loading-drum,tote'!$C$21)="No control",SUMIF(('Loading-drum,tote'!$B$31:$B$48),$J3438,('Loading-drum,tote'!$D$31:$D$48))*Impacts!$F$13,IF(('Loading-drum,tote'!$C$21)&lt;&gt;"No control",SUMIF(('Loading-drum,tote'!$B$31:$B$48),$J3438,('Loading-drum,tote'!$E$31:$E$48))*Impacts!$F$13,0)),0)</f>
        <v>0</v>
      </c>
      <c r="R3438" s="10">
        <f>IFERROR(IF(('Loading-truck'!$C$21)="No control",SUMIF(('Loading-truck'!$B$31:$B$48),$J3438,('Loading-truck'!$D$31:$D$48))*Impacts!$F$14,IF(('Loading-truck'!$C$21)&lt;&gt;"No control",SUMIF(('Loading-truck'!$B$31:$B$48),$J3438,('Loading-truck'!$E$31:$E$48))*Impacts!$F$14,0)),0)</f>
        <v>0</v>
      </c>
      <c r="S3438" s="10">
        <f>IFERROR(IF(('Loading-rail'!$C$21)="No control",SUMIF(('Loading-rail'!$B$31:$B$48),$J3438,('Loading-rail'!$D$31:$D$48))*Impacts!$F$15,IF(('Loading-rail'!$C$21)&lt;&gt;"No control",SUMIF(('Loading-rail'!$B$31:$B$48),$J3438,('Loading-rail'!$E$31:$E$48))*Impacts!$F$15,0)),0)</f>
        <v>0</v>
      </c>
      <c r="T3438" s="10">
        <f>IF(Flare!$C$7="",0,(SUMIF(Flare!$B$46:$B$185,$J3438,Flare!$E$46:$E$185)*Impacts!$F$16))</f>
        <v>0</v>
      </c>
      <c r="U3438" s="10">
        <f>IF(VCU!$C$9="",0,(SUMIF(VCU!$B$51:$B$193,$J3438,VCU!$E$51:$E$193)*Impacts!$F$17))</f>
        <v>0</v>
      </c>
      <c r="V3438" s="10">
        <f>IF(CAS!$C$7="",0,(SUMIF(CAS!$B$31:$B$167,$J3438,CAS!$E$31:$E$167)*Impacts!$F$18))</f>
        <v>0</v>
      </c>
      <c r="W3438" s="10">
        <f t="shared" si="94"/>
        <v>0</v>
      </c>
      <c r="AK3438" s="10" t="str">
        <f t="array" ref="AK3438">IFERROR(INDEX(SelectedSpecies,SMALL(IF(SelectedSpecies=AK$1,ROW(SelectedSpecies)),ROW(3439:3439)),2),"")</f>
        <v/>
      </c>
      <c r="BE3438" s="10"/>
      <c r="BI3438" s="10"/>
    </row>
    <row r="3439" spans="1:61" ht="21" customHeight="1" x14ac:dyDescent="0.25">
      <c r="A3439" s="10"/>
      <c r="B3439" s="10"/>
      <c r="E3439" s="10"/>
      <c r="G3439" s="10"/>
      <c r="I3439" s="436" t="s">
        <v>337</v>
      </c>
      <c r="J3439" s="26" t="s">
        <v>336</v>
      </c>
      <c r="K3439" s="10">
        <v>420</v>
      </c>
      <c r="L3439" s="73">
        <f>IF(Tank1!$C$23="No control",(SUMIF(Tank1!$B$32:$B$49,$J3439,Tank1!$C$32:$C$49)*Impacts!$F$8),0)</f>
        <v>0</v>
      </c>
      <c r="M3439" s="10">
        <f>IF(Tank2!$C$23="No control",(SUMIF(Tank2!$B$32:$B$49,$J3439,Tank2!$C$32:$C$49)*Impacts!$F$9),0)</f>
        <v>0</v>
      </c>
      <c r="N3439" s="10">
        <f>IF(Tank3!$C$23="No control",(SUMIF(Tank3!$B$32:$B$49,$J3439,Tank3!$C$32:$C$49)*Impacts!$F$10),0)</f>
        <v>0</v>
      </c>
      <c r="O3439" s="10">
        <f>IF(Tank4!$C$23="No control",(SUMIF(Tank4!$B$32:$B$49,$J3439,Tank4!$C$32:$C$49)*Impacts!$F$11),0)</f>
        <v>0</v>
      </c>
      <c r="P3439" s="10">
        <f>IF(Tank5!$C$23="No control",(SUMIF(Tank5!$B$32:$B$49,$J3439,Tank5!$C$32:$C$49)*Impacts!$F$12),0)</f>
        <v>0</v>
      </c>
      <c r="Q3439" s="10">
        <f>IFERROR(IF(('Loading-drum,tote'!$C$21)="No control",SUMIF(('Loading-drum,tote'!$B$31:$B$48),$J3439,('Loading-drum,tote'!$D$31:$D$48))*Impacts!$F$13,IF(('Loading-drum,tote'!$C$21)&lt;&gt;"No control",SUMIF(('Loading-drum,tote'!$B$31:$B$48),$J3439,('Loading-drum,tote'!$E$31:$E$48))*Impacts!$F$13,0)),0)</f>
        <v>0</v>
      </c>
      <c r="R3439" s="10">
        <f>IFERROR(IF(('Loading-truck'!$C$21)="No control",SUMIF(('Loading-truck'!$B$31:$B$48),$J3439,('Loading-truck'!$D$31:$D$48))*Impacts!$F$14,IF(('Loading-truck'!$C$21)&lt;&gt;"No control",SUMIF(('Loading-truck'!$B$31:$B$48),$J3439,('Loading-truck'!$E$31:$E$48))*Impacts!$F$14,0)),0)</f>
        <v>0</v>
      </c>
      <c r="S3439" s="10">
        <f>IFERROR(IF(('Loading-rail'!$C$21)="No control",SUMIF(('Loading-rail'!$B$31:$B$48),$J3439,('Loading-rail'!$D$31:$D$48))*Impacts!$F$15,IF(('Loading-rail'!$C$21)&lt;&gt;"No control",SUMIF(('Loading-rail'!$B$31:$B$48),$J3439,('Loading-rail'!$E$31:$E$48))*Impacts!$F$15,0)),0)</f>
        <v>0</v>
      </c>
      <c r="T3439" s="10">
        <f>IF(Flare!$C$7="",0,(SUMIF(Flare!$B$46:$B$185,$J3439,Flare!$E$46:$E$185)*Impacts!$F$16))</f>
        <v>0</v>
      </c>
      <c r="U3439" s="10">
        <f>IF(VCU!$C$9="",0,(SUMIF(VCU!$B$51:$B$193,$J3439,VCU!$E$51:$E$193)*Impacts!$F$17))</f>
        <v>0</v>
      </c>
      <c r="V3439" s="10">
        <f>IF(CAS!$C$7="",0,(SUMIF(CAS!$B$31:$B$167,$J3439,CAS!$E$31:$E$167)*Impacts!$F$18))</f>
        <v>0</v>
      </c>
      <c r="W3439" s="10">
        <f t="shared" si="94"/>
        <v>0</v>
      </c>
      <c r="AK3439" s="10" t="str">
        <f t="array" ref="AK3439">IFERROR(INDEX(SelectedSpecies,SMALL(IF(SelectedSpecies=AK$1,ROW(SelectedSpecies)),ROW(3440:3440)),2),"")</f>
        <v/>
      </c>
      <c r="BE3439" s="10"/>
      <c r="BI3439" s="10"/>
    </row>
    <row r="3440" spans="1:61" ht="21" customHeight="1" x14ac:dyDescent="0.25">
      <c r="A3440" s="10"/>
      <c r="B3440" s="10"/>
      <c r="E3440" s="10"/>
      <c r="G3440" s="10"/>
      <c r="I3440" s="436" t="s">
        <v>4871</v>
      </c>
      <c r="J3440" s="26" t="s">
        <v>4870</v>
      </c>
      <c r="K3440" s="10">
        <v>2.8000000000000003</v>
      </c>
      <c r="L3440" s="73">
        <f>IF(Tank1!$C$23="No control",(SUMIF(Tank1!$B$32:$B$49,$J3440,Tank1!$C$32:$C$49)*Impacts!$F$8),0)</f>
        <v>0</v>
      </c>
      <c r="M3440" s="10">
        <f>IF(Tank2!$C$23="No control",(SUMIF(Tank2!$B$32:$B$49,$J3440,Tank2!$C$32:$C$49)*Impacts!$F$9),0)</f>
        <v>0</v>
      </c>
      <c r="N3440" s="10">
        <f>IF(Tank3!$C$23="No control",(SUMIF(Tank3!$B$32:$B$49,$J3440,Tank3!$C$32:$C$49)*Impacts!$F$10),0)</f>
        <v>0</v>
      </c>
      <c r="O3440" s="10">
        <f>IF(Tank4!$C$23="No control",(SUMIF(Tank4!$B$32:$B$49,$J3440,Tank4!$C$32:$C$49)*Impacts!$F$11),0)</f>
        <v>0</v>
      </c>
      <c r="P3440" s="10">
        <f>IF(Tank5!$C$23="No control",(SUMIF(Tank5!$B$32:$B$49,$J3440,Tank5!$C$32:$C$49)*Impacts!$F$12),0)</f>
        <v>0</v>
      </c>
      <c r="Q3440" s="10">
        <f>IFERROR(IF(('Loading-drum,tote'!$C$21)="No control",SUMIF(('Loading-drum,tote'!$B$31:$B$48),$J3440,('Loading-drum,tote'!$D$31:$D$48))*Impacts!$F$13,IF(('Loading-drum,tote'!$C$21)&lt;&gt;"No control",SUMIF(('Loading-drum,tote'!$B$31:$B$48),$J3440,('Loading-drum,tote'!$E$31:$E$48))*Impacts!$F$13,0)),0)</f>
        <v>0</v>
      </c>
      <c r="R3440" s="10">
        <f>IFERROR(IF(('Loading-truck'!$C$21)="No control",SUMIF(('Loading-truck'!$B$31:$B$48),$J3440,('Loading-truck'!$D$31:$D$48))*Impacts!$F$14,IF(('Loading-truck'!$C$21)&lt;&gt;"No control",SUMIF(('Loading-truck'!$B$31:$B$48),$J3440,('Loading-truck'!$E$31:$E$48))*Impacts!$F$14,0)),0)</f>
        <v>0</v>
      </c>
      <c r="S3440" s="10">
        <f>IFERROR(IF(('Loading-rail'!$C$21)="No control",SUMIF(('Loading-rail'!$B$31:$B$48),$J3440,('Loading-rail'!$D$31:$D$48))*Impacts!$F$15,IF(('Loading-rail'!$C$21)&lt;&gt;"No control",SUMIF(('Loading-rail'!$B$31:$B$48),$J3440,('Loading-rail'!$E$31:$E$48))*Impacts!$F$15,0)),0)</f>
        <v>0</v>
      </c>
      <c r="T3440" s="10">
        <f>IF(Flare!$C$7="",0,(SUMIF(Flare!$B$46:$B$185,$J3440,Flare!$E$46:$E$185)*Impacts!$F$16))</f>
        <v>0</v>
      </c>
      <c r="U3440" s="10">
        <f>IF(VCU!$C$9="",0,(SUMIF(VCU!$B$51:$B$193,$J3440,VCU!$E$51:$E$193)*Impacts!$F$17))</f>
        <v>0</v>
      </c>
      <c r="V3440" s="10">
        <f>IF(CAS!$C$7="",0,(SUMIF(CAS!$B$31:$B$167,$J3440,CAS!$E$31:$E$167)*Impacts!$F$18))</f>
        <v>0</v>
      </c>
      <c r="W3440" s="10">
        <f t="shared" si="94"/>
        <v>0</v>
      </c>
      <c r="AK3440" s="10" t="str">
        <f t="array" ref="AK3440">IFERROR(INDEX(SelectedSpecies,SMALL(IF(SelectedSpecies=AK$1,ROW(SelectedSpecies)),ROW(3441:3441)),2),"")</f>
        <v/>
      </c>
      <c r="BE3440" s="10"/>
      <c r="BI3440" s="10"/>
    </row>
    <row r="3441" spans="1:61" ht="21" customHeight="1" x14ac:dyDescent="0.25">
      <c r="A3441" s="10"/>
      <c r="B3441" s="10"/>
      <c r="E3441" s="10"/>
      <c r="G3441" s="10"/>
      <c r="I3441" s="436" t="s">
        <v>325</v>
      </c>
      <c r="J3441" s="26" t="s">
        <v>324</v>
      </c>
      <c r="K3441" s="10">
        <v>560</v>
      </c>
      <c r="L3441" s="73">
        <f>IF(Tank1!$C$23="No control",(SUMIF(Tank1!$B$32:$B$49,$J3441,Tank1!$C$32:$C$49)*Impacts!$F$8),0)</f>
        <v>0</v>
      </c>
      <c r="M3441" s="10">
        <f>IF(Tank2!$C$23="No control",(SUMIF(Tank2!$B$32:$B$49,$J3441,Tank2!$C$32:$C$49)*Impacts!$F$9),0)</f>
        <v>0</v>
      </c>
      <c r="N3441" s="10">
        <f>IF(Tank3!$C$23="No control",(SUMIF(Tank3!$B$32:$B$49,$J3441,Tank3!$C$32:$C$49)*Impacts!$F$10),0)</f>
        <v>0</v>
      </c>
      <c r="O3441" s="10">
        <f>IF(Tank4!$C$23="No control",(SUMIF(Tank4!$B$32:$B$49,$J3441,Tank4!$C$32:$C$49)*Impacts!$F$11),0)</f>
        <v>0</v>
      </c>
      <c r="P3441" s="10">
        <f>IF(Tank5!$C$23="No control",(SUMIF(Tank5!$B$32:$B$49,$J3441,Tank5!$C$32:$C$49)*Impacts!$F$12),0)</f>
        <v>0</v>
      </c>
      <c r="Q3441" s="10">
        <f>IFERROR(IF(('Loading-drum,tote'!$C$21)="No control",SUMIF(('Loading-drum,tote'!$B$31:$B$48),$J3441,('Loading-drum,tote'!$D$31:$D$48))*Impacts!$F$13,IF(('Loading-drum,tote'!$C$21)&lt;&gt;"No control",SUMIF(('Loading-drum,tote'!$B$31:$B$48),$J3441,('Loading-drum,tote'!$E$31:$E$48))*Impacts!$F$13,0)),0)</f>
        <v>0</v>
      </c>
      <c r="R3441" s="10">
        <f>IFERROR(IF(('Loading-truck'!$C$21)="No control",SUMIF(('Loading-truck'!$B$31:$B$48),$J3441,('Loading-truck'!$D$31:$D$48))*Impacts!$F$14,IF(('Loading-truck'!$C$21)&lt;&gt;"No control",SUMIF(('Loading-truck'!$B$31:$B$48),$J3441,('Loading-truck'!$E$31:$E$48))*Impacts!$F$14,0)),0)</f>
        <v>0</v>
      </c>
      <c r="S3441" s="10">
        <f>IFERROR(IF(('Loading-rail'!$C$21)="No control",SUMIF(('Loading-rail'!$B$31:$B$48),$J3441,('Loading-rail'!$D$31:$D$48))*Impacts!$F$15,IF(('Loading-rail'!$C$21)&lt;&gt;"No control",SUMIF(('Loading-rail'!$B$31:$B$48),$J3441,('Loading-rail'!$E$31:$E$48))*Impacts!$F$15,0)),0)</f>
        <v>0</v>
      </c>
      <c r="T3441" s="10">
        <f>IF(Flare!$C$7="",0,(SUMIF(Flare!$B$46:$B$185,$J3441,Flare!$E$46:$E$185)*Impacts!$F$16))</f>
        <v>0</v>
      </c>
      <c r="U3441" s="10">
        <f>IF(VCU!$C$9="",0,(SUMIF(VCU!$B$51:$B$193,$J3441,VCU!$E$51:$E$193)*Impacts!$F$17))</f>
        <v>0</v>
      </c>
      <c r="V3441" s="10">
        <f>IF(CAS!$C$7="",0,(SUMIF(CAS!$B$31:$B$167,$J3441,CAS!$E$31:$E$167)*Impacts!$F$18))</f>
        <v>0</v>
      </c>
      <c r="W3441" s="10">
        <f t="shared" si="94"/>
        <v>0</v>
      </c>
      <c r="AK3441" s="10" t="str">
        <f t="array" ref="AK3441">IFERROR(INDEX(SelectedSpecies,SMALL(IF(SelectedSpecies=AK$1,ROW(SelectedSpecies)),ROW(3442:3442)),2),"")</f>
        <v/>
      </c>
      <c r="BE3441" s="10"/>
      <c r="BI3441" s="10"/>
    </row>
    <row r="3442" spans="1:61" ht="21" customHeight="1" x14ac:dyDescent="0.25">
      <c r="A3442" s="10"/>
      <c r="B3442" s="10"/>
      <c r="E3442" s="10"/>
      <c r="G3442" s="10"/>
      <c r="I3442" s="436" t="s">
        <v>329</v>
      </c>
      <c r="J3442" s="26" t="s">
        <v>328</v>
      </c>
      <c r="K3442" s="10">
        <v>500</v>
      </c>
      <c r="L3442" s="73">
        <f>IF(Tank1!$C$23="No control",(SUMIF(Tank1!$B$32:$B$49,$J3442,Tank1!$C$32:$C$49)*Impacts!$F$8),0)</f>
        <v>0</v>
      </c>
      <c r="M3442" s="10">
        <f>IF(Tank2!$C$23="No control",(SUMIF(Tank2!$B$32:$B$49,$J3442,Tank2!$C$32:$C$49)*Impacts!$F$9),0)</f>
        <v>0</v>
      </c>
      <c r="N3442" s="10">
        <f>IF(Tank3!$C$23="No control",(SUMIF(Tank3!$B$32:$B$49,$J3442,Tank3!$C$32:$C$49)*Impacts!$F$10),0)</f>
        <v>0</v>
      </c>
      <c r="O3442" s="10">
        <f>IF(Tank4!$C$23="No control",(SUMIF(Tank4!$B$32:$B$49,$J3442,Tank4!$C$32:$C$49)*Impacts!$F$11),0)</f>
        <v>0</v>
      </c>
      <c r="P3442" s="10">
        <f>IF(Tank5!$C$23="No control",(SUMIF(Tank5!$B$32:$B$49,$J3442,Tank5!$C$32:$C$49)*Impacts!$F$12),0)</f>
        <v>0</v>
      </c>
      <c r="Q3442" s="10">
        <f>IFERROR(IF(('Loading-drum,tote'!$C$21)="No control",SUMIF(('Loading-drum,tote'!$B$31:$B$48),$J3442,('Loading-drum,tote'!$D$31:$D$48))*Impacts!$F$13,IF(('Loading-drum,tote'!$C$21)&lt;&gt;"No control",SUMIF(('Loading-drum,tote'!$B$31:$B$48),$J3442,('Loading-drum,tote'!$E$31:$E$48))*Impacts!$F$13,0)),0)</f>
        <v>0</v>
      </c>
      <c r="R3442" s="10">
        <f>IFERROR(IF(('Loading-truck'!$C$21)="No control",SUMIF(('Loading-truck'!$B$31:$B$48),$J3442,('Loading-truck'!$D$31:$D$48))*Impacts!$F$14,IF(('Loading-truck'!$C$21)&lt;&gt;"No control",SUMIF(('Loading-truck'!$B$31:$B$48),$J3442,('Loading-truck'!$E$31:$E$48))*Impacts!$F$14,0)),0)</f>
        <v>0</v>
      </c>
      <c r="S3442" s="10">
        <f>IFERROR(IF(('Loading-rail'!$C$21)="No control",SUMIF(('Loading-rail'!$B$31:$B$48),$J3442,('Loading-rail'!$D$31:$D$48))*Impacts!$F$15,IF(('Loading-rail'!$C$21)&lt;&gt;"No control",SUMIF(('Loading-rail'!$B$31:$B$48),$J3442,('Loading-rail'!$E$31:$E$48))*Impacts!$F$15,0)),0)</f>
        <v>0</v>
      </c>
      <c r="T3442" s="10">
        <f>IF(Flare!$C$7="",0,(SUMIF(Flare!$B$46:$B$185,$J3442,Flare!$E$46:$E$185)*Impacts!$F$16))</f>
        <v>0</v>
      </c>
      <c r="U3442" s="10">
        <f>IF(VCU!$C$9="",0,(SUMIF(VCU!$B$51:$B$193,$J3442,VCU!$E$51:$E$193)*Impacts!$F$17))</f>
        <v>0</v>
      </c>
      <c r="V3442" s="10">
        <f>IF(CAS!$C$7="",0,(SUMIF(CAS!$B$31:$B$167,$J3442,CAS!$E$31:$E$167)*Impacts!$F$18))</f>
        <v>0</v>
      </c>
      <c r="W3442" s="10">
        <f t="shared" si="94"/>
        <v>0</v>
      </c>
      <c r="AK3442" s="10" t="str">
        <f t="array" ref="AK3442">IFERROR(INDEX(SelectedSpecies,SMALL(IF(SelectedSpecies=AK$1,ROW(SelectedSpecies)),ROW(3443:3443)),2),"")</f>
        <v/>
      </c>
      <c r="BE3442" s="10"/>
      <c r="BI3442" s="10"/>
    </row>
    <row r="3443" spans="1:61" ht="21" customHeight="1" x14ac:dyDescent="0.25">
      <c r="A3443" s="10"/>
      <c r="B3443" s="10"/>
      <c r="E3443" s="10"/>
      <c r="G3443" s="10"/>
      <c r="I3443" s="436" t="s">
        <v>7974</v>
      </c>
      <c r="J3443" s="26" t="s">
        <v>7973</v>
      </c>
      <c r="K3443" s="10">
        <v>4.0000000000000008E-2</v>
      </c>
      <c r="L3443" s="73">
        <f>IF(Tank1!$C$23="No control",(SUMIF(Tank1!$B$32:$B$49,$J3443,Tank1!$C$32:$C$49)*Impacts!$F$8),0)</f>
        <v>0</v>
      </c>
      <c r="M3443" s="10">
        <f>IF(Tank2!$C$23="No control",(SUMIF(Tank2!$B$32:$B$49,$J3443,Tank2!$C$32:$C$49)*Impacts!$F$9),0)</f>
        <v>0</v>
      </c>
      <c r="N3443" s="10">
        <f>IF(Tank3!$C$23="No control",(SUMIF(Tank3!$B$32:$B$49,$J3443,Tank3!$C$32:$C$49)*Impacts!$F$10),0)</f>
        <v>0</v>
      </c>
      <c r="O3443" s="10">
        <f>IF(Tank4!$C$23="No control",(SUMIF(Tank4!$B$32:$B$49,$J3443,Tank4!$C$32:$C$49)*Impacts!$F$11),0)</f>
        <v>0</v>
      </c>
      <c r="P3443" s="10">
        <f>IF(Tank5!$C$23="No control",(SUMIF(Tank5!$B$32:$B$49,$J3443,Tank5!$C$32:$C$49)*Impacts!$F$12),0)</f>
        <v>0</v>
      </c>
      <c r="Q3443" s="10">
        <f>IFERROR(IF(('Loading-drum,tote'!$C$21)="No control",SUMIF(('Loading-drum,tote'!$B$31:$B$48),$J3443,('Loading-drum,tote'!$D$31:$D$48))*Impacts!$F$13,IF(('Loading-drum,tote'!$C$21)&lt;&gt;"No control",SUMIF(('Loading-drum,tote'!$B$31:$B$48),$J3443,('Loading-drum,tote'!$E$31:$E$48))*Impacts!$F$13,0)),0)</f>
        <v>0</v>
      </c>
      <c r="R3443" s="10">
        <f>IFERROR(IF(('Loading-truck'!$C$21)="No control",SUMIF(('Loading-truck'!$B$31:$B$48),$J3443,('Loading-truck'!$D$31:$D$48))*Impacts!$F$14,IF(('Loading-truck'!$C$21)&lt;&gt;"No control",SUMIF(('Loading-truck'!$B$31:$B$48),$J3443,('Loading-truck'!$E$31:$E$48))*Impacts!$F$14,0)),0)</f>
        <v>0</v>
      </c>
      <c r="S3443" s="10">
        <f>IFERROR(IF(('Loading-rail'!$C$21)="No control",SUMIF(('Loading-rail'!$B$31:$B$48),$J3443,('Loading-rail'!$D$31:$D$48))*Impacts!$F$15,IF(('Loading-rail'!$C$21)&lt;&gt;"No control",SUMIF(('Loading-rail'!$B$31:$B$48),$J3443,('Loading-rail'!$E$31:$E$48))*Impacts!$F$15,0)),0)</f>
        <v>0</v>
      </c>
      <c r="T3443" s="10">
        <f>IF(Flare!$C$7="",0,(SUMIF(Flare!$B$46:$B$185,$J3443,Flare!$E$46:$E$185)*Impacts!$F$16))</f>
        <v>0</v>
      </c>
      <c r="U3443" s="10">
        <f>IF(VCU!$C$9="",0,(SUMIF(VCU!$B$51:$B$193,$J3443,VCU!$E$51:$E$193)*Impacts!$F$17))</f>
        <v>0</v>
      </c>
      <c r="V3443" s="10">
        <f>IF(CAS!$C$7="",0,(SUMIF(CAS!$B$31:$B$167,$J3443,CAS!$E$31:$E$167)*Impacts!$F$18))</f>
        <v>0</v>
      </c>
      <c r="W3443" s="10">
        <f t="shared" si="94"/>
        <v>0</v>
      </c>
      <c r="AK3443" s="10" t="str">
        <f t="array" ref="AK3443">IFERROR(INDEX(SelectedSpecies,SMALL(IF(SelectedSpecies=AK$1,ROW(SelectedSpecies)),ROW(3444:3444)),2),"")</f>
        <v/>
      </c>
      <c r="BE3443" s="10"/>
      <c r="BI3443" s="10"/>
    </row>
    <row r="3444" spans="1:61" ht="21" customHeight="1" x14ac:dyDescent="0.25">
      <c r="A3444" s="10"/>
      <c r="B3444" s="10"/>
      <c r="E3444" s="10"/>
      <c r="G3444" s="10"/>
      <c r="I3444" s="436" t="s">
        <v>333</v>
      </c>
      <c r="J3444" s="26" t="s">
        <v>332</v>
      </c>
      <c r="K3444" s="10">
        <v>430</v>
      </c>
      <c r="L3444" s="73">
        <f>IF(Tank1!$C$23="No control",(SUMIF(Tank1!$B$32:$B$49,$J3444,Tank1!$C$32:$C$49)*Impacts!$F$8),0)</f>
        <v>0</v>
      </c>
      <c r="M3444" s="10">
        <f>IF(Tank2!$C$23="No control",(SUMIF(Tank2!$B$32:$B$49,$J3444,Tank2!$C$32:$C$49)*Impacts!$F$9),0)</f>
        <v>0</v>
      </c>
      <c r="N3444" s="10">
        <f>IF(Tank3!$C$23="No control",(SUMIF(Tank3!$B$32:$B$49,$J3444,Tank3!$C$32:$C$49)*Impacts!$F$10),0)</f>
        <v>0</v>
      </c>
      <c r="O3444" s="10">
        <f>IF(Tank4!$C$23="No control",(SUMIF(Tank4!$B$32:$B$49,$J3444,Tank4!$C$32:$C$49)*Impacts!$F$11),0)</f>
        <v>0</v>
      </c>
      <c r="P3444" s="10">
        <f>IF(Tank5!$C$23="No control",(SUMIF(Tank5!$B$32:$B$49,$J3444,Tank5!$C$32:$C$49)*Impacts!$F$12),0)</f>
        <v>0</v>
      </c>
      <c r="Q3444" s="10">
        <f>IFERROR(IF(('Loading-drum,tote'!$C$21)="No control",SUMIF(('Loading-drum,tote'!$B$31:$B$48),$J3444,('Loading-drum,tote'!$D$31:$D$48))*Impacts!$F$13,IF(('Loading-drum,tote'!$C$21)&lt;&gt;"No control",SUMIF(('Loading-drum,tote'!$B$31:$B$48),$J3444,('Loading-drum,tote'!$E$31:$E$48))*Impacts!$F$13,0)),0)</f>
        <v>0</v>
      </c>
      <c r="R3444" s="10">
        <f>IFERROR(IF(('Loading-truck'!$C$21)="No control",SUMIF(('Loading-truck'!$B$31:$B$48),$J3444,('Loading-truck'!$D$31:$D$48))*Impacts!$F$14,IF(('Loading-truck'!$C$21)&lt;&gt;"No control",SUMIF(('Loading-truck'!$B$31:$B$48),$J3444,('Loading-truck'!$E$31:$E$48))*Impacts!$F$14,0)),0)</f>
        <v>0</v>
      </c>
      <c r="S3444" s="10">
        <f>IFERROR(IF(('Loading-rail'!$C$21)="No control",SUMIF(('Loading-rail'!$B$31:$B$48),$J3444,('Loading-rail'!$D$31:$D$48))*Impacts!$F$15,IF(('Loading-rail'!$C$21)&lt;&gt;"No control",SUMIF(('Loading-rail'!$B$31:$B$48),$J3444,('Loading-rail'!$E$31:$E$48))*Impacts!$F$15,0)),0)</f>
        <v>0</v>
      </c>
      <c r="T3444" s="10">
        <f>IF(Flare!$C$7="",0,(SUMIF(Flare!$B$46:$B$185,$J3444,Flare!$E$46:$E$185)*Impacts!$F$16))</f>
        <v>0</v>
      </c>
      <c r="U3444" s="10">
        <f>IF(VCU!$C$9="",0,(SUMIF(VCU!$B$51:$B$193,$J3444,VCU!$E$51:$E$193)*Impacts!$F$17))</f>
        <v>0</v>
      </c>
      <c r="V3444" s="10">
        <f>IF(CAS!$C$7="",0,(SUMIF(CAS!$B$31:$B$167,$J3444,CAS!$E$31:$E$167)*Impacts!$F$18))</f>
        <v>0</v>
      </c>
      <c r="W3444" s="10">
        <f t="shared" si="94"/>
        <v>0</v>
      </c>
      <c r="AK3444" s="10" t="str">
        <f t="array" ref="AK3444">IFERROR(INDEX(SelectedSpecies,SMALL(IF(SelectedSpecies=AK$1,ROW(SelectedSpecies)),ROW(3445:3445)),2),"")</f>
        <v/>
      </c>
      <c r="BE3444" s="10"/>
      <c r="BI3444" s="10"/>
    </row>
    <row r="3445" spans="1:61" ht="21" customHeight="1" x14ac:dyDescent="0.25">
      <c r="A3445" s="10"/>
      <c r="B3445" s="10"/>
      <c r="E3445" s="10"/>
      <c r="G3445" s="10"/>
      <c r="I3445" s="436" t="s">
        <v>433</v>
      </c>
      <c r="J3445" s="26" t="s">
        <v>432</v>
      </c>
      <c r="K3445" s="10">
        <v>180</v>
      </c>
      <c r="L3445" s="73">
        <f>IF(Tank1!$C$23="No control",(SUMIF(Tank1!$B$32:$B$49,$J3445,Tank1!$C$32:$C$49)*Impacts!$F$8),0)</f>
        <v>0</v>
      </c>
      <c r="M3445" s="10">
        <f>IF(Tank2!$C$23="No control",(SUMIF(Tank2!$B$32:$B$49,$J3445,Tank2!$C$32:$C$49)*Impacts!$F$9),0)</f>
        <v>0</v>
      </c>
      <c r="N3445" s="10">
        <f>IF(Tank3!$C$23="No control",(SUMIF(Tank3!$B$32:$B$49,$J3445,Tank3!$C$32:$C$49)*Impacts!$F$10),0)</f>
        <v>0</v>
      </c>
      <c r="O3445" s="10">
        <f>IF(Tank4!$C$23="No control",(SUMIF(Tank4!$B$32:$B$49,$J3445,Tank4!$C$32:$C$49)*Impacts!$F$11),0)</f>
        <v>0</v>
      </c>
      <c r="P3445" s="10">
        <f>IF(Tank5!$C$23="No control",(SUMIF(Tank5!$B$32:$B$49,$J3445,Tank5!$C$32:$C$49)*Impacts!$F$12),0)</f>
        <v>0</v>
      </c>
      <c r="Q3445" s="10">
        <f>IFERROR(IF(('Loading-drum,tote'!$C$21)="No control",SUMIF(('Loading-drum,tote'!$B$31:$B$48),$J3445,('Loading-drum,tote'!$D$31:$D$48))*Impacts!$F$13,IF(('Loading-drum,tote'!$C$21)&lt;&gt;"No control",SUMIF(('Loading-drum,tote'!$B$31:$B$48),$J3445,('Loading-drum,tote'!$E$31:$E$48))*Impacts!$F$13,0)),0)</f>
        <v>0</v>
      </c>
      <c r="R3445" s="10">
        <f>IFERROR(IF(('Loading-truck'!$C$21)="No control",SUMIF(('Loading-truck'!$B$31:$B$48),$J3445,('Loading-truck'!$D$31:$D$48))*Impacts!$F$14,IF(('Loading-truck'!$C$21)&lt;&gt;"No control",SUMIF(('Loading-truck'!$B$31:$B$48),$J3445,('Loading-truck'!$E$31:$E$48))*Impacts!$F$14,0)),0)</f>
        <v>0</v>
      </c>
      <c r="S3445" s="10">
        <f>IFERROR(IF(('Loading-rail'!$C$21)="No control",SUMIF(('Loading-rail'!$B$31:$B$48),$J3445,('Loading-rail'!$D$31:$D$48))*Impacts!$F$15,IF(('Loading-rail'!$C$21)&lt;&gt;"No control",SUMIF(('Loading-rail'!$B$31:$B$48),$J3445,('Loading-rail'!$E$31:$E$48))*Impacts!$F$15,0)),0)</f>
        <v>0</v>
      </c>
      <c r="T3445" s="10">
        <f>IF(Flare!$C$7="",0,(SUMIF(Flare!$B$46:$B$185,$J3445,Flare!$E$46:$E$185)*Impacts!$F$16))</f>
        <v>0</v>
      </c>
      <c r="U3445" s="10">
        <f>IF(VCU!$C$9="",0,(SUMIF(VCU!$B$51:$B$193,$J3445,VCU!$E$51:$E$193)*Impacts!$F$17))</f>
        <v>0</v>
      </c>
      <c r="V3445" s="10">
        <f>IF(CAS!$C$7="",0,(SUMIF(CAS!$B$31:$B$167,$J3445,CAS!$E$31:$E$167)*Impacts!$F$18))</f>
        <v>0</v>
      </c>
      <c r="W3445" s="10">
        <f t="shared" si="94"/>
        <v>0</v>
      </c>
      <c r="AK3445" s="10" t="str">
        <f t="array" ref="AK3445">IFERROR(INDEX(SelectedSpecies,SMALL(IF(SelectedSpecies=AK$1,ROW(SelectedSpecies)),ROW(3446:3446)),2),"")</f>
        <v/>
      </c>
      <c r="BE3445" s="10"/>
      <c r="BI3445" s="10"/>
    </row>
    <row r="3446" spans="1:61" ht="21" customHeight="1" x14ac:dyDescent="0.25">
      <c r="A3446" s="10"/>
      <c r="B3446" s="10"/>
      <c r="E3446" s="10"/>
      <c r="G3446" s="10"/>
      <c r="I3446" s="436" t="s">
        <v>6170</v>
      </c>
      <c r="J3446" s="26" t="s">
        <v>6169</v>
      </c>
      <c r="K3446" s="10">
        <v>1</v>
      </c>
      <c r="L3446" s="73">
        <f>IF(Tank1!$C$23="No control",(SUMIF(Tank1!$B$32:$B$49,$J3446,Tank1!$C$32:$C$49)*Impacts!$F$8),0)</f>
        <v>0</v>
      </c>
      <c r="M3446" s="10">
        <f>IF(Tank2!$C$23="No control",(SUMIF(Tank2!$B$32:$B$49,$J3446,Tank2!$C$32:$C$49)*Impacts!$F$9),0)</f>
        <v>0</v>
      </c>
      <c r="N3446" s="10">
        <f>IF(Tank3!$C$23="No control",(SUMIF(Tank3!$B$32:$B$49,$J3446,Tank3!$C$32:$C$49)*Impacts!$F$10),0)</f>
        <v>0</v>
      </c>
      <c r="O3446" s="10">
        <f>IF(Tank4!$C$23="No control",(SUMIF(Tank4!$B$32:$B$49,$J3446,Tank4!$C$32:$C$49)*Impacts!$F$11),0)</f>
        <v>0</v>
      </c>
      <c r="P3446" s="10">
        <f>IF(Tank5!$C$23="No control",(SUMIF(Tank5!$B$32:$B$49,$J3446,Tank5!$C$32:$C$49)*Impacts!$F$12),0)</f>
        <v>0</v>
      </c>
      <c r="Q3446" s="10">
        <f>IFERROR(IF(('Loading-drum,tote'!$C$21)="No control",SUMIF(('Loading-drum,tote'!$B$31:$B$48),$J3446,('Loading-drum,tote'!$D$31:$D$48))*Impacts!$F$13,IF(('Loading-drum,tote'!$C$21)&lt;&gt;"No control",SUMIF(('Loading-drum,tote'!$B$31:$B$48),$J3446,('Loading-drum,tote'!$E$31:$E$48))*Impacts!$F$13,0)),0)</f>
        <v>0</v>
      </c>
      <c r="R3446" s="10">
        <f>IFERROR(IF(('Loading-truck'!$C$21)="No control",SUMIF(('Loading-truck'!$B$31:$B$48),$J3446,('Loading-truck'!$D$31:$D$48))*Impacts!$F$14,IF(('Loading-truck'!$C$21)&lt;&gt;"No control",SUMIF(('Loading-truck'!$B$31:$B$48),$J3446,('Loading-truck'!$E$31:$E$48))*Impacts!$F$14,0)),0)</f>
        <v>0</v>
      </c>
      <c r="S3446" s="10">
        <f>IFERROR(IF(('Loading-rail'!$C$21)="No control",SUMIF(('Loading-rail'!$B$31:$B$48),$J3446,('Loading-rail'!$D$31:$D$48))*Impacts!$F$15,IF(('Loading-rail'!$C$21)&lt;&gt;"No control",SUMIF(('Loading-rail'!$B$31:$B$48),$J3446,('Loading-rail'!$E$31:$E$48))*Impacts!$F$15,0)),0)</f>
        <v>0</v>
      </c>
      <c r="T3446" s="10">
        <f>IF(Flare!$C$7="",0,(SUMIF(Flare!$B$46:$B$185,$J3446,Flare!$E$46:$E$185)*Impacts!$F$16))</f>
        <v>0</v>
      </c>
      <c r="U3446" s="10">
        <f>IF(VCU!$C$9="",0,(SUMIF(VCU!$B$51:$B$193,$J3446,VCU!$E$51:$E$193)*Impacts!$F$17))</f>
        <v>0</v>
      </c>
      <c r="V3446" s="10">
        <f>IF(CAS!$C$7="",0,(SUMIF(CAS!$B$31:$B$167,$J3446,CAS!$E$31:$E$167)*Impacts!$F$18))</f>
        <v>0</v>
      </c>
      <c r="W3446" s="10">
        <f t="shared" si="94"/>
        <v>0</v>
      </c>
      <c r="AK3446" s="10" t="str">
        <f t="array" ref="AK3446">IFERROR(INDEX(SelectedSpecies,SMALL(IF(SelectedSpecies=AK$1,ROW(SelectedSpecies)),ROW(3447:3447)),2),"")</f>
        <v/>
      </c>
      <c r="BE3446" s="10"/>
      <c r="BI3446" s="10"/>
    </row>
    <row r="3447" spans="1:61" ht="21" customHeight="1" x14ac:dyDescent="0.25">
      <c r="A3447" s="10"/>
      <c r="B3447" s="10"/>
      <c r="E3447" s="10"/>
      <c r="G3447" s="10"/>
      <c r="I3447" s="436" t="s">
        <v>7378</v>
      </c>
      <c r="J3447" s="26" t="s">
        <v>7377</v>
      </c>
      <c r="K3447" s="10">
        <v>0.25</v>
      </c>
      <c r="L3447" s="73">
        <f>IF(Tank1!$C$23="No control",(SUMIF(Tank1!$B$32:$B$49,$J3447,Tank1!$C$32:$C$49)*Impacts!$F$8),0)</f>
        <v>0</v>
      </c>
      <c r="M3447" s="10">
        <f>IF(Tank2!$C$23="No control",(SUMIF(Tank2!$B$32:$B$49,$J3447,Tank2!$C$32:$C$49)*Impacts!$F$9),0)</f>
        <v>0</v>
      </c>
      <c r="N3447" s="10">
        <f>IF(Tank3!$C$23="No control",(SUMIF(Tank3!$B$32:$B$49,$J3447,Tank3!$C$32:$C$49)*Impacts!$F$10),0)</f>
        <v>0</v>
      </c>
      <c r="O3447" s="10">
        <f>IF(Tank4!$C$23="No control",(SUMIF(Tank4!$B$32:$B$49,$J3447,Tank4!$C$32:$C$49)*Impacts!$F$11),0)</f>
        <v>0</v>
      </c>
      <c r="P3447" s="10">
        <f>IF(Tank5!$C$23="No control",(SUMIF(Tank5!$B$32:$B$49,$J3447,Tank5!$C$32:$C$49)*Impacts!$F$12),0)</f>
        <v>0</v>
      </c>
      <c r="Q3447" s="10">
        <f>IFERROR(IF(('Loading-drum,tote'!$C$21)="No control",SUMIF(('Loading-drum,tote'!$B$31:$B$48),$J3447,('Loading-drum,tote'!$D$31:$D$48))*Impacts!$F$13,IF(('Loading-drum,tote'!$C$21)&lt;&gt;"No control",SUMIF(('Loading-drum,tote'!$B$31:$B$48),$J3447,('Loading-drum,tote'!$E$31:$E$48))*Impacts!$F$13,0)),0)</f>
        <v>0</v>
      </c>
      <c r="R3447" s="10">
        <f>IFERROR(IF(('Loading-truck'!$C$21)="No control",SUMIF(('Loading-truck'!$B$31:$B$48),$J3447,('Loading-truck'!$D$31:$D$48))*Impacts!$F$14,IF(('Loading-truck'!$C$21)&lt;&gt;"No control",SUMIF(('Loading-truck'!$B$31:$B$48),$J3447,('Loading-truck'!$E$31:$E$48))*Impacts!$F$14,0)),0)</f>
        <v>0</v>
      </c>
      <c r="S3447" s="10">
        <f>IFERROR(IF(('Loading-rail'!$C$21)="No control",SUMIF(('Loading-rail'!$B$31:$B$48),$J3447,('Loading-rail'!$D$31:$D$48))*Impacts!$F$15,IF(('Loading-rail'!$C$21)&lt;&gt;"No control",SUMIF(('Loading-rail'!$B$31:$B$48),$J3447,('Loading-rail'!$E$31:$E$48))*Impacts!$F$15,0)),0)</f>
        <v>0</v>
      </c>
      <c r="T3447" s="10">
        <f>IF(Flare!$C$7="",0,(SUMIF(Flare!$B$46:$B$185,$J3447,Flare!$E$46:$E$185)*Impacts!$F$16))</f>
        <v>0</v>
      </c>
      <c r="U3447" s="10">
        <f>IF(VCU!$C$9="",0,(SUMIF(VCU!$B$51:$B$193,$J3447,VCU!$E$51:$E$193)*Impacts!$F$17))</f>
        <v>0</v>
      </c>
      <c r="V3447" s="10">
        <f>IF(CAS!$C$7="",0,(SUMIF(CAS!$B$31:$B$167,$J3447,CAS!$E$31:$E$167)*Impacts!$F$18))</f>
        <v>0</v>
      </c>
      <c r="W3447" s="10">
        <f t="shared" si="94"/>
        <v>0</v>
      </c>
      <c r="AK3447" s="10" t="str">
        <f t="array" ref="AK3447">IFERROR(INDEX(SelectedSpecies,SMALL(IF(SelectedSpecies=AK$1,ROW(SelectedSpecies)),ROW(3448:3448)),2),"")</f>
        <v/>
      </c>
      <c r="BE3447" s="10"/>
      <c r="BI3447" s="10"/>
    </row>
    <row r="3448" spans="1:61" ht="21" customHeight="1" x14ac:dyDescent="0.25">
      <c r="A3448" s="10"/>
      <c r="B3448" s="10"/>
      <c r="E3448" s="10"/>
      <c r="G3448" s="10"/>
      <c r="I3448" s="436" t="s">
        <v>5099</v>
      </c>
      <c r="J3448" s="26" t="s">
        <v>5098</v>
      </c>
      <c r="K3448" s="10">
        <v>2.2000000000000002</v>
      </c>
      <c r="L3448" s="73">
        <f>IF(Tank1!$C$23="No control",(SUMIF(Tank1!$B$32:$B$49,$J3448,Tank1!$C$32:$C$49)*Impacts!$F$8),0)</f>
        <v>0</v>
      </c>
      <c r="M3448" s="10">
        <f>IF(Tank2!$C$23="No control",(SUMIF(Tank2!$B$32:$B$49,$J3448,Tank2!$C$32:$C$49)*Impacts!$F$9),0)</f>
        <v>0</v>
      </c>
      <c r="N3448" s="10">
        <f>IF(Tank3!$C$23="No control",(SUMIF(Tank3!$B$32:$B$49,$J3448,Tank3!$C$32:$C$49)*Impacts!$F$10),0)</f>
        <v>0</v>
      </c>
      <c r="O3448" s="10">
        <f>IF(Tank4!$C$23="No control",(SUMIF(Tank4!$B$32:$B$49,$J3448,Tank4!$C$32:$C$49)*Impacts!$F$11),0)</f>
        <v>0</v>
      </c>
      <c r="P3448" s="10">
        <f>IF(Tank5!$C$23="No control",(SUMIF(Tank5!$B$32:$B$49,$J3448,Tank5!$C$32:$C$49)*Impacts!$F$12),0)</f>
        <v>0</v>
      </c>
      <c r="Q3448" s="10">
        <f>IFERROR(IF(('Loading-drum,tote'!$C$21)="No control",SUMIF(('Loading-drum,tote'!$B$31:$B$48),$J3448,('Loading-drum,tote'!$D$31:$D$48))*Impacts!$F$13,IF(('Loading-drum,tote'!$C$21)&lt;&gt;"No control",SUMIF(('Loading-drum,tote'!$B$31:$B$48),$J3448,('Loading-drum,tote'!$E$31:$E$48))*Impacts!$F$13,0)),0)</f>
        <v>0</v>
      </c>
      <c r="R3448" s="10">
        <f>IFERROR(IF(('Loading-truck'!$C$21)="No control",SUMIF(('Loading-truck'!$B$31:$B$48),$J3448,('Loading-truck'!$D$31:$D$48))*Impacts!$F$14,IF(('Loading-truck'!$C$21)&lt;&gt;"No control",SUMIF(('Loading-truck'!$B$31:$B$48),$J3448,('Loading-truck'!$E$31:$E$48))*Impacts!$F$14,0)),0)</f>
        <v>0</v>
      </c>
      <c r="S3448" s="10">
        <f>IFERROR(IF(('Loading-rail'!$C$21)="No control",SUMIF(('Loading-rail'!$B$31:$B$48),$J3448,('Loading-rail'!$D$31:$D$48))*Impacts!$F$15,IF(('Loading-rail'!$C$21)&lt;&gt;"No control",SUMIF(('Loading-rail'!$B$31:$B$48),$J3448,('Loading-rail'!$E$31:$E$48))*Impacts!$F$15,0)),0)</f>
        <v>0</v>
      </c>
      <c r="T3448" s="10">
        <f>IF(Flare!$C$7="",0,(SUMIF(Flare!$B$46:$B$185,$J3448,Flare!$E$46:$E$185)*Impacts!$F$16))</f>
        <v>0</v>
      </c>
      <c r="U3448" s="10">
        <f>IF(VCU!$C$9="",0,(SUMIF(VCU!$B$51:$B$193,$J3448,VCU!$E$51:$E$193)*Impacts!$F$17))</f>
        <v>0</v>
      </c>
      <c r="V3448" s="10">
        <f>IF(CAS!$C$7="",0,(SUMIF(CAS!$B$31:$B$167,$J3448,CAS!$E$31:$E$167)*Impacts!$F$18))</f>
        <v>0</v>
      </c>
      <c r="W3448" s="10">
        <f t="shared" si="94"/>
        <v>0</v>
      </c>
      <c r="AK3448" s="10" t="str">
        <f t="array" ref="AK3448">IFERROR(INDEX(SelectedSpecies,SMALL(IF(SelectedSpecies=AK$1,ROW(SelectedSpecies)),ROW(3449:3449)),2),"")</f>
        <v/>
      </c>
      <c r="BE3448" s="10"/>
      <c r="BI3448" s="10"/>
    </row>
    <row r="3449" spans="1:61" ht="21" customHeight="1" x14ac:dyDescent="0.25">
      <c r="A3449" s="10"/>
      <c r="B3449" s="10"/>
      <c r="E3449" s="10"/>
      <c r="G3449" s="10"/>
      <c r="I3449" s="436" t="s">
        <v>1881</v>
      </c>
      <c r="J3449" s="26" t="s">
        <v>1880</v>
      </c>
      <c r="K3449" s="10">
        <v>20</v>
      </c>
      <c r="L3449" s="73">
        <f>IF(Tank1!$C$23="No control",(SUMIF(Tank1!$B$32:$B$49,$J3449,Tank1!$C$32:$C$49)*Impacts!$F$8),0)</f>
        <v>0</v>
      </c>
      <c r="M3449" s="10">
        <f>IF(Tank2!$C$23="No control",(SUMIF(Tank2!$B$32:$B$49,$J3449,Tank2!$C$32:$C$49)*Impacts!$F$9),0)</f>
        <v>0</v>
      </c>
      <c r="N3449" s="10">
        <f>IF(Tank3!$C$23="No control",(SUMIF(Tank3!$B$32:$B$49,$J3449,Tank3!$C$32:$C$49)*Impacts!$F$10),0)</f>
        <v>0</v>
      </c>
      <c r="O3449" s="10">
        <f>IF(Tank4!$C$23="No control",(SUMIF(Tank4!$B$32:$B$49,$J3449,Tank4!$C$32:$C$49)*Impacts!$F$11),0)</f>
        <v>0</v>
      </c>
      <c r="P3449" s="10">
        <f>IF(Tank5!$C$23="No control",(SUMIF(Tank5!$B$32:$B$49,$J3449,Tank5!$C$32:$C$49)*Impacts!$F$12),0)</f>
        <v>0</v>
      </c>
      <c r="Q3449" s="10">
        <f>IFERROR(IF(('Loading-drum,tote'!$C$21)="No control",SUMIF(('Loading-drum,tote'!$B$31:$B$48),$J3449,('Loading-drum,tote'!$D$31:$D$48))*Impacts!$F$13,IF(('Loading-drum,tote'!$C$21)&lt;&gt;"No control",SUMIF(('Loading-drum,tote'!$B$31:$B$48),$J3449,('Loading-drum,tote'!$E$31:$E$48))*Impacts!$F$13,0)),0)</f>
        <v>0</v>
      </c>
      <c r="R3449" s="10">
        <f>IFERROR(IF(('Loading-truck'!$C$21)="No control",SUMIF(('Loading-truck'!$B$31:$B$48),$J3449,('Loading-truck'!$D$31:$D$48))*Impacts!$F$14,IF(('Loading-truck'!$C$21)&lt;&gt;"No control",SUMIF(('Loading-truck'!$B$31:$B$48),$J3449,('Loading-truck'!$E$31:$E$48))*Impacts!$F$14,0)),0)</f>
        <v>0</v>
      </c>
      <c r="S3449" s="10">
        <f>IFERROR(IF(('Loading-rail'!$C$21)="No control",SUMIF(('Loading-rail'!$B$31:$B$48),$J3449,('Loading-rail'!$D$31:$D$48))*Impacts!$F$15,IF(('Loading-rail'!$C$21)&lt;&gt;"No control",SUMIF(('Loading-rail'!$B$31:$B$48),$J3449,('Loading-rail'!$E$31:$E$48))*Impacts!$F$15,0)),0)</f>
        <v>0</v>
      </c>
      <c r="T3449" s="10">
        <f>IF(Flare!$C$7="",0,(SUMIF(Flare!$B$46:$B$185,$J3449,Flare!$E$46:$E$185)*Impacts!$F$16))</f>
        <v>0</v>
      </c>
      <c r="U3449" s="10">
        <f>IF(VCU!$C$9="",0,(SUMIF(VCU!$B$51:$B$193,$J3449,VCU!$E$51:$E$193)*Impacts!$F$17))</f>
        <v>0</v>
      </c>
      <c r="V3449" s="10">
        <f>IF(CAS!$C$7="",0,(SUMIF(CAS!$B$31:$B$167,$J3449,CAS!$E$31:$E$167)*Impacts!$F$18))</f>
        <v>0</v>
      </c>
      <c r="W3449" s="10">
        <f t="shared" si="94"/>
        <v>0</v>
      </c>
      <c r="AK3449" s="10" t="str">
        <f t="array" ref="AK3449">IFERROR(INDEX(SelectedSpecies,SMALL(IF(SelectedSpecies=AK$1,ROW(SelectedSpecies)),ROW(3450:3450)),2),"")</f>
        <v/>
      </c>
      <c r="BE3449" s="10"/>
      <c r="BI3449" s="10"/>
    </row>
    <row r="3450" spans="1:61" ht="21" customHeight="1" x14ac:dyDescent="0.25">
      <c r="A3450" s="10"/>
      <c r="B3450" s="10"/>
      <c r="E3450" s="10"/>
      <c r="G3450" s="10"/>
      <c r="I3450" s="436" t="s">
        <v>5614</v>
      </c>
      <c r="J3450" s="26" t="s">
        <v>5613</v>
      </c>
      <c r="K3450" s="10">
        <v>1.1000000000000001</v>
      </c>
      <c r="L3450" s="73">
        <f>IF(Tank1!$C$23="No control",(SUMIF(Tank1!$B$32:$B$49,$J3450,Tank1!$C$32:$C$49)*Impacts!$F$8),0)</f>
        <v>0</v>
      </c>
      <c r="M3450" s="10">
        <f>IF(Tank2!$C$23="No control",(SUMIF(Tank2!$B$32:$B$49,$J3450,Tank2!$C$32:$C$49)*Impacts!$F$9),0)</f>
        <v>0</v>
      </c>
      <c r="N3450" s="10">
        <f>IF(Tank3!$C$23="No control",(SUMIF(Tank3!$B$32:$B$49,$J3450,Tank3!$C$32:$C$49)*Impacts!$F$10),0)</f>
        <v>0</v>
      </c>
      <c r="O3450" s="10">
        <f>IF(Tank4!$C$23="No control",(SUMIF(Tank4!$B$32:$B$49,$J3450,Tank4!$C$32:$C$49)*Impacts!$F$11),0)</f>
        <v>0</v>
      </c>
      <c r="P3450" s="10">
        <f>IF(Tank5!$C$23="No control",(SUMIF(Tank5!$B$32:$B$49,$J3450,Tank5!$C$32:$C$49)*Impacts!$F$12),0)</f>
        <v>0</v>
      </c>
      <c r="Q3450" s="10">
        <f>IFERROR(IF(('Loading-drum,tote'!$C$21)="No control",SUMIF(('Loading-drum,tote'!$B$31:$B$48),$J3450,('Loading-drum,tote'!$D$31:$D$48))*Impacts!$F$13,IF(('Loading-drum,tote'!$C$21)&lt;&gt;"No control",SUMIF(('Loading-drum,tote'!$B$31:$B$48),$J3450,('Loading-drum,tote'!$E$31:$E$48))*Impacts!$F$13,0)),0)</f>
        <v>0</v>
      </c>
      <c r="R3450" s="10">
        <f>IFERROR(IF(('Loading-truck'!$C$21)="No control",SUMIF(('Loading-truck'!$B$31:$B$48),$J3450,('Loading-truck'!$D$31:$D$48))*Impacts!$F$14,IF(('Loading-truck'!$C$21)&lt;&gt;"No control",SUMIF(('Loading-truck'!$B$31:$B$48),$J3450,('Loading-truck'!$E$31:$E$48))*Impacts!$F$14,0)),0)</f>
        <v>0</v>
      </c>
      <c r="S3450" s="10">
        <f>IFERROR(IF(('Loading-rail'!$C$21)="No control",SUMIF(('Loading-rail'!$B$31:$B$48),$J3450,('Loading-rail'!$D$31:$D$48))*Impacts!$F$15,IF(('Loading-rail'!$C$21)&lt;&gt;"No control",SUMIF(('Loading-rail'!$B$31:$B$48),$J3450,('Loading-rail'!$E$31:$E$48))*Impacts!$F$15,0)),0)</f>
        <v>0</v>
      </c>
      <c r="T3450" s="10">
        <f>IF(Flare!$C$7="",0,(SUMIF(Flare!$B$46:$B$185,$J3450,Flare!$E$46:$E$185)*Impacts!$F$16))</f>
        <v>0</v>
      </c>
      <c r="U3450" s="10">
        <f>IF(VCU!$C$9="",0,(SUMIF(VCU!$B$51:$B$193,$J3450,VCU!$E$51:$E$193)*Impacts!$F$17))</f>
        <v>0</v>
      </c>
      <c r="V3450" s="10">
        <f>IF(CAS!$C$7="",0,(SUMIF(CAS!$B$31:$B$167,$J3450,CAS!$E$31:$E$167)*Impacts!$F$18))</f>
        <v>0</v>
      </c>
      <c r="W3450" s="10">
        <f t="shared" si="94"/>
        <v>0</v>
      </c>
      <c r="AK3450" s="10" t="str">
        <f t="array" ref="AK3450">IFERROR(INDEX(SelectedSpecies,SMALL(IF(SelectedSpecies=AK$1,ROW(SelectedSpecies)),ROW(3451:3451)),2),"")</f>
        <v/>
      </c>
      <c r="BE3450" s="10"/>
      <c r="BI3450" s="10"/>
    </row>
    <row r="3451" spans="1:61" ht="21" customHeight="1" x14ac:dyDescent="0.25">
      <c r="A3451" s="10"/>
      <c r="B3451" s="10"/>
      <c r="E3451" s="10"/>
      <c r="G3451" s="10"/>
      <c r="I3451" s="436" t="s">
        <v>6652</v>
      </c>
      <c r="J3451" s="26" t="s">
        <v>6651</v>
      </c>
      <c r="K3451" s="10">
        <v>0.60000000000000009</v>
      </c>
      <c r="L3451" s="73">
        <f>IF(Tank1!$C$23="No control",(SUMIF(Tank1!$B$32:$B$49,$J3451,Tank1!$C$32:$C$49)*Impacts!$F$8),0)</f>
        <v>0</v>
      </c>
      <c r="M3451" s="10">
        <f>IF(Tank2!$C$23="No control",(SUMIF(Tank2!$B$32:$B$49,$J3451,Tank2!$C$32:$C$49)*Impacts!$F$9),0)</f>
        <v>0</v>
      </c>
      <c r="N3451" s="10">
        <f>IF(Tank3!$C$23="No control",(SUMIF(Tank3!$B$32:$B$49,$J3451,Tank3!$C$32:$C$49)*Impacts!$F$10),0)</f>
        <v>0</v>
      </c>
      <c r="O3451" s="10">
        <f>IF(Tank4!$C$23="No control",(SUMIF(Tank4!$B$32:$B$49,$J3451,Tank4!$C$32:$C$49)*Impacts!$F$11),0)</f>
        <v>0</v>
      </c>
      <c r="P3451" s="10">
        <f>IF(Tank5!$C$23="No control",(SUMIF(Tank5!$B$32:$B$49,$J3451,Tank5!$C$32:$C$49)*Impacts!$F$12),0)</f>
        <v>0</v>
      </c>
      <c r="Q3451" s="10">
        <f>IFERROR(IF(('Loading-drum,tote'!$C$21)="No control",SUMIF(('Loading-drum,tote'!$B$31:$B$48),$J3451,('Loading-drum,tote'!$D$31:$D$48))*Impacts!$F$13,IF(('Loading-drum,tote'!$C$21)&lt;&gt;"No control",SUMIF(('Loading-drum,tote'!$B$31:$B$48),$J3451,('Loading-drum,tote'!$E$31:$E$48))*Impacts!$F$13,0)),0)</f>
        <v>0</v>
      </c>
      <c r="R3451" s="10">
        <f>IFERROR(IF(('Loading-truck'!$C$21)="No control",SUMIF(('Loading-truck'!$B$31:$B$48),$J3451,('Loading-truck'!$D$31:$D$48))*Impacts!$F$14,IF(('Loading-truck'!$C$21)&lt;&gt;"No control",SUMIF(('Loading-truck'!$B$31:$B$48),$J3451,('Loading-truck'!$E$31:$E$48))*Impacts!$F$14,0)),0)</f>
        <v>0</v>
      </c>
      <c r="S3451" s="10">
        <f>IFERROR(IF(('Loading-rail'!$C$21)="No control",SUMIF(('Loading-rail'!$B$31:$B$48),$J3451,('Loading-rail'!$D$31:$D$48))*Impacts!$F$15,IF(('Loading-rail'!$C$21)&lt;&gt;"No control",SUMIF(('Loading-rail'!$B$31:$B$48),$J3451,('Loading-rail'!$E$31:$E$48))*Impacts!$F$15,0)),0)</f>
        <v>0</v>
      </c>
      <c r="T3451" s="10">
        <f>IF(Flare!$C$7="",0,(SUMIF(Flare!$B$46:$B$185,$J3451,Flare!$E$46:$E$185)*Impacts!$F$16))</f>
        <v>0</v>
      </c>
      <c r="U3451" s="10">
        <f>IF(VCU!$C$9="",0,(SUMIF(VCU!$B$51:$B$193,$J3451,VCU!$E$51:$E$193)*Impacts!$F$17))</f>
        <v>0</v>
      </c>
      <c r="V3451" s="10">
        <f>IF(CAS!$C$7="",0,(SUMIF(CAS!$B$31:$B$167,$J3451,CAS!$E$31:$E$167)*Impacts!$F$18))</f>
        <v>0</v>
      </c>
      <c r="W3451" s="10">
        <f t="shared" si="94"/>
        <v>0</v>
      </c>
      <c r="AK3451" s="10" t="str">
        <f t="array" ref="AK3451">IFERROR(INDEX(SelectedSpecies,SMALL(IF(SelectedSpecies=AK$1,ROW(SelectedSpecies)),ROW(3452:3452)),2),"")</f>
        <v/>
      </c>
      <c r="BE3451" s="10"/>
      <c r="BI3451" s="10"/>
    </row>
    <row r="3452" spans="1:61" ht="21" customHeight="1" x14ac:dyDescent="0.25">
      <c r="A3452" s="10"/>
      <c r="B3452" s="10"/>
      <c r="E3452" s="10"/>
      <c r="G3452" s="10"/>
      <c r="I3452" s="436" t="s">
        <v>1883</v>
      </c>
      <c r="J3452" s="26" t="s">
        <v>1882</v>
      </c>
      <c r="K3452" s="10">
        <v>20</v>
      </c>
      <c r="L3452" s="73">
        <f>IF(Tank1!$C$23="No control",(SUMIF(Tank1!$B$32:$B$49,$J3452,Tank1!$C$32:$C$49)*Impacts!$F$8),0)</f>
        <v>0</v>
      </c>
      <c r="M3452" s="10">
        <f>IF(Tank2!$C$23="No control",(SUMIF(Tank2!$B$32:$B$49,$J3452,Tank2!$C$32:$C$49)*Impacts!$F$9),0)</f>
        <v>0</v>
      </c>
      <c r="N3452" s="10">
        <f>IF(Tank3!$C$23="No control",(SUMIF(Tank3!$B$32:$B$49,$J3452,Tank3!$C$32:$C$49)*Impacts!$F$10),0)</f>
        <v>0</v>
      </c>
      <c r="O3452" s="10">
        <f>IF(Tank4!$C$23="No control",(SUMIF(Tank4!$B$32:$B$49,$J3452,Tank4!$C$32:$C$49)*Impacts!$F$11),0)</f>
        <v>0</v>
      </c>
      <c r="P3452" s="10">
        <f>IF(Tank5!$C$23="No control",(SUMIF(Tank5!$B$32:$B$49,$J3452,Tank5!$C$32:$C$49)*Impacts!$F$12),0)</f>
        <v>0</v>
      </c>
      <c r="Q3452" s="10">
        <f>IFERROR(IF(('Loading-drum,tote'!$C$21)="No control",SUMIF(('Loading-drum,tote'!$B$31:$B$48),$J3452,('Loading-drum,tote'!$D$31:$D$48))*Impacts!$F$13,IF(('Loading-drum,tote'!$C$21)&lt;&gt;"No control",SUMIF(('Loading-drum,tote'!$B$31:$B$48),$J3452,('Loading-drum,tote'!$E$31:$E$48))*Impacts!$F$13,0)),0)</f>
        <v>0</v>
      </c>
      <c r="R3452" s="10">
        <f>IFERROR(IF(('Loading-truck'!$C$21)="No control",SUMIF(('Loading-truck'!$B$31:$B$48),$J3452,('Loading-truck'!$D$31:$D$48))*Impacts!$F$14,IF(('Loading-truck'!$C$21)&lt;&gt;"No control",SUMIF(('Loading-truck'!$B$31:$B$48),$J3452,('Loading-truck'!$E$31:$E$48))*Impacts!$F$14,0)),0)</f>
        <v>0</v>
      </c>
      <c r="S3452" s="10">
        <f>IFERROR(IF(('Loading-rail'!$C$21)="No control",SUMIF(('Loading-rail'!$B$31:$B$48),$J3452,('Loading-rail'!$D$31:$D$48))*Impacts!$F$15,IF(('Loading-rail'!$C$21)&lt;&gt;"No control",SUMIF(('Loading-rail'!$B$31:$B$48),$J3452,('Loading-rail'!$E$31:$E$48))*Impacts!$F$15,0)),0)</f>
        <v>0</v>
      </c>
      <c r="T3452" s="10">
        <f>IF(Flare!$C$7="",0,(SUMIF(Flare!$B$46:$B$185,$J3452,Flare!$E$46:$E$185)*Impacts!$F$16))</f>
        <v>0</v>
      </c>
      <c r="U3452" s="10">
        <f>IF(VCU!$C$9="",0,(SUMIF(VCU!$B$51:$B$193,$J3452,VCU!$E$51:$E$193)*Impacts!$F$17))</f>
        <v>0</v>
      </c>
      <c r="V3452" s="10">
        <f>IF(CAS!$C$7="",0,(SUMIF(CAS!$B$31:$B$167,$J3452,CAS!$E$31:$E$167)*Impacts!$F$18))</f>
        <v>0</v>
      </c>
      <c r="W3452" s="10">
        <f t="shared" si="94"/>
        <v>0</v>
      </c>
      <c r="AK3452" s="10" t="str">
        <f t="array" ref="AK3452">IFERROR(INDEX(SelectedSpecies,SMALL(IF(SelectedSpecies=AK$1,ROW(SelectedSpecies)),ROW(3453:3453)),2),"")</f>
        <v/>
      </c>
      <c r="BE3452" s="10"/>
      <c r="BI3452" s="10"/>
    </row>
    <row r="3453" spans="1:61" ht="21" customHeight="1" x14ac:dyDescent="0.25">
      <c r="A3453" s="10"/>
      <c r="B3453" s="10"/>
      <c r="E3453" s="10"/>
      <c r="G3453" s="10"/>
      <c r="I3453" s="436" t="s">
        <v>2059</v>
      </c>
      <c r="J3453" s="26" t="s">
        <v>2058</v>
      </c>
      <c r="K3453" s="10">
        <v>15.200000000000001</v>
      </c>
      <c r="L3453" s="73">
        <f>IF(Tank1!$C$23="No control",(SUMIF(Tank1!$B$32:$B$49,$J3453,Tank1!$C$32:$C$49)*Impacts!$F$8),0)</f>
        <v>0</v>
      </c>
      <c r="M3453" s="10">
        <f>IF(Tank2!$C$23="No control",(SUMIF(Tank2!$B$32:$B$49,$J3453,Tank2!$C$32:$C$49)*Impacts!$F$9),0)</f>
        <v>0</v>
      </c>
      <c r="N3453" s="10">
        <f>IF(Tank3!$C$23="No control",(SUMIF(Tank3!$B$32:$B$49,$J3453,Tank3!$C$32:$C$49)*Impacts!$F$10),0)</f>
        <v>0</v>
      </c>
      <c r="O3453" s="10">
        <f>IF(Tank4!$C$23="No control",(SUMIF(Tank4!$B$32:$B$49,$J3453,Tank4!$C$32:$C$49)*Impacts!$F$11),0)</f>
        <v>0</v>
      </c>
      <c r="P3453" s="10">
        <f>IF(Tank5!$C$23="No control",(SUMIF(Tank5!$B$32:$B$49,$J3453,Tank5!$C$32:$C$49)*Impacts!$F$12),0)</f>
        <v>0</v>
      </c>
      <c r="Q3453" s="10">
        <f>IFERROR(IF(('Loading-drum,tote'!$C$21)="No control",SUMIF(('Loading-drum,tote'!$B$31:$B$48),$J3453,('Loading-drum,tote'!$D$31:$D$48))*Impacts!$F$13,IF(('Loading-drum,tote'!$C$21)&lt;&gt;"No control",SUMIF(('Loading-drum,tote'!$B$31:$B$48),$J3453,('Loading-drum,tote'!$E$31:$E$48))*Impacts!$F$13,0)),0)</f>
        <v>0</v>
      </c>
      <c r="R3453" s="10">
        <f>IFERROR(IF(('Loading-truck'!$C$21)="No control",SUMIF(('Loading-truck'!$B$31:$B$48),$J3453,('Loading-truck'!$D$31:$D$48))*Impacts!$F$14,IF(('Loading-truck'!$C$21)&lt;&gt;"No control",SUMIF(('Loading-truck'!$B$31:$B$48),$J3453,('Loading-truck'!$E$31:$E$48))*Impacts!$F$14,0)),0)</f>
        <v>0</v>
      </c>
      <c r="S3453" s="10">
        <f>IFERROR(IF(('Loading-rail'!$C$21)="No control",SUMIF(('Loading-rail'!$B$31:$B$48),$J3453,('Loading-rail'!$D$31:$D$48))*Impacts!$F$15,IF(('Loading-rail'!$C$21)&lt;&gt;"No control",SUMIF(('Loading-rail'!$B$31:$B$48),$J3453,('Loading-rail'!$E$31:$E$48))*Impacts!$F$15,0)),0)</f>
        <v>0</v>
      </c>
      <c r="T3453" s="10">
        <f>IF(Flare!$C$7="",0,(SUMIF(Flare!$B$46:$B$185,$J3453,Flare!$E$46:$E$185)*Impacts!$F$16))</f>
        <v>0</v>
      </c>
      <c r="U3453" s="10">
        <f>IF(VCU!$C$9="",0,(SUMIF(VCU!$B$51:$B$193,$J3453,VCU!$E$51:$E$193)*Impacts!$F$17))</f>
        <v>0</v>
      </c>
      <c r="V3453" s="10">
        <f>IF(CAS!$C$7="",0,(SUMIF(CAS!$B$31:$B$167,$J3453,CAS!$E$31:$E$167)*Impacts!$F$18))</f>
        <v>0</v>
      </c>
      <c r="W3453" s="10">
        <f t="shared" si="94"/>
        <v>0</v>
      </c>
      <c r="AK3453" s="10" t="str">
        <f t="array" ref="AK3453">IFERROR(INDEX(SelectedSpecies,SMALL(IF(SelectedSpecies=AK$1,ROW(SelectedSpecies)),ROW(3454:3454)),2),"")</f>
        <v/>
      </c>
      <c r="BE3453" s="10"/>
      <c r="BI3453" s="10"/>
    </row>
    <row r="3454" spans="1:61" ht="21" customHeight="1" x14ac:dyDescent="0.25">
      <c r="A3454" s="10"/>
      <c r="B3454" s="10"/>
      <c r="E3454" s="10"/>
      <c r="G3454" s="10"/>
      <c r="I3454" s="436" t="s">
        <v>8352</v>
      </c>
      <c r="J3454" s="26" t="s">
        <v>8351</v>
      </c>
      <c r="K3454" s="10">
        <v>2E-3</v>
      </c>
      <c r="L3454" s="73">
        <f>IF(Tank1!$C$23="No control",(SUMIF(Tank1!$B$32:$B$49,$J3454,Tank1!$C$32:$C$49)*Impacts!$F$8),0)</f>
        <v>0</v>
      </c>
      <c r="M3454" s="10">
        <f>IF(Tank2!$C$23="No control",(SUMIF(Tank2!$B$32:$B$49,$J3454,Tank2!$C$32:$C$49)*Impacts!$F$9),0)</f>
        <v>0</v>
      </c>
      <c r="N3454" s="10">
        <f>IF(Tank3!$C$23="No control",(SUMIF(Tank3!$B$32:$B$49,$J3454,Tank3!$C$32:$C$49)*Impacts!$F$10),0)</f>
        <v>0</v>
      </c>
      <c r="O3454" s="10">
        <f>IF(Tank4!$C$23="No control",(SUMIF(Tank4!$B$32:$B$49,$J3454,Tank4!$C$32:$C$49)*Impacts!$F$11),0)</f>
        <v>0</v>
      </c>
      <c r="P3454" s="10">
        <f>IF(Tank5!$C$23="No control",(SUMIF(Tank5!$B$32:$B$49,$J3454,Tank5!$C$32:$C$49)*Impacts!$F$12),0)</f>
        <v>0</v>
      </c>
      <c r="Q3454" s="10">
        <f>IFERROR(IF(('Loading-drum,tote'!$C$21)="No control",SUMIF(('Loading-drum,tote'!$B$31:$B$48),$J3454,('Loading-drum,tote'!$D$31:$D$48))*Impacts!$F$13,IF(('Loading-drum,tote'!$C$21)&lt;&gt;"No control",SUMIF(('Loading-drum,tote'!$B$31:$B$48),$J3454,('Loading-drum,tote'!$E$31:$E$48))*Impacts!$F$13,0)),0)</f>
        <v>0</v>
      </c>
      <c r="R3454" s="10">
        <f>IFERROR(IF(('Loading-truck'!$C$21)="No control",SUMIF(('Loading-truck'!$B$31:$B$48),$J3454,('Loading-truck'!$D$31:$D$48))*Impacts!$F$14,IF(('Loading-truck'!$C$21)&lt;&gt;"No control",SUMIF(('Loading-truck'!$B$31:$B$48),$J3454,('Loading-truck'!$E$31:$E$48))*Impacts!$F$14,0)),0)</f>
        <v>0</v>
      </c>
      <c r="S3454" s="10">
        <f>IFERROR(IF(('Loading-rail'!$C$21)="No control",SUMIF(('Loading-rail'!$B$31:$B$48),$J3454,('Loading-rail'!$D$31:$D$48))*Impacts!$F$15,IF(('Loading-rail'!$C$21)&lt;&gt;"No control",SUMIF(('Loading-rail'!$B$31:$B$48),$J3454,('Loading-rail'!$E$31:$E$48))*Impacts!$F$15,0)),0)</f>
        <v>0</v>
      </c>
      <c r="T3454" s="10">
        <f>IF(Flare!$C$7="",0,(SUMIF(Flare!$B$46:$B$185,$J3454,Flare!$E$46:$E$185)*Impacts!$F$16))</f>
        <v>0</v>
      </c>
      <c r="U3454" s="10">
        <f>IF(VCU!$C$9="",0,(SUMIF(VCU!$B$51:$B$193,$J3454,VCU!$E$51:$E$193)*Impacts!$F$17))</f>
        <v>0</v>
      </c>
      <c r="V3454" s="10">
        <f>IF(CAS!$C$7="",0,(SUMIF(CAS!$B$31:$B$167,$J3454,CAS!$E$31:$E$167)*Impacts!$F$18))</f>
        <v>0</v>
      </c>
      <c r="W3454" s="10">
        <f t="shared" si="94"/>
        <v>0</v>
      </c>
      <c r="AK3454" s="10" t="str">
        <f t="array" ref="AK3454">IFERROR(INDEX(SelectedSpecies,SMALL(IF(SelectedSpecies=AK$1,ROW(SelectedSpecies)),ROW(3455:3455)),2),"")</f>
        <v/>
      </c>
      <c r="BE3454" s="10"/>
      <c r="BI3454" s="10"/>
    </row>
    <row r="3455" spans="1:61" ht="21" customHeight="1" x14ac:dyDescent="0.25">
      <c r="A3455" s="10"/>
      <c r="B3455" s="10"/>
      <c r="E3455" s="10"/>
      <c r="G3455" s="10"/>
      <c r="I3455" s="436" t="s">
        <v>7114</v>
      </c>
      <c r="J3455" s="26" t="s">
        <v>7113</v>
      </c>
      <c r="K3455" s="10">
        <v>0.4</v>
      </c>
      <c r="L3455" s="73">
        <f>IF(Tank1!$C$23="No control",(SUMIF(Tank1!$B$32:$B$49,$J3455,Tank1!$C$32:$C$49)*Impacts!$F$8),0)</f>
        <v>0</v>
      </c>
      <c r="M3455" s="10">
        <f>IF(Tank2!$C$23="No control",(SUMIF(Tank2!$B$32:$B$49,$J3455,Tank2!$C$32:$C$49)*Impacts!$F$9),0)</f>
        <v>0</v>
      </c>
      <c r="N3455" s="10">
        <f>IF(Tank3!$C$23="No control",(SUMIF(Tank3!$B$32:$B$49,$J3455,Tank3!$C$32:$C$49)*Impacts!$F$10),0)</f>
        <v>0</v>
      </c>
      <c r="O3455" s="10">
        <f>IF(Tank4!$C$23="No control",(SUMIF(Tank4!$B$32:$B$49,$J3455,Tank4!$C$32:$C$49)*Impacts!$F$11),0)</f>
        <v>0</v>
      </c>
      <c r="P3455" s="10">
        <f>IF(Tank5!$C$23="No control",(SUMIF(Tank5!$B$32:$B$49,$J3455,Tank5!$C$32:$C$49)*Impacts!$F$12),0)</f>
        <v>0</v>
      </c>
      <c r="Q3455" s="10">
        <f>IFERROR(IF(('Loading-drum,tote'!$C$21)="No control",SUMIF(('Loading-drum,tote'!$B$31:$B$48),$J3455,('Loading-drum,tote'!$D$31:$D$48))*Impacts!$F$13,IF(('Loading-drum,tote'!$C$21)&lt;&gt;"No control",SUMIF(('Loading-drum,tote'!$B$31:$B$48),$J3455,('Loading-drum,tote'!$E$31:$E$48))*Impacts!$F$13,0)),0)</f>
        <v>0</v>
      </c>
      <c r="R3455" s="10">
        <f>IFERROR(IF(('Loading-truck'!$C$21)="No control",SUMIF(('Loading-truck'!$B$31:$B$48),$J3455,('Loading-truck'!$D$31:$D$48))*Impacts!$F$14,IF(('Loading-truck'!$C$21)&lt;&gt;"No control",SUMIF(('Loading-truck'!$B$31:$B$48),$J3455,('Loading-truck'!$E$31:$E$48))*Impacts!$F$14,0)),0)</f>
        <v>0</v>
      </c>
      <c r="S3455" s="10">
        <f>IFERROR(IF(('Loading-rail'!$C$21)="No control",SUMIF(('Loading-rail'!$B$31:$B$48),$J3455,('Loading-rail'!$D$31:$D$48))*Impacts!$F$15,IF(('Loading-rail'!$C$21)&lt;&gt;"No control",SUMIF(('Loading-rail'!$B$31:$B$48),$J3455,('Loading-rail'!$E$31:$E$48))*Impacts!$F$15,0)),0)</f>
        <v>0</v>
      </c>
      <c r="T3455" s="10">
        <f>IF(Flare!$C$7="",0,(SUMIF(Flare!$B$46:$B$185,$J3455,Flare!$E$46:$E$185)*Impacts!$F$16))</f>
        <v>0</v>
      </c>
      <c r="U3455" s="10">
        <f>IF(VCU!$C$9="",0,(SUMIF(VCU!$B$51:$B$193,$J3455,VCU!$E$51:$E$193)*Impacts!$F$17))</f>
        <v>0</v>
      </c>
      <c r="V3455" s="10">
        <f>IF(CAS!$C$7="",0,(SUMIF(CAS!$B$31:$B$167,$J3455,CAS!$E$31:$E$167)*Impacts!$F$18))</f>
        <v>0</v>
      </c>
      <c r="W3455" s="10">
        <f t="shared" si="94"/>
        <v>0</v>
      </c>
      <c r="AK3455" s="10" t="str">
        <f t="array" ref="AK3455">IFERROR(INDEX(SelectedSpecies,SMALL(IF(SelectedSpecies=AK$1,ROW(SelectedSpecies)),ROW(3456:3456)),2),"")</f>
        <v/>
      </c>
      <c r="BE3455" s="10"/>
      <c r="BI3455" s="10"/>
    </row>
    <row r="3456" spans="1:61" ht="21" customHeight="1" x14ac:dyDescent="0.25">
      <c r="A3456" s="10"/>
      <c r="B3456" s="10"/>
      <c r="E3456" s="10"/>
      <c r="G3456" s="10"/>
      <c r="I3456" s="436" t="s">
        <v>6938</v>
      </c>
      <c r="J3456" s="26" t="s">
        <v>6937</v>
      </c>
      <c r="K3456" s="10">
        <v>0.5</v>
      </c>
      <c r="L3456" s="73">
        <f>IF(Tank1!$C$23="No control",(SUMIF(Tank1!$B$32:$B$49,$J3456,Tank1!$C$32:$C$49)*Impacts!$F$8),0)</f>
        <v>0</v>
      </c>
      <c r="M3456" s="10">
        <f>IF(Tank2!$C$23="No control",(SUMIF(Tank2!$B$32:$B$49,$J3456,Tank2!$C$32:$C$49)*Impacts!$F$9),0)</f>
        <v>0</v>
      </c>
      <c r="N3456" s="10">
        <f>IF(Tank3!$C$23="No control",(SUMIF(Tank3!$B$32:$B$49,$J3456,Tank3!$C$32:$C$49)*Impacts!$F$10),0)</f>
        <v>0</v>
      </c>
      <c r="O3456" s="10">
        <f>IF(Tank4!$C$23="No control",(SUMIF(Tank4!$B$32:$B$49,$J3456,Tank4!$C$32:$C$49)*Impacts!$F$11),0)</f>
        <v>0</v>
      </c>
      <c r="P3456" s="10">
        <f>IF(Tank5!$C$23="No control",(SUMIF(Tank5!$B$32:$B$49,$J3456,Tank5!$C$32:$C$49)*Impacts!$F$12),0)</f>
        <v>0</v>
      </c>
      <c r="Q3456" s="10">
        <f>IFERROR(IF(('Loading-drum,tote'!$C$21)="No control",SUMIF(('Loading-drum,tote'!$B$31:$B$48),$J3456,('Loading-drum,tote'!$D$31:$D$48))*Impacts!$F$13,IF(('Loading-drum,tote'!$C$21)&lt;&gt;"No control",SUMIF(('Loading-drum,tote'!$B$31:$B$48),$J3456,('Loading-drum,tote'!$E$31:$E$48))*Impacts!$F$13,0)),0)</f>
        <v>0</v>
      </c>
      <c r="R3456" s="10">
        <f>IFERROR(IF(('Loading-truck'!$C$21)="No control",SUMIF(('Loading-truck'!$B$31:$B$48),$J3456,('Loading-truck'!$D$31:$D$48))*Impacts!$F$14,IF(('Loading-truck'!$C$21)&lt;&gt;"No control",SUMIF(('Loading-truck'!$B$31:$B$48),$J3456,('Loading-truck'!$E$31:$E$48))*Impacts!$F$14,0)),0)</f>
        <v>0</v>
      </c>
      <c r="S3456" s="10">
        <f>IFERROR(IF(('Loading-rail'!$C$21)="No control",SUMIF(('Loading-rail'!$B$31:$B$48),$J3456,('Loading-rail'!$D$31:$D$48))*Impacts!$F$15,IF(('Loading-rail'!$C$21)&lt;&gt;"No control",SUMIF(('Loading-rail'!$B$31:$B$48),$J3456,('Loading-rail'!$E$31:$E$48))*Impacts!$F$15,0)),0)</f>
        <v>0</v>
      </c>
      <c r="T3456" s="10">
        <f>IF(Flare!$C$7="",0,(SUMIF(Flare!$B$46:$B$185,$J3456,Flare!$E$46:$E$185)*Impacts!$F$16))</f>
        <v>0</v>
      </c>
      <c r="U3456" s="10">
        <f>IF(VCU!$C$9="",0,(SUMIF(VCU!$B$51:$B$193,$J3456,VCU!$E$51:$E$193)*Impacts!$F$17))</f>
        <v>0</v>
      </c>
      <c r="V3456" s="10">
        <f>IF(CAS!$C$7="",0,(SUMIF(CAS!$B$31:$B$167,$J3456,CAS!$E$31:$E$167)*Impacts!$F$18))</f>
        <v>0</v>
      </c>
      <c r="W3456" s="10">
        <f t="shared" si="94"/>
        <v>0</v>
      </c>
      <c r="AK3456" s="10" t="str">
        <f t="array" ref="AK3456">IFERROR(INDEX(SelectedSpecies,SMALL(IF(SelectedSpecies=AK$1,ROW(SelectedSpecies)),ROW(3457:3457)),2),"")</f>
        <v/>
      </c>
      <c r="BE3456" s="10"/>
      <c r="BI3456" s="10"/>
    </row>
    <row r="3457" spans="1:61" ht="21" customHeight="1" x14ac:dyDescent="0.25">
      <c r="A3457" s="10"/>
      <c r="B3457" s="10"/>
      <c r="E3457" s="10"/>
      <c r="G3457" s="10"/>
      <c r="I3457" s="436" t="s">
        <v>7664</v>
      </c>
      <c r="J3457" s="26" t="s">
        <v>7663</v>
      </c>
      <c r="K3457" s="10">
        <v>0.12</v>
      </c>
      <c r="L3457" s="73">
        <f>IF(Tank1!$C$23="No control",(SUMIF(Tank1!$B$32:$B$49,$J3457,Tank1!$C$32:$C$49)*Impacts!$F$8),0)</f>
        <v>0</v>
      </c>
      <c r="M3457" s="10">
        <f>IF(Tank2!$C$23="No control",(SUMIF(Tank2!$B$32:$B$49,$J3457,Tank2!$C$32:$C$49)*Impacts!$F$9),0)</f>
        <v>0</v>
      </c>
      <c r="N3457" s="10">
        <f>IF(Tank3!$C$23="No control",(SUMIF(Tank3!$B$32:$B$49,$J3457,Tank3!$C$32:$C$49)*Impacts!$F$10),0)</f>
        <v>0</v>
      </c>
      <c r="O3457" s="10">
        <f>IF(Tank4!$C$23="No control",(SUMIF(Tank4!$B$32:$B$49,$J3457,Tank4!$C$32:$C$49)*Impacts!$F$11),0)</f>
        <v>0</v>
      </c>
      <c r="P3457" s="10">
        <f>IF(Tank5!$C$23="No control",(SUMIF(Tank5!$B$32:$B$49,$J3457,Tank5!$C$32:$C$49)*Impacts!$F$12),0)</f>
        <v>0</v>
      </c>
      <c r="Q3457" s="10">
        <f>IFERROR(IF(('Loading-drum,tote'!$C$21)="No control",SUMIF(('Loading-drum,tote'!$B$31:$B$48),$J3457,('Loading-drum,tote'!$D$31:$D$48))*Impacts!$F$13,IF(('Loading-drum,tote'!$C$21)&lt;&gt;"No control",SUMIF(('Loading-drum,tote'!$B$31:$B$48),$J3457,('Loading-drum,tote'!$E$31:$E$48))*Impacts!$F$13,0)),0)</f>
        <v>0</v>
      </c>
      <c r="R3457" s="10">
        <f>IFERROR(IF(('Loading-truck'!$C$21)="No control",SUMIF(('Loading-truck'!$B$31:$B$48),$J3457,('Loading-truck'!$D$31:$D$48))*Impacts!$F$14,IF(('Loading-truck'!$C$21)&lt;&gt;"No control",SUMIF(('Loading-truck'!$B$31:$B$48),$J3457,('Loading-truck'!$E$31:$E$48))*Impacts!$F$14,0)),0)</f>
        <v>0</v>
      </c>
      <c r="S3457" s="10">
        <f>IFERROR(IF(('Loading-rail'!$C$21)="No control",SUMIF(('Loading-rail'!$B$31:$B$48),$J3457,('Loading-rail'!$D$31:$D$48))*Impacts!$F$15,IF(('Loading-rail'!$C$21)&lt;&gt;"No control",SUMIF(('Loading-rail'!$B$31:$B$48),$J3457,('Loading-rail'!$E$31:$E$48))*Impacts!$F$15,0)),0)</f>
        <v>0</v>
      </c>
      <c r="T3457" s="10">
        <f>IF(Flare!$C$7="",0,(SUMIF(Flare!$B$46:$B$185,$J3457,Flare!$E$46:$E$185)*Impacts!$F$16))</f>
        <v>0</v>
      </c>
      <c r="U3457" s="10">
        <f>IF(VCU!$C$9="",0,(SUMIF(VCU!$B$51:$B$193,$J3457,VCU!$E$51:$E$193)*Impacts!$F$17))</f>
        <v>0</v>
      </c>
      <c r="V3457" s="10">
        <f>IF(CAS!$C$7="",0,(SUMIF(CAS!$B$31:$B$167,$J3457,CAS!$E$31:$E$167)*Impacts!$F$18))</f>
        <v>0</v>
      </c>
      <c r="W3457" s="10">
        <f t="shared" si="94"/>
        <v>0</v>
      </c>
      <c r="AK3457" s="10" t="str">
        <f t="array" ref="AK3457">IFERROR(INDEX(SelectedSpecies,SMALL(IF(SelectedSpecies=AK$1,ROW(SelectedSpecies)),ROW(3458:3458)),2),"")</f>
        <v/>
      </c>
      <c r="BE3457" s="10"/>
      <c r="BI3457" s="10"/>
    </row>
    <row r="3458" spans="1:61" ht="21" customHeight="1" x14ac:dyDescent="0.25">
      <c r="A3458" s="10"/>
      <c r="B3458" s="10"/>
      <c r="E3458" s="10"/>
      <c r="G3458" s="10"/>
      <c r="I3458" s="436" t="s">
        <v>6172</v>
      </c>
      <c r="J3458" s="26" t="s">
        <v>6171</v>
      </c>
      <c r="K3458" s="10">
        <v>1</v>
      </c>
      <c r="L3458" s="73">
        <f>IF(Tank1!$C$23="No control",(SUMIF(Tank1!$B$32:$B$49,$J3458,Tank1!$C$32:$C$49)*Impacts!$F$8),0)</f>
        <v>0</v>
      </c>
      <c r="M3458" s="10">
        <f>IF(Tank2!$C$23="No control",(SUMIF(Tank2!$B$32:$B$49,$J3458,Tank2!$C$32:$C$49)*Impacts!$F$9),0)</f>
        <v>0</v>
      </c>
      <c r="N3458" s="10">
        <f>IF(Tank3!$C$23="No control",(SUMIF(Tank3!$B$32:$B$49,$J3458,Tank3!$C$32:$C$49)*Impacts!$F$10),0)</f>
        <v>0</v>
      </c>
      <c r="O3458" s="10">
        <f>IF(Tank4!$C$23="No control",(SUMIF(Tank4!$B$32:$B$49,$J3458,Tank4!$C$32:$C$49)*Impacts!$F$11),0)</f>
        <v>0</v>
      </c>
      <c r="P3458" s="10">
        <f>IF(Tank5!$C$23="No control",(SUMIF(Tank5!$B$32:$B$49,$J3458,Tank5!$C$32:$C$49)*Impacts!$F$12),0)</f>
        <v>0</v>
      </c>
      <c r="Q3458" s="10">
        <f>IFERROR(IF(('Loading-drum,tote'!$C$21)="No control",SUMIF(('Loading-drum,tote'!$B$31:$B$48),$J3458,('Loading-drum,tote'!$D$31:$D$48))*Impacts!$F$13,IF(('Loading-drum,tote'!$C$21)&lt;&gt;"No control",SUMIF(('Loading-drum,tote'!$B$31:$B$48),$J3458,('Loading-drum,tote'!$E$31:$E$48))*Impacts!$F$13,0)),0)</f>
        <v>0</v>
      </c>
      <c r="R3458" s="10">
        <f>IFERROR(IF(('Loading-truck'!$C$21)="No control",SUMIF(('Loading-truck'!$B$31:$B$48),$J3458,('Loading-truck'!$D$31:$D$48))*Impacts!$F$14,IF(('Loading-truck'!$C$21)&lt;&gt;"No control",SUMIF(('Loading-truck'!$B$31:$B$48),$J3458,('Loading-truck'!$E$31:$E$48))*Impacts!$F$14,0)),0)</f>
        <v>0</v>
      </c>
      <c r="S3458" s="10">
        <f>IFERROR(IF(('Loading-rail'!$C$21)="No control",SUMIF(('Loading-rail'!$B$31:$B$48),$J3458,('Loading-rail'!$D$31:$D$48))*Impacts!$F$15,IF(('Loading-rail'!$C$21)&lt;&gt;"No control",SUMIF(('Loading-rail'!$B$31:$B$48),$J3458,('Loading-rail'!$E$31:$E$48))*Impacts!$F$15,0)),0)</f>
        <v>0</v>
      </c>
      <c r="T3458" s="10">
        <f>IF(Flare!$C$7="",0,(SUMIF(Flare!$B$46:$B$185,$J3458,Flare!$E$46:$E$185)*Impacts!$F$16))</f>
        <v>0</v>
      </c>
      <c r="U3458" s="10">
        <f>IF(VCU!$C$9="",0,(SUMIF(VCU!$B$51:$B$193,$J3458,VCU!$E$51:$E$193)*Impacts!$F$17))</f>
        <v>0</v>
      </c>
      <c r="V3458" s="10">
        <f>IF(CAS!$C$7="",0,(SUMIF(CAS!$B$31:$B$167,$J3458,CAS!$E$31:$E$167)*Impacts!$F$18))</f>
        <v>0</v>
      </c>
      <c r="W3458" s="10">
        <f t="shared" si="94"/>
        <v>0</v>
      </c>
      <c r="AK3458" s="10" t="str">
        <f t="array" ref="AK3458">IFERROR(INDEX(SelectedSpecies,SMALL(IF(SelectedSpecies=AK$1,ROW(SelectedSpecies)),ROW(3459:3459)),2),"")</f>
        <v/>
      </c>
      <c r="BE3458" s="10"/>
      <c r="BI3458" s="10"/>
    </row>
    <row r="3459" spans="1:61" ht="21" customHeight="1" x14ac:dyDescent="0.25">
      <c r="A3459" s="10"/>
      <c r="B3459" s="10"/>
      <c r="E3459" s="10"/>
      <c r="G3459" s="10"/>
      <c r="I3459" s="436" t="s">
        <v>6556</v>
      </c>
      <c r="J3459" s="26" t="s">
        <v>6555</v>
      </c>
      <c r="K3459" s="10">
        <v>0.70000000000000007</v>
      </c>
      <c r="L3459" s="73">
        <f>IF(Tank1!$C$23="No control",(SUMIF(Tank1!$B$32:$B$49,$J3459,Tank1!$C$32:$C$49)*Impacts!$F$8),0)</f>
        <v>0</v>
      </c>
      <c r="M3459" s="10">
        <f>IF(Tank2!$C$23="No control",(SUMIF(Tank2!$B$32:$B$49,$J3459,Tank2!$C$32:$C$49)*Impacts!$F$9),0)</f>
        <v>0</v>
      </c>
      <c r="N3459" s="10">
        <f>IF(Tank3!$C$23="No control",(SUMIF(Tank3!$B$32:$B$49,$J3459,Tank3!$C$32:$C$49)*Impacts!$F$10),0)</f>
        <v>0</v>
      </c>
      <c r="O3459" s="10">
        <f>IF(Tank4!$C$23="No control",(SUMIF(Tank4!$B$32:$B$49,$J3459,Tank4!$C$32:$C$49)*Impacts!$F$11),0)</f>
        <v>0</v>
      </c>
      <c r="P3459" s="10">
        <f>IF(Tank5!$C$23="No control",(SUMIF(Tank5!$B$32:$B$49,$J3459,Tank5!$C$32:$C$49)*Impacts!$F$12),0)</f>
        <v>0</v>
      </c>
      <c r="Q3459" s="10">
        <f>IFERROR(IF(('Loading-drum,tote'!$C$21)="No control",SUMIF(('Loading-drum,tote'!$B$31:$B$48),$J3459,('Loading-drum,tote'!$D$31:$D$48))*Impacts!$F$13,IF(('Loading-drum,tote'!$C$21)&lt;&gt;"No control",SUMIF(('Loading-drum,tote'!$B$31:$B$48),$J3459,('Loading-drum,tote'!$E$31:$E$48))*Impacts!$F$13,0)),0)</f>
        <v>0</v>
      </c>
      <c r="R3459" s="10">
        <f>IFERROR(IF(('Loading-truck'!$C$21)="No control",SUMIF(('Loading-truck'!$B$31:$B$48),$J3459,('Loading-truck'!$D$31:$D$48))*Impacts!$F$14,IF(('Loading-truck'!$C$21)&lt;&gt;"No control",SUMIF(('Loading-truck'!$B$31:$B$48),$J3459,('Loading-truck'!$E$31:$E$48))*Impacts!$F$14,0)),0)</f>
        <v>0</v>
      </c>
      <c r="S3459" s="10">
        <f>IFERROR(IF(('Loading-rail'!$C$21)="No control",SUMIF(('Loading-rail'!$B$31:$B$48),$J3459,('Loading-rail'!$D$31:$D$48))*Impacts!$F$15,IF(('Loading-rail'!$C$21)&lt;&gt;"No control",SUMIF(('Loading-rail'!$B$31:$B$48),$J3459,('Loading-rail'!$E$31:$E$48))*Impacts!$F$15,0)),0)</f>
        <v>0</v>
      </c>
      <c r="T3459" s="10">
        <f>IF(Flare!$C$7="",0,(SUMIF(Flare!$B$46:$B$185,$J3459,Flare!$E$46:$E$185)*Impacts!$F$16))</f>
        <v>0</v>
      </c>
      <c r="U3459" s="10">
        <f>IF(VCU!$C$9="",0,(SUMIF(VCU!$B$51:$B$193,$J3459,VCU!$E$51:$E$193)*Impacts!$F$17))</f>
        <v>0</v>
      </c>
      <c r="V3459" s="10">
        <f>IF(CAS!$C$7="",0,(SUMIF(CAS!$B$31:$B$167,$J3459,CAS!$E$31:$E$167)*Impacts!$F$18))</f>
        <v>0</v>
      </c>
      <c r="W3459" s="10">
        <f t="shared" si="94"/>
        <v>0</v>
      </c>
      <c r="AK3459" s="10" t="str">
        <f t="array" ref="AK3459">IFERROR(INDEX(SelectedSpecies,SMALL(IF(SelectedSpecies=AK$1,ROW(SelectedSpecies)),ROW(3460:3460)),2),"")</f>
        <v/>
      </c>
      <c r="BE3459" s="10"/>
      <c r="BI3459" s="10"/>
    </row>
    <row r="3460" spans="1:61" ht="21" customHeight="1" x14ac:dyDescent="0.25">
      <c r="A3460" s="10"/>
      <c r="B3460" s="10"/>
      <c r="E3460" s="10"/>
      <c r="G3460" s="10"/>
      <c r="I3460" s="436" t="s">
        <v>3367</v>
      </c>
      <c r="J3460" s="26" t="s">
        <v>3366</v>
      </c>
      <c r="K3460" s="10">
        <v>10</v>
      </c>
      <c r="L3460" s="73">
        <f>IF(Tank1!$C$23="No control",(SUMIF(Tank1!$B$32:$B$49,$J3460,Tank1!$C$32:$C$49)*Impacts!$F$8),0)</f>
        <v>0</v>
      </c>
      <c r="M3460" s="10">
        <f>IF(Tank2!$C$23="No control",(SUMIF(Tank2!$B$32:$B$49,$J3460,Tank2!$C$32:$C$49)*Impacts!$F$9),0)</f>
        <v>0</v>
      </c>
      <c r="N3460" s="10">
        <f>IF(Tank3!$C$23="No control",(SUMIF(Tank3!$B$32:$B$49,$J3460,Tank3!$C$32:$C$49)*Impacts!$F$10),0)</f>
        <v>0</v>
      </c>
      <c r="O3460" s="10">
        <f>IF(Tank4!$C$23="No control",(SUMIF(Tank4!$B$32:$B$49,$J3460,Tank4!$C$32:$C$49)*Impacts!$F$11),0)</f>
        <v>0</v>
      </c>
      <c r="P3460" s="10">
        <f>IF(Tank5!$C$23="No control",(SUMIF(Tank5!$B$32:$B$49,$J3460,Tank5!$C$32:$C$49)*Impacts!$F$12),0)</f>
        <v>0</v>
      </c>
      <c r="Q3460" s="10">
        <f>IFERROR(IF(('Loading-drum,tote'!$C$21)="No control",SUMIF(('Loading-drum,tote'!$B$31:$B$48),$J3460,('Loading-drum,tote'!$D$31:$D$48))*Impacts!$F$13,IF(('Loading-drum,tote'!$C$21)&lt;&gt;"No control",SUMIF(('Loading-drum,tote'!$B$31:$B$48),$J3460,('Loading-drum,tote'!$E$31:$E$48))*Impacts!$F$13,0)),0)</f>
        <v>0</v>
      </c>
      <c r="R3460" s="10">
        <f>IFERROR(IF(('Loading-truck'!$C$21)="No control",SUMIF(('Loading-truck'!$B$31:$B$48),$J3460,('Loading-truck'!$D$31:$D$48))*Impacts!$F$14,IF(('Loading-truck'!$C$21)&lt;&gt;"No control",SUMIF(('Loading-truck'!$B$31:$B$48),$J3460,('Loading-truck'!$E$31:$E$48))*Impacts!$F$14,0)),0)</f>
        <v>0</v>
      </c>
      <c r="S3460" s="10">
        <f>IFERROR(IF(('Loading-rail'!$C$21)="No control",SUMIF(('Loading-rail'!$B$31:$B$48),$J3460,('Loading-rail'!$D$31:$D$48))*Impacts!$F$15,IF(('Loading-rail'!$C$21)&lt;&gt;"No control",SUMIF(('Loading-rail'!$B$31:$B$48),$J3460,('Loading-rail'!$E$31:$E$48))*Impacts!$F$15,0)),0)</f>
        <v>0</v>
      </c>
      <c r="T3460" s="10">
        <f>IF(Flare!$C$7="",0,(SUMIF(Flare!$B$46:$B$185,$J3460,Flare!$E$46:$E$185)*Impacts!$F$16))</f>
        <v>0</v>
      </c>
      <c r="U3460" s="10">
        <f>IF(VCU!$C$9="",0,(SUMIF(VCU!$B$51:$B$193,$J3460,VCU!$E$51:$E$193)*Impacts!$F$17))</f>
        <v>0</v>
      </c>
      <c r="V3460" s="10">
        <f>IF(CAS!$C$7="",0,(SUMIF(CAS!$B$31:$B$167,$J3460,CAS!$E$31:$E$167)*Impacts!$F$18))</f>
        <v>0</v>
      </c>
      <c r="W3460" s="10">
        <f t="shared" si="94"/>
        <v>0</v>
      </c>
      <c r="AK3460" s="10" t="str">
        <f t="array" ref="AK3460">IFERROR(INDEX(SelectedSpecies,SMALL(IF(SelectedSpecies=AK$1,ROW(SelectedSpecies)),ROW(3461:3461)),2),"")</f>
        <v/>
      </c>
      <c r="BE3460" s="10"/>
      <c r="BI3460" s="10"/>
    </row>
    <row r="3461" spans="1:61" ht="21" customHeight="1" x14ac:dyDescent="0.25">
      <c r="A3461" s="10"/>
      <c r="B3461" s="10"/>
      <c r="E3461" s="10"/>
      <c r="G3461" s="10"/>
      <c r="I3461" s="436" t="s">
        <v>7116</v>
      </c>
      <c r="J3461" s="26" t="s">
        <v>7115</v>
      </c>
      <c r="K3461" s="10">
        <v>0.4</v>
      </c>
      <c r="L3461" s="73">
        <f>IF(Tank1!$C$23="No control",(SUMIF(Tank1!$B$32:$B$49,$J3461,Tank1!$C$32:$C$49)*Impacts!$F$8),0)</f>
        <v>0</v>
      </c>
      <c r="M3461" s="10">
        <f>IF(Tank2!$C$23="No control",(SUMIF(Tank2!$B$32:$B$49,$J3461,Tank2!$C$32:$C$49)*Impacts!$F$9),0)</f>
        <v>0</v>
      </c>
      <c r="N3461" s="10">
        <f>IF(Tank3!$C$23="No control",(SUMIF(Tank3!$B$32:$B$49,$J3461,Tank3!$C$32:$C$49)*Impacts!$F$10),0)</f>
        <v>0</v>
      </c>
      <c r="O3461" s="10">
        <f>IF(Tank4!$C$23="No control",(SUMIF(Tank4!$B$32:$B$49,$J3461,Tank4!$C$32:$C$49)*Impacts!$F$11),0)</f>
        <v>0</v>
      </c>
      <c r="P3461" s="10">
        <f>IF(Tank5!$C$23="No control",(SUMIF(Tank5!$B$32:$B$49,$J3461,Tank5!$C$32:$C$49)*Impacts!$F$12),0)</f>
        <v>0</v>
      </c>
      <c r="Q3461" s="10">
        <f>IFERROR(IF(('Loading-drum,tote'!$C$21)="No control",SUMIF(('Loading-drum,tote'!$B$31:$B$48),$J3461,('Loading-drum,tote'!$D$31:$D$48))*Impacts!$F$13,IF(('Loading-drum,tote'!$C$21)&lt;&gt;"No control",SUMIF(('Loading-drum,tote'!$B$31:$B$48),$J3461,('Loading-drum,tote'!$E$31:$E$48))*Impacts!$F$13,0)),0)</f>
        <v>0</v>
      </c>
      <c r="R3461" s="10">
        <f>IFERROR(IF(('Loading-truck'!$C$21)="No control",SUMIF(('Loading-truck'!$B$31:$B$48),$J3461,('Loading-truck'!$D$31:$D$48))*Impacts!$F$14,IF(('Loading-truck'!$C$21)&lt;&gt;"No control",SUMIF(('Loading-truck'!$B$31:$B$48),$J3461,('Loading-truck'!$E$31:$E$48))*Impacts!$F$14,0)),0)</f>
        <v>0</v>
      </c>
      <c r="S3461" s="10">
        <f>IFERROR(IF(('Loading-rail'!$C$21)="No control",SUMIF(('Loading-rail'!$B$31:$B$48),$J3461,('Loading-rail'!$D$31:$D$48))*Impacts!$F$15,IF(('Loading-rail'!$C$21)&lt;&gt;"No control",SUMIF(('Loading-rail'!$B$31:$B$48),$J3461,('Loading-rail'!$E$31:$E$48))*Impacts!$F$15,0)),0)</f>
        <v>0</v>
      </c>
      <c r="T3461" s="10">
        <f>IF(Flare!$C$7="",0,(SUMIF(Flare!$B$46:$B$185,$J3461,Flare!$E$46:$E$185)*Impacts!$F$16))</f>
        <v>0</v>
      </c>
      <c r="U3461" s="10">
        <f>IF(VCU!$C$9="",0,(SUMIF(VCU!$B$51:$B$193,$J3461,VCU!$E$51:$E$193)*Impacts!$F$17))</f>
        <v>0</v>
      </c>
      <c r="V3461" s="10">
        <f>IF(CAS!$C$7="",0,(SUMIF(CAS!$B$31:$B$167,$J3461,CAS!$E$31:$E$167)*Impacts!$F$18))</f>
        <v>0</v>
      </c>
      <c r="W3461" s="10">
        <f t="shared" si="94"/>
        <v>0</v>
      </c>
      <c r="AK3461" s="10" t="str">
        <f t="array" ref="AK3461">IFERROR(INDEX(SelectedSpecies,SMALL(IF(SelectedSpecies=AK$1,ROW(SelectedSpecies)),ROW(3462:3462)),2),"")</f>
        <v/>
      </c>
      <c r="BE3461" s="10"/>
      <c r="BI3461" s="10"/>
    </row>
    <row r="3462" spans="1:61" ht="21" customHeight="1" x14ac:dyDescent="0.25">
      <c r="A3462" s="10"/>
      <c r="B3462" s="10"/>
      <c r="E3462" s="10"/>
      <c r="G3462" s="10"/>
      <c r="I3462" s="436" t="s">
        <v>4313</v>
      </c>
      <c r="J3462" s="26" t="s">
        <v>4312</v>
      </c>
      <c r="K3462" s="10">
        <v>5</v>
      </c>
      <c r="L3462" s="73">
        <f>IF(Tank1!$C$23="No control",(SUMIF(Tank1!$B$32:$B$49,$J3462,Tank1!$C$32:$C$49)*Impacts!$F$8),0)</f>
        <v>0</v>
      </c>
      <c r="M3462" s="10">
        <f>IF(Tank2!$C$23="No control",(SUMIF(Tank2!$B$32:$B$49,$J3462,Tank2!$C$32:$C$49)*Impacts!$F$9),0)</f>
        <v>0</v>
      </c>
      <c r="N3462" s="10">
        <f>IF(Tank3!$C$23="No control",(SUMIF(Tank3!$B$32:$B$49,$J3462,Tank3!$C$32:$C$49)*Impacts!$F$10),0)</f>
        <v>0</v>
      </c>
      <c r="O3462" s="10">
        <f>IF(Tank4!$C$23="No control",(SUMIF(Tank4!$B$32:$B$49,$J3462,Tank4!$C$32:$C$49)*Impacts!$F$11),0)</f>
        <v>0</v>
      </c>
      <c r="P3462" s="10">
        <f>IF(Tank5!$C$23="No control",(SUMIF(Tank5!$B$32:$B$49,$J3462,Tank5!$C$32:$C$49)*Impacts!$F$12),0)</f>
        <v>0</v>
      </c>
      <c r="Q3462" s="10">
        <f>IFERROR(IF(('Loading-drum,tote'!$C$21)="No control",SUMIF(('Loading-drum,tote'!$B$31:$B$48),$J3462,('Loading-drum,tote'!$D$31:$D$48))*Impacts!$F$13,IF(('Loading-drum,tote'!$C$21)&lt;&gt;"No control",SUMIF(('Loading-drum,tote'!$B$31:$B$48),$J3462,('Loading-drum,tote'!$E$31:$E$48))*Impacts!$F$13,0)),0)</f>
        <v>0</v>
      </c>
      <c r="R3462" s="10">
        <f>IFERROR(IF(('Loading-truck'!$C$21)="No control",SUMIF(('Loading-truck'!$B$31:$B$48),$J3462,('Loading-truck'!$D$31:$D$48))*Impacts!$F$14,IF(('Loading-truck'!$C$21)&lt;&gt;"No control",SUMIF(('Loading-truck'!$B$31:$B$48),$J3462,('Loading-truck'!$E$31:$E$48))*Impacts!$F$14,0)),0)</f>
        <v>0</v>
      </c>
      <c r="S3462" s="10">
        <f>IFERROR(IF(('Loading-rail'!$C$21)="No control",SUMIF(('Loading-rail'!$B$31:$B$48),$J3462,('Loading-rail'!$D$31:$D$48))*Impacts!$F$15,IF(('Loading-rail'!$C$21)&lt;&gt;"No control",SUMIF(('Loading-rail'!$B$31:$B$48),$J3462,('Loading-rail'!$E$31:$E$48))*Impacts!$F$15,0)),0)</f>
        <v>0</v>
      </c>
      <c r="T3462" s="10">
        <f>IF(Flare!$C$7="",0,(SUMIF(Flare!$B$46:$B$185,$J3462,Flare!$E$46:$E$185)*Impacts!$F$16))</f>
        <v>0</v>
      </c>
      <c r="U3462" s="10">
        <f>IF(VCU!$C$9="",0,(SUMIF(VCU!$B$51:$B$193,$J3462,VCU!$E$51:$E$193)*Impacts!$F$17))</f>
        <v>0</v>
      </c>
      <c r="V3462" s="10">
        <f>IF(CAS!$C$7="",0,(SUMIF(CAS!$B$31:$B$167,$J3462,CAS!$E$31:$E$167)*Impacts!$F$18))</f>
        <v>0</v>
      </c>
      <c r="W3462" s="10">
        <f t="shared" si="94"/>
        <v>0</v>
      </c>
      <c r="AK3462" s="10" t="str">
        <f t="array" ref="AK3462">IFERROR(INDEX(SelectedSpecies,SMALL(IF(SelectedSpecies=AK$1,ROW(SelectedSpecies)),ROW(3463:3463)),2),"")</f>
        <v/>
      </c>
      <c r="BE3462" s="10"/>
      <c r="BI3462" s="10"/>
    </row>
    <row r="3463" spans="1:61" ht="21" customHeight="1" x14ac:dyDescent="0.25">
      <c r="A3463" s="10"/>
      <c r="B3463" s="10"/>
      <c r="E3463" s="10"/>
      <c r="G3463" s="10"/>
      <c r="I3463" s="436" t="s">
        <v>6654</v>
      </c>
      <c r="J3463" s="26" t="s">
        <v>6653</v>
      </c>
      <c r="K3463" s="10">
        <v>0.60000000000000009</v>
      </c>
      <c r="L3463" s="73">
        <f>IF(Tank1!$C$23="No control",(SUMIF(Tank1!$B$32:$B$49,$J3463,Tank1!$C$32:$C$49)*Impacts!$F$8),0)</f>
        <v>0</v>
      </c>
      <c r="M3463" s="10">
        <f>IF(Tank2!$C$23="No control",(SUMIF(Tank2!$B$32:$B$49,$J3463,Tank2!$C$32:$C$49)*Impacts!$F$9),0)</f>
        <v>0</v>
      </c>
      <c r="N3463" s="10">
        <f>IF(Tank3!$C$23="No control",(SUMIF(Tank3!$B$32:$B$49,$J3463,Tank3!$C$32:$C$49)*Impacts!$F$10),0)</f>
        <v>0</v>
      </c>
      <c r="O3463" s="10">
        <f>IF(Tank4!$C$23="No control",(SUMIF(Tank4!$B$32:$B$49,$J3463,Tank4!$C$32:$C$49)*Impacts!$F$11),0)</f>
        <v>0</v>
      </c>
      <c r="P3463" s="10">
        <f>IF(Tank5!$C$23="No control",(SUMIF(Tank5!$B$32:$B$49,$J3463,Tank5!$C$32:$C$49)*Impacts!$F$12),0)</f>
        <v>0</v>
      </c>
      <c r="Q3463" s="10">
        <f>IFERROR(IF(('Loading-drum,tote'!$C$21)="No control",SUMIF(('Loading-drum,tote'!$B$31:$B$48),$J3463,('Loading-drum,tote'!$D$31:$D$48))*Impacts!$F$13,IF(('Loading-drum,tote'!$C$21)&lt;&gt;"No control",SUMIF(('Loading-drum,tote'!$B$31:$B$48),$J3463,('Loading-drum,tote'!$E$31:$E$48))*Impacts!$F$13,0)),0)</f>
        <v>0</v>
      </c>
      <c r="R3463" s="10">
        <f>IFERROR(IF(('Loading-truck'!$C$21)="No control",SUMIF(('Loading-truck'!$B$31:$B$48),$J3463,('Loading-truck'!$D$31:$D$48))*Impacts!$F$14,IF(('Loading-truck'!$C$21)&lt;&gt;"No control",SUMIF(('Loading-truck'!$B$31:$B$48),$J3463,('Loading-truck'!$E$31:$E$48))*Impacts!$F$14,0)),0)</f>
        <v>0</v>
      </c>
      <c r="S3463" s="10">
        <f>IFERROR(IF(('Loading-rail'!$C$21)="No control",SUMIF(('Loading-rail'!$B$31:$B$48),$J3463,('Loading-rail'!$D$31:$D$48))*Impacts!$F$15,IF(('Loading-rail'!$C$21)&lt;&gt;"No control",SUMIF(('Loading-rail'!$B$31:$B$48),$J3463,('Loading-rail'!$E$31:$E$48))*Impacts!$F$15,0)),0)</f>
        <v>0</v>
      </c>
      <c r="T3463" s="10">
        <f>IF(Flare!$C$7="",0,(SUMIF(Flare!$B$46:$B$185,$J3463,Flare!$E$46:$E$185)*Impacts!$F$16))</f>
        <v>0</v>
      </c>
      <c r="U3463" s="10">
        <f>IF(VCU!$C$9="",0,(SUMIF(VCU!$B$51:$B$193,$J3463,VCU!$E$51:$E$193)*Impacts!$F$17))</f>
        <v>0</v>
      </c>
      <c r="V3463" s="10">
        <f>IF(CAS!$C$7="",0,(SUMIF(CAS!$B$31:$B$167,$J3463,CAS!$E$31:$E$167)*Impacts!$F$18))</f>
        <v>0</v>
      </c>
      <c r="W3463" s="10">
        <f t="shared" si="94"/>
        <v>0</v>
      </c>
      <c r="AK3463" s="10" t="str">
        <f t="array" ref="AK3463">IFERROR(INDEX(SelectedSpecies,SMALL(IF(SelectedSpecies=AK$1,ROW(SelectedSpecies)),ROW(3464:3464)),2),"")</f>
        <v/>
      </c>
      <c r="BE3463" s="10"/>
      <c r="BI3463" s="10"/>
    </row>
    <row r="3464" spans="1:61" ht="21" customHeight="1" x14ac:dyDescent="0.25">
      <c r="A3464" s="10"/>
      <c r="B3464" s="10"/>
      <c r="E3464" s="10"/>
      <c r="G3464" s="10"/>
      <c r="I3464" s="436" t="s">
        <v>4611</v>
      </c>
      <c r="J3464" s="26" t="s">
        <v>4610</v>
      </c>
      <c r="K3464" s="10">
        <v>4</v>
      </c>
      <c r="L3464" s="73">
        <f>IF(Tank1!$C$23="No control",(SUMIF(Tank1!$B$32:$B$49,$J3464,Tank1!$C$32:$C$49)*Impacts!$F$8),0)</f>
        <v>0</v>
      </c>
      <c r="M3464" s="10">
        <f>IF(Tank2!$C$23="No control",(SUMIF(Tank2!$B$32:$B$49,$J3464,Tank2!$C$32:$C$49)*Impacts!$F$9),0)</f>
        <v>0</v>
      </c>
      <c r="N3464" s="10">
        <f>IF(Tank3!$C$23="No control",(SUMIF(Tank3!$B$32:$B$49,$J3464,Tank3!$C$32:$C$49)*Impacts!$F$10),0)</f>
        <v>0</v>
      </c>
      <c r="O3464" s="10">
        <f>IF(Tank4!$C$23="No control",(SUMIF(Tank4!$B$32:$B$49,$J3464,Tank4!$C$32:$C$49)*Impacts!$F$11),0)</f>
        <v>0</v>
      </c>
      <c r="P3464" s="10">
        <f>IF(Tank5!$C$23="No control",(SUMIF(Tank5!$B$32:$B$49,$J3464,Tank5!$C$32:$C$49)*Impacts!$F$12),0)</f>
        <v>0</v>
      </c>
      <c r="Q3464" s="10">
        <f>IFERROR(IF(('Loading-drum,tote'!$C$21)="No control",SUMIF(('Loading-drum,tote'!$B$31:$B$48),$J3464,('Loading-drum,tote'!$D$31:$D$48))*Impacts!$F$13,IF(('Loading-drum,tote'!$C$21)&lt;&gt;"No control",SUMIF(('Loading-drum,tote'!$B$31:$B$48),$J3464,('Loading-drum,tote'!$E$31:$E$48))*Impacts!$F$13,0)),0)</f>
        <v>0</v>
      </c>
      <c r="R3464" s="10">
        <f>IFERROR(IF(('Loading-truck'!$C$21)="No control",SUMIF(('Loading-truck'!$B$31:$B$48),$J3464,('Loading-truck'!$D$31:$D$48))*Impacts!$F$14,IF(('Loading-truck'!$C$21)&lt;&gt;"No control",SUMIF(('Loading-truck'!$B$31:$B$48),$J3464,('Loading-truck'!$E$31:$E$48))*Impacts!$F$14,0)),0)</f>
        <v>0</v>
      </c>
      <c r="S3464" s="10">
        <f>IFERROR(IF(('Loading-rail'!$C$21)="No control",SUMIF(('Loading-rail'!$B$31:$B$48),$J3464,('Loading-rail'!$D$31:$D$48))*Impacts!$F$15,IF(('Loading-rail'!$C$21)&lt;&gt;"No control",SUMIF(('Loading-rail'!$B$31:$B$48),$J3464,('Loading-rail'!$E$31:$E$48))*Impacts!$F$15,0)),0)</f>
        <v>0</v>
      </c>
      <c r="T3464" s="10">
        <f>IF(Flare!$C$7="",0,(SUMIF(Flare!$B$46:$B$185,$J3464,Flare!$E$46:$E$185)*Impacts!$F$16))</f>
        <v>0</v>
      </c>
      <c r="U3464" s="10">
        <f>IF(VCU!$C$9="",0,(SUMIF(VCU!$B$51:$B$193,$J3464,VCU!$E$51:$E$193)*Impacts!$F$17))</f>
        <v>0</v>
      </c>
      <c r="V3464" s="10">
        <f>IF(CAS!$C$7="",0,(SUMIF(CAS!$B$31:$B$167,$J3464,CAS!$E$31:$E$167)*Impacts!$F$18))</f>
        <v>0</v>
      </c>
      <c r="W3464" s="10">
        <f t="shared" si="94"/>
        <v>0</v>
      </c>
      <c r="AK3464" s="10" t="str">
        <f t="array" ref="AK3464">IFERROR(INDEX(SelectedSpecies,SMALL(IF(SelectedSpecies=AK$1,ROW(SelectedSpecies)),ROW(3465:3465)),2),"")</f>
        <v/>
      </c>
      <c r="BE3464" s="10"/>
      <c r="BI3464" s="10"/>
    </row>
    <row r="3465" spans="1:61" ht="21" customHeight="1" x14ac:dyDescent="0.25">
      <c r="A3465" s="10"/>
      <c r="B3465" s="10"/>
      <c r="E3465" s="10"/>
      <c r="G3465" s="10"/>
      <c r="I3465" s="436" t="s">
        <v>6466</v>
      </c>
      <c r="J3465" s="26" t="s">
        <v>6465</v>
      </c>
      <c r="K3465" s="10">
        <v>0.79</v>
      </c>
      <c r="L3465" s="73">
        <f>IF(Tank1!$C$23="No control",(SUMIF(Tank1!$B$32:$B$49,$J3465,Tank1!$C$32:$C$49)*Impacts!$F$8),0)</f>
        <v>0</v>
      </c>
      <c r="M3465" s="10">
        <f>IF(Tank2!$C$23="No control",(SUMIF(Tank2!$B$32:$B$49,$J3465,Tank2!$C$32:$C$49)*Impacts!$F$9),0)</f>
        <v>0</v>
      </c>
      <c r="N3465" s="10">
        <f>IF(Tank3!$C$23="No control",(SUMIF(Tank3!$B$32:$B$49,$J3465,Tank3!$C$32:$C$49)*Impacts!$F$10),0)</f>
        <v>0</v>
      </c>
      <c r="O3465" s="10">
        <f>IF(Tank4!$C$23="No control",(SUMIF(Tank4!$B$32:$B$49,$J3465,Tank4!$C$32:$C$49)*Impacts!$F$11),0)</f>
        <v>0</v>
      </c>
      <c r="P3465" s="10">
        <f>IF(Tank5!$C$23="No control",(SUMIF(Tank5!$B$32:$B$49,$J3465,Tank5!$C$32:$C$49)*Impacts!$F$12),0)</f>
        <v>0</v>
      </c>
      <c r="Q3465" s="10">
        <f>IFERROR(IF(('Loading-drum,tote'!$C$21)="No control",SUMIF(('Loading-drum,tote'!$B$31:$B$48),$J3465,('Loading-drum,tote'!$D$31:$D$48))*Impacts!$F$13,IF(('Loading-drum,tote'!$C$21)&lt;&gt;"No control",SUMIF(('Loading-drum,tote'!$B$31:$B$48),$J3465,('Loading-drum,tote'!$E$31:$E$48))*Impacts!$F$13,0)),0)</f>
        <v>0</v>
      </c>
      <c r="R3465" s="10">
        <f>IFERROR(IF(('Loading-truck'!$C$21)="No control",SUMIF(('Loading-truck'!$B$31:$B$48),$J3465,('Loading-truck'!$D$31:$D$48))*Impacts!$F$14,IF(('Loading-truck'!$C$21)&lt;&gt;"No control",SUMIF(('Loading-truck'!$B$31:$B$48),$J3465,('Loading-truck'!$E$31:$E$48))*Impacts!$F$14,0)),0)</f>
        <v>0</v>
      </c>
      <c r="S3465" s="10">
        <f>IFERROR(IF(('Loading-rail'!$C$21)="No control",SUMIF(('Loading-rail'!$B$31:$B$48),$J3465,('Loading-rail'!$D$31:$D$48))*Impacts!$F$15,IF(('Loading-rail'!$C$21)&lt;&gt;"No control",SUMIF(('Loading-rail'!$B$31:$B$48),$J3465,('Loading-rail'!$E$31:$E$48))*Impacts!$F$15,0)),0)</f>
        <v>0</v>
      </c>
      <c r="T3465" s="10">
        <f>IF(Flare!$C$7="",0,(SUMIF(Flare!$B$46:$B$185,$J3465,Flare!$E$46:$E$185)*Impacts!$F$16))</f>
        <v>0</v>
      </c>
      <c r="U3465" s="10">
        <f>IF(VCU!$C$9="",0,(SUMIF(VCU!$B$51:$B$193,$J3465,VCU!$E$51:$E$193)*Impacts!$F$17))</f>
        <v>0</v>
      </c>
      <c r="V3465" s="10">
        <f>IF(CAS!$C$7="",0,(SUMIF(CAS!$B$31:$B$167,$J3465,CAS!$E$31:$E$167)*Impacts!$F$18))</f>
        <v>0</v>
      </c>
      <c r="W3465" s="10">
        <f t="shared" si="94"/>
        <v>0</v>
      </c>
      <c r="AK3465" s="10" t="str">
        <f t="array" ref="AK3465">IFERROR(INDEX(SelectedSpecies,SMALL(IF(SelectedSpecies=AK$1,ROW(SelectedSpecies)),ROW(3466:3466)),2),"")</f>
        <v/>
      </c>
      <c r="BE3465" s="10"/>
      <c r="BI3465" s="10"/>
    </row>
    <row r="3466" spans="1:61" ht="21" customHeight="1" x14ac:dyDescent="0.25">
      <c r="A3466" s="10"/>
      <c r="B3466" s="10"/>
      <c r="E3466" s="10"/>
      <c r="G3466" s="10"/>
      <c r="I3466" s="436" t="s">
        <v>2029</v>
      </c>
      <c r="J3466" s="26" t="s">
        <v>2028</v>
      </c>
      <c r="K3466" s="10">
        <v>17</v>
      </c>
      <c r="L3466" s="73">
        <f>IF(Tank1!$C$23="No control",(SUMIF(Tank1!$B$32:$B$49,$J3466,Tank1!$C$32:$C$49)*Impacts!$F$8),0)</f>
        <v>0</v>
      </c>
      <c r="M3466" s="10">
        <f>IF(Tank2!$C$23="No control",(SUMIF(Tank2!$B$32:$B$49,$J3466,Tank2!$C$32:$C$49)*Impacts!$F$9),0)</f>
        <v>0</v>
      </c>
      <c r="N3466" s="10">
        <f>IF(Tank3!$C$23="No control",(SUMIF(Tank3!$B$32:$B$49,$J3466,Tank3!$C$32:$C$49)*Impacts!$F$10),0)</f>
        <v>0</v>
      </c>
      <c r="O3466" s="10">
        <f>IF(Tank4!$C$23="No control",(SUMIF(Tank4!$B$32:$B$49,$J3466,Tank4!$C$32:$C$49)*Impacts!$F$11),0)</f>
        <v>0</v>
      </c>
      <c r="P3466" s="10">
        <f>IF(Tank5!$C$23="No control",(SUMIF(Tank5!$B$32:$B$49,$J3466,Tank5!$C$32:$C$49)*Impacts!$F$12),0)</f>
        <v>0</v>
      </c>
      <c r="Q3466" s="10">
        <f>IFERROR(IF(('Loading-drum,tote'!$C$21)="No control",SUMIF(('Loading-drum,tote'!$B$31:$B$48),$J3466,('Loading-drum,tote'!$D$31:$D$48))*Impacts!$F$13,IF(('Loading-drum,tote'!$C$21)&lt;&gt;"No control",SUMIF(('Loading-drum,tote'!$B$31:$B$48),$J3466,('Loading-drum,tote'!$E$31:$E$48))*Impacts!$F$13,0)),0)</f>
        <v>0</v>
      </c>
      <c r="R3466" s="10">
        <f>IFERROR(IF(('Loading-truck'!$C$21)="No control",SUMIF(('Loading-truck'!$B$31:$B$48),$J3466,('Loading-truck'!$D$31:$D$48))*Impacts!$F$14,IF(('Loading-truck'!$C$21)&lt;&gt;"No control",SUMIF(('Loading-truck'!$B$31:$B$48),$J3466,('Loading-truck'!$E$31:$E$48))*Impacts!$F$14,0)),0)</f>
        <v>0</v>
      </c>
      <c r="S3466" s="10">
        <f>IFERROR(IF(('Loading-rail'!$C$21)="No control",SUMIF(('Loading-rail'!$B$31:$B$48),$J3466,('Loading-rail'!$D$31:$D$48))*Impacts!$F$15,IF(('Loading-rail'!$C$21)&lt;&gt;"No control",SUMIF(('Loading-rail'!$B$31:$B$48),$J3466,('Loading-rail'!$E$31:$E$48))*Impacts!$F$15,0)),0)</f>
        <v>0</v>
      </c>
      <c r="T3466" s="10">
        <f>IF(Flare!$C$7="",0,(SUMIF(Flare!$B$46:$B$185,$J3466,Flare!$E$46:$E$185)*Impacts!$F$16))</f>
        <v>0</v>
      </c>
      <c r="U3466" s="10">
        <f>IF(VCU!$C$9="",0,(SUMIF(VCU!$B$51:$B$193,$J3466,VCU!$E$51:$E$193)*Impacts!$F$17))</f>
        <v>0</v>
      </c>
      <c r="V3466" s="10">
        <f>IF(CAS!$C$7="",0,(SUMIF(CAS!$B$31:$B$167,$J3466,CAS!$E$31:$E$167)*Impacts!$F$18))</f>
        <v>0</v>
      </c>
      <c r="W3466" s="10">
        <f t="shared" si="94"/>
        <v>0</v>
      </c>
      <c r="AK3466" s="10" t="str">
        <f t="array" ref="AK3466">IFERROR(INDEX(SelectedSpecies,SMALL(IF(SelectedSpecies=AK$1,ROW(SelectedSpecies)),ROW(3467:3467)),2),"")</f>
        <v/>
      </c>
      <c r="BE3466" s="10"/>
      <c r="BI3466" s="10"/>
    </row>
    <row r="3467" spans="1:61" ht="21" customHeight="1" x14ac:dyDescent="0.25">
      <c r="A3467" s="10"/>
      <c r="B3467" s="10"/>
      <c r="E3467" s="10"/>
      <c r="G3467" s="10"/>
      <c r="I3467" s="436" t="s">
        <v>5467</v>
      </c>
      <c r="J3467" s="26" t="s">
        <v>5466</v>
      </c>
      <c r="K3467" s="10">
        <v>1.4000000000000001</v>
      </c>
      <c r="L3467" s="73">
        <f>IF(Tank1!$C$23="No control",(SUMIF(Tank1!$B$32:$B$49,$J3467,Tank1!$C$32:$C$49)*Impacts!$F$8),0)</f>
        <v>0</v>
      </c>
      <c r="M3467" s="10">
        <f>IF(Tank2!$C$23="No control",(SUMIF(Tank2!$B$32:$B$49,$J3467,Tank2!$C$32:$C$49)*Impacts!$F$9),0)</f>
        <v>0</v>
      </c>
      <c r="N3467" s="10">
        <f>IF(Tank3!$C$23="No control",(SUMIF(Tank3!$B$32:$B$49,$J3467,Tank3!$C$32:$C$49)*Impacts!$F$10),0)</f>
        <v>0</v>
      </c>
      <c r="O3467" s="10">
        <f>IF(Tank4!$C$23="No control",(SUMIF(Tank4!$B$32:$B$49,$J3467,Tank4!$C$32:$C$49)*Impacts!$F$11),0)</f>
        <v>0</v>
      </c>
      <c r="P3467" s="10">
        <f>IF(Tank5!$C$23="No control",(SUMIF(Tank5!$B$32:$B$49,$J3467,Tank5!$C$32:$C$49)*Impacts!$F$12),0)</f>
        <v>0</v>
      </c>
      <c r="Q3467" s="10">
        <f>IFERROR(IF(('Loading-drum,tote'!$C$21)="No control",SUMIF(('Loading-drum,tote'!$B$31:$B$48),$J3467,('Loading-drum,tote'!$D$31:$D$48))*Impacts!$F$13,IF(('Loading-drum,tote'!$C$21)&lt;&gt;"No control",SUMIF(('Loading-drum,tote'!$B$31:$B$48),$J3467,('Loading-drum,tote'!$E$31:$E$48))*Impacts!$F$13,0)),0)</f>
        <v>0</v>
      </c>
      <c r="R3467" s="10">
        <f>IFERROR(IF(('Loading-truck'!$C$21)="No control",SUMIF(('Loading-truck'!$B$31:$B$48),$J3467,('Loading-truck'!$D$31:$D$48))*Impacts!$F$14,IF(('Loading-truck'!$C$21)&lt;&gt;"No control",SUMIF(('Loading-truck'!$B$31:$B$48),$J3467,('Loading-truck'!$E$31:$E$48))*Impacts!$F$14,0)),0)</f>
        <v>0</v>
      </c>
      <c r="S3467" s="10">
        <f>IFERROR(IF(('Loading-rail'!$C$21)="No control",SUMIF(('Loading-rail'!$B$31:$B$48),$J3467,('Loading-rail'!$D$31:$D$48))*Impacts!$F$15,IF(('Loading-rail'!$C$21)&lt;&gt;"No control",SUMIF(('Loading-rail'!$B$31:$B$48),$J3467,('Loading-rail'!$E$31:$E$48))*Impacts!$F$15,0)),0)</f>
        <v>0</v>
      </c>
      <c r="T3467" s="10">
        <f>IF(Flare!$C$7="",0,(SUMIF(Flare!$B$46:$B$185,$J3467,Flare!$E$46:$E$185)*Impacts!$F$16))</f>
        <v>0</v>
      </c>
      <c r="U3467" s="10">
        <f>IF(VCU!$C$9="",0,(SUMIF(VCU!$B$51:$B$193,$J3467,VCU!$E$51:$E$193)*Impacts!$F$17))</f>
        <v>0</v>
      </c>
      <c r="V3467" s="10">
        <f>IF(CAS!$C$7="",0,(SUMIF(CAS!$B$31:$B$167,$J3467,CAS!$E$31:$E$167)*Impacts!$F$18))</f>
        <v>0</v>
      </c>
      <c r="W3467" s="10">
        <f t="shared" si="94"/>
        <v>0</v>
      </c>
      <c r="AK3467" s="10" t="str">
        <f t="array" ref="AK3467">IFERROR(INDEX(SelectedSpecies,SMALL(IF(SelectedSpecies=AK$1,ROW(SelectedSpecies)),ROW(3468:3468)),2),"")</f>
        <v/>
      </c>
      <c r="BE3467" s="10"/>
      <c r="BI3467" s="10"/>
    </row>
    <row r="3468" spans="1:61" ht="21" customHeight="1" x14ac:dyDescent="0.25">
      <c r="A3468" s="10"/>
      <c r="B3468" s="10"/>
      <c r="E3468" s="10"/>
      <c r="G3468" s="10"/>
      <c r="I3468" s="436" t="s">
        <v>7146</v>
      </c>
      <c r="J3468" s="26" t="s">
        <v>7145</v>
      </c>
      <c r="K3468" s="10">
        <v>0.37000000000000005</v>
      </c>
      <c r="L3468" s="73">
        <f>IF(Tank1!$C$23="No control",(SUMIF(Tank1!$B$32:$B$49,$J3468,Tank1!$C$32:$C$49)*Impacts!$F$8),0)</f>
        <v>0</v>
      </c>
      <c r="M3468" s="10">
        <f>IF(Tank2!$C$23="No control",(SUMIF(Tank2!$B$32:$B$49,$J3468,Tank2!$C$32:$C$49)*Impacts!$F$9),0)</f>
        <v>0</v>
      </c>
      <c r="N3468" s="10">
        <f>IF(Tank3!$C$23="No control",(SUMIF(Tank3!$B$32:$B$49,$J3468,Tank3!$C$32:$C$49)*Impacts!$F$10),0)</f>
        <v>0</v>
      </c>
      <c r="O3468" s="10">
        <f>IF(Tank4!$C$23="No control",(SUMIF(Tank4!$B$32:$B$49,$J3468,Tank4!$C$32:$C$49)*Impacts!$F$11),0)</f>
        <v>0</v>
      </c>
      <c r="P3468" s="10">
        <f>IF(Tank5!$C$23="No control",(SUMIF(Tank5!$B$32:$B$49,$J3468,Tank5!$C$32:$C$49)*Impacts!$F$12),0)</f>
        <v>0</v>
      </c>
      <c r="Q3468" s="10">
        <f>IFERROR(IF(('Loading-drum,tote'!$C$21)="No control",SUMIF(('Loading-drum,tote'!$B$31:$B$48),$J3468,('Loading-drum,tote'!$D$31:$D$48))*Impacts!$F$13,IF(('Loading-drum,tote'!$C$21)&lt;&gt;"No control",SUMIF(('Loading-drum,tote'!$B$31:$B$48),$J3468,('Loading-drum,tote'!$E$31:$E$48))*Impacts!$F$13,0)),0)</f>
        <v>0</v>
      </c>
      <c r="R3468" s="10">
        <f>IFERROR(IF(('Loading-truck'!$C$21)="No control",SUMIF(('Loading-truck'!$B$31:$B$48),$J3468,('Loading-truck'!$D$31:$D$48))*Impacts!$F$14,IF(('Loading-truck'!$C$21)&lt;&gt;"No control",SUMIF(('Loading-truck'!$B$31:$B$48),$J3468,('Loading-truck'!$E$31:$E$48))*Impacts!$F$14,0)),0)</f>
        <v>0</v>
      </c>
      <c r="S3468" s="10">
        <f>IFERROR(IF(('Loading-rail'!$C$21)="No control",SUMIF(('Loading-rail'!$B$31:$B$48),$J3468,('Loading-rail'!$D$31:$D$48))*Impacts!$F$15,IF(('Loading-rail'!$C$21)&lt;&gt;"No control",SUMIF(('Loading-rail'!$B$31:$B$48),$J3468,('Loading-rail'!$E$31:$E$48))*Impacts!$F$15,0)),0)</f>
        <v>0</v>
      </c>
      <c r="T3468" s="10">
        <f>IF(Flare!$C$7="",0,(SUMIF(Flare!$B$46:$B$185,$J3468,Flare!$E$46:$E$185)*Impacts!$F$16))</f>
        <v>0</v>
      </c>
      <c r="U3468" s="10">
        <f>IF(VCU!$C$9="",0,(SUMIF(VCU!$B$51:$B$193,$J3468,VCU!$E$51:$E$193)*Impacts!$F$17))</f>
        <v>0</v>
      </c>
      <c r="V3468" s="10">
        <f>IF(CAS!$C$7="",0,(SUMIF(CAS!$B$31:$B$167,$J3468,CAS!$E$31:$E$167)*Impacts!$F$18))</f>
        <v>0</v>
      </c>
      <c r="W3468" s="10">
        <f t="shared" si="94"/>
        <v>0</v>
      </c>
      <c r="AK3468" s="10" t="str">
        <f t="array" ref="AK3468">IFERROR(INDEX(SelectedSpecies,SMALL(IF(SelectedSpecies=AK$1,ROW(SelectedSpecies)),ROW(3469:3469)),2),"")</f>
        <v/>
      </c>
      <c r="BE3468" s="10"/>
      <c r="BI3468" s="10"/>
    </row>
    <row r="3469" spans="1:61" ht="21" customHeight="1" x14ac:dyDescent="0.25">
      <c r="A3469" s="10"/>
      <c r="B3469" s="10"/>
      <c r="E3469" s="10"/>
      <c r="G3469" s="10"/>
      <c r="I3469" s="436" t="s">
        <v>6558</v>
      </c>
      <c r="J3469" s="26" t="s">
        <v>6557</v>
      </c>
      <c r="K3469" s="10">
        <v>0.70000000000000007</v>
      </c>
      <c r="L3469" s="73">
        <f>IF(Tank1!$C$23="No control",(SUMIF(Tank1!$B$32:$B$49,$J3469,Tank1!$C$32:$C$49)*Impacts!$F$8),0)</f>
        <v>0</v>
      </c>
      <c r="M3469" s="10">
        <f>IF(Tank2!$C$23="No control",(SUMIF(Tank2!$B$32:$B$49,$J3469,Tank2!$C$32:$C$49)*Impacts!$F$9),0)</f>
        <v>0</v>
      </c>
      <c r="N3469" s="10">
        <f>IF(Tank3!$C$23="No control",(SUMIF(Tank3!$B$32:$B$49,$J3469,Tank3!$C$32:$C$49)*Impacts!$F$10),0)</f>
        <v>0</v>
      </c>
      <c r="O3469" s="10">
        <f>IF(Tank4!$C$23="No control",(SUMIF(Tank4!$B$32:$B$49,$J3469,Tank4!$C$32:$C$49)*Impacts!$F$11),0)</f>
        <v>0</v>
      </c>
      <c r="P3469" s="10">
        <f>IF(Tank5!$C$23="No control",(SUMIF(Tank5!$B$32:$B$49,$J3469,Tank5!$C$32:$C$49)*Impacts!$F$12),0)</f>
        <v>0</v>
      </c>
      <c r="Q3469" s="10">
        <f>IFERROR(IF(('Loading-drum,tote'!$C$21)="No control",SUMIF(('Loading-drum,tote'!$B$31:$B$48),$J3469,('Loading-drum,tote'!$D$31:$D$48))*Impacts!$F$13,IF(('Loading-drum,tote'!$C$21)&lt;&gt;"No control",SUMIF(('Loading-drum,tote'!$B$31:$B$48),$J3469,('Loading-drum,tote'!$E$31:$E$48))*Impacts!$F$13,0)),0)</f>
        <v>0</v>
      </c>
      <c r="R3469" s="10">
        <f>IFERROR(IF(('Loading-truck'!$C$21)="No control",SUMIF(('Loading-truck'!$B$31:$B$48),$J3469,('Loading-truck'!$D$31:$D$48))*Impacts!$F$14,IF(('Loading-truck'!$C$21)&lt;&gt;"No control",SUMIF(('Loading-truck'!$B$31:$B$48),$J3469,('Loading-truck'!$E$31:$E$48))*Impacts!$F$14,0)),0)</f>
        <v>0</v>
      </c>
      <c r="S3469" s="10">
        <f>IFERROR(IF(('Loading-rail'!$C$21)="No control",SUMIF(('Loading-rail'!$B$31:$B$48),$J3469,('Loading-rail'!$D$31:$D$48))*Impacts!$F$15,IF(('Loading-rail'!$C$21)&lt;&gt;"No control",SUMIF(('Loading-rail'!$B$31:$B$48),$J3469,('Loading-rail'!$E$31:$E$48))*Impacts!$F$15,0)),0)</f>
        <v>0</v>
      </c>
      <c r="T3469" s="10">
        <f>IF(Flare!$C$7="",0,(SUMIF(Flare!$B$46:$B$185,$J3469,Flare!$E$46:$E$185)*Impacts!$F$16))</f>
        <v>0</v>
      </c>
      <c r="U3469" s="10">
        <f>IF(VCU!$C$9="",0,(SUMIF(VCU!$B$51:$B$193,$J3469,VCU!$E$51:$E$193)*Impacts!$F$17))</f>
        <v>0</v>
      </c>
      <c r="V3469" s="10">
        <f>IF(CAS!$C$7="",0,(SUMIF(CAS!$B$31:$B$167,$J3469,CAS!$E$31:$E$167)*Impacts!$F$18))</f>
        <v>0</v>
      </c>
      <c r="W3469" s="10">
        <f t="shared" si="94"/>
        <v>0</v>
      </c>
      <c r="AK3469" s="10" t="str">
        <f t="array" ref="AK3469">IFERROR(INDEX(SelectedSpecies,SMALL(IF(SelectedSpecies=AK$1,ROW(SelectedSpecies)),ROW(3470:3470)),2),"")</f>
        <v/>
      </c>
      <c r="BE3469" s="10"/>
      <c r="BI3469" s="10"/>
    </row>
    <row r="3470" spans="1:61" ht="21" customHeight="1" x14ac:dyDescent="0.25">
      <c r="A3470" s="10"/>
      <c r="B3470" s="10"/>
      <c r="E3470" s="10"/>
      <c r="G3470" s="10"/>
      <c r="I3470" s="436" t="s">
        <v>6402</v>
      </c>
      <c r="J3470" s="26" t="s">
        <v>6401</v>
      </c>
      <c r="K3470" s="10">
        <v>0.81</v>
      </c>
      <c r="L3470" s="73">
        <f>IF(Tank1!$C$23="No control",(SUMIF(Tank1!$B$32:$B$49,$J3470,Tank1!$C$32:$C$49)*Impacts!$F$8),0)</f>
        <v>0</v>
      </c>
      <c r="M3470" s="10">
        <f>IF(Tank2!$C$23="No control",(SUMIF(Tank2!$B$32:$B$49,$J3470,Tank2!$C$32:$C$49)*Impacts!$F$9),0)</f>
        <v>0</v>
      </c>
      <c r="N3470" s="10">
        <f>IF(Tank3!$C$23="No control",(SUMIF(Tank3!$B$32:$B$49,$J3470,Tank3!$C$32:$C$49)*Impacts!$F$10),0)</f>
        <v>0</v>
      </c>
      <c r="O3470" s="10">
        <f>IF(Tank4!$C$23="No control",(SUMIF(Tank4!$B$32:$B$49,$J3470,Tank4!$C$32:$C$49)*Impacts!$F$11),0)</f>
        <v>0</v>
      </c>
      <c r="P3470" s="10">
        <f>IF(Tank5!$C$23="No control",(SUMIF(Tank5!$B$32:$B$49,$J3470,Tank5!$C$32:$C$49)*Impacts!$F$12),0)</f>
        <v>0</v>
      </c>
      <c r="Q3470" s="10">
        <f>IFERROR(IF(('Loading-drum,tote'!$C$21)="No control",SUMIF(('Loading-drum,tote'!$B$31:$B$48),$J3470,('Loading-drum,tote'!$D$31:$D$48))*Impacts!$F$13,IF(('Loading-drum,tote'!$C$21)&lt;&gt;"No control",SUMIF(('Loading-drum,tote'!$B$31:$B$48),$J3470,('Loading-drum,tote'!$E$31:$E$48))*Impacts!$F$13,0)),0)</f>
        <v>0</v>
      </c>
      <c r="R3470" s="10">
        <f>IFERROR(IF(('Loading-truck'!$C$21)="No control",SUMIF(('Loading-truck'!$B$31:$B$48),$J3470,('Loading-truck'!$D$31:$D$48))*Impacts!$F$14,IF(('Loading-truck'!$C$21)&lt;&gt;"No control",SUMIF(('Loading-truck'!$B$31:$B$48),$J3470,('Loading-truck'!$E$31:$E$48))*Impacts!$F$14,0)),0)</f>
        <v>0</v>
      </c>
      <c r="S3470" s="10">
        <f>IFERROR(IF(('Loading-rail'!$C$21)="No control",SUMIF(('Loading-rail'!$B$31:$B$48),$J3470,('Loading-rail'!$D$31:$D$48))*Impacts!$F$15,IF(('Loading-rail'!$C$21)&lt;&gt;"No control",SUMIF(('Loading-rail'!$B$31:$B$48),$J3470,('Loading-rail'!$E$31:$E$48))*Impacts!$F$15,0)),0)</f>
        <v>0</v>
      </c>
      <c r="T3470" s="10">
        <f>IF(Flare!$C$7="",0,(SUMIF(Flare!$B$46:$B$185,$J3470,Flare!$E$46:$E$185)*Impacts!$F$16))</f>
        <v>0</v>
      </c>
      <c r="U3470" s="10">
        <f>IF(VCU!$C$9="",0,(SUMIF(VCU!$B$51:$B$193,$J3470,VCU!$E$51:$E$193)*Impacts!$F$17))</f>
        <v>0</v>
      </c>
      <c r="V3470" s="10">
        <f>IF(CAS!$C$7="",0,(SUMIF(CAS!$B$31:$B$167,$J3470,CAS!$E$31:$E$167)*Impacts!$F$18))</f>
        <v>0</v>
      </c>
      <c r="W3470" s="10">
        <f t="shared" si="94"/>
        <v>0</v>
      </c>
      <c r="AK3470" s="10" t="str">
        <f t="array" ref="AK3470">IFERROR(INDEX(SelectedSpecies,SMALL(IF(SelectedSpecies=AK$1,ROW(SelectedSpecies)),ROW(3471:3471)),2),"")</f>
        <v/>
      </c>
      <c r="BE3470" s="10"/>
      <c r="BI3470" s="10"/>
    </row>
    <row r="3471" spans="1:61" ht="21" customHeight="1" x14ac:dyDescent="0.25">
      <c r="A3471" s="10"/>
      <c r="B3471" s="10"/>
      <c r="E3471" s="10"/>
      <c r="G3471" s="10"/>
      <c r="I3471" s="436" t="s">
        <v>6402</v>
      </c>
      <c r="J3471" s="26" t="s">
        <v>10405</v>
      </c>
      <c r="K3471" s="10">
        <v>5.6999999999999995E-2</v>
      </c>
      <c r="L3471" s="73">
        <f>IF(Tank1!$C$23="No control",(SUMIF(Tank1!$B$32:$B$49,$J3471,Tank1!$C$32:$C$49)*Impacts!$F$8),0)</f>
        <v>0</v>
      </c>
      <c r="M3471" s="10">
        <f>IF(Tank2!$C$23="No control",(SUMIF(Tank2!$B$32:$B$49,$J3471,Tank2!$C$32:$C$49)*Impacts!$F$9),0)</f>
        <v>0</v>
      </c>
      <c r="N3471" s="10">
        <f>IF(Tank3!$C$23="No control",(SUMIF(Tank3!$B$32:$B$49,$J3471,Tank3!$C$32:$C$49)*Impacts!$F$10),0)</f>
        <v>0</v>
      </c>
      <c r="O3471" s="10">
        <f>IF(Tank4!$C$23="No control",(SUMIF(Tank4!$B$32:$B$49,$J3471,Tank4!$C$32:$C$49)*Impacts!$F$11),0)</f>
        <v>0</v>
      </c>
      <c r="P3471" s="10">
        <f>IF(Tank5!$C$23="No control",(SUMIF(Tank5!$B$32:$B$49,$J3471,Tank5!$C$32:$C$49)*Impacts!$F$12),0)</f>
        <v>0</v>
      </c>
      <c r="Q3471" s="10">
        <f>IFERROR(IF(('Loading-drum,tote'!$C$21)="No control",SUMIF(('Loading-drum,tote'!$B$31:$B$48),$J3471,('Loading-drum,tote'!$D$31:$D$48))*Impacts!$F$13,IF(('Loading-drum,tote'!$C$21)&lt;&gt;"No control",SUMIF(('Loading-drum,tote'!$B$31:$B$48),$J3471,('Loading-drum,tote'!$E$31:$E$48))*Impacts!$F$13,0)),0)</f>
        <v>0</v>
      </c>
      <c r="R3471" s="10">
        <f>IFERROR(IF(('Loading-truck'!$C$21)="No control",SUMIF(('Loading-truck'!$B$31:$B$48),$J3471,('Loading-truck'!$D$31:$D$48))*Impacts!$F$14,IF(('Loading-truck'!$C$21)&lt;&gt;"No control",SUMIF(('Loading-truck'!$B$31:$B$48),$J3471,('Loading-truck'!$E$31:$E$48))*Impacts!$F$14,0)),0)</f>
        <v>0</v>
      </c>
      <c r="S3471" s="10">
        <f>IFERROR(IF(('Loading-rail'!$C$21)="No control",SUMIF(('Loading-rail'!$B$31:$B$48),$J3471,('Loading-rail'!$D$31:$D$48))*Impacts!$F$15,IF(('Loading-rail'!$C$21)&lt;&gt;"No control",SUMIF(('Loading-rail'!$B$31:$B$48),$J3471,('Loading-rail'!$E$31:$E$48))*Impacts!$F$15,0)),0)</f>
        <v>0</v>
      </c>
      <c r="T3471" s="10">
        <f>IF(Flare!$C$7="",0,(SUMIF(Flare!$B$46:$B$185,$J3471,Flare!$E$46:$E$185)*Impacts!$F$16))</f>
        <v>0</v>
      </c>
      <c r="U3471" s="10">
        <f>IF(VCU!$C$9="",0,(SUMIF(VCU!$B$51:$B$193,$J3471,VCU!$E$51:$E$193)*Impacts!$F$17))</f>
        <v>0</v>
      </c>
      <c r="V3471" s="10">
        <f>IF(CAS!$C$7="",0,(SUMIF(CAS!$B$31:$B$167,$J3471,CAS!$E$31:$E$167)*Impacts!$F$18))</f>
        <v>0</v>
      </c>
      <c r="W3471" s="10">
        <f t="shared" si="94"/>
        <v>0</v>
      </c>
      <c r="AK3471" s="10" t="str">
        <f t="array" ref="AK3471">IFERROR(INDEX(SelectedSpecies,SMALL(IF(SelectedSpecies=AK$1,ROW(SelectedSpecies)),ROW(3472:3472)),2),"")</f>
        <v/>
      </c>
      <c r="BE3471" s="10"/>
      <c r="BI3471" s="10"/>
    </row>
    <row r="3472" spans="1:61" ht="21" customHeight="1" x14ac:dyDescent="0.25">
      <c r="A3472" s="10"/>
      <c r="B3472" s="10"/>
      <c r="E3472" s="10"/>
      <c r="G3472" s="10"/>
      <c r="I3472" s="436" t="s">
        <v>6402</v>
      </c>
      <c r="J3472" s="26" t="s">
        <v>10406</v>
      </c>
      <c r="K3472" s="10">
        <v>7.0999999999999994E-2</v>
      </c>
      <c r="L3472" s="73">
        <f>IF(Tank1!$C$23="No control",(SUMIF(Tank1!$B$32:$B$49,$J3472,Tank1!$C$32:$C$49)*Impacts!$F$8),0)</f>
        <v>0</v>
      </c>
      <c r="M3472" s="10">
        <f>IF(Tank2!$C$23="No control",(SUMIF(Tank2!$B$32:$B$49,$J3472,Tank2!$C$32:$C$49)*Impacts!$F$9),0)</f>
        <v>0</v>
      </c>
      <c r="N3472" s="10">
        <f>IF(Tank3!$C$23="No control",(SUMIF(Tank3!$B$32:$B$49,$J3472,Tank3!$C$32:$C$49)*Impacts!$F$10),0)</f>
        <v>0</v>
      </c>
      <c r="O3472" s="10">
        <f>IF(Tank4!$C$23="No control",(SUMIF(Tank4!$B$32:$B$49,$J3472,Tank4!$C$32:$C$49)*Impacts!$F$11),0)</f>
        <v>0</v>
      </c>
      <c r="P3472" s="10">
        <f>IF(Tank5!$C$23="No control",(SUMIF(Tank5!$B$32:$B$49,$J3472,Tank5!$C$32:$C$49)*Impacts!$F$12),0)</f>
        <v>0</v>
      </c>
      <c r="Q3472" s="10">
        <f>IFERROR(IF(('Loading-drum,tote'!$C$21)="No control",SUMIF(('Loading-drum,tote'!$B$31:$B$48),$J3472,('Loading-drum,tote'!$D$31:$D$48))*Impacts!$F$13,IF(('Loading-drum,tote'!$C$21)&lt;&gt;"No control",SUMIF(('Loading-drum,tote'!$B$31:$B$48),$J3472,('Loading-drum,tote'!$E$31:$E$48))*Impacts!$F$13,0)),0)</f>
        <v>0</v>
      </c>
      <c r="R3472" s="10">
        <f>IFERROR(IF(('Loading-truck'!$C$21)="No control",SUMIF(('Loading-truck'!$B$31:$B$48),$J3472,('Loading-truck'!$D$31:$D$48))*Impacts!$F$14,IF(('Loading-truck'!$C$21)&lt;&gt;"No control",SUMIF(('Loading-truck'!$B$31:$B$48),$J3472,('Loading-truck'!$E$31:$E$48))*Impacts!$F$14,0)),0)</f>
        <v>0</v>
      </c>
      <c r="S3472" s="10">
        <f>IFERROR(IF(('Loading-rail'!$C$21)="No control",SUMIF(('Loading-rail'!$B$31:$B$48),$J3472,('Loading-rail'!$D$31:$D$48))*Impacts!$F$15,IF(('Loading-rail'!$C$21)&lt;&gt;"No control",SUMIF(('Loading-rail'!$B$31:$B$48),$J3472,('Loading-rail'!$E$31:$E$48))*Impacts!$F$15,0)),0)</f>
        <v>0</v>
      </c>
      <c r="T3472" s="10">
        <f>IF(Flare!$C$7="",0,(SUMIF(Flare!$B$46:$B$185,$J3472,Flare!$E$46:$E$185)*Impacts!$F$16))</f>
        <v>0</v>
      </c>
      <c r="U3472" s="10">
        <f>IF(VCU!$C$9="",0,(SUMIF(VCU!$B$51:$B$193,$J3472,VCU!$E$51:$E$193)*Impacts!$F$17))</f>
        <v>0</v>
      </c>
      <c r="V3472" s="10">
        <f>IF(CAS!$C$7="",0,(SUMIF(CAS!$B$31:$B$167,$J3472,CAS!$E$31:$E$167)*Impacts!$F$18))</f>
        <v>0</v>
      </c>
      <c r="W3472" s="10">
        <f t="shared" si="94"/>
        <v>0</v>
      </c>
      <c r="AK3472" s="10" t="str">
        <f t="array" ref="AK3472">IFERROR(INDEX(SelectedSpecies,SMALL(IF(SelectedSpecies=AK$1,ROW(SelectedSpecies)),ROW(3473:3473)),2),"")</f>
        <v/>
      </c>
      <c r="BE3472" s="10"/>
      <c r="BI3472" s="10"/>
    </row>
    <row r="3473" spans="1:61" ht="21" customHeight="1" x14ac:dyDescent="0.25">
      <c r="A3473" s="10"/>
      <c r="B3473" s="10"/>
      <c r="E3473" s="10"/>
      <c r="G3473" s="10"/>
      <c r="I3473" s="436" t="s">
        <v>7842</v>
      </c>
      <c r="J3473" s="26" t="s">
        <v>7841</v>
      </c>
      <c r="K3473" s="10">
        <v>6.9999999999999993E-2</v>
      </c>
      <c r="L3473" s="73">
        <f>IF(Tank1!$C$23="No control",(SUMIF(Tank1!$B$32:$B$49,$J3473,Tank1!$C$32:$C$49)*Impacts!$F$8),0)</f>
        <v>0</v>
      </c>
      <c r="M3473" s="10">
        <f>IF(Tank2!$C$23="No control",(SUMIF(Tank2!$B$32:$B$49,$J3473,Tank2!$C$32:$C$49)*Impacts!$F$9),0)</f>
        <v>0</v>
      </c>
      <c r="N3473" s="10">
        <f>IF(Tank3!$C$23="No control",(SUMIF(Tank3!$B$32:$B$49,$J3473,Tank3!$C$32:$C$49)*Impacts!$F$10),0)</f>
        <v>0</v>
      </c>
      <c r="O3473" s="10">
        <f>IF(Tank4!$C$23="No control",(SUMIF(Tank4!$B$32:$B$49,$J3473,Tank4!$C$32:$C$49)*Impacts!$F$11),0)</f>
        <v>0</v>
      </c>
      <c r="P3473" s="10">
        <f>IF(Tank5!$C$23="No control",(SUMIF(Tank5!$B$32:$B$49,$J3473,Tank5!$C$32:$C$49)*Impacts!$F$12),0)</f>
        <v>0</v>
      </c>
      <c r="Q3473" s="10">
        <f>IFERROR(IF(('Loading-drum,tote'!$C$21)="No control",SUMIF(('Loading-drum,tote'!$B$31:$B$48),$J3473,('Loading-drum,tote'!$D$31:$D$48))*Impacts!$F$13,IF(('Loading-drum,tote'!$C$21)&lt;&gt;"No control",SUMIF(('Loading-drum,tote'!$B$31:$B$48),$J3473,('Loading-drum,tote'!$E$31:$E$48))*Impacts!$F$13,0)),0)</f>
        <v>0</v>
      </c>
      <c r="R3473" s="10">
        <f>IFERROR(IF(('Loading-truck'!$C$21)="No control",SUMIF(('Loading-truck'!$B$31:$B$48),$J3473,('Loading-truck'!$D$31:$D$48))*Impacts!$F$14,IF(('Loading-truck'!$C$21)&lt;&gt;"No control",SUMIF(('Loading-truck'!$B$31:$B$48),$J3473,('Loading-truck'!$E$31:$E$48))*Impacts!$F$14,0)),0)</f>
        <v>0</v>
      </c>
      <c r="S3473" s="10">
        <f>IFERROR(IF(('Loading-rail'!$C$21)="No control",SUMIF(('Loading-rail'!$B$31:$B$48),$J3473,('Loading-rail'!$D$31:$D$48))*Impacts!$F$15,IF(('Loading-rail'!$C$21)&lt;&gt;"No control",SUMIF(('Loading-rail'!$B$31:$B$48),$J3473,('Loading-rail'!$E$31:$E$48))*Impacts!$F$15,0)),0)</f>
        <v>0</v>
      </c>
      <c r="T3473" s="10">
        <f>IF(Flare!$C$7="",0,(SUMIF(Flare!$B$46:$B$185,$J3473,Flare!$E$46:$E$185)*Impacts!$F$16))</f>
        <v>0</v>
      </c>
      <c r="U3473" s="10">
        <f>IF(VCU!$C$9="",0,(SUMIF(VCU!$B$51:$B$193,$J3473,VCU!$E$51:$E$193)*Impacts!$F$17))</f>
        <v>0</v>
      </c>
      <c r="V3473" s="10">
        <f>IF(CAS!$C$7="",0,(SUMIF(CAS!$B$31:$B$167,$J3473,CAS!$E$31:$E$167)*Impacts!$F$18))</f>
        <v>0</v>
      </c>
      <c r="W3473" s="10">
        <f t="shared" si="94"/>
        <v>0</v>
      </c>
      <c r="AK3473" s="10" t="str">
        <f t="array" ref="AK3473">IFERROR(INDEX(SelectedSpecies,SMALL(IF(SelectedSpecies=AK$1,ROW(SelectedSpecies)),ROW(3474:3474)),2),"")</f>
        <v/>
      </c>
      <c r="BE3473" s="10"/>
      <c r="BI3473" s="10"/>
    </row>
    <row r="3474" spans="1:61" ht="21" customHeight="1" x14ac:dyDescent="0.25">
      <c r="A3474" s="10"/>
      <c r="B3474" s="10"/>
      <c r="E3474" s="10"/>
      <c r="G3474" s="10"/>
      <c r="I3474" s="436" t="s">
        <v>4989</v>
      </c>
      <c r="J3474" s="26" t="s">
        <v>4988</v>
      </c>
      <c r="K3474" s="10">
        <v>2.5</v>
      </c>
      <c r="L3474" s="73">
        <f>IF(Tank1!$C$23="No control",(SUMIF(Tank1!$B$32:$B$49,$J3474,Tank1!$C$32:$C$49)*Impacts!$F$8),0)</f>
        <v>0</v>
      </c>
      <c r="M3474" s="10">
        <f>IF(Tank2!$C$23="No control",(SUMIF(Tank2!$B$32:$B$49,$J3474,Tank2!$C$32:$C$49)*Impacts!$F$9),0)</f>
        <v>0</v>
      </c>
      <c r="N3474" s="10">
        <f>IF(Tank3!$C$23="No control",(SUMIF(Tank3!$B$32:$B$49,$J3474,Tank3!$C$32:$C$49)*Impacts!$F$10),0)</f>
        <v>0</v>
      </c>
      <c r="O3474" s="10">
        <f>IF(Tank4!$C$23="No control",(SUMIF(Tank4!$B$32:$B$49,$J3474,Tank4!$C$32:$C$49)*Impacts!$F$11),0)</f>
        <v>0</v>
      </c>
      <c r="P3474" s="10">
        <f>IF(Tank5!$C$23="No control",(SUMIF(Tank5!$B$32:$B$49,$J3474,Tank5!$C$32:$C$49)*Impacts!$F$12),0)</f>
        <v>0</v>
      </c>
      <c r="Q3474" s="10">
        <f>IFERROR(IF(('Loading-drum,tote'!$C$21)="No control",SUMIF(('Loading-drum,tote'!$B$31:$B$48),$J3474,('Loading-drum,tote'!$D$31:$D$48))*Impacts!$F$13,IF(('Loading-drum,tote'!$C$21)&lt;&gt;"No control",SUMIF(('Loading-drum,tote'!$B$31:$B$48),$J3474,('Loading-drum,tote'!$E$31:$E$48))*Impacts!$F$13,0)),0)</f>
        <v>0</v>
      </c>
      <c r="R3474" s="10">
        <f>IFERROR(IF(('Loading-truck'!$C$21)="No control",SUMIF(('Loading-truck'!$B$31:$B$48),$J3474,('Loading-truck'!$D$31:$D$48))*Impacts!$F$14,IF(('Loading-truck'!$C$21)&lt;&gt;"No control",SUMIF(('Loading-truck'!$B$31:$B$48),$J3474,('Loading-truck'!$E$31:$E$48))*Impacts!$F$14,0)),0)</f>
        <v>0</v>
      </c>
      <c r="S3474" s="10">
        <f>IFERROR(IF(('Loading-rail'!$C$21)="No control",SUMIF(('Loading-rail'!$B$31:$B$48),$J3474,('Loading-rail'!$D$31:$D$48))*Impacts!$F$15,IF(('Loading-rail'!$C$21)&lt;&gt;"No control",SUMIF(('Loading-rail'!$B$31:$B$48),$J3474,('Loading-rail'!$E$31:$E$48))*Impacts!$F$15,0)),0)</f>
        <v>0</v>
      </c>
      <c r="T3474" s="10">
        <f>IF(Flare!$C$7="",0,(SUMIF(Flare!$B$46:$B$185,$J3474,Flare!$E$46:$E$185)*Impacts!$F$16))</f>
        <v>0</v>
      </c>
      <c r="U3474" s="10">
        <f>IF(VCU!$C$9="",0,(SUMIF(VCU!$B$51:$B$193,$J3474,VCU!$E$51:$E$193)*Impacts!$F$17))</f>
        <v>0</v>
      </c>
      <c r="V3474" s="10">
        <f>IF(CAS!$C$7="",0,(SUMIF(CAS!$B$31:$B$167,$J3474,CAS!$E$31:$E$167)*Impacts!$F$18))</f>
        <v>0</v>
      </c>
      <c r="W3474" s="10">
        <f t="shared" si="94"/>
        <v>0</v>
      </c>
      <c r="AK3474" s="10" t="str">
        <f t="array" ref="AK3474">IFERROR(INDEX(SelectedSpecies,SMALL(IF(SelectedSpecies=AK$1,ROW(SelectedSpecies)),ROW(3475:3475)),2),"")</f>
        <v/>
      </c>
      <c r="BE3474" s="10"/>
      <c r="BI3474" s="10"/>
    </row>
    <row r="3475" spans="1:61" ht="21" customHeight="1" x14ac:dyDescent="0.25">
      <c r="A3475" s="10"/>
      <c r="B3475" s="10"/>
      <c r="E3475" s="10"/>
      <c r="G3475" s="10"/>
      <c r="I3475" s="436" t="s">
        <v>339</v>
      </c>
      <c r="J3475" s="26" t="s">
        <v>338</v>
      </c>
      <c r="K3475" s="10">
        <v>417</v>
      </c>
      <c r="L3475" s="73">
        <f>IF(Tank1!$C$23="No control",(SUMIF(Tank1!$B$32:$B$49,$J3475,Tank1!$C$32:$C$49)*Impacts!$F$8),0)</f>
        <v>0</v>
      </c>
      <c r="M3475" s="10">
        <f>IF(Tank2!$C$23="No control",(SUMIF(Tank2!$B$32:$B$49,$J3475,Tank2!$C$32:$C$49)*Impacts!$F$9),0)</f>
        <v>0</v>
      </c>
      <c r="N3475" s="10">
        <f>IF(Tank3!$C$23="No control",(SUMIF(Tank3!$B$32:$B$49,$J3475,Tank3!$C$32:$C$49)*Impacts!$F$10),0)</f>
        <v>0</v>
      </c>
      <c r="O3475" s="10">
        <f>IF(Tank4!$C$23="No control",(SUMIF(Tank4!$B$32:$B$49,$J3475,Tank4!$C$32:$C$49)*Impacts!$F$11),0)</f>
        <v>0</v>
      </c>
      <c r="P3475" s="10">
        <f>IF(Tank5!$C$23="No control",(SUMIF(Tank5!$B$32:$B$49,$J3475,Tank5!$C$32:$C$49)*Impacts!$F$12),0)</f>
        <v>0</v>
      </c>
      <c r="Q3475" s="10">
        <f>IFERROR(IF(('Loading-drum,tote'!$C$21)="No control",SUMIF(('Loading-drum,tote'!$B$31:$B$48),$J3475,('Loading-drum,tote'!$D$31:$D$48))*Impacts!$F$13,IF(('Loading-drum,tote'!$C$21)&lt;&gt;"No control",SUMIF(('Loading-drum,tote'!$B$31:$B$48),$J3475,('Loading-drum,tote'!$E$31:$E$48))*Impacts!$F$13,0)),0)</f>
        <v>0</v>
      </c>
      <c r="R3475" s="10">
        <f>IFERROR(IF(('Loading-truck'!$C$21)="No control",SUMIF(('Loading-truck'!$B$31:$B$48),$J3475,('Loading-truck'!$D$31:$D$48))*Impacts!$F$14,IF(('Loading-truck'!$C$21)&lt;&gt;"No control",SUMIF(('Loading-truck'!$B$31:$B$48),$J3475,('Loading-truck'!$E$31:$E$48))*Impacts!$F$14,0)),0)</f>
        <v>0</v>
      </c>
      <c r="S3475" s="10">
        <f>IFERROR(IF(('Loading-rail'!$C$21)="No control",SUMIF(('Loading-rail'!$B$31:$B$48),$J3475,('Loading-rail'!$D$31:$D$48))*Impacts!$F$15,IF(('Loading-rail'!$C$21)&lt;&gt;"No control",SUMIF(('Loading-rail'!$B$31:$B$48),$J3475,('Loading-rail'!$E$31:$E$48))*Impacts!$F$15,0)),0)</f>
        <v>0</v>
      </c>
      <c r="T3475" s="10">
        <f>IF(Flare!$C$7="",0,(SUMIF(Flare!$B$46:$B$185,$J3475,Flare!$E$46:$E$185)*Impacts!$F$16))</f>
        <v>0</v>
      </c>
      <c r="U3475" s="10">
        <f>IF(VCU!$C$9="",0,(SUMIF(VCU!$B$51:$B$193,$J3475,VCU!$E$51:$E$193)*Impacts!$F$17))</f>
        <v>0</v>
      </c>
      <c r="V3475" s="10">
        <f>IF(CAS!$C$7="",0,(SUMIF(CAS!$B$31:$B$167,$J3475,CAS!$E$31:$E$167)*Impacts!$F$18))</f>
        <v>0</v>
      </c>
      <c r="W3475" s="10">
        <f t="shared" si="94"/>
        <v>0</v>
      </c>
      <c r="AK3475" s="10" t="str">
        <f t="array" ref="AK3475">IFERROR(INDEX(SelectedSpecies,SMALL(IF(SelectedSpecies=AK$1,ROW(SelectedSpecies)),ROW(3476:3476)),2),"")</f>
        <v/>
      </c>
      <c r="BE3475" s="10"/>
      <c r="BI3475" s="10"/>
    </row>
    <row r="3476" spans="1:61" ht="21" customHeight="1" x14ac:dyDescent="0.25">
      <c r="A3476" s="10"/>
      <c r="B3476" s="10"/>
      <c r="E3476" s="10"/>
      <c r="G3476" s="10"/>
      <c r="I3476" s="436" t="s">
        <v>341</v>
      </c>
      <c r="J3476" s="26" t="s">
        <v>340</v>
      </c>
      <c r="K3476" s="10">
        <v>417</v>
      </c>
      <c r="L3476" s="73">
        <f>IF(Tank1!$C$23="No control",(SUMIF(Tank1!$B$32:$B$49,$J3476,Tank1!$C$32:$C$49)*Impacts!$F$8),0)</f>
        <v>0</v>
      </c>
      <c r="M3476" s="10">
        <f>IF(Tank2!$C$23="No control",(SUMIF(Tank2!$B$32:$B$49,$J3476,Tank2!$C$32:$C$49)*Impacts!$F$9),0)</f>
        <v>0</v>
      </c>
      <c r="N3476" s="10">
        <f>IF(Tank3!$C$23="No control",(SUMIF(Tank3!$B$32:$B$49,$J3476,Tank3!$C$32:$C$49)*Impacts!$F$10),0)</f>
        <v>0</v>
      </c>
      <c r="O3476" s="10">
        <f>IF(Tank4!$C$23="No control",(SUMIF(Tank4!$B$32:$B$49,$J3476,Tank4!$C$32:$C$49)*Impacts!$F$11),0)</f>
        <v>0</v>
      </c>
      <c r="P3476" s="10">
        <f>IF(Tank5!$C$23="No control",(SUMIF(Tank5!$B$32:$B$49,$J3476,Tank5!$C$32:$C$49)*Impacts!$F$12),0)</f>
        <v>0</v>
      </c>
      <c r="Q3476" s="10">
        <f>IFERROR(IF(('Loading-drum,tote'!$C$21)="No control",SUMIF(('Loading-drum,tote'!$B$31:$B$48),$J3476,('Loading-drum,tote'!$D$31:$D$48))*Impacts!$F$13,IF(('Loading-drum,tote'!$C$21)&lt;&gt;"No control",SUMIF(('Loading-drum,tote'!$B$31:$B$48),$J3476,('Loading-drum,tote'!$E$31:$E$48))*Impacts!$F$13,0)),0)</f>
        <v>0</v>
      </c>
      <c r="R3476" s="10">
        <f>IFERROR(IF(('Loading-truck'!$C$21)="No control",SUMIF(('Loading-truck'!$B$31:$B$48),$J3476,('Loading-truck'!$D$31:$D$48))*Impacts!$F$14,IF(('Loading-truck'!$C$21)&lt;&gt;"No control",SUMIF(('Loading-truck'!$B$31:$B$48),$J3476,('Loading-truck'!$E$31:$E$48))*Impacts!$F$14,0)),0)</f>
        <v>0</v>
      </c>
      <c r="S3476" s="10">
        <f>IFERROR(IF(('Loading-rail'!$C$21)="No control",SUMIF(('Loading-rail'!$B$31:$B$48),$J3476,('Loading-rail'!$D$31:$D$48))*Impacts!$F$15,IF(('Loading-rail'!$C$21)&lt;&gt;"No control",SUMIF(('Loading-rail'!$B$31:$B$48),$J3476,('Loading-rail'!$E$31:$E$48))*Impacts!$F$15,0)),0)</f>
        <v>0</v>
      </c>
      <c r="T3476" s="10">
        <f>IF(Flare!$C$7="",0,(SUMIF(Flare!$B$46:$B$185,$J3476,Flare!$E$46:$E$185)*Impacts!$F$16))</f>
        <v>0</v>
      </c>
      <c r="U3476" s="10">
        <f>IF(VCU!$C$9="",0,(SUMIF(VCU!$B$51:$B$193,$J3476,VCU!$E$51:$E$193)*Impacts!$F$17))</f>
        <v>0</v>
      </c>
      <c r="V3476" s="10">
        <f>IF(CAS!$C$7="",0,(SUMIF(CAS!$B$31:$B$167,$J3476,CAS!$E$31:$E$167)*Impacts!$F$18))</f>
        <v>0</v>
      </c>
      <c r="W3476" s="10">
        <f t="shared" si="94"/>
        <v>0</v>
      </c>
      <c r="AK3476" s="10" t="str">
        <f t="array" ref="AK3476">IFERROR(INDEX(SelectedSpecies,SMALL(IF(SelectedSpecies=AK$1,ROW(SelectedSpecies)),ROW(3477:3477)),2),"")</f>
        <v/>
      </c>
      <c r="BE3476" s="10"/>
      <c r="BI3476" s="10"/>
    </row>
    <row r="3477" spans="1:61" ht="21" customHeight="1" x14ac:dyDescent="0.25">
      <c r="A3477" s="10"/>
      <c r="B3477" s="10"/>
      <c r="E3477" s="10"/>
      <c r="G3477" s="10"/>
      <c r="I3477" s="436" t="s">
        <v>347</v>
      </c>
      <c r="J3477" s="26" t="s">
        <v>346</v>
      </c>
      <c r="K3477" s="10">
        <v>380</v>
      </c>
      <c r="L3477" s="73">
        <f>IF(Tank1!$C$23="No control",(SUMIF(Tank1!$B$32:$B$49,$J3477,Tank1!$C$32:$C$49)*Impacts!$F$8),0)</f>
        <v>0</v>
      </c>
      <c r="M3477" s="10">
        <f>IF(Tank2!$C$23="No control",(SUMIF(Tank2!$B$32:$B$49,$J3477,Tank2!$C$32:$C$49)*Impacts!$F$9),0)</f>
        <v>0</v>
      </c>
      <c r="N3477" s="10">
        <f>IF(Tank3!$C$23="No control",(SUMIF(Tank3!$B$32:$B$49,$J3477,Tank3!$C$32:$C$49)*Impacts!$F$10),0)</f>
        <v>0</v>
      </c>
      <c r="O3477" s="10">
        <f>IF(Tank4!$C$23="No control",(SUMIF(Tank4!$B$32:$B$49,$J3477,Tank4!$C$32:$C$49)*Impacts!$F$11),0)</f>
        <v>0</v>
      </c>
      <c r="P3477" s="10">
        <f>IF(Tank5!$C$23="No control",(SUMIF(Tank5!$B$32:$B$49,$J3477,Tank5!$C$32:$C$49)*Impacts!$F$12),0)</f>
        <v>0</v>
      </c>
      <c r="Q3477" s="10">
        <f>IFERROR(IF(('Loading-drum,tote'!$C$21)="No control",SUMIF(('Loading-drum,tote'!$B$31:$B$48),$J3477,('Loading-drum,tote'!$D$31:$D$48))*Impacts!$F$13,IF(('Loading-drum,tote'!$C$21)&lt;&gt;"No control",SUMIF(('Loading-drum,tote'!$B$31:$B$48),$J3477,('Loading-drum,tote'!$E$31:$E$48))*Impacts!$F$13,0)),0)</f>
        <v>0</v>
      </c>
      <c r="R3477" s="10">
        <f>IFERROR(IF(('Loading-truck'!$C$21)="No control",SUMIF(('Loading-truck'!$B$31:$B$48),$J3477,('Loading-truck'!$D$31:$D$48))*Impacts!$F$14,IF(('Loading-truck'!$C$21)&lt;&gt;"No control",SUMIF(('Loading-truck'!$B$31:$B$48),$J3477,('Loading-truck'!$E$31:$E$48))*Impacts!$F$14,0)),0)</f>
        <v>0</v>
      </c>
      <c r="S3477" s="10">
        <f>IFERROR(IF(('Loading-rail'!$C$21)="No control",SUMIF(('Loading-rail'!$B$31:$B$48),$J3477,('Loading-rail'!$D$31:$D$48))*Impacts!$F$15,IF(('Loading-rail'!$C$21)&lt;&gt;"No control",SUMIF(('Loading-rail'!$B$31:$B$48),$J3477,('Loading-rail'!$E$31:$E$48))*Impacts!$F$15,0)),0)</f>
        <v>0</v>
      </c>
      <c r="T3477" s="10">
        <f>IF(Flare!$C$7="",0,(SUMIF(Flare!$B$46:$B$185,$J3477,Flare!$E$46:$E$185)*Impacts!$F$16))</f>
        <v>0</v>
      </c>
      <c r="U3477" s="10">
        <f>IF(VCU!$C$9="",0,(SUMIF(VCU!$B$51:$B$193,$J3477,VCU!$E$51:$E$193)*Impacts!$F$17))</f>
        <v>0</v>
      </c>
      <c r="V3477" s="10">
        <f>IF(CAS!$C$7="",0,(SUMIF(CAS!$B$31:$B$167,$J3477,CAS!$E$31:$E$167)*Impacts!$F$18))</f>
        <v>0</v>
      </c>
      <c r="W3477" s="10">
        <f t="shared" si="94"/>
        <v>0</v>
      </c>
      <c r="AK3477" s="10" t="str">
        <f t="array" ref="AK3477">IFERROR(INDEX(SelectedSpecies,SMALL(IF(SelectedSpecies=AK$1,ROW(SelectedSpecies)),ROW(3478:3478)),2),"")</f>
        <v/>
      </c>
      <c r="BE3477" s="10"/>
      <c r="BI3477" s="10"/>
    </row>
    <row r="3478" spans="1:61" ht="21" customHeight="1" x14ac:dyDescent="0.25">
      <c r="A3478" s="10"/>
      <c r="B3478" s="10"/>
      <c r="E3478" s="10"/>
      <c r="G3478" s="10"/>
      <c r="I3478" s="436" t="s">
        <v>313</v>
      </c>
      <c r="J3478" s="26" t="s">
        <v>312</v>
      </c>
      <c r="K3478" s="10">
        <v>700</v>
      </c>
      <c r="L3478" s="73">
        <f>IF(Tank1!$C$23="No control",(SUMIF(Tank1!$B$32:$B$49,$J3478,Tank1!$C$32:$C$49)*Impacts!$F$8),0)</f>
        <v>0</v>
      </c>
      <c r="M3478" s="10">
        <f>IF(Tank2!$C$23="No control",(SUMIF(Tank2!$B$32:$B$49,$J3478,Tank2!$C$32:$C$49)*Impacts!$F$9),0)</f>
        <v>0</v>
      </c>
      <c r="N3478" s="10">
        <f>IF(Tank3!$C$23="No control",(SUMIF(Tank3!$B$32:$B$49,$J3478,Tank3!$C$32:$C$49)*Impacts!$F$10),0)</f>
        <v>0</v>
      </c>
      <c r="O3478" s="10">
        <f>IF(Tank4!$C$23="No control",(SUMIF(Tank4!$B$32:$B$49,$J3478,Tank4!$C$32:$C$49)*Impacts!$F$11),0)</f>
        <v>0</v>
      </c>
      <c r="P3478" s="10">
        <f>IF(Tank5!$C$23="No control",(SUMIF(Tank5!$B$32:$B$49,$J3478,Tank5!$C$32:$C$49)*Impacts!$F$12),0)</f>
        <v>0</v>
      </c>
      <c r="Q3478" s="10">
        <f>IFERROR(IF(('Loading-drum,tote'!$C$21)="No control",SUMIF(('Loading-drum,tote'!$B$31:$B$48),$J3478,('Loading-drum,tote'!$D$31:$D$48))*Impacts!$F$13,IF(('Loading-drum,tote'!$C$21)&lt;&gt;"No control",SUMIF(('Loading-drum,tote'!$B$31:$B$48),$J3478,('Loading-drum,tote'!$E$31:$E$48))*Impacts!$F$13,0)),0)</f>
        <v>0</v>
      </c>
      <c r="R3478" s="10">
        <f>IFERROR(IF(('Loading-truck'!$C$21)="No control",SUMIF(('Loading-truck'!$B$31:$B$48),$J3478,('Loading-truck'!$D$31:$D$48))*Impacts!$F$14,IF(('Loading-truck'!$C$21)&lt;&gt;"No control",SUMIF(('Loading-truck'!$B$31:$B$48),$J3478,('Loading-truck'!$E$31:$E$48))*Impacts!$F$14,0)),0)</f>
        <v>0</v>
      </c>
      <c r="S3478" s="10">
        <f>IFERROR(IF(('Loading-rail'!$C$21)="No control",SUMIF(('Loading-rail'!$B$31:$B$48),$J3478,('Loading-rail'!$D$31:$D$48))*Impacts!$F$15,IF(('Loading-rail'!$C$21)&lt;&gt;"No control",SUMIF(('Loading-rail'!$B$31:$B$48),$J3478,('Loading-rail'!$E$31:$E$48))*Impacts!$F$15,0)),0)</f>
        <v>0</v>
      </c>
      <c r="T3478" s="10">
        <f>IF(Flare!$C$7="",0,(SUMIF(Flare!$B$46:$B$185,$J3478,Flare!$E$46:$E$185)*Impacts!$F$16))</f>
        <v>0</v>
      </c>
      <c r="U3478" s="10">
        <f>IF(VCU!$C$9="",0,(SUMIF(VCU!$B$51:$B$193,$J3478,VCU!$E$51:$E$193)*Impacts!$F$17))</f>
        <v>0</v>
      </c>
      <c r="V3478" s="10">
        <f>IF(CAS!$C$7="",0,(SUMIF(CAS!$B$31:$B$167,$J3478,CAS!$E$31:$E$167)*Impacts!$F$18))</f>
        <v>0</v>
      </c>
      <c r="W3478" s="10">
        <f t="shared" si="94"/>
        <v>0</v>
      </c>
      <c r="AK3478" s="10" t="str">
        <f t="array" ref="AK3478">IFERROR(INDEX(SelectedSpecies,SMALL(IF(SelectedSpecies=AK$1,ROW(SelectedSpecies)),ROW(3479:3479)),2),"")</f>
        <v/>
      </c>
      <c r="BE3478" s="10"/>
      <c r="BI3478" s="10"/>
    </row>
    <row r="3479" spans="1:61" ht="21" customHeight="1" x14ac:dyDescent="0.25">
      <c r="A3479" s="10"/>
      <c r="B3479" s="10"/>
      <c r="E3479" s="10"/>
      <c r="G3479" s="10"/>
      <c r="I3479" s="436" t="s">
        <v>315</v>
      </c>
      <c r="J3479" s="26" t="s">
        <v>314</v>
      </c>
      <c r="K3479" s="10">
        <v>630</v>
      </c>
      <c r="L3479" s="73">
        <f>IF(Tank1!$C$23="No control",(SUMIF(Tank1!$B$32:$B$49,$J3479,Tank1!$C$32:$C$49)*Impacts!$F$8),0)</f>
        <v>0</v>
      </c>
      <c r="M3479" s="10">
        <f>IF(Tank2!$C$23="No control",(SUMIF(Tank2!$B$32:$B$49,$J3479,Tank2!$C$32:$C$49)*Impacts!$F$9),0)</f>
        <v>0</v>
      </c>
      <c r="N3479" s="10">
        <f>IF(Tank3!$C$23="No control",(SUMIF(Tank3!$B$32:$B$49,$J3479,Tank3!$C$32:$C$49)*Impacts!$F$10),0)</f>
        <v>0</v>
      </c>
      <c r="O3479" s="10">
        <f>IF(Tank4!$C$23="No control",(SUMIF(Tank4!$B$32:$B$49,$J3479,Tank4!$C$32:$C$49)*Impacts!$F$11),0)</f>
        <v>0</v>
      </c>
      <c r="P3479" s="10">
        <f>IF(Tank5!$C$23="No control",(SUMIF(Tank5!$B$32:$B$49,$J3479,Tank5!$C$32:$C$49)*Impacts!$F$12),0)</f>
        <v>0</v>
      </c>
      <c r="Q3479" s="10">
        <f>IFERROR(IF(('Loading-drum,tote'!$C$21)="No control",SUMIF(('Loading-drum,tote'!$B$31:$B$48),$J3479,('Loading-drum,tote'!$D$31:$D$48))*Impacts!$F$13,IF(('Loading-drum,tote'!$C$21)&lt;&gt;"No control",SUMIF(('Loading-drum,tote'!$B$31:$B$48),$J3479,('Loading-drum,tote'!$E$31:$E$48))*Impacts!$F$13,0)),0)</f>
        <v>0</v>
      </c>
      <c r="R3479" s="10">
        <f>IFERROR(IF(('Loading-truck'!$C$21)="No control",SUMIF(('Loading-truck'!$B$31:$B$48),$J3479,('Loading-truck'!$D$31:$D$48))*Impacts!$F$14,IF(('Loading-truck'!$C$21)&lt;&gt;"No control",SUMIF(('Loading-truck'!$B$31:$B$48),$J3479,('Loading-truck'!$E$31:$E$48))*Impacts!$F$14,0)),0)</f>
        <v>0</v>
      </c>
      <c r="S3479" s="10">
        <f>IFERROR(IF(('Loading-rail'!$C$21)="No control",SUMIF(('Loading-rail'!$B$31:$B$48),$J3479,('Loading-rail'!$D$31:$D$48))*Impacts!$F$15,IF(('Loading-rail'!$C$21)&lt;&gt;"No control",SUMIF(('Loading-rail'!$B$31:$B$48),$J3479,('Loading-rail'!$E$31:$E$48))*Impacts!$F$15,0)),0)</f>
        <v>0</v>
      </c>
      <c r="T3479" s="10">
        <f>IF(Flare!$C$7="",0,(SUMIF(Flare!$B$46:$B$185,$J3479,Flare!$E$46:$E$185)*Impacts!$F$16))</f>
        <v>0</v>
      </c>
      <c r="U3479" s="10">
        <f>IF(VCU!$C$9="",0,(SUMIF(VCU!$B$51:$B$193,$J3479,VCU!$E$51:$E$193)*Impacts!$F$17))</f>
        <v>0</v>
      </c>
      <c r="V3479" s="10">
        <f>IF(CAS!$C$7="",0,(SUMIF(CAS!$B$31:$B$167,$J3479,CAS!$E$31:$E$167)*Impacts!$F$18))</f>
        <v>0</v>
      </c>
      <c r="W3479" s="10">
        <f t="shared" si="94"/>
        <v>0</v>
      </c>
      <c r="AK3479" s="10" t="str">
        <f t="array" ref="AK3479">IFERROR(INDEX(SelectedSpecies,SMALL(IF(SelectedSpecies=AK$1,ROW(SelectedSpecies)),ROW(3480:3480)),2),"")</f>
        <v/>
      </c>
      <c r="BE3479" s="10"/>
      <c r="BI3479" s="10"/>
    </row>
    <row r="3480" spans="1:61" ht="21" customHeight="1" x14ac:dyDescent="0.25">
      <c r="A3480" s="10"/>
      <c r="B3480" s="10"/>
      <c r="E3480" s="10"/>
      <c r="G3480" s="10"/>
      <c r="I3480" s="436" t="s">
        <v>560</v>
      </c>
      <c r="J3480" s="26" t="s">
        <v>559</v>
      </c>
      <c r="K3480" s="10">
        <v>100</v>
      </c>
      <c r="L3480" s="73">
        <f>IF(Tank1!$C$23="No control",(SUMIF(Tank1!$B$32:$B$49,$J3480,Tank1!$C$32:$C$49)*Impacts!$F$8),0)</f>
        <v>0</v>
      </c>
      <c r="M3480" s="10">
        <f>IF(Tank2!$C$23="No control",(SUMIF(Tank2!$B$32:$B$49,$J3480,Tank2!$C$32:$C$49)*Impacts!$F$9),0)</f>
        <v>0</v>
      </c>
      <c r="N3480" s="10">
        <f>IF(Tank3!$C$23="No control",(SUMIF(Tank3!$B$32:$B$49,$J3480,Tank3!$C$32:$C$49)*Impacts!$F$10),0)</f>
        <v>0</v>
      </c>
      <c r="O3480" s="10">
        <f>IF(Tank4!$C$23="No control",(SUMIF(Tank4!$B$32:$B$49,$J3480,Tank4!$C$32:$C$49)*Impacts!$F$11),0)</f>
        <v>0</v>
      </c>
      <c r="P3480" s="10">
        <f>IF(Tank5!$C$23="No control",(SUMIF(Tank5!$B$32:$B$49,$J3480,Tank5!$C$32:$C$49)*Impacts!$F$12),0)</f>
        <v>0</v>
      </c>
      <c r="Q3480" s="10">
        <f>IFERROR(IF(('Loading-drum,tote'!$C$21)="No control",SUMIF(('Loading-drum,tote'!$B$31:$B$48),$J3480,('Loading-drum,tote'!$D$31:$D$48))*Impacts!$F$13,IF(('Loading-drum,tote'!$C$21)&lt;&gt;"No control",SUMIF(('Loading-drum,tote'!$B$31:$B$48),$J3480,('Loading-drum,tote'!$E$31:$E$48))*Impacts!$F$13,0)),0)</f>
        <v>0</v>
      </c>
      <c r="R3480" s="10">
        <f>IFERROR(IF(('Loading-truck'!$C$21)="No control",SUMIF(('Loading-truck'!$B$31:$B$48),$J3480,('Loading-truck'!$D$31:$D$48))*Impacts!$F$14,IF(('Loading-truck'!$C$21)&lt;&gt;"No control",SUMIF(('Loading-truck'!$B$31:$B$48),$J3480,('Loading-truck'!$E$31:$E$48))*Impacts!$F$14,0)),0)</f>
        <v>0</v>
      </c>
      <c r="S3480" s="10">
        <f>IFERROR(IF(('Loading-rail'!$C$21)="No control",SUMIF(('Loading-rail'!$B$31:$B$48),$J3480,('Loading-rail'!$D$31:$D$48))*Impacts!$F$15,IF(('Loading-rail'!$C$21)&lt;&gt;"No control",SUMIF(('Loading-rail'!$B$31:$B$48),$J3480,('Loading-rail'!$E$31:$E$48))*Impacts!$F$15,0)),0)</f>
        <v>0</v>
      </c>
      <c r="T3480" s="10">
        <f>IF(Flare!$C$7="",0,(SUMIF(Flare!$B$46:$B$185,$J3480,Flare!$E$46:$E$185)*Impacts!$F$16))</f>
        <v>0</v>
      </c>
      <c r="U3480" s="10">
        <f>IF(VCU!$C$9="",0,(SUMIF(VCU!$B$51:$B$193,$J3480,VCU!$E$51:$E$193)*Impacts!$F$17))</f>
        <v>0</v>
      </c>
      <c r="V3480" s="10">
        <f>IF(CAS!$C$7="",0,(SUMIF(CAS!$B$31:$B$167,$J3480,CAS!$E$31:$E$167)*Impacts!$F$18))</f>
        <v>0</v>
      </c>
      <c r="W3480" s="10">
        <f t="shared" si="94"/>
        <v>0</v>
      </c>
      <c r="AK3480" s="10" t="str">
        <f t="array" ref="AK3480">IFERROR(INDEX(SelectedSpecies,SMALL(IF(SelectedSpecies=AK$1,ROW(SelectedSpecies)),ROW(3481:3481)),2),"")</f>
        <v/>
      </c>
      <c r="BE3480" s="10"/>
      <c r="BI3480" s="10"/>
    </row>
    <row r="3481" spans="1:61" ht="21" customHeight="1" x14ac:dyDescent="0.25">
      <c r="A3481" s="10"/>
      <c r="B3481" s="10"/>
      <c r="E3481" s="10"/>
      <c r="G3481" s="10"/>
      <c r="I3481" s="436" t="s">
        <v>6404</v>
      </c>
      <c r="J3481" s="26" t="s">
        <v>6403</v>
      </c>
      <c r="K3481" s="10">
        <v>0.81</v>
      </c>
      <c r="L3481" s="73">
        <f>IF(Tank1!$C$23="No control",(SUMIF(Tank1!$B$32:$B$49,$J3481,Tank1!$C$32:$C$49)*Impacts!$F$8),0)</f>
        <v>0</v>
      </c>
      <c r="M3481" s="10">
        <f>IF(Tank2!$C$23="No control",(SUMIF(Tank2!$B$32:$B$49,$J3481,Tank2!$C$32:$C$49)*Impacts!$F$9),0)</f>
        <v>0</v>
      </c>
      <c r="N3481" s="10">
        <f>IF(Tank3!$C$23="No control",(SUMIF(Tank3!$B$32:$B$49,$J3481,Tank3!$C$32:$C$49)*Impacts!$F$10),0)</f>
        <v>0</v>
      </c>
      <c r="O3481" s="10">
        <f>IF(Tank4!$C$23="No control",(SUMIF(Tank4!$B$32:$B$49,$J3481,Tank4!$C$32:$C$49)*Impacts!$F$11),0)</f>
        <v>0</v>
      </c>
      <c r="P3481" s="10">
        <f>IF(Tank5!$C$23="No control",(SUMIF(Tank5!$B$32:$B$49,$J3481,Tank5!$C$32:$C$49)*Impacts!$F$12),0)</f>
        <v>0</v>
      </c>
      <c r="Q3481" s="10">
        <f>IFERROR(IF(('Loading-drum,tote'!$C$21)="No control",SUMIF(('Loading-drum,tote'!$B$31:$B$48),$J3481,('Loading-drum,tote'!$D$31:$D$48))*Impacts!$F$13,IF(('Loading-drum,tote'!$C$21)&lt;&gt;"No control",SUMIF(('Loading-drum,tote'!$B$31:$B$48),$J3481,('Loading-drum,tote'!$E$31:$E$48))*Impacts!$F$13,0)),0)</f>
        <v>0</v>
      </c>
      <c r="R3481" s="10">
        <f>IFERROR(IF(('Loading-truck'!$C$21)="No control",SUMIF(('Loading-truck'!$B$31:$B$48),$J3481,('Loading-truck'!$D$31:$D$48))*Impacts!$F$14,IF(('Loading-truck'!$C$21)&lt;&gt;"No control",SUMIF(('Loading-truck'!$B$31:$B$48),$J3481,('Loading-truck'!$E$31:$E$48))*Impacts!$F$14,0)),0)</f>
        <v>0</v>
      </c>
      <c r="S3481" s="10">
        <f>IFERROR(IF(('Loading-rail'!$C$21)="No control",SUMIF(('Loading-rail'!$B$31:$B$48),$J3481,('Loading-rail'!$D$31:$D$48))*Impacts!$F$15,IF(('Loading-rail'!$C$21)&lt;&gt;"No control",SUMIF(('Loading-rail'!$B$31:$B$48),$J3481,('Loading-rail'!$E$31:$E$48))*Impacts!$F$15,0)),0)</f>
        <v>0</v>
      </c>
      <c r="T3481" s="10">
        <f>IF(Flare!$C$7="",0,(SUMIF(Flare!$B$46:$B$185,$J3481,Flare!$E$46:$E$185)*Impacts!$F$16))</f>
        <v>0</v>
      </c>
      <c r="U3481" s="10">
        <f>IF(VCU!$C$9="",0,(SUMIF(VCU!$B$51:$B$193,$J3481,VCU!$E$51:$E$193)*Impacts!$F$17))</f>
        <v>0</v>
      </c>
      <c r="V3481" s="10">
        <f>IF(CAS!$C$7="",0,(SUMIF(CAS!$B$31:$B$167,$J3481,CAS!$E$31:$E$167)*Impacts!$F$18))</f>
        <v>0</v>
      </c>
      <c r="W3481" s="10">
        <f t="shared" si="94"/>
        <v>0</v>
      </c>
      <c r="AK3481" s="10" t="str">
        <f t="array" ref="AK3481">IFERROR(INDEX(SelectedSpecies,SMALL(IF(SelectedSpecies=AK$1,ROW(SelectedSpecies)),ROW(3482:3482)),2),"")</f>
        <v/>
      </c>
      <c r="BE3481" s="10"/>
      <c r="BI3481" s="10"/>
    </row>
    <row r="3482" spans="1:61" ht="21" customHeight="1" x14ac:dyDescent="0.25">
      <c r="A3482" s="10"/>
      <c r="B3482" s="10"/>
      <c r="E3482" s="10"/>
      <c r="G3482" s="10"/>
      <c r="I3482" s="436" t="s">
        <v>6404</v>
      </c>
      <c r="J3482" s="26" t="s">
        <v>10407</v>
      </c>
      <c r="K3482" s="10">
        <v>5.6999999999999995E-2</v>
      </c>
      <c r="L3482" s="73">
        <f>IF(Tank1!$C$23="No control",(SUMIF(Tank1!$B$32:$B$49,$J3482,Tank1!$C$32:$C$49)*Impacts!$F$8),0)</f>
        <v>0</v>
      </c>
      <c r="M3482" s="10">
        <f>IF(Tank2!$C$23="No control",(SUMIF(Tank2!$B$32:$B$49,$J3482,Tank2!$C$32:$C$49)*Impacts!$F$9),0)</f>
        <v>0</v>
      </c>
      <c r="N3482" s="10">
        <f>IF(Tank3!$C$23="No control",(SUMIF(Tank3!$B$32:$B$49,$J3482,Tank3!$C$32:$C$49)*Impacts!$F$10),0)</f>
        <v>0</v>
      </c>
      <c r="O3482" s="10">
        <f>IF(Tank4!$C$23="No control",(SUMIF(Tank4!$B$32:$B$49,$J3482,Tank4!$C$32:$C$49)*Impacts!$F$11),0)</f>
        <v>0</v>
      </c>
      <c r="P3482" s="10">
        <f>IF(Tank5!$C$23="No control",(SUMIF(Tank5!$B$32:$B$49,$J3482,Tank5!$C$32:$C$49)*Impacts!$F$12),0)</f>
        <v>0</v>
      </c>
      <c r="Q3482" s="10">
        <f>IFERROR(IF(('Loading-drum,tote'!$C$21)="No control",SUMIF(('Loading-drum,tote'!$B$31:$B$48),$J3482,('Loading-drum,tote'!$D$31:$D$48))*Impacts!$F$13,IF(('Loading-drum,tote'!$C$21)&lt;&gt;"No control",SUMIF(('Loading-drum,tote'!$B$31:$B$48),$J3482,('Loading-drum,tote'!$E$31:$E$48))*Impacts!$F$13,0)),0)</f>
        <v>0</v>
      </c>
      <c r="R3482" s="10">
        <f>IFERROR(IF(('Loading-truck'!$C$21)="No control",SUMIF(('Loading-truck'!$B$31:$B$48),$J3482,('Loading-truck'!$D$31:$D$48))*Impacts!$F$14,IF(('Loading-truck'!$C$21)&lt;&gt;"No control",SUMIF(('Loading-truck'!$B$31:$B$48),$J3482,('Loading-truck'!$E$31:$E$48))*Impacts!$F$14,0)),0)</f>
        <v>0</v>
      </c>
      <c r="S3482" s="10">
        <f>IFERROR(IF(('Loading-rail'!$C$21)="No control",SUMIF(('Loading-rail'!$B$31:$B$48),$J3482,('Loading-rail'!$D$31:$D$48))*Impacts!$F$15,IF(('Loading-rail'!$C$21)&lt;&gt;"No control",SUMIF(('Loading-rail'!$B$31:$B$48),$J3482,('Loading-rail'!$E$31:$E$48))*Impacts!$F$15,0)),0)</f>
        <v>0</v>
      </c>
      <c r="T3482" s="10">
        <f>IF(Flare!$C$7="",0,(SUMIF(Flare!$B$46:$B$185,$J3482,Flare!$E$46:$E$185)*Impacts!$F$16))</f>
        <v>0</v>
      </c>
      <c r="U3482" s="10">
        <f>IF(VCU!$C$9="",0,(SUMIF(VCU!$B$51:$B$193,$J3482,VCU!$E$51:$E$193)*Impacts!$F$17))</f>
        <v>0</v>
      </c>
      <c r="V3482" s="10">
        <f>IF(CAS!$C$7="",0,(SUMIF(CAS!$B$31:$B$167,$J3482,CAS!$E$31:$E$167)*Impacts!$F$18))</f>
        <v>0</v>
      </c>
      <c r="W3482" s="10">
        <f t="shared" ref="W3482:W3545" si="95">SUM(L3482:V3482)</f>
        <v>0</v>
      </c>
      <c r="AK3482" s="10" t="str">
        <f t="array" ref="AK3482">IFERROR(INDEX(SelectedSpecies,SMALL(IF(SelectedSpecies=AK$1,ROW(SelectedSpecies)),ROW(3483:3483)),2),"")</f>
        <v/>
      </c>
      <c r="BE3482" s="10"/>
      <c r="BI3482" s="10"/>
    </row>
    <row r="3483" spans="1:61" ht="21" customHeight="1" x14ac:dyDescent="0.25">
      <c r="A3483" s="10"/>
      <c r="B3483" s="10"/>
      <c r="E3483" s="10"/>
      <c r="G3483" s="10"/>
      <c r="I3483" s="436" t="s">
        <v>6404</v>
      </c>
      <c r="J3483" s="26" t="s">
        <v>10408</v>
      </c>
      <c r="K3483" s="10">
        <v>7.0999999999999994E-2</v>
      </c>
      <c r="L3483" s="73">
        <f>IF(Tank1!$C$23="No control",(SUMIF(Tank1!$B$32:$B$49,$J3483,Tank1!$C$32:$C$49)*Impacts!$F$8),0)</f>
        <v>0</v>
      </c>
      <c r="M3483" s="10">
        <f>IF(Tank2!$C$23="No control",(SUMIF(Tank2!$B$32:$B$49,$J3483,Tank2!$C$32:$C$49)*Impacts!$F$9),0)</f>
        <v>0</v>
      </c>
      <c r="N3483" s="10">
        <f>IF(Tank3!$C$23="No control",(SUMIF(Tank3!$B$32:$B$49,$J3483,Tank3!$C$32:$C$49)*Impacts!$F$10),0)</f>
        <v>0</v>
      </c>
      <c r="O3483" s="10">
        <f>IF(Tank4!$C$23="No control",(SUMIF(Tank4!$B$32:$B$49,$J3483,Tank4!$C$32:$C$49)*Impacts!$F$11),0)</f>
        <v>0</v>
      </c>
      <c r="P3483" s="10">
        <f>IF(Tank5!$C$23="No control",(SUMIF(Tank5!$B$32:$B$49,$J3483,Tank5!$C$32:$C$49)*Impacts!$F$12),0)</f>
        <v>0</v>
      </c>
      <c r="Q3483" s="10">
        <f>IFERROR(IF(('Loading-drum,tote'!$C$21)="No control",SUMIF(('Loading-drum,tote'!$B$31:$B$48),$J3483,('Loading-drum,tote'!$D$31:$D$48))*Impacts!$F$13,IF(('Loading-drum,tote'!$C$21)&lt;&gt;"No control",SUMIF(('Loading-drum,tote'!$B$31:$B$48),$J3483,('Loading-drum,tote'!$E$31:$E$48))*Impacts!$F$13,0)),0)</f>
        <v>0</v>
      </c>
      <c r="R3483" s="10">
        <f>IFERROR(IF(('Loading-truck'!$C$21)="No control",SUMIF(('Loading-truck'!$B$31:$B$48),$J3483,('Loading-truck'!$D$31:$D$48))*Impacts!$F$14,IF(('Loading-truck'!$C$21)&lt;&gt;"No control",SUMIF(('Loading-truck'!$B$31:$B$48),$J3483,('Loading-truck'!$E$31:$E$48))*Impacts!$F$14,0)),0)</f>
        <v>0</v>
      </c>
      <c r="S3483" s="10">
        <f>IFERROR(IF(('Loading-rail'!$C$21)="No control",SUMIF(('Loading-rail'!$B$31:$B$48),$J3483,('Loading-rail'!$D$31:$D$48))*Impacts!$F$15,IF(('Loading-rail'!$C$21)&lt;&gt;"No control",SUMIF(('Loading-rail'!$B$31:$B$48),$J3483,('Loading-rail'!$E$31:$E$48))*Impacts!$F$15,0)),0)</f>
        <v>0</v>
      </c>
      <c r="T3483" s="10">
        <f>IF(Flare!$C$7="",0,(SUMIF(Flare!$B$46:$B$185,$J3483,Flare!$E$46:$E$185)*Impacts!$F$16))</f>
        <v>0</v>
      </c>
      <c r="U3483" s="10">
        <f>IF(VCU!$C$9="",0,(SUMIF(VCU!$B$51:$B$193,$J3483,VCU!$E$51:$E$193)*Impacts!$F$17))</f>
        <v>0</v>
      </c>
      <c r="V3483" s="10">
        <f>IF(CAS!$C$7="",0,(SUMIF(CAS!$B$31:$B$167,$J3483,CAS!$E$31:$E$167)*Impacts!$F$18))</f>
        <v>0</v>
      </c>
      <c r="W3483" s="10">
        <f t="shared" si="95"/>
        <v>0</v>
      </c>
      <c r="AK3483" s="10" t="str">
        <f t="array" ref="AK3483">IFERROR(INDEX(SelectedSpecies,SMALL(IF(SelectedSpecies=AK$1,ROW(SelectedSpecies)),ROW(3484:3484)),2),"")</f>
        <v/>
      </c>
      <c r="BE3483" s="10"/>
      <c r="BI3483" s="10"/>
    </row>
    <row r="3484" spans="1:61" ht="21" customHeight="1" x14ac:dyDescent="0.25">
      <c r="A3484" s="10"/>
      <c r="B3484" s="10"/>
      <c r="E3484" s="10"/>
      <c r="G3484" s="10"/>
      <c r="I3484" s="436" t="s">
        <v>562</v>
      </c>
      <c r="J3484" s="26" t="s">
        <v>561</v>
      </c>
      <c r="K3484" s="10">
        <v>100</v>
      </c>
      <c r="L3484" s="73">
        <f>IF(Tank1!$C$23="No control",(SUMIF(Tank1!$B$32:$B$49,$J3484,Tank1!$C$32:$C$49)*Impacts!$F$8),0)</f>
        <v>0</v>
      </c>
      <c r="M3484" s="10">
        <f>IF(Tank2!$C$23="No control",(SUMIF(Tank2!$B$32:$B$49,$J3484,Tank2!$C$32:$C$49)*Impacts!$F$9),0)</f>
        <v>0</v>
      </c>
      <c r="N3484" s="10">
        <f>IF(Tank3!$C$23="No control",(SUMIF(Tank3!$B$32:$B$49,$J3484,Tank3!$C$32:$C$49)*Impacts!$F$10),0)</f>
        <v>0</v>
      </c>
      <c r="O3484" s="10">
        <f>IF(Tank4!$C$23="No control",(SUMIF(Tank4!$B$32:$B$49,$J3484,Tank4!$C$32:$C$49)*Impacts!$F$11),0)</f>
        <v>0</v>
      </c>
      <c r="P3484" s="10">
        <f>IF(Tank5!$C$23="No control",(SUMIF(Tank5!$B$32:$B$49,$J3484,Tank5!$C$32:$C$49)*Impacts!$F$12),0)</f>
        <v>0</v>
      </c>
      <c r="Q3484" s="10">
        <f>IFERROR(IF(('Loading-drum,tote'!$C$21)="No control",SUMIF(('Loading-drum,tote'!$B$31:$B$48),$J3484,('Loading-drum,tote'!$D$31:$D$48))*Impacts!$F$13,IF(('Loading-drum,tote'!$C$21)&lt;&gt;"No control",SUMIF(('Loading-drum,tote'!$B$31:$B$48),$J3484,('Loading-drum,tote'!$E$31:$E$48))*Impacts!$F$13,0)),0)</f>
        <v>0</v>
      </c>
      <c r="R3484" s="10">
        <f>IFERROR(IF(('Loading-truck'!$C$21)="No control",SUMIF(('Loading-truck'!$B$31:$B$48),$J3484,('Loading-truck'!$D$31:$D$48))*Impacts!$F$14,IF(('Loading-truck'!$C$21)&lt;&gt;"No control",SUMIF(('Loading-truck'!$B$31:$B$48),$J3484,('Loading-truck'!$E$31:$E$48))*Impacts!$F$14,0)),0)</f>
        <v>0</v>
      </c>
      <c r="S3484" s="10">
        <f>IFERROR(IF(('Loading-rail'!$C$21)="No control",SUMIF(('Loading-rail'!$B$31:$B$48),$J3484,('Loading-rail'!$D$31:$D$48))*Impacts!$F$15,IF(('Loading-rail'!$C$21)&lt;&gt;"No control",SUMIF(('Loading-rail'!$B$31:$B$48),$J3484,('Loading-rail'!$E$31:$E$48))*Impacts!$F$15,0)),0)</f>
        <v>0</v>
      </c>
      <c r="T3484" s="10">
        <f>IF(Flare!$C$7="",0,(SUMIF(Flare!$B$46:$B$185,$J3484,Flare!$E$46:$E$185)*Impacts!$F$16))</f>
        <v>0</v>
      </c>
      <c r="U3484" s="10">
        <f>IF(VCU!$C$9="",0,(SUMIF(VCU!$B$51:$B$193,$J3484,VCU!$E$51:$E$193)*Impacts!$F$17))</f>
        <v>0</v>
      </c>
      <c r="V3484" s="10">
        <f>IF(CAS!$C$7="",0,(SUMIF(CAS!$B$31:$B$167,$J3484,CAS!$E$31:$E$167)*Impacts!$F$18))</f>
        <v>0</v>
      </c>
      <c r="W3484" s="10">
        <f t="shared" si="95"/>
        <v>0</v>
      </c>
      <c r="AK3484" s="10" t="str">
        <f t="array" ref="AK3484">IFERROR(INDEX(SelectedSpecies,SMALL(IF(SelectedSpecies=AK$1,ROW(SelectedSpecies)),ROW(3485:3485)),2),"")</f>
        <v/>
      </c>
      <c r="BE3484" s="10"/>
      <c r="BI3484" s="10"/>
    </row>
    <row r="3485" spans="1:61" ht="21" customHeight="1" x14ac:dyDescent="0.25">
      <c r="A3485" s="10"/>
      <c r="B3485" s="10"/>
      <c r="E3485" s="10"/>
      <c r="G3485" s="10"/>
      <c r="I3485" s="436" t="s">
        <v>7540</v>
      </c>
      <c r="J3485" s="26" t="s">
        <v>7539</v>
      </c>
      <c r="K3485" s="10">
        <v>0.2</v>
      </c>
      <c r="L3485" s="73">
        <f>IF(Tank1!$C$23="No control",(SUMIF(Tank1!$B$32:$B$49,$J3485,Tank1!$C$32:$C$49)*Impacts!$F$8),0)</f>
        <v>0</v>
      </c>
      <c r="M3485" s="10">
        <f>IF(Tank2!$C$23="No control",(SUMIF(Tank2!$B$32:$B$49,$J3485,Tank2!$C$32:$C$49)*Impacts!$F$9),0)</f>
        <v>0</v>
      </c>
      <c r="N3485" s="10">
        <f>IF(Tank3!$C$23="No control",(SUMIF(Tank3!$B$32:$B$49,$J3485,Tank3!$C$32:$C$49)*Impacts!$F$10),0)</f>
        <v>0</v>
      </c>
      <c r="O3485" s="10">
        <f>IF(Tank4!$C$23="No control",(SUMIF(Tank4!$B$32:$B$49,$J3485,Tank4!$C$32:$C$49)*Impacts!$F$11),0)</f>
        <v>0</v>
      </c>
      <c r="P3485" s="10">
        <f>IF(Tank5!$C$23="No control",(SUMIF(Tank5!$B$32:$B$49,$J3485,Tank5!$C$32:$C$49)*Impacts!$F$12),0)</f>
        <v>0</v>
      </c>
      <c r="Q3485" s="10">
        <f>IFERROR(IF(('Loading-drum,tote'!$C$21)="No control",SUMIF(('Loading-drum,tote'!$B$31:$B$48),$J3485,('Loading-drum,tote'!$D$31:$D$48))*Impacts!$F$13,IF(('Loading-drum,tote'!$C$21)&lt;&gt;"No control",SUMIF(('Loading-drum,tote'!$B$31:$B$48),$J3485,('Loading-drum,tote'!$E$31:$E$48))*Impacts!$F$13,0)),0)</f>
        <v>0</v>
      </c>
      <c r="R3485" s="10">
        <f>IFERROR(IF(('Loading-truck'!$C$21)="No control",SUMIF(('Loading-truck'!$B$31:$B$48),$J3485,('Loading-truck'!$D$31:$D$48))*Impacts!$F$14,IF(('Loading-truck'!$C$21)&lt;&gt;"No control",SUMIF(('Loading-truck'!$B$31:$B$48),$J3485,('Loading-truck'!$E$31:$E$48))*Impacts!$F$14,0)),0)</f>
        <v>0</v>
      </c>
      <c r="S3485" s="10">
        <f>IFERROR(IF(('Loading-rail'!$C$21)="No control",SUMIF(('Loading-rail'!$B$31:$B$48),$J3485,('Loading-rail'!$D$31:$D$48))*Impacts!$F$15,IF(('Loading-rail'!$C$21)&lt;&gt;"No control",SUMIF(('Loading-rail'!$B$31:$B$48),$J3485,('Loading-rail'!$E$31:$E$48))*Impacts!$F$15,0)),0)</f>
        <v>0</v>
      </c>
      <c r="T3485" s="10">
        <f>IF(Flare!$C$7="",0,(SUMIF(Flare!$B$46:$B$185,$J3485,Flare!$E$46:$E$185)*Impacts!$F$16))</f>
        <v>0</v>
      </c>
      <c r="U3485" s="10">
        <f>IF(VCU!$C$9="",0,(SUMIF(VCU!$B$51:$B$193,$J3485,VCU!$E$51:$E$193)*Impacts!$F$17))</f>
        <v>0</v>
      </c>
      <c r="V3485" s="10">
        <f>IF(CAS!$C$7="",0,(SUMIF(CAS!$B$31:$B$167,$J3485,CAS!$E$31:$E$167)*Impacts!$F$18))</f>
        <v>0</v>
      </c>
      <c r="W3485" s="10">
        <f t="shared" si="95"/>
        <v>0</v>
      </c>
      <c r="AK3485" s="10" t="str">
        <f t="array" ref="AK3485">IFERROR(INDEX(SelectedSpecies,SMALL(IF(SelectedSpecies=AK$1,ROW(SelectedSpecies)),ROW(3486:3486)),2),"")</f>
        <v/>
      </c>
      <c r="BE3485" s="10"/>
      <c r="BI3485" s="10"/>
    </row>
    <row r="3486" spans="1:61" ht="21" customHeight="1" x14ac:dyDescent="0.25">
      <c r="A3486" s="10"/>
      <c r="B3486" s="10"/>
      <c r="E3486" s="10"/>
      <c r="G3486" s="10"/>
      <c r="I3486" s="436" t="s">
        <v>5359</v>
      </c>
      <c r="J3486" s="26" t="s">
        <v>5358</v>
      </c>
      <c r="K3486" s="10">
        <v>1.6</v>
      </c>
      <c r="L3486" s="73">
        <f>IF(Tank1!$C$23="No control",(SUMIF(Tank1!$B$32:$B$49,$J3486,Tank1!$C$32:$C$49)*Impacts!$F$8),0)</f>
        <v>0</v>
      </c>
      <c r="M3486" s="10">
        <f>IF(Tank2!$C$23="No control",(SUMIF(Tank2!$B$32:$B$49,$J3486,Tank2!$C$32:$C$49)*Impacts!$F$9),0)</f>
        <v>0</v>
      </c>
      <c r="N3486" s="10">
        <f>IF(Tank3!$C$23="No control",(SUMIF(Tank3!$B$32:$B$49,$J3486,Tank3!$C$32:$C$49)*Impacts!$F$10),0)</f>
        <v>0</v>
      </c>
      <c r="O3486" s="10">
        <f>IF(Tank4!$C$23="No control",(SUMIF(Tank4!$B$32:$B$49,$J3486,Tank4!$C$32:$C$49)*Impacts!$F$11),0)</f>
        <v>0</v>
      </c>
      <c r="P3486" s="10">
        <f>IF(Tank5!$C$23="No control",(SUMIF(Tank5!$B$32:$B$49,$J3486,Tank5!$C$32:$C$49)*Impacts!$F$12),0)</f>
        <v>0</v>
      </c>
      <c r="Q3486" s="10">
        <f>IFERROR(IF(('Loading-drum,tote'!$C$21)="No control",SUMIF(('Loading-drum,tote'!$B$31:$B$48),$J3486,('Loading-drum,tote'!$D$31:$D$48))*Impacts!$F$13,IF(('Loading-drum,tote'!$C$21)&lt;&gt;"No control",SUMIF(('Loading-drum,tote'!$B$31:$B$48),$J3486,('Loading-drum,tote'!$E$31:$E$48))*Impacts!$F$13,0)),0)</f>
        <v>0</v>
      </c>
      <c r="R3486" s="10">
        <f>IFERROR(IF(('Loading-truck'!$C$21)="No control",SUMIF(('Loading-truck'!$B$31:$B$48),$J3486,('Loading-truck'!$D$31:$D$48))*Impacts!$F$14,IF(('Loading-truck'!$C$21)&lt;&gt;"No control",SUMIF(('Loading-truck'!$B$31:$B$48),$J3486,('Loading-truck'!$E$31:$E$48))*Impacts!$F$14,0)),0)</f>
        <v>0</v>
      </c>
      <c r="S3486" s="10">
        <f>IFERROR(IF(('Loading-rail'!$C$21)="No control",SUMIF(('Loading-rail'!$B$31:$B$48),$J3486,('Loading-rail'!$D$31:$D$48))*Impacts!$F$15,IF(('Loading-rail'!$C$21)&lt;&gt;"No control",SUMIF(('Loading-rail'!$B$31:$B$48),$J3486,('Loading-rail'!$E$31:$E$48))*Impacts!$F$15,0)),0)</f>
        <v>0</v>
      </c>
      <c r="T3486" s="10">
        <f>IF(Flare!$C$7="",0,(SUMIF(Flare!$B$46:$B$185,$J3486,Flare!$E$46:$E$185)*Impacts!$F$16))</f>
        <v>0</v>
      </c>
      <c r="U3486" s="10">
        <f>IF(VCU!$C$9="",0,(SUMIF(VCU!$B$51:$B$193,$J3486,VCU!$E$51:$E$193)*Impacts!$F$17))</f>
        <v>0</v>
      </c>
      <c r="V3486" s="10">
        <f>IF(CAS!$C$7="",0,(SUMIF(CAS!$B$31:$B$167,$J3486,CAS!$E$31:$E$167)*Impacts!$F$18))</f>
        <v>0</v>
      </c>
      <c r="W3486" s="10">
        <f t="shared" si="95"/>
        <v>0</v>
      </c>
      <c r="AK3486" s="10" t="str">
        <f t="array" ref="AK3486">IFERROR(INDEX(SelectedSpecies,SMALL(IF(SelectedSpecies=AK$1,ROW(SelectedSpecies)),ROW(3487:3487)),2),"")</f>
        <v/>
      </c>
      <c r="BE3486" s="10"/>
      <c r="BI3486" s="10"/>
    </row>
    <row r="3487" spans="1:61" ht="21" customHeight="1" x14ac:dyDescent="0.25">
      <c r="A3487" s="10"/>
      <c r="B3487" s="10"/>
      <c r="E3487" s="10"/>
      <c r="G3487" s="10"/>
      <c r="I3487" s="436" t="s">
        <v>1478</v>
      </c>
      <c r="J3487" s="26" t="s">
        <v>1477</v>
      </c>
      <c r="K3487" s="10">
        <v>30</v>
      </c>
      <c r="L3487" s="73">
        <f>IF(Tank1!$C$23="No control",(SUMIF(Tank1!$B$32:$B$49,$J3487,Tank1!$C$32:$C$49)*Impacts!$F$8),0)</f>
        <v>0</v>
      </c>
      <c r="M3487" s="10">
        <f>IF(Tank2!$C$23="No control",(SUMIF(Tank2!$B$32:$B$49,$J3487,Tank2!$C$32:$C$49)*Impacts!$F$9),0)</f>
        <v>0</v>
      </c>
      <c r="N3487" s="10">
        <f>IF(Tank3!$C$23="No control",(SUMIF(Tank3!$B$32:$B$49,$J3487,Tank3!$C$32:$C$49)*Impacts!$F$10),0)</f>
        <v>0</v>
      </c>
      <c r="O3487" s="10">
        <f>IF(Tank4!$C$23="No control",(SUMIF(Tank4!$B$32:$B$49,$J3487,Tank4!$C$32:$C$49)*Impacts!$F$11),0)</f>
        <v>0</v>
      </c>
      <c r="P3487" s="10">
        <f>IF(Tank5!$C$23="No control",(SUMIF(Tank5!$B$32:$B$49,$J3487,Tank5!$C$32:$C$49)*Impacts!$F$12),0)</f>
        <v>0</v>
      </c>
      <c r="Q3487" s="10">
        <f>IFERROR(IF(('Loading-drum,tote'!$C$21)="No control",SUMIF(('Loading-drum,tote'!$B$31:$B$48),$J3487,('Loading-drum,tote'!$D$31:$D$48))*Impacts!$F$13,IF(('Loading-drum,tote'!$C$21)&lt;&gt;"No control",SUMIF(('Loading-drum,tote'!$B$31:$B$48),$J3487,('Loading-drum,tote'!$E$31:$E$48))*Impacts!$F$13,0)),0)</f>
        <v>0</v>
      </c>
      <c r="R3487" s="10">
        <f>IFERROR(IF(('Loading-truck'!$C$21)="No control",SUMIF(('Loading-truck'!$B$31:$B$48),$J3487,('Loading-truck'!$D$31:$D$48))*Impacts!$F$14,IF(('Loading-truck'!$C$21)&lt;&gt;"No control",SUMIF(('Loading-truck'!$B$31:$B$48),$J3487,('Loading-truck'!$E$31:$E$48))*Impacts!$F$14,0)),0)</f>
        <v>0</v>
      </c>
      <c r="S3487" s="10">
        <f>IFERROR(IF(('Loading-rail'!$C$21)="No control",SUMIF(('Loading-rail'!$B$31:$B$48),$J3487,('Loading-rail'!$D$31:$D$48))*Impacts!$F$15,IF(('Loading-rail'!$C$21)&lt;&gt;"No control",SUMIF(('Loading-rail'!$B$31:$B$48),$J3487,('Loading-rail'!$E$31:$E$48))*Impacts!$F$15,0)),0)</f>
        <v>0</v>
      </c>
      <c r="T3487" s="10">
        <f>IF(Flare!$C$7="",0,(SUMIF(Flare!$B$46:$B$185,$J3487,Flare!$E$46:$E$185)*Impacts!$F$16))</f>
        <v>0</v>
      </c>
      <c r="U3487" s="10">
        <f>IF(VCU!$C$9="",0,(SUMIF(VCU!$B$51:$B$193,$J3487,VCU!$E$51:$E$193)*Impacts!$F$17))</f>
        <v>0</v>
      </c>
      <c r="V3487" s="10">
        <f>IF(CAS!$C$7="",0,(SUMIF(CAS!$B$31:$B$167,$J3487,CAS!$E$31:$E$167)*Impacts!$F$18))</f>
        <v>0</v>
      </c>
      <c r="W3487" s="10">
        <f t="shared" si="95"/>
        <v>0</v>
      </c>
      <c r="AK3487" s="10" t="str">
        <f t="array" ref="AK3487">IFERROR(INDEX(SelectedSpecies,SMALL(IF(SelectedSpecies=AK$1,ROW(SelectedSpecies)),ROW(3488:3488)),2),"")</f>
        <v/>
      </c>
      <c r="BE3487" s="10"/>
      <c r="BI3487" s="10"/>
    </row>
    <row r="3488" spans="1:61" ht="21" customHeight="1" x14ac:dyDescent="0.25">
      <c r="A3488" s="10"/>
      <c r="B3488" s="10"/>
      <c r="E3488" s="10"/>
      <c r="G3488" s="10"/>
      <c r="I3488" s="436" t="s">
        <v>2031</v>
      </c>
      <c r="J3488" s="26" t="s">
        <v>2030</v>
      </c>
      <c r="K3488" s="10">
        <v>17</v>
      </c>
      <c r="L3488" s="73">
        <f>IF(Tank1!$C$23="No control",(SUMIF(Tank1!$B$32:$B$49,$J3488,Tank1!$C$32:$C$49)*Impacts!$F$8),0)</f>
        <v>0</v>
      </c>
      <c r="M3488" s="10">
        <f>IF(Tank2!$C$23="No control",(SUMIF(Tank2!$B$32:$B$49,$J3488,Tank2!$C$32:$C$49)*Impacts!$F$9),0)</f>
        <v>0</v>
      </c>
      <c r="N3488" s="10">
        <f>IF(Tank3!$C$23="No control",(SUMIF(Tank3!$B$32:$B$49,$J3488,Tank3!$C$32:$C$49)*Impacts!$F$10),0)</f>
        <v>0</v>
      </c>
      <c r="O3488" s="10">
        <f>IF(Tank4!$C$23="No control",(SUMIF(Tank4!$B$32:$B$49,$J3488,Tank4!$C$32:$C$49)*Impacts!$F$11),0)</f>
        <v>0</v>
      </c>
      <c r="P3488" s="10">
        <f>IF(Tank5!$C$23="No control",(SUMIF(Tank5!$B$32:$B$49,$J3488,Tank5!$C$32:$C$49)*Impacts!$F$12),0)</f>
        <v>0</v>
      </c>
      <c r="Q3488" s="10">
        <f>IFERROR(IF(('Loading-drum,tote'!$C$21)="No control",SUMIF(('Loading-drum,tote'!$B$31:$B$48),$J3488,('Loading-drum,tote'!$D$31:$D$48))*Impacts!$F$13,IF(('Loading-drum,tote'!$C$21)&lt;&gt;"No control",SUMIF(('Loading-drum,tote'!$B$31:$B$48),$J3488,('Loading-drum,tote'!$E$31:$E$48))*Impacts!$F$13,0)),0)</f>
        <v>0</v>
      </c>
      <c r="R3488" s="10">
        <f>IFERROR(IF(('Loading-truck'!$C$21)="No control",SUMIF(('Loading-truck'!$B$31:$B$48),$J3488,('Loading-truck'!$D$31:$D$48))*Impacts!$F$14,IF(('Loading-truck'!$C$21)&lt;&gt;"No control",SUMIF(('Loading-truck'!$B$31:$B$48),$J3488,('Loading-truck'!$E$31:$E$48))*Impacts!$F$14,0)),0)</f>
        <v>0</v>
      </c>
      <c r="S3488" s="10">
        <f>IFERROR(IF(('Loading-rail'!$C$21)="No control",SUMIF(('Loading-rail'!$B$31:$B$48),$J3488,('Loading-rail'!$D$31:$D$48))*Impacts!$F$15,IF(('Loading-rail'!$C$21)&lt;&gt;"No control",SUMIF(('Loading-rail'!$B$31:$B$48),$J3488,('Loading-rail'!$E$31:$E$48))*Impacts!$F$15,0)),0)</f>
        <v>0</v>
      </c>
      <c r="T3488" s="10">
        <f>IF(Flare!$C$7="",0,(SUMIF(Flare!$B$46:$B$185,$J3488,Flare!$E$46:$E$185)*Impacts!$F$16))</f>
        <v>0</v>
      </c>
      <c r="U3488" s="10">
        <f>IF(VCU!$C$9="",0,(SUMIF(VCU!$B$51:$B$193,$J3488,VCU!$E$51:$E$193)*Impacts!$F$17))</f>
        <v>0</v>
      </c>
      <c r="V3488" s="10">
        <f>IF(CAS!$C$7="",0,(SUMIF(CAS!$B$31:$B$167,$J3488,CAS!$E$31:$E$167)*Impacts!$F$18))</f>
        <v>0</v>
      </c>
      <c r="W3488" s="10">
        <f t="shared" si="95"/>
        <v>0</v>
      </c>
      <c r="AK3488" s="10" t="str">
        <f t="array" ref="AK3488">IFERROR(INDEX(SelectedSpecies,SMALL(IF(SelectedSpecies=AK$1,ROW(SelectedSpecies)),ROW(3489:3489)),2),"")</f>
        <v/>
      </c>
      <c r="BE3488" s="10"/>
      <c r="BI3488" s="10"/>
    </row>
    <row r="3489" spans="1:61" ht="21" customHeight="1" x14ac:dyDescent="0.25">
      <c r="A3489" s="10"/>
      <c r="B3489" s="10"/>
      <c r="E3489" s="10"/>
      <c r="G3489" s="10"/>
      <c r="I3489" s="436" t="s">
        <v>4893</v>
      </c>
      <c r="J3489" s="26" t="s">
        <v>4892</v>
      </c>
      <c r="K3489" s="10">
        <v>2.7</v>
      </c>
      <c r="L3489" s="73">
        <f>IF(Tank1!$C$23="No control",(SUMIF(Tank1!$B$32:$B$49,$J3489,Tank1!$C$32:$C$49)*Impacts!$F$8),0)</f>
        <v>0</v>
      </c>
      <c r="M3489" s="10">
        <f>IF(Tank2!$C$23="No control",(SUMIF(Tank2!$B$32:$B$49,$J3489,Tank2!$C$32:$C$49)*Impacts!$F$9),0)</f>
        <v>0</v>
      </c>
      <c r="N3489" s="10">
        <f>IF(Tank3!$C$23="No control",(SUMIF(Tank3!$B$32:$B$49,$J3489,Tank3!$C$32:$C$49)*Impacts!$F$10),0)</f>
        <v>0</v>
      </c>
      <c r="O3489" s="10">
        <f>IF(Tank4!$C$23="No control",(SUMIF(Tank4!$B$32:$B$49,$J3489,Tank4!$C$32:$C$49)*Impacts!$F$11),0)</f>
        <v>0</v>
      </c>
      <c r="P3489" s="10">
        <f>IF(Tank5!$C$23="No control",(SUMIF(Tank5!$B$32:$B$49,$J3489,Tank5!$C$32:$C$49)*Impacts!$F$12),0)</f>
        <v>0</v>
      </c>
      <c r="Q3489" s="10">
        <f>IFERROR(IF(('Loading-drum,tote'!$C$21)="No control",SUMIF(('Loading-drum,tote'!$B$31:$B$48),$J3489,('Loading-drum,tote'!$D$31:$D$48))*Impacts!$F$13,IF(('Loading-drum,tote'!$C$21)&lt;&gt;"No control",SUMIF(('Loading-drum,tote'!$B$31:$B$48),$J3489,('Loading-drum,tote'!$E$31:$E$48))*Impacts!$F$13,0)),0)</f>
        <v>0</v>
      </c>
      <c r="R3489" s="10">
        <f>IFERROR(IF(('Loading-truck'!$C$21)="No control",SUMIF(('Loading-truck'!$B$31:$B$48),$J3489,('Loading-truck'!$D$31:$D$48))*Impacts!$F$14,IF(('Loading-truck'!$C$21)&lt;&gt;"No control",SUMIF(('Loading-truck'!$B$31:$B$48),$J3489,('Loading-truck'!$E$31:$E$48))*Impacts!$F$14,0)),0)</f>
        <v>0</v>
      </c>
      <c r="S3489" s="10">
        <f>IFERROR(IF(('Loading-rail'!$C$21)="No control",SUMIF(('Loading-rail'!$B$31:$B$48),$J3489,('Loading-rail'!$D$31:$D$48))*Impacts!$F$15,IF(('Loading-rail'!$C$21)&lt;&gt;"No control",SUMIF(('Loading-rail'!$B$31:$B$48),$J3489,('Loading-rail'!$E$31:$E$48))*Impacts!$F$15,0)),0)</f>
        <v>0</v>
      </c>
      <c r="T3489" s="10">
        <f>IF(Flare!$C$7="",0,(SUMIF(Flare!$B$46:$B$185,$J3489,Flare!$E$46:$E$185)*Impacts!$F$16))</f>
        <v>0</v>
      </c>
      <c r="U3489" s="10">
        <f>IF(VCU!$C$9="",0,(SUMIF(VCU!$B$51:$B$193,$J3489,VCU!$E$51:$E$193)*Impacts!$F$17))</f>
        <v>0</v>
      </c>
      <c r="V3489" s="10">
        <f>IF(CAS!$C$7="",0,(SUMIF(CAS!$B$31:$B$167,$J3489,CAS!$E$31:$E$167)*Impacts!$F$18))</f>
        <v>0</v>
      </c>
      <c r="W3489" s="10">
        <f t="shared" si="95"/>
        <v>0</v>
      </c>
      <c r="AK3489" s="10" t="str">
        <f t="array" ref="AK3489">IFERROR(INDEX(SelectedSpecies,SMALL(IF(SelectedSpecies=AK$1,ROW(SelectedSpecies)),ROW(3490:3490)),2),"")</f>
        <v/>
      </c>
      <c r="BE3489" s="10"/>
      <c r="BI3489" s="10"/>
    </row>
    <row r="3490" spans="1:61" ht="21" customHeight="1" x14ac:dyDescent="0.25">
      <c r="A3490" s="10"/>
      <c r="B3490" s="10"/>
      <c r="E3490" s="10"/>
      <c r="G3490" s="10"/>
      <c r="I3490" s="436" t="s">
        <v>6406</v>
      </c>
      <c r="J3490" s="26" t="s">
        <v>6405</v>
      </c>
      <c r="K3490" s="10">
        <v>0.81</v>
      </c>
      <c r="L3490" s="73">
        <f>IF(Tank1!$C$23="No control",(SUMIF(Tank1!$B$32:$B$49,$J3490,Tank1!$C$32:$C$49)*Impacts!$F$8),0)</f>
        <v>0</v>
      </c>
      <c r="M3490" s="10">
        <f>IF(Tank2!$C$23="No control",(SUMIF(Tank2!$B$32:$B$49,$J3490,Tank2!$C$32:$C$49)*Impacts!$F$9),0)</f>
        <v>0</v>
      </c>
      <c r="N3490" s="10">
        <f>IF(Tank3!$C$23="No control",(SUMIF(Tank3!$B$32:$B$49,$J3490,Tank3!$C$32:$C$49)*Impacts!$F$10),0)</f>
        <v>0</v>
      </c>
      <c r="O3490" s="10">
        <f>IF(Tank4!$C$23="No control",(SUMIF(Tank4!$B$32:$B$49,$J3490,Tank4!$C$32:$C$49)*Impacts!$F$11),0)</f>
        <v>0</v>
      </c>
      <c r="P3490" s="10">
        <f>IF(Tank5!$C$23="No control",(SUMIF(Tank5!$B$32:$B$49,$J3490,Tank5!$C$32:$C$49)*Impacts!$F$12),0)</f>
        <v>0</v>
      </c>
      <c r="Q3490" s="10">
        <f>IFERROR(IF(('Loading-drum,tote'!$C$21)="No control",SUMIF(('Loading-drum,tote'!$B$31:$B$48),$J3490,('Loading-drum,tote'!$D$31:$D$48))*Impacts!$F$13,IF(('Loading-drum,tote'!$C$21)&lt;&gt;"No control",SUMIF(('Loading-drum,tote'!$B$31:$B$48),$J3490,('Loading-drum,tote'!$E$31:$E$48))*Impacts!$F$13,0)),0)</f>
        <v>0</v>
      </c>
      <c r="R3490" s="10">
        <f>IFERROR(IF(('Loading-truck'!$C$21)="No control",SUMIF(('Loading-truck'!$B$31:$B$48),$J3490,('Loading-truck'!$D$31:$D$48))*Impacts!$F$14,IF(('Loading-truck'!$C$21)&lt;&gt;"No control",SUMIF(('Loading-truck'!$B$31:$B$48),$J3490,('Loading-truck'!$E$31:$E$48))*Impacts!$F$14,0)),0)</f>
        <v>0</v>
      </c>
      <c r="S3490" s="10">
        <f>IFERROR(IF(('Loading-rail'!$C$21)="No control",SUMIF(('Loading-rail'!$B$31:$B$48),$J3490,('Loading-rail'!$D$31:$D$48))*Impacts!$F$15,IF(('Loading-rail'!$C$21)&lt;&gt;"No control",SUMIF(('Loading-rail'!$B$31:$B$48),$J3490,('Loading-rail'!$E$31:$E$48))*Impacts!$F$15,0)),0)</f>
        <v>0</v>
      </c>
      <c r="T3490" s="10">
        <f>IF(Flare!$C$7="",0,(SUMIF(Flare!$B$46:$B$185,$J3490,Flare!$E$46:$E$185)*Impacts!$F$16))</f>
        <v>0</v>
      </c>
      <c r="U3490" s="10">
        <f>IF(VCU!$C$9="",0,(SUMIF(VCU!$B$51:$B$193,$J3490,VCU!$E$51:$E$193)*Impacts!$F$17))</f>
        <v>0</v>
      </c>
      <c r="V3490" s="10">
        <f>IF(CAS!$C$7="",0,(SUMIF(CAS!$B$31:$B$167,$J3490,CAS!$E$31:$E$167)*Impacts!$F$18))</f>
        <v>0</v>
      </c>
      <c r="W3490" s="10">
        <f t="shared" si="95"/>
        <v>0</v>
      </c>
      <c r="AK3490" s="10" t="str">
        <f t="array" ref="AK3490">IFERROR(INDEX(SelectedSpecies,SMALL(IF(SelectedSpecies=AK$1,ROW(SelectedSpecies)),ROW(3491:3491)),2),"")</f>
        <v/>
      </c>
      <c r="BE3490" s="10"/>
      <c r="BI3490" s="10"/>
    </row>
    <row r="3491" spans="1:61" ht="21" customHeight="1" x14ac:dyDescent="0.25">
      <c r="A3491" s="10"/>
      <c r="B3491" s="10"/>
      <c r="E3491" s="10"/>
      <c r="G3491" s="10"/>
      <c r="I3491" s="436" t="s">
        <v>6406</v>
      </c>
      <c r="J3491" s="26" t="s">
        <v>10409</v>
      </c>
      <c r="K3491" s="10">
        <v>5.6999999999999995E-2</v>
      </c>
      <c r="L3491" s="73">
        <f>IF(Tank1!$C$23="No control",(SUMIF(Tank1!$B$32:$B$49,$J3491,Tank1!$C$32:$C$49)*Impacts!$F$8),0)</f>
        <v>0</v>
      </c>
      <c r="M3491" s="10">
        <f>IF(Tank2!$C$23="No control",(SUMIF(Tank2!$B$32:$B$49,$J3491,Tank2!$C$32:$C$49)*Impacts!$F$9),0)</f>
        <v>0</v>
      </c>
      <c r="N3491" s="10">
        <f>IF(Tank3!$C$23="No control",(SUMIF(Tank3!$B$32:$B$49,$J3491,Tank3!$C$32:$C$49)*Impacts!$F$10),0)</f>
        <v>0</v>
      </c>
      <c r="O3491" s="10">
        <f>IF(Tank4!$C$23="No control",(SUMIF(Tank4!$B$32:$B$49,$J3491,Tank4!$C$32:$C$49)*Impacts!$F$11),0)</f>
        <v>0</v>
      </c>
      <c r="P3491" s="10">
        <f>IF(Tank5!$C$23="No control",(SUMIF(Tank5!$B$32:$B$49,$J3491,Tank5!$C$32:$C$49)*Impacts!$F$12),0)</f>
        <v>0</v>
      </c>
      <c r="Q3491" s="10">
        <f>IFERROR(IF(('Loading-drum,tote'!$C$21)="No control",SUMIF(('Loading-drum,tote'!$B$31:$B$48),$J3491,('Loading-drum,tote'!$D$31:$D$48))*Impacts!$F$13,IF(('Loading-drum,tote'!$C$21)&lt;&gt;"No control",SUMIF(('Loading-drum,tote'!$B$31:$B$48),$J3491,('Loading-drum,tote'!$E$31:$E$48))*Impacts!$F$13,0)),0)</f>
        <v>0</v>
      </c>
      <c r="R3491" s="10">
        <f>IFERROR(IF(('Loading-truck'!$C$21)="No control",SUMIF(('Loading-truck'!$B$31:$B$48),$J3491,('Loading-truck'!$D$31:$D$48))*Impacts!$F$14,IF(('Loading-truck'!$C$21)&lt;&gt;"No control",SUMIF(('Loading-truck'!$B$31:$B$48),$J3491,('Loading-truck'!$E$31:$E$48))*Impacts!$F$14,0)),0)</f>
        <v>0</v>
      </c>
      <c r="S3491" s="10">
        <f>IFERROR(IF(('Loading-rail'!$C$21)="No control",SUMIF(('Loading-rail'!$B$31:$B$48),$J3491,('Loading-rail'!$D$31:$D$48))*Impacts!$F$15,IF(('Loading-rail'!$C$21)&lt;&gt;"No control",SUMIF(('Loading-rail'!$B$31:$B$48),$J3491,('Loading-rail'!$E$31:$E$48))*Impacts!$F$15,0)),0)</f>
        <v>0</v>
      </c>
      <c r="T3491" s="10">
        <f>IF(Flare!$C$7="",0,(SUMIF(Flare!$B$46:$B$185,$J3491,Flare!$E$46:$E$185)*Impacts!$F$16))</f>
        <v>0</v>
      </c>
      <c r="U3491" s="10">
        <f>IF(VCU!$C$9="",0,(SUMIF(VCU!$B$51:$B$193,$J3491,VCU!$E$51:$E$193)*Impacts!$F$17))</f>
        <v>0</v>
      </c>
      <c r="V3491" s="10">
        <f>IF(CAS!$C$7="",0,(SUMIF(CAS!$B$31:$B$167,$J3491,CAS!$E$31:$E$167)*Impacts!$F$18))</f>
        <v>0</v>
      </c>
      <c r="W3491" s="10">
        <f t="shared" si="95"/>
        <v>0</v>
      </c>
      <c r="AK3491" s="10" t="str">
        <f t="array" ref="AK3491">IFERROR(INDEX(SelectedSpecies,SMALL(IF(SelectedSpecies=AK$1,ROW(SelectedSpecies)),ROW(3492:3492)),2),"")</f>
        <v/>
      </c>
      <c r="BE3491" s="10"/>
      <c r="BI3491" s="10"/>
    </row>
    <row r="3492" spans="1:61" ht="21" customHeight="1" x14ac:dyDescent="0.25">
      <c r="A3492" s="10"/>
      <c r="B3492" s="10"/>
      <c r="E3492" s="10"/>
      <c r="G3492" s="10"/>
      <c r="I3492" s="436" t="s">
        <v>6406</v>
      </c>
      <c r="J3492" s="26" t="s">
        <v>10410</v>
      </c>
      <c r="K3492" s="10">
        <v>7.0999999999999994E-2</v>
      </c>
      <c r="L3492" s="73">
        <f>IF(Tank1!$C$23="No control",(SUMIF(Tank1!$B$32:$B$49,$J3492,Tank1!$C$32:$C$49)*Impacts!$F$8),0)</f>
        <v>0</v>
      </c>
      <c r="M3492" s="10">
        <f>IF(Tank2!$C$23="No control",(SUMIF(Tank2!$B$32:$B$49,$J3492,Tank2!$C$32:$C$49)*Impacts!$F$9),0)</f>
        <v>0</v>
      </c>
      <c r="N3492" s="10">
        <f>IF(Tank3!$C$23="No control",(SUMIF(Tank3!$B$32:$B$49,$J3492,Tank3!$C$32:$C$49)*Impacts!$F$10),0)</f>
        <v>0</v>
      </c>
      <c r="O3492" s="10">
        <f>IF(Tank4!$C$23="No control",(SUMIF(Tank4!$B$32:$B$49,$J3492,Tank4!$C$32:$C$49)*Impacts!$F$11),0)</f>
        <v>0</v>
      </c>
      <c r="P3492" s="10">
        <f>IF(Tank5!$C$23="No control",(SUMIF(Tank5!$B$32:$B$49,$J3492,Tank5!$C$32:$C$49)*Impacts!$F$12),0)</f>
        <v>0</v>
      </c>
      <c r="Q3492" s="10">
        <f>IFERROR(IF(('Loading-drum,tote'!$C$21)="No control",SUMIF(('Loading-drum,tote'!$B$31:$B$48),$J3492,('Loading-drum,tote'!$D$31:$D$48))*Impacts!$F$13,IF(('Loading-drum,tote'!$C$21)&lt;&gt;"No control",SUMIF(('Loading-drum,tote'!$B$31:$B$48),$J3492,('Loading-drum,tote'!$E$31:$E$48))*Impacts!$F$13,0)),0)</f>
        <v>0</v>
      </c>
      <c r="R3492" s="10">
        <f>IFERROR(IF(('Loading-truck'!$C$21)="No control",SUMIF(('Loading-truck'!$B$31:$B$48),$J3492,('Loading-truck'!$D$31:$D$48))*Impacts!$F$14,IF(('Loading-truck'!$C$21)&lt;&gt;"No control",SUMIF(('Loading-truck'!$B$31:$B$48),$J3492,('Loading-truck'!$E$31:$E$48))*Impacts!$F$14,0)),0)</f>
        <v>0</v>
      </c>
      <c r="S3492" s="10">
        <f>IFERROR(IF(('Loading-rail'!$C$21)="No control",SUMIF(('Loading-rail'!$B$31:$B$48),$J3492,('Loading-rail'!$D$31:$D$48))*Impacts!$F$15,IF(('Loading-rail'!$C$21)&lt;&gt;"No control",SUMIF(('Loading-rail'!$B$31:$B$48),$J3492,('Loading-rail'!$E$31:$E$48))*Impacts!$F$15,0)),0)</f>
        <v>0</v>
      </c>
      <c r="T3492" s="10">
        <f>IF(Flare!$C$7="",0,(SUMIF(Flare!$B$46:$B$185,$J3492,Flare!$E$46:$E$185)*Impacts!$F$16))</f>
        <v>0</v>
      </c>
      <c r="U3492" s="10">
        <f>IF(VCU!$C$9="",0,(SUMIF(VCU!$B$51:$B$193,$J3492,VCU!$E$51:$E$193)*Impacts!$F$17))</f>
        <v>0</v>
      </c>
      <c r="V3492" s="10">
        <f>IF(CAS!$C$7="",0,(SUMIF(CAS!$B$31:$B$167,$J3492,CAS!$E$31:$E$167)*Impacts!$F$18))</f>
        <v>0</v>
      </c>
      <c r="W3492" s="10">
        <f t="shared" si="95"/>
        <v>0</v>
      </c>
      <c r="AK3492" s="10" t="str">
        <f t="array" ref="AK3492">IFERROR(INDEX(SelectedSpecies,SMALL(IF(SelectedSpecies=AK$1,ROW(SelectedSpecies)),ROW(3493:3493)),2),"")</f>
        <v/>
      </c>
      <c r="BE3492" s="10"/>
      <c r="BI3492" s="10"/>
    </row>
    <row r="3493" spans="1:61" ht="21" customHeight="1" x14ac:dyDescent="0.25">
      <c r="A3493" s="10"/>
      <c r="B3493" s="10"/>
      <c r="E3493" s="10"/>
      <c r="G3493" s="10"/>
      <c r="I3493" s="436" t="s">
        <v>5469</v>
      </c>
      <c r="J3493" s="26" t="s">
        <v>5468</v>
      </c>
      <c r="K3493" s="10">
        <v>1.4000000000000001</v>
      </c>
      <c r="L3493" s="73">
        <f>IF(Tank1!$C$23="No control",(SUMIF(Tank1!$B$32:$B$49,$J3493,Tank1!$C$32:$C$49)*Impacts!$F$8),0)</f>
        <v>0</v>
      </c>
      <c r="M3493" s="10">
        <f>IF(Tank2!$C$23="No control",(SUMIF(Tank2!$B$32:$B$49,$J3493,Tank2!$C$32:$C$49)*Impacts!$F$9),0)</f>
        <v>0</v>
      </c>
      <c r="N3493" s="10">
        <f>IF(Tank3!$C$23="No control",(SUMIF(Tank3!$B$32:$B$49,$J3493,Tank3!$C$32:$C$49)*Impacts!$F$10),0)</f>
        <v>0</v>
      </c>
      <c r="O3493" s="10">
        <f>IF(Tank4!$C$23="No control",(SUMIF(Tank4!$B$32:$B$49,$J3493,Tank4!$C$32:$C$49)*Impacts!$F$11),0)</f>
        <v>0</v>
      </c>
      <c r="P3493" s="10">
        <f>IF(Tank5!$C$23="No control",(SUMIF(Tank5!$B$32:$B$49,$J3493,Tank5!$C$32:$C$49)*Impacts!$F$12),0)</f>
        <v>0</v>
      </c>
      <c r="Q3493" s="10">
        <f>IFERROR(IF(('Loading-drum,tote'!$C$21)="No control",SUMIF(('Loading-drum,tote'!$B$31:$B$48),$J3493,('Loading-drum,tote'!$D$31:$D$48))*Impacts!$F$13,IF(('Loading-drum,tote'!$C$21)&lt;&gt;"No control",SUMIF(('Loading-drum,tote'!$B$31:$B$48),$J3493,('Loading-drum,tote'!$E$31:$E$48))*Impacts!$F$13,0)),0)</f>
        <v>0</v>
      </c>
      <c r="R3493" s="10">
        <f>IFERROR(IF(('Loading-truck'!$C$21)="No control",SUMIF(('Loading-truck'!$B$31:$B$48),$J3493,('Loading-truck'!$D$31:$D$48))*Impacts!$F$14,IF(('Loading-truck'!$C$21)&lt;&gt;"No control",SUMIF(('Loading-truck'!$B$31:$B$48),$J3493,('Loading-truck'!$E$31:$E$48))*Impacts!$F$14,0)),0)</f>
        <v>0</v>
      </c>
      <c r="S3493" s="10">
        <f>IFERROR(IF(('Loading-rail'!$C$21)="No control",SUMIF(('Loading-rail'!$B$31:$B$48),$J3493,('Loading-rail'!$D$31:$D$48))*Impacts!$F$15,IF(('Loading-rail'!$C$21)&lt;&gt;"No control",SUMIF(('Loading-rail'!$B$31:$B$48),$J3493,('Loading-rail'!$E$31:$E$48))*Impacts!$F$15,0)),0)</f>
        <v>0</v>
      </c>
      <c r="T3493" s="10">
        <f>IF(Flare!$C$7="",0,(SUMIF(Flare!$B$46:$B$185,$J3493,Flare!$E$46:$E$185)*Impacts!$F$16))</f>
        <v>0</v>
      </c>
      <c r="U3493" s="10">
        <f>IF(VCU!$C$9="",0,(SUMIF(VCU!$B$51:$B$193,$J3493,VCU!$E$51:$E$193)*Impacts!$F$17))</f>
        <v>0</v>
      </c>
      <c r="V3493" s="10">
        <f>IF(CAS!$C$7="",0,(SUMIF(CAS!$B$31:$B$167,$J3493,CAS!$E$31:$E$167)*Impacts!$F$18))</f>
        <v>0</v>
      </c>
      <c r="W3493" s="10">
        <f t="shared" si="95"/>
        <v>0</v>
      </c>
      <c r="AK3493" s="10" t="str">
        <f t="array" ref="AK3493">IFERROR(INDEX(SelectedSpecies,SMALL(IF(SelectedSpecies=AK$1,ROW(SelectedSpecies)),ROW(3494:3494)),2),"")</f>
        <v/>
      </c>
      <c r="BE3493" s="10"/>
      <c r="BI3493" s="10"/>
    </row>
    <row r="3494" spans="1:61" ht="21" customHeight="1" x14ac:dyDescent="0.25">
      <c r="A3494" s="10"/>
      <c r="B3494" s="10"/>
      <c r="E3494" s="10"/>
      <c r="G3494" s="10"/>
      <c r="I3494" s="436" t="s">
        <v>2033</v>
      </c>
      <c r="J3494" s="26" t="s">
        <v>2032</v>
      </c>
      <c r="K3494" s="10">
        <v>17</v>
      </c>
      <c r="L3494" s="73">
        <f>IF(Tank1!$C$23="No control",(SUMIF(Tank1!$B$32:$B$49,$J3494,Tank1!$C$32:$C$49)*Impacts!$F$8),0)</f>
        <v>0</v>
      </c>
      <c r="M3494" s="10">
        <f>IF(Tank2!$C$23="No control",(SUMIF(Tank2!$B$32:$B$49,$J3494,Tank2!$C$32:$C$49)*Impacts!$F$9),0)</f>
        <v>0</v>
      </c>
      <c r="N3494" s="10">
        <f>IF(Tank3!$C$23="No control",(SUMIF(Tank3!$B$32:$B$49,$J3494,Tank3!$C$32:$C$49)*Impacts!$F$10),0)</f>
        <v>0</v>
      </c>
      <c r="O3494" s="10">
        <f>IF(Tank4!$C$23="No control",(SUMIF(Tank4!$B$32:$B$49,$J3494,Tank4!$C$32:$C$49)*Impacts!$F$11),0)</f>
        <v>0</v>
      </c>
      <c r="P3494" s="10">
        <f>IF(Tank5!$C$23="No control",(SUMIF(Tank5!$B$32:$B$49,$J3494,Tank5!$C$32:$C$49)*Impacts!$F$12),0)</f>
        <v>0</v>
      </c>
      <c r="Q3494" s="10">
        <f>IFERROR(IF(('Loading-drum,tote'!$C$21)="No control",SUMIF(('Loading-drum,tote'!$B$31:$B$48),$J3494,('Loading-drum,tote'!$D$31:$D$48))*Impacts!$F$13,IF(('Loading-drum,tote'!$C$21)&lt;&gt;"No control",SUMIF(('Loading-drum,tote'!$B$31:$B$48),$J3494,('Loading-drum,tote'!$E$31:$E$48))*Impacts!$F$13,0)),0)</f>
        <v>0</v>
      </c>
      <c r="R3494" s="10">
        <f>IFERROR(IF(('Loading-truck'!$C$21)="No control",SUMIF(('Loading-truck'!$B$31:$B$48),$J3494,('Loading-truck'!$D$31:$D$48))*Impacts!$F$14,IF(('Loading-truck'!$C$21)&lt;&gt;"No control",SUMIF(('Loading-truck'!$B$31:$B$48),$J3494,('Loading-truck'!$E$31:$E$48))*Impacts!$F$14,0)),0)</f>
        <v>0</v>
      </c>
      <c r="S3494" s="10">
        <f>IFERROR(IF(('Loading-rail'!$C$21)="No control",SUMIF(('Loading-rail'!$B$31:$B$48),$J3494,('Loading-rail'!$D$31:$D$48))*Impacts!$F$15,IF(('Loading-rail'!$C$21)&lt;&gt;"No control",SUMIF(('Loading-rail'!$B$31:$B$48),$J3494,('Loading-rail'!$E$31:$E$48))*Impacts!$F$15,0)),0)</f>
        <v>0</v>
      </c>
      <c r="T3494" s="10">
        <f>IF(Flare!$C$7="",0,(SUMIF(Flare!$B$46:$B$185,$J3494,Flare!$E$46:$E$185)*Impacts!$F$16))</f>
        <v>0</v>
      </c>
      <c r="U3494" s="10">
        <f>IF(VCU!$C$9="",0,(SUMIF(VCU!$B$51:$B$193,$J3494,VCU!$E$51:$E$193)*Impacts!$F$17))</f>
        <v>0</v>
      </c>
      <c r="V3494" s="10">
        <f>IF(CAS!$C$7="",0,(SUMIF(CAS!$B$31:$B$167,$J3494,CAS!$E$31:$E$167)*Impacts!$F$18))</f>
        <v>0</v>
      </c>
      <c r="W3494" s="10">
        <f t="shared" si="95"/>
        <v>0</v>
      </c>
      <c r="AK3494" s="10" t="str">
        <f t="array" ref="AK3494">IFERROR(INDEX(SelectedSpecies,SMALL(IF(SelectedSpecies=AK$1,ROW(SelectedSpecies)),ROW(3495:3495)),2),"")</f>
        <v/>
      </c>
      <c r="BE3494" s="10"/>
      <c r="BI3494" s="10"/>
    </row>
    <row r="3495" spans="1:61" ht="21" customHeight="1" x14ac:dyDescent="0.25">
      <c r="A3495" s="10"/>
      <c r="B3495" s="10"/>
      <c r="E3495" s="10"/>
      <c r="G3495" s="10"/>
      <c r="I3495" s="436" t="s">
        <v>7874</v>
      </c>
      <c r="J3495" s="26" t="s">
        <v>7873</v>
      </c>
      <c r="K3495" s="10">
        <v>0.06</v>
      </c>
      <c r="L3495" s="73">
        <f>IF(Tank1!$C$23="No control",(SUMIF(Tank1!$B$32:$B$49,$J3495,Tank1!$C$32:$C$49)*Impacts!$F$8),0)</f>
        <v>0</v>
      </c>
      <c r="M3495" s="10">
        <f>IF(Tank2!$C$23="No control",(SUMIF(Tank2!$B$32:$B$49,$J3495,Tank2!$C$32:$C$49)*Impacts!$F$9),0)</f>
        <v>0</v>
      </c>
      <c r="N3495" s="10">
        <f>IF(Tank3!$C$23="No control",(SUMIF(Tank3!$B$32:$B$49,$J3495,Tank3!$C$32:$C$49)*Impacts!$F$10),0)</f>
        <v>0</v>
      </c>
      <c r="O3495" s="10">
        <f>IF(Tank4!$C$23="No control",(SUMIF(Tank4!$B$32:$B$49,$J3495,Tank4!$C$32:$C$49)*Impacts!$F$11),0)</f>
        <v>0</v>
      </c>
      <c r="P3495" s="10">
        <f>IF(Tank5!$C$23="No control",(SUMIF(Tank5!$B$32:$B$49,$J3495,Tank5!$C$32:$C$49)*Impacts!$F$12),0)</f>
        <v>0</v>
      </c>
      <c r="Q3495" s="10">
        <f>IFERROR(IF(('Loading-drum,tote'!$C$21)="No control",SUMIF(('Loading-drum,tote'!$B$31:$B$48),$J3495,('Loading-drum,tote'!$D$31:$D$48))*Impacts!$F$13,IF(('Loading-drum,tote'!$C$21)&lt;&gt;"No control",SUMIF(('Loading-drum,tote'!$B$31:$B$48),$J3495,('Loading-drum,tote'!$E$31:$E$48))*Impacts!$F$13,0)),0)</f>
        <v>0</v>
      </c>
      <c r="R3495" s="10">
        <f>IFERROR(IF(('Loading-truck'!$C$21)="No control",SUMIF(('Loading-truck'!$B$31:$B$48),$J3495,('Loading-truck'!$D$31:$D$48))*Impacts!$F$14,IF(('Loading-truck'!$C$21)&lt;&gt;"No control",SUMIF(('Loading-truck'!$B$31:$B$48),$J3495,('Loading-truck'!$E$31:$E$48))*Impacts!$F$14,0)),0)</f>
        <v>0</v>
      </c>
      <c r="S3495" s="10">
        <f>IFERROR(IF(('Loading-rail'!$C$21)="No control",SUMIF(('Loading-rail'!$B$31:$B$48),$J3495,('Loading-rail'!$D$31:$D$48))*Impacts!$F$15,IF(('Loading-rail'!$C$21)&lt;&gt;"No control",SUMIF(('Loading-rail'!$B$31:$B$48),$J3495,('Loading-rail'!$E$31:$E$48))*Impacts!$F$15,0)),0)</f>
        <v>0</v>
      </c>
      <c r="T3495" s="10">
        <f>IF(Flare!$C$7="",0,(SUMIF(Flare!$B$46:$B$185,$J3495,Flare!$E$46:$E$185)*Impacts!$F$16))</f>
        <v>0</v>
      </c>
      <c r="U3495" s="10">
        <f>IF(VCU!$C$9="",0,(SUMIF(VCU!$B$51:$B$193,$J3495,VCU!$E$51:$E$193)*Impacts!$F$17))</f>
        <v>0</v>
      </c>
      <c r="V3495" s="10">
        <f>IF(CAS!$C$7="",0,(SUMIF(CAS!$B$31:$B$167,$J3495,CAS!$E$31:$E$167)*Impacts!$F$18))</f>
        <v>0</v>
      </c>
      <c r="W3495" s="10">
        <f t="shared" si="95"/>
        <v>0</v>
      </c>
      <c r="AK3495" s="10" t="str">
        <f t="array" ref="AK3495">IFERROR(INDEX(SelectedSpecies,SMALL(IF(SelectedSpecies=AK$1,ROW(SelectedSpecies)),ROW(3496:3496)),2),"")</f>
        <v/>
      </c>
      <c r="BE3495" s="10"/>
      <c r="BI3495" s="10"/>
    </row>
    <row r="3496" spans="1:61" ht="21" customHeight="1" x14ac:dyDescent="0.25">
      <c r="A3496" s="10"/>
      <c r="B3496" s="10"/>
      <c r="E3496" s="10"/>
      <c r="G3496" s="10"/>
      <c r="I3496" s="436" t="s">
        <v>750</v>
      </c>
      <c r="J3496" s="26" t="s">
        <v>749</v>
      </c>
      <c r="K3496" s="10">
        <v>57</v>
      </c>
      <c r="L3496" s="73">
        <f>IF(Tank1!$C$23="No control",(SUMIF(Tank1!$B$32:$B$49,$J3496,Tank1!$C$32:$C$49)*Impacts!$F$8),0)</f>
        <v>0</v>
      </c>
      <c r="M3496" s="10">
        <f>IF(Tank2!$C$23="No control",(SUMIF(Tank2!$B$32:$B$49,$J3496,Tank2!$C$32:$C$49)*Impacts!$F$9),0)</f>
        <v>0</v>
      </c>
      <c r="N3496" s="10">
        <f>IF(Tank3!$C$23="No control",(SUMIF(Tank3!$B$32:$B$49,$J3496,Tank3!$C$32:$C$49)*Impacts!$F$10),0)</f>
        <v>0</v>
      </c>
      <c r="O3496" s="10">
        <f>IF(Tank4!$C$23="No control",(SUMIF(Tank4!$B$32:$B$49,$J3496,Tank4!$C$32:$C$49)*Impacts!$F$11),0)</f>
        <v>0</v>
      </c>
      <c r="P3496" s="10">
        <f>IF(Tank5!$C$23="No control",(SUMIF(Tank5!$B$32:$B$49,$J3496,Tank5!$C$32:$C$49)*Impacts!$F$12),0)</f>
        <v>0</v>
      </c>
      <c r="Q3496" s="10">
        <f>IFERROR(IF(('Loading-drum,tote'!$C$21)="No control",SUMIF(('Loading-drum,tote'!$B$31:$B$48),$J3496,('Loading-drum,tote'!$D$31:$D$48))*Impacts!$F$13,IF(('Loading-drum,tote'!$C$21)&lt;&gt;"No control",SUMIF(('Loading-drum,tote'!$B$31:$B$48),$J3496,('Loading-drum,tote'!$E$31:$E$48))*Impacts!$F$13,0)),0)</f>
        <v>0</v>
      </c>
      <c r="R3496" s="10">
        <f>IFERROR(IF(('Loading-truck'!$C$21)="No control",SUMIF(('Loading-truck'!$B$31:$B$48),$J3496,('Loading-truck'!$D$31:$D$48))*Impacts!$F$14,IF(('Loading-truck'!$C$21)&lt;&gt;"No control",SUMIF(('Loading-truck'!$B$31:$B$48),$J3496,('Loading-truck'!$E$31:$E$48))*Impacts!$F$14,0)),0)</f>
        <v>0</v>
      </c>
      <c r="S3496" s="10">
        <f>IFERROR(IF(('Loading-rail'!$C$21)="No control",SUMIF(('Loading-rail'!$B$31:$B$48),$J3496,('Loading-rail'!$D$31:$D$48))*Impacts!$F$15,IF(('Loading-rail'!$C$21)&lt;&gt;"No control",SUMIF(('Loading-rail'!$B$31:$B$48),$J3496,('Loading-rail'!$E$31:$E$48))*Impacts!$F$15,0)),0)</f>
        <v>0</v>
      </c>
      <c r="T3496" s="10">
        <f>IF(Flare!$C$7="",0,(SUMIF(Flare!$B$46:$B$185,$J3496,Flare!$E$46:$E$185)*Impacts!$F$16))</f>
        <v>0</v>
      </c>
      <c r="U3496" s="10">
        <f>IF(VCU!$C$9="",0,(SUMIF(VCU!$B$51:$B$193,$J3496,VCU!$E$51:$E$193)*Impacts!$F$17))</f>
        <v>0</v>
      </c>
      <c r="V3496" s="10">
        <f>IF(CAS!$C$7="",0,(SUMIF(CAS!$B$31:$B$167,$J3496,CAS!$E$31:$E$167)*Impacts!$F$18))</f>
        <v>0</v>
      </c>
      <c r="W3496" s="10">
        <f t="shared" si="95"/>
        <v>0</v>
      </c>
      <c r="AK3496" s="10" t="str">
        <f t="array" ref="AK3496">IFERROR(INDEX(SelectedSpecies,SMALL(IF(SelectedSpecies=AK$1,ROW(SelectedSpecies)),ROW(3497:3497)),2),"")</f>
        <v/>
      </c>
      <c r="BE3496" s="10"/>
      <c r="BI3496" s="10"/>
    </row>
    <row r="3497" spans="1:61" ht="21" customHeight="1" x14ac:dyDescent="0.25">
      <c r="A3497" s="10"/>
      <c r="B3497" s="10"/>
      <c r="E3497" s="10"/>
      <c r="G3497" s="10"/>
      <c r="I3497" s="436" t="s">
        <v>7542</v>
      </c>
      <c r="J3497" s="26" t="s">
        <v>7541</v>
      </c>
      <c r="K3497" s="10">
        <v>0.2</v>
      </c>
      <c r="L3497" s="73">
        <f>IF(Tank1!$C$23="No control",(SUMIF(Tank1!$B$32:$B$49,$J3497,Tank1!$C$32:$C$49)*Impacts!$F$8),0)</f>
        <v>0</v>
      </c>
      <c r="M3497" s="10">
        <f>IF(Tank2!$C$23="No control",(SUMIF(Tank2!$B$32:$B$49,$J3497,Tank2!$C$32:$C$49)*Impacts!$F$9),0)</f>
        <v>0</v>
      </c>
      <c r="N3497" s="10">
        <f>IF(Tank3!$C$23="No control",(SUMIF(Tank3!$B$32:$B$49,$J3497,Tank3!$C$32:$C$49)*Impacts!$F$10),0)</f>
        <v>0</v>
      </c>
      <c r="O3497" s="10">
        <f>IF(Tank4!$C$23="No control",(SUMIF(Tank4!$B$32:$B$49,$J3497,Tank4!$C$32:$C$49)*Impacts!$F$11),0)</f>
        <v>0</v>
      </c>
      <c r="P3497" s="10">
        <f>IF(Tank5!$C$23="No control",(SUMIF(Tank5!$B$32:$B$49,$J3497,Tank5!$C$32:$C$49)*Impacts!$F$12),0)</f>
        <v>0</v>
      </c>
      <c r="Q3497" s="10">
        <f>IFERROR(IF(('Loading-drum,tote'!$C$21)="No control",SUMIF(('Loading-drum,tote'!$B$31:$B$48),$J3497,('Loading-drum,tote'!$D$31:$D$48))*Impacts!$F$13,IF(('Loading-drum,tote'!$C$21)&lt;&gt;"No control",SUMIF(('Loading-drum,tote'!$B$31:$B$48),$J3497,('Loading-drum,tote'!$E$31:$E$48))*Impacts!$F$13,0)),0)</f>
        <v>0</v>
      </c>
      <c r="R3497" s="10">
        <f>IFERROR(IF(('Loading-truck'!$C$21)="No control",SUMIF(('Loading-truck'!$B$31:$B$48),$J3497,('Loading-truck'!$D$31:$D$48))*Impacts!$F$14,IF(('Loading-truck'!$C$21)&lt;&gt;"No control",SUMIF(('Loading-truck'!$B$31:$B$48),$J3497,('Loading-truck'!$E$31:$E$48))*Impacts!$F$14,0)),0)</f>
        <v>0</v>
      </c>
      <c r="S3497" s="10">
        <f>IFERROR(IF(('Loading-rail'!$C$21)="No control",SUMIF(('Loading-rail'!$B$31:$B$48),$J3497,('Loading-rail'!$D$31:$D$48))*Impacts!$F$15,IF(('Loading-rail'!$C$21)&lt;&gt;"No control",SUMIF(('Loading-rail'!$B$31:$B$48),$J3497,('Loading-rail'!$E$31:$E$48))*Impacts!$F$15,0)),0)</f>
        <v>0</v>
      </c>
      <c r="T3497" s="10">
        <f>IF(Flare!$C$7="",0,(SUMIF(Flare!$B$46:$B$185,$J3497,Flare!$E$46:$E$185)*Impacts!$F$16))</f>
        <v>0</v>
      </c>
      <c r="U3497" s="10">
        <f>IF(VCU!$C$9="",0,(SUMIF(VCU!$B$51:$B$193,$J3497,VCU!$E$51:$E$193)*Impacts!$F$17))</f>
        <v>0</v>
      </c>
      <c r="V3497" s="10">
        <f>IF(CAS!$C$7="",0,(SUMIF(CAS!$B$31:$B$167,$J3497,CAS!$E$31:$E$167)*Impacts!$F$18))</f>
        <v>0</v>
      </c>
      <c r="W3497" s="10">
        <f t="shared" si="95"/>
        <v>0</v>
      </c>
      <c r="AK3497" s="10" t="str">
        <f t="array" ref="AK3497">IFERROR(INDEX(SelectedSpecies,SMALL(IF(SelectedSpecies=AK$1,ROW(SelectedSpecies)),ROW(3498:3498)),2),"")</f>
        <v/>
      </c>
      <c r="BE3497" s="10"/>
      <c r="BI3497" s="10"/>
    </row>
    <row r="3498" spans="1:61" ht="21" customHeight="1" x14ac:dyDescent="0.25">
      <c r="A3498" s="10"/>
      <c r="B3498" s="10"/>
      <c r="E3498" s="10"/>
      <c r="G3498" s="10"/>
      <c r="I3498" s="436" t="s">
        <v>6468</v>
      </c>
      <c r="J3498" s="26" t="s">
        <v>6467</v>
      </c>
      <c r="K3498" s="10">
        <v>0.79</v>
      </c>
      <c r="L3498" s="73">
        <f>IF(Tank1!$C$23="No control",(SUMIF(Tank1!$B$32:$B$49,$J3498,Tank1!$C$32:$C$49)*Impacts!$F$8),0)</f>
        <v>0</v>
      </c>
      <c r="M3498" s="10">
        <f>IF(Tank2!$C$23="No control",(SUMIF(Tank2!$B$32:$B$49,$J3498,Tank2!$C$32:$C$49)*Impacts!$F$9),0)</f>
        <v>0</v>
      </c>
      <c r="N3498" s="10">
        <f>IF(Tank3!$C$23="No control",(SUMIF(Tank3!$B$32:$B$49,$J3498,Tank3!$C$32:$C$49)*Impacts!$F$10),0)</f>
        <v>0</v>
      </c>
      <c r="O3498" s="10">
        <f>IF(Tank4!$C$23="No control",(SUMIF(Tank4!$B$32:$B$49,$J3498,Tank4!$C$32:$C$49)*Impacts!$F$11),0)</f>
        <v>0</v>
      </c>
      <c r="P3498" s="10">
        <f>IF(Tank5!$C$23="No control",(SUMIF(Tank5!$B$32:$B$49,$J3498,Tank5!$C$32:$C$49)*Impacts!$F$12),0)</f>
        <v>0</v>
      </c>
      <c r="Q3498" s="10">
        <f>IFERROR(IF(('Loading-drum,tote'!$C$21)="No control",SUMIF(('Loading-drum,tote'!$B$31:$B$48),$J3498,('Loading-drum,tote'!$D$31:$D$48))*Impacts!$F$13,IF(('Loading-drum,tote'!$C$21)&lt;&gt;"No control",SUMIF(('Loading-drum,tote'!$B$31:$B$48),$J3498,('Loading-drum,tote'!$E$31:$E$48))*Impacts!$F$13,0)),0)</f>
        <v>0</v>
      </c>
      <c r="R3498" s="10">
        <f>IFERROR(IF(('Loading-truck'!$C$21)="No control",SUMIF(('Loading-truck'!$B$31:$B$48),$J3498,('Loading-truck'!$D$31:$D$48))*Impacts!$F$14,IF(('Loading-truck'!$C$21)&lt;&gt;"No control",SUMIF(('Loading-truck'!$B$31:$B$48),$J3498,('Loading-truck'!$E$31:$E$48))*Impacts!$F$14,0)),0)</f>
        <v>0</v>
      </c>
      <c r="S3498" s="10">
        <f>IFERROR(IF(('Loading-rail'!$C$21)="No control",SUMIF(('Loading-rail'!$B$31:$B$48),$J3498,('Loading-rail'!$D$31:$D$48))*Impacts!$F$15,IF(('Loading-rail'!$C$21)&lt;&gt;"No control",SUMIF(('Loading-rail'!$B$31:$B$48),$J3498,('Loading-rail'!$E$31:$E$48))*Impacts!$F$15,0)),0)</f>
        <v>0</v>
      </c>
      <c r="T3498" s="10">
        <f>IF(Flare!$C$7="",0,(SUMIF(Flare!$B$46:$B$185,$J3498,Flare!$E$46:$E$185)*Impacts!$F$16))</f>
        <v>0</v>
      </c>
      <c r="U3498" s="10">
        <f>IF(VCU!$C$9="",0,(SUMIF(VCU!$B$51:$B$193,$J3498,VCU!$E$51:$E$193)*Impacts!$F$17))</f>
        <v>0</v>
      </c>
      <c r="V3498" s="10">
        <f>IF(CAS!$C$7="",0,(SUMIF(CAS!$B$31:$B$167,$J3498,CAS!$E$31:$E$167)*Impacts!$F$18))</f>
        <v>0</v>
      </c>
      <c r="W3498" s="10">
        <f t="shared" si="95"/>
        <v>0</v>
      </c>
      <c r="AK3498" s="10" t="str">
        <f t="array" ref="AK3498">IFERROR(INDEX(SelectedSpecies,SMALL(IF(SelectedSpecies=AK$1,ROW(SelectedSpecies)),ROW(3499:3499)),2),"")</f>
        <v/>
      </c>
      <c r="BE3498" s="10"/>
      <c r="BI3498" s="10"/>
    </row>
    <row r="3499" spans="1:61" ht="21" customHeight="1" x14ac:dyDescent="0.25">
      <c r="A3499" s="10"/>
      <c r="B3499" s="10"/>
      <c r="E3499" s="10"/>
      <c r="G3499" s="10"/>
      <c r="I3499" s="436" t="s">
        <v>6408</v>
      </c>
      <c r="J3499" s="26" t="s">
        <v>6407</v>
      </c>
      <c r="K3499" s="10">
        <v>0.81</v>
      </c>
      <c r="L3499" s="73">
        <f>IF(Tank1!$C$23="No control",(SUMIF(Tank1!$B$32:$B$49,$J3499,Tank1!$C$32:$C$49)*Impacts!$F$8),0)</f>
        <v>0</v>
      </c>
      <c r="M3499" s="10">
        <f>IF(Tank2!$C$23="No control",(SUMIF(Tank2!$B$32:$B$49,$J3499,Tank2!$C$32:$C$49)*Impacts!$F$9),0)</f>
        <v>0</v>
      </c>
      <c r="N3499" s="10">
        <f>IF(Tank3!$C$23="No control",(SUMIF(Tank3!$B$32:$B$49,$J3499,Tank3!$C$32:$C$49)*Impacts!$F$10),0)</f>
        <v>0</v>
      </c>
      <c r="O3499" s="10">
        <f>IF(Tank4!$C$23="No control",(SUMIF(Tank4!$B$32:$B$49,$J3499,Tank4!$C$32:$C$49)*Impacts!$F$11),0)</f>
        <v>0</v>
      </c>
      <c r="P3499" s="10">
        <f>IF(Tank5!$C$23="No control",(SUMIF(Tank5!$B$32:$B$49,$J3499,Tank5!$C$32:$C$49)*Impacts!$F$12),0)</f>
        <v>0</v>
      </c>
      <c r="Q3499" s="10">
        <f>IFERROR(IF(('Loading-drum,tote'!$C$21)="No control",SUMIF(('Loading-drum,tote'!$B$31:$B$48),$J3499,('Loading-drum,tote'!$D$31:$D$48))*Impacts!$F$13,IF(('Loading-drum,tote'!$C$21)&lt;&gt;"No control",SUMIF(('Loading-drum,tote'!$B$31:$B$48),$J3499,('Loading-drum,tote'!$E$31:$E$48))*Impacts!$F$13,0)),0)</f>
        <v>0</v>
      </c>
      <c r="R3499" s="10">
        <f>IFERROR(IF(('Loading-truck'!$C$21)="No control",SUMIF(('Loading-truck'!$B$31:$B$48),$J3499,('Loading-truck'!$D$31:$D$48))*Impacts!$F$14,IF(('Loading-truck'!$C$21)&lt;&gt;"No control",SUMIF(('Loading-truck'!$B$31:$B$48),$J3499,('Loading-truck'!$E$31:$E$48))*Impacts!$F$14,0)),0)</f>
        <v>0</v>
      </c>
      <c r="S3499" s="10">
        <f>IFERROR(IF(('Loading-rail'!$C$21)="No control",SUMIF(('Loading-rail'!$B$31:$B$48),$J3499,('Loading-rail'!$D$31:$D$48))*Impacts!$F$15,IF(('Loading-rail'!$C$21)&lt;&gt;"No control",SUMIF(('Loading-rail'!$B$31:$B$48),$J3499,('Loading-rail'!$E$31:$E$48))*Impacts!$F$15,0)),0)</f>
        <v>0</v>
      </c>
      <c r="T3499" s="10">
        <f>IF(Flare!$C$7="",0,(SUMIF(Flare!$B$46:$B$185,$J3499,Flare!$E$46:$E$185)*Impacts!$F$16))</f>
        <v>0</v>
      </c>
      <c r="U3499" s="10">
        <f>IF(VCU!$C$9="",0,(SUMIF(VCU!$B$51:$B$193,$J3499,VCU!$E$51:$E$193)*Impacts!$F$17))</f>
        <v>0</v>
      </c>
      <c r="V3499" s="10">
        <f>IF(CAS!$C$7="",0,(SUMIF(CAS!$B$31:$B$167,$J3499,CAS!$E$31:$E$167)*Impacts!$F$18))</f>
        <v>0</v>
      </c>
      <c r="W3499" s="10">
        <f t="shared" si="95"/>
        <v>0</v>
      </c>
      <c r="AK3499" s="10" t="str">
        <f t="array" ref="AK3499">IFERROR(INDEX(SelectedSpecies,SMALL(IF(SelectedSpecies=AK$1,ROW(SelectedSpecies)),ROW(3500:3500)),2),"")</f>
        <v/>
      </c>
      <c r="BE3499" s="10"/>
      <c r="BI3499" s="10"/>
    </row>
    <row r="3500" spans="1:61" ht="21" customHeight="1" x14ac:dyDescent="0.25">
      <c r="A3500" s="10"/>
      <c r="B3500" s="10"/>
      <c r="E3500" s="10"/>
      <c r="G3500" s="10"/>
      <c r="I3500" s="436" t="s">
        <v>6408</v>
      </c>
      <c r="J3500" s="26" t="s">
        <v>10411</v>
      </c>
      <c r="K3500" s="10">
        <v>5.6999999999999995E-2</v>
      </c>
      <c r="L3500" s="73">
        <f>IF(Tank1!$C$23="No control",(SUMIF(Tank1!$B$32:$B$49,$J3500,Tank1!$C$32:$C$49)*Impacts!$F$8),0)</f>
        <v>0</v>
      </c>
      <c r="M3500" s="10">
        <f>IF(Tank2!$C$23="No control",(SUMIF(Tank2!$B$32:$B$49,$J3500,Tank2!$C$32:$C$49)*Impacts!$F$9),0)</f>
        <v>0</v>
      </c>
      <c r="N3500" s="10">
        <f>IF(Tank3!$C$23="No control",(SUMIF(Tank3!$B$32:$B$49,$J3500,Tank3!$C$32:$C$49)*Impacts!$F$10),0)</f>
        <v>0</v>
      </c>
      <c r="O3500" s="10">
        <f>IF(Tank4!$C$23="No control",(SUMIF(Tank4!$B$32:$B$49,$J3500,Tank4!$C$32:$C$49)*Impacts!$F$11),0)</f>
        <v>0</v>
      </c>
      <c r="P3500" s="10">
        <f>IF(Tank5!$C$23="No control",(SUMIF(Tank5!$B$32:$B$49,$J3500,Tank5!$C$32:$C$49)*Impacts!$F$12),0)</f>
        <v>0</v>
      </c>
      <c r="Q3500" s="10">
        <f>IFERROR(IF(('Loading-drum,tote'!$C$21)="No control",SUMIF(('Loading-drum,tote'!$B$31:$B$48),$J3500,('Loading-drum,tote'!$D$31:$D$48))*Impacts!$F$13,IF(('Loading-drum,tote'!$C$21)&lt;&gt;"No control",SUMIF(('Loading-drum,tote'!$B$31:$B$48),$J3500,('Loading-drum,tote'!$E$31:$E$48))*Impacts!$F$13,0)),0)</f>
        <v>0</v>
      </c>
      <c r="R3500" s="10">
        <f>IFERROR(IF(('Loading-truck'!$C$21)="No control",SUMIF(('Loading-truck'!$B$31:$B$48),$J3500,('Loading-truck'!$D$31:$D$48))*Impacts!$F$14,IF(('Loading-truck'!$C$21)&lt;&gt;"No control",SUMIF(('Loading-truck'!$B$31:$B$48),$J3500,('Loading-truck'!$E$31:$E$48))*Impacts!$F$14,0)),0)</f>
        <v>0</v>
      </c>
      <c r="S3500" s="10">
        <f>IFERROR(IF(('Loading-rail'!$C$21)="No control",SUMIF(('Loading-rail'!$B$31:$B$48),$J3500,('Loading-rail'!$D$31:$D$48))*Impacts!$F$15,IF(('Loading-rail'!$C$21)&lt;&gt;"No control",SUMIF(('Loading-rail'!$B$31:$B$48),$J3500,('Loading-rail'!$E$31:$E$48))*Impacts!$F$15,0)),0)</f>
        <v>0</v>
      </c>
      <c r="T3500" s="10">
        <f>IF(Flare!$C$7="",0,(SUMIF(Flare!$B$46:$B$185,$J3500,Flare!$E$46:$E$185)*Impacts!$F$16))</f>
        <v>0</v>
      </c>
      <c r="U3500" s="10">
        <f>IF(VCU!$C$9="",0,(SUMIF(VCU!$B$51:$B$193,$J3500,VCU!$E$51:$E$193)*Impacts!$F$17))</f>
        <v>0</v>
      </c>
      <c r="V3500" s="10">
        <f>IF(CAS!$C$7="",0,(SUMIF(CAS!$B$31:$B$167,$J3500,CAS!$E$31:$E$167)*Impacts!$F$18))</f>
        <v>0</v>
      </c>
      <c r="W3500" s="10">
        <f t="shared" si="95"/>
        <v>0</v>
      </c>
      <c r="AK3500" s="10" t="str">
        <f t="array" ref="AK3500">IFERROR(INDEX(SelectedSpecies,SMALL(IF(SelectedSpecies=AK$1,ROW(SelectedSpecies)),ROW(3501:3501)),2),"")</f>
        <v/>
      </c>
      <c r="BE3500" s="10"/>
      <c r="BI3500" s="10"/>
    </row>
    <row r="3501" spans="1:61" ht="21" customHeight="1" x14ac:dyDescent="0.25">
      <c r="A3501" s="10"/>
      <c r="B3501" s="10"/>
      <c r="E3501" s="10"/>
      <c r="G3501" s="10"/>
      <c r="I3501" s="436" t="s">
        <v>6408</v>
      </c>
      <c r="J3501" s="26" t="s">
        <v>10412</v>
      </c>
      <c r="K3501" s="10">
        <v>7.0999999999999994E-2</v>
      </c>
      <c r="L3501" s="73">
        <f>IF(Tank1!$C$23="No control",(SUMIF(Tank1!$B$32:$B$49,$J3501,Tank1!$C$32:$C$49)*Impacts!$F$8),0)</f>
        <v>0</v>
      </c>
      <c r="M3501" s="10">
        <f>IF(Tank2!$C$23="No control",(SUMIF(Tank2!$B$32:$B$49,$J3501,Tank2!$C$32:$C$49)*Impacts!$F$9),0)</f>
        <v>0</v>
      </c>
      <c r="N3501" s="10">
        <f>IF(Tank3!$C$23="No control",(SUMIF(Tank3!$B$32:$B$49,$J3501,Tank3!$C$32:$C$49)*Impacts!$F$10),0)</f>
        <v>0</v>
      </c>
      <c r="O3501" s="10">
        <f>IF(Tank4!$C$23="No control",(SUMIF(Tank4!$B$32:$B$49,$J3501,Tank4!$C$32:$C$49)*Impacts!$F$11),0)</f>
        <v>0</v>
      </c>
      <c r="P3501" s="10">
        <f>IF(Tank5!$C$23="No control",(SUMIF(Tank5!$B$32:$B$49,$J3501,Tank5!$C$32:$C$49)*Impacts!$F$12),0)</f>
        <v>0</v>
      </c>
      <c r="Q3501" s="10">
        <f>IFERROR(IF(('Loading-drum,tote'!$C$21)="No control",SUMIF(('Loading-drum,tote'!$B$31:$B$48),$J3501,('Loading-drum,tote'!$D$31:$D$48))*Impacts!$F$13,IF(('Loading-drum,tote'!$C$21)&lt;&gt;"No control",SUMIF(('Loading-drum,tote'!$B$31:$B$48),$J3501,('Loading-drum,tote'!$E$31:$E$48))*Impacts!$F$13,0)),0)</f>
        <v>0</v>
      </c>
      <c r="R3501" s="10">
        <f>IFERROR(IF(('Loading-truck'!$C$21)="No control",SUMIF(('Loading-truck'!$B$31:$B$48),$J3501,('Loading-truck'!$D$31:$D$48))*Impacts!$F$14,IF(('Loading-truck'!$C$21)&lt;&gt;"No control",SUMIF(('Loading-truck'!$B$31:$B$48),$J3501,('Loading-truck'!$E$31:$E$48))*Impacts!$F$14,0)),0)</f>
        <v>0</v>
      </c>
      <c r="S3501" s="10">
        <f>IFERROR(IF(('Loading-rail'!$C$21)="No control",SUMIF(('Loading-rail'!$B$31:$B$48),$J3501,('Loading-rail'!$D$31:$D$48))*Impacts!$F$15,IF(('Loading-rail'!$C$21)&lt;&gt;"No control",SUMIF(('Loading-rail'!$B$31:$B$48),$J3501,('Loading-rail'!$E$31:$E$48))*Impacts!$F$15,0)),0)</f>
        <v>0</v>
      </c>
      <c r="T3501" s="10">
        <f>IF(Flare!$C$7="",0,(SUMIF(Flare!$B$46:$B$185,$J3501,Flare!$E$46:$E$185)*Impacts!$F$16))</f>
        <v>0</v>
      </c>
      <c r="U3501" s="10">
        <f>IF(VCU!$C$9="",0,(SUMIF(VCU!$B$51:$B$193,$J3501,VCU!$E$51:$E$193)*Impacts!$F$17))</f>
        <v>0</v>
      </c>
      <c r="V3501" s="10">
        <f>IF(CAS!$C$7="",0,(SUMIF(CAS!$B$31:$B$167,$J3501,CAS!$E$31:$E$167)*Impacts!$F$18))</f>
        <v>0</v>
      </c>
      <c r="W3501" s="10">
        <f t="shared" si="95"/>
        <v>0</v>
      </c>
      <c r="AK3501" s="10" t="str">
        <f t="array" ref="AK3501">IFERROR(INDEX(SelectedSpecies,SMALL(IF(SelectedSpecies=AK$1,ROW(SelectedSpecies)),ROW(3502:3502)),2),"")</f>
        <v/>
      </c>
      <c r="BE3501" s="10"/>
      <c r="BI3501" s="10"/>
    </row>
    <row r="3502" spans="1:61" ht="21" customHeight="1" x14ac:dyDescent="0.25">
      <c r="A3502" s="10"/>
      <c r="B3502" s="10"/>
      <c r="E3502" s="10"/>
      <c r="G3502" s="10"/>
      <c r="I3502" s="436" t="s">
        <v>6470</v>
      </c>
      <c r="J3502" s="26" t="s">
        <v>6469</v>
      </c>
      <c r="K3502" s="10">
        <v>0.79</v>
      </c>
      <c r="L3502" s="73">
        <f>IF(Tank1!$C$23="No control",(SUMIF(Tank1!$B$32:$B$49,$J3502,Tank1!$C$32:$C$49)*Impacts!$F$8),0)</f>
        <v>0</v>
      </c>
      <c r="M3502" s="10">
        <f>IF(Tank2!$C$23="No control",(SUMIF(Tank2!$B$32:$B$49,$J3502,Tank2!$C$32:$C$49)*Impacts!$F$9),0)</f>
        <v>0</v>
      </c>
      <c r="N3502" s="10">
        <f>IF(Tank3!$C$23="No control",(SUMIF(Tank3!$B$32:$B$49,$J3502,Tank3!$C$32:$C$49)*Impacts!$F$10),0)</f>
        <v>0</v>
      </c>
      <c r="O3502" s="10">
        <f>IF(Tank4!$C$23="No control",(SUMIF(Tank4!$B$32:$B$49,$J3502,Tank4!$C$32:$C$49)*Impacts!$F$11),0)</f>
        <v>0</v>
      </c>
      <c r="P3502" s="10">
        <f>IF(Tank5!$C$23="No control",(SUMIF(Tank5!$B$32:$B$49,$J3502,Tank5!$C$32:$C$49)*Impacts!$F$12),0)</f>
        <v>0</v>
      </c>
      <c r="Q3502" s="10">
        <f>IFERROR(IF(('Loading-drum,tote'!$C$21)="No control",SUMIF(('Loading-drum,tote'!$B$31:$B$48),$J3502,('Loading-drum,tote'!$D$31:$D$48))*Impacts!$F$13,IF(('Loading-drum,tote'!$C$21)&lt;&gt;"No control",SUMIF(('Loading-drum,tote'!$B$31:$B$48),$J3502,('Loading-drum,tote'!$E$31:$E$48))*Impacts!$F$13,0)),0)</f>
        <v>0</v>
      </c>
      <c r="R3502" s="10">
        <f>IFERROR(IF(('Loading-truck'!$C$21)="No control",SUMIF(('Loading-truck'!$B$31:$B$48),$J3502,('Loading-truck'!$D$31:$D$48))*Impacts!$F$14,IF(('Loading-truck'!$C$21)&lt;&gt;"No control",SUMIF(('Loading-truck'!$B$31:$B$48),$J3502,('Loading-truck'!$E$31:$E$48))*Impacts!$F$14,0)),0)</f>
        <v>0</v>
      </c>
      <c r="S3502" s="10">
        <f>IFERROR(IF(('Loading-rail'!$C$21)="No control",SUMIF(('Loading-rail'!$B$31:$B$48),$J3502,('Loading-rail'!$D$31:$D$48))*Impacts!$F$15,IF(('Loading-rail'!$C$21)&lt;&gt;"No control",SUMIF(('Loading-rail'!$B$31:$B$48),$J3502,('Loading-rail'!$E$31:$E$48))*Impacts!$F$15,0)),0)</f>
        <v>0</v>
      </c>
      <c r="T3502" s="10">
        <f>IF(Flare!$C$7="",0,(SUMIF(Flare!$B$46:$B$185,$J3502,Flare!$E$46:$E$185)*Impacts!$F$16))</f>
        <v>0</v>
      </c>
      <c r="U3502" s="10">
        <f>IF(VCU!$C$9="",0,(SUMIF(VCU!$B$51:$B$193,$J3502,VCU!$E$51:$E$193)*Impacts!$F$17))</f>
        <v>0</v>
      </c>
      <c r="V3502" s="10">
        <f>IF(CAS!$C$7="",0,(SUMIF(CAS!$B$31:$B$167,$J3502,CAS!$E$31:$E$167)*Impacts!$F$18))</f>
        <v>0</v>
      </c>
      <c r="W3502" s="10">
        <f t="shared" si="95"/>
        <v>0</v>
      </c>
      <c r="AK3502" s="10" t="str">
        <f t="array" ref="AK3502">IFERROR(INDEX(SelectedSpecies,SMALL(IF(SelectedSpecies=AK$1,ROW(SelectedSpecies)),ROW(3503:3503)),2),"")</f>
        <v/>
      </c>
      <c r="BE3502" s="10"/>
      <c r="BI3502" s="10"/>
    </row>
    <row r="3503" spans="1:61" ht="21" customHeight="1" x14ac:dyDescent="0.25">
      <c r="A3503" s="10"/>
      <c r="B3503" s="10"/>
      <c r="E3503" s="10"/>
      <c r="G3503" s="10"/>
      <c r="I3503" s="436" t="s">
        <v>4095</v>
      </c>
      <c r="J3503" s="26" t="s">
        <v>4094</v>
      </c>
      <c r="K3503" s="10">
        <v>5.5</v>
      </c>
      <c r="L3503" s="73">
        <f>IF(Tank1!$C$23="No control",(SUMIF(Tank1!$B$32:$B$49,$J3503,Tank1!$C$32:$C$49)*Impacts!$F$8),0)</f>
        <v>0</v>
      </c>
      <c r="M3503" s="10">
        <f>IF(Tank2!$C$23="No control",(SUMIF(Tank2!$B$32:$B$49,$J3503,Tank2!$C$32:$C$49)*Impacts!$F$9),0)</f>
        <v>0</v>
      </c>
      <c r="N3503" s="10">
        <f>IF(Tank3!$C$23="No control",(SUMIF(Tank3!$B$32:$B$49,$J3503,Tank3!$C$32:$C$49)*Impacts!$F$10),0)</f>
        <v>0</v>
      </c>
      <c r="O3503" s="10">
        <f>IF(Tank4!$C$23="No control",(SUMIF(Tank4!$B$32:$B$49,$J3503,Tank4!$C$32:$C$49)*Impacts!$F$11),0)</f>
        <v>0</v>
      </c>
      <c r="P3503" s="10">
        <f>IF(Tank5!$C$23="No control",(SUMIF(Tank5!$B$32:$B$49,$J3503,Tank5!$C$32:$C$49)*Impacts!$F$12),0)</f>
        <v>0</v>
      </c>
      <c r="Q3503" s="10">
        <f>IFERROR(IF(('Loading-drum,tote'!$C$21)="No control",SUMIF(('Loading-drum,tote'!$B$31:$B$48),$J3503,('Loading-drum,tote'!$D$31:$D$48))*Impacts!$F$13,IF(('Loading-drum,tote'!$C$21)&lt;&gt;"No control",SUMIF(('Loading-drum,tote'!$B$31:$B$48),$J3503,('Loading-drum,tote'!$E$31:$E$48))*Impacts!$F$13,0)),0)</f>
        <v>0</v>
      </c>
      <c r="R3503" s="10">
        <f>IFERROR(IF(('Loading-truck'!$C$21)="No control",SUMIF(('Loading-truck'!$B$31:$B$48),$J3503,('Loading-truck'!$D$31:$D$48))*Impacts!$F$14,IF(('Loading-truck'!$C$21)&lt;&gt;"No control",SUMIF(('Loading-truck'!$B$31:$B$48),$J3503,('Loading-truck'!$E$31:$E$48))*Impacts!$F$14,0)),0)</f>
        <v>0</v>
      </c>
      <c r="S3503" s="10">
        <f>IFERROR(IF(('Loading-rail'!$C$21)="No control",SUMIF(('Loading-rail'!$B$31:$B$48),$J3503,('Loading-rail'!$D$31:$D$48))*Impacts!$F$15,IF(('Loading-rail'!$C$21)&lt;&gt;"No control",SUMIF(('Loading-rail'!$B$31:$B$48),$J3503,('Loading-rail'!$E$31:$E$48))*Impacts!$F$15,0)),0)</f>
        <v>0</v>
      </c>
      <c r="T3503" s="10">
        <f>IF(Flare!$C$7="",0,(SUMIF(Flare!$B$46:$B$185,$J3503,Flare!$E$46:$E$185)*Impacts!$F$16))</f>
        <v>0</v>
      </c>
      <c r="U3503" s="10">
        <f>IF(VCU!$C$9="",0,(SUMIF(VCU!$B$51:$B$193,$J3503,VCU!$E$51:$E$193)*Impacts!$F$17))</f>
        <v>0</v>
      </c>
      <c r="V3503" s="10">
        <f>IF(CAS!$C$7="",0,(SUMIF(CAS!$B$31:$B$167,$J3503,CAS!$E$31:$E$167)*Impacts!$F$18))</f>
        <v>0</v>
      </c>
      <c r="W3503" s="10">
        <f t="shared" si="95"/>
        <v>0</v>
      </c>
      <c r="AK3503" s="10" t="str">
        <f t="array" ref="AK3503">IFERROR(INDEX(SelectedSpecies,SMALL(IF(SelectedSpecies=AK$1,ROW(SelectedSpecies)),ROW(3504:3504)),2),"")</f>
        <v/>
      </c>
      <c r="BE3503" s="10"/>
      <c r="BI3503" s="10"/>
    </row>
    <row r="3504" spans="1:61" ht="21" customHeight="1" x14ac:dyDescent="0.25">
      <c r="A3504" s="10"/>
      <c r="B3504" s="10"/>
      <c r="E3504" s="10"/>
      <c r="G3504" s="10"/>
      <c r="I3504" s="436" t="s">
        <v>459</v>
      </c>
      <c r="J3504" s="26" t="s">
        <v>458</v>
      </c>
      <c r="K3504" s="10">
        <v>164</v>
      </c>
      <c r="L3504" s="73">
        <f>IF(Tank1!$C$23="No control",(SUMIF(Tank1!$B$32:$B$49,$J3504,Tank1!$C$32:$C$49)*Impacts!$F$8),0)</f>
        <v>0</v>
      </c>
      <c r="M3504" s="10">
        <f>IF(Tank2!$C$23="No control",(SUMIF(Tank2!$B$32:$B$49,$J3504,Tank2!$C$32:$C$49)*Impacts!$F$9),0)</f>
        <v>0</v>
      </c>
      <c r="N3504" s="10">
        <f>IF(Tank3!$C$23="No control",(SUMIF(Tank3!$B$32:$B$49,$J3504,Tank3!$C$32:$C$49)*Impacts!$F$10),0)</f>
        <v>0</v>
      </c>
      <c r="O3504" s="10">
        <f>IF(Tank4!$C$23="No control",(SUMIF(Tank4!$B$32:$B$49,$J3504,Tank4!$C$32:$C$49)*Impacts!$F$11),0)</f>
        <v>0</v>
      </c>
      <c r="P3504" s="10">
        <f>IF(Tank5!$C$23="No control",(SUMIF(Tank5!$B$32:$B$49,$J3504,Tank5!$C$32:$C$49)*Impacts!$F$12),0)</f>
        <v>0</v>
      </c>
      <c r="Q3504" s="10">
        <f>IFERROR(IF(('Loading-drum,tote'!$C$21)="No control",SUMIF(('Loading-drum,tote'!$B$31:$B$48),$J3504,('Loading-drum,tote'!$D$31:$D$48))*Impacts!$F$13,IF(('Loading-drum,tote'!$C$21)&lt;&gt;"No control",SUMIF(('Loading-drum,tote'!$B$31:$B$48),$J3504,('Loading-drum,tote'!$E$31:$E$48))*Impacts!$F$13,0)),0)</f>
        <v>0</v>
      </c>
      <c r="R3504" s="10">
        <f>IFERROR(IF(('Loading-truck'!$C$21)="No control",SUMIF(('Loading-truck'!$B$31:$B$48),$J3504,('Loading-truck'!$D$31:$D$48))*Impacts!$F$14,IF(('Loading-truck'!$C$21)&lt;&gt;"No control",SUMIF(('Loading-truck'!$B$31:$B$48),$J3504,('Loading-truck'!$E$31:$E$48))*Impacts!$F$14,0)),0)</f>
        <v>0</v>
      </c>
      <c r="S3504" s="10">
        <f>IFERROR(IF(('Loading-rail'!$C$21)="No control",SUMIF(('Loading-rail'!$B$31:$B$48),$J3504,('Loading-rail'!$D$31:$D$48))*Impacts!$F$15,IF(('Loading-rail'!$C$21)&lt;&gt;"No control",SUMIF(('Loading-rail'!$B$31:$B$48),$J3504,('Loading-rail'!$E$31:$E$48))*Impacts!$F$15,0)),0)</f>
        <v>0</v>
      </c>
      <c r="T3504" s="10">
        <f>IF(Flare!$C$7="",0,(SUMIF(Flare!$B$46:$B$185,$J3504,Flare!$E$46:$E$185)*Impacts!$F$16))</f>
        <v>0</v>
      </c>
      <c r="U3504" s="10">
        <f>IF(VCU!$C$9="",0,(SUMIF(VCU!$B$51:$B$193,$J3504,VCU!$E$51:$E$193)*Impacts!$F$17))</f>
        <v>0</v>
      </c>
      <c r="V3504" s="10">
        <f>IF(CAS!$C$7="",0,(SUMIF(CAS!$B$31:$B$167,$J3504,CAS!$E$31:$E$167)*Impacts!$F$18))</f>
        <v>0</v>
      </c>
      <c r="W3504" s="10">
        <f t="shared" si="95"/>
        <v>0</v>
      </c>
      <c r="AK3504" s="10" t="str">
        <f t="array" ref="AK3504">IFERROR(INDEX(SelectedSpecies,SMALL(IF(SelectedSpecies=AK$1,ROW(SelectedSpecies)),ROW(3505:3505)),2),"")</f>
        <v/>
      </c>
      <c r="BE3504" s="10"/>
      <c r="BI3504" s="10"/>
    </row>
    <row r="3505" spans="1:61" ht="21" customHeight="1" x14ac:dyDescent="0.25">
      <c r="A3505" s="10"/>
      <c r="B3505" s="10"/>
      <c r="E3505" s="10"/>
      <c r="G3505" s="10"/>
      <c r="I3505" s="436" t="s">
        <v>8024</v>
      </c>
      <c r="J3505" s="26" t="s">
        <v>8023</v>
      </c>
      <c r="K3505" s="10">
        <v>2.3000000000000003E-2</v>
      </c>
      <c r="L3505" s="73">
        <f>IF(Tank1!$C$23="No control",(SUMIF(Tank1!$B$32:$B$49,$J3505,Tank1!$C$32:$C$49)*Impacts!$F$8),0)</f>
        <v>0</v>
      </c>
      <c r="M3505" s="10">
        <f>IF(Tank2!$C$23="No control",(SUMIF(Tank2!$B$32:$B$49,$J3505,Tank2!$C$32:$C$49)*Impacts!$F$9),0)</f>
        <v>0</v>
      </c>
      <c r="N3505" s="10">
        <f>IF(Tank3!$C$23="No control",(SUMIF(Tank3!$B$32:$B$49,$J3505,Tank3!$C$32:$C$49)*Impacts!$F$10),0)</f>
        <v>0</v>
      </c>
      <c r="O3505" s="10">
        <f>IF(Tank4!$C$23="No control",(SUMIF(Tank4!$B$32:$B$49,$J3505,Tank4!$C$32:$C$49)*Impacts!$F$11),0)</f>
        <v>0</v>
      </c>
      <c r="P3505" s="10">
        <f>IF(Tank5!$C$23="No control",(SUMIF(Tank5!$B$32:$B$49,$J3505,Tank5!$C$32:$C$49)*Impacts!$F$12),0)</f>
        <v>0</v>
      </c>
      <c r="Q3505" s="10">
        <f>IFERROR(IF(('Loading-drum,tote'!$C$21)="No control",SUMIF(('Loading-drum,tote'!$B$31:$B$48),$J3505,('Loading-drum,tote'!$D$31:$D$48))*Impacts!$F$13,IF(('Loading-drum,tote'!$C$21)&lt;&gt;"No control",SUMIF(('Loading-drum,tote'!$B$31:$B$48),$J3505,('Loading-drum,tote'!$E$31:$E$48))*Impacts!$F$13,0)),0)</f>
        <v>0</v>
      </c>
      <c r="R3505" s="10">
        <f>IFERROR(IF(('Loading-truck'!$C$21)="No control",SUMIF(('Loading-truck'!$B$31:$B$48),$J3505,('Loading-truck'!$D$31:$D$48))*Impacts!$F$14,IF(('Loading-truck'!$C$21)&lt;&gt;"No control",SUMIF(('Loading-truck'!$B$31:$B$48),$J3505,('Loading-truck'!$E$31:$E$48))*Impacts!$F$14,0)),0)</f>
        <v>0</v>
      </c>
      <c r="S3505" s="10">
        <f>IFERROR(IF(('Loading-rail'!$C$21)="No control",SUMIF(('Loading-rail'!$B$31:$B$48),$J3505,('Loading-rail'!$D$31:$D$48))*Impacts!$F$15,IF(('Loading-rail'!$C$21)&lt;&gt;"No control",SUMIF(('Loading-rail'!$B$31:$B$48),$J3505,('Loading-rail'!$E$31:$E$48))*Impacts!$F$15,0)),0)</f>
        <v>0</v>
      </c>
      <c r="T3505" s="10">
        <f>IF(Flare!$C$7="",0,(SUMIF(Flare!$B$46:$B$185,$J3505,Flare!$E$46:$E$185)*Impacts!$F$16))</f>
        <v>0</v>
      </c>
      <c r="U3505" s="10">
        <f>IF(VCU!$C$9="",0,(SUMIF(VCU!$B$51:$B$193,$J3505,VCU!$E$51:$E$193)*Impacts!$F$17))</f>
        <v>0</v>
      </c>
      <c r="V3505" s="10">
        <f>IF(CAS!$C$7="",0,(SUMIF(CAS!$B$31:$B$167,$J3505,CAS!$E$31:$E$167)*Impacts!$F$18))</f>
        <v>0</v>
      </c>
      <c r="W3505" s="10">
        <f t="shared" si="95"/>
        <v>0</v>
      </c>
      <c r="AK3505" s="10" t="str">
        <f t="array" ref="AK3505">IFERROR(INDEX(SelectedSpecies,SMALL(IF(SelectedSpecies=AK$1,ROW(SelectedSpecies)),ROW(3506:3506)),2),"")</f>
        <v/>
      </c>
      <c r="BE3505" s="10"/>
      <c r="BI3505" s="10"/>
    </row>
    <row r="3506" spans="1:61" ht="21" customHeight="1" x14ac:dyDescent="0.25">
      <c r="A3506" s="10"/>
      <c r="B3506" s="10"/>
      <c r="E3506" s="10"/>
      <c r="G3506" s="10"/>
      <c r="I3506" s="436" t="s">
        <v>3665</v>
      </c>
      <c r="J3506" s="26" t="s">
        <v>3664</v>
      </c>
      <c r="K3506" s="10">
        <v>7.2</v>
      </c>
      <c r="L3506" s="73">
        <f>IF(Tank1!$C$23="No control",(SUMIF(Tank1!$B$32:$B$49,$J3506,Tank1!$C$32:$C$49)*Impacts!$F$8),0)</f>
        <v>0</v>
      </c>
      <c r="M3506" s="10">
        <f>IF(Tank2!$C$23="No control",(SUMIF(Tank2!$B$32:$B$49,$J3506,Tank2!$C$32:$C$49)*Impacts!$F$9),0)</f>
        <v>0</v>
      </c>
      <c r="N3506" s="10">
        <f>IF(Tank3!$C$23="No control",(SUMIF(Tank3!$B$32:$B$49,$J3506,Tank3!$C$32:$C$49)*Impacts!$F$10),0)</f>
        <v>0</v>
      </c>
      <c r="O3506" s="10">
        <f>IF(Tank4!$C$23="No control",(SUMIF(Tank4!$B$32:$B$49,$J3506,Tank4!$C$32:$C$49)*Impacts!$F$11),0)</f>
        <v>0</v>
      </c>
      <c r="P3506" s="10">
        <f>IF(Tank5!$C$23="No control",(SUMIF(Tank5!$B$32:$B$49,$J3506,Tank5!$C$32:$C$49)*Impacts!$F$12),0)</f>
        <v>0</v>
      </c>
      <c r="Q3506" s="10">
        <f>IFERROR(IF(('Loading-drum,tote'!$C$21)="No control",SUMIF(('Loading-drum,tote'!$B$31:$B$48),$J3506,('Loading-drum,tote'!$D$31:$D$48))*Impacts!$F$13,IF(('Loading-drum,tote'!$C$21)&lt;&gt;"No control",SUMIF(('Loading-drum,tote'!$B$31:$B$48),$J3506,('Loading-drum,tote'!$E$31:$E$48))*Impacts!$F$13,0)),0)</f>
        <v>0</v>
      </c>
      <c r="R3506" s="10">
        <f>IFERROR(IF(('Loading-truck'!$C$21)="No control",SUMIF(('Loading-truck'!$B$31:$B$48),$J3506,('Loading-truck'!$D$31:$D$48))*Impacts!$F$14,IF(('Loading-truck'!$C$21)&lt;&gt;"No control",SUMIF(('Loading-truck'!$B$31:$B$48),$J3506,('Loading-truck'!$E$31:$E$48))*Impacts!$F$14,0)),0)</f>
        <v>0</v>
      </c>
      <c r="S3506" s="10">
        <f>IFERROR(IF(('Loading-rail'!$C$21)="No control",SUMIF(('Loading-rail'!$B$31:$B$48),$J3506,('Loading-rail'!$D$31:$D$48))*Impacts!$F$15,IF(('Loading-rail'!$C$21)&lt;&gt;"No control",SUMIF(('Loading-rail'!$B$31:$B$48),$J3506,('Loading-rail'!$E$31:$E$48))*Impacts!$F$15,0)),0)</f>
        <v>0</v>
      </c>
      <c r="T3506" s="10">
        <f>IF(Flare!$C$7="",0,(SUMIF(Flare!$B$46:$B$185,$J3506,Flare!$E$46:$E$185)*Impacts!$F$16))</f>
        <v>0</v>
      </c>
      <c r="U3506" s="10">
        <f>IF(VCU!$C$9="",0,(SUMIF(VCU!$B$51:$B$193,$J3506,VCU!$E$51:$E$193)*Impacts!$F$17))</f>
        <v>0</v>
      </c>
      <c r="V3506" s="10">
        <f>IF(CAS!$C$7="",0,(SUMIF(CAS!$B$31:$B$167,$J3506,CAS!$E$31:$E$167)*Impacts!$F$18))</f>
        <v>0</v>
      </c>
      <c r="W3506" s="10">
        <f t="shared" si="95"/>
        <v>0</v>
      </c>
      <c r="AK3506" s="10" t="str">
        <f t="array" ref="AK3506">IFERROR(INDEX(SelectedSpecies,SMALL(IF(SelectedSpecies=AK$1,ROW(SelectedSpecies)),ROW(3507:3507)),2),"")</f>
        <v/>
      </c>
      <c r="BE3506" s="10"/>
      <c r="BI3506" s="10"/>
    </row>
    <row r="3507" spans="1:61" ht="21" customHeight="1" x14ac:dyDescent="0.25">
      <c r="A3507" s="10"/>
      <c r="B3507" s="10"/>
      <c r="E3507" s="10"/>
      <c r="G3507" s="10"/>
      <c r="I3507" s="436" t="s">
        <v>7298</v>
      </c>
      <c r="J3507" s="26" t="s">
        <v>7297</v>
      </c>
      <c r="K3507" s="10">
        <v>0.30000000000000004</v>
      </c>
      <c r="L3507" s="73">
        <f>IF(Tank1!$C$23="No control",(SUMIF(Tank1!$B$32:$B$49,$J3507,Tank1!$C$32:$C$49)*Impacts!$F$8),0)</f>
        <v>0</v>
      </c>
      <c r="M3507" s="10">
        <f>IF(Tank2!$C$23="No control",(SUMIF(Tank2!$B$32:$B$49,$J3507,Tank2!$C$32:$C$49)*Impacts!$F$9),0)</f>
        <v>0</v>
      </c>
      <c r="N3507" s="10">
        <f>IF(Tank3!$C$23="No control",(SUMIF(Tank3!$B$32:$B$49,$J3507,Tank3!$C$32:$C$49)*Impacts!$F$10),0)</f>
        <v>0</v>
      </c>
      <c r="O3507" s="10">
        <f>IF(Tank4!$C$23="No control",(SUMIF(Tank4!$B$32:$B$49,$J3507,Tank4!$C$32:$C$49)*Impacts!$F$11),0)</f>
        <v>0</v>
      </c>
      <c r="P3507" s="10">
        <f>IF(Tank5!$C$23="No control",(SUMIF(Tank5!$B$32:$B$49,$J3507,Tank5!$C$32:$C$49)*Impacts!$F$12),0)</f>
        <v>0</v>
      </c>
      <c r="Q3507" s="10">
        <f>IFERROR(IF(('Loading-drum,tote'!$C$21)="No control",SUMIF(('Loading-drum,tote'!$B$31:$B$48),$J3507,('Loading-drum,tote'!$D$31:$D$48))*Impacts!$F$13,IF(('Loading-drum,tote'!$C$21)&lt;&gt;"No control",SUMIF(('Loading-drum,tote'!$B$31:$B$48),$J3507,('Loading-drum,tote'!$E$31:$E$48))*Impacts!$F$13,0)),0)</f>
        <v>0</v>
      </c>
      <c r="R3507" s="10">
        <f>IFERROR(IF(('Loading-truck'!$C$21)="No control",SUMIF(('Loading-truck'!$B$31:$B$48),$J3507,('Loading-truck'!$D$31:$D$48))*Impacts!$F$14,IF(('Loading-truck'!$C$21)&lt;&gt;"No control",SUMIF(('Loading-truck'!$B$31:$B$48),$J3507,('Loading-truck'!$E$31:$E$48))*Impacts!$F$14,0)),0)</f>
        <v>0</v>
      </c>
      <c r="S3507" s="10">
        <f>IFERROR(IF(('Loading-rail'!$C$21)="No control",SUMIF(('Loading-rail'!$B$31:$B$48),$J3507,('Loading-rail'!$D$31:$D$48))*Impacts!$F$15,IF(('Loading-rail'!$C$21)&lt;&gt;"No control",SUMIF(('Loading-rail'!$B$31:$B$48),$J3507,('Loading-rail'!$E$31:$E$48))*Impacts!$F$15,0)),0)</f>
        <v>0</v>
      </c>
      <c r="T3507" s="10">
        <f>IF(Flare!$C$7="",0,(SUMIF(Flare!$B$46:$B$185,$J3507,Flare!$E$46:$E$185)*Impacts!$F$16))</f>
        <v>0</v>
      </c>
      <c r="U3507" s="10">
        <f>IF(VCU!$C$9="",0,(SUMIF(VCU!$B$51:$B$193,$J3507,VCU!$E$51:$E$193)*Impacts!$F$17))</f>
        <v>0</v>
      </c>
      <c r="V3507" s="10">
        <f>IF(CAS!$C$7="",0,(SUMIF(CAS!$B$31:$B$167,$J3507,CAS!$E$31:$E$167)*Impacts!$F$18))</f>
        <v>0</v>
      </c>
      <c r="W3507" s="10">
        <f t="shared" si="95"/>
        <v>0</v>
      </c>
      <c r="AK3507" s="10" t="str">
        <f t="array" ref="AK3507">IFERROR(INDEX(SelectedSpecies,SMALL(IF(SelectedSpecies=AK$1,ROW(SelectedSpecies)),ROW(3508:3508)),2),"")</f>
        <v/>
      </c>
      <c r="BE3507" s="10"/>
      <c r="BI3507" s="10"/>
    </row>
    <row r="3508" spans="1:61" ht="21" customHeight="1" x14ac:dyDescent="0.25">
      <c r="A3508" s="10"/>
      <c r="B3508" s="10"/>
      <c r="E3508" s="10"/>
      <c r="G3508" s="10"/>
      <c r="I3508" s="436" t="s">
        <v>6174</v>
      </c>
      <c r="J3508" s="26" t="s">
        <v>6173</v>
      </c>
      <c r="K3508" s="10">
        <v>1</v>
      </c>
      <c r="L3508" s="73">
        <f>IF(Tank1!$C$23="No control",(SUMIF(Tank1!$B$32:$B$49,$J3508,Tank1!$C$32:$C$49)*Impacts!$F$8),0)</f>
        <v>0</v>
      </c>
      <c r="M3508" s="10">
        <f>IF(Tank2!$C$23="No control",(SUMIF(Tank2!$B$32:$B$49,$J3508,Tank2!$C$32:$C$49)*Impacts!$F$9),0)</f>
        <v>0</v>
      </c>
      <c r="N3508" s="10">
        <f>IF(Tank3!$C$23="No control",(SUMIF(Tank3!$B$32:$B$49,$J3508,Tank3!$C$32:$C$49)*Impacts!$F$10),0)</f>
        <v>0</v>
      </c>
      <c r="O3508" s="10">
        <f>IF(Tank4!$C$23="No control",(SUMIF(Tank4!$B$32:$B$49,$J3508,Tank4!$C$32:$C$49)*Impacts!$F$11),0)</f>
        <v>0</v>
      </c>
      <c r="P3508" s="10">
        <f>IF(Tank5!$C$23="No control",(SUMIF(Tank5!$B$32:$B$49,$J3508,Tank5!$C$32:$C$49)*Impacts!$F$12),0)</f>
        <v>0</v>
      </c>
      <c r="Q3508" s="10">
        <f>IFERROR(IF(('Loading-drum,tote'!$C$21)="No control",SUMIF(('Loading-drum,tote'!$B$31:$B$48),$J3508,('Loading-drum,tote'!$D$31:$D$48))*Impacts!$F$13,IF(('Loading-drum,tote'!$C$21)&lt;&gt;"No control",SUMIF(('Loading-drum,tote'!$B$31:$B$48),$J3508,('Loading-drum,tote'!$E$31:$E$48))*Impacts!$F$13,0)),0)</f>
        <v>0</v>
      </c>
      <c r="R3508" s="10">
        <f>IFERROR(IF(('Loading-truck'!$C$21)="No control",SUMIF(('Loading-truck'!$B$31:$B$48),$J3508,('Loading-truck'!$D$31:$D$48))*Impacts!$F$14,IF(('Loading-truck'!$C$21)&lt;&gt;"No control",SUMIF(('Loading-truck'!$B$31:$B$48),$J3508,('Loading-truck'!$E$31:$E$48))*Impacts!$F$14,0)),0)</f>
        <v>0</v>
      </c>
      <c r="S3508" s="10">
        <f>IFERROR(IF(('Loading-rail'!$C$21)="No control",SUMIF(('Loading-rail'!$B$31:$B$48),$J3508,('Loading-rail'!$D$31:$D$48))*Impacts!$F$15,IF(('Loading-rail'!$C$21)&lt;&gt;"No control",SUMIF(('Loading-rail'!$B$31:$B$48),$J3508,('Loading-rail'!$E$31:$E$48))*Impacts!$F$15,0)),0)</f>
        <v>0</v>
      </c>
      <c r="T3508" s="10">
        <f>IF(Flare!$C$7="",0,(SUMIF(Flare!$B$46:$B$185,$J3508,Flare!$E$46:$E$185)*Impacts!$F$16))</f>
        <v>0</v>
      </c>
      <c r="U3508" s="10">
        <f>IF(VCU!$C$9="",0,(SUMIF(VCU!$B$51:$B$193,$J3508,VCU!$E$51:$E$193)*Impacts!$F$17))</f>
        <v>0</v>
      </c>
      <c r="V3508" s="10">
        <f>IF(CAS!$C$7="",0,(SUMIF(CAS!$B$31:$B$167,$J3508,CAS!$E$31:$E$167)*Impacts!$F$18))</f>
        <v>0</v>
      </c>
      <c r="W3508" s="10">
        <f t="shared" si="95"/>
        <v>0</v>
      </c>
      <c r="AK3508" s="10" t="str">
        <f t="array" ref="AK3508">IFERROR(INDEX(SelectedSpecies,SMALL(IF(SelectedSpecies=AK$1,ROW(SelectedSpecies)),ROW(3509:3509)),2),"")</f>
        <v/>
      </c>
      <c r="BE3508" s="10"/>
      <c r="BI3508" s="10"/>
    </row>
    <row r="3509" spans="1:61" ht="21" customHeight="1" x14ac:dyDescent="0.25">
      <c r="A3509" s="10"/>
      <c r="B3509" s="10"/>
      <c r="E3509" s="10"/>
      <c r="G3509" s="10"/>
      <c r="I3509" s="436" t="s">
        <v>4139</v>
      </c>
      <c r="J3509" s="26" t="s">
        <v>4138</v>
      </c>
      <c r="K3509" s="10">
        <v>5.2</v>
      </c>
      <c r="L3509" s="73">
        <f>IF(Tank1!$C$23="No control",(SUMIF(Tank1!$B$32:$B$49,$J3509,Tank1!$C$32:$C$49)*Impacts!$F$8),0)</f>
        <v>0</v>
      </c>
      <c r="M3509" s="10">
        <f>IF(Tank2!$C$23="No control",(SUMIF(Tank2!$B$32:$B$49,$J3509,Tank2!$C$32:$C$49)*Impacts!$F$9),0)</f>
        <v>0</v>
      </c>
      <c r="N3509" s="10">
        <f>IF(Tank3!$C$23="No control",(SUMIF(Tank3!$B$32:$B$49,$J3509,Tank3!$C$32:$C$49)*Impacts!$F$10),0)</f>
        <v>0</v>
      </c>
      <c r="O3509" s="10">
        <f>IF(Tank4!$C$23="No control",(SUMIF(Tank4!$B$32:$B$49,$J3509,Tank4!$C$32:$C$49)*Impacts!$F$11),0)</f>
        <v>0</v>
      </c>
      <c r="P3509" s="10">
        <f>IF(Tank5!$C$23="No control",(SUMIF(Tank5!$B$32:$B$49,$J3509,Tank5!$C$32:$C$49)*Impacts!$F$12),0)</f>
        <v>0</v>
      </c>
      <c r="Q3509" s="10">
        <f>IFERROR(IF(('Loading-drum,tote'!$C$21)="No control",SUMIF(('Loading-drum,tote'!$B$31:$B$48),$J3509,('Loading-drum,tote'!$D$31:$D$48))*Impacts!$F$13,IF(('Loading-drum,tote'!$C$21)&lt;&gt;"No control",SUMIF(('Loading-drum,tote'!$B$31:$B$48),$J3509,('Loading-drum,tote'!$E$31:$E$48))*Impacts!$F$13,0)),0)</f>
        <v>0</v>
      </c>
      <c r="R3509" s="10">
        <f>IFERROR(IF(('Loading-truck'!$C$21)="No control",SUMIF(('Loading-truck'!$B$31:$B$48),$J3509,('Loading-truck'!$D$31:$D$48))*Impacts!$F$14,IF(('Loading-truck'!$C$21)&lt;&gt;"No control",SUMIF(('Loading-truck'!$B$31:$B$48),$J3509,('Loading-truck'!$E$31:$E$48))*Impacts!$F$14,0)),0)</f>
        <v>0</v>
      </c>
      <c r="S3509" s="10">
        <f>IFERROR(IF(('Loading-rail'!$C$21)="No control",SUMIF(('Loading-rail'!$B$31:$B$48),$J3509,('Loading-rail'!$D$31:$D$48))*Impacts!$F$15,IF(('Loading-rail'!$C$21)&lt;&gt;"No control",SUMIF(('Loading-rail'!$B$31:$B$48),$J3509,('Loading-rail'!$E$31:$E$48))*Impacts!$F$15,0)),0)</f>
        <v>0</v>
      </c>
      <c r="T3509" s="10">
        <f>IF(Flare!$C$7="",0,(SUMIF(Flare!$B$46:$B$185,$J3509,Flare!$E$46:$E$185)*Impacts!$F$16))</f>
        <v>0</v>
      </c>
      <c r="U3509" s="10">
        <f>IF(VCU!$C$9="",0,(SUMIF(VCU!$B$51:$B$193,$J3509,VCU!$E$51:$E$193)*Impacts!$F$17))</f>
        <v>0</v>
      </c>
      <c r="V3509" s="10">
        <f>IF(CAS!$C$7="",0,(SUMIF(CAS!$B$31:$B$167,$J3509,CAS!$E$31:$E$167)*Impacts!$F$18))</f>
        <v>0</v>
      </c>
      <c r="W3509" s="10">
        <f t="shared" si="95"/>
        <v>0</v>
      </c>
      <c r="AK3509" s="10" t="str">
        <f t="array" ref="AK3509">IFERROR(INDEX(SelectedSpecies,SMALL(IF(SelectedSpecies=AK$1,ROW(SelectedSpecies)),ROW(3510:3510)),2),"")</f>
        <v/>
      </c>
      <c r="BE3509" s="10"/>
      <c r="BI3509" s="10"/>
    </row>
    <row r="3510" spans="1:61" ht="21" customHeight="1" x14ac:dyDescent="0.25">
      <c r="A3510" s="10"/>
      <c r="B3510" s="10"/>
      <c r="E3510" s="10"/>
      <c r="G3510" s="10"/>
      <c r="I3510" s="436" t="s">
        <v>4923</v>
      </c>
      <c r="J3510" s="26" t="s">
        <v>4922</v>
      </c>
      <c r="K3510" s="10">
        <v>2.6</v>
      </c>
      <c r="L3510" s="73">
        <f>IF(Tank1!$C$23="No control",(SUMIF(Tank1!$B$32:$B$49,$J3510,Tank1!$C$32:$C$49)*Impacts!$F$8),0)</f>
        <v>0</v>
      </c>
      <c r="M3510" s="10">
        <f>IF(Tank2!$C$23="No control",(SUMIF(Tank2!$B$32:$B$49,$J3510,Tank2!$C$32:$C$49)*Impacts!$F$9),0)</f>
        <v>0</v>
      </c>
      <c r="N3510" s="10">
        <f>IF(Tank3!$C$23="No control",(SUMIF(Tank3!$B$32:$B$49,$J3510,Tank3!$C$32:$C$49)*Impacts!$F$10),0)</f>
        <v>0</v>
      </c>
      <c r="O3510" s="10">
        <f>IF(Tank4!$C$23="No control",(SUMIF(Tank4!$B$32:$B$49,$J3510,Tank4!$C$32:$C$49)*Impacts!$F$11),0)</f>
        <v>0</v>
      </c>
      <c r="P3510" s="10">
        <f>IF(Tank5!$C$23="No control",(SUMIF(Tank5!$B$32:$B$49,$J3510,Tank5!$C$32:$C$49)*Impacts!$F$12),0)</f>
        <v>0</v>
      </c>
      <c r="Q3510" s="10">
        <f>IFERROR(IF(('Loading-drum,tote'!$C$21)="No control",SUMIF(('Loading-drum,tote'!$B$31:$B$48),$J3510,('Loading-drum,tote'!$D$31:$D$48))*Impacts!$F$13,IF(('Loading-drum,tote'!$C$21)&lt;&gt;"No control",SUMIF(('Loading-drum,tote'!$B$31:$B$48),$J3510,('Loading-drum,tote'!$E$31:$E$48))*Impacts!$F$13,0)),0)</f>
        <v>0</v>
      </c>
      <c r="R3510" s="10">
        <f>IFERROR(IF(('Loading-truck'!$C$21)="No control",SUMIF(('Loading-truck'!$B$31:$B$48),$J3510,('Loading-truck'!$D$31:$D$48))*Impacts!$F$14,IF(('Loading-truck'!$C$21)&lt;&gt;"No control",SUMIF(('Loading-truck'!$B$31:$B$48),$J3510,('Loading-truck'!$E$31:$E$48))*Impacts!$F$14,0)),0)</f>
        <v>0</v>
      </c>
      <c r="S3510" s="10">
        <f>IFERROR(IF(('Loading-rail'!$C$21)="No control",SUMIF(('Loading-rail'!$B$31:$B$48),$J3510,('Loading-rail'!$D$31:$D$48))*Impacts!$F$15,IF(('Loading-rail'!$C$21)&lt;&gt;"No control",SUMIF(('Loading-rail'!$B$31:$B$48),$J3510,('Loading-rail'!$E$31:$E$48))*Impacts!$F$15,0)),0)</f>
        <v>0</v>
      </c>
      <c r="T3510" s="10">
        <f>IF(Flare!$C$7="",0,(SUMIF(Flare!$B$46:$B$185,$J3510,Flare!$E$46:$E$185)*Impacts!$F$16))</f>
        <v>0</v>
      </c>
      <c r="U3510" s="10">
        <f>IF(VCU!$C$9="",0,(SUMIF(VCU!$B$51:$B$193,$J3510,VCU!$E$51:$E$193)*Impacts!$F$17))</f>
        <v>0</v>
      </c>
      <c r="V3510" s="10">
        <f>IF(CAS!$C$7="",0,(SUMIF(CAS!$B$31:$B$167,$J3510,CAS!$E$31:$E$167)*Impacts!$F$18))</f>
        <v>0</v>
      </c>
      <c r="W3510" s="10">
        <f t="shared" si="95"/>
        <v>0</v>
      </c>
      <c r="AK3510" s="10" t="str">
        <f t="array" ref="AK3510">IFERROR(INDEX(SelectedSpecies,SMALL(IF(SelectedSpecies=AK$1,ROW(SelectedSpecies)),ROW(3511:3511)),2),"")</f>
        <v/>
      </c>
      <c r="BE3510" s="10"/>
      <c r="BI3510" s="10"/>
    </row>
    <row r="3511" spans="1:61" ht="21" customHeight="1" x14ac:dyDescent="0.25">
      <c r="A3511" s="10"/>
      <c r="B3511" s="10"/>
      <c r="E3511" s="10"/>
      <c r="G3511" s="10"/>
      <c r="I3511" s="436" t="s">
        <v>7784</v>
      </c>
      <c r="J3511" s="26" t="s">
        <v>7783</v>
      </c>
      <c r="K3511" s="10">
        <v>0.1</v>
      </c>
      <c r="L3511" s="73">
        <f>IF(Tank1!$C$23="No control",(SUMIF(Tank1!$B$32:$B$49,$J3511,Tank1!$C$32:$C$49)*Impacts!$F$8),0)</f>
        <v>0</v>
      </c>
      <c r="M3511" s="10">
        <f>IF(Tank2!$C$23="No control",(SUMIF(Tank2!$B$32:$B$49,$J3511,Tank2!$C$32:$C$49)*Impacts!$F$9),0)</f>
        <v>0</v>
      </c>
      <c r="N3511" s="10">
        <f>IF(Tank3!$C$23="No control",(SUMIF(Tank3!$B$32:$B$49,$J3511,Tank3!$C$32:$C$49)*Impacts!$F$10),0)</f>
        <v>0</v>
      </c>
      <c r="O3511" s="10">
        <f>IF(Tank4!$C$23="No control",(SUMIF(Tank4!$B$32:$B$49,$J3511,Tank4!$C$32:$C$49)*Impacts!$F$11),0)</f>
        <v>0</v>
      </c>
      <c r="P3511" s="10">
        <f>IF(Tank5!$C$23="No control",(SUMIF(Tank5!$B$32:$B$49,$J3511,Tank5!$C$32:$C$49)*Impacts!$F$12),0)</f>
        <v>0</v>
      </c>
      <c r="Q3511" s="10">
        <f>IFERROR(IF(('Loading-drum,tote'!$C$21)="No control",SUMIF(('Loading-drum,tote'!$B$31:$B$48),$J3511,('Loading-drum,tote'!$D$31:$D$48))*Impacts!$F$13,IF(('Loading-drum,tote'!$C$21)&lt;&gt;"No control",SUMIF(('Loading-drum,tote'!$B$31:$B$48),$J3511,('Loading-drum,tote'!$E$31:$E$48))*Impacts!$F$13,0)),0)</f>
        <v>0</v>
      </c>
      <c r="R3511" s="10">
        <f>IFERROR(IF(('Loading-truck'!$C$21)="No control",SUMIF(('Loading-truck'!$B$31:$B$48),$J3511,('Loading-truck'!$D$31:$D$48))*Impacts!$F$14,IF(('Loading-truck'!$C$21)&lt;&gt;"No control",SUMIF(('Loading-truck'!$B$31:$B$48),$J3511,('Loading-truck'!$E$31:$E$48))*Impacts!$F$14,0)),0)</f>
        <v>0</v>
      </c>
      <c r="S3511" s="10">
        <f>IFERROR(IF(('Loading-rail'!$C$21)="No control",SUMIF(('Loading-rail'!$B$31:$B$48),$J3511,('Loading-rail'!$D$31:$D$48))*Impacts!$F$15,IF(('Loading-rail'!$C$21)&lt;&gt;"No control",SUMIF(('Loading-rail'!$B$31:$B$48),$J3511,('Loading-rail'!$E$31:$E$48))*Impacts!$F$15,0)),0)</f>
        <v>0</v>
      </c>
      <c r="T3511" s="10">
        <f>IF(Flare!$C$7="",0,(SUMIF(Flare!$B$46:$B$185,$J3511,Flare!$E$46:$E$185)*Impacts!$F$16))</f>
        <v>0</v>
      </c>
      <c r="U3511" s="10">
        <f>IF(VCU!$C$9="",0,(SUMIF(VCU!$B$51:$B$193,$J3511,VCU!$E$51:$E$193)*Impacts!$F$17))</f>
        <v>0</v>
      </c>
      <c r="V3511" s="10">
        <f>IF(CAS!$C$7="",0,(SUMIF(CAS!$B$31:$B$167,$J3511,CAS!$E$31:$E$167)*Impacts!$F$18))</f>
        <v>0</v>
      </c>
      <c r="W3511" s="10">
        <f t="shared" si="95"/>
        <v>0</v>
      </c>
      <c r="AK3511" s="10" t="str">
        <f t="array" ref="AK3511">IFERROR(INDEX(SelectedSpecies,SMALL(IF(SelectedSpecies=AK$1,ROW(SelectedSpecies)),ROW(3512:3512)),2),"")</f>
        <v/>
      </c>
      <c r="BE3511" s="10"/>
      <c r="BI3511" s="10"/>
    </row>
    <row r="3512" spans="1:61" ht="21" customHeight="1" x14ac:dyDescent="0.25">
      <c r="A3512" s="10"/>
      <c r="B3512" s="10"/>
      <c r="E3512" s="10"/>
      <c r="G3512" s="10"/>
      <c r="I3512" s="436" t="s">
        <v>6352</v>
      </c>
      <c r="J3512" s="26" t="s">
        <v>6351</v>
      </c>
      <c r="K3512" s="10">
        <v>0.87</v>
      </c>
      <c r="L3512" s="73">
        <f>IF(Tank1!$C$23="No control",(SUMIF(Tank1!$B$32:$B$49,$J3512,Tank1!$C$32:$C$49)*Impacts!$F$8),0)</f>
        <v>0</v>
      </c>
      <c r="M3512" s="10">
        <f>IF(Tank2!$C$23="No control",(SUMIF(Tank2!$B$32:$B$49,$J3512,Tank2!$C$32:$C$49)*Impacts!$F$9),0)</f>
        <v>0</v>
      </c>
      <c r="N3512" s="10">
        <f>IF(Tank3!$C$23="No control",(SUMIF(Tank3!$B$32:$B$49,$J3512,Tank3!$C$32:$C$49)*Impacts!$F$10),0)</f>
        <v>0</v>
      </c>
      <c r="O3512" s="10">
        <f>IF(Tank4!$C$23="No control",(SUMIF(Tank4!$B$32:$B$49,$J3512,Tank4!$C$32:$C$49)*Impacts!$F$11),0)</f>
        <v>0</v>
      </c>
      <c r="P3512" s="10">
        <f>IF(Tank5!$C$23="No control",(SUMIF(Tank5!$B$32:$B$49,$J3512,Tank5!$C$32:$C$49)*Impacts!$F$12),0)</f>
        <v>0</v>
      </c>
      <c r="Q3512" s="10">
        <f>IFERROR(IF(('Loading-drum,tote'!$C$21)="No control",SUMIF(('Loading-drum,tote'!$B$31:$B$48),$J3512,('Loading-drum,tote'!$D$31:$D$48))*Impacts!$F$13,IF(('Loading-drum,tote'!$C$21)&lt;&gt;"No control",SUMIF(('Loading-drum,tote'!$B$31:$B$48),$J3512,('Loading-drum,tote'!$E$31:$E$48))*Impacts!$F$13,0)),0)</f>
        <v>0</v>
      </c>
      <c r="R3512" s="10">
        <f>IFERROR(IF(('Loading-truck'!$C$21)="No control",SUMIF(('Loading-truck'!$B$31:$B$48),$J3512,('Loading-truck'!$D$31:$D$48))*Impacts!$F$14,IF(('Loading-truck'!$C$21)&lt;&gt;"No control",SUMIF(('Loading-truck'!$B$31:$B$48),$J3512,('Loading-truck'!$E$31:$E$48))*Impacts!$F$14,0)),0)</f>
        <v>0</v>
      </c>
      <c r="S3512" s="10">
        <f>IFERROR(IF(('Loading-rail'!$C$21)="No control",SUMIF(('Loading-rail'!$B$31:$B$48),$J3512,('Loading-rail'!$D$31:$D$48))*Impacts!$F$15,IF(('Loading-rail'!$C$21)&lt;&gt;"No control",SUMIF(('Loading-rail'!$B$31:$B$48),$J3512,('Loading-rail'!$E$31:$E$48))*Impacts!$F$15,0)),0)</f>
        <v>0</v>
      </c>
      <c r="T3512" s="10">
        <f>IF(Flare!$C$7="",0,(SUMIF(Flare!$B$46:$B$185,$J3512,Flare!$E$46:$E$185)*Impacts!$F$16))</f>
        <v>0</v>
      </c>
      <c r="U3512" s="10">
        <f>IF(VCU!$C$9="",0,(SUMIF(VCU!$B$51:$B$193,$J3512,VCU!$E$51:$E$193)*Impacts!$F$17))</f>
        <v>0</v>
      </c>
      <c r="V3512" s="10">
        <f>IF(CAS!$C$7="",0,(SUMIF(CAS!$B$31:$B$167,$J3512,CAS!$E$31:$E$167)*Impacts!$F$18))</f>
        <v>0</v>
      </c>
      <c r="W3512" s="10">
        <f t="shared" si="95"/>
        <v>0</v>
      </c>
      <c r="AK3512" s="10" t="str">
        <f t="array" ref="AK3512">IFERROR(INDEX(SelectedSpecies,SMALL(IF(SelectedSpecies=AK$1,ROW(SelectedSpecies)),ROW(3513:3513)),2),"")</f>
        <v/>
      </c>
      <c r="BE3512" s="10"/>
      <c r="BI3512" s="10"/>
    </row>
    <row r="3513" spans="1:61" ht="21" customHeight="1" x14ac:dyDescent="0.25">
      <c r="A3513" s="10"/>
      <c r="B3513" s="10"/>
      <c r="E3513" s="10"/>
      <c r="G3513" s="10"/>
      <c r="I3513" s="436" t="s">
        <v>6352</v>
      </c>
      <c r="J3513" s="26" t="s">
        <v>10413</v>
      </c>
      <c r="K3513" s="10">
        <v>0.06</v>
      </c>
      <c r="L3513" s="73">
        <f>IF(Tank1!$C$23="No control",(SUMIF(Tank1!$B$32:$B$49,$J3513,Tank1!$C$32:$C$49)*Impacts!$F$8),0)</f>
        <v>0</v>
      </c>
      <c r="M3513" s="10">
        <f>IF(Tank2!$C$23="No control",(SUMIF(Tank2!$B$32:$B$49,$J3513,Tank2!$C$32:$C$49)*Impacts!$F$9),0)</f>
        <v>0</v>
      </c>
      <c r="N3513" s="10">
        <f>IF(Tank3!$C$23="No control",(SUMIF(Tank3!$B$32:$B$49,$J3513,Tank3!$C$32:$C$49)*Impacts!$F$10),0)</f>
        <v>0</v>
      </c>
      <c r="O3513" s="10">
        <f>IF(Tank4!$C$23="No control",(SUMIF(Tank4!$B$32:$B$49,$J3513,Tank4!$C$32:$C$49)*Impacts!$F$11),0)</f>
        <v>0</v>
      </c>
      <c r="P3513" s="10">
        <f>IF(Tank5!$C$23="No control",(SUMIF(Tank5!$B$32:$B$49,$J3513,Tank5!$C$32:$C$49)*Impacts!$F$12),0)</f>
        <v>0</v>
      </c>
      <c r="Q3513" s="10">
        <f>IFERROR(IF(('Loading-drum,tote'!$C$21)="No control",SUMIF(('Loading-drum,tote'!$B$31:$B$48),$J3513,('Loading-drum,tote'!$D$31:$D$48))*Impacts!$F$13,IF(('Loading-drum,tote'!$C$21)&lt;&gt;"No control",SUMIF(('Loading-drum,tote'!$B$31:$B$48),$J3513,('Loading-drum,tote'!$E$31:$E$48))*Impacts!$F$13,0)),0)</f>
        <v>0</v>
      </c>
      <c r="R3513" s="10">
        <f>IFERROR(IF(('Loading-truck'!$C$21)="No control",SUMIF(('Loading-truck'!$B$31:$B$48),$J3513,('Loading-truck'!$D$31:$D$48))*Impacts!$F$14,IF(('Loading-truck'!$C$21)&lt;&gt;"No control",SUMIF(('Loading-truck'!$B$31:$B$48),$J3513,('Loading-truck'!$E$31:$E$48))*Impacts!$F$14,0)),0)</f>
        <v>0</v>
      </c>
      <c r="S3513" s="10">
        <f>IFERROR(IF(('Loading-rail'!$C$21)="No control",SUMIF(('Loading-rail'!$B$31:$B$48),$J3513,('Loading-rail'!$D$31:$D$48))*Impacts!$F$15,IF(('Loading-rail'!$C$21)&lt;&gt;"No control",SUMIF(('Loading-rail'!$B$31:$B$48),$J3513,('Loading-rail'!$E$31:$E$48))*Impacts!$F$15,0)),0)</f>
        <v>0</v>
      </c>
      <c r="T3513" s="10">
        <f>IF(Flare!$C$7="",0,(SUMIF(Flare!$B$46:$B$185,$J3513,Flare!$E$46:$E$185)*Impacts!$F$16))</f>
        <v>0</v>
      </c>
      <c r="U3513" s="10">
        <f>IF(VCU!$C$9="",0,(SUMIF(VCU!$B$51:$B$193,$J3513,VCU!$E$51:$E$193)*Impacts!$F$17))</f>
        <v>0</v>
      </c>
      <c r="V3513" s="10">
        <f>IF(CAS!$C$7="",0,(SUMIF(CAS!$B$31:$B$167,$J3513,CAS!$E$31:$E$167)*Impacts!$F$18))</f>
        <v>0</v>
      </c>
      <c r="W3513" s="10">
        <f t="shared" si="95"/>
        <v>0</v>
      </c>
      <c r="AK3513" s="10" t="str">
        <f t="array" ref="AK3513">IFERROR(INDEX(SelectedSpecies,SMALL(IF(SelectedSpecies=AK$1,ROW(SelectedSpecies)),ROW(3514:3514)),2),"")</f>
        <v/>
      </c>
      <c r="BE3513" s="10"/>
      <c r="BI3513" s="10"/>
    </row>
    <row r="3514" spans="1:61" ht="21" customHeight="1" x14ac:dyDescent="0.25">
      <c r="A3514" s="10"/>
      <c r="B3514" s="10"/>
      <c r="E3514" s="10"/>
      <c r="G3514" s="10"/>
      <c r="I3514" s="436" t="s">
        <v>6352</v>
      </c>
      <c r="J3514" s="26" t="s">
        <v>10414</v>
      </c>
      <c r="K3514" s="10">
        <v>7.5000000000000011E-2</v>
      </c>
      <c r="L3514" s="73">
        <f>IF(Tank1!$C$23="No control",(SUMIF(Tank1!$B$32:$B$49,$J3514,Tank1!$C$32:$C$49)*Impacts!$F$8),0)</f>
        <v>0</v>
      </c>
      <c r="M3514" s="10">
        <f>IF(Tank2!$C$23="No control",(SUMIF(Tank2!$B$32:$B$49,$J3514,Tank2!$C$32:$C$49)*Impacts!$F$9),0)</f>
        <v>0</v>
      </c>
      <c r="N3514" s="10">
        <f>IF(Tank3!$C$23="No control",(SUMIF(Tank3!$B$32:$B$49,$J3514,Tank3!$C$32:$C$49)*Impacts!$F$10),0)</f>
        <v>0</v>
      </c>
      <c r="O3514" s="10">
        <f>IF(Tank4!$C$23="No control",(SUMIF(Tank4!$B$32:$B$49,$J3514,Tank4!$C$32:$C$49)*Impacts!$F$11),0)</f>
        <v>0</v>
      </c>
      <c r="P3514" s="10">
        <f>IF(Tank5!$C$23="No control",(SUMIF(Tank5!$B$32:$B$49,$J3514,Tank5!$C$32:$C$49)*Impacts!$F$12),0)</f>
        <v>0</v>
      </c>
      <c r="Q3514" s="10">
        <f>IFERROR(IF(('Loading-drum,tote'!$C$21)="No control",SUMIF(('Loading-drum,tote'!$B$31:$B$48),$J3514,('Loading-drum,tote'!$D$31:$D$48))*Impacts!$F$13,IF(('Loading-drum,tote'!$C$21)&lt;&gt;"No control",SUMIF(('Loading-drum,tote'!$B$31:$B$48),$J3514,('Loading-drum,tote'!$E$31:$E$48))*Impacts!$F$13,0)),0)</f>
        <v>0</v>
      </c>
      <c r="R3514" s="10">
        <f>IFERROR(IF(('Loading-truck'!$C$21)="No control",SUMIF(('Loading-truck'!$B$31:$B$48),$J3514,('Loading-truck'!$D$31:$D$48))*Impacts!$F$14,IF(('Loading-truck'!$C$21)&lt;&gt;"No control",SUMIF(('Loading-truck'!$B$31:$B$48),$J3514,('Loading-truck'!$E$31:$E$48))*Impacts!$F$14,0)),0)</f>
        <v>0</v>
      </c>
      <c r="S3514" s="10">
        <f>IFERROR(IF(('Loading-rail'!$C$21)="No control",SUMIF(('Loading-rail'!$B$31:$B$48),$J3514,('Loading-rail'!$D$31:$D$48))*Impacts!$F$15,IF(('Loading-rail'!$C$21)&lt;&gt;"No control",SUMIF(('Loading-rail'!$B$31:$B$48),$J3514,('Loading-rail'!$E$31:$E$48))*Impacts!$F$15,0)),0)</f>
        <v>0</v>
      </c>
      <c r="T3514" s="10">
        <f>IF(Flare!$C$7="",0,(SUMIF(Flare!$B$46:$B$185,$J3514,Flare!$E$46:$E$185)*Impacts!$F$16))</f>
        <v>0</v>
      </c>
      <c r="U3514" s="10">
        <f>IF(VCU!$C$9="",0,(SUMIF(VCU!$B$51:$B$193,$J3514,VCU!$E$51:$E$193)*Impacts!$F$17))</f>
        <v>0</v>
      </c>
      <c r="V3514" s="10">
        <f>IF(CAS!$C$7="",0,(SUMIF(CAS!$B$31:$B$167,$J3514,CAS!$E$31:$E$167)*Impacts!$F$18))</f>
        <v>0</v>
      </c>
      <c r="W3514" s="10">
        <f t="shared" si="95"/>
        <v>0</v>
      </c>
      <c r="AK3514" s="10" t="str">
        <f t="array" ref="AK3514">IFERROR(INDEX(SelectedSpecies,SMALL(IF(SelectedSpecies=AK$1,ROW(SelectedSpecies)),ROW(3515:3515)),2),"")</f>
        <v/>
      </c>
      <c r="BE3514" s="10"/>
      <c r="BI3514" s="10"/>
    </row>
    <row r="3515" spans="1:61" ht="21" customHeight="1" x14ac:dyDescent="0.25">
      <c r="A3515" s="10"/>
      <c r="B3515" s="10"/>
      <c r="E3515" s="10"/>
      <c r="G3515" s="10"/>
      <c r="I3515" s="436" t="s">
        <v>3501</v>
      </c>
      <c r="J3515" s="26" t="s">
        <v>3500</v>
      </c>
      <c r="K3515" s="10">
        <v>9.2000000000000011</v>
      </c>
      <c r="L3515" s="73">
        <f>IF(Tank1!$C$23="No control",(SUMIF(Tank1!$B$32:$B$49,$J3515,Tank1!$C$32:$C$49)*Impacts!$F$8),0)</f>
        <v>0</v>
      </c>
      <c r="M3515" s="10">
        <f>IF(Tank2!$C$23="No control",(SUMIF(Tank2!$B$32:$B$49,$J3515,Tank2!$C$32:$C$49)*Impacts!$F$9),0)</f>
        <v>0</v>
      </c>
      <c r="N3515" s="10">
        <f>IF(Tank3!$C$23="No control",(SUMIF(Tank3!$B$32:$B$49,$J3515,Tank3!$C$32:$C$49)*Impacts!$F$10),0)</f>
        <v>0</v>
      </c>
      <c r="O3515" s="10">
        <f>IF(Tank4!$C$23="No control",(SUMIF(Tank4!$B$32:$B$49,$J3515,Tank4!$C$32:$C$49)*Impacts!$F$11),0)</f>
        <v>0</v>
      </c>
      <c r="P3515" s="10">
        <f>IF(Tank5!$C$23="No control",(SUMIF(Tank5!$B$32:$B$49,$J3515,Tank5!$C$32:$C$49)*Impacts!$F$12),0)</f>
        <v>0</v>
      </c>
      <c r="Q3515" s="10">
        <f>IFERROR(IF(('Loading-drum,tote'!$C$21)="No control",SUMIF(('Loading-drum,tote'!$B$31:$B$48),$J3515,('Loading-drum,tote'!$D$31:$D$48))*Impacts!$F$13,IF(('Loading-drum,tote'!$C$21)&lt;&gt;"No control",SUMIF(('Loading-drum,tote'!$B$31:$B$48),$J3515,('Loading-drum,tote'!$E$31:$E$48))*Impacts!$F$13,0)),0)</f>
        <v>0</v>
      </c>
      <c r="R3515" s="10">
        <f>IFERROR(IF(('Loading-truck'!$C$21)="No control",SUMIF(('Loading-truck'!$B$31:$B$48),$J3515,('Loading-truck'!$D$31:$D$48))*Impacts!$F$14,IF(('Loading-truck'!$C$21)&lt;&gt;"No control",SUMIF(('Loading-truck'!$B$31:$B$48),$J3515,('Loading-truck'!$E$31:$E$48))*Impacts!$F$14,0)),0)</f>
        <v>0</v>
      </c>
      <c r="S3515" s="10">
        <f>IFERROR(IF(('Loading-rail'!$C$21)="No control",SUMIF(('Loading-rail'!$B$31:$B$48),$J3515,('Loading-rail'!$D$31:$D$48))*Impacts!$F$15,IF(('Loading-rail'!$C$21)&lt;&gt;"No control",SUMIF(('Loading-rail'!$B$31:$B$48),$J3515,('Loading-rail'!$E$31:$E$48))*Impacts!$F$15,0)),0)</f>
        <v>0</v>
      </c>
      <c r="T3515" s="10">
        <f>IF(Flare!$C$7="",0,(SUMIF(Flare!$B$46:$B$185,$J3515,Flare!$E$46:$E$185)*Impacts!$F$16))</f>
        <v>0</v>
      </c>
      <c r="U3515" s="10">
        <f>IF(VCU!$C$9="",0,(SUMIF(VCU!$B$51:$B$193,$J3515,VCU!$E$51:$E$193)*Impacts!$F$17))</f>
        <v>0</v>
      </c>
      <c r="V3515" s="10">
        <f>IF(CAS!$C$7="",0,(SUMIF(CAS!$B$31:$B$167,$J3515,CAS!$E$31:$E$167)*Impacts!$F$18))</f>
        <v>0</v>
      </c>
      <c r="W3515" s="10">
        <f t="shared" si="95"/>
        <v>0</v>
      </c>
      <c r="AK3515" s="10" t="str">
        <f t="array" ref="AK3515">IFERROR(INDEX(SelectedSpecies,SMALL(IF(SelectedSpecies=AK$1,ROW(SelectedSpecies)),ROW(3516:3516)),2),"")</f>
        <v/>
      </c>
      <c r="BE3515" s="10"/>
      <c r="BI3515" s="10"/>
    </row>
    <row r="3516" spans="1:61" ht="21" customHeight="1" x14ac:dyDescent="0.25">
      <c r="A3516" s="10"/>
      <c r="B3516" s="10"/>
      <c r="E3516" s="10"/>
      <c r="G3516" s="10"/>
      <c r="I3516" s="436" t="s">
        <v>616</v>
      </c>
      <c r="J3516" s="26" t="s">
        <v>615</v>
      </c>
      <c r="K3516" s="10">
        <v>72</v>
      </c>
      <c r="L3516" s="73">
        <f>IF(Tank1!$C$23="No control",(SUMIF(Tank1!$B$32:$B$49,$J3516,Tank1!$C$32:$C$49)*Impacts!$F$8),0)</f>
        <v>0</v>
      </c>
      <c r="M3516" s="10">
        <f>IF(Tank2!$C$23="No control",(SUMIF(Tank2!$B$32:$B$49,$J3516,Tank2!$C$32:$C$49)*Impacts!$F$9),0)</f>
        <v>0</v>
      </c>
      <c r="N3516" s="10">
        <f>IF(Tank3!$C$23="No control",(SUMIF(Tank3!$B$32:$B$49,$J3516,Tank3!$C$32:$C$49)*Impacts!$F$10),0)</f>
        <v>0</v>
      </c>
      <c r="O3516" s="10">
        <f>IF(Tank4!$C$23="No control",(SUMIF(Tank4!$B$32:$B$49,$J3516,Tank4!$C$32:$C$49)*Impacts!$F$11),0)</f>
        <v>0</v>
      </c>
      <c r="P3516" s="10">
        <f>IF(Tank5!$C$23="No control",(SUMIF(Tank5!$B$32:$B$49,$J3516,Tank5!$C$32:$C$49)*Impacts!$F$12),0)</f>
        <v>0</v>
      </c>
      <c r="Q3516" s="10">
        <f>IFERROR(IF(('Loading-drum,tote'!$C$21)="No control",SUMIF(('Loading-drum,tote'!$B$31:$B$48),$J3516,('Loading-drum,tote'!$D$31:$D$48))*Impacts!$F$13,IF(('Loading-drum,tote'!$C$21)&lt;&gt;"No control",SUMIF(('Loading-drum,tote'!$B$31:$B$48),$J3516,('Loading-drum,tote'!$E$31:$E$48))*Impacts!$F$13,0)),0)</f>
        <v>0</v>
      </c>
      <c r="R3516" s="10">
        <f>IFERROR(IF(('Loading-truck'!$C$21)="No control",SUMIF(('Loading-truck'!$B$31:$B$48),$J3516,('Loading-truck'!$D$31:$D$48))*Impacts!$F$14,IF(('Loading-truck'!$C$21)&lt;&gt;"No control",SUMIF(('Loading-truck'!$B$31:$B$48),$J3516,('Loading-truck'!$E$31:$E$48))*Impacts!$F$14,0)),0)</f>
        <v>0</v>
      </c>
      <c r="S3516" s="10">
        <f>IFERROR(IF(('Loading-rail'!$C$21)="No control",SUMIF(('Loading-rail'!$B$31:$B$48),$J3516,('Loading-rail'!$D$31:$D$48))*Impacts!$F$15,IF(('Loading-rail'!$C$21)&lt;&gt;"No control",SUMIF(('Loading-rail'!$B$31:$B$48),$J3516,('Loading-rail'!$E$31:$E$48))*Impacts!$F$15,0)),0)</f>
        <v>0</v>
      </c>
      <c r="T3516" s="10">
        <f>IF(Flare!$C$7="",0,(SUMIF(Flare!$B$46:$B$185,$J3516,Flare!$E$46:$E$185)*Impacts!$F$16))</f>
        <v>0</v>
      </c>
      <c r="U3516" s="10">
        <f>IF(VCU!$C$9="",0,(SUMIF(VCU!$B$51:$B$193,$J3516,VCU!$E$51:$E$193)*Impacts!$F$17))</f>
        <v>0</v>
      </c>
      <c r="V3516" s="10">
        <f>IF(CAS!$C$7="",0,(SUMIF(CAS!$B$31:$B$167,$J3516,CAS!$E$31:$E$167)*Impacts!$F$18))</f>
        <v>0</v>
      </c>
      <c r="W3516" s="10">
        <f t="shared" si="95"/>
        <v>0</v>
      </c>
      <c r="AK3516" s="10" t="str">
        <f t="array" ref="AK3516">IFERROR(INDEX(SelectedSpecies,SMALL(IF(SelectedSpecies=AK$1,ROW(SelectedSpecies)),ROW(3517:3517)),2),"")</f>
        <v/>
      </c>
      <c r="BE3516" s="10"/>
      <c r="BI3516" s="10"/>
    </row>
    <row r="3517" spans="1:61" ht="21" customHeight="1" x14ac:dyDescent="0.25">
      <c r="A3517" s="10"/>
      <c r="B3517" s="10"/>
      <c r="E3517" s="10"/>
      <c r="G3517" s="10"/>
      <c r="I3517" s="436" t="s">
        <v>289</v>
      </c>
      <c r="J3517" s="26" t="s">
        <v>288</v>
      </c>
      <c r="K3517" s="10" t="s">
        <v>10275</v>
      </c>
      <c r="L3517" s="73">
        <f>IF(Tank1!$C$23="No control",(SUMIF(Tank1!$B$32:$B$49,$J3517,Tank1!$C$32:$C$49)*Impacts!$F$8),0)</f>
        <v>0</v>
      </c>
      <c r="M3517" s="10">
        <f>IF(Tank2!$C$23="No control",(SUMIF(Tank2!$B$32:$B$49,$J3517,Tank2!$C$32:$C$49)*Impacts!$F$9),0)</f>
        <v>0</v>
      </c>
      <c r="N3517" s="10">
        <f>IF(Tank3!$C$23="No control",(SUMIF(Tank3!$B$32:$B$49,$J3517,Tank3!$C$32:$C$49)*Impacts!$F$10),0)</f>
        <v>0</v>
      </c>
      <c r="O3517" s="10">
        <f>IF(Tank4!$C$23="No control",(SUMIF(Tank4!$B$32:$B$49,$J3517,Tank4!$C$32:$C$49)*Impacts!$F$11),0)</f>
        <v>0</v>
      </c>
      <c r="P3517" s="10">
        <f>IF(Tank5!$C$23="No control",(SUMIF(Tank5!$B$32:$B$49,$J3517,Tank5!$C$32:$C$49)*Impacts!$F$12),0)</f>
        <v>0</v>
      </c>
      <c r="Q3517" s="10">
        <f>IFERROR(IF(('Loading-drum,tote'!$C$21)="No control",SUMIF(('Loading-drum,tote'!$B$31:$B$48),$J3517,('Loading-drum,tote'!$D$31:$D$48))*Impacts!$F$13,IF(('Loading-drum,tote'!$C$21)&lt;&gt;"No control",SUMIF(('Loading-drum,tote'!$B$31:$B$48),$J3517,('Loading-drum,tote'!$E$31:$E$48))*Impacts!$F$13,0)),0)</f>
        <v>0</v>
      </c>
      <c r="R3517" s="10">
        <f>IFERROR(IF(('Loading-truck'!$C$21)="No control",SUMIF(('Loading-truck'!$B$31:$B$48),$J3517,('Loading-truck'!$D$31:$D$48))*Impacts!$F$14,IF(('Loading-truck'!$C$21)&lt;&gt;"No control",SUMIF(('Loading-truck'!$B$31:$B$48),$J3517,('Loading-truck'!$E$31:$E$48))*Impacts!$F$14,0)),0)</f>
        <v>0</v>
      </c>
      <c r="S3517" s="10">
        <f>IFERROR(IF(('Loading-rail'!$C$21)="No control",SUMIF(('Loading-rail'!$B$31:$B$48),$J3517,('Loading-rail'!$D$31:$D$48))*Impacts!$F$15,IF(('Loading-rail'!$C$21)&lt;&gt;"No control",SUMIF(('Loading-rail'!$B$31:$B$48),$J3517,('Loading-rail'!$E$31:$E$48))*Impacts!$F$15,0)),0)</f>
        <v>0</v>
      </c>
      <c r="T3517" s="10">
        <f>IF(Flare!$C$7="",0,(SUMIF(Flare!$B$46:$B$185,$J3517,Flare!$E$46:$E$185)*Impacts!$F$16))</f>
        <v>0</v>
      </c>
      <c r="U3517" s="10">
        <f>IF(VCU!$C$9="",0,(SUMIF(VCU!$B$51:$B$193,$J3517,VCU!$E$51:$E$193)*Impacts!$F$17))</f>
        <v>0</v>
      </c>
      <c r="V3517" s="10">
        <f>IF(CAS!$C$7="",0,(SUMIF(CAS!$B$31:$B$167,$J3517,CAS!$E$31:$E$167)*Impacts!$F$18))</f>
        <v>0</v>
      </c>
      <c r="W3517" s="10">
        <f t="shared" si="95"/>
        <v>0</v>
      </c>
      <c r="AK3517" s="10" t="str">
        <f t="array" ref="AK3517">IFERROR(INDEX(SelectedSpecies,SMALL(IF(SelectedSpecies=AK$1,ROW(SelectedSpecies)),ROW(3518:3518)),2),"")</f>
        <v/>
      </c>
      <c r="BE3517" s="10"/>
      <c r="BI3517" s="10"/>
    </row>
    <row r="3518" spans="1:61" ht="21" customHeight="1" x14ac:dyDescent="0.25">
      <c r="A3518" s="10"/>
      <c r="B3518" s="10"/>
      <c r="E3518" s="10"/>
      <c r="G3518" s="10"/>
      <c r="I3518" s="436" t="s">
        <v>5361</v>
      </c>
      <c r="J3518" s="26" t="s">
        <v>5360</v>
      </c>
      <c r="K3518" s="10">
        <v>1.6</v>
      </c>
      <c r="L3518" s="73">
        <f>IF(Tank1!$C$23="No control",(SUMIF(Tank1!$B$32:$B$49,$J3518,Tank1!$C$32:$C$49)*Impacts!$F$8),0)</f>
        <v>0</v>
      </c>
      <c r="M3518" s="10">
        <f>IF(Tank2!$C$23="No control",(SUMIF(Tank2!$B$32:$B$49,$J3518,Tank2!$C$32:$C$49)*Impacts!$F$9),0)</f>
        <v>0</v>
      </c>
      <c r="N3518" s="10">
        <f>IF(Tank3!$C$23="No control",(SUMIF(Tank3!$B$32:$B$49,$J3518,Tank3!$C$32:$C$49)*Impacts!$F$10),0)</f>
        <v>0</v>
      </c>
      <c r="O3518" s="10">
        <f>IF(Tank4!$C$23="No control",(SUMIF(Tank4!$B$32:$B$49,$J3518,Tank4!$C$32:$C$49)*Impacts!$F$11),0)</f>
        <v>0</v>
      </c>
      <c r="P3518" s="10">
        <f>IF(Tank5!$C$23="No control",(SUMIF(Tank5!$B$32:$B$49,$J3518,Tank5!$C$32:$C$49)*Impacts!$F$12),0)</f>
        <v>0</v>
      </c>
      <c r="Q3518" s="10">
        <f>IFERROR(IF(('Loading-drum,tote'!$C$21)="No control",SUMIF(('Loading-drum,tote'!$B$31:$B$48),$J3518,('Loading-drum,tote'!$D$31:$D$48))*Impacts!$F$13,IF(('Loading-drum,tote'!$C$21)&lt;&gt;"No control",SUMIF(('Loading-drum,tote'!$B$31:$B$48),$J3518,('Loading-drum,tote'!$E$31:$E$48))*Impacts!$F$13,0)),0)</f>
        <v>0</v>
      </c>
      <c r="R3518" s="10">
        <f>IFERROR(IF(('Loading-truck'!$C$21)="No control",SUMIF(('Loading-truck'!$B$31:$B$48),$J3518,('Loading-truck'!$D$31:$D$48))*Impacts!$F$14,IF(('Loading-truck'!$C$21)&lt;&gt;"No control",SUMIF(('Loading-truck'!$B$31:$B$48),$J3518,('Loading-truck'!$E$31:$E$48))*Impacts!$F$14,0)),0)</f>
        <v>0</v>
      </c>
      <c r="S3518" s="10">
        <f>IFERROR(IF(('Loading-rail'!$C$21)="No control",SUMIF(('Loading-rail'!$B$31:$B$48),$J3518,('Loading-rail'!$D$31:$D$48))*Impacts!$F$15,IF(('Loading-rail'!$C$21)&lt;&gt;"No control",SUMIF(('Loading-rail'!$B$31:$B$48),$J3518,('Loading-rail'!$E$31:$E$48))*Impacts!$F$15,0)),0)</f>
        <v>0</v>
      </c>
      <c r="T3518" s="10">
        <f>IF(Flare!$C$7="",0,(SUMIF(Flare!$B$46:$B$185,$J3518,Flare!$E$46:$E$185)*Impacts!$F$16))</f>
        <v>0</v>
      </c>
      <c r="U3518" s="10">
        <f>IF(VCU!$C$9="",0,(SUMIF(VCU!$B$51:$B$193,$J3518,VCU!$E$51:$E$193)*Impacts!$F$17))</f>
        <v>0</v>
      </c>
      <c r="V3518" s="10">
        <f>IF(CAS!$C$7="",0,(SUMIF(CAS!$B$31:$B$167,$J3518,CAS!$E$31:$E$167)*Impacts!$F$18))</f>
        <v>0</v>
      </c>
      <c r="W3518" s="10">
        <f t="shared" si="95"/>
        <v>0</v>
      </c>
      <c r="AK3518" s="10" t="str">
        <f t="array" ref="AK3518">IFERROR(INDEX(SelectedSpecies,SMALL(IF(SelectedSpecies=AK$1,ROW(SelectedSpecies)),ROW(3519:3519)),2),"")</f>
        <v/>
      </c>
      <c r="BE3518" s="10"/>
      <c r="BI3518" s="10"/>
    </row>
    <row r="3519" spans="1:61" ht="21" customHeight="1" x14ac:dyDescent="0.25">
      <c r="A3519" s="10"/>
      <c r="B3519" s="10"/>
      <c r="E3519" s="10"/>
      <c r="G3519" s="10"/>
      <c r="I3519" s="436" t="s">
        <v>4519</v>
      </c>
      <c r="J3519" s="26" t="s">
        <v>4518</v>
      </c>
      <c r="K3519" s="10">
        <v>4.1000000000000005</v>
      </c>
      <c r="L3519" s="73">
        <f>IF(Tank1!$C$23="No control",(SUMIF(Tank1!$B$32:$B$49,$J3519,Tank1!$C$32:$C$49)*Impacts!$F$8),0)</f>
        <v>0</v>
      </c>
      <c r="M3519" s="10">
        <f>IF(Tank2!$C$23="No control",(SUMIF(Tank2!$B$32:$B$49,$J3519,Tank2!$C$32:$C$49)*Impacts!$F$9),0)</f>
        <v>0</v>
      </c>
      <c r="N3519" s="10">
        <f>IF(Tank3!$C$23="No control",(SUMIF(Tank3!$B$32:$B$49,$J3519,Tank3!$C$32:$C$49)*Impacts!$F$10),0)</f>
        <v>0</v>
      </c>
      <c r="O3519" s="10">
        <f>IF(Tank4!$C$23="No control",(SUMIF(Tank4!$B$32:$B$49,$J3519,Tank4!$C$32:$C$49)*Impacts!$F$11),0)</f>
        <v>0</v>
      </c>
      <c r="P3519" s="10">
        <f>IF(Tank5!$C$23="No control",(SUMIF(Tank5!$B$32:$B$49,$J3519,Tank5!$C$32:$C$49)*Impacts!$F$12),0)</f>
        <v>0</v>
      </c>
      <c r="Q3519" s="10">
        <f>IFERROR(IF(('Loading-drum,tote'!$C$21)="No control",SUMIF(('Loading-drum,tote'!$B$31:$B$48),$J3519,('Loading-drum,tote'!$D$31:$D$48))*Impacts!$F$13,IF(('Loading-drum,tote'!$C$21)&lt;&gt;"No control",SUMIF(('Loading-drum,tote'!$B$31:$B$48),$J3519,('Loading-drum,tote'!$E$31:$E$48))*Impacts!$F$13,0)),0)</f>
        <v>0</v>
      </c>
      <c r="R3519" s="10">
        <f>IFERROR(IF(('Loading-truck'!$C$21)="No control",SUMIF(('Loading-truck'!$B$31:$B$48),$J3519,('Loading-truck'!$D$31:$D$48))*Impacts!$F$14,IF(('Loading-truck'!$C$21)&lt;&gt;"No control",SUMIF(('Loading-truck'!$B$31:$B$48),$J3519,('Loading-truck'!$E$31:$E$48))*Impacts!$F$14,0)),0)</f>
        <v>0</v>
      </c>
      <c r="S3519" s="10">
        <f>IFERROR(IF(('Loading-rail'!$C$21)="No control",SUMIF(('Loading-rail'!$B$31:$B$48),$J3519,('Loading-rail'!$D$31:$D$48))*Impacts!$F$15,IF(('Loading-rail'!$C$21)&lt;&gt;"No control",SUMIF(('Loading-rail'!$B$31:$B$48),$J3519,('Loading-rail'!$E$31:$E$48))*Impacts!$F$15,0)),0)</f>
        <v>0</v>
      </c>
      <c r="T3519" s="10">
        <f>IF(Flare!$C$7="",0,(SUMIF(Flare!$B$46:$B$185,$J3519,Flare!$E$46:$E$185)*Impacts!$F$16))</f>
        <v>0</v>
      </c>
      <c r="U3519" s="10">
        <f>IF(VCU!$C$9="",0,(SUMIF(VCU!$B$51:$B$193,$J3519,VCU!$E$51:$E$193)*Impacts!$F$17))</f>
        <v>0</v>
      </c>
      <c r="V3519" s="10">
        <f>IF(CAS!$C$7="",0,(SUMIF(CAS!$B$31:$B$167,$J3519,CAS!$E$31:$E$167)*Impacts!$F$18))</f>
        <v>0</v>
      </c>
      <c r="W3519" s="10">
        <f t="shared" si="95"/>
        <v>0</v>
      </c>
      <c r="AK3519" s="10" t="str">
        <f t="array" ref="AK3519">IFERROR(INDEX(SelectedSpecies,SMALL(IF(SelectedSpecies=AK$1,ROW(SelectedSpecies)),ROW(3520:3520)),2),"")</f>
        <v/>
      </c>
      <c r="BE3519" s="10"/>
      <c r="BI3519" s="10"/>
    </row>
    <row r="3520" spans="1:61" ht="21" customHeight="1" x14ac:dyDescent="0.25">
      <c r="A3520" s="10"/>
      <c r="B3520" s="10"/>
      <c r="E3520" s="10"/>
      <c r="G3520" s="10"/>
      <c r="I3520" s="436" t="s">
        <v>7940</v>
      </c>
      <c r="J3520" s="26" t="s">
        <v>7939</v>
      </c>
      <c r="K3520" s="10">
        <v>0.05</v>
      </c>
      <c r="L3520" s="73">
        <f>IF(Tank1!$C$23="No control",(SUMIF(Tank1!$B$32:$B$49,$J3520,Tank1!$C$32:$C$49)*Impacts!$F$8),0)</f>
        <v>0</v>
      </c>
      <c r="M3520" s="10">
        <f>IF(Tank2!$C$23="No control",(SUMIF(Tank2!$B$32:$B$49,$J3520,Tank2!$C$32:$C$49)*Impacts!$F$9),0)</f>
        <v>0</v>
      </c>
      <c r="N3520" s="10">
        <f>IF(Tank3!$C$23="No control",(SUMIF(Tank3!$B$32:$B$49,$J3520,Tank3!$C$32:$C$49)*Impacts!$F$10),0)</f>
        <v>0</v>
      </c>
      <c r="O3520" s="10">
        <f>IF(Tank4!$C$23="No control",(SUMIF(Tank4!$B$32:$B$49,$J3520,Tank4!$C$32:$C$49)*Impacts!$F$11),0)</f>
        <v>0</v>
      </c>
      <c r="P3520" s="10">
        <f>IF(Tank5!$C$23="No control",(SUMIF(Tank5!$B$32:$B$49,$J3520,Tank5!$C$32:$C$49)*Impacts!$F$12),0)</f>
        <v>0</v>
      </c>
      <c r="Q3520" s="10">
        <f>IFERROR(IF(('Loading-drum,tote'!$C$21)="No control",SUMIF(('Loading-drum,tote'!$B$31:$B$48),$J3520,('Loading-drum,tote'!$D$31:$D$48))*Impacts!$F$13,IF(('Loading-drum,tote'!$C$21)&lt;&gt;"No control",SUMIF(('Loading-drum,tote'!$B$31:$B$48),$J3520,('Loading-drum,tote'!$E$31:$E$48))*Impacts!$F$13,0)),0)</f>
        <v>0</v>
      </c>
      <c r="R3520" s="10">
        <f>IFERROR(IF(('Loading-truck'!$C$21)="No control",SUMIF(('Loading-truck'!$B$31:$B$48),$J3520,('Loading-truck'!$D$31:$D$48))*Impacts!$F$14,IF(('Loading-truck'!$C$21)&lt;&gt;"No control",SUMIF(('Loading-truck'!$B$31:$B$48),$J3520,('Loading-truck'!$E$31:$E$48))*Impacts!$F$14,0)),0)</f>
        <v>0</v>
      </c>
      <c r="S3520" s="10">
        <f>IFERROR(IF(('Loading-rail'!$C$21)="No control",SUMIF(('Loading-rail'!$B$31:$B$48),$J3520,('Loading-rail'!$D$31:$D$48))*Impacts!$F$15,IF(('Loading-rail'!$C$21)&lt;&gt;"No control",SUMIF(('Loading-rail'!$B$31:$B$48),$J3520,('Loading-rail'!$E$31:$E$48))*Impacts!$F$15,0)),0)</f>
        <v>0</v>
      </c>
      <c r="T3520" s="10">
        <f>IF(Flare!$C$7="",0,(SUMIF(Flare!$B$46:$B$185,$J3520,Flare!$E$46:$E$185)*Impacts!$F$16))</f>
        <v>0</v>
      </c>
      <c r="U3520" s="10">
        <f>IF(VCU!$C$9="",0,(SUMIF(VCU!$B$51:$B$193,$J3520,VCU!$E$51:$E$193)*Impacts!$F$17))</f>
        <v>0</v>
      </c>
      <c r="V3520" s="10">
        <f>IF(CAS!$C$7="",0,(SUMIF(CAS!$B$31:$B$167,$J3520,CAS!$E$31:$E$167)*Impacts!$F$18))</f>
        <v>0</v>
      </c>
      <c r="W3520" s="10">
        <f t="shared" si="95"/>
        <v>0</v>
      </c>
      <c r="AK3520" s="10" t="str">
        <f t="array" ref="AK3520">IFERROR(INDEX(SelectedSpecies,SMALL(IF(SelectedSpecies=AK$1,ROW(SelectedSpecies)),ROW(3521:3521)),2),"")</f>
        <v/>
      </c>
      <c r="BE3520" s="10"/>
      <c r="BI3520" s="10"/>
    </row>
    <row r="3521" spans="1:61" ht="21" customHeight="1" x14ac:dyDescent="0.25">
      <c r="A3521" s="10"/>
      <c r="B3521" s="10"/>
      <c r="E3521" s="10"/>
      <c r="G3521" s="10"/>
      <c r="I3521" s="436" t="s">
        <v>1733</v>
      </c>
      <c r="J3521" s="26" t="s">
        <v>1732</v>
      </c>
      <c r="K3521" s="10">
        <v>24.5</v>
      </c>
      <c r="L3521" s="73">
        <f>IF(Tank1!$C$23="No control",(SUMIF(Tank1!$B$32:$B$49,$J3521,Tank1!$C$32:$C$49)*Impacts!$F$8),0)</f>
        <v>0</v>
      </c>
      <c r="M3521" s="10">
        <f>IF(Tank2!$C$23="No control",(SUMIF(Tank2!$B$32:$B$49,$J3521,Tank2!$C$32:$C$49)*Impacts!$F$9),0)</f>
        <v>0</v>
      </c>
      <c r="N3521" s="10">
        <f>IF(Tank3!$C$23="No control",(SUMIF(Tank3!$B$32:$B$49,$J3521,Tank3!$C$32:$C$49)*Impacts!$F$10),0)</f>
        <v>0</v>
      </c>
      <c r="O3521" s="10">
        <f>IF(Tank4!$C$23="No control",(SUMIF(Tank4!$B$32:$B$49,$J3521,Tank4!$C$32:$C$49)*Impacts!$F$11),0)</f>
        <v>0</v>
      </c>
      <c r="P3521" s="10">
        <f>IF(Tank5!$C$23="No control",(SUMIF(Tank5!$B$32:$B$49,$J3521,Tank5!$C$32:$C$49)*Impacts!$F$12),0)</f>
        <v>0</v>
      </c>
      <c r="Q3521" s="10">
        <f>IFERROR(IF(('Loading-drum,tote'!$C$21)="No control",SUMIF(('Loading-drum,tote'!$B$31:$B$48),$J3521,('Loading-drum,tote'!$D$31:$D$48))*Impacts!$F$13,IF(('Loading-drum,tote'!$C$21)&lt;&gt;"No control",SUMIF(('Loading-drum,tote'!$B$31:$B$48),$J3521,('Loading-drum,tote'!$E$31:$E$48))*Impacts!$F$13,0)),0)</f>
        <v>0</v>
      </c>
      <c r="R3521" s="10">
        <f>IFERROR(IF(('Loading-truck'!$C$21)="No control",SUMIF(('Loading-truck'!$B$31:$B$48),$J3521,('Loading-truck'!$D$31:$D$48))*Impacts!$F$14,IF(('Loading-truck'!$C$21)&lt;&gt;"No control",SUMIF(('Loading-truck'!$B$31:$B$48),$J3521,('Loading-truck'!$E$31:$E$48))*Impacts!$F$14,0)),0)</f>
        <v>0</v>
      </c>
      <c r="S3521" s="10">
        <f>IFERROR(IF(('Loading-rail'!$C$21)="No control",SUMIF(('Loading-rail'!$B$31:$B$48),$J3521,('Loading-rail'!$D$31:$D$48))*Impacts!$F$15,IF(('Loading-rail'!$C$21)&lt;&gt;"No control",SUMIF(('Loading-rail'!$B$31:$B$48),$J3521,('Loading-rail'!$E$31:$E$48))*Impacts!$F$15,0)),0)</f>
        <v>0</v>
      </c>
      <c r="T3521" s="10">
        <f>IF(Flare!$C$7="",0,(SUMIF(Flare!$B$46:$B$185,$J3521,Flare!$E$46:$E$185)*Impacts!$F$16))</f>
        <v>0</v>
      </c>
      <c r="U3521" s="10">
        <f>IF(VCU!$C$9="",0,(SUMIF(VCU!$B$51:$B$193,$J3521,VCU!$E$51:$E$193)*Impacts!$F$17))</f>
        <v>0</v>
      </c>
      <c r="V3521" s="10">
        <f>IF(CAS!$C$7="",0,(SUMIF(CAS!$B$31:$B$167,$J3521,CAS!$E$31:$E$167)*Impacts!$F$18))</f>
        <v>0</v>
      </c>
      <c r="W3521" s="10">
        <f t="shared" si="95"/>
        <v>0</v>
      </c>
      <c r="AK3521" s="10" t="str">
        <f t="array" ref="AK3521">IFERROR(INDEX(SelectedSpecies,SMALL(IF(SelectedSpecies=AK$1,ROW(SelectedSpecies)),ROW(3522:3522)),2),"")</f>
        <v/>
      </c>
      <c r="BE3521" s="10"/>
      <c r="BI3521" s="10"/>
    </row>
    <row r="3522" spans="1:61" ht="21" customHeight="1" x14ac:dyDescent="0.25">
      <c r="A3522" s="10"/>
      <c r="B3522" s="10"/>
      <c r="E3522" s="10"/>
      <c r="G3522" s="10"/>
      <c r="I3522" s="436" t="s">
        <v>6410</v>
      </c>
      <c r="J3522" s="26" t="s">
        <v>6409</v>
      </c>
      <c r="K3522" s="10">
        <v>0.81</v>
      </c>
      <c r="L3522" s="73">
        <f>IF(Tank1!$C$23="No control",(SUMIF(Tank1!$B$32:$B$49,$J3522,Tank1!$C$32:$C$49)*Impacts!$F$8),0)</f>
        <v>0</v>
      </c>
      <c r="M3522" s="10">
        <f>IF(Tank2!$C$23="No control",(SUMIF(Tank2!$B$32:$B$49,$J3522,Tank2!$C$32:$C$49)*Impacts!$F$9),0)</f>
        <v>0</v>
      </c>
      <c r="N3522" s="10">
        <f>IF(Tank3!$C$23="No control",(SUMIF(Tank3!$B$32:$B$49,$J3522,Tank3!$C$32:$C$49)*Impacts!$F$10),0)</f>
        <v>0</v>
      </c>
      <c r="O3522" s="10">
        <f>IF(Tank4!$C$23="No control",(SUMIF(Tank4!$B$32:$B$49,$J3522,Tank4!$C$32:$C$49)*Impacts!$F$11),0)</f>
        <v>0</v>
      </c>
      <c r="P3522" s="10">
        <f>IF(Tank5!$C$23="No control",(SUMIF(Tank5!$B$32:$B$49,$J3522,Tank5!$C$32:$C$49)*Impacts!$F$12),0)</f>
        <v>0</v>
      </c>
      <c r="Q3522" s="10">
        <f>IFERROR(IF(('Loading-drum,tote'!$C$21)="No control",SUMIF(('Loading-drum,tote'!$B$31:$B$48),$J3522,('Loading-drum,tote'!$D$31:$D$48))*Impacts!$F$13,IF(('Loading-drum,tote'!$C$21)&lt;&gt;"No control",SUMIF(('Loading-drum,tote'!$B$31:$B$48),$J3522,('Loading-drum,tote'!$E$31:$E$48))*Impacts!$F$13,0)),0)</f>
        <v>0</v>
      </c>
      <c r="R3522" s="10">
        <f>IFERROR(IF(('Loading-truck'!$C$21)="No control",SUMIF(('Loading-truck'!$B$31:$B$48),$J3522,('Loading-truck'!$D$31:$D$48))*Impacts!$F$14,IF(('Loading-truck'!$C$21)&lt;&gt;"No control",SUMIF(('Loading-truck'!$B$31:$B$48),$J3522,('Loading-truck'!$E$31:$E$48))*Impacts!$F$14,0)),0)</f>
        <v>0</v>
      </c>
      <c r="S3522" s="10">
        <f>IFERROR(IF(('Loading-rail'!$C$21)="No control",SUMIF(('Loading-rail'!$B$31:$B$48),$J3522,('Loading-rail'!$D$31:$D$48))*Impacts!$F$15,IF(('Loading-rail'!$C$21)&lt;&gt;"No control",SUMIF(('Loading-rail'!$B$31:$B$48),$J3522,('Loading-rail'!$E$31:$E$48))*Impacts!$F$15,0)),0)</f>
        <v>0</v>
      </c>
      <c r="T3522" s="10">
        <f>IF(Flare!$C$7="",0,(SUMIF(Flare!$B$46:$B$185,$J3522,Flare!$E$46:$E$185)*Impacts!$F$16))</f>
        <v>0</v>
      </c>
      <c r="U3522" s="10">
        <f>IF(VCU!$C$9="",0,(SUMIF(VCU!$B$51:$B$193,$J3522,VCU!$E$51:$E$193)*Impacts!$F$17))</f>
        <v>0</v>
      </c>
      <c r="V3522" s="10">
        <f>IF(CAS!$C$7="",0,(SUMIF(CAS!$B$31:$B$167,$J3522,CAS!$E$31:$E$167)*Impacts!$F$18))</f>
        <v>0</v>
      </c>
      <c r="W3522" s="10">
        <f t="shared" si="95"/>
        <v>0</v>
      </c>
      <c r="AK3522" s="10" t="str">
        <f t="array" ref="AK3522">IFERROR(INDEX(SelectedSpecies,SMALL(IF(SelectedSpecies=AK$1,ROW(SelectedSpecies)),ROW(3523:3523)),2),"")</f>
        <v/>
      </c>
      <c r="BE3522" s="10"/>
      <c r="BI3522" s="10"/>
    </row>
    <row r="3523" spans="1:61" ht="21" customHeight="1" x14ac:dyDescent="0.25">
      <c r="A3523" s="10"/>
      <c r="B3523" s="10"/>
      <c r="E3523" s="10"/>
      <c r="G3523" s="10"/>
      <c r="I3523" s="436" t="s">
        <v>6410</v>
      </c>
      <c r="J3523" s="26" t="s">
        <v>10415</v>
      </c>
      <c r="K3523" s="10">
        <v>5.6999999999999995E-2</v>
      </c>
      <c r="L3523" s="73">
        <f>IF(Tank1!$C$23="No control",(SUMIF(Tank1!$B$32:$B$49,$J3523,Tank1!$C$32:$C$49)*Impacts!$F$8),0)</f>
        <v>0</v>
      </c>
      <c r="M3523" s="10">
        <f>IF(Tank2!$C$23="No control",(SUMIF(Tank2!$B$32:$B$49,$J3523,Tank2!$C$32:$C$49)*Impacts!$F$9),0)</f>
        <v>0</v>
      </c>
      <c r="N3523" s="10">
        <f>IF(Tank3!$C$23="No control",(SUMIF(Tank3!$B$32:$B$49,$J3523,Tank3!$C$32:$C$49)*Impacts!$F$10),0)</f>
        <v>0</v>
      </c>
      <c r="O3523" s="10">
        <f>IF(Tank4!$C$23="No control",(SUMIF(Tank4!$B$32:$B$49,$J3523,Tank4!$C$32:$C$49)*Impacts!$F$11),0)</f>
        <v>0</v>
      </c>
      <c r="P3523" s="10">
        <f>IF(Tank5!$C$23="No control",(SUMIF(Tank5!$B$32:$B$49,$J3523,Tank5!$C$32:$C$49)*Impacts!$F$12),0)</f>
        <v>0</v>
      </c>
      <c r="Q3523" s="10">
        <f>IFERROR(IF(('Loading-drum,tote'!$C$21)="No control",SUMIF(('Loading-drum,tote'!$B$31:$B$48),$J3523,('Loading-drum,tote'!$D$31:$D$48))*Impacts!$F$13,IF(('Loading-drum,tote'!$C$21)&lt;&gt;"No control",SUMIF(('Loading-drum,tote'!$B$31:$B$48),$J3523,('Loading-drum,tote'!$E$31:$E$48))*Impacts!$F$13,0)),0)</f>
        <v>0</v>
      </c>
      <c r="R3523" s="10">
        <f>IFERROR(IF(('Loading-truck'!$C$21)="No control",SUMIF(('Loading-truck'!$B$31:$B$48),$J3523,('Loading-truck'!$D$31:$D$48))*Impacts!$F$14,IF(('Loading-truck'!$C$21)&lt;&gt;"No control",SUMIF(('Loading-truck'!$B$31:$B$48),$J3523,('Loading-truck'!$E$31:$E$48))*Impacts!$F$14,0)),0)</f>
        <v>0</v>
      </c>
      <c r="S3523" s="10">
        <f>IFERROR(IF(('Loading-rail'!$C$21)="No control",SUMIF(('Loading-rail'!$B$31:$B$48),$J3523,('Loading-rail'!$D$31:$D$48))*Impacts!$F$15,IF(('Loading-rail'!$C$21)&lt;&gt;"No control",SUMIF(('Loading-rail'!$B$31:$B$48),$J3523,('Loading-rail'!$E$31:$E$48))*Impacts!$F$15,0)),0)</f>
        <v>0</v>
      </c>
      <c r="T3523" s="10">
        <f>IF(Flare!$C$7="",0,(SUMIF(Flare!$B$46:$B$185,$J3523,Flare!$E$46:$E$185)*Impacts!$F$16))</f>
        <v>0</v>
      </c>
      <c r="U3523" s="10">
        <f>IF(VCU!$C$9="",0,(SUMIF(VCU!$B$51:$B$193,$J3523,VCU!$E$51:$E$193)*Impacts!$F$17))</f>
        <v>0</v>
      </c>
      <c r="V3523" s="10">
        <f>IF(CAS!$C$7="",0,(SUMIF(CAS!$B$31:$B$167,$J3523,CAS!$E$31:$E$167)*Impacts!$F$18))</f>
        <v>0</v>
      </c>
      <c r="W3523" s="10">
        <f t="shared" si="95"/>
        <v>0</v>
      </c>
      <c r="AK3523" s="10" t="str">
        <f t="array" ref="AK3523">IFERROR(INDEX(SelectedSpecies,SMALL(IF(SelectedSpecies=AK$1,ROW(SelectedSpecies)),ROW(3524:3524)),2),"")</f>
        <v/>
      </c>
      <c r="BE3523" s="10"/>
      <c r="BI3523" s="10"/>
    </row>
    <row r="3524" spans="1:61" ht="21" customHeight="1" x14ac:dyDescent="0.25">
      <c r="A3524" s="10"/>
      <c r="B3524" s="10"/>
      <c r="E3524" s="10"/>
      <c r="G3524" s="10"/>
      <c r="I3524" s="436" t="s">
        <v>6410</v>
      </c>
      <c r="J3524" s="26" t="s">
        <v>10416</v>
      </c>
      <c r="K3524" s="10">
        <v>7.0999999999999994E-2</v>
      </c>
      <c r="L3524" s="73">
        <f>IF(Tank1!$C$23="No control",(SUMIF(Tank1!$B$32:$B$49,$J3524,Tank1!$C$32:$C$49)*Impacts!$F$8),0)</f>
        <v>0</v>
      </c>
      <c r="M3524" s="10">
        <f>IF(Tank2!$C$23="No control",(SUMIF(Tank2!$B$32:$B$49,$J3524,Tank2!$C$32:$C$49)*Impacts!$F$9),0)</f>
        <v>0</v>
      </c>
      <c r="N3524" s="10">
        <f>IF(Tank3!$C$23="No control",(SUMIF(Tank3!$B$32:$B$49,$J3524,Tank3!$C$32:$C$49)*Impacts!$F$10),0)</f>
        <v>0</v>
      </c>
      <c r="O3524" s="10">
        <f>IF(Tank4!$C$23="No control",(SUMIF(Tank4!$B$32:$B$49,$J3524,Tank4!$C$32:$C$49)*Impacts!$F$11),0)</f>
        <v>0</v>
      </c>
      <c r="P3524" s="10">
        <f>IF(Tank5!$C$23="No control",(SUMIF(Tank5!$B$32:$B$49,$J3524,Tank5!$C$32:$C$49)*Impacts!$F$12),0)</f>
        <v>0</v>
      </c>
      <c r="Q3524" s="10">
        <f>IFERROR(IF(('Loading-drum,tote'!$C$21)="No control",SUMIF(('Loading-drum,tote'!$B$31:$B$48),$J3524,('Loading-drum,tote'!$D$31:$D$48))*Impacts!$F$13,IF(('Loading-drum,tote'!$C$21)&lt;&gt;"No control",SUMIF(('Loading-drum,tote'!$B$31:$B$48),$J3524,('Loading-drum,tote'!$E$31:$E$48))*Impacts!$F$13,0)),0)</f>
        <v>0</v>
      </c>
      <c r="R3524" s="10">
        <f>IFERROR(IF(('Loading-truck'!$C$21)="No control",SUMIF(('Loading-truck'!$B$31:$B$48),$J3524,('Loading-truck'!$D$31:$D$48))*Impacts!$F$14,IF(('Loading-truck'!$C$21)&lt;&gt;"No control",SUMIF(('Loading-truck'!$B$31:$B$48),$J3524,('Loading-truck'!$E$31:$E$48))*Impacts!$F$14,0)),0)</f>
        <v>0</v>
      </c>
      <c r="S3524" s="10">
        <f>IFERROR(IF(('Loading-rail'!$C$21)="No control",SUMIF(('Loading-rail'!$B$31:$B$48),$J3524,('Loading-rail'!$D$31:$D$48))*Impacts!$F$15,IF(('Loading-rail'!$C$21)&lt;&gt;"No control",SUMIF(('Loading-rail'!$B$31:$B$48),$J3524,('Loading-rail'!$E$31:$E$48))*Impacts!$F$15,0)),0)</f>
        <v>0</v>
      </c>
      <c r="T3524" s="10">
        <f>IF(Flare!$C$7="",0,(SUMIF(Flare!$B$46:$B$185,$J3524,Flare!$E$46:$E$185)*Impacts!$F$16))</f>
        <v>0</v>
      </c>
      <c r="U3524" s="10">
        <f>IF(VCU!$C$9="",0,(SUMIF(VCU!$B$51:$B$193,$J3524,VCU!$E$51:$E$193)*Impacts!$F$17))</f>
        <v>0</v>
      </c>
      <c r="V3524" s="10">
        <f>IF(CAS!$C$7="",0,(SUMIF(CAS!$B$31:$B$167,$J3524,CAS!$E$31:$E$167)*Impacts!$F$18))</f>
        <v>0</v>
      </c>
      <c r="W3524" s="10">
        <f t="shared" si="95"/>
        <v>0</v>
      </c>
      <c r="AK3524" s="10" t="str">
        <f t="array" ref="AK3524">IFERROR(INDEX(SelectedSpecies,SMALL(IF(SelectedSpecies=AK$1,ROW(SelectedSpecies)),ROW(3525:3525)),2),"")</f>
        <v/>
      </c>
      <c r="BE3524" s="10"/>
      <c r="BI3524" s="10"/>
    </row>
    <row r="3525" spans="1:61" ht="21" customHeight="1" x14ac:dyDescent="0.25">
      <c r="A3525" s="10"/>
      <c r="B3525" s="10"/>
      <c r="E3525" s="10"/>
      <c r="G3525" s="10"/>
      <c r="I3525" s="436" t="s">
        <v>4873</v>
      </c>
      <c r="J3525" s="26" t="s">
        <v>4872</v>
      </c>
      <c r="K3525" s="10">
        <v>2.8000000000000003</v>
      </c>
      <c r="L3525" s="73">
        <f>IF(Tank1!$C$23="No control",(SUMIF(Tank1!$B$32:$B$49,$J3525,Tank1!$C$32:$C$49)*Impacts!$F$8),0)</f>
        <v>0</v>
      </c>
      <c r="M3525" s="10">
        <f>IF(Tank2!$C$23="No control",(SUMIF(Tank2!$B$32:$B$49,$J3525,Tank2!$C$32:$C$49)*Impacts!$F$9),0)</f>
        <v>0</v>
      </c>
      <c r="N3525" s="10">
        <f>IF(Tank3!$C$23="No control",(SUMIF(Tank3!$B$32:$B$49,$J3525,Tank3!$C$32:$C$49)*Impacts!$F$10),0)</f>
        <v>0</v>
      </c>
      <c r="O3525" s="10">
        <f>IF(Tank4!$C$23="No control",(SUMIF(Tank4!$B$32:$B$49,$J3525,Tank4!$C$32:$C$49)*Impacts!$F$11),0)</f>
        <v>0</v>
      </c>
      <c r="P3525" s="10">
        <f>IF(Tank5!$C$23="No control",(SUMIF(Tank5!$B$32:$B$49,$J3525,Tank5!$C$32:$C$49)*Impacts!$F$12),0)</f>
        <v>0</v>
      </c>
      <c r="Q3525" s="10">
        <f>IFERROR(IF(('Loading-drum,tote'!$C$21)="No control",SUMIF(('Loading-drum,tote'!$B$31:$B$48),$J3525,('Loading-drum,tote'!$D$31:$D$48))*Impacts!$F$13,IF(('Loading-drum,tote'!$C$21)&lt;&gt;"No control",SUMIF(('Loading-drum,tote'!$B$31:$B$48),$J3525,('Loading-drum,tote'!$E$31:$E$48))*Impacts!$F$13,0)),0)</f>
        <v>0</v>
      </c>
      <c r="R3525" s="10">
        <f>IFERROR(IF(('Loading-truck'!$C$21)="No control",SUMIF(('Loading-truck'!$B$31:$B$48),$J3525,('Loading-truck'!$D$31:$D$48))*Impacts!$F$14,IF(('Loading-truck'!$C$21)&lt;&gt;"No control",SUMIF(('Loading-truck'!$B$31:$B$48),$J3525,('Loading-truck'!$E$31:$E$48))*Impacts!$F$14,0)),0)</f>
        <v>0</v>
      </c>
      <c r="S3525" s="10">
        <f>IFERROR(IF(('Loading-rail'!$C$21)="No control",SUMIF(('Loading-rail'!$B$31:$B$48),$J3525,('Loading-rail'!$D$31:$D$48))*Impacts!$F$15,IF(('Loading-rail'!$C$21)&lt;&gt;"No control",SUMIF(('Loading-rail'!$B$31:$B$48),$J3525,('Loading-rail'!$E$31:$E$48))*Impacts!$F$15,0)),0)</f>
        <v>0</v>
      </c>
      <c r="T3525" s="10">
        <f>IF(Flare!$C$7="",0,(SUMIF(Flare!$B$46:$B$185,$J3525,Flare!$E$46:$E$185)*Impacts!$F$16))</f>
        <v>0</v>
      </c>
      <c r="U3525" s="10">
        <f>IF(VCU!$C$9="",0,(SUMIF(VCU!$B$51:$B$193,$J3525,VCU!$E$51:$E$193)*Impacts!$F$17))</f>
        <v>0</v>
      </c>
      <c r="V3525" s="10">
        <f>IF(CAS!$C$7="",0,(SUMIF(CAS!$B$31:$B$167,$J3525,CAS!$E$31:$E$167)*Impacts!$F$18))</f>
        <v>0</v>
      </c>
      <c r="W3525" s="10">
        <f t="shared" si="95"/>
        <v>0</v>
      </c>
      <c r="AK3525" s="10" t="str">
        <f t="array" ref="AK3525">IFERROR(INDEX(SelectedSpecies,SMALL(IF(SelectedSpecies=AK$1,ROW(SelectedSpecies)),ROW(3526:3526)),2),"")</f>
        <v/>
      </c>
      <c r="BE3525" s="10"/>
      <c r="BI3525" s="10"/>
    </row>
    <row r="3526" spans="1:61" ht="21" customHeight="1" x14ac:dyDescent="0.25">
      <c r="A3526" s="10"/>
      <c r="B3526" s="10"/>
      <c r="E3526" s="10"/>
      <c r="G3526" s="10"/>
      <c r="I3526" s="436" t="s">
        <v>752</v>
      </c>
      <c r="J3526" s="26" t="s">
        <v>751</v>
      </c>
      <c r="K3526" s="10">
        <v>57</v>
      </c>
      <c r="L3526" s="73">
        <f>IF(Tank1!$C$23="No control",(SUMIF(Tank1!$B$32:$B$49,$J3526,Tank1!$C$32:$C$49)*Impacts!$F$8),0)</f>
        <v>0</v>
      </c>
      <c r="M3526" s="10">
        <f>IF(Tank2!$C$23="No control",(SUMIF(Tank2!$B$32:$B$49,$J3526,Tank2!$C$32:$C$49)*Impacts!$F$9),0)</f>
        <v>0</v>
      </c>
      <c r="N3526" s="10">
        <f>IF(Tank3!$C$23="No control",(SUMIF(Tank3!$B$32:$B$49,$J3526,Tank3!$C$32:$C$49)*Impacts!$F$10),0)</f>
        <v>0</v>
      </c>
      <c r="O3526" s="10">
        <f>IF(Tank4!$C$23="No control",(SUMIF(Tank4!$B$32:$B$49,$J3526,Tank4!$C$32:$C$49)*Impacts!$F$11),0)</f>
        <v>0</v>
      </c>
      <c r="P3526" s="10">
        <f>IF(Tank5!$C$23="No control",(SUMIF(Tank5!$B$32:$B$49,$J3526,Tank5!$C$32:$C$49)*Impacts!$F$12),0)</f>
        <v>0</v>
      </c>
      <c r="Q3526" s="10">
        <f>IFERROR(IF(('Loading-drum,tote'!$C$21)="No control",SUMIF(('Loading-drum,tote'!$B$31:$B$48),$J3526,('Loading-drum,tote'!$D$31:$D$48))*Impacts!$F$13,IF(('Loading-drum,tote'!$C$21)&lt;&gt;"No control",SUMIF(('Loading-drum,tote'!$B$31:$B$48),$J3526,('Loading-drum,tote'!$E$31:$E$48))*Impacts!$F$13,0)),0)</f>
        <v>0</v>
      </c>
      <c r="R3526" s="10">
        <f>IFERROR(IF(('Loading-truck'!$C$21)="No control",SUMIF(('Loading-truck'!$B$31:$B$48),$J3526,('Loading-truck'!$D$31:$D$48))*Impacts!$F$14,IF(('Loading-truck'!$C$21)&lt;&gt;"No control",SUMIF(('Loading-truck'!$B$31:$B$48),$J3526,('Loading-truck'!$E$31:$E$48))*Impacts!$F$14,0)),0)</f>
        <v>0</v>
      </c>
      <c r="S3526" s="10">
        <f>IFERROR(IF(('Loading-rail'!$C$21)="No control",SUMIF(('Loading-rail'!$B$31:$B$48),$J3526,('Loading-rail'!$D$31:$D$48))*Impacts!$F$15,IF(('Loading-rail'!$C$21)&lt;&gt;"No control",SUMIF(('Loading-rail'!$B$31:$B$48),$J3526,('Loading-rail'!$E$31:$E$48))*Impacts!$F$15,0)),0)</f>
        <v>0</v>
      </c>
      <c r="T3526" s="10">
        <f>IF(Flare!$C$7="",0,(SUMIF(Flare!$B$46:$B$185,$J3526,Flare!$E$46:$E$185)*Impacts!$F$16))</f>
        <v>0</v>
      </c>
      <c r="U3526" s="10">
        <f>IF(VCU!$C$9="",0,(SUMIF(VCU!$B$51:$B$193,$J3526,VCU!$E$51:$E$193)*Impacts!$F$17))</f>
        <v>0</v>
      </c>
      <c r="V3526" s="10">
        <f>IF(CAS!$C$7="",0,(SUMIF(CAS!$B$31:$B$167,$J3526,CAS!$E$31:$E$167)*Impacts!$F$18))</f>
        <v>0</v>
      </c>
      <c r="W3526" s="10">
        <f t="shared" si="95"/>
        <v>0</v>
      </c>
      <c r="AK3526" s="10" t="str">
        <f t="array" ref="AK3526">IFERROR(INDEX(SelectedSpecies,SMALL(IF(SelectedSpecies=AK$1,ROW(SelectedSpecies)),ROW(3527:3527)),2),"")</f>
        <v/>
      </c>
      <c r="BE3526" s="10"/>
      <c r="BI3526" s="10"/>
    </row>
    <row r="3527" spans="1:61" ht="21" customHeight="1" x14ac:dyDescent="0.25">
      <c r="A3527" s="10"/>
      <c r="B3527" s="10"/>
      <c r="E3527" s="10"/>
      <c r="G3527" s="10"/>
      <c r="I3527" s="436" t="s">
        <v>5616</v>
      </c>
      <c r="J3527" s="26" t="s">
        <v>5615</v>
      </c>
      <c r="K3527" s="10">
        <v>1.1000000000000001</v>
      </c>
      <c r="L3527" s="73">
        <f>IF(Tank1!$C$23="No control",(SUMIF(Tank1!$B$32:$B$49,$J3527,Tank1!$C$32:$C$49)*Impacts!$F$8),0)</f>
        <v>0</v>
      </c>
      <c r="M3527" s="10">
        <f>IF(Tank2!$C$23="No control",(SUMIF(Tank2!$B$32:$B$49,$J3527,Tank2!$C$32:$C$49)*Impacts!$F$9),0)</f>
        <v>0</v>
      </c>
      <c r="N3527" s="10">
        <f>IF(Tank3!$C$23="No control",(SUMIF(Tank3!$B$32:$B$49,$J3527,Tank3!$C$32:$C$49)*Impacts!$F$10),0)</f>
        <v>0</v>
      </c>
      <c r="O3527" s="10">
        <f>IF(Tank4!$C$23="No control",(SUMIF(Tank4!$B$32:$B$49,$J3527,Tank4!$C$32:$C$49)*Impacts!$F$11),0)</f>
        <v>0</v>
      </c>
      <c r="P3527" s="10">
        <f>IF(Tank5!$C$23="No control",(SUMIF(Tank5!$B$32:$B$49,$J3527,Tank5!$C$32:$C$49)*Impacts!$F$12),0)</f>
        <v>0</v>
      </c>
      <c r="Q3527" s="10">
        <f>IFERROR(IF(('Loading-drum,tote'!$C$21)="No control",SUMIF(('Loading-drum,tote'!$B$31:$B$48),$J3527,('Loading-drum,tote'!$D$31:$D$48))*Impacts!$F$13,IF(('Loading-drum,tote'!$C$21)&lt;&gt;"No control",SUMIF(('Loading-drum,tote'!$B$31:$B$48),$J3527,('Loading-drum,tote'!$E$31:$E$48))*Impacts!$F$13,0)),0)</f>
        <v>0</v>
      </c>
      <c r="R3527" s="10">
        <f>IFERROR(IF(('Loading-truck'!$C$21)="No control",SUMIF(('Loading-truck'!$B$31:$B$48),$J3527,('Loading-truck'!$D$31:$D$48))*Impacts!$F$14,IF(('Loading-truck'!$C$21)&lt;&gt;"No control",SUMIF(('Loading-truck'!$B$31:$B$48),$J3527,('Loading-truck'!$E$31:$E$48))*Impacts!$F$14,0)),0)</f>
        <v>0</v>
      </c>
      <c r="S3527" s="10">
        <f>IFERROR(IF(('Loading-rail'!$C$21)="No control",SUMIF(('Loading-rail'!$B$31:$B$48),$J3527,('Loading-rail'!$D$31:$D$48))*Impacts!$F$15,IF(('Loading-rail'!$C$21)&lt;&gt;"No control",SUMIF(('Loading-rail'!$B$31:$B$48),$J3527,('Loading-rail'!$E$31:$E$48))*Impacts!$F$15,0)),0)</f>
        <v>0</v>
      </c>
      <c r="T3527" s="10">
        <f>IF(Flare!$C$7="",0,(SUMIF(Flare!$B$46:$B$185,$J3527,Flare!$E$46:$E$185)*Impacts!$F$16))</f>
        <v>0</v>
      </c>
      <c r="U3527" s="10">
        <f>IF(VCU!$C$9="",0,(SUMIF(VCU!$B$51:$B$193,$J3527,VCU!$E$51:$E$193)*Impacts!$F$17))</f>
        <v>0</v>
      </c>
      <c r="V3527" s="10">
        <f>IF(CAS!$C$7="",0,(SUMIF(CAS!$B$31:$B$167,$J3527,CAS!$E$31:$E$167)*Impacts!$F$18))</f>
        <v>0</v>
      </c>
      <c r="W3527" s="10">
        <f t="shared" si="95"/>
        <v>0</v>
      </c>
      <c r="AK3527" s="10" t="str">
        <f t="array" ref="AK3527">IFERROR(INDEX(SelectedSpecies,SMALL(IF(SelectedSpecies=AK$1,ROW(SelectedSpecies)),ROW(3528:3528)),2),"")</f>
        <v/>
      </c>
      <c r="BE3527" s="10"/>
      <c r="BI3527" s="10"/>
    </row>
    <row r="3528" spans="1:61" ht="21" customHeight="1" x14ac:dyDescent="0.25">
      <c r="A3528" s="10"/>
      <c r="B3528" s="10"/>
      <c r="E3528" s="10"/>
      <c r="G3528" s="10"/>
      <c r="I3528" s="436" t="s">
        <v>2035</v>
      </c>
      <c r="J3528" s="26" t="s">
        <v>2034</v>
      </c>
      <c r="K3528" s="10">
        <v>17</v>
      </c>
      <c r="L3528" s="73">
        <f>IF(Tank1!$C$23="No control",(SUMIF(Tank1!$B$32:$B$49,$J3528,Tank1!$C$32:$C$49)*Impacts!$F$8),0)</f>
        <v>0</v>
      </c>
      <c r="M3528" s="10">
        <f>IF(Tank2!$C$23="No control",(SUMIF(Tank2!$B$32:$B$49,$J3528,Tank2!$C$32:$C$49)*Impacts!$F$9),0)</f>
        <v>0</v>
      </c>
      <c r="N3528" s="10">
        <f>IF(Tank3!$C$23="No control",(SUMIF(Tank3!$B$32:$B$49,$J3528,Tank3!$C$32:$C$49)*Impacts!$F$10),0)</f>
        <v>0</v>
      </c>
      <c r="O3528" s="10">
        <f>IF(Tank4!$C$23="No control",(SUMIF(Tank4!$B$32:$B$49,$J3528,Tank4!$C$32:$C$49)*Impacts!$F$11),0)</f>
        <v>0</v>
      </c>
      <c r="P3528" s="10">
        <f>IF(Tank5!$C$23="No control",(SUMIF(Tank5!$B$32:$B$49,$J3528,Tank5!$C$32:$C$49)*Impacts!$F$12),0)</f>
        <v>0</v>
      </c>
      <c r="Q3528" s="10">
        <f>IFERROR(IF(('Loading-drum,tote'!$C$21)="No control",SUMIF(('Loading-drum,tote'!$B$31:$B$48),$J3528,('Loading-drum,tote'!$D$31:$D$48))*Impacts!$F$13,IF(('Loading-drum,tote'!$C$21)&lt;&gt;"No control",SUMIF(('Loading-drum,tote'!$B$31:$B$48),$J3528,('Loading-drum,tote'!$E$31:$E$48))*Impacts!$F$13,0)),0)</f>
        <v>0</v>
      </c>
      <c r="R3528" s="10">
        <f>IFERROR(IF(('Loading-truck'!$C$21)="No control",SUMIF(('Loading-truck'!$B$31:$B$48),$J3528,('Loading-truck'!$D$31:$D$48))*Impacts!$F$14,IF(('Loading-truck'!$C$21)&lt;&gt;"No control",SUMIF(('Loading-truck'!$B$31:$B$48),$J3528,('Loading-truck'!$E$31:$E$48))*Impacts!$F$14,0)),0)</f>
        <v>0</v>
      </c>
      <c r="S3528" s="10">
        <f>IFERROR(IF(('Loading-rail'!$C$21)="No control",SUMIF(('Loading-rail'!$B$31:$B$48),$J3528,('Loading-rail'!$D$31:$D$48))*Impacts!$F$15,IF(('Loading-rail'!$C$21)&lt;&gt;"No control",SUMIF(('Loading-rail'!$B$31:$B$48),$J3528,('Loading-rail'!$E$31:$E$48))*Impacts!$F$15,0)),0)</f>
        <v>0</v>
      </c>
      <c r="T3528" s="10">
        <f>IF(Flare!$C$7="",0,(SUMIF(Flare!$B$46:$B$185,$J3528,Flare!$E$46:$E$185)*Impacts!$F$16))</f>
        <v>0</v>
      </c>
      <c r="U3528" s="10">
        <f>IF(VCU!$C$9="",0,(SUMIF(VCU!$B$51:$B$193,$J3528,VCU!$E$51:$E$193)*Impacts!$F$17))</f>
        <v>0</v>
      </c>
      <c r="V3528" s="10">
        <f>IF(CAS!$C$7="",0,(SUMIF(CAS!$B$31:$B$167,$J3528,CAS!$E$31:$E$167)*Impacts!$F$18))</f>
        <v>0</v>
      </c>
      <c r="W3528" s="10">
        <f t="shared" si="95"/>
        <v>0</v>
      </c>
      <c r="AK3528" s="10" t="str">
        <f t="array" ref="AK3528">IFERROR(INDEX(SelectedSpecies,SMALL(IF(SelectedSpecies=AK$1,ROW(SelectedSpecies)),ROW(3529:3529)),2),"")</f>
        <v/>
      </c>
      <c r="BE3528" s="10"/>
      <c r="BI3528" s="10"/>
    </row>
    <row r="3529" spans="1:61" ht="21" customHeight="1" x14ac:dyDescent="0.25">
      <c r="A3529" s="10"/>
      <c r="B3529" s="10"/>
      <c r="E3529" s="10"/>
      <c r="G3529" s="10"/>
      <c r="I3529" s="436" t="s">
        <v>4387</v>
      </c>
      <c r="J3529" s="26" t="s">
        <v>4386</v>
      </c>
      <c r="K3529" s="10">
        <v>4.8000000000000007</v>
      </c>
      <c r="L3529" s="73">
        <f>IF(Tank1!$C$23="No control",(SUMIF(Tank1!$B$32:$B$49,$J3529,Tank1!$C$32:$C$49)*Impacts!$F$8),0)</f>
        <v>0</v>
      </c>
      <c r="M3529" s="10">
        <f>IF(Tank2!$C$23="No control",(SUMIF(Tank2!$B$32:$B$49,$J3529,Tank2!$C$32:$C$49)*Impacts!$F$9),0)</f>
        <v>0</v>
      </c>
      <c r="N3529" s="10">
        <f>IF(Tank3!$C$23="No control",(SUMIF(Tank3!$B$32:$B$49,$J3529,Tank3!$C$32:$C$49)*Impacts!$F$10),0)</f>
        <v>0</v>
      </c>
      <c r="O3529" s="10">
        <f>IF(Tank4!$C$23="No control",(SUMIF(Tank4!$B$32:$B$49,$J3529,Tank4!$C$32:$C$49)*Impacts!$F$11),0)</f>
        <v>0</v>
      </c>
      <c r="P3529" s="10">
        <f>IF(Tank5!$C$23="No control",(SUMIF(Tank5!$B$32:$B$49,$J3529,Tank5!$C$32:$C$49)*Impacts!$F$12),0)</f>
        <v>0</v>
      </c>
      <c r="Q3529" s="10">
        <f>IFERROR(IF(('Loading-drum,tote'!$C$21)="No control",SUMIF(('Loading-drum,tote'!$B$31:$B$48),$J3529,('Loading-drum,tote'!$D$31:$D$48))*Impacts!$F$13,IF(('Loading-drum,tote'!$C$21)&lt;&gt;"No control",SUMIF(('Loading-drum,tote'!$B$31:$B$48),$J3529,('Loading-drum,tote'!$E$31:$E$48))*Impacts!$F$13,0)),0)</f>
        <v>0</v>
      </c>
      <c r="R3529" s="10">
        <f>IFERROR(IF(('Loading-truck'!$C$21)="No control",SUMIF(('Loading-truck'!$B$31:$B$48),$J3529,('Loading-truck'!$D$31:$D$48))*Impacts!$F$14,IF(('Loading-truck'!$C$21)&lt;&gt;"No control",SUMIF(('Loading-truck'!$B$31:$B$48),$J3529,('Loading-truck'!$E$31:$E$48))*Impacts!$F$14,0)),0)</f>
        <v>0</v>
      </c>
      <c r="S3529" s="10">
        <f>IFERROR(IF(('Loading-rail'!$C$21)="No control",SUMIF(('Loading-rail'!$B$31:$B$48),$J3529,('Loading-rail'!$D$31:$D$48))*Impacts!$F$15,IF(('Loading-rail'!$C$21)&lt;&gt;"No control",SUMIF(('Loading-rail'!$B$31:$B$48),$J3529,('Loading-rail'!$E$31:$E$48))*Impacts!$F$15,0)),0)</f>
        <v>0</v>
      </c>
      <c r="T3529" s="10">
        <f>IF(Flare!$C$7="",0,(SUMIF(Flare!$B$46:$B$185,$J3529,Flare!$E$46:$E$185)*Impacts!$F$16))</f>
        <v>0</v>
      </c>
      <c r="U3529" s="10">
        <f>IF(VCU!$C$9="",0,(SUMIF(VCU!$B$51:$B$193,$J3529,VCU!$E$51:$E$193)*Impacts!$F$17))</f>
        <v>0</v>
      </c>
      <c r="V3529" s="10">
        <f>IF(CAS!$C$7="",0,(SUMIF(CAS!$B$31:$B$167,$J3529,CAS!$E$31:$E$167)*Impacts!$F$18))</f>
        <v>0</v>
      </c>
      <c r="W3529" s="10">
        <f t="shared" si="95"/>
        <v>0</v>
      </c>
      <c r="AK3529" s="10" t="str">
        <f t="array" ref="AK3529">IFERROR(INDEX(SelectedSpecies,SMALL(IF(SelectedSpecies=AK$1,ROW(SelectedSpecies)),ROW(3530:3530)),2),"")</f>
        <v/>
      </c>
      <c r="BE3529" s="10"/>
      <c r="BI3529" s="10"/>
    </row>
    <row r="3530" spans="1:61" ht="21" customHeight="1" x14ac:dyDescent="0.25">
      <c r="A3530" s="10"/>
      <c r="B3530" s="10"/>
      <c r="E3530" s="10"/>
      <c r="G3530" s="10"/>
      <c r="I3530" s="436" t="s">
        <v>6940</v>
      </c>
      <c r="J3530" s="26" t="s">
        <v>6939</v>
      </c>
      <c r="K3530" s="10">
        <v>0.5</v>
      </c>
      <c r="L3530" s="73">
        <f>IF(Tank1!$C$23="No control",(SUMIF(Tank1!$B$32:$B$49,$J3530,Tank1!$C$32:$C$49)*Impacts!$F$8),0)</f>
        <v>0</v>
      </c>
      <c r="M3530" s="10">
        <f>IF(Tank2!$C$23="No control",(SUMIF(Tank2!$B$32:$B$49,$J3530,Tank2!$C$32:$C$49)*Impacts!$F$9),0)</f>
        <v>0</v>
      </c>
      <c r="N3530" s="10">
        <f>IF(Tank3!$C$23="No control",(SUMIF(Tank3!$B$32:$B$49,$J3530,Tank3!$C$32:$C$49)*Impacts!$F$10),0)</f>
        <v>0</v>
      </c>
      <c r="O3530" s="10">
        <f>IF(Tank4!$C$23="No control",(SUMIF(Tank4!$B$32:$B$49,$J3530,Tank4!$C$32:$C$49)*Impacts!$F$11),0)</f>
        <v>0</v>
      </c>
      <c r="P3530" s="10">
        <f>IF(Tank5!$C$23="No control",(SUMIF(Tank5!$B$32:$B$49,$J3530,Tank5!$C$32:$C$49)*Impacts!$F$12),0)</f>
        <v>0</v>
      </c>
      <c r="Q3530" s="10">
        <f>IFERROR(IF(('Loading-drum,tote'!$C$21)="No control",SUMIF(('Loading-drum,tote'!$B$31:$B$48),$J3530,('Loading-drum,tote'!$D$31:$D$48))*Impacts!$F$13,IF(('Loading-drum,tote'!$C$21)&lt;&gt;"No control",SUMIF(('Loading-drum,tote'!$B$31:$B$48),$J3530,('Loading-drum,tote'!$E$31:$E$48))*Impacts!$F$13,0)),0)</f>
        <v>0</v>
      </c>
      <c r="R3530" s="10">
        <f>IFERROR(IF(('Loading-truck'!$C$21)="No control",SUMIF(('Loading-truck'!$B$31:$B$48),$J3530,('Loading-truck'!$D$31:$D$48))*Impacts!$F$14,IF(('Loading-truck'!$C$21)&lt;&gt;"No control",SUMIF(('Loading-truck'!$B$31:$B$48),$J3530,('Loading-truck'!$E$31:$E$48))*Impacts!$F$14,0)),0)</f>
        <v>0</v>
      </c>
      <c r="S3530" s="10">
        <f>IFERROR(IF(('Loading-rail'!$C$21)="No control",SUMIF(('Loading-rail'!$B$31:$B$48),$J3530,('Loading-rail'!$D$31:$D$48))*Impacts!$F$15,IF(('Loading-rail'!$C$21)&lt;&gt;"No control",SUMIF(('Loading-rail'!$B$31:$B$48),$J3530,('Loading-rail'!$E$31:$E$48))*Impacts!$F$15,0)),0)</f>
        <v>0</v>
      </c>
      <c r="T3530" s="10">
        <f>IF(Flare!$C$7="",0,(SUMIF(Flare!$B$46:$B$185,$J3530,Flare!$E$46:$E$185)*Impacts!$F$16))</f>
        <v>0</v>
      </c>
      <c r="U3530" s="10">
        <f>IF(VCU!$C$9="",0,(SUMIF(VCU!$B$51:$B$193,$J3530,VCU!$E$51:$E$193)*Impacts!$F$17))</f>
        <v>0</v>
      </c>
      <c r="V3530" s="10">
        <f>IF(CAS!$C$7="",0,(SUMIF(CAS!$B$31:$B$167,$J3530,CAS!$E$31:$E$167)*Impacts!$F$18))</f>
        <v>0</v>
      </c>
      <c r="W3530" s="10">
        <f t="shared" si="95"/>
        <v>0</v>
      </c>
      <c r="AK3530" s="10" t="str">
        <f t="array" ref="AK3530">IFERROR(INDEX(SelectedSpecies,SMALL(IF(SelectedSpecies=AK$1,ROW(SelectedSpecies)),ROW(3531:3531)),2),"")</f>
        <v/>
      </c>
      <c r="BE3530" s="10"/>
      <c r="BI3530" s="10"/>
    </row>
    <row r="3531" spans="1:61" ht="21" customHeight="1" x14ac:dyDescent="0.25">
      <c r="A3531" s="10"/>
      <c r="B3531" s="10"/>
      <c r="E3531" s="10"/>
      <c r="G3531" s="10"/>
      <c r="I3531" s="436" t="s">
        <v>7544</v>
      </c>
      <c r="J3531" s="26" t="s">
        <v>7543</v>
      </c>
      <c r="K3531" s="10">
        <v>0.2</v>
      </c>
      <c r="L3531" s="73">
        <f>IF(Tank1!$C$23="No control",(SUMIF(Tank1!$B$32:$B$49,$J3531,Tank1!$C$32:$C$49)*Impacts!$F$8),0)</f>
        <v>0</v>
      </c>
      <c r="M3531" s="10">
        <f>IF(Tank2!$C$23="No control",(SUMIF(Tank2!$B$32:$B$49,$J3531,Tank2!$C$32:$C$49)*Impacts!$F$9),0)</f>
        <v>0</v>
      </c>
      <c r="N3531" s="10">
        <f>IF(Tank3!$C$23="No control",(SUMIF(Tank3!$B$32:$B$49,$J3531,Tank3!$C$32:$C$49)*Impacts!$F$10),0)</f>
        <v>0</v>
      </c>
      <c r="O3531" s="10">
        <f>IF(Tank4!$C$23="No control",(SUMIF(Tank4!$B$32:$B$49,$J3531,Tank4!$C$32:$C$49)*Impacts!$F$11),0)</f>
        <v>0</v>
      </c>
      <c r="P3531" s="10">
        <f>IF(Tank5!$C$23="No control",(SUMIF(Tank5!$B$32:$B$49,$J3531,Tank5!$C$32:$C$49)*Impacts!$F$12),0)</f>
        <v>0</v>
      </c>
      <c r="Q3531" s="10">
        <f>IFERROR(IF(('Loading-drum,tote'!$C$21)="No control",SUMIF(('Loading-drum,tote'!$B$31:$B$48),$J3531,('Loading-drum,tote'!$D$31:$D$48))*Impacts!$F$13,IF(('Loading-drum,tote'!$C$21)&lt;&gt;"No control",SUMIF(('Loading-drum,tote'!$B$31:$B$48),$J3531,('Loading-drum,tote'!$E$31:$E$48))*Impacts!$F$13,0)),0)</f>
        <v>0</v>
      </c>
      <c r="R3531" s="10">
        <f>IFERROR(IF(('Loading-truck'!$C$21)="No control",SUMIF(('Loading-truck'!$B$31:$B$48),$J3531,('Loading-truck'!$D$31:$D$48))*Impacts!$F$14,IF(('Loading-truck'!$C$21)&lt;&gt;"No control",SUMIF(('Loading-truck'!$B$31:$B$48),$J3531,('Loading-truck'!$E$31:$E$48))*Impacts!$F$14,0)),0)</f>
        <v>0</v>
      </c>
      <c r="S3531" s="10">
        <f>IFERROR(IF(('Loading-rail'!$C$21)="No control",SUMIF(('Loading-rail'!$B$31:$B$48),$J3531,('Loading-rail'!$D$31:$D$48))*Impacts!$F$15,IF(('Loading-rail'!$C$21)&lt;&gt;"No control",SUMIF(('Loading-rail'!$B$31:$B$48),$J3531,('Loading-rail'!$E$31:$E$48))*Impacts!$F$15,0)),0)</f>
        <v>0</v>
      </c>
      <c r="T3531" s="10">
        <f>IF(Flare!$C$7="",0,(SUMIF(Flare!$B$46:$B$185,$J3531,Flare!$E$46:$E$185)*Impacts!$F$16))</f>
        <v>0</v>
      </c>
      <c r="U3531" s="10">
        <f>IF(VCU!$C$9="",0,(SUMIF(VCU!$B$51:$B$193,$J3531,VCU!$E$51:$E$193)*Impacts!$F$17))</f>
        <v>0</v>
      </c>
      <c r="V3531" s="10">
        <f>IF(CAS!$C$7="",0,(SUMIF(CAS!$B$31:$B$167,$J3531,CAS!$E$31:$E$167)*Impacts!$F$18))</f>
        <v>0</v>
      </c>
      <c r="W3531" s="10">
        <f t="shared" si="95"/>
        <v>0</v>
      </c>
      <c r="AK3531" s="10" t="str">
        <f t="array" ref="AK3531">IFERROR(INDEX(SelectedSpecies,SMALL(IF(SelectedSpecies=AK$1,ROW(SelectedSpecies)),ROW(3532:3532)),2),"")</f>
        <v/>
      </c>
      <c r="BE3531" s="10"/>
      <c r="BI3531" s="10"/>
    </row>
    <row r="3532" spans="1:61" ht="21" customHeight="1" x14ac:dyDescent="0.25">
      <c r="A3532" s="10"/>
      <c r="B3532" s="10"/>
      <c r="E3532" s="10"/>
      <c r="G3532" s="10"/>
      <c r="I3532" s="436" t="s">
        <v>1917</v>
      </c>
      <c r="J3532" s="26" t="s">
        <v>1916</v>
      </c>
      <c r="K3532" s="10">
        <v>18.600000000000001</v>
      </c>
      <c r="L3532" s="73">
        <f>IF(Tank1!$C$23="No control",(SUMIF(Tank1!$B$32:$B$49,$J3532,Tank1!$C$32:$C$49)*Impacts!$F$8),0)</f>
        <v>0</v>
      </c>
      <c r="M3532" s="10">
        <f>IF(Tank2!$C$23="No control",(SUMIF(Tank2!$B$32:$B$49,$J3532,Tank2!$C$32:$C$49)*Impacts!$F$9),0)</f>
        <v>0</v>
      </c>
      <c r="N3532" s="10">
        <f>IF(Tank3!$C$23="No control",(SUMIF(Tank3!$B$32:$B$49,$J3532,Tank3!$C$32:$C$49)*Impacts!$F$10),0)</f>
        <v>0</v>
      </c>
      <c r="O3532" s="10">
        <f>IF(Tank4!$C$23="No control",(SUMIF(Tank4!$B$32:$B$49,$J3532,Tank4!$C$32:$C$49)*Impacts!$F$11),0)</f>
        <v>0</v>
      </c>
      <c r="P3532" s="10">
        <f>IF(Tank5!$C$23="No control",(SUMIF(Tank5!$B$32:$B$49,$J3532,Tank5!$C$32:$C$49)*Impacts!$F$12),0)</f>
        <v>0</v>
      </c>
      <c r="Q3532" s="10">
        <f>IFERROR(IF(('Loading-drum,tote'!$C$21)="No control",SUMIF(('Loading-drum,tote'!$B$31:$B$48),$J3532,('Loading-drum,tote'!$D$31:$D$48))*Impacts!$F$13,IF(('Loading-drum,tote'!$C$21)&lt;&gt;"No control",SUMIF(('Loading-drum,tote'!$B$31:$B$48),$J3532,('Loading-drum,tote'!$E$31:$E$48))*Impacts!$F$13,0)),0)</f>
        <v>0</v>
      </c>
      <c r="R3532" s="10">
        <f>IFERROR(IF(('Loading-truck'!$C$21)="No control",SUMIF(('Loading-truck'!$B$31:$B$48),$J3532,('Loading-truck'!$D$31:$D$48))*Impacts!$F$14,IF(('Loading-truck'!$C$21)&lt;&gt;"No control",SUMIF(('Loading-truck'!$B$31:$B$48),$J3532,('Loading-truck'!$E$31:$E$48))*Impacts!$F$14,0)),0)</f>
        <v>0</v>
      </c>
      <c r="S3532" s="10">
        <f>IFERROR(IF(('Loading-rail'!$C$21)="No control",SUMIF(('Loading-rail'!$B$31:$B$48),$J3532,('Loading-rail'!$D$31:$D$48))*Impacts!$F$15,IF(('Loading-rail'!$C$21)&lt;&gt;"No control",SUMIF(('Loading-rail'!$B$31:$B$48),$J3532,('Loading-rail'!$E$31:$E$48))*Impacts!$F$15,0)),0)</f>
        <v>0</v>
      </c>
      <c r="T3532" s="10">
        <f>IF(Flare!$C$7="",0,(SUMIF(Flare!$B$46:$B$185,$J3532,Flare!$E$46:$E$185)*Impacts!$F$16))</f>
        <v>0</v>
      </c>
      <c r="U3532" s="10">
        <f>IF(VCU!$C$9="",0,(SUMIF(VCU!$B$51:$B$193,$J3532,VCU!$E$51:$E$193)*Impacts!$F$17))</f>
        <v>0</v>
      </c>
      <c r="V3532" s="10">
        <f>IF(CAS!$C$7="",0,(SUMIF(CAS!$B$31:$B$167,$J3532,CAS!$E$31:$E$167)*Impacts!$F$18))</f>
        <v>0</v>
      </c>
      <c r="W3532" s="10">
        <f t="shared" si="95"/>
        <v>0</v>
      </c>
      <c r="AK3532" s="10" t="str">
        <f t="array" ref="AK3532">IFERROR(INDEX(SelectedSpecies,SMALL(IF(SelectedSpecies=AK$1,ROW(SelectedSpecies)),ROW(3533:3533)),2),"")</f>
        <v/>
      </c>
      <c r="BE3532" s="10"/>
      <c r="BI3532" s="10"/>
    </row>
    <row r="3533" spans="1:61" ht="21" customHeight="1" x14ac:dyDescent="0.25">
      <c r="A3533" s="10"/>
      <c r="B3533" s="10"/>
      <c r="E3533" s="10"/>
      <c r="G3533" s="10"/>
      <c r="I3533" s="436" t="s">
        <v>1168</v>
      </c>
      <c r="J3533" s="26" t="s">
        <v>1167</v>
      </c>
      <c r="K3533" s="10">
        <v>35</v>
      </c>
      <c r="L3533" s="73">
        <f>IF(Tank1!$C$23="No control",(SUMIF(Tank1!$B$32:$B$49,$J3533,Tank1!$C$32:$C$49)*Impacts!$F$8),0)</f>
        <v>0</v>
      </c>
      <c r="M3533" s="10">
        <f>IF(Tank2!$C$23="No control",(SUMIF(Tank2!$B$32:$B$49,$J3533,Tank2!$C$32:$C$49)*Impacts!$F$9),0)</f>
        <v>0</v>
      </c>
      <c r="N3533" s="10">
        <f>IF(Tank3!$C$23="No control",(SUMIF(Tank3!$B$32:$B$49,$J3533,Tank3!$C$32:$C$49)*Impacts!$F$10),0)</f>
        <v>0</v>
      </c>
      <c r="O3533" s="10">
        <f>IF(Tank4!$C$23="No control",(SUMIF(Tank4!$B$32:$B$49,$J3533,Tank4!$C$32:$C$49)*Impacts!$F$11),0)</f>
        <v>0</v>
      </c>
      <c r="P3533" s="10">
        <f>IF(Tank5!$C$23="No control",(SUMIF(Tank5!$B$32:$B$49,$J3533,Tank5!$C$32:$C$49)*Impacts!$F$12),0)</f>
        <v>0</v>
      </c>
      <c r="Q3533" s="10">
        <f>IFERROR(IF(('Loading-drum,tote'!$C$21)="No control",SUMIF(('Loading-drum,tote'!$B$31:$B$48),$J3533,('Loading-drum,tote'!$D$31:$D$48))*Impacts!$F$13,IF(('Loading-drum,tote'!$C$21)&lt;&gt;"No control",SUMIF(('Loading-drum,tote'!$B$31:$B$48),$J3533,('Loading-drum,tote'!$E$31:$E$48))*Impacts!$F$13,0)),0)</f>
        <v>0</v>
      </c>
      <c r="R3533" s="10">
        <f>IFERROR(IF(('Loading-truck'!$C$21)="No control",SUMIF(('Loading-truck'!$B$31:$B$48),$J3533,('Loading-truck'!$D$31:$D$48))*Impacts!$F$14,IF(('Loading-truck'!$C$21)&lt;&gt;"No control",SUMIF(('Loading-truck'!$B$31:$B$48),$J3533,('Loading-truck'!$E$31:$E$48))*Impacts!$F$14,0)),0)</f>
        <v>0</v>
      </c>
      <c r="S3533" s="10">
        <f>IFERROR(IF(('Loading-rail'!$C$21)="No control",SUMIF(('Loading-rail'!$B$31:$B$48),$J3533,('Loading-rail'!$D$31:$D$48))*Impacts!$F$15,IF(('Loading-rail'!$C$21)&lt;&gt;"No control",SUMIF(('Loading-rail'!$B$31:$B$48),$J3533,('Loading-rail'!$E$31:$E$48))*Impacts!$F$15,0)),0)</f>
        <v>0</v>
      </c>
      <c r="T3533" s="10">
        <f>IF(Flare!$C$7="",0,(SUMIF(Flare!$B$46:$B$185,$J3533,Flare!$E$46:$E$185)*Impacts!$F$16))</f>
        <v>0</v>
      </c>
      <c r="U3533" s="10">
        <f>IF(VCU!$C$9="",0,(SUMIF(VCU!$B$51:$B$193,$J3533,VCU!$E$51:$E$193)*Impacts!$F$17))</f>
        <v>0</v>
      </c>
      <c r="V3533" s="10">
        <f>IF(CAS!$C$7="",0,(SUMIF(CAS!$B$31:$B$167,$J3533,CAS!$E$31:$E$167)*Impacts!$F$18))</f>
        <v>0</v>
      </c>
      <c r="W3533" s="10">
        <f t="shared" si="95"/>
        <v>0</v>
      </c>
      <c r="AK3533" s="10" t="str">
        <f t="array" ref="AK3533">IFERROR(INDEX(SelectedSpecies,SMALL(IF(SelectedSpecies=AK$1,ROW(SelectedSpecies)),ROW(3534:3534)),2),"")</f>
        <v/>
      </c>
      <c r="BE3533" s="10"/>
      <c r="BI3533" s="10"/>
    </row>
    <row r="3534" spans="1:61" ht="21" customHeight="1" x14ac:dyDescent="0.25">
      <c r="A3534" s="10"/>
      <c r="B3534" s="10"/>
      <c r="E3534" s="10"/>
      <c r="G3534" s="10"/>
      <c r="I3534" s="436" t="s">
        <v>7786</v>
      </c>
      <c r="J3534" s="26" t="s">
        <v>7785</v>
      </c>
      <c r="K3534" s="10">
        <v>0.1</v>
      </c>
      <c r="L3534" s="73">
        <f>IF(Tank1!$C$23="No control",(SUMIF(Tank1!$B$32:$B$49,$J3534,Tank1!$C$32:$C$49)*Impacts!$F$8),0)</f>
        <v>0</v>
      </c>
      <c r="M3534" s="10">
        <f>IF(Tank2!$C$23="No control",(SUMIF(Tank2!$B$32:$B$49,$J3534,Tank2!$C$32:$C$49)*Impacts!$F$9),0)</f>
        <v>0</v>
      </c>
      <c r="N3534" s="10">
        <f>IF(Tank3!$C$23="No control",(SUMIF(Tank3!$B$32:$B$49,$J3534,Tank3!$C$32:$C$49)*Impacts!$F$10),0)</f>
        <v>0</v>
      </c>
      <c r="O3534" s="10">
        <f>IF(Tank4!$C$23="No control",(SUMIF(Tank4!$B$32:$B$49,$J3534,Tank4!$C$32:$C$49)*Impacts!$F$11),0)</f>
        <v>0</v>
      </c>
      <c r="P3534" s="10">
        <f>IF(Tank5!$C$23="No control",(SUMIF(Tank5!$B$32:$B$49,$J3534,Tank5!$C$32:$C$49)*Impacts!$F$12),0)</f>
        <v>0</v>
      </c>
      <c r="Q3534" s="10">
        <f>IFERROR(IF(('Loading-drum,tote'!$C$21)="No control",SUMIF(('Loading-drum,tote'!$B$31:$B$48),$J3534,('Loading-drum,tote'!$D$31:$D$48))*Impacts!$F$13,IF(('Loading-drum,tote'!$C$21)&lt;&gt;"No control",SUMIF(('Loading-drum,tote'!$B$31:$B$48),$J3534,('Loading-drum,tote'!$E$31:$E$48))*Impacts!$F$13,0)),0)</f>
        <v>0</v>
      </c>
      <c r="R3534" s="10">
        <f>IFERROR(IF(('Loading-truck'!$C$21)="No control",SUMIF(('Loading-truck'!$B$31:$B$48),$J3534,('Loading-truck'!$D$31:$D$48))*Impacts!$F$14,IF(('Loading-truck'!$C$21)&lt;&gt;"No control",SUMIF(('Loading-truck'!$B$31:$B$48),$J3534,('Loading-truck'!$E$31:$E$48))*Impacts!$F$14,0)),0)</f>
        <v>0</v>
      </c>
      <c r="S3534" s="10">
        <f>IFERROR(IF(('Loading-rail'!$C$21)="No control",SUMIF(('Loading-rail'!$B$31:$B$48),$J3534,('Loading-rail'!$D$31:$D$48))*Impacts!$F$15,IF(('Loading-rail'!$C$21)&lt;&gt;"No control",SUMIF(('Loading-rail'!$B$31:$B$48),$J3534,('Loading-rail'!$E$31:$E$48))*Impacts!$F$15,0)),0)</f>
        <v>0</v>
      </c>
      <c r="T3534" s="10">
        <f>IF(Flare!$C$7="",0,(SUMIF(Flare!$B$46:$B$185,$J3534,Flare!$E$46:$E$185)*Impacts!$F$16))</f>
        <v>0</v>
      </c>
      <c r="U3534" s="10">
        <f>IF(VCU!$C$9="",0,(SUMIF(VCU!$B$51:$B$193,$J3534,VCU!$E$51:$E$193)*Impacts!$F$17))</f>
        <v>0</v>
      </c>
      <c r="V3534" s="10">
        <f>IF(CAS!$C$7="",0,(SUMIF(CAS!$B$31:$B$167,$J3534,CAS!$E$31:$E$167)*Impacts!$F$18))</f>
        <v>0</v>
      </c>
      <c r="W3534" s="10">
        <f t="shared" si="95"/>
        <v>0</v>
      </c>
      <c r="AK3534" s="10" t="str">
        <f t="array" ref="AK3534">IFERROR(INDEX(SelectedSpecies,SMALL(IF(SelectedSpecies=AK$1,ROW(SelectedSpecies)),ROW(3535:3535)),2),"")</f>
        <v/>
      </c>
      <c r="BE3534" s="10"/>
      <c r="BI3534" s="10"/>
    </row>
    <row r="3535" spans="1:61" ht="21" customHeight="1" x14ac:dyDescent="0.25">
      <c r="A3535" s="10"/>
      <c r="B3535" s="10"/>
      <c r="E3535" s="10"/>
      <c r="G3535" s="10"/>
      <c r="I3535" s="436" t="s">
        <v>7668</v>
      </c>
      <c r="J3535" s="26" t="s">
        <v>7667</v>
      </c>
      <c r="K3535" s="10">
        <v>0.11000000000000001</v>
      </c>
      <c r="L3535" s="73">
        <f>IF(Tank1!$C$23="No control",(SUMIF(Tank1!$B$32:$B$49,$J3535,Tank1!$C$32:$C$49)*Impacts!$F$8),0)</f>
        <v>0</v>
      </c>
      <c r="M3535" s="10">
        <f>IF(Tank2!$C$23="No control",(SUMIF(Tank2!$B$32:$B$49,$J3535,Tank2!$C$32:$C$49)*Impacts!$F$9),0)</f>
        <v>0</v>
      </c>
      <c r="N3535" s="10">
        <f>IF(Tank3!$C$23="No control",(SUMIF(Tank3!$B$32:$B$49,$J3535,Tank3!$C$32:$C$49)*Impacts!$F$10),0)</f>
        <v>0</v>
      </c>
      <c r="O3535" s="10">
        <f>IF(Tank4!$C$23="No control",(SUMIF(Tank4!$B$32:$B$49,$J3535,Tank4!$C$32:$C$49)*Impacts!$F$11),0)</f>
        <v>0</v>
      </c>
      <c r="P3535" s="10">
        <f>IF(Tank5!$C$23="No control",(SUMIF(Tank5!$B$32:$B$49,$J3535,Tank5!$C$32:$C$49)*Impacts!$F$12),0)</f>
        <v>0</v>
      </c>
      <c r="Q3535" s="10">
        <f>IFERROR(IF(('Loading-drum,tote'!$C$21)="No control",SUMIF(('Loading-drum,tote'!$B$31:$B$48),$J3535,('Loading-drum,tote'!$D$31:$D$48))*Impacts!$F$13,IF(('Loading-drum,tote'!$C$21)&lt;&gt;"No control",SUMIF(('Loading-drum,tote'!$B$31:$B$48),$J3535,('Loading-drum,tote'!$E$31:$E$48))*Impacts!$F$13,0)),0)</f>
        <v>0</v>
      </c>
      <c r="R3535" s="10">
        <f>IFERROR(IF(('Loading-truck'!$C$21)="No control",SUMIF(('Loading-truck'!$B$31:$B$48),$J3535,('Loading-truck'!$D$31:$D$48))*Impacts!$F$14,IF(('Loading-truck'!$C$21)&lt;&gt;"No control",SUMIF(('Loading-truck'!$B$31:$B$48),$J3535,('Loading-truck'!$E$31:$E$48))*Impacts!$F$14,0)),0)</f>
        <v>0</v>
      </c>
      <c r="S3535" s="10">
        <f>IFERROR(IF(('Loading-rail'!$C$21)="No control",SUMIF(('Loading-rail'!$B$31:$B$48),$J3535,('Loading-rail'!$D$31:$D$48))*Impacts!$F$15,IF(('Loading-rail'!$C$21)&lt;&gt;"No control",SUMIF(('Loading-rail'!$B$31:$B$48),$J3535,('Loading-rail'!$E$31:$E$48))*Impacts!$F$15,0)),0)</f>
        <v>0</v>
      </c>
      <c r="T3535" s="10">
        <f>IF(Flare!$C$7="",0,(SUMIF(Flare!$B$46:$B$185,$J3535,Flare!$E$46:$E$185)*Impacts!$F$16))</f>
        <v>0</v>
      </c>
      <c r="U3535" s="10">
        <f>IF(VCU!$C$9="",0,(SUMIF(VCU!$B$51:$B$193,$J3535,VCU!$E$51:$E$193)*Impacts!$F$17))</f>
        <v>0</v>
      </c>
      <c r="V3535" s="10">
        <f>IF(CAS!$C$7="",0,(SUMIF(CAS!$B$31:$B$167,$J3535,CAS!$E$31:$E$167)*Impacts!$F$18))</f>
        <v>0</v>
      </c>
      <c r="W3535" s="10">
        <f t="shared" si="95"/>
        <v>0</v>
      </c>
      <c r="AK3535" s="10" t="str">
        <f t="array" ref="AK3535">IFERROR(INDEX(SelectedSpecies,SMALL(IF(SelectedSpecies=AK$1,ROW(SelectedSpecies)),ROW(3536:3536)),2),"")</f>
        <v/>
      </c>
      <c r="BE3535" s="10"/>
      <c r="BI3535" s="10"/>
    </row>
    <row r="3536" spans="1:61" ht="21" customHeight="1" x14ac:dyDescent="0.25">
      <c r="A3536" s="10"/>
      <c r="B3536" s="10"/>
      <c r="E3536" s="10"/>
      <c r="G3536" s="10"/>
      <c r="I3536" s="436" t="s">
        <v>7628</v>
      </c>
      <c r="J3536" s="26" t="s">
        <v>7627</v>
      </c>
      <c r="K3536" s="10">
        <v>0.13999999999999999</v>
      </c>
      <c r="L3536" s="73">
        <f>IF(Tank1!$C$23="No control",(SUMIF(Tank1!$B$32:$B$49,$J3536,Tank1!$C$32:$C$49)*Impacts!$F$8),0)</f>
        <v>0</v>
      </c>
      <c r="M3536" s="10">
        <f>IF(Tank2!$C$23="No control",(SUMIF(Tank2!$B$32:$B$49,$J3536,Tank2!$C$32:$C$49)*Impacts!$F$9),0)</f>
        <v>0</v>
      </c>
      <c r="N3536" s="10">
        <f>IF(Tank3!$C$23="No control",(SUMIF(Tank3!$B$32:$B$49,$J3536,Tank3!$C$32:$C$49)*Impacts!$F$10),0)</f>
        <v>0</v>
      </c>
      <c r="O3536" s="10">
        <f>IF(Tank4!$C$23="No control",(SUMIF(Tank4!$B$32:$B$49,$J3536,Tank4!$C$32:$C$49)*Impacts!$F$11),0)</f>
        <v>0</v>
      </c>
      <c r="P3536" s="10">
        <f>IF(Tank5!$C$23="No control",(SUMIF(Tank5!$B$32:$B$49,$J3536,Tank5!$C$32:$C$49)*Impacts!$F$12),0)</f>
        <v>0</v>
      </c>
      <c r="Q3536" s="10">
        <f>IFERROR(IF(('Loading-drum,tote'!$C$21)="No control",SUMIF(('Loading-drum,tote'!$B$31:$B$48),$J3536,('Loading-drum,tote'!$D$31:$D$48))*Impacts!$F$13,IF(('Loading-drum,tote'!$C$21)&lt;&gt;"No control",SUMIF(('Loading-drum,tote'!$B$31:$B$48),$J3536,('Loading-drum,tote'!$E$31:$E$48))*Impacts!$F$13,0)),0)</f>
        <v>0</v>
      </c>
      <c r="R3536" s="10">
        <f>IFERROR(IF(('Loading-truck'!$C$21)="No control",SUMIF(('Loading-truck'!$B$31:$B$48),$J3536,('Loading-truck'!$D$31:$D$48))*Impacts!$F$14,IF(('Loading-truck'!$C$21)&lt;&gt;"No control",SUMIF(('Loading-truck'!$B$31:$B$48),$J3536,('Loading-truck'!$E$31:$E$48))*Impacts!$F$14,0)),0)</f>
        <v>0</v>
      </c>
      <c r="S3536" s="10">
        <f>IFERROR(IF(('Loading-rail'!$C$21)="No control",SUMIF(('Loading-rail'!$B$31:$B$48),$J3536,('Loading-rail'!$D$31:$D$48))*Impacts!$F$15,IF(('Loading-rail'!$C$21)&lt;&gt;"No control",SUMIF(('Loading-rail'!$B$31:$B$48),$J3536,('Loading-rail'!$E$31:$E$48))*Impacts!$F$15,0)),0)</f>
        <v>0</v>
      </c>
      <c r="T3536" s="10">
        <f>IF(Flare!$C$7="",0,(SUMIF(Flare!$B$46:$B$185,$J3536,Flare!$E$46:$E$185)*Impacts!$F$16))</f>
        <v>0</v>
      </c>
      <c r="U3536" s="10">
        <f>IF(VCU!$C$9="",0,(SUMIF(VCU!$B$51:$B$193,$J3536,VCU!$E$51:$E$193)*Impacts!$F$17))</f>
        <v>0</v>
      </c>
      <c r="V3536" s="10">
        <f>IF(CAS!$C$7="",0,(SUMIF(CAS!$B$31:$B$167,$J3536,CAS!$E$31:$E$167)*Impacts!$F$18))</f>
        <v>0</v>
      </c>
      <c r="W3536" s="10">
        <f t="shared" si="95"/>
        <v>0</v>
      </c>
      <c r="AK3536" s="10" t="str">
        <f t="array" ref="AK3536">IFERROR(INDEX(SelectedSpecies,SMALL(IF(SelectedSpecies=AK$1,ROW(SelectedSpecies)),ROW(3537:3537)),2),"")</f>
        <v/>
      </c>
      <c r="BE3536" s="10"/>
      <c r="BI3536" s="10"/>
    </row>
    <row r="3537" spans="1:61" ht="21" customHeight="1" x14ac:dyDescent="0.25">
      <c r="A3537" s="10"/>
      <c r="B3537" s="10"/>
      <c r="E3537" s="10"/>
      <c r="G3537" s="10"/>
      <c r="I3537" s="436" t="s">
        <v>6942</v>
      </c>
      <c r="J3537" s="26" t="s">
        <v>6941</v>
      </c>
      <c r="K3537" s="10">
        <v>0.5</v>
      </c>
      <c r="L3537" s="73">
        <f>IF(Tank1!$C$23="No control",(SUMIF(Tank1!$B$32:$B$49,$J3537,Tank1!$C$32:$C$49)*Impacts!$F$8),0)</f>
        <v>0</v>
      </c>
      <c r="M3537" s="10">
        <f>IF(Tank2!$C$23="No control",(SUMIF(Tank2!$B$32:$B$49,$J3537,Tank2!$C$32:$C$49)*Impacts!$F$9),0)</f>
        <v>0</v>
      </c>
      <c r="N3537" s="10">
        <f>IF(Tank3!$C$23="No control",(SUMIF(Tank3!$B$32:$B$49,$J3537,Tank3!$C$32:$C$49)*Impacts!$F$10),0)</f>
        <v>0</v>
      </c>
      <c r="O3537" s="10">
        <f>IF(Tank4!$C$23="No control",(SUMIF(Tank4!$B$32:$B$49,$J3537,Tank4!$C$32:$C$49)*Impacts!$F$11),0)</f>
        <v>0</v>
      </c>
      <c r="P3537" s="10">
        <f>IF(Tank5!$C$23="No control",(SUMIF(Tank5!$B$32:$B$49,$J3537,Tank5!$C$32:$C$49)*Impacts!$F$12),0)</f>
        <v>0</v>
      </c>
      <c r="Q3537" s="10">
        <f>IFERROR(IF(('Loading-drum,tote'!$C$21)="No control",SUMIF(('Loading-drum,tote'!$B$31:$B$48),$J3537,('Loading-drum,tote'!$D$31:$D$48))*Impacts!$F$13,IF(('Loading-drum,tote'!$C$21)&lt;&gt;"No control",SUMIF(('Loading-drum,tote'!$B$31:$B$48),$J3537,('Loading-drum,tote'!$E$31:$E$48))*Impacts!$F$13,0)),0)</f>
        <v>0</v>
      </c>
      <c r="R3537" s="10">
        <f>IFERROR(IF(('Loading-truck'!$C$21)="No control",SUMIF(('Loading-truck'!$B$31:$B$48),$J3537,('Loading-truck'!$D$31:$D$48))*Impacts!$F$14,IF(('Loading-truck'!$C$21)&lt;&gt;"No control",SUMIF(('Loading-truck'!$B$31:$B$48),$J3537,('Loading-truck'!$E$31:$E$48))*Impacts!$F$14,0)),0)</f>
        <v>0</v>
      </c>
      <c r="S3537" s="10">
        <f>IFERROR(IF(('Loading-rail'!$C$21)="No control",SUMIF(('Loading-rail'!$B$31:$B$48),$J3537,('Loading-rail'!$D$31:$D$48))*Impacts!$F$15,IF(('Loading-rail'!$C$21)&lt;&gt;"No control",SUMIF(('Loading-rail'!$B$31:$B$48),$J3537,('Loading-rail'!$E$31:$E$48))*Impacts!$F$15,0)),0)</f>
        <v>0</v>
      </c>
      <c r="T3537" s="10">
        <f>IF(Flare!$C$7="",0,(SUMIF(Flare!$B$46:$B$185,$J3537,Flare!$E$46:$E$185)*Impacts!$F$16))</f>
        <v>0</v>
      </c>
      <c r="U3537" s="10">
        <f>IF(VCU!$C$9="",0,(SUMIF(VCU!$B$51:$B$193,$J3537,VCU!$E$51:$E$193)*Impacts!$F$17))</f>
        <v>0</v>
      </c>
      <c r="V3537" s="10">
        <f>IF(CAS!$C$7="",0,(SUMIF(CAS!$B$31:$B$167,$J3537,CAS!$E$31:$E$167)*Impacts!$F$18))</f>
        <v>0</v>
      </c>
      <c r="W3537" s="10">
        <f t="shared" si="95"/>
        <v>0</v>
      </c>
      <c r="AK3537" s="10" t="str">
        <f t="array" ref="AK3537">IFERROR(INDEX(SelectedSpecies,SMALL(IF(SelectedSpecies=AK$1,ROW(SelectedSpecies)),ROW(3538:3538)),2),"")</f>
        <v/>
      </c>
      <c r="BE3537" s="10"/>
      <c r="BI3537" s="10"/>
    </row>
    <row r="3538" spans="1:61" ht="21" customHeight="1" x14ac:dyDescent="0.25">
      <c r="A3538" s="10"/>
      <c r="B3538" s="10"/>
      <c r="E3538" s="10"/>
      <c r="G3538" s="10"/>
      <c r="I3538" s="436" t="s">
        <v>7844</v>
      </c>
      <c r="J3538" s="26" t="s">
        <v>7843</v>
      </c>
      <c r="K3538" s="10">
        <v>6.9999999999999993E-2</v>
      </c>
      <c r="L3538" s="73">
        <f>IF(Tank1!$C$23="No control",(SUMIF(Tank1!$B$32:$B$49,$J3538,Tank1!$C$32:$C$49)*Impacts!$F$8),0)</f>
        <v>0</v>
      </c>
      <c r="M3538" s="10">
        <f>IF(Tank2!$C$23="No control",(SUMIF(Tank2!$B$32:$B$49,$J3538,Tank2!$C$32:$C$49)*Impacts!$F$9),0)</f>
        <v>0</v>
      </c>
      <c r="N3538" s="10">
        <f>IF(Tank3!$C$23="No control",(SUMIF(Tank3!$B$32:$B$49,$J3538,Tank3!$C$32:$C$49)*Impacts!$F$10),0)</f>
        <v>0</v>
      </c>
      <c r="O3538" s="10">
        <f>IF(Tank4!$C$23="No control",(SUMIF(Tank4!$B$32:$B$49,$J3538,Tank4!$C$32:$C$49)*Impacts!$F$11),0)</f>
        <v>0</v>
      </c>
      <c r="P3538" s="10">
        <f>IF(Tank5!$C$23="No control",(SUMIF(Tank5!$B$32:$B$49,$J3538,Tank5!$C$32:$C$49)*Impacts!$F$12),0)</f>
        <v>0</v>
      </c>
      <c r="Q3538" s="10">
        <f>IFERROR(IF(('Loading-drum,tote'!$C$21)="No control",SUMIF(('Loading-drum,tote'!$B$31:$B$48),$J3538,('Loading-drum,tote'!$D$31:$D$48))*Impacts!$F$13,IF(('Loading-drum,tote'!$C$21)&lt;&gt;"No control",SUMIF(('Loading-drum,tote'!$B$31:$B$48),$J3538,('Loading-drum,tote'!$E$31:$E$48))*Impacts!$F$13,0)),0)</f>
        <v>0</v>
      </c>
      <c r="R3538" s="10">
        <f>IFERROR(IF(('Loading-truck'!$C$21)="No control",SUMIF(('Loading-truck'!$B$31:$B$48),$J3538,('Loading-truck'!$D$31:$D$48))*Impacts!$F$14,IF(('Loading-truck'!$C$21)&lt;&gt;"No control",SUMIF(('Loading-truck'!$B$31:$B$48),$J3538,('Loading-truck'!$E$31:$E$48))*Impacts!$F$14,0)),0)</f>
        <v>0</v>
      </c>
      <c r="S3538" s="10">
        <f>IFERROR(IF(('Loading-rail'!$C$21)="No control",SUMIF(('Loading-rail'!$B$31:$B$48),$J3538,('Loading-rail'!$D$31:$D$48))*Impacts!$F$15,IF(('Loading-rail'!$C$21)&lt;&gt;"No control",SUMIF(('Loading-rail'!$B$31:$B$48),$J3538,('Loading-rail'!$E$31:$E$48))*Impacts!$F$15,0)),0)</f>
        <v>0</v>
      </c>
      <c r="T3538" s="10">
        <f>IF(Flare!$C$7="",0,(SUMIF(Flare!$B$46:$B$185,$J3538,Flare!$E$46:$E$185)*Impacts!$F$16))</f>
        <v>0</v>
      </c>
      <c r="U3538" s="10">
        <f>IF(VCU!$C$9="",0,(SUMIF(VCU!$B$51:$B$193,$J3538,VCU!$E$51:$E$193)*Impacts!$F$17))</f>
        <v>0</v>
      </c>
      <c r="V3538" s="10">
        <f>IF(CAS!$C$7="",0,(SUMIF(CAS!$B$31:$B$167,$J3538,CAS!$E$31:$E$167)*Impacts!$F$18))</f>
        <v>0</v>
      </c>
      <c r="W3538" s="10">
        <f t="shared" si="95"/>
        <v>0</v>
      </c>
      <c r="AK3538" s="10" t="str">
        <f t="array" ref="AK3538">IFERROR(INDEX(SelectedSpecies,SMALL(IF(SelectedSpecies=AK$1,ROW(SelectedSpecies)),ROW(3539:3539)),2),"")</f>
        <v/>
      </c>
      <c r="BE3538" s="10"/>
      <c r="BI3538" s="10"/>
    </row>
    <row r="3539" spans="1:61" ht="21" customHeight="1" x14ac:dyDescent="0.25">
      <c r="A3539" s="10"/>
      <c r="B3539" s="10"/>
      <c r="E3539" s="10"/>
      <c r="G3539" s="10"/>
      <c r="I3539" s="436" t="s">
        <v>7546</v>
      </c>
      <c r="J3539" s="26" t="s">
        <v>7545</v>
      </c>
      <c r="K3539" s="10">
        <v>0.2</v>
      </c>
      <c r="L3539" s="73">
        <f>IF(Tank1!$C$23="No control",(SUMIF(Tank1!$B$32:$B$49,$J3539,Tank1!$C$32:$C$49)*Impacts!$F$8),0)</f>
        <v>0</v>
      </c>
      <c r="M3539" s="10">
        <f>IF(Tank2!$C$23="No control",(SUMIF(Tank2!$B$32:$B$49,$J3539,Tank2!$C$32:$C$49)*Impacts!$F$9),0)</f>
        <v>0</v>
      </c>
      <c r="N3539" s="10">
        <f>IF(Tank3!$C$23="No control",(SUMIF(Tank3!$B$32:$B$49,$J3539,Tank3!$C$32:$C$49)*Impacts!$F$10),0)</f>
        <v>0</v>
      </c>
      <c r="O3539" s="10">
        <f>IF(Tank4!$C$23="No control",(SUMIF(Tank4!$B$32:$B$49,$J3539,Tank4!$C$32:$C$49)*Impacts!$F$11),0)</f>
        <v>0</v>
      </c>
      <c r="P3539" s="10">
        <f>IF(Tank5!$C$23="No control",(SUMIF(Tank5!$B$32:$B$49,$J3539,Tank5!$C$32:$C$49)*Impacts!$F$12),0)</f>
        <v>0</v>
      </c>
      <c r="Q3539" s="10">
        <f>IFERROR(IF(('Loading-drum,tote'!$C$21)="No control",SUMIF(('Loading-drum,tote'!$B$31:$B$48),$J3539,('Loading-drum,tote'!$D$31:$D$48))*Impacts!$F$13,IF(('Loading-drum,tote'!$C$21)&lt;&gt;"No control",SUMIF(('Loading-drum,tote'!$B$31:$B$48),$J3539,('Loading-drum,tote'!$E$31:$E$48))*Impacts!$F$13,0)),0)</f>
        <v>0</v>
      </c>
      <c r="R3539" s="10">
        <f>IFERROR(IF(('Loading-truck'!$C$21)="No control",SUMIF(('Loading-truck'!$B$31:$B$48),$J3539,('Loading-truck'!$D$31:$D$48))*Impacts!$F$14,IF(('Loading-truck'!$C$21)&lt;&gt;"No control",SUMIF(('Loading-truck'!$B$31:$B$48),$J3539,('Loading-truck'!$E$31:$E$48))*Impacts!$F$14,0)),0)</f>
        <v>0</v>
      </c>
      <c r="S3539" s="10">
        <f>IFERROR(IF(('Loading-rail'!$C$21)="No control",SUMIF(('Loading-rail'!$B$31:$B$48),$J3539,('Loading-rail'!$D$31:$D$48))*Impacts!$F$15,IF(('Loading-rail'!$C$21)&lt;&gt;"No control",SUMIF(('Loading-rail'!$B$31:$B$48),$J3539,('Loading-rail'!$E$31:$E$48))*Impacts!$F$15,0)),0)</f>
        <v>0</v>
      </c>
      <c r="T3539" s="10">
        <f>IF(Flare!$C$7="",0,(SUMIF(Flare!$B$46:$B$185,$J3539,Flare!$E$46:$E$185)*Impacts!$F$16))</f>
        <v>0</v>
      </c>
      <c r="U3539" s="10">
        <f>IF(VCU!$C$9="",0,(SUMIF(VCU!$B$51:$B$193,$J3539,VCU!$E$51:$E$193)*Impacts!$F$17))</f>
        <v>0</v>
      </c>
      <c r="V3539" s="10">
        <f>IF(CAS!$C$7="",0,(SUMIF(CAS!$B$31:$B$167,$J3539,CAS!$E$31:$E$167)*Impacts!$F$18))</f>
        <v>0</v>
      </c>
      <c r="W3539" s="10">
        <f t="shared" si="95"/>
        <v>0</v>
      </c>
      <c r="AK3539" s="10" t="str">
        <f t="array" ref="AK3539">IFERROR(INDEX(SelectedSpecies,SMALL(IF(SelectedSpecies=AK$1,ROW(SelectedSpecies)),ROW(3540:3540)),2),"")</f>
        <v/>
      </c>
      <c r="BE3539" s="10"/>
      <c r="BI3539" s="10"/>
    </row>
    <row r="3540" spans="1:61" ht="21" customHeight="1" x14ac:dyDescent="0.25">
      <c r="A3540" s="10"/>
      <c r="B3540" s="10"/>
      <c r="E3540" s="10"/>
      <c r="G3540" s="10"/>
      <c r="I3540" s="436" t="s">
        <v>2617</v>
      </c>
      <c r="J3540" s="26" t="s">
        <v>2616</v>
      </c>
      <c r="K3540" s="10">
        <v>10</v>
      </c>
      <c r="L3540" s="73">
        <f>IF(Tank1!$C$23="No control",(SUMIF(Tank1!$B$32:$B$49,$J3540,Tank1!$C$32:$C$49)*Impacts!$F$8),0)</f>
        <v>0</v>
      </c>
      <c r="M3540" s="10">
        <f>IF(Tank2!$C$23="No control",(SUMIF(Tank2!$B$32:$B$49,$J3540,Tank2!$C$32:$C$49)*Impacts!$F$9),0)</f>
        <v>0</v>
      </c>
      <c r="N3540" s="10">
        <f>IF(Tank3!$C$23="No control",(SUMIF(Tank3!$B$32:$B$49,$J3540,Tank3!$C$32:$C$49)*Impacts!$F$10),0)</f>
        <v>0</v>
      </c>
      <c r="O3540" s="10">
        <f>IF(Tank4!$C$23="No control",(SUMIF(Tank4!$B$32:$B$49,$J3540,Tank4!$C$32:$C$49)*Impacts!$F$11),0)</f>
        <v>0</v>
      </c>
      <c r="P3540" s="10">
        <f>IF(Tank5!$C$23="No control",(SUMIF(Tank5!$B$32:$B$49,$J3540,Tank5!$C$32:$C$49)*Impacts!$F$12),0)</f>
        <v>0</v>
      </c>
      <c r="Q3540" s="10">
        <f>IFERROR(IF(('Loading-drum,tote'!$C$21)="No control",SUMIF(('Loading-drum,tote'!$B$31:$B$48),$J3540,('Loading-drum,tote'!$D$31:$D$48))*Impacts!$F$13,IF(('Loading-drum,tote'!$C$21)&lt;&gt;"No control",SUMIF(('Loading-drum,tote'!$B$31:$B$48),$J3540,('Loading-drum,tote'!$E$31:$E$48))*Impacts!$F$13,0)),0)</f>
        <v>0</v>
      </c>
      <c r="R3540" s="10">
        <f>IFERROR(IF(('Loading-truck'!$C$21)="No control",SUMIF(('Loading-truck'!$B$31:$B$48),$J3540,('Loading-truck'!$D$31:$D$48))*Impacts!$F$14,IF(('Loading-truck'!$C$21)&lt;&gt;"No control",SUMIF(('Loading-truck'!$B$31:$B$48),$J3540,('Loading-truck'!$E$31:$E$48))*Impacts!$F$14,0)),0)</f>
        <v>0</v>
      </c>
      <c r="S3540" s="10">
        <f>IFERROR(IF(('Loading-rail'!$C$21)="No control",SUMIF(('Loading-rail'!$B$31:$B$48),$J3540,('Loading-rail'!$D$31:$D$48))*Impacts!$F$15,IF(('Loading-rail'!$C$21)&lt;&gt;"No control",SUMIF(('Loading-rail'!$B$31:$B$48),$J3540,('Loading-rail'!$E$31:$E$48))*Impacts!$F$15,0)),0)</f>
        <v>0</v>
      </c>
      <c r="T3540" s="10">
        <f>IF(Flare!$C$7="",0,(SUMIF(Flare!$B$46:$B$185,$J3540,Flare!$E$46:$E$185)*Impacts!$F$16))</f>
        <v>0</v>
      </c>
      <c r="U3540" s="10">
        <f>IF(VCU!$C$9="",0,(SUMIF(VCU!$B$51:$B$193,$J3540,VCU!$E$51:$E$193)*Impacts!$F$17))</f>
        <v>0</v>
      </c>
      <c r="V3540" s="10">
        <f>IF(CAS!$C$7="",0,(SUMIF(CAS!$B$31:$B$167,$J3540,CAS!$E$31:$E$167)*Impacts!$F$18))</f>
        <v>0</v>
      </c>
      <c r="W3540" s="10">
        <f t="shared" si="95"/>
        <v>0</v>
      </c>
      <c r="AK3540" s="10" t="str">
        <f t="array" ref="AK3540">IFERROR(INDEX(SelectedSpecies,SMALL(IF(SelectedSpecies=AK$1,ROW(SelectedSpecies)),ROW(3541:3541)),2),"")</f>
        <v/>
      </c>
      <c r="BE3540" s="10"/>
      <c r="BI3540" s="10"/>
    </row>
    <row r="3541" spans="1:61" ht="21" customHeight="1" x14ac:dyDescent="0.25">
      <c r="A3541" s="10"/>
      <c r="B3541" s="10"/>
      <c r="E3541" s="10"/>
      <c r="G3541" s="10"/>
      <c r="I3541" s="436" t="s">
        <v>8206</v>
      </c>
      <c r="J3541" s="26" t="s">
        <v>8205</v>
      </c>
      <c r="K3541" s="10">
        <v>1.0000000000000002E-2</v>
      </c>
      <c r="L3541" s="73">
        <f>IF(Tank1!$C$23="No control",(SUMIF(Tank1!$B$32:$B$49,$J3541,Tank1!$C$32:$C$49)*Impacts!$F$8),0)</f>
        <v>0</v>
      </c>
      <c r="M3541" s="10">
        <f>IF(Tank2!$C$23="No control",(SUMIF(Tank2!$B$32:$B$49,$J3541,Tank2!$C$32:$C$49)*Impacts!$F$9),0)</f>
        <v>0</v>
      </c>
      <c r="N3541" s="10">
        <f>IF(Tank3!$C$23="No control",(SUMIF(Tank3!$B$32:$B$49,$J3541,Tank3!$C$32:$C$49)*Impacts!$F$10),0)</f>
        <v>0</v>
      </c>
      <c r="O3541" s="10">
        <f>IF(Tank4!$C$23="No control",(SUMIF(Tank4!$B$32:$B$49,$J3541,Tank4!$C$32:$C$49)*Impacts!$F$11),0)</f>
        <v>0</v>
      </c>
      <c r="P3541" s="10">
        <f>IF(Tank5!$C$23="No control",(SUMIF(Tank5!$B$32:$B$49,$J3541,Tank5!$C$32:$C$49)*Impacts!$F$12),0)</f>
        <v>0</v>
      </c>
      <c r="Q3541" s="10">
        <f>IFERROR(IF(('Loading-drum,tote'!$C$21)="No control",SUMIF(('Loading-drum,tote'!$B$31:$B$48),$J3541,('Loading-drum,tote'!$D$31:$D$48))*Impacts!$F$13,IF(('Loading-drum,tote'!$C$21)&lt;&gt;"No control",SUMIF(('Loading-drum,tote'!$B$31:$B$48),$J3541,('Loading-drum,tote'!$E$31:$E$48))*Impacts!$F$13,0)),0)</f>
        <v>0</v>
      </c>
      <c r="R3541" s="10">
        <f>IFERROR(IF(('Loading-truck'!$C$21)="No control",SUMIF(('Loading-truck'!$B$31:$B$48),$J3541,('Loading-truck'!$D$31:$D$48))*Impacts!$F$14,IF(('Loading-truck'!$C$21)&lt;&gt;"No control",SUMIF(('Loading-truck'!$B$31:$B$48),$J3541,('Loading-truck'!$E$31:$E$48))*Impacts!$F$14,0)),0)</f>
        <v>0</v>
      </c>
      <c r="S3541" s="10">
        <f>IFERROR(IF(('Loading-rail'!$C$21)="No control",SUMIF(('Loading-rail'!$B$31:$B$48),$J3541,('Loading-rail'!$D$31:$D$48))*Impacts!$F$15,IF(('Loading-rail'!$C$21)&lt;&gt;"No control",SUMIF(('Loading-rail'!$B$31:$B$48),$J3541,('Loading-rail'!$E$31:$E$48))*Impacts!$F$15,0)),0)</f>
        <v>0</v>
      </c>
      <c r="T3541" s="10">
        <f>IF(Flare!$C$7="",0,(SUMIF(Flare!$B$46:$B$185,$J3541,Flare!$E$46:$E$185)*Impacts!$F$16))</f>
        <v>0</v>
      </c>
      <c r="U3541" s="10">
        <f>IF(VCU!$C$9="",0,(SUMIF(VCU!$B$51:$B$193,$J3541,VCU!$E$51:$E$193)*Impacts!$F$17))</f>
        <v>0</v>
      </c>
      <c r="V3541" s="10">
        <f>IF(CAS!$C$7="",0,(SUMIF(CAS!$B$31:$B$167,$J3541,CAS!$E$31:$E$167)*Impacts!$F$18))</f>
        <v>0</v>
      </c>
      <c r="W3541" s="10">
        <f t="shared" si="95"/>
        <v>0</v>
      </c>
      <c r="AK3541" s="10" t="str">
        <f t="array" ref="AK3541">IFERROR(INDEX(SelectedSpecies,SMALL(IF(SelectedSpecies=AK$1,ROW(SelectedSpecies)),ROW(3542:3542)),2),"")</f>
        <v/>
      </c>
      <c r="BE3541" s="10"/>
      <c r="BI3541" s="10"/>
    </row>
    <row r="3542" spans="1:61" ht="21" customHeight="1" x14ac:dyDescent="0.25">
      <c r="A3542" s="10"/>
      <c r="B3542" s="10"/>
      <c r="E3542" s="10"/>
      <c r="G3542" s="10"/>
      <c r="I3542" s="436" t="s">
        <v>1254</v>
      </c>
      <c r="J3542" s="26" t="s">
        <v>1253</v>
      </c>
      <c r="K3542" s="10">
        <v>34</v>
      </c>
      <c r="L3542" s="73">
        <f>IF(Tank1!$C$23="No control",(SUMIF(Tank1!$B$32:$B$49,$J3542,Tank1!$C$32:$C$49)*Impacts!$F$8),0)</f>
        <v>0</v>
      </c>
      <c r="M3542" s="10">
        <f>IF(Tank2!$C$23="No control",(SUMIF(Tank2!$B$32:$B$49,$J3542,Tank2!$C$32:$C$49)*Impacts!$F$9),0)</f>
        <v>0</v>
      </c>
      <c r="N3542" s="10">
        <f>IF(Tank3!$C$23="No control",(SUMIF(Tank3!$B$32:$B$49,$J3542,Tank3!$C$32:$C$49)*Impacts!$F$10),0)</f>
        <v>0</v>
      </c>
      <c r="O3542" s="10">
        <f>IF(Tank4!$C$23="No control",(SUMIF(Tank4!$B$32:$B$49,$J3542,Tank4!$C$32:$C$49)*Impacts!$F$11),0)</f>
        <v>0</v>
      </c>
      <c r="P3542" s="10">
        <f>IF(Tank5!$C$23="No control",(SUMIF(Tank5!$B$32:$B$49,$J3542,Tank5!$C$32:$C$49)*Impacts!$F$12),0)</f>
        <v>0</v>
      </c>
      <c r="Q3542" s="10">
        <f>IFERROR(IF(('Loading-drum,tote'!$C$21)="No control",SUMIF(('Loading-drum,tote'!$B$31:$B$48),$J3542,('Loading-drum,tote'!$D$31:$D$48))*Impacts!$F$13,IF(('Loading-drum,tote'!$C$21)&lt;&gt;"No control",SUMIF(('Loading-drum,tote'!$B$31:$B$48),$J3542,('Loading-drum,tote'!$E$31:$E$48))*Impacts!$F$13,0)),0)</f>
        <v>0</v>
      </c>
      <c r="R3542" s="10">
        <f>IFERROR(IF(('Loading-truck'!$C$21)="No control",SUMIF(('Loading-truck'!$B$31:$B$48),$J3542,('Loading-truck'!$D$31:$D$48))*Impacts!$F$14,IF(('Loading-truck'!$C$21)&lt;&gt;"No control",SUMIF(('Loading-truck'!$B$31:$B$48),$J3542,('Loading-truck'!$E$31:$E$48))*Impacts!$F$14,0)),0)</f>
        <v>0</v>
      </c>
      <c r="S3542" s="10">
        <f>IFERROR(IF(('Loading-rail'!$C$21)="No control",SUMIF(('Loading-rail'!$B$31:$B$48),$J3542,('Loading-rail'!$D$31:$D$48))*Impacts!$F$15,IF(('Loading-rail'!$C$21)&lt;&gt;"No control",SUMIF(('Loading-rail'!$B$31:$B$48),$J3542,('Loading-rail'!$E$31:$E$48))*Impacts!$F$15,0)),0)</f>
        <v>0</v>
      </c>
      <c r="T3542" s="10">
        <f>IF(Flare!$C$7="",0,(SUMIF(Flare!$B$46:$B$185,$J3542,Flare!$E$46:$E$185)*Impacts!$F$16))</f>
        <v>0</v>
      </c>
      <c r="U3542" s="10">
        <f>IF(VCU!$C$9="",0,(SUMIF(VCU!$B$51:$B$193,$J3542,VCU!$E$51:$E$193)*Impacts!$F$17))</f>
        <v>0</v>
      </c>
      <c r="V3542" s="10">
        <f>IF(CAS!$C$7="",0,(SUMIF(CAS!$B$31:$B$167,$J3542,CAS!$E$31:$E$167)*Impacts!$F$18))</f>
        <v>0</v>
      </c>
      <c r="W3542" s="10">
        <f t="shared" si="95"/>
        <v>0</v>
      </c>
      <c r="AK3542" s="10" t="str">
        <f t="array" ref="AK3542">IFERROR(INDEX(SelectedSpecies,SMALL(IF(SelectedSpecies=AK$1,ROW(SelectedSpecies)),ROW(3543:3543)),2),"")</f>
        <v/>
      </c>
      <c r="BE3542" s="10"/>
      <c r="BI3542" s="10"/>
    </row>
    <row r="3543" spans="1:61" ht="21" customHeight="1" x14ac:dyDescent="0.25">
      <c r="A3543" s="10"/>
      <c r="B3543" s="10"/>
      <c r="E3543" s="10"/>
      <c r="G3543" s="10"/>
      <c r="I3543" s="436" t="s">
        <v>2619</v>
      </c>
      <c r="J3543" s="26" t="s">
        <v>2618</v>
      </c>
      <c r="K3543" s="10">
        <v>10</v>
      </c>
      <c r="L3543" s="73">
        <f>IF(Tank1!$C$23="No control",(SUMIF(Tank1!$B$32:$B$49,$J3543,Tank1!$C$32:$C$49)*Impacts!$F$8),0)</f>
        <v>0</v>
      </c>
      <c r="M3543" s="10">
        <f>IF(Tank2!$C$23="No control",(SUMIF(Tank2!$B$32:$B$49,$J3543,Tank2!$C$32:$C$49)*Impacts!$F$9),0)</f>
        <v>0</v>
      </c>
      <c r="N3543" s="10">
        <f>IF(Tank3!$C$23="No control",(SUMIF(Tank3!$B$32:$B$49,$J3543,Tank3!$C$32:$C$49)*Impacts!$F$10),0)</f>
        <v>0</v>
      </c>
      <c r="O3543" s="10">
        <f>IF(Tank4!$C$23="No control",(SUMIF(Tank4!$B$32:$B$49,$J3543,Tank4!$C$32:$C$49)*Impacts!$F$11),0)</f>
        <v>0</v>
      </c>
      <c r="P3543" s="10">
        <f>IF(Tank5!$C$23="No control",(SUMIF(Tank5!$B$32:$B$49,$J3543,Tank5!$C$32:$C$49)*Impacts!$F$12),0)</f>
        <v>0</v>
      </c>
      <c r="Q3543" s="10">
        <f>IFERROR(IF(('Loading-drum,tote'!$C$21)="No control",SUMIF(('Loading-drum,tote'!$B$31:$B$48),$J3543,('Loading-drum,tote'!$D$31:$D$48))*Impacts!$F$13,IF(('Loading-drum,tote'!$C$21)&lt;&gt;"No control",SUMIF(('Loading-drum,tote'!$B$31:$B$48),$J3543,('Loading-drum,tote'!$E$31:$E$48))*Impacts!$F$13,0)),0)</f>
        <v>0</v>
      </c>
      <c r="R3543" s="10">
        <f>IFERROR(IF(('Loading-truck'!$C$21)="No control",SUMIF(('Loading-truck'!$B$31:$B$48),$J3543,('Loading-truck'!$D$31:$D$48))*Impacts!$F$14,IF(('Loading-truck'!$C$21)&lt;&gt;"No control",SUMIF(('Loading-truck'!$B$31:$B$48),$J3543,('Loading-truck'!$E$31:$E$48))*Impacts!$F$14,0)),0)</f>
        <v>0</v>
      </c>
      <c r="S3543" s="10">
        <f>IFERROR(IF(('Loading-rail'!$C$21)="No control",SUMIF(('Loading-rail'!$B$31:$B$48),$J3543,('Loading-rail'!$D$31:$D$48))*Impacts!$F$15,IF(('Loading-rail'!$C$21)&lt;&gt;"No control",SUMIF(('Loading-rail'!$B$31:$B$48),$J3543,('Loading-rail'!$E$31:$E$48))*Impacts!$F$15,0)),0)</f>
        <v>0</v>
      </c>
      <c r="T3543" s="10">
        <f>IF(Flare!$C$7="",0,(SUMIF(Flare!$B$46:$B$185,$J3543,Flare!$E$46:$E$185)*Impacts!$F$16))</f>
        <v>0</v>
      </c>
      <c r="U3543" s="10">
        <f>IF(VCU!$C$9="",0,(SUMIF(VCU!$B$51:$B$193,$J3543,VCU!$E$51:$E$193)*Impacts!$F$17))</f>
        <v>0</v>
      </c>
      <c r="V3543" s="10">
        <f>IF(CAS!$C$7="",0,(SUMIF(CAS!$B$31:$B$167,$J3543,CAS!$E$31:$E$167)*Impacts!$F$18))</f>
        <v>0</v>
      </c>
      <c r="W3543" s="10">
        <f t="shared" si="95"/>
        <v>0</v>
      </c>
      <c r="AK3543" s="10" t="str">
        <f t="array" ref="AK3543">IFERROR(INDEX(SelectedSpecies,SMALL(IF(SelectedSpecies=AK$1,ROW(SelectedSpecies)),ROW(3544:3544)),2),"")</f>
        <v/>
      </c>
      <c r="BE3543" s="10"/>
      <c r="BI3543" s="10"/>
    </row>
    <row r="3544" spans="1:61" ht="21" customHeight="1" x14ac:dyDescent="0.25">
      <c r="A3544" s="10"/>
      <c r="B3544" s="10"/>
      <c r="E3544" s="10"/>
      <c r="G3544" s="10"/>
      <c r="I3544" s="436" t="s">
        <v>4735</v>
      </c>
      <c r="J3544" s="26" t="s">
        <v>4734</v>
      </c>
      <c r="K3544" s="10">
        <v>3.5</v>
      </c>
      <c r="L3544" s="73">
        <f>IF(Tank1!$C$23="No control",(SUMIF(Tank1!$B$32:$B$49,$J3544,Tank1!$C$32:$C$49)*Impacts!$F$8),0)</f>
        <v>0</v>
      </c>
      <c r="M3544" s="10">
        <f>IF(Tank2!$C$23="No control",(SUMIF(Tank2!$B$32:$B$49,$J3544,Tank2!$C$32:$C$49)*Impacts!$F$9),0)</f>
        <v>0</v>
      </c>
      <c r="N3544" s="10">
        <f>IF(Tank3!$C$23="No control",(SUMIF(Tank3!$B$32:$B$49,$J3544,Tank3!$C$32:$C$49)*Impacts!$F$10),0)</f>
        <v>0</v>
      </c>
      <c r="O3544" s="10">
        <f>IF(Tank4!$C$23="No control",(SUMIF(Tank4!$B$32:$B$49,$J3544,Tank4!$C$32:$C$49)*Impacts!$F$11),0)</f>
        <v>0</v>
      </c>
      <c r="P3544" s="10">
        <f>IF(Tank5!$C$23="No control",(SUMIF(Tank5!$B$32:$B$49,$J3544,Tank5!$C$32:$C$49)*Impacts!$F$12),0)</f>
        <v>0</v>
      </c>
      <c r="Q3544" s="10">
        <f>IFERROR(IF(('Loading-drum,tote'!$C$21)="No control",SUMIF(('Loading-drum,tote'!$B$31:$B$48),$J3544,('Loading-drum,tote'!$D$31:$D$48))*Impacts!$F$13,IF(('Loading-drum,tote'!$C$21)&lt;&gt;"No control",SUMIF(('Loading-drum,tote'!$B$31:$B$48),$J3544,('Loading-drum,tote'!$E$31:$E$48))*Impacts!$F$13,0)),0)</f>
        <v>0</v>
      </c>
      <c r="R3544" s="10">
        <f>IFERROR(IF(('Loading-truck'!$C$21)="No control",SUMIF(('Loading-truck'!$B$31:$B$48),$J3544,('Loading-truck'!$D$31:$D$48))*Impacts!$F$14,IF(('Loading-truck'!$C$21)&lt;&gt;"No control",SUMIF(('Loading-truck'!$B$31:$B$48),$J3544,('Loading-truck'!$E$31:$E$48))*Impacts!$F$14,0)),0)</f>
        <v>0</v>
      </c>
      <c r="S3544" s="10">
        <f>IFERROR(IF(('Loading-rail'!$C$21)="No control",SUMIF(('Loading-rail'!$B$31:$B$48),$J3544,('Loading-rail'!$D$31:$D$48))*Impacts!$F$15,IF(('Loading-rail'!$C$21)&lt;&gt;"No control",SUMIF(('Loading-rail'!$B$31:$B$48),$J3544,('Loading-rail'!$E$31:$E$48))*Impacts!$F$15,0)),0)</f>
        <v>0</v>
      </c>
      <c r="T3544" s="10">
        <f>IF(Flare!$C$7="",0,(SUMIF(Flare!$B$46:$B$185,$J3544,Flare!$E$46:$E$185)*Impacts!$F$16))</f>
        <v>0</v>
      </c>
      <c r="U3544" s="10">
        <f>IF(VCU!$C$9="",0,(SUMIF(VCU!$B$51:$B$193,$J3544,VCU!$E$51:$E$193)*Impacts!$F$17))</f>
        <v>0</v>
      </c>
      <c r="V3544" s="10">
        <f>IF(CAS!$C$7="",0,(SUMIF(CAS!$B$31:$B$167,$J3544,CAS!$E$31:$E$167)*Impacts!$F$18))</f>
        <v>0</v>
      </c>
      <c r="W3544" s="10">
        <f t="shared" si="95"/>
        <v>0</v>
      </c>
      <c r="AK3544" s="10" t="str">
        <f t="array" ref="AK3544">IFERROR(INDEX(SelectedSpecies,SMALL(IF(SelectedSpecies=AK$1,ROW(SelectedSpecies)),ROW(3545:3545)),2),"")</f>
        <v/>
      </c>
      <c r="BE3544" s="10"/>
      <c r="BI3544" s="10"/>
    </row>
    <row r="3545" spans="1:61" ht="21" customHeight="1" x14ac:dyDescent="0.25">
      <c r="A3545" s="10"/>
      <c r="B3545" s="10"/>
      <c r="E3545" s="10"/>
      <c r="G3545" s="10"/>
      <c r="I3545" s="436" t="s">
        <v>4895</v>
      </c>
      <c r="J3545" s="26" t="s">
        <v>4894</v>
      </c>
      <c r="K3545" s="10">
        <v>2.7</v>
      </c>
      <c r="L3545" s="73">
        <f>IF(Tank1!$C$23="No control",(SUMIF(Tank1!$B$32:$B$49,$J3545,Tank1!$C$32:$C$49)*Impacts!$F$8),0)</f>
        <v>0</v>
      </c>
      <c r="M3545" s="10">
        <f>IF(Tank2!$C$23="No control",(SUMIF(Tank2!$B$32:$B$49,$J3545,Tank2!$C$32:$C$49)*Impacts!$F$9),0)</f>
        <v>0</v>
      </c>
      <c r="N3545" s="10">
        <f>IF(Tank3!$C$23="No control",(SUMIF(Tank3!$B$32:$B$49,$J3545,Tank3!$C$32:$C$49)*Impacts!$F$10),0)</f>
        <v>0</v>
      </c>
      <c r="O3545" s="10">
        <f>IF(Tank4!$C$23="No control",(SUMIF(Tank4!$B$32:$B$49,$J3545,Tank4!$C$32:$C$49)*Impacts!$F$11),0)</f>
        <v>0</v>
      </c>
      <c r="P3545" s="10">
        <f>IF(Tank5!$C$23="No control",(SUMIF(Tank5!$B$32:$B$49,$J3545,Tank5!$C$32:$C$49)*Impacts!$F$12),0)</f>
        <v>0</v>
      </c>
      <c r="Q3545" s="10">
        <f>IFERROR(IF(('Loading-drum,tote'!$C$21)="No control",SUMIF(('Loading-drum,tote'!$B$31:$B$48),$J3545,('Loading-drum,tote'!$D$31:$D$48))*Impacts!$F$13,IF(('Loading-drum,tote'!$C$21)&lt;&gt;"No control",SUMIF(('Loading-drum,tote'!$B$31:$B$48),$J3545,('Loading-drum,tote'!$E$31:$E$48))*Impacts!$F$13,0)),0)</f>
        <v>0</v>
      </c>
      <c r="R3545" s="10">
        <f>IFERROR(IF(('Loading-truck'!$C$21)="No control",SUMIF(('Loading-truck'!$B$31:$B$48),$J3545,('Loading-truck'!$D$31:$D$48))*Impacts!$F$14,IF(('Loading-truck'!$C$21)&lt;&gt;"No control",SUMIF(('Loading-truck'!$B$31:$B$48),$J3545,('Loading-truck'!$E$31:$E$48))*Impacts!$F$14,0)),0)</f>
        <v>0</v>
      </c>
      <c r="S3545" s="10">
        <f>IFERROR(IF(('Loading-rail'!$C$21)="No control",SUMIF(('Loading-rail'!$B$31:$B$48),$J3545,('Loading-rail'!$D$31:$D$48))*Impacts!$F$15,IF(('Loading-rail'!$C$21)&lt;&gt;"No control",SUMIF(('Loading-rail'!$B$31:$B$48),$J3545,('Loading-rail'!$E$31:$E$48))*Impacts!$F$15,0)),0)</f>
        <v>0</v>
      </c>
      <c r="T3545" s="10">
        <f>IF(Flare!$C$7="",0,(SUMIF(Flare!$B$46:$B$185,$J3545,Flare!$E$46:$E$185)*Impacts!$F$16))</f>
        <v>0</v>
      </c>
      <c r="U3545" s="10">
        <f>IF(VCU!$C$9="",0,(SUMIF(VCU!$B$51:$B$193,$J3545,VCU!$E$51:$E$193)*Impacts!$F$17))</f>
        <v>0</v>
      </c>
      <c r="V3545" s="10">
        <f>IF(CAS!$C$7="",0,(SUMIF(CAS!$B$31:$B$167,$J3545,CAS!$E$31:$E$167)*Impacts!$F$18))</f>
        <v>0</v>
      </c>
      <c r="W3545" s="10">
        <f t="shared" si="95"/>
        <v>0</v>
      </c>
      <c r="AK3545" s="10" t="str">
        <f t="array" ref="AK3545">IFERROR(INDEX(SelectedSpecies,SMALL(IF(SelectedSpecies=AK$1,ROW(SelectedSpecies)),ROW(3546:3546)),2),"")</f>
        <v/>
      </c>
      <c r="BE3545" s="10"/>
      <c r="BI3545" s="10"/>
    </row>
    <row r="3546" spans="1:61" ht="21" customHeight="1" x14ac:dyDescent="0.25">
      <c r="A3546" s="10"/>
      <c r="B3546" s="10"/>
      <c r="E3546" s="10"/>
      <c r="G3546" s="10"/>
      <c r="I3546" s="436" t="s">
        <v>7598</v>
      </c>
      <c r="J3546" s="26" t="s">
        <v>7597</v>
      </c>
      <c r="K3546" s="10">
        <v>0.18000000000000002</v>
      </c>
      <c r="L3546" s="73">
        <f>IF(Tank1!$C$23="No control",(SUMIF(Tank1!$B$32:$B$49,$J3546,Tank1!$C$32:$C$49)*Impacts!$F$8),0)</f>
        <v>0</v>
      </c>
      <c r="M3546" s="10">
        <f>IF(Tank2!$C$23="No control",(SUMIF(Tank2!$B$32:$B$49,$J3546,Tank2!$C$32:$C$49)*Impacts!$F$9),0)</f>
        <v>0</v>
      </c>
      <c r="N3546" s="10">
        <f>IF(Tank3!$C$23="No control",(SUMIF(Tank3!$B$32:$B$49,$J3546,Tank3!$C$32:$C$49)*Impacts!$F$10),0)</f>
        <v>0</v>
      </c>
      <c r="O3546" s="10">
        <f>IF(Tank4!$C$23="No control",(SUMIF(Tank4!$B$32:$B$49,$J3546,Tank4!$C$32:$C$49)*Impacts!$F$11),0)</f>
        <v>0</v>
      </c>
      <c r="P3546" s="10">
        <f>IF(Tank5!$C$23="No control",(SUMIF(Tank5!$B$32:$B$49,$J3546,Tank5!$C$32:$C$49)*Impacts!$F$12),0)</f>
        <v>0</v>
      </c>
      <c r="Q3546" s="10">
        <f>IFERROR(IF(('Loading-drum,tote'!$C$21)="No control",SUMIF(('Loading-drum,tote'!$B$31:$B$48),$J3546,('Loading-drum,tote'!$D$31:$D$48))*Impacts!$F$13,IF(('Loading-drum,tote'!$C$21)&lt;&gt;"No control",SUMIF(('Loading-drum,tote'!$B$31:$B$48),$J3546,('Loading-drum,tote'!$E$31:$E$48))*Impacts!$F$13,0)),0)</f>
        <v>0</v>
      </c>
      <c r="R3546" s="10">
        <f>IFERROR(IF(('Loading-truck'!$C$21)="No control",SUMIF(('Loading-truck'!$B$31:$B$48),$J3546,('Loading-truck'!$D$31:$D$48))*Impacts!$F$14,IF(('Loading-truck'!$C$21)&lt;&gt;"No control",SUMIF(('Loading-truck'!$B$31:$B$48),$J3546,('Loading-truck'!$E$31:$E$48))*Impacts!$F$14,0)),0)</f>
        <v>0</v>
      </c>
      <c r="S3546" s="10">
        <f>IFERROR(IF(('Loading-rail'!$C$21)="No control",SUMIF(('Loading-rail'!$B$31:$B$48),$J3546,('Loading-rail'!$D$31:$D$48))*Impacts!$F$15,IF(('Loading-rail'!$C$21)&lt;&gt;"No control",SUMIF(('Loading-rail'!$B$31:$B$48),$J3546,('Loading-rail'!$E$31:$E$48))*Impacts!$F$15,0)),0)</f>
        <v>0</v>
      </c>
      <c r="T3546" s="10">
        <f>IF(Flare!$C$7="",0,(SUMIF(Flare!$B$46:$B$185,$J3546,Flare!$E$46:$E$185)*Impacts!$F$16))</f>
        <v>0</v>
      </c>
      <c r="U3546" s="10">
        <f>IF(VCU!$C$9="",0,(SUMIF(VCU!$B$51:$B$193,$J3546,VCU!$E$51:$E$193)*Impacts!$F$17))</f>
        <v>0</v>
      </c>
      <c r="V3546" s="10">
        <f>IF(CAS!$C$7="",0,(SUMIF(CAS!$B$31:$B$167,$J3546,CAS!$E$31:$E$167)*Impacts!$F$18))</f>
        <v>0</v>
      </c>
      <c r="W3546" s="10">
        <f t="shared" ref="W3546:W3609" si="96">SUM(L3546:V3546)</f>
        <v>0</v>
      </c>
      <c r="AK3546" s="10" t="str">
        <f t="array" ref="AK3546">IFERROR(INDEX(SelectedSpecies,SMALL(IF(SelectedSpecies=AK$1,ROW(SelectedSpecies)),ROW(3547:3547)),2),"")</f>
        <v/>
      </c>
      <c r="BE3546" s="10"/>
      <c r="BI3546" s="10"/>
    </row>
    <row r="3547" spans="1:61" ht="21" customHeight="1" x14ac:dyDescent="0.25">
      <c r="A3547" s="10"/>
      <c r="B3547" s="10"/>
      <c r="E3547" s="10"/>
      <c r="G3547" s="10"/>
      <c r="I3547" s="436" t="s">
        <v>1885</v>
      </c>
      <c r="J3547" s="26" t="s">
        <v>1884</v>
      </c>
      <c r="K3547" s="10">
        <v>20</v>
      </c>
      <c r="L3547" s="73">
        <f>IF(Tank1!$C$23="No control",(SUMIF(Tank1!$B$32:$B$49,$J3547,Tank1!$C$32:$C$49)*Impacts!$F$8),0)</f>
        <v>0</v>
      </c>
      <c r="M3547" s="10">
        <f>IF(Tank2!$C$23="No control",(SUMIF(Tank2!$B$32:$B$49,$J3547,Tank2!$C$32:$C$49)*Impacts!$F$9),0)</f>
        <v>0</v>
      </c>
      <c r="N3547" s="10">
        <f>IF(Tank3!$C$23="No control",(SUMIF(Tank3!$B$32:$B$49,$J3547,Tank3!$C$32:$C$49)*Impacts!$F$10),0)</f>
        <v>0</v>
      </c>
      <c r="O3547" s="10">
        <f>IF(Tank4!$C$23="No control",(SUMIF(Tank4!$B$32:$B$49,$J3547,Tank4!$C$32:$C$49)*Impacts!$F$11),0)</f>
        <v>0</v>
      </c>
      <c r="P3547" s="10">
        <f>IF(Tank5!$C$23="No control",(SUMIF(Tank5!$B$32:$B$49,$J3547,Tank5!$C$32:$C$49)*Impacts!$F$12),0)</f>
        <v>0</v>
      </c>
      <c r="Q3547" s="10">
        <f>IFERROR(IF(('Loading-drum,tote'!$C$21)="No control",SUMIF(('Loading-drum,tote'!$B$31:$B$48),$J3547,('Loading-drum,tote'!$D$31:$D$48))*Impacts!$F$13,IF(('Loading-drum,tote'!$C$21)&lt;&gt;"No control",SUMIF(('Loading-drum,tote'!$B$31:$B$48),$J3547,('Loading-drum,tote'!$E$31:$E$48))*Impacts!$F$13,0)),0)</f>
        <v>0</v>
      </c>
      <c r="R3547" s="10">
        <f>IFERROR(IF(('Loading-truck'!$C$21)="No control",SUMIF(('Loading-truck'!$B$31:$B$48),$J3547,('Loading-truck'!$D$31:$D$48))*Impacts!$F$14,IF(('Loading-truck'!$C$21)&lt;&gt;"No control",SUMIF(('Loading-truck'!$B$31:$B$48),$J3547,('Loading-truck'!$E$31:$E$48))*Impacts!$F$14,0)),0)</f>
        <v>0</v>
      </c>
      <c r="S3547" s="10">
        <f>IFERROR(IF(('Loading-rail'!$C$21)="No control",SUMIF(('Loading-rail'!$B$31:$B$48),$J3547,('Loading-rail'!$D$31:$D$48))*Impacts!$F$15,IF(('Loading-rail'!$C$21)&lt;&gt;"No control",SUMIF(('Loading-rail'!$B$31:$B$48),$J3547,('Loading-rail'!$E$31:$E$48))*Impacts!$F$15,0)),0)</f>
        <v>0</v>
      </c>
      <c r="T3547" s="10">
        <f>IF(Flare!$C$7="",0,(SUMIF(Flare!$B$46:$B$185,$J3547,Flare!$E$46:$E$185)*Impacts!$F$16))</f>
        <v>0</v>
      </c>
      <c r="U3547" s="10">
        <f>IF(VCU!$C$9="",0,(SUMIF(VCU!$B$51:$B$193,$J3547,VCU!$E$51:$E$193)*Impacts!$F$17))</f>
        <v>0</v>
      </c>
      <c r="V3547" s="10">
        <f>IF(CAS!$C$7="",0,(SUMIF(CAS!$B$31:$B$167,$J3547,CAS!$E$31:$E$167)*Impacts!$F$18))</f>
        <v>0</v>
      </c>
      <c r="W3547" s="10">
        <f t="shared" si="96"/>
        <v>0</v>
      </c>
      <c r="AK3547" s="10" t="str">
        <f t="array" ref="AK3547">IFERROR(INDEX(SelectedSpecies,SMALL(IF(SelectedSpecies=AK$1,ROW(SelectedSpecies)),ROW(3548:3548)),2),"")</f>
        <v/>
      </c>
      <c r="BE3547" s="10"/>
      <c r="BI3547" s="10"/>
    </row>
    <row r="3548" spans="1:61" ht="21" customHeight="1" x14ac:dyDescent="0.25">
      <c r="A3548" s="10"/>
      <c r="B3548" s="10"/>
      <c r="E3548" s="10"/>
      <c r="G3548" s="10"/>
      <c r="I3548" s="436" t="s">
        <v>2621</v>
      </c>
      <c r="J3548" s="26" t="s">
        <v>2620</v>
      </c>
      <c r="K3548" s="10">
        <v>10</v>
      </c>
      <c r="L3548" s="73">
        <f>IF(Tank1!$C$23="No control",(SUMIF(Tank1!$B$32:$B$49,$J3548,Tank1!$C$32:$C$49)*Impacts!$F$8),0)</f>
        <v>0</v>
      </c>
      <c r="M3548" s="10">
        <f>IF(Tank2!$C$23="No control",(SUMIF(Tank2!$B$32:$B$49,$J3548,Tank2!$C$32:$C$49)*Impacts!$F$9),0)</f>
        <v>0</v>
      </c>
      <c r="N3548" s="10">
        <f>IF(Tank3!$C$23="No control",(SUMIF(Tank3!$B$32:$B$49,$J3548,Tank3!$C$32:$C$49)*Impacts!$F$10),0)</f>
        <v>0</v>
      </c>
      <c r="O3548" s="10">
        <f>IF(Tank4!$C$23="No control",(SUMIF(Tank4!$B$32:$B$49,$J3548,Tank4!$C$32:$C$49)*Impacts!$F$11),0)</f>
        <v>0</v>
      </c>
      <c r="P3548" s="10">
        <f>IF(Tank5!$C$23="No control",(SUMIF(Tank5!$B$32:$B$49,$J3548,Tank5!$C$32:$C$49)*Impacts!$F$12),0)</f>
        <v>0</v>
      </c>
      <c r="Q3548" s="10">
        <f>IFERROR(IF(('Loading-drum,tote'!$C$21)="No control",SUMIF(('Loading-drum,tote'!$B$31:$B$48),$J3548,('Loading-drum,tote'!$D$31:$D$48))*Impacts!$F$13,IF(('Loading-drum,tote'!$C$21)&lt;&gt;"No control",SUMIF(('Loading-drum,tote'!$B$31:$B$48),$J3548,('Loading-drum,tote'!$E$31:$E$48))*Impacts!$F$13,0)),0)</f>
        <v>0</v>
      </c>
      <c r="R3548" s="10">
        <f>IFERROR(IF(('Loading-truck'!$C$21)="No control",SUMIF(('Loading-truck'!$B$31:$B$48),$J3548,('Loading-truck'!$D$31:$D$48))*Impacts!$F$14,IF(('Loading-truck'!$C$21)&lt;&gt;"No control",SUMIF(('Loading-truck'!$B$31:$B$48),$J3548,('Loading-truck'!$E$31:$E$48))*Impacts!$F$14,0)),0)</f>
        <v>0</v>
      </c>
      <c r="S3548" s="10">
        <f>IFERROR(IF(('Loading-rail'!$C$21)="No control",SUMIF(('Loading-rail'!$B$31:$B$48),$J3548,('Loading-rail'!$D$31:$D$48))*Impacts!$F$15,IF(('Loading-rail'!$C$21)&lt;&gt;"No control",SUMIF(('Loading-rail'!$B$31:$B$48),$J3548,('Loading-rail'!$E$31:$E$48))*Impacts!$F$15,0)),0)</f>
        <v>0</v>
      </c>
      <c r="T3548" s="10">
        <f>IF(Flare!$C$7="",0,(SUMIF(Flare!$B$46:$B$185,$J3548,Flare!$E$46:$E$185)*Impacts!$F$16))</f>
        <v>0</v>
      </c>
      <c r="U3548" s="10">
        <f>IF(VCU!$C$9="",0,(SUMIF(VCU!$B$51:$B$193,$J3548,VCU!$E$51:$E$193)*Impacts!$F$17))</f>
        <v>0</v>
      </c>
      <c r="V3548" s="10">
        <f>IF(CAS!$C$7="",0,(SUMIF(CAS!$B$31:$B$167,$J3548,CAS!$E$31:$E$167)*Impacts!$F$18))</f>
        <v>0</v>
      </c>
      <c r="W3548" s="10">
        <f t="shared" si="96"/>
        <v>0</v>
      </c>
      <c r="AK3548" s="10" t="str">
        <f t="array" ref="AK3548">IFERROR(INDEX(SelectedSpecies,SMALL(IF(SelectedSpecies=AK$1,ROW(SelectedSpecies)),ROW(3549:3549)),2),"")</f>
        <v/>
      </c>
      <c r="BE3548" s="10"/>
      <c r="BI3548" s="10"/>
    </row>
    <row r="3549" spans="1:61" ht="21" customHeight="1" x14ac:dyDescent="0.25">
      <c r="A3549" s="10"/>
      <c r="B3549" s="10"/>
      <c r="E3549" s="10"/>
      <c r="G3549" s="10"/>
      <c r="I3549" s="436" t="s">
        <v>7942</v>
      </c>
      <c r="J3549" s="26" t="s">
        <v>7941</v>
      </c>
      <c r="K3549" s="10">
        <v>0.05</v>
      </c>
      <c r="L3549" s="73">
        <f>IF(Tank1!$C$23="No control",(SUMIF(Tank1!$B$32:$B$49,$J3549,Tank1!$C$32:$C$49)*Impacts!$F$8),0)</f>
        <v>0</v>
      </c>
      <c r="M3549" s="10">
        <f>IF(Tank2!$C$23="No control",(SUMIF(Tank2!$B$32:$B$49,$J3549,Tank2!$C$32:$C$49)*Impacts!$F$9),0)</f>
        <v>0</v>
      </c>
      <c r="N3549" s="10">
        <f>IF(Tank3!$C$23="No control",(SUMIF(Tank3!$B$32:$B$49,$J3549,Tank3!$C$32:$C$49)*Impacts!$F$10),0)</f>
        <v>0</v>
      </c>
      <c r="O3549" s="10">
        <f>IF(Tank4!$C$23="No control",(SUMIF(Tank4!$B$32:$B$49,$J3549,Tank4!$C$32:$C$49)*Impacts!$F$11),0)</f>
        <v>0</v>
      </c>
      <c r="P3549" s="10">
        <f>IF(Tank5!$C$23="No control",(SUMIF(Tank5!$B$32:$B$49,$J3549,Tank5!$C$32:$C$49)*Impacts!$F$12),0)</f>
        <v>0</v>
      </c>
      <c r="Q3549" s="10">
        <f>IFERROR(IF(('Loading-drum,tote'!$C$21)="No control",SUMIF(('Loading-drum,tote'!$B$31:$B$48),$J3549,('Loading-drum,tote'!$D$31:$D$48))*Impacts!$F$13,IF(('Loading-drum,tote'!$C$21)&lt;&gt;"No control",SUMIF(('Loading-drum,tote'!$B$31:$B$48),$J3549,('Loading-drum,tote'!$E$31:$E$48))*Impacts!$F$13,0)),0)</f>
        <v>0</v>
      </c>
      <c r="R3549" s="10">
        <f>IFERROR(IF(('Loading-truck'!$C$21)="No control",SUMIF(('Loading-truck'!$B$31:$B$48),$J3549,('Loading-truck'!$D$31:$D$48))*Impacts!$F$14,IF(('Loading-truck'!$C$21)&lt;&gt;"No control",SUMIF(('Loading-truck'!$B$31:$B$48),$J3549,('Loading-truck'!$E$31:$E$48))*Impacts!$F$14,0)),0)</f>
        <v>0</v>
      </c>
      <c r="S3549" s="10">
        <f>IFERROR(IF(('Loading-rail'!$C$21)="No control",SUMIF(('Loading-rail'!$B$31:$B$48),$J3549,('Loading-rail'!$D$31:$D$48))*Impacts!$F$15,IF(('Loading-rail'!$C$21)&lt;&gt;"No control",SUMIF(('Loading-rail'!$B$31:$B$48),$J3549,('Loading-rail'!$E$31:$E$48))*Impacts!$F$15,0)),0)</f>
        <v>0</v>
      </c>
      <c r="T3549" s="10">
        <f>IF(Flare!$C$7="",0,(SUMIF(Flare!$B$46:$B$185,$J3549,Flare!$E$46:$E$185)*Impacts!$F$16))</f>
        <v>0</v>
      </c>
      <c r="U3549" s="10">
        <f>IF(VCU!$C$9="",0,(SUMIF(VCU!$B$51:$B$193,$J3549,VCU!$E$51:$E$193)*Impacts!$F$17))</f>
        <v>0</v>
      </c>
      <c r="V3549" s="10">
        <f>IF(CAS!$C$7="",0,(SUMIF(CAS!$B$31:$B$167,$J3549,CAS!$E$31:$E$167)*Impacts!$F$18))</f>
        <v>0</v>
      </c>
      <c r="W3549" s="10">
        <f t="shared" si="96"/>
        <v>0</v>
      </c>
      <c r="AK3549" s="10" t="str">
        <f t="array" ref="AK3549">IFERROR(INDEX(SelectedSpecies,SMALL(IF(SelectedSpecies=AK$1,ROW(SelectedSpecies)),ROW(3550:3550)),2),"")</f>
        <v/>
      </c>
      <c r="BE3549" s="10"/>
      <c r="BI3549" s="10"/>
    </row>
    <row r="3550" spans="1:61" ht="21" customHeight="1" x14ac:dyDescent="0.25">
      <c r="A3550" s="10"/>
      <c r="B3550" s="10"/>
      <c r="E3550" s="10"/>
      <c r="G3550" s="10"/>
      <c r="I3550" s="436" t="s">
        <v>1510</v>
      </c>
      <c r="J3550" s="26" t="s">
        <v>1509</v>
      </c>
      <c r="K3550" s="10">
        <v>27.5</v>
      </c>
      <c r="L3550" s="73">
        <f>IF(Tank1!$C$23="No control",(SUMIF(Tank1!$B$32:$B$49,$J3550,Tank1!$C$32:$C$49)*Impacts!$F$8),0)</f>
        <v>0</v>
      </c>
      <c r="M3550" s="10">
        <f>IF(Tank2!$C$23="No control",(SUMIF(Tank2!$B$32:$B$49,$J3550,Tank2!$C$32:$C$49)*Impacts!$F$9),0)</f>
        <v>0</v>
      </c>
      <c r="N3550" s="10">
        <f>IF(Tank3!$C$23="No control",(SUMIF(Tank3!$B$32:$B$49,$J3550,Tank3!$C$32:$C$49)*Impacts!$F$10),0)</f>
        <v>0</v>
      </c>
      <c r="O3550" s="10">
        <f>IF(Tank4!$C$23="No control",(SUMIF(Tank4!$B$32:$B$49,$J3550,Tank4!$C$32:$C$49)*Impacts!$F$11),0)</f>
        <v>0</v>
      </c>
      <c r="P3550" s="10">
        <f>IF(Tank5!$C$23="No control",(SUMIF(Tank5!$B$32:$B$49,$J3550,Tank5!$C$32:$C$49)*Impacts!$F$12),0)</f>
        <v>0</v>
      </c>
      <c r="Q3550" s="10">
        <f>IFERROR(IF(('Loading-drum,tote'!$C$21)="No control",SUMIF(('Loading-drum,tote'!$B$31:$B$48),$J3550,('Loading-drum,tote'!$D$31:$D$48))*Impacts!$F$13,IF(('Loading-drum,tote'!$C$21)&lt;&gt;"No control",SUMIF(('Loading-drum,tote'!$B$31:$B$48),$J3550,('Loading-drum,tote'!$E$31:$E$48))*Impacts!$F$13,0)),0)</f>
        <v>0</v>
      </c>
      <c r="R3550" s="10">
        <f>IFERROR(IF(('Loading-truck'!$C$21)="No control",SUMIF(('Loading-truck'!$B$31:$B$48),$J3550,('Loading-truck'!$D$31:$D$48))*Impacts!$F$14,IF(('Loading-truck'!$C$21)&lt;&gt;"No control",SUMIF(('Loading-truck'!$B$31:$B$48),$J3550,('Loading-truck'!$E$31:$E$48))*Impacts!$F$14,0)),0)</f>
        <v>0</v>
      </c>
      <c r="S3550" s="10">
        <f>IFERROR(IF(('Loading-rail'!$C$21)="No control",SUMIF(('Loading-rail'!$B$31:$B$48),$J3550,('Loading-rail'!$D$31:$D$48))*Impacts!$F$15,IF(('Loading-rail'!$C$21)&lt;&gt;"No control",SUMIF(('Loading-rail'!$B$31:$B$48),$J3550,('Loading-rail'!$E$31:$E$48))*Impacts!$F$15,0)),0)</f>
        <v>0</v>
      </c>
      <c r="T3550" s="10">
        <f>IF(Flare!$C$7="",0,(SUMIF(Flare!$B$46:$B$185,$J3550,Flare!$E$46:$E$185)*Impacts!$F$16))</f>
        <v>0</v>
      </c>
      <c r="U3550" s="10">
        <f>IF(VCU!$C$9="",0,(SUMIF(VCU!$B$51:$B$193,$J3550,VCU!$E$51:$E$193)*Impacts!$F$17))</f>
        <v>0</v>
      </c>
      <c r="V3550" s="10">
        <f>IF(CAS!$C$7="",0,(SUMIF(CAS!$B$31:$B$167,$J3550,CAS!$E$31:$E$167)*Impacts!$F$18))</f>
        <v>0</v>
      </c>
      <c r="W3550" s="10">
        <f t="shared" si="96"/>
        <v>0</v>
      </c>
      <c r="AK3550" s="10" t="str">
        <f t="array" ref="AK3550">IFERROR(INDEX(SelectedSpecies,SMALL(IF(SelectedSpecies=AK$1,ROW(SelectedSpecies)),ROW(3551:3551)),2),"")</f>
        <v/>
      </c>
      <c r="BE3550" s="10"/>
      <c r="BI3550" s="10"/>
    </row>
    <row r="3551" spans="1:61" ht="21" customHeight="1" x14ac:dyDescent="0.25">
      <c r="A3551" s="10"/>
      <c r="B3551" s="10"/>
      <c r="E3551" s="10"/>
      <c r="G3551" s="10"/>
      <c r="I3551" s="436" t="s">
        <v>7548</v>
      </c>
      <c r="J3551" s="26" t="s">
        <v>7547</v>
      </c>
      <c r="K3551" s="10">
        <v>0.2</v>
      </c>
      <c r="L3551" s="73">
        <f>IF(Tank1!$C$23="No control",(SUMIF(Tank1!$B$32:$B$49,$J3551,Tank1!$C$32:$C$49)*Impacts!$F$8),0)</f>
        <v>0</v>
      </c>
      <c r="M3551" s="10">
        <f>IF(Tank2!$C$23="No control",(SUMIF(Tank2!$B$32:$B$49,$J3551,Tank2!$C$32:$C$49)*Impacts!$F$9),0)</f>
        <v>0</v>
      </c>
      <c r="N3551" s="10">
        <f>IF(Tank3!$C$23="No control",(SUMIF(Tank3!$B$32:$B$49,$J3551,Tank3!$C$32:$C$49)*Impacts!$F$10),0)</f>
        <v>0</v>
      </c>
      <c r="O3551" s="10">
        <f>IF(Tank4!$C$23="No control",(SUMIF(Tank4!$B$32:$B$49,$J3551,Tank4!$C$32:$C$49)*Impacts!$F$11),0)</f>
        <v>0</v>
      </c>
      <c r="P3551" s="10">
        <f>IF(Tank5!$C$23="No control",(SUMIF(Tank5!$B$32:$B$49,$J3551,Tank5!$C$32:$C$49)*Impacts!$F$12),0)</f>
        <v>0</v>
      </c>
      <c r="Q3551" s="10">
        <f>IFERROR(IF(('Loading-drum,tote'!$C$21)="No control",SUMIF(('Loading-drum,tote'!$B$31:$B$48),$J3551,('Loading-drum,tote'!$D$31:$D$48))*Impacts!$F$13,IF(('Loading-drum,tote'!$C$21)&lt;&gt;"No control",SUMIF(('Loading-drum,tote'!$B$31:$B$48),$J3551,('Loading-drum,tote'!$E$31:$E$48))*Impacts!$F$13,0)),0)</f>
        <v>0</v>
      </c>
      <c r="R3551" s="10">
        <f>IFERROR(IF(('Loading-truck'!$C$21)="No control",SUMIF(('Loading-truck'!$B$31:$B$48),$J3551,('Loading-truck'!$D$31:$D$48))*Impacts!$F$14,IF(('Loading-truck'!$C$21)&lt;&gt;"No control",SUMIF(('Loading-truck'!$B$31:$B$48),$J3551,('Loading-truck'!$E$31:$E$48))*Impacts!$F$14,0)),0)</f>
        <v>0</v>
      </c>
      <c r="S3551" s="10">
        <f>IFERROR(IF(('Loading-rail'!$C$21)="No control",SUMIF(('Loading-rail'!$B$31:$B$48),$J3551,('Loading-rail'!$D$31:$D$48))*Impacts!$F$15,IF(('Loading-rail'!$C$21)&lt;&gt;"No control",SUMIF(('Loading-rail'!$B$31:$B$48),$J3551,('Loading-rail'!$E$31:$E$48))*Impacts!$F$15,0)),0)</f>
        <v>0</v>
      </c>
      <c r="T3551" s="10">
        <f>IF(Flare!$C$7="",0,(SUMIF(Flare!$B$46:$B$185,$J3551,Flare!$E$46:$E$185)*Impacts!$F$16))</f>
        <v>0</v>
      </c>
      <c r="U3551" s="10">
        <f>IF(VCU!$C$9="",0,(SUMIF(VCU!$B$51:$B$193,$J3551,VCU!$E$51:$E$193)*Impacts!$F$17))</f>
        <v>0</v>
      </c>
      <c r="V3551" s="10">
        <f>IF(CAS!$C$7="",0,(SUMIF(CAS!$B$31:$B$167,$J3551,CAS!$E$31:$E$167)*Impacts!$F$18))</f>
        <v>0</v>
      </c>
      <c r="W3551" s="10">
        <f t="shared" si="96"/>
        <v>0</v>
      </c>
      <c r="AK3551" s="10" t="str">
        <f t="array" ref="AK3551">IFERROR(INDEX(SelectedSpecies,SMALL(IF(SelectedSpecies=AK$1,ROW(SelectedSpecies)),ROW(3552:3552)),2),"")</f>
        <v/>
      </c>
      <c r="BE3551" s="10"/>
      <c r="BI3551" s="10"/>
    </row>
    <row r="3552" spans="1:61" ht="21" customHeight="1" x14ac:dyDescent="0.25">
      <c r="A3552" s="10"/>
      <c r="B3552" s="10"/>
      <c r="E3552" s="10"/>
      <c r="G3552" s="10"/>
      <c r="I3552" s="436" t="s">
        <v>7550</v>
      </c>
      <c r="J3552" s="26" t="s">
        <v>7549</v>
      </c>
      <c r="K3552" s="10">
        <v>0.2</v>
      </c>
      <c r="L3552" s="73">
        <f>IF(Tank1!$C$23="No control",(SUMIF(Tank1!$B$32:$B$49,$J3552,Tank1!$C$32:$C$49)*Impacts!$F$8),0)</f>
        <v>0</v>
      </c>
      <c r="M3552" s="10">
        <f>IF(Tank2!$C$23="No control",(SUMIF(Tank2!$B$32:$B$49,$J3552,Tank2!$C$32:$C$49)*Impacts!$F$9),0)</f>
        <v>0</v>
      </c>
      <c r="N3552" s="10">
        <f>IF(Tank3!$C$23="No control",(SUMIF(Tank3!$B$32:$B$49,$J3552,Tank3!$C$32:$C$49)*Impacts!$F$10),0)</f>
        <v>0</v>
      </c>
      <c r="O3552" s="10">
        <f>IF(Tank4!$C$23="No control",(SUMIF(Tank4!$B$32:$B$49,$J3552,Tank4!$C$32:$C$49)*Impacts!$F$11),0)</f>
        <v>0</v>
      </c>
      <c r="P3552" s="10">
        <f>IF(Tank5!$C$23="No control",(SUMIF(Tank5!$B$32:$B$49,$J3552,Tank5!$C$32:$C$49)*Impacts!$F$12),0)</f>
        <v>0</v>
      </c>
      <c r="Q3552" s="10">
        <f>IFERROR(IF(('Loading-drum,tote'!$C$21)="No control",SUMIF(('Loading-drum,tote'!$B$31:$B$48),$J3552,('Loading-drum,tote'!$D$31:$D$48))*Impacts!$F$13,IF(('Loading-drum,tote'!$C$21)&lt;&gt;"No control",SUMIF(('Loading-drum,tote'!$B$31:$B$48),$J3552,('Loading-drum,tote'!$E$31:$E$48))*Impacts!$F$13,0)),0)</f>
        <v>0</v>
      </c>
      <c r="R3552" s="10">
        <f>IFERROR(IF(('Loading-truck'!$C$21)="No control",SUMIF(('Loading-truck'!$B$31:$B$48),$J3552,('Loading-truck'!$D$31:$D$48))*Impacts!$F$14,IF(('Loading-truck'!$C$21)&lt;&gt;"No control",SUMIF(('Loading-truck'!$B$31:$B$48),$J3552,('Loading-truck'!$E$31:$E$48))*Impacts!$F$14,0)),0)</f>
        <v>0</v>
      </c>
      <c r="S3552" s="10">
        <f>IFERROR(IF(('Loading-rail'!$C$21)="No control",SUMIF(('Loading-rail'!$B$31:$B$48),$J3552,('Loading-rail'!$D$31:$D$48))*Impacts!$F$15,IF(('Loading-rail'!$C$21)&lt;&gt;"No control",SUMIF(('Loading-rail'!$B$31:$B$48),$J3552,('Loading-rail'!$E$31:$E$48))*Impacts!$F$15,0)),0)</f>
        <v>0</v>
      </c>
      <c r="T3552" s="10">
        <f>IF(Flare!$C$7="",0,(SUMIF(Flare!$B$46:$B$185,$J3552,Flare!$E$46:$E$185)*Impacts!$F$16))</f>
        <v>0</v>
      </c>
      <c r="U3552" s="10">
        <f>IF(VCU!$C$9="",0,(SUMIF(VCU!$B$51:$B$193,$J3552,VCU!$E$51:$E$193)*Impacts!$F$17))</f>
        <v>0</v>
      </c>
      <c r="V3552" s="10">
        <f>IF(CAS!$C$7="",0,(SUMIF(CAS!$B$31:$B$167,$J3552,CAS!$E$31:$E$167)*Impacts!$F$18))</f>
        <v>0</v>
      </c>
      <c r="W3552" s="10">
        <f t="shared" si="96"/>
        <v>0</v>
      </c>
      <c r="AK3552" s="10" t="str">
        <f t="array" ref="AK3552">IFERROR(INDEX(SelectedSpecies,SMALL(IF(SelectedSpecies=AK$1,ROW(SelectedSpecies)),ROW(3553:3553)),2),"")</f>
        <v/>
      </c>
      <c r="BE3552" s="10"/>
      <c r="BI3552" s="10"/>
    </row>
    <row r="3553" spans="1:61" ht="21" customHeight="1" x14ac:dyDescent="0.25">
      <c r="A3553" s="10"/>
      <c r="B3553" s="10"/>
      <c r="E3553" s="10"/>
      <c r="G3553" s="10"/>
      <c r="I3553" s="436" t="s">
        <v>8068</v>
      </c>
      <c r="J3553" s="26" t="s">
        <v>8067</v>
      </c>
      <c r="K3553" s="10">
        <v>2.0000000000000004E-2</v>
      </c>
      <c r="L3553" s="73">
        <f>IF(Tank1!$C$23="No control",(SUMIF(Tank1!$B$32:$B$49,$J3553,Tank1!$C$32:$C$49)*Impacts!$F$8),0)</f>
        <v>0</v>
      </c>
      <c r="M3553" s="10">
        <f>IF(Tank2!$C$23="No control",(SUMIF(Tank2!$B$32:$B$49,$J3553,Tank2!$C$32:$C$49)*Impacts!$F$9),0)</f>
        <v>0</v>
      </c>
      <c r="N3553" s="10">
        <f>IF(Tank3!$C$23="No control",(SUMIF(Tank3!$B$32:$B$49,$J3553,Tank3!$C$32:$C$49)*Impacts!$F$10),0)</f>
        <v>0</v>
      </c>
      <c r="O3553" s="10">
        <f>IF(Tank4!$C$23="No control",(SUMIF(Tank4!$B$32:$B$49,$J3553,Tank4!$C$32:$C$49)*Impacts!$F$11),0)</f>
        <v>0</v>
      </c>
      <c r="P3553" s="10">
        <f>IF(Tank5!$C$23="No control",(SUMIF(Tank5!$B$32:$B$49,$J3553,Tank5!$C$32:$C$49)*Impacts!$F$12),0)</f>
        <v>0</v>
      </c>
      <c r="Q3553" s="10">
        <f>IFERROR(IF(('Loading-drum,tote'!$C$21)="No control",SUMIF(('Loading-drum,tote'!$B$31:$B$48),$J3553,('Loading-drum,tote'!$D$31:$D$48))*Impacts!$F$13,IF(('Loading-drum,tote'!$C$21)&lt;&gt;"No control",SUMIF(('Loading-drum,tote'!$B$31:$B$48),$J3553,('Loading-drum,tote'!$E$31:$E$48))*Impacts!$F$13,0)),0)</f>
        <v>0</v>
      </c>
      <c r="R3553" s="10">
        <f>IFERROR(IF(('Loading-truck'!$C$21)="No control",SUMIF(('Loading-truck'!$B$31:$B$48),$J3553,('Loading-truck'!$D$31:$D$48))*Impacts!$F$14,IF(('Loading-truck'!$C$21)&lt;&gt;"No control",SUMIF(('Loading-truck'!$B$31:$B$48),$J3553,('Loading-truck'!$E$31:$E$48))*Impacts!$F$14,0)),0)</f>
        <v>0</v>
      </c>
      <c r="S3553" s="10">
        <f>IFERROR(IF(('Loading-rail'!$C$21)="No control",SUMIF(('Loading-rail'!$B$31:$B$48),$J3553,('Loading-rail'!$D$31:$D$48))*Impacts!$F$15,IF(('Loading-rail'!$C$21)&lt;&gt;"No control",SUMIF(('Loading-rail'!$B$31:$B$48),$J3553,('Loading-rail'!$E$31:$E$48))*Impacts!$F$15,0)),0)</f>
        <v>0</v>
      </c>
      <c r="T3553" s="10">
        <f>IF(Flare!$C$7="",0,(SUMIF(Flare!$B$46:$B$185,$J3553,Flare!$E$46:$E$185)*Impacts!$F$16))</f>
        <v>0</v>
      </c>
      <c r="U3553" s="10">
        <f>IF(VCU!$C$9="",0,(SUMIF(VCU!$B$51:$B$193,$J3553,VCU!$E$51:$E$193)*Impacts!$F$17))</f>
        <v>0</v>
      </c>
      <c r="V3553" s="10">
        <f>IF(CAS!$C$7="",0,(SUMIF(CAS!$B$31:$B$167,$J3553,CAS!$E$31:$E$167)*Impacts!$F$18))</f>
        <v>0</v>
      </c>
      <c r="W3553" s="10">
        <f t="shared" si="96"/>
        <v>0</v>
      </c>
      <c r="AK3553" s="10" t="str">
        <f t="array" ref="AK3553">IFERROR(INDEX(SelectedSpecies,SMALL(IF(SelectedSpecies=AK$1,ROW(SelectedSpecies)),ROW(3554:3554)),2),"")</f>
        <v/>
      </c>
      <c r="BE3553" s="10"/>
      <c r="BI3553" s="10"/>
    </row>
    <row r="3554" spans="1:61" ht="21" customHeight="1" x14ac:dyDescent="0.25">
      <c r="A3554" s="10"/>
      <c r="B3554" s="10"/>
      <c r="E3554" s="10"/>
      <c r="G3554" s="10"/>
      <c r="I3554" s="436" t="s">
        <v>7338</v>
      </c>
      <c r="J3554" s="26" t="s">
        <v>7337</v>
      </c>
      <c r="K3554" s="10">
        <v>0.26</v>
      </c>
      <c r="L3554" s="73">
        <f>IF(Tank1!$C$23="No control",(SUMIF(Tank1!$B$32:$B$49,$J3554,Tank1!$C$32:$C$49)*Impacts!$F$8),0)</f>
        <v>0</v>
      </c>
      <c r="M3554" s="10">
        <f>IF(Tank2!$C$23="No control",(SUMIF(Tank2!$B$32:$B$49,$J3554,Tank2!$C$32:$C$49)*Impacts!$F$9),0)</f>
        <v>0</v>
      </c>
      <c r="N3554" s="10">
        <f>IF(Tank3!$C$23="No control",(SUMIF(Tank3!$B$32:$B$49,$J3554,Tank3!$C$32:$C$49)*Impacts!$F$10),0)</f>
        <v>0</v>
      </c>
      <c r="O3554" s="10">
        <f>IF(Tank4!$C$23="No control",(SUMIF(Tank4!$B$32:$B$49,$J3554,Tank4!$C$32:$C$49)*Impacts!$F$11),0)</f>
        <v>0</v>
      </c>
      <c r="P3554" s="10">
        <f>IF(Tank5!$C$23="No control",(SUMIF(Tank5!$B$32:$B$49,$J3554,Tank5!$C$32:$C$49)*Impacts!$F$12),0)</f>
        <v>0</v>
      </c>
      <c r="Q3554" s="10">
        <f>IFERROR(IF(('Loading-drum,tote'!$C$21)="No control",SUMIF(('Loading-drum,tote'!$B$31:$B$48),$J3554,('Loading-drum,tote'!$D$31:$D$48))*Impacts!$F$13,IF(('Loading-drum,tote'!$C$21)&lt;&gt;"No control",SUMIF(('Loading-drum,tote'!$B$31:$B$48),$J3554,('Loading-drum,tote'!$E$31:$E$48))*Impacts!$F$13,0)),0)</f>
        <v>0</v>
      </c>
      <c r="R3554" s="10">
        <f>IFERROR(IF(('Loading-truck'!$C$21)="No control",SUMIF(('Loading-truck'!$B$31:$B$48),$J3554,('Loading-truck'!$D$31:$D$48))*Impacts!$F$14,IF(('Loading-truck'!$C$21)&lt;&gt;"No control",SUMIF(('Loading-truck'!$B$31:$B$48),$J3554,('Loading-truck'!$E$31:$E$48))*Impacts!$F$14,0)),0)</f>
        <v>0</v>
      </c>
      <c r="S3554" s="10">
        <f>IFERROR(IF(('Loading-rail'!$C$21)="No control",SUMIF(('Loading-rail'!$B$31:$B$48),$J3554,('Loading-rail'!$D$31:$D$48))*Impacts!$F$15,IF(('Loading-rail'!$C$21)&lt;&gt;"No control",SUMIF(('Loading-rail'!$B$31:$B$48),$J3554,('Loading-rail'!$E$31:$E$48))*Impacts!$F$15,0)),0)</f>
        <v>0</v>
      </c>
      <c r="T3554" s="10">
        <f>IF(Flare!$C$7="",0,(SUMIF(Flare!$B$46:$B$185,$J3554,Flare!$E$46:$E$185)*Impacts!$F$16))</f>
        <v>0</v>
      </c>
      <c r="U3554" s="10">
        <f>IF(VCU!$C$9="",0,(SUMIF(VCU!$B$51:$B$193,$J3554,VCU!$E$51:$E$193)*Impacts!$F$17))</f>
        <v>0</v>
      </c>
      <c r="V3554" s="10">
        <f>IF(CAS!$C$7="",0,(SUMIF(CAS!$B$31:$B$167,$J3554,CAS!$E$31:$E$167)*Impacts!$F$18))</f>
        <v>0</v>
      </c>
      <c r="W3554" s="10">
        <f t="shared" si="96"/>
        <v>0</v>
      </c>
      <c r="AK3554" s="10" t="str">
        <f t="array" ref="AK3554">IFERROR(INDEX(SelectedSpecies,SMALL(IF(SelectedSpecies=AK$1,ROW(SelectedSpecies)),ROW(3555:3555)),2),"")</f>
        <v/>
      </c>
      <c r="BE3554" s="10"/>
      <c r="BI3554" s="10"/>
    </row>
    <row r="3555" spans="1:61" ht="21" customHeight="1" x14ac:dyDescent="0.25">
      <c r="A3555" s="10"/>
      <c r="B3555" s="10"/>
      <c r="E3555" s="10"/>
      <c r="G3555" s="10"/>
      <c r="I3555" s="436" t="s">
        <v>7876</v>
      </c>
      <c r="J3555" s="26" t="s">
        <v>7875</v>
      </c>
      <c r="K3555" s="10">
        <v>0.06</v>
      </c>
      <c r="L3555" s="73">
        <f>IF(Tank1!$C$23="No control",(SUMIF(Tank1!$B$32:$B$49,$J3555,Tank1!$C$32:$C$49)*Impacts!$F$8),0)</f>
        <v>0</v>
      </c>
      <c r="M3555" s="10">
        <f>IF(Tank2!$C$23="No control",(SUMIF(Tank2!$B$32:$B$49,$J3555,Tank2!$C$32:$C$49)*Impacts!$F$9),0)</f>
        <v>0</v>
      </c>
      <c r="N3555" s="10">
        <f>IF(Tank3!$C$23="No control",(SUMIF(Tank3!$B$32:$B$49,$J3555,Tank3!$C$32:$C$49)*Impacts!$F$10),0)</f>
        <v>0</v>
      </c>
      <c r="O3555" s="10">
        <f>IF(Tank4!$C$23="No control",(SUMIF(Tank4!$B$32:$B$49,$J3555,Tank4!$C$32:$C$49)*Impacts!$F$11),0)</f>
        <v>0</v>
      </c>
      <c r="P3555" s="10">
        <f>IF(Tank5!$C$23="No control",(SUMIF(Tank5!$B$32:$B$49,$J3555,Tank5!$C$32:$C$49)*Impacts!$F$12),0)</f>
        <v>0</v>
      </c>
      <c r="Q3555" s="10">
        <f>IFERROR(IF(('Loading-drum,tote'!$C$21)="No control",SUMIF(('Loading-drum,tote'!$B$31:$B$48),$J3555,('Loading-drum,tote'!$D$31:$D$48))*Impacts!$F$13,IF(('Loading-drum,tote'!$C$21)&lt;&gt;"No control",SUMIF(('Loading-drum,tote'!$B$31:$B$48),$J3555,('Loading-drum,tote'!$E$31:$E$48))*Impacts!$F$13,0)),0)</f>
        <v>0</v>
      </c>
      <c r="R3555" s="10">
        <f>IFERROR(IF(('Loading-truck'!$C$21)="No control",SUMIF(('Loading-truck'!$B$31:$B$48),$J3555,('Loading-truck'!$D$31:$D$48))*Impacts!$F$14,IF(('Loading-truck'!$C$21)&lt;&gt;"No control",SUMIF(('Loading-truck'!$B$31:$B$48),$J3555,('Loading-truck'!$E$31:$E$48))*Impacts!$F$14,0)),0)</f>
        <v>0</v>
      </c>
      <c r="S3555" s="10">
        <f>IFERROR(IF(('Loading-rail'!$C$21)="No control",SUMIF(('Loading-rail'!$B$31:$B$48),$J3555,('Loading-rail'!$D$31:$D$48))*Impacts!$F$15,IF(('Loading-rail'!$C$21)&lt;&gt;"No control",SUMIF(('Loading-rail'!$B$31:$B$48),$J3555,('Loading-rail'!$E$31:$E$48))*Impacts!$F$15,0)),0)</f>
        <v>0</v>
      </c>
      <c r="T3555" s="10">
        <f>IF(Flare!$C$7="",0,(SUMIF(Flare!$B$46:$B$185,$J3555,Flare!$E$46:$E$185)*Impacts!$F$16))</f>
        <v>0</v>
      </c>
      <c r="U3555" s="10">
        <f>IF(VCU!$C$9="",0,(SUMIF(VCU!$B$51:$B$193,$J3555,VCU!$E$51:$E$193)*Impacts!$F$17))</f>
        <v>0</v>
      </c>
      <c r="V3555" s="10">
        <f>IF(CAS!$C$7="",0,(SUMIF(CAS!$B$31:$B$167,$J3555,CAS!$E$31:$E$167)*Impacts!$F$18))</f>
        <v>0</v>
      </c>
      <c r="W3555" s="10">
        <f t="shared" si="96"/>
        <v>0</v>
      </c>
      <c r="AK3555" s="10" t="str">
        <f t="array" ref="AK3555">IFERROR(INDEX(SelectedSpecies,SMALL(IF(SelectedSpecies=AK$1,ROW(SelectedSpecies)),ROW(3556:3556)),2),"")</f>
        <v/>
      </c>
      <c r="BE3555" s="10"/>
      <c r="BI3555" s="10"/>
    </row>
    <row r="3556" spans="1:61" ht="21" customHeight="1" x14ac:dyDescent="0.25">
      <c r="A3556" s="10"/>
      <c r="B3556" s="10"/>
      <c r="E3556" s="10"/>
      <c r="G3556" s="10"/>
      <c r="I3556" s="436" t="s">
        <v>8080</v>
      </c>
      <c r="J3556" s="26" t="s">
        <v>8079</v>
      </c>
      <c r="K3556" s="10">
        <v>1.7999999999999999E-2</v>
      </c>
      <c r="L3556" s="73">
        <f>IF(Tank1!$C$23="No control",(SUMIF(Tank1!$B$32:$B$49,$J3556,Tank1!$C$32:$C$49)*Impacts!$F$8),0)</f>
        <v>0</v>
      </c>
      <c r="M3556" s="10">
        <f>IF(Tank2!$C$23="No control",(SUMIF(Tank2!$B$32:$B$49,$J3556,Tank2!$C$32:$C$49)*Impacts!$F$9),0)</f>
        <v>0</v>
      </c>
      <c r="N3556" s="10">
        <f>IF(Tank3!$C$23="No control",(SUMIF(Tank3!$B$32:$B$49,$J3556,Tank3!$C$32:$C$49)*Impacts!$F$10),0)</f>
        <v>0</v>
      </c>
      <c r="O3556" s="10">
        <f>IF(Tank4!$C$23="No control",(SUMIF(Tank4!$B$32:$B$49,$J3556,Tank4!$C$32:$C$49)*Impacts!$F$11),0)</f>
        <v>0</v>
      </c>
      <c r="P3556" s="10">
        <f>IF(Tank5!$C$23="No control",(SUMIF(Tank5!$B$32:$B$49,$J3556,Tank5!$C$32:$C$49)*Impacts!$F$12),0)</f>
        <v>0</v>
      </c>
      <c r="Q3556" s="10">
        <f>IFERROR(IF(('Loading-drum,tote'!$C$21)="No control",SUMIF(('Loading-drum,tote'!$B$31:$B$48),$J3556,('Loading-drum,tote'!$D$31:$D$48))*Impacts!$F$13,IF(('Loading-drum,tote'!$C$21)&lt;&gt;"No control",SUMIF(('Loading-drum,tote'!$B$31:$B$48),$J3556,('Loading-drum,tote'!$E$31:$E$48))*Impacts!$F$13,0)),0)</f>
        <v>0</v>
      </c>
      <c r="R3556" s="10">
        <f>IFERROR(IF(('Loading-truck'!$C$21)="No control",SUMIF(('Loading-truck'!$B$31:$B$48),$J3556,('Loading-truck'!$D$31:$D$48))*Impacts!$F$14,IF(('Loading-truck'!$C$21)&lt;&gt;"No control",SUMIF(('Loading-truck'!$B$31:$B$48),$J3556,('Loading-truck'!$E$31:$E$48))*Impacts!$F$14,0)),0)</f>
        <v>0</v>
      </c>
      <c r="S3556" s="10">
        <f>IFERROR(IF(('Loading-rail'!$C$21)="No control",SUMIF(('Loading-rail'!$B$31:$B$48),$J3556,('Loading-rail'!$D$31:$D$48))*Impacts!$F$15,IF(('Loading-rail'!$C$21)&lt;&gt;"No control",SUMIF(('Loading-rail'!$B$31:$B$48),$J3556,('Loading-rail'!$E$31:$E$48))*Impacts!$F$15,0)),0)</f>
        <v>0</v>
      </c>
      <c r="T3556" s="10">
        <f>IF(Flare!$C$7="",0,(SUMIF(Flare!$B$46:$B$185,$J3556,Flare!$E$46:$E$185)*Impacts!$F$16))</f>
        <v>0</v>
      </c>
      <c r="U3556" s="10">
        <f>IF(VCU!$C$9="",0,(SUMIF(VCU!$B$51:$B$193,$J3556,VCU!$E$51:$E$193)*Impacts!$F$17))</f>
        <v>0</v>
      </c>
      <c r="V3556" s="10">
        <f>IF(CAS!$C$7="",0,(SUMIF(CAS!$B$31:$B$167,$J3556,CAS!$E$31:$E$167)*Impacts!$F$18))</f>
        <v>0</v>
      </c>
      <c r="W3556" s="10">
        <f t="shared" si="96"/>
        <v>0</v>
      </c>
      <c r="AK3556" s="10" t="str">
        <f t="array" ref="AK3556">IFERROR(INDEX(SelectedSpecies,SMALL(IF(SelectedSpecies=AK$1,ROW(SelectedSpecies)),ROW(3557:3557)),2),"")</f>
        <v/>
      </c>
      <c r="BE3556" s="10"/>
      <c r="BI3556" s="10"/>
    </row>
    <row r="3557" spans="1:61" ht="21" customHeight="1" x14ac:dyDescent="0.25">
      <c r="A3557" s="10"/>
      <c r="B3557" s="10"/>
      <c r="E3557" s="10"/>
      <c r="G3557" s="10"/>
      <c r="I3557" s="436" t="s">
        <v>291</v>
      </c>
      <c r="J3557" s="26" t="s">
        <v>290</v>
      </c>
      <c r="K3557" s="10" t="s">
        <v>10275</v>
      </c>
      <c r="L3557" s="73">
        <f>IF(Tank1!$C$23="No control",(SUMIF(Tank1!$B$32:$B$49,$J3557,Tank1!$C$32:$C$49)*Impacts!$F$8),0)</f>
        <v>0</v>
      </c>
      <c r="M3557" s="10">
        <f>IF(Tank2!$C$23="No control",(SUMIF(Tank2!$B$32:$B$49,$J3557,Tank2!$C$32:$C$49)*Impacts!$F$9),0)</f>
        <v>0</v>
      </c>
      <c r="N3557" s="10">
        <f>IF(Tank3!$C$23="No control",(SUMIF(Tank3!$B$32:$B$49,$J3557,Tank3!$C$32:$C$49)*Impacts!$F$10),0)</f>
        <v>0</v>
      </c>
      <c r="O3557" s="10">
        <f>IF(Tank4!$C$23="No control",(SUMIF(Tank4!$B$32:$B$49,$J3557,Tank4!$C$32:$C$49)*Impacts!$F$11),0)</f>
        <v>0</v>
      </c>
      <c r="P3557" s="10">
        <f>IF(Tank5!$C$23="No control",(SUMIF(Tank5!$B$32:$B$49,$J3557,Tank5!$C$32:$C$49)*Impacts!$F$12),0)</f>
        <v>0</v>
      </c>
      <c r="Q3557" s="10">
        <f>IFERROR(IF(('Loading-drum,tote'!$C$21)="No control",SUMIF(('Loading-drum,tote'!$B$31:$B$48),$J3557,('Loading-drum,tote'!$D$31:$D$48))*Impacts!$F$13,IF(('Loading-drum,tote'!$C$21)&lt;&gt;"No control",SUMIF(('Loading-drum,tote'!$B$31:$B$48),$J3557,('Loading-drum,tote'!$E$31:$E$48))*Impacts!$F$13,0)),0)</f>
        <v>0</v>
      </c>
      <c r="R3557" s="10">
        <f>IFERROR(IF(('Loading-truck'!$C$21)="No control",SUMIF(('Loading-truck'!$B$31:$B$48),$J3557,('Loading-truck'!$D$31:$D$48))*Impacts!$F$14,IF(('Loading-truck'!$C$21)&lt;&gt;"No control",SUMIF(('Loading-truck'!$B$31:$B$48),$J3557,('Loading-truck'!$E$31:$E$48))*Impacts!$F$14,0)),0)</f>
        <v>0</v>
      </c>
      <c r="S3557" s="10">
        <f>IFERROR(IF(('Loading-rail'!$C$21)="No control",SUMIF(('Loading-rail'!$B$31:$B$48),$J3557,('Loading-rail'!$D$31:$D$48))*Impacts!$F$15,IF(('Loading-rail'!$C$21)&lt;&gt;"No control",SUMIF(('Loading-rail'!$B$31:$B$48),$J3557,('Loading-rail'!$E$31:$E$48))*Impacts!$F$15,0)),0)</f>
        <v>0</v>
      </c>
      <c r="T3557" s="10">
        <f>IF(Flare!$C$7="",0,(SUMIF(Flare!$B$46:$B$185,$J3557,Flare!$E$46:$E$185)*Impacts!$F$16))</f>
        <v>0</v>
      </c>
      <c r="U3557" s="10">
        <f>IF(VCU!$C$9="",0,(SUMIF(VCU!$B$51:$B$193,$J3557,VCU!$E$51:$E$193)*Impacts!$F$17))</f>
        <v>0</v>
      </c>
      <c r="V3557" s="10">
        <f>IF(CAS!$C$7="",0,(SUMIF(CAS!$B$31:$B$167,$J3557,CAS!$E$31:$E$167)*Impacts!$F$18))</f>
        <v>0</v>
      </c>
      <c r="W3557" s="10">
        <f t="shared" si="96"/>
        <v>0</v>
      </c>
      <c r="AK3557" s="10" t="str">
        <f t="array" ref="AK3557">IFERROR(INDEX(SelectedSpecies,SMALL(IF(SelectedSpecies=AK$1,ROW(SelectedSpecies)),ROW(3558:3558)),2),"")</f>
        <v/>
      </c>
      <c r="BE3557" s="10"/>
      <c r="BI3557" s="10"/>
    </row>
    <row r="3558" spans="1:61" ht="21" customHeight="1" x14ac:dyDescent="0.25">
      <c r="A3558" s="10"/>
      <c r="B3558" s="10"/>
      <c r="E3558" s="10"/>
      <c r="G3558" s="10"/>
      <c r="I3558" s="436" t="s">
        <v>8082</v>
      </c>
      <c r="J3558" s="26" t="s">
        <v>8081</v>
      </c>
      <c r="K3558" s="10">
        <v>1.6E-2</v>
      </c>
      <c r="L3558" s="73">
        <f>IF(Tank1!$C$23="No control",(SUMIF(Tank1!$B$32:$B$49,$J3558,Tank1!$C$32:$C$49)*Impacts!$F$8),0)</f>
        <v>0</v>
      </c>
      <c r="M3558" s="10">
        <f>IF(Tank2!$C$23="No control",(SUMIF(Tank2!$B$32:$B$49,$J3558,Tank2!$C$32:$C$49)*Impacts!$F$9),0)</f>
        <v>0</v>
      </c>
      <c r="N3558" s="10">
        <f>IF(Tank3!$C$23="No control",(SUMIF(Tank3!$B$32:$B$49,$J3558,Tank3!$C$32:$C$49)*Impacts!$F$10),0)</f>
        <v>0</v>
      </c>
      <c r="O3558" s="10">
        <f>IF(Tank4!$C$23="No control",(SUMIF(Tank4!$B$32:$B$49,$J3558,Tank4!$C$32:$C$49)*Impacts!$F$11),0)</f>
        <v>0</v>
      </c>
      <c r="P3558" s="10">
        <f>IF(Tank5!$C$23="No control",(SUMIF(Tank5!$B$32:$B$49,$J3558,Tank5!$C$32:$C$49)*Impacts!$F$12),0)</f>
        <v>0</v>
      </c>
      <c r="Q3558" s="10">
        <f>IFERROR(IF(('Loading-drum,tote'!$C$21)="No control",SUMIF(('Loading-drum,tote'!$B$31:$B$48),$J3558,('Loading-drum,tote'!$D$31:$D$48))*Impacts!$F$13,IF(('Loading-drum,tote'!$C$21)&lt;&gt;"No control",SUMIF(('Loading-drum,tote'!$B$31:$B$48),$J3558,('Loading-drum,tote'!$E$31:$E$48))*Impacts!$F$13,0)),0)</f>
        <v>0</v>
      </c>
      <c r="R3558" s="10">
        <f>IFERROR(IF(('Loading-truck'!$C$21)="No control",SUMIF(('Loading-truck'!$B$31:$B$48),$J3558,('Loading-truck'!$D$31:$D$48))*Impacts!$F$14,IF(('Loading-truck'!$C$21)&lt;&gt;"No control",SUMIF(('Loading-truck'!$B$31:$B$48),$J3558,('Loading-truck'!$E$31:$E$48))*Impacts!$F$14,0)),0)</f>
        <v>0</v>
      </c>
      <c r="S3558" s="10">
        <f>IFERROR(IF(('Loading-rail'!$C$21)="No control",SUMIF(('Loading-rail'!$B$31:$B$48),$J3558,('Loading-rail'!$D$31:$D$48))*Impacts!$F$15,IF(('Loading-rail'!$C$21)&lt;&gt;"No control",SUMIF(('Loading-rail'!$B$31:$B$48),$J3558,('Loading-rail'!$E$31:$E$48))*Impacts!$F$15,0)),0)</f>
        <v>0</v>
      </c>
      <c r="T3558" s="10">
        <f>IF(Flare!$C$7="",0,(SUMIF(Flare!$B$46:$B$185,$J3558,Flare!$E$46:$E$185)*Impacts!$F$16))</f>
        <v>0</v>
      </c>
      <c r="U3558" s="10">
        <f>IF(VCU!$C$9="",0,(SUMIF(VCU!$B$51:$B$193,$J3558,VCU!$E$51:$E$193)*Impacts!$F$17))</f>
        <v>0</v>
      </c>
      <c r="V3558" s="10">
        <f>IF(CAS!$C$7="",0,(SUMIF(CAS!$B$31:$B$167,$J3558,CAS!$E$31:$E$167)*Impacts!$F$18))</f>
        <v>0</v>
      </c>
      <c r="W3558" s="10">
        <f t="shared" si="96"/>
        <v>0</v>
      </c>
      <c r="AK3558" s="10" t="str">
        <f t="array" ref="AK3558">IFERROR(INDEX(SelectedSpecies,SMALL(IF(SelectedSpecies=AK$1,ROW(SelectedSpecies)),ROW(3559:3559)),2),"")</f>
        <v/>
      </c>
      <c r="BE3558" s="10"/>
      <c r="BI3558" s="10"/>
    </row>
    <row r="3559" spans="1:61" ht="21" customHeight="1" x14ac:dyDescent="0.25">
      <c r="A3559" s="10"/>
      <c r="B3559" s="10"/>
      <c r="E3559" s="10"/>
      <c r="G3559" s="10"/>
      <c r="I3559" s="436" t="s">
        <v>8094</v>
      </c>
      <c r="J3559" s="26" t="s">
        <v>8093</v>
      </c>
      <c r="K3559" s="10">
        <v>1.1000000000000001E-2</v>
      </c>
      <c r="L3559" s="73">
        <f>IF(Tank1!$C$23="No control",(SUMIF(Tank1!$B$32:$B$49,$J3559,Tank1!$C$32:$C$49)*Impacts!$F$8),0)</f>
        <v>0</v>
      </c>
      <c r="M3559" s="10">
        <f>IF(Tank2!$C$23="No control",(SUMIF(Tank2!$B$32:$B$49,$J3559,Tank2!$C$32:$C$49)*Impacts!$F$9),0)</f>
        <v>0</v>
      </c>
      <c r="N3559" s="10">
        <f>IF(Tank3!$C$23="No control",(SUMIF(Tank3!$B$32:$B$49,$J3559,Tank3!$C$32:$C$49)*Impacts!$F$10),0)</f>
        <v>0</v>
      </c>
      <c r="O3559" s="10">
        <f>IF(Tank4!$C$23="No control",(SUMIF(Tank4!$B$32:$B$49,$J3559,Tank4!$C$32:$C$49)*Impacts!$F$11),0)</f>
        <v>0</v>
      </c>
      <c r="P3559" s="10">
        <f>IF(Tank5!$C$23="No control",(SUMIF(Tank5!$B$32:$B$49,$J3559,Tank5!$C$32:$C$49)*Impacts!$F$12),0)</f>
        <v>0</v>
      </c>
      <c r="Q3559" s="10">
        <f>IFERROR(IF(('Loading-drum,tote'!$C$21)="No control",SUMIF(('Loading-drum,tote'!$B$31:$B$48),$J3559,('Loading-drum,tote'!$D$31:$D$48))*Impacts!$F$13,IF(('Loading-drum,tote'!$C$21)&lt;&gt;"No control",SUMIF(('Loading-drum,tote'!$B$31:$B$48),$J3559,('Loading-drum,tote'!$E$31:$E$48))*Impacts!$F$13,0)),0)</f>
        <v>0</v>
      </c>
      <c r="R3559" s="10">
        <f>IFERROR(IF(('Loading-truck'!$C$21)="No control",SUMIF(('Loading-truck'!$B$31:$B$48),$J3559,('Loading-truck'!$D$31:$D$48))*Impacts!$F$14,IF(('Loading-truck'!$C$21)&lt;&gt;"No control",SUMIF(('Loading-truck'!$B$31:$B$48),$J3559,('Loading-truck'!$E$31:$E$48))*Impacts!$F$14,0)),0)</f>
        <v>0</v>
      </c>
      <c r="S3559" s="10">
        <f>IFERROR(IF(('Loading-rail'!$C$21)="No control",SUMIF(('Loading-rail'!$B$31:$B$48),$J3559,('Loading-rail'!$D$31:$D$48))*Impacts!$F$15,IF(('Loading-rail'!$C$21)&lt;&gt;"No control",SUMIF(('Loading-rail'!$B$31:$B$48),$J3559,('Loading-rail'!$E$31:$E$48))*Impacts!$F$15,0)),0)</f>
        <v>0</v>
      </c>
      <c r="T3559" s="10">
        <f>IF(Flare!$C$7="",0,(SUMIF(Flare!$B$46:$B$185,$J3559,Flare!$E$46:$E$185)*Impacts!$F$16))</f>
        <v>0</v>
      </c>
      <c r="U3559" s="10">
        <f>IF(VCU!$C$9="",0,(SUMIF(VCU!$B$51:$B$193,$J3559,VCU!$E$51:$E$193)*Impacts!$F$17))</f>
        <v>0</v>
      </c>
      <c r="V3559" s="10">
        <f>IF(CAS!$C$7="",0,(SUMIF(CAS!$B$31:$B$167,$J3559,CAS!$E$31:$E$167)*Impacts!$F$18))</f>
        <v>0</v>
      </c>
      <c r="W3559" s="10">
        <f t="shared" si="96"/>
        <v>0</v>
      </c>
      <c r="AK3559" s="10" t="str">
        <f t="array" ref="AK3559">IFERROR(INDEX(SelectedSpecies,SMALL(IF(SelectedSpecies=AK$1,ROW(SelectedSpecies)),ROW(3560:3560)),2),"")</f>
        <v/>
      </c>
      <c r="BE3559" s="10"/>
      <c r="BI3559" s="10"/>
    </row>
    <row r="3560" spans="1:61" ht="21" customHeight="1" x14ac:dyDescent="0.25">
      <c r="A3560" s="10"/>
      <c r="B3560" s="10"/>
      <c r="E3560" s="10"/>
      <c r="G3560" s="10"/>
      <c r="I3560" s="436" t="s">
        <v>4847</v>
      </c>
      <c r="J3560" s="26" t="s">
        <v>4846</v>
      </c>
      <c r="K3560" s="10">
        <v>2.9000000000000004</v>
      </c>
      <c r="L3560" s="73">
        <f>IF(Tank1!$C$23="No control",(SUMIF(Tank1!$B$32:$B$49,$J3560,Tank1!$C$32:$C$49)*Impacts!$F$8),0)</f>
        <v>0</v>
      </c>
      <c r="M3560" s="10">
        <f>IF(Tank2!$C$23="No control",(SUMIF(Tank2!$B$32:$B$49,$J3560,Tank2!$C$32:$C$49)*Impacts!$F$9),0)</f>
        <v>0</v>
      </c>
      <c r="N3560" s="10">
        <f>IF(Tank3!$C$23="No control",(SUMIF(Tank3!$B$32:$B$49,$J3560,Tank3!$C$32:$C$49)*Impacts!$F$10),0)</f>
        <v>0</v>
      </c>
      <c r="O3560" s="10">
        <f>IF(Tank4!$C$23="No control",(SUMIF(Tank4!$B$32:$B$49,$J3560,Tank4!$C$32:$C$49)*Impacts!$F$11),0)</f>
        <v>0</v>
      </c>
      <c r="P3560" s="10">
        <f>IF(Tank5!$C$23="No control",(SUMIF(Tank5!$B$32:$B$49,$J3560,Tank5!$C$32:$C$49)*Impacts!$F$12),0)</f>
        <v>0</v>
      </c>
      <c r="Q3560" s="10">
        <f>IFERROR(IF(('Loading-drum,tote'!$C$21)="No control",SUMIF(('Loading-drum,tote'!$B$31:$B$48),$J3560,('Loading-drum,tote'!$D$31:$D$48))*Impacts!$F$13,IF(('Loading-drum,tote'!$C$21)&lt;&gt;"No control",SUMIF(('Loading-drum,tote'!$B$31:$B$48),$J3560,('Loading-drum,tote'!$E$31:$E$48))*Impacts!$F$13,0)),0)</f>
        <v>0</v>
      </c>
      <c r="R3560" s="10">
        <f>IFERROR(IF(('Loading-truck'!$C$21)="No control",SUMIF(('Loading-truck'!$B$31:$B$48),$J3560,('Loading-truck'!$D$31:$D$48))*Impacts!$F$14,IF(('Loading-truck'!$C$21)&lt;&gt;"No control",SUMIF(('Loading-truck'!$B$31:$B$48),$J3560,('Loading-truck'!$E$31:$E$48))*Impacts!$F$14,0)),0)</f>
        <v>0</v>
      </c>
      <c r="S3560" s="10">
        <f>IFERROR(IF(('Loading-rail'!$C$21)="No control",SUMIF(('Loading-rail'!$B$31:$B$48),$J3560,('Loading-rail'!$D$31:$D$48))*Impacts!$F$15,IF(('Loading-rail'!$C$21)&lt;&gt;"No control",SUMIF(('Loading-rail'!$B$31:$B$48),$J3560,('Loading-rail'!$E$31:$E$48))*Impacts!$F$15,0)),0)</f>
        <v>0</v>
      </c>
      <c r="T3560" s="10">
        <f>IF(Flare!$C$7="",0,(SUMIF(Flare!$B$46:$B$185,$J3560,Flare!$E$46:$E$185)*Impacts!$F$16))</f>
        <v>0</v>
      </c>
      <c r="U3560" s="10">
        <f>IF(VCU!$C$9="",0,(SUMIF(VCU!$B$51:$B$193,$J3560,VCU!$E$51:$E$193)*Impacts!$F$17))</f>
        <v>0</v>
      </c>
      <c r="V3560" s="10">
        <f>IF(CAS!$C$7="",0,(SUMIF(CAS!$B$31:$B$167,$J3560,CAS!$E$31:$E$167)*Impacts!$F$18))</f>
        <v>0</v>
      </c>
      <c r="W3560" s="10">
        <f t="shared" si="96"/>
        <v>0</v>
      </c>
      <c r="AK3560" s="10" t="str">
        <f t="array" ref="AK3560">IFERROR(INDEX(SelectedSpecies,SMALL(IF(SelectedSpecies=AK$1,ROW(SelectedSpecies)),ROW(3561:3561)),2),"")</f>
        <v/>
      </c>
      <c r="BE3560" s="10"/>
      <c r="BI3560" s="10"/>
    </row>
    <row r="3561" spans="1:61" ht="21" customHeight="1" x14ac:dyDescent="0.25">
      <c r="A3561" s="10"/>
      <c r="B3561" s="10"/>
      <c r="E3561" s="10"/>
      <c r="G3561" s="10"/>
      <c r="I3561" s="436" t="s">
        <v>7878</v>
      </c>
      <c r="J3561" s="26" t="s">
        <v>7877</v>
      </c>
      <c r="K3561" s="10">
        <v>0.06</v>
      </c>
      <c r="L3561" s="73">
        <f>IF(Tank1!$C$23="No control",(SUMIF(Tank1!$B$32:$B$49,$J3561,Tank1!$C$32:$C$49)*Impacts!$F$8),0)</f>
        <v>0</v>
      </c>
      <c r="M3561" s="10">
        <f>IF(Tank2!$C$23="No control",(SUMIF(Tank2!$B$32:$B$49,$J3561,Tank2!$C$32:$C$49)*Impacts!$F$9),0)</f>
        <v>0</v>
      </c>
      <c r="N3561" s="10">
        <f>IF(Tank3!$C$23="No control",(SUMIF(Tank3!$B$32:$B$49,$J3561,Tank3!$C$32:$C$49)*Impacts!$F$10),0)</f>
        <v>0</v>
      </c>
      <c r="O3561" s="10">
        <f>IF(Tank4!$C$23="No control",(SUMIF(Tank4!$B$32:$B$49,$J3561,Tank4!$C$32:$C$49)*Impacts!$F$11),0)</f>
        <v>0</v>
      </c>
      <c r="P3561" s="10">
        <f>IF(Tank5!$C$23="No control",(SUMIF(Tank5!$B$32:$B$49,$J3561,Tank5!$C$32:$C$49)*Impacts!$F$12),0)</f>
        <v>0</v>
      </c>
      <c r="Q3561" s="10">
        <f>IFERROR(IF(('Loading-drum,tote'!$C$21)="No control",SUMIF(('Loading-drum,tote'!$B$31:$B$48),$J3561,('Loading-drum,tote'!$D$31:$D$48))*Impacts!$F$13,IF(('Loading-drum,tote'!$C$21)&lt;&gt;"No control",SUMIF(('Loading-drum,tote'!$B$31:$B$48),$J3561,('Loading-drum,tote'!$E$31:$E$48))*Impacts!$F$13,0)),0)</f>
        <v>0</v>
      </c>
      <c r="R3561" s="10">
        <f>IFERROR(IF(('Loading-truck'!$C$21)="No control",SUMIF(('Loading-truck'!$B$31:$B$48),$J3561,('Loading-truck'!$D$31:$D$48))*Impacts!$F$14,IF(('Loading-truck'!$C$21)&lt;&gt;"No control",SUMIF(('Loading-truck'!$B$31:$B$48),$J3561,('Loading-truck'!$E$31:$E$48))*Impacts!$F$14,0)),0)</f>
        <v>0</v>
      </c>
      <c r="S3561" s="10">
        <f>IFERROR(IF(('Loading-rail'!$C$21)="No control",SUMIF(('Loading-rail'!$B$31:$B$48),$J3561,('Loading-rail'!$D$31:$D$48))*Impacts!$F$15,IF(('Loading-rail'!$C$21)&lt;&gt;"No control",SUMIF(('Loading-rail'!$B$31:$B$48),$J3561,('Loading-rail'!$E$31:$E$48))*Impacts!$F$15,0)),0)</f>
        <v>0</v>
      </c>
      <c r="T3561" s="10">
        <f>IF(Flare!$C$7="",0,(SUMIF(Flare!$B$46:$B$185,$J3561,Flare!$E$46:$E$185)*Impacts!$F$16))</f>
        <v>0</v>
      </c>
      <c r="U3561" s="10">
        <f>IF(VCU!$C$9="",0,(SUMIF(VCU!$B$51:$B$193,$J3561,VCU!$E$51:$E$193)*Impacts!$F$17))</f>
        <v>0</v>
      </c>
      <c r="V3561" s="10">
        <f>IF(CAS!$C$7="",0,(SUMIF(CAS!$B$31:$B$167,$J3561,CAS!$E$31:$E$167)*Impacts!$F$18))</f>
        <v>0</v>
      </c>
      <c r="W3561" s="10">
        <f t="shared" si="96"/>
        <v>0</v>
      </c>
      <c r="AK3561" s="10" t="str">
        <f t="array" ref="AK3561">IFERROR(INDEX(SelectedSpecies,SMALL(IF(SelectedSpecies=AK$1,ROW(SelectedSpecies)),ROW(3562:3562)),2),"")</f>
        <v/>
      </c>
      <c r="BE3561" s="10"/>
      <c r="BI3561" s="10"/>
    </row>
    <row r="3562" spans="1:61" ht="21" customHeight="1" x14ac:dyDescent="0.25">
      <c r="A3562" s="10"/>
      <c r="B3562" s="10"/>
      <c r="E3562" s="10"/>
      <c r="G3562" s="10"/>
      <c r="I3562" s="436" t="s">
        <v>6412</v>
      </c>
      <c r="J3562" s="26" t="s">
        <v>6411</v>
      </c>
      <c r="K3562" s="10">
        <v>0.81</v>
      </c>
      <c r="L3562" s="73">
        <f>IF(Tank1!$C$23="No control",(SUMIF(Tank1!$B$32:$B$49,$J3562,Tank1!$C$32:$C$49)*Impacts!$F$8),0)</f>
        <v>0</v>
      </c>
      <c r="M3562" s="10">
        <f>IF(Tank2!$C$23="No control",(SUMIF(Tank2!$B$32:$B$49,$J3562,Tank2!$C$32:$C$49)*Impacts!$F$9),0)</f>
        <v>0</v>
      </c>
      <c r="N3562" s="10">
        <f>IF(Tank3!$C$23="No control",(SUMIF(Tank3!$B$32:$B$49,$J3562,Tank3!$C$32:$C$49)*Impacts!$F$10),0)</f>
        <v>0</v>
      </c>
      <c r="O3562" s="10">
        <f>IF(Tank4!$C$23="No control",(SUMIF(Tank4!$B$32:$B$49,$J3562,Tank4!$C$32:$C$49)*Impacts!$F$11),0)</f>
        <v>0</v>
      </c>
      <c r="P3562" s="10">
        <f>IF(Tank5!$C$23="No control",(SUMIF(Tank5!$B$32:$B$49,$J3562,Tank5!$C$32:$C$49)*Impacts!$F$12),0)</f>
        <v>0</v>
      </c>
      <c r="Q3562" s="10">
        <f>IFERROR(IF(('Loading-drum,tote'!$C$21)="No control",SUMIF(('Loading-drum,tote'!$B$31:$B$48),$J3562,('Loading-drum,tote'!$D$31:$D$48))*Impacts!$F$13,IF(('Loading-drum,tote'!$C$21)&lt;&gt;"No control",SUMIF(('Loading-drum,tote'!$B$31:$B$48),$J3562,('Loading-drum,tote'!$E$31:$E$48))*Impacts!$F$13,0)),0)</f>
        <v>0</v>
      </c>
      <c r="R3562" s="10">
        <f>IFERROR(IF(('Loading-truck'!$C$21)="No control",SUMIF(('Loading-truck'!$B$31:$B$48),$J3562,('Loading-truck'!$D$31:$D$48))*Impacts!$F$14,IF(('Loading-truck'!$C$21)&lt;&gt;"No control",SUMIF(('Loading-truck'!$B$31:$B$48),$J3562,('Loading-truck'!$E$31:$E$48))*Impacts!$F$14,0)),0)</f>
        <v>0</v>
      </c>
      <c r="S3562" s="10">
        <f>IFERROR(IF(('Loading-rail'!$C$21)="No control",SUMIF(('Loading-rail'!$B$31:$B$48),$J3562,('Loading-rail'!$D$31:$D$48))*Impacts!$F$15,IF(('Loading-rail'!$C$21)&lt;&gt;"No control",SUMIF(('Loading-rail'!$B$31:$B$48),$J3562,('Loading-rail'!$E$31:$E$48))*Impacts!$F$15,0)),0)</f>
        <v>0</v>
      </c>
      <c r="T3562" s="10">
        <f>IF(Flare!$C$7="",0,(SUMIF(Flare!$B$46:$B$185,$J3562,Flare!$E$46:$E$185)*Impacts!$F$16))</f>
        <v>0</v>
      </c>
      <c r="U3562" s="10">
        <f>IF(VCU!$C$9="",0,(SUMIF(VCU!$B$51:$B$193,$J3562,VCU!$E$51:$E$193)*Impacts!$F$17))</f>
        <v>0</v>
      </c>
      <c r="V3562" s="10">
        <f>IF(CAS!$C$7="",0,(SUMIF(CAS!$B$31:$B$167,$J3562,CAS!$E$31:$E$167)*Impacts!$F$18))</f>
        <v>0</v>
      </c>
      <c r="W3562" s="10">
        <f t="shared" si="96"/>
        <v>0</v>
      </c>
      <c r="AK3562" s="10" t="str">
        <f t="array" ref="AK3562">IFERROR(INDEX(SelectedSpecies,SMALL(IF(SelectedSpecies=AK$1,ROW(SelectedSpecies)),ROW(3563:3563)),2),"")</f>
        <v/>
      </c>
      <c r="BE3562" s="10"/>
      <c r="BI3562" s="10"/>
    </row>
    <row r="3563" spans="1:61" ht="21" customHeight="1" x14ac:dyDescent="0.25">
      <c r="A3563" s="10"/>
      <c r="B3563" s="10"/>
      <c r="E3563" s="10"/>
      <c r="G3563" s="10"/>
      <c r="I3563" s="436" t="s">
        <v>6412</v>
      </c>
      <c r="J3563" s="26" t="s">
        <v>10417</v>
      </c>
      <c r="K3563" s="10">
        <v>5.6999999999999995E-2</v>
      </c>
      <c r="L3563" s="73">
        <f>IF(Tank1!$C$23="No control",(SUMIF(Tank1!$B$32:$B$49,$J3563,Tank1!$C$32:$C$49)*Impacts!$F$8),0)</f>
        <v>0</v>
      </c>
      <c r="M3563" s="10">
        <f>IF(Tank2!$C$23="No control",(SUMIF(Tank2!$B$32:$B$49,$J3563,Tank2!$C$32:$C$49)*Impacts!$F$9),0)</f>
        <v>0</v>
      </c>
      <c r="N3563" s="10">
        <f>IF(Tank3!$C$23="No control",(SUMIF(Tank3!$B$32:$B$49,$J3563,Tank3!$C$32:$C$49)*Impacts!$F$10),0)</f>
        <v>0</v>
      </c>
      <c r="O3563" s="10">
        <f>IF(Tank4!$C$23="No control",(SUMIF(Tank4!$B$32:$B$49,$J3563,Tank4!$C$32:$C$49)*Impacts!$F$11),0)</f>
        <v>0</v>
      </c>
      <c r="P3563" s="10">
        <f>IF(Tank5!$C$23="No control",(SUMIF(Tank5!$B$32:$B$49,$J3563,Tank5!$C$32:$C$49)*Impacts!$F$12),0)</f>
        <v>0</v>
      </c>
      <c r="Q3563" s="10">
        <f>IFERROR(IF(('Loading-drum,tote'!$C$21)="No control",SUMIF(('Loading-drum,tote'!$B$31:$B$48),$J3563,('Loading-drum,tote'!$D$31:$D$48))*Impacts!$F$13,IF(('Loading-drum,tote'!$C$21)&lt;&gt;"No control",SUMIF(('Loading-drum,tote'!$B$31:$B$48),$J3563,('Loading-drum,tote'!$E$31:$E$48))*Impacts!$F$13,0)),0)</f>
        <v>0</v>
      </c>
      <c r="R3563" s="10">
        <f>IFERROR(IF(('Loading-truck'!$C$21)="No control",SUMIF(('Loading-truck'!$B$31:$B$48),$J3563,('Loading-truck'!$D$31:$D$48))*Impacts!$F$14,IF(('Loading-truck'!$C$21)&lt;&gt;"No control",SUMIF(('Loading-truck'!$B$31:$B$48),$J3563,('Loading-truck'!$E$31:$E$48))*Impacts!$F$14,0)),0)</f>
        <v>0</v>
      </c>
      <c r="S3563" s="10">
        <f>IFERROR(IF(('Loading-rail'!$C$21)="No control",SUMIF(('Loading-rail'!$B$31:$B$48),$J3563,('Loading-rail'!$D$31:$D$48))*Impacts!$F$15,IF(('Loading-rail'!$C$21)&lt;&gt;"No control",SUMIF(('Loading-rail'!$B$31:$B$48),$J3563,('Loading-rail'!$E$31:$E$48))*Impacts!$F$15,0)),0)</f>
        <v>0</v>
      </c>
      <c r="T3563" s="10">
        <f>IF(Flare!$C$7="",0,(SUMIF(Flare!$B$46:$B$185,$J3563,Flare!$E$46:$E$185)*Impacts!$F$16))</f>
        <v>0</v>
      </c>
      <c r="U3563" s="10">
        <f>IF(VCU!$C$9="",0,(SUMIF(VCU!$B$51:$B$193,$J3563,VCU!$E$51:$E$193)*Impacts!$F$17))</f>
        <v>0</v>
      </c>
      <c r="V3563" s="10">
        <f>IF(CAS!$C$7="",0,(SUMIF(CAS!$B$31:$B$167,$J3563,CAS!$E$31:$E$167)*Impacts!$F$18))</f>
        <v>0</v>
      </c>
      <c r="W3563" s="10">
        <f t="shared" si="96"/>
        <v>0</v>
      </c>
      <c r="AK3563" s="10" t="str">
        <f t="array" ref="AK3563">IFERROR(INDEX(SelectedSpecies,SMALL(IF(SelectedSpecies=AK$1,ROW(SelectedSpecies)),ROW(3564:3564)),2),"")</f>
        <v/>
      </c>
      <c r="BE3563" s="10"/>
      <c r="BI3563" s="10"/>
    </row>
    <row r="3564" spans="1:61" ht="21" customHeight="1" x14ac:dyDescent="0.25">
      <c r="A3564" s="10"/>
      <c r="B3564" s="10"/>
      <c r="E3564" s="10"/>
      <c r="G3564" s="10"/>
      <c r="I3564" s="436" t="s">
        <v>6412</v>
      </c>
      <c r="J3564" s="26" t="s">
        <v>10418</v>
      </c>
      <c r="K3564" s="10">
        <v>7.0999999999999994E-2</v>
      </c>
      <c r="L3564" s="73">
        <f>IF(Tank1!$C$23="No control",(SUMIF(Tank1!$B$32:$B$49,$J3564,Tank1!$C$32:$C$49)*Impacts!$F$8),0)</f>
        <v>0</v>
      </c>
      <c r="M3564" s="10">
        <f>IF(Tank2!$C$23="No control",(SUMIF(Tank2!$B$32:$B$49,$J3564,Tank2!$C$32:$C$49)*Impacts!$F$9),0)</f>
        <v>0</v>
      </c>
      <c r="N3564" s="10">
        <f>IF(Tank3!$C$23="No control",(SUMIF(Tank3!$B$32:$B$49,$J3564,Tank3!$C$32:$C$49)*Impacts!$F$10),0)</f>
        <v>0</v>
      </c>
      <c r="O3564" s="10">
        <f>IF(Tank4!$C$23="No control",(SUMIF(Tank4!$B$32:$B$49,$J3564,Tank4!$C$32:$C$49)*Impacts!$F$11),0)</f>
        <v>0</v>
      </c>
      <c r="P3564" s="10">
        <f>IF(Tank5!$C$23="No control",(SUMIF(Tank5!$B$32:$B$49,$J3564,Tank5!$C$32:$C$49)*Impacts!$F$12),0)</f>
        <v>0</v>
      </c>
      <c r="Q3564" s="10">
        <f>IFERROR(IF(('Loading-drum,tote'!$C$21)="No control",SUMIF(('Loading-drum,tote'!$B$31:$B$48),$J3564,('Loading-drum,tote'!$D$31:$D$48))*Impacts!$F$13,IF(('Loading-drum,tote'!$C$21)&lt;&gt;"No control",SUMIF(('Loading-drum,tote'!$B$31:$B$48),$J3564,('Loading-drum,tote'!$E$31:$E$48))*Impacts!$F$13,0)),0)</f>
        <v>0</v>
      </c>
      <c r="R3564" s="10">
        <f>IFERROR(IF(('Loading-truck'!$C$21)="No control",SUMIF(('Loading-truck'!$B$31:$B$48),$J3564,('Loading-truck'!$D$31:$D$48))*Impacts!$F$14,IF(('Loading-truck'!$C$21)&lt;&gt;"No control",SUMIF(('Loading-truck'!$B$31:$B$48),$J3564,('Loading-truck'!$E$31:$E$48))*Impacts!$F$14,0)),0)</f>
        <v>0</v>
      </c>
      <c r="S3564" s="10">
        <f>IFERROR(IF(('Loading-rail'!$C$21)="No control",SUMIF(('Loading-rail'!$B$31:$B$48),$J3564,('Loading-rail'!$D$31:$D$48))*Impacts!$F$15,IF(('Loading-rail'!$C$21)&lt;&gt;"No control",SUMIF(('Loading-rail'!$B$31:$B$48),$J3564,('Loading-rail'!$E$31:$E$48))*Impacts!$F$15,0)),0)</f>
        <v>0</v>
      </c>
      <c r="T3564" s="10">
        <f>IF(Flare!$C$7="",0,(SUMIF(Flare!$B$46:$B$185,$J3564,Flare!$E$46:$E$185)*Impacts!$F$16))</f>
        <v>0</v>
      </c>
      <c r="U3564" s="10">
        <f>IF(VCU!$C$9="",0,(SUMIF(VCU!$B$51:$B$193,$J3564,VCU!$E$51:$E$193)*Impacts!$F$17))</f>
        <v>0</v>
      </c>
      <c r="V3564" s="10">
        <f>IF(CAS!$C$7="",0,(SUMIF(CAS!$B$31:$B$167,$J3564,CAS!$E$31:$E$167)*Impacts!$F$18))</f>
        <v>0</v>
      </c>
      <c r="W3564" s="10">
        <f t="shared" si="96"/>
        <v>0</v>
      </c>
      <c r="AK3564" s="10" t="str">
        <f t="array" ref="AK3564">IFERROR(INDEX(SelectedSpecies,SMALL(IF(SelectedSpecies=AK$1,ROW(SelectedSpecies)),ROW(3565:3565)),2),"")</f>
        <v/>
      </c>
      <c r="BE3564" s="10"/>
      <c r="BI3564" s="10"/>
    </row>
    <row r="3565" spans="1:61" ht="21" customHeight="1" x14ac:dyDescent="0.25">
      <c r="A3565" s="10"/>
      <c r="B3565" s="10"/>
      <c r="E3565" s="10"/>
      <c r="G3565" s="10"/>
      <c r="I3565" s="436" t="s">
        <v>6414</v>
      </c>
      <c r="J3565" s="26" t="s">
        <v>6413</v>
      </c>
      <c r="K3565" s="10">
        <v>0.81</v>
      </c>
      <c r="L3565" s="73">
        <f>IF(Tank1!$C$23="No control",(SUMIF(Tank1!$B$32:$B$49,$J3565,Tank1!$C$32:$C$49)*Impacts!$F$8),0)</f>
        <v>0</v>
      </c>
      <c r="M3565" s="10">
        <f>IF(Tank2!$C$23="No control",(SUMIF(Tank2!$B$32:$B$49,$J3565,Tank2!$C$32:$C$49)*Impacts!$F$9),0)</f>
        <v>0</v>
      </c>
      <c r="N3565" s="10">
        <f>IF(Tank3!$C$23="No control",(SUMIF(Tank3!$B$32:$B$49,$J3565,Tank3!$C$32:$C$49)*Impacts!$F$10),0)</f>
        <v>0</v>
      </c>
      <c r="O3565" s="10">
        <f>IF(Tank4!$C$23="No control",(SUMIF(Tank4!$B$32:$B$49,$J3565,Tank4!$C$32:$C$49)*Impacts!$F$11),0)</f>
        <v>0</v>
      </c>
      <c r="P3565" s="10">
        <f>IF(Tank5!$C$23="No control",(SUMIF(Tank5!$B$32:$B$49,$J3565,Tank5!$C$32:$C$49)*Impacts!$F$12),0)</f>
        <v>0</v>
      </c>
      <c r="Q3565" s="10">
        <f>IFERROR(IF(('Loading-drum,tote'!$C$21)="No control",SUMIF(('Loading-drum,tote'!$B$31:$B$48),$J3565,('Loading-drum,tote'!$D$31:$D$48))*Impacts!$F$13,IF(('Loading-drum,tote'!$C$21)&lt;&gt;"No control",SUMIF(('Loading-drum,tote'!$B$31:$B$48),$J3565,('Loading-drum,tote'!$E$31:$E$48))*Impacts!$F$13,0)),0)</f>
        <v>0</v>
      </c>
      <c r="R3565" s="10">
        <f>IFERROR(IF(('Loading-truck'!$C$21)="No control",SUMIF(('Loading-truck'!$B$31:$B$48),$J3565,('Loading-truck'!$D$31:$D$48))*Impacts!$F$14,IF(('Loading-truck'!$C$21)&lt;&gt;"No control",SUMIF(('Loading-truck'!$B$31:$B$48),$J3565,('Loading-truck'!$E$31:$E$48))*Impacts!$F$14,0)),0)</f>
        <v>0</v>
      </c>
      <c r="S3565" s="10">
        <f>IFERROR(IF(('Loading-rail'!$C$21)="No control",SUMIF(('Loading-rail'!$B$31:$B$48),$J3565,('Loading-rail'!$D$31:$D$48))*Impacts!$F$15,IF(('Loading-rail'!$C$21)&lt;&gt;"No control",SUMIF(('Loading-rail'!$B$31:$B$48),$J3565,('Loading-rail'!$E$31:$E$48))*Impacts!$F$15,0)),0)</f>
        <v>0</v>
      </c>
      <c r="T3565" s="10">
        <f>IF(Flare!$C$7="",0,(SUMIF(Flare!$B$46:$B$185,$J3565,Flare!$E$46:$E$185)*Impacts!$F$16))</f>
        <v>0</v>
      </c>
      <c r="U3565" s="10">
        <f>IF(VCU!$C$9="",0,(SUMIF(VCU!$B$51:$B$193,$J3565,VCU!$E$51:$E$193)*Impacts!$F$17))</f>
        <v>0</v>
      </c>
      <c r="V3565" s="10">
        <f>IF(CAS!$C$7="",0,(SUMIF(CAS!$B$31:$B$167,$J3565,CAS!$E$31:$E$167)*Impacts!$F$18))</f>
        <v>0</v>
      </c>
      <c r="W3565" s="10">
        <f t="shared" si="96"/>
        <v>0</v>
      </c>
      <c r="AK3565" s="10" t="str">
        <f t="array" ref="AK3565">IFERROR(INDEX(SelectedSpecies,SMALL(IF(SelectedSpecies=AK$1,ROW(SelectedSpecies)),ROW(3566:3566)),2),"")</f>
        <v/>
      </c>
      <c r="BE3565" s="10"/>
      <c r="BI3565" s="10"/>
    </row>
    <row r="3566" spans="1:61" ht="21" customHeight="1" x14ac:dyDescent="0.25">
      <c r="A3566" s="10"/>
      <c r="B3566" s="10"/>
      <c r="E3566" s="10"/>
      <c r="G3566" s="10"/>
      <c r="I3566" s="436" t="s">
        <v>6414</v>
      </c>
      <c r="J3566" s="26" t="s">
        <v>10419</v>
      </c>
      <c r="K3566" s="10">
        <v>5.6999999999999995E-2</v>
      </c>
      <c r="L3566" s="73">
        <f>IF(Tank1!$C$23="No control",(SUMIF(Tank1!$B$32:$B$49,$J3566,Tank1!$C$32:$C$49)*Impacts!$F$8),0)</f>
        <v>0</v>
      </c>
      <c r="M3566" s="10">
        <f>IF(Tank2!$C$23="No control",(SUMIF(Tank2!$B$32:$B$49,$J3566,Tank2!$C$32:$C$49)*Impacts!$F$9),0)</f>
        <v>0</v>
      </c>
      <c r="N3566" s="10">
        <f>IF(Tank3!$C$23="No control",(SUMIF(Tank3!$B$32:$B$49,$J3566,Tank3!$C$32:$C$49)*Impacts!$F$10),0)</f>
        <v>0</v>
      </c>
      <c r="O3566" s="10">
        <f>IF(Tank4!$C$23="No control",(SUMIF(Tank4!$B$32:$B$49,$J3566,Tank4!$C$32:$C$49)*Impacts!$F$11),0)</f>
        <v>0</v>
      </c>
      <c r="P3566" s="10">
        <f>IF(Tank5!$C$23="No control",(SUMIF(Tank5!$B$32:$B$49,$J3566,Tank5!$C$32:$C$49)*Impacts!$F$12),0)</f>
        <v>0</v>
      </c>
      <c r="Q3566" s="10">
        <f>IFERROR(IF(('Loading-drum,tote'!$C$21)="No control",SUMIF(('Loading-drum,tote'!$B$31:$B$48),$J3566,('Loading-drum,tote'!$D$31:$D$48))*Impacts!$F$13,IF(('Loading-drum,tote'!$C$21)&lt;&gt;"No control",SUMIF(('Loading-drum,tote'!$B$31:$B$48),$J3566,('Loading-drum,tote'!$E$31:$E$48))*Impacts!$F$13,0)),0)</f>
        <v>0</v>
      </c>
      <c r="R3566" s="10">
        <f>IFERROR(IF(('Loading-truck'!$C$21)="No control",SUMIF(('Loading-truck'!$B$31:$B$48),$J3566,('Loading-truck'!$D$31:$D$48))*Impacts!$F$14,IF(('Loading-truck'!$C$21)&lt;&gt;"No control",SUMIF(('Loading-truck'!$B$31:$B$48),$J3566,('Loading-truck'!$E$31:$E$48))*Impacts!$F$14,0)),0)</f>
        <v>0</v>
      </c>
      <c r="S3566" s="10">
        <f>IFERROR(IF(('Loading-rail'!$C$21)="No control",SUMIF(('Loading-rail'!$B$31:$B$48),$J3566,('Loading-rail'!$D$31:$D$48))*Impacts!$F$15,IF(('Loading-rail'!$C$21)&lt;&gt;"No control",SUMIF(('Loading-rail'!$B$31:$B$48),$J3566,('Loading-rail'!$E$31:$E$48))*Impacts!$F$15,0)),0)</f>
        <v>0</v>
      </c>
      <c r="T3566" s="10">
        <f>IF(Flare!$C$7="",0,(SUMIF(Flare!$B$46:$B$185,$J3566,Flare!$E$46:$E$185)*Impacts!$F$16))</f>
        <v>0</v>
      </c>
      <c r="U3566" s="10">
        <f>IF(VCU!$C$9="",0,(SUMIF(VCU!$B$51:$B$193,$J3566,VCU!$E$51:$E$193)*Impacts!$F$17))</f>
        <v>0</v>
      </c>
      <c r="V3566" s="10">
        <f>IF(CAS!$C$7="",0,(SUMIF(CAS!$B$31:$B$167,$J3566,CAS!$E$31:$E$167)*Impacts!$F$18))</f>
        <v>0</v>
      </c>
      <c r="W3566" s="10">
        <f t="shared" si="96"/>
        <v>0</v>
      </c>
      <c r="AK3566" s="10" t="str">
        <f t="array" ref="AK3566">IFERROR(INDEX(SelectedSpecies,SMALL(IF(SelectedSpecies=AK$1,ROW(SelectedSpecies)),ROW(3567:3567)),2),"")</f>
        <v/>
      </c>
      <c r="BE3566" s="10"/>
      <c r="BI3566" s="10"/>
    </row>
    <row r="3567" spans="1:61" ht="21" customHeight="1" x14ac:dyDescent="0.25">
      <c r="A3567" s="10"/>
      <c r="B3567" s="10"/>
      <c r="E3567" s="10"/>
      <c r="G3567" s="10"/>
      <c r="I3567" s="436" t="s">
        <v>6414</v>
      </c>
      <c r="J3567" s="26" t="s">
        <v>10420</v>
      </c>
      <c r="K3567" s="10">
        <v>7.0999999999999994E-2</v>
      </c>
      <c r="L3567" s="73">
        <f>IF(Tank1!$C$23="No control",(SUMIF(Tank1!$B$32:$B$49,$J3567,Tank1!$C$32:$C$49)*Impacts!$F$8),0)</f>
        <v>0</v>
      </c>
      <c r="M3567" s="10">
        <f>IF(Tank2!$C$23="No control",(SUMIF(Tank2!$B$32:$B$49,$J3567,Tank2!$C$32:$C$49)*Impacts!$F$9),0)</f>
        <v>0</v>
      </c>
      <c r="N3567" s="10">
        <f>IF(Tank3!$C$23="No control",(SUMIF(Tank3!$B$32:$B$49,$J3567,Tank3!$C$32:$C$49)*Impacts!$F$10),0)</f>
        <v>0</v>
      </c>
      <c r="O3567" s="10">
        <f>IF(Tank4!$C$23="No control",(SUMIF(Tank4!$B$32:$B$49,$J3567,Tank4!$C$32:$C$49)*Impacts!$F$11),0)</f>
        <v>0</v>
      </c>
      <c r="P3567" s="10">
        <f>IF(Tank5!$C$23="No control",(SUMIF(Tank5!$B$32:$B$49,$J3567,Tank5!$C$32:$C$49)*Impacts!$F$12),0)</f>
        <v>0</v>
      </c>
      <c r="Q3567" s="10">
        <f>IFERROR(IF(('Loading-drum,tote'!$C$21)="No control",SUMIF(('Loading-drum,tote'!$B$31:$B$48),$J3567,('Loading-drum,tote'!$D$31:$D$48))*Impacts!$F$13,IF(('Loading-drum,tote'!$C$21)&lt;&gt;"No control",SUMIF(('Loading-drum,tote'!$B$31:$B$48),$J3567,('Loading-drum,tote'!$E$31:$E$48))*Impacts!$F$13,0)),0)</f>
        <v>0</v>
      </c>
      <c r="R3567" s="10">
        <f>IFERROR(IF(('Loading-truck'!$C$21)="No control",SUMIF(('Loading-truck'!$B$31:$B$48),$J3567,('Loading-truck'!$D$31:$D$48))*Impacts!$F$14,IF(('Loading-truck'!$C$21)&lt;&gt;"No control",SUMIF(('Loading-truck'!$B$31:$B$48),$J3567,('Loading-truck'!$E$31:$E$48))*Impacts!$F$14,0)),0)</f>
        <v>0</v>
      </c>
      <c r="S3567" s="10">
        <f>IFERROR(IF(('Loading-rail'!$C$21)="No control",SUMIF(('Loading-rail'!$B$31:$B$48),$J3567,('Loading-rail'!$D$31:$D$48))*Impacts!$F$15,IF(('Loading-rail'!$C$21)&lt;&gt;"No control",SUMIF(('Loading-rail'!$B$31:$B$48),$J3567,('Loading-rail'!$E$31:$E$48))*Impacts!$F$15,0)),0)</f>
        <v>0</v>
      </c>
      <c r="T3567" s="10">
        <f>IF(Flare!$C$7="",0,(SUMIF(Flare!$B$46:$B$185,$J3567,Flare!$E$46:$E$185)*Impacts!$F$16))</f>
        <v>0</v>
      </c>
      <c r="U3567" s="10">
        <f>IF(VCU!$C$9="",0,(SUMIF(VCU!$B$51:$B$193,$J3567,VCU!$E$51:$E$193)*Impacts!$F$17))</f>
        <v>0</v>
      </c>
      <c r="V3567" s="10">
        <f>IF(CAS!$C$7="",0,(SUMIF(CAS!$B$31:$B$167,$J3567,CAS!$E$31:$E$167)*Impacts!$F$18))</f>
        <v>0</v>
      </c>
      <c r="W3567" s="10">
        <f t="shared" si="96"/>
        <v>0</v>
      </c>
      <c r="AK3567" s="10" t="str">
        <f t="array" ref="AK3567">IFERROR(INDEX(SelectedSpecies,SMALL(IF(SelectedSpecies=AK$1,ROW(SelectedSpecies)),ROW(3568:3568)),2),"")</f>
        <v/>
      </c>
      <c r="BE3567" s="10"/>
      <c r="BI3567" s="10"/>
    </row>
    <row r="3568" spans="1:61" ht="21" customHeight="1" x14ac:dyDescent="0.25">
      <c r="A3568" s="10"/>
      <c r="B3568" s="10"/>
      <c r="E3568" s="10"/>
      <c r="G3568" s="10"/>
      <c r="I3568" s="436" t="s">
        <v>8070</v>
      </c>
      <c r="J3568" s="26" t="s">
        <v>8069</v>
      </c>
      <c r="K3568" s="10">
        <v>2.0000000000000004E-2</v>
      </c>
      <c r="L3568" s="73">
        <f>IF(Tank1!$C$23="No control",(SUMIF(Tank1!$B$32:$B$49,$J3568,Tank1!$C$32:$C$49)*Impacts!$F$8),0)</f>
        <v>0</v>
      </c>
      <c r="M3568" s="10">
        <f>IF(Tank2!$C$23="No control",(SUMIF(Tank2!$B$32:$B$49,$J3568,Tank2!$C$32:$C$49)*Impacts!$F$9),0)</f>
        <v>0</v>
      </c>
      <c r="N3568" s="10">
        <f>IF(Tank3!$C$23="No control",(SUMIF(Tank3!$B$32:$B$49,$J3568,Tank3!$C$32:$C$49)*Impacts!$F$10),0)</f>
        <v>0</v>
      </c>
      <c r="O3568" s="10">
        <f>IF(Tank4!$C$23="No control",(SUMIF(Tank4!$B$32:$B$49,$J3568,Tank4!$C$32:$C$49)*Impacts!$F$11),0)</f>
        <v>0</v>
      </c>
      <c r="P3568" s="10">
        <f>IF(Tank5!$C$23="No control",(SUMIF(Tank5!$B$32:$B$49,$J3568,Tank5!$C$32:$C$49)*Impacts!$F$12),0)</f>
        <v>0</v>
      </c>
      <c r="Q3568" s="10">
        <f>IFERROR(IF(('Loading-drum,tote'!$C$21)="No control",SUMIF(('Loading-drum,tote'!$B$31:$B$48),$J3568,('Loading-drum,tote'!$D$31:$D$48))*Impacts!$F$13,IF(('Loading-drum,tote'!$C$21)&lt;&gt;"No control",SUMIF(('Loading-drum,tote'!$B$31:$B$48),$J3568,('Loading-drum,tote'!$E$31:$E$48))*Impacts!$F$13,0)),0)</f>
        <v>0</v>
      </c>
      <c r="R3568" s="10">
        <f>IFERROR(IF(('Loading-truck'!$C$21)="No control",SUMIF(('Loading-truck'!$B$31:$B$48),$J3568,('Loading-truck'!$D$31:$D$48))*Impacts!$F$14,IF(('Loading-truck'!$C$21)&lt;&gt;"No control",SUMIF(('Loading-truck'!$B$31:$B$48),$J3568,('Loading-truck'!$E$31:$E$48))*Impacts!$F$14,0)),0)</f>
        <v>0</v>
      </c>
      <c r="S3568" s="10">
        <f>IFERROR(IF(('Loading-rail'!$C$21)="No control",SUMIF(('Loading-rail'!$B$31:$B$48),$J3568,('Loading-rail'!$D$31:$D$48))*Impacts!$F$15,IF(('Loading-rail'!$C$21)&lt;&gt;"No control",SUMIF(('Loading-rail'!$B$31:$B$48),$J3568,('Loading-rail'!$E$31:$E$48))*Impacts!$F$15,0)),0)</f>
        <v>0</v>
      </c>
      <c r="T3568" s="10">
        <f>IF(Flare!$C$7="",0,(SUMIF(Flare!$B$46:$B$185,$J3568,Flare!$E$46:$E$185)*Impacts!$F$16))</f>
        <v>0</v>
      </c>
      <c r="U3568" s="10">
        <f>IF(VCU!$C$9="",0,(SUMIF(VCU!$B$51:$B$193,$J3568,VCU!$E$51:$E$193)*Impacts!$F$17))</f>
        <v>0</v>
      </c>
      <c r="V3568" s="10">
        <f>IF(CAS!$C$7="",0,(SUMIF(CAS!$B$31:$B$167,$J3568,CAS!$E$31:$E$167)*Impacts!$F$18))</f>
        <v>0</v>
      </c>
      <c r="W3568" s="10">
        <f t="shared" si="96"/>
        <v>0</v>
      </c>
      <c r="AK3568" s="10" t="str">
        <f t="array" ref="AK3568">IFERROR(INDEX(SelectedSpecies,SMALL(IF(SelectedSpecies=AK$1,ROW(SelectedSpecies)),ROW(3569:3569)),2),"")</f>
        <v/>
      </c>
      <c r="BE3568" s="10"/>
      <c r="BI3568" s="10"/>
    </row>
    <row r="3569" spans="1:61" ht="21" customHeight="1" x14ac:dyDescent="0.25">
      <c r="A3569" s="10"/>
      <c r="B3569" s="10"/>
      <c r="E3569" s="10"/>
      <c r="G3569" s="10"/>
      <c r="I3569" s="436" t="s">
        <v>2165</v>
      </c>
      <c r="J3569" s="26" t="s">
        <v>2164</v>
      </c>
      <c r="K3569" s="10">
        <v>15</v>
      </c>
      <c r="L3569" s="73">
        <f>IF(Tank1!$C$23="No control",(SUMIF(Tank1!$B$32:$B$49,$J3569,Tank1!$C$32:$C$49)*Impacts!$F$8),0)</f>
        <v>0</v>
      </c>
      <c r="M3569" s="10">
        <f>IF(Tank2!$C$23="No control",(SUMIF(Tank2!$B$32:$B$49,$J3569,Tank2!$C$32:$C$49)*Impacts!$F$9),0)</f>
        <v>0</v>
      </c>
      <c r="N3569" s="10">
        <f>IF(Tank3!$C$23="No control",(SUMIF(Tank3!$B$32:$B$49,$J3569,Tank3!$C$32:$C$49)*Impacts!$F$10),0)</f>
        <v>0</v>
      </c>
      <c r="O3569" s="10">
        <f>IF(Tank4!$C$23="No control",(SUMIF(Tank4!$B$32:$B$49,$J3569,Tank4!$C$32:$C$49)*Impacts!$F$11),0)</f>
        <v>0</v>
      </c>
      <c r="P3569" s="10">
        <f>IF(Tank5!$C$23="No control",(SUMIF(Tank5!$B$32:$B$49,$J3569,Tank5!$C$32:$C$49)*Impacts!$F$12),0)</f>
        <v>0</v>
      </c>
      <c r="Q3569" s="10">
        <f>IFERROR(IF(('Loading-drum,tote'!$C$21)="No control",SUMIF(('Loading-drum,tote'!$B$31:$B$48),$J3569,('Loading-drum,tote'!$D$31:$D$48))*Impacts!$F$13,IF(('Loading-drum,tote'!$C$21)&lt;&gt;"No control",SUMIF(('Loading-drum,tote'!$B$31:$B$48),$J3569,('Loading-drum,tote'!$E$31:$E$48))*Impacts!$F$13,0)),0)</f>
        <v>0</v>
      </c>
      <c r="R3569" s="10">
        <f>IFERROR(IF(('Loading-truck'!$C$21)="No control",SUMIF(('Loading-truck'!$B$31:$B$48),$J3569,('Loading-truck'!$D$31:$D$48))*Impacts!$F$14,IF(('Loading-truck'!$C$21)&lt;&gt;"No control",SUMIF(('Loading-truck'!$B$31:$B$48),$J3569,('Loading-truck'!$E$31:$E$48))*Impacts!$F$14,0)),0)</f>
        <v>0</v>
      </c>
      <c r="S3569" s="10">
        <f>IFERROR(IF(('Loading-rail'!$C$21)="No control",SUMIF(('Loading-rail'!$B$31:$B$48),$J3569,('Loading-rail'!$D$31:$D$48))*Impacts!$F$15,IF(('Loading-rail'!$C$21)&lt;&gt;"No control",SUMIF(('Loading-rail'!$B$31:$B$48),$J3569,('Loading-rail'!$E$31:$E$48))*Impacts!$F$15,0)),0)</f>
        <v>0</v>
      </c>
      <c r="T3569" s="10">
        <f>IF(Flare!$C$7="",0,(SUMIF(Flare!$B$46:$B$185,$J3569,Flare!$E$46:$E$185)*Impacts!$F$16))</f>
        <v>0</v>
      </c>
      <c r="U3569" s="10">
        <f>IF(VCU!$C$9="",0,(SUMIF(VCU!$B$51:$B$193,$J3569,VCU!$E$51:$E$193)*Impacts!$F$17))</f>
        <v>0</v>
      </c>
      <c r="V3569" s="10">
        <f>IF(CAS!$C$7="",0,(SUMIF(CAS!$B$31:$B$167,$J3569,CAS!$E$31:$E$167)*Impacts!$F$18))</f>
        <v>0</v>
      </c>
      <c r="W3569" s="10">
        <f t="shared" si="96"/>
        <v>0</v>
      </c>
      <c r="AK3569" s="10" t="str">
        <f t="array" ref="AK3569">IFERROR(INDEX(SelectedSpecies,SMALL(IF(SelectedSpecies=AK$1,ROW(SelectedSpecies)),ROW(3570:3570)),2),"")</f>
        <v/>
      </c>
      <c r="BE3569" s="10"/>
      <c r="BI3569" s="10"/>
    </row>
    <row r="3570" spans="1:61" ht="21" customHeight="1" x14ac:dyDescent="0.25">
      <c r="A3570" s="10"/>
      <c r="B3570" s="10"/>
      <c r="E3570" s="10"/>
      <c r="G3570" s="10"/>
      <c r="I3570" s="436" t="s">
        <v>8208</v>
      </c>
      <c r="J3570" s="26" t="s">
        <v>8207</v>
      </c>
      <c r="K3570" s="10">
        <v>1.0000000000000002E-2</v>
      </c>
      <c r="L3570" s="73">
        <f>IF(Tank1!$C$23="No control",(SUMIF(Tank1!$B$32:$B$49,$J3570,Tank1!$C$32:$C$49)*Impacts!$F$8),0)</f>
        <v>0</v>
      </c>
      <c r="M3570" s="10">
        <f>IF(Tank2!$C$23="No control",(SUMIF(Tank2!$B$32:$B$49,$J3570,Tank2!$C$32:$C$49)*Impacts!$F$9),0)</f>
        <v>0</v>
      </c>
      <c r="N3570" s="10">
        <f>IF(Tank3!$C$23="No control",(SUMIF(Tank3!$B$32:$B$49,$J3570,Tank3!$C$32:$C$49)*Impacts!$F$10),0)</f>
        <v>0</v>
      </c>
      <c r="O3570" s="10">
        <f>IF(Tank4!$C$23="No control",(SUMIF(Tank4!$B$32:$B$49,$J3570,Tank4!$C$32:$C$49)*Impacts!$F$11),0)</f>
        <v>0</v>
      </c>
      <c r="P3570" s="10">
        <f>IF(Tank5!$C$23="No control",(SUMIF(Tank5!$B$32:$B$49,$J3570,Tank5!$C$32:$C$49)*Impacts!$F$12),0)</f>
        <v>0</v>
      </c>
      <c r="Q3570" s="10">
        <f>IFERROR(IF(('Loading-drum,tote'!$C$21)="No control",SUMIF(('Loading-drum,tote'!$B$31:$B$48),$J3570,('Loading-drum,tote'!$D$31:$D$48))*Impacts!$F$13,IF(('Loading-drum,tote'!$C$21)&lt;&gt;"No control",SUMIF(('Loading-drum,tote'!$B$31:$B$48),$J3570,('Loading-drum,tote'!$E$31:$E$48))*Impacts!$F$13,0)),0)</f>
        <v>0</v>
      </c>
      <c r="R3570" s="10">
        <f>IFERROR(IF(('Loading-truck'!$C$21)="No control",SUMIF(('Loading-truck'!$B$31:$B$48),$J3570,('Loading-truck'!$D$31:$D$48))*Impacts!$F$14,IF(('Loading-truck'!$C$21)&lt;&gt;"No control",SUMIF(('Loading-truck'!$B$31:$B$48),$J3570,('Loading-truck'!$E$31:$E$48))*Impacts!$F$14,0)),0)</f>
        <v>0</v>
      </c>
      <c r="S3570" s="10">
        <f>IFERROR(IF(('Loading-rail'!$C$21)="No control",SUMIF(('Loading-rail'!$B$31:$B$48),$J3570,('Loading-rail'!$D$31:$D$48))*Impacts!$F$15,IF(('Loading-rail'!$C$21)&lt;&gt;"No control",SUMIF(('Loading-rail'!$B$31:$B$48),$J3570,('Loading-rail'!$E$31:$E$48))*Impacts!$F$15,0)),0)</f>
        <v>0</v>
      </c>
      <c r="T3570" s="10">
        <f>IF(Flare!$C$7="",0,(SUMIF(Flare!$B$46:$B$185,$J3570,Flare!$E$46:$E$185)*Impacts!$F$16))</f>
        <v>0</v>
      </c>
      <c r="U3570" s="10">
        <f>IF(VCU!$C$9="",0,(SUMIF(VCU!$B$51:$B$193,$J3570,VCU!$E$51:$E$193)*Impacts!$F$17))</f>
        <v>0</v>
      </c>
      <c r="V3570" s="10">
        <f>IF(CAS!$C$7="",0,(SUMIF(CAS!$B$31:$B$167,$J3570,CAS!$E$31:$E$167)*Impacts!$F$18))</f>
        <v>0</v>
      </c>
      <c r="W3570" s="10">
        <f t="shared" si="96"/>
        <v>0</v>
      </c>
      <c r="AK3570" s="10" t="str">
        <f t="array" ref="AK3570">IFERROR(INDEX(SelectedSpecies,SMALL(IF(SelectedSpecies=AK$1,ROW(SelectedSpecies)),ROW(3571:3571)),2),"")</f>
        <v/>
      </c>
      <c r="BE3570" s="10"/>
      <c r="BI3570" s="10"/>
    </row>
    <row r="3571" spans="1:61" ht="21" customHeight="1" x14ac:dyDescent="0.25">
      <c r="A3571" s="10"/>
      <c r="B3571" s="10"/>
      <c r="E3571" s="10"/>
      <c r="G3571" s="10"/>
      <c r="I3571" s="436" t="s">
        <v>4229</v>
      </c>
      <c r="J3571" s="26" t="s">
        <v>4228</v>
      </c>
      <c r="K3571" s="10">
        <v>5</v>
      </c>
      <c r="L3571" s="73">
        <f>IF(Tank1!$C$23="No control",(SUMIF(Tank1!$B$32:$B$49,$J3571,Tank1!$C$32:$C$49)*Impacts!$F$8),0)</f>
        <v>0</v>
      </c>
      <c r="M3571" s="10">
        <f>IF(Tank2!$C$23="No control",(SUMIF(Tank2!$B$32:$B$49,$J3571,Tank2!$C$32:$C$49)*Impacts!$F$9),0)</f>
        <v>0</v>
      </c>
      <c r="N3571" s="10">
        <f>IF(Tank3!$C$23="No control",(SUMIF(Tank3!$B$32:$B$49,$J3571,Tank3!$C$32:$C$49)*Impacts!$F$10),0)</f>
        <v>0</v>
      </c>
      <c r="O3571" s="10">
        <f>IF(Tank4!$C$23="No control",(SUMIF(Tank4!$B$32:$B$49,$J3571,Tank4!$C$32:$C$49)*Impacts!$F$11),0)</f>
        <v>0</v>
      </c>
      <c r="P3571" s="10">
        <f>IF(Tank5!$C$23="No control",(SUMIF(Tank5!$B$32:$B$49,$J3571,Tank5!$C$32:$C$49)*Impacts!$F$12),0)</f>
        <v>0</v>
      </c>
      <c r="Q3571" s="10">
        <f>IFERROR(IF(('Loading-drum,tote'!$C$21)="No control",SUMIF(('Loading-drum,tote'!$B$31:$B$48),$J3571,('Loading-drum,tote'!$D$31:$D$48))*Impacts!$F$13,IF(('Loading-drum,tote'!$C$21)&lt;&gt;"No control",SUMIF(('Loading-drum,tote'!$B$31:$B$48),$J3571,('Loading-drum,tote'!$E$31:$E$48))*Impacts!$F$13,0)),0)</f>
        <v>0</v>
      </c>
      <c r="R3571" s="10">
        <f>IFERROR(IF(('Loading-truck'!$C$21)="No control",SUMIF(('Loading-truck'!$B$31:$B$48),$J3571,('Loading-truck'!$D$31:$D$48))*Impacts!$F$14,IF(('Loading-truck'!$C$21)&lt;&gt;"No control",SUMIF(('Loading-truck'!$B$31:$B$48),$J3571,('Loading-truck'!$E$31:$E$48))*Impacts!$F$14,0)),0)</f>
        <v>0</v>
      </c>
      <c r="S3571" s="10">
        <f>IFERROR(IF(('Loading-rail'!$C$21)="No control",SUMIF(('Loading-rail'!$B$31:$B$48),$J3571,('Loading-rail'!$D$31:$D$48))*Impacts!$F$15,IF(('Loading-rail'!$C$21)&lt;&gt;"No control",SUMIF(('Loading-rail'!$B$31:$B$48),$J3571,('Loading-rail'!$E$31:$E$48))*Impacts!$F$15,0)),0)</f>
        <v>0</v>
      </c>
      <c r="T3571" s="10">
        <f>IF(Flare!$C$7="",0,(SUMIF(Flare!$B$46:$B$185,$J3571,Flare!$E$46:$E$185)*Impacts!$F$16))</f>
        <v>0</v>
      </c>
      <c r="U3571" s="10">
        <f>IF(VCU!$C$9="",0,(SUMIF(VCU!$B$51:$B$193,$J3571,VCU!$E$51:$E$193)*Impacts!$F$17))</f>
        <v>0</v>
      </c>
      <c r="V3571" s="10">
        <f>IF(CAS!$C$7="",0,(SUMIF(CAS!$B$31:$B$167,$J3571,CAS!$E$31:$E$167)*Impacts!$F$18))</f>
        <v>0</v>
      </c>
      <c r="W3571" s="10">
        <f t="shared" si="96"/>
        <v>0</v>
      </c>
      <c r="AK3571" s="10" t="str">
        <f t="array" ref="AK3571">IFERROR(INDEX(SelectedSpecies,SMALL(IF(SelectedSpecies=AK$1,ROW(SelectedSpecies)),ROW(3572:3572)),2),"")</f>
        <v/>
      </c>
      <c r="BE3571" s="10"/>
      <c r="BI3571" s="10"/>
    </row>
    <row r="3572" spans="1:61" ht="21" customHeight="1" x14ac:dyDescent="0.25">
      <c r="A3572" s="10"/>
      <c r="B3572" s="10"/>
      <c r="E3572" s="10"/>
      <c r="G3572" s="10"/>
      <c r="I3572" s="436" t="s">
        <v>6416</v>
      </c>
      <c r="J3572" s="26" t="s">
        <v>6415</v>
      </c>
      <c r="K3572" s="10">
        <v>0.81</v>
      </c>
      <c r="L3572" s="73">
        <f>IF(Tank1!$C$23="No control",(SUMIF(Tank1!$B$32:$B$49,$J3572,Tank1!$C$32:$C$49)*Impacts!$F$8),0)</f>
        <v>0</v>
      </c>
      <c r="M3572" s="10">
        <f>IF(Tank2!$C$23="No control",(SUMIF(Tank2!$B$32:$B$49,$J3572,Tank2!$C$32:$C$49)*Impacts!$F$9),0)</f>
        <v>0</v>
      </c>
      <c r="N3572" s="10">
        <f>IF(Tank3!$C$23="No control",(SUMIF(Tank3!$B$32:$B$49,$J3572,Tank3!$C$32:$C$49)*Impacts!$F$10),0)</f>
        <v>0</v>
      </c>
      <c r="O3572" s="10">
        <f>IF(Tank4!$C$23="No control",(SUMIF(Tank4!$B$32:$B$49,$J3572,Tank4!$C$32:$C$49)*Impacts!$F$11),0)</f>
        <v>0</v>
      </c>
      <c r="P3572" s="10">
        <f>IF(Tank5!$C$23="No control",(SUMIF(Tank5!$B$32:$B$49,$J3572,Tank5!$C$32:$C$49)*Impacts!$F$12),0)</f>
        <v>0</v>
      </c>
      <c r="Q3572" s="10">
        <f>IFERROR(IF(('Loading-drum,tote'!$C$21)="No control",SUMIF(('Loading-drum,tote'!$B$31:$B$48),$J3572,('Loading-drum,tote'!$D$31:$D$48))*Impacts!$F$13,IF(('Loading-drum,tote'!$C$21)&lt;&gt;"No control",SUMIF(('Loading-drum,tote'!$B$31:$B$48),$J3572,('Loading-drum,tote'!$E$31:$E$48))*Impacts!$F$13,0)),0)</f>
        <v>0</v>
      </c>
      <c r="R3572" s="10">
        <f>IFERROR(IF(('Loading-truck'!$C$21)="No control",SUMIF(('Loading-truck'!$B$31:$B$48),$J3572,('Loading-truck'!$D$31:$D$48))*Impacts!$F$14,IF(('Loading-truck'!$C$21)&lt;&gt;"No control",SUMIF(('Loading-truck'!$B$31:$B$48),$J3572,('Loading-truck'!$E$31:$E$48))*Impacts!$F$14,0)),0)</f>
        <v>0</v>
      </c>
      <c r="S3572" s="10">
        <f>IFERROR(IF(('Loading-rail'!$C$21)="No control",SUMIF(('Loading-rail'!$B$31:$B$48),$J3572,('Loading-rail'!$D$31:$D$48))*Impacts!$F$15,IF(('Loading-rail'!$C$21)&lt;&gt;"No control",SUMIF(('Loading-rail'!$B$31:$B$48),$J3572,('Loading-rail'!$E$31:$E$48))*Impacts!$F$15,0)),0)</f>
        <v>0</v>
      </c>
      <c r="T3572" s="10">
        <f>IF(Flare!$C$7="",0,(SUMIF(Flare!$B$46:$B$185,$J3572,Flare!$E$46:$E$185)*Impacts!$F$16))</f>
        <v>0</v>
      </c>
      <c r="U3572" s="10">
        <f>IF(VCU!$C$9="",0,(SUMIF(VCU!$B$51:$B$193,$J3572,VCU!$E$51:$E$193)*Impacts!$F$17))</f>
        <v>0</v>
      </c>
      <c r="V3572" s="10">
        <f>IF(CAS!$C$7="",0,(SUMIF(CAS!$B$31:$B$167,$J3572,CAS!$E$31:$E$167)*Impacts!$F$18))</f>
        <v>0</v>
      </c>
      <c r="W3572" s="10">
        <f t="shared" si="96"/>
        <v>0</v>
      </c>
      <c r="AK3572" s="10" t="str">
        <f t="array" ref="AK3572">IFERROR(INDEX(SelectedSpecies,SMALL(IF(SelectedSpecies=AK$1,ROW(SelectedSpecies)),ROW(3573:3573)),2),"")</f>
        <v/>
      </c>
      <c r="BE3572" s="10"/>
      <c r="BI3572" s="10"/>
    </row>
    <row r="3573" spans="1:61" ht="21" customHeight="1" x14ac:dyDescent="0.25">
      <c r="A3573" s="10"/>
      <c r="B3573" s="10"/>
      <c r="E3573" s="10"/>
      <c r="G3573" s="10"/>
      <c r="I3573" s="436" t="s">
        <v>6416</v>
      </c>
      <c r="J3573" s="26" t="s">
        <v>10421</v>
      </c>
      <c r="K3573" s="10">
        <v>5.6999999999999995E-2</v>
      </c>
      <c r="L3573" s="73">
        <f>IF(Tank1!$C$23="No control",(SUMIF(Tank1!$B$32:$B$49,$J3573,Tank1!$C$32:$C$49)*Impacts!$F$8),0)</f>
        <v>0</v>
      </c>
      <c r="M3573" s="10">
        <f>IF(Tank2!$C$23="No control",(SUMIF(Tank2!$B$32:$B$49,$J3573,Tank2!$C$32:$C$49)*Impacts!$F$9),0)</f>
        <v>0</v>
      </c>
      <c r="N3573" s="10">
        <f>IF(Tank3!$C$23="No control",(SUMIF(Tank3!$B$32:$B$49,$J3573,Tank3!$C$32:$C$49)*Impacts!$F$10),0)</f>
        <v>0</v>
      </c>
      <c r="O3573" s="10">
        <f>IF(Tank4!$C$23="No control",(SUMIF(Tank4!$B$32:$B$49,$J3573,Tank4!$C$32:$C$49)*Impacts!$F$11),0)</f>
        <v>0</v>
      </c>
      <c r="P3573" s="10">
        <f>IF(Tank5!$C$23="No control",(SUMIF(Tank5!$B$32:$B$49,$J3573,Tank5!$C$32:$C$49)*Impacts!$F$12),0)</f>
        <v>0</v>
      </c>
      <c r="Q3573" s="10">
        <f>IFERROR(IF(('Loading-drum,tote'!$C$21)="No control",SUMIF(('Loading-drum,tote'!$B$31:$B$48),$J3573,('Loading-drum,tote'!$D$31:$D$48))*Impacts!$F$13,IF(('Loading-drum,tote'!$C$21)&lt;&gt;"No control",SUMIF(('Loading-drum,tote'!$B$31:$B$48),$J3573,('Loading-drum,tote'!$E$31:$E$48))*Impacts!$F$13,0)),0)</f>
        <v>0</v>
      </c>
      <c r="R3573" s="10">
        <f>IFERROR(IF(('Loading-truck'!$C$21)="No control",SUMIF(('Loading-truck'!$B$31:$B$48),$J3573,('Loading-truck'!$D$31:$D$48))*Impacts!$F$14,IF(('Loading-truck'!$C$21)&lt;&gt;"No control",SUMIF(('Loading-truck'!$B$31:$B$48),$J3573,('Loading-truck'!$E$31:$E$48))*Impacts!$F$14,0)),0)</f>
        <v>0</v>
      </c>
      <c r="S3573" s="10">
        <f>IFERROR(IF(('Loading-rail'!$C$21)="No control",SUMIF(('Loading-rail'!$B$31:$B$48),$J3573,('Loading-rail'!$D$31:$D$48))*Impacts!$F$15,IF(('Loading-rail'!$C$21)&lt;&gt;"No control",SUMIF(('Loading-rail'!$B$31:$B$48),$J3573,('Loading-rail'!$E$31:$E$48))*Impacts!$F$15,0)),0)</f>
        <v>0</v>
      </c>
      <c r="T3573" s="10">
        <f>IF(Flare!$C$7="",0,(SUMIF(Flare!$B$46:$B$185,$J3573,Flare!$E$46:$E$185)*Impacts!$F$16))</f>
        <v>0</v>
      </c>
      <c r="U3573" s="10">
        <f>IF(VCU!$C$9="",0,(SUMIF(VCU!$B$51:$B$193,$J3573,VCU!$E$51:$E$193)*Impacts!$F$17))</f>
        <v>0</v>
      </c>
      <c r="V3573" s="10">
        <f>IF(CAS!$C$7="",0,(SUMIF(CAS!$B$31:$B$167,$J3573,CAS!$E$31:$E$167)*Impacts!$F$18))</f>
        <v>0</v>
      </c>
      <c r="W3573" s="10">
        <f t="shared" si="96"/>
        <v>0</v>
      </c>
      <c r="AK3573" s="10" t="str">
        <f t="array" ref="AK3573">IFERROR(INDEX(SelectedSpecies,SMALL(IF(SelectedSpecies=AK$1,ROW(SelectedSpecies)),ROW(3574:3574)),2),"")</f>
        <v/>
      </c>
      <c r="BE3573" s="10"/>
      <c r="BI3573" s="10"/>
    </row>
    <row r="3574" spans="1:61" ht="21" customHeight="1" x14ac:dyDescent="0.25">
      <c r="A3574" s="10"/>
      <c r="B3574" s="10"/>
      <c r="E3574" s="10"/>
      <c r="G3574" s="10"/>
      <c r="I3574" s="436" t="s">
        <v>6416</v>
      </c>
      <c r="J3574" s="26" t="s">
        <v>10422</v>
      </c>
      <c r="K3574" s="10">
        <v>7.0999999999999994E-2</v>
      </c>
      <c r="L3574" s="73">
        <f>IF(Tank1!$C$23="No control",(SUMIF(Tank1!$B$32:$B$49,$J3574,Tank1!$C$32:$C$49)*Impacts!$F$8),0)</f>
        <v>0</v>
      </c>
      <c r="M3574" s="10">
        <f>IF(Tank2!$C$23="No control",(SUMIF(Tank2!$B$32:$B$49,$J3574,Tank2!$C$32:$C$49)*Impacts!$F$9),0)</f>
        <v>0</v>
      </c>
      <c r="N3574" s="10">
        <f>IF(Tank3!$C$23="No control",(SUMIF(Tank3!$B$32:$B$49,$J3574,Tank3!$C$32:$C$49)*Impacts!$F$10),0)</f>
        <v>0</v>
      </c>
      <c r="O3574" s="10">
        <f>IF(Tank4!$C$23="No control",(SUMIF(Tank4!$B$32:$B$49,$J3574,Tank4!$C$32:$C$49)*Impacts!$F$11),0)</f>
        <v>0</v>
      </c>
      <c r="P3574" s="10">
        <f>IF(Tank5!$C$23="No control",(SUMIF(Tank5!$B$32:$B$49,$J3574,Tank5!$C$32:$C$49)*Impacts!$F$12),0)</f>
        <v>0</v>
      </c>
      <c r="Q3574" s="10">
        <f>IFERROR(IF(('Loading-drum,tote'!$C$21)="No control",SUMIF(('Loading-drum,tote'!$B$31:$B$48),$J3574,('Loading-drum,tote'!$D$31:$D$48))*Impacts!$F$13,IF(('Loading-drum,tote'!$C$21)&lt;&gt;"No control",SUMIF(('Loading-drum,tote'!$B$31:$B$48),$J3574,('Loading-drum,tote'!$E$31:$E$48))*Impacts!$F$13,0)),0)</f>
        <v>0</v>
      </c>
      <c r="R3574" s="10">
        <f>IFERROR(IF(('Loading-truck'!$C$21)="No control",SUMIF(('Loading-truck'!$B$31:$B$48),$J3574,('Loading-truck'!$D$31:$D$48))*Impacts!$F$14,IF(('Loading-truck'!$C$21)&lt;&gt;"No control",SUMIF(('Loading-truck'!$B$31:$B$48),$J3574,('Loading-truck'!$E$31:$E$48))*Impacts!$F$14,0)),0)</f>
        <v>0</v>
      </c>
      <c r="S3574" s="10">
        <f>IFERROR(IF(('Loading-rail'!$C$21)="No control",SUMIF(('Loading-rail'!$B$31:$B$48),$J3574,('Loading-rail'!$D$31:$D$48))*Impacts!$F$15,IF(('Loading-rail'!$C$21)&lt;&gt;"No control",SUMIF(('Loading-rail'!$B$31:$B$48),$J3574,('Loading-rail'!$E$31:$E$48))*Impacts!$F$15,0)),0)</f>
        <v>0</v>
      </c>
      <c r="T3574" s="10">
        <f>IF(Flare!$C$7="",0,(SUMIF(Flare!$B$46:$B$185,$J3574,Flare!$E$46:$E$185)*Impacts!$F$16))</f>
        <v>0</v>
      </c>
      <c r="U3574" s="10">
        <f>IF(VCU!$C$9="",0,(SUMIF(VCU!$B$51:$B$193,$J3574,VCU!$E$51:$E$193)*Impacts!$F$17))</f>
        <v>0</v>
      </c>
      <c r="V3574" s="10">
        <f>IF(CAS!$C$7="",0,(SUMIF(CAS!$B$31:$B$167,$J3574,CAS!$E$31:$E$167)*Impacts!$F$18))</f>
        <v>0</v>
      </c>
      <c r="W3574" s="10">
        <f t="shared" si="96"/>
        <v>0</v>
      </c>
      <c r="AK3574" s="10" t="str">
        <f t="array" ref="AK3574">IFERROR(INDEX(SelectedSpecies,SMALL(IF(SelectedSpecies=AK$1,ROW(SelectedSpecies)),ROW(3575:3575)),2),"")</f>
        <v/>
      </c>
      <c r="BE3574" s="10"/>
      <c r="BI3574" s="10"/>
    </row>
    <row r="3575" spans="1:61" ht="21" customHeight="1" x14ac:dyDescent="0.25">
      <c r="A3575" s="10"/>
      <c r="B3575" s="10"/>
      <c r="E3575" s="10"/>
      <c r="G3575" s="10"/>
      <c r="I3575" s="436" t="s">
        <v>6418</v>
      </c>
      <c r="J3575" s="26" t="s">
        <v>6417</v>
      </c>
      <c r="K3575" s="10">
        <v>0.81</v>
      </c>
      <c r="L3575" s="73">
        <f>IF(Tank1!$C$23="No control",(SUMIF(Tank1!$B$32:$B$49,$J3575,Tank1!$C$32:$C$49)*Impacts!$F$8),0)</f>
        <v>0</v>
      </c>
      <c r="M3575" s="10">
        <f>IF(Tank2!$C$23="No control",(SUMIF(Tank2!$B$32:$B$49,$J3575,Tank2!$C$32:$C$49)*Impacts!$F$9),0)</f>
        <v>0</v>
      </c>
      <c r="N3575" s="10">
        <f>IF(Tank3!$C$23="No control",(SUMIF(Tank3!$B$32:$B$49,$J3575,Tank3!$C$32:$C$49)*Impacts!$F$10),0)</f>
        <v>0</v>
      </c>
      <c r="O3575" s="10">
        <f>IF(Tank4!$C$23="No control",(SUMIF(Tank4!$B$32:$B$49,$J3575,Tank4!$C$32:$C$49)*Impacts!$F$11),0)</f>
        <v>0</v>
      </c>
      <c r="P3575" s="10">
        <f>IF(Tank5!$C$23="No control",(SUMIF(Tank5!$B$32:$B$49,$J3575,Tank5!$C$32:$C$49)*Impacts!$F$12),0)</f>
        <v>0</v>
      </c>
      <c r="Q3575" s="10">
        <f>IFERROR(IF(('Loading-drum,tote'!$C$21)="No control",SUMIF(('Loading-drum,tote'!$B$31:$B$48),$J3575,('Loading-drum,tote'!$D$31:$D$48))*Impacts!$F$13,IF(('Loading-drum,tote'!$C$21)&lt;&gt;"No control",SUMIF(('Loading-drum,tote'!$B$31:$B$48),$J3575,('Loading-drum,tote'!$E$31:$E$48))*Impacts!$F$13,0)),0)</f>
        <v>0</v>
      </c>
      <c r="R3575" s="10">
        <f>IFERROR(IF(('Loading-truck'!$C$21)="No control",SUMIF(('Loading-truck'!$B$31:$B$48),$J3575,('Loading-truck'!$D$31:$D$48))*Impacts!$F$14,IF(('Loading-truck'!$C$21)&lt;&gt;"No control",SUMIF(('Loading-truck'!$B$31:$B$48),$J3575,('Loading-truck'!$E$31:$E$48))*Impacts!$F$14,0)),0)</f>
        <v>0</v>
      </c>
      <c r="S3575" s="10">
        <f>IFERROR(IF(('Loading-rail'!$C$21)="No control",SUMIF(('Loading-rail'!$B$31:$B$48),$J3575,('Loading-rail'!$D$31:$D$48))*Impacts!$F$15,IF(('Loading-rail'!$C$21)&lt;&gt;"No control",SUMIF(('Loading-rail'!$B$31:$B$48),$J3575,('Loading-rail'!$E$31:$E$48))*Impacts!$F$15,0)),0)</f>
        <v>0</v>
      </c>
      <c r="T3575" s="10">
        <f>IF(Flare!$C$7="",0,(SUMIF(Flare!$B$46:$B$185,$J3575,Flare!$E$46:$E$185)*Impacts!$F$16))</f>
        <v>0</v>
      </c>
      <c r="U3575" s="10">
        <f>IF(VCU!$C$9="",0,(SUMIF(VCU!$B$51:$B$193,$J3575,VCU!$E$51:$E$193)*Impacts!$F$17))</f>
        <v>0</v>
      </c>
      <c r="V3575" s="10">
        <f>IF(CAS!$C$7="",0,(SUMIF(CAS!$B$31:$B$167,$J3575,CAS!$E$31:$E$167)*Impacts!$F$18))</f>
        <v>0</v>
      </c>
      <c r="W3575" s="10">
        <f t="shared" si="96"/>
        <v>0</v>
      </c>
      <c r="AK3575" s="10" t="str">
        <f t="array" ref="AK3575">IFERROR(INDEX(SelectedSpecies,SMALL(IF(SelectedSpecies=AK$1,ROW(SelectedSpecies)),ROW(3576:3576)),2),"")</f>
        <v/>
      </c>
      <c r="BE3575" s="10"/>
      <c r="BI3575" s="10"/>
    </row>
    <row r="3576" spans="1:61" ht="21" customHeight="1" x14ac:dyDescent="0.25">
      <c r="A3576" s="10"/>
      <c r="B3576" s="10"/>
      <c r="E3576" s="10"/>
      <c r="G3576" s="10"/>
      <c r="I3576" s="436" t="s">
        <v>6418</v>
      </c>
      <c r="J3576" s="26" t="s">
        <v>10423</v>
      </c>
      <c r="K3576" s="10">
        <v>5.6999999999999995E-2</v>
      </c>
      <c r="L3576" s="73">
        <f>IF(Tank1!$C$23="No control",(SUMIF(Tank1!$B$32:$B$49,$J3576,Tank1!$C$32:$C$49)*Impacts!$F$8),0)</f>
        <v>0</v>
      </c>
      <c r="M3576" s="10">
        <f>IF(Tank2!$C$23="No control",(SUMIF(Tank2!$B$32:$B$49,$J3576,Tank2!$C$32:$C$49)*Impacts!$F$9),0)</f>
        <v>0</v>
      </c>
      <c r="N3576" s="10">
        <f>IF(Tank3!$C$23="No control",(SUMIF(Tank3!$B$32:$B$49,$J3576,Tank3!$C$32:$C$49)*Impacts!$F$10),0)</f>
        <v>0</v>
      </c>
      <c r="O3576" s="10">
        <f>IF(Tank4!$C$23="No control",(SUMIF(Tank4!$B$32:$B$49,$J3576,Tank4!$C$32:$C$49)*Impacts!$F$11),0)</f>
        <v>0</v>
      </c>
      <c r="P3576" s="10">
        <f>IF(Tank5!$C$23="No control",(SUMIF(Tank5!$B$32:$B$49,$J3576,Tank5!$C$32:$C$49)*Impacts!$F$12),0)</f>
        <v>0</v>
      </c>
      <c r="Q3576" s="10">
        <f>IFERROR(IF(('Loading-drum,tote'!$C$21)="No control",SUMIF(('Loading-drum,tote'!$B$31:$B$48),$J3576,('Loading-drum,tote'!$D$31:$D$48))*Impacts!$F$13,IF(('Loading-drum,tote'!$C$21)&lt;&gt;"No control",SUMIF(('Loading-drum,tote'!$B$31:$B$48),$J3576,('Loading-drum,tote'!$E$31:$E$48))*Impacts!$F$13,0)),0)</f>
        <v>0</v>
      </c>
      <c r="R3576" s="10">
        <f>IFERROR(IF(('Loading-truck'!$C$21)="No control",SUMIF(('Loading-truck'!$B$31:$B$48),$J3576,('Loading-truck'!$D$31:$D$48))*Impacts!$F$14,IF(('Loading-truck'!$C$21)&lt;&gt;"No control",SUMIF(('Loading-truck'!$B$31:$B$48),$J3576,('Loading-truck'!$E$31:$E$48))*Impacts!$F$14,0)),0)</f>
        <v>0</v>
      </c>
      <c r="S3576" s="10">
        <f>IFERROR(IF(('Loading-rail'!$C$21)="No control",SUMIF(('Loading-rail'!$B$31:$B$48),$J3576,('Loading-rail'!$D$31:$D$48))*Impacts!$F$15,IF(('Loading-rail'!$C$21)&lt;&gt;"No control",SUMIF(('Loading-rail'!$B$31:$B$48),$J3576,('Loading-rail'!$E$31:$E$48))*Impacts!$F$15,0)),0)</f>
        <v>0</v>
      </c>
      <c r="T3576" s="10">
        <f>IF(Flare!$C$7="",0,(SUMIF(Flare!$B$46:$B$185,$J3576,Flare!$E$46:$E$185)*Impacts!$F$16))</f>
        <v>0</v>
      </c>
      <c r="U3576" s="10">
        <f>IF(VCU!$C$9="",0,(SUMIF(VCU!$B$51:$B$193,$J3576,VCU!$E$51:$E$193)*Impacts!$F$17))</f>
        <v>0</v>
      </c>
      <c r="V3576" s="10">
        <f>IF(CAS!$C$7="",0,(SUMIF(CAS!$B$31:$B$167,$J3576,CAS!$E$31:$E$167)*Impacts!$F$18))</f>
        <v>0</v>
      </c>
      <c r="W3576" s="10">
        <f t="shared" si="96"/>
        <v>0</v>
      </c>
      <c r="AK3576" s="10" t="str">
        <f t="array" ref="AK3576">IFERROR(INDEX(SelectedSpecies,SMALL(IF(SelectedSpecies=AK$1,ROW(SelectedSpecies)),ROW(3577:3577)),2),"")</f>
        <v/>
      </c>
      <c r="BE3576" s="10"/>
      <c r="BI3576" s="10"/>
    </row>
    <row r="3577" spans="1:61" ht="21" customHeight="1" x14ac:dyDescent="0.25">
      <c r="A3577" s="10"/>
      <c r="B3577" s="10"/>
      <c r="E3577" s="10"/>
      <c r="G3577" s="10"/>
      <c r="I3577" s="436" t="s">
        <v>6418</v>
      </c>
      <c r="J3577" s="26" t="s">
        <v>10424</v>
      </c>
      <c r="K3577" s="10">
        <v>7.0999999999999994E-2</v>
      </c>
      <c r="L3577" s="73">
        <f>IF(Tank1!$C$23="No control",(SUMIF(Tank1!$B$32:$B$49,$J3577,Tank1!$C$32:$C$49)*Impacts!$F$8),0)</f>
        <v>0</v>
      </c>
      <c r="M3577" s="10">
        <f>IF(Tank2!$C$23="No control",(SUMIF(Tank2!$B$32:$B$49,$J3577,Tank2!$C$32:$C$49)*Impacts!$F$9),0)</f>
        <v>0</v>
      </c>
      <c r="N3577" s="10">
        <f>IF(Tank3!$C$23="No control",(SUMIF(Tank3!$B$32:$B$49,$J3577,Tank3!$C$32:$C$49)*Impacts!$F$10),0)</f>
        <v>0</v>
      </c>
      <c r="O3577" s="10">
        <f>IF(Tank4!$C$23="No control",(SUMIF(Tank4!$B$32:$B$49,$J3577,Tank4!$C$32:$C$49)*Impacts!$F$11),0)</f>
        <v>0</v>
      </c>
      <c r="P3577" s="10">
        <f>IF(Tank5!$C$23="No control",(SUMIF(Tank5!$B$32:$B$49,$J3577,Tank5!$C$32:$C$49)*Impacts!$F$12),0)</f>
        <v>0</v>
      </c>
      <c r="Q3577" s="10">
        <f>IFERROR(IF(('Loading-drum,tote'!$C$21)="No control",SUMIF(('Loading-drum,tote'!$B$31:$B$48),$J3577,('Loading-drum,tote'!$D$31:$D$48))*Impacts!$F$13,IF(('Loading-drum,tote'!$C$21)&lt;&gt;"No control",SUMIF(('Loading-drum,tote'!$B$31:$B$48),$J3577,('Loading-drum,tote'!$E$31:$E$48))*Impacts!$F$13,0)),0)</f>
        <v>0</v>
      </c>
      <c r="R3577" s="10">
        <f>IFERROR(IF(('Loading-truck'!$C$21)="No control",SUMIF(('Loading-truck'!$B$31:$B$48),$J3577,('Loading-truck'!$D$31:$D$48))*Impacts!$F$14,IF(('Loading-truck'!$C$21)&lt;&gt;"No control",SUMIF(('Loading-truck'!$B$31:$B$48),$J3577,('Loading-truck'!$E$31:$E$48))*Impacts!$F$14,0)),0)</f>
        <v>0</v>
      </c>
      <c r="S3577" s="10">
        <f>IFERROR(IF(('Loading-rail'!$C$21)="No control",SUMIF(('Loading-rail'!$B$31:$B$48),$J3577,('Loading-rail'!$D$31:$D$48))*Impacts!$F$15,IF(('Loading-rail'!$C$21)&lt;&gt;"No control",SUMIF(('Loading-rail'!$B$31:$B$48),$J3577,('Loading-rail'!$E$31:$E$48))*Impacts!$F$15,0)),0)</f>
        <v>0</v>
      </c>
      <c r="T3577" s="10">
        <f>IF(Flare!$C$7="",0,(SUMIF(Flare!$B$46:$B$185,$J3577,Flare!$E$46:$E$185)*Impacts!$F$16))</f>
        <v>0</v>
      </c>
      <c r="U3577" s="10">
        <f>IF(VCU!$C$9="",0,(SUMIF(VCU!$B$51:$B$193,$J3577,VCU!$E$51:$E$193)*Impacts!$F$17))</f>
        <v>0</v>
      </c>
      <c r="V3577" s="10">
        <f>IF(CAS!$C$7="",0,(SUMIF(CAS!$B$31:$B$167,$J3577,CAS!$E$31:$E$167)*Impacts!$F$18))</f>
        <v>0</v>
      </c>
      <c r="W3577" s="10">
        <f t="shared" si="96"/>
        <v>0</v>
      </c>
      <c r="AK3577" s="10" t="str">
        <f t="array" ref="AK3577">IFERROR(INDEX(SelectedSpecies,SMALL(IF(SelectedSpecies=AK$1,ROW(SelectedSpecies)),ROW(3578:3578)),2),"")</f>
        <v/>
      </c>
      <c r="BE3577" s="10"/>
      <c r="BI3577" s="10"/>
    </row>
    <row r="3578" spans="1:61" ht="21" customHeight="1" x14ac:dyDescent="0.25">
      <c r="A3578" s="10"/>
      <c r="B3578" s="10"/>
      <c r="E3578" s="10"/>
      <c r="G3578" s="10"/>
      <c r="I3578" s="436" t="s">
        <v>7846</v>
      </c>
      <c r="J3578" s="26" t="s">
        <v>7845</v>
      </c>
      <c r="K3578" s="10">
        <v>6.9999999999999993E-2</v>
      </c>
      <c r="L3578" s="73">
        <f>IF(Tank1!$C$23="No control",(SUMIF(Tank1!$B$32:$B$49,$J3578,Tank1!$C$32:$C$49)*Impacts!$F$8),0)</f>
        <v>0</v>
      </c>
      <c r="M3578" s="10">
        <f>IF(Tank2!$C$23="No control",(SUMIF(Tank2!$B$32:$B$49,$J3578,Tank2!$C$32:$C$49)*Impacts!$F$9),0)</f>
        <v>0</v>
      </c>
      <c r="N3578" s="10">
        <f>IF(Tank3!$C$23="No control",(SUMIF(Tank3!$B$32:$B$49,$J3578,Tank3!$C$32:$C$49)*Impacts!$F$10),0)</f>
        <v>0</v>
      </c>
      <c r="O3578" s="10">
        <f>IF(Tank4!$C$23="No control",(SUMIF(Tank4!$B$32:$B$49,$J3578,Tank4!$C$32:$C$49)*Impacts!$F$11),0)</f>
        <v>0</v>
      </c>
      <c r="P3578" s="10">
        <f>IF(Tank5!$C$23="No control",(SUMIF(Tank5!$B$32:$B$49,$J3578,Tank5!$C$32:$C$49)*Impacts!$F$12),0)</f>
        <v>0</v>
      </c>
      <c r="Q3578" s="10">
        <f>IFERROR(IF(('Loading-drum,tote'!$C$21)="No control",SUMIF(('Loading-drum,tote'!$B$31:$B$48),$J3578,('Loading-drum,tote'!$D$31:$D$48))*Impacts!$F$13,IF(('Loading-drum,tote'!$C$21)&lt;&gt;"No control",SUMIF(('Loading-drum,tote'!$B$31:$B$48),$J3578,('Loading-drum,tote'!$E$31:$E$48))*Impacts!$F$13,0)),0)</f>
        <v>0</v>
      </c>
      <c r="R3578" s="10">
        <f>IFERROR(IF(('Loading-truck'!$C$21)="No control",SUMIF(('Loading-truck'!$B$31:$B$48),$J3578,('Loading-truck'!$D$31:$D$48))*Impacts!$F$14,IF(('Loading-truck'!$C$21)&lt;&gt;"No control",SUMIF(('Loading-truck'!$B$31:$B$48),$J3578,('Loading-truck'!$E$31:$E$48))*Impacts!$F$14,0)),0)</f>
        <v>0</v>
      </c>
      <c r="S3578" s="10">
        <f>IFERROR(IF(('Loading-rail'!$C$21)="No control",SUMIF(('Loading-rail'!$B$31:$B$48),$J3578,('Loading-rail'!$D$31:$D$48))*Impacts!$F$15,IF(('Loading-rail'!$C$21)&lt;&gt;"No control",SUMIF(('Loading-rail'!$B$31:$B$48),$J3578,('Loading-rail'!$E$31:$E$48))*Impacts!$F$15,0)),0)</f>
        <v>0</v>
      </c>
      <c r="T3578" s="10">
        <f>IF(Flare!$C$7="",0,(SUMIF(Flare!$B$46:$B$185,$J3578,Flare!$E$46:$E$185)*Impacts!$F$16))</f>
        <v>0</v>
      </c>
      <c r="U3578" s="10">
        <f>IF(VCU!$C$9="",0,(SUMIF(VCU!$B$51:$B$193,$J3578,VCU!$E$51:$E$193)*Impacts!$F$17))</f>
        <v>0</v>
      </c>
      <c r="V3578" s="10">
        <f>IF(CAS!$C$7="",0,(SUMIF(CAS!$B$31:$B$167,$J3578,CAS!$E$31:$E$167)*Impacts!$F$18))</f>
        <v>0</v>
      </c>
      <c r="W3578" s="10">
        <f t="shared" si="96"/>
        <v>0</v>
      </c>
      <c r="AK3578" s="10" t="str">
        <f t="array" ref="AK3578">IFERROR(INDEX(SelectedSpecies,SMALL(IF(SelectedSpecies=AK$1,ROW(SelectedSpecies)),ROW(3579:3579)),2),"")</f>
        <v/>
      </c>
      <c r="BE3578" s="10"/>
      <c r="BI3578" s="10"/>
    </row>
    <row r="3579" spans="1:61" ht="21" customHeight="1" x14ac:dyDescent="0.25">
      <c r="A3579" s="10"/>
      <c r="B3579" s="10"/>
      <c r="E3579" s="10"/>
      <c r="G3579" s="10"/>
      <c r="I3579" s="436" t="s">
        <v>1887</v>
      </c>
      <c r="J3579" s="26" t="s">
        <v>1886</v>
      </c>
      <c r="K3579" s="10">
        <v>20</v>
      </c>
      <c r="L3579" s="73">
        <f>IF(Tank1!$C$23="No control",(SUMIF(Tank1!$B$32:$B$49,$J3579,Tank1!$C$32:$C$49)*Impacts!$F$8),0)</f>
        <v>0</v>
      </c>
      <c r="M3579" s="10">
        <f>IF(Tank2!$C$23="No control",(SUMIF(Tank2!$B$32:$B$49,$J3579,Tank2!$C$32:$C$49)*Impacts!$F$9),0)</f>
        <v>0</v>
      </c>
      <c r="N3579" s="10">
        <f>IF(Tank3!$C$23="No control",(SUMIF(Tank3!$B$32:$B$49,$J3579,Tank3!$C$32:$C$49)*Impacts!$F$10),0)</f>
        <v>0</v>
      </c>
      <c r="O3579" s="10">
        <f>IF(Tank4!$C$23="No control",(SUMIF(Tank4!$B$32:$B$49,$J3579,Tank4!$C$32:$C$49)*Impacts!$F$11),0)</f>
        <v>0</v>
      </c>
      <c r="P3579" s="10">
        <f>IF(Tank5!$C$23="No control",(SUMIF(Tank5!$B$32:$B$49,$J3579,Tank5!$C$32:$C$49)*Impacts!$F$12),0)</f>
        <v>0</v>
      </c>
      <c r="Q3579" s="10">
        <f>IFERROR(IF(('Loading-drum,tote'!$C$21)="No control",SUMIF(('Loading-drum,tote'!$B$31:$B$48),$J3579,('Loading-drum,tote'!$D$31:$D$48))*Impacts!$F$13,IF(('Loading-drum,tote'!$C$21)&lt;&gt;"No control",SUMIF(('Loading-drum,tote'!$B$31:$B$48),$J3579,('Loading-drum,tote'!$E$31:$E$48))*Impacts!$F$13,0)),0)</f>
        <v>0</v>
      </c>
      <c r="R3579" s="10">
        <f>IFERROR(IF(('Loading-truck'!$C$21)="No control",SUMIF(('Loading-truck'!$B$31:$B$48),$J3579,('Loading-truck'!$D$31:$D$48))*Impacts!$F$14,IF(('Loading-truck'!$C$21)&lt;&gt;"No control",SUMIF(('Loading-truck'!$B$31:$B$48),$J3579,('Loading-truck'!$E$31:$E$48))*Impacts!$F$14,0)),0)</f>
        <v>0</v>
      </c>
      <c r="S3579" s="10">
        <f>IFERROR(IF(('Loading-rail'!$C$21)="No control",SUMIF(('Loading-rail'!$B$31:$B$48),$J3579,('Loading-rail'!$D$31:$D$48))*Impacts!$F$15,IF(('Loading-rail'!$C$21)&lt;&gt;"No control",SUMIF(('Loading-rail'!$B$31:$B$48),$J3579,('Loading-rail'!$E$31:$E$48))*Impacts!$F$15,0)),0)</f>
        <v>0</v>
      </c>
      <c r="T3579" s="10">
        <f>IF(Flare!$C$7="",0,(SUMIF(Flare!$B$46:$B$185,$J3579,Flare!$E$46:$E$185)*Impacts!$F$16))</f>
        <v>0</v>
      </c>
      <c r="U3579" s="10">
        <f>IF(VCU!$C$9="",0,(SUMIF(VCU!$B$51:$B$193,$J3579,VCU!$E$51:$E$193)*Impacts!$F$17))</f>
        <v>0</v>
      </c>
      <c r="V3579" s="10">
        <f>IF(CAS!$C$7="",0,(SUMIF(CAS!$B$31:$B$167,$J3579,CAS!$E$31:$E$167)*Impacts!$F$18))</f>
        <v>0</v>
      </c>
      <c r="W3579" s="10">
        <f t="shared" si="96"/>
        <v>0</v>
      </c>
      <c r="AK3579" s="10" t="str">
        <f t="array" ref="AK3579">IFERROR(INDEX(SelectedSpecies,SMALL(IF(SelectedSpecies=AK$1,ROW(SelectedSpecies)),ROW(3580:3580)),2),"")</f>
        <v/>
      </c>
      <c r="BE3579" s="10"/>
      <c r="BI3579" s="10"/>
    </row>
    <row r="3580" spans="1:61" ht="21" customHeight="1" x14ac:dyDescent="0.25">
      <c r="A3580" s="10"/>
      <c r="B3580" s="10"/>
      <c r="E3580" s="10"/>
      <c r="G3580" s="10"/>
      <c r="I3580" s="436" t="s">
        <v>7380</v>
      </c>
      <c r="J3580" s="26" t="s">
        <v>7379</v>
      </c>
      <c r="K3580" s="10">
        <v>0.25</v>
      </c>
      <c r="L3580" s="73">
        <f>IF(Tank1!$C$23="No control",(SUMIF(Tank1!$B$32:$B$49,$J3580,Tank1!$C$32:$C$49)*Impacts!$F$8),0)</f>
        <v>0</v>
      </c>
      <c r="M3580" s="10">
        <f>IF(Tank2!$C$23="No control",(SUMIF(Tank2!$B$32:$B$49,$J3580,Tank2!$C$32:$C$49)*Impacts!$F$9),0)</f>
        <v>0</v>
      </c>
      <c r="N3580" s="10">
        <f>IF(Tank3!$C$23="No control",(SUMIF(Tank3!$B$32:$B$49,$J3580,Tank3!$C$32:$C$49)*Impacts!$F$10),0)</f>
        <v>0</v>
      </c>
      <c r="O3580" s="10">
        <f>IF(Tank4!$C$23="No control",(SUMIF(Tank4!$B$32:$B$49,$J3580,Tank4!$C$32:$C$49)*Impacts!$F$11),0)</f>
        <v>0</v>
      </c>
      <c r="P3580" s="10">
        <f>IF(Tank5!$C$23="No control",(SUMIF(Tank5!$B$32:$B$49,$J3580,Tank5!$C$32:$C$49)*Impacts!$F$12),0)</f>
        <v>0</v>
      </c>
      <c r="Q3580" s="10">
        <f>IFERROR(IF(('Loading-drum,tote'!$C$21)="No control",SUMIF(('Loading-drum,tote'!$B$31:$B$48),$J3580,('Loading-drum,tote'!$D$31:$D$48))*Impacts!$F$13,IF(('Loading-drum,tote'!$C$21)&lt;&gt;"No control",SUMIF(('Loading-drum,tote'!$B$31:$B$48),$J3580,('Loading-drum,tote'!$E$31:$E$48))*Impacts!$F$13,0)),0)</f>
        <v>0</v>
      </c>
      <c r="R3580" s="10">
        <f>IFERROR(IF(('Loading-truck'!$C$21)="No control",SUMIF(('Loading-truck'!$B$31:$B$48),$J3580,('Loading-truck'!$D$31:$D$48))*Impacts!$F$14,IF(('Loading-truck'!$C$21)&lt;&gt;"No control",SUMIF(('Loading-truck'!$B$31:$B$48),$J3580,('Loading-truck'!$E$31:$E$48))*Impacts!$F$14,0)),0)</f>
        <v>0</v>
      </c>
      <c r="S3580" s="10">
        <f>IFERROR(IF(('Loading-rail'!$C$21)="No control",SUMIF(('Loading-rail'!$B$31:$B$48),$J3580,('Loading-rail'!$D$31:$D$48))*Impacts!$F$15,IF(('Loading-rail'!$C$21)&lt;&gt;"No control",SUMIF(('Loading-rail'!$B$31:$B$48),$J3580,('Loading-rail'!$E$31:$E$48))*Impacts!$F$15,0)),0)</f>
        <v>0</v>
      </c>
      <c r="T3580" s="10">
        <f>IF(Flare!$C$7="",0,(SUMIF(Flare!$B$46:$B$185,$J3580,Flare!$E$46:$E$185)*Impacts!$F$16))</f>
        <v>0</v>
      </c>
      <c r="U3580" s="10">
        <f>IF(VCU!$C$9="",0,(SUMIF(VCU!$B$51:$B$193,$J3580,VCU!$E$51:$E$193)*Impacts!$F$17))</f>
        <v>0</v>
      </c>
      <c r="V3580" s="10">
        <f>IF(CAS!$C$7="",0,(SUMIF(CAS!$B$31:$B$167,$J3580,CAS!$E$31:$E$167)*Impacts!$F$18))</f>
        <v>0</v>
      </c>
      <c r="W3580" s="10">
        <f t="shared" si="96"/>
        <v>0</v>
      </c>
      <c r="AK3580" s="10" t="str">
        <f t="array" ref="AK3580">IFERROR(INDEX(SelectedSpecies,SMALL(IF(SelectedSpecies=AK$1,ROW(SelectedSpecies)),ROW(3581:3581)),2),"")</f>
        <v/>
      </c>
      <c r="BE3580" s="10"/>
      <c r="BI3580" s="10"/>
    </row>
    <row r="3581" spans="1:61" ht="21" customHeight="1" x14ac:dyDescent="0.25">
      <c r="A3581" s="10"/>
      <c r="B3581" s="10"/>
      <c r="E3581" s="10"/>
      <c r="G3581" s="10"/>
      <c r="I3581" s="436" t="s">
        <v>6420</v>
      </c>
      <c r="J3581" s="26" t="s">
        <v>6419</v>
      </c>
      <c r="K3581" s="10">
        <v>0.81</v>
      </c>
      <c r="L3581" s="73">
        <f>IF(Tank1!$C$23="No control",(SUMIF(Tank1!$B$32:$B$49,$J3581,Tank1!$C$32:$C$49)*Impacts!$F$8),0)</f>
        <v>0</v>
      </c>
      <c r="M3581" s="10">
        <f>IF(Tank2!$C$23="No control",(SUMIF(Tank2!$B$32:$B$49,$J3581,Tank2!$C$32:$C$49)*Impacts!$F$9),0)</f>
        <v>0</v>
      </c>
      <c r="N3581" s="10">
        <f>IF(Tank3!$C$23="No control",(SUMIF(Tank3!$B$32:$B$49,$J3581,Tank3!$C$32:$C$49)*Impacts!$F$10),0)</f>
        <v>0</v>
      </c>
      <c r="O3581" s="10">
        <f>IF(Tank4!$C$23="No control",(SUMIF(Tank4!$B$32:$B$49,$J3581,Tank4!$C$32:$C$49)*Impacts!$F$11),0)</f>
        <v>0</v>
      </c>
      <c r="P3581" s="10">
        <f>IF(Tank5!$C$23="No control",(SUMIF(Tank5!$B$32:$B$49,$J3581,Tank5!$C$32:$C$49)*Impacts!$F$12),0)</f>
        <v>0</v>
      </c>
      <c r="Q3581" s="10">
        <f>IFERROR(IF(('Loading-drum,tote'!$C$21)="No control",SUMIF(('Loading-drum,tote'!$B$31:$B$48),$J3581,('Loading-drum,tote'!$D$31:$D$48))*Impacts!$F$13,IF(('Loading-drum,tote'!$C$21)&lt;&gt;"No control",SUMIF(('Loading-drum,tote'!$B$31:$B$48),$J3581,('Loading-drum,tote'!$E$31:$E$48))*Impacts!$F$13,0)),0)</f>
        <v>0</v>
      </c>
      <c r="R3581" s="10">
        <f>IFERROR(IF(('Loading-truck'!$C$21)="No control",SUMIF(('Loading-truck'!$B$31:$B$48),$J3581,('Loading-truck'!$D$31:$D$48))*Impacts!$F$14,IF(('Loading-truck'!$C$21)&lt;&gt;"No control",SUMIF(('Loading-truck'!$B$31:$B$48),$J3581,('Loading-truck'!$E$31:$E$48))*Impacts!$F$14,0)),0)</f>
        <v>0</v>
      </c>
      <c r="S3581" s="10">
        <f>IFERROR(IF(('Loading-rail'!$C$21)="No control",SUMIF(('Loading-rail'!$B$31:$B$48),$J3581,('Loading-rail'!$D$31:$D$48))*Impacts!$F$15,IF(('Loading-rail'!$C$21)&lt;&gt;"No control",SUMIF(('Loading-rail'!$B$31:$B$48),$J3581,('Loading-rail'!$E$31:$E$48))*Impacts!$F$15,0)),0)</f>
        <v>0</v>
      </c>
      <c r="T3581" s="10">
        <f>IF(Flare!$C$7="",0,(SUMIF(Flare!$B$46:$B$185,$J3581,Flare!$E$46:$E$185)*Impacts!$F$16))</f>
        <v>0</v>
      </c>
      <c r="U3581" s="10">
        <f>IF(VCU!$C$9="",0,(SUMIF(VCU!$B$51:$B$193,$J3581,VCU!$E$51:$E$193)*Impacts!$F$17))</f>
        <v>0</v>
      </c>
      <c r="V3581" s="10">
        <f>IF(CAS!$C$7="",0,(SUMIF(CAS!$B$31:$B$167,$J3581,CAS!$E$31:$E$167)*Impacts!$F$18))</f>
        <v>0</v>
      </c>
      <c r="W3581" s="10">
        <f t="shared" si="96"/>
        <v>0</v>
      </c>
      <c r="AK3581" s="10" t="str">
        <f t="array" ref="AK3581">IFERROR(INDEX(SelectedSpecies,SMALL(IF(SelectedSpecies=AK$1,ROW(SelectedSpecies)),ROW(3582:3582)),2),"")</f>
        <v/>
      </c>
      <c r="BE3581" s="10"/>
      <c r="BI3581" s="10"/>
    </row>
    <row r="3582" spans="1:61" ht="21" customHeight="1" x14ac:dyDescent="0.25">
      <c r="A3582" s="10"/>
      <c r="B3582" s="10"/>
      <c r="E3582" s="10"/>
      <c r="G3582" s="10"/>
      <c r="I3582" s="436" t="s">
        <v>6420</v>
      </c>
      <c r="J3582" s="26" t="s">
        <v>10425</v>
      </c>
      <c r="K3582" s="10">
        <v>5.6999999999999995E-2</v>
      </c>
      <c r="L3582" s="73">
        <f>IF(Tank1!$C$23="No control",(SUMIF(Tank1!$B$32:$B$49,$J3582,Tank1!$C$32:$C$49)*Impacts!$F$8),0)</f>
        <v>0</v>
      </c>
      <c r="M3582" s="10">
        <f>IF(Tank2!$C$23="No control",(SUMIF(Tank2!$B$32:$B$49,$J3582,Tank2!$C$32:$C$49)*Impacts!$F$9),0)</f>
        <v>0</v>
      </c>
      <c r="N3582" s="10">
        <f>IF(Tank3!$C$23="No control",(SUMIF(Tank3!$B$32:$B$49,$J3582,Tank3!$C$32:$C$49)*Impacts!$F$10),0)</f>
        <v>0</v>
      </c>
      <c r="O3582" s="10">
        <f>IF(Tank4!$C$23="No control",(SUMIF(Tank4!$B$32:$B$49,$J3582,Tank4!$C$32:$C$49)*Impacts!$F$11),0)</f>
        <v>0</v>
      </c>
      <c r="P3582" s="10">
        <f>IF(Tank5!$C$23="No control",(SUMIF(Tank5!$B$32:$B$49,$J3582,Tank5!$C$32:$C$49)*Impacts!$F$12),0)</f>
        <v>0</v>
      </c>
      <c r="Q3582" s="10">
        <f>IFERROR(IF(('Loading-drum,tote'!$C$21)="No control",SUMIF(('Loading-drum,tote'!$B$31:$B$48),$J3582,('Loading-drum,tote'!$D$31:$D$48))*Impacts!$F$13,IF(('Loading-drum,tote'!$C$21)&lt;&gt;"No control",SUMIF(('Loading-drum,tote'!$B$31:$B$48),$J3582,('Loading-drum,tote'!$E$31:$E$48))*Impacts!$F$13,0)),0)</f>
        <v>0</v>
      </c>
      <c r="R3582" s="10">
        <f>IFERROR(IF(('Loading-truck'!$C$21)="No control",SUMIF(('Loading-truck'!$B$31:$B$48),$J3582,('Loading-truck'!$D$31:$D$48))*Impacts!$F$14,IF(('Loading-truck'!$C$21)&lt;&gt;"No control",SUMIF(('Loading-truck'!$B$31:$B$48),$J3582,('Loading-truck'!$E$31:$E$48))*Impacts!$F$14,0)),0)</f>
        <v>0</v>
      </c>
      <c r="S3582" s="10">
        <f>IFERROR(IF(('Loading-rail'!$C$21)="No control",SUMIF(('Loading-rail'!$B$31:$B$48),$J3582,('Loading-rail'!$D$31:$D$48))*Impacts!$F$15,IF(('Loading-rail'!$C$21)&lt;&gt;"No control",SUMIF(('Loading-rail'!$B$31:$B$48),$J3582,('Loading-rail'!$E$31:$E$48))*Impacts!$F$15,0)),0)</f>
        <v>0</v>
      </c>
      <c r="T3582" s="10">
        <f>IF(Flare!$C$7="",0,(SUMIF(Flare!$B$46:$B$185,$J3582,Flare!$E$46:$E$185)*Impacts!$F$16))</f>
        <v>0</v>
      </c>
      <c r="U3582" s="10">
        <f>IF(VCU!$C$9="",0,(SUMIF(VCU!$B$51:$B$193,$J3582,VCU!$E$51:$E$193)*Impacts!$F$17))</f>
        <v>0</v>
      </c>
      <c r="V3582" s="10">
        <f>IF(CAS!$C$7="",0,(SUMIF(CAS!$B$31:$B$167,$J3582,CAS!$E$31:$E$167)*Impacts!$F$18))</f>
        <v>0</v>
      </c>
      <c r="W3582" s="10">
        <f t="shared" si="96"/>
        <v>0</v>
      </c>
      <c r="AK3582" s="10" t="str">
        <f t="array" ref="AK3582">IFERROR(INDEX(SelectedSpecies,SMALL(IF(SelectedSpecies=AK$1,ROW(SelectedSpecies)),ROW(3583:3583)),2),"")</f>
        <v/>
      </c>
      <c r="BE3582" s="10"/>
      <c r="BI3582" s="10"/>
    </row>
    <row r="3583" spans="1:61" ht="21" customHeight="1" x14ac:dyDescent="0.25">
      <c r="A3583" s="10"/>
      <c r="B3583" s="10"/>
      <c r="E3583" s="10"/>
      <c r="G3583" s="10"/>
      <c r="I3583" s="436" t="s">
        <v>6420</v>
      </c>
      <c r="J3583" s="26" t="s">
        <v>10426</v>
      </c>
      <c r="K3583" s="10">
        <v>7.0999999999999994E-2</v>
      </c>
      <c r="L3583" s="73">
        <f>IF(Tank1!$C$23="No control",(SUMIF(Tank1!$B$32:$B$49,$J3583,Tank1!$C$32:$C$49)*Impacts!$F$8),0)</f>
        <v>0</v>
      </c>
      <c r="M3583" s="10">
        <f>IF(Tank2!$C$23="No control",(SUMIF(Tank2!$B$32:$B$49,$J3583,Tank2!$C$32:$C$49)*Impacts!$F$9),0)</f>
        <v>0</v>
      </c>
      <c r="N3583" s="10">
        <f>IF(Tank3!$C$23="No control",(SUMIF(Tank3!$B$32:$B$49,$J3583,Tank3!$C$32:$C$49)*Impacts!$F$10),0)</f>
        <v>0</v>
      </c>
      <c r="O3583" s="10">
        <f>IF(Tank4!$C$23="No control",(SUMIF(Tank4!$B$32:$B$49,$J3583,Tank4!$C$32:$C$49)*Impacts!$F$11),0)</f>
        <v>0</v>
      </c>
      <c r="P3583" s="10">
        <f>IF(Tank5!$C$23="No control",(SUMIF(Tank5!$B$32:$B$49,$J3583,Tank5!$C$32:$C$49)*Impacts!$F$12),0)</f>
        <v>0</v>
      </c>
      <c r="Q3583" s="10">
        <f>IFERROR(IF(('Loading-drum,tote'!$C$21)="No control",SUMIF(('Loading-drum,tote'!$B$31:$B$48),$J3583,('Loading-drum,tote'!$D$31:$D$48))*Impacts!$F$13,IF(('Loading-drum,tote'!$C$21)&lt;&gt;"No control",SUMIF(('Loading-drum,tote'!$B$31:$B$48),$J3583,('Loading-drum,tote'!$E$31:$E$48))*Impacts!$F$13,0)),0)</f>
        <v>0</v>
      </c>
      <c r="R3583" s="10">
        <f>IFERROR(IF(('Loading-truck'!$C$21)="No control",SUMIF(('Loading-truck'!$B$31:$B$48),$J3583,('Loading-truck'!$D$31:$D$48))*Impacts!$F$14,IF(('Loading-truck'!$C$21)&lt;&gt;"No control",SUMIF(('Loading-truck'!$B$31:$B$48),$J3583,('Loading-truck'!$E$31:$E$48))*Impacts!$F$14,0)),0)</f>
        <v>0</v>
      </c>
      <c r="S3583" s="10">
        <f>IFERROR(IF(('Loading-rail'!$C$21)="No control",SUMIF(('Loading-rail'!$B$31:$B$48),$J3583,('Loading-rail'!$D$31:$D$48))*Impacts!$F$15,IF(('Loading-rail'!$C$21)&lt;&gt;"No control",SUMIF(('Loading-rail'!$B$31:$B$48),$J3583,('Loading-rail'!$E$31:$E$48))*Impacts!$F$15,0)),0)</f>
        <v>0</v>
      </c>
      <c r="T3583" s="10">
        <f>IF(Flare!$C$7="",0,(SUMIF(Flare!$B$46:$B$185,$J3583,Flare!$E$46:$E$185)*Impacts!$F$16))</f>
        <v>0</v>
      </c>
      <c r="U3583" s="10">
        <f>IF(VCU!$C$9="",0,(SUMIF(VCU!$B$51:$B$193,$J3583,VCU!$E$51:$E$193)*Impacts!$F$17))</f>
        <v>0</v>
      </c>
      <c r="V3583" s="10">
        <f>IF(CAS!$C$7="",0,(SUMIF(CAS!$B$31:$B$167,$J3583,CAS!$E$31:$E$167)*Impacts!$F$18))</f>
        <v>0</v>
      </c>
      <c r="W3583" s="10">
        <f t="shared" si="96"/>
        <v>0</v>
      </c>
      <c r="AK3583" s="10" t="str">
        <f t="array" ref="AK3583">IFERROR(INDEX(SelectedSpecies,SMALL(IF(SelectedSpecies=AK$1,ROW(SelectedSpecies)),ROW(3584:3584)),2),"")</f>
        <v/>
      </c>
      <c r="BE3583" s="10"/>
      <c r="BI3583" s="10"/>
    </row>
    <row r="3584" spans="1:61" ht="21" customHeight="1" x14ac:dyDescent="0.25">
      <c r="A3584" s="10"/>
      <c r="B3584" s="10"/>
      <c r="E3584" s="10"/>
      <c r="G3584" s="10"/>
      <c r="I3584" s="436" t="s">
        <v>574</v>
      </c>
      <c r="J3584" s="26" t="s">
        <v>573</v>
      </c>
      <c r="K3584" s="10">
        <v>91</v>
      </c>
      <c r="L3584" s="73">
        <f>IF(Tank1!$C$23="No control",(SUMIF(Tank1!$B$32:$B$49,$J3584,Tank1!$C$32:$C$49)*Impacts!$F$8),0)</f>
        <v>0</v>
      </c>
      <c r="M3584" s="10">
        <f>IF(Tank2!$C$23="No control",(SUMIF(Tank2!$B$32:$B$49,$J3584,Tank2!$C$32:$C$49)*Impacts!$F$9),0)</f>
        <v>0</v>
      </c>
      <c r="N3584" s="10">
        <f>IF(Tank3!$C$23="No control",(SUMIF(Tank3!$B$32:$B$49,$J3584,Tank3!$C$32:$C$49)*Impacts!$F$10),0)</f>
        <v>0</v>
      </c>
      <c r="O3584" s="10">
        <f>IF(Tank4!$C$23="No control",(SUMIF(Tank4!$B$32:$B$49,$J3584,Tank4!$C$32:$C$49)*Impacts!$F$11),0)</f>
        <v>0</v>
      </c>
      <c r="P3584" s="10">
        <f>IF(Tank5!$C$23="No control",(SUMIF(Tank5!$B$32:$B$49,$J3584,Tank5!$C$32:$C$49)*Impacts!$F$12),0)</f>
        <v>0</v>
      </c>
      <c r="Q3584" s="10">
        <f>IFERROR(IF(('Loading-drum,tote'!$C$21)="No control",SUMIF(('Loading-drum,tote'!$B$31:$B$48),$J3584,('Loading-drum,tote'!$D$31:$D$48))*Impacts!$F$13,IF(('Loading-drum,tote'!$C$21)&lt;&gt;"No control",SUMIF(('Loading-drum,tote'!$B$31:$B$48),$J3584,('Loading-drum,tote'!$E$31:$E$48))*Impacts!$F$13,0)),0)</f>
        <v>0</v>
      </c>
      <c r="R3584" s="10">
        <f>IFERROR(IF(('Loading-truck'!$C$21)="No control",SUMIF(('Loading-truck'!$B$31:$B$48),$J3584,('Loading-truck'!$D$31:$D$48))*Impacts!$F$14,IF(('Loading-truck'!$C$21)&lt;&gt;"No control",SUMIF(('Loading-truck'!$B$31:$B$48),$J3584,('Loading-truck'!$E$31:$E$48))*Impacts!$F$14,0)),0)</f>
        <v>0</v>
      </c>
      <c r="S3584" s="10">
        <f>IFERROR(IF(('Loading-rail'!$C$21)="No control",SUMIF(('Loading-rail'!$B$31:$B$48),$J3584,('Loading-rail'!$D$31:$D$48))*Impacts!$F$15,IF(('Loading-rail'!$C$21)&lt;&gt;"No control",SUMIF(('Loading-rail'!$B$31:$B$48),$J3584,('Loading-rail'!$E$31:$E$48))*Impacts!$F$15,0)),0)</f>
        <v>0</v>
      </c>
      <c r="T3584" s="10">
        <f>IF(Flare!$C$7="",0,(SUMIF(Flare!$B$46:$B$185,$J3584,Flare!$E$46:$E$185)*Impacts!$F$16))</f>
        <v>0</v>
      </c>
      <c r="U3584" s="10">
        <f>IF(VCU!$C$9="",0,(SUMIF(VCU!$B$51:$B$193,$J3584,VCU!$E$51:$E$193)*Impacts!$F$17))</f>
        <v>0</v>
      </c>
      <c r="V3584" s="10">
        <f>IF(CAS!$C$7="",0,(SUMIF(CAS!$B$31:$B$167,$J3584,CAS!$E$31:$E$167)*Impacts!$F$18))</f>
        <v>0</v>
      </c>
      <c r="W3584" s="10">
        <f t="shared" si="96"/>
        <v>0</v>
      </c>
      <c r="AK3584" s="10" t="str">
        <f t="array" ref="AK3584">IFERROR(INDEX(SelectedSpecies,SMALL(IF(SelectedSpecies=AK$1,ROW(SelectedSpecies)),ROW(3585:3585)),2),"")</f>
        <v/>
      </c>
      <c r="BE3584" s="10"/>
      <c r="BI3584" s="10"/>
    </row>
    <row r="3585" spans="1:61" ht="21" customHeight="1" x14ac:dyDescent="0.25">
      <c r="A3585" s="10"/>
      <c r="B3585" s="10"/>
      <c r="E3585" s="10"/>
      <c r="G3585" s="10"/>
      <c r="I3585" s="436" t="s">
        <v>7976</v>
      </c>
      <c r="J3585" s="26" t="s">
        <v>7975</v>
      </c>
      <c r="K3585" s="10">
        <v>4.0000000000000008E-2</v>
      </c>
      <c r="L3585" s="73">
        <f>IF(Tank1!$C$23="No control",(SUMIF(Tank1!$B$32:$B$49,$J3585,Tank1!$C$32:$C$49)*Impacts!$F$8),0)</f>
        <v>0</v>
      </c>
      <c r="M3585" s="10">
        <f>IF(Tank2!$C$23="No control",(SUMIF(Tank2!$B$32:$B$49,$J3585,Tank2!$C$32:$C$49)*Impacts!$F$9),0)</f>
        <v>0</v>
      </c>
      <c r="N3585" s="10">
        <f>IF(Tank3!$C$23="No control",(SUMIF(Tank3!$B$32:$B$49,$J3585,Tank3!$C$32:$C$49)*Impacts!$F$10),0)</f>
        <v>0</v>
      </c>
      <c r="O3585" s="10">
        <f>IF(Tank4!$C$23="No control",(SUMIF(Tank4!$B$32:$B$49,$J3585,Tank4!$C$32:$C$49)*Impacts!$F$11),0)</f>
        <v>0</v>
      </c>
      <c r="P3585" s="10">
        <f>IF(Tank5!$C$23="No control",(SUMIF(Tank5!$B$32:$B$49,$J3585,Tank5!$C$32:$C$49)*Impacts!$F$12),0)</f>
        <v>0</v>
      </c>
      <c r="Q3585" s="10">
        <f>IFERROR(IF(('Loading-drum,tote'!$C$21)="No control",SUMIF(('Loading-drum,tote'!$B$31:$B$48),$J3585,('Loading-drum,tote'!$D$31:$D$48))*Impacts!$F$13,IF(('Loading-drum,tote'!$C$21)&lt;&gt;"No control",SUMIF(('Loading-drum,tote'!$B$31:$B$48),$J3585,('Loading-drum,tote'!$E$31:$E$48))*Impacts!$F$13,0)),0)</f>
        <v>0</v>
      </c>
      <c r="R3585" s="10">
        <f>IFERROR(IF(('Loading-truck'!$C$21)="No control",SUMIF(('Loading-truck'!$B$31:$B$48),$J3585,('Loading-truck'!$D$31:$D$48))*Impacts!$F$14,IF(('Loading-truck'!$C$21)&lt;&gt;"No control",SUMIF(('Loading-truck'!$B$31:$B$48),$J3585,('Loading-truck'!$E$31:$E$48))*Impacts!$F$14,0)),0)</f>
        <v>0</v>
      </c>
      <c r="S3585" s="10">
        <f>IFERROR(IF(('Loading-rail'!$C$21)="No control",SUMIF(('Loading-rail'!$B$31:$B$48),$J3585,('Loading-rail'!$D$31:$D$48))*Impacts!$F$15,IF(('Loading-rail'!$C$21)&lt;&gt;"No control",SUMIF(('Loading-rail'!$B$31:$B$48),$J3585,('Loading-rail'!$E$31:$E$48))*Impacts!$F$15,0)),0)</f>
        <v>0</v>
      </c>
      <c r="T3585" s="10">
        <f>IF(Flare!$C$7="",0,(SUMIF(Flare!$B$46:$B$185,$J3585,Flare!$E$46:$E$185)*Impacts!$F$16))</f>
        <v>0</v>
      </c>
      <c r="U3585" s="10">
        <f>IF(VCU!$C$9="",0,(SUMIF(VCU!$B$51:$B$193,$J3585,VCU!$E$51:$E$193)*Impacts!$F$17))</f>
        <v>0</v>
      </c>
      <c r="V3585" s="10">
        <f>IF(CAS!$C$7="",0,(SUMIF(CAS!$B$31:$B$167,$J3585,CAS!$E$31:$E$167)*Impacts!$F$18))</f>
        <v>0</v>
      </c>
      <c r="W3585" s="10">
        <f t="shared" si="96"/>
        <v>0</v>
      </c>
      <c r="AK3585" s="10" t="str">
        <f t="array" ref="AK3585">IFERROR(INDEX(SelectedSpecies,SMALL(IF(SelectedSpecies=AK$1,ROW(SelectedSpecies)),ROW(3586:3586)),2),"")</f>
        <v/>
      </c>
      <c r="BE3585" s="10"/>
      <c r="BI3585" s="10"/>
    </row>
    <row r="3586" spans="1:61" ht="21" customHeight="1" x14ac:dyDescent="0.25">
      <c r="A3586" s="10"/>
      <c r="B3586" s="10"/>
      <c r="E3586" s="10"/>
      <c r="G3586" s="10"/>
      <c r="I3586" s="436" t="s">
        <v>6472</v>
      </c>
      <c r="J3586" s="26" t="s">
        <v>6471</v>
      </c>
      <c r="K3586" s="10">
        <v>0.79</v>
      </c>
      <c r="L3586" s="73">
        <f>IF(Tank1!$C$23="No control",(SUMIF(Tank1!$B$32:$B$49,$J3586,Tank1!$C$32:$C$49)*Impacts!$F$8),0)</f>
        <v>0</v>
      </c>
      <c r="M3586" s="10">
        <f>IF(Tank2!$C$23="No control",(SUMIF(Tank2!$B$32:$B$49,$J3586,Tank2!$C$32:$C$49)*Impacts!$F$9),0)</f>
        <v>0</v>
      </c>
      <c r="N3586" s="10">
        <f>IF(Tank3!$C$23="No control",(SUMIF(Tank3!$B$32:$B$49,$J3586,Tank3!$C$32:$C$49)*Impacts!$F$10),0)</f>
        <v>0</v>
      </c>
      <c r="O3586" s="10">
        <f>IF(Tank4!$C$23="No control",(SUMIF(Tank4!$B$32:$B$49,$J3586,Tank4!$C$32:$C$49)*Impacts!$F$11),0)</f>
        <v>0</v>
      </c>
      <c r="P3586" s="10">
        <f>IF(Tank5!$C$23="No control",(SUMIF(Tank5!$B$32:$B$49,$J3586,Tank5!$C$32:$C$49)*Impacts!$F$12),0)</f>
        <v>0</v>
      </c>
      <c r="Q3586" s="10">
        <f>IFERROR(IF(('Loading-drum,tote'!$C$21)="No control",SUMIF(('Loading-drum,tote'!$B$31:$B$48),$J3586,('Loading-drum,tote'!$D$31:$D$48))*Impacts!$F$13,IF(('Loading-drum,tote'!$C$21)&lt;&gt;"No control",SUMIF(('Loading-drum,tote'!$B$31:$B$48),$J3586,('Loading-drum,tote'!$E$31:$E$48))*Impacts!$F$13,0)),0)</f>
        <v>0</v>
      </c>
      <c r="R3586" s="10">
        <f>IFERROR(IF(('Loading-truck'!$C$21)="No control",SUMIF(('Loading-truck'!$B$31:$B$48),$J3586,('Loading-truck'!$D$31:$D$48))*Impacts!$F$14,IF(('Loading-truck'!$C$21)&lt;&gt;"No control",SUMIF(('Loading-truck'!$B$31:$B$48),$J3586,('Loading-truck'!$E$31:$E$48))*Impacts!$F$14,0)),0)</f>
        <v>0</v>
      </c>
      <c r="S3586" s="10">
        <f>IFERROR(IF(('Loading-rail'!$C$21)="No control",SUMIF(('Loading-rail'!$B$31:$B$48),$J3586,('Loading-rail'!$D$31:$D$48))*Impacts!$F$15,IF(('Loading-rail'!$C$21)&lt;&gt;"No control",SUMIF(('Loading-rail'!$B$31:$B$48),$J3586,('Loading-rail'!$E$31:$E$48))*Impacts!$F$15,0)),0)</f>
        <v>0</v>
      </c>
      <c r="T3586" s="10">
        <f>IF(Flare!$C$7="",0,(SUMIF(Flare!$B$46:$B$185,$J3586,Flare!$E$46:$E$185)*Impacts!$F$16))</f>
        <v>0</v>
      </c>
      <c r="U3586" s="10">
        <f>IF(VCU!$C$9="",0,(SUMIF(VCU!$B$51:$B$193,$J3586,VCU!$E$51:$E$193)*Impacts!$F$17))</f>
        <v>0</v>
      </c>
      <c r="V3586" s="10">
        <f>IF(CAS!$C$7="",0,(SUMIF(CAS!$B$31:$B$167,$J3586,CAS!$E$31:$E$167)*Impacts!$F$18))</f>
        <v>0</v>
      </c>
      <c r="W3586" s="10">
        <f t="shared" si="96"/>
        <v>0</v>
      </c>
      <c r="AK3586" s="10" t="str">
        <f t="array" ref="AK3586">IFERROR(INDEX(SelectedSpecies,SMALL(IF(SelectedSpecies=AK$1,ROW(SelectedSpecies)),ROW(3587:3587)),2),"")</f>
        <v/>
      </c>
      <c r="BE3586" s="10"/>
      <c r="BI3586" s="10"/>
    </row>
    <row r="3587" spans="1:61" ht="21" customHeight="1" x14ac:dyDescent="0.25">
      <c r="A3587" s="10"/>
      <c r="B3587" s="10"/>
      <c r="E3587" s="10"/>
      <c r="G3587" s="10"/>
      <c r="I3587" s="436" t="s">
        <v>7630</v>
      </c>
      <c r="J3587" s="26" t="s">
        <v>7629</v>
      </c>
      <c r="K3587" s="10">
        <v>0.13999999999999999</v>
      </c>
      <c r="L3587" s="73">
        <f>IF(Tank1!$C$23="No control",(SUMIF(Tank1!$B$32:$B$49,$J3587,Tank1!$C$32:$C$49)*Impacts!$F$8),0)</f>
        <v>0</v>
      </c>
      <c r="M3587" s="10">
        <f>IF(Tank2!$C$23="No control",(SUMIF(Tank2!$B$32:$B$49,$J3587,Tank2!$C$32:$C$49)*Impacts!$F$9),0)</f>
        <v>0</v>
      </c>
      <c r="N3587" s="10">
        <f>IF(Tank3!$C$23="No control",(SUMIF(Tank3!$B$32:$B$49,$J3587,Tank3!$C$32:$C$49)*Impacts!$F$10),0)</f>
        <v>0</v>
      </c>
      <c r="O3587" s="10">
        <f>IF(Tank4!$C$23="No control",(SUMIF(Tank4!$B$32:$B$49,$J3587,Tank4!$C$32:$C$49)*Impacts!$F$11),0)</f>
        <v>0</v>
      </c>
      <c r="P3587" s="10">
        <f>IF(Tank5!$C$23="No control",(SUMIF(Tank5!$B$32:$B$49,$J3587,Tank5!$C$32:$C$49)*Impacts!$F$12),0)</f>
        <v>0</v>
      </c>
      <c r="Q3587" s="10">
        <f>IFERROR(IF(('Loading-drum,tote'!$C$21)="No control",SUMIF(('Loading-drum,tote'!$B$31:$B$48),$J3587,('Loading-drum,tote'!$D$31:$D$48))*Impacts!$F$13,IF(('Loading-drum,tote'!$C$21)&lt;&gt;"No control",SUMIF(('Loading-drum,tote'!$B$31:$B$48),$J3587,('Loading-drum,tote'!$E$31:$E$48))*Impacts!$F$13,0)),0)</f>
        <v>0</v>
      </c>
      <c r="R3587" s="10">
        <f>IFERROR(IF(('Loading-truck'!$C$21)="No control",SUMIF(('Loading-truck'!$B$31:$B$48),$J3587,('Loading-truck'!$D$31:$D$48))*Impacts!$F$14,IF(('Loading-truck'!$C$21)&lt;&gt;"No control",SUMIF(('Loading-truck'!$B$31:$B$48),$J3587,('Loading-truck'!$E$31:$E$48))*Impacts!$F$14,0)),0)</f>
        <v>0</v>
      </c>
      <c r="S3587" s="10">
        <f>IFERROR(IF(('Loading-rail'!$C$21)="No control",SUMIF(('Loading-rail'!$B$31:$B$48),$J3587,('Loading-rail'!$D$31:$D$48))*Impacts!$F$15,IF(('Loading-rail'!$C$21)&lt;&gt;"No control",SUMIF(('Loading-rail'!$B$31:$B$48),$J3587,('Loading-rail'!$E$31:$E$48))*Impacts!$F$15,0)),0)</f>
        <v>0</v>
      </c>
      <c r="T3587" s="10">
        <f>IF(Flare!$C$7="",0,(SUMIF(Flare!$B$46:$B$185,$J3587,Flare!$E$46:$E$185)*Impacts!$F$16))</f>
        <v>0</v>
      </c>
      <c r="U3587" s="10">
        <f>IF(VCU!$C$9="",0,(SUMIF(VCU!$B$51:$B$193,$J3587,VCU!$E$51:$E$193)*Impacts!$F$17))</f>
        <v>0</v>
      </c>
      <c r="V3587" s="10">
        <f>IF(CAS!$C$7="",0,(SUMIF(CAS!$B$31:$B$167,$J3587,CAS!$E$31:$E$167)*Impacts!$F$18))</f>
        <v>0</v>
      </c>
      <c r="W3587" s="10">
        <f t="shared" si="96"/>
        <v>0</v>
      </c>
      <c r="AK3587" s="10" t="str">
        <f t="array" ref="AK3587">IFERROR(INDEX(SelectedSpecies,SMALL(IF(SelectedSpecies=AK$1,ROW(SelectedSpecies)),ROW(3588:3588)),2),"")</f>
        <v/>
      </c>
      <c r="BE3587" s="10"/>
      <c r="BI3587" s="10"/>
    </row>
    <row r="3588" spans="1:61" ht="21" customHeight="1" x14ac:dyDescent="0.25">
      <c r="A3588" s="10"/>
      <c r="B3588" s="10"/>
      <c r="E3588" s="10"/>
      <c r="G3588" s="10"/>
      <c r="I3588" s="436" t="s">
        <v>7118</v>
      </c>
      <c r="J3588" s="26" t="s">
        <v>7117</v>
      </c>
      <c r="K3588" s="10">
        <v>0.4</v>
      </c>
      <c r="L3588" s="73">
        <f>IF(Tank1!$C$23="No control",(SUMIF(Tank1!$B$32:$B$49,$J3588,Tank1!$C$32:$C$49)*Impacts!$F$8),0)</f>
        <v>0</v>
      </c>
      <c r="M3588" s="10">
        <f>IF(Tank2!$C$23="No control",(SUMIF(Tank2!$B$32:$B$49,$J3588,Tank2!$C$32:$C$49)*Impacts!$F$9),0)</f>
        <v>0</v>
      </c>
      <c r="N3588" s="10">
        <f>IF(Tank3!$C$23="No control",(SUMIF(Tank3!$B$32:$B$49,$J3588,Tank3!$C$32:$C$49)*Impacts!$F$10),0)</f>
        <v>0</v>
      </c>
      <c r="O3588" s="10">
        <f>IF(Tank4!$C$23="No control",(SUMIF(Tank4!$B$32:$B$49,$J3588,Tank4!$C$32:$C$49)*Impacts!$F$11),0)</f>
        <v>0</v>
      </c>
      <c r="P3588" s="10">
        <f>IF(Tank5!$C$23="No control",(SUMIF(Tank5!$B$32:$B$49,$J3588,Tank5!$C$32:$C$49)*Impacts!$F$12),0)</f>
        <v>0</v>
      </c>
      <c r="Q3588" s="10">
        <f>IFERROR(IF(('Loading-drum,tote'!$C$21)="No control",SUMIF(('Loading-drum,tote'!$B$31:$B$48),$J3588,('Loading-drum,tote'!$D$31:$D$48))*Impacts!$F$13,IF(('Loading-drum,tote'!$C$21)&lt;&gt;"No control",SUMIF(('Loading-drum,tote'!$B$31:$B$48),$J3588,('Loading-drum,tote'!$E$31:$E$48))*Impacts!$F$13,0)),0)</f>
        <v>0</v>
      </c>
      <c r="R3588" s="10">
        <f>IFERROR(IF(('Loading-truck'!$C$21)="No control",SUMIF(('Loading-truck'!$B$31:$B$48),$J3588,('Loading-truck'!$D$31:$D$48))*Impacts!$F$14,IF(('Loading-truck'!$C$21)&lt;&gt;"No control",SUMIF(('Loading-truck'!$B$31:$B$48),$J3588,('Loading-truck'!$E$31:$E$48))*Impacts!$F$14,0)),0)</f>
        <v>0</v>
      </c>
      <c r="S3588" s="10">
        <f>IFERROR(IF(('Loading-rail'!$C$21)="No control",SUMIF(('Loading-rail'!$B$31:$B$48),$J3588,('Loading-rail'!$D$31:$D$48))*Impacts!$F$15,IF(('Loading-rail'!$C$21)&lt;&gt;"No control",SUMIF(('Loading-rail'!$B$31:$B$48),$J3588,('Loading-rail'!$E$31:$E$48))*Impacts!$F$15,0)),0)</f>
        <v>0</v>
      </c>
      <c r="T3588" s="10">
        <f>IF(Flare!$C$7="",0,(SUMIF(Flare!$B$46:$B$185,$J3588,Flare!$E$46:$E$185)*Impacts!$F$16))</f>
        <v>0</v>
      </c>
      <c r="U3588" s="10">
        <f>IF(VCU!$C$9="",0,(SUMIF(VCU!$B$51:$B$193,$J3588,VCU!$E$51:$E$193)*Impacts!$F$17))</f>
        <v>0</v>
      </c>
      <c r="V3588" s="10">
        <f>IF(CAS!$C$7="",0,(SUMIF(CAS!$B$31:$B$167,$J3588,CAS!$E$31:$E$167)*Impacts!$F$18))</f>
        <v>0</v>
      </c>
      <c r="W3588" s="10">
        <f t="shared" si="96"/>
        <v>0</v>
      </c>
      <c r="AK3588" s="10" t="str">
        <f t="array" ref="AK3588">IFERROR(INDEX(SelectedSpecies,SMALL(IF(SelectedSpecies=AK$1,ROW(SelectedSpecies)),ROW(3589:3589)),2),"")</f>
        <v/>
      </c>
      <c r="BE3588" s="10"/>
      <c r="BI3588" s="10"/>
    </row>
    <row r="3589" spans="1:61" ht="21" customHeight="1" x14ac:dyDescent="0.25">
      <c r="A3589" s="10"/>
      <c r="B3589" s="10"/>
      <c r="E3589" s="10"/>
      <c r="G3589" s="10"/>
      <c r="I3589" s="436" t="s">
        <v>4315</v>
      </c>
      <c r="J3589" s="26" t="s">
        <v>4314</v>
      </c>
      <c r="K3589" s="10">
        <v>5</v>
      </c>
      <c r="L3589" s="73">
        <f>IF(Tank1!$C$23="No control",(SUMIF(Tank1!$B$32:$B$49,$J3589,Tank1!$C$32:$C$49)*Impacts!$F$8),0)</f>
        <v>0</v>
      </c>
      <c r="M3589" s="10">
        <f>IF(Tank2!$C$23="No control",(SUMIF(Tank2!$B$32:$B$49,$J3589,Tank2!$C$32:$C$49)*Impacts!$F$9),0)</f>
        <v>0</v>
      </c>
      <c r="N3589" s="10">
        <f>IF(Tank3!$C$23="No control",(SUMIF(Tank3!$B$32:$B$49,$J3589,Tank3!$C$32:$C$49)*Impacts!$F$10),0)</f>
        <v>0</v>
      </c>
      <c r="O3589" s="10">
        <f>IF(Tank4!$C$23="No control",(SUMIF(Tank4!$B$32:$B$49,$J3589,Tank4!$C$32:$C$49)*Impacts!$F$11),0)</f>
        <v>0</v>
      </c>
      <c r="P3589" s="10">
        <f>IF(Tank5!$C$23="No control",(SUMIF(Tank5!$B$32:$B$49,$J3589,Tank5!$C$32:$C$49)*Impacts!$F$12),0)</f>
        <v>0</v>
      </c>
      <c r="Q3589" s="10">
        <f>IFERROR(IF(('Loading-drum,tote'!$C$21)="No control",SUMIF(('Loading-drum,tote'!$B$31:$B$48),$J3589,('Loading-drum,tote'!$D$31:$D$48))*Impacts!$F$13,IF(('Loading-drum,tote'!$C$21)&lt;&gt;"No control",SUMIF(('Loading-drum,tote'!$B$31:$B$48),$J3589,('Loading-drum,tote'!$E$31:$E$48))*Impacts!$F$13,0)),0)</f>
        <v>0</v>
      </c>
      <c r="R3589" s="10">
        <f>IFERROR(IF(('Loading-truck'!$C$21)="No control",SUMIF(('Loading-truck'!$B$31:$B$48),$J3589,('Loading-truck'!$D$31:$D$48))*Impacts!$F$14,IF(('Loading-truck'!$C$21)&lt;&gt;"No control",SUMIF(('Loading-truck'!$B$31:$B$48),$J3589,('Loading-truck'!$E$31:$E$48))*Impacts!$F$14,0)),0)</f>
        <v>0</v>
      </c>
      <c r="S3589" s="10">
        <f>IFERROR(IF(('Loading-rail'!$C$21)="No control",SUMIF(('Loading-rail'!$B$31:$B$48),$J3589,('Loading-rail'!$D$31:$D$48))*Impacts!$F$15,IF(('Loading-rail'!$C$21)&lt;&gt;"No control",SUMIF(('Loading-rail'!$B$31:$B$48),$J3589,('Loading-rail'!$E$31:$E$48))*Impacts!$F$15,0)),0)</f>
        <v>0</v>
      </c>
      <c r="T3589" s="10">
        <f>IF(Flare!$C$7="",0,(SUMIF(Flare!$B$46:$B$185,$J3589,Flare!$E$46:$E$185)*Impacts!$F$16))</f>
        <v>0</v>
      </c>
      <c r="U3589" s="10">
        <f>IF(VCU!$C$9="",0,(SUMIF(VCU!$B$51:$B$193,$J3589,VCU!$E$51:$E$193)*Impacts!$F$17))</f>
        <v>0</v>
      </c>
      <c r="V3589" s="10">
        <f>IF(CAS!$C$7="",0,(SUMIF(CAS!$B$31:$B$167,$J3589,CAS!$E$31:$E$167)*Impacts!$F$18))</f>
        <v>0</v>
      </c>
      <c r="W3589" s="10">
        <f t="shared" si="96"/>
        <v>0</v>
      </c>
      <c r="AK3589" s="10" t="str">
        <f t="array" ref="AK3589">IFERROR(INDEX(SelectedSpecies,SMALL(IF(SelectedSpecies=AK$1,ROW(SelectedSpecies)),ROW(3590:3590)),2),"")</f>
        <v/>
      </c>
      <c r="BE3589" s="10"/>
      <c r="BI3589" s="10"/>
    </row>
    <row r="3590" spans="1:61" ht="21" customHeight="1" x14ac:dyDescent="0.25">
      <c r="A3590" s="10"/>
      <c r="B3590" s="10"/>
      <c r="E3590" s="10"/>
      <c r="G3590" s="10"/>
      <c r="I3590" s="436" t="s">
        <v>4317</v>
      </c>
      <c r="J3590" s="26" t="s">
        <v>4316</v>
      </c>
      <c r="K3590" s="10">
        <v>5</v>
      </c>
      <c r="L3590" s="73">
        <f>IF(Tank1!$C$23="No control",(SUMIF(Tank1!$B$32:$B$49,$J3590,Tank1!$C$32:$C$49)*Impacts!$F$8),0)</f>
        <v>0</v>
      </c>
      <c r="M3590" s="10">
        <f>IF(Tank2!$C$23="No control",(SUMIF(Tank2!$B$32:$B$49,$J3590,Tank2!$C$32:$C$49)*Impacts!$F$9),0)</f>
        <v>0</v>
      </c>
      <c r="N3590" s="10">
        <f>IF(Tank3!$C$23="No control",(SUMIF(Tank3!$B$32:$B$49,$J3590,Tank3!$C$32:$C$49)*Impacts!$F$10),0)</f>
        <v>0</v>
      </c>
      <c r="O3590" s="10">
        <f>IF(Tank4!$C$23="No control",(SUMIF(Tank4!$B$32:$B$49,$J3590,Tank4!$C$32:$C$49)*Impacts!$F$11),0)</f>
        <v>0</v>
      </c>
      <c r="P3590" s="10">
        <f>IF(Tank5!$C$23="No control",(SUMIF(Tank5!$B$32:$B$49,$J3590,Tank5!$C$32:$C$49)*Impacts!$F$12),0)</f>
        <v>0</v>
      </c>
      <c r="Q3590" s="10">
        <f>IFERROR(IF(('Loading-drum,tote'!$C$21)="No control",SUMIF(('Loading-drum,tote'!$B$31:$B$48),$J3590,('Loading-drum,tote'!$D$31:$D$48))*Impacts!$F$13,IF(('Loading-drum,tote'!$C$21)&lt;&gt;"No control",SUMIF(('Loading-drum,tote'!$B$31:$B$48),$J3590,('Loading-drum,tote'!$E$31:$E$48))*Impacts!$F$13,0)),0)</f>
        <v>0</v>
      </c>
      <c r="R3590" s="10">
        <f>IFERROR(IF(('Loading-truck'!$C$21)="No control",SUMIF(('Loading-truck'!$B$31:$B$48),$J3590,('Loading-truck'!$D$31:$D$48))*Impacts!$F$14,IF(('Loading-truck'!$C$21)&lt;&gt;"No control",SUMIF(('Loading-truck'!$B$31:$B$48),$J3590,('Loading-truck'!$E$31:$E$48))*Impacts!$F$14,0)),0)</f>
        <v>0</v>
      </c>
      <c r="S3590" s="10">
        <f>IFERROR(IF(('Loading-rail'!$C$21)="No control",SUMIF(('Loading-rail'!$B$31:$B$48),$J3590,('Loading-rail'!$D$31:$D$48))*Impacts!$F$15,IF(('Loading-rail'!$C$21)&lt;&gt;"No control",SUMIF(('Loading-rail'!$B$31:$B$48),$J3590,('Loading-rail'!$E$31:$E$48))*Impacts!$F$15,0)),0)</f>
        <v>0</v>
      </c>
      <c r="T3590" s="10">
        <f>IF(Flare!$C$7="",0,(SUMIF(Flare!$B$46:$B$185,$J3590,Flare!$E$46:$E$185)*Impacts!$F$16))</f>
        <v>0</v>
      </c>
      <c r="U3590" s="10">
        <f>IF(VCU!$C$9="",0,(SUMIF(VCU!$B$51:$B$193,$J3590,VCU!$E$51:$E$193)*Impacts!$F$17))</f>
        <v>0</v>
      </c>
      <c r="V3590" s="10">
        <f>IF(CAS!$C$7="",0,(SUMIF(CAS!$B$31:$B$167,$J3590,CAS!$E$31:$E$167)*Impacts!$F$18))</f>
        <v>0</v>
      </c>
      <c r="W3590" s="10">
        <f t="shared" si="96"/>
        <v>0</v>
      </c>
      <c r="AK3590" s="10" t="str">
        <f t="array" ref="AK3590">IFERROR(INDEX(SelectedSpecies,SMALL(IF(SelectedSpecies=AK$1,ROW(SelectedSpecies)),ROW(3591:3591)),2),"")</f>
        <v/>
      </c>
      <c r="BE3590" s="10"/>
      <c r="BI3590" s="10"/>
    </row>
    <row r="3591" spans="1:61" ht="21" customHeight="1" x14ac:dyDescent="0.25">
      <c r="A3591" s="10"/>
      <c r="B3591" s="10"/>
      <c r="E3591" s="10"/>
      <c r="G3591" s="10"/>
      <c r="I3591" s="436" t="s">
        <v>4693</v>
      </c>
      <c r="J3591" s="26" t="s">
        <v>4692</v>
      </c>
      <c r="K3591" s="10">
        <v>3.6</v>
      </c>
      <c r="L3591" s="73">
        <f>IF(Tank1!$C$23="No control",(SUMIF(Tank1!$B$32:$B$49,$J3591,Tank1!$C$32:$C$49)*Impacts!$F$8),0)</f>
        <v>0</v>
      </c>
      <c r="M3591" s="10">
        <f>IF(Tank2!$C$23="No control",(SUMIF(Tank2!$B$32:$B$49,$J3591,Tank2!$C$32:$C$49)*Impacts!$F$9),0)</f>
        <v>0</v>
      </c>
      <c r="N3591" s="10">
        <f>IF(Tank3!$C$23="No control",(SUMIF(Tank3!$B$32:$B$49,$J3591,Tank3!$C$32:$C$49)*Impacts!$F$10),0)</f>
        <v>0</v>
      </c>
      <c r="O3591" s="10">
        <f>IF(Tank4!$C$23="No control",(SUMIF(Tank4!$B$32:$B$49,$J3591,Tank4!$C$32:$C$49)*Impacts!$F$11),0)</f>
        <v>0</v>
      </c>
      <c r="P3591" s="10">
        <f>IF(Tank5!$C$23="No control",(SUMIF(Tank5!$B$32:$B$49,$J3591,Tank5!$C$32:$C$49)*Impacts!$F$12),0)</f>
        <v>0</v>
      </c>
      <c r="Q3591" s="10">
        <f>IFERROR(IF(('Loading-drum,tote'!$C$21)="No control",SUMIF(('Loading-drum,tote'!$B$31:$B$48),$J3591,('Loading-drum,tote'!$D$31:$D$48))*Impacts!$F$13,IF(('Loading-drum,tote'!$C$21)&lt;&gt;"No control",SUMIF(('Loading-drum,tote'!$B$31:$B$48),$J3591,('Loading-drum,tote'!$E$31:$E$48))*Impacts!$F$13,0)),0)</f>
        <v>0</v>
      </c>
      <c r="R3591" s="10">
        <f>IFERROR(IF(('Loading-truck'!$C$21)="No control",SUMIF(('Loading-truck'!$B$31:$B$48),$J3591,('Loading-truck'!$D$31:$D$48))*Impacts!$F$14,IF(('Loading-truck'!$C$21)&lt;&gt;"No control",SUMIF(('Loading-truck'!$B$31:$B$48),$J3591,('Loading-truck'!$E$31:$E$48))*Impacts!$F$14,0)),0)</f>
        <v>0</v>
      </c>
      <c r="S3591" s="10">
        <f>IFERROR(IF(('Loading-rail'!$C$21)="No control",SUMIF(('Loading-rail'!$B$31:$B$48),$J3591,('Loading-rail'!$D$31:$D$48))*Impacts!$F$15,IF(('Loading-rail'!$C$21)&lt;&gt;"No control",SUMIF(('Loading-rail'!$B$31:$B$48),$J3591,('Loading-rail'!$E$31:$E$48))*Impacts!$F$15,0)),0)</f>
        <v>0</v>
      </c>
      <c r="T3591" s="10">
        <f>IF(Flare!$C$7="",0,(SUMIF(Flare!$B$46:$B$185,$J3591,Flare!$E$46:$E$185)*Impacts!$F$16))</f>
        <v>0</v>
      </c>
      <c r="U3591" s="10">
        <f>IF(VCU!$C$9="",0,(SUMIF(VCU!$B$51:$B$193,$J3591,VCU!$E$51:$E$193)*Impacts!$F$17))</f>
        <v>0</v>
      </c>
      <c r="V3591" s="10">
        <f>IF(CAS!$C$7="",0,(SUMIF(CAS!$B$31:$B$167,$J3591,CAS!$E$31:$E$167)*Impacts!$F$18))</f>
        <v>0</v>
      </c>
      <c r="W3591" s="10">
        <f t="shared" si="96"/>
        <v>0</v>
      </c>
      <c r="AK3591" s="10" t="str">
        <f t="array" ref="AK3591">IFERROR(INDEX(SelectedSpecies,SMALL(IF(SelectedSpecies=AK$1,ROW(SelectedSpecies)),ROW(3592:3592)),2),"")</f>
        <v/>
      </c>
      <c r="BE3591" s="10"/>
      <c r="BI3591" s="10"/>
    </row>
    <row r="3592" spans="1:61" ht="21" customHeight="1" x14ac:dyDescent="0.25">
      <c r="A3592" s="10"/>
      <c r="B3592" s="10"/>
      <c r="E3592" s="10"/>
      <c r="G3592" s="10"/>
      <c r="I3592" s="436" t="s">
        <v>3503</v>
      </c>
      <c r="J3592" s="26" t="s">
        <v>3502</v>
      </c>
      <c r="K3592" s="10">
        <v>9.2000000000000011</v>
      </c>
      <c r="L3592" s="73">
        <f>IF(Tank1!$C$23="No control",(SUMIF(Tank1!$B$32:$B$49,$J3592,Tank1!$C$32:$C$49)*Impacts!$F$8),0)</f>
        <v>0</v>
      </c>
      <c r="M3592" s="10">
        <f>IF(Tank2!$C$23="No control",(SUMIF(Tank2!$B$32:$B$49,$J3592,Tank2!$C$32:$C$49)*Impacts!$F$9),0)</f>
        <v>0</v>
      </c>
      <c r="N3592" s="10">
        <f>IF(Tank3!$C$23="No control",(SUMIF(Tank3!$B$32:$B$49,$J3592,Tank3!$C$32:$C$49)*Impacts!$F$10),0)</f>
        <v>0</v>
      </c>
      <c r="O3592" s="10">
        <f>IF(Tank4!$C$23="No control",(SUMIF(Tank4!$B$32:$B$49,$J3592,Tank4!$C$32:$C$49)*Impacts!$F$11),0)</f>
        <v>0</v>
      </c>
      <c r="P3592" s="10">
        <f>IF(Tank5!$C$23="No control",(SUMIF(Tank5!$B$32:$B$49,$J3592,Tank5!$C$32:$C$49)*Impacts!$F$12),0)</f>
        <v>0</v>
      </c>
      <c r="Q3592" s="10">
        <f>IFERROR(IF(('Loading-drum,tote'!$C$21)="No control",SUMIF(('Loading-drum,tote'!$B$31:$B$48),$J3592,('Loading-drum,tote'!$D$31:$D$48))*Impacts!$F$13,IF(('Loading-drum,tote'!$C$21)&lt;&gt;"No control",SUMIF(('Loading-drum,tote'!$B$31:$B$48),$J3592,('Loading-drum,tote'!$E$31:$E$48))*Impacts!$F$13,0)),0)</f>
        <v>0</v>
      </c>
      <c r="R3592" s="10">
        <f>IFERROR(IF(('Loading-truck'!$C$21)="No control",SUMIF(('Loading-truck'!$B$31:$B$48),$J3592,('Loading-truck'!$D$31:$D$48))*Impacts!$F$14,IF(('Loading-truck'!$C$21)&lt;&gt;"No control",SUMIF(('Loading-truck'!$B$31:$B$48),$J3592,('Loading-truck'!$E$31:$E$48))*Impacts!$F$14,0)),0)</f>
        <v>0</v>
      </c>
      <c r="S3592" s="10">
        <f>IFERROR(IF(('Loading-rail'!$C$21)="No control",SUMIF(('Loading-rail'!$B$31:$B$48),$J3592,('Loading-rail'!$D$31:$D$48))*Impacts!$F$15,IF(('Loading-rail'!$C$21)&lt;&gt;"No control",SUMIF(('Loading-rail'!$B$31:$B$48),$J3592,('Loading-rail'!$E$31:$E$48))*Impacts!$F$15,0)),0)</f>
        <v>0</v>
      </c>
      <c r="T3592" s="10">
        <f>IF(Flare!$C$7="",0,(SUMIF(Flare!$B$46:$B$185,$J3592,Flare!$E$46:$E$185)*Impacts!$F$16))</f>
        <v>0</v>
      </c>
      <c r="U3592" s="10">
        <f>IF(VCU!$C$9="",0,(SUMIF(VCU!$B$51:$B$193,$J3592,VCU!$E$51:$E$193)*Impacts!$F$17))</f>
        <v>0</v>
      </c>
      <c r="V3592" s="10">
        <f>IF(CAS!$C$7="",0,(SUMIF(CAS!$B$31:$B$167,$J3592,CAS!$E$31:$E$167)*Impacts!$F$18))</f>
        <v>0</v>
      </c>
      <c r="W3592" s="10">
        <f t="shared" si="96"/>
        <v>0</v>
      </c>
      <c r="AK3592" s="10" t="str">
        <f t="array" ref="AK3592">IFERROR(INDEX(SelectedSpecies,SMALL(IF(SelectedSpecies=AK$1,ROW(SelectedSpecies)),ROW(3593:3593)),2),"")</f>
        <v/>
      </c>
      <c r="BE3592" s="10"/>
      <c r="BI3592" s="10"/>
    </row>
    <row r="3593" spans="1:61" ht="21" customHeight="1" x14ac:dyDescent="0.25">
      <c r="A3593" s="10"/>
      <c r="B3593" s="10"/>
      <c r="E3593" s="10"/>
      <c r="G3593" s="10"/>
      <c r="I3593" s="436" t="s">
        <v>6944</v>
      </c>
      <c r="J3593" s="26" t="s">
        <v>6943</v>
      </c>
      <c r="K3593" s="10">
        <v>0.5</v>
      </c>
      <c r="L3593" s="73">
        <f>IF(Tank1!$C$23="No control",(SUMIF(Tank1!$B$32:$B$49,$J3593,Tank1!$C$32:$C$49)*Impacts!$F$8),0)</f>
        <v>0</v>
      </c>
      <c r="M3593" s="10">
        <f>IF(Tank2!$C$23="No control",(SUMIF(Tank2!$B$32:$B$49,$J3593,Tank2!$C$32:$C$49)*Impacts!$F$9),0)</f>
        <v>0</v>
      </c>
      <c r="N3593" s="10">
        <f>IF(Tank3!$C$23="No control",(SUMIF(Tank3!$B$32:$B$49,$J3593,Tank3!$C$32:$C$49)*Impacts!$F$10),0)</f>
        <v>0</v>
      </c>
      <c r="O3593" s="10">
        <f>IF(Tank4!$C$23="No control",(SUMIF(Tank4!$B$32:$B$49,$J3593,Tank4!$C$32:$C$49)*Impacts!$F$11),0)</f>
        <v>0</v>
      </c>
      <c r="P3593" s="10">
        <f>IF(Tank5!$C$23="No control",(SUMIF(Tank5!$B$32:$B$49,$J3593,Tank5!$C$32:$C$49)*Impacts!$F$12),0)</f>
        <v>0</v>
      </c>
      <c r="Q3593" s="10">
        <f>IFERROR(IF(('Loading-drum,tote'!$C$21)="No control",SUMIF(('Loading-drum,tote'!$B$31:$B$48),$J3593,('Loading-drum,tote'!$D$31:$D$48))*Impacts!$F$13,IF(('Loading-drum,tote'!$C$21)&lt;&gt;"No control",SUMIF(('Loading-drum,tote'!$B$31:$B$48),$J3593,('Loading-drum,tote'!$E$31:$E$48))*Impacts!$F$13,0)),0)</f>
        <v>0</v>
      </c>
      <c r="R3593" s="10">
        <f>IFERROR(IF(('Loading-truck'!$C$21)="No control",SUMIF(('Loading-truck'!$B$31:$B$48),$J3593,('Loading-truck'!$D$31:$D$48))*Impacts!$F$14,IF(('Loading-truck'!$C$21)&lt;&gt;"No control",SUMIF(('Loading-truck'!$B$31:$B$48),$J3593,('Loading-truck'!$E$31:$E$48))*Impacts!$F$14,0)),0)</f>
        <v>0</v>
      </c>
      <c r="S3593" s="10">
        <f>IFERROR(IF(('Loading-rail'!$C$21)="No control",SUMIF(('Loading-rail'!$B$31:$B$48),$J3593,('Loading-rail'!$D$31:$D$48))*Impacts!$F$15,IF(('Loading-rail'!$C$21)&lt;&gt;"No control",SUMIF(('Loading-rail'!$B$31:$B$48),$J3593,('Loading-rail'!$E$31:$E$48))*Impacts!$F$15,0)),0)</f>
        <v>0</v>
      </c>
      <c r="T3593" s="10">
        <f>IF(Flare!$C$7="",0,(SUMIF(Flare!$B$46:$B$185,$J3593,Flare!$E$46:$E$185)*Impacts!$F$16))</f>
        <v>0</v>
      </c>
      <c r="U3593" s="10">
        <f>IF(VCU!$C$9="",0,(SUMIF(VCU!$B$51:$B$193,$J3593,VCU!$E$51:$E$193)*Impacts!$F$17))</f>
        <v>0</v>
      </c>
      <c r="V3593" s="10">
        <f>IF(CAS!$C$7="",0,(SUMIF(CAS!$B$31:$B$167,$J3593,CAS!$E$31:$E$167)*Impacts!$F$18))</f>
        <v>0</v>
      </c>
      <c r="W3593" s="10">
        <f t="shared" si="96"/>
        <v>0</v>
      </c>
      <c r="AK3593" s="10" t="str">
        <f t="array" ref="AK3593">IFERROR(INDEX(SelectedSpecies,SMALL(IF(SelectedSpecies=AK$1,ROW(SelectedSpecies)),ROW(3594:3594)),2),"")</f>
        <v/>
      </c>
      <c r="BE3593" s="10"/>
      <c r="BI3593" s="10"/>
    </row>
    <row r="3594" spans="1:61" ht="21" customHeight="1" x14ac:dyDescent="0.25">
      <c r="A3594" s="10"/>
      <c r="B3594" s="10"/>
      <c r="E3594" s="10"/>
      <c r="G3594" s="10"/>
      <c r="I3594" s="436" t="s">
        <v>7788</v>
      </c>
      <c r="J3594" s="26" t="s">
        <v>7787</v>
      </c>
      <c r="K3594" s="10">
        <v>0.1</v>
      </c>
      <c r="L3594" s="73">
        <f>IF(Tank1!$C$23="No control",(SUMIF(Tank1!$B$32:$B$49,$J3594,Tank1!$C$32:$C$49)*Impacts!$F$8),0)</f>
        <v>0</v>
      </c>
      <c r="M3594" s="10">
        <f>IF(Tank2!$C$23="No control",(SUMIF(Tank2!$B$32:$B$49,$J3594,Tank2!$C$32:$C$49)*Impacts!$F$9),0)</f>
        <v>0</v>
      </c>
      <c r="N3594" s="10">
        <f>IF(Tank3!$C$23="No control",(SUMIF(Tank3!$B$32:$B$49,$J3594,Tank3!$C$32:$C$49)*Impacts!$F$10),0)</f>
        <v>0</v>
      </c>
      <c r="O3594" s="10">
        <f>IF(Tank4!$C$23="No control",(SUMIF(Tank4!$B$32:$B$49,$J3594,Tank4!$C$32:$C$49)*Impacts!$F$11),0)</f>
        <v>0</v>
      </c>
      <c r="P3594" s="10">
        <f>IF(Tank5!$C$23="No control",(SUMIF(Tank5!$B$32:$B$49,$J3594,Tank5!$C$32:$C$49)*Impacts!$F$12),0)</f>
        <v>0</v>
      </c>
      <c r="Q3594" s="10">
        <f>IFERROR(IF(('Loading-drum,tote'!$C$21)="No control",SUMIF(('Loading-drum,tote'!$B$31:$B$48),$J3594,('Loading-drum,tote'!$D$31:$D$48))*Impacts!$F$13,IF(('Loading-drum,tote'!$C$21)&lt;&gt;"No control",SUMIF(('Loading-drum,tote'!$B$31:$B$48),$J3594,('Loading-drum,tote'!$E$31:$E$48))*Impacts!$F$13,0)),0)</f>
        <v>0</v>
      </c>
      <c r="R3594" s="10">
        <f>IFERROR(IF(('Loading-truck'!$C$21)="No control",SUMIF(('Loading-truck'!$B$31:$B$48),$J3594,('Loading-truck'!$D$31:$D$48))*Impacts!$F$14,IF(('Loading-truck'!$C$21)&lt;&gt;"No control",SUMIF(('Loading-truck'!$B$31:$B$48),$J3594,('Loading-truck'!$E$31:$E$48))*Impacts!$F$14,0)),0)</f>
        <v>0</v>
      </c>
      <c r="S3594" s="10">
        <f>IFERROR(IF(('Loading-rail'!$C$21)="No control",SUMIF(('Loading-rail'!$B$31:$B$48),$J3594,('Loading-rail'!$D$31:$D$48))*Impacts!$F$15,IF(('Loading-rail'!$C$21)&lt;&gt;"No control",SUMIF(('Loading-rail'!$B$31:$B$48),$J3594,('Loading-rail'!$E$31:$E$48))*Impacts!$F$15,0)),0)</f>
        <v>0</v>
      </c>
      <c r="T3594" s="10">
        <f>IF(Flare!$C$7="",0,(SUMIF(Flare!$B$46:$B$185,$J3594,Flare!$E$46:$E$185)*Impacts!$F$16))</f>
        <v>0</v>
      </c>
      <c r="U3594" s="10">
        <f>IF(VCU!$C$9="",0,(SUMIF(VCU!$B$51:$B$193,$J3594,VCU!$E$51:$E$193)*Impacts!$F$17))</f>
        <v>0</v>
      </c>
      <c r="V3594" s="10">
        <f>IF(CAS!$C$7="",0,(SUMIF(CAS!$B$31:$B$167,$J3594,CAS!$E$31:$E$167)*Impacts!$F$18))</f>
        <v>0</v>
      </c>
      <c r="W3594" s="10">
        <f t="shared" si="96"/>
        <v>0</v>
      </c>
      <c r="AK3594" s="10" t="str">
        <f t="array" ref="AK3594">IFERROR(INDEX(SelectedSpecies,SMALL(IF(SelectedSpecies=AK$1,ROW(SelectedSpecies)),ROW(3595:3595)),2),"")</f>
        <v/>
      </c>
      <c r="BE3594" s="10"/>
      <c r="BI3594" s="10"/>
    </row>
    <row r="3595" spans="1:61" ht="21" customHeight="1" x14ac:dyDescent="0.25">
      <c r="A3595" s="10"/>
      <c r="B3595" s="10"/>
      <c r="E3595" s="10"/>
      <c r="G3595" s="10"/>
      <c r="I3595" s="436" t="s">
        <v>7552</v>
      </c>
      <c r="J3595" s="26" t="s">
        <v>7551</v>
      </c>
      <c r="K3595" s="10">
        <v>0.2</v>
      </c>
      <c r="L3595" s="73">
        <f>IF(Tank1!$C$23="No control",(SUMIF(Tank1!$B$32:$B$49,$J3595,Tank1!$C$32:$C$49)*Impacts!$F$8),0)</f>
        <v>0</v>
      </c>
      <c r="M3595" s="10">
        <f>IF(Tank2!$C$23="No control",(SUMIF(Tank2!$B$32:$B$49,$J3595,Tank2!$C$32:$C$49)*Impacts!$F$9),0)</f>
        <v>0</v>
      </c>
      <c r="N3595" s="10">
        <f>IF(Tank3!$C$23="No control",(SUMIF(Tank3!$B$32:$B$49,$J3595,Tank3!$C$32:$C$49)*Impacts!$F$10),0)</f>
        <v>0</v>
      </c>
      <c r="O3595" s="10">
        <f>IF(Tank4!$C$23="No control",(SUMIF(Tank4!$B$32:$B$49,$J3595,Tank4!$C$32:$C$49)*Impacts!$F$11),0)</f>
        <v>0</v>
      </c>
      <c r="P3595" s="10">
        <f>IF(Tank5!$C$23="No control",(SUMIF(Tank5!$B$32:$B$49,$J3595,Tank5!$C$32:$C$49)*Impacts!$F$12),0)</f>
        <v>0</v>
      </c>
      <c r="Q3595" s="10">
        <f>IFERROR(IF(('Loading-drum,tote'!$C$21)="No control",SUMIF(('Loading-drum,tote'!$B$31:$B$48),$J3595,('Loading-drum,tote'!$D$31:$D$48))*Impacts!$F$13,IF(('Loading-drum,tote'!$C$21)&lt;&gt;"No control",SUMIF(('Loading-drum,tote'!$B$31:$B$48),$J3595,('Loading-drum,tote'!$E$31:$E$48))*Impacts!$F$13,0)),0)</f>
        <v>0</v>
      </c>
      <c r="R3595" s="10">
        <f>IFERROR(IF(('Loading-truck'!$C$21)="No control",SUMIF(('Loading-truck'!$B$31:$B$48),$J3595,('Loading-truck'!$D$31:$D$48))*Impacts!$F$14,IF(('Loading-truck'!$C$21)&lt;&gt;"No control",SUMIF(('Loading-truck'!$B$31:$B$48),$J3595,('Loading-truck'!$E$31:$E$48))*Impacts!$F$14,0)),0)</f>
        <v>0</v>
      </c>
      <c r="S3595" s="10">
        <f>IFERROR(IF(('Loading-rail'!$C$21)="No control",SUMIF(('Loading-rail'!$B$31:$B$48),$J3595,('Loading-rail'!$D$31:$D$48))*Impacts!$F$15,IF(('Loading-rail'!$C$21)&lt;&gt;"No control",SUMIF(('Loading-rail'!$B$31:$B$48),$J3595,('Loading-rail'!$E$31:$E$48))*Impacts!$F$15,0)),0)</f>
        <v>0</v>
      </c>
      <c r="T3595" s="10">
        <f>IF(Flare!$C$7="",0,(SUMIF(Flare!$B$46:$B$185,$J3595,Flare!$E$46:$E$185)*Impacts!$F$16))</f>
        <v>0</v>
      </c>
      <c r="U3595" s="10">
        <f>IF(VCU!$C$9="",0,(SUMIF(VCU!$B$51:$B$193,$J3595,VCU!$E$51:$E$193)*Impacts!$F$17))</f>
        <v>0</v>
      </c>
      <c r="V3595" s="10">
        <f>IF(CAS!$C$7="",0,(SUMIF(CAS!$B$31:$B$167,$J3595,CAS!$E$31:$E$167)*Impacts!$F$18))</f>
        <v>0</v>
      </c>
      <c r="W3595" s="10">
        <f t="shared" si="96"/>
        <v>0</v>
      </c>
      <c r="AK3595" s="10" t="str">
        <f t="array" ref="AK3595">IFERROR(INDEX(SelectedSpecies,SMALL(IF(SelectedSpecies=AK$1,ROW(SelectedSpecies)),ROW(3596:3596)),2),"")</f>
        <v/>
      </c>
      <c r="BE3595" s="10"/>
      <c r="BI3595" s="10"/>
    </row>
    <row r="3596" spans="1:61" ht="21" customHeight="1" x14ac:dyDescent="0.25">
      <c r="A3596" s="10"/>
      <c r="B3596" s="10"/>
      <c r="E3596" s="10"/>
      <c r="G3596" s="10"/>
      <c r="I3596" s="436" t="s">
        <v>7962</v>
      </c>
      <c r="J3596" s="26" t="s">
        <v>7961</v>
      </c>
      <c r="K3596" s="10">
        <v>4.2000000000000003E-2</v>
      </c>
      <c r="L3596" s="73">
        <f>IF(Tank1!$C$23="No control",(SUMIF(Tank1!$B$32:$B$49,$J3596,Tank1!$C$32:$C$49)*Impacts!$F$8),0)</f>
        <v>0</v>
      </c>
      <c r="M3596" s="10">
        <f>IF(Tank2!$C$23="No control",(SUMIF(Tank2!$B$32:$B$49,$J3596,Tank2!$C$32:$C$49)*Impacts!$F$9),0)</f>
        <v>0</v>
      </c>
      <c r="N3596" s="10">
        <f>IF(Tank3!$C$23="No control",(SUMIF(Tank3!$B$32:$B$49,$J3596,Tank3!$C$32:$C$49)*Impacts!$F$10),0)</f>
        <v>0</v>
      </c>
      <c r="O3596" s="10">
        <f>IF(Tank4!$C$23="No control",(SUMIF(Tank4!$B$32:$B$49,$J3596,Tank4!$C$32:$C$49)*Impacts!$F$11),0)</f>
        <v>0</v>
      </c>
      <c r="P3596" s="10">
        <f>IF(Tank5!$C$23="No control",(SUMIF(Tank5!$B$32:$B$49,$J3596,Tank5!$C$32:$C$49)*Impacts!$F$12),0)</f>
        <v>0</v>
      </c>
      <c r="Q3596" s="10">
        <f>IFERROR(IF(('Loading-drum,tote'!$C$21)="No control",SUMIF(('Loading-drum,tote'!$B$31:$B$48),$J3596,('Loading-drum,tote'!$D$31:$D$48))*Impacts!$F$13,IF(('Loading-drum,tote'!$C$21)&lt;&gt;"No control",SUMIF(('Loading-drum,tote'!$B$31:$B$48),$J3596,('Loading-drum,tote'!$E$31:$E$48))*Impacts!$F$13,0)),0)</f>
        <v>0</v>
      </c>
      <c r="R3596" s="10">
        <f>IFERROR(IF(('Loading-truck'!$C$21)="No control",SUMIF(('Loading-truck'!$B$31:$B$48),$J3596,('Loading-truck'!$D$31:$D$48))*Impacts!$F$14,IF(('Loading-truck'!$C$21)&lt;&gt;"No control",SUMIF(('Loading-truck'!$B$31:$B$48),$J3596,('Loading-truck'!$E$31:$E$48))*Impacts!$F$14,0)),0)</f>
        <v>0</v>
      </c>
      <c r="S3596" s="10">
        <f>IFERROR(IF(('Loading-rail'!$C$21)="No control",SUMIF(('Loading-rail'!$B$31:$B$48),$J3596,('Loading-rail'!$D$31:$D$48))*Impacts!$F$15,IF(('Loading-rail'!$C$21)&lt;&gt;"No control",SUMIF(('Loading-rail'!$B$31:$B$48),$J3596,('Loading-rail'!$E$31:$E$48))*Impacts!$F$15,0)),0)</f>
        <v>0</v>
      </c>
      <c r="T3596" s="10">
        <f>IF(Flare!$C$7="",0,(SUMIF(Flare!$B$46:$B$185,$J3596,Flare!$E$46:$E$185)*Impacts!$F$16))</f>
        <v>0</v>
      </c>
      <c r="U3596" s="10">
        <f>IF(VCU!$C$9="",0,(SUMIF(VCU!$B$51:$B$193,$J3596,VCU!$E$51:$E$193)*Impacts!$F$17))</f>
        <v>0</v>
      </c>
      <c r="V3596" s="10">
        <f>IF(CAS!$C$7="",0,(SUMIF(CAS!$B$31:$B$167,$J3596,CAS!$E$31:$E$167)*Impacts!$F$18))</f>
        <v>0</v>
      </c>
      <c r="W3596" s="10">
        <f t="shared" si="96"/>
        <v>0</v>
      </c>
      <c r="AK3596" s="10" t="str">
        <f t="array" ref="AK3596">IFERROR(INDEX(SelectedSpecies,SMALL(IF(SelectedSpecies=AK$1,ROW(SelectedSpecies)),ROW(3597:3597)),2),"")</f>
        <v/>
      </c>
      <c r="BE3596" s="10"/>
      <c r="BI3596" s="10"/>
    </row>
    <row r="3597" spans="1:61" ht="21" customHeight="1" x14ac:dyDescent="0.25">
      <c r="A3597" s="10"/>
      <c r="B3597" s="10"/>
      <c r="E3597" s="10"/>
      <c r="G3597" s="10"/>
      <c r="I3597" s="436" t="s">
        <v>7944</v>
      </c>
      <c r="J3597" s="26" t="s">
        <v>7943</v>
      </c>
      <c r="K3597" s="10">
        <v>0.05</v>
      </c>
      <c r="L3597" s="73">
        <f>IF(Tank1!$C$23="No control",(SUMIF(Tank1!$B$32:$B$49,$J3597,Tank1!$C$32:$C$49)*Impacts!$F$8),0)</f>
        <v>0</v>
      </c>
      <c r="M3597" s="10">
        <f>IF(Tank2!$C$23="No control",(SUMIF(Tank2!$B$32:$B$49,$J3597,Tank2!$C$32:$C$49)*Impacts!$F$9),0)</f>
        <v>0</v>
      </c>
      <c r="N3597" s="10">
        <f>IF(Tank3!$C$23="No control",(SUMIF(Tank3!$B$32:$B$49,$J3597,Tank3!$C$32:$C$49)*Impacts!$F$10),0)</f>
        <v>0</v>
      </c>
      <c r="O3597" s="10">
        <f>IF(Tank4!$C$23="No control",(SUMIF(Tank4!$B$32:$B$49,$J3597,Tank4!$C$32:$C$49)*Impacts!$F$11),0)</f>
        <v>0</v>
      </c>
      <c r="P3597" s="10">
        <f>IF(Tank5!$C$23="No control",(SUMIF(Tank5!$B$32:$B$49,$J3597,Tank5!$C$32:$C$49)*Impacts!$F$12),0)</f>
        <v>0</v>
      </c>
      <c r="Q3597" s="10">
        <f>IFERROR(IF(('Loading-drum,tote'!$C$21)="No control",SUMIF(('Loading-drum,tote'!$B$31:$B$48),$J3597,('Loading-drum,tote'!$D$31:$D$48))*Impacts!$F$13,IF(('Loading-drum,tote'!$C$21)&lt;&gt;"No control",SUMIF(('Loading-drum,tote'!$B$31:$B$48),$J3597,('Loading-drum,tote'!$E$31:$E$48))*Impacts!$F$13,0)),0)</f>
        <v>0</v>
      </c>
      <c r="R3597" s="10">
        <f>IFERROR(IF(('Loading-truck'!$C$21)="No control",SUMIF(('Loading-truck'!$B$31:$B$48),$J3597,('Loading-truck'!$D$31:$D$48))*Impacts!$F$14,IF(('Loading-truck'!$C$21)&lt;&gt;"No control",SUMIF(('Loading-truck'!$B$31:$B$48),$J3597,('Loading-truck'!$E$31:$E$48))*Impacts!$F$14,0)),0)</f>
        <v>0</v>
      </c>
      <c r="S3597" s="10">
        <f>IFERROR(IF(('Loading-rail'!$C$21)="No control",SUMIF(('Loading-rail'!$B$31:$B$48),$J3597,('Loading-rail'!$D$31:$D$48))*Impacts!$F$15,IF(('Loading-rail'!$C$21)&lt;&gt;"No control",SUMIF(('Loading-rail'!$B$31:$B$48),$J3597,('Loading-rail'!$E$31:$E$48))*Impacts!$F$15,0)),0)</f>
        <v>0</v>
      </c>
      <c r="T3597" s="10">
        <f>IF(Flare!$C$7="",0,(SUMIF(Flare!$B$46:$B$185,$J3597,Flare!$E$46:$E$185)*Impacts!$F$16))</f>
        <v>0</v>
      </c>
      <c r="U3597" s="10">
        <f>IF(VCU!$C$9="",0,(SUMIF(VCU!$B$51:$B$193,$J3597,VCU!$E$51:$E$193)*Impacts!$F$17))</f>
        <v>0</v>
      </c>
      <c r="V3597" s="10">
        <f>IF(CAS!$C$7="",0,(SUMIF(CAS!$B$31:$B$167,$J3597,CAS!$E$31:$E$167)*Impacts!$F$18))</f>
        <v>0</v>
      </c>
      <c r="W3597" s="10">
        <f t="shared" si="96"/>
        <v>0</v>
      </c>
      <c r="AK3597" s="10" t="str">
        <f t="array" ref="AK3597">IFERROR(INDEX(SelectedSpecies,SMALL(IF(SelectedSpecies=AK$1,ROW(SelectedSpecies)),ROW(3598:3598)),2),"")</f>
        <v/>
      </c>
      <c r="BE3597" s="10"/>
      <c r="BI3597" s="10"/>
    </row>
    <row r="3598" spans="1:61" ht="21" customHeight="1" x14ac:dyDescent="0.25">
      <c r="A3598" s="10"/>
      <c r="B3598" s="10"/>
      <c r="E3598" s="10"/>
      <c r="G3598" s="10"/>
      <c r="I3598" s="436" t="s">
        <v>8304</v>
      </c>
      <c r="J3598" s="26" t="s">
        <v>8303</v>
      </c>
      <c r="K3598" s="10">
        <v>1.2999999999999999E-3</v>
      </c>
      <c r="L3598" s="73">
        <f>IF(Tank1!$C$23="No control",(SUMIF(Tank1!$B$32:$B$49,$J3598,Tank1!$C$32:$C$49)*Impacts!$F$8),0)</f>
        <v>0</v>
      </c>
      <c r="M3598" s="10">
        <f>IF(Tank2!$C$23="No control",(SUMIF(Tank2!$B$32:$B$49,$J3598,Tank2!$C$32:$C$49)*Impacts!$F$9),0)</f>
        <v>0</v>
      </c>
      <c r="N3598" s="10">
        <f>IF(Tank3!$C$23="No control",(SUMIF(Tank3!$B$32:$B$49,$J3598,Tank3!$C$32:$C$49)*Impacts!$F$10),0)</f>
        <v>0</v>
      </c>
      <c r="O3598" s="10">
        <f>IF(Tank4!$C$23="No control",(SUMIF(Tank4!$B$32:$B$49,$J3598,Tank4!$C$32:$C$49)*Impacts!$F$11),0)</f>
        <v>0</v>
      </c>
      <c r="P3598" s="10">
        <f>IF(Tank5!$C$23="No control",(SUMIF(Tank5!$B$32:$B$49,$J3598,Tank5!$C$32:$C$49)*Impacts!$F$12),0)</f>
        <v>0</v>
      </c>
      <c r="Q3598" s="10">
        <f>IFERROR(IF(('Loading-drum,tote'!$C$21)="No control",SUMIF(('Loading-drum,tote'!$B$31:$B$48),$J3598,('Loading-drum,tote'!$D$31:$D$48))*Impacts!$F$13,IF(('Loading-drum,tote'!$C$21)&lt;&gt;"No control",SUMIF(('Loading-drum,tote'!$B$31:$B$48),$J3598,('Loading-drum,tote'!$E$31:$E$48))*Impacts!$F$13,0)),0)</f>
        <v>0</v>
      </c>
      <c r="R3598" s="10">
        <f>IFERROR(IF(('Loading-truck'!$C$21)="No control",SUMIF(('Loading-truck'!$B$31:$B$48),$J3598,('Loading-truck'!$D$31:$D$48))*Impacts!$F$14,IF(('Loading-truck'!$C$21)&lt;&gt;"No control",SUMIF(('Loading-truck'!$B$31:$B$48),$J3598,('Loading-truck'!$E$31:$E$48))*Impacts!$F$14,0)),0)</f>
        <v>0</v>
      </c>
      <c r="S3598" s="10">
        <f>IFERROR(IF(('Loading-rail'!$C$21)="No control",SUMIF(('Loading-rail'!$B$31:$B$48),$J3598,('Loading-rail'!$D$31:$D$48))*Impacts!$F$15,IF(('Loading-rail'!$C$21)&lt;&gt;"No control",SUMIF(('Loading-rail'!$B$31:$B$48),$J3598,('Loading-rail'!$E$31:$E$48))*Impacts!$F$15,0)),0)</f>
        <v>0</v>
      </c>
      <c r="T3598" s="10">
        <f>IF(Flare!$C$7="",0,(SUMIF(Flare!$B$46:$B$185,$J3598,Flare!$E$46:$E$185)*Impacts!$F$16))</f>
        <v>0</v>
      </c>
      <c r="U3598" s="10">
        <f>IF(VCU!$C$9="",0,(SUMIF(VCU!$B$51:$B$193,$J3598,VCU!$E$51:$E$193)*Impacts!$F$17))</f>
        <v>0</v>
      </c>
      <c r="V3598" s="10">
        <f>IF(CAS!$C$7="",0,(SUMIF(CAS!$B$31:$B$167,$J3598,CAS!$E$31:$E$167)*Impacts!$F$18))</f>
        <v>0</v>
      </c>
      <c r="W3598" s="10">
        <f t="shared" si="96"/>
        <v>0</v>
      </c>
      <c r="AK3598" s="10" t="str">
        <f t="array" ref="AK3598">IFERROR(INDEX(SelectedSpecies,SMALL(IF(SelectedSpecies=AK$1,ROW(SelectedSpecies)),ROW(3599:3599)),2),"")</f>
        <v/>
      </c>
      <c r="BE3598" s="10"/>
      <c r="BI3598" s="10"/>
    </row>
    <row r="3599" spans="1:61" ht="21" customHeight="1" x14ac:dyDescent="0.25">
      <c r="A3599" s="10"/>
      <c r="B3599" s="10"/>
      <c r="E3599" s="10"/>
      <c r="G3599" s="10"/>
      <c r="I3599" s="436" t="s">
        <v>6560</v>
      </c>
      <c r="J3599" s="26" t="s">
        <v>6559</v>
      </c>
      <c r="K3599" s="10">
        <v>0.70000000000000007</v>
      </c>
      <c r="L3599" s="73">
        <f>IF(Tank1!$C$23="No control",(SUMIF(Tank1!$B$32:$B$49,$J3599,Tank1!$C$32:$C$49)*Impacts!$F$8),0)</f>
        <v>0</v>
      </c>
      <c r="M3599" s="10">
        <f>IF(Tank2!$C$23="No control",(SUMIF(Tank2!$B$32:$B$49,$J3599,Tank2!$C$32:$C$49)*Impacts!$F$9),0)</f>
        <v>0</v>
      </c>
      <c r="N3599" s="10">
        <f>IF(Tank3!$C$23="No control",(SUMIF(Tank3!$B$32:$B$49,$J3599,Tank3!$C$32:$C$49)*Impacts!$F$10),0)</f>
        <v>0</v>
      </c>
      <c r="O3599" s="10">
        <f>IF(Tank4!$C$23="No control",(SUMIF(Tank4!$B$32:$B$49,$J3599,Tank4!$C$32:$C$49)*Impacts!$F$11),0)</f>
        <v>0</v>
      </c>
      <c r="P3599" s="10">
        <f>IF(Tank5!$C$23="No control",(SUMIF(Tank5!$B$32:$B$49,$J3599,Tank5!$C$32:$C$49)*Impacts!$F$12),0)</f>
        <v>0</v>
      </c>
      <c r="Q3599" s="10">
        <f>IFERROR(IF(('Loading-drum,tote'!$C$21)="No control",SUMIF(('Loading-drum,tote'!$B$31:$B$48),$J3599,('Loading-drum,tote'!$D$31:$D$48))*Impacts!$F$13,IF(('Loading-drum,tote'!$C$21)&lt;&gt;"No control",SUMIF(('Loading-drum,tote'!$B$31:$B$48),$J3599,('Loading-drum,tote'!$E$31:$E$48))*Impacts!$F$13,0)),0)</f>
        <v>0</v>
      </c>
      <c r="R3599" s="10">
        <f>IFERROR(IF(('Loading-truck'!$C$21)="No control",SUMIF(('Loading-truck'!$B$31:$B$48),$J3599,('Loading-truck'!$D$31:$D$48))*Impacts!$F$14,IF(('Loading-truck'!$C$21)&lt;&gt;"No control",SUMIF(('Loading-truck'!$B$31:$B$48),$J3599,('Loading-truck'!$E$31:$E$48))*Impacts!$F$14,0)),0)</f>
        <v>0</v>
      </c>
      <c r="S3599" s="10">
        <f>IFERROR(IF(('Loading-rail'!$C$21)="No control",SUMIF(('Loading-rail'!$B$31:$B$48),$J3599,('Loading-rail'!$D$31:$D$48))*Impacts!$F$15,IF(('Loading-rail'!$C$21)&lt;&gt;"No control",SUMIF(('Loading-rail'!$B$31:$B$48),$J3599,('Loading-rail'!$E$31:$E$48))*Impacts!$F$15,0)),0)</f>
        <v>0</v>
      </c>
      <c r="T3599" s="10">
        <f>IF(Flare!$C$7="",0,(SUMIF(Flare!$B$46:$B$185,$J3599,Flare!$E$46:$E$185)*Impacts!$F$16))</f>
        <v>0</v>
      </c>
      <c r="U3599" s="10">
        <f>IF(VCU!$C$9="",0,(SUMIF(VCU!$B$51:$B$193,$J3599,VCU!$E$51:$E$193)*Impacts!$F$17))</f>
        <v>0</v>
      </c>
      <c r="V3599" s="10">
        <f>IF(CAS!$C$7="",0,(SUMIF(CAS!$B$31:$B$167,$J3599,CAS!$E$31:$E$167)*Impacts!$F$18))</f>
        <v>0</v>
      </c>
      <c r="W3599" s="10">
        <f t="shared" si="96"/>
        <v>0</v>
      </c>
      <c r="AK3599" s="10" t="str">
        <f t="array" ref="AK3599">IFERROR(INDEX(SelectedSpecies,SMALL(IF(SelectedSpecies=AK$1,ROW(SelectedSpecies)),ROW(3600:3600)),2),"")</f>
        <v/>
      </c>
      <c r="BE3599" s="10"/>
      <c r="BI3599" s="10"/>
    </row>
    <row r="3600" spans="1:61" ht="21" customHeight="1" x14ac:dyDescent="0.25">
      <c r="A3600" s="10"/>
      <c r="B3600" s="10"/>
      <c r="E3600" s="10"/>
      <c r="G3600" s="10"/>
      <c r="I3600" s="436" t="s">
        <v>7300</v>
      </c>
      <c r="J3600" s="26" t="s">
        <v>7299</v>
      </c>
      <c r="K3600" s="10">
        <v>0.30000000000000004</v>
      </c>
      <c r="L3600" s="73">
        <f>IF(Tank1!$C$23="No control",(SUMIF(Tank1!$B$32:$B$49,$J3600,Tank1!$C$32:$C$49)*Impacts!$F$8),0)</f>
        <v>0</v>
      </c>
      <c r="M3600" s="10">
        <f>IF(Tank2!$C$23="No control",(SUMIF(Tank2!$B$32:$B$49,$J3600,Tank2!$C$32:$C$49)*Impacts!$F$9),0)</f>
        <v>0</v>
      </c>
      <c r="N3600" s="10">
        <f>IF(Tank3!$C$23="No control",(SUMIF(Tank3!$B$32:$B$49,$J3600,Tank3!$C$32:$C$49)*Impacts!$F$10),0)</f>
        <v>0</v>
      </c>
      <c r="O3600" s="10">
        <f>IF(Tank4!$C$23="No control",(SUMIF(Tank4!$B$32:$B$49,$J3600,Tank4!$C$32:$C$49)*Impacts!$F$11),0)</f>
        <v>0</v>
      </c>
      <c r="P3600" s="10">
        <f>IF(Tank5!$C$23="No control",(SUMIF(Tank5!$B$32:$B$49,$J3600,Tank5!$C$32:$C$49)*Impacts!$F$12),0)</f>
        <v>0</v>
      </c>
      <c r="Q3600" s="10">
        <f>IFERROR(IF(('Loading-drum,tote'!$C$21)="No control",SUMIF(('Loading-drum,tote'!$B$31:$B$48),$J3600,('Loading-drum,tote'!$D$31:$D$48))*Impacts!$F$13,IF(('Loading-drum,tote'!$C$21)&lt;&gt;"No control",SUMIF(('Loading-drum,tote'!$B$31:$B$48),$J3600,('Loading-drum,tote'!$E$31:$E$48))*Impacts!$F$13,0)),0)</f>
        <v>0</v>
      </c>
      <c r="R3600" s="10">
        <f>IFERROR(IF(('Loading-truck'!$C$21)="No control",SUMIF(('Loading-truck'!$B$31:$B$48),$J3600,('Loading-truck'!$D$31:$D$48))*Impacts!$F$14,IF(('Loading-truck'!$C$21)&lt;&gt;"No control",SUMIF(('Loading-truck'!$B$31:$B$48),$J3600,('Loading-truck'!$E$31:$E$48))*Impacts!$F$14,0)),0)</f>
        <v>0</v>
      </c>
      <c r="S3600" s="10">
        <f>IFERROR(IF(('Loading-rail'!$C$21)="No control",SUMIF(('Loading-rail'!$B$31:$B$48),$J3600,('Loading-rail'!$D$31:$D$48))*Impacts!$F$15,IF(('Loading-rail'!$C$21)&lt;&gt;"No control",SUMIF(('Loading-rail'!$B$31:$B$48),$J3600,('Loading-rail'!$E$31:$E$48))*Impacts!$F$15,0)),0)</f>
        <v>0</v>
      </c>
      <c r="T3600" s="10">
        <f>IF(Flare!$C$7="",0,(SUMIF(Flare!$B$46:$B$185,$J3600,Flare!$E$46:$E$185)*Impacts!$F$16))</f>
        <v>0</v>
      </c>
      <c r="U3600" s="10">
        <f>IF(VCU!$C$9="",0,(SUMIF(VCU!$B$51:$B$193,$J3600,VCU!$E$51:$E$193)*Impacts!$F$17))</f>
        <v>0</v>
      </c>
      <c r="V3600" s="10">
        <f>IF(CAS!$C$7="",0,(SUMIF(CAS!$B$31:$B$167,$J3600,CAS!$E$31:$E$167)*Impacts!$F$18))</f>
        <v>0</v>
      </c>
      <c r="W3600" s="10">
        <f t="shared" si="96"/>
        <v>0</v>
      </c>
      <c r="AK3600" s="10" t="str">
        <f t="array" ref="AK3600">IFERROR(INDEX(SelectedSpecies,SMALL(IF(SelectedSpecies=AK$1,ROW(SelectedSpecies)),ROW(3601:3601)),2),"")</f>
        <v/>
      </c>
      <c r="BE3600" s="10"/>
      <c r="BI3600" s="10"/>
    </row>
    <row r="3601" spans="1:61" ht="21" customHeight="1" x14ac:dyDescent="0.25">
      <c r="A3601" s="10"/>
      <c r="B3601" s="10"/>
      <c r="E3601" s="10"/>
      <c r="G3601" s="10"/>
      <c r="I3601" s="436" t="s">
        <v>3369</v>
      </c>
      <c r="J3601" s="26" t="s">
        <v>3368</v>
      </c>
      <c r="K3601" s="10">
        <v>10</v>
      </c>
      <c r="L3601" s="73">
        <f>IF(Tank1!$C$23="No control",(SUMIF(Tank1!$B$32:$B$49,$J3601,Tank1!$C$32:$C$49)*Impacts!$F$8),0)</f>
        <v>0</v>
      </c>
      <c r="M3601" s="10">
        <f>IF(Tank2!$C$23="No control",(SUMIF(Tank2!$B$32:$B$49,$J3601,Tank2!$C$32:$C$49)*Impacts!$F$9),0)</f>
        <v>0</v>
      </c>
      <c r="N3601" s="10">
        <f>IF(Tank3!$C$23="No control",(SUMIF(Tank3!$B$32:$B$49,$J3601,Tank3!$C$32:$C$49)*Impacts!$F$10),0)</f>
        <v>0</v>
      </c>
      <c r="O3601" s="10">
        <f>IF(Tank4!$C$23="No control",(SUMIF(Tank4!$B$32:$B$49,$J3601,Tank4!$C$32:$C$49)*Impacts!$F$11),0)</f>
        <v>0</v>
      </c>
      <c r="P3601" s="10">
        <f>IF(Tank5!$C$23="No control",(SUMIF(Tank5!$B$32:$B$49,$J3601,Tank5!$C$32:$C$49)*Impacts!$F$12),0)</f>
        <v>0</v>
      </c>
      <c r="Q3601" s="10">
        <f>IFERROR(IF(('Loading-drum,tote'!$C$21)="No control",SUMIF(('Loading-drum,tote'!$B$31:$B$48),$J3601,('Loading-drum,tote'!$D$31:$D$48))*Impacts!$F$13,IF(('Loading-drum,tote'!$C$21)&lt;&gt;"No control",SUMIF(('Loading-drum,tote'!$B$31:$B$48),$J3601,('Loading-drum,tote'!$E$31:$E$48))*Impacts!$F$13,0)),0)</f>
        <v>0</v>
      </c>
      <c r="R3601" s="10">
        <f>IFERROR(IF(('Loading-truck'!$C$21)="No control",SUMIF(('Loading-truck'!$B$31:$B$48),$J3601,('Loading-truck'!$D$31:$D$48))*Impacts!$F$14,IF(('Loading-truck'!$C$21)&lt;&gt;"No control",SUMIF(('Loading-truck'!$B$31:$B$48),$J3601,('Loading-truck'!$E$31:$E$48))*Impacts!$F$14,0)),0)</f>
        <v>0</v>
      </c>
      <c r="S3601" s="10">
        <f>IFERROR(IF(('Loading-rail'!$C$21)="No control",SUMIF(('Loading-rail'!$B$31:$B$48),$J3601,('Loading-rail'!$D$31:$D$48))*Impacts!$F$15,IF(('Loading-rail'!$C$21)&lt;&gt;"No control",SUMIF(('Loading-rail'!$B$31:$B$48),$J3601,('Loading-rail'!$E$31:$E$48))*Impacts!$F$15,0)),0)</f>
        <v>0</v>
      </c>
      <c r="T3601" s="10">
        <f>IF(Flare!$C$7="",0,(SUMIF(Flare!$B$46:$B$185,$J3601,Flare!$E$46:$E$185)*Impacts!$F$16))</f>
        <v>0</v>
      </c>
      <c r="U3601" s="10">
        <f>IF(VCU!$C$9="",0,(SUMIF(VCU!$B$51:$B$193,$J3601,VCU!$E$51:$E$193)*Impacts!$F$17))</f>
        <v>0</v>
      </c>
      <c r="V3601" s="10">
        <f>IF(CAS!$C$7="",0,(SUMIF(CAS!$B$31:$B$167,$J3601,CAS!$E$31:$E$167)*Impacts!$F$18))</f>
        <v>0</v>
      </c>
      <c r="W3601" s="10">
        <f t="shared" si="96"/>
        <v>0</v>
      </c>
      <c r="AK3601" s="10" t="str">
        <f t="array" ref="AK3601">IFERROR(INDEX(SelectedSpecies,SMALL(IF(SelectedSpecies=AK$1,ROW(SelectedSpecies)),ROW(3602:3602)),2),"")</f>
        <v/>
      </c>
      <c r="BE3601" s="10"/>
      <c r="BI3601" s="10"/>
    </row>
    <row r="3602" spans="1:61" ht="21" customHeight="1" x14ac:dyDescent="0.25">
      <c r="A3602" s="10"/>
      <c r="B3602" s="10"/>
      <c r="E3602" s="10"/>
      <c r="G3602" s="10"/>
      <c r="I3602" s="436" t="s">
        <v>3535</v>
      </c>
      <c r="J3602" s="26" t="s">
        <v>3534</v>
      </c>
      <c r="K3602" s="10">
        <v>8.5</v>
      </c>
      <c r="L3602" s="73">
        <f>IF(Tank1!$C$23="No control",(SUMIF(Tank1!$B$32:$B$49,$J3602,Tank1!$C$32:$C$49)*Impacts!$F$8),0)</f>
        <v>0</v>
      </c>
      <c r="M3602" s="10">
        <f>IF(Tank2!$C$23="No control",(SUMIF(Tank2!$B$32:$B$49,$J3602,Tank2!$C$32:$C$49)*Impacts!$F$9),0)</f>
        <v>0</v>
      </c>
      <c r="N3602" s="10">
        <f>IF(Tank3!$C$23="No control",(SUMIF(Tank3!$B$32:$B$49,$J3602,Tank3!$C$32:$C$49)*Impacts!$F$10),0)</f>
        <v>0</v>
      </c>
      <c r="O3602" s="10">
        <f>IF(Tank4!$C$23="No control",(SUMIF(Tank4!$B$32:$B$49,$J3602,Tank4!$C$32:$C$49)*Impacts!$F$11),0)</f>
        <v>0</v>
      </c>
      <c r="P3602" s="10">
        <f>IF(Tank5!$C$23="No control",(SUMIF(Tank5!$B$32:$B$49,$J3602,Tank5!$C$32:$C$49)*Impacts!$F$12),0)</f>
        <v>0</v>
      </c>
      <c r="Q3602" s="10">
        <f>IFERROR(IF(('Loading-drum,tote'!$C$21)="No control",SUMIF(('Loading-drum,tote'!$B$31:$B$48),$J3602,('Loading-drum,tote'!$D$31:$D$48))*Impacts!$F$13,IF(('Loading-drum,tote'!$C$21)&lt;&gt;"No control",SUMIF(('Loading-drum,tote'!$B$31:$B$48),$J3602,('Loading-drum,tote'!$E$31:$E$48))*Impacts!$F$13,0)),0)</f>
        <v>0</v>
      </c>
      <c r="R3602" s="10">
        <f>IFERROR(IF(('Loading-truck'!$C$21)="No control",SUMIF(('Loading-truck'!$B$31:$B$48),$J3602,('Loading-truck'!$D$31:$D$48))*Impacts!$F$14,IF(('Loading-truck'!$C$21)&lt;&gt;"No control",SUMIF(('Loading-truck'!$B$31:$B$48),$J3602,('Loading-truck'!$E$31:$E$48))*Impacts!$F$14,0)),0)</f>
        <v>0</v>
      </c>
      <c r="S3602" s="10">
        <f>IFERROR(IF(('Loading-rail'!$C$21)="No control",SUMIF(('Loading-rail'!$B$31:$B$48),$J3602,('Loading-rail'!$D$31:$D$48))*Impacts!$F$15,IF(('Loading-rail'!$C$21)&lt;&gt;"No control",SUMIF(('Loading-rail'!$B$31:$B$48),$J3602,('Loading-rail'!$E$31:$E$48))*Impacts!$F$15,0)),0)</f>
        <v>0</v>
      </c>
      <c r="T3602" s="10">
        <f>IF(Flare!$C$7="",0,(SUMIF(Flare!$B$46:$B$185,$J3602,Flare!$E$46:$E$185)*Impacts!$F$16))</f>
        <v>0</v>
      </c>
      <c r="U3602" s="10">
        <f>IF(VCU!$C$9="",0,(SUMIF(VCU!$B$51:$B$193,$J3602,VCU!$E$51:$E$193)*Impacts!$F$17))</f>
        <v>0</v>
      </c>
      <c r="V3602" s="10">
        <f>IF(CAS!$C$7="",0,(SUMIF(CAS!$B$31:$B$167,$J3602,CAS!$E$31:$E$167)*Impacts!$F$18))</f>
        <v>0</v>
      </c>
      <c r="W3602" s="10">
        <f t="shared" si="96"/>
        <v>0</v>
      </c>
      <c r="AK3602" s="10" t="str">
        <f t="array" ref="AK3602">IFERROR(INDEX(SelectedSpecies,SMALL(IF(SelectedSpecies=AK$1,ROW(SelectedSpecies)),ROW(3603:3603)),2),"")</f>
        <v/>
      </c>
      <c r="BE3602" s="10"/>
      <c r="BI3602" s="10"/>
    </row>
    <row r="3603" spans="1:61" ht="21" customHeight="1" x14ac:dyDescent="0.25">
      <c r="A3603" s="10"/>
      <c r="B3603" s="10"/>
      <c r="E3603" s="10"/>
      <c r="G3603" s="10"/>
      <c r="I3603" s="436" t="s">
        <v>4737</v>
      </c>
      <c r="J3603" s="26" t="s">
        <v>4736</v>
      </c>
      <c r="K3603" s="10">
        <v>3.5</v>
      </c>
      <c r="L3603" s="73">
        <f>IF(Tank1!$C$23="No control",(SUMIF(Tank1!$B$32:$B$49,$J3603,Tank1!$C$32:$C$49)*Impacts!$F$8),0)</f>
        <v>0</v>
      </c>
      <c r="M3603" s="10">
        <f>IF(Tank2!$C$23="No control",(SUMIF(Tank2!$B$32:$B$49,$J3603,Tank2!$C$32:$C$49)*Impacts!$F$9),0)</f>
        <v>0</v>
      </c>
      <c r="N3603" s="10">
        <f>IF(Tank3!$C$23="No control",(SUMIF(Tank3!$B$32:$B$49,$J3603,Tank3!$C$32:$C$49)*Impacts!$F$10),0)</f>
        <v>0</v>
      </c>
      <c r="O3603" s="10">
        <f>IF(Tank4!$C$23="No control",(SUMIF(Tank4!$B$32:$B$49,$J3603,Tank4!$C$32:$C$49)*Impacts!$F$11),0)</f>
        <v>0</v>
      </c>
      <c r="P3603" s="10">
        <f>IF(Tank5!$C$23="No control",(SUMIF(Tank5!$B$32:$B$49,$J3603,Tank5!$C$32:$C$49)*Impacts!$F$12),0)</f>
        <v>0</v>
      </c>
      <c r="Q3603" s="10">
        <f>IFERROR(IF(('Loading-drum,tote'!$C$21)="No control",SUMIF(('Loading-drum,tote'!$B$31:$B$48),$J3603,('Loading-drum,tote'!$D$31:$D$48))*Impacts!$F$13,IF(('Loading-drum,tote'!$C$21)&lt;&gt;"No control",SUMIF(('Loading-drum,tote'!$B$31:$B$48),$J3603,('Loading-drum,tote'!$E$31:$E$48))*Impacts!$F$13,0)),0)</f>
        <v>0</v>
      </c>
      <c r="R3603" s="10">
        <f>IFERROR(IF(('Loading-truck'!$C$21)="No control",SUMIF(('Loading-truck'!$B$31:$B$48),$J3603,('Loading-truck'!$D$31:$D$48))*Impacts!$F$14,IF(('Loading-truck'!$C$21)&lt;&gt;"No control",SUMIF(('Loading-truck'!$B$31:$B$48),$J3603,('Loading-truck'!$E$31:$E$48))*Impacts!$F$14,0)),0)</f>
        <v>0</v>
      </c>
      <c r="S3603" s="10">
        <f>IFERROR(IF(('Loading-rail'!$C$21)="No control",SUMIF(('Loading-rail'!$B$31:$B$48),$J3603,('Loading-rail'!$D$31:$D$48))*Impacts!$F$15,IF(('Loading-rail'!$C$21)&lt;&gt;"No control",SUMIF(('Loading-rail'!$B$31:$B$48),$J3603,('Loading-rail'!$E$31:$E$48))*Impacts!$F$15,0)),0)</f>
        <v>0</v>
      </c>
      <c r="T3603" s="10">
        <f>IF(Flare!$C$7="",0,(SUMIF(Flare!$B$46:$B$185,$J3603,Flare!$E$46:$E$185)*Impacts!$F$16))</f>
        <v>0</v>
      </c>
      <c r="U3603" s="10">
        <f>IF(VCU!$C$9="",0,(SUMIF(VCU!$B$51:$B$193,$J3603,VCU!$E$51:$E$193)*Impacts!$F$17))</f>
        <v>0</v>
      </c>
      <c r="V3603" s="10">
        <f>IF(CAS!$C$7="",0,(SUMIF(CAS!$B$31:$B$167,$J3603,CAS!$E$31:$E$167)*Impacts!$F$18))</f>
        <v>0</v>
      </c>
      <c r="W3603" s="10">
        <f t="shared" si="96"/>
        <v>0</v>
      </c>
      <c r="AK3603" s="10" t="str">
        <f t="array" ref="AK3603">IFERROR(INDEX(SelectedSpecies,SMALL(IF(SelectedSpecies=AK$1,ROW(SelectedSpecies)),ROW(3604:3604)),2),"")</f>
        <v/>
      </c>
      <c r="BE3603" s="10"/>
      <c r="BI3603" s="10"/>
    </row>
    <row r="3604" spans="1:61" ht="21" customHeight="1" x14ac:dyDescent="0.25">
      <c r="A3604" s="10"/>
      <c r="B3604" s="10"/>
      <c r="E3604" s="10"/>
      <c r="G3604" s="10"/>
      <c r="I3604" s="436" t="s">
        <v>8210</v>
      </c>
      <c r="J3604" s="26" t="s">
        <v>8209</v>
      </c>
      <c r="K3604" s="10">
        <v>1.0000000000000002E-2</v>
      </c>
      <c r="L3604" s="73">
        <f>IF(Tank1!$C$23="No control",(SUMIF(Tank1!$B$32:$B$49,$J3604,Tank1!$C$32:$C$49)*Impacts!$F$8),0)</f>
        <v>0</v>
      </c>
      <c r="M3604" s="10">
        <f>IF(Tank2!$C$23="No control",(SUMIF(Tank2!$B$32:$B$49,$J3604,Tank2!$C$32:$C$49)*Impacts!$F$9),0)</f>
        <v>0</v>
      </c>
      <c r="N3604" s="10">
        <f>IF(Tank3!$C$23="No control",(SUMIF(Tank3!$B$32:$B$49,$J3604,Tank3!$C$32:$C$49)*Impacts!$F$10),0)</f>
        <v>0</v>
      </c>
      <c r="O3604" s="10">
        <f>IF(Tank4!$C$23="No control",(SUMIF(Tank4!$B$32:$B$49,$J3604,Tank4!$C$32:$C$49)*Impacts!$F$11),0)</f>
        <v>0</v>
      </c>
      <c r="P3604" s="10">
        <f>IF(Tank5!$C$23="No control",(SUMIF(Tank5!$B$32:$B$49,$J3604,Tank5!$C$32:$C$49)*Impacts!$F$12),0)</f>
        <v>0</v>
      </c>
      <c r="Q3604" s="10">
        <f>IFERROR(IF(('Loading-drum,tote'!$C$21)="No control",SUMIF(('Loading-drum,tote'!$B$31:$B$48),$J3604,('Loading-drum,tote'!$D$31:$D$48))*Impacts!$F$13,IF(('Loading-drum,tote'!$C$21)&lt;&gt;"No control",SUMIF(('Loading-drum,tote'!$B$31:$B$48),$J3604,('Loading-drum,tote'!$E$31:$E$48))*Impacts!$F$13,0)),0)</f>
        <v>0</v>
      </c>
      <c r="R3604" s="10">
        <f>IFERROR(IF(('Loading-truck'!$C$21)="No control",SUMIF(('Loading-truck'!$B$31:$B$48),$J3604,('Loading-truck'!$D$31:$D$48))*Impacts!$F$14,IF(('Loading-truck'!$C$21)&lt;&gt;"No control",SUMIF(('Loading-truck'!$B$31:$B$48),$J3604,('Loading-truck'!$E$31:$E$48))*Impacts!$F$14,0)),0)</f>
        <v>0</v>
      </c>
      <c r="S3604" s="10">
        <f>IFERROR(IF(('Loading-rail'!$C$21)="No control",SUMIF(('Loading-rail'!$B$31:$B$48),$J3604,('Loading-rail'!$D$31:$D$48))*Impacts!$F$15,IF(('Loading-rail'!$C$21)&lt;&gt;"No control",SUMIF(('Loading-rail'!$B$31:$B$48),$J3604,('Loading-rail'!$E$31:$E$48))*Impacts!$F$15,0)),0)</f>
        <v>0</v>
      </c>
      <c r="T3604" s="10">
        <f>IF(Flare!$C$7="",0,(SUMIF(Flare!$B$46:$B$185,$J3604,Flare!$E$46:$E$185)*Impacts!$F$16))</f>
        <v>0</v>
      </c>
      <c r="U3604" s="10">
        <f>IF(VCU!$C$9="",0,(SUMIF(VCU!$B$51:$B$193,$J3604,VCU!$E$51:$E$193)*Impacts!$F$17))</f>
        <v>0</v>
      </c>
      <c r="V3604" s="10">
        <f>IF(CAS!$C$7="",0,(SUMIF(CAS!$B$31:$B$167,$J3604,CAS!$E$31:$E$167)*Impacts!$F$18))</f>
        <v>0</v>
      </c>
      <c r="W3604" s="10">
        <f t="shared" si="96"/>
        <v>0</v>
      </c>
      <c r="AK3604" s="10" t="str">
        <f t="array" ref="AK3604">IFERROR(INDEX(SelectedSpecies,SMALL(IF(SelectedSpecies=AK$1,ROW(SelectedSpecies)),ROW(3605:3605)),2),"")</f>
        <v/>
      </c>
      <c r="BE3604" s="10"/>
      <c r="BI3604" s="10"/>
    </row>
    <row r="3605" spans="1:61" ht="21" customHeight="1" x14ac:dyDescent="0.25">
      <c r="A3605" s="10"/>
      <c r="B3605" s="10"/>
      <c r="E3605" s="10"/>
      <c r="G3605" s="10"/>
      <c r="I3605" s="436" t="s">
        <v>2287</v>
      </c>
      <c r="J3605" s="26" t="s">
        <v>2286</v>
      </c>
      <c r="K3605" s="10">
        <v>12.5</v>
      </c>
      <c r="L3605" s="73">
        <f>IF(Tank1!$C$23="No control",(SUMIF(Tank1!$B$32:$B$49,$J3605,Tank1!$C$32:$C$49)*Impacts!$F$8),0)</f>
        <v>0</v>
      </c>
      <c r="M3605" s="10">
        <f>IF(Tank2!$C$23="No control",(SUMIF(Tank2!$B$32:$B$49,$J3605,Tank2!$C$32:$C$49)*Impacts!$F$9),0)</f>
        <v>0</v>
      </c>
      <c r="N3605" s="10">
        <f>IF(Tank3!$C$23="No control",(SUMIF(Tank3!$B$32:$B$49,$J3605,Tank3!$C$32:$C$49)*Impacts!$F$10),0)</f>
        <v>0</v>
      </c>
      <c r="O3605" s="10">
        <f>IF(Tank4!$C$23="No control",(SUMIF(Tank4!$B$32:$B$49,$J3605,Tank4!$C$32:$C$49)*Impacts!$F$11),0)</f>
        <v>0</v>
      </c>
      <c r="P3605" s="10">
        <f>IF(Tank5!$C$23="No control",(SUMIF(Tank5!$B$32:$B$49,$J3605,Tank5!$C$32:$C$49)*Impacts!$F$12),0)</f>
        <v>0</v>
      </c>
      <c r="Q3605" s="10">
        <f>IFERROR(IF(('Loading-drum,tote'!$C$21)="No control",SUMIF(('Loading-drum,tote'!$B$31:$B$48),$J3605,('Loading-drum,tote'!$D$31:$D$48))*Impacts!$F$13,IF(('Loading-drum,tote'!$C$21)&lt;&gt;"No control",SUMIF(('Loading-drum,tote'!$B$31:$B$48),$J3605,('Loading-drum,tote'!$E$31:$E$48))*Impacts!$F$13,0)),0)</f>
        <v>0</v>
      </c>
      <c r="R3605" s="10">
        <f>IFERROR(IF(('Loading-truck'!$C$21)="No control",SUMIF(('Loading-truck'!$B$31:$B$48),$J3605,('Loading-truck'!$D$31:$D$48))*Impacts!$F$14,IF(('Loading-truck'!$C$21)&lt;&gt;"No control",SUMIF(('Loading-truck'!$B$31:$B$48),$J3605,('Loading-truck'!$E$31:$E$48))*Impacts!$F$14,0)),0)</f>
        <v>0</v>
      </c>
      <c r="S3605" s="10">
        <f>IFERROR(IF(('Loading-rail'!$C$21)="No control",SUMIF(('Loading-rail'!$B$31:$B$48),$J3605,('Loading-rail'!$D$31:$D$48))*Impacts!$F$15,IF(('Loading-rail'!$C$21)&lt;&gt;"No control",SUMIF(('Loading-rail'!$B$31:$B$48),$J3605,('Loading-rail'!$E$31:$E$48))*Impacts!$F$15,0)),0)</f>
        <v>0</v>
      </c>
      <c r="T3605" s="10">
        <f>IF(Flare!$C$7="",0,(SUMIF(Flare!$B$46:$B$185,$J3605,Flare!$E$46:$E$185)*Impacts!$F$16))</f>
        <v>0</v>
      </c>
      <c r="U3605" s="10">
        <f>IF(VCU!$C$9="",0,(SUMIF(VCU!$B$51:$B$193,$J3605,VCU!$E$51:$E$193)*Impacts!$F$17))</f>
        <v>0</v>
      </c>
      <c r="V3605" s="10">
        <f>IF(CAS!$C$7="",0,(SUMIF(CAS!$B$31:$B$167,$J3605,CAS!$E$31:$E$167)*Impacts!$F$18))</f>
        <v>0</v>
      </c>
      <c r="W3605" s="10">
        <f t="shared" si="96"/>
        <v>0</v>
      </c>
      <c r="AK3605" s="10" t="str">
        <f t="array" ref="AK3605">IFERROR(INDEX(SelectedSpecies,SMALL(IF(SelectedSpecies=AK$1,ROW(SelectedSpecies)),ROW(3606:3606)),2),"")</f>
        <v/>
      </c>
      <c r="BE3605" s="10"/>
      <c r="BI3605" s="10"/>
    </row>
    <row r="3606" spans="1:61" ht="21" customHeight="1" x14ac:dyDescent="0.25">
      <c r="A3606" s="10"/>
      <c r="B3606" s="10"/>
      <c r="E3606" s="10"/>
      <c r="G3606" s="10"/>
      <c r="I3606" s="436" t="s">
        <v>8006</v>
      </c>
      <c r="J3606" s="26" t="s">
        <v>8005</v>
      </c>
      <c r="K3606" s="10">
        <v>0.03</v>
      </c>
      <c r="L3606" s="73">
        <f>IF(Tank1!$C$23="No control",(SUMIF(Tank1!$B$32:$B$49,$J3606,Tank1!$C$32:$C$49)*Impacts!$F$8),0)</f>
        <v>0</v>
      </c>
      <c r="M3606" s="10">
        <f>IF(Tank2!$C$23="No control",(SUMIF(Tank2!$B$32:$B$49,$J3606,Tank2!$C$32:$C$49)*Impacts!$F$9),0)</f>
        <v>0</v>
      </c>
      <c r="N3606" s="10">
        <f>IF(Tank3!$C$23="No control",(SUMIF(Tank3!$B$32:$B$49,$J3606,Tank3!$C$32:$C$49)*Impacts!$F$10),0)</f>
        <v>0</v>
      </c>
      <c r="O3606" s="10">
        <f>IF(Tank4!$C$23="No control",(SUMIF(Tank4!$B$32:$B$49,$J3606,Tank4!$C$32:$C$49)*Impacts!$F$11),0)</f>
        <v>0</v>
      </c>
      <c r="P3606" s="10">
        <f>IF(Tank5!$C$23="No control",(SUMIF(Tank5!$B$32:$B$49,$J3606,Tank5!$C$32:$C$49)*Impacts!$F$12),0)</f>
        <v>0</v>
      </c>
      <c r="Q3606" s="10">
        <f>IFERROR(IF(('Loading-drum,tote'!$C$21)="No control",SUMIF(('Loading-drum,tote'!$B$31:$B$48),$J3606,('Loading-drum,tote'!$D$31:$D$48))*Impacts!$F$13,IF(('Loading-drum,tote'!$C$21)&lt;&gt;"No control",SUMIF(('Loading-drum,tote'!$B$31:$B$48),$J3606,('Loading-drum,tote'!$E$31:$E$48))*Impacts!$F$13,0)),0)</f>
        <v>0</v>
      </c>
      <c r="R3606" s="10">
        <f>IFERROR(IF(('Loading-truck'!$C$21)="No control",SUMIF(('Loading-truck'!$B$31:$B$48),$J3606,('Loading-truck'!$D$31:$D$48))*Impacts!$F$14,IF(('Loading-truck'!$C$21)&lt;&gt;"No control",SUMIF(('Loading-truck'!$B$31:$B$48),$J3606,('Loading-truck'!$E$31:$E$48))*Impacts!$F$14,0)),0)</f>
        <v>0</v>
      </c>
      <c r="S3606" s="10">
        <f>IFERROR(IF(('Loading-rail'!$C$21)="No control",SUMIF(('Loading-rail'!$B$31:$B$48),$J3606,('Loading-rail'!$D$31:$D$48))*Impacts!$F$15,IF(('Loading-rail'!$C$21)&lt;&gt;"No control",SUMIF(('Loading-rail'!$B$31:$B$48),$J3606,('Loading-rail'!$E$31:$E$48))*Impacts!$F$15,0)),0)</f>
        <v>0</v>
      </c>
      <c r="T3606" s="10">
        <f>IF(Flare!$C$7="",0,(SUMIF(Flare!$B$46:$B$185,$J3606,Flare!$E$46:$E$185)*Impacts!$F$16))</f>
        <v>0</v>
      </c>
      <c r="U3606" s="10">
        <f>IF(VCU!$C$9="",0,(SUMIF(VCU!$B$51:$B$193,$J3606,VCU!$E$51:$E$193)*Impacts!$F$17))</f>
        <v>0</v>
      </c>
      <c r="V3606" s="10">
        <f>IF(CAS!$C$7="",0,(SUMIF(CAS!$B$31:$B$167,$J3606,CAS!$E$31:$E$167)*Impacts!$F$18))</f>
        <v>0</v>
      </c>
      <c r="W3606" s="10">
        <f t="shared" si="96"/>
        <v>0</v>
      </c>
      <c r="AK3606" s="10" t="str">
        <f t="array" ref="AK3606">IFERROR(INDEX(SelectedSpecies,SMALL(IF(SelectedSpecies=AK$1,ROW(SelectedSpecies)),ROW(3607:3607)),2),"")</f>
        <v/>
      </c>
      <c r="BE3606" s="10"/>
      <c r="BI3606" s="10"/>
    </row>
    <row r="3607" spans="1:61" ht="21" customHeight="1" x14ac:dyDescent="0.25">
      <c r="A3607" s="10"/>
      <c r="B3607" s="10"/>
      <c r="E3607" s="10"/>
      <c r="G3607" s="10"/>
      <c r="I3607" s="436" t="s">
        <v>4035</v>
      </c>
      <c r="J3607" s="26" t="s">
        <v>4034</v>
      </c>
      <c r="K3607" s="10">
        <v>6</v>
      </c>
      <c r="L3607" s="73">
        <f>IF(Tank1!$C$23="No control",(SUMIF(Tank1!$B$32:$B$49,$J3607,Tank1!$C$32:$C$49)*Impacts!$F$8),0)</f>
        <v>0</v>
      </c>
      <c r="M3607" s="10">
        <f>IF(Tank2!$C$23="No control",(SUMIF(Tank2!$B$32:$B$49,$J3607,Tank2!$C$32:$C$49)*Impacts!$F$9),0)</f>
        <v>0</v>
      </c>
      <c r="N3607" s="10">
        <f>IF(Tank3!$C$23="No control",(SUMIF(Tank3!$B$32:$B$49,$J3607,Tank3!$C$32:$C$49)*Impacts!$F$10),0)</f>
        <v>0</v>
      </c>
      <c r="O3607" s="10">
        <f>IF(Tank4!$C$23="No control",(SUMIF(Tank4!$B$32:$B$49,$J3607,Tank4!$C$32:$C$49)*Impacts!$F$11),0)</f>
        <v>0</v>
      </c>
      <c r="P3607" s="10">
        <f>IF(Tank5!$C$23="No control",(SUMIF(Tank5!$B$32:$B$49,$J3607,Tank5!$C$32:$C$49)*Impacts!$F$12),0)</f>
        <v>0</v>
      </c>
      <c r="Q3607" s="10">
        <f>IFERROR(IF(('Loading-drum,tote'!$C$21)="No control",SUMIF(('Loading-drum,tote'!$B$31:$B$48),$J3607,('Loading-drum,tote'!$D$31:$D$48))*Impacts!$F$13,IF(('Loading-drum,tote'!$C$21)&lt;&gt;"No control",SUMIF(('Loading-drum,tote'!$B$31:$B$48),$J3607,('Loading-drum,tote'!$E$31:$E$48))*Impacts!$F$13,0)),0)</f>
        <v>0</v>
      </c>
      <c r="R3607" s="10">
        <f>IFERROR(IF(('Loading-truck'!$C$21)="No control",SUMIF(('Loading-truck'!$B$31:$B$48),$J3607,('Loading-truck'!$D$31:$D$48))*Impacts!$F$14,IF(('Loading-truck'!$C$21)&lt;&gt;"No control",SUMIF(('Loading-truck'!$B$31:$B$48),$J3607,('Loading-truck'!$E$31:$E$48))*Impacts!$F$14,0)),0)</f>
        <v>0</v>
      </c>
      <c r="S3607" s="10">
        <f>IFERROR(IF(('Loading-rail'!$C$21)="No control",SUMIF(('Loading-rail'!$B$31:$B$48),$J3607,('Loading-rail'!$D$31:$D$48))*Impacts!$F$15,IF(('Loading-rail'!$C$21)&lt;&gt;"No control",SUMIF(('Loading-rail'!$B$31:$B$48),$J3607,('Loading-rail'!$E$31:$E$48))*Impacts!$F$15,0)),0)</f>
        <v>0</v>
      </c>
      <c r="T3607" s="10">
        <f>IF(Flare!$C$7="",0,(SUMIF(Flare!$B$46:$B$185,$J3607,Flare!$E$46:$E$185)*Impacts!$F$16))</f>
        <v>0</v>
      </c>
      <c r="U3607" s="10">
        <f>IF(VCU!$C$9="",0,(SUMIF(VCU!$B$51:$B$193,$J3607,VCU!$E$51:$E$193)*Impacts!$F$17))</f>
        <v>0</v>
      </c>
      <c r="V3607" s="10">
        <f>IF(CAS!$C$7="",0,(SUMIF(CAS!$B$31:$B$167,$J3607,CAS!$E$31:$E$167)*Impacts!$F$18))</f>
        <v>0</v>
      </c>
      <c r="W3607" s="10">
        <f t="shared" si="96"/>
        <v>0</v>
      </c>
      <c r="AK3607" s="10" t="str">
        <f t="array" ref="AK3607">IFERROR(INDEX(SelectedSpecies,SMALL(IF(SelectedSpecies=AK$1,ROW(SelectedSpecies)),ROW(3608:3608)),2),"")</f>
        <v/>
      </c>
      <c r="BE3607" s="10"/>
      <c r="BI3607" s="10"/>
    </row>
    <row r="3608" spans="1:61" ht="21" customHeight="1" x14ac:dyDescent="0.25">
      <c r="A3608" s="10"/>
      <c r="B3608" s="10"/>
      <c r="E3608" s="10"/>
      <c r="G3608" s="10"/>
      <c r="I3608" s="436" t="s">
        <v>3877</v>
      </c>
      <c r="J3608" s="26" t="s">
        <v>3876</v>
      </c>
      <c r="K3608" s="10">
        <v>6</v>
      </c>
      <c r="L3608" s="73">
        <f>IF(Tank1!$C$23="No control",(SUMIF(Tank1!$B$32:$B$49,$J3608,Tank1!$C$32:$C$49)*Impacts!$F$8),0)</f>
        <v>0</v>
      </c>
      <c r="M3608" s="10">
        <f>IF(Tank2!$C$23="No control",(SUMIF(Tank2!$B$32:$B$49,$J3608,Tank2!$C$32:$C$49)*Impacts!$F$9),0)</f>
        <v>0</v>
      </c>
      <c r="N3608" s="10">
        <f>IF(Tank3!$C$23="No control",(SUMIF(Tank3!$B$32:$B$49,$J3608,Tank3!$C$32:$C$49)*Impacts!$F$10),0)</f>
        <v>0</v>
      </c>
      <c r="O3608" s="10">
        <f>IF(Tank4!$C$23="No control",(SUMIF(Tank4!$B$32:$B$49,$J3608,Tank4!$C$32:$C$49)*Impacts!$F$11),0)</f>
        <v>0</v>
      </c>
      <c r="P3608" s="10">
        <f>IF(Tank5!$C$23="No control",(SUMIF(Tank5!$B$32:$B$49,$J3608,Tank5!$C$32:$C$49)*Impacts!$F$12),0)</f>
        <v>0</v>
      </c>
      <c r="Q3608" s="10">
        <f>IFERROR(IF(('Loading-drum,tote'!$C$21)="No control",SUMIF(('Loading-drum,tote'!$B$31:$B$48),$J3608,('Loading-drum,tote'!$D$31:$D$48))*Impacts!$F$13,IF(('Loading-drum,tote'!$C$21)&lt;&gt;"No control",SUMIF(('Loading-drum,tote'!$B$31:$B$48),$J3608,('Loading-drum,tote'!$E$31:$E$48))*Impacts!$F$13,0)),0)</f>
        <v>0</v>
      </c>
      <c r="R3608" s="10">
        <f>IFERROR(IF(('Loading-truck'!$C$21)="No control",SUMIF(('Loading-truck'!$B$31:$B$48),$J3608,('Loading-truck'!$D$31:$D$48))*Impacts!$F$14,IF(('Loading-truck'!$C$21)&lt;&gt;"No control",SUMIF(('Loading-truck'!$B$31:$B$48),$J3608,('Loading-truck'!$E$31:$E$48))*Impacts!$F$14,0)),0)</f>
        <v>0</v>
      </c>
      <c r="S3608" s="10">
        <f>IFERROR(IF(('Loading-rail'!$C$21)="No control",SUMIF(('Loading-rail'!$B$31:$B$48),$J3608,('Loading-rail'!$D$31:$D$48))*Impacts!$F$15,IF(('Loading-rail'!$C$21)&lt;&gt;"No control",SUMIF(('Loading-rail'!$B$31:$B$48),$J3608,('Loading-rail'!$E$31:$E$48))*Impacts!$F$15,0)),0)</f>
        <v>0</v>
      </c>
      <c r="T3608" s="10">
        <f>IF(Flare!$C$7="",0,(SUMIF(Flare!$B$46:$B$185,$J3608,Flare!$E$46:$E$185)*Impacts!$F$16))</f>
        <v>0</v>
      </c>
      <c r="U3608" s="10">
        <f>IF(VCU!$C$9="",0,(SUMIF(VCU!$B$51:$B$193,$J3608,VCU!$E$51:$E$193)*Impacts!$F$17))</f>
        <v>0</v>
      </c>
      <c r="V3608" s="10">
        <f>IF(CAS!$C$7="",0,(SUMIF(CAS!$B$31:$B$167,$J3608,CAS!$E$31:$E$167)*Impacts!$F$18))</f>
        <v>0</v>
      </c>
      <c r="W3608" s="10">
        <f t="shared" si="96"/>
        <v>0</v>
      </c>
      <c r="AK3608" s="10" t="str">
        <f t="array" ref="AK3608">IFERROR(INDEX(SelectedSpecies,SMALL(IF(SelectedSpecies=AK$1,ROW(SelectedSpecies)),ROW(3609:3609)),2),"")</f>
        <v/>
      </c>
      <c r="BE3608" s="10"/>
      <c r="BI3608" s="10"/>
    </row>
    <row r="3609" spans="1:61" ht="21" customHeight="1" x14ac:dyDescent="0.25">
      <c r="A3609" s="10"/>
      <c r="B3609" s="10"/>
      <c r="E3609" s="10"/>
      <c r="G3609" s="10"/>
      <c r="I3609" s="436" t="s">
        <v>3879</v>
      </c>
      <c r="J3609" s="26" t="s">
        <v>3878</v>
      </c>
      <c r="K3609" s="10">
        <v>6</v>
      </c>
      <c r="L3609" s="73">
        <f>IF(Tank1!$C$23="No control",(SUMIF(Tank1!$B$32:$B$49,$J3609,Tank1!$C$32:$C$49)*Impacts!$F$8),0)</f>
        <v>0</v>
      </c>
      <c r="M3609" s="10">
        <f>IF(Tank2!$C$23="No control",(SUMIF(Tank2!$B$32:$B$49,$J3609,Tank2!$C$32:$C$49)*Impacts!$F$9),0)</f>
        <v>0</v>
      </c>
      <c r="N3609" s="10">
        <f>IF(Tank3!$C$23="No control",(SUMIF(Tank3!$B$32:$B$49,$J3609,Tank3!$C$32:$C$49)*Impacts!$F$10),0)</f>
        <v>0</v>
      </c>
      <c r="O3609" s="10">
        <f>IF(Tank4!$C$23="No control",(SUMIF(Tank4!$B$32:$B$49,$J3609,Tank4!$C$32:$C$49)*Impacts!$F$11),0)</f>
        <v>0</v>
      </c>
      <c r="P3609" s="10">
        <f>IF(Tank5!$C$23="No control",(SUMIF(Tank5!$B$32:$B$49,$J3609,Tank5!$C$32:$C$49)*Impacts!$F$12),0)</f>
        <v>0</v>
      </c>
      <c r="Q3609" s="10">
        <f>IFERROR(IF(('Loading-drum,tote'!$C$21)="No control",SUMIF(('Loading-drum,tote'!$B$31:$B$48),$J3609,('Loading-drum,tote'!$D$31:$D$48))*Impacts!$F$13,IF(('Loading-drum,tote'!$C$21)&lt;&gt;"No control",SUMIF(('Loading-drum,tote'!$B$31:$B$48),$J3609,('Loading-drum,tote'!$E$31:$E$48))*Impacts!$F$13,0)),0)</f>
        <v>0</v>
      </c>
      <c r="R3609" s="10">
        <f>IFERROR(IF(('Loading-truck'!$C$21)="No control",SUMIF(('Loading-truck'!$B$31:$B$48),$J3609,('Loading-truck'!$D$31:$D$48))*Impacts!$F$14,IF(('Loading-truck'!$C$21)&lt;&gt;"No control",SUMIF(('Loading-truck'!$B$31:$B$48),$J3609,('Loading-truck'!$E$31:$E$48))*Impacts!$F$14,0)),0)</f>
        <v>0</v>
      </c>
      <c r="S3609" s="10">
        <f>IFERROR(IF(('Loading-rail'!$C$21)="No control",SUMIF(('Loading-rail'!$B$31:$B$48),$J3609,('Loading-rail'!$D$31:$D$48))*Impacts!$F$15,IF(('Loading-rail'!$C$21)&lt;&gt;"No control",SUMIF(('Loading-rail'!$B$31:$B$48),$J3609,('Loading-rail'!$E$31:$E$48))*Impacts!$F$15,0)),0)</f>
        <v>0</v>
      </c>
      <c r="T3609" s="10">
        <f>IF(Flare!$C$7="",0,(SUMIF(Flare!$B$46:$B$185,$J3609,Flare!$E$46:$E$185)*Impacts!$F$16))</f>
        <v>0</v>
      </c>
      <c r="U3609" s="10">
        <f>IF(VCU!$C$9="",0,(SUMIF(VCU!$B$51:$B$193,$J3609,VCU!$E$51:$E$193)*Impacts!$F$17))</f>
        <v>0</v>
      </c>
      <c r="V3609" s="10">
        <f>IF(CAS!$C$7="",0,(SUMIF(CAS!$B$31:$B$167,$J3609,CAS!$E$31:$E$167)*Impacts!$F$18))</f>
        <v>0</v>
      </c>
      <c r="W3609" s="10">
        <f t="shared" si="96"/>
        <v>0</v>
      </c>
      <c r="AK3609" s="10" t="str">
        <f t="array" ref="AK3609">IFERROR(INDEX(SelectedSpecies,SMALL(IF(SelectedSpecies=AK$1,ROW(SelectedSpecies)),ROW(3610:3610)),2),"")</f>
        <v/>
      </c>
      <c r="BE3609" s="10"/>
      <c r="BI3609" s="10"/>
    </row>
    <row r="3610" spans="1:61" ht="21" customHeight="1" x14ac:dyDescent="0.25">
      <c r="A3610" s="10"/>
      <c r="B3610" s="10"/>
      <c r="E3610" s="10"/>
      <c r="G3610" s="10"/>
      <c r="I3610" s="436" t="s">
        <v>3881</v>
      </c>
      <c r="J3610" s="26" t="s">
        <v>3880</v>
      </c>
      <c r="K3610" s="10">
        <v>6</v>
      </c>
      <c r="L3610" s="73">
        <f>IF(Tank1!$C$23="No control",(SUMIF(Tank1!$B$32:$B$49,$J3610,Tank1!$C$32:$C$49)*Impacts!$F$8),0)</f>
        <v>0</v>
      </c>
      <c r="M3610" s="10">
        <f>IF(Tank2!$C$23="No control",(SUMIF(Tank2!$B$32:$B$49,$J3610,Tank2!$C$32:$C$49)*Impacts!$F$9),0)</f>
        <v>0</v>
      </c>
      <c r="N3610" s="10">
        <f>IF(Tank3!$C$23="No control",(SUMIF(Tank3!$B$32:$B$49,$J3610,Tank3!$C$32:$C$49)*Impacts!$F$10),0)</f>
        <v>0</v>
      </c>
      <c r="O3610" s="10">
        <f>IF(Tank4!$C$23="No control",(SUMIF(Tank4!$B$32:$B$49,$J3610,Tank4!$C$32:$C$49)*Impacts!$F$11),0)</f>
        <v>0</v>
      </c>
      <c r="P3610" s="10">
        <f>IF(Tank5!$C$23="No control",(SUMIF(Tank5!$B$32:$B$49,$J3610,Tank5!$C$32:$C$49)*Impacts!$F$12),0)</f>
        <v>0</v>
      </c>
      <c r="Q3610" s="10">
        <f>IFERROR(IF(('Loading-drum,tote'!$C$21)="No control",SUMIF(('Loading-drum,tote'!$B$31:$B$48),$J3610,('Loading-drum,tote'!$D$31:$D$48))*Impacts!$F$13,IF(('Loading-drum,tote'!$C$21)&lt;&gt;"No control",SUMIF(('Loading-drum,tote'!$B$31:$B$48),$J3610,('Loading-drum,tote'!$E$31:$E$48))*Impacts!$F$13,0)),0)</f>
        <v>0</v>
      </c>
      <c r="R3610" s="10">
        <f>IFERROR(IF(('Loading-truck'!$C$21)="No control",SUMIF(('Loading-truck'!$B$31:$B$48),$J3610,('Loading-truck'!$D$31:$D$48))*Impacts!$F$14,IF(('Loading-truck'!$C$21)&lt;&gt;"No control",SUMIF(('Loading-truck'!$B$31:$B$48),$J3610,('Loading-truck'!$E$31:$E$48))*Impacts!$F$14,0)),0)</f>
        <v>0</v>
      </c>
      <c r="S3610" s="10">
        <f>IFERROR(IF(('Loading-rail'!$C$21)="No control",SUMIF(('Loading-rail'!$B$31:$B$48),$J3610,('Loading-rail'!$D$31:$D$48))*Impacts!$F$15,IF(('Loading-rail'!$C$21)&lt;&gt;"No control",SUMIF(('Loading-rail'!$B$31:$B$48),$J3610,('Loading-rail'!$E$31:$E$48))*Impacts!$F$15,0)),0)</f>
        <v>0</v>
      </c>
      <c r="T3610" s="10">
        <f>IF(Flare!$C$7="",0,(SUMIF(Flare!$B$46:$B$185,$J3610,Flare!$E$46:$E$185)*Impacts!$F$16))</f>
        <v>0</v>
      </c>
      <c r="U3610" s="10">
        <f>IF(VCU!$C$9="",0,(SUMIF(VCU!$B$51:$B$193,$J3610,VCU!$E$51:$E$193)*Impacts!$F$17))</f>
        <v>0</v>
      </c>
      <c r="V3610" s="10">
        <f>IF(CAS!$C$7="",0,(SUMIF(CAS!$B$31:$B$167,$J3610,CAS!$E$31:$E$167)*Impacts!$F$18))</f>
        <v>0</v>
      </c>
      <c r="W3610" s="10">
        <f t="shared" ref="W3610:W3673" si="97">SUM(L3610:V3610)</f>
        <v>0</v>
      </c>
      <c r="AK3610" s="10" t="str">
        <f t="array" ref="AK3610">IFERROR(INDEX(SelectedSpecies,SMALL(IF(SelectedSpecies=AK$1,ROW(SelectedSpecies)),ROW(3611:3611)),2),"")</f>
        <v/>
      </c>
      <c r="BE3610" s="10"/>
      <c r="BI3610" s="10"/>
    </row>
    <row r="3611" spans="1:61" ht="21" customHeight="1" x14ac:dyDescent="0.25">
      <c r="A3611" s="10"/>
      <c r="B3611" s="10"/>
      <c r="E3611" s="10"/>
      <c r="G3611" s="10"/>
      <c r="I3611" s="436" t="s">
        <v>3883</v>
      </c>
      <c r="J3611" s="26" t="s">
        <v>3882</v>
      </c>
      <c r="K3611" s="10">
        <v>6</v>
      </c>
      <c r="L3611" s="73">
        <f>IF(Tank1!$C$23="No control",(SUMIF(Tank1!$B$32:$B$49,$J3611,Tank1!$C$32:$C$49)*Impacts!$F$8),0)</f>
        <v>0</v>
      </c>
      <c r="M3611" s="10">
        <f>IF(Tank2!$C$23="No control",(SUMIF(Tank2!$B$32:$B$49,$J3611,Tank2!$C$32:$C$49)*Impacts!$F$9),0)</f>
        <v>0</v>
      </c>
      <c r="N3611" s="10">
        <f>IF(Tank3!$C$23="No control",(SUMIF(Tank3!$B$32:$B$49,$J3611,Tank3!$C$32:$C$49)*Impacts!$F$10),0)</f>
        <v>0</v>
      </c>
      <c r="O3611" s="10">
        <f>IF(Tank4!$C$23="No control",(SUMIF(Tank4!$B$32:$B$49,$J3611,Tank4!$C$32:$C$49)*Impacts!$F$11),0)</f>
        <v>0</v>
      </c>
      <c r="P3611" s="10">
        <f>IF(Tank5!$C$23="No control",(SUMIF(Tank5!$B$32:$B$49,$J3611,Tank5!$C$32:$C$49)*Impacts!$F$12),0)</f>
        <v>0</v>
      </c>
      <c r="Q3611" s="10">
        <f>IFERROR(IF(('Loading-drum,tote'!$C$21)="No control",SUMIF(('Loading-drum,tote'!$B$31:$B$48),$J3611,('Loading-drum,tote'!$D$31:$D$48))*Impacts!$F$13,IF(('Loading-drum,tote'!$C$21)&lt;&gt;"No control",SUMIF(('Loading-drum,tote'!$B$31:$B$48),$J3611,('Loading-drum,tote'!$E$31:$E$48))*Impacts!$F$13,0)),0)</f>
        <v>0</v>
      </c>
      <c r="R3611" s="10">
        <f>IFERROR(IF(('Loading-truck'!$C$21)="No control",SUMIF(('Loading-truck'!$B$31:$B$48),$J3611,('Loading-truck'!$D$31:$D$48))*Impacts!$F$14,IF(('Loading-truck'!$C$21)&lt;&gt;"No control",SUMIF(('Loading-truck'!$B$31:$B$48),$J3611,('Loading-truck'!$E$31:$E$48))*Impacts!$F$14,0)),0)</f>
        <v>0</v>
      </c>
      <c r="S3611" s="10">
        <f>IFERROR(IF(('Loading-rail'!$C$21)="No control",SUMIF(('Loading-rail'!$B$31:$B$48),$J3611,('Loading-rail'!$D$31:$D$48))*Impacts!$F$15,IF(('Loading-rail'!$C$21)&lt;&gt;"No control",SUMIF(('Loading-rail'!$B$31:$B$48),$J3611,('Loading-rail'!$E$31:$E$48))*Impacts!$F$15,0)),0)</f>
        <v>0</v>
      </c>
      <c r="T3611" s="10">
        <f>IF(Flare!$C$7="",0,(SUMIF(Flare!$B$46:$B$185,$J3611,Flare!$E$46:$E$185)*Impacts!$F$16))</f>
        <v>0</v>
      </c>
      <c r="U3611" s="10">
        <f>IF(VCU!$C$9="",0,(SUMIF(VCU!$B$51:$B$193,$J3611,VCU!$E$51:$E$193)*Impacts!$F$17))</f>
        <v>0</v>
      </c>
      <c r="V3611" s="10">
        <f>IF(CAS!$C$7="",0,(SUMIF(CAS!$B$31:$B$167,$J3611,CAS!$E$31:$E$167)*Impacts!$F$18))</f>
        <v>0</v>
      </c>
      <c r="W3611" s="10">
        <f t="shared" si="97"/>
        <v>0</v>
      </c>
      <c r="AK3611" s="10" t="str">
        <f t="array" ref="AK3611">IFERROR(INDEX(SelectedSpecies,SMALL(IF(SelectedSpecies=AK$1,ROW(SelectedSpecies)),ROW(3612:3612)),2),"")</f>
        <v/>
      </c>
      <c r="BE3611" s="10"/>
      <c r="BI3611" s="10"/>
    </row>
    <row r="3612" spans="1:61" ht="21" customHeight="1" x14ac:dyDescent="0.25">
      <c r="A3612" s="10"/>
      <c r="B3612" s="10"/>
      <c r="E3612" s="10"/>
      <c r="G3612" s="10"/>
      <c r="I3612" s="436" t="s">
        <v>3885</v>
      </c>
      <c r="J3612" s="26" t="s">
        <v>3884</v>
      </c>
      <c r="K3612" s="10">
        <v>6</v>
      </c>
      <c r="L3612" s="73">
        <f>IF(Tank1!$C$23="No control",(SUMIF(Tank1!$B$32:$B$49,$J3612,Tank1!$C$32:$C$49)*Impacts!$F$8),0)</f>
        <v>0</v>
      </c>
      <c r="M3612" s="10">
        <f>IF(Tank2!$C$23="No control",(SUMIF(Tank2!$B$32:$B$49,$J3612,Tank2!$C$32:$C$49)*Impacts!$F$9),0)</f>
        <v>0</v>
      </c>
      <c r="N3612" s="10">
        <f>IF(Tank3!$C$23="No control",(SUMIF(Tank3!$B$32:$B$49,$J3612,Tank3!$C$32:$C$49)*Impacts!$F$10),0)</f>
        <v>0</v>
      </c>
      <c r="O3612" s="10">
        <f>IF(Tank4!$C$23="No control",(SUMIF(Tank4!$B$32:$B$49,$J3612,Tank4!$C$32:$C$49)*Impacts!$F$11),0)</f>
        <v>0</v>
      </c>
      <c r="P3612" s="10">
        <f>IF(Tank5!$C$23="No control",(SUMIF(Tank5!$B$32:$B$49,$J3612,Tank5!$C$32:$C$49)*Impacts!$F$12),0)</f>
        <v>0</v>
      </c>
      <c r="Q3612" s="10">
        <f>IFERROR(IF(('Loading-drum,tote'!$C$21)="No control",SUMIF(('Loading-drum,tote'!$B$31:$B$48),$J3612,('Loading-drum,tote'!$D$31:$D$48))*Impacts!$F$13,IF(('Loading-drum,tote'!$C$21)&lt;&gt;"No control",SUMIF(('Loading-drum,tote'!$B$31:$B$48),$J3612,('Loading-drum,tote'!$E$31:$E$48))*Impacts!$F$13,0)),0)</f>
        <v>0</v>
      </c>
      <c r="R3612" s="10">
        <f>IFERROR(IF(('Loading-truck'!$C$21)="No control",SUMIF(('Loading-truck'!$B$31:$B$48),$J3612,('Loading-truck'!$D$31:$D$48))*Impacts!$F$14,IF(('Loading-truck'!$C$21)&lt;&gt;"No control",SUMIF(('Loading-truck'!$B$31:$B$48),$J3612,('Loading-truck'!$E$31:$E$48))*Impacts!$F$14,0)),0)</f>
        <v>0</v>
      </c>
      <c r="S3612" s="10">
        <f>IFERROR(IF(('Loading-rail'!$C$21)="No control",SUMIF(('Loading-rail'!$B$31:$B$48),$J3612,('Loading-rail'!$D$31:$D$48))*Impacts!$F$15,IF(('Loading-rail'!$C$21)&lt;&gt;"No control",SUMIF(('Loading-rail'!$B$31:$B$48),$J3612,('Loading-rail'!$E$31:$E$48))*Impacts!$F$15,0)),0)</f>
        <v>0</v>
      </c>
      <c r="T3612" s="10">
        <f>IF(Flare!$C$7="",0,(SUMIF(Flare!$B$46:$B$185,$J3612,Flare!$E$46:$E$185)*Impacts!$F$16))</f>
        <v>0</v>
      </c>
      <c r="U3612" s="10">
        <f>IF(VCU!$C$9="",0,(SUMIF(VCU!$B$51:$B$193,$J3612,VCU!$E$51:$E$193)*Impacts!$F$17))</f>
        <v>0</v>
      </c>
      <c r="V3612" s="10">
        <f>IF(CAS!$C$7="",0,(SUMIF(CAS!$B$31:$B$167,$J3612,CAS!$E$31:$E$167)*Impacts!$F$18))</f>
        <v>0</v>
      </c>
      <c r="W3612" s="10">
        <f t="shared" si="97"/>
        <v>0</v>
      </c>
      <c r="AK3612" s="10" t="str">
        <f t="array" ref="AK3612">IFERROR(INDEX(SelectedSpecies,SMALL(IF(SelectedSpecies=AK$1,ROW(SelectedSpecies)),ROW(3613:3613)),2),"")</f>
        <v/>
      </c>
      <c r="BE3612" s="10"/>
      <c r="BI3612" s="10"/>
    </row>
    <row r="3613" spans="1:61" ht="21" customHeight="1" x14ac:dyDescent="0.25">
      <c r="A3613" s="10"/>
      <c r="B3613" s="10"/>
      <c r="E3613" s="10"/>
      <c r="G3613" s="10"/>
      <c r="I3613" s="436" t="s">
        <v>8212</v>
      </c>
      <c r="J3613" s="26" t="s">
        <v>8211</v>
      </c>
      <c r="K3613" s="10">
        <v>1.0000000000000002E-2</v>
      </c>
      <c r="L3613" s="73">
        <f>IF(Tank1!$C$23="No control",(SUMIF(Tank1!$B$32:$B$49,$J3613,Tank1!$C$32:$C$49)*Impacts!$F$8),0)</f>
        <v>0</v>
      </c>
      <c r="M3613" s="10">
        <f>IF(Tank2!$C$23="No control",(SUMIF(Tank2!$B$32:$B$49,$J3613,Tank2!$C$32:$C$49)*Impacts!$F$9),0)</f>
        <v>0</v>
      </c>
      <c r="N3613" s="10">
        <f>IF(Tank3!$C$23="No control",(SUMIF(Tank3!$B$32:$B$49,$J3613,Tank3!$C$32:$C$49)*Impacts!$F$10),0)</f>
        <v>0</v>
      </c>
      <c r="O3613" s="10">
        <f>IF(Tank4!$C$23="No control",(SUMIF(Tank4!$B$32:$B$49,$J3613,Tank4!$C$32:$C$49)*Impacts!$F$11),0)</f>
        <v>0</v>
      </c>
      <c r="P3613" s="10">
        <f>IF(Tank5!$C$23="No control",(SUMIF(Tank5!$B$32:$B$49,$J3613,Tank5!$C$32:$C$49)*Impacts!$F$12),0)</f>
        <v>0</v>
      </c>
      <c r="Q3613" s="10">
        <f>IFERROR(IF(('Loading-drum,tote'!$C$21)="No control",SUMIF(('Loading-drum,tote'!$B$31:$B$48),$J3613,('Loading-drum,tote'!$D$31:$D$48))*Impacts!$F$13,IF(('Loading-drum,tote'!$C$21)&lt;&gt;"No control",SUMIF(('Loading-drum,tote'!$B$31:$B$48),$J3613,('Loading-drum,tote'!$E$31:$E$48))*Impacts!$F$13,0)),0)</f>
        <v>0</v>
      </c>
      <c r="R3613" s="10">
        <f>IFERROR(IF(('Loading-truck'!$C$21)="No control",SUMIF(('Loading-truck'!$B$31:$B$48),$J3613,('Loading-truck'!$D$31:$D$48))*Impacts!$F$14,IF(('Loading-truck'!$C$21)&lt;&gt;"No control",SUMIF(('Loading-truck'!$B$31:$B$48),$J3613,('Loading-truck'!$E$31:$E$48))*Impacts!$F$14,0)),0)</f>
        <v>0</v>
      </c>
      <c r="S3613" s="10">
        <f>IFERROR(IF(('Loading-rail'!$C$21)="No control",SUMIF(('Loading-rail'!$B$31:$B$48),$J3613,('Loading-rail'!$D$31:$D$48))*Impacts!$F$15,IF(('Loading-rail'!$C$21)&lt;&gt;"No control",SUMIF(('Loading-rail'!$B$31:$B$48),$J3613,('Loading-rail'!$E$31:$E$48))*Impacts!$F$15,0)),0)</f>
        <v>0</v>
      </c>
      <c r="T3613" s="10">
        <f>IF(Flare!$C$7="",0,(SUMIF(Flare!$B$46:$B$185,$J3613,Flare!$E$46:$E$185)*Impacts!$F$16))</f>
        <v>0</v>
      </c>
      <c r="U3613" s="10">
        <f>IF(VCU!$C$9="",0,(SUMIF(VCU!$B$51:$B$193,$J3613,VCU!$E$51:$E$193)*Impacts!$F$17))</f>
        <v>0</v>
      </c>
      <c r="V3613" s="10">
        <f>IF(CAS!$C$7="",0,(SUMIF(CAS!$B$31:$B$167,$J3613,CAS!$E$31:$E$167)*Impacts!$F$18))</f>
        <v>0</v>
      </c>
      <c r="W3613" s="10">
        <f t="shared" si="97"/>
        <v>0</v>
      </c>
      <c r="AK3613" s="10" t="str">
        <f t="array" ref="AK3613">IFERROR(INDEX(SelectedSpecies,SMALL(IF(SelectedSpecies=AK$1,ROW(SelectedSpecies)),ROW(3614:3614)),2),"")</f>
        <v/>
      </c>
      <c r="BE3613" s="10"/>
      <c r="BI3613" s="10"/>
    </row>
    <row r="3614" spans="1:61" ht="21" customHeight="1" x14ac:dyDescent="0.25">
      <c r="A3614" s="10"/>
      <c r="B3614" s="10"/>
      <c r="E3614" s="10"/>
      <c r="G3614" s="10"/>
      <c r="I3614" s="436" t="s">
        <v>6488</v>
      </c>
      <c r="J3614" s="26" t="s">
        <v>6487</v>
      </c>
      <c r="K3614" s="10">
        <v>0.75</v>
      </c>
      <c r="L3614" s="73">
        <f>IF(Tank1!$C$23="No control",(SUMIF(Tank1!$B$32:$B$49,$J3614,Tank1!$C$32:$C$49)*Impacts!$F$8),0)</f>
        <v>0</v>
      </c>
      <c r="M3614" s="10">
        <f>IF(Tank2!$C$23="No control",(SUMIF(Tank2!$B$32:$B$49,$J3614,Tank2!$C$32:$C$49)*Impacts!$F$9),0)</f>
        <v>0</v>
      </c>
      <c r="N3614" s="10">
        <f>IF(Tank3!$C$23="No control",(SUMIF(Tank3!$B$32:$B$49,$J3614,Tank3!$C$32:$C$49)*Impacts!$F$10),0)</f>
        <v>0</v>
      </c>
      <c r="O3614" s="10">
        <f>IF(Tank4!$C$23="No control",(SUMIF(Tank4!$B$32:$B$49,$J3614,Tank4!$C$32:$C$49)*Impacts!$F$11),0)</f>
        <v>0</v>
      </c>
      <c r="P3614" s="10">
        <f>IF(Tank5!$C$23="No control",(SUMIF(Tank5!$B$32:$B$49,$J3614,Tank5!$C$32:$C$49)*Impacts!$F$12),0)</f>
        <v>0</v>
      </c>
      <c r="Q3614" s="10">
        <f>IFERROR(IF(('Loading-drum,tote'!$C$21)="No control",SUMIF(('Loading-drum,tote'!$B$31:$B$48),$J3614,('Loading-drum,tote'!$D$31:$D$48))*Impacts!$F$13,IF(('Loading-drum,tote'!$C$21)&lt;&gt;"No control",SUMIF(('Loading-drum,tote'!$B$31:$B$48),$J3614,('Loading-drum,tote'!$E$31:$E$48))*Impacts!$F$13,0)),0)</f>
        <v>0</v>
      </c>
      <c r="R3614" s="10">
        <f>IFERROR(IF(('Loading-truck'!$C$21)="No control",SUMIF(('Loading-truck'!$B$31:$B$48),$J3614,('Loading-truck'!$D$31:$D$48))*Impacts!$F$14,IF(('Loading-truck'!$C$21)&lt;&gt;"No control",SUMIF(('Loading-truck'!$B$31:$B$48),$J3614,('Loading-truck'!$E$31:$E$48))*Impacts!$F$14,0)),0)</f>
        <v>0</v>
      </c>
      <c r="S3614" s="10">
        <f>IFERROR(IF(('Loading-rail'!$C$21)="No control",SUMIF(('Loading-rail'!$B$31:$B$48),$J3614,('Loading-rail'!$D$31:$D$48))*Impacts!$F$15,IF(('Loading-rail'!$C$21)&lt;&gt;"No control",SUMIF(('Loading-rail'!$B$31:$B$48),$J3614,('Loading-rail'!$E$31:$E$48))*Impacts!$F$15,0)),0)</f>
        <v>0</v>
      </c>
      <c r="T3614" s="10">
        <f>IF(Flare!$C$7="",0,(SUMIF(Flare!$B$46:$B$185,$J3614,Flare!$E$46:$E$185)*Impacts!$F$16))</f>
        <v>0</v>
      </c>
      <c r="U3614" s="10">
        <f>IF(VCU!$C$9="",0,(SUMIF(VCU!$B$51:$B$193,$J3614,VCU!$E$51:$E$193)*Impacts!$F$17))</f>
        <v>0</v>
      </c>
      <c r="V3614" s="10">
        <f>IF(CAS!$C$7="",0,(SUMIF(CAS!$B$31:$B$167,$J3614,CAS!$E$31:$E$167)*Impacts!$F$18))</f>
        <v>0</v>
      </c>
      <c r="W3614" s="10">
        <f t="shared" si="97"/>
        <v>0</v>
      </c>
      <c r="AK3614" s="10" t="str">
        <f t="array" ref="AK3614">IFERROR(INDEX(SelectedSpecies,SMALL(IF(SelectedSpecies=AK$1,ROW(SelectedSpecies)),ROW(3615:3615)),2),"")</f>
        <v/>
      </c>
      <c r="BE3614" s="10"/>
      <c r="BI3614" s="10"/>
    </row>
    <row r="3615" spans="1:61" ht="21" customHeight="1" x14ac:dyDescent="0.25">
      <c r="A3615" s="10"/>
      <c r="B3615" s="10"/>
      <c r="E3615" s="10"/>
      <c r="G3615" s="10"/>
      <c r="I3615" s="436" t="s">
        <v>5535</v>
      </c>
      <c r="J3615" s="26" t="s">
        <v>5534</v>
      </c>
      <c r="K3615" s="10">
        <v>1.25</v>
      </c>
      <c r="L3615" s="73">
        <f>IF(Tank1!$C$23="No control",(SUMIF(Tank1!$B$32:$B$49,$J3615,Tank1!$C$32:$C$49)*Impacts!$F$8),0)</f>
        <v>0</v>
      </c>
      <c r="M3615" s="10">
        <f>IF(Tank2!$C$23="No control",(SUMIF(Tank2!$B$32:$B$49,$J3615,Tank2!$C$32:$C$49)*Impacts!$F$9),0)</f>
        <v>0</v>
      </c>
      <c r="N3615" s="10">
        <f>IF(Tank3!$C$23="No control",(SUMIF(Tank3!$B$32:$B$49,$J3615,Tank3!$C$32:$C$49)*Impacts!$F$10),0)</f>
        <v>0</v>
      </c>
      <c r="O3615" s="10">
        <f>IF(Tank4!$C$23="No control",(SUMIF(Tank4!$B$32:$B$49,$J3615,Tank4!$C$32:$C$49)*Impacts!$F$11),0)</f>
        <v>0</v>
      </c>
      <c r="P3615" s="10">
        <f>IF(Tank5!$C$23="No control",(SUMIF(Tank5!$B$32:$B$49,$J3615,Tank5!$C$32:$C$49)*Impacts!$F$12),0)</f>
        <v>0</v>
      </c>
      <c r="Q3615" s="10">
        <f>IFERROR(IF(('Loading-drum,tote'!$C$21)="No control",SUMIF(('Loading-drum,tote'!$B$31:$B$48),$J3615,('Loading-drum,tote'!$D$31:$D$48))*Impacts!$F$13,IF(('Loading-drum,tote'!$C$21)&lt;&gt;"No control",SUMIF(('Loading-drum,tote'!$B$31:$B$48),$J3615,('Loading-drum,tote'!$E$31:$E$48))*Impacts!$F$13,0)),0)</f>
        <v>0</v>
      </c>
      <c r="R3615" s="10">
        <f>IFERROR(IF(('Loading-truck'!$C$21)="No control",SUMIF(('Loading-truck'!$B$31:$B$48),$J3615,('Loading-truck'!$D$31:$D$48))*Impacts!$F$14,IF(('Loading-truck'!$C$21)&lt;&gt;"No control",SUMIF(('Loading-truck'!$B$31:$B$48),$J3615,('Loading-truck'!$E$31:$E$48))*Impacts!$F$14,0)),0)</f>
        <v>0</v>
      </c>
      <c r="S3615" s="10">
        <f>IFERROR(IF(('Loading-rail'!$C$21)="No control",SUMIF(('Loading-rail'!$B$31:$B$48),$J3615,('Loading-rail'!$D$31:$D$48))*Impacts!$F$15,IF(('Loading-rail'!$C$21)&lt;&gt;"No control",SUMIF(('Loading-rail'!$B$31:$B$48),$J3615,('Loading-rail'!$E$31:$E$48))*Impacts!$F$15,0)),0)</f>
        <v>0</v>
      </c>
      <c r="T3615" s="10">
        <f>IF(Flare!$C$7="",0,(SUMIF(Flare!$B$46:$B$185,$J3615,Flare!$E$46:$E$185)*Impacts!$F$16))</f>
        <v>0</v>
      </c>
      <c r="U3615" s="10">
        <f>IF(VCU!$C$9="",0,(SUMIF(VCU!$B$51:$B$193,$J3615,VCU!$E$51:$E$193)*Impacts!$F$17))</f>
        <v>0</v>
      </c>
      <c r="V3615" s="10">
        <f>IF(CAS!$C$7="",0,(SUMIF(CAS!$B$31:$B$167,$J3615,CAS!$E$31:$E$167)*Impacts!$F$18))</f>
        <v>0</v>
      </c>
      <c r="W3615" s="10">
        <f t="shared" si="97"/>
        <v>0</v>
      </c>
      <c r="AK3615" s="10" t="str">
        <f t="array" ref="AK3615">IFERROR(INDEX(SelectedSpecies,SMALL(IF(SelectedSpecies=AK$1,ROW(SelectedSpecies)),ROW(3616:3616)),2),"")</f>
        <v/>
      </c>
      <c r="BE3615" s="10"/>
      <c r="BI3615" s="10"/>
    </row>
    <row r="3616" spans="1:61" ht="21" customHeight="1" x14ac:dyDescent="0.25">
      <c r="A3616" s="10"/>
      <c r="B3616" s="10"/>
      <c r="E3616" s="10"/>
      <c r="G3616" s="10"/>
      <c r="I3616" s="436" t="s">
        <v>5057</v>
      </c>
      <c r="J3616" s="26" t="s">
        <v>5056</v>
      </c>
      <c r="K3616" s="10">
        <v>2.3000000000000003</v>
      </c>
      <c r="L3616" s="73">
        <f>IF(Tank1!$C$23="No control",(SUMIF(Tank1!$B$32:$B$49,$J3616,Tank1!$C$32:$C$49)*Impacts!$F$8),0)</f>
        <v>0</v>
      </c>
      <c r="M3616" s="10">
        <f>IF(Tank2!$C$23="No control",(SUMIF(Tank2!$B$32:$B$49,$J3616,Tank2!$C$32:$C$49)*Impacts!$F$9),0)</f>
        <v>0</v>
      </c>
      <c r="N3616" s="10">
        <f>IF(Tank3!$C$23="No control",(SUMIF(Tank3!$B$32:$B$49,$J3616,Tank3!$C$32:$C$49)*Impacts!$F$10),0)</f>
        <v>0</v>
      </c>
      <c r="O3616" s="10">
        <f>IF(Tank4!$C$23="No control",(SUMIF(Tank4!$B$32:$B$49,$J3616,Tank4!$C$32:$C$49)*Impacts!$F$11),0)</f>
        <v>0</v>
      </c>
      <c r="P3616" s="10">
        <f>IF(Tank5!$C$23="No control",(SUMIF(Tank5!$B$32:$B$49,$J3616,Tank5!$C$32:$C$49)*Impacts!$F$12),0)</f>
        <v>0</v>
      </c>
      <c r="Q3616" s="10">
        <f>IFERROR(IF(('Loading-drum,tote'!$C$21)="No control",SUMIF(('Loading-drum,tote'!$B$31:$B$48),$J3616,('Loading-drum,tote'!$D$31:$D$48))*Impacts!$F$13,IF(('Loading-drum,tote'!$C$21)&lt;&gt;"No control",SUMIF(('Loading-drum,tote'!$B$31:$B$48),$J3616,('Loading-drum,tote'!$E$31:$E$48))*Impacts!$F$13,0)),0)</f>
        <v>0</v>
      </c>
      <c r="R3616" s="10">
        <f>IFERROR(IF(('Loading-truck'!$C$21)="No control",SUMIF(('Loading-truck'!$B$31:$B$48),$J3616,('Loading-truck'!$D$31:$D$48))*Impacts!$F$14,IF(('Loading-truck'!$C$21)&lt;&gt;"No control",SUMIF(('Loading-truck'!$B$31:$B$48),$J3616,('Loading-truck'!$E$31:$E$48))*Impacts!$F$14,0)),0)</f>
        <v>0</v>
      </c>
      <c r="S3616" s="10">
        <f>IFERROR(IF(('Loading-rail'!$C$21)="No control",SUMIF(('Loading-rail'!$B$31:$B$48),$J3616,('Loading-rail'!$D$31:$D$48))*Impacts!$F$15,IF(('Loading-rail'!$C$21)&lt;&gt;"No control",SUMIF(('Loading-rail'!$B$31:$B$48),$J3616,('Loading-rail'!$E$31:$E$48))*Impacts!$F$15,0)),0)</f>
        <v>0</v>
      </c>
      <c r="T3616" s="10">
        <f>IF(Flare!$C$7="",0,(SUMIF(Flare!$B$46:$B$185,$J3616,Flare!$E$46:$E$185)*Impacts!$F$16))</f>
        <v>0</v>
      </c>
      <c r="U3616" s="10">
        <f>IF(VCU!$C$9="",0,(SUMIF(VCU!$B$51:$B$193,$J3616,VCU!$E$51:$E$193)*Impacts!$F$17))</f>
        <v>0</v>
      </c>
      <c r="V3616" s="10">
        <f>IF(CAS!$C$7="",0,(SUMIF(CAS!$B$31:$B$167,$J3616,CAS!$E$31:$E$167)*Impacts!$F$18))</f>
        <v>0</v>
      </c>
      <c r="W3616" s="10">
        <f t="shared" si="97"/>
        <v>0</v>
      </c>
      <c r="AK3616" s="10" t="str">
        <f t="array" ref="AK3616">IFERROR(INDEX(SelectedSpecies,SMALL(IF(SelectedSpecies=AK$1,ROW(SelectedSpecies)),ROW(3617:3617)),2),"")</f>
        <v/>
      </c>
      <c r="BE3616" s="10"/>
      <c r="BI3616" s="10"/>
    </row>
    <row r="3617" spans="1:61" ht="21" customHeight="1" x14ac:dyDescent="0.25">
      <c r="A3617" s="10"/>
      <c r="B3617" s="10"/>
      <c r="E3617" s="10"/>
      <c r="G3617" s="10"/>
      <c r="I3617" s="436" t="s">
        <v>8214</v>
      </c>
      <c r="J3617" s="26" t="s">
        <v>8213</v>
      </c>
      <c r="K3617" s="10">
        <v>1.0000000000000002E-2</v>
      </c>
      <c r="L3617" s="73">
        <f>IF(Tank1!$C$23="No control",(SUMIF(Tank1!$B$32:$B$49,$J3617,Tank1!$C$32:$C$49)*Impacts!$F$8),0)</f>
        <v>0</v>
      </c>
      <c r="M3617" s="10">
        <f>IF(Tank2!$C$23="No control",(SUMIF(Tank2!$B$32:$B$49,$J3617,Tank2!$C$32:$C$49)*Impacts!$F$9),0)</f>
        <v>0</v>
      </c>
      <c r="N3617" s="10">
        <f>IF(Tank3!$C$23="No control",(SUMIF(Tank3!$B$32:$B$49,$J3617,Tank3!$C$32:$C$49)*Impacts!$F$10),0)</f>
        <v>0</v>
      </c>
      <c r="O3617" s="10">
        <f>IF(Tank4!$C$23="No control",(SUMIF(Tank4!$B$32:$B$49,$J3617,Tank4!$C$32:$C$49)*Impacts!$F$11),0)</f>
        <v>0</v>
      </c>
      <c r="P3617" s="10">
        <f>IF(Tank5!$C$23="No control",(SUMIF(Tank5!$B$32:$B$49,$J3617,Tank5!$C$32:$C$49)*Impacts!$F$12),0)</f>
        <v>0</v>
      </c>
      <c r="Q3617" s="10">
        <f>IFERROR(IF(('Loading-drum,tote'!$C$21)="No control",SUMIF(('Loading-drum,tote'!$B$31:$B$48),$J3617,('Loading-drum,tote'!$D$31:$D$48))*Impacts!$F$13,IF(('Loading-drum,tote'!$C$21)&lt;&gt;"No control",SUMIF(('Loading-drum,tote'!$B$31:$B$48),$J3617,('Loading-drum,tote'!$E$31:$E$48))*Impacts!$F$13,0)),0)</f>
        <v>0</v>
      </c>
      <c r="R3617" s="10">
        <f>IFERROR(IF(('Loading-truck'!$C$21)="No control",SUMIF(('Loading-truck'!$B$31:$B$48),$J3617,('Loading-truck'!$D$31:$D$48))*Impacts!$F$14,IF(('Loading-truck'!$C$21)&lt;&gt;"No control",SUMIF(('Loading-truck'!$B$31:$B$48),$J3617,('Loading-truck'!$E$31:$E$48))*Impacts!$F$14,0)),0)</f>
        <v>0</v>
      </c>
      <c r="S3617" s="10">
        <f>IFERROR(IF(('Loading-rail'!$C$21)="No control",SUMIF(('Loading-rail'!$B$31:$B$48),$J3617,('Loading-rail'!$D$31:$D$48))*Impacts!$F$15,IF(('Loading-rail'!$C$21)&lt;&gt;"No control",SUMIF(('Loading-rail'!$B$31:$B$48),$J3617,('Loading-rail'!$E$31:$E$48))*Impacts!$F$15,0)),0)</f>
        <v>0</v>
      </c>
      <c r="T3617" s="10">
        <f>IF(Flare!$C$7="",0,(SUMIF(Flare!$B$46:$B$185,$J3617,Flare!$E$46:$E$185)*Impacts!$F$16))</f>
        <v>0</v>
      </c>
      <c r="U3617" s="10">
        <f>IF(VCU!$C$9="",0,(SUMIF(VCU!$B$51:$B$193,$J3617,VCU!$E$51:$E$193)*Impacts!$F$17))</f>
        <v>0</v>
      </c>
      <c r="V3617" s="10">
        <f>IF(CAS!$C$7="",0,(SUMIF(CAS!$B$31:$B$167,$J3617,CAS!$E$31:$E$167)*Impacts!$F$18))</f>
        <v>0</v>
      </c>
      <c r="W3617" s="10">
        <f t="shared" si="97"/>
        <v>0</v>
      </c>
      <c r="AK3617" s="10" t="str">
        <f t="array" ref="AK3617">IFERROR(INDEX(SelectedSpecies,SMALL(IF(SelectedSpecies=AK$1,ROW(SelectedSpecies)),ROW(3618:3618)),2),"")</f>
        <v/>
      </c>
      <c r="BE3617" s="10"/>
      <c r="BI3617" s="10"/>
    </row>
    <row r="3618" spans="1:61" ht="21" customHeight="1" x14ac:dyDescent="0.25">
      <c r="A3618" s="10"/>
      <c r="B3618" s="10"/>
      <c r="E3618" s="10"/>
      <c r="G3618" s="10"/>
      <c r="I3618" s="436" t="s">
        <v>6176</v>
      </c>
      <c r="J3618" s="26" t="s">
        <v>6175</v>
      </c>
      <c r="K3618" s="10">
        <v>1</v>
      </c>
      <c r="L3618" s="73">
        <f>IF(Tank1!$C$23="No control",(SUMIF(Tank1!$B$32:$B$49,$J3618,Tank1!$C$32:$C$49)*Impacts!$F$8),0)</f>
        <v>0</v>
      </c>
      <c r="M3618" s="10">
        <f>IF(Tank2!$C$23="No control",(SUMIF(Tank2!$B$32:$B$49,$J3618,Tank2!$C$32:$C$49)*Impacts!$F$9),0)</f>
        <v>0</v>
      </c>
      <c r="N3618" s="10">
        <f>IF(Tank3!$C$23="No control",(SUMIF(Tank3!$B$32:$B$49,$J3618,Tank3!$C$32:$C$49)*Impacts!$F$10),0)</f>
        <v>0</v>
      </c>
      <c r="O3618" s="10">
        <f>IF(Tank4!$C$23="No control",(SUMIF(Tank4!$B$32:$B$49,$J3618,Tank4!$C$32:$C$49)*Impacts!$F$11),0)</f>
        <v>0</v>
      </c>
      <c r="P3618" s="10">
        <f>IF(Tank5!$C$23="No control",(SUMIF(Tank5!$B$32:$B$49,$J3618,Tank5!$C$32:$C$49)*Impacts!$F$12),0)</f>
        <v>0</v>
      </c>
      <c r="Q3618" s="10">
        <f>IFERROR(IF(('Loading-drum,tote'!$C$21)="No control",SUMIF(('Loading-drum,tote'!$B$31:$B$48),$J3618,('Loading-drum,tote'!$D$31:$D$48))*Impacts!$F$13,IF(('Loading-drum,tote'!$C$21)&lt;&gt;"No control",SUMIF(('Loading-drum,tote'!$B$31:$B$48),$J3618,('Loading-drum,tote'!$E$31:$E$48))*Impacts!$F$13,0)),0)</f>
        <v>0</v>
      </c>
      <c r="R3618" s="10">
        <f>IFERROR(IF(('Loading-truck'!$C$21)="No control",SUMIF(('Loading-truck'!$B$31:$B$48),$J3618,('Loading-truck'!$D$31:$D$48))*Impacts!$F$14,IF(('Loading-truck'!$C$21)&lt;&gt;"No control",SUMIF(('Loading-truck'!$B$31:$B$48),$J3618,('Loading-truck'!$E$31:$E$48))*Impacts!$F$14,0)),0)</f>
        <v>0</v>
      </c>
      <c r="S3618" s="10">
        <f>IFERROR(IF(('Loading-rail'!$C$21)="No control",SUMIF(('Loading-rail'!$B$31:$B$48),$J3618,('Loading-rail'!$D$31:$D$48))*Impacts!$F$15,IF(('Loading-rail'!$C$21)&lt;&gt;"No control",SUMIF(('Loading-rail'!$B$31:$B$48),$J3618,('Loading-rail'!$E$31:$E$48))*Impacts!$F$15,0)),0)</f>
        <v>0</v>
      </c>
      <c r="T3618" s="10">
        <f>IF(Flare!$C$7="",0,(SUMIF(Flare!$B$46:$B$185,$J3618,Flare!$E$46:$E$185)*Impacts!$F$16))</f>
        <v>0</v>
      </c>
      <c r="U3618" s="10">
        <f>IF(VCU!$C$9="",0,(SUMIF(VCU!$B$51:$B$193,$J3618,VCU!$E$51:$E$193)*Impacts!$F$17))</f>
        <v>0</v>
      </c>
      <c r="V3618" s="10">
        <f>IF(CAS!$C$7="",0,(SUMIF(CAS!$B$31:$B$167,$J3618,CAS!$E$31:$E$167)*Impacts!$F$18))</f>
        <v>0</v>
      </c>
      <c r="W3618" s="10">
        <f t="shared" si="97"/>
        <v>0</v>
      </c>
      <c r="AK3618" s="10" t="str">
        <f t="array" ref="AK3618">IFERROR(INDEX(SelectedSpecies,SMALL(IF(SelectedSpecies=AK$1,ROW(SelectedSpecies)),ROW(3619:3619)),2),"")</f>
        <v/>
      </c>
      <c r="BE3618" s="10"/>
      <c r="BI3618" s="10"/>
    </row>
    <row r="3619" spans="1:61" ht="21" customHeight="1" x14ac:dyDescent="0.25">
      <c r="A3619" s="10"/>
      <c r="B3619" s="10"/>
      <c r="E3619" s="10"/>
      <c r="G3619" s="10"/>
      <c r="I3619" s="436" t="s">
        <v>6946</v>
      </c>
      <c r="J3619" s="26" t="s">
        <v>6945</v>
      </c>
      <c r="K3619" s="10">
        <v>0.5</v>
      </c>
      <c r="L3619" s="73">
        <f>IF(Tank1!$C$23="No control",(SUMIF(Tank1!$B$32:$B$49,$J3619,Tank1!$C$32:$C$49)*Impacts!$F$8),0)</f>
        <v>0</v>
      </c>
      <c r="M3619" s="10">
        <f>IF(Tank2!$C$23="No control",(SUMIF(Tank2!$B$32:$B$49,$J3619,Tank2!$C$32:$C$49)*Impacts!$F$9),0)</f>
        <v>0</v>
      </c>
      <c r="N3619" s="10">
        <f>IF(Tank3!$C$23="No control",(SUMIF(Tank3!$B$32:$B$49,$J3619,Tank3!$C$32:$C$49)*Impacts!$F$10),0)</f>
        <v>0</v>
      </c>
      <c r="O3619" s="10">
        <f>IF(Tank4!$C$23="No control",(SUMIF(Tank4!$B$32:$B$49,$J3619,Tank4!$C$32:$C$49)*Impacts!$F$11),0)</f>
        <v>0</v>
      </c>
      <c r="P3619" s="10">
        <f>IF(Tank5!$C$23="No control",(SUMIF(Tank5!$B$32:$B$49,$J3619,Tank5!$C$32:$C$49)*Impacts!$F$12),0)</f>
        <v>0</v>
      </c>
      <c r="Q3619" s="10">
        <f>IFERROR(IF(('Loading-drum,tote'!$C$21)="No control",SUMIF(('Loading-drum,tote'!$B$31:$B$48),$J3619,('Loading-drum,tote'!$D$31:$D$48))*Impacts!$F$13,IF(('Loading-drum,tote'!$C$21)&lt;&gt;"No control",SUMIF(('Loading-drum,tote'!$B$31:$B$48),$J3619,('Loading-drum,tote'!$E$31:$E$48))*Impacts!$F$13,0)),0)</f>
        <v>0</v>
      </c>
      <c r="R3619" s="10">
        <f>IFERROR(IF(('Loading-truck'!$C$21)="No control",SUMIF(('Loading-truck'!$B$31:$B$48),$J3619,('Loading-truck'!$D$31:$D$48))*Impacts!$F$14,IF(('Loading-truck'!$C$21)&lt;&gt;"No control",SUMIF(('Loading-truck'!$B$31:$B$48),$J3619,('Loading-truck'!$E$31:$E$48))*Impacts!$F$14,0)),0)</f>
        <v>0</v>
      </c>
      <c r="S3619" s="10">
        <f>IFERROR(IF(('Loading-rail'!$C$21)="No control",SUMIF(('Loading-rail'!$B$31:$B$48),$J3619,('Loading-rail'!$D$31:$D$48))*Impacts!$F$15,IF(('Loading-rail'!$C$21)&lt;&gt;"No control",SUMIF(('Loading-rail'!$B$31:$B$48),$J3619,('Loading-rail'!$E$31:$E$48))*Impacts!$F$15,0)),0)</f>
        <v>0</v>
      </c>
      <c r="T3619" s="10">
        <f>IF(Flare!$C$7="",0,(SUMIF(Flare!$B$46:$B$185,$J3619,Flare!$E$46:$E$185)*Impacts!$F$16))</f>
        <v>0</v>
      </c>
      <c r="U3619" s="10">
        <f>IF(VCU!$C$9="",0,(SUMIF(VCU!$B$51:$B$193,$J3619,VCU!$E$51:$E$193)*Impacts!$F$17))</f>
        <v>0</v>
      </c>
      <c r="V3619" s="10">
        <f>IF(CAS!$C$7="",0,(SUMIF(CAS!$B$31:$B$167,$J3619,CAS!$E$31:$E$167)*Impacts!$F$18))</f>
        <v>0</v>
      </c>
      <c r="W3619" s="10">
        <f t="shared" si="97"/>
        <v>0</v>
      </c>
      <c r="AK3619" s="10" t="str">
        <f t="array" ref="AK3619">IFERROR(INDEX(SelectedSpecies,SMALL(IF(SelectedSpecies=AK$1,ROW(SelectedSpecies)),ROW(3620:3620)),2),"")</f>
        <v/>
      </c>
      <c r="BE3619" s="10"/>
      <c r="BI3619" s="10"/>
    </row>
    <row r="3620" spans="1:61" ht="21" customHeight="1" x14ac:dyDescent="0.25">
      <c r="A3620" s="10"/>
      <c r="B3620" s="10"/>
      <c r="E3620" s="10"/>
      <c r="G3620" s="10"/>
      <c r="I3620" s="436" t="s">
        <v>2623</v>
      </c>
      <c r="J3620" s="26" t="s">
        <v>2622</v>
      </c>
      <c r="K3620" s="10">
        <v>10</v>
      </c>
      <c r="L3620" s="73">
        <f>IF(Tank1!$C$23="No control",(SUMIF(Tank1!$B$32:$B$49,$J3620,Tank1!$C$32:$C$49)*Impacts!$F$8),0)</f>
        <v>0</v>
      </c>
      <c r="M3620" s="10">
        <f>IF(Tank2!$C$23="No control",(SUMIF(Tank2!$B$32:$B$49,$J3620,Tank2!$C$32:$C$49)*Impacts!$F$9),0)</f>
        <v>0</v>
      </c>
      <c r="N3620" s="10">
        <f>IF(Tank3!$C$23="No control",(SUMIF(Tank3!$B$32:$B$49,$J3620,Tank3!$C$32:$C$49)*Impacts!$F$10),0)</f>
        <v>0</v>
      </c>
      <c r="O3620" s="10">
        <f>IF(Tank4!$C$23="No control",(SUMIF(Tank4!$B$32:$B$49,$J3620,Tank4!$C$32:$C$49)*Impacts!$F$11),0)</f>
        <v>0</v>
      </c>
      <c r="P3620" s="10">
        <f>IF(Tank5!$C$23="No control",(SUMIF(Tank5!$B$32:$B$49,$J3620,Tank5!$C$32:$C$49)*Impacts!$F$12),0)</f>
        <v>0</v>
      </c>
      <c r="Q3620" s="10">
        <f>IFERROR(IF(('Loading-drum,tote'!$C$21)="No control",SUMIF(('Loading-drum,tote'!$B$31:$B$48),$J3620,('Loading-drum,tote'!$D$31:$D$48))*Impacts!$F$13,IF(('Loading-drum,tote'!$C$21)&lt;&gt;"No control",SUMIF(('Loading-drum,tote'!$B$31:$B$48),$J3620,('Loading-drum,tote'!$E$31:$E$48))*Impacts!$F$13,0)),0)</f>
        <v>0</v>
      </c>
      <c r="R3620" s="10">
        <f>IFERROR(IF(('Loading-truck'!$C$21)="No control",SUMIF(('Loading-truck'!$B$31:$B$48),$J3620,('Loading-truck'!$D$31:$D$48))*Impacts!$F$14,IF(('Loading-truck'!$C$21)&lt;&gt;"No control",SUMIF(('Loading-truck'!$B$31:$B$48),$J3620,('Loading-truck'!$E$31:$E$48))*Impacts!$F$14,0)),0)</f>
        <v>0</v>
      </c>
      <c r="S3620" s="10">
        <f>IFERROR(IF(('Loading-rail'!$C$21)="No control",SUMIF(('Loading-rail'!$B$31:$B$48),$J3620,('Loading-rail'!$D$31:$D$48))*Impacts!$F$15,IF(('Loading-rail'!$C$21)&lt;&gt;"No control",SUMIF(('Loading-rail'!$B$31:$B$48),$J3620,('Loading-rail'!$E$31:$E$48))*Impacts!$F$15,0)),0)</f>
        <v>0</v>
      </c>
      <c r="T3620" s="10">
        <f>IF(Flare!$C$7="",0,(SUMIF(Flare!$B$46:$B$185,$J3620,Flare!$E$46:$E$185)*Impacts!$F$16))</f>
        <v>0</v>
      </c>
      <c r="U3620" s="10">
        <f>IF(VCU!$C$9="",0,(SUMIF(VCU!$B$51:$B$193,$J3620,VCU!$E$51:$E$193)*Impacts!$F$17))</f>
        <v>0</v>
      </c>
      <c r="V3620" s="10">
        <f>IF(CAS!$C$7="",0,(SUMIF(CAS!$B$31:$B$167,$J3620,CAS!$E$31:$E$167)*Impacts!$F$18))</f>
        <v>0</v>
      </c>
      <c r="W3620" s="10">
        <f t="shared" si="97"/>
        <v>0</v>
      </c>
      <c r="AK3620" s="10" t="str">
        <f t="array" ref="AK3620">IFERROR(INDEX(SelectedSpecies,SMALL(IF(SelectedSpecies=AK$1,ROW(SelectedSpecies)),ROW(3621:3621)),2),"")</f>
        <v/>
      </c>
      <c r="BE3620" s="10"/>
      <c r="BI3620" s="10"/>
    </row>
    <row r="3621" spans="1:61" ht="21" customHeight="1" x14ac:dyDescent="0.25">
      <c r="A3621" s="10"/>
      <c r="B3621" s="10"/>
      <c r="E3621" s="10"/>
      <c r="G3621" s="10"/>
      <c r="I3621" s="436" t="s">
        <v>305</v>
      </c>
      <c r="J3621" s="26" t="s">
        <v>304</v>
      </c>
      <c r="K3621" s="10">
        <v>710</v>
      </c>
      <c r="L3621" s="73">
        <f>IF(Tank1!$C$23="No control",(SUMIF(Tank1!$B$32:$B$49,$J3621,Tank1!$C$32:$C$49)*Impacts!$F$8),0)</f>
        <v>0</v>
      </c>
      <c r="M3621" s="10">
        <f>IF(Tank2!$C$23="No control",(SUMIF(Tank2!$B$32:$B$49,$J3621,Tank2!$C$32:$C$49)*Impacts!$F$9),0)</f>
        <v>0</v>
      </c>
      <c r="N3621" s="10">
        <f>IF(Tank3!$C$23="No control",(SUMIF(Tank3!$B$32:$B$49,$J3621,Tank3!$C$32:$C$49)*Impacts!$F$10),0)</f>
        <v>0</v>
      </c>
      <c r="O3621" s="10">
        <f>IF(Tank4!$C$23="No control",(SUMIF(Tank4!$B$32:$B$49,$J3621,Tank4!$C$32:$C$49)*Impacts!$F$11),0)</f>
        <v>0</v>
      </c>
      <c r="P3621" s="10">
        <f>IF(Tank5!$C$23="No control",(SUMIF(Tank5!$B$32:$B$49,$J3621,Tank5!$C$32:$C$49)*Impacts!$F$12),0)</f>
        <v>0</v>
      </c>
      <c r="Q3621" s="10">
        <f>IFERROR(IF(('Loading-drum,tote'!$C$21)="No control",SUMIF(('Loading-drum,tote'!$B$31:$B$48),$J3621,('Loading-drum,tote'!$D$31:$D$48))*Impacts!$F$13,IF(('Loading-drum,tote'!$C$21)&lt;&gt;"No control",SUMIF(('Loading-drum,tote'!$B$31:$B$48),$J3621,('Loading-drum,tote'!$E$31:$E$48))*Impacts!$F$13,0)),0)</f>
        <v>0</v>
      </c>
      <c r="R3621" s="10">
        <f>IFERROR(IF(('Loading-truck'!$C$21)="No control",SUMIF(('Loading-truck'!$B$31:$B$48),$J3621,('Loading-truck'!$D$31:$D$48))*Impacts!$F$14,IF(('Loading-truck'!$C$21)&lt;&gt;"No control",SUMIF(('Loading-truck'!$B$31:$B$48),$J3621,('Loading-truck'!$E$31:$E$48))*Impacts!$F$14,0)),0)</f>
        <v>0</v>
      </c>
      <c r="S3621" s="10">
        <f>IFERROR(IF(('Loading-rail'!$C$21)="No control",SUMIF(('Loading-rail'!$B$31:$B$48),$J3621,('Loading-rail'!$D$31:$D$48))*Impacts!$F$15,IF(('Loading-rail'!$C$21)&lt;&gt;"No control",SUMIF(('Loading-rail'!$B$31:$B$48),$J3621,('Loading-rail'!$E$31:$E$48))*Impacts!$F$15,0)),0)</f>
        <v>0</v>
      </c>
      <c r="T3621" s="10">
        <f>IF(Flare!$C$7="",0,(SUMIF(Flare!$B$46:$B$185,$J3621,Flare!$E$46:$E$185)*Impacts!$F$16))</f>
        <v>0</v>
      </c>
      <c r="U3621" s="10">
        <f>IF(VCU!$C$9="",0,(SUMIF(VCU!$B$51:$B$193,$J3621,VCU!$E$51:$E$193)*Impacts!$F$17))</f>
        <v>0</v>
      </c>
      <c r="V3621" s="10">
        <f>IF(CAS!$C$7="",0,(SUMIF(CAS!$B$31:$B$167,$J3621,CAS!$E$31:$E$167)*Impacts!$F$18))</f>
        <v>0</v>
      </c>
      <c r="W3621" s="10">
        <f t="shared" si="97"/>
        <v>0</v>
      </c>
      <c r="AK3621" s="10" t="str">
        <f t="array" ref="AK3621">IFERROR(INDEX(SelectedSpecies,SMALL(IF(SelectedSpecies=AK$1,ROW(SelectedSpecies)),ROW(3622:3622)),2),"")</f>
        <v/>
      </c>
      <c r="BE3621" s="10"/>
      <c r="BI3621" s="10"/>
    </row>
    <row r="3622" spans="1:61" ht="21" customHeight="1" x14ac:dyDescent="0.25">
      <c r="A3622" s="10"/>
      <c r="B3622" s="10"/>
      <c r="E3622" s="10"/>
      <c r="G3622" s="10"/>
      <c r="I3622" s="436" t="s">
        <v>2325</v>
      </c>
      <c r="J3622" s="26" t="s">
        <v>2324</v>
      </c>
      <c r="K3622" s="10">
        <v>12</v>
      </c>
      <c r="L3622" s="73">
        <f>IF(Tank1!$C$23="No control",(SUMIF(Tank1!$B$32:$B$49,$J3622,Tank1!$C$32:$C$49)*Impacts!$F$8),0)</f>
        <v>0</v>
      </c>
      <c r="M3622" s="10">
        <f>IF(Tank2!$C$23="No control",(SUMIF(Tank2!$B$32:$B$49,$J3622,Tank2!$C$32:$C$49)*Impacts!$F$9),0)</f>
        <v>0</v>
      </c>
      <c r="N3622" s="10">
        <f>IF(Tank3!$C$23="No control",(SUMIF(Tank3!$B$32:$B$49,$J3622,Tank3!$C$32:$C$49)*Impacts!$F$10),0)</f>
        <v>0</v>
      </c>
      <c r="O3622" s="10">
        <f>IF(Tank4!$C$23="No control",(SUMIF(Tank4!$B$32:$B$49,$J3622,Tank4!$C$32:$C$49)*Impacts!$F$11),0)</f>
        <v>0</v>
      </c>
      <c r="P3622" s="10">
        <f>IF(Tank5!$C$23="No control",(SUMIF(Tank5!$B$32:$B$49,$J3622,Tank5!$C$32:$C$49)*Impacts!$F$12),0)</f>
        <v>0</v>
      </c>
      <c r="Q3622" s="10">
        <f>IFERROR(IF(('Loading-drum,tote'!$C$21)="No control",SUMIF(('Loading-drum,tote'!$B$31:$B$48),$J3622,('Loading-drum,tote'!$D$31:$D$48))*Impacts!$F$13,IF(('Loading-drum,tote'!$C$21)&lt;&gt;"No control",SUMIF(('Loading-drum,tote'!$B$31:$B$48),$J3622,('Loading-drum,tote'!$E$31:$E$48))*Impacts!$F$13,0)),0)</f>
        <v>0</v>
      </c>
      <c r="R3622" s="10">
        <f>IFERROR(IF(('Loading-truck'!$C$21)="No control",SUMIF(('Loading-truck'!$B$31:$B$48),$J3622,('Loading-truck'!$D$31:$D$48))*Impacts!$F$14,IF(('Loading-truck'!$C$21)&lt;&gt;"No control",SUMIF(('Loading-truck'!$B$31:$B$48),$J3622,('Loading-truck'!$E$31:$E$48))*Impacts!$F$14,0)),0)</f>
        <v>0</v>
      </c>
      <c r="S3622" s="10">
        <f>IFERROR(IF(('Loading-rail'!$C$21)="No control",SUMIF(('Loading-rail'!$B$31:$B$48),$J3622,('Loading-rail'!$D$31:$D$48))*Impacts!$F$15,IF(('Loading-rail'!$C$21)&lt;&gt;"No control",SUMIF(('Loading-rail'!$B$31:$B$48),$J3622,('Loading-rail'!$E$31:$E$48))*Impacts!$F$15,0)),0)</f>
        <v>0</v>
      </c>
      <c r="T3622" s="10">
        <f>IF(Flare!$C$7="",0,(SUMIF(Flare!$B$46:$B$185,$J3622,Flare!$E$46:$E$185)*Impacts!$F$16))</f>
        <v>0</v>
      </c>
      <c r="U3622" s="10">
        <f>IF(VCU!$C$9="",0,(SUMIF(VCU!$B$51:$B$193,$J3622,VCU!$E$51:$E$193)*Impacts!$F$17))</f>
        <v>0</v>
      </c>
      <c r="V3622" s="10">
        <f>IF(CAS!$C$7="",0,(SUMIF(CAS!$B$31:$B$167,$J3622,CAS!$E$31:$E$167)*Impacts!$F$18))</f>
        <v>0</v>
      </c>
      <c r="W3622" s="10">
        <f t="shared" si="97"/>
        <v>0</v>
      </c>
      <c r="AK3622" s="10" t="str">
        <f t="array" ref="AK3622">IFERROR(INDEX(SelectedSpecies,SMALL(IF(SelectedSpecies=AK$1,ROW(SelectedSpecies)),ROW(3623:3623)),2),"")</f>
        <v/>
      </c>
      <c r="BE3622" s="10"/>
      <c r="BI3622" s="10"/>
    </row>
    <row r="3623" spans="1:61" ht="21" customHeight="1" x14ac:dyDescent="0.25">
      <c r="A3623" s="10"/>
      <c r="B3623" s="10"/>
      <c r="E3623" s="10"/>
      <c r="G3623" s="10"/>
      <c r="I3623" s="436" t="s">
        <v>5383</v>
      </c>
      <c r="J3623" s="26" t="s">
        <v>5382</v>
      </c>
      <c r="K3623" s="10">
        <v>1.5</v>
      </c>
      <c r="L3623" s="73">
        <f>IF(Tank1!$C$23="No control",(SUMIF(Tank1!$B$32:$B$49,$J3623,Tank1!$C$32:$C$49)*Impacts!$F$8),0)</f>
        <v>0</v>
      </c>
      <c r="M3623" s="10">
        <f>IF(Tank2!$C$23="No control",(SUMIF(Tank2!$B$32:$B$49,$J3623,Tank2!$C$32:$C$49)*Impacts!$F$9),0)</f>
        <v>0</v>
      </c>
      <c r="N3623" s="10">
        <f>IF(Tank3!$C$23="No control",(SUMIF(Tank3!$B$32:$B$49,$J3623,Tank3!$C$32:$C$49)*Impacts!$F$10),0)</f>
        <v>0</v>
      </c>
      <c r="O3623" s="10">
        <f>IF(Tank4!$C$23="No control",(SUMIF(Tank4!$B$32:$B$49,$J3623,Tank4!$C$32:$C$49)*Impacts!$F$11),0)</f>
        <v>0</v>
      </c>
      <c r="P3623" s="10">
        <f>IF(Tank5!$C$23="No control",(SUMIF(Tank5!$B$32:$B$49,$J3623,Tank5!$C$32:$C$49)*Impacts!$F$12),0)</f>
        <v>0</v>
      </c>
      <c r="Q3623" s="10">
        <f>IFERROR(IF(('Loading-drum,tote'!$C$21)="No control",SUMIF(('Loading-drum,tote'!$B$31:$B$48),$J3623,('Loading-drum,tote'!$D$31:$D$48))*Impacts!$F$13,IF(('Loading-drum,tote'!$C$21)&lt;&gt;"No control",SUMIF(('Loading-drum,tote'!$B$31:$B$48),$J3623,('Loading-drum,tote'!$E$31:$E$48))*Impacts!$F$13,0)),0)</f>
        <v>0</v>
      </c>
      <c r="R3623" s="10">
        <f>IFERROR(IF(('Loading-truck'!$C$21)="No control",SUMIF(('Loading-truck'!$B$31:$B$48),$J3623,('Loading-truck'!$D$31:$D$48))*Impacts!$F$14,IF(('Loading-truck'!$C$21)&lt;&gt;"No control",SUMIF(('Loading-truck'!$B$31:$B$48),$J3623,('Loading-truck'!$E$31:$E$48))*Impacts!$F$14,0)),0)</f>
        <v>0</v>
      </c>
      <c r="S3623" s="10">
        <f>IFERROR(IF(('Loading-rail'!$C$21)="No control",SUMIF(('Loading-rail'!$B$31:$B$48),$J3623,('Loading-rail'!$D$31:$D$48))*Impacts!$F$15,IF(('Loading-rail'!$C$21)&lt;&gt;"No control",SUMIF(('Loading-rail'!$B$31:$B$48),$J3623,('Loading-rail'!$E$31:$E$48))*Impacts!$F$15,0)),0)</f>
        <v>0</v>
      </c>
      <c r="T3623" s="10">
        <f>IF(Flare!$C$7="",0,(SUMIF(Flare!$B$46:$B$185,$J3623,Flare!$E$46:$E$185)*Impacts!$F$16))</f>
        <v>0</v>
      </c>
      <c r="U3623" s="10">
        <f>IF(VCU!$C$9="",0,(SUMIF(VCU!$B$51:$B$193,$J3623,VCU!$E$51:$E$193)*Impacts!$F$17))</f>
        <v>0</v>
      </c>
      <c r="V3623" s="10">
        <f>IF(CAS!$C$7="",0,(SUMIF(CAS!$B$31:$B$167,$J3623,CAS!$E$31:$E$167)*Impacts!$F$18))</f>
        <v>0</v>
      </c>
      <c r="W3623" s="10">
        <f t="shared" si="97"/>
        <v>0</v>
      </c>
      <c r="AK3623" s="10" t="str">
        <f t="array" ref="AK3623">IFERROR(INDEX(SelectedSpecies,SMALL(IF(SelectedSpecies=AK$1,ROW(SelectedSpecies)),ROW(3624:3624)),2),"")</f>
        <v/>
      </c>
      <c r="BE3623" s="10"/>
      <c r="BI3623" s="10"/>
    </row>
    <row r="3624" spans="1:61" ht="21" customHeight="1" x14ac:dyDescent="0.25">
      <c r="A3624" s="10"/>
      <c r="B3624" s="10"/>
      <c r="E3624" s="10"/>
      <c r="G3624" s="10"/>
      <c r="I3624" s="436" t="s">
        <v>5101</v>
      </c>
      <c r="J3624" s="26" t="s">
        <v>5100</v>
      </c>
      <c r="K3624" s="10">
        <v>2.2000000000000002</v>
      </c>
      <c r="L3624" s="73">
        <f>IF(Tank1!$C$23="No control",(SUMIF(Tank1!$B$32:$B$49,$J3624,Tank1!$C$32:$C$49)*Impacts!$F$8),0)</f>
        <v>0</v>
      </c>
      <c r="M3624" s="10">
        <f>IF(Tank2!$C$23="No control",(SUMIF(Tank2!$B$32:$B$49,$J3624,Tank2!$C$32:$C$49)*Impacts!$F$9),0)</f>
        <v>0</v>
      </c>
      <c r="N3624" s="10">
        <f>IF(Tank3!$C$23="No control",(SUMIF(Tank3!$B$32:$B$49,$J3624,Tank3!$C$32:$C$49)*Impacts!$F$10),0)</f>
        <v>0</v>
      </c>
      <c r="O3624" s="10">
        <f>IF(Tank4!$C$23="No control",(SUMIF(Tank4!$B$32:$B$49,$J3624,Tank4!$C$32:$C$49)*Impacts!$F$11),0)</f>
        <v>0</v>
      </c>
      <c r="P3624" s="10">
        <f>IF(Tank5!$C$23="No control",(SUMIF(Tank5!$B$32:$B$49,$J3624,Tank5!$C$32:$C$49)*Impacts!$F$12),0)</f>
        <v>0</v>
      </c>
      <c r="Q3624" s="10">
        <f>IFERROR(IF(('Loading-drum,tote'!$C$21)="No control",SUMIF(('Loading-drum,tote'!$B$31:$B$48),$J3624,('Loading-drum,tote'!$D$31:$D$48))*Impacts!$F$13,IF(('Loading-drum,tote'!$C$21)&lt;&gt;"No control",SUMIF(('Loading-drum,tote'!$B$31:$B$48),$J3624,('Loading-drum,tote'!$E$31:$E$48))*Impacts!$F$13,0)),0)</f>
        <v>0</v>
      </c>
      <c r="R3624" s="10">
        <f>IFERROR(IF(('Loading-truck'!$C$21)="No control",SUMIF(('Loading-truck'!$B$31:$B$48),$J3624,('Loading-truck'!$D$31:$D$48))*Impacts!$F$14,IF(('Loading-truck'!$C$21)&lt;&gt;"No control",SUMIF(('Loading-truck'!$B$31:$B$48),$J3624,('Loading-truck'!$E$31:$E$48))*Impacts!$F$14,0)),0)</f>
        <v>0</v>
      </c>
      <c r="S3624" s="10">
        <f>IFERROR(IF(('Loading-rail'!$C$21)="No control",SUMIF(('Loading-rail'!$B$31:$B$48),$J3624,('Loading-rail'!$D$31:$D$48))*Impacts!$F$15,IF(('Loading-rail'!$C$21)&lt;&gt;"No control",SUMIF(('Loading-rail'!$B$31:$B$48),$J3624,('Loading-rail'!$E$31:$E$48))*Impacts!$F$15,0)),0)</f>
        <v>0</v>
      </c>
      <c r="T3624" s="10">
        <f>IF(Flare!$C$7="",0,(SUMIF(Flare!$B$46:$B$185,$J3624,Flare!$E$46:$E$185)*Impacts!$F$16))</f>
        <v>0</v>
      </c>
      <c r="U3624" s="10">
        <f>IF(VCU!$C$9="",0,(SUMIF(VCU!$B$51:$B$193,$J3624,VCU!$E$51:$E$193)*Impacts!$F$17))</f>
        <v>0</v>
      </c>
      <c r="V3624" s="10">
        <f>IF(CAS!$C$7="",0,(SUMIF(CAS!$B$31:$B$167,$J3624,CAS!$E$31:$E$167)*Impacts!$F$18))</f>
        <v>0</v>
      </c>
      <c r="W3624" s="10">
        <f t="shared" si="97"/>
        <v>0</v>
      </c>
      <c r="AK3624" s="10" t="str">
        <f t="array" ref="AK3624">IFERROR(INDEX(SelectedSpecies,SMALL(IF(SelectedSpecies=AK$1,ROW(SelectedSpecies)),ROW(3625:3625)),2),"")</f>
        <v/>
      </c>
      <c r="BE3624" s="10"/>
      <c r="BI3624" s="10"/>
    </row>
    <row r="3625" spans="1:61" ht="21" customHeight="1" x14ac:dyDescent="0.25">
      <c r="A3625" s="10"/>
      <c r="B3625" s="10"/>
      <c r="E3625" s="10"/>
      <c r="G3625" s="10"/>
      <c r="I3625" s="436" t="s">
        <v>2167</v>
      </c>
      <c r="J3625" s="26" t="s">
        <v>2166</v>
      </c>
      <c r="K3625" s="10">
        <v>15</v>
      </c>
      <c r="L3625" s="73">
        <f>IF(Tank1!$C$23="No control",(SUMIF(Tank1!$B$32:$B$49,$J3625,Tank1!$C$32:$C$49)*Impacts!$F$8),0)</f>
        <v>0</v>
      </c>
      <c r="M3625" s="10">
        <f>IF(Tank2!$C$23="No control",(SUMIF(Tank2!$B$32:$B$49,$J3625,Tank2!$C$32:$C$49)*Impacts!$F$9),0)</f>
        <v>0</v>
      </c>
      <c r="N3625" s="10">
        <f>IF(Tank3!$C$23="No control",(SUMIF(Tank3!$B$32:$B$49,$J3625,Tank3!$C$32:$C$49)*Impacts!$F$10),0)</f>
        <v>0</v>
      </c>
      <c r="O3625" s="10">
        <f>IF(Tank4!$C$23="No control",(SUMIF(Tank4!$B$32:$B$49,$J3625,Tank4!$C$32:$C$49)*Impacts!$F$11),0)</f>
        <v>0</v>
      </c>
      <c r="P3625" s="10">
        <f>IF(Tank5!$C$23="No control",(SUMIF(Tank5!$B$32:$B$49,$J3625,Tank5!$C$32:$C$49)*Impacts!$F$12),0)</f>
        <v>0</v>
      </c>
      <c r="Q3625" s="10">
        <f>IFERROR(IF(('Loading-drum,tote'!$C$21)="No control",SUMIF(('Loading-drum,tote'!$B$31:$B$48),$J3625,('Loading-drum,tote'!$D$31:$D$48))*Impacts!$F$13,IF(('Loading-drum,tote'!$C$21)&lt;&gt;"No control",SUMIF(('Loading-drum,tote'!$B$31:$B$48),$J3625,('Loading-drum,tote'!$E$31:$E$48))*Impacts!$F$13,0)),0)</f>
        <v>0</v>
      </c>
      <c r="R3625" s="10">
        <f>IFERROR(IF(('Loading-truck'!$C$21)="No control",SUMIF(('Loading-truck'!$B$31:$B$48),$J3625,('Loading-truck'!$D$31:$D$48))*Impacts!$F$14,IF(('Loading-truck'!$C$21)&lt;&gt;"No control",SUMIF(('Loading-truck'!$B$31:$B$48),$J3625,('Loading-truck'!$E$31:$E$48))*Impacts!$F$14,0)),0)</f>
        <v>0</v>
      </c>
      <c r="S3625" s="10">
        <f>IFERROR(IF(('Loading-rail'!$C$21)="No control",SUMIF(('Loading-rail'!$B$31:$B$48),$J3625,('Loading-rail'!$D$31:$D$48))*Impacts!$F$15,IF(('Loading-rail'!$C$21)&lt;&gt;"No control",SUMIF(('Loading-rail'!$B$31:$B$48),$J3625,('Loading-rail'!$E$31:$E$48))*Impacts!$F$15,0)),0)</f>
        <v>0</v>
      </c>
      <c r="T3625" s="10">
        <f>IF(Flare!$C$7="",0,(SUMIF(Flare!$B$46:$B$185,$J3625,Flare!$E$46:$E$185)*Impacts!$F$16))</f>
        <v>0</v>
      </c>
      <c r="U3625" s="10">
        <f>IF(VCU!$C$9="",0,(SUMIF(VCU!$B$51:$B$193,$J3625,VCU!$E$51:$E$193)*Impacts!$F$17))</f>
        <v>0</v>
      </c>
      <c r="V3625" s="10">
        <f>IF(CAS!$C$7="",0,(SUMIF(CAS!$B$31:$B$167,$J3625,CAS!$E$31:$E$167)*Impacts!$F$18))</f>
        <v>0</v>
      </c>
      <c r="W3625" s="10">
        <f t="shared" si="97"/>
        <v>0</v>
      </c>
      <c r="AK3625" s="10" t="str">
        <f t="array" ref="AK3625">IFERROR(INDEX(SelectedSpecies,SMALL(IF(SelectedSpecies=AK$1,ROW(SelectedSpecies)),ROW(3626:3626)),2),"")</f>
        <v/>
      </c>
      <c r="BE3625" s="10"/>
      <c r="BI3625" s="10"/>
    </row>
    <row r="3626" spans="1:61" ht="21" customHeight="1" x14ac:dyDescent="0.25">
      <c r="A3626" s="10"/>
      <c r="B3626" s="10"/>
      <c r="E3626" s="10"/>
      <c r="G3626" s="10"/>
      <c r="I3626" s="436" t="s">
        <v>1490</v>
      </c>
      <c r="J3626" s="26" t="s">
        <v>1489</v>
      </c>
      <c r="K3626" s="10">
        <v>29</v>
      </c>
      <c r="L3626" s="73">
        <f>IF(Tank1!$C$23="No control",(SUMIF(Tank1!$B$32:$B$49,$J3626,Tank1!$C$32:$C$49)*Impacts!$F$8),0)</f>
        <v>0</v>
      </c>
      <c r="M3626" s="10">
        <f>IF(Tank2!$C$23="No control",(SUMIF(Tank2!$B$32:$B$49,$J3626,Tank2!$C$32:$C$49)*Impacts!$F$9),0)</f>
        <v>0</v>
      </c>
      <c r="N3626" s="10">
        <f>IF(Tank3!$C$23="No control",(SUMIF(Tank3!$B$32:$B$49,$J3626,Tank3!$C$32:$C$49)*Impacts!$F$10),0)</f>
        <v>0</v>
      </c>
      <c r="O3626" s="10">
        <f>IF(Tank4!$C$23="No control",(SUMIF(Tank4!$B$32:$B$49,$J3626,Tank4!$C$32:$C$49)*Impacts!$F$11),0)</f>
        <v>0</v>
      </c>
      <c r="P3626" s="10">
        <f>IF(Tank5!$C$23="No control",(SUMIF(Tank5!$B$32:$B$49,$J3626,Tank5!$C$32:$C$49)*Impacts!$F$12),0)</f>
        <v>0</v>
      </c>
      <c r="Q3626" s="10">
        <f>IFERROR(IF(('Loading-drum,tote'!$C$21)="No control",SUMIF(('Loading-drum,tote'!$B$31:$B$48),$J3626,('Loading-drum,tote'!$D$31:$D$48))*Impacts!$F$13,IF(('Loading-drum,tote'!$C$21)&lt;&gt;"No control",SUMIF(('Loading-drum,tote'!$B$31:$B$48),$J3626,('Loading-drum,tote'!$E$31:$E$48))*Impacts!$F$13,0)),0)</f>
        <v>0</v>
      </c>
      <c r="R3626" s="10">
        <f>IFERROR(IF(('Loading-truck'!$C$21)="No control",SUMIF(('Loading-truck'!$B$31:$B$48),$J3626,('Loading-truck'!$D$31:$D$48))*Impacts!$F$14,IF(('Loading-truck'!$C$21)&lt;&gt;"No control",SUMIF(('Loading-truck'!$B$31:$B$48),$J3626,('Loading-truck'!$E$31:$E$48))*Impacts!$F$14,0)),0)</f>
        <v>0</v>
      </c>
      <c r="S3626" s="10">
        <f>IFERROR(IF(('Loading-rail'!$C$21)="No control",SUMIF(('Loading-rail'!$B$31:$B$48),$J3626,('Loading-rail'!$D$31:$D$48))*Impacts!$F$15,IF(('Loading-rail'!$C$21)&lt;&gt;"No control",SUMIF(('Loading-rail'!$B$31:$B$48),$J3626,('Loading-rail'!$E$31:$E$48))*Impacts!$F$15,0)),0)</f>
        <v>0</v>
      </c>
      <c r="T3626" s="10">
        <f>IF(Flare!$C$7="",0,(SUMIF(Flare!$B$46:$B$185,$J3626,Flare!$E$46:$E$185)*Impacts!$F$16))</f>
        <v>0</v>
      </c>
      <c r="U3626" s="10">
        <f>IF(VCU!$C$9="",0,(SUMIF(VCU!$B$51:$B$193,$J3626,VCU!$E$51:$E$193)*Impacts!$F$17))</f>
        <v>0</v>
      </c>
      <c r="V3626" s="10">
        <f>IF(CAS!$C$7="",0,(SUMIF(CAS!$B$31:$B$167,$J3626,CAS!$E$31:$E$167)*Impacts!$F$18))</f>
        <v>0</v>
      </c>
      <c r="W3626" s="10">
        <f t="shared" si="97"/>
        <v>0</v>
      </c>
      <c r="AK3626" s="10" t="str">
        <f t="array" ref="AK3626">IFERROR(INDEX(SelectedSpecies,SMALL(IF(SelectedSpecies=AK$1,ROW(SelectedSpecies)),ROW(3627:3627)),2),"")</f>
        <v/>
      </c>
      <c r="BE3626" s="10"/>
      <c r="BI3626" s="10"/>
    </row>
    <row r="3627" spans="1:61" ht="21" customHeight="1" x14ac:dyDescent="0.25">
      <c r="A3627" s="10"/>
      <c r="B3627" s="10"/>
      <c r="E3627" s="10"/>
      <c r="G3627" s="10"/>
      <c r="I3627" s="436" t="s">
        <v>7396</v>
      </c>
      <c r="J3627" s="26" t="s">
        <v>7395</v>
      </c>
      <c r="K3627" s="10">
        <v>0.24</v>
      </c>
      <c r="L3627" s="73">
        <f>IF(Tank1!$C$23="No control",(SUMIF(Tank1!$B$32:$B$49,$J3627,Tank1!$C$32:$C$49)*Impacts!$F$8),0)</f>
        <v>0</v>
      </c>
      <c r="M3627" s="10">
        <f>IF(Tank2!$C$23="No control",(SUMIF(Tank2!$B$32:$B$49,$J3627,Tank2!$C$32:$C$49)*Impacts!$F$9),0)</f>
        <v>0</v>
      </c>
      <c r="N3627" s="10">
        <f>IF(Tank3!$C$23="No control",(SUMIF(Tank3!$B$32:$B$49,$J3627,Tank3!$C$32:$C$49)*Impacts!$F$10),0)</f>
        <v>0</v>
      </c>
      <c r="O3627" s="10">
        <f>IF(Tank4!$C$23="No control",(SUMIF(Tank4!$B$32:$B$49,$J3627,Tank4!$C$32:$C$49)*Impacts!$F$11),0)</f>
        <v>0</v>
      </c>
      <c r="P3627" s="10">
        <f>IF(Tank5!$C$23="No control",(SUMIF(Tank5!$B$32:$B$49,$J3627,Tank5!$C$32:$C$49)*Impacts!$F$12),0)</f>
        <v>0</v>
      </c>
      <c r="Q3627" s="10">
        <f>IFERROR(IF(('Loading-drum,tote'!$C$21)="No control",SUMIF(('Loading-drum,tote'!$B$31:$B$48),$J3627,('Loading-drum,tote'!$D$31:$D$48))*Impacts!$F$13,IF(('Loading-drum,tote'!$C$21)&lt;&gt;"No control",SUMIF(('Loading-drum,tote'!$B$31:$B$48),$J3627,('Loading-drum,tote'!$E$31:$E$48))*Impacts!$F$13,0)),0)</f>
        <v>0</v>
      </c>
      <c r="R3627" s="10">
        <f>IFERROR(IF(('Loading-truck'!$C$21)="No control",SUMIF(('Loading-truck'!$B$31:$B$48),$J3627,('Loading-truck'!$D$31:$D$48))*Impacts!$F$14,IF(('Loading-truck'!$C$21)&lt;&gt;"No control",SUMIF(('Loading-truck'!$B$31:$B$48),$J3627,('Loading-truck'!$E$31:$E$48))*Impacts!$F$14,0)),0)</f>
        <v>0</v>
      </c>
      <c r="S3627" s="10">
        <f>IFERROR(IF(('Loading-rail'!$C$21)="No control",SUMIF(('Loading-rail'!$B$31:$B$48),$J3627,('Loading-rail'!$D$31:$D$48))*Impacts!$F$15,IF(('Loading-rail'!$C$21)&lt;&gt;"No control",SUMIF(('Loading-rail'!$B$31:$B$48),$J3627,('Loading-rail'!$E$31:$E$48))*Impacts!$F$15,0)),0)</f>
        <v>0</v>
      </c>
      <c r="T3627" s="10">
        <f>IF(Flare!$C$7="",0,(SUMIF(Flare!$B$46:$B$185,$J3627,Flare!$E$46:$E$185)*Impacts!$F$16))</f>
        <v>0</v>
      </c>
      <c r="U3627" s="10">
        <f>IF(VCU!$C$9="",0,(SUMIF(VCU!$B$51:$B$193,$J3627,VCU!$E$51:$E$193)*Impacts!$F$17))</f>
        <v>0</v>
      </c>
      <c r="V3627" s="10">
        <f>IF(CAS!$C$7="",0,(SUMIF(CAS!$B$31:$B$167,$J3627,CAS!$E$31:$E$167)*Impacts!$F$18))</f>
        <v>0</v>
      </c>
      <c r="W3627" s="10">
        <f t="shared" si="97"/>
        <v>0</v>
      </c>
      <c r="AK3627" s="10" t="str">
        <f t="array" ref="AK3627">IFERROR(INDEX(SelectedSpecies,SMALL(IF(SelectedSpecies=AK$1,ROW(SelectedSpecies)),ROW(3628:3628)),2),"")</f>
        <v/>
      </c>
      <c r="BE3627" s="10"/>
      <c r="BI3627" s="10"/>
    </row>
    <row r="3628" spans="1:61" ht="21" customHeight="1" x14ac:dyDescent="0.25">
      <c r="A3628" s="10"/>
      <c r="B3628" s="10"/>
      <c r="E3628" s="10"/>
      <c r="G3628" s="10"/>
      <c r="I3628" s="436" t="s">
        <v>1580</v>
      </c>
      <c r="J3628" s="26" t="s">
        <v>1579</v>
      </c>
      <c r="K3628" s="10">
        <v>27</v>
      </c>
      <c r="L3628" s="73">
        <f>IF(Tank1!$C$23="No control",(SUMIF(Tank1!$B$32:$B$49,$J3628,Tank1!$C$32:$C$49)*Impacts!$F$8),0)</f>
        <v>0</v>
      </c>
      <c r="M3628" s="10">
        <f>IF(Tank2!$C$23="No control",(SUMIF(Tank2!$B$32:$B$49,$J3628,Tank2!$C$32:$C$49)*Impacts!$F$9),0)</f>
        <v>0</v>
      </c>
      <c r="N3628" s="10">
        <f>IF(Tank3!$C$23="No control",(SUMIF(Tank3!$B$32:$B$49,$J3628,Tank3!$C$32:$C$49)*Impacts!$F$10),0)</f>
        <v>0</v>
      </c>
      <c r="O3628" s="10">
        <f>IF(Tank4!$C$23="No control",(SUMIF(Tank4!$B$32:$B$49,$J3628,Tank4!$C$32:$C$49)*Impacts!$F$11),0)</f>
        <v>0</v>
      </c>
      <c r="P3628" s="10">
        <f>IF(Tank5!$C$23="No control",(SUMIF(Tank5!$B$32:$B$49,$J3628,Tank5!$C$32:$C$49)*Impacts!$F$12),0)</f>
        <v>0</v>
      </c>
      <c r="Q3628" s="10">
        <f>IFERROR(IF(('Loading-drum,tote'!$C$21)="No control",SUMIF(('Loading-drum,tote'!$B$31:$B$48),$J3628,('Loading-drum,tote'!$D$31:$D$48))*Impacts!$F$13,IF(('Loading-drum,tote'!$C$21)&lt;&gt;"No control",SUMIF(('Loading-drum,tote'!$B$31:$B$48),$J3628,('Loading-drum,tote'!$E$31:$E$48))*Impacts!$F$13,0)),0)</f>
        <v>0</v>
      </c>
      <c r="R3628" s="10">
        <f>IFERROR(IF(('Loading-truck'!$C$21)="No control",SUMIF(('Loading-truck'!$B$31:$B$48),$J3628,('Loading-truck'!$D$31:$D$48))*Impacts!$F$14,IF(('Loading-truck'!$C$21)&lt;&gt;"No control",SUMIF(('Loading-truck'!$B$31:$B$48),$J3628,('Loading-truck'!$E$31:$E$48))*Impacts!$F$14,0)),0)</f>
        <v>0</v>
      </c>
      <c r="S3628" s="10">
        <f>IFERROR(IF(('Loading-rail'!$C$21)="No control",SUMIF(('Loading-rail'!$B$31:$B$48),$J3628,('Loading-rail'!$D$31:$D$48))*Impacts!$F$15,IF(('Loading-rail'!$C$21)&lt;&gt;"No control",SUMIF(('Loading-rail'!$B$31:$B$48),$J3628,('Loading-rail'!$E$31:$E$48))*Impacts!$F$15,0)),0)</f>
        <v>0</v>
      </c>
      <c r="T3628" s="10">
        <f>IF(Flare!$C$7="",0,(SUMIF(Flare!$B$46:$B$185,$J3628,Flare!$E$46:$E$185)*Impacts!$F$16))</f>
        <v>0</v>
      </c>
      <c r="U3628" s="10">
        <f>IF(VCU!$C$9="",0,(SUMIF(VCU!$B$51:$B$193,$J3628,VCU!$E$51:$E$193)*Impacts!$F$17))</f>
        <v>0</v>
      </c>
      <c r="V3628" s="10">
        <f>IF(CAS!$C$7="",0,(SUMIF(CAS!$B$31:$B$167,$J3628,CAS!$E$31:$E$167)*Impacts!$F$18))</f>
        <v>0</v>
      </c>
      <c r="W3628" s="10">
        <f t="shared" si="97"/>
        <v>0</v>
      </c>
      <c r="AK3628" s="10" t="str">
        <f t="array" ref="AK3628">IFERROR(INDEX(SelectedSpecies,SMALL(IF(SelectedSpecies=AK$1,ROW(SelectedSpecies)),ROW(3629:3629)),2),"")</f>
        <v/>
      </c>
      <c r="BE3628" s="10"/>
      <c r="BI3628" s="10"/>
    </row>
    <row r="3629" spans="1:61" ht="21" customHeight="1" x14ac:dyDescent="0.25">
      <c r="A3629" s="10"/>
      <c r="B3629" s="10"/>
      <c r="E3629" s="10"/>
      <c r="G3629" s="10"/>
      <c r="I3629" s="436" t="s">
        <v>4427</v>
      </c>
      <c r="J3629" s="26" t="s">
        <v>4426</v>
      </c>
      <c r="K3629" s="10">
        <v>4.6000000000000005</v>
      </c>
      <c r="L3629" s="73">
        <f>IF(Tank1!$C$23="No control",(SUMIF(Tank1!$B$32:$B$49,$J3629,Tank1!$C$32:$C$49)*Impacts!$F$8),0)</f>
        <v>0</v>
      </c>
      <c r="M3629" s="10">
        <f>IF(Tank2!$C$23="No control",(SUMIF(Tank2!$B$32:$B$49,$J3629,Tank2!$C$32:$C$49)*Impacts!$F$9),0)</f>
        <v>0</v>
      </c>
      <c r="N3629" s="10">
        <f>IF(Tank3!$C$23="No control",(SUMIF(Tank3!$B$32:$B$49,$J3629,Tank3!$C$32:$C$49)*Impacts!$F$10),0)</f>
        <v>0</v>
      </c>
      <c r="O3629" s="10">
        <f>IF(Tank4!$C$23="No control",(SUMIF(Tank4!$B$32:$B$49,$J3629,Tank4!$C$32:$C$49)*Impacts!$F$11),0)</f>
        <v>0</v>
      </c>
      <c r="P3629" s="10">
        <f>IF(Tank5!$C$23="No control",(SUMIF(Tank5!$B$32:$B$49,$J3629,Tank5!$C$32:$C$49)*Impacts!$F$12),0)</f>
        <v>0</v>
      </c>
      <c r="Q3629" s="10">
        <f>IFERROR(IF(('Loading-drum,tote'!$C$21)="No control",SUMIF(('Loading-drum,tote'!$B$31:$B$48),$J3629,('Loading-drum,tote'!$D$31:$D$48))*Impacts!$F$13,IF(('Loading-drum,tote'!$C$21)&lt;&gt;"No control",SUMIF(('Loading-drum,tote'!$B$31:$B$48),$J3629,('Loading-drum,tote'!$E$31:$E$48))*Impacts!$F$13,0)),0)</f>
        <v>0</v>
      </c>
      <c r="R3629" s="10">
        <f>IFERROR(IF(('Loading-truck'!$C$21)="No control",SUMIF(('Loading-truck'!$B$31:$B$48),$J3629,('Loading-truck'!$D$31:$D$48))*Impacts!$F$14,IF(('Loading-truck'!$C$21)&lt;&gt;"No control",SUMIF(('Loading-truck'!$B$31:$B$48),$J3629,('Loading-truck'!$E$31:$E$48))*Impacts!$F$14,0)),0)</f>
        <v>0</v>
      </c>
      <c r="S3629" s="10">
        <f>IFERROR(IF(('Loading-rail'!$C$21)="No control",SUMIF(('Loading-rail'!$B$31:$B$48),$J3629,('Loading-rail'!$D$31:$D$48))*Impacts!$F$15,IF(('Loading-rail'!$C$21)&lt;&gt;"No control",SUMIF(('Loading-rail'!$B$31:$B$48),$J3629,('Loading-rail'!$E$31:$E$48))*Impacts!$F$15,0)),0)</f>
        <v>0</v>
      </c>
      <c r="T3629" s="10">
        <f>IF(Flare!$C$7="",0,(SUMIF(Flare!$B$46:$B$185,$J3629,Flare!$E$46:$E$185)*Impacts!$F$16))</f>
        <v>0</v>
      </c>
      <c r="U3629" s="10">
        <f>IF(VCU!$C$9="",0,(SUMIF(VCU!$B$51:$B$193,$J3629,VCU!$E$51:$E$193)*Impacts!$F$17))</f>
        <v>0</v>
      </c>
      <c r="V3629" s="10">
        <f>IF(CAS!$C$7="",0,(SUMIF(CAS!$B$31:$B$167,$J3629,CAS!$E$31:$E$167)*Impacts!$F$18))</f>
        <v>0</v>
      </c>
      <c r="W3629" s="10">
        <f t="shared" si="97"/>
        <v>0</v>
      </c>
      <c r="AK3629" s="10" t="str">
        <f t="array" ref="AK3629">IFERROR(INDEX(SelectedSpecies,SMALL(IF(SelectedSpecies=AK$1,ROW(SelectedSpecies)),ROW(3630:3630)),2),"")</f>
        <v/>
      </c>
      <c r="BE3629" s="10"/>
      <c r="BI3629" s="10"/>
    </row>
    <row r="3630" spans="1:61" ht="21" customHeight="1" x14ac:dyDescent="0.25">
      <c r="A3630" s="10"/>
      <c r="B3630" s="10"/>
      <c r="E3630" s="10"/>
      <c r="G3630" s="10"/>
      <c r="I3630" s="436" t="s">
        <v>7038</v>
      </c>
      <c r="J3630" s="26" t="s">
        <v>7037</v>
      </c>
      <c r="K3630" s="10">
        <v>0.45</v>
      </c>
      <c r="L3630" s="73">
        <f>IF(Tank1!$C$23="No control",(SUMIF(Tank1!$B$32:$B$49,$J3630,Tank1!$C$32:$C$49)*Impacts!$F$8),0)</f>
        <v>0</v>
      </c>
      <c r="M3630" s="10">
        <f>IF(Tank2!$C$23="No control",(SUMIF(Tank2!$B$32:$B$49,$J3630,Tank2!$C$32:$C$49)*Impacts!$F$9),0)</f>
        <v>0</v>
      </c>
      <c r="N3630" s="10">
        <f>IF(Tank3!$C$23="No control",(SUMIF(Tank3!$B$32:$B$49,$J3630,Tank3!$C$32:$C$49)*Impacts!$F$10),0)</f>
        <v>0</v>
      </c>
      <c r="O3630" s="10">
        <f>IF(Tank4!$C$23="No control",(SUMIF(Tank4!$B$32:$B$49,$J3630,Tank4!$C$32:$C$49)*Impacts!$F$11),0)</f>
        <v>0</v>
      </c>
      <c r="P3630" s="10">
        <f>IF(Tank5!$C$23="No control",(SUMIF(Tank5!$B$32:$B$49,$J3630,Tank5!$C$32:$C$49)*Impacts!$F$12),0)</f>
        <v>0</v>
      </c>
      <c r="Q3630" s="10">
        <f>IFERROR(IF(('Loading-drum,tote'!$C$21)="No control",SUMIF(('Loading-drum,tote'!$B$31:$B$48),$J3630,('Loading-drum,tote'!$D$31:$D$48))*Impacts!$F$13,IF(('Loading-drum,tote'!$C$21)&lt;&gt;"No control",SUMIF(('Loading-drum,tote'!$B$31:$B$48),$J3630,('Loading-drum,tote'!$E$31:$E$48))*Impacts!$F$13,0)),0)</f>
        <v>0</v>
      </c>
      <c r="R3630" s="10">
        <f>IFERROR(IF(('Loading-truck'!$C$21)="No control",SUMIF(('Loading-truck'!$B$31:$B$48),$J3630,('Loading-truck'!$D$31:$D$48))*Impacts!$F$14,IF(('Loading-truck'!$C$21)&lt;&gt;"No control",SUMIF(('Loading-truck'!$B$31:$B$48),$J3630,('Loading-truck'!$E$31:$E$48))*Impacts!$F$14,0)),0)</f>
        <v>0</v>
      </c>
      <c r="S3630" s="10">
        <f>IFERROR(IF(('Loading-rail'!$C$21)="No control",SUMIF(('Loading-rail'!$B$31:$B$48),$J3630,('Loading-rail'!$D$31:$D$48))*Impacts!$F$15,IF(('Loading-rail'!$C$21)&lt;&gt;"No control",SUMIF(('Loading-rail'!$B$31:$B$48),$J3630,('Loading-rail'!$E$31:$E$48))*Impacts!$F$15,0)),0)</f>
        <v>0</v>
      </c>
      <c r="T3630" s="10">
        <f>IF(Flare!$C$7="",0,(SUMIF(Flare!$B$46:$B$185,$J3630,Flare!$E$46:$E$185)*Impacts!$F$16))</f>
        <v>0</v>
      </c>
      <c r="U3630" s="10">
        <f>IF(VCU!$C$9="",0,(SUMIF(VCU!$B$51:$B$193,$J3630,VCU!$E$51:$E$193)*Impacts!$F$17))</f>
        <v>0</v>
      </c>
      <c r="V3630" s="10">
        <f>IF(CAS!$C$7="",0,(SUMIF(CAS!$B$31:$B$167,$J3630,CAS!$E$31:$E$167)*Impacts!$F$18))</f>
        <v>0</v>
      </c>
      <c r="W3630" s="10">
        <f t="shared" si="97"/>
        <v>0</v>
      </c>
      <c r="AK3630" s="10" t="str">
        <f t="array" ref="AK3630">IFERROR(INDEX(SelectedSpecies,SMALL(IF(SelectedSpecies=AK$1,ROW(SelectedSpecies)),ROW(3631:3631)),2),"")</f>
        <v/>
      </c>
      <c r="BE3630" s="10"/>
      <c r="BI3630" s="10"/>
    </row>
    <row r="3631" spans="1:61" ht="21" customHeight="1" x14ac:dyDescent="0.25">
      <c r="A3631" s="10"/>
      <c r="B3631" s="10"/>
      <c r="E3631" s="10"/>
      <c r="G3631" s="10"/>
      <c r="I3631" s="436" t="s">
        <v>7120</v>
      </c>
      <c r="J3631" s="26" t="s">
        <v>7119</v>
      </c>
      <c r="K3631" s="10">
        <v>0.4</v>
      </c>
      <c r="L3631" s="73">
        <f>IF(Tank1!$C$23="No control",(SUMIF(Tank1!$B$32:$B$49,$J3631,Tank1!$C$32:$C$49)*Impacts!$F$8),0)</f>
        <v>0</v>
      </c>
      <c r="M3631" s="10">
        <f>IF(Tank2!$C$23="No control",(SUMIF(Tank2!$B$32:$B$49,$J3631,Tank2!$C$32:$C$49)*Impacts!$F$9),0)</f>
        <v>0</v>
      </c>
      <c r="N3631" s="10">
        <f>IF(Tank3!$C$23="No control",(SUMIF(Tank3!$B$32:$B$49,$J3631,Tank3!$C$32:$C$49)*Impacts!$F$10),0)</f>
        <v>0</v>
      </c>
      <c r="O3631" s="10">
        <f>IF(Tank4!$C$23="No control",(SUMIF(Tank4!$B$32:$B$49,$J3631,Tank4!$C$32:$C$49)*Impacts!$F$11),0)</f>
        <v>0</v>
      </c>
      <c r="P3631" s="10">
        <f>IF(Tank5!$C$23="No control",(SUMIF(Tank5!$B$32:$B$49,$J3631,Tank5!$C$32:$C$49)*Impacts!$F$12),0)</f>
        <v>0</v>
      </c>
      <c r="Q3631" s="10">
        <f>IFERROR(IF(('Loading-drum,tote'!$C$21)="No control",SUMIF(('Loading-drum,tote'!$B$31:$B$48),$J3631,('Loading-drum,tote'!$D$31:$D$48))*Impacts!$F$13,IF(('Loading-drum,tote'!$C$21)&lt;&gt;"No control",SUMIF(('Loading-drum,tote'!$B$31:$B$48),$J3631,('Loading-drum,tote'!$E$31:$E$48))*Impacts!$F$13,0)),0)</f>
        <v>0</v>
      </c>
      <c r="R3631" s="10">
        <f>IFERROR(IF(('Loading-truck'!$C$21)="No control",SUMIF(('Loading-truck'!$B$31:$B$48),$J3631,('Loading-truck'!$D$31:$D$48))*Impacts!$F$14,IF(('Loading-truck'!$C$21)&lt;&gt;"No control",SUMIF(('Loading-truck'!$B$31:$B$48),$J3631,('Loading-truck'!$E$31:$E$48))*Impacts!$F$14,0)),0)</f>
        <v>0</v>
      </c>
      <c r="S3631" s="10">
        <f>IFERROR(IF(('Loading-rail'!$C$21)="No control",SUMIF(('Loading-rail'!$B$31:$B$48),$J3631,('Loading-rail'!$D$31:$D$48))*Impacts!$F$15,IF(('Loading-rail'!$C$21)&lt;&gt;"No control",SUMIF(('Loading-rail'!$B$31:$B$48),$J3631,('Loading-rail'!$E$31:$E$48))*Impacts!$F$15,0)),0)</f>
        <v>0</v>
      </c>
      <c r="T3631" s="10">
        <f>IF(Flare!$C$7="",0,(SUMIF(Flare!$B$46:$B$185,$J3631,Flare!$E$46:$E$185)*Impacts!$F$16))</f>
        <v>0</v>
      </c>
      <c r="U3631" s="10">
        <f>IF(VCU!$C$9="",0,(SUMIF(VCU!$B$51:$B$193,$J3631,VCU!$E$51:$E$193)*Impacts!$F$17))</f>
        <v>0</v>
      </c>
      <c r="V3631" s="10">
        <f>IF(CAS!$C$7="",0,(SUMIF(CAS!$B$31:$B$167,$J3631,CAS!$E$31:$E$167)*Impacts!$F$18))</f>
        <v>0</v>
      </c>
      <c r="W3631" s="10">
        <f t="shared" si="97"/>
        <v>0</v>
      </c>
      <c r="AK3631" s="10" t="str">
        <f t="array" ref="AK3631">IFERROR(INDEX(SelectedSpecies,SMALL(IF(SelectedSpecies=AK$1,ROW(SelectedSpecies)),ROW(3632:3632)),2),"")</f>
        <v/>
      </c>
      <c r="BE3631" s="10"/>
      <c r="BI3631" s="10"/>
    </row>
    <row r="3632" spans="1:61" ht="21" customHeight="1" x14ac:dyDescent="0.25">
      <c r="A3632" s="10"/>
      <c r="B3632" s="10"/>
      <c r="E3632" s="10"/>
      <c r="G3632" s="10"/>
      <c r="I3632" s="436" t="s">
        <v>5331</v>
      </c>
      <c r="J3632" s="26" t="s">
        <v>5330</v>
      </c>
      <c r="K3632" s="10">
        <v>1.7000000000000002</v>
      </c>
      <c r="L3632" s="73">
        <f>IF(Tank1!$C$23="No control",(SUMIF(Tank1!$B$32:$B$49,$J3632,Tank1!$C$32:$C$49)*Impacts!$F$8),0)</f>
        <v>0</v>
      </c>
      <c r="M3632" s="10">
        <f>IF(Tank2!$C$23="No control",(SUMIF(Tank2!$B$32:$B$49,$J3632,Tank2!$C$32:$C$49)*Impacts!$F$9),0)</f>
        <v>0</v>
      </c>
      <c r="N3632" s="10">
        <f>IF(Tank3!$C$23="No control",(SUMIF(Tank3!$B$32:$B$49,$J3632,Tank3!$C$32:$C$49)*Impacts!$F$10),0)</f>
        <v>0</v>
      </c>
      <c r="O3632" s="10">
        <f>IF(Tank4!$C$23="No control",(SUMIF(Tank4!$B$32:$B$49,$J3632,Tank4!$C$32:$C$49)*Impacts!$F$11),0)</f>
        <v>0</v>
      </c>
      <c r="P3632" s="10">
        <f>IF(Tank5!$C$23="No control",(SUMIF(Tank5!$B$32:$B$49,$J3632,Tank5!$C$32:$C$49)*Impacts!$F$12),0)</f>
        <v>0</v>
      </c>
      <c r="Q3632" s="10">
        <f>IFERROR(IF(('Loading-drum,tote'!$C$21)="No control",SUMIF(('Loading-drum,tote'!$B$31:$B$48),$J3632,('Loading-drum,tote'!$D$31:$D$48))*Impacts!$F$13,IF(('Loading-drum,tote'!$C$21)&lt;&gt;"No control",SUMIF(('Loading-drum,tote'!$B$31:$B$48),$J3632,('Loading-drum,tote'!$E$31:$E$48))*Impacts!$F$13,0)),0)</f>
        <v>0</v>
      </c>
      <c r="R3632" s="10">
        <f>IFERROR(IF(('Loading-truck'!$C$21)="No control",SUMIF(('Loading-truck'!$B$31:$B$48),$J3632,('Loading-truck'!$D$31:$D$48))*Impacts!$F$14,IF(('Loading-truck'!$C$21)&lt;&gt;"No control",SUMIF(('Loading-truck'!$B$31:$B$48),$J3632,('Loading-truck'!$E$31:$E$48))*Impacts!$F$14,0)),0)</f>
        <v>0</v>
      </c>
      <c r="S3632" s="10">
        <f>IFERROR(IF(('Loading-rail'!$C$21)="No control",SUMIF(('Loading-rail'!$B$31:$B$48),$J3632,('Loading-rail'!$D$31:$D$48))*Impacts!$F$15,IF(('Loading-rail'!$C$21)&lt;&gt;"No control",SUMIF(('Loading-rail'!$B$31:$B$48),$J3632,('Loading-rail'!$E$31:$E$48))*Impacts!$F$15,0)),0)</f>
        <v>0</v>
      </c>
      <c r="T3632" s="10">
        <f>IF(Flare!$C$7="",0,(SUMIF(Flare!$B$46:$B$185,$J3632,Flare!$E$46:$E$185)*Impacts!$F$16))</f>
        <v>0</v>
      </c>
      <c r="U3632" s="10">
        <f>IF(VCU!$C$9="",0,(SUMIF(VCU!$B$51:$B$193,$J3632,VCU!$E$51:$E$193)*Impacts!$F$17))</f>
        <v>0</v>
      </c>
      <c r="V3632" s="10">
        <f>IF(CAS!$C$7="",0,(SUMIF(CAS!$B$31:$B$167,$J3632,CAS!$E$31:$E$167)*Impacts!$F$18))</f>
        <v>0</v>
      </c>
      <c r="W3632" s="10">
        <f t="shared" si="97"/>
        <v>0</v>
      </c>
      <c r="AK3632" s="10" t="str">
        <f t="array" ref="AK3632">IFERROR(INDEX(SelectedSpecies,SMALL(IF(SelectedSpecies=AK$1,ROW(SelectedSpecies)),ROW(3633:3633)),2),"")</f>
        <v/>
      </c>
      <c r="BE3632" s="10"/>
      <c r="BI3632" s="10"/>
    </row>
    <row r="3633" spans="1:61" ht="21" customHeight="1" x14ac:dyDescent="0.25">
      <c r="A3633" s="10"/>
      <c r="B3633" s="10"/>
      <c r="E3633" s="10"/>
      <c r="G3633" s="10"/>
      <c r="I3633" s="436" t="s">
        <v>1480</v>
      </c>
      <c r="J3633" s="26" t="s">
        <v>1479</v>
      </c>
      <c r="K3633" s="10">
        <v>30</v>
      </c>
      <c r="L3633" s="73">
        <f>IF(Tank1!$C$23="No control",(SUMIF(Tank1!$B$32:$B$49,$J3633,Tank1!$C$32:$C$49)*Impacts!$F$8),0)</f>
        <v>0</v>
      </c>
      <c r="M3633" s="10">
        <f>IF(Tank2!$C$23="No control",(SUMIF(Tank2!$B$32:$B$49,$J3633,Tank2!$C$32:$C$49)*Impacts!$F$9),0)</f>
        <v>0</v>
      </c>
      <c r="N3633" s="10">
        <f>IF(Tank3!$C$23="No control",(SUMIF(Tank3!$B$32:$B$49,$J3633,Tank3!$C$32:$C$49)*Impacts!$F$10),0)</f>
        <v>0</v>
      </c>
      <c r="O3633" s="10">
        <f>IF(Tank4!$C$23="No control",(SUMIF(Tank4!$B$32:$B$49,$J3633,Tank4!$C$32:$C$49)*Impacts!$F$11),0)</f>
        <v>0</v>
      </c>
      <c r="P3633" s="10">
        <f>IF(Tank5!$C$23="No control",(SUMIF(Tank5!$B$32:$B$49,$J3633,Tank5!$C$32:$C$49)*Impacts!$F$12),0)</f>
        <v>0</v>
      </c>
      <c r="Q3633" s="10">
        <f>IFERROR(IF(('Loading-drum,tote'!$C$21)="No control",SUMIF(('Loading-drum,tote'!$B$31:$B$48),$J3633,('Loading-drum,tote'!$D$31:$D$48))*Impacts!$F$13,IF(('Loading-drum,tote'!$C$21)&lt;&gt;"No control",SUMIF(('Loading-drum,tote'!$B$31:$B$48),$J3633,('Loading-drum,tote'!$E$31:$E$48))*Impacts!$F$13,0)),0)</f>
        <v>0</v>
      </c>
      <c r="R3633" s="10">
        <f>IFERROR(IF(('Loading-truck'!$C$21)="No control",SUMIF(('Loading-truck'!$B$31:$B$48),$J3633,('Loading-truck'!$D$31:$D$48))*Impacts!$F$14,IF(('Loading-truck'!$C$21)&lt;&gt;"No control",SUMIF(('Loading-truck'!$B$31:$B$48),$J3633,('Loading-truck'!$E$31:$E$48))*Impacts!$F$14,0)),0)</f>
        <v>0</v>
      </c>
      <c r="S3633" s="10">
        <f>IFERROR(IF(('Loading-rail'!$C$21)="No control",SUMIF(('Loading-rail'!$B$31:$B$48),$J3633,('Loading-rail'!$D$31:$D$48))*Impacts!$F$15,IF(('Loading-rail'!$C$21)&lt;&gt;"No control",SUMIF(('Loading-rail'!$B$31:$B$48),$J3633,('Loading-rail'!$E$31:$E$48))*Impacts!$F$15,0)),0)</f>
        <v>0</v>
      </c>
      <c r="T3633" s="10">
        <f>IF(Flare!$C$7="",0,(SUMIF(Flare!$B$46:$B$185,$J3633,Flare!$E$46:$E$185)*Impacts!$F$16))</f>
        <v>0</v>
      </c>
      <c r="U3633" s="10">
        <f>IF(VCU!$C$9="",0,(SUMIF(VCU!$B$51:$B$193,$J3633,VCU!$E$51:$E$193)*Impacts!$F$17))</f>
        <v>0</v>
      </c>
      <c r="V3633" s="10">
        <f>IF(CAS!$C$7="",0,(SUMIF(CAS!$B$31:$B$167,$J3633,CAS!$E$31:$E$167)*Impacts!$F$18))</f>
        <v>0</v>
      </c>
      <c r="W3633" s="10">
        <f t="shared" si="97"/>
        <v>0</v>
      </c>
      <c r="AK3633" s="10" t="str">
        <f t="array" ref="AK3633">IFERROR(INDEX(SelectedSpecies,SMALL(IF(SelectedSpecies=AK$1,ROW(SelectedSpecies)),ROW(3634:3634)),2),"")</f>
        <v/>
      </c>
      <c r="BE3633" s="10"/>
      <c r="BI3633" s="10"/>
    </row>
    <row r="3634" spans="1:61" ht="21" customHeight="1" x14ac:dyDescent="0.25">
      <c r="A3634" s="10"/>
      <c r="B3634" s="10"/>
      <c r="E3634" s="10"/>
      <c r="G3634" s="10"/>
      <c r="I3634" s="436" t="s">
        <v>411</v>
      </c>
      <c r="J3634" s="26" t="s">
        <v>410</v>
      </c>
      <c r="K3634" s="10">
        <v>260</v>
      </c>
      <c r="L3634" s="73">
        <f>IF(Tank1!$C$23="No control",(SUMIF(Tank1!$B$32:$B$49,$J3634,Tank1!$C$32:$C$49)*Impacts!$F$8),0)</f>
        <v>0</v>
      </c>
      <c r="M3634" s="10">
        <f>IF(Tank2!$C$23="No control",(SUMIF(Tank2!$B$32:$B$49,$J3634,Tank2!$C$32:$C$49)*Impacts!$F$9),0)</f>
        <v>0</v>
      </c>
      <c r="N3634" s="10">
        <f>IF(Tank3!$C$23="No control",(SUMIF(Tank3!$B$32:$B$49,$J3634,Tank3!$C$32:$C$49)*Impacts!$F$10),0)</f>
        <v>0</v>
      </c>
      <c r="O3634" s="10">
        <f>IF(Tank4!$C$23="No control",(SUMIF(Tank4!$B$32:$B$49,$J3634,Tank4!$C$32:$C$49)*Impacts!$F$11),0)</f>
        <v>0</v>
      </c>
      <c r="P3634" s="10">
        <f>IF(Tank5!$C$23="No control",(SUMIF(Tank5!$B$32:$B$49,$J3634,Tank5!$C$32:$C$49)*Impacts!$F$12),0)</f>
        <v>0</v>
      </c>
      <c r="Q3634" s="10">
        <f>IFERROR(IF(('Loading-drum,tote'!$C$21)="No control",SUMIF(('Loading-drum,tote'!$B$31:$B$48),$J3634,('Loading-drum,tote'!$D$31:$D$48))*Impacts!$F$13,IF(('Loading-drum,tote'!$C$21)&lt;&gt;"No control",SUMIF(('Loading-drum,tote'!$B$31:$B$48),$J3634,('Loading-drum,tote'!$E$31:$E$48))*Impacts!$F$13,0)),0)</f>
        <v>0</v>
      </c>
      <c r="R3634" s="10">
        <f>IFERROR(IF(('Loading-truck'!$C$21)="No control",SUMIF(('Loading-truck'!$B$31:$B$48),$J3634,('Loading-truck'!$D$31:$D$48))*Impacts!$F$14,IF(('Loading-truck'!$C$21)&lt;&gt;"No control",SUMIF(('Loading-truck'!$B$31:$B$48),$J3634,('Loading-truck'!$E$31:$E$48))*Impacts!$F$14,0)),0)</f>
        <v>0</v>
      </c>
      <c r="S3634" s="10">
        <f>IFERROR(IF(('Loading-rail'!$C$21)="No control",SUMIF(('Loading-rail'!$B$31:$B$48),$J3634,('Loading-rail'!$D$31:$D$48))*Impacts!$F$15,IF(('Loading-rail'!$C$21)&lt;&gt;"No control",SUMIF(('Loading-rail'!$B$31:$B$48),$J3634,('Loading-rail'!$E$31:$E$48))*Impacts!$F$15,0)),0)</f>
        <v>0</v>
      </c>
      <c r="T3634" s="10">
        <f>IF(Flare!$C$7="",0,(SUMIF(Flare!$B$46:$B$185,$J3634,Flare!$E$46:$E$185)*Impacts!$F$16))</f>
        <v>0</v>
      </c>
      <c r="U3634" s="10">
        <f>IF(VCU!$C$9="",0,(SUMIF(VCU!$B$51:$B$193,$J3634,VCU!$E$51:$E$193)*Impacts!$F$17))</f>
        <v>0</v>
      </c>
      <c r="V3634" s="10">
        <f>IF(CAS!$C$7="",0,(SUMIF(CAS!$B$31:$B$167,$J3634,CAS!$E$31:$E$167)*Impacts!$F$18))</f>
        <v>0</v>
      </c>
      <c r="W3634" s="10">
        <f t="shared" si="97"/>
        <v>0</v>
      </c>
      <c r="AK3634" s="10" t="str">
        <f t="array" ref="AK3634">IFERROR(INDEX(SelectedSpecies,SMALL(IF(SelectedSpecies=AK$1,ROW(SelectedSpecies)),ROW(3635:3635)),2),"")</f>
        <v/>
      </c>
      <c r="BE3634" s="10"/>
      <c r="BI3634" s="10"/>
    </row>
    <row r="3635" spans="1:61" ht="21" customHeight="1" x14ac:dyDescent="0.25">
      <c r="A3635" s="10"/>
      <c r="B3635" s="10"/>
      <c r="E3635" s="10"/>
      <c r="G3635" s="10"/>
      <c r="I3635" s="436" t="s">
        <v>7880</v>
      </c>
      <c r="J3635" s="26" t="s">
        <v>7879</v>
      </c>
      <c r="K3635" s="10">
        <v>0.06</v>
      </c>
      <c r="L3635" s="73">
        <f>IF(Tank1!$C$23="No control",(SUMIF(Tank1!$B$32:$B$49,$J3635,Tank1!$C$32:$C$49)*Impacts!$F$8),0)</f>
        <v>0</v>
      </c>
      <c r="M3635" s="10">
        <f>IF(Tank2!$C$23="No control",(SUMIF(Tank2!$B$32:$B$49,$J3635,Tank2!$C$32:$C$49)*Impacts!$F$9),0)</f>
        <v>0</v>
      </c>
      <c r="N3635" s="10">
        <f>IF(Tank3!$C$23="No control",(SUMIF(Tank3!$B$32:$B$49,$J3635,Tank3!$C$32:$C$49)*Impacts!$F$10),0)</f>
        <v>0</v>
      </c>
      <c r="O3635" s="10">
        <f>IF(Tank4!$C$23="No control",(SUMIF(Tank4!$B$32:$B$49,$J3635,Tank4!$C$32:$C$49)*Impacts!$F$11),0)</f>
        <v>0</v>
      </c>
      <c r="P3635" s="10">
        <f>IF(Tank5!$C$23="No control",(SUMIF(Tank5!$B$32:$B$49,$J3635,Tank5!$C$32:$C$49)*Impacts!$F$12),0)</f>
        <v>0</v>
      </c>
      <c r="Q3635" s="10">
        <f>IFERROR(IF(('Loading-drum,tote'!$C$21)="No control",SUMIF(('Loading-drum,tote'!$B$31:$B$48),$J3635,('Loading-drum,tote'!$D$31:$D$48))*Impacts!$F$13,IF(('Loading-drum,tote'!$C$21)&lt;&gt;"No control",SUMIF(('Loading-drum,tote'!$B$31:$B$48),$J3635,('Loading-drum,tote'!$E$31:$E$48))*Impacts!$F$13,0)),0)</f>
        <v>0</v>
      </c>
      <c r="R3635" s="10">
        <f>IFERROR(IF(('Loading-truck'!$C$21)="No control",SUMIF(('Loading-truck'!$B$31:$B$48),$J3635,('Loading-truck'!$D$31:$D$48))*Impacts!$F$14,IF(('Loading-truck'!$C$21)&lt;&gt;"No control",SUMIF(('Loading-truck'!$B$31:$B$48),$J3635,('Loading-truck'!$E$31:$E$48))*Impacts!$F$14,0)),0)</f>
        <v>0</v>
      </c>
      <c r="S3635" s="10">
        <f>IFERROR(IF(('Loading-rail'!$C$21)="No control",SUMIF(('Loading-rail'!$B$31:$B$48),$J3635,('Loading-rail'!$D$31:$D$48))*Impacts!$F$15,IF(('Loading-rail'!$C$21)&lt;&gt;"No control",SUMIF(('Loading-rail'!$B$31:$B$48),$J3635,('Loading-rail'!$E$31:$E$48))*Impacts!$F$15,0)),0)</f>
        <v>0</v>
      </c>
      <c r="T3635" s="10">
        <f>IF(Flare!$C$7="",0,(SUMIF(Flare!$B$46:$B$185,$J3635,Flare!$E$46:$E$185)*Impacts!$F$16))</f>
        <v>0</v>
      </c>
      <c r="U3635" s="10">
        <f>IF(VCU!$C$9="",0,(SUMIF(VCU!$B$51:$B$193,$J3635,VCU!$E$51:$E$193)*Impacts!$F$17))</f>
        <v>0</v>
      </c>
      <c r="V3635" s="10">
        <f>IF(CAS!$C$7="",0,(SUMIF(CAS!$B$31:$B$167,$J3635,CAS!$E$31:$E$167)*Impacts!$F$18))</f>
        <v>0</v>
      </c>
      <c r="W3635" s="10">
        <f t="shared" si="97"/>
        <v>0</v>
      </c>
      <c r="AK3635" s="10" t="str">
        <f t="array" ref="AK3635">IFERROR(INDEX(SelectedSpecies,SMALL(IF(SelectedSpecies=AK$1,ROW(SelectedSpecies)),ROW(3636:3636)),2),"")</f>
        <v/>
      </c>
      <c r="BE3635" s="10"/>
      <c r="BI3635" s="10"/>
    </row>
    <row r="3636" spans="1:61" ht="21" customHeight="1" x14ac:dyDescent="0.25">
      <c r="A3636" s="10"/>
      <c r="B3636" s="10"/>
      <c r="E3636" s="10"/>
      <c r="G3636" s="10"/>
      <c r="I3636" s="436" t="s">
        <v>7122</v>
      </c>
      <c r="J3636" s="26" t="s">
        <v>7121</v>
      </c>
      <c r="K3636" s="10">
        <v>0.4</v>
      </c>
      <c r="L3636" s="73">
        <f>IF(Tank1!$C$23="No control",(SUMIF(Tank1!$B$32:$B$49,$J3636,Tank1!$C$32:$C$49)*Impacts!$F$8),0)</f>
        <v>0</v>
      </c>
      <c r="M3636" s="10">
        <f>IF(Tank2!$C$23="No control",(SUMIF(Tank2!$B$32:$B$49,$J3636,Tank2!$C$32:$C$49)*Impacts!$F$9),0)</f>
        <v>0</v>
      </c>
      <c r="N3636" s="10">
        <f>IF(Tank3!$C$23="No control",(SUMIF(Tank3!$B$32:$B$49,$J3636,Tank3!$C$32:$C$49)*Impacts!$F$10),0)</f>
        <v>0</v>
      </c>
      <c r="O3636" s="10">
        <f>IF(Tank4!$C$23="No control",(SUMIF(Tank4!$B$32:$B$49,$J3636,Tank4!$C$32:$C$49)*Impacts!$F$11),0)</f>
        <v>0</v>
      </c>
      <c r="P3636" s="10">
        <f>IF(Tank5!$C$23="No control",(SUMIF(Tank5!$B$32:$B$49,$J3636,Tank5!$C$32:$C$49)*Impacts!$F$12),0)</f>
        <v>0</v>
      </c>
      <c r="Q3636" s="10">
        <f>IFERROR(IF(('Loading-drum,tote'!$C$21)="No control",SUMIF(('Loading-drum,tote'!$B$31:$B$48),$J3636,('Loading-drum,tote'!$D$31:$D$48))*Impacts!$F$13,IF(('Loading-drum,tote'!$C$21)&lt;&gt;"No control",SUMIF(('Loading-drum,tote'!$B$31:$B$48),$J3636,('Loading-drum,tote'!$E$31:$E$48))*Impacts!$F$13,0)),0)</f>
        <v>0</v>
      </c>
      <c r="R3636" s="10">
        <f>IFERROR(IF(('Loading-truck'!$C$21)="No control",SUMIF(('Loading-truck'!$B$31:$B$48),$J3636,('Loading-truck'!$D$31:$D$48))*Impacts!$F$14,IF(('Loading-truck'!$C$21)&lt;&gt;"No control",SUMIF(('Loading-truck'!$B$31:$B$48),$J3636,('Loading-truck'!$E$31:$E$48))*Impacts!$F$14,0)),0)</f>
        <v>0</v>
      </c>
      <c r="S3636" s="10">
        <f>IFERROR(IF(('Loading-rail'!$C$21)="No control",SUMIF(('Loading-rail'!$B$31:$B$48),$J3636,('Loading-rail'!$D$31:$D$48))*Impacts!$F$15,IF(('Loading-rail'!$C$21)&lt;&gt;"No control",SUMIF(('Loading-rail'!$B$31:$B$48),$J3636,('Loading-rail'!$E$31:$E$48))*Impacts!$F$15,0)),0)</f>
        <v>0</v>
      </c>
      <c r="T3636" s="10">
        <f>IF(Flare!$C$7="",0,(SUMIF(Flare!$B$46:$B$185,$J3636,Flare!$E$46:$E$185)*Impacts!$F$16))</f>
        <v>0</v>
      </c>
      <c r="U3636" s="10">
        <f>IF(VCU!$C$9="",0,(SUMIF(VCU!$B$51:$B$193,$J3636,VCU!$E$51:$E$193)*Impacts!$F$17))</f>
        <v>0</v>
      </c>
      <c r="V3636" s="10">
        <f>IF(CAS!$C$7="",0,(SUMIF(CAS!$B$31:$B$167,$J3636,CAS!$E$31:$E$167)*Impacts!$F$18))</f>
        <v>0</v>
      </c>
      <c r="W3636" s="10">
        <f t="shared" si="97"/>
        <v>0</v>
      </c>
      <c r="AK3636" s="10" t="str">
        <f t="array" ref="AK3636">IFERROR(INDEX(SelectedSpecies,SMALL(IF(SelectedSpecies=AK$1,ROW(SelectedSpecies)),ROW(3637:3637)),2),"")</f>
        <v/>
      </c>
      <c r="BE3636" s="10"/>
      <c r="BI3636" s="10"/>
    </row>
    <row r="3637" spans="1:61" ht="21" customHeight="1" x14ac:dyDescent="0.25">
      <c r="A3637" s="10"/>
      <c r="B3637" s="10"/>
      <c r="E3637" s="10"/>
      <c r="G3637" s="10"/>
      <c r="I3637" s="436" t="s">
        <v>5197</v>
      </c>
      <c r="J3637" s="26" t="s">
        <v>5196</v>
      </c>
      <c r="K3637" s="10">
        <v>2</v>
      </c>
      <c r="L3637" s="73">
        <f>IF(Tank1!$C$23="No control",(SUMIF(Tank1!$B$32:$B$49,$J3637,Tank1!$C$32:$C$49)*Impacts!$F$8),0)</f>
        <v>0</v>
      </c>
      <c r="M3637" s="10">
        <f>IF(Tank2!$C$23="No control",(SUMIF(Tank2!$B$32:$B$49,$J3637,Tank2!$C$32:$C$49)*Impacts!$F$9),0)</f>
        <v>0</v>
      </c>
      <c r="N3637" s="10">
        <f>IF(Tank3!$C$23="No control",(SUMIF(Tank3!$B$32:$B$49,$J3637,Tank3!$C$32:$C$49)*Impacts!$F$10),0)</f>
        <v>0</v>
      </c>
      <c r="O3637" s="10">
        <f>IF(Tank4!$C$23="No control",(SUMIF(Tank4!$B$32:$B$49,$J3637,Tank4!$C$32:$C$49)*Impacts!$F$11),0)</f>
        <v>0</v>
      </c>
      <c r="P3637" s="10">
        <f>IF(Tank5!$C$23="No control",(SUMIF(Tank5!$B$32:$B$49,$J3637,Tank5!$C$32:$C$49)*Impacts!$F$12),0)</f>
        <v>0</v>
      </c>
      <c r="Q3637" s="10">
        <f>IFERROR(IF(('Loading-drum,tote'!$C$21)="No control",SUMIF(('Loading-drum,tote'!$B$31:$B$48),$J3637,('Loading-drum,tote'!$D$31:$D$48))*Impacts!$F$13,IF(('Loading-drum,tote'!$C$21)&lt;&gt;"No control",SUMIF(('Loading-drum,tote'!$B$31:$B$48),$J3637,('Loading-drum,tote'!$E$31:$E$48))*Impacts!$F$13,0)),0)</f>
        <v>0</v>
      </c>
      <c r="R3637" s="10">
        <f>IFERROR(IF(('Loading-truck'!$C$21)="No control",SUMIF(('Loading-truck'!$B$31:$B$48),$J3637,('Loading-truck'!$D$31:$D$48))*Impacts!$F$14,IF(('Loading-truck'!$C$21)&lt;&gt;"No control",SUMIF(('Loading-truck'!$B$31:$B$48),$J3637,('Loading-truck'!$E$31:$E$48))*Impacts!$F$14,0)),0)</f>
        <v>0</v>
      </c>
      <c r="S3637" s="10">
        <f>IFERROR(IF(('Loading-rail'!$C$21)="No control",SUMIF(('Loading-rail'!$B$31:$B$48),$J3637,('Loading-rail'!$D$31:$D$48))*Impacts!$F$15,IF(('Loading-rail'!$C$21)&lt;&gt;"No control",SUMIF(('Loading-rail'!$B$31:$B$48),$J3637,('Loading-rail'!$E$31:$E$48))*Impacts!$F$15,0)),0)</f>
        <v>0</v>
      </c>
      <c r="T3637" s="10">
        <f>IF(Flare!$C$7="",0,(SUMIF(Flare!$B$46:$B$185,$J3637,Flare!$E$46:$E$185)*Impacts!$F$16))</f>
        <v>0</v>
      </c>
      <c r="U3637" s="10">
        <f>IF(VCU!$C$9="",0,(SUMIF(VCU!$B$51:$B$193,$J3637,VCU!$E$51:$E$193)*Impacts!$F$17))</f>
        <v>0</v>
      </c>
      <c r="V3637" s="10">
        <f>IF(CAS!$C$7="",0,(SUMIF(CAS!$B$31:$B$167,$J3637,CAS!$E$31:$E$167)*Impacts!$F$18))</f>
        <v>0</v>
      </c>
      <c r="W3637" s="10">
        <f t="shared" si="97"/>
        <v>0</v>
      </c>
      <c r="AK3637" s="10" t="str">
        <f t="array" ref="AK3637">IFERROR(INDEX(SelectedSpecies,SMALL(IF(SelectedSpecies=AK$1,ROW(SelectedSpecies)),ROW(3638:3638)),2),"")</f>
        <v/>
      </c>
      <c r="BE3637" s="10"/>
      <c r="BI3637" s="10"/>
    </row>
    <row r="3638" spans="1:61" ht="21" customHeight="1" x14ac:dyDescent="0.25">
      <c r="A3638" s="10"/>
      <c r="B3638" s="10"/>
      <c r="E3638" s="10"/>
      <c r="G3638" s="10"/>
      <c r="I3638" s="436" t="s">
        <v>4829</v>
      </c>
      <c r="J3638" s="26" t="s">
        <v>4828</v>
      </c>
      <c r="K3638" s="10">
        <v>3</v>
      </c>
      <c r="L3638" s="73">
        <f>IF(Tank1!$C$23="No control",(SUMIF(Tank1!$B$32:$B$49,$J3638,Tank1!$C$32:$C$49)*Impacts!$F$8),0)</f>
        <v>0</v>
      </c>
      <c r="M3638" s="10">
        <f>IF(Tank2!$C$23="No control",(SUMIF(Tank2!$B$32:$B$49,$J3638,Tank2!$C$32:$C$49)*Impacts!$F$9),0)</f>
        <v>0</v>
      </c>
      <c r="N3638" s="10">
        <f>IF(Tank3!$C$23="No control",(SUMIF(Tank3!$B$32:$B$49,$J3638,Tank3!$C$32:$C$49)*Impacts!$F$10),0)</f>
        <v>0</v>
      </c>
      <c r="O3638" s="10">
        <f>IF(Tank4!$C$23="No control",(SUMIF(Tank4!$B$32:$B$49,$J3638,Tank4!$C$32:$C$49)*Impacts!$F$11),0)</f>
        <v>0</v>
      </c>
      <c r="P3638" s="10">
        <f>IF(Tank5!$C$23="No control",(SUMIF(Tank5!$B$32:$B$49,$J3638,Tank5!$C$32:$C$49)*Impacts!$F$12),0)</f>
        <v>0</v>
      </c>
      <c r="Q3638" s="10">
        <f>IFERROR(IF(('Loading-drum,tote'!$C$21)="No control",SUMIF(('Loading-drum,tote'!$B$31:$B$48),$J3638,('Loading-drum,tote'!$D$31:$D$48))*Impacts!$F$13,IF(('Loading-drum,tote'!$C$21)&lt;&gt;"No control",SUMIF(('Loading-drum,tote'!$B$31:$B$48),$J3638,('Loading-drum,tote'!$E$31:$E$48))*Impacts!$F$13,0)),0)</f>
        <v>0</v>
      </c>
      <c r="R3638" s="10">
        <f>IFERROR(IF(('Loading-truck'!$C$21)="No control",SUMIF(('Loading-truck'!$B$31:$B$48),$J3638,('Loading-truck'!$D$31:$D$48))*Impacts!$F$14,IF(('Loading-truck'!$C$21)&lt;&gt;"No control",SUMIF(('Loading-truck'!$B$31:$B$48),$J3638,('Loading-truck'!$E$31:$E$48))*Impacts!$F$14,0)),0)</f>
        <v>0</v>
      </c>
      <c r="S3638" s="10">
        <f>IFERROR(IF(('Loading-rail'!$C$21)="No control",SUMIF(('Loading-rail'!$B$31:$B$48),$J3638,('Loading-rail'!$D$31:$D$48))*Impacts!$F$15,IF(('Loading-rail'!$C$21)&lt;&gt;"No control",SUMIF(('Loading-rail'!$B$31:$B$48),$J3638,('Loading-rail'!$E$31:$E$48))*Impacts!$F$15,0)),0)</f>
        <v>0</v>
      </c>
      <c r="T3638" s="10">
        <f>IF(Flare!$C$7="",0,(SUMIF(Flare!$B$46:$B$185,$J3638,Flare!$E$46:$E$185)*Impacts!$F$16))</f>
        <v>0</v>
      </c>
      <c r="U3638" s="10">
        <f>IF(VCU!$C$9="",0,(SUMIF(VCU!$B$51:$B$193,$J3638,VCU!$E$51:$E$193)*Impacts!$F$17))</f>
        <v>0</v>
      </c>
      <c r="V3638" s="10">
        <f>IF(CAS!$C$7="",0,(SUMIF(CAS!$B$31:$B$167,$J3638,CAS!$E$31:$E$167)*Impacts!$F$18))</f>
        <v>0</v>
      </c>
      <c r="W3638" s="10">
        <f t="shared" si="97"/>
        <v>0</v>
      </c>
      <c r="AK3638" s="10" t="str">
        <f t="array" ref="AK3638">IFERROR(INDEX(SelectedSpecies,SMALL(IF(SelectedSpecies=AK$1,ROW(SelectedSpecies)),ROW(3639:3639)),2),"")</f>
        <v/>
      </c>
      <c r="BE3638" s="10"/>
      <c r="BI3638" s="10"/>
    </row>
    <row r="3639" spans="1:61" ht="21" customHeight="1" x14ac:dyDescent="0.25">
      <c r="A3639" s="10"/>
      <c r="B3639" s="10"/>
      <c r="E3639" s="10"/>
      <c r="G3639" s="10"/>
      <c r="I3639" s="436" t="s">
        <v>4429</v>
      </c>
      <c r="J3639" s="26" t="s">
        <v>4428</v>
      </c>
      <c r="K3639" s="10">
        <v>4.6000000000000005</v>
      </c>
      <c r="L3639" s="73">
        <f>IF(Tank1!$C$23="No control",(SUMIF(Tank1!$B$32:$B$49,$J3639,Tank1!$C$32:$C$49)*Impacts!$F$8),0)</f>
        <v>0</v>
      </c>
      <c r="M3639" s="10">
        <f>IF(Tank2!$C$23="No control",(SUMIF(Tank2!$B$32:$B$49,$J3639,Tank2!$C$32:$C$49)*Impacts!$F$9),0)</f>
        <v>0</v>
      </c>
      <c r="N3639" s="10">
        <f>IF(Tank3!$C$23="No control",(SUMIF(Tank3!$B$32:$B$49,$J3639,Tank3!$C$32:$C$49)*Impacts!$F$10),0)</f>
        <v>0</v>
      </c>
      <c r="O3639" s="10">
        <f>IF(Tank4!$C$23="No control",(SUMIF(Tank4!$B$32:$B$49,$J3639,Tank4!$C$32:$C$49)*Impacts!$F$11),0)</f>
        <v>0</v>
      </c>
      <c r="P3639" s="10">
        <f>IF(Tank5!$C$23="No control",(SUMIF(Tank5!$B$32:$B$49,$J3639,Tank5!$C$32:$C$49)*Impacts!$F$12),0)</f>
        <v>0</v>
      </c>
      <c r="Q3639" s="10">
        <f>IFERROR(IF(('Loading-drum,tote'!$C$21)="No control",SUMIF(('Loading-drum,tote'!$B$31:$B$48),$J3639,('Loading-drum,tote'!$D$31:$D$48))*Impacts!$F$13,IF(('Loading-drum,tote'!$C$21)&lt;&gt;"No control",SUMIF(('Loading-drum,tote'!$B$31:$B$48),$J3639,('Loading-drum,tote'!$E$31:$E$48))*Impacts!$F$13,0)),0)</f>
        <v>0</v>
      </c>
      <c r="R3639" s="10">
        <f>IFERROR(IF(('Loading-truck'!$C$21)="No control",SUMIF(('Loading-truck'!$B$31:$B$48),$J3639,('Loading-truck'!$D$31:$D$48))*Impacts!$F$14,IF(('Loading-truck'!$C$21)&lt;&gt;"No control",SUMIF(('Loading-truck'!$B$31:$B$48),$J3639,('Loading-truck'!$E$31:$E$48))*Impacts!$F$14,0)),0)</f>
        <v>0</v>
      </c>
      <c r="S3639" s="10">
        <f>IFERROR(IF(('Loading-rail'!$C$21)="No control",SUMIF(('Loading-rail'!$B$31:$B$48),$J3639,('Loading-rail'!$D$31:$D$48))*Impacts!$F$15,IF(('Loading-rail'!$C$21)&lt;&gt;"No control",SUMIF(('Loading-rail'!$B$31:$B$48),$J3639,('Loading-rail'!$E$31:$E$48))*Impacts!$F$15,0)),0)</f>
        <v>0</v>
      </c>
      <c r="T3639" s="10">
        <f>IF(Flare!$C$7="",0,(SUMIF(Flare!$B$46:$B$185,$J3639,Flare!$E$46:$E$185)*Impacts!$F$16))</f>
        <v>0</v>
      </c>
      <c r="U3639" s="10">
        <f>IF(VCU!$C$9="",0,(SUMIF(VCU!$B$51:$B$193,$J3639,VCU!$E$51:$E$193)*Impacts!$F$17))</f>
        <v>0</v>
      </c>
      <c r="V3639" s="10">
        <f>IF(CAS!$C$7="",0,(SUMIF(CAS!$B$31:$B$167,$J3639,CAS!$E$31:$E$167)*Impacts!$F$18))</f>
        <v>0</v>
      </c>
      <c r="W3639" s="10">
        <f t="shared" si="97"/>
        <v>0</v>
      </c>
      <c r="AK3639" s="10" t="str">
        <f t="array" ref="AK3639">IFERROR(INDEX(SelectedSpecies,SMALL(IF(SelectedSpecies=AK$1,ROW(SelectedSpecies)),ROW(3640:3640)),2),"")</f>
        <v/>
      </c>
      <c r="BE3639" s="10"/>
      <c r="BI3639" s="10"/>
    </row>
    <row r="3640" spans="1:61" ht="21" customHeight="1" x14ac:dyDescent="0.25">
      <c r="A3640" s="10"/>
      <c r="B3640" s="10"/>
      <c r="E3640" s="10"/>
      <c r="G3640" s="10"/>
      <c r="I3640" s="436" t="s">
        <v>1170</v>
      </c>
      <c r="J3640" s="26" t="s">
        <v>1169</v>
      </c>
      <c r="K3640" s="10">
        <v>35</v>
      </c>
      <c r="L3640" s="73">
        <f>IF(Tank1!$C$23="No control",(SUMIF(Tank1!$B$32:$B$49,$J3640,Tank1!$C$32:$C$49)*Impacts!$F$8),0)</f>
        <v>0</v>
      </c>
      <c r="M3640" s="10">
        <f>IF(Tank2!$C$23="No control",(SUMIF(Tank2!$B$32:$B$49,$J3640,Tank2!$C$32:$C$49)*Impacts!$F$9),0)</f>
        <v>0</v>
      </c>
      <c r="N3640" s="10">
        <f>IF(Tank3!$C$23="No control",(SUMIF(Tank3!$B$32:$B$49,$J3640,Tank3!$C$32:$C$49)*Impacts!$F$10),0)</f>
        <v>0</v>
      </c>
      <c r="O3640" s="10">
        <f>IF(Tank4!$C$23="No control",(SUMIF(Tank4!$B$32:$B$49,$J3640,Tank4!$C$32:$C$49)*Impacts!$F$11),0)</f>
        <v>0</v>
      </c>
      <c r="P3640" s="10">
        <f>IF(Tank5!$C$23="No control",(SUMIF(Tank5!$B$32:$B$49,$J3640,Tank5!$C$32:$C$49)*Impacts!$F$12),0)</f>
        <v>0</v>
      </c>
      <c r="Q3640" s="10">
        <f>IFERROR(IF(('Loading-drum,tote'!$C$21)="No control",SUMIF(('Loading-drum,tote'!$B$31:$B$48),$J3640,('Loading-drum,tote'!$D$31:$D$48))*Impacts!$F$13,IF(('Loading-drum,tote'!$C$21)&lt;&gt;"No control",SUMIF(('Loading-drum,tote'!$B$31:$B$48),$J3640,('Loading-drum,tote'!$E$31:$E$48))*Impacts!$F$13,0)),0)</f>
        <v>0</v>
      </c>
      <c r="R3640" s="10">
        <f>IFERROR(IF(('Loading-truck'!$C$21)="No control",SUMIF(('Loading-truck'!$B$31:$B$48),$J3640,('Loading-truck'!$D$31:$D$48))*Impacts!$F$14,IF(('Loading-truck'!$C$21)&lt;&gt;"No control",SUMIF(('Loading-truck'!$B$31:$B$48),$J3640,('Loading-truck'!$E$31:$E$48))*Impacts!$F$14,0)),0)</f>
        <v>0</v>
      </c>
      <c r="S3640" s="10">
        <f>IFERROR(IF(('Loading-rail'!$C$21)="No control",SUMIF(('Loading-rail'!$B$31:$B$48),$J3640,('Loading-rail'!$D$31:$D$48))*Impacts!$F$15,IF(('Loading-rail'!$C$21)&lt;&gt;"No control",SUMIF(('Loading-rail'!$B$31:$B$48),$J3640,('Loading-rail'!$E$31:$E$48))*Impacts!$F$15,0)),0)</f>
        <v>0</v>
      </c>
      <c r="T3640" s="10">
        <f>IF(Flare!$C$7="",0,(SUMIF(Flare!$B$46:$B$185,$J3640,Flare!$E$46:$E$185)*Impacts!$F$16))</f>
        <v>0</v>
      </c>
      <c r="U3640" s="10">
        <f>IF(VCU!$C$9="",0,(SUMIF(VCU!$B$51:$B$193,$J3640,VCU!$E$51:$E$193)*Impacts!$F$17))</f>
        <v>0</v>
      </c>
      <c r="V3640" s="10">
        <f>IF(CAS!$C$7="",0,(SUMIF(CAS!$B$31:$B$167,$J3640,CAS!$E$31:$E$167)*Impacts!$F$18))</f>
        <v>0</v>
      </c>
      <c r="W3640" s="10">
        <f t="shared" si="97"/>
        <v>0</v>
      </c>
      <c r="AK3640" s="10" t="str">
        <f t="array" ref="AK3640">IFERROR(INDEX(SelectedSpecies,SMALL(IF(SelectedSpecies=AK$1,ROW(SelectedSpecies)),ROW(3641:3641)),2),"")</f>
        <v/>
      </c>
      <c r="BE3640" s="10"/>
      <c r="BI3640" s="10"/>
    </row>
    <row r="3641" spans="1:61" ht="21" customHeight="1" x14ac:dyDescent="0.25">
      <c r="A3641" s="10"/>
      <c r="B3641" s="10"/>
      <c r="E3641" s="10"/>
      <c r="G3641" s="10"/>
      <c r="I3641" s="436" t="s">
        <v>4097</v>
      </c>
      <c r="J3641" s="26" t="s">
        <v>4096</v>
      </c>
      <c r="K3641" s="10">
        <v>5.5</v>
      </c>
      <c r="L3641" s="73">
        <f>IF(Tank1!$C$23="No control",(SUMIF(Tank1!$B$32:$B$49,$J3641,Tank1!$C$32:$C$49)*Impacts!$F$8),0)</f>
        <v>0</v>
      </c>
      <c r="M3641" s="10">
        <f>IF(Tank2!$C$23="No control",(SUMIF(Tank2!$B$32:$B$49,$J3641,Tank2!$C$32:$C$49)*Impacts!$F$9),0)</f>
        <v>0</v>
      </c>
      <c r="N3641" s="10">
        <f>IF(Tank3!$C$23="No control",(SUMIF(Tank3!$B$32:$B$49,$J3641,Tank3!$C$32:$C$49)*Impacts!$F$10),0)</f>
        <v>0</v>
      </c>
      <c r="O3641" s="10">
        <f>IF(Tank4!$C$23="No control",(SUMIF(Tank4!$B$32:$B$49,$J3641,Tank4!$C$32:$C$49)*Impacts!$F$11),0)</f>
        <v>0</v>
      </c>
      <c r="P3641" s="10">
        <f>IF(Tank5!$C$23="No control",(SUMIF(Tank5!$B$32:$B$49,$J3641,Tank5!$C$32:$C$49)*Impacts!$F$12),0)</f>
        <v>0</v>
      </c>
      <c r="Q3641" s="10">
        <f>IFERROR(IF(('Loading-drum,tote'!$C$21)="No control",SUMIF(('Loading-drum,tote'!$B$31:$B$48),$J3641,('Loading-drum,tote'!$D$31:$D$48))*Impacts!$F$13,IF(('Loading-drum,tote'!$C$21)&lt;&gt;"No control",SUMIF(('Loading-drum,tote'!$B$31:$B$48),$J3641,('Loading-drum,tote'!$E$31:$E$48))*Impacts!$F$13,0)),0)</f>
        <v>0</v>
      </c>
      <c r="R3641" s="10">
        <f>IFERROR(IF(('Loading-truck'!$C$21)="No control",SUMIF(('Loading-truck'!$B$31:$B$48),$J3641,('Loading-truck'!$D$31:$D$48))*Impacts!$F$14,IF(('Loading-truck'!$C$21)&lt;&gt;"No control",SUMIF(('Loading-truck'!$B$31:$B$48),$J3641,('Loading-truck'!$E$31:$E$48))*Impacts!$F$14,0)),0)</f>
        <v>0</v>
      </c>
      <c r="S3641" s="10">
        <f>IFERROR(IF(('Loading-rail'!$C$21)="No control",SUMIF(('Loading-rail'!$B$31:$B$48),$J3641,('Loading-rail'!$D$31:$D$48))*Impacts!$F$15,IF(('Loading-rail'!$C$21)&lt;&gt;"No control",SUMIF(('Loading-rail'!$B$31:$B$48),$J3641,('Loading-rail'!$E$31:$E$48))*Impacts!$F$15,0)),0)</f>
        <v>0</v>
      </c>
      <c r="T3641" s="10">
        <f>IF(Flare!$C$7="",0,(SUMIF(Flare!$B$46:$B$185,$J3641,Flare!$E$46:$E$185)*Impacts!$F$16))</f>
        <v>0</v>
      </c>
      <c r="U3641" s="10">
        <f>IF(VCU!$C$9="",0,(SUMIF(VCU!$B$51:$B$193,$J3641,VCU!$E$51:$E$193)*Impacts!$F$17))</f>
        <v>0</v>
      </c>
      <c r="V3641" s="10">
        <f>IF(CAS!$C$7="",0,(SUMIF(CAS!$B$31:$B$167,$J3641,CAS!$E$31:$E$167)*Impacts!$F$18))</f>
        <v>0</v>
      </c>
      <c r="W3641" s="10">
        <f t="shared" si="97"/>
        <v>0</v>
      </c>
      <c r="AK3641" s="10" t="str">
        <f t="array" ref="AK3641">IFERROR(INDEX(SelectedSpecies,SMALL(IF(SelectedSpecies=AK$1,ROW(SelectedSpecies)),ROW(3642:3642)),2),"")</f>
        <v/>
      </c>
      <c r="BE3641" s="10"/>
      <c r="BI3641" s="10"/>
    </row>
    <row r="3642" spans="1:61" ht="21" customHeight="1" x14ac:dyDescent="0.25">
      <c r="A3642" s="10"/>
      <c r="B3642" s="10"/>
      <c r="E3642" s="10"/>
      <c r="G3642" s="10"/>
      <c r="I3642" s="436" t="s">
        <v>4117</v>
      </c>
      <c r="J3642" s="26" t="s">
        <v>4116</v>
      </c>
      <c r="K3642" s="10">
        <v>5.4</v>
      </c>
      <c r="L3642" s="73">
        <f>IF(Tank1!$C$23="No control",(SUMIF(Tank1!$B$32:$B$49,$J3642,Tank1!$C$32:$C$49)*Impacts!$F$8),0)</f>
        <v>0</v>
      </c>
      <c r="M3642" s="10">
        <f>IF(Tank2!$C$23="No control",(SUMIF(Tank2!$B$32:$B$49,$J3642,Tank2!$C$32:$C$49)*Impacts!$F$9),0)</f>
        <v>0</v>
      </c>
      <c r="N3642" s="10">
        <f>IF(Tank3!$C$23="No control",(SUMIF(Tank3!$B$32:$B$49,$J3642,Tank3!$C$32:$C$49)*Impacts!$F$10),0)</f>
        <v>0</v>
      </c>
      <c r="O3642" s="10">
        <f>IF(Tank4!$C$23="No control",(SUMIF(Tank4!$B$32:$B$49,$J3642,Tank4!$C$32:$C$49)*Impacts!$F$11),0)</f>
        <v>0</v>
      </c>
      <c r="P3642" s="10">
        <f>IF(Tank5!$C$23="No control",(SUMIF(Tank5!$B$32:$B$49,$J3642,Tank5!$C$32:$C$49)*Impacts!$F$12),0)</f>
        <v>0</v>
      </c>
      <c r="Q3642" s="10">
        <f>IFERROR(IF(('Loading-drum,tote'!$C$21)="No control",SUMIF(('Loading-drum,tote'!$B$31:$B$48),$J3642,('Loading-drum,tote'!$D$31:$D$48))*Impacts!$F$13,IF(('Loading-drum,tote'!$C$21)&lt;&gt;"No control",SUMIF(('Loading-drum,tote'!$B$31:$B$48),$J3642,('Loading-drum,tote'!$E$31:$E$48))*Impacts!$F$13,0)),0)</f>
        <v>0</v>
      </c>
      <c r="R3642" s="10">
        <f>IFERROR(IF(('Loading-truck'!$C$21)="No control",SUMIF(('Loading-truck'!$B$31:$B$48),$J3642,('Loading-truck'!$D$31:$D$48))*Impacts!$F$14,IF(('Loading-truck'!$C$21)&lt;&gt;"No control",SUMIF(('Loading-truck'!$B$31:$B$48),$J3642,('Loading-truck'!$E$31:$E$48))*Impacts!$F$14,0)),0)</f>
        <v>0</v>
      </c>
      <c r="S3642" s="10">
        <f>IFERROR(IF(('Loading-rail'!$C$21)="No control",SUMIF(('Loading-rail'!$B$31:$B$48),$J3642,('Loading-rail'!$D$31:$D$48))*Impacts!$F$15,IF(('Loading-rail'!$C$21)&lt;&gt;"No control",SUMIF(('Loading-rail'!$B$31:$B$48),$J3642,('Loading-rail'!$E$31:$E$48))*Impacts!$F$15,0)),0)</f>
        <v>0</v>
      </c>
      <c r="T3642" s="10">
        <f>IF(Flare!$C$7="",0,(SUMIF(Flare!$B$46:$B$185,$J3642,Flare!$E$46:$E$185)*Impacts!$F$16))</f>
        <v>0</v>
      </c>
      <c r="U3642" s="10">
        <f>IF(VCU!$C$9="",0,(SUMIF(VCU!$B$51:$B$193,$J3642,VCU!$E$51:$E$193)*Impacts!$F$17))</f>
        <v>0</v>
      </c>
      <c r="V3642" s="10">
        <f>IF(CAS!$C$7="",0,(SUMIF(CAS!$B$31:$B$167,$J3642,CAS!$E$31:$E$167)*Impacts!$F$18))</f>
        <v>0</v>
      </c>
      <c r="W3642" s="10">
        <f t="shared" si="97"/>
        <v>0</v>
      </c>
      <c r="AK3642" s="10" t="str">
        <f t="array" ref="AK3642">IFERROR(INDEX(SelectedSpecies,SMALL(IF(SelectedSpecies=AK$1,ROW(SelectedSpecies)),ROW(3643:3643)),2),"")</f>
        <v/>
      </c>
      <c r="BE3642" s="10"/>
      <c r="BI3642" s="10"/>
    </row>
    <row r="3643" spans="1:61" ht="21" customHeight="1" x14ac:dyDescent="0.25">
      <c r="A3643" s="10"/>
      <c r="B3643" s="10"/>
      <c r="E3643" s="10"/>
      <c r="G3643" s="10"/>
      <c r="I3643" s="436" t="s">
        <v>7218</v>
      </c>
      <c r="J3643" s="26" t="s">
        <v>7217</v>
      </c>
      <c r="K3643" s="10">
        <v>0.32000000000000006</v>
      </c>
      <c r="L3643" s="73">
        <f>IF(Tank1!$C$23="No control",(SUMIF(Tank1!$B$32:$B$49,$J3643,Tank1!$C$32:$C$49)*Impacts!$F$8),0)</f>
        <v>0</v>
      </c>
      <c r="M3643" s="10">
        <f>IF(Tank2!$C$23="No control",(SUMIF(Tank2!$B$32:$B$49,$J3643,Tank2!$C$32:$C$49)*Impacts!$F$9),0)</f>
        <v>0</v>
      </c>
      <c r="N3643" s="10">
        <f>IF(Tank3!$C$23="No control",(SUMIF(Tank3!$B$32:$B$49,$J3643,Tank3!$C$32:$C$49)*Impacts!$F$10),0)</f>
        <v>0</v>
      </c>
      <c r="O3643" s="10">
        <f>IF(Tank4!$C$23="No control",(SUMIF(Tank4!$B$32:$B$49,$J3643,Tank4!$C$32:$C$49)*Impacts!$F$11),0)</f>
        <v>0</v>
      </c>
      <c r="P3643" s="10">
        <f>IF(Tank5!$C$23="No control",(SUMIF(Tank5!$B$32:$B$49,$J3643,Tank5!$C$32:$C$49)*Impacts!$F$12),0)</f>
        <v>0</v>
      </c>
      <c r="Q3643" s="10">
        <f>IFERROR(IF(('Loading-drum,tote'!$C$21)="No control",SUMIF(('Loading-drum,tote'!$B$31:$B$48),$J3643,('Loading-drum,tote'!$D$31:$D$48))*Impacts!$F$13,IF(('Loading-drum,tote'!$C$21)&lt;&gt;"No control",SUMIF(('Loading-drum,tote'!$B$31:$B$48),$J3643,('Loading-drum,tote'!$E$31:$E$48))*Impacts!$F$13,0)),0)</f>
        <v>0</v>
      </c>
      <c r="R3643" s="10">
        <f>IFERROR(IF(('Loading-truck'!$C$21)="No control",SUMIF(('Loading-truck'!$B$31:$B$48),$J3643,('Loading-truck'!$D$31:$D$48))*Impacts!$F$14,IF(('Loading-truck'!$C$21)&lt;&gt;"No control",SUMIF(('Loading-truck'!$B$31:$B$48),$J3643,('Loading-truck'!$E$31:$E$48))*Impacts!$F$14,0)),0)</f>
        <v>0</v>
      </c>
      <c r="S3643" s="10">
        <f>IFERROR(IF(('Loading-rail'!$C$21)="No control",SUMIF(('Loading-rail'!$B$31:$B$48),$J3643,('Loading-rail'!$D$31:$D$48))*Impacts!$F$15,IF(('Loading-rail'!$C$21)&lt;&gt;"No control",SUMIF(('Loading-rail'!$B$31:$B$48),$J3643,('Loading-rail'!$E$31:$E$48))*Impacts!$F$15,0)),0)</f>
        <v>0</v>
      </c>
      <c r="T3643" s="10">
        <f>IF(Flare!$C$7="",0,(SUMIF(Flare!$B$46:$B$185,$J3643,Flare!$E$46:$E$185)*Impacts!$F$16))</f>
        <v>0</v>
      </c>
      <c r="U3643" s="10">
        <f>IF(VCU!$C$9="",0,(SUMIF(VCU!$B$51:$B$193,$J3643,VCU!$E$51:$E$193)*Impacts!$F$17))</f>
        <v>0</v>
      </c>
      <c r="V3643" s="10">
        <f>IF(CAS!$C$7="",0,(SUMIF(CAS!$B$31:$B$167,$J3643,CAS!$E$31:$E$167)*Impacts!$F$18))</f>
        <v>0</v>
      </c>
      <c r="W3643" s="10">
        <f t="shared" si="97"/>
        <v>0</v>
      </c>
      <c r="AK3643" s="10" t="str">
        <f t="array" ref="AK3643">IFERROR(INDEX(SelectedSpecies,SMALL(IF(SelectedSpecies=AK$1,ROW(SelectedSpecies)),ROW(3644:3644)),2),"")</f>
        <v/>
      </c>
      <c r="BE3643" s="10"/>
      <c r="BI3643" s="10"/>
    </row>
    <row r="3644" spans="1:61" ht="21" customHeight="1" x14ac:dyDescent="0.25">
      <c r="A3644" s="10"/>
      <c r="B3644" s="10"/>
      <c r="E3644" s="10"/>
      <c r="G3644" s="10"/>
      <c r="I3644" s="436" t="s">
        <v>8026</v>
      </c>
      <c r="J3644" s="26" t="s">
        <v>8025</v>
      </c>
      <c r="K3644" s="10">
        <v>2.3000000000000003E-2</v>
      </c>
      <c r="L3644" s="73">
        <f>IF(Tank1!$C$23="No control",(SUMIF(Tank1!$B$32:$B$49,$J3644,Tank1!$C$32:$C$49)*Impacts!$F$8),0)</f>
        <v>0</v>
      </c>
      <c r="M3644" s="10">
        <f>IF(Tank2!$C$23="No control",(SUMIF(Tank2!$B$32:$B$49,$J3644,Tank2!$C$32:$C$49)*Impacts!$F$9),0)</f>
        <v>0</v>
      </c>
      <c r="N3644" s="10">
        <f>IF(Tank3!$C$23="No control",(SUMIF(Tank3!$B$32:$B$49,$J3644,Tank3!$C$32:$C$49)*Impacts!$F$10),0)</f>
        <v>0</v>
      </c>
      <c r="O3644" s="10">
        <f>IF(Tank4!$C$23="No control",(SUMIF(Tank4!$B$32:$B$49,$J3644,Tank4!$C$32:$C$49)*Impacts!$F$11),0)</f>
        <v>0</v>
      </c>
      <c r="P3644" s="10">
        <f>IF(Tank5!$C$23="No control",(SUMIF(Tank5!$B$32:$B$49,$J3644,Tank5!$C$32:$C$49)*Impacts!$F$12),0)</f>
        <v>0</v>
      </c>
      <c r="Q3644" s="10">
        <f>IFERROR(IF(('Loading-drum,tote'!$C$21)="No control",SUMIF(('Loading-drum,tote'!$B$31:$B$48),$J3644,('Loading-drum,tote'!$D$31:$D$48))*Impacts!$F$13,IF(('Loading-drum,tote'!$C$21)&lt;&gt;"No control",SUMIF(('Loading-drum,tote'!$B$31:$B$48),$J3644,('Loading-drum,tote'!$E$31:$E$48))*Impacts!$F$13,0)),0)</f>
        <v>0</v>
      </c>
      <c r="R3644" s="10">
        <f>IFERROR(IF(('Loading-truck'!$C$21)="No control",SUMIF(('Loading-truck'!$B$31:$B$48),$J3644,('Loading-truck'!$D$31:$D$48))*Impacts!$F$14,IF(('Loading-truck'!$C$21)&lt;&gt;"No control",SUMIF(('Loading-truck'!$B$31:$B$48),$J3644,('Loading-truck'!$E$31:$E$48))*Impacts!$F$14,0)),0)</f>
        <v>0</v>
      </c>
      <c r="S3644" s="10">
        <f>IFERROR(IF(('Loading-rail'!$C$21)="No control",SUMIF(('Loading-rail'!$B$31:$B$48),$J3644,('Loading-rail'!$D$31:$D$48))*Impacts!$F$15,IF(('Loading-rail'!$C$21)&lt;&gt;"No control",SUMIF(('Loading-rail'!$B$31:$B$48),$J3644,('Loading-rail'!$E$31:$E$48))*Impacts!$F$15,0)),0)</f>
        <v>0</v>
      </c>
      <c r="T3644" s="10">
        <f>IF(Flare!$C$7="",0,(SUMIF(Flare!$B$46:$B$185,$J3644,Flare!$E$46:$E$185)*Impacts!$F$16))</f>
        <v>0</v>
      </c>
      <c r="U3644" s="10">
        <f>IF(VCU!$C$9="",0,(SUMIF(VCU!$B$51:$B$193,$J3644,VCU!$E$51:$E$193)*Impacts!$F$17))</f>
        <v>0</v>
      </c>
      <c r="V3644" s="10">
        <f>IF(CAS!$C$7="",0,(SUMIF(CAS!$B$31:$B$167,$J3644,CAS!$E$31:$E$167)*Impacts!$F$18))</f>
        <v>0</v>
      </c>
      <c r="W3644" s="10">
        <f t="shared" si="97"/>
        <v>0</v>
      </c>
      <c r="AK3644" s="10" t="str">
        <f t="array" ref="AK3644">IFERROR(INDEX(SelectedSpecies,SMALL(IF(SelectedSpecies=AK$1,ROW(SelectedSpecies)),ROW(3645:3645)),2),"")</f>
        <v/>
      </c>
      <c r="BE3644" s="10"/>
      <c r="BI3644" s="10"/>
    </row>
    <row r="3645" spans="1:61" ht="21" customHeight="1" x14ac:dyDescent="0.25">
      <c r="A3645" s="10"/>
      <c r="B3645" s="10"/>
      <c r="E3645" s="10"/>
      <c r="G3645" s="10"/>
      <c r="I3645" s="436" t="s">
        <v>2625</v>
      </c>
      <c r="J3645" s="26" t="s">
        <v>2624</v>
      </c>
      <c r="K3645" s="10">
        <v>10</v>
      </c>
      <c r="L3645" s="73">
        <f>IF(Tank1!$C$23="No control",(SUMIF(Tank1!$B$32:$B$49,$J3645,Tank1!$C$32:$C$49)*Impacts!$F$8),0)</f>
        <v>0</v>
      </c>
      <c r="M3645" s="10">
        <f>IF(Tank2!$C$23="No control",(SUMIF(Tank2!$B$32:$B$49,$J3645,Tank2!$C$32:$C$49)*Impacts!$F$9),0)</f>
        <v>0</v>
      </c>
      <c r="N3645" s="10">
        <f>IF(Tank3!$C$23="No control",(SUMIF(Tank3!$B$32:$B$49,$J3645,Tank3!$C$32:$C$49)*Impacts!$F$10),0)</f>
        <v>0</v>
      </c>
      <c r="O3645" s="10">
        <f>IF(Tank4!$C$23="No control",(SUMIF(Tank4!$B$32:$B$49,$J3645,Tank4!$C$32:$C$49)*Impacts!$F$11),0)</f>
        <v>0</v>
      </c>
      <c r="P3645" s="10">
        <f>IF(Tank5!$C$23="No control",(SUMIF(Tank5!$B$32:$B$49,$J3645,Tank5!$C$32:$C$49)*Impacts!$F$12),0)</f>
        <v>0</v>
      </c>
      <c r="Q3645" s="10">
        <f>IFERROR(IF(('Loading-drum,tote'!$C$21)="No control",SUMIF(('Loading-drum,tote'!$B$31:$B$48),$J3645,('Loading-drum,tote'!$D$31:$D$48))*Impacts!$F$13,IF(('Loading-drum,tote'!$C$21)&lt;&gt;"No control",SUMIF(('Loading-drum,tote'!$B$31:$B$48),$J3645,('Loading-drum,tote'!$E$31:$E$48))*Impacts!$F$13,0)),0)</f>
        <v>0</v>
      </c>
      <c r="R3645" s="10">
        <f>IFERROR(IF(('Loading-truck'!$C$21)="No control",SUMIF(('Loading-truck'!$B$31:$B$48),$J3645,('Loading-truck'!$D$31:$D$48))*Impacts!$F$14,IF(('Loading-truck'!$C$21)&lt;&gt;"No control",SUMIF(('Loading-truck'!$B$31:$B$48),$J3645,('Loading-truck'!$E$31:$E$48))*Impacts!$F$14,0)),0)</f>
        <v>0</v>
      </c>
      <c r="S3645" s="10">
        <f>IFERROR(IF(('Loading-rail'!$C$21)="No control",SUMIF(('Loading-rail'!$B$31:$B$48),$J3645,('Loading-rail'!$D$31:$D$48))*Impacts!$F$15,IF(('Loading-rail'!$C$21)&lt;&gt;"No control",SUMIF(('Loading-rail'!$B$31:$B$48),$J3645,('Loading-rail'!$E$31:$E$48))*Impacts!$F$15,0)),0)</f>
        <v>0</v>
      </c>
      <c r="T3645" s="10">
        <f>IF(Flare!$C$7="",0,(SUMIF(Flare!$B$46:$B$185,$J3645,Flare!$E$46:$E$185)*Impacts!$F$16))</f>
        <v>0</v>
      </c>
      <c r="U3645" s="10">
        <f>IF(VCU!$C$9="",0,(SUMIF(VCU!$B$51:$B$193,$J3645,VCU!$E$51:$E$193)*Impacts!$F$17))</f>
        <v>0</v>
      </c>
      <c r="V3645" s="10">
        <f>IF(CAS!$C$7="",0,(SUMIF(CAS!$B$31:$B$167,$J3645,CAS!$E$31:$E$167)*Impacts!$F$18))</f>
        <v>0</v>
      </c>
      <c r="W3645" s="10">
        <f t="shared" si="97"/>
        <v>0</v>
      </c>
      <c r="AK3645" s="10" t="str">
        <f t="array" ref="AK3645">IFERROR(INDEX(SelectedSpecies,SMALL(IF(SelectedSpecies=AK$1,ROW(SelectedSpecies)),ROW(3646:3646)),2),"")</f>
        <v/>
      </c>
      <c r="BE3645" s="10"/>
      <c r="BI3645" s="10"/>
    </row>
    <row r="3646" spans="1:61" ht="21" customHeight="1" x14ac:dyDescent="0.25">
      <c r="A3646" s="10"/>
      <c r="B3646" s="10"/>
      <c r="E3646" s="10"/>
      <c r="G3646" s="10"/>
      <c r="I3646" s="436" t="s">
        <v>8284</v>
      </c>
      <c r="J3646" s="26" t="s">
        <v>8283</v>
      </c>
      <c r="K3646" s="10">
        <v>3.0000000000000001E-3</v>
      </c>
      <c r="L3646" s="73">
        <f>IF(Tank1!$C$23="No control",(SUMIF(Tank1!$B$32:$B$49,$J3646,Tank1!$C$32:$C$49)*Impacts!$F$8),0)</f>
        <v>0</v>
      </c>
      <c r="M3646" s="10">
        <f>IF(Tank2!$C$23="No control",(SUMIF(Tank2!$B$32:$B$49,$J3646,Tank2!$C$32:$C$49)*Impacts!$F$9),0)</f>
        <v>0</v>
      </c>
      <c r="N3646" s="10">
        <f>IF(Tank3!$C$23="No control",(SUMIF(Tank3!$B$32:$B$49,$J3646,Tank3!$C$32:$C$49)*Impacts!$F$10),0)</f>
        <v>0</v>
      </c>
      <c r="O3646" s="10">
        <f>IF(Tank4!$C$23="No control",(SUMIF(Tank4!$B$32:$B$49,$J3646,Tank4!$C$32:$C$49)*Impacts!$F$11),0)</f>
        <v>0</v>
      </c>
      <c r="P3646" s="10">
        <f>IF(Tank5!$C$23="No control",(SUMIF(Tank5!$B$32:$B$49,$J3646,Tank5!$C$32:$C$49)*Impacts!$F$12),0)</f>
        <v>0</v>
      </c>
      <c r="Q3646" s="10">
        <f>IFERROR(IF(('Loading-drum,tote'!$C$21)="No control",SUMIF(('Loading-drum,tote'!$B$31:$B$48),$J3646,('Loading-drum,tote'!$D$31:$D$48))*Impacts!$F$13,IF(('Loading-drum,tote'!$C$21)&lt;&gt;"No control",SUMIF(('Loading-drum,tote'!$B$31:$B$48),$J3646,('Loading-drum,tote'!$E$31:$E$48))*Impacts!$F$13,0)),0)</f>
        <v>0</v>
      </c>
      <c r="R3646" s="10">
        <f>IFERROR(IF(('Loading-truck'!$C$21)="No control",SUMIF(('Loading-truck'!$B$31:$B$48),$J3646,('Loading-truck'!$D$31:$D$48))*Impacts!$F$14,IF(('Loading-truck'!$C$21)&lt;&gt;"No control",SUMIF(('Loading-truck'!$B$31:$B$48),$J3646,('Loading-truck'!$E$31:$E$48))*Impacts!$F$14,0)),0)</f>
        <v>0</v>
      </c>
      <c r="S3646" s="10">
        <f>IFERROR(IF(('Loading-rail'!$C$21)="No control",SUMIF(('Loading-rail'!$B$31:$B$48),$J3646,('Loading-rail'!$D$31:$D$48))*Impacts!$F$15,IF(('Loading-rail'!$C$21)&lt;&gt;"No control",SUMIF(('Loading-rail'!$B$31:$B$48),$J3646,('Loading-rail'!$E$31:$E$48))*Impacts!$F$15,0)),0)</f>
        <v>0</v>
      </c>
      <c r="T3646" s="10">
        <f>IF(Flare!$C$7="",0,(SUMIF(Flare!$B$46:$B$185,$J3646,Flare!$E$46:$E$185)*Impacts!$F$16))</f>
        <v>0</v>
      </c>
      <c r="U3646" s="10">
        <f>IF(VCU!$C$9="",0,(SUMIF(VCU!$B$51:$B$193,$J3646,VCU!$E$51:$E$193)*Impacts!$F$17))</f>
        <v>0</v>
      </c>
      <c r="V3646" s="10">
        <f>IF(CAS!$C$7="",0,(SUMIF(CAS!$B$31:$B$167,$J3646,CAS!$E$31:$E$167)*Impacts!$F$18))</f>
        <v>0</v>
      </c>
      <c r="W3646" s="10">
        <f t="shared" si="97"/>
        <v>0</v>
      </c>
      <c r="AK3646" s="10" t="str">
        <f t="array" ref="AK3646">IFERROR(INDEX(SelectedSpecies,SMALL(IF(SelectedSpecies=AK$1,ROW(SelectedSpecies)),ROW(3647:3647)),2),"")</f>
        <v/>
      </c>
      <c r="BE3646" s="10"/>
      <c r="BI3646" s="10"/>
    </row>
    <row r="3647" spans="1:61" ht="21" customHeight="1" x14ac:dyDescent="0.25">
      <c r="A3647" s="10"/>
      <c r="B3647" s="10"/>
      <c r="E3647" s="10"/>
      <c r="G3647" s="10"/>
      <c r="I3647" s="436" t="s">
        <v>4991</v>
      </c>
      <c r="J3647" s="26" t="s">
        <v>4990</v>
      </c>
      <c r="K3647" s="10">
        <v>2.5</v>
      </c>
      <c r="L3647" s="73">
        <f>IF(Tank1!$C$23="No control",(SUMIF(Tank1!$B$32:$B$49,$J3647,Tank1!$C$32:$C$49)*Impacts!$F$8),0)</f>
        <v>0</v>
      </c>
      <c r="M3647" s="10">
        <f>IF(Tank2!$C$23="No control",(SUMIF(Tank2!$B$32:$B$49,$J3647,Tank2!$C$32:$C$49)*Impacts!$F$9),0)</f>
        <v>0</v>
      </c>
      <c r="N3647" s="10">
        <f>IF(Tank3!$C$23="No control",(SUMIF(Tank3!$B$32:$B$49,$J3647,Tank3!$C$32:$C$49)*Impacts!$F$10),0)</f>
        <v>0</v>
      </c>
      <c r="O3647" s="10">
        <f>IF(Tank4!$C$23="No control",(SUMIF(Tank4!$B$32:$B$49,$J3647,Tank4!$C$32:$C$49)*Impacts!$F$11),0)</f>
        <v>0</v>
      </c>
      <c r="P3647" s="10">
        <f>IF(Tank5!$C$23="No control",(SUMIF(Tank5!$B$32:$B$49,$J3647,Tank5!$C$32:$C$49)*Impacts!$F$12),0)</f>
        <v>0</v>
      </c>
      <c r="Q3647" s="10">
        <f>IFERROR(IF(('Loading-drum,tote'!$C$21)="No control",SUMIF(('Loading-drum,tote'!$B$31:$B$48),$J3647,('Loading-drum,tote'!$D$31:$D$48))*Impacts!$F$13,IF(('Loading-drum,tote'!$C$21)&lt;&gt;"No control",SUMIF(('Loading-drum,tote'!$B$31:$B$48),$J3647,('Loading-drum,tote'!$E$31:$E$48))*Impacts!$F$13,0)),0)</f>
        <v>0</v>
      </c>
      <c r="R3647" s="10">
        <f>IFERROR(IF(('Loading-truck'!$C$21)="No control",SUMIF(('Loading-truck'!$B$31:$B$48),$J3647,('Loading-truck'!$D$31:$D$48))*Impacts!$F$14,IF(('Loading-truck'!$C$21)&lt;&gt;"No control",SUMIF(('Loading-truck'!$B$31:$B$48),$J3647,('Loading-truck'!$E$31:$E$48))*Impacts!$F$14,0)),0)</f>
        <v>0</v>
      </c>
      <c r="S3647" s="10">
        <f>IFERROR(IF(('Loading-rail'!$C$21)="No control",SUMIF(('Loading-rail'!$B$31:$B$48),$J3647,('Loading-rail'!$D$31:$D$48))*Impacts!$F$15,IF(('Loading-rail'!$C$21)&lt;&gt;"No control",SUMIF(('Loading-rail'!$B$31:$B$48),$J3647,('Loading-rail'!$E$31:$E$48))*Impacts!$F$15,0)),0)</f>
        <v>0</v>
      </c>
      <c r="T3647" s="10">
        <f>IF(Flare!$C$7="",0,(SUMIF(Flare!$B$46:$B$185,$J3647,Flare!$E$46:$E$185)*Impacts!$F$16))</f>
        <v>0</v>
      </c>
      <c r="U3647" s="10">
        <f>IF(VCU!$C$9="",0,(SUMIF(VCU!$B$51:$B$193,$J3647,VCU!$E$51:$E$193)*Impacts!$F$17))</f>
        <v>0</v>
      </c>
      <c r="V3647" s="10">
        <f>IF(CAS!$C$7="",0,(SUMIF(CAS!$B$31:$B$167,$J3647,CAS!$E$31:$E$167)*Impacts!$F$18))</f>
        <v>0</v>
      </c>
      <c r="W3647" s="10">
        <f t="shared" si="97"/>
        <v>0</v>
      </c>
      <c r="AK3647" s="10" t="str">
        <f t="array" ref="AK3647">IFERROR(INDEX(SelectedSpecies,SMALL(IF(SelectedSpecies=AK$1,ROW(SelectedSpecies)),ROW(3648:3648)),2),"")</f>
        <v/>
      </c>
      <c r="BE3647" s="10"/>
      <c r="BI3647" s="10"/>
    </row>
    <row r="3648" spans="1:61" ht="21" customHeight="1" x14ac:dyDescent="0.25">
      <c r="A3648" s="10"/>
      <c r="B3648" s="10"/>
      <c r="E3648" s="10"/>
      <c r="G3648" s="10"/>
      <c r="I3648" s="436" t="s">
        <v>4831</v>
      </c>
      <c r="J3648" s="26" t="s">
        <v>4830</v>
      </c>
      <c r="K3648" s="10">
        <v>3</v>
      </c>
      <c r="L3648" s="73">
        <f>IF(Tank1!$C$23="No control",(SUMIF(Tank1!$B$32:$B$49,$J3648,Tank1!$C$32:$C$49)*Impacts!$F$8),0)</f>
        <v>0</v>
      </c>
      <c r="M3648" s="10">
        <f>IF(Tank2!$C$23="No control",(SUMIF(Tank2!$B$32:$B$49,$J3648,Tank2!$C$32:$C$49)*Impacts!$F$9),0)</f>
        <v>0</v>
      </c>
      <c r="N3648" s="10">
        <f>IF(Tank3!$C$23="No control",(SUMIF(Tank3!$B$32:$B$49,$J3648,Tank3!$C$32:$C$49)*Impacts!$F$10),0)</f>
        <v>0</v>
      </c>
      <c r="O3648" s="10">
        <f>IF(Tank4!$C$23="No control",(SUMIF(Tank4!$B$32:$B$49,$J3648,Tank4!$C$32:$C$49)*Impacts!$F$11),0)</f>
        <v>0</v>
      </c>
      <c r="P3648" s="10">
        <f>IF(Tank5!$C$23="No control",(SUMIF(Tank5!$B$32:$B$49,$J3648,Tank5!$C$32:$C$49)*Impacts!$F$12),0)</f>
        <v>0</v>
      </c>
      <c r="Q3648" s="10">
        <f>IFERROR(IF(('Loading-drum,tote'!$C$21)="No control",SUMIF(('Loading-drum,tote'!$B$31:$B$48),$J3648,('Loading-drum,tote'!$D$31:$D$48))*Impacts!$F$13,IF(('Loading-drum,tote'!$C$21)&lt;&gt;"No control",SUMIF(('Loading-drum,tote'!$B$31:$B$48),$J3648,('Loading-drum,tote'!$E$31:$E$48))*Impacts!$F$13,0)),0)</f>
        <v>0</v>
      </c>
      <c r="R3648" s="10">
        <f>IFERROR(IF(('Loading-truck'!$C$21)="No control",SUMIF(('Loading-truck'!$B$31:$B$48),$J3648,('Loading-truck'!$D$31:$D$48))*Impacts!$F$14,IF(('Loading-truck'!$C$21)&lt;&gt;"No control",SUMIF(('Loading-truck'!$B$31:$B$48),$J3648,('Loading-truck'!$E$31:$E$48))*Impacts!$F$14,0)),0)</f>
        <v>0</v>
      </c>
      <c r="S3648" s="10">
        <f>IFERROR(IF(('Loading-rail'!$C$21)="No control",SUMIF(('Loading-rail'!$B$31:$B$48),$J3648,('Loading-rail'!$D$31:$D$48))*Impacts!$F$15,IF(('Loading-rail'!$C$21)&lt;&gt;"No control",SUMIF(('Loading-rail'!$B$31:$B$48),$J3648,('Loading-rail'!$E$31:$E$48))*Impacts!$F$15,0)),0)</f>
        <v>0</v>
      </c>
      <c r="T3648" s="10">
        <f>IF(Flare!$C$7="",0,(SUMIF(Flare!$B$46:$B$185,$J3648,Flare!$E$46:$E$185)*Impacts!$F$16))</f>
        <v>0</v>
      </c>
      <c r="U3648" s="10">
        <f>IF(VCU!$C$9="",0,(SUMIF(VCU!$B$51:$B$193,$J3648,VCU!$E$51:$E$193)*Impacts!$F$17))</f>
        <v>0</v>
      </c>
      <c r="V3648" s="10">
        <f>IF(CAS!$C$7="",0,(SUMIF(CAS!$B$31:$B$167,$J3648,CAS!$E$31:$E$167)*Impacts!$F$18))</f>
        <v>0</v>
      </c>
      <c r="W3648" s="10">
        <f t="shared" si="97"/>
        <v>0</v>
      </c>
      <c r="AK3648" s="10" t="str">
        <f t="array" ref="AK3648">IFERROR(INDEX(SelectedSpecies,SMALL(IF(SelectedSpecies=AK$1,ROW(SelectedSpecies)),ROW(3649:3649)),2),"")</f>
        <v/>
      </c>
      <c r="BE3648" s="10"/>
      <c r="BI3648" s="10"/>
    </row>
    <row r="3649" spans="1:61" ht="21" customHeight="1" x14ac:dyDescent="0.25">
      <c r="A3649" s="10"/>
      <c r="B3649" s="10"/>
      <c r="E3649" s="10"/>
      <c r="G3649" s="10"/>
      <c r="I3649" s="436" t="s">
        <v>6656</v>
      </c>
      <c r="J3649" s="26" t="s">
        <v>6655</v>
      </c>
      <c r="K3649" s="10">
        <v>0.60000000000000009</v>
      </c>
      <c r="L3649" s="73">
        <f>IF(Tank1!$C$23="No control",(SUMIF(Tank1!$B$32:$B$49,$J3649,Tank1!$C$32:$C$49)*Impacts!$F$8),0)</f>
        <v>0</v>
      </c>
      <c r="M3649" s="10">
        <f>IF(Tank2!$C$23="No control",(SUMIF(Tank2!$B$32:$B$49,$J3649,Tank2!$C$32:$C$49)*Impacts!$F$9),0)</f>
        <v>0</v>
      </c>
      <c r="N3649" s="10">
        <f>IF(Tank3!$C$23="No control",(SUMIF(Tank3!$B$32:$B$49,$J3649,Tank3!$C$32:$C$49)*Impacts!$F$10),0)</f>
        <v>0</v>
      </c>
      <c r="O3649" s="10">
        <f>IF(Tank4!$C$23="No control",(SUMIF(Tank4!$B$32:$B$49,$J3649,Tank4!$C$32:$C$49)*Impacts!$F$11),0)</f>
        <v>0</v>
      </c>
      <c r="P3649" s="10">
        <f>IF(Tank5!$C$23="No control",(SUMIF(Tank5!$B$32:$B$49,$J3649,Tank5!$C$32:$C$49)*Impacts!$F$12),0)</f>
        <v>0</v>
      </c>
      <c r="Q3649" s="10">
        <f>IFERROR(IF(('Loading-drum,tote'!$C$21)="No control",SUMIF(('Loading-drum,tote'!$B$31:$B$48),$J3649,('Loading-drum,tote'!$D$31:$D$48))*Impacts!$F$13,IF(('Loading-drum,tote'!$C$21)&lt;&gt;"No control",SUMIF(('Loading-drum,tote'!$B$31:$B$48),$J3649,('Loading-drum,tote'!$E$31:$E$48))*Impacts!$F$13,0)),0)</f>
        <v>0</v>
      </c>
      <c r="R3649" s="10">
        <f>IFERROR(IF(('Loading-truck'!$C$21)="No control",SUMIF(('Loading-truck'!$B$31:$B$48),$J3649,('Loading-truck'!$D$31:$D$48))*Impacts!$F$14,IF(('Loading-truck'!$C$21)&lt;&gt;"No control",SUMIF(('Loading-truck'!$B$31:$B$48),$J3649,('Loading-truck'!$E$31:$E$48))*Impacts!$F$14,0)),0)</f>
        <v>0</v>
      </c>
      <c r="S3649" s="10">
        <f>IFERROR(IF(('Loading-rail'!$C$21)="No control",SUMIF(('Loading-rail'!$B$31:$B$48),$J3649,('Loading-rail'!$D$31:$D$48))*Impacts!$F$15,IF(('Loading-rail'!$C$21)&lt;&gt;"No control",SUMIF(('Loading-rail'!$B$31:$B$48),$J3649,('Loading-rail'!$E$31:$E$48))*Impacts!$F$15,0)),0)</f>
        <v>0</v>
      </c>
      <c r="T3649" s="10">
        <f>IF(Flare!$C$7="",0,(SUMIF(Flare!$B$46:$B$185,$J3649,Flare!$E$46:$E$185)*Impacts!$F$16))</f>
        <v>0</v>
      </c>
      <c r="U3649" s="10">
        <f>IF(VCU!$C$9="",0,(SUMIF(VCU!$B$51:$B$193,$J3649,VCU!$E$51:$E$193)*Impacts!$F$17))</f>
        <v>0</v>
      </c>
      <c r="V3649" s="10">
        <f>IF(CAS!$C$7="",0,(SUMIF(CAS!$B$31:$B$167,$J3649,CAS!$E$31:$E$167)*Impacts!$F$18))</f>
        <v>0</v>
      </c>
      <c r="W3649" s="10">
        <f t="shared" si="97"/>
        <v>0</v>
      </c>
      <c r="AK3649" s="10" t="str">
        <f t="array" ref="AK3649">IFERROR(INDEX(SelectedSpecies,SMALL(IF(SelectedSpecies=AK$1,ROW(SelectedSpecies)),ROW(3650:3650)),2),"")</f>
        <v/>
      </c>
      <c r="BE3649" s="10"/>
      <c r="BI3649" s="10"/>
    </row>
    <row r="3650" spans="1:61" ht="21" customHeight="1" x14ac:dyDescent="0.25">
      <c r="A3650" s="10"/>
      <c r="B3650" s="10"/>
      <c r="E3650" s="10"/>
      <c r="G3650" s="10"/>
      <c r="I3650" s="436" t="s">
        <v>7554</v>
      </c>
      <c r="J3650" s="26" t="s">
        <v>7553</v>
      </c>
      <c r="K3650" s="10">
        <v>0.2</v>
      </c>
      <c r="L3650" s="73">
        <f>IF(Tank1!$C$23="No control",(SUMIF(Tank1!$B$32:$B$49,$J3650,Tank1!$C$32:$C$49)*Impacts!$F$8),0)</f>
        <v>0</v>
      </c>
      <c r="M3650" s="10">
        <f>IF(Tank2!$C$23="No control",(SUMIF(Tank2!$B$32:$B$49,$J3650,Tank2!$C$32:$C$49)*Impacts!$F$9),0)</f>
        <v>0</v>
      </c>
      <c r="N3650" s="10">
        <f>IF(Tank3!$C$23="No control",(SUMIF(Tank3!$B$32:$B$49,$J3650,Tank3!$C$32:$C$49)*Impacts!$F$10),0)</f>
        <v>0</v>
      </c>
      <c r="O3650" s="10">
        <f>IF(Tank4!$C$23="No control",(SUMIF(Tank4!$B$32:$B$49,$J3650,Tank4!$C$32:$C$49)*Impacts!$F$11),0)</f>
        <v>0</v>
      </c>
      <c r="P3650" s="10">
        <f>IF(Tank5!$C$23="No control",(SUMIF(Tank5!$B$32:$B$49,$J3650,Tank5!$C$32:$C$49)*Impacts!$F$12),0)</f>
        <v>0</v>
      </c>
      <c r="Q3650" s="10">
        <f>IFERROR(IF(('Loading-drum,tote'!$C$21)="No control",SUMIF(('Loading-drum,tote'!$B$31:$B$48),$J3650,('Loading-drum,tote'!$D$31:$D$48))*Impacts!$F$13,IF(('Loading-drum,tote'!$C$21)&lt;&gt;"No control",SUMIF(('Loading-drum,tote'!$B$31:$B$48),$J3650,('Loading-drum,tote'!$E$31:$E$48))*Impacts!$F$13,0)),0)</f>
        <v>0</v>
      </c>
      <c r="R3650" s="10">
        <f>IFERROR(IF(('Loading-truck'!$C$21)="No control",SUMIF(('Loading-truck'!$B$31:$B$48),$J3650,('Loading-truck'!$D$31:$D$48))*Impacts!$F$14,IF(('Loading-truck'!$C$21)&lt;&gt;"No control",SUMIF(('Loading-truck'!$B$31:$B$48),$J3650,('Loading-truck'!$E$31:$E$48))*Impacts!$F$14,0)),0)</f>
        <v>0</v>
      </c>
      <c r="S3650" s="10">
        <f>IFERROR(IF(('Loading-rail'!$C$21)="No control",SUMIF(('Loading-rail'!$B$31:$B$48),$J3650,('Loading-rail'!$D$31:$D$48))*Impacts!$F$15,IF(('Loading-rail'!$C$21)&lt;&gt;"No control",SUMIF(('Loading-rail'!$B$31:$B$48),$J3650,('Loading-rail'!$E$31:$E$48))*Impacts!$F$15,0)),0)</f>
        <v>0</v>
      </c>
      <c r="T3650" s="10">
        <f>IF(Flare!$C$7="",0,(SUMIF(Flare!$B$46:$B$185,$J3650,Flare!$E$46:$E$185)*Impacts!$F$16))</f>
        <v>0</v>
      </c>
      <c r="U3650" s="10">
        <f>IF(VCU!$C$9="",0,(SUMIF(VCU!$B$51:$B$193,$J3650,VCU!$E$51:$E$193)*Impacts!$F$17))</f>
        <v>0</v>
      </c>
      <c r="V3650" s="10">
        <f>IF(CAS!$C$7="",0,(SUMIF(CAS!$B$31:$B$167,$J3650,CAS!$E$31:$E$167)*Impacts!$F$18))</f>
        <v>0</v>
      </c>
      <c r="W3650" s="10">
        <f t="shared" si="97"/>
        <v>0</v>
      </c>
      <c r="AK3650" s="10" t="str">
        <f t="array" ref="AK3650">IFERROR(INDEX(SelectedSpecies,SMALL(IF(SelectedSpecies=AK$1,ROW(SelectedSpecies)),ROW(3651:3651)),2),"")</f>
        <v/>
      </c>
      <c r="BE3650" s="10"/>
      <c r="BI3650" s="10"/>
    </row>
    <row r="3651" spans="1:61" ht="21" customHeight="1" x14ac:dyDescent="0.25">
      <c r="A3651" s="10"/>
      <c r="B3651" s="10"/>
      <c r="E3651" s="10"/>
      <c r="G3651" s="10"/>
      <c r="I3651" s="436" t="s">
        <v>4993</v>
      </c>
      <c r="J3651" s="26" t="s">
        <v>4992</v>
      </c>
      <c r="K3651" s="10">
        <v>2.5</v>
      </c>
      <c r="L3651" s="73">
        <f>IF(Tank1!$C$23="No control",(SUMIF(Tank1!$B$32:$B$49,$J3651,Tank1!$C$32:$C$49)*Impacts!$F$8),0)</f>
        <v>0</v>
      </c>
      <c r="M3651" s="10">
        <f>IF(Tank2!$C$23="No control",(SUMIF(Tank2!$B$32:$B$49,$J3651,Tank2!$C$32:$C$49)*Impacts!$F$9),0)</f>
        <v>0</v>
      </c>
      <c r="N3651" s="10">
        <f>IF(Tank3!$C$23="No control",(SUMIF(Tank3!$B$32:$B$49,$J3651,Tank3!$C$32:$C$49)*Impacts!$F$10),0)</f>
        <v>0</v>
      </c>
      <c r="O3651" s="10">
        <f>IF(Tank4!$C$23="No control",(SUMIF(Tank4!$B$32:$B$49,$J3651,Tank4!$C$32:$C$49)*Impacts!$F$11),0)</f>
        <v>0</v>
      </c>
      <c r="P3651" s="10">
        <f>IF(Tank5!$C$23="No control",(SUMIF(Tank5!$B$32:$B$49,$J3651,Tank5!$C$32:$C$49)*Impacts!$F$12),0)</f>
        <v>0</v>
      </c>
      <c r="Q3651" s="10">
        <f>IFERROR(IF(('Loading-drum,tote'!$C$21)="No control",SUMIF(('Loading-drum,tote'!$B$31:$B$48),$J3651,('Loading-drum,tote'!$D$31:$D$48))*Impacts!$F$13,IF(('Loading-drum,tote'!$C$21)&lt;&gt;"No control",SUMIF(('Loading-drum,tote'!$B$31:$B$48),$J3651,('Loading-drum,tote'!$E$31:$E$48))*Impacts!$F$13,0)),0)</f>
        <v>0</v>
      </c>
      <c r="R3651" s="10">
        <f>IFERROR(IF(('Loading-truck'!$C$21)="No control",SUMIF(('Loading-truck'!$B$31:$B$48),$J3651,('Loading-truck'!$D$31:$D$48))*Impacts!$F$14,IF(('Loading-truck'!$C$21)&lt;&gt;"No control",SUMIF(('Loading-truck'!$B$31:$B$48),$J3651,('Loading-truck'!$E$31:$E$48))*Impacts!$F$14,0)),0)</f>
        <v>0</v>
      </c>
      <c r="S3651" s="10">
        <f>IFERROR(IF(('Loading-rail'!$C$21)="No control",SUMIF(('Loading-rail'!$B$31:$B$48),$J3651,('Loading-rail'!$D$31:$D$48))*Impacts!$F$15,IF(('Loading-rail'!$C$21)&lt;&gt;"No control",SUMIF(('Loading-rail'!$B$31:$B$48),$J3651,('Loading-rail'!$E$31:$E$48))*Impacts!$F$15,0)),0)</f>
        <v>0</v>
      </c>
      <c r="T3651" s="10">
        <f>IF(Flare!$C$7="",0,(SUMIF(Flare!$B$46:$B$185,$J3651,Flare!$E$46:$E$185)*Impacts!$F$16))</f>
        <v>0</v>
      </c>
      <c r="U3651" s="10">
        <f>IF(VCU!$C$9="",0,(SUMIF(VCU!$B$51:$B$193,$J3651,VCU!$E$51:$E$193)*Impacts!$F$17))</f>
        <v>0</v>
      </c>
      <c r="V3651" s="10">
        <f>IF(CAS!$C$7="",0,(SUMIF(CAS!$B$31:$B$167,$J3651,CAS!$E$31:$E$167)*Impacts!$F$18))</f>
        <v>0</v>
      </c>
      <c r="W3651" s="10">
        <f t="shared" si="97"/>
        <v>0</v>
      </c>
      <c r="AK3651" s="10" t="str">
        <f t="array" ref="AK3651">IFERROR(INDEX(SelectedSpecies,SMALL(IF(SelectedSpecies=AK$1,ROW(SelectedSpecies)),ROW(3652:3652)),2),"")</f>
        <v/>
      </c>
      <c r="BE3651" s="10"/>
      <c r="BI3651" s="10"/>
    </row>
    <row r="3652" spans="1:61" ht="21" customHeight="1" x14ac:dyDescent="0.25">
      <c r="A3652" s="10"/>
      <c r="B3652" s="10"/>
      <c r="E3652" s="10"/>
      <c r="G3652" s="10"/>
      <c r="I3652" s="436" t="s">
        <v>4695</v>
      </c>
      <c r="J3652" s="26" t="s">
        <v>4694</v>
      </c>
      <c r="K3652" s="10">
        <v>3.6</v>
      </c>
      <c r="L3652" s="73">
        <f>IF(Tank1!$C$23="No control",(SUMIF(Tank1!$B$32:$B$49,$J3652,Tank1!$C$32:$C$49)*Impacts!$F$8),0)</f>
        <v>0</v>
      </c>
      <c r="M3652" s="10">
        <f>IF(Tank2!$C$23="No control",(SUMIF(Tank2!$B$32:$B$49,$J3652,Tank2!$C$32:$C$49)*Impacts!$F$9),0)</f>
        <v>0</v>
      </c>
      <c r="N3652" s="10">
        <f>IF(Tank3!$C$23="No control",(SUMIF(Tank3!$B$32:$B$49,$J3652,Tank3!$C$32:$C$49)*Impacts!$F$10),0)</f>
        <v>0</v>
      </c>
      <c r="O3652" s="10">
        <f>IF(Tank4!$C$23="No control",(SUMIF(Tank4!$B$32:$B$49,$J3652,Tank4!$C$32:$C$49)*Impacts!$F$11),0)</f>
        <v>0</v>
      </c>
      <c r="P3652" s="10">
        <f>IF(Tank5!$C$23="No control",(SUMIF(Tank5!$B$32:$B$49,$J3652,Tank5!$C$32:$C$49)*Impacts!$F$12),0)</f>
        <v>0</v>
      </c>
      <c r="Q3652" s="10">
        <f>IFERROR(IF(('Loading-drum,tote'!$C$21)="No control",SUMIF(('Loading-drum,tote'!$B$31:$B$48),$J3652,('Loading-drum,tote'!$D$31:$D$48))*Impacts!$F$13,IF(('Loading-drum,tote'!$C$21)&lt;&gt;"No control",SUMIF(('Loading-drum,tote'!$B$31:$B$48),$J3652,('Loading-drum,tote'!$E$31:$E$48))*Impacts!$F$13,0)),0)</f>
        <v>0</v>
      </c>
      <c r="R3652" s="10">
        <f>IFERROR(IF(('Loading-truck'!$C$21)="No control",SUMIF(('Loading-truck'!$B$31:$B$48),$J3652,('Loading-truck'!$D$31:$D$48))*Impacts!$F$14,IF(('Loading-truck'!$C$21)&lt;&gt;"No control",SUMIF(('Loading-truck'!$B$31:$B$48),$J3652,('Loading-truck'!$E$31:$E$48))*Impacts!$F$14,0)),0)</f>
        <v>0</v>
      </c>
      <c r="S3652" s="10">
        <f>IFERROR(IF(('Loading-rail'!$C$21)="No control",SUMIF(('Loading-rail'!$B$31:$B$48),$J3652,('Loading-rail'!$D$31:$D$48))*Impacts!$F$15,IF(('Loading-rail'!$C$21)&lt;&gt;"No control",SUMIF(('Loading-rail'!$B$31:$B$48),$J3652,('Loading-rail'!$E$31:$E$48))*Impacts!$F$15,0)),0)</f>
        <v>0</v>
      </c>
      <c r="T3652" s="10">
        <f>IF(Flare!$C$7="",0,(SUMIF(Flare!$B$46:$B$185,$J3652,Flare!$E$46:$E$185)*Impacts!$F$16))</f>
        <v>0</v>
      </c>
      <c r="U3652" s="10">
        <f>IF(VCU!$C$9="",0,(SUMIF(VCU!$B$51:$B$193,$J3652,VCU!$E$51:$E$193)*Impacts!$F$17))</f>
        <v>0</v>
      </c>
      <c r="V3652" s="10">
        <f>IF(CAS!$C$7="",0,(SUMIF(CAS!$B$31:$B$167,$J3652,CAS!$E$31:$E$167)*Impacts!$F$18))</f>
        <v>0</v>
      </c>
      <c r="W3652" s="10">
        <f t="shared" si="97"/>
        <v>0</v>
      </c>
      <c r="AK3652" s="10" t="str">
        <f t="array" ref="AK3652">IFERROR(INDEX(SelectedSpecies,SMALL(IF(SelectedSpecies=AK$1,ROW(SelectedSpecies)),ROW(3653:3653)),2),"")</f>
        <v/>
      </c>
      <c r="BE3652" s="10"/>
      <c r="BI3652" s="10"/>
    </row>
    <row r="3653" spans="1:61" ht="21" customHeight="1" x14ac:dyDescent="0.25">
      <c r="A3653" s="10"/>
      <c r="B3653" s="10"/>
      <c r="E3653" s="10"/>
      <c r="G3653" s="10"/>
      <c r="I3653" s="436" t="s">
        <v>626</v>
      </c>
      <c r="J3653" s="26" t="s">
        <v>625</v>
      </c>
      <c r="K3653" s="10">
        <v>60</v>
      </c>
      <c r="L3653" s="73">
        <f>IF(Tank1!$C$23="No control",(SUMIF(Tank1!$B$32:$B$49,$J3653,Tank1!$C$32:$C$49)*Impacts!$F$8),0)</f>
        <v>0</v>
      </c>
      <c r="M3653" s="10">
        <f>IF(Tank2!$C$23="No control",(SUMIF(Tank2!$B$32:$B$49,$J3653,Tank2!$C$32:$C$49)*Impacts!$F$9),0)</f>
        <v>0</v>
      </c>
      <c r="N3653" s="10">
        <f>IF(Tank3!$C$23="No control",(SUMIF(Tank3!$B$32:$B$49,$J3653,Tank3!$C$32:$C$49)*Impacts!$F$10),0)</f>
        <v>0</v>
      </c>
      <c r="O3653" s="10">
        <f>IF(Tank4!$C$23="No control",(SUMIF(Tank4!$B$32:$B$49,$J3653,Tank4!$C$32:$C$49)*Impacts!$F$11),0)</f>
        <v>0</v>
      </c>
      <c r="P3653" s="10">
        <f>IF(Tank5!$C$23="No control",(SUMIF(Tank5!$B$32:$B$49,$J3653,Tank5!$C$32:$C$49)*Impacts!$F$12),0)</f>
        <v>0</v>
      </c>
      <c r="Q3653" s="10">
        <f>IFERROR(IF(('Loading-drum,tote'!$C$21)="No control",SUMIF(('Loading-drum,tote'!$B$31:$B$48),$J3653,('Loading-drum,tote'!$D$31:$D$48))*Impacts!$F$13,IF(('Loading-drum,tote'!$C$21)&lt;&gt;"No control",SUMIF(('Loading-drum,tote'!$B$31:$B$48),$J3653,('Loading-drum,tote'!$E$31:$E$48))*Impacts!$F$13,0)),0)</f>
        <v>0</v>
      </c>
      <c r="R3653" s="10">
        <f>IFERROR(IF(('Loading-truck'!$C$21)="No control",SUMIF(('Loading-truck'!$B$31:$B$48),$J3653,('Loading-truck'!$D$31:$D$48))*Impacts!$F$14,IF(('Loading-truck'!$C$21)&lt;&gt;"No control",SUMIF(('Loading-truck'!$B$31:$B$48),$J3653,('Loading-truck'!$E$31:$E$48))*Impacts!$F$14,0)),0)</f>
        <v>0</v>
      </c>
      <c r="S3653" s="10">
        <f>IFERROR(IF(('Loading-rail'!$C$21)="No control",SUMIF(('Loading-rail'!$B$31:$B$48),$J3653,('Loading-rail'!$D$31:$D$48))*Impacts!$F$15,IF(('Loading-rail'!$C$21)&lt;&gt;"No control",SUMIF(('Loading-rail'!$B$31:$B$48),$J3653,('Loading-rail'!$E$31:$E$48))*Impacts!$F$15,0)),0)</f>
        <v>0</v>
      </c>
      <c r="T3653" s="10">
        <f>IF(Flare!$C$7="",0,(SUMIF(Flare!$B$46:$B$185,$J3653,Flare!$E$46:$E$185)*Impacts!$F$16))</f>
        <v>0</v>
      </c>
      <c r="U3653" s="10">
        <f>IF(VCU!$C$9="",0,(SUMIF(VCU!$B$51:$B$193,$J3653,VCU!$E$51:$E$193)*Impacts!$F$17))</f>
        <v>0</v>
      </c>
      <c r="V3653" s="10">
        <f>IF(CAS!$C$7="",0,(SUMIF(CAS!$B$31:$B$167,$J3653,CAS!$E$31:$E$167)*Impacts!$F$18))</f>
        <v>0</v>
      </c>
      <c r="W3653" s="10">
        <f t="shared" si="97"/>
        <v>0</v>
      </c>
      <c r="AK3653" s="10" t="str">
        <f t="array" ref="AK3653">IFERROR(INDEX(SelectedSpecies,SMALL(IF(SelectedSpecies=AK$1,ROW(SelectedSpecies)),ROW(3654:3654)),2),"")</f>
        <v/>
      </c>
      <c r="BE3653" s="10"/>
      <c r="BI3653" s="10"/>
    </row>
    <row r="3654" spans="1:61" ht="21" customHeight="1" x14ac:dyDescent="0.25">
      <c r="A3654" s="10"/>
      <c r="B3654" s="10"/>
      <c r="E3654" s="10"/>
      <c r="G3654" s="10"/>
      <c r="I3654" s="436" t="s">
        <v>10427</v>
      </c>
      <c r="J3654" s="26" t="s">
        <v>10428</v>
      </c>
      <c r="K3654" s="10">
        <v>0.17</v>
      </c>
      <c r="L3654" s="73">
        <f>IF(Tank1!$C$23="No control",(SUMIF(Tank1!$B$32:$B$49,$J3654,Tank1!$C$32:$C$49)*Impacts!$F$8),0)</f>
        <v>0</v>
      </c>
      <c r="M3654" s="10">
        <f>IF(Tank2!$C$23="No control",(SUMIF(Tank2!$B$32:$B$49,$J3654,Tank2!$C$32:$C$49)*Impacts!$F$9),0)</f>
        <v>0</v>
      </c>
      <c r="N3654" s="10">
        <f>IF(Tank3!$C$23="No control",(SUMIF(Tank3!$B$32:$B$49,$J3654,Tank3!$C$32:$C$49)*Impacts!$F$10),0)</f>
        <v>0</v>
      </c>
      <c r="O3654" s="10">
        <f>IF(Tank4!$C$23="No control",(SUMIF(Tank4!$B$32:$B$49,$J3654,Tank4!$C$32:$C$49)*Impacts!$F$11),0)</f>
        <v>0</v>
      </c>
      <c r="P3654" s="10">
        <f>IF(Tank5!$C$23="No control",(SUMIF(Tank5!$B$32:$B$49,$J3654,Tank5!$C$32:$C$49)*Impacts!$F$12),0)</f>
        <v>0</v>
      </c>
      <c r="Q3654" s="10">
        <f>IFERROR(IF(('Loading-drum,tote'!$C$21)="No control",SUMIF(('Loading-drum,tote'!$B$31:$B$48),$J3654,('Loading-drum,tote'!$D$31:$D$48))*Impacts!$F$13,IF(('Loading-drum,tote'!$C$21)&lt;&gt;"No control",SUMIF(('Loading-drum,tote'!$B$31:$B$48),$J3654,('Loading-drum,tote'!$E$31:$E$48))*Impacts!$F$13,0)),0)</f>
        <v>0</v>
      </c>
      <c r="R3654" s="10">
        <f>IFERROR(IF(('Loading-truck'!$C$21)="No control",SUMIF(('Loading-truck'!$B$31:$B$48),$J3654,('Loading-truck'!$D$31:$D$48))*Impacts!$F$14,IF(('Loading-truck'!$C$21)&lt;&gt;"No control",SUMIF(('Loading-truck'!$B$31:$B$48),$J3654,('Loading-truck'!$E$31:$E$48))*Impacts!$F$14,0)),0)</f>
        <v>0</v>
      </c>
      <c r="S3654" s="10">
        <f>IFERROR(IF(('Loading-rail'!$C$21)="No control",SUMIF(('Loading-rail'!$B$31:$B$48),$J3654,('Loading-rail'!$D$31:$D$48))*Impacts!$F$15,IF(('Loading-rail'!$C$21)&lt;&gt;"No control",SUMIF(('Loading-rail'!$B$31:$B$48),$J3654,('Loading-rail'!$E$31:$E$48))*Impacts!$F$15,0)),0)</f>
        <v>0</v>
      </c>
      <c r="T3654" s="10">
        <f>IF(Flare!$C$7="",0,(SUMIF(Flare!$B$46:$B$185,$J3654,Flare!$E$46:$E$185)*Impacts!$F$16))</f>
        <v>0</v>
      </c>
      <c r="U3654" s="10">
        <f>IF(VCU!$C$9="",0,(SUMIF(VCU!$B$51:$B$193,$J3654,VCU!$E$51:$E$193)*Impacts!$F$17))</f>
        <v>0</v>
      </c>
      <c r="V3654" s="10">
        <f>IF(CAS!$C$7="",0,(SUMIF(CAS!$B$31:$B$167,$J3654,CAS!$E$31:$E$167)*Impacts!$F$18))</f>
        <v>0</v>
      </c>
      <c r="W3654" s="10">
        <f t="shared" si="97"/>
        <v>0</v>
      </c>
      <c r="AK3654" s="10" t="str">
        <f t="array" ref="AK3654">IFERROR(INDEX(SelectedSpecies,SMALL(IF(SelectedSpecies=AK$1,ROW(SelectedSpecies)),ROW(3655:3655)),2),"")</f>
        <v/>
      </c>
      <c r="BE3654" s="10"/>
      <c r="BI3654" s="10"/>
    </row>
    <row r="3655" spans="1:61" ht="21" customHeight="1" x14ac:dyDescent="0.25">
      <c r="A3655" s="10"/>
      <c r="B3655" s="10"/>
      <c r="E3655" s="10"/>
      <c r="G3655" s="10"/>
      <c r="I3655" s="436" t="s">
        <v>8072</v>
      </c>
      <c r="J3655" s="26" t="s">
        <v>8071</v>
      </c>
      <c r="K3655" s="10">
        <v>2.0000000000000004E-2</v>
      </c>
      <c r="L3655" s="73">
        <f>IF(Tank1!$C$23="No control",(SUMIF(Tank1!$B$32:$B$49,$J3655,Tank1!$C$32:$C$49)*Impacts!$F$8),0)</f>
        <v>0</v>
      </c>
      <c r="M3655" s="10">
        <f>IF(Tank2!$C$23="No control",(SUMIF(Tank2!$B$32:$B$49,$J3655,Tank2!$C$32:$C$49)*Impacts!$F$9),0)</f>
        <v>0</v>
      </c>
      <c r="N3655" s="10">
        <f>IF(Tank3!$C$23="No control",(SUMIF(Tank3!$B$32:$B$49,$J3655,Tank3!$C$32:$C$49)*Impacts!$F$10),0)</f>
        <v>0</v>
      </c>
      <c r="O3655" s="10">
        <f>IF(Tank4!$C$23="No control",(SUMIF(Tank4!$B$32:$B$49,$J3655,Tank4!$C$32:$C$49)*Impacts!$F$11),0)</f>
        <v>0</v>
      </c>
      <c r="P3655" s="10">
        <f>IF(Tank5!$C$23="No control",(SUMIF(Tank5!$B$32:$B$49,$J3655,Tank5!$C$32:$C$49)*Impacts!$F$12),0)</f>
        <v>0</v>
      </c>
      <c r="Q3655" s="10">
        <f>IFERROR(IF(('Loading-drum,tote'!$C$21)="No control",SUMIF(('Loading-drum,tote'!$B$31:$B$48),$J3655,('Loading-drum,tote'!$D$31:$D$48))*Impacts!$F$13,IF(('Loading-drum,tote'!$C$21)&lt;&gt;"No control",SUMIF(('Loading-drum,tote'!$B$31:$B$48),$J3655,('Loading-drum,tote'!$E$31:$E$48))*Impacts!$F$13,0)),0)</f>
        <v>0</v>
      </c>
      <c r="R3655" s="10">
        <f>IFERROR(IF(('Loading-truck'!$C$21)="No control",SUMIF(('Loading-truck'!$B$31:$B$48),$J3655,('Loading-truck'!$D$31:$D$48))*Impacts!$F$14,IF(('Loading-truck'!$C$21)&lt;&gt;"No control",SUMIF(('Loading-truck'!$B$31:$B$48),$J3655,('Loading-truck'!$E$31:$E$48))*Impacts!$F$14,0)),0)</f>
        <v>0</v>
      </c>
      <c r="S3655" s="10">
        <f>IFERROR(IF(('Loading-rail'!$C$21)="No control",SUMIF(('Loading-rail'!$B$31:$B$48),$J3655,('Loading-rail'!$D$31:$D$48))*Impacts!$F$15,IF(('Loading-rail'!$C$21)&lt;&gt;"No control",SUMIF(('Loading-rail'!$B$31:$B$48),$J3655,('Loading-rail'!$E$31:$E$48))*Impacts!$F$15,0)),0)</f>
        <v>0</v>
      </c>
      <c r="T3655" s="10">
        <f>IF(Flare!$C$7="",0,(SUMIF(Flare!$B$46:$B$185,$J3655,Flare!$E$46:$E$185)*Impacts!$F$16))</f>
        <v>0</v>
      </c>
      <c r="U3655" s="10">
        <f>IF(VCU!$C$9="",0,(SUMIF(VCU!$B$51:$B$193,$J3655,VCU!$E$51:$E$193)*Impacts!$F$17))</f>
        <v>0</v>
      </c>
      <c r="V3655" s="10">
        <f>IF(CAS!$C$7="",0,(SUMIF(CAS!$B$31:$B$167,$J3655,CAS!$E$31:$E$167)*Impacts!$F$18))</f>
        <v>0</v>
      </c>
      <c r="W3655" s="10">
        <f t="shared" si="97"/>
        <v>0</v>
      </c>
      <c r="AK3655" s="10" t="str">
        <f t="array" ref="AK3655">IFERROR(INDEX(SelectedSpecies,SMALL(IF(SelectedSpecies=AK$1,ROW(SelectedSpecies)),ROW(3656:3656)),2),"")</f>
        <v/>
      </c>
      <c r="BE3655" s="10"/>
      <c r="BI3655" s="10"/>
    </row>
    <row r="3656" spans="1:61" ht="21" customHeight="1" x14ac:dyDescent="0.25">
      <c r="A3656" s="10"/>
      <c r="B3656" s="10"/>
      <c r="E3656" s="10"/>
      <c r="G3656" s="10"/>
      <c r="I3656" s="436" t="s">
        <v>7302</v>
      </c>
      <c r="J3656" s="26" t="s">
        <v>7301</v>
      </c>
      <c r="K3656" s="10">
        <v>0.30000000000000004</v>
      </c>
      <c r="L3656" s="73">
        <f>IF(Tank1!$C$23="No control",(SUMIF(Tank1!$B$32:$B$49,$J3656,Tank1!$C$32:$C$49)*Impacts!$F$8),0)</f>
        <v>0</v>
      </c>
      <c r="M3656" s="10">
        <f>IF(Tank2!$C$23="No control",(SUMIF(Tank2!$B$32:$B$49,$J3656,Tank2!$C$32:$C$49)*Impacts!$F$9),0)</f>
        <v>0</v>
      </c>
      <c r="N3656" s="10">
        <f>IF(Tank3!$C$23="No control",(SUMIF(Tank3!$B$32:$B$49,$J3656,Tank3!$C$32:$C$49)*Impacts!$F$10),0)</f>
        <v>0</v>
      </c>
      <c r="O3656" s="10">
        <f>IF(Tank4!$C$23="No control",(SUMIF(Tank4!$B$32:$B$49,$J3656,Tank4!$C$32:$C$49)*Impacts!$F$11),0)</f>
        <v>0</v>
      </c>
      <c r="P3656" s="10">
        <f>IF(Tank5!$C$23="No control",(SUMIF(Tank5!$B$32:$B$49,$J3656,Tank5!$C$32:$C$49)*Impacts!$F$12),0)</f>
        <v>0</v>
      </c>
      <c r="Q3656" s="10">
        <f>IFERROR(IF(('Loading-drum,tote'!$C$21)="No control",SUMIF(('Loading-drum,tote'!$B$31:$B$48),$J3656,('Loading-drum,tote'!$D$31:$D$48))*Impacts!$F$13,IF(('Loading-drum,tote'!$C$21)&lt;&gt;"No control",SUMIF(('Loading-drum,tote'!$B$31:$B$48),$J3656,('Loading-drum,tote'!$E$31:$E$48))*Impacts!$F$13,0)),0)</f>
        <v>0</v>
      </c>
      <c r="R3656" s="10">
        <f>IFERROR(IF(('Loading-truck'!$C$21)="No control",SUMIF(('Loading-truck'!$B$31:$B$48),$J3656,('Loading-truck'!$D$31:$D$48))*Impacts!$F$14,IF(('Loading-truck'!$C$21)&lt;&gt;"No control",SUMIF(('Loading-truck'!$B$31:$B$48),$J3656,('Loading-truck'!$E$31:$E$48))*Impacts!$F$14,0)),0)</f>
        <v>0</v>
      </c>
      <c r="S3656" s="10">
        <f>IFERROR(IF(('Loading-rail'!$C$21)="No control",SUMIF(('Loading-rail'!$B$31:$B$48),$J3656,('Loading-rail'!$D$31:$D$48))*Impacts!$F$15,IF(('Loading-rail'!$C$21)&lt;&gt;"No control",SUMIF(('Loading-rail'!$B$31:$B$48),$J3656,('Loading-rail'!$E$31:$E$48))*Impacts!$F$15,0)),0)</f>
        <v>0</v>
      </c>
      <c r="T3656" s="10">
        <f>IF(Flare!$C$7="",0,(SUMIF(Flare!$B$46:$B$185,$J3656,Flare!$E$46:$E$185)*Impacts!$F$16))</f>
        <v>0</v>
      </c>
      <c r="U3656" s="10">
        <f>IF(VCU!$C$9="",0,(SUMIF(VCU!$B$51:$B$193,$J3656,VCU!$E$51:$E$193)*Impacts!$F$17))</f>
        <v>0</v>
      </c>
      <c r="V3656" s="10">
        <f>IF(CAS!$C$7="",0,(SUMIF(CAS!$B$31:$B$167,$J3656,CAS!$E$31:$E$167)*Impacts!$F$18))</f>
        <v>0</v>
      </c>
      <c r="W3656" s="10">
        <f t="shared" si="97"/>
        <v>0</v>
      </c>
      <c r="AK3656" s="10" t="str">
        <f t="array" ref="AK3656">IFERROR(INDEX(SelectedSpecies,SMALL(IF(SelectedSpecies=AK$1,ROW(SelectedSpecies)),ROW(3657:3657)),2),"")</f>
        <v/>
      </c>
      <c r="BE3656" s="10"/>
      <c r="BI3656" s="10"/>
    </row>
    <row r="3657" spans="1:61" ht="21" customHeight="1" x14ac:dyDescent="0.25">
      <c r="A3657" s="10"/>
      <c r="B3657" s="10"/>
      <c r="E3657" s="10"/>
      <c r="G3657" s="10"/>
      <c r="I3657" s="436" t="s">
        <v>1414</v>
      </c>
      <c r="J3657" s="26" t="s">
        <v>1413</v>
      </c>
      <c r="K3657" s="10">
        <v>31</v>
      </c>
      <c r="L3657" s="73">
        <f>IF(Tank1!$C$23="No control",(SUMIF(Tank1!$B$32:$B$49,$J3657,Tank1!$C$32:$C$49)*Impacts!$F$8),0)</f>
        <v>0</v>
      </c>
      <c r="M3657" s="10">
        <f>IF(Tank2!$C$23="No control",(SUMIF(Tank2!$B$32:$B$49,$J3657,Tank2!$C$32:$C$49)*Impacts!$F$9),0)</f>
        <v>0</v>
      </c>
      <c r="N3657" s="10">
        <f>IF(Tank3!$C$23="No control",(SUMIF(Tank3!$B$32:$B$49,$J3657,Tank3!$C$32:$C$49)*Impacts!$F$10),0)</f>
        <v>0</v>
      </c>
      <c r="O3657" s="10">
        <f>IF(Tank4!$C$23="No control",(SUMIF(Tank4!$B$32:$B$49,$J3657,Tank4!$C$32:$C$49)*Impacts!$F$11),0)</f>
        <v>0</v>
      </c>
      <c r="P3657" s="10">
        <f>IF(Tank5!$C$23="No control",(SUMIF(Tank5!$B$32:$B$49,$J3657,Tank5!$C$32:$C$49)*Impacts!$F$12),0)</f>
        <v>0</v>
      </c>
      <c r="Q3657" s="10">
        <f>IFERROR(IF(('Loading-drum,tote'!$C$21)="No control",SUMIF(('Loading-drum,tote'!$B$31:$B$48),$J3657,('Loading-drum,tote'!$D$31:$D$48))*Impacts!$F$13,IF(('Loading-drum,tote'!$C$21)&lt;&gt;"No control",SUMIF(('Loading-drum,tote'!$B$31:$B$48),$J3657,('Loading-drum,tote'!$E$31:$E$48))*Impacts!$F$13,0)),0)</f>
        <v>0</v>
      </c>
      <c r="R3657" s="10">
        <f>IFERROR(IF(('Loading-truck'!$C$21)="No control",SUMIF(('Loading-truck'!$B$31:$B$48),$J3657,('Loading-truck'!$D$31:$D$48))*Impacts!$F$14,IF(('Loading-truck'!$C$21)&lt;&gt;"No control",SUMIF(('Loading-truck'!$B$31:$B$48),$J3657,('Loading-truck'!$E$31:$E$48))*Impacts!$F$14,0)),0)</f>
        <v>0</v>
      </c>
      <c r="S3657" s="10">
        <f>IFERROR(IF(('Loading-rail'!$C$21)="No control",SUMIF(('Loading-rail'!$B$31:$B$48),$J3657,('Loading-rail'!$D$31:$D$48))*Impacts!$F$15,IF(('Loading-rail'!$C$21)&lt;&gt;"No control",SUMIF(('Loading-rail'!$B$31:$B$48),$J3657,('Loading-rail'!$E$31:$E$48))*Impacts!$F$15,0)),0)</f>
        <v>0</v>
      </c>
      <c r="T3657" s="10">
        <f>IF(Flare!$C$7="",0,(SUMIF(Flare!$B$46:$B$185,$J3657,Flare!$E$46:$E$185)*Impacts!$F$16))</f>
        <v>0</v>
      </c>
      <c r="U3657" s="10">
        <f>IF(VCU!$C$9="",0,(SUMIF(VCU!$B$51:$B$193,$J3657,VCU!$E$51:$E$193)*Impacts!$F$17))</f>
        <v>0</v>
      </c>
      <c r="V3657" s="10">
        <f>IF(CAS!$C$7="",0,(SUMIF(CAS!$B$31:$B$167,$J3657,CAS!$E$31:$E$167)*Impacts!$F$18))</f>
        <v>0</v>
      </c>
      <c r="W3657" s="10">
        <f t="shared" si="97"/>
        <v>0</v>
      </c>
      <c r="AK3657" s="10" t="str">
        <f t="array" ref="AK3657">IFERROR(INDEX(SelectedSpecies,SMALL(IF(SelectedSpecies=AK$1,ROW(SelectedSpecies)),ROW(3658:3658)),2),"")</f>
        <v/>
      </c>
      <c r="BE3657" s="10"/>
      <c r="BI3657" s="10"/>
    </row>
    <row r="3658" spans="1:61" ht="21" customHeight="1" x14ac:dyDescent="0.25">
      <c r="A3658" s="10"/>
      <c r="B3658" s="10"/>
      <c r="E3658" s="10"/>
      <c r="G3658" s="10"/>
      <c r="I3658" s="436" t="s">
        <v>7632</v>
      </c>
      <c r="J3658" s="26" t="s">
        <v>7631</v>
      </c>
      <c r="K3658" s="10">
        <v>0.13999999999999999</v>
      </c>
      <c r="L3658" s="73">
        <f>IF(Tank1!$C$23="No control",(SUMIF(Tank1!$B$32:$B$49,$J3658,Tank1!$C$32:$C$49)*Impacts!$F$8),0)</f>
        <v>0</v>
      </c>
      <c r="M3658" s="10">
        <f>IF(Tank2!$C$23="No control",(SUMIF(Tank2!$B$32:$B$49,$J3658,Tank2!$C$32:$C$49)*Impacts!$F$9),0)</f>
        <v>0</v>
      </c>
      <c r="N3658" s="10">
        <f>IF(Tank3!$C$23="No control",(SUMIF(Tank3!$B$32:$B$49,$J3658,Tank3!$C$32:$C$49)*Impacts!$F$10),0)</f>
        <v>0</v>
      </c>
      <c r="O3658" s="10">
        <f>IF(Tank4!$C$23="No control",(SUMIF(Tank4!$B$32:$B$49,$J3658,Tank4!$C$32:$C$49)*Impacts!$F$11),0)</f>
        <v>0</v>
      </c>
      <c r="P3658" s="10">
        <f>IF(Tank5!$C$23="No control",(SUMIF(Tank5!$B$32:$B$49,$J3658,Tank5!$C$32:$C$49)*Impacts!$F$12),0)</f>
        <v>0</v>
      </c>
      <c r="Q3658" s="10">
        <f>IFERROR(IF(('Loading-drum,tote'!$C$21)="No control",SUMIF(('Loading-drum,tote'!$B$31:$B$48),$J3658,('Loading-drum,tote'!$D$31:$D$48))*Impacts!$F$13,IF(('Loading-drum,tote'!$C$21)&lt;&gt;"No control",SUMIF(('Loading-drum,tote'!$B$31:$B$48),$J3658,('Loading-drum,tote'!$E$31:$E$48))*Impacts!$F$13,0)),0)</f>
        <v>0</v>
      </c>
      <c r="R3658" s="10">
        <f>IFERROR(IF(('Loading-truck'!$C$21)="No control",SUMIF(('Loading-truck'!$B$31:$B$48),$J3658,('Loading-truck'!$D$31:$D$48))*Impacts!$F$14,IF(('Loading-truck'!$C$21)&lt;&gt;"No control",SUMIF(('Loading-truck'!$B$31:$B$48),$J3658,('Loading-truck'!$E$31:$E$48))*Impacts!$F$14,0)),0)</f>
        <v>0</v>
      </c>
      <c r="S3658" s="10">
        <f>IFERROR(IF(('Loading-rail'!$C$21)="No control",SUMIF(('Loading-rail'!$B$31:$B$48),$J3658,('Loading-rail'!$D$31:$D$48))*Impacts!$F$15,IF(('Loading-rail'!$C$21)&lt;&gt;"No control",SUMIF(('Loading-rail'!$B$31:$B$48),$J3658,('Loading-rail'!$E$31:$E$48))*Impacts!$F$15,0)),0)</f>
        <v>0</v>
      </c>
      <c r="T3658" s="10">
        <f>IF(Flare!$C$7="",0,(SUMIF(Flare!$B$46:$B$185,$J3658,Flare!$E$46:$E$185)*Impacts!$F$16))</f>
        <v>0</v>
      </c>
      <c r="U3658" s="10">
        <f>IF(VCU!$C$9="",0,(SUMIF(VCU!$B$51:$B$193,$J3658,VCU!$E$51:$E$193)*Impacts!$F$17))</f>
        <v>0</v>
      </c>
      <c r="V3658" s="10">
        <f>IF(CAS!$C$7="",0,(SUMIF(CAS!$B$31:$B$167,$J3658,CAS!$E$31:$E$167)*Impacts!$F$18))</f>
        <v>0</v>
      </c>
      <c r="W3658" s="10">
        <f t="shared" si="97"/>
        <v>0</v>
      </c>
      <c r="AK3658" s="10" t="str">
        <f t="array" ref="AK3658">IFERROR(INDEX(SelectedSpecies,SMALL(IF(SelectedSpecies=AK$1,ROW(SelectedSpecies)),ROW(3659:3659)),2),"")</f>
        <v/>
      </c>
      <c r="BE3658" s="10"/>
      <c r="BI3658" s="10"/>
    </row>
    <row r="3659" spans="1:61" ht="21" customHeight="1" x14ac:dyDescent="0.25">
      <c r="A3659" s="10"/>
      <c r="B3659" s="10"/>
      <c r="E3659" s="10"/>
      <c r="G3659" s="10"/>
      <c r="I3659" s="436" t="s">
        <v>1889</v>
      </c>
      <c r="J3659" s="26" t="s">
        <v>1888</v>
      </c>
      <c r="K3659" s="10">
        <v>20</v>
      </c>
      <c r="L3659" s="73">
        <f>IF(Tank1!$C$23="No control",(SUMIF(Tank1!$B$32:$B$49,$J3659,Tank1!$C$32:$C$49)*Impacts!$F$8),0)</f>
        <v>0</v>
      </c>
      <c r="M3659" s="10">
        <f>IF(Tank2!$C$23="No control",(SUMIF(Tank2!$B$32:$B$49,$J3659,Tank2!$C$32:$C$49)*Impacts!$F$9),0)</f>
        <v>0</v>
      </c>
      <c r="N3659" s="10">
        <f>IF(Tank3!$C$23="No control",(SUMIF(Tank3!$B$32:$B$49,$J3659,Tank3!$C$32:$C$49)*Impacts!$F$10),0)</f>
        <v>0</v>
      </c>
      <c r="O3659" s="10">
        <f>IF(Tank4!$C$23="No control",(SUMIF(Tank4!$B$32:$B$49,$J3659,Tank4!$C$32:$C$49)*Impacts!$F$11),0)</f>
        <v>0</v>
      </c>
      <c r="P3659" s="10">
        <f>IF(Tank5!$C$23="No control",(SUMIF(Tank5!$B$32:$B$49,$J3659,Tank5!$C$32:$C$49)*Impacts!$F$12),0)</f>
        <v>0</v>
      </c>
      <c r="Q3659" s="10">
        <f>IFERROR(IF(('Loading-drum,tote'!$C$21)="No control",SUMIF(('Loading-drum,tote'!$B$31:$B$48),$J3659,('Loading-drum,tote'!$D$31:$D$48))*Impacts!$F$13,IF(('Loading-drum,tote'!$C$21)&lt;&gt;"No control",SUMIF(('Loading-drum,tote'!$B$31:$B$48),$J3659,('Loading-drum,tote'!$E$31:$E$48))*Impacts!$F$13,0)),0)</f>
        <v>0</v>
      </c>
      <c r="R3659" s="10">
        <f>IFERROR(IF(('Loading-truck'!$C$21)="No control",SUMIF(('Loading-truck'!$B$31:$B$48),$J3659,('Loading-truck'!$D$31:$D$48))*Impacts!$F$14,IF(('Loading-truck'!$C$21)&lt;&gt;"No control",SUMIF(('Loading-truck'!$B$31:$B$48),$J3659,('Loading-truck'!$E$31:$E$48))*Impacts!$F$14,0)),0)</f>
        <v>0</v>
      </c>
      <c r="S3659" s="10">
        <f>IFERROR(IF(('Loading-rail'!$C$21)="No control",SUMIF(('Loading-rail'!$B$31:$B$48),$J3659,('Loading-rail'!$D$31:$D$48))*Impacts!$F$15,IF(('Loading-rail'!$C$21)&lt;&gt;"No control",SUMIF(('Loading-rail'!$B$31:$B$48),$J3659,('Loading-rail'!$E$31:$E$48))*Impacts!$F$15,0)),0)</f>
        <v>0</v>
      </c>
      <c r="T3659" s="10">
        <f>IF(Flare!$C$7="",0,(SUMIF(Flare!$B$46:$B$185,$J3659,Flare!$E$46:$E$185)*Impacts!$F$16))</f>
        <v>0</v>
      </c>
      <c r="U3659" s="10">
        <f>IF(VCU!$C$9="",0,(SUMIF(VCU!$B$51:$B$193,$J3659,VCU!$E$51:$E$193)*Impacts!$F$17))</f>
        <v>0</v>
      </c>
      <c r="V3659" s="10">
        <f>IF(CAS!$C$7="",0,(SUMIF(CAS!$B$31:$B$167,$J3659,CAS!$E$31:$E$167)*Impacts!$F$18))</f>
        <v>0</v>
      </c>
      <c r="W3659" s="10">
        <f t="shared" si="97"/>
        <v>0</v>
      </c>
      <c r="AK3659" s="10" t="str">
        <f t="array" ref="AK3659">IFERROR(INDEX(SelectedSpecies,SMALL(IF(SelectedSpecies=AK$1,ROW(SelectedSpecies)),ROW(3660:3660)),2),"")</f>
        <v/>
      </c>
      <c r="BE3659" s="10"/>
      <c r="BI3659" s="10"/>
    </row>
    <row r="3660" spans="1:61" ht="21" customHeight="1" x14ac:dyDescent="0.25">
      <c r="A3660" s="10"/>
      <c r="B3660" s="10"/>
      <c r="E3660" s="10"/>
      <c r="G3660" s="10"/>
      <c r="I3660" s="436" t="s">
        <v>8028</v>
      </c>
      <c r="J3660" s="26" t="s">
        <v>8027</v>
      </c>
      <c r="K3660" s="10">
        <v>2.3000000000000003E-2</v>
      </c>
      <c r="L3660" s="73">
        <f>IF(Tank1!$C$23="No control",(SUMIF(Tank1!$B$32:$B$49,$J3660,Tank1!$C$32:$C$49)*Impacts!$F$8),0)</f>
        <v>0</v>
      </c>
      <c r="M3660" s="10">
        <f>IF(Tank2!$C$23="No control",(SUMIF(Tank2!$B$32:$B$49,$J3660,Tank2!$C$32:$C$49)*Impacts!$F$9),0)</f>
        <v>0</v>
      </c>
      <c r="N3660" s="10">
        <f>IF(Tank3!$C$23="No control",(SUMIF(Tank3!$B$32:$B$49,$J3660,Tank3!$C$32:$C$49)*Impacts!$F$10),0)</f>
        <v>0</v>
      </c>
      <c r="O3660" s="10">
        <f>IF(Tank4!$C$23="No control",(SUMIF(Tank4!$B$32:$B$49,$J3660,Tank4!$C$32:$C$49)*Impacts!$F$11),0)</f>
        <v>0</v>
      </c>
      <c r="P3660" s="10">
        <f>IF(Tank5!$C$23="No control",(SUMIF(Tank5!$B$32:$B$49,$J3660,Tank5!$C$32:$C$49)*Impacts!$F$12),0)</f>
        <v>0</v>
      </c>
      <c r="Q3660" s="10">
        <f>IFERROR(IF(('Loading-drum,tote'!$C$21)="No control",SUMIF(('Loading-drum,tote'!$B$31:$B$48),$J3660,('Loading-drum,tote'!$D$31:$D$48))*Impacts!$F$13,IF(('Loading-drum,tote'!$C$21)&lt;&gt;"No control",SUMIF(('Loading-drum,tote'!$B$31:$B$48),$J3660,('Loading-drum,tote'!$E$31:$E$48))*Impacts!$F$13,0)),0)</f>
        <v>0</v>
      </c>
      <c r="R3660" s="10">
        <f>IFERROR(IF(('Loading-truck'!$C$21)="No control",SUMIF(('Loading-truck'!$B$31:$B$48),$J3660,('Loading-truck'!$D$31:$D$48))*Impacts!$F$14,IF(('Loading-truck'!$C$21)&lt;&gt;"No control",SUMIF(('Loading-truck'!$B$31:$B$48),$J3660,('Loading-truck'!$E$31:$E$48))*Impacts!$F$14,0)),0)</f>
        <v>0</v>
      </c>
      <c r="S3660" s="10">
        <f>IFERROR(IF(('Loading-rail'!$C$21)="No control",SUMIF(('Loading-rail'!$B$31:$B$48),$J3660,('Loading-rail'!$D$31:$D$48))*Impacts!$F$15,IF(('Loading-rail'!$C$21)&lt;&gt;"No control",SUMIF(('Loading-rail'!$B$31:$B$48),$J3660,('Loading-rail'!$E$31:$E$48))*Impacts!$F$15,0)),0)</f>
        <v>0</v>
      </c>
      <c r="T3660" s="10">
        <f>IF(Flare!$C$7="",0,(SUMIF(Flare!$B$46:$B$185,$J3660,Flare!$E$46:$E$185)*Impacts!$F$16))</f>
        <v>0</v>
      </c>
      <c r="U3660" s="10">
        <f>IF(VCU!$C$9="",0,(SUMIF(VCU!$B$51:$B$193,$J3660,VCU!$E$51:$E$193)*Impacts!$F$17))</f>
        <v>0</v>
      </c>
      <c r="V3660" s="10">
        <f>IF(CAS!$C$7="",0,(SUMIF(CAS!$B$31:$B$167,$J3660,CAS!$E$31:$E$167)*Impacts!$F$18))</f>
        <v>0</v>
      </c>
      <c r="W3660" s="10">
        <f t="shared" si="97"/>
        <v>0</v>
      </c>
      <c r="AK3660" s="10" t="str">
        <f t="array" ref="AK3660">IFERROR(INDEX(SelectedSpecies,SMALL(IF(SelectedSpecies=AK$1,ROW(SelectedSpecies)),ROW(3661:3661)),2),"")</f>
        <v/>
      </c>
      <c r="BE3660" s="10"/>
      <c r="BI3660" s="10"/>
    </row>
    <row r="3661" spans="1:61" ht="21" customHeight="1" x14ac:dyDescent="0.25">
      <c r="A3661" s="10"/>
      <c r="B3661" s="10"/>
      <c r="E3661" s="10"/>
      <c r="G3661" s="10"/>
      <c r="I3661" s="436" t="s">
        <v>3521</v>
      </c>
      <c r="J3661" s="26" t="s">
        <v>3520</v>
      </c>
      <c r="K3661" s="10">
        <v>9</v>
      </c>
      <c r="L3661" s="73">
        <f>IF(Tank1!$C$23="No control",(SUMIF(Tank1!$B$32:$B$49,$J3661,Tank1!$C$32:$C$49)*Impacts!$F$8),0)</f>
        <v>0</v>
      </c>
      <c r="M3661" s="10">
        <f>IF(Tank2!$C$23="No control",(SUMIF(Tank2!$B$32:$B$49,$J3661,Tank2!$C$32:$C$49)*Impacts!$F$9),0)</f>
        <v>0</v>
      </c>
      <c r="N3661" s="10">
        <f>IF(Tank3!$C$23="No control",(SUMIF(Tank3!$B$32:$B$49,$J3661,Tank3!$C$32:$C$49)*Impacts!$F$10),0)</f>
        <v>0</v>
      </c>
      <c r="O3661" s="10">
        <f>IF(Tank4!$C$23="No control",(SUMIF(Tank4!$B$32:$B$49,$J3661,Tank4!$C$32:$C$49)*Impacts!$F$11),0)</f>
        <v>0</v>
      </c>
      <c r="P3661" s="10">
        <f>IF(Tank5!$C$23="No control",(SUMIF(Tank5!$B$32:$B$49,$J3661,Tank5!$C$32:$C$49)*Impacts!$F$12),0)</f>
        <v>0</v>
      </c>
      <c r="Q3661" s="10">
        <f>IFERROR(IF(('Loading-drum,tote'!$C$21)="No control",SUMIF(('Loading-drum,tote'!$B$31:$B$48),$J3661,('Loading-drum,tote'!$D$31:$D$48))*Impacts!$F$13,IF(('Loading-drum,tote'!$C$21)&lt;&gt;"No control",SUMIF(('Loading-drum,tote'!$B$31:$B$48),$J3661,('Loading-drum,tote'!$E$31:$E$48))*Impacts!$F$13,0)),0)</f>
        <v>0</v>
      </c>
      <c r="R3661" s="10">
        <f>IFERROR(IF(('Loading-truck'!$C$21)="No control",SUMIF(('Loading-truck'!$B$31:$B$48),$J3661,('Loading-truck'!$D$31:$D$48))*Impacts!$F$14,IF(('Loading-truck'!$C$21)&lt;&gt;"No control",SUMIF(('Loading-truck'!$B$31:$B$48),$J3661,('Loading-truck'!$E$31:$E$48))*Impacts!$F$14,0)),0)</f>
        <v>0</v>
      </c>
      <c r="S3661" s="10">
        <f>IFERROR(IF(('Loading-rail'!$C$21)="No control",SUMIF(('Loading-rail'!$B$31:$B$48),$J3661,('Loading-rail'!$D$31:$D$48))*Impacts!$F$15,IF(('Loading-rail'!$C$21)&lt;&gt;"No control",SUMIF(('Loading-rail'!$B$31:$B$48),$J3661,('Loading-rail'!$E$31:$E$48))*Impacts!$F$15,0)),0)</f>
        <v>0</v>
      </c>
      <c r="T3661" s="10">
        <f>IF(Flare!$C$7="",0,(SUMIF(Flare!$B$46:$B$185,$J3661,Flare!$E$46:$E$185)*Impacts!$F$16))</f>
        <v>0</v>
      </c>
      <c r="U3661" s="10">
        <f>IF(VCU!$C$9="",0,(SUMIF(VCU!$B$51:$B$193,$J3661,VCU!$E$51:$E$193)*Impacts!$F$17))</f>
        <v>0</v>
      </c>
      <c r="V3661" s="10">
        <f>IF(CAS!$C$7="",0,(SUMIF(CAS!$B$31:$B$167,$J3661,CAS!$E$31:$E$167)*Impacts!$F$18))</f>
        <v>0</v>
      </c>
      <c r="W3661" s="10">
        <f t="shared" si="97"/>
        <v>0</v>
      </c>
      <c r="AK3661" s="10" t="str">
        <f t="array" ref="AK3661">IFERROR(INDEX(SelectedSpecies,SMALL(IF(SelectedSpecies=AK$1,ROW(SelectedSpecies)),ROW(3662:3662)),2),"")</f>
        <v/>
      </c>
      <c r="BE3661" s="10"/>
      <c r="BI3661" s="10"/>
    </row>
    <row r="3662" spans="1:61" ht="21" customHeight="1" x14ac:dyDescent="0.25">
      <c r="A3662" s="10"/>
      <c r="B3662" s="10"/>
      <c r="E3662" s="10"/>
      <c r="G3662" s="10"/>
      <c r="I3662" s="436" t="s">
        <v>4785</v>
      </c>
      <c r="J3662" s="26" t="s">
        <v>4784</v>
      </c>
      <c r="K3662" s="10">
        <v>3.3000000000000003</v>
      </c>
      <c r="L3662" s="73">
        <f>IF(Tank1!$C$23="No control",(SUMIF(Tank1!$B$32:$B$49,$J3662,Tank1!$C$32:$C$49)*Impacts!$F$8),0)</f>
        <v>0</v>
      </c>
      <c r="M3662" s="10">
        <f>IF(Tank2!$C$23="No control",(SUMIF(Tank2!$B$32:$B$49,$J3662,Tank2!$C$32:$C$49)*Impacts!$F$9),0)</f>
        <v>0</v>
      </c>
      <c r="N3662" s="10">
        <f>IF(Tank3!$C$23="No control",(SUMIF(Tank3!$B$32:$B$49,$J3662,Tank3!$C$32:$C$49)*Impacts!$F$10),0)</f>
        <v>0</v>
      </c>
      <c r="O3662" s="10">
        <f>IF(Tank4!$C$23="No control",(SUMIF(Tank4!$B$32:$B$49,$J3662,Tank4!$C$32:$C$49)*Impacts!$F$11),0)</f>
        <v>0</v>
      </c>
      <c r="P3662" s="10">
        <f>IF(Tank5!$C$23="No control",(SUMIF(Tank5!$B$32:$B$49,$J3662,Tank5!$C$32:$C$49)*Impacts!$F$12),0)</f>
        <v>0</v>
      </c>
      <c r="Q3662" s="10">
        <f>IFERROR(IF(('Loading-drum,tote'!$C$21)="No control",SUMIF(('Loading-drum,tote'!$B$31:$B$48),$J3662,('Loading-drum,tote'!$D$31:$D$48))*Impacts!$F$13,IF(('Loading-drum,tote'!$C$21)&lt;&gt;"No control",SUMIF(('Loading-drum,tote'!$B$31:$B$48),$J3662,('Loading-drum,tote'!$E$31:$E$48))*Impacts!$F$13,0)),0)</f>
        <v>0</v>
      </c>
      <c r="R3662" s="10">
        <f>IFERROR(IF(('Loading-truck'!$C$21)="No control",SUMIF(('Loading-truck'!$B$31:$B$48),$J3662,('Loading-truck'!$D$31:$D$48))*Impacts!$F$14,IF(('Loading-truck'!$C$21)&lt;&gt;"No control",SUMIF(('Loading-truck'!$B$31:$B$48),$J3662,('Loading-truck'!$E$31:$E$48))*Impacts!$F$14,0)),0)</f>
        <v>0</v>
      </c>
      <c r="S3662" s="10">
        <f>IFERROR(IF(('Loading-rail'!$C$21)="No control",SUMIF(('Loading-rail'!$B$31:$B$48),$J3662,('Loading-rail'!$D$31:$D$48))*Impacts!$F$15,IF(('Loading-rail'!$C$21)&lt;&gt;"No control",SUMIF(('Loading-rail'!$B$31:$B$48),$J3662,('Loading-rail'!$E$31:$E$48))*Impacts!$F$15,0)),0)</f>
        <v>0</v>
      </c>
      <c r="T3662" s="10">
        <f>IF(Flare!$C$7="",0,(SUMIF(Flare!$B$46:$B$185,$J3662,Flare!$E$46:$E$185)*Impacts!$F$16))</f>
        <v>0</v>
      </c>
      <c r="U3662" s="10">
        <f>IF(VCU!$C$9="",0,(SUMIF(VCU!$B$51:$B$193,$J3662,VCU!$E$51:$E$193)*Impacts!$F$17))</f>
        <v>0</v>
      </c>
      <c r="V3662" s="10">
        <f>IF(CAS!$C$7="",0,(SUMIF(CAS!$B$31:$B$167,$J3662,CAS!$E$31:$E$167)*Impacts!$F$18))</f>
        <v>0</v>
      </c>
      <c r="W3662" s="10">
        <f t="shared" si="97"/>
        <v>0</v>
      </c>
      <c r="AK3662" s="10" t="str">
        <f t="array" ref="AK3662">IFERROR(INDEX(SelectedSpecies,SMALL(IF(SelectedSpecies=AK$1,ROW(SelectedSpecies)),ROW(3663:3663)),2),"")</f>
        <v/>
      </c>
      <c r="BE3662" s="10"/>
      <c r="BI3662" s="10"/>
    </row>
    <row r="3663" spans="1:61" ht="21" customHeight="1" x14ac:dyDescent="0.25">
      <c r="A3663" s="10"/>
      <c r="B3663" s="10"/>
      <c r="E3663" s="10"/>
      <c r="G3663" s="10"/>
      <c r="I3663" s="436" t="s">
        <v>4787</v>
      </c>
      <c r="J3663" s="26" t="s">
        <v>4786</v>
      </c>
      <c r="K3663" s="10">
        <v>3.3000000000000003</v>
      </c>
      <c r="L3663" s="73">
        <f>IF(Tank1!$C$23="No control",(SUMIF(Tank1!$B$32:$B$49,$J3663,Tank1!$C$32:$C$49)*Impacts!$F$8),0)</f>
        <v>0</v>
      </c>
      <c r="M3663" s="10">
        <f>IF(Tank2!$C$23="No control",(SUMIF(Tank2!$B$32:$B$49,$J3663,Tank2!$C$32:$C$49)*Impacts!$F$9),0)</f>
        <v>0</v>
      </c>
      <c r="N3663" s="10">
        <f>IF(Tank3!$C$23="No control",(SUMIF(Tank3!$B$32:$B$49,$J3663,Tank3!$C$32:$C$49)*Impacts!$F$10),0)</f>
        <v>0</v>
      </c>
      <c r="O3663" s="10">
        <f>IF(Tank4!$C$23="No control",(SUMIF(Tank4!$B$32:$B$49,$J3663,Tank4!$C$32:$C$49)*Impacts!$F$11),0)</f>
        <v>0</v>
      </c>
      <c r="P3663" s="10">
        <f>IF(Tank5!$C$23="No control",(SUMIF(Tank5!$B$32:$B$49,$J3663,Tank5!$C$32:$C$49)*Impacts!$F$12),0)</f>
        <v>0</v>
      </c>
      <c r="Q3663" s="10">
        <f>IFERROR(IF(('Loading-drum,tote'!$C$21)="No control",SUMIF(('Loading-drum,tote'!$B$31:$B$48),$J3663,('Loading-drum,tote'!$D$31:$D$48))*Impacts!$F$13,IF(('Loading-drum,tote'!$C$21)&lt;&gt;"No control",SUMIF(('Loading-drum,tote'!$B$31:$B$48),$J3663,('Loading-drum,tote'!$E$31:$E$48))*Impacts!$F$13,0)),0)</f>
        <v>0</v>
      </c>
      <c r="R3663" s="10">
        <f>IFERROR(IF(('Loading-truck'!$C$21)="No control",SUMIF(('Loading-truck'!$B$31:$B$48),$J3663,('Loading-truck'!$D$31:$D$48))*Impacts!$F$14,IF(('Loading-truck'!$C$21)&lt;&gt;"No control",SUMIF(('Loading-truck'!$B$31:$B$48),$J3663,('Loading-truck'!$E$31:$E$48))*Impacts!$F$14,0)),0)</f>
        <v>0</v>
      </c>
      <c r="S3663" s="10">
        <f>IFERROR(IF(('Loading-rail'!$C$21)="No control",SUMIF(('Loading-rail'!$B$31:$B$48),$J3663,('Loading-rail'!$D$31:$D$48))*Impacts!$F$15,IF(('Loading-rail'!$C$21)&lt;&gt;"No control",SUMIF(('Loading-rail'!$B$31:$B$48),$J3663,('Loading-rail'!$E$31:$E$48))*Impacts!$F$15,0)),0)</f>
        <v>0</v>
      </c>
      <c r="T3663" s="10">
        <f>IF(Flare!$C$7="",0,(SUMIF(Flare!$B$46:$B$185,$J3663,Flare!$E$46:$E$185)*Impacts!$F$16))</f>
        <v>0</v>
      </c>
      <c r="U3663" s="10">
        <f>IF(VCU!$C$9="",0,(SUMIF(VCU!$B$51:$B$193,$J3663,VCU!$E$51:$E$193)*Impacts!$F$17))</f>
        <v>0</v>
      </c>
      <c r="V3663" s="10">
        <f>IF(CAS!$C$7="",0,(SUMIF(CAS!$B$31:$B$167,$J3663,CAS!$E$31:$E$167)*Impacts!$F$18))</f>
        <v>0</v>
      </c>
      <c r="W3663" s="10">
        <f t="shared" si="97"/>
        <v>0</v>
      </c>
      <c r="AK3663" s="10" t="str">
        <f t="array" ref="AK3663">IFERROR(INDEX(SelectedSpecies,SMALL(IF(SelectedSpecies=AK$1,ROW(SelectedSpecies)),ROW(3664:3664)),2),"")</f>
        <v/>
      </c>
      <c r="BE3663" s="10"/>
      <c r="BI3663" s="10"/>
    </row>
    <row r="3664" spans="1:61" ht="21" customHeight="1" x14ac:dyDescent="0.25">
      <c r="A3664" s="10"/>
      <c r="B3664" s="10"/>
      <c r="E3664" s="10"/>
      <c r="G3664" s="10"/>
      <c r="I3664" s="436" t="s">
        <v>7666</v>
      </c>
      <c r="J3664" s="26" t="s">
        <v>7665</v>
      </c>
      <c r="K3664" s="10">
        <v>0.12</v>
      </c>
      <c r="L3664" s="73">
        <f>IF(Tank1!$C$23="No control",(SUMIF(Tank1!$B$32:$B$49,$J3664,Tank1!$C$32:$C$49)*Impacts!$F$8),0)</f>
        <v>0</v>
      </c>
      <c r="M3664" s="10">
        <f>IF(Tank2!$C$23="No control",(SUMIF(Tank2!$B$32:$B$49,$J3664,Tank2!$C$32:$C$49)*Impacts!$F$9),0)</f>
        <v>0</v>
      </c>
      <c r="N3664" s="10">
        <f>IF(Tank3!$C$23="No control",(SUMIF(Tank3!$B$32:$B$49,$J3664,Tank3!$C$32:$C$49)*Impacts!$F$10),0)</f>
        <v>0</v>
      </c>
      <c r="O3664" s="10">
        <f>IF(Tank4!$C$23="No control",(SUMIF(Tank4!$B$32:$B$49,$J3664,Tank4!$C$32:$C$49)*Impacts!$F$11),0)</f>
        <v>0</v>
      </c>
      <c r="P3664" s="10">
        <f>IF(Tank5!$C$23="No control",(SUMIF(Tank5!$B$32:$B$49,$J3664,Tank5!$C$32:$C$49)*Impacts!$F$12),0)</f>
        <v>0</v>
      </c>
      <c r="Q3664" s="10">
        <f>IFERROR(IF(('Loading-drum,tote'!$C$21)="No control",SUMIF(('Loading-drum,tote'!$B$31:$B$48),$J3664,('Loading-drum,tote'!$D$31:$D$48))*Impacts!$F$13,IF(('Loading-drum,tote'!$C$21)&lt;&gt;"No control",SUMIF(('Loading-drum,tote'!$B$31:$B$48),$J3664,('Loading-drum,tote'!$E$31:$E$48))*Impacts!$F$13,0)),0)</f>
        <v>0</v>
      </c>
      <c r="R3664" s="10">
        <f>IFERROR(IF(('Loading-truck'!$C$21)="No control",SUMIF(('Loading-truck'!$B$31:$B$48),$J3664,('Loading-truck'!$D$31:$D$48))*Impacts!$F$14,IF(('Loading-truck'!$C$21)&lt;&gt;"No control",SUMIF(('Loading-truck'!$B$31:$B$48),$J3664,('Loading-truck'!$E$31:$E$48))*Impacts!$F$14,0)),0)</f>
        <v>0</v>
      </c>
      <c r="S3664" s="10">
        <f>IFERROR(IF(('Loading-rail'!$C$21)="No control",SUMIF(('Loading-rail'!$B$31:$B$48),$J3664,('Loading-rail'!$D$31:$D$48))*Impacts!$F$15,IF(('Loading-rail'!$C$21)&lt;&gt;"No control",SUMIF(('Loading-rail'!$B$31:$B$48),$J3664,('Loading-rail'!$E$31:$E$48))*Impacts!$F$15,0)),0)</f>
        <v>0</v>
      </c>
      <c r="T3664" s="10">
        <f>IF(Flare!$C$7="",0,(SUMIF(Flare!$B$46:$B$185,$J3664,Flare!$E$46:$E$185)*Impacts!$F$16))</f>
        <v>0</v>
      </c>
      <c r="U3664" s="10">
        <f>IF(VCU!$C$9="",0,(SUMIF(VCU!$B$51:$B$193,$J3664,VCU!$E$51:$E$193)*Impacts!$F$17))</f>
        <v>0</v>
      </c>
      <c r="V3664" s="10">
        <f>IF(CAS!$C$7="",0,(SUMIF(CAS!$B$31:$B$167,$J3664,CAS!$E$31:$E$167)*Impacts!$F$18))</f>
        <v>0</v>
      </c>
      <c r="W3664" s="10">
        <f t="shared" si="97"/>
        <v>0</v>
      </c>
      <c r="AK3664" s="10" t="str">
        <f t="array" ref="AK3664">IFERROR(INDEX(SelectedSpecies,SMALL(IF(SelectedSpecies=AK$1,ROW(SelectedSpecies)),ROW(3665:3665)),2),"")</f>
        <v/>
      </c>
      <c r="BE3664" s="10"/>
      <c r="BI3664" s="10"/>
    </row>
    <row r="3665" spans="1:61" ht="21" customHeight="1" x14ac:dyDescent="0.25">
      <c r="A3665" s="10"/>
      <c r="B3665" s="10"/>
      <c r="E3665" s="10"/>
      <c r="G3665" s="10"/>
      <c r="I3665" s="436" t="s">
        <v>6562</v>
      </c>
      <c r="J3665" s="26" t="s">
        <v>6561</v>
      </c>
      <c r="K3665" s="10">
        <v>0.70000000000000007</v>
      </c>
      <c r="L3665" s="73">
        <f>IF(Tank1!$C$23="No control",(SUMIF(Tank1!$B$32:$B$49,$J3665,Tank1!$C$32:$C$49)*Impacts!$F$8),0)</f>
        <v>0</v>
      </c>
      <c r="M3665" s="10">
        <f>IF(Tank2!$C$23="No control",(SUMIF(Tank2!$B$32:$B$49,$J3665,Tank2!$C$32:$C$49)*Impacts!$F$9),0)</f>
        <v>0</v>
      </c>
      <c r="N3665" s="10">
        <f>IF(Tank3!$C$23="No control",(SUMIF(Tank3!$B$32:$B$49,$J3665,Tank3!$C$32:$C$49)*Impacts!$F$10),0)</f>
        <v>0</v>
      </c>
      <c r="O3665" s="10">
        <f>IF(Tank4!$C$23="No control",(SUMIF(Tank4!$B$32:$B$49,$J3665,Tank4!$C$32:$C$49)*Impacts!$F$11),0)</f>
        <v>0</v>
      </c>
      <c r="P3665" s="10">
        <f>IF(Tank5!$C$23="No control",(SUMIF(Tank5!$B$32:$B$49,$J3665,Tank5!$C$32:$C$49)*Impacts!$F$12),0)</f>
        <v>0</v>
      </c>
      <c r="Q3665" s="10">
        <f>IFERROR(IF(('Loading-drum,tote'!$C$21)="No control",SUMIF(('Loading-drum,tote'!$B$31:$B$48),$J3665,('Loading-drum,tote'!$D$31:$D$48))*Impacts!$F$13,IF(('Loading-drum,tote'!$C$21)&lt;&gt;"No control",SUMIF(('Loading-drum,tote'!$B$31:$B$48),$J3665,('Loading-drum,tote'!$E$31:$E$48))*Impacts!$F$13,0)),0)</f>
        <v>0</v>
      </c>
      <c r="R3665" s="10">
        <f>IFERROR(IF(('Loading-truck'!$C$21)="No control",SUMIF(('Loading-truck'!$B$31:$B$48),$J3665,('Loading-truck'!$D$31:$D$48))*Impacts!$F$14,IF(('Loading-truck'!$C$21)&lt;&gt;"No control",SUMIF(('Loading-truck'!$B$31:$B$48),$J3665,('Loading-truck'!$E$31:$E$48))*Impacts!$F$14,0)),0)</f>
        <v>0</v>
      </c>
      <c r="S3665" s="10">
        <f>IFERROR(IF(('Loading-rail'!$C$21)="No control",SUMIF(('Loading-rail'!$B$31:$B$48),$J3665,('Loading-rail'!$D$31:$D$48))*Impacts!$F$15,IF(('Loading-rail'!$C$21)&lt;&gt;"No control",SUMIF(('Loading-rail'!$B$31:$B$48),$J3665,('Loading-rail'!$E$31:$E$48))*Impacts!$F$15,0)),0)</f>
        <v>0</v>
      </c>
      <c r="T3665" s="10">
        <f>IF(Flare!$C$7="",0,(SUMIF(Flare!$B$46:$B$185,$J3665,Flare!$E$46:$E$185)*Impacts!$F$16))</f>
        <v>0</v>
      </c>
      <c r="U3665" s="10">
        <f>IF(VCU!$C$9="",0,(SUMIF(VCU!$B$51:$B$193,$J3665,VCU!$E$51:$E$193)*Impacts!$F$17))</f>
        <v>0</v>
      </c>
      <c r="V3665" s="10">
        <f>IF(CAS!$C$7="",0,(SUMIF(CAS!$B$31:$B$167,$J3665,CAS!$E$31:$E$167)*Impacts!$F$18))</f>
        <v>0</v>
      </c>
      <c r="W3665" s="10">
        <f t="shared" si="97"/>
        <v>0</v>
      </c>
      <c r="AK3665" s="10" t="str">
        <f t="array" ref="AK3665">IFERROR(INDEX(SelectedSpecies,SMALL(IF(SelectedSpecies=AK$1,ROW(SelectedSpecies)),ROW(3666:3666)),2),"")</f>
        <v/>
      </c>
      <c r="BE3665" s="10"/>
      <c r="BI3665" s="10"/>
    </row>
    <row r="3666" spans="1:61" ht="21" customHeight="1" x14ac:dyDescent="0.25">
      <c r="A3666" s="10"/>
      <c r="B3666" s="10"/>
      <c r="E3666" s="10"/>
      <c r="G3666" s="10"/>
      <c r="I3666" s="436" t="s">
        <v>6178</v>
      </c>
      <c r="J3666" s="26" t="s">
        <v>6177</v>
      </c>
      <c r="K3666" s="10">
        <v>1</v>
      </c>
      <c r="L3666" s="73">
        <f>IF(Tank1!$C$23="No control",(SUMIF(Tank1!$B$32:$B$49,$J3666,Tank1!$C$32:$C$49)*Impacts!$F$8),0)</f>
        <v>0</v>
      </c>
      <c r="M3666" s="10">
        <f>IF(Tank2!$C$23="No control",(SUMIF(Tank2!$B$32:$B$49,$J3666,Tank2!$C$32:$C$49)*Impacts!$F$9),0)</f>
        <v>0</v>
      </c>
      <c r="N3666" s="10">
        <f>IF(Tank3!$C$23="No control",(SUMIF(Tank3!$B$32:$B$49,$J3666,Tank3!$C$32:$C$49)*Impacts!$F$10),0)</f>
        <v>0</v>
      </c>
      <c r="O3666" s="10">
        <f>IF(Tank4!$C$23="No control",(SUMIF(Tank4!$B$32:$B$49,$J3666,Tank4!$C$32:$C$49)*Impacts!$F$11),0)</f>
        <v>0</v>
      </c>
      <c r="P3666" s="10">
        <f>IF(Tank5!$C$23="No control",(SUMIF(Tank5!$B$32:$B$49,$J3666,Tank5!$C$32:$C$49)*Impacts!$F$12),0)</f>
        <v>0</v>
      </c>
      <c r="Q3666" s="10">
        <f>IFERROR(IF(('Loading-drum,tote'!$C$21)="No control",SUMIF(('Loading-drum,tote'!$B$31:$B$48),$J3666,('Loading-drum,tote'!$D$31:$D$48))*Impacts!$F$13,IF(('Loading-drum,tote'!$C$21)&lt;&gt;"No control",SUMIF(('Loading-drum,tote'!$B$31:$B$48),$J3666,('Loading-drum,tote'!$E$31:$E$48))*Impacts!$F$13,0)),0)</f>
        <v>0</v>
      </c>
      <c r="R3666" s="10">
        <f>IFERROR(IF(('Loading-truck'!$C$21)="No control",SUMIF(('Loading-truck'!$B$31:$B$48),$J3666,('Loading-truck'!$D$31:$D$48))*Impacts!$F$14,IF(('Loading-truck'!$C$21)&lt;&gt;"No control",SUMIF(('Loading-truck'!$B$31:$B$48),$J3666,('Loading-truck'!$E$31:$E$48))*Impacts!$F$14,0)),0)</f>
        <v>0</v>
      </c>
      <c r="S3666" s="10">
        <f>IFERROR(IF(('Loading-rail'!$C$21)="No control",SUMIF(('Loading-rail'!$B$31:$B$48),$J3666,('Loading-rail'!$D$31:$D$48))*Impacts!$F$15,IF(('Loading-rail'!$C$21)&lt;&gt;"No control",SUMIF(('Loading-rail'!$B$31:$B$48),$J3666,('Loading-rail'!$E$31:$E$48))*Impacts!$F$15,0)),0)</f>
        <v>0</v>
      </c>
      <c r="T3666" s="10">
        <f>IF(Flare!$C$7="",0,(SUMIF(Flare!$B$46:$B$185,$J3666,Flare!$E$46:$E$185)*Impacts!$F$16))</f>
        <v>0</v>
      </c>
      <c r="U3666" s="10">
        <f>IF(VCU!$C$9="",0,(SUMIF(VCU!$B$51:$B$193,$J3666,VCU!$E$51:$E$193)*Impacts!$F$17))</f>
        <v>0</v>
      </c>
      <c r="V3666" s="10">
        <f>IF(CAS!$C$7="",0,(SUMIF(CAS!$B$31:$B$167,$J3666,CAS!$E$31:$E$167)*Impacts!$F$18))</f>
        <v>0</v>
      </c>
      <c r="W3666" s="10">
        <f t="shared" si="97"/>
        <v>0</v>
      </c>
      <c r="AK3666" s="10" t="str">
        <f t="array" ref="AK3666">IFERROR(INDEX(SelectedSpecies,SMALL(IF(SelectedSpecies=AK$1,ROW(SelectedSpecies)),ROW(3667:3667)),2),"")</f>
        <v/>
      </c>
      <c r="BE3666" s="10"/>
      <c r="BI3666" s="10"/>
    </row>
    <row r="3667" spans="1:61" ht="21" customHeight="1" x14ac:dyDescent="0.25">
      <c r="A3667" s="10"/>
      <c r="B3667" s="10"/>
      <c r="E3667" s="10"/>
      <c r="G3667" s="10"/>
      <c r="I3667" s="436" t="s">
        <v>3593</v>
      </c>
      <c r="J3667" s="26" t="s">
        <v>3592</v>
      </c>
      <c r="K3667" s="10">
        <v>8</v>
      </c>
      <c r="L3667" s="73">
        <f>IF(Tank1!$C$23="No control",(SUMIF(Tank1!$B$32:$B$49,$J3667,Tank1!$C$32:$C$49)*Impacts!$F$8),0)</f>
        <v>0</v>
      </c>
      <c r="M3667" s="10">
        <f>IF(Tank2!$C$23="No control",(SUMIF(Tank2!$B$32:$B$49,$J3667,Tank2!$C$32:$C$49)*Impacts!$F$9),0)</f>
        <v>0</v>
      </c>
      <c r="N3667" s="10">
        <f>IF(Tank3!$C$23="No control",(SUMIF(Tank3!$B$32:$B$49,$J3667,Tank3!$C$32:$C$49)*Impacts!$F$10),0)</f>
        <v>0</v>
      </c>
      <c r="O3667" s="10">
        <f>IF(Tank4!$C$23="No control",(SUMIF(Tank4!$B$32:$B$49,$J3667,Tank4!$C$32:$C$49)*Impacts!$F$11),0)</f>
        <v>0</v>
      </c>
      <c r="P3667" s="10">
        <f>IF(Tank5!$C$23="No control",(SUMIF(Tank5!$B$32:$B$49,$J3667,Tank5!$C$32:$C$49)*Impacts!$F$12),0)</f>
        <v>0</v>
      </c>
      <c r="Q3667" s="10">
        <f>IFERROR(IF(('Loading-drum,tote'!$C$21)="No control",SUMIF(('Loading-drum,tote'!$B$31:$B$48),$J3667,('Loading-drum,tote'!$D$31:$D$48))*Impacts!$F$13,IF(('Loading-drum,tote'!$C$21)&lt;&gt;"No control",SUMIF(('Loading-drum,tote'!$B$31:$B$48),$J3667,('Loading-drum,tote'!$E$31:$E$48))*Impacts!$F$13,0)),0)</f>
        <v>0</v>
      </c>
      <c r="R3667" s="10">
        <f>IFERROR(IF(('Loading-truck'!$C$21)="No control",SUMIF(('Loading-truck'!$B$31:$B$48),$J3667,('Loading-truck'!$D$31:$D$48))*Impacts!$F$14,IF(('Loading-truck'!$C$21)&lt;&gt;"No control",SUMIF(('Loading-truck'!$B$31:$B$48),$J3667,('Loading-truck'!$E$31:$E$48))*Impacts!$F$14,0)),0)</f>
        <v>0</v>
      </c>
      <c r="S3667" s="10">
        <f>IFERROR(IF(('Loading-rail'!$C$21)="No control",SUMIF(('Loading-rail'!$B$31:$B$48),$J3667,('Loading-rail'!$D$31:$D$48))*Impacts!$F$15,IF(('Loading-rail'!$C$21)&lt;&gt;"No control",SUMIF(('Loading-rail'!$B$31:$B$48),$J3667,('Loading-rail'!$E$31:$E$48))*Impacts!$F$15,0)),0)</f>
        <v>0</v>
      </c>
      <c r="T3667" s="10">
        <f>IF(Flare!$C$7="",0,(SUMIF(Flare!$B$46:$B$185,$J3667,Flare!$E$46:$E$185)*Impacts!$F$16))</f>
        <v>0</v>
      </c>
      <c r="U3667" s="10">
        <f>IF(VCU!$C$9="",0,(SUMIF(VCU!$B$51:$B$193,$J3667,VCU!$E$51:$E$193)*Impacts!$F$17))</f>
        <v>0</v>
      </c>
      <c r="V3667" s="10">
        <f>IF(CAS!$C$7="",0,(SUMIF(CAS!$B$31:$B$167,$J3667,CAS!$E$31:$E$167)*Impacts!$F$18))</f>
        <v>0</v>
      </c>
      <c r="W3667" s="10">
        <f t="shared" si="97"/>
        <v>0</v>
      </c>
      <c r="AK3667" s="10" t="str">
        <f t="array" ref="AK3667">IFERROR(INDEX(SelectedSpecies,SMALL(IF(SelectedSpecies=AK$1,ROW(SelectedSpecies)),ROW(3668:3668)),2),"")</f>
        <v/>
      </c>
      <c r="BE3667" s="10"/>
      <c r="BI3667" s="10"/>
    </row>
    <row r="3668" spans="1:61" ht="21" customHeight="1" x14ac:dyDescent="0.25">
      <c r="A3668" s="10"/>
      <c r="B3668" s="10"/>
      <c r="E3668" s="10"/>
      <c r="G3668" s="10"/>
      <c r="I3668" s="436" t="s">
        <v>5037</v>
      </c>
      <c r="J3668" s="26" t="s">
        <v>5036</v>
      </c>
      <c r="K3668" s="10">
        <v>2.4000000000000004</v>
      </c>
      <c r="L3668" s="73">
        <f>IF(Tank1!$C$23="No control",(SUMIF(Tank1!$B$32:$B$49,$J3668,Tank1!$C$32:$C$49)*Impacts!$F$8),0)</f>
        <v>0</v>
      </c>
      <c r="M3668" s="10">
        <f>IF(Tank2!$C$23="No control",(SUMIF(Tank2!$B$32:$B$49,$J3668,Tank2!$C$32:$C$49)*Impacts!$F$9),0)</f>
        <v>0</v>
      </c>
      <c r="N3668" s="10">
        <f>IF(Tank3!$C$23="No control",(SUMIF(Tank3!$B$32:$B$49,$J3668,Tank3!$C$32:$C$49)*Impacts!$F$10),0)</f>
        <v>0</v>
      </c>
      <c r="O3668" s="10">
        <f>IF(Tank4!$C$23="No control",(SUMIF(Tank4!$B$32:$B$49,$J3668,Tank4!$C$32:$C$49)*Impacts!$F$11),0)</f>
        <v>0</v>
      </c>
      <c r="P3668" s="10">
        <f>IF(Tank5!$C$23="No control",(SUMIF(Tank5!$B$32:$B$49,$J3668,Tank5!$C$32:$C$49)*Impacts!$F$12),0)</f>
        <v>0</v>
      </c>
      <c r="Q3668" s="10">
        <f>IFERROR(IF(('Loading-drum,tote'!$C$21)="No control",SUMIF(('Loading-drum,tote'!$B$31:$B$48),$J3668,('Loading-drum,tote'!$D$31:$D$48))*Impacts!$F$13,IF(('Loading-drum,tote'!$C$21)&lt;&gt;"No control",SUMIF(('Loading-drum,tote'!$B$31:$B$48),$J3668,('Loading-drum,tote'!$E$31:$E$48))*Impacts!$F$13,0)),0)</f>
        <v>0</v>
      </c>
      <c r="R3668" s="10">
        <f>IFERROR(IF(('Loading-truck'!$C$21)="No control",SUMIF(('Loading-truck'!$B$31:$B$48),$J3668,('Loading-truck'!$D$31:$D$48))*Impacts!$F$14,IF(('Loading-truck'!$C$21)&lt;&gt;"No control",SUMIF(('Loading-truck'!$B$31:$B$48),$J3668,('Loading-truck'!$E$31:$E$48))*Impacts!$F$14,0)),0)</f>
        <v>0</v>
      </c>
      <c r="S3668" s="10">
        <f>IFERROR(IF(('Loading-rail'!$C$21)="No control",SUMIF(('Loading-rail'!$B$31:$B$48),$J3668,('Loading-rail'!$D$31:$D$48))*Impacts!$F$15,IF(('Loading-rail'!$C$21)&lt;&gt;"No control",SUMIF(('Loading-rail'!$B$31:$B$48),$J3668,('Loading-rail'!$E$31:$E$48))*Impacts!$F$15,0)),0)</f>
        <v>0</v>
      </c>
      <c r="T3668" s="10">
        <f>IF(Flare!$C$7="",0,(SUMIF(Flare!$B$46:$B$185,$J3668,Flare!$E$46:$E$185)*Impacts!$F$16))</f>
        <v>0</v>
      </c>
      <c r="U3668" s="10">
        <f>IF(VCU!$C$9="",0,(SUMIF(VCU!$B$51:$B$193,$J3668,VCU!$E$51:$E$193)*Impacts!$F$17))</f>
        <v>0</v>
      </c>
      <c r="V3668" s="10">
        <f>IF(CAS!$C$7="",0,(SUMIF(CAS!$B$31:$B$167,$J3668,CAS!$E$31:$E$167)*Impacts!$F$18))</f>
        <v>0</v>
      </c>
      <c r="W3668" s="10">
        <f t="shared" si="97"/>
        <v>0</v>
      </c>
      <c r="AK3668" s="10" t="str">
        <f t="array" ref="AK3668">IFERROR(INDEX(SelectedSpecies,SMALL(IF(SelectedSpecies=AK$1,ROW(SelectedSpecies)),ROW(3669:3669)),2),"")</f>
        <v/>
      </c>
      <c r="BE3668" s="10"/>
      <c r="BI3668" s="10"/>
    </row>
    <row r="3669" spans="1:61" ht="21" customHeight="1" x14ac:dyDescent="0.25">
      <c r="A3669" s="10"/>
      <c r="B3669" s="10"/>
      <c r="E3669" s="10"/>
      <c r="G3669" s="10"/>
      <c r="I3669" s="436" t="s">
        <v>7790</v>
      </c>
      <c r="J3669" s="26" t="s">
        <v>7789</v>
      </c>
      <c r="K3669" s="10">
        <v>0.1</v>
      </c>
      <c r="L3669" s="73">
        <f>IF(Tank1!$C$23="No control",(SUMIF(Tank1!$B$32:$B$49,$J3669,Tank1!$C$32:$C$49)*Impacts!$F$8),0)</f>
        <v>0</v>
      </c>
      <c r="M3669" s="10">
        <f>IF(Tank2!$C$23="No control",(SUMIF(Tank2!$B$32:$B$49,$J3669,Tank2!$C$32:$C$49)*Impacts!$F$9),0)</f>
        <v>0</v>
      </c>
      <c r="N3669" s="10">
        <f>IF(Tank3!$C$23="No control",(SUMIF(Tank3!$B$32:$B$49,$J3669,Tank3!$C$32:$C$49)*Impacts!$F$10),0)</f>
        <v>0</v>
      </c>
      <c r="O3669" s="10">
        <f>IF(Tank4!$C$23="No control",(SUMIF(Tank4!$B$32:$B$49,$J3669,Tank4!$C$32:$C$49)*Impacts!$F$11),0)</f>
        <v>0</v>
      </c>
      <c r="P3669" s="10">
        <f>IF(Tank5!$C$23="No control",(SUMIF(Tank5!$B$32:$B$49,$J3669,Tank5!$C$32:$C$49)*Impacts!$F$12),0)</f>
        <v>0</v>
      </c>
      <c r="Q3669" s="10">
        <f>IFERROR(IF(('Loading-drum,tote'!$C$21)="No control",SUMIF(('Loading-drum,tote'!$B$31:$B$48),$J3669,('Loading-drum,tote'!$D$31:$D$48))*Impacts!$F$13,IF(('Loading-drum,tote'!$C$21)&lt;&gt;"No control",SUMIF(('Loading-drum,tote'!$B$31:$B$48),$J3669,('Loading-drum,tote'!$E$31:$E$48))*Impacts!$F$13,0)),0)</f>
        <v>0</v>
      </c>
      <c r="R3669" s="10">
        <f>IFERROR(IF(('Loading-truck'!$C$21)="No control",SUMIF(('Loading-truck'!$B$31:$B$48),$J3669,('Loading-truck'!$D$31:$D$48))*Impacts!$F$14,IF(('Loading-truck'!$C$21)&lt;&gt;"No control",SUMIF(('Loading-truck'!$B$31:$B$48),$J3669,('Loading-truck'!$E$31:$E$48))*Impacts!$F$14,0)),0)</f>
        <v>0</v>
      </c>
      <c r="S3669" s="10">
        <f>IFERROR(IF(('Loading-rail'!$C$21)="No control",SUMIF(('Loading-rail'!$B$31:$B$48),$J3669,('Loading-rail'!$D$31:$D$48))*Impacts!$F$15,IF(('Loading-rail'!$C$21)&lt;&gt;"No control",SUMIF(('Loading-rail'!$B$31:$B$48),$J3669,('Loading-rail'!$E$31:$E$48))*Impacts!$F$15,0)),0)</f>
        <v>0</v>
      </c>
      <c r="T3669" s="10">
        <f>IF(Flare!$C$7="",0,(SUMIF(Flare!$B$46:$B$185,$J3669,Flare!$E$46:$E$185)*Impacts!$F$16))</f>
        <v>0</v>
      </c>
      <c r="U3669" s="10">
        <f>IF(VCU!$C$9="",0,(SUMIF(VCU!$B$51:$B$193,$J3669,VCU!$E$51:$E$193)*Impacts!$F$17))</f>
        <v>0</v>
      </c>
      <c r="V3669" s="10">
        <f>IF(CAS!$C$7="",0,(SUMIF(CAS!$B$31:$B$167,$J3669,CAS!$E$31:$E$167)*Impacts!$F$18))</f>
        <v>0</v>
      </c>
      <c r="W3669" s="10">
        <f t="shared" si="97"/>
        <v>0</v>
      </c>
      <c r="AK3669" s="10" t="str">
        <f t="array" ref="AK3669">IFERROR(INDEX(SelectedSpecies,SMALL(IF(SelectedSpecies=AK$1,ROW(SelectedSpecies)),ROW(3670:3670)),2),"")</f>
        <v/>
      </c>
      <c r="BE3669" s="10"/>
      <c r="BI3669" s="10"/>
    </row>
    <row r="3670" spans="1:61" ht="21" customHeight="1" x14ac:dyDescent="0.25">
      <c r="A3670" s="10"/>
      <c r="B3670" s="10"/>
      <c r="E3670" s="10"/>
      <c r="G3670" s="10"/>
      <c r="I3670" s="436" t="s">
        <v>5297</v>
      </c>
      <c r="J3670" s="26" t="s">
        <v>5296</v>
      </c>
      <c r="K3670" s="10">
        <v>1.8</v>
      </c>
      <c r="L3670" s="73">
        <f>IF(Tank1!$C$23="No control",(SUMIF(Tank1!$B$32:$B$49,$J3670,Tank1!$C$32:$C$49)*Impacts!$F$8),0)</f>
        <v>0</v>
      </c>
      <c r="M3670" s="10">
        <f>IF(Tank2!$C$23="No control",(SUMIF(Tank2!$B$32:$B$49,$J3670,Tank2!$C$32:$C$49)*Impacts!$F$9),0)</f>
        <v>0</v>
      </c>
      <c r="N3670" s="10">
        <f>IF(Tank3!$C$23="No control",(SUMIF(Tank3!$B$32:$B$49,$J3670,Tank3!$C$32:$C$49)*Impacts!$F$10),0)</f>
        <v>0</v>
      </c>
      <c r="O3670" s="10">
        <f>IF(Tank4!$C$23="No control",(SUMIF(Tank4!$B$32:$B$49,$J3670,Tank4!$C$32:$C$49)*Impacts!$F$11),0)</f>
        <v>0</v>
      </c>
      <c r="P3670" s="10">
        <f>IF(Tank5!$C$23="No control",(SUMIF(Tank5!$B$32:$B$49,$J3670,Tank5!$C$32:$C$49)*Impacts!$F$12),0)</f>
        <v>0</v>
      </c>
      <c r="Q3670" s="10">
        <f>IFERROR(IF(('Loading-drum,tote'!$C$21)="No control",SUMIF(('Loading-drum,tote'!$B$31:$B$48),$J3670,('Loading-drum,tote'!$D$31:$D$48))*Impacts!$F$13,IF(('Loading-drum,tote'!$C$21)&lt;&gt;"No control",SUMIF(('Loading-drum,tote'!$B$31:$B$48),$J3670,('Loading-drum,tote'!$E$31:$E$48))*Impacts!$F$13,0)),0)</f>
        <v>0</v>
      </c>
      <c r="R3670" s="10">
        <f>IFERROR(IF(('Loading-truck'!$C$21)="No control",SUMIF(('Loading-truck'!$B$31:$B$48),$J3670,('Loading-truck'!$D$31:$D$48))*Impacts!$F$14,IF(('Loading-truck'!$C$21)&lt;&gt;"No control",SUMIF(('Loading-truck'!$B$31:$B$48),$J3670,('Loading-truck'!$E$31:$E$48))*Impacts!$F$14,0)),0)</f>
        <v>0</v>
      </c>
      <c r="S3670" s="10">
        <f>IFERROR(IF(('Loading-rail'!$C$21)="No control",SUMIF(('Loading-rail'!$B$31:$B$48),$J3670,('Loading-rail'!$D$31:$D$48))*Impacts!$F$15,IF(('Loading-rail'!$C$21)&lt;&gt;"No control",SUMIF(('Loading-rail'!$B$31:$B$48),$J3670,('Loading-rail'!$E$31:$E$48))*Impacts!$F$15,0)),0)</f>
        <v>0</v>
      </c>
      <c r="T3670" s="10">
        <f>IF(Flare!$C$7="",0,(SUMIF(Flare!$B$46:$B$185,$J3670,Flare!$E$46:$E$185)*Impacts!$F$16))</f>
        <v>0</v>
      </c>
      <c r="U3670" s="10">
        <f>IF(VCU!$C$9="",0,(SUMIF(VCU!$B$51:$B$193,$J3670,VCU!$E$51:$E$193)*Impacts!$F$17))</f>
        <v>0</v>
      </c>
      <c r="V3670" s="10">
        <f>IF(CAS!$C$7="",0,(SUMIF(CAS!$B$31:$B$167,$J3670,CAS!$E$31:$E$167)*Impacts!$F$18))</f>
        <v>0</v>
      </c>
      <c r="W3670" s="10">
        <f t="shared" si="97"/>
        <v>0</v>
      </c>
      <c r="AK3670" s="10" t="str">
        <f t="array" ref="AK3670">IFERROR(INDEX(SelectedSpecies,SMALL(IF(SelectedSpecies=AK$1,ROW(SelectedSpecies)),ROW(3671:3671)),2),"")</f>
        <v/>
      </c>
      <c r="BE3670" s="10"/>
      <c r="BI3670" s="10"/>
    </row>
    <row r="3671" spans="1:61" ht="21" customHeight="1" x14ac:dyDescent="0.25">
      <c r="A3671" s="10"/>
      <c r="B3671" s="10"/>
      <c r="E3671" s="10"/>
      <c r="G3671" s="10"/>
      <c r="I3671" s="436" t="s">
        <v>7340</v>
      </c>
      <c r="J3671" s="26" t="s">
        <v>7339</v>
      </c>
      <c r="K3671" s="10">
        <v>0.26</v>
      </c>
      <c r="L3671" s="73">
        <f>IF(Tank1!$C$23="No control",(SUMIF(Tank1!$B$32:$B$49,$J3671,Tank1!$C$32:$C$49)*Impacts!$F$8),0)</f>
        <v>0</v>
      </c>
      <c r="M3671" s="10">
        <f>IF(Tank2!$C$23="No control",(SUMIF(Tank2!$B$32:$B$49,$J3671,Tank2!$C$32:$C$49)*Impacts!$F$9),0)</f>
        <v>0</v>
      </c>
      <c r="N3671" s="10">
        <f>IF(Tank3!$C$23="No control",(SUMIF(Tank3!$B$32:$B$49,$J3671,Tank3!$C$32:$C$49)*Impacts!$F$10),0)</f>
        <v>0</v>
      </c>
      <c r="O3671" s="10">
        <f>IF(Tank4!$C$23="No control",(SUMIF(Tank4!$B$32:$B$49,$J3671,Tank4!$C$32:$C$49)*Impacts!$F$11),0)</f>
        <v>0</v>
      </c>
      <c r="P3671" s="10">
        <f>IF(Tank5!$C$23="No control",(SUMIF(Tank5!$B$32:$B$49,$J3671,Tank5!$C$32:$C$49)*Impacts!$F$12),0)</f>
        <v>0</v>
      </c>
      <c r="Q3671" s="10">
        <f>IFERROR(IF(('Loading-drum,tote'!$C$21)="No control",SUMIF(('Loading-drum,tote'!$B$31:$B$48),$J3671,('Loading-drum,tote'!$D$31:$D$48))*Impacts!$F$13,IF(('Loading-drum,tote'!$C$21)&lt;&gt;"No control",SUMIF(('Loading-drum,tote'!$B$31:$B$48),$J3671,('Loading-drum,tote'!$E$31:$E$48))*Impacts!$F$13,0)),0)</f>
        <v>0</v>
      </c>
      <c r="R3671" s="10">
        <f>IFERROR(IF(('Loading-truck'!$C$21)="No control",SUMIF(('Loading-truck'!$B$31:$B$48),$J3671,('Loading-truck'!$D$31:$D$48))*Impacts!$F$14,IF(('Loading-truck'!$C$21)&lt;&gt;"No control",SUMIF(('Loading-truck'!$B$31:$B$48),$J3671,('Loading-truck'!$E$31:$E$48))*Impacts!$F$14,0)),0)</f>
        <v>0</v>
      </c>
      <c r="S3671" s="10">
        <f>IFERROR(IF(('Loading-rail'!$C$21)="No control",SUMIF(('Loading-rail'!$B$31:$B$48),$J3671,('Loading-rail'!$D$31:$D$48))*Impacts!$F$15,IF(('Loading-rail'!$C$21)&lt;&gt;"No control",SUMIF(('Loading-rail'!$B$31:$B$48),$J3671,('Loading-rail'!$E$31:$E$48))*Impacts!$F$15,0)),0)</f>
        <v>0</v>
      </c>
      <c r="T3671" s="10">
        <f>IF(Flare!$C$7="",0,(SUMIF(Flare!$B$46:$B$185,$J3671,Flare!$E$46:$E$185)*Impacts!$F$16))</f>
        <v>0</v>
      </c>
      <c r="U3671" s="10">
        <f>IF(VCU!$C$9="",0,(SUMIF(VCU!$B$51:$B$193,$J3671,VCU!$E$51:$E$193)*Impacts!$F$17))</f>
        <v>0</v>
      </c>
      <c r="V3671" s="10">
        <f>IF(CAS!$C$7="",0,(SUMIF(CAS!$B$31:$B$167,$J3671,CAS!$E$31:$E$167)*Impacts!$F$18))</f>
        <v>0</v>
      </c>
      <c r="W3671" s="10">
        <f t="shared" si="97"/>
        <v>0</v>
      </c>
      <c r="AK3671" s="10" t="str">
        <f t="array" ref="AK3671">IFERROR(INDEX(SelectedSpecies,SMALL(IF(SelectedSpecies=AK$1,ROW(SelectedSpecies)),ROW(3672:3672)),2),"")</f>
        <v/>
      </c>
      <c r="BE3671" s="10"/>
      <c r="BI3671" s="10"/>
    </row>
    <row r="3672" spans="1:61" ht="21" customHeight="1" x14ac:dyDescent="0.25">
      <c r="A3672" s="10"/>
      <c r="B3672" s="10"/>
      <c r="E3672" s="10"/>
      <c r="G3672" s="10"/>
      <c r="I3672" s="436" t="s">
        <v>8296</v>
      </c>
      <c r="J3672" s="26" t="s">
        <v>8295</v>
      </c>
      <c r="K3672" s="10">
        <v>2E-3</v>
      </c>
      <c r="L3672" s="73">
        <f>IF(Tank1!$C$23="No control",(SUMIF(Tank1!$B$32:$B$49,$J3672,Tank1!$C$32:$C$49)*Impacts!$F$8),0)</f>
        <v>0</v>
      </c>
      <c r="M3672" s="10">
        <f>IF(Tank2!$C$23="No control",(SUMIF(Tank2!$B$32:$B$49,$J3672,Tank2!$C$32:$C$49)*Impacts!$F$9),0)</f>
        <v>0</v>
      </c>
      <c r="N3672" s="10">
        <f>IF(Tank3!$C$23="No control",(SUMIF(Tank3!$B$32:$B$49,$J3672,Tank3!$C$32:$C$49)*Impacts!$F$10),0)</f>
        <v>0</v>
      </c>
      <c r="O3672" s="10">
        <f>IF(Tank4!$C$23="No control",(SUMIF(Tank4!$B$32:$B$49,$J3672,Tank4!$C$32:$C$49)*Impacts!$F$11),0)</f>
        <v>0</v>
      </c>
      <c r="P3672" s="10">
        <f>IF(Tank5!$C$23="No control",(SUMIF(Tank5!$B$32:$B$49,$J3672,Tank5!$C$32:$C$49)*Impacts!$F$12),0)</f>
        <v>0</v>
      </c>
      <c r="Q3672" s="10">
        <f>IFERROR(IF(('Loading-drum,tote'!$C$21)="No control",SUMIF(('Loading-drum,tote'!$B$31:$B$48),$J3672,('Loading-drum,tote'!$D$31:$D$48))*Impacts!$F$13,IF(('Loading-drum,tote'!$C$21)&lt;&gt;"No control",SUMIF(('Loading-drum,tote'!$B$31:$B$48),$J3672,('Loading-drum,tote'!$E$31:$E$48))*Impacts!$F$13,0)),0)</f>
        <v>0</v>
      </c>
      <c r="R3672" s="10">
        <f>IFERROR(IF(('Loading-truck'!$C$21)="No control",SUMIF(('Loading-truck'!$B$31:$B$48),$J3672,('Loading-truck'!$D$31:$D$48))*Impacts!$F$14,IF(('Loading-truck'!$C$21)&lt;&gt;"No control",SUMIF(('Loading-truck'!$B$31:$B$48),$J3672,('Loading-truck'!$E$31:$E$48))*Impacts!$F$14,0)),0)</f>
        <v>0</v>
      </c>
      <c r="S3672" s="10">
        <f>IFERROR(IF(('Loading-rail'!$C$21)="No control",SUMIF(('Loading-rail'!$B$31:$B$48),$J3672,('Loading-rail'!$D$31:$D$48))*Impacts!$F$15,IF(('Loading-rail'!$C$21)&lt;&gt;"No control",SUMIF(('Loading-rail'!$B$31:$B$48),$J3672,('Loading-rail'!$E$31:$E$48))*Impacts!$F$15,0)),0)</f>
        <v>0</v>
      </c>
      <c r="T3672" s="10">
        <f>IF(Flare!$C$7="",0,(SUMIF(Flare!$B$46:$B$185,$J3672,Flare!$E$46:$E$185)*Impacts!$F$16))</f>
        <v>0</v>
      </c>
      <c r="U3672" s="10">
        <f>IF(VCU!$C$9="",0,(SUMIF(VCU!$B$51:$B$193,$J3672,VCU!$E$51:$E$193)*Impacts!$F$17))</f>
        <v>0</v>
      </c>
      <c r="V3672" s="10">
        <f>IF(CAS!$C$7="",0,(SUMIF(CAS!$B$31:$B$167,$J3672,CAS!$E$31:$E$167)*Impacts!$F$18))</f>
        <v>0</v>
      </c>
      <c r="W3672" s="10">
        <f t="shared" si="97"/>
        <v>0</v>
      </c>
      <c r="AK3672" s="10" t="str">
        <f t="array" ref="AK3672">IFERROR(INDEX(SelectedSpecies,SMALL(IF(SelectedSpecies=AK$1,ROW(SelectedSpecies)),ROW(3673:3673)),2),"")</f>
        <v/>
      </c>
      <c r="BE3672" s="10"/>
      <c r="BI3672" s="10"/>
    </row>
    <row r="3673" spans="1:61" ht="21" customHeight="1" x14ac:dyDescent="0.25">
      <c r="A3673" s="10"/>
      <c r="B3673" s="10"/>
      <c r="E3673" s="10"/>
      <c r="G3673" s="10"/>
      <c r="I3673" s="436" t="s">
        <v>6948</v>
      </c>
      <c r="J3673" s="26" t="s">
        <v>6947</v>
      </c>
      <c r="K3673" s="10">
        <v>0.5</v>
      </c>
      <c r="L3673" s="73">
        <f>IF(Tank1!$C$23="No control",(SUMIF(Tank1!$B$32:$B$49,$J3673,Tank1!$C$32:$C$49)*Impacts!$F$8),0)</f>
        <v>0</v>
      </c>
      <c r="M3673" s="10">
        <f>IF(Tank2!$C$23="No control",(SUMIF(Tank2!$B$32:$B$49,$J3673,Tank2!$C$32:$C$49)*Impacts!$F$9),0)</f>
        <v>0</v>
      </c>
      <c r="N3673" s="10">
        <f>IF(Tank3!$C$23="No control",(SUMIF(Tank3!$B$32:$B$49,$J3673,Tank3!$C$32:$C$49)*Impacts!$F$10),0)</f>
        <v>0</v>
      </c>
      <c r="O3673" s="10">
        <f>IF(Tank4!$C$23="No control",(SUMIF(Tank4!$B$32:$B$49,$J3673,Tank4!$C$32:$C$49)*Impacts!$F$11),0)</f>
        <v>0</v>
      </c>
      <c r="P3673" s="10">
        <f>IF(Tank5!$C$23="No control",(SUMIF(Tank5!$B$32:$B$49,$J3673,Tank5!$C$32:$C$49)*Impacts!$F$12),0)</f>
        <v>0</v>
      </c>
      <c r="Q3673" s="10">
        <f>IFERROR(IF(('Loading-drum,tote'!$C$21)="No control",SUMIF(('Loading-drum,tote'!$B$31:$B$48),$J3673,('Loading-drum,tote'!$D$31:$D$48))*Impacts!$F$13,IF(('Loading-drum,tote'!$C$21)&lt;&gt;"No control",SUMIF(('Loading-drum,tote'!$B$31:$B$48),$J3673,('Loading-drum,tote'!$E$31:$E$48))*Impacts!$F$13,0)),0)</f>
        <v>0</v>
      </c>
      <c r="R3673" s="10">
        <f>IFERROR(IF(('Loading-truck'!$C$21)="No control",SUMIF(('Loading-truck'!$B$31:$B$48),$J3673,('Loading-truck'!$D$31:$D$48))*Impacts!$F$14,IF(('Loading-truck'!$C$21)&lt;&gt;"No control",SUMIF(('Loading-truck'!$B$31:$B$48),$J3673,('Loading-truck'!$E$31:$E$48))*Impacts!$F$14,0)),0)</f>
        <v>0</v>
      </c>
      <c r="S3673" s="10">
        <f>IFERROR(IF(('Loading-rail'!$C$21)="No control",SUMIF(('Loading-rail'!$B$31:$B$48),$J3673,('Loading-rail'!$D$31:$D$48))*Impacts!$F$15,IF(('Loading-rail'!$C$21)&lt;&gt;"No control",SUMIF(('Loading-rail'!$B$31:$B$48),$J3673,('Loading-rail'!$E$31:$E$48))*Impacts!$F$15,0)),0)</f>
        <v>0</v>
      </c>
      <c r="T3673" s="10">
        <f>IF(Flare!$C$7="",0,(SUMIF(Flare!$B$46:$B$185,$J3673,Flare!$E$46:$E$185)*Impacts!$F$16))</f>
        <v>0</v>
      </c>
      <c r="U3673" s="10">
        <f>IF(VCU!$C$9="",0,(SUMIF(VCU!$B$51:$B$193,$J3673,VCU!$E$51:$E$193)*Impacts!$F$17))</f>
        <v>0</v>
      </c>
      <c r="V3673" s="10">
        <f>IF(CAS!$C$7="",0,(SUMIF(CAS!$B$31:$B$167,$J3673,CAS!$E$31:$E$167)*Impacts!$F$18))</f>
        <v>0</v>
      </c>
      <c r="W3673" s="10">
        <f t="shared" si="97"/>
        <v>0</v>
      </c>
      <c r="AK3673" s="10" t="str">
        <f t="array" ref="AK3673">IFERROR(INDEX(SelectedSpecies,SMALL(IF(SelectedSpecies=AK$1,ROW(SelectedSpecies)),ROW(3674:3674)),2),"")</f>
        <v/>
      </c>
      <c r="BE3673" s="10"/>
      <c r="BI3673" s="10"/>
    </row>
    <row r="3674" spans="1:61" ht="21" customHeight="1" x14ac:dyDescent="0.25">
      <c r="A3674" s="10"/>
      <c r="B3674" s="10"/>
      <c r="E3674" s="10"/>
      <c r="G3674" s="10"/>
      <c r="I3674" s="436" t="s">
        <v>1735</v>
      </c>
      <c r="J3674" s="26" t="s">
        <v>1734</v>
      </c>
      <c r="K3674" s="10">
        <v>24.5</v>
      </c>
      <c r="L3674" s="73">
        <f>IF(Tank1!$C$23="No control",(SUMIF(Tank1!$B$32:$B$49,$J3674,Tank1!$C$32:$C$49)*Impacts!$F$8),0)</f>
        <v>0</v>
      </c>
      <c r="M3674" s="10">
        <f>IF(Tank2!$C$23="No control",(SUMIF(Tank2!$B$32:$B$49,$J3674,Tank2!$C$32:$C$49)*Impacts!$F$9),0)</f>
        <v>0</v>
      </c>
      <c r="N3674" s="10">
        <f>IF(Tank3!$C$23="No control",(SUMIF(Tank3!$B$32:$B$49,$J3674,Tank3!$C$32:$C$49)*Impacts!$F$10),0)</f>
        <v>0</v>
      </c>
      <c r="O3674" s="10">
        <f>IF(Tank4!$C$23="No control",(SUMIF(Tank4!$B$32:$B$49,$J3674,Tank4!$C$32:$C$49)*Impacts!$F$11),0)</f>
        <v>0</v>
      </c>
      <c r="P3674" s="10">
        <f>IF(Tank5!$C$23="No control",(SUMIF(Tank5!$B$32:$B$49,$J3674,Tank5!$C$32:$C$49)*Impacts!$F$12),0)</f>
        <v>0</v>
      </c>
      <c r="Q3674" s="10">
        <f>IFERROR(IF(('Loading-drum,tote'!$C$21)="No control",SUMIF(('Loading-drum,tote'!$B$31:$B$48),$J3674,('Loading-drum,tote'!$D$31:$D$48))*Impacts!$F$13,IF(('Loading-drum,tote'!$C$21)&lt;&gt;"No control",SUMIF(('Loading-drum,tote'!$B$31:$B$48),$J3674,('Loading-drum,tote'!$E$31:$E$48))*Impacts!$F$13,0)),0)</f>
        <v>0</v>
      </c>
      <c r="R3674" s="10">
        <f>IFERROR(IF(('Loading-truck'!$C$21)="No control",SUMIF(('Loading-truck'!$B$31:$B$48),$J3674,('Loading-truck'!$D$31:$D$48))*Impacts!$F$14,IF(('Loading-truck'!$C$21)&lt;&gt;"No control",SUMIF(('Loading-truck'!$B$31:$B$48),$J3674,('Loading-truck'!$E$31:$E$48))*Impacts!$F$14,0)),0)</f>
        <v>0</v>
      </c>
      <c r="S3674" s="10">
        <f>IFERROR(IF(('Loading-rail'!$C$21)="No control",SUMIF(('Loading-rail'!$B$31:$B$48),$J3674,('Loading-rail'!$D$31:$D$48))*Impacts!$F$15,IF(('Loading-rail'!$C$21)&lt;&gt;"No control",SUMIF(('Loading-rail'!$B$31:$B$48),$J3674,('Loading-rail'!$E$31:$E$48))*Impacts!$F$15,0)),0)</f>
        <v>0</v>
      </c>
      <c r="T3674" s="10">
        <f>IF(Flare!$C$7="",0,(SUMIF(Flare!$B$46:$B$185,$J3674,Flare!$E$46:$E$185)*Impacts!$F$16))</f>
        <v>0</v>
      </c>
      <c r="U3674" s="10">
        <f>IF(VCU!$C$9="",0,(SUMIF(VCU!$B$51:$B$193,$J3674,VCU!$E$51:$E$193)*Impacts!$F$17))</f>
        <v>0</v>
      </c>
      <c r="V3674" s="10">
        <f>IF(CAS!$C$7="",0,(SUMIF(CAS!$B$31:$B$167,$J3674,CAS!$E$31:$E$167)*Impacts!$F$18))</f>
        <v>0</v>
      </c>
      <c r="W3674" s="10">
        <f t="shared" ref="W3674:W3737" si="98">SUM(L3674:V3674)</f>
        <v>0</v>
      </c>
      <c r="AK3674" s="10" t="str">
        <f t="array" ref="AK3674">IFERROR(INDEX(SelectedSpecies,SMALL(IF(SelectedSpecies=AK$1,ROW(SelectedSpecies)),ROW(3675:3675)),2),"")</f>
        <v/>
      </c>
      <c r="BE3674" s="10"/>
      <c r="BI3674" s="10"/>
    </row>
    <row r="3675" spans="1:61" ht="21" customHeight="1" x14ac:dyDescent="0.25">
      <c r="A3675" s="10"/>
      <c r="B3675" s="10"/>
      <c r="E3675" s="10"/>
      <c r="G3675" s="10"/>
      <c r="I3675" s="436" t="s">
        <v>6950</v>
      </c>
      <c r="J3675" s="26" t="s">
        <v>6949</v>
      </c>
      <c r="K3675" s="10">
        <v>0.5</v>
      </c>
      <c r="L3675" s="73">
        <f>IF(Tank1!$C$23="No control",(SUMIF(Tank1!$B$32:$B$49,$J3675,Tank1!$C$32:$C$49)*Impacts!$F$8),0)</f>
        <v>0</v>
      </c>
      <c r="M3675" s="10">
        <f>IF(Tank2!$C$23="No control",(SUMIF(Tank2!$B$32:$B$49,$J3675,Tank2!$C$32:$C$49)*Impacts!$F$9),0)</f>
        <v>0</v>
      </c>
      <c r="N3675" s="10">
        <f>IF(Tank3!$C$23="No control",(SUMIF(Tank3!$B$32:$B$49,$J3675,Tank3!$C$32:$C$49)*Impacts!$F$10),0)</f>
        <v>0</v>
      </c>
      <c r="O3675" s="10">
        <f>IF(Tank4!$C$23="No control",(SUMIF(Tank4!$B$32:$B$49,$J3675,Tank4!$C$32:$C$49)*Impacts!$F$11),0)</f>
        <v>0</v>
      </c>
      <c r="P3675" s="10">
        <f>IF(Tank5!$C$23="No control",(SUMIF(Tank5!$B$32:$B$49,$J3675,Tank5!$C$32:$C$49)*Impacts!$F$12),0)</f>
        <v>0</v>
      </c>
      <c r="Q3675" s="10">
        <f>IFERROR(IF(('Loading-drum,tote'!$C$21)="No control",SUMIF(('Loading-drum,tote'!$B$31:$B$48),$J3675,('Loading-drum,tote'!$D$31:$D$48))*Impacts!$F$13,IF(('Loading-drum,tote'!$C$21)&lt;&gt;"No control",SUMIF(('Loading-drum,tote'!$B$31:$B$48),$J3675,('Loading-drum,tote'!$E$31:$E$48))*Impacts!$F$13,0)),0)</f>
        <v>0</v>
      </c>
      <c r="R3675" s="10">
        <f>IFERROR(IF(('Loading-truck'!$C$21)="No control",SUMIF(('Loading-truck'!$B$31:$B$48),$J3675,('Loading-truck'!$D$31:$D$48))*Impacts!$F$14,IF(('Loading-truck'!$C$21)&lt;&gt;"No control",SUMIF(('Loading-truck'!$B$31:$B$48),$J3675,('Loading-truck'!$E$31:$E$48))*Impacts!$F$14,0)),0)</f>
        <v>0</v>
      </c>
      <c r="S3675" s="10">
        <f>IFERROR(IF(('Loading-rail'!$C$21)="No control",SUMIF(('Loading-rail'!$B$31:$B$48),$J3675,('Loading-rail'!$D$31:$D$48))*Impacts!$F$15,IF(('Loading-rail'!$C$21)&lt;&gt;"No control",SUMIF(('Loading-rail'!$B$31:$B$48),$J3675,('Loading-rail'!$E$31:$E$48))*Impacts!$F$15,0)),0)</f>
        <v>0</v>
      </c>
      <c r="T3675" s="10">
        <f>IF(Flare!$C$7="",0,(SUMIF(Flare!$B$46:$B$185,$J3675,Flare!$E$46:$E$185)*Impacts!$F$16))</f>
        <v>0</v>
      </c>
      <c r="U3675" s="10">
        <f>IF(VCU!$C$9="",0,(SUMIF(VCU!$B$51:$B$193,$J3675,VCU!$E$51:$E$193)*Impacts!$F$17))</f>
        <v>0</v>
      </c>
      <c r="V3675" s="10">
        <f>IF(CAS!$C$7="",0,(SUMIF(CAS!$B$31:$B$167,$J3675,CAS!$E$31:$E$167)*Impacts!$F$18))</f>
        <v>0</v>
      </c>
      <c r="W3675" s="10">
        <f t="shared" si="98"/>
        <v>0</v>
      </c>
      <c r="AK3675" s="10" t="str">
        <f t="array" ref="AK3675">IFERROR(INDEX(SelectedSpecies,SMALL(IF(SelectedSpecies=AK$1,ROW(SelectedSpecies)),ROW(3676:3676)),2),"")</f>
        <v/>
      </c>
      <c r="BE3675" s="10"/>
      <c r="BI3675" s="10"/>
    </row>
    <row r="3676" spans="1:61" ht="21" customHeight="1" x14ac:dyDescent="0.25">
      <c r="A3676" s="10"/>
      <c r="B3676" s="10"/>
      <c r="E3676" s="10"/>
      <c r="G3676" s="10"/>
      <c r="I3676" s="436" t="s">
        <v>3371</v>
      </c>
      <c r="J3676" s="26" t="s">
        <v>3370</v>
      </c>
      <c r="K3676" s="10">
        <v>10</v>
      </c>
      <c r="L3676" s="73">
        <f>IF(Tank1!$C$23="No control",(SUMIF(Tank1!$B$32:$B$49,$J3676,Tank1!$C$32:$C$49)*Impacts!$F$8),0)</f>
        <v>0</v>
      </c>
      <c r="M3676" s="10">
        <f>IF(Tank2!$C$23="No control",(SUMIF(Tank2!$B$32:$B$49,$J3676,Tank2!$C$32:$C$49)*Impacts!$F$9),0)</f>
        <v>0</v>
      </c>
      <c r="N3676" s="10">
        <f>IF(Tank3!$C$23="No control",(SUMIF(Tank3!$B$32:$B$49,$J3676,Tank3!$C$32:$C$49)*Impacts!$F$10),0)</f>
        <v>0</v>
      </c>
      <c r="O3676" s="10">
        <f>IF(Tank4!$C$23="No control",(SUMIF(Tank4!$B$32:$B$49,$J3676,Tank4!$C$32:$C$49)*Impacts!$F$11),0)</f>
        <v>0</v>
      </c>
      <c r="P3676" s="10">
        <f>IF(Tank5!$C$23="No control",(SUMIF(Tank5!$B$32:$B$49,$J3676,Tank5!$C$32:$C$49)*Impacts!$F$12),0)</f>
        <v>0</v>
      </c>
      <c r="Q3676" s="10">
        <f>IFERROR(IF(('Loading-drum,tote'!$C$21)="No control",SUMIF(('Loading-drum,tote'!$B$31:$B$48),$J3676,('Loading-drum,tote'!$D$31:$D$48))*Impacts!$F$13,IF(('Loading-drum,tote'!$C$21)&lt;&gt;"No control",SUMIF(('Loading-drum,tote'!$B$31:$B$48),$J3676,('Loading-drum,tote'!$E$31:$E$48))*Impacts!$F$13,0)),0)</f>
        <v>0</v>
      </c>
      <c r="R3676" s="10">
        <f>IFERROR(IF(('Loading-truck'!$C$21)="No control",SUMIF(('Loading-truck'!$B$31:$B$48),$J3676,('Loading-truck'!$D$31:$D$48))*Impacts!$F$14,IF(('Loading-truck'!$C$21)&lt;&gt;"No control",SUMIF(('Loading-truck'!$B$31:$B$48),$J3676,('Loading-truck'!$E$31:$E$48))*Impacts!$F$14,0)),0)</f>
        <v>0</v>
      </c>
      <c r="S3676" s="10">
        <f>IFERROR(IF(('Loading-rail'!$C$21)="No control",SUMIF(('Loading-rail'!$B$31:$B$48),$J3676,('Loading-rail'!$D$31:$D$48))*Impacts!$F$15,IF(('Loading-rail'!$C$21)&lt;&gt;"No control",SUMIF(('Loading-rail'!$B$31:$B$48),$J3676,('Loading-rail'!$E$31:$E$48))*Impacts!$F$15,0)),0)</f>
        <v>0</v>
      </c>
      <c r="T3676" s="10">
        <f>IF(Flare!$C$7="",0,(SUMIF(Flare!$B$46:$B$185,$J3676,Flare!$E$46:$E$185)*Impacts!$F$16))</f>
        <v>0</v>
      </c>
      <c r="U3676" s="10">
        <f>IF(VCU!$C$9="",0,(SUMIF(VCU!$B$51:$B$193,$J3676,VCU!$E$51:$E$193)*Impacts!$F$17))</f>
        <v>0</v>
      </c>
      <c r="V3676" s="10">
        <f>IF(CAS!$C$7="",0,(SUMIF(CAS!$B$31:$B$167,$J3676,CAS!$E$31:$E$167)*Impacts!$F$18))</f>
        <v>0</v>
      </c>
      <c r="W3676" s="10">
        <f t="shared" si="98"/>
        <v>0</v>
      </c>
      <c r="AK3676" s="10" t="str">
        <f t="array" ref="AK3676">IFERROR(INDEX(SelectedSpecies,SMALL(IF(SelectedSpecies=AK$1,ROW(SelectedSpecies)),ROW(3677:3677)),2),"")</f>
        <v/>
      </c>
      <c r="BE3676" s="10"/>
      <c r="BI3676" s="10"/>
    </row>
    <row r="3677" spans="1:61" ht="21" customHeight="1" x14ac:dyDescent="0.25">
      <c r="A3677" s="10"/>
      <c r="B3677" s="10"/>
      <c r="E3677" s="10"/>
      <c r="G3677" s="10"/>
      <c r="I3677" s="436" t="s">
        <v>2627</v>
      </c>
      <c r="J3677" s="26" t="s">
        <v>2626</v>
      </c>
      <c r="K3677" s="10">
        <v>10</v>
      </c>
      <c r="L3677" s="73">
        <f>IF(Tank1!$C$23="No control",(SUMIF(Tank1!$B$32:$B$49,$J3677,Tank1!$C$32:$C$49)*Impacts!$F$8),0)</f>
        <v>0</v>
      </c>
      <c r="M3677" s="10">
        <f>IF(Tank2!$C$23="No control",(SUMIF(Tank2!$B$32:$B$49,$J3677,Tank2!$C$32:$C$49)*Impacts!$F$9),0)</f>
        <v>0</v>
      </c>
      <c r="N3677" s="10">
        <f>IF(Tank3!$C$23="No control",(SUMIF(Tank3!$B$32:$B$49,$J3677,Tank3!$C$32:$C$49)*Impacts!$F$10),0)</f>
        <v>0</v>
      </c>
      <c r="O3677" s="10">
        <f>IF(Tank4!$C$23="No control",(SUMIF(Tank4!$B$32:$B$49,$J3677,Tank4!$C$32:$C$49)*Impacts!$F$11),0)</f>
        <v>0</v>
      </c>
      <c r="P3677" s="10">
        <f>IF(Tank5!$C$23="No control",(SUMIF(Tank5!$B$32:$B$49,$J3677,Tank5!$C$32:$C$49)*Impacts!$F$12),0)</f>
        <v>0</v>
      </c>
      <c r="Q3677" s="10">
        <f>IFERROR(IF(('Loading-drum,tote'!$C$21)="No control",SUMIF(('Loading-drum,tote'!$B$31:$B$48),$J3677,('Loading-drum,tote'!$D$31:$D$48))*Impacts!$F$13,IF(('Loading-drum,tote'!$C$21)&lt;&gt;"No control",SUMIF(('Loading-drum,tote'!$B$31:$B$48),$J3677,('Loading-drum,tote'!$E$31:$E$48))*Impacts!$F$13,0)),0)</f>
        <v>0</v>
      </c>
      <c r="R3677" s="10">
        <f>IFERROR(IF(('Loading-truck'!$C$21)="No control",SUMIF(('Loading-truck'!$B$31:$B$48),$J3677,('Loading-truck'!$D$31:$D$48))*Impacts!$F$14,IF(('Loading-truck'!$C$21)&lt;&gt;"No control",SUMIF(('Loading-truck'!$B$31:$B$48),$J3677,('Loading-truck'!$E$31:$E$48))*Impacts!$F$14,0)),0)</f>
        <v>0</v>
      </c>
      <c r="S3677" s="10">
        <f>IFERROR(IF(('Loading-rail'!$C$21)="No control",SUMIF(('Loading-rail'!$B$31:$B$48),$J3677,('Loading-rail'!$D$31:$D$48))*Impacts!$F$15,IF(('Loading-rail'!$C$21)&lt;&gt;"No control",SUMIF(('Loading-rail'!$B$31:$B$48),$J3677,('Loading-rail'!$E$31:$E$48))*Impacts!$F$15,0)),0)</f>
        <v>0</v>
      </c>
      <c r="T3677" s="10">
        <f>IF(Flare!$C$7="",0,(SUMIF(Flare!$B$46:$B$185,$J3677,Flare!$E$46:$E$185)*Impacts!$F$16))</f>
        <v>0</v>
      </c>
      <c r="U3677" s="10">
        <f>IF(VCU!$C$9="",0,(SUMIF(VCU!$B$51:$B$193,$J3677,VCU!$E$51:$E$193)*Impacts!$F$17))</f>
        <v>0</v>
      </c>
      <c r="V3677" s="10">
        <f>IF(CAS!$C$7="",0,(SUMIF(CAS!$B$31:$B$167,$J3677,CAS!$E$31:$E$167)*Impacts!$F$18))</f>
        <v>0</v>
      </c>
      <c r="W3677" s="10">
        <f t="shared" si="98"/>
        <v>0</v>
      </c>
      <c r="AK3677" s="10" t="str">
        <f t="array" ref="AK3677">IFERROR(INDEX(SelectedSpecies,SMALL(IF(SelectedSpecies=AK$1,ROW(SelectedSpecies)),ROW(3678:3678)),2),"")</f>
        <v/>
      </c>
      <c r="BE3677" s="10"/>
      <c r="BI3677" s="10"/>
    </row>
    <row r="3678" spans="1:61" ht="21" customHeight="1" x14ac:dyDescent="0.25">
      <c r="A3678" s="10"/>
      <c r="B3678" s="10"/>
      <c r="E3678" s="10"/>
      <c r="G3678" s="10"/>
      <c r="I3678" s="436" t="s">
        <v>10429</v>
      </c>
      <c r="J3678" s="26" t="s">
        <v>10430</v>
      </c>
      <c r="K3678" s="10">
        <v>11</v>
      </c>
      <c r="L3678" s="73">
        <f>IF(Tank1!$C$23="No control",(SUMIF(Tank1!$B$32:$B$49,$J3678,Tank1!$C$32:$C$49)*Impacts!$F$8),0)</f>
        <v>0</v>
      </c>
      <c r="M3678" s="10">
        <f>IF(Tank2!$C$23="No control",(SUMIF(Tank2!$B$32:$B$49,$J3678,Tank2!$C$32:$C$49)*Impacts!$F$9),0)</f>
        <v>0</v>
      </c>
      <c r="N3678" s="10">
        <f>IF(Tank3!$C$23="No control",(SUMIF(Tank3!$B$32:$B$49,$J3678,Tank3!$C$32:$C$49)*Impacts!$F$10),0)</f>
        <v>0</v>
      </c>
      <c r="O3678" s="10">
        <f>IF(Tank4!$C$23="No control",(SUMIF(Tank4!$B$32:$B$49,$J3678,Tank4!$C$32:$C$49)*Impacts!$F$11),0)</f>
        <v>0</v>
      </c>
      <c r="P3678" s="10">
        <f>IF(Tank5!$C$23="No control",(SUMIF(Tank5!$B$32:$B$49,$J3678,Tank5!$C$32:$C$49)*Impacts!$F$12),0)</f>
        <v>0</v>
      </c>
      <c r="Q3678" s="10">
        <f>IFERROR(IF(('Loading-drum,tote'!$C$21)="No control",SUMIF(('Loading-drum,tote'!$B$31:$B$48),$J3678,('Loading-drum,tote'!$D$31:$D$48))*Impacts!$F$13,IF(('Loading-drum,tote'!$C$21)&lt;&gt;"No control",SUMIF(('Loading-drum,tote'!$B$31:$B$48),$J3678,('Loading-drum,tote'!$E$31:$E$48))*Impacts!$F$13,0)),0)</f>
        <v>0</v>
      </c>
      <c r="R3678" s="10">
        <f>IFERROR(IF(('Loading-truck'!$C$21)="No control",SUMIF(('Loading-truck'!$B$31:$B$48),$J3678,('Loading-truck'!$D$31:$D$48))*Impacts!$F$14,IF(('Loading-truck'!$C$21)&lt;&gt;"No control",SUMIF(('Loading-truck'!$B$31:$B$48),$J3678,('Loading-truck'!$E$31:$E$48))*Impacts!$F$14,0)),0)</f>
        <v>0</v>
      </c>
      <c r="S3678" s="10">
        <f>IFERROR(IF(('Loading-rail'!$C$21)="No control",SUMIF(('Loading-rail'!$B$31:$B$48),$J3678,('Loading-rail'!$D$31:$D$48))*Impacts!$F$15,IF(('Loading-rail'!$C$21)&lt;&gt;"No control",SUMIF(('Loading-rail'!$B$31:$B$48),$J3678,('Loading-rail'!$E$31:$E$48))*Impacts!$F$15,0)),0)</f>
        <v>0</v>
      </c>
      <c r="T3678" s="10">
        <f>IF(Flare!$C$7="",0,(SUMIF(Flare!$B$46:$B$185,$J3678,Flare!$E$46:$E$185)*Impacts!$F$16))</f>
        <v>0</v>
      </c>
      <c r="U3678" s="10">
        <f>IF(VCU!$C$9="",0,(SUMIF(VCU!$B$51:$B$193,$J3678,VCU!$E$51:$E$193)*Impacts!$F$17))</f>
        <v>0</v>
      </c>
      <c r="V3678" s="10">
        <f>IF(CAS!$C$7="",0,(SUMIF(CAS!$B$31:$B$167,$J3678,CAS!$E$31:$E$167)*Impacts!$F$18))</f>
        <v>0</v>
      </c>
      <c r="W3678" s="10">
        <f t="shared" si="98"/>
        <v>0</v>
      </c>
      <c r="AK3678" s="10" t="str">
        <f t="array" ref="AK3678">IFERROR(INDEX(SelectedSpecies,SMALL(IF(SelectedSpecies=AK$1,ROW(SelectedSpecies)),ROW(3679:3679)),2),"")</f>
        <v/>
      </c>
      <c r="BE3678" s="10"/>
      <c r="BI3678" s="10"/>
    </row>
    <row r="3679" spans="1:61" ht="21" customHeight="1" x14ac:dyDescent="0.25">
      <c r="A3679" s="10"/>
      <c r="B3679" s="10"/>
      <c r="E3679" s="10"/>
      <c r="G3679" s="10"/>
      <c r="I3679" s="436" t="s">
        <v>10431</v>
      </c>
      <c r="J3679" s="26" t="s">
        <v>10432</v>
      </c>
      <c r="K3679" s="10">
        <v>10</v>
      </c>
      <c r="L3679" s="73">
        <f>IF(Tank1!$C$23="No control",(SUMIF(Tank1!$B$32:$B$49,$J3679,Tank1!$C$32:$C$49)*Impacts!$F$8),0)</f>
        <v>0</v>
      </c>
      <c r="M3679" s="10">
        <f>IF(Tank2!$C$23="No control",(SUMIF(Tank2!$B$32:$B$49,$J3679,Tank2!$C$32:$C$49)*Impacts!$F$9),0)</f>
        <v>0</v>
      </c>
      <c r="N3679" s="10">
        <f>IF(Tank3!$C$23="No control",(SUMIF(Tank3!$B$32:$B$49,$J3679,Tank3!$C$32:$C$49)*Impacts!$F$10),0)</f>
        <v>0</v>
      </c>
      <c r="O3679" s="10">
        <f>IF(Tank4!$C$23="No control",(SUMIF(Tank4!$B$32:$B$49,$J3679,Tank4!$C$32:$C$49)*Impacts!$F$11),0)</f>
        <v>0</v>
      </c>
      <c r="P3679" s="10">
        <f>IF(Tank5!$C$23="No control",(SUMIF(Tank5!$B$32:$B$49,$J3679,Tank5!$C$32:$C$49)*Impacts!$F$12),0)</f>
        <v>0</v>
      </c>
      <c r="Q3679" s="10">
        <f>IFERROR(IF(('Loading-drum,tote'!$C$21)="No control",SUMIF(('Loading-drum,tote'!$B$31:$B$48),$J3679,('Loading-drum,tote'!$D$31:$D$48))*Impacts!$F$13,IF(('Loading-drum,tote'!$C$21)&lt;&gt;"No control",SUMIF(('Loading-drum,tote'!$B$31:$B$48),$J3679,('Loading-drum,tote'!$E$31:$E$48))*Impacts!$F$13,0)),0)</f>
        <v>0</v>
      </c>
      <c r="R3679" s="10">
        <f>IFERROR(IF(('Loading-truck'!$C$21)="No control",SUMIF(('Loading-truck'!$B$31:$B$48),$J3679,('Loading-truck'!$D$31:$D$48))*Impacts!$F$14,IF(('Loading-truck'!$C$21)&lt;&gt;"No control",SUMIF(('Loading-truck'!$B$31:$B$48),$J3679,('Loading-truck'!$E$31:$E$48))*Impacts!$F$14,0)),0)</f>
        <v>0</v>
      </c>
      <c r="S3679" s="10">
        <f>IFERROR(IF(('Loading-rail'!$C$21)="No control",SUMIF(('Loading-rail'!$B$31:$B$48),$J3679,('Loading-rail'!$D$31:$D$48))*Impacts!$F$15,IF(('Loading-rail'!$C$21)&lt;&gt;"No control",SUMIF(('Loading-rail'!$B$31:$B$48),$J3679,('Loading-rail'!$E$31:$E$48))*Impacts!$F$15,0)),0)</f>
        <v>0</v>
      </c>
      <c r="T3679" s="10">
        <f>IF(Flare!$C$7="",0,(SUMIF(Flare!$B$46:$B$185,$J3679,Flare!$E$46:$E$185)*Impacts!$F$16))</f>
        <v>0</v>
      </c>
      <c r="U3679" s="10">
        <f>IF(VCU!$C$9="",0,(SUMIF(VCU!$B$51:$B$193,$J3679,VCU!$E$51:$E$193)*Impacts!$F$17))</f>
        <v>0</v>
      </c>
      <c r="V3679" s="10">
        <f>IF(CAS!$C$7="",0,(SUMIF(CAS!$B$31:$B$167,$J3679,CAS!$E$31:$E$167)*Impacts!$F$18))</f>
        <v>0</v>
      </c>
      <c r="W3679" s="10">
        <f t="shared" si="98"/>
        <v>0</v>
      </c>
      <c r="AK3679" s="10" t="str">
        <f t="array" ref="AK3679">IFERROR(INDEX(SelectedSpecies,SMALL(IF(SelectedSpecies=AK$1,ROW(SelectedSpecies)),ROW(3680:3680)),2),"")</f>
        <v/>
      </c>
      <c r="BE3679" s="10"/>
      <c r="BI3679" s="10"/>
    </row>
    <row r="3680" spans="1:61" ht="21" customHeight="1" x14ac:dyDescent="0.25">
      <c r="A3680" s="10"/>
      <c r="B3680" s="10"/>
      <c r="E3680" s="10"/>
      <c r="G3680" s="10"/>
      <c r="I3680" s="436" t="s">
        <v>10433</v>
      </c>
      <c r="J3680" s="26" t="s">
        <v>10434</v>
      </c>
      <c r="K3680" s="10">
        <v>10</v>
      </c>
      <c r="L3680" s="73">
        <f>IF(Tank1!$C$23="No control",(SUMIF(Tank1!$B$32:$B$49,$J3680,Tank1!$C$32:$C$49)*Impacts!$F$8),0)</f>
        <v>0</v>
      </c>
      <c r="M3680" s="10">
        <f>IF(Tank2!$C$23="No control",(SUMIF(Tank2!$B$32:$B$49,$J3680,Tank2!$C$32:$C$49)*Impacts!$F$9),0)</f>
        <v>0</v>
      </c>
      <c r="N3680" s="10">
        <f>IF(Tank3!$C$23="No control",(SUMIF(Tank3!$B$32:$B$49,$J3680,Tank3!$C$32:$C$49)*Impacts!$F$10),0)</f>
        <v>0</v>
      </c>
      <c r="O3680" s="10">
        <f>IF(Tank4!$C$23="No control",(SUMIF(Tank4!$B$32:$B$49,$J3680,Tank4!$C$32:$C$49)*Impacts!$F$11),0)</f>
        <v>0</v>
      </c>
      <c r="P3680" s="10">
        <f>IF(Tank5!$C$23="No control",(SUMIF(Tank5!$B$32:$B$49,$J3680,Tank5!$C$32:$C$49)*Impacts!$F$12),0)</f>
        <v>0</v>
      </c>
      <c r="Q3680" s="10">
        <f>IFERROR(IF(('Loading-drum,tote'!$C$21)="No control",SUMIF(('Loading-drum,tote'!$B$31:$B$48),$J3680,('Loading-drum,tote'!$D$31:$D$48))*Impacts!$F$13,IF(('Loading-drum,tote'!$C$21)&lt;&gt;"No control",SUMIF(('Loading-drum,tote'!$B$31:$B$48),$J3680,('Loading-drum,tote'!$E$31:$E$48))*Impacts!$F$13,0)),0)</f>
        <v>0</v>
      </c>
      <c r="R3680" s="10">
        <f>IFERROR(IF(('Loading-truck'!$C$21)="No control",SUMIF(('Loading-truck'!$B$31:$B$48),$J3680,('Loading-truck'!$D$31:$D$48))*Impacts!$F$14,IF(('Loading-truck'!$C$21)&lt;&gt;"No control",SUMIF(('Loading-truck'!$B$31:$B$48),$J3680,('Loading-truck'!$E$31:$E$48))*Impacts!$F$14,0)),0)</f>
        <v>0</v>
      </c>
      <c r="S3680" s="10">
        <f>IFERROR(IF(('Loading-rail'!$C$21)="No control",SUMIF(('Loading-rail'!$B$31:$B$48),$J3680,('Loading-rail'!$D$31:$D$48))*Impacts!$F$15,IF(('Loading-rail'!$C$21)&lt;&gt;"No control",SUMIF(('Loading-rail'!$B$31:$B$48),$J3680,('Loading-rail'!$E$31:$E$48))*Impacts!$F$15,0)),0)</f>
        <v>0</v>
      </c>
      <c r="T3680" s="10">
        <f>IF(Flare!$C$7="",0,(SUMIF(Flare!$B$46:$B$185,$J3680,Flare!$E$46:$E$185)*Impacts!$F$16))</f>
        <v>0</v>
      </c>
      <c r="U3680" s="10">
        <f>IF(VCU!$C$9="",0,(SUMIF(VCU!$B$51:$B$193,$J3680,VCU!$E$51:$E$193)*Impacts!$F$17))</f>
        <v>0</v>
      </c>
      <c r="V3680" s="10">
        <f>IF(CAS!$C$7="",0,(SUMIF(CAS!$B$31:$B$167,$J3680,CAS!$E$31:$E$167)*Impacts!$F$18))</f>
        <v>0</v>
      </c>
      <c r="W3680" s="10">
        <f t="shared" si="98"/>
        <v>0</v>
      </c>
      <c r="AK3680" s="10" t="str">
        <f t="array" ref="AK3680">IFERROR(INDEX(SelectedSpecies,SMALL(IF(SelectedSpecies=AK$1,ROW(SelectedSpecies)),ROW(3681:3681)),2),"")</f>
        <v/>
      </c>
      <c r="BE3680" s="10"/>
      <c r="BI3680" s="10"/>
    </row>
    <row r="3681" spans="1:61" ht="21" customHeight="1" x14ac:dyDescent="0.25">
      <c r="A3681" s="10"/>
      <c r="B3681" s="10"/>
      <c r="E3681" s="10"/>
      <c r="G3681" s="10"/>
      <c r="I3681" s="436" t="s">
        <v>2629</v>
      </c>
      <c r="J3681" s="26" t="s">
        <v>2628</v>
      </c>
      <c r="K3681" s="10">
        <v>10</v>
      </c>
      <c r="L3681" s="73">
        <f>IF(Tank1!$C$23="No control",(SUMIF(Tank1!$B$32:$B$49,$J3681,Tank1!$C$32:$C$49)*Impacts!$F$8),0)</f>
        <v>0</v>
      </c>
      <c r="M3681" s="10">
        <f>IF(Tank2!$C$23="No control",(SUMIF(Tank2!$B$32:$B$49,$J3681,Tank2!$C$32:$C$49)*Impacts!$F$9),0)</f>
        <v>0</v>
      </c>
      <c r="N3681" s="10">
        <f>IF(Tank3!$C$23="No control",(SUMIF(Tank3!$B$32:$B$49,$J3681,Tank3!$C$32:$C$49)*Impacts!$F$10),0)</f>
        <v>0</v>
      </c>
      <c r="O3681" s="10">
        <f>IF(Tank4!$C$23="No control",(SUMIF(Tank4!$B$32:$B$49,$J3681,Tank4!$C$32:$C$49)*Impacts!$F$11),0)</f>
        <v>0</v>
      </c>
      <c r="P3681" s="10">
        <f>IF(Tank5!$C$23="No control",(SUMIF(Tank5!$B$32:$B$49,$J3681,Tank5!$C$32:$C$49)*Impacts!$F$12),0)</f>
        <v>0</v>
      </c>
      <c r="Q3681" s="10">
        <f>IFERROR(IF(('Loading-drum,tote'!$C$21)="No control",SUMIF(('Loading-drum,tote'!$B$31:$B$48),$J3681,('Loading-drum,tote'!$D$31:$D$48))*Impacts!$F$13,IF(('Loading-drum,tote'!$C$21)&lt;&gt;"No control",SUMIF(('Loading-drum,tote'!$B$31:$B$48),$J3681,('Loading-drum,tote'!$E$31:$E$48))*Impacts!$F$13,0)),0)</f>
        <v>0</v>
      </c>
      <c r="R3681" s="10">
        <f>IFERROR(IF(('Loading-truck'!$C$21)="No control",SUMIF(('Loading-truck'!$B$31:$B$48),$J3681,('Loading-truck'!$D$31:$D$48))*Impacts!$F$14,IF(('Loading-truck'!$C$21)&lt;&gt;"No control",SUMIF(('Loading-truck'!$B$31:$B$48),$J3681,('Loading-truck'!$E$31:$E$48))*Impacts!$F$14,0)),0)</f>
        <v>0</v>
      </c>
      <c r="S3681" s="10">
        <f>IFERROR(IF(('Loading-rail'!$C$21)="No control",SUMIF(('Loading-rail'!$B$31:$B$48),$J3681,('Loading-rail'!$D$31:$D$48))*Impacts!$F$15,IF(('Loading-rail'!$C$21)&lt;&gt;"No control",SUMIF(('Loading-rail'!$B$31:$B$48),$J3681,('Loading-rail'!$E$31:$E$48))*Impacts!$F$15,0)),0)</f>
        <v>0</v>
      </c>
      <c r="T3681" s="10">
        <f>IF(Flare!$C$7="",0,(SUMIF(Flare!$B$46:$B$185,$J3681,Flare!$E$46:$E$185)*Impacts!$F$16))</f>
        <v>0</v>
      </c>
      <c r="U3681" s="10">
        <f>IF(VCU!$C$9="",0,(SUMIF(VCU!$B$51:$B$193,$J3681,VCU!$E$51:$E$193)*Impacts!$F$17))</f>
        <v>0</v>
      </c>
      <c r="V3681" s="10">
        <f>IF(CAS!$C$7="",0,(SUMIF(CAS!$B$31:$B$167,$J3681,CAS!$E$31:$E$167)*Impacts!$F$18))</f>
        <v>0</v>
      </c>
      <c r="W3681" s="10">
        <f t="shared" si="98"/>
        <v>0</v>
      </c>
      <c r="AK3681" s="10" t="str">
        <f t="array" ref="AK3681">IFERROR(INDEX(SelectedSpecies,SMALL(IF(SelectedSpecies=AK$1,ROW(SelectedSpecies)),ROW(3682:3682)),2),"")</f>
        <v/>
      </c>
      <c r="BE3681" s="10"/>
      <c r="BI3681" s="10"/>
    </row>
    <row r="3682" spans="1:61" ht="21" customHeight="1" x14ac:dyDescent="0.25">
      <c r="A3682" s="10"/>
      <c r="B3682" s="10"/>
      <c r="E3682" s="10"/>
      <c r="G3682" s="10"/>
      <c r="I3682" s="436" t="s">
        <v>10435</v>
      </c>
      <c r="J3682" s="26" t="s">
        <v>10436</v>
      </c>
      <c r="K3682" s="10">
        <v>10</v>
      </c>
      <c r="L3682" s="73">
        <f>IF(Tank1!$C$23="No control",(SUMIF(Tank1!$B$32:$B$49,$J3682,Tank1!$C$32:$C$49)*Impacts!$F$8),0)</f>
        <v>0</v>
      </c>
      <c r="M3682" s="10">
        <f>IF(Tank2!$C$23="No control",(SUMIF(Tank2!$B$32:$B$49,$J3682,Tank2!$C$32:$C$49)*Impacts!$F$9),0)</f>
        <v>0</v>
      </c>
      <c r="N3682" s="10">
        <f>IF(Tank3!$C$23="No control",(SUMIF(Tank3!$B$32:$B$49,$J3682,Tank3!$C$32:$C$49)*Impacts!$F$10),0)</f>
        <v>0</v>
      </c>
      <c r="O3682" s="10">
        <f>IF(Tank4!$C$23="No control",(SUMIF(Tank4!$B$32:$B$49,$J3682,Tank4!$C$32:$C$49)*Impacts!$F$11),0)</f>
        <v>0</v>
      </c>
      <c r="P3682" s="10">
        <f>IF(Tank5!$C$23="No control",(SUMIF(Tank5!$B$32:$B$49,$J3682,Tank5!$C$32:$C$49)*Impacts!$F$12),0)</f>
        <v>0</v>
      </c>
      <c r="Q3682" s="10">
        <f>IFERROR(IF(('Loading-drum,tote'!$C$21)="No control",SUMIF(('Loading-drum,tote'!$B$31:$B$48),$J3682,('Loading-drum,tote'!$D$31:$D$48))*Impacts!$F$13,IF(('Loading-drum,tote'!$C$21)&lt;&gt;"No control",SUMIF(('Loading-drum,tote'!$B$31:$B$48),$J3682,('Loading-drum,tote'!$E$31:$E$48))*Impacts!$F$13,0)),0)</f>
        <v>0</v>
      </c>
      <c r="R3682" s="10">
        <f>IFERROR(IF(('Loading-truck'!$C$21)="No control",SUMIF(('Loading-truck'!$B$31:$B$48),$J3682,('Loading-truck'!$D$31:$D$48))*Impacts!$F$14,IF(('Loading-truck'!$C$21)&lt;&gt;"No control",SUMIF(('Loading-truck'!$B$31:$B$48),$J3682,('Loading-truck'!$E$31:$E$48))*Impacts!$F$14,0)),0)</f>
        <v>0</v>
      </c>
      <c r="S3682" s="10">
        <f>IFERROR(IF(('Loading-rail'!$C$21)="No control",SUMIF(('Loading-rail'!$B$31:$B$48),$J3682,('Loading-rail'!$D$31:$D$48))*Impacts!$F$15,IF(('Loading-rail'!$C$21)&lt;&gt;"No control",SUMIF(('Loading-rail'!$B$31:$B$48),$J3682,('Loading-rail'!$E$31:$E$48))*Impacts!$F$15,0)),0)</f>
        <v>0</v>
      </c>
      <c r="T3682" s="10">
        <f>IF(Flare!$C$7="",0,(SUMIF(Flare!$B$46:$B$185,$J3682,Flare!$E$46:$E$185)*Impacts!$F$16))</f>
        <v>0</v>
      </c>
      <c r="U3682" s="10">
        <f>IF(VCU!$C$9="",0,(SUMIF(VCU!$B$51:$B$193,$J3682,VCU!$E$51:$E$193)*Impacts!$F$17))</f>
        <v>0</v>
      </c>
      <c r="V3682" s="10">
        <f>IF(CAS!$C$7="",0,(SUMIF(CAS!$B$31:$B$167,$J3682,CAS!$E$31:$E$167)*Impacts!$F$18))</f>
        <v>0</v>
      </c>
      <c r="W3682" s="10">
        <f t="shared" si="98"/>
        <v>0</v>
      </c>
      <c r="AK3682" s="10" t="str">
        <f t="array" ref="AK3682">IFERROR(INDEX(SelectedSpecies,SMALL(IF(SelectedSpecies=AK$1,ROW(SelectedSpecies)),ROW(3683:3683)),2),"")</f>
        <v/>
      </c>
      <c r="BE3682" s="10"/>
      <c r="BI3682" s="10"/>
    </row>
    <row r="3683" spans="1:61" ht="21" customHeight="1" x14ac:dyDescent="0.25">
      <c r="A3683" s="10"/>
      <c r="B3683" s="10"/>
      <c r="E3683" s="10"/>
      <c r="G3683" s="10"/>
      <c r="I3683" s="436" t="s">
        <v>10437</v>
      </c>
      <c r="J3683" s="26" t="s">
        <v>10438</v>
      </c>
      <c r="K3683" s="10">
        <v>10</v>
      </c>
      <c r="L3683" s="73">
        <f>IF(Tank1!$C$23="No control",(SUMIF(Tank1!$B$32:$B$49,$J3683,Tank1!$C$32:$C$49)*Impacts!$F$8),0)</f>
        <v>0</v>
      </c>
      <c r="M3683" s="10">
        <f>IF(Tank2!$C$23="No control",(SUMIF(Tank2!$B$32:$B$49,$J3683,Tank2!$C$32:$C$49)*Impacts!$F$9),0)</f>
        <v>0</v>
      </c>
      <c r="N3683" s="10">
        <f>IF(Tank3!$C$23="No control",(SUMIF(Tank3!$B$32:$B$49,$J3683,Tank3!$C$32:$C$49)*Impacts!$F$10),0)</f>
        <v>0</v>
      </c>
      <c r="O3683" s="10">
        <f>IF(Tank4!$C$23="No control",(SUMIF(Tank4!$B$32:$B$49,$J3683,Tank4!$C$32:$C$49)*Impacts!$F$11),0)</f>
        <v>0</v>
      </c>
      <c r="P3683" s="10">
        <f>IF(Tank5!$C$23="No control",(SUMIF(Tank5!$B$32:$B$49,$J3683,Tank5!$C$32:$C$49)*Impacts!$F$12),0)</f>
        <v>0</v>
      </c>
      <c r="Q3683" s="10">
        <f>IFERROR(IF(('Loading-drum,tote'!$C$21)="No control",SUMIF(('Loading-drum,tote'!$B$31:$B$48),$J3683,('Loading-drum,tote'!$D$31:$D$48))*Impacts!$F$13,IF(('Loading-drum,tote'!$C$21)&lt;&gt;"No control",SUMIF(('Loading-drum,tote'!$B$31:$B$48),$J3683,('Loading-drum,tote'!$E$31:$E$48))*Impacts!$F$13,0)),0)</f>
        <v>0</v>
      </c>
      <c r="R3683" s="10">
        <f>IFERROR(IF(('Loading-truck'!$C$21)="No control",SUMIF(('Loading-truck'!$B$31:$B$48),$J3683,('Loading-truck'!$D$31:$D$48))*Impacts!$F$14,IF(('Loading-truck'!$C$21)&lt;&gt;"No control",SUMIF(('Loading-truck'!$B$31:$B$48),$J3683,('Loading-truck'!$E$31:$E$48))*Impacts!$F$14,0)),0)</f>
        <v>0</v>
      </c>
      <c r="S3683" s="10">
        <f>IFERROR(IF(('Loading-rail'!$C$21)="No control",SUMIF(('Loading-rail'!$B$31:$B$48),$J3683,('Loading-rail'!$D$31:$D$48))*Impacts!$F$15,IF(('Loading-rail'!$C$21)&lt;&gt;"No control",SUMIF(('Loading-rail'!$B$31:$B$48),$J3683,('Loading-rail'!$E$31:$E$48))*Impacts!$F$15,0)),0)</f>
        <v>0</v>
      </c>
      <c r="T3683" s="10">
        <f>IF(Flare!$C$7="",0,(SUMIF(Flare!$B$46:$B$185,$J3683,Flare!$E$46:$E$185)*Impacts!$F$16))</f>
        <v>0</v>
      </c>
      <c r="U3683" s="10">
        <f>IF(VCU!$C$9="",0,(SUMIF(VCU!$B$51:$B$193,$J3683,VCU!$E$51:$E$193)*Impacts!$F$17))</f>
        <v>0</v>
      </c>
      <c r="V3683" s="10">
        <f>IF(CAS!$C$7="",0,(SUMIF(CAS!$B$31:$B$167,$J3683,CAS!$E$31:$E$167)*Impacts!$F$18))</f>
        <v>0</v>
      </c>
      <c r="W3683" s="10">
        <f t="shared" si="98"/>
        <v>0</v>
      </c>
      <c r="AK3683" s="10" t="str">
        <f t="array" ref="AK3683">IFERROR(INDEX(SelectedSpecies,SMALL(IF(SelectedSpecies=AK$1,ROW(SelectedSpecies)),ROW(3684:3684)),2),"")</f>
        <v/>
      </c>
      <c r="BE3683" s="10"/>
      <c r="BI3683" s="10"/>
    </row>
    <row r="3684" spans="1:61" ht="21" customHeight="1" x14ac:dyDescent="0.25">
      <c r="A3684" s="10"/>
      <c r="B3684" s="10"/>
      <c r="E3684" s="10"/>
      <c r="G3684" s="10"/>
      <c r="I3684" s="436" t="s">
        <v>10439</v>
      </c>
      <c r="J3684" s="26" t="s">
        <v>10440</v>
      </c>
      <c r="K3684" s="10">
        <v>10</v>
      </c>
      <c r="L3684" s="73">
        <f>IF(Tank1!$C$23="No control",(SUMIF(Tank1!$B$32:$B$49,$J3684,Tank1!$C$32:$C$49)*Impacts!$F$8),0)</f>
        <v>0</v>
      </c>
      <c r="M3684" s="10">
        <f>IF(Tank2!$C$23="No control",(SUMIF(Tank2!$B$32:$B$49,$J3684,Tank2!$C$32:$C$49)*Impacts!$F$9),0)</f>
        <v>0</v>
      </c>
      <c r="N3684" s="10">
        <f>IF(Tank3!$C$23="No control",(SUMIF(Tank3!$B$32:$B$49,$J3684,Tank3!$C$32:$C$49)*Impacts!$F$10),0)</f>
        <v>0</v>
      </c>
      <c r="O3684" s="10">
        <f>IF(Tank4!$C$23="No control",(SUMIF(Tank4!$B$32:$B$49,$J3684,Tank4!$C$32:$C$49)*Impacts!$F$11),0)</f>
        <v>0</v>
      </c>
      <c r="P3684" s="10">
        <f>IF(Tank5!$C$23="No control",(SUMIF(Tank5!$B$32:$B$49,$J3684,Tank5!$C$32:$C$49)*Impacts!$F$12),0)</f>
        <v>0</v>
      </c>
      <c r="Q3684" s="10">
        <f>IFERROR(IF(('Loading-drum,tote'!$C$21)="No control",SUMIF(('Loading-drum,tote'!$B$31:$B$48),$J3684,('Loading-drum,tote'!$D$31:$D$48))*Impacts!$F$13,IF(('Loading-drum,tote'!$C$21)&lt;&gt;"No control",SUMIF(('Loading-drum,tote'!$B$31:$B$48),$J3684,('Loading-drum,tote'!$E$31:$E$48))*Impacts!$F$13,0)),0)</f>
        <v>0</v>
      </c>
      <c r="R3684" s="10">
        <f>IFERROR(IF(('Loading-truck'!$C$21)="No control",SUMIF(('Loading-truck'!$B$31:$B$48),$J3684,('Loading-truck'!$D$31:$D$48))*Impacts!$F$14,IF(('Loading-truck'!$C$21)&lt;&gt;"No control",SUMIF(('Loading-truck'!$B$31:$B$48),$J3684,('Loading-truck'!$E$31:$E$48))*Impacts!$F$14,0)),0)</f>
        <v>0</v>
      </c>
      <c r="S3684" s="10">
        <f>IFERROR(IF(('Loading-rail'!$C$21)="No control",SUMIF(('Loading-rail'!$B$31:$B$48),$J3684,('Loading-rail'!$D$31:$D$48))*Impacts!$F$15,IF(('Loading-rail'!$C$21)&lt;&gt;"No control",SUMIF(('Loading-rail'!$B$31:$B$48),$J3684,('Loading-rail'!$E$31:$E$48))*Impacts!$F$15,0)),0)</f>
        <v>0</v>
      </c>
      <c r="T3684" s="10">
        <f>IF(Flare!$C$7="",0,(SUMIF(Flare!$B$46:$B$185,$J3684,Flare!$E$46:$E$185)*Impacts!$F$16))</f>
        <v>0</v>
      </c>
      <c r="U3684" s="10">
        <f>IF(VCU!$C$9="",0,(SUMIF(VCU!$B$51:$B$193,$J3684,VCU!$E$51:$E$193)*Impacts!$F$17))</f>
        <v>0</v>
      </c>
      <c r="V3684" s="10">
        <f>IF(CAS!$C$7="",0,(SUMIF(CAS!$B$31:$B$167,$J3684,CAS!$E$31:$E$167)*Impacts!$F$18))</f>
        <v>0</v>
      </c>
      <c r="W3684" s="10">
        <f t="shared" si="98"/>
        <v>0</v>
      </c>
      <c r="AK3684" s="10" t="str">
        <f t="array" ref="AK3684">IFERROR(INDEX(SelectedSpecies,SMALL(IF(SelectedSpecies=AK$1,ROW(SelectedSpecies)),ROW(3685:3685)),2),"")</f>
        <v/>
      </c>
      <c r="BE3684" s="10"/>
      <c r="BI3684" s="10"/>
    </row>
    <row r="3685" spans="1:61" ht="21" customHeight="1" x14ac:dyDescent="0.25">
      <c r="A3685" s="10"/>
      <c r="B3685" s="10"/>
      <c r="E3685" s="10"/>
      <c r="G3685" s="10"/>
      <c r="I3685" s="436" t="s">
        <v>10441</v>
      </c>
      <c r="J3685" s="26" t="s">
        <v>10442</v>
      </c>
      <c r="K3685" s="10">
        <v>10</v>
      </c>
      <c r="L3685" s="73">
        <f>IF(Tank1!$C$23="No control",(SUMIF(Tank1!$B$32:$B$49,$J3685,Tank1!$C$32:$C$49)*Impacts!$F$8),0)</f>
        <v>0</v>
      </c>
      <c r="M3685" s="10">
        <f>IF(Tank2!$C$23="No control",(SUMIF(Tank2!$B$32:$B$49,$J3685,Tank2!$C$32:$C$49)*Impacts!$F$9),0)</f>
        <v>0</v>
      </c>
      <c r="N3685" s="10">
        <f>IF(Tank3!$C$23="No control",(SUMIF(Tank3!$B$32:$B$49,$J3685,Tank3!$C$32:$C$49)*Impacts!$F$10),0)</f>
        <v>0</v>
      </c>
      <c r="O3685" s="10">
        <f>IF(Tank4!$C$23="No control",(SUMIF(Tank4!$B$32:$B$49,$J3685,Tank4!$C$32:$C$49)*Impacts!$F$11),0)</f>
        <v>0</v>
      </c>
      <c r="P3685" s="10">
        <f>IF(Tank5!$C$23="No control",(SUMIF(Tank5!$B$32:$B$49,$J3685,Tank5!$C$32:$C$49)*Impacts!$F$12),0)</f>
        <v>0</v>
      </c>
      <c r="Q3685" s="10">
        <f>IFERROR(IF(('Loading-drum,tote'!$C$21)="No control",SUMIF(('Loading-drum,tote'!$B$31:$B$48),$J3685,('Loading-drum,tote'!$D$31:$D$48))*Impacts!$F$13,IF(('Loading-drum,tote'!$C$21)&lt;&gt;"No control",SUMIF(('Loading-drum,tote'!$B$31:$B$48),$J3685,('Loading-drum,tote'!$E$31:$E$48))*Impacts!$F$13,0)),0)</f>
        <v>0</v>
      </c>
      <c r="R3685" s="10">
        <f>IFERROR(IF(('Loading-truck'!$C$21)="No control",SUMIF(('Loading-truck'!$B$31:$B$48),$J3685,('Loading-truck'!$D$31:$D$48))*Impacts!$F$14,IF(('Loading-truck'!$C$21)&lt;&gt;"No control",SUMIF(('Loading-truck'!$B$31:$B$48),$J3685,('Loading-truck'!$E$31:$E$48))*Impacts!$F$14,0)),0)</f>
        <v>0</v>
      </c>
      <c r="S3685" s="10">
        <f>IFERROR(IF(('Loading-rail'!$C$21)="No control",SUMIF(('Loading-rail'!$B$31:$B$48),$J3685,('Loading-rail'!$D$31:$D$48))*Impacts!$F$15,IF(('Loading-rail'!$C$21)&lt;&gt;"No control",SUMIF(('Loading-rail'!$B$31:$B$48),$J3685,('Loading-rail'!$E$31:$E$48))*Impacts!$F$15,0)),0)</f>
        <v>0</v>
      </c>
      <c r="T3685" s="10">
        <f>IF(Flare!$C$7="",0,(SUMIF(Flare!$B$46:$B$185,$J3685,Flare!$E$46:$E$185)*Impacts!$F$16))</f>
        <v>0</v>
      </c>
      <c r="U3685" s="10">
        <f>IF(VCU!$C$9="",0,(SUMIF(VCU!$B$51:$B$193,$J3685,VCU!$E$51:$E$193)*Impacts!$F$17))</f>
        <v>0</v>
      </c>
      <c r="V3685" s="10">
        <f>IF(CAS!$C$7="",0,(SUMIF(CAS!$B$31:$B$167,$J3685,CAS!$E$31:$E$167)*Impacts!$F$18))</f>
        <v>0</v>
      </c>
      <c r="W3685" s="10">
        <f t="shared" si="98"/>
        <v>0</v>
      </c>
      <c r="AK3685" s="10" t="str">
        <f t="array" ref="AK3685">IFERROR(INDEX(SelectedSpecies,SMALL(IF(SelectedSpecies=AK$1,ROW(SelectedSpecies)),ROW(3686:3686)),2),"")</f>
        <v/>
      </c>
      <c r="BE3685" s="10"/>
      <c r="BI3685" s="10"/>
    </row>
    <row r="3686" spans="1:61" ht="21" customHeight="1" x14ac:dyDescent="0.25">
      <c r="A3686" s="10"/>
      <c r="B3686" s="10"/>
      <c r="E3686" s="10"/>
      <c r="G3686" s="10"/>
      <c r="I3686" s="436" t="s">
        <v>2631</v>
      </c>
      <c r="J3686" s="26" t="s">
        <v>2630</v>
      </c>
      <c r="K3686" s="10">
        <v>10</v>
      </c>
      <c r="L3686" s="73">
        <f>IF(Tank1!$C$23="No control",(SUMIF(Tank1!$B$32:$B$49,$J3686,Tank1!$C$32:$C$49)*Impacts!$F$8),0)</f>
        <v>0</v>
      </c>
      <c r="M3686" s="10">
        <f>IF(Tank2!$C$23="No control",(SUMIF(Tank2!$B$32:$B$49,$J3686,Tank2!$C$32:$C$49)*Impacts!$F$9),0)</f>
        <v>0</v>
      </c>
      <c r="N3686" s="10">
        <f>IF(Tank3!$C$23="No control",(SUMIF(Tank3!$B$32:$B$49,$J3686,Tank3!$C$32:$C$49)*Impacts!$F$10),0)</f>
        <v>0</v>
      </c>
      <c r="O3686" s="10">
        <f>IF(Tank4!$C$23="No control",(SUMIF(Tank4!$B$32:$B$49,$J3686,Tank4!$C$32:$C$49)*Impacts!$F$11),0)</f>
        <v>0</v>
      </c>
      <c r="P3686" s="10">
        <f>IF(Tank5!$C$23="No control",(SUMIF(Tank5!$B$32:$B$49,$J3686,Tank5!$C$32:$C$49)*Impacts!$F$12),0)</f>
        <v>0</v>
      </c>
      <c r="Q3686" s="10">
        <f>IFERROR(IF(('Loading-drum,tote'!$C$21)="No control",SUMIF(('Loading-drum,tote'!$B$31:$B$48),$J3686,('Loading-drum,tote'!$D$31:$D$48))*Impacts!$F$13,IF(('Loading-drum,tote'!$C$21)&lt;&gt;"No control",SUMIF(('Loading-drum,tote'!$B$31:$B$48),$J3686,('Loading-drum,tote'!$E$31:$E$48))*Impacts!$F$13,0)),0)</f>
        <v>0</v>
      </c>
      <c r="R3686" s="10">
        <f>IFERROR(IF(('Loading-truck'!$C$21)="No control",SUMIF(('Loading-truck'!$B$31:$B$48),$J3686,('Loading-truck'!$D$31:$D$48))*Impacts!$F$14,IF(('Loading-truck'!$C$21)&lt;&gt;"No control",SUMIF(('Loading-truck'!$B$31:$B$48),$J3686,('Loading-truck'!$E$31:$E$48))*Impacts!$F$14,0)),0)</f>
        <v>0</v>
      </c>
      <c r="S3686" s="10">
        <f>IFERROR(IF(('Loading-rail'!$C$21)="No control",SUMIF(('Loading-rail'!$B$31:$B$48),$J3686,('Loading-rail'!$D$31:$D$48))*Impacts!$F$15,IF(('Loading-rail'!$C$21)&lt;&gt;"No control",SUMIF(('Loading-rail'!$B$31:$B$48),$J3686,('Loading-rail'!$E$31:$E$48))*Impacts!$F$15,0)),0)</f>
        <v>0</v>
      </c>
      <c r="T3686" s="10">
        <f>IF(Flare!$C$7="",0,(SUMIF(Flare!$B$46:$B$185,$J3686,Flare!$E$46:$E$185)*Impacts!$F$16))</f>
        <v>0</v>
      </c>
      <c r="U3686" s="10">
        <f>IF(VCU!$C$9="",0,(SUMIF(VCU!$B$51:$B$193,$J3686,VCU!$E$51:$E$193)*Impacts!$F$17))</f>
        <v>0</v>
      </c>
      <c r="V3686" s="10">
        <f>IF(CAS!$C$7="",0,(SUMIF(CAS!$B$31:$B$167,$J3686,CAS!$E$31:$E$167)*Impacts!$F$18))</f>
        <v>0</v>
      </c>
      <c r="W3686" s="10">
        <f t="shared" si="98"/>
        <v>0</v>
      </c>
      <c r="AK3686" s="10" t="str">
        <f t="array" ref="AK3686">IFERROR(INDEX(SelectedSpecies,SMALL(IF(SelectedSpecies=AK$1,ROW(SelectedSpecies)),ROW(3687:3687)),2),"")</f>
        <v/>
      </c>
      <c r="BE3686" s="10"/>
      <c r="BI3686" s="10"/>
    </row>
    <row r="3687" spans="1:61" ht="21" customHeight="1" x14ac:dyDescent="0.25">
      <c r="A3687" s="10"/>
      <c r="B3687" s="10"/>
      <c r="E3687" s="10"/>
      <c r="G3687" s="10"/>
      <c r="I3687" s="436" t="s">
        <v>10443</v>
      </c>
      <c r="J3687" s="26" t="s">
        <v>10444</v>
      </c>
      <c r="K3687" s="10">
        <v>10</v>
      </c>
      <c r="L3687" s="73">
        <f>IF(Tank1!$C$23="No control",(SUMIF(Tank1!$B$32:$B$49,$J3687,Tank1!$C$32:$C$49)*Impacts!$F$8),0)</f>
        <v>0</v>
      </c>
      <c r="M3687" s="10">
        <f>IF(Tank2!$C$23="No control",(SUMIF(Tank2!$B$32:$B$49,$J3687,Tank2!$C$32:$C$49)*Impacts!$F$9),0)</f>
        <v>0</v>
      </c>
      <c r="N3687" s="10">
        <f>IF(Tank3!$C$23="No control",(SUMIF(Tank3!$B$32:$B$49,$J3687,Tank3!$C$32:$C$49)*Impacts!$F$10),0)</f>
        <v>0</v>
      </c>
      <c r="O3687" s="10">
        <f>IF(Tank4!$C$23="No control",(SUMIF(Tank4!$B$32:$B$49,$J3687,Tank4!$C$32:$C$49)*Impacts!$F$11),0)</f>
        <v>0</v>
      </c>
      <c r="P3687" s="10">
        <f>IF(Tank5!$C$23="No control",(SUMIF(Tank5!$B$32:$B$49,$J3687,Tank5!$C$32:$C$49)*Impacts!$F$12),0)</f>
        <v>0</v>
      </c>
      <c r="Q3687" s="10">
        <f>IFERROR(IF(('Loading-drum,tote'!$C$21)="No control",SUMIF(('Loading-drum,tote'!$B$31:$B$48),$J3687,('Loading-drum,tote'!$D$31:$D$48))*Impacts!$F$13,IF(('Loading-drum,tote'!$C$21)&lt;&gt;"No control",SUMIF(('Loading-drum,tote'!$B$31:$B$48),$J3687,('Loading-drum,tote'!$E$31:$E$48))*Impacts!$F$13,0)),0)</f>
        <v>0</v>
      </c>
      <c r="R3687" s="10">
        <f>IFERROR(IF(('Loading-truck'!$C$21)="No control",SUMIF(('Loading-truck'!$B$31:$B$48),$J3687,('Loading-truck'!$D$31:$D$48))*Impacts!$F$14,IF(('Loading-truck'!$C$21)&lt;&gt;"No control",SUMIF(('Loading-truck'!$B$31:$B$48),$J3687,('Loading-truck'!$E$31:$E$48))*Impacts!$F$14,0)),0)</f>
        <v>0</v>
      </c>
      <c r="S3687" s="10">
        <f>IFERROR(IF(('Loading-rail'!$C$21)="No control",SUMIF(('Loading-rail'!$B$31:$B$48),$J3687,('Loading-rail'!$D$31:$D$48))*Impacts!$F$15,IF(('Loading-rail'!$C$21)&lt;&gt;"No control",SUMIF(('Loading-rail'!$B$31:$B$48),$J3687,('Loading-rail'!$E$31:$E$48))*Impacts!$F$15,0)),0)</f>
        <v>0</v>
      </c>
      <c r="T3687" s="10">
        <f>IF(Flare!$C$7="",0,(SUMIF(Flare!$B$46:$B$185,$J3687,Flare!$E$46:$E$185)*Impacts!$F$16))</f>
        <v>0</v>
      </c>
      <c r="U3687" s="10">
        <f>IF(VCU!$C$9="",0,(SUMIF(VCU!$B$51:$B$193,$J3687,VCU!$E$51:$E$193)*Impacts!$F$17))</f>
        <v>0</v>
      </c>
      <c r="V3687" s="10">
        <f>IF(CAS!$C$7="",0,(SUMIF(CAS!$B$31:$B$167,$J3687,CAS!$E$31:$E$167)*Impacts!$F$18))</f>
        <v>0</v>
      </c>
      <c r="W3687" s="10">
        <f t="shared" si="98"/>
        <v>0</v>
      </c>
      <c r="AK3687" s="10" t="str">
        <f t="array" ref="AK3687">IFERROR(INDEX(SelectedSpecies,SMALL(IF(SelectedSpecies=AK$1,ROW(SelectedSpecies)),ROW(3688:3688)),2),"")</f>
        <v/>
      </c>
      <c r="BE3687" s="10"/>
      <c r="BI3687" s="10"/>
    </row>
    <row r="3688" spans="1:61" ht="21" customHeight="1" x14ac:dyDescent="0.25">
      <c r="A3688" s="10"/>
      <c r="B3688" s="10"/>
      <c r="E3688" s="10"/>
      <c r="G3688" s="10"/>
      <c r="I3688" s="436" t="s">
        <v>10445</v>
      </c>
      <c r="J3688" s="26" t="s">
        <v>10446</v>
      </c>
      <c r="K3688" s="10">
        <v>10</v>
      </c>
      <c r="L3688" s="73">
        <f>IF(Tank1!$C$23="No control",(SUMIF(Tank1!$B$32:$B$49,$J3688,Tank1!$C$32:$C$49)*Impacts!$F$8),0)</f>
        <v>0</v>
      </c>
      <c r="M3688" s="10">
        <f>IF(Tank2!$C$23="No control",(SUMIF(Tank2!$B$32:$B$49,$J3688,Tank2!$C$32:$C$49)*Impacts!$F$9),0)</f>
        <v>0</v>
      </c>
      <c r="N3688" s="10">
        <f>IF(Tank3!$C$23="No control",(SUMIF(Tank3!$B$32:$B$49,$J3688,Tank3!$C$32:$C$49)*Impacts!$F$10),0)</f>
        <v>0</v>
      </c>
      <c r="O3688" s="10">
        <f>IF(Tank4!$C$23="No control",(SUMIF(Tank4!$B$32:$B$49,$J3688,Tank4!$C$32:$C$49)*Impacts!$F$11),0)</f>
        <v>0</v>
      </c>
      <c r="P3688" s="10">
        <f>IF(Tank5!$C$23="No control",(SUMIF(Tank5!$B$32:$B$49,$J3688,Tank5!$C$32:$C$49)*Impacts!$F$12),0)</f>
        <v>0</v>
      </c>
      <c r="Q3688" s="10">
        <f>IFERROR(IF(('Loading-drum,tote'!$C$21)="No control",SUMIF(('Loading-drum,tote'!$B$31:$B$48),$J3688,('Loading-drum,tote'!$D$31:$D$48))*Impacts!$F$13,IF(('Loading-drum,tote'!$C$21)&lt;&gt;"No control",SUMIF(('Loading-drum,tote'!$B$31:$B$48),$J3688,('Loading-drum,tote'!$E$31:$E$48))*Impacts!$F$13,0)),0)</f>
        <v>0</v>
      </c>
      <c r="R3688" s="10">
        <f>IFERROR(IF(('Loading-truck'!$C$21)="No control",SUMIF(('Loading-truck'!$B$31:$B$48),$J3688,('Loading-truck'!$D$31:$D$48))*Impacts!$F$14,IF(('Loading-truck'!$C$21)&lt;&gt;"No control",SUMIF(('Loading-truck'!$B$31:$B$48),$J3688,('Loading-truck'!$E$31:$E$48))*Impacts!$F$14,0)),0)</f>
        <v>0</v>
      </c>
      <c r="S3688" s="10">
        <f>IFERROR(IF(('Loading-rail'!$C$21)="No control",SUMIF(('Loading-rail'!$B$31:$B$48),$J3688,('Loading-rail'!$D$31:$D$48))*Impacts!$F$15,IF(('Loading-rail'!$C$21)&lt;&gt;"No control",SUMIF(('Loading-rail'!$B$31:$B$48),$J3688,('Loading-rail'!$E$31:$E$48))*Impacts!$F$15,0)),0)</f>
        <v>0</v>
      </c>
      <c r="T3688" s="10">
        <f>IF(Flare!$C$7="",0,(SUMIF(Flare!$B$46:$B$185,$J3688,Flare!$E$46:$E$185)*Impacts!$F$16))</f>
        <v>0</v>
      </c>
      <c r="U3688" s="10">
        <f>IF(VCU!$C$9="",0,(SUMIF(VCU!$B$51:$B$193,$J3688,VCU!$E$51:$E$193)*Impacts!$F$17))</f>
        <v>0</v>
      </c>
      <c r="V3688" s="10">
        <f>IF(CAS!$C$7="",0,(SUMIF(CAS!$B$31:$B$167,$J3688,CAS!$E$31:$E$167)*Impacts!$F$18))</f>
        <v>0</v>
      </c>
      <c r="W3688" s="10">
        <f t="shared" si="98"/>
        <v>0</v>
      </c>
      <c r="AK3688" s="10" t="str">
        <f t="array" ref="AK3688">IFERROR(INDEX(SelectedSpecies,SMALL(IF(SelectedSpecies=AK$1,ROW(SelectedSpecies)),ROW(3689:3689)),2),"")</f>
        <v/>
      </c>
      <c r="BE3688" s="10"/>
      <c r="BI3688" s="10"/>
    </row>
    <row r="3689" spans="1:61" ht="21" customHeight="1" x14ac:dyDescent="0.25">
      <c r="A3689" s="10"/>
      <c r="B3689" s="10"/>
      <c r="E3689" s="10"/>
      <c r="G3689" s="10"/>
      <c r="I3689" s="436" t="s">
        <v>10447</v>
      </c>
      <c r="J3689" s="26" t="s">
        <v>10448</v>
      </c>
      <c r="K3689" s="10">
        <v>10</v>
      </c>
      <c r="L3689" s="73">
        <f>IF(Tank1!$C$23="No control",(SUMIF(Tank1!$B$32:$B$49,$J3689,Tank1!$C$32:$C$49)*Impacts!$F$8),0)</f>
        <v>0</v>
      </c>
      <c r="M3689" s="10">
        <f>IF(Tank2!$C$23="No control",(SUMIF(Tank2!$B$32:$B$49,$J3689,Tank2!$C$32:$C$49)*Impacts!$F$9),0)</f>
        <v>0</v>
      </c>
      <c r="N3689" s="10">
        <f>IF(Tank3!$C$23="No control",(SUMIF(Tank3!$B$32:$B$49,$J3689,Tank3!$C$32:$C$49)*Impacts!$F$10),0)</f>
        <v>0</v>
      </c>
      <c r="O3689" s="10">
        <f>IF(Tank4!$C$23="No control",(SUMIF(Tank4!$B$32:$B$49,$J3689,Tank4!$C$32:$C$49)*Impacts!$F$11),0)</f>
        <v>0</v>
      </c>
      <c r="P3689" s="10">
        <f>IF(Tank5!$C$23="No control",(SUMIF(Tank5!$B$32:$B$49,$J3689,Tank5!$C$32:$C$49)*Impacts!$F$12),0)</f>
        <v>0</v>
      </c>
      <c r="Q3689" s="10">
        <f>IFERROR(IF(('Loading-drum,tote'!$C$21)="No control",SUMIF(('Loading-drum,tote'!$B$31:$B$48),$J3689,('Loading-drum,tote'!$D$31:$D$48))*Impacts!$F$13,IF(('Loading-drum,tote'!$C$21)&lt;&gt;"No control",SUMIF(('Loading-drum,tote'!$B$31:$B$48),$J3689,('Loading-drum,tote'!$E$31:$E$48))*Impacts!$F$13,0)),0)</f>
        <v>0</v>
      </c>
      <c r="R3689" s="10">
        <f>IFERROR(IF(('Loading-truck'!$C$21)="No control",SUMIF(('Loading-truck'!$B$31:$B$48),$J3689,('Loading-truck'!$D$31:$D$48))*Impacts!$F$14,IF(('Loading-truck'!$C$21)&lt;&gt;"No control",SUMIF(('Loading-truck'!$B$31:$B$48),$J3689,('Loading-truck'!$E$31:$E$48))*Impacts!$F$14,0)),0)</f>
        <v>0</v>
      </c>
      <c r="S3689" s="10">
        <f>IFERROR(IF(('Loading-rail'!$C$21)="No control",SUMIF(('Loading-rail'!$B$31:$B$48),$J3689,('Loading-rail'!$D$31:$D$48))*Impacts!$F$15,IF(('Loading-rail'!$C$21)&lt;&gt;"No control",SUMIF(('Loading-rail'!$B$31:$B$48),$J3689,('Loading-rail'!$E$31:$E$48))*Impacts!$F$15,0)),0)</f>
        <v>0</v>
      </c>
      <c r="T3689" s="10">
        <f>IF(Flare!$C$7="",0,(SUMIF(Flare!$B$46:$B$185,$J3689,Flare!$E$46:$E$185)*Impacts!$F$16))</f>
        <v>0</v>
      </c>
      <c r="U3689" s="10">
        <f>IF(VCU!$C$9="",0,(SUMIF(VCU!$B$51:$B$193,$J3689,VCU!$E$51:$E$193)*Impacts!$F$17))</f>
        <v>0</v>
      </c>
      <c r="V3689" s="10">
        <f>IF(CAS!$C$7="",0,(SUMIF(CAS!$B$31:$B$167,$J3689,CAS!$E$31:$E$167)*Impacts!$F$18))</f>
        <v>0</v>
      </c>
      <c r="W3689" s="10">
        <f t="shared" si="98"/>
        <v>0</v>
      </c>
      <c r="AK3689" s="10" t="str">
        <f t="array" ref="AK3689">IFERROR(INDEX(SelectedSpecies,SMALL(IF(SelectedSpecies=AK$1,ROW(SelectedSpecies)),ROW(3690:3690)),2),"")</f>
        <v/>
      </c>
      <c r="BE3689" s="10"/>
      <c r="BI3689" s="10"/>
    </row>
    <row r="3690" spans="1:61" ht="21" customHeight="1" x14ac:dyDescent="0.25">
      <c r="A3690" s="10"/>
      <c r="B3690" s="10"/>
      <c r="E3690" s="10"/>
      <c r="G3690" s="10"/>
      <c r="I3690" s="436" t="s">
        <v>8216</v>
      </c>
      <c r="J3690" s="26" t="s">
        <v>8215</v>
      </c>
      <c r="K3690" s="10">
        <v>1.0000000000000002E-2</v>
      </c>
      <c r="L3690" s="73">
        <f>IF(Tank1!$C$23="No control",(SUMIF(Tank1!$B$32:$B$49,$J3690,Tank1!$C$32:$C$49)*Impacts!$F$8),0)</f>
        <v>0</v>
      </c>
      <c r="M3690" s="10">
        <f>IF(Tank2!$C$23="No control",(SUMIF(Tank2!$B$32:$B$49,$J3690,Tank2!$C$32:$C$49)*Impacts!$F$9),0)</f>
        <v>0</v>
      </c>
      <c r="N3690" s="10">
        <f>IF(Tank3!$C$23="No control",(SUMIF(Tank3!$B$32:$B$49,$J3690,Tank3!$C$32:$C$49)*Impacts!$F$10),0)</f>
        <v>0</v>
      </c>
      <c r="O3690" s="10">
        <f>IF(Tank4!$C$23="No control",(SUMIF(Tank4!$B$32:$B$49,$J3690,Tank4!$C$32:$C$49)*Impacts!$F$11),0)</f>
        <v>0</v>
      </c>
      <c r="P3690" s="10">
        <f>IF(Tank5!$C$23="No control",(SUMIF(Tank5!$B$32:$B$49,$J3690,Tank5!$C$32:$C$49)*Impacts!$F$12),0)</f>
        <v>0</v>
      </c>
      <c r="Q3690" s="10">
        <f>IFERROR(IF(('Loading-drum,tote'!$C$21)="No control",SUMIF(('Loading-drum,tote'!$B$31:$B$48),$J3690,('Loading-drum,tote'!$D$31:$D$48))*Impacts!$F$13,IF(('Loading-drum,tote'!$C$21)&lt;&gt;"No control",SUMIF(('Loading-drum,tote'!$B$31:$B$48),$J3690,('Loading-drum,tote'!$E$31:$E$48))*Impacts!$F$13,0)),0)</f>
        <v>0</v>
      </c>
      <c r="R3690" s="10">
        <f>IFERROR(IF(('Loading-truck'!$C$21)="No control",SUMIF(('Loading-truck'!$B$31:$B$48),$J3690,('Loading-truck'!$D$31:$D$48))*Impacts!$F$14,IF(('Loading-truck'!$C$21)&lt;&gt;"No control",SUMIF(('Loading-truck'!$B$31:$B$48),$J3690,('Loading-truck'!$E$31:$E$48))*Impacts!$F$14,0)),0)</f>
        <v>0</v>
      </c>
      <c r="S3690" s="10">
        <f>IFERROR(IF(('Loading-rail'!$C$21)="No control",SUMIF(('Loading-rail'!$B$31:$B$48),$J3690,('Loading-rail'!$D$31:$D$48))*Impacts!$F$15,IF(('Loading-rail'!$C$21)&lt;&gt;"No control",SUMIF(('Loading-rail'!$B$31:$B$48),$J3690,('Loading-rail'!$E$31:$E$48))*Impacts!$F$15,0)),0)</f>
        <v>0</v>
      </c>
      <c r="T3690" s="10">
        <f>IF(Flare!$C$7="",0,(SUMIF(Flare!$B$46:$B$185,$J3690,Flare!$E$46:$E$185)*Impacts!$F$16))</f>
        <v>0</v>
      </c>
      <c r="U3690" s="10">
        <f>IF(VCU!$C$9="",0,(SUMIF(VCU!$B$51:$B$193,$J3690,VCU!$E$51:$E$193)*Impacts!$F$17))</f>
        <v>0</v>
      </c>
      <c r="V3690" s="10">
        <f>IF(CAS!$C$7="",0,(SUMIF(CAS!$B$31:$B$167,$J3690,CAS!$E$31:$E$167)*Impacts!$F$18))</f>
        <v>0</v>
      </c>
      <c r="W3690" s="10">
        <f t="shared" si="98"/>
        <v>0</v>
      </c>
      <c r="AK3690" s="10" t="str">
        <f t="array" ref="AK3690">IFERROR(INDEX(SelectedSpecies,SMALL(IF(SelectedSpecies=AK$1,ROW(SelectedSpecies)),ROW(3691:3691)),2),"")</f>
        <v/>
      </c>
      <c r="BE3690" s="10"/>
      <c r="BI3690" s="10"/>
    </row>
    <row r="3691" spans="1:61" ht="21" customHeight="1" x14ac:dyDescent="0.25">
      <c r="A3691" s="10"/>
      <c r="B3691" s="10"/>
      <c r="E3691" s="10"/>
      <c r="G3691" s="10"/>
      <c r="I3691" s="436" t="s">
        <v>3373</v>
      </c>
      <c r="J3691" s="26" t="s">
        <v>3372</v>
      </c>
      <c r="K3691" s="10">
        <v>10</v>
      </c>
      <c r="L3691" s="73">
        <f>IF(Tank1!$C$23="No control",(SUMIF(Tank1!$B$32:$B$49,$J3691,Tank1!$C$32:$C$49)*Impacts!$F$8),0)</f>
        <v>0</v>
      </c>
      <c r="M3691" s="10">
        <f>IF(Tank2!$C$23="No control",(SUMIF(Tank2!$B$32:$B$49,$J3691,Tank2!$C$32:$C$49)*Impacts!$F$9),0)</f>
        <v>0</v>
      </c>
      <c r="N3691" s="10">
        <f>IF(Tank3!$C$23="No control",(SUMIF(Tank3!$B$32:$B$49,$J3691,Tank3!$C$32:$C$49)*Impacts!$F$10),0)</f>
        <v>0</v>
      </c>
      <c r="O3691" s="10">
        <f>IF(Tank4!$C$23="No control",(SUMIF(Tank4!$B$32:$B$49,$J3691,Tank4!$C$32:$C$49)*Impacts!$F$11),0)</f>
        <v>0</v>
      </c>
      <c r="P3691" s="10">
        <f>IF(Tank5!$C$23="No control",(SUMIF(Tank5!$B$32:$B$49,$J3691,Tank5!$C$32:$C$49)*Impacts!$F$12),0)</f>
        <v>0</v>
      </c>
      <c r="Q3691" s="10">
        <f>IFERROR(IF(('Loading-drum,tote'!$C$21)="No control",SUMIF(('Loading-drum,tote'!$B$31:$B$48),$J3691,('Loading-drum,tote'!$D$31:$D$48))*Impacts!$F$13,IF(('Loading-drum,tote'!$C$21)&lt;&gt;"No control",SUMIF(('Loading-drum,tote'!$B$31:$B$48),$J3691,('Loading-drum,tote'!$E$31:$E$48))*Impacts!$F$13,0)),0)</f>
        <v>0</v>
      </c>
      <c r="R3691" s="10">
        <f>IFERROR(IF(('Loading-truck'!$C$21)="No control",SUMIF(('Loading-truck'!$B$31:$B$48),$J3691,('Loading-truck'!$D$31:$D$48))*Impacts!$F$14,IF(('Loading-truck'!$C$21)&lt;&gt;"No control",SUMIF(('Loading-truck'!$B$31:$B$48),$J3691,('Loading-truck'!$E$31:$E$48))*Impacts!$F$14,0)),0)</f>
        <v>0</v>
      </c>
      <c r="S3691" s="10">
        <f>IFERROR(IF(('Loading-rail'!$C$21)="No control",SUMIF(('Loading-rail'!$B$31:$B$48),$J3691,('Loading-rail'!$D$31:$D$48))*Impacts!$F$15,IF(('Loading-rail'!$C$21)&lt;&gt;"No control",SUMIF(('Loading-rail'!$B$31:$B$48),$J3691,('Loading-rail'!$E$31:$E$48))*Impacts!$F$15,0)),0)</f>
        <v>0</v>
      </c>
      <c r="T3691" s="10">
        <f>IF(Flare!$C$7="",0,(SUMIF(Flare!$B$46:$B$185,$J3691,Flare!$E$46:$E$185)*Impacts!$F$16))</f>
        <v>0</v>
      </c>
      <c r="U3691" s="10">
        <f>IF(VCU!$C$9="",0,(SUMIF(VCU!$B$51:$B$193,$J3691,VCU!$E$51:$E$193)*Impacts!$F$17))</f>
        <v>0</v>
      </c>
      <c r="V3691" s="10">
        <f>IF(CAS!$C$7="",0,(SUMIF(CAS!$B$31:$B$167,$J3691,CAS!$E$31:$E$167)*Impacts!$F$18))</f>
        <v>0</v>
      </c>
      <c r="W3691" s="10">
        <f t="shared" si="98"/>
        <v>0</v>
      </c>
      <c r="AK3691" s="10" t="str">
        <f t="array" ref="AK3691">IFERROR(INDEX(SelectedSpecies,SMALL(IF(SelectedSpecies=AK$1,ROW(SelectedSpecies)),ROW(3692:3692)),2),"")</f>
        <v/>
      </c>
      <c r="BE3691" s="10"/>
      <c r="BI3691" s="10"/>
    </row>
    <row r="3692" spans="1:61" ht="21" customHeight="1" x14ac:dyDescent="0.25">
      <c r="A3692" s="10"/>
      <c r="B3692" s="10"/>
      <c r="E3692" s="10"/>
      <c r="G3692" s="10"/>
      <c r="I3692" s="436" t="s">
        <v>3375</v>
      </c>
      <c r="J3692" s="26" t="s">
        <v>3374</v>
      </c>
      <c r="K3692" s="10">
        <v>10</v>
      </c>
      <c r="L3692" s="73">
        <f>IF(Tank1!$C$23="No control",(SUMIF(Tank1!$B$32:$B$49,$J3692,Tank1!$C$32:$C$49)*Impacts!$F$8),0)</f>
        <v>0</v>
      </c>
      <c r="M3692" s="10">
        <f>IF(Tank2!$C$23="No control",(SUMIF(Tank2!$B$32:$B$49,$J3692,Tank2!$C$32:$C$49)*Impacts!$F$9),0)</f>
        <v>0</v>
      </c>
      <c r="N3692" s="10">
        <f>IF(Tank3!$C$23="No control",(SUMIF(Tank3!$B$32:$B$49,$J3692,Tank3!$C$32:$C$49)*Impacts!$F$10),0)</f>
        <v>0</v>
      </c>
      <c r="O3692" s="10">
        <f>IF(Tank4!$C$23="No control",(SUMIF(Tank4!$B$32:$B$49,$J3692,Tank4!$C$32:$C$49)*Impacts!$F$11),0)</f>
        <v>0</v>
      </c>
      <c r="P3692" s="10">
        <f>IF(Tank5!$C$23="No control",(SUMIF(Tank5!$B$32:$B$49,$J3692,Tank5!$C$32:$C$49)*Impacts!$F$12),0)</f>
        <v>0</v>
      </c>
      <c r="Q3692" s="10">
        <f>IFERROR(IF(('Loading-drum,tote'!$C$21)="No control",SUMIF(('Loading-drum,tote'!$B$31:$B$48),$J3692,('Loading-drum,tote'!$D$31:$D$48))*Impacts!$F$13,IF(('Loading-drum,tote'!$C$21)&lt;&gt;"No control",SUMIF(('Loading-drum,tote'!$B$31:$B$48),$J3692,('Loading-drum,tote'!$E$31:$E$48))*Impacts!$F$13,0)),0)</f>
        <v>0</v>
      </c>
      <c r="R3692" s="10">
        <f>IFERROR(IF(('Loading-truck'!$C$21)="No control",SUMIF(('Loading-truck'!$B$31:$B$48),$J3692,('Loading-truck'!$D$31:$D$48))*Impacts!$F$14,IF(('Loading-truck'!$C$21)&lt;&gt;"No control",SUMIF(('Loading-truck'!$B$31:$B$48),$J3692,('Loading-truck'!$E$31:$E$48))*Impacts!$F$14,0)),0)</f>
        <v>0</v>
      </c>
      <c r="S3692" s="10">
        <f>IFERROR(IF(('Loading-rail'!$C$21)="No control",SUMIF(('Loading-rail'!$B$31:$B$48),$J3692,('Loading-rail'!$D$31:$D$48))*Impacts!$F$15,IF(('Loading-rail'!$C$21)&lt;&gt;"No control",SUMIF(('Loading-rail'!$B$31:$B$48),$J3692,('Loading-rail'!$E$31:$E$48))*Impacts!$F$15,0)),0)</f>
        <v>0</v>
      </c>
      <c r="T3692" s="10">
        <f>IF(Flare!$C$7="",0,(SUMIF(Flare!$B$46:$B$185,$J3692,Flare!$E$46:$E$185)*Impacts!$F$16))</f>
        <v>0</v>
      </c>
      <c r="U3692" s="10">
        <f>IF(VCU!$C$9="",0,(SUMIF(VCU!$B$51:$B$193,$J3692,VCU!$E$51:$E$193)*Impacts!$F$17))</f>
        <v>0</v>
      </c>
      <c r="V3692" s="10">
        <f>IF(CAS!$C$7="",0,(SUMIF(CAS!$B$31:$B$167,$J3692,CAS!$E$31:$E$167)*Impacts!$F$18))</f>
        <v>0</v>
      </c>
      <c r="W3692" s="10">
        <f t="shared" si="98"/>
        <v>0</v>
      </c>
      <c r="AK3692" s="10" t="str">
        <f t="array" ref="AK3692">IFERROR(INDEX(SelectedSpecies,SMALL(IF(SelectedSpecies=AK$1,ROW(SelectedSpecies)),ROW(3693:3693)),2),"")</f>
        <v/>
      </c>
      <c r="BE3692" s="10"/>
      <c r="BI3692" s="10"/>
    </row>
    <row r="3693" spans="1:61" ht="21" customHeight="1" x14ac:dyDescent="0.25">
      <c r="A3693" s="10"/>
      <c r="B3693" s="10"/>
      <c r="E3693" s="10"/>
      <c r="G3693" s="10"/>
      <c r="I3693" s="436" t="s">
        <v>1172</v>
      </c>
      <c r="J3693" s="26" t="s">
        <v>1171</v>
      </c>
      <c r="K3693" s="10">
        <v>35</v>
      </c>
      <c r="L3693" s="73">
        <f>IF(Tank1!$C$23="No control",(SUMIF(Tank1!$B$32:$B$49,$J3693,Tank1!$C$32:$C$49)*Impacts!$F$8),0)</f>
        <v>0</v>
      </c>
      <c r="M3693" s="10">
        <f>IF(Tank2!$C$23="No control",(SUMIF(Tank2!$B$32:$B$49,$J3693,Tank2!$C$32:$C$49)*Impacts!$F$9),0)</f>
        <v>0</v>
      </c>
      <c r="N3693" s="10">
        <f>IF(Tank3!$C$23="No control",(SUMIF(Tank3!$B$32:$B$49,$J3693,Tank3!$C$32:$C$49)*Impacts!$F$10),0)</f>
        <v>0</v>
      </c>
      <c r="O3693" s="10">
        <f>IF(Tank4!$C$23="No control",(SUMIF(Tank4!$B$32:$B$49,$J3693,Tank4!$C$32:$C$49)*Impacts!$F$11),0)</f>
        <v>0</v>
      </c>
      <c r="P3693" s="10">
        <f>IF(Tank5!$C$23="No control",(SUMIF(Tank5!$B$32:$B$49,$J3693,Tank5!$C$32:$C$49)*Impacts!$F$12),0)</f>
        <v>0</v>
      </c>
      <c r="Q3693" s="10">
        <f>IFERROR(IF(('Loading-drum,tote'!$C$21)="No control",SUMIF(('Loading-drum,tote'!$B$31:$B$48),$J3693,('Loading-drum,tote'!$D$31:$D$48))*Impacts!$F$13,IF(('Loading-drum,tote'!$C$21)&lt;&gt;"No control",SUMIF(('Loading-drum,tote'!$B$31:$B$48),$J3693,('Loading-drum,tote'!$E$31:$E$48))*Impacts!$F$13,0)),0)</f>
        <v>0</v>
      </c>
      <c r="R3693" s="10">
        <f>IFERROR(IF(('Loading-truck'!$C$21)="No control",SUMIF(('Loading-truck'!$B$31:$B$48),$J3693,('Loading-truck'!$D$31:$D$48))*Impacts!$F$14,IF(('Loading-truck'!$C$21)&lt;&gt;"No control",SUMIF(('Loading-truck'!$B$31:$B$48),$J3693,('Loading-truck'!$E$31:$E$48))*Impacts!$F$14,0)),0)</f>
        <v>0</v>
      </c>
      <c r="S3693" s="10">
        <f>IFERROR(IF(('Loading-rail'!$C$21)="No control",SUMIF(('Loading-rail'!$B$31:$B$48),$J3693,('Loading-rail'!$D$31:$D$48))*Impacts!$F$15,IF(('Loading-rail'!$C$21)&lt;&gt;"No control",SUMIF(('Loading-rail'!$B$31:$B$48),$J3693,('Loading-rail'!$E$31:$E$48))*Impacts!$F$15,0)),0)</f>
        <v>0</v>
      </c>
      <c r="T3693" s="10">
        <f>IF(Flare!$C$7="",0,(SUMIF(Flare!$B$46:$B$185,$J3693,Flare!$E$46:$E$185)*Impacts!$F$16))</f>
        <v>0</v>
      </c>
      <c r="U3693" s="10">
        <f>IF(VCU!$C$9="",0,(SUMIF(VCU!$B$51:$B$193,$J3693,VCU!$E$51:$E$193)*Impacts!$F$17))</f>
        <v>0</v>
      </c>
      <c r="V3693" s="10">
        <f>IF(CAS!$C$7="",0,(SUMIF(CAS!$B$31:$B$167,$J3693,CAS!$E$31:$E$167)*Impacts!$F$18))</f>
        <v>0</v>
      </c>
      <c r="W3693" s="10">
        <f t="shared" si="98"/>
        <v>0</v>
      </c>
      <c r="AK3693" s="10" t="str">
        <f t="array" ref="AK3693">IFERROR(INDEX(SelectedSpecies,SMALL(IF(SelectedSpecies=AK$1,ROW(SelectedSpecies)),ROW(3694:3694)),2),"")</f>
        <v/>
      </c>
      <c r="BE3693" s="10"/>
      <c r="BI3693" s="10"/>
    </row>
    <row r="3694" spans="1:61" ht="21" customHeight="1" x14ac:dyDescent="0.25">
      <c r="A3694" s="10"/>
      <c r="B3694" s="10"/>
      <c r="E3694" s="10"/>
      <c r="G3694" s="10"/>
      <c r="I3694" s="436" t="s">
        <v>10449</v>
      </c>
      <c r="J3694" s="26" t="s">
        <v>10450</v>
      </c>
      <c r="K3694" s="10">
        <v>11.200000000000001</v>
      </c>
      <c r="L3694" s="73">
        <f>IF(Tank1!$C$23="No control",(SUMIF(Tank1!$B$32:$B$49,$J3694,Tank1!$C$32:$C$49)*Impacts!$F$8),0)</f>
        <v>0</v>
      </c>
      <c r="M3694" s="10">
        <f>IF(Tank2!$C$23="No control",(SUMIF(Tank2!$B$32:$B$49,$J3694,Tank2!$C$32:$C$49)*Impacts!$F$9),0)</f>
        <v>0</v>
      </c>
      <c r="N3694" s="10">
        <f>IF(Tank3!$C$23="No control",(SUMIF(Tank3!$B$32:$B$49,$J3694,Tank3!$C$32:$C$49)*Impacts!$F$10),0)</f>
        <v>0</v>
      </c>
      <c r="O3694" s="10">
        <f>IF(Tank4!$C$23="No control",(SUMIF(Tank4!$B$32:$B$49,$J3694,Tank4!$C$32:$C$49)*Impacts!$F$11),0)</f>
        <v>0</v>
      </c>
      <c r="P3694" s="10">
        <f>IF(Tank5!$C$23="No control",(SUMIF(Tank5!$B$32:$B$49,$J3694,Tank5!$C$32:$C$49)*Impacts!$F$12),0)</f>
        <v>0</v>
      </c>
      <c r="Q3694" s="10">
        <f>IFERROR(IF(('Loading-drum,tote'!$C$21)="No control",SUMIF(('Loading-drum,tote'!$B$31:$B$48),$J3694,('Loading-drum,tote'!$D$31:$D$48))*Impacts!$F$13,IF(('Loading-drum,tote'!$C$21)&lt;&gt;"No control",SUMIF(('Loading-drum,tote'!$B$31:$B$48),$J3694,('Loading-drum,tote'!$E$31:$E$48))*Impacts!$F$13,0)),0)</f>
        <v>0</v>
      </c>
      <c r="R3694" s="10">
        <f>IFERROR(IF(('Loading-truck'!$C$21)="No control",SUMIF(('Loading-truck'!$B$31:$B$48),$J3694,('Loading-truck'!$D$31:$D$48))*Impacts!$F$14,IF(('Loading-truck'!$C$21)&lt;&gt;"No control",SUMIF(('Loading-truck'!$B$31:$B$48),$J3694,('Loading-truck'!$E$31:$E$48))*Impacts!$F$14,0)),0)</f>
        <v>0</v>
      </c>
      <c r="S3694" s="10">
        <f>IFERROR(IF(('Loading-rail'!$C$21)="No control",SUMIF(('Loading-rail'!$B$31:$B$48),$J3694,('Loading-rail'!$D$31:$D$48))*Impacts!$F$15,IF(('Loading-rail'!$C$21)&lt;&gt;"No control",SUMIF(('Loading-rail'!$B$31:$B$48),$J3694,('Loading-rail'!$E$31:$E$48))*Impacts!$F$15,0)),0)</f>
        <v>0</v>
      </c>
      <c r="T3694" s="10">
        <f>IF(Flare!$C$7="",0,(SUMIF(Flare!$B$46:$B$185,$J3694,Flare!$E$46:$E$185)*Impacts!$F$16))</f>
        <v>0</v>
      </c>
      <c r="U3694" s="10">
        <f>IF(VCU!$C$9="",0,(SUMIF(VCU!$B$51:$B$193,$J3694,VCU!$E$51:$E$193)*Impacts!$F$17))</f>
        <v>0</v>
      </c>
      <c r="V3694" s="10">
        <f>IF(CAS!$C$7="",0,(SUMIF(CAS!$B$31:$B$167,$J3694,CAS!$E$31:$E$167)*Impacts!$F$18))</f>
        <v>0</v>
      </c>
      <c r="W3694" s="10">
        <f t="shared" si="98"/>
        <v>0</v>
      </c>
      <c r="AK3694" s="10" t="str">
        <f t="array" ref="AK3694">IFERROR(INDEX(SelectedSpecies,SMALL(IF(SelectedSpecies=AK$1,ROW(SelectedSpecies)),ROW(3695:3695)),2),"")</f>
        <v/>
      </c>
      <c r="BE3694" s="10"/>
      <c r="BI3694" s="10"/>
    </row>
    <row r="3695" spans="1:61" ht="21" customHeight="1" x14ac:dyDescent="0.25">
      <c r="A3695" s="10"/>
      <c r="B3695" s="10"/>
      <c r="E3695" s="10"/>
      <c r="G3695" s="10"/>
      <c r="I3695" s="436" t="s">
        <v>2633</v>
      </c>
      <c r="J3695" s="26" t="s">
        <v>2632</v>
      </c>
      <c r="K3695" s="10">
        <v>10</v>
      </c>
      <c r="L3695" s="73">
        <f>IF(Tank1!$C$23="No control",(SUMIF(Tank1!$B$32:$B$49,$J3695,Tank1!$C$32:$C$49)*Impacts!$F$8),0)</f>
        <v>0</v>
      </c>
      <c r="M3695" s="10">
        <f>IF(Tank2!$C$23="No control",(SUMIF(Tank2!$B$32:$B$49,$J3695,Tank2!$C$32:$C$49)*Impacts!$F$9),0)</f>
        <v>0</v>
      </c>
      <c r="N3695" s="10">
        <f>IF(Tank3!$C$23="No control",(SUMIF(Tank3!$B$32:$B$49,$J3695,Tank3!$C$32:$C$49)*Impacts!$F$10),0)</f>
        <v>0</v>
      </c>
      <c r="O3695" s="10">
        <f>IF(Tank4!$C$23="No control",(SUMIF(Tank4!$B$32:$B$49,$J3695,Tank4!$C$32:$C$49)*Impacts!$F$11),0)</f>
        <v>0</v>
      </c>
      <c r="P3695" s="10">
        <f>IF(Tank5!$C$23="No control",(SUMIF(Tank5!$B$32:$B$49,$J3695,Tank5!$C$32:$C$49)*Impacts!$F$12),0)</f>
        <v>0</v>
      </c>
      <c r="Q3695" s="10">
        <f>IFERROR(IF(('Loading-drum,tote'!$C$21)="No control",SUMIF(('Loading-drum,tote'!$B$31:$B$48),$J3695,('Loading-drum,tote'!$D$31:$D$48))*Impacts!$F$13,IF(('Loading-drum,tote'!$C$21)&lt;&gt;"No control",SUMIF(('Loading-drum,tote'!$B$31:$B$48),$J3695,('Loading-drum,tote'!$E$31:$E$48))*Impacts!$F$13,0)),0)</f>
        <v>0</v>
      </c>
      <c r="R3695" s="10">
        <f>IFERROR(IF(('Loading-truck'!$C$21)="No control",SUMIF(('Loading-truck'!$B$31:$B$48),$J3695,('Loading-truck'!$D$31:$D$48))*Impacts!$F$14,IF(('Loading-truck'!$C$21)&lt;&gt;"No control",SUMIF(('Loading-truck'!$B$31:$B$48),$J3695,('Loading-truck'!$E$31:$E$48))*Impacts!$F$14,0)),0)</f>
        <v>0</v>
      </c>
      <c r="S3695" s="10">
        <f>IFERROR(IF(('Loading-rail'!$C$21)="No control",SUMIF(('Loading-rail'!$B$31:$B$48),$J3695,('Loading-rail'!$D$31:$D$48))*Impacts!$F$15,IF(('Loading-rail'!$C$21)&lt;&gt;"No control",SUMIF(('Loading-rail'!$B$31:$B$48),$J3695,('Loading-rail'!$E$31:$E$48))*Impacts!$F$15,0)),0)</f>
        <v>0</v>
      </c>
      <c r="T3695" s="10">
        <f>IF(Flare!$C$7="",0,(SUMIF(Flare!$B$46:$B$185,$J3695,Flare!$E$46:$E$185)*Impacts!$F$16))</f>
        <v>0</v>
      </c>
      <c r="U3695" s="10">
        <f>IF(VCU!$C$9="",0,(SUMIF(VCU!$B$51:$B$193,$J3695,VCU!$E$51:$E$193)*Impacts!$F$17))</f>
        <v>0</v>
      </c>
      <c r="V3695" s="10">
        <f>IF(CAS!$C$7="",0,(SUMIF(CAS!$B$31:$B$167,$J3695,CAS!$E$31:$E$167)*Impacts!$F$18))</f>
        <v>0</v>
      </c>
      <c r="W3695" s="10">
        <f t="shared" si="98"/>
        <v>0</v>
      </c>
      <c r="AK3695" s="10" t="str">
        <f t="array" ref="AK3695">IFERROR(INDEX(SelectedSpecies,SMALL(IF(SelectedSpecies=AK$1,ROW(SelectedSpecies)),ROW(3696:3696)),2),"")</f>
        <v/>
      </c>
      <c r="BE3695" s="10"/>
      <c r="BI3695" s="10"/>
    </row>
    <row r="3696" spans="1:61" ht="21" customHeight="1" x14ac:dyDescent="0.25">
      <c r="A3696" s="10"/>
      <c r="B3696" s="10"/>
      <c r="E3696" s="10"/>
      <c r="G3696" s="10"/>
      <c r="I3696" s="436" t="s">
        <v>3377</v>
      </c>
      <c r="J3696" s="26" t="s">
        <v>3376</v>
      </c>
      <c r="K3696" s="10">
        <v>10</v>
      </c>
      <c r="L3696" s="73">
        <f>IF(Tank1!$C$23="No control",(SUMIF(Tank1!$B$32:$B$49,$J3696,Tank1!$C$32:$C$49)*Impacts!$F$8),0)</f>
        <v>0</v>
      </c>
      <c r="M3696" s="10">
        <f>IF(Tank2!$C$23="No control",(SUMIF(Tank2!$B$32:$B$49,$J3696,Tank2!$C$32:$C$49)*Impacts!$F$9),0)</f>
        <v>0</v>
      </c>
      <c r="N3696" s="10">
        <f>IF(Tank3!$C$23="No control",(SUMIF(Tank3!$B$32:$B$49,$J3696,Tank3!$C$32:$C$49)*Impacts!$F$10),0)</f>
        <v>0</v>
      </c>
      <c r="O3696" s="10">
        <f>IF(Tank4!$C$23="No control",(SUMIF(Tank4!$B$32:$B$49,$J3696,Tank4!$C$32:$C$49)*Impacts!$F$11),0)</f>
        <v>0</v>
      </c>
      <c r="P3696" s="10">
        <f>IF(Tank5!$C$23="No control",(SUMIF(Tank5!$B$32:$B$49,$J3696,Tank5!$C$32:$C$49)*Impacts!$F$12),0)</f>
        <v>0</v>
      </c>
      <c r="Q3696" s="10">
        <f>IFERROR(IF(('Loading-drum,tote'!$C$21)="No control",SUMIF(('Loading-drum,tote'!$B$31:$B$48),$J3696,('Loading-drum,tote'!$D$31:$D$48))*Impacts!$F$13,IF(('Loading-drum,tote'!$C$21)&lt;&gt;"No control",SUMIF(('Loading-drum,tote'!$B$31:$B$48),$J3696,('Loading-drum,tote'!$E$31:$E$48))*Impacts!$F$13,0)),0)</f>
        <v>0</v>
      </c>
      <c r="R3696" s="10">
        <f>IFERROR(IF(('Loading-truck'!$C$21)="No control",SUMIF(('Loading-truck'!$B$31:$B$48),$J3696,('Loading-truck'!$D$31:$D$48))*Impacts!$F$14,IF(('Loading-truck'!$C$21)&lt;&gt;"No control",SUMIF(('Loading-truck'!$B$31:$B$48),$J3696,('Loading-truck'!$E$31:$E$48))*Impacts!$F$14,0)),0)</f>
        <v>0</v>
      </c>
      <c r="S3696" s="10">
        <f>IFERROR(IF(('Loading-rail'!$C$21)="No control",SUMIF(('Loading-rail'!$B$31:$B$48),$J3696,('Loading-rail'!$D$31:$D$48))*Impacts!$F$15,IF(('Loading-rail'!$C$21)&lt;&gt;"No control",SUMIF(('Loading-rail'!$B$31:$B$48),$J3696,('Loading-rail'!$E$31:$E$48))*Impacts!$F$15,0)),0)</f>
        <v>0</v>
      </c>
      <c r="T3696" s="10">
        <f>IF(Flare!$C$7="",0,(SUMIF(Flare!$B$46:$B$185,$J3696,Flare!$E$46:$E$185)*Impacts!$F$16))</f>
        <v>0</v>
      </c>
      <c r="U3696" s="10">
        <f>IF(VCU!$C$9="",0,(SUMIF(VCU!$B$51:$B$193,$J3696,VCU!$E$51:$E$193)*Impacts!$F$17))</f>
        <v>0</v>
      </c>
      <c r="V3696" s="10">
        <f>IF(CAS!$C$7="",0,(SUMIF(CAS!$B$31:$B$167,$J3696,CAS!$E$31:$E$167)*Impacts!$F$18))</f>
        <v>0</v>
      </c>
      <c r="W3696" s="10">
        <f t="shared" si="98"/>
        <v>0</v>
      </c>
      <c r="AK3696" s="10" t="str">
        <f t="array" ref="AK3696">IFERROR(INDEX(SelectedSpecies,SMALL(IF(SelectedSpecies=AK$1,ROW(SelectedSpecies)),ROW(3697:3697)),2),"")</f>
        <v/>
      </c>
      <c r="BE3696" s="10"/>
      <c r="BI3696" s="10"/>
    </row>
    <row r="3697" spans="1:61" ht="21" customHeight="1" x14ac:dyDescent="0.25">
      <c r="A3697" s="10"/>
      <c r="B3697" s="10"/>
      <c r="E3697" s="10"/>
      <c r="G3697" s="10"/>
      <c r="I3697" s="436" t="s">
        <v>6952</v>
      </c>
      <c r="J3697" s="26" t="s">
        <v>6951</v>
      </c>
      <c r="K3697" s="10">
        <v>0.5</v>
      </c>
      <c r="L3697" s="73">
        <f>IF(Tank1!$C$23="No control",(SUMIF(Tank1!$B$32:$B$49,$J3697,Tank1!$C$32:$C$49)*Impacts!$F$8),0)</f>
        <v>0</v>
      </c>
      <c r="M3697" s="10">
        <f>IF(Tank2!$C$23="No control",(SUMIF(Tank2!$B$32:$B$49,$J3697,Tank2!$C$32:$C$49)*Impacts!$F$9),0)</f>
        <v>0</v>
      </c>
      <c r="N3697" s="10">
        <f>IF(Tank3!$C$23="No control",(SUMIF(Tank3!$B$32:$B$49,$J3697,Tank3!$C$32:$C$49)*Impacts!$F$10),0)</f>
        <v>0</v>
      </c>
      <c r="O3697" s="10">
        <f>IF(Tank4!$C$23="No control",(SUMIF(Tank4!$B$32:$B$49,$J3697,Tank4!$C$32:$C$49)*Impacts!$F$11),0)</f>
        <v>0</v>
      </c>
      <c r="P3697" s="10">
        <f>IF(Tank5!$C$23="No control",(SUMIF(Tank5!$B$32:$B$49,$J3697,Tank5!$C$32:$C$49)*Impacts!$F$12),0)</f>
        <v>0</v>
      </c>
      <c r="Q3697" s="10">
        <f>IFERROR(IF(('Loading-drum,tote'!$C$21)="No control",SUMIF(('Loading-drum,tote'!$B$31:$B$48),$J3697,('Loading-drum,tote'!$D$31:$D$48))*Impacts!$F$13,IF(('Loading-drum,tote'!$C$21)&lt;&gt;"No control",SUMIF(('Loading-drum,tote'!$B$31:$B$48),$J3697,('Loading-drum,tote'!$E$31:$E$48))*Impacts!$F$13,0)),0)</f>
        <v>0</v>
      </c>
      <c r="R3697" s="10">
        <f>IFERROR(IF(('Loading-truck'!$C$21)="No control",SUMIF(('Loading-truck'!$B$31:$B$48),$J3697,('Loading-truck'!$D$31:$D$48))*Impacts!$F$14,IF(('Loading-truck'!$C$21)&lt;&gt;"No control",SUMIF(('Loading-truck'!$B$31:$B$48),$J3697,('Loading-truck'!$E$31:$E$48))*Impacts!$F$14,0)),0)</f>
        <v>0</v>
      </c>
      <c r="S3697" s="10">
        <f>IFERROR(IF(('Loading-rail'!$C$21)="No control",SUMIF(('Loading-rail'!$B$31:$B$48),$J3697,('Loading-rail'!$D$31:$D$48))*Impacts!$F$15,IF(('Loading-rail'!$C$21)&lt;&gt;"No control",SUMIF(('Loading-rail'!$B$31:$B$48),$J3697,('Loading-rail'!$E$31:$E$48))*Impacts!$F$15,0)),0)</f>
        <v>0</v>
      </c>
      <c r="T3697" s="10">
        <f>IF(Flare!$C$7="",0,(SUMIF(Flare!$B$46:$B$185,$J3697,Flare!$E$46:$E$185)*Impacts!$F$16))</f>
        <v>0</v>
      </c>
      <c r="U3697" s="10">
        <f>IF(VCU!$C$9="",0,(SUMIF(VCU!$B$51:$B$193,$J3697,VCU!$E$51:$E$193)*Impacts!$F$17))</f>
        <v>0</v>
      </c>
      <c r="V3697" s="10">
        <f>IF(CAS!$C$7="",0,(SUMIF(CAS!$B$31:$B$167,$J3697,CAS!$E$31:$E$167)*Impacts!$F$18))</f>
        <v>0</v>
      </c>
      <c r="W3697" s="10">
        <f t="shared" si="98"/>
        <v>0</v>
      </c>
      <c r="AK3697" s="10" t="str">
        <f t="array" ref="AK3697">IFERROR(INDEX(SelectedSpecies,SMALL(IF(SelectedSpecies=AK$1,ROW(SelectedSpecies)),ROW(3698:3698)),2),"")</f>
        <v/>
      </c>
      <c r="BE3697" s="10"/>
      <c r="BI3697" s="10"/>
    </row>
    <row r="3698" spans="1:61" ht="21" customHeight="1" x14ac:dyDescent="0.25">
      <c r="A3698" s="10"/>
      <c r="B3698" s="10"/>
      <c r="E3698" s="10"/>
      <c r="G3698" s="10"/>
      <c r="I3698" s="436" t="s">
        <v>3599</v>
      </c>
      <c r="J3698" s="26" t="s">
        <v>3598</v>
      </c>
      <c r="K3698" s="10">
        <v>8</v>
      </c>
      <c r="L3698" s="73">
        <f>IF(Tank1!$C$23="No control",(SUMIF(Tank1!$B$32:$B$49,$J3698,Tank1!$C$32:$C$49)*Impacts!$F$8),0)</f>
        <v>0</v>
      </c>
      <c r="M3698" s="10">
        <f>IF(Tank2!$C$23="No control",(SUMIF(Tank2!$B$32:$B$49,$J3698,Tank2!$C$32:$C$49)*Impacts!$F$9),0)</f>
        <v>0</v>
      </c>
      <c r="N3698" s="10">
        <f>IF(Tank3!$C$23="No control",(SUMIF(Tank3!$B$32:$B$49,$J3698,Tank3!$C$32:$C$49)*Impacts!$F$10),0)</f>
        <v>0</v>
      </c>
      <c r="O3698" s="10">
        <f>IF(Tank4!$C$23="No control",(SUMIF(Tank4!$B$32:$B$49,$J3698,Tank4!$C$32:$C$49)*Impacts!$F$11),0)</f>
        <v>0</v>
      </c>
      <c r="P3698" s="10">
        <f>IF(Tank5!$C$23="No control",(SUMIF(Tank5!$B$32:$B$49,$J3698,Tank5!$C$32:$C$49)*Impacts!$F$12),0)</f>
        <v>0</v>
      </c>
      <c r="Q3698" s="10">
        <f>IFERROR(IF(('Loading-drum,tote'!$C$21)="No control",SUMIF(('Loading-drum,tote'!$B$31:$B$48),$J3698,('Loading-drum,tote'!$D$31:$D$48))*Impacts!$F$13,IF(('Loading-drum,tote'!$C$21)&lt;&gt;"No control",SUMIF(('Loading-drum,tote'!$B$31:$B$48),$J3698,('Loading-drum,tote'!$E$31:$E$48))*Impacts!$F$13,0)),0)</f>
        <v>0</v>
      </c>
      <c r="R3698" s="10">
        <f>IFERROR(IF(('Loading-truck'!$C$21)="No control",SUMIF(('Loading-truck'!$B$31:$B$48),$J3698,('Loading-truck'!$D$31:$D$48))*Impacts!$F$14,IF(('Loading-truck'!$C$21)&lt;&gt;"No control",SUMIF(('Loading-truck'!$B$31:$B$48),$J3698,('Loading-truck'!$E$31:$E$48))*Impacts!$F$14,0)),0)</f>
        <v>0</v>
      </c>
      <c r="S3698" s="10">
        <f>IFERROR(IF(('Loading-rail'!$C$21)="No control",SUMIF(('Loading-rail'!$B$31:$B$48),$J3698,('Loading-rail'!$D$31:$D$48))*Impacts!$F$15,IF(('Loading-rail'!$C$21)&lt;&gt;"No control",SUMIF(('Loading-rail'!$B$31:$B$48),$J3698,('Loading-rail'!$E$31:$E$48))*Impacts!$F$15,0)),0)</f>
        <v>0</v>
      </c>
      <c r="T3698" s="10">
        <f>IF(Flare!$C$7="",0,(SUMIF(Flare!$B$46:$B$185,$J3698,Flare!$E$46:$E$185)*Impacts!$F$16))</f>
        <v>0</v>
      </c>
      <c r="U3698" s="10">
        <f>IF(VCU!$C$9="",0,(SUMIF(VCU!$B$51:$B$193,$J3698,VCU!$E$51:$E$193)*Impacts!$F$17))</f>
        <v>0</v>
      </c>
      <c r="V3698" s="10">
        <f>IF(CAS!$C$7="",0,(SUMIF(CAS!$B$31:$B$167,$J3698,CAS!$E$31:$E$167)*Impacts!$F$18))</f>
        <v>0</v>
      </c>
      <c r="W3698" s="10">
        <f t="shared" si="98"/>
        <v>0</v>
      </c>
      <c r="AK3698" s="10" t="str">
        <f t="array" ref="AK3698">IFERROR(INDEX(SelectedSpecies,SMALL(IF(SelectedSpecies=AK$1,ROW(SelectedSpecies)),ROW(3699:3699)),2),"")</f>
        <v/>
      </c>
      <c r="BE3698" s="10"/>
      <c r="BI3698" s="10"/>
    </row>
    <row r="3699" spans="1:61" ht="21" customHeight="1" x14ac:dyDescent="0.25">
      <c r="A3699" s="10"/>
      <c r="B3699" s="10"/>
      <c r="E3699" s="10"/>
      <c r="G3699" s="10"/>
      <c r="I3699" s="436" t="s">
        <v>10451</v>
      </c>
      <c r="J3699" s="26" t="s">
        <v>10452</v>
      </c>
      <c r="K3699" s="10">
        <v>10</v>
      </c>
      <c r="L3699" s="73">
        <f>IF(Tank1!$C$23="No control",(SUMIF(Tank1!$B$32:$B$49,$J3699,Tank1!$C$32:$C$49)*Impacts!$F$8),0)</f>
        <v>0</v>
      </c>
      <c r="M3699" s="10">
        <f>IF(Tank2!$C$23="No control",(SUMIF(Tank2!$B$32:$B$49,$J3699,Tank2!$C$32:$C$49)*Impacts!$F$9),0)</f>
        <v>0</v>
      </c>
      <c r="N3699" s="10">
        <f>IF(Tank3!$C$23="No control",(SUMIF(Tank3!$B$32:$B$49,$J3699,Tank3!$C$32:$C$49)*Impacts!$F$10),0)</f>
        <v>0</v>
      </c>
      <c r="O3699" s="10">
        <f>IF(Tank4!$C$23="No control",(SUMIF(Tank4!$B$32:$B$49,$J3699,Tank4!$C$32:$C$49)*Impacts!$F$11),0)</f>
        <v>0</v>
      </c>
      <c r="P3699" s="10">
        <f>IF(Tank5!$C$23="No control",(SUMIF(Tank5!$B$32:$B$49,$J3699,Tank5!$C$32:$C$49)*Impacts!$F$12),0)</f>
        <v>0</v>
      </c>
      <c r="Q3699" s="10">
        <f>IFERROR(IF(('Loading-drum,tote'!$C$21)="No control",SUMIF(('Loading-drum,tote'!$B$31:$B$48),$J3699,('Loading-drum,tote'!$D$31:$D$48))*Impacts!$F$13,IF(('Loading-drum,tote'!$C$21)&lt;&gt;"No control",SUMIF(('Loading-drum,tote'!$B$31:$B$48),$J3699,('Loading-drum,tote'!$E$31:$E$48))*Impacts!$F$13,0)),0)</f>
        <v>0</v>
      </c>
      <c r="R3699" s="10">
        <f>IFERROR(IF(('Loading-truck'!$C$21)="No control",SUMIF(('Loading-truck'!$B$31:$B$48),$J3699,('Loading-truck'!$D$31:$D$48))*Impacts!$F$14,IF(('Loading-truck'!$C$21)&lt;&gt;"No control",SUMIF(('Loading-truck'!$B$31:$B$48),$J3699,('Loading-truck'!$E$31:$E$48))*Impacts!$F$14,0)),0)</f>
        <v>0</v>
      </c>
      <c r="S3699" s="10">
        <f>IFERROR(IF(('Loading-rail'!$C$21)="No control",SUMIF(('Loading-rail'!$B$31:$B$48),$J3699,('Loading-rail'!$D$31:$D$48))*Impacts!$F$15,IF(('Loading-rail'!$C$21)&lt;&gt;"No control",SUMIF(('Loading-rail'!$B$31:$B$48),$J3699,('Loading-rail'!$E$31:$E$48))*Impacts!$F$15,0)),0)</f>
        <v>0</v>
      </c>
      <c r="T3699" s="10">
        <f>IF(Flare!$C$7="",0,(SUMIF(Flare!$B$46:$B$185,$J3699,Flare!$E$46:$E$185)*Impacts!$F$16))</f>
        <v>0</v>
      </c>
      <c r="U3699" s="10">
        <f>IF(VCU!$C$9="",0,(SUMIF(VCU!$B$51:$B$193,$J3699,VCU!$E$51:$E$193)*Impacts!$F$17))</f>
        <v>0</v>
      </c>
      <c r="V3699" s="10">
        <f>IF(CAS!$C$7="",0,(SUMIF(CAS!$B$31:$B$167,$J3699,CAS!$E$31:$E$167)*Impacts!$F$18))</f>
        <v>0</v>
      </c>
      <c r="W3699" s="10">
        <f t="shared" si="98"/>
        <v>0</v>
      </c>
      <c r="AK3699" s="10" t="str">
        <f t="array" ref="AK3699">IFERROR(INDEX(SelectedSpecies,SMALL(IF(SelectedSpecies=AK$1,ROW(SelectedSpecies)),ROW(3700:3700)),2),"")</f>
        <v/>
      </c>
      <c r="BE3699" s="10"/>
      <c r="BI3699" s="10"/>
    </row>
    <row r="3700" spans="1:61" ht="21" customHeight="1" x14ac:dyDescent="0.25">
      <c r="A3700" s="10"/>
      <c r="B3700" s="10"/>
      <c r="E3700" s="10"/>
      <c r="G3700" s="10"/>
      <c r="I3700" s="436" t="s">
        <v>1206</v>
      </c>
      <c r="J3700" s="26" t="s">
        <v>1205</v>
      </c>
      <c r="K3700" s="10">
        <v>35</v>
      </c>
      <c r="L3700" s="73">
        <f>IF(Tank1!$C$23="No control",(SUMIF(Tank1!$B$32:$B$49,$J3700,Tank1!$C$32:$C$49)*Impacts!$F$8),0)</f>
        <v>0</v>
      </c>
      <c r="M3700" s="10">
        <f>IF(Tank2!$C$23="No control",(SUMIF(Tank2!$B$32:$B$49,$J3700,Tank2!$C$32:$C$49)*Impacts!$F$9),0)</f>
        <v>0</v>
      </c>
      <c r="N3700" s="10">
        <f>IF(Tank3!$C$23="No control",(SUMIF(Tank3!$B$32:$B$49,$J3700,Tank3!$C$32:$C$49)*Impacts!$F$10),0)</f>
        <v>0</v>
      </c>
      <c r="O3700" s="10">
        <f>IF(Tank4!$C$23="No control",(SUMIF(Tank4!$B$32:$B$49,$J3700,Tank4!$C$32:$C$49)*Impacts!$F$11),0)</f>
        <v>0</v>
      </c>
      <c r="P3700" s="10">
        <f>IF(Tank5!$C$23="No control",(SUMIF(Tank5!$B$32:$B$49,$J3700,Tank5!$C$32:$C$49)*Impacts!$F$12),0)</f>
        <v>0</v>
      </c>
      <c r="Q3700" s="10">
        <f>IFERROR(IF(('Loading-drum,tote'!$C$21)="No control",SUMIF(('Loading-drum,tote'!$B$31:$B$48),$J3700,('Loading-drum,tote'!$D$31:$D$48))*Impacts!$F$13,IF(('Loading-drum,tote'!$C$21)&lt;&gt;"No control",SUMIF(('Loading-drum,tote'!$B$31:$B$48),$J3700,('Loading-drum,tote'!$E$31:$E$48))*Impacts!$F$13,0)),0)</f>
        <v>0</v>
      </c>
      <c r="R3700" s="10">
        <f>IFERROR(IF(('Loading-truck'!$C$21)="No control",SUMIF(('Loading-truck'!$B$31:$B$48),$J3700,('Loading-truck'!$D$31:$D$48))*Impacts!$F$14,IF(('Loading-truck'!$C$21)&lt;&gt;"No control",SUMIF(('Loading-truck'!$B$31:$B$48),$J3700,('Loading-truck'!$E$31:$E$48))*Impacts!$F$14,0)),0)</f>
        <v>0</v>
      </c>
      <c r="S3700" s="10">
        <f>IFERROR(IF(('Loading-rail'!$C$21)="No control",SUMIF(('Loading-rail'!$B$31:$B$48),$J3700,('Loading-rail'!$D$31:$D$48))*Impacts!$F$15,IF(('Loading-rail'!$C$21)&lt;&gt;"No control",SUMIF(('Loading-rail'!$B$31:$B$48),$J3700,('Loading-rail'!$E$31:$E$48))*Impacts!$F$15,0)),0)</f>
        <v>0</v>
      </c>
      <c r="T3700" s="10">
        <f>IF(Flare!$C$7="",0,(SUMIF(Flare!$B$46:$B$185,$J3700,Flare!$E$46:$E$185)*Impacts!$F$16))</f>
        <v>0</v>
      </c>
      <c r="U3700" s="10">
        <f>IF(VCU!$C$9="",0,(SUMIF(VCU!$B$51:$B$193,$J3700,VCU!$E$51:$E$193)*Impacts!$F$17))</f>
        <v>0</v>
      </c>
      <c r="V3700" s="10">
        <f>IF(CAS!$C$7="",0,(SUMIF(CAS!$B$31:$B$167,$J3700,CAS!$E$31:$E$167)*Impacts!$F$18))</f>
        <v>0</v>
      </c>
      <c r="W3700" s="10">
        <f t="shared" si="98"/>
        <v>0</v>
      </c>
      <c r="AK3700" s="10" t="str">
        <f t="array" ref="AK3700">IFERROR(INDEX(SelectedSpecies,SMALL(IF(SelectedSpecies=AK$1,ROW(SelectedSpecies)),ROW(3701:3701)),2),"")</f>
        <v/>
      </c>
      <c r="BE3700" s="10"/>
      <c r="BI3700" s="10"/>
    </row>
    <row r="3701" spans="1:61" ht="21" customHeight="1" x14ac:dyDescent="0.25">
      <c r="A3701" s="10"/>
      <c r="B3701" s="10"/>
      <c r="E3701" s="10"/>
      <c r="G3701" s="10"/>
      <c r="I3701" s="436" t="s">
        <v>2337</v>
      </c>
      <c r="J3701" s="26" t="s">
        <v>2336</v>
      </c>
      <c r="K3701" s="10">
        <v>11.200000000000001</v>
      </c>
      <c r="L3701" s="73">
        <f>IF(Tank1!$C$23="No control",(SUMIF(Tank1!$B$32:$B$49,$J3701,Tank1!$C$32:$C$49)*Impacts!$F$8),0)</f>
        <v>0</v>
      </c>
      <c r="M3701" s="10">
        <f>IF(Tank2!$C$23="No control",(SUMIF(Tank2!$B$32:$B$49,$J3701,Tank2!$C$32:$C$49)*Impacts!$F$9),0)</f>
        <v>0</v>
      </c>
      <c r="N3701" s="10">
        <f>IF(Tank3!$C$23="No control",(SUMIF(Tank3!$B$32:$B$49,$J3701,Tank3!$C$32:$C$49)*Impacts!$F$10),0)</f>
        <v>0</v>
      </c>
      <c r="O3701" s="10">
        <f>IF(Tank4!$C$23="No control",(SUMIF(Tank4!$B$32:$B$49,$J3701,Tank4!$C$32:$C$49)*Impacts!$F$11),0)</f>
        <v>0</v>
      </c>
      <c r="P3701" s="10">
        <f>IF(Tank5!$C$23="No control",(SUMIF(Tank5!$B$32:$B$49,$J3701,Tank5!$C$32:$C$49)*Impacts!$F$12),0)</f>
        <v>0</v>
      </c>
      <c r="Q3701" s="10">
        <f>IFERROR(IF(('Loading-drum,tote'!$C$21)="No control",SUMIF(('Loading-drum,tote'!$B$31:$B$48),$J3701,('Loading-drum,tote'!$D$31:$D$48))*Impacts!$F$13,IF(('Loading-drum,tote'!$C$21)&lt;&gt;"No control",SUMIF(('Loading-drum,tote'!$B$31:$B$48),$J3701,('Loading-drum,tote'!$E$31:$E$48))*Impacts!$F$13,0)),0)</f>
        <v>0</v>
      </c>
      <c r="R3701" s="10">
        <f>IFERROR(IF(('Loading-truck'!$C$21)="No control",SUMIF(('Loading-truck'!$B$31:$B$48),$J3701,('Loading-truck'!$D$31:$D$48))*Impacts!$F$14,IF(('Loading-truck'!$C$21)&lt;&gt;"No control",SUMIF(('Loading-truck'!$B$31:$B$48),$J3701,('Loading-truck'!$E$31:$E$48))*Impacts!$F$14,0)),0)</f>
        <v>0</v>
      </c>
      <c r="S3701" s="10">
        <f>IFERROR(IF(('Loading-rail'!$C$21)="No control",SUMIF(('Loading-rail'!$B$31:$B$48),$J3701,('Loading-rail'!$D$31:$D$48))*Impacts!$F$15,IF(('Loading-rail'!$C$21)&lt;&gt;"No control",SUMIF(('Loading-rail'!$B$31:$B$48),$J3701,('Loading-rail'!$E$31:$E$48))*Impacts!$F$15,0)),0)</f>
        <v>0</v>
      </c>
      <c r="T3701" s="10">
        <f>IF(Flare!$C$7="",0,(SUMIF(Flare!$B$46:$B$185,$J3701,Flare!$E$46:$E$185)*Impacts!$F$16))</f>
        <v>0</v>
      </c>
      <c r="U3701" s="10">
        <f>IF(VCU!$C$9="",0,(SUMIF(VCU!$B$51:$B$193,$J3701,VCU!$E$51:$E$193)*Impacts!$F$17))</f>
        <v>0</v>
      </c>
      <c r="V3701" s="10">
        <f>IF(CAS!$C$7="",0,(SUMIF(CAS!$B$31:$B$167,$J3701,CAS!$E$31:$E$167)*Impacts!$F$18))</f>
        <v>0</v>
      </c>
      <c r="W3701" s="10">
        <f t="shared" si="98"/>
        <v>0</v>
      </c>
      <c r="AK3701" s="10" t="str">
        <f t="array" ref="AK3701">IFERROR(INDEX(SelectedSpecies,SMALL(IF(SelectedSpecies=AK$1,ROW(SelectedSpecies)),ROW(3702:3702)),2),"")</f>
        <v/>
      </c>
      <c r="BE3701" s="10"/>
      <c r="BI3701" s="10"/>
    </row>
    <row r="3702" spans="1:61" ht="21" customHeight="1" x14ac:dyDescent="0.25">
      <c r="A3702" s="10"/>
      <c r="B3702" s="10"/>
      <c r="E3702" s="10"/>
      <c r="G3702" s="10"/>
      <c r="I3702" s="436" t="s">
        <v>10453</v>
      </c>
      <c r="J3702" s="26" t="s">
        <v>10454</v>
      </c>
      <c r="K3702" s="10">
        <v>11.200000000000001</v>
      </c>
      <c r="L3702" s="73">
        <f>IF(Tank1!$C$23="No control",(SUMIF(Tank1!$B$32:$B$49,$J3702,Tank1!$C$32:$C$49)*Impacts!$F$8),0)</f>
        <v>0</v>
      </c>
      <c r="M3702" s="10">
        <f>IF(Tank2!$C$23="No control",(SUMIF(Tank2!$B$32:$B$49,$J3702,Tank2!$C$32:$C$49)*Impacts!$F$9),0)</f>
        <v>0</v>
      </c>
      <c r="N3702" s="10">
        <f>IF(Tank3!$C$23="No control",(SUMIF(Tank3!$B$32:$B$49,$J3702,Tank3!$C$32:$C$49)*Impacts!$F$10),0)</f>
        <v>0</v>
      </c>
      <c r="O3702" s="10">
        <f>IF(Tank4!$C$23="No control",(SUMIF(Tank4!$B$32:$B$49,$J3702,Tank4!$C$32:$C$49)*Impacts!$F$11),0)</f>
        <v>0</v>
      </c>
      <c r="P3702" s="10">
        <f>IF(Tank5!$C$23="No control",(SUMIF(Tank5!$B$32:$B$49,$J3702,Tank5!$C$32:$C$49)*Impacts!$F$12),0)</f>
        <v>0</v>
      </c>
      <c r="Q3702" s="10">
        <f>IFERROR(IF(('Loading-drum,tote'!$C$21)="No control",SUMIF(('Loading-drum,tote'!$B$31:$B$48),$J3702,('Loading-drum,tote'!$D$31:$D$48))*Impacts!$F$13,IF(('Loading-drum,tote'!$C$21)&lt;&gt;"No control",SUMIF(('Loading-drum,tote'!$B$31:$B$48),$J3702,('Loading-drum,tote'!$E$31:$E$48))*Impacts!$F$13,0)),0)</f>
        <v>0</v>
      </c>
      <c r="R3702" s="10">
        <f>IFERROR(IF(('Loading-truck'!$C$21)="No control",SUMIF(('Loading-truck'!$B$31:$B$48),$J3702,('Loading-truck'!$D$31:$D$48))*Impacts!$F$14,IF(('Loading-truck'!$C$21)&lt;&gt;"No control",SUMIF(('Loading-truck'!$B$31:$B$48),$J3702,('Loading-truck'!$E$31:$E$48))*Impacts!$F$14,0)),0)</f>
        <v>0</v>
      </c>
      <c r="S3702" s="10">
        <f>IFERROR(IF(('Loading-rail'!$C$21)="No control",SUMIF(('Loading-rail'!$B$31:$B$48),$J3702,('Loading-rail'!$D$31:$D$48))*Impacts!$F$15,IF(('Loading-rail'!$C$21)&lt;&gt;"No control",SUMIF(('Loading-rail'!$B$31:$B$48),$J3702,('Loading-rail'!$E$31:$E$48))*Impacts!$F$15,0)),0)</f>
        <v>0</v>
      </c>
      <c r="T3702" s="10">
        <f>IF(Flare!$C$7="",0,(SUMIF(Flare!$B$46:$B$185,$J3702,Flare!$E$46:$E$185)*Impacts!$F$16))</f>
        <v>0</v>
      </c>
      <c r="U3702" s="10">
        <f>IF(VCU!$C$9="",0,(SUMIF(VCU!$B$51:$B$193,$J3702,VCU!$E$51:$E$193)*Impacts!$F$17))</f>
        <v>0</v>
      </c>
      <c r="V3702" s="10">
        <f>IF(CAS!$C$7="",0,(SUMIF(CAS!$B$31:$B$167,$J3702,CAS!$E$31:$E$167)*Impacts!$F$18))</f>
        <v>0</v>
      </c>
      <c r="W3702" s="10">
        <f t="shared" si="98"/>
        <v>0</v>
      </c>
      <c r="AK3702" s="10" t="str">
        <f t="array" ref="AK3702">IFERROR(INDEX(SelectedSpecies,SMALL(IF(SelectedSpecies=AK$1,ROW(SelectedSpecies)),ROW(3703:3703)),2),"")</f>
        <v/>
      </c>
      <c r="BE3702" s="10"/>
      <c r="BI3702" s="10"/>
    </row>
    <row r="3703" spans="1:61" ht="21" customHeight="1" x14ac:dyDescent="0.25">
      <c r="A3703" s="10"/>
      <c r="B3703" s="10"/>
      <c r="E3703" s="10"/>
      <c r="G3703" s="10"/>
      <c r="I3703" s="436" t="s">
        <v>10455</v>
      </c>
      <c r="J3703" s="26" t="s">
        <v>10456</v>
      </c>
      <c r="K3703" s="10">
        <v>10</v>
      </c>
      <c r="L3703" s="73">
        <f>IF(Tank1!$C$23="No control",(SUMIF(Tank1!$B$32:$B$49,$J3703,Tank1!$C$32:$C$49)*Impacts!$F$8),0)</f>
        <v>0</v>
      </c>
      <c r="M3703" s="10">
        <f>IF(Tank2!$C$23="No control",(SUMIF(Tank2!$B$32:$B$49,$J3703,Tank2!$C$32:$C$49)*Impacts!$F$9),0)</f>
        <v>0</v>
      </c>
      <c r="N3703" s="10">
        <f>IF(Tank3!$C$23="No control",(SUMIF(Tank3!$B$32:$B$49,$J3703,Tank3!$C$32:$C$49)*Impacts!$F$10),0)</f>
        <v>0</v>
      </c>
      <c r="O3703" s="10">
        <f>IF(Tank4!$C$23="No control",(SUMIF(Tank4!$B$32:$B$49,$J3703,Tank4!$C$32:$C$49)*Impacts!$F$11),0)</f>
        <v>0</v>
      </c>
      <c r="P3703" s="10">
        <f>IF(Tank5!$C$23="No control",(SUMIF(Tank5!$B$32:$B$49,$J3703,Tank5!$C$32:$C$49)*Impacts!$F$12),0)</f>
        <v>0</v>
      </c>
      <c r="Q3703" s="10">
        <f>IFERROR(IF(('Loading-drum,tote'!$C$21)="No control",SUMIF(('Loading-drum,tote'!$B$31:$B$48),$J3703,('Loading-drum,tote'!$D$31:$D$48))*Impacts!$F$13,IF(('Loading-drum,tote'!$C$21)&lt;&gt;"No control",SUMIF(('Loading-drum,tote'!$B$31:$B$48),$J3703,('Loading-drum,tote'!$E$31:$E$48))*Impacts!$F$13,0)),0)</f>
        <v>0</v>
      </c>
      <c r="R3703" s="10">
        <f>IFERROR(IF(('Loading-truck'!$C$21)="No control",SUMIF(('Loading-truck'!$B$31:$B$48),$J3703,('Loading-truck'!$D$31:$D$48))*Impacts!$F$14,IF(('Loading-truck'!$C$21)&lt;&gt;"No control",SUMIF(('Loading-truck'!$B$31:$B$48),$J3703,('Loading-truck'!$E$31:$E$48))*Impacts!$F$14,0)),0)</f>
        <v>0</v>
      </c>
      <c r="S3703" s="10">
        <f>IFERROR(IF(('Loading-rail'!$C$21)="No control",SUMIF(('Loading-rail'!$B$31:$B$48),$J3703,('Loading-rail'!$D$31:$D$48))*Impacts!$F$15,IF(('Loading-rail'!$C$21)&lt;&gt;"No control",SUMIF(('Loading-rail'!$B$31:$B$48),$J3703,('Loading-rail'!$E$31:$E$48))*Impacts!$F$15,0)),0)</f>
        <v>0</v>
      </c>
      <c r="T3703" s="10">
        <f>IF(Flare!$C$7="",0,(SUMIF(Flare!$B$46:$B$185,$J3703,Flare!$E$46:$E$185)*Impacts!$F$16))</f>
        <v>0</v>
      </c>
      <c r="U3703" s="10">
        <f>IF(VCU!$C$9="",0,(SUMIF(VCU!$B$51:$B$193,$J3703,VCU!$E$51:$E$193)*Impacts!$F$17))</f>
        <v>0</v>
      </c>
      <c r="V3703" s="10">
        <f>IF(CAS!$C$7="",0,(SUMIF(CAS!$B$31:$B$167,$J3703,CAS!$E$31:$E$167)*Impacts!$F$18))</f>
        <v>0</v>
      </c>
      <c r="W3703" s="10">
        <f t="shared" si="98"/>
        <v>0</v>
      </c>
      <c r="AK3703" s="10" t="str">
        <f t="array" ref="AK3703">IFERROR(INDEX(SelectedSpecies,SMALL(IF(SelectedSpecies=AK$1,ROW(SelectedSpecies)),ROW(3704:3704)),2),"")</f>
        <v/>
      </c>
      <c r="BE3703" s="10"/>
      <c r="BI3703" s="10"/>
    </row>
    <row r="3704" spans="1:61" ht="21" customHeight="1" x14ac:dyDescent="0.25">
      <c r="A3704" s="10"/>
      <c r="B3704" s="10"/>
      <c r="E3704" s="10"/>
      <c r="G3704" s="10"/>
      <c r="I3704" s="436" t="s">
        <v>10457</v>
      </c>
      <c r="J3704" s="26" t="s">
        <v>10458</v>
      </c>
      <c r="K3704" s="10">
        <v>10</v>
      </c>
      <c r="L3704" s="73">
        <f>IF(Tank1!$C$23="No control",(SUMIF(Tank1!$B$32:$B$49,$J3704,Tank1!$C$32:$C$49)*Impacts!$F$8),0)</f>
        <v>0</v>
      </c>
      <c r="M3704" s="10">
        <f>IF(Tank2!$C$23="No control",(SUMIF(Tank2!$B$32:$B$49,$J3704,Tank2!$C$32:$C$49)*Impacts!$F$9),0)</f>
        <v>0</v>
      </c>
      <c r="N3704" s="10">
        <f>IF(Tank3!$C$23="No control",(SUMIF(Tank3!$B$32:$B$49,$J3704,Tank3!$C$32:$C$49)*Impacts!$F$10),0)</f>
        <v>0</v>
      </c>
      <c r="O3704" s="10">
        <f>IF(Tank4!$C$23="No control",(SUMIF(Tank4!$B$32:$B$49,$J3704,Tank4!$C$32:$C$49)*Impacts!$F$11),0)</f>
        <v>0</v>
      </c>
      <c r="P3704" s="10">
        <f>IF(Tank5!$C$23="No control",(SUMIF(Tank5!$B$32:$B$49,$J3704,Tank5!$C$32:$C$49)*Impacts!$F$12),0)</f>
        <v>0</v>
      </c>
      <c r="Q3704" s="10">
        <f>IFERROR(IF(('Loading-drum,tote'!$C$21)="No control",SUMIF(('Loading-drum,tote'!$B$31:$B$48),$J3704,('Loading-drum,tote'!$D$31:$D$48))*Impacts!$F$13,IF(('Loading-drum,tote'!$C$21)&lt;&gt;"No control",SUMIF(('Loading-drum,tote'!$B$31:$B$48),$J3704,('Loading-drum,tote'!$E$31:$E$48))*Impacts!$F$13,0)),0)</f>
        <v>0</v>
      </c>
      <c r="R3704" s="10">
        <f>IFERROR(IF(('Loading-truck'!$C$21)="No control",SUMIF(('Loading-truck'!$B$31:$B$48),$J3704,('Loading-truck'!$D$31:$D$48))*Impacts!$F$14,IF(('Loading-truck'!$C$21)&lt;&gt;"No control",SUMIF(('Loading-truck'!$B$31:$B$48),$J3704,('Loading-truck'!$E$31:$E$48))*Impacts!$F$14,0)),0)</f>
        <v>0</v>
      </c>
      <c r="S3704" s="10">
        <f>IFERROR(IF(('Loading-rail'!$C$21)="No control",SUMIF(('Loading-rail'!$B$31:$B$48),$J3704,('Loading-rail'!$D$31:$D$48))*Impacts!$F$15,IF(('Loading-rail'!$C$21)&lt;&gt;"No control",SUMIF(('Loading-rail'!$B$31:$B$48),$J3704,('Loading-rail'!$E$31:$E$48))*Impacts!$F$15,0)),0)</f>
        <v>0</v>
      </c>
      <c r="T3704" s="10">
        <f>IF(Flare!$C$7="",0,(SUMIF(Flare!$B$46:$B$185,$J3704,Flare!$E$46:$E$185)*Impacts!$F$16))</f>
        <v>0</v>
      </c>
      <c r="U3704" s="10">
        <f>IF(VCU!$C$9="",0,(SUMIF(VCU!$B$51:$B$193,$J3704,VCU!$E$51:$E$193)*Impacts!$F$17))</f>
        <v>0</v>
      </c>
      <c r="V3704" s="10">
        <f>IF(CAS!$C$7="",0,(SUMIF(CAS!$B$31:$B$167,$J3704,CAS!$E$31:$E$167)*Impacts!$F$18))</f>
        <v>0</v>
      </c>
      <c r="W3704" s="10">
        <f t="shared" si="98"/>
        <v>0</v>
      </c>
      <c r="AK3704" s="10" t="str">
        <f t="array" ref="AK3704">IFERROR(INDEX(SelectedSpecies,SMALL(IF(SelectedSpecies=AK$1,ROW(SelectedSpecies)),ROW(3705:3705)),2),"")</f>
        <v/>
      </c>
      <c r="BE3704" s="10"/>
      <c r="BI3704" s="10"/>
    </row>
    <row r="3705" spans="1:61" ht="21" customHeight="1" x14ac:dyDescent="0.25">
      <c r="A3705" s="10"/>
      <c r="B3705" s="10"/>
      <c r="E3705" s="10"/>
      <c r="G3705" s="10"/>
      <c r="I3705" s="436" t="s">
        <v>2635</v>
      </c>
      <c r="J3705" s="26" t="s">
        <v>2634</v>
      </c>
      <c r="K3705" s="10">
        <v>10</v>
      </c>
      <c r="L3705" s="73">
        <f>IF(Tank1!$C$23="No control",(SUMIF(Tank1!$B$32:$B$49,$J3705,Tank1!$C$32:$C$49)*Impacts!$F$8),0)</f>
        <v>0</v>
      </c>
      <c r="M3705" s="10">
        <f>IF(Tank2!$C$23="No control",(SUMIF(Tank2!$B$32:$B$49,$J3705,Tank2!$C$32:$C$49)*Impacts!$F$9),0)</f>
        <v>0</v>
      </c>
      <c r="N3705" s="10">
        <f>IF(Tank3!$C$23="No control",(SUMIF(Tank3!$B$32:$B$49,$J3705,Tank3!$C$32:$C$49)*Impacts!$F$10),0)</f>
        <v>0</v>
      </c>
      <c r="O3705" s="10">
        <f>IF(Tank4!$C$23="No control",(SUMIF(Tank4!$B$32:$B$49,$J3705,Tank4!$C$32:$C$49)*Impacts!$F$11),0)</f>
        <v>0</v>
      </c>
      <c r="P3705" s="10">
        <f>IF(Tank5!$C$23="No control",(SUMIF(Tank5!$B$32:$B$49,$J3705,Tank5!$C$32:$C$49)*Impacts!$F$12),0)</f>
        <v>0</v>
      </c>
      <c r="Q3705" s="10">
        <f>IFERROR(IF(('Loading-drum,tote'!$C$21)="No control",SUMIF(('Loading-drum,tote'!$B$31:$B$48),$J3705,('Loading-drum,tote'!$D$31:$D$48))*Impacts!$F$13,IF(('Loading-drum,tote'!$C$21)&lt;&gt;"No control",SUMIF(('Loading-drum,tote'!$B$31:$B$48),$J3705,('Loading-drum,tote'!$E$31:$E$48))*Impacts!$F$13,0)),0)</f>
        <v>0</v>
      </c>
      <c r="R3705" s="10">
        <f>IFERROR(IF(('Loading-truck'!$C$21)="No control",SUMIF(('Loading-truck'!$B$31:$B$48),$J3705,('Loading-truck'!$D$31:$D$48))*Impacts!$F$14,IF(('Loading-truck'!$C$21)&lt;&gt;"No control",SUMIF(('Loading-truck'!$B$31:$B$48),$J3705,('Loading-truck'!$E$31:$E$48))*Impacts!$F$14,0)),0)</f>
        <v>0</v>
      </c>
      <c r="S3705" s="10">
        <f>IFERROR(IF(('Loading-rail'!$C$21)="No control",SUMIF(('Loading-rail'!$B$31:$B$48),$J3705,('Loading-rail'!$D$31:$D$48))*Impacts!$F$15,IF(('Loading-rail'!$C$21)&lt;&gt;"No control",SUMIF(('Loading-rail'!$B$31:$B$48),$J3705,('Loading-rail'!$E$31:$E$48))*Impacts!$F$15,0)),0)</f>
        <v>0</v>
      </c>
      <c r="T3705" s="10">
        <f>IF(Flare!$C$7="",0,(SUMIF(Flare!$B$46:$B$185,$J3705,Flare!$E$46:$E$185)*Impacts!$F$16))</f>
        <v>0</v>
      </c>
      <c r="U3705" s="10">
        <f>IF(VCU!$C$9="",0,(SUMIF(VCU!$B$51:$B$193,$J3705,VCU!$E$51:$E$193)*Impacts!$F$17))</f>
        <v>0</v>
      </c>
      <c r="V3705" s="10">
        <f>IF(CAS!$C$7="",0,(SUMIF(CAS!$B$31:$B$167,$J3705,CAS!$E$31:$E$167)*Impacts!$F$18))</f>
        <v>0</v>
      </c>
      <c r="W3705" s="10">
        <f t="shared" si="98"/>
        <v>0</v>
      </c>
      <c r="AK3705" s="10" t="str">
        <f t="array" ref="AK3705">IFERROR(INDEX(SelectedSpecies,SMALL(IF(SelectedSpecies=AK$1,ROW(SelectedSpecies)),ROW(3706:3706)),2),"")</f>
        <v/>
      </c>
      <c r="BE3705" s="10"/>
      <c r="BI3705" s="10"/>
    </row>
    <row r="3706" spans="1:61" ht="21" customHeight="1" x14ac:dyDescent="0.25">
      <c r="A3706" s="10"/>
      <c r="B3706" s="10"/>
      <c r="E3706" s="10"/>
      <c r="G3706" s="10"/>
      <c r="I3706" s="436" t="s">
        <v>3379</v>
      </c>
      <c r="J3706" s="26" t="s">
        <v>3378</v>
      </c>
      <c r="K3706" s="10">
        <v>10</v>
      </c>
      <c r="L3706" s="73">
        <f>IF(Tank1!$C$23="No control",(SUMIF(Tank1!$B$32:$B$49,$J3706,Tank1!$C$32:$C$49)*Impacts!$F$8),0)</f>
        <v>0</v>
      </c>
      <c r="M3706" s="10">
        <f>IF(Tank2!$C$23="No control",(SUMIF(Tank2!$B$32:$B$49,$J3706,Tank2!$C$32:$C$49)*Impacts!$F$9),0)</f>
        <v>0</v>
      </c>
      <c r="N3706" s="10">
        <f>IF(Tank3!$C$23="No control",(SUMIF(Tank3!$B$32:$B$49,$J3706,Tank3!$C$32:$C$49)*Impacts!$F$10),0)</f>
        <v>0</v>
      </c>
      <c r="O3706" s="10">
        <f>IF(Tank4!$C$23="No control",(SUMIF(Tank4!$B$32:$B$49,$J3706,Tank4!$C$32:$C$49)*Impacts!$F$11),0)</f>
        <v>0</v>
      </c>
      <c r="P3706" s="10">
        <f>IF(Tank5!$C$23="No control",(SUMIF(Tank5!$B$32:$B$49,$J3706,Tank5!$C$32:$C$49)*Impacts!$F$12),0)</f>
        <v>0</v>
      </c>
      <c r="Q3706" s="10">
        <f>IFERROR(IF(('Loading-drum,tote'!$C$21)="No control",SUMIF(('Loading-drum,tote'!$B$31:$B$48),$J3706,('Loading-drum,tote'!$D$31:$D$48))*Impacts!$F$13,IF(('Loading-drum,tote'!$C$21)&lt;&gt;"No control",SUMIF(('Loading-drum,tote'!$B$31:$B$48),$J3706,('Loading-drum,tote'!$E$31:$E$48))*Impacts!$F$13,0)),0)</f>
        <v>0</v>
      </c>
      <c r="R3706" s="10">
        <f>IFERROR(IF(('Loading-truck'!$C$21)="No control",SUMIF(('Loading-truck'!$B$31:$B$48),$J3706,('Loading-truck'!$D$31:$D$48))*Impacts!$F$14,IF(('Loading-truck'!$C$21)&lt;&gt;"No control",SUMIF(('Loading-truck'!$B$31:$B$48),$J3706,('Loading-truck'!$E$31:$E$48))*Impacts!$F$14,0)),0)</f>
        <v>0</v>
      </c>
      <c r="S3706" s="10">
        <f>IFERROR(IF(('Loading-rail'!$C$21)="No control",SUMIF(('Loading-rail'!$B$31:$B$48),$J3706,('Loading-rail'!$D$31:$D$48))*Impacts!$F$15,IF(('Loading-rail'!$C$21)&lt;&gt;"No control",SUMIF(('Loading-rail'!$B$31:$B$48),$J3706,('Loading-rail'!$E$31:$E$48))*Impacts!$F$15,0)),0)</f>
        <v>0</v>
      </c>
      <c r="T3706" s="10">
        <f>IF(Flare!$C$7="",0,(SUMIF(Flare!$B$46:$B$185,$J3706,Flare!$E$46:$E$185)*Impacts!$F$16))</f>
        <v>0</v>
      </c>
      <c r="U3706" s="10">
        <f>IF(VCU!$C$9="",0,(SUMIF(VCU!$B$51:$B$193,$J3706,VCU!$E$51:$E$193)*Impacts!$F$17))</f>
        <v>0</v>
      </c>
      <c r="V3706" s="10">
        <f>IF(CAS!$C$7="",0,(SUMIF(CAS!$B$31:$B$167,$J3706,CAS!$E$31:$E$167)*Impacts!$F$18))</f>
        <v>0</v>
      </c>
      <c r="W3706" s="10">
        <f t="shared" si="98"/>
        <v>0</v>
      </c>
      <c r="AK3706" s="10" t="str">
        <f t="array" ref="AK3706">IFERROR(INDEX(SelectedSpecies,SMALL(IF(SelectedSpecies=AK$1,ROW(SelectedSpecies)),ROW(3707:3707)),2),"")</f>
        <v/>
      </c>
      <c r="BE3706" s="10"/>
      <c r="BI3706" s="10"/>
    </row>
    <row r="3707" spans="1:61" ht="21" customHeight="1" x14ac:dyDescent="0.25">
      <c r="A3707" s="10"/>
      <c r="B3707" s="10"/>
      <c r="E3707" s="10"/>
      <c r="G3707" s="10"/>
      <c r="I3707" s="436" t="s">
        <v>2637</v>
      </c>
      <c r="J3707" s="26" t="s">
        <v>2636</v>
      </c>
      <c r="K3707" s="10">
        <v>10</v>
      </c>
      <c r="L3707" s="73">
        <f>IF(Tank1!$C$23="No control",(SUMIF(Tank1!$B$32:$B$49,$J3707,Tank1!$C$32:$C$49)*Impacts!$F$8),0)</f>
        <v>0</v>
      </c>
      <c r="M3707" s="10">
        <f>IF(Tank2!$C$23="No control",(SUMIF(Tank2!$B$32:$B$49,$J3707,Tank2!$C$32:$C$49)*Impacts!$F$9),0)</f>
        <v>0</v>
      </c>
      <c r="N3707" s="10">
        <f>IF(Tank3!$C$23="No control",(SUMIF(Tank3!$B$32:$B$49,$J3707,Tank3!$C$32:$C$49)*Impacts!$F$10),0)</f>
        <v>0</v>
      </c>
      <c r="O3707" s="10">
        <f>IF(Tank4!$C$23="No control",(SUMIF(Tank4!$B$32:$B$49,$J3707,Tank4!$C$32:$C$49)*Impacts!$F$11),0)</f>
        <v>0</v>
      </c>
      <c r="P3707" s="10">
        <f>IF(Tank5!$C$23="No control",(SUMIF(Tank5!$B$32:$B$49,$J3707,Tank5!$C$32:$C$49)*Impacts!$F$12),0)</f>
        <v>0</v>
      </c>
      <c r="Q3707" s="10">
        <f>IFERROR(IF(('Loading-drum,tote'!$C$21)="No control",SUMIF(('Loading-drum,tote'!$B$31:$B$48),$J3707,('Loading-drum,tote'!$D$31:$D$48))*Impacts!$F$13,IF(('Loading-drum,tote'!$C$21)&lt;&gt;"No control",SUMIF(('Loading-drum,tote'!$B$31:$B$48),$J3707,('Loading-drum,tote'!$E$31:$E$48))*Impacts!$F$13,0)),0)</f>
        <v>0</v>
      </c>
      <c r="R3707" s="10">
        <f>IFERROR(IF(('Loading-truck'!$C$21)="No control",SUMIF(('Loading-truck'!$B$31:$B$48),$J3707,('Loading-truck'!$D$31:$D$48))*Impacts!$F$14,IF(('Loading-truck'!$C$21)&lt;&gt;"No control",SUMIF(('Loading-truck'!$B$31:$B$48),$J3707,('Loading-truck'!$E$31:$E$48))*Impacts!$F$14,0)),0)</f>
        <v>0</v>
      </c>
      <c r="S3707" s="10">
        <f>IFERROR(IF(('Loading-rail'!$C$21)="No control",SUMIF(('Loading-rail'!$B$31:$B$48),$J3707,('Loading-rail'!$D$31:$D$48))*Impacts!$F$15,IF(('Loading-rail'!$C$21)&lt;&gt;"No control",SUMIF(('Loading-rail'!$B$31:$B$48),$J3707,('Loading-rail'!$E$31:$E$48))*Impacts!$F$15,0)),0)</f>
        <v>0</v>
      </c>
      <c r="T3707" s="10">
        <f>IF(Flare!$C$7="",0,(SUMIF(Flare!$B$46:$B$185,$J3707,Flare!$E$46:$E$185)*Impacts!$F$16))</f>
        <v>0</v>
      </c>
      <c r="U3707" s="10">
        <f>IF(VCU!$C$9="",0,(SUMIF(VCU!$B$51:$B$193,$J3707,VCU!$E$51:$E$193)*Impacts!$F$17))</f>
        <v>0</v>
      </c>
      <c r="V3707" s="10">
        <f>IF(CAS!$C$7="",0,(SUMIF(CAS!$B$31:$B$167,$J3707,CAS!$E$31:$E$167)*Impacts!$F$18))</f>
        <v>0</v>
      </c>
      <c r="W3707" s="10">
        <f t="shared" si="98"/>
        <v>0</v>
      </c>
      <c r="AK3707" s="10" t="str">
        <f t="array" ref="AK3707">IFERROR(INDEX(SelectedSpecies,SMALL(IF(SelectedSpecies=AK$1,ROW(SelectedSpecies)),ROW(3708:3708)),2),"")</f>
        <v/>
      </c>
      <c r="BE3707" s="10"/>
      <c r="BI3707" s="10"/>
    </row>
    <row r="3708" spans="1:61" ht="21" customHeight="1" x14ac:dyDescent="0.25">
      <c r="A3708" s="10"/>
      <c r="B3708" s="10"/>
      <c r="E3708" s="10"/>
      <c r="G3708" s="10"/>
      <c r="I3708" s="436" t="s">
        <v>10459</v>
      </c>
      <c r="J3708" s="26" t="s">
        <v>10460</v>
      </c>
      <c r="K3708" s="10">
        <v>10</v>
      </c>
      <c r="L3708" s="73">
        <f>IF(Tank1!$C$23="No control",(SUMIF(Tank1!$B$32:$B$49,$J3708,Tank1!$C$32:$C$49)*Impacts!$F$8),0)</f>
        <v>0</v>
      </c>
      <c r="M3708" s="10">
        <f>IF(Tank2!$C$23="No control",(SUMIF(Tank2!$B$32:$B$49,$J3708,Tank2!$C$32:$C$49)*Impacts!$F$9),0)</f>
        <v>0</v>
      </c>
      <c r="N3708" s="10">
        <f>IF(Tank3!$C$23="No control",(SUMIF(Tank3!$B$32:$B$49,$J3708,Tank3!$C$32:$C$49)*Impacts!$F$10),0)</f>
        <v>0</v>
      </c>
      <c r="O3708" s="10">
        <f>IF(Tank4!$C$23="No control",(SUMIF(Tank4!$B$32:$B$49,$J3708,Tank4!$C$32:$C$49)*Impacts!$F$11),0)</f>
        <v>0</v>
      </c>
      <c r="P3708" s="10">
        <f>IF(Tank5!$C$23="No control",(SUMIF(Tank5!$B$32:$B$49,$J3708,Tank5!$C$32:$C$49)*Impacts!$F$12),0)</f>
        <v>0</v>
      </c>
      <c r="Q3708" s="10">
        <f>IFERROR(IF(('Loading-drum,tote'!$C$21)="No control",SUMIF(('Loading-drum,tote'!$B$31:$B$48),$J3708,('Loading-drum,tote'!$D$31:$D$48))*Impacts!$F$13,IF(('Loading-drum,tote'!$C$21)&lt;&gt;"No control",SUMIF(('Loading-drum,tote'!$B$31:$B$48),$J3708,('Loading-drum,tote'!$E$31:$E$48))*Impacts!$F$13,0)),0)</f>
        <v>0</v>
      </c>
      <c r="R3708" s="10">
        <f>IFERROR(IF(('Loading-truck'!$C$21)="No control",SUMIF(('Loading-truck'!$B$31:$B$48),$J3708,('Loading-truck'!$D$31:$D$48))*Impacts!$F$14,IF(('Loading-truck'!$C$21)&lt;&gt;"No control",SUMIF(('Loading-truck'!$B$31:$B$48),$J3708,('Loading-truck'!$E$31:$E$48))*Impacts!$F$14,0)),0)</f>
        <v>0</v>
      </c>
      <c r="S3708" s="10">
        <f>IFERROR(IF(('Loading-rail'!$C$21)="No control",SUMIF(('Loading-rail'!$B$31:$B$48),$J3708,('Loading-rail'!$D$31:$D$48))*Impacts!$F$15,IF(('Loading-rail'!$C$21)&lt;&gt;"No control",SUMIF(('Loading-rail'!$B$31:$B$48),$J3708,('Loading-rail'!$E$31:$E$48))*Impacts!$F$15,0)),0)</f>
        <v>0</v>
      </c>
      <c r="T3708" s="10">
        <f>IF(Flare!$C$7="",0,(SUMIF(Flare!$B$46:$B$185,$J3708,Flare!$E$46:$E$185)*Impacts!$F$16))</f>
        <v>0</v>
      </c>
      <c r="U3708" s="10">
        <f>IF(VCU!$C$9="",0,(SUMIF(VCU!$B$51:$B$193,$J3708,VCU!$E$51:$E$193)*Impacts!$F$17))</f>
        <v>0</v>
      </c>
      <c r="V3708" s="10">
        <f>IF(CAS!$C$7="",0,(SUMIF(CAS!$B$31:$B$167,$J3708,CAS!$E$31:$E$167)*Impacts!$F$18))</f>
        <v>0</v>
      </c>
      <c r="W3708" s="10">
        <f t="shared" si="98"/>
        <v>0</v>
      </c>
      <c r="AK3708" s="10" t="str">
        <f t="array" ref="AK3708">IFERROR(INDEX(SelectedSpecies,SMALL(IF(SelectedSpecies=AK$1,ROW(SelectedSpecies)),ROW(3709:3709)),2),"")</f>
        <v/>
      </c>
      <c r="BE3708" s="10"/>
      <c r="BI3708" s="10"/>
    </row>
    <row r="3709" spans="1:61" ht="21" customHeight="1" x14ac:dyDescent="0.25">
      <c r="A3709" s="10"/>
      <c r="B3709" s="10"/>
      <c r="E3709" s="10"/>
      <c r="G3709" s="10"/>
      <c r="I3709" s="436" t="s">
        <v>10461</v>
      </c>
      <c r="J3709" s="26" t="s">
        <v>10462</v>
      </c>
      <c r="K3709" s="10">
        <v>10</v>
      </c>
      <c r="L3709" s="73">
        <f>IF(Tank1!$C$23="No control",(SUMIF(Tank1!$B$32:$B$49,$J3709,Tank1!$C$32:$C$49)*Impacts!$F$8),0)</f>
        <v>0</v>
      </c>
      <c r="M3709" s="10">
        <f>IF(Tank2!$C$23="No control",(SUMIF(Tank2!$B$32:$B$49,$J3709,Tank2!$C$32:$C$49)*Impacts!$F$9),0)</f>
        <v>0</v>
      </c>
      <c r="N3709" s="10">
        <f>IF(Tank3!$C$23="No control",(SUMIF(Tank3!$B$32:$B$49,$J3709,Tank3!$C$32:$C$49)*Impacts!$F$10),0)</f>
        <v>0</v>
      </c>
      <c r="O3709" s="10">
        <f>IF(Tank4!$C$23="No control",(SUMIF(Tank4!$B$32:$B$49,$J3709,Tank4!$C$32:$C$49)*Impacts!$F$11),0)</f>
        <v>0</v>
      </c>
      <c r="P3709" s="10">
        <f>IF(Tank5!$C$23="No control",(SUMIF(Tank5!$B$32:$B$49,$J3709,Tank5!$C$32:$C$49)*Impacts!$F$12),0)</f>
        <v>0</v>
      </c>
      <c r="Q3709" s="10">
        <f>IFERROR(IF(('Loading-drum,tote'!$C$21)="No control",SUMIF(('Loading-drum,tote'!$B$31:$B$48),$J3709,('Loading-drum,tote'!$D$31:$D$48))*Impacts!$F$13,IF(('Loading-drum,tote'!$C$21)&lt;&gt;"No control",SUMIF(('Loading-drum,tote'!$B$31:$B$48),$J3709,('Loading-drum,tote'!$E$31:$E$48))*Impacts!$F$13,0)),0)</f>
        <v>0</v>
      </c>
      <c r="R3709" s="10">
        <f>IFERROR(IF(('Loading-truck'!$C$21)="No control",SUMIF(('Loading-truck'!$B$31:$B$48),$J3709,('Loading-truck'!$D$31:$D$48))*Impacts!$F$14,IF(('Loading-truck'!$C$21)&lt;&gt;"No control",SUMIF(('Loading-truck'!$B$31:$B$48),$J3709,('Loading-truck'!$E$31:$E$48))*Impacts!$F$14,0)),0)</f>
        <v>0</v>
      </c>
      <c r="S3709" s="10">
        <f>IFERROR(IF(('Loading-rail'!$C$21)="No control",SUMIF(('Loading-rail'!$B$31:$B$48),$J3709,('Loading-rail'!$D$31:$D$48))*Impacts!$F$15,IF(('Loading-rail'!$C$21)&lt;&gt;"No control",SUMIF(('Loading-rail'!$B$31:$B$48),$J3709,('Loading-rail'!$E$31:$E$48))*Impacts!$F$15,0)),0)</f>
        <v>0</v>
      </c>
      <c r="T3709" s="10">
        <f>IF(Flare!$C$7="",0,(SUMIF(Flare!$B$46:$B$185,$J3709,Flare!$E$46:$E$185)*Impacts!$F$16))</f>
        <v>0</v>
      </c>
      <c r="U3709" s="10">
        <f>IF(VCU!$C$9="",0,(SUMIF(VCU!$B$51:$B$193,$J3709,VCU!$E$51:$E$193)*Impacts!$F$17))</f>
        <v>0</v>
      </c>
      <c r="V3709" s="10">
        <f>IF(CAS!$C$7="",0,(SUMIF(CAS!$B$31:$B$167,$J3709,CAS!$E$31:$E$167)*Impacts!$F$18))</f>
        <v>0</v>
      </c>
      <c r="W3709" s="10">
        <f t="shared" si="98"/>
        <v>0</v>
      </c>
      <c r="AK3709" s="10" t="str">
        <f t="array" ref="AK3709">IFERROR(INDEX(SelectedSpecies,SMALL(IF(SelectedSpecies=AK$1,ROW(SelectedSpecies)),ROW(3710:3710)),2),"")</f>
        <v/>
      </c>
      <c r="BE3709" s="10"/>
      <c r="BI3709" s="10"/>
    </row>
    <row r="3710" spans="1:61" ht="21" customHeight="1" x14ac:dyDescent="0.25">
      <c r="A3710" s="10"/>
      <c r="B3710" s="10"/>
      <c r="E3710" s="10"/>
      <c r="G3710" s="10"/>
      <c r="I3710" s="436" t="s">
        <v>3381</v>
      </c>
      <c r="J3710" s="26" t="s">
        <v>3380</v>
      </c>
      <c r="K3710" s="10">
        <v>10</v>
      </c>
      <c r="L3710" s="73">
        <f>IF(Tank1!$C$23="No control",(SUMIF(Tank1!$B$32:$B$49,$J3710,Tank1!$C$32:$C$49)*Impacts!$F$8),0)</f>
        <v>0</v>
      </c>
      <c r="M3710" s="10">
        <f>IF(Tank2!$C$23="No control",(SUMIF(Tank2!$B$32:$B$49,$J3710,Tank2!$C$32:$C$49)*Impacts!$F$9),0)</f>
        <v>0</v>
      </c>
      <c r="N3710" s="10">
        <f>IF(Tank3!$C$23="No control",(SUMIF(Tank3!$B$32:$B$49,$J3710,Tank3!$C$32:$C$49)*Impacts!$F$10),0)</f>
        <v>0</v>
      </c>
      <c r="O3710" s="10">
        <f>IF(Tank4!$C$23="No control",(SUMIF(Tank4!$B$32:$B$49,$J3710,Tank4!$C$32:$C$49)*Impacts!$F$11),0)</f>
        <v>0</v>
      </c>
      <c r="P3710" s="10">
        <f>IF(Tank5!$C$23="No control",(SUMIF(Tank5!$B$32:$B$49,$J3710,Tank5!$C$32:$C$49)*Impacts!$F$12),0)</f>
        <v>0</v>
      </c>
      <c r="Q3710" s="10">
        <f>IFERROR(IF(('Loading-drum,tote'!$C$21)="No control",SUMIF(('Loading-drum,tote'!$B$31:$B$48),$J3710,('Loading-drum,tote'!$D$31:$D$48))*Impacts!$F$13,IF(('Loading-drum,tote'!$C$21)&lt;&gt;"No control",SUMIF(('Loading-drum,tote'!$B$31:$B$48),$J3710,('Loading-drum,tote'!$E$31:$E$48))*Impacts!$F$13,0)),0)</f>
        <v>0</v>
      </c>
      <c r="R3710" s="10">
        <f>IFERROR(IF(('Loading-truck'!$C$21)="No control",SUMIF(('Loading-truck'!$B$31:$B$48),$J3710,('Loading-truck'!$D$31:$D$48))*Impacts!$F$14,IF(('Loading-truck'!$C$21)&lt;&gt;"No control",SUMIF(('Loading-truck'!$B$31:$B$48),$J3710,('Loading-truck'!$E$31:$E$48))*Impacts!$F$14,0)),0)</f>
        <v>0</v>
      </c>
      <c r="S3710" s="10">
        <f>IFERROR(IF(('Loading-rail'!$C$21)="No control",SUMIF(('Loading-rail'!$B$31:$B$48),$J3710,('Loading-rail'!$D$31:$D$48))*Impacts!$F$15,IF(('Loading-rail'!$C$21)&lt;&gt;"No control",SUMIF(('Loading-rail'!$B$31:$B$48),$J3710,('Loading-rail'!$E$31:$E$48))*Impacts!$F$15,0)),0)</f>
        <v>0</v>
      </c>
      <c r="T3710" s="10">
        <f>IF(Flare!$C$7="",0,(SUMIF(Flare!$B$46:$B$185,$J3710,Flare!$E$46:$E$185)*Impacts!$F$16))</f>
        <v>0</v>
      </c>
      <c r="U3710" s="10">
        <f>IF(VCU!$C$9="",0,(SUMIF(VCU!$B$51:$B$193,$J3710,VCU!$E$51:$E$193)*Impacts!$F$17))</f>
        <v>0</v>
      </c>
      <c r="V3710" s="10">
        <f>IF(CAS!$C$7="",0,(SUMIF(CAS!$B$31:$B$167,$J3710,CAS!$E$31:$E$167)*Impacts!$F$18))</f>
        <v>0</v>
      </c>
      <c r="W3710" s="10">
        <f t="shared" si="98"/>
        <v>0</v>
      </c>
      <c r="AK3710" s="10" t="str">
        <f t="array" ref="AK3710">IFERROR(INDEX(SelectedSpecies,SMALL(IF(SelectedSpecies=AK$1,ROW(SelectedSpecies)),ROW(3711:3711)),2),"")</f>
        <v/>
      </c>
      <c r="BE3710" s="10"/>
      <c r="BI3710" s="10"/>
    </row>
    <row r="3711" spans="1:61" ht="21" customHeight="1" x14ac:dyDescent="0.25">
      <c r="A3711" s="10"/>
      <c r="B3711" s="10"/>
      <c r="E3711" s="10"/>
      <c r="G3711" s="10"/>
      <c r="I3711" s="436" t="s">
        <v>3383</v>
      </c>
      <c r="J3711" s="26" t="s">
        <v>3382</v>
      </c>
      <c r="K3711" s="10">
        <v>10</v>
      </c>
      <c r="L3711" s="73">
        <f>IF(Tank1!$C$23="No control",(SUMIF(Tank1!$B$32:$B$49,$J3711,Tank1!$C$32:$C$49)*Impacts!$F$8),0)</f>
        <v>0</v>
      </c>
      <c r="M3711" s="10">
        <f>IF(Tank2!$C$23="No control",(SUMIF(Tank2!$B$32:$B$49,$J3711,Tank2!$C$32:$C$49)*Impacts!$F$9),0)</f>
        <v>0</v>
      </c>
      <c r="N3711" s="10">
        <f>IF(Tank3!$C$23="No control",(SUMIF(Tank3!$B$32:$B$49,$J3711,Tank3!$C$32:$C$49)*Impacts!$F$10),0)</f>
        <v>0</v>
      </c>
      <c r="O3711" s="10">
        <f>IF(Tank4!$C$23="No control",(SUMIF(Tank4!$B$32:$B$49,$J3711,Tank4!$C$32:$C$49)*Impacts!$F$11),0)</f>
        <v>0</v>
      </c>
      <c r="P3711" s="10">
        <f>IF(Tank5!$C$23="No control",(SUMIF(Tank5!$B$32:$B$49,$J3711,Tank5!$C$32:$C$49)*Impacts!$F$12),0)</f>
        <v>0</v>
      </c>
      <c r="Q3711" s="10">
        <f>IFERROR(IF(('Loading-drum,tote'!$C$21)="No control",SUMIF(('Loading-drum,tote'!$B$31:$B$48),$J3711,('Loading-drum,tote'!$D$31:$D$48))*Impacts!$F$13,IF(('Loading-drum,tote'!$C$21)&lt;&gt;"No control",SUMIF(('Loading-drum,tote'!$B$31:$B$48),$J3711,('Loading-drum,tote'!$E$31:$E$48))*Impacts!$F$13,0)),0)</f>
        <v>0</v>
      </c>
      <c r="R3711" s="10">
        <f>IFERROR(IF(('Loading-truck'!$C$21)="No control",SUMIF(('Loading-truck'!$B$31:$B$48),$J3711,('Loading-truck'!$D$31:$D$48))*Impacts!$F$14,IF(('Loading-truck'!$C$21)&lt;&gt;"No control",SUMIF(('Loading-truck'!$B$31:$B$48),$J3711,('Loading-truck'!$E$31:$E$48))*Impacts!$F$14,0)),0)</f>
        <v>0</v>
      </c>
      <c r="S3711" s="10">
        <f>IFERROR(IF(('Loading-rail'!$C$21)="No control",SUMIF(('Loading-rail'!$B$31:$B$48),$J3711,('Loading-rail'!$D$31:$D$48))*Impacts!$F$15,IF(('Loading-rail'!$C$21)&lt;&gt;"No control",SUMIF(('Loading-rail'!$B$31:$B$48),$J3711,('Loading-rail'!$E$31:$E$48))*Impacts!$F$15,0)),0)</f>
        <v>0</v>
      </c>
      <c r="T3711" s="10">
        <f>IF(Flare!$C$7="",0,(SUMIF(Flare!$B$46:$B$185,$J3711,Flare!$E$46:$E$185)*Impacts!$F$16))</f>
        <v>0</v>
      </c>
      <c r="U3711" s="10">
        <f>IF(VCU!$C$9="",0,(SUMIF(VCU!$B$51:$B$193,$J3711,VCU!$E$51:$E$193)*Impacts!$F$17))</f>
        <v>0</v>
      </c>
      <c r="V3711" s="10">
        <f>IF(CAS!$C$7="",0,(SUMIF(CAS!$B$31:$B$167,$J3711,CAS!$E$31:$E$167)*Impacts!$F$18))</f>
        <v>0</v>
      </c>
      <c r="W3711" s="10">
        <f t="shared" si="98"/>
        <v>0</v>
      </c>
      <c r="AK3711" s="10" t="str">
        <f t="array" ref="AK3711">IFERROR(INDEX(SelectedSpecies,SMALL(IF(SelectedSpecies=AK$1,ROW(SelectedSpecies)),ROW(3712:3712)),2),"")</f>
        <v/>
      </c>
      <c r="BE3711" s="10"/>
      <c r="BI3711" s="10"/>
    </row>
    <row r="3712" spans="1:61" ht="21" customHeight="1" x14ac:dyDescent="0.25">
      <c r="A3712" s="10"/>
      <c r="B3712" s="10"/>
      <c r="E3712" s="10"/>
      <c r="G3712" s="10"/>
      <c r="I3712" s="436" t="s">
        <v>2639</v>
      </c>
      <c r="J3712" s="26" t="s">
        <v>2638</v>
      </c>
      <c r="K3712" s="10">
        <v>10</v>
      </c>
      <c r="L3712" s="73">
        <f>IF(Tank1!$C$23="No control",(SUMIF(Tank1!$B$32:$B$49,$J3712,Tank1!$C$32:$C$49)*Impacts!$F$8),0)</f>
        <v>0</v>
      </c>
      <c r="M3712" s="10">
        <f>IF(Tank2!$C$23="No control",(SUMIF(Tank2!$B$32:$B$49,$J3712,Tank2!$C$32:$C$49)*Impacts!$F$9),0)</f>
        <v>0</v>
      </c>
      <c r="N3712" s="10">
        <f>IF(Tank3!$C$23="No control",(SUMIF(Tank3!$B$32:$B$49,$J3712,Tank3!$C$32:$C$49)*Impacts!$F$10),0)</f>
        <v>0</v>
      </c>
      <c r="O3712" s="10">
        <f>IF(Tank4!$C$23="No control",(SUMIF(Tank4!$B$32:$B$49,$J3712,Tank4!$C$32:$C$49)*Impacts!$F$11),0)</f>
        <v>0</v>
      </c>
      <c r="P3712" s="10">
        <f>IF(Tank5!$C$23="No control",(SUMIF(Tank5!$B$32:$B$49,$J3712,Tank5!$C$32:$C$49)*Impacts!$F$12),0)</f>
        <v>0</v>
      </c>
      <c r="Q3712" s="10">
        <f>IFERROR(IF(('Loading-drum,tote'!$C$21)="No control",SUMIF(('Loading-drum,tote'!$B$31:$B$48),$J3712,('Loading-drum,tote'!$D$31:$D$48))*Impacts!$F$13,IF(('Loading-drum,tote'!$C$21)&lt;&gt;"No control",SUMIF(('Loading-drum,tote'!$B$31:$B$48),$J3712,('Loading-drum,tote'!$E$31:$E$48))*Impacts!$F$13,0)),0)</f>
        <v>0</v>
      </c>
      <c r="R3712" s="10">
        <f>IFERROR(IF(('Loading-truck'!$C$21)="No control",SUMIF(('Loading-truck'!$B$31:$B$48),$J3712,('Loading-truck'!$D$31:$D$48))*Impacts!$F$14,IF(('Loading-truck'!$C$21)&lt;&gt;"No control",SUMIF(('Loading-truck'!$B$31:$B$48),$J3712,('Loading-truck'!$E$31:$E$48))*Impacts!$F$14,0)),0)</f>
        <v>0</v>
      </c>
      <c r="S3712" s="10">
        <f>IFERROR(IF(('Loading-rail'!$C$21)="No control",SUMIF(('Loading-rail'!$B$31:$B$48),$J3712,('Loading-rail'!$D$31:$D$48))*Impacts!$F$15,IF(('Loading-rail'!$C$21)&lt;&gt;"No control",SUMIF(('Loading-rail'!$B$31:$B$48),$J3712,('Loading-rail'!$E$31:$E$48))*Impacts!$F$15,0)),0)</f>
        <v>0</v>
      </c>
      <c r="T3712" s="10">
        <f>IF(Flare!$C$7="",0,(SUMIF(Flare!$B$46:$B$185,$J3712,Flare!$E$46:$E$185)*Impacts!$F$16))</f>
        <v>0</v>
      </c>
      <c r="U3712" s="10">
        <f>IF(VCU!$C$9="",0,(SUMIF(VCU!$B$51:$B$193,$J3712,VCU!$E$51:$E$193)*Impacts!$F$17))</f>
        <v>0</v>
      </c>
      <c r="V3712" s="10">
        <f>IF(CAS!$C$7="",0,(SUMIF(CAS!$B$31:$B$167,$J3712,CAS!$E$31:$E$167)*Impacts!$F$18))</f>
        <v>0</v>
      </c>
      <c r="W3712" s="10">
        <f t="shared" si="98"/>
        <v>0</v>
      </c>
      <c r="AK3712" s="10" t="str">
        <f t="array" ref="AK3712">IFERROR(INDEX(SelectedSpecies,SMALL(IF(SelectedSpecies=AK$1,ROW(SelectedSpecies)),ROW(3713:3713)),2),"")</f>
        <v/>
      </c>
      <c r="BE3712" s="10"/>
      <c r="BI3712" s="10"/>
    </row>
    <row r="3713" spans="1:61" ht="21" customHeight="1" x14ac:dyDescent="0.25">
      <c r="A3713" s="10"/>
      <c r="B3713" s="10"/>
      <c r="E3713" s="10"/>
      <c r="G3713" s="10"/>
      <c r="I3713" s="436" t="s">
        <v>6658</v>
      </c>
      <c r="J3713" s="26" t="s">
        <v>6657</v>
      </c>
      <c r="K3713" s="10">
        <v>0.60000000000000009</v>
      </c>
      <c r="L3713" s="73">
        <f>IF(Tank1!$C$23="No control",(SUMIF(Tank1!$B$32:$B$49,$J3713,Tank1!$C$32:$C$49)*Impacts!$F$8),0)</f>
        <v>0</v>
      </c>
      <c r="M3713" s="10">
        <f>IF(Tank2!$C$23="No control",(SUMIF(Tank2!$B$32:$B$49,$J3713,Tank2!$C$32:$C$49)*Impacts!$F$9),0)</f>
        <v>0</v>
      </c>
      <c r="N3713" s="10">
        <f>IF(Tank3!$C$23="No control",(SUMIF(Tank3!$B$32:$B$49,$J3713,Tank3!$C$32:$C$49)*Impacts!$F$10),0)</f>
        <v>0</v>
      </c>
      <c r="O3713" s="10">
        <f>IF(Tank4!$C$23="No control",(SUMIF(Tank4!$B$32:$B$49,$J3713,Tank4!$C$32:$C$49)*Impacts!$F$11),0)</f>
        <v>0</v>
      </c>
      <c r="P3713" s="10">
        <f>IF(Tank5!$C$23="No control",(SUMIF(Tank5!$B$32:$B$49,$J3713,Tank5!$C$32:$C$49)*Impacts!$F$12),0)</f>
        <v>0</v>
      </c>
      <c r="Q3713" s="10">
        <f>IFERROR(IF(('Loading-drum,tote'!$C$21)="No control",SUMIF(('Loading-drum,tote'!$B$31:$B$48),$J3713,('Loading-drum,tote'!$D$31:$D$48))*Impacts!$F$13,IF(('Loading-drum,tote'!$C$21)&lt;&gt;"No control",SUMIF(('Loading-drum,tote'!$B$31:$B$48),$J3713,('Loading-drum,tote'!$E$31:$E$48))*Impacts!$F$13,0)),0)</f>
        <v>0</v>
      </c>
      <c r="R3713" s="10">
        <f>IFERROR(IF(('Loading-truck'!$C$21)="No control",SUMIF(('Loading-truck'!$B$31:$B$48),$J3713,('Loading-truck'!$D$31:$D$48))*Impacts!$F$14,IF(('Loading-truck'!$C$21)&lt;&gt;"No control",SUMIF(('Loading-truck'!$B$31:$B$48),$J3713,('Loading-truck'!$E$31:$E$48))*Impacts!$F$14,0)),0)</f>
        <v>0</v>
      </c>
      <c r="S3713" s="10">
        <f>IFERROR(IF(('Loading-rail'!$C$21)="No control",SUMIF(('Loading-rail'!$B$31:$B$48),$J3713,('Loading-rail'!$D$31:$D$48))*Impacts!$F$15,IF(('Loading-rail'!$C$21)&lt;&gt;"No control",SUMIF(('Loading-rail'!$B$31:$B$48),$J3713,('Loading-rail'!$E$31:$E$48))*Impacts!$F$15,0)),0)</f>
        <v>0</v>
      </c>
      <c r="T3713" s="10">
        <f>IF(Flare!$C$7="",0,(SUMIF(Flare!$B$46:$B$185,$J3713,Flare!$E$46:$E$185)*Impacts!$F$16))</f>
        <v>0</v>
      </c>
      <c r="U3713" s="10">
        <f>IF(VCU!$C$9="",0,(SUMIF(VCU!$B$51:$B$193,$J3713,VCU!$E$51:$E$193)*Impacts!$F$17))</f>
        <v>0</v>
      </c>
      <c r="V3713" s="10">
        <f>IF(CAS!$C$7="",0,(SUMIF(CAS!$B$31:$B$167,$J3713,CAS!$E$31:$E$167)*Impacts!$F$18))</f>
        <v>0</v>
      </c>
      <c r="W3713" s="10">
        <f t="shared" si="98"/>
        <v>0</v>
      </c>
      <c r="AK3713" s="10" t="str">
        <f t="array" ref="AK3713">IFERROR(INDEX(SelectedSpecies,SMALL(IF(SelectedSpecies=AK$1,ROW(SelectedSpecies)),ROW(3714:3714)),2),"")</f>
        <v/>
      </c>
      <c r="BE3713" s="10"/>
      <c r="BI3713" s="10"/>
    </row>
    <row r="3714" spans="1:61" ht="21" customHeight="1" x14ac:dyDescent="0.25">
      <c r="A3714" s="10"/>
      <c r="B3714" s="10"/>
      <c r="E3714" s="10"/>
      <c r="G3714" s="10"/>
      <c r="I3714" s="436" t="s">
        <v>10463</v>
      </c>
      <c r="J3714" s="26" t="s">
        <v>10464</v>
      </c>
      <c r="K3714" s="10">
        <v>10</v>
      </c>
      <c r="L3714" s="73">
        <f>IF(Tank1!$C$23="No control",(SUMIF(Tank1!$B$32:$B$49,$J3714,Tank1!$C$32:$C$49)*Impacts!$F$8),0)</f>
        <v>0</v>
      </c>
      <c r="M3714" s="10">
        <f>IF(Tank2!$C$23="No control",(SUMIF(Tank2!$B$32:$B$49,$J3714,Tank2!$C$32:$C$49)*Impacts!$F$9),0)</f>
        <v>0</v>
      </c>
      <c r="N3714" s="10">
        <f>IF(Tank3!$C$23="No control",(SUMIF(Tank3!$B$32:$B$49,$J3714,Tank3!$C$32:$C$49)*Impacts!$F$10),0)</f>
        <v>0</v>
      </c>
      <c r="O3714" s="10">
        <f>IF(Tank4!$C$23="No control",(SUMIF(Tank4!$B$32:$B$49,$J3714,Tank4!$C$32:$C$49)*Impacts!$F$11),0)</f>
        <v>0</v>
      </c>
      <c r="P3714" s="10">
        <f>IF(Tank5!$C$23="No control",(SUMIF(Tank5!$B$32:$B$49,$J3714,Tank5!$C$32:$C$49)*Impacts!$F$12),0)</f>
        <v>0</v>
      </c>
      <c r="Q3714" s="10">
        <f>IFERROR(IF(('Loading-drum,tote'!$C$21)="No control",SUMIF(('Loading-drum,tote'!$B$31:$B$48),$J3714,('Loading-drum,tote'!$D$31:$D$48))*Impacts!$F$13,IF(('Loading-drum,tote'!$C$21)&lt;&gt;"No control",SUMIF(('Loading-drum,tote'!$B$31:$B$48),$J3714,('Loading-drum,tote'!$E$31:$E$48))*Impacts!$F$13,0)),0)</f>
        <v>0</v>
      </c>
      <c r="R3714" s="10">
        <f>IFERROR(IF(('Loading-truck'!$C$21)="No control",SUMIF(('Loading-truck'!$B$31:$B$48),$J3714,('Loading-truck'!$D$31:$D$48))*Impacts!$F$14,IF(('Loading-truck'!$C$21)&lt;&gt;"No control",SUMIF(('Loading-truck'!$B$31:$B$48),$J3714,('Loading-truck'!$E$31:$E$48))*Impacts!$F$14,0)),0)</f>
        <v>0</v>
      </c>
      <c r="S3714" s="10">
        <f>IFERROR(IF(('Loading-rail'!$C$21)="No control",SUMIF(('Loading-rail'!$B$31:$B$48),$J3714,('Loading-rail'!$D$31:$D$48))*Impacts!$F$15,IF(('Loading-rail'!$C$21)&lt;&gt;"No control",SUMIF(('Loading-rail'!$B$31:$B$48),$J3714,('Loading-rail'!$E$31:$E$48))*Impacts!$F$15,0)),0)</f>
        <v>0</v>
      </c>
      <c r="T3714" s="10">
        <f>IF(Flare!$C$7="",0,(SUMIF(Flare!$B$46:$B$185,$J3714,Flare!$E$46:$E$185)*Impacts!$F$16))</f>
        <v>0</v>
      </c>
      <c r="U3714" s="10">
        <f>IF(VCU!$C$9="",0,(SUMIF(VCU!$B$51:$B$193,$J3714,VCU!$E$51:$E$193)*Impacts!$F$17))</f>
        <v>0</v>
      </c>
      <c r="V3714" s="10">
        <f>IF(CAS!$C$7="",0,(SUMIF(CAS!$B$31:$B$167,$J3714,CAS!$E$31:$E$167)*Impacts!$F$18))</f>
        <v>0</v>
      </c>
      <c r="W3714" s="10">
        <f t="shared" si="98"/>
        <v>0</v>
      </c>
      <c r="AK3714" s="10" t="str">
        <f t="array" ref="AK3714">IFERROR(INDEX(SelectedSpecies,SMALL(IF(SelectedSpecies=AK$1,ROW(SelectedSpecies)),ROW(3715:3715)),2),"")</f>
        <v/>
      </c>
      <c r="BE3714" s="10"/>
      <c r="BI3714" s="10"/>
    </row>
    <row r="3715" spans="1:61" ht="21" customHeight="1" x14ac:dyDescent="0.25">
      <c r="A3715" s="10"/>
      <c r="B3715" s="10"/>
      <c r="E3715" s="10"/>
      <c r="G3715" s="10"/>
      <c r="I3715" s="436" t="s">
        <v>7792</v>
      </c>
      <c r="J3715" s="26" t="s">
        <v>7791</v>
      </c>
      <c r="K3715" s="10">
        <v>0.1</v>
      </c>
      <c r="L3715" s="73">
        <f>IF(Tank1!$C$23="No control",(SUMIF(Tank1!$B$32:$B$49,$J3715,Tank1!$C$32:$C$49)*Impacts!$F$8),0)</f>
        <v>0</v>
      </c>
      <c r="M3715" s="10">
        <f>IF(Tank2!$C$23="No control",(SUMIF(Tank2!$B$32:$B$49,$J3715,Tank2!$C$32:$C$49)*Impacts!$F$9),0)</f>
        <v>0</v>
      </c>
      <c r="N3715" s="10">
        <f>IF(Tank3!$C$23="No control",(SUMIF(Tank3!$B$32:$B$49,$J3715,Tank3!$C$32:$C$49)*Impacts!$F$10),0)</f>
        <v>0</v>
      </c>
      <c r="O3715" s="10">
        <f>IF(Tank4!$C$23="No control",(SUMIF(Tank4!$B$32:$B$49,$J3715,Tank4!$C$32:$C$49)*Impacts!$F$11),0)</f>
        <v>0</v>
      </c>
      <c r="P3715" s="10">
        <f>IF(Tank5!$C$23="No control",(SUMIF(Tank5!$B$32:$B$49,$J3715,Tank5!$C$32:$C$49)*Impacts!$F$12),0)</f>
        <v>0</v>
      </c>
      <c r="Q3715" s="10">
        <f>IFERROR(IF(('Loading-drum,tote'!$C$21)="No control",SUMIF(('Loading-drum,tote'!$B$31:$B$48),$J3715,('Loading-drum,tote'!$D$31:$D$48))*Impacts!$F$13,IF(('Loading-drum,tote'!$C$21)&lt;&gt;"No control",SUMIF(('Loading-drum,tote'!$B$31:$B$48),$J3715,('Loading-drum,tote'!$E$31:$E$48))*Impacts!$F$13,0)),0)</f>
        <v>0</v>
      </c>
      <c r="R3715" s="10">
        <f>IFERROR(IF(('Loading-truck'!$C$21)="No control",SUMIF(('Loading-truck'!$B$31:$B$48),$J3715,('Loading-truck'!$D$31:$D$48))*Impacts!$F$14,IF(('Loading-truck'!$C$21)&lt;&gt;"No control",SUMIF(('Loading-truck'!$B$31:$B$48),$J3715,('Loading-truck'!$E$31:$E$48))*Impacts!$F$14,0)),0)</f>
        <v>0</v>
      </c>
      <c r="S3715" s="10">
        <f>IFERROR(IF(('Loading-rail'!$C$21)="No control",SUMIF(('Loading-rail'!$B$31:$B$48),$J3715,('Loading-rail'!$D$31:$D$48))*Impacts!$F$15,IF(('Loading-rail'!$C$21)&lt;&gt;"No control",SUMIF(('Loading-rail'!$B$31:$B$48),$J3715,('Loading-rail'!$E$31:$E$48))*Impacts!$F$15,0)),0)</f>
        <v>0</v>
      </c>
      <c r="T3715" s="10">
        <f>IF(Flare!$C$7="",0,(SUMIF(Flare!$B$46:$B$185,$J3715,Flare!$E$46:$E$185)*Impacts!$F$16))</f>
        <v>0</v>
      </c>
      <c r="U3715" s="10">
        <f>IF(VCU!$C$9="",0,(SUMIF(VCU!$B$51:$B$193,$J3715,VCU!$E$51:$E$193)*Impacts!$F$17))</f>
        <v>0</v>
      </c>
      <c r="V3715" s="10">
        <f>IF(CAS!$C$7="",0,(SUMIF(CAS!$B$31:$B$167,$J3715,CAS!$E$31:$E$167)*Impacts!$F$18))</f>
        <v>0</v>
      </c>
      <c r="W3715" s="10">
        <f t="shared" si="98"/>
        <v>0</v>
      </c>
      <c r="AK3715" s="10" t="str">
        <f t="array" ref="AK3715">IFERROR(INDEX(SelectedSpecies,SMALL(IF(SelectedSpecies=AK$1,ROW(SelectedSpecies)),ROW(3716:3716)),2),"")</f>
        <v/>
      </c>
      <c r="BE3715" s="10"/>
      <c r="BI3715" s="10"/>
    </row>
    <row r="3716" spans="1:61" ht="21" customHeight="1" x14ac:dyDescent="0.25">
      <c r="A3716" s="10"/>
      <c r="B3716" s="10"/>
      <c r="E3716" s="10"/>
      <c r="G3716" s="10"/>
      <c r="I3716" s="436" t="s">
        <v>7946</v>
      </c>
      <c r="J3716" s="26" t="s">
        <v>7945</v>
      </c>
      <c r="K3716" s="10">
        <v>0.05</v>
      </c>
      <c r="L3716" s="73">
        <f>IF(Tank1!$C$23="No control",(SUMIF(Tank1!$B$32:$B$49,$J3716,Tank1!$C$32:$C$49)*Impacts!$F$8),0)</f>
        <v>0</v>
      </c>
      <c r="M3716" s="10">
        <f>IF(Tank2!$C$23="No control",(SUMIF(Tank2!$B$32:$B$49,$J3716,Tank2!$C$32:$C$49)*Impacts!$F$9),0)</f>
        <v>0</v>
      </c>
      <c r="N3716" s="10">
        <f>IF(Tank3!$C$23="No control",(SUMIF(Tank3!$B$32:$B$49,$J3716,Tank3!$C$32:$C$49)*Impacts!$F$10),0)</f>
        <v>0</v>
      </c>
      <c r="O3716" s="10">
        <f>IF(Tank4!$C$23="No control",(SUMIF(Tank4!$B$32:$B$49,$J3716,Tank4!$C$32:$C$49)*Impacts!$F$11),0)</f>
        <v>0</v>
      </c>
      <c r="P3716" s="10">
        <f>IF(Tank5!$C$23="No control",(SUMIF(Tank5!$B$32:$B$49,$J3716,Tank5!$C$32:$C$49)*Impacts!$F$12),0)</f>
        <v>0</v>
      </c>
      <c r="Q3716" s="10">
        <f>IFERROR(IF(('Loading-drum,tote'!$C$21)="No control",SUMIF(('Loading-drum,tote'!$B$31:$B$48),$J3716,('Loading-drum,tote'!$D$31:$D$48))*Impacts!$F$13,IF(('Loading-drum,tote'!$C$21)&lt;&gt;"No control",SUMIF(('Loading-drum,tote'!$B$31:$B$48),$J3716,('Loading-drum,tote'!$E$31:$E$48))*Impacts!$F$13,0)),0)</f>
        <v>0</v>
      </c>
      <c r="R3716" s="10">
        <f>IFERROR(IF(('Loading-truck'!$C$21)="No control",SUMIF(('Loading-truck'!$B$31:$B$48),$J3716,('Loading-truck'!$D$31:$D$48))*Impacts!$F$14,IF(('Loading-truck'!$C$21)&lt;&gt;"No control",SUMIF(('Loading-truck'!$B$31:$B$48),$J3716,('Loading-truck'!$E$31:$E$48))*Impacts!$F$14,0)),0)</f>
        <v>0</v>
      </c>
      <c r="S3716" s="10">
        <f>IFERROR(IF(('Loading-rail'!$C$21)="No control",SUMIF(('Loading-rail'!$B$31:$B$48),$J3716,('Loading-rail'!$D$31:$D$48))*Impacts!$F$15,IF(('Loading-rail'!$C$21)&lt;&gt;"No control",SUMIF(('Loading-rail'!$B$31:$B$48),$J3716,('Loading-rail'!$E$31:$E$48))*Impacts!$F$15,0)),0)</f>
        <v>0</v>
      </c>
      <c r="T3716" s="10">
        <f>IF(Flare!$C$7="",0,(SUMIF(Flare!$B$46:$B$185,$J3716,Flare!$E$46:$E$185)*Impacts!$F$16))</f>
        <v>0</v>
      </c>
      <c r="U3716" s="10">
        <f>IF(VCU!$C$9="",0,(SUMIF(VCU!$B$51:$B$193,$J3716,VCU!$E$51:$E$193)*Impacts!$F$17))</f>
        <v>0</v>
      </c>
      <c r="V3716" s="10">
        <f>IF(CAS!$C$7="",0,(SUMIF(CAS!$B$31:$B$167,$J3716,CAS!$E$31:$E$167)*Impacts!$F$18))</f>
        <v>0</v>
      </c>
      <c r="W3716" s="10">
        <f t="shared" si="98"/>
        <v>0</v>
      </c>
      <c r="AK3716" s="10" t="str">
        <f t="array" ref="AK3716">IFERROR(INDEX(SelectedSpecies,SMALL(IF(SelectedSpecies=AK$1,ROW(SelectedSpecies)),ROW(3717:3717)),2),"")</f>
        <v/>
      </c>
      <c r="BE3716" s="10"/>
      <c r="BI3716" s="10"/>
    </row>
    <row r="3717" spans="1:61" ht="21" customHeight="1" x14ac:dyDescent="0.25">
      <c r="A3717" s="10"/>
      <c r="B3717" s="10"/>
      <c r="E3717" s="10"/>
      <c r="G3717" s="10"/>
      <c r="I3717" s="436" t="s">
        <v>10465</v>
      </c>
      <c r="J3717" s="26" t="s">
        <v>10466</v>
      </c>
      <c r="K3717" s="10">
        <v>10</v>
      </c>
      <c r="L3717" s="73">
        <f>IF(Tank1!$C$23="No control",(SUMIF(Tank1!$B$32:$B$49,$J3717,Tank1!$C$32:$C$49)*Impacts!$F$8),0)</f>
        <v>0</v>
      </c>
      <c r="M3717" s="10">
        <f>IF(Tank2!$C$23="No control",(SUMIF(Tank2!$B$32:$B$49,$J3717,Tank2!$C$32:$C$49)*Impacts!$F$9),0)</f>
        <v>0</v>
      </c>
      <c r="N3717" s="10">
        <f>IF(Tank3!$C$23="No control",(SUMIF(Tank3!$B$32:$B$49,$J3717,Tank3!$C$32:$C$49)*Impacts!$F$10),0)</f>
        <v>0</v>
      </c>
      <c r="O3717" s="10">
        <f>IF(Tank4!$C$23="No control",(SUMIF(Tank4!$B$32:$B$49,$J3717,Tank4!$C$32:$C$49)*Impacts!$F$11),0)</f>
        <v>0</v>
      </c>
      <c r="P3717" s="10">
        <f>IF(Tank5!$C$23="No control",(SUMIF(Tank5!$B$32:$B$49,$J3717,Tank5!$C$32:$C$49)*Impacts!$F$12),0)</f>
        <v>0</v>
      </c>
      <c r="Q3717" s="10">
        <f>IFERROR(IF(('Loading-drum,tote'!$C$21)="No control",SUMIF(('Loading-drum,tote'!$B$31:$B$48),$J3717,('Loading-drum,tote'!$D$31:$D$48))*Impacts!$F$13,IF(('Loading-drum,tote'!$C$21)&lt;&gt;"No control",SUMIF(('Loading-drum,tote'!$B$31:$B$48),$J3717,('Loading-drum,tote'!$E$31:$E$48))*Impacts!$F$13,0)),0)</f>
        <v>0</v>
      </c>
      <c r="R3717" s="10">
        <f>IFERROR(IF(('Loading-truck'!$C$21)="No control",SUMIF(('Loading-truck'!$B$31:$B$48),$J3717,('Loading-truck'!$D$31:$D$48))*Impacts!$F$14,IF(('Loading-truck'!$C$21)&lt;&gt;"No control",SUMIF(('Loading-truck'!$B$31:$B$48),$J3717,('Loading-truck'!$E$31:$E$48))*Impacts!$F$14,0)),0)</f>
        <v>0</v>
      </c>
      <c r="S3717" s="10">
        <f>IFERROR(IF(('Loading-rail'!$C$21)="No control",SUMIF(('Loading-rail'!$B$31:$B$48),$J3717,('Loading-rail'!$D$31:$D$48))*Impacts!$F$15,IF(('Loading-rail'!$C$21)&lt;&gt;"No control",SUMIF(('Loading-rail'!$B$31:$B$48),$J3717,('Loading-rail'!$E$31:$E$48))*Impacts!$F$15,0)),0)</f>
        <v>0</v>
      </c>
      <c r="T3717" s="10">
        <f>IF(Flare!$C$7="",0,(SUMIF(Flare!$B$46:$B$185,$J3717,Flare!$E$46:$E$185)*Impacts!$F$16))</f>
        <v>0</v>
      </c>
      <c r="U3717" s="10">
        <f>IF(VCU!$C$9="",0,(SUMIF(VCU!$B$51:$B$193,$J3717,VCU!$E$51:$E$193)*Impacts!$F$17))</f>
        <v>0</v>
      </c>
      <c r="V3717" s="10">
        <f>IF(CAS!$C$7="",0,(SUMIF(CAS!$B$31:$B$167,$J3717,CAS!$E$31:$E$167)*Impacts!$F$18))</f>
        <v>0</v>
      </c>
      <c r="W3717" s="10">
        <f t="shared" si="98"/>
        <v>0</v>
      </c>
      <c r="AK3717" s="10" t="str">
        <f t="array" ref="AK3717">IFERROR(INDEX(SelectedSpecies,SMALL(IF(SelectedSpecies=AK$1,ROW(SelectedSpecies)),ROW(3718:3718)),2),"")</f>
        <v/>
      </c>
      <c r="BE3717" s="10"/>
      <c r="BI3717" s="10"/>
    </row>
    <row r="3718" spans="1:61" ht="21" customHeight="1" x14ac:dyDescent="0.25">
      <c r="A3718" s="10"/>
      <c r="B3718" s="10"/>
      <c r="E3718" s="10"/>
      <c r="G3718" s="10"/>
      <c r="I3718" s="436" t="s">
        <v>2641</v>
      </c>
      <c r="J3718" s="26" t="s">
        <v>2640</v>
      </c>
      <c r="K3718" s="10">
        <v>10</v>
      </c>
      <c r="L3718" s="73">
        <f>IF(Tank1!$C$23="No control",(SUMIF(Tank1!$B$32:$B$49,$J3718,Tank1!$C$32:$C$49)*Impacts!$F$8),0)</f>
        <v>0</v>
      </c>
      <c r="M3718" s="10">
        <f>IF(Tank2!$C$23="No control",(SUMIF(Tank2!$B$32:$B$49,$J3718,Tank2!$C$32:$C$49)*Impacts!$F$9),0)</f>
        <v>0</v>
      </c>
      <c r="N3718" s="10">
        <f>IF(Tank3!$C$23="No control",(SUMIF(Tank3!$B$32:$B$49,$J3718,Tank3!$C$32:$C$49)*Impacts!$F$10),0)</f>
        <v>0</v>
      </c>
      <c r="O3718" s="10">
        <f>IF(Tank4!$C$23="No control",(SUMIF(Tank4!$B$32:$B$49,$J3718,Tank4!$C$32:$C$49)*Impacts!$F$11),0)</f>
        <v>0</v>
      </c>
      <c r="P3718" s="10">
        <f>IF(Tank5!$C$23="No control",(SUMIF(Tank5!$B$32:$B$49,$J3718,Tank5!$C$32:$C$49)*Impacts!$F$12),0)</f>
        <v>0</v>
      </c>
      <c r="Q3718" s="10">
        <f>IFERROR(IF(('Loading-drum,tote'!$C$21)="No control",SUMIF(('Loading-drum,tote'!$B$31:$B$48),$J3718,('Loading-drum,tote'!$D$31:$D$48))*Impacts!$F$13,IF(('Loading-drum,tote'!$C$21)&lt;&gt;"No control",SUMIF(('Loading-drum,tote'!$B$31:$B$48),$J3718,('Loading-drum,tote'!$E$31:$E$48))*Impacts!$F$13,0)),0)</f>
        <v>0</v>
      </c>
      <c r="R3718" s="10">
        <f>IFERROR(IF(('Loading-truck'!$C$21)="No control",SUMIF(('Loading-truck'!$B$31:$B$48),$J3718,('Loading-truck'!$D$31:$D$48))*Impacts!$F$14,IF(('Loading-truck'!$C$21)&lt;&gt;"No control",SUMIF(('Loading-truck'!$B$31:$B$48),$J3718,('Loading-truck'!$E$31:$E$48))*Impacts!$F$14,0)),0)</f>
        <v>0</v>
      </c>
      <c r="S3718" s="10">
        <f>IFERROR(IF(('Loading-rail'!$C$21)="No control",SUMIF(('Loading-rail'!$B$31:$B$48),$J3718,('Loading-rail'!$D$31:$D$48))*Impacts!$F$15,IF(('Loading-rail'!$C$21)&lt;&gt;"No control",SUMIF(('Loading-rail'!$B$31:$B$48),$J3718,('Loading-rail'!$E$31:$E$48))*Impacts!$F$15,0)),0)</f>
        <v>0</v>
      </c>
      <c r="T3718" s="10">
        <f>IF(Flare!$C$7="",0,(SUMIF(Flare!$B$46:$B$185,$J3718,Flare!$E$46:$E$185)*Impacts!$F$16))</f>
        <v>0</v>
      </c>
      <c r="U3718" s="10">
        <f>IF(VCU!$C$9="",0,(SUMIF(VCU!$B$51:$B$193,$J3718,VCU!$E$51:$E$193)*Impacts!$F$17))</f>
        <v>0</v>
      </c>
      <c r="V3718" s="10">
        <f>IF(CAS!$C$7="",0,(SUMIF(CAS!$B$31:$B$167,$J3718,CAS!$E$31:$E$167)*Impacts!$F$18))</f>
        <v>0</v>
      </c>
      <c r="W3718" s="10">
        <f t="shared" si="98"/>
        <v>0</v>
      </c>
      <c r="AK3718" s="10" t="str">
        <f t="array" ref="AK3718">IFERROR(INDEX(SelectedSpecies,SMALL(IF(SelectedSpecies=AK$1,ROW(SelectedSpecies)),ROW(3719:3719)),2),"")</f>
        <v/>
      </c>
      <c r="BE3718" s="10"/>
      <c r="BI3718" s="10"/>
    </row>
    <row r="3719" spans="1:61" ht="21" customHeight="1" x14ac:dyDescent="0.25">
      <c r="A3719" s="10"/>
      <c r="B3719" s="10"/>
      <c r="E3719" s="10"/>
      <c r="G3719" s="10"/>
      <c r="I3719" s="436" t="s">
        <v>10467</v>
      </c>
      <c r="J3719" s="26" t="s">
        <v>10468</v>
      </c>
      <c r="K3719" s="10">
        <v>10</v>
      </c>
      <c r="L3719" s="73">
        <f>IF(Tank1!$C$23="No control",(SUMIF(Tank1!$B$32:$B$49,$J3719,Tank1!$C$32:$C$49)*Impacts!$F$8),0)</f>
        <v>0</v>
      </c>
      <c r="M3719" s="10">
        <f>IF(Tank2!$C$23="No control",(SUMIF(Tank2!$B$32:$B$49,$J3719,Tank2!$C$32:$C$49)*Impacts!$F$9),0)</f>
        <v>0</v>
      </c>
      <c r="N3719" s="10">
        <f>IF(Tank3!$C$23="No control",(SUMIF(Tank3!$B$32:$B$49,$J3719,Tank3!$C$32:$C$49)*Impacts!$F$10),0)</f>
        <v>0</v>
      </c>
      <c r="O3719" s="10">
        <f>IF(Tank4!$C$23="No control",(SUMIF(Tank4!$B$32:$B$49,$J3719,Tank4!$C$32:$C$49)*Impacts!$F$11),0)</f>
        <v>0</v>
      </c>
      <c r="P3719" s="10">
        <f>IF(Tank5!$C$23="No control",(SUMIF(Tank5!$B$32:$B$49,$J3719,Tank5!$C$32:$C$49)*Impacts!$F$12),0)</f>
        <v>0</v>
      </c>
      <c r="Q3719" s="10">
        <f>IFERROR(IF(('Loading-drum,tote'!$C$21)="No control",SUMIF(('Loading-drum,tote'!$B$31:$B$48),$J3719,('Loading-drum,tote'!$D$31:$D$48))*Impacts!$F$13,IF(('Loading-drum,tote'!$C$21)&lt;&gt;"No control",SUMIF(('Loading-drum,tote'!$B$31:$B$48),$J3719,('Loading-drum,tote'!$E$31:$E$48))*Impacts!$F$13,0)),0)</f>
        <v>0</v>
      </c>
      <c r="R3719" s="10">
        <f>IFERROR(IF(('Loading-truck'!$C$21)="No control",SUMIF(('Loading-truck'!$B$31:$B$48),$J3719,('Loading-truck'!$D$31:$D$48))*Impacts!$F$14,IF(('Loading-truck'!$C$21)&lt;&gt;"No control",SUMIF(('Loading-truck'!$B$31:$B$48),$J3719,('Loading-truck'!$E$31:$E$48))*Impacts!$F$14,0)),0)</f>
        <v>0</v>
      </c>
      <c r="S3719" s="10">
        <f>IFERROR(IF(('Loading-rail'!$C$21)="No control",SUMIF(('Loading-rail'!$B$31:$B$48),$J3719,('Loading-rail'!$D$31:$D$48))*Impacts!$F$15,IF(('Loading-rail'!$C$21)&lt;&gt;"No control",SUMIF(('Loading-rail'!$B$31:$B$48),$J3719,('Loading-rail'!$E$31:$E$48))*Impacts!$F$15,0)),0)</f>
        <v>0</v>
      </c>
      <c r="T3719" s="10">
        <f>IF(Flare!$C$7="",0,(SUMIF(Flare!$B$46:$B$185,$J3719,Flare!$E$46:$E$185)*Impacts!$F$16))</f>
        <v>0</v>
      </c>
      <c r="U3719" s="10">
        <f>IF(VCU!$C$9="",0,(SUMIF(VCU!$B$51:$B$193,$J3719,VCU!$E$51:$E$193)*Impacts!$F$17))</f>
        <v>0</v>
      </c>
      <c r="V3719" s="10">
        <f>IF(CAS!$C$7="",0,(SUMIF(CAS!$B$31:$B$167,$J3719,CAS!$E$31:$E$167)*Impacts!$F$18))</f>
        <v>0</v>
      </c>
      <c r="W3719" s="10">
        <f t="shared" si="98"/>
        <v>0</v>
      </c>
      <c r="AK3719" s="10" t="str">
        <f t="array" ref="AK3719">IFERROR(INDEX(SelectedSpecies,SMALL(IF(SelectedSpecies=AK$1,ROW(SelectedSpecies)),ROW(3720:3720)),2),"")</f>
        <v/>
      </c>
      <c r="BE3719" s="10"/>
      <c r="BI3719" s="10"/>
    </row>
    <row r="3720" spans="1:61" ht="21" customHeight="1" x14ac:dyDescent="0.25">
      <c r="A3720" s="10"/>
      <c r="B3720" s="10"/>
      <c r="E3720" s="10"/>
      <c r="G3720" s="10"/>
      <c r="I3720" s="436" t="s">
        <v>10469</v>
      </c>
      <c r="J3720" s="26" t="s">
        <v>10470</v>
      </c>
      <c r="K3720" s="10">
        <v>10</v>
      </c>
      <c r="L3720" s="73">
        <f>IF(Tank1!$C$23="No control",(SUMIF(Tank1!$B$32:$B$49,$J3720,Tank1!$C$32:$C$49)*Impacts!$F$8),0)</f>
        <v>0</v>
      </c>
      <c r="M3720" s="10">
        <f>IF(Tank2!$C$23="No control",(SUMIF(Tank2!$B$32:$B$49,$J3720,Tank2!$C$32:$C$49)*Impacts!$F$9),0)</f>
        <v>0</v>
      </c>
      <c r="N3720" s="10">
        <f>IF(Tank3!$C$23="No control",(SUMIF(Tank3!$B$32:$B$49,$J3720,Tank3!$C$32:$C$49)*Impacts!$F$10),0)</f>
        <v>0</v>
      </c>
      <c r="O3720" s="10">
        <f>IF(Tank4!$C$23="No control",(SUMIF(Tank4!$B$32:$B$49,$J3720,Tank4!$C$32:$C$49)*Impacts!$F$11),0)</f>
        <v>0</v>
      </c>
      <c r="P3720" s="10">
        <f>IF(Tank5!$C$23="No control",(SUMIF(Tank5!$B$32:$B$49,$J3720,Tank5!$C$32:$C$49)*Impacts!$F$12),0)</f>
        <v>0</v>
      </c>
      <c r="Q3720" s="10">
        <f>IFERROR(IF(('Loading-drum,tote'!$C$21)="No control",SUMIF(('Loading-drum,tote'!$B$31:$B$48),$J3720,('Loading-drum,tote'!$D$31:$D$48))*Impacts!$F$13,IF(('Loading-drum,tote'!$C$21)&lt;&gt;"No control",SUMIF(('Loading-drum,tote'!$B$31:$B$48),$J3720,('Loading-drum,tote'!$E$31:$E$48))*Impacts!$F$13,0)),0)</f>
        <v>0</v>
      </c>
      <c r="R3720" s="10">
        <f>IFERROR(IF(('Loading-truck'!$C$21)="No control",SUMIF(('Loading-truck'!$B$31:$B$48),$J3720,('Loading-truck'!$D$31:$D$48))*Impacts!$F$14,IF(('Loading-truck'!$C$21)&lt;&gt;"No control",SUMIF(('Loading-truck'!$B$31:$B$48),$J3720,('Loading-truck'!$E$31:$E$48))*Impacts!$F$14,0)),0)</f>
        <v>0</v>
      </c>
      <c r="S3720" s="10">
        <f>IFERROR(IF(('Loading-rail'!$C$21)="No control",SUMIF(('Loading-rail'!$B$31:$B$48),$J3720,('Loading-rail'!$D$31:$D$48))*Impacts!$F$15,IF(('Loading-rail'!$C$21)&lt;&gt;"No control",SUMIF(('Loading-rail'!$B$31:$B$48),$J3720,('Loading-rail'!$E$31:$E$48))*Impacts!$F$15,0)),0)</f>
        <v>0</v>
      </c>
      <c r="T3720" s="10">
        <f>IF(Flare!$C$7="",0,(SUMIF(Flare!$B$46:$B$185,$J3720,Flare!$E$46:$E$185)*Impacts!$F$16))</f>
        <v>0</v>
      </c>
      <c r="U3720" s="10">
        <f>IF(VCU!$C$9="",0,(SUMIF(VCU!$B$51:$B$193,$J3720,VCU!$E$51:$E$193)*Impacts!$F$17))</f>
        <v>0</v>
      </c>
      <c r="V3720" s="10">
        <f>IF(CAS!$C$7="",0,(SUMIF(CAS!$B$31:$B$167,$J3720,CAS!$E$31:$E$167)*Impacts!$F$18))</f>
        <v>0</v>
      </c>
      <c r="W3720" s="10">
        <f t="shared" si="98"/>
        <v>0</v>
      </c>
      <c r="AK3720" s="10" t="str">
        <f t="array" ref="AK3720">IFERROR(INDEX(SelectedSpecies,SMALL(IF(SelectedSpecies=AK$1,ROW(SelectedSpecies)),ROW(3721:3721)),2),"")</f>
        <v/>
      </c>
      <c r="BE3720" s="10"/>
      <c r="BI3720" s="10"/>
    </row>
    <row r="3721" spans="1:61" ht="21" customHeight="1" x14ac:dyDescent="0.25">
      <c r="A3721" s="10"/>
      <c r="B3721" s="10"/>
      <c r="E3721" s="10"/>
      <c r="G3721" s="10"/>
      <c r="I3721" s="436" t="s">
        <v>956</v>
      </c>
      <c r="J3721" s="26" t="s">
        <v>955</v>
      </c>
      <c r="K3721" s="10">
        <v>40</v>
      </c>
      <c r="L3721" s="73">
        <f>IF(Tank1!$C$23="No control",(SUMIF(Tank1!$B$32:$B$49,$J3721,Tank1!$C$32:$C$49)*Impacts!$F$8),0)</f>
        <v>0</v>
      </c>
      <c r="M3721" s="10">
        <f>IF(Tank2!$C$23="No control",(SUMIF(Tank2!$B$32:$B$49,$J3721,Tank2!$C$32:$C$49)*Impacts!$F$9),0)</f>
        <v>0</v>
      </c>
      <c r="N3721" s="10">
        <f>IF(Tank3!$C$23="No control",(SUMIF(Tank3!$B$32:$B$49,$J3721,Tank3!$C$32:$C$49)*Impacts!$F$10),0)</f>
        <v>0</v>
      </c>
      <c r="O3721" s="10">
        <f>IF(Tank4!$C$23="No control",(SUMIF(Tank4!$B$32:$B$49,$J3721,Tank4!$C$32:$C$49)*Impacts!$F$11),0)</f>
        <v>0</v>
      </c>
      <c r="P3721" s="10">
        <f>IF(Tank5!$C$23="No control",(SUMIF(Tank5!$B$32:$B$49,$J3721,Tank5!$C$32:$C$49)*Impacts!$F$12),0)</f>
        <v>0</v>
      </c>
      <c r="Q3721" s="10">
        <f>IFERROR(IF(('Loading-drum,tote'!$C$21)="No control",SUMIF(('Loading-drum,tote'!$B$31:$B$48),$J3721,('Loading-drum,tote'!$D$31:$D$48))*Impacts!$F$13,IF(('Loading-drum,tote'!$C$21)&lt;&gt;"No control",SUMIF(('Loading-drum,tote'!$B$31:$B$48),$J3721,('Loading-drum,tote'!$E$31:$E$48))*Impacts!$F$13,0)),0)</f>
        <v>0</v>
      </c>
      <c r="R3721" s="10">
        <f>IFERROR(IF(('Loading-truck'!$C$21)="No control",SUMIF(('Loading-truck'!$B$31:$B$48),$J3721,('Loading-truck'!$D$31:$D$48))*Impacts!$F$14,IF(('Loading-truck'!$C$21)&lt;&gt;"No control",SUMIF(('Loading-truck'!$B$31:$B$48),$J3721,('Loading-truck'!$E$31:$E$48))*Impacts!$F$14,0)),0)</f>
        <v>0</v>
      </c>
      <c r="S3721" s="10">
        <f>IFERROR(IF(('Loading-rail'!$C$21)="No control",SUMIF(('Loading-rail'!$B$31:$B$48),$J3721,('Loading-rail'!$D$31:$D$48))*Impacts!$F$15,IF(('Loading-rail'!$C$21)&lt;&gt;"No control",SUMIF(('Loading-rail'!$B$31:$B$48),$J3721,('Loading-rail'!$E$31:$E$48))*Impacts!$F$15,0)),0)</f>
        <v>0</v>
      </c>
      <c r="T3721" s="10">
        <f>IF(Flare!$C$7="",0,(SUMIF(Flare!$B$46:$B$185,$J3721,Flare!$E$46:$E$185)*Impacts!$F$16))</f>
        <v>0</v>
      </c>
      <c r="U3721" s="10">
        <f>IF(VCU!$C$9="",0,(SUMIF(VCU!$B$51:$B$193,$J3721,VCU!$E$51:$E$193)*Impacts!$F$17))</f>
        <v>0</v>
      </c>
      <c r="V3721" s="10">
        <f>IF(CAS!$C$7="",0,(SUMIF(CAS!$B$31:$B$167,$J3721,CAS!$E$31:$E$167)*Impacts!$F$18))</f>
        <v>0</v>
      </c>
      <c r="W3721" s="10">
        <f t="shared" si="98"/>
        <v>0</v>
      </c>
      <c r="AK3721" s="10" t="str">
        <f t="array" ref="AK3721">IFERROR(INDEX(SelectedSpecies,SMALL(IF(SelectedSpecies=AK$1,ROW(SelectedSpecies)),ROW(3722:3722)),2),"")</f>
        <v/>
      </c>
      <c r="BE3721" s="10"/>
      <c r="BI3721" s="10"/>
    </row>
    <row r="3722" spans="1:61" ht="21" customHeight="1" x14ac:dyDescent="0.25">
      <c r="A3722" s="10"/>
      <c r="B3722" s="10"/>
      <c r="E3722" s="10"/>
      <c r="G3722" s="10"/>
      <c r="I3722" s="436" t="s">
        <v>1891</v>
      </c>
      <c r="J3722" s="26" t="s">
        <v>1890</v>
      </c>
      <c r="K3722" s="10">
        <v>20</v>
      </c>
      <c r="L3722" s="73">
        <f>IF(Tank1!$C$23="No control",(SUMIF(Tank1!$B$32:$B$49,$J3722,Tank1!$C$32:$C$49)*Impacts!$F$8),0)</f>
        <v>0</v>
      </c>
      <c r="M3722" s="10">
        <f>IF(Tank2!$C$23="No control",(SUMIF(Tank2!$B$32:$B$49,$J3722,Tank2!$C$32:$C$49)*Impacts!$F$9),0)</f>
        <v>0</v>
      </c>
      <c r="N3722" s="10">
        <f>IF(Tank3!$C$23="No control",(SUMIF(Tank3!$B$32:$B$49,$J3722,Tank3!$C$32:$C$49)*Impacts!$F$10),0)</f>
        <v>0</v>
      </c>
      <c r="O3722" s="10">
        <f>IF(Tank4!$C$23="No control",(SUMIF(Tank4!$B$32:$B$49,$J3722,Tank4!$C$32:$C$49)*Impacts!$F$11),0)</f>
        <v>0</v>
      </c>
      <c r="P3722" s="10">
        <f>IF(Tank5!$C$23="No control",(SUMIF(Tank5!$B$32:$B$49,$J3722,Tank5!$C$32:$C$49)*Impacts!$F$12),0)</f>
        <v>0</v>
      </c>
      <c r="Q3722" s="10">
        <f>IFERROR(IF(('Loading-drum,tote'!$C$21)="No control",SUMIF(('Loading-drum,tote'!$B$31:$B$48),$J3722,('Loading-drum,tote'!$D$31:$D$48))*Impacts!$F$13,IF(('Loading-drum,tote'!$C$21)&lt;&gt;"No control",SUMIF(('Loading-drum,tote'!$B$31:$B$48),$J3722,('Loading-drum,tote'!$E$31:$E$48))*Impacts!$F$13,0)),0)</f>
        <v>0</v>
      </c>
      <c r="R3722" s="10">
        <f>IFERROR(IF(('Loading-truck'!$C$21)="No control",SUMIF(('Loading-truck'!$B$31:$B$48),$J3722,('Loading-truck'!$D$31:$D$48))*Impacts!$F$14,IF(('Loading-truck'!$C$21)&lt;&gt;"No control",SUMIF(('Loading-truck'!$B$31:$B$48),$J3722,('Loading-truck'!$E$31:$E$48))*Impacts!$F$14,0)),0)</f>
        <v>0</v>
      </c>
      <c r="S3722" s="10">
        <f>IFERROR(IF(('Loading-rail'!$C$21)="No control",SUMIF(('Loading-rail'!$B$31:$B$48),$J3722,('Loading-rail'!$D$31:$D$48))*Impacts!$F$15,IF(('Loading-rail'!$C$21)&lt;&gt;"No control",SUMIF(('Loading-rail'!$B$31:$B$48),$J3722,('Loading-rail'!$E$31:$E$48))*Impacts!$F$15,0)),0)</f>
        <v>0</v>
      </c>
      <c r="T3722" s="10">
        <f>IF(Flare!$C$7="",0,(SUMIF(Flare!$B$46:$B$185,$J3722,Flare!$E$46:$E$185)*Impacts!$F$16))</f>
        <v>0</v>
      </c>
      <c r="U3722" s="10">
        <f>IF(VCU!$C$9="",0,(SUMIF(VCU!$B$51:$B$193,$J3722,VCU!$E$51:$E$193)*Impacts!$F$17))</f>
        <v>0</v>
      </c>
      <c r="V3722" s="10">
        <f>IF(CAS!$C$7="",0,(SUMIF(CAS!$B$31:$B$167,$J3722,CAS!$E$31:$E$167)*Impacts!$F$18))</f>
        <v>0</v>
      </c>
      <c r="W3722" s="10">
        <f t="shared" si="98"/>
        <v>0</v>
      </c>
      <c r="AK3722" s="10" t="str">
        <f t="array" ref="AK3722">IFERROR(INDEX(SelectedSpecies,SMALL(IF(SelectedSpecies=AK$1,ROW(SelectedSpecies)),ROW(3723:3723)),2),"")</f>
        <v/>
      </c>
      <c r="BE3722" s="10"/>
      <c r="BI3722" s="10"/>
    </row>
    <row r="3723" spans="1:61" ht="21" customHeight="1" x14ac:dyDescent="0.25">
      <c r="A3723" s="10"/>
      <c r="B3723" s="10"/>
      <c r="E3723" s="10"/>
      <c r="G3723" s="10"/>
      <c r="I3723" s="436" t="s">
        <v>1893</v>
      </c>
      <c r="J3723" s="26" t="s">
        <v>1892</v>
      </c>
      <c r="K3723" s="10">
        <v>20</v>
      </c>
      <c r="L3723" s="73">
        <f>IF(Tank1!$C$23="No control",(SUMIF(Tank1!$B$32:$B$49,$J3723,Tank1!$C$32:$C$49)*Impacts!$F$8),0)</f>
        <v>0</v>
      </c>
      <c r="M3723" s="10">
        <f>IF(Tank2!$C$23="No control",(SUMIF(Tank2!$B$32:$B$49,$J3723,Tank2!$C$32:$C$49)*Impacts!$F$9),0)</f>
        <v>0</v>
      </c>
      <c r="N3723" s="10">
        <f>IF(Tank3!$C$23="No control",(SUMIF(Tank3!$B$32:$B$49,$J3723,Tank3!$C$32:$C$49)*Impacts!$F$10),0)</f>
        <v>0</v>
      </c>
      <c r="O3723" s="10">
        <f>IF(Tank4!$C$23="No control",(SUMIF(Tank4!$B$32:$B$49,$J3723,Tank4!$C$32:$C$49)*Impacts!$F$11),0)</f>
        <v>0</v>
      </c>
      <c r="P3723" s="10">
        <f>IF(Tank5!$C$23="No control",(SUMIF(Tank5!$B$32:$B$49,$J3723,Tank5!$C$32:$C$49)*Impacts!$F$12),0)</f>
        <v>0</v>
      </c>
      <c r="Q3723" s="10">
        <f>IFERROR(IF(('Loading-drum,tote'!$C$21)="No control",SUMIF(('Loading-drum,tote'!$B$31:$B$48),$J3723,('Loading-drum,tote'!$D$31:$D$48))*Impacts!$F$13,IF(('Loading-drum,tote'!$C$21)&lt;&gt;"No control",SUMIF(('Loading-drum,tote'!$B$31:$B$48),$J3723,('Loading-drum,tote'!$E$31:$E$48))*Impacts!$F$13,0)),0)</f>
        <v>0</v>
      </c>
      <c r="R3723" s="10">
        <f>IFERROR(IF(('Loading-truck'!$C$21)="No control",SUMIF(('Loading-truck'!$B$31:$B$48),$J3723,('Loading-truck'!$D$31:$D$48))*Impacts!$F$14,IF(('Loading-truck'!$C$21)&lt;&gt;"No control",SUMIF(('Loading-truck'!$B$31:$B$48),$J3723,('Loading-truck'!$E$31:$E$48))*Impacts!$F$14,0)),0)</f>
        <v>0</v>
      </c>
      <c r="S3723" s="10">
        <f>IFERROR(IF(('Loading-rail'!$C$21)="No control",SUMIF(('Loading-rail'!$B$31:$B$48),$J3723,('Loading-rail'!$D$31:$D$48))*Impacts!$F$15,IF(('Loading-rail'!$C$21)&lt;&gt;"No control",SUMIF(('Loading-rail'!$B$31:$B$48),$J3723,('Loading-rail'!$E$31:$E$48))*Impacts!$F$15,0)),0)</f>
        <v>0</v>
      </c>
      <c r="T3723" s="10">
        <f>IF(Flare!$C$7="",0,(SUMIF(Flare!$B$46:$B$185,$J3723,Flare!$E$46:$E$185)*Impacts!$F$16))</f>
        <v>0</v>
      </c>
      <c r="U3723" s="10">
        <f>IF(VCU!$C$9="",0,(SUMIF(VCU!$B$51:$B$193,$J3723,VCU!$E$51:$E$193)*Impacts!$F$17))</f>
        <v>0</v>
      </c>
      <c r="V3723" s="10">
        <f>IF(CAS!$C$7="",0,(SUMIF(CAS!$B$31:$B$167,$J3723,CAS!$E$31:$E$167)*Impacts!$F$18))</f>
        <v>0</v>
      </c>
      <c r="W3723" s="10">
        <f t="shared" si="98"/>
        <v>0</v>
      </c>
      <c r="AK3723" s="10" t="str">
        <f t="array" ref="AK3723">IFERROR(INDEX(SelectedSpecies,SMALL(IF(SelectedSpecies=AK$1,ROW(SelectedSpecies)),ROW(3724:3724)),2),"")</f>
        <v/>
      </c>
      <c r="BE3723" s="10"/>
      <c r="BI3723" s="10"/>
    </row>
    <row r="3724" spans="1:61" ht="21" customHeight="1" x14ac:dyDescent="0.25">
      <c r="A3724" s="10"/>
      <c r="B3724" s="10"/>
      <c r="E3724" s="10"/>
      <c r="G3724" s="10"/>
      <c r="I3724" s="436" t="s">
        <v>1174</v>
      </c>
      <c r="J3724" s="26" t="s">
        <v>1173</v>
      </c>
      <c r="K3724" s="10">
        <v>35</v>
      </c>
      <c r="L3724" s="73">
        <f>IF(Tank1!$C$23="No control",(SUMIF(Tank1!$B$32:$B$49,$J3724,Tank1!$C$32:$C$49)*Impacts!$F$8),0)</f>
        <v>0</v>
      </c>
      <c r="M3724" s="10">
        <f>IF(Tank2!$C$23="No control",(SUMIF(Tank2!$B$32:$B$49,$J3724,Tank2!$C$32:$C$49)*Impacts!$F$9),0)</f>
        <v>0</v>
      </c>
      <c r="N3724" s="10">
        <f>IF(Tank3!$C$23="No control",(SUMIF(Tank3!$B$32:$B$49,$J3724,Tank3!$C$32:$C$49)*Impacts!$F$10),0)</f>
        <v>0</v>
      </c>
      <c r="O3724" s="10">
        <f>IF(Tank4!$C$23="No control",(SUMIF(Tank4!$B$32:$B$49,$J3724,Tank4!$C$32:$C$49)*Impacts!$F$11),0)</f>
        <v>0</v>
      </c>
      <c r="P3724" s="10">
        <f>IF(Tank5!$C$23="No control",(SUMIF(Tank5!$B$32:$B$49,$J3724,Tank5!$C$32:$C$49)*Impacts!$F$12),0)</f>
        <v>0</v>
      </c>
      <c r="Q3724" s="10">
        <f>IFERROR(IF(('Loading-drum,tote'!$C$21)="No control",SUMIF(('Loading-drum,tote'!$B$31:$B$48),$J3724,('Loading-drum,tote'!$D$31:$D$48))*Impacts!$F$13,IF(('Loading-drum,tote'!$C$21)&lt;&gt;"No control",SUMIF(('Loading-drum,tote'!$B$31:$B$48),$J3724,('Loading-drum,tote'!$E$31:$E$48))*Impacts!$F$13,0)),0)</f>
        <v>0</v>
      </c>
      <c r="R3724" s="10">
        <f>IFERROR(IF(('Loading-truck'!$C$21)="No control",SUMIF(('Loading-truck'!$B$31:$B$48),$J3724,('Loading-truck'!$D$31:$D$48))*Impacts!$F$14,IF(('Loading-truck'!$C$21)&lt;&gt;"No control",SUMIF(('Loading-truck'!$B$31:$B$48),$J3724,('Loading-truck'!$E$31:$E$48))*Impacts!$F$14,0)),0)</f>
        <v>0</v>
      </c>
      <c r="S3724" s="10">
        <f>IFERROR(IF(('Loading-rail'!$C$21)="No control",SUMIF(('Loading-rail'!$B$31:$B$48),$J3724,('Loading-rail'!$D$31:$D$48))*Impacts!$F$15,IF(('Loading-rail'!$C$21)&lt;&gt;"No control",SUMIF(('Loading-rail'!$B$31:$B$48),$J3724,('Loading-rail'!$E$31:$E$48))*Impacts!$F$15,0)),0)</f>
        <v>0</v>
      </c>
      <c r="T3724" s="10">
        <f>IF(Flare!$C$7="",0,(SUMIF(Flare!$B$46:$B$185,$J3724,Flare!$E$46:$E$185)*Impacts!$F$16))</f>
        <v>0</v>
      </c>
      <c r="U3724" s="10">
        <f>IF(VCU!$C$9="",0,(SUMIF(VCU!$B$51:$B$193,$J3724,VCU!$E$51:$E$193)*Impacts!$F$17))</f>
        <v>0</v>
      </c>
      <c r="V3724" s="10">
        <f>IF(CAS!$C$7="",0,(SUMIF(CAS!$B$31:$B$167,$J3724,CAS!$E$31:$E$167)*Impacts!$F$18))</f>
        <v>0</v>
      </c>
      <c r="W3724" s="10">
        <f t="shared" si="98"/>
        <v>0</v>
      </c>
      <c r="AK3724" s="10" t="str">
        <f t="array" ref="AK3724">IFERROR(INDEX(SelectedSpecies,SMALL(IF(SelectedSpecies=AK$1,ROW(SelectedSpecies)),ROW(3725:3725)),2),"")</f>
        <v/>
      </c>
      <c r="BE3724" s="10"/>
      <c r="BI3724" s="10"/>
    </row>
    <row r="3725" spans="1:61" ht="21" customHeight="1" x14ac:dyDescent="0.25">
      <c r="A3725" s="10"/>
      <c r="B3725" s="10"/>
      <c r="E3725" s="10"/>
      <c r="G3725" s="10"/>
      <c r="I3725" s="436" t="s">
        <v>5471</v>
      </c>
      <c r="J3725" s="26" t="s">
        <v>5470</v>
      </c>
      <c r="K3725" s="10">
        <v>1.4000000000000001</v>
      </c>
      <c r="L3725" s="73">
        <f>IF(Tank1!$C$23="No control",(SUMIF(Tank1!$B$32:$B$49,$J3725,Tank1!$C$32:$C$49)*Impacts!$F$8),0)</f>
        <v>0</v>
      </c>
      <c r="M3725" s="10">
        <f>IF(Tank2!$C$23="No control",(SUMIF(Tank2!$B$32:$B$49,$J3725,Tank2!$C$32:$C$49)*Impacts!$F$9),0)</f>
        <v>0</v>
      </c>
      <c r="N3725" s="10">
        <f>IF(Tank3!$C$23="No control",(SUMIF(Tank3!$B$32:$B$49,$J3725,Tank3!$C$32:$C$49)*Impacts!$F$10),0)</f>
        <v>0</v>
      </c>
      <c r="O3725" s="10">
        <f>IF(Tank4!$C$23="No control",(SUMIF(Tank4!$B$32:$B$49,$J3725,Tank4!$C$32:$C$49)*Impacts!$F$11),0)</f>
        <v>0</v>
      </c>
      <c r="P3725" s="10">
        <f>IF(Tank5!$C$23="No control",(SUMIF(Tank5!$B$32:$B$49,$J3725,Tank5!$C$32:$C$49)*Impacts!$F$12),0)</f>
        <v>0</v>
      </c>
      <c r="Q3725" s="10">
        <f>IFERROR(IF(('Loading-drum,tote'!$C$21)="No control",SUMIF(('Loading-drum,tote'!$B$31:$B$48),$J3725,('Loading-drum,tote'!$D$31:$D$48))*Impacts!$F$13,IF(('Loading-drum,tote'!$C$21)&lt;&gt;"No control",SUMIF(('Loading-drum,tote'!$B$31:$B$48),$J3725,('Loading-drum,tote'!$E$31:$E$48))*Impacts!$F$13,0)),0)</f>
        <v>0</v>
      </c>
      <c r="R3725" s="10">
        <f>IFERROR(IF(('Loading-truck'!$C$21)="No control",SUMIF(('Loading-truck'!$B$31:$B$48),$J3725,('Loading-truck'!$D$31:$D$48))*Impacts!$F$14,IF(('Loading-truck'!$C$21)&lt;&gt;"No control",SUMIF(('Loading-truck'!$B$31:$B$48),$J3725,('Loading-truck'!$E$31:$E$48))*Impacts!$F$14,0)),0)</f>
        <v>0</v>
      </c>
      <c r="S3725" s="10">
        <f>IFERROR(IF(('Loading-rail'!$C$21)="No control",SUMIF(('Loading-rail'!$B$31:$B$48),$J3725,('Loading-rail'!$D$31:$D$48))*Impacts!$F$15,IF(('Loading-rail'!$C$21)&lt;&gt;"No control",SUMIF(('Loading-rail'!$B$31:$B$48),$J3725,('Loading-rail'!$E$31:$E$48))*Impacts!$F$15,0)),0)</f>
        <v>0</v>
      </c>
      <c r="T3725" s="10">
        <f>IF(Flare!$C$7="",0,(SUMIF(Flare!$B$46:$B$185,$J3725,Flare!$E$46:$E$185)*Impacts!$F$16))</f>
        <v>0</v>
      </c>
      <c r="U3725" s="10">
        <f>IF(VCU!$C$9="",0,(SUMIF(VCU!$B$51:$B$193,$J3725,VCU!$E$51:$E$193)*Impacts!$F$17))</f>
        <v>0</v>
      </c>
      <c r="V3725" s="10">
        <f>IF(CAS!$C$7="",0,(SUMIF(CAS!$B$31:$B$167,$J3725,CAS!$E$31:$E$167)*Impacts!$F$18))</f>
        <v>0</v>
      </c>
      <c r="W3725" s="10">
        <f t="shared" si="98"/>
        <v>0</v>
      </c>
      <c r="AK3725" s="10" t="str">
        <f t="array" ref="AK3725">IFERROR(INDEX(SelectedSpecies,SMALL(IF(SelectedSpecies=AK$1,ROW(SelectedSpecies)),ROW(3726:3726)),2),"")</f>
        <v/>
      </c>
      <c r="BE3725" s="10"/>
      <c r="BI3725" s="10"/>
    </row>
    <row r="3726" spans="1:61" ht="21" customHeight="1" x14ac:dyDescent="0.25">
      <c r="A3726" s="10"/>
      <c r="B3726" s="10"/>
      <c r="E3726" s="10"/>
      <c r="G3726" s="10"/>
      <c r="I3726" s="436" t="s">
        <v>5119</v>
      </c>
      <c r="J3726" s="26" t="s">
        <v>5118</v>
      </c>
      <c r="K3726" s="10">
        <v>2.1</v>
      </c>
      <c r="L3726" s="73">
        <f>IF(Tank1!$C$23="No control",(SUMIF(Tank1!$B$32:$B$49,$J3726,Tank1!$C$32:$C$49)*Impacts!$F$8),0)</f>
        <v>0</v>
      </c>
      <c r="M3726" s="10">
        <f>IF(Tank2!$C$23="No control",(SUMIF(Tank2!$B$32:$B$49,$J3726,Tank2!$C$32:$C$49)*Impacts!$F$9),0)</f>
        <v>0</v>
      </c>
      <c r="N3726" s="10">
        <f>IF(Tank3!$C$23="No control",(SUMIF(Tank3!$B$32:$B$49,$J3726,Tank3!$C$32:$C$49)*Impacts!$F$10),0)</f>
        <v>0</v>
      </c>
      <c r="O3726" s="10">
        <f>IF(Tank4!$C$23="No control",(SUMIF(Tank4!$B$32:$B$49,$J3726,Tank4!$C$32:$C$49)*Impacts!$F$11),0)</f>
        <v>0</v>
      </c>
      <c r="P3726" s="10">
        <f>IF(Tank5!$C$23="No control",(SUMIF(Tank5!$B$32:$B$49,$J3726,Tank5!$C$32:$C$49)*Impacts!$F$12),0)</f>
        <v>0</v>
      </c>
      <c r="Q3726" s="10">
        <f>IFERROR(IF(('Loading-drum,tote'!$C$21)="No control",SUMIF(('Loading-drum,tote'!$B$31:$B$48),$J3726,('Loading-drum,tote'!$D$31:$D$48))*Impacts!$F$13,IF(('Loading-drum,tote'!$C$21)&lt;&gt;"No control",SUMIF(('Loading-drum,tote'!$B$31:$B$48),$J3726,('Loading-drum,tote'!$E$31:$E$48))*Impacts!$F$13,0)),0)</f>
        <v>0</v>
      </c>
      <c r="R3726" s="10">
        <f>IFERROR(IF(('Loading-truck'!$C$21)="No control",SUMIF(('Loading-truck'!$B$31:$B$48),$J3726,('Loading-truck'!$D$31:$D$48))*Impacts!$F$14,IF(('Loading-truck'!$C$21)&lt;&gt;"No control",SUMIF(('Loading-truck'!$B$31:$B$48),$J3726,('Loading-truck'!$E$31:$E$48))*Impacts!$F$14,0)),0)</f>
        <v>0</v>
      </c>
      <c r="S3726" s="10">
        <f>IFERROR(IF(('Loading-rail'!$C$21)="No control",SUMIF(('Loading-rail'!$B$31:$B$48),$J3726,('Loading-rail'!$D$31:$D$48))*Impacts!$F$15,IF(('Loading-rail'!$C$21)&lt;&gt;"No control",SUMIF(('Loading-rail'!$B$31:$B$48),$J3726,('Loading-rail'!$E$31:$E$48))*Impacts!$F$15,0)),0)</f>
        <v>0</v>
      </c>
      <c r="T3726" s="10">
        <f>IF(Flare!$C$7="",0,(SUMIF(Flare!$B$46:$B$185,$J3726,Flare!$E$46:$E$185)*Impacts!$F$16))</f>
        <v>0</v>
      </c>
      <c r="U3726" s="10">
        <f>IF(VCU!$C$9="",0,(SUMIF(VCU!$B$51:$B$193,$J3726,VCU!$E$51:$E$193)*Impacts!$F$17))</f>
        <v>0</v>
      </c>
      <c r="V3726" s="10">
        <f>IF(CAS!$C$7="",0,(SUMIF(CAS!$B$31:$B$167,$J3726,CAS!$E$31:$E$167)*Impacts!$F$18))</f>
        <v>0</v>
      </c>
      <c r="W3726" s="10">
        <f t="shared" si="98"/>
        <v>0</v>
      </c>
      <c r="AK3726" s="10" t="str">
        <f t="array" ref="AK3726">IFERROR(INDEX(SelectedSpecies,SMALL(IF(SelectedSpecies=AK$1,ROW(SelectedSpecies)),ROW(3727:3727)),2),"")</f>
        <v/>
      </c>
      <c r="BE3726" s="10"/>
      <c r="BI3726" s="10"/>
    </row>
    <row r="3727" spans="1:61" ht="21" customHeight="1" x14ac:dyDescent="0.25">
      <c r="A3727" s="10"/>
      <c r="B3727" s="10"/>
      <c r="E3727" s="10"/>
      <c r="G3727" s="10"/>
      <c r="I3727" s="436" t="s">
        <v>3385</v>
      </c>
      <c r="J3727" s="26" t="s">
        <v>3384</v>
      </c>
      <c r="K3727" s="10">
        <v>10</v>
      </c>
      <c r="L3727" s="73">
        <f>IF(Tank1!$C$23="No control",(SUMIF(Tank1!$B$32:$B$49,$J3727,Tank1!$C$32:$C$49)*Impacts!$F$8),0)</f>
        <v>0</v>
      </c>
      <c r="M3727" s="10">
        <f>IF(Tank2!$C$23="No control",(SUMIF(Tank2!$B$32:$B$49,$J3727,Tank2!$C$32:$C$49)*Impacts!$F$9),0)</f>
        <v>0</v>
      </c>
      <c r="N3727" s="10">
        <f>IF(Tank3!$C$23="No control",(SUMIF(Tank3!$B$32:$B$49,$J3727,Tank3!$C$32:$C$49)*Impacts!$F$10),0)</f>
        <v>0</v>
      </c>
      <c r="O3727" s="10">
        <f>IF(Tank4!$C$23="No control",(SUMIF(Tank4!$B$32:$B$49,$J3727,Tank4!$C$32:$C$49)*Impacts!$F$11),0)</f>
        <v>0</v>
      </c>
      <c r="P3727" s="10">
        <f>IF(Tank5!$C$23="No control",(SUMIF(Tank5!$B$32:$B$49,$J3727,Tank5!$C$32:$C$49)*Impacts!$F$12),0)</f>
        <v>0</v>
      </c>
      <c r="Q3727" s="10">
        <f>IFERROR(IF(('Loading-drum,tote'!$C$21)="No control",SUMIF(('Loading-drum,tote'!$B$31:$B$48),$J3727,('Loading-drum,tote'!$D$31:$D$48))*Impacts!$F$13,IF(('Loading-drum,tote'!$C$21)&lt;&gt;"No control",SUMIF(('Loading-drum,tote'!$B$31:$B$48),$J3727,('Loading-drum,tote'!$E$31:$E$48))*Impacts!$F$13,0)),0)</f>
        <v>0</v>
      </c>
      <c r="R3727" s="10">
        <f>IFERROR(IF(('Loading-truck'!$C$21)="No control",SUMIF(('Loading-truck'!$B$31:$B$48),$J3727,('Loading-truck'!$D$31:$D$48))*Impacts!$F$14,IF(('Loading-truck'!$C$21)&lt;&gt;"No control",SUMIF(('Loading-truck'!$B$31:$B$48),$J3727,('Loading-truck'!$E$31:$E$48))*Impacts!$F$14,0)),0)</f>
        <v>0</v>
      </c>
      <c r="S3727" s="10">
        <f>IFERROR(IF(('Loading-rail'!$C$21)="No control",SUMIF(('Loading-rail'!$B$31:$B$48),$J3727,('Loading-rail'!$D$31:$D$48))*Impacts!$F$15,IF(('Loading-rail'!$C$21)&lt;&gt;"No control",SUMIF(('Loading-rail'!$B$31:$B$48),$J3727,('Loading-rail'!$E$31:$E$48))*Impacts!$F$15,0)),0)</f>
        <v>0</v>
      </c>
      <c r="T3727" s="10">
        <f>IF(Flare!$C$7="",0,(SUMIF(Flare!$B$46:$B$185,$J3727,Flare!$E$46:$E$185)*Impacts!$F$16))</f>
        <v>0</v>
      </c>
      <c r="U3727" s="10">
        <f>IF(VCU!$C$9="",0,(SUMIF(VCU!$B$51:$B$193,$J3727,VCU!$E$51:$E$193)*Impacts!$F$17))</f>
        <v>0</v>
      </c>
      <c r="V3727" s="10">
        <f>IF(CAS!$C$7="",0,(SUMIF(CAS!$B$31:$B$167,$J3727,CAS!$E$31:$E$167)*Impacts!$F$18))</f>
        <v>0</v>
      </c>
      <c r="W3727" s="10">
        <f t="shared" si="98"/>
        <v>0</v>
      </c>
      <c r="AK3727" s="10" t="str">
        <f t="array" ref="AK3727">IFERROR(INDEX(SelectedSpecies,SMALL(IF(SelectedSpecies=AK$1,ROW(SelectedSpecies)),ROW(3728:3728)),2),"")</f>
        <v/>
      </c>
      <c r="BE3727" s="10"/>
      <c r="BI3727" s="10"/>
    </row>
    <row r="3728" spans="1:61" ht="21" customHeight="1" x14ac:dyDescent="0.25">
      <c r="A3728" s="10"/>
      <c r="B3728" s="10"/>
      <c r="E3728" s="10"/>
      <c r="G3728" s="10"/>
      <c r="I3728" s="436" t="s">
        <v>3387</v>
      </c>
      <c r="J3728" s="26" t="s">
        <v>3386</v>
      </c>
      <c r="K3728" s="10">
        <v>10</v>
      </c>
      <c r="L3728" s="73">
        <f>IF(Tank1!$C$23="No control",(SUMIF(Tank1!$B$32:$B$49,$J3728,Tank1!$C$32:$C$49)*Impacts!$F$8),0)</f>
        <v>0</v>
      </c>
      <c r="M3728" s="10">
        <f>IF(Tank2!$C$23="No control",(SUMIF(Tank2!$B$32:$B$49,$J3728,Tank2!$C$32:$C$49)*Impacts!$F$9),0)</f>
        <v>0</v>
      </c>
      <c r="N3728" s="10">
        <f>IF(Tank3!$C$23="No control",(SUMIF(Tank3!$B$32:$B$49,$J3728,Tank3!$C$32:$C$49)*Impacts!$F$10),0)</f>
        <v>0</v>
      </c>
      <c r="O3728" s="10">
        <f>IF(Tank4!$C$23="No control",(SUMIF(Tank4!$B$32:$B$49,$J3728,Tank4!$C$32:$C$49)*Impacts!$F$11),0)</f>
        <v>0</v>
      </c>
      <c r="P3728" s="10">
        <f>IF(Tank5!$C$23="No control",(SUMIF(Tank5!$B$32:$B$49,$J3728,Tank5!$C$32:$C$49)*Impacts!$F$12),0)</f>
        <v>0</v>
      </c>
      <c r="Q3728" s="10">
        <f>IFERROR(IF(('Loading-drum,tote'!$C$21)="No control",SUMIF(('Loading-drum,tote'!$B$31:$B$48),$J3728,('Loading-drum,tote'!$D$31:$D$48))*Impacts!$F$13,IF(('Loading-drum,tote'!$C$21)&lt;&gt;"No control",SUMIF(('Loading-drum,tote'!$B$31:$B$48),$J3728,('Loading-drum,tote'!$E$31:$E$48))*Impacts!$F$13,0)),0)</f>
        <v>0</v>
      </c>
      <c r="R3728" s="10">
        <f>IFERROR(IF(('Loading-truck'!$C$21)="No control",SUMIF(('Loading-truck'!$B$31:$B$48),$J3728,('Loading-truck'!$D$31:$D$48))*Impacts!$F$14,IF(('Loading-truck'!$C$21)&lt;&gt;"No control",SUMIF(('Loading-truck'!$B$31:$B$48),$J3728,('Loading-truck'!$E$31:$E$48))*Impacts!$F$14,0)),0)</f>
        <v>0</v>
      </c>
      <c r="S3728" s="10">
        <f>IFERROR(IF(('Loading-rail'!$C$21)="No control",SUMIF(('Loading-rail'!$B$31:$B$48),$J3728,('Loading-rail'!$D$31:$D$48))*Impacts!$F$15,IF(('Loading-rail'!$C$21)&lt;&gt;"No control",SUMIF(('Loading-rail'!$B$31:$B$48),$J3728,('Loading-rail'!$E$31:$E$48))*Impacts!$F$15,0)),0)</f>
        <v>0</v>
      </c>
      <c r="T3728" s="10">
        <f>IF(Flare!$C$7="",0,(SUMIF(Flare!$B$46:$B$185,$J3728,Flare!$E$46:$E$185)*Impacts!$F$16))</f>
        <v>0</v>
      </c>
      <c r="U3728" s="10">
        <f>IF(VCU!$C$9="",0,(SUMIF(VCU!$B$51:$B$193,$J3728,VCU!$E$51:$E$193)*Impacts!$F$17))</f>
        <v>0</v>
      </c>
      <c r="V3728" s="10">
        <f>IF(CAS!$C$7="",0,(SUMIF(CAS!$B$31:$B$167,$J3728,CAS!$E$31:$E$167)*Impacts!$F$18))</f>
        <v>0</v>
      </c>
      <c r="W3728" s="10">
        <f t="shared" si="98"/>
        <v>0</v>
      </c>
      <c r="AK3728" s="10" t="str">
        <f t="array" ref="AK3728">IFERROR(INDEX(SelectedSpecies,SMALL(IF(SelectedSpecies=AK$1,ROW(SelectedSpecies)),ROW(3729:3729)),2),"")</f>
        <v/>
      </c>
      <c r="BE3728" s="10"/>
      <c r="BI3728" s="10"/>
    </row>
    <row r="3729" spans="1:61" ht="21" customHeight="1" x14ac:dyDescent="0.25">
      <c r="A3729" s="10"/>
      <c r="B3729" s="10"/>
      <c r="E3729" s="10"/>
      <c r="G3729" s="10"/>
      <c r="I3729" s="436" t="s">
        <v>6180</v>
      </c>
      <c r="J3729" s="26" t="s">
        <v>6179</v>
      </c>
      <c r="K3729" s="10">
        <v>1</v>
      </c>
      <c r="L3729" s="73">
        <f>IF(Tank1!$C$23="No control",(SUMIF(Tank1!$B$32:$B$49,$J3729,Tank1!$C$32:$C$49)*Impacts!$F$8),0)</f>
        <v>0</v>
      </c>
      <c r="M3729" s="10">
        <f>IF(Tank2!$C$23="No control",(SUMIF(Tank2!$B$32:$B$49,$J3729,Tank2!$C$32:$C$49)*Impacts!$F$9),0)</f>
        <v>0</v>
      </c>
      <c r="N3729" s="10">
        <f>IF(Tank3!$C$23="No control",(SUMIF(Tank3!$B$32:$B$49,$J3729,Tank3!$C$32:$C$49)*Impacts!$F$10),0)</f>
        <v>0</v>
      </c>
      <c r="O3729" s="10">
        <f>IF(Tank4!$C$23="No control",(SUMIF(Tank4!$B$32:$B$49,$J3729,Tank4!$C$32:$C$49)*Impacts!$F$11),0)</f>
        <v>0</v>
      </c>
      <c r="P3729" s="10">
        <f>IF(Tank5!$C$23="No control",(SUMIF(Tank5!$B$32:$B$49,$J3729,Tank5!$C$32:$C$49)*Impacts!$F$12),0)</f>
        <v>0</v>
      </c>
      <c r="Q3729" s="10">
        <f>IFERROR(IF(('Loading-drum,tote'!$C$21)="No control",SUMIF(('Loading-drum,tote'!$B$31:$B$48),$J3729,('Loading-drum,tote'!$D$31:$D$48))*Impacts!$F$13,IF(('Loading-drum,tote'!$C$21)&lt;&gt;"No control",SUMIF(('Loading-drum,tote'!$B$31:$B$48),$J3729,('Loading-drum,tote'!$E$31:$E$48))*Impacts!$F$13,0)),0)</f>
        <v>0</v>
      </c>
      <c r="R3729" s="10">
        <f>IFERROR(IF(('Loading-truck'!$C$21)="No control",SUMIF(('Loading-truck'!$B$31:$B$48),$J3729,('Loading-truck'!$D$31:$D$48))*Impacts!$F$14,IF(('Loading-truck'!$C$21)&lt;&gt;"No control",SUMIF(('Loading-truck'!$B$31:$B$48),$J3729,('Loading-truck'!$E$31:$E$48))*Impacts!$F$14,0)),0)</f>
        <v>0</v>
      </c>
      <c r="S3729" s="10">
        <f>IFERROR(IF(('Loading-rail'!$C$21)="No control",SUMIF(('Loading-rail'!$B$31:$B$48),$J3729,('Loading-rail'!$D$31:$D$48))*Impacts!$F$15,IF(('Loading-rail'!$C$21)&lt;&gt;"No control",SUMIF(('Loading-rail'!$B$31:$B$48),$J3729,('Loading-rail'!$E$31:$E$48))*Impacts!$F$15,0)),0)</f>
        <v>0</v>
      </c>
      <c r="T3729" s="10">
        <f>IF(Flare!$C$7="",0,(SUMIF(Flare!$B$46:$B$185,$J3729,Flare!$E$46:$E$185)*Impacts!$F$16))</f>
        <v>0</v>
      </c>
      <c r="U3729" s="10">
        <f>IF(VCU!$C$9="",0,(SUMIF(VCU!$B$51:$B$193,$J3729,VCU!$E$51:$E$193)*Impacts!$F$17))</f>
        <v>0</v>
      </c>
      <c r="V3729" s="10">
        <f>IF(CAS!$C$7="",0,(SUMIF(CAS!$B$31:$B$167,$J3729,CAS!$E$31:$E$167)*Impacts!$F$18))</f>
        <v>0</v>
      </c>
      <c r="W3729" s="10">
        <f t="shared" si="98"/>
        <v>0</v>
      </c>
      <c r="AK3729" s="10" t="str">
        <f t="array" ref="AK3729">IFERROR(INDEX(SelectedSpecies,SMALL(IF(SelectedSpecies=AK$1,ROW(SelectedSpecies)),ROW(3730:3730)),2),"")</f>
        <v/>
      </c>
      <c r="BE3729" s="10"/>
      <c r="BI3729" s="10"/>
    </row>
    <row r="3730" spans="1:61" ht="21" customHeight="1" x14ac:dyDescent="0.25">
      <c r="A3730" s="10"/>
      <c r="B3730" s="10"/>
      <c r="E3730" s="10"/>
      <c r="G3730" s="10"/>
      <c r="I3730" s="436" t="s">
        <v>3699</v>
      </c>
      <c r="J3730" s="26" t="s">
        <v>3698</v>
      </c>
      <c r="K3730" s="10">
        <v>7</v>
      </c>
      <c r="L3730" s="73">
        <f>IF(Tank1!$C$23="No control",(SUMIF(Tank1!$B$32:$B$49,$J3730,Tank1!$C$32:$C$49)*Impacts!$F$8),0)</f>
        <v>0</v>
      </c>
      <c r="M3730" s="10">
        <f>IF(Tank2!$C$23="No control",(SUMIF(Tank2!$B$32:$B$49,$J3730,Tank2!$C$32:$C$49)*Impacts!$F$9),0)</f>
        <v>0</v>
      </c>
      <c r="N3730" s="10">
        <f>IF(Tank3!$C$23="No control",(SUMIF(Tank3!$B$32:$B$49,$J3730,Tank3!$C$32:$C$49)*Impacts!$F$10),0)</f>
        <v>0</v>
      </c>
      <c r="O3730" s="10">
        <f>IF(Tank4!$C$23="No control",(SUMIF(Tank4!$B$32:$B$49,$J3730,Tank4!$C$32:$C$49)*Impacts!$F$11),0)</f>
        <v>0</v>
      </c>
      <c r="P3730" s="10">
        <f>IF(Tank5!$C$23="No control",(SUMIF(Tank5!$B$32:$B$49,$J3730,Tank5!$C$32:$C$49)*Impacts!$F$12),0)</f>
        <v>0</v>
      </c>
      <c r="Q3730" s="10">
        <f>IFERROR(IF(('Loading-drum,tote'!$C$21)="No control",SUMIF(('Loading-drum,tote'!$B$31:$B$48),$J3730,('Loading-drum,tote'!$D$31:$D$48))*Impacts!$F$13,IF(('Loading-drum,tote'!$C$21)&lt;&gt;"No control",SUMIF(('Loading-drum,tote'!$B$31:$B$48),$J3730,('Loading-drum,tote'!$E$31:$E$48))*Impacts!$F$13,0)),0)</f>
        <v>0</v>
      </c>
      <c r="R3730" s="10">
        <f>IFERROR(IF(('Loading-truck'!$C$21)="No control",SUMIF(('Loading-truck'!$B$31:$B$48),$J3730,('Loading-truck'!$D$31:$D$48))*Impacts!$F$14,IF(('Loading-truck'!$C$21)&lt;&gt;"No control",SUMIF(('Loading-truck'!$B$31:$B$48),$J3730,('Loading-truck'!$E$31:$E$48))*Impacts!$F$14,0)),0)</f>
        <v>0</v>
      </c>
      <c r="S3730" s="10">
        <f>IFERROR(IF(('Loading-rail'!$C$21)="No control",SUMIF(('Loading-rail'!$B$31:$B$48),$J3730,('Loading-rail'!$D$31:$D$48))*Impacts!$F$15,IF(('Loading-rail'!$C$21)&lt;&gt;"No control",SUMIF(('Loading-rail'!$B$31:$B$48),$J3730,('Loading-rail'!$E$31:$E$48))*Impacts!$F$15,0)),0)</f>
        <v>0</v>
      </c>
      <c r="T3730" s="10">
        <f>IF(Flare!$C$7="",0,(SUMIF(Flare!$B$46:$B$185,$J3730,Flare!$E$46:$E$185)*Impacts!$F$16))</f>
        <v>0</v>
      </c>
      <c r="U3730" s="10">
        <f>IF(VCU!$C$9="",0,(SUMIF(VCU!$B$51:$B$193,$J3730,VCU!$E$51:$E$193)*Impacts!$F$17))</f>
        <v>0</v>
      </c>
      <c r="V3730" s="10">
        <f>IF(CAS!$C$7="",0,(SUMIF(CAS!$B$31:$B$167,$J3730,CAS!$E$31:$E$167)*Impacts!$F$18))</f>
        <v>0</v>
      </c>
      <c r="W3730" s="10">
        <f t="shared" si="98"/>
        <v>0</v>
      </c>
      <c r="AK3730" s="10" t="str">
        <f t="array" ref="AK3730">IFERROR(INDEX(SelectedSpecies,SMALL(IF(SelectedSpecies=AK$1,ROW(SelectedSpecies)),ROW(3731:3731)),2),"")</f>
        <v/>
      </c>
      <c r="BE3730" s="10"/>
      <c r="BI3730" s="10"/>
    </row>
    <row r="3731" spans="1:61" ht="21" customHeight="1" x14ac:dyDescent="0.25">
      <c r="A3731" s="10"/>
      <c r="B3731" s="10"/>
      <c r="E3731" s="10"/>
      <c r="G3731" s="10"/>
      <c r="I3731" s="436" t="s">
        <v>5121</v>
      </c>
      <c r="J3731" s="26" t="s">
        <v>5120</v>
      </c>
      <c r="K3731" s="10">
        <v>2.1</v>
      </c>
      <c r="L3731" s="73">
        <f>IF(Tank1!$C$23="No control",(SUMIF(Tank1!$B$32:$B$49,$J3731,Tank1!$C$32:$C$49)*Impacts!$F$8),0)</f>
        <v>0</v>
      </c>
      <c r="M3731" s="10">
        <f>IF(Tank2!$C$23="No control",(SUMIF(Tank2!$B$32:$B$49,$J3731,Tank2!$C$32:$C$49)*Impacts!$F$9),0)</f>
        <v>0</v>
      </c>
      <c r="N3731" s="10">
        <f>IF(Tank3!$C$23="No control",(SUMIF(Tank3!$B$32:$B$49,$J3731,Tank3!$C$32:$C$49)*Impacts!$F$10),0)</f>
        <v>0</v>
      </c>
      <c r="O3731" s="10">
        <f>IF(Tank4!$C$23="No control",(SUMIF(Tank4!$B$32:$B$49,$J3731,Tank4!$C$32:$C$49)*Impacts!$F$11),0)</f>
        <v>0</v>
      </c>
      <c r="P3731" s="10">
        <f>IF(Tank5!$C$23="No control",(SUMIF(Tank5!$B$32:$B$49,$J3731,Tank5!$C$32:$C$49)*Impacts!$F$12),0)</f>
        <v>0</v>
      </c>
      <c r="Q3731" s="10">
        <f>IFERROR(IF(('Loading-drum,tote'!$C$21)="No control",SUMIF(('Loading-drum,tote'!$B$31:$B$48),$J3731,('Loading-drum,tote'!$D$31:$D$48))*Impacts!$F$13,IF(('Loading-drum,tote'!$C$21)&lt;&gt;"No control",SUMIF(('Loading-drum,tote'!$B$31:$B$48),$J3731,('Loading-drum,tote'!$E$31:$E$48))*Impacts!$F$13,0)),0)</f>
        <v>0</v>
      </c>
      <c r="R3731" s="10">
        <f>IFERROR(IF(('Loading-truck'!$C$21)="No control",SUMIF(('Loading-truck'!$B$31:$B$48),$J3731,('Loading-truck'!$D$31:$D$48))*Impacts!$F$14,IF(('Loading-truck'!$C$21)&lt;&gt;"No control",SUMIF(('Loading-truck'!$B$31:$B$48),$J3731,('Loading-truck'!$E$31:$E$48))*Impacts!$F$14,0)),0)</f>
        <v>0</v>
      </c>
      <c r="S3731" s="10">
        <f>IFERROR(IF(('Loading-rail'!$C$21)="No control",SUMIF(('Loading-rail'!$B$31:$B$48),$J3731,('Loading-rail'!$D$31:$D$48))*Impacts!$F$15,IF(('Loading-rail'!$C$21)&lt;&gt;"No control",SUMIF(('Loading-rail'!$B$31:$B$48),$J3731,('Loading-rail'!$E$31:$E$48))*Impacts!$F$15,0)),0)</f>
        <v>0</v>
      </c>
      <c r="T3731" s="10">
        <f>IF(Flare!$C$7="",0,(SUMIF(Flare!$B$46:$B$185,$J3731,Flare!$E$46:$E$185)*Impacts!$F$16))</f>
        <v>0</v>
      </c>
      <c r="U3731" s="10">
        <f>IF(VCU!$C$9="",0,(SUMIF(VCU!$B$51:$B$193,$J3731,VCU!$E$51:$E$193)*Impacts!$F$17))</f>
        <v>0</v>
      </c>
      <c r="V3731" s="10">
        <f>IF(CAS!$C$7="",0,(SUMIF(CAS!$B$31:$B$167,$J3731,CAS!$E$31:$E$167)*Impacts!$F$18))</f>
        <v>0</v>
      </c>
      <c r="W3731" s="10">
        <f t="shared" si="98"/>
        <v>0</v>
      </c>
      <c r="AK3731" s="10" t="str">
        <f t="array" ref="AK3731">IFERROR(INDEX(SelectedSpecies,SMALL(IF(SelectedSpecies=AK$1,ROW(SelectedSpecies)),ROW(3732:3732)),2),"")</f>
        <v/>
      </c>
      <c r="BE3731" s="10"/>
      <c r="BI3731" s="10"/>
    </row>
    <row r="3732" spans="1:61" ht="21" customHeight="1" x14ac:dyDescent="0.25">
      <c r="A3732" s="10"/>
      <c r="B3732" s="10"/>
      <c r="E3732" s="10"/>
      <c r="G3732" s="10"/>
      <c r="I3732" s="436" t="s">
        <v>3389</v>
      </c>
      <c r="J3732" s="26" t="s">
        <v>3388</v>
      </c>
      <c r="K3732" s="10">
        <v>10</v>
      </c>
      <c r="L3732" s="73">
        <f>IF(Tank1!$C$23="No control",(SUMIF(Tank1!$B$32:$B$49,$J3732,Tank1!$C$32:$C$49)*Impacts!$F$8),0)</f>
        <v>0</v>
      </c>
      <c r="M3732" s="10">
        <f>IF(Tank2!$C$23="No control",(SUMIF(Tank2!$B$32:$B$49,$J3732,Tank2!$C$32:$C$49)*Impacts!$F$9),0)</f>
        <v>0</v>
      </c>
      <c r="N3732" s="10">
        <f>IF(Tank3!$C$23="No control",(SUMIF(Tank3!$B$32:$B$49,$J3732,Tank3!$C$32:$C$49)*Impacts!$F$10),0)</f>
        <v>0</v>
      </c>
      <c r="O3732" s="10">
        <f>IF(Tank4!$C$23="No control",(SUMIF(Tank4!$B$32:$B$49,$J3732,Tank4!$C$32:$C$49)*Impacts!$F$11),0)</f>
        <v>0</v>
      </c>
      <c r="P3732" s="10">
        <f>IF(Tank5!$C$23="No control",(SUMIF(Tank5!$B$32:$B$49,$J3732,Tank5!$C$32:$C$49)*Impacts!$F$12),0)</f>
        <v>0</v>
      </c>
      <c r="Q3732" s="10">
        <f>IFERROR(IF(('Loading-drum,tote'!$C$21)="No control",SUMIF(('Loading-drum,tote'!$B$31:$B$48),$J3732,('Loading-drum,tote'!$D$31:$D$48))*Impacts!$F$13,IF(('Loading-drum,tote'!$C$21)&lt;&gt;"No control",SUMIF(('Loading-drum,tote'!$B$31:$B$48),$J3732,('Loading-drum,tote'!$E$31:$E$48))*Impacts!$F$13,0)),0)</f>
        <v>0</v>
      </c>
      <c r="R3732" s="10">
        <f>IFERROR(IF(('Loading-truck'!$C$21)="No control",SUMIF(('Loading-truck'!$B$31:$B$48),$J3732,('Loading-truck'!$D$31:$D$48))*Impacts!$F$14,IF(('Loading-truck'!$C$21)&lt;&gt;"No control",SUMIF(('Loading-truck'!$B$31:$B$48),$J3732,('Loading-truck'!$E$31:$E$48))*Impacts!$F$14,0)),0)</f>
        <v>0</v>
      </c>
      <c r="S3732" s="10">
        <f>IFERROR(IF(('Loading-rail'!$C$21)="No control",SUMIF(('Loading-rail'!$B$31:$B$48),$J3732,('Loading-rail'!$D$31:$D$48))*Impacts!$F$15,IF(('Loading-rail'!$C$21)&lt;&gt;"No control",SUMIF(('Loading-rail'!$B$31:$B$48),$J3732,('Loading-rail'!$E$31:$E$48))*Impacts!$F$15,0)),0)</f>
        <v>0</v>
      </c>
      <c r="T3732" s="10">
        <f>IF(Flare!$C$7="",0,(SUMIF(Flare!$B$46:$B$185,$J3732,Flare!$E$46:$E$185)*Impacts!$F$16))</f>
        <v>0</v>
      </c>
      <c r="U3732" s="10">
        <f>IF(VCU!$C$9="",0,(SUMIF(VCU!$B$51:$B$193,$J3732,VCU!$E$51:$E$193)*Impacts!$F$17))</f>
        <v>0</v>
      </c>
      <c r="V3732" s="10">
        <f>IF(CAS!$C$7="",0,(SUMIF(CAS!$B$31:$B$167,$J3732,CAS!$E$31:$E$167)*Impacts!$F$18))</f>
        <v>0</v>
      </c>
      <c r="W3732" s="10">
        <f t="shared" si="98"/>
        <v>0</v>
      </c>
      <c r="AK3732" s="10" t="str">
        <f t="array" ref="AK3732">IFERROR(INDEX(SelectedSpecies,SMALL(IF(SelectedSpecies=AK$1,ROW(SelectedSpecies)),ROW(3733:3733)),2),"")</f>
        <v/>
      </c>
      <c r="BE3732" s="10"/>
      <c r="BI3732" s="10"/>
    </row>
    <row r="3733" spans="1:61" ht="21" customHeight="1" x14ac:dyDescent="0.25">
      <c r="A3733" s="10"/>
      <c r="B3733" s="10"/>
      <c r="E3733" s="10"/>
      <c r="G3733" s="10"/>
      <c r="I3733" s="436" t="s">
        <v>4037</v>
      </c>
      <c r="J3733" s="26" t="s">
        <v>4036</v>
      </c>
      <c r="K3733" s="10">
        <v>6</v>
      </c>
      <c r="L3733" s="73">
        <f>IF(Tank1!$C$23="No control",(SUMIF(Tank1!$B$32:$B$49,$J3733,Tank1!$C$32:$C$49)*Impacts!$F$8),0)</f>
        <v>0</v>
      </c>
      <c r="M3733" s="10">
        <f>IF(Tank2!$C$23="No control",(SUMIF(Tank2!$B$32:$B$49,$J3733,Tank2!$C$32:$C$49)*Impacts!$F$9),0)</f>
        <v>0</v>
      </c>
      <c r="N3733" s="10">
        <f>IF(Tank3!$C$23="No control",(SUMIF(Tank3!$B$32:$B$49,$J3733,Tank3!$C$32:$C$49)*Impacts!$F$10),0)</f>
        <v>0</v>
      </c>
      <c r="O3733" s="10">
        <f>IF(Tank4!$C$23="No control",(SUMIF(Tank4!$B$32:$B$49,$J3733,Tank4!$C$32:$C$49)*Impacts!$F$11),0)</f>
        <v>0</v>
      </c>
      <c r="P3733" s="10">
        <f>IF(Tank5!$C$23="No control",(SUMIF(Tank5!$B$32:$B$49,$J3733,Tank5!$C$32:$C$49)*Impacts!$F$12),0)</f>
        <v>0</v>
      </c>
      <c r="Q3733" s="10">
        <f>IFERROR(IF(('Loading-drum,tote'!$C$21)="No control",SUMIF(('Loading-drum,tote'!$B$31:$B$48),$J3733,('Loading-drum,tote'!$D$31:$D$48))*Impacts!$F$13,IF(('Loading-drum,tote'!$C$21)&lt;&gt;"No control",SUMIF(('Loading-drum,tote'!$B$31:$B$48),$J3733,('Loading-drum,tote'!$E$31:$E$48))*Impacts!$F$13,0)),0)</f>
        <v>0</v>
      </c>
      <c r="R3733" s="10">
        <f>IFERROR(IF(('Loading-truck'!$C$21)="No control",SUMIF(('Loading-truck'!$B$31:$B$48),$J3733,('Loading-truck'!$D$31:$D$48))*Impacts!$F$14,IF(('Loading-truck'!$C$21)&lt;&gt;"No control",SUMIF(('Loading-truck'!$B$31:$B$48),$J3733,('Loading-truck'!$E$31:$E$48))*Impacts!$F$14,0)),0)</f>
        <v>0</v>
      </c>
      <c r="S3733" s="10">
        <f>IFERROR(IF(('Loading-rail'!$C$21)="No control",SUMIF(('Loading-rail'!$B$31:$B$48),$J3733,('Loading-rail'!$D$31:$D$48))*Impacts!$F$15,IF(('Loading-rail'!$C$21)&lt;&gt;"No control",SUMIF(('Loading-rail'!$B$31:$B$48),$J3733,('Loading-rail'!$E$31:$E$48))*Impacts!$F$15,0)),0)</f>
        <v>0</v>
      </c>
      <c r="T3733" s="10">
        <f>IF(Flare!$C$7="",0,(SUMIF(Flare!$B$46:$B$185,$J3733,Flare!$E$46:$E$185)*Impacts!$F$16))</f>
        <v>0</v>
      </c>
      <c r="U3733" s="10">
        <f>IF(VCU!$C$9="",0,(SUMIF(VCU!$B$51:$B$193,$J3733,VCU!$E$51:$E$193)*Impacts!$F$17))</f>
        <v>0</v>
      </c>
      <c r="V3733" s="10">
        <f>IF(CAS!$C$7="",0,(SUMIF(CAS!$B$31:$B$167,$J3733,CAS!$E$31:$E$167)*Impacts!$F$18))</f>
        <v>0</v>
      </c>
      <c r="W3733" s="10">
        <f t="shared" si="98"/>
        <v>0</v>
      </c>
      <c r="AK3733" s="10" t="str">
        <f t="array" ref="AK3733">IFERROR(INDEX(SelectedSpecies,SMALL(IF(SelectedSpecies=AK$1,ROW(SelectedSpecies)),ROW(3734:3734)),2),"")</f>
        <v/>
      </c>
      <c r="BE3733" s="10"/>
      <c r="BI3733" s="10"/>
    </row>
    <row r="3734" spans="1:61" ht="21" customHeight="1" x14ac:dyDescent="0.25">
      <c r="A3734" s="10"/>
      <c r="B3734" s="10"/>
      <c r="E3734" s="10"/>
      <c r="G3734" s="10"/>
      <c r="I3734" s="436" t="s">
        <v>6182</v>
      </c>
      <c r="J3734" s="26" t="s">
        <v>6181</v>
      </c>
      <c r="K3734" s="10">
        <v>1</v>
      </c>
      <c r="L3734" s="73">
        <f>IF(Tank1!$C$23="No control",(SUMIF(Tank1!$B$32:$B$49,$J3734,Tank1!$C$32:$C$49)*Impacts!$F$8),0)</f>
        <v>0</v>
      </c>
      <c r="M3734" s="10">
        <f>IF(Tank2!$C$23="No control",(SUMIF(Tank2!$B$32:$B$49,$J3734,Tank2!$C$32:$C$49)*Impacts!$F$9),0)</f>
        <v>0</v>
      </c>
      <c r="N3734" s="10">
        <f>IF(Tank3!$C$23="No control",(SUMIF(Tank3!$B$32:$B$49,$J3734,Tank3!$C$32:$C$49)*Impacts!$F$10),0)</f>
        <v>0</v>
      </c>
      <c r="O3734" s="10">
        <f>IF(Tank4!$C$23="No control",(SUMIF(Tank4!$B$32:$B$49,$J3734,Tank4!$C$32:$C$49)*Impacts!$F$11),0)</f>
        <v>0</v>
      </c>
      <c r="P3734" s="10">
        <f>IF(Tank5!$C$23="No control",(SUMIF(Tank5!$B$32:$B$49,$J3734,Tank5!$C$32:$C$49)*Impacts!$F$12),0)</f>
        <v>0</v>
      </c>
      <c r="Q3734" s="10">
        <f>IFERROR(IF(('Loading-drum,tote'!$C$21)="No control",SUMIF(('Loading-drum,tote'!$B$31:$B$48),$J3734,('Loading-drum,tote'!$D$31:$D$48))*Impacts!$F$13,IF(('Loading-drum,tote'!$C$21)&lt;&gt;"No control",SUMIF(('Loading-drum,tote'!$B$31:$B$48),$J3734,('Loading-drum,tote'!$E$31:$E$48))*Impacts!$F$13,0)),0)</f>
        <v>0</v>
      </c>
      <c r="R3734" s="10">
        <f>IFERROR(IF(('Loading-truck'!$C$21)="No control",SUMIF(('Loading-truck'!$B$31:$B$48),$J3734,('Loading-truck'!$D$31:$D$48))*Impacts!$F$14,IF(('Loading-truck'!$C$21)&lt;&gt;"No control",SUMIF(('Loading-truck'!$B$31:$B$48),$J3734,('Loading-truck'!$E$31:$E$48))*Impacts!$F$14,0)),0)</f>
        <v>0</v>
      </c>
      <c r="S3734" s="10">
        <f>IFERROR(IF(('Loading-rail'!$C$21)="No control",SUMIF(('Loading-rail'!$B$31:$B$48),$J3734,('Loading-rail'!$D$31:$D$48))*Impacts!$F$15,IF(('Loading-rail'!$C$21)&lt;&gt;"No control",SUMIF(('Loading-rail'!$B$31:$B$48),$J3734,('Loading-rail'!$E$31:$E$48))*Impacts!$F$15,0)),0)</f>
        <v>0</v>
      </c>
      <c r="T3734" s="10">
        <f>IF(Flare!$C$7="",0,(SUMIF(Flare!$B$46:$B$185,$J3734,Flare!$E$46:$E$185)*Impacts!$F$16))</f>
        <v>0</v>
      </c>
      <c r="U3734" s="10">
        <f>IF(VCU!$C$9="",0,(SUMIF(VCU!$B$51:$B$193,$J3734,VCU!$E$51:$E$193)*Impacts!$F$17))</f>
        <v>0</v>
      </c>
      <c r="V3734" s="10">
        <f>IF(CAS!$C$7="",0,(SUMIF(CAS!$B$31:$B$167,$J3734,CAS!$E$31:$E$167)*Impacts!$F$18))</f>
        <v>0</v>
      </c>
      <c r="W3734" s="10">
        <f t="shared" si="98"/>
        <v>0</v>
      </c>
      <c r="AK3734" s="10" t="str">
        <f t="array" ref="AK3734">IFERROR(INDEX(SelectedSpecies,SMALL(IF(SelectedSpecies=AK$1,ROW(SelectedSpecies)),ROW(3735:3735)),2),"")</f>
        <v/>
      </c>
      <c r="BE3734" s="10"/>
      <c r="BI3734" s="10"/>
    </row>
    <row r="3735" spans="1:61" ht="21" customHeight="1" x14ac:dyDescent="0.25">
      <c r="A3735" s="10"/>
      <c r="B3735" s="10"/>
      <c r="E3735" s="10"/>
      <c r="G3735" s="10"/>
      <c r="I3735" s="436" t="s">
        <v>3391</v>
      </c>
      <c r="J3735" s="26" t="s">
        <v>3390</v>
      </c>
      <c r="K3735" s="10">
        <v>10</v>
      </c>
      <c r="L3735" s="73">
        <f>IF(Tank1!$C$23="No control",(SUMIF(Tank1!$B$32:$B$49,$J3735,Tank1!$C$32:$C$49)*Impacts!$F$8),0)</f>
        <v>0</v>
      </c>
      <c r="M3735" s="10">
        <f>IF(Tank2!$C$23="No control",(SUMIF(Tank2!$B$32:$B$49,$J3735,Tank2!$C$32:$C$49)*Impacts!$F$9),0)</f>
        <v>0</v>
      </c>
      <c r="N3735" s="10">
        <f>IF(Tank3!$C$23="No control",(SUMIF(Tank3!$B$32:$B$49,$J3735,Tank3!$C$32:$C$49)*Impacts!$F$10),0)</f>
        <v>0</v>
      </c>
      <c r="O3735" s="10">
        <f>IF(Tank4!$C$23="No control",(SUMIF(Tank4!$B$32:$B$49,$J3735,Tank4!$C$32:$C$49)*Impacts!$F$11),0)</f>
        <v>0</v>
      </c>
      <c r="P3735" s="10">
        <f>IF(Tank5!$C$23="No control",(SUMIF(Tank5!$B$32:$B$49,$J3735,Tank5!$C$32:$C$49)*Impacts!$F$12),0)</f>
        <v>0</v>
      </c>
      <c r="Q3735" s="10">
        <f>IFERROR(IF(('Loading-drum,tote'!$C$21)="No control",SUMIF(('Loading-drum,tote'!$B$31:$B$48),$J3735,('Loading-drum,tote'!$D$31:$D$48))*Impacts!$F$13,IF(('Loading-drum,tote'!$C$21)&lt;&gt;"No control",SUMIF(('Loading-drum,tote'!$B$31:$B$48),$J3735,('Loading-drum,tote'!$E$31:$E$48))*Impacts!$F$13,0)),0)</f>
        <v>0</v>
      </c>
      <c r="R3735" s="10">
        <f>IFERROR(IF(('Loading-truck'!$C$21)="No control",SUMIF(('Loading-truck'!$B$31:$B$48),$J3735,('Loading-truck'!$D$31:$D$48))*Impacts!$F$14,IF(('Loading-truck'!$C$21)&lt;&gt;"No control",SUMIF(('Loading-truck'!$B$31:$B$48),$J3735,('Loading-truck'!$E$31:$E$48))*Impacts!$F$14,0)),0)</f>
        <v>0</v>
      </c>
      <c r="S3735" s="10">
        <f>IFERROR(IF(('Loading-rail'!$C$21)="No control",SUMIF(('Loading-rail'!$B$31:$B$48),$J3735,('Loading-rail'!$D$31:$D$48))*Impacts!$F$15,IF(('Loading-rail'!$C$21)&lt;&gt;"No control",SUMIF(('Loading-rail'!$B$31:$B$48),$J3735,('Loading-rail'!$E$31:$E$48))*Impacts!$F$15,0)),0)</f>
        <v>0</v>
      </c>
      <c r="T3735" s="10">
        <f>IF(Flare!$C$7="",0,(SUMIF(Flare!$B$46:$B$185,$J3735,Flare!$E$46:$E$185)*Impacts!$F$16))</f>
        <v>0</v>
      </c>
      <c r="U3735" s="10">
        <f>IF(VCU!$C$9="",0,(SUMIF(VCU!$B$51:$B$193,$J3735,VCU!$E$51:$E$193)*Impacts!$F$17))</f>
        <v>0</v>
      </c>
      <c r="V3735" s="10">
        <f>IF(CAS!$C$7="",0,(SUMIF(CAS!$B$31:$B$167,$J3735,CAS!$E$31:$E$167)*Impacts!$F$18))</f>
        <v>0</v>
      </c>
      <c r="W3735" s="10">
        <f t="shared" si="98"/>
        <v>0</v>
      </c>
      <c r="AK3735" s="10" t="str">
        <f t="array" ref="AK3735">IFERROR(INDEX(SelectedSpecies,SMALL(IF(SelectedSpecies=AK$1,ROW(SelectedSpecies)),ROW(3736:3736)),2),"")</f>
        <v/>
      </c>
      <c r="BE3735" s="10"/>
      <c r="BI3735" s="10"/>
    </row>
    <row r="3736" spans="1:61" ht="21" customHeight="1" x14ac:dyDescent="0.25">
      <c r="A3736" s="10"/>
      <c r="B3736" s="10"/>
      <c r="E3736" s="10"/>
      <c r="G3736" s="10"/>
      <c r="I3736" s="436" t="s">
        <v>7556</v>
      </c>
      <c r="J3736" s="26" t="s">
        <v>7555</v>
      </c>
      <c r="K3736" s="10">
        <v>0.2</v>
      </c>
      <c r="L3736" s="73">
        <f>IF(Tank1!$C$23="No control",(SUMIF(Tank1!$B$32:$B$49,$J3736,Tank1!$C$32:$C$49)*Impacts!$F$8),0)</f>
        <v>0</v>
      </c>
      <c r="M3736" s="10">
        <f>IF(Tank2!$C$23="No control",(SUMIF(Tank2!$B$32:$B$49,$J3736,Tank2!$C$32:$C$49)*Impacts!$F$9),0)</f>
        <v>0</v>
      </c>
      <c r="N3736" s="10">
        <f>IF(Tank3!$C$23="No control",(SUMIF(Tank3!$B$32:$B$49,$J3736,Tank3!$C$32:$C$49)*Impacts!$F$10),0)</f>
        <v>0</v>
      </c>
      <c r="O3736" s="10">
        <f>IF(Tank4!$C$23="No control",(SUMIF(Tank4!$B$32:$B$49,$J3736,Tank4!$C$32:$C$49)*Impacts!$F$11),0)</f>
        <v>0</v>
      </c>
      <c r="P3736" s="10">
        <f>IF(Tank5!$C$23="No control",(SUMIF(Tank5!$B$32:$B$49,$J3736,Tank5!$C$32:$C$49)*Impacts!$F$12),0)</f>
        <v>0</v>
      </c>
      <c r="Q3736" s="10">
        <f>IFERROR(IF(('Loading-drum,tote'!$C$21)="No control",SUMIF(('Loading-drum,tote'!$B$31:$B$48),$J3736,('Loading-drum,tote'!$D$31:$D$48))*Impacts!$F$13,IF(('Loading-drum,tote'!$C$21)&lt;&gt;"No control",SUMIF(('Loading-drum,tote'!$B$31:$B$48),$J3736,('Loading-drum,tote'!$E$31:$E$48))*Impacts!$F$13,0)),0)</f>
        <v>0</v>
      </c>
      <c r="R3736" s="10">
        <f>IFERROR(IF(('Loading-truck'!$C$21)="No control",SUMIF(('Loading-truck'!$B$31:$B$48),$J3736,('Loading-truck'!$D$31:$D$48))*Impacts!$F$14,IF(('Loading-truck'!$C$21)&lt;&gt;"No control",SUMIF(('Loading-truck'!$B$31:$B$48),$J3736,('Loading-truck'!$E$31:$E$48))*Impacts!$F$14,0)),0)</f>
        <v>0</v>
      </c>
      <c r="S3736" s="10">
        <f>IFERROR(IF(('Loading-rail'!$C$21)="No control",SUMIF(('Loading-rail'!$B$31:$B$48),$J3736,('Loading-rail'!$D$31:$D$48))*Impacts!$F$15,IF(('Loading-rail'!$C$21)&lt;&gt;"No control",SUMIF(('Loading-rail'!$B$31:$B$48),$J3736,('Loading-rail'!$E$31:$E$48))*Impacts!$F$15,0)),0)</f>
        <v>0</v>
      </c>
      <c r="T3736" s="10">
        <f>IF(Flare!$C$7="",0,(SUMIF(Flare!$B$46:$B$185,$J3736,Flare!$E$46:$E$185)*Impacts!$F$16))</f>
        <v>0</v>
      </c>
      <c r="U3736" s="10">
        <f>IF(VCU!$C$9="",0,(SUMIF(VCU!$B$51:$B$193,$J3736,VCU!$E$51:$E$193)*Impacts!$F$17))</f>
        <v>0</v>
      </c>
      <c r="V3736" s="10">
        <f>IF(CAS!$C$7="",0,(SUMIF(CAS!$B$31:$B$167,$J3736,CAS!$E$31:$E$167)*Impacts!$F$18))</f>
        <v>0</v>
      </c>
      <c r="W3736" s="10">
        <f t="shared" si="98"/>
        <v>0</v>
      </c>
      <c r="AK3736" s="10" t="str">
        <f t="array" ref="AK3736">IFERROR(INDEX(SelectedSpecies,SMALL(IF(SelectedSpecies=AK$1,ROW(SelectedSpecies)),ROW(3737:3737)),2),"")</f>
        <v/>
      </c>
      <c r="BE3736" s="10"/>
      <c r="BI3736" s="10"/>
    </row>
    <row r="3737" spans="1:61" ht="21" customHeight="1" x14ac:dyDescent="0.25">
      <c r="A3737" s="10"/>
      <c r="B3737" s="10"/>
      <c r="E3737" s="10"/>
      <c r="G3737" s="10"/>
      <c r="I3737" s="436" t="s">
        <v>1176</v>
      </c>
      <c r="J3737" s="26" t="s">
        <v>1175</v>
      </c>
      <c r="K3737" s="10">
        <v>35</v>
      </c>
      <c r="L3737" s="73">
        <f>IF(Tank1!$C$23="No control",(SUMIF(Tank1!$B$32:$B$49,$J3737,Tank1!$C$32:$C$49)*Impacts!$F$8),0)</f>
        <v>0</v>
      </c>
      <c r="M3737" s="10">
        <f>IF(Tank2!$C$23="No control",(SUMIF(Tank2!$B$32:$B$49,$J3737,Tank2!$C$32:$C$49)*Impacts!$F$9),0)</f>
        <v>0</v>
      </c>
      <c r="N3737" s="10">
        <f>IF(Tank3!$C$23="No control",(SUMIF(Tank3!$B$32:$B$49,$J3737,Tank3!$C$32:$C$49)*Impacts!$F$10),0)</f>
        <v>0</v>
      </c>
      <c r="O3737" s="10">
        <f>IF(Tank4!$C$23="No control",(SUMIF(Tank4!$B$32:$B$49,$J3737,Tank4!$C$32:$C$49)*Impacts!$F$11),0)</f>
        <v>0</v>
      </c>
      <c r="P3737" s="10">
        <f>IF(Tank5!$C$23="No control",(SUMIF(Tank5!$B$32:$B$49,$J3737,Tank5!$C$32:$C$49)*Impacts!$F$12),0)</f>
        <v>0</v>
      </c>
      <c r="Q3737" s="10">
        <f>IFERROR(IF(('Loading-drum,tote'!$C$21)="No control",SUMIF(('Loading-drum,tote'!$B$31:$B$48),$J3737,('Loading-drum,tote'!$D$31:$D$48))*Impacts!$F$13,IF(('Loading-drum,tote'!$C$21)&lt;&gt;"No control",SUMIF(('Loading-drum,tote'!$B$31:$B$48),$J3737,('Loading-drum,tote'!$E$31:$E$48))*Impacts!$F$13,0)),0)</f>
        <v>0</v>
      </c>
      <c r="R3737" s="10">
        <f>IFERROR(IF(('Loading-truck'!$C$21)="No control",SUMIF(('Loading-truck'!$B$31:$B$48),$J3737,('Loading-truck'!$D$31:$D$48))*Impacts!$F$14,IF(('Loading-truck'!$C$21)&lt;&gt;"No control",SUMIF(('Loading-truck'!$B$31:$B$48),$J3737,('Loading-truck'!$E$31:$E$48))*Impacts!$F$14,0)),0)</f>
        <v>0</v>
      </c>
      <c r="S3737" s="10">
        <f>IFERROR(IF(('Loading-rail'!$C$21)="No control",SUMIF(('Loading-rail'!$B$31:$B$48),$J3737,('Loading-rail'!$D$31:$D$48))*Impacts!$F$15,IF(('Loading-rail'!$C$21)&lt;&gt;"No control",SUMIF(('Loading-rail'!$B$31:$B$48),$J3737,('Loading-rail'!$E$31:$E$48))*Impacts!$F$15,0)),0)</f>
        <v>0</v>
      </c>
      <c r="T3737" s="10">
        <f>IF(Flare!$C$7="",0,(SUMIF(Flare!$B$46:$B$185,$J3737,Flare!$E$46:$E$185)*Impacts!$F$16))</f>
        <v>0</v>
      </c>
      <c r="U3737" s="10">
        <f>IF(VCU!$C$9="",0,(SUMIF(VCU!$B$51:$B$193,$J3737,VCU!$E$51:$E$193)*Impacts!$F$17))</f>
        <v>0</v>
      </c>
      <c r="V3737" s="10">
        <f>IF(CAS!$C$7="",0,(SUMIF(CAS!$B$31:$B$167,$J3737,CAS!$E$31:$E$167)*Impacts!$F$18))</f>
        <v>0</v>
      </c>
      <c r="W3737" s="10">
        <f t="shared" si="98"/>
        <v>0</v>
      </c>
      <c r="AK3737" s="10" t="str">
        <f t="array" ref="AK3737">IFERROR(INDEX(SelectedSpecies,SMALL(IF(SelectedSpecies=AK$1,ROW(SelectedSpecies)),ROW(3738:3738)),2),"")</f>
        <v/>
      </c>
      <c r="BE3737" s="10"/>
      <c r="BI3737" s="10"/>
    </row>
    <row r="3738" spans="1:61" ht="21" customHeight="1" x14ac:dyDescent="0.25">
      <c r="A3738" s="10"/>
      <c r="B3738" s="10"/>
      <c r="E3738" s="10"/>
      <c r="G3738" s="10"/>
      <c r="I3738" s="436" t="s">
        <v>4745</v>
      </c>
      <c r="J3738" s="26" t="s">
        <v>4744</v>
      </c>
      <c r="K3738" s="10">
        <v>3.5</v>
      </c>
      <c r="L3738" s="73">
        <f>IF(Tank1!$C$23="No control",(SUMIF(Tank1!$B$32:$B$49,$J3738,Tank1!$C$32:$C$49)*Impacts!$F$8),0)</f>
        <v>0</v>
      </c>
      <c r="M3738" s="10">
        <f>IF(Tank2!$C$23="No control",(SUMIF(Tank2!$B$32:$B$49,$J3738,Tank2!$C$32:$C$49)*Impacts!$F$9),0)</f>
        <v>0</v>
      </c>
      <c r="N3738" s="10">
        <f>IF(Tank3!$C$23="No control",(SUMIF(Tank3!$B$32:$B$49,$J3738,Tank3!$C$32:$C$49)*Impacts!$F$10),0)</f>
        <v>0</v>
      </c>
      <c r="O3738" s="10">
        <f>IF(Tank4!$C$23="No control",(SUMIF(Tank4!$B$32:$B$49,$J3738,Tank4!$C$32:$C$49)*Impacts!$F$11),0)</f>
        <v>0</v>
      </c>
      <c r="P3738" s="10">
        <f>IF(Tank5!$C$23="No control",(SUMIF(Tank5!$B$32:$B$49,$J3738,Tank5!$C$32:$C$49)*Impacts!$F$12),0)</f>
        <v>0</v>
      </c>
      <c r="Q3738" s="10">
        <f>IFERROR(IF(('Loading-drum,tote'!$C$21)="No control",SUMIF(('Loading-drum,tote'!$B$31:$B$48),$J3738,('Loading-drum,tote'!$D$31:$D$48))*Impacts!$F$13,IF(('Loading-drum,tote'!$C$21)&lt;&gt;"No control",SUMIF(('Loading-drum,tote'!$B$31:$B$48),$J3738,('Loading-drum,tote'!$E$31:$E$48))*Impacts!$F$13,0)),0)</f>
        <v>0</v>
      </c>
      <c r="R3738" s="10">
        <f>IFERROR(IF(('Loading-truck'!$C$21)="No control",SUMIF(('Loading-truck'!$B$31:$B$48),$J3738,('Loading-truck'!$D$31:$D$48))*Impacts!$F$14,IF(('Loading-truck'!$C$21)&lt;&gt;"No control",SUMIF(('Loading-truck'!$B$31:$B$48),$J3738,('Loading-truck'!$E$31:$E$48))*Impacts!$F$14,0)),0)</f>
        <v>0</v>
      </c>
      <c r="S3738" s="10">
        <f>IFERROR(IF(('Loading-rail'!$C$21)="No control",SUMIF(('Loading-rail'!$B$31:$B$48),$J3738,('Loading-rail'!$D$31:$D$48))*Impacts!$F$15,IF(('Loading-rail'!$C$21)&lt;&gt;"No control",SUMIF(('Loading-rail'!$B$31:$B$48),$J3738,('Loading-rail'!$E$31:$E$48))*Impacts!$F$15,0)),0)</f>
        <v>0</v>
      </c>
      <c r="T3738" s="10">
        <f>IF(Flare!$C$7="",0,(SUMIF(Flare!$B$46:$B$185,$J3738,Flare!$E$46:$E$185)*Impacts!$F$16))</f>
        <v>0</v>
      </c>
      <c r="U3738" s="10">
        <f>IF(VCU!$C$9="",0,(SUMIF(VCU!$B$51:$B$193,$J3738,VCU!$E$51:$E$193)*Impacts!$F$17))</f>
        <v>0</v>
      </c>
      <c r="V3738" s="10">
        <f>IF(CAS!$C$7="",0,(SUMIF(CAS!$B$31:$B$167,$J3738,CAS!$E$31:$E$167)*Impacts!$F$18))</f>
        <v>0</v>
      </c>
      <c r="W3738" s="10">
        <f t="shared" ref="W3738:W3801" si="99">SUM(L3738:V3738)</f>
        <v>0</v>
      </c>
      <c r="AK3738" s="10" t="str">
        <f t="array" ref="AK3738">IFERROR(INDEX(SelectedSpecies,SMALL(IF(SelectedSpecies=AK$1,ROW(SelectedSpecies)),ROW(3739:3739)),2),"")</f>
        <v/>
      </c>
      <c r="BE3738" s="10"/>
      <c r="BI3738" s="10"/>
    </row>
    <row r="3739" spans="1:61" ht="21" customHeight="1" x14ac:dyDescent="0.25">
      <c r="A3739" s="10"/>
      <c r="B3739" s="10"/>
      <c r="E3739" s="10"/>
      <c r="G3739" s="10"/>
      <c r="I3739" s="436" t="s">
        <v>1773</v>
      </c>
      <c r="J3739" s="26" t="s">
        <v>1772</v>
      </c>
      <c r="K3739" s="10">
        <v>23.400000000000002</v>
      </c>
      <c r="L3739" s="73">
        <f>IF(Tank1!$C$23="No control",(SUMIF(Tank1!$B$32:$B$49,$J3739,Tank1!$C$32:$C$49)*Impacts!$F$8),0)</f>
        <v>0</v>
      </c>
      <c r="M3739" s="10">
        <f>IF(Tank2!$C$23="No control",(SUMIF(Tank2!$B$32:$B$49,$J3739,Tank2!$C$32:$C$49)*Impacts!$F$9),0)</f>
        <v>0</v>
      </c>
      <c r="N3739" s="10">
        <f>IF(Tank3!$C$23="No control",(SUMIF(Tank3!$B$32:$B$49,$J3739,Tank3!$C$32:$C$49)*Impacts!$F$10),0)</f>
        <v>0</v>
      </c>
      <c r="O3739" s="10">
        <f>IF(Tank4!$C$23="No control",(SUMIF(Tank4!$B$32:$B$49,$J3739,Tank4!$C$32:$C$49)*Impacts!$F$11),0)</f>
        <v>0</v>
      </c>
      <c r="P3739" s="10">
        <f>IF(Tank5!$C$23="No control",(SUMIF(Tank5!$B$32:$B$49,$J3739,Tank5!$C$32:$C$49)*Impacts!$F$12),0)</f>
        <v>0</v>
      </c>
      <c r="Q3739" s="10">
        <f>IFERROR(IF(('Loading-drum,tote'!$C$21)="No control",SUMIF(('Loading-drum,tote'!$B$31:$B$48),$J3739,('Loading-drum,tote'!$D$31:$D$48))*Impacts!$F$13,IF(('Loading-drum,tote'!$C$21)&lt;&gt;"No control",SUMIF(('Loading-drum,tote'!$B$31:$B$48),$J3739,('Loading-drum,tote'!$E$31:$E$48))*Impacts!$F$13,0)),0)</f>
        <v>0</v>
      </c>
      <c r="R3739" s="10">
        <f>IFERROR(IF(('Loading-truck'!$C$21)="No control",SUMIF(('Loading-truck'!$B$31:$B$48),$J3739,('Loading-truck'!$D$31:$D$48))*Impacts!$F$14,IF(('Loading-truck'!$C$21)&lt;&gt;"No control",SUMIF(('Loading-truck'!$B$31:$B$48),$J3739,('Loading-truck'!$E$31:$E$48))*Impacts!$F$14,0)),0)</f>
        <v>0</v>
      </c>
      <c r="S3739" s="10">
        <f>IFERROR(IF(('Loading-rail'!$C$21)="No control",SUMIF(('Loading-rail'!$B$31:$B$48),$J3739,('Loading-rail'!$D$31:$D$48))*Impacts!$F$15,IF(('Loading-rail'!$C$21)&lt;&gt;"No control",SUMIF(('Loading-rail'!$B$31:$B$48),$J3739,('Loading-rail'!$E$31:$E$48))*Impacts!$F$15,0)),0)</f>
        <v>0</v>
      </c>
      <c r="T3739" s="10">
        <f>IF(Flare!$C$7="",0,(SUMIF(Flare!$B$46:$B$185,$J3739,Flare!$E$46:$E$185)*Impacts!$F$16))</f>
        <v>0</v>
      </c>
      <c r="U3739" s="10">
        <f>IF(VCU!$C$9="",0,(SUMIF(VCU!$B$51:$B$193,$J3739,VCU!$E$51:$E$193)*Impacts!$F$17))</f>
        <v>0</v>
      </c>
      <c r="V3739" s="10">
        <f>IF(CAS!$C$7="",0,(SUMIF(CAS!$B$31:$B$167,$J3739,CAS!$E$31:$E$167)*Impacts!$F$18))</f>
        <v>0</v>
      </c>
      <c r="W3739" s="10">
        <f t="shared" si="99"/>
        <v>0</v>
      </c>
      <c r="AK3739" s="10" t="str">
        <f t="array" ref="AK3739">IFERROR(INDEX(SelectedSpecies,SMALL(IF(SelectedSpecies=AK$1,ROW(SelectedSpecies)),ROW(3740:3740)),2),"")</f>
        <v/>
      </c>
      <c r="BE3739" s="10"/>
      <c r="BI3739" s="10"/>
    </row>
    <row r="3740" spans="1:61" ht="21" customHeight="1" x14ac:dyDescent="0.25">
      <c r="A3740" s="10"/>
      <c r="B3740" s="10"/>
      <c r="E3740" s="10"/>
      <c r="G3740" s="10"/>
      <c r="I3740" s="436" t="s">
        <v>4231</v>
      </c>
      <c r="J3740" s="26" t="s">
        <v>4230</v>
      </c>
      <c r="K3740" s="10">
        <v>5</v>
      </c>
      <c r="L3740" s="73">
        <f>IF(Tank1!$C$23="No control",(SUMIF(Tank1!$B$32:$B$49,$J3740,Tank1!$C$32:$C$49)*Impacts!$F$8),0)</f>
        <v>0</v>
      </c>
      <c r="M3740" s="10">
        <f>IF(Tank2!$C$23="No control",(SUMIF(Tank2!$B$32:$B$49,$J3740,Tank2!$C$32:$C$49)*Impacts!$F$9),0)</f>
        <v>0</v>
      </c>
      <c r="N3740" s="10">
        <f>IF(Tank3!$C$23="No control",(SUMIF(Tank3!$B$32:$B$49,$J3740,Tank3!$C$32:$C$49)*Impacts!$F$10),0)</f>
        <v>0</v>
      </c>
      <c r="O3740" s="10">
        <f>IF(Tank4!$C$23="No control",(SUMIF(Tank4!$B$32:$B$49,$J3740,Tank4!$C$32:$C$49)*Impacts!$F$11),0)</f>
        <v>0</v>
      </c>
      <c r="P3740" s="10">
        <f>IF(Tank5!$C$23="No control",(SUMIF(Tank5!$B$32:$B$49,$J3740,Tank5!$C$32:$C$49)*Impacts!$F$12),0)</f>
        <v>0</v>
      </c>
      <c r="Q3740" s="10">
        <f>IFERROR(IF(('Loading-drum,tote'!$C$21)="No control",SUMIF(('Loading-drum,tote'!$B$31:$B$48),$J3740,('Loading-drum,tote'!$D$31:$D$48))*Impacts!$F$13,IF(('Loading-drum,tote'!$C$21)&lt;&gt;"No control",SUMIF(('Loading-drum,tote'!$B$31:$B$48),$J3740,('Loading-drum,tote'!$E$31:$E$48))*Impacts!$F$13,0)),0)</f>
        <v>0</v>
      </c>
      <c r="R3740" s="10">
        <f>IFERROR(IF(('Loading-truck'!$C$21)="No control",SUMIF(('Loading-truck'!$B$31:$B$48),$J3740,('Loading-truck'!$D$31:$D$48))*Impacts!$F$14,IF(('Loading-truck'!$C$21)&lt;&gt;"No control",SUMIF(('Loading-truck'!$B$31:$B$48),$J3740,('Loading-truck'!$E$31:$E$48))*Impacts!$F$14,0)),0)</f>
        <v>0</v>
      </c>
      <c r="S3740" s="10">
        <f>IFERROR(IF(('Loading-rail'!$C$21)="No control",SUMIF(('Loading-rail'!$B$31:$B$48),$J3740,('Loading-rail'!$D$31:$D$48))*Impacts!$F$15,IF(('Loading-rail'!$C$21)&lt;&gt;"No control",SUMIF(('Loading-rail'!$B$31:$B$48),$J3740,('Loading-rail'!$E$31:$E$48))*Impacts!$F$15,0)),0)</f>
        <v>0</v>
      </c>
      <c r="T3740" s="10">
        <f>IF(Flare!$C$7="",0,(SUMIF(Flare!$B$46:$B$185,$J3740,Flare!$E$46:$E$185)*Impacts!$F$16))</f>
        <v>0</v>
      </c>
      <c r="U3740" s="10">
        <f>IF(VCU!$C$9="",0,(SUMIF(VCU!$B$51:$B$193,$J3740,VCU!$E$51:$E$193)*Impacts!$F$17))</f>
        <v>0</v>
      </c>
      <c r="V3740" s="10">
        <f>IF(CAS!$C$7="",0,(SUMIF(CAS!$B$31:$B$167,$J3740,CAS!$E$31:$E$167)*Impacts!$F$18))</f>
        <v>0</v>
      </c>
      <c r="W3740" s="10">
        <f t="shared" si="99"/>
        <v>0</v>
      </c>
      <c r="AK3740" s="10" t="str">
        <f t="array" ref="AK3740">IFERROR(INDEX(SelectedSpecies,SMALL(IF(SelectedSpecies=AK$1,ROW(SelectedSpecies)),ROW(3741:3741)),2),"")</f>
        <v/>
      </c>
      <c r="BE3740" s="10"/>
      <c r="BI3740" s="10"/>
    </row>
    <row r="3741" spans="1:61" ht="21" customHeight="1" x14ac:dyDescent="0.25">
      <c r="A3741" s="10"/>
      <c r="B3741" s="10"/>
      <c r="E3741" s="10"/>
      <c r="G3741" s="10"/>
      <c r="I3741" s="436" t="s">
        <v>2339</v>
      </c>
      <c r="J3741" s="26" t="s">
        <v>2338</v>
      </c>
      <c r="K3741" s="10">
        <v>11.200000000000001</v>
      </c>
      <c r="L3741" s="73">
        <f>IF(Tank1!$C$23="No control",(SUMIF(Tank1!$B$32:$B$49,$J3741,Tank1!$C$32:$C$49)*Impacts!$F$8),0)</f>
        <v>0</v>
      </c>
      <c r="M3741" s="10">
        <f>IF(Tank2!$C$23="No control",(SUMIF(Tank2!$B$32:$B$49,$J3741,Tank2!$C$32:$C$49)*Impacts!$F$9),0)</f>
        <v>0</v>
      </c>
      <c r="N3741" s="10">
        <f>IF(Tank3!$C$23="No control",(SUMIF(Tank3!$B$32:$B$49,$J3741,Tank3!$C$32:$C$49)*Impacts!$F$10),0)</f>
        <v>0</v>
      </c>
      <c r="O3741" s="10">
        <f>IF(Tank4!$C$23="No control",(SUMIF(Tank4!$B$32:$B$49,$J3741,Tank4!$C$32:$C$49)*Impacts!$F$11),0)</f>
        <v>0</v>
      </c>
      <c r="P3741" s="10">
        <f>IF(Tank5!$C$23="No control",(SUMIF(Tank5!$B$32:$B$49,$J3741,Tank5!$C$32:$C$49)*Impacts!$F$12),0)</f>
        <v>0</v>
      </c>
      <c r="Q3741" s="10">
        <f>IFERROR(IF(('Loading-drum,tote'!$C$21)="No control",SUMIF(('Loading-drum,tote'!$B$31:$B$48),$J3741,('Loading-drum,tote'!$D$31:$D$48))*Impacts!$F$13,IF(('Loading-drum,tote'!$C$21)&lt;&gt;"No control",SUMIF(('Loading-drum,tote'!$B$31:$B$48),$J3741,('Loading-drum,tote'!$E$31:$E$48))*Impacts!$F$13,0)),0)</f>
        <v>0</v>
      </c>
      <c r="R3741" s="10">
        <f>IFERROR(IF(('Loading-truck'!$C$21)="No control",SUMIF(('Loading-truck'!$B$31:$B$48),$J3741,('Loading-truck'!$D$31:$D$48))*Impacts!$F$14,IF(('Loading-truck'!$C$21)&lt;&gt;"No control",SUMIF(('Loading-truck'!$B$31:$B$48),$J3741,('Loading-truck'!$E$31:$E$48))*Impacts!$F$14,0)),0)</f>
        <v>0</v>
      </c>
      <c r="S3741" s="10">
        <f>IFERROR(IF(('Loading-rail'!$C$21)="No control",SUMIF(('Loading-rail'!$B$31:$B$48),$J3741,('Loading-rail'!$D$31:$D$48))*Impacts!$F$15,IF(('Loading-rail'!$C$21)&lt;&gt;"No control",SUMIF(('Loading-rail'!$B$31:$B$48),$J3741,('Loading-rail'!$E$31:$E$48))*Impacts!$F$15,0)),0)</f>
        <v>0</v>
      </c>
      <c r="T3741" s="10">
        <f>IF(Flare!$C$7="",0,(SUMIF(Flare!$B$46:$B$185,$J3741,Flare!$E$46:$E$185)*Impacts!$F$16))</f>
        <v>0</v>
      </c>
      <c r="U3741" s="10">
        <f>IF(VCU!$C$9="",0,(SUMIF(VCU!$B$51:$B$193,$J3741,VCU!$E$51:$E$193)*Impacts!$F$17))</f>
        <v>0</v>
      </c>
      <c r="V3741" s="10">
        <f>IF(CAS!$C$7="",0,(SUMIF(CAS!$B$31:$B$167,$J3741,CAS!$E$31:$E$167)*Impacts!$F$18))</f>
        <v>0</v>
      </c>
      <c r="W3741" s="10">
        <f t="shared" si="99"/>
        <v>0</v>
      </c>
      <c r="AK3741" s="10" t="str">
        <f t="array" ref="AK3741">IFERROR(INDEX(SelectedSpecies,SMALL(IF(SelectedSpecies=AK$1,ROW(SelectedSpecies)),ROW(3742:3742)),2),"")</f>
        <v/>
      </c>
      <c r="BE3741" s="10"/>
      <c r="BI3741" s="10"/>
    </row>
    <row r="3742" spans="1:61" ht="21" customHeight="1" x14ac:dyDescent="0.25">
      <c r="A3742" s="10"/>
      <c r="B3742" s="10"/>
      <c r="E3742" s="10"/>
      <c r="G3742" s="10"/>
      <c r="I3742" s="436" t="s">
        <v>4697</v>
      </c>
      <c r="J3742" s="26" t="s">
        <v>4696</v>
      </c>
      <c r="K3742" s="10">
        <v>3.6</v>
      </c>
      <c r="L3742" s="73">
        <f>IF(Tank1!$C$23="No control",(SUMIF(Tank1!$B$32:$B$49,$J3742,Tank1!$C$32:$C$49)*Impacts!$F$8),0)</f>
        <v>0</v>
      </c>
      <c r="M3742" s="10">
        <f>IF(Tank2!$C$23="No control",(SUMIF(Tank2!$B$32:$B$49,$J3742,Tank2!$C$32:$C$49)*Impacts!$F$9),0)</f>
        <v>0</v>
      </c>
      <c r="N3742" s="10">
        <f>IF(Tank3!$C$23="No control",(SUMIF(Tank3!$B$32:$B$49,$J3742,Tank3!$C$32:$C$49)*Impacts!$F$10),0)</f>
        <v>0</v>
      </c>
      <c r="O3742" s="10">
        <f>IF(Tank4!$C$23="No control",(SUMIF(Tank4!$B$32:$B$49,$J3742,Tank4!$C$32:$C$49)*Impacts!$F$11),0)</f>
        <v>0</v>
      </c>
      <c r="P3742" s="10">
        <f>IF(Tank5!$C$23="No control",(SUMIF(Tank5!$B$32:$B$49,$J3742,Tank5!$C$32:$C$49)*Impacts!$F$12),0)</f>
        <v>0</v>
      </c>
      <c r="Q3742" s="10">
        <f>IFERROR(IF(('Loading-drum,tote'!$C$21)="No control",SUMIF(('Loading-drum,tote'!$B$31:$B$48),$J3742,('Loading-drum,tote'!$D$31:$D$48))*Impacts!$F$13,IF(('Loading-drum,tote'!$C$21)&lt;&gt;"No control",SUMIF(('Loading-drum,tote'!$B$31:$B$48),$J3742,('Loading-drum,tote'!$E$31:$E$48))*Impacts!$F$13,0)),0)</f>
        <v>0</v>
      </c>
      <c r="R3742" s="10">
        <f>IFERROR(IF(('Loading-truck'!$C$21)="No control",SUMIF(('Loading-truck'!$B$31:$B$48),$J3742,('Loading-truck'!$D$31:$D$48))*Impacts!$F$14,IF(('Loading-truck'!$C$21)&lt;&gt;"No control",SUMIF(('Loading-truck'!$B$31:$B$48),$J3742,('Loading-truck'!$E$31:$E$48))*Impacts!$F$14,0)),0)</f>
        <v>0</v>
      </c>
      <c r="S3742" s="10">
        <f>IFERROR(IF(('Loading-rail'!$C$21)="No control",SUMIF(('Loading-rail'!$B$31:$B$48),$J3742,('Loading-rail'!$D$31:$D$48))*Impacts!$F$15,IF(('Loading-rail'!$C$21)&lt;&gt;"No control",SUMIF(('Loading-rail'!$B$31:$B$48),$J3742,('Loading-rail'!$E$31:$E$48))*Impacts!$F$15,0)),0)</f>
        <v>0</v>
      </c>
      <c r="T3742" s="10">
        <f>IF(Flare!$C$7="",0,(SUMIF(Flare!$B$46:$B$185,$J3742,Flare!$E$46:$E$185)*Impacts!$F$16))</f>
        <v>0</v>
      </c>
      <c r="U3742" s="10">
        <f>IF(VCU!$C$9="",0,(SUMIF(VCU!$B$51:$B$193,$J3742,VCU!$E$51:$E$193)*Impacts!$F$17))</f>
        <v>0</v>
      </c>
      <c r="V3742" s="10">
        <f>IF(CAS!$C$7="",0,(SUMIF(CAS!$B$31:$B$167,$J3742,CAS!$E$31:$E$167)*Impacts!$F$18))</f>
        <v>0</v>
      </c>
      <c r="W3742" s="10">
        <f t="shared" si="99"/>
        <v>0</v>
      </c>
      <c r="AK3742" s="10" t="str">
        <f t="array" ref="AK3742">IFERROR(INDEX(SelectedSpecies,SMALL(IF(SelectedSpecies=AK$1,ROW(SelectedSpecies)),ROW(3743:3743)),2),"")</f>
        <v/>
      </c>
      <c r="BE3742" s="10"/>
      <c r="BI3742" s="10"/>
    </row>
    <row r="3743" spans="1:61" ht="21" customHeight="1" x14ac:dyDescent="0.25">
      <c r="A3743" s="10"/>
      <c r="B3743" s="10"/>
      <c r="E3743" s="10"/>
      <c r="G3743" s="10"/>
      <c r="I3743" s="436" t="s">
        <v>1815</v>
      </c>
      <c r="J3743" s="26" t="s">
        <v>1814</v>
      </c>
      <c r="K3743" s="10">
        <v>21</v>
      </c>
      <c r="L3743" s="73">
        <f>IF(Tank1!$C$23="No control",(SUMIF(Tank1!$B$32:$B$49,$J3743,Tank1!$C$32:$C$49)*Impacts!$F$8),0)</f>
        <v>0</v>
      </c>
      <c r="M3743" s="10">
        <f>IF(Tank2!$C$23="No control",(SUMIF(Tank2!$B$32:$B$49,$J3743,Tank2!$C$32:$C$49)*Impacts!$F$9),0)</f>
        <v>0</v>
      </c>
      <c r="N3743" s="10">
        <f>IF(Tank3!$C$23="No control",(SUMIF(Tank3!$B$32:$B$49,$J3743,Tank3!$C$32:$C$49)*Impacts!$F$10),0)</f>
        <v>0</v>
      </c>
      <c r="O3743" s="10">
        <f>IF(Tank4!$C$23="No control",(SUMIF(Tank4!$B$32:$B$49,$J3743,Tank4!$C$32:$C$49)*Impacts!$F$11),0)</f>
        <v>0</v>
      </c>
      <c r="P3743" s="10">
        <f>IF(Tank5!$C$23="No control",(SUMIF(Tank5!$B$32:$B$49,$J3743,Tank5!$C$32:$C$49)*Impacts!$F$12),0)</f>
        <v>0</v>
      </c>
      <c r="Q3743" s="10">
        <f>IFERROR(IF(('Loading-drum,tote'!$C$21)="No control",SUMIF(('Loading-drum,tote'!$B$31:$B$48),$J3743,('Loading-drum,tote'!$D$31:$D$48))*Impacts!$F$13,IF(('Loading-drum,tote'!$C$21)&lt;&gt;"No control",SUMIF(('Loading-drum,tote'!$B$31:$B$48),$J3743,('Loading-drum,tote'!$E$31:$E$48))*Impacts!$F$13,0)),0)</f>
        <v>0</v>
      </c>
      <c r="R3743" s="10">
        <f>IFERROR(IF(('Loading-truck'!$C$21)="No control",SUMIF(('Loading-truck'!$B$31:$B$48),$J3743,('Loading-truck'!$D$31:$D$48))*Impacts!$F$14,IF(('Loading-truck'!$C$21)&lt;&gt;"No control",SUMIF(('Loading-truck'!$B$31:$B$48),$J3743,('Loading-truck'!$E$31:$E$48))*Impacts!$F$14,0)),0)</f>
        <v>0</v>
      </c>
      <c r="S3743" s="10">
        <f>IFERROR(IF(('Loading-rail'!$C$21)="No control",SUMIF(('Loading-rail'!$B$31:$B$48),$J3743,('Loading-rail'!$D$31:$D$48))*Impacts!$F$15,IF(('Loading-rail'!$C$21)&lt;&gt;"No control",SUMIF(('Loading-rail'!$B$31:$B$48),$J3743,('Loading-rail'!$E$31:$E$48))*Impacts!$F$15,0)),0)</f>
        <v>0</v>
      </c>
      <c r="T3743" s="10">
        <f>IF(Flare!$C$7="",0,(SUMIF(Flare!$B$46:$B$185,$J3743,Flare!$E$46:$E$185)*Impacts!$F$16))</f>
        <v>0</v>
      </c>
      <c r="U3743" s="10">
        <f>IF(VCU!$C$9="",0,(SUMIF(VCU!$B$51:$B$193,$J3743,VCU!$E$51:$E$193)*Impacts!$F$17))</f>
        <v>0</v>
      </c>
      <c r="V3743" s="10">
        <f>IF(CAS!$C$7="",0,(SUMIF(CAS!$B$31:$B$167,$J3743,CAS!$E$31:$E$167)*Impacts!$F$18))</f>
        <v>0</v>
      </c>
      <c r="W3743" s="10">
        <f t="shared" si="99"/>
        <v>0</v>
      </c>
      <c r="AK3743" s="10" t="str">
        <f t="array" ref="AK3743">IFERROR(INDEX(SelectedSpecies,SMALL(IF(SelectedSpecies=AK$1,ROW(SelectedSpecies)),ROW(3744:3744)),2),"")</f>
        <v/>
      </c>
      <c r="BE3743" s="10"/>
      <c r="BI3743" s="10"/>
    </row>
    <row r="3744" spans="1:61" ht="21" customHeight="1" x14ac:dyDescent="0.25">
      <c r="A3744" s="10"/>
      <c r="B3744" s="10"/>
      <c r="E3744" s="10"/>
      <c r="G3744" s="10"/>
      <c r="I3744" s="436" t="s">
        <v>8218</v>
      </c>
      <c r="J3744" s="26" t="s">
        <v>8217</v>
      </c>
      <c r="K3744" s="10">
        <v>1.0000000000000002E-2</v>
      </c>
      <c r="L3744" s="73">
        <f>IF(Tank1!$C$23="No control",(SUMIF(Tank1!$B$32:$B$49,$J3744,Tank1!$C$32:$C$49)*Impacts!$F$8),0)</f>
        <v>0</v>
      </c>
      <c r="M3744" s="10">
        <f>IF(Tank2!$C$23="No control",(SUMIF(Tank2!$B$32:$B$49,$J3744,Tank2!$C$32:$C$49)*Impacts!$F$9),0)</f>
        <v>0</v>
      </c>
      <c r="N3744" s="10">
        <f>IF(Tank3!$C$23="No control",(SUMIF(Tank3!$B$32:$B$49,$J3744,Tank3!$C$32:$C$49)*Impacts!$F$10),0)</f>
        <v>0</v>
      </c>
      <c r="O3744" s="10">
        <f>IF(Tank4!$C$23="No control",(SUMIF(Tank4!$B$32:$B$49,$J3744,Tank4!$C$32:$C$49)*Impacts!$F$11),0)</f>
        <v>0</v>
      </c>
      <c r="P3744" s="10">
        <f>IF(Tank5!$C$23="No control",(SUMIF(Tank5!$B$32:$B$49,$J3744,Tank5!$C$32:$C$49)*Impacts!$F$12),0)</f>
        <v>0</v>
      </c>
      <c r="Q3744" s="10">
        <f>IFERROR(IF(('Loading-drum,tote'!$C$21)="No control",SUMIF(('Loading-drum,tote'!$B$31:$B$48),$J3744,('Loading-drum,tote'!$D$31:$D$48))*Impacts!$F$13,IF(('Loading-drum,tote'!$C$21)&lt;&gt;"No control",SUMIF(('Loading-drum,tote'!$B$31:$B$48),$J3744,('Loading-drum,tote'!$E$31:$E$48))*Impacts!$F$13,0)),0)</f>
        <v>0</v>
      </c>
      <c r="R3744" s="10">
        <f>IFERROR(IF(('Loading-truck'!$C$21)="No control",SUMIF(('Loading-truck'!$B$31:$B$48),$J3744,('Loading-truck'!$D$31:$D$48))*Impacts!$F$14,IF(('Loading-truck'!$C$21)&lt;&gt;"No control",SUMIF(('Loading-truck'!$B$31:$B$48),$J3744,('Loading-truck'!$E$31:$E$48))*Impacts!$F$14,0)),0)</f>
        <v>0</v>
      </c>
      <c r="S3744" s="10">
        <f>IFERROR(IF(('Loading-rail'!$C$21)="No control",SUMIF(('Loading-rail'!$B$31:$B$48),$J3744,('Loading-rail'!$D$31:$D$48))*Impacts!$F$15,IF(('Loading-rail'!$C$21)&lt;&gt;"No control",SUMIF(('Loading-rail'!$B$31:$B$48),$J3744,('Loading-rail'!$E$31:$E$48))*Impacts!$F$15,0)),0)</f>
        <v>0</v>
      </c>
      <c r="T3744" s="10">
        <f>IF(Flare!$C$7="",0,(SUMIF(Flare!$B$46:$B$185,$J3744,Flare!$E$46:$E$185)*Impacts!$F$16))</f>
        <v>0</v>
      </c>
      <c r="U3744" s="10">
        <f>IF(VCU!$C$9="",0,(SUMIF(VCU!$B$51:$B$193,$J3744,VCU!$E$51:$E$193)*Impacts!$F$17))</f>
        <v>0</v>
      </c>
      <c r="V3744" s="10">
        <f>IF(CAS!$C$7="",0,(SUMIF(CAS!$B$31:$B$167,$J3744,CAS!$E$31:$E$167)*Impacts!$F$18))</f>
        <v>0</v>
      </c>
      <c r="W3744" s="10">
        <f t="shared" si="99"/>
        <v>0</v>
      </c>
      <c r="AK3744" s="10" t="str">
        <f t="array" ref="AK3744">IFERROR(INDEX(SelectedSpecies,SMALL(IF(SelectedSpecies=AK$1,ROW(SelectedSpecies)),ROW(3745:3745)),2),"")</f>
        <v/>
      </c>
      <c r="BE3744" s="10"/>
      <c r="BI3744" s="10"/>
    </row>
    <row r="3745" spans="1:61" ht="21" customHeight="1" x14ac:dyDescent="0.25">
      <c r="A3745" s="10"/>
      <c r="B3745" s="10"/>
      <c r="E3745" s="10"/>
      <c r="G3745" s="10"/>
      <c r="I3745" s="436" t="s">
        <v>6184</v>
      </c>
      <c r="J3745" s="26" t="s">
        <v>6183</v>
      </c>
      <c r="K3745" s="10">
        <v>1</v>
      </c>
      <c r="L3745" s="73">
        <f>IF(Tank1!$C$23="No control",(SUMIF(Tank1!$B$32:$B$49,$J3745,Tank1!$C$32:$C$49)*Impacts!$F$8),0)</f>
        <v>0</v>
      </c>
      <c r="M3745" s="10">
        <f>IF(Tank2!$C$23="No control",(SUMIF(Tank2!$B$32:$B$49,$J3745,Tank2!$C$32:$C$49)*Impacts!$F$9),0)</f>
        <v>0</v>
      </c>
      <c r="N3745" s="10">
        <f>IF(Tank3!$C$23="No control",(SUMIF(Tank3!$B$32:$B$49,$J3745,Tank3!$C$32:$C$49)*Impacts!$F$10),0)</f>
        <v>0</v>
      </c>
      <c r="O3745" s="10">
        <f>IF(Tank4!$C$23="No control",(SUMIF(Tank4!$B$32:$B$49,$J3745,Tank4!$C$32:$C$49)*Impacts!$F$11),0)</f>
        <v>0</v>
      </c>
      <c r="P3745" s="10">
        <f>IF(Tank5!$C$23="No control",(SUMIF(Tank5!$B$32:$B$49,$J3745,Tank5!$C$32:$C$49)*Impacts!$F$12),0)</f>
        <v>0</v>
      </c>
      <c r="Q3745" s="10">
        <f>IFERROR(IF(('Loading-drum,tote'!$C$21)="No control",SUMIF(('Loading-drum,tote'!$B$31:$B$48),$J3745,('Loading-drum,tote'!$D$31:$D$48))*Impacts!$F$13,IF(('Loading-drum,tote'!$C$21)&lt;&gt;"No control",SUMIF(('Loading-drum,tote'!$B$31:$B$48),$J3745,('Loading-drum,tote'!$E$31:$E$48))*Impacts!$F$13,0)),0)</f>
        <v>0</v>
      </c>
      <c r="R3745" s="10">
        <f>IFERROR(IF(('Loading-truck'!$C$21)="No control",SUMIF(('Loading-truck'!$B$31:$B$48),$J3745,('Loading-truck'!$D$31:$D$48))*Impacts!$F$14,IF(('Loading-truck'!$C$21)&lt;&gt;"No control",SUMIF(('Loading-truck'!$B$31:$B$48),$J3745,('Loading-truck'!$E$31:$E$48))*Impacts!$F$14,0)),0)</f>
        <v>0</v>
      </c>
      <c r="S3745" s="10">
        <f>IFERROR(IF(('Loading-rail'!$C$21)="No control",SUMIF(('Loading-rail'!$B$31:$B$48),$J3745,('Loading-rail'!$D$31:$D$48))*Impacts!$F$15,IF(('Loading-rail'!$C$21)&lt;&gt;"No control",SUMIF(('Loading-rail'!$B$31:$B$48),$J3745,('Loading-rail'!$E$31:$E$48))*Impacts!$F$15,0)),0)</f>
        <v>0</v>
      </c>
      <c r="T3745" s="10">
        <f>IF(Flare!$C$7="",0,(SUMIF(Flare!$B$46:$B$185,$J3745,Flare!$E$46:$E$185)*Impacts!$F$16))</f>
        <v>0</v>
      </c>
      <c r="U3745" s="10">
        <f>IF(VCU!$C$9="",0,(SUMIF(VCU!$B$51:$B$193,$J3745,VCU!$E$51:$E$193)*Impacts!$F$17))</f>
        <v>0</v>
      </c>
      <c r="V3745" s="10">
        <f>IF(CAS!$C$7="",0,(SUMIF(CAS!$B$31:$B$167,$J3745,CAS!$E$31:$E$167)*Impacts!$F$18))</f>
        <v>0</v>
      </c>
      <c r="W3745" s="10">
        <f t="shared" si="99"/>
        <v>0</v>
      </c>
      <c r="AK3745" s="10" t="str">
        <f t="array" ref="AK3745">IFERROR(INDEX(SelectedSpecies,SMALL(IF(SelectedSpecies=AK$1,ROW(SelectedSpecies)),ROW(3746:3746)),2),"")</f>
        <v/>
      </c>
      <c r="BE3745" s="10"/>
      <c r="BI3745" s="10"/>
    </row>
    <row r="3746" spans="1:61" ht="21" customHeight="1" x14ac:dyDescent="0.25">
      <c r="A3746" s="10"/>
      <c r="B3746" s="10"/>
      <c r="E3746" s="10"/>
      <c r="G3746" s="10"/>
      <c r="I3746" s="436" t="s">
        <v>343</v>
      </c>
      <c r="J3746" s="26" t="s">
        <v>342</v>
      </c>
      <c r="K3746" s="10">
        <v>417</v>
      </c>
      <c r="L3746" s="73">
        <f>IF(Tank1!$C$23="No control",(SUMIF(Tank1!$B$32:$B$49,$J3746,Tank1!$C$32:$C$49)*Impacts!$F$8),0)</f>
        <v>0</v>
      </c>
      <c r="M3746" s="10">
        <f>IF(Tank2!$C$23="No control",(SUMIF(Tank2!$B$32:$B$49,$J3746,Tank2!$C$32:$C$49)*Impacts!$F$9),0)</f>
        <v>0</v>
      </c>
      <c r="N3746" s="10">
        <f>IF(Tank3!$C$23="No control",(SUMIF(Tank3!$B$32:$B$49,$J3746,Tank3!$C$32:$C$49)*Impacts!$F$10),0)</f>
        <v>0</v>
      </c>
      <c r="O3746" s="10">
        <f>IF(Tank4!$C$23="No control",(SUMIF(Tank4!$B$32:$B$49,$J3746,Tank4!$C$32:$C$49)*Impacts!$F$11),0)</f>
        <v>0</v>
      </c>
      <c r="P3746" s="10">
        <f>IF(Tank5!$C$23="No control",(SUMIF(Tank5!$B$32:$B$49,$J3746,Tank5!$C$32:$C$49)*Impacts!$F$12),0)</f>
        <v>0</v>
      </c>
      <c r="Q3746" s="10">
        <f>IFERROR(IF(('Loading-drum,tote'!$C$21)="No control",SUMIF(('Loading-drum,tote'!$B$31:$B$48),$J3746,('Loading-drum,tote'!$D$31:$D$48))*Impacts!$F$13,IF(('Loading-drum,tote'!$C$21)&lt;&gt;"No control",SUMIF(('Loading-drum,tote'!$B$31:$B$48),$J3746,('Loading-drum,tote'!$E$31:$E$48))*Impacts!$F$13,0)),0)</f>
        <v>0</v>
      </c>
      <c r="R3746" s="10">
        <f>IFERROR(IF(('Loading-truck'!$C$21)="No control",SUMIF(('Loading-truck'!$B$31:$B$48),$J3746,('Loading-truck'!$D$31:$D$48))*Impacts!$F$14,IF(('Loading-truck'!$C$21)&lt;&gt;"No control",SUMIF(('Loading-truck'!$B$31:$B$48),$J3746,('Loading-truck'!$E$31:$E$48))*Impacts!$F$14,0)),0)</f>
        <v>0</v>
      </c>
      <c r="S3746" s="10">
        <f>IFERROR(IF(('Loading-rail'!$C$21)="No control",SUMIF(('Loading-rail'!$B$31:$B$48),$J3746,('Loading-rail'!$D$31:$D$48))*Impacts!$F$15,IF(('Loading-rail'!$C$21)&lt;&gt;"No control",SUMIF(('Loading-rail'!$B$31:$B$48),$J3746,('Loading-rail'!$E$31:$E$48))*Impacts!$F$15,0)),0)</f>
        <v>0</v>
      </c>
      <c r="T3746" s="10">
        <f>IF(Flare!$C$7="",0,(SUMIF(Flare!$B$46:$B$185,$J3746,Flare!$E$46:$E$185)*Impacts!$F$16))</f>
        <v>0</v>
      </c>
      <c r="U3746" s="10">
        <f>IF(VCU!$C$9="",0,(SUMIF(VCU!$B$51:$B$193,$J3746,VCU!$E$51:$E$193)*Impacts!$F$17))</f>
        <v>0</v>
      </c>
      <c r="V3746" s="10">
        <f>IF(CAS!$C$7="",0,(SUMIF(CAS!$B$31:$B$167,$J3746,CAS!$E$31:$E$167)*Impacts!$F$18))</f>
        <v>0</v>
      </c>
      <c r="W3746" s="10">
        <f t="shared" si="99"/>
        <v>0</v>
      </c>
      <c r="AK3746" s="10" t="str">
        <f t="array" ref="AK3746">IFERROR(INDEX(SelectedSpecies,SMALL(IF(SelectedSpecies=AK$1,ROW(SelectedSpecies)),ROW(3747:3747)),2),"")</f>
        <v/>
      </c>
      <c r="BE3746" s="10"/>
      <c r="BI3746" s="10"/>
    </row>
    <row r="3747" spans="1:61" ht="21" customHeight="1" x14ac:dyDescent="0.25">
      <c r="A3747" s="10"/>
      <c r="B3747" s="10"/>
      <c r="E3747" s="10"/>
      <c r="G3747" s="10"/>
      <c r="I3747" s="436" t="s">
        <v>5245</v>
      </c>
      <c r="J3747" s="26" t="s">
        <v>5244</v>
      </c>
      <c r="K3747" s="10">
        <v>1.9000000000000001</v>
      </c>
      <c r="L3747" s="73">
        <f>IF(Tank1!$C$23="No control",(SUMIF(Tank1!$B$32:$B$49,$J3747,Tank1!$C$32:$C$49)*Impacts!$F$8),0)</f>
        <v>0</v>
      </c>
      <c r="M3747" s="10">
        <f>IF(Tank2!$C$23="No control",(SUMIF(Tank2!$B$32:$B$49,$J3747,Tank2!$C$32:$C$49)*Impacts!$F$9),0)</f>
        <v>0</v>
      </c>
      <c r="N3747" s="10">
        <f>IF(Tank3!$C$23="No control",(SUMIF(Tank3!$B$32:$B$49,$J3747,Tank3!$C$32:$C$49)*Impacts!$F$10),0)</f>
        <v>0</v>
      </c>
      <c r="O3747" s="10">
        <f>IF(Tank4!$C$23="No control",(SUMIF(Tank4!$B$32:$B$49,$J3747,Tank4!$C$32:$C$49)*Impacts!$F$11),0)</f>
        <v>0</v>
      </c>
      <c r="P3747" s="10">
        <f>IF(Tank5!$C$23="No control",(SUMIF(Tank5!$B$32:$B$49,$J3747,Tank5!$C$32:$C$49)*Impacts!$F$12),0)</f>
        <v>0</v>
      </c>
      <c r="Q3747" s="10">
        <f>IFERROR(IF(('Loading-drum,tote'!$C$21)="No control",SUMIF(('Loading-drum,tote'!$B$31:$B$48),$J3747,('Loading-drum,tote'!$D$31:$D$48))*Impacts!$F$13,IF(('Loading-drum,tote'!$C$21)&lt;&gt;"No control",SUMIF(('Loading-drum,tote'!$B$31:$B$48),$J3747,('Loading-drum,tote'!$E$31:$E$48))*Impacts!$F$13,0)),0)</f>
        <v>0</v>
      </c>
      <c r="R3747" s="10">
        <f>IFERROR(IF(('Loading-truck'!$C$21)="No control",SUMIF(('Loading-truck'!$B$31:$B$48),$J3747,('Loading-truck'!$D$31:$D$48))*Impacts!$F$14,IF(('Loading-truck'!$C$21)&lt;&gt;"No control",SUMIF(('Loading-truck'!$B$31:$B$48),$J3747,('Loading-truck'!$E$31:$E$48))*Impacts!$F$14,0)),0)</f>
        <v>0</v>
      </c>
      <c r="S3747" s="10">
        <f>IFERROR(IF(('Loading-rail'!$C$21)="No control",SUMIF(('Loading-rail'!$B$31:$B$48),$J3747,('Loading-rail'!$D$31:$D$48))*Impacts!$F$15,IF(('Loading-rail'!$C$21)&lt;&gt;"No control",SUMIF(('Loading-rail'!$B$31:$B$48),$J3747,('Loading-rail'!$E$31:$E$48))*Impacts!$F$15,0)),0)</f>
        <v>0</v>
      </c>
      <c r="T3747" s="10">
        <f>IF(Flare!$C$7="",0,(SUMIF(Flare!$B$46:$B$185,$J3747,Flare!$E$46:$E$185)*Impacts!$F$16))</f>
        <v>0</v>
      </c>
      <c r="U3747" s="10">
        <f>IF(VCU!$C$9="",0,(SUMIF(VCU!$B$51:$B$193,$J3747,VCU!$E$51:$E$193)*Impacts!$F$17))</f>
        <v>0</v>
      </c>
      <c r="V3747" s="10">
        <f>IF(CAS!$C$7="",0,(SUMIF(CAS!$B$31:$B$167,$J3747,CAS!$E$31:$E$167)*Impacts!$F$18))</f>
        <v>0</v>
      </c>
      <c r="W3747" s="10">
        <f t="shared" si="99"/>
        <v>0</v>
      </c>
      <c r="AK3747" s="10" t="str">
        <f t="array" ref="AK3747">IFERROR(INDEX(SelectedSpecies,SMALL(IF(SelectedSpecies=AK$1,ROW(SelectedSpecies)),ROW(3748:3748)),2),"")</f>
        <v/>
      </c>
      <c r="BE3747" s="10"/>
      <c r="BI3747" s="10"/>
    </row>
    <row r="3748" spans="1:61" ht="21" customHeight="1" x14ac:dyDescent="0.25">
      <c r="A3748" s="10"/>
      <c r="B3748" s="10"/>
      <c r="E3748" s="10"/>
      <c r="G3748" s="10"/>
      <c r="I3748" s="436" t="s">
        <v>7124</v>
      </c>
      <c r="J3748" s="26" t="s">
        <v>7123</v>
      </c>
      <c r="K3748" s="10">
        <v>0.4</v>
      </c>
      <c r="L3748" s="73">
        <f>IF(Tank1!$C$23="No control",(SUMIF(Tank1!$B$32:$B$49,$J3748,Tank1!$C$32:$C$49)*Impacts!$F$8),0)</f>
        <v>0</v>
      </c>
      <c r="M3748" s="10">
        <f>IF(Tank2!$C$23="No control",(SUMIF(Tank2!$B$32:$B$49,$J3748,Tank2!$C$32:$C$49)*Impacts!$F$9),0)</f>
        <v>0</v>
      </c>
      <c r="N3748" s="10">
        <f>IF(Tank3!$C$23="No control",(SUMIF(Tank3!$B$32:$B$49,$J3748,Tank3!$C$32:$C$49)*Impacts!$F$10),0)</f>
        <v>0</v>
      </c>
      <c r="O3748" s="10">
        <f>IF(Tank4!$C$23="No control",(SUMIF(Tank4!$B$32:$B$49,$J3748,Tank4!$C$32:$C$49)*Impacts!$F$11),0)</f>
        <v>0</v>
      </c>
      <c r="P3748" s="10">
        <f>IF(Tank5!$C$23="No control",(SUMIF(Tank5!$B$32:$B$49,$J3748,Tank5!$C$32:$C$49)*Impacts!$F$12),0)</f>
        <v>0</v>
      </c>
      <c r="Q3748" s="10">
        <f>IFERROR(IF(('Loading-drum,tote'!$C$21)="No control",SUMIF(('Loading-drum,tote'!$B$31:$B$48),$J3748,('Loading-drum,tote'!$D$31:$D$48))*Impacts!$F$13,IF(('Loading-drum,tote'!$C$21)&lt;&gt;"No control",SUMIF(('Loading-drum,tote'!$B$31:$B$48),$J3748,('Loading-drum,tote'!$E$31:$E$48))*Impacts!$F$13,0)),0)</f>
        <v>0</v>
      </c>
      <c r="R3748" s="10">
        <f>IFERROR(IF(('Loading-truck'!$C$21)="No control",SUMIF(('Loading-truck'!$B$31:$B$48),$J3748,('Loading-truck'!$D$31:$D$48))*Impacts!$F$14,IF(('Loading-truck'!$C$21)&lt;&gt;"No control",SUMIF(('Loading-truck'!$B$31:$B$48),$J3748,('Loading-truck'!$E$31:$E$48))*Impacts!$F$14,0)),0)</f>
        <v>0</v>
      </c>
      <c r="S3748" s="10">
        <f>IFERROR(IF(('Loading-rail'!$C$21)="No control",SUMIF(('Loading-rail'!$B$31:$B$48),$J3748,('Loading-rail'!$D$31:$D$48))*Impacts!$F$15,IF(('Loading-rail'!$C$21)&lt;&gt;"No control",SUMIF(('Loading-rail'!$B$31:$B$48),$J3748,('Loading-rail'!$E$31:$E$48))*Impacts!$F$15,0)),0)</f>
        <v>0</v>
      </c>
      <c r="T3748" s="10">
        <f>IF(Flare!$C$7="",0,(SUMIF(Flare!$B$46:$B$185,$J3748,Flare!$E$46:$E$185)*Impacts!$F$16))</f>
        <v>0</v>
      </c>
      <c r="U3748" s="10">
        <f>IF(VCU!$C$9="",0,(SUMIF(VCU!$B$51:$B$193,$J3748,VCU!$E$51:$E$193)*Impacts!$F$17))</f>
        <v>0</v>
      </c>
      <c r="V3748" s="10">
        <f>IF(CAS!$C$7="",0,(SUMIF(CAS!$B$31:$B$167,$J3748,CAS!$E$31:$E$167)*Impacts!$F$18))</f>
        <v>0</v>
      </c>
      <c r="W3748" s="10">
        <f t="shared" si="99"/>
        <v>0</v>
      </c>
      <c r="AK3748" s="10" t="str">
        <f t="array" ref="AK3748">IFERROR(INDEX(SelectedSpecies,SMALL(IF(SelectedSpecies=AK$1,ROW(SelectedSpecies)),ROW(3749:3749)),2),"")</f>
        <v/>
      </c>
      <c r="BE3748" s="10"/>
      <c r="BI3748" s="10"/>
    </row>
    <row r="3749" spans="1:61" ht="21" customHeight="1" x14ac:dyDescent="0.25">
      <c r="A3749" s="10"/>
      <c r="B3749" s="10"/>
      <c r="E3749" s="10"/>
      <c r="G3749" s="10"/>
      <c r="I3749" s="436" t="s">
        <v>3567</v>
      </c>
      <c r="J3749" s="26" t="s">
        <v>3566</v>
      </c>
      <c r="K3749" s="10">
        <v>8.3000000000000007</v>
      </c>
      <c r="L3749" s="73">
        <f>IF(Tank1!$C$23="No control",(SUMIF(Tank1!$B$32:$B$49,$J3749,Tank1!$C$32:$C$49)*Impacts!$F$8),0)</f>
        <v>0</v>
      </c>
      <c r="M3749" s="10">
        <f>IF(Tank2!$C$23="No control",(SUMIF(Tank2!$B$32:$B$49,$J3749,Tank2!$C$32:$C$49)*Impacts!$F$9),0)</f>
        <v>0</v>
      </c>
      <c r="N3749" s="10">
        <f>IF(Tank3!$C$23="No control",(SUMIF(Tank3!$B$32:$B$49,$J3749,Tank3!$C$32:$C$49)*Impacts!$F$10),0)</f>
        <v>0</v>
      </c>
      <c r="O3749" s="10">
        <f>IF(Tank4!$C$23="No control",(SUMIF(Tank4!$B$32:$B$49,$J3749,Tank4!$C$32:$C$49)*Impacts!$F$11),0)</f>
        <v>0</v>
      </c>
      <c r="P3749" s="10">
        <f>IF(Tank5!$C$23="No control",(SUMIF(Tank5!$B$32:$B$49,$J3749,Tank5!$C$32:$C$49)*Impacts!$F$12),0)</f>
        <v>0</v>
      </c>
      <c r="Q3749" s="10">
        <f>IFERROR(IF(('Loading-drum,tote'!$C$21)="No control",SUMIF(('Loading-drum,tote'!$B$31:$B$48),$J3749,('Loading-drum,tote'!$D$31:$D$48))*Impacts!$F$13,IF(('Loading-drum,tote'!$C$21)&lt;&gt;"No control",SUMIF(('Loading-drum,tote'!$B$31:$B$48),$J3749,('Loading-drum,tote'!$E$31:$E$48))*Impacts!$F$13,0)),0)</f>
        <v>0</v>
      </c>
      <c r="R3749" s="10">
        <f>IFERROR(IF(('Loading-truck'!$C$21)="No control",SUMIF(('Loading-truck'!$B$31:$B$48),$J3749,('Loading-truck'!$D$31:$D$48))*Impacts!$F$14,IF(('Loading-truck'!$C$21)&lt;&gt;"No control",SUMIF(('Loading-truck'!$B$31:$B$48),$J3749,('Loading-truck'!$E$31:$E$48))*Impacts!$F$14,0)),0)</f>
        <v>0</v>
      </c>
      <c r="S3749" s="10">
        <f>IFERROR(IF(('Loading-rail'!$C$21)="No control",SUMIF(('Loading-rail'!$B$31:$B$48),$J3749,('Loading-rail'!$D$31:$D$48))*Impacts!$F$15,IF(('Loading-rail'!$C$21)&lt;&gt;"No control",SUMIF(('Loading-rail'!$B$31:$B$48),$J3749,('Loading-rail'!$E$31:$E$48))*Impacts!$F$15,0)),0)</f>
        <v>0</v>
      </c>
      <c r="T3749" s="10">
        <f>IF(Flare!$C$7="",0,(SUMIF(Flare!$B$46:$B$185,$J3749,Flare!$E$46:$E$185)*Impacts!$F$16))</f>
        <v>0</v>
      </c>
      <c r="U3749" s="10">
        <f>IF(VCU!$C$9="",0,(SUMIF(VCU!$B$51:$B$193,$J3749,VCU!$E$51:$E$193)*Impacts!$F$17))</f>
        <v>0</v>
      </c>
      <c r="V3749" s="10">
        <f>IF(CAS!$C$7="",0,(SUMIF(CAS!$B$31:$B$167,$J3749,CAS!$E$31:$E$167)*Impacts!$F$18))</f>
        <v>0</v>
      </c>
      <c r="W3749" s="10">
        <f t="shared" si="99"/>
        <v>0</v>
      </c>
      <c r="AK3749" s="10" t="str">
        <f t="array" ref="AK3749">IFERROR(INDEX(SelectedSpecies,SMALL(IF(SelectedSpecies=AK$1,ROW(SelectedSpecies)),ROW(3750:3750)),2),"")</f>
        <v/>
      </c>
      <c r="BE3749" s="10"/>
      <c r="BI3749" s="10"/>
    </row>
    <row r="3750" spans="1:61" ht="21" customHeight="1" x14ac:dyDescent="0.25">
      <c r="A3750" s="10"/>
      <c r="B3750" s="10"/>
      <c r="E3750" s="10"/>
      <c r="G3750" s="10"/>
      <c r="I3750" s="436" t="s">
        <v>4039</v>
      </c>
      <c r="J3750" s="26" t="s">
        <v>4038</v>
      </c>
      <c r="K3750" s="10">
        <v>6</v>
      </c>
      <c r="L3750" s="73">
        <f>IF(Tank1!$C$23="No control",(SUMIF(Tank1!$B$32:$B$49,$J3750,Tank1!$C$32:$C$49)*Impacts!$F$8),0)</f>
        <v>0</v>
      </c>
      <c r="M3750" s="10">
        <f>IF(Tank2!$C$23="No control",(SUMIF(Tank2!$B$32:$B$49,$J3750,Tank2!$C$32:$C$49)*Impacts!$F$9),0)</f>
        <v>0</v>
      </c>
      <c r="N3750" s="10">
        <f>IF(Tank3!$C$23="No control",(SUMIF(Tank3!$B$32:$B$49,$J3750,Tank3!$C$32:$C$49)*Impacts!$F$10),0)</f>
        <v>0</v>
      </c>
      <c r="O3750" s="10">
        <f>IF(Tank4!$C$23="No control",(SUMIF(Tank4!$B$32:$B$49,$J3750,Tank4!$C$32:$C$49)*Impacts!$F$11),0)</f>
        <v>0</v>
      </c>
      <c r="P3750" s="10">
        <f>IF(Tank5!$C$23="No control",(SUMIF(Tank5!$B$32:$B$49,$J3750,Tank5!$C$32:$C$49)*Impacts!$F$12),0)</f>
        <v>0</v>
      </c>
      <c r="Q3750" s="10">
        <f>IFERROR(IF(('Loading-drum,tote'!$C$21)="No control",SUMIF(('Loading-drum,tote'!$B$31:$B$48),$J3750,('Loading-drum,tote'!$D$31:$D$48))*Impacts!$F$13,IF(('Loading-drum,tote'!$C$21)&lt;&gt;"No control",SUMIF(('Loading-drum,tote'!$B$31:$B$48),$J3750,('Loading-drum,tote'!$E$31:$E$48))*Impacts!$F$13,0)),0)</f>
        <v>0</v>
      </c>
      <c r="R3750" s="10">
        <f>IFERROR(IF(('Loading-truck'!$C$21)="No control",SUMIF(('Loading-truck'!$B$31:$B$48),$J3750,('Loading-truck'!$D$31:$D$48))*Impacts!$F$14,IF(('Loading-truck'!$C$21)&lt;&gt;"No control",SUMIF(('Loading-truck'!$B$31:$B$48),$J3750,('Loading-truck'!$E$31:$E$48))*Impacts!$F$14,0)),0)</f>
        <v>0</v>
      </c>
      <c r="S3750" s="10">
        <f>IFERROR(IF(('Loading-rail'!$C$21)="No control",SUMIF(('Loading-rail'!$B$31:$B$48),$J3750,('Loading-rail'!$D$31:$D$48))*Impacts!$F$15,IF(('Loading-rail'!$C$21)&lt;&gt;"No control",SUMIF(('Loading-rail'!$B$31:$B$48),$J3750,('Loading-rail'!$E$31:$E$48))*Impacts!$F$15,0)),0)</f>
        <v>0</v>
      </c>
      <c r="T3750" s="10">
        <f>IF(Flare!$C$7="",0,(SUMIF(Flare!$B$46:$B$185,$J3750,Flare!$E$46:$E$185)*Impacts!$F$16))</f>
        <v>0</v>
      </c>
      <c r="U3750" s="10">
        <f>IF(VCU!$C$9="",0,(SUMIF(VCU!$B$51:$B$193,$J3750,VCU!$E$51:$E$193)*Impacts!$F$17))</f>
        <v>0</v>
      </c>
      <c r="V3750" s="10">
        <f>IF(CAS!$C$7="",0,(SUMIF(CAS!$B$31:$B$167,$J3750,CAS!$E$31:$E$167)*Impacts!$F$18))</f>
        <v>0</v>
      </c>
      <c r="W3750" s="10">
        <f t="shared" si="99"/>
        <v>0</v>
      </c>
      <c r="AK3750" s="10" t="str">
        <f t="array" ref="AK3750">IFERROR(INDEX(SelectedSpecies,SMALL(IF(SelectedSpecies=AK$1,ROW(SelectedSpecies)),ROW(3751:3751)),2),"")</f>
        <v/>
      </c>
      <c r="BE3750" s="10"/>
      <c r="BI3750" s="10"/>
    </row>
    <row r="3751" spans="1:61" ht="21" customHeight="1" x14ac:dyDescent="0.25">
      <c r="A3751" s="10"/>
      <c r="B3751" s="10"/>
      <c r="E3751" s="10"/>
      <c r="G3751" s="10"/>
      <c r="I3751" s="436" t="s">
        <v>6354</v>
      </c>
      <c r="J3751" s="26" t="s">
        <v>6353</v>
      </c>
      <c r="K3751" s="10">
        <v>0.87</v>
      </c>
      <c r="L3751" s="73">
        <f>IF(Tank1!$C$23="No control",(SUMIF(Tank1!$B$32:$B$49,$J3751,Tank1!$C$32:$C$49)*Impacts!$F$8),0)</f>
        <v>0</v>
      </c>
      <c r="M3751" s="10">
        <f>IF(Tank2!$C$23="No control",(SUMIF(Tank2!$B$32:$B$49,$J3751,Tank2!$C$32:$C$49)*Impacts!$F$9),0)</f>
        <v>0</v>
      </c>
      <c r="N3751" s="10">
        <f>IF(Tank3!$C$23="No control",(SUMIF(Tank3!$B$32:$B$49,$J3751,Tank3!$C$32:$C$49)*Impacts!$F$10),0)</f>
        <v>0</v>
      </c>
      <c r="O3751" s="10">
        <f>IF(Tank4!$C$23="No control",(SUMIF(Tank4!$B$32:$B$49,$J3751,Tank4!$C$32:$C$49)*Impacts!$F$11),0)</f>
        <v>0</v>
      </c>
      <c r="P3751" s="10">
        <f>IF(Tank5!$C$23="No control",(SUMIF(Tank5!$B$32:$B$49,$J3751,Tank5!$C$32:$C$49)*Impacts!$F$12),0)</f>
        <v>0</v>
      </c>
      <c r="Q3751" s="10">
        <f>IFERROR(IF(('Loading-drum,tote'!$C$21)="No control",SUMIF(('Loading-drum,tote'!$B$31:$B$48),$J3751,('Loading-drum,tote'!$D$31:$D$48))*Impacts!$F$13,IF(('Loading-drum,tote'!$C$21)&lt;&gt;"No control",SUMIF(('Loading-drum,tote'!$B$31:$B$48),$J3751,('Loading-drum,tote'!$E$31:$E$48))*Impacts!$F$13,0)),0)</f>
        <v>0</v>
      </c>
      <c r="R3751" s="10">
        <f>IFERROR(IF(('Loading-truck'!$C$21)="No control",SUMIF(('Loading-truck'!$B$31:$B$48),$J3751,('Loading-truck'!$D$31:$D$48))*Impacts!$F$14,IF(('Loading-truck'!$C$21)&lt;&gt;"No control",SUMIF(('Loading-truck'!$B$31:$B$48),$J3751,('Loading-truck'!$E$31:$E$48))*Impacts!$F$14,0)),0)</f>
        <v>0</v>
      </c>
      <c r="S3751" s="10">
        <f>IFERROR(IF(('Loading-rail'!$C$21)="No control",SUMIF(('Loading-rail'!$B$31:$B$48),$J3751,('Loading-rail'!$D$31:$D$48))*Impacts!$F$15,IF(('Loading-rail'!$C$21)&lt;&gt;"No control",SUMIF(('Loading-rail'!$B$31:$B$48),$J3751,('Loading-rail'!$E$31:$E$48))*Impacts!$F$15,0)),0)</f>
        <v>0</v>
      </c>
      <c r="T3751" s="10">
        <f>IF(Flare!$C$7="",0,(SUMIF(Flare!$B$46:$B$185,$J3751,Flare!$E$46:$E$185)*Impacts!$F$16))</f>
        <v>0</v>
      </c>
      <c r="U3751" s="10">
        <f>IF(VCU!$C$9="",0,(SUMIF(VCU!$B$51:$B$193,$J3751,VCU!$E$51:$E$193)*Impacts!$F$17))</f>
        <v>0</v>
      </c>
      <c r="V3751" s="10">
        <f>IF(CAS!$C$7="",0,(SUMIF(CAS!$B$31:$B$167,$J3751,CAS!$E$31:$E$167)*Impacts!$F$18))</f>
        <v>0</v>
      </c>
      <c r="W3751" s="10">
        <f t="shared" si="99"/>
        <v>0</v>
      </c>
      <c r="AK3751" s="10" t="str">
        <f t="array" ref="AK3751">IFERROR(INDEX(SelectedSpecies,SMALL(IF(SelectedSpecies=AK$1,ROW(SelectedSpecies)),ROW(3752:3752)),2),"")</f>
        <v/>
      </c>
      <c r="BE3751" s="10"/>
      <c r="BI3751" s="10"/>
    </row>
    <row r="3752" spans="1:61" ht="21" customHeight="1" x14ac:dyDescent="0.25">
      <c r="A3752" s="10"/>
      <c r="B3752" s="10"/>
      <c r="E3752" s="10"/>
      <c r="G3752" s="10"/>
      <c r="I3752" s="436" t="s">
        <v>5333</v>
      </c>
      <c r="J3752" s="26" t="s">
        <v>5332</v>
      </c>
      <c r="K3752" s="10">
        <v>1.7000000000000002</v>
      </c>
      <c r="L3752" s="73">
        <f>IF(Tank1!$C$23="No control",(SUMIF(Tank1!$B$32:$B$49,$J3752,Tank1!$C$32:$C$49)*Impacts!$F$8),0)</f>
        <v>0</v>
      </c>
      <c r="M3752" s="10">
        <f>IF(Tank2!$C$23="No control",(SUMIF(Tank2!$B$32:$B$49,$J3752,Tank2!$C$32:$C$49)*Impacts!$F$9),0)</f>
        <v>0</v>
      </c>
      <c r="N3752" s="10">
        <f>IF(Tank3!$C$23="No control",(SUMIF(Tank3!$B$32:$B$49,$J3752,Tank3!$C$32:$C$49)*Impacts!$F$10),0)</f>
        <v>0</v>
      </c>
      <c r="O3752" s="10">
        <f>IF(Tank4!$C$23="No control",(SUMIF(Tank4!$B$32:$B$49,$J3752,Tank4!$C$32:$C$49)*Impacts!$F$11),0)</f>
        <v>0</v>
      </c>
      <c r="P3752" s="10">
        <f>IF(Tank5!$C$23="No control",(SUMIF(Tank5!$B$32:$B$49,$J3752,Tank5!$C$32:$C$49)*Impacts!$F$12),0)</f>
        <v>0</v>
      </c>
      <c r="Q3752" s="10">
        <f>IFERROR(IF(('Loading-drum,tote'!$C$21)="No control",SUMIF(('Loading-drum,tote'!$B$31:$B$48),$J3752,('Loading-drum,tote'!$D$31:$D$48))*Impacts!$F$13,IF(('Loading-drum,tote'!$C$21)&lt;&gt;"No control",SUMIF(('Loading-drum,tote'!$B$31:$B$48),$J3752,('Loading-drum,tote'!$E$31:$E$48))*Impacts!$F$13,0)),0)</f>
        <v>0</v>
      </c>
      <c r="R3752" s="10">
        <f>IFERROR(IF(('Loading-truck'!$C$21)="No control",SUMIF(('Loading-truck'!$B$31:$B$48),$J3752,('Loading-truck'!$D$31:$D$48))*Impacts!$F$14,IF(('Loading-truck'!$C$21)&lt;&gt;"No control",SUMIF(('Loading-truck'!$B$31:$B$48),$J3752,('Loading-truck'!$E$31:$E$48))*Impacts!$F$14,0)),0)</f>
        <v>0</v>
      </c>
      <c r="S3752" s="10">
        <f>IFERROR(IF(('Loading-rail'!$C$21)="No control",SUMIF(('Loading-rail'!$B$31:$B$48),$J3752,('Loading-rail'!$D$31:$D$48))*Impacts!$F$15,IF(('Loading-rail'!$C$21)&lt;&gt;"No control",SUMIF(('Loading-rail'!$B$31:$B$48),$J3752,('Loading-rail'!$E$31:$E$48))*Impacts!$F$15,0)),0)</f>
        <v>0</v>
      </c>
      <c r="T3752" s="10">
        <f>IF(Flare!$C$7="",0,(SUMIF(Flare!$B$46:$B$185,$J3752,Flare!$E$46:$E$185)*Impacts!$F$16))</f>
        <v>0</v>
      </c>
      <c r="U3752" s="10">
        <f>IF(VCU!$C$9="",0,(SUMIF(VCU!$B$51:$B$193,$J3752,VCU!$E$51:$E$193)*Impacts!$F$17))</f>
        <v>0</v>
      </c>
      <c r="V3752" s="10">
        <f>IF(CAS!$C$7="",0,(SUMIF(CAS!$B$31:$B$167,$J3752,CAS!$E$31:$E$167)*Impacts!$F$18))</f>
        <v>0</v>
      </c>
      <c r="W3752" s="10">
        <f t="shared" si="99"/>
        <v>0</v>
      </c>
      <c r="AK3752" s="10" t="str">
        <f t="array" ref="AK3752">IFERROR(INDEX(SelectedSpecies,SMALL(IF(SelectedSpecies=AK$1,ROW(SelectedSpecies)),ROW(3753:3753)),2),"")</f>
        <v/>
      </c>
      <c r="BE3752" s="10"/>
      <c r="BI3752" s="10"/>
    </row>
    <row r="3753" spans="1:61" ht="21" customHeight="1" x14ac:dyDescent="0.25">
      <c r="A3753" s="10"/>
      <c r="B3753" s="10"/>
      <c r="E3753" s="10"/>
      <c r="G3753" s="10"/>
      <c r="I3753" s="436" t="s">
        <v>2643</v>
      </c>
      <c r="J3753" s="26" t="s">
        <v>2642</v>
      </c>
      <c r="K3753" s="10">
        <v>10</v>
      </c>
      <c r="L3753" s="73">
        <f>IF(Tank1!$C$23="No control",(SUMIF(Tank1!$B$32:$B$49,$J3753,Tank1!$C$32:$C$49)*Impacts!$F$8),0)</f>
        <v>0</v>
      </c>
      <c r="M3753" s="10">
        <f>IF(Tank2!$C$23="No control",(SUMIF(Tank2!$B$32:$B$49,$J3753,Tank2!$C$32:$C$49)*Impacts!$F$9),0)</f>
        <v>0</v>
      </c>
      <c r="N3753" s="10">
        <f>IF(Tank3!$C$23="No control",(SUMIF(Tank3!$B$32:$B$49,$J3753,Tank3!$C$32:$C$49)*Impacts!$F$10),0)</f>
        <v>0</v>
      </c>
      <c r="O3753" s="10">
        <f>IF(Tank4!$C$23="No control",(SUMIF(Tank4!$B$32:$B$49,$J3753,Tank4!$C$32:$C$49)*Impacts!$F$11),0)</f>
        <v>0</v>
      </c>
      <c r="P3753" s="10">
        <f>IF(Tank5!$C$23="No control",(SUMIF(Tank5!$B$32:$B$49,$J3753,Tank5!$C$32:$C$49)*Impacts!$F$12),0)</f>
        <v>0</v>
      </c>
      <c r="Q3753" s="10">
        <f>IFERROR(IF(('Loading-drum,tote'!$C$21)="No control",SUMIF(('Loading-drum,tote'!$B$31:$B$48),$J3753,('Loading-drum,tote'!$D$31:$D$48))*Impacts!$F$13,IF(('Loading-drum,tote'!$C$21)&lt;&gt;"No control",SUMIF(('Loading-drum,tote'!$B$31:$B$48),$J3753,('Loading-drum,tote'!$E$31:$E$48))*Impacts!$F$13,0)),0)</f>
        <v>0</v>
      </c>
      <c r="R3753" s="10">
        <f>IFERROR(IF(('Loading-truck'!$C$21)="No control",SUMIF(('Loading-truck'!$B$31:$B$48),$J3753,('Loading-truck'!$D$31:$D$48))*Impacts!$F$14,IF(('Loading-truck'!$C$21)&lt;&gt;"No control",SUMIF(('Loading-truck'!$B$31:$B$48),$J3753,('Loading-truck'!$E$31:$E$48))*Impacts!$F$14,0)),0)</f>
        <v>0</v>
      </c>
      <c r="S3753" s="10">
        <f>IFERROR(IF(('Loading-rail'!$C$21)="No control",SUMIF(('Loading-rail'!$B$31:$B$48),$J3753,('Loading-rail'!$D$31:$D$48))*Impacts!$F$15,IF(('Loading-rail'!$C$21)&lt;&gt;"No control",SUMIF(('Loading-rail'!$B$31:$B$48),$J3753,('Loading-rail'!$E$31:$E$48))*Impacts!$F$15,0)),0)</f>
        <v>0</v>
      </c>
      <c r="T3753" s="10">
        <f>IF(Flare!$C$7="",0,(SUMIF(Flare!$B$46:$B$185,$J3753,Flare!$E$46:$E$185)*Impacts!$F$16))</f>
        <v>0</v>
      </c>
      <c r="U3753" s="10">
        <f>IF(VCU!$C$9="",0,(SUMIF(VCU!$B$51:$B$193,$J3753,VCU!$E$51:$E$193)*Impacts!$F$17))</f>
        <v>0</v>
      </c>
      <c r="V3753" s="10">
        <f>IF(CAS!$C$7="",0,(SUMIF(CAS!$B$31:$B$167,$J3753,CAS!$E$31:$E$167)*Impacts!$F$18))</f>
        <v>0</v>
      </c>
      <c r="W3753" s="10">
        <f t="shared" si="99"/>
        <v>0</v>
      </c>
      <c r="AK3753" s="10" t="str">
        <f t="array" ref="AK3753">IFERROR(INDEX(SelectedSpecies,SMALL(IF(SelectedSpecies=AK$1,ROW(SelectedSpecies)),ROW(3754:3754)),2),"")</f>
        <v/>
      </c>
      <c r="BE3753" s="10"/>
      <c r="BI3753" s="10"/>
    </row>
    <row r="3754" spans="1:61" ht="21" customHeight="1" x14ac:dyDescent="0.25">
      <c r="A3754" s="10"/>
      <c r="B3754" s="10"/>
      <c r="E3754" s="10"/>
      <c r="G3754" s="10"/>
      <c r="I3754" s="436" t="s">
        <v>754</v>
      </c>
      <c r="J3754" s="26" t="s">
        <v>753</v>
      </c>
      <c r="K3754" s="10">
        <v>57</v>
      </c>
      <c r="L3754" s="73">
        <f>IF(Tank1!$C$23="No control",(SUMIF(Tank1!$B$32:$B$49,$J3754,Tank1!$C$32:$C$49)*Impacts!$F$8),0)</f>
        <v>0</v>
      </c>
      <c r="M3754" s="10">
        <f>IF(Tank2!$C$23="No control",(SUMIF(Tank2!$B$32:$B$49,$J3754,Tank2!$C$32:$C$49)*Impacts!$F$9),0)</f>
        <v>0</v>
      </c>
      <c r="N3754" s="10">
        <f>IF(Tank3!$C$23="No control",(SUMIF(Tank3!$B$32:$B$49,$J3754,Tank3!$C$32:$C$49)*Impacts!$F$10),0)</f>
        <v>0</v>
      </c>
      <c r="O3754" s="10">
        <f>IF(Tank4!$C$23="No control",(SUMIF(Tank4!$B$32:$B$49,$J3754,Tank4!$C$32:$C$49)*Impacts!$F$11),0)</f>
        <v>0</v>
      </c>
      <c r="P3754" s="10">
        <f>IF(Tank5!$C$23="No control",(SUMIF(Tank5!$B$32:$B$49,$J3754,Tank5!$C$32:$C$49)*Impacts!$F$12),0)</f>
        <v>0</v>
      </c>
      <c r="Q3754" s="10">
        <f>IFERROR(IF(('Loading-drum,tote'!$C$21)="No control",SUMIF(('Loading-drum,tote'!$B$31:$B$48),$J3754,('Loading-drum,tote'!$D$31:$D$48))*Impacts!$F$13,IF(('Loading-drum,tote'!$C$21)&lt;&gt;"No control",SUMIF(('Loading-drum,tote'!$B$31:$B$48),$J3754,('Loading-drum,tote'!$E$31:$E$48))*Impacts!$F$13,0)),0)</f>
        <v>0</v>
      </c>
      <c r="R3754" s="10">
        <f>IFERROR(IF(('Loading-truck'!$C$21)="No control",SUMIF(('Loading-truck'!$B$31:$B$48),$J3754,('Loading-truck'!$D$31:$D$48))*Impacts!$F$14,IF(('Loading-truck'!$C$21)&lt;&gt;"No control",SUMIF(('Loading-truck'!$B$31:$B$48),$J3754,('Loading-truck'!$E$31:$E$48))*Impacts!$F$14,0)),0)</f>
        <v>0</v>
      </c>
      <c r="S3754" s="10">
        <f>IFERROR(IF(('Loading-rail'!$C$21)="No control",SUMIF(('Loading-rail'!$B$31:$B$48),$J3754,('Loading-rail'!$D$31:$D$48))*Impacts!$F$15,IF(('Loading-rail'!$C$21)&lt;&gt;"No control",SUMIF(('Loading-rail'!$B$31:$B$48),$J3754,('Loading-rail'!$E$31:$E$48))*Impacts!$F$15,0)),0)</f>
        <v>0</v>
      </c>
      <c r="T3754" s="10">
        <f>IF(Flare!$C$7="",0,(SUMIF(Flare!$B$46:$B$185,$J3754,Flare!$E$46:$E$185)*Impacts!$F$16))</f>
        <v>0</v>
      </c>
      <c r="U3754" s="10">
        <f>IF(VCU!$C$9="",0,(SUMIF(VCU!$B$51:$B$193,$J3754,VCU!$E$51:$E$193)*Impacts!$F$17))</f>
        <v>0</v>
      </c>
      <c r="V3754" s="10">
        <f>IF(CAS!$C$7="",0,(SUMIF(CAS!$B$31:$B$167,$J3754,CAS!$E$31:$E$167)*Impacts!$F$18))</f>
        <v>0</v>
      </c>
      <c r="W3754" s="10">
        <f t="shared" si="99"/>
        <v>0</v>
      </c>
      <c r="AK3754" s="10" t="str">
        <f t="array" ref="AK3754">IFERROR(INDEX(SelectedSpecies,SMALL(IF(SelectedSpecies=AK$1,ROW(SelectedSpecies)),ROW(3755:3755)),2),"")</f>
        <v/>
      </c>
      <c r="BE3754" s="10"/>
      <c r="BI3754" s="10"/>
    </row>
    <row r="3755" spans="1:61" ht="21" customHeight="1" x14ac:dyDescent="0.25">
      <c r="A3755" s="10"/>
      <c r="B3755" s="10"/>
      <c r="E3755" s="10"/>
      <c r="G3755" s="10"/>
      <c r="I3755" s="436" t="s">
        <v>8220</v>
      </c>
      <c r="J3755" s="26" t="s">
        <v>8219</v>
      </c>
      <c r="K3755" s="10">
        <v>6.3E-3</v>
      </c>
      <c r="L3755" s="73">
        <f>IF(Tank1!$C$23="No control",(SUMIF(Tank1!$B$32:$B$49,$J3755,Tank1!$C$32:$C$49)*Impacts!$F$8),0)</f>
        <v>0</v>
      </c>
      <c r="M3755" s="10">
        <f>IF(Tank2!$C$23="No control",(SUMIF(Tank2!$B$32:$B$49,$J3755,Tank2!$C$32:$C$49)*Impacts!$F$9),0)</f>
        <v>0</v>
      </c>
      <c r="N3755" s="10">
        <f>IF(Tank3!$C$23="No control",(SUMIF(Tank3!$B$32:$B$49,$J3755,Tank3!$C$32:$C$49)*Impacts!$F$10),0)</f>
        <v>0</v>
      </c>
      <c r="O3755" s="10">
        <f>IF(Tank4!$C$23="No control",(SUMIF(Tank4!$B$32:$B$49,$J3755,Tank4!$C$32:$C$49)*Impacts!$F$11),0)</f>
        <v>0</v>
      </c>
      <c r="P3755" s="10">
        <f>IF(Tank5!$C$23="No control",(SUMIF(Tank5!$B$32:$B$49,$J3755,Tank5!$C$32:$C$49)*Impacts!$F$12),0)</f>
        <v>0</v>
      </c>
      <c r="Q3755" s="10">
        <f>IFERROR(IF(('Loading-drum,tote'!$C$21)="No control",SUMIF(('Loading-drum,tote'!$B$31:$B$48),$J3755,('Loading-drum,tote'!$D$31:$D$48))*Impacts!$F$13,IF(('Loading-drum,tote'!$C$21)&lt;&gt;"No control",SUMIF(('Loading-drum,tote'!$B$31:$B$48),$J3755,('Loading-drum,tote'!$E$31:$E$48))*Impacts!$F$13,0)),0)</f>
        <v>0</v>
      </c>
      <c r="R3755" s="10">
        <f>IFERROR(IF(('Loading-truck'!$C$21)="No control",SUMIF(('Loading-truck'!$B$31:$B$48),$J3755,('Loading-truck'!$D$31:$D$48))*Impacts!$F$14,IF(('Loading-truck'!$C$21)&lt;&gt;"No control",SUMIF(('Loading-truck'!$B$31:$B$48),$J3755,('Loading-truck'!$E$31:$E$48))*Impacts!$F$14,0)),0)</f>
        <v>0</v>
      </c>
      <c r="S3755" s="10">
        <f>IFERROR(IF(('Loading-rail'!$C$21)="No control",SUMIF(('Loading-rail'!$B$31:$B$48),$J3755,('Loading-rail'!$D$31:$D$48))*Impacts!$F$15,IF(('Loading-rail'!$C$21)&lt;&gt;"No control",SUMIF(('Loading-rail'!$B$31:$B$48),$J3755,('Loading-rail'!$E$31:$E$48))*Impacts!$F$15,0)),0)</f>
        <v>0</v>
      </c>
      <c r="T3755" s="10">
        <f>IF(Flare!$C$7="",0,(SUMIF(Flare!$B$46:$B$185,$J3755,Flare!$E$46:$E$185)*Impacts!$F$16))</f>
        <v>0</v>
      </c>
      <c r="U3755" s="10">
        <f>IF(VCU!$C$9="",0,(SUMIF(VCU!$B$51:$B$193,$J3755,VCU!$E$51:$E$193)*Impacts!$F$17))</f>
        <v>0</v>
      </c>
      <c r="V3755" s="10">
        <f>IF(CAS!$C$7="",0,(SUMIF(CAS!$B$31:$B$167,$J3755,CAS!$E$31:$E$167)*Impacts!$F$18))</f>
        <v>0</v>
      </c>
      <c r="W3755" s="10">
        <f t="shared" si="99"/>
        <v>0</v>
      </c>
      <c r="AK3755" s="10" t="str">
        <f t="array" ref="AK3755">IFERROR(INDEX(SelectedSpecies,SMALL(IF(SelectedSpecies=AK$1,ROW(SelectedSpecies)),ROW(3756:3756)),2),"")</f>
        <v/>
      </c>
      <c r="BE3755" s="10"/>
      <c r="BI3755" s="10"/>
    </row>
    <row r="3756" spans="1:61" ht="21" customHeight="1" x14ac:dyDescent="0.25">
      <c r="A3756" s="10"/>
      <c r="B3756" s="10"/>
      <c r="E3756" s="10"/>
      <c r="G3756" s="10"/>
      <c r="I3756" s="436" t="s">
        <v>5473</v>
      </c>
      <c r="J3756" s="26" t="s">
        <v>5472</v>
      </c>
      <c r="K3756" s="10">
        <v>1.4000000000000001</v>
      </c>
      <c r="L3756" s="73">
        <f>IF(Tank1!$C$23="No control",(SUMIF(Tank1!$B$32:$B$49,$J3756,Tank1!$C$32:$C$49)*Impacts!$F$8),0)</f>
        <v>0</v>
      </c>
      <c r="M3756" s="10">
        <f>IF(Tank2!$C$23="No control",(SUMIF(Tank2!$B$32:$B$49,$J3756,Tank2!$C$32:$C$49)*Impacts!$F$9),0)</f>
        <v>0</v>
      </c>
      <c r="N3756" s="10">
        <f>IF(Tank3!$C$23="No control",(SUMIF(Tank3!$B$32:$B$49,$J3756,Tank3!$C$32:$C$49)*Impacts!$F$10),0)</f>
        <v>0</v>
      </c>
      <c r="O3756" s="10">
        <f>IF(Tank4!$C$23="No control",(SUMIF(Tank4!$B$32:$B$49,$J3756,Tank4!$C$32:$C$49)*Impacts!$F$11),0)</f>
        <v>0</v>
      </c>
      <c r="P3756" s="10">
        <f>IF(Tank5!$C$23="No control",(SUMIF(Tank5!$B$32:$B$49,$J3756,Tank5!$C$32:$C$49)*Impacts!$F$12),0)</f>
        <v>0</v>
      </c>
      <c r="Q3756" s="10">
        <f>IFERROR(IF(('Loading-drum,tote'!$C$21)="No control",SUMIF(('Loading-drum,tote'!$B$31:$B$48),$J3756,('Loading-drum,tote'!$D$31:$D$48))*Impacts!$F$13,IF(('Loading-drum,tote'!$C$21)&lt;&gt;"No control",SUMIF(('Loading-drum,tote'!$B$31:$B$48),$J3756,('Loading-drum,tote'!$E$31:$E$48))*Impacts!$F$13,0)),0)</f>
        <v>0</v>
      </c>
      <c r="R3756" s="10">
        <f>IFERROR(IF(('Loading-truck'!$C$21)="No control",SUMIF(('Loading-truck'!$B$31:$B$48),$J3756,('Loading-truck'!$D$31:$D$48))*Impacts!$F$14,IF(('Loading-truck'!$C$21)&lt;&gt;"No control",SUMIF(('Loading-truck'!$B$31:$B$48),$J3756,('Loading-truck'!$E$31:$E$48))*Impacts!$F$14,0)),0)</f>
        <v>0</v>
      </c>
      <c r="S3756" s="10">
        <f>IFERROR(IF(('Loading-rail'!$C$21)="No control",SUMIF(('Loading-rail'!$B$31:$B$48),$J3756,('Loading-rail'!$D$31:$D$48))*Impacts!$F$15,IF(('Loading-rail'!$C$21)&lt;&gt;"No control",SUMIF(('Loading-rail'!$B$31:$B$48),$J3756,('Loading-rail'!$E$31:$E$48))*Impacts!$F$15,0)),0)</f>
        <v>0</v>
      </c>
      <c r="T3756" s="10">
        <f>IF(Flare!$C$7="",0,(SUMIF(Flare!$B$46:$B$185,$J3756,Flare!$E$46:$E$185)*Impacts!$F$16))</f>
        <v>0</v>
      </c>
      <c r="U3756" s="10">
        <f>IF(VCU!$C$9="",0,(SUMIF(VCU!$B$51:$B$193,$J3756,VCU!$E$51:$E$193)*Impacts!$F$17))</f>
        <v>0</v>
      </c>
      <c r="V3756" s="10">
        <f>IF(CAS!$C$7="",0,(SUMIF(CAS!$B$31:$B$167,$J3756,CAS!$E$31:$E$167)*Impacts!$F$18))</f>
        <v>0</v>
      </c>
      <c r="W3756" s="10">
        <f t="shared" si="99"/>
        <v>0</v>
      </c>
      <c r="AK3756" s="10" t="str">
        <f t="array" ref="AK3756">IFERROR(INDEX(SelectedSpecies,SMALL(IF(SelectedSpecies=AK$1,ROW(SelectedSpecies)),ROW(3757:3757)),2),"")</f>
        <v/>
      </c>
      <c r="BE3756" s="10"/>
      <c r="BI3756" s="10"/>
    </row>
    <row r="3757" spans="1:61" ht="21" customHeight="1" x14ac:dyDescent="0.25">
      <c r="A3757" s="10"/>
      <c r="B3757" s="10"/>
      <c r="E3757" s="10"/>
      <c r="G3757" s="10"/>
      <c r="I3757" s="436" t="s">
        <v>1178</v>
      </c>
      <c r="J3757" s="26" t="s">
        <v>1177</v>
      </c>
      <c r="K3757" s="10">
        <v>35</v>
      </c>
      <c r="L3757" s="73">
        <f>IF(Tank1!$C$23="No control",(SUMIF(Tank1!$B$32:$B$49,$J3757,Tank1!$C$32:$C$49)*Impacts!$F$8),0)</f>
        <v>0</v>
      </c>
      <c r="M3757" s="10">
        <f>IF(Tank2!$C$23="No control",(SUMIF(Tank2!$B$32:$B$49,$J3757,Tank2!$C$32:$C$49)*Impacts!$F$9),0)</f>
        <v>0</v>
      </c>
      <c r="N3757" s="10">
        <f>IF(Tank3!$C$23="No control",(SUMIF(Tank3!$B$32:$B$49,$J3757,Tank3!$C$32:$C$49)*Impacts!$F$10),0)</f>
        <v>0</v>
      </c>
      <c r="O3757" s="10">
        <f>IF(Tank4!$C$23="No control",(SUMIF(Tank4!$B$32:$B$49,$J3757,Tank4!$C$32:$C$49)*Impacts!$F$11),0)</f>
        <v>0</v>
      </c>
      <c r="P3757" s="10">
        <f>IF(Tank5!$C$23="No control",(SUMIF(Tank5!$B$32:$B$49,$J3757,Tank5!$C$32:$C$49)*Impacts!$F$12),0)</f>
        <v>0</v>
      </c>
      <c r="Q3757" s="10">
        <f>IFERROR(IF(('Loading-drum,tote'!$C$21)="No control",SUMIF(('Loading-drum,tote'!$B$31:$B$48),$J3757,('Loading-drum,tote'!$D$31:$D$48))*Impacts!$F$13,IF(('Loading-drum,tote'!$C$21)&lt;&gt;"No control",SUMIF(('Loading-drum,tote'!$B$31:$B$48),$J3757,('Loading-drum,tote'!$E$31:$E$48))*Impacts!$F$13,0)),0)</f>
        <v>0</v>
      </c>
      <c r="R3757" s="10">
        <f>IFERROR(IF(('Loading-truck'!$C$21)="No control",SUMIF(('Loading-truck'!$B$31:$B$48),$J3757,('Loading-truck'!$D$31:$D$48))*Impacts!$F$14,IF(('Loading-truck'!$C$21)&lt;&gt;"No control",SUMIF(('Loading-truck'!$B$31:$B$48),$J3757,('Loading-truck'!$E$31:$E$48))*Impacts!$F$14,0)),0)</f>
        <v>0</v>
      </c>
      <c r="S3757" s="10">
        <f>IFERROR(IF(('Loading-rail'!$C$21)="No control",SUMIF(('Loading-rail'!$B$31:$B$48),$J3757,('Loading-rail'!$D$31:$D$48))*Impacts!$F$15,IF(('Loading-rail'!$C$21)&lt;&gt;"No control",SUMIF(('Loading-rail'!$B$31:$B$48),$J3757,('Loading-rail'!$E$31:$E$48))*Impacts!$F$15,0)),0)</f>
        <v>0</v>
      </c>
      <c r="T3757" s="10">
        <f>IF(Flare!$C$7="",0,(SUMIF(Flare!$B$46:$B$185,$J3757,Flare!$E$46:$E$185)*Impacts!$F$16))</f>
        <v>0</v>
      </c>
      <c r="U3757" s="10">
        <f>IF(VCU!$C$9="",0,(SUMIF(VCU!$B$51:$B$193,$J3757,VCU!$E$51:$E$193)*Impacts!$F$17))</f>
        <v>0</v>
      </c>
      <c r="V3757" s="10">
        <f>IF(CAS!$C$7="",0,(SUMIF(CAS!$B$31:$B$167,$J3757,CAS!$E$31:$E$167)*Impacts!$F$18))</f>
        <v>0</v>
      </c>
      <c r="W3757" s="10">
        <f t="shared" si="99"/>
        <v>0</v>
      </c>
      <c r="AK3757" s="10" t="str">
        <f t="array" ref="AK3757">IFERROR(INDEX(SelectedSpecies,SMALL(IF(SelectedSpecies=AK$1,ROW(SelectedSpecies)),ROW(3758:3758)),2),"")</f>
        <v/>
      </c>
      <c r="BE3757" s="10"/>
      <c r="BI3757" s="10"/>
    </row>
    <row r="3758" spans="1:61" ht="21" customHeight="1" x14ac:dyDescent="0.25">
      <c r="A3758" s="10"/>
      <c r="B3758" s="10"/>
      <c r="E3758" s="10"/>
      <c r="G3758" s="10"/>
      <c r="I3758" s="436" t="s">
        <v>1895</v>
      </c>
      <c r="J3758" s="26" t="s">
        <v>1894</v>
      </c>
      <c r="K3758" s="10">
        <v>20</v>
      </c>
      <c r="L3758" s="73">
        <f>IF(Tank1!$C$23="No control",(SUMIF(Tank1!$B$32:$B$49,$J3758,Tank1!$C$32:$C$49)*Impacts!$F$8),0)</f>
        <v>0</v>
      </c>
      <c r="M3758" s="10">
        <f>IF(Tank2!$C$23="No control",(SUMIF(Tank2!$B$32:$B$49,$J3758,Tank2!$C$32:$C$49)*Impacts!$F$9),0)</f>
        <v>0</v>
      </c>
      <c r="N3758" s="10">
        <f>IF(Tank3!$C$23="No control",(SUMIF(Tank3!$B$32:$B$49,$J3758,Tank3!$C$32:$C$49)*Impacts!$F$10),0)</f>
        <v>0</v>
      </c>
      <c r="O3758" s="10">
        <f>IF(Tank4!$C$23="No control",(SUMIF(Tank4!$B$32:$B$49,$J3758,Tank4!$C$32:$C$49)*Impacts!$F$11),0)</f>
        <v>0</v>
      </c>
      <c r="P3758" s="10">
        <f>IF(Tank5!$C$23="No control",(SUMIF(Tank5!$B$32:$B$49,$J3758,Tank5!$C$32:$C$49)*Impacts!$F$12),0)</f>
        <v>0</v>
      </c>
      <c r="Q3758" s="10">
        <f>IFERROR(IF(('Loading-drum,tote'!$C$21)="No control",SUMIF(('Loading-drum,tote'!$B$31:$B$48),$J3758,('Loading-drum,tote'!$D$31:$D$48))*Impacts!$F$13,IF(('Loading-drum,tote'!$C$21)&lt;&gt;"No control",SUMIF(('Loading-drum,tote'!$B$31:$B$48),$J3758,('Loading-drum,tote'!$E$31:$E$48))*Impacts!$F$13,0)),0)</f>
        <v>0</v>
      </c>
      <c r="R3758" s="10">
        <f>IFERROR(IF(('Loading-truck'!$C$21)="No control",SUMIF(('Loading-truck'!$B$31:$B$48),$J3758,('Loading-truck'!$D$31:$D$48))*Impacts!$F$14,IF(('Loading-truck'!$C$21)&lt;&gt;"No control",SUMIF(('Loading-truck'!$B$31:$B$48),$J3758,('Loading-truck'!$E$31:$E$48))*Impacts!$F$14,0)),0)</f>
        <v>0</v>
      </c>
      <c r="S3758" s="10">
        <f>IFERROR(IF(('Loading-rail'!$C$21)="No control",SUMIF(('Loading-rail'!$B$31:$B$48),$J3758,('Loading-rail'!$D$31:$D$48))*Impacts!$F$15,IF(('Loading-rail'!$C$21)&lt;&gt;"No control",SUMIF(('Loading-rail'!$B$31:$B$48),$J3758,('Loading-rail'!$E$31:$E$48))*Impacts!$F$15,0)),0)</f>
        <v>0</v>
      </c>
      <c r="T3758" s="10">
        <f>IF(Flare!$C$7="",0,(SUMIF(Flare!$B$46:$B$185,$J3758,Flare!$E$46:$E$185)*Impacts!$F$16))</f>
        <v>0</v>
      </c>
      <c r="U3758" s="10">
        <f>IF(VCU!$C$9="",0,(SUMIF(VCU!$B$51:$B$193,$J3758,VCU!$E$51:$E$193)*Impacts!$F$17))</f>
        <v>0</v>
      </c>
      <c r="V3758" s="10">
        <f>IF(CAS!$C$7="",0,(SUMIF(CAS!$B$31:$B$167,$J3758,CAS!$E$31:$E$167)*Impacts!$F$18))</f>
        <v>0</v>
      </c>
      <c r="W3758" s="10">
        <f t="shared" si="99"/>
        <v>0</v>
      </c>
      <c r="AK3758" s="10" t="str">
        <f t="array" ref="AK3758">IFERROR(INDEX(SelectedSpecies,SMALL(IF(SelectedSpecies=AK$1,ROW(SelectedSpecies)),ROW(3759:3759)),2),"")</f>
        <v/>
      </c>
      <c r="BE3758" s="10"/>
      <c r="BI3758" s="10"/>
    </row>
    <row r="3759" spans="1:61" ht="21" customHeight="1" x14ac:dyDescent="0.25">
      <c r="A3759" s="10"/>
      <c r="B3759" s="10"/>
      <c r="E3759" s="10"/>
      <c r="G3759" s="10"/>
      <c r="I3759" s="436" t="s">
        <v>6564</v>
      </c>
      <c r="J3759" s="26" t="s">
        <v>6563</v>
      </c>
      <c r="K3759" s="10">
        <v>0.70000000000000007</v>
      </c>
      <c r="L3759" s="73">
        <f>IF(Tank1!$C$23="No control",(SUMIF(Tank1!$B$32:$B$49,$J3759,Tank1!$C$32:$C$49)*Impacts!$F$8),0)</f>
        <v>0</v>
      </c>
      <c r="M3759" s="10">
        <f>IF(Tank2!$C$23="No control",(SUMIF(Tank2!$B$32:$B$49,$J3759,Tank2!$C$32:$C$49)*Impacts!$F$9),0)</f>
        <v>0</v>
      </c>
      <c r="N3759" s="10">
        <f>IF(Tank3!$C$23="No control",(SUMIF(Tank3!$B$32:$B$49,$J3759,Tank3!$C$32:$C$49)*Impacts!$F$10),0)</f>
        <v>0</v>
      </c>
      <c r="O3759" s="10">
        <f>IF(Tank4!$C$23="No control",(SUMIF(Tank4!$B$32:$B$49,$J3759,Tank4!$C$32:$C$49)*Impacts!$F$11),0)</f>
        <v>0</v>
      </c>
      <c r="P3759" s="10">
        <f>IF(Tank5!$C$23="No control",(SUMIF(Tank5!$B$32:$B$49,$J3759,Tank5!$C$32:$C$49)*Impacts!$F$12),0)</f>
        <v>0</v>
      </c>
      <c r="Q3759" s="10">
        <f>IFERROR(IF(('Loading-drum,tote'!$C$21)="No control",SUMIF(('Loading-drum,tote'!$B$31:$B$48),$J3759,('Loading-drum,tote'!$D$31:$D$48))*Impacts!$F$13,IF(('Loading-drum,tote'!$C$21)&lt;&gt;"No control",SUMIF(('Loading-drum,tote'!$B$31:$B$48),$J3759,('Loading-drum,tote'!$E$31:$E$48))*Impacts!$F$13,0)),0)</f>
        <v>0</v>
      </c>
      <c r="R3759" s="10">
        <f>IFERROR(IF(('Loading-truck'!$C$21)="No control",SUMIF(('Loading-truck'!$B$31:$B$48),$J3759,('Loading-truck'!$D$31:$D$48))*Impacts!$F$14,IF(('Loading-truck'!$C$21)&lt;&gt;"No control",SUMIF(('Loading-truck'!$B$31:$B$48),$J3759,('Loading-truck'!$E$31:$E$48))*Impacts!$F$14,0)),0)</f>
        <v>0</v>
      </c>
      <c r="S3759" s="10">
        <f>IFERROR(IF(('Loading-rail'!$C$21)="No control",SUMIF(('Loading-rail'!$B$31:$B$48),$J3759,('Loading-rail'!$D$31:$D$48))*Impacts!$F$15,IF(('Loading-rail'!$C$21)&lt;&gt;"No control",SUMIF(('Loading-rail'!$B$31:$B$48),$J3759,('Loading-rail'!$E$31:$E$48))*Impacts!$F$15,0)),0)</f>
        <v>0</v>
      </c>
      <c r="T3759" s="10">
        <f>IF(Flare!$C$7="",0,(SUMIF(Flare!$B$46:$B$185,$J3759,Flare!$E$46:$E$185)*Impacts!$F$16))</f>
        <v>0</v>
      </c>
      <c r="U3759" s="10">
        <f>IF(VCU!$C$9="",0,(SUMIF(VCU!$B$51:$B$193,$J3759,VCU!$E$51:$E$193)*Impacts!$F$17))</f>
        <v>0</v>
      </c>
      <c r="V3759" s="10">
        <f>IF(CAS!$C$7="",0,(SUMIF(CAS!$B$31:$B$167,$J3759,CAS!$E$31:$E$167)*Impacts!$F$18))</f>
        <v>0</v>
      </c>
      <c r="W3759" s="10">
        <f t="shared" si="99"/>
        <v>0</v>
      </c>
      <c r="AK3759" s="10" t="str">
        <f t="array" ref="AK3759">IFERROR(INDEX(SelectedSpecies,SMALL(IF(SelectedSpecies=AK$1,ROW(SelectedSpecies)),ROW(3760:3760)),2),"")</f>
        <v/>
      </c>
      <c r="BE3759" s="10"/>
      <c r="BI3759" s="10"/>
    </row>
    <row r="3760" spans="1:61" ht="21" customHeight="1" x14ac:dyDescent="0.25">
      <c r="A3760" s="10"/>
      <c r="B3760" s="10"/>
      <c r="E3760" s="10"/>
      <c r="G3760" s="10"/>
      <c r="I3760" s="436" t="s">
        <v>4995</v>
      </c>
      <c r="J3760" s="26" t="s">
        <v>4994</v>
      </c>
      <c r="K3760" s="10">
        <v>2.5</v>
      </c>
      <c r="L3760" s="73">
        <f>IF(Tank1!$C$23="No control",(SUMIF(Tank1!$B$32:$B$49,$J3760,Tank1!$C$32:$C$49)*Impacts!$F$8),0)</f>
        <v>0</v>
      </c>
      <c r="M3760" s="10">
        <f>IF(Tank2!$C$23="No control",(SUMIF(Tank2!$B$32:$B$49,$J3760,Tank2!$C$32:$C$49)*Impacts!$F$9),0)</f>
        <v>0</v>
      </c>
      <c r="N3760" s="10">
        <f>IF(Tank3!$C$23="No control",(SUMIF(Tank3!$B$32:$B$49,$J3760,Tank3!$C$32:$C$49)*Impacts!$F$10),0)</f>
        <v>0</v>
      </c>
      <c r="O3760" s="10">
        <f>IF(Tank4!$C$23="No control",(SUMIF(Tank4!$B$32:$B$49,$J3760,Tank4!$C$32:$C$49)*Impacts!$F$11),0)</f>
        <v>0</v>
      </c>
      <c r="P3760" s="10">
        <f>IF(Tank5!$C$23="No control",(SUMIF(Tank5!$B$32:$B$49,$J3760,Tank5!$C$32:$C$49)*Impacts!$F$12),0)</f>
        <v>0</v>
      </c>
      <c r="Q3760" s="10">
        <f>IFERROR(IF(('Loading-drum,tote'!$C$21)="No control",SUMIF(('Loading-drum,tote'!$B$31:$B$48),$J3760,('Loading-drum,tote'!$D$31:$D$48))*Impacts!$F$13,IF(('Loading-drum,tote'!$C$21)&lt;&gt;"No control",SUMIF(('Loading-drum,tote'!$B$31:$B$48),$J3760,('Loading-drum,tote'!$E$31:$E$48))*Impacts!$F$13,0)),0)</f>
        <v>0</v>
      </c>
      <c r="R3760" s="10">
        <f>IFERROR(IF(('Loading-truck'!$C$21)="No control",SUMIF(('Loading-truck'!$B$31:$B$48),$J3760,('Loading-truck'!$D$31:$D$48))*Impacts!$F$14,IF(('Loading-truck'!$C$21)&lt;&gt;"No control",SUMIF(('Loading-truck'!$B$31:$B$48),$J3760,('Loading-truck'!$E$31:$E$48))*Impacts!$F$14,0)),0)</f>
        <v>0</v>
      </c>
      <c r="S3760" s="10">
        <f>IFERROR(IF(('Loading-rail'!$C$21)="No control",SUMIF(('Loading-rail'!$B$31:$B$48),$J3760,('Loading-rail'!$D$31:$D$48))*Impacts!$F$15,IF(('Loading-rail'!$C$21)&lt;&gt;"No control",SUMIF(('Loading-rail'!$B$31:$B$48),$J3760,('Loading-rail'!$E$31:$E$48))*Impacts!$F$15,0)),0)</f>
        <v>0</v>
      </c>
      <c r="T3760" s="10">
        <f>IF(Flare!$C$7="",0,(SUMIF(Flare!$B$46:$B$185,$J3760,Flare!$E$46:$E$185)*Impacts!$F$16))</f>
        <v>0</v>
      </c>
      <c r="U3760" s="10">
        <f>IF(VCU!$C$9="",0,(SUMIF(VCU!$B$51:$B$193,$J3760,VCU!$E$51:$E$193)*Impacts!$F$17))</f>
        <v>0</v>
      </c>
      <c r="V3760" s="10">
        <f>IF(CAS!$C$7="",0,(SUMIF(CAS!$B$31:$B$167,$J3760,CAS!$E$31:$E$167)*Impacts!$F$18))</f>
        <v>0</v>
      </c>
      <c r="W3760" s="10">
        <f t="shared" si="99"/>
        <v>0</v>
      </c>
      <c r="AK3760" s="10" t="str">
        <f t="array" ref="AK3760">IFERROR(INDEX(SelectedSpecies,SMALL(IF(SelectedSpecies=AK$1,ROW(SelectedSpecies)),ROW(3761:3761)),2),"")</f>
        <v/>
      </c>
      <c r="BE3760" s="10"/>
      <c r="BI3760" s="10"/>
    </row>
    <row r="3761" spans="1:61" ht="21" customHeight="1" x14ac:dyDescent="0.25">
      <c r="A3761" s="10"/>
      <c r="B3761" s="10"/>
      <c r="E3761" s="10"/>
      <c r="G3761" s="10"/>
      <c r="I3761" s="436" t="s">
        <v>2289</v>
      </c>
      <c r="J3761" s="26" t="s">
        <v>2288</v>
      </c>
      <c r="K3761" s="10">
        <v>12.5</v>
      </c>
      <c r="L3761" s="73">
        <f>IF(Tank1!$C$23="No control",(SUMIF(Tank1!$B$32:$B$49,$J3761,Tank1!$C$32:$C$49)*Impacts!$F$8),0)</f>
        <v>0</v>
      </c>
      <c r="M3761" s="10">
        <f>IF(Tank2!$C$23="No control",(SUMIF(Tank2!$B$32:$B$49,$J3761,Tank2!$C$32:$C$49)*Impacts!$F$9),0)</f>
        <v>0</v>
      </c>
      <c r="N3761" s="10">
        <f>IF(Tank3!$C$23="No control",(SUMIF(Tank3!$B$32:$B$49,$J3761,Tank3!$C$32:$C$49)*Impacts!$F$10),0)</f>
        <v>0</v>
      </c>
      <c r="O3761" s="10">
        <f>IF(Tank4!$C$23="No control",(SUMIF(Tank4!$B$32:$B$49,$J3761,Tank4!$C$32:$C$49)*Impacts!$F$11),0)</f>
        <v>0</v>
      </c>
      <c r="P3761" s="10">
        <f>IF(Tank5!$C$23="No control",(SUMIF(Tank5!$B$32:$B$49,$J3761,Tank5!$C$32:$C$49)*Impacts!$F$12),0)</f>
        <v>0</v>
      </c>
      <c r="Q3761" s="10">
        <f>IFERROR(IF(('Loading-drum,tote'!$C$21)="No control",SUMIF(('Loading-drum,tote'!$B$31:$B$48),$J3761,('Loading-drum,tote'!$D$31:$D$48))*Impacts!$F$13,IF(('Loading-drum,tote'!$C$21)&lt;&gt;"No control",SUMIF(('Loading-drum,tote'!$B$31:$B$48),$J3761,('Loading-drum,tote'!$E$31:$E$48))*Impacts!$F$13,0)),0)</f>
        <v>0</v>
      </c>
      <c r="R3761" s="10">
        <f>IFERROR(IF(('Loading-truck'!$C$21)="No control",SUMIF(('Loading-truck'!$B$31:$B$48),$J3761,('Loading-truck'!$D$31:$D$48))*Impacts!$F$14,IF(('Loading-truck'!$C$21)&lt;&gt;"No control",SUMIF(('Loading-truck'!$B$31:$B$48),$J3761,('Loading-truck'!$E$31:$E$48))*Impacts!$F$14,0)),0)</f>
        <v>0</v>
      </c>
      <c r="S3761" s="10">
        <f>IFERROR(IF(('Loading-rail'!$C$21)="No control",SUMIF(('Loading-rail'!$B$31:$B$48),$J3761,('Loading-rail'!$D$31:$D$48))*Impacts!$F$15,IF(('Loading-rail'!$C$21)&lt;&gt;"No control",SUMIF(('Loading-rail'!$B$31:$B$48),$J3761,('Loading-rail'!$E$31:$E$48))*Impacts!$F$15,0)),0)</f>
        <v>0</v>
      </c>
      <c r="T3761" s="10">
        <f>IF(Flare!$C$7="",0,(SUMIF(Flare!$B$46:$B$185,$J3761,Flare!$E$46:$E$185)*Impacts!$F$16))</f>
        <v>0</v>
      </c>
      <c r="U3761" s="10">
        <f>IF(VCU!$C$9="",0,(SUMIF(VCU!$B$51:$B$193,$J3761,VCU!$E$51:$E$193)*Impacts!$F$17))</f>
        <v>0</v>
      </c>
      <c r="V3761" s="10">
        <f>IF(CAS!$C$7="",0,(SUMIF(CAS!$B$31:$B$167,$J3761,CAS!$E$31:$E$167)*Impacts!$F$18))</f>
        <v>0</v>
      </c>
      <c r="W3761" s="10">
        <f t="shared" si="99"/>
        <v>0</v>
      </c>
      <c r="AK3761" s="10" t="str">
        <f t="array" ref="AK3761">IFERROR(INDEX(SelectedSpecies,SMALL(IF(SelectedSpecies=AK$1,ROW(SelectedSpecies)),ROW(3762:3762)),2),"")</f>
        <v/>
      </c>
      <c r="BE3761" s="10"/>
      <c r="BI3761" s="10"/>
    </row>
    <row r="3762" spans="1:61" ht="21" customHeight="1" x14ac:dyDescent="0.25">
      <c r="A3762" s="10"/>
      <c r="B3762" s="10"/>
      <c r="E3762" s="10"/>
      <c r="G3762" s="10"/>
      <c r="I3762" s="436" t="s">
        <v>2047</v>
      </c>
      <c r="J3762" s="26" t="s">
        <v>2046</v>
      </c>
      <c r="K3762" s="10">
        <v>16</v>
      </c>
      <c r="L3762" s="73">
        <f>IF(Tank1!$C$23="No control",(SUMIF(Tank1!$B$32:$B$49,$J3762,Tank1!$C$32:$C$49)*Impacts!$F$8),0)</f>
        <v>0</v>
      </c>
      <c r="M3762" s="10">
        <f>IF(Tank2!$C$23="No control",(SUMIF(Tank2!$B$32:$B$49,$J3762,Tank2!$C$32:$C$49)*Impacts!$F$9),0)</f>
        <v>0</v>
      </c>
      <c r="N3762" s="10">
        <f>IF(Tank3!$C$23="No control",(SUMIF(Tank3!$B$32:$B$49,$J3762,Tank3!$C$32:$C$49)*Impacts!$F$10),0)</f>
        <v>0</v>
      </c>
      <c r="O3762" s="10">
        <f>IF(Tank4!$C$23="No control",(SUMIF(Tank4!$B$32:$B$49,$J3762,Tank4!$C$32:$C$49)*Impacts!$F$11),0)</f>
        <v>0</v>
      </c>
      <c r="P3762" s="10">
        <f>IF(Tank5!$C$23="No control",(SUMIF(Tank5!$B$32:$B$49,$J3762,Tank5!$C$32:$C$49)*Impacts!$F$12),0)</f>
        <v>0</v>
      </c>
      <c r="Q3762" s="10">
        <f>IFERROR(IF(('Loading-drum,tote'!$C$21)="No control",SUMIF(('Loading-drum,tote'!$B$31:$B$48),$J3762,('Loading-drum,tote'!$D$31:$D$48))*Impacts!$F$13,IF(('Loading-drum,tote'!$C$21)&lt;&gt;"No control",SUMIF(('Loading-drum,tote'!$B$31:$B$48),$J3762,('Loading-drum,tote'!$E$31:$E$48))*Impacts!$F$13,0)),0)</f>
        <v>0</v>
      </c>
      <c r="R3762" s="10">
        <f>IFERROR(IF(('Loading-truck'!$C$21)="No control",SUMIF(('Loading-truck'!$B$31:$B$48),$J3762,('Loading-truck'!$D$31:$D$48))*Impacts!$F$14,IF(('Loading-truck'!$C$21)&lt;&gt;"No control",SUMIF(('Loading-truck'!$B$31:$B$48),$J3762,('Loading-truck'!$E$31:$E$48))*Impacts!$F$14,0)),0)</f>
        <v>0</v>
      </c>
      <c r="S3762" s="10">
        <f>IFERROR(IF(('Loading-rail'!$C$21)="No control",SUMIF(('Loading-rail'!$B$31:$B$48),$J3762,('Loading-rail'!$D$31:$D$48))*Impacts!$F$15,IF(('Loading-rail'!$C$21)&lt;&gt;"No control",SUMIF(('Loading-rail'!$B$31:$B$48),$J3762,('Loading-rail'!$E$31:$E$48))*Impacts!$F$15,0)),0)</f>
        <v>0</v>
      </c>
      <c r="T3762" s="10">
        <f>IF(Flare!$C$7="",0,(SUMIF(Flare!$B$46:$B$185,$J3762,Flare!$E$46:$E$185)*Impacts!$F$16))</f>
        <v>0</v>
      </c>
      <c r="U3762" s="10">
        <f>IF(VCU!$C$9="",0,(SUMIF(VCU!$B$51:$B$193,$J3762,VCU!$E$51:$E$193)*Impacts!$F$17))</f>
        <v>0</v>
      </c>
      <c r="V3762" s="10">
        <f>IF(CAS!$C$7="",0,(SUMIF(CAS!$B$31:$B$167,$J3762,CAS!$E$31:$E$167)*Impacts!$F$18))</f>
        <v>0</v>
      </c>
      <c r="W3762" s="10">
        <f t="shared" si="99"/>
        <v>0</v>
      </c>
      <c r="AK3762" s="10" t="str">
        <f t="array" ref="AK3762">IFERROR(INDEX(SelectedSpecies,SMALL(IF(SelectedSpecies=AK$1,ROW(SelectedSpecies)),ROW(3763:3763)),2),"")</f>
        <v/>
      </c>
      <c r="BE3762" s="10"/>
      <c r="BI3762" s="10"/>
    </row>
    <row r="3763" spans="1:61" ht="21" customHeight="1" x14ac:dyDescent="0.25">
      <c r="A3763" s="10"/>
      <c r="B3763" s="10"/>
      <c r="E3763" s="10"/>
      <c r="G3763" s="10"/>
      <c r="I3763" s="436" t="s">
        <v>8222</v>
      </c>
      <c r="J3763" s="26" t="s">
        <v>8221</v>
      </c>
      <c r="K3763" s="10">
        <v>1.0000000000000002E-2</v>
      </c>
      <c r="L3763" s="73">
        <f>IF(Tank1!$C$23="No control",(SUMIF(Tank1!$B$32:$B$49,$J3763,Tank1!$C$32:$C$49)*Impacts!$F$8),0)</f>
        <v>0</v>
      </c>
      <c r="M3763" s="10">
        <f>IF(Tank2!$C$23="No control",(SUMIF(Tank2!$B$32:$B$49,$J3763,Tank2!$C$32:$C$49)*Impacts!$F$9),0)</f>
        <v>0</v>
      </c>
      <c r="N3763" s="10">
        <f>IF(Tank3!$C$23="No control",(SUMIF(Tank3!$B$32:$B$49,$J3763,Tank3!$C$32:$C$49)*Impacts!$F$10),0)</f>
        <v>0</v>
      </c>
      <c r="O3763" s="10">
        <f>IF(Tank4!$C$23="No control",(SUMIF(Tank4!$B$32:$B$49,$J3763,Tank4!$C$32:$C$49)*Impacts!$F$11),0)</f>
        <v>0</v>
      </c>
      <c r="P3763" s="10">
        <f>IF(Tank5!$C$23="No control",(SUMIF(Tank5!$B$32:$B$49,$J3763,Tank5!$C$32:$C$49)*Impacts!$F$12),0)</f>
        <v>0</v>
      </c>
      <c r="Q3763" s="10">
        <f>IFERROR(IF(('Loading-drum,tote'!$C$21)="No control",SUMIF(('Loading-drum,tote'!$B$31:$B$48),$J3763,('Loading-drum,tote'!$D$31:$D$48))*Impacts!$F$13,IF(('Loading-drum,tote'!$C$21)&lt;&gt;"No control",SUMIF(('Loading-drum,tote'!$B$31:$B$48),$J3763,('Loading-drum,tote'!$E$31:$E$48))*Impacts!$F$13,0)),0)</f>
        <v>0</v>
      </c>
      <c r="R3763" s="10">
        <f>IFERROR(IF(('Loading-truck'!$C$21)="No control",SUMIF(('Loading-truck'!$B$31:$B$48),$J3763,('Loading-truck'!$D$31:$D$48))*Impacts!$F$14,IF(('Loading-truck'!$C$21)&lt;&gt;"No control",SUMIF(('Loading-truck'!$B$31:$B$48),$J3763,('Loading-truck'!$E$31:$E$48))*Impacts!$F$14,0)),0)</f>
        <v>0</v>
      </c>
      <c r="S3763" s="10">
        <f>IFERROR(IF(('Loading-rail'!$C$21)="No control",SUMIF(('Loading-rail'!$B$31:$B$48),$J3763,('Loading-rail'!$D$31:$D$48))*Impacts!$F$15,IF(('Loading-rail'!$C$21)&lt;&gt;"No control",SUMIF(('Loading-rail'!$B$31:$B$48),$J3763,('Loading-rail'!$E$31:$E$48))*Impacts!$F$15,0)),0)</f>
        <v>0</v>
      </c>
      <c r="T3763" s="10">
        <f>IF(Flare!$C$7="",0,(SUMIF(Flare!$B$46:$B$185,$J3763,Flare!$E$46:$E$185)*Impacts!$F$16))</f>
        <v>0</v>
      </c>
      <c r="U3763" s="10">
        <f>IF(VCU!$C$9="",0,(SUMIF(VCU!$B$51:$B$193,$J3763,VCU!$E$51:$E$193)*Impacts!$F$17))</f>
        <v>0</v>
      </c>
      <c r="V3763" s="10">
        <f>IF(CAS!$C$7="",0,(SUMIF(CAS!$B$31:$B$167,$J3763,CAS!$E$31:$E$167)*Impacts!$F$18))</f>
        <v>0</v>
      </c>
      <c r="W3763" s="10">
        <f t="shared" si="99"/>
        <v>0</v>
      </c>
      <c r="AK3763" s="10" t="str">
        <f t="array" ref="AK3763">IFERROR(INDEX(SelectedSpecies,SMALL(IF(SelectedSpecies=AK$1,ROW(SelectedSpecies)),ROW(3764:3764)),2),"")</f>
        <v/>
      </c>
      <c r="BE3763" s="10"/>
      <c r="BI3763" s="10"/>
    </row>
    <row r="3764" spans="1:61" ht="21" customHeight="1" x14ac:dyDescent="0.25">
      <c r="A3764" s="10"/>
      <c r="B3764" s="10"/>
      <c r="E3764" s="10"/>
      <c r="G3764" s="10"/>
      <c r="I3764" s="436" t="s">
        <v>6186</v>
      </c>
      <c r="J3764" s="26" t="s">
        <v>6185</v>
      </c>
      <c r="K3764" s="10">
        <v>1</v>
      </c>
      <c r="L3764" s="73">
        <f>IF(Tank1!$C$23="No control",(SUMIF(Tank1!$B$32:$B$49,$J3764,Tank1!$C$32:$C$49)*Impacts!$F$8),0)</f>
        <v>0</v>
      </c>
      <c r="M3764" s="10">
        <f>IF(Tank2!$C$23="No control",(SUMIF(Tank2!$B$32:$B$49,$J3764,Tank2!$C$32:$C$49)*Impacts!$F$9),0)</f>
        <v>0</v>
      </c>
      <c r="N3764" s="10">
        <f>IF(Tank3!$C$23="No control",(SUMIF(Tank3!$B$32:$B$49,$J3764,Tank3!$C$32:$C$49)*Impacts!$F$10),0)</f>
        <v>0</v>
      </c>
      <c r="O3764" s="10">
        <f>IF(Tank4!$C$23="No control",(SUMIF(Tank4!$B$32:$B$49,$J3764,Tank4!$C$32:$C$49)*Impacts!$F$11),0)</f>
        <v>0</v>
      </c>
      <c r="P3764" s="10">
        <f>IF(Tank5!$C$23="No control",(SUMIF(Tank5!$B$32:$B$49,$J3764,Tank5!$C$32:$C$49)*Impacts!$F$12),0)</f>
        <v>0</v>
      </c>
      <c r="Q3764" s="10">
        <f>IFERROR(IF(('Loading-drum,tote'!$C$21)="No control",SUMIF(('Loading-drum,tote'!$B$31:$B$48),$J3764,('Loading-drum,tote'!$D$31:$D$48))*Impacts!$F$13,IF(('Loading-drum,tote'!$C$21)&lt;&gt;"No control",SUMIF(('Loading-drum,tote'!$B$31:$B$48),$J3764,('Loading-drum,tote'!$E$31:$E$48))*Impacts!$F$13,0)),0)</f>
        <v>0</v>
      </c>
      <c r="R3764" s="10">
        <f>IFERROR(IF(('Loading-truck'!$C$21)="No control",SUMIF(('Loading-truck'!$B$31:$B$48),$J3764,('Loading-truck'!$D$31:$D$48))*Impacts!$F$14,IF(('Loading-truck'!$C$21)&lt;&gt;"No control",SUMIF(('Loading-truck'!$B$31:$B$48),$J3764,('Loading-truck'!$E$31:$E$48))*Impacts!$F$14,0)),0)</f>
        <v>0</v>
      </c>
      <c r="S3764" s="10">
        <f>IFERROR(IF(('Loading-rail'!$C$21)="No control",SUMIF(('Loading-rail'!$B$31:$B$48),$J3764,('Loading-rail'!$D$31:$D$48))*Impacts!$F$15,IF(('Loading-rail'!$C$21)&lt;&gt;"No control",SUMIF(('Loading-rail'!$B$31:$B$48),$J3764,('Loading-rail'!$E$31:$E$48))*Impacts!$F$15,0)),0)</f>
        <v>0</v>
      </c>
      <c r="T3764" s="10">
        <f>IF(Flare!$C$7="",0,(SUMIF(Flare!$B$46:$B$185,$J3764,Flare!$E$46:$E$185)*Impacts!$F$16))</f>
        <v>0</v>
      </c>
      <c r="U3764" s="10">
        <f>IF(VCU!$C$9="",0,(SUMIF(VCU!$B$51:$B$193,$J3764,VCU!$E$51:$E$193)*Impacts!$F$17))</f>
        <v>0</v>
      </c>
      <c r="V3764" s="10">
        <f>IF(CAS!$C$7="",0,(SUMIF(CAS!$B$31:$B$167,$J3764,CAS!$E$31:$E$167)*Impacts!$F$18))</f>
        <v>0</v>
      </c>
      <c r="W3764" s="10">
        <f t="shared" si="99"/>
        <v>0</v>
      </c>
      <c r="AK3764" s="10" t="str">
        <f t="array" ref="AK3764">IFERROR(INDEX(SelectedSpecies,SMALL(IF(SelectedSpecies=AK$1,ROW(SelectedSpecies)),ROW(3765:3765)),2),"")</f>
        <v/>
      </c>
      <c r="BE3764" s="10"/>
      <c r="BI3764" s="10"/>
    </row>
    <row r="3765" spans="1:61" ht="21" customHeight="1" x14ac:dyDescent="0.25">
      <c r="A3765" s="10"/>
      <c r="B3765" s="10"/>
      <c r="E3765" s="10"/>
      <c r="G3765" s="10"/>
      <c r="I3765" s="436" t="s">
        <v>3505</v>
      </c>
      <c r="J3765" s="26" t="s">
        <v>3504</v>
      </c>
      <c r="K3765" s="10">
        <v>9.2000000000000011</v>
      </c>
      <c r="L3765" s="73">
        <f>IF(Tank1!$C$23="No control",(SUMIF(Tank1!$B$32:$B$49,$J3765,Tank1!$C$32:$C$49)*Impacts!$F$8),0)</f>
        <v>0</v>
      </c>
      <c r="M3765" s="10">
        <f>IF(Tank2!$C$23="No control",(SUMIF(Tank2!$B$32:$B$49,$J3765,Tank2!$C$32:$C$49)*Impacts!$F$9),0)</f>
        <v>0</v>
      </c>
      <c r="N3765" s="10">
        <f>IF(Tank3!$C$23="No control",(SUMIF(Tank3!$B$32:$B$49,$J3765,Tank3!$C$32:$C$49)*Impacts!$F$10),0)</f>
        <v>0</v>
      </c>
      <c r="O3765" s="10">
        <f>IF(Tank4!$C$23="No control",(SUMIF(Tank4!$B$32:$B$49,$J3765,Tank4!$C$32:$C$49)*Impacts!$F$11),0)</f>
        <v>0</v>
      </c>
      <c r="P3765" s="10">
        <f>IF(Tank5!$C$23="No control",(SUMIF(Tank5!$B$32:$B$49,$J3765,Tank5!$C$32:$C$49)*Impacts!$F$12),0)</f>
        <v>0</v>
      </c>
      <c r="Q3765" s="10">
        <f>IFERROR(IF(('Loading-drum,tote'!$C$21)="No control",SUMIF(('Loading-drum,tote'!$B$31:$B$48),$J3765,('Loading-drum,tote'!$D$31:$D$48))*Impacts!$F$13,IF(('Loading-drum,tote'!$C$21)&lt;&gt;"No control",SUMIF(('Loading-drum,tote'!$B$31:$B$48),$J3765,('Loading-drum,tote'!$E$31:$E$48))*Impacts!$F$13,0)),0)</f>
        <v>0</v>
      </c>
      <c r="R3765" s="10">
        <f>IFERROR(IF(('Loading-truck'!$C$21)="No control",SUMIF(('Loading-truck'!$B$31:$B$48),$J3765,('Loading-truck'!$D$31:$D$48))*Impacts!$F$14,IF(('Loading-truck'!$C$21)&lt;&gt;"No control",SUMIF(('Loading-truck'!$B$31:$B$48),$J3765,('Loading-truck'!$E$31:$E$48))*Impacts!$F$14,0)),0)</f>
        <v>0</v>
      </c>
      <c r="S3765" s="10">
        <f>IFERROR(IF(('Loading-rail'!$C$21)="No control",SUMIF(('Loading-rail'!$B$31:$B$48),$J3765,('Loading-rail'!$D$31:$D$48))*Impacts!$F$15,IF(('Loading-rail'!$C$21)&lt;&gt;"No control",SUMIF(('Loading-rail'!$B$31:$B$48),$J3765,('Loading-rail'!$E$31:$E$48))*Impacts!$F$15,0)),0)</f>
        <v>0</v>
      </c>
      <c r="T3765" s="10">
        <f>IF(Flare!$C$7="",0,(SUMIF(Flare!$B$46:$B$185,$J3765,Flare!$E$46:$E$185)*Impacts!$F$16))</f>
        <v>0</v>
      </c>
      <c r="U3765" s="10">
        <f>IF(VCU!$C$9="",0,(SUMIF(VCU!$B$51:$B$193,$J3765,VCU!$E$51:$E$193)*Impacts!$F$17))</f>
        <v>0</v>
      </c>
      <c r="V3765" s="10">
        <f>IF(CAS!$C$7="",0,(SUMIF(CAS!$B$31:$B$167,$J3765,CAS!$E$31:$E$167)*Impacts!$F$18))</f>
        <v>0</v>
      </c>
      <c r="W3765" s="10">
        <f t="shared" si="99"/>
        <v>0</v>
      </c>
      <c r="AK3765" s="10" t="str">
        <f t="array" ref="AK3765">IFERROR(INDEX(SelectedSpecies,SMALL(IF(SelectedSpecies=AK$1,ROW(SelectedSpecies)),ROW(3766:3766)),2),"")</f>
        <v/>
      </c>
      <c r="BE3765" s="10"/>
      <c r="BI3765" s="10"/>
    </row>
    <row r="3766" spans="1:61" ht="21" customHeight="1" x14ac:dyDescent="0.25">
      <c r="A3766" s="10"/>
      <c r="B3766" s="10"/>
      <c r="E3766" s="10"/>
      <c r="G3766" s="10"/>
      <c r="I3766" s="436" t="s">
        <v>3601</v>
      </c>
      <c r="J3766" s="26" t="s">
        <v>3600</v>
      </c>
      <c r="K3766" s="10">
        <v>8</v>
      </c>
      <c r="L3766" s="73">
        <f>IF(Tank1!$C$23="No control",(SUMIF(Tank1!$B$32:$B$49,$J3766,Tank1!$C$32:$C$49)*Impacts!$F$8),0)</f>
        <v>0</v>
      </c>
      <c r="M3766" s="10">
        <f>IF(Tank2!$C$23="No control",(SUMIF(Tank2!$B$32:$B$49,$J3766,Tank2!$C$32:$C$49)*Impacts!$F$9),0)</f>
        <v>0</v>
      </c>
      <c r="N3766" s="10">
        <f>IF(Tank3!$C$23="No control",(SUMIF(Tank3!$B$32:$B$49,$J3766,Tank3!$C$32:$C$49)*Impacts!$F$10),0)</f>
        <v>0</v>
      </c>
      <c r="O3766" s="10">
        <f>IF(Tank4!$C$23="No control",(SUMIF(Tank4!$B$32:$B$49,$J3766,Tank4!$C$32:$C$49)*Impacts!$F$11),0)</f>
        <v>0</v>
      </c>
      <c r="P3766" s="10">
        <f>IF(Tank5!$C$23="No control",(SUMIF(Tank5!$B$32:$B$49,$J3766,Tank5!$C$32:$C$49)*Impacts!$F$12),0)</f>
        <v>0</v>
      </c>
      <c r="Q3766" s="10">
        <f>IFERROR(IF(('Loading-drum,tote'!$C$21)="No control",SUMIF(('Loading-drum,tote'!$B$31:$B$48),$J3766,('Loading-drum,tote'!$D$31:$D$48))*Impacts!$F$13,IF(('Loading-drum,tote'!$C$21)&lt;&gt;"No control",SUMIF(('Loading-drum,tote'!$B$31:$B$48),$J3766,('Loading-drum,tote'!$E$31:$E$48))*Impacts!$F$13,0)),0)</f>
        <v>0</v>
      </c>
      <c r="R3766" s="10">
        <f>IFERROR(IF(('Loading-truck'!$C$21)="No control",SUMIF(('Loading-truck'!$B$31:$B$48),$J3766,('Loading-truck'!$D$31:$D$48))*Impacts!$F$14,IF(('Loading-truck'!$C$21)&lt;&gt;"No control",SUMIF(('Loading-truck'!$B$31:$B$48),$J3766,('Loading-truck'!$E$31:$E$48))*Impacts!$F$14,0)),0)</f>
        <v>0</v>
      </c>
      <c r="S3766" s="10">
        <f>IFERROR(IF(('Loading-rail'!$C$21)="No control",SUMIF(('Loading-rail'!$B$31:$B$48),$J3766,('Loading-rail'!$D$31:$D$48))*Impacts!$F$15,IF(('Loading-rail'!$C$21)&lt;&gt;"No control",SUMIF(('Loading-rail'!$B$31:$B$48),$J3766,('Loading-rail'!$E$31:$E$48))*Impacts!$F$15,0)),0)</f>
        <v>0</v>
      </c>
      <c r="T3766" s="10">
        <f>IF(Flare!$C$7="",0,(SUMIF(Flare!$B$46:$B$185,$J3766,Flare!$E$46:$E$185)*Impacts!$F$16))</f>
        <v>0</v>
      </c>
      <c r="U3766" s="10">
        <f>IF(VCU!$C$9="",0,(SUMIF(VCU!$B$51:$B$193,$J3766,VCU!$E$51:$E$193)*Impacts!$F$17))</f>
        <v>0</v>
      </c>
      <c r="V3766" s="10">
        <f>IF(CAS!$C$7="",0,(SUMIF(CAS!$B$31:$B$167,$J3766,CAS!$E$31:$E$167)*Impacts!$F$18))</f>
        <v>0</v>
      </c>
      <c r="W3766" s="10">
        <f t="shared" si="99"/>
        <v>0</v>
      </c>
      <c r="AK3766" s="10" t="str">
        <f t="array" ref="AK3766">IFERROR(INDEX(SelectedSpecies,SMALL(IF(SelectedSpecies=AK$1,ROW(SelectedSpecies)),ROW(3767:3767)),2),"")</f>
        <v/>
      </c>
      <c r="BE3766" s="10"/>
      <c r="BI3766" s="10"/>
    </row>
    <row r="3767" spans="1:61" ht="21" customHeight="1" x14ac:dyDescent="0.25">
      <c r="A3767" s="10"/>
      <c r="B3767" s="10"/>
      <c r="E3767" s="10"/>
      <c r="G3767" s="10"/>
      <c r="I3767" s="436" t="s">
        <v>5299</v>
      </c>
      <c r="J3767" s="26" t="s">
        <v>5298</v>
      </c>
      <c r="K3767" s="10">
        <v>1.8</v>
      </c>
      <c r="L3767" s="73">
        <f>IF(Tank1!$C$23="No control",(SUMIF(Tank1!$B$32:$B$49,$J3767,Tank1!$C$32:$C$49)*Impacts!$F$8),0)</f>
        <v>0</v>
      </c>
      <c r="M3767" s="10">
        <f>IF(Tank2!$C$23="No control",(SUMIF(Tank2!$B$32:$B$49,$J3767,Tank2!$C$32:$C$49)*Impacts!$F$9),0)</f>
        <v>0</v>
      </c>
      <c r="N3767" s="10">
        <f>IF(Tank3!$C$23="No control",(SUMIF(Tank3!$B$32:$B$49,$J3767,Tank3!$C$32:$C$49)*Impacts!$F$10),0)</f>
        <v>0</v>
      </c>
      <c r="O3767" s="10">
        <f>IF(Tank4!$C$23="No control",(SUMIF(Tank4!$B$32:$B$49,$J3767,Tank4!$C$32:$C$49)*Impacts!$F$11),0)</f>
        <v>0</v>
      </c>
      <c r="P3767" s="10">
        <f>IF(Tank5!$C$23="No control",(SUMIF(Tank5!$B$32:$B$49,$J3767,Tank5!$C$32:$C$49)*Impacts!$F$12),0)</f>
        <v>0</v>
      </c>
      <c r="Q3767" s="10">
        <f>IFERROR(IF(('Loading-drum,tote'!$C$21)="No control",SUMIF(('Loading-drum,tote'!$B$31:$B$48),$J3767,('Loading-drum,tote'!$D$31:$D$48))*Impacts!$F$13,IF(('Loading-drum,tote'!$C$21)&lt;&gt;"No control",SUMIF(('Loading-drum,tote'!$B$31:$B$48),$J3767,('Loading-drum,tote'!$E$31:$E$48))*Impacts!$F$13,0)),0)</f>
        <v>0</v>
      </c>
      <c r="R3767" s="10">
        <f>IFERROR(IF(('Loading-truck'!$C$21)="No control",SUMIF(('Loading-truck'!$B$31:$B$48),$J3767,('Loading-truck'!$D$31:$D$48))*Impacts!$F$14,IF(('Loading-truck'!$C$21)&lt;&gt;"No control",SUMIF(('Loading-truck'!$B$31:$B$48),$J3767,('Loading-truck'!$E$31:$E$48))*Impacts!$F$14,0)),0)</f>
        <v>0</v>
      </c>
      <c r="S3767" s="10">
        <f>IFERROR(IF(('Loading-rail'!$C$21)="No control",SUMIF(('Loading-rail'!$B$31:$B$48),$J3767,('Loading-rail'!$D$31:$D$48))*Impacts!$F$15,IF(('Loading-rail'!$C$21)&lt;&gt;"No control",SUMIF(('Loading-rail'!$B$31:$B$48),$J3767,('Loading-rail'!$E$31:$E$48))*Impacts!$F$15,0)),0)</f>
        <v>0</v>
      </c>
      <c r="T3767" s="10">
        <f>IF(Flare!$C$7="",0,(SUMIF(Flare!$B$46:$B$185,$J3767,Flare!$E$46:$E$185)*Impacts!$F$16))</f>
        <v>0</v>
      </c>
      <c r="U3767" s="10">
        <f>IF(VCU!$C$9="",0,(SUMIF(VCU!$B$51:$B$193,$J3767,VCU!$E$51:$E$193)*Impacts!$F$17))</f>
        <v>0</v>
      </c>
      <c r="V3767" s="10">
        <f>IF(CAS!$C$7="",0,(SUMIF(CAS!$B$31:$B$167,$J3767,CAS!$E$31:$E$167)*Impacts!$F$18))</f>
        <v>0</v>
      </c>
      <c r="W3767" s="10">
        <f t="shared" si="99"/>
        <v>0</v>
      </c>
      <c r="AK3767" s="10" t="str">
        <f t="array" ref="AK3767">IFERROR(INDEX(SelectedSpecies,SMALL(IF(SelectedSpecies=AK$1,ROW(SelectedSpecies)),ROW(3768:3768)),2),"")</f>
        <v/>
      </c>
      <c r="BE3767" s="10"/>
      <c r="BI3767" s="10"/>
    </row>
    <row r="3768" spans="1:61" ht="21" customHeight="1" x14ac:dyDescent="0.25">
      <c r="A3768" s="10"/>
      <c r="B3768" s="10"/>
      <c r="E3768" s="10"/>
      <c r="G3768" s="10"/>
      <c r="I3768" s="436" t="s">
        <v>6954</v>
      </c>
      <c r="J3768" s="26" t="s">
        <v>6953</v>
      </c>
      <c r="K3768" s="10">
        <v>0.5</v>
      </c>
      <c r="L3768" s="73">
        <f>IF(Tank1!$C$23="No control",(SUMIF(Tank1!$B$32:$B$49,$J3768,Tank1!$C$32:$C$49)*Impacts!$F$8),0)</f>
        <v>0</v>
      </c>
      <c r="M3768" s="10">
        <f>IF(Tank2!$C$23="No control",(SUMIF(Tank2!$B$32:$B$49,$J3768,Tank2!$C$32:$C$49)*Impacts!$F$9),0)</f>
        <v>0</v>
      </c>
      <c r="N3768" s="10">
        <f>IF(Tank3!$C$23="No control",(SUMIF(Tank3!$B$32:$B$49,$J3768,Tank3!$C$32:$C$49)*Impacts!$F$10),0)</f>
        <v>0</v>
      </c>
      <c r="O3768" s="10">
        <f>IF(Tank4!$C$23="No control",(SUMIF(Tank4!$B$32:$B$49,$J3768,Tank4!$C$32:$C$49)*Impacts!$F$11),0)</f>
        <v>0</v>
      </c>
      <c r="P3768" s="10">
        <f>IF(Tank5!$C$23="No control",(SUMIF(Tank5!$B$32:$B$49,$J3768,Tank5!$C$32:$C$49)*Impacts!$F$12),0)</f>
        <v>0</v>
      </c>
      <c r="Q3768" s="10">
        <f>IFERROR(IF(('Loading-drum,tote'!$C$21)="No control",SUMIF(('Loading-drum,tote'!$B$31:$B$48),$J3768,('Loading-drum,tote'!$D$31:$D$48))*Impacts!$F$13,IF(('Loading-drum,tote'!$C$21)&lt;&gt;"No control",SUMIF(('Loading-drum,tote'!$B$31:$B$48),$J3768,('Loading-drum,tote'!$E$31:$E$48))*Impacts!$F$13,0)),0)</f>
        <v>0</v>
      </c>
      <c r="R3768" s="10">
        <f>IFERROR(IF(('Loading-truck'!$C$21)="No control",SUMIF(('Loading-truck'!$B$31:$B$48),$J3768,('Loading-truck'!$D$31:$D$48))*Impacts!$F$14,IF(('Loading-truck'!$C$21)&lt;&gt;"No control",SUMIF(('Loading-truck'!$B$31:$B$48),$J3768,('Loading-truck'!$E$31:$E$48))*Impacts!$F$14,0)),0)</f>
        <v>0</v>
      </c>
      <c r="S3768" s="10">
        <f>IFERROR(IF(('Loading-rail'!$C$21)="No control",SUMIF(('Loading-rail'!$B$31:$B$48),$J3768,('Loading-rail'!$D$31:$D$48))*Impacts!$F$15,IF(('Loading-rail'!$C$21)&lt;&gt;"No control",SUMIF(('Loading-rail'!$B$31:$B$48),$J3768,('Loading-rail'!$E$31:$E$48))*Impacts!$F$15,0)),0)</f>
        <v>0</v>
      </c>
      <c r="T3768" s="10">
        <f>IF(Flare!$C$7="",0,(SUMIF(Flare!$B$46:$B$185,$J3768,Flare!$E$46:$E$185)*Impacts!$F$16))</f>
        <v>0</v>
      </c>
      <c r="U3768" s="10">
        <f>IF(VCU!$C$9="",0,(SUMIF(VCU!$B$51:$B$193,$J3768,VCU!$E$51:$E$193)*Impacts!$F$17))</f>
        <v>0</v>
      </c>
      <c r="V3768" s="10">
        <f>IF(CAS!$C$7="",0,(SUMIF(CAS!$B$31:$B$167,$J3768,CAS!$E$31:$E$167)*Impacts!$F$18))</f>
        <v>0</v>
      </c>
      <c r="W3768" s="10">
        <f t="shared" si="99"/>
        <v>0</v>
      </c>
      <c r="AK3768" s="10" t="str">
        <f t="array" ref="AK3768">IFERROR(INDEX(SelectedSpecies,SMALL(IF(SelectedSpecies=AK$1,ROW(SelectedSpecies)),ROW(3769:3769)),2),"")</f>
        <v/>
      </c>
      <c r="BE3768" s="10"/>
      <c r="BI3768" s="10"/>
    </row>
    <row r="3769" spans="1:61" ht="21" customHeight="1" x14ac:dyDescent="0.25">
      <c r="A3769" s="10"/>
      <c r="B3769" s="10"/>
      <c r="E3769" s="10"/>
      <c r="G3769" s="10"/>
      <c r="I3769" s="436" t="s">
        <v>3887</v>
      </c>
      <c r="J3769" s="26" t="s">
        <v>3886</v>
      </c>
      <c r="K3769" s="10">
        <v>6</v>
      </c>
      <c r="L3769" s="73">
        <f>IF(Tank1!$C$23="No control",(SUMIF(Tank1!$B$32:$B$49,$J3769,Tank1!$C$32:$C$49)*Impacts!$F$8),0)</f>
        <v>0</v>
      </c>
      <c r="M3769" s="10">
        <f>IF(Tank2!$C$23="No control",(SUMIF(Tank2!$B$32:$B$49,$J3769,Tank2!$C$32:$C$49)*Impacts!$F$9),0)</f>
        <v>0</v>
      </c>
      <c r="N3769" s="10">
        <f>IF(Tank3!$C$23="No control",(SUMIF(Tank3!$B$32:$B$49,$J3769,Tank3!$C$32:$C$49)*Impacts!$F$10),0)</f>
        <v>0</v>
      </c>
      <c r="O3769" s="10">
        <f>IF(Tank4!$C$23="No control",(SUMIF(Tank4!$B$32:$B$49,$J3769,Tank4!$C$32:$C$49)*Impacts!$F$11),0)</f>
        <v>0</v>
      </c>
      <c r="P3769" s="10">
        <f>IF(Tank5!$C$23="No control",(SUMIF(Tank5!$B$32:$B$49,$J3769,Tank5!$C$32:$C$49)*Impacts!$F$12),0)</f>
        <v>0</v>
      </c>
      <c r="Q3769" s="10">
        <f>IFERROR(IF(('Loading-drum,tote'!$C$21)="No control",SUMIF(('Loading-drum,tote'!$B$31:$B$48),$J3769,('Loading-drum,tote'!$D$31:$D$48))*Impacts!$F$13,IF(('Loading-drum,tote'!$C$21)&lt;&gt;"No control",SUMIF(('Loading-drum,tote'!$B$31:$B$48),$J3769,('Loading-drum,tote'!$E$31:$E$48))*Impacts!$F$13,0)),0)</f>
        <v>0</v>
      </c>
      <c r="R3769" s="10">
        <f>IFERROR(IF(('Loading-truck'!$C$21)="No control",SUMIF(('Loading-truck'!$B$31:$B$48),$J3769,('Loading-truck'!$D$31:$D$48))*Impacts!$F$14,IF(('Loading-truck'!$C$21)&lt;&gt;"No control",SUMIF(('Loading-truck'!$B$31:$B$48),$J3769,('Loading-truck'!$E$31:$E$48))*Impacts!$F$14,0)),0)</f>
        <v>0</v>
      </c>
      <c r="S3769" s="10">
        <f>IFERROR(IF(('Loading-rail'!$C$21)="No control",SUMIF(('Loading-rail'!$B$31:$B$48),$J3769,('Loading-rail'!$D$31:$D$48))*Impacts!$F$15,IF(('Loading-rail'!$C$21)&lt;&gt;"No control",SUMIF(('Loading-rail'!$B$31:$B$48),$J3769,('Loading-rail'!$E$31:$E$48))*Impacts!$F$15,0)),0)</f>
        <v>0</v>
      </c>
      <c r="T3769" s="10">
        <f>IF(Flare!$C$7="",0,(SUMIF(Flare!$B$46:$B$185,$J3769,Flare!$E$46:$E$185)*Impacts!$F$16))</f>
        <v>0</v>
      </c>
      <c r="U3769" s="10">
        <f>IF(VCU!$C$9="",0,(SUMIF(VCU!$B$51:$B$193,$J3769,VCU!$E$51:$E$193)*Impacts!$F$17))</f>
        <v>0</v>
      </c>
      <c r="V3769" s="10">
        <f>IF(CAS!$C$7="",0,(SUMIF(CAS!$B$31:$B$167,$J3769,CAS!$E$31:$E$167)*Impacts!$F$18))</f>
        <v>0</v>
      </c>
      <c r="W3769" s="10">
        <f t="shared" si="99"/>
        <v>0</v>
      </c>
      <c r="AK3769" s="10" t="str">
        <f t="array" ref="AK3769">IFERROR(INDEX(SelectedSpecies,SMALL(IF(SelectedSpecies=AK$1,ROW(SelectedSpecies)),ROW(3770:3770)),2),"")</f>
        <v/>
      </c>
      <c r="BE3769" s="10"/>
      <c r="BI3769" s="10"/>
    </row>
    <row r="3770" spans="1:61" ht="21" customHeight="1" x14ac:dyDescent="0.25">
      <c r="A3770" s="10"/>
      <c r="B3770" s="10"/>
      <c r="E3770" s="10"/>
      <c r="G3770" s="10"/>
      <c r="I3770" s="436" t="s">
        <v>7794</v>
      </c>
      <c r="J3770" s="26" t="s">
        <v>7793</v>
      </c>
      <c r="K3770" s="10">
        <v>0.1</v>
      </c>
      <c r="L3770" s="73">
        <f>IF(Tank1!$C$23="No control",(SUMIF(Tank1!$B$32:$B$49,$J3770,Tank1!$C$32:$C$49)*Impacts!$F$8),0)</f>
        <v>0</v>
      </c>
      <c r="M3770" s="10">
        <f>IF(Tank2!$C$23="No control",(SUMIF(Tank2!$B$32:$B$49,$J3770,Tank2!$C$32:$C$49)*Impacts!$F$9),0)</f>
        <v>0</v>
      </c>
      <c r="N3770" s="10">
        <f>IF(Tank3!$C$23="No control",(SUMIF(Tank3!$B$32:$B$49,$J3770,Tank3!$C$32:$C$49)*Impacts!$F$10),0)</f>
        <v>0</v>
      </c>
      <c r="O3770" s="10">
        <f>IF(Tank4!$C$23="No control",(SUMIF(Tank4!$B$32:$B$49,$J3770,Tank4!$C$32:$C$49)*Impacts!$F$11),0)</f>
        <v>0</v>
      </c>
      <c r="P3770" s="10">
        <f>IF(Tank5!$C$23="No control",(SUMIF(Tank5!$B$32:$B$49,$J3770,Tank5!$C$32:$C$49)*Impacts!$F$12),0)</f>
        <v>0</v>
      </c>
      <c r="Q3770" s="10">
        <f>IFERROR(IF(('Loading-drum,tote'!$C$21)="No control",SUMIF(('Loading-drum,tote'!$B$31:$B$48),$J3770,('Loading-drum,tote'!$D$31:$D$48))*Impacts!$F$13,IF(('Loading-drum,tote'!$C$21)&lt;&gt;"No control",SUMIF(('Loading-drum,tote'!$B$31:$B$48),$J3770,('Loading-drum,tote'!$E$31:$E$48))*Impacts!$F$13,0)),0)</f>
        <v>0</v>
      </c>
      <c r="R3770" s="10">
        <f>IFERROR(IF(('Loading-truck'!$C$21)="No control",SUMIF(('Loading-truck'!$B$31:$B$48),$J3770,('Loading-truck'!$D$31:$D$48))*Impacts!$F$14,IF(('Loading-truck'!$C$21)&lt;&gt;"No control",SUMIF(('Loading-truck'!$B$31:$B$48),$J3770,('Loading-truck'!$E$31:$E$48))*Impacts!$F$14,0)),0)</f>
        <v>0</v>
      </c>
      <c r="S3770" s="10">
        <f>IFERROR(IF(('Loading-rail'!$C$21)="No control",SUMIF(('Loading-rail'!$B$31:$B$48),$J3770,('Loading-rail'!$D$31:$D$48))*Impacts!$F$15,IF(('Loading-rail'!$C$21)&lt;&gt;"No control",SUMIF(('Loading-rail'!$B$31:$B$48),$J3770,('Loading-rail'!$E$31:$E$48))*Impacts!$F$15,0)),0)</f>
        <v>0</v>
      </c>
      <c r="T3770" s="10">
        <f>IF(Flare!$C$7="",0,(SUMIF(Flare!$B$46:$B$185,$J3770,Flare!$E$46:$E$185)*Impacts!$F$16))</f>
        <v>0</v>
      </c>
      <c r="U3770" s="10">
        <f>IF(VCU!$C$9="",0,(SUMIF(VCU!$B$51:$B$193,$J3770,VCU!$E$51:$E$193)*Impacts!$F$17))</f>
        <v>0</v>
      </c>
      <c r="V3770" s="10">
        <f>IF(CAS!$C$7="",0,(SUMIF(CAS!$B$31:$B$167,$J3770,CAS!$E$31:$E$167)*Impacts!$F$18))</f>
        <v>0</v>
      </c>
      <c r="W3770" s="10">
        <f t="shared" si="99"/>
        <v>0</v>
      </c>
      <c r="AK3770" s="10" t="str">
        <f t="array" ref="AK3770">IFERROR(INDEX(SelectedSpecies,SMALL(IF(SelectedSpecies=AK$1,ROW(SelectedSpecies)),ROW(3771:3771)),2),"")</f>
        <v/>
      </c>
      <c r="BE3770" s="10"/>
      <c r="BI3770" s="10"/>
    </row>
    <row r="3771" spans="1:61" ht="21" customHeight="1" x14ac:dyDescent="0.25">
      <c r="A3771" s="10"/>
      <c r="B3771" s="10"/>
      <c r="E3771" s="10"/>
      <c r="G3771" s="10"/>
      <c r="I3771" s="436" t="s">
        <v>6188</v>
      </c>
      <c r="J3771" s="26" t="s">
        <v>6187</v>
      </c>
      <c r="K3771" s="10">
        <v>1</v>
      </c>
      <c r="L3771" s="73">
        <f>IF(Tank1!$C$23="No control",(SUMIF(Tank1!$B$32:$B$49,$J3771,Tank1!$C$32:$C$49)*Impacts!$F$8),0)</f>
        <v>0</v>
      </c>
      <c r="M3771" s="10">
        <f>IF(Tank2!$C$23="No control",(SUMIF(Tank2!$B$32:$B$49,$J3771,Tank2!$C$32:$C$49)*Impacts!$F$9),0)</f>
        <v>0</v>
      </c>
      <c r="N3771" s="10">
        <f>IF(Tank3!$C$23="No control",(SUMIF(Tank3!$B$32:$B$49,$J3771,Tank3!$C$32:$C$49)*Impacts!$F$10),0)</f>
        <v>0</v>
      </c>
      <c r="O3771" s="10">
        <f>IF(Tank4!$C$23="No control",(SUMIF(Tank4!$B$32:$B$49,$J3771,Tank4!$C$32:$C$49)*Impacts!$F$11),0)</f>
        <v>0</v>
      </c>
      <c r="P3771" s="10">
        <f>IF(Tank5!$C$23="No control",(SUMIF(Tank5!$B$32:$B$49,$J3771,Tank5!$C$32:$C$49)*Impacts!$F$12),0)</f>
        <v>0</v>
      </c>
      <c r="Q3771" s="10">
        <f>IFERROR(IF(('Loading-drum,tote'!$C$21)="No control",SUMIF(('Loading-drum,tote'!$B$31:$B$48),$J3771,('Loading-drum,tote'!$D$31:$D$48))*Impacts!$F$13,IF(('Loading-drum,tote'!$C$21)&lt;&gt;"No control",SUMIF(('Loading-drum,tote'!$B$31:$B$48),$J3771,('Loading-drum,tote'!$E$31:$E$48))*Impacts!$F$13,0)),0)</f>
        <v>0</v>
      </c>
      <c r="R3771" s="10">
        <f>IFERROR(IF(('Loading-truck'!$C$21)="No control",SUMIF(('Loading-truck'!$B$31:$B$48),$J3771,('Loading-truck'!$D$31:$D$48))*Impacts!$F$14,IF(('Loading-truck'!$C$21)&lt;&gt;"No control",SUMIF(('Loading-truck'!$B$31:$B$48),$J3771,('Loading-truck'!$E$31:$E$48))*Impacts!$F$14,0)),0)</f>
        <v>0</v>
      </c>
      <c r="S3771" s="10">
        <f>IFERROR(IF(('Loading-rail'!$C$21)="No control",SUMIF(('Loading-rail'!$B$31:$B$48),$J3771,('Loading-rail'!$D$31:$D$48))*Impacts!$F$15,IF(('Loading-rail'!$C$21)&lt;&gt;"No control",SUMIF(('Loading-rail'!$B$31:$B$48),$J3771,('Loading-rail'!$E$31:$E$48))*Impacts!$F$15,0)),0)</f>
        <v>0</v>
      </c>
      <c r="T3771" s="10">
        <f>IF(Flare!$C$7="",0,(SUMIF(Flare!$B$46:$B$185,$J3771,Flare!$E$46:$E$185)*Impacts!$F$16))</f>
        <v>0</v>
      </c>
      <c r="U3771" s="10">
        <f>IF(VCU!$C$9="",0,(SUMIF(VCU!$B$51:$B$193,$J3771,VCU!$E$51:$E$193)*Impacts!$F$17))</f>
        <v>0</v>
      </c>
      <c r="V3771" s="10">
        <f>IF(CAS!$C$7="",0,(SUMIF(CAS!$B$31:$B$167,$J3771,CAS!$E$31:$E$167)*Impacts!$F$18))</f>
        <v>0</v>
      </c>
      <c r="W3771" s="10">
        <f t="shared" si="99"/>
        <v>0</v>
      </c>
      <c r="AK3771" s="10" t="str">
        <f t="array" ref="AK3771">IFERROR(INDEX(SelectedSpecies,SMALL(IF(SelectedSpecies=AK$1,ROW(SelectedSpecies)),ROW(3772:3772)),2),"")</f>
        <v/>
      </c>
      <c r="BE3771" s="10"/>
      <c r="BI3771" s="10"/>
    </row>
    <row r="3772" spans="1:61" ht="21" customHeight="1" x14ac:dyDescent="0.25">
      <c r="A3772" s="10"/>
      <c r="B3772" s="10"/>
      <c r="E3772" s="10"/>
      <c r="G3772" s="10"/>
      <c r="I3772" s="436" t="s">
        <v>3701</v>
      </c>
      <c r="J3772" s="26" t="s">
        <v>3700</v>
      </c>
      <c r="K3772" s="10">
        <v>7</v>
      </c>
      <c r="L3772" s="73">
        <f>IF(Tank1!$C$23="No control",(SUMIF(Tank1!$B$32:$B$49,$J3772,Tank1!$C$32:$C$49)*Impacts!$F$8),0)</f>
        <v>0</v>
      </c>
      <c r="M3772" s="10">
        <f>IF(Tank2!$C$23="No control",(SUMIF(Tank2!$B$32:$B$49,$J3772,Tank2!$C$32:$C$49)*Impacts!$F$9),0)</f>
        <v>0</v>
      </c>
      <c r="N3772" s="10">
        <f>IF(Tank3!$C$23="No control",(SUMIF(Tank3!$B$32:$B$49,$J3772,Tank3!$C$32:$C$49)*Impacts!$F$10),0)</f>
        <v>0</v>
      </c>
      <c r="O3772" s="10">
        <f>IF(Tank4!$C$23="No control",(SUMIF(Tank4!$B$32:$B$49,$J3772,Tank4!$C$32:$C$49)*Impacts!$F$11),0)</f>
        <v>0</v>
      </c>
      <c r="P3772" s="10">
        <f>IF(Tank5!$C$23="No control",(SUMIF(Tank5!$B$32:$B$49,$J3772,Tank5!$C$32:$C$49)*Impacts!$F$12),0)</f>
        <v>0</v>
      </c>
      <c r="Q3772" s="10">
        <f>IFERROR(IF(('Loading-drum,tote'!$C$21)="No control",SUMIF(('Loading-drum,tote'!$B$31:$B$48),$J3772,('Loading-drum,tote'!$D$31:$D$48))*Impacts!$F$13,IF(('Loading-drum,tote'!$C$21)&lt;&gt;"No control",SUMIF(('Loading-drum,tote'!$B$31:$B$48),$J3772,('Loading-drum,tote'!$E$31:$E$48))*Impacts!$F$13,0)),0)</f>
        <v>0</v>
      </c>
      <c r="R3772" s="10">
        <f>IFERROR(IF(('Loading-truck'!$C$21)="No control",SUMIF(('Loading-truck'!$B$31:$B$48),$J3772,('Loading-truck'!$D$31:$D$48))*Impacts!$F$14,IF(('Loading-truck'!$C$21)&lt;&gt;"No control",SUMIF(('Loading-truck'!$B$31:$B$48),$J3772,('Loading-truck'!$E$31:$E$48))*Impacts!$F$14,0)),0)</f>
        <v>0</v>
      </c>
      <c r="S3772" s="10">
        <f>IFERROR(IF(('Loading-rail'!$C$21)="No control",SUMIF(('Loading-rail'!$B$31:$B$48),$J3772,('Loading-rail'!$D$31:$D$48))*Impacts!$F$15,IF(('Loading-rail'!$C$21)&lt;&gt;"No control",SUMIF(('Loading-rail'!$B$31:$B$48),$J3772,('Loading-rail'!$E$31:$E$48))*Impacts!$F$15,0)),0)</f>
        <v>0</v>
      </c>
      <c r="T3772" s="10">
        <f>IF(Flare!$C$7="",0,(SUMIF(Flare!$B$46:$B$185,$J3772,Flare!$E$46:$E$185)*Impacts!$F$16))</f>
        <v>0</v>
      </c>
      <c r="U3772" s="10">
        <f>IF(VCU!$C$9="",0,(SUMIF(VCU!$B$51:$B$193,$J3772,VCU!$E$51:$E$193)*Impacts!$F$17))</f>
        <v>0</v>
      </c>
      <c r="V3772" s="10">
        <f>IF(CAS!$C$7="",0,(SUMIF(CAS!$B$31:$B$167,$J3772,CAS!$E$31:$E$167)*Impacts!$F$18))</f>
        <v>0</v>
      </c>
      <c r="W3772" s="10">
        <f t="shared" si="99"/>
        <v>0</v>
      </c>
      <c r="AK3772" s="10" t="str">
        <f t="array" ref="AK3772">IFERROR(INDEX(SelectedSpecies,SMALL(IF(SelectedSpecies=AK$1,ROW(SelectedSpecies)),ROW(3773:3773)),2),"")</f>
        <v/>
      </c>
      <c r="BE3772" s="10"/>
      <c r="BI3772" s="10"/>
    </row>
    <row r="3773" spans="1:61" ht="21" customHeight="1" x14ac:dyDescent="0.25">
      <c r="A3773" s="10"/>
      <c r="B3773" s="10"/>
      <c r="E3773" s="10"/>
      <c r="G3773" s="10"/>
      <c r="I3773" s="436" t="s">
        <v>2187</v>
      </c>
      <c r="J3773" s="26" t="s">
        <v>2186</v>
      </c>
      <c r="K3773" s="10">
        <v>15</v>
      </c>
      <c r="L3773" s="73">
        <f>IF(Tank1!$C$23="No control",(SUMIF(Tank1!$B$32:$B$49,$J3773,Tank1!$C$32:$C$49)*Impacts!$F$8),0)</f>
        <v>0</v>
      </c>
      <c r="M3773" s="10">
        <f>IF(Tank2!$C$23="No control",(SUMIF(Tank2!$B$32:$B$49,$J3773,Tank2!$C$32:$C$49)*Impacts!$F$9),0)</f>
        <v>0</v>
      </c>
      <c r="N3773" s="10">
        <f>IF(Tank3!$C$23="No control",(SUMIF(Tank3!$B$32:$B$49,$J3773,Tank3!$C$32:$C$49)*Impacts!$F$10),0)</f>
        <v>0</v>
      </c>
      <c r="O3773" s="10">
        <f>IF(Tank4!$C$23="No control",(SUMIF(Tank4!$B$32:$B$49,$J3773,Tank4!$C$32:$C$49)*Impacts!$F$11),0)</f>
        <v>0</v>
      </c>
      <c r="P3773" s="10">
        <f>IF(Tank5!$C$23="No control",(SUMIF(Tank5!$B$32:$B$49,$J3773,Tank5!$C$32:$C$49)*Impacts!$F$12),0)</f>
        <v>0</v>
      </c>
      <c r="Q3773" s="10">
        <f>IFERROR(IF(('Loading-drum,tote'!$C$21)="No control",SUMIF(('Loading-drum,tote'!$B$31:$B$48),$J3773,('Loading-drum,tote'!$D$31:$D$48))*Impacts!$F$13,IF(('Loading-drum,tote'!$C$21)&lt;&gt;"No control",SUMIF(('Loading-drum,tote'!$B$31:$B$48),$J3773,('Loading-drum,tote'!$E$31:$E$48))*Impacts!$F$13,0)),0)</f>
        <v>0</v>
      </c>
      <c r="R3773" s="10">
        <f>IFERROR(IF(('Loading-truck'!$C$21)="No control",SUMIF(('Loading-truck'!$B$31:$B$48),$J3773,('Loading-truck'!$D$31:$D$48))*Impacts!$F$14,IF(('Loading-truck'!$C$21)&lt;&gt;"No control",SUMIF(('Loading-truck'!$B$31:$B$48),$J3773,('Loading-truck'!$E$31:$E$48))*Impacts!$F$14,0)),0)</f>
        <v>0</v>
      </c>
      <c r="S3773" s="10">
        <f>IFERROR(IF(('Loading-rail'!$C$21)="No control",SUMIF(('Loading-rail'!$B$31:$B$48),$J3773,('Loading-rail'!$D$31:$D$48))*Impacts!$F$15,IF(('Loading-rail'!$C$21)&lt;&gt;"No control",SUMIF(('Loading-rail'!$B$31:$B$48),$J3773,('Loading-rail'!$E$31:$E$48))*Impacts!$F$15,0)),0)</f>
        <v>0</v>
      </c>
      <c r="T3773" s="10">
        <f>IF(Flare!$C$7="",0,(SUMIF(Flare!$B$46:$B$185,$J3773,Flare!$E$46:$E$185)*Impacts!$F$16))</f>
        <v>0</v>
      </c>
      <c r="U3773" s="10">
        <f>IF(VCU!$C$9="",0,(SUMIF(VCU!$B$51:$B$193,$J3773,VCU!$E$51:$E$193)*Impacts!$F$17))</f>
        <v>0</v>
      </c>
      <c r="V3773" s="10">
        <f>IF(CAS!$C$7="",0,(SUMIF(CAS!$B$31:$B$167,$J3773,CAS!$E$31:$E$167)*Impacts!$F$18))</f>
        <v>0</v>
      </c>
      <c r="W3773" s="10">
        <f t="shared" si="99"/>
        <v>0</v>
      </c>
      <c r="AK3773" s="10" t="str">
        <f t="array" ref="AK3773">IFERROR(INDEX(SelectedSpecies,SMALL(IF(SelectedSpecies=AK$1,ROW(SelectedSpecies)),ROW(3774:3774)),2),"")</f>
        <v/>
      </c>
      <c r="BE3773" s="10"/>
      <c r="BI3773" s="10"/>
    </row>
    <row r="3774" spans="1:61" ht="21" customHeight="1" x14ac:dyDescent="0.25">
      <c r="A3774" s="10"/>
      <c r="B3774" s="10"/>
      <c r="E3774" s="10"/>
      <c r="G3774" s="10"/>
      <c r="I3774" s="436" t="s">
        <v>6956</v>
      </c>
      <c r="J3774" s="26" t="s">
        <v>6955</v>
      </c>
      <c r="K3774" s="10">
        <v>0.5</v>
      </c>
      <c r="L3774" s="73">
        <f>IF(Tank1!$C$23="No control",(SUMIF(Tank1!$B$32:$B$49,$J3774,Tank1!$C$32:$C$49)*Impacts!$F$8),0)</f>
        <v>0</v>
      </c>
      <c r="M3774" s="10">
        <f>IF(Tank2!$C$23="No control",(SUMIF(Tank2!$B$32:$B$49,$J3774,Tank2!$C$32:$C$49)*Impacts!$F$9),0)</f>
        <v>0</v>
      </c>
      <c r="N3774" s="10">
        <f>IF(Tank3!$C$23="No control",(SUMIF(Tank3!$B$32:$B$49,$J3774,Tank3!$C$32:$C$49)*Impacts!$F$10),0)</f>
        <v>0</v>
      </c>
      <c r="O3774" s="10">
        <f>IF(Tank4!$C$23="No control",(SUMIF(Tank4!$B$32:$B$49,$J3774,Tank4!$C$32:$C$49)*Impacts!$F$11),0)</f>
        <v>0</v>
      </c>
      <c r="P3774" s="10">
        <f>IF(Tank5!$C$23="No control",(SUMIF(Tank5!$B$32:$B$49,$J3774,Tank5!$C$32:$C$49)*Impacts!$F$12),0)</f>
        <v>0</v>
      </c>
      <c r="Q3774" s="10">
        <f>IFERROR(IF(('Loading-drum,tote'!$C$21)="No control",SUMIF(('Loading-drum,tote'!$B$31:$B$48),$J3774,('Loading-drum,tote'!$D$31:$D$48))*Impacts!$F$13,IF(('Loading-drum,tote'!$C$21)&lt;&gt;"No control",SUMIF(('Loading-drum,tote'!$B$31:$B$48),$J3774,('Loading-drum,tote'!$E$31:$E$48))*Impacts!$F$13,0)),0)</f>
        <v>0</v>
      </c>
      <c r="R3774" s="10">
        <f>IFERROR(IF(('Loading-truck'!$C$21)="No control",SUMIF(('Loading-truck'!$B$31:$B$48),$J3774,('Loading-truck'!$D$31:$D$48))*Impacts!$F$14,IF(('Loading-truck'!$C$21)&lt;&gt;"No control",SUMIF(('Loading-truck'!$B$31:$B$48),$J3774,('Loading-truck'!$E$31:$E$48))*Impacts!$F$14,0)),0)</f>
        <v>0</v>
      </c>
      <c r="S3774" s="10">
        <f>IFERROR(IF(('Loading-rail'!$C$21)="No control",SUMIF(('Loading-rail'!$B$31:$B$48),$J3774,('Loading-rail'!$D$31:$D$48))*Impacts!$F$15,IF(('Loading-rail'!$C$21)&lt;&gt;"No control",SUMIF(('Loading-rail'!$B$31:$B$48),$J3774,('Loading-rail'!$E$31:$E$48))*Impacts!$F$15,0)),0)</f>
        <v>0</v>
      </c>
      <c r="T3774" s="10">
        <f>IF(Flare!$C$7="",0,(SUMIF(Flare!$B$46:$B$185,$J3774,Flare!$E$46:$E$185)*Impacts!$F$16))</f>
        <v>0</v>
      </c>
      <c r="U3774" s="10">
        <f>IF(VCU!$C$9="",0,(SUMIF(VCU!$B$51:$B$193,$J3774,VCU!$E$51:$E$193)*Impacts!$F$17))</f>
        <v>0</v>
      </c>
      <c r="V3774" s="10">
        <f>IF(CAS!$C$7="",0,(SUMIF(CAS!$B$31:$B$167,$J3774,CAS!$E$31:$E$167)*Impacts!$F$18))</f>
        <v>0</v>
      </c>
      <c r="W3774" s="10">
        <f t="shared" si="99"/>
        <v>0</v>
      </c>
      <c r="AK3774" s="10" t="str">
        <f t="array" ref="AK3774">IFERROR(INDEX(SelectedSpecies,SMALL(IF(SelectedSpecies=AK$1,ROW(SelectedSpecies)),ROW(3775:3775)),2),"")</f>
        <v/>
      </c>
      <c r="BE3774" s="10"/>
      <c r="BI3774" s="10"/>
    </row>
    <row r="3775" spans="1:61" ht="21" customHeight="1" x14ac:dyDescent="0.25">
      <c r="A3775" s="10"/>
      <c r="B3775" s="10"/>
      <c r="E3775" s="10"/>
      <c r="G3775" s="10"/>
      <c r="I3775" s="436" t="s">
        <v>10471</v>
      </c>
      <c r="J3775" s="26" t="s">
        <v>10472</v>
      </c>
      <c r="K3775" s="10">
        <v>10</v>
      </c>
      <c r="L3775" s="73">
        <f>IF(Tank1!$C$23="No control",(SUMIF(Tank1!$B$32:$B$49,$J3775,Tank1!$C$32:$C$49)*Impacts!$F$8),0)</f>
        <v>0</v>
      </c>
      <c r="M3775" s="10">
        <f>IF(Tank2!$C$23="No control",(SUMIF(Tank2!$B$32:$B$49,$J3775,Tank2!$C$32:$C$49)*Impacts!$F$9),0)</f>
        <v>0</v>
      </c>
      <c r="N3775" s="10">
        <f>IF(Tank3!$C$23="No control",(SUMIF(Tank3!$B$32:$B$49,$J3775,Tank3!$C$32:$C$49)*Impacts!$F$10),0)</f>
        <v>0</v>
      </c>
      <c r="O3775" s="10">
        <f>IF(Tank4!$C$23="No control",(SUMIF(Tank4!$B$32:$B$49,$J3775,Tank4!$C$32:$C$49)*Impacts!$F$11),0)</f>
        <v>0</v>
      </c>
      <c r="P3775" s="10">
        <f>IF(Tank5!$C$23="No control",(SUMIF(Tank5!$B$32:$B$49,$J3775,Tank5!$C$32:$C$49)*Impacts!$F$12),0)</f>
        <v>0</v>
      </c>
      <c r="Q3775" s="10">
        <f>IFERROR(IF(('Loading-drum,tote'!$C$21)="No control",SUMIF(('Loading-drum,tote'!$B$31:$B$48),$J3775,('Loading-drum,tote'!$D$31:$D$48))*Impacts!$F$13,IF(('Loading-drum,tote'!$C$21)&lt;&gt;"No control",SUMIF(('Loading-drum,tote'!$B$31:$B$48),$J3775,('Loading-drum,tote'!$E$31:$E$48))*Impacts!$F$13,0)),0)</f>
        <v>0</v>
      </c>
      <c r="R3775" s="10">
        <f>IFERROR(IF(('Loading-truck'!$C$21)="No control",SUMIF(('Loading-truck'!$B$31:$B$48),$J3775,('Loading-truck'!$D$31:$D$48))*Impacts!$F$14,IF(('Loading-truck'!$C$21)&lt;&gt;"No control",SUMIF(('Loading-truck'!$B$31:$B$48),$J3775,('Loading-truck'!$E$31:$E$48))*Impacts!$F$14,0)),0)</f>
        <v>0</v>
      </c>
      <c r="S3775" s="10">
        <f>IFERROR(IF(('Loading-rail'!$C$21)="No control",SUMIF(('Loading-rail'!$B$31:$B$48),$J3775,('Loading-rail'!$D$31:$D$48))*Impacts!$F$15,IF(('Loading-rail'!$C$21)&lt;&gt;"No control",SUMIF(('Loading-rail'!$B$31:$B$48),$J3775,('Loading-rail'!$E$31:$E$48))*Impacts!$F$15,0)),0)</f>
        <v>0</v>
      </c>
      <c r="T3775" s="10">
        <f>IF(Flare!$C$7="",0,(SUMIF(Flare!$B$46:$B$185,$J3775,Flare!$E$46:$E$185)*Impacts!$F$16))</f>
        <v>0</v>
      </c>
      <c r="U3775" s="10">
        <f>IF(VCU!$C$9="",0,(SUMIF(VCU!$B$51:$B$193,$J3775,VCU!$E$51:$E$193)*Impacts!$F$17))</f>
        <v>0</v>
      </c>
      <c r="V3775" s="10">
        <f>IF(CAS!$C$7="",0,(SUMIF(CAS!$B$31:$B$167,$J3775,CAS!$E$31:$E$167)*Impacts!$F$18))</f>
        <v>0</v>
      </c>
      <c r="W3775" s="10">
        <f t="shared" si="99"/>
        <v>0</v>
      </c>
      <c r="AK3775" s="10" t="str">
        <f t="array" ref="AK3775">IFERROR(INDEX(SelectedSpecies,SMALL(IF(SelectedSpecies=AK$1,ROW(SelectedSpecies)),ROW(3776:3776)),2),"")</f>
        <v/>
      </c>
      <c r="BE3775" s="10"/>
      <c r="BI3775" s="10"/>
    </row>
    <row r="3776" spans="1:61" ht="21" customHeight="1" x14ac:dyDescent="0.25">
      <c r="A3776" s="10"/>
      <c r="B3776" s="10"/>
      <c r="E3776" s="10"/>
      <c r="G3776" s="10"/>
      <c r="I3776" s="436" t="s">
        <v>7126</v>
      </c>
      <c r="J3776" s="26" t="s">
        <v>7125</v>
      </c>
      <c r="K3776" s="10">
        <v>0.4</v>
      </c>
      <c r="L3776" s="73">
        <f>IF(Tank1!$C$23="No control",(SUMIF(Tank1!$B$32:$B$49,$J3776,Tank1!$C$32:$C$49)*Impacts!$F$8),0)</f>
        <v>0</v>
      </c>
      <c r="M3776" s="10">
        <f>IF(Tank2!$C$23="No control",(SUMIF(Tank2!$B$32:$B$49,$J3776,Tank2!$C$32:$C$49)*Impacts!$F$9),0)</f>
        <v>0</v>
      </c>
      <c r="N3776" s="10">
        <f>IF(Tank3!$C$23="No control",(SUMIF(Tank3!$B$32:$B$49,$J3776,Tank3!$C$32:$C$49)*Impacts!$F$10),0)</f>
        <v>0</v>
      </c>
      <c r="O3776" s="10">
        <f>IF(Tank4!$C$23="No control",(SUMIF(Tank4!$B$32:$B$49,$J3776,Tank4!$C$32:$C$49)*Impacts!$F$11),0)</f>
        <v>0</v>
      </c>
      <c r="P3776" s="10">
        <f>IF(Tank5!$C$23="No control",(SUMIF(Tank5!$B$32:$B$49,$J3776,Tank5!$C$32:$C$49)*Impacts!$F$12),0)</f>
        <v>0</v>
      </c>
      <c r="Q3776" s="10">
        <f>IFERROR(IF(('Loading-drum,tote'!$C$21)="No control",SUMIF(('Loading-drum,tote'!$B$31:$B$48),$J3776,('Loading-drum,tote'!$D$31:$D$48))*Impacts!$F$13,IF(('Loading-drum,tote'!$C$21)&lt;&gt;"No control",SUMIF(('Loading-drum,tote'!$B$31:$B$48),$J3776,('Loading-drum,tote'!$E$31:$E$48))*Impacts!$F$13,0)),0)</f>
        <v>0</v>
      </c>
      <c r="R3776" s="10">
        <f>IFERROR(IF(('Loading-truck'!$C$21)="No control",SUMIF(('Loading-truck'!$B$31:$B$48),$J3776,('Loading-truck'!$D$31:$D$48))*Impacts!$F$14,IF(('Loading-truck'!$C$21)&lt;&gt;"No control",SUMIF(('Loading-truck'!$B$31:$B$48),$J3776,('Loading-truck'!$E$31:$E$48))*Impacts!$F$14,0)),0)</f>
        <v>0</v>
      </c>
      <c r="S3776" s="10">
        <f>IFERROR(IF(('Loading-rail'!$C$21)="No control",SUMIF(('Loading-rail'!$B$31:$B$48),$J3776,('Loading-rail'!$D$31:$D$48))*Impacts!$F$15,IF(('Loading-rail'!$C$21)&lt;&gt;"No control",SUMIF(('Loading-rail'!$B$31:$B$48),$J3776,('Loading-rail'!$E$31:$E$48))*Impacts!$F$15,0)),0)</f>
        <v>0</v>
      </c>
      <c r="T3776" s="10">
        <f>IF(Flare!$C$7="",0,(SUMIF(Flare!$B$46:$B$185,$J3776,Flare!$E$46:$E$185)*Impacts!$F$16))</f>
        <v>0</v>
      </c>
      <c r="U3776" s="10">
        <f>IF(VCU!$C$9="",0,(SUMIF(VCU!$B$51:$B$193,$J3776,VCU!$E$51:$E$193)*Impacts!$F$17))</f>
        <v>0</v>
      </c>
      <c r="V3776" s="10">
        <f>IF(CAS!$C$7="",0,(SUMIF(CAS!$B$31:$B$167,$J3776,CAS!$E$31:$E$167)*Impacts!$F$18))</f>
        <v>0</v>
      </c>
      <c r="W3776" s="10">
        <f t="shared" si="99"/>
        <v>0</v>
      </c>
      <c r="AK3776" s="10" t="str">
        <f t="array" ref="AK3776">IFERROR(INDEX(SelectedSpecies,SMALL(IF(SelectedSpecies=AK$1,ROW(SelectedSpecies)),ROW(3777:3777)),2),"")</f>
        <v/>
      </c>
      <c r="BE3776" s="10"/>
      <c r="BI3776" s="10"/>
    </row>
    <row r="3777" spans="1:61" ht="21" customHeight="1" x14ac:dyDescent="0.25">
      <c r="A3777" s="10"/>
      <c r="B3777" s="10"/>
      <c r="E3777" s="10"/>
      <c r="G3777" s="10"/>
      <c r="I3777" s="436" t="s">
        <v>6958</v>
      </c>
      <c r="J3777" s="26" t="s">
        <v>6957</v>
      </c>
      <c r="K3777" s="10">
        <v>0.5</v>
      </c>
      <c r="L3777" s="73">
        <f>IF(Tank1!$C$23="No control",(SUMIF(Tank1!$B$32:$B$49,$J3777,Tank1!$C$32:$C$49)*Impacts!$F$8),0)</f>
        <v>0</v>
      </c>
      <c r="M3777" s="10">
        <f>IF(Tank2!$C$23="No control",(SUMIF(Tank2!$B$32:$B$49,$J3777,Tank2!$C$32:$C$49)*Impacts!$F$9),0)</f>
        <v>0</v>
      </c>
      <c r="N3777" s="10">
        <f>IF(Tank3!$C$23="No control",(SUMIF(Tank3!$B$32:$B$49,$J3777,Tank3!$C$32:$C$49)*Impacts!$F$10),0)</f>
        <v>0</v>
      </c>
      <c r="O3777" s="10">
        <f>IF(Tank4!$C$23="No control",(SUMIF(Tank4!$B$32:$B$49,$J3777,Tank4!$C$32:$C$49)*Impacts!$F$11),0)</f>
        <v>0</v>
      </c>
      <c r="P3777" s="10">
        <f>IF(Tank5!$C$23="No control",(SUMIF(Tank5!$B$32:$B$49,$J3777,Tank5!$C$32:$C$49)*Impacts!$F$12),0)</f>
        <v>0</v>
      </c>
      <c r="Q3777" s="10">
        <f>IFERROR(IF(('Loading-drum,tote'!$C$21)="No control",SUMIF(('Loading-drum,tote'!$B$31:$B$48),$J3777,('Loading-drum,tote'!$D$31:$D$48))*Impacts!$F$13,IF(('Loading-drum,tote'!$C$21)&lt;&gt;"No control",SUMIF(('Loading-drum,tote'!$B$31:$B$48),$J3777,('Loading-drum,tote'!$E$31:$E$48))*Impacts!$F$13,0)),0)</f>
        <v>0</v>
      </c>
      <c r="R3777" s="10">
        <f>IFERROR(IF(('Loading-truck'!$C$21)="No control",SUMIF(('Loading-truck'!$B$31:$B$48),$J3777,('Loading-truck'!$D$31:$D$48))*Impacts!$F$14,IF(('Loading-truck'!$C$21)&lt;&gt;"No control",SUMIF(('Loading-truck'!$B$31:$B$48),$J3777,('Loading-truck'!$E$31:$E$48))*Impacts!$F$14,0)),0)</f>
        <v>0</v>
      </c>
      <c r="S3777" s="10">
        <f>IFERROR(IF(('Loading-rail'!$C$21)="No control",SUMIF(('Loading-rail'!$B$31:$B$48),$J3777,('Loading-rail'!$D$31:$D$48))*Impacts!$F$15,IF(('Loading-rail'!$C$21)&lt;&gt;"No control",SUMIF(('Loading-rail'!$B$31:$B$48),$J3777,('Loading-rail'!$E$31:$E$48))*Impacts!$F$15,0)),0)</f>
        <v>0</v>
      </c>
      <c r="T3777" s="10">
        <f>IF(Flare!$C$7="",0,(SUMIF(Flare!$B$46:$B$185,$J3777,Flare!$E$46:$E$185)*Impacts!$F$16))</f>
        <v>0</v>
      </c>
      <c r="U3777" s="10">
        <f>IF(VCU!$C$9="",0,(SUMIF(VCU!$B$51:$B$193,$J3777,VCU!$E$51:$E$193)*Impacts!$F$17))</f>
        <v>0</v>
      </c>
      <c r="V3777" s="10">
        <f>IF(CAS!$C$7="",0,(SUMIF(CAS!$B$31:$B$167,$J3777,CAS!$E$31:$E$167)*Impacts!$F$18))</f>
        <v>0</v>
      </c>
      <c r="W3777" s="10">
        <f t="shared" si="99"/>
        <v>0</v>
      </c>
      <c r="AK3777" s="10" t="str">
        <f t="array" ref="AK3777">IFERROR(INDEX(SelectedSpecies,SMALL(IF(SelectedSpecies=AK$1,ROW(SelectedSpecies)),ROW(3778:3778)),2),"")</f>
        <v/>
      </c>
      <c r="BE3777" s="10"/>
      <c r="BI3777" s="10"/>
    </row>
    <row r="3778" spans="1:61" ht="21" customHeight="1" x14ac:dyDescent="0.25">
      <c r="A3778" s="10"/>
      <c r="B3778" s="10"/>
      <c r="E3778" s="10"/>
      <c r="G3778" s="10"/>
      <c r="I3778" s="436" t="s">
        <v>10473</v>
      </c>
      <c r="J3778" s="26" t="s">
        <v>10474</v>
      </c>
      <c r="K3778" s="10">
        <v>2E-3</v>
      </c>
      <c r="L3778" s="73">
        <f>IF(Tank1!$C$23="No control",(SUMIF(Tank1!$B$32:$B$49,$J3778,Tank1!$C$32:$C$49)*Impacts!$F$8),0)</f>
        <v>0</v>
      </c>
      <c r="M3778" s="10">
        <f>IF(Tank2!$C$23="No control",(SUMIF(Tank2!$B$32:$B$49,$J3778,Tank2!$C$32:$C$49)*Impacts!$F$9),0)</f>
        <v>0</v>
      </c>
      <c r="N3778" s="10">
        <f>IF(Tank3!$C$23="No control",(SUMIF(Tank3!$B$32:$B$49,$J3778,Tank3!$C$32:$C$49)*Impacts!$F$10),0)</f>
        <v>0</v>
      </c>
      <c r="O3778" s="10">
        <f>IF(Tank4!$C$23="No control",(SUMIF(Tank4!$B$32:$B$49,$J3778,Tank4!$C$32:$C$49)*Impacts!$F$11),0)</f>
        <v>0</v>
      </c>
      <c r="P3778" s="10">
        <f>IF(Tank5!$C$23="No control",(SUMIF(Tank5!$B$32:$B$49,$J3778,Tank5!$C$32:$C$49)*Impacts!$F$12),0)</f>
        <v>0</v>
      </c>
      <c r="Q3778" s="10">
        <f>IFERROR(IF(('Loading-drum,tote'!$C$21)="No control",SUMIF(('Loading-drum,tote'!$B$31:$B$48),$J3778,('Loading-drum,tote'!$D$31:$D$48))*Impacts!$F$13,IF(('Loading-drum,tote'!$C$21)&lt;&gt;"No control",SUMIF(('Loading-drum,tote'!$B$31:$B$48),$J3778,('Loading-drum,tote'!$E$31:$E$48))*Impacts!$F$13,0)),0)</f>
        <v>0</v>
      </c>
      <c r="R3778" s="10">
        <f>IFERROR(IF(('Loading-truck'!$C$21)="No control",SUMIF(('Loading-truck'!$B$31:$B$48),$J3778,('Loading-truck'!$D$31:$D$48))*Impacts!$F$14,IF(('Loading-truck'!$C$21)&lt;&gt;"No control",SUMIF(('Loading-truck'!$B$31:$B$48),$J3778,('Loading-truck'!$E$31:$E$48))*Impacts!$F$14,0)),0)</f>
        <v>0</v>
      </c>
      <c r="S3778" s="10">
        <f>IFERROR(IF(('Loading-rail'!$C$21)="No control",SUMIF(('Loading-rail'!$B$31:$B$48),$J3778,('Loading-rail'!$D$31:$D$48))*Impacts!$F$15,IF(('Loading-rail'!$C$21)&lt;&gt;"No control",SUMIF(('Loading-rail'!$B$31:$B$48),$J3778,('Loading-rail'!$E$31:$E$48))*Impacts!$F$15,0)),0)</f>
        <v>0</v>
      </c>
      <c r="T3778" s="10">
        <f>IF(Flare!$C$7="",0,(SUMIF(Flare!$B$46:$B$185,$J3778,Flare!$E$46:$E$185)*Impacts!$F$16))</f>
        <v>0</v>
      </c>
      <c r="U3778" s="10">
        <f>IF(VCU!$C$9="",0,(SUMIF(VCU!$B$51:$B$193,$J3778,VCU!$E$51:$E$193)*Impacts!$F$17))</f>
        <v>0</v>
      </c>
      <c r="V3778" s="10">
        <f>IF(CAS!$C$7="",0,(SUMIF(CAS!$B$31:$B$167,$J3778,CAS!$E$31:$E$167)*Impacts!$F$18))</f>
        <v>0</v>
      </c>
      <c r="W3778" s="10">
        <f t="shared" si="99"/>
        <v>0</v>
      </c>
      <c r="AK3778" s="10" t="str">
        <f t="array" ref="AK3778">IFERROR(INDEX(SelectedSpecies,SMALL(IF(SelectedSpecies=AK$1,ROW(SelectedSpecies)),ROW(3779:3779)),2),"")</f>
        <v/>
      </c>
      <c r="BE3778" s="10"/>
      <c r="BI3778" s="10"/>
    </row>
    <row r="3779" spans="1:61" ht="21" customHeight="1" x14ac:dyDescent="0.25">
      <c r="A3779" s="10"/>
      <c r="B3779" s="10"/>
      <c r="E3779" s="10"/>
      <c r="G3779" s="10"/>
      <c r="I3779" s="436" t="s">
        <v>6960</v>
      </c>
      <c r="J3779" s="26" t="s">
        <v>6959</v>
      </c>
      <c r="K3779" s="10">
        <v>0.5</v>
      </c>
      <c r="L3779" s="73">
        <f>IF(Tank1!$C$23="No control",(SUMIF(Tank1!$B$32:$B$49,$J3779,Tank1!$C$32:$C$49)*Impacts!$F$8),0)</f>
        <v>0</v>
      </c>
      <c r="M3779" s="10">
        <f>IF(Tank2!$C$23="No control",(SUMIF(Tank2!$B$32:$B$49,$J3779,Tank2!$C$32:$C$49)*Impacts!$F$9),0)</f>
        <v>0</v>
      </c>
      <c r="N3779" s="10">
        <f>IF(Tank3!$C$23="No control",(SUMIF(Tank3!$B$32:$B$49,$J3779,Tank3!$C$32:$C$49)*Impacts!$F$10),0)</f>
        <v>0</v>
      </c>
      <c r="O3779" s="10">
        <f>IF(Tank4!$C$23="No control",(SUMIF(Tank4!$B$32:$B$49,$J3779,Tank4!$C$32:$C$49)*Impacts!$F$11),0)</f>
        <v>0</v>
      </c>
      <c r="P3779" s="10">
        <f>IF(Tank5!$C$23="No control",(SUMIF(Tank5!$B$32:$B$49,$J3779,Tank5!$C$32:$C$49)*Impacts!$F$12),0)</f>
        <v>0</v>
      </c>
      <c r="Q3779" s="10">
        <f>IFERROR(IF(('Loading-drum,tote'!$C$21)="No control",SUMIF(('Loading-drum,tote'!$B$31:$B$48),$J3779,('Loading-drum,tote'!$D$31:$D$48))*Impacts!$F$13,IF(('Loading-drum,tote'!$C$21)&lt;&gt;"No control",SUMIF(('Loading-drum,tote'!$B$31:$B$48),$J3779,('Loading-drum,tote'!$E$31:$E$48))*Impacts!$F$13,0)),0)</f>
        <v>0</v>
      </c>
      <c r="R3779" s="10">
        <f>IFERROR(IF(('Loading-truck'!$C$21)="No control",SUMIF(('Loading-truck'!$B$31:$B$48),$J3779,('Loading-truck'!$D$31:$D$48))*Impacts!$F$14,IF(('Loading-truck'!$C$21)&lt;&gt;"No control",SUMIF(('Loading-truck'!$B$31:$B$48),$J3779,('Loading-truck'!$E$31:$E$48))*Impacts!$F$14,0)),0)</f>
        <v>0</v>
      </c>
      <c r="S3779" s="10">
        <f>IFERROR(IF(('Loading-rail'!$C$21)="No control",SUMIF(('Loading-rail'!$B$31:$B$48),$J3779,('Loading-rail'!$D$31:$D$48))*Impacts!$F$15,IF(('Loading-rail'!$C$21)&lt;&gt;"No control",SUMIF(('Loading-rail'!$B$31:$B$48),$J3779,('Loading-rail'!$E$31:$E$48))*Impacts!$F$15,0)),0)</f>
        <v>0</v>
      </c>
      <c r="T3779" s="10">
        <f>IF(Flare!$C$7="",0,(SUMIF(Flare!$B$46:$B$185,$J3779,Flare!$E$46:$E$185)*Impacts!$F$16))</f>
        <v>0</v>
      </c>
      <c r="U3779" s="10">
        <f>IF(VCU!$C$9="",0,(SUMIF(VCU!$B$51:$B$193,$J3779,VCU!$E$51:$E$193)*Impacts!$F$17))</f>
        <v>0</v>
      </c>
      <c r="V3779" s="10">
        <f>IF(CAS!$C$7="",0,(SUMIF(CAS!$B$31:$B$167,$J3779,CAS!$E$31:$E$167)*Impacts!$F$18))</f>
        <v>0</v>
      </c>
      <c r="W3779" s="10">
        <f t="shared" si="99"/>
        <v>0</v>
      </c>
      <c r="AK3779" s="10" t="str">
        <f t="array" ref="AK3779">IFERROR(INDEX(SelectedSpecies,SMALL(IF(SelectedSpecies=AK$1,ROW(SelectedSpecies)),ROW(3780:3780)),2),"")</f>
        <v/>
      </c>
      <c r="BE3779" s="10"/>
      <c r="BI3779" s="10"/>
    </row>
    <row r="3780" spans="1:61" ht="21" customHeight="1" x14ac:dyDescent="0.25">
      <c r="A3780" s="10"/>
      <c r="B3780" s="10"/>
      <c r="E3780" s="10"/>
      <c r="G3780" s="10"/>
      <c r="I3780" s="436" t="s">
        <v>7882</v>
      </c>
      <c r="J3780" s="26" t="s">
        <v>7881</v>
      </c>
      <c r="K3780" s="10">
        <v>0.06</v>
      </c>
      <c r="L3780" s="73">
        <f>IF(Tank1!$C$23="No control",(SUMIF(Tank1!$B$32:$B$49,$J3780,Tank1!$C$32:$C$49)*Impacts!$F$8),0)</f>
        <v>0</v>
      </c>
      <c r="M3780" s="10">
        <f>IF(Tank2!$C$23="No control",(SUMIF(Tank2!$B$32:$B$49,$J3780,Tank2!$C$32:$C$49)*Impacts!$F$9),0)</f>
        <v>0</v>
      </c>
      <c r="N3780" s="10">
        <f>IF(Tank3!$C$23="No control",(SUMIF(Tank3!$B$32:$B$49,$J3780,Tank3!$C$32:$C$49)*Impacts!$F$10),0)</f>
        <v>0</v>
      </c>
      <c r="O3780" s="10">
        <f>IF(Tank4!$C$23="No control",(SUMIF(Tank4!$B$32:$B$49,$J3780,Tank4!$C$32:$C$49)*Impacts!$F$11),0)</f>
        <v>0</v>
      </c>
      <c r="P3780" s="10">
        <f>IF(Tank5!$C$23="No control",(SUMIF(Tank5!$B$32:$B$49,$J3780,Tank5!$C$32:$C$49)*Impacts!$F$12),0)</f>
        <v>0</v>
      </c>
      <c r="Q3780" s="10">
        <f>IFERROR(IF(('Loading-drum,tote'!$C$21)="No control",SUMIF(('Loading-drum,tote'!$B$31:$B$48),$J3780,('Loading-drum,tote'!$D$31:$D$48))*Impacts!$F$13,IF(('Loading-drum,tote'!$C$21)&lt;&gt;"No control",SUMIF(('Loading-drum,tote'!$B$31:$B$48),$J3780,('Loading-drum,tote'!$E$31:$E$48))*Impacts!$F$13,0)),0)</f>
        <v>0</v>
      </c>
      <c r="R3780" s="10">
        <f>IFERROR(IF(('Loading-truck'!$C$21)="No control",SUMIF(('Loading-truck'!$B$31:$B$48),$J3780,('Loading-truck'!$D$31:$D$48))*Impacts!$F$14,IF(('Loading-truck'!$C$21)&lt;&gt;"No control",SUMIF(('Loading-truck'!$B$31:$B$48),$J3780,('Loading-truck'!$E$31:$E$48))*Impacts!$F$14,0)),0)</f>
        <v>0</v>
      </c>
      <c r="S3780" s="10">
        <f>IFERROR(IF(('Loading-rail'!$C$21)="No control",SUMIF(('Loading-rail'!$B$31:$B$48),$J3780,('Loading-rail'!$D$31:$D$48))*Impacts!$F$15,IF(('Loading-rail'!$C$21)&lt;&gt;"No control",SUMIF(('Loading-rail'!$B$31:$B$48),$J3780,('Loading-rail'!$E$31:$E$48))*Impacts!$F$15,0)),0)</f>
        <v>0</v>
      </c>
      <c r="T3780" s="10">
        <f>IF(Flare!$C$7="",0,(SUMIF(Flare!$B$46:$B$185,$J3780,Flare!$E$46:$E$185)*Impacts!$F$16))</f>
        <v>0</v>
      </c>
      <c r="U3780" s="10">
        <f>IF(VCU!$C$9="",0,(SUMIF(VCU!$B$51:$B$193,$J3780,VCU!$E$51:$E$193)*Impacts!$F$17))</f>
        <v>0</v>
      </c>
      <c r="V3780" s="10">
        <f>IF(CAS!$C$7="",0,(SUMIF(CAS!$B$31:$B$167,$J3780,CAS!$E$31:$E$167)*Impacts!$F$18))</f>
        <v>0</v>
      </c>
      <c r="W3780" s="10">
        <f t="shared" si="99"/>
        <v>0</v>
      </c>
      <c r="AK3780" s="10" t="str">
        <f t="array" ref="AK3780">IFERROR(INDEX(SelectedSpecies,SMALL(IF(SelectedSpecies=AK$1,ROW(SelectedSpecies)),ROW(3781:3781)),2),"")</f>
        <v/>
      </c>
      <c r="BE3780" s="10"/>
      <c r="BI3780" s="10"/>
    </row>
    <row r="3781" spans="1:61" ht="21" customHeight="1" x14ac:dyDescent="0.25">
      <c r="A3781" s="10"/>
      <c r="B3781" s="10"/>
      <c r="E3781" s="10"/>
      <c r="G3781" s="10"/>
      <c r="I3781" s="436" t="s">
        <v>6962</v>
      </c>
      <c r="J3781" s="26" t="s">
        <v>6961</v>
      </c>
      <c r="K3781" s="10">
        <v>0.5</v>
      </c>
      <c r="L3781" s="73">
        <f>IF(Tank1!$C$23="No control",(SUMIF(Tank1!$B$32:$B$49,$J3781,Tank1!$C$32:$C$49)*Impacts!$F$8),0)</f>
        <v>0</v>
      </c>
      <c r="M3781" s="10">
        <f>IF(Tank2!$C$23="No control",(SUMIF(Tank2!$B$32:$B$49,$J3781,Tank2!$C$32:$C$49)*Impacts!$F$9),0)</f>
        <v>0</v>
      </c>
      <c r="N3781" s="10">
        <f>IF(Tank3!$C$23="No control",(SUMIF(Tank3!$B$32:$B$49,$J3781,Tank3!$C$32:$C$49)*Impacts!$F$10),0)</f>
        <v>0</v>
      </c>
      <c r="O3781" s="10">
        <f>IF(Tank4!$C$23="No control",(SUMIF(Tank4!$B$32:$B$49,$J3781,Tank4!$C$32:$C$49)*Impacts!$F$11),0)</f>
        <v>0</v>
      </c>
      <c r="P3781" s="10">
        <f>IF(Tank5!$C$23="No control",(SUMIF(Tank5!$B$32:$B$49,$J3781,Tank5!$C$32:$C$49)*Impacts!$F$12),0)</f>
        <v>0</v>
      </c>
      <c r="Q3781" s="10">
        <f>IFERROR(IF(('Loading-drum,tote'!$C$21)="No control",SUMIF(('Loading-drum,tote'!$B$31:$B$48),$J3781,('Loading-drum,tote'!$D$31:$D$48))*Impacts!$F$13,IF(('Loading-drum,tote'!$C$21)&lt;&gt;"No control",SUMIF(('Loading-drum,tote'!$B$31:$B$48),$J3781,('Loading-drum,tote'!$E$31:$E$48))*Impacts!$F$13,0)),0)</f>
        <v>0</v>
      </c>
      <c r="R3781" s="10">
        <f>IFERROR(IF(('Loading-truck'!$C$21)="No control",SUMIF(('Loading-truck'!$B$31:$B$48),$J3781,('Loading-truck'!$D$31:$D$48))*Impacts!$F$14,IF(('Loading-truck'!$C$21)&lt;&gt;"No control",SUMIF(('Loading-truck'!$B$31:$B$48),$J3781,('Loading-truck'!$E$31:$E$48))*Impacts!$F$14,0)),0)</f>
        <v>0</v>
      </c>
      <c r="S3781" s="10">
        <f>IFERROR(IF(('Loading-rail'!$C$21)="No control",SUMIF(('Loading-rail'!$B$31:$B$48),$J3781,('Loading-rail'!$D$31:$D$48))*Impacts!$F$15,IF(('Loading-rail'!$C$21)&lt;&gt;"No control",SUMIF(('Loading-rail'!$B$31:$B$48),$J3781,('Loading-rail'!$E$31:$E$48))*Impacts!$F$15,0)),0)</f>
        <v>0</v>
      </c>
      <c r="T3781" s="10">
        <f>IF(Flare!$C$7="",0,(SUMIF(Flare!$B$46:$B$185,$J3781,Flare!$E$46:$E$185)*Impacts!$F$16))</f>
        <v>0</v>
      </c>
      <c r="U3781" s="10">
        <f>IF(VCU!$C$9="",0,(SUMIF(VCU!$B$51:$B$193,$J3781,VCU!$E$51:$E$193)*Impacts!$F$17))</f>
        <v>0</v>
      </c>
      <c r="V3781" s="10">
        <f>IF(CAS!$C$7="",0,(SUMIF(CAS!$B$31:$B$167,$J3781,CAS!$E$31:$E$167)*Impacts!$F$18))</f>
        <v>0</v>
      </c>
      <c r="W3781" s="10">
        <f t="shared" si="99"/>
        <v>0</v>
      </c>
      <c r="AK3781" s="10" t="str">
        <f t="array" ref="AK3781">IFERROR(INDEX(SelectedSpecies,SMALL(IF(SelectedSpecies=AK$1,ROW(SelectedSpecies)),ROW(3782:3782)),2),"")</f>
        <v/>
      </c>
      <c r="BE3781" s="10"/>
      <c r="BI3781" s="10"/>
    </row>
    <row r="3782" spans="1:61" ht="21" customHeight="1" x14ac:dyDescent="0.25">
      <c r="A3782" s="10"/>
      <c r="B3782" s="10"/>
      <c r="E3782" s="10"/>
      <c r="G3782" s="10"/>
      <c r="I3782" s="436" t="s">
        <v>6964</v>
      </c>
      <c r="J3782" s="26" t="s">
        <v>6963</v>
      </c>
      <c r="K3782" s="10">
        <v>0.5</v>
      </c>
      <c r="L3782" s="73">
        <f>IF(Tank1!$C$23="No control",(SUMIF(Tank1!$B$32:$B$49,$J3782,Tank1!$C$32:$C$49)*Impacts!$F$8),0)</f>
        <v>0</v>
      </c>
      <c r="M3782" s="10">
        <f>IF(Tank2!$C$23="No control",(SUMIF(Tank2!$B$32:$B$49,$J3782,Tank2!$C$32:$C$49)*Impacts!$F$9),0)</f>
        <v>0</v>
      </c>
      <c r="N3782" s="10">
        <f>IF(Tank3!$C$23="No control",(SUMIF(Tank3!$B$32:$B$49,$J3782,Tank3!$C$32:$C$49)*Impacts!$F$10),0)</f>
        <v>0</v>
      </c>
      <c r="O3782" s="10">
        <f>IF(Tank4!$C$23="No control",(SUMIF(Tank4!$B$32:$B$49,$J3782,Tank4!$C$32:$C$49)*Impacts!$F$11),0)</f>
        <v>0</v>
      </c>
      <c r="P3782" s="10">
        <f>IF(Tank5!$C$23="No control",(SUMIF(Tank5!$B$32:$B$49,$J3782,Tank5!$C$32:$C$49)*Impacts!$F$12),0)</f>
        <v>0</v>
      </c>
      <c r="Q3782" s="10">
        <f>IFERROR(IF(('Loading-drum,tote'!$C$21)="No control",SUMIF(('Loading-drum,tote'!$B$31:$B$48),$J3782,('Loading-drum,tote'!$D$31:$D$48))*Impacts!$F$13,IF(('Loading-drum,tote'!$C$21)&lt;&gt;"No control",SUMIF(('Loading-drum,tote'!$B$31:$B$48),$J3782,('Loading-drum,tote'!$E$31:$E$48))*Impacts!$F$13,0)),0)</f>
        <v>0</v>
      </c>
      <c r="R3782" s="10">
        <f>IFERROR(IF(('Loading-truck'!$C$21)="No control",SUMIF(('Loading-truck'!$B$31:$B$48),$J3782,('Loading-truck'!$D$31:$D$48))*Impacts!$F$14,IF(('Loading-truck'!$C$21)&lt;&gt;"No control",SUMIF(('Loading-truck'!$B$31:$B$48),$J3782,('Loading-truck'!$E$31:$E$48))*Impacts!$F$14,0)),0)</f>
        <v>0</v>
      </c>
      <c r="S3782" s="10">
        <f>IFERROR(IF(('Loading-rail'!$C$21)="No control",SUMIF(('Loading-rail'!$B$31:$B$48),$J3782,('Loading-rail'!$D$31:$D$48))*Impacts!$F$15,IF(('Loading-rail'!$C$21)&lt;&gt;"No control",SUMIF(('Loading-rail'!$B$31:$B$48),$J3782,('Loading-rail'!$E$31:$E$48))*Impacts!$F$15,0)),0)</f>
        <v>0</v>
      </c>
      <c r="T3782" s="10">
        <f>IF(Flare!$C$7="",0,(SUMIF(Flare!$B$46:$B$185,$J3782,Flare!$E$46:$E$185)*Impacts!$F$16))</f>
        <v>0</v>
      </c>
      <c r="U3782" s="10">
        <f>IF(VCU!$C$9="",0,(SUMIF(VCU!$B$51:$B$193,$J3782,VCU!$E$51:$E$193)*Impacts!$F$17))</f>
        <v>0</v>
      </c>
      <c r="V3782" s="10">
        <f>IF(CAS!$C$7="",0,(SUMIF(CAS!$B$31:$B$167,$J3782,CAS!$E$31:$E$167)*Impacts!$F$18))</f>
        <v>0</v>
      </c>
      <c r="W3782" s="10">
        <f t="shared" si="99"/>
        <v>0</v>
      </c>
      <c r="AK3782" s="10" t="str">
        <f t="array" ref="AK3782">IFERROR(INDEX(SelectedSpecies,SMALL(IF(SelectedSpecies=AK$1,ROW(SelectedSpecies)),ROW(3783:3783)),2),"")</f>
        <v/>
      </c>
      <c r="BE3782" s="10"/>
      <c r="BI3782" s="10"/>
    </row>
    <row r="3783" spans="1:61" ht="21" customHeight="1" x14ac:dyDescent="0.25">
      <c r="A3783" s="10"/>
      <c r="B3783" s="10"/>
      <c r="E3783" s="10"/>
      <c r="G3783" s="10"/>
      <c r="I3783" s="436" t="s">
        <v>4613</v>
      </c>
      <c r="J3783" s="26" t="s">
        <v>4612</v>
      </c>
      <c r="K3783" s="10">
        <v>4</v>
      </c>
      <c r="L3783" s="73">
        <f>IF(Tank1!$C$23="No control",(SUMIF(Tank1!$B$32:$B$49,$J3783,Tank1!$C$32:$C$49)*Impacts!$F$8),0)</f>
        <v>0</v>
      </c>
      <c r="M3783" s="10">
        <f>IF(Tank2!$C$23="No control",(SUMIF(Tank2!$B$32:$B$49,$J3783,Tank2!$C$32:$C$49)*Impacts!$F$9),0)</f>
        <v>0</v>
      </c>
      <c r="N3783" s="10">
        <f>IF(Tank3!$C$23="No control",(SUMIF(Tank3!$B$32:$B$49,$J3783,Tank3!$C$32:$C$49)*Impacts!$F$10),0)</f>
        <v>0</v>
      </c>
      <c r="O3783" s="10">
        <f>IF(Tank4!$C$23="No control",(SUMIF(Tank4!$B$32:$B$49,$J3783,Tank4!$C$32:$C$49)*Impacts!$F$11),0)</f>
        <v>0</v>
      </c>
      <c r="P3783" s="10">
        <f>IF(Tank5!$C$23="No control",(SUMIF(Tank5!$B$32:$B$49,$J3783,Tank5!$C$32:$C$49)*Impacts!$F$12),0)</f>
        <v>0</v>
      </c>
      <c r="Q3783" s="10">
        <f>IFERROR(IF(('Loading-drum,tote'!$C$21)="No control",SUMIF(('Loading-drum,tote'!$B$31:$B$48),$J3783,('Loading-drum,tote'!$D$31:$D$48))*Impacts!$F$13,IF(('Loading-drum,tote'!$C$21)&lt;&gt;"No control",SUMIF(('Loading-drum,tote'!$B$31:$B$48),$J3783,('Loading-drum,tote'!$E$31:$E$48))*Impacts!$F$13,0)),0)</f>
        <v>0</v>
      </c>
      <c r="R3783" s="10">
        <f>IFERROR(IF(('Loading-truck'!$C$21)="No control",SUMIF(('Loading-truck'!$B$31:$B$48),$J3783,('Loading-truck'!$D$31:$D$48))*Impacts!$F$14,IF(('Loading-truck'!$C$21)&lt;&gt;"No control",SUMIF(('Loading-truck'!$B$31:$B$48),$J3783,('Loading-truck'!$E$31:$E$48))*Impacts!$F$14,0)),0)</f>
        <v>0</v>
      </c>
      <c r="S3783" s="10">
        <f>IFERROR(IF(('Loading-rail'!$C$21)="No control",SUMIF(('Loading-rail'!$B$31:$B$48),$J3783,('Loading-rail'!$D$31:$D$48))*Impacts!$F$15,IF(('Loading-rail'!$C$21)&lt;&gt;"No control",SUMIF(('Loading-rail'!$B$31:$B$48),$J3783,('Loading-rail'!$E$31:$E$48))*Impacts!$F$15,0)),0)</f>
        <v>0</v>
      </c>
      <c r="T3783" s="10">
        <f>IF(Flare!$C$7="",0,(SUMIF(Flare!$B$46:$B$185,$J3783,Flare!$E$46:$E$185)*Impacts!$F$16))</f>
        <v>0</v>
      </c>
      <c r="U3783" s="10">
        <f>IF(VCU!$C$9="",0,(SUMIF(VCU!$B$51:$B$193,$J3783,VCU!$E$51:$E$193)*Impacts!$F$17))</f>
        <v>0</v>
      </c>
      <c r="V3783" s="10">
        <f>IF(CAS!$C$7="",0,(SUMIF(CAS!$B$31:$B$167,$J3783,CAS!$E$31:$E$167)*Impacts!$F$18))</f>
        <v>0</v>
      </c>
      <c r="W3783" s="10">
        <f t="shared" si="99"/>
        <v>0</v>
      </c>
      <c r="AK3783" s="10" t="str">
        <f t="array" ref="AK3783">IFERROR(INDEX(SelectedSpecies,SMALL(IF(SelectedSpecies=AK$1,ROW(SelectedSpecies)),ROW(3784:3784)),2),"")</f>
        <v/>
      </c>
      <c r="BE3783" s="10"/>
      <c r="BI3783" s="10"/>
    </row>
    <row r="3784" spans="1:61" ht="21" customHeight="1" x14ac:dyDescent="0.25">
      <c r="A3784" s="10"/>
      <c r="B3784" s="10"/>
      <c r="E3784" s="10"/>
      <c r="G3784" s="10"/>
      <c r="I3784" s="436" t="s">
        <v>10475</v>
      </c>
      <c r="J3784" s="26" t="s">
        <v>10476</v>
      </c>
      <c r="K3784" s="10">
        <v>10</v>
      </c>
      <c r="L3784" s="73">
        <f>IF(Tank1!$C$23="No control",(SUMIF(Tank1!$B$32:$B$49,$J3784,Tank1!$C$32:$C$49)*Impacts!$F$8),0)</f>
        <v>0</v>
      </c>
      <c r="M3784" s="10">
        <f>IF(Tank2!$C$23="No control",(SUMIF(Tank2!$B$32:$B$49,$J3784,Tank2!$C$32:$C$49)*Impacts!$F$9),0)</f>
        <v>0</v>
      </c>
      <c r="N3784" s="10">
        <f>IF(Tank3!$C$23="No control",(SUMIF(Tank3!$B$32:$B$49,$J3784,Tank3!$C$32:$C$49)*Impacts!$F$10),0)</f>
        <v>0</v>
      </c>
      <c r="O3784" s="10">
        <f>IF(Tank4!$C$23="No control",(SUMIF(Tank4!$B$32:$B$49,$J3784,Tank4!$C$32:$C$49)*Impacts!$F$11),0)</f>
        <v>0</v>
      </c>
      <c r="P3784" s="10">
        <f>IF(Tank5!$C$23="No control",(SUMIF(Tank5!$B$32:$B$49,$J3784,Tank5!$C$32:$C$49)*Impacts!$F$12),0)</f>
        <v>0</v>
      </c>
      <c r="Q3784" s="10">
        <f>IFERROR(IF(('Loading-drum,tote'!$C$21)="No control",SUMIF(('Loading-drum,tote'!$B$31:$B$48),$J3784,('Loading-drum,tote'!$D$31:$D$48))*Impacts!$F$13,IF(('Loading-drum,tote'!$C$21)&lt;&gt;"No control",SUMIF(('Loading-drum,tote'!$B$31:$B$48),$J3784,('Loading-drum,tote'!$E$31:$E$48))*Impacts!$F$13,0)),0)</f>
        <v>0</v>
      </c>
      <c r="R3784" s="10">
        <f>IFERROR(IF(('Loading-truck'!$C$21)="No control",SUMIF(('Loading-truck'!$B$31:$B$48),$J3784,('Loading-truck'!$D$31:$D$48))*Impacts!$F$14,IF(('Loading-truck'!$C$21)&lt;&gt;"No control",SUMIF(('Loading-truck'!$B$31:$B$48),$J3784,('Loading-truck'!$E$31:$E$48))*Impacts!$F$14,0)),0)</f>
        <v>0</v>
      </c>
      <c r="S3784" s="10">
        <f>IFERROR(IF(('Loading-rail'!$C$21)="No control",SUMIF(('Loading-rail'!$B$31:$B$48),$J3784,('Loading-rail'!$D$31:$D$48))*Impacts!$F$15,IF(('Loading-rail'!$C$21)&lt;&gt;"No control",SUMIF(('Loading-rail'!$B$31:$B$48),$J3784,('Loading-rail'!$E$31:$E$48))*Impacts!$F$15,0)),0)</f>
        <v>0</v>
      </c>
      <c r="T3784" s="10">
        <f>IF(Flare!$C$7="",0,(SUMIF(Flare!$B$46:$B$185,$J3784,Flare!$E$46:$E$185)*Impacts!$F$16))</f>
        <v>0</v>
      </c>
      <c r="U3784" s="10">
        <f>IF(VCU!$C$9="",0,(SUMIF(VCU!$B$51:$B$193,$J3784,VCU!$E$51:$E$193)*Impacts!$F$17))</f>
        <v>0</v>
      </c>
      <c r="V3784" s="10">
        <f>IF(CAS!$C$7="",0,(SUMIF(CAS!$B$31:$B$167,$J3784,CAS!$E$31:$E$167)*Impacts!$F$18))</f>
        <v>0</v>
      </c>
      <c r="W3784" s="10">
        <f t="shared" si="99"/>
        <v>0</v>
      </c>
      <c r="AK3784" s="10" t="str">
        <f t="array" ref="AK3784">IFERROR(INDEX(SelectedSpecies,SMALL(IF(SelectedSpecies=AK$1,ROW(SelectedSpecies)),ROW(3785:3785)),2),"")</f>
        <v/>
      </c>
      <c r="BE3784" s="10"/>
      <c r="BI3784" s="10"/>
    </row>
    <row r="3785" spans="1:61" ht="21" customHeight="1" x14ac:dyDescent="0.25">
      <c r="A3785" s="10"/>
      <c r="B3785" s="10"/>
      <c r="E3785" s="10"/>
      <c r="G3785" s="10"/>
      <c r="I3785" s="436" t="s">
        <v>1737</v>
      </c>
      <c r="J3785" s="26" t="s">
        <v>1736</v>
      </c>
      <c r="K3785" s="10">
        <v>24.5</v>
      </c>
      <c r="L3785" s="73">
        <f>IF(Tank1!$C$23="No control",(SUMIF(Tank1!$B$32:$B$49,$J3785,Tank1!$C$32:$C$49)*Impacts!$F$8),0)</f>
        <v>0</v>
      </c>
      <c r="M3785" s="10">
        <f>IF(Tank2!$C$23="No control",(SUMIF(Tank2!$B$32:$B$49,$J3785,Tank2!$C$32:$C$49)*Impacts!$F$9),0)</f>
        <v>0</v>
      </c>
      <c r="N3785" s="10">
        <f>IF(Tank3!$C$23="No control",(SUMIF(Tank3!$B$32:$B$49,$J3785,Tank3!$C$32:$C$49)*Impacts!$F$10),0)</f>
        <v>0</v>
      </c>
      <c r="O3785" s="10">
        <f>IF(Tank4!$C$23="No control",(SUMIF(Tank4!$B$32:$B$49,$J3785,Tank4!$C$32:$C$49)*Impacts!$F$11),0)</f>
        <v>0</v>
      </c>
      <c r="P3785" s="10">
        <f>IF(Tank5!$C$23="No control",(SUMIF(Tank5!$B$32:$B$49,$J3785,Tank5!$C$32:$C$49)*Impacts!$F$12),0)</f>
        <v>0</v>
      </c>
      <c r="Q3785" s="10">
        <f>IFERROR(IF(('Loading-drum,tote'!$C$21)="No control",SUMIF(('Loading-drum,tote'!$B$31:$B$48),$J3785,('Loading-drum,tote'!$D$31:$D$48))*Impacts!$F$13,IF(('Loading-drum,tote'!$C$21)&lt;&gt;"No control",SUMIF(('Loading-drum,tote'!$B$31:$B$48),$J3785,('Loading-drum,tote'!$E$31:$E$48))*Impacts!$F$13,0)),0)</f>
        <v>0</v>
      </c>
      <c r="R3785" s="10">
        <f>IFERROR(IF(('Loading-truck'!$C$21)="No control",SUMIF(('Loading-truck'!$B$31:$B$48),$J3785,('Loading-truck'!$D$31:$D$48))*Impacts!$F$14,IF(('Loading-truck'!$C$21)&lt;&gt;"No control",SUMIF(('Loading-truck'!$B$31:$B$48),$J3785,('Loading-truck'!$E$31:$E$48))*Impacts!$F$14,0)),0)</f>
        <v>0</v>
      </c>
      <c r="S3785" s="10">
        <f>IFERROR(IF(('Loading-rail'!$C$21)="No control",SUMIF(('Loading-rail'!$B$31:$B$48),$J3785,('Loading-rail'!$D$31:$D$48))*Impacts!$F$15,IF(('Loading-rail'!$C$21)&lt;&gt;"No control",SUMIF(('Loading-rail'!$B$31:$B$48),$J3785,('Loading-rail'!$E$31:$E$48))*Impacts!$F$15,0)),0)</f>
        <v>0</v>
      </c>
      <c r="T3785" s="10">
        <f>IF(Flare!$C$7="",0,(SUMIF(Flare!$B$46:$B$185,$J3785,Flare!$E$46:$E$185)*Impacts!$F$16))</f>
        <v>0</v>
      </c>
      <c r="U3785" s="10">
        <f>IF(VCU!$C$9="",0,(SUMIF(VCU!$B$51:$B$193,$J3785,VCU!$E$51:$E$193)*Impacts!$F$17))</f>
        <v>0</v>
      </c>
      <c r="V3785" s="10">
        <f>IF(CAS!$C$7="",0,(SUMIF(CAS!$B$31:$B$167,$J3785,CAS!$E$31:$E$167)*Impacts!$F$18))</f>
        <v>0</v>
      </c>
      <c r="W3785" s="10">
        <f t="shared" si="99"/>
        <v>0</v>
      </c>
      <c r="AK3785" s="10" t="str">
        <f t="array" ref="AK3785">IFERROR(INDEX(SelectedSpecies,SMALL(IF(SelectedSpecies=AK$1,ROW(SelectedSpecies)),ROW(3786:3786)),2),"")</f>
        <v/>
      </c>
      <c r="BE3785" s="10"/>
      <c r="BI3785" s="10"/>
    </row>
    <row r="3786" spans="1:61" ht="21" customHeight="1" x14ac:dyDescent="0.25">
      <c r="A3786" s="10"/>
      <c r="B3786" s="10"/>
      <c r="E3786" s="10"/>
      <c r="G3786" s="10"/>
      <c r="I3786" s="436" t="s">
        <v>3393</v>
      </c>
      <c r="J3786" s="26" t="s">
        <v>3392</v>
      </c>
      <c r="K3786" s="10">
        <v>10</v>
      </c>
      <c r="L3786" s="73">
        <f>IF(Tank1!$C$23="No control",(SUMIF(Tank1!$B$32:$B$49,$J3786,Tank1!$C$32:$C$49)*Impacts!$F$8),0)</f>
        <v>0</v>
      </c>
      <c r="M3786" s="10">
        <f>IF(Tank2!$C$23="No control",(SUMIF(Tank2!$B$32:$B$49,$J3786,Tank2!$C$32:$C$49)*Impacts!$F$9),0)</f>
        <v>0</v>
      </c>
      <c r="N3786" s="10">
        <f>IF(Tank3!$C$23="No control",(SUMIF(Tank3!$B$32:$B$49,$J3786,Tank3!$C$32:$C$49)*Impacts!$F$10),0)</f>
        <v>0</v>
      </c>
      <c r="O3786" s="10">
        <f>IF(Tank4!$C$23="No control",(SUMIF(Tank4!$B$32:$B$49,$J3786,Tank4!$C$32:$C$49)*Impacts!$F$11),0)</f>
        <v>0</v>
      </c>
      <c r="P3786" s="10">
        <f>IF(Tank5!$C$23="No control",(SUMIF(Tank5!$B$32:$B$49,$J3786,Tank5!$C$32:$C$49)*Impacts!$F$12),0)</f>
        <v>0</v>
      </c>
      <c r="Q3786" s="10">
        <f>IFERROR(IF(('Loading-drum,tote'!$C$21)="No control",SUMIF(('Loading-drum,tote'!$B$31:$B$48),$J3786,('Loading-drum,tote'!$D$31:$D$48))*Impacts!$F$13,IF(('Loading-drum,tote'!$C$21)&lt;&gt;"No control",SUMIF(('Loading-drum,tote'!$B$31:$B$48),$J3786,('Loading-drum,tote'!$E$31:$E$48))*Impacts!$F$13,0)),0)</f>
        <v>0</v>
      </c>
      <c r="R3786" s="10">
        <f>IFERROR(IF(('Loading-truck'!$C$21)="No control",SUMIF(('Loading-truck'!$B$31:$B$48),$J3786,('Loading-truck'!$D$31:$D$48))*Impacts!$F$14,IF(('Loading-truck'!$C$21)&lt;&gt;"No control",SUMIF(('Loading-truck'!$B$31:$B$48),$J3786,('Loading-truck'!$E$31:$E$48))*Impacts!$F$14,0)),0)</f>
        <v>0</v>
      </c>
      <c r="S3786" s="10">
        <f>IFERROR(IF(('Loading-rail'!$C$21)="No control",SUMIF(('Loading-rail'!$B$31:$B$48),$J3786,('Loading-rail'!$D$31:$D$48))*Impacts!$F$15,IF(('Loading-rail'!$C$21)&lt;&gt;"No control",SUMIF(('Loading-rail'!$B$31:$B$48),$J3786,('Loading-rail'!$E$31:$E$48))*Impacts!$F$15,0)),0)</f>
        <v>0</v>
      </c>
      <c r="T3786" s="10">
        <f>IF(Flare!$C$7="",0,(SUMIF(Flare!$B$46:$B$185,$J3786,Flare!$E$46:$E$185)*Impacts!$F$16))</f>
        <v>0</v>
      </c>
      <c r="U3786" s="10">
        <f>IF(VCU!$C$9="",0,(SUMIF(VCU!$B$51:$B$193,$J3786,VCU!$E$51:$E$193)*Impacts!$F$17))</f>
        <v>0</v>
      </c>
      <c r="V3786" s="10">
        <f>IF(CAS!$C$7="",0,(SUMIF(CAS!$B$31:$B$167,$J3786,CAS!$E$31:$E$167)*Impacts!$F$18))</f>
        <v>0</v>
      </c>
      <c r="W3786" s="10">
        <f t="shared" si="99"/>
        <v>0</v>
      </c>
      <c r="AK3786" s="10" t="str">
        <f t="array" ref="AK3786">IFERROR(INDEX(SelectedSpecies,SMALL(IF(SelectedSpecies=AK$1,ROW(SelectedSpecies)),ROW(3787:3787)),2),"")</f>
        <v/>
      </c>
      <c r="BE3786" s="10"/>
      <c r="BI3786" s="10"/>
    </row>
    <row r="3787" spans="1:61" ht="21" customHeight="1" x14ac:dyDescent="0.25">
      <c r="A3787" s="10"/>
      <c r="B3787" s="10"/>
      <c r="E3787" s="10"/>
      <c r="G3787" s="10"/>
      <c r="I3787" s="436" t="s">
        <v>8224</v>
      </c>
      <c r="J3787" s="26" t="s">
        <v>8223</v>
      </c>
      <c r="K3787" s="10">
        <v>1.0000000000000002E-2</v>
      </c>
      <c r="L3787" s="73">
        <f>IF(Tank1!$C$23="No control",(SUMIF(Tank1!$B$32:$B$49,$J3787,Tank1!$C$32:$C$49)*Impacts!$F$8),0)</f>
        <v>0</v>
      </c>
      <c r="M3787" s="10">
        <f>IF(Tank2!$C$23="No control",(SUMIF(Tank2!$B$32:$B$49,$J3787,Tank2!$C$32:$C$49)*Impacts!$F$9),0)</f>
        <v>0</v>
      </c>
      <c r="N3787" s="10">
        <f>IF(Tank3!$C$23="No control",(SUMIF(Tank3!$B$32:$B$49,$J3787,Tank3!$C$32:$C$49)*Impacts!$F$10),0)</f>
        <v>0</v>
      </c>
      <c r="O3787" s="10">
        <f>IF(Tank4!$C$23="No control",(SUMIF(Tank4!$B$32:$B$49,$J3787,Tank4!$C$32:$C$49)*Impacts!$F$11),0)</f>
        <v>0</v>
      </c>
      <c r="P3787" s="10">
        <f>IF(Tank5!$C$23="No control",(SUMIF(Tank5!$B$32:$B$49,$J3787,Tank5!$C$32:$C$49)*Impacts!$F$12),0)</f>
        <v>0</v>
      </c>
      <c r="Q3787" s="10">
        <f>IFERROR(IF(('Loading-drum,tote'!$C$21)="No control",SUMIF(('Loading-drum,tote'!$B$31:$B$48),$J3787,('Loading-drum,tote'!$D$31:$D$48))*Impacts!$F$13,IF(('Loading-drum,tote'!$C$21)&lt;&gt;"No control",SUMIF(('Loading-drum,tote'!$B$31:$B$48),$J3787,('Loading-drum,tote'!$E$31:$E$48))*Impacts!$F$13,0)),0)</f>
        <v>0</v>
      </c>
      <c r="R3787" s="10">
        <f>IFERROR(IF(('Loading-truck'!$C$21)="No control",SUMIF(('Loading-truck'!$B$31:$B$48),$J3787,('Loading-truck'!$D$31:$D$48))*Impacts!$F$14,IF(('Loading-truck'!$C$21)&lt;&gt;"No control",SUMIF(('Loading-truck'!$B$31:$B$48),$J3787,('Loading-truck'!$E$31:$E$48))*Impacts!$F$14,0)),0)</f>
        <v>0</v>
      </c>
      <c r="S3787" s="10">
        <f>IFERROR(IF(('Loading-rail'!$C$21)="No control",SUMIF(('Loading-rail'!$B$31:$B$48),$J3787,('Loading-rail'!$D$31:$D$48))*Impacts!$F$15,IF(('Loading-rail'!$C$21)&lt;&gt;"No control",SUMIF(('Loading-rail'!$B$31:$B$48),$J3787,('Loading-rail'!$E$31:$E$48))*Impacts!$F$15,0)),0)</f>
        <v>0</v>
      </c>
      <c r="T3787" s="10">
        <f>IF(Flare!$C$7="",0,(SUMIF(Flare!$B$46:$B$185,$J3787,Flare!$E$46:$E$185)*Impacts!$F$16))</f>
        <v>0</v>
      </c>
      <c r="U3787" s="10">
        <f>IF(VCU!$C$9="",0,(SUMIF(VCU!$B$51:$B$193,$J3787,VCU!$E$51:$E$193)*Impacts!$F$17))</f>
        <v>0</v>
      </c>
      <c r="V3787" s="10">
        <f>IF(CAS!$C$7="",0,(SUMIF(CAS!$B$31:$B$167,$J3787,CAS!$E$31:$E$167)*Impacts!$F$18))</f>
        <v>0</v>
      </c>
      <c r="W3787" s="10">
        <f t="shared" si="99"/>
        <v>0</v>
      </c>
      <c r="AK3787" s="10" t="str">
        <f t="array" ref="AK3787">IFERROR(INDEX(SelectedSpecies,SMALL(IF(SelectedSpecies=AK$1,ROW(SelectedSpecies)),ROW(3788:3788)),2),"")</f>
        <v/>
      </c>
      <c r="BE3787" s="10"/>
      <c r="BI3787" s="10"/>
    </row>
    <row r="3788" spans="1:61" ht="21" customHeight="1" x14ac:dyDescent="0.25">
      <c r="A3788" s="10"/>
      <c r="B3788" s="10"/>
      <c r="E3788" s="10"/>
      <c r="G3788" s="10"/>
      <c r="I3788" s="436" t="s">
        <v>7826</v>
      </c>
      <c r="J3788" s="26" t="s">
        <v>7825</v>
      </c>
      <c r="K3788" s="10">
        <v>8.0000000000000016E-2</v>
      </c>
      <c r="L3788" s="73">
        <f>IF(Tank1!$C$23="No control",(SUMIF(Tank1!$B$32:$B$49,$J3788,Tank1!$C$32:$C$49)*Impacts!$F$8),0)</f>
        <v>0</v>
      </c>
      <c r="M3788" s="10">
        <f>IF(Tank2!$C$23="No control",(SUMIF(Tank2!$B$32:$B$49,$J3788,Tank2!$C$32:$C$49)*Impacts!$F$9),0)</f>
        <v>0</v>
      </c>
      <c r="N3788" s="10">
        <f>IF(Tank3!$C$23="No control",(SUMIF(Tank3!$B$32:$B$49,$J3788,Tank3!$C$32:$C$49)*Impacts!$F$10),0)</f>
        <v>0</v>
      </c>
      <c r="O3788" s="10">
        <f>IF(Tank4!$C$23="No control",(SUMIF(Tank4!$B$32:$B$49,$J3788,Tank4!$C$32:$C$49)*Impacts!$F$11),0)</f>
        <v>0</v>
      </c>
      <c r="P3788" s="10">
        <f>IF(Tank5!$C$23="No control",(SUMIF(Tank5!$B$32:$B$49,$J3788,Tank5!$C$32:$C$49)*Impacts!$F$12),0)</f>
        <v>0</v>
      </c>
      <c r="Q3788" s="10">
        <f>IFERROR(IF(('Loading-drum,tote'!$C$21)="No control",SUMIF(('Loading-drum,tote'!$B$31:$B$48),$J3788,('Loading-drum,tote'!$D$31:$D$48))*Impacts!$F$13,IF(('Loading-drum,tote'!$C$21)&lt;&gt;"No control",SUMIF(('Loading-drum,tote'!$B$31:$B$48),$J3788,('Loading-drum,tote'!$E$31:$E$48))*Impacts!$F$13,0)),0)</f>
        <v>0</v>
      </c>
      <c r="R3788" s="10">
        <f>IFERROR(IF(('Loading-truck'!$C$21)="No control",SUMIF(('Loading-truck'!$B$31:$B$48),$J3788,('Loading-truck'!$D$31:$D$48))*Impacts!$F$14,IF(('Loading-truck'!$C$21)&lt;&gt;"No control",SUMIF(('Loading-truck'!$B$31:$B$48),$J3788,('Loading-truck'!$E$31:$E$48))*Impacts!$F$14,0)),0)</f>
        <v>0</v>
      </c>
      <c r="S3788" s="10">
        <f>IFERROR(IF(('Loading-rail'!$C$21)="No control",SUMIF(('Loading-rail'!$B$31:$B$48),$J3788,('Loading-rail'!$D$31:$D$48))*Impacts!$F$15,IF(('Loading-rail'!$C$21)&lt;&gt;"No control",SUMIF(('Loading-rail'!$B$31:$B$48),$J3788,('Loading-rail'!$E$31:$E$48))*Impacts!$F$15,0)),0)</f>
        <v>0</v>
      </c>
      <c r="T3788" s="10">
        <f>IF(Flare!$C$7="",0,(SUMIF(Flare!$B$46:$B$185,$J3788,Flare!$E$46:$E$185)*Impacts!$F$16))</f>
        <v>0</v>
      </c>
      <c r="U3788" s="10">
        <f>IF(VCU!$C$9="",0,(SUMIF(VCU!$B$51:$B$193,$J3788,VCU!$E$51:$E$193)*Impacts!$F$17))</f>
        <v>0</v>
      </c>
      <c r="V3788" s="10">
        <f>IF(CAS!$C$7="",0,(SUMIF(CAS!$B$31:$B$167,$J3788,CAS!$E$31:$E$167)*Impacts!$F$18))</f>
        <v>0</v>
      </c>
      <c r="W3788" s="10">
        <f t="shared" si="99"/>
        <v>0</v>
      </c>
      <c r="AK3788" s="10" t="str">
        <f t="array" ref="AK3788">IFERROR(INDEX(SelectedSpecies,SMALL(IF(SelectedSpecies=AK$1,ROW(SelectedSpecies)),ROW(3789:3789)),2),"")</f>
        <v/>
      </c>
      <c r="BE3788" s="10"/>
      <c r="BI3788" s="10"/>
    </row>
    <row r="3789" spans="1:61" ht="21" customHeight="1" x14ac:dyDescent="0.25">
      <c r="A3789" s="10"/>
      <c r="B3789" s="10"/>
      <c r="E3789" s="10"/>
      <c r="G3789" s="10"/>
      <c r="I3789" s="436" t="s">
        <v>6966</v>
      </c>
      <c r="J3789" s="26" t="s">
        <v>6965</v>
      </c>
      <c r="K3789" s="10">
        <v>0.5</v>
      </c>
      <c r="L3789" s="73">
        <f>IF(Tank1!$C$23="No control",(SUMIF(Tank1!$B$32:$B$49,$J3789,Tank1!$C$32:$C$49)*Impacts!$F$8),0)</f>
        <v>0</v>
      </c>
      <c r="M3789" s="10">
        <f>IF(Tank2!$C$23="No control",(SUMIF(Tank2!$B$32:$B$49,$J3789,Tank2!$C$32:$C$49)*Impacts!$F$9),0)</f>
        <v>0</v>
      </c>
      <c r="N3789" s="10">
        <f>IF(Tank3!$C$23="No control",(SUMIF(Tank3!$B$32:$B$49,$J3789,Tank3!$C$32:$C$49)*Impacts!$F$10),0)</f>
        <v>0</v>
      </c>
      <c r="O3789" s="10">
        <f>IF(Tank4!$C$23="No control",(SUMIF(Tank4!$B$32:$B$49,$J3789,Tank4!$C$32:$C$49)*Impacts!$F$11),0)</f>
        <v>0</v>
      </c>
      <c r="P3789" s="10">
        <f>IF(Tank5!$C$23="No control",(SUMIF(Tank5!$B$32:$B$49,$J3789,Tank5!$C$32:$C$49)*Impacts!$F$12),0)</f>
        <v>0</v>
      </c>
      <c r="Q3789" s="10">
        <f>IFERROR(IF(('Loading-drum,tote'!$C$21)="No control",SUMIF(('Loading-drum,tote'!$B$31:$B$48),$J3789,('Loading-drum,tote'!$D$31:$D$48))*Impacts!$F$13,IF(('Loading-drum,tote'!$C$21)&lt;&gt;"No control",SUMIF(('Loading-drum,tote'!$B$31:$B$48),$J3789,('Loading-drum,tote'!$E$31:$E$48))*Impacts!$F$13,0)),0)</f>
        <v>0</v>
      </c>
      <c r="R3789" s="10">
        <f>IFERROR(IF(('Loading-truck'!$C$21)="No control",SUMIF(('Loading-truck'!$B$31:$B$48),$J3789,('Loading-truck'!$D$31:$D$48))*Impacts!$F$14,IF(('Loading-truck'!$C$21)&lt;&gt;"No control",SUMIF(('Loading-truck'!$B$31:$B$48),$J3789,('Loading-truck'!$E$31:$E$48))*Impacts!$F$14,0)),0)</f>
        <v>0</v>
      </c>
      <c r="S3789" s="10">
        <f>IFERROR(IF(('Loading-rail'!$C$21)="No control",SUMIF(('Loading-rail'!$B$31:$B$48),$J3789,('Loading-rail'!$D$31:$D$48))*Impacts!$F$15,IF(('Loading-rail'!$C$21)&lt;&gt;"No control",SUMIF(('Loading-rail'!$B$31:$B$48),$J3789,('Loading-rail'!$E$31:$E$48))*Impacts!$F$15,0)),0)</f>
        <v>0</v>
      </c>
      <c r="T3789" s="10">
        <f>IF(Flare!$C$7="",0,(SUMIF(Flare!$B$46:$B$185,$J3789,Flare!$E$46:$E$185)*Impacts!$F$16))</f>
        <v>0</v>
      </c>
      <c r="U3789" s="10">
        <f>IF(VCU!$C$9="",0,(SUMIF(VCU!$B$51:$B$193,$J3789,VCU!$E$51:$E$193)*Impacts!$F$17))</f>
        <v>0</v>
      </c>
      <c r="V3789" s="10">
        <f>IF(CAS!$C$7="",0,(SUMIF(CAS!$B$31:$B$167,$J3789,CAS!$E$31:$E$167)*Impacts!$F$18))</f>
        <v>0</v>
      </c>
      <c r="W3789" s="10">
        <f t="shared" si="99"/>
        <v>0</v>
      </c>
      <c r="AK3789" s="10" t="str">
        <f t="array" ref="AK3789">IFERROR(INDEX(SelectedSpecies,SMALL(IF(SelectedSpecies=AK$1,ROW(SelectedSpecies)),ROW(3790:3790)),2),"")</f>
        <v/>
      </c>
      <c r="BE3789" s="10"/>
      <c r="BI3789" s="10"/>
    </row>
    <row r="3790" spans="1:61" ht="21" customHeight="1" x14ac:dyDescent="0.25">
      <c r="A3790" s="10"/>
      <c r="B3790" s="10"/>
      <c r="E3790" s="10"/>
      <c r="G3790" s="10"/>
      <c r="I3790" s="436" t="s">
        <v>2291</v>
      </c>
      <c r="J3790" s="26" t="s">
        <v>2290</v>
      </c>
      <c r="K3790" s="10">
        <v>12.5</v>
      </c>
      <c r="L3790" s="73">
        <f>IF(Tank1!$C$23="No control",(SUMIF(Tank1!$B$32:$B$49,$J3790,Tank1!$C$32:$C$49)*Impacts!$F$8),0)</f>
        <v>0</v>
      </c>
      <c r="M3790" s="10">
        <f>IF(Tank2!$C$23="No control",(SUMIF(Tank2!$B$32:$B$49,$J3790,Tank2!$C$32:$C$49)*Impacts!$F$9),0)</f>
        <v>0</v>
      </c>
      <c r="N3790" s="10">
        <f>IF(Tank3!$C$23="No control",(SUMIF(Tank3!$B$32:$B$49,$J3790,Tank3!$C$32:$C$49)*Impacts!$F$10),0)</f>
        <v>0</v>
      </c>
      <c r="O3790" s="10">
        <f>IF(Tank4!$C$23="No control",(SUMIF(Tank4!$B$32:$B$49,$J3790,Tank4!$C$32:$C$49)*Impacts!$F$11),0)</f>
        <v>0</v>
      </c>
      <c r="P3790" s="10">
        <f>IF(Tank5!$C$23="No control",(SUMIF(Tank5!$B$32:$B$49,$J3790,Tank5!$C$32:$C$49)*Impacts!$F$12),0)</f>
        <v>0</v>
      </c>
      <c r="Q3790" s="10">
        <f>IFERROR(IF(('Loading-drum,tote'!$C$21)="No control",SUMIF(('Loading-drum,tote'!$B$31:$B$48),$J3790,('Loading-drum,tote'!$D$31:$D$48))*Impacts!$F$13,IF(('Loading-drum,tote'!$C$21)&lt;&gt;"No control",SUMIF(('Loading-drum,tote'!$B$31:$B$48),$J3790,('Loading-drum,tote'!$E$31:$E$48))*Impacts!$F$13,0)),0)</f>
        <v>0</v>
      </c>
      <c r="R3790" s="10">
        <f>IFERROR(IF(('Loading-truck'!$C$21)="No control",SUMIF(('Loading-truck'!$B$31:$B$48),$J3790,('Loading-truck'!$D$31:$D$48))*Impacts!$F$14,IF(('Loading-truck'!$C$21)&lt;&gt;"No control",SUMIF(('Loading-truck'!$B$31:$B$48),$J3790,('Loading-truck'!$E$31:$E$48))*Impacts!$F$14,0)),0)</f>
        <v>0</v>
      </c>
      <c r="S3790" s="10">
        <f>IFERROR(IF(('Loading-rail'!$C$21)="No control",SUMIF(('Loading-rail'!$B$31:$B$48),$J3790,('Loading-rail'!$D$31:$D$48))*Impacts!$F$15,IF(('Loading-rail'!$C$21)&lt;&gt;"No control",SUMIF(('Loading-rail'!$B$31:$B$48),$J3790,('Loading-rail'!$E$31:$E$48))*Impacts!$F$15,0)),0)</f>
        <v>0</v>
      </c>
      <c r="T3790" s="10">
        <f>IF(Flare!$C$7="",0,(SUMIF(Flare!$B$46:$B$185,$J3790,Flare!$E$46:$E$185)*Impacts!$F$16))</f>
        <v>0</v>
      </c>
      <c r="U3790" s="10">
        <f>IF(VCU!$C$9="",0,(SUMIF(VCU!$B$51:$B$193,$J3790,VCU!$E$51:$E$193)*Impacts!$F$17))</f>
        <v>0</v>
      </c>
      <c r="V3790" s="10">
        <f>IF(CAS!$C$7="",0,(SUMIF(CAS!$B$31:$B$167,$J3790,CAS!$E$31:$E$167)*Impacts!$F$18))</f>
        <v>0</v>
      </c>
      <c r="W3790" s="10">
        <f t="shared" si="99"/>
        <v>0</v>
      </c>
      <c r="AK3790" s="10" t="str">
        <f t="array" ref="AK3790">IFERROR(INDEX(SelectedSpecies,SMALL(IF(SelectedSpecies=AK$1,ROW(SelectedSpecies)),ROW(3791:3791)),2),"")</f>
        <v/>
      </c>
      <c r="BE3790" s="10"/>
      <c r="BI3790" s="10"/>
    </row>
    <row r="3791" spans="1:61" ht="21" customHeight="1" x14ac:dyDescent="0.25">
      <c r="A3791" s="10"/>
      <c r="B3791" s="10"/>
      <c r="E3791" s="10"/>
      <c r="G3791" s="10"/>
      <c r="I3791" s="436" t="s">
        <v>6190</v>
      </c>
      <c r="J3791" s="26" t="s">
        <v>6189</v>
      </c>
      <c r="K3791" s="10">
        <v>1</v>
      </c>
      <c r="L3791" s="73">
        <f>IF(Tank1!$C$23="No control",(SUMIF(Tank1!$B$32:$B$49,$J3791,Tank1!$C$32:$C$49)*Impacts!$F$8),0)</f>
        <v>0</v>
      </c>
      <c r="M3791" s="10">
        <f>IF(Tank2!$C$23="No control",(SUMIF(Tank2!$B$32:$B$49,$J3791,Tank2!$C$32:$C$49)*Impacts!$F$9),0)</f>
        <v>0</v>
      </c>
      <c r="N3791" s="10">
        <f>IF(Tank3!$C$23="No control",(SUMIF(Tank3!$B$32:$B$49,$J3791,Tank3!$C$32:$C$49)*Impacts!$F$10),0)</f>
        <v>0</v>
      </c>
      <c r="O3791" s="10">
        <f>IF(Tank4!$C$23="No control",(SUMIF(Tank4!$B$32:$B$49,$J3791,Tank4!$C$32:$C$49)*Impacts!$F$11),0)</f>
        <v>0</v>
      </c>
      <c r="P3791" s="10">
        <f>IF(Tank5!$C$23="No control",(SUMIF(Tank5!$B$32:$B$49,$J3791,Tank5!$C$32:$C$49)*Impacts!$F$12),0)</f>
        <v>0</v>
      </c>
      <c r="Q3791" s="10">
        <f>IFERROR(IF(('Loading-drum,tote'!$C$21)="No control",SUMIF(('Loading-drum,tote'!$B$31:$B$48),$J3791,('Loading-drum,tote'!$D$31:$D$48))*Impacts!$F$13,IF(('Loading-drum,tote'!$C$21)&lt;&gt;"No control",SUMIF(('Loading-drum,tote'!$B$31:$B$48),$J3791,('Loading-drum,tote'!$E$31:$E$48))*Impacts!$F$13,0)),0)</f>
        <v>0</v>
      </c>
      <c r="R3791" s="10">
        <f>IFERROR(IF(('Loading-truck'!$C$21)="No control",SUMIF(('Loading-truck'!$B$31:$B$48),$J3791,('Loading-truck'!$D$31:$D$48))*Impacts!$F$14,IF(('Loading-truck'!$C$21)&lt;&gt;"No control",SUMIF(('Loading-truck'!$B$31:$B$48),$J3791,('Loading-truck'!$E$31:$E$48))*Impacts!$F$14,0)),0)</f>
        <v>0</v>
      </c>
      <c r="S3791" s="10">
        <f>IFERROR(IF(('Loading-rail'!$C$21)="No control",SUMIF(('Loading-rail'!$B$31:$B$48),$J3791,('Loading-rail'!$D$31:$D$48))*Impacts!$F$15,IF(('Loading-rail'!$C$21)&lt;&gt;"No control",SUMIF(('Loading-rail'!$B$31:$B$48),$J3791,('Loading-rail'!$E$31:$E$48))*Impacts!$F$15,0)),0)</f>
        <v>0</v>
      </c>
      <c r="T3791" s="10">
        <f>IF(Flare!$C$7="",0,(SUMIF(Flare!$B$46:$B$185,$J3791,Flare!$E$46:$E$185)*Impacts!$F$16))</f>
        <v>0</v>
      </c>
      <c r="U3791" s="10">
        <f>IF(VCU!$C$9="",0,(SUMIF(VCU!$B$51:$B$193,$J3791,VCU!$E$51:$E$193)*Impacts!$F$17))</f>
        <v>0</v>
      </c>
      <c r="V3791" s="10">
        <f>IF(CAS!$C$7="",0,(SUMIF(CAS!$B$31:$B$167,$J3791,CAS!$E$31:$E$167)*Impacts!$F$18))</f>
        <v>0</v>
      </c>
      <c r="W3791" s="10">
        <f t="shared" si="99"/>
        <v>0</v>
      </c>
      <c r="AK3791" s="10" t="str">
        <f t="array" ref="AK3791">IFERROR(INDEX(SelectedSpecies,SMALL(IF(SelectedSpecies=AK$1,ROW(SelectedSpecies)),ROW(3792:3792)),2),"")</f>
        <v/>
      </c>
      <c r="BE3791" s="10"/>
      <c r="BI3791" s="10"/>
    </row>
    <row r="3792" spans="1:61" ht="21" customHeight="1" x14ac:dyDescent="0.25">
      <c r="A3792" s="10"/>
      <c r="B3792" s="10"/>
      <c r="E3792" s="10"/>
      <c r="G3792" s="10"/>
      <c r="I3792" s="436" t="s">
        <v>6192</v>
      </c>
      <c r="J3792" s="26" t="s">
        <v>6191</v>
      </c>
      <c r="K3792" s="10">
        <v>1</v>
      </c>
      <c r="L3792" s="73">
        <f>IF(Tank1!$C$23="No control",(SUMIF(Tank1!$B$32:$B$49,$J3792,Tank1!$C$32:$C$49)*Impacts!$F$8),0)</f>
        <v>0</v>
      </c>
      <c r="M3792" s="10">
        <f>IF(Tank2!$C$23="No control",(SUMIF(Tank2!$B$32:$B$49,$J3792,Tank2!$C$32:$C$49)*Impacts!$F$9),0)</f>
        <v>0</v>
      </c>
      <c r="N3792" s="10">
        <f>IF(Tank3!$C$23="No control",(SUMIF(Tank3!$B$32:$B$49,$J3792,Tank3!$C$32:$C$49)*Impacts!$F$10),0)</f>
        <v>0</v>
      </c>
      <c r="O3792" s="10">
        <f>IF(Tank4!$C$23="No control",(SUMIF(Tank4!$B$32:$B$49,$J3792,Tank4!$C$32:$C$49)*Impacts!$F$11),0)</f>
        <v>0</v>
      </c>
      <c r="P3792" s="10">
        <f>IF(Tank5!$C$23="No control",(SUMIF(Tank5!$B$32:$B$49,$J3792,Tank5!$C$32:$C$49)*Impacts!$F$12),0)</f>
        <v>0</v>
      </c>
      <c r="Q3792" s="10">
        <f>IFERROR(IF(('Loading-drum,tote'!$C$21)="No control",SUMIF(('Loading-drum,tote'!$B$31:$B$48),$J3792,('Loading-drum,tote'!$D$31:$D$48))*Impacts!$F$13,IF(('Loading-drum,tote'!$C$21)&lt;&gt;"No control",SUMIF(('Loading-drum,tote'!$B$31:$B$48),$J3792,('Loading-drum,tote'!$E$31:$E$48))*Impacts!$F$13,0)),0)</f>
        <v>0</v>
      </c>
      <c r="R3792" s="10">
        <f>IFERROR(IF(('Loading-truck'!$C$21)="No control",SUMIF(('Loading-truck'!$B$31:$B$48),$J3792,('Loading-truck'!$D$31:$D$48))*Impacts!$F$14,IF(('Loading-truck'!$C$21)&lt;&gt;"No control",SUMIF(('Loading-truck'!$B$31:$B$48),$J3792,('Loading-truck'!$E$31:$E$48))*Impacts!$F$14,0)),0)</f>
        <v>0</v>
      </c>
      <c r="S3792" s="10">
        <f>IFERROR(IF(('Loading-rail'!$C$21)="No control",SUMIF(('Loading-rail'!$B$31:$B$48),$J3792,('Loading-rail'!$D$31:$D$48))*Impacts!$F$15,IF(('Loading-rail'!$C$21)&lt;&gt;"No control",SUMIF(('Loading-rail'!$B$31:$B$48),$J3792,('Loading-rail'!$E$31:$E$48))*Impacts!$F$15,0)),0)</f>
        <v>0</v>
      </c>
      <c r="T3792" s="10">
        <f>IF(Flare!$C$7="",0,(SUMIF(Flare!$B$46:$B$185,$J3792,Flare!$E$46:$E$185)*Impacts!$F$16))</f>
        <v>0</v>
      </c>
      <c r="U3792" s="10">
        <f>IF(VCU!$C$9="",0,(SUMIF(VCU!$B$51:$B$193,$J3792,VCU!$E$51:$E$193)*Impacts!$F$17))</f>
        <v>0</v>
      </c>
      <c r="V3792" s="10">
        <f>IF(CAS!$C$7="",0,(SUMIF(CAS!$B$31:$B$167,$J3792,CAS!$E$31:$E$167)*Impacts!$F$18))</f>
        <v>0</v>
      </c>
      <c r="W3792" s="10">
        <f t="shared" si="99"/>
        <v>0</v>
      </c>
      <c r="AK3792" s="10" t="str">
        <f t="array" ref="AK3792">IFERROR(INDEX(SelectedSpecies,SMALL(IF(SelectedSpecies=AK$1,ROW(SelectedSpecies)),ROW(3793:3793)),2),"")</f>
        <v/>
      </c>
      <c r="BE3792" s="10"/>
      <c r="BI3792" s="10"/>
    </row>
    <row r="3793" spans="1:61" ht="21" customHeight="1" x14ac:dyDescent="0.25">
      <c r="A3793" s="10"/>
      <c r="B3793" s="10"/>
      <c r="E3793" s="10"/>
      <c r="G3793" s="10"/>
      <c r="I3793" s="436" t="s">
        <v>8330</v>
      </c>
      <c r="J3793" s="26" t="s">
        <v>8329</v>
      </c>
      <c r="K3793" s="10">
        <v>5.0000000000000001E-4</v>
      </c>
      <c r="L3793" s="73">
        <f>IF(Tank1!$C$23="No control",(SUMIF(Tank1!$B$32:$B$49,$J3793,Tank1!$C$32:$C$49)*Impacts!$F$8),0)</f>
        <v>0</v>
      </c>
      <c r="M3793" s="10">
        <f>IF(Tank2!$C$23="No control",(SUMIF(Tank2!$B$32:$B$49,$J3793,Tank2!$C$32:$C$49)*Impacts!$F$9),0)</f>
        <v>0</v>
      </c>
      <c r="N3793" s="10">
        <f>IF(Tank3!$C$23="No control",(SUMIF(Tank3!$B$32:$B$49,$J3793,Tank3!$C$32:$C$49)*Impacts!$F$10),0)</f>
        <v>0</v>
      </c>
      <c r="O3793" s="10">
        <f>IF(Tank4!$C$23="No control",(SUMIF(Tank4!$B$32:$B$49,$J3793,Tank4!$C$32:$C$49)*Impacts!$F$11),0)</f>
        <v>0</v>
      </c>
      <c r="P3793" s="10">
        <f>IF(Tank5!$C$23="No control",(SUMIF(Tank5!$B$32:$B$49,$J3793,Tank5!$C$32:$C$49)*Impacts!$F$12),0)</f>
        <v>0</v>
      </c>
      <c r="Q3793" s="10">
        <f>IFERROR(IF(('Loading-drum,tote'!$C$21)="No control",SUMIF(('Loading-drum,tote'!$B$31:$B$48),$J3793,('Loading-drum,tote'!$D$31:$D$48))*Impacts!$F$13,IF(('Loading-drum,tote'!$C$21)&lt;&gt;"No control",SUMIF(('Loading-drum,tote'!$B$31:$B$48),$J3793,('Loading-drum,tote'!$E$31:$E$48))*Impacts!$F$13,0)),0)</f>
        <v>0</v>
      </c>
      <c r="R3793" s="10">
        <f>IFERROR(IF(('Loading-truck'!$C$21)="No control",SUMIF(('Loading-truck'!$B$31:$B$48),$J3793,('Loading-truck'!$D$31:$D$48))*Impacts!$F$14,IF(('Loading-truck'!$C$21)&lt;&gt;"No control",SUMIF(('Loading-truck'!$B$31:$B$48),$J3793,('Loading-truck'!$E$31:$E$48))*Impacts!$F$14,0)),0)</f>
        <v>0</v>
      </c>
      <c r="S3793" s="10">
        <f>IFERROR(IF(('Loading-rail'!$C$21)="No control",SUMIF(('Loading-rail'!$B$31:$B$48),$J3793,('Loading-rail'!$D$31:$D$48))*Impacts!$F$15,IF(('Loading-rail'!$C$21)&lt;&gt;"No control",SUMIF(('Loading-rail'!$B$31:$B$48),$J3793,('Loading-rail'!$E$31:$E$48))*Impacts!$F$15,0)),0)</f>
        <v>0</v>
      </c>
      <c r="T3793" s="10">
        <f>IF(Flare!$C$7="",0,(SUMIF(Flare!$B$46:$B$185,$J3793,Flare!$E$46:$E$185)*Impacts!$F$16))</f>
        <v>0</v>
      </c>
      <c r="U3793" s="10">
        <f>IF(VCU!$C$9="",0,(SUMIF(VCU!$B$51:$B$193,$J3793,VCU!$E$51:$E$193)*Impacts!$F$17))</f>
        <v>0</v>
      </c>
      <c r="V3793" s="10">
        <f>IF(CAS!$C$7="",0,(SUMIF(CAS!$B$31:$B$167,$J3793,CAS!$E$31:$E$167)*Impacts!$F$18))</f>
        <v>0</v>
      </c>
      <c r="W3793" s="10">
        <f t="shared" si="99"/>
        <v>0</v>
      </c>
      <c r="AK3793" s="10" t="str">
        <f t="array" ref="AK3793">IFERROR(INDEX(SelectedSpecies,SMALL(IF(SelectedSpecies=AK$1,ROW(SelectedSpecies)),ROW(3794:3794)),2),"")</f>
        <v/>
      </c>
      <c r="BE3793" s="10"/>
      <c r="BI3793" s="10"/>
    </row>
    <row r="3794" spans="1:61" ht="21" customHeight="1" x14ac:dyDescent="0.25">
      <c r="A3794" s="10"/>
      <c r="B3794" s="10"/>
      <c r="E3794" s="10"/>
      <c r="G3794" s="10"/>
      <c r="I3794" s="436" t="s">
        <v>6660</v>
      </c>
      <c r="J3794" s="26" t="s">
        <v>6659</v>
      </c>
      <c r="K3794" s="10">
        <v>0.60000000000000009</v>
      </c>
      <c r="L3794" s="73">
        <f>IF(Tank1!$C$23="No control",(SUMIF(Tank1!$B$32:$B$49,$J3794,Tank1!$C$32:$C$49)*Impacts!$F$8),0)</f>
        <v>0</v>
      </c>
      <c r="M3794" s="10">
        <f>IF(Tank2!$C$23="No control",(SUMIF(Tank2!$B$32:$B$49,$J3794,Tank2!$C$32:$C$49)*Impacts!$F$9),0)</f>
        <v>0</v>
      </c>
      <c r="N3794" s="10">
        <f>IF(Tank3!$C$23="No control",(SUMIF(Tank3!$B$32:$B$49,$J3794,Tank3!$C$32:$C$49)*Impacts!$F$10),0)</f>
        <v>0</v>
      </c>
      <c r="O3794" s="10">
        <f>IF(Tank4!$C$23="No control",(SUMIF(Tank4!$B$32:$B$49,$J3794,Tank4!$C$32:$C$49)*Impacts!$F$11),0)</f>
        <v>0</v>
      </c>
      <c r="P3794" s="10">
        <f>IF(Tank5!$C$23="No control",(SUMIF(Tank5!$B$32:$B$49,$J3794,Tank5!$C$32:$C$49)*Impacts!$F$12),0)</f>
        <v>0</v>
      </c>
      <c r="Q3794" s="10">
        <f>IFERROR(IF(('Loading-drum,tote'!$C$21)="No control",SUMIF(('Loading-drum,tote'!$B$31:$B$48),$J3794,('Loading-drum,tote'!$D$31:$D$48))*Impacts!$F$13,IF(('Loading-drum,tote'!$C$21)&lt;&gt;"No control",SUMIF(('Loading-drum,tote'!$B$31:$B$48),$J3794,('Loading-drum,tote'!$E$31:$E$48))*Impacts!$F$13,0)),0)</f>
        <v>0</v>
      </c>
      <c r="R3794" s="10">
        <f>IFERROR(IF(('Loading-truck'!$C$21)="No control",SUMIF(('Loading-truck'!$B$31:$B$48),$J3794,('Loading-truck'!$D$31:$D$48))*Impacts!$F$14,IF(('Loading-truck'!$C$21)&lt;&gt;"No control",SUMIF(('Loading-truck'!$B$31:$B$48),$J3794,('Loading-truck'!$E$31:$E$48))*Impacts!$F$14,0)),0)</f>
        <v>0</v>
      </c>
      <c r="S3794" s="10">
        <f>IFERROR(IF(('Loading-rail'!$C$21)="No control",SUMIF(('Loading-rail'!$B$31:$B$48),$J3794,('Loading-rail'!$D$31:$D$48))*Impacts!$F$15,IF(('Loading-rail'!$C$21)&lt;&gt;"No control",SUMIF(('Loading-rail'!$B$31:$B$48),$J3794,('Loading-rail'!$E$31:$E$48))*Impacts!$F$15,0)),0)</f>
        <v>0</v>
      </c>
      <c r="T3794" s="10">
        <f>IF(Flare!$C$7="",0,(SUMIF(Flare!$B$46:$B$185,$J3794,Flare!$E$46:$E$185)*Impacts!$F$16))</f>
        <v>0</v>
      </c>
      <c r="U3794" s="10">
        <f>IF(VCU!$C$9="",0,(SUMIF(VCU!$B$51:$B$193,$J3794,VCU!$E$51:$E$193)*Impacts!$F$17))</f>
        <v>0</v>
      </c>
      <c r="V3794" s="10">
        <f>IF(CAS!$C$7="",0,(SUMIF(CAS!$B$31:$B$167,$J3794,CAS!$E$31:$E$167)*Impacts!$F$18))</f>
        <v>0</v>
      </c>
      <c r="W3794" s="10">
        <f t="shared" si="99"/>
        <v>0</v>
      </c>
      <c r="AK3794" s="10" t="str">
        <f t="array" ref="AK3794">IFERROR(INDEX(SelectedSpecies,SMALL(IF(SelectedSpecies=AK$1,ROW(SelectedSpecies)),ROW(3795:3795)),2),"")</f>
        <v/>
      </c>
      <c r="BE3794" s="10"/>
      <c r="BI3794" s="10"/>
    </row>
    <row r="3795" spans="1:61" ht="21" customHeight="1" x14ac:dyDescent="0.25">
      <c r="A3795" s="10"/>
      <c r="B3795" s="10"/>
      <c r="E3795" s="10"/>
      <c r="G3795" s="10"/>
      <c r="I3795" s="436" t="s">
        <v>6662</v>
      </c>
      <c r="J3795" s="26" t="s">
        <v>6661</v>
      </c>
      <c r="K3795" s="10">
        <v>0.60000000000000009</v>
      </c>
      <c r="L3795" s="73">
        <f>IF(Tank1!$C$23="No control",(SUMIF(Tank1!$B$32:$B$49,$J3795,Tank1!$C$32:$C$49)*Impacts!$F$8),0)</f>
        <v>0</v>
      </c>
      <c r="M3795" s="10">
        <f>IF(Tank2!$C$23="No control",(SUMIF(Tank2!$B$32:$B$49,$J3795,Tank2!$C$32:$C$49)*Impacts!$F$9),0)</f>
        <v>0</v>
      </c>
      <c r="N3795" s="10">
        <f>IF(Tank3!$C$23="No control",(SUMIF(Tank3!$B$32:$B$49,$J3795,Tank3!$C$32:$C$49)*Impacts!$F$10),0)</f>
        <v>0</v>
      </c>
      <c r="O3795" s="10">
        <f>IF(Tank4!$C$23="No control",(SUMIF(Tank4!$B$32:$B$49,$J3795,Tank4!$C$32:$C$49)*Impacts!$F$11),0)</f>
        <v>0</v>
      </c>
      <c r="P3795" s="10">
        <f>IF(Tank5!$C$23="No control",(SUMIF(Tank5!$B$32:$B$49,$J3795,Tank5!$C$32:$C$49)*Impacts!$F$12),0)</f>
        <v>0</v>
      </c>
      <c r="Q3795" s="10">
        <f>IFERROR(IF(('Loading-drum,tote'!$C$21)="No control",SUMIF(('Loading-drum,tote'!$B$31:$B$48),$J3795,('Loading-drum,tote'!$D$31:$D$48))*Impacts!$F$13,IF(('Loading-drum,tote'!$C$21)&lt;&gt;"No control",SUMIF(('Loading-drum,tote'!$B$31:$B$48),$J3795,('Loading-drum,tote'!$E$31:$E$48))*Impacts!$F$13,0)),0)</f>
        <v>0</v>
      </c>
      <c r="R3795" s="10">
        <f>IFERROR(IF(('Loading-truck'!$C$21)="No control",SUMIF(('Loading-truck'!$B$31:$B$48),$J3795,('Loading-truck'!$D$31:$D$48))*Impacts!$F$14,IF(('Loading-truck'!$C$21)&lt;&gt;"No control",SUMIF(('Loading-truck'!$B$31:$B$48),$J3795,('Loading-truck'!$E$31:$E$48))*Impacts!$F$14,0)),0)</f>
        <v>0</v>
      </c>
      <c r="S3795" s="10">
        <f>IFERROR(IF(('Loading-rail'!$C$21)="No control",SUMIF(('Loading-rail'!$B$31:$B$48),$J3795,('Loading-rail'!$D$31:$D$48))*Impacts!$F$15,IF(('Loading-rail'!$C$21)&lt;&gt;"No control",SUMIF(('Loading-rail'!$B$31:$B$48),$J3795,('Loading-rail'!$E$31:$E$48))*Impacts!$F$15,0)),0)</f>
        <v>0</v>
      </c>
      <c r="T3795" s="10">
        <f>IF(Flare!$C$7="",0,(SUMIF(Flare!$B$46:$B$185,$J3795,Flare!$E$46:$E$185)*Impacts!$F$16))</f>
        <v>0</v>
      </c>
      <c r="U3795" s="10">
        <f>IF(VCU!$C$9="",0,(SUMIF(VCU!$B$51:$B$193,$J3795,VCU!$E$51:$E$193)*Impacts!$F$17))</f>
        <v>0</v>
      </c>
      <c r="V3795" s="10">
        <f>IF(CAS!$C$7="",0,(SUMIF(CAS!$B$31:$B$167,$J3795,CAS!$E$31:$E$167)*Impacts!$F$18))</f>
        <v>0</v>
      </c>
      <c r="W3795" s="10">
        <f t="shared" si="99"/>
        <v>0</v>
      </c>
      <c r="AK3795" s="10" t="str">
        <f t="array" ref="AK3795">IFERROR(INDEX(SelectedSpecies,SMALL(IF(SelectedSpecies=AK$1,ROW(SelectedSpecies)),ROW(3796:3796)),2),"")</f>
        <v/>
      </c>
      <c r="BE3795" s="10"/>
      <c r="BI3795" s="10"/>
    </row>
    <row r="3796" spans="1:61" ht="21" customHeight="1" x14ac:dyDescent="0.25">
      <c r="A3796" s="10"/>
      <c r="B3796" s="10"/>
      <c r="E3796" s="10"/>
      <c r="G3796" s="10"/>
      <c r="I3796" s="436" t="s">
        <v>6968</v>
      </c>
      <c r="J3796" s="26" t="s">
        <v>6967</v>
      </c>
      <c r="K3796" s="10">
        <v>0.5</v>
      </c>
      <c r="L3796" s="73">
        <f>IF(Tank1!$C$23="No control",(SUMIF(Tank1!$B$32:$B$49,$J3796,Tank1!$C$32:$C$49)*Impacts!$F$8),0)</f>
        <v>0</v>
      </c>
      <c r="M3796" s="10">
        <f>IF(Tank2!$C$23="No control",(SUMIF(Tank2!$B$32:$B$49,$J3796,Tank2!$C$32:$C$49)*Impacts!$F$9),0)</f>
        <v>0</v>
      </c>
      <c r="N3796" s="10">
        <f>IF(Tank3!$C$23="No control",(SUMIF(Tank3!$B$32:$B$49,$J3796,Tank3!$C$32:$C$49)*Impacts!$F$10),0)</f>
        <v>0</v>
      </c>
      <c r="O3796" s="10">
        <f>IF(Tank4!$C$23="No control",(SUMIF(Tank4!$B$32:$B$49,$J3796,Tank4!$C$32:$C$49)*Impacts!$F$11),0)</f>
        <v>0</v>
      </c>
      <c r="P3796" s="10">
        <f>IF(Tank5!$C$23="No control",(SUMIF(Tank5!$B$32:$B$49,$J3796,Tank5!$C$32:$C$49)*Impacts!$F$12),0)</f>
        <v>0</v>
      </c>
      <c r="Q3796" s="10">
        <f>IFERROR(IF(('Loading-drum,tote'!$C$21)="No control",SUMIF(('Loading-drum,tote'!$B$31:$B$48),$J3796,('Loading-drum,tote'!$D$31:$D$48))*Impacts!$F$13,IF(('Loading-drum,tote'!$C$21)&lt;&gt;"No control",SUMIF(('Loading-drum,tote'!$B$31:$B$48),$J3796,('Loading-drum,tote'!$E$31:$E$48))*Impacts!$F$13,0)),0)</f>
        <v>0</v>
      </c>
      <c r="R3796" s="10">
        <f>IFERROR(IF(('Loading-truck'!$C$21)="No control",SUMIF(('Loading-truck'!$B$31:$B$48),$J3796,('Loading-truck'!$D$31:$D$48))*Impacts!$F$14,IF(('Loading-truck'!$C$21)&lt;&gt;"No control",SUMIF(('Loading-truck'!$B$31:$B$48),$J3796,('Loading-truck'!$E$31:$E$48))*Impacts!$F$14,0)),0)</f>
        <v>0</v>
      </c>
      <c r="S3796" s="10">
        <f>IFERROR(IF(('Loading-rail'!$C$21)="No control",SUMIF(('Loading-rail'!$B$31:$B$48),$J3796,('Loading-rail'!$D$31:$D$48))*Impacts!$F$15,IF(('Loading-rail'!$C$21)&lt;&gt;"No control",SUMIF(('Loading-rail'!$B$31:$B$48),$J3796,('Loading-rail'!$E$31:$E$48))*Impacts!$F$15,0)),0)</f>
        <v>0</v>
      </c>
      <c r="T3796" s="10">
        <f>IF(Flare!$C$7="",0,(SUMIF(Flare!$B$46:$B$185,$J3796,Flare!$E$46:$E$185)*Impacts!$F$16))</f>
        <v>0</v>
      </c>
      <c r="U3796" s="10">
        <f>IF(VCU!$C$9="",0,(SUMIF(VCU!$B$51:$B$193,$J3796,VCU!$E$51:$E$193)*Impacts!$F$17))</f>
        <v>0</v>
      </c>
      <c r="V3796" s="10">
        <f>IF(CAS!$C$7="",0,(SUMIF(CAS!$B$31:$B$167,$J3796,CAS!$E$31:$E$167)*Impacts!$F$18))</f>
        <v>0</v>
      </c>
      <c r="W3796" s="10">
        <f t="shared" si="99"/>
        <v>0</v>
      </c>
      <c r="AK3796" s="10" t="str">
        <f t="array" ref="AK3796">IFERROR(INDEX(SelectedSpecies,SMALL(IF(SelectedSpecies=AK$1,ROW(SelectedSpecies)),ROW(3797:3797)),2),"")</f>
        <v/>
      </c>
      <c r="BE3796" s="10"/>
      <c r="BI3796" s="10"/>
    </row>
    <row r="3797" spans="1:61" ht="21" customHeight="1" x14ac:dyDescent="0.25">
      <c r="A3797" s="10"/>
      <c r="B3797" s="10"/>
      <c r="E3797" s="10"/>
      <c r="G3797" s="10"/>
      <c r="I3797" s="436" t="s">
        <v>6194</v>
      </c>
      <c r="J3797" s="26" t="s">
        <v>6193</v>
      </c>
      <c r="K3797" s="10">
        <v>1</v>
      </c>
      <c r="L3797" s="73">
        <f>IF(Tank1!$C$23="No control",(SUMIF(Tank1!$B$32:$B$49,$J3797,Tank1!$C$32:$C$49)*Impacts!$F$8),0)</f>
        <v>0</v>
      </c>
      <c r="M3797" s="10">
        <f>IF(Tank2!$C$23="No control",(SUMIF(Tank2!$B$32:$B$49,$J3797,Tank2!$C$32:$C$49)*Impacts!$F$9),0)</f>
        <v>0</v>
      </c>
      <c r="N3797" s="10">
        <f>IF(Tank3!$C$23="No control",(SUMIF(Tank3!$B$32:$B$49,$J3797,Tank3!$C$32:$C$49)*Impacts!$F$10),0)</f>
        <v>0</v>
      </c>
      <c r="O3797" s="10">
        <f>IF(Tank4!$C$23="No control",(SUMIF(Tank4!$B$32:$B$49,$J3797,Tank4!$C$32:$C$49)*Impacts!$F$11),0)</f>
        <v>0</v>
      </c>
      <c r="P3797" s="10">
        <f>IF(Tank5!$C$23="No control",(SUMIF(Tank5!$B$32:$B$49,$J3797,Tank5!$C$32:$C$49)*Impacts!$F$12),0)</f>
        <v>0</v>
      </c>
      <c r="Q3797" s="10">
        <f>IFERROR(IF(('Loading-drum,tote'!$C$21)="No control",SUMIF(('Loading-drum,tote'!$B$31:$B$48),$J3797,('Loading-drum,tote'!$D$31:$D$48))*Impacts!$F$13,IF(('Loading-drum,tote'!$C$21)&lt;&gt;"No control",SUMIF(('Loading-drum,tote'!$B$31:$B$48),$J3797,('Loading-drum,tote'!$E$31:$E$48))*Impacts!$F$13,0)),0)</f>
        <v>0</v>
      </c>
      <c r="R3797" s="10">
        <f>IFERROR(IF(('Loading-truck'!$C$21)="No control",SUMIF(('Loading-truck'!$B$31:$B$48),$J3797,('Loading-truck'!$D$31:$D$48))*Impacts!$F$14,IF(('Loading-truck'!$C$21)&lt;&gt;"No control",SUMIF(('Loading-truck'!$B$31:$B$48),$J3797,('Loading-truck'!$E$31:$E$48))*Impacts!$F$14,0)),0)</f>
        <v>0</v>
      </c>
      <c r="S3797" s="10">
        <f>IFERROR(IF(('Loading-rail'!$C$21)="No control",SUMIF(('Loading-rail'!$B$31:$B$48),$J3797,('Loading-rail'!$D$31:$D$48))*Impacts!$F$15,IF(('Loading-rail'!$C$21)&lt;&gt;"No control",SUMIF(('Loading-rail'!$B$31:$B$48),$J3797,('Loading-rail'!$E$31:$E$48))*Impacts!$F$15,0)),0)</f>
        <v>0</v>
      </c>
      <c r="T3797" s="10">
        <f>IF(Flare!$C$7="",0,(SUMIF(Flare!$B$46:$B$185,$J3797,Flare!$E$46:$E$185)*Impacts!$F$16))</f>
        <v>0</v>
      </c>
      <c r="U3797" s="10">
        <f>IF(VCU!$C$9="",0,(SUMIF(VCU!$B$51:$B$193,$J3797,VCU!$E$51:$E$193)*Impacts!$F$17))</f>
        <v>0</v>
      </c>
      <c r="V3797" s="10">
        <f>IF(CAS!$C$7="",0,(SUMIF(CAS!$B$31:$B$167,$J3797,CAS!$E$31:$E$167)*Impacts!$F$18))</f>
        <v>0</v>
      </c>
      <c r="W3797" s="10">
        <f t="shared" si="99"/>
        <v>0</v>
      </c>
      <c r="AK3797" s="10" t="str">
        <f t="array" ref="AK3797">IFERROR(INDEX(SelectedSpecies,SMALL(IF(SelectedSpecies=AK$1,ROW(SelectedSpecies)),ROW(3798:3798)),2),"")</f>
        <v/>
      </c>
      <c r="BE3797" s="10"/>
      <c r="BI3797" s="10"/>
    </row>
    <row r="3798" spans="1:61" ht="21" customHeight="1" x14ac:dyDescent="0.25">
      <c r="A3798" s="10"/>
      <c r="B3798" s="10"/>
      <c r="E3798" s="10"/>
      <c r="G3798" s="10"/>
      <c r="I3798" s="436" t="s">
        <v>2169</v>
      </c>
      <c r="J3798" s="26" t="s">
        <v>2168</v>
      </c>
      <c r="K3798" s="10">
        <v>15</v>
      </c>
      <c r="L3798" s="73">
        <f>IF(Tank1!$C$23="No control",(SUMIF(Tank1!$B$32:$B$49,$J3798,Tank1!$C$32:$C$49)*Impacts!$F$8),0)</f>
        <v>0</v>
      </c>
      <c r="M3798" s="10">
        <f>IF(Tank2!$C$23="No control",(SUMIF(Tank2!$B$32:$B$49,$J3798,Tank2!$C$32:$C$49)*Impacts!$F$9),0)</f>
        <v>0</v>
      </c>
      <c r="N3798" s="10">
        <f>IF(Tank3!$C$23="No control",(SUMIF(Tank3!$B$32:$B$49,$J3798,Tank3!$C$32:$C$49)*Impacts!$F$10),0)</f>
        <v>0</v>
      </c>
      <c r="O3798" s="10">
        <f>IF(Tank4!$C$23="No control",(SUMIF(Tank4!$B$32:$B$49,$J3798,Tank4!$C$32:$C$49)*Impacts!$F$11),0)</f>
        <v>0</v>
      </c>
      <c r="P3798" s="10">
        <f>IF(Tank5!$C$23="No control",(SUMIF(Tank5!$B$32:$B$49,$J3798,Tank5!$C$32:$C$49)*Impacts!$F$12),0)</f>
        <v>0</v>
      </c>
      <c r="Q3798" s="10">
        <f>IFERROR(IF(('Loading-drum,tote'!$C$21)="No control",SUMIF(('Loading-drum,tote'!$B$31:$B$48),$J3798,('Loading-drum,tote'!$D$31:$D$48))*Impacts!$F$13,IF(('Loading-drum,tote'!$C$21)&lt;&gt;"No control",SUMIF(('Loading-drum,tote'!$B$31:$B$48),$J3798,('Loading-drum,tote'!$E$31:$E$48))*Impacts!$F$13,0)),0)</f>
        <v>0</v>
      </c>
      <c r="R3798" s="10">
        <f>IFERROR(IF(('Loading-truck'!$C$21)="No control",SUMIF(('Loading-truck'!$B$31:$B$48),$J3798,('Loading-truck'!$D$31:$D$48))*Impacts!$F$14,IF(('Loading-truck'!$C$21)&lt;&gt;"No control",SUMIF(('Loading-truck'!$B$31:$B$48),$J3798,('Loading-truck'!$E$31:$E$48))*Impacts!$F$14,0)),0)</f>
        <v>0</v>
      </c>
      <c r="S3798" s="10">
        <f>IFERROR(IF(('Loading-rail'!$C$21)="No control",SUMIF(('Loading-rail'!$B$31:$B$48),$J3798,('Loading-rail'!$D$31:$D$48))*Impacts!$F$15,IF(('Loading-rail'!$C$21)&lt;&gt;"No control",SUMIF(('Loading-rail'!$B$31:$B$48),$J3798,('Loading-rail'!$E$31:$E$48))*Impacts!$F$15,0)),0)</f>
        <v>0</v>
      </c>
      <c r="T3798" s="10">
        <f>IF(Flare!$C$7="",0,(SUMIF(Flare!$B$46:$B$185,$J3798,Flare!$E$46:$E$185)*Impacts!$F$16))</f>
        <v>0</v>
      </c>
      <c r="U3798" s="10">
        <f>IF(VCU!$C$9="",0,(SUMIF(VCU!$B$51:$B$193,$J3798,VCU!$E$51:$E$193)*Impacts!$F$17))</f>
        <v>0</v>
      </c>
      <c r="V3798" s="10">
        <f>IF(CAS!$C$7="",0,(SUMIF(CAS!$B$31:$B$167,$J3798,CAS!$E$31:$E$167)*Impacts!$F$18))</f>
        <v>0</v>
      </c>
      <c r="W3798" s="10">
        <f t="shared" si="99"/>
        <v>0</v>
      </c>
      <c r="AK3798" s="10" t="str">
        <f t="array" ref="AK3798">IFERROR(INDEX(SelectedSpecies,SMALL(IF(SelectedSpecies=AK$1,ROW(SelectedSpecies)),ROW(3799:3799)),2),"")</f>
        <v/>
      </c>
      <c r="BE3798" s="10"/>
      <c r="BI3798" s="10"/>
    </row>
    <row r="3799" spans="1:61" ht="21" customHeight="1" x14ac:dyDescent="0.25">
      <c r="A3799" s="10"/>
      <c r="B3799" s="10"/>
      <c r="E3799" s="10"/>
      <c r="G3799" s="10"/>
      <c r="I3799" s="436" t="s">
        <v>4041</v>
      </c>
      <c r="J3799" s="26" t="s">
        <v>4040</v>
      </c>
      <c r="K3799" s="10">
        <v>6</v>
      </c>
      <c r="L3799" s="73">
        <f>IF(Tank1!$C$23="No control",(SUMIF(Tank1!$B$32:$B$49,$J3799,Tank1!$C$32:$C$49)*Impacts!$F$8),0)</f>
        <v>0</v>
      </c>
      <c r="M3799" s="10">
        <f>IF(Tank2!$C$23="No control",(SUMIF(Tank2!$B$32:$B$49,$J3799,Tank2!$C$32:$C$49)*Impacts!$F$9),0)</f>
        <v>0</v>
      </c>
      <c r="N3799" s="10">
        <f>IF(Tank3!$C$23="No control",(SUMIF(Tank3!$B$32:$B$49,$J3799,Tank3!$C$32:$C$49)*Impacts!$F$10),0)</f>
        <v>0</v>
      </c>
      <c r="O3799" s="10">
        <f>IF(Tank4!$C$23="No control",(SUMIF(Tank4!$B$32:$B$49,$J3799,Tank4!$C$32:$C$49)*Impacts!$F$11),0)</f>
        <v>0</v>
      </c>
      <c r="P3799" s="10">
        <f>IF(Tank5!$C$23="No control",(SUMIF(Tank5!$B$32:$B$49,$J3799,Tank5!$C$32:$C$49)*Impacts!$F$12),0)</f>
        <v>0</v>
      </c>
      <c r="Q3799" s="10">
        <f>IFERROR(IF(('Loading-drum,tote'!$C$21)="No control",SUMIF(('Loading-drum,tote'!$B$31:$B$48),$J3799,('Loading-drum,tote'!$D$31:$D$48))*Impacts!$F$13,IF(('Loading-drum,tote'!$C$21)&lt;&gt;"No control",SUMIF(('Loading-drum,tote'!$B$31:$B$48),$J3799,('Loading-drum,tote'!$E$31:$E$48))*Impacts!$F$13,0)),0)</f>
        <v>0</v>
      </c>
      <c r="R3799" s="10">
        <f>IFERROR(IF(('Loading-truck'!$C$21)="No control",SUMIF(('Loading-truck'!$B$31:$B$48),$J3799,('Loading-truck'!$D$31:$D$48))*Impacts!$F$14,IF(('Loading-truck'!$C$21)&lt;&gt;"No control",SUMIF(('Loading-truck'!$B$31:$B$48),$J3799,('Loading-truck'!$E$31:$E$48))*Impacts!$F$14,0)),0)</f>
        <v>0</v>
      </c>
      <c r="S3799" s="10">
        <f>IFERROR(IF(('Loading-rail'!$C$21)="No control",SUMIF(('Loading-rail'!$B$31:$B$48),$J3799,('Loading-rail'!$D$31:$D$48))*Impacts!$F$15,IF(('Loading-rail'!$C$21)&lt;&gt;"No control",SUMIF(('Loading-rail'!$B$31:$B$48),$J3799,('Loading-rail'!$E$31:$E$48))*Impacts!$F$15,0)),0)</f>
        <v>0</v>
      </c>
      <c r="T3799" s="10">
        <f>IF(Flare!$C$7="",0,(SUMIF(Flare!$B$46:$B$185,$J3799,Flare!$E$46:$E$185)*Impacts!$F$16))</f>
        <v>0</v>
      </c>
      <c r="U3799" s="10">
        <f>IF(VCU!$C$9="",0,(SUMIF(VCU!$B$51:$B$193,$J3799,VCU!$E$51:$E$193)*Impacts!$F$17))</f>
        <v>0</v>
      </c>
      <c r="V3799" s="10">
        <f>IF(CAS!$C$7="",0,(SUMIF(CAS!$B$31:$B$167,$J3799,CAS!$E$31:$E$167)*Impacts!$F$18))</f>
        <v>0</v>
      </c>
      <c r="W3799" s="10">
        <f t="shared" si="99"/>
        <v>0</v>
      </c>
      <c r="AK3799" s="10" t="str">
        <f t="array" ref="AK3799">IFERROR(INDEX(SelectedSpecies,SMALL(IF(SelectedSpecies=AK$1,ROW(SelectedSpecies)),ROW(3800:3800)),2),"")</f>
        <v/>
      </c>
      <c r="BE3799" s="10"/>
      <c r="BI3799" s="10"/>
    </row>
    <row r="3800" spans="1:61" ht="21" customHeight="1" x14ac:dyDescent="0.25">
      <c r="A3800" s="10"/>
      <c r="B3800" s="10"/>
      <c r="E3800" s="10"/>
      <c r="G3800" s="10"/>
      <c r="I3800" s="436" t="s">
        <v>6970</v>
      </c>
      <c r="J3800" s="26" t="s">
        <v>6969</v>
      </c>
      <c r="K3800" s="10">
        <v>0.5</v>
      </c>
      <c r="L3800" s="73">
        <f>IF(Tank1!$C$23="No control",(SUMIF(Tank1!$B$32:$B$49,$J3800,Tank1!$C$32:$C$49)*Impacts!$F$8),0)</f>
        <v>0</v>
      </c>
      <c r="M3800" s="10">
        <f>IF(Tank2!$C$23="No control",(SUMIF(Tank2!$B$32:$B$49,$J3800,Tank2!$C$32:$C$49)*Impacts!$F$9),0)</f>
        <v>0</v>
      </c>
      <c r="N3800" s="10">
        <f>IF(Tank3!$C$23="No control",(SUMIF(Tank3!$B$32:$B$49,$J3800,Tank3!$C$32:$C$49)*Impacts!$F$10),0)</f>
        <v>0</v>
      </c>
      <c r="O3800" s="10">
        <f>IF(Tank4!$C$23="No control",(SUMIF(Tank4!$B$32:$B$49,$J3800,Tank4!$C$32:$C$49)*Impacts!$F$11),0)</f>
        <v>0</v>
      </c>
      <c r="P3800" s="10">
        <f>IF(Tank5!$C$23="No control",(SUMIF(Tank5!$B$32:$B$49,$J3800,Tank5!$C$32:$C$49)*Impacts!$F$12),0)</f>
        <v>0</v>
      </c>
      <c r="Q3800" s="10">
        <f>IFERROR(IF(('Loading-drum,tote'!$C$21)="No control",SUMIF(('Loading-drum,tote'!$B$31:$B$48),$J3800,('Loading-drum,tote'!$D$31:$D$48))*Impacts!$F$13,IF(('Loading-drum,tote'!$C$21)&lt;&gt;"No control",SUMIF(('Loading-drum,tote'!$B$31:$B$48),$J3800,('Loading-drum,tote'!$E$31:$E$48))*Impacts!$F$13,0)),0)</f>
        <v>0</v>
      </c>
      <c r="R3800" s="10">
        <f>IFERROR(IF(('Loading-truck'!$C$21)="No control",SUMIF(('Loading-truck'!$B$31:$B$48),$J3800,('Loading-truck'!$D$31:$D$48))*Impacts!$F$14,IF(('Loading-truck'!$C$21)&lt;&gt;"No control",SUMIF(('Loading-truck'!$B$31:$B$48),$J3800,('Loading-truck'!$E$31:$E$48))*Impacts!$F$14,0)),0)</f>
        <v>0</v>
      </c>
      <c r="S3800" s="10">
        <f>IFERROR(IF(('Loading-rail'!$C$21)="No control",SUMIF(('Loading-rail'!$B$31:$B$48),$J3800,('Loading-rail'!$D$31:$D$48))*Impacts!$F$15,IF(('Loading-rail'!$C$21)&lt;&gt;"No control",SUMIF(('Loading-rail'!$B$31:$B$48),$J3800,('Loading-rail'!$E$31:$E$48))*Impacts!$F$15,0)),0)</f>
        <v>0</v>
      </c>
      <c r="T3800" s="10">
        <f>IF(Flare!$C$7="",0,(SUMIF(Flare!$B$46:$B$185,$J3800,Flare!$E$46:$E$185)*Impacts!$F$16))</f>
        <v>0</v>
      </c>
      <c r="U3800" s="10">
        <f>IF(VCU!$C$9="",0,(SUMIF(VCU!$B$51:$B$193,$J3800,VCU!$E$51:$E$193)*Impacts!$F$17))</f>
        <v>0</v>
      </c>
      <c r="V3800" s="10">
        <f>IF(CAS!$C$7="",0,(SUMIF(CAS!$B$31:$B$167,$J3800,CAS!$E$31:$E$167)*Impacts!$F$18))</f>
        <v>0</v>
      </c>
      <c r="W3800" s="10">
        <f t="shared" si="99"/>
        <v>0</v>
      </c>
      <c r="AK3800" s="10" t="str">
        <f t="array" ref="AK3800">IFERROR(INDEX(SelectedSpecies,SMALL(IF(SelectedSpecies=AK$1,ROW(SelectedSpecies)),ROW(3801:3801)),2),"")</f>
        <v/>
      </c>
      <c r="BE3800" s="10"/>
      <c r="BI3800" s="10"/>
    </row>
    <row r="3801" spans="1:61" ht="21" customHeight="1" x14ac:dyDescent="0.25">
      <c r="A3801" s="10"/>
      <c r="B3801" s="10"/>
      <c r="E3801" s="10"/>
      <c r="G3801" s="10"/>
      <c r="I3801" s="436" t="s">
        <v>2171</v>
      </c>
      <c r="J3801" s="26" t="s">
        <v>2170</v>
      </c>
      <c r="K3801" s="10">
        <v>15</v>
      </c>
      <c r="L3801" s="73">
        <f>IF(Tank1!$C$23="No control",(SUMIF(Tank1!$B$32:$B$49,$J3801,Tank1!$C$32:$C$49)*Impacts!$F$8),0)</f>
        <v>0</v>
      </c>
      <c r="M3801" s="10">
        <f>IF(Tank2!$C$23="No control",(SUMIF(Tank2!$B$32:$B$49,$J3801,Tank2!$C$32:$C$49)*Impacts!$F$9),0)</f>
        <v>0</v>
      </c>
      <c r="N3801" s="10">
        <f>IF(Tank3!$C$23="No control",(SUMIF(Tank3!$B$32:$B$49,$J3801,Tank3!$C$32:$C$49)*Impacts!$F$10),0)</f>
        <v>0</v>
      </c>
      <c r="O3801" s="10">
        <f>IF(Tank4!$C$23="No control",(SUMIF(Tank4!$B$32:$B$49,$J3801,Tank4!$C$32:$C$49)*Impacts!$F$11),0)</f>
        <v>0</v>
      </c>
      <c r="P3801" s="10">
        <f>IF(Tank5!$C$23="No control",(SUMIF(Tank5!$B$32:$B$49,$J3801,Tank5!$C$32:$C$49)*Impacts!$F$12),0)</f>
        <v>0</v>
      </c>
      <c r="Q3801" s="10">
        <f>IFERROR(IF(('Loading-drum,tote'!$C$21)="No control",SUMIF(('Loading-drum,tote'!$B$31:$B$48),$J3801,('Loading-drum,tote'!$D$31:$D$48))*Impacts!$F$13,IF(('Loading-drum,tote'!$C$21)&lt;&gt;"No control",SUMIF(('Loading-drum,tote'!$B$31:$B$48),$J3801,('Loading-drum,tote'!$E$31:$E$48))*Impacts!$F$13,0)),0)</f>
        <v>0</v>
      </c>
      <c r="R3801" s="10">
        <f>IFERROR(IF(('Loading-truck'!$C$21)="No control",SUMIF(('Loading-truck'!$B$31:$B$48),$J3801,('Loading-truck'!$D$31:$D$48))*Impacts!$F$14,IF(('Loading-truck'!$C$21)&lt;&gt;"No control",SUMIF(('Loading-truck'!$B$31:$B$48),$J3801,('Loading-truck'!$E$31:$E$48))*Impacts!$F$14,0)),0)</f>
        <v>0</v>
      </c>
      <c r="S3801" s="10">
        <f>IFERROR(IF(('Loading-rail'!$C$21)="No control",SUMIF(('Loading-rail'!$B$31:$B$48),$J3801,('Loading-rail'!$D$31:$D$48))*Impacts!$F$15,IF(('Loading-rail'!$C$21)&lt;&gt;"No control",SUMIF(('Loading-rail'!$B$31:$B$48),$J3801,('Loading-rail'!$E$31:$E$48))*Impacts!$F$15,0)),0)</f>
        <v>0</v>
      </c>
      <c r="T3801" s="10">
        <f>IF(Flare!$C$7="",0,(SUMIF(Flare!$B$46:$B$185,$J3801,Flare!$E$46:$E$185)*Impacts!$F$16))</f>
        <v>0</v>
      </c>
      <c r="U3801" s="10">
        <f>IF(VCU!$C$9="",0,(SUMIF(VCU!$B$51:$B$193,$J3801,VCU!$E$51:$E$193)*Impacts!$F$17))</f>
        <v>0</v>
      </c>
      <c r="V3801" s="10">
        <f>IF(CAS!$C$7="",0,(SUMIF(CAS!$B$31:$B$167,$J3801,CAS!$E$31:$E$167)*Impacts!$F$18))</f>
        <v>0</v>
      </c>
      <c r="W3801" s="10">
        <f t="shared" si="99"/>
        <v>0</v>
      </c>
      <c r="AK3801" s="10" t="str">
        <f t="array" ref="AK3801">IFERROR(INDEX(SelectedSpecies,SMALL(IF(SelectedSpecies=AK$1,ROW(SelectedSpecies)),ROW(3802:3802)),2),"")</f>
        <v/>
      </c>
      <c r="BE3801" s="10"/>
      <c r="BI3801" s="10"/>
    </row>
    <row r="3802" spans="1:61" ht="21" customHeight="1" x14ac:dyDescent="0.25">
      <c r="A3802" s="10"/>
      <c r="B3802" s="10"/>
      <c r="E3802" s="10"/>
      <c r="G3802" s="10"/>
      <c r="I3802" s="436" t="s">
        <v>6196</v>
      </c>
      <c r="J3802" s="26" t="s">
        <v>6195</v>
      </c>
      <c r="K3802" s="10">
        <v>1</v>
      </c>
      <c r="L3802" s="73">
        <f>IF(Tank1!$C$23="No control",(SUMIF(Tank1!$B$32:$B$49,$J3802,Tank1!$C$32:$C$49)*Impacts!$F$8),0)</f>
        <v>0</v>
      </c>
      <c r="M3802" s="10">
        <f>IF(Tank2!$C$23="No control",(SUMIF(Tank2!$B$32:$B$49,$J3802,Tank2!$C$32:$C$49)*Impacts!$F$9),0)</f>
        <v>0</v>
      </c>
      <c r="N3802" s="10">
        <f>IF(Tank3!$C$23="No control",(SUMIF(Tank3!$B$32:$B$49,$J3802,Tank3!$C$32:$C$49)*Impacts!$F$10),0)</f>
        <v>0</v>
      </c>
      <c r="O3802" s="10">
        <f>IF(Tank4!$C$23="No control",(SUMIF(Tank4!$B$32:$B$49,$J3802,Tank4!$C$32:$C$49)*Impacts!$F$11),0)</f>
        <v>0</v>
      </c>
      <c r="P3802" s="10">
        <f>IF(Tank5!$C$23="No control",(SUMIF(Tank5!$B$32:$B$49,$J3802,Tank5!$C$32:$C$49)*Impacts!$F$12),0)</f>
        <v>0</v>
      </c>
      <c r="Q3802" s="10">
        <f>IFERROR(IF(('Loading-drum,tote'!$C$21)="No control",SUMIF(('Loading-drum,tote'!$B$31:$B$48),$J3802,('Loading-drum,tote'!$D$31:$D$48))*Impacts!$F$13,IF(('Loading-drum,tote'!$C$21)&lt;&gt;"No control",SUMIF(('Loading-drum,tote'!$B$31:$B$48),$J3802,('Loading-drum,tote'!$E$31:$E$48))*Impacts!$F$13,0)),0)</f>
        <v>0</v>
      </c>
      <c r="R3802" s="10">
        <f>IFERROR(IF(('Loading-truck'!$C$21)="No control",SUMIF(('Loading-truck'!$B$31:$B$48),$J3802,('Loading-truck'!$D$31:$D$48))*Impacts!$F$14,IF(('Loading-truck'!$C$21)&lt;&gt;"No control",SUMIF(('Loading-truck'!$B$31:$B$48),$J3802,('Loading-truck'!$E$31:$E$48))*Impacts!$F$14,0)),0)</f>
        <v>0</v>
      </c>
      <c r="S3802" s="10">
        <f>IFERROR(IF(('Loading-rail'!$C$21)="No control",SUMIF(('Loading-rail'!$B$31:$B$48),$J3802,('Loading-rail'!$D$31:$D$48))*Impacts!$F$15,IF(('Loading-rail'!$C$21)&lt;&gt;"No control",SUMIF(('Loading-rail'!$B$31:$B$48),$J3802,('Loading-rail'!$E$31:$E$48))*Impacts!$F$15,0)),0)</f>
        <v>0</v>
      </c>
      <c r="T3802" s="10">
        <f>IF(Flare!$C$7="",0,(SUMIF(Flare!$B$46:$B$185,$J3802,Flare!$E$46:$E$185)*Impacts!$F$16))</f>
        <v>0</v>
      </c>
      <c r="U3802" s="10">
        <f>IF(VCU!$C$9="",0,(SUMIF(VCU!$B$51:$B$193,$J3802,VCU!$E$51:$E$193)*Impacts!$F$17))</f>
        <v>0</v>
      </c>
      <c r="V3802" s="10">
        <f>IF(CAS!$C$7="",0,(SUMIF(CAS!$B$31:$B$167,$J3802,CAS!$E$31:$E$167)*Impacts!$F$18))</f>
        <v>0</v>
      </c>
      <c r="W3802" s="10">
        <f t="shared" ref="W3802:W3865" si="100">SUM(L3802:V3802)</f>
        <v>0</v>
      </c>
      <c r="AK3802" s="10" t="str">
        <f t="array" ref="AK3802">IFERROR(INDEX(SelectedSpecies,SMALL(IF(SelectedSpecies=AK$1,ROW(SelectedSpecies)),ROW(3803:3803)),2),"")</f>
        <v/>
      </c>
      <c r="BE3802" s="10"/>
      <c r="BI3802" s="10"/>
    </row>
    <row r="3803" spans="1:61" ht="21" customHeight="1" x14ac:dyDescent="0.25">
      <c r="A3803" s="10"/>
      <c r="B3803" s="10"/>
      <c r="E3803" s="10"/>
      <c r="G3803" s="10"/>
      <c r="I3803" s="436" t="s">
        <v>4615</v>
      </c>
      <c r="J3803" s="26" t="s">
        <v>4614</v>
      </c>
      <c r="K3803" s="10">
        <v>4</v>
      </c>
      <c r="L3803" s="73">
        <f>IF(Tank1!$C$23="No control",(SUMIF(Tank1!$B$32:$B$49,$J3803,Tank1!$C$32:$C$49)*Impacts!$F$8),0)</f>
        <v>0</v>
      </c>
      <c r="M3803" s="10">
        <f>IF(Tank2!$C$23="No control",(SUMIF(Tank2!$B$32:$B$49,$J3803,Tank2!$C$32:$C$49)*Impacts!$F$9),0)</f>
        <v>0</v>
      </c>
      <c r="N3803" s="10">
        <f>IF(Tank3!$C$23="No control",(SUMIF(Tank3!$B$32:$B$49,$J3803,Tank3!$C$32:$C$49)*Impacts!$F$10),0)</f>
        <v>0</v>
      </c>
      <c r="O3803" s="10">
        <f>IF(Tank4!$C$23="No control",(SUMIF(Tank4!$B$32:$B$49,$J3803,Tank4!$C$32:$C$49)*Impacts!$F$11),0)</f>
        <v>0</v>
      </c>
      <c r="P3803" s="10">
        <f>IF(Tank5!$C$23="No control",(SUMIF(Tank5!$B$32:$B$49,$J3803,Tank5!$C$32:$C$49)*Impacts!$F$12),0)</f>
        <v>0</v>
      </c>
      <c r="Q3803" s="10">
        <f>IFERROR(IF(('Loading-drum,tote'!$C$21)="No control",SUMIF(('Loading-drum,tote'!$B$31:$B$48),$J3803,('Loading-drum,tote'!$D$31:$D$48))*Impacts!$F$13,IF(('Loading-drum,tote'!$C$21)&lt;&gt;"No control",SUMIF(('Loading-drum,tote'!$B$31:$B$48),$J3803,('Loading-drum,tote'!$E$31:$E$48))*Impacts!$F$13,0)),0)</f>
        <v>0</v>
      </c>
      <c r="R3803" s="10">
        <f>IFERROR(IF(('Loading-truck'!$C$21)="No control",SUMIF(('Loading-truck'!$B$31:$B$48),$J3803,('Loading-truck'!$D$31:$D$48))*Impacts!$F$14,IF(('Loading-truck'!$C$21)&lt;&gt;"No control",SUMIF(('Loading-truck'!$B$31:$B$48),$J3803,('Loading-truck'!$E$31:$E$48))*Impacts!$F$14,0)),0)</f>
        <v>0</v>
      </c>
      <c r="S3803" s="10">
        <f>IFERROR(IF(('Loading-rail'!$C$21)="No control",SUMIF(('Loading-rail'!$B$31:$B$48),$J3803,('Loading-rail'!$D$31:$D$48))*Impacts!$F$15,IF(('Loading-rail'!$C$21)&lt;&gt;"No control",SUMIF(('Loading-rail'!$B$31:$B$48),$J3803,('Loading-rail'!$E$31:$E$48))*Impacts!$F$15,0)),0)</f>
        <v>0</v>
      </c>
      <c r="T3803" s="10">
        <f>IF(Flare!$C$7="",0,(SUMIF(Flare!$B$46:$B$185,$J3803,Flare!$E$46:$E$185)*Impacts!$F$16))</f>
        <v>0</v>
      </c>
      <c r="U3803" s="10">
        <f>IF(VCU!$C$9="",0,(SUMIF(VCU!$B$51:$B$193,$J3803,VCU!$E$51:$E$193)*Impacts!$F$17))</f>
        <v>0</v>
      </c>
      <c r="V3803" s="10">
        <f>IF(CAS!$C$7="",0,(SUMIF(CAS!$B$31:$B$167,$J3803,CAS!$E$31:$E$167)*Impacts!$F$18))</f>
        <v>0</v>
      </c>
      <c r="W3803" s="10">
        <f t="shared" si="100"/>
        <v>0</v>
      </c>
      <c r="AK3803" s="10" t="str">
        <f t="array" ref="AK3803">IFERROR(INDEX(SelectedSpecies,SMALL(IF(SelectedSpecies=AK$1,ROW(SelectedSpecies)),ROW(3804:3804)),2),"")</f>
        <v/>
      </c>
      <c r="BE3803" s="10"/>
      <c r="BI3803" s="10"/>
    </row>
    <row r="3804" spans="1:61" ht="21" customHeight="1" x14ac:dyDescent="0.25">
      <c r="A3804" s="10"/>
      <c r="B3804" s="10"/>
      <c r="E3804" s="10"/>
      <c r="G3804" s="10"/>
      <c r="I3804" s="436" t="s">
        <v>3395</v>
      </c>
      <c r="J3804" s="26" t="s">
        <v>3394</v>
      </c>
      <c r="K3804" s="10">
        <v>10</v>
      </c>
      <c r="L3804" s="73">
        <f>IF(Tank1!$C$23="No control",(SUMIF(Tank1!$B$32:$B$49,$J3804,Tank1!$C$32:$C$49)*Impacts!$F$8),0)</f>
        <v>0</v>
      </c>
      <c r="M3804" s="10">
        <f>IF(Tank2!$C$23="No control",(SUMIF(Tank2!$B$32:$B$49,$J3804,Tank2!$C$32:$C$49)*Impacts!$F$9),0)</f>
        <v>0</v>
      </c>
      <c r="N3804" s="10">
        <f>IF(Tank3!$C$23="No control",(SUMIF(Tank3!$B$32:$B$49,$J3804,Tank3!$C$32:$C$49)*Impacts!$F$10),0)</f>
        <v>0</v>
      </c>
      <c r="O3804" s="10">
        <f>IF(Tank4!$C$23="No control",(SUMIF(Tank4!$B$32:$B$49,$J3804,Tank4!$C$32:$C$49)*Impacts!$F$11),0)</f>
        <v>0</v>
      </c>
      <c r="P3804" s="10">
        <f>IF(Tank5!$C$23="No control",(SUMIF(Tank5!$B$32:$B$49,$J3804,Tank5!$C$32:$C$49)*Impacts!$F$12),0)</f>
        <v>0</v>
      </c>
      <c r="Q3804" s="10">
        <f>IFERROR(IF(('Loading-drum,tote'!$C$21)="No control",SUMIF(('Loading-drum,tote'!$B$31:$B$48),$J3804,('Loading-drum,tote'!$D$31:$D$48))*Impacts!$F$13,IF(('Loading-drum,tote'!$C$21)&lt;&gt;"No control",SUMIF(('Loading-drum,tote'!$B$31:$B$48),$J3804,('Loading-drum,tote'!$E$31:$E$48))*Impacts!$F$13,0)),0)</f>
        <v>0</v>
      </c>
      <c r="R3804" s="10">
        <f>IFERROR(IF(('Loading-truck'!$C$21)="No control",SUMIF(('Loading-truck'!$B$31:$B$48),$J3804,('Loading-truck'!$D$31:$D$48))*Impacts!$F$14,IF(('Loading-truck'!$C$21)&lt;&gt;"No control",SUMIF(('Loading-truck'!$B$31:$B$48),$J3804,('Loading-truck'!$E$31:$E$48))*Impacts!$F$14,0)),0)</f>
        <v>0</v>
      </c>
      <c r="S3804" s="10">
        <f>IFERROR(IF(('Loading-rail'!$C$21)="No control",SUMIF(('Loading-rail'!$B$31:$B$48),$J3804,('Loading-rail'!$D$31:$D$48))*Impacts!$F$15,IF(('Loading-rail'!$C$21)&lt;&gt;"No control",SUMIF(('Loading-rail'!$B$31:$B$48),$J3804,('Loading-rail'!$E$31:$E$48))*Impacts!$F$15,0)),0)</f>
        <v>0</v>
      </c>
      <c r="T3804" s="10">
        <f>IF(Flare!$C$7="",0,(SUMIF(Flare!$B$46:$B$185,$J3804,Flare!$E$46:$E$185)*Impacts!$F$16))</f>
        <v>0</v>
      </c>
      <c r="U3804" s="10">
        <f>IF(VCU!$C$9="",0,(SUMIF(VCU!$B$51:$B$193,$J3804,VCU!$E$51:$E$193)*Impacts!$F$17))</f>
        <v>0</v>
      </c>
      <c r="V3804" s="10">
        <f>IF(CAS!$C$7="",0,(SUMIF(CAS!$B$31:$B$167,$J3804,CAS!$E$31:$E$167)*Impacts!$F$18))</f>
        <v>0</v>
      </c>
      <c r="W3804" s="10">
        <f t="shared" si="100"/>
        <v>0</v>
      </c>
      <c r="AK3804" s="10" t="str">
        <f t="array" ref="AK3804">IFERROR(INDEX(SelectedSpecies,SMALL(IF(SelectedSpecies=AK$1,ROW(SelectedSpecies)),ROW(3805:3805)),2),"")</f>
        <v/>
      </c>
      <c r="BE3804" s="10"/>
      <c r="BI3804" s="10"/>
    </row>
    <row r="3805" spans="1:61" ht="21" customHeight="1" x14ac:dyDescent="0.25">
      <c r="A3805" s="10"/>
      <c r="B3805" s="10"/>
      <c r="E3805" s="10"/>
      <c r="G3805" s="10"/>
      <c r="I3805" s="436" t="s">
        <v>1208</v>
      </c>
      <c r="J3805" s="26" t="s">
        <v>1207</v>
      </c>
      <c r="K3805" s="10">
        <v>35</v>
      </c>
      <c r="L3805" s="73">
        <f>IF(Tank1!$C$23="No control",(SUMIF(Tank1!$B$32:$B$49,$J3805,Tank1!$C$32:$C$49)*Impacts!$F$8),0)</f>
        <v>0</v>
      </c>
      <c r="M3805" s="10">
        <f>IF(Tank2!$C$23="No control",(SUMIF(Tank2!$B$32:$B$49,$J3805,Tank2!$C$32:$C$49)*Impacts!$F$9),0)</f>
        <v>0</v>
      </c>
      <c r="N3805" s="10">
        <f>IF(Tank3!$C$23="No control",(SUMIF(Tank3!$B$32:$B$49,$J3805,Tank3!$C$32:$C$49)*Impacts!$F$10),0)</f>
        <v>0</v>
      </c>
      <c r="O3805" s="10">
        <f>IF(Tank4!$C$23="No control",(SUMIF(Tank4!$B$32:$B$49,$J3805,Tank4!$C$32:$C$49)*Impacts!$F$11),0)</f>
        <v>0</v>
      </c>
      <c r="P3805" s="10">
        <f>IF(Tank5!$C$23="No control",(SUMIF(Tank5!$B$32:$B$49,$J3805,Tank5!$C$32:$C$49)*Impacts!$F$12),0)</f>
        <v>0</v>
      </c>
      <c r="Q3805" s="10">
        <f>IFERROR(IF(('Loading-drum,tote'!$C$21)="No control",SUMIF(('Loading-drum,tote'!$B$31:$B$48),$J3805,('Loading-drum,tote'!$D$31:$D$48))*Impacts!$F$13,IF(('Loading-drum,tote'!$C$21)&lt;&gt;"No control",SUMIF(('Loading-drum,tote'!$B$31:$B$48),$J3805,('Loading-drum,tote'!$E$31:$E$48))*Impacts!$F$13,0)),0)</f>
        <v>0</v>
      </c>
      <c r="R3805" s="10">
        <f>IFERROR(IF(('Loading-truck'!$C$21)="No control",SUMIF(('Loading-truck'!$B$31:$B$48),$J3805,('Loading-truck'!$D$31:$D$48))*Impacts!$F$14,IF(('Loading-truck'!$C$21)&lt;&gt;"No control",SUMIF(('Loading-truck'!$B$31:$B$48),$J3805,('Loading-truck'!$E$31:$E$48))*Impacts!$F$14,0)),0)</f>
        <v>0</v>
      </c>
      <c r="S3805" s="10">
        <f>IFERROR(IF(('Loading-rail'!$C$21)="No control",SUMIF(('Loading-rail'!$B$31:$B$48),$J3805,('Loading-rail'!$D$31:$D$48))*Impacts!$F$15,IF(('Loading-rail'!$C$21)&lt;&gt;"No control",SUMIF(('Loading-rail'!$B$31:$B$48),$J3805,('Loading-rail'!$E$31:$E$48))*Impacts!$F$15,0)),0)</f>
        <v>0</v>
      </c>
      <c r="T3805" s="10">
        <f>IF(Flare!$C$7="",0,(SUMIF(Flare!$B$46:$B$185,$J3805,Flare!$E$46:$E$185)*Impacts!$F$16))</f>
        <v>0</v>
      </c>
      <c r="U3805" s="10">
        <f>IF(VCU!$C$9="",0,(SUMIF(VCU!$B$51:$B$193,$J3805,VCU!$E$51:$E$193)*Impacts!$F$17))</f>
        <v>0</v>
      </c>
      <c r="V3805" s="10">
        <f>IF(CAS!$C$7="",0,(SUMIF(CAS!$B$31:$B$167,$J3805,CAS!$E$31:$E$167)*Impacts!$F$18))</f>
        <v>0</v>
      </c>
      <c r="W3805" s="10">
        <f t="shared" si="100"/>
        <v>0</v>
      </c>
      <c r="AK3805" s="10" t="str">
        <f t="array" ref="AK3805">IFERROR(INDEX(SelectedSpecies,SMALL(IF(SelectedSpecies=AK$1,ROW(SelectedSpecies)),ROW(3806:3806)),2),"")</f>
        <v/>
      </c>
      <c r="BE3805" s="10"/>
      <c r="BI3805" s="10"/>
    </row>
    <row r="3806" spans="1:61" ht="21" customHeight="1" x14ac:dyDescent="0.25">
      <c r="A3806" s="10"/>
      <c r="B3806" s="10"/>
      <c r="E3806" s="10"/>
      <c r="G3806" s="10"/>
      <c r="I3806" s="436" t="s">
        <v>8226</v>
      </c>
      <c r="J3806" s="26" t="s">
        <v>8225</v>
      </c>
      <c r="K3806" s="10">
        <v>1.0000000000000002E-2</v>
      </c>
      <c r="L3806" s="73">
        <f>IF(Tank1!$C$23="No control",(SUMIF(Tank1!$B$32:$B$49,$J3806,Tank1!$C$32:$C$49)*Impacts!$F$8),0)</f>
        <v>0</v>
      </c>
      <c r="M3806" s="10">
        <f>IF(Tank2!$C$23="No control",(SUMIF(Tank2!$B$32:$B$49,$J3806,Tank2!$C$32:$C$49)*Impacts!$F$9),0)</f>
        <v>0</v>
      </c>
      <c r="N3806" s="10">
        <f>IF(Tank3!$C$23="No control",(SUMIF(Tank3!$B$32:$B$49,$J3806,Tank3!$C$32:$C$49)*Impacts!$F$10),0)</f>
        <v>0</v>
      </c>
      <c r="O3806" s="10">
        <f>IF(Tank4!$C$23="No control",(SUMIF(Tank4!$B$32:$B$49,$J3806,Tank4!$C$32:$C$49)*Impacts!$F$11),0)</f>
        <v>0</v>
      </c>
      <c r="P3806" s="10">
        <f>IF(Tank5!$C$23="No control",(SUMIF(Tank5!$B$32:$B$49,$J3806,Tank5!$C$32:$C$49)*Impacts!$F$12),0)</f>
        <v>0</v>
      </c>
      <c r="Q3806" s="10">
        <f>IFERROR(IF(('Loading-drum,tote'!$C$21)="No control",SUMIF(('Loading-drum,tote'!$B$31:$B$48),$J3806,('Loading-drum,tote'!$D$31:$D$48))*Impacts!$F$13,IF(('Loading-drum,tote'!$C$21)&lt;&gt;"No control",SUMIF(('Loading-drum,tote'!$B$31:$B$48),$J3806,('Loading-drum,tote'!$E$31:$E$48))*Impacts!$F$13,0)),0)</f>
        <v>0</v>
      </c>
      <c r="R3806" s="10">
        <f>IFERROR(IF(('Loading-truck'!$C$21)="No control",SUMIF(('Loading-truck'!$B$31:$B$48),$J3806,('Loading-truck'!$D$31:$D$48))*Impacts!$F$14,IF(('Loading-truck'!$C$21)&lt;&gt;"No control",SUMIF(('Loading-truck'!$B$31:$B$48),$J3806,('Loading-truck'!$E$31:$E$48))*Impacts!$F$14,0)),0)</f>
        <v>0</v>
      </c>
      <c r="S3806" s="10">
        <f>IFERROR(IF(('Loading-rail'!$C$21)="No control",SUMIF(('Loading-rail'!$B$31:$B$48),$J3806,('Loading-rail'!$D$31:$D$48))*Impacts!$F$15,IF(('Loading-rail'!$C$21)&lt;&gt;"No control",SUMIF(('Loading-rail'!$B$31:$B$48),$J3806,('Loading-rail'!$E$31:$E$48))*Impacts!$F$15,0)),0)</f>
        <v>0</v>
      </c>
      <c r="T3806" s="10">
        <f>IF(Flare!$C$7="",0,(SUMIF(Flare!$B$46:$B$185,$J3806,Flare!$E$46:$E$185)*Impacts!$F$16))</f>
        <v>0</v>
      </c>
      <c r="U3806" s="10">
        <f>IF(VCU!$C$9="",0,(SUMIF(VCU!$B$51:$B$193,$J3806,VCU!$E$51:$E$193)*Impacts!$F$17))</f>
        <v>0</v>
      </c>
      <c r="V3806" s="10">
        <f>IF(CAS!$C$7="",0,(SUMIF(CAS!$B$31:$B$167,$J3806,CAS!$E$31:$E$167)*Impacts!$F$18))</f>
        <v>0</v>
      </c>
      <c r="W3806" s="10">
        <f t="shared" si="100"/>
        <v>0</v>
      </c>
      <c r="AK3806" s="10" t="str">
        <f t="array" ref="AK3806">IFERROR(INDEX(SelectedSpecies,SMALL(IF(SelectedSpecies=AK$1,ROW(SelectedSpecies)),ROW(3807:3807)),2),"")</f>
        <v/>
      </c>
      <c r="BE3806" s="10"/>
      <c r="BI3806" s="10"/>
    </row>
    <row r="3807" spans="1:61" ht="21" customHeight="1" x14ac:dyDescent="0.25">
      <c r="A3807" s="10"/>
      <c r="B3807" s="10"/>
      <c r="E3807" s="10"/>
      <c r="G3807" s="10"/>
      <c r="I3807" s="436" t="s">
        <v>8074</v>
      </c>
      <c r="J3807" s="26" t="s">
        <v>8073</v>
      </c>
      <c r="K3807" s="10">
        <v>2.0000000000000004E-2</v>
      </c>
      <c r="L3807" s="73">
        <f>IF(Tank1!$C$23="No control",(SUMIF(Tank1!$B$32:$B$49,$J3807,Tank1!$C$32:$C$49)*Impacts!$F$8),0)</f>
        <v>0</v>
      </c>
      <c r="M3807" s="10">
        <f>IF(Tank2!$C$23="No control",(SUMIF(Tank2!$B$32:$B$49,$J3807,Tank2!$C$32:$C$49)*Impacts!$F$9),0)</f>
        <v>0</v>
      </c>
      <c r="N3807" s="10">
        <f>IF(Tank3!$C$23="No control",(SUMIF(Tank3!$B$32:$B$49,$J3807,Tank3!$C$32:$C$49)*Impacts!$F$10),0)</f>
        <v>0</v>
      </c>
      <c r="O3807" s="10">
        <f>IF(Tank4!$C$23="No control",(SUMIF(Tank4!$B$32:$B$49,$J3807,Tank4!$C$32:$C$49)*Impacts!$F$11),0)</f>
        <v>0</v>
      </c>
      <c r="P3807" s="10">
        <f>IF(Tank5!$C$23="No control",(SUMIF(Tank5!$B$32:$B$49,$J3807,Tank5!$C$32:$C$49)*Impacts!$F$12),0)</f>
        <v>0</v>
      </c>
      <c r="Q3807" s="10">
        <f>IFERROR(IF(('Loading-drum,tote'!$C$21)="No control",SUMIF(('Loading-drum,tote'!$B$31:$B$48),$J3807,('Loading-drum,tote'!$D$31:$D$48))*Impacts!$F$13,IF(('Loading-drum,tote'!$C$21)&lt;&gt;"No control",SUMIF(('Loading-drum,tote'!$B$31:$B$48),$J3807,('Loading-drum,tote'!$E$31:$E$48))*Impacts!$F$13,0)),0)</f>
        <v>0</v>
      </c>
      <c r="R3807" s="10">
        <f>IFERROR(IF(('Loading-truck'!$C$21)="No control",SUMIF(('Loading-truck'!$B$31:$B$48),$J3807,('Loading-truck'!$D$31:$D$48))*Impacts!$F$14,IF(('Loading-truck'!$C$21)&lt;&gt;"No control",SUMIF(('Loading-truck'!$B$31:$B$48),$J3807,('Loading-truck'!$E$31:$E$48))*Impacts!$F$14,0)),0)</f>
        <v>0</v>
      </c>
      <c r="S3807" s="10">
        <f>IFERROR(IF(('Loading-rail'!$C$21)="No control",SUMIF(('Loading-rail'!$B$31:$B$48),$J3807,('Loading-rail'!$D$31:$D$48))*Impacts!$F$15,IF(('Loading-rail'!$C$21)&lt;&gt;"No control",SUMIF(('Loading-rail'!$B$31:$B$48),$J3807,('Loading-rail'!$E$31:$E$48))*Impacts!$F$15,0)),0)</f>
        <v>0</v>
      </c>
      <c r="T3807" s="10">
        <f>IF(Flare!$C$7="",0,(SUMIF(Flare!$B$46:$B$185,$J3807,Flare!$E$46:$E$185)*Impacts!$F$16))</f>
        <v>0</v>
      </c>
      <c r="U3807" s="10">
        <f>IF(VCU!$C$9="",0,(SUMIF(VCU!$B$51:$B$193,$J3807,VCU!$E$51:$E$193)*Impacts!$F$17))</f>
        <v>0</v>
      </c>
      <c r="V3807" s="10">
        <f>IF(CAS!$C$7="",0,(SUMIF(CAS!$B$31:$B$167,$J3807,CAS!$E$31:$E$167)*Impacts!$F$18))</f>
        <v>0</v>
      </c>
      <c r="W3807" s="10">
        <f t="shared" si="100"/>
        <v>0</v>
      </c>
      <c r="AK3807" s="10" t="str">
        <f t="array" ref="AK3807">IFERROR(INDEX(SelectedSpecies,SMALL(IF(SelectedSpecies=AK$1,ROW(SelectedSpecies)),ROW(3808:3808)),2),"")</f>
        <v/>
      </c>
      <c r="BE3807" s="10"/>
      <c r="BI3807" s="10"/>
    </row>
    <row r="3808" spans="1:61" ht="21" customHeight="1" x14ac:dyDescent="0.25">
      <c r="A3808" s="10"/>
      <c r="B3808" s="10"/>
      <c r="E3808" s="10"/>
      <c r="G3808" s="10"/>
      <c r="I3808" s="436" t="s">
        <v>5199</v>
      </c>
      <c r="J3808" s="26" t="s">
        <v>5198</v>
      </c>
      <c r="K3808" s="10">
        <v>2</v>
      </c>
      <c r="L3808" s="73">
        <f>IF(Tank1!$C$23="No control",(SUMIF(Tank1!$B$32:$B$49,$J3808,Tank1!$C$32:$C$49)*Impacts!$F$8),0)</f>
        <v>0</v>
      </c>
      <c r="M3808" s="10">
        <f>IF(Tank2!$C$23="No control",(SUMIF(Tank2!$B$32:$B$49,$J3808,Tank2!$C$32:$C$49)*Impacts!$F$9),0)</f>
        <v>0</v>
      </c>
      <c r="N3808" s="10">
        <f>IF(Tank3!$C$23="No control",(SUMIF(Tank3!$B$32:$B$49,$J3808,Tank3!$C$32:$C$49)*Impacts!$F$10),0)</f>
        <v>0</v>
      </c>
      <c r="O3808" s="10">
        <f>IF(Tank4!$C$23="No control",(SUMIF(Tank4!$B$32:$B$49,$J3808,Tank4!$C$32:$C$49)*Impacts!$F$11),0)</f>
        <v>0</v>
      </c>
      <c r="P3808" s="10">
        <f>IF(Tank5!$C$23="No control",(SUMIF(Tank5!$B$32:$B$49,$J3808,Tank5!$C$32:$C$49)*Impacts!$F$12),0)</f>
        <v>0</v>
      </c>
      <c r="Q3808" s="10">
        <f>IFERROR(IF(('Loading-drum,tote'!$C$21)="No control",SUMIF(('Loading-drum,tote'!$B$31:$B$48),$J3808,('Loading-drum,tote'!$D$31:$D$48))*Impacts!$F$13,IF(('Loading-drum,tote'!$C$21)&lt;&gt;"No control",SUMIF(('Loading-drum,tote'!$B$31:$B$48),$J3808,('Loading-drum,tote'!$E$31:$E$48))*Impacts!$F$13,0)),0)</f>
        <v>0</v>
      </c>
      <c r="R3808" s="10">
        <f>IFERROR(IF(('Loading-truck'!$C$21)="No control",SUMIF(('Loading-truck'!$B$31:$B$48),$J3808,('Loading-truck'!$D$31:$D$48))*Impacts!$F$14,IF(('Loading-truck'!$C$21)&lt;&gt;"No control",SUMIF(('Loading-truck'!$B$31:$B$48),$J3808,('Loading-truck'!$E$31:$E$48))*Impacts!$F$14,0)),0)</f>
        <v>0</v>
      </c>
      <c r="S3808" s="10">
        <f>IFERROR(IF(('Loading-rail'!$C$21)="No control",SUMIF(('Loading-rail'!$B$31:$B$48),$J3808,('Loading-rail'!$D$31:$D$48))*Impacts!$F$15,IF(('Loading-rail'!$C$21)&lt;&gt;"No control",SUMIF(('Loading-rail'!$B$31:$B$48),$J3808,('Loading-rail'!$E$31:$E$48))*Impacts!$F$15,0)),0)</f>
        <v>0</v>
      </c>
      <c r="T3808" s="10">
        <f>IF(Flare!$C$7="",0,(SUMIF(Flare!$B$46:$B$185,$J3808,Flare!$E$46:$E$185)*Impacts!$F$16))</f>
        <v>0</v>
      </c>
      <c r="U3808" s="10">
        <f>IF(VCU!$C$9="",0,(SUMIF(VCU!$B$51:$B$193,$J3808,VCU!$E$51:$E$193)*Impacts!$F$17))</f>
        <v>0</v>
      </c>
      <c r="V3808" s="10">
        <f>IF(CAS!$C$7="",0,(SUMIF(CAS!$B$31:$B$167,$J3808,CAS!$E$31:$E$167)*Impacts!$F$18))</f>
        <v>0</v>
      </c>
      <c r="W3808" s="10">
        <f t="shared" si="100"/>
        <v>0</v>
      </c>
      <c r="AK3808" s="10" t="str">
        <f t="array" ref="AK3808">IFERROR(INDEX(SelectedSpecies,SMALL(IF(SelectedSpecies=AK$1,ROW(SelectedSpecies)),ROW(3809:3809)),2),"")</f>
        <v/>
      </c>
      <c r="BE3808" s="10"/>
      <c r="BI3808" s="10"/>
    </row>
    <row r="3809" spans="1:61" ht="21" customHeight="1" x14ac:dyDescent="0.25">
      <c r="A3809" s="10"/>
      <c r="B3809" s="10"/>
      <c r="E3809" s="10"/>
      <c r="G3809" s="10"/>
      <c r="I3809" s="436" t="s">
        <v>5475</v>
      </c>
      <c r="J3809" s="26" t="s">
        <v>5474</v>
      </c>
      <c r="K3809" s="10">
        <v>1.4000000000000001</v>
      </c>
      <c r="L3809" s="73">
        <f>IF(Tank1!$C$23="No control",(SUMIF(Tank1!$B$32:$B$49,$J3809,Tank1!$C$32:$C$49)*Impacts!$F$8),0)</f>
        <v>0</v>
      </c>
      <c r="M3809" s="10">
        <f>IF(Tank2!$C$23="No control",(SUMIF(Tank2!$B$32:$B$49,$J3809,Tank2!$C$32:$C$49)*Impacts!$F$9),0)</f>
        <v>0</v>
      </c>
      <c r="N3809" s="10">
        <f>IF(Tank3!$C$23="No control",(SUMIF(Tank3!$B$32:$B$49,$J3809,Tank3!$C$32:$C$49)*Impacts!$F$10),0)</f>
        <v>0</v>
      </c>
      <c r="O3809" s="10">
        <f>IF(Tank4!$C$23="No control",(SUMIF(Tank4!$B$32:$B$49,$J3809,Tank4!$C$32:$C$49)*Impacts!$F$11),0)</f>
        <v>0</v>
      </c>
      <c r="P3809" s="10">
        <f>IF(Tank5!$C$23="No control",(SUMIF(Tank5!$B$32:$B$49,$J3809,Tank5!$C$32:$C$49)*Impacts!$F$12),0)</f>
        <v>0</v>
      </c>
      <c r="Q3809" s="10">
        <f>IFERROR(IF(('Loading-drum,tote'!$C$21)="No control",SUMIF(('Loading-drum,tote'!$B$31:$B$48),$J3809,('Loading-drum,tote'!$D$31:$D$48))*Impacts!$F$13,IF(('Loading-drum,tote'!$C$21)&lt;&gt;"No control",SUMIF(('Loading-drum,tote'!$B$31:$B$48),$J3809,('Loading-drum,tote'!$E$31:$E$48))*Impacts!$F$13,0)),0)</f>
        <v>0</v>
      </c>
      <c r="R3809" s="10">
        <f>IFERROR(IF(('Loading-truck'!$C$21)="No control",SUMIF(('Loading-truck'!$B$31:$B$48),$J3809,('Loading-truck'!$D$31:$D$48))*Impacts!$F$14,IF(('Loading-truck'!$C$21)&lt;&gt;"No control",SUMIF(('Loading-truck'!$B$31:$B$48),$J3809,('Loading-truck'!$E$31:$E$48))*Impacts!$F$14,0)),0)</f>
        <v>0</v>
      </c>
      <c r="S3809" s="10">
        <f>IFERROR(IF(('Loading-rail'!$C$21)="No control",SUMIF(('Loading-rail'!$B$31:$B$48),$J3809,('Loading-rail'!$D$31:$D$48))*Impacts!$F$15,IF(('Loading-rail'!$C$21)&lt;&gt;"No control",SUMIF(('Loading-rail'!$B$31:$B$48),$J3809,('Loading-rail'!$E$31:$E$48))*Impacts!$F$15,0)),0)</f>
        <v>0</v>
      </c>
      <c r="T3809" s="10">
        <f>IF(Flare!$C$7="",0,(SUMIF(Flare!$B$46:$B$185,$J3809,Flare!$E$46:$E$185)*Impacts!$F$16))</f>
        <v>0</v>
      </c>
      <c r="U3809" s="10">
        <f>IF(VCU!$C$9="",0,(SUMIF(VCU!$B$51:$B$193,$J3809,VCU!$E$51:$E$193)*Impacts!$F$17))</f>
        <v>0</v>
      </c>
      <c r="V3809" s="10">
        <f>IF(CAS!$C$7="",0,(SUMIF(CAS!$B$31:$B$167,$J3809,CAS!$E$31:$E$167)*Impacts!$F$18))</f>
        <v>0</v>
      </c>
      <c r="W3809" s="10">
        <f t="shared" si="100"/>
        <v>0</v>
      </c>
      <c r="AK3809" s="10" t="str">
        <f t="array" ref="AK3809">IFERROR(INDEX(SelectedSpecies,SMALL(IF(SelectedSpecies=AK$1,ROW(SelectedSpecies)),ROW(3810:3810)),2),"")</f>
        <v/>
      </c>
      <c r="BE3809" s="10"/>
      <c r="BI3809" s="10"/>
    </row>
    <row r="3810" spans="1:61" ht="21" customHeight="1" x14ac:dyDescent="0.25">
      <c r="A3810" s="10"/>
      <c r="B3810" s="10"/>
      <c r="E3810" s="10"/>
      <c r="G3810" s="10"/>
      <c r="I3810" s="436" t="s">
        <v>1406</v>
      </c>
      <c r="J3810" s="26" t="s">
        <v>1405</v>
      </c>
      <c r="K3810" s="10">
        <v>32</v>
      </c>
      <c r="L3810" s="73">
        <f>IF(Tank1!$C$23="No control",(SUMIF(Tank1!$B$32:$B$49,$J3810,Tank1!$C$32:$C$49)*Impacts!$F$8),0)</f>
        <v>0</v>
      </c>
      <c r="M3810" s="10">
        <f>IF(Tank2!$C$23="No control",(SUMIF(Tank2!$B$32:$B$49,$J3810,Tank2!$C$32:$C$49)*Impacts!$F$9),0)</f>
        <v>0</v>
      </c>
      <c r="N3810" s="10">
        <f>IF(Tank3!$C$23="No control",(SUMIF(Tank3!$B$32:$B$49,$J3810,Tank3!$C$32:$C$49)*Impacts!$F$10),0)</f>
        <v>0</v>
      </c>
      <c r="O3810" s="10">
        <f>IF(Tank4!$C$23="No control",(SUMIF(Tank4!$B$32:$B$49,$J3810,Tank4!$C$32:$C$49)*Impacts!$F$11),0)</f>
        <v>0</v>
      </c>
      <c r="P3810" s="10">
        <f>IF(Tank5!$C$23="No control",(SUMIF(Tank5!$B$32:$B$49,$J3810,Tank5!$C$32:$C$49)*Impacts!$F$12),0)</f>
        <v>0</v>
      </c>
      <c r="Q3810" s="10">
        <f>IFERROR(IF(('Loading-drum,tote'!$C$21)="No control",SUMIF(('Loading-drum,tote'!$B$31:$B$48),$J3810,('Loading-drum,tote'!$D$31:$D$48))*Impacts!$F$13,IF(('Loading-drum,tote'!$C$21)&lt;&gt;"No control",SUMIF(('Loading-drum,tote'!$B$31:$B$48),$J3810,('Loading-drum,tote'!$E$31:$E$48))*Impacts!$F$13,0)),0)</f>
        <v>0</v>
      </c>
      <c r="R3810" s="10">
        <f>IFERROR(IF(('Loading-truck'!$C$21)="No control",SUMIF(('Loading-truck'!$B$31:$B$48),$J3810,('Loading-truck'!$D$31:$D$48))*Impacts!$F$14,IF(('Loading-truck'!$C$21)&lt;&gt;"No control",SUMIF(('Loading-truck'!$B$31:$B$48),$J3810,('Loading-truck'!$E$31:$E$48))*Impacts!$F$14,0)),0)</f>
        <v>0</v>
      </c>
      <c r="S3810" s="10">
        <f>IFERROR(IF(('Loading-rail'!$C$21)="No control",SUMIF(('Loading-rail'!$B$31:$B$48),$J3810,('Loading-rail'!$D$31:$D$48))*Impacts!$F$15,IF(('Loading-rail'!$C$21)&lt;&gt;"No control",SUMIF(('Loading-rail'!$B$31:$B$48),$J3810,('Loading-rail'!$E$31:$E$48))*Impacts!$F$15,0)),0)</f>
        <v>0</v>
      </c>
      <c r="T3810" s="10">
        <f>IF(Flare!$C$7="",0,(SUMIF(Flare!$B$46:$B$185,$J3810,Flare!$E$46:$E$185)*Impacts!$F$16))</f>
        <v>0</v>
      </c>
      <c r="U3810" s="10">
        <f>IF(VCU!$C$9="",0,(SUMIF(VCU!$B$51:$B$193,$J3810,VCU!$E$51:$E$193)*Impacts!$F$17))</f>
        <v>0</v>
      </c>
      <c r="V3810" s="10">
        <f>IF(CAS!$C$7="",0,(SUMIF(CAS!$B$31:$B$167,$J3810,CAS!$E$31:$E$167)*Impacts!$F$18))</f>
        <v>0</v>
      </c>
      <c r="W3810" s="10">
        <f t="shared" si="100"/>
        <v>0</v>
      </c>
      <c r="AK3810" s="10" t="str">
        <f t="array" ref="AK3810">IFERROR(INDEX(SelectedSpecies,SMALL(IF(SelectedSpecies=AK$1,ROW(SelectedSpecies)),ROW(3811:3811)),2),"")</f>
        <v/>
      </c>
      <c r="BE3810" s="10"/>
      <c r="BI3810" s="10"/>
    </row>
    <row r="3811" spans="1:61" ht="21" customHeight="1" x14ac:dyDescent="0.25">
      <c r="A3811" s="10"/>
      <c r="B3811" s="10"/>
      <c r="E3811" s="10"/>
      <c r="G3811" s="10"/>
      <c r="I3811" s="436" t="s">
        <v>4925</v>
      </c>
      <c r="J3811" s="26" t="s">
        <v>4924</v>
      </c>
      <c r="K3811" s="10">
        <v>2.6</v>
      </c>
      <c r="L3811" s="73">
        <f>IF(Tank1!$C$23="No control",(SUMIF(Tank1!$B$32:$B$49,$J3811,Tank1!$C$32:$C$49)*Impacts!$F$8),0)</f>
        <v>0</v>
      </c>
      <c r="M3811" s="10">
        <f>IF(Tank2!$C$23="No control",(SUMIF(Tank2!$B$32:$B$49,$J3811,Tank2!$C$32:$C$49)*Impacts!$F$9),0)</f>
        <v>0</v>
      </c>
      <c r="N3811" s="10">
        <f>IF(Tank3!$C$23="No control",(SUMIF(Tank3!$B$32:$B$49,$J3811,Tank3!$C$32:$C$49)*Impacts!$F$10),0)</f>
        <v>0</v>
      </c>
      <c r="O3811" s="10">
        <f>IF(Tank4!$C$23="No control",(SUMIF(Tank4!$B$32:$B$49,$J3811,Tank4!$C$32:$C$49)*Impacts!$F$11),0)</f>
        <v>0</v>
      </c>
      <c r="P3811" s="10">
        <f>IF(Tank5!$C$23="No control",(SUMIF(Tank5!$B$32:$B$49,$J3811,Tank5!$C$32:$C$49)*Impacts!$F$12),0)</f>
        <v>0</v>
      </c>
      <c r="Q3811" s="10">
        <f>IFERROR(IF(('Loading-drum,tote'!$C$21)="No control",SUMIF(('Loading-drum,tote'!$B$31:$B$48),$J3811,('Loading-drum,tote'!$D$31:$D$48))*Impacts!$F$13,IF(('Loading-drum,tote'!$C$21)&lt;&gt;"No control",SUMIF(('Loading-drum,tote'!$B$31:$B$48),$J3811,('Loading-drum,tote'!$E$31:$E$48))*Impacts!$F$13,0)),0)</f>
        <v>0</v>
      </c>
      <c r="R3811" s="10">
        <f>IFERROR(IF(('Loading-truck'!$C$21)="No control",SUMIF(('Loading-truck'!$B$31:$B$48),$J3811,('Loading-truck'!$D$31:$D$48))*Impacts!$F$14,IF(('Loading-truck'!$C$21)&lt;&gt;"No control",SUMIF(('Loading-truck'!$B$31:$B$48),$J3811,('Loading-truck'!$E$31:$E$48))*Impacts!$F$14,0)),0)</f>
        <v>0</v>
      </c>
      <c r="S3811" s="10">
        <f>IFERROR(IF(('Loading-rail'!$C$21)="No control",SUMIF(('Loading-rail'!$B$31:$B$48),$J3811,('Loading-rail'!$D$31:$D$48))*Impacts!$F$15,IF(('Loading-rail'!$C$21)&lt;&gt;"No control",SUMIF(('Loading-rail'!$B$31:$B$48),$J3811,('Loading-rail'!$E$31:$E$48))*Impacts!$F$15,0)),0)</f>
        <v>0</v>
      </c>
      <c r="T3811" s="10">
        <f>IF(Flare!$C$7="",0,(SUMIF(Flare!$B$46:$B$185,$J3811,Flare!$E$46:$E$185)*Impacts!$F$16))</f>
        <v>0</v>
      </c>
      <c r="U3811" s="10">
        <f>IF(VCU!$C$9="",0,(SUMIF(VCU!$B$51:$B$193,$J3811,VCU!$E$51:$E$193)*Impacts!$F$17))</f>
        <v>0</v>
      </c>
      <c r="V3811" s="10">
        <f>IF(CAS!$C$7="",0,(SUMIF(CAS!$B$31:$B$167,$J3811,CAS!$E$31:$E$167)*Impacts!$F$18))</f>
        <v>0</v>
      </c>
      <c r="W3811" s="10">
        <f t="shared" si="100"/>
        <v>0</v>
      </c>
      <c r="AK3811" s="10" t="str">
        <f t="array" ref="AK3811">IFERROR(INDEX(SelectedSpecies,SMALL(IF(SelectedSpecies=AK$1,ROW(SelectedSpecies)),ROW(3812:3812)),2),"")</f>
        <v/>
      </c>
      <c r="BE3811" s="10"/>
      <c r="BI3811" s="10"/>
    </row>
    <row r="3812" spans="1:61" ht="21" customHeight="1" x14ac:dyDescent="0.25">
      <c r="A3812" s="10"/>
      <c r="B3812" s="10"/>
      <c r="E3812" s="10"/>
      <c r="G3812" s="10"/>
      <c r="I3812" s="436" t="s">
        <v>3489</v>
      </c>
      <c r="J3812" s="26" t="s">
        <v>3488</v>
      </c>
      <c r="K3812" s="10">
        <v>9.3000000000000007</v>
      </c>
      <c r="L3812" s="73">
        <f>IF(Tank1!$C$23="No control",(SUMIF(Tank1!$B$32:$B$49,$J3812,Tank1!$C$32:$C$49)*Impacts!$F$8),0)</f>
        <v>0</v>
      </c>
      <c r="M3812" s="10">
        <f>IF(Tank2!$C$23="No control",(SUMIF(Tank2!$B$32:$B$49,$J3812,Tank2!$C$32:$C$49)*Impacts!$F$9),0)</f>
        <v>0</v>
      </c>
      <c r="N3812" s="10">
        <f>IF(Tank3!$C$23="No control",(SUMIF(Tank3!$B$32:$B$49,$J3812,Tank3!$C$32:$C$49)*Impacts!$F$10),0)</f>
        <v>0</v>
      </c>
      <c r="O3812" s="10">
        <f>IF(Tank4!$C$23="No control",(SUMIF(Tank4!$B$32:$B$49,$J3812,Tank4!$C$32:$C$49)*Impacts!$F$11),0)</f>
        <v>0</v>
      </c>
      <c r="P3812" s="10">
        <f>IF(Tank5!$C$23="No control",(SUMIF(Tank5!$B$32:$B$49,$J3812,Tank5!$C$32:$C$49)*Impacts!$F$12),0)</f>
        <v>0</v>
      </c>
      <c r="Q3812" s="10">
        <f>IFERROR(IF(('Loading-drum,tote'!$C$21)="No control",SUMIF(('Loading-drum,tote'!$B$31:$B$48),$J3812,('Loading-drum,tote'!$D$31:$D$48))*Impacts!$F$13,IF(('Loading-drum,tote'!$C$21)&lt;&gt;"No control",SUMIF(('Loading-drum,tote'!$B$31:$B$48),$J3812,('Loading-drum,tote'!$E$31:$E$48))*Impacts!$F$13,0)),0)</f>
        <v>0</v>
      </c>
      <c r="R3812" s="10">
        <f>IFERROR(IF(('Loading-truck'!$C$21)="No control",SUMIF(('Loading-truck'!$B$31:$B$48),$J3812,('Loading-truck'!$D$31:$D$48))*Impacts!$F$14,IF(('Loading-truck'!$C$21)&lt;&gt;"No control",SUMIF(('Loading-truck'!$B$31:$B$48),$J3812,('Loading-truck'!$E$31:$E$48))*Impacts!$F$14,0)),0)</f>
        <v>0</v>
      </c>
      <c r="S3812" s="10">
        <f>IFERROR(IF(('Loading-rail'!$C$21)="No control",SUMIF(('Loading-rail'!$B$31:$B$48),$J3812,('Loading-rail'!$D$31:$D$48))*Impacts!$F$15,IF(('Loading-rail'!$C$21)&lt;&gt;"No control",SUMIF(('Loading-rail'!$B$31:$B$48),$J3812,('Loading-rail'!$E$31:$E$48))*Impacts!$F$15,0)),0)</f>
        <v>0</v>
      </c>
      <c r="T3812" s="10">
        <f>IF(Flare!$C$7="",0,(SUMIF(Flare!$B$46:$B$185,$J3812,Flare!$E$46:$E$185)*Impacts!$F$16))</f>
        <v>0</v>
      </c>
      <c r="U3812" s="10">
        <f>IF(VCU!$C$9="",0,(SUMIF(VCU!$B$51:$B$193,$J3812,VCU!$E$51:$E$193)*Impacts!$F$17))</f>
        <v>0</v>
      </c>
      <c r="V3812" s="10">
        <f>IF(CAS!$C$7="",0,(SUMIF(CAS!$B$31:$B$167,$J3812,CAS!$E$31:$E$167)*Impacts!$F$18))</f>
        <v>0</v>
      </c>
      <c r="W3812" s="10">
        <f t="shared" si="100"/>
        <v>0</v>
      </c>
      <c r="AK3812" s="10" t="str">
        <f t="array" ref="AK3812">IFERROR(INDEX(SelectedSpecies,SMALL(IF(SelectedSpecies=AK$1,ROW(SelectedSpecies)),ROW(3813:3813)),2),"")</f>
        <v/>
      </c>
      <c r="BE3812" s="10"/>
      <c r="BI3812" s="10"/>
    </row>
    <row r="3813" spans="1:61" ht="21" customHeight="1" x14ac:dyDescent="0.25">
      <c r="A3813" s="10"/>
      <c r="B3813" s="10"/>
      <c r="E3813" s="10"/>
      <c r="G3813" s="10"/>
      <c r="I3813" s="436" t="s">
        <v>461</v>
      </c>
      <c r="J3813" s="26" t="s">
        <v>460</v>
      </c>
      <c r="K3813" s="10">
        <v>164</v>
      </c>
      <c r="L3813" s="73">
        <f>IF(Tank1!$C$23="No control",(SUMIF(Tank1!$B$32:$B$49,$J3813,Tank1!$C$32:$C$49)*Impacts!$F$8),0)</f>
        <v>0</v>
      </c>
      <c r="M3813" s="10">
        <f>IF(Tank2!$C$23="No control",(SUMIF(Tank2!$B$32:$B$49,$J3813,Tank2!$C$32:$C$49)*Impacts!$F$9),0)</f>
        <v>0</v>
      </c>
      <c r="N3813" s="10">
        <f>IF(Tank3!$C$23="No control",(SUMIF(Tank3!$B$32:$B$49,$J3813,Tank3!$C$32:$C$49)*Impacts!$F$10),0)</f>
        <v>0</v>
      </c>
      <c r="O3813" s="10">
        <f>IF(Tank4!$C$23="No control",(SUMIF(Tank4!$B$32:$B$49,$J3813,Tank4!$C$32:$C$49)*Impacts!$F$11),0)</f>
        <v>0</v>
      </c>
      <c r="P3813" s="10">
        <f>IF(Tank5!$C$23="No control",(SUMIF(Tank5!$B$32:$B$49,$J3813,Tank5!$C$32:$C$49)*Impacts!$F$12),0)</f>
        <v>0</v>
      </c>
      <c r="Q3813" s="10">
        <f>IFERROR(IF(('Loading-drum,tote'!$C$21)="No control",SUMIF(('Loading-drum,tote'!$B$31:$B$48),$J3813,('Loading-drum,tote'!$D$31:$D$48))*Impacts!$F$13,IF(('Loading-drum,tote'!$C$21)&lt;&gt;"No control",SUMIF(('Loading-drum,tote'!$B$31:$B$48),$J3813,('Loading-drum,tote'!$E$31:$E$48))*Impacts!$F$13,0)),0)</f>
        <v>0</v>
      </c>
      <c r="R3813" s="10">
        <f>IFERROR(IF(('Loading-truck'!$C$21)="No control",SUMIF(('Loading-truck'!$B$31:$B$48),$J3813,('Loading-truck'!$D$31:$D$48))*Impacts!$F$14,IF(('Loading-truck'!$C$21)&lt;&gt;"No control",SUMIF(('Loading-truck'!$B$31:$B$48),$J3813,('Loading-truck'!$E$31:$E$48))*Impacts!$F$14,0)),0)</f>
        <v>0</v>
      </c>
      <c r="S3813" s="10">
        <f>IFERROR(IF(('Loading-rail'!$C$21)="No control",SUMIF(('Loading-rail'!$B$31:$B$48),$J3813,('Loading-rail'!$D$31:$D$48))*Impacts!$F$15,IF(('Loading-rail'!$C$21)&lt;&gt;"No control",SUMIF(('Loading-rail'!$B$31:$B$48),$J3813,('Loading-rail'!$E$31:$E$48))*Impacts!$F$15,0)),0)</f>
        <v>0</v>
      </c>
      <c r="T3813" s="10">
        <f>IF(Flare!$C$7="",0,(SUMIF(Flare!$B$46:$B$185,$J3813,Flare!$E$46:$E$185)*Impacts!$F$16))</f>
        <v>0</v>
      </c>
      <c r="U3813" s="10">
        <f>IF(VCU!$C$9="",0,(SUMIF(VCU!$B$51:$B$193,$J3813,VCU!$E$51:$E$193)*Impacts!$F$17))</f>
        <v>0</v>
      </c>
      <c r="V3813" s="10">
        <f>IF(CAS!$C$7="",0,(SUMIF(CAS!$B$31:$B$167,$J3813,CAS!$E$31:$E$167)*Impacts!$F$18))</f>
        <v>0</v>
      </c>
      <c r="W3813" s="10">
        <f t="shared" si="100"/>
        <v>0</v>
      </c>
      <c r="AK3813" s="10" t="str">
        <f t="array" ref="AK3813">IFERROR(INDEX(SelectedSpecies,SMALL(IF(SelectedSpecies=AK$1,ROW(SelectedSpecies)),ROW(3814:3814)),2),"")</f>
        <v/>
      </c>
      <c r="BE3813" s="10"/>
      <c r="BI3813" s="10"/>
    </row>
    <row r="3814" spans="1:61" ht="21" customHeight="1" x14ac:dyDescent="0.25">
      <c r="A3814" s="10"/>
      <c r="B3814" s="10"/>
      <c r="E3814" s="10"/>
      <c r="G3814" s="10"/>
      <c r="I3814" s="436" t="s">
        <v>1402</v>
      </c>
      <c r="J3814" s="26" t="s">
        <v>1401</v>
      </c>
      <c r="K3814" s="10">
        <v>33</v>
      </c>
      <c r="L3814" s="73">
        <f>IF(Tank1!$C$23="No control",(SUMIF(Tank1!$B$32:$B$49,$J3814,Tank1!$C$32:$C$49)*Impacts!$F$8),0)</f>
        <v>0</v>
      </c>
      <c r="M3814" s="10">
        <f>IF(Tank2!$C$23="No control",(SUMIF(Tank2!$B$32:$B$49,$J3814,Tank2!$C$32:$C$49)*Impacts!$F$9),0)</f>
        <v>0</v>
      </c>
      <c r="N3814" s="10">
        <f>IF(Tank3!$C$23="No control",(SUMIF(Tank3!$B$32:$B$49,$J3814,Tank3!$C$32:$C$49)*Impacts!$F$10),0)</f>
        <v>0</v>
      </c>
      <c r="O3814" s="10">
        <f>IF(Tank4!$C$23="No control",(SUMIF(Tank4!$B$32:$B$49,$J3814,Tank4!$C$32:$C$49)*Impacts!$F$11),0)</f>
        <v>0</v>
      </c>
      <c r="P3814" s="10">
        <f>IF(Tank5!$C$23="No control",(SUMIF(Tank5!$B$32:$B$49,$J3814,Tank5!$C$32:$C$49)*Impacts!$F$12),0)</f>
        <v>0</v>
      </c>
      <c r="Q3814" s="10">
        <f>IFERROR(IF(('Loading-drum,tote'!$C$21)="No control",SUMIF(('Loading-drum,tote'!$B$31:$B$48),$J3814,('Loading-drum,tote'!$D$31:$D$48))*Impacts!$F$13,IF(('Loading-drum,tote'!$C$21)&lt;&gt;"No control",SUMIF(('Loading-drum,tote'!$B$31:$B$48),$J3814,('Loading-drum,tote'!$E$31:$E$48))*Impacts!$F$13,0)),0)</f>
        <v>0</v>
      </c>
      <c r="R3814" s="10">
        <f>IFERROR(IF(('Loading-truck'!$C$21)="No control",SUMIF(('Loading-truck'!$B$31:$B$48),$J3814,('Loading-truck'!$D$31:$D$48))*Impacts!$F$14,IF(('Loading-truck'!$C$21)&lt;&gt;"No control",SUMIF(('Loading-truck'!$B$31:$B$48),$J3814,('Loading-truck'!$E$31:$E$48))*Impacts!$F$14,0)),0)</f>
        <v>0</v>
      </c>
      <c r="S3814" s="10">
        <f>IFERROR(IF(('Loading-rail'!$C$21)="No control",SUMIF(('Loading-rail'!$B$31:$B$48),$J3814,('Loading-rail'!$D$31:$D$48))*Impacts!$F$15,IF(('Loading-rail'!$C$21)&lt;&gt;"No control",SUMIF(('Loading-rail'!$B$31:$B$48),$J3814,('Loading-rail'!$E$31:$E$48))*Impacts!$F$15,0)),0)</f>
        <v>0</v>
      </c>
      <c r="T3814" s="10">
        <f>IF(Flare!$C$7="",0,(SUMIF(Flare!$B$46:$B$185,$J3814,Flare!$E$46:$E$185)*Impacts!$F$16))</f>
        <v>0</v>
      </c>
      <c r="U3814" s="10">
        <f>IF(VCU!$C$9="",0,(SUMIF(VCU!$B$51:$B$193,$J3814,VCU!$E$51:$E$193)*Impacts!$F$17))</f>
        <v>0</v>
      </c>
      <c r="V3814" s="10">
        <f>IF(CAS!$C$7="",0,(SUMIF(CAS!$B$31:$B$167,$J3814,CAS!$E$31:$E$167)*Impacts!$F$18))</f>
        <v>0</v>
      </c>
      <c r="W3814" s="10">
        <f t="shared" si="100"/>
        <v>0</v>
      </c>
      <c r="AK3814" s="10" t="str">
        <f t="array" ref="AK3814">IFERROR(INDEX(SelectedSpecies,SMALL(IF(SelectedSpecies=AK$1,ROW(SelectedSpecies)),ROW(3815:3815)),2),"")</f>
        <v/>
      </c>
      <c r="BE3814" s="10"/>
      <c r="BI3814" s="10"/>
    </row>
    <row r="3815" spans="1:61" ht="21" customHeight="1" x14ac:dyDescent="0.25">
      <c r="A3815" s="10"/>
      <c r="B3815" s="10"/>
      <c r="E3815" s="10"/>
      <c r="G3815" s="10"/>
      <c r="I3815" s="436" t="s">
        <v>756</v>
      </c>
      <c r="J3815" s="26" t="s">
        <v>755</v>
      </c>
      <c r="K3815" s="10">
        <v>57</v>
      </c>
      <c r="L3815" s="73">
        <f>IF(Tank1!$C$23="No control",(SUMIF(Tank1!$B$32:$B$49,$J3815,Tank1!$C$32:$C$49)*Impacts!$F$8),0)</f>
        <v>0</v>
      </c>
      <c r="M3815" s="10">
        <f>IF(Tank2!$C$23="No control",(SUMIF(Tank2!$B$32:$B$49,$J3815,Tank2!$C$32:$C$49)*Impacts!$F$9),0)</f>
        <v>0</v>
      </c>
      <c r="N3815" s="10">
        <f>IF(Tank3!$C$23="No control",(SUMIF(Tank3!$B$32:$B$49,$J3815,Tank3!$C$32:$C$49)*Impacts!$F$10),0)</f>
        <v>0</v>
      </c>
      <c r="O3815" s="10">
        <f>IF(Tank4!$C$23="No control",(SUMIF(Tank4!$B$32:$B$49,$J3815,Tank4!$C$32:$C$49)*Impacts!$F$11),0)</f>
        <v>0</v>
      </c>
      <c r="P3815" s="10">
        <f>IF(Tank5!$C$23="No control",(SUMIF(Tank5!$B$32:$B$49,$J3815,Tank5!$C$32:$C$49)*Impacts!$F$12),0)</f>
        <v>0</v>
      </c>
      <c r="Q3815" s="10">
        <f>IFERROR(IF(('Loading-drum,tote'!$C$21)="No control",SUMIF(('Loading-drum,tote'!$B$31:$B$48),$J3815,('Loading-drum,tote'!$D$31:$D$48))*Impacts!$F$13,IF(('Loading-drum,tote'!$C$21)&lt;&gt;"No control",SUMIF(('Loading-drum,tote'!$B$31:$B$48),$J3815,('Loading-drum,tote'!$E$31:$E$48))*Impacts!$F$13,0)),0)</f>
        <v>0</v>
      </c>
      <c r="R3815" s="10">
        <f>IFERROR(IF(('Loading-truck'!$C$21)="No control",SUMIF(('Loading-truck'!$B$31:$B$48),$J3815,('Loading-truck'!$D$31:$D$48))*Impacts!$F$14,IF(('Loading-truck'!$C$21)&lt;&gt;"No control",SUMIF(('Loading-truck'!$B$31:$B$48),$J3815,('Loading-truck'!$E$31:$E$48))*Impacts!$F$14,0)),0)</f>
        <v>0</v>
      </c>
      <c r="S3815" s="10">
        <f>IFERROR(IF(('Loading-rail'!$C$21)="No control",SUMIF(('Loading-rail'!$B$31:$B$48),$J3815,('Loading-rail'!$D$31:$D$48))*Impacts!$F$15,IF(('Loading-rail'!$C$21)&lt;&gt;"No control",SUMIF(('Loading-rail'!$B$31:$B$48),$J3815,('Loading-rail'!$E$31:$E$48))*Impacts!$F$15,0)),0)</f>
        <v>0</v>
      </c>
      <c r="T3815" s="10">
        <f>IF(Flare!$C$7="",0,(SUMIF(Flare!$B$46:$B$185,$J3815,Flare!$E$46:$E$185)*Impacts!$F$16))</f>
        <v>0</v>
      </c>
      <c r="U3815" s="10">
        <f>IF(VCU!$C$9="",0,(SUMIF(VCU!$B$51:$B$193,$J3815,VCU!$E$51:$E$193)*Impacts!$F$17))</f>
        <v>0</v>
      </c>
      <c r="V3815" s="10">
        <f>IF(CAS!$C$7="",0,(SUMIF(CAS!$B$31:$B$167,$J3815,CAS!$E$31:$E$167)*Impacts!$F$18))</f>
        <v>0</v>
      </c>
      <c r="W3815" s="10">
        <f t="shared" si="100"/>
        <v>0</v>
      </c>
      <c r="AK3815" s="10" t="str">
        <f t="array" ref="AK3815">IFERROR(INDEX(SelectedSpecies,SMALL(IF(SelectedSpecies=AK$1,ROW(SelectedSpecies)),ROW(3816:3816)),2),"")</f>
        <v/>
      </c>
      <c r="BE3815" s="10"/>
      <c r="BI3815" s="10"/>
    </row>
    <row r="3816" spans="1:61" ht="21" customHeight="1" x14ac:dyDescent="0.25">
      <c r="A3816" s="10"/>
      <c r="B3816" s="10"/>
      <c r="E3816" s="10"/>
      <c r="G3816" s="10"/>
      <c r="I3816" s="436" t="s">
        <v>4617</v>
      </c>
      <c r="J3816" s="26" t="s">
        <v>4616</v>
      </c>
      <c r="K3816" s="10">
        <v>4</v>
      </c>
      <c r="L3816" s="73">
        <f>IF(Tank1!$C$23="No control",(SUMIF(Tank1!$B$32:$B$49,$J3816,Tank1!$C$32:$C$49)*Impacts!$F$8),0)</f>
        <v>0</v>
      </c>
      <c r="M3816" s="10">
        <f>IF(Tank2!$C$23="No control",(SUMIF(Tank2!$B$32:$B$49,$J3816,Tank2!$C$32:$C$49)*Impacts!$F$9),0)</f>
        <v>0</v>
      </c>
      <c r="N3816" s="10">
        <f>IF(Tank3!$C$23="No control",(SUMIF(Tank3!$B$32:$B$49,$J3816,Tank3!$C$32:$C$49)*Impacts!$F$10),0)</f>
        <v>0</v>
      </c>
      <c r="O3816" s="10">
        <f>IF(Tank4!$C$23="No control",(SUMIF(Tank4!$B$32:$B$49,$J3816,Tank4!$C$32:$C$49)*Impacts!$F$11),0)</f>
        <v>0</v>
      </c>
      <c r="P3816" s="10">
        <f>IF(Tank5!$C$23="No control",(SUMIF(Tank5!$B$32:$B$49,$J3816,Tank5!$C$32:$C$49)*Impacts!$F$12),0)</f>
        <v>0</v>
      </c>
      <c r="Q3816" s="10">
        <f>IFERROR(IF(('Loading-drum,tote'!$C$21)="No control",SUMIF(('Loading-drum,tote'!$B$31:$B$48),$J3816,('Loading-drum,tote'!$D$31:$D$48))*Impacts!$F$13,IF(('Loading-drum,tote'!$C$21)&lt;&gt;"No control",SUMIF(('Loading-drum,tote'!$B$31:$B$48),$J3816,('Loading-drum,tote'!$E$31:$E$48))*Impacts!$F$13,0)),0)</f>
        <v>0</v>
      </c>
      <c r="R3816" s="10">
        <f>IFERROR(IF(('Loading-truck'!$C$21)="No control",SUMIF(('Loading-truck'!$B$31:$B$48),$J3816,('Loading-truck'!$D$31:$D$48))*Impacts!$F$14,IF(('Loading-truck'!$C$21)&lt;&gt;"No control",SUMIF(('Loading-truck'!$B$31:$B$48),$J3816,('Loading-truck'!$E$31:$E$48))*Impacts!$F$14,0)),0)</f>
        <v>0</v>
      </c>
      <c r="S3816" s="10">
        <f>IFERROR(IF(('Loading-rail'!$C$21)="No control",SUMIF(('Loading-rail'!$B$31:$B$48),$J3816,('Loading-rail'!$D$31:$D$48))*Impacts!$F$15,IF(('Loading-rail'!$C$21)&lt;&gt;"No control",SUMIF(('Loading-rail'!$B$31:$B$48),$J3816,('Loading-rail'!$E$31:$E$48))*Impacts!$F$15,0)),0)</f>
        <v>0</v>
      </c>
      <c r="T3816" s="10">
        <f>IF(Flare!$C$7="",0,(SUMIF(Flare!$B$46:$B$185,$J3816,Flare!$E$46:$E$185)*Impacts!$F$16))</f>
        <v>0</v>
      </c>
      <c r="U3816" s="10">
        <f>IF(VCU!$C$9="",0,(SUMIF(VCU!$B$51:$B$193,$J3816,VCU!$E$51:$E$193)*Impacts!$F$17))</f>
        <v>0</v>
      </c>
      <c r="V3816" s="10">
        <f>IF(CAS!$C$7="",0,(SUMIF(CAS!$B$31:$B$167,$J3816,CAS!$E$31:$E$167)*Impacts!$F$18))</f>
        <v>0</v>
      </c>
      <c r="W3816" s="10">
        <f t="shared" si="100"/>
        <v>0</v>
      </c>
      <c r="AK3816" s="10" t="str">
        <f t="array" ref="AK3816">IFERROR(INDEX(SelectedSpecies,SMALL(IF(SelectedSpecies=AK$1,ROW(SelectedSpecies)),ROW(3817:3817)),2),"")</f>
        <v/>
      </c>
      <c r="BE3816" s="10"/>
      <c r="BI3816" s="10"/>
    </row>
    <row r="3817" spans="1:61" ht="21" customHeight="1" x14ac:dyDescent="0.25">
      <c r="A3817" s="10"/>
      <c r="B3817" s="10"/>
      <c r="E3817" s="10"/>
      <c r="G3817" s="10"/>
      <c r="I3817" s="436" t="s">
        <v>6356</v>
      </c>
      <c r="J3817" s="26" t="s">
        <v>6355</v>
      </c>
      <c r="K3817" s="10">
        <v>0.87</v>
      </c>
      <c r="L3817" s="73">
        <f>IF(Tank1!$C$23="No control",(SUMIF(Tank1!$B$32:$B$49,$J3817,Tank1!$C$32:$C$49)*Impacts!$F$8),0)</f>
        <v>0</v>
      </c>
      <c r="M3817" s="10">
        <f>IF(Tank2!$C$23="No control",(SUMIF(Tank2!$B$32:$B$49,$J3817,Tank2!$C$32:$C$49)*Impacts!$F$9),0)</f>
        <v>0</v>
      </c>
      <c r="N3817" s="10">
        <f>IF(Tank3!$C$23="No control",(SUMIF(Tank3!$B$32:$B$49,$J3817,Tank3!$C$32:$C$49)*Impacts!$F$10),0)</f>
        <v>0</v>
      </c>
      <c r="O3817" s="10">
        <f>IF(Tank4!$C$23="No control",(SUMIF(Tank4!$B$32:$B$49,$J3817,Tank4!$C$32:$C$49)*Impacts!$F$11),0)</f>
        <v>0</v>
      </c>
      <c r="P3817" s="10">
        <f>IF(Tank5!$C$23="No control",(SUMIF(Tank5!$B$32:$B$49,$J3817,Tank5!$C$32:$C$49)*Impacts!$F$12),0)</f>
        <v>0</v>
      </c>
      <c r="Q3817" s="10">
        <f>IFERROR(IF(('Loading-drum,tote'!$C$21)="No control",SUMIF(('Loading-drum,tote'!$B$31:$B$48),$J3817,('Loading-drum,tote'!$D$31:$D$48))*Impacts!$F$13,IF(('Loading-drum,tote'!$C$21)&lt;&gt;"No control",SUMIF(('Loading-drum,tote'!$B$31:$B$48),$J3817,('Loading-drum,tote'!$E$31:$E$48))*Impacts!$F$13,0)),0)</f>
        <v>0</v>
      </c>
      <c r="R3817" s="10">
        <f>IFERROR(IF(('Loading-truck'!$C$21)="No control",SUMIF(('Loading-truck'!$B$31:$B$48),$J3817,('Loading-truck'!$D$31:$D$48))*Impacts!$F$14,IF(('Loading-truck'!$C$21)&lt;&gt;"No control",SUMIF(('Loading-truck'!$B$31:$B$48),$J3817,('Loading-truck'!$E$31:$E$48))*Impacts!$F$14,0)),0)</f>
        <v>0</v>
      </c>
      <c r="S3817" s="10">
        <f>IFERROR(IF(('Loading-rail'!$C$21)="No control",SUMIF(('Loading-rail'!$B$31:$B$48),$J3817,('Loading-rail'!$D$31:$D$48))*Impacts!$F$15,IF(('Loading-rail'!$C$21)&lt;&gt;"No control",SUMIF(('Loading-rail'!$B$31:$B$48),$J3817,('Loading-rail'!$E$31:$E$48))*Impacts!$F$15,0)),0)</f>
        <v>0</v>
      </c>
      <c r="T3817" s="10">
        <f>IF(Flare!$C$7="",0,(SUMIF(Flare!$B$46:$B$185,$J3817,Flare!$E$46:$E$185)*Impacts!$F$16))</f>
        <v>0</v>
      </c>
      <c r="U3817" s="10">
        <f>IF(VCU!$C$9="",0,(SUMIF(VCU!$B$51:$B$193,$J3817,VCU!$E$51:$E$193)*Impacts!$F$17))</f>
        <v>0</v>
      </c>
      <c r="V3817" s="10">
        <f>IF(CAS!$C$7="",0,(SUMIF(CAS!$B$31:$B$167,$J3817,CAS!$E$31:$E$167)*Impacts!$F$18))</f>
        <v>0</v>
      </c>
      <c r="W3817" s="10">
        <f t="shared" si="100"/>
        <v>0</v>
      </c>
      <c r="AK3817" s="10" t="str">
        <f t="array" ref="AK3817">IFERROR(INDEX(SelectedSpecies,SMALL(IF(SelectedSpecies=AK$1,ROW(SelectedSpecies)),ROW(3818:3818)),2),"")</f>
        <v/>
      </c>
      <c r="BE3817" s="10"/>
      <c r="BI3817" s="10"/>
    </row>
    <row r="3818" spans="1:61" ht="21" customHeight="1" x14ac:dyDescent="0.25">
      <c r="A3818" s="10"/>
      <c r="B3818" s="10"/>
      <c r="E3818" s="10"/>
      <c r="G3818" s="10"/>
      <c r="I3818" s="436" t="s">
        <v>6592</v>
      </c>
      <c r="J3818" s="26" t="s">
        <v>6591</v>
      </c>
      <c r="K3818" s="10">
        <v>0.61</v>
      </c>
      <c r="L3818" s="73">
        <f>IF(Tank1!$C$23="No control",(SUMIF(Tank1!$B$32:$B$49,$J3818,Tank1!$C$32:$C$49)*Impacts!$F$8),0)</f>
        <v>0</v>
      </c>
      <c r="M3818" s="10">
        <f>IF(Tank2!$C$23="No control",(SUMIF(Tank2!$B$32:$B$49,$J3818,Tank2!$C$32:$C$49)*Impacts!$F$9),0)</f>
        <v>0</v>
      </c>
      <c r="N3818" s="10">
        <f>IF(Tank3!$C$23="No control",(SUMIF(Tank3!$B$32:$B$49,$J3818,Tank3!$C$32:$C$49)*Impacts!$F$10),0)</f>
        <v>0</v>
      </c>
      <c r="O3818" s="10">
        <f>IF(Tank4!$C$23="No control",(SUMIF(Tank4!$B$32:$B$49,$J3818,Tank4!$C$32:$C$49)*Impacts!$F$11),0)</f>
        <v>0</v>
      </c>
      <c r="P3818" s="10">
        <f>IF(Tank5!$C$23="No control",(SUMIF(Tank5!$B$32:$B$49,$J3818,Tank5!$C$32:$C$49)*Impacts!$F$12),0)</f>
        <v>0</v>
      </c>
      <c r="Q3818" s="10">
        <f>IFERROR(IF(('Loading-drum,tote'!$C$21)="No control",SUMIF(('Loading-drum,tote'!$B$31:$B$48),$J3818,('Loading-drum,tote'!$D$31:$D$48))*Impacts!$F$13,IF(('Loading-drum,tote'!$C$21)&lt;&gt;"No control",SUMIF(('Loading-drum,tote'!$B$31:$B$48),$J3818,('Loading-drum,tote'!$E$31:$E$48))*Impacts!$F$13,0)),0)</f>
        <v>0</v>
      </c>
      <c r="R3818" s="10">
        <f>IFERROR(IF(('Loading-truck'!$C$21)="No control",SUMIF(('Loading-truck'!$B$31:$B$48),$J3818,('Loading-truck'!$D$31:$D$48))*Impacts!$F$14,IF(('Loading-truck'!$C$21)&lt;&gt;"No control",SUMIF(('Loading-truck'!$B$31:$B$48),$J3818,('Loading-truck'!$E$31:$E$48))*Impacts!$F$14,0)),0)</f>
        <v>0</v>
      </c>
      <c r="S3818" s="10">
        <f>IFERROR(IF(('Loading-rail'!$C$21)="No control",SUMIF(('Loading-rail'!$B$31:$B$48),$J3818,('Loading-rail'!$D$31:$D$48))*Impacts!$F$15,IF(('Loading-rail'!$C$21)&lt;&gt;"No control",SUMIF(('Loading-rail'!$B$31:$B$48),$J3818,('Loading-rail'!$E$31:$E$48))*Impacts!$F$15,0)),0)</f>
        <v>0</v>
      </c>
      <c r="T3818" s="10">
        <f>IF(Flare!$C$7="",0,(SUMIF(Flare!$B$46:$B$185,$J3818,Flare!$E$46:$E$185)*Impacts!$F$16))</f>
        <v>0</v>
      </c>
      <c r="U3818" s="10">
        <f>IF(VCU!$C$9="",0,(SUMIF(VCU!$B$51:$B$193,$J3818,VCU!$E$51:$E$193)*Impacts!$F$17))</f>
        <v>0</v>
      </c>
      <c r="V3818" s="10">
        <f>IF(CAS!$C$7="",0,(SUMIF(CAS!$B$31:$B$167,$J3818,CAS!$E$31:$E$167)*Impacts!$F$18))</f>
        <v>0</v>
      </c>
      <c r="W3818" s="10">
        <f t="shared" si="100"/>
        <v>0</v>
      </c>
      <c r="AK3818" s="10" t="str">
        <f t="array" ref="AK3818">IFERROR(INDEX(SelectedSpecies,SMALL(IF(SelectedSpecies=AK$1,ROW(SelectedSpecies)),ROW(3819:3819)),2),"")</f>
        <v/>
      </c>
      <c r="BE3818" s="10"/>
      <c r="BI3818" s="10"/>
    </row>
    <row r="3819" spans="1:61" ht="21" customHeight="1" x14ac:dyDescent="0.25">
      <c r="A3819" s="10"/>
      <c r="B3819" s="10"/>
      <c r="E3819" s="10"/>
      <c r="G3819" s="10"/>
      <c r="I3819" s="436" t="s">
        <v>4507</v>
      </c>
      <c r="J3819" s="26" t="s">
        <v>4506</v>
      </c>
      <c r="K3819" s="10">
        <v>4.2</v>
      </c>
      <c r="L3819" s="73">
        <f>IF(Tank1!$C$23="No control",(SUMIF(Tank1!$B$32:$B$49,$J3819,Tank1!$C$32:$C$49)*Impacts!$F$8),0)</f>
        <v>0</v>
      </c>
      <c r="M3819" s="10">
        <f>IF(Tank2!$C$23="No control",(SUMIF(Tank2!$B$32:$B$49,$J3819,Tank2!$C$32:$C$49)*Impacts!$F$9),0)</f>
        <v>0</v>
      </c>
      <c r="N3819" s="10">
        <f>IF(Tank3!$C$23="No control",(SUMIF(Tank3!$B$32:$B$49,$J3819,Tank3!$C$32:$C$49)*Impacts!$F$10),0)</f>
        <v>0</v>
      </c>
      <c r="O3819" s="10">
        <f>IF(Tank4!$C$23="No control",(SUMIF(Tank4!$B$32:$B$49,$J3819,Tank4!$C$32:$C$49)*Impacts!$F$11),0)</f>
        <v>0</v>
      </c>
      <c r="P3819" s="10">
        <f>IF(Tank5!$C$23="No control",(SUMIF(Tank5!$B$32:$B$49,$J3819,Tank5!$C$32:$C$49)*Impacts!$F$12),0)</f>
        <v>0</v>
      </c>
      <c r="Q3819" s="10">
        <f>IFERROR(IF(('Loading-drum,tote'!$C$21)="No control",SUMIF(('Loading-drum,tote'!$B$31:$B$48),$J3819,('Loading-drum,tote'!$D$31:$D$48))*Impacts!$F$13,IF(('Loading-drum,tote'!$C$21)&lt;&gt;"No control",SUMIF(('Loading-drum,tote'!$B$31:$B$48),$J3819,('Loading-drum,tote'!$E$31:$E$48))*Impacts!$F$13,0)),0)</f>
        <v>0</v>
      </c>
      <c r="R3819" s="10">
        <f>IFERROR(IF(('Loading-truck'!$C$21)="No control",SUMIF(('Loading-truck'!$B$31:$B$48),$J3819,('Loading-truck'!$D$31:$D$48))*Impacts!$F$14,IF(('Loading-truck'!$C$21)&lt;&gt;"No control",SUMIF(('Loading-truck'!$B$31:$B$48),$J3819,('Loading-truck'!$E$31:$E$48))*Impacts!$F$14,0)),0)</f>
        <v>0</v>
      </c>
      <c r="S3819" s="10">
        <f>IFERROR(IF(('Loading-rail'!$C$21)="No control",SUMIF(('Loading-rail'!$B$31:$B$48),$J3819,('Loading-rail'!$D$31:$D$48))*Impacts!$F$15,IF(('Loading-rail'!$C$21)&lt;&gt;"No control",SUMIF(('Loading-rail'!$B$31:$B$48),$J3819,('Loading-rail'!$E$31:$E$48))*Impacts!$F$15,0)),0)</f>
        <v>0</v>
      </c>
      <c r="T3819" s="10">
        <f>IF(Flare!$C$7="",0,(SUMIF(Flare!$B$46:$B$185,$J3819,Flare!$E$46:$E$185)*Impacts!$F$16))</f>
        <v>0</v>
      </c>
      <c r="U3819" s="10">
        <f>IF(VCU!$C$9="",0,(SUMIF(VCU!$B$51:$B$193,$J3819,VCU!$E$51:$E$193)*Impacts!$F$17))</f>
        <v>0</v>
      </c>
      <c r="V3819" s="10">
        <f>IF(CAS!$C$7="",0,(SUMIF(CAS!$B$31:$B$167,$J3819,CAS!$E$31:$E$167)*Impacts!$F$18))</f>
        <v>0</v>
      </c>
      <c r="W3819" s="10">
        <f t="shared" si="100"/>
        <v>0</v>
      </c>
      <c r="AK3819" s="10" t="str">
        <f t="array" ref="AK3819">IFERROR(INDEX(SelectedSpecies,SMALL(IF(SelectedSpecies=AK$1,ROW(SelectedSpecies)),ROW(3820:3820)),2),"")</f>
        <v/>
      </c>
      <c r="BE3819" s="10"/>
      <c r="BI3819" s="10"/>
    </row>
    <row r="3820" spans="1:61" ht="21" customHeight="1" x14ac:dyDescent="0.25">
      <c r="A3820" s="10"/>
      <c r="B3820" s="10"/>
      <c r="E3820" s="10"/>
      <c r="G3820" s="10"/>
      <c r="I3820" s="436" t="s">
        <v>4079</v>
      </c>
      <c r="J3820" s="26" t="s">
        <v>4078</v>
      </c>
      <c r="K3820" s="10">
        <v>5.7</v>
      </c>
      <c r="L3820" s="73">
        <f>IF(Tank1!$C$23="No control",(SUMIF(Tank1!$B$32:$B$49,$J3820,Tank1!$C$32:$C$49)*Impacts!$F$8),0)</f>
        <v>0</v>
      </c>
      <c r="M3820" s="10">
        <f>IF(Tank2!$C$23="No control",(SUMIF(Tank2!$B$32:$B$49,$J3820,Tank2!$C$32:$C$49)*Impacts!$F$9),0)</f>
        <v>0</v>
      </c>
      <c r="N3820" s="10">
        <f>IF(Tank3!$C$23="No control",(SUMIF(Tank3!$B$32:$B$49,$J3820,Tank3!$C$32:$C$49)*Impacts!$F$10),0)</f>
        <v>0</v>
      </c>
      <c r="O3820" s="10">
        <f>IF(Tank4!$C$23="No control",(SUMIF(Tank4!$B$32:$B$49,$J3820,Tank4!$C$32:$C$49)*Impacts!$F$11),0)</f>
        <v>0</v>
      </c>
      <c r="P3820" s="10">
        <f>IF(Tank5!$C$23="No control",(SUMIF(Tank5!$B$32:$B$49,$J3820,Tank5!$C$32:$C$49)*Impacts!$F$12),0)</f>
        <v>0</v>
      </c>
      <c r="Q3820" s="10">
        <f>IFERROR(IF(('Loading-drum,tote'!$C$21)="No control",SUMIF(('Loading-drum,tote'!$B$31:$B$48),$J3820,('Loading-drum,tote'!$D$31:$D$48))*Impacts!$F$13,IF(('Loading-drum,tote'!$C$21)&lt;&gt;"No control",SUMIF(('Loading-drum,tote'!$B$31:$B$48),$J3820,('Loading-drum,tote'!$E$31:$E$48))*Impacts!$F$13,0)),0)</f>
        <v>0</v>
      </c>
      <c r="R3820" s="10">
        <f>IFERROR(IF(('Loading-truck'!$C$21)="No control",SUMIF(('Loading-truck'!$B$31:$B$48),$J3820,('Loading-truck'!$D$31:$D$48))*Impacts!$F$14,IF(('Loading-truck'!$C$21)&lt;&gt;"No control",SUMIF(('Loading-truck'!$B$31:$B$48),$J3820,('Loading-truck'!$E$31:$E$48))*Impacts!$F$14,0)),0)</f>
        <v>0</v>
      </c>
      <c r="S3820" s="10">
        <f>IFERROR(IF(('Loading-rail'!$C$21)="No control",SUMIF(('Loading-rail'!$B$31:$B$48),$J3820,('Loading-rail'!$D$31:$D$48))*Impacts!$F$15,IF(('Loading-rail'!$C$21)&lt;&gt;"No control",SUMIF(('Loading-rail'!$B$31:$B$48),$J3820,('Loading-rail'!$E$31:$E$48))*Impacts!$F$15,0)),0)</f>
        <v>0</v>
      </c>
      <c r="T3820" s="10">
        <f>IF(Flare!$C$7="",0,(SUMIF(Flare!$B$46:$B$185,$J3820,Flare!$E$46:$E$185)*Impacts!$F$16))</f>
        <v>0</v>
      </c>
      <c r="U3820" s="10">
        <f>IF(VCU!$C$9="",0,(SUMIF(VCU!$B$51:$B$193,$J3820,VCU!$E$51:$E$193)*Impacts!$F$17))</f>
        <v>0</v>
      </c>
      <c r="V3820" s="10">
        <f>IF(CAS!$C$7="",0,(SUMIF(CAS!$B$31:$B$167,$J3820,CAS!$E$31:$E$167)*Impacts!$F$18))</f>
        <v>0</v>
      </c>
      <c r="W3820" s="10">
        <f t="shared" si="100"/>
        <v>0</v>
      </c>
      <c r="AK3820" s="10" t="str">
        <f t="array" ref="AK3820">IFERROR(INDEX(SelectedSpecies,SMALL(IF(SelectedSpecies=AK$1,ROW(SelectedSpecies)),ROW(3821:3821)),2),"")</f>
        <v/>
      </c>
      <c r="BE3820" s="10"/>
      <c r="BI3820" s="10"/>
    </row>
    <row r="3821" spans="1:61" ht="21" customHeight="1" x14ac:dyDescent="0.25">
      <c r="A3821" s="10"/>
      <c r="B3821" s="10"/>
      <c r="E3821" s="10"/>
      <c r="G3821" s="10"/>
      <c r="I3821" s="436" t="s">
        <v>7558</v>
      </c>
      <c r="J3821" s="26" t="s">
        <v>7557</v>
      </c>
      <c r="K3821" s="10">
        <v>0.2</v>
      </c>
      <c r="L3821" s="73">
        <f>IF(Tank1!$C$23="No control",(SUMIF(Tank1!$B$32:$B$49,$J3821,Tank1!$C$32:$C$49)*Impacts!$F$8),0)</f>
        <v>0</v>
      </c>
      <c r="M3821" s="10">
        <f>IF(Tank2!$C$23="No control",(SUMIF(Tank2!$B$32:$B$49,$J3821,Tank2!$C$32:$C$49)*Impacts!$F$9),0)</f>
        <v>0</v>
      </c>
      <c r="N3821" s="10">
        <f>IF(Tank3!$C$23="No control",(SUMIF(Tank3!$B$32:$B$49,$J3821,Tank3!$C$32:$C$49)*Impacts!$F$10),0)</f>
        <v>0</v>
      </c>
      <c r="O3821" s="10">
        <f>IF(Tank4!$C$23="No control",(SUMIF(Tank4!$B$32:$B$49,$J3821,Tank4!$C$32:$C$49)*Impacts!$F$11),0)</f>
        <v>0</v>
      </c>
      <c r="P3821" s="10">
        <f>IF(Tank5!$C$23="No control",(SUMIF(Tank5!$B$32:$B$49,$J3821,Tank5!$C$32:$C$49)*Impacts!$F$12),0)</f>
        <v>0</v>
      </c>
      <c r="Q3821" s="10">
        <f>IFERROR(IF(('Loading-drum,tote'!$C$21)="No control",SUMIF(('Loading-drum,tote'!$B$31:$B$48),$J3821,('Loading-drum,tote'!$D$31:$D$48))*Impacts!$F$13,IF(('Loading-drum,tote'!$C$21)&lt;&gt;"No control",SUMIF(('Loading-drum,tote'!$B$31:$B$48),$J3821,('Loading-drum,tote'!$E$31:$E$48))*Impacts!$F$13,0)),0)</f>
        <v>0</v>
      </c>
      <c r="R3821" s="10">
        <f>IFERROR(IF(('Loading-truck'!$C$21)="No control",SUMIF(('Loading-truck'!$B$31:$B$48),$J3821,('Loading-truck'!$D$31:$D$48))*Impacts!$F$14,IF(('Loading-truck'!$C$21)&lt;&gt;"No control",SUMIF(('Loading-truck'!$B$31:$B$48),$J3821,('Loading-truck'!$E$31:$E$48))*Impacts!$F$14,0)),0)</f>
        <v>0</v>
      </c>
      <c r="S3821" s="10">
        <f>IFERROR(IF(('Loading-rail'!$C$21)="No control",SUMIF(('Loading-rail'!$B$31:$B$48),$J3821,('Loading-rail'!$D$31:$D$48))*Impacts!$F$15,IF(('Loading-rail'!$C$21)&lt;&gt;"No control",SUMIF(('Loading-rail'!$B$31:$B$48),$J3821,('Loading-rail'!$E$31:$E$48))*Impacts!$F$15,0)),0)</f>
        <v>0</v>
      </c>
      <c r="T3821" s="10">
        <f>IF(Flare!$C$7="",0,(SUMIF(Flare!$B$46:$B$185,$J3821,Flare!$E$46:$E$185)*Impacts!$F$16))</f>
        <v>0</v>
      </c>
      <c r="U3821" s="10">
        <f>IF(VCU!$C$9="",0,(SUMIF(VCU!$B$51:$B$193,$J3821,VCU!$E$51:$E$193)*Impacts!$F$17))</f>
        <v>0</v>
      </c>
      <c r="V3821" s="10">
        <f>IF(CAS!$C$7="",0,(SUMIF(CAS!$B$31:$B$167,$J3821,CAS!$E$31:$E$167)*Impacts!$F$18))</f>
        <v>0</v>
      </c>
      <c r="W3821" s="10">
        <f t="shared" si="100"/>
        <v>0</v>
      </c>
      <c r="AK3821" s="10" t="str">
        <f t="array" ref="AK3821">IFERROR(INDEX(SelectedSpecies,SMALL(IF(SelectedSpecies=AK$1,ROW(SelectedSpecies)),ROW(3822:3822)),2),"")</f>
        <v/>
      </c>
      <c r="BE3821" s="10"/>
      <c r="BI3821" s="10"/>
    </row>
    <row r="3822" spans="1:61" ht="21" customHeight="1" x14ac:dyDescent="0.25">
      <c r="A3822" s="10"/>
      <c r="B3822" s="10"/>
      <c r="E3822" s="10"/>
      <c r="G3822" s="10"/>
      <c r="I3822" s="436" t="s">
        <v>2645</v>
      </c>
      <c r="J3822" s="26" t="s">
        <v>2644</v>
      </c>
      <c r="K3822" s="10">
        <v>10</v>
      </c>
      <c r="L3822" s="73">
        <f>IF(Tank1!$C$23="No control",(SUMIF(Tank1!$B$32:$B$49,$J3822,Tank1!$C$32:$C$49)*Impacts!$F$8),0)</f>
        <v>0</v>
      </c>
      <c r="M3822" s="10">
        <f>IF(Tank2!$C$23="No control",(SUMIF(Tank2!$B$32:$B$49,$J3822,Tank2!$C$32:$C$49)*Impacts!$F$9),0)</f>
        <v>0</v>
      </c>
      <c r="N3822" s="10">
        <f>IF(Tank3!$C$23="No control",(SUMIF(Tank3!$B$32:$B$49,$J3822,Tank3!$C$32:$C$49)*Impacts!$F$10),0)</f>
        <v>0</v>
      </c>
      <c r="O3822" s="10">
        <f>IF(Tank4!$C$23="No control",(SUMIF(Tank4!$B$32:$B$49,$J3822,Tank4!$C$32:$C$49)*Impacts!$F$11),0)</f>
        <v>0</v>
      </c>
      <c r="P3822" s="10">
        <f>IF(Tank5!$C$23="No control",(SUMIF(Tank5!$B$32:$B$49,$J3822,Tank5!$C$32:$C$49)*Impacts!$F$12),0)</f>
        <v>0</v>
      </c>
      <c r="Q3822" s="10">
        <f>IFERROR(IF(('Loading-drum,tote'!$C$21)="No control",SUMIF(('Loading-drum,tote'!$B$31:$B$48),$J3822,('Loading-drum,tote'!$D$31:$D$48))*Impacts!$F$13,IF(('Loading-drum,tote'!$C$21)&lt;&gt;"No control",SUMIF(('Loading-drum,tote'!$B$31:$B$48),$J3822,('Loading-drum,tote'!$E$31:$E$48))*Impacts!$F$13,0)),0)</f>
        <v>0</v>
      </c>
      <c r="R3822" s="10">
        <f>IFERROR(IF(('Loading-truck'!$C$21)="No control",SUMIF(('Loading-truck'!$B$31:$B$48),$J3822,('Loading-truck'!$D$31:$D$48))*Impacts!$F$14,IF(('Loading-truck'!$C$21)&lt;&gt;"No control",SUMIF(('Loading-truck'!$B$31:$B$48),$J3822,('Loading-truck'!$E$31:$E$48))*Impacts!$F$14,0)),0)</f>
        <v>0</v>
      </c>
      <c r="S3822" s="10">
        <f>IFERROR(IF(('Loading-rail'!$C$21)="No control",SUMIF(('Loading-rail'!$B$31:$B$48),$J3822,('Loading-rail'!$D$31:$D$48))*Impacts!$F$15,IF(('Loading-rail'!$C$21)&lt;&gt;"No control",SUMIF(('Loading-rail'!$B$31:$B$48),$J3822,('Loading-rail'!$E$31:$E$48))*Impacts!$F$15,0)),0)</f>
        <v>0</v>
      </c>
      <c r="T3822" s="10">
        <f>IF(Flare!$C$7="",0,(SUMIF(Flare!$B$46:$B$185,$J3822,Flare!$E$46:$E$185)*Impacts!$F$16))</f>
        <v>0</v>
      </c>
      <c r="U3822" s="10">
        <f>IF(VCU!$C$9="",0,(SUMIF(VCU!$B$51:$B$193,$J3822,VCU!$E$51:$E$193)*Impacts!$F$17))</f>
        <v>0</v>
      </c>
      <c r="V3822" s="10">
        <f>IF(CAS!$C$7="",0,(SUMIF(CAS!$B$31:$B$167,$J3822,CAS!$E$31:$E$167)*Impacts!$F$18))</f>
        <v>0</v>
      </c>
      <c r="W3822" s="10">
        <f t="shared" si="100"/>
        <v>0</v>
      </c>
      <c r="AK3822" s="10" t="str">
        <f t="array" ref="AK3822">IFERROR(INDEX(SelectedSpecies,SMALL(IF(SelectedSpecies=AK$1,ROW(SelectedSpecies)),ROW(3823:3823)),2),"")</f>
        <v/>
      </c>
      <c r="BE3822" s="10"/>
      <c r="BI3822" s="10"/>
    </row>
    <row r="3823" spans="1:61" ht="21" customHeight="1" x14ac:dyDescent="0.25">
      <c r="A3823" s="10"/>
      <c r="B3823" s="10"/>
      <c r="E3823" s="10"/>
      <c r="G3823" s="10"/>
      <c r="I3823" s="436" t="s">
        <v>7948</v>
      </c>
      <c r="J3823" s="26" t="s">
        <v>7947</v>
      </c>
      <c r="K3823" s="10">
        <v>0.05</v>
      </c>
      <c r="L3823" s="73">
        <f>IF(Tank1!$C$23="No control",(SUMIF(Tank1!$B$32:$B$49,$J3823,Tank1!$C$32:$C$49)*Impacts!$F$8),0)</f>
        <v>0</v>
      </c>
      <c r="M3823" s="10">
        <f>IF(Tank2!$C$23="No control",(SUMIF(Tank2!$B$32:$B$49,$J3823,Tank2!$C$32:$C$49)*Impacts!$F$9),0)</f>
        <v>0</v>
      </c>
      <c r="N3823" s="10">
        <f>IF(Tank3!$C$23="No control",(SUMIF(Tank3!$B$32:$B$49,$J3823,Tank3!$C$32:$C$49)*Impacts!$F$10),0)</f>
        <v>0</v>
      </c>
      <c r="O3823" s="10">
        <f>IF(Tank4!$C$23="No control",(SUMIF(Tank4!$B$32:$B$49,$J3823,Tank4!$C$32:$C$49)*Impacts!$F$11),0)</f>
        <v>0</v>
      </c>
      <c r="P3823" s="10">
        <f>IF(Tank5!$C$23="No control",(SUMIF(Tank5!$B$32:$B$49,$J3823,Tank5!$C$32:$C$49)*Impacts!$F$12),0)</f>
        <v>0</v>
      </c>
      <c r="Q3823" s="10">
        <f>IFERROR(IF(('Loading-drum,tote'!$C$21)="No control",SUMIF(('Loading-drum,tote'!$B$31:$B$48),$J3823,('Loading-drum,tote'!$D$31:$D$48))*Impacts!$F$13,IF(('Loading-drum,tote'!$C$21)&lt;&gt;"No control",SUMIF(('Loading-drum,tote'!$B$31:$B$48),$J3823,('Loading-drum,tote'!$E$31:$E$48))*Impacts!$F$13,0)),0)</f>
        <v>0</v>
      </c>
      <c r="R3823" s="10">
        <f>IFERROR(IF(('Loading-truck'!$C$21)="No control",SUMIF(('Loading-truck'!$B$31:$B$48),$J3823,('Loading-truck'!$D$31:$D$48))*Impacts!$F$14,IF(('Loading-truck'!$C$21)&lt;&gt;"No control",SUMIF(('Loading-truck'!$B$31:$B$48),$J3823,('Loading-truck'!$E$31:$E$48))*Impacts!$F$14,0)),0)</f>
        <v>0</v>
      </c>
      <c r="S3823" s="10">
        <f>IFERROR(IF(('Loading-rail'!$C$21)="No control",SUMIF(('Loading-rail'!$B$31:$B$48),$J3823,('Loading-rail'!$D$31:$D$48))*Impacts!$F$15,IF(('Loading-rail'!$C$21)&lt;&gt;"No control",SUMIF(('Loading-rail'!$B$31:$B$48),$J3823,('Loading-rail'!$E$31:$E$48))*Impacts!$F$15,0)),0)</f>
        <v>0</v>
      </c>
      <c r="T3823" s="10">
        <f>IF(Flare!$C$7="",0,(SUMIF(Flare!$B$46:$B$185,$J3823,Flare!$E$46:$E$185)*Impacts!$F$16))</f>
        <v>0</v>
      </c>
      <c r="U3823" s="10">
        <f>IF(VCU!$C$9="",0,(SUMIF(VCU!$B$51:$B$193,$J3823,VCU!$E$51:$E$193)*Impacts!$F$17))</f>
        <v>0</v>
      </c>
      <c r="V3823" s="10">
        <f>IF(CAS!$C$7="",0,(SUMIF(CAS!$B$31:$B$167,$J3823,CAS!$E$31:$E$167)*Impacts!$F$18))</f>
        <v>0</v>
      </c>
      <c r="W3823" s="10">
        <f t="shared" si="100"/>
        <v>0</v>
      </c>
      <c r="AK3823" s="10" t="str">
        <f t="array" ref="AK3823">IFERROR(INDEX(SelectedSpecies,SMALL(IF(SelectedSpecies=AK$1,ROW(SelectedSpecies)),ROW(3824:3824)),2),"")</f>
        <v/>
      </c>
      <c r="BE3823" s="10"/>
      <c r="BI3823" s="10"/>
    </row>
    <row r="3824" spans="1:61" ht="21" customHeight="1" x14ac:dyDescent="0.25">
      <c r="A3824" s="10"/>
      <c r="B3824" s="10"/>
      <c r="E3824" s="10"/>
      <c r="G3824" s="10"/>
      <c r="I3824" s="436" t="s">
        <v>1739</v>
      </c>
      <c r="J3824" s="26" t="s">
        <v>1738</v>
      </c>
      <c r="K3824" s="10">
        <v>24.5</v>
      </c>
      <c r="L3824" s="73">
        <f>IF(Tank1!$C$23="No control",(SUMIF(Tank1!$B$32:$B$49,$J3824,Tank1!$C$32:$C$49)*Impacts!$F$8),0)</f>
        <v>0</v>
      </c>
      <c r="M3824" s="10">
        <f>IF(Tank2!$C$23="No control",(SUMIF(Tank2!$B$32:$B$49,$J3824,Tank2!$C$32:$C$49)*Impacts!$F$9),0)</f>
        <v>0</v>
      </c>
      <c r="N3824" s="10">
        <f>IF(Tank3!$C$23="No control",(SUMIF(Tank3!$B$32:$B$49,$J3824,Tank3!$C$32:$C$49)*Impacts!$F$10),0)</f>
        <v>0</v>
      </c>
      <c r="O3824" s="10">
        <f>IF(Tank4!$C$23="No control",(SUMIF(Tank4!$B$32:$B$49,$J3824,Tank4!$C$32:$C$49)*Impacts!$F$11),0)</f>
        <v>0</v>
      </c>
      <c r="P3824" s="10">
        <f>IF(Tank5!$C$23="No control",(SUMIF(Tank5!$B$32:$B$49,$J3824,Tank5!$C$32:$C$49)*Impacts!$F$12),0)</f>
        <v>0</v>
      </c>
      <c r="Q3824" s="10">
        <f>IFERROR(IF(('Loading-drum,tote'!$C$21)="No control",SUMIF(('Loading-drum,tote'!$B$31:$B$48),$J3824,('Loading-drum,tote'!$D$31:$D$48))*Impacts!$F$13,IF(('Loading-drum,tote'!$C$21)&lt;&gt;"No control",SUMIF(('Loading-drum,tote'!$B$31:$B$48),$J3824,('Loading-drum,tote'!$E$31:$E$48))*Impacts!$F$13,0)),0)</f>
        <v>0</v>
      </c>
      <c r="R3824" s="10">
        <f>IFERROR(IF(('Loading-truck'!$C$21)="No control",SUMIF(('Loading-truck'!$B$31:$B$48),$J3824,('Loading-truck'!$D$31:$D$48))*Impacts!$F$14,IF(('Loading-truck'!$C$21)&lt;&gt;"No control",SUMIF(('Loading-truck'!$B$31:$B$48),$J3824,('Loading-truck'!$E$31:$E$48))*Impacts!$F$14,0)),0)</f>
        <v>0</v>
      </c>
      <c r="S3824" s="10">
        <f>IFERROR(IF(('Loading-rail'!$C$21)="No control",SUMIF(('Loading-rail'!$B$31:$B$48),$J3824,('Loading-rail'!$D$31:$D$48))*Impacts!$F$15,IF(('Loading-rail'!$C$21)&lt;&gt;"No control",SUMIF(('Loading-rail'!$B$31:$B$48),$J3824,('Loading-rail'!$E$31:$E$48))*Impacts!$F$15,0)),0)</f>
        <v>0</v>
      </c>
      <c r="T3824" s="10">
        <f>IF(Flare!$C$7="",0,(SUMIF(Flare!$B$46:$B$185,$J3824,Flare!$E$46:$E$185)*Impacts!$F$16))</f>
        <v>0</v>
      </c>
      <c r="U3824" s="10">
        <f>IF(VCU!$C$9="",0,(SUMIF(VCU!$B$51:$B$193,$J3824,VCU!$E$51:$E$193)*Impacts!$F$17))</f>
        <v>0</v>
      </c>
      <c r="V3824" s="10">
        <f>IF(CAS!$C$7="",0,(SUMIF(CAS!$B$31:$B$167,$J3824,CAS!$E$31:$E$167)*Impacts!$F$18))</f>
        <v>0</v>
      </c>
      <c r="W3824" s="10">
        <f t="shared" si="100"/>
        <v>0</v>
      </c>
      <c r="AK3824" s="10" t="str">
        <f t="array" ref="AK3824">IFERROR(INDEX(SelectedSpecies,SMALL(IF(SelectedSpecies=AK$1,ROW(SelectedSpecies)),ROW(3825:3825)),2),"")</f>
        <v/>
      </c>
      <c r="BE3824" s="10"/>
      <c r="BI3824" s="10"/>
    </row>
    <row r="3825" spans="1:61" ht="21" customHeight="1" x14ac:dyDescent="0.25">
      <c r="A3825" s="10"/>
      <c r="B3825" s="10"/>
      <c r="E3825" s="10"/>
      <c r="G3825" s="10"/>
      <c r="I3825" s="436" t="s">
        <v>2369</v>
      </c>
      <c r="J3825" s="26" t="s">
        <v>2368</v>
      </c>
      <c r="K3825" s="10">
        <v>11</v>
      </c>
      <c r="L3825" s="73">
        <f>IF(Tank1!$C$23="No control",(SUMIF(Tank1!$B$32:$B$49,$J3825,Tank1!$C$32:$C$49)*Impacts!$F$8),0)</f>
        <v>0</v>
      </c>
      <c r="M3825" s="10">
        <f>IF(Tank2!$C$23="No control",(SUMIF(Tank2!$B$32:$B$49,$J3825,Tank2!$C$32:$C$49)*Impacts!$F$9),0)</f>
        <v>0</v>
      </c>
      <c r="N3825" s="10">
        <f>IF(Tank3!$C$23="No control",(SUMIF(Tank3!$B$32:$B$49,$J3825,Tank3!$C$32:$C$49)*Impacts!$F$10),0)</f>
        <v>0</v>
      </c>
      <c r="O3825" s="10">
        <f>IF(Tank4!$C$23="No control",(SUMIF(Tank4!$B$32:$B$49,$J3825,Tank4!$C$32:$C$49)*Impacts!$F$11),0)</f>
        <v>0</v>
      </c>
      <c r="P3825" s="10">
        <f>IF(Tank5!$C$23="No control",(SUMIF(Tank5!$B$32:$B$49,$J3825,Tank5!$C$32:$C$49)*Impacts!$F$12),0)</f>
        <v>0</v>
      </c>
      <c r="Q3825" s="10">
        <f>IFERROR(IF(('Loading-drum,tote'!$C$21)="No control",SUMIF(('Loading-drum,tote'!$B$31:$B$48),$J3825,('Loading-drum,tote'!$D$31:$D$48))*Impacts!$F$13,IF(('Loading-drum,tote'!$C$21)&lt;&gt;"No control",SUMIF(('Loading-drum,tote'!$B$31:$B$48),$J3825,('Loading-drum,tote'!$E$31:$E$48))*Impacts!$F$13,0)),0)</f>
        <v>0</v>
      </c>
      <c r="R3825" s="10">
        <f>IFERROR(IF(('Loading-truck'!$C$21)="No control",SUMIF(('Loading-truck'!$B$31:$B$48),$J3825,('Loading-truck'!$D$31:$D$48))*Impacts!$F$14,IF(('Loading-truck'!$C$21)&lt;&gt;"No control",SUMIF(('Loading-truck'!$B$31:$B$48),$J3825,('Loading-truck'!$E$31:$E$48))*Impacts!$F$14,0)),0)</f>
        <v>0</v>
      </c>
      <c r="S3825" s="10">
        <f>IFERROR(IF(('Loading-rail'!$C$21)="No control",SUMIF(('Loading-rail'!$B$31:$B$48),$J3825,('Loading-rail'!$D$31:$D$48))*Impacts!$F$15,IF(('Loading-rail'!$C$21)&lt;&gt;"No control",SUMIF(('Loading-rail'!$B$31:$B$48),$J3825,('Loading-rail'!$E$31:$E$48))*Impacts!$F$15,0)),0)</f>
        <v>0</v>
      </c>
      <c r="T3825" s="10">
        <f>IF(Flare!$C$7="",0,(SUMIF(Flare!$B$46:$B$185,$J3825,Flare!$E$46:$E$185)*Impacts!$F$16))</f>
        <v>0</v>
      </c>
      <c r="U3825" s="10">
        <f>IF(VCU!$C$9="",0,(SUMIF(VCU!$B$51:$B$193,$J3825,VCU!$E$51:$E$193)*Impacts!$F$17))</f>
        <v>0</v>
      </c>
      <c r="V3825" s="10">
        <f>IF(CAS!$C$7="",0,(SUMIF(CAS!$B$31:$B$167,$J3825,CAS!$E$31:$E$167)*Impacts!$F$18))</f>
        <v>0</v>
      </c>
      <c r="W3825" s="10">
        <f t="shared" si="100"/>
        <v>0</v>
      </c>
      <c r="AK3825" s="10" t="str">
        <f t="array" ref="AK3825">IFERROR(INDEX(SelectedSpecies,SMALL(IF(SelectedSpecies=AK$1,ROW(SelectedSpecies)),ROW(3826:3826)),2),"")</f>
        <v/>
      </c>
      <c r="BE3825" s="10"/>
      <c r="BI3825" s="10"/>
    </row>
    <row r="3826" spans="1:61" ht="21" customHeight="1" x14ac:dyDescent="0.25">
      <c r="A3826" s="10"/>
      <c r="B3826" s="10"/>
      <c r="E3826" s="10"/>
      <c r="G3826" s="10"/>
      <c r="I3826" s="436" t="s">
        <v>2293</v>
      </c>
      <c r="J3826" s="26" t="s">
        <v>2292</v>
      </c>
      <c r="K3826" s="10">
        <v>12.5</v>
      </c>
      <c r="L3826" s="73">
        <f>IF(Tank1!$C$23="No control",(SUMIF(Tank1!$B$32:$B$49,$J3826,Tank1!$C$32:$C$49)*Impacts!$F$8),0)</f>
        <v>0</v>
      </c>
      <c r="M3826" s="10">
        <f>IF(Tank2!$C$23="No control",(SUMIF(Tank2!$B$32:$B$49,$J3826,Tank2!$C$32:$C$49)*Impacts!$F$9),0)</f>
        <v>0</v>
      </c>
      <c r="N3826" s="10">
        <f>IF(Tank3!$C$23="No control",(SUMIF(Tank3!$B$32:$B$49,$J3826,Tank3!$C$32:$C$49)*Impacts!$F$10),0)</f>
        <v>0</v>
      </c>
      <c r="O3826" s="10">
        <f>IF(Tank4!$C$23="No control",(SUMIF(Tank4!$B$32:$B$49,$J3826,Tank4!$C$32:$C$49)*Impacts!$F$11),0)</f>
        <v>0</v>
      </c>
      <c r="P3826" s="10">
        <f>IF(Tank5!$C$23="No control",(SUMIF(Tank5!$B$32:$B$49,$J3826,Tank5!$C$32:$C$49)*Impacts!$F$12),0)</f>
        <v>0</v>
      </c>
      <c r="Q3826" s="10">
        <f>IFERROR(IF(('Loading-drum,tote'!$C$21)="No control",SUMIF(('Loading-drum,tote'!$B$31:$B$48),$J3826,('Loading-drum,tote'!$D$31:$D$48))*Impacts!$F$13,IF(('Loading-drum,tote'!$C$21)&lt;&gt;"No control",SUMIF(('Loading-drum,tote'!$B$31:$B$48),$J3826,('Loading-drum,tote'!$E$31:$E$48))*Impacts!$F$13,0)),0)</f>
        <v>0</v>
      </c>
      <c r="R3826" s="10">
        <f>IFERROR(IF(('Loading-truck'!$C$21)="No control",SUMIF(('Loading-truck'!$B$31:$B$48),$J3826,('Loading-truck'!$D$31:$D$48))*Impacts!$F$14,IF(('Loading-truck'!$C$21)&lt;&gt;"No control",SUMIF(('Loading-truck'!$B$31:$B$48),$J3826,('Loading-truck'!$E$31:$E$48))*Impacts!$F$14,0)),0)</f>
        <v>0</v>
      </c>
      <c r="S3826" s="10">
        <f>IFERROR(IF(('Loading-rail'!$C$21)="No control",SUMIF(('Loading-rail'!$B$31:$B$48),$J3826,('Loading-rail'!$D$31:$D$48))*Impacts!$F$15,IF(('Loading-rail'!$C$21)&lt;&gt;"No control",SUMIF(('Loading-rail'!$B$31:$B$48),$J3826,('Loading-rail'!$E$31:$E$48))*Impacts!$F$15,0)),0)</f>
        <v>0</v>
      </c>
      <c r="T3826" s="10">
        <f>IF(Flare!$C$7="",0,(SUMIF(Flare!$B$46:$B$185,$J3826,Flare!$E$46:$E$185)*Impacts!$F$16))</f>
        <v>0</v>
      </c>
      <c r="U3826" s="10">
        <f>IF(VCU!$C$9="",0,(SUMIF(VCU!$B$51:$B$193,$J3826,VCU!$E$51:$E$193)*Impacts!$F$17))</f>
        <v>0</v>
      </c>
      <c r="V3826" s="10">
        <f>IF(CAS!$C$7="",0,(SUMIF(CAS!$B$31:$B$167,$J3826,CAS!$E$31:$E$167)*Impacts!$F$18))</f>
        <v>0</v>
      </c>
      <c r="W3826" s="10">
        <f t="shared" si="100"/>
        <v>0</v>
      </c>
      <c r="AK3826" s="10" t="str">
        <f t="array" ref="AK3826">IFERROR(INDEX(SelectedSpecies,SMALL(IF(SelectedSpecies=AK$1,ROW(SelectedSpecies)),ROW(3827:3827)),2),"")</f>
        <v/>
      </c>
      <c r="BE3826" s="10"/>
      <c r="BI3826" s="10"/>
    </row>
    <row r="3827" spans="1:61" ht="21" customHeight="1" x14ac:dyDescent="0.25">
      <c r="A3827" s="10"/>
      <c r="B3827" s="10"/>
      <c r="E3827" s="10"/>
      <c r="G3827" s="10"/>
      <c r="I3827" s="436" t="s">
        <v>4521</v>
      </c>
      <c r="J3827" s="26" t="s">
        <v>4520</v>
      </c>
      <c r="K3827" s="10">
        <v>4.1000000000000005</v>
      </c>
      <c r="L3827" s="73">
        <f>IF(Tank1!$C$23="No control",(SUMIF(Tank1!$B$32:$B$49,$J3827,Tank1!$C$32:$C$49)*Impacts!$F$8),0)</f>
        <v>0</v>
      </c>
      <c r="M3827" s="10">
        <f>IF(Tank2!$C$23="No control",(SUMIF(Tank2!$B$32:$B$49,$J3827,Tank2!$C$32:$C$49)*Impacts!$F$9),0)</f>
        <v>0</v>
      </c>
      <c r="N3827" s="10">
        <f>IF(Tank3!$C$23="No control",(SUMIF(Tank3!$B$32:$B$49,$J3827,Tank3!$C$32:$C$49)*Impacts!$F$10),0)</f>
        <v>0</v>
      </c>
      <c r="O3827" s="10">
        <f>IF(Tank4!$C$23="No control",(SUMIF(Tank4!$B$32:$B$49,$J3827,Tank4!$C$32:$C$49)*Impacts!$F$11),0)</f>
        <v>0</v>
      </c>
      <c r="P3827" s="10">
        <f>IF(Tank5!$C$23="No control",(SUMIF(Tank5!$B$32:$B$49,$J3827,Tank5!$C$32:$C$49)*Impacts!$F$12),0)</f>
        <v>0</v>
      </c>
      <c r="Q3827" s="10">
        <f>IFERROR(IF(('Loading-drum,tote'!$C$21)="No control",SUMIF(('Loading-drum,tote'!$B$31:$B$48),$J3827,('Loading-drum,tote'!$D$31:$D$48))*Impacts!$F$13,IF(('Loading-drum,tote'!$C$21)&lt;&gt;"No control",SUMIF(('Loading-drum,tote'!$B$31:$B$48),$J3827,('Loading-drum,tote'!$E$31:$E$48))*Impacts!$F$13,0)),0)</f>
        <v>0</v>
      </c>
      <c r="R3827" s="10">
        <f>IFERROR(IF(('Loading-truck'!$C$21)="No control",SUMIF(('Loading-truck'!$B$31:$B$48),$J3827,('Loading-truck'!$D$31:$D$48))*Impacts!$F$14,IF(('Loading-truck'!$C$21)&lt;&gt;"No control",SUMIF(('Loading-truck'!$B$31:$B$48),$J3827,('Loading-truck'!$E$31:$E$48))*Impacts!$F$14,0)),0)</f>
        <v>0</v>
      </c>
      <c r="S3827" s="10">
        <f>IFERROR(IF(('Loading-rail'!$C$21)="No control",SUMIF(('Loading-rail'!$B$31:$B$48),$J3827,('Loading-rail'!$D$31:$D$48))*Impacts!$F$15,IF(('Loading-rail'!$C$21)&lt;&gt;"No control",SUMIF(('Loading-rail'!$B$31:$B$48),$J3827,('Loading-rail'!$E$31:$E$48))*Impacts!$F$15,0)),0)</f>
        <v>0</v>
      </c>
      <c r="T3827" s="10">
        <f>IF(Flare!$C$7="",0,(SUMIF(Flare!$B$46:$B$185,$J3827,Flare!$E$46:$E$185)*Impacts!$F$16))</f>
        <v>0</v>
      </c>
      <c r="U3827" s="10">
        <f>IF(VCU!$C$9="",0,(SUMIF(VCU!$B$51:$B$193,$J3827,VCU!$E$51:$E$193)*Impacts!$F$17))</f>
        <v>0</v>
      </c>
      <c r="V3827" s="10">
        <f>IF(CAS!$C$7="",0,(SUMIF(CAS!$B$31:$B$167,$J3827,CAS!$E$31:$E$167)*Impacts!$F$18))</f>
        <v>0</v>
      </c>
      <c r="W3827" s="10">
        <f t="shared" si="100"/>
        <v>0</v>
      </c>
      <c r="AK3827" s="10" t="str">
        <f t="array" ref="AK3827">IFERROR(INDEX(SelectedSpecies,SMALL(IF(SelectedSpecies=AK$1,ROW(SelectedSpecies)),ROW(3828:3828)),2),"")</f>
        <v/>
      </c>
      <c r="BE3827" s="10"/>
      <c r="BI3827" s="10"/>
    </row>
    <row r="3828" spans="1:61" ht="21" customHeight="1" x14ac:dyDescent="0.25">
      <c r="A3828" s="10"/>
      <c r="B3828" s="10"/>
      <c r="E3828" s="10"/>
      <c r="G3828" s="10"/>
      <c r="I3828" s="436" t="s">
        <v>4641</v>
      </c>
      <c r="J3828" s="26" t="s">
        <v>4640</v>
      </c>
      <c r="K3828" s="10">
        <v>4</v>
      </c>
      <c r="L3828" s="73">
        <f>IF(Tank1!$C$23="No control",(SUMIF(Tank1!$B$32:$B$49,$J3828,Tank1!$C$32:$C$49)*Impacts!$F$8),0)</f>
        <v>0</v>
      </c>
      <c r="M3828" s="10">
        <f>IF(Tank2!$C$23="No control",(SUMIF(Tank2!$B$32:$B$49,$J3828,Tank2!$C$32:$C$49)*Impacts!$F$9),0)</f>
        <v>0</v>
      </c>
      <c r="N3828" s="10">
        <f>IF(Tank3!$C$23="No control",(SUMIF(Tank3!$B$32:$B$49,$J3828,Tank3!$C$32:$C$49)*Impacts!$F$10),0)</f>
        <v>0</v>
      </c>
      <c r="O3828" s="10">
        <f>IF(Tank4!$C$23="No control",(SUMIF(Tank4!$B$32:$B$49,$J3828,Tank4!$C$32:$C$49)*Impacts!$F$11),0)</f>
        <v>0</v>
      </c>
      <c r="P3828" s="10">
        <f>IF(Tank5!$C$23="No control",(SUMIF(Tank5!$B$32:$B$49,$J3828,Tank5!$C$32:$C$49)*Impacts!$F$12),0)</f>
        <v>0</v>
      </c>
      <c r="Q3828" s="10">
        <f>IFERROR(IF(('Loading-drum,tote'!$C$21)="No control",SUMIF(('Loading-drum,tote'!$B$31:$B$48),$J3828,('Loading-drum,tote'!$D$31:$D$48))*Impacts!$F$13,IF(('Loading-drum,tote'!$C$21)&lt;&gt;"No control",SUMIF(('Loading-drum,tote'!$B$31:$B$48),$J3828,('Loading-drum,tote'!$E$31:$E$48))*Impacts!$F$13,0)),0)</f>
        <v>0</v>
      </c>
      <c r="R3828" s="10">
        <f>IFERROR(IF(('Loading-truck'!$C$21)="No control",SUMIF(('Loading-truck'!$B$31:$B$48),$J3828,('Loading-truck'!$D$31:$D$48))*Impacts!$F$14,IF(('Loading-truck'!$C$21)&lt;&gt;"No control",SUMIF(('Loading-truck'!$B$31:$B$48),$J3828,('Loading-truck'!$E$31:$E$48))*Impacts!$F$14,0)),0)</f>
        <v>0</v>
      </c>
      <c r="S3828" s="10">
        <f>IFERROR(IF(('Loading-rail'!$C$21)="No control",SUMIF(('Loading-rail'!$B$31:$B$48),$J3828,('Loading-rail'!$D$31:$D$48))*Impacts!$F$15,IF(('Loading-rail'!$C$21)&lt;&gt;"No control",SUMIF(('Loading-rail'!$B$31:$B$48),$J3828,('Loading-rail'!$E$31:$E$48))*Impacts!$F$15,0)),0)</f>
        <v>0</v>
      </c>
      <c r="T3828" s="10">
        <f>IF(Flare!$C$7="",0,(SUMIF(Flare!$B$46:$B$185,$J3828,Flare!$E$46:$E$185)*Impacts!$F$16))</f>
        <v>0</v>
      </c>
      <c r="U3828" s="10">
        <f>IF(VCU!$C$9="",0,(SUMIF(VCU!$B$51:$B$193,$J3828,VCU!$E$51:$E$193)*Impacts!$F$17))</f>
        <v>0</v>
      </c>
      <c r="V3828" s="10">
        <f>IF(CAS!$C$7="",0,(SUMIF(CAS!$B$31:$B$167,$J3828,CAS!$E$31:$E$167)*Impacts!$F$18))</f>
        <v>0</v>
      </c>
      <c r="W3828" s="10">
        <f t="shared" si="100"/>
        <v>0</v>
      </c>
      <c r="AK3828" s="10" t="str">
        <f t="array" ref="AK3828">IFERROR(INDEX(SelectedSpecies,SMALL(IF(SelectedSpecies=AK$1,ROW(SelectedSpecies)),ROW(3829:3829)),2),"")</f>
        <v/>
      </c>
      <c r="BE3828" s="10"/>
      <c r="BI3828" s="10"/>
    </row>
    <row r="3829" spans="1:61" ht="21" customHeight="1" x14ac:dyDescent="0.25">
      <c r="A3829" s="10"/>
      <c r="B3829" s="10"/>
      <c r="E3829" s="10"/>
      <c r="G3829" s="10"/>
      <c r="I3829" s="436" t="s">
        <v>5618</v>
      </c>
      <c r="J3829" s="26" t="s">
        <v>5617</v>
      </c>
      <c r="K3829" s="10">
        <v>1.1000000000000001</v>
      </c>
      <c r="L3829" s="73">
        <f>IF(Tank1!$C$23="No control",(SUMIF(Tank1!$B$32:$B$49,$J3829,Tank1!$C$32:$C$49)*Impacts!$F$8),0)</f>
        <v>0</v>
      </c>
      <c r="M3829" s="10">
        <f>IF(Tank2!$C$23="No control",(SUMIF(Tank2!$B$32:$B$49,$J3829,Tank2!$C$32:$C$49)*Impacts!$F$9),0)</f>
        <v>0</v>
      </c>
      <c r="N3829" s="10">
        <f>IF(Tank3!$C$23="No control",(SUMIF(Tank3!$B$32:$B$49,$J3829,Tank3!$C$32:$C$49)*Impacts!$F$10),0)</f>
        <v>0</v>
      </c>
      <c r="O3829" s="10">
        <f>IF(Tank4!$C$23="No control",(SUMIF(Tank4!$B$32:$B$49,$J3829,Tank4!$C$32:$C$49)*Impacts!$F$11),0)</f>
        <v>0</v>
      </c>
      <c r="P3829" s="10">
        <f>IF(Tank5!$C$23="No control",(SUMIF(Tank5!$B$32:$B$49,$J3829,Tank5!$C$32:$C$49)*Impacts!$F$12),0)</f>
        <v>0</v>
      </c>
      <c r="Q3829" s="10">
        <f>IFERROR(IF(('Loading-drum,tote'!$C$21)="No control",SUMIF(('Loading-drum,tote'!$B$31:$B$48),$J3829,('Loading-drum,tote'!$D$31:$D$48))*Impacts!$F$13,IF(('Loading-drum,tote'!$C$21)&lt;&gt;"No control",SUMIF(('Loading-drum,tote'!$B$31:$B$48),$J3829,('Loading-drum,tote'!$E$31:$E$48))*Impacts!$F$13,0)),0)</f>
        <v>0</v>
      </c>
      <c r="R3829" s="10">
        <f>IFERROR(IF(('Loading-truck'!$C$21)="No control",SUMIF(('Loading-truck'!$B$31:$B$48),$J3829,('Loading-truck'!$D$31:$D$48))*Impacts!$F$14,IF(('Loading-truck'!$C$21)&lt;&gt;"No control",SUMIF(('Loading-truck'!$B$31:$B$48),$J3829,('Loading-truck'!$E$31:$E$48))*Impacts!$F$14,0)),0)</f>
        <v>0</v>
      </c>
      <c r="S3829" s="10">
        <f>IFERROR(IF(('Loading-rail'!$C$21)="No control",SUMIF(('Loading-rail'!$B$31:$B$48),$J3829,('Loading-rail'!$D$31:$D$48))*Impacts!$F$15,IF(('Loading-rail'!$C$21)&lt;&gt;"No control",SUMIF(('Loading-rail'!$B$31:$B$48),$J3829,('Loading-rail'!$E$31:$E$48))*Impacts!$F$15,0)),0)</f>
        <v>0</v>
      </c>
      <c r="T3829" s="10">
        <f>IF(Flare!$C$7="",0,(SUMIF(Flare!$B$46:$B$185,$J3829,Flare!$E$46:$E$185)*Impacts!$F$16))</f>
        <v>0</v>
      </c>
      <c r="U3829" s="10">
        <f>IF(VCU!$C$9="",0,(SUMIF(VCU!$B$51:$B$193,$J3829,VCU!$E$51:$E$193)*Impacts!$F$17))</f>
        <v>0</v>
      </c>
      <c r="V3829" s="10">
        <f>IF(CAS!$C$7="",0,(SUMIF(CAS!$B$31:$B$167,$J3829,CAS!$E$31:$E$167)*Impacts!$F$18))</f>
        <v>0</v>
      </c>
      <c r="W3829" s="10">
        <f t="shared" si="100"/>
        <v>0</v>
      </c>
      <c r="AK3829" s="10" t="str">
        <f t="array" ref="AK3829">IFERROR(INDEX(SelectedSpecies,SMALL(IF(SelectedSpecies=AK$1,ROW(SelectedSpecies)),ROW(3830:3830)),2),"")</f>
        <v/>
      </c>
      <c r="BE3829" s="10"/>
      <c r="BI3829" s="10"/>
    </row>
    <row r="3830" spans="1:61" ht="21" customHeight="1" x14ac:dyDescent="0.25">
      <c r="A3830" s="10"/>
      <c r="B3830" s="10"/>
      <c r="E3830" s="10"/>
      <c r="G3830" s="10"/>
      <c r="I3830" s="436" t="s">
        <v>8076</v>
      </c>
      <c r="J3830" s="26" t="s">
        <v>8075</v>
      </c>
      <c r="K3830" s="10">
        <v>2.0000000000000004E-2</v>
      </c>
      <c r="L3830" s="73">
        <f>IF(Tank1!$C$23="No control",(SUMIF(Tank1!$B$32:$B$49,$J3830,Tank1!$C$32:$C$49)*Impacts!$F$8),0)</f>
        <v>0</v>
      </c>
      <c r="M3830" s="10">
        <f>IF(Tank2!$C$23="No control",(SUMIF(Tank2!$B$32:$B$49,$J3830,Tank2!$C$32:$C$49)*Impacts!$F$9),0)</f>
        <v>0</v>
      </c>
      <c r="N3830" s="10">
        <f>IF(Tank3!$C$23="No control",(SUMIF(Tank3!$B$32:$B$49,$J3830,Tank3!$C$32:$C$49)*Impacts!$F$10),0)</f>
        <v>0</v>
      </c>
      <c r="O3830" s="10">
        <f>IF(Tank4!$C$23="No control",(SUMIF(Tank4!$B$32:$B$49,$J3830,Tank4!$C$32:$C$49)*Impacts!$F$11),0)</f>
        <v>0</v>
      </c>
      <c r="P3830" s="10">
        <f>IF(Tank5!$C$23="No control",(SUMIF(Tank5!$B$32:$B$49,$J3830,Tank5!$C$32:$C$49)*Impacts!$F$12),0)</f>
        <v>0</v>
      </c>
      <c r="Q3830" s="10">
        <f>IFERROR(IF(('Loading-drum,tote'!$C$21)="No control",SUMIF(('Loading-drum,tote'!$B$31:$B$48),$J3830,('Loading-drum,tote'!$D$31:$D$48))*Impacts!$F$13,IF(('Loading-drum,tote'!$C$21)&lt;&gt;"No control",SUMIF(('Loading-drum,tote'!$B$31:$B$48),$J3830,('Loading-drum,tote'!$E$31:$E$48))*Impacts!$F$13,0)),0)</f>
        <v>0</v>
      </c>
      <c r="R3830" s="10">
        <f>IFERROR(IF(('Loading-truck'!$C$21)="No control",SUMIF(('Loading-truck'!$B$31:$B$48),$J3830,('Loading-truck'!$D$31:$D$48))*Impacts!$F$14,IF(('Loading-truck'!$C$21)&lt;&gt;"No control",SUMIF(('Loading-truck'!$B$31:$B$48),$J3830,('Loading-truck'!$E$31:$E$48))*Impacts!$F$14,0)),0)</f>
        <v>0</v>
      </c>
      <c r="S3830" s="10">
        <f>IFERROR(IF(('Loading-rail'!$C$21)="No control",SUMIF(('Loading-rail'!$B$31:$B$48),$J3830,('Loading-rail'!$D$31:$D$48))*Impacts!$F$15,IF(('Loading-rail'!$C$21)&lt;&gt;"No control",SUMIF(('Loading-rail'!$B$31:$B$48),$J3830,('Loading-rail'!$E$31:$E$48))*Impacts!$F$15,0)),0)</f>
        <v>0</v>
      </c>
      <c r="T3830" s="10">
        <f>IF(Flare!$C$7="",0,(SUMIF(Flare!$B$46:$B$185,$J3830,Flare!$E$46:$E$185)*Impacts!$F$16))</f>
        <v>0</v>
      </c>
      <c r="U3830" s="10">
        <f>IF(VCU!$C$9="",0,(SUMIF(VCU!$B$51:$B$193,$J3830,VCU!$E$51:$E$193)*Impacts!$F$17))</f>
        <v>0</v>
      </c>
      <c r="V3830" s="10">
        <f>IF(CAS!$C$7="",0,(SUMIF(CAS!$B$31:$B$167,$J3830,CAS!$E$31:$E$167)*Impacts!$F$18))</f>
        <v>0</v>
      </c>
      <c r="W3830" s="10">
        <f t="shared" si="100"/>
        <v>0</v>
      </c>
      <c r="AK3830" s="10" t="str">
        <f t="array" ref="AK3830">IFERROR(INDEX(SelectedSpecies,SMALL(IF(SelectedSpecies=AK$1,ROW(SelectedSpecies)),ROW(3831:3831)),2),"")</f>
        <v/>
      </c>
      <c r="BE3830" s="10"/>
      <c r="BI3830" s="10"/>
    </row>
    <row r="3831" spans="1:61" ht="21" customHeight="1" x14ac:dyDescent="0.25">
      <c r="A3831" s="10"/>
      <c r="B3831" s="10"/>
      <c r="E3831" s="10"/>
      <c r="G3831" s="10"/>
      <c r="I3831" s="436" t="s">
        <v>1741</v>
      </c>
      <c r="J3831" s="26" t="s">
        <v>1740</v>
      </c>
      <c r="K3831" s="10">
        <v>24.5</v>
      </c>
      <c r="L3831" s="73">
        <f>IF(Tank1!$C$23="No control",(SUMIF(Tank1!$B$32:$B$49,$J3831,Tank1!$C$32:$C$49)*Impacts!$F$8),0)</f>
        <v>0</v>
      </c>
      <c r="M3831" s="10">
        <f>IF(Tank2!$C$23="No control",(SUMIF(Tank2!$B$32:$B$49,$J3831,Tank2!$C$32:$C$49)*Impacts!$F$9),0)</f>
        <v>0</v>
      </c>
      <c r="N3831" s="10">
        <f>IF(Tank3!$C$23="No control",(SUMIF(Tank3!$B$32:$B$49,$J3831,Tank3!$C$32:$C$49)*Impacts!$F$10),0)</f>
        <v>0</v>
      </c>
      <c r="O3831" s="10">
        <f>IF(Tank4!$C$23="No control",(SUMIF(Tank4!$B$32:$B$49,$J3831,Tank4!$C$32:$C$49)*Impacts!$F$11),0)</f>
        <v>0</v>
      </c>
      <c r="P3831" s="10">
        <f>IF(Tank5!$C$23="No control",(SUMIF(Tank5!$B$32:$B$49,$J3831,Tank5!$C$32:$C$49)*Impacts!$F$12),0)</f>
        <v>0</v>
      </c>
      <c r="Q3831" s="10">
        <f>IFERROR(IF(('Loading-drum,tote'!$C$21)="No control",SUMIF(('Loading-drum,tote'!$B$31:$B$48),$J3831,('Loading-drum,tote'!$D$31:$D$48))*Impacts!$F$13,IF(('Loading-drum,tote'!$C$21)&lt;&gt;"No control",SUMIF(('Loading-drum,tote'!$B$31:$B$48),$J3831,('Loading-drum,tote'!$E$31:$E$48))*Impacts!$F$13,0)),0)</f>
        <v>0</v>
      </c>
      <c r="R3831" s="10">
        <f>IFERROR(IF(('Loading-truck'!$C$21)="No control",SUMIF(('Loading-truck'!$B$31:$B$48),$J3831,('Loading-truck'!$D$31:$D$48))*Impacts!$F$14,IF(('Loading-truck'!$C$21)&lt;&gt;"No control",SUMIF(('Loading-truck'!$B$31:$B$48),$J3831,('Loading-truck'!$E$31:$E$48))*Impacts!$F$14,0)),0)</f>
        <v>0</v>
      </c>
      <c r="S3831" s="10">
        <f>IFERROR(IF(('Loading-rail'!$C$21)="No control",SUMIF(('Loading-rail'!$B$31:$B$48),$J3831,('Loading-rail'!$D$31:$D$48))*Impacts!$F$15,IF(('Loading-rail'!$C$21)&lt;&gt;"No control",SUMIF(('Loading-rail'!$B$31:$B$48),$J3831,('Loading-rail'!$E$31:$E$48))*Impacts!$F$15,0)),0)</f>
        <v>0</v>
      </c>
      <c r="T3831" s="10">
        <f>IF(Flare!$C$7="",0,(SUMIF(Flare!$B$46:$B$185,$J3831,Flare!$E$46:$E$185)*Impacts!$F$16))</f>
        <v>0</v>
      </c>
      <c r="U3831" s="10">
        <f>IF(VCU!$C$9="",0,(SUMIF(VCU!$B$51:$B$193,$J3831,VCU!$E$51:$E$193)*Impacts!$F$17))</f>
        <v>0</v>
      </c>
      <c r="V3831" s="10">
        <f>IF(CAS!$C$7="",0,(SUMIF(CAS!$B$31:$B$167,$J3831,CAS!$E$31:$E$167)*Impacts!$F$18))</f>
        <v>0</v>
      </c>
      <c r="W3831" s="10">
        <f t="shared" si="100"/>
        <v>0</v>
      </c>
      <c r="AK3831" s="10" t="str">
        <f t="array" ref="AK3831">IFERROR(INDEX(SelectedSpecies,SMALL(IF(SelectedSpecies=AK$1,ROW(SelectedSpecies)),ROW(3832:3832)),2),"")</f>
        <v/>
      </c>
      <c r="BE3831" s="10"/>
      <c r="BI3831" s="10"/>
    </row>
    <row r="3832" spans="1:61" ht="21" customHeight="1" x14ac:dyDescent="0.25">
      <c r="A3832" s="10"/>
      <c r="B3832" s="10"/>
      <c r="E3832" s="10"/>
      <c r="G3832" s="10"/>
      <c r="I3832" s="436" t="s">
        <v>2647</v>
      </c>
      <c r="J3832" s="26" t="s">
        <v>2646</v>
      </c>
      <c r="K3832" s="10">
        <v>10</v>
      </c>
      <c r="L3832" s="73">
        <f>IF(Tank1!$C$23="No control",(SUMIF(Tank1!$B$32:$B$49,$J3832,Tank1!$C$32:$C$49)*Impacts!$F$8),0)</f>
        <v>0</v>
      </c>
      <c r="M3832" s="10">
        <f>IF(Tank2!$C$23="No control",(SUMIF(Tank2!$B$32:$B$49,$J3832,Tank2!$C$32:$C$49)*Impacts!$F$9),0)</f>
        <v>0</v>
      </c>
      <c r="N3832" s="10">
        <f>IF(Tank3!$C$23="No control",(SUMIF(Tank3!$B$32:$B$49,$J3832,Tank3!$C$32:$C$49)*Impacts!$F$10),0)</f>
        <v>0</v>
      </c>
      <c r="O3832" s="10">
        <f>IF(Tank4!$C$23="No control",(SUMIF(Tank4!$B$32:$B$49,$J3832,Tank4!$C$32:$C$49)*Impacts!$F$11),0)</f>
        <v>0</v>
      </c>
      <c r="P3832" s="10">
        <f>IF(Tank5!$C$23="No control",(SUMIF(Tank5!$B$32:$B$49,$J3832,Tank5!$C$32:$C$49)*Impacts!$F$12),0)</f>
        <v>0</v>
      </c>
      <c r="Q3832" s="10">
        <f>IFERROR(IF(('Loading-drum,tote'!$C$21)="No control",SUMIF(('Loading-drum,tote'!$B$31:$B$48),$J3832,('Loading-drum,tote'!$D$31:$D$48))*Impacts!$F$13,IF(('Loading-drum,tote'!$C$21)&lt;&gt;"No control",SUMIF(('Loading-drum,tote'!$B$31:$B$48),$J3832,('Loading-drum,tote'!$E$31:$E$48))*Impacts!$F$13,0)),0)</f>
        <v>0</v>
      </c>
      <c r="R3832" s="10">
        <f>IFERROR(IF(('Loading-truck'!$C$21)="No control",SUMIF(('Loading-truck'!$B$31:$B$48),$J3832,('Loading-truck'!$D$31:$D$48))*Impacts!$F$14,IF(('Loading-truck'!$C$21)&lt;&gt;"No control",SUMIF(('Loading-truck'!$B$31:$B$48),$J3832,('Loading-truck'!$E$31:$E$48))*Impacts!$F$14,0)),0)</f>
        <v>0</v>
      </c>
      <c r="S3832" s="10">
        <f>IFERROR(IF(('Loading-rail'!$C$21)="No control",SUMIF(('Loading-rail'!$B$31:$B$48),$J3832,('Loading-rail'!$D$31:$D$48))*Impacts!$F$15,IF(('Loading-rail'!$C$21)&lt;&gt;"No control",SUMIF(('Loading-rail'!$B$31:$B$48),$J3832,('Loading-rail'!$E$31:$E$48))*Impacts!$F$15,0)),0)</f>
        <v>0</v>
      </c>
      <c r="T3832" s="10">
        <f>IF(Flare!$C$7="",0,(SUMIF(Flare!$B$46:$B$185,$J3832,Flare!$E$46:$E$185)*Impacts!$F$16))</f>
        <v>0</v>
      </c>
      <c r="U3832" s="10">
        <f>IF(VCU!$C$9="",0,(SUMIF(VCU!$B$51:$B$193,$J3832,VCU!$E$51:$E$193)*Impacts!$F$17))</f>
        <v>0</v>
      </c>
      <c r="V3832" s="10">
        <f>IF(CAS!$C$7="",0,(SUMIF(CAS!$B$31:$B$167,$J3832,CAS!$E$31:$E$167)*Impacts!$F$18))</f>
        <v>0</v>
      </c>
      <c r="W3832" s="10">
        <f t="shared" si="100"/>
        <v>0</v>
      </c>
      <c r="AK3832" s="10" t="str">
        <f t="array" ref="AK3832">IFERROR(INDEX(SelectedSpecies,SMALL(IF(SelectedSpecies=AK$1,ROW(SelectedSpecies)),ROW(3833:3833)),2),"")</f>
        <v/>
      </c>
      <c r="BE3832" s="10"/>
      <c r="BI3832" s="10"/>
    </row>
    <row r="3833" spans="1:61" ht="21" customHeight="1" x14ac:dyDescent="0.25">
      <c r="A3833" s="10"/>
      <c r="B3833" s="10"/>
      <c r="E3833" s="10"/>
      <c r="G3833" s="10"/>
      <c r="I3833" s="436" t="s">
        <v>5537</v>
      </c>
      <c r="J3833" s="26" t="s">
        <v>5536</v>
      </c>
      <c r="K3833" s="10">
        <v>1.25</v>
      </c>
      <c r="L3833" s="73">
        <f>IF(Tank1!$C$23="No control",(SUMIF(Tank1!$B$32:$B$49,$J3833,Tank1!$C$32:$C$49)*Impacts!$F$8),0)</f>
        <v>0</v>
      </c>
      <c r="M3833" s="10">
        <f>IF(Tank2!$C$23="No control",(SUMIF(Tank2!$B$32:$B$49,$J3833,Tank2!$C$32:$C$49)*Impacts!$F$9),0)</f>
        <v>0</v>
      </c>
      <c r="N3833" s="10">
        <f>IF(Tank3!$C$23="No control",(SUMIF(Tank3!$B$32:$B$49,$J3833,Tank3!$C$32:$C$49)*Impacts!$F$10),0)</f>
        <v>0</v>
      </c>
      <c r="O3833" s="10">
        <f>IF(Tank4!$C$23="No control",(SUMIF(Tank4!$B$32:$B$49,$J3833,Tank4!$C$32:$C$49)*Impacts!$F$11),0)</f>
        <v>0</v>
      </c>
      <c r="P3833" s="10">
        <f>IF(Tank5!$C$23="No control",(SUMIF(Tank5!$B$32:$B$49,$J3833,Tank5!$C$32:$C$49)*Impacts!$F$12),0)</f>
        <v>0</v>
      </c>
      <c r="Q3833" s="10">
        <f>IFERROR(IF(('Loading-drum,tote'!$C$21)="No control",SUMIF(('Loading-drum,tote'!$B$31:$B$48),$J3833,('Loading-drum,tote'!$D$31:$D$48))*Impacts!$F$13,IF(('Loading-drum,tote'!$C$21)&lt;&gt;"No control",SUMIF(('Loading-drum,tote'!$B$31:$B$48),$J3833,('Loading-drum,tote'!$E$31:$E$48))*Impacts!$F$13,0)),0)</f>
        <v>0</v>
      </c>
      <c r="R3833" s="10">
        <f>IFERROR(IF(('Loading-truck'!$C$21)="No control",SUMIF(('Loading-truck'!$B$31:$B$48),$J3833,('Loading-truck'!$D$31:$D$48))*Impacts!$F$14,IF(('Loading-truck'!$C$21)&lt;&gt;"No control",SUMIF(('Loading-truck'!$B$31:$B$48),$J3833,('Loading-truck'!$E$31:$E$48))*Impacts!$F$14,0)),0)</f>
        <v>0</v>
      </c>
      <c r="S3833" s="10">
        <f>IFERROR(IF(('Loading-rail'!$C$21)="No control",SUMIF(('Loading-rail'!$B$31:$B$48),$J3833,('Loading-rail'!$D$31:$D$48))*Impacts!$F$15,IF(('Loading-rail'!$C$21)&lt;&gt;"No control",SUMIF(('Loading-rail'!$B$31:$B$48),$J3833,('Loading-rail'!$E$31:$E$48))*Impacts!$F$15,0)),0)</f>
        <v>0</v>
      </c>
      <c r="T3833" s="10">
        <f>IF(Flare!$C$7="",0,(SUMIF(Flare!$B$46:$B$185,$J3833,Flare!$E$46:$E$185)*Impacts!$F$16))</f>
        <v>0</v>
      </c>
      <c r="U3833" s="10">
        <f>IF(VCU!$C$9="",0,(SUMIF(VCU!$B$51:$B$193,$J3833,VCU!$E$51:$E$193)*Impacts!$F$17))</f>
        <v>0</v>
      </c>
      <c r="V3833" s="10">
        <f>IF(CAS!$C$7="",0,(SUMIF(CAS!$B$31:$B$167,$J3833,CAS!$E$31:$E$167)*Impacts!$F$18))</f>
        <v>0</v>
      </c>
      <c r="W3833" s="10">
        <f t="shared" si="100"/>
        <v>0</v>
      </c>
      <c r="AK3833" s="10" t="str">
        <f t="array" ref="AK3833">IFERROR(INDEX(SelectedSpecies,SMALL(IF(SelectedSpecies=AK$1,ROW(SelectedSpecies)),ROW(3834:3834)),2),"")</f>
        <v/>
      </c>
      <c r="BE3833" s="10"/>
      <c r="BI3833" s="10"/>
    </row>
    <row r="3834" spans="1:61" ht="21" customHeight="1" x14ac:dyDescent="0.25">
      <c r="A3834" s="10"/>
      <c r="B3834" s="10"/>
      <c r="E3834" s="10"/>
      <c r="G3834" s="10"/>
      <c r="I3834" s="436" t="s">
        <v>4473</v>
      </c>
      <c r="J3834" s="26" t="s">
        <v>4472</v>
      </c>
      <c r="K3834" s="10">
        <v>4.4000000000000004</v>
      </c>
      <c r="L3834" s="73">
        <f>IF(Tank1!$C$23="No control",(SUMIF(Tank1!$B$32:$B$49,$J3834,Tank1!$C$32:$C$49)*Impacts!$F$8),0)</f>
        <v>0</v>
      </c>
      <c r="M3834" s="10">
        <f>IF(Tank2!$C$23="No control",(SUMIF(Tank2!$B$32:$B$49,$J3834,Tank2!$C$32:$C$49)*Impacts!$F$9),0)</f>
        <v>0</v>
      </c>
      <c r="N3834" s="10">
        <f>IF(Tank3!$C$23="No control",(SUMIF(Tank3!$B$32:$B$49,$J3834,Tank3!$C$32:$C$49)*Impacts!$F$10),0)</f>
        <v>0</v>
      </c>
      <c r="O3834" s="10">
        <f>IF(Tank4!$C$23="No control",(SUMIF(Tank4!$B$32:$B$49,$J3834,Tank4!$C$32:$C$49)*Impacts!$F$11),0)</f>
        <v>0</v>
      </c>
      <c r="P3834" s="10">
        <f>IF(Tank5!$C$23="No control",(SUMIF(Tank5!$B$32:$B$49,$J3834,Tank5!$C$32:$C$49)*Impacts!$F$12),0)</f>
        <v>0</v>
      </c>
      <c r="Q3834" s="10">
        <f>IFERROR(IF(('Loading-drum,tote'!$C$21)="No control",SUMIF(('Loading-drum,tote'!$B$31:$B$48),$J3834,('Loading-drum,tote'!$D$31:$D$48))*Impacts!$F$13,IF(('Loading-drum,tote'!$C$21)&lt;&gt;"No control",SUMIF(('Loading-drum,tote'!$B$31:$B$48),$J3834,('Loading-drum,tote'!$E$31:$E$48))*Impacts!$F$13,0)),0)</f>
        <v>0</v>
      </c>
      <c r="R3834" s="10">
        <f>IFERROR(IF(('Loading-truck'!$C$21)="No control",SUMIF(('Loading-truck'!$B$31:$B$48),$J3834,('Loading-truck'!$D$31:$D$48))*Impacts!$F$14,IF(('Loading-truck'!$C$21)&lt;&gt;"No control",SUMIF(('Loading-truck'!$B$31:$B$48),$J3834,('Loading-truck'!$E$31:$E$48))*Impacts!$F$14,0)),0)</f>
        <v>0</v>
      </c>
      <c r="S3834" s="10">
        <f>IFERROR(IF(('Loading-rail'!$C$21)="No control",SUMIF(('Loading-rail'!$B$31:$B$48),$J3834,('Loading-rail'!$D$31:$D$48))*Impacts!$F$15,IF(('Loading-rail'!$C$21)&lt;&gt;"No control",SUMIF(('Loading-rail'!$B$31:$B$48),$J3834,('Loading-rail'!$E$31:$E$48))*Impacts!$F$15,0)),0)</f>
        <v>0</v>
      </c>
      <c r="T3834" s="10">
        <f>IF(Flare!$C$7="",0,(SUMIF(Flare!$B$46:$B$185,$J3834,Flare!$E$46:$E$185)*Impacts!$F$16))</f>
        <v>0</v>
      </c>
      <c r="U3834" s="10">
        <f>IF(VCU!$C$9="",0,(SUMIF(VCU!$B$51:$B$193,$J3834,VCU!$E$51:$E$193)*Impacts!$F$17))</f>
        <v>0</v>
      </c>
      <c r="V3834" s="10">
        <f>IF(CAS!$C$7="",0,(SUMIF(CAS!$B$31:$B$167,$J3834,CAS!$E$31:$E$167)*Impacts!$F$18))</f>
        <v>0</v>
      </c>
      <c r="W3834" s="10">
        <f t="shared" si="100"/>
        <v>0</v>
      </c>
      <c r="AK3834" s="10" t="str">
        <f t="array" ref="AK3834">IFERROR(INDEX(SelectedSpecies,SMALL(IF(SelectedSpecies=AK$1,ROW(SelectedSpecies)),ROW(3835:3835)),2),"")</f>
        <v/>
      </c>
      <c r="BE3834" s="10"/>
      <c r="BI3834" s="10"/>
    </row>
    <row r="3835" spans="1:61" ht="21" customHeight="1" x14ac:dyDescent="0.25">
      <c r="A3835" s="10"/>
      <c r="B3835" s="10"/>
      <c r="E3835" s="10"/>
      <c r="G3835" s="10"/>
      <c r="I3835" s="436" t="s">
        <v>7966</v>
      </c>
      <c r="J3835" s="26" t="s">
        <v>7965</v>
      </c>
      <c r="K3835" s="10">
        <v>4.1000000000000002E-2</v>
      </c>
      <c r="L3835" s="73">
        <f>IF(Tank1!$C$23="No control",(SUMIF(Tank1!$B$32:$B$49,$J3835,Tank1!$C$32:$C$49)*Impacts!$F$8),0)</f>
        <v>0</v>
      </c>
      <c r="M3835" s="10">
        <f>IF(Tank2!$C$23="No control",(SUMIF(Tank2!$B$32:$B$49,$J3835,Tank2!$C$32:$C$49)*Impacts!$F$9),0)</f>
        <v>0</v>
      </c>
      <c r="N3835" s="10">
        <f>IF(Tank3!$C$23="No control",(SUMIF(Tank3!$B$32:$B$49,$J3835,Tank3!$C$32:$C$49)*Impacts!$F$10),0)</f>
        <v>0</v>
      </c>
      <c r="O3835" s="10">
        <f>IF(Tank4!$C$23="No control",(SUMIF(Tank4!$B$32:$B$49,$J3835,Tank4!$C$32:$C$49)*Impacts!$F$11),0)</f>
        <v>0</v>
      </c>
      <c r="P3835" s="10">
        <f>IF(Tank5!$C$23="No control",(SUMIF(Tank5!$B$32:$B$49,$J3835,Tank5!$C$32:$C$49)*Impacts!$F$12),0)</f>
        <v>0</v>
      </c>
      <c r="Q3835" s="10">
        <f>IFERROR(IF(('Loading-drum,tote'!$C$21)="No control",SUMIF(('Loading-drum,tote'!$B$31:$B$48),$J3835,('Loading-drum,tote'!$D$31:$D$48))*Impacts!$F$13,IF(('Loading-drum,tote'!$C$21)&lt;&gt;"No control",SUMIF(('Loading-drum,tote'!$B$31:$B$48),$J3835,('Loading-drum,tote'!$E$31:$E$48))*Impacts!$F$13,0)),0)</f>
        <v>0</v>
      </c>
      <c r="R3835" s="10">
        <f>IFERROR(IF(('Loading-truck'!$C$21)="No control",SUMIF(('Loading-truck'!$B$31:$B$48),$J3835,('Loading-truck'!$D$31:$D$48))*Impacts!$F$14,IF(('Loading-truck'!$C$21)&lt;&gt;"No control",SUMIF(('Loading-truck'!$B$31:$B$48),$J3835,('Loading-truck'!$E$31:$E$48))*Impacts!$F$14,0)),0)</f>
        <v>0</v>
      </c>
      <c r="S3835" s="10">
        <f>IFERROR(IF(('Loading-rail'!$C$21)="No control",SUMIF(('Loading-rail'!$B$31:$B$48),$J3835,('Loading-rail'!$D$31:$D$48))*Impacts!$F$15,IF(('Loading-rail'!$C$21)&lt;&gt;"No control",SUMIF(('Loading-rail'!$B$31:$B$48),$J3835,('Loading-rail'!$E$31:$E$48))*Impacts!$F$15,0)),0)</f>
        <v>0</v>
      </c>
      <c r="T3835" s="10">
        <f>IF(Flare!$C$7="",0,(SUMIF(Flare!$B$46:$B$185,$J3835,Flare!$E$46:$E$185)*Impacts!$F$16))</f>
        <v>0</v>
      </c>
      <c r="U3835" s="10">
        <f>IF(VCU!$C$9="",0,(SUMIF(VCU!$B$51:$B$193,$J3835,VCU!$E$51:$E$193)*Impacts!$F$17))</f>
        <v>0</v>
      </c>
      <c r="V3835" s="10">
        <f>IF(CAS!$C$7="",0,(SUMIF(CAS!$B$31:$B$167,$J3835,CAS!$E$31:$E$167)*Impacts!$F$18))</f>
        <v>0</v>
      </c>
      <c r="W3835" s="10">
        <f t="shared" si="100"/>
        <v>0</v>
      </c>
      <c r="AK3835" s="10" t="str">
        <f t="array" ref="AK3835">IFERROR(INDEX(SelectedSpecies,SMALL(IF(SelectedSpecies=AK$1,ROW(SelectedSpecies)),ROW(3836:3836)),2),"")</f>
        <v/>
      </c>
      <c r="BE3835" s="10"/>
      <c r="BI3835" s="10"/>
    </row>
    <row r="3836" spans="1:61" ht="21" customHeight="1" x14ac:dyDescent="0.25">
      <c r="A3836" s="10"/>
      <c r="B3836" s="10"/>
      <c r="E3836" s="10"/>
      <c r="G3836" s="10"/>
      <c r="I3836" s="436" t="s">
        <v>5201</v>
      </c>
      <c r="J3836" s="26" t="s">
        <v>5200</v>
      </c>
      <c r="K3836" s="10">
        <v>2</v>
      </c>
      <c r="L3836" s="73">
        <f>IF(Tank1!$C$23="No control",(SUMIF(Tank1!$B$32:$B$49,$J3836,Tank1!$C$32:$C$49)*Impacts!$F$8),0)</f>
        <v>0</v>
      </c>
      <c r="M3836" s="10">
        <f>IF(Tank2!$C$23="No control",(SUMIF(Tank2!$B$32:$B$49,$J3836,Tank2!$C$32:$C$49)*Impacts!$F$9),0)</f>
        <v>0</v>
      </c>
      <c r="N3836" s="10">
        <f>IF(Tank3!$C$23="No control",(SUMIF(Tank3!$B$32:$B$49,$J3836,Tank3!$C$32:$C$49)*Impacts!$F$10),0)</f>
        <v>0</v>
      </c>
      <c r="O3836" s="10">
        <f>IF(Tank4!$C$23="No control",(SUMIF(Tank4!$B$32:$B$49,$J3836,Tank4!$C$32:$C$49)*Impacts!$F$11),0)</f>
        <v>0</v>
      </c>
      <c r="P3836" s="10">
        <f>IF(Tank5!$C$23="No control",(SUMIF(Tank5!$B$32:$B$49,$J3836,Tank5!$C$32:$C$49)*Impacts!$F$12),0)</f>
        <v>0</v>
      </c>
      <c r="Q3836" s="10">
        <f>IFERROR(IF(('Loading-drum,tote'!$C$21)="No control",SUMIF(('Loading-drum,tote'!$B$31:$B$48),$J3836,('Loading-drum,tote'!$D$31:$D$48))*Impacts!$F$13,IF(('Loading-drum,tote'!$C$21)&lt;&gt;"No control",SUMIF(('Loading-drum,tote'!$B$31:$B$48),$J3836,('Loading-drum,tote'!$E$31:$E$48))*Impacts!$F$13,0)),0)</f>
        <v>0</v>
      </c>
      <c r="R3836" s="10">
        <f>IFERROR(IF(('Loading-truck'!$C$21)="No control",SUMIF(('Loading-truck'!$B$31:$B$48),$J3836,('Loading-truck'!$D$31:$D$48))*Impacts!$F$14,IF(('Loading-truck'!$C$21)&lt;&gt;"No control",SUMIF(('Loading-truck'!$B$31:$B$48),$J3836,('Loading-truck'!$E$31:$E$48))*Impacts!$F$14,0)),0)</f>
        <v>0</v>
      </c>
      <c r="S3836" s="10">
        <f>IFERROR(IF(('Loading-rail'!$C$21)="No control",SUMIF(('Loading-rail'!$B$31:$B$48),$J3836,('Loading-rail'!$D$31:$D$48))*Impacts!$F$15,IF(('Loading-rail'!$C$21)&lt;&gt;"No control",SUMIF(('Loading-rail'!$B$31:$B$48),$J3836,('Loading-rail'!$E$31:$E$48))*Impacts!$F$15,0)),0)</f>
        <v>0</v>
      </c>
      <c r="T3836" s="10">
        <f>IF(Flare!$C$7="",0,(SUMIF(Flare!$B$46:$B$185,$J3836,Flare!$E$46:$E$185)*Impacts!$F$16))</f>
        <v>0</v>
      </c>
      <c r="U3836" s="10">
        <f>IF(VCU!$C$9="",0,(SUMIF(VCU!$B$51:$B$193,$J3836,VCU!$E$51:$E$193)*Impacts!$F$17))</f>
        <v>0</v>
      </c>
      <c r="V3836" s="10">
        <f>IF(CAS!$C$7="",0,(SUMIF(CAS!$B$31:$B$167,$J3836,CAS!$E$31:$E$167)*Impacts!$F$18))</f>
        <v>0</v>
      </c>
      <c r="W3836" s="10">
        <f t="shared" si="100"/>
        <v>0</v>
      </c>
      <c r="AK3836" s="10" t="str">
        <f t="array" ref="AK3836">IFERROR(INDEX(SelectedSpecies,SMALL(IF(SelectedSpecies=AK$1,ROW(SelectedSpecies)),ROW(3837:3837)),2),"")</f>
        <v/>
      </c>
      <c r="BE3836" s="10"/>
      <c r="BI3836" s="10"/>
    </row>
    <row r="3837" spans="1:61" ht="21" customHeight="1" x14ac:dyDescent="0.25">
      <c r="A3837" s="10"/>
      <c r="B3837" s="10"/>
      <c r="E3837" s="10"/>
      <c r="G3837" s="10"/>
      <c r="I3837" s="436" t="s">
        <v>6350</v>
      </c>
      <c r="J3837" s="26" t="s">
        <v>6349</v>
      </c>
      <c r="K3837" s="10">
        <v>0.89000000000000012</v>
      </c>
      <c r="L3837" s="73">
        <f>IF(Tank1!$C$23="No control",(SUMIF(Tank1!$B$32:$B$49,$J3837,Tank1!$C$32:$C$49)*Impacts!$F$8),0)</f>
        <v>0</v>
      </c>
      <c r="M3837" s="10">
        <f>IF(Tank2!$C$23="No control",(SUMIF(Tank2!$B$32:$B$49,$J3837,Tank2!$C$32:$C$49)*Impacts!$F$9),0)</f>
        <v>0</v>
      </c>
      <c r="N3837" s="10">
        <f>IF(Tank3!$C$23="No control",(SUMIF(Tank3!$B$32:$B$49,$J3837,Tank3!$C$32:$C$49)*Impacts!$F$10),0)</f>
        <v>0</v>
      </c>
      <c r="O3837" s="10">
        <f>IF(Tank4!$C$23="No control",(SUMIF(Tank4!$B$32:$B$49,$J3837,Tank4!$C$32:$C$49)*Impacts!$F$11),0)</f>
        <v>0</v>
      </c>
      <c r="P3837" s="10">
        <f>IF(Tank5!$C$23="No control",(SUMIF(Tank5!$B$32:$B$49,$J3837,Tank5!$C$32:$C$49)*Impacts!$F$12),0)</f>
        <v>0</v>
      </c>
      <c r="Q3837" s="10">
        <f>IFERROR(IF(('Loading-drum,tote'!$C$21)="No control",SUMIF(('Loading-drum,tote'!$B$31:$B$48),$J3837,('Loading-drum,tote'!$D$31:$D$48))*Impacts!$F$13,IF(('Loading-drum,tote'!$C$21)&lt;&gt;"No control",SUMIF(('Loading-drum,tote'!$B$31:$B$48),$J3837,('Loading-drum,tote'!$E$31:$E$48))*Impacts!$F$13,0)),0)</f>
        <v>0</v>
      </c>
      <c r="R3837" s="10">
        <f>IFERROR(IF(('Loading-truck'!$C$21)="No control",SUMIF(('Loading-truck'!$B$31:$B$48),$J3837,('Loading-truck'!$D$31:$D$48))*Impacts!$F$14,IF(('Loading-truck'!$C$21)&lt;&gt;"No control",SUMIF(('Loading-truck'!$B$31:$B$48),$J3837,('Loading-truck'!$E$31:$E$48))*Impacts!$F$14,0)),0)</f>
        <v>0</v>
      </c>
      <c r="S3837" s="10">
        <f>IFERROR(IF(('Loading-rail'!$C$21)="No control",SUMIF(('Loading-rail'!$B$31:$B$48),$J3837,('Loading-rail'!$D$31:$D$48))*Impacts!$F$15,IF(('Loading-rail'!$C$21)&lt;&gt;"No control",SUMIF(('Loading-rail'!$B$31:$B$48),$J3837,('Loading-rail'!$E$31:$E$48))*Impacts!$F$15,0)),0)</f>
        <v>0</v>
      </c>
      <c r="T3837" s="10">
        <f>IF(Flare!$C$7="",0,(SUMIF(Flare!$B$46:$B$185,$J3837,Flare!$E$46:$E$185)*Impacts!$F$16))</f>
        <v>0</v>
      </c>
      <c r="U3837" s="10">
        <f>IF(VCU!$C$9="",0,(SUMIF(VCU!$B$51:$B$193,$J3837,VCU!$E$51:$E$193)*Impacts!$F$17))</f>
        <v>0</v>
      </c>
      <c r="V3837" s="10">
        <f>IF(CAS!$C$7="",0,(SUMIF(CAS!$B$31:$B$167,$J3837,CAS!$E$31:$E$167)*Impacts!$F$18))</f>
        <v>0</v>
      </c>
      <c r="W3837" s="10">
        <f t="shared" si="100"/>
        <v>0</v>
      </c>
      <c r="AK3837" s="10" t="str">
        <f t="array" ref="AK3837">IFERROR(INDEX(SelectedSpecies,SMALL(IF(SelectedSpecies=AK$1,ROW(SelectedSpecies)),ROW(3838:3838)),2),"")</f>
        <v/>
      </c>
      <c r="BE3837" s="10"/>
      <c r="BI3837" s="10"/>
    </row>
    <row r="3838" spans="1:61" ht="21" customHeight="1" x14ac:dyDescent="0.25">
      <c r="A3838" s="10"/>
      <c r="B3838" s="10"/>
      <c r="E3838" s="10"/>
      <c r="G3838" s="10"/>
      <c r="I3838" s="436" t="s">
        <v>7398</v>
      </c>
      <c r="J3838" s="26" t="s">
        <v>7397</v>
      </c>
      <c r="K3838" s="10">
        <v>0.24</v>
      </c>
      <c r="L3838" s="73">
        <f>IF(Tank1!$C$23="No control",(SUMIF(Tank1!$B$32:$B$49,$J3838,Tank1!$C$32:$C$49)*Impacts!$F$8),0)</f>
        <v>0</v>
      </c>
      <c r="M3838" s="10">
        <f>IF(Tank2!$C$23="No control",(SUMIF(Tank2!$B$32:$B$49,$J3838,Tank2!$C$32:$C$49)*Impacts!$F$9),0)</f>
        <v>0</v>
      </c>
      <c r="N3838" s="10">
        <f>IF(Tank3!$C$23="No control",(SUMIF(Tank3!$B$32:$B$49,$J3838,Tank3!$C$32:$C$49)*Impacts!$F$10),0)</f>
        <v>0</v>
      </c>
      <c r="O3838" s="10">
        <f>IF(Tank4!$C$23="No control",(SUMIF(Tank4!$B$32:$B$49,$J3838,Tank4!$C$32:$C$49)*Impacts!$F$11),0)</f>
        <v>0</v>
      </c>
      <c r="P3838" s="10">
        <f>IF(Tank5!$C$23="No control",(SUMIF(Tank5!$B$32:$B$49,$J3838,Tank5!$C$32:$C$49)*Impacts!$F$12),0)</f>
        <v>0</v>
      </c>
      <c r="Q3838" s="10">
        <f>IFERROR(IF(('Loading-drum,tote'!$C$21)="No control",SUMIF(('Loading-drum,tote'!$B$31:$B$48),$J3838,('Loading-drum,tote'!$D$31:$D$48))*Impacts!$F$13,IF(('Loading-drum,tote'!$C$21)&lt;&gt;"No control",SUMIF(('Loading-drum,tote'!$B$31:$B$48),$J3838,('Loading-drum,tote'!$E$31:$E$48))*Impacts!$F$13,0)),0)</f>
        <v>0</v>
      </c>
      <c r="R3838" s="10">
        <f>IFERROR(IF(('Loading-truck'!$C$21)="No control",SUMIF(('Loading-truck'!$B$31:$B$48),$J3838,('Loading-truck'!$D$31:$D$48))*Impacts!$F$14,IF(('Loading-truck'!$C$21)&lt;&gt;"No control",SUMIF(('Loading-truck'!$B$31:$B$48),$J3838,('Loading-truck'!$E$31:$E$48))*Impacts!$F$14,0)),0)</f>
        <v>0</v>
      </c>
      <c r="S3838" s="10">
        <f>IFERROR(IF(('Loading-rail'!$C$21)="No control",SUMIF(('Loading-rail'!$B$31:$B$48),$J3838,('Loading-rail'!$D$31:$D$48))*Impacts!$F$15,IF(('Loading-rail'!$C$21)&lt;&gt;"No control",SUMIF(('Loading-rail'!$B$31:$B$48),$J3838,('Loading-rail'!$E$31:$E$48))*Impacts!$F$15,0)),0)</f>
        <v>0</v>
      </c>
      <c r="T3838" s="10">
        <f>IF(Flare!$C$7="",0,(SUMIF(Flare!$B$46:$B$185,$J3838,Flare!$E$46:$E$185)*Impacts!$F$16))</f>
        <v>0</v>
      </c>
      <c r="U3838" s="10">
        <f>IF(VCU!$C$9="",0,(SUMIF(VCU!$B$51:$B$193,$J3838,VCU!$E$51:$E$193)*Impacts!$F$17))</f>
        <v>0</v>
      </c>
      <c r="V3838" s="10">
        <f>IF(CAS!$C$7="",0,(SUMIF(CAS!$B$31:$B$167,$J3838,CAS!$E$31:$E$167)*Impacts!$F$18))</f>
        <v>0</v>
      </c>
      <c r="W3838" s="10">
        <f t="shared" si="100"/>
        <v>0</v>
      </c>
      <c r="AK3838" s="10" t="str">
        <f t="array" ref="AK3838">IFERROR(INDEX(SelectedSpecies,SMALL(IF(SelectedSpecies=AK$1,ROW(SelectedSpecies)),ROW(3839:3839)),2),"")</f>
        <v/>
      </c>
      <c r="BE3838" s="10"/>
      <c r="BI3838" s="10"/>
    </row>
    <row r="3839" spans="1:61" ht="21" customHeight="1" x14ac:dyDescent="0.25">
      <c r="A3839" s="10"/>
      <c r="B3839" s="10"/>
      <c r="E3839" s="10"/>
      <c r="G3839" s="10"/>
      <c r="I3839" s="436" t="s">
        <v>1512</v>
      </c>
      <c r="J3839" s="26" t="s">
        <v>1511</v>
      </c>
      <c r="K3839" s="10">
        <v>27.5</v>
      </c>
      <c r="L3839" s="73">
        <f>IF(Tank1!$C$23="No control",(SUMIF(Tank1!$B$32:$B$49,$J3839,Tank1!$C$32:$C$49)*Impacts!$F$8),0)</f>
        <v>0</v>
      </c>
      <c r="M3839" s="10">
        <f>IF(Tank2!$C$23="No control",(SUMIF(Tank2!$B$32:$B$49,$J3839,Tank2!$C$32:$C$49)*Impacts!$F$9),0)</f>
        <v>0</v>
      </c>
      <c r="N3839" s="10">
        <f>IF(Tank3!$C$23="No control",(SUMIF(Tank3!$B$32:$B$49,$J3839,Tank3!$C$32:$C$49)*Impacts!$F$10),0)</f>
        <v>0</v>
      </c>
      <c r="O3839" s="10">
        <f>IF(Tank4!$C$23="No control",(SUMIF(Tank4!$B$32:$B$49,$J3839,Tank4!$C$32:$C$49)*Impacts!$F$11),0)</f>
        <v>0</v>
      </c>
      <c r="P3839" s="10">
        <f>IF(Tank5!$C$23="No control",(SUMIF(Tank5!$B$32:$B$49,$J3839,Tank5!$C$32:$C$49)*Impacts!$F$12),0)</f>
        <v>0</v>
      </c>
      <c r="Q3839" s="10">
        <f>IFERROR(IF(('Loading-drum,tote'!$C$21)="No control",SUMIF(('Loading-drum,tote'!$B$31:$B$48),$J3839,('Loading-drum,tote'!$D$31:$D$48))*Impacts!$F$13,IF(('Loading-drum,tote'!$C$21)&lt;&gt;"No control",SUMIF(('Loading-drum,tote'!$B$31:$B$48),$J3839,('Loading-drum,tote'!$E$31:$E$48))*Impacts!$F$13,0)),0)</f>
        <v>0</v>
      </c>
      <c r="R3839" s="10">
        <f>IFERROR(IF(('Loading-truck'!$C$21)="No control",SUMIF(('Loading-truck'!$B$31:$B$48),$J3839,('Loading-truck'!$D$31:$D$48))*Impacts!$F$14,IF(('Loading-truck'!$C$21)&lt;&gt;"No control",SUMIF(('Loading-truck'!$B$31:$B$48),$J3839,('Loading-truck'!$E$31:$E$48))*Impacts!$F$14,0)),0)</f>
        <v>0</v>
      </c>
      <c r="S3839" s="10">
        <f>IFERROR(IF(('Loading-rail'!$C$21)="No control",SUMIF(('Loading-rail'!$B$31:$B$48),$J3839,('Loading-rail'!$D$31:$D$48))*Impacts!$F$15,IF(('Loading-rail'!$C$21)&lt;&gt;"No control",SUMIF(('Loading-rail'!$B$31:$B$48),$J3839,('Loading-rail'!$E$31:$E$48))*Impacts!$F$15,0)),0)</f>
        <v>0</v>
      </c>
      <c r="T3839" s="10">
        <f>IF(Flare!$C$7="",0,(SUMIF(Flare!$B$46:$B$185,$J3839,Flare!$E$46:$E$185)*Impacts!$F$16))</f>
        <v>0</v>
      </c>
      <c r="U3839" s="10">
        <f>IF(VCU!$C$9="",0,(SUMIF(VCU!$B$51:$B$193,$J3839,VCU!$E$51:$E$193)*Impacts!$F$17))</f>
        <v>0</v>
      </c>
      <c r="V3839" s="10">
        <f>IF(CAS!$C$7="",0,(SUMIF(CAS!$B$31:$B$167,$J3839,CAS!$E$31:$E$167)*Impacts!$F$18))</f>
        <v>0</v>
      </c>
      <c r="W3839" s="10">
        <f t="shared" si="100"/>
        <v>0</v>
      </c>
      <c r="AK3839" s="10" t="str">
        <f t="array" ref="AK3839">IFERROR(INDEX(SelectedSpecies,SMALL(IF(SelectedSpecies=AK$1,ROW(SelectedSpecies)),ROW(3840:3840)),2),"")</f>
        <v/>
      </c>
      <c r="BE3839" s="10"/>
      <c r="BI3839" s="10"/>
    </row>
    <row r="3840" spans="1:61" ht="21" customHeight="1" x14ac:dyDescent="0.25">
      <c r="A3840" s="10"/>
      <c r="B3840" s="10"/>
      <c r="E3840" s="10"/>
      <c r="G3840" s="10"/>
      <c r="I3840" s="436" t="s">
        <v>1180</v>
      </c>
      <c r="J3840" s="26" t="s">
        <v>1179</v>
      </c>
      <c r="K3840" s="10">
        <v>35</v>
      </c>
      <c r="L3840" s="73">
        <f>IF(Tank1!$C$23="No control",(SUMIF(Tank1!$B$32:$B$49,$J3840,Tank1!$C$32:$C$49)*Impacts!$F$8),0)</f>
        <v>0</v>
      </c>
      <c r="M3840" s="10">
        <f>IF(Tank2!$C$23="No control",(SUMIF(Tank2!$B$32:$B$49,$J3840,Tank2!$C$32:$C$49)*Impacts!$F$9),0)</f>
        <v>0</v>
      </c>
      <c r="N3840" s="10">
        <f>IF(Tank3!$C$23="No control",(SUMIF(Tank3!$B$32:$B$49,$J3840,Tank3!$C$32:$C$49)*Impacts!$F$10),0)</f>
        <v>0</v>
      </c>
      <c r="O3840" s="10">
        <f>IF(Tank4!$C$23="No control",(SUMIF(Tank4!$B$32:$B$49,$J3840,Tank4!$C$32:$C$49)*Impacts!$F$11),0)</f>
        <v>0</v>
      </c>
      <c r="P3840" s="10">
        <f>IF(Tank5!$C$23="No control",(SUMIF(Tank5!$B$32:$B$49,$J3840,Tank5!$C$32:$C$49)*Impacts!$F$12),0)</f>
        <v>0</v>
      </c>
      <c r="Q3840" s="10">
        <f>IFERROR(IF(('Loading-drum,tote'!$C$21)="No control",SUMIF(('Loading-drum,tote'!$B$31:$B$48),$J3840,('Loading-drum,tote'!$D$31:$D$48))*Impacts!$F$13,IF(('Loading-drum,tote'!$C$21)&lt;&gt;"No control",SUMIF(('Loading-drum,tote'!$B$31:$B$48),$J3840,('Loading-drum,tote'!$E$31:$E$48))*Impacts!$F$13,0)),0)</f>
        <v>0</v>
      </c>
      <c r="R3840" s="10">
        <f>IFERROR(IF(('Loading-truck'!$C$21)="No control",SUMIF(('Loading-truck'!$B$31:$B$48),$J3840,('Loading-truck'!$D$31:$D$48))*Impacts!$F$14,IF(('Loading-truck'!$C$21)&lt;&gt;"No control",SUMIF(('Loading-truck'!$B$31:$B$48),$J3840,('Loading-truck'!$E$31:$E$48))*Impacts!$F$14,0)),0)</f>
        <v>0</v>
      </c>
      <c r="S3840" s="10">
        <f>IFERROR(IF(('Loading-rail'!$C$21)="No control",SUMIF(('Loading-rail'!$B$31:$B$48),$J3840,('Loading-rail'!$D$31:$D$48))*Impacts!$F$15,IF(('Loading-rail'!$C$21)&lt;&gt;"No control",SUMIF(('Loading-rail'!$B$31:$B$48),$J3840,('Loading-rail'!$E$31:$E$48))*Impacts!$F$15,0)),0)</f>
        <v>0</v>
      </c>
      <c r="T3840" s="10">
        <f>IF(Flare!$C$7="",0,(SUMIF(Flare!$B$46:$B$185,$J3840,Flare!$E$46:$E$185)*Impacts!$F$16))</f>
        <v>0</v>
      </c>
      <c r="U3840" s="10">
        <f>IF(VCU!$C$9="",0,(SUMIF(VCU!$B$51:$B$193,$J3840,VCU!$E$51:$E$193)*Impacts!$F$17))</f>
        <v>0</v>
      </c>
      <c r="V3840" s="10">
        <f>IF(CAS!$C$7="",0,(SUMIF(CAS!$B$31:$B$167,$J3840,CAS!$E$31:$E$167)*Impacts!$F$18))</f>
        <v>0</v>
      </c>
      <c r="W3840" s="10">
        <f t="shared" si="100"/>
        <v>0</v>
      </c>
      <c r="AK3840" s="10" t="str">
        <f t="array" ref="AK3840">IFERROR(INDEX(SelectedSpecies,SMALL(IF(SelectedSpecies=AK$1,ROW(SelectedSpecies)),ROW(3841:3841)),2),"")</f>
        <v/>
      </c>
      <c r="BE3840" s="10"/>
      <c r="BI3840" s="10"/>
    </row>
    <row r="3841" spans="1:61" ht="21" customHeight="1" x14ac:dyDescent="0.25">
      <c r="A3841" s="10"/>
      <c r="B3841" s="10"/>
      <c r="E3841" s="10"/>
      <c r="G3841" s="10"/>
      <c r="I3841" s="436" t="s">
        <v>7400</v>
      </c>
      <c r="J3841" s="26" t="s">
        <v>7399</v>
      </c>
      <c r="K3841" s="10">
        <v>0.24</v>
      </c>
      <c r="L3841" s="73">
        <f>IF(Tank1!$C$23="No control",(SUMIF(Tank1!$B$32:$B$49,$J3841,Tank1!$C$32:$C$49)*Impacts!$F$8),0)</f>
        <v>0</v>
      </c>
      <c r="M3841" s="10">
        <f>IF(Tank2!$C$23="No control",(SUMIF(Tank2!$B$32:$B$49,$J3841,Tank2!$C$32:$C$49)*Impacts!$F$9),0)</f>
        <v>0</v>
      </c>
      <c r="N3841" s="10">
        <f>IF(Tank3!$C$23="No control",(SUMIF(Tank3!$B$32:$B$49,$J3841,Tank3!$C$32:$C$49)*Impacts!$F$10),0)</f>
        <v>0</v>
      </c>
      <c r="O3841" s="10">
        <f>IF(Tank4!$C$23="No control",(SUMIF(Tank4!$B$32:$B$49,$J3841,Tank4!$C$32:$C$49)*Impacts!$F$11),0)</f>
        <v>0</v>
      </c>
      <c r="P3841" s="10">
        <f>IF(Tank5!$C$23="No control",(SUMIF(Tank5!$B$32:$B$49,$J3841,Tank5!$C$32:$C$49)*Impacts!$F$12),0)</f>
        <v>0</v>
      </c>
      <c r="Q3841" s="10">
        <f>IFERROR(IF(('Loading-drum,tote'!$C$21)="No control",SUMIF(('Loading-drum,tote'!$B$31:$B$48),$J3841,('Loading-drum,tote'!$D$31:$D$48))*Impacts!$F$13,IF(('Loading-drum,tote'!$C$21)&lt;&gt;"No control",SUMIF(('Loading-drum,tote'!$B$31:$B$48),$J3841,('Loading-drum,tote'!$E$31:$E$48))*Impacts!$F$13,0)),0)</f>
        <v>0</v>
      </c>
      <c r="R3841" s="10">
        <f>IFERROR(IF(('Loading-truck'!$C$21)="No control",SUMIF(('Loading-truck'!$B$31:$B$48),$J3841,('Loading-truck'!$D$31:$D$48))*Impacts!$F$14,IF(('Loading-truck'!$C$21)&lt;&gt;"No control",SUMIF(('Loading-truck'!$B$31:$B$48),$J3841,('Loading-truck'!$E$31:$E$48))*Impacts!$F$14,0)),0)</f>
        <v>0</v>
      </c>
      <c r="S3841" s="10">
        <f>IFERROR(IF(('Loading-rail'!$C$21)="No control",SUMIF(('Loading-rail'!$B$31:$B$48),$J3841,('Loading-rail'!$D$31:$D$48))*Impacts!$F$15,IF(('Loading-rail'!$C$21)&lt;&gt;"No control",SUMIF(('Loading-rail'!$B$31:$B$48),$J3841,('Loading-rail'!$E$31:$E$48))*Impacts!$F$15,0)),0)</f>
        <v>0</v>
      </c>
      <c r="T3841" s="10">
        <f>IF(Flare!$C$7="",0,(SUMIF(Flare!$B$46:$B$185,$J3841,Flare!$E$46:$E$185)*Impacts!$F$16))</f>
        <v>0</v>
      </c>
      <c r="U3841" s="10">
        <f>IF(VCU!$C$9="",0,(SUMIF(VCU!$B$51:$B$193,$J3841,VCU!$E$51:$E$193)*Impacts!$F$17))</f>
        <v>0</v>
      </c>
      <c r="V3841" s="10">
        <f>IF(CAS!$C$7="",0,(SUMIF(CAS!$B$31:$B$167,$J3841,CAS!$E$31:$E$167)*Impacts!$F$18))</f>
        <v>0</v>
      </c>
      <c r="W3841" s="10">
        <f t="shared" si="100"/>
        <v>0</v>
      </c>
      <c r="AK3841" s="10" t="str">
        <f t="array" ref="AK3841">IFERROR(INDEX(SelectedSpecies,SMALL(IF(SelectedSpecies=AK$1,ROW(SelectedSpecies)),ROW(3842:3842)),2),"")</f>
        <v/>
      </c>
      <c r="BE3841" s="10"/>
      <c r="BI3841" s="10"/>
    </row>
    <row r="3842" spans="1:61" ht="21" customHeight="1" x14ac:dyDescent="0.25">
      <c r="A3842" s="10"/>
      <c r="B3842" s="10"/>
      <c r="E3842" s="10"/>
      <c r="G3842" s="10"/>
      <c r="I3842" s="436" t="s">
        <v>6454</v>
      </c>
      <c r="J3842" s="26" t="s">
        <v>6453</v>
      </c>
      <c r="K3842" s="10">
        <v>0.8</v>
      </c>
      <c r="L3842" s="73">
        <f>IF(Tank1!$C$23="No control",(SUMIF(Tank1!$B$32:$B$49,$J3842,Tank1!$C$32:$C$49)*Impacts!$F$8),0)</f>
        <v>0</v>
      </c>
      <c r="M3842" s="10">
        <f>IF(Tank2!$C$23="No control",(SUMIF(Tank2!$B$32:$B$49,$J3842,Tank2!$C$32:$C$49)*Impacts!$F$9),0)</f>
        <v>0</v>
      </c>
      <c r="N3842" s="10">
        <f>IF(Tank3!$C$23="No control",(SUMIF(Tank3!$B$32:$B$49,$J3842,Tank3!$C$32:$C$49)*Impacts!$F$10),0)</f>
        <v>0</v>
      </c>
      <c r="O3842" s="10">
        <f>IF(Tank4!$C$23="No control",(SUMIF(Tank4!$B$32:$B$49,$J3842,Tank4!$C$32:$C$49)*Impacts!$F$11),0)</f>
        <v>0</v>
      </c>
      <c r="P3842" s="10">
        <f>IF(Tank5!$C$23="No control",(SUMIF(Tank5!$B$32:$B$49,$J3842,Tank5!$C$32:$C$49)*Impacts!$F$12),0)</f>
        <v>0</v>
      </c>
      <c r="Q3842" s="10">
        <f>IFERROR(IF(('Loading-drum,tote'!$C$21)="No control",SUMIF(('Loading-drum,tote'!$B$31:$B$48),$J3842,('Loading-drum,tote'!$D$31:$D$48))*Impacts!$F$13,IF(('Loading-drum,tote'!$C$21)&lt;&gt;"No control",SUMIF(('Loading-drum,tote'!$B$31:$B$48),$J3842,('Loading-drum,tote'!$E$31:$E$48))*Impacts!$F$13,0)),0)</f>
        <v>0</v>
      </c>
      <c r="R3842" s="10">
        <f>IFERROR(IF(('Loading-truck'!$C$21)="No control",SUMIF(('Loading-truck'!$B$31:$B$48),$J3842,('Loading-truck'!$D$31:$D$48))*Impacts!$F$14,IF(('Loading-truck'!$C$21)&lt;&gt;"No control",SUMIF(('Loading-truck'!$B$31:$B$48),$J3842,('Loading-truck'!$E$31:$E$48))*Impacts!$F$14,0)),0)</f>
        <v>0</v>
      </c>
      <c r="S3842" s="10">
        <f>IFERROR(IF(('Loading-rail'!$C$21)="No control",SUMIF(('Loading-rail'!$B$31:$B$48),$J3842,('Loading-rail'!$D$31:$D$48))*Impacts!$F$15,IF(('Loading-rail'!$C$21)&lt;&gt;"No control",SUMIF(('Loading-rail'!$B$31:$B$48),$J3842,('Loading-rail'!$E$31:$E$48))*Impacts!$F$15,0)),0)</f>
        <v>0</v>
      </c>
      <c r="T3842" s="10">
        <f>IF(Flare!$C$7="",0,(SUMIF(Flare!$B$46:$B$185,$J3842,Flare!$E$46:$E$185)*Impacts!$F$16))</f>
        <v>0</v>
      </c>
      <c r="U3842" s="10">
        <f>IF(VCU!$C$9="",0,(SUMIF(VCU!$B$51:$B$193,$J3842,VCU!$E$51:$E$193)*Impacts!$F$17))</f>
        <v>0</v>
      </c>
      <c r="V3842" s="10">
        <f>IF(CAS!$C$7="",0,(SUMIF(CAS!$B$31:$B$167,$J3842,CAS!$E$31:$E$167)*Impacts!$F$18))</f>
        <v>0</v>
      </c>
      <c r="W3842" s="10">
        <f t="shared" si="100"/>
        <v>0</v>
      </c>
      <c r="AK3842" s="10" t="str">
        <f t="array" ref="AK3842">IFERROR(INDEX(SelectedSpecies,SMALL(IF(SelectedSpecies=AK$1,ROW(SelectedSpecies)),ROW(3843:3843)),2),"")</f>
        <v/>
      </c>
      <c r="BE3842" s="10"/>
      <c r="BI3842" s="10"/>
    </row>
    <row r="3843" spans="1:61" ht="21" customHeight="1" x14ac:dyDescent="0.25">
      <c r="A3843" s="10"/>
      <c r="B3843" s="10"/>
      <c r="E3843" s="10"/>
      <c r="G3843" s="10"/>
      <c r="I3843" s="436" t="s">
        <v>7200</v>
      </c>
      <c r="J3843" s="26" t="s">
        <v>7199</v>
      </c>
      <c r="K3843" s="10">
        <v>0.33</v>
      </c>
      <c r="L3843" s="73">
        <f>IF(Tank1!$C$23="No control",(SUMIF(Tank1!$B$32:$B$49,$J3843,Tank1!$C$32:$C$49)*Impacts!$F$8),0)</f>
        <v>0</v>
      </c>
      <c r="M3843" s="10">
        <f>IF(Tank2!$C$23="No control",(SUMIF(Tank2!$B$32:$B$49,$J3843,Tank2!$C$32:$C$49)*Impacts!$F$9),0)</f>
        <v>0</v>
      </c>
      <c r="N3843" s="10">
        <f>IF(Tank3!$C$23="No control",(SUMIF(Tank3!$B$32:$B$49,$J3843,Tank3!$C$32:$C$49)*Impacts!$F$10),0)</f>
        <v>0</v>
      </c>
      <c r="O3843" s="10">
        <f>IF(Tank4!$C$23="No control",(SUMIF(Tank4!$B$32:$B$49,$J3843,Tank4!$C$32:$C$49)*Impacts!$F$11),0)</f>
        <v>0</v>
      </c>
      <c r="P3843" s="10">
        <f>IF(Tank5!$C$23="No control",(SUMIF(Tank5!$B$32:$B$49,$J3843,Tank5!$C$32:$C$49)*Impacts!$F$12),0)</f>
        <v>0</v>
      </c>
      <c r="Q3843" s="10">
        <f>IFERROR(IF(('Loading-drum,tote'!$C$21)="No control",SUMIF(('Loading-drum,tote'!$B$31:$B$48),$J3843,('Loading-drum,tote'!$D$31:$D$48))*Impacts!$F$13,IF(('Loading-drum,tote'!$C$21)&lt;&gt;"No control",SUMIF(('Loading-drum,tote'!$B$31:$B$48),$J3843,('Loading-drum,tote'!$E$31:$E$48))*Impacts!$F$13,0)),0)</f>
        <v>0</v>
      </c>
      <c r="R3843" s="10">
        <f>IFERROR(IF(('Loading-truck'!$C$21)="No control",SUMIF(('Loading-truck'!$B$31:$B$48),$J3843,('Loading-truck'!$D$31:$D$48))*Impacts!$F$14,IF(('Loading-truck'!$C$21)&lt;&gt;"No control",SUMIF(('Loading-truck'!$B$31:$B$48),$J3843,('Loading-truck'!$E$31:$E$48))*Impacts!$F$14,0)),0)</f>
        <v>0</v>
      </c>
      <c r="S3843" s="10">
        <f>IFERROR(IF(('Loading-rail'!$C$21)="No control",SUMIF(('Loading-rail'!$B$31:$B$48),$J3843,('Loading-rail'!$D$31:$D$48))*Impacts!$F$15,IF(('Loading-rail'!$C$21)&lt;&gt;"No control",SUMIF(('Loading-rail'!$B$31:$B$48),$J3843,('Loading-rail'!$E$31:$E$48))*Impacts!$F$15,0)),0)</f>
        <v>0</v>
      </c>
      <c r="T3843" s="10">
        <f>IF(Flare!$C$7="",0,(SUMIF(Flare!$B$46:$B$185,$J3843,Flare!$E$46:$E$185)*Impacts!$F$16))</f>
        <v>0</v>
      </c>
      <c r="U3843" s="10">
        <f>IF(VCU!$C$9="",0,(SUMIF(VCU!$B$51:$B$193,$J3843,VCU!$E$51:$E$193)*Impacts!$F$17))</f>
        <v>0</v>
      </c>
      <c r="V3843" s="10">
        <f>IF(CAS!$C$7="",0,(SUMIF(CAS!$B$31:$B$167,$J3843,CAS!$E$31:$E$167)*Impacts!$F$18))</f>
        <v>0</v>
      </c>
      <c r="W3843" s="10">
        <f t="shared" si="100"/>
        <v>0</v>
      </c>
      <c r="AK3843" s="10" t="str">
        <f t="array" ref="AK3843">IFERROR(INDEX(SelectedSpecies,SMALL(IF(SelectedSpecies=AK$1,ROW(SelectedSpecies)),ROW(3844:3844)),2),"")</f>
        <v/>
      </c>
      <c r="BE3843" s="10"/>
      <c r="BI3843" s="10"/>
    </row>
    <row r="3844" spans="1:61" ht="21" customHeight="1" x14ac:dyDescent="0.25">
      <c r="A3844" s="10"/>
      <c r="B3844" s="10"/>
      <c r="E3844" s="10"/>
      <c r="G3844" s="10"/>
      <c r="I3844" s="436" t="s">
        <v>5620</v>
      </c>
      <c r="J3844" s="26" t="s">
        <v>5619</v>
      </c>
      <c r="K3844" s="10">
        <v>1.1000000000000001</v>
      </c>
      <c r="L3844" s="73">
        <f>IF(Tank1!$C$23="No control",(SUMIF(Tank1!$B$32:$B$49,$J3844,Tank1!$C$32:$C$49)*Impacts!$F$8),0)</f>
        <v>0</v>
      </c>
      <c r="M3844" s="10">
        <f>IF(Tank2!$C$23="No control",(SUMIF(Tank2!$B$32:$B$49,$J3844,Tank2!$C$32:$C$49)*Impacts!$F$9),0)</f>
        <v>0</v>
      </c>
      <c r="N3844" s="10">
        <f>IF(Tank3!$C$23="No control",(SUMIF(Tank3!$B$32:$B$49,$J3844,Tank3!$C$32:$C$49)*Impacts!$F$10),0)</f>
        <v>0</v>
      </c>
      <c r="O3844" s="10">
        <f>IF(Tank4!$C$23="No control",(SUMIF(Tank4!$B$32:$B$49,$J3844,Tank4!$C$32:$C$49)*Impacts!$F$11),0)</f>
        <v>0</v>
      </c>
      <c r="P3844" s="10">
        <f>IF(Tank5!$C$23="No control",(SUMIF(Tank5!$B$32:$B$49,$J3844,Tank5!$C$32:$C$49)*Impacts!$F$12),0)</f>
        <v>0</v>
      </c>
      <c r="Q3844" s="10">
        <f>IFERROR(IF(('Loading-drum,tote'!$C$21)="No control",SUMIF(('Loading-drum,tote'!$B$31:$B$48),$J3844,('Loading-drum,tote'!$D$31:$D$48))*Impacts!$F$13,IF(('Loading-drum,tote'!$C$21)&lt;&gt;"No control",SUMIF(('Loading-drum,tote'!$B$31:$B$48),$J3844,('Loading-drum,tote'!$E$31:$E$48))*Impacts!$F$13,0)),0)</f>
        <v>0</v>
      </c>
      <c r="R3844" s="10">
        <f>IFERROR(IF(('Loading-truck'!$C$21)="No control",SUMIF(('Loading-truck'!$B$31:$B$48),$J3844,('Loading-truck'!$D$31:$D$48))*Impacts!$F$14,IF(('Loading-truck'!$C$21)&lt;&gt;"No control",SUMIF(('Loading-truck'!$B$31:$B$48),$J3844,('Loading-truck'!$E$31:$E$48))*Impacts!$F$14,0)),0)</f>
        <v>0</v>
      </c>
      <c r="S3844" s="10">
        <f>IFERROR(IF(('Loading-rail'!$C$21)="No control",SUMIF(('Loading-rail'!$B$31:$B$48),$J3844,('Loading-rail'!$D$31:$D$48))*Impacts!$F$15,IF(('Loading-rail'!$C$21)&lt;&gt;"No control",SUMIF(('Loading-rail'!$B$31:$B$48),$J3844,('Loading-rail'!$E$31:$E$48))*Impacts!$F$15,0)),0)</f>
        <v>0</v>
      </c>
      <c r="T3844" s="10">
        <f>IF(Flare!$C$7="",0,(SUMIF(Flare!$B$46:$B$185,$J3844,Flare!$E$46:$E$185)*Impacts!$F$16))</f>
        <v>0</v>
      </c>
      <c r="U3844" s="10">
        <f>IF(VCU!$C$9="",0,(SUMIF(VCU!$B$51:$B$193,$J3844,VCU!$E$51:$E$193)*Impacts!$F$17))</f>
        <v>0</v>
      </c>
      <c r="V3844" s="10">
        <f>IF(CAS!$C$7="",0,(SUMIF(CAS!$B$31:$B$167,$J3844,CAS!$E$31:$E$167)*Impacts!$F$18))</f>
        <v>0</v>
      </c>
      <c r="W3844" s="10">
        <f t="shared" si="100"/>
        <v>0</v>
      </c>
      <c r="AK3844" s="10" t="str">
        <f t="array" ref="AK3844">IFERROR(INDEX(SelectedSpecies,SMALL(IF(SelectedSpecies=AK$1,ROW(SelectedSpecies)),ROW(3845:3845)),2),"")</f>
        <v/>
      </c>
      <c r="BE3844" s="10"/>
      <c r="BI3844" s="10"/>
    </row>
    <row r="3845" spans="1:61" ht="21" customHeight="1" x14ac:dyDescent="0.25">
      <c r="A3845" s="10"/>
      <c r="B3845" s="10"/>
      <c r="E3845" s="10"/>
      <c r="G3845" s="10"/>
      <c r="I3845" s="436" t="s">
        <v>7854</v>
      </c>
      <c r="J3845" s="26" t="s">
        <v>7853</v>
      </c>
      <c r="K3845" s="10">
        <v>6.4000000000000001E-2</v>
      </c>
      <c r="L3845" s="73">
        <f>IF(Tank1!$C$23="No control",(SUMIF(Tank1!$B$32:$B$49,$J3845,Tank1!$C$32:$C$49)*Impacts!$F$8),0)</f>
        <v>0</v>
      </c>
      <c r="M3845" s="10">
        <f>IF(Tank2!$C$23="No control",(SUMIF(Tank2!$B$32:$B$49,$J3845,Tank2!$C$32:$C$49)*Impacts!$F$9),0)</f>
        <v>0</v>
      </c>
      <c r="N3845" s="10">
        <f>IF(Tank3!$C$23="No control",(SUMIF(Tank3!$B$32:$B$49,$J3845,Tank3!$C$32:$C$49)*Impacts!$F$10),0)</f>
        <v>0</v>
      </c>
      <c r="O3845" s="10">
        <f>IF(Tank4!$C$23="No control",(SUMIF(Tank4!$B$32:$B$49,$J3845,Tank4!$C$32:$C$49)*Impacts!$F$11),0)</f>
        <v>0</v>
      </c>
      <c r="P3845" s="10">
        <f>IF(Tank5!$C$23="No control",(SUMIF(Tank5!$B$32:$B$49,$J3845,Tank5!$C$32:$C$49)*Impacts!$F$12),0)</f>
        <v>0</v>
      </c>
      <c r="Q3845" s="10">
        <f>IFERROR(IF(('Loading-drum,tote'!$C$21)="No control",SUMIF(('Loading-drum,tote'!$B$31:$B$48),$J3845,('Loading-drum,tote'!$D$31:$D$48))*Impacts!$F$13,IF(('Loading-drum,tote'!$C$21)&lt;&gt;"No control",SUMIF(('Loading-drum,tote'!$B$31:$B$48),$J3845,('Loading-drum,tote'!$E$31:$E$48))*Impacts!$F$13,0)),0)</f>
        <v>0</v>
      </c>
      <c r="R3845" s="10">
        <f>IFERROR(IF(('Loading-truck'!$C$21)="No control",SUMIF(('Loading-truck'!$B$31:$B$48),$J3845,('Loading-truck'!$D$31:$D$48))*Impacts!$F$14,IF(('Loading-truck'!$C$21)&lt;&gt;"No control",SUMIF(('Loading-truck'!$B$31:$B$48),$J3845,('Loading-truck'!$E$31:$E$48))*Impacts!$F$14,0)),0)</f>
        <v>0</v>
      </c>
      <c r="S3845" s="10">
        <f>IFERROR(IF(('Loading-rail'!$C$21)="No control",SUMIF(('Loading-rail'!$B$31:$B$48),$J3845,('Loading-rail'!$D$31:$D$48))*Impacts!$F$15,IF(('Loading-rail'!$C$21)&lt;&gt;"No control",SUMIF(('Loading-rail'!$B$31:$B$48),$J3845,('Loading-rail'!$E$31:$E$48))*Impacts!$F$15,0)),0)</f>
        <v>0</v>
      </c>
      <c r="T3845" s="10">
        <f>IF(Flare!$C$7="",0,(SUMIF(Flare!$B$46:$B$185,$J3845,Flare!$E$46:$E$185)*Impacts!$F$16))</f>
        <v>0</v>
      </c>
      <c r="U3845" s="10">
        <f>IF(VCU!$C$9="",0,(SUMIF(VCU!$B$51:$B$193,$J3845,VCU!$E$51:$E$193)*Impacts!$F$17))</f>
        <v>0</v>
      </c>
      <c r="V3845" s="10">
        <f>IF(CAS!$C$7="",0,(SUMIF(CAS!$B$31:$B$167,$J3845,CAS!$E$31:$E$167)*Impacts!$F$18))</f>
        <v>0</v>
      </c>
      <c r="W3845" s="10">
        <f t="shared" si="100"/>
        <v>0</v>
      </c>
      <c r="AK3845" s="10" t="str">
        <f t="array" ref="AK3845">IFERROR(INDEX(SelectedSpecies,SMALL(IF(SelectedSpecies=AK$1,ROW(SelectedSpecies)),ROW(3846:3846)),2),"")</f>
        <v/>
      </c>
      <c r="BE3845" s="10"/>
      <c r="BI3845" s="10"/>
    </row>
    <row r="3846" spans="1:61" ht="21" customHeight="1" x14ac:dyDescent="0.25">
      <c r="A3846" s="10"/>
      <c r="B3846" s="10"/>
      <c r="E3846" s="10"/>
      <c r="G3846" s="10"/>
      <c r="I3846" s="436" t="s">
        <v>7304</v>
      </c>
      <c r="J3846" s="26" t="s">
        <v>7303</v>
      </c>
      <c r="K3846" s="10">
        <v>0.30000000000000004</v>
      </c>
      <c r="L3846" s="73">
        <f>IF(Tank1!$C$23="No control",(SUMIF(Tank1!$B$32:$B$49,$J3846,Tank1!$C$32:$C$49)*Impacts!$F$8),0)</f>
        <v>0</v>
      </c>
      <c r="M3846" s="10">
        <f>IF(Tank2!$C$23="No control",(SUMIF(Tank2!$B$32:$B$49,$J3846,Tank2!$C$32:$C$49)*Impacts!$F$9),0)</f>
        <v>0</v>
      </c>
      <c r="N3846" s="10">
        <f>IF(Tank3!$C$23="No control",(SUMIF(Tank3!$B$32:$B$49,$J3846,Tank3!$C$32:$C$49)*Impacts!$F$10),0)</f>
        <v>0</v>
      </c>
      <c r="O3846" s="10">
        <f>IF(Tank4!$C$23="No control",(SUMIF(Tank4!$B$32:$B$49,$J3846,Tank4!$C$32:$C$49)*Impacts!$F$11),0)</f>
        <v>0</v>
      </c>
      <c r="P3846" s="10">
        <f>IF(Tank5!$C$23="No control",(SUMIF(Tank5!$B$32:$B$49,$J3846,Tank5!$C$32:$C$49)*Impacts!$F$12),0)</f>
        <v>0</v>
      </c>
      <c r="Q3846" s="10">
        <f>IFERROR(IF(('Loading-drum,tote'!$C$21)="No control",SUMIF(('Loading-drum,tote'!$B$31:$B$48),$J3846,('Loading-drum,tote'!$D$31:$D$48))*Impacts!$F$13,IF(('Loading-drum,tote'!$C$21)&lt;&gt;"No control",SUMIF(('Loading-drum,tote'!$B$31:$B$48),$J3846,('Loading-drum,tote'!$E$31:$E$48))*Impacts!$F$13,0)),0)</f>
        <v>0</v>
      </c>
      <c r="R3846" s="10">
        <f>IFERROR(IF(('Loading-truck'!$C$21)="No control",SUMIF(('Loading-truck'!$B$31:$B$48),$J3846,('Loading-truck'!$D$31:$D$48))*Impacts!$F$14,IF(('Loading-truck'!$C$21)&lt;&gt;"No control",SUMIF(('Loading-truck'!$B$31:$B$48),$J3846,('Loading-truck'!$E$31:$E$48))*Impacts!$F$14,0)),0)</f>
        <v>0</v>
      </c>
      <c r="S3846" s="10">
        <f>IFERROR(IF(('Loading-rail'!$C$21)="No control",SUMIF(('Loading-rail'!$B$31:$B$48),$J3846,('Loading-rail'!$D$31:$D$48))*Impacts!$F$15,IF(('Loading-rail'!$C$21)&lt;&gt;"No control",SUMIF(('Loading-rail'!$B$31:$B$48),$J3846,('Loading-rail'!$E$31:$E$48))*Impacts!$F$15,0)),0)</f>
        <v>0</v>
      </c>
      <c r="T3846" s="10">
        <f>IF(Flare!$C$7="",0,(SUMIF(Flare!$B$46:$B$185,$J3846,Flare!$E$46:$E$185)*Impacts!$F$16))</f>
        <v>0</v>
      </c>
      <c r="U3846" s="10">
        <f>IF(VCU!$C$9="",0,(SUMIF(VCU!$B$51:$B$193,$J3846,VCU!$E$51:$E$193)*Impacts!$F$17))</f>
        <v>0</v>
      </c>
      <c r="V3846" s="10">
        <f>IF(CAS!$C$7="",0,(SUMIF(CAS!$B$31:$B$167,$J3846,CAS!$E$31:$E$167)*Impacts!$F$18))</f>
        <v>0</v>
      </c>
      <c r="W3846" s="10">
        <f t="shared" si="100"/>
        <v>0</v>
      </c>
      <c r="AK3846" s="10" t="str">
        <f t="array" ref="AK3846">IFERROR(INDEX(SelectedSpecies,SMALL(IF(SelectedSpecies=AK$1,ROW(SelectedSpecies)),ROW(3847:3847)),2),"")</f>
        <v/>
      </c>
      <c r="BE3846" s="10"/>
      <c r="BI3846" s="10"/>
    </row>
    <row r="3847" spans="1:61" ht="21" customHeight="1" x14ac:dyDescent="0.25">
      <c r="A3847" s="10"/>
      <c r="B3847" s="10"/>
      <c r="E3847" s="10"/>
      <c r="G3847" s="10"/>
      <c r="I3847" s="436" t="s">
        <v>7128</v>
      </c>
      <c r="J3847" s="26" t="s">
        <v>7127</v>
      </c>
      <c r="K3847" s="10">
        <v>0.4</v>
      </c>
      <c r="L3847" s="73">
        <f>IF(Tank1!$C$23="No control",(SUMIF(Tank1!$B$32:$B$49,$J3847,Tank1!$C$32:$C$49)*Impacts!$F$8),0)</f>
        <v>0</v>
      </c>
      <c r="M3847" s="10">
        <f>IF(Tank2!$C$23="No control",(SUMIF(Tank2!$B$32:$B$49,$J3847,Tank2!$C$32:$C$49)*Impacts!$F$9),0)</f>
        <v>0</v>
      </c>
      <c r="N3847" s="10">
        <f>IF(Tank3!$C$23="No control",(SUMIF(Tank3!$B$32:$B$49,$J3847,Tank3!$C$32:$C$49)*Impacts!$F$10),0)</f>
        <v>0</v>
      </c>
      <c r="O3847" s="10">
        <f>IF(Tank4!$C$23="No control",(SUMIF(Tank4!$B$32:$B$49,$J3847,Tank4!$C$32:$C$49)*Impacts!$F$11),0)</f>
        <v>0</v>
      </c>
      <c r="P3847" s="10">
        <f>IF(Tank5!$C$23="No control",(SUMIF(Tank5!$B$32:$B$49,$J3847,Tank5!$C$32:$C$49)*Impacts!$F$12),0)</f>
        <v>0</v>
      </c>
      <c r="Q3847" s="10">
        <f>IFERROR(IF(('Loading-drum,tote'!$C$21)="No control",SUMIF(('Loading-drum,tote'!$B$31:$B$48),$J3847,('Loading-drum,tote'!$D$31:$D$48))*Impacts!$F$13,IF(('Loading-drum,tote'!$C$21)&lt;&gt;"No control",SUMIF(('Loading-drum,tote'!$B$31:$B$48),$J3847,('Loading-drum,tote'!$E$31:$E$48))*Impacts!$F$13,0)),0)</f>
        <v>0</v>
      </c>
      <c r="R3847" s="10">
        <f>IFERROR(IF(('Loading-truck'!$C$21)="No control",SUMIF(('Loading-truck'!$B$31:$B$48),$J3847,('Loading-truck'!$D$31:$D$48))*Impacts!$F$14,IF(('Loading-truck'!$C$21)&lt;&gt;"No control",SUMIF(('Loading-truck'!$B$31:$B$48),$J3847,('Loading-truck'!$E$31:$E$48))*Impacts!$F$14,0)),0)</f>
        <v>0</v>
      </c>
      <c r="S3847" s="10">
        <f>IFERROR(IF(('Loading-rail'!$C$21)="No control",SUMIF(('Loading-rail'!$B$31:$B$48),$J3847,('Loading-rail'!$D$31:$D$48))*Impacts!$F$15,IF(('Loading-rail'!$C$21)&lt;&gt;"No control",SUMIF(('Loading-rail'!$B$31:$B$48),$J3847,('Loading-rail'!$E$31:$E$48))*Impacts!$F$15,0)),0)</f>
        <v>0</v>
      </c>
      <c r="T3847" s="10">
        <f>IF(Flare!$C$7="",0,(SUMIF(Flare!$B$46:$B$185,$J3847,Flare!$E$46:$E$185)*Impacts!$F$16))</f>
        <v>0</v>
      </c>
      <c r="U3847" s="10">
        <f>IF(VCU!$C$9="",0,(SUMIF(VCU!$B$51:$B$193,$J3847,VCU!$E$51:$E$193)*Impacts!$F$17))</f>
        <v>0</v>
      </c>
      <c r="V3847" s="10">
        <f>IF(CAS!$C$7="",0,(SUMIF(CAS!$B$31:$B$167,$J3847,CAS!$E$31:$E$167)*Impacts!$F$18))</f>
        <v>0</v>
      </c>
      <c r="W3847" s="10">
        <f t="shared" si="100"/>
        <v>0</v>
      </c>
      <c r="AK3847" s="10" t="str">
        <f t="array" ref="AK3847">IFERROR(INDEX(SelectedSpecies,SMALL(IF(SelectedSpecies=AK$1,ROW(SelectedSpecies)),ROW(3848:3848)),2),"")</f>
        <v/>
      </c>
      <c r="BE3847" s="10"/>
      <c r="BI3847" s="10"/>
    </row>
    <row r="3848" spans="1:61" ht="21" customHeight="1" x14ac:dyDescent="0.25">
      <c r="A3848" s="10"/>
      <c r="B3848" s="10"/>
      <c r="E3848" s="10"/>
      <c r="G3848" s="10"/>
      <c r="I3848" s="436" t="s">
        <v>7828</v>
      </c>
      <c r="J3848" s="26" t="s">
        <v>7827</v>
      </c>
      <c r="K3848" s="10">
        <v>8.0000000000000016E-2</v>
      </c>
      <c r="L3848" s="73">
        <f>IF(Tank1!$C$23="No control",(SUMIF(Tank1!$B$32:$B$49,$J3848,Tank1!$C$32:$C$49)*Impacts!$F$8),0)</f>
        <v>0</v>
      </c>
      <c r="M3848" s="10">
        <f>IF(Tank2!$C$23="No control",(SUMIF(Tank2!$B$32:$B$49,$J3848,Tank2!$C$32:$C$49)*Impacts!$F$9),0)</f>
        <v>0</v>
      </c>
      <c r="N3848" s="10">
        <f>IF(Tank3!$C$23="No control",(SUMIF(Tank3!$B$32:$B$49,$J3848,Tank3!$C$32:$C$49)*Impacts!$F$10),0)</f>
        <v>0</v>
      </c>
      <c r="O3848" s="10">
        <f>IF(Tank4!$C$23="No control",(SUMIF(Tank4!$B$32:$B$49,$J3848,Tank4!$C$32:$C$49)*Impacts!$F$11),0)</f>
        <v>0</v>
      </c>
      <c r="P3848" s="10">
        <f>IF(Tank5!$C$23="No control",(SUMIF(Tank5!$B$32:$B$49,$J3848,Tank5!$C$32:$C$49)*Impacts!$F$12),0)</f>
        <v>0</v>
      </c>
      <c r="Q3848" s="10">
        <f>IFERROR(IF(('Loading-drum,tote'!$C$21)="No control",SUMIF(('Loading-drum,tote'!$B$31:$B$48),$J3848,('Loading-drum,tote'!$D$31:$D$48))*Impacts!$F$13,IF(('Loading-drum,tote'!$C$21)&lt;&gt;"No control",SUMIF(('Loading-drum,tote'!$B$31:$B$48),$J3848,('Loading-drum,tote'!$E$31:$E$48))*Impacts!$F$13,0)),0)</f>
        <v>0</v>
      </c>
      <c r="R3848" s="10">
        <f>IFERROR(IF(('Loading-truck'!$C$21)="No control",SUMIF(('Loading-truck'!$B$31:$B$48),$J3848,('Loading-truck'!$D$31:$D$48))*Impacts!$F$14,IF(('Loading-truck'!$C$21)&lt;&gt;"No control",SUMIF(('Loading-truck'!$B$31:$B$48),$J3848,('Loading-truck'!$E$31:$E$48))*Impacts!$F$14,0)),0)</f>
        <v>0</v>
      </c>
      <c r="S3848" s="10">
        <f>IFERROR(IF(('Loading-rail'!$C$21)="No control",SUMIF(('Loading-rail'!$B$31:$B$48),$J3848,('Loading-rail'!$D$31:$D$48))*Impacts!$F$15,IF(('Loading-rail'!$C$21)&lt;&gt;"No control",SUMIF(('Loading-rail'!$B$31:$B$48),$J3848,('Loading-rail'!$E$31:$E$48))*Impacts!$F$15,0)),0)</f>
        <v>0</v>
      </c>
      <c r="T3848" s="10">
        <f>IF(Flare!$C$7="",0,(SUMIF(Flare!$B$46:$B$185,$J3848,Flare!$E$46:$E$185)*Impacts!$F$16))</f>
        <v>0</v>
      </c>
      <c r="U3848" s="10">
        <f>IF(VCU!$C$9="",0,(SUMIF(VCU!$B$51:$B$193,$J3848,VCU!$E$51:$E$193)*Impacts!$F$17))</f>
        <v>0</v>
      </c>
      <c r="V3848" s="10">
        <f>IF(CAS!$C$7="",0,(SUMIF(CAS!$B$31:$B$167,$J3848,CAS!$E$31:$E$167)*Impacts!$F$18))</f>
        <v>0</v>
      </c>
      <c r="W3848" s="10">
        <f t="shared" si="100"/>
        <v>0</v>
      </c>
      <c r="AK3848" s="10" t="str">
        <f t="array" ref="AK3848">IFERROR(INDEX(SelectedSpecies,SMALL(IF(SelectedSpecies=AK$1,ROW(SelectedSpecies)),ROW(3849:3849)),2),"")</f>
        <v/>
      </c>
      <c r="BE3848" s="10"/>
      <c r="BI3848" s="10"/>
    </row>
    <row r="3849" spans="1:61" ht="21" customHeight="1" x14ac:dyDescent="0.25">
      <c r="A3849" s="10"/>
      <c r="B3849" s="10"/>
      <c r="E3849" s="10"/>
      <c r="G3849" s="10"/>
      <c r="I3849" s="436" t="s">
        <v>8228</v>
      </c>
      <c r="J3849" s="26" t="s">
        <v>8227</v>
      </c>
      <c r="K3849" s="10">
        <v>1.0000000000000002E-2</v>
      </c>
      <c r="L3849" s="73">
        <f>IF(Tank1!$C$23="No control",(SUMIF(Tank1!$B$32:$B$49,$J3849,Tank1!$C$32:$C$49)*Impacts!$F$8),0)</f>
        <v>0</v>
      </c>
      <c r="M3849" s="10">
        <f>IF(Tank2!$C$23="No control",(SUMIF(Tank2!$B$32:$B$49,$J3849,Tank2!$C$32:$C$49)*Impacts!$F$9),0)</f>
        <v>0</v>
      </c>
      <c r="N3849" s="10">
        <f>IF(Tank3!$C$23="No control",(SUMIF(Tank3!$B$32:$B$49,$J3849,Tank3!$C$32:$C$49)*Impacts!$F$10),0)</f>
        <v>0</v>
      </c>
      <c r="O3849" s="10">
        <f>IF(Tank4!$C$23="No control",(SUMIF(Tank4!$B$32:$B$49,$J3849,Tank4!$C$32:$C$49)*Impacts!$F$11),0)</f>
        <v>0</v>
      </c>
      <c r="P3849" s="10">
        <f>IF(Tank5!$C$23="No control",(SUMIF(Tank5!$B$32:$B$49,$J3849,Tank5!$C$32:$C$49)*Impacts!$F$12),0)</f>
        <v>0</v>
      </c>
      <c r="Q3849" s="10">
        <f>IFERROR(IF(('Loading-drum,tote'!$C$21)="No control",SUMIF(('Loading-drum,tote'!$B$31:$B$48),$J3849,('Loading-drum,tote'!$D$31:$D$48))*Impacts!$F$13,IF(('Loading-drum,tote'!$C$21)&lt;&gt;"No control",SUMIF(('Loading-drum,tote'!$B$31:$B$48),$J3849,('Loading-drum,tote'!$E$31:$E$48))*Impacts!$F$13,0)),0)</f>
        <v>0</v>
      </c>
      <c r="R3849" s="10">
        <f>IFERROR(IF(('Loading-truck'!$C$21)="No control",SUMIF(('Loading-truck'!$B$31:$B$48),$J3849,('Loading-truck'!$D$31:$D$48))*Impacts!$F$14,IF(('Loading-truck'!$C$21)&lt;&gt;"No control",SUMIF(('Loading-truck'!$B$31:$B$48),$J3849,('Loading-truck'!$E$31:$E$48))*Impacts!$F$14,0)),0)</f>
        <v>0</v>
      </c>
      <c r="S3849" s="10">
        <f>IFERROR(IF(('Loading-rail'!$C$21)="No control",SUMIF(('Loading-rail'!$B$31:$B$48),$J3849,('Loading-rail'!$D$31:$D$48))*Impacts!$F$15,IF(('Loading-rail'!$C$21)&lt;&gt;"No control",SUMIF(('Loading-rail'!$B$31:$B$48),$J3849,('Loading-rail'!$E$31:$E$48))*Impacts!$F$15,0)),0)</f>
        <v>0</v>
      </c>
      <c r="T3849" s="10">
        <f>IF(Flare!$C$7="",0,(SUMIF(Flare!$B$46:$B$185,$J3849,Flare!$E$46:$E$185)*Impacts!$F$16))</f>
        <v>0</v>
      </c>
      <c r="U3849" s="10">
        <f>IF(VCU!$C$9="",0,(SUMIF(VCU!$B$51:$B$193,$J3849,VCU!$E$51:$E$193)*Impacts!$F$17))</f>
        <v>0</v>
      </c>
      <c r="V3849" s="10">
        <f>IF(CAS!$C$7="",0,(SUMIF(CAS!$B$31:$B$167,$J3849,CAS!$E$31:$E$167)*Impacts!$F$18))</f>
        <v>0</v>
      </c>
      <c r="W3849" s="10">
        <f t="shared" si="100"/>
        <v>0</v>
      </c>
      <c r="AK3849" s="10" t="str">
        <f t="array" ref="AK3849">IFERROR(INDEX(SelectedSpecies,SMALL(IF(SelectedSpecies=AK$1,ROW(SelectedSpecies)),ROW(3850:3850)),2),"")</f>
        <v/>
      </c>
      <c r="BE3849" s="10"/>
      <c r="BI3849" s="10"/>
    </row>
    <row r="3850" spans="1:61" ht="21" customHeight="1" x14ac:dyDescent="0.25">
      <c r="A3850" s="10"/>
      <c r="B3850" s="10"/>
      <c r="E3850" s="10"/>
      <c r="G3850" s="10"/>
      <c r="I3850" s="436" t="s">
        <v>1416</v>
      </c>
      <c r="J3850" s="26" t="s">
        <v>1415</v>
      </c>
      <c r="K3850" s="10">
        <v>31</v>
      </c>
      <c r="L3850" s="73">
        <f>IF(Tank1!$C$23="No control",(SUMIF(Tank1!$B$32:$B$49,$J3850,Tank1!$C$32:$C$49)*Impacts!$F$8),0)</f>
        <v>0</v>
      </c>
      <c r="M3850" s="10">
        <f>IF(Tank2!$C$23="No control",(SUMIF(Tank2!$B$32:$B$49,$J3850,Tank2!$C$32:$C$49)*Impacts!$F$9),0)</f>
        <v>0</v>
      </c>
      <c r="N3850" s="10">
        <f>IF(Tank3!$C$23="No control",(SUMIF(Tank3!$B$32:$B$49,$J3850,Tank3!$C$32:$C$49)*Impacts!$F$10),0)</f>
        <v>0</v>
      </c>
      <c r="O3850" s="10">
        <f>IF(Tank4!$C$23="No control",(SUMIF(Tank4!$B$32:$B$49,$J3850,Tank4!$C$32:$C$49)*Impacts!$F$11),0)</f>
        <v>0</v>
      </c>
      <c r="P3850" s="10">
        <f>IF(Tank5!$C$23="No control",(SUMIF(Tank5!$B$32:$B$49,$J3850,Tank5!$C$32:$C$49)*Impacts!$F$12),0)</f>
        <v>0</v>
      </c>
      <c r="Q3850" s="10">
        <f>IFERROR(IF(('Loading-drum,tote'!$C$21)="No control",SUMIF(('Loading-drum,tote'!$B$31:$B$48),$J3850,('Loading-drum,tote'!$D$31:$D$48))*Impacts!$F$13,IF(('Loading-drum,tote'!$C$21)&lt;&gt;"No control",SUMIF(('Loading-drum,tote'!$B$31:$B$48),$J3850,('Loading-drum,tote'!$E$31:$E$48))*Impacts!$F$13,0)),0)</f>
        <v>0</v>
      </c>
      <c r="R3850" s="10">
        <f>IFERROR(IF(('Loading-truck'!$C$21)="No control",SUMIF(('Loading-truck'!$B$31:$B$48),$J3850,('Loading-truck'!$D$31:$D$48))*Impacts!$F$14,IF(('Loading-truck'!$C$21)&lt;&gt;"No control",SUMIF(('Loading-truck'!$B$31:$B$48),$J3850,('Loading-truck'!$E$31:$E$48))*Impacts!$F$14,0)),0)</f>
        <v>0</v>
      </c>
      <c r="S3850" s="10">
        <f>IFERROR(IF(('Loading-rail'!$C$21)="No control",SUMIF(('Loading-rail'!$B$31:$B$48),$J3850,('Loading-rail'!$D$31:$D$48))*Impacts!$F$15,IF(('Loading-rail'!$C$21)&lt;&gt;"No control",SUMIF(('Loading-rail'!$B$31:$B$48),$J3850,('Loading-rail'!$E$31:$E$48))*Impacts!$F$15,0)),0)</f>
        <v>0</v>
      </c>
      <c r="T3850" s="10">
        <f>IF(Flare!$C$7="",0,(SUMIF(Flare!$B$46:$B$185,$J3850,Flare!$E$46:$E$185)*Impacts!$F$16))</f>
        <v>0</v>
      </c>
      <c r="U3850" s="10">
        <f>IF(VCU!$C$9="",0,(SUMIF(VCU!$B$51:$B$193,$J3850,VCU!$E$51:$E$193)*Impacts!$F$17))</f>
        <v>0</v>
      </c>
      <c r="V3850" s="10">
        <f>IF(CAS!$C$7="",0,(SUMIF(CAS!$B$31:$B$167,$J3850,CAS!$E$31:$E$167)*Impacts!$F$18))</f>
        <v>0</v>
      </c>
      <c r="W3850" s="10">
        <f t="shared" si="100"/>
        <v>0</v>
      </c>
      <c r="AK3850" s="10" t="str">
        <f t="array" ref="AK3850">IFERROR(INDEX(SelectedSpecies,SMALL(IF(SelectedSpecies=AK$1,ROW(SelectedSpecies)),ROW(3851:3851)),2),"")</f>
        <v/>
      </c>
      <c r="BE3850" s="10"/>
      <c r="BI3850" s="10"/>
    </row>
    <row r="3851" spans="1:61" ht="21" customHeight="1" x14ac:dyDescent="0.25">
      <c r="A3851" s="10"/>
      <c r="B3851" s="10"/>
      <c r="E3851" s="10"/>
      <c r="G3851" s="10"/>
      <c r="I3851" s="436" t="s">
        <v>7320</v>
      </c>
      <c r="J3851" s="26" t="s">
        <v>7319</v>
      </c>
      <c r="K3851" s="10">
        <v>0.27999999999999997</v>
      </c>
      <c r="L3851" s="73">
        <f>IF(Tank1!$C$23="No control",(SUMIF(Tank1!$B$32:$B$49,$J3851,Tank1!$C$32:$C$49)*Impacts!$F$8),0)</f>
        <v>0</v>
      </c>
      <c r="M3851" s="10">
        <f>IF(Tank2!$C$23="No control",(SUMIF(Tank2!$B$32:$B$49,$J3851,Tank2!$C$32:$C$49)*Impacts!$F$9),0)</f>
        <v>0</v>
      </c>
      <c r="N3851" s="10">
        <f>IF(Tank3!$C$23="No control",(SUMIF(Tank3!$B$32:$B$49,$J3851,Tank3!$C$32:$C$49)*Impacts!$F$10),0)</f>
        <v>0</v>
      </c>
      <c r="O3851" s="10">
        <f>IF(Tank4!$C$23="No control",(SUMIF(Tank4!$B$32:$B$49,$J3851,Tank4!$C$32:$C$49)*Impacts!$F$11),0)</f>
        <v>0</v>
      </c>
      <c r="P3851" s="10">
        <f>IF(Tank5!$C$23="No control",(SUMIF(Tank5!$B$32:$B$49,$J3851,Tank5!$C$32:$C$49)*Impacts!$F$12),0)</f>
        <v>0</v>
      </c>
      <c r="Q3851" s="10">
        <f>IFERROR(IF(('Loading-drum,tote'!$C$21)="No control",SUMIF(('Loading-drum,tote'!$B$31:$B$48),$J3851,('Loading-drum,tote'!$D$31:$D$48))*Impacts!$F$13,IF(('Loading-drum,tote'!$C$21)&lt;&gt;"No control",SUMIF(('Loading-drum,tote'!$B$31:$B$48),$J3851,('Loading-drum,tote'!$E$31:$E$48))*Impacts!$F$13,0)),0)</f>
        <v>0</v>
      </c>
      <c r="R3851" s="10">
        <f>IFERROR(IF(('Loading-truck'!$C$21)="No control",SUMIF(('Loading-truck'!$B$31:$B$48),$J3851,('Loading-truck'!$D$31:$D$48))*Impacts!$F$14,IF(('Loading-truck'!$C$21)&lt;&gt;"No control",SUMIF(('Loading-truck'!$B$31:$B$48),$J3851,('Loading-truck'!$E$31:$E$48))*Impacts!$F$14,0)),0)</f>
        <v>0</v>
      </c>
      <c r="S3851" s="10">
        <f>IFERROR(IF(('Loading-rail'!$C$21)="No control",SUMIF(('Loading-rail'!$B$31:$B$48),$J3851,('Loading-rail'!$D$31:$D$48))*Impacts!$F$15,IF(('Loading-rail'!$C$21)&lt;&gt;"No control",SUMIF(('Loading-rail'!$B$31:$B$48),$J3851,('Loading-rail'!$E$31:$E$48))*Impacts!$F$15,0)),0)</f>
        <v>0</v>
      </c>
      <c r="T3851" s="10">
        <f>IF(Flare!$C$7="",0,(SUMIF(Flare!$B$46:$B$185,$J3851,Flare!$E$46:$E$185)*Impacts!$F$16))</f>
        <v>0</v>
      </c>
      <c r="U3851" s="10">
        <f>IF(VCU!$C$9="",0,(SUMIF(VCU!$B$51:$B$193,$J3851,VCU!$E$51:$E$193)*Impacts!$F$17))</f>
        <v>0</v>
      </c>
      <c r="V3851" s="10">
        <f>IF(CAS!$C$7="",0,(SUMIF(CAS!$B$31:$B$167,$J3851,CAS!$E$31:$E$167)*Impacts!$F$18))</f>
        <v>0</v>
      </c>
      <c r="W3851" s="10">
        <f t="shared" si="100"/>
        <v>0</v>
      </c>
      <c r="AK3851" s="10" t="str">
        <f t="array" ref="AK3851">IFERROR(INDEX(SelectedSpecies,SMALL(IF(SelectedSpecies=AK$1,ROW(SelectedSpecies)),ROW(3852:3852)),2),"")</f>
        <v/>
      </c>
      <c r="BE3851" s="10"/>
      <c r="BI3851" s="10"/>
    </row>
    <row r="3852" spans="1:61" ht="21" customHeight="1" x14ac:dyDescent="0.25">
      <c r="A3852" s="10"/>
      <c r="B3852" s="10"/>
      <c r="E3852" s="10"/>
      <c r="G3852" s="10"/>
      <c r="I3852" s="436" t="s">
        <v>8014</v>
      </c>
      <c r="J3852" s="26" t="s">
        <v>8013</v>
      </c>
      <c r="K3852" s="10">
        <v>2.5000000000000001E-2</v>
      </c>
      <c r="L3852" s="73">
        <f>IF(Tank1!$C$23="No control",(SUMIF(Tank1!$B$32:$B$49,$J3852,Tank1!$C$32:$C$49)*Impacts!$F$8),0)</f>
        <v>0</v>
      </c>
      <c r="M3852" s="10">
        <f>IF(Tank2!$C$23="No control",(SUMIF(Tank2!$B$32:$B$49,$J3852,Tank2!$C$32:$C$49)*Impacts!$F$9),0)</f>
        <v>0</v>
      </c>
      <c r="N3852" s="10">
        <f>IF(Tank3!$C$23="No control",(SUMIF(Tank3!$B$32:$B$49,$J3852,Tank3!$C$32:$C$49)*Impacts!$F$10),0)</f>
        <v>0</v>
      </c>
      <c r="O3852" s="10">
        <f>IF(Tank4!$C$23="No control",(SUMIF(Tank4!$B$32:$B$49,$J3852,Tank4!$C$32:$C$49)*Impacts!$F$11),0)</f>
        <v>0</v>
      </c>
      <c r="P3852" s="10">
        <f>IF(Tank5!$C$23="No control",(SUMIF(Tank5!$B$32:$B$49,$J3852,Tank5!$C$32:$C$49)*Impacts!$F$12),0)</f>
        <v>0</v>
      </c>
      <c r="Q3852" s="10">
        <f>IFERROR(IF(('Loading-drum,tote'!$C$21)="No control",SUMIF(('Loading-drum,tote'!$B$31:$B$48),$J3852,('Loading-drum,tote'!$D$31:$D$48))*Impacts!$F$13,IF(('Loading-drum,tote'!$C$21)&lt;&gt;"No control",SUMIF(('Loading-drum,tote'!$B$31:$B$48),$J3852,('Loading-drum,tote'!$E$31:$E$48))*Impacts!$F$13,0)),0)</f>
        <v>0</v>
      </c>
      <c r="R3852" s="10">
        <f>IFERROR(IF(('Loading-truck'!$C$21)="No control",SUMIF(('Loading-truck'!$B$31:$B$48),$J3852,('Loading-truck'!$D$31:$D$48))*Impacts!$F$14,IF(('Loading-truck'!$C$21)&lt;&gt;"No control",SUMIF(('Loading-truck'!$B$31:$B$48),$J3852,('Loading-truck'!$E$31:$E$48))*Impacts!$F$14,0)),0)</f>
        <v>0</v>
      </c>
      <c r="S3852" s="10">
        <f>IFERROR(IF(('Loading-rail'!$C$21)="No control",SUMIF(('Loading-rail'!$B$31:$B$48),$J3852,('Loading-rail'!$D$31:$D$48))*Impacts!$F$15,IF(('Loading-rail'!$C$21)&lt;&gt;"No control",SUMIF(('Loading-rail'!$B$31:$B$48),$J3852,('Loading-rail'!$E$31:$E$48))*Impacts!$F$15,0)),0)</f>
        <v>0</v>
      </c>
      <c r="T3852" s="10">
        <f>IF(Flare!$C$7="",0,(SUMIF(Flare!$B$46:$B$185,$J3852,Flare!$E$46:$E$185)*Impacts!$F$16))</f>
        <v>0</v>
      </c>
      <c r="U3852" s="10">
        <f>IF(VCU!$C$9="",0,(SUMIF(VCU!$B$51:$B$193,$J3852,VCU!$E$51:$E$193)*Impacts!$F$17))</f>
        <v>0</v>
      </c>
      <c r="V3852" s="10">
        <f>IF(CAS!$C$7="",0,(SUMIF(CAS!$B$31:$B$167,$J3852,CAS!$E$31:$E$167)*Impacts!$F$18))</f>
        <v>0</v>
      </c>
      <c r="W3852" s="10">
        <f t="shared" si="100"/>
        <v>0</v>
      </c>
      <c r="AK3852" s="10" t="str">
        <f t="array" ref="AK3852">IFERROR(INDEX(SelectedSpecies,SMALL(IF(SelectedSpecies=AK$1,ROW(SelectedSpecies)),ROW(3853:3853)),2),"")</f>
        <v/>
      </c>
      <c r="BE3852" s="10"/>
      <c r="BI3852" s="10"/>
    </row>
    <row r="3853" spans="1:61" ht="21" customHeight="1" x14ac:dyDescent="0.25">
      <c r="A3853" s="10"/>
      <c r="B3853" s="10"/>
      <c r="E3853" s="10"/>
      <c r="G3853" s="10"/>
      <c r="I3853" s="436" t="s">
        <v>8016</v>
      </c>
      <c r="J3853" s="26" t="s">
        <v>8015</v>
      </c>
      <c r="K3853" s="10">
        <v>2.5000000000000001E-2</v>
      </c>
      <c r="L3853" s="73">
        <f>IF(Tank1!$C$23="No control",(SUMIF(Tank1!$B$32:$B$49,$J3853,Tank1!$C$32:$C$49)*Impacts!$F$8),0)</f>
        <v>0</v>
      </c>
      <c r="M3853" s="10">
        <f>IF(Tank2!$C$23="No control",(SUMIF(Tank2!$B$32:$B$49,$J3853,Tank2!$C$32:$C$49)*Impacts!$F$9),0)</f>
        <v>0</v>
      </c>
      <c r="N3853" s="10">
        <f>IF(Tank3!$C$23="No control",(SUMIF(Tank3!$B$32:$B$49,$J3853,Tank3!$C$32:$C$49)*Impacts!$F$10),0)</f>
        <v>0</v>
      </c>
      <c r="O3853" s="10">
        <f>IF(Tank4!$C$23="No control",(SUMIF(Tank4!$B$32:$B$49,$J3853,Tank4!$C$32:$C$49)*Impacts!$F$11),0)</f>
        <v>0</v>
      </c>
      <c r="P3853" s="10">
        <f>IF(Tank5!$C$23="No control",(SUMIF(Tank5!$B$32:$B$49,$J3853,Tank5!$C$32:$C$49)*Impacts!$F$12),0)</f>
        <v>0</v>
      </c>
      <c r="Q3853" s="10">
        <f>IFERROR(IF(('Loading-drum,tote'!$C$21)="No control",SUMIF(('Loading-drum,tote'!$B$31:$B$48),$J3853,('Loading-drum,tote'!$D$31:$D$48))*Impacts!$F$13,IF(('Loading-drum,tote'!$C$21)&lt;&gt;"No control",SUMIF(('Loading-drum,tote'!$B$31:$B$48),$J3853,('Loading-drum,tote'!$E$31:$E$48))*Impacts!$F$13,0)),0)</f>
        <v>0</v>
      </c>
      <c r="R3853" s="10">
        <f>IFERROR(IF(('Loading-truck'!$C$21)="No control",SUMIF(('Loading-truck'!$B$31:$B$48),$J3853,('Loading-truck'!$D$31:$D$48))*Impacts!$F$14,IF(('Loading-truck'!$C$21)&lt;&gt;"No control",SUMIF(('Loading-truck'!$B$31:$B$48),$J3853,('Loading-truck'!$E$31:$E$48))*Impacts!$F$14,0)),0)</f>
        <v>0</v>
      </c>
      <c r="S3853" s="10">
        <f>IFERROR(IF(('Loading-rail'!$C$21)="No control",SUMIF(('Loading-rail'!$B$31:$B$48),$J3853,('Loading-rail'!$D$31:$D$48))*Impacts!$F$15,IF(('Loading-rail'!$C$21)&lt;&gt;"No control",SUMIF(('Loading-rail'!$B$31:$B$48),$J3853,('Loading-rail'!$E$31:$E$48))*Impacts!$F$15,0)),0)</f>
        <v>0</v>
      </c>
      <c r="T3853" s="10">
        <f>IF(Flare!$C$7="",0,(SUMIF(Flare!$B$46:$B$185,$J3853,Flare!$E$46:$E$185)*Impacts!$F$16))</f>
        <v>0</v>
      </c>
      <c r="U3853" s="10">
        <f>IF(VCU!$C$9="",0,(SUMIF(VCU!$B$51:$B$193,$J3853,VCU!$E$51:$E$193)*Impacts!$F$17))</f>
        <v>0</v>
      </c>
      <c r="V3853" s="10">
        <f>IF(CAS!$C$7="",0,(SUMIF(CAS!$B$31:$B$167,$J3853,CAS!$E$31:$E$167)*Impacts!$F$18))</f>
        <v>0</v>
      </c>
      <c r="W3853" s="10">
        <f t="shared" si="100"/>
        <v>0</v>
      </c>
      <c r="AK3853" s="10" t="str">
        <f t="array" ref="AK3853">IFERROR(INDEX(SelectedSpecies,SMALL(IF(SelectedSpecies=AK$1,ROW(SelectedSpecies)),ROW(3854:3854)),2),"")</f>
        <v/>
      </c>
      <c r="BE3853" s="10"/>
      <c r="BI3853" s="10"/>
    </row>
    <row r="3854" spans="1:61" ht="21" customHeight="1" x14ac:dyDescent="0.25">
      <c r="A3854" s="10"/>
      <c r="B3854" s="10"/>
      <c r="E3854" s="10"/>
      <c r="G3854" s="10"/>
      <c r="I3854" s="436" t="s">
        <v>2649</v>
      </c>
      <c r="J3854" s="26" t="s">
        <v>2648</v>
      </c>
      <c r="K3854" s="10">
        <v>10</v>
      </c>
      <c r="L3854" s="73">
        <f>IF(Tank1!$C$23="No control",(SUMIF(Tank1!$B$32:$B$49,$J3854,Tank1!$C$32:$C$49)*Impacts!$F$8),0)</f>
        <v>0</v>
      </c>
      <c r="M3854" s="10">
        <f>IF(Tank2!$C$23="No control",(SUMIF(Tank2!$B$32:$B$49,$J3854,Tank2!$C$32:$C$49)*Impacts!$F$9),0)</f>
        <v>0</v>
      </c>
      <c r="N3854" s="10">
        <f>IF(Tank3!$C$23="No control",(SUMIF(Tank3!$B$32:$B$49,$J3854,Tank3!$C$32:$C$49)*Impacts!$F$10),0)</f>
        <v>0</v>
      </c>
      <c r="O3854" s="10">
        <f>IF(Tank4!$C$23="No control",(SUMIF(Tank4!$B$32:$B$49,$J3854,Tank4!$C$32:$C$49)*Impacts!$F$11),0)</f>
        <v>0</v>
      </c>
      <c r="P3854" s="10">
        <f>IF(Tank5!$C$23="No control",(SUMIF(Tank5!$B$32:$B$49,$J3854,Tank5!$C$32:$C$49)*Impacts!$F$12),0)</f>
        <v>0</v>
      </c>
      <c r="Q3854" s="10">
        <f>IFERROR(IF(('Loading-drum,tote'!$C$21)="No control",SUMIF(('Loading-drum,tote'!$B$31:$B$48),$J3854,('Loading-drum,tote'!$D$31:$D$48))*Impacts!$F$13,IF(('Loading-drum,tote'!$C$21)&lt;&gt;"No control",SUMIF(('Loading-drum,tote'!$B$31:$B$48),$J3854,('Loading-drum,tote'!$E$31:$E$48))*Impacts!$F$13,0)),0)</f>
        <v>0</v>
      </c>
      <c r="R3854" s="10">
        <f>IFERROR(IF(('Loading-truck'!$C$21)="No control",SUMIF(('Loading-truck'!$B$31:$B$48),$J3854,('Loading-truck'!$D$31:$D$48))*Impacts!$F$14,IF(('Loading-truck'!$C$21)&lt;&gt;"No control",SUMIF(('Loading-truck'!$B$31:$B$48),$J3854,('Loading-truck'!$E$31:$E$48))*Impacts!$F$14,0)),0)</f>
        <v>0</v>
      </c>
      <c r="S3854" s="10">
        <f>IFERROR(IF(('Loading-rail'!$C$21)="No control",SUMIF(('Loading-rail'!$B$31:$B$48),$J3854,('Loading-rail'!$D$31:$D$48))*Impacts!$F$15,IF(('Loading-rail'!$C$21)&lt;&gt;"No control",SUMIF(('Loading-rail'!$B$31:$B$48),$J3854,('Loading-rail'!$E$31:$E$48))*Impacts!$F$15,0)),0)</f>
        <v>0</v>
      </c>
      <c r="T3854" s="10">
        <f>IF(Flare!$C$7="",0,(SUMIF(Flare!$B$46:$B$185,$J3854,Flare!$E$46:$E$185)*Impacts!$F$16))</f>
        <v>0</v>
      </c>
      <c r="U3854" s="10">
        <f>IF(VCU!$C$9="",0,(SUMIF(VCU!$B$51:$B$193,$J3854,VCU!$E$51:$E$193)*Impacts!$F$17))</f>
        <v>0</v>
      </c>
      <c r="V3854" s="10">
        <f>IF(CAS!$C$7="",0,(SUMIF(CAS!$B$31:$B$167,$J3854,CAS!$E$31:$E$167)*Impacts!$F$18))</f>
        <v>0</v>
      </c>
      <c r="W3854" s="10">
        <f t="shared" si="100"/>
        <v>0</v>
      </c>
      <c r="AK3854" s="10" t="str">
        <f t="array" ref="AK3854">IFERROR(INDEX(SelectedSpecies,SMALL(IF(SelectedSpecies=AK$1,ROW(SelectedSpecies)),ROW(3855:3855)),2),"")</f>
        <v/>
      </c>
      <c r="BE3854" s="10"/>
      <c r="BI3854" s="10"/>
    </row>
    <row r="3855" spans="1:61" ht="21" customHeight="1" x14ac:dyDescent="0.25">
      <c r="A3855" s="10"/>
      <c r="B3855" s="10"/>
      <c r="E3855" s="10"/>
      <c r="G3855" s="10"/>
      <c r="I3855" s="436" t="s">
        <v>4797</v>
      </c>
      <c r="J3855" s="26" t="s">
        <v>4796</v>
      </c>
      <c r="K3855" s="10">
        <v>3.1</v>
      </c>
      <c r="L3855" s="73">
        <f>IF(Tank1!$C$23="No control",(SUMIF(Tank1!$B$32:$B$49,$J3855,Tank1!$C$32:$C$49)*Impacts!$F$8),0)</f>
        <v>0</v>
      </c>
      <c r="M3855" s="10">
        <f>IF(Tank2!$C$23="No control",(SUMIF(Tank2!$B$32:$B$49,$J3855,Tank2!$C$32:$C$49)*Impacts!$F$9),0)</f>
        <v>0</v>
      </c>
      <c r="N3855" s="10">
        <f>IF(Tank3!$C$23="No control",(SUMIF(Tank3!$B$32:$B$49,$J3855,Tank3!$C$32:$C$49)*Impacts!$F$10),0)</f>
        <v>0</v>
      </c>
      <c r="O3855" s="10">
        <f>IF(Tank4!$C$23="No control",(SUMIF(Tank4!$B$32:$B$49,$J3855,Tank4!$C$32:$C$49)*Impacts!$F$11),0)</f>
        <v>0</v>
      </c>
      <c r="P3855" s="10">
        <f>IF(Tank5!$C$23="No control",(SUMIF(Tank5!$B$32:$B$49,$J3855,Tank5!$C$32:$C$49)*Impacts!$F$12),0)</f>
        <v>0</v>
      </c>
      <c r="Q3855" s="10">
        <f>IFERROR(IF(('Loading-drum,tote'!$C$21)="No control",SUMIF(('Loading-drum,tote'!$B$31:$B$48),$J3855,('Loading-drum,tote'!$D$31:$D$48))*Impacts!$F$13,IF(('Loading-drum,tote'!$C$21)&lt;&gt;"No control",SUMIF(('Loading-drum,tote'!$B$31:$B$48),$J3855,('Loading-drum,tote'!$E$31:$E$48))*Impacts!$F$13,0)),0)</f>
        <v>0</v>
      </c>
      <c r="R3855" s="10">
        <f>IFERROR(IF(('Loading-truck'!$C$21)="No control",SUMIF(('Loading-truck'!$B$31:$B$48),$J3855,('Loading-truck'!$D$31:$D$48))*Impacts!$F$14,IF(('Loading-truck'!$C$21)&lt;&gt;"No control",SUMIF(('Loading-truck'!$B$31:$B$48),$J3855,('Loading-truck'!$E$31:$E$48))*Impacts!$F$14,0)),0)</f>
        <v>0</v>
      </c>
      <c r="S3855" s="10">
        <f>IFERROR(IF(('Loading-rail'!$C$21)="No control",SUMIF(('Loading-rail'!$B$31:$B$48),$J3855,('Loading-rail'!$D$31:$D$48))*Impacts!$F$15,IF(('Loading-rail'!$C$21)&lt;&gt;"No control",SUMIF(('Loading-rail'!$B$31:$B$48),$J3855,('Loading-rail'!$E$31:$E$48))*Impacts!$F$15,0)),0)</f>
        <v>0</v>
      </c>
      <c r="T3855" s="10">
        <f>IF(Flare!$C$7="",0,(SUMIF(Flare!$B$46:$B$185,$J3855,Flare!$E$46:$E$185)*Impacts!$F$16))</f>
        <v>0</v>
      </c>
      <c r="U3855" s="10">
        <f>IF(VCU!$C$9="",0,(SUMIF(VCU!$B$51:$B$193,$J3855,VCU!$E$51:$E$193)*Impacts!$F$17))</f>
        <v>0</v>
      </c>
      <c r="V3855" s="10">
        <f>IF(CAS!$C$7="",0,(SUMIF(CAS!$B$31:$B$167,$J3855,CAS!$E$31:$E$167)*Impacts!$F$18))</f>
        <v>0</v>
      </c>
      <c r="W3855" s="10">
        <f t="shared" si="100"/>
        <v>0</v>
      </c>
      <c r="AK3855" s="10" t="str">
        <f t="array" ref="AK3855">IFERROR(INDEX(SelectedSpecies,SMALL(IF(SelectedSpecies=AK$1,ROW(SelectedSpecies)),ROW(3856:3856)),2),"")</f>
        <v/>
      </c>
      <c r="BE3855" s="10"/>
      <c r="BI3855" s="10"/>
    </row>
    <row r="3856" spans="1:61" ht="21" customHeight="1" x14ac:dyDescent="0.25">
      <c r="A3856" s="10"/>
      <c r="B3856" s="10"/>
      <c r="E3856" s="10"/>
      <c r="G3856" s="10"/>
      <c r="I3856" s="436" t="s">
        <v>1775</v>
      </c>
      <c r="J3856" s="26" t="s">
        <v>1774</v>
      </c>
      <c r="K3856" s="10">
        <v>23.400000000000002</v>
      </c>
      <c r="L3856" s="73">
        <f>IF(Tank1!$C$23="No control",(SUMIF(Tank1!$B$32:$B$49,$J3856,Tank1!$C$32:$C$49)*Impacts!$F$8),0)</f>
        <v>0</v>
      </c>
      <c r="M3856" s="10">
        <f>IF(Tank2!$C$23="No control",(SUMIF(Tank2!$B$32:$B$49,$J3856,Tank2!$C$32:$C$49)*Impacts!$F$9),0)</f>
        <v>0</v>
      </c>
      <c r="N3856" s="10">
        <f>IF(Tank3!$C$23="No control",(SUMIF(Tank3!$B$32:$B$49,$J3856,Tank3!$C$32:$C$49)*Impacts!$F$10),0)</f>
        <v>0</v>
      </c>
      <c r="O3856" s="10">
        <f>IF(Tank4!$C$23="No control",(SUMIF(Tank4!$B$32:$B$49,$J3856,Tank4!$C$32:$C$49)*Impacts!$F$11),0)</f>
        <v>0</v>
      </c>
      <c r="P3856" s="10">
        <f>IF(Tank5!$C$23="No control",(SUMIF(Tank5!$B$32:$B$49,$J3856,Tank5!$C$32:$C$49)*Impacts!$F$12),0)</f>
        <v>0</v>
      </c>
      <c r="Q3856" s="10">
        <f>IFERROR(IF(('Loading-drum,tote'!$C$21)="No control",SUMIF(('Loading-drum,tote'!$B$31:$B$48),$J3856,('Loading-drum,tote'!$D$31:$D$48))*Impacts!$F$13,IF(('Loading-drum,tote'!$C$21)&lt;&gt;"No control",SUMIF(('Loading-drum,tote'!$B$31:$B$48),$J3856,('Loading-drum,tote'!$E$31:$E$48))*Impacts!$F$13,0)),0)</f>
        <v>0</v>
      </c>
      <c r="R3856" s="10">
        <f>IFERROR(IF(('Loading-truck'!$C$21)="No control",SUMIF(('Loading-truck'!$B$31:$B$48),$J3856,('Loading-truck'!$D$31:$D$48))*Impacts!$F$14,IF(('Loading-truck'!$C$21)&lt;&gt;"No control",SUMIF(('Loading-truck'!$B$31:$B$48),$J3856,('Loading-truck'!$E$31:$E$48))*Impacts!$F$14,0)),0)</f>
        <v>0</v>
      </c>
      <c r="S3856" s="10">
        <f>IFERROR(IF(('Loading-rail'!$C$21)="No control",SUMIF(('Loading-rail'!$B$31:$B$48),$J3856,('Loading-rail'!$D$31:$D$48))*Impacts!$F$15,IF(('Loading-rail'!$C$21)&lt;&gt;"No control",SUMIF(('Loading-rail'!$B$31:$B$48),$J3856,('Loading-rail'!$E$31:$E$48))*Impacts!$F$15,0)),0)</f>
        <v>0</v>
      </c>
      <c r="T3856" s="10">
        <f>IF(Flare!$C$7="",0,(SUMIF(Flare!$B$46:$B$185,$J3856,Flare!$E$46:$E$185)*Impacts!$F$16))</f>
        <v>0</v>
      </c>
      <c r="U3856" s="10">
        <f>IF(VCU!$C$9="",0,(SUMIF(VCU!$B$51:$B$193,$J3856,VCU!$E$51:$E$193)*Impacts!$F$17))</f>
        <v>0</v>
      </c>
      <c r="V3856" s="10">
        <f>IF(CAS!$C$7="",0,(SUMIF(CAS!$B$31:$B$167,$J3856,CAS!$E$31:$E$167)*Impacts!$F$18))</f>
        <v>0</v>
      </c>
      <c r="W3856" s="10">
        <f t="shared" si="100"/>
        <v>0</v>
      </c>
      <c r="AK3856" s="10" t="str">
        <f t="array" ref="AK3856">IFERROR(INDEX(SelectedSpecies,SMALL(IF(SelectedSpecies=AK$1,ROW(SelectedSpecies)),ROW(3857:3857)),2),"")</f>
        <v/>
      </c>
      <c r="BE3856" s="10"/>
      <c r="BI3856" s="10"/>
    </row>
    <row r="3857" spans="1:61" ht="21" customHeight="1" x14ac:dyDescent="0.25">
      <c r="A3857" s="10"/>
      <c r="B3857" s="10"/>
      <c r="E3857" s="10"/>
      <c r="G3857" s="10"/>
      <c r="I3857" s="436" t="s">
        <v>7202</v>
      </c>
      <c r="J3857" s="26" t="s">
        <v>7201</v>
      </c>
      <c r="K3857" s="10">
        <v>0.33</v>
      </c>
      <c r="L3857" s="73">
        <f>IF(Tank1!$C$23="No control",(SUMIF(Tank1!$B$32:$B$49,$J3857,Tank1!$C$32:$C$49)*Impacts!$F$8),0)</f>
        <v>0</v>
      </c>
      <c r="M3857" s="10">
        <f>IF(Tank2!$C$23="No control",(SUMIF(Tank2!$B$32:$B$49,$J3857,Tank2!$C$32:$C$49)*Impacts!$F$9),0)</f>
        <v>0</v>
      </c>
      <c r="N3857" s="10">
        <f>IF(Tank3!$C$23="No control",(SUMIF(Tank3!$B$32:$B$49,$J3857,Tank3!$C$32:$C$49)*Impacts!$F$10),0)</f>
        <v>0</v>
      </c>
      <c r="O3857" s="10">
        <f>IF(Tank4!$C$23="No control",(SUMIF(Tank4!$B$32:$B$49,$J3857,Tank4!$C$32:$C$49)*Impacts!$F$11),0)</f>
        <v>0</v>
      </c>
      <c r="P3857" s="10">
        <f>IF(Tank5!$C$23="No control",(SUMIF(Tank5!$B$32:$B$49,$J3857,Tank5!$C$32:$C$49)*Impacts!$F$12),0)</f>
        <v>0</v>
      </c>
      <c r="Q3857" s="10">
        <f>IFERROR(IF(('Loading-drum,tote'!$C$21)="No control",SUMIF(('Loading-drum,tote'!$B$31:$B$48),$J3857,('Loading-drum,tote'!$D$31:$D$48))*Impacts!$F$13,IF(('Loading-drum,tote'!$C$21)&lt;&gt;"No control",SUMIF(('Loading-drum,tote'!$B$31:$B$48),$J3857,('Loading-drum,tote'!$E$31:$E$48))*Impacts!$F$13,0)),0)</f>
        <v>0</v>
      </c>
      <c r="R3857" s="10">
        <f>IFERROR(IF(('Loading-truck'!$C$21)="No control",SUMIF(('Loading-truck'!$B$31:$B$48),$J3857,('Loading-truck'!$D$31:$D$48))*Impacts!$F$14,IF(('Loading-truck'!$C$21)&lt;&gt;"No control",SUMIF(('Loading-truck'!$B$31:$B$48),$J3857,('Loading-truck'!$E$31:$E$48))*Impacts!$F$14,0)),0)</f>
        <v>0</v>
      </c>
      <c r="S3857" s="10">
        <f>IFERROR(IF(('Loading-rail'!$C$21)="No control",SUMIF(('Loading-rail'!$B$31:$B$48),$J3857,('Loading-rail'!$D$31:$D$48))*Impacts!$F$15,IF(('Loading-rail'!$C$21)&lt;&gt;"No control",SUMIF(('Loading-rail'!$B$31:$B$48),$J3857,('Loading-rail'!$E$31:$E$48))*Impacts!$F$15,0)),0)</f>
        <v>0</v>
      </c>
      <c r="T3857" s="10">
        <f>IF(Flare!$C$7="",0,(SUMIF(Flare!$B$46:$B$185,$J3857,Flare!$E$46:$E$185)*Impacts!$F$16))</f>
        <v>0</v>
      </c>
      <c r="U3857" s="10">
        <f>IF(VCU!$C$9="",0,(SUMIF(VCU!$B$51:$B$193,$J3857,VCU!$E$51:$E$193)*Impacts!$F$17))</f>
        <v>0</v>
      </c>
      <c r="V3857" s="10">
        <f>IF(CAS!$C$7="",0,(SUMIF(CAS!$B$31:$B$167,$J3857,CAS!$E$31:$E$167)*Impacts!$F$18))</f>
        <v>0</v>
      </c>
      <c r="W3857" s="10">
        <f t="shared" si="100"/>
        <v>0</v>
      </c>
      <c r="AK3857" s="10" t="str">
        <f t="array" ref="AK3857">IFERROR(INDEX(SelectedSpecies,SMALL(IF(SelectedSpecies=AK$1,ROW(SelectedSpecies)),ROW(3858:3858)),2),"")</f>
        <v/>
      </c>
      <c r="BE3857" s="10"/>
      <c r="BI3857" s="10"/>
    </row>
    <row r="3858" spans="1:61" ht="21" customHeight="1" x14ac:dyDescent="0.25">
      <c r="A3858" s="10"/>
      <c r="B3858" s="10"/>
      <c r="E3858" s="10"/>
      <c r="G3858" s="10"/>
      <c r="I3858" s="436" t="s">
        <v>1640</v>
      </c>
      <c r="J3858" s="26" t="s">
        <v>1639</v>
      </c>
      <c r="K3858" s="10">
        <v>25</v>
      </c>
      <c r="L3858" s="73">
        <f>IF(Tank1!$C$23="No control",(SUMIF(Tank1!$B$32:$B$49,$J3858,Tank1!$C$32:$C$49)*Impacts!$F$8),0)</f>
        <v>0</v>
      </c>
      <c r="M3858" s="10">
        <f>IF(Tank2!$C$23="No control",(SUMIF(Tank2!$B$32:$B$49,$J3858,Tank2!$C$32:$C$49)*Impacts!$F$9),0)</f>
        <v>0</v>
      </c>
      <c r="N3858" s="10">
        <f>IF(Tank3!$C$23="No control",(SUMIF(Tank3!$B$32:$B$49,$J3858,Tank3!$C$32:$C$49)*Impacts!$F$10),0)</f>
        <v>0</v>
      </c>
      <c r="O3858" s="10">
        <f>IF(Tank4!$C$23="No control",(SUMIF(Tank4!$B$32:$B$49,$J3858,Tank4!$C$32:$C$49)*Impacts!$F$11),0)</f>
        <v>0</v>
      </c>
      <c r="P3858" s="10">
        <f>IF(Tank5!$C$23="No control",(SUMIF(Tank5!$B$32:$B$49,$J3858,Tank5!$C$32:$C$49)*Impacts!$F$12),0)</f>
        <v>0</v>
      </c>
      <c r="Q3858" s="10">
        <f>IFERROR(IF(('Loading-drum,tote'!$C$21)="No control",SUMIF(('Loading-drum,tote'!$B$31:$B$48),$J3858,('Loading-drum,tote'!$D$31:$D$48))*Impacts!$F$13,IF(('Loading-drum,tote'!$C$21)&lt;&gt;"No control",SUMIF(('Loading-drum,tote'!$B$31:$B$48),$J3858,('Loading-drum,tote'!$E$31:$E$48))*Impacts!$F$13,0)),0)</f>
        <v>0</v>
      </c>
      <c r="R3858" s="10">
        <f>IFERROR(IF(('Loading-truck'!$C$21)="No control",SUMIF(('Loading-truck'!$B$31:$B$48),$J3858,('Loading-truck'!$D$31:$D$48))*Impacts!$F$14,IF(('Loading-truck'!$C$21)&lt;&gt;"No control",SUMIF(('Loading-truck'!$B$31:$B$48),$J3858,('Loading-truck'!$E$31:$E$48))*Impacts!$F$14,0)),0)</f>
        <v>0</v>
      </c>
      <c r="S3858" s="10">
        <f>IFERROR(IF(('Loading-rail'!$C$21)="No control",SUMIF(('Loading-rail'!$B$31:$B$48),$J3858,('Loading-rail'!$D$31:$D$48))*Impacts!$F$15,IF(('Loading-rail'!$C$21)&lt;&gt;"No control",SUMIF(('Loading-rail'!$B$31:$B$48),$J3858,('Loading-rail'!$E$31:$E$48))*Impacts!$F$15,0)),0)</f>
        <v>0</v>
      </c>
      <c r="T3858" s="10">
        <f>IF(Flare!$C$7="",0,(SUMIF(Flare!$B$46:$B$185,$J3858,Flare!$E$46:$E$185)*Impacts!$F$16))</f>
        <v>0</v>
      </c>
      <c r="U3858" s="10">
        <f>IF(VCU!$C$9="",0,(SUMIF(VCU!$B$51:$B$193,$J3858,VCU!$E$51:$E$193)*Impacts!$F$17))</f>
        <v>0</v>
      </c>
      <c r="V3858" s="10">
        <f>IF(CAS!$C$7="",0,(SUMIF(CAS!$B$31:$B$167,$J3858,CAS!$E$31:$E$167)*Impacts!$F$18))</f>
        <v>0</v>
      </c>
      <c r="W3858" s="10">
        <f t="shared" si="100"/>
        <v>0</v>
      </c>
      <c r="AK3858" s="10" t="str">
        <f t="array" ref="AK3858">IFERROR(INDEX(SelectedSpecies,SMALL(IF(SelectedSpecies=AK$1,ROW(SelectedSpecies)),ROW(3859:3859)),2),"")</f>
        <v/>
      </c>
      <c r="BE3858" s="10"/>
      <c r="BI3858" s="10"/>
    </row>
    <row r="3859" spans="1:61" ht="21" customHeight="1" x14ac:dyDescent="0.25">
      <c r="A3859" s="10"/>
      <c r="B3859" s="10"/>
      <c r="E3859" s="10"/>
      <c r="G3859" s="10"/>
      <c r="I3859" s="436" t="s">
        <v>10477</v>
      </c>
      <c r="J3859" s="26" t="s">
        <v>10478</v>
      </c>
      <c r="K3859" s="10">
        <v>10</v>
      </c>
      <c r="L3859" s="73">
        <f>IF(Tank1!$C$23="No control",(SUMIF(Tank1!$B$32:$B$49,$J3859,Tank1!$C$32:$C$49)*Impacts!$F$8),0)</f>
        <v>0</v>
      </c>
      <c r="M3859" s="10">
        <f>IF(Tank2!$C$23="No control",(SUMIF(Tank2!$B$32:$B$49,$J3859,Tank2!$C$32:$C$49)*Impacts!$F$9),0)</f>
        <v>0</v>
      </c>
      <c r="N3859" s="10">
        <f>IF(Tank3!$C$23="No control",(SUMIF(Tank3!$B$32:$B$49,$J3859,Tank3!$C$32:$C$49)*Impacts!$F$10),0)</f>
        <v>0</v>
      </c>
      <c r="O3859" s="10">
        <f>IF(Tank4!$C$23="No control",(SUMIF(Tank4!$B$32:$B$49,$J3859,Tank4!$C$32:$C$49)*Impacts!$F$11),0)</f>
        <v>0</v>
      </c>
      <c r="P3859" s="10">
        <f>IF(Tank5!$C$23="No control",(SUMIF(Tank5!$B$32:$B$49,$J3859,Tank5!$C$32:$C$49)*Impacts!$F$12),0)</f>
        <v>0</v>
      </c>
      <c r="Q3859" s="10">
        <f>IFERROR(IF(('Loading-drum,tote'!$C$21)="No control",SUMIF(('Loading-drum,tote'!$B$31:$B$48),$J3859,('Loading-drum,tote'!$D$31:$D$48))*Impacts!$F$13,IF(('Loading-drum,tote'!$C$21)&lt;&gt;"No control",SUMIF(('Loading-drum,tote'!$B$31:$B$48),$J3859,('Loading-drum,tote'!$E$31:$E$48))*Impacts!$F$13,0)),0)</f>
        <v>0</v>
      </c>
      <c r="R3859" s="10">
        <f>IFERROR(IF(('Loading-truck'!$C$21)="No control",SUMIF(('Loading-truck'!$B$31:$B$48),$J3859,('Loading-truck'!$D$31:$D$48))*Impacts!$F$14,IF(('Loading-truck'!$C$21)&lt;&gt;"No control",SUMIF(('Loading-truck'!$B$31:$B$48),$J3859,('Loading-truck'!$E$31:$E$48))*Impacts!$F$14,0)),0)</f>
        <v>0</v>
      </c>
      <c r="S3859" s="10">
        <f>IFERROR(IF(('Loading-rail'!$C$21)="No control",SUMIF(('Loading-rail'!$B$31:$B$48),$J3859,('Loading-rail'!$D$31:$D$48))*Impacts!$F$15,IF(('Loading-rail'!$C$21)&lt;&gt;"No control",SUMIF(('Loading-rail'!$B$31:$B$48),$J3859,('Loading-rail'!$E$31:$E$48))*Impacts!$F$15,0)),0)</f>
        <v>0</v>
      </c>
      <c r="T3859" s="10">
        <f>IF(Flare!$C$7="",0,(SUMIF(Flare!$B$46:$B$185,$J3859,Flare!$E$46:$E$185)*Impacts!$F$16))</f>
        <v>0</v>
      </c>
      <c r="U3859" s="10">
        <f>IF(VCU!$C$9="",0,(SUMIF(VCU!$B$51:$B$193,$J3859,VCU!$E$51:$E$193)*Impacts!$F$17))</f>
        <v>0</v>
      </c>
      <c r="V3859" s="10">
        <f>IF(CAS!$C$7="",0,(SUMIF(CAS!$B$31:$B$167,$J3859,CAS!$E$31:$E$167)*Impacts!$F$18))</f>
        <v>0</v>
      </c>
      <c r="W3859" s="10">
        <f t="shared" si="100"/>
        <v>0</v>
      </c>
      <c r="AK3859" s="10" t="str">
        <f t="array" ref="AK3859">IFERROR(INDEX(SelectedSpecies,SMALL(IF(SelectedSpecies=AK$1,ROW(SelectedSpecies)),ROW(3860:3860)),2),"")</f>
        <v/>
      </c>
      <c r="BE3859" s="10"/>
      <c r="BI3859" s="10"/>
    </row>
    <row r="3860" spans="1:61" ht="21" customHeight="1" x14ac:dyDescent="0.25">
      <c r="A3860" s="10"/>
      <c r="B3860" s="10"/>
      <c r="E3860" s="10"/>
      <c r="G3860" s="10"/>
      <c r="I3860" s="436" t="s">
        <v>7204</v>
      </c>
      <c r="J3860" s="26" t="s">
        <v>7203</v>
      </c>
      <c r="K3860" s="10">
        <v>0.33</v>
      </c>
      <c r="L3860" s="73">
        <f>IF(Tank1!$C$23="No control",(SUMIF(Tank1!$B$32:$B$49,$J3860,Tank1!$C$32:$C$49)*Impacts!$F$8),0)</f>
        <v>0</v>
      </c>
      <c r="M3860" s="10">
        <f>IF(Tank2!$C$23="No control",(SUMIF(Tank2!$B$32:$B$49,$J3860,Tank2!$C$32:$C$49)*Impacts!$F$9),0)</f>
        <v>0</v>
      </c>
      <c r="N3860" s="10">
        <f>IF(Tank3!$C$23="No control",(SUMIF(Tank3!$B$32:$B$49,$J3860,Tank3!$C$32:$C$49)*Impacts!$F$10),0)</f>
        <v>0</v>
      </c>
      <c r="O3860" s="10">
        <f>IF(Tank4!$C$23="No control",(SUMIF(Tank4!$B$32:$B$49,$J3860,Tank4!$C$32:$C$49)*Impacts!$F$11),0)</f>
        <v>0</v>
      </c>
      <c r="P3860" s="10">
        <f>IF(Tank5!$C$23="No control",(SUMIF(Tank5!$B$32:$B$49,$J3860,Tank5!$C$32:$C$49)*Impacts!$F$12),0)</f>
        <v>0</v>
      </c>
      <c r="Q3860" s="10">
        <f>IFERROR(IF(('Loading-drum,tote'!$C$21)="No control",SUMIF(('Loading-drum,tote'!$B$31:$B$48),$J3860,('Loading-drum,tote'!$D$31:$D$48))*Impacts!$F$13,IF(('Loading-drum,tote'!$C$21)&lt;&gt;"No control",SUMIF(('Loading-drum,tote'!$B$31:$B$48),$J3860,('Loading-drum,tote'!$E$31:$E$48))*Impacts!$F$13,0)),0)</f>
        <v>0</v>
      </c>
      <c r="R3860" s="10">
        <f>IFERROR(IF(('Loading-truck'!$C$21)="No control",SUMIF(('Loading-truck'!$B$31:$B$48),$J3860,('Loading-truck'!$D$31:$D$48))*Impacts!$F$14,IF(('Loading-truck'!$C$21)&lt;&gt;"No control",SUMIF(('Loading-truck'!$B$31:$B$48),$J3860,('Loading-truck'!$E$31:$E$48))*Impacts!$F$14,0)),0)</f>
        <v>0</v>
      </c>
      <c r="S3860" s="10">
        <f>IFERROR(IF(('Loading-rail'!$C$21)="No control",SUMIF(('Loading-rail'!$B$31:$B$48),$J3860,('Loading-rail'!$D$31:$D$48))*Impacts!$F$15,IF(('Loading-rail'!$C$21)&lt;&gt;"No control",SUMIF(('Loading-rail'!$B$31:$B$48),$J3860,('Loading-rail'!$E$31:$E$48))*Impacts!$F$15,0)),0)</f>
        <v>0</v>
      </c>
      <c r="T3860" s="10">
        <f>IF(Flare!$C$7="",0,(SUMIF(Flare!$B$46:$B$185,$J3860,Flare!$E$46:$E$185)*Impacts!$F$16))</f>
        <v>0</v>
      </c>
      <c r="U3860" s="10">
        <f>IF(VCU!$C$9="",0,(SUMIF(VCU!$B$51:$B$193,$J3860,VCU!$E$51:$E$193)*Impacts!$F$17))</f>
        <v>0</v>
      </c>
      <c r="V3860" s="10">
        <f>IF(CAS!$C$7="",0,(SUMIF(CAS!$B$31:$B$167,$J3860,CAS!$E$31:$E$167)*Impacts!$F$18))</f>
        <v>0</v>
      </c>
      <c r="W3860" s="10">
        <f t="shared" si="100"/>
        <v>0</v>
      </c>
      <c r="AK3860" s="10" t="str">
        <f t="array" ref="AK3860">IFERROR(INDEX(SelectedSpecies,SMALL(IF(SelectedSpecies=AK$1,ROW(SelectedSpecies)),ROW(3861:3861)),2),"")</f>
        <v/>
      </c>
      <c r="BE3860" s="10"/>
      <c r="BI3860" s="10"/>
    </row>
    <row r="3861" spans="1:61" ht="21" customHeight="1" x14ac:dyDescent="0.25">
      <c r="A3861" s="10"/>
      <c r="B3861" s="10"/>
      <c r="E3861" s="10"/>
      <c r="G3861" s="10"/>
      <c r="I3861" s="436" t="s">
        <v>5039</v>
      </c>
      <c r="J3861" s="26" t="s">
        <v>5038</v>
      </c>
      <c r="K3861" s="10">
        <v>2.4000000000000004</v>
      </c>
      <c r="L3861" s="73">
        <f>IF(Tank1!$C$23="No control",(SUMIF(Tank1!$B$32:$B$49,$J3861,Tank1!$C$32:$C$49)*Impacts!$F$8),0)</f>
        <v>0</v>
      </c>
      <c r="M3861" s="10">
        <f>IF(Tank2!$C$23="No control",(SUMIF(Tank2!$B$32:$B$49,$J3861,Tank2!$C$32:$C$49)*Impacts!$F$9),0)</f>
        <v>0</v>
      </c>
      <c r="N3861" s="10">
        <f>IF(Tank3!$C$23="No control",(SUMIF(Tank3!$B$32:$B$49,$J3861,Tank3!$C$32:$C$49)*Impacts!$F$10),0)</f>
        <v>0</v>
      </c>
      <c r="O3861" s="10">
        <f>IF(Tank4!$C$23="No control",(SUMIF(Tank4!$B$32:$B$49,$J3861,Tank4!$C$32:$C$49)*Impacts!$F$11),0)</f>
        <v>0</v>
      </c>
      <c r="P3861" s="10">
        <f>IF(Tank5!$C$23="No control",(SUMIF(Tank5!$B$32:$B$49,$J3861,Tank5!$C$32:$C$49)*Impacts!$F$12),0)</f>
        <v>0</v>
      </c>
      <c r="Q3861" s="10">
        <f>IFERROR(IF(('Loading-drum,tote'!$C$21)="No control",SUMIF(('Loading-drum,tote'!$B$31:$B$48),$J3861,('Loading-drum,tote'!$D$31:$D$48))*Impacts!$F$13,IF(('Loading-drum,tote'!$C$21)&lt;&gt;"No control",SUMIF(('Loading-drum,tote'!$B$31:$B$48),$J3861,('Loading-drum,tote'!$E$31:$E$48))*Impacts!$F$13,0)),0)</f>
        <v>0</v>
      </c>
      <c r="R3861" s="10">
        <f>IFERROR(IF(('Loading-truck'!$C$21)="No control",SUMIF(('Loading-truck'!$B$31:$B$48),$J3861,('Loading-truck'!$D$31:$D$48))*Impacts!$F$14,IF(('Loading-truck'!$C$21)&lt;&gt;"No control",SUMIF(('Loading-truck'!$B$31:$B$48),$J3861,('Loading-truck'!$E$31:$E$48))*Impacts!$F$14,0)),0)</f>
        <v>0</v>
      </c>
      <c r="S3861" s="10">
        <f>IFERROR(IF(('Loading-rail'!$C$21)="No control",SUMIF(('Loading-rail'!$B$31:$B$48),$J3861,('Loading-rail'!$D$31:$D$48))*Impacts!$F$15,IF(('Loading-rail'!$C$21)&lt;&gt;"No control",SUMIF(('Loading-rail'!$B$31:$B$48),$J3861,('Loading-rail'!$E$31:$E$48))*Impacts!$F$15,0)),0)</f>
        <v>0</v>
      </c>
      <c r="T3861" s="10">
        <f>IF(Flare!$C$7="",0,(SUMIF(Flare!$B$46:$B$185,$J3861,Flare!$E$46:$E$185)*Impacts!$F$16))</f>
        <v>0</v>
      </c>
      <c r="U3861" s="10">
        <f>IF(VCU!$C$9="",0,(SUMIF(VCU!$B$51:$B$193,$J3861,VCU!$E$51:$E$193)*Impacts!$F$17))</f>
        <v>0</v>
      </c>
      <c r="V3861" s="10">
        <f>IF(CAS!$C$7="",0,(SUMIF(CAS!$B$31:$B$167,$J3861,CAS!$E$31:$E$167)*Impacts!$F$18))</f>
        <v>0</v>
      </c>
      <c r="W3861" s="10">
        <f t="shared" si="100"/>
        <v>0</v>
      </c>
      <c r="AK3861" s="10" t="str">
        <f t="array" ref="AK3861">IFERROR(INDEX(SelectedSpecies,SMALL(IF(SelectedSpecies=AK$1,ROW(SelectedSpecies)),ROW(3862:3862)),2),"")</f>
        <v/>
      </c>
      <c r="BE3861" s="10"/>
      <c r="BI3861" s="10"/>
    </row>
    <row r="3862" spans="1:61" ht="21" customHeight="1" x14ac:dyDescent="0.25">
      <c r="A3862" s="10"/>
      <c r="B3862" s="10"/>
      <c r="E3862" s="10"/>
      <c r="G3862" s="10"/>
      <c r="I3862" s="436" t="s">
        <v>5041</v>
      </c>
      <c r="J3862" s="26" t="s">
        <v>5040</v>
      </c>
      <c r="K3862" s="10">
        <v>2.4000000000000004</v>
      </c>
      <c r="L3862" s="73">
        <f>IF(Tank1!$C$23="No control",(SUMIF(Tank1!$B$32:$B$49,$J3862,Tank1!$C$32:$C$49)*Impacts!$F$8),0)</f>
        <v>0</v>
      </c>
      <c r="M3862" s="10">
        <f>IF(Tank2!$C$23="No control",(SUMIF(Tank2!$B$32:$B$49,$J3862,Tank2!$C$32:$C$49)*Impacts!$F$9),0)</f>
        <v>0</v>
      </c>
      <c r="N3862" s="10">
        <f>IF(Tank3!$C$23="No control",(SUMIF(Tank3!$B$32:$B$49,$J3862,Tank3!$C$32:$C$49)*Impacts!$F$10),0)</f>
        <v>0</v>
      </c>
      <c r="O3862" s="10">
        <f>IF(Tank4!$C$23="No control",(SUMIF(Tank4!$B$32:$B$49,$J3862,Tank4!$C$32:$C$49)*Impacts!$F$11),0)</f>
        <v>0</v>
      </c>
      <c r="P3862" s="10">
        <f>IF(Tank5!$C$23="No control",(SUMIF(Tank5!$B$32:$B$49,$J3862,Tank5!$C$32:$C$49)*Impacts!$F$12),0)</f>
        <v>0</v>
      </c>
      <c r="Q3862" s="10">
        <f>IFERROR(IF(('Loading-drum,tote'!$C$21)="No control",SUMIF(('Loading-drum,tote'!$B$31:$B$48),$J3862,('Loading-drum,tote'!$D$31:$D$48))*Impacts!$F$13,IF(('Loading-drum,tote'!$C$21)&lt;&gt;"No control",SUMIF(('Loading-drum,tote'!$B$31:$B$48),$J3862,('Loading-drum,tote'!$E$31:$E$48))*Impacts!$F$13,0)),0)</f>
        <v>0</v>
      </c>
      <c r="R3862" s="10">
        <f>IFERROR(IF(('Loading-truck'!$C$21)="No control",SUMIF(('Loading-truck'!$B$31:$B$48),$J3862,('Loading-truck'!$D$31:$D$48))*Impacts!$F$14,IF(('Loading-truck'!$C$21)&lt;&gt;"No control",SUMIF(('Loading-truck'!$B$31:$B$48),$J3862,('Loading-truck'!$E$31:$E$48))*Impacts!$F$14,0)),0)</f>
        <v>0</v>
      </c>
      <c r="S3862" s="10">
        <f>IFERROR(IF(('Loading-rail'!$C$21)="No control",SUMIF(('Loading-rail'!$B$31:$B$48),$J3862,('Loading-rail'!$D$31:$D$48))*Impacts!$F$15,IF(('Loading-rail'!$C$21)&lt;&gt;"No control",SUMIF(('Loading-rail'!$B$31:$B$48),$J3862,('Loading-rail'!$E$31:$E$48))*Impacts!$F$15,0)),0)</f>
        <v>0</v>
      </c>
      <c r="T3862" s="10">
        <f>IF(Flare!$C$7="",0,(SUMIF(Flare!$B$46:$B$185,$J3862,Flare!$E$46:$E$185)*Impacts!$F$16))</f>
        <v>0</v>
      </c>
      <c r="U3862" s="10">
        <f>IF(VCU!$C$9="",0,(SUMIF(VCU!$B$51:$B$193,$J3862,VCU!$E$51:$E$193)*Impacts!$F$17))</f>
        <v>0</v>
      </c>
      <c r="V3862" s="10">
        <f>IF(CAS!$C$7="",0,(SUMIF(CAS!$B$31:$B$167,$J3862,CAS!$E$31:$E$167)*Impacts!$F$18))</f>
        <v>0</v>
      </c>
      <c r="W3862" s="10">
        <f t="shared" si="100"/>
        <v>0</v>
      </c>
      <c r="AK3862" s="10" t="str">
        <f t="array" ref="AK3862">IFERROR(INDEX(SelectedSpecies,SMALL(IF(SelectedSpecies=AK$1,ROW(SelectedSpecies)),ROW(3863:3863)),2),"")</f>
        <v/>
      </c>
      <c r="BE3862" s="10"/>
      <c r="BI3862" s="10"/>
    </row>
    <row r="3863" spans="1:61" ht="21" customHeight="1" x14ac:dyDescent="0.25">
      <c r="A3863" s="10"/>
      <c r="B3863" s="10"/>
      <c r="E3863" s="10"/>
      <c r="G3863" s="10"/>
      <c r="I3863" s="436" t="s">
        <v>6338</v>
      </c>
      <c r="J3863" s="26" t="s">
        <v>6337</v>
      </c>
      <c r="K3863" s="10">
        <v>0.9</v>
      </c>
      <c r="L3863" s="73">
        <f>IF(Tank1!$C$23="No control",(SUMIF(Tank1!$B$32:$B$49,$J3863,Tank1!$C$32:$C$49)*Impacts!$F$8),0)</f>
        <v>0</v>
      </c>
      <c r="M3863" s="10">
        <f>IF(Tank2!$C$23="No control",(SUMIF(Tank2!$B$32:$B$49,$J3863,Tank2!$C$32:$C$49)*Impacts!$F$9),0)</f>
        <v>0</v>
      </c>
      <c r="N3863" s="10">
        <f>IF(Tank3!$C$23="No control",(SUMIF(Tank3!$B$32:$B$49,$J3863,Tank3!$C$32:$C$49)*Impacts!$F$10),0)</f>
        <v>0</v>
      </c>
      <c r="O3863" s="10">
        <f>IF(Tank4!$C$23="No control",(SUMIF(Tank4!$B$32:$B$49,$J3863,Tank4!$C$32:$C$49)*Impacts!$F$11),0)</f>
        <v>0</v>
      </c>
      <c r="P3863" s="10">
        <f>IF(Tank5!$C$23="No control",(SUMIF(Tank5!$B$32:$B$49,$J3863,Tank5!$C$32:$C$49)*Impacts!$F$12),0)</f>
        <v>0</v>
      </c>
      <c r="Q3863" s="10">
        <f>IFERROR(IF(('Loading-drum,tote'!$C$21)="No control",SUMIF(('Loading-drum,tote'!$B$31:$B$48),$J3863,('Loading-drum,tote'!$D$31:$D$48))*Impacts!$F$13,IF(('Loading-drum,tote'!$C$21)&lt;&gt;"No control",SUMIF(('Loading-drum,tote'!$B$31:$B$48),$J3863,('Loading-drum,tote'!$E$31:$E$48))*Impacts!$F$13,0)),0)</f>
        <v>0</v>
      </c>
      <c r="R3863" s="10">
        <f>IFERROR(IF(('Loading-truck'!$C$21)="No control",SUMIF(('Loading-truck'!$B$31:$B$48),$J3863,('Loading-truck'!$D$31:$D$48))*Impacts!$F$14,IF(('Loading-truck'!$C$21)&lt;&gt;"No control",SUMIF(('Loading-truck'!$B$31:$B$48),$J3863,('Loading-truck'!$E$31:$E$48))*Impacts!$F$14,0)),0)</f>
        <v>0</v>
      </c>
      <c r="S3863" s="10">
        <f>IFERROR(IF(('Loading-rail'!$C$21)="No control",SUMIF(('Loading-rail'!$B$31:$B$48),$J3863,('Loading-rail'!$D$31:$D$48))*Impacts!$F$15,IF(('Loading-rail'!$C$21)&lt;&gt;"No control",SUMIF(('Loading-rail'!$B$31:$B$48),$J3863,('Loading-rail'!$E$31:$E$48))*Impacts!$F$15,0)),0)</f>
        <v>0</v>
      </c>
      <c r="T3863" s="10">
        <f>IF(Flare!$C$7="",0,(SUMIF(Flare!$B$46:$B$185,$J3863,Flare!$E$46:$E$185)*Impacts!$F$16))</f>
        <v>0</v>
      </c>
      <c r="U3863" s="10">
        <f>IF(VCU!$C$9="",0,(SUMIF(VCU!$B$51:$B$193,$J3863,VCU!$E$51:$E$193)*Impacts!$F$17))</f>
        <v>0</v>
      </c>
      <c r="V3863" s="10">
        <f>IF(CAS!$C$7="",0,(SUMIF(CAS!$B$31:$B$167,$J3863,CAS!$E$31:$E$167)*Impacts!$F$18))</f>
        <v>0</v>
      </c>
      <c r="W3863" s="10">
        <f t="shared" si="100"/>
        <v>0</v>
      </c>
      <c r="AK3863" s="10" t="str">
        <f t="array" ref="AK3863">IFERROR(INDEX(SelectedSpecies,SMALL(IF(SelectedSpecies=AK$1,ROW(SelectedSpecies)),ROW(3864:3864)),2),"")</f>
        <v/>
      </c>
      <c r="BE3863" s="10"/>
      <c r="BI3863" s="10"/>
    </row>
    <row r="3864" spans="1:61" ht="21" customHeight="1" x14ac:dyDescent="0.25">
      <c r="A3864" s="10"/>
      <c r="B3864" s="10"/>
      <c r="E3864" s="10"/>
      <c r="G3864" s="10"/>
      <c r="I3864" s="436" t="s">
        <v>6242</v>
      </c>
      <c r="J3864" s="26" t="s">
        <v>6241</v>
      </c>
      <c r="K3864" s="10">
        <v>1</v>
      </c>
      <c r="L3864" s="73">
        <f>IF(Tank1!$C$23="No control",(SUMIF(Tank1!$B$32:$B$49,$J3864,Tank1!$C$32:$C$49)*Impacts!$F$8),0)</f>
        <v>0</v>
      </c>
      <c r="M3864" s="10">
        <f>IF(Tank2!$C$23="No control",(SUMIF(Tank2!$B$32:$B$49,$J3864,Tank2!$C$32:$C$49)*Impacts!$F$9),0)</f>
        <v>0</v>
      </c>
      <c r="N3864" s="10">
        <f>IF(Tank3!$C$23="No control",(SUMIF(Tank3!$B$32:$B$49,$J3864,Tank3!$C$32:$C$49)*Impacts!$F$10),0)</f>
        <v>0</v>
      </c>
      <c r="O3864" s="10">
        <f>IF(Tank4!$C$23="No control",(SUMIF(Tank4!$B$32:$B$49,$J3864,Tank4!$C$32:$C$49)*Impacts!$F$11),0)</f>
        <v>0</v>
      </c>
      <c r="P3864" s="10">
        <f>IF(Tank5!$C$23="No control",(SUMIF(Tank5!$B$32:$B$49,$J3864,Tank5!$C$32:$C$49)*Impacts!$F$12),0)</f>
        <v>0</v>
      </c>
      <c r="Q3864" s="10">
        <f>IFERROR(IF(('Loading-drum,tote'!$C$21)="No control",SUMIF(('Loading-drum,tote'!$B$31:$B$48),$J3864,('Loading-drum,tote'!$D$31:$D$48))*Impacts!$F$13,IF(('Loading-drum,tote'!$C$21)&lt;&gt;"No control",SUMIF(('Loading-drum,tote'!$B$31:$B$48),$J3864,('Loading-drum,tote'!$E$31:$E$48))*Impacts!$F$13,0)),0)</f>
        <v>0</v>
      </c>
      <c r="R3864" s="10">
        <f>IFERROR(IF(('Loading-truck'!$C$21)="No control",SUMIF(('Loading-truck'!$B$31:$B$48),$J3864,('Loading-truck'!$D$31:$D$48))*Impacts!$F$14,IF(('Loading-truck'!$C$21)&lt;&gt;"No control",SUMIF(('Loading-truck'!$B$31:$B$48),$J3864,('Loading-truck'!$E$31:$E$48))*Impacts!$F$14,0)),0)</f>
        <v>0</v>
      </c>
      <c r="S3864" s="10">
        <f>IFERROR(IF(('Loading-rail'!$C$21)="No control",SUMIF(('Loading-rail'!$B$31:$B$48),$J3864,('Loading-rail'!$D$31:$D$48))*Impacts!$F$15,IF(('Loading-rail'!$C$21)&lt;&gt;"No control",SUMIF(('Loading-rail'!$B$31:$B$48),$J3864,('Loading-rail'!$E$31:$E$48))*Impacts!$F$15,0)),0)</f>
        <v>0</v>
      </c>
      <c r="T3864" s="10">
        <f>IF(Flare!$C$7="",0,(SUMIF(Flare!$B$46:$B$185,$J3864,Flare!$E$46:$E$185)*Impacts!$F$16))</f>
        <v>0</v>
      </c>
      <c r="U3864" s="10">
        <f>IF(VCU!$C$9="",0,(SUMIF(VCU!$B$51:$B$193,$J3864,VCU!$E$51:$E$193)*Impacts!$F$17))</f>
        <v>0</v>
      </c>
      <c r="V3864" s="10">
        <f>IF(CAS!$C$7="",0,(SUMIF(CAS!$B$31:$B$167,$J3864,CAS!$E$31:$E$167)*Impacts!$F$18))</f>
        <v>0</v>
      </c>
      <c r="W3864" s="10">
        <f t="shared" si="100"/>
        <v>0</v>
      </c>
      <c r="AK3864" s="10" t="str">
        <f t="array" ref="AK3864">IFERROR(INDEX(SelectedSpecies,SMALL(IF(SelectedSpecies=AK$1,ROW(SelectedSpecies)),ROW(3865:3865)),2),"")</f>
        <v/>
      </c>
      <c r="BE3864" s="10"/>
      <c r="BI3864" s="10"/>
    </row>
    <row r="3865" spans="1:61" ht="21" customHeight="1" x14ac:dyDescent="0.25">
      <c r="A3865" s="10"/>
      <c r="B3865" s="10"/>
      <c r="E3865" s="10"/>
      <c r="G3865" s="10"/>
      <c r="I3865" s="436" t="s">
        <v>3397</v>
      </c>
      <c r="J3865" s="26" t="s">
        <v>3396</v>
      </c>
      <c r="K3865" s="10">
        <v>10</v>
      </c>
      <c r="L3865" s="73">
        <f>IF(Tank1!$C$23="No control",(SUMIF(Tank1!$B$32:$B$49,$J3865,Tank1!$C$32:$C$49)*Impacts!$F$8),0)</f>
        <v>0</v>
      </c>
      <c r="M3865" s="10">
        <f>IF(Tank2!$C$23="No control",(SUMIF(Tank2!$B$32:$B$49,$J3865,Tank2!$C$32:$C$49)*Impacts!$F$9),0)</f>
        <v>0</v>
      </c>
      <c r="N3865" s="10">
        <f>IF(Tank3!$C$23="No control",(SUMIF(Tank3!$B$32:$B$49,$J3865,Tank3!$C$32:$C$49)*Impacts!$F$10),0)</f>
        <v>0</v>
      </c>
      <c r="O3865" s="10">
        <f>IF(Tank4!$C$23="No control",(SUMIF(Tank4!$B$32:$B$49,$J3865,Tank4!$C$32:$C$49)*Impacts!$F$11),0)</f>
        <v>0</v>
      </c>
      <c r="P3865" s="10">
        <f>IF(Tank5!$C$23="No control",(SUMIF(Tank5!$B$32:$B$49,$J3865,Tank5!$C$32:$C$49)*Impacts!$F$12),0)</f>
        <v>0</v>
      </c>
      <c r="Q3865" s="10">
        <f>IFERROR(IF(('Loading-drum,tote'!$C$21)="No control",SUMIF(('Loading-drum,tote'!$B$31:$B$48),$J3865,('Loading-drum,tote'!$D$31:$D$48))*Impacts!$F$13,IF(('Loading-drum,tote'!$C$21)&lt;&gt;"No control",SUMIF(('Loading-drum,tote'!$B$31:$B$48),$J3865,('Loading-drum,tote'!$E$31:$E$48))*Impacts!$F$13,0)),0)</f>
        <v>0</v>
      </c>
      <c r="R3865" s="10">
        <f>IFERROR(IF(('Loading-truck'!$C$21)="No control",SUMIF(('Loading-truck'!$B$31:$B$48),$J3865,('Loading-truck'!$D$31:$D$48))*Impacts!$F$14,IF(('Loading-truck'!$C$21)&lt;&gt;"No control",SUMIF(('Loading-truck'!$B$31:$B$48),$J3865,('Loading-truck'!$E$31:$E$48))*Impacts!$F$14,0)),0)</f>
        <v>0</v>
      </c>
      <c r="S3865" s="10">
        <f>IFERROR(IF(('Loading-rail'!$C$21)="No control",SUMIF(('Loading-rail'!$B$31:$B$48),$J3865,('Loading-rail'!$D$31:$D$48))*Impacts!$F$15,IF(('Loading-rail'!$C$21)&lt;&gt;"No control",SUMIF(('Loading-rail'!$B$31:$B$48),$J3865,('Loading-rail'!$E$31:$E$48))*Impacts!$F$15,0)),0)</f>
        <v>0</v>
      </c>
      <c r="T3865" s="10">
        <f>IF(Flare!$C$7="",0,(SUMIF(Flare!$B$46:$B$185,$J3865,Flare!$E$46:$E$185)*Impacts!$F$16))</f>
        <v>0</v>
      </c>
      <c r="U3865" s="10">
        <f>IF(VCU!$C$9="",0,(SUMIF(VCU!$B$51:$B$193,$J3865,VCU!$E$51:$E$193)*Impacts!$F$17))</f>
        <v>0</v>
      </c>
      <c r="V3865" s="10">
        <f>IF(CAS!$C$7="",0,(SUMIF(CAS!$B$31:$B$167,$J3865,CAS!$E$31:$E$167)*Impacts!$F$18))</f>
        <v>0</v>
      </c>
      <c r="W3865" s="10">
        <f t="shared" si="100"/>
        <v>0</v>
      </c>
      <c r="AK3865" s="10" t="str">
        <f t="array" ref="AK3865">IFERROR(INDEX(SelectedSpecies,SMALL(IF(SelectedSpecies=AK$1,ROW(SelectedSpecies)),ROW(3866:3866)),2),"")</f>
        <v/>
      </c>
      <c r="BE3865" s="10"/>
      <c r="BI3865" s="10"/>
    </row>
    <row r="3866" spans="1:61" ht="21" customHeight="1" x14ac:dyDescent="0.25">
      <c r="A3866" s="10"/>
      <c r="B3866" s="10"/>
      <c r="E3866" s="10"/>
      <c r="G3866" s="10"/>
      <c r="I3866" s="436" t="s">
        <v>4043</v>
      </c>
      <c r="J3866" s="26" t="s">
        <v>4042</v>
      </c>
      <c r="K3866" s="10">
        <v>6</v>
      </c>
      <c r="L3866" s="73">
        <f>IF(Tank1!$C$23="No control",(SUMIF(Tank1!$B$32:$B$49,$J3866,Tank1!$C$32:$C$49)*Impacts!$F$8),0)</f>
        <v>0</v>
      </c>
      <c r="M3866" s="10">
        <f>IF(Tank2!$C$23="No control",(SUMIF(Tank2!$B$32:$B$49,$J3866,Tank2!$C$32:$C$49)*Impacts!$F$9),0)</f>
        <v>0</v>
      </c>
      <c r="N3866" s="10">
        <f>IF(Tank3!$C$23="No control",(SUMIF(Tank3!$B$32:$B$49,$J3866,Tank3!$C$32:$C$49)*Impacts!$F$10),0)</f>
        <v>0</v>
      </c>
      <c r="O3866" s="10">
        <f>IF(Tank4!$C$23="No control",(SUMIF(Tank4!$B$32:$B$49,$J3866,Tank4!$C$32:$C$49)*Impacts!$F$11),0)</f>
        <v>0</v>
      </c>
      <c r="P3866" s="10">
        <f>IF(Tank5!$C$23="No control",(SUMIF(Tank5!$B$32:$B$49,$J3866,Tank5!$C$32:$C$49)*Impacts!$F$12),0)</f>
        <v>0</v>
      </c>
      <c r="Q3866" s="10">
        <f>IFERROR(IF(('Loading-drum,tote'!$C$21)="No control",SUMIF(('Loading-drum,tote'!$B$31:$B$48),$J3866,('Loading-drum,tote'!$D$31:$D$48))*Impacts!$F$13,IF(('Loading-drum,tote'!$C$21)&lt;&gt;"No control",SUMIF(('Loading-drum,tote'!$B$31:$B$48),$J3866,('Loading-drum,tote'!$E$31:$E$48))*Impacts!$F$13,0)),0)</f>
        <v>0</v>
      </c>
      <c r="R3866" s="10">
        <f>IFERROR(IF(('Loading-truck'!$C$21)="No control",SUMIF(('Loading-truck'!$B$31:$B$48),$J3866,('Loading-truck'!$D$31:$D$48))*Impacts!$F$14,IF(('Loading-truck'!$C$21)&lt;&gt;"No control",SUMIF(('Loading-truck'!$B$31:$B$48),$J3866,('Loading-truck'!$E$31:$E$48))*Impacts!$F$14,0)),0)</f>
        <v>0</v>
      </c>
      <c r="S3866" s="10">
        <f>IFERROR(IF(('Loading-rail'!$C$21)="No control",SUMIF(('Loading-rail'!$B$31:$B$48),$J3866,('Loading-rail'!$D$31:$D$48))*Impacts!$F$15,IF(('Loading-rail'!$C$21)&lt;&gt;"No control",SUMIF(('Loading-rail'!$B$31:$B$48),$J3866,('Loading-rail'!$E$31:$E$48))*Impacts!$F$15,0)),0)</f>
        <v>0</v>
      </c>
      <c r="T3866" s="10">
        <f>IF(Flare!$C$7="",0,(SUMIF(Flare!$B$46:$B$185,$J3866,Flare!$E$46:$E$185)*Impacts!$F$16))</f>
        <v>0</v>
      </c>
      <c r="U3866" s="10">
        <f>IF(VCU!$C$9="",0,(SUMIF(VCU!$B$51:$B$193,$J3866,VCU!$E$51:$E$193)*Impacts!$F$17))</f>
        <v>0</v>
      </c>
      <c r="V3866" s="10">
        <f>IF(CAS!$C$7="",0,(SUMIF(CAS!$B$31:$B$167,$J3866,CAS!$E$31:$E$167)*Impacts!$F$18))</f>
        <v>0</v>
      </c>
      <c r="W3866" s="10">
        <f t="shared" ref="W3866:W3929" si="101">SUM(L3866:V3866)</f>
        <v>0</v>
      </c>
      <c r="AK3866" s="10" t="str">
        <f t="array" ref="AK3866">IFERROR(INDEX(SelectedSpecies,SMALL(IF(SelectedSpecies=AK$1,ROW(SelectedSpecies)),ROW(3867:3867)),2),"")</f>
        <v/>
      </c>
      <c r="BE3866" s="10"/>
      <c r="BI3866" s="10"/>
    </row>
    <row r="3867" spans="1:61" ht="21" customHeight="1" x14ac:dyDescent="0.25">
      <c r="A3867" s="10"/>
      <c r="B3867" s="10"/>
      <c r="E3867" s="10"/>
      <c r="G3867" s="10"/>
      <c r="I3867" s="436" t="s">
        <v>4897</v>
      </c>
      <c r="J3867" s="26" t="s">
        <v>4896</v>
      </c>
      <c r="K3867" s="10">
        <v>2.7</v>
      </c>
      <c r="L3867" s="73">
        <f>IF(Tank1!$C$23="No control",(SUMIF(Tank1!$B$32:$B$49,$J3867,Tank1!$C$32:$C$49)*Impacts!$F$8),0)</f>
        <v>0</v>
      </c>
      <c r="M3867" s="10">
        <f>IF(Tank2!$C$23="No control",(SUMIF(Tank2!$B$32:$B$49,$J3867,Tank2!$C$32:$C$49)*Impacts!$F$9),0)</f>
        <v>0</v>
      </c>
      <c r="N3867" s="10">
        <f>IF(Tank3!$C$23="No control",(SUMIF(Tank3!$B$32:$B$49,$J3867,Tank3!$C$32:$C$49)*Impacts!$F$10),0)</f>
        <v>0</v>
      </c>
      <c r="O3867" s="10">
        <f>IF(Tank4!$C$23="No control",(SUMIF(Tank4!$B$32:$B$49,$J3867,Tank4!$C$32:$C$49)*Impacts!$F$11),0)</f>
        <v>0</v>
      </c>
      <c r="P3867" s="10">
        <f>IF(Tank5!$C$23="No control",(SUMIF(Tank5!$B$32:$B$49,$J3867,Tank5!$C$32:$C$49)*Impacts!$F$12),0)</f>
        <v>0</v>
      </c>
      <c r="Q3867" s="10">
        <f>IFERROR(IF(('Loading-drum,tote'!$C$21)="No control",SUMIF(('Loading-drum,tote'!$B$31:$B$48),$J3867,('Loading-drum,tote'!$D$31:$D$48))*Impacts!$F$13,IF(('Loading-drum,tote'!$C$21)&lt;&gt;"No control",SUMIF(('Loading-drum,tote'!$B$31:$B$48),$J3867,('Loading-drum,tote'!$E$31:$E$48))*Impacts!$F$13,0)),0)</f>
        <v>0</v>
      </c>
      <c r="R3867" s="10">
        <f>IFERROR(IF(('Loading-truck'!$C$21)="No control",SUMIF(('Loading-truck'!$B$31:$B$48),$J3867,('Loading-truck'!$D$31:$D$48))*Impacts!$F$14,IF(('Loading-truck'!$C$21)&lt;&gt;"No control",SUMIF(('Loading-truck'!$B$31:$B$48),$J3867,('Loading-truck'!$E$31:$E$48))*Impacts!$F$14,0)),0)</f>
        <v>0</v>
      </c>
      <c r="S3867" s="10">
        <f>IFERROR(IF(('Loading-rail'!$C$21)="No control",SUMIF(('Loading-rail'!$B$31:$B$48),$J3867,('Loading-rail'!$D$31:$D$48))*Impacts!$F$15,IF(('Loading-rail'!$C$21)&lt;&gt;"No control",SUMIF(('Loading-rail'!$B$31:$B$48),$J3867,('Loading-rail'!$E$31:$E$48))*Impacts!$F$15,0)),0)</f>
        <v>0</v>
      </c>
      <c r="T3867" s="10">
        <f>IF(Flare!$C$7="",0,(SUMIF(Flare!$B$46:$B$185,$J3867,Flare!$E$46:$E$185)*Impacts!$F$16))</f>
        <v>0</v>
      </c>
      <c r="U3867" s="10">
        <f>IF(VCU!$C$9="",0,(SUMIF(VCU!$B$51:$B$193,$J3867,VCU!$E$51:$E$193)*Impacts!$F$17))</f>
        <v>0</v>
      </c>
      <c r="V3867" s="10">
        <f>IF(CAS!$C$7="",0,(SUMIF(CAS!$B$31:$B$167,$J3867,CAS!$E$31:$E$167)*Impacts!$F$18))</f>
        <v>0</v>
      </c>
      <c r="W3867" s="10">
        <f t="shared" si="101"/>
        <v>0</v>
      </c>
      <c r="AK3867" s="10" t="str">
        <f t="array" ref="AK3867">IFERROR(INDEX(SelectedSpecies,SMALL(IF(SelectedSpecies=AK$1,ROW(SelectedSpecies)),ROW(3868:3868)),2),"")</f>
        <v/>
      </c>
      <c r="BE3867" s="10"/>
      <c r="BI3867" s="10"/>
    </row>
    <row r="3868" spans="1:61" ht="21" customHeight="1" x14ac:dyDescent="0.25">
      <c r="A3868" s="10"/>
      <c r="B3868" s="10"/>
      <c r="E3868" s="10"/>
      <c r="G3868" s="10"/>
      <c r="I3868" s="436" t="s">
        <v>3399</v>
      </c>
      <c r="J3868" s="26" t="s">
        <v>3398</v>
      </c>
      <c r="K3868" s="10">
        <v>10</v>
      </c>
      <c r="L3868" s="73">
        <f>IF(Tank1!$C$23="No control",(SUMIF(Tank1!$B$32:$B$49,$J3868,Tank1!$C$32:$C$49)*Impacts!$F$8),0)</f>
        <v>0</v>
      </c>
      <c r="M3868" s="10">
        <f>IF(Tank2!$C$23="No control",(SUMIF(Tank2!$B$32:$B$49,$J3868,Tank2!$C$32:$C$49)*Impacts!$F$9),0)</f>
        <v>0</v>
      </c>
      <c r="N3868" s="10">
        <f>IF(Tank3!$C$23="No control",(SUMIF(Tank3!$B$32:$B$49,$J3868,Tank3!$C$32:$C$49)*Impacts!$F$10),0)</f>
        <v>0</v>
      </c>
      <c r="O3868" s="10">
        <f>IF(Tank4!$C$23="No control",(SUMIF(Tank4!$B$32:$B$49,$J3868,Tank4!$C$32:$C$49)*Impacts!$F$11),0)</f>
        <v>0</v>
      </c>
      <c r="P3868" s="10">
        <f>IF(Tank5!$C$23="No control",(SUMIF(Tank5!$B$32:$B$49,$J3868,Tank5!$C$32:$C$49)*Impacts!$F$12),0)</f>
        <v>0</v>
      </c>
      <c r="Q3868" s="10">
        <f>IFERROR(IF(('Loading-drum,tote'!$C$21)="No control",SUMIF(('Loading-drum,tote'!$B$31:$B$48),$J3868,('Loading-drum,tote'!$D$31:$D$48))*Impacts!$F$13,IF(('Loading-drum,tote'!$C$21)&lt;&gt;"No control",SUMIF(('Loading-drum,tote'!$B$31:$B$48),$J3868,('Loading-drum,tote'!$E$31:$E$48))*Impacts!$F$13,0)),0)</f>
        <v>0</v>
      </c>
      <c r="R3868" s="10">
        <f>IFERROR(IF(('Loading-truck'!$C$21)="No control",SUMIF(('Loading-truck'!$B$31:$B$48),$J3868,('Loading-truck'!$D$31:$D$48))*Impacts!$F$14,IF(('Loading-truck'!$C$21)&lt;&gt;"No control",SUMIF(('Loading-truck'!$B$31:$B$48),$J3868,('Loading-truck'!$E$31:$E$48))*Impacts!$F$14,0)),0)</f>
        <v>0</v>
      </c>
      <c r="S3868" s="10">
        <f>IFERROR(IF(('Loading-rail'!$C$21)="No control",SUMIF(('Loading-rail'!$B$31:$B$48),$J3868,('Loading-rail'!$D$31:$D$48))*Impacts!$F$15,IF(('Loading-rail'!$C$21)&lt;&gt;"No control",SUMIF(('Loading-rail'!$B$31:$B$48),$J3868,('Loading-rail'!$E$31:$E$48))*Impacts!$F$15,0)),0)</f>
        <v>0</v>
      </c>
      <c r="T3868" s="10">
        <f>IF(Flare!$C$7="",0,(SUMIF(Flare!$B$46:$B$185,$J3868,Flare!$E$46:$E$185)*Impacts!$F$16))</f>
        <v>0</v>
      </c>
      <c r="U3868" s="10">
        <f>IF(VCU!$C$9="",0,(SUMIF(VCU!$B$51:$B$193,$J3868,VCU!$E$51:$E$193)*Impacts!$F$17))</f>
        <v>0</v>
      </c>
      <c r="V3868" s="10">
        <f>IF(CAS!$C$7="",0,(SUMIF(CAS!$B$31:$B$167,$J3868,CAS!$E$31:$E$167)*Impacts!$F$18))</f>
        <v>0</v>
      </c>
      <c r="W3868" s="10">
        <f t="shared" si="101"/>
        <v>0</v>
      </c>
      <c r="AK3868" s="10" t="str">
        <f t="array" ref="AK3868">IFERROR(INDEX(SelectedSpecies,SMALL(IF(SelectedSpecies=AK$1,ROW(SelectedSpecies)),ROW(3869:3869)),2),"")</f>
        <v/>
      </c>
      <c r="BE3868" s="10"/>
      <c r="BI3868" s="10"/>
    </row>
    <row r="3869" spans="1:61" ht="21" customHeight="1" x14ac:dyDescent="0.25">
      <c r="A3869" s="10"/>
      <c r="B3869" s="10"/>
      <c r="E3869" s="10"/>
      <c r="G3869" s="10"/>
      <c r="I3869" s="436" t="s">
        <v>3401</v>
      </c>
      <c r="J3869" s="26" t="s">
        <v>3400</v>
      </c>
      <c r="K3869" s="10">
        <v>10</v>
      </c>
      <c r="L3869" s="73">
        <f>IF(Tank1!$C$23="No control",(SUMIF(Tank1!$B$32:$B$49,$J3869,Tank1!$C$32:$C$49)*Impacts!$F$8),0)</f>
        <v>0</v>
      </c>
      <c r="M3869" s="10">
        <f>IF(Tank2!$C$23="No control",(SUMIF(Tank2!$B$32:$B$49,$J3869,Tank2!$C$32:$C$49)*Impacts!$F$9),0)</f>
        <v>0</v>
      </c>
      <c r="N3869" s="10">
        <f>IF(Tank3!$C$23="No control",(SUMIF(Tank3!$B$32:$B$49,$J3869,Tank3!$C$32:$C$49)*Impacts!$F$10),0)</f>
        <v>0</v>
      </c>
      <c r="O3869" s="10">
        <f>IF(Tank4!$C$23="No control",(SUMIF(Tank4!$B$32:$B$49,$J3869,Tank4!$C$32:$C$49)*Impacts!$F$11),0)</f>
        <v>0</v>
      </c>
      <c r="P3869" s="10">
        <f>IF(Tank5!$C$23="No control",(SUMIF(Tank5!$B$32:$B$49,$J3869,Tank5!$C$32:$C$49)*Impacts!$F$12),0)</f>
        <v>0</v>
      </c>
      <c r="Q3869" s="10">
        <f>IFERROR(IF(('Loading-drum,tote'!$C$21)="No control",SUMIF(('Loading-drum,tote'!$B$31:$B$48),$J3869,('Loading-drum,tote'!$D$31:$D$48))*Impacts!$F$13,IF(('Loading-drum,tote'!$C$21)&lt;&gt;"No control",SUMIF(('Loading-drum,tote'!$B$31:$B$48),$J3869,('Loading-drum,tote'!$E$31:$E$48))*Impacts!$F$13,0)),0)</f>
        <v>0</v>
      </c>
      <c r="R3869" s="10">
        <f>IFERROR(IF(('Loading-truck'!$C$21)="No control",SUMIF(('Loading-truck'!$B$31:$B$48),$J3869,('Loading-truck'!$D$31:$D$48))*Impacts!$F$14,IF(('Loading-truck'!$C$21)&lt;&gt;"No control",SUMIF(('Loading-truck'!$B$31:$B$48),$J3869,('Loading-truck'!$E$31:$E$48))*Impacts!$F$14,0)),0)</f>
        <v>0</v>
      </c>
      <c r="S3869" s="10">
        <f>IFERROR(IF(('Loading-rail'!$C$21)="No control",SUMIF(('Loading-rail'!$B$31:$B$48),$J3869,('Loading-rail'!$D$31:$D$48))*Impacts!$F$15,IF(('Loading-rail'!$C$21)&lt;&gt;"No control",SUMIF(('Loading-rail'!$B$31:$B$48),$J3869,('Loading-rail'!$E$31:$E$48))*Impacts!$F$15,0)),0)</f>
        <v>0</v>
      </c>
      <c r="T3869" s="10">
        <f>IF(Flare!$C$7="",0,(SUMIF(Flare!$B$46:$B$185,$J3869,Flare!$E$46:$E$185)*Impacts!$F$16))</f>
        <v>0</v>
      </c>
      <c r="U3869" s="10">
        <f>IF(VCU!$C$9="",0,(SUMIF(VCU!$B$51:$B$193,$J3869,VCU!$E$51:$E$193)*Impacts!$F$17))</f>
        <v>0</v>
      </c>
      <c r="V3869" s="10">
        <f>IF(CAS!$C$7="",0,(SUMIF(CAS!$B$31:$B$167,$J3869,CAS!$E$31:$E$167)*Impacts!$F$18))</f>
        <v>0</v>
      </c>
      <c r="W3869" s="10">
        <f t="shared" si="101"/>
        <v>0</v>
      </c>
      <c r="AK3869" s="10" t="str">
        <f t="array" ref="AK3869">IFERROR(INDEX(SelectedSpecies,SMALL(IF(SelectedSpecies=AK$1,ROW(SelectedSpecies)),ROW(3870:3870)),2),"")</f>
        <v/>
      </c>
      <c r="BE3869" s="10"/>
      <c r="BI3869" s="10"/>
    </row>
    <row r="3870" spans="1:61" ht="21" customHeight="1" x14ac:dyDescent="0.25">
      <c r="A3870" s="10"/>
      <c r="B3870" s="10"/>
      <c r="E3870" s="10"/>
      <c r="G3870" s="10"/>
      <c r="I3870" s="436" t="s">
        <v>3403</v>
      </c>
      <c r="J3870" s="26" t="s">
        <v>3402</v>
      </c>
      <c r="K3870" s="10">
        <v>10</v>
      </c>
      <c r="L3870" s="73">
        <f>IF(Tank1!$C$23="No control",(SUMIF(Tank1!$B$32:$B$49,$J3870,Tank1!$C$32:$C$49)*Impacts!$F$8),0)</f>
        <v>0</v>
      </c>
      <c r="M3870" s="10">
        <f>IF(Tank2!$C$23="No control",(SUMIF(Tank2!$B$32:$B$49,$J3870,Tank2!$C$32:$C$49)*Impacts!$F$9),0)</f>
        <v>0</v>
      </c>
      <c r="N3870" s="10">
        <f>IF(Tank3!$C$23="No control",(SUMIF(Tank3!$B$32:$B$49,$J3870,Tank3!$C$32:$C$49)*Impacts!$F$10),0)</f>
        <v>0</v>
      </c>
      <c r="O3870" s="10">
        <f>IF(Tank4!$C$23="No control",(SUMIF(Tank4!$B$32:$B$49,$J3870,Tank4!$C$32:$C$49)*Impacts!$F$11),0)</f>
        <v>0</v>
      </c>
      <c r="P3870" s="10">
        <f>IF(Tank5!$C$23="No control",(SUMIF(Tank5!$B$32:$B$49,$J3870,Tank5!$C$32:$C$49)*Impacts!$F$12),0)</f>
        <v>0</v>
      </c>
      <c r="Q3870" s="10">
        <f>IFERROR(IF(('Loading-drum,tote'!$C$21)="No control",SUMIF(('Loading-drum,tote'!$B$31:$B$48),$J3870,('Loading-drum,tote'!$D$31:$D$48))*Impacts!$F$13,IF(('Loading-drum,tote'!$C$21)&lt;&gt;"No control",SUMIF(('Loading-drum,tote'!$B$31:$B$48),$J3870,('Loading-drum,tote'!$E$31:$E$48))*Impacts!$F$13,0)),0)</f>
        <v>0</v>
      </c>
      <c r="R3870" s="10">
        <f>IFERROR(IF(('Loading-truck'!$C$21)="No control",SUMIF(('Loading-truck'!$B$31:$B$48),$J3870,('Loading-truck'!$D$31:$D$48))*Impacts!$F$14,IF(('Loading-truck'!$C$21)&lt;&gt;"No control",SUMIF(('Loading-truck'!$B$31:$B$48),$J3870,('Loading-truck'!$E$31:$E$48))*Impacts!$F$14,0)),0)</f>
        <v>0</v>
      </c>
      <c r="S3870" s="10">
        <f>IFERROR(IF(('Loading-rail'!$C$21)="No control",SUMIF(('Loading-rail'!$B$31:$B$48),$J3870,('Loading-rail'!$D$31:$D$48))*Impacts!$F$15,IF(('Loading-rail'!$C$21)&lt;&gt;"No control",SUMIF(('Loading-rail'!$B$31:$B$48),$J3870,('Loading-rail'!$E$31:$E$48))*Impacts!$F$15,0)),0)</f>
        <v>0</v>
      </c>
      <c r="T3870" s="10">
        <f>IF(Flare!$C$7="",0,(SUMIF(Flare!$B$46:$B$185,$J3870,Flare!$E$46:$E$185)*Impacts!$F$16))</f>
        <v>0</v>
      </c>
      <c r="U3870" s="10">
        <f>IF(VCU!$C$9="",0,(SUMIF(VCU!$B$51:$B$193,$J3870,VCU!$E$51:$E$193)*Impacts!$F$17))</f>
        <v>0</v>
      </c>
      <c r="V3870" s="10">
        <f>IF(CAS!$C$7="",0,(SUMIF(CAS!$B$31:$B$167,$J3870,CAS!$E$31:$E$167)*Impacts!$F$18))</f>
        <v>0</v>
      </c>
      <c r="W3870" s="10">
        <f t="shared" si="101"/>
        <v>0</v>
      </c>
      <c r="AK3870" s="10" t="str">
        <f t="array" ref="AK3870">IFERROR(INDEX(SelectedSpecies,SMALL(IF(SelectedSpecies=AK$1,ROW(SelectedSpecies)),ROW(3871:3871)),2),"")</f>
        <v/>
      </c>
      <c r="BE3870" s="10"/>
      <c r="BI3870" s="10"/>
    </row>
    <row r="3871" spans="1:61" ht="21" customHeight="1" x14ac:dyDescent="0.25">
      <c r="A3871" s="10"/>
      <c r="B3871" s="10"/>
      <c r="E3871" s="10"/>
      <c r="G3871" s="10"/>
      <c r="I3871" s="436" t="s">
        <v>307</v>
      </c>
      <c r="J3871" s="26" t="s">
        <v>306</v>
      </c>
      <c r="K3871" s="10">
        <v>710</v>
      </c>
      <c r="L3871" s="73">
        <f>IF(Tank1!$C$23="No control",(SUMIF(Tank1!$B$32:$B$49,$J3871,Tank1!$C$32:$C$49)*Impacts!$F$8),0)</f>
        <v>0</v>
      </c>
      <c r="M3871" s="10">
        <f>IF(Tank2!$C$23="No control",(SUMIF(Tank2!$B$32:$B$49,$J3871,Tank2!$C$32:$C$49)*Impacts!$F$9),0)</f>
        <v>0</v>
      </c>
      <c r="N3871" s="10">
        <f>IF(Tank3!$C$23="No control",(SUMIF(Tank3!$B$32:$B$49,$J3871,Tank3!$C$32:$C$49)*Impacts!$F$10),0)</f>
        <v>0</v>
      </c>
      <c r="O3871" s="10">
        <f>IF(Tank4!$C$23="No control",(SUMIF(Tank4!$B$32:$B$49,$J3871,Tank4!$C$32:$C$49)*Impacts!$F$11),0)</f>
        <v>0</v>
      </c>
      <c r="P3871" s="10">
        <f>IF(Tank5!$C$23="No control",(SUMIF(Tank5!$B$32:$B$49,$J3871,Tank5!$C$32:$C$49)*Impacts!$F$12),0)</f>
        <v>0</v>
      </c>
      <c r="Q3871" s="10">
        <f>IFERROR(IF(('Loading-drum,tote'!$C$21)="No control",SUMIF(('Loading-drum,tote'!$B$31:$B$48),$J3871,('Loading-drum,tote'!$D$31:$D$48))*Impacts!$F$13,IF(('Loading-drum,tote'!$C$21)&lt;&gt;"No control",SUMIF(('Loading-drum,tote'!$B$31:$B$48),$J3871,('Loading-drum,tote'!$E$31:$E$48))*Impacts!$F$13,0)),0)</f>
        <v>0</v>
      </c>
      <c r="R3871" s="10">
        <f>IFERROR(IF(('Loading-truck'!$C$21)="No control",SUMIF(('Loading-truck'!$B$31:$B$48),$J3871,('Loading-truck'!$D$31:$D$48))*Impacts!$F$14,IF(('Loading-truck'!$C$21)&lt;&gt;"No control",SUMIF(('Loading-truck'!$B$31:$B$48),$J3871,('Loading-truck'!$E$31:$E$48))*Impacts!$F$14,0)),0)</f>
        <v>0</v>
      </c>
      <c r="S3871" s="10">
        <f>IFERROR(IF(('Loading-rail'!$C$21)="No control",SUMIF(('Loading-rail'!$B$31:$B$48),$J3871,('Loading-rail'!$D$31:$D$48))*Impacts!$F$15,IF(('Loading-rail'!$C$21)&lt;&gt;"No control",SUMIF(('Loading-rail'!$B$31:$B$48),$J3871,('Loading-rail'!$E$31:$E$48))*Impacts!$F$15,0)),0)</f>
        <v>0</v>
      </c>
      <c r="T3871" s="10">
        <f>IF(Flare!$C$7="",0,(SUMIF(Flare!$B$46:$B$185,$J3871,Flare!$E$46:$E$185)*Impacts!$F$16))</f>
        <v>0</v>
      </c>
      <c r="U3871" s="10">
        <f>IF(VCU!$C$9="",0,(SUMIF(VCU!$B$51:$B$193,$J3871,VCU!$E$51:$E$193)*Impacts!$F$17))</f>
        <v>0</v>
      </c>
      <c r="V3871" s="10">
        <f>IF(CAS!$C$7="",0,(SUMIF(CAS!$B$31:$B$167,$J3871,CAS!$E$31:$E$167)*Impacts!$F$18))</f>
        <v>0</v>
      </c>
      <c r="W3871" s="10">
        <f t="shared" si="101"/>
        <v>0</v>
      </c>
      <c r="AK3871" s="10" t="str">
        <f t="array" ref="AK3871">IFERROR(INDEX(SelectedSpecies,SMALL(IF(SelectedSpecies=AK$1,ROW(SelectedSpecies)),ROW(3872:3872)),2),"")</f>
        <v/>
      </c>
      <c r="BE3871" s="10"/>
      <c r="BI3871" s="10"/>
    </row>
    <row r="3872" spans="1:61" ht="21" customHeight="1" x14ac:dyDescent="0.25">
      <c r="A3872" s="10"/>
      <c r="B3872" s="10"/>
      <c r="E3872" s="10"/>
      <c r="G3872" s="10"/>
      <c r="I3872" s="436" t="s">
        <v>810</v>
      </c>
      <c r="J3872" s="26" t="s">
        <v>809</v>
      </c>
      <c r="K3872" s="10">
        <v>50</v>
      </c>
      <c r="L3872" s="73">
        <f>IF(Tank1!$C$23="No control",(SUMIF(Tank1!$B$32:$B$49,$J3872,Tank1!$C$32:$C$49)*Impacts!$F$8),0)</f>
        <v>0</v>
      </c>
      <c r="M3872" s="10">
        <f>IF(Tank2!$C$23="No control",(SUMIF(Tank2!$B$32:$B$49,$J3872,Tank2!$C$32:$C$49)*Impacts!$F$9),0)</f>
        <v>0</v>
      </c>
      <c r="N3872" s="10">
        <f>IF(Tank3!$C$23="No control",(SUMIF(Tank3!$B$32:$B$49,$J3872,Tank3!$C$32:$C$49)*Impacts!$F$10),0)</f>
        <v>0</v>
      </c>
      <c r="O3872" s="10">
        <f>IF(Tank4!$C$23="No control",(SUMIF(Tank4!$B$32:$B$49,$J3872,Tank4!$C$32:$C$49)*Impacts!$F$11),0)</f>
        <v>0</v>
      </c>
      <c r="P3872" s="10">
        <f>IF(Tank5!$C$23="No control",(SUMIF(Tank5!$B$32:$B$49,$J3872,Tank5!$C$32:$C$49)*Impacts!$F$12),0)</f>
        <v>0</v>
      </c>
      <c r="Q3872" s="10">
        <f>IFERROR(IF(('Loading-drum,tote'!$C$21)="No control",SUMIF(('Loading-drum,tote'!$B$31:$B$48),$J3872,('Loading-drum,tote'!$D$31:$D$48))*Impacts!$F$13,IF(('Loading-drum,tote'!$C$21)&lt;&gt;"No control",SUMIF(('Loading-drum,tote'!$B$31:$B$48),$J3872,('Loading-drum,tote'!$E$31:$E$48))*Impacts!$F$13,0)),0)</f>
        <v>0</v>
      </c>
      <c r="R3872" s="10">
        <f>IFERROR(IF(('Loading-truck'!$C$21)="No control",SUMIF(('Loading-truck'!$B$31:$B$48),$J3872,('Loading-truck'!$D$31:$D$48))*Impacts!$F$14,IF(('Loading-truck'!$C$21)&lt;&gt;"No control",SUMIF(('Loading-truck'!$B$31:$B$48),$J3872,('Loading-truck'!$E$31:$E$48))*Impacts!$F$14,0)),0)</f>
        <v>0</v>
      </c>
      <c r="S3872" s="10">
        <f>IFERROR(IF(('Loading-rail'!$C$21)="No control",SUMIF(('Loading-rail'!$B$31:$B$48),$J3872,('Loading-rail'!$D$31:$D$48))*Impacts!$F$15,IF(('Loading-rail'!$C$21)&lt;&gt;"No control",SUMIF(('Loading-rail'!$B$31:$B$48),$J3872,('Loading-rail'!$E$31:$E$48))*Impacts!$F$15,0)),0)</f>
        <v>0</v>
      </c>
      <c r="T3872" s="10">
        <f>IF(Flare!$C$7="",0,(SUMIF(Flare!$B$46:$B$185,$J3872,Flare!$E$46:$E$185)*Impacts!$F$16))</f>
        <v>0</v>
      </c>
      <c r="U3872" s="10">
        <f>IF(VCU!$C$9="",0,(SUMIF(VCU!$B$51:$B$193,$J3872,VCU!$E$51:$E$193)*Impacts!$F$17))</f>
        <v>0</v>
      </c>
      <c r="V3872" s="10">
        <f>IF(CAS!$C$7="",0,(SUMIF(CAS!$B$31:$B$167,$J3872,CAS!$E$31:$E$167)*Impacts!$F$18))</f>
        <v>0</v>
      </c>
      <c r="W3872" s="10">
        <f t="shared" si="101"/>
        <v>0</v>
      </c>
      <c r="AK3872" s="10" t="str">
        <f t="array" ref="AK3872">IFERROR(INDEX(SelectedSpecies,SMALL(IF(SelectedSpecies=AK$1,ROW(SelectedSpecies)),ROW(3873:3873)),2),"")</f>
        <v/>
      </c>
      <c r="BE3872" s="10"/>
      <c r="BI3872" s="10"/>
    </row>
    <row r="3873" spans="1:61" ht="21" customHeight="1" x14ac:dyDescent="0.25">
      <c r="A3873" s="10"/>
      <c r="B3873" s="10"/>
      <c r="E3873" s="10"/>
      <c r="G3873" s="10"/>
      <c r="I3873" s="436" t="s">
        <v>812</v>
      </c>
      <c r="J3873" s="26" t="s">
        <v>811</v>
      </c>
      <c r="K3873" s="10">
        <v>50</v>
      </c>
      <c r="L3873" s="73">
        <f>IF(Tank1!$C$23="No control",(SUMIF(Tank1!$B$32:$B$49,$J3873,Tank1!$C$32:$C$49)*Impacts!$F$8),0)</f>
        <v>0</v>
      </c>
      <c r="M3873" s="10">
        <f>IF(Tank2!$C$23="No control",(SUMIF(Tank2!$B$32:$B$49,$J3873,Tank2!$C$32:$C$49)*Impacts!$F$9),0)</f>
        <v>0</v>
      </c>
      <c r="N3873" s="10">
        <f>IF(Tank3!$C$23="No control",(SUMIF(Tank3!$B$32:$B$49,$J3873,Tank3!$C$32:$C$49)*Impacts!$F$10),0)</f>
        <v>0</v>
      </c>
      <c r="O3873" s="10">
        <f>IF(Tank4!$C$23="No control",(SUMIF(Tank4!$B$32:$B$49,$J3873,Tank4!$C$32:$C$49)*Impacts!$F$11),0)</f>
        <v>0</v>
      </c>
      <c r="P3873" s="10">
        <f>IF(Tank5!$C$23="No control",(SUMIF(Tank5!$B$32:$B$49,$J3873,Tank5!$C$32:$C$49)*Impacts!$F$12),0)</f>
        <v>0</v>
      </c>
      <c r="Q3873" s="10">
        <f>IFERROR(IF(('Loading-drum,tote'!$C$21)="No control",SUMIF(('Loading-drum,tote'!$B$31:$B$48),$J3873,('Loading-drum,tote'!$D$31:$D$48))*Impacts!$F$13,IF(('Loading-drum,tote'!$C$21)&lt;&gt;"No control",SUMIF(('Loading-drum,tote'!$B$31:$B$48),$J3873,('Loading-drum,tote'!$E$31:$E$48))*Impacts!$F$13,0)),0)</f>
        <v>0</v>
      </c>
      <c r="R3873" s="10">
        <f>IFERROR(IF(('Loading-truck'!$C$21)="No control",SUMIF(('Loading-truck'!$B$31:$B$48),$J3873,('Loading-truck'!$D$31:$D$48))*Impacts!$F$14,IF(('Loading-truck'!$C$21)&lt;&gt;"No control",SUMIF(('Loading-truck'!$B$31:$B$48),$J3873,('Loading-truck'!$E$31:$E$48))*Impacts!$F$14,0)),0)</f>
        <v>0</v>
      </c>
      <c r="S3873" s="10">
        <f>IFERROR(IF(('Loading-rail'!$C$21)="No control",SUMIF(('Loading-rail'!$B$31:$B$48),$J3873,('Loading-rail'!$D$31:$D$48))*Impacts!$F$15,IF(('Loading-rail'!$C$21)&lt;&gt;"No control",SUMIF(('Loading-rail'!$B$31:$B$48),$J3873,('Loading-rail'!$E$31:$E$48))*Impacts!$F$15,0)),0)</f>
        <v>0</v>
      </c>
      <c r="T3873" s="10">
        <f>IF(Flare!$C$7="",0,(SUMIF(Flare!$B$46:$B$185,$J3873,Flare!$E$46:$E$185)*Impacts!$F$16))</f>
        <v>0</v>
      </c>
      <c r="U3873" s="10">
        <f>IF(VCU!$C$9="",0,(SUMIF(VCU!$B$51:$B$193,$J3873,VCU!$E$51:$E$193)*Impacts!$F$17))</f>
        <v>0</v>
      </c>
      <c r="V3873" s="10">
        <f>IF(CAS!$C$7="",0,(SUMIF(CAS!$B$31:$B$167,$J3873,CAS!$E$31:$E$167)*Impacts!$F$18))</f>
        <v>0</v>
      </c>
      <c r="W3873" s="10">
        <f t="shared" si="101"/>
        <v>0</v>
      </c>
      <c r="AK3873" s="10" t="str">
        <f t="array" ref="AK3873">IFERROR(INDEX(SelectedSpecies,SMALL(IF(SelectedSpecies=AK$1,ROW(SelectedSpecies)),ROW(3874:3874)),2),"")</f>
        <v/>
      </c>
      <c r="BE3873" s="10"/>
      <c r="BI3873" s="10"/>
    </row>
    <row r="3874" spans="1:61" ht="21" customHeight="1" x14ac:dyDescent="0.25">
      <c r="A3874" s="10"/>
      <c r="B3874" s="10"/>
      <c r="E3874" s="10"/>
      <c r="G3874" s="10"/>
      <c r="I3874" s="436" t="s">
        <v>7950</v>
      </c>
      <c r="J3874" s="26" t="s">
        <v>7949</v>
      </c>
      <c r="K3874" s="10">
        <v>0.05</v>
      </c>
      <c r="L3874" s="73">
        <f>IF(Tank1!$C$23="No control",(SUMIF(Tank1!$B$32:$B$49,$J3874,Tank1!$C$32:$C$49)*Impacts!$F$8),0)</f>
        <v>0</v>
      </c>
      <c r="M3874" s="10">
        <f>IF(Tank2!$C$23="No control",(SUMIF(Tank2!$B$32:$B$49,$J3874,Tank2!$C$32:$C$49)*Impacts!$F$9),0)</f>
        <v>0</v>
      </c>
      <c r="N3874" s="10">
        <f>IF(Tank3!$C$23="No control",(SUMIF(Tank3!$B$32:$B$49,$J3874,Tank3!$C$32:$C$49)*Impacts!$F$10),0)</f>
        <v>0</v>
      </c>
      <c r="O3874" s="10">
        <f>IF(Tank4!$C$23="No control",(SUMIF(Tank4!$B$32:$B$49,$J3874,Tank4!$C$32:$C$49)*Impacts!$F$11),0)</f>
        <v>0</v>
      </c>
      <c r="P3874" s="10">
        <f>IF(Tank5!$C$23="No control",(SUMIF(Tank5!$B$32:$B$49,$J3874,Tank5!$C$32:$C$49)*Impacts!$F$12),0)</f>
        <v>0</v>
      </c>
      <c r="Q3874" s="10">
        <f>IFERROR(IF(('Loading-drum,tote'!$C$21)="No control",SUMIF(('Loading-drum,tote'!$B$31:$B$48),$J3874,('Loading-drum,tote'!$D$31:$D$48))*Impacts!$F$13,IF(('Loading-drum,tote'!$C$21)&lt;&gt;"No control",SUMIF(('Loading-drum,tote'!$B$31:$B$48),$J3874,('Loading-drum,tote'!$E$31:$E$48))*Impacts!$F$13,0)),0)</f>
        <v>0</v>
      </c>
      <c r="R3874" s="10">
        <f>IFERROR(IF(('Loading-truck'!$C$21)="No control",SUMIF(('Loading-truck'!$B$31:$B$48),$J3874,('Loading-truck'!$D$31:$D$48))*Impacts!$F$14,IF(('Loading-truck'!$C$21)&lt;&gt;"No control",SUMIF(('Loading-truck'!$B$31:$B$48),$J3874,('Loading-truck'!$E$31:$E$48))*Impacts!$F$14,0)),0)</f>
        <v>0</v>
      </c>
      <c r="S3874" s="10">
        <f>IFERROR(IF(('Loading-rail'!$C$21)="No control",SUMIF(('Loading-rail'!$B$31:$B$48),$J3874,('Loading-rail'!$D$31:$D$48))*Impacts!$F$15,IF(('Loading-rail'!$C$21)&lt;&gt;"No control",SUMIF(('Loading-rail'!$B$31:$B$48),$J3874,('Loading-rail'!$E$31:$E$48))*Impacts!$F$15,0)),0)</f>
        <v>0</v>
      </c>
      <c r="T3874" s="10">
        <f>IF(Flare!$C$7="",0,(SUMIF(Flare!$B$46:$B$185,$J3874,Flare!$E$46:$E$185)*Impacts!$F$16))</f>
        <v>0</v>
      </c>
      <c r="U3874" s="10">
        <f>IF(VCU!$C$9="",0,(SUMIF(VCU!$B$51:$B$193,$J3874,VCU!$E$51:$E$193)*Impacts!$F$17))</f>
        <v>0</v>
      </c>
      <c r="V3874" s="10">
        <f>IF(CAS!$C$7="",0,(SUMIF(CAS!$B$31:$B$167,$J3874,CAS!$E$31:$E$167)*Impacts!$F$18))</f>
        <v>0</v>
      </c>
      <c r="W3874" s="10">
        <f t="shared" si="101"/>
        <v>0</v>
      </c>
      <c r="AK3874" s="10" t="str">
        <f t="array" ref="AK3874">IFERROR(INDEX(SelectedSpecies,SMALL(IF(SelectedSpecies=AK$1,ROW(SelectedSpecies)),ROW(3875:3875)),2),"")</f>
        <v/>
      </c>
      <c r="BE3874" s="10"/>
      <c r="BI3874" s="10"/>
    </row>
    <row r="3875" spans="1:61" ht="21" customHeight="1" x14ac:dyDescent="0.25">
      <c r="A3875" s="10"/>
      <c r="B3875" s="10"/>
      <c r="E3875" s="10"/>
      <c r="G3875" s="10"/>
      <c r="I3875" s="436" t="s">
        <v>2651</v>
      </c>
      <c r="J3875" s="26" t="s">
        <v>2650</v>
      </c>
      <c r="K3875" s="10">
        <v>10</v>
      </c>
      <c r="L3875" s="73">
        <f>IF(Tank1!$C$23="No control",(SUMIF(Tank1!$B$32:$B$49,$J3875,Tank1!$C$32:$C$49)*Impacts!$F$8),0)</f>
        <v>0</v>
      </c>
      <c r="M3875" s="10">
        <f>IF(Tank2!$C$23="No control",(SUMIF(Tank2!$B$32:$B$49,$J3875,Tank2!$C$32:$C$49)*Impacts!$F$9),0)</f>
        <v>0</v>
      </c>
      <c r="N3875" s="10">
        <f>IF(Tank3!$C$23="No control",(SUMIF(Tank3!$B$32:$B$49,$J3875,Tank3!$C$32:$C$49)*Impacts!$F$10),0)</f>
        <v>0</v>
      </c>
      <c r="O3875" s="10">
        <f>IF(Tank4!$C$23="No control",(SUMIF(Tank4!$B$32:$B$49,$J3875,Tank4!$C$32:$C$49)*Impacts!$F$11),0)</f>
        <v>0</v>
      </c>
      <c r="P3875" s="10">
        <f>IF(Tank5!$C$23="No control",(SUMIF(Tank5!$B$32:$B$49,$J3875,Tank5!$C$32:$C$49)*Impacts!$F$12),0)</f>
        <v>0</v>
      </c>
      <c r="Q3875" s="10">
        <f>IFERROR(IF(('Loading-drum,tote'!$C$21)="No control",SUMIF(('Loading-drum,tote'!$B$31:$B$48),$J3875,('Loading-drum,tote'!$D$31:$D$48))*Impacts!$F$13,IF(('Loading-drum,tote'!$C$21)&lt;&gt;"No control",SUMIF(('Loading-drum,tote'!$B$31:$B$48),$J3875,('Loading-drum,tote'!$E$31:$E$48))*Impacts!$F$13,0)),0)</f>
        <v>0</v>
      </c>
      <c r="R3875" s="10">
        <f>IFERROR(IF(('Loading-truck'!$C$21)="No control",SUMIF(('Loading-truck'!$B$31:$B$48),$J3875,('Loading-truck'!$D$31:$D$48))*Impacts!$F$14,IF(('Loading-truck'!$C$21)&lt;&gt;"No control",SUMIF(('Loading-truck'!$B$31:$B$48),$J3875,('Loading-truck'!$E$31:$E$48))*Impacts!$F$14,0)),0)</f>
        <v>0</v>
      </c>
      <c r="S3875" s="10">
        <f>IFERROR(IF(('Loading-rail'!$C$21)="No control",SUMIF(('Loading-rail'!$B$31:$B$48),$J3875,('Loading-rail'!$D$31:$D$48))*Impacts!$F$15,IF(('Loading-rail'!$C$21)&lt;&gt;"No control",SUMIF(('Loading-rail'!$B$31:$B$48),$J3875,('Loading-rail'!$E$31:$E$48))*Impacts!$F$15,0)),0)</f>
        <v>0</v>
      </c>
      <c r="T3875" s="10">
        <f>IF(Flare!$C$7="",0,(SUMIF(Flare!$B$46:$B$185,$J3875,Flare!$E$46:$E$185)*Impacts!$F$16))</f>
        <v>0</v>
      </c>
      <c r="U3875" s="10">
        <f>IF(VCU!$C$9="",0,(SUMIF(VCU!$B$51:$B$193,$J3875,VCU!$E$51:$E$193)*Impacts!$F$17))</f>
        <v>0</v>
      </c>
      <c r="V3875" s="10">
        <f>IF(CAS!$C$7="",0,(SUMIF(CAS!$B$31:$B$167,$J3875,CAS!$E$31:$E$167)*Impacts!$F$18))</f>
        <v>0</v>
      </c>
      <c r="W3875" s="10">
        <f t="shared" si="101"/>
        <v>0</v>
      </c>
      <c r="AK3875" s="10" t="str">
        <f t="array" ref="AK3875">IFERROR(INDEX(SelectedSpecies,SMALL(IF(SelectedSpecies=AK$1,ROW(SelectedSpecies)),ROW(3876:3876)),2),"")</f>
        <v/>
      </c>
      <c r="BE3875" s="10"/>
      <c r="BI3875" s="10"/>
    </row>
    <row r="3876" spans="1:61" ht="21" customHeight="1" x14ac:dyDescent="0.25">
      <c r="A3876" s="10"/>
      <c r="B3876" s="10"/>
      <c r="E3876" s="10"/>
      <c r="G3876" s="10"/>
      <c r="I3876" s="436" t="s">
        <v>3889</v>
      </c>
      <c r="J3876" s="26" t="s">
        <v>3888</v>
      </c>
      <c r="K3876" s="10">
        <v>6</v>
      </c>
      <c r="L3876" s="73">
        <f>IF(Tank1!$C$23="No control",(SUMIF(Tank1!$B$32:$B$49,$J3876,Tank1!$C$32:$C$49)*Impacts!$F$8),0)</f>
        <v>0</v>
      </c>
      <c r="M3876" s="10">
        <f>IF(Tank2!$C$23="No control",(SUMIF(Tank2!$B$32:$B$49,$J3876,Tank2!$C$32:$C$49)*Impacts!$F$9),0)</f>
        <v>0</v>
      </c>
      <c r="N3876" s="10">
        <f>IF(Tank3!$C$23="No control",(SUMIF(Tank3!$B$32:$B$49,$J3876,Tank3!$C$32:$C$49)*Impacts!$F$10),0)</f>
        <v>0</v>
      </c>
      <c r="O3876" s="10">
        <f>IF(Tank4!$C$23="No control",(SUMIF(Tank4!$B$32:$B$49,$J3876,Tank4!$C$32:$C$49)*Impacts!$F$11),0)</f>
        <v>0</v>
      </c>
      <c r="P3876" s="10">
        <f>IF(Tank5!$C$23="No control",(SUMIF(Tank5!$B$32:$B$49,$J3876,Tank5!$C$32:$C$49)*Impacts!$F$12),0)</f>
        <v>0</v>
      </c>
      <c r="Q3876" s="10">
        <f>IFERROR(IF(('Loading-drum,tote'!$C$21)="No control",SUMIF(('Loading-drum,tote'!$B$31:$B$48),$J3876,('Loading-drum,tote'!$D$31:$D$48))*Impacts!$F$13,IF(('Loading-drum,tote'!$C$21)&lt;&gt;"No control",SUMIF(('Loading-drum,tote'!$B$31:$B$48),$J3876,('Loading-drum,tote'!$E$31:$E$48))*Impacts!$F$13,0)),0)</f>
        <v>0</v>
      </c>
      <c r="R3876" s="10">
        <f>IFERROR(IF(('Loading-truck'!$C$21)="No control",SUMIF(('Loading-truck'!$B$31:$B$48),$J3876,('Loading-truck'!$D$31:$D$48))*Impacts!$F$14,IF(('Loading-truck'!$C$21)&lt;&gt;"No control",SUMIF(('Loading-truck'!$B$31:$B$48),$J3876,('Loading-truck'!$E$31:$E$48))*Impacts!$F$14,0)),0)</f>
        <v>0</v>
      </c>
      <c r="S3876" s="10">
        <f>IFERROR(IF(('Loading-rail'!$C$21)="No control",SUMIF(('Loading-rail'!$B$31:$B$48),$J3876,('Loading-rail'!$D$31:$D$48))*Impacts!$F$15,IF(('Loading-rail'!$C$21)&lt;&gt;"No control",SUMIF(('Loading-rail'!$B$31:$B$48),$J3876,('Loading-rail'!$E$31:$E$48))*Impacts!$F$15,0)),0)</f>
        <v>0</v>
      </c>
      <c r="T3876" s="10">
        <f>IF(Flare!$C$7="",0,(SUMIF(Flare!$B$46:$B$185,$J3876,Flare!$E$46:$E$185)*Impacts!$F$16))</f>
        <v>0</v>
      </c>
      <c r="U3876" s="10">
        <f>IF(VCU!$C$9="",0,(SUMIF(VCU!$B$51:$B$193,$J3876,VCU!$E$51:$E$193)*Impacts!$F$17))</f>
        <v>0</v>
      </c>
      <c r="V3876" s="10">
        <f>IF(CAS!$C$7="",0,(SUMIF(CAS!$B$31:$B$167,$J3876,CAS!$E$31:$E$167)*Impacts!$F$18))</f>
        <v>0</v>
      </c>
      <c r="W3876" s="10">
        <f t="shared" si="101"/>
        <v>0</v>
      </c>
      <c r="AK3876" s="10" t="str">
        <f t="array" ref="AK3876">IFERROR(INDEX(SelectedSpecies,SMALL(IF(SelectedSpecies=AK$1,ROW(SelectedSpecies)),ROW(3877:3877)),2),"")</f>
        <v/>
      </c>
      <c r="BE3876" s="10"/>
      <c r="BI3876" s="10"/>
    </row>
    <row r="3877" spans="1:61" ht="21" customHeight="1" x14ac:dyDescent="0.25">
      <c r="A3877" s="10"/>
      <c r="B3877" s="10"/>
      <c r="E3877" s="10"/>
      <c r="G3877" s="10"/>
      <c r="I3877" s="436" t="s">
        <v>4045</v>
      </c>
      <c r="J3877" s="26" t="s">
        <v>4044</v>
      </c>
      <c r="K3877" s="10">
        <v>6</v>
      </c>
      <c r="L3877" s="73">
        <f>IF(Tank1!$C$23="No control",(SUMIF(Tank1!$B$32:$B$49,$J3877,Tank1!$C$32:$C$49)*Impacts!$F$8),0)</f>
        <v>0</v>
      </c>
      <c r="M3877" s="10">
        <f>IF(Tank2!$C$23="No control",(SUMIF(Tank2!$B$32:$B$49,$J3877,Tank2!$C$32:$C$49)*Impacts!$F$9),0)</f>
        <v>0</v>
      </c>
      <c r="N3877" s="10">
        <f>IF(Tank3!$C$23="No control",(SUMIF(Tank3!$B$32:$B$49,$J3877,Tank3!$C$32:$C$49)*Impacts!$F$10),0)</f>
        <v>0</v>
      </c>
      <c r="O3877" s="10">
        <f>IF(Tank4!$C$23="No control",(SUMIF(Tank4!$B$32:$B$49,$J3877,Tank4!$C$32:$C$49)*Impacts!$F$11),0)</f>
        <v>0</v>
      </c>
      <c r="P3877" s="10">
        <f>IF(Tank5!$C$23="No control",(SUMIF(Tank5!$B$32:$B$49,$J3877,Tank5!$C$32:$C$49)*Impacts!$F$12),0)</f>
        <v>0</v>
      </c>
      <c r="Q3877" s="10">
        <f>IFERROR(IF(('Loading-drum,tote'!$C$21)="No control",SUMIF(('Loading-drum,tote'!$B$31:$B$48),$J3877,('Loading-drum,tote'!$D$31:$D$48))*Impacts!$F$13,IF(('Loading-drum,tote'!$C$21)&lt;&gt;"No control",SUMIF(('Loading-drum,tote'!$B$31:$B$48),$J3877,('Loading-drum,tote'!$E$31:$E$48))*Impacts!$F$13,0)),0)</f>
        <v>0</v>
      </c>
      <c r="R3877" s="10">
        <f>IFERROR(IF(('Loading-truck'!$C$21)="No control",SUMIF(('Loading-truck'!$B$31:$B$48),$J3877,('Loading-truck'!$D$31:$D$48))*Impacts!$F$14,IF(('Loading-truck'!$C$21)&lt;&gt;"No control",SUMIF(('Loading-truck'!$B$31:$B$48),$J3877,('Loading-truck'!$E$31:$E$48))*Impacts!$F$14,0)),0)</f>
        <v>0</v>
      </c>
      <c r="S3877" s="10">
        <f>IFERROR(IF(('Loading-rail'!$C$21)="No control",SUMIF(('Loading-rail'!$B$31:$B$48),$J3877,('Loading-rail'!$D$31:$D$48))*Impacts!$F$15,IF(('Loading-rail'!$C$21)&lt;&gt;"No control",SUMIF(('Loading-rail'!$B$31:$B$48),$J3877,('Loading-rail'!$E$31:$E$48))*Impacts!$F$15,0)),0)</f>
        <v>0</v>
      </c>
      <c r="T3877" s="10">
        <f>IF(Flare!$C$7="",0,(SUMIF(Flare!$B$46:$B$185,$J3877,Flare!$E$46:$E$185)*Impacts!$F$16))</f>
        <v>0</v>
      </c>
      <c r="U3877" s="10">
        <f>IF(VCU!$C$9="",0,(SUMIF(VCU!$B$51:$B$193,$J3877,VCU!$E$51:$E$193)*Impacts!$F$17))</f>
        <v>0</v>
      </c>
      <c r="V3877" s="10">
        <f>IF(CAS!$C$7="",0,(SUMIF(CAS!$B$31:$B$167,$J3877,CAS!$E$31:$E$167)*Impacts!$F$18))</f>
        <v>0</v>
      </c>
      <c r="W3877" s="10">
        <f t="shared" si="101"/>
        <v>0</v>
      </c>
      <c r="AK3877" s="10" t="str">
        <f t="array" ref="AK3877">IFERROR(INDEX(SelectedSpecies,SMALL(IF(SelectedSpecies=AK$1,ROW(SelectedSpecies)),ROW(3878:3878)),2),"")</f>
        <v/>
      </c>
      <c r="BE3877" s="10"/>
      <c r="BI3877" s="10"/>
    </row>
    <row r="3878" spans="1:61" ht="21" customHeight="1" x14ac:dyDescent="0.25">
      <c r="A3878" s="10"/>
      <c r="B3878" s="10"/>
      <c r="E3878" s="10"/>
      <c r="G3878" s="10"/>
      <c r="I3878" s="436" t="s">
        <v>3405</v>
      </c>
      <c r="J3878" s="26" t="s">
        <v>3404</v>
      </c>
      <c r="K3878" s="10">
        <v>10</v>
      </c>
      <c r="L3878" s="73">
        <f>IF(Tank1!$C$23="No control",(SUMIF(Tank1!$B$32:$B$49,$J3878,Tank1!$C$32:$C$49)*Impacts!$F$8),0)</f>
        <v>0</v>
      </c>
      <c r="M3878" s="10">
        <f>IF(Tank2!$C$23="No control",(SUMIF(Tank2!$B$32:$B$49,$J3878,Tank2!$C$32:$C$49)*Impacts!$F$9),0)</f>
        <v>0</v>
      </c>
      <c r="N3878" s="10">
        <f>IF(Tank3!$C$23="No control",(SUMIF(Tank3!$B$32:$B$49,$J3878,Tank3!$C$32:$C$49)*Impacts!$F$10),0)</f>
        <v>0</v>
      </c>
      <c r="O3878" s="10">
        <f>IF(Tank4!$C$23="No control",(SUMIF(Tank4!$B$32:$B$49,$J3878,Tank4!$C$32:$C$49)*Impacts!$F$11),0)</f>
        <v>0</v>
      </c>
      <c r="P3878" s="10">
        <f>IF(Tank5!$C$23="No control",(SUMIF(Tank5!$B$32:$B$49,$J3878,Tank5!$C$32:$C$49)*Impacts!$F$12),0)</f>
        <v>0</v>
      </c>
      <c r="Q3878" s="10">
        <f>IFERROR(IF(('Loading-drum,tote'!$C$21)="No control",SUMIF(('Loading-drum,tote'!$B$31:$B$48),$J3878,('Loading-drum,tote'!$D$31:$D$48))*Impacts!$F$13,IF(('Loading-drum,tote'!$C$21)&lt;&gt;"No control",SUMIF(('Loading-drum,tote'!$B$31:$B$48),$J3878,('Loading-drum,tote'!$E$31:$E$48))*Impacts!$F$13,0)),0)</f>
        <v>0</v>
      </c>
      <c r="R3878" s="10">
        <f>IFERROR(IF(('Loading-truck'!$C$21)="No control",SUMIF(('Loading-truck'!$B$31:$B$48),$J3878,('Loading-truck'!$D$31:$D$48))*Impacts!$F$14,IF(('Loading-truck'!$C$21)&lt;&gt;"No control",SUMIF(('Loading-truck'!$B$31:$B$48),$J3878,('Loading-truck'!$E$31:$E$48))*Impacts!$F$14,0)),0)</f>
        <v>0</v>
      </c>
      <c r="S3878" s="10">
        <f>IFERROR(IF(('Loading-rail'!$C$21)="No control",SUMIF(('Loading-rail'!$B$31:$B$48),$J3878,('Loading-rail'!$D$31:$D$48))*Impacts!$F$15,IF(('Loading-rail'!$C$21)&lt;&gt;"No control",SUMIF(('Loading-rail'!$B$31:$B$48),$J3878,('Loading-rail'!$E$31:$E$48))*Impacts!$F$15,0)),0)</f>
        <v>0</v>
      </c>
      <c r="T3878" s="10">
        <f>IF(Flare!$C$7="",0,(SUMIF(Flare!$B$46:$B$185,$J3878,Flare!$E$46:$E$185)*Impacts!$F$16))</f>
        <v>0</v>
      </c>
      <c r="U3878" s="10">
        <f>IF(VCU!$C$9="",0,(SUMIF(VCU!$B$51:$B$193,$J3878,VCU!$E$51:$E$193)*Impacts!$F$17))</f>
        <v>0</v>
      </c>
      <c r="V3878" s="10">
        <f>IF(CAS!$C$7="",0,(SUMIF(CAS!$B$31:$B$167,$J3878,CAS!$E$31:$E$167)*Impacts!$F$18))</f>
        <v>0</v>
      </c>
      <c r="W3878" s="10">
        <f t="shared" si="101"/>
        <v>0</v>
      </c>
      <c r="AK3878" s="10" t="str">
        <f t="array" ref="AK3878">IFERROR(INDEX(SelectedSpecies,SMALL(IF(SelectedSpecies=AK$1,ROW(SelectedSpecies)),ROW(3879:3879)),2),"")</f>
        <v/>
      </c>
      <c r="BE3878" s="10"/>
      <c r="BI3878" s="10"/>
    </row>
    <row r="3879" spans="1:61" ht="21" customHeight="1" x14ac:dyDescent="0.25">
      <c r="A3879" s="10"/>
      <c r="B3879" s="10"/>
      <c r="E3879" s="10"/>
      <c r="G3879" s="10"/>
      <c r="I3879" s="436" t="s">
        <v>2653</v>
      </c>
      <c r="J3879" s="26" t="s">
        <v>2652</v>
      </c>
      <c r="K3879" s="10">
        <v>10</v>
      </c>
      <c r="L3879" s="73">
        <f>IF(Tank1!$C$23="No control",(SUMIF(Tank1!$B$32:$B$49,$J3879,Tank1!$C$32:$C$49)*Impacts!$F$8),0)</f>
        <v>0</v>
      </c>
      <c r="M3879" s="10">
        <f>IF(Tank2!$C$23="No control",(SUMIF(Tank2!$B$32:$B$49,$J3879,Tank2!$C$32:$C$49)*Impacts!$F$9),0)</f>
        <v>0</v>
      </c>
      <c r="N3879" s="10">
        <f>IF(Tank3!$C$23="No control",(SUMIF(Tank3!$B$32:$B$49,$J3879,Tank3!$C$32:$C$49)*Impacts!$F$10),0)</f>
        <v>0</v>
      </c>
      <c r="O3879" s="10">
        <f>IF(Tank4!$C$23="No control",(SUMIF(Tank4!$B$32:$B$49,$J3879,Tank4!$C$32:$C$49)*Impacts!$F$11),0)</f>
        <v>0</v>
      </c>
      <c r="P3879" s="10">
        <f>IF(Tank5!$C$23="No control",(SUMIF(Tank5!$B$32:$B$49,$J3879,Tank5!$C$32:$C$49)*Impacts!$F$12),0)</f>
        <v>0</v>
      </c>
      <c r="Q3879" s="10">
        <f>IFERROR(IF(('Loading-drum,tote'!$C$21)="No control",SUMIF(('Loading-drum,tote'!$B$31:$B$48),$J3879,('Loading-drum,tote'!$D$31:$D$48))*Impacts!$F$13,IF(('Loading-drum,tote'!$C$21)&lt;&gt;"No control",SUMIF(('Loading-drum,tote'!$B$31:$B$48),$J3879,('Loading-drum,tote'!$E$31:$E$48))*Impacts!$F$13,0)),0)</f>
        <v>0</v>
      </c>
      <c r="R3879" s="10">
        <f>IFERROR(IF(('Loading-truck'!$C$21)="No control",SUMIF(('Loading-truck'!$B$31:$B$48),$J3879,('Loading-truck'!$D$31:$D$48))*Impacts!$F$14,IF(('Loading-truck'!$C$21)&lt;&gt;"No control",SUMIF(('Loading-truck'!$B$31:$B$48),$J3879,('Loading-truck'!$E$31:$E$48))*Impacts!$F$14,0)),0)</f>
        <v>0</v>
      </c>
      <c r="S3879" s="10">
        <f>IFERROR(IF(('Loading-rail'!$C$21)="No control",SUMIF(('Loading-rail'!$B$31:$B$48),$J3879,('Loading-rail'!$D$31:$D$48))*Impacts!$F$15,IF(('Loading-rail'!$C$21)&lt;&gt;"No control",SUMIF(('Loading-rail'!$B$31:$B$48),$J3879,('Loading-rail'!$E$31:$E$48))*Impacts!$F$15,0)),0)</f>
        <v>0</v>
      </c>
      <c r="T3879" s="10">
        <f>IF(Flare!$C$7="",0,(SUMIF(Flare!$B$46:$B$185,$J3879,Flare!$E$46:$E$185)*Impacts!$F$16))</f>
        <v>0</v>
      </c>
      <c r="U3879" s="10">
        <f>IF(VCU!$C$9="",0,(SUMIF(VCU!$B$51:$B$193,$J3879,VCU!$E$51:$E$193)*Impacts!$F$17))</f>
        <v>0</v>
      </c>
      <c r="V3879" s="10">
        <f>IF(CAS!$C$7="",0,(SUMIF(CAS!$B$31:$B$167,$J3879,CAS!$E$31:$E$167)*Impacts!$F$18))</f>
        <v>0</v>
      </c>
      <c r="W3879" s="10">
        <f t="shared" si="101"/>
        <v>0</v>
      </c>
      <c r="AK3879" s="10" t="str">
        <f t="array" ref="AK3879">IFERROR(INDEX(SelectedSpecies,SMALL(IF(SelectedSpecies=AK$1,ROW(SelectedSpecies)),ROW(3880:3880)),2),"")</f>
        <v/>
      </c>
      <c r="BE3879" s="10"/>
      <c r="BI3879" s="10"/>
    </row>
    <row r="3880" spans="1:61" ht="21" customHeight="1" x14ac:dyDescent="0.25">
      <c r="A3880" s="10"/>
      <c r="B3880" s="10"/>
      <c r="E3880" s="10"/>
      <c r="G3880" s="10"/>
      <c r="I3880" s="436" t="s">
        <v>5203</v>
      </c>
      <c r="J3880" s="26" t="s">
        <v>5202</v>
      </c>
      <c r="K3880" s="10">
        <v>2</v>
      </c>
      <c r="L3880" s="73">
        <f>IF(Tank1!$C$23="No control",(SUMIF(Tank1!$B$32:$B$49,$J3880,Tank1!$C$32:$C$49)*Impacts!$F$8),0)</f>
        <v>0</v>
      </c>
      <c r="M3880" s="10">
        <f>IF(Tank2!$C$23="No control",(SUMIF(Tank2!$B$32:$B$49,$J3880,Tank2!$C$32:$C$49)*Impacts!$F$9),0)</f>
        <v>0</v>
      </c>
      <c r="N3880" s="10">
        <f>IF(Tank3!$C$23="No control",(SUMIF(Tank3!$B$32:$B$49,$J3880,Tank3!$C$32:$C$49)*Impacts!$F$10),0)</f>
        <v>0</v>
      </c>
      <c r="O3880" s="10">
        <f>IF(Tank4!$C$23="No control",(SUMIF(Tank4!$B$32:$B$49,$J3880,Tank4!$C$32:$C$49)*Impacts!$F$11),0)</f>
        <v>0</v>
      </c>
      <c r="P3880" s="10">
        <f>IF(Tank5!$C$23="No control",(SUMIF(Tank5!$B$32:$B$49,$J3880,Tank5!$C$32:$C$49)*Impacts!$F$12),0)</f>
        <v>0</v>
      </c>
      <c r="Q3880" s="10">
        <f>IFERROR(IF(('Loading-drum,tote'!$C$21)="No control",SUMIF(('Loading-drum,tote'!$B$31:$B$48),$J3880,('Loading-drum,tote'!$D$31:$D$48))*Impacts!$F$13,IF(('Loading-drum,tote'!$C$21)&lt;&gt;"No control",SUMIF(('Loading-drum,tote'!$B$31:$B$48),$J3880,('Loading-drum,tote'!$E$31:$E$48))*Impacts!$F$13,0)),0)</f>
        <v>0</v>
      </c>
      <c r="R3880" s="10">
        <f>IFERROR(IF(('Loading-truck'!$C$21)="No control",SUMIF(('Loading-truck'!$B$31:$B$48),$J3880,('Loading-truck'!$D$31:$D$48))*Impacts!$F$14,IF(('Loading-truck'!$C$21)&lt;&gt;"No control",SUMIF(('Loading-truck'!$B$31:$B$48),$J3880,('Loading-truck'!$E$31:$E$48))*Impacts!$F$14,0)),0)</f>
        <v>0</v>
      </c>
      <c r="S3880" s="10">
        <f>IFERROR(IF(('Loading-rail'!$C$21)="No control",SUMIF(('Loading-rail'!$B$31:$B$48),$J3880,('Loading-rail'!$D$31:$D$48))*Impacts!$F$15,IF(('Loading-rail'!$C$21)&lt;&gt;"No control",SUMIF(('Loading-rail'!$B$31:$B$48),$J3880,('Loading-rail'!$E$31:$E$48))*Impacts!$F$15,0)),0)</f>
        <v>0</v>
      </c>
      <c r="T3880" s="10">
        <f>IF(Flare!$C$7="",0,(SUMIF(Flare!$B$46:$B$185,$J3880,Flare!$E$46:$E$185)*Impacts!$F$16))</f>
        <v>0</v>
      </c>
      <c r="U3880" s="10">
        <f>IF(VCU!$C$9="",0,(SUMIF(VCU!$B$51:$B$193,$J3880,VCU!$E$51:$E$193)*Impacts!$F$17))</f>
        <v>0</v>
      </c>
      <c r="V3880" s="10">
        <f>IF(CAS!$C$7="",0,(SUMIF(CAS!$B$31:$B$167,$J3880,CAS!$E$31:$E$167)*Impacts!$F$18))</f>
        <v>0</v>
      </c>
      <c r="W3880" s="10">
        <f t="shared" si="101"/>
        <v>0</v>
      </c>
      <c r="AK3880" s="10" t="str">
        <f t="array" ref="AK3880">IFERROR(INDEX(SelectedSpecies,SMALL(IF(SelectedSpecies=AK$1,ROW(SelectedSpecies)),ROW(3881:3881)),2),"")</f>
        <v/>
      </c>
      <c r="BE3880" s="10"/>
      <c r="BI3880" s="10"/>
    </row>
    <row r="3881" spans="1:61" ht="21" customHeight="1" x14ac:dyDescent="0.25">
      <c r="A3881" s="10"/>
      <c r="B3881" s="10"/>
      <c r="E3881" s="10"/>
      <c r="G3881" s="10"/>
      <c r="I3881" s="436" t="s">
        <v>3407</v>
      </c>
      <c r="J3881" s="26" t="s">
        <v>3406</v>
      </c>
      <c r="K3881" s="10">
        <v>10</v>
      </c>
      <c r="L3881" s="73">
        <f>IF(Tank1!$C$23="No control",(SUMIF(Tank1!$B$32:$B$49,$J3881,Tank1!$C$32:$C$49)*Impacts!$F$8),0)</f>
        <v>0</v>
      </c>
      <c r="M3881" s="10">
        <f>IF(Tank2!$C$23="No control",(SUMIF(Tank2!$B$32:$B$49,$J3881,Tank2!$C$32:$C$49)*Impacts!$F$9),0)</f>
        <v>0</v>
      </c>
      <c r="N3881" s="10">
        <f>IF(Tank3!$C$23="No control",(SUMIF(Tank3!$B$32:$B$49,$J3881,Tank3!$C$32:$C$49)*Impacts!$F$10),0)</f>
        <v>0</v>
      </c>
      <c r="O3881" s="10">
        <f>IF(Tank4!$C$23="No control",(SUMIF(Tank4!$B$32:$B$49,$J3881,Tank4!$C$32:$C$49)*Impacts!$F$11),0)</f>
        <v>0</v>
      </c>
      <c r="P3881" s="10">
        <f>IF(Tank5!$C$23="No control",(SUMIF(Tank5!$B$32:$B$49,$J3881,Tank5!$C$32:$C$49)*Impacts!$F$12),0)</f>
        <v>0</v>
      </c>
      <c r="Q3881" s="10">
        <f>IFERROR(IF(('Loading-drum,tote'!$C$21)="No control",SUMIF(('Loading-drum,tote'!$B$31:$B$48),$J3881,('Loading-drum,tote'!$D$31:$D$48))*Impacts!$F$13,IF(('Loading-drum,tote'!$C$21)&lt;&gt;"No control",SUMIF(('Loading-drum,tote'!$B$31:$B$48),$J3881,('Loading-drum,tote'!$E$31:$E$48))*Impacts!$F$13,0)),0)</f>
        <v>0</v>
      </c>
      <c r="R3881" s="10">
        <f>IFERROR(IF(('Loading-truck'!$C$21)="No control",SUMIF(('Loading-truck'!$B$31:$B$48),$J3881,('Loading-truck'!$D$31:$D$48))*Impacts!$F$14,IF(('Loading-truck'!$C$21)&lt;&gt;"No control",SUMIF(('Loading-truck'!$B$31:$B$48),$J3881,('Loading-truck'!$E$31:$E$48))*Impacts!$F$14,0)),0)</f>
        <v>0</v>
      </c>
      <c r="S3881" s="10">
        <f>IFERROR(IF(('Loading-rail'!$C$21)="No control",SUMIF(('Loading-rail'!$B$31:$B$48),$J3881,('Loading-rail'!$D$31:$D$48))*Impacts!$F$15,IF(('Loading-rail'!$C$21)&lt;&gt;"No control",SUMIF(('Loading-rail'!$B$31:$B$48),$J3881,('Loading-rail'!$E$31:$E$48))*Impacts!$F$15,0)),0)</f>
        <v>0</v>
      </c>
      <c r="T3881" s="10">
        <f>IF(Flare!$C$7="",0,(SUMIF(Flare!$B$46:$B$185,$J3881,Flare!$E$46:$E$185)*Impacts!$F$16))</f>
        <v>0</v>
      </c>
      <c r="U3881" s="10">
        <f>IF(VCU!$C$9="",0,(SUMIF(VCU!$B$51:$B$193,$J3881,VCU!$E$51:$E$193)*Impacts!$F$17))</f>
        <v>0</v>
      </c>
      <c r="V3881" s="10">
        <f>IF(CAS!$C$7="",0,(SUMIF(CAS!$B$31:$B$167,$J3881,CAS!$E$31:$E$167)*Impacts!$F$18))</f>
        <v>0</v>
      </c>
      <c r="W3881" s="10">
        <f t="shared" si="101"/>
        <v>0</v>
      </c>
      <c r="AK3881" s="10" t="str">
        <f t="array" ref="AK3881">IFERROR(INDEX(SelectedSpecies,SMALL(IF(SelectedSpecies=AK$1,ROW(SelectedSpecies)),ROW(3882:3882)),2),"")</f>
        <v/>
      </c>
      <c r="BE3881" s="10"/>
      <c r="BI3881" s="10"/>
    </row>
    <row r="3882" spans="1:61" ht="21" customHeight="1" x14ac:dyDescent="0.25">
      <c r="A3882" s="10"/>
      <c r="B3882" s="10"/>
      <c r="E3882" s="10"/>
      <c r="G3882" s="10"/>
      <c r="I3882" s="436" t="s">
        <v>3891</v>
      </c>
      <c r="J3882" s="26" t="s">
        <v>3890</v>
      </c>
      <c r="K3882" s="10">
        <v>6</v>
      </c>
      <c r="L3882" s="73">
        <f>IF(Tank1!$C$23="No control",(SUMIF(Tank1!$B$32:$B$49,$J3882,Tank1!$C$32:$C$49)*Impacts!$F$8),0)</f>
        <v>0</v>
      </c>
      <c r="M3882" s="10">
        <f>IF(Tank2!$C$23="No control",(SUMIF(Tank2!$B$32:$B$49,$J3882,Tank2!$C$32:$C$49)*Impacts!$F$9),0)</f>
        <v>0</v>
      </c>
      <c r="N3882" s="10">
        <f>IF(Tank3!$C$23="No control",(SUMIF(Tank3!$B$32:$B$49,$J3882,Tank3!$C$32:$C$49)*Impacts!$F$10),0)</f>
        <v>0</v>
      </c>
      <c r="O3882" s="10">
        <f>IF(Tank4!$C$23="No control",(SUMIF(Tank4!$B$32:$B$49,$J3882,Tank4!$C$32:$C$49)*Impacts!$F$11),0)</f>
        <v>0</v>
      </c>
      <c r="P3882" s="10">
        <f>IF(Tank5!$C$23="No control",(SUMIF(Tank5!$B$32:$B$49,$J3882,Tank5!$C$32:$C$49)*Impacts!$F$12),0)</f>
        <v>0</v>
      </c>
      <c r="Q3882" s="10">
        <f>IFERROR(IF(('Loading-drum,tote'!$C$21)="No control",SUMIF(('Loading-drum,tote'!$B$31:$B$48),$J3882,('Loading-drum,tote'!$D$31:$D$48))*Impacts!$F$13,IF(('Loading-drum,tote'!$C$21)&lt;&gt;"No control",SUMIF(('Loading-drum,tote'!$B$31:$B$48),$J3882,('Loading-drum,tote'!$E$31:$E$48))*Impacts!$F$13,0)),0)</f>
        <v>0</v>
      </c>
      <c r="R3882" s="10">
        <f>IFERROR(IF(('Loading-truck'!$C$21)="No control",SUMIF(('Loading-truck'!$B$31:$B$48),$J3882,('Loading-truck'!$D$31:$D$48))*Impacts!$F$14,IF(('Loading-truck'!$C$21)&lt;&gt;"No control",SUMIF(('Loading-truck'!$B$31:$B$48),$J3882,('Loading-truck'!$E$31:$E$48))*Impacts!$F$14,0)),0)</f>
        <v>0</v>
      </c>
      <c r="S3882" s="10">
        <f>IFERROR(IF(('Loading-rail'!$C$21)="No control",SUMIF(('Loading-rail'!$B$31:$B$48),$J3882,('Loading-rail'!$D$31:$D$48))*Impacts!$F$15,IF(('Loading-rail'!$C$21)&lt;&gt;"No control",SUMIF(('Loading-rail'!$B$31:$B$48),$J3882,('Loading-rail'!$E$31:$E$48))*Impacts!$F$15,0)),0)</f>
        <v>0</v>
      </c>
      <c r="T3882" s="10">
        <f>IF(Flare!$C$7="",0,(SUMIF(Flare!$B$46:$B$185,$J3882,Flare!$E$46:$E$185)*Impacts!$F$16))</f>
        <v>0</v>
      </c>
      <c r="U3882" s="10">
        <f>IF(VCU!$C$9="",0,(SUMIF(VCU!$B$51:$B$193,$J3882,VCU!$E$51:$E$193)*Impacts!$F$17))</f>
        <v>0</v>
      </c>
      <c r="V3882" s="10">
        <f>IF(CAS!$C$7="",0,(SUMIF(CAS!$B$31:$B$167,$J3882,CAS!$E$31:$E$167)*Impacts!$F$18))</f>
        <v>0</v>
      </c>
      <c r="W3882" s="10">
        <f t="shared" si="101"/>
        <v>0</v>
      </c>
      <c r="AK3882" s="10" t="str">
        <f t="array" ref="AK3882">IFERROR(INDEX(SelectedSpecies,SMALL(IF(SelectedSpecies=AK$1,ROW(SelectedSpecies)),ROW(3883:3883)),2),"")</f>
        <v/>
      </c>
      <c r="BE3882" s="10"/>
      <c r="BI3882" s="10"/>
    </row>
    <row r="3883" spans="1:61" ht="21" customHeight="1" x14ac:dyDescent="0.25">
      <c r="A3883" s="10"/>
      <c r="B3883" s="10"/>
      <c r="E3883" s="10"/>
      <c r="G3883" s="10"/>
      <c r="I3883" s="436" t="s">
        <v>7206</v>
      </c>
      <c r="J3883" s="26" t="s">
        <v>7205</v>
      </c>
      <c r="K3883" s="10">
        <v>0.33</v>
      </c>
      <c r="L3883" s="73">
        <f>IF(Tank1!$C$23="No control",(SUMIF(Tank1!$B$32:$B$49,$J3883,Tank1!$C$32:$C$49)*Impacts!$F$8),0)</f>
        <v>0</v>
      </c>
      <c r="M3883" s="10">
        <f>IF(Tank2!$C$23="No control",(SUMIF(Tank2!$B$32:$B$49,$J3883,Tank2!$C$32:$C$49)*Impacts!$F$9),0)</f>
        <v>0</v>
      </c>
      <c r="N3883" s="10">
        <f>IF(Tank3!$C$23="No control",(SUMIF(Tank3!$B$32:$B$49,$J3883,Tank3!$C$32:$C$49)*Impacts!$F$10),0)</f>
        <v>0</v>
      </c>
      <c r="O3883" s="10">
        <f>IF(Tank4!$C$23="No control",(SUMIF(Tank4!$B$32:$B$49,$J3883,Tank4!$C$32:$C$49)*Impacts!$F$11),0)</f>
        <v>0</v>
      </c>
      <c r="P3883" s="10">
        <f>IF(Tank5!$C$23="No control",(SUMIF(Tank5!$B$32:$B$49,$J3883,Tank5!$C$32:$C$49)*Impacts!$F$12),0)</f>
        <v>0</v>
      </c>
      <c r="Q3883" s="10">
        <f>IFERROR(IF(('Loading-drum,tote'!$C$21)="No control",SUMIF(('Loading-drum,tote'!$B$31:$B$48),$J3883,('Loading-drum,tote'!$D$31:$D$48))*Impacts!$F$13,IF(('Loading-drum,tote'!$C$21)&lt;&gt;"No control",SUMIF(('Loading-drum,tote'!$B$31:$B$48),$J3883,('Loading-drum,tote'!$E$31:$E$48))*Impacts!$F$13,0)),0)</f>
        <v>0</v>
      </c>
      <c r="R3883" s="10">
        <f>IFERROR(IF(('Loading-truck'!$C$21)="No control",SUMIF(('Loading-truck'!$B$31:$B$48),$J3883,('Loading-truck'!$D$31:$D$48))*Impacts!$F$14,IF(('Loading-truck'!$C$21)&lt;&gt;"No control",SUMIF(('Loading-truck'!$B$31:$B$48),$J3883,('Loading-truck'!$E$31:$E$48))*Impacts!$F$14,0)),0)</f>
        <v>0</v>
      </c>
      <c r="S3883" s="10">
        <f>IFERROR(IF(('Loading-rail'!$C$21)="No control",SUMIF(('Loading-rail'!$B$31:$B$48),$J3883,('Loading-rail'!$D$31:$D$48))*Impacts!$F$15,IF(('Loading-rail'!$C$21)&lt;&gt;"No control",SUMIF(('Loading-rail'!$B$31:$B$48),$J3883,('Loading-rail'!$E$31:$E$48))*Impacts!$F$15,0)),0)</f>
        <v>0</v>
      </c>
      <c r="T3883" s="10">
        <f>IF(Flare!$C$7="",0,(SUMIF(Flare!$B$46:$B$185,$J3883,Flare!$E$46:$E$185)*Impacts!$F$16))</f>
        <v>0</v>
      </c>
      <c r="U3883" s="10">
        <f>IF(VCU!$C$9="",0,(SUMIF(VCU!$B$51:$B$193,$J3883,VCU!$E$51:$E$193)*Impacts!$F$17))</f>
        <v>0</v>
      </c>
      <c r="V3883" s="10">
        <f>IF(CAS!$C$7="",0,(SUMIF(CAS!$B$31:$B$167,$J3883,CAS!$E$31:$E$167)*Impacts!$F$18))</f>
        <v>0</v>
      </c>
      <c r="W3883" s="10">
        <f t="shared" si="101"/>
        <v>0</v>
      </c>
      <c r="AK3883" s="10" t="str">
        <f t="array" ref="AK3883">IFERROR(INDEX(SelectedSpecies,SMALL(IF(SelectedSpecies=AK$1,ROW(SelectedSpecies)),ROW(3884:3884)),2),"")</f>
        <v/>
      </c>
      <c r="BE3883" s="10"/>
      <c r="BI3883" s="10"/>
    </row>
    <row r="3884" spans="1:61" ht="21" customHeight="1" x14ac:dyDescent="0.25">
      <c r="A3884" s="10"/>
      <c r="B3884" s="10"/>
      <c r="E3884" s="10"/>
      <c r="G3884" s="10"/>
      <c r="I3884" s="436" t="s">
        <v>4047</v>
      </c>
      <c r="J3884" s="26" t="s">
        <v>4046</v>
      </c>
      <c r="K3884" s="10">
        <v>6</v>
      </c>
      <c r="L3884" s="73">
        <f>IF(Tank1!$C$23="No control",(SUMIF(Tank1!$B$32:$B$49,$J3884,Tank1!$C$32:$C$49)*Impacts!$F$8),0)</f>
        <v>0</v>
      </c>
      <c r="M3884" s="10">
        <f>IF(Tank2!$C$23="No control",(SUMIF(Tank2!$B$32:$B$49,$J3884,Tank2!$C$32:$C$49)*Impacts!$F$9),0)</f>
        <v>0</v>
      </c>
      <c r="N3884" s="10">
        <f>IF(Tank3!$C$23="No control",(SUMIF(Tank3!$B$32:$B$49,$J3884,Tank3!$C$32:$C$49)*Impacts!$F$10),0)</f>
        <v>0</v>
      </c>
      <c r="O3884" s="10">
        <f>IF(Tank4!$C$23="No control",(SUMIF(Tank4!$B$32:$B$49,$J3884,Tank4!$C$32:$C$49)*Impacts!$F$11),0)</f>
        <v>0</v>
      </c>
      <c r="P3884" s="10">
        <f>IF(Tank5!$C$23="No control",(SUMIF(Tank5!$B$32:$B$49,$J3884,Tank5!$C$32:$C$49)*Impacts!$F$12),0)</f>
        <v>0</v>
      </c>
      <c r="Q3884" s="10">
        <f>IFERROR(IF(('Loading-drum,tote'!$C$21)="No control",SUMIF(('Loading-drum,tote'!$B$31:$B$48),$J3884,('Loading-drum,tote'!$D$31:$D$48))*Impacts!$F$13,IF(('Loading-drum,tote'!$C$21)&lt;&gt;"No control",SUMIF(('Loading-drum,tote'!$B$31:$B$48),$J3884,('Loading-drum,tote'!$E$31:$E$48))*Impacts!$F$13,0)),0)</f>
        <v>0</v>
      </c>
      <c r="R3884" s="10">
        <f>IFERROR(IF(('Loading-truck'!$C$21)="No control",SUMIF(('Loading-truck'!$B$31:$B$48),$J3884,('Loading-truck'!$D$31:$D$48))*Impacts!$F$14,IF(('Loading-truck'!$C$21)&lt;&gt;"No control",SUMIF(('Loading-truck'!$B$31:$B$48),$J3884,('Loading-truck'!$E$31:$E$48))*Impacts!$F$14,0)),0)</f>
        <v>0</v>
      </c>
      <c r="S3884" s="10">
        <f>IFERROR(IF(('Loading-rail'!$C$21)="No control",SUMIF(('Loading-rail'!$B$31:$B$48),$J3884,('Loading-rail'!$D$31:$D$48))*Impacts!$F$15,IF(('Loading-rail'!$C$21)&lt;&gt;"No control",SUMIF(('Loading-rail'!$B$31:$B$48),$J3884,('Loading-rail'!$E$31:$E$48))*Impacts!$F$15,0)),0)</f>
        <v>0</v>
      </c>
      <c r="T3884" s="10">
        <f>IF(Flare!$C$7="",0,(SUMIF(Flare!$B$46:$B$185,$J3884,Flare!$E$46:$E$185)*Impacts!$F$16))</f>
        <v>0</v>
      </c>
      <c r="U3884" s="10">
        <f>IF(VCU!$C$9="",0,(SUMIF(VCU!$B$51:$B$193,$J3884,VCU!$E$51:$E$193)*Impacts!$F$17))</f>
        <v>0</v>
      </c>
      <c r="V3884" s="10">
        <f>IF(CAS!$C$7="",0,(SUMIF(CAS!$B$31:$B$167,$J3884,CAS!$E$31:$E$167)*Impacts!$F$18))</f>
        <v>0</v>
      </c>
      <c r="W3884" s="10">
        <f t="shared" si="101"/>
        <v>0</v>
      </c>
      <c r="AK3884" s="10" t="str">
        <f t="array" ref="AK3884">IFERROR(INDEX(SelectedSpecies,SMALL(IF(SelectedSpecies=AK$1,ROW(SelectedSpecies)),ROW(3885:3885)),2),"")</f>
        <v/>
      </c>
      <c r="BE3884" s="10"/>
      <c r="BI3884" s="10"/>
    </row>
    <row r="3885" spans="1:61" ht="21" customHeight="1" x14ac:dyDescent="0.25">
      <c r="A3885" s="10"/>
      <c r="B3885" s="10"/>
      <c r="E3885" s="10"/>
      <c r="G3885" s="10"/>
      <c r="I3885" s="436" t="s">
        <v>3409</v>
      </c>
      <c r="J3885" s="26" t="s">
        <v>3408</v>
      </c>
      <c r="K3885" s="10">
        <v>10</v>
      </c>
      <c r="L3885" s="73">
        <f>IF(Tank1!$C$23="No control",(SUMIF(Tank1!$B$32:$B$49,$J3885,Tank1!$C$32:$C$49)*Impacts!$F$8),0)</f>
        <v>0</v>
      </c>
      <c r="M3885" s="10">
        <f>IF(Tank2!$C$23="No control",(SUMIF(Tank2!$B$32:$B$49,$J3885,Tank2!$C$32:$C$49)*Impacts!$F$9),0)</f>
        <v>0</v>
      </c>
      <c r="N3885" s="10">
        <f>IF(Tank3!$C$23="No control",(SUMIF(Tank3!$B$32:$B$49,$J3885,Tank3!$C$32:$C$49)*Impacts!$F$10),0)</f>
        <v>0</v>
      </c>
      <c r="O3885" s="10">
        <f>IF(Tank4!$C$23="No control",(SUMIF(Tank4!$B$32:$B$49,$J3885,Tank4!$C$32:$C$49)*Impacts!$F$11),0)</f>
        <v>0</v>
      </c>
      <c r="P3885" s="10">
        <f>IF(Tank5!$C$23="No control",(SUMIF(Tank5!$B$32:$B$49,$J3885,Tank5!$C$32:$C$49)*Impacts!$F$12),0)</f>
        <v>0</v>
      </c>
      <c r="Q3885" s="10">
        <f>IFERROR(IF(('Loading-drum,tote'!$C$21)="No control",SUMIF(('Loading-drum,tote'!$B$31:$B$48),$J3885,('Loading-drum,tote'!$D$31:$D$48))*Impacts!$F$13,IF(('Loading-drum,tote'!$C$21)&lt;&gt;"No control",SUMIF(('Loading-drum,tote'!$B$31:$B$48),$J3885,('Loading-drum,tote'!$E$31:$E$48))*Impacts!$F$13,0)),0)</f>
        <v>0</v>
      </c>
      <c r="R3885" s="10">
        <f>IFERROR(IF(('Loading-truck'!$C$21)="No control",SUMIF(('Loading-truck'!$B$31:$B$48),$J3885,('Loading-truck'!$D$31:$D$48))*Impacts!$F$14,IF(('Loading-truck'!$C$21)&lt;&gt;"No control",SUMIF(('Loading-truck'!$B$31:$B$48),$J3885,('Loading-truck'!$E$31:$E$48))*Impacts!$F$14,0)),0)</f>
        <v>0</v>
      </c>
      <c r="S3885" s="10">
        <f>IFERROR(IF(('Loading-rail'!$C$21)="No control",SUMIF(('Loading-rail'!$B$31:$B$48),$J3885,('Loading-rail'!$D$31:$D$48))*Impacts!$F$15,IF(('Loading-rail'!$C$21)&lt;&gt;"No control",SUMIF(('Loading-rail'!$B$31:$B$48),$J3885,('Loading-rail'!$E$31:$E$48))*Impacts!$F$15,0)),0)</f>
        <v>0</v>
      </c>
      <c r="T3885" s="10">
        <f>IF(Flare!$C$7="",0,(SUMIF(Flare!$B$46:$B$185,$J3885,Flare!$E$46:$E$185)*Impacts!$F$16))</f>
        <v>0</v>
      </c>
      <c r="U3885" s="10">
        <f>IF(VCU!$C$9="",0,(SUMIF(VCU!$B$51:$B$193,$J3885,VCU!$E$51:$E$193)*Impacts!$F$17))</f>
        <v>0</v>
      </c>
      <c r="V3885" s="10">
        <f>IF(CAS!$C$7="",0,(SUMIF(CAS!$B$31:$B$167,$J3885,CAS!$E$31:$E$167)*Impacts!$F$18))</f>
        <v>0</v>
      </c>
      <c r="W3885" s="10">
        <f t="shared" si="101"/>
        <v>0</v>
      </c>
      <c r="AK3885" s="10" t="str">
        <f t="array" ref="AK3885">IFERROR(INDEX(SelectedSpecies,SMALL(IF(SelectedSpecies=AK$1,ROW(SelectedSpecies)),ROW(3886:3886)),2),"")</f>
        <v/>
      </c>
      <c r="BE3885" s="10"/>
      <c r="BI3885" s="10"/>
    </row>
    <row r="3886" spans="1:61" ht="21" customHeight="1" x14ac:dyDescent="0.25">
      <c r="A3886" s="10"/>
      <c r="B3886" s="10"/>
      <c r="E3886" s="10"/>
      <c r="G3886" s="10"/>
      <c r="I3886" s="436" t="s">
        <v>3411</v>
      </c>
      <c r="J3886" s="26" t="s">
        <v>3410</v>
      </c>
      <c r="K3886" s="10">
        <v>10</v>
      </c>
      <c r="L3886" s="73">
        <f>IF(Tank1!$C$23="No control",(SUMIF(Tank1!$B$32:$B$49,$J3886,Tank1!$C$32:$C$49)*Impacts!$F$8),0)</f>
        <v>0</v>
      </c>
      <c r="M3886" s="10">
        <f>IF(Tank2!$C$23="No control",(SUMIF(Tank2!$B$32:$B$49,$J3886,Tank2!$C$32:$C$49)*Impacts!$F$9),0)</f>
        <v>0</v>
      </c>
      <c r="N3886" s="10">
        <f>IF(Tank3!$C$23="No control",(SUMIF(Tank3!$B$32:$B$49,$J3886,Tank3!$C$32:$C$49)*Impacts!$F$10),0)</f>
        <v>0</v>
      </c>
      <c r="O3886" s="10">
        <f>IF(Tank4!$C$23="No control",(SUMIF(Tank4!$B$32:$B$49,$J3886,Tank4!$C$32:$C$49)*Impacts!$F$11),0)</f>
        <v>0</v>
      </c>
      <c r="P3886" s="10">
        <f>IF(Tank5!$C$23="No control",(SUMIF(Tank5!$B$32:$B$49,$J3886,Tank5!$C$32:$C$49)*Impacts!$F$12),0)</f>
        <v>0</v>
      </c>
      <c r="Q3886" s="10">
        <f>IFERROR(IF(('Loading-drum,tote'!$C$21)="No control",SUMIF(('Loading-drum,tote'!$B$31:$B$48),$J3886,('Loading-drum,tote'!$D$31:$D$48))*Impacts!$F$13,IF(('Loading-drum,tote'!$C$21)&lt;&gt;"No control",SUMIF(('Loading-drum,tote'!$B$31:$B$48),$J3886,('Loading-drum,tote'!$E$31:$E$48))*Impacts!$F$13,0)),0)</f>
        <v>0</v>
      </c>
      <c r="R3886" s="10">
        <f>IFERROR(IF(('Loading-truck'!$C$21)="No control",SUMIF(('Loading-truck'!$B$31:$B$48),$J3886,('Loading-truck'!$D$31:$D$48))*Impacts!$F$14,IF(('Loading-truck'!$C$21)&lt;&gt;"No control",SUMIF(('Loading-truck'!$B$31:$B$48),$J3886,('Loading-truck'!$E$31:$E$48))*Impacts!$F$14,0)),0)</f>
        <v>0</v>
      </c>
      <c r="S3886" s="10">
        <f>IFERROR(IF(('Loading-rail'!$C$21)="No control",SUMIF(('Loading-rail'!$B$31:$B$48),$J3886,('Loading-rail'!$D$31:$D$48))*Impacts!$F$15,IF(('Loading-rail'!$C$21)&lt;&gt;"No control",SUMIF(('Loading-rail'!$B$31:$B$48),$J3886,('Loading-rail'!$E$31:$E$48))*Impacts!$F$15,0)),0)</f>
        <v>0</v>
      </c>
      <c r="T3886" s="10">
        <f>IF(Flare!$C$7="",0,(SUMIF(Flare!$B$46:$B$185,$J3886,Flare!$E$46:$E$185)*Impacts!$F$16))</f>
        <v>0</v>
      </c>
      <c r="U3886" s="10">
        <f>IF(VCU!$C$9="",0,(SUMIF(VCU!$B$51:$B$193,$J3886,VCU!$E$51:$E$193)*Impacts!$F$17))</f>
        <v>0</v>
      </c>
      <c r="V3886" s="10">
        <f>IF(CAS!$C$7="",0,(SUMIF(CAS!$B$31:$B$167,$J3886,CAS!$E$31:$E$167)*Impacts!$F$18))</f>
        <v>0</v>
      </c>
      <c r="W3886" s="10">
        <f t="shared" si="101"/>
        <v>0</v>
      </c>
      <c r="AK3886" s="10" t="str">
        <f t="array" ref="AK3886">IFERROR(INDEX(SelectedSpecies,SMALL(IF(SelectedSpecies=AK$1,ROW(SelectedSpecies)),ROW(3887:3887)),2),"")</f>
        <v/>
      </c>
      <c r="BE3886" s="10"/>
      <c r="BI3886" s="10"/>
    </row>
    <row r="3887" spans="1:61" ht="21" customHeight="1" x14ac:dyDescent="0.25">
      <c r="A3887" s="10"/>
      <c r="B3887" s="10"/>
      <c r="E3887" s="10"/>
      <c r="G3887" s="10"/>
      <c r="I3887" s="436" t="s">
        <v>2655</v>
      </c>
      <c r="J3887" s="26" t="s">
        <v>2654</v>
      </c>
      <c r="K3887" s="10">
        <v>10</v>
      </c>
      <c r="L3887" s="73">
        <f>IF(Tank1!$C$23="No control",(SUMIF(Tank1!$B$32:$B$49,$J3887,Tank1!$C$32:$C$49)*Impacts!$F$8),0)</f>
        <v>0</v>
      </c>
      <c r="M3887" s="10">
        <f>IF(Tank2!$C$23="No control",(SUMIF(Tank2!$B$32:$B$49,$J3887,Tank2!$C$32:$C$49)*Impacts!$F$9),0)</f>
        <v>0</v>
      </c>
      <c r="N3887" s="10">
        <f>IF(Tank3!$C$23="No control",(SUMIF(Tank3!$B$32:$B$49,$J3887,Tank3!$C$32:$C$49)*Impacts!$F$10),0)</f>
        <v>0</v>
      </c>
      <c r="O3887" s="10">
        <f>IF(Tank4!$C$23="No control",(SUMIF(Tank4!$B$32:$B$49,$J3887,Tank4!$C$32:$C$49)*Impacts!$F$11),0)</f>
        <v>0</v>
      </c>
      <c r="P3887" s="10">
        <f>IF(Tank5!$C$23="No control",(SUMIF(Tank5!$B$32:$B$49,$J3887,Tank5!$C$32:$C$49)*Impacts!$F$12),0)</f>
        <v>0</v>
      </c>
      <c r="Q3887" s="10">
        <f>IFERROR(IF(('Loading-drum,tote'!$C$21)="No control",SUMIF(('Loading-drum,tote'!$B$31:$B$48),$J3887,('Loading-drum,tote'!$D$31:$D$48))*Impacts!$F$13,IF(('Loading-drum,tote'!$C$21)&lt;&gt;"No control",SUMIF(('Loading-drum,tote'!$B$31:$B$48),$J3887,('Loading-drum,tote'!$E$31:$E$48))*Impacts!$F$13,0)),0)</f>
        <v>0</v>
      </c>
      <c r="R3887" s="10">
        <f>IFERROR(IF(('Loading-truck'!$C$21)="No control",SUMIF(('Loading-truck'!$B$31:$B$48),$J3887,('Loading-truck'!$D$31:$D$48))*Impacts!$F$14,IF(('Loading-truck'!$C$21)&lt;&gt;"No control",SUMIF(('Loading-truck'!$B$31:$B$48),$J3887,('Loading-truck'!$E$31:$E$48))*Impacts!$F$14,0)),0)</f>
        <v>0</v>
      </c>
      <c r="S3887" s="10">
        <f>IFERROR(IF(('Loading-rail'!$C$21)="No control",SUMIF(('Loading-rail'!$B$31:$B$48),$J3887,('Loading-rail'!$D$31:$D$48))*Impacts!$F$15,IF(('Loading-rail'!$C$21)&lt;&gt;"No control",SUMIF(('Loading-rail'!$B$31:$B$48),$J3887,('Loading-rail'!$E$31:$E$48))*Impacts!$F$15,0)),0)</f>
        <v>0</v>
      </c>
      <c r="T3887" s="10">
        <f>IF(Flare!$C$7="",0,(SUMIF(Flare!$B$46:$B$185,$J3887,Flare!$E$46:$E$185)*Impacts!$F$16))</f>
        <v>0</v>
      </c>
      <c r="U3887" s="10">
        <f>IF(VCU!$C$9="",0,(SUMIF(VCU!$B$51:$B$193,$J3887,VCU!$E$51:$E$193)*Impacts!$F$17))</f>
        <v>0</v>
      </c>
      <c r="V3887" s="10">
        <f>IF(CAS!$C$7="",0,(SUMIF(CAS!$B$31:$B$167,$J3887,CAS!$E$31:$E$167)*Impacts!$F$18))</f>
        <v>0</v>
      </c>
      <c r="W3887" s="10">
        <f t="shared" si="101"/>
        <v>0</v>
      </c>
      <c r="AK3887" s="10" t="str">
        <f t="array" ref="AK3887">IFERROR(INDEX(SelectedSpecies,SMALL(IF(SelectedSpecies=AK$1,ROW(SelectedSpecies)),ROW(3888:3888)),2),"")</f>
        <v/>
      </c>
      <c r="BE3887" s="10"/>
      <c r="BI3887" s="10"/>
    </row>
    <row r="3888" spans="1:61" ht="21" customHeight="1" x14ac:dyDescent="0.25">
      <c r="A3888" s="10"/>
      <c r="B3888" s="10"/>
      <c r="E3888" s="10"/>
      <c r="G3888" s="10"/>
      <c r="I3888" s="436" t="s">
        <v>2657</v>
      </c>
      <c r="J3888" s="26" t="s">
        <v>2656</v>
      </c>
      <c r="K3888" s="10">
        <v>10</v>
      </c>
      <c r="L3888" s="73">
        <f>IF(Tank1!$C$23="No control",(SUMIF(Tank1!$B$32:$B$49,$J3888,Tank1!$C$32:$C$49)*Impacts!$F$8),0)</f>
        <v>0</v>
      </c>
      <c r="M3888" s="10">
        <f>IF(Tank2!$C$23="No control",(SUMIF(Tank2!$B$32:$B$49,$J3888,Tank2!$C$32:$C$49)*Impacts!$F$9),0)</f>
        <v>0</v>
      </c>
      <c r="N3888" s="10">
        <f>IF(Tank3!$C$23="No control",(SUMIF(Tank3!$B$32:$B$49,$J3888,Tank3!$C$32:$C$49)*Impacts!$F$10),0)</f>
        <v>0</v>
      </c>
      <c r="O3888" s="10">
        <f>IF(Tank4!$C$23="No control",(SUMIF(Tank4!$B$32:$B$49,$J3888,Tank4!$C$32:$C$49)*Impacts!$F$11),0)</f>
        <v>0</v>
      </c>
      <c r="P3888" s="10">
        <f>IF(Tank5!$C$23="No control",(SUMIF(Tank5!$B$32:$B$49,$J3888,Tank5!$C$32:$C$49)*Impacts!$F$12),0)</f>
        <v>0</v>
      </c>
      <c r="Q3888" s="10">
        <f>IFERROR(IF(('Loading-drum,tote'!$C$21)="No control",SUMIF(('Loading-drum,tote'!$B$31:$B$48),$J3888,('Loading-drum,tote'!$D$31:$D$48))*Impacts!$F$13,IF(('Loading-drum,tote'!$C$21)&lt;&gt;"No control",SUMIF(('Loading-drum,tote'!$B$31:$B$48),$J3888,('Loading-drum,tote'!$E$31:$E$48))*Impacts!$F$13,0)),0)</f>
        <v>0</v>
      </c>
      <c r="R3888" s="10">
        <f>IFERROR(IF(('Loading-truck'!$C$21)="No control",SUMIF(('Loading-truck'!$B$31:$B$48),$J3888,('Loading-truck'!$D$31:$D$48))*Impacts!$F$14,IF(('Loading-truck'!$C$21)&lt;&gt;"No control",SUMIF(('Loading-truck'!$B$31:$B$48),$J3888,('Loading-truck'!$E$31:$E$48))*Impacts!$F$14,0)),0)</f>
        <v>0</v>
      </c>
      <c r="S3888" s="10">
        <f>IFERROR(IF(('Loading-rail'!$C$21)="No control",SUMIF(('Loading-rail'!$B$31:$B$48),$J3888,('Loading-rail'!$D$31:$D$48))*Impacts!$F$15,IF(('Loading-rail'!$C$21)&lt;&gt;"No control",SUMIF(('Loading-rail'!$B$31:$B$48),$J3888,('Loading-rail'!$E$31:$E$48))*Impacts!$F$15,0)),0)</f>
        <v>0</v>
      </c>
      <c r="T3888" s="10">
        <f>IF(Flare!$C$7="",0,(SUMIF(Flare!$B$46:$B$185,$J3888,Flare!$E$46:$E$185)*Impacts!$F$16))</f>
        <v>0</v>
      </c>
      <c r="U3888" s="10">
        <f>IF(VCU!$C$9="",0,(SUMIF(VCU!$B$51:$B$193,$J3888,VCU!$E$51:$E$193)*Impacts!$F$17))</f>
        <v>0</v>
      </c>
      <c r="V3888" s="10">
        <f>IF(CAS!$C$7="",0,(SUMIF(CAS!$B$31:$B$167,$J3888,CAS!$E$31:$E$167)*Impacts!$F$18))</f>
        <v>0</v>
      </c>
      <c r="W3888" s="10">
        <f t="shared" si="101"/>
        <v>0</v>
      </c>
      <c r="AK3888" s="10" t="str">
        <f t="array" ref="AK3888">IFERROR(INDEX(SelectedSpecies,SMALL(IF(SelectedSpecies=AK$1,ROW(SelectedSpecies)),ROW(3889:3889)),2),"")</f>
        <v/>
      </c>
      <c r="BE3888" s="10"/>
      <c r="BI3888" s="10"/>
    </row>
    <row r="3889" spans="1:61" ht="21" customHeight="1" x14ac:dyDescent="0.25">
      <c r="A3889" s="10"/>
      <c r="B3889" s="10"/>
      <c r="E3889" s="10"/>
      <c r="G3889" s="10"/>
      <c r="I3889" s="436" t="s">
        <v>3413</v>
      </c>
      <c r="J3889" s="26" t="s">
        <v>3412</v>
      </c>
      <c r="K3889" s="10">
        <v>10</v>
      </c>
      <c r="L3889" s="73">
        <f>IF(Tank1!$C$23="No control",(SUMIF(Tank1!$B$32:$B$49,$J3889,Tank1!$C$32:$C$49)*Impacts!$F$8),0)</f>
        <v>0</v>
      </c>
      <c r="M3889" s="10">
        <f>IF(Tank2!$C$23="No control",(SUMIF(Tank2!$B$32:$B$49,$J3889,Tank2!$C$32:$C$49)*Impacts!$F$9),0)</f>
        <v>0</v>
      </c>
      <c r="N3889" s="10">
        <f>IF(Tank3!$C$23="No control",(SUMIF(Tank3!$B$32:$B$49,$J3889,Tank3!$C$32:$C$49)*Impacts!$F$10),0)</f>
        <v>0</v>
      </c>
      <c r="O3889" s="10">
        <f>IF(Tank4!$C$23="No control",(SUMIF(Tank4!$B$32:$B$49,$J3889,Tank4!$C$32:$C$49)*Impacts!$F$11),0)</f>
        <v>0</v>
      </c>
      <c r="P3889" s="10">
        <f>IF(Tank5!$C$23="No control",(SUMIF(Tank5!$B$32:$B$49,$J3889,Tank5!$C$32:$C$49)*Impacts!$F$12),0)</f>
        <v>0</v>
      </c>
      <c r="Q3889" s="10">
        <f>IFERROR(IF(('Loading-drum,tote'!$C$21)="No control",SUMIF(('Loading-drum,tote'!$B$31:$B$48),$J3889,('Loading-drum,tote'!$D$31:$D$48))*Impacts!$F$13,IF(('Loading-drum,tote'!$C$21)&lt;&gt;"No control",SUMIF(('Loading-drum,tote'!$B$31:$B$48),$J3889,('Loading-drum,tote'!$E$31:$E$48))*Impacts!$F$13,0)),0)</f>
        <v>0</v>
      </c>
      <c r="R3889" s="10">
        <f>IFERROR(IF(('Loading-truck'!$C$21)="No control",SUMIF(('Loading-truck'!$B$31:$B$48),$J3889,('Loading-truck'!$D$31:$D$48))*Impacts!$F$14,IF(('Loading-truck'!$C$21)&lt;&gt;"No control",SUMIF(('Loading-truck'!$B$31:$B$48),$J3889,('Loading-truck'!$E$31:$E$48))*Impacts!$F$14,0)),0)</f>
        <v>0</v>
      </c>
      <c r="S3889" s="10">
        <f>IFERROR(IF(('Loading-rail'!$C$21)="No control",SUMIF(('Loading-rail'!$B$31:$B$48),$J3889,('Loading-rail'!$D$31:$D$48))*Impacts!$F$15,IF(('Loading-rail'!$C$21)&lt;&gt;"No control",SUMIF(('Loading-rail'!$B$31:$B$48),$J3889,('Loading-rail'!$E$31:$E$48))*Impacts!$F$15,0)),0)</f>
        <v>0</v>
      </c>
      <c r="T3889" s="10">
        <f>IF(Flare!$C$7="",0,(SUMIF(Flare!$B$46:$B$185,$J3889,Flare!$E$46:$E$185)*Impacts!$F$16))</f>
        <v>0</v>
      </c>
      <c r="U3889" s="10">
        <f>IF(VCU!$C$9="",0,(SUMIF(VCU!$B$51:$B$193,$J3889,VCU!$E$51:$E$193)*Impacts!$F$17))</f>
        <v>0</v>
      </c>
      <c r="V3889" s="10">
        <f>IF(CAS!$C$7="",0,(SUMIF(CAS!$B$31:$B$167,$J3889,CAS!$E$31:$E$167)*Impacts!$F$18))</f>
        <v>0</v>
      </c>
      <c r="W3889" s="10">
        <f t="shared" si="101"/>
        <v>0</v>
      </c>
      <c r="AK3889" s="10" t="str">
        <f t="array" ref="AK3889">IFERROR(INDEX(SelectedSpecies,SMALL(IF(SelectedSpecies=AK$1,ROW(SelectedSpecies)),ROW(3890:3890)),2),"")</f>
        <v/>
      </c>
      <c r="BE3889" s="10"/>
      <c r="BI3889" s="10"/>
    </row>
    <row r="3890" spans="1:61" ht="21" customHeight="1" x14ac:dyDescent="0.25">
      <c r="A3890" s="10"/>
      <c r="B3890" s="10"/>
      <c r="E3890" s="10"/>
      <c r="G3890" s="10"/>
      <c r="I3890" s="436" t="s">
        <v>7560</v>
      </c>
      <c r="J3890" s="26" t="s">
        <v>7559</v>
      </c>
      <c r="K3890" s="10">
        <v>0.2</v>
      </c>
      <c r="L3890" s="73">
        <f>IF(Tank1!$C$23="No control",(SUMIF(Tank1!$B$32:$B$49,$J3890,Tank1!$C$32:$C$49)*Impacts!$F$8),0)</f>
        <v>0</v>
      </c>
      <c r="M3890" s="10">
        <f>IF(Tank2!$C$23="No control",(SUMIF(Tank2!$B$32:$B$49,$J3890,Tank2!$C$32:$C$49)*Impacts!$F$9),0)</f>
        <v>0</v>
      </c>
      <c r="N3890" s="10">
        <f>IF(Tank3!$C$23="No control",(SUMIF(Tank3!$B$32:$B$49,$J3890,Tank3!$C$32:$C$49)*Impacts!$F$10),0)</f>
        <v>0</v>
      </c>
      <c r="O3890" s="10">
        <f>IF(Tank4!$C$23="No control",(SUMIF(Tank4!$B$32:$B$49,$J3890,Tank4!$C$32:$C$49)*Impacts!$F$11),0)</f>
        <v>0</v>
      </c>
      <c r="P3890" s="10">
        <f>IF(Tank5!$C$23="No control",(SUMIF(Tank5!$B$32:$B$49,$J3890,Tank5!$C$32:$C$49)*Impacts!$F$12),0)</f>
        <v>0</v>
      </c>
      <c r="Q3890" s="10">
        <f>IFERROR(IF(('Loading-drum,tote'!$C$21)="No control",SUMIF(('Loading-drum,tote'!$B$31:$B$48),$J3890,('Loading-drum,tote'!$D$31:$D$48))*Impacts!$F$13,IF(('Loading-drum,tote'!$C$21)&lt;&gt;"No control",SUMIF(('Loading-drum,tote'!$B$31:$B$48),$J3890,('Loading-drum,tote'!$E$31:$E$48))*Impacts!$F$13,0)),0)</f>
        <v>0</v>
      </c>
      <c r="R3890" s="10">
        <f>IFERROR(IF(('Loading-truck'!$C$21)="No control",SUMIF(('Loading-truck'!$B$31:$B$48),$J3890,('Loading-truck'!$D$31:$D$48))*Impacts!$F$14,IF(('Loading-truck'!$C$21)&lt;&gt;"No control",SUMIF(('Loading-truck'!$B$31:$B$48),$J3890,('Loading-truck'!$E$31:$E$48))*Impacts!$F$14,0)),0)</f>
        <v>0</v>
      </c>
      <c r="S3890" s="10">
        <f>IFERROR(IF(('Loading-rail'!$C$21)="No control",SUMIF(('Loading-rail'!$B$31:$B$48),$J3890,('Loading-rail'!$D$31:$D$48))*Impacts!$F$15,IF(('Loading-rail'!$C$21)&lt;&gt;"No control",SUMIF(('Loading-rail'!$B$31:$B$48),$J3890,('Loading-rail'!$E$31:$E$48))*Impacts!$F$15,0)),0)</f>
        <v>0</v>
      </c>
      <c r="T3890" s="10">
        <f>IF(Flare!$C$7="",0,(SUMIF(Flare!$B$46:$B$185,$J3890,Flare!$E$46:$E$185)*Impacts!$F$16))</f>
        <v>0</v>
      </c>
      <c r="U3890" s="10">
        <f>IF(VCU!$C$9="",0,(SUMIF(VCU!$B$51:$B$193,$J3890,VCU!$E$51:$E$193)*Impacts!$F$17))</f>
        <v>0</v>
      </c>
      <c r="V3890" s="10">
        <f>IF(CAS!$C$7="",0,(SUMIF(CAS!$B$31:$B$167,$J3890,CAS!$E$31:$E$167)*Impacts!$F$18))</f>
        <v>0</v>
      </c>
      <c r="W3890" s="10">
        <f t="shared" si="101"/>
        <v>0</v>
      </c>
      <c r="AK3890" s="10" t="str">
        <f t="array" ref="AK3890">IFERROR(INDEX(SelectedSpecies,SMALL(IF(SelectedSpecies=AK$1,ROW(SelectedSpecies)),ROW(3891:3891)),2),"")</f>
        <v/>
      </c>
      <c r="BE3890" s="10"/>
      <c r="BI3890" s="10"/>
    </row>
    <row r="3891" spans="1:61" ht="21" customHeight="1" x14ac:dyDescent="0.25">
      <c r="A3891" s="10"/>
      <c r="B3891" s="10"/>
      <c r="E3891" s="10"/>
      <c r="G3891" s="10"/>
      <c r="I3891" s="436" t="s">
        <v>4669</v>
      </c>
      <c r="J3891" s="26" t="s">
        <v>4668</v>
      </c>
      <c r="K3891" s="10">
        <v>3.7</v>
      </c>
      <c r="L3891" s="73">
        <f>IF(Tank1!$C$23="No control",(SUMIF(Tank1!$B$32:$B$49,$J3891,Tank1!$C$32:$C$49)*Impacts!$F$8),0)</f>
        <v>0</v>
      </c>
      <c r="M3891" s="10">
        <f>IF(Tank2!$C$23="No control",(SUMIF(Tank2!$B$32:$B$49,$J3891,Tank2!$C$32:$C$49)*Impacts!$F$9),0)</f>
        <v>0</v>
      </c>
      <c r="N3891" s="10">
        <f>IF(Tank3!$C$23="No control",(SUMIF(Tank3!$B$32:$B$49,$J3891,Tank3!$C$32:$C$49)*Impacts!$F$10),0)</f>
        <v>0</v>
      </c>
      <c r="O3891" s="10">
        <f>IF(Tank4!$C$23="No control",(SUMIF(Tank4!$B$32:$B$49,$J3891,Tank4!$C$32:$C$49)*Impacts!$F$11),0)</f>
        <v>0</v>
      </c>
      <c r="P3891" s="10">
        <f>IF(Tank5!$C$23="No control",(SUMIF(Tank5!$B$32:$B$49,$J3891,Tank5!$C$32:$C$49)*Impacts!$F$12),0)</f>
        <v>0</v>
      </c>
      <c r="Q3891" s="10">
        <f>IFERROR(IF(('Loading-drum,tote'!$C$21)="No control",SUMIF(('Loading-drum,tote'!$B$31:$B$48),$J3891,('Loading-drum,tote'!$D$31:$D$48))*Impacts!$F$13,IF(('Loading-drum,tote'!$C$21)&lt;&gt;"No control",SUMIF(('Loading-drum,tote'!$B$31:$B$48),$J3891,('Loading-drum,tote'!$E$31:$E$48))*Impacts!$F$13,0)),0)</f>
        <v>0</v>
      </c>
      <c r="R3891" s="10">
        <f>IFERROR(IF(('Loading-truck'!$C$21)="No control",SUMIF(('Loading-truck'!$B$31:$B$48),$J3891,('Loading-truck'!$D$31:$D$48))*Impacts!$F$14,IF(('Loading-truck'!$C$21)&lt;&gt;"No control",SUMIF(('Loading-truck'!$B$31:$B$48),$J3891,('Loading-truck'!$E$31:$E$48))*Impacts!$F$14,0)),0)</f>
        <v>0</v>
      </c>
      <c r="S3891" s="10">
        <f>IFERROR(IF(('Loading-rail'!$C$21)="No control",SUMIF(('Loading-rail'!$B$31:$B$48),$J3891,('Loading-rail'!$D$31:$D$48))*Impacts!$F$15,IF(('Loading-rail'!$C$21)&lt;&gt;"No control",SUMIF(('Loading-rail'!$B$31:$B$48),$J3891,('Loading-rail'!$E$31:$E$48))*Impacts!$F$15,0)),0)</f>
        <v>0</v>
      </c>
      <c r="T3891" s="10">
        <f>IF(Flare!$C$7="",0,(SUMIF(Flare!$B$46:$B$185,$J3891,Flare!$E$46:$E$185)*Impacts!$F$16))</f>
        <v>0</v>
      </c>
      <c r="U3891" s="10">
        <f>IF(VCU!$C$9="",0,(SUMIF(VCU!$B$51:$B$193,$J3891,VCU!$E$51:$E$193)*Impacts!$F$17))</f>
        <v>0</v>
      </c>
      <c r="V3891" s="10">
        <f>IF(CAS!$C$7="",0,(SUMIF(CAS!$B$31:$B$167,$J3891,CAS!$E$31:$E$167)*Impacts!$F$18))</f>
        <v>0</v>
      </c>
      <c r="W3891" s="10">
        <f t="shared" si="101"/>
        <v>0</v>
      </c>
      <c r="AK3891" s="10" t="str">
        <f t="array" ref="AK3891">IFERROR(INDEX(SelectedSpecies,SMALL(IF(SelectedSpecies=AK$1,ROW(SelectedSpecies)),ROW(3892:3892)),2),"")</f>
        <v/>
      </c>
      <c r="BE3891" s="10"/>
      <c r="BI3891" s="10"/>
    </row>
    <row r="3892" spans="1:61" ht="21" customHeight="1" x14ac:dyDescent="0.25">
      <c r="A3892" s="10"/>
      <c r="B3892" s="10"/>
      <c r="E3892" s="10"/>
      <c r="G3892" s="10"/>
      <c r="I3892" s="436" t="s">
        <v>5205</v>
      </c>
      <c r="J3892" s="26" t="s">
        <v>5204</v>
      </c>
      <c r="K3892" s="10">
        <v>2</v>
      </c>
      <c r="L3892" s="73">
        <f>IF(Tank1!$C$23="No control",(SUMIF(Tank1!$B$32:$B$49,$J3892,Tank1!$C$32:$C$49)*Impacts!$F$8),0)</f>
        <v>0</v>
      </c>
      <c r="M3892" s="10">
        <f>IF(Tank2!$C$23="No control",(SUMIF(Tank2!$B$32:$B$49,$J3892,Tank2!$C$32:$C$49)*Impacts!$F$9),0)</f>
        <v>0</v>
      </c>
      <c r="N3892" s="10">
        <f>IF(Tank3!$C$23="No control",(SUMIF(Tank3!$B$32:$B$49,$J3892,Tank3!$C$32:$C$49)*Impacts!$F$10),0)</f>
        <v>0</v>
      </c>
      <c r="O3892" s="10">
        <f>IF(Tank4!$C$23="No control",(SUMIF(Tank4!$B$32:$B$49,$J3892,Tank4!$C$32:$C$49)*Impacts!$F$11),0)</f>
        <v>0</v>
      </c>
      <c r="P3892" s="10">
        <f>IF(Tank5!$C$23="No control",(SUMIF(Tank5!$B$32:$B$49,$J3892,Tank5!$C$32:$C$49)*Impacts!$F$12),0)</f>
        <v>0</v>
      </c>
      <c r="Q3892" s="10">
        <f>IFERROR(IF(('Loading-drum,tote'!$C$21)="No control",SUMIF(('Loading-drum,tote'!$B$31:$B$48),$J3892,('Loading-drum,tote'!$D$31:$D$48))*Impacts!$F$13,IF(('Loading-drum,tote'!$C$21)&lt;&gt;"No control",SUMIF(('Loading-drum,tote'!$B$31:$B$48),$J3892,('Loading-drum,tote'!$E$31:$E$48))*Impacts!$F$13,0)),0)</f>
        <v>0</v>
      </c>
      <c r="R3892" s="10">
        <f>IFERROR(IF(('Loading-truck'!$C$21)="No control",SUMIF(('Loading-truck'!$B$31:$B$48),$J3892,('Loading-truck'!$D$31:$D$48))*Impacts!$F$14,IF(('Loading-truck'!$C$21)&lt;&gt;"No control",SUMIF(('Loading-truck'!$B$31:$B$48),$J3892,('Loading-truck'!$E$31:$E$48))*Impacts!$F$14,0)),0)</f>
        <v>0</v>
      </c>
      <c r="S3892" s="10">
        <f>IFERROR(IF(('Loading-rail'!$C$21)="No control",SUMIF(('Loading-rail'!$B$31:$B$48),$J3892,('Loading-rail'!$D$31:$D$48))*Impacts!$F$15,IF(('Loading-rail'!$C$21)&lt;&gt;"No control",SUMIF(('Loading-rail'!$B$31:$B$48),$J3892,('Loading-rail'!$E$31:$E$48))*Impacts!$F$15,0)),0)</f>
        <v>0</v>
      </c>
      <c r="T3892" s="10">
        <f>IF(Flare!$C$7="",0,(SUMIF(Flare!$B$46:$B$185,$J3892,Flare!$E$46:$E$185)*Impacts!$F$16))</f>
        <v>0</v>
      </c>
      <c r="U3892" s="10">
        <f>IF(VCU!$C$9="",0,(SUMIF(VCU!$B$51:$B$193,$J3892,VCU!$E$51:$E$193)*Impacts!$F$17))</f>
        <v>0</v>
      </c>
      <c r="V3892" s="10">
        <f>IF(CAS!$C$7="",0,(SUMIF(CAS!$B$31:$B$167,$J3892,CAS!$E$31:$E$167)*Impacts!$F$18))</f>
        <v>0</v>
      </c>
      <c r="W3892" s="10">
        <f t="shared" si="101"/>
        <v>0</v>
      </c>
      <c r="AK3892" s="10" t="str">
        <f t="array" ref="AK3892">IFERROR(INDEX(SelectedSpecies,SMALL(IF(SelectedSpecies=AK$1,ROW(SelectedSpecies)),ROW(3893:3893)),2),"")</f>
        <v/>
      </c>
      <c r="BE3892" s="10"/>
      <c r="BI3892" s="10"/>
    </row>
    <row r="3893" spans="1:61" ht="21" customHeight="1" x14ac:dyDescent="0.25">
      <c r="A3893" s="10"/>
      <c r="B3893" s="10"/>
      <c r="E3893" s="10"/>
      <c r="G3893" s="10"/>
      <c r="I3893" s="436" t="s">
        <v>1807</v>
      </c>
      <c r="J3893" s="26" t="s">
        <v>1806</v>
      </c>
      <c r="K3893" s="10">
        <v>22</v>
      </c>
      <c r="L3893" s="73">
        <f>IF(Tank1!$C$23="No control",(SUMIF(Tank1!$B$32:$B$49,$J3893,Tank1!$C$32:$C$49)*Impacts!$F$8),0)</f>
        <v>0</v>
      </c>
      <c r="M3893" s="10">
        <f>IF(Tank2!$C$23="No control",(SUMIF(Tank2!$B$32:$B$49,$J3893,Tank2!$C$32:$C$49)*Impacts!$F$9),0)</f>
        <v>0</v>
      </c>
      <c r="N3893" s="10">
        <f>IF(Tank3!$C$23="No control",(SUMIF(Tank3!$B$32:$B$49,$J3893,Tank3!$C$32:$C$49)*Impacts!$F$10),0)</f>
        <v>0</v>
      </c>
      <c r="O3893" s="10">
        <f>IF(Tank4!$C$23="No control",(SUMIF(Tank4!$B$32:$B$49,$J3893,Tank4!$C$32:$C$49)*Impacts!$F$11),0)</f>
        <v>0</v>
      </c>
      <c r="P3893" s="10">
        <f>IF(Tank5!$C$23="No control",(SUMIF(Tank5!$B$32:$B$49,$J3893,Tank5!$C$32:$C$49)*Impacts!$F$12),0)</f>
        <v>0</v>
      </c>
      <c r="Q3893" s="10">
        <f>IFERROR(IF(('Loading-drum,tote'!$C$21)="No control",SUMIF(('Loading-drum,tote'!$B$31:$B$48),$J3893,('Loading-drum,tote'!$D$31:$D$48))*Impacts!$F$13,IF(('Loading-drum,tote'!$C$21)&lt;&gt;"No control",SUMIF(('Loading-drum,tote'!$B$31:$B$48),$J3893,('Loading-drum,tote'!$E$31:$E$48))*Impacts!$F$13,0)),0)</f>
        <v>0</v>
      </c>
      <c r="R3893" s="10">
        <f>IFERROR(IF(('Loading-truck'!$C$21)="No control",SUMIF(('Loading-truck'!$B$31:$B$48),$J3893,('Loading-truck'!$D$31:$D$48))*Impacts!$F$14,IF(('Loading-truck'!$C$21)&lt;&gt;"No control",SUMIF(('Loading-truck'!$B$31:$B$48),$J3893,('Loading-truck'!$E$31:$E$48))*Impacts!$F$14,0)),0)</f>
        <v>0</v>
      </c>
      <c r="S3893" s="10">
        <f>IFERROR(IF(('Loading-rail'!$C$21)="No control",SUMIF(('Loading-rail'!$B$31:$B$48),$J3893,('Loading-rail'!$D$31:$D$48))*Impacts!$F$15,IF(('Loading-rail'!$C$21)&lt;&gt;"No control",SUMIF(('Loading-rail'!$B$31:$B$48),$J3893,('Loading-rail'!$E$31:$E$48))*Impacts!$F$15,0)),0)</f>
        <v>0</v>
      </c>
      <c r="T3893" s="10">
        <f>IF(Flare!$C$7="",0,(SUMIF(Flare!$B$46:$B$185,$J3893,Flare!$E$46:$E$185)*Impacts!$F$16))</f>
        <v>0</v>
      </c>
      <c r="U3893" s="10">
        <f>IF(VCU!$C$9="",0,(SUMIF(VCU!$B$51:$B$193,$J3893,VCU!$E$51:$E$193)*Impacts!$F$17))</f>
        <v>0</v>
      </c>
      <c r="V3893" s="10">
        <f>IF(CAS!$C$7="",0,(SUMIF(CAS!$B$31:$B$167,$J3893,CAS!$E$31:$E$167)*Impacts!$F$18))</f>
        <v>0</v>
      </c>
      <c r="W3893" s="10">
        <f t="shared" si="101"/>
        <v>0</v>
      </c>
      <c r="AK3893" s="10" t="str">
        <f t="array" ref="AK3893">IFERROR(INDEX(SelectedSpecies,SMALL(IF(SelectedSpecies=AK$1,ROW(SelectedSpecies)),ROW(3894:3894)),2),"")</f>
        <v/>
      </c>
      <c r="BE3893" s="10"/>
      <c r="BI3893" s="10"/>
    </row>
    <row r="3894" spans="1:61" ht="21" customHeight="1" x14ac:dyDescent="0.25">
      <c r="A3894" s="10"/>
      <c r="B3894" s="10"/>
      <c r="E3894" s="10"/>
      <c r="G3894" s="10"/>
      <c r="I3894" s="436" t="s">
        <v>3415</v>
      </c>
      <c r="J3894" s="26" t="s">
        <v>3414</v>
      </c>
      <c r="K3894" s="10">
        <v>10</v>
      </c>
      <c r="L3894" s="73">
        <f>IF(Tank1!$C$23="No control",(SUMIF(Tank1!$B$32:$B$49,$J3894,Tank1!$C$32:$C$49)*Impacts!$F$8),0)</f>
        <v>0</v>
      </c>
      <c r="M3894" s="10">
        <f>IF(Tank2!$C$23="No control",(SUMIF(Tank2!$B$32:$B$49,$J3894,Tank2!$C$32:$C$49)*Impacts!$F$9),0)</f>
        <v>0</v>
      </c>
      <c r="N3894" s="10">
        <f>IF(Tank3!$C$23="No control",(SUMIF(Tank3!$B$32:$B$49,$J3894,Tank3!$C$32:$C$49)*Impacts!$F$10),0)</f>
        <v>0</v>
      </c>
      <c r="O3894" s="10">
        <f>IF(Tank4!$C$23="No control",(SUMIF(Tank4!$B$32:$B$49,$J3894,Tank4!$C$32:$C$49)*Impacts!$F$11),0)</f>
        <v>0</v>
      </c>
      <c r="P3894" s="10">
        <f>IF(Tank5!$C$23="No control",(SUMIF(Tank5!$B$32:$B$49,$J3894,Tank5!$C$32:$C$49)*Impacts!$F$12),0)</f>
        <v>0</v>
      </c>
      <c r="Q3894" s="10">
        <f>IFERROR(IF(('Loading-drum,tote'!$C$21)="No control",SUMIF(('Loading-drum,tote'!$B$31:$B$48),$J3894,('Loading-drum,tote'!$D$31:$D$48))*Impacts!$F$13,IF(('Loading-drum,tote'!$C$21)&lt;&gt;"No control",SUMIF(('Loading-drum,tote'!$B$31:$B$48),$J3894,('Loading-drum,tote'!$E$31:$E$48))*Impacts!$F$13,0)),0)</f>
        <v>0</v>
      </c>
      <c r="R3894" s="10">
        <f>IFERROR(IF(('Loading-truck'!$C$21)="No control",SUMIF(('Loading-truck'!$B$31:$B$48),$J3894,('Loading-truck'!$D$31:$D$48))*Impacts!$F$14,IF(('Loading-truck'!$C$21)&lt;&gt;"No control",SUMIF(('Loading-truck'!$B$31:$B$48),$J3894,('Loading-truck'!$E$31:$E$48))*Impacts!$F$14,0)),0)</f>
        <v>0</v>
      </c>
      <c r="S3894" s="10">
        <f>IFERROR(IF(('Loading-rail'!$C$21)="No control",SUMIF(('Loading-rail'!$B$31:$B$48),$J3894,('Loading-rail'!$D$31:$D$48))*Impacts!$F$15,IF(('Loading-rail'!$C$21)&lt;&gt;"No control",SUMIF(('Loading-rail'!$B$31:$B$48),$J3894,('Loading-rail'!$E$31:$E$48))*Impacts!$F$15,0)),0)</f>
        <v>0</v>
      </c>
      <c r="T3894" s="10">
        <f>IF(Flare!$C$7="",0,(SUMIF(Flare!$B$46:$B$185,$J3894,Flare!$E$46:$E$185)*Impacts!$F$16))</f>
        <v>0</v>
      </c>
      <c r="U3894" s="10">
        <f>IF(VCU!$C$9="",0,(SUMIF(VCU!$B$51:$B$193,$J3894,VCU!$E$51:$E$193)*Impacts!$F$17))</f>
        <v>0</v>
      </c>
      <c r="V3894" s="10">
        <f>IF(CAS!$C$7="",0,(SUMIF(CAS!$B$31:$B$167,$J3894,CAS!$E$31:$E$167)*Impacts!$F$18))</f>
        <v>0</v>
      </c>
      <c r="W3894" s="10">
        <f t="shared" si="101"/>
        <v>0</v>
      </c>
      <c r="AK3894" s="10" t="str">
        <f t="array" ref="AK3894">IFERROR(INDEX(SelectedSpecies,SMALL(IF(SelectedSpecies=AK$1,ROW(SelectedSpecies)),ROW(3895:3895)),2),"")</f>
        <v/>
      </c>
      <c r="BE3894" s="10"/>
      <c r="BI3894" s="10"/>
    </row>
    <row r="3895" spans="1:61" ht="21" customHeight="1" x14ac:dyDescent="0.25">
      <c r="A3895" s="10"/>
      <c r="B3895" s="10"/>
      <c r="E3895" s="10"/>
      <c r="G3895" s="10"/>
      <c r="I3895" s="436" t="s">
        <v>3417</v>
      </c>
      <c r="J3895" s="26" t="s">
        <v>3416</v>
      </c>
      <c r="K3895" s="10">
        <v>10</v>
      </c>
      <c r="L3895" s="73">
        <f>IF(Tank1!$C$23="No control",(SUMIF(Tank1!$B$32:$B$49,$J3895,Tank1!$C$32:$C$49)*Impacts!$F$8),0)</f>
        <v>0</v>
      </c>
      <c r="M3895" s="10">
        <f>IF(Tank2!$C$23="No control",(SUMIF(Tank2!$B$32:$B$49,$J3895,Tank2!$C$32:$C$49)*Impacts!$F$9),0)</f>
        <v>0</v>
      </c>
      <c r="N3895" s="10">
        <f>IF(Tank3!$C$23="No control",(SUMIF(Tank3!$B$32:$B$49,$J3895,Tank3!$C$32:$C$49)*Impacts!$F$10),0)</f>
        <v>0</v>
      </c>
      <c r="O3895" s="10">
        <f>IF(Tank4!$C$23="No control",(SUMIF(Tank4!$B$32:$B$49,$J3895,Tank4!$C$32:$C$49)*Impacts!$F$11),0)</f>
        <v>0</v>
      </c>
      <c r="P3895" s="10">
        <f>IF(Tank5!$C$23="No control",(SUMIF(Tank5!$B$32:$B$49,$J3895,Tank5!$C$32:$C$49)*Impacts!$F$12),0)</f>
        <v>0</v>
      </c>
      <c r="Q3895" s="10">
        <f>IFERROR(IF(('Loading-drum,tote'!$C$21)="No control",SUMIF(('Loading-drum,tote'!$B$31:$B$48),$J3895,('Loading-drum,tote'!$D$31:$D$48))*Impacts!$F$13,IF(('Loading-drum,tote'!$C$21)&lt;&gt;"No control",SUMIF(('Loading-drum,tote'!$B$31:$B$48),$J3895,('Loading-drum,tote'!$E$31:$E$48))*Impacts!$F$13,0)),0)</f>
        <v>0</v>
      </c>
      <c r="R3895" s="10">
        <f>IFERROR(IF(('Loading-truck'!$C$21)="No control",SUMIF(('Loading-truck'!$B$31:$B$48),$J3895,('Loading-truck'!$D$31:$D$48))*Impacts!$F$14,IF(('Loading-truck'!$C$21)&lt;&gt;"No control",SUMIF(('Loading-truck'!$B$31:$B$48),$J3895,('Loading-truck'!$E$31:$E$48))*Impacts!$F$14,0)),0)</f>
        <v>0</v>
      </c>
      <c r="S3895" s="10">
        <f>IFERROR(IF(('Loading-rail'!$C$21)="No control",SUMIF(('Loading-rail'!$B$31:$B$48),$J3895,('Loading-rail'!$D$31:$D$48))*Impacts!$F$15,IF(('Loading-rail'!$C$21)&lt;&gt;"No control",SUMIF(('Loading-rail'!$B$31:$B$48),$J3895,('Loading-rail'!$E$31:$E$48))*Impacts!$F$15,0)),0)</f>
        <v>0</v>
      </c>
      <c r="T3895" s="10">
        <f>IF(Flare!$C$7="",0,(SUMIF(Flare!$B$46:$B$185,$J3895,Flare!$E$46:$E$185)*Impacts!$F$16))</f>
        <v>0</v>
      </c>
      <c r="U3895" s="10">
        <f>IF(VCU!$C$9="",0,(SUMIF(VCU!$B$51:$B$193,$J3895,VCU!$E$51:$E$193)*Impacts!$F$17))</f>
        <v>0</v>
      </c>
      <c r="V3895" s="10">
        <f>IF(CAS!$C$7="",0,(SUMIF(CAS!$B$31:$B$167,$J3895,CAS!$E$31:$E$167)*Impacts!$F$18))</f>
        <v>0</v>
      </c>
      <c r="W3895" s="10">
        <f t="shared" si="101"/>
        <v>0</v>
      </c>
      <c r="AK3895" s="10" t="str">
        <f t="array" ref="AK3895">IFERROR(INDEX(SelectedSpecies,SMALL(IF(SelectedSpecies=AK$1,ROW(SelectedSpecies)),ROW(3896:3896)),2),"")</f>
        <v/>
      </c>
      <c r="BE3895" s="10"/>
      <c r="BI3895" s="10"/>
    </row>
    <row r="3896" spans="1:61" ht="21" customHeight="1" x14ac:dyDescent="0.25">
      <c r="A3896" s="10"/>
      <c r="B3896" s="10"/>
      <c r="E3896" s="10"/>
      <c r="G3896" s="10"/>
      <c r="I3896" s="436" t="s">
        <v>4619</v>
      </c>
      <c r="J3896" s="26" t="s">
        <v>4618</v>
      </c>
      <c r="K3896" s="10">
        <v>4</v>
      </c>
      <c r="L3896" s="73">
        <f>IF(Tank1!$C$23="No control",(SUMIF(Tank1!$B$32:$B$49,$J3896,Tank1!$C$32:$C$49)*Impacts!$F$8),0)</f>
        <v>0</v>
      </c>
      <c r="M3896" s="10">
        <f>IF(Tank2!$C$23="No control",(SUMIF(Tank2!$B$32:$B$49,$J3896,Tank2!$C$32:$C$49)*Impacts!$F$9),0)</f>
        <v>0</v>
      </c>
      <c r="N3896" s="10">
        <f>IF(Tank3!$C$23="No control",(SUMIF(Tank3!$B$32:$B$49,$J3896,Tank3!$C$32:$C$49)*Impacts!$F$10),0)</f>
        <v>0</v>
      </c>
      <c r="O3896" s="10">
        <f>IF(Tank4!$C$23="No control",(SUMIF(Tank4!$B$32:$B$49,$J3896,Tank4!$C$32:$C$49)*Impacts!$F$11),0)</f>
        <v>0</v>
      </c>
      <c r="P3896" s="10">
        <f>IF(Tank5!$C$23="No control",(SUMIF(Tank5!$B$32:$B$49,$J3896,Tank5!$C$32:$C$49)*Impacts!$F$12),0)</f>
        <v>0</v>
      </c>
      <c r="Q3896" s="10">
        <f>IFERROR(IF(('Loading-drum,tote'!$C$21)="No control",SUMIF(('Loading-drum,tote'!$B$31:$B$48),$J3896,('Loading-drum,tote'!$D$31:$D$48))*Impacts!$F$13,IF(('Loading-drum,tote'!$C$21)&lt;&gt;"No control",SUMIF(('Loading-drum,tote'!$B$31:$B$48),$J3896,('Loading-drum,tote'!$E$31:$E$48))*Impacts!$F$13,0)),0)</f>
        <v>0</v>
      </c>
      <c r="R3896" s="10">
        <f>IFERROR(IF(('Loading-truck'!$C$21)="No control",SUMIF(('Loading-truck'!$B$31:$B$48),$J3896,('Loading-truck'!$D$31:$D$48))*Impacts!$F$14,IF(('Loading-truck'!$C$21)&lt;&gt;"No control",SUMIF(('Loading-truck'!$B$31:$B$48),$J3896,('Loading-truck'!$E$31:$E$48))*Impacts!$F$14,0)),0)</f>
        <v>0</v>
      </c>
      <c r="S3896" s="10">
        <f>IFERROR(IF(('Loading-rail'!$C$21)="No control",SUMIF(('Loading-rail'!$B$31:$B$48),$J3896,('Loading-rail'!$D$31:$D$48))*Impacts!$F$15,IF(('Loading-rail'!$C$21)&lt;&gt;"No control",SUMIF(('Loading-rail'!$B$31:$B$48),$J3896,('Loading-rail'!$E$31:$E$48))*Impacts!$F$15,0)),0)</f>
        <v>0</v>
      </c>
      <c r="T3896" s="10">
        <f>IF(Flare!$C$7="",0,(SUMIF(Flare!$B$46:$B$185,$J3896,Flare!$E$46:$E$185)*Impacts!$F$16))</f>
        <v>0</v>
      </c>
      <c r="U3896" s="10">
        <f>IF(VCU!$C$9="",0,(SUMIF(VCU!$B$51:$B$193,$J3896,VCU!$E$51:$E$193)*Impacts!$F$17))</f>
        <v>0</v>
      </c>
      <c r="V3896" s="10">
        <f>IF(CAS!$C$7="",0,(SUMIF(CAS!$B$31:$B$167,$J3896,CAS!$E$31:$E$167)*Impacts!$F$18))</f>
        <v>0</v>
      </c>
      <c r="W3896" s="10">
        <f t="shared" si="101"/>
        <v>0</v>
      </c>
      <c r="AK3896" s="10" t="str">
        <f t="array" ref="AK3896">IFERROR(INDEX(SelectedSpecies,SMALL(IF(SelectedSpecies=AK$1,ROW(SelectedSpecies)),ROW(3897:3897)),2),"")</f>
        <v/>
      </c>
      <c r="BE3896" s="10"/>
      <c r="BI3896" s="10"/>
    </row>
    <row r="3897" spans="1:61" ht="21" customHeight="1" x14ac:dyDescent="0.25">
      <c r="A3897" s="10"/>
      <c r="B3897" s="10"/>
      <c r="E3897" s="10"/>
      <c r="G3897" s="10"/>
      <c r="I3897" s="436" t="s">
        <v>3419</v>
      </c>
      <c r="J3897" s="26" t="s">
        <v>3418</v>
      </c>
      <c r="K3897" s="10">
        <v>10</v>
      </c>
      <c r="L3897" s="73">
        <f>IF(Tank1!$C$23="No control",(SUMIF(Tank1!$B$32:$B$49,$J3897,Tank1!$C$32:$C$49)*Impacts!$F$8),0)</f>
        <v>0</v>
      </c>
      <c r="M3897" s="10">
        <f>IF(Tank2!$C$23="No control",(SUMIF(Tank2!$B$32:$B$49,$J3897,Tank2!$C$32:$C$49)*Impacts!$F$9),0)</f>
        <v>0</v>
      </c>
      <c r="N3897" s="10">
        <f>IF(Tank3!$C$23="No control",(SUMIF(Tank3!$B$32:$B$49,$J3897,Tank3!$C$32:$C$49)*Impacts!$F$10),0)</f>
        <v>0</v>
      </c>
      <c r="O3897" s="10">
        <f>IF(Tank4!$C$23="No control",(SUMIF(Tank4!$B$32:$B$49,$J3897,Tank4!$C$32:$C$49)*Impacts!$F$11),0)</f>
        <v>0</v>
      </c>
      <c r="P3897" s="10">
        <f>IF(Tank5!$C$23="No control",(SUMIF(Tank5!$B$32:$B$49,$J3897,Tank5!$C$32:$C$49)*Impacts!$F$12),0)</f>
        <v>0</v>
      </c>
      <c r="Q3897" s="10">
        <f>IFERROR(IF(('Loading-drum,tote'!$C$21)="No control",SUMIF(('Loading-drum,tote'!$B$31:$B$48),$J3897,('Loading-drum,tote'!$D$31:$D$48))*Impacts!$F$13,IF(('Loading-drum,tote'!$C$21)&lt;&gt;"No control",SUMIF(('Loading-drum,tote'!$B$31:$B$48),$J3897,('Loading-drum,tote'!$E$31:$E$48))*Impacts!$F$13,0)),0)</f>
        <v>0</v>
      </c>
      <c r="R3897" s="10">
        <f>IFERROR(IF(('Loading-truck'!$C$21)="No control",SUMIF(('Loading-truck'!$B$31:$B$48),$J3897,('Loading-truck'!$D$31:$D$48))*Impacts!$F$14,IF(('Loading-truck'!$C$21)&lt;&gt;"No control",SUMIF(('Loading-truck'!$B$31:$B$48),$J3897,('Loading-truck'!$E$31:$E$48))*Impacts!$F$14,0)),0)</f>
        <v>0</v>
      </c>
      <c r="S3897" s="10">
        <f>IFERROR(IF(('Loading-rail'!$C$21)="No control",SUMIF(('Loading-rail'!$B$31:$B$48),$J3897,('Loading-rail'!$D$31:$D$48))*Impacts!$F$15,IF(('Loading-rail'!$C$21)&lt;&gt;"No control",SUMIF(('Loading-rail'!$B$31:$B$48),$J3897,('Loading-rail'!$E$31:$E$48))*Impacts!$F$15,0)),0)</f>
        <v>0</v>
      </c>
      <c r="T3897" s="10">
        <f>IF(Flare!$C$7="",0,(SUMIF(Flare!$B$46:$B$185,$J3897,Flare!$E$46:$E$185)*Impacts!$F$16))</f>
        <v>0</v>
      </c>
      <c r="U3897" s="10">
        <f>IF(VCU!$C$9="",0,(SUMIF(VCU!$B$51:$B$193,$J3897,VCU!$E$51:$E$193)*Impacts!$F$17))</f>
        <v>0</v>
      </c>
      <c r="V3897" s="10">
        <f>IF(CAS!$C$7="",0,(SUMIF(CAS!$B$31:$B$167,$J3897,CAS!$E$31:$E$167)*Impacts!$F$18))</f>
        <v>0</v>
      </c>
      <c r="W3897" s="10">
        <f t="shared" si="101"/>
        <v>0</v>
      </c>
      <c r="AK3897" s="10" t="str">
        <f t="array" ref="AK3897">IFERROR(INDEX(SelectedSpecies,SMALL(IF(SelectedSpecies=AK$1,ROW(SelectedSpecies)),ROW(3898:3898)),2),"")</f>
        <v/>
      </c>
      <c r="BE3897" s="10"/>
      <c r="BI3897" s="10"/>
    </row>
    <row r="3898" spans="1:61" ht="21" customHeight="1" x14ac:dyDescent="0.25">
      <c r="A3898" s="10"/>
      <c r="B3898" s="10"/>
      <c r="E3898" s="10"/>
      <c r="G3898" s="10"/>
      <c r="I3898" s="436" t="s">
        <v>4049</v>
      </c>
      <c r="J3898" s="26" t="s">
        <v>4048</v>
      </c>
      <c r="K3898" s="10">
        <v>6</v>
      </c>
      <c r="L3898" s="73">
        <f>IF(Tank1!$C$23="No control",(SUMIF(Tank1!$B$32:$B$49,$J3898,Tank1!$C$32:$C$49)*Impacts!$F$8),0)</f>
        <v>0</v>
      </c>
      <c r="M3898" s="10">
        <f>IF(Tank2!$C$23="No control",(SUMIF(Tank2!$B$32:$B$49,$J3898,Tank2!$C$32:$C$49)*Impacts!$F$9),0)</f>
        <v>0</v>
      </c>
      <c r="N3898" s="10">
        <f>IF(Tank3!$C$23="No control",(SUMIF(Tank3!$B$32:$B$49,$J3898,Tank3!$C$32:$C$49)*Impacts!$F$10),0)</f>
        <v>0</v>
      </c>
      <c r="O3898" s="10">
        <f>IF(Tank4!$C$23="No control",(SUMIF(Tank4!$B$32:$B$49,$J3898,Tank4!$C$32:$C$49)*Impacts!$F$11),0)</f>
        <v>0</v>
      </c>
      <c r="P3898" s="10">
        <f>IF(Tank5!$C$23="No control",(SUMIF(Tank5!$B$32:$B$49,$J3898,Tank5!$C$32:$C$49)*Impacts!$F$12),0)</f>
        <v>0</v>
      </c>
      <c r="Q3898" s="10">
        <f>IFERROR(IF(('Loading-drum,tote'!$C$21)="No control",SUMIF(('Loading-drum,tote'!$B$31:$B$48),$J3898,('Loading-drum,tote'!$D$31:$D$48))*Impacts!$F$13,IF(('Loading-drum,tote'!$C$21)&lt;&gt;"No control",SUMIF(('Loading-drum,tote'!$B$31:$B$48),$J3898,('Loading-drum,tote'!$E$31:$E$48))*Impacts!$F$13,0)),0)</f>
        <v>0</v>
      </c>
      <c r="R3898" s="10">
        <f>IFERROR(IF(('Loading-truck'!$C$21)="No control",SUMIF(('Loading-truck'!$B$31:$B$48),$J3898,('Loading-truck'!$D$31:$D$48))*Impacts!$F$14,IF(('Loading-truck'!$C$21)&lt;&gt;"No control",SUMIF(('Loading-truck'!$B$31:$B$48),$J3898,('Loading-truck'!$E$31:$E$48))*Impacts!$F$14,0)),0)</f>
        <v>0</v>
      </c>
      <c r="S3898" s="10">
        <f>IFERROR(IF(('Loading-rail'!$C$21)="No control",SUMIF(('Loading-rail'!$B$31:$B$48),$J3898,('Loading-rail'!$D$31:$D$48))*Impacts!$F$15,IF(('Loading-rail'!$C$21)&lt;&gt;"No control",SUMIF(('Loading-rail'!$B$31:$B$48),$J3898,('Loading-rail'!$E$31:$E$48))*Impacts!$F$15,0)),0)</f>
        <v>0</v>
      </c>
      <c r="T3898" s="10">
        <f>IF(Flare!$C$7="",0,(SUMIF(Flare!$B$46:$B$185,$J3898,Flare!$E$46:$E$185)*Impacts!$F$16))</f>
        <v>0</v>
      </c>
      <c r="U3898" s="10">
        <f>IF(VCU!$C$9="",0,(SUMIF(VCU!$B$51:$B$193,$J3898,VCU!$E$51:$E$193)*Impacts!$F$17))</f>
        <v>0</v>
      </c>
      <c r="V3898" s="10">
        <f>IF(CAS!$C$7="",0,(SUMIF(CAS!$B$31:$B$167,$J3898,CAS!$E$31:$E$167)*Impacts!$F$18))</f>
        <v>0</v>
      </c>
      <c r="W3898" s="10">
        <f t="shared" si="101"/>
        <v>0</v>
      </c>
      <c r="AK3898" s="10" t="str">
        <f t="array" ref="AK3898">IFERROR(INDEX(SelectedSpecies,SMALL(IF(SelectedSpecies=AK$1,ROW(SelectedSpecies)),ROW(3899:3899)),2),"")</f>
        <v/>
      </c>
      <c r="BE3898" s="10"/>
      <c r="BI3898" s="10"/>
    </row>
    <row r="3899" spans="1:61" ht="21" customHeight="1" x14ac:dyDescent="0.25">
      <c r="A3899" s="10"/>
      <c r="B3899" s="10"/>
      <c r="E3899" s="10"/>
      <c r="G3899" s="10"/>
      <c r="I3899" s="436" t="s">
        <v>4051</v>
      </c>
      <c r="J3899" s="26" t="s">
        <v>4050</v>
      </c>
      <c r="K3899" s="10">
        <v>6</v>
      </c>
      <c r="L3899" s="73">
        <f>IF(Tank1!$C$23="No control",(SUMIF(Tank1!$B$32:$B$49,$J3899,Tank1!$C$32:$C$49)*Impacts!$F$8),0)</f>
        <v>0</v>
      </c>
      <c r="M3899" s="10">
        <f>IF(Tank2!$C$23="No control",(SUMIF(Tank2!$B$32:$B$49,$J3899,Tank2!$C$32:$C$49)*Impacts!$F$9),0)</f>
        <v>0</v>
      </c>
      <c r="N3899" s="10">
        <f>IF(Tank3!$C$23="No control",(SUMIF(Tank3!$B$32:$B$49,$J3899,Tank3!$C$32:$C$49)*Impacts!$F$10),0)</f>
        <v>0</v>
      </c>
      <c r="O3899" s="10">
        <f>IF(Tank4!$C$23="No control",(SUMIF(Tank4!$B$32:$B$49,$J3899,Tank4!$C$32:$C$49)*Impacts!$F$11),0)</f>
        <v>0</v>
      </c>
      <c r="P3899" s="10">
        <f>IF(Tank5!$C$23="No control",(SUMIF(Tank5!$B$32:$B$49,$J3899,Tank5!$C$32:$C$49)*Impacts!$F$12),0)</f>
        <v>0</v>
      </c>
      <c r="Q3899" s="10">
        <f>IFERROR(IF(('Loading-drum,tote'!$C$21)="No control",SUMIF(('Loading-drum,tote'!$B$31:$B$48),$J3899,('Loading-drum,tote'!$D$31:$D$48))*Impacts!$F$13,IF(('Loading-drum,tote'!$C$21)&lt;&gt;"No control",SUMIF(('Loading-drum,tote'!$B$31:$B$48),$J3899,('Loading-drum,tote'!$E$31:$E$48))*Impacts!$F$13,0)),0)</f>
        <v>0</v>
      </c>
      <c r="R3899" s="10">
        <f>IFERROR(IF(('Loading-truck'!$C$21)="No control",SUMIF(('Loading-truck'!$B$31:$B$48),$J3899,('Loading-truck'!$D$31:$D$48))*Impacts!$F$14,IF(('Loading-truck'!$C$21)&lt;&gt;"No control",SUMIF(('Loading-truck'!$B$31:$B$48),$J3899,('Loading-truck'!$E$31:$E$48))*Impacts!$F$14,0)),0)</f>
        <v>0</v>
      </c>
      <c r="S3899" s="10">
        <f>IFERROR(IF(('Loading-rail'!$C$21)="No control",SUMIF(('Loading-rail'!$B$31:$B$48),$J3899,('Loading-rail'!$D$31:$D$48))*Impacts!$F$15,IF(('Loading-rail'!$C$21)&lt;&gt;"No control",SUMIF(('Loading-rail'!$B$31:$B$48),$J3899,('Loading-rail'!$E$31:$E$48))*Impacts!$F$15,0)),0)</f>
        <v>0</v>
      </c>
      <c r="T3899" s="10">
        <f>IF(Flare!$C$7="",0,(SUMIF(Flare!$B$46:$B$185,$J3899,Flare!$E$46:$E$185)*Impacts!$F$16))</f>
        <v>0</v>
      </c>
      <c r="U3899" s="10">
        <f>IF(VCU!$C$9="",0,(SUMIF(VCU!$B$51:$B$193,$J3899,VCU!$E$51:$E$193)*Impacts!$F$17))</f>
        <v>0</v>
      </c>
      <c r="V3899" s="10">
        <f>IF(CAS!$C$7="",0,(SUMIF(CAS!$B$31:$B$167,$J3899,CAS!$E$31:$E$167)*Impacts!$F$18))</f>
        <v>0</v>
      </c>
      <c r="W3899" s="10">
        <f t="shared" si="101"/>
        <v>0</v>
      </c>
      <c r="AK3899" s="10" t="str">
        <f t="array" ref="AK3899">IFERROR(INDEX(SelectedSpecies,SMALL(IF(SelectedSpecies=AK$1,ROW(SelectedSpecies)),ROW(3900:3900)),2),"")</f>
        <v/>
      </c>
      <c r="BE3899" s="10"/>
      <c r="BI3899" s="10"/>
    </row>
    <row r="3900" spans="1:61" ht="21" customHeight="1" x14ac:dyDescent="0.25">
      <c r="A3900" s="10"/>
      <c r="B3900" s="10"/>
      <c r="E3900" s="10"/>
      <c r="G3900" s="10"/>
      <c r="I3900" s="436" t="s">
        <v>4053</v>
      </c>
      <c r="J3900" s="26" t="s">
        <v>4052</v>
      </c>
      <c r="K3900" s="10">
        <v>6</v>
      </c>
      <c r="L3900" s="73">
        <f>IF(Tank1!$C$23="No control",(SUMIF(Tank1!$B$32:$B$49,$J3900,Tank1!$C$32:$C$49)*Impacts!$F$8),0)</f>
        <v>0</v>
      </c>
      <c r="M3900" s="10">
        <f>IF(Tank2!$C$23="No control",(SUMIF(Tank2!$B$32:$B$49,$J3900,Tank2!$C$32:$C$49)*Impacts!$F$9),0)</f>
        <v>0</v>
      </c>
      <c r="N3900" s="10">
        <f>IF(Tank3!$C$23="No control",(SUMIF(Tank3!$B$32:$B$49,$J3900,Tank3!$C$32:$C$49)*Impacts!$F$10),0)</f>
        <v>0</v>
      </c>
      <c r="O3900" s="10">
        <f>IF(Tank4!$C$23="No control",(SUMIF(Tank4!$B$32:$B$49,$J3900,Tank4!$C$32:$C$49)*Impacts!$F$11),0)</f>
        <v>0</v>
      </c>
      <c r="P3900" s="10">
        <f>IF(Tank5!$C$23="No control",(SUMIF(Tank5!$B$32:$B$49,$J3900,Tank5!$C$32:$C$49)*Impacts!$F$12),0)</f>
        <v>0</v>
      </c>
      <c r="Q3900" s="10">
        <f>IFERROR(IF(('Loading-drum,tote'!$C$21)="No control",SUMIF(('Loading-drum,tote'!$B$31:$B$48),$J3900,('Loading-drum,tote'!$D$31:$D$48))*Impacts!$F$13,IF(('Loading-drum,tote'!$C$21)&lt;&gt;"No control",SUMIF(('Loading-drum,tote'!$B$31:$B$48),$J3900,('Loading-drum,tote'!$E$31:$E$48))*Impacts!$F$13,0)),0)</f>
        <v>0</v>
      </c>
      <c r="R3900" s="10">
        <f>IFERROR(IF(('Loading-truck'!$C$21)="No control",SUMIF(('Loading-truck'!$B$31:$B$48),$J3900,('Loading-truck'!$D$31:$D$48))*Impacts!$F$14,IF(('Loading-truck'!$C$21)&lt;&gt;"No control",SUMIF(('Loading-truck'!$B$31:$B$48),$J3900,('Loading-truck'!$E$31:$E$48))*Impacts!$F$14,0)),0)</f>
        <v>0</v>
      </c>
      <c r="S3900" s="10">
        <f>IFERROR(IF(('Loading-rail'!$C$21)="No control",SUMIF(('Loading-rail'!$B$31:$B$48),$J3900,('Loading-rail'!$D$31:$D$48))*Impacts!$F$15,IF(('Loading-rail'!$C$21)&lt;&gt;"No control",SUMIF(('Loading-rail'!$B$31:$B$48),$J3900,('Loading-rail'!$E$31:$E$48))*Impacts!$F$15,0)),0)</f>
        <v>0</v>
      </c>
      <c r="T3900" s="10">
        <f>IF(Flare!$C$7="",0,(SUMIF(Flare!$B$46:$B$185,$J3900,Flare!$E$46:$E$185)*Impacts!$F$16))</f>
        <v>0</v>
      </c>
      <c r="U3900" s="10">
        <f>IF(VCU!$C$9="",0,(SUMIF(VCU!$B$51:$B$193,$J3900,VCU!$E$51:$E$193)*Impacts!$F$17))</f>
        <v>0</v>
      </c>
      <c r="V3900" s="10">
        <f>IF(CAS!$C$7="",0,(SUMIF(CAS!$B$31:$B$167,$J3900,CAS!$E$31:$E$167)*Impacts!$F$18))</f>
        <v>0</v>
      </c>
      <c r="W3900" s="10">
        <f t="shared" si="101"/>
        <v>0</v>
      </c>
      <c r="AK3900" s="10" t="str">
        <f t="array" ref="AK3900">IFERROR(INDEX(SelectedSpecies,SMALL(IF(SelectedSpecies=AK$1,ROW(SelectedSpecies)),ROW(3901:3901)),2),"")</f>
        <v/>
      </c>
      <c r="BE3900" s="10"/>
      <c r="BI3900" s="10"/>
    </row>
    <row r="3901" spans="1:61" ht="21" customHeight="1" x14ac:dyDescent="0.25">
      <c r="A3901" s="10"/>
      <c r="B3901" s="10"/>
      <c r="E3901" s="10"/>
      <c r="G3901" s="10"/>
      <c r="I3901" s="436" t="s">
        <v>3421</v>
      </c>
      <c r="J3901" s="26" t="s">
        <v>3420</v>
      </c>
      <c r="K3901" s="10">
        <v>10</v>
      </c>
      <c r="L3901" s="73">
        <f>IF(Tank1!$C$23="No control",(SUMIF(Tank1!$B$32:$B$49,$J3901,Tank1!$C$32:$C$49)*Impacts!$F$8),0)</f>
        <v>0</v>
      </c>
      <c r="M3901" s="10">
        <f>IF(Tank2!$C$23="No control",(SUMIF(Tank2!$B$32:$B$49,$J3901,Tank2!$C$32:$C$49)*Impacts!$F$9),0)</f>
        <v>0</v>
      </c>
      <c r="N3901" s="10">
        <f>IF(Tank3!$C$23="No control",(SUMIF(Tank3!$B$32:$B$49,$J3901,Tank3!$C$32:$C$49)*Impacts!$F$10),0)</f>
        <v>0</v>
      </c>
      <c r="O3901" s="10">
        <f>IF(Tank4!$C$23="No control",(SUMIF(Tank4!$B$32:$B$49,$J3901,Tank4!$C$32:$C$49)*Impacts!$F$11),0)</f>
        <v>0</v>
      </c>
      <c r="P3901" s="10">
        <f>IF(Tank5!$C$23="No control",(SUMIF(Tank5!$B$32:$B$49,$J3901,Tank5!$C$32:$C$49)*Impacts!$F$12),0)</f>
        <v>0</v>
      </c>
      <c r="Q3901" s="10">
        <f>IFERROR(IF(('Loading-drum,tote'!$C$21)="No control",SUMIF(('Loading-drum,tote'!$B$31:$B$48),$J3901,('Loading-drum,tote'!$D$31:$D$48))*Impacts!$F$13,IF(('Loading-drum,tote'!$C$21)&lt;&gt;"No control",SUMIF(('Loading-drum,tote'!$B$31:$B$48),$J3901,('Loading-drum,tote'!$E$31:$E$48))*Impacts!$F$13,0)),0)</f>
        <v>0</v>
      </c>
      <c r="R3901" s="10">
        <f>IFERROR(IF(('Loading-truck'!$C$21)="No control",SUMIF(('Loading-truck'!$B$31:$B$48),$J3901,('Loading-truck'!$D$31:$D$48))*Impacts!$F$14,IF(('Loading-truck'!$C$21)&lt;&gt;"No control",SUMIF(('Loading-truck'!$B$31:$B$48),$J3901,('Loading-truck'!$E$31:$E$48))*Impacts!$F$14,0)),0)</f>
        <v>0</v>
      </c>
      <c r="S3901" s="10">
        <f>IFERROR(IF(('Loading-rail'!$C$21)="No control",SUMIF(('Loading-rail'!$B$31:$B$48),$J3901,('Loading-rail'!$D$31:$D$48))*Impacts!$F$15,IF(('Loading-rail'!$C$21)&lt;&gt;"No control",SUMIF(('Loading-rail'!$B$31:$B$48),$J3901,('Loading-rail'!$E$31:$E$48))*Impacts!$F$15,0)),0)</f>
        <v>0</v>
      </c>
      <c r="T3901" s="10">
        <f>IF(Flare!$C$7="",0,(SUMIF(Flare!$B$46:$B$185,$J3901,Flare!$E$46:$E$185)*Impacts!$F$16))</f>
        <v>0</v>
      </c>
      <c r="U3901" s="10">
        <f>IF(VCU!$C$9="",0,(SUMIF(VCU!$B$51:$B$193,$J3901,VCU!$E$51:$E$193)*Impacts!$F$17))</f>
        <v>0</v>
      </c>
      <c r="V3901" s="10">
        <f>IF(CAS!$C$7="",0,(SUMIF(CAS!$B$31:$B$167,$J3901,CAS!$E$31:$E$167)*Impacts!$F$18))</f>
        <v>0</v>
      </c>
      <c r="W3901" s="10">
        <f t="shared" si="101"/>
        <v>0</v>
      </c>
      <c r="AK3901" s="10" t="str">
        <f t="array" ref="AK3901">IFERROR(INDEX(SelectedSpecies,SMALL(IF(SelectedSpecies=AK$1,ROW(SelectedSpecies)),ROW(3902:3902)),2),"")</f>
        <v/>
      </c>
      <c r="BE3901" s="10"/>
      <c r="BI3901" s="10"/>
    </row>
    <row r="3902" spans="1:61" ht="21" customHeight="1" x14ac:dyDescent="0.25">
      <c r="A3902" s="10"/>
      <c r="B3902" s="10"/>
      <c r="E3902" s="10"/>
      <c r="G3902" s="10"/>
      <c r="I3902" s="436" t="s">
        <v>4055</v>
      </c>
      <c r="J3902" s="26" t="s">
        <v>4054</v>
      </c>
      <c r="K3902" s="10">
        <v>6</v>
      </c>
      <c r="L3902" s="73">
        <f>IF(Tank1!$C$23="No control",(SUMIF(Tank1!$B$32:$B$49,$J3902,Tank1!$C$32:$C$49)*Impacts!$F$8),0)</f>
        <v>0</v>
      </c>
      <c r="M3902" s="10">
        <f>IF(Tank2!$C$23="No control",(SUMIF(Tank2!$B$32:$B$49,$J3902,Tank2!$C$32:$C$49)*Impacts!$F$9),0)</f>
        <v>0</v>
      </c>
      <c r="N3902" s="10">
        <f>IF(Tank3!$C$23="No control",(SUMIF(Tank3!$B$32:$B$49,$J3902,Tank3!$C$32:$C$49)*Impacts!$F$10),0)</f>
        <v>0</v>
      </c>
      <c r="O3902" s="10">
        <f>IF(Tank4!$C$23="No control",(SUMIF(Tank4!$B$32:$B$49,$J3902,Tank4!$C$32:$C$49)*Impacts!$F$11),0)</f>
        <v>0</v>
      </c>
      <c r="P3902" s="10">
        <f>IF(Tank5!$C$23="No control",(SUMIF(Tank5!$B$32:$B$49,$J3902,Tank5!$C$32:$C$49)*Impacts!$F$12),0)</f>
        <v>0</v>
      </c>
      <c r="Q3902" s="10">
        <f>IFERROR(IF(('Loading-drum,tote'!$C$21)="No control",SUMIF(('Loading-drum,tote'!$B$31:$B$48),$J3902,('Loading-drum,tote'!$D$31:$D$48))*Impacts!$F$13,IF(('Loading-drum,tote'!$C$21)&lt;&gt;"No control",SUMIF(('Loading-drum,tote'!$B$31:$B$48),$J3902,('Loading-drum,tote'!$E$31:$E$48))*Impacts!$F$13,0)),0)</f>
        <v>0</v>
      </c>
      <c r="R3902" s="10">
        <f>IFERROR(IF(('Loading-truck'!$C$21)="No control",SUMIF(('Loading-truck'!$B$31:$B$48),$J3902,('Loading-truck'!$D$31:$D$48))*Impacts!$F$14,IF(('Loading-truck'!$C$21)&lt;&gt;"No control",SUMIF(('Loading-truck'!$B$31:$B$48),$J3902,('Loading-truck'!$E$31:$E$48))*Impacts!$F$14,0)),0)</f>
        <v>0</v>
      </c>
      <c r="S3902" s="10">
        <f>IFERROR(IF(('Loading-rail'!$C$21)="No control",SUMIF(('Loading-rail'!$B$31:$B$48),$J3902,('Loading-rail'!$D$31:$D$48))*Impacts!$F$15,IF(('Loading-rail'!$C$21)&lt;&gt;"No control",SUMIF(('Loading-rail'!$B$31:$B$48),$J3902,('Loading-rail'!$E$31:$E$48))*Impacts!$F$15,0)),0)</f>
        <v>0</v>
      </c>
      <c r="T3902" s="10">
        <f>IF(Flare!$C$7="",0,(SUMIF(Flare!$B$46:$B$185,$J3902,Flare!$E$46:$E$185)*Impacts!$F$16))</f>
        <v>0</v>
      </c>
      <c r="U3902" s="10">
        <f>IF(VCU!$C$9="",0,(SUMIF(VCU!$B$51:$B$193,$J3902,VCU!$E$51:$E$193)*Impacts!$F$17))</f>
        <v>0</v>
      </c>
      <c r="V3902" s="10">
        <f>IF(CAS!$C$7="",0,(SUMIF(CAS!$B$31:$B$167,$J3902,CAS!$E$31:$E$167)*Impacts!$F$18))</f>
        <v>0</v>
      </c>
      <c r="W3902" s="10">
        <f t="shared" si="101"/>
        <v>0</v>
      </c>
      <c r="AK3902" s="10" t="str">
        <f t="array" ref="AK3902">IFERROR(INDEX(SelectedSpecies,SMALL(IF(SelectedSpecies=AK$1,ROW(SelectedSpecies)),ROW(3903:3903)),2),"")</f>
        <v/>
      </c>
      <c r="BE3902" s="10"/>
      <c r="BI3902" s="10"/>
    </row>
    <row r="3903" spans="1:61" ht="21" customHeight="1" x14ac:dyDescent="0.25">
      <c r="A3903" s="10"/>
      <c r="B3903" s="10"/>
      <c r="E3903" s="10"/>
      <c r="G3903" s="10"/>
      <c r="I3903" s="436" t="s">
        <v>3423</v>
      </c>
      <c r="J3903" s="26" t="s">
        <v>3422</v>
      </c>
      <c r="K3903" s="10">
        <v>10</v>
      </c>
      <c r="L3903" s="73">
        <f>IF(Tank1!$C$23="No control",(SUMIF(Tank1!$B$32:$B$49,$J3903,Tank1!$C$32:$C$49)*Impacts!$F$8),0)</f>
        <v>0</v>
      </c>
      <c r="M3903" s="10">
        <f>IF(Tank2!$C$23="No control",(SUMIF(Tank2!$B$32:$B$49,$J3903,Tank2!$C$32:$C$49)*Impacts!$F$9),0)</f>
        <v>0</v>
      </c>
      <c r="N3903" s="10">
        <f>IF(Tank3!$C$23="No control",(SUMIF(Tank3!$B$32:$B$49,$J3903,Tank3!$C$32:$C$49)*Impacts!$F$10),0)</f>
        <v>0</v>
      </c>
      <c r="O3903" s="10">
        <f>IF(Tank4!$C$23="No control",(SUMIF(Tank4!$B$32:$B$49,$J3903,Tank4!$C$32:$C$49)*Impacts!$F$11),0)</f>
        <v>0</v>
      </c>
      <c r="P3903" s="10">
        <f>IF(Tank5!$C$23="No control",(SUMIF(Tank5!$B$32:$B$49,$J3903,Tank5!$C$32:$C$49)*Impacts!$F$12),0)</f>
        <v>0</v>
      </c>
      <c r="Q3903" s="10">
        <f>IFERROR(IF(('Loading-drum,tote'!$C$21)="No control",SUMIF(('Loading-drum,tote'!$B$31:$B$48),$J3903,('Loading-drum,tote'!$D$31:$D$48))*Impacts!$F$13,IF(('Loading-drum,tote'!$C$21)&lt;&gt;"No control",SUMIF(('Loading-drum,tote'!$B$31:$B$48),$J3903,('Loading-drum,tote'!$E$31:$E$48))*Impacts!$F$13,0)),0)</f>
        <v>0</v>
      </c>
      <c r="R3903" s="10">
        <f>IFERROR(IF(('Loading-truck'!$C$21)="No control",SUMIF(('Loading-truck'!$B$31:$B$48),$J3903,('Loading-truck'!$D$31:$D$48))*Impacts!$F$14,IF(('Loading-truck'!$C$21)&lt;&gt;"No control",SUMIF(('Loading-truck'!$B$31:$B$48),$J3903,('Loading-truck'!$E$31:$E$48))*Impacts!$F$14,0)),0)</f>
        <v>0</v>
      </c>
      <c r="S3903" s="10">
        <f>IFERROR(IF(('Loading-rail'!$C$21)="No control",SUMIF(('Loading-rail'!$B$31:$B$48),$J3903,('Loading-rail'!$D$31:$D$48))*Impacts!$F$15,IF(('Loading-rail'!$C$21)&lt;&gt;"No control",SUMIF(('Loading-rail'!$B$31:$B$48),$J3903,('Loading-rail'!$E$31:$E$48))*Impacts!$F$15,0)),0)</f>
        <v>0</v>
      </c>
      <c r="T3903" s="10">
        <f>IF(Flare!$C$7="",0,(SUMIF(Flare!$B$46:$B$185,$J3903,Flare!$E$46:$E$185)*Impacts!$F$16))</f>
        <v>0</v>
      </c>
      <c r="U3903" s="10">
        <f>IF(VCU!$C$9="",0,(SUMIF(VCU!$B$51:$B$193,$J3903,VCU!$E$51:$E$193)*Impacts!$F$17))</f>
        <v>0</v>
      </c>
      <c r="V3903" s="10">
        <f>IF(CAS!$C$7="",0,(SUMIF(CAS!$B$31:$B$167,$J3903,CAS!$E$31:$E$167)*Impacts!$F$18))</f>
        <v>0</v>
      </c>
      <c r="W3903" s="10">
        <f t="shared" si="101"/>
        <v>0</v>
      </c>
      <c r="AK3903" s="10" t="str">
        <f t="array" ref="AK3903">IFERROR(INDEX(SelectedSpecies,SMALL(IF(SelectedSpecies=AK$1,ROW(SelectedSpecies)),ROW(3904:3904)),2),"")</f>
        <v/>
      </c>
      <c r="BE3903" s="10"/>
      <c r="BI3903" s="10"/>
    </row>
    <row r="3904" spans="1:61" ht="21" customHeight="1" x14ac:dyDescent="0.25">
      <c r="A3904" s="10"/>
      <c r="B3904" s="10"/>
      <c r="E3904" s="10"/>
      <c r="G3904" s="10"/>
      <c r="I3904" s="436" t="s">
        <v>3425</v>
      </c>
      <c r="J3904" s="26" t="s">
        <v>3424</v>
      </c>
      <c r="K3904" s="10">
        <v>10</v>
      </c>
      <c r="L3904" s="73">
        <f>IF(Tank1!$C$23="No control",(SUMIF(Tank1!$B$32:$B$49,$J3904,Tank1!$C$32:$C$49)*Impacts!$F$8),0)</f>
        <v>0</v>
      </c>
      <c r="M3904" s="10">
        <f>IF(Tank2!$C$23="No control",(SUMIF(Tank2!$B$32:$B$49,$J3904,Tank2!$C$32:$C$49)*Impacts!$F$9),0)</f>
        <v>0</v>
      </c>
      <c r="N3904" s="10">
        <f>IF(Tank3!$C$23="No control",(SUMIF(Tank3!$B$32:$B$49,$J3904,Tank3!$C$32:$C$49)*Impacts!$F$10),0)</f>
        <v>0</v>
      </c>
      <c r="O3904" s="10">
        <f>IF(Tank4!$C$23="No control",(SUMIF(Tank4!$B$32:$B$49,$J3904,Tank4!$C$32:$C$49)*Impacts!$F$11),0)</f>
        <v>0</v>
      </c>
      <c r="P3904" s="10">
        <f>IF(Tank5!$C$23="No control",(SUMIF(Tank5!$B$32:$B$49,$J3904,Tank5!$C$32:$C$49)*Impacts!$F$12),0)</f>
        <v>0</v>
      </c>
      <c r="Q3904" s="10">
        <f>IFERROR(IF(('Loading-drum,tote'!$C$21)="No control",SUMIF(('Loading-drum,tote'!$B$31:$B$48),$J3904,('Loading-drum,tote'!$D$31:$D$48))*Impacts!$F$13,IF(('Loading-drum,tote'!$C$21)&lt;&gt;"No control",SUMIF(('Loading-drum,tote'!$B$31:$B$48),$J3904,('Loading-drum,tote'!$E$31:$E$48))*Impacts!$F$13,0)),0)</f>
        <v>0</v>
      </c>
      <c r="R3904" s="10">
        <f>IFERROR(IF(('Loading-truck'!$C$21)="No control",SUMIF(('Loading-truck'!$B$31:$B$48),$J3904,('Loading-truck'!$D$31:$D$48))*Impacts!$F$14,IF(('Loading-truck'!$C$21)&lt;&gt;"No control",SUMIF(('Loading-truck'!$B$31:$B$48),$J3904,('Loading-truck'!$E$31:$E$48))*Impacts!$F$14,0)),0)</f>
        <v>0</v>
      </c>
      <c r="S3904" s="10">
        <f>IFERROR(IF(('Loading-rail'!$C$21)="No control",SUMIF(('Loading-rail'!$B$31:$B$48),$J3904,('Loading-rail'!$D$31:$D$48))*Impacts!$F$15,IF(('Loading-rail'!$C$21)&lt;&gt;"No control",SUMIF(('Loading-rail'!$B$31:$B$48),$J3904,('Loading-rail'!$E$31:$E$48))*Impacts!$F$15,0)),0)</f>
        <v>0</v>
      </c>
      <c r="T3904" s="10">
        <f>IF(Flare!$C$7="",0,(SUMIF(Flare!$B$46:$B$185,$J3904,Flare!$E$46:$E$185)*Impacts!$F$16))</f>
        <v>0</v>
      </c>
      <c r="U3904" s="10">
        <f>IF(VCU!$C$9="",0,(SUMIF(VCU!$B$51:$B$193,$J3904,VCU!$E$51:$E$193)*Impacts!$F$17))</f>
        <v>0</v>
      </c>
      <c r="V3904" s="10">
        <f>IF(CAS!$C$7="",0,(SUMIF(CAS!$B$31:$B$167,$J3904,CAS!$E$31:$E$167)*Impacts!$F$18))</f>
        <v>0</v>
      </c>
      <c r="W3904" s="10">
        <f t="shared" si="101"/>
        <v>0</v>
      </c>
      <c r="AK3904" s="10" t="str">
        <f t="array" ref="AK3904">IFERROR(INDEX(SelectedSpecies,SMALL(IF(SelectedSpecies=AK$1,ROW(SelectedSpecies)),ROW(3905:3905)),2),"")</f>
        <v/>
      </c>
      <c r="BE3904" s="10"/>
      <c r="BI3904" s="10"/>
    </row>
    <row r="3905" spans="1:61" ht="21" customHeight="1" x14ac:dyDescent="0.25">
      <c r="A3905" s="10"/>
      <c r="B3905" s="10"/>
      <c r="E3905" s="10"/>
      <c r="G3905" s="10"/>
      <c r="I3905" s="436" t="s">
        <v>3893</v>
      </c>
      <c r="J3905" s="26" t="s">
        <v>3892</v>
      </c>
      <c r="K3905" s="10">
        <v>6</v>
      </c>
      <c r="L3905" s="73">
        <f>IF(Tank1!$C$23="No control",(SUMIF(Tank1!$B$32:$B$49,$J3905,Tank1!$C$32:$C$49)*Impacts!$F$8),0)</f>
        <v>0</v>
      </c>
      <c r="M3905" s="10">
        <f>IF(Tank2!$C$23="No control",(SUMIF(Tank2!$B$32:$B$49,$J3905,Tank2!$C$32:$C$49)*Impacts!$F$9),0)</f>
        <v>0</v>
      </c>
      <c r="N3905" s="10">
        <f>IF(Tank3!$C$23="No control",(SUMIF(Tank3!$B$32:$B$49,$J3905,Tank3!$C$32:$C$49)*Impacts!$F$10),0)</f>
        <v>0</v>
      </c>
      <c r="O3905" s="10">
        <f>IF(Tank4!$C$23="No control",(SUMIF(Tank4!$B$32:$B$49,$J3905,Tank4!$C$32:$C$49)*Impacts!$F$11),0)</f>
        <v>0</v>
      </c>
      <c r="P3905" s="10">
        <f>IF(Tank5!$C$23="No control",(SUMIF(Tank5!$B$32:$B$49,$J3905,Tank5!$C$32:$C$49)*Impacts!$F$12),0)</f>
        <v>0</v>
      </c>
      <c r="Q3905" s="10">
        <f>IFERROR(IF(('Loading-drum,tote'!$C$21)="No control",SUMIF(('Loading-drum,tote'!$B$31:$B$48),$J3905,('Loading-drum,tote'!$D$31:$D$48))*Impacts!$F$13,IF(('Loading-drum,tote'!$C$21)&lt;&gt;"No control",SUMIF(('Loading-drum,tote'!$B$31:$B$48),$J3905,('Loading-drum,tote'!$E$31:$E$48))*Impacts!$F$13,0)),0)</f>
        <v>0</v>
      </c>
      <c r="R3905" s="10">
        <f>IFERROR(IF(('Loading-truck'!$C$21)="No control",SUMIF(('Loading-truck'!$B$31:$B$48),$J3905,('Loading-truck'!$D$31:$D$48))*Impacts!$F$14,IF(('Loading-truck'!$C$21)&lt;&gt;"No control",SUMIF(('Loading-truck'!$B$31:$B$48),$J3905,('Loading-truck'!$E$31:$E$48))*Impacts!$F$14,0)),0)</f>
        <v>0</v>
      </c>
      <c r="S3905" s="10">
        <f>IFERROR(IF(('Loading-rail'!$C$21)="No control",SUMIF(('Loading-rail'!$B$31:$B$48),$J3905,('Loading-rail'!$D$31:$D$48))*Impacts!$F$15,IF(('Loading-rail'!$C$21)&lt;&gt;"No control",SUMIF(('Loading-rail'!$B$31:$B$48),$J3905,('Loading-rail'!$E$31:$E$48))*Impacts!$F$15,0)),0)</f>
        <v>0</v>
      </c>
      <c r="T3905" s="10">
        <f>IF(Flare!$C$7="",0,(SUMIF(Flare!$B$46:$B$185,$J3905,Flare!$E$46:$E$185)*Impacts!$F$16))</f>
        <v>0</v>
      </c>
      <c r="U3905" s="10">
        <f>IF(VCU!$C$9="",0,(SUMIF(VCU!$B$51:$B$193,$J3905,VCU!$E$51:$E$193)*Impacts!$F$17))</f>
        <v>0</v>
      </c>
      <c r="V3905" s="10">
        <f>IF(CAS!$C$7="",0,(SUMIF(CAS!$B$31:$B$167,$J3905,CAS!$E$31:$E$167)*Impacts!$F$18))</f>
        <v>0</v>
      </c>
      <c r="W3905" s="10">
        <f t="shared" si="101"/>
        <v>0</v>
      </c>
      <c r="AK3905" s="10" t="str">
        <f t="array" ref="AK3905">IFERROR(INDEX(SelectedSpecies,SMALL(IF(SelectedSpecies=AK$1,ROW(SelectedSpecies)),ROW(3906:3906)),2),"")</f>
        <v/>
      </c>
      <c r="BE3905" s="10"/>
      <c r="BI3905" s="10"/>
    </row>
    <row r="3906" spans="1:61" ht="21" customHeight="1" x14ac:dyDescent="0.25">
      <c r="A3906" s="10"/>
      <c r="B3906" s="10"/>
      <c r="E3906" s="10"/>
      <c r="G3906" s="10"/>
      <c r="I3906" s="436" t="s">
        <v>3427</v>
      </c>
      <c r="J3906" s="26" t="s">
        <v>3426</v>
      </c>
      <c r="K3906" s="10">
        <v>10</v>
      </c>
      <c r="L3906" s="73">
        <f>IF(Tank1!$C$23="No control",(SUMIF(Tank1!$B$32:$B$49,$J3906,Tank1!$C$32:$C$49)*Impacts!$F$8),0)</f>
        <v>0</v>
      </c>
      <c r="M3906" s="10">
        <f>IF(Tank2!$C$23="No control",(SUMIF(Tank2!$B$32:$B$49,$J3906,Tank2!$C$32:$C$49)*Impacts!$F$9),0)</f>
        <v>0</v>
      </c>
      <c r="N3906" s="10">
        <f>IF(Tank3!$C$23="No control",(SUMIF(Tank3!$B$32:$B$49,$J3906,Tank3!$C$32:$C$49)*Impacts!$F$10),0)</f>
        <v>0</v>
      </c>
      <c r="O3906" s="10">
        <f>IF(Tank4!$C$23="No control",(SUMIF(Tank4!$B$32:$B$49,$J3906,Tank4!$C$32:$C$49)*Impacts!$F$11),0)</f>
        <v>0</v>
      </c>
      <c r="P3906" s="10">
        <f>IF(Tank5!$C$23="No control",(SUMIF(Tank5!$B$32:$B$49,$J3906,Tank5!$C$32:$C$49)*Impacts!$F$12),0)</f>
        <v>0</v>
      </c>
      <c r="Q3906" s="10">
        <f>IFERROR(IF(('Loading-drum,tote'!$C$21)="No control",SUMIF(('Loading-drum,tote'!$B$31:$B$48),$J3906,('Loading-drum,tote'!$D$31:$D$48))*Impacts!$F$13,IF(('Loading-drum,tote'!$C$21)&lt;&gt;"No control",SUMIF(('Loading-drum,tote'!$B$31:$B$48),$J3906,('Loading-drum,tote'!$E$31:$E$48))*Impacts!$F$13,0)),0)</f>
        <v>0</v>
      </c>
      <c r="R3906" s="10">
        <f>IFERROR(IF(('Loading-truck'!$C$21)="No control",SUMIF(('Loading-truck'!$B$31:$B$48),$J3906,('Loading-truck'!$D$31:$D$48))*Impacts!$F$14,IF(('Loading-truck'!$C$21)&lt;&gt;"No control",SUMIF(('Loading-truck'!$B$31:$B$48),$J3906,('Loading-truck'!$E$31:$E$48))*Impacts!$F$14,0)),0)</f>
        <v>0</v>
      </c>
      <c r="S3906" s="10">
        <f>IFERROR(IF(('Loading-rail'!$C$21)="No control",SUMIF(('Loading-rail'!$B$31:$B$48),$J3906,('Loading-rail'!$D$31:$D$48))*Impacts!$F$15,IF(('Loading-rail'!$C$21)&lt;&gt;"No control",SUMIF(('Loading-rail'!$B$31:$B$48),$J3906,('Loading-rail'!$E$31:$E$48))*Impacts!$F$15,0)),0)</f>
        <v>0</v>
      </c>
      <c r="T3906" s="10">
        <f>IF(Flare!$C$7="",0,(SUMIF(Flare!$B$46:$B$185,$J3906,Flare!$E$46:$E$185)*Impacts!$F$16))</f>
        <v>0</v>
      </c>
      <c r="U3906" s="10">
        <f>IF(VCU!$C$9="",0,(SUMIF(VCU!$B$51:$B$193,$J3906,VCU!$E$51:$E$193)*Impacts!$F$17))</f>
        <v>0</v>
      </c>
      <c r="V3906" s="10">
        <f>IF(CAS!$C$7="",0,(SUMIF(CAS!$B$31:$B$167,$J3906,CAS!$E$31:$E$167)*Impacts!$F$18))</f>
        <v>0</v>
      </c>
      <c r="W3906" s="10">
        <f t="shared" si="101"/>
        <v>0</v>
      </c>
      <c r="AK3906" s="10" t="str">
        <f t="array" ref="AK3906">IFERROR(INDEX(SelectedSpecies,SMALL(IF(SelectedSpecies=AK$1,ROW(SelectedSpecies)),ROW(3907:3907)),2),"")</f>
        <v/>
      </c>
      <c r="BE3906" s="10"/>
      <c r="BI3906" s="10"/>
    </row>
    <row r="3907" spans="1:61" ht="21" customHeight="1" x14ac:dyDescent="0.25">
      <c r="A3907" s="10"/>
      <c r="B3907" s="10"/>
      <c r="E3907" s="10"/>
      <c r="G3907" s="10"/>
      <c r="I3907" s="436" t="s">
        <v>3429</v>
      </c>
      <c r="J3907" s="26" t="s">
        <v>3428</v>
      </c>
      <c r="K3907" s="10">
        <v>10</v>
      </c>
      <c r="L3907" s="73">
        <f>IF(Tank1!$C$23="No control",(SUMIF(Tank1!$B$32:$B$49,$J3907,Tank1!$C$32:$C$49)*Impacts!$F$8),0)</f>
        <v>0</v>
      </c>
      <c r="M3907" s="10">
        <f>IF(Tank2!$C$23="No control",(SUMIF(Tank2!$B$32:$B$49,$J3907,Tank2!$C$32:$C$49)*Impacts!$F$9),0)</f>
        <v>0</v>
      </c>
      <c r="N3907" s="10">
        <f>IF(Tank3!$C$23="No control",(SUMIF(Tank3!$B$32:$B$49,$J3907,Tank3!$C$32:$C$49)*Impacts!$F$10),0)</f>
        <v>0</v>
      </c>
      <c r="O3907" s="10">
        <f>IF(Tank4!$C$23="No control",(SUMIF(Tank4!$B$32:$B$49,$J3907,Tank4!$C$32:$C$49)*Impacts!$F$11),0)</f>
        <v>0</v>
      </c>
      <c r="P3907" s="10">
        <f>IF(Tank5!$C$23="No control",(SUMIF(Tank5!$B$32:$B$49,$J3907,Tank5!$C$32:$C$49)*Impacts!$F$12),0)</f>
        <v>0</v>
      </c>
      <c r="Q3907" s="10">
        <f>IFERROR(IF(('Loading-drum,tote'!$C$21)="No control",SUMIF(('Loading-drum,tote'!$B$31:$B$48),$J3907,('Loading-drum,tote'!$D$31:$D$48))*Impacts!$F$13,IF(('Loading-drum,tote'!$C$21)&lt;&gt;"No control",SUMIF(('Loading-drum,tote'!$B$31:$B$48),$J3907,('Loading-drum,tote'!$E$31:$E$48))*Impacts!$F$13,0)),0)</f>
        <v>0</v>
      </c>
      <c r="R3907" s="10">
        <f>IFERROR(IF(('Loading-truck'!$C$21)="No control",SUMIF(('Loading-truck'!$B$31:$B$48),$J3907,('Loading-truck'!$D$31:$D$48))*Impacts!$F$14,IF(('Loading-truck'!$C$21)&lt;&gt;"No control",SUMIF(('Loading-truck'!$B$31:$B$48),$J3907,('Loading-truck'!$E$31:$E$48))*Impacts!$F$14,0)),0)</f>
        <v>0</v>
      </c>
      <c r="S3907" s="10">
        <f>IFERROR(IF(('Loading-rail'!$C$21)="No control",SUMIF(('Loading-rail'!$B$31:$B$48),$J3907,('Loading-rail'!$D$31:$D$48))*Impacts!$F$15,IF(('Loading-rail'!$C$21)&lt;&gt;"No control",SUMIF(('Loading-rail'!$B$31:$B$48),$J3907,('Loading-rail'!$E$31:$E$48))*Impacts!$F$15,0)),0)</f>
        <v>0</v>
      </c>
      <c r="T3907" s="10">
        <f>IF(Flare!$C$7="",0,(SUMIF(Flare!$B$46:$B$185,$J3907,Flare!$E$46:$E$185)*Impacts!$F$16))</f>
        <v>0</v>
      </c>
      <c r="U3907" s="10">
        <f>IF(VCU!$C$9="",0,(SUMIF(VCU!$B$51:$B$193,$J3907,VCU!$E$51:$E$193)*Impacts!$F$17))</f>
        <v>0</v>
      </c>
      <c r="V3907" s="10">
        <f>IF(CAS!$C$7="",0,(SUMIF(CAS!$B$31:$B$167,$J3907,CAS!$E$31:$E$167)*Impacts!$F$18))</f>
        <v>0</v>
      </c>
      <c r="W3907" s="10">
        <f t="shared" si="101"/>
        <v>0</v>
      </c>
      <c r="AK3907" s="10" t="str">
        <f t="array" ref="AK3907">IFERROR(INDEX(SelectedSpecies,SMALL(IF(SelectedSpecies=AK$1,ROW(SelectedSpecies)),ROW(3908:3908)),2),"")</f>
        <v/>
      </c>
      <c r="BE3907" s="10"/>
      <c r="BI3907" s="10"/>
    </row>
    <row r="3908" spans="1:61" ht="21" customHeight="1" x14ac:dyDescent="0.25">
      <c r="A3908" s="10"/>
      <c r="B3908" s="10"/>
      <c r="E3908" s="10"/>
      <c r="G3908" s="10"/>
      <c r="I3908" s="436" t="s">
        <v>1514</v>
      </c>
      <c r="J3908" s="26" t="s">
        <v>1513</v>
      </c>
      <c r="K3908" s="10">
        <v>27.5</v>
      </c>
      <c r="L3908" s="73">
        <f>IF(Tank1!$C$23="No control",(SUMIF(Tank1!$B$32:$B$49,$J3908,Tank1!$C$32:$C$49)*Impacts!$F$8),0)</f>
        <v>0</v>
      </c>
      <c r="M3908" s="10">
        <f>IF(Tank2!$C$23="No control",(SUMIF(Tank2!$B$32:$B$49,$J3908,Tank2!$C$32:$C$49)*Impacts!$F$9),0)</f>
        <v>0</v>
      </c>
      <c r="N3908" s="10">
        <f>IF(Tank3!$C$23="No control",(SUMIF(Tank3!$B$32:$B$49,$J3908,Tank3!$C$32:$C$49)*Impacts!$F$10),0)</f>
        <v>0</v>
      </c>
      <c r="O3908" s="10">
        <f>IF(Tank4!$C$23="No control",(SUMIF(Tank4!$B$32:$B$49,$J3908,Tank4!$C$32:$C$49)*Impacts!$F$11),0)</f>
        <v>0</v>
      </c>
      <c r="P3908" s="10">
        <f>IF(Tank5!$C$23="No control",(SUMIF(Tank5!$B$32:$B$49,$J3908,Tank5!$C$32:$C$49)*Impacts!$F$12),0)</f>
        <v>0</v>
      </c>
      <c r="Q3908" s="10">
        <f>IFERROR(IF(('Loading-drum,tote'!$C$21)="No control",SUMIF(('Loading-drum,tote'!$B$31:$B$48),$J3908,('Loading-drum,tote'!$D$31:$D$48))*Impacts!$F$13,IF(('Loading-drum,tote'!$C$21)&lt;&gt;"No control",SUMIF(('Loading-drum,tote'!$B$31:$B$48),$J3908,('Loading-drum,tote'!$E$31:$E$48))*Impacts!$F$13,0)),0)</f>
        <v>0</v>
      </c>
      <c r="R3908" s="10">
        <f>IFERROR(IF(('Loading-truck'!$C$21)="No control",SUMIF(('Loading-truck'!$B$31:$B$48),$J3908,('Loading-truck'!$D$31:$D$48))*Impacts!$F$14,IF(('Loading-truck'!$C$21)&lt;&gt;"No control",SUMIF(('Loading-truck'!$B$31:$B$48),$J3908,('Loading-truck'!$E$31:$E$48))*Impacts!$F$14,0)),0)</f>
        <v>0</v>
      </c>
      <c r="S3908" s="10">
        <f>IFERROR(IF(('Loading-rail'!$C$21)="No control",SUMIF(('Loading-rail'!$B$31:$B$48),$J3908,('Loading-rail'!$D$31:$D$48))*Impacts!$F$15,IF(('Loading-rail'!$C$21)&lt;&gt;"No control",SUMIF(('Loading-rail'!$B$31:$B$48),$J3908,('Loading-rail'!$E$31:$E$48))*Impacts!$F$15,0)),0)</f>
        <v>0</v>
      </c>
      <c r="T3908" s="10">
        <f>IF(Flare!$C$7="",0,(SUMIF(Flare!$B$46:$B$185,$J3908,Flare!$E$46:$E$185)*Impacts!$F$16))</f>
        <v>0</v>
      </c>
      <c r="U3908" s="10">
        <f>IF(VCU!$C$9="",0,(SUMIF(VCU!$B$51:$B$193,$J3908,VCU!$E$51:$E$193)*Impacts!$F$17))</f>
        <v>0</v>
      </c>
      <c r="V3908" s="10">
        <f>IF(CAS!$C$7="",0,(SUMIF(CAS!$B$31:$B$167,$J3908,CAS!$E$31:$E$167)*Impacts!$F$18))</f>
        <v>0</v>
      </c>
      <c r="W3908" s="10">
        <f t="shared" si="101"/>
        <v>0</v>
      </c>
      <c r="AK3908" s="10" t="str">
        <f t="array" ref="AK3908">IFERROR(INDEX(SelectedSpecies,SMALL(IF(SelectedSpecies=AK$1,ROW(SelectedSpecies)),ROW(3909:3909)),2),"")</f>
        <v/>
      </c>
      <c r="BE3908" s="10"/>
      <c r="BI3908" s="10"/>
    </row>
    <row r="3909" spans="1:61" ht="21" customHeight="1" x14ac:dyDescent="0.25">
      <c r="A3909" s="10"/>
      <c r="B3909" s="10"/>
      <c r="E3909" s="10"/>
      <c r="G3909" s="10"/>
      <c r="I3909" s="436" t="s">
        <v>3431</v>
      </c>
      <c r="J3909" s="26" t="s">
        <v>3430</v>
      </c>
      <c r="K3909" s="10">
        <v>10</v>
      </c>
      <c r="L3909" s="73">
        <f>IF(Tank1!$C$23="No control",(SUMIF(Tank1!$B$32:$B$49,$J3909,Tank1!$C$32:$C$49)*Impacts!$F$8),0)</f>
        <v>0</v>
      </c>
      <c r="M3909" s="10">
        <f>IF(Tank2!$C$23="No control",(SUMIF(Tank2!$B$32:$B$49,$J3909,Tank2!$C$32:$C$49)*Impacts!$F$9),0)</f>
        <v>0</v>
      </c>
      <c r="N3909" s="10">
        <f>IF(Tank3!$C$23="No control",(SUMIF(Tank3!$B$32:$B$49,$J3909,Tank3!$C$32:$C$49)*Impacts!$F$10),0)</f>
        <v>0</v>
      </c>
      <c r="O3909" s="10">
        <f>IF(Tank4!$C$23="No control",(SUMIF(Tank4!$B$32:$B$49,$J3909,Tank4!$C$32:$C$49)*Impacts!$F$11),0)</f>
        <v>0</v>
      </c>
      <c r="P3909" s="10">
        <f>IF(Tank5!$C$23="No control",(SUMIF(Tank5!$B$32:$B$49,$J3909,Tank5!$C$32:$C$49)*Impacts!$F$12),0)</f>
        <v>0</v>
      </c>
      <c r="Q3909" s="10">
        <f>IFERROR(IF(('Loading-drum,tote'!$C$21)="No control",SUMIF(('Loading-drum,tote'!$B$31:$B$48),$J3909,('Loading-drum,tote'!$D$31:$D$48))*Impacts!$F$13,IF(('Loading-drum,tote'!$C$21)&lt;&gt;"No control",SUMIF(('Loading-drum,tote'!$B$31:$B$48),$J3909,('Loading-drum,tote'!$E$31:$E$48))*Impacts!$F$13,0)),0)</f>
        <v>0</v>
      </c>
      <c r="R3909" s="10">
        <f>IFERROR(IF(('Loading-truck'!$C$21)="No control",SUMIF(('Loading-truck'!$B$31:$B$48),$J3909,('Loading-truck'!$D$31:$D$48))*Impacts!$F$14,IF(('Loading-truck'!$C$21)&lt;&gt;"No control",SUMIF(('Loading-truck'!$B$31:$B$48),$J3909,('Loading-truck'!$E$31:$E$48))*Impacts!$F$14,0)),0)</f>
        <v>0</v>
      </c>
      <c r="S3909" s="10">
        <f>IFERROR(IF(('Loading-rail'!$C$21)="No control",SUMIF(('Loading-rail'!$B$31:$B$48),$J3909,('Loading-rail'!$D$31:$D$48))*Impacts!$F$15,IF(('Loading-rail'!$C$21)&lt;&gt;"No control",SUMIF(('Loading-rail'!$B$31:$B$48),$J3909,('Loading-rail'!$E$31:$E$48))*Impacts!$F$15,0)),0)</f>
        <v>0</v>
      </c>
      <c r="T3909" s="10">
        <f>IF(Flare!$C$7="",0,(SUMIF(Flare!$B$46:$B$185,$J3909,Flare!$E$46:$E$185)*Impacts!$F$16))</f>
        <v>0</v>
      </c>
      <c r="U3909" s="10">
        <f>IF(VCU!$C$9="",0,(SUMIF(VCU!$B$51:$B$193,$J3909,VCU!$E$51:$E$193)*Impacts!$F$17))</f>
        <v>0</v>
      </c>
      <c r="V3909" s="10">
        <f>IF(CAS!$C$7="",0,(SUMIF(CAS!$B$31:$B$167,$J3909,CAS!$E$31:$E$167)*Impacts!$F$18))</f>
        <v>0</v>
      </c>
      <c r="W3909" s="10">
        <f t="shared" si="101"/>
        <v>0</v>
      </c>
      <c r="AK3909" s="10" t="str">
        <f t="array" ref="AK3909">IFERROR(INDEX(SelectedSpecies,SMALL(IF(SelectedSpecies=AK$1,ROW(SelectedSpecies)),ROW(3910:3910)),2),"")</f>
        <v/>
      </c>
      <c r="BE3909" s="10"/>
      <c r="BI3909" s="10"/>
    </row>
    <row r="3910" spans="1:61" ht="21" customHeight="1" x14ac:dyDescent="0.25">
      <c r="A3910" s="10"/>
      <c r="B3910" s="10"/>
      <c r="E3910" s="10"/>
      <c r="G3910" s="10"/>
      <c r="I3910" s="436" t="s">
        <v>5301</v>
      </c>
      <c r="J3910" s="26" t="s">
        <v>5300</v>
      </c>
      <c r="K3910" s="10">
        <v>1.8</v>
      </c>
      <c r="L3910" s="73">
        <f>IF(Tank1!$C$23="No control",(SUMIF(Tank1!$B$32:$B$49,$J3910,Tank1!$C$32:$C$49)*Impacts!$F$8),0)</f>
        <v>0</v>
      </c>
      <c r="M3910" s="10">
        <f>IF(Tank2!$C$23="No control",(SUMIF(Tank2!$B$32:$B$49,$J3910,Tank2!$C$32:$C$49)*Impacts!$F$9),0)</f>
        <v>0</v>
      </c>
      <c r="N3910" s="10">
        <f>IF(Tank3!$C$23="No control",(SUMIF(Tank3!$B$32:$B$49,$J3910,Tank3!$C$32:$C$49)*Impacts!$F$10),0)</f>
        <v>0</v>
      </c>
      <c r="O3910" s="10">
        <f>IF(Tank4!$C$23="No control",(SUMIF(Tank4!$B$32:$B$49,$J3910,Tank4!$C$32:$C$49)*Impacts!$F$11),0)</f>
        <v>0</v>
      </c>
      <c r="P3910" s="10">
        <f>IF(Tank5!$C$23="No control",(SUMIF(Tank5!$B$32:$B$49,$J3910,Tank5!$C$32:$C$49)*Impacts!$F$12),0)</f>
        <v>0</v>
      </c>
      <c r="Q3910" s="10">
        <f>IFERROR(IF(('Loading-drum,tote'!$C$21)="No control",SUMIF(('Loading-drum,tote'!$B$31:$B$48),$J3910,('Loading-drum,tote'!$D$31:$D$48))*Impacts!$F$13,IF(('Loading-drum,tote'!$C$21)&lt;&gt;"No control",SUMIF(('Loading-drum,tote'!$B$31:$B$48),$J3910,('Loading-drum,tote'!$E$31:$E$48))*Impacts!$F$13,0)),0)</f>
        <v>0</v>
      </c>
      <c r="R3910" s="10">
        <f>IFERROR(IF(('Loading-truck'!$C$21)="No control",SUMIF(('Loading-truck'!$B$31:$B$48),$J3910,('Loading-truck'!$D$31:$D$48))*Impacts!$F$14,IF(('Loading-truck'!$C$21)&lt;&gt;"No control",SUMIF(('Loading-truck'!$B$31:$B$48),$J3910,('Loading-truck'!$E$31:$E$48))*Impacts!$F$14,0)),0)</f>
        <v>0</v>
      </c>
      <c r="S3910" s="10">
        <f>IFERROR(IF(('Loading-rail'!$C$21)="No control",SUMIF(('Loading-rail'!$B$31:$B$48),$J3910,('Loading-rail'!$D$31:$D$48))*Impacts!$F$15,IF(('Loading-rail'!$C$21)&lt;&gt;"No control",SUMIF(('Loading-rail'!$B$31:$B$48),$J3910,('Loading-rail'!$E$31:$E$48))*Impacts!$F$15,0)),0)</f>
        <v>0</v>
      </c>
      <c r="T3910" s="10">
        <f>IF(Flare!$C$7="",0,(SUMIF(Flare!$B$46:$B$185,$J3910,Flare!$E$46:$E$185)*Impacts!$F$16))</f>
        <v>0</v>
      </c>
      <c r="U3910" s="10">
        <f>IF(VCU!$C$9="",0,(SUMIF(VCU!$B$51:$B$193,$J3910,VCU!$E$51:$E$193)*Impacts!$F$17))</f>
        <v>0</v>
      </c>
      <c r="V3910" s="10">
        <f>IF(CAS!$C$7="",0,(SUMIF(CAS!$B$31:$B$167,$J3910,CAS!$E$31:$E$167)*Impacts!$F$18))</f>
        <v>0</v>
      </c>
      <c r="W3910" s="10">
        <f t="shared" si="101"/>
        <v>0</v>
      </c>
      <c r="AK3910" s="10" t="str">
        <f t="array" ref="AK3910">IFERROR(INDEX(SelectedSpecies,SMALL(IF(SelectedSpecies=AK$1,ROW(SelectedSpecies)),ROW(3911:3911)),2),"")</f>
        <v/>
      </c>
      <c r="BE3910" s="10"/>
      <c r="BI3910" s="10"/>
    </row>
    <row r="3911" spans="1:61" ht="21" customHeight="1" x14ac:dyDescent="0.25">
      <c r="A3911" s="10"/>
      <c r="B3911" s="10"/>
      <c r="E3911" s="10"/>
      <c r="G3911" s="10"/>
      <c r="I3911" s="436" t="s">
        <v>4657</v>
      </c>
      <c r="J3911" s="26" t="s">
        <v>4656</v>
      </c>
      <c r="K3911" s="10">
        <v>3.8000000000000003</v>
      </c>
      <c r="L3911" s="73">
        <f>IF(Tank1!$C$23="No control",(SUMIF(Tank1!$B$32:$B$49,$J3911,Tank1!$C$32:$C$49)*Impacts!$F$8),0)</f>
        <v>0</v>
      </c>
      <c r="M3911" s="10">
        <f>IF(Tank2!$C$23="No control",(SUMIF(Tank2!$B$32:$B$49,$J3911,Tank2!$C$32:$C$49)*Impacts!$F$9),0)</f>
        <v>0</v>
      </c>
      <c r="N3911" s="10">
        <f>IF(Tank3!$C$23="No control",(SUMIF(Tank3!$B$32:$B$49,$J3911,Tank3!$C$32:$C$49)*Impacts!$F$10),0)</f>
        <v>0</v>
      </c>
      <c r="O3911" s="10">
        <f>IF(Tank4!$C$23="No control",(SUMIF(Tank4!$B$32:$B$49,$J3911,Tank4!$C$32:$C$49)*Impacts!$F$11),0)</f>
        <v>0</v>
      </c>
      <c r="P3911" s="10">
        <f>IF(Tank5!$C$23="No control",(SUMIF(Tank5!$B$32:$B$49,$J3911,Tank5!$C$32:$C$49)*Impacts!$F$12),0)</f>
        <v>0</v>
      </c>
      <c r="Q3911" s="10">
        <f>IFERROR(IF(('Loading-drum,tote'!$C$21)="No control",SUMIF(('Loading-drum,tote'!$B$31:$B$48),$J3911,('Loading-drum,tote'!$D$31:$D$48))*Impacts!$F$13,IF(('Loading-drum,tote'!$C$21)&lt;&gt;"No control",SUMIF(('Loading-drum,tote'!$B$31:$B$48),$J3911,('Loading-drum,tote'!$E$31:$E$48))*Impacts!$F$13,0)),0)</f>
        <v>0</v>
      </c>
      <c r="R3911" s="10">
        <f>IFERROR(IF(('Loading-truck'!$C$21)="No control",SUMIF(('Loading-truck'!$B$31:$B$48),$J3911,('Loading-truck'!$D$31:$D$48))*Impacts!$F$14,IF(('Loading-truck'!$C$21)&lt;&gt;"No control",SUMIF(('Loading-truck'!$B$31:$B$48),$J3911,('Loading-truck'!$E$31:$E$48))*Impacts!$F$14,0)),0)</f>
        <v>0</v>
      </c>
      <c r="S3911" s="10">
        <f>IFERROR(IF(('Loading-rail'!$C$21)="No control",SUMIF(('Loading-rail'!$B$31:$B$48),$J3911,('Loading-rail'!$D$31:$D$48))*Impacts!$F$15,IF(('Loading-rail'!$C$21)&lt;&gt;"No control",SUMIF(('Loading-rail'!$B$31:$B$48),$J3911,('Loading-rail'!$E$31:$E$48))*Impacts!$F$15,0)),0)</f>
        <v>0</v>
      </c>
      <c r="T3911" s="10">
        <f>IF(Flare!$C$7="",0,(SUMIF(Flare!$B$46:$B$185,$J3911,Flare!$E$46:$E$185)*Impacts!$F$16))</f>
        <v>0</v>
      </c>
      <c r="U3911" s="10">
        <f>IF(VCU!$C$9="",0,(SUMIF(VCU!$B$51:$B$193,$J3911,VCU!$E$51:$E$193)*Impacts!$F$17))</f>
        <v>0</v>
      </c>
      <c r="V3911" s="10">
        <f>IF(CAS!$C$7="",0,(SUMIF(CAS!$B$31:$B$167,$J3911,CAS!$E$31:$E$167)*Impacts!$F$18))</f>
        <v>0</v>
      </c>
      <c r="W3911" s="10">
        <f t="shared" si="101"/>
        <v>0</v>
      </c>
      <c r="AK3911" s="10" t="str">
        <f t="array" ref="AK3911">IFERROR(INDEX(SelectedSpecies,SMALL(IF(SelectedSpecies=AK$1,ROW(SelectedSpecies)),ROW(3912:3912)),2),"")</f>
        <v/>
      </c>
      <c r="BE3911" s="10"/>
      <c r="BI3911" s="10"/>
    </row>
    <row r="3912" spans="1:61" ht="21" customHeight="1" x14ac:dyDescent="0.25">
      <c r="A3912" s="10"/>
      <c r="B3912" s="10"/>
      <c r="E3912" s="10"/>
      <c r="G3912" s="10"/>
      <c r="I3912" s="436" t="s">
        <v>1182</v>
      </c>
      <c r="J3912" s="26" t="s">
        <v>1181</v>
      </c>
      <c r="K3912" s="10">
        <v>35</v>
      </c>
      <c r="L3912" s="73">
        <f>IF(Tank1!$C$23="No control",(SUMIF(Tank1!$B$32:$B$49,$J3912,Tank1!$C$32:$C$49)*Impacts!$F$8),0)</f>
        <v>0</v>
      </c>
      <c r="M3912" s="10">
        <f>IF(Tank2!$C$23="No control",(SUMIF(Tank2!$B$32:$B$49,$J3912,Tank2!$C$32:$C$49)*Impacts!$F$9),0)</f>
        <v>0</v>
      </c>
      <c r="N3912" s="10">
        <f>IF(Tank3!$C$23="No control",(SUMIF(Tank3!$B$32:$B$49,$J3912,Tank3!$C$32:$C$49)*Impacts!$F$10),0)</f>
        <v>0</v>
      </c>
      <c r="O3912" s="10">
        <f>IF(Tank4!$C$23="No control",(SUMIF(Tank4!$B$32:$B$49,$J3912,Tank4!$C$32:$C$49)*Impacts!$F$11),0)</f>
        <v>0</v>
      </c>
      <c r="P3912" s="10">
        <f>IF(Tank5!$C$23="No control",(SUMIF(Tank5!$B$32:$B$49,$J3912,Tank5!$C$32:$C$49)*Impacts!$F$12),0)</f>
        <v>0</v>
      </c>
      <c r="Q3912" s="10">
        <f>IFERROR(IF(('Loading-drum,tote'!$C$21)="No control",SUMIF(('Loading-drum,tote'!$B$31:$B$48),$J3912,('Loading-drum,tote'!$D$31:$D$48))*Impacts!$F$13,IF(('Loading-drum,tote'!$C$21)&lt;&gt;"No control",SUMIF(('Loading-drum,tote'!$B$31:$B$48),$J3912,('Loading-drum,tote'!$E$31:$E$48))*Impacts!$F$13,0)),0)</f>
        <v>0</v>
      </c>
      <c r="R3912" s="10">
        <f>IFERROR(IF(('Loading-truck'!$C$21)="No control",SUMIF(('Loading-truck'!$B$31:$B$48),$J3912,('Loading-truck'!$D$31:$D$48))*Impacts!$F$14,IF(('Loading-truck'!$C$21)&lt;&gt;"No control",SUMIF(('Loading-truck'!$B$31:$B$48),$J3912,('Loading-truck'!$E$31:$E$48))*Impacts!$F$14,0)),0)</f>
        <v>0</v>
      </c>
      <c r="S3912" s="10">
        <f>IFERROR(IF(('Loading-rail'!$C$21)="No control",SUMIF(('Loading-rail'!$B$31:$B$48),$J3912,('Loading-rail'!$D$31:$D$48))*Impacts!$F$15,IF(('Loading-rail'!$C$21)&lt;&gt;"No control",SUMIF(('Loading-rail'!$B$31:$B$48),$J3912,('Loading-rail'!$E$31:$E$48))*Impacts!$F$15,0)),0)</f>
        <v>0</v>
      </c>
      <c r="T3912" s="10">
        <f>IF(Flare!$C$7="",0,(SUMIF(Flare!$B$46:$B$185,$J3912,Flare!$E$46:$E$185)*Impacts!$F$16))</f>
        <v>0</v>
      </c>
      <c r="U3912" s="10">
        <f>IF(VCU!$C$9="",0,(SUMIF(VCU!$B$51:$B$193,$J3912,VCU!$E$51:$E$193)*Impacts!$F$17))</f>
        <v>0</v>
      </c>
      <c r="V3912" s="10">
        <f>IF(CAS!$C$7="",0,(SUMIF(CAS!$B$31:$B$167,$J3912,CAS!$E$31:$E$167)*Impacts!$F$18))</f>
        <v>0</v>
      </c>
      <c r="W3912" s="10">
        <f t="shared" si="101"/>
        <v>0</v>
      </c>
      <c r="AK3912" s="10" t="str">
        <f t="array" ref="AK3912">IFERROR(INDEX(SelectedSpecies,SMALL(IF(SelectedSpecies=AK$1,ROW(SelectedSpecies)),ROW(3913:3913)),2),"")</f>
        <v/>
      </c>
      <c r="BE3912" s="10"/>
      <c r="BI3912" s="10"/>
    </row>
    <row r="3913" spans="1:61" ht="21" customHeight="1" x14ac:dyDescent="0.25">
      <c r="A3913" s="10"/>
      <c r="B3913" s="10"/>
      <c r="E3913" s="10"/>
      <c r="G3913" s="10"/>
      <c r="I3913" s="436" t="s">
        <v>1184</v>
      </c>
      <c r="J3913" s="26" t="s">
        <v>1183</v>
      </c>
      <c r="K3913" s="10">
        <v>35</v>
      </c>
      <c r="L3913" s="73">
        <f>IF(Tank1!$C$23="No control",(SUMIF(Tank1!$B$32:$B$49,$J3913,Tank1!$C$32:$C$49)*Impacts!$F$8),0)</f>
        <v>0</v>
      </c>
      <c r="M3913" s="10">
        <f>IF(Tank2!$C$23="No control",(SUMIF(Tank2!$B$32:$B$49,$J3913,Tank2!$C$32:$C$49)*Impacts!$F$9),0)</f>
        <v>0</v>
      </c>
      <c r="N3913" s="10">
        <f>IF(Tank3!$C$23="No control",(SUMIF(Tank3!$B$32:$B$49,$J3913,Tank3!$C$32:$C$49)*Impacts!$F$10),0)</f>
        <v>0</v>
      </c>
      <c r="O3913" s="10">
        <f>IF(Tank4!$C$23="No control",(SUMIF(Tank4!$B$32:$B$49,$J3913,Tank4!$C$32:$C$49)*Impacts!$F$11),0)</f>
        <v>0</v>
      </c>
      <c r="P3913" s="10">
        <f>IF(Tank5!$C$23="No control",(SUMIF(Tank5!$B$32:$B$49,$J3913,Tank5!$C$32:$C$49)*Impacts!$F$12),0)</f>
        <v>0</v>
      </c>
      <c r="Q3913" s="10">
        <f>IFERROR(IF(('Loading-drum,tote'!$C$21)="No control",SUMIF(('Loading-drum,tote'!$B$31:$B$48),$J3913,('Loading-drum,tote'!$D$31:$D$48))*Impacts!$F$13,IF(('Loading-drum,tote'!$C$21)&lt;&gt;"No control",SUMIF(('Loading-drum,tote'!$B$31:$B$48),$J3913,('Loading-drum,tote'!$E$31:$E$48))*Impacts!$F$13,0)),0)</f>
        <v>0</v>
      </c>
      <c r="R3913" s="10">
        <f>IFERROR(IF(('Loading-truck'!$C$21)="No control",SUMIF(('Loading-truck'!$B$31:$B$48),$J3913,('Loading-truck'!$D$31:$D$48))*Impacts!$F$14,IF(('Loading-truck'!$C$21)&lt;&gt;"No control",SUMIF(('Loading-truck'!$B$31:$B$48),$J3913,('Loading-truck'!$E$31:$E$48))*Impacts!$F$14,0)),0)</f>
        <v>0</v>
      </c>
      <c r="S3913" s="10">
        <f>IFERROR(IF(('Loading-rail'!$C$21)="No control",SUMIF(('Loading-rail'!$B$31:$B$48),$J3913,('Loading-rail'!$D$31:$D$48))*Impacts!$F$15,IF(('Loading-rail'!$C$21)&lt;&gt;"No control",SUMIF(('Loading-rail'!$B$31:$B$48),$J3913,('Loading-rail'!$E$31:$E$48))*Impacts!$F$15,0)),0)</f>
        <v>0</v>
      </c>
      <c r="T3913" s="10">
        <f>IF(Flare!$C$7="",0,(SUMIF(Flare!$B$46:$B$185,$J3913,Flare!$E$46:$E$185)*Impacts!$F$16))</f>
        <v>0</v>
      </c>
      <c r="U3913" s="10">
        <f>IF(VCU!$C$9="",0,(SUMIF(VCU!$B$51:$B$193,$J3913,VCU!$E$51:$E$193)*Impacts!$F$17))</f>
        <v>0</v>
      </c>
      <c r="V3913" s="10">
        <f>IF(CAS!$C$7="",0,(SUMIF(CAS!$B$31:$B$167,$J3913,CAS!$E$31:$E$167)*Impacts!$F$18))</f>
        <v>0</v>
      </c>
      <c r="W3913" s="10">
        <f t="shared" si="101"/>
        <v>0</v>
      </c>
      <c r="AK3913" s="10" t="str">
        <f t="array" ref="AK3913">IFERROR(INDEX(SelectedSpecies,SMALL(IF(SelectedSpecies=AK$1,ROW(SelectedSpecies)),ROW(3914:3914)),2),"")</f>
        <v/>
      </c>
      <c r="BE3913" s="10"/>
      <c r="BI3913" s="10"/>
    </row>
    <row r="3914" spans="1:61" ht="21" customHeight="1" x14ac:dyDescent="0.25">
      <c r="A3914" s="10"/>
      <c r="B3914" s="10"/>
      <c r="E3914" s="10"/>
      <c r="G3914" s="10"/>
      <c r="I3914" s="436" t="s">
        <v>1186</v>
      </c>
      <c r="J3914" s="26" t="s">
        <v>1185</v>
      </c>
      <c r="K3914" s="10">
        <v>35</v>
      </c>
      <c r="L3914" s="73">
        <f>IF(Tank1!$C$23="No control",(SUMIF(Tank1!$B$32:$B$49,$J3914,Tank1!$C$32:$C$49)*Impacts!$F$8),0)</f>
        <v>0</v>
      </c>
      <c r="M3914" s="10">
        <f>IF(Tank2!$C$23="No control",(SUMIF(Tank2!$B$32:$B$49,$J3914,Tank2!$C$32:$C$49)*Impacts!$F$9),0)</f>
        <v>0</v>
      </c>
      <c r="N3914" s="10">
        <f>IF(Tank3!$C$23="No control",(SUMIF(Tank3!$B$32:$B$49,$J3914,Tank3!$C$32:$C$49)*Impacts!$F$10),0)</f>
        <v>0</v>
      </c>
      <c r="O3914" s="10">
        <f>IF(Tank4!$C$23="No control",(SUMIF(Tank4!$B$32:$B$49,$J3914,Tank4!$C$32:$C$49)*Impacts!$F$11),0)</f>
        <v>0</v>
      </c>
      <c r="P3914" s="10">
        <f>IF(Tank5!$C$23="No control",(SUMIF(Tank5!$B$32:$B$49,$J3914,Tank5!$C$32:$C$49)*Impacts!$F$12),0)</f>
        <v>0</v>
      </c>
      <c r="Q3914" s="10">
        <f>IFERROR(IF(('Loading-drum,tote'!$C$21)="No control",SUMIF(('Loading-drum,tote'!$B$31:$B$48),$J3914,('Loading-drum,tote'!$D$31:$D$48))*Impacts!$F$13,IF(('Loading-drum,tote'!$C$21)&lt;&gt;"No control",SUMIF(('Loading-drum,tote'!$B$31:$B$48),$J3914,('Loading-drum,tote'!$E$31:$E$48))*Impacts!$F$13,0)),0)</f>
        <v>0</v>
      </c>
      <c r="R3914" s="10">
        <f>IFERROR(IF(('Loading-truck'!$C$21)="No control",SUMIF(('Loading-truck'!$B$31:$B$48),$J3914,('Loading-truck'!$D$31:$D$48))*Impacts!$F$14,IF(('Loading-truck'!$C$21)&lt;&gt;"No control",SUMIF(('Loading-truck'!$B$31:$B$48),$J3914,('Loading-truck'!$E$31:$E$48))*Impacts!$F$14,0)),0)</f>
        <v>0</v>
      </c>
      <c r="S3914" s="10">
        <f>IFERROR(IF(('Loading-rail'!$C$21)="No control",SUMIF(('Loading-rail'!$B$31:$B$48),$J3914,('Loading-rail'!$D$31:$D$48))*Impacts!$F$15,IF(('Loading-rail'!$C$21)&lt;&gt;"No control",SUMIF(('Loading-rail'!$B$31:$B$48),$J3914,('Loading-rail'!$E$31:$E$48))*Impacts!$F$15,0)),0)</f>
        <v>0</v>
      </c>
      <c r="T3914" s="10">
        <f>IF(Flare!$C$7="",0,(SUMIF(Flare!$B$46:$B$185,$J3914,Flare!$E$46:$E$185)*Impacts!$F$16))</f>
        <v>0</v>
      </c>
      <c r="U3914" s="10">
        <f>IF(VCU!$C$9="",0,(SUMIF(VCU!$B$51:$B$193,$J3914,VCU!$E$51:$E$193)*Impacts!$F$17))</f>
        <v>0</v>
      </c>
      <c r="V3914" s="10">
        <f>IF(CAS!$C$7="",0,(SUMIF(CAS!$B$31:$B$167,$J3914,CAS!$E$31:$E$167)*Impacts!$F$18))</f>
        <v>0</v>
      </c>
      <c r="W3914" s="10">
        <f t="shared" si="101"/>
        <v>0</v>
      </c>
      <c r="AK3914" s="10" t="str">
        <f t="array" ref="AK3914">IFERROR(INDEX(SelectedSpecies,SMALL(IF(SelectedSpecies=AK$1,ROW(SelectedSpecies)),ROW(3915:3915)),2),"")</f>
        <v/>
      </c>
      <c r="BE3914" s="10"/>
      <c r="BI3914" s="10"/>
    </row>
    <row r="3915" spans="1:61" ht="21" customHeight="1" x14ac:dyDescent="0.25">
      <c r="A3915" s="10"/>
      <c r="B3915" s="10"/>
      <c r="E3915" s="10"/>
      <c r="G3915" s="10"/>
      <c r="I3915" s="436" t="s">
        <v>3433</v>
      </c>
      <c r="J3915" s="26" t="s">
        <v>3432</v>
      </c>
      <c r="K3915" s="10">
        <v>10</v>
      </c>
      <c r="L3915" s="73">
        <f>IF(Tank1!$C$23="No control",(SUMIF(Tank1!$B$32:$B$49,$J3915,Tank1!$C$32:$C$49)*Impacts!$F$8),0)</f>
        <v>0</v>
      </c>
      <c r="M3915" s="10">
        <f>IF(Tank2!$C$23="No control",(SUMIF(Tank2!$B$32:$B$49,$J3915,Tank2!$C$32:$C$49)*Impacts!$F$9),0)</f>
        <v>0</v>
      </c>
      <c r="N3915" s="10">
        <f>IF(Tank3!$C$23="No control",(SUMIF(Tank3!$B$32:$B$49,$J3915,Tank3!$C$32:$C$49)*Impacts!$F$10),0)</f>
        <v>0</v>
      </c>
      <c r="O3915" s="10">
        <f>IF(Tank4!$C$23="No control",(SUMIF(Tank4!$B$32:$B$49,$J3915,Tank4!$C$32:$C$49)*Impacts!$F$11),0)</f>
        <v>0</v>
      </c>
      <c r="P3915" s="10">
        <f>IF(Tank5!$C$23="No control",(SUMIF(Tank5!$B$32:$B$49,$J3915,Tank5!$C$32:$C$49)*Impacts!$F$12),0)</f>
        <v>0</v>
      </c>
      <c r="Q3915" s="10">
        <f>IFERROR(IF(('Loading-drum,tote'!$C$21)="No control",SUMIF(('Loading-drum,tote'!$B$31:$B$48),$J3915,('Loading-drum,tote'!$D$31:$D$48))*Impacts!$F$13,IF(('Loading-drum,tote'!$C$21)&lt;&gt;"No control",SUMIF(('Loading-drum,tote'!$B$31:$B$48),$J3915,('Loading-drum,tote'!$E$31:$E$48))*Impacts!$F$13,0)),0)</f>
        <v>0</v>
      </c>
      <c r="R3915" s="10">
        <f>IFERROR(IF(('Loading-truck'!$C$21)="No control",SUMIF(('Loading-truck'!$B$31:$B$48),$J3915,('Loading-truck'!$D$31:$D$48))*Impacts!$F$14,IF(('Loading-truck'!$C$21)&lt;&gt;"No control",SUMIF(('Loading-truck'!$B$31:$B$48),$J3915,('Loading-truck'!$E$31:$E$48))*Impacts!$F$14,0)),0)</f>
        <v>0</v>
      </c>
      <c r="S3915" s="10">
        <f>IFERROR(IF(('Loading-rail'!$C$21)="No control",SUMIF(('Loading-rail'!$B$31:$B$48),$J3915,('Loading-rail'!$D$31:$D$48))*Impacts!$F$15,IF(('Loading-rail'!$C$21)&lt;&gt;"No control",SUMIF(('Loading-rail'!$B$31:$B$48),$J3915,('Loading-rail'!$E$31:$E$48))*Impacts!$F$15,0)),0)</f>
        <v>0</v>
      </c>
      <c r="T3915" s="10">
        <f>IF(Flare!$C$7="",0,(SUMIF(Flare!$B$46:$B$185,$J3915,Flare!$E$46:$E$185)*Impacts!$F$16))</f>
        <v>0</v>
      </c>
      <c r="U3915" s="10">
        <f>IF(VCU!$C$9="",0,(SUMIF(VCU!$B$51:$B$193,$J3915,VCU!$E$51:$E$193)*Impacts!$F$17))</f>
        <v>0</v>
      </c>
      <c r="V3915" s="10">
        <f>IF(CAS!$C$7="",0,(SUMIF(CAS!$B$31:$B$167,$J3915,CAS!$E$31:$E$167)*Impacts!$F$18))</f>
        <v>0</v>
      </c>
      <c r="W3915" s="10">
        <f t="shared" si="101"/>
        <v>0</v>
      </c>
      <c r="AK3915" s="10" t="str">
        <f t="array" ref="AK3915">IFERROR(INDEX(SelectedSpecies,SMALL(IF(SelectedSpecies=AK$1,ROW(SelectedSpecies)),ROW(3916:3916)),2),"")</f>
        <v/>
      </c>
      <c r="BE3915" s="10"/>
      <c r="BI3915" s="10"/>
    </row>
    <row r="3916" spans="1:61" ht="21" customHeight="1" x14ac:dyDescent="0.25">
      <c r="A3916" s="10"/>
      <c r="B3916" s="10"/>
      <c r="E3916" s="10"/>
      <c r="G3916" s="10"/>
      <c r="I3916" s="436" t="s">
        <v>4509</v>
      </c>
      <c r="J3916" s="26" t="s">
        <v>4508</v>
      </c>
      <c r="K3916" s="10">
        <v>4.2</v>
      </c>
      <c r="L3916" s="73">
        <f>IF(Tank1!$C$23="No control",(SUMIF(Tank1!$B$32:$B$49,$J3916,Tank1!$C$32:$C$49)*Impacts!$F$8),0)</f>
        <v>0</v>
      </c>
      <c r="M3916" s="10">
        <f>IF(Tank2!$C$23="No control",(SUMIF(Tank2!$B$32:$B$49,$J3916,Tank2!$C$32:$C$49)*Impacts!$F$9),0)</f>
        <v>0</v>
      </c>
      <c r="N3916" s="10">
        <f>IF(Tank3!$C$23="No control",(SUMIF(Tank3!$B$32:$B$49,$J3916,Tank3!$C$32:$C$49)*Impacts!$F$10),0)</f>
        <v>0</v>
      </c>
      <c r="O3916" s="10">
        <f>IF(Tank4!$C$23="No control",(SUMIF(Tank4!$B$32:$B$49,$J3916,Tank4!$C$32:$C$49)*Impacts!$F$11),0)</f>
        <v>0</v>
      </c>
      <c r="P3916" s="10">
        <f>IF(Tank5!$C$23="No control",(SUMIF(Tank5!$B$32:$B$49,$J3916,Tank5!$C$32:$C$49)*Impacts!$F$12),0)</f>
        <v>0</v>
      </c>
      <c r="Q3916" s="10">
        <f>IFERROR(IF(('Loading-drum,tote'!$C$21)="No control",SUMIF(('Loading-drum,tote'!$B$31:$B$48),$J3916,('Loading-drum,tote'!$D$31:$D$48))*Impacts!$F$13,IF(('Loading-drum,tote'!$C$21)&lt;&gt;"No control",SUMIF(('Loading-drum,tote'!$B$31:$B$48),$J3916,('Loading-drum,tote'!$E$31:$E$48))*Impacts!$F$13,0)),0)</f>
        <v>0</v>
      </c>
      <c r="R3916" s="10">
        <f>IFERROR(IF(('Loading-truck'!$C$21)="No control",SUMIF(('Loading-truck'!$B$31:$B$48),$J3916,('Loading-truck'!$D$31:$D$48))*Impacts!$F$14,IF(('Loading-truck'!$C$21)&lt;&gt;"No control",SUMIF(('Loading-truck'!$B$31:$B$48),$J3916,('Loading-truck'!$E$31:$E$48))*Impacts!$F$14,0)),0)</f>
        <v>0</v>
      </c>
      <c r="S3916" s="10">
        <f>IFERROR(IF(('Loading-rail'!$C$21)="No control",SUMIF(('Loading-rail'!$B$31:$B$48),$J3916,('Loading-rail'!$D$31:$D$48))*Impacts!$F$15,IF(('Loading-rail'!$C$21)&lt;&gt;"No control",SUMIF(('Loading-rail'!$B$31:$B$48),$J3916,('Loading-rail'!$E$31:$E$48))*Impacts!$F$15,0)),0)</f>
        <v>0</v>
      </c>
      <c r="T3916" s="10">
        <f>IF(Flare!$C$7="",0,(SUMIF(Flare!$B$46:$B$185,$J3916,Flare!$E$46:$E$185)*Impacts!$F$16))</f>
        <v>0</v>
      </c>
      <c r="U3916" s="10">
        <f>IF(VCU!$C$9="",0,(SUMIF(VCU!$B$51:$B$193,$J3916,VCU!$E$51:$E$193)*Impacts!$F$17))</f>
        <v>0</v>
      </c>
      <c r="V3916" s="10">
        <f>IF(CAS!$C$7="",0,(SUMIF(CAS!$B$31:$B$167,$J3916,CAS!$E$31:$E$167)*Impacts!$F$18))</f>
        <v>0</v>
      </c>
      <c r="W3916" s="10">
        <f t="shared" si="101"/>
        <v>0</v>
      </c>
      <c r="AK3916" s="10" t="str">
        <f t="array" ref="AK3916">IFERROR(INDEX(SelectedSpecies,SMALL(IF(SelectedSpecies=AK$1,ROW(SelectedSpecies)),ROW(3917:3917)),2),"")</f>
        <v/>
      </c>
      <c r="BE3916" s="10"/>
      <c r="BI3916" s="10"/>
    </row>
    <row r="3917" spans="1:61" ht="21" customHeight="1" x14ac:dyDescent="0.25">
      <c r="A3917" s="10"/>
      <c r="B3917" s="10"/>
      <c r="E3917" s="10"/>
      <c r="G3917" s="10"/>
      <c r="I3917" s="436" t="s">
        <v>3435</v>
      </c>
      <c r="J3917" s="26" t="s">
        <v>3434</v>
      </c>
      <c r="K3917" s="10">
        <v>10</v>
      </c>
      <c r="L3917" s="73">
        <f>IF(Tank1!$C$23="No control",(SUMIF(Tank1!$B$32:$B$49,$J3917,Tank1!$C$32:$C$49)*Impacts!$F$8),0)</f>
        <v>0</v>
      </c>
      <c r="M3917" s="10">
        <f>IF(Tank2!$C$23="No control",(SUMIF(Tank2!$B$32:$B$49,$J3917,Tank2!$C$32:$C$49)*Impacts!$F$9),0)</f>
        <v>0</v>
      </c>
      <c r="N3917" s="10">
        <f>IF(Tank3!$C$23="No control",(SUMIF(Tank3!$B$32:$B$49,$J3917,Tank3!$C$32:$C$49)*Impacts!$F$10),0)</f>
        <v>0</v>
      </c>
      <c r="O3917" s="10">
        <f>IF(Tank4!$C$23="No control",(SUMIF(Tank4!$B$32:$B$49,$J3917,Tank4!$C$32:$C$49)*Impacts!$F$11),0)</f>
        <v>0</v>
      </c>
      <c r="P3917" s="10">
        <f>IF(Tank5!$C$23="No control",(SUMIF(Tank5!$B$32:$B$49,$J3917,Tank5!$C$32:$C$49)*Impacts!$F$12),0)</f>
        <v>0</v>
      </c>
      <c r="Q3917" s="10">
        <f>IFERROR(IF(('Loading-drum,tote'!$C$21)="No control",SUMIF(('Loading-drum,tote'!$B$31:$B$48),$J3917,('Loading-drum,tote'!$D$31:$D$48))*Impacts!$F$13,IF(('Loading-drum,tote'!$C$21)&lt;&gt;"No control",SUMIF(('Loading-drum,tote'!$B$31:$B$48),$J3917,('Loading-drum,tote'!$E$31:$E$48))*Impacts!$F$13,0)),0)</f>
        <v>0</v>
      </c>
      <c r="R3917" s="10">
        <f>IFERROR(IF(('Loading-truck'!$C$21)="No control",SUMIF(('Loading-truck'!$B$31:$B$48),$J3917,('Loading-truck'!$D$31:$D$48))*Impacts!$F$14,IF(('Loading-truck'!$C$21)&lt;&gt;"No control",SUMIF(('Loading-truck'!$B$31:$B$48),$J3917,('Loading-truck'!$E$31:$E$48))*Impacts!$F$14,0)),0)</f>
        <v>0</v>
      </c>
      <c r="S3917" s="10">
        <f>IFERROR(IF(('Loading-rail'!$C$21)="No control",SUMIF(('Loading-rail'!$B$31:$B$48),$J3917,('Loading-rail'!$D$31:$D$48))*Impacts!$F$15,IF(('Loading-rail'!$C$21)&lt;&gt;"No control",SUMIF(('Loading-rail'!$B$31:$B$48),$J3917,('Loading-rail'!$E$31:$E$48))*Impacts!$F$15,0)),0)</f>
        <v>0</v>
      </c>
      <c r="T3917" s="10">
        <f>IF(Flare!$C$7="",0,(SUMIF(Flare!$B$46:$B$185,$J3917,Flare!$E$46:$E$185)*Impacts!$F$16))</f>
        <v>0</v>
      </c>
      <c r="U3917" s="10">
        <f>IF(VCU!$C$9="",0,(SUMIF(VCU!$B$51:$B$193,$J3917,VCU!$E$51:$E$193)*Impacts!$F$17))</f>
        <v>0</v>
      </c>
      <c r="V3917" s="10">
        <f>IF(CAS!$C$7="",0,(SUMIF(CAS!$B$31:$B$167,$J3917,CAS!$E$31:$E$167)*Impacts!$F$18))</f>
        <v>0</v>
      </c>
      <c r="W3917" s="10">
        <f t="shared" si="101"/>
        <v>0</v>
      </c>
      <c r="AK3917" s="10" t="str">
        <f t="array" ref="AK3917">IFERROR(INDEX(SelectedSpecies,SMALL(IF(SelectedSpecies=AK$1,ROW(SelectedSpecies)),ROW(3918:3918)),2),"")</f>
        <v/>
      </c>
      <c r="BE3917" s="10"/>
      <c r="BI3917" s="10"/>
    </row>
    <row r="3918" spans="1:61" ht="21" customHeight="1" x14ac:dyDescent="0.25">
      <c r="A3918" s="10"/>
      <c r="B3918" s="10"/>
      <c r="E3918" s="10"/>
      <c r="G3918" s="10"/>
      <c r="I3918" s="436" t="s">
        <v>3895</v>
      </c>
      <c r="J3918" s="26" t="s">
        <v>3894</v>
      </c>
      <c r="K3918" s="10">
        <v>6</v>
      </c>
      <c r="L3918" s="73">
        <f>IF(Tank1!$C$23="No control",(SUMIF(Tank1!$B$32:$B$49,$J3918,Tank1!$C$32:$C$49)*Impacts!$F$8),0)</f>
        <v>0</v>
      </c>
      <c r="M3918" s="10">
        <f>IF(Tank2!$C$23="No control",(SUMIF(Tank2!$B$32:$B$49,$J3918,Tank2!$C$32:$C$49)*Impacts!$F$9),0)</f>
        <v>0</v>
      </c>
      <c r="N3918" s="10">
        <f>IF(Tank3!$C$23="No control",(SUMIF(Tank3!$B$32:$B$49,$J3918,Tank3!$C$32:$C$49)*Impacts!$F$10),0)</f>
        <v>0</v>
      </c>
      <c r="O3918" s="10">
        <f>IF(Tank4!$C$23="No control",(SUMIF(Tank4!$B$32:$B$49,$J3918,Tank4!$C$32:$C$49)*Impacts!$F$11),0)</f>
        <v>0</v>
      </c>
      <c r="P3918" s="10">
        <f>IF(Tank5!$C$23="No control",(SUMIF(Tank5!$B$32:$B$49,$J3918,Tank5!$C$32:$C$49)*Impacts!$F$12),0)</f>
        <v>0</v>
      </c>
      <c r="Q3918" s="10">
        <f>IFERROR(IF(('Loading-drum,tote'!$C$21)="No control",SUMIF(('Loading-drum,tote'!$B$31:$B$48),$J3918,('Loading-drum,tote'!$D$31:$D$48))*Impacts!$F$13,IF(('Loading-drum,tote'!$C$21)&lt;&gt;"No control",SUMIF(('Loading-drum,tote'!$B$31:$B$48),$J3918,('Loading-drum,tote'!$E$31:$E$48))*Impacts!$F$13,0)),0)</f>
        <v>0</v>
      </c>
      <c r="R3918" s="10">
        <f>IFERROR(IF(('Loading-truck'!$C$21)="No control",SUMIF(('Loading-truck'!$B$31:$B$48),$J3918,('Loading-truck'!$D$31:$D$48))*Impacts!$F$14,IF(('Loading-truck'!$C$21)&lt;&gt;"No control",SUMIF(('Loading-truck'!$B$31:$B$48),$J3918,('Loading-truck'!$E$31:$E$48))*Impacts!$F$14,0)),0)</f>
        <v>0</v>
      </c>
      <c r="S3918" s="10">
        <f>IFERROR(IF(('Loading-rail'!$C$21)="No control",SUMIF(('Loading-rail'!$B$31:$B$48),$J3918,('Loading-rail'!$D$31:$D$48))*Impacts!$F$15,IF(('Loading-rail'!$C$21)&lt;&gt;"No control",SUMIF(('Loading-rail'!$B$31:$B$48),$J3918,('Loading-rail'!$E$31:$E$48))*Impacts!$F$15,0)),0)</f>
        <v>0</v>
      </c>
      <c r="T3918" s="10">
        <f>IF(Flare!$C$7="",0,(SUMIF(Flare!$B$46:$B$185,$J3918,Flare!$E$46:$E$185)*Impacts!$F$16))</f>
        <v>0</v>
      </c>
      <c r="U3918" s="10">
        <f>IF(VCU!$C$9="",0,(SUMIF(VCU!$B$51:$B$193,$J3918,VCU!$E$51:$E$193)*Impacts!$F$17))</f>
        <v>0</v>
      </c>
      <c r="V3918" s="10">
        <f>IF(CAS!$C$7="",0,(SUMIF(CAS!$B$31:$B$167,$J3918,CAS!$E$31:$E$167)*Impacts!$F$18))</f>
        <v>0</v>
      </c>
      <c r="W3918" s="10">
        <f t="shared" si="101"/>
        <v>0</v>
      </c>
      <c r="AK3918" s="10" t="str">
        <f t="array" ref="AK3918">IFERROR(INDEX(SelectedSpecies,SMALL(IF(SelectedSpecies=AK$1,ROW(SelectedSpecies)),ROW(3919:3919)),2),"")</f>
        <v/>
      </c>
      <c r="BE3918" s="10"/>
      <c r="BI3918" s="10"/>
    </row>
    <row r="3919" spans="1:61" ht="21" customHeight="1" x14ac:dyDescent="0.25">
      <c r="A3919" s="10"/>
      <c r="B3919" s="10"/>
      <c r="E3919" s="10"/>
      <c r="G3919" s="10"/>
      <c r="I3919" s="436" t="s">
        <v>1979</v>
      </c>
      <c r="J3919" s="26" t="s">
        <v>1978</v>
      </c>
      <c r="K3919" s="10">
        <v>18</v>
      </c>
      <c r="L3919" s="73">
        <f>IF(Tank1!$C$23="No control",(SUMIF(Tank1!$B$32:$B$49,$J3919,Tank1!$C$32:$C$49)*Impacts!$F$8),0)</f>
        <v>0</v>
      </c>
      <c r="M3919" s="10">
        <f>IF(Tank2!$C$23="No control",(SUMIF(Tank2!$B$32:$B$49,$J3919,Tank2!$C$32:$C$49)*Impacts!$F$9),0)</f>
        <v>0</v>
      </c>
      <c r="N3919" s="10">
        <f>IF(Tank3!$C$23="No control",(SUMIF(Tank3!$B$32:$B$49,$J3919,Tank3!$C$32:$C$49)*Impacts!$F$10),0)</f>
        <v>0</v>
      </c>
      <c r="O3919" s="10">
        <f>IF(Tank4!$C$23="No control",(SUMIF(Tank4!$B$32:$B$49,$J3919,Tank4!$C$32:$C$49)*Impacts!$F$11),0)</f>
        <v>0</v>
      </c>
      <c r="P3919" s="10">
        <f>IF(Tank5!$C$23="No control",(SUMIF(Tank5!$B$32:$B$49,$J3919,Tank5!$C$32:$C$49)*Impacts!$F$12),0)</f>
        <v>0</v>
      </c>
      <c r="Q3919" s="10">
        <f>IFERROR(IF(('Loading-drum,tote'!$C$21)="No control",SUMIF(('Loading-drum,tote'!$B$31:$B$48),$J3919,('Loading-drum,tote'!$D$31:$D$48))*Impacts!$F$13,IF(('Loading-drum,tote'!$C$21)&lt;&gt;"No control",SUMIF(('Loading-drum,tote'!$B$31:$B$48),$J3919,('Loading-drum,tote'!$E$31:$E$48))*Impacts!$F$13,0)),0)</f>
        <v>0</v>
      </c>
      <c r="R3919" s="10">
        <f>IFERROR(IF(('Loading-truck'!$C$21)="No control",SUMIF(('Loading-truck'!$B$31:$B$48),$J3919,('Loading-truck'!$D$31:$D$48))*Impacts!$F$14,IF(('Loading-truck'!$C$21)&lt;&gt;"No control",SUMIF(('Loading-truck'!$B$31:$B$48),$J3919,('Loading-truck'!$E$31:$E$48))*Impacts!$F$14,0)),0)</f>
        <v>0</v>
      </c>
      <c r="S3919" s="10">
        <f>IFERROR(IF(('Loading-rail'!$C$21)="No control",SUMIF(('Loading-rail'!$B$31:$B$48),$J3919,('Loading-rail'!$D$31:$D$48))*Impacts!$F$15,IF(('Loading-rail'!$C$21)&lt;&gt;"No control",SUMIF(('Loading-rail'!$B$31:$B$48),$J3919,('Loading-rail'!$E$31:$E$48))*Impacts!$F$15,0)),0)</f>
        <v>0</v>
      </c>
      <c r="T3919" s="10">
        <f>IF(Flare!$C$7="",0,(SUMIF(Flare!$B$46:$B$185,$J3919,Flare!$E$46:$E$185)*Impacts!$F$16))</f>
        <v>0</v>
      </c>
      <c r="U3919" s="10">
        <f>IF(VCU!$C$9="",0,(SUMIF(VCU!$B$51:$B$193,$J3919,VCU!$E$51:$E$193)*Impacts!$F$17))</f>
        <v>0</v>
      </c>
      <c r="V3919" s="10">
        <f>IF(CAS!$C$7="",0,(SUMIF(CAS!$B$31:$B$167,$J3919,CAS!$E$31:$E$167)*Impacts!$F$18))</f>
        <v>0</v>
      </c>
      <c r="W3919" s="10">
        <f t="shared" si="101"/>
        <v>0</v>
      </c>
      <c r="AK3919" s="10" t="str">
        <f t="array" ref="AK3919">IFERROR(INDEX(SelectedSpecies,SMALL(IF(SelectedSpecies=AK$1,ROW(SelectedSpecies)),ROW(3920:3920)),2),"")</f>
        <v/>
      </c>
      <c r="BE3919" s="10"/>
      <c r="BI3919" s="10"/>
    </row>
    <row r="3920" spans="1:61" ht="21" customHeight="1" x14ac:dyDescent="0.25">
      <c r="A3920" s="10"/>
      <c r="B3920" s="10"/>
      <c r="E3920" s="10"/>
      <c r="G3920" s="10"/>
      <c r="I3920" s="436" t="s">
        <v>3437</v>
      </c>
      <c r="J3920" s="26" t="s">
        <v>3436</v>
      </c>
      <c r="K3920" s="10">
        <v>10</v>
      </c>
      <c r="L3920" s="73">
        <f>IF(Tank1!$C$23="No control",(SUMIF(Tank1!$B$32:$B$49,$J3920,Tank1!$C$32:$C$49)*Impacts!$F$8),0)</f>
        <v>0</v>
      </c>
      <c r="M3920" s="10">
        <f>IF(Tank2!$C$23="No control",(SUMIF(Tank2!$B$32:$B$49,$J3920,Tank2!$C$32:$C$49)*Impacts!$F$9),0)</f>
        <v>0</v>
      </c>
      <c r="N3920" s="10">
        <f>IF(Tank3!$C$23="No control",(SUMIF(Tank3!$B$32:$B$49,$J3920,Tank3!$C$32:$C$49)*Impacts!$F$10),0)</f>
        <v>0</v>
      </c>
      <c r="O3920" s="10">
        <f>IF(Tank4!$C$23="No control",(SUMIF(Tank4!$B$32:$B$49,$J3920,Tank4!$C$32:$C$49)*Impacts!$F$11),0)</f>
        <v>0</v>
      </c>
      <c r="P3920" s="10">
        <f>IF(Tank5!$C$23="No control",(SUMIF(Tank5!$B$32:$B$49,$J3920,Tank5!$C$32:$C$49)*Impacts!$F$12),0)</f>
        <v>0</v>
      </c>
      <c r="Q3920" s="10">
        <f>IFERROR(IF(('Loading-drum,tote'!$C$21)="No control",SUMIF(('Loading-drum,tote'!$B$31:$B$48),$J3920,('Loading-drum,tote'!$D$31:$D$48))*Impacts!$F$13,IF(('Loading-drum,tote'!$C$21)&lt;&gt;"No control",SUMIF(('Loading-drum,tote'!$B$31:$B$48),$J3920,('Loading-drum,tote'!$E$31:$E$48))*Impacts!$F$13,0)),0)</f>
        <v>0</v>
      </c>
      <c r="R3920" s="10">
        <f>IFERROR(IF(('Loading-truck'!$C$21)="No control",SUMIF(('Loading-truck'!$B$31:$B$48),$J3920,('Loading-truck'!$D$31:$D$48))*Impacts!$F$14,IF(('Loading-truck'!$C$21)&lt;&gt;"No control",SUMIF(('Loading-truck'!$B$31:$B$48),$J3920,('Loading-truck'!$E$31:$E$48))*Impacts!$F$14,0)),0)</f>
        <v>0</v>
      </c>
      <c r="S3920" s="10">
        <f>IFERROR(IF(('Loading-rail'!$C$21)="No control",SUMIF(('Loading-rail'!$B$31:$B$48),$J3920,('Loading-rail'!$D$31:$D$48))*Impacts!$F$15,IF(('Loading-rail'!$C$21)&lt;&gt;"No control",SUMIF(('Loading-rail'!$B$31:$B$48),$J3920,('Loading-rail'!$E$31:$E$48))*Impacts!$F$15,0)),0)</f>
        <v>0</v>
      </c>
      <c r="T3920" s="10">
        <f>IF(Flare!$C$7="",0,(SUMIF(Flare!$B$46:$B$185,$J3920,Flare!$E$46:$E$185)*Impacts!$F$16))</f>
        <v>0</v>
      </c>
      <c r="U3920" s="10">
        <f>IF(VCU!$C$9="",0,(SUMIF(VCU!$B$51:$B$193,$J3920,VCU!$E$51:$E$193)*Impacts!$F$17))</f>
        <v>0</v>
      </c>
      <c r="V3920" s="10">
        <f>IF(CAS!$C$7="",0,(SUMIF(CAS!$B$31:$B$167,$J3920,CAS!$E$31:$E$167)*Impacts!$F$18))</f>
        <v>0</v>
      </c>
      <c r="W3920" s="10">
        <f t="shared" si="101"/>
        <v>0</v>
      </c>
      <c r="AK3920" s="10" t="str">
        <f t="array" ref="AK3920">IFERROR(INDEX(SelectedSpecies,SMALL(IF(SelectedSpecies=AK$1,ROW(SelectedSpecies)),ROW(3921:3921)),2),"")</f>
        <v/>
      </c>
      <c r="BE3920" s="10"/>
      <c r="BI3920" s="10"/>
    </row>
    <row r="3921" spans="1:61" ht="21" customHeight="1" x14ac:dyDescent="0.25">
      <c r="A3921" s="10"/>
      <c r="B3921" s="10"/>
      <c r="E3921" s="10"/>
      <c r="G3921" s="10"/>
      <c r="I3921" s="436" t="s">
        <v>3439</v>
      </c>
      <c r="J3921" s="26" t="s">
        <v>3438</v>
      </c>
      <c r="K3921" s="10">
        <v>10</v>
      </c>
      <c r="L3921" s="73">
        <f>IF(Tank1!$C$23="No control",(SUMIF(Tank1!$B$32:$B$49,$J3921,Tank1!$C$32:$C$49)*Impacts!$F$8),0)</f>
        <v>0</v>
      </c>
      <c r="M3921" s="10">
        <f>IF(Tank2!$C$23="No control",(SUMIF(Tank2!$B$32:$B$49,$J3921,Tank2!$C$32:$C$49)*Impacts!$F$9),0)</f>
        <v>0</v>
      </c>
      <c r="N3921" s="10">
        <f>IF(Tank3!$C$23="No control",(SUMIF(Tank3!$B$32:$B$49,$J3921,Tank3!$C$32:$C$49)*Impacts!$F$10),0)</f>
        <v>0</v>
      </c>
      <c r="O3921" s="10">
        <f>IF(Tank4!$C$23="No control",(SUMIF(Tank4!$B$32:$B$49,$J3921,Tank4!$C$32:$C$49)*Impacts!$F$11),0)</f>
        <v>0</v>
      </c>
      <c r="P3921" s="10">
        <f>IF(Tank5!$C$23="No control",(SUMIF(Tank5!$B$32:$B$49,$J3921,Tank5!$C$32:$C$49)*Impacts!$F$12),0)</f>
        <v>0</v>
      </c>
      <c r="Q3921" s="10">
        <f>IFERROR(IF(('Loading-drum,tote'!$C$21)="No control",SUMIF(('Loading-drum,tote'!$B$31:$B$48),$J3921,('Loading-drum,tote'!$D$31:$D$48))*Impacts!$F$13,IF(('Loading-drum,tote'!$C$21)&lt;&gt;"No control",SUMIF(('Loading-drum,tote'!$B$31:$B$48),$J3921,('Loading-drum,tote'!$E$31:$E$48))*Impacts!$F$13,0)),0)</f>
        <v>0</v>
      </c>
      <c r="R3921" s="10">
        <f>IFERROR(IF(('Loading-truck'!$C$21)="No control",SUMIF(('Loading-truck'!$B$31:$B$48),$J3921,('Loading-truck'!$D$31:$D$48))*Impacts!$F$14,IF(('Loading-truck'!$C$21)&lt;&gt;"No control",SUMIF(('Loading-truck'!$B$31:$B$48),$J3921,('Loading-truck'!$E$31:$E$48))*Impacts!$F$14,0)),0)</f>
        <v>0</v>
      </c>
      <c r="S3921" s="10">
        <f>IFERROR(IF(('Loading-rail'!$C$21)="No control",SUMIF(('Loading-rail'!$B$31:$B$48),$J3921,('Loading-rail'!$D$31:$D$48))*Impacts!$F$15,IF(('Loading-rail'!$C$21)&lt;&gt;"No control",SUMIF(('Loading-rail'!$B$31:$B$48),$J3921,('Loading-rail'!$E$31:$E$48))*Impacts!$F$15,0)),0)</f>
        <v>0</v>
      </c>
      <c r="T3921" s="10">
        <f>IF(Flare!$C$7="",0,(SUMIF(Flare!$B$46:$B$185,$J3921,Flare!$E$46:$E$185)*Impacts!$F$16))</f>
        <v>0</v>
      </c>
      <c r="U3921" s="10">
        <f>IF(VCU!$C$9="",0,(SUMIF(VCU!$B$51:$B$193,$J3921,VCU!$E$51:$E$193)*Impacts!$F$17))</f>
        <v>0</v>
      </c>
      <c r="V3921" s="10">
        <f>IF(CAS!$C$7="",0,(SUMIF(CAS!$B$31:$B$167,$J3921,CAS!$E$31:$E$167)*Impacts!$F$18))</f>
        <v>0</v>
      </c>
      <c r="W3921" s="10">
        <f t="shared" si="101"/>
        <v>0</v>
      </c>
      <c r="AK3921" s="10" t="str">
        <f t="array" ref="AK3921">IFERROR(INDEX(SelectedSpecies,SMALL(IF(SelectedSpecies=AK$1,ROW(SelectedSpecies)),ROW(3922:3922)),2),"")</f>
        <v/>
      </c>
      <c r="BE3921" s="10"/>
      <c r="BI3921" s="10"/>
    </row>
    <row r="3922" spans="1:61" ht="21" customHeight="1" x14ac:dyDescent="0.25">
      <c r="A3922" s="10"/>
      <c r="B3922" s="10"/>
      <c r="E3922" s="10"/>
      <c r="G3922" s="10"/>
      <c r="I3922" s="436" t="s">
        <v>1981</v>
      </c>
      <c r="J3922" s="26" t="s">
        <v>1980</v>
      </c>
      <c r="K3922" s="10">
        <v>18</v>
      </c>
      <c r="L3922" s="73">
        <f>IF(Tank1!$C$23="No control",(SUMIF(Tank1!$B$32:$B$49,$J3922,Tank1!$C$32:$C$49)*Impacts!$F$8),0)</f>
        <v>0</v>
      </c>
      <c r="M3922" s="10">
        <f>IF(Tank2!$C$23="No control",(SUMIF(Tank2!$B$32:$B$49,$J3922,Tank2!$C$32:$C$49)*Impacts!$F$9),0)</f>
        <v>0</v>
      </c>
      <c r="N3922" s="10">
        <f>IF(Tank3!$C$23="No control",(SUMIF(Tank3!$B$32:$B$49,$J3922,Tank3!$C$32:$C$49)*Impacts!$F$10),0)</f>
        <v>0</v>
      </c>
      <c r="O3922" s="10">
        <f>IF(Tank4!$C$23="No control",(SUMIF(Tank4!$B$32:$B$49,$J3922,Tank4!$C$32:$C$49)*Impacts!$F$11),0)</f>
        <v>0</v>
      </c>
      <c r="P3922" s="10">
        <f>IF(Tank5!$C$23="No control",(SUMIF(Tank5!$B$32:$B$49,$J3922,Tank5!$C$32:$C$49)*Impacts!$F$12),0)</f>
        <v>0</v>
      </c>
      <c r="Q3922" s="10">
        <f>IFERROR(IF(('Loading-drum,tote'!$C$21)="No control",SUMIF(('Loading-drum,tote'!$B$31:$B$48),$J3922,('Loading-drum,tote'!$D$31:$D$48))*Impacts!$F$13,IF(('Loading-drum,tote'!$C$21)&lt;&gt;"No control",SUMIF(('Loading-drum,tote'!$B$31:$B$48),$J3922,('Loading-drum,tote'!$E$31:$E$48))*Impacts!$F$13,0)),0)</f>
        <v>0</v>
      </c>
      <c r="R3922" s="10">
        <f>IFERROR(IF(('Loading-truck'!$C$21)="No control",SUMIF(('Loading-truck'!$B$31:$B$48),$J3922,('Loading-truck'!$D$31:$D$48))*Impacts!$F$14,IF(('Loading-truck'!$C$21)&lt;&gt;"No control",SUMIF(('Loading-truck'!$B$31:$B$48),$J3922,('Loading-truck'!$E$31:$E$48))*Impacts!$F$14,0)),0)</f>
        <v>0</v>
      </c>
      <c r="S3922" s="10">
        <f>IFERROR(IF(('Loading-rail'!$C$21)="No control",SUMIF(('Loading-rail'!$B$31:$B$48),$J3922,('Loading-rail'!$D$31:$D$48))*Impacts!$F$15,IF(('Loading-rail'!$C$21)&lt;&gt;"No control",SUMIF(('Loading-rail'!$B$31:$B$48),$J3922,('Loading-rail'!$E$31:$E$48))*Impacts!$F$15,0)),0)</f>
        <v>0</v>
      </c>
      <c r="T3922" s="10">
        <f>IF(Flare!$C$7="",0,(SUMIF(Flare!$B$46:$B$185,$J3922,Flare!$E$46:$E$185)*Impacts!$F$16))</f>
        <v>0</v>
      </c>
      <c r="U3922" s="10">
        <f>IF(VCU!$C$9="",0,(SUMIF(VCU!$B$51:$B$193,$J3922,VCU!$E$51:$E$193)*Impacts!$F$17))</f>
        <v>0</v>
      </c>
      <c r="V3922" s="10">
        <f>IF(CAS!$C$7="",0,(SUMIF(CAS!$B$31:$B$167,$J3922,CAS!$E$31:$E$167)*Impacts!$F$18))</f>
        <v>0</v>
      </c>
      <c r="W3922" s="10">
        <f t="shared" si="101"/>
        <v>0</v>
      </c>
      <c r="AK3922" s="10" t="str">
        <f t="array" ref="AK3922">IFERROR(INDEX(SelectedSpecies,SMALL(IF(SelectedSpecies=AK$1,ROW(SelectedSpecies)),ROW(3923:3923)),2),"")</f>
        <v/>
      </c>
      <c r="BE3922" s="10"/>
      <c r="BI3922" s="10"/>
    </row>
    <row r="3923" spans="1:61" ht="21" customHeight="1" x14ac:dyDescent="0.25">
      <c r="A3923" s="10"/>
      <c r="B3923" s="10"/>
      <c r="E3923" s="10"/>
      <c r="G3923" s="10"/>
      <c r="I3923" s="436" t="s">
        <v>8230</v>
      </c>
      <c r="J3923" s="26" t="s">
        <v>8229</v>
      </c>
      <c r="K3923" s="10">
        <v>1.0000000000000002E-2</v>
      </c>
      <c r="L3923" s="73">
        <f>IF(Tank1!$C$23="No control",(SUMIF(Tank1!$B$32:$B$49,$J3923,Tank1!$C$32:$C$49)*Impacts!$F$8),0)</f>
        <v>0</v>
      </c>
      <c r="M3923" s="10">
        <f>IF(Tank2!$C$23="No control",(SUMIF(Tank2!$B$32:$B$49,$J3923,Tank2!$C$32:$C$49)*Impacts!$F$9),0)</f>
        <v>0</v>
      </c>
      <c r="N3923" s="10">
        <f>IF(Tank3!$C$23="No control",(SUMIF(Tank3!$B$32:$B$49,$J3923,Tank3!$C$32:$C$49)*Impacts!$F$10),0)</f>
        <v>0</v>
      </c>
      <c r="O3923" s="10">
        <f>IF(Tank4!$C$23="No control",(SUMIF(Tank4!$B$32:$B$49,$J3923,Tank4!$C$32:$C$49)*Impacts!$F$11),0)</f>
        <v>0</v>
      </c>
      <c r="P3923" s="10">
        <f>IF(Tank5!$C$23="No control",(SUMIF(Tank5!$B$32:$B$49,$J3923,Tank5!$C$32:$C$49)*Impacts!$F$12),0)</f>
        <v>0</v>
      </c>
      <c r="Q3923" s="10">
        <f>IFERROR(IF(('Loading-drum,tote'!$C$21)="No control",SUMIF(('Loading-drum,tote'!$B$31:$B$48),$J3923,('Loading-drum,tote'!$D$31:$D$48))*Impacts!$F$13,IF(('Loading-drum,tote'!$C$21)&lt;&gt;"No control",SUMIF(('Loading-drum,tote'!$B$31:$B$48),$J3923,('Loading-drum,tote'!$E$31:$E$48))*Impacts!$F$13,0)),0)</f>
        <v>0</v>
      </c>
      <c r="R3923" s="10">
        <f>IFERROR(IF(('Loading-truck'!$C$21)="No control",SUMIF(('Loading-truck'!$B$31:$B$48),$J3923,('Loading-truck'!$D$31:$D$48))*Impacts!$F$14,IF(('Loading-truck'!$C$21)&lt;&gt;"No control",SUMIF(('Loading-truck'!$B$31:$B$48),$J3923,('Loading-truck'!$E$31:$E$48))*Impacts!$F$14,0)),0)</f>
        <v>0</v>
      </c>
      <c r="S3923" s="10">
        <f>IFERROR(IF(('Loading-rail'!$C$21)="No control",SUMIF(('Loading-rail'!$B$31:$B$48),$J3923,('Loading-rail'!$D$31:$D$48))*Impacts!$F$15,IF(('Loading-rail'!$C$21)&lt;&gt;"No control",SUMIF(('Loading-rail'!$B$31:$B$48),$J3923,('Loading-rail'!$E$31:$E$48))*Impacts!$F$15,0)),0)</f>
        <v>0</v>
      </c>
      <c r="T3923" s="10">
        <f>IF(Flare!$C$7="",0,(SUMIF(Flare!$B$46:$B$185,$J3923,Flare!$E$46:$E$185)*Impacts!$F$16))</f>
        <v>0</v>
      </c>
      <c r="U3923" s="10">
        <f>IF(VCU!$C$9="",0,(SUMIF(VCU!$B$51:$B$193,$J3923,VCU!$E$51:$E$193)*Impacts!$F$17))</f>
        <v>0</v>
      </c>
      <c r="V3923" s="10">
        <f>IF(CAS!$C$7="",0,(SUMIF(CAS!$B$31:$B$167,$J3923,CAS!$E$31:$E$167)*Impacts!$F$18))</f>
        <v>0</v>
      </c>
      <c r="W3923" s="10">
        <f t="shared" si="101"/>
        <v>0</v>
      </c>
      <c r="AK3923" s="10" t="str">
        <f t="array" ref="AK3923">IFERROR(INDEX(SelectedSpecies,SMALL(IF(SelectedSpecies=AK$1,ROW(SelectedSpecies)),ROW(3924:3924)),2),"")</f>
        <v/>
      </c>
      <c r="BE3923" s="10"/>
      <c r="BI3923" s="10"/>
    </row>
    <row r="3924" spans="1:61" ht="21" customHeight="1" x14ac:dyDescent="0.25">
      <c r="A3924" s="10"/>
      <c r="B3924" s="10"/>
      <c r="E3924" s="10"/>
      <c r="G3924" s="10"/>
      <c r="I3924" s="436" t="s">
        <v>7402</v>
      </c>
      <c r="J3924" s="26" t="s">
        <v>7401</v>
      </c>
      <c r="K3924" s="10">
        <v>0.24</v>
      </c>
      <c r="L3924" s="73">
        <f>IF(Tank1!$C$23="No control",(SUMIF(Tank1!$B$32:$B$49,$J3924,Tank1!$C$32:$C$49)*Impacts!$F$8),0)</f>
        <v>0</v>
      </c>
      <c r="M3924" s="10">
        <f>IF(Tank2!$C$23="No control",(SUMIF(Tank2!$B$32:$B$49,$J3924,Tank2!$C$32:$C$49)*Impacts!$F$9),0)</f>
        <v>0</v>
      </c>
      <c r="N3924" s="10">
        <f>IF(Tank3!$C$23="No control",(SUMIF(Tank3!$B$32:$B$49,$J3924,Tank3!$C$32:$C$49)*Impacts!$F$10),0)</f>
        <v>0</v>
      </c>
      <c r="O3924" s="10">
        <f>IF(Tank4!$C$23="No control",(SUMIF(Tank4!$B$32:$B$49,$J3924,Tank4!$C$32:$C$49)*Impacts!$F$11),0)</f>
        <v>0</v>
      </c>
      <c r="P3924" s="10">
        <f>IF(Tank5!$C$23="No control",(SUMIF(Tank5!$B$32:$B$49,$J3924,Tank5!$C$32:$C$49)*Impacts!$F$12),0)</f>
        <v>0</v>
      </c>
      <c r="Q3924" s="10">
        <f>IFERROR(IF(('Loading-drum,tote'!$C$21)="No control",SUMIF(('Loading-drum,tote'!$B$31:$B$48),$J3924,('Loading-drum,tote'!$D$31:$D$48))*Impacts!$F$13,IF(('Loading-drum,tote'!$C$21)&lt;&gt;"No control",SUMIF(('Loading-drum,tote'!$B$31:$B$48),$J3924,('Loading-drum,tote'!$E$31:$E$48))*Impacts!$F$13,0)),0)</f>
        <v>0</v>
      </c>
      <c r="R3924" s="10">
        <f>IFERROR(IF(('Loading-truck'!$C$21)="No control",SUMIF(('Loading-truck'!$B$31:$B$48),$J3924,('Loading-truck'!$D$31:$D$48))*Impacts!$F$14,IF(('Loading-truck'!$C$21)&lt;&gt;"No control",SUMIF(('Loading-truck'!$B$31:$B$48),$J3924,('Loading-truck'!$E$31:$E$48))*Impacts!$F$14,0)),0)</f>
        <v>0</v>
      </c>
      <c r="S3924" s="10">
        <f>IFERROR(IF(('Loading-rail'!$C$21)="No control",SUMIF(('Loading-rail'!$B$31:$B$48),$J3924,('Loading-rail'!$D$31:$D$48))*Impacts!$F$15,IF(('Loading-rail'!$C$21)&lt;&gt;"No control",SUMIF(('Loading-rail'!$B$31:$B$48),$J3924,('Loading-rail'!$E$31:$E$48))*Impacts!$F$15,0)),0)</f>
        <v>0</v>
      </c>
      <c r="T3924" s="10">
        <f>IF(Flare!$C$7="",0,(SUMIF(Flare!$B$46:$B$185,$J3924,Flare!$E$46:$E$185)*Impacts!$F$16))</f>
        <v>0</v>
      </c>
      <c r="U3924" s="10">
        <f>IF(VCU!$C$9="",0,(SUMIF(VCU!$B$51:$B$193,$J3924,VCU!$E$51:$E$193)*Impacts!$F$17))</f>
        <v>0</v>
      </c>
      <c r="V3924" s="10">
        <f>IF(CAS!$C$7="",0,(SUMIF(CAS!$B$31:$B$167,$J3924,CAS!$E$31:$E$167)*Impacts!$F$18))</f>
        <v>0</v>
      </c>
      <c r="W3924" s="10">
        <f t="shared" si="101"/>
        <v>0</v>
      </c>
      <c r="AK3924" s="10" t="str">
        <f t="array" ref="AK3924">IFERROR(INDEX(SelectedSpecies,SMALL(IF(SelectedSpecies=AK$1,ROW(SelectedSpecies)),ROW(3925:3925)),2),"")</f>
        <v/>
      </c>
      <c r="BE3924" s="10"/>
      <c r="BI3924" s="10"/>
    </row>
    <row r="3925" spans="1:61" ht="21" customHeight="1" x14ac:dyDescent="0.25">
      <c r="A3925" s="10"/>
      <c r="B3925" s="10"/>
      <c r="E3925" s="10"/>
      <c r="G3925" s="10"/>
      <c r="I3925" s="436" t="s">
        <v>1188</v>
      </c>
      <c r="J3925" s="26" t="s">
        <v>1187</v>
      </c>
      <c r="K3925" s="10">
        <v>35</v>
      </c>
      <c r="L3925" s="73">
        <f>IF(Tank1!$C$23="No control",(SUMIF(Tank1!$B$32:$B$49,$J3925,Tank1!$C$32:$C$49)*Impacts!$F$8),0)</f>
        <v>0</v>
      </c>
      <c r="M3925" s="10">
        <f>IF(Tank2!$C$23="No control",(SUMIF(Tank2!$B$32:$B$49,$J3925,Tank2!$C$32:$C$49)*Impacts!$F$9),0)</f>
        <v>0</v>
      </c>
      <c r="N3925" s="10">
        <f>IF(Tank3!$C$23="No control",(SUMIF(Tank3!$B$32:$B$49,$J3925,Tank3!$C$32:$C$49)*Impacts!$F$10),0)</f>
        <v>0</v>
      </c>
      <c r="O3925" s="10">
        <f>IF(Tank4!$C$23="No control",(SUMIF(Tank4!$B$32:$B$49,$J3925,Tank4!$C$32:$C$49)*Impacts!$F$11),0)</f>
        <v>0</v>
      </c>
      <c r="P3925" s="10">
        <f>IF(Tank5!$C$23="No control",(SUMIF(Tank5!$B$32:$B$49,$J3925,Tank5!$C$32:$C$49)*Impacts!$F$12),0)</f>
        <v>0</v>
      </c>
      <c r="Q3925" s="10">
        <f>IFERROR(IF(('Loading-drum,tote'!$C$21)="No control",SUMIF(('Loading-drum,tote'!$B$31:$B$48),$J3925,('Loading-drum,tote'!$D$31:$D$48))*Impacts!$F$13,IF(('Loading-drum,tote'!$C$21)&lt;&gt;"No control",SUMIF(('Loading-drum,tote'!$B$31:$B$48),$J3925,('Loading-drum,tote'!$E$31:$E$48))*Impacts!$F$13,0)),0)</f>
        <v>0</v>
      </c>
      <c r="R3925" s="10">
        <f>IFERROR(IF(('Loading-truck'!$C$21)="No control",SUMIF(('Loading-truck'!$B$31:$B$48),$J3925,('Loading-truck'!$D$31:$D$48))*Impacts!$F$14,IF(('Loading-truck'!$C$21)&lt;&gt;"No control",SUMIF(('Loading-truck'!$B$31:$B$48),$J3925,('Loading-truck'!$E$31:$E$48))*Impacts!$F$14,0)),0)</f>
        <v>0</v>
      </c>
      <c r="S3925" s="10">
        <f>IFERROR(IF(('Loading-rail'!$C$21)="No control",SUMIF(('Loading-rail'!$B$31:$B$48),$J3925,('Loading-rail'!$D$31:$D$48))*Impacts!$F$15,IF(('Loading-rail'!$C$21)&lt;&gt;"No control",SUMIF(('Loading-rail'!$B$31:$B$48),$J3925,('Loading-rail'!$E$31:$E$48))*Impacts!$F$15,0)),0)</f>
        <v>0</v>
      </c>
      <c r="T3925" s="10">
        <f>IF(Flare!$C$7="",0,(SUMIF(Flare!$B$46:$B$185,$J3925,Flare!$E$46:$E$185)*Impacts!$F$16))</f>
        <v>0</v>
      </c>
      <c r="U3925" s="10">
        <f>IF(VCU!$C$9="",0,(SUMIF(VCU!$B$51:$B$193,$J3925,VCU!$E$51:$E$193)*Impacts!$F$17))</f>
        <v>0</v>
      </c>
      <c r="V3925" s="10">
        <f>IF(CAS!$C$7="",0,(SUMIF(CAS!$B$31:$B$167,$J3925,CAS!$E$31:$E$167)*Impacts!$F$18))</f>
        <v>0</v>
      </c>
      <c r="W3925" s="10">
        <f t="shared" si="101"/>
        <v>0</v>
      </c>
      <c r="AK3925" s="10" t="str">
        <f t="array" ref="AK3925">IFERROR(INDEX(SelectedSpecies,SMALL(IF(SelectedSpecies=AK$1,ROW(SelectedSpecies)),ROW(3926:3926)),2),"")</f>
        <v/>
      </c>
      <c r="BE3925" s="10"/>
      <c r="BI3925" s="10"/>
    </row>
    <row r="3926" spans="1:61" ht="21" customHeight="1" x14ac:dyDescent="0.25">
      <c r="A3926" s="10"/>
      <c r="B3926" s="10"/>
      <c r="E3926" s="10"/>
      <c r="G3926" s="10"/>
      <c r="I3926" s="436" t="s">
        <v>4233</v>
      </c>
      <c r="J3926" s="26" t="s">
        <v>4232</v>
      </c>
      <c r="K3926" s="10">
        <v>5</v>
      </c>
      <c r="L3926" s="73">
        <f>IF(Tank1!$C$23="No control",(SUMIF(Tank1!$B$32:$B$49,$J3926,Tank1!$C$32:$C$49)*Impacts!$F$8),0)</f>
        <v>0</v>
      </c>
      <c r="M3926" s="10">
        <f>IF(Tank2!$C$23="No control",(SUMIF(Tank2!$B$32:$B$49,$J3926,Tank2!$C$32:$C$49)*Impacts!$F$9),0)</f>
        <v>0</v>
      </c>
      <c r="N3926" s="10">
        <f>IF(Tank3!$C$23="No control",(SUMIF(Tank3!$B$32:$B$49,$J3926,Tank3!$C$32:$C$49)*Impacts!$F$10),0)</f>
        <v>0</v>
      </c>
      <c r="O3926" s="10">
        <f>IF(Tank4!$C$23="No control",(SUMIF(Tank4!$B$32:$B$49,$J3926,Tank4!$C$32:$C$49)*Impacts!$F$11),0)</f>
        <v>0</v>
      </c>
      <c r="P3926" s="10">
        <f>IF(Tank5!$C$23="No control",(SUMIF(Tank5!$B$32:$B$49,$J3926,Tank5!$C$32:$C$49)*Impacts!$F$12),0)</f>
        <v>0</v>
      </c>
      <c r="Q3926" s="10">
        <f>IFERROR(IF(('Loading-drum,tote'!$C$21)="No control",SUMIF(('Loading-drum,tote'!$B$31:$B$48),$J3926,('Loading-drum,tote'!$D$31:$D$48))*Impacts!$F$13,IF(('Loading-drum,tote'!$C$21)&lt;&gt;"No control",SUMIF(('Loading-drum,tote'!$B$31:$B$48),$J3926,('Loading-drum,tote'!$E$31:$E$48))*Impacts!$F$13,0)),0)</f>
        <v>0</v>
      </c>
      <c r="R3926" s="10">
        <f>IFERROR(IF(('Loading-truck'!$C$21)="No control",SUMIF(('Loading-truck'!$B$31:$B$48),$J3926,('Loading-truck'!$D$31:$D$48))*Impacts!$F$14,IF(('Loading-truck'!$C$21)&lt;&gt;"No control",SUMIF(('Loading-truck'!$B$31:$B$48),$J3926,('Loading-truck'!$E$31:$E$48))*Impacts!$F$14,0)),0)</f>
        <v>0</v>
      </c>
      <c r="S3926" s="10">
        <f>IFERROR(IF(('Loading-rail'!$C$21)="No control",SUMIF(('Loading-rail'!$B$31:$B$48),$J3926,('Loading-rail'!$D$31:$D$48))*Impacts!$F$15,IF(('Loading-rail'!$C$21)&lt;&gt;"No control",SUMIF(('Loading-rail'!$B$31:$B$48),$J3926,('Loading-rail'!$E$31:$E$48))*Impacts!$F$15,0)),0)</f>
        <v>0</v>
      </c>
      <c r="T3926" s="10">
        <f>IF(Flare!$C$7="",0,(SUMIF(Flare!$B$46:$B$185,$J3926,Flare!$E$46:$E$185)*Impacts!$F$16))</f>
        <v>0</v>
      </c>
      <c r="U3926" s="10">
        <f>IF(VCU!$C$9="",0,(SUMIF(VCU!$B$51:$B$193,$J3926,VCU!$E$51:$E$193)*Impacts!$F$17))</f>
        <v>0</v>
      </c>
      <c r="V3926" s="10">
        <f>IF(CAS!$C$7="",0,(SUMIF(CAS!$B$31:$B$167,$J3926,CAS!$E$31:$E$167)*Impacts!$F$18))</f>
        <v>0</v>
      </c>
      <c r="W3926" s="10">
        <f t="shared" si="101"/>
        <v>0</v>
      </c>
      <c r="AK3926" s="10" t="str">
        <f t="array" ref="AK3926">IFERROR(INDEX(SelectedSpecies,SMALL(IF(SelectedSpecies=AK$1,ROW(SelectedSpecies)),ROW(3927:3927)),2),"")</f>
        <v/>
      </c>
      <c r="BE3926" s="10"/>
      <c r="BI3926" s="10"/>
    </row>
    <row r="3927" spans="1:61" ht="21" customHeight="1" x14ac:dyDescent="0.25">
      <c r="A3927" s="10"/>
      <c r="B3927" s="10"/>
      <c r="E3927" s="10"/>
      <c r="G3927" s="10"/>
      <c r="I3927" s="436" t="s">
        <v>4927</v>
      </c>
      <c r="J3927" s="26" t="s">
        <v>4926</v>
      </c>
      <c r="K3927" s="10">
        <v>2.6</v>
      </c>
      <c r="L3927" s="73">
        <f>IF(Tank1!$C$23="No control",(SUMIF(Tank1!$B$32:$B$49,$J3927,Tank1!$C$32:$C$49)*Impacts!$F$8),0)</f>
        <v>0</v>
      </c>
      <c r="M3927" s="10">
        <f>IF(Tank2!$C$23="No control",(SUMIF(Tank2!$B$32:$B$49,$J3927,Tank2!$C$32:$C$49)*Impacts!$F$9),0)</f>
        <v>0</v>
      </c>
      <c r="N3927" s="10">
        <f>IF(Tank3!$C$23="No control",(SUMIF(Tank3!$B$32:$B$49,$J3927,Tank3!$C$32:$C$49)*Impacts!$F$10),0)</f>
        <v>0</v>
      </c>
      <c r="O3927" s="10">
        <f>IF(Tank4!$C$23="No control",(SUMIF(Tank4!$B$32:$B$49,$J3927,Tank4!$C$32:$C$49)*Impacts!$F$11),0)</f>
        <v>0</v>
      </c>
      <c r="P3927" s="10">
        <f>IF(Tank5!$C$23="No control",(SUMIF(Tank5!$B$32:$B$49,$J3927,Tank5!$C$32:$C$49)*Impacts!$F$12),0)</f>
        <v>0</v>
      </c>
      <c r="Q3927" s="10">
        <f>IFERROR(IF(('Loading-drum,tote'!$C$21)="No control",SUMIF(('Loading-drum,tote'!$B$31:$B$48),$J3927,('Loading-drum,tote'!$D$31:$D$48))*Impacts!$F$13,IF(('Loading-drum,tote'!$C$21)&lt;&gt;"No control",SUMIF(('Loading-drum,tote'!$B$31:$B$48),$J3927,('Loading-drum,tote'!$E$31:$E$48))*Impacts!$F$13,0)),0)</f>
        <v>0</v>
      </c>
      <c r="R3927" s="10">
        <f>IFERROR(IF(('Loading-truck'!$C$21)="No control",SUMIF(('Loading-truck'!$B$31:$B$48),$J3927,('Loading-truck'!$D$31:$D$48))*Impacts!$F$14,IF(('Loading-truck'!$C$21)&lt;&gt;"No control",SUMIF(('Loading-truck'!$B$31:$B$48),$J3927,('Loading-truck'!$E$31:$E$48))*Impacts!$F$14,0)),0)</f>
        <v>0</v>
      </c>
      <c r="S3927" s="10">
        <f>IFERROR(IF(('Loading-rail'!$C$21)="No control",SUMIF(('Loading-rail'!$B$31:$B$48),$J3927,('Loading-rail'!$D$31:$D$48))*Impacts!$F$15,IF(('Loading-rail'!$C$21)&lt;&gt;"No control",SUMIF(('Loading-rail'!$B$31:$B$48),$J3927,('Loading-rail'!$E$31:$E$48))*Impacts!$F$15,0)),0)</f>
        <v>0</v>
      </c>
      <c r="T3927" s="10">
        <f>IF(Flare!$C$7="",0,(SUMIF(Flare!$B$46:$B$185,$J3927,Flare!$E$46:$E$185)*Impacts!$F$16))</f>
        <v>0</v>
      </c>
      <c r="U3927" s="10">
        <f>IF(VCU!$C$9="",0,(SUMIF(VCU!$B$51:$B$193,$J3927,VCU!$E$51:$E$193)*Impacts!$F$17))</f>
        <v>0</v>
      </c>
      <c r="V3927" s="10">
        <f>IF(CAS!$C$7="",0,(SUMIF(CAS!$B$31:$B$167,$J3927,CAS!$E$31:$E$167)*Impacts!$F$18))</f>
        <v>0</v>
      </c>
      <c r="W3927" s="10">
        <f t="shared" si="101"/>
        <v>0</v>
      </c>
      <c r="AK3927" s="10" t="str">
        <f t="array" ref="AK3927">IFERROR(INDEX(SelectedSpecies,SMALL(IF(SelectedSpecies=AK$1,ROW(SelectedSpecies)),ROW(3928:3928)),2),"")</f>
        <v/>
      </c>
      <c r="BE3927" s="10"/>
      <c r="BI3927" s="10"/>
    </row>
    <row r="3928" spans="1:61" ht="21" customHeight="1" x14ac:dyDescent="0.25">
      <c r="A3928" s="10"/>
      <c r="B3928" s="10"/>
      <c r="E3928" s="10"/>
      <c r="G3928" s="10"/>
      <c r="I3928" s="436" t="s">
        <v>4523</v>
      </c>
      <c r="J3928" s="26" t="s">
        <v>4522</v>
      </c>
      <c r="K3928" s="10">
        <v>4.1000000000000005</v>
      </c>
      <c r="L3928" s="73">
        <f>IF(Tank1!$C$23="No control",(SUMIF(Tank1!$B$32:$B$49,$J3928,Tank1!$C$32:$C$49)*Impacts!$F$8),0)</f>
        <v>0</v>
      </c>
      <c r="M3928" s="10">
        <f>IF(Tank2!$C$23="No control",(SUMIF(Tank2!$B$32:$B$49,$J3928,Tank2!$C$32:$C$49)*Impacts!$F$9),0)</f>
        <v>0</v>
      </c>
      <c r="N3928" s="10">
        <f>IF(Tank3!$C$23="No control",(SUMIF(Tank3!$B$32:$B$49,$J3928,Tank3!$C$32:$C$49)*Impacts!$F$10),0)</f>
        <v>0</v>
      </c>
      <c r="O3928" s="10">
        <f>IF(Tank4!$C$23="No control",(SUMIF(Tank4!$B$32:$B$49,$J3928,Tank4!$C$32:$C$49)*Impacts!$F$11),0)</f>
        <v>0</v>
      </c>
      <c r="P3928" s="10">
        <f>IF(Tank5!$C$23="No control",(SUMIF(Tank5!$B$32:$B$49,$J3928,Tank5!$C$32:$C$49)*Impacts!$F$12),0)</f>
        <v>0</v>
      </c>
      <c r="Q3928" s="10">
        <f>IFERROR(IF(('Loading-drum,tote'!$C$21)="No control",SUMIF(('Loading-drum,tote'!$B$31:$B$48),$J3928,('Loading-drum,tote'!$D$31:$D$48))*Impacts!$F$13,IF(('Loading-drum,tote'!$C$21)&lt;&gt;"No control",SUMIF(('Loading-drum,tote'!$B$31:$B$48),$J3928,('Loading-drum,tote'!$E$31:$E$48))*Impacts!$F$13,0)),0)</f>
        <v>0</v>
      </c>
      <c r="R3928" s="10">
        <f>IFERROR(IF(('Loading-truck'!$C$21)="No control",SUMIF(('Loading-truck'!$B$31:$B$48),$J3928,('Loading-truck'!$D$31:$D$48))*Impacts!$F$14,IF(('Loading-truck'!$C$21)&lt;&gt;"No control",SUMIF(('Loading-truck'!$B$31:$B$48),$J3928,('Loading-truck'!$E$31:$E$48))*Impacts!$F$14,0)),0)</f>
        <v>0</v>
      </c>
      <c r="S3928" s="10">
        <f>IFERROR(IF(('Loading-rail'!$C$21)="No control",SUMIF(('Loading-rail'!$B$31:$B$48),$J3928,('Loading-rail'!$D$31:$D$48))*Impacts!$F$15,IF(('Loading-rail'!$C$21)&lt;&gt;"No control",SUMIF(('Loading-rail'!$B$31:$B$48),$J3928,('Loading-rail'!$E$31:$E$48))*Impacts!$F$15,0)),0)</f>
        <v>0</v>
      </c>
      <c r="T3928" s="10">
        <f>IF(Flare!$C$7="",0,(SUMIF(Flare!$B$46:$B$185,$J3928,Flare!$E$46:$E$185)*Impacts!$F$16))</f>
        <v>0</v>
      </c>
      <c r="U3928" s="10">
        <f>IF(VCU!$C$9="",0,(SUMIF(VCU!$B$51:$B$193,$J3928,VCU!$E$51:$E$193)*Impacts!$F$17))</f>
        <v>0</v>
      </c>
      <c r="V3928" s="10">
        <f>IF(CAS!$C$7="",0,(SUMIF(CAS!$B$31:$B$167,$J3928,CAS!$E$31:$E$167)*Impacts!$F$18))</f>
        <v>0</v>
      </c>
      <c r="W3928" s="10">
        <f t="shared" si="101"/>
        <v>0</v>
      </c>
      <c r="AK3928" s="10" t="str">
        <f t="array" ref="AK3928">IFERROR(INDEX(SelectedSpecies,SMALL(IF(SelectedSpecies=AK$1,ROW(SelectedSpecies)),ROW(3929:3929)),2),"")</f>
        <v/>
      </c>
      <c r="BE3928" s="10"/>
      <c r="BI3928" s="10"/>
    </row>
    <row r="3929" spans="1:61" ht="21" customHeight="1" x14ac:dyDescent="0.25">
      <c r="A3929" s="10"/>
      <c r="B3929" s="10"/>
      <c r="E3929" s="10"/>
      <c r="G3929" s="10"/>
      <c r="I3929" s="436" t="s">
        <v>3441</v>
      </c>
      <c r="J3929" s="26" t="s">
        <v>3440</v>
      </c>
      <c r="K3929" s="10">
        <v>10</v>
      </c>
      <c r="L3929" s="73">
        <f>IF(Tank1!$C$23="No control",(SUMIF(Tank1!$B$32:$B$49,$J3929,Tank1!$C$32:$C$49)*Impacts!$F$8),0)</f>
        <v>0</v>
      </c>
      <c r="M3929" s="10">
        <f>IF(Tank2!$C$23="No control",(SUMIF(Tank2!$B$32:$B$49,$J3929,Tank2!$C$32:$C$49)*Impacts!$F$9),0)</f>
        <v>0</v>
      </c>
      <c r="N3929" s="10">
        <f>IF(Tank3!$C$23="No control",(SUMIF(Tank3!$B$32:$B$49,$J3929,Tank3!$C$32:$C$49)*Impacts!$F$10),0)</f>
        <v>0</v>
      </c>
      <c r="O3929" s="10">
        <f>IF(Tank4!$C$23="No control",(SUMIF(Tank4!$B$32:$B$49,$J3929,Tank4!$C$32:$C$49)*Impacts!$F$11),0)</f>
        <v>0</v>
      </c>
      <c r="P3929" s="10">
        <f>IF(Tank5!$C$23="No control",(SUMIF(Tank5!$B$32:$B$49,$J3929,Tank5!$C$32:$C$49)*Impacts!$F$12),0)</f>
        <v>0</v>
      </c>
      <c r="Q3929" s="10">
        <f>IFERROR(IF(('Loading-drum,tote'!$C$21)="No control",SUMIF(('Loading-drum,tote'!$B$31:$B$48),$J3929,('Loading-drum,tote'!$D$31:$D$48))*Impacts!$F$13,IF(('Loading-drum,tote'!$C$21)&lt;&gt;"No control",SUMIF(('Loading-drum,tote'!$B$31:$B$48),$J3929,('Loading-drum,tote'!$E$31:$E$48))*Impacts!$F$13,0)),0)</f>
        <v>0</v>
      </c>
      <c r="R3929" s="10">
        <f>IFERROR(IF(('Loading-truck'!$C$21)="No control",SUMIF(('Loading-truck'!$B$31:$B$48),$J3929,('Loading-truck'!$D$31:$D$48))*Impacts!$F$14,IF(('Loading-truck'!$C$21)&lt;&gt;"No control",SUMIF(('Loading-truck'!$B$31:$B$48),$J3929,('Loading-truck'!$E$31:$E$48))*Impacts!$F$14,0)),0)</f>
        <v>0</v>
      </c>
      <c r="S3929" s="10">
        <f>IFERROR(IF(('Loading-rail'!$C$21)="No control",SUMIF(('Loading-rail'!$B$31:$B$48),$J3929,('Loading-rail'!$D$31:$D$48))*Impacts!$F$15,IF(('Loading-rail'!$C$21)&lt;&gt;"No control",SUMIF(('Loading-rail'!$B$31:$B$48),$J3929,('Loading-rail'!$E$31:$E$48))*Impacts!$F$15,0)),0)</f>
        <v>0</v>
      </c>
      <c r="T3929" s="10">
        <f>IF(Flare!$C$7="",0,(SUMIF(Flare!$B$46:$B$185,$J3929,Flare!$E$46:$E$185)*Impacts!$F$16))</f>
        <v>0</v>
      </c>
      <c r="U3929" s="10">
        <f>IF(VCU!$C$9="",0,(SUMIF(VCU!$B$51:$B$193,$J3929,VCU!$E$51:$E$193)*Impacts!$F$17))</f>
        <v>0</v>
      </c>
      <c r="V3929" s="10">
        <f>IF(CAS!$C$7="",0,(SUMIF(CAS!$B$31:$B$167,$J3929,CAS!$E$31:$E$167)*Impacts!$F$18))</f>
        <v>0</v>
      </c>
      <c r="W3929" s="10">
        <f t="shared" si="101"/>
        <v>0</v>
      </c>
      <c r="AK3929" s="10" t="str">
        <f t="array" ref="AK3929">IFERROR(INDEX(SelectedSpecies,SMALL(IF(SelectedSpecies=AK$1,ROW(SelectedSpecies)),ROW(3930:3930)),2),"")</f>
        <v/>
      </c>
      <c r="BE3929" s="10"/>
      <c r="BI3929" s="10"/>
    </row>
    <row r="3930" spans="1:61" ht="21" customHeight="1" x14ac:dyDescent="0.25">
      <c r="A3930" s="10"/>
      <c r="B3930" s="10"/>
      <c r="E3930" s="10"/>
      <c r="G3930" s="10"/>
      <c r="I3930" s="436" t="s">
        <v>4863</v>
      </c>
      <c r="J3930" s="26" t="s">
        <v>4862</v>
      </c>
      <c r="K3930" s="10">
        <v>2.8000000000000003</v>
      </c>
      <c r="L3930" s="73">
        <f>IF(Tank1!$C$23="No control",(SUMIF(Tank1!$B$32:$B$49,$J3930,Tank1!$C$32:$C$49)*Impacts!$F$8),0)</f>
        <v>0</v>
      </c>
      <c r="M3930" s="10">
        <f>IF(Tank2!$C$23="No control",(SUMIF(Tank2!$B$32:$B$49,$J3930,Tank2!$C$32:$C$49)*Impacts!$F$9),0)</f>
        <v>0</v>
      </c>
      <c r="N3930" s="10">
        <f>IF(Tank3!$C$23="No control",(SUMIF(Tank3!$B$32:$B$49,$J3930,Tank3!$C$32:$C$49)*Impacts!$F$10),0)</f>
        <v>0</v>
      </c>
      <c r="O3930" s="10">
        <f>IF(Tank4!$C$23="No control",(SUMIF(Tank4!$B$32:$B$49,$J3930,Tank4!$C$32:$C$49)*Impacts!$F$11),0)</f>
        <v>0</v>
      </c>
      <c r="P3930" s="10">
        <f>IF(Tank5!$C$23="No control",(SUMIF(Tank5!$B$32:$B$49,$J3930,Tank5!$C$32:$C$49)*Impacts!$F$12),0)</f>
        <v>0</v>
      </c>
      <c r="Q3930" s="10">
        <f>IFERROR(IF(('Loading-drum,tote'!$C$21)="No control",SUMIF(('Loading-drum,tote'!$B$31:$B$48),$J3930,('Loading-drum,tote'!$D$31:$D$48))*Impacts!$F$13,IF(('Loading-drum,tote'!$C$21)&lt;&gt;"No control",SUMIF(('Loading-drum,tote'!$B$31:$B$48),$J3930,('Loading-drum,tote'!$E$31:$E$48))*Impacts!$F$13,0)),0)</f>
        <v>0</v>
      </c>
      <c r="R3930" s="10">
        <f>IFERROR(IF(('Loading-truck'!$C$21)="No control",SUMIF(('Loading-truck'!$B$31:$B$48),$J3930,('Loading-truck'!$D$31:$D$48))*Impacts!$F$14,IF(('Loading-truck'!$C$21)&lt;&gt;"No control",SUMIF(('Loading-truck'!$B$31:$B$48),$J3930,('Loading-truck'!$E$31:$E$48))*Impacts!$F$14,0)),0)</f>
        <v>0</v>
      </c>
      <c r="S3930" s="10">
        <f>IFERROR(IF(('Loading-rail'!$C$21)="No control",SUMIF(('Loading-rail'!$B$31:$B$48),$J3930,('Loading-rail'!$D$31:$D$48))*Impacts!$F$15,IF(('Loading-rail'!$C$21)&lt;&gt;"No control",SUMIF(('Loading-rail'!$B$31:$B$48),$J3930,('Loading-rail'!$E$31:$E$48))*Impacts!$F$15,0)),0)</f>
        <v>0</v>
      </c>
      <c r="T3930" s="10">
        <f>IF(Flare!$C$7="",0,(SUMIF(Flare!$B$46:$B$185,$J3930,Flare!$E$46:$E$185)*Impacts!$F$16))</f>
        <v>0</v>
      </c>
      <c r="U3930" s="10">
        <f>IF(VCU!$C$9="",0,(SUMIF(VCU!$B$51:$B$193,$J3930,VCU!$E$51:$E$193)*Impacts!$F$17))</f>
        <v>0</v>
      </c>
      <c r="V3930" s="10">
        <f>IF(CAS!$C$7="",0,(SUMIF(CAS!$B$31:$B$167,$J3930,CAS!$E$31:$E$167)*Impacts!$F$18))</f>
        <v>0</v>
      </c>
      <c r="W3930" s="10">
        <f t="shared" ref="W3930:W3993" si="102">SUM(L3930:V3930)</f>
        <v>0</v>
      </c>
      <c r="AK3930" s="10" t="str">
        <f t="array" ref="AK3930">IFERROR(INDEX(SelectedSpecies,SMALL(IF(SelectedSpecies=AK$1,ROW(SelectedSpecies)),ROW(3931:3931)),2),"")</f>
        <v/>
      </c>
      <c r="BE3930" s="10"/>
      <c r="BI3930" s="10"/>
    </row>
    <row r="3931" spans="1:61" ht="21" customHeight="1" x14ac:dyDescent="0.25">
      <c r="A3931" s="10"/>
      <c r="B3931" s="10"/>
      <c r="E3931" s="10"/>
      <c r="G3931" s="10"/>
      <c r="I3931" s="436" t="s">
        <v>5207</v>
      </c>
      <c r="J3931" s="26" t="s">
        <v>5206</v>
      </c>
      <c r="K3931" s="10">
        <v>2</v>
      </c>
      <c r="L3931" s="73">
        <f>IF(Tank1!$C$23="No control",(SUMIF(Tank1!$B$32:$B$49,$J3931,Tank1!$C$32:$C$49)*Impacts!$F$8),0)</f>
        <v>0</v>
      </c>
      <c r="M3931" s="10">
        <f>IF(Tank2!$C$23="No control",(SUMIF(Tank2!$B$32:$B$49,$J3931,Tank2!$C$32:$C$49)*Impacts!$F$9),0)</f>
        <v>0</v>
      </c>
      <c r="N3931" s="10">
        <f>IF(Tank3!$C$23="No control",(SUMIF(Tank3!$B$32:$B$49,$J3931,Tank3!$C$32:$C$49)*Impacts!$F$10),0)</f>
        <v>0</v>
      </c>
      <c r="O3931" s="10">
        <f>IF(Tank4!$C$23="No control",(SUMIF(Tank4!$B$32:$B$49,$J3931,Tank4!$C$32:$C$49)*Impacts!$F$11),0)</f>
        <v>0</v>
      </c>
      <c r="P3931" s="10">
        <f>IF(Tank5!$C$23="No control",(SUMIF(Tank5!$B$32:$B$49,$J3931,Tank5!$C$32:$C$49)*Impacts!$F$12),0)</f>
        <v>0</v>
      </c>
      <c r="Q3931" s="10">
        <f>IFERROR(IF(('Loading-drum,tote'!$C$21)="No control",SUMIF(('Loading-drum,tote'!$B$31:$B$48),$J3931,('Loading-drum,tote'!$D$31:$D$48))*Impacts!$F$13,IF(('Loading-drum,tote'!$C$21)&lt;&gt;"No control",SUMIF(('Loading-drum,tote'!$B$31:$B$48),$J3931,('Loading-drum,tote'!$E$31:$E$48))*Impacts!$F$13,0)),0)</f>
        <v>0</v>
      </c>
      <c r="R3931" s="10">
        <f>IFERROR(IF(('Loading-truck'!$C$21)="No control",SUMIF(('Loading-truck'!$B$31:$B$48),$J3931,('Loading-truck'!$D$31:$D$48))*Impacts!$F$14,IF(('Loading-truck'!$C$21)&lt;&gt;"No control",SUMIF(('Loading-truck'!$B$31:$B$48),$J3931,('Loading-truck'!$E$31:$E$48))*Impacts!$F$14,0)),0)</f>
        <v>0</v>
      </c>
      <c r="S3931" s="10">
        <f>IFERROR(IF(('Loading-rail'!$C$21)="No control",SUMIF(('Loading-rail'!$B$31:$B$48),$J3931,('Loading-rail'!$D$31:$D$48))*Impacts!$F$15,IF(('Loading-rail'!$C$21)&lt;&gt;"No control",SUMIF(('Loading-rail'!$B$31:$B$48),$J3931,('Loading-rail'!$E$31:$E$48))*Impacts!$F$15,0)),0)</f>
        <v>0</v>
      </c>
      <c r="T3931" s="10">
        <f>IF(Flare!$C$7="",0,(SUMIF(Flare!$B$46:$B$185,$J3931,Flare!$E$46:$E$185)*Impacts!$F$16))</f>
        <v>0</v>
      </c>
      <c r="U3931" s="10">
        <f>IF(VCU!$C$9="",0,(SUMIF(VCU!$B$51:$B$193,$J3931,VCU!$E$51:$E$193)*Impacts!$F$17))</f>
        <v>0</v>
      </c>
      <c r="V3931" s="10">
        <f>IF(CAS!$C$7="",0,(SUMIF(CAS!$B$31:$B$167,$J3931,CAS!$E$31:$E$167)*Impacts!$F$18))</f>
        <v>0</v>
      </c>
      <c r="W3931" s="10">
        <f t="shared" si="102"/>
        <v>0</v>
      </c>
      <c r="AK3931" s="10" t="str">
        <f t="array" ref="AK3931">IFERROR(INDEX(SelectedSpecies,SMALL(IF(SelectedSpecies=AK$1,ROW(SelectedSpecies)),ROW(3932:3932)),2),"")</f>
        <v/>
      </c>
      <c r="BE3931" s="10"/>
      <c r="BI3931" s="10"/>
    </row>
    <row r="3932" spans="1:61" ht="21" customHeight="1" x14ac:dyDescent="0.25">
      <c r="A3932" s="10"/>
      <c r="B3932" s="10"/>
      <c r="E3932" s="10"/>
      <c r="G3932" s="10"/>
      <c r="I3932" s="436" t="s">
        <v>8332</v>
      </c>
      <c r="J3932" s="26" t="s">
        <v>8331</v>
      </c>
      <c r="K3932" s="10">
        <v>5.0000000000000001E-4</v>
      </c>
      <c r="L3932" s="73">
        <f>IF(Tank1!$C$23="No control",(SUMIF(Tank1!$B$32:$B$49,$J3932,Tank1!$C$32:$C$49)*Impacts!$F$8),0)</f>
        <v>0</v>
      </c>
      <c r="M3932" s="10">
        <f>IF(Tank2!$C$23="No control",(SUMIF(Tank2!$B$32:$B$49,$J3932,Tank2!$C$32:$C$49)*Impacts!$F$9),0)</f>
        <v>0</v>
      </c>
      <c r="N3932" s="10">
        <f>IF(Tank3!$C$23="No control",(SUMIF(Tank3!$B$32:$B$49,$J3932,Tank3!$C$32:$C$49)*Impacts!$F$10),0)</f>
        <v>0</v>
      </c>
      <c r="O3932" s="10">
        <f>IF(Tank4!$C$23="No control",(SUMIF(Tank4!$B$32:$B$49,$J3932,Tank4!$C$32:$C$49)*Impacts!$F$11),0)</f>
        <v>0</v>
      </c>
      <c r="P3932" s="10">
        <f>IF(Tank5!$C$23="No control",(SUMIF(Tank5!$B$32:$B$49,$J3932,Tank5!$C$32:$C$49)*Impacts!$F$12),0)</f>
        <v>0</v>
      </c>
      <c r="Q3932" s="10">
        <f>IFERROR(IF(('Loading-drum,tote'!$C$21)="No control",SUMIF(('Loading-drum,tote'!$B$31:$B$48),$J3932,('Loading-drum,tote'!$D$31:$D$48))*Impacts!$F$13,IF(('Loading-drum,tote'!$C$21)&lt;&gt;"No control",SUMIF(('Loading-drum,tote'!$B$31:$B$48),$J3932,('Loading-drum,tote'!$E$31:$E$48))*Impacts!$F$13,0)),0)</f>
        <v>0</v>
      </c>
      <c r="R3932" s="10">
        <f>IFERROR(IF(('Loading-truck'!$C$21)="No control",SUMIF(('Loading-truck'!$B$31:$B$48),$J3932,('Loading-truck'!$D$31:$D$48))*Impacts!$F$14,IF(('Loading-truck'!$C$21)&lt;&gt;"No control",SUMIF(('Loading-truck'!$B$31:$B$48),$J3932,('Loading-truck'!$E$31:$E$48))*Impacts!$F$14,0)),0)</f>
        <v>0</v>
      </c>
      <c r="S3932" s="10">
        <f>IFERROR(IF(('Loading-rail'!$C$21)="No control",SUMIF(('Loading-rail'!$B$31:$B$48),$J3932,('Loading-rail'!$D$31:$D$48))*Impacts!$F$15,IF(('Loading-rail'!$C$21)&lt;&gt;"No control",SUMIF(('Loading-rail'!$B$31:$B$48),$J3932,('Loading-rail'!$E$31:$E$48))*Impacts!$F$15,0)),0)</f>
        <v>0</v>
      </c>
      <c r="T3932" s="10">
        <f>IF(Flare!$C$7="",0,(SUMIF(Flare!$B$46:$B$185,$J3932,Flare!$E$46:$E$185)*Impacts!$F$16))</f>
        <v>0</v>
      </c>
      <c r="U3932" s="10">
        <f>IF(VCU!$C$9="",0,(SUMIF(VCU!$B$51:$B$193,$J3932,VCU!$E$51:$E$193)*Impacts!$F$17))</f>
        <v>0</v>
      </c>
      <c r="V3932" s="10">
        <f>IF(CAS!$C$7="",0,(SUMIF(CAS!$B$31:$B$167,$J3932,CAS!$E$31:$E$167)*Impacts!$F$18))</f>
        <v>0</v>
      </c>
      <c r="W3932" s="10">
        <f t="shared" si="102"/>
        <v>0</v>
      </c>
      <c r="AK3932" s="10" t="str">
        <f t="array" ref="AK3932">IFERROR(INDEX(SelectedSpecies,SMALL(IF(SelectedSpecies=AK$1,ROW(SelectedSpecies)),ROW(3933:3933)),2),"")</f>
        <v/>
      </c>
      <c r="BE3932" s="10"/>
      <c r="BI3932" s="10"/>
    </row>
    <row r="3933" spans="1:61" ht="21" customHeight="1" x14ac:dyDescent="0.25">
      <c r="A3933" s="10"/>
      <c r="B3933" s="10"/>
      <c r="E3933" s="10"/>
      <c r="G3933" s="10"/>
      <c r="I3933" s="436" t="s">
        <v>4929</v>
      </c>
      <c r="J3933" s="26" t="s">
        <v>4928</v>
      </c>
      <c r="K3933" s="10">
        <v>2.6</v>
      </c>
      <c r="L3933" s="73">
        <f>IF(Tank1!$C$23="No control",(SUMIF(Tank1!$B$32:$B$49,$J3933,Tank1!$C$32:$C$49)*Impacts!$F$8),0)</f>
        <v>0</v>
      </c>
      <c r="M3933" s="10">
        <f>IF(Tank2!$C$23="No control",(SUMIF(Tank2!$B$32:$B$49,$J3933,Tank2!$C$32:$C$49)*Impacts!$F$9),0)</f>
        <v>0</v>
      </c>
      <c r="N3933" s="10">
        <f>IF(Tank3!$C$23="No control",(SUMIF(Tank3!$B$32:$B$49,$J3933,Tank3!$C$32:$C$49)*Impacts!$F$10),0)</f>
        <v>0</v>
      </c>
      <c r="O3933" s="10">
        <f>IF(Tank4!$C$23="No control",(SUMIF(Tank4!$B$32:$B$49,$J3933,Tank4!$C$32:$C$49)*Impacts!$F$11),0)</f>
        <v>0</v>
      </c>
      <c r="P3933" s="10">
        <f>IF(Tank5!$C$23="No control",(SUMIF(Tank5!$B$32:$B$49,$J3933,Tank5!$C$32:$C$49)*Impacts!$F$12),0)</f>
        <v>0</v>
      </c>
      <c r="Q3933" s="10">
        <f>IFERROR(IF(('Loading-drum,tote'!$C$21)="No control",SUMIF(('Loading-drum,tote'!$B$31:$B$48),$J3933,('Loading-drum,tote'!$D$31:$D$48))*Impacts!$F$13,IF(('Loading-drum,tote'!$C$21)&lt;&gt;"No control",SUMIF(('Loading-drum,tote'!$B$31:$B$48),$J3933,('Loading-drum,tote'!$E$31:$E$48))*Impacts!$F$13,0)),0)</f>
        <v>0</v>
      </c>
      <c r="R3933" s="10">
        <f>IFERROR(IF(('Loading-truck'!$C$21)="No control",SUMIF(('Loading-truck'!$B$31:$B$48),$J3933,('Loading-truck'!$D$31:$D$48))*Impacts!$F$14,IF(('Loading-truck'!$C$21)&lt;&gt;"No control",SUMIF(('Loading-truck'!$B$31:$B$48),$J3933,('Loading-truck'!$E$31:$E$48))*Impacts!$F$14,0)),0)</f>
        <v>0</v>
      </c>
      <c r="S3933" s="10">
        <f>IFERROR(IF(('Loading-rail'!$C$21)="No control",SUMIF(('Loading-rail'!$B$31:$B$48),$J3933,('Loading-rail'!$D$31:$D$48))*Impacts!$F$15,IF(('Loading-rail'!$C$21)&lt;&gt;"No control",SUMIF(('Loading-rail'!$B$31:$B$48),$J3933,('Loading-rail'!$E$31:$E$48))*Impacts!$F$15,0)),0)</f>
        <v>0</v>
      </c>
      <c r="T3933" s="10">
        <f>IF(Flare!$C$7="",0,(SUMIF(Flare!$B$46:$B$185,$J3933,Flare!$E$46:$E$185)*Impacts!$F$16))</f>
        <v>0</v>
      </c>
      <c r="U3933" s="10">
        <f>IF(VCU!$C$9="",0,(SUMIF(VCU!$B$51:$B$193,$J3933,VCU!$E$51:$E$193)*Impacts!$F$17))</f>
        <v>0</v>
      </c>
      <c r="V3933" s="10">
        <f>IF(CAS!$C$7="",0,(SUMIF(CAS!$B$31:$B$167,$J3933,CAS!$E$31:$E$167)*Impacts!$F$18))</f>
        <v>0</v>
      </c>
      <c r="W3933" s="10">
        <f t="shared" si="102"/>
        <v>0</v>
      </c>
      <c r="AK3933" s="10" t="str">
        <f t="array" ref="AK3933">IFERROR(INDEX(SelectedSpecies,SMALL(IF(SelectedSpecies=AK$1,ROW(SelectedSpecies)),ROW(3934:3934)),2),"")</f>
        <v/>
      </c>
      <c r="BE3933" s="10"/>
      <c r="BI3933" s="10"/>
    </row>
    <row r="3934" spans="1:61" ht="21" customHeight="1" x14ac:dyDescent="0.25">
      <c r="A3934" s="10"/>
      <c r="B3934" s="10"/>
      <c r="E3934" s="10"/>
      <c r="G3934" s="10"/>
      <c r="I3934" s="436" t="s">
        <v>4931</v>
      </c>
      <c r="J3934" s="26" t="s">
        <v>4930</v>
      </c>
      <c r="K3934" s="10">
        <v>2.6</v>
      </c>
      <c r="L3934" s="73">
        <f>IF(Tank1!$C$23="No control",(SUMIF(Tank1!$B$32:$B$49,$J3934,Tank1!$C$32:$C$49)*Impacts!$F$8),0)</f>
        <v>0</v>
      </c>
      <c r="M3934" s="10">
        <f>IF(Tank2!$C$23="No control",(SUMIF(Tank2!$B$32:$B$49,$J3934,Tank2!$C$32:$C$49)*Impacts!$F$9),0)</f>
        <v>0</v>
      </c>
      <c r="N3934" s="10">
        <f>IF(Tank3!$C$23="No control",(SUMIF(Tank3!$B$32:$B$49,$J3934,Tank3!$C$32:$C$49)*Impacts!$F$10),0)</f>
        <v>0</v>
      </c>
      <c r="O3934" s="10">
        <f>IF(Tank4!$C$23="No control",(SUMIF(Tank4!$B$32:$B$49,$J3934,Tank4!$C$32:$C$49)*Impacts!$F$11),0)</f>
        <v>0</v>
      </c>
      <c r="P3934" s="10">
        <f>IF(Tank5!$C$23="No control",(SUMIF(Tank5!$B$32:$B$49,$J3934,Tank5!$C$32:$C$49)*Impacts!$F$12),0)</f>
        <v>0</v>
      </c>
      <c r="Q3934" s="10">
        <f>IFERROR(IF(('Loading-drum,tote'!$C$21)="No control",SUMIF(('Loading-drum,tote'!$B$31:$B$48),$J3934,('Loading-drum,tote'!$D$31:$D$48))*Impacts!$F$13,IF(('Loading-drum,tote'!$C$21)&lt;&gt;"No control",SUMIF(('Loading-drum,tote'!$B$31:$B$48),$J3934,('Loading-drum,tote'!$E$31:$E$48))*Impacts!$F$13,0)),0)</f>
        <v>0</v>
      </c>
      <c r="R3934" s="10">
        <f>IFERROR(IF(('Loading-truck'!$C$21)="No control",SUMIF(('Loading-truck'!$B$31:$B$48),$J3934,('Loading-truck'!$D$31:$D$48))*Impacts!$F$14,IF(('Loading-truck'!$C$21)&lt;&gt;"No control",SUMIF(('Loading-truck'!$B$31:$B$48),$J3934,('Loading-truck'!$E$31:$E$48))*Impacts!$F$14,0)),0)</f>
        <v>0</v>
      </c>
      <c r="S3934" s="10">
        <f>IFERROR(IF(('Loading-rail'!$C$21)="No control",SUMIF(('Loading-rail'!$B$31:$B$48),$J3934,('Loading-rail'!$D$31:$D$48))*Impacts!$F$15,IF(('Loading-rail'!$C$21)&lt;&gt;"No control",SUMIF(('Loading-rail'!$B$31:$B$48),$J3934,('Loading-rail'!$E$31:$E$48))*Impacts!$F$15,0)),0)</f>
        <v>0</v>
      </c>
      <c r="T3934" s="10">
        <f>IF(Flare!$C$7="",0,(SUMIF(Flare!$B$46:$B$185,$J3934,Flare!$E$46:$E$185)*Impacts!$F$16))</f>
        <v>0</v>
      </c>
      <c r="U3934" s="10">
        <f>IF(VCU!$C$9="",0,(SUMIF(VCU!$B$51:$B$193,$J3934,VCU!$E$51:$E$193)*Impacts!$F$17))</f>
        <v>0</v>
      </c>
      <c r="V3934" s="10">
        <f>IF(CAS!$C$7="",0,(SUMIF(CAS!$B$31:$B$167,$J3934,CAS!$E$31:$E$167)*Impacts!$F$18))</f>
        <v>0</v>
      </c>
      <c r="W3934" s="10">
        <f t="shared" si="102"/>
        <v>0</v>
      </c>
      <c r="AK3934" s="10" t="str">
        <f t="array" ref="AK3934">IFERROR(INDEX(SelectedSpecies,SMALL(IF(SelectedSpecies=AK$1,ROW(SelectedSpecies)),ROW(3935:3935)),2),"")</f>
        <v/>
      </c>
      <c r="BE3934" s="10"/>
      <c r="BI3934" s="10"/>
    </row>
    <row r="3935" spans="1:61" ht="21" customHeight="1" x14ac:dyDescent="0.25">
      <c r="A3935" s="10"/>
      <c r="B3935" s="10"/>
      <c r="E3935" s="10"/>
      <c r="G3935" s="10"/>
      <c r="I3935" s="436" t="s">
        <v>6198</v>
      </c>
      <c r="J3935" s="26" t="s">
        <v>6197</v>
      </c>
      <c r="K3935" s="10">
        <v>1</v>
      </c>
      <c r="L3935" s="73">
        <f>IF(Tank1!$C$23="No control",(SUMIF(Tank1!$B$32:$B$49,$J3935,Tank1!$C$32:$C$49)*Impacts!$F$8),0)</f>
        <v>0</v>
      </c>
      <c r="M3935" s="10">
        <f>IF(Tank2!$C$23="No control",(SUMIF(Tank2!$B$32:$B$49,$J3935,Tank2!$C$32:$C$49)*Impacts!$F$9),0)</f>
        <v>0</v>
      </c>
      <c r="N3935" s="10">
        <f>IF(Tank3!$C$23="No control",(SUMIF(Tank3!$B$32:$B$49,$J3935,Tank3!$C$32:$C$49)*Impacts!$F$10),0)</f>
        <v>0</v>
      </c>
      <c r="O3935" s="10">
        <f>IF(Tank4!$C$23="No control",(SUMIF(Tank4!$B$32:$B$49,$J3935,Tank4!$C$32:$C$49)*Impacts!$F$11),0)</f>
        <v>0</v>
      </c>
      <c r="P3935" s="10">
        <f>IF(Tank5!$C$23="No control",(SUMIF(Tank5!$B$32:$B$49,$J3935,Tank5!$C$32:$C$49)*Impacts!$F$12),0)</f>
        <v>0</v>
      </c>
      <c r="Q3935" s="10">
        <f>IFERROR(IF(('Loading-drum,tote'!$C$21)="No control",SUMIF(('Loading-drum,tote'!$B$31:$B$48),$J3935,('Loading-drum,tote'!$D$31:$D$48))*Impacts!$F$13,IF(('Loading-drum,tote'!$C$21)&lt;&gt;"No control",SUMIF(('Loading-drum,tote'!$B$31:$B$48),$J3935,('Loading-drum,tote'!$E$31:$E$48))*Impacts!$F$13,0)),0)</f>
        <v>0</v>
      </c>
      <c r="R3935" s="10">
        <f>IFERROR(IF(('Loading-truck'!$C$21)="No control",SUMIF(('Loading-truck'!$B$31:$B$48),$J3935,('Loading-truck'!$D$31:$D$48))*Impacts!$F$14,IF(('Loading-truck'!$C$21)&lt;&gt;"No control",SUMIF(('Loading-truck'!$B$31:$B$48),$J3935,('Loading-truck'!$E$31:$E$48))*Impacts!$F$14,0)),0)</f>
        <v>0</v>
      </c>
      <c r="S3935" s="10">
        <f>IFERROR(IF(('Loading-rail'!$C$21)="No control",SUMIF(('Loading-rail'!$B$31:$B$48),$J3935,('Loading-rail'!$D$31:$D$48))*Impacts!$F$15,IF(('Loading-rail'!$C$21)&lt;&gt;"No control",SUMIF(('Loading-rail'!$B$31:$B$48),$J3935,('Loading-rail'!$E$31:$E$48))*Impacts!$F$15,0)),0)</f>
        <v>0</v>
      </c>
      <c r="T3935" s="10">
        <f>IF(Flare!$C$7="",0,(SUMIF(Flare!$B$46:$B$185,$J3935,Flare!$E$46:$E$185)*Impacts!$F$16))</f>
        <v>0</v>
      </c>
      <c r="U3935" s="10">
        <f>IF(VCU!$C$9="",0,(SUMIF(VCU!$B$51:$B$193,$J3935,VCU!$E$51:$E$193)*Impacts!$F$17))</f>
        <v>0</v>
      </c>
      <c r="V3935" s="10">
        <f>IF(CAS!$C$7="",0,(SUMIF(CAS!$B$31:$B$167,$J3935,CAS!$E$31:$E$167)*Impacts!$F$18))</f>
        <v>0</v>
      </c>
      <c r="W3935" s="10">
        <f t="shared" si="102"/>
        <v>0</v>
      </c>
      <c r="AK3935" s="10" t="str">
        <f t="array" ref="AK3935">IFERROR(INDEX(SelectedSpecies,SMALL(IF(SelectedSpecies=AK$1,ROW(SelectedSpecies)),ROW(3936:3936)),2),"")</f>
        <v/>
      </c>
      <c r="BE3935" s="10"/>
      <c r="BI3935" s="10"/>
    </row>
    <row r="3936" spans="1:61" ht="21" customHeight="1" x14ac:dyDescent="0.25">
      <c r="A3936" s="10"/>
      <c r="B3936" s="10"/>
      <c r="E3936" s="10"/>
      <c r="G3936" s="10"/>
      <c r="I3936" s="436" t="s">
        <v>5335</v>
      </c>
      <c r="J3936" s="26" t="s">
        <v>5334</v>
      </c>
      <c r="K3936" s="10">
        <v>1.7000000000000002</v>
      </c>
      <c r="L3936" s="73">
        <f>IF(Tank1!$C$23="No control",(SUMIF(Tank1!$B$32:$B$49,$J3936,Tank1!$C$32:$C$49)*Impacts!$F$8),0)</f>
        <v>0</v>
      </c>
      <c r="M3936" s="10">
        <f>IF(Tank2!$C$23="No control",(SUMIF(Tank2!$B$32:$B$49,$J3936,Tank2!$C$32:$C$49)*Impacts!$F$9),0)</f>
        <v>0</v>
      </c>
      <c r="N3936" s="10">
        <f>IF(Tank3!$C$23="No control",(SUMIF(Tank3!$B$32:$B$49,$J3936,Tank3!$C$32:$C$49)*Impacts!$F$10),0)</f>
        <v>0</v>
      </c>
      <c r="O3936" s="10">
        <f>IF(Tank4!$C$23="No control",(SUMIF(Tank4!$B$32:$B$49,$J3936,Tank4!$C$32:$C$49)*Impacts!$F$11),0)</f>
        <v>0</v>
      </c>
      <c r="P3936" s="10">
        <f>IF(Tank5!$C$23="No control",(SUMIF(Tank5!$B$32:$B$49,$J3936,Tank5!$C$32:$C$49)*Impacts!$F$12),0)</f>
        <v>0</v>
      </c>
      <c r="Q3936" s="10">
        <f>IFERROR(IF(('Loading-drum,tote'!$C$21)="No control",SUMIF(('Loading-drum,tote'!$B$31:$B$48),$J3936,('Loading-drum,tote'!$D$31:$D$48))*Impacts!$F$13,IF(('Loading-drum,tote'!$C$21)&lt;&gt;"No control",SUMIF(('Loading-drum,tote'!$B$31:$B$48),$J3936,('Loading-drum,tote'!$E$31:$E$48))*Impacts!$F$13,0)),0)</f>
        <v>0</v>
      </c>
      <c r="R3936" s="10">
        <f>IFERROR(IF(('Loading-truck'!$C$21)="No control",SUMIF(('Loading-truck'!$B$31:$B$48),$J3936,('Loading-truck'!$D$31:$D$48))*Impacts!$F$14,IF(('Loading-truck'!$C$21)&lt;&gt;"No control",SUMIF(('Loading-truck'!$B$31:$B$48),$J3936,('Loading-truck'!$E$31:$E$48))*Impacts!$F$14,0)),0)</f>
        <v>0</v>
      </c>
      <c r="S3936" s="10">
        <f>IFERROR(IF(('Loading-rail'!$C$21)="No control",SUMIF(('Loading-rail'!$B$31:$B$48),$J3936,('Loading-rail'!$D$31:$D$48))*Impacts!$F$15,IF(('Loading-rail'!$C$21)&lt;&gt;"No control",SUMIF(('Loading-rail'!$B$31:$B$48),$J3936,('Loading-rail'!$E$31:$E$48))*Impacts!$F$15,0)),0)</f>
        <v>0</v>
      </c>
      <c r="T3936" s="10">
        <f>IF(Flare!$C$7="",0,(SUMIF(Flare!$B$46:$B$185,$J3936,Flare!$E$46:$E$185)*Impacts!$F$16))</f>
        <v>0</v>
      </c>
      <c r="U3936" s="10">
        <f>IF(VCU!$C$9="",0,(SUMIF(VCU!$B$51:$B$193,$J3936,VCU!$E$51:$E$193)*Impacts!$F$17))</f>
        <v>0</v>
      </c>
      <c r="V3936" s="10">
        <f>IF(CAS!$C$7="",0,(SUMIF(CAS!$B$31:$B$167,$J3936,CAS!$E$31:$E$167)*Impacts!$F$18))</f>
        <v>0</v>
      </c>
      <c r="W3936" s="10">
        <f t="shared" si="102"/>
        <v>0</v>
      </c>
      <c r="AK3936" s="10" t="str">
        <f t="array" ref="AK3936">IFERROR(INDEX(SelectedSpecies,SMALL(IF(SelectedSpecies=AK$1,ROW(SelectedSpecies)),ROW(3937:3937)),2),"")</f>
        <v/>
      </c>
      <c r="BE3936" s="10"/>
      <c r="BI3936" s="10"/>
    </row>
    <row r="3937" spans="1:61" ht="21" customHeight="1" x14ac:dyDescent="0.25">
      <c r="A3937" s="10"/>
      <c r="B3937" s="10"/>
      <c r="E3937" s="10"/>
      <c r="G3937" s="10"/>
      <c r="I3937" s="436" t="s">
        <v>6200</v>
      </c>
      <c r="J3937" s="26" t="s">
        <v>6199</v>
      </c>
      <c r="K3937" s="10">
        <v>1</v>
      </c>
      <c r="L3937" s="73">
        <f>IF(Tank1!$C$23="No control",(SUMIF(Tank1!$B$32:$B$49,$J3937,Tank1!$C$32:$C$49)*Impacts!$F$8),0)</f>
        <v>0</v>
      </c>
      <c r="M3937" s="10">
        <f>IF(Tank2!$C$23="No control",(SUMIF(Tank2!$B$32:$B$49,$J3937,Tank2!$C$32:$C$49)*Impacts!$F$9),0)</f>
        <v>0</v>
      </c>
      <c r="N3937" s="10">
        <f>IF(Tank3!$C$23="No control",(SUMIF(Tank3!$B$32:$B$49,$J3937,Tank3!$C$32:$C$49)*Impacts!$F$10),0)</f>
        <v>0</v>
      </c>
      <c r="O3937" s="10">
        <f>IF(Tank4!$C$23="No control",(SUMIF(Tank4!$B$32:$B$49,$J3937,Tank4!$C$32:$C$49)*Impacts!$F$11),0)</f>
        <v>0</v>
      </c>
      <c r="P3937" s="10">
        <f>IF(Tank5!$C$23="No control",(SUMIF(Tank5!$B$32:$B$49,$J3937,Tank5!$C$32:$C$49)*Impacts!$F$12),0)</f>
        <v>0</v>
      </c>
      <c r="Q3937" s="10">
        <f>IFERROR(IF(('Loading-drum,tote'!$C$21)="No control",SUMIF(('Loading-drum,tote'!$B$31:$B$48),$J3937,('Loading-drum,tote'!$D$31:$D$48))*Impacts!$F$13,IF(('Loading-drum,tote'!$C$21)&lt;&gt;"No control",SUMIF(('Loading-drum,tote'!$B$31:$B$48),$J3937,('Loading-drum,tote'!$E$31:$E$48))*Impacts!$F$13,0)),0)</f>
        <v>0</v>
      </c>
      <c r="R3937" s="10">
        <f>IFERROR(IF(('Loading-truck'!$C$21)="No control",SUMIF(('Loading-truck'!$B$31:$B$48),$J3937,('Loading-truck'!$D$31:$D$48))*Impacts!$F$14,IF(('Loading-truck'!$C$21)&lt;&gt;"No control",SUMIF(('Loading-truck'!$B$31:$B$48),$J3937,('Loading-truck'!$E$31:$E$48))*Impacts!$F$14,0)),0)</f>
        <v>0</v>
      </c>
      <c r="S3937" s="10">
        <f>IFERROR(IF(('Loading-rail'!$C$21)="No control",SUMIF(('Loading-rail'!$B$31:$B$48),$J3937,('Loading-rail'!$D$31:$D$48))*Impacts!$F$15,IF(('Loading-rail'!$C$21)&lt;&gt;"No control",SUMIF(('Loading-rail'!$B$31:$B$48),$J3937,('Loading-rail'!$E$31:$E$48))*Impacts!$F$15,0)),0)</f>
        <v>0</v>
      </c>
      <c r="T3937" s="10">
        <f>IF(Flare!$C$7="",0,(SUMIF(Flare!$B$46:$B$185,$J3937,Flare!$E$46:$E$185)*Impacts!$F$16))</f>
        <v>0</v>
      </c>
      <c r="U3937" s="10">
        <f>IF(VCU!$C$9="",0,(SUMIF(VCU!$B$51:$B$193,$J3937,VCU!$E$51:$E$193)*Impacts!$F$17))</f>
        <v>0</v>
      </c>
      <c r="V3937" s="10">
        <f>IF(CAS!$C$7="",0,(SUMIF(CAS!$B$31:$B$167,$J3937,CAS!$E$31:$E$167)*Impacts!$F$18))</f>
        <v>0</v>
      </c>
      <c r="W3937" s="10">
        <f t="shared" si="102"/>
        <v>0</v>
      </c>
      <c r="AK3937" s="10" t="str">
        <f t="array" ref="AK3937">IFERROR(INDEX(SelectedSpecies,SMALL(IF(SelectedSpecies=AK$1,ROW(SelectedSpecies)),ROW(3938:3938)),2),"")</f>
        <v/>
      </c>
      <c r="BE3937" s="10"/>
      <c r="BI3937" s="10"/>
    </row>
    <row r="3938" spans="1:61" ht="21" customHeight="1" x14ac:dyDescent="0.25">
      <c r="A3938" s="10"/>
      <c r="B3938" s="10"/>
      <c r="E3938" s="10"/>
      <c r="G3938" s="10"/>
      <c r="I3938" s="436" t="s">
        <v>4621</v>
      </c>
      <c r="J3938" s="26" t="s">
        <v>4620</v>
      </c>
      <c r="K3938" s="10">
        <v>4</v>
      </c>
      <c r="L3938" s="73">
        <f>IF(Tank1!$C$23="No control",(SUMIF(Tank1!$B$32:$B$49,$J3938,Tank1!$C$32:$C$49)*Impacts!$F$8),0)</f>
        <v>0</v>
      </c>
      <c r="M3938" s="10">
        <f>IF(Tank2!$C$23="No control",(SUMIF(Tank2!$B$32:$B$49,$J3938,Tank2!$C$32:$C$49)*Impacts!$F$9),0)</f>
        <v>0</v>
      </c>
      <c r="N3938" s="10">
        <f>IF(Tank3!$C$23="No control",(SUMIF(Tank3!$B$32:$B$49,$J3938,Tank3!$C$32:$C$49)*Impacts!$F$10),0)</f>
        <v>0</v>
      </c>
      <c r="O3938" s="10">
        <f>IF(Tank4!$C$23="No control",(SUMIF(Tank4!$B$32:$B$49,$J3938,Tank4!$C$32:$C$49)*Impacts!$F$11),0)</f>
        <v>0</v>
      </c>
      <c r="P3938" s="10">
        <f>IF(Tank5!$C$23="No control",(SUMIF(Tank5!$B$32:$B$49,$J3938,Tank5!$C$32:$C$49)*Impacts!$F$12),0)</f>
        <v>0</v>
      </c>
      <c r="Q3938" s="10">
        <f>IFERROR(IF(('Loading-drum,tote'!$C$21)="No control",SUMIF(('Loading-drum,tote'!$B$31:$B$48),$J3938,('Loading-drum,tote'!$D$31:$D$48))*Impacts!$F$13,IF(('Loading-drum,tote'!$C$21)&lt;&gt;"No control",SUMIF(('Loading-drum,tote'!$B$31:$B$48),$J3938,('Loading-drum,tote'!$E$31:$E$48))*Impacts!$F$13,0)),0)</f>
        <v>0</v>
      </c>
      <c r="R3938" s="10">
        <f>IFERROR(IF(('Loading-truck'!$C$21)="No control",SUMIF(('Loading-truck'!$B$31:$B$48),$J3938,('Loading-truck'!$D$31:$D$48))*Impacts!$F$14,IF(('Loading-truck'!$C$21)&lt;&gt;"No control",SUMIF(('Loading-truck'!$B$31:$B$48),$J3938,('Loading-truck'!$E$31:$E$48))*Impacts!$F$14,0)),0)</f>
        <v>0</v>
      </c>
      <c r="S3938" s="10">
        <f>IFERROR(IF(('Loading-rail'!$C$21)="No control",SUMIF(('Loading-rail'!$B$31:$B$48),$J3938,('Loading-rail'!$D$31:$D$48))*Impacts!$F$15,IF(('Loading-rail'!$C$21)&lt;&gt;"No control",SUMIF(('Loading-rail'!$B$31:$B$48),$J3938,('Loading-rail'!$E$31:$E$48))*Impacts!$F$15,0)),0)</f>
        <v>0</v>
      </c>
      <c r="T3938" s="10">
        <f>IF(Flare!$C$7="",0,(SUMIF(Flare!$B$46:$B$185,$J3938,Flare!$E$46:$E$185)*Impacts!$F$16))</f>
        <v>0</v>
      </c>
      <c r="U3938" s="10">
        <f>IF(VCU!$C$9="",0,(SUMIF(VCU!$B$51:$B$193,$J3938,VCU!$E$51:$E$193)*Impacts!$F$17))</f>
        <v>0</v>
      </c>
      <c r="V3938" s="10">
        <f>IF(CAS!$C$7="",0,(SUMIF(CAS!$B$31:$B$167,$J3938,CAS!$E$31:$E$167)*Impacts!$F$18))</f>
        <v>0</v>
      </c>
      <c r="W3938" s="10">
        <f t="shared" si="102"/>
        <v>0</v>
      </c>
      <c r="AK3938" s="10" t="str">
        <f t="array" ref="AK3938">IFERROR(INDEX(SelectedSpecies,SMALL(IF(SelectedSpecies=AK$1,ROW(SelectedSpecies)),ROW(3939:3939)),2),"")</f>
        <v/>
      </c>
      <c r="BE3938" s="10"/>
      <c r="BI3938" s="10"/>
    </row>
    <row r="3939" spans="1:61" ht="21" customHeight="1" x14ac:dyDescent="0.25">
      <c r="A3939" s="10"/>
      <c r="B3939" s="10"/>
      <c r="E3939" s="10"/>
      <c r="G3939" s="10"/>
      <c r="I3939" s="436" t="s">
        <v>6202</v>
      </c>
      <c r="J3939" s="26" t="s">
        <v>6201</v>
      </c>
      <c r="K3939" s="10">
        <v>1</v>
      </c>
      <c r="L3939" s="73">
        <f>IF(Tank1!$C$23="No control",(SUMIF(Tank1!$B$32:$B$49,$J3939,Tank1!$C$32:$C$49)*Impacts!$F$8),0)</f>
        <v>0</v>
      </c>
      <c r="M3939" s="10">
        <f>IF(Tank2!$C$23="No control",(SUMIF(Tank2!$B$32:$B$49,$J3939,Tank2!$C$32:$C$49)*Impacts!$F$9),0)</f>
        <v>0</v>
      </c>
      <c r="N3939" s="10">
        <f>IF(Tank3!$C$23="No control",(SUMIF(Tank3!$B$32:$B$49,$J3939,Tank3!$C$32:$C$49)*Impacts!$F$10),0)</f>
        <v>0</v>
      </c>
      <c r="O3939" s="10">
        <f>IF(Tank4!$C$23="No control",(SUMIF(Tank4!$B$32:$B$49,$J3939,Tank4!$C$32:$C$49)*Impacts!$F$11),0)</f>
        <v>0</v>
      </c>
      <c r="P3939" s="10">
        <f>IF(Tank5!$C$23="No control",(SUMIF(Tank5!$B$32:$B$49,$J3939,Tank5!$C$32:$C$49)*Impacts!$F$12),0)</f>
        <v>0</v>
      </c>
      <c r="Q3939" s="10">
        <f>IFERROR(IF(('Loading-drum,tote'!$C$21)="No control",SUMIF(('Loading-drum,tote'!$B$31:$B$48),$J3939,('Loading-drum,tote'!$D$31:$D$48))*Impacts!$F$13,IF(('Loading-drum,tote'!$C$21)&lt;&gt;"No control",SUMIF(('Loading-drum,tote'!$B$31:$B$48),$J3939,('Loading-drum,tote'!$E$31:$E$48))*Impacts!$F$13,0)),0)</f>
        <v>0</v>
      </c>
      <c r="R3939" s="10">
        <f>IFERROR(IF(('Loading-truck'!$C$21)="No control",SUMIF(('Loading-truck'!$B$31:$B$48),$J3939,('Loading-truck'!$D$31:$D$48))*Impacts!$F$14,IF(('Loading-truck'!$C$21)&lt;&gt;"No control",SUMIF(('Loading-truck'!$B$31:$B$48),$J3939,('Loading-truck'!$E$31:$E$48))*Impacts!$F$14,0)),0)</f>
        <v>0</v>
      </c>
      <c r="S3939" s="10">
        <f>IFERROR(IF(('Loading-rail'!$C$21)="No control",SUMIF(('Loading-rail'!$B$31:$B$48),$J3939,('Loading-rail'!$D$31:$D$48))*Impacts!$F$15,IF(('Loading-rail'!$C$21)&lt;&gt;"No control",SUMIF(('Loading-rail'!$B$31:$B$48),$J3939,('Loading-rail'!$E$31:$E$48))*Impacts!$F$15,0)),0)</f>
        <v>0</v>
      </c>
      <c r="T3939" s="10">
        <f>IF(Flare!$C$7="",0,(SUMIF(Flare!$B$46:$B$185,$J3939,Flare!$E$46:$E$185)*Impacts!$F$16))</f>
        <v>0</v>
      </c>
      <c r="U3939" s="10">
        <f>IF(VCU!$C$9="",0,(SUMIF(VCU!$B$51:$B$193,$J3939,VCU!$E$51:$E$193)*Impacts!$F$17))</f>
        <v>0</v>
      </c>
      <c r="V3939" s="10">
        <f>IF(CAS!$C$7="",0,(SUMIF(CAS!$B$31:$B$167,$J3939,CAS!$E$31:$E$167)*Impacts!$F$18))</f>
        <v>0</v>
      </c>
      <c r="W3939" s="10">
        <f t="shared" si="102"/>
        <v>0</v>
      </c>
      <c r="AK3939" s="10" t="str">
        <f t="array" ref="AK3939">IFERROR(INDEX(SelectedSpecies,SMALL(IF(SelectedSpecies=AK$1,ROW(SelectedSpecies)),ROW(3940:3940)),2),"")</f>
        <v/>
      </c>
      <c r="BE3939" s="10"/>
      <c r="BI3939" s="10"/>
    </row>
    <row r="3940" spans="1:61" ht="21" customHeight="1" x14ac:dyDescent="0.25">
      <c r="A3940" s="10"/>
      <c r="B3940" s="10"/>
      <c r="E3940" s="10"/>
      <c r="G3940" s="10"/>
      <c r="I3940" s="436" t="s">
        <v>7130</v>
      </c>
      <c r="J3940" s="26" t="s">
        <v>7129</v>
      </c>
      <c r="K3940" s="10">
        <v>0.4</v>
      </c>
      <c r="L3940" s="73">
        <f>IF(Tank1!$C$23="No control",(SUMIF(Tank1!$B$32:$B$49,$J3940,Tank1!$C$32:$C$49)*Impacts!$F$8),0)</f>
        <v>0</v>
      </c>
      <c r="M3940" s="10">
        <f>IF(Tank2!$C$23="No control",(SUMIF(Tank2!$B$32:$B$49,$J3940,Tank2!$C$32:$C$49)*Impacts!$F$9),0)</f>
        <v>0</v>
      </c>
      <c r="N3940" s="10">
        <f>IF(Tank3!$C$23="No control",(SUMIF(Tank3!$B$32:$B$49,$J3940,Tank3!$C$32:$C$49)*Impacts!$F$10),0)</f>
        <v>0</v>
      </c>
      <c r="O3940" s="10">
        <f>IF(Tank4!$C$23="No control",(SUMIF(Tank4!$B$32:$B$49,$J3940,Tank4!$C$32:$C$49)*Impacts!$F$11),0)</f>
        <v>0</v>
      </c>
      <c r="P3940" s="10">
        <f>IF(Tank5!$C$23="No control",(SUMIF(Tank5!$B$32:$B$49,$J3940,Tank5!$C$32:$C$49)*Impacts!$F$12),0)</f>
        <v>0</v>
      </c>
      <c r="Q3940" s="10">
        <f>IFERROR(IF(('Loading-drum,tote'!$C$21)="No control",SUMIF(('Loading-drum,tote'!$B$31:$B$48),$J3940,('Loading-drum,tote'!$D$31:$D$48))*Impacts!$F$13,IF(('Loading-drum,tote'!$C$21)&lt;&gt;"No control",SUMIF(('Loading-drum,tote'!$B$31:$B$48),$J3940,('Loading-drum,tote'!$E$31:$E$48))*Impacts!$F$13,0)),0)</f>
        <v>0</v>
      </c>
      <c r="R3940" s="10">
        <f>IFERROR(IF(('Loading-truck'!$C$21)="No control",SUMIF(('Loading-truck'!$B$31:$B$48),$J3940,('Loading-truck'!$D$31:$D$48))*Impacts!$F$14,IF(('Loading-truck'!$C$21)&lt;&gt;"No control",SUMIF(('Loading-truck'!$B$31:$B$48),$J3940,('Loading-truck'!$E$31:$E$48))*Impacts!$F$14,0)),0)</f>
        <v>0</v>
      </c>
      <c r="S3940" s="10">
        <f>IFERROR(IF(('Loading-rail'!$C$21)="No control",SUMIF(('Loading-rail'!$B$31:$B$48),$J3940,('Loading-rail'!$D$31:$D$48))*Impacts!$F$15,IF(('Loading-rail'!$C$21)&lt;&gt;"No control",SUMIF(('Loading-rail'!$B$31:$B$48),$J3940,('Loading-rail'!$E$31:$E$48))*Impacts!$F$15,0)),0)</f>
        <v>0</v>
      </c>
      <c r="T3940" s="10">
        <f>IF(Flare!$C$7="",0,(SUMIF(Flare!$B$46:$B$185,$J3940,Flare!$E$46:$E$185)*Impacts!$F$16))</f>
        <v>0</v>
      </c>
      <c r="U3940" s="10">
        <f>IF(VCU!$C$9="",0,(SUMIF(VCU!$B$51:$B$193,$J3940,VCU!$E$51:$E$193)*Impacts!$F$17))</f>
        <v>0</v>
      </c>
      <c r="V3940" s="10">
        <f>IF(CAS!$C$7="",0,(SUMIF(CAS!$B$31:$B$167,$J3940,CAS!$E$31:$E$167)*Impacts!$F$18))</f>
        <v>0</v>
      </c>
      <c r="W3940" s="10">
        <f t="shared" si="102"/>
        <v>0</v>
      </c>
      <c r="AK3940" s="10" t="str">
        <f t="array" ref="AK3940">IFERROR(INDEX(SelectedSpecies,SMALL(IF(SelectedSpecies=AK$1,ROW(SelectedSpecies)),ROW(3941:3941)),2),"")</f>
        <v/>
      </c>
      <c r="BE3940" s="10"/>
      <c r="BI3940" s="10"/>
    </row>
    <row r="3941" spans="1:61" ht="21" customHeight="1" x14ac:dyDescent="0.25">
      <c r="A3941" s="10"/>
      <c r="B3941" s="10"/>
      <c r="E3941" s="10"/>
      <c r="G3941" s="10"/>
      <c r="I3941" s="436" t="s">
        <v>3443</v>
      </c>
      <c r="J3941" s="26" t="s">
        <v>3442</v>
      </c>
      <c r="K3941" s="10">
        <v>10</v>
      </c>
      <c r="L3941" s="73">
        <f>IF(Tank1!$C$23="No control",(SUMIF(Tank1!$B$32:$B$49,$J3941,Tank1!$C$32:$C$49)*Impacts!$F$8),0)</f>
        <v>0</v>
      </c>
      <c r="M3941" s="10">
        <f>IF(Tank2!$C$23="No control",(SUMIF(Tank2!$B$32:$B$49,$J3941,Tank2!$C$32:$C$49)*Impacts!$F$9),0)</f>
        <v>0</v>
      </c>
      <c r="N3941" s="10">
        <f>IF(Tank3!$C$23="No control",(SUMIF(Tank3!$B$32:$B$49,$J3941,Tank3!$C$32:$C$49)*Impacts!$F$10),0)</f>
        <v>0</v>
      </c>
      <c r="O3941" s="10">
        <f>IF(Tank4!$C$23="No control",(SUMIF(Tank4!$B$32:$B$49,$J3941,Tank4!$C$32:$C$49)*Impacts!$F$11),0)</f>
        <v>0</v>
      </c>
      <c r="P3941" s="10">
        <f>IF(Tank5!$C$23="No control",(SUMIF(Tank5!$B$32:$B$49,$J3941,Tank5!$C$32:$C$49)*Impacts!$F$12),0)</f>
        <v>0</v>
      </c>
      <c r="Q3941" s="10">
        <f>IFERROR(IF(('Loading-drum,tote'!$C$21)="No control",SUMIF(('Loading-drum,tote'!$B$31:$B$48),$J3941,('Loading-drum,tote'!$D$31:$D$48))*Impacts!$F$13,IF(('Loading-drum,tote'!$C$21)&lt;&gt;"No control",SUMIF(('Loading-drum,tote'!$B$31:$B$48),$J3941,('Loading-drum,tote'!$E$31:$E$48))*Impacts!$F$13,0)),0)</f>
        <v>0</v>
      </c>
      <c r="R3941" s="10">
        <f>IFERROR(IF(('Loading-truck'!$C$21)="No control",SUMIF(('Loading-truck'!$B$31:$B$48),$J3941,('Loading-truck'!$D$31:$D$48))*Impacts!$F$14,IF(('Loading-truck'!$C$21)&lt;&gt;"No control",SUMIF(('Loading-truck'!$B$31:$B$48),$J3941,('Loading-truck'!$E$31:$E$48))*Impacts!$F$14,0)),0)</f>
        <v>0</v>
      </c>
      <c r="S3941" s="10">
        <f>IFERROR(IF(('Loading-rail'!$C$21)="No control",SUMIF(('Loading-rail'!$B$31:$B$48),$J3941,('Loading-rail'!$D$31:$D$48))*Impacts!$F$15,IF(('Loading-rail'!$C$21)&lt;&gt;"No control",SUMIF(('Loading-rail'!$B$31:$B$48),$J3941,('Loading-rail'!$E$31:$E$48))*Impacts!$F$15,0)),0)</f>
        <v>0</v>
      </c>
      <c r="T3941" s="10">
        <f>IF(Flare!$C$7="",0,(SUMIF(Flare!$B$46:$B$185,$J3941,Flare!$E$46:$E$185)*Impacts!$F$16))</f>
        <v>0</v>
      </c>
      <c r="U3941" s="10">
        <f>IF(VCU!$C$9="",0,(SUMIF(VCU!$B$51:$B$193,$J3941,VCU!$E$51:$E$193)*Impacts!$F$17))</f>
        <v>0</v>
      </c>
      <c r="V3941" s="10">
        <f>IF(CAS!$C$7="",0,(SUMIF(CAS!$B$31:$B$167,$J3941,CAS!$E$31:$E$167)*Impacts!$F$18))</f>
        <v>0</v>
      </c>
      <c r="W3941" s="10">
        <f t="shared" si="102"/>
        <v>0</v>
      </c>
      <c r="AK3941" s="10" t="str">
        <f t="array" ref="AK3941">IFERROR(INDEX(SelectedSpecies,SMALL(IF(SelectedSpecies=AK$1,ROW(SelectedSpecies)),ROW(3942:3942)),2),"")</f>
        <v/>
      </c>
      <c r="BE3941" s="10"/>
      <c r="BI3941" s="10"/>
    </row>
    <row r="3942" spans="1:61" ht="21" customHeight="1" x14ac:dyDescent="0.25">
      <c r="A3942" s="10"/>
      <c r="B3942" s="10"/>
      <c r="E3942" s="10"/>
      <c r="G3942" s="10"/>
      <c r="I3942" s="436" t="s">
        <v>1582</v>
      </c>
      <c r="J3942" s="26" t="s">
        <v>1581</v>
      </c>
      <c r="K3942" s="10">
        <v>27</v>
      </c>
      <c r="L3942" s="73">
        <f>IF(Tank1!$C$23="No control",(SUMIF(Tank1!$B$32:$B$49,$J3942,Tank1!$C$32:$C$49)*Impacts!$F$8),0)</f>
        <v>0</v>
      </c>
      <c r="M3942" s="10">
        <f>IF(Tank2!$C$23="No control",(SUMIF(Tank2!$B$32:$B$49,$J3942,Tank2!$C$32:$C$49)*Impacts!$F$9),0)</f>
        <v>0</v>
      </c>
      <c r="N3942" s="10">
        <f>IF(Tank3!$C$23="No control",(SUMIF(Tank3!$B$32:$B$49,$J3942,Tank3!$C$32:$C$49)*Impacts!$F$10),0)</f>
        <v>0</v>
      </c>
      <c r="O3942" s="10">
        <f>IF(Tank4!$C$23="No control",(SUMIF(Tank4!$B$32:$B$49,$J3942,Tank4!$C$32:$C$49)*Impacts!$F$11),0)</f>
        <v>0</v>
      </c>
      <c r="P3942" s="10">
        <f>IF(Tank5!$C$23="No control",(SUMIF(Tank5!$B$32:$B$49,$J3942,Tank5!$C$32:$C$49)*Impacts!$F$12),0)</f>
        <v>0</v>
      </c>
      <c r="Q3942" s="10">
        <f>IFERROR(IF(('Loading-drum,tote'!$C$21)="No control",SUMIF(('Loading-drum,tote'!$B$31:$B$48),$J3942,('Loading-drum,tote'!$D$31:$D$48))*Impacts!$F$13,IF(('Loading-drum,tote'!$C$21)&lt;&gt;"No control",SUMIF(('Loading-drum,tote'!$B$31:$B$48),$J3942,('Loading-drum,tote'!$E$31:$E$48))*Impacts!$F$13,0)),0)</f>
        <v>0</v>
      </c>
      <c r="R3942" s="10">
        <f>IFERROR(IF(('Loading-truck'!$C$21)="No control",SUMIF(('Loading-truck'!$B$31:$B$48),$J3942,('Loading-truck'!$D$31:$D$48))*Impacts!$F$14,IF(('Loading-truck'!$C$21)&lt;&gt;"No control",SUMIF(('Loading-truck'!$B$31:$B$48),$J3942,('Loading-truck'!$E$31:$E$48))*Impacts!$F$14,0)),0)</f>
        <v>0</v>
      </c>
      <c r="S3942" s="10">
        <f>IFERROR(IF(('Loading-rail'!$C$21)="No control",SUMIF(('Loading-rail'!$B$31:$B$48),$J3942,('Loading-rail'!$D$31:$D$48))*Impacts!$F$15,IF(('Loading-rail'!$C$21)&lt;&gt;"No control",SUMIF(('Loading-rail'!$B$31:$B$48),$J3942,('Loading-rail'!$E$31:$E$48))*Impacts!$F$15,0)),0)</f>
        <v>0</v>
      </c>
      <c r="T3942" s="10">
        <f>IF(Flare!$C$7="",0,(SUMIF(Flare!$B$46:$B$185,$J3942,Flare!$E$46:$E$185)*Impacts!$F$16))</f>
        <v>0</v>
      </c>
      <c r="U3942" s="10">
        <f>IF(VCU!$C$9="",0,(SUMIF(VCU!$B$51:$B$193,$J3942,VCU!$E$51:$E$193)*Impacts!$F$17))</f>
        <v>0</v>
      </c>
      <c r="V3942" s="10">
        <f>IF(CAS!$C$7="",0,(SUMIF(CAS!$B$31:$B$167,$J3942,CAS!$E$31:$E$167)*Impacts!$F$18))</f>
        <v>0</v>
      </c>
      <c r="W3942" s="10">
        <f t="shared" si="102"/>
        <v>0</v>
      </c>
      <c r="AK3942" s="10" t="str">
        <f t="array" ref="AK3942">IFERROR(INDEX(SelectedSpecies,SMALL(IF(SelectedSpecies=AK$1,ROW(SelectedSpecies)),ROW(3943:3943)),2),"")</f>
        <v/>
      </c>
      <c r="BE3942" s="10"/>
      <c r="BI3942" s="10"/>
    </row>
    <row r="3943" spans="1:61" ht="21" customHeight="1" x14ac:dyDescent="0.25">
      <c r="A3943" s="10"/>
      <c r="B3943" s="10"/>
      <c r="E3943" s="10"/>
      <c r="G3943" s="10"/>
      <c r="I3943" s="436" t="s">
        <v>1809</v>
      </c>
      <c r="J3943" s="26" t="s">
        <v>1808</v>
      </c>
      <c r="K3943" s="10">
        <v>22</v>
      </c>
      <c r="L3943" s="73">
        <f>IF(Tank1!$C$23="No control",(SUMIF(Tank1!$B$32:$B$49,$J3943,Tank1!$C$32:$C$49)*Impacts!$F$8),0)</f>
        <v>0</v>
      </c>
      <c r="M3943" s="10">
        <f>IF(Tank2!$C$23="No control",(SUMIF(Tank2!$B$32:$B$49,$J3943,Tank2!$C$32:$C$49)*Impacts!$F$9),0)</f>
        <v>0</v>
      </c>
      <c r="N3943" s="10">
        <f>IF(Tank3!$C$23="No control",(SUMIF(Tank3!$B$32:$B$49,$J3943,Tank3!$C$32:$C$49)*Impacts!$F$10),0)</f>
        <v>0</v>
      </c>
      <c r="O3943" s="10">
        <f>IF(Tank4!$C$23="No control",(SUMIF(Tank4!$B$32:$B$49,$J3943,Tank4!$C$32:$C$49)*Impacts!$F$11),0)</f>
        <v>0</v>
      </c>
      <c r="P3943" s="10">
        <f>IF(Tank5!$C$23="No control",(SUMIF(Tank5!$B$32:$B$49,$J3943,Tank5!$C$32:$C$49)*Impacts!$F$12),0)</f>
        <v>0</v>
      </c>
      <c r="Q3943" s="10">
        <f>IFERROR(IF(('Loading-drum,tote'!$C$21)="No control",SUMIF(('Loading-drum,tote'!$B$31:$B$48),$J3943,('Loading-drum,tote'!$D$31:$D$48))*Impacts!$F$13,IF(('Loading-drum,tote'!$C$21)&lt;&gt;"No control",SUMIF(('Loading-drum,tote'!$B$31:$B$48),$J3943,('Loading-drum,tote'!$E$31:$E$48))*Impacts!$F$13,0)),0)</f>
        <v>0</v>
      </c>
      <c r="R3943" s="10">
        <f>IFERROR(IF(('Loading-truck'!$C$21)="No control",SUMIF(('Loading-truck'!$B$31:$B$48),$J3943,('Loading-truck'!$D$31:$D$48))*Impacts!$F$14,IF(('Loading-truck'!$C$21)&lt;&gt;"No control",SUMIF(('Loading-truck'!$B$31:$B$48),$J3943,('Loading-truck'!$E$31:$E$48))*Impacts!$F$14,0)),0)</f>
        <v>0</v>
      </c>
      <c r="S3943" s="10">
        <f>IFERROR(IF(('Loading-rail'!$C$21)="No control",SUMIF(('Loading-rail'!$B$31:$B$48),$J3943,('Loading-rail'!$D$31:$D$48))*Impacts!$F$15,IF(('Loading-rail'!$C$21)&lt;&gt;"No control",SUMIF(('Loading-rail'!$B$31:$B$48),$J3943,('Loading-rail'!$E$31:$E$48))*Impacts!$F$15,0)),0)</f>
        <v>0</v>
      </c>
      <c r="T3943" s="10">
        <f>IF(Flare!$C$7="",0,(SUMIF(Flare!$B$46:$B$185,$J3943,Flare!$E$46:$E$185)*Impacts!$F$16))</f>
        <v>0</v>
      </c>
      <c r="U3943" s="10">
        <f>IF(VCU!$C$9="",0,(SUMIF(VCU!$B$51:$B$193,$J3943,VCU!$E$51:$E$193)*Impacts!$F$17))</f>
        <v>0</v>
      </c>
      <c r="V3943" s="10">
        <f>IF(CAS!$C$7="",0,(SUMIF(CAS!$B$31:$B$167,$J3943,CAS!$E$31:$E$167)*Impacts!$F$18))</f>
        <v>0</v>
      </c>
      <c r="W3943" s="10">
        <f t="shared" si="102"/>
        <v>0</v>
      </c>
      <c r="AK3943" s="10" t="str">
        <f t="array" ref="AK3943">IFERROR(INDEX(SelectedSpecies,SMALL(IF(SelectedSpecies=AK$1,ROW(SelectedSpecies)),ROW(3944:3944)),2),"")</f>
        <v/>
      </c>
      <c r="BE3943" s="10"/>
      <c r="BI3943" s="10"/>
    </row>
    <row r="3944" spans="1:61" ht="21" customHeight="1" x14ac:dyDescent="0.25">
      <c r="A3944" s="10"/>
      <c r="B3944" s="10"/>
      <c r="E3944" s="10"/>
      <c r="G3944" s="10"/>
      <c r="I3944" s="436" t="s">
        <v>8232</v>
      </c>
      <c r="J3944" s="26" t="s">
        <v>8231</v>
      </c>
      <c r="K3944" s="10">
        <v>1.0000000000000002E-2</v>
      </c>
      <c r="L3944" s="73">
        <f>IF(Tank1!$C$23="No control",(SUMIF(Tank1!$B$32:$B$49,$J3944,Tank1!$C$32:$C$49)*Impacts!$F$8),0)</f>
        <v>0</v>
      </c>
      <c r="M3944" s="10">
        <f>IF(Tank2!$C$23="No control",(SUMIF(Tank2!$B$32:$B$49,$J3944,Tank2!$C$32:$C$49)*Impacts!$F$9),0)</f>
        <v>0</v>
      </c>
      <c r="N3944" s="10">
        <f>IF(Tank3!$C$23="No control",(SUMIF(Tank3!$B$32:$B$49,$J3944,Tank3!$C$32:$C$49)*Impacts!$F$10),0)</f>
        <v>0</v>
      </c>
      <c r="O3944" s="10">
        <f>IF(Tank4!$C$23="No control",(SUMIF(Tank4!$B$32:$B$49,$J3944,Tank4!$C$32:$C$49)*Impacts!$F$11),0)</f>
        <v>0</v>
      </c>
      <c r="P3944" s="10">
        <f>IF(Tank5!$C$23="No control",(SUMIF(Tank5!$B$32:$B$49,$J3944,Tank5!$C$32:$C$49)*Impacts!$F$12),0)</f>
        <v>0</v>
      </c>
      <c r="Q3944" s="10">
        <f>IFERROR(IF(('Loading-drum,tote'!$C$21)="No control",SUMIF(('Loading-drum,tote'!$B$31:$B$48),$J3944,('Loading-drum,tote'!$D$31:$D$48))*Impacts!$F$13,IF(('Loading-drum,tote'!$C$21)&lt;&gt;"No control",SUMIF(('Loading-drum,tote'!$B$31:$B$48),$J3944,('Loading-drum,tote'!$E$31:$E$48))*Impacts!$F$13,0)),0)</f>
        <v>0</v>
      </c>
      <c r="R3944" s="10">
        <f>IFERROR(IF(('Loading-truck'!$C$21)="No control",SUMIF(('Loading-truck'!$B$31:$B$48),$J3944,('Loading-truck'!$D$31:$D$48))*Impacts!$F$14,IF(('Loading-truck'!$C$21)&lt;&gt;"No control",SUMIF(('Loading-truck'!$B$31:$B$48),$J3944,('Loading-truck'!$E$31:$E$48))*Impacts!$F$14,0)),0)</f>
        <v>0</v>
      </c>
      <c r="S3944" s="10">
        <f>IFERROR(IF(('Loading-rail'!$C$21)="No control",SUMIF(('Loading-rail'!$B$31:$B$48),$J3944,('Loading-rail'!$D$31:$D$48))*Impacts!$F$15,IF(('Loading-rail'!$C$21)&lt;&gt;"No control",SUMIF(('Loading-rail'!$B$31:$B$48),$J3944,('Loading-rail'!$E$31:$E$48))*Impacts!$F$15,0)),0)</f>
        <v>0</v>
      </c>
      <c r="T3944" s="10">
        <f>IF(Flare!$C$7="",0,(SUMIF(Flare!$B$46:$B$185,$J3944,Flare!$E$46:$E$185)*Impacts!$F$16))</f>
        <v>0</v>
      </c>
      <c r="U3944" s="10">
        <f>IF(VCU!$C$9="",0,(SUMIF(VCU!$B$51:$B$193,$J3944,VCU!$E$51:$E$193)*Impacts!$F$17))</f>
        <v>0</v>
      </c>
      <c r="V3944" s="10">
        <f>IF(CAS!$C$7="",0,(SUMIF(CAS!$B$31:$B$167,$J3944,CAS!$E$31:$E$167)*Impacts!$F$18))</f>
        <v>0</v>
      </c>
      <c r="W3944" s="10">
        <f t="shared" si="102"/>
        <v>0</v>
      </c>
      <c r="AK3944" s="10" t="str">
        <f t="array" ref="AK3944">IFERROR(INDEX(SelectedSpecies,SMALL(IF(SelectedSpecies=AK$1,ROW(SelectedSpecies)),ROW(3945:3945)),2),"")</f>
        <v/>
      </c>
      <c r="BE3944" s="10"/>
      <c r="BI3944" s="10"/>
    </row>
    <row r="3945" spans="1:61" ht="21" customHeight="1" x14ac:dyDescent="0.25">
      <c r="A3945" s="10"/>
      <c r="B3945" s="10"/>
      <c r="E3945" s="10"/>
      <c r="G3945" s="10"/>
      <c r="I3945" s="436" t="s">
        <v>1190</v>
      </c>
      <c r="J3945" s="26" t="s">
        <v>1189</v>
      </c>
      <c r="K3945" s="10">
        <v>35</v>
      </c>
      <c r="L3945" s="73">
        <f>IF(Tank1!$C$23="No control",(SUMIF(Tank1!$B$32:$B$49,$J3945,Tank1!$C$32:$C$49)*Impacts!$F$8),0)</f>
        <v>0</v>
      </c>
      <c r="M3945" s="10">
        <f>IF(Tank2!$C$23="No control",(SUMIF(Tank2!$B$32:$B$49,$J3945,Tank2!$C$32:$C$49)*Impacts!$F$9),0)</f>
        <v>0</v>
      </c>
      <c r="N3945" s="10">
        <f>IF(Tank3!$C$23="No control",(SUMIF(Tank3!$B$32:$B$49,$J3945,Tank3!$C$32:$C$49)*Impacts!$F$10),0)</f>
        <v>0</v>
      </c>
      <c r="O3945" s="10">
        <f>IF(Tank4!$C$23="No control",(SUMIF(Tank4!$B$32:$B$49,$J3945,Tank4!$C$32:$C$49)*Impacts!$F$11),0)</f>
        <v>0</v>
      </c>
      <c r="P3945" s="10">
        <f>IF(Tank5!$C$23="No control",(SUMIF(Tank5!$B$32:$B$49,$J3945,Tank5!$C$32:$C$49)*Impacts!$F$12),0)</f>
        <v>0</v>
      </c>
      <c r="Q3945" s="10">
        <f>IFERROR(IF(('Loading-drum,tote'!$C$21)="No control",SUMIF(('Loading-drum,tote'!$B$31:$B$48),$J3945,('Loading-drum,tote'!$D$31:$D$48))*Impacts!$F$13,IF(('Loading-drum,tote'!$C$21)&lt;&gt;"No control",SUMIF(('Loading-drum,tote'!$B$31:$B$48),$J3945,('Loading-drum,tote'!$E$31:$E$48))*Impacts!$F$13,0)),0)</f>
        <v>0</v>
      </c>
      <c r="R3945" s="10">
        <f>IFERROR(IF(('Loading-truck'!$C$21)="No control",SUMIF(('Loading-truck'!$B$31:$B$48),$J3945,('Loading-truck'!$D$31:$D$48))*Impacts!$F$14,IF(('Loading-truck'!$C$21)&lt;&gt;"No control",SUMIF(('Loading-truck'!$B$31:$B$48),$J3945,('Loading-truck'!$E$31:$E$48))*Impacts!$F$14,0)),0)</f>
        <v>0</v>
      </c>
      <c r="S3945" s="10">
        <f>IFERROR(IF(('Loading-rail'!$C$21)="No control",SUMIF(('Loading-rail'!$B$31:$B$48),$J3945,('Loading-rail'!$D$31:$D$48))*Impacts!$F$15,IF(('Loading-rail'!$C$21)&lt;&gt;"No control",SUMIF(('Loading-rail'!$B$31:$B$48),$J3945,('Loading-rail'!$E$31:$E$48))*Impacts!$F$15,0)),0)</f>
        <v>0</v>
      </c>
      <c r="T3945" s="10">
        <f>IF(Flare!$C$7="",0,(SUMIF(Flare!$B$46:$B$185,$J3945,Flare!$E$46:$E$185)*Impacts!$F$16))</f>
        <v>0</v>
      </c>
      <c r="U3945" s="10">
        <f>IF(VCU!$C$9="",0,(SUMIF(VCU!$B$51:$B$193,$J3945,VCU!$E$51:$E$193)*Impacts!$F$17))</f>
        <v>0</v>
      </c>
      <c r="V3945" s="10">
        <f>IF(CAS!$C$7="",0,(SUMIF(CAS!$B$31:$B$167,$J3945,CAS!$E$31:$E$167)*Impacts!$F$18))</f>
        <v>0</v>
      </c>
      <c r="W3945" s="10">
        <f t="shared" si="102"/>
        <v>0</v>
      </c>
      <c r="AK3945" s="10" t="str">
        <f t="array" ref="AK3945">IFERROR(INDEX(SelectedSpecies,SMALL(IF(SelectedSpecies=AK$1,ROW(SelectedSpecies)),ROW(3946:3946)),2),"")</f>
        <v/>
      </c>
      <c r="BE3945" s="10"/>
      <c r="BI3945" s="10"/>
    </row>
    <row r="3946" spans="1:61" ht="21" customHeight="1" x14ac:dyDescent="0.25">
      <c r="A3946" s="10"/>
      <c r="B3946" s="10"/>
      <c r="E3946" s="10"/>
      <c r="G3946" s="10"/>
      <c r="I3946" s="436" t="s">
        <v>7562</v>
      </c>
      <c r="J3946" s="26" t="s">
        <v>7561</v>
      </c>
      <c r="K3946" s="10">
        <v>0.2</v>
      </c>
      <c r="L3946" s="73">
        <f>IF(Tank1!$C$23="No control",(SUMIF(Tank1!$B$32:$B$49,$J3946,Tank1!$C$32:$C$49)*Impacts!$F$8),0)</f>
        <v>0</v>
      </c>
      <c r="M3946" s="10">
        <f>IF(Tank2!$C$23="No control",(SUMIF(Tank2!$B$32:$B$49,$J3946,Tank2!$C$32:$C$49)*Impacts!$F$9),0)</f>
        <v>0</v>
      </c>
      <c r="N3946" s="10">
        <f>IF(Tank3!$C$23="No control",(SUMIF(Tank3!$B$32:$B$49,$J3946,Tank3!$C$32:$C$49)*Impacts!$F$10),0)</f>
        <v>0</v>
      </c>
      <c r="O3946" s="10">
        <f>IF(Tank4!$C$23="No control",(SUMIF(Tank4!$B$32:$B$49,$J3946,Tank4!$C$32:$C$49)*Impacts!$F$11),0)</f>
        <v>0</v>
      </c>
      <c r="P3946" s="10">
        <f>IF(Tank5!$C$23="No control",(SUMIF(Tank5!$B$32:$B$49,$J3946,Tank5!$C$32:$C$49)*Impacts!$F$12),0)</f>
        <v>0</v>
      </c>
      <c r="Q3946" s="10">
        <f>IFERROR(IF(('Loading-drum,tote'!$C$21)="No control",SUMIF(('Loading-drum,tote'!$B$31:$B$48),$J3946,('Loading-drum,tote'!$D$31:$D$48))*Impacts!$F$13,IF(('Loading-drum,tote'!$C$21)&lt;&gt;"No control",SUMIF(('Loading-drum,tote'!$B$31:$B$48),$J3946,('Loading-drum,tote'!$E$31:$E$48))*Impacts!$F$13,0)),0)</f>
        <v>0</v>
      </c>
      <c r="R3946" s="10">
        <f>IFERROR(IF(('Loading-truck'!$C$21)="No control",SUMIF(('Loading-truck'!$B$31:$B$48),$J3946,('Loading-truck'!$D$31:$D$48))*Impacts!$F$14,IF(('Loading-truck'!$C$21)&lt;&gt;"No control",SUMIF(('Loading-truck'!$B$31:$B$48),$J3946,('Loading-truck'!$E$31:$E$48))*Impacts!$F$14,0)),0)</f>
        <v>0</v>
      </c>
      <c r="S3946" s="10">
        <f>IFERROR(IF(('Loading-rail'!$C$21)="No control",SUMIF(('Loading-rail'!$B$31:$B$48),$J3946,('Loading-rail'!$D$31:$D$48))*Impacts!$F$15,IF(('Loading-rail'!$C$21)&lt;&gt;"No control",SUMIF(('Loading-rail'!$B$31:$B$48),$J3946,('Loading-rail'!$E$31:$E$48))*Impacts!$F$15,0)),0)</f>
        <v>0</v>
      </c>
      <c r="T3946" s="10">
        <f>IF(Flare!$C$7="",0,(SUMIF(Flare!$B$46:$B$185,$J3946,Flare!$E$46:$E$185)*Impacts!$F$16))</f>
        <v>0</v>
      </c>
      <c r="U3946" s="10">
        <f>IF(VCU!$C$9="",0,(SUMIF(VCU!$B$51:$B$193,$J3946,VCU!$E$51:$E$193)*Impacts!$F$17))</f>
        <v>0</v>
      </c>
      <c r="V3946" s="10">
        <f>IF(CAS!$C$7="",0,(SUMIF(CAS!$B$31:$B$167,$J3946,CAS!$E$31:$E$167)*Impacts!$F$18))</f>
        <v>0</v>
      </c>
      <c r="W3946" s="10">
        <f t="shared" si="102"/>
        <v>0</v>
      </c>
      <c r="AK3946" s="10" t="str">
        <f t="array" ref="AK3946">IFERROR(INDEX(SelectedSpecies,SMALL(IF(SelectedSpecies=AK$1,ROW(SelectedSpecies)),ROW(3947:3947)),2),"")</f>
        <v/>
      </c>
      <c r="BE3946" s="10"/>
      <c r="BI3946" s="10"/>
    </row>
    <row r="3947" spans="1:61" ht="21" customHeight="1" x14ac:dyDescent="0.25">
      <c r="A3947" s="10"/>
      <c r="B3947" s="10"/>
      <c r="E3947" s="10"/>
      <c r="G3947" s="10"/>
      <c r="I3947" s="436" t="s">
        <v>3445</v>
      </c>
      <c r="J3947" s="26" t="s">
        <v>3444</v>
      </c>
      <c r="K3947" s="10">
        <v>10</v>
      </c>
      <c r="L3947" s="73">
        <f>IF(Tank1!$C$23="No control",(SUMIF(Tank1!$B$32:$B$49,$J3947,Tank1!$C$32:$C$49)*Impacts!$F$8),0)</f>
        <v>0</v>
      </c>
      <c r="M3947" s="10">
        <f>IF(Tank2!$C$23="No control",(SUMIF(Tank2!$B$32:$B$49,$J3947,Tank2!$C$32:$C$49)*Impacts!$F$9),0)</f>
        <v>0</v>
      </c>
      <c r="N3947" s="10">
        <f>IF(Tank3!$C$23="No control",(SUMIF(Tank3!$B$32:$B$49,$J3947,Tank3!$C$32:$C$49)*Impacts!$F$10),0)</f>
        <v>0</v>
      </c>
      <c r="O3947" s="10">
        <f>IF(Tank4!$C$23="No control",(SUMIF(Tank4!$B$32:$B$49,$J3947,Tank4!$C$32:$C$49)*Impacts!$F$11),0)</f>
        <v>0</v>
      </c>
      <c r="P3947" s="10">
        <f>IF(Tank5!$C$23="No control",(SUMIF(Tank5!$B$32:$B$49,$J3947,Tank5!$C$32:$C$49)*Impacts!$F$12),0)</f>
        <v>0</v>
      </c>
      <c r="Q3947" s="10">
        <f>IFERROR(IF(('Loading-drum,tote'!$C$21)="No control",SUMIF(('Loading-drum,tote'!$B$31:$B$48),$J3947,('Loading-drum,tote'!$D$31:$D$48))*Impacts!$F$13,IF(('Loading-drum,tote'!$C$21)&lt;&gt;"No control",SUMIF(('Loading-drum,tote'!$B$31:$B$48),$J3947,('Loading-drum,tote'!$E$31:$E$48))*Impacts!$F$13,0)),0)</f>
        <v>0</v>
      </c>
      <c r="R3947" s="10">
        <f>IFERROR(IF(('Loading-truck'!$C$21)="No control",SUMIF(('Loading-truck'!$B$31:$B$48),$J3947,('Loading-truck'!$D$31:$D$48))*Impacts!$F$14,IF(('Loading-truck'!$C$21)&lt;&gt;"No control",SUMIF(('Loading-truck'!$B$31:$B$48),$J3947,('Loading-truck'!$E$31:$E$48))*Impacts!$F$14,0)),0)</f>
        <v>0</v>
      </c>
      <c r="S3947" s="10">
        <f>IFERROR(IF(('Loading-rail'!$C$21)="No control",SUMIF(('Loading-rail'!$B$31:$B$48),$J3947,('Loading-rail'!$D$31:$D$48))*Impacts!$F$15,IF(('Loading-rail'!$C$21)&lt;&gt;"No control",SUMIF(('Loading-rail'!$B$31:$B$48),$J3947,('Loading-rail'!$E$31:$E$48))*Impacts!$F$15,0)),0)</f>
        <v>0</v>
      </c>
      <c r="T3947" s="10">
        <f>IF(Flare!$C$7="",0,(SUMIF(Flare!$B$46:$B$185,$J3947,Flare!$E$46:$E$185)*Impacts!$F$16))</f>
        <v>0</v>
      </c>
      <c r="U3947" s="10">
        <f>IF(VCU!$C$9="",0,(SUMIF(VCU!$B$51:$B$193,$J3947,VCU!$E$51:$E$193)*Impacts!$F$17))</f>
        <v>0</v>
      </c>
      <c r="V3947" s="10">
        <f>IF(CAS!$C$7="",0,(SUMIF(CAS!$B$31:$B$167,$J3947,CAS!$E$31:$E$167)*Impacts!$F$18))</f>
        <v>0</v>
      </c>
      <c r="W3947" s="10">
        <f t="shared" si="102"/>
        <v>0</v>
      </c>
      <c r="AK3947" s="10" t="str">
        <f t="array" ref="AK3947">IFERROR(INDEX(SelectedSpecies,SMALL(IF(SelectedSpecies=AK$1,ROW(SelectedSpecies)),ROW(3948:3948)),2),"")</f>
        <v/>
      </c>
      <c r="BE3947" s="10"/>
      <c r="BI3947" s="10"/>
    </row>
    <row r="3948" spans="1:61" ht="21" customHeight="1" x14ac:dyDescent="0.25">
      <c r="A3948" s="10"/>
      <c r="B3948" s="10"/>
      <c r="E3948" s="10"/>
      <c r="G3948" s="10"/>
      <c r="I3948" s="436" t="s">
        <v>1192</v>
      </c>
      <c r="J3948" s="26" t="s">
        <v>1191</v>
      </c>
      <c r="K3948" s="10">
        <v>35</v>
      </c>
      <c r="L3948" s="73">
        <f>IF(Tank1!$C$23="No control",(SUMIF(Tank1!$B$32:$B$49,$J3948,Tank1!$C$32:$C$49)*Impacts!$F$8),0)</f>
        <v>0</v>
      </c>
      <c r="M3948" s="10">
        <f>IF(Tank2!$C$23="No control",(SUMIF(Tank2!$B$32:$B$49,$J3948,Tank2!$C$32:$C$49)*Impacts!$F$9),0)</f>
        <v>0</v>
      </c>
      <c r="N3948" s="10">
        <f>IF(Tank3!$C$23="No control",(SUMIF(Tank3!$B$32:$B$49,$J3948,Tank3!$C$32:$C$49)*Impacts!$F$10),0)</f>
        <v>0</v>
      </c>
      <c r="O3948" s="10">
        <f>IF(Tank4!$C$23="No control",(SUMIF(Tank4!$B$32:$B$49,$J3948,Tank4!$C$32:$C$49)*Impacts!$F$11),0)</f>
        <v>0</v>
      </c>
      <c r="P3948" s="10">
        <f>IF(Tank5!$C$23="No control",(SUMIF(Tank5!$B$32:$B$49,$J3948,Tank5!$C$32:$C$49)*Impacts!$F$12),0)</f>
        <v>0</v>
      </c>
      <c r="Q3948" s="10">
        <f>IFERROR(IF(('Loading-drum,tote'!$C$21)="No control",SUMIF(('Loading-drum,tote'!$B$31:$B$48),$J3948,('Loading-drum,tote'!$D$31:$D$48))*Impacts!$F$13,IF(('Loading-drum,tote'!$C$21)&lt;&gt;"No control",SUMIF(('Loading-drum,tote'!$B$31:$B$48),$J3948,('Loading-drum,tote'!$E$31:$E$48))*Impacts!$F$13,0)),0)</f>
        <v>0</v>
      </c>
      <c r="R3948" s="10">
        <f>IFERROR(IF(('Loading-truck'!$C$21)="No control",SUMIF(('Loading-truck'!$B$31:$B$48),$J3948,('Loading-truck'!$D$31:$D$48))*Impacts!$F$14,IF(('Loading-truck'!$C$21)&lt;&gt;"No control",SUMIF(('Loading-truck'!$B$31:$B$48),$J3948,('Loading-truck'!$E$31:$E$48))*Impacts!$F$14,0)),0)</f>
        <v>0</v>
      </c>
      <c r="S3948" s="10">
        <f>IFERROR(IF(('Loading-rail'!$C$21)="No control",SUMIF(('Loading-rail'!$B$31:$B$48),$J3948,('Loading-rail'!$D$31:$D$48))*Impacts!$F$15,IF(('Loading-rail'!$C$21)&lt;&gt;"No control",SUMIF(('Loading-rail'!$B$31:$B$48),$J3948,('Loading-rail'!$E$31:$E$48))*Impacts!$F$15,0)),0)</f>
        <v>0</v>
      </c>
      <c r="T3948" s="10">
        <f>IF(Flare!$C$7="",0,(SUMIF(Flare!$B$46:$B$185,$J3948,Flare!$E$46:$E$185)*Impacts!$F$16))</f>
        <v>0</v>
      </c>
      <c r="U3948" s="10">
        <f>IF(VCU!$C$9="",0,(SUMIF(VCU!$B$51:$B$193,$J3948,VCU!$E$51:$E$193)*Impacts!$F$17))</f>
        <v>0</v>
      </c>
      <c r="V3948" s="10">
        <f>IF(CAS!$C$7="",0,(SUMIF(CAS!$B$31:$B$167,$J3948,CAS!$E$31:$E$167)*Impacts!$F$18))</f>
        <v>0</v>
      </c>
      <c r="W3948" s="10">
        <f t="shared" si="102"/>
        <v>0</v>
      </c>
      <c r="AK3948" s="10" t="str">
        <f t="array" ref="AK3948">IFERROR(INDEX(SelectedSpecies,SMALL(IF(SelectedSpecies=AK$1,ROW(SelectedSpecies)),ROW(3949:3949)),2),"")</f>
        <v/>
      </c>
      <c r="BE3948" s="10"/>
      <c r="BI3948" s="10"/>
    </row>
    <row r="3949" spans="1:61" ht="21" customHeight="1" x14ac:dyDescent="0.25">
      <c r="A3949" s="10"/>
      <c r="B3949" s="10"/>
      <c r="E3949" s="10"/>
      <c r="G3949" s="10"/>
      <c r="I3949" s="436" t="s">
        <v>1194</v>
      </c>
      <c r="J3949" s="26" t="s">
        <v>1193</v>
      </c>
      <c r="K3949" s="10">
        <v>35</v>
      </c>
      <c r="L3949" s="73">
        <f>IF(Tank1!$C$23="No control",(SUMIF(Tank1!$B$32:$B$49,$J3949,Tank1!$C$32:$C$49)*Impacts!$F$8),0)</f>
        <v>0</v>
      </c>
      <c r="M3949" s="10">
        <f>IF(Tank2!$C$23="No control",(SUMIF(Tank2!$B$32:$B$49,$J3949,Tank2!$C$32:$C$49)*Impacts!$F$9),0)</f>
        <v>0</v>
      </c>
      <c r="N3949" s="10">
        <f>IF(Tank3!$C$23="No control",(SUMIF(Tank3!$B$32:$B$49,$J3949,Tank3!$C$32:$C$49)*Impacts!$F$10),0)</f>
        <v>0</v>
      </c>
      <c r="O3949" s="10">
        <f>IF(Tank4!$C$23="No control",(SUMIF(Tank4!$B$32:$B$49,$J3949,Tank4!$C$32:$C$49)*Impacts!$F$11),0)</f>
        <v>0</v>
      </c>
      <c r="P3949" s="10">
        <f>IF(Tank5!$C$23="No control",(SUMIF(Tank5!$B$32:$B$49,$J3949,Tank5!$C$32:$C$49)*Impacts!$F$12),0)</f>
        <v>0</v>
      </c>
      <c r="Q3949" s="10">
        <f>IFERROR(IF(('Loading-drum,tote'!$C$21)="No control",SUMIF(('Loading-drum,tote'!$B$31:$B$48),$J3949,('Loading-drum,tote'!$D$31:$D$48))*Impacts!$F$13,IF(('Loading-drum,tote'!$C$21)&lt;&gt;"No control",SUMIF(('Loading-drum,tote'!$B$31:$B$48),$J3949,('Loading-drum,tote'!$E$31:$E$48))*Impacts!$F$13,0)),0)</f>
        <v>0</v>
      </c>
      <c r="R3949" s="10">
        <f>IFERROR(IF(('Loading-truck'!$C$21)="No control",SUMIF(('Loading-truck'!$B$31:$B$48),$J3949,('Loading-truck'!$D$31:$D$48))*Impacts!$F$14,IF(('Loading-truck'!$C$21)&lt;&gt;"No control",SUMIF(('Loading-truck'!$B$31:$B$48),$J3949,('Loading-truck'!$E$31:$E$48))*Impacts!$F$14,0)),0)</f>
        <v>0</v>
      </c>
      <c r="S3949" s="10">
        <f>IFERROR(IF(('Loading-rail'!$C$21)="No control",SUMIF(('Loading-rail'!$B$31:$B$48),$J3949,('Loading-rail'!$D$31:$D$48))*Impacts!$F$15,IF(('Loading-rail'!$C$21)&lt;&gt;"No control",SUMIF(('Loading-rail'!$B$31:$B$48),$J3949,('Loading-rail'!$E$31:$E$48))*Impacts!$F$15,0)),0)</f>
        <v>0</v>
      </c>
      <c r="T3949" s="10">
        <f>IF(Flare!$C$7="",0,(SUMIF(Flare!$B$46:$B$185,$J3949,Flare!$E$46:$E$185)*Impacts!$F$16))</f>
        <v>0</v>
      </c>
      <c r="U3949" s="10">
        <f>IF(VCU!$C$9="",0,(SUMIF(VCU!$B$51:$B$193,$J3949,VCU!$E$51:$E$193)*Impacts!$F$17))</f>
        <v>0</v>
      </c>
      <c r="V3949" s="10">
        <f>IF(CAS!$C$7="",0,(SUMIF(CAS!$B$31:$B$167,$J3949,CAS!$E$31:$E$167)*Impacts!$F$18))</f>
        <v>0</v>
      </c>
      <c r="W3949" s="10">
        <f t="shared" si="102"/>
        <v>0</v>
      </c>
      <c r="AK3949" s="10" t="str">
        <f t="array" ref="AK3949">IFERROR(INDEX(SelectedSpecies,SMALL(IF(SelectedSpecies=AK$1,ROW(SelectedSpecies)),ROW(3950:3950)),2),"")</f>
        <v/>
      </c>
      <c r="BE3949" s="10"/>
      <c r="BI3949" s="10"/>
    </row>
    <row r="3950" spans="1:61" ht="21" customHeight="1" x14ac:dyDescent="0.25">
      <c r="A3950" s="10"/>
      <c r="B3950" s="10"/>
      <c r="E3950" s="10"/>
      <c r="G3950" s="10"/>
      <c r="I3950" s="436" t="s">
        <v>309</v>
      </c>
      <c r="J3950" s="26" t="s">
        <v>308</v>
      </c>
      <c r="K3950" s="10">
        <v>710</v>
      </c>
      <c r="L3950" s="73">
        <f>IF(Tank1!$C$23="No control",(SUMIF(Tank1!$B$32:$B$49,$J3950,Tank1!$C$32:$C$49)*Impacts!$F$8),0)</f>
        <v>0</v>
      </c>
      <c r="M3950" s="10">
        <f>IF(Tank2!$C$23="No control",(SUMIF(Tank2!$B$32:$B$49,$J3950,Tank2!$C$32:$C$49)*Impacts!$F$9),0)</f>
        <v>0</v>
      </c>
      <c r="N3950" s="10">
        <f>IF(Tank3!$C$23="No control",(SUMIF(Tank3!$B$32:$B$49,$J3950,Tank3!$C$32:$C$49)*Impacts!$F$10),0)</f>
        <v>0</v>
      </c>
      <c r="O3950" s="10">
        <f>IF(Tank4!$C$23="No control",(SUMIF(Tank4!$B$32:$B$49,$J3950,Tank4!$C$32:$C$49)*Impacts!$F$11),0)</f>
        <v>0</v>
      </c>
      <c r="P3950" s="10">
        <f>IF(Tank5!$C$23="No control",(SUMIF(Tank5!$B$32:$B$49,$J3950,Tank5!$C$32:$C$49)*Impacts!$F$12),0)</f>
        <v>0</v>
      </c>
      <c r="Q3950" s="10">
        <f>IFERROR(IF(('Loading-drum,tote'!$C$21)="No control",SUMIF(('Loading-drum,tote'!$B$31:$B$48),$J3950,('Loading-drum,tote'!$D$31:$D$48))*Impacts!$F$13,IF(('Loading-drum,tote'!$C$21)&lt;&gt;"No control",SUMIF(('Loading-drum,tote'!$B$31:$B$48),$J3950,('Loading-drum,tote'!$E$31:$E$48))*Impacts!$F$13,0)),0)</f>
        <v>0</v>
      </c>
      <c r="R3950" s="10">
        <f>IFERROR(IF(('Loading-truck'!$C$21)="No control",SUMIF(('Loading-truck'!$B$31:$B$48),$J3950,('Loading-truck'!$D$31:$D$48))*Impacts!$F$14,IF(('Loading-truck'!$C$21)&lt;&gt;"No control",SUMIF(('Loading-truck'!$B$31:$B$48),$J3950,('Loading-truck'!$E$31:$E$48))*Impacts!$F$14,0)),0)</f>
        <v>0</v>
      </c>
      <c r="S3950" s="10">
        <f>IFERROR(IF(('Loading-rail'!$C$21)="No control",SUMIF(('Loading-rail'!$B$31:$B$48),$J3950,('Loading-rail'!$D$31:$D$48))*Impacts!$F$15,IF(('Loading-rail'!$C$21)&lt;&gt;"No control",SUMIF(('Loading-rail'!$B$31:$B$48),$J3950,('Loading-rail'!$E$31:$E$48))*Impacts!$F$15,0)),0)</f>
        <v>0</v>
      </c>
      <c r="T3950" s="10">
        <f>IF(Flare!$C$7="",0,(SUMIF(Flare!$B$46:$B$185,$J3950,Flare!$E$46:$E$185)*Impacts!$F$16))</f>
        <v>0</v>
      </c>
      <c r="U3950" s="10">
        <f>IF(VCU!$C$9="",0,(SUMIF(VCU!$B$51:$B$193,$J3950,VCU!$E$51:$E$193)*Impacts!$F$17))</f>
        <v>0</v>
      </c>
      <c r="V3950" s="10">
        <f>IF(CAS!$C$7="",0,(SUMIF(CAS!$B$31:$B$167,$J3950,CAS!$E$31:$E$167)*Impacts!$F$18))</f>
        <v>0</v>
      </c>
      <c r="W3950" s="10">
        <f t="shared" si="102"/>
        <v>0</v>
      </c>
      <c r="AK3950" s="10" t="str">
        <f t="array" ref="AK3950">IFERROR(INDEX(SelectedSpecies,SMALL(IF(SelectedSpecies=AK$1,ROW(SelectedSpecies)),ROW(3951:3951)),2),"")</f>
        <v/>
      </c>
      <c r="BE3950" s="10"/>
      <c r="BI3950" s="10"/>
    </row>
    <row r="3951" spans="1:61" ht="21" customHeight="1" x14ac:dyDescent="0.25">
      <c r="A3951" s="10"/>
      <c r="B3951" s="10"/>
      <c r="E3951" s="10"/>
      <c r="G3951" s="10"/>
      <c r="I3951" s="436" t="s">
        <v>3691</v>
      </c>
      <c r="J3951" s="26" t="s">
        <v>3690</v>
      </c>
      <c r="K3951" s="10">
        <v>7</v>
      </c>
      <c r="L3951" s="73">
        <f>IF(Tank1!$C$23="No control",(SUMIF(Tank1!$B$32:$B$49,$J3951,Tank1!$C$32:$C$49)*Impacts!$F$8),0)</f>
        <v>0</v>
      </c>
      <c r="M3951" s="10">
        <f>IF(Tank2!$C$23="No control",(SUMIF(Tank2!$B$32:$B$49,$J3951,Tank2!$C$32:$C$49)*Impacts!$F$9),0)</f>
        <v>0</v>
      </c>
      <c r="N3951" s="10">
        <f>IF(Tank3!$C$23="No control",(SUMIF(Tank3!$B$32:$B$49,$J3951,Tank3!$C$32:$C$49)*Impacts!$F$10),0)</f>
        <v>0</v>
      </c>
      <c r="O3951" s="10">
        <f>IF(Tank4!$C$23="No control",(SUMIF(Tank4!$B$32:$B$49,$J3951,Tank4!$C$32:$C$49)*Impacts!$F$11),0)</f>
        <v>0</v>
      </c>
      <c r="P3951" s="10">
        <f>IF(Tank5!$C$23="No control",(SUMIF(Tank5!$B$32:$B$49,$J3951,Tank5!$C$32:$C$49)*Impacts!$F$12),0)</f>
        <v>0</v>
      </c>
      <c r="Q3951" s="10">
        <f>IFERROR(IF(('Loading-drum,tote'!$C$21)="No control",SUMIF(('Loading-drum,tote'!$B$31:$B$48),$J3951,('Loading-drum,tote'!$D$31:$D$48))*Impacts!$F$13,IF(('Loading-drum,tote'!$C$21)&lt;&gt;"No control",SUMIF(('Loading-drum,tote'!$B$31:$B$48),$J3951,('Loading-drum,tote'!$E$31:$E$48))*Impacts!$F$13,0)),0)</f>
        <v>0</v>
      </c>
      <c r="R3951" s="10">
        <f>IFERROR(IF(('Loading-truck'!$C$21)="No control",SUMIF(('Loading-truck'!$B$31:$B$48),$J3951,('Loading-truck'!$D$31:$D$48))*Impacts!$F$14,IF(('Loading-truck'!$C$21)&lt;&gt;"No control",SUMIF(('Loading-truck'!$B$31:$B$48),$J3951,('Loading-truck'!$E$31:$E$48))*Impacts!$F$14,0)),0)</f>
        <v>0</v>
      </c>
      <c r="S3951" s="10">
        <f>IFERROR(IF(('Loading-rail'!$C$21)="No control",SUMIF(('Loading-rail'!$B$31:$B$48),$J3951,('Loading-rail'!$D$31:$D$48))*Impacts!$F$15,IF(('Loading-rail'!$C$21)&lt;&gt;"No control",SUMIF(('Loading-rail'!$B$31:$B$48),$J3951,('Loading-rail'!$E$31:$E$48))*Impacts!$F$15,0)),0)</f>
        <v>0</v>
      </c>
      <c r="T3951" s="10">
        <f>IF(Flare!$C$7="",0,(SUMIF(Flare!$B$46:$B$185,$J3951,Flare!$E$46:$E$185)*Impacts!$F$16))</f>
        <v>0</v>
      </c>
      <c r="U3951" s="10">
        <f>IF(VCU!$C$9="",0,(SUMIF(VCU!$B$51:$B$193,$J3951,VCU!$E$51:$E$193)*Impacts!$F$17))</f>
        <v>0</v>
      </c>
      <c r="V3951" s="10">
        <f>IF(CAS!$C$7="",0,(SUMIF(CAS!$B$31:$B$167,$J3951,CAS!$E$31:$E$167)*Impacts!$F$18))</f>
        <v>0</v>
      </c>
      <c r="W3951" s="10">
        <f t="shared" si="102"/>
        <v>0</v>
      </c>
      <c r="AK3951" s="10" t="str">
        <f t="array" ref="AK3951">IFERROR(INDEX(SelectedSpecies,SMALL(IF(SelectedSpecies=AK$1,ROW(SelectedSpecies)),ROW(3952:3952)),2),"")</f>
        <v/>
      </c>
      <c r="BE3951" s="10"/>
      <c r="BI3951" s="10"/>
    </row>
    <row r="3952" spans="1:61" ht="21" customHeight="1" x14ac:dyDescent="0.25">
      <c r="A3952" s="10"/>
      <c r="B3952" s="10"/>
      <c r="E3952" s="10"/>
      <c r="G3952" s="10"/>
      <c r="I3952" s="436" t="s">
        <v>1897</v>
      </c>
      <c r="J3952" s="26" t="s">
        <v>1896</v>
      </c>
      <c r="K3952" s="10">
        <v>20</v>
      </c>
      <c r="L3952" s="73">
        <f>IF(Tank1!$C$23="No control",(SUMIF(Tank1!$B$32:$B$49,$J3952,Tank1!$C$32:$C$49)*Impacts!$F$8),0)</f>
        <v>0</v>
      </c>
      <c r="M3952" s="10">
        <f>IF(Tank2!$C$23="No control",(SUMIF(Tank2!$B$32:$B$49,$J3952,Tank2!$C$32:$C$49)*Impacts!$F$9),0)</f>
        <v>0</v>
      </c>
      <c r="N3952" s="10">
        <f>IF(Tank3!$C$23="No control",(SUMIF(Tank3!$B$32:$B$49,$J3952,Tank3!$C$32:$C$49)*Impacts!$F$10),0)</f>
        <v>0</v>
      </c>
      <c r="O3952" s="10">
        <f>IF(Tank4!$C$23="No control",(SUMIF(Tank4!$B$32:$B$49,$J3952,Tank4!$C$32:$C$49)*Impacts!$F$11),0)</f>
        <v>0</v>
      </c>
      <c r="P3952" s="10">
        <f>IF(Tank5!$C$23="No control",(SUMIF(Tank5!$B$32:$B$49,$J3952,Tank5!$C$32:$C$49)*Impacts!$F$12),0)</f>
        <v>0</v>
      </c>
      <c r="Q3952" s="10">
        <f>IFERROR(IF(('Loading-drum,tote'!$C$21)="No control",SUMIF(('Loading-drum,tote'!$B$31:$B$48),$J3952,('Loading-drum,tote'!$D$31:$D$48))*Impacts!$F$13,IF(('Loading-drum,tote'!$C$21)&lt;&gt;"No control",SUMIF(('Loading-drum,tote'!$B$31:$B$48),$J3952,('Loading-drum,tote'!$E$31:$E$48))*Impacts!$F$13,0)),0)</f>
        <v>0</v>
      </c>
      <c r="R3952" s="10">
        <f>IFERROR(IF(('Loading-truck'!$C$21)="No control",SUMIF(('Loading-truck'!$B$31:$B$48),$J3952,('Loading-truck'!$D$31:$D$48))*Impacts!$F$14,IF(('Loading-truck'!$C$21)&lt;&gt;"No control",SUMIF(('Loading-truck'!$B$31:$B$48),$J3952,('Loading-truck'!$E$31:$E$48))*Impacts!$F$14,0)),0)</f>
        <v>0</v>
      </c>
      <c r="S3952" s="10">
        <f>IFERROR(IF(('Loading-rail'!$C$21)="No control",SUMIF(('Loading-rail'!$B$31:$B$48),$J3952,('Loading-rail'!$D$31:$D$48))*Impacts!$F$15,IF(('Loading-rail'!$C$21)&lt;&gt;"No control",SUMIF(('Loading-rail'!$B$31:$B$48),$J3952,('Loading-rail'!$E$31:$E$48))*Impacts!$F$15,0)),0)</f>
        <v>0</v>
      </c>
      <c r="T3952" s="10">
        <f>IF(Flare!$C$7="",0,(SUMIF(Flare!$B$46:$B$185,$J3952,Flare!$E$46:$E$185)*Impacts!$F$16))</f>
        <v>0</v>
      </c>
      <c r="U3952" s="10">
        <f>IF(VCU!$C$9="",0,(SUMIF(VCU!$B$51:$B$193,$J3952,VCU!$E$51:$E$193)*Impacts!$F$17))</f>
        <v>0</v>
      </c>
      <c r="V3952" s="10">
        <f>IF(CAS!$C$7="",0,(SUMIF(CAS!$B$31:$B$167,$J3952,CAS!$E$31:$E$167)*Impacts!$F$18))</f>
        <v>0</v>
      </c>
      <c r="W3952" s="10">
        <f t="shared" si="102"/>
        <v>0</v>
      </c>
      <c r="AK3952" s="10" t="str">
        <f t="array" ref="AK3952">IFERROR(INDEX(SelectedSpecies,SMALL(IF(SelectedSpecies=AK$1,ROW(SelectedSpecies)),ROW(3953:3953)),2),"")</f>
        <v/>
      </c>
      <c r="BE3952" s="10"/>
      <c r="BI3952" s="10"/>
    </row>
    <row r="3953" spans="1:61" ht="21" customHeight="1" x14ac:dyDescent="0.25">
      <c r="A3953" s="10"/>
      <c r="B3953" s="10"/>
      <c r="E3953" s="10"/>
      <c r="G3953" s="10"/>
      <c r="I3953" s="436" t="s">
        <v>914</v>
      </c>
      <c r="J3953" s="26" t="s">
        <v>913</v>
      </c>
      <c r="K3953" s="10">
        <v>45</v>
      </c>
      <c r="L3953" s="73">
        <f>IF(Tank1!$C$23="No control",(SUMIF(Tank1!$B$32:$B$49,$J3953,Tank1!$C$32:$C$49)*Impacts!$F$8),0)</f>
        <v>0</v>
      </c>
      <c r="M3953" s="10">
        <f>IF(Tank2!$C$23="No control",(SUMIF(Tank2!$B$32:$B$49,$J3953,Tank2!$C$32:$C$49)*Impacts!$F$9),0)</f>
        <v>0</v>
      </c>
      <c r="N3953" s="10">
        <f>IF(Tank3!$C$23="No control",(SUMIF(Tank3!$B$32:$B$49,$J3953,Tank3!$C$32:$C$49)*Impacts!$F$10),0)</f>
        <v>0</v>
      </c>
      <c r="O3953" s="10">
        <f>IF(Tank4!$C$23="No control",(SUMIF(Tank4!$B$32:$B$49,$J3953,Tank4!$C$32:$C$49)*Impacts!$F$11),0)</f>
        <v>0</v>
      </c>
      <c r="P3953" s="10">
        <f>IF(Tank5!$C$23="No control",(SUMIF(Tank5!$B$32:$B$49,$J3953,Tank5!$C$32:$C$49)*Impacts!$F$12),0)</f>
        <v>0</v>
      </c>
      <c r="Q3953" s="10">
        <f>IFERROR(IF(('Loading-drum,tote'!$C$21)="No control",SUMIF(('Loading-drum,tote'!$B$31:$B$48),$J3953,('Loading-drum,tote'!$D$31:$D$48))*Impacts!$F$13,IF(('Loading-drum,tote'!$C$21)&lt;&gt;"No control",SUMIF(('Loading-drum,tote'!$B$31:$B$48),$J3953,('Loading-drum,tote'!$E$31:$E$48))*Impacts!$F$13,0)),0)</f>
        <v>0</v>
      </c>
      <c r="R3953" s="10">
        <f>IFERROR(IF(('Loading-truck'!$C$21)="No control",SUMIF(('Loading-truck'!$B$31:$B$48),$J3953,('Loading-truck'!$D$31:$D$48))*Impacts!$F$14,IF(('Loading-truck'!$C$21)&lt;&gt;"No control",SUMIF(('Loading-truck'!$B$31:$B$48),$J3953,('Loading-truck'!$E$31:$E$48))*Impacts!$F$14,0)),0)</f>
        <v>0</v>
      </c>
      <c r="S3953" s="10">
        <f>IFERROR(IF(('Loading-rail'!$C$21)="No control",SUMIF(('Loading-rail'!$B$31:$B$48),$J3953,('Loading-rail'!$D$31:$D$48))*Impacts!$F$15,IF(('Loading-rail'!$C$21)&lt;&gt;"No control",SUMIF(('Loading-rail'!$B$31:$B$48),$J3953,('Loading-rail'!$E$31:$E$48))*Impacts!$F$15,0)),0)</f>
        <v>0</v>
      </c>
      <c r="T3953" s="10">
        <f>IF(Flare!$C$7="",0,(SUMIF(Flare!$B$46:$B$185,$J3953,Flare!$E$46:$E$185)*Impacts!$F$16))</f>
        <v>0</v>
      </c>
      <c r="U3953" s="10">
        <f>IF(VCU!$C$9="",0,(SUMIF(VCU!$B$51:$B$193,$J3953,VCU!$E$51:$E$193)*Impacts!$F$17))</f>
        <v>0</v>
      </c>
      <c r="V3953" s="10">
        <f>IF(CAS!$C$7="",0,(SUMIF(CAS!$B$31:$B$167,$J3953,CAS!$E$31:$E$167)*Impacts!$F$18))</f>
        <v>0</v>
      </c>
      <c r="W3953" s="10">
        <f t="shared" si="102"/>
        <v>0</v>
      </c>
      <c r="AK3953" s="10" t="str">
        <f t="array" ref="AK3953">IFERROR(INDEX(SelectedSpecies,SMALL(IF(SelectedSpecies=AK$1,ROW(SelectedSpecies)),ROW(3954:3954)),2),"")</f>
        <v/>
      </c>
      <c r="BE3953" s="10"/>
      <c r="BI3953" s="10"/>
    </row>
    <row r="3954" spans="1:61" ht="21" customHeight="1" x14ac:dyDescent="0.25">
      <c r="A3954" s="10"/>
      <c r="B3954" s="10"/>
      <c r="E3954" s="10"/>
      <c r="G3954" s="10"/>
      <c r="I3954" s="436" t="s">
        <v>916</v>
      </c>
      <c r="J3954" s="26" t="s">
        <v>915</v>
      </c>
      <c r="K3954" s="10">
        <v>45</v>
      </c>
      <c r="L3954" s="73">
        <f>IF(Tank1!$C$23="No control",(SUMIF(Tank1!$B$32:$B$49,$J3954,Tank1!$C$32:$C$49)*Impacts!$F$8),0)</f>
        <v>0</v>
      </c>
      <c r="M3954" s="10">
        <f>IF(Tank2!$C$23="No control",(SUMIF(Tank2!$B$32:$B$49,$J3954,Tank2!$C$32:$C$49)*Impacts!$F$9),0)</f>
        <v>0</v>
      </c>
      <c r="N3954" s="10">
        <f>IF(Tank3!$C$23="No control",(SUMIF(Tank3!$B$32:$B$49,$J3954,Tank3!$C$32:$C$49)*Impacts!$F$10),0)</f>
        <v>0</v>
      </c>
      <c r="O3954" s="10">
        <f>IF(Tank4!$C$23="No control",(SUMIF(Tank4!$B$32:$B$49,$J3954,Tank4!$C$32:$C$49)*Impacts!$F$11),0)</f>
        <v>0</v>
      </c>
      <c r="P3954" s="10">
        <f>IF(Tank5!$C$23="No control",(SUMIF(Tank5!$B$32:$B$49,$J3954,Tank5!$C$32:$C$49)*Impacts!$F$12),0)</f>
        <v>0</v>
      </c>
      <c r="Q3954" s="10">
        <f>IFERROR(IF(('Loading-drum,tote'!$C$21)="No control",SUMIF(('Loading-drum,tote'!$B$31:$B$48),$J3954,('Loading-drum,tote'!$D$31:$D$48))*Impacts!$F$13,IF(('Loading-drum,tote'!$C$21)&lt;&gt;"No control",SUMIF(('Loading-drum,tote'!$B$31:$B$48),$J3954,('Loading-drum,tote'!$E$31:$E$48))*Impacts!$F$13,0)),0)</f>
        <v>0</v>
      </c>
      <c r="R3954" s="10">
        <f>IFERROR(IF(('Loading-truck'!$C$21)="No control",SUMIF(('Loading-truck'!$B$31:$B$48),$J3954,('Loading-truck'!$D$31:$D$48))*Impacts!$F$14,IF(('Loading-truck'!$C$21)&lt;&gt;"No control",SUMIF(('Loading-truck'!$B$31:$B$48),$J3954,('Loading-truck'!$E$31:$E$48))*Impacts!$F$14,0)),0)</f>
        <v>0</v>
      </c>
      <c r="S3954" s="10">
        <f>IFERROR(IF(('Loading-rail'!$C$21)="No control",SUMIF(('Loading-rail'!$B$31:$B$48),$J3954,('Loading-rail'!$D$31:$D$48))*Impacts!$F$15,IF(('Loading-rail'!$C$21)&lt;&gt;"No control",SUMIF(('Loading-rail'!$B$31:$B$48),$J3954,('Loading-rail'!$E$31:$E$48))*Impacts!$F$15,0)),0)</f>
        <v>0</v>
      </c>
      <c r="T3954" s="10">
        <f>IF(Flare!$C$7="",0,(SUMIF(Flare!$B$46:$B$185,$J3954,Flare!$E$46:$E$185)*Impacts!$F$16))</f>
        <v>0</v>
      </c>
      <c r="U3954" s="10">
        <f>IF(VCU!$C$9="",0,(SUMIF(VCU!$B$51:$B$193,$J3954,VCU!$E$51:$E$193)*Impacts!$F$17))</f>
        <v>0</v>
      </c>
      <c r="V3954" s="10">
        <f>IF(CAS!$C$7="",0,(SUMIF(CAS!$B$31:$B$167,$J3954,CAS!$E$31:$E$167)*Impacts!$F$18))</f>
        <v>0</v>
      </c>
      <c r="W3954" s="10">
        <f t="shared" si="102"/>
        <v>0</v>
      </c>
      <c r="AK3954" s="10" t="str">
        <f t="array" ref="AK3954">IFERROR(INDEX(SelectedSpecies,SMALL(IF(SelectedSpecies=AK$1,ROW(SelectedSpecies)),ROW(3955:3955)),2),"")</f>
        <v/>
      </c>
      <c r="BE3954" s="10"/>
      <c r="BI3954" s="10"/>
    </row>
    <row r="3955" spans="1:61" ht="21" customHeight="1" x14ac:dyDescent="0.25">
      <c r="A3955" s="10"/>
      <c r="B3955" s="10"/>
      <c r="E3955" s="10"/>
      <c r="G3955" s="10"/>
      <c r="I3955" s="436" t="s">
        <v>2217</v>
      </c>
      <c r="J3955" s="26" t="s">
        <v>2216</v>
      </c>
      <c r="K3955" s="10">
        <v>14</v>
      </c>
      <c r="L3955" s="73">
        <f>IF(Tank1!$C$23="No control",(SUMIF(Tank1!$B$32:$B$49,$J3955,Tank1!$C$32:$C$49)*Impacts!$F$8),0)</f>
        <v>0</v>
      </c>
      <c r="M3955" s="10">
        <f>IF(Tank2!$C$23="No control",(SUMIF(Tank2!$B$32:$B$49,$J3955,Tank2!$C$32:$C$49)*Impacts!$F$9),0)</f>
        <v>0</v>
      </c>
      <c r="N3955" s="10">
        <f>IF(Tank3!$C$23="No control",(SUMIF(Tank3!$B$32:$B$49,$J3955,Tank3!$C$32:$C$49)*Impacts!$F$10),0)</f>
        <v>0</v>
      </c>
      <c r="O3955" s="10">
        <f>IF(Tank4!$C$23="No control",(SUMIF(Tank4!$B$32:$B$49,$J3955,Tank4!$C$32:$C$49)*Impacts!$F$11),0)</f>
        <v>0</v>
      </c>
      <c r="P3955" s="10">
        <f>IF(Tank5!$C$23="No control",(SUMIF(Tank5!$B$32:$B$49,$J3955,Tank5!$C$32:$C$49)*Impacts!$F$12),0)</f>
        <v>0</v>
      </c>
      <c r="Q3955" s="10">
        <f>IFERROR(IF(('Loading-drum,tote'!$C$21)="No control",SUMIF(('Loading-drum,tote'!$B$31:$B$48),$J3955,('Loading-drum,tote'!$D$31:$D$48))*Impacts!$F$13,IF(('Loading-drum,tote'!$C$21)&lt;&gt;"No control",SUMIF(('Loading-drum,tote'!$B$31:$B$48),$J3955,('Loading-drum,tote'!$E$31:$E$48))*Impacts!$F$13,0)),0)</f>
        <v>0</v>
      </c>
      <c r="R3955" s="10">
        <f>IFERROR(IF(('Loading-truck'!$C$21)="No control",SUMIF(('Loading-truck'!$B$31:$B$48),$J3955,('Loading-truck'!$D$31:$D$48))*Impacts!$F$14,IF(('Loading-truck'!$C$21)&lt;&gt;"No control",SUMIF(('Loading-truck'!$B$31:$B$48),$J3955,('Loading-truck'!$E$31:$E$48))*Impacts!$F$14,0)),0)</f>
        <v>0</v>
      </c>
      <c r="S3955" s="10">
        <f>IFERROR(IF(('Loading-rail'!$C$21)="No control",SUMIF(('Loading-rail'!$B$31:$B$48),$J3955,('Loading-rail'!$D$31:$D$48))*Impacts!$F$15,IF(('Loading-rail'!$C$21)&lt;&gt;"No control",SUMIF(('Loading-rail'!$B$31:$B$48),$J3955,('Loading-rail'!$E$31:$E$48))*Impacts!$F$15,0)),0)</f>
        <v>0</v>
      </c>
      <c r="T3955" s="10">
        <f>IF(Flare!$C$7="",0,(SUMIF(Flare!$B$46:$B$185,$J3955,Flare!$E$46:$E$185)*Impacts!$F$16))</f>
        <v>0</v>
      </c>
      <c r="U3955" s="10">
        <f>IF(VCU!$C$9="",0,(SUMIF(VCU!$B$51:$B$193,$J3955,VCU!$E$51:$E$193)*Impacts!$F$17))</f>
        <v>0</v>
      </c>
      <c r="V3955" s="10">
        <f>IF(CAS!$C$7="",0,(SUMIF(CAS!$B$31:$B$167,$J3955,CAS!$E$31:$E$167)*Impacts!$F$18))</f>
        <v>0</v>
      </c>
      <c r="W3955" s="10">
        <f t="shared" si="102"/>
        <v>0</v>
      </c>
      <c r="AK3955" s="10" t="str">
        <f t="array" ref="AK3955">IFERROR(INDEX(SelectedSpecies,SMALL(IF(SelectedSpecies=AK$1,ROW(SelectedSpecies)),ROW(3956:3956)),2),"")</f>
        <v/>
      </c>
      <c r="BE3955" s="10"/>
      <c r="BI3955" s="10"/>
    </row>
    <row r="3956" spans="1:61" ht="21" customHeight="1" x14ac:dyDescent="0.25">
      <c r="A3956" s="10"/>
      <c r="B3956" s="10"/>
      <c r="E3956" s="10"/>
      <c r="G3956" s="10"/>
      <c r="I3956" s="436" t="s">
        <v>2037</v>
      </c>
      <c r="J3956" s="26" t="s">
        <v>2036</v>
      </c>
      <c r="K3956" s="10">
        <v>17</v>
      </c>
      <c r="L3956" s="73">
        <f>IF(Tank1!$C$23="No control",(SUMIF(Tank1!$B$32:$B$49,$J3956,Tank1!$C$32:$C$49)*Impacts!$F$8),0)</f>
        <v>0</v>
      </c>
      <c r="M3956" s="10">
        <f>IF(Tank2!$C$23="No control",(SUMIF(Tank2!$B$32:$B$49,$J3956,Tank2!$C$32:$C$49)*Impacts!$F$9),0)</f>
        <v>0</v>
      </c>
      <c r="N3956" s="10">
        <f>IF(Tank3!$C$23="No control",(SUMIF(Tank3!$B$32:$B$49,$J3956,Tank3!$C$32:$C$49)*Impacts!$F$10),0)</f>
        <v>0</v>
      </c>
      <c r="O3956" s="10">
        <f>IF(Tank4!$C$23="No control",(SUMIF(Tank4!$B$32:$B$49,$J3956,Tank4!$C$32:$C$49)*Impacts!$F$11),0)</f>
        <v>0</v>
      </c>
      <c r="P3956" s="10">
        <f>IF(Tank5!$C$23="No control",(SUMIF(Tank5!$B$32:$B$49,$J3956,Tank5!$C$32:$C$49)*Impacts!$F$12),0)</f>
        <v>0</v>
      </c>
      <c r="Q3956" s="10">
        <f>IFERROR(IF(('Loading-drum,tote'!$C$21)="No control",SUMIF(('Loading-drum,tote'!$B$31:$B$48),$J3956,('Loading-drum,tote'!$D$31:$D$48))*Impacts!$F$13,IF(('Loading-drum,tote'!$C$21)&lt;&gt;"No control",SUMIF(('Loading-drum,tote'!$B$31:$B$48),$J3956,('Loading-drum,tote'!$E$31:$E$48))*Impacts!$F$13,0)),0)</f>
        <v>0</v>
      </c>
      <c r="R3956" s="10">
        <f>IFERROR(IF(('Loading-truck'!$C$21)="No control",SUMIF(('Loading-truck'!$B$31:$B$48),$J3956,('Loading-truck'!$D$31:$D$48))*Impacts!$F$14,IF(('Loading-truck'!$C$21)&lt;&gt;"No control",SUMIF(('Loading-truck'!$B$31:$B$48),$J3956,('Loading-truck'!$E$31:$E$48))*Impacts!$F$14,0)),0)</f>
        <v>0</v>
      </c>
      <c r="S3956" s="10">
        <f>IFERROR(IF(('Loading-rail'!$C$21)="No control",SUMIF(('Loading-rail'!$B$31:$B$48),$J3956,('Loading-rail'!$D$31:$D$48))*Impacts!$F$15,IF(('Loading-rail'!$C$21)&lt;&gt;"No control",SUMIF(('Loading-rail'!$B$31:$B$48),$J3956,('Loading-rail'!$E$31:$E$48))*Impacts!$F$15,0)),0)</f>
        <v>0</v>
      </c>
      <c r="T3956" s="10">
        <f>IF(Flare!$C$7="",0,(SUMIF(Flare!$B$46:$B$185,$J3956,Flare!$E$46:$E$185)*Impacts!$F$16))</f>
        <v>0</v>
      </c>
      <c r="U3956" s="10">
        <f>IF(VCU!$C$9="",0,(SUMIF(VCU!$B$51:$B$193,$J3956,VCU!$E$51:$E$193)*Impacts!$F$17))</f>
        <v>0</v>
      </c>
      <c r="V3956" s="10">
        <f>IF(CAS!$C$7="",0,(SUMIF(CAS!$B$31:$B$167,$J3956,CAS!$E$31:$E$167)*Impacts!$F$18))</f>
        <v>0</v>
      </c>
      <c r="W3956" s="10">
        <f t="shared" si="102"/>
        <v>0</v>
      </c>
      <c r="AK3956" s="10" t="str">
        <f t="array" ref="AK3956">IFERROR(INDEX(SelectedSpecies,SMALL(IF(SelectedSpecies=AK$1,ROW(SelectedSpecies)),ROW(3957:3957)),2),"")</f>
        <v/>
      </c>
      <c r="BE3956" s="10"/>
      <c r="BI3956" s="10"/>
    </row>
    <row r="3957" spans="1:61" ht="21" customHeight="1" x14ac:dyDescent="0.25">
      <c r="A3957" s="10"/>
      <c r="B3957" s="10"/>
      <c r="E3957" s="10"/>
      <c r="G3957" s="10"/>
      <c r="I3957" s="436" t="s">
        <v>6664</v>
      </c>
      <c r="J3957" s="26" t="s">
        <v>6663</v>
      </c>
      <c r="K3957" s="10">
        <v>0.60000000000000009</v>
      </c>
      <c r="L3957" s="73">
        <f>IF(Tank1!$C$23="No control",(SUMIF(Tank1!$B$32:$B$49,$J3957,Tank1!$C$32:$C$49)*Impacts!$F$8),0)</f>
        <v>0</v>
      </c>
      <c r="M3957" s="10">
        <f>IF(Tank2!$C$23="No control",(SUMIF(Tank2!$B$32:$B$49,$J3957,Tank2!$C$32:$C$49)*Impacts!$F$9),0)</f>
        <v>0</v>
      </c>
      <c r="N3957" s="10">
        <f>IF(Tank3!$C$23="No control",(SUMIF(Tank3!$B$32:$B$49,$J3957,Tank3!$C$32:$C$49)*Impacts!$F$10),0)</f>
        <v>0</v>
      </c>
      <c r="O3957" s="10">
        <f>IF(Tank4!$C$23="No control",(SUMIF(Tank4!$B$32:$B$49,$J3957,Tank4!$C$32:$C$49)*Impacts!$F$11),0)</f>
        <v>0</v>
      </c>
      <c r="P3957" s="10">
        <f>IF(Tank5!$C$23="No control",(SUMIF(Tank5!$B$32:$B$49,$J3957,Tank5!$C$32:$C$49)*Impacts!$F$12),0)</f>
        <v>0</v>
      </c>
      <c r="Q3957" s="10">
        <f>IFERROR(IF(('Loading-drum,tote'!$C$21)="No control",SUMIF(('Loading-drum,tote'!$B$31:$B$48),$J3957,('Loading-drum,tote'!$D$31:$D$48))*Impacts!$F$13,IF(('Loading-drum,tote'!$C$21)&lt;&gt;"No control",SUMIF(('Loading-drum,tote'!$B$31:$B$48),$J3957,('Loading-drum,tote'!$E$31:$E$48))*Impacts!$F$13,0)),0)</f>
        <v>0</v>
      </c>
      <c r="R3957" s="10">
        <f>IFERROR(IF(('Loading-truck'!$C$21)="No control",SUMIF(('Loading-truck'!$B$31:$B$48),$J3957,('Loading-truck'!$D$31:$D$48))*Impacts!$F$14,IF(('Loading-truck'!$C$21)&lt;&gt;"No control",SUMIF(('Loading-truck'!$B$31:$B$48),$J3957,('Loading-truck'!$E$31:$E$48))*Impacts!$F$14,0)),0)</f>
        <v>0</v>
      </c>
      <c r="S3957" s="10">
        <f>IFERROR(IF(('Loading-rail'!$C$21)="No control",SUMIF(('Loading-rail'!$B$31:$B$48),$J3957,('Loading-rail'!$D$31:$D$48))*Impacts!$F$15,IF(('Loading-rail'!$C$21)&lt;&gt;"No control",SUMIF(('Loading-rail'!$B$31:$B$48),$J3957,('Loading-rail'!$E$31:$E$48))*Impacts!$F$15,0)),0)</f>
        <v>0</v>
      </c>
      <c r="T3957" s="10">
        <f>IF(Flare!$C$7="",0,(SUMIF(Flare!$B$46:$B$185,$J3957,Flare!$E$46:$E$185)*Impacts!$F$16))</f>
        <v>0</v>
      </c>
      <c r="U3957" s="10">
        <f>IF(VCU!$C$9="",0,(SUMIF(VCU!$B$51:$B$193,$J3957,VCU!$E$51:$E$193)*Impacts!$F$17))</f>
        <v>0</v>
      </c>
      <c r="V3957" s="10">
        <f>IF(CAS!$C$7="",0,(SUMIF(CAS!$B$31:$B$167,$J3957,CAS!$E$31:$E$167)*Impacts!$F$18))</f>
        <v>0</v>
      </c>
      <c r="W3957" s="10">
        <f t="shared" si="102"/>
        <v>0</v>
      </c>
      <c r="AK3957" s="10" t="str">
        <f t="array" ref="AK3957">IFERROR(INDEX(SelectedSpecies,SMALL(IF(SelectedSpecies=AK$1,ROW(SelectedSpecies)),ROW(3958:3958)),2),"")</f>
        <v/>
      </c>
      <c r="BE3957" s="10"/>
      <c r="BI3957" s="10"/>
    </row>
    <row r="3958" spans="1:61" ht="21" customHeight="1" x14ac:dyDescent="0.25">
      <c r="A3958" s="10"/>
      <c r="B3958" s="10"/>
      <c r="E3958" s="10"/>
      <c r="G3958" s="10"/>
      <c r="I3958" s="436" t="s">
        <v>6340</v>
      </c>
      <c r="J3958" s="26" t="s">
        <v>6339</v>
      </c>
      <c r="K3958" s="10">
        <v>0.9</v>
      </c>
      <c r="L3958" s="73">
        <f>IF(Tank1!$C$23="No control",(SUMIF(Tank1!$B$32:$B$49,$J3958,Tank1!$C$32:$C$49)*Impacts!$F$8),0)</f>
        <v>0</v>
      </c>
      <c r="M3958" s="10">
        <f>IF(Tank2!$C$23="No control",(SUMIF(Tank2!$B$32:$B$49,$J3958,Tank2!$C$32:$C$49)*Impacts!$F$9),0)</f>
        <v>0</v>
      </c>
      <c r="N3958" s="10">
        <f>IF(Tank3!$C$23="No control",(SUMIF(Tank3!$B$32:$B$49,$J3958,Tank3!$C$32:$C$49)*Impacts!$F$10),0)</f>
        <v>0</v>
      </c>
      <c r="O3958" s="10">
        <f>IF(Tank4!$C$23="No control",(SUMIF(Tank4!$B$32:$B$49,$J3958,Tank4!$C$32:$C$49)*Impacts!$F$11),0)</f>
        <v>0</v>
      </c>
      <c r="P3958" s="10">
        <f>IF(Tank5!$C$23="No control",(SUMIF(Tank5!$B$32:$B$49,$J3958,Tank5!$C$32:$C$49)*Impacts!$F$12),0)</f>
        <v>0</v>
      </c>
      <c r="Q3958" s="10">
        <f>IFERROR(IF(('Loading-drum,tote'!$C$21)="No control",SUMIF(('Loading-drum,tote'!$B$31:$B$48),$J3958,('Loading-drum,tote'!$D$31:$D$48))*Impacts!$F$13,IF(('Loading-drum,tote'!$C$21)&lt;&gt;"No control",SUMIF(('Loading-drum,tote'!$B$31:$B$48),$J3958,('Loading-drum,tote'!$E$31:$E$48))*Impacts!$F$13,0)),0)</f>
        <v>0</v>
      </c>
      <c r="R3958" s="10">
        <f>IFERROR(IF(('Loading-truck'!$C$21)="No control",SUMIF(('Loading-truck'!$B$31:$B$48),$J3958,('Loading-truck'!$D$31:$D$48))*Impacts!$F$14,IF(('Loading-truck'!$C$21)&lt;&gt;"No control",SUMIF(('Loading-truck'!$B$31:$B$48),$J3958,('Loading-truck'!$E$31:$E$48))*Impacts!$F$14,0)),0)</f>
        <v>0</v>
      </c>
      <c r="S3958" s="10">
        <f>IFERROR(IF(('Loading-rail'!$C$21)="No control",SUMIF(('Loading-rail'!$B$31:$B$48),$J3958,('Loading-rail'!$D$31:$D$48))*Impacts!$F$15,IF(('Loading-rail'!$C$21)&lt;&gt;"No control",SUMIF(('Loading-rail'!$B$31:$B$48),$J3958,('Loading-rail'!$E$31:$E$48))*Impacts!$F$15,0)),0)</f>
        <v>0</v>
      </c>
      <c r="T3958" s="10">
        <f>IF(Flare!$C$7="",0,(SUMIF(Flare!$B$46:$B$185,$J3958,Flare!$E$46:$E$185)*Impacts!$F$16))</f>
        <v>0</v>
      </c>
      <c r="U3958" s="10">
        <f>IF(VCU!$C$9="",0,(SUMIF(VCU!$B$51:$B$193,$J3958,VCU!$E$51:$E$193)*Impacts!$F$17))</f>
        <v>0</v>
      </c>
      <c r="V3958" s="10">
        <f>IF(CAS!$C$7="",0,(SUMIF(CAS!$B$31:$B$167,$J3958,CAS!$E$31:$E$167)*Impacts!$F$18))</f>
        <v>0</v>
      </c>
      <c r="W3958" s="10">
        <f t="shared" si="102"/>
        <v>0</v>
      </c>
      <c r="AK3958" s="10" t="str">
        <f t="array" ref="AK3958">IFERROR(INDEX(SelectedSpecies,SMALL(IF(SelectedSpecies=AK$1,ROW(SelectedSpecies)),ROW(3959:3959)),2),"")</f>
        <v/>
      </c>
      <c r="BE3958" s="10"/>
      <c r="BI3958" s="10"/>
    </row>
    <row r="3959" spans="1:61" ht="21" customHeight="1" x14ac:dyDescent="0.25">
      <c r="A3959" s="10"/>
      <c r="B3959" s="10"/>
      <c r="E3959" s="10"/>
      <c r="G3959" s="10"/>
      <c r="I3959" s="436" t="s">
        <v>1196</v>
      </c>
      <c r="J3959" s="26" t="s">
        <v>1195</v>
      </c>
      <c r="K3959" s="10">
        <v>35</v>
      </c>
      <c r="L3959" s="73">
        <f>IF(Tank1!$C$23="No control",(SUMIF(Tank1!$B$32:$B$49,$J3959,Tank1!$C$32:$C$49)*Impacts!$F$8),0)</f>
        <v>0</v>
      </c>
      <c r="M3959" s="10">
        <f>IF(Tank2!$C$23="No control",(SUMIF(Tank2!$B$32:$B$49,$J3959,Tank2!$C$32:$C$49)*Impacts!$F$9),0)</f>
        <v>0</v>
      </c>
      <c r="N3959" s="10">
        <f>IF(Tank3!$C$23="No control",(SUMIF(Tank3!$B$32:$B$49,$J3959,Tank3!$C$32:$C$49)*Impacts!$F$10),0)</f>
        <v>0</v>
      </c>
      <c r="O3959" s="10">
        <f>IF(Tank4!$C$23="No control",(SUMIF(Tank4!$B$32:$B$49,$J3959,Tank4!$C$32:$C$49)*Impacts!$F$11),0)</f>
        <v>0</v>
      </c>
      <c r="P3959" s="10">
        <f>IF(Tank5!$C$23="No control",(SUMIF(Tank5!$B$32:$B$49,$J3959,Tank5!$C$32:$C$49)*Impacts!$F$12),0)</f>
        <v>0</v>
      </c>
      <c r="Q3959" s="10">
        <f>IFERROR(IF(('Loading-drum,tote'!$C$21)="No control",SUMIF(('Loading-drum,tote'!$B$31:$B$48),$J3959,('Loading-drum,tote'!$D$31:$D$48))*Impacts!$F$13,IF(('Loading-drum,tote'!$C$21)&lt;&gt;"No control",SUMIF(('Loading-drum,tote'!$B$31:$B$48),$J3959,('Loading-drum,tote'!$E$31:$E$48))*Impacts!$F$13,0)),0)</f>
        <v>0</v>
      </c>
      <c r="R3959" s="10">
        <f>IFERROR(IF(('Loading-truck'!$C$21)="No control",SUMIF(('Loading-truck'!$B$31:$B$48),$J3959,('Loading-truck'!$D$31:$D$48))*Impacts!$F$14,IF(('Loading-truck'!$C$21)&lt;&gt;"No control",SUMIF(('Loading-truck'!$B$31:$B$48),$J3959,('Loading-truck'!$E$31:$E$48))*Impacts!$F$14,0)),0)</f>
        <v>0</v>
      </c>
      <c r="S3959" s="10">
        <f>IFERROR(IF(('Loading-rail'!$C$21)="No control",SUMIF(('Loading-rail'!$B$31:$B$48),$J3959,('Loading-rail'!$D$31:$D$48))*Impacts!$F$15,IF(('Loading-rail'!$C$21)&lt;&gt;"No control",SUMIF(('Loading-rail'!$B$31:$B$48),$J3959,('Loading-rail'!$E$31:$E$48))*Impacts!$F$15,0)),0)</f>
        <v>0</v>
      </c>
      <c r="T3959" s="10">
        <f>IF(Flare!$C$7="",0,(SUMIF(Flare!$B$46:$B$185,$J3959,Flare!$E$46:$E$185)*Impacts!$F$16))</f>
        <v>0</v>
      </c>
      <c r="U3959" s="10">
        <f>IF(VCU!$C$9="",0,(SUMIF(VCU!$B$51:$B$193,$J3959,VCU!$E$51:$E$193)*Impacts!$F$17))</f>
        <v>0</v>
      </c>
      <c r="V3959" s="10">
        <f>IF(CAS!$C$7="",0,(SUMIF(CAS!$B$31:$B$167,$J3959,CAS!$E$31:$E$167)*Impacts!$F$18))</f>
        <v>0</v>
      </c>
      <c r="W3959" s="10">
        <f t="shared" si="102"/>
        <v>0</v>
      </c>
      <c r="AK3959" s="10" t="str">
        <f t="array" ref="AK3959">IFERROR(INDEX(SelectedSpecies,SMALL(IF(SelectedSpecies=AK$1,ROW(SelectedSpecies)),ROW(3960:3960)),2),"")</f>
        <v/>
      </c>
      <c r="BE3959" s="10"/>
      <c r="BI3959" s="10"/>
    </row>
    <row r="3960" spans="1:61" ht="21" customHeight="1" x14ac:dyDescent="0.25">
      <c r="A3960" s="10"/>
      <c r="B3960" s="10"/>
      <c r="E3960" s="10"/>
      <c r="G3960" s="10"/>
      <c r="I3960" s="436" t="s">
        <v>8234</v>
      </c>
      <c r="J3960" s="26" t="s">
        <v>8233</v>
      </c>
      <c r="K3960" s="10">
        <v>1.0000000000000002E-2</v>
      </c>
      <c r="L3960" s="73">
        <f>IF(Tank1!$C$23="No control",(SUMIF(Tank1!$B$32:$B$49,$J3960,Tank1!$C$32:$C$49)*Impacts!$F$8),0)</f>
        <v>0</v>
      </c>
      <c r="M3960" s="10">
        <f>IF(Tank2!$C$23="No control",(SUMIF(Tank2!$B$32:$B$49,$J3960,Tank2!$C$32:$C$49)*Impacts!$F$9),0)</f>
        <v>0</v>
      </c>
      <c r="N3960" s="10">
        <f>IF(Tank3!$C$23="No control",(SUMIF(Tank3!$B$32:$B$49,$J3960,Tank3!$C$32:$C$49)*Impacts!$F$10),0)</f>
        <v>0</v>
      </c>
      <c r="O3960" s="10">
        <f>IF(Tank4!$C$23="No control",(SUMIF(Tank4!$B$32:$B$49,$J3960,Tank4!$C$32:$C$49)*Impacts!$F$11),0)</f>
        <v>0</v>
      </c>
      <c r="P3960" s="10">
        <f>IF(Tank5!$C$23="No control",(SUMIF(Tank5!$B$32:$B$49,$J3960,Tank5!$C$32:$C$49)*Impacts!$F$12),0)</f>
        <v>0</v>
      </c>
      <c r="Q3960" s="10">
        <f>IFERROR(IF(('Loading-drum,tote'!$C$21)="No control",SUMIF(('Loading-drum,tote'!$B$31:$B$48),$J3960,('Loading-drum,tote'!$D$31:$D$48))*Impacts!$F$13,IF(('Loading-drum,tote'!$C$21)&lt;&gt;"No control",SUMIF(('Loading-drum,tote'!$B$31:$B$48),$J3960,('Loading-drum,tote'!$E$31:$E$48))*Impacts!$F$13,0)),0)</f>
        <v>0</v>
      </c>
      <c r="R3960" s="10">
        <f>IFERROR(IF(('Loading-truck'!$C$21)="No control",SUMIF(('Loading-truck'!$B$31:$B$48),$J3960,('Loading-truck'!$D$31:$D$48))*Impacts!$F$14,IF(('Loading-truck'!$C$21)&lt;&gt;"No control",SUMIF(('Loading-truck'!$B$31:$B$48),$J3960,('Loading-truck'!$E$31:$E$48))*Impacts!$F$14,0)),0)</f>
        <v>0</v>
      </c>
      <c r="S3960" s="10">
        <f>IFERROR(IF(('Loading-rail'!$C$21)="No control",SUMIF(('Loading-rail'!$B$31:$B$48),$J3960,('Loading-rail'!$D$31:$D$48))*Impacts!$F$15,IF(('Loading-rail'!$C$21)&lt;&gt;"No control",SUMIF(('Loading-rail'!$B$31:$B$48),$J3960,('Loading-rail'!$E$31:$E$48))*Impacts!$F$15,0)),0)</f>
        <v>0</v>
      </c>
      <c r="T3960" s="10">
        <f>IF(Flare!$C$7="",0,(SUMIF(Flare!$B$46:$B$185,$J3960,Flare!$E$46:$E$185)*Impacts!$F$16))</f>
        <v>0</v>
      </c>
      <c r="U3960" s="10">
        <f>IF(VCU!$C$9="",0,(SUMIF(VCU!$B$51:$B$193,$J3960,VCU!$E$51:$E$193)*Impacts!$F$17))</f>
        <v>0</v>
      </c>
      <c r="V3960" s="10">
        <f>IF(CAS!$C$7="",0,(SUMIF(CAS!$B$31:$B$167,$J3960,CAS!$E$31:$E$167)*Impacts!$F$18))</f>
        <v>0</v>
      </c>
      <c r="W3960" s="10">
        <f t="shared" si="102"/>
        <v>0</v>
      </c>
      <c r="AK3960" s="10" t="str">
        <f t="array" ref="AK3960">IFERROR(INDEX(SelectedSpecies,SMALL(IF(SelectedSpecies=AK$1,ROW(SelectedSpecies)),ROW(3961:3961)),2),"")</f>
        <v/>
      </c>
      <c r="BE3960" s="10"/>
      <c r="BI3960" s="10"/>
    </row>
    <row r="3961" spans="1:61" ht="21" customHeight="1" x14ac:dyDescent="0.25">
      <c r="A3961" s="10"/>
      <c r="B3961" s="10"/>
      <c r="E3961" s="10"/>
      <c r="G3961" s="10"/>
      <c r="I3961" s="436" t="s">
        <v>4455</v>
      </c>
      <c r="J3961" s="26" t="s">
        <v>4454</v>
      </c>
      <c r="K3961" s="10">
        <v>4.5</v>
      </c>
      <c r="L3961" s="73">
        <f>IF(Tank1!$C$23="No control",(SUMIF(Tank1!$B$32:$B$49,$J3961,Tank1!$C$32:$C$49)*Impacts!$F$8),0)</f>
        <v>0</v>
      </c>
      <c r="M3961" s="10">
        <f>IF(Tank2!$C$23="No control",(SUMIF(Tank2!$B$32:$B$49,$J3961,Tank2!$C$32:$C$49)*Impacts!$F$9),0)</f>
        <v>0</v>
      </c>
      <c r="N3961" s="10">
        <f>IF(Tank3!$C$23="No control",(SUMIF(Tank3!$B$32:$B$49,$J3961,Tank3!$C$32:$C$49)*Impacts!$F$10),0)</f>
        <v>0</v>
      </c>
      <c r="O3961" s="10">
        <f>IF(Tank4!$C$23="No control",(SUMIF(Tank4!$B$32:$B$49,$J3961,Tank4!$C$32:$C$49)*Impacts!$F$11),0)</f>
        <v>0</v>
      </c>
      <c r="P3961" s="10">
        <f>IF(Tank5!$C$23="No control",(SUMIF(Tank5!$B$32:$B$49,$J3961,Tank5!$C$32:$C$49)*Impacts!$F$12),0)</f>
        <v>0</v>
      </c>
      <c r="Q3961" s="10">
        <f>IFERROR(IF(('Loading-drum,tote'!$C$21)="No control",SUMIF(('Loading-drum,tote'!$B$31:$B$48),$J3961,('Loading-drum,tote'!$D$31:$D$48))*Impacts!$F$13,IF(('Loading-drum,tote'!$C$21)&lt;&gt;"No control",SUMIF(('Loading-drum,tote'!$B$31:$B$48),$J3961,('Loading-drum,tote'!$E$31:$E$48))*Impacts!$F$13,0)),0)</f>
        <v>0</v>
      </c>
      <c r="R3961" s="10">
        <f>IFERROR(IF(('Loading-truck'!$C$21)="No control",SUMIF(('Loading-truck'!$B$31:$B$48),$J3961,('Loading-truck'!$D$31:$D$48))*Impacts!$F$14,IF(('Loading-truck'!$C$21)&lt;&gt;"No control",SUMIF(('Loading-truck'!$B$31:$B$48),$J3961,('Loading-truck'!$E$31:$E$48))*Impacts!$F$14,0)),0)</f>
        <v>0</v>
      </c>
      <c r="S3961" s="10">
        <f>IFERROR(IF(('Loading-rail'!$C$21)="No control",SUMIF(('Loading-rail'!$B$31:$B$48),$J3961,('Loading-rail'!$D$31:$D$48))*Impacts!$F$15,IF(('Loading-rail'!$C$21)&lt;&gt;"No control",SUMIF(('Loading-rail'!$B$31:$B$48),$J3961,('Loading-rail'!$E$31:$E$48))*Impacts!$F$15,0)),0)</f>
        <v>0</v>
      </c>
      <c r="T3961" s="10">
        <f>IF(Flare!$C$7="",0,(SUMIF(Flare!$B$46:$B$185,$J3961,Flare!$E$46:$E$185)*Impacts!$F$16))</f>
        <v>0</v>
      </c>
      <c r="U3961" s="10">
        <f>IF(VCU!$C$9="",0,(SUMIF(VCU!$B$51:$B$193,$J3961,VCU!$E$51:$E$193)*Impacts!$F$17))</f>
        <v>0</v>
      </c>
      <c r="V3961" s="10">
        <f>IF(CAS!$C$7="",0,(SUMIF(CAS!$B$31:$B$167,$J3961,CAS!$E$31:$E$167)*Impacts!$F$18))</f>
        <v>0</v>
      </c>
      <c r="W3961" s="10">
        <f t="shared" si="102"/>
        <v>0</v>
      </c>
      <c r="AK3961" s="10" t="str">
        <f t="array" ref="AK3961">IFERROR(INDEX(SelectedSpecies,SMALL(IF(SelectedSpecies=AK$1,ROW(SelectedSpecies)),ROW(3962:3962)),2),"")</f>
        <v/>
      </c>
      <c r="BE3961" s="10"/>
      <c r="BI3961" s="10"/>
    </row>
    <row r="3962" spans="1:61" ht="21" customHeight="1" x14ac:dyDescent="0.25">
      <c r="A3962" s="10"/>
      <c r="B3962" s="10"/>
      <c r="E3962" s="10"/>
      <c r="G3962" s="10"/>
      <c r="I3962" s="436" t="s">
        <v>6204</v>
      </c>
      <c r="J3962" s="26" t="s">
        <v>6203</v>
      </c>
      <c r="K3962" s="10">
        <v>1</v>
      </c>
      <c r="L3962" s="73">
        <f>IF(Tank1!$C$23="No control",(SUMIF(Tank1!$B$32:$B$49,$J3962,Tank1!$C$32:$C$49)*Impacts!$F$8),0)</f>
        <v>0</v>
      </c>
      <c r="M3962" s="10">
        <f>IF(Tank2!$C$23="No control",(SUMIF(Tank2!$B$32:$B$49,$J3962,Tank2!$C$32:$C$49)*Impacts!$F$9),0)</f>
        <v>0</v>
      </c>
      <c r="N3962" s="10">
        <f>IF(Tank3!$C$23="No control",(SUMIF(Tank3!$B$32:$B$49,$J3962,Tank3!$C$32:$C$49)*Impacts!$F$10),0)</f>
        <v>0</v>
      </c>
      <c r="O3962" s="10">
        <f>IF(Tank4!$C$23="No control",(SUMIF(Tank4!$B$32:$B$49,$J3962,Tank4!$C$32:$C$49)*Impacts!$F$11),0)</f>
        <v>0</v>
      </c>
      <c r="P3962" s="10">
        <f>IF(Tank5!$C$23="No control",(SUMIF(Tank5!$B$32:$B$49,$J3962,Tank5!$C$32:$C$49)*Impacts!$F$12),0)</f>
        <v>0</v>
      </c>
      <c r="Q3962" s="10">
        <f>IFERROR(IF(('Loading-drum,tote'!$C$21)="No control",SUMIF(('Loading-drum,tote'!$B$31:$B$48),$J3962,('Loading-drum,tote'!$D$31:$D$48))*Impacts!$F$13,IF(('Loading-drum,tote'!$C$21)&lt;&gt;"No control",SUMIF(('Loading-drum,tote'!$B$31:$B$48),$J3962,('Loading-drum,tote'!$E$31:$E$48))*Impacts!$F$13,0)),0)</f>
        <v>0</v>
      </c>
      <c r="R3962" s="10">
        <f>IFERROR(IF(('Loading-truck'!$C$21)="No control",SUMIF(('Loading-truck'!$B$31:$B$48),$J3962,('Loading-truck'!$D$31:$D$48))*Impacts!$F$14,IF(('Loading-truck'!$C$21)&lt;&gt;"No control",SUMIF(('Loading-truck'!$B$31:$B$48),$J3962,('Loading-truck'!$E$31:$E$48))*Impacts!$F$14,0)),0)</f>
        <v>0</v>
      </c>
      <c r="S3962" s="10">
        <f>IFERROR(IF(('Loading-rail'!$C$21)="No control",SUMIF(('Loading-rail'!$B$31:$B$48),$J3962,('Loading-rail'!$D$31:$D$48))*Impacts!$F$15,IF(('Loading-rail'!$C$21)&lt;&gt;"No control",SUMIF(('Loading-rail'!$B$31:$B$48),$J3962,('Loading-rail'!$E$31:$E$48))*Impacts!$F$15,0)),0)</f>
        <v>0</v>
      </c>
      <c r="T3962" s="10">
        <f>IF(Flare!$C$7="",0,(SUMIF(Flare!$B$46:$B$185,$J3962,Flare!$E$46:$E$185)*Impacts!$F$16))</f>
        <v>0</v>
      </c>
      <c r="U3962" s="10">
        <f>IF(VCU!$C$9="",0,(SUMIF(VCU!$B$51:$B$193,$J3962,VCU!$E$51:$E$193)*Impacts!$F$17))</f>
        <v>0</v>
      </c>
      <c r="V3962" s="10">
        <f>IF(CAS!$C$7="",0,(SUMIF(CAS!$B$31:$B$167,$J3962,CAS!$E$31:$E$167)*Impacts!$F$18))</f>
        <v>0</v>
      </c>
      <c r="W3962" s="10">
        <f t="shared" si="102"/>
        <v>0</v>
      </c>
      <c r="AK3962" s="10" t="str">
        <f t="array" ref="AK3962">IFERROR(INDEX(SelectedSpecies,SMALL(IF(SelectedSpecies=AK$1,ROW(SelectedSpecies)),ROW(3963:3963)),2),"")</f>
        <v/>
      </c>
      <c r="BE3962" s="10"/>
      <c r="BI3962" s="10"/>
    </row>
    <row r="3963" spans="1:61" ht="21" customHeight="1" x14ac:dyDescent="0.25">
      <c r="A3963" s="10"/>
      <c r="B3963" s="10"/>
      <c r="E3963" s="10"/>
      <c r="G3963" s="10"/>
      <c r="I3963" s="436" t="s">
        <v>6206</v>
      </c>
      <c r="J3963" s="26" t="s">
        <v>6205</v>
      </c>
      <c r="K3963" s="10">
        <v>1</v>
      </c>
      <c r="L3963" s="73">
        <f>IF(Tank1!$C$23="No control",(SUMIF(Tank1!$B$32:$B$49,$J3963,Tank1!$C$32:$C$49)*Impacts!$F$8),0)</f>
        <v>0</v>
      </c>
      <c r="M3963" s="10">
        <f>IF(Tank2!$C$23="No control",(SUMIF(Tank2!$B$32:$B$49,$J3963,Tank2!$C$32:$C$49)*Impacts!$F$9),0)</f>
        <v>0</v>
      </c>
      <c r="N3963" s="10">
        <f>IF(Tank3!$C$23="No control",(SUMIF(Tank3!$B$32:$B$49,$J3963,Tank3!$C$32:$C$49)*Impacts!$F$10),0)</f>
        <v>0</v>
      </c>
      <c r="O3963" s="10">
        <f>IF(Tank4!$C$23="No control",(SUMIF(Tank4!$B$32:$B$49,$J3963,Tank4!$C$32:$C$49)*Impacts!$F$11),0)</f>
        <v>0</v>
      </c>
      <c r="P3963" s="10">
        <f>IF(Tank5!$C$23="No control",(SUMIF(Tank5!$B$32:$B$49,$J3963,Tank5!$C$32:$C$49)*Impacts!$F$12),0)</f>
        <v>0</v>
      </c>
      <c r="Q3963" s="10">
        <f>IFERROR(IF(('Loading-drum,tote'!$C$21)="No control",SUMIF(('Loading-drum,tote'!$B$31:$B$48),$J3963,('Loading-drum,tote'!$D$31:$D$48))*Impacts!$F$13,IF(('Loading-drum,tote'!$C$21)&lt;&gt;"No control",SUMIF(('Loading-drum,tote'!$B$31:$B$48),$J3963,('Loading-drum,tote'!$E$31:$E$48))*Impacts!$F$13,0)),0)</f>
        <v>0</v>
      </c>
      <c r="R3963" s="10">
        <f>IFERROR(IF(('Loading-truck'!$C$21)="No control",SUMIF(('Loading-truck'!$B$31:$B$48),$J3963,('Loading-truck'!$D$31:$D$48))*Impacts!$F$14,IF(('Loading-truck'!$C$21)&lt;&gt;"No control",SUMIF(('Loading-truck'!$B$31:$B$48),$J3963,('Loading-truck'!$E$31:$E$48))*Impacts!$F$14,0)),0)</f>
        <v>0</v>
      </c>
      <c r="S3963" s="10">
        <f>IFERROR(IF(('Loading-rail'!$C$21)="No control",SUMIF(('Loading-rail'!$B$31:$B$48),$J3963,('Loading-rail'!$D$31:$D$48))*Impacts!$F$15,IF(('Loading-rail'!$C$21)&lt;&gt;"No control",SUMIF(('Loading-rail'!$B$31:$B$48),$J3963,('Loading-rail'!$E$31:$E$48))*Impacts!$F$15,0)),0)</f>
        <v>0</v>
      </c>
      <c r="T3963" s="10">
        <f>IF(Flare!$C$7="",0,(SUMIF(Flare!$B$46:$B$185,$J3963,Flare!$E$46:$E$185)*Impacts!$F$16))</f>
        <v>0</v>
      </c>
      <c r="U3963" s="10">
        <f>IF(VCU!$C$9="",0,(SUMIF(VCU!$B$51:$B$193,$J3963,VCU!$E$51:$E$193)*Impacts!$F$17))</f>
        <v>0</v>
      </c>
      <c r="V3963" s="10">
        <f>IF(CAS!$C$7="",0,(SUMIF(CAS!$B$31:$B$167,$J3963,CAS!$E$31:$E$167)*Impacts!$F$18))</f>
        <v>0</v>
      </c>
      <c r="W3963" s="10">
        <f t="shared" si="102"/>
        <v>0</v>
      </c>
      <c r="AK3963" s="10" t="str">
        <f t="array" ref="AK3963">IFERROR(INDEX(SelectedSpecies,SMALL(IF(SelectedSpecies=AK$1,ROW(SelectedSpecies)),ROW(3964:3964)),2),"")</f>
        <v/>
      </c>
      <c r="BE3963" s="10"/>
      <c r="BI3963" s="10"/>
    </row>
    <row r="3964" spans="1:61" ht="21" customHeight="1" x14ac:dyDescent="0.25">
      <c r="A3964" s="10"/>
      <c r="B3964" s="10"/>
      <c r="E3964" s="10"/>
      <c r="G3964" s="10"/>
      <c r="I3964" s="436" t="s">
        <v>1256</v>
      </c>
      <c r="J3964" s="26" t="s">
        <v>1255</v>
      </c>
      <c r="K3964" s="10">
        <v>34</v>
      </c>
      <c r="L3964" s="73">
        <f>IF(Tank1!$C$23="No control",(SUMIF(Tank1!$B$32:$B$49,$J3964,Tank1!$C$32:$C$49)*Impacts!$F$8),0)</f>
        <v>0</v>
      </c>
      <c r="M3964" s="10">
        <f>IF(Tank2!$C$23="No control",(SUMIF(Tank2!$B$32:$B$49,$J3964,Tank2!$C$32:$C$49)*Impacts!$F$9),0)</f>
        <v>0</v>
      </c>
      <c r="N3964" s="10">
        <f>IF(Tank3!$C$23="No control",(SUMIF(Tank3!$B$32:$B$49,$J3964,Tank3!$C$32:$C$49)*Impacts!$F$10),0)</f>
        <v>0</v>
      </c>
      <c r="O3964" s="10">
        <f>IF(Tank4!$C$23="No control",(SUMIF(Tank4!$B$32:$B$49,$J3964,Tank4!$C$32:$C$49)*Impacts!$F$11),0)</f>
        <v>0</v>
      </c>
      <c r="P3964" s="10">
        <f>IF(Tank5!$C$23="No control",(SUMIF(Tank5!$B$32:$B$49,$J3964,Tank5!$C$32:$C$49)*Impacts!$F$12),0)</f>
        <v>0</v>
      </c>
      <c r="Q3964" s="10">
        <f>IFERROR(IF(('Loading-drum,tote'!$C$21)="No control",SUMIF(('Loading-drum,tote'!$B$31:$B$48),$J3964,('Loading-drum,tote'!$D$31:$D$48))*Impacts!$F$13,IF(('Loading-drum,tote'!$C$21)&lt;&gt;"No control",SUMIF(('Loading-drum,tote'!$B$31:$B$48),$J3964,('Loading-drum,tote'!$E$31:$E$48))*Impacts!$F$13,0)),0)</f>
        <v>0</v>
      </c>
      <c r="R3964" s="10">
        <f>IFERROR(IF(('Loading-truck'!$C$21)="No control",SUMIF(('Loading-truck'!$B$31:$B$48),$J3964,('Loading-truck'!$D$31:$D$48))*Impacts!$F$14,IF(('Loading-truck'!$C$21)&lt;&gt;"No control",SUMIF(('Loading-truck'!$B$31:$B$48),$J3964,('Loading-truck'!$E$31:$E$48))*Impacts!$F$14,0)),0)</f>
        <v>0</v>
      </c>
      <c r="S3964" s="10">
        <f>IFERROR(IF(('Loading-rail'!$C$21)="No control",SUMIF(('Loading-rail'!$B$31:$B$48),$J3964,('Loading-rail'!$D$31:$D$48))*Impacts!$F$15,IF(('Loading-rail'!$C$21)&lt;&gt;"No control",SUMIF(('Loading-rail'!$B$31:$B$48),$J3964,('Loading-rail'!$E$31:$E$48))*Impacts!$F$15,0)),0)</f>
        <v>0</v>
      </c>
      <c r="T3964" s="10">
        <f>IF(Flare!$C$7="",0,(SUMIF(Flare!$B$46:$B$185,$J3964,Flare!$E$46:$E$185)*Impacts!$F$16))</f>
        <v>0</v>
      </c>
      <c r="U3964" s="10">
        <f>IF(VCU!$C$9="",0,(SUMIF(VCU!$B$51:$B$193,$J3964,VCU!$E$51:$E$193)*Impacts!$F$17))</f>
        <v>0</v>
      </c>
      <c r="V3964" s="10">
        <f>IF(CAS!$C$7="",0,(SUMIF(CAS!$B$31:$B$167,$J3964,CAS!$E$31:$E$167)*Impacts!$F$18))</f>
        <v>0</v>
      </c>
      <c r="W3964" s="10">
        <f t="shared" si="102"/>
        <v>0</v>
      </c>
      <c r="AK3964" s="10" t="str">
        <f t="array" ref="AK3964">IFERROR(INDEX(SelectedSpecies,SMALL(IF(SelectedSpecies=AK$1,ROW(SelectedSpecies)),ROW(3965:3965)),2),"")</f>
        <v/>
      </c>
      <c r="BE3964" s="10"/>
      <c r="BI3964" s="10"/>
    </row>
    <row r="3965" spans="1:61" ht="21" customHeight="1" x14ac:dyDescent="0.25">
      <c r="A3965" s="10"/>
      <c r="B3965" s="10"/>
      <c r="E3965" s="10"/>
      <c r="G3965" s="10"/>
      <c r="I3965" s="436" t="s">
        <v>7656</v>
      </c>
      <c r="J3965" s="26" t="s">
        <v>7655</v>
      </c>
      <c r="K3965" s="10">
        <v>0.13</v>
      </c>
      <c r="L3965" s="73">
        <f>IF(Tank1!$C$23="No control",(SUMIF(Tank1!$B$32:$B$49,$J3965,Tank1!$C$32:$C$49)*Impacts!$F$8),0)</f>
        <v>0</v>
      </c>
      <c r="M3965" s="10">
        <f>IF(Tank2!$C$23="No control",(SUMIF(Tank2!$B$32:$B$49,$J3965,Tank2!$C$32:$C$49)*Impacts!$F$9),0)</f>
        <v>0</v>
      </c>
      <c r="N3965" s="10">
        <f>IF(Tank3!$C$23="No control",(SUMIF(Tank3!$B$32:$B$49,$J3965,Tank3!$C$32:$C$49)*Impacts!$F$10),0)</f>
        <v>0</v>
      </c>
      <c r="O3965" s="10">
        <f>IF(Tank4!$C$23="No control",(SUMIF(Tank4!$B$32:$B$49,$J3965,Tank4!$C$32:$C$49)*Impacts!$F$11),0)</f>
        <v>0</v>
      </c>
      <c r="P3965" s="10">
        <f>IF(Tank5!$C$23="No control",(SUMIF(Tank5!$B$32:$B$49,$J3965,Tank5!$C$32:$C$49)*Impacts!$F$12),0)</f>
        <v>0</v>
      </c>
      <c r="Q3965" s="10">
        <f>IFERROR(IF(('Loading-drum,tote'!$C$21)="No control",SUMIF(('Loading-drum,tote'!$B$31:$B$48),$J3965,('Loading-drum,tote'!$D$31:$D$48))*Impacts!$F$13,IF(('Loading-drum,tote'!$C$21)&lt;&gt;"No control",SUMIF(('Loading-drum,tote'!$B$31:$B$48),$J3965,('Loading-drum,tote'!$E$31:$E$48))*Impacts!$F$13,0)),0)</f>
        <v>0</v>
      </c>
      <c r="R3965" s="10">
        <f>IFERROR(IF(('Loading-truck'!$C$21)="No control",SUMIF(('Loading-truck'!$B$31:$B$48),$J3965,('Loading-truck'!$D$31:$D$48))*Impacts!$F$14,IF(('Loading-truck'!$C$21)&lt;&gt;"No control",SUMIF(('Loading-truck'!$B$31:$B$48),$J3965,('Loading-truck'!$E$31:$E$48))*Impacts!$F$14,0)),0)</f>
        <v>0</v>
      </c>
      <c r="S3965" s="10">
        <f>IFERROR(IF(('Loading-rail'!$C$21)="No control",SUMIF(('Loading-rail'!$B$31:$B$48),$J3965,('Loading-rail'!$D$31:$D$48))*Impacts!$F$15,IF(('Loading-rail'!$C$21)&lt;&gt;"No control",SUMIF(('Loading-rail'!$B$31:$B$48),$J3965,('Loading-rail'!$E$31:$E$48))*Impacts!$F$15,0)),0)</f>
        <v>0</v>
      </c>
      <c r="T3965" s="10">
        <f>IF(Flare!$C$7="",0,(SUMIF(Flare!$B$46:$B$185,$J3965,Flare!$E$46:$E$185)*Impacts!$F$16))</f>
        <v>0</v>
      </c>
      <c r="U3965" s="10">
        <f>IF(VCU!$C$9="",0,(SUMIF(VCU!$B$51:$B$193,$J3965,VCU!$E$51:$E$193)*Impacts!$F$17))</f>
        <v>0</v>
      </c>
      <c r="V3965" s="10">
        <f>IF(CAS!$C$7="",0,(SUMIF(CAS!$B$31:$B$167,$J3965,CAS!$E$31:$E$167)*Impacts!$F$18))</f>
        <v>0</v>
      </c>
      <c r="W3965" s="10">
        <f t="shared" si="102"/>
        <v>0</v>
      </c>
      <c r="AK3965" s="10" t="str">
        <f t="array" ref="AK3965">IFERROR(INDEX(SelectedSpecies,SMALL(IF(SelectedSpecies=AK$1,ROW(SelectedSpecies)),ROW(3966:3966)),2),"")</f>
        <v/>
      </c>
      <c r="BE3965" s="10"/>
      <c r="BI3965" s="10"/>
    </row>
    <row r="3966" spans="1:61" ht="21" customHeight="1" x14ac:dyDescent="0.25">
      <c r="A3966" s="10"/>
      <c r="B3966" s="10"/>
      <c r="E3966" s="10"/>
      <c r="G3966" s="10"/>
      <c r="I3966" s="436" t="s">
        <v>1983</v>
      </c>
      <c r="J3966" s="26" t="s">
        <v>1982</v>
      </c>
      <c r="K3966" s="10">
        <v>18</v>
      </c>
      <c r="L3966" s="73">
        <f>IF(Tank1!$C$23="No control",(SUMIF(Tank1!$B$32:$B$49,$J3966,Tank1!$C$32:$C$49)*Impacts!$F$8),0)</f>
        <v>0</v>
      </c>
      <c r="M3966" s="10">
        <f>IF(Tank2!$C$23="No control",(SUMIF(Tank2!$B$32:$B$49,$J3966,Tank2!$C$32:$C$49)*Impacts!$F$9),0)</f>
        <v>0</v>
      </c>
      <c r="N3966" s="10">
        <f>IF(Tank3!$C$23="No control",(SUMIF(Tank3!$B$32:$B$49,$J3966,Tank3!$C$32:$C$49)*Impacts!$F$10),0)</f>
        <v>0</v>
      </c>
      <c r="O3966" s="10">
        <f>IF(Tank4!$C$23="No control",(SUMIF(Tank4!$B$32:$B$49,$J3966,Tank4!$C$32:$C$49)*Impacts!$F$11),0)</f>
        <v>0</v>
      </c>
      <c r="P3966" s="10">
        <f>IF(Tank5!$C$23="No control",(SUMIF(Tank5!$B$32:$B$49,$J3966,Tank5!$C$32:$C$49)*Impacts!$F$12),0)</f>
        <v>0</v>
      </c>
      <c r="Q3966" s="10">
        <f>IFERROR(IF(('Loading-drum,tote'!$C$21)="No control",SUMIF(('Loading-drum,tote'!$B$31:$B$48),$J3966,('Loading-drum,tote'!$D$31:$D$48))*Impacts!$F$13,IF(('Loading-drum,tote'!$C$21)&lt;&gt;"No control",SUMIF(('Loading-drum,tote'!$B$31:$B$48),$J3966,('Loading-drum,tote'!$E$31:$E$48))*Impacts!$F$13,0)),0)</f>
        <v>0</v>
      </c>
      <c r="R3966" s="10">
        <f>IFERROR(IF(('Loading-truck'!$C$21)="No control",SUMIF(('Loading-truck'!$B$31:$B$48),$J3966,('Loading-truck'!$D$31:$D$48))*Impacts!$F$14,IF(('Loading-truck'!$C$21)&lt;&gt;"No control",SUMIF(('Loading-truck'!$B$31:$B$48),$J3966,('Loading-truck'!$E$31:$E$48))*Impacts!$F$14,0)),0)</f>
        <v>0</v>
      </c>
      <c r="S3966" s="10">
        <f>IFERROR(IF(('Loading-rail'!$C$21)="No control",SUMIF(('Loading-rail'!$B$31:$B$48),$J3966,('Loading-rail'!$D$31:$D$48))*Impacts!$F$15,IF(('Loading-rail'!$C$21)&lt;&gt;"No control",SUMIF(('Loading-rail'!$B$31:$B$48),$J3966,('Loading-rail'!$E$31:$E$48))*Impacts!$F$15,0)),0)</f>
        <v>0</v>
      </c>
      <c r="T3966" s="10">
        <f>IF(Flare!$C$7="",0,(SUMIF(Flare!$B$46:$B$185,$J3966,Flare!$E$46:$E$185)*Impacts!$F$16))</f>
        <v>0</v>
      </c>
      <c r="U3966" s="10">
        <f>IF(VCU!$C$9="",0,(SUMIF(VCU!$B$51:$B$193,$J3966,VCU!$E$51:$E$193)*Impacts!$F$17))</f>
        <v>0</v>
      </c>
      <c r="V3966" s="10">
        <f>IF(CAS!$C$7="",0,(SUMIF(CAS!$B$31:$B$167,$J3966,CAS!$E$31:$E$167)*Impacts!$F$18))</f>
        <v>0</v>
      </c>
      <c r="W3966" s="10">
        <f t="shared" si="102"/>
        <v>0</v>
      </c>
      <c r="AK3966" s="10" t="str">
        <f t="array" ref="AK3966">IFERROR(INDEX(SelectedSpecies,SMALL(IF(SelectedSpecies=AK$1,ROW(SelectedSpecies)),ROW(3967:3967)),2),"")</f>
        <v/>
      </c>
      <c r="BE3966" s="10"/>
      <c r="BI3966" s="10"/>
    </row>
    <row r="3967" spans="1:61" ht="21" customHeight="1" x14ac:dyDescent="0.25">
      <c r="A3967" s="10"/>
      <c r="B3967" s="10"/>
      <c r="E3967" s="10"/>
      <c r="G3967" s="10"/>
      <c r="I3967" s="436" t="s">
        <v>5209</v>
      </c>
      <c r="J3967" s="26" t="s">
        <v>5208</v>
      </c>
      <c r="K3967" s="10">
        <v>2</v>
      </c>
      <c r="L3967" s="73">
        <f>IF(Tank1!$C$23="No control",(SUMIF(Tank1!$B$32:$B$49,$J3967,Tank1!$C$32:$C$49)*Impacts!$F$8),0)</f>
        <v>0</v>
      </c>
      <c r="M3967" s="10">
        <f>IF(Tank2!$C$23="No control",(SUMIF(Tank2!$B$32:$B$49,$J3967,Tank2!$C$32:$C$49)*Impacts!$F$9),0)</f>
        <v>0</v>
      </c>
      <c r="N3967" s="10">
        <f>IF(Tank3!$C$23="No control",(SUMIF(Tank3!$B$32:$B$49,$J3967,Tank3!$C$32:$C$49)*Impacts!$F$10),0)</f>
        <v>0</v>
      </c>
      <c r="O3967" s="10">
        <f>IF(Tank4!$C$23="No control",(SUMIF(Tank4!$B$32:$B$49,$J3967,Tank4!$C$32:$C$49)*Impacts!$F$11),0)</f>
        <v>0</v>
      </c>
      <c r="P3967" s="10">
        <f>IF(Tank5!$C$23="No control",(SUMIF(Tank5!$B$32:$B$49,$J3967,Tank5!$C$32:$C$49)*Impacts!$F$12),0)</f>
        <v>0</v>
      </c>
      <c r="Q3967" s="10">
        <f>IFERROR(IF(('Loading-drum,tote'!$C$21)="No control",SUMIF(('Loading-drum,tote'!$B$31:$B$48),$J3967,('Loading-drum,tote'!$D$31:$D$48))*Impacts!$F$13,IF(('Loading-drum,tote'!$C$21)&lt;&gt;"No control",SUMIF(('Loading-drum,tote'!$B$31:$B$48),$J3967,('Loading-drum,tote'!$E$31:$E$48))*Impacts!$F$13,0)),0)</f>
        <v>0</v>
      </c>
      <c r="R3967" s="10">
        <f>IFERROR(IF(('Loading-truck'!$C$21)="No control",SUMIF(('Loading-truck'!$B$31:$B$48),$J3967,('Loading-truck'!$D$31:$D$48))*Impacts!$F$14,IF(('Loading-truck'!$C$21)&lt;&gt;"No control",SUMIF(('Loading-truck'!$B$31:$B$48),$J3967,('Loading-truck'!$E$31:$E$48))*Impacts!$F$14,0)),0)</f>
        <v>0</v>
      </c>
      <c r="S3967" s="10">
        <f>IFERROR(IF(('Loading-rail'!$C$21)="No control",SUMIF(('Loading-rail'!$B$31:$B$48),$J3967,('Loading-rail'!$D$31:$D$48))*Impacts!$F$15,IF(('Loading-rail'!$C$21)&lt;&gt;"No control",SUMIF(('Loading-rail'!$B$31:$B$48),$J3967,('Loading-rail'!$E$31:$E$48))*Impacts!$F$15,0)),0)</f>
        <v>0</v>
      </c>
      <c r="T3967" s="10">
        <f>IF(Flare!$C$7="",0,(SUMIF(Flare!$B$46:$B$185,$J3967,Flare!$E$46:$E$185)*Impacts!$F$16))</f>
        <v>0</v>
      </c>
      <c r="U3967" s="10">
        <f>IF(VCU!$C$9="",0,(SUMIF(VCU!$B$51:$B$193,$J3967,VCU!$E$51:$E$193)*Impacts!$F$17))</f>
        <v>0</v>
      </c>
      <c r="V3967" s="10">
        <f>IF(CAS!$C$7="",0,(SUMIF(CAS!$B$31:$B$167,$J3967,CAS!$E$31:$E$167)*Impacts!$F$18))</f>
        <v>0</v>
      </c>
      <c r="W3967" s="10">
        <f t="shared" si="102"/>
        <v>0</v>
      </c>
      <c r="AK3967" s="10" t="str">
        <f t="array" ref="AK3967">IFERROR(INDEX(SelectedSpecies,SMALL(IF(SelectedSpecies=AK$1,ROW(SelectedSpecies)),ROW(3968:3968)),2),"")</f>
        <v/>
      </c>
      <c r="BE3967" s="10"/>
      <c r="BI3967" s="10"/>
    </row>
    <row r="3968" spans="1:61" ht="21" customHeight="1" x14ac:dyDescent="0.25">
      <c r="A3968" s="10"/>
      <c r="B3968" s="10"/>
      <c r="E3968" s="10"/>
      <c r="G3968" s="10"/>
      <c r="I3968" s="436" t="s">
        <v>5363</v>
      </c>
      <c r="J3968" s="26" t="s">
        <v>5362</v>
      </c>
      <c r="K3968" s="10">
        <v>1.6</v>
      </c>
      <c r="L3968" s="73">
        <f>IF(Tank1!$C$23="No control",(SUMIF(Tank1!$B$32:$B$49,$J3968,Tank1!$C$32:$C$49)*Impacts!$F$8),0)</f>
        <v>0</v>
      </c>
      <c r="M3968" s="10">
        <f>IF(Tank2!$C$23="No control",(SUMIF(Tank2!$B$32:$B$49,$J3968,Tank2!$C$32:$C$49)*Impacts!$F$9),0)</f>
        <v>0</v>
      </c>
      <c r="N3968" s="10">
        <f>IF(Tank3!$C$23="No control",(SUMIF(Tank3!$B$32:$B$49,$J3968,Tank3!$C$32:$C$49)*Impacts!$F$10),0)</f>
        <v>0</v>
      </c>
      <c r="O3968" s="10">
        <f>IF(Tank4!$C$23="No control",(SUMIF(Tank4!$B$32:$B$49,$J3968,Tank4!$C$32:$C$49)*Impacts!$F$11),0)</f>
        <v>0</v>
      </c>
      <c r="P3968" s="10">
        <f>IF(Tank5!$C$23="No control",(SUMIF(Tank5!$B$32:$B$49,$J3968,Tank5!$C$32:$C$49)*Impacts!$F$12),0)</f>
        <v>0</v>
      </c>
      <c r="Q3968" s="10">
        <f>IFERROR(IF(('Loading-drum,tote'!$C$21)="No control",SUMIF(('Loading-drum,tote'!$B$31:$B$48),$J3968,('Loading-drum,tote'!$D$31:$D$48))*Impacts!$F$13,IF(('Loading-drum,tote'!$C$21)&lt;&gt;"No control",SUMIF(('Loading-drum,tote'!$B$31:$B$48),$J3968,('Loading-drum,tote'!$E$31:$E$48))*Impacts!$F$13,0)),0)</f>
        <v>0</v>
      </c>
      <c r="R3968" s="10">
        <f>IFERROR(IF(('Loading-truck'!$C$21)="No control",SUMIF(('Loading-truck'!$B$31:$B$48),$J3968,('Loading-truck'!$D$31:$D$48))*Impacts!$F$14,IF(('Loading-truck'!$C$21)&lt;&gt;"No control",SUMIF(('Loading-truck'!$B$31:$B$48),$J3968,('Loading-truck'!$E$31:$E$48))*Impacts!$F$14,0)),0)</f>
        <v>0</v>
      </c>
      <c r="S3968" s="10">
        <f>IFERROR(IF(('Loading-rail'!$C$21)="No control",SUMIF(('Loading-rail'!$B$31:$B$48),$J3968,('Loading-rail'!$D$31:$D$48))*Impacts!$F$15,IF(('Loading-rail'!$C$21)&lt;&gt;"No control",SUMIF(('Loading-rail'!$B$31:$B$48),$J3968,('Loading-rail'!$E$31:$E$48))*Impacts!$F$15,0)),0)</f>
        <v>0</v>
      </c>
      <c r="T3968" s="10">
        <f>IF(Flare!$C$7="",0,(SUMIF(Flare!$B$46:$B$185,$J3968,Flare!$E$46:$E$185)*Impacts!$F$16))</f>
        <v>0</v>
      </c>
      <c r="U3968" s="10">
        <f>IF(VCU!$C$9="",0,(SUMIF(VCU!$B$51:$B$193,$J3968,VCU!$E$51:$E$193)*Impacts!$F$17))</f>
        <v>0</v>
      </c>
      <c r="V3968" s="10">
        <f>IF(CAS!$C$7="",0,(SUMIF(CAS!$B$31:$B$167,$J3968,CAS!$E$31:$E$167)*Impacts!$F$18))</f>
        <v>0</v>
      </c>
      <c r="W3968" s="10">
        <f t="shared" si="102"/>
        <v>0</v>
      </c>
      <c r="AK3968" s="10" t="str">
        <f t="array" ref="AK3968">IFERROR(INDEX(SelectedSpecies,SMALL(IF(SelectedSpecies=AK$1,ROW(SelectedSpecies)),ROW(3969:3969)),2),"")</f>
        <v/>
      </c>
      <c r="BE3968" s="10"/>
      <c r="BI3968" s="10"/>
    </row>
    <row r="3969" spans="1:61" ht="21" customHeight="1" x14ac:dyDescent="0.25">
      <c r="A3969" s="10"/>
      <c r="B3969" s="10"/>
      <c r="E3969" s="10"/>
      <c r="G3969" s="10"/>
      <c r="I3969" s="436" t="s">
        <v>5211</v>
      </c>
      <c r="J3969" s="26" t="s">
        <v>5210</v>
      </c>
      <c r="K3969" s="10">
        <v>2</v>
      </c>
      <c r="L3969" s="73">
        <f>IF(Tank1!$C$23="No control",(SUMIF(Tank1!$B$32:$B$49,$J3969,Tank1!$C$32:$C$49)*Impacts!$F$8),0)</f>
        <v>0</v>
      </c>
      <c r="M3969" s="10">
        <f>IF(Tank2!$C$23="No control",(SUMIF(Tank2!$B$32:$B$49,$J3969,Tank2!$C$32:$C$49)*Impacts!$F$9),0)</f>
        <v>0</v>
      </c>
      <c r="N3969" s="10">
        <f>IF(Tank3!$C$23="No control",(SUMIF(Tank3!$B$32:$B$49,$J3969,Tank3!$C$32:$C$49)*Impacts!$F$10),0)</f>
        <v>0</v>
      </c>
      <c r="O3969" s="10">
        <f>IF(Tank4!$C$23="No control",(SUMIF(Tank4!$B$32:$B$49,$J3969,Tank4!$C$32:$C$49)*Impacts!$F$11),0)</f>
        <v>0</v>
      </c>
      <c r="P3969" s="10">
        <f>IF(Tank5!$C$23="No control",(SUMIF(Tank5!$B$32:$B$49,$J3969,Tank5!$C$32:$C$49)*Impacts!$F$12),0)</f>
        <v>0</v>
      </c>
      <c r="Q3969" s="10">
        <f>IFERROR(IF(('Loading-drum,tote'!$C$21)="No control",SUMIF(('Loading-drum,tote'!$B$31:$B$48),$J3969,('Loading-drum,tote'!$D$31:$D$48))*Impacts!$F$13,IF(('Loading-drum,tote'!$C$21)&lt;&gt;"No control",SUMIF(('Loading-drum,tote'!$B$31:$B$48),$J3969,('Loading-drum,tote'!$E$31:$E$48))*Impacts!$F$13,0)),0)</f>
        <v>0</v>
      </c>
      <c r="R3969" s="10">
        <f>IFERROR(IF(('Loading-truck'!$C$21)="No control",SUMIF(('Loading-truck'!$B$31:$B$48),$J3969,('Loading-truck'!$D$31:$D$48))*Impacts!$F$14,IF(('Loading-truck'!$C$21)&lt;&gt;"No control",SUMIF(('Loading-truck'!$B$31:$B$48),$J3969,('Loading-truck'!$E$31:$E$48))*Impacts!$F$14,0)),0)</f>
        <v>0</v>
      </c>
      <c r="S3969" s="10">
        <f>IFERROR(IF(('Loading-rail'!$C$21)="No control",SUMIF(('Loading-rail'!$B$31:$B$48),$J3969,('Loading-rail'!$D$31:$D$48))*Impacts!$F$15,IF(('Loading-rail'!$C$21)&lt;&gt;"No control",SUMIF(('Loading-rail'!$B$31:$B$48),$J3969,('Loading-rail'!$E$31:$E$48))*Impacts!$F$15,0)),0)</f>
        <v>0</v>
      </c>
      <c r="T3969" s="10">
        <f>IF(Flare!$C$7="",0,(SUMIF(Flare!$B$46:$B$185,$J3969,Flare!$E$46:$E$185)*Impacts!$F$16))</f>
        <v>0</v>
      </c>
      <c r="U3969" s="10">
        <f>IF(VCU!$C$9="",0,(SUMIF(VCU!$B$51:$B$193,$J3969,VCU!$E$51:$E$193)*Impacts!$F$17))</f>
        <v>0</v>
      </c>
      <c r="V3969" s="10">
        <f>IF(CAS!$C$7="",0,(SUMIF(CAS!$B$31:$B$167,$J3969,CAS!$E$31:$E$167)*Impacts!$F$18))</f>
        <v>0</v>
      </c>
      <c r="W3969" s="10">
        <f t="shared" si="102"/>
        <v>0</v>
      </c>
      <c r="AK3969" s="10" t="str">
        <f t="array" ref="AK3969">IFERROR(INDEX(SelectedSpecies,SMALL(IF(SelectedSpecies=AK$1,ROW(SelectedSpecies)),ROW(3970:3970)),2),"")</f>
        <v/>
      </c>
      <c r="BE3969" s="10"/>
      <c r="BI3969" s="10"/>
    </row>
    <row r="3970" spans="1:61" ht="21" customHeight="1" x14ac:dyDescent="0.25">
      <c r="A3970" s="10"/>
      <c r="B3970" s="10"/>
      <c r="E3970" s="10"/>
      <c r="G3970" s="10"/>
      <c r="I3970" s="436" t="s">
        <v>8236</v>
      </c>
      <c r="J3970" s="26" t="s">
        <v>8235</v>
      </c>
      <c r="K3970" s="10">
        <v>1.0000000000000002E-2</v>
      </c>
      <c r="L3970" s="73">
        <f>IF(Tank1!$C$23="No control",(SUMIF(Tank1!$B$32:$B$49,$J3970,Tank1!$C$32:$C$49)*Impacts!$F$8),0)</f>
        <v>0</v>
      </c>
      <c r="M3970" s="10">
        <f>IF(Tank2!$C$23="No control",(SUMIF(Tank2!$B$32:$B$49,$J3970,Tank2!$C$32:$C$49)*Impacts!$F$9),0)</f>
        <v>0</v>
      </c>
      <c r="N3970" s="10">
        <f>IF(Tank3!$C$23="No control",(SUMIF(Tank3!$B$32:$B$49,$J3970,Tank3!$C$32:$C$49)*Impacts!$F$10),0)</f>
        <v>0</v>
      </c>
      <c r="O3970" s="10">
        <f>IF(Tank4!$C$23="No control",(SUMIF(Tank4!$B$32:$B$49,$J3970,Tank4!$C$32:$C$49)*Impacts!$F$11),0)</f>
        <v>0</v>
      </c>
      <c r="P3970" s="10">
        <f>IF(Tank5!$C$23="No control",(SUMIF(Tank5!$B$32:$B$49,$J3970,Tank5!$C$32:$C$49)*Impacts!$F$12),0)</f>
        <v>0</v>
      </c>
      <c r="Q3970" s="10">
        <f>IFERROR(IF(('Loading-drum,tote'!$C$21)="No control",SUMIF(('Loading-drum,tote'!$B$31:$B$48),$J3970,('Loading-drum,tote'!$D$31:$D$48))*Impacts!$F$13,IF(('Loading-drum,tote'!$C$21)&lt;&gt;"No control",SUMIF(('Loading-drum,tote'!$B$31:$B$48),$J3970,('Loading-drum,tote'!$E$31:$E$48))*Impacts!$F$13,0)),0)</f>
        <v>0</v>
      </c>
      <c r="R3970" s="10">
        <f>IFERROR(IF(('Loading-truck'!$C$21)="No control",SUMIF(('Loading-truck'!$B$31:$B$48),$J3970,('Loading-truck'!$D$31:$D$48))*Impacts!$F$14,IF(('Loading-truck'!$C$21)&lt;&gt;"No control",SUMIF(('Loading-truck'!$B$31:$B$48),$J3970,('Loading-truck'!$E$31:$E$48))*Impacts!$F$14,0)),0)</f>
        <v>0</v>
      </c>
      <c r="S3970" s="10">
        <f>IFERROR(IF(('Loading-rail'!$C$21)="No control",SUMIF(('Loading-rail'!$B$31:$B$48),$J3970,('Loading-rail'!$D$31:$D$48))*Impacts!$F$15,IF(('Loading-rail'!$C$21)&lt;&gt;"No control",SUMIF(('Loading-rail'!$B$31:$B$48),$J3970,('Loading-rail'!$E$31:$E$48))*Impacts!$F$15,0)),0)</f>
        <v>0</v>
      </c>
      <c r="T3970" s="10">
        <f>IF(Flare!$C$7="",0,(SUMIF(Flare!$B$46:$B$185,$J3970,Flare!$E$46:$E$185)*Impacts!$F$16))</f>
        <v>0</v>
      </c>
      <c r="U3970" s="10">
        <f>IF(VCU!$C$9="",0,(SUMIF(VCU!$B$51:$B$193,$J3970,VCU!$E$51:$E$193)*Impacts!$F$17))</f>
        <v>0</v>
      </c>
      <c r="V3970" s="10">
        <f>IF(CAS!$C$7="",0,(SUMIF(CAS!$B$31:$B$167,$J3970,CAS!$E$31:$E$167)*Impacts!$F$18))</f>
        <v>0</v>
      </c>
      <c r="W3970" s="10">
        <f t="shared" si="102"/>
        <v>0</v>
      </c>
      <c r="AK3970" s="10" t="str">
        <f t="array" ref="AK3970">IFERROR(INDEX(SelectedSpecies,SMALL(IF(SelectedSpecies=AK$1,ROW(SelectedSpecies)),ROW(3971:3971)),2),"")</f>
        <v/>
      </c>
      <c r="BE3970" s="10"/>
      <c r="BI3970" s="10"/>
    </row>
    <row r="3971" spans="1:61" ht="21" customHeight="1" x14ac:dyDescent="0.25">
      <c r="A3971" s="10"/>
      <c r="B3971" s="10"/>
      <c r="E3971" s="10"/>
      <c r="G3971" s="10"/>
      <c r="I3971" s="436" t="s">
        <v>918</v>
      </c>
      <c r="J3971" s="26" t="s">
        <v>917</v>
      </c>
      <c r="K3971" s="10">
        <v>45</v>
      </c>
      <c r="L3971" s="73">
        <f>IF(Tank1!$C$23="No control",(SUMIF(Tank1!$B$32:$B$49,$J3971,Tank1!$C$32:$C$49)*Impacts!$F$8),0)</f>
        <v>0</v>
      </c>
      <c r="M3971" s="10">
        <f>IF(Tank2!$C$23="No control",(SUMIF(Tank2!$B$32:$B$49,$J3971,Tank2!$C$32:$C$49)*Impacts!$F$9),0)</f>
        <v>0</v>
      </c>
      <c r="N3971" s="10">
        <f>IF(Tank3!$C$23="No control",(SUMIF(Tank3!$B$32:$B$49,$J3971,Tank3!$C$32:$C$49)*Impacts!$F$10),0)</f>
        <v>0</v>
      </c>
      <c r="O3971" s="10">
        <f>IF(Tank4!$C$23="No control",(SUMIF(Tank4!$B$32:$B$49,$J3971,Tank4!$C$32:$C$49)*Impacts!$F$11),0)</f>
        <v>0</v>
      </c>
      <c r="P3971" s="10">
        <f>IF(Tank5!$C$23="No control",(SUMIF(Tank5!$B$32:$B$49,$J3971,Tank5!$C$32:$C$49)*Impacts!$F$12),0)</f>
        <v>0</v>
      </c>
      <c r="Q3971" s="10">
        <f>IFERROR(IF(('Loading-drum,tote'!$C$21)="No control",SUMIF(('Loading-drum,tote'!$B$31:$B$48),$J3971,('Loading-drum,tote'!$D$31:$D$48))*Impacts!$F$13,IF(('Loading-drum,tote'!$C$21)&lt;&gt;"No control",SUMIF(('Loading-drum,tote'!$B$31:$B$48),$J3971,('Loading-drum,tote'!$E$31:$E$48))*Impacts!$F$13,0)),0)</f>
        <v>0</v>
      </c>
      <c r="R3971" s="10">
        <f>IFERROR(IF(('Loading-truck'!$C$21)="No control",SUMIF(('Loading-truck'!$B$31:$B$48),$J3971,('Loading-truck'!$D$31:$D$48))*Impacts!$F$14,IF(('Loading-truck'!$C$21)&lt;&gt;"No control",SUMIF(('Loading-truck'!$B$31:$B$48),$J3971,('Loading-truck'!$E$31:$E$48))*Impacts!$F$14,0)),0)</f>
        <v>0</v>
      </c>
      <c r="S3971" s="10">
        <f>IFERROR(IF(('Loading-rail'!$C$21)="No control",SUMIF(('Loading-rail'!$B$31:$B$48),$J3971,('Loading-rail'!$D$31:$D$48))*Impacts!$F$15,IF(('Loading-rail'!$C$21)&lt;&gt;"No control",SUMIF(('Loading-rail'!$B$31:$B$48),$J3971,('Loading-rail'!$E$31:$E$48))*Impacts!$F$15,0)),0)</f>
        <v>0</v>
      </c>
      <c r="T3971" s="10">
        <f>IF(Flare!$C$7="",0,(SUMIF(Flare!$B$46:$B$185,$J3971,Flare!$E$46:$E$185)*Impacts!$F$16))</f>
        <v>0</v>
      </c>
      <c r="U3971" s="10">
        <f>IF(VCU!$C$9="",0,(SUMIF(VCU!$B$51:$B$193,$J3971,VCU!$E$51:$E$193)*Impacts!$F$17))</f>
        <v>0</v>
      </c>
      <c r="V3971" s="10">
        <f>IF(CAS!$C$7="",0,(SUMIF(CAS!$B$31:$B$167,$J3971,CAS!$E$31:$E$167)*Impacts!$F$18))</f>
        <v>0</v>
      </c>
      <c r="W3971" s="10">
        <f t="shared" si="102"/>
        <v>0</v>
      </c>
      <c r="AK3971" s="10" t="str">
        <f t="array" ref="AK3971">IFERROR(INDEX(SelectedSpecies,SMALL(IF(SelectedSpecies=AK$1,ROW(SelectedSpecies)),ROW(3972:3972)),2),"")</f>
        <v/>
      </c>
      <c r="BE3971" s="10"/>
      <c r="BI3971" s="10"/>
    </row>
    <row r="3972" spans="1:61" ht="21" customHeight="1" x14ac:dyDescent="0.25">
      <c r="A3972" s="10"/>
      <c r="B3972" s="10"/>
      <c r="E3972" s="10"/>
      <c r="G3972" s="10"/>
      <c r="I3972" s="436" t="s">
        <v>4319</v>
      </c>
      <c r="J3972" s="26" t="s">
        <v>4318</v>
      </c>
      <c r="K3972" s="10">
        <v>5</v>
      </c>
      <c r="L3972" s="73">
        <f>IF(Tank1!$C$23="No control",(SUMIF(Tank1!$B$32:$B$49,$J3972,Tank1!$C$32:$C$49)*Impacts!$F$8),0)</f>
        <v>0</v>
      </c>
      <c r="M3972" s="10">
        <f>IF(Tank2!$C$23="No control",(SUMIF(Tank2!$B$32:$B$49,$J3972,Tank2!$C$32:$C$49)*Impacts!$F$9),0)</f>
        <v>0</v>
      </c>
      <c r="N3972" s="10">
        <f>IF(Tank3!$C$23="No control",(SUMIF(Tank3!$B$32:$B$49,$J3972,Tank3!$C$32:$C$49)*Impacts!$F$10),0)</f>
        <v>0</v>
      </c>
      <c r="O3972" s="10">
        <f>IF(Tank4!$C$23="No control",(SUMIF(Tank4!$B$32:$B$49,$J3972,Tank4!$C$32:$C$49)*Impacts!$F$11),0)</f>
        <v>0</v>
      </c>
      <c r="P3972" s="10">
        <f>IF(Tank5!$C$23="No control",(SUMIF(Tank5!$B$32:$B$49,$J3972,Tank5!$C$32:$C$49)*Impacts!$F$12),0)</f>
        <v>0</v>
      </c>
      <c r="Q3972" s="10">
        <f>IFERROR(IF(('Loading-drum,tote'!$C$21)="No control",SUMIF(('Loading-drum,tote'!$B$31:$B$48),$J3972,('Loading-drum,tote'!$D$31:$D$48))*Impacts!$F$13,IF(('Loading-drum,tote'!$C$21)&lt;&gt;"No control",SUMIF(('Loading-drum,tote'!$B$31:$B$48),$J3972,('Loading-drum,tote'!$E$31:$E$48))*Impacts!$F$13,0)),0)</f>
        <v>0</v>
      </c>
      <c r="R3972" s="10">
        <f>IFERROR(IF(('Loading-truck'!$C$21)="No control",SUMIF(('Loading-truck'!$B$31:$B$48),$J3972,('Loading-truck'!$D$31:$D$48))*Impacts!$F$14,IF(('Loading-truck'!$C$21)&lt;&gt;"No control",SUMIF(('Loading-truck'!$B$31:$B$48),$J3972,('Loading-truck'!$E$31:$E$48))*Impacts!$F$14,0)),0)</f>
        <v>0</v>
      </c>
      <c r="S3972" s="10">
        <f>IFERROR(IF(('Loading-rail'!$C$21)="No control",SUMIF(('Loading-rail'!$B$31:$B$48),$J3972,('Loading-rail'!$D$31:$D$48))*Impacts!$F$15,IF(('Loading-rail'!$C$21)&lt;&gt;"No control",SUMIF(('Loading-rail'!$B$31:$B$48),$J3972,('Loading-rail'!$E$31:$E$48))*Impacts!$F$15,0)),0)</f>
        <v>0</v>
      </c>
      <c r="T3972" s="10">
        <f>IF(Flare!$C$7="",0,(SUMIF(Flare!$B$46:$B$185,$J3972,Flare!$E$46:$E$185)*Impacts!$F$16))</f>
        <v>0</v>
      </c>
      <c r="U3972" s="10">
        <f>IF(VCU!$C$9="",0,(SUMIF(VCU!$B$51:$B$193,$J3972,VCU!$E$51:$E$193)*Impacts!$F$17))</f>
        <v>0</v>
      </c>
      <c r="V3972" s="10">
        <f>IF(CAS!$C$7="",0,(SUMIF(CAS!$B$31:$B$167,$J3972,CAS!$E$31:$E$167)*Impacts!$F$18))</f>
        <v>0</v>
      </c>
      <c r="W3972" s="10">
        <f t="shared" si="102"/>
        <v>0</v>
      </c>
      <c r="AK3972" s="10" t="str">
        <f t="array" ref="AK3972">IFERROR(INDEX(SelectedSpecies,SMALL(IF(SelectedSpecies=AK$1,ROW(SelectedSpecies)),ROW(3973:3973)),2),"")</f>
        <v/>
      </c>
      <c r="BE3972" s="10"/>
      <c r="BI3972" s="10"/>
    </row>
    <row r="3973" spans="1:61" ht="21" customHeight="1" x14ac:dyDescent="0.25">
      <c r="A3973" s="10"/>
      <c r="B3973" s="10"/>
      <c r="E3973" s="10"/>
      <c r="G3973" s="10"/>
      <c r="I3973" s="436" t="s">
        <v>2659</v>
      </c>
      <c r="J3973" s="26" t="s">
        <v>2658</v>
      </c>
      <c r="K3973" s="10">
        <v>10</v>
      </c>
      <c r="L3973" s="73">
        <f>IF(Tank1!$C$23="No control",(SUMIF(Tank1!$B$32:$B$49,$J3973,Tank1!$C$32:$C$49)*Impacts!$F$8),0)</f>
        <v>0</v>
      </c>
      <c r="M3973" s="10">
        <f>IF(Tank2!$C$23="No control",(SUMIF(Tank2!$B$32:$B$49,$J3973,Tank2!$C$32:$C$49)*Impacts!$F$9),0)</f>
        <v>0</v>
      </c>
      <c r="N3973" s="10">
        <f>IF(Tank3!$C$23="No control",(SUMIF(Tank3!$B$32:$B$49,$J3973,Tank3!$C$32:$C$49)*Impacts!$F$10),0)</f>
        <v>0</v>
      </c>
      <c r="O3973" s="10">
        <f>IF(Tank4!$C$23="No control",(SUMIF(Tank4!$B$32:$B$49,$J3973,Tank4!$C$32:$C$49)*Impacts!$F$11),0)</f>
        <v>0</v>
      </c>
      <c r="P3973" s="10">
        <f>IF(Tank5!$C$23="No control",(SUMIF(Tank5!$B$32:$B$49,$J3973,Tank5!$C$32:$C$49)*Impacts!$F$12),0)</f>
        <v>0</v>
      </c>
      <c r="Q3973" s="10">
        <f>IFERROR(IF(('Loading-drum,tote'!$C$21)="No control",SUMIF(('Loading-drum,tote'!$B$31:$B$48),$J3973,('Loading-drum,tote'!$D$31:$D$48))*Impacts!$F$13,IF(('Loading-drum,tote'!$C$21)&lt;&gt;"No control",SUMIF(('Loading-drum,tote'!$B$31:$B$48),$J3973,('Loading-drum,tote'!$E$31:$E$48))*Impacts!$F$13,0)),0)</f>
        <v>0</v>
      </c>
      <c r="R3973" s="10">
        <f>IFERROR(IF(('Loading-truck'!$C$21)="No control",SUMIF(('Loading-truck'!$B$31:$B$48),$J3973,('Loading-truck'!$D$31:$D$48))*Impacts!$F$14,IF(('Loading-truck'!$C$21)&lt;&gt;"No control",SUMIF(('Loading-truck'!$B$31:$B$48),$J3973,('Loading-truck'!$E$31:$E$48))*Impacts!$F$14,0)),0)</f>
        <v>0</v>
      </c>
      <c r="S3973" s="10">
        <f>IFERROR(IF(('Loading-rail'!$C$21)="No control",SUMIF(('Loading-rail'!$B$31:$B$48),$J3973,('Loading-rail'!$D$31:$D$48))*Impacts!$F$15,IF(('Loading-rail'!$C$21)&lt;&gt;"No control",SUMIF(('Loading-rail'!$B$31:$B$48),$J3973,('Loading-rail'!$E$31:$E$48))*Impacts!$F$15,0)),0)</f>
        <v>0</v>
      </c>
      <c r="T3973" s="10">
        <f>IF(Flare!$C$7="",0,(SUMIF(Flare!$B$46:$B$185,$J3973,Flare!$E$46:$E$185)*Impacts!$F$16))</f>
        <v>0</v>
      </c>
      <c r="U3973" s="10">
        <f>IF(VCU!$C$9="",0,(SUMIF(VCU!$B$51:$B$193,$J3973,VCU!$E$51:$E$193)*Impacts!$F$17))</f>
        <v>0</v>
      </c>
      <c r="V3973" s="10">
        <f>IF(CAS!$C$7="",0,(SUMIF(CAS!$B$31:$B$167,$J3973,CAS!$E$31:$E$167)*Impacts!$F$18))</f>
        <v>0</v>
      </c>
      <c r="W3973" s="10">
        <f t="shared" si="102"/>
        <v>0</v>
      </c>
      <c r="AK3973" s="10" t="str">
        <f t="array" ref="AK3973">IFERROR(INDEX(SelectedSpecies,SMALL(IF(SelectedSpecies=AK$1,ROW(SelectedSpecies)),ROW(3974:3974)),2),"")</f>
        <v/>
      </c>
      <c r="BE3973" s="10"/>
      <c r="BI3973" s="10"/>
    </row>
    <row r="3974" spans="1:61" ht="21" customHeight="1" x14ac:dyDescent="0.25">
      <c r="A3974" s="10"/>
      <c r="B3974" s="10"/>
      <c r="E3974" s="10"/>
      <c r="G3974" s="10"/>
      <c r="I3974" s="436" t="s">
        <v>3447</v>
      </c>
      <c r="J3974" s="26" t="s">
        <v>3446</v>
      </c>
      <c r="K3974" s="10">
        <v>10</v>
      </c>
      <c r="L3974" s="73">
        <f>IF(Tank1!$C$23="No control",(SUMIF(Tank1!$B$32:$B$49,$J3974,Tank1!$C$32:$C$49)*Impacts!$F$8),0)</f>
        <v>0</v>
      </c>
      <c r="M3974" s="10">
        <f>IF(Tank2!$C$23="No control",(SUMIF(Tank2!$B$32:$B$49,$J3974,Tank2!$C$32:$C$49)*Impacts!$F$9),0)</f>
        <v>0</v>
      </c>
      <c r="N3974" s="10">
        <f>IF(Tank3!$C$23="No control",(SUMIF(Tank3!$B$32:$B$49,$J3974,Tank3!$C$32:$C$49)*Impacts!$F$10),0)</f>
        <v>0</v>
      </c>
      <c r="O3974" s="10">
        <f>IF(Tank4!$C$23="No control",(SUMIF(Tank4!$B$32:$B$49,$J3974,Tank4!$C$32:$C$49)*Impacts!$F$11),0)</f>
        <v>0</v>
      </c>
      <c r="P3974" s="10">
        <f>IF(Tank5!$C$23="No control",(SUMIF(Tank5!$B$32:$B$49,$J3974,Tank5!$C$32:$C$49)*Impacts!$F$12),0)</f>
        <v>0</v>
      </c>
      <c r="Q3974" s="10">
        <f>IFERROR(IF(('Loading-drum,tote'!$C$21)="No control",SUMIF(('Loading-drum,tote'!$B$31:$B$48),$J3974,('Loading-drum,tote'!$D$31:$D$48))*Impacts!$F$13,IF(('Loading-drum,tote'!$C$21)&lt;&gt;"No control",SUMIF(('Loading-drum,tote'!$B$31:$B$48),$J3974,('Loading-drum,tote'!$E$31:$E$48))*Impacts!$F$13,0)),0)</f>
        <v>0</v>
      </c>
      <c r="R3974" s="10">
        <f>IFERROR(IF(('Loading-truck'!$C$21)="No control",SUMIF(('Loading-truck'!$B$31:$B$48),$J3974,('Loading-truck'!$D$31:$D$48))*Impacts!$F$14,IF(('Loading-truck'!$C$21)&lt;&gt;"No control",SUMIF(('Loading-truck'!$B$31:$B$48),$J3974,('Loading-truck'!$E$31:$E$48))*Impacts!$F$14,0)),0)</f>
        <v>0</v>
      </c>
      <c r="S3974" s="10">
        <f>IFERROR(IF(('Loading-rail'!$C$21)="No control",SUMIF(('Loading-rail'!$B$31:$B$48),$J3974,('Loading-rail'!$D$31:$D$48))*Impacts!$F$15,IF(('Loading-rail'!$C$21)&lt;&gt;"No control",SUMIF(('Loading-rail'!$B$31:$B$48),$J3974,('Loading-rail'!$E$31:$E$48))*Impacts!$F$15,0)),0)</f>
        <v>0</v>
      </c>
      <c r="T3974" s="10">
        <f>IF(Flare!$C$7="",0,(SUMIF(Flare!$B$46:$B$185,$J3974,Flare!$E$46:$E$185)*Impacts!$F$16))</f>
        <v>0</v>
      </c>
      <c r="U3974" s="10">
        <f>IF(VCU!$C$9="",0,(SUMIF(VCU!$B$51:$B$193,$J3974,VCU!$E$51:$E$193)*Impacts!$F$17))</f>
        <v>0</v>
      </c>
      <c r="V3974" s="10">
        <f>IF(CAS!$C$7="",0,(SUMIF(CAS!$B$31:$B$167,$J3974,CAS!$E$31:$E$167)*Impacts!$F$18))</f>
        <v>0</v>
      </c>
      <c r="W3974" s="10">
        <f t="shared" si="102"/>
        <v>0</v>
      </c>
      <c r="AK3974" s="10" t="str">
        <f t="array" ref="AK3974">IFERROR(INDEX(SelectedSpecies,SMALL(IF(SelectedSpecies=AK$1,ROW(SelectedSpecies)),ROW(3975:3975)),2),"")</f>
        <v/>
      </c>
      <c r="BE3974" s="10"/>
      <c r="BI3974" s="10"/>
    </row>
    <row r="3975" spans="1:61" ht="21" customHeight="1" x14ac:dyDescent="0.25">
      <c r="A3975" s="10"/>
      <c r="B3975" s="10"/>
      <c r="E3975" s="10"/>
      <c r="G3975" s="10"/>
      <c r="I3975" s="436" t="s">
        <v>4235</v>
      </c>
      <c r="J3975" s="26" t="s">
        <v>4234</v>
      </c>
      <c r="K3975" s="10">
        <v>5</v>
      </c>
      <c r="L3975" s="73">
        <f>IF(Tank1!$C$23="No control",(SUMIF(Tank1!$B$32:$B$49,$J3975,Tank1!$C$32:$C$49)*Impacts!$F$8),0)</f>
        <v>0</v>
      </c>
      <c r="M3975" s="10">
        <f>IF(Tank2!$C$23="No control",(SUMIF(Tank2!$B$32:$B$49,$J3975,Tank2!$C$32:$C$49)*Impacts!$F$9),0)</f>
        <v>0</v>
      </c>
      <c r="N3975" s="10">
        <f>IF(Tank3!$C$23="No control",(SUMIF(Tank3!$B$32:$B$49,$J3975,Tank3!$C$32:$C$49)*Impacts!$F$10),0)</f>
        <v>0</v>
      </c>
      <c r="O3975" s="10">
        <f>IF(Tank4!$C$23="No control",(SUMIF(Tank4!$B$32:$B$49,$J3975,Tank4!$C$32:$C$49)*Impacts!$F$11),0)</f>
        <v>0</v>
      </c>
      <c r="P3975" s="10">
        <f>IF(Tank5!$C$23="No control",(SUMIF(Tank5!$B$32:$B$49,$J3975,Tank5!$C$32:$C$49)*Impacts!$F$12),0)</f>
        <v>0</v>
      </c>
      <c r="Q3975" s="10">
        <f>IFERROR(IF(('Loading-drum,tote'!$C$21)="No control",SUMIF(('Loading-drum,tote'!$B$31:$B$48),$J3975,('Loading-drum,tote'!$D$31:$D$48))*Impacts!$F$13,IF(('Loading-drum,tote'!$C$21)&lt;&gt;"No control",SUMIF(('Loading-drum,tote'!$B$31:$B$48),$J3975,('Loading-drum,tote'!$E$31:$E$48))*Impacts!$F$13,0)),0)</f>
        <v>0</v>
      </c>
      <c r="R3975" s="10">
        <f>IFERROR(IF(('Loading-truck'!$C$21)="No control",SUMIF(('Loading-truck'!$B$31:$B$48),$J3975,('Loading-truck'!$D$31:$D$48))*Impacts!$F$14,IF(('Loading-truck'!$C$21)&lt;&gt;"No control",SUMIF(('Loading-truck'!$B$31:$B$48),$J3975,('Loading-truck'!$E$31:$E$48))*Impacts!$F$14,0)),0)</f>
        <v>0</v>
      </c>
      <c r="S3975" s="10">
        <f>IFERROR(IF(('Loading-rail'!$C$21)="No control",SUMIF(('Loading-rail'!$B$31:$B$48),$J3975,('Loading-rail'!$D$31:$D$48))*Impacts!$F$15,IF(('Loading-rail'!$C$21)&lt;&gt;"No control",SUMIF(('Loading-rail'!$B$31:$B$48),$J3975,('Loading-rail'!$E$31:$E$48))*Impacts!$F$15,0)),0)</f>
        <v>0</v>
      </c>
      <c r="T3975" s="10">
        <f>IF(Flare!$C$7="",0,(SUMIF(Flare!$B$46:$B$185,$J3975,Flare!$E$46:$E$185)*Impacts!$F$16))</f>
        <v>0</v>
      </c>
      <c r="U3975" s="10">
        <f>IF(VCU!$C$9="",0,(SUMIF(VCU!$B$51:$B$193,$J3975,VCU!$E$51:$E$193)*Impacts!$F$17))</f>
        <v>0</v>
      </c>
      <c r="V3975" s="10">
        <f>IF(CAS!$C$7="",0,(SUMIF(CAS!$B$31:$B$167,$J3975,CAS!$E$31:$E$167)*Impacts!$F$18))</f>
        <v>0</v>
      </c>
      <c r="W3975" s="10">
        <f t="shared" si="102"/>
        <v>0</v>
      </c>
      <c r="AK3975" s="10" t="str">
        <f t="array" ref="AK3975">IFERROR(INDEX(SelectedSpecies,SMALL(IF(SelectedSpecies=AK$1,ROW(SelectedSpecies)),ROW(3976:3976)),2),"")</f>
        <v/>
      </c>
      <c r="BE3975" s="10"/>
      <c r="BI3975" s="10"/>
    </row>
    <row r="3976" spans="1:61" ht="21" customHeight="1" x14ac:dyDescent="0.25">
      <c r="A3976" s="10"/>
      <c r="B3976" s="10"/>
      <c r="E3976" s="10"/>
      <c r="G3976" s="10"/>
      <c r="I3976" s="436" t="s">
        <v>8298</v>
      </c>
      <c r="J3976" s="26" t="s">
        <v>8297</v>
      </c>
      <c r="K3976" s="10">
        <v>2E-3</v>
      </c>
      <c r="L3976" s="73">
        <f>IF(Tank1!$C$23="No control",(SUMIF(Tank1!$B$32:$B$49,$J3976,Tank1!$C$32:$C$49)*Impacts!$F$8),0)</f>
        <v>0</v>
      </c>
      <c r="M3976" s="10">
        <f>IF(Tank2!$C$23="No control",(SUMIF(Tank2!$B$32:$B$49,$J3976,Tank2!$C$32:$C$49)*Impacts!$F$9),0)</f>
        <v>0</v>
      </c>
      <c r="N3976" s="10">
        <f>IF(Tank3!$C$23="No control",(SUMIF(Tank3!$B$32:$B$49,$J3976,Tank3!$C$32:$C$49)*Impacts!$F$10),0)</f>
        <v>0</v>
      </c>
      <c r="O3976" s="10">
        <f>IF(Tank4!$C$23="No control",(SUMIF(Tank4!$B$32:$B$49,$J3976,Tank4!$C$32:$C$49)*Impacts!$F$11),0)</f>
        <v>0</v>
      </c>
      <c r="P3976" s="10">
        <f>IF(Tank5!$C$23="No control",(SUMIF(Tank5!$B$32:$B$49,$J3976,Tank5!$C$32:$C$49)*Impacts!$F$12),0)</f>
        <v>0</v>
      </c>
      <c r="Q3976" s="10">
        <f>IFERROR(IF(('Loading-drum,tote'!$C$21)="No control",SUMIF(('Loading-drum,tote'!$B$31:$B$48),$J3976,('Loading-drum,tote'!$D$31:$D$48))*Impacts!$F$13,IF(('Loading-drum,tote'!$C$21)&lt;&gt;"No control",SUMIF(('Loading-drum,tote'!$B$31:$B$48),$J3976,('Loading-drum,tote'!$E$31:$E$48))*Impacts!$F$13,0)),0)</f>
        <v>0</v>
      </c>
      <c r="R3976" s="10">
        <f>IFERROR(IF(('Loading-truck'!$C$21)="No control",SUMIF(('Loading-truck'!$B$31:$B$48),$J3976,('Loading-truck'!$D$31:$D$48))*Impacts!$F$14,IF(('Loading-truck'!$C$21)&lt;&gt;"No control",SUMIF(('Loading-truck'!$B$31:$B$48),$J3976,('Loading-truck'!$E$31:$E$48))*Impacts!$F$14,0)),0)</f>
        <v>0</v>
      </c>
      <c r="S3976" s="10">
        <f>IFERROR(IF(('Loading-rail'!$C$21)="No control",SUMIF(('Loading-rail'!$B$31:$B$48),$J3976,('Loading-rail'!$D$31:$D$48))*Impacts!$F$15,IF(('Loading-rail'!$C$21)&lt;&gt;"No control",SUMIF(('Loading-rail'!$B$31:$B$48),$J3976,('Loading-rail'!$E$31:$E$48))*Impacts!$F$15,0)),0)</f>
        <v>0</v>
      </c>
      <c r="T3976" s="10">
        <f>IF(Flare!$C$7="",0,(SUMIF(Flare!$B$46:$B$185,$J3976,Flare!$E$46:$E$185)*Impacts!$F$16))</f>
        <v>0</v>
      </c>
      <c r="U3976" s="10">
        <f>IF(VCU!$C$9="",0,(SUMIF(VCU!$B$51:$B$193,$J3976,VCU!$E$51:$E$193)*Impacts!$F$17))</f>
        <v>0</v>
      </c>
      <c r="V3976" s="10">
        <f>IF(CAS!$C$7="",0,(SUMIF(CAS!$B$31:$B$167,$J3976,CAS!$E$31:$E$167)*Impacts!$F$18))</f>
        <v>0</v>
      </c>
      <c r="W3976" s="10">
        <f t="shared" si="102"/>
        <v>0</v>
      </c>
      <c r="AK3976" s="10" t="str">
        <f t="array" ref="AK3976">IFERROR(INDEX(SelectedSpecies,SMALL(IF(SelectedSpecies=AK$1,ROW(SelectedSpecies)),ROW(3977:3977)),2),"")</f>
        <v/>
      </c>
      <c r="BE3976" s="10"/>
      <c r="BI3976" s="10"/>
    </row>
    <row r="3977" spans="1:61" ht="21" customHeight="1" x14ac:dyDescent="0.25">
      <c r="A3977" s="10"/>
      <c r="B3977" s="10"/>
      <c r="E3977" s="10"/>
      <c r="G3977" s="10"/>
      <c r="I3977" s="436" t="s">
        <v>594</v>
      </c>
      <c r="J3977" s="26" t="s">
        <v>593</v>
      </c>
      <c r="K3977" s="10">
        <v>82</v>
      </c>
      <c r="L3977" s="73">
        <f>IF(Tank1!$C$23="No control",(SUMIF(Tank1!$B$32:$B$49,$J3977,Tank1!$C$32:$C$49)*Impacts!$F$8),0)</f>
        <v>0</v>
      </c>
      <c r="M3977" s="10">
        <f>IF(Tank2!$C$23="No control",(SUMIF(Tank2!$B$32:$B$49,$J3977,Tank2!$C$32:$C$49)*Impacts!$F$9),0)</f>
        <v>0</v>
      </c>
      <c r="N3977" s="10">
        <f>IF(Tank3!$C$23="No control",(SUMIF(Tank3!$B$32:$B$49,$J3977,Tank3!$C$32:$C$49)*Impacts!$F$10),0)</f>
        <v>0</v>
      </c>
      <c r="O3977" s="10">
        <f>IF(Tank4!$C$23="No control",(SUMIF(Tank4!$B$32:$B$49,$J3977,Tank4!$C$32:$C$49)*Impacts!$F$11),0)</f>
        <v>0</v>
      </c>
      <c r="P3977" s="10">
        <f>IF(Tank5!$C$23="No control",(SUMIF(Tank5!$B$32:$B$49,$J3977,Tank5!$C$32:$C$49)*Impacts!$F$12),0)</f>
        <v>0</v>
      </c>
      <c r="Q3977" s="10">
        <f>IFERROR(IF(('Loading-drum,tote'!$C$21)="No control",SUMIF(('Loading-drum,tote'!$B$31:$B$48),$J3977,('Loading-drum,tote'!$D$31:$D$48))*Impacts!$F$13,IF(('Loading-drum,tote'!$C$21)&lt;&gt;"No control",SUMIF(('Loading-drum,tote'!$B$31:$B$48),$J3977,('Loading-drum,tote'!$E$31:$E$48))*Impacts!$F$13,0)),0)</f>
        <v>0</v>
      </c>
      <c r="R3977" s="10">
        <f>IFERROR(IF(('Loading-truck'!$C$21)="No control",SUMIF(('Loading-truck'!$B$31:$B$48),$J3977,('Loading-truck'!$D$31:$D$48))*Impacts!$F$14,IF(('Loading-truck'!$C$21)&lt;&gt;"No control",SUMIF(('Loading-truck'!$B$31:$B$48),$J3977,('Loading-truck'!$E$31:$E$48))*Impacts!$F$14,0)),0)</f>
        <v>0</v>
      </c>
      <c r="S3977" s="10">
        <f>IFERROR(IF(('Loading-rail'!$C$21)="No control",SUMIF(('Loading-rail'!$B$31:$B$48),$J3977,('Loading-rail'!$D$31:$D$48))*Impacts!$F$15,IF(('Loading-rail'!$C$21)&lt;&gt;"No control",SUMIF(('Loading-rail'!$B$31:$B$48),$J3977,('Loading-rail'!$E$31:$E$48))*Impacts!$F$15,0)),0)</f>
        <v>0</v>
      </c>
      <c r="T3977" s="10">
        <f>IF(Flare!$C$7="",0,(SUMIF(Flare!$B$46:$B$185,$J3977,Flare!$E$46:$E$185)*Impacts!$F$16))</f>
        <v>0</v>
      </c>
      <c r="U3977" s="10">
        <f>IF(VCU!$C$9="",0,(SUMIF(VCU!$B$51:$B$193,$J3977,VCU!$E$51:$E$193)*Impacts!$F$17))</f>
        <v>0</v>
      </c>
      <c r="V3977" s="10">
        <f>IF(CAS!$C$7="",0,(SUMIF(CAS!$B$31:$B$167,$J3977,CAS!$E$31:$E$167)*Impacts!$F$18))</f>
        <v>0</v>
      </c>
      <c r="W3977" s="10">
        <f t="shared" si="102"/>
        <v>0</v>
      </c>
      <c r="AK3977" s="10" t="str">
        <f t="array" ref="AK3977">IFERROR(INDEX(SelectedSpecies,SMALL(IF(SelectedSpecies=AK$1,ROW(SelectedSpecies)),ROW(3978:3978)),2),"")</f>
        <v/>
      </c>
      <c r="BE3977" s="10"/>
      <c r="BI3977" s="10"/>
    </row>
    <row r="3978" spans="1:61" ht="21" customHeight="1" x14ac:dyDescent="0.25">
      <c r="A3978" s="10"/>
      <c r="B3978" s="10"/>
      <c r="E3978" s="10"/>
      <c r="G3978" s="10"/>
      <c r="I3978" s="436" t="s">
        <v>4659</v>
      </c>
      <c r="J3978" s="26" t="s">
        <v>4658</v>
      </c>
      <c r="K3978" s="10">
        <v>3.8000000000000003</v>
      </c>
      <c r="L3978" s="73">
        <f>IF(Tank1!$C$23="No control",(SUMIF(Tank1!$B$32:$B$49,$J3978,Tank1!$C$32:$C$49)*Impacts!$F$8),0)</f>
        <v>0</v>
      </c>
      <c r="M3978" s="10">
        <f>IF(Tank2!$C$23="No control",(SUMIF(Tank2!$B$32:$B$49,$J3978,Tank2!$C$32:$C$49)*Impacts!$F$9),0)</f>
        <v>0</v>
      </c>
      <c r="N3978" s="10">
        <f>IF(Tank3!$C$23="No control",(SUMIF(Tank3!$B$32:$B$49,$J3978,Tank3!$C$32:$C$49)*Impacts!$F$10),0)</f>
        <v>0</v>
      </c>
      <c r="O3978" s="10">
        <f>IF(Tank4!$C$23="No control",(SUMIF(Tank4!$B$32:$B$49,$J3978,Tank4!$C$32:$C$49)*Impacts!$F$11),0)</f>
        <v>0</v>
      </c>
      <c r="P3978" s="10">
        <f>IF(Tank5!$C$23="No control",(SUMIF(Tank5!$B$32:$B$49,$J3978,Tank5!$C$32:$C$49)*Impacts!$F$12),0)</f>
        <v>0</v>
      </c>
      <c r="Q3978" s="10">
        <f>IFERROR(IF(('Loading-drum,tote'!$C$21)="No control",SUMIF(('Loading-drum,tote'!$B$31:$B$48),$J3978,('Loading-drum,tote'!$D$31:$D$48))*Impacts!$F$13,IF(('Loading-drum,tote'!$C$21)&lt;&gt;"No control",SUMIF(('Loading-drum,tote'!$B$31:$B$48),$J3978,('Loading-drum,tote'!$E$31:$E$48))*Impacts!$F$13,0)),0)</f>
        <v>0</v>
      </c>
      <c r="R3978" s="10">
        <f>IFERROR(IF(('Loading-truck'!$C$21)="No control",SUMIF(('Loading-truck'!$B$31:$B$48),$J3978,('Loading-truck'!$D$31:$D$48))*Impacts!$F$14,IF(('Loading-truck'!$C$21)&lt;&gt;"No control",SUMIF(('Loading-truck'!$B$31:$B$48),$J3978,('Loading-truck'!$E$31:$E$48))*Impacts!$F$14,0)),0)</f>
        <v>0</v>
      </c>
      <c r="S3978" s="10">
        <f>IFERROR(IF(('Loading-rail'!$C$21)="No control",SUMIF(('Loading-rail'!$B$31:$B$48),$J3978,('Loading-rail'!$D$31:$D$48))*Impacts!$F$15,IF(('Loading-rail'!$C$21)&lt;&gt;"No control",SUMIF(('Loading-rail'!$B$31:$B$48),$J3978,('Loading-rail'!$E$31:$E$48))*Impacts!$F$15,0)),0)</f>
        <v>0</v>
      </c>
      <c r="T3978" s="10">
        <f>IF(Flare!$C$7="",0,(SUMIF(Flare!$B$46:$B$185,$J3978,Flare!$E$46:$E$185)*Impacts!$F$16))</f>
        <v>0</v>
      </c>
      <c r="U3978" s="10">
        <f>IF(VCU!$C$9="",0,(SUMIF(VCU!$B$51:$B$193,$J3978,VCU!$E$51:$E$193)*Impacts!$F$17))</f>
        <v>0</v>
      </c>
      <c r="V3978" s="10">
        <f>IF(CAS!$C$7="",0,(SUMIF(CAS!$B$31:$B$167,$J3978,CAS!$E$31:$E$167)*Impacts!$F$18))</f>
        <v>0</v>
      </c>
      <c r="W3978" s="10">
        <f t="shared" si="102"/>
        <v>0</v>
      </c>
      <c r="AK3978" s="10" t="str">
        <f t="array" ref="AK3978">IFERROR(INDEX(SelectedSpecies,SMALL(IF(SelectedSpecies=AK$1,ROW(SelectedSpecies)),ROW(3979:3979)),2),"")</f>
        <v/>
      </c>
      <c r="BE3978" s="10"/>
      <c r="BI3978" s="10"/>
    </row>
    <row r="3979" spans="1:61" ht="21" customHeight="1" x14ac:dyDescent="0.25">
      <c r="A3979" s="10"/>
      <c r="B3979" s="10"/>
      <c r="E3979" s="10"/>
      <c r="G3979" s="10"/>
      <c r="I3979" s="436" t="s">
        <v>4849</v>
      </c>
      <c r="J3979" s="26" t="s">
        <v>4848</v>
      </c>
      <c r="K3979" s="10">
        <v>2.9000000000000004</v>
      </c>
      <c r="L3979" s="73">
        <f>IF(Tank1!$C$23="No control",(SUMIF(Tank1!$B$32:$B$49,$J3979,Tank1!$C$32:$C$49)*Impacts!$F$8),0)</f>
        <v>0</v>
      </c>
      <c r="M3979" s="10">
        <f>IF(Tank2!$C$23="No control",(SUMIF(Tank2!$B$32:$B$49,$J3979,Tank2!$C$32:$C$49)*Impacts!$F$9),0)</f>
        <v>0</v>
      </c>
      <c r="N3979" s="10">
        <f>IF(Tank3!$C$23="No control",(SUMIF(Tank3!$B$32:$B$49,$J3979,Tank3!$C$32:$C$49)*Impacts!$F$10),0)</f>
        <v>0</v>
      </c>
      <c r="O3979" s="10">
        <f>IF(Tank4!$C$23="No control",(SUMIF(Tank4!$B$32:$B$49,$J3979,Tank4!$C$32:$C$49)*Impacts!$F$11),0)</f>
        <v>0</v>
      </c>
      <c r="P3979" s="10">
        <f>IF(Tank5!$C$23="No control",(SUMIF(Tank5!$B$32:$B$49,$J3979,Tank5!$C$32:$C$49)*Impacts!$F$12),0)</f>
        <v>0</v>
      </c>
      <c r="Q3979" s="10">
        <f>IFERROR(IF(('Loading-drum,tote'!$C$21)="No control",SUMIF(('Loading-drum,tote'!$B$31:$B$48),$J3979,('Loading-drum,tote'!$D$31:$D$48))*Impacts!$F$13,IF(('Loading-drum,tote'!$C$21)&lt;&gt;"No control",SUMIF(('Loading-drum,tote'!$B$31:$B$48),$J3979,('Loading-drum,tote'!$E$31:$E$48))*Impacts!$F$13,0)),0)</f>
        <v>0</v>
      </c>
      <c r="R3979" s="10">
        <f>IFERROR(IF(('Loading-truck'!$C$21)="No control",SUMIF(('Loading-truck'!$B$31:$B$48),$J3979,('Loading-truck'!$D$31:$D$48))*Impacts!$F$14,IF(('Loading-truck'!$C$21)&lt;&gt;"No control",SUMIF(('Loading-truck'!$B$31:$B$48),$J3979,('Loading-truck'!$E$31:$E$48))*Impacts!$F$14,0)),0)</f>
        <v>0</v>
      </c>
      <c r="S3979" s="10">
        <f>IFERROR(IF(('Loading-rail'!$C$21)="No control",SUMIF(('Loading-rail'!$B$31:$B$48),$J3979,('Loading-rail'!$D$31:$D$48))*Impacts!$F$15,IF(('Loading-rail'!$C$21)&lt;&gt;"No control",SUMIF(('Loading-rail'!$B$31:$B$48),$J3979,('Loading-rail'!$E$31:$E$48))*Impacts!$F$15,0)),0)</f>
        <v>0</v>
      </c>
      <c r="T3979" s="10">
        <f>IF(Flare!$C$7="",0,(SUMIF(Flare!$B$46:$B$185,$J3979,Flare!$E$46:$E$185)*Impacts!$F$16))</f>
        <v>0</v>
      </c>
      <c r="U3979" s="10">
        <f>IF(VCU!$C$9="",0,(SUMIF(VCU!$B$51:$B$193,$J3979,VCU!$E$51:$E$193)*Impacts!$F$17))</f>
        <v>0</v>
      </c>
      <c r="V3979" s="10">
        <f>IF(CAS!$C$7="",0,(SUMIF(CAS!$B$31:$B$167,$J3979,CAS!$E$31:$E$167)*Impacts!$F$18))</f>
        <v>0</v>
      </c>
      <c r="W3979" s="10">
        <f t="shared" si="102"/>
        <v>0</v>
      </c>
      <c r="AK3979" s="10" t="str">
        <f t="array" ref="AK3979">IFERROR(INDEX(SelectedSpecies,SMALL(IF(SelectedSpecies=AK$1,ROW(SelectedSpecies)),ROW(3980:3980)),2),"")</f>
        <v/>
      </c>
      <c r="BE3979" s="10"/>
      <c r="BI3979" s="10"/>
    </row>
    <row r="3980" spans="1:61" ht="21" customHeight="1" x14ac:dyDescent="0.25">
      <c r="A3980" s="10"/>
      <c r="B3980" s="10"/>
      <c r="E3980" s="10"/>
      <c r="G3980" s="10"/>
      <c r="I3980" s="436" t="s">
        <v>3603</v>
      </c>
      <c r="J3980" s="26" t="s">
        <v>3602</v>
      </c>
      <c r="K3980" s="10">
        <v>7.7</v>
      </c>
      <c r="L3980" s="73">
        <f>IF(Tank1!$C$23="No control",(SUMIF(Tank1!$B$32:$B$49,$J3980,Tank1!$C$32:$C$49)*Impacts!$F$8),0)</f>
        <v>0</v>
      </c>
      <c r="M3980" s="10">
        <f>IF(Tank2!$C$23="No control",(SUMIF(Tank2!$B$32:$B$49,$J3980,Tank2!$C$32:$C$49)*Impacts!$F$9),0)</f>
        <v>0</v>
      </c>
      <c r="N3980" s="10">
        <f>IF(Tank3!$C$23="No control",(SUMIF(Tank3!$B$32:$B$49,$J3980,Tank3!$C$32:$C$49)*Impacts!$F$10),0)</f>
        <v>0</v>
      </c>
      <c r="O3980" s="10">
        <f>IF(Tank4!$C$23="No control",(SUMIF(Tank4!$B$32:$B$49,$J3980,Tank4!$C$32:$C$49)*Impacts!$F$11),0)</f>
        <v>0</v>
      </c>
      <c r="P3980" s="10">
        <f>IF(Tank5!$C$23="No control",(SUMIF(Tank5!$B$32:$B$49,$J3980,Tank5!$C$32:$C$49)*Impacts!$F$12),0)</f>
        <v>0</v>
      </c>
      <c r="Q3980" s="10">
        <f>IFERROR(IF(('Loading-drum,tote'!$C$21)="No control",SUMIF(('Loading-drum,tote'!$B$31:$B$48),$J3980,('Loading-drum,tote'!$D$31:$D$48))*Impacts!$F$13,IF(('Loading-drum,tote'!$C$21)&lt;&gt;"No control",SUMIF(('Loading-drum,tote'!$B$31:$B$48),$J3980,('Loading-drum,tote'!$E$31:$E$48))*Impacts!$F$13,0)),0)</f>
        <v>0</v>
      </c>
      <c r="R3980" s="10">
        <f>IFERROR(IF(('Loading-truck'!$C$21)="No control",SUMIF(('Loading-truck'!$B$31:$B$48),$J3980,('Loading-truck'!$D$31:$D$48))*Impacts!$F$14,IF(('Loading-truck'!$C$21)&lt;&gt;"No control",SUMIF(('Loading-truck'!$B$31:$B$48),$J3980,('Loading-truck'!$E$31:$E$48))*Impacts!$F$14,0)),0)</f>
        <v>0</v>
      </c>
      <c r="S3980" s="10">
        <f>IFERROR(IF(('Loading-rail'!$C$21)="No control",SUMIF(('Loading-rail'!$B$31:$B$48),$J3980,('Loading-rail'!$D$31:$D$48))*Impacts!$F$15,IF(('Loading-rail'!$C$21)&lt;&gt;"No control",SUMIF(('Loading-rail'!$B$31:$B$48),$J3980,('Loading-rail'!$E$31:$E$48))*Impacts!$F$15,0)),0)</f>
        <v>0</v>
      </c>
      <c r="T3980" s="10">
        <f>IF(Flare!$C$7="",0,(SUMIF(Flare!$B$46:$B$185,$J3980,Flare!$E$46:$E$185)*Impacts!$F$16))</f>
        <v>0</v>
      </c>
      <c r="U3980" s="10">
        <f>IF(VCU!$C$9="",0,(SUMIF(VCU!$B$51:$B$193,$J3980,VCU!$E$51:$E$193)*Impacts!$F$17))</f>
        <v>0</v>
      </c>
      <c r="V3980" s="10">
        <f>IF(CAS!$C$7="",0,(SUMIF(CAS!$B$31:$B$167,$J3980,CAS!$E$31:$E$167)*Impacts!$F$18))</f>
        <v>0</v>
      </c>
      <c r="W3980" s="10">
        <f t="shared" si="102"/>
        <v>0</v>
      </c>
      <c r="AK3980" s="10" t="str">
        <f t="array" ref="AK3980">IFERROR(INDEX(SelectedSpecies,SMALL(IF(SelectedSpecies=AK$1,ROW(SelectedSpecies)),ROW(3981:3981)),2),"")</f>
        <v/>
      </c>
      <c r="BE3980" s="10"/>
      <c r="BI3980" s="10"/>
    </row>
    <row r="3981" spans="1:61" ht="21" customHeight="1" x14ac:dyDescent="0.25">
      <c r="A3981" s="10"/>
      <c r="B3981" s="10"/>
      <c r="E3981" s="10"/>
      <c r="G3981" s="10"/>
      <c r="I3981" s="436" t="s">
        <v>6666</v>
      </c>
      <c r="J3981" s="26" t="s">
        <v>6665</v>
      </c>
      <c r="K3981" s="10">
        <v>0.60000000000000009</v>
      </c>
      <c r="L3981" s="73">
        <f>IF(Tank1!$C$23="No control",(SUMIF(Tank1!$B$32:$B$49,$J3981,Tank1!$C$32:$C$49)*Impacts!$F$8),0)</f>
        <v>0</v>
      </c>
      <c r="M3981" s="10">
        <f>IF(Tank2!$C$23="No control",(SUMIF(Tank2!$B$32:$B$49,$J3981,Tank2!$C$32:$C$49)*Impacts!$F$9),0)</f>
        <v>0</v>
      </c>
      <c r="N3981" s="10">
        <f>IF(Tank3!$C$23="No control",(SUMIF(Tank3!$B$32:$B$49,$J3981,Tank3!$C$32:$C$49)*Impacts!$F$10),0)</f>
        <v>0</v>
      </c>
      <c r="O3981" s="10">
        <f>IF(Tank4!$C$23="No control",(SUMIF(Tank4!$B$32:$B$49,$J3981,Tank4!$C$32:$C$49)*Impacts!$F$11),0)</f>
        <v>0</v>
      </c>
      <c r="P3981" s="10">
        <f>IF(Tank5!$C$23="No control",(SUMIF(Tank5!$B$32:$B$49,$J3981,Tank5!$C$32:$C$49)*Impacts!$F$12),0)</f>
        <v>0</v>
      </c>
      <c r="Q3981" s="10">
        <f>IFERROR(IF(('Loading-drum,tote'!$C$21)="No control",SUMIF(('Loading-drum,tote'!$B$31:$B$48),$J3981,('Loading-drum,tote'!$D$31:$D$48))*Impacts!$F$13,IF(('Loading-drum,tote'!$C$21)&lt;&gt;"No control",SUMIF(('Loading-drum,tote'!$B$31:$B$48),$J3981,('Loading-drum,tote'!$E$31:$E$48))*Impacts!$F$13,0)),0)</f>
        <v>0</v>
      </c>
      <c r="R3981" s="10">
        <f>IFERROR(IF(('Loading-truck'!$C$21)="No control",SUMIF(('Loading-truck'!$B$31:$B$48),$J3981,('Loading-truck'!$D$31:$D$48))*Impacts!$F$14,IF(('Loading-truck'!$C$21)&lt;&gt;"No control",SUMIF(('Loading-truck'!$B$31:$B$48),$J3981,('Loading-truck'!$E$31:$E$48))*Impacts!$F$14,0)),0)</f>
        <v>0</v>
      </c>
      <c r="S3981" s="10">
        <f>IFERROR(IF(('Loading-rail'!$C$21)="No control",SUMIF(('Loading-rail'!$B$31:$B$48),$J3981,('Loading-rail'!$D$31:$D$48))*Impacts!$F$15,IF(('Loading-rail'!$C$21)&lt;&gt;"No control",SUMIF(('Loading-rail'!$B$31:$B$48),$J3981,('Loading-rail'!$E$31:$E$48))*Impacts!$F$15,0)),0)</f>
        <v>0</v>
      </c>
      <c r="T3981" s="10">
        <f>IF(Flare!$C$7="",0,(SUMIF(Flare!$B$46:$B$185,$J3981,Flare!$E$46:$E$185)*Impacts!$F$16))</f>
        <v>0</v>
      </c>
      <c r="U3981" s="10">
        <f>IF(VCU!$C$9="",0,(SUMIF(VCU!$B$51:$B$193,$J3981,VCU!$E$51:$E$193)*Impacts!$F$17))</f>
        <v>0</v>
      </c>
      <c r="V3981" s="10">
        <f>IF(CAS!$C$7="",0,(SUMIF(CAS!$B$31:$B$167,$J3981,CAS!$E$31:$E$167)*Impacts!$F$18))</f>
        <v>0</v>
      </c>
      <c r="W3981" s="10">
        <f t="shared" si="102"/>
        <v>0</v>
      </c>
      <c r="AK3981" s="10" t="str">
        <f t="array" ref="AK3981">IFERROR(INDEX(SelectedSpecies,SMALL(IF(SelectedSpecies=AK$1,ROW(SelectedSpecies)),ROW(3982:3982)),2),"")</f>
        <v/>
      </c>
      <c r="BE3981" s="10"/>
      <c r="BI3981" s="10"/>
    </row>
    <row r="3982" spans="1:61" ht="21" customHeight="1" x14ac:dyDescent="0.25">
      <c r="A3982" s="10"/>
      <c r="B3982" s="10"/>
      <c r="E3982" s="10"/>
      <c r="G3982" s="10"/>
      <c r="I3982" s="436" t="s">
        <v>8238</v>
      </c>
      <c r="J3982" s="26" t="s">
        <v>8237</v>
      </c>
      <c r="K3982" s="10">
        <v>1.0000000000000002E-2</v>
      </c>
      <c r="L3982" s="73">
        <f>IF(Tank1!$C$23="No control",(SUMIF(Tank1!$B$32:$B$49,$J3982,Tank1!$C$32:$C$49)*Impacts!$F$8),0)</f>
        <v>0</v>
      </c>
      <c r="M3982" s="10">
        <f>IF(Tank2!$C$23="No control",(SUMIF(Tank2!$B$32:$B$49,$J3982,Tank2!$C$32:$C$49)*Impacts!$F$9),0)</f>
        <v>0</v>
      </c>
      <c r="N3982" s="10">
        <f>IF(Tank3!$C$23="No control",(SUMIF(Tank3!$B$32:$B$49,$J3982,Tank3!$C$32:$C$49)*Impacts!$F$10),0)</f>
        <v>0</v>
      </c>
      <c r="O3982" s="10">
        <f>IF(Tank4!$C$23="No control",(SUMIF(Tank4!$B$32:$B$49,$J3982,Tank4!$C$32:$C$49)*Impacts!$F$11),0)</f>
        <v>0</v>
      </c>
      <c r="P3982" s="10">
        <f>IF(Tank5!$C$23="No control",(SUMIF(Tank5!$B$32:$B$49,$J3982,Tank5!$C$32:$C$49)*Impacts!$F$12),0)</f>
        <v>0</v>
      </c>
      <c r="Q3982" s="10">
        <f>IFERROR(IF(('Loading-drum,tote'!$C$21)="No control",SUMIF(('Loading-drum,tote'!$B$31:$B$48),$J3982,('Loading-drum,tote'!$D$31:$D$48))*Impacts!$F$13,IF(('Loading-drum,tote'!$C$21)&lt;&gt;"No control",SUMIF(('Loading-drum,tote'!$B$31:$B$48),$J3982,('Loading-drum,tote'!$E$31:$E$48))*Impacts!$F$13,0)),0)</f>
        <v>0</v>
      </c>
      <c r="R3982" s="10">
        <f>IFERROR(IF(('Loading-truck'!$C$21)="No control",SUMIF(('Loading-truck'!$B$31:$B$48),$J3982,('Loading-truck'!$D$31:$D$48))*Impacts!$F$14,IF(('Loading-truck'!$C$21)&lt;&gt;"No control",SUMIF(('Loading-truck'!$B$31:$B$48),$J3982,('Loading-truck'!$E$31:$E$48))*Impacts!$F$14,0)),0)</f>
        <v>0</v>
      </c>
      <c r="S3982" s="10">
        <f>IFERROR(IF(('Loading-rail'!$C$21)="No control",SUMIF(('Loading-rail'!$B$31:$B$48),$J3982,('Loading-rail'!$D$31:$D$48))*Impacts!$F$15,IF(('Loading-rail'!$C$21)&lt;&gt;"No control",SUMIF(('Loading-rail'!$B$31:$B$48),$J3982,('Loading-rail'!$E$31:$E$48))*Impacts!$F$15,0)),0)</f>
        <v>0</v>
      </c>
      <c r="T3982" s="10">
        <f>IF(Flare!$C$7="",0,(SUMIF(Flare!$B$46:$B$185,$J3982,Flare!$E$46:$E$185)*Impacts!$F$16))</f>
        <v>0</v>
      </c>
      <c r="U3982" s="10">
        <f>IF(VCU!$C$9="",0,(SUMIF(VCU!$B$51:$B$193,$J3982,VCU!$E$51:$E$193)*Impacts!$F$17))</f>
        <v>0</v>
      </c>
      <c r="V3982" s="10">
        <f>IF(CAS!$C$7="",0,(SUMIF(CAS!$B$31:$B$167,$J3982,CAS!$E$31:$E$167)*Impacts!$F$18))</f>
        <v>0</v>
      </c>
      <c r="W3982" s="10">
        <f t="shared" si="102"/>
        <v>0</v>
      </c>
      <c r="AK3982" s="10" t="str">
        <f t="array" ref="AK3982">IFERROR(INDEX(SelectedSpecies,SMALL(IF(SelectedSpecies=AK$1,ROW(SelectedSpecies)),ROW(3983:3983)),2),"")</f>
        <v/>
      </c>
      <c r="BE3982" s="10"/>
      <c r="BI3982" s="10"/>
    </row>
    <row r="3983" spans="1:61" ht="21" customHeight="1" x14ac:dyDescent="0.25">
      <c r="A3983" s="10"/>
      <c r="B3983" s="10"/>
      <c r="E3983" s="10"/>
      <c r="G3983" s="10"/>
      <c r="I3983" s="436" t="s">
        <v>2371</v>
      </c>
      <c r="J3983" s="26" t="s">
        <v>2370</v>
      </c>
      <c r="K3983" s="10">
        <v>11</v>
      </c>
      <c r="L3983" s="73">
        <f>IF(Tank1!$C$23="No control",(SUMIF(Tank1!$B$32:$B$49,$J3983,Tank1!$C$32:$C$49)*Impacts!$F$8),0)</f>
        <v>0</v>
      </c>
      <c r="M3983" s="10">
        <f>IF(Tank2!$C$23="No control",(SUMIF(Tank2!$B$32:$B$49,$J3983,Tank2!$C$32:$C$49)*Impacts!$F$9),0)</f>
        <v>0</v>
      </c>
      <c r="N3983" s="10">
        <f>IF(Tank3!$C$23="No control",(SUMIF(Tank3!$B$32:$B$49,$J3983,Tank3!$C$32:$C$49)*Impacts!$F$10),0)</f>
        <v>0</v>
      </c>
      <c r="O3983" s="10">
        <f>IF(Tank4!$C$23="No control",(SUMIF(Tank4!$B$32:$B$49,$J3983,Tank4!$C$32:$C$49)*Impacts!$F$11),0)</f>
        <v>0</v>
      </c>
      <c r="P3983" s="10">
        <f>IF(Tank5!$C$23="No control",(SUMIF(Tank5!$B$32:$B$49,$J3983,Tank5!$C$32:$C$49)*Impacts!$F$12),0)</f>
        <v>0</v>
      </c>
      <c r="Q3983" s="10">
        <f>IFERROR(IF(('Loading-drum,tote'!$C$21)="No control",SUMIF(('Loading-drum,tote'!$B$31:$B$48),$J3983,('Loading-drum,tote'!$D$31:$D$48))*Impacts!$F$13,IF(('Loading-drum,tote'!$C$21)&lt;&gt;"No control",SUMIF(('Loading-drum,tote'!$B$31:$B$48),$J3983,('Loading-drum,tote'!$E$31:$E$48))*Impacts!$F$13,0)),0)</f>
        <v>0</v>
      </c>
      <c r="R3983" s="10">
        <f>IFERROR(IF(('Loading-truck'!$C$21)="No control",SUMIF(('Loading-truck'!$B$31:$B$48),$J3983,('Loading-truck'!$D$31:$D$48))*Impacts!$F$14,IF(('Loading-truck'!$C$21)&lt;&gt;"No control",SUMIF(('Loading-truck'!$B$31:$B$48),$J3983,('Loading-truck'!$E$31:$E$48))*Impacts!$F$14,0)),0)</f>
        <v>0</v>
      </c>
      <c r="S3983" s="10">
        <f>IFERROR(IF(('Loading-rail'!$C$21)="No control",SUMIF(('Loading-rail'!$B$31:$B$48),$J3983,('Loading-rail'!$D$31:$D$48))*Impacts!$F$15,IF(('Loading-rail'!$C$21)&lt;&gt;"No control",SUMIF(('Loading-rail'!$B$31:$B$48),$J3983,('Loading-rail'!$E$31:$E$48))*Impacts!$F$15,0)),0)</f>
        <v>0</v>
      </c>
      <c r="T3983" s="10">
        <f>IF(Flare!$C$7="",0,(SUMIF(Flare!$B$46:$B$185,$J3983,Flare!$E$46:$E$185)*Impacts!$F$16))</f>
        <v>0</v>
      </c>
      <c r="U3983" s="10">
        <f>IF(VCU!$C$9="",0,(SUMIF(VCU!$B$51:$B$193,$J3983,VCU!$E$51:$E$193)*Impacts!$F$17))</f>
        <v>0</v>
      </c>
      <c r="V3983" s="10">
        <f>IF(CAS!$C$7="",0,(SUMIF(CAS!$B$31:$B$167,$J3983,CAS!$E$31:$E$167)*Impacts!$F$18))</f>
        <v>0</v>
      </c>
      <c r="W3983" s="10">
        <f t="shared" si="102"/>
        <v>0</v>
      </c>
      <c r="AK3983" s="10" t="str">
        <f t="array" ref="AK3983">IFERROR(INDEX(SelectedSpecies,SMALL(IF(SelectedSpecies=AK$1,ROW(SelectedSpecies)),ROW(3984:3984)),2),"")</f>
        <v/>
      </c>
      <c r="BE3983" s="10"/>
      <c r="BI3983" s="10"/>
    </row>
    <row r="3984" spans="1:61" ht="21" customHeight="1" x14ac:dyDescent="0.25">
      <c r="A3984" s="10"/>
      <c r="B3984" s="10"/>
      <c r="E3984" s="10"/>
      <c r="G3984" s="10"/>
      <c r="I3984" s="436" t="s">
        <v>1198</v>
      </c>
      <c r="J3984" s="26" t="s">
        <v>1197</v>
      </c>
      <c r="K3984" s="10">
        <v>35</v>
      </c>
      <c r="L3984" s="73">
        <f>IF(Tank1!$C$23="No control",(SUMIF(Tank1!$B$32:$B$49,$J3984,Tank1!$C$32:$C$49)*Impacts!$F$8),0)</f>
        <v>0</v>
      </c>
      <c r="M3984" s="10">
        <f>IF(Tank2!$C$23="No control",(SUMIF(Tank2!$B$32:$B$49,$J3984,Tank2!$C$32:$C$49)*Impacts!$F$9),0)</f>
        <v>0</v>
      </c>
      <c r="N3984" s="10">
        <f>IF(Tank3!$C$23="No control",(SUMIF(Tank3!$B$32:$B$49,$J3984,Tank3!$C$32:$C$49)*Impacts!$F$10),0)</f>
        <v>0</v>
      </c>
      <c r="O3984" s="10">
        <f>IF(Tank4!$C$23="No control",(SUMIF(Tank4!$B$32:$B$49,$J3984,Tank4!$C$32:$C$49)*Impacts!$F$11),0)</f>
        <v>0</v>
      </c>
      <c r="P3984" s="10">
        <f>IF(Tank5!$C$23="No control",(SUMIF(Tank5!$B$32:$B$49,$J3984,Tank5!$C$32:$C$49)*Impacts!$F$12),0)</f>
        <v>0</v>
      </c>
      <c r="Q3984" s="10">
        <f>IFERROR(IF(('Loading-drum,tote'!$C$21)="No control",SUMIF(('Loading-drum,tote'!$B$31:$B$48),$J3984,('Loading-drum,tote'!$D$31:$D$48))*Impacts!$F$13,IF(('Loading-drum,tote'!$C$21)&lt;&gt;"No control",SUMIF(('Loading-drum,tote'!$B$31:$B$48),$J3984,('Loading-drum,tote'!$E$31:$E$48))*Impacts!$F$13,0)),0)</f>
        <v>0</v>
      </c>
      <c r="R3984" s="10">
        <f>IFERROR(IF(('Loading-truck'!$C$21)="No control",SUMIF(('Loading-truck'!$B$31:$B$48),$J3984,('Loading-truck'!$D$31:$D$48))*Impacts!$F$14,IF(('Loading-truck'!$C$21)&lt;&gt;"No control",SUMIF(('Loading-truck'!$B$31:$B$48),$J3984,('Loading-truck'!$E$31:$E$48))*Impacts!$F$14,0)),0)</f>
        <v>0</v>
      </c>
      <c r="S3984" s="10">
        <f>IFERROR(IF(('Loading-rail'!$C$21)="No control",SUMIF(('Loading-rail'!$B$31:$B$48),$J3984,('Loading-rail'!$D$31:$D$48))*Impacts!$F$15,IF(('Loading-rail'!$C$21)&lt;&gt;"No control",SUMIF(('Loading-rail'!$B$31:$B$48),$J3984,('Loading-rail'!$E$31:$E$48))*Impacts!$F$15,0)),0)</f>
        <v>0</v>
      </c>
      <c r="T3984" s="10">
        <f>IF(Flare!$C$7="",0,(SUMIF(Flare!$B$46:$B$185,$J3984,Flare!$E$46:$E$185)*Impacts!$F$16))</f>
        <v>0</v>
      </c>
      <c r="U3984" s="10">
        <f>IF(VCU!$C$9="",0,(SUMIF(VCU!$B$51:$B$193,$J3984,VCU!$E$51:$E$193)*Impacts!$F$17))</f>
        <v>0</v>
      </c>
      <c r="V3984" s="10">
        <f>IF(CAS!$C$7="",0,(SUMIF(CAS!$B$31:$B$167,$J3984,CAS!$E$31:$E$167)*Impacts!$F$18))</f>
        <v>0</v>
      </c>
      <c r="W3984" s="10">
        <f t="shared" si="102"/>
        <v>0</v>
      </c>
      <c r="AK3984" s="10" t="str">
        <f t="array" ref="AK3984">IFERROR(INDEX(SelectedSpecies,SMALL(IF(SelectedSpecies=AK$1,ROW(SelectedSpecies)),ROW(3985:3985)),2),"")</f>
        <v/>
      </c>
      <c r="BE3984" s="10"/>
      <c r="BI3984" s="10"/>
    </row>
    <row r="3985" spans="1:61" ht="21" customHeight="1" x14ac:dyDescent="0.25">
      <c r="A3985" s="10"/>
      <c r="B3985" s="10"/>
      <c r="E3985" s="10"/>
      <c r="G3985" s="10"/>
      <c r="I3985" s="436" t="s">
        <v>4997</v>
      </c>
      <c r="J3985" s="26" t="s">
        <v>4996</v>
      </c>
      <c r="K3985" s="10">
        <v>2.5</v>
      </c>
      <c r="L3985" s="73">
        <f>IF(Tank1!$C$23="No control",(SUMIF(Tank1!$B$32:$B$49,$J3985,Tank1!$C$32:$C$49)*Impacts!$F$8),0)</f>
        <v>0</v>
      </c>
      <c r="M3985" s="10">
        <f>IF(Tank2!$C$23="No control",(SUMIF(Tank2!$B$32:$B$49,$J3985,Tank2!$C$32:$C$49)*Impacts!$F$9),0)</f>
        <v>0</v>
      </c>
      <c r="N3985" s="10">
        <f>IF(Tank3!$C$23="No control",(SUMIF(Tank3!$B$32:$B$49,$J3985,Tank3!$C$32:$C$49)*Impacts!$F$10),0)</f>
        <v>0</v>
      </c>
      <c r="O3985" s="10">
        <f>IF(Tank4!$C$23="No control",(SUMIF(Tank4!$B$32:$B$49,$J3985,Tank4!$C$32:$C$49)*Impacts!$F$11),0)</f>
        <v>0</v>
      </c>
      <c r="P3985" s="10">
        <f>IF(Tank5!$C$23="No control",(SUMIF(Tank5!$B$32:$B$49,$J3985,Tank5!$C$32:$C$49)*Impacts!$F$12),0)</f>
        <v>0</v>
      </c>
      <c r="Q3985" s="10">
        <f>IFERROR(IF(('Loading-drum,tote'!$C$21)="No control",SUMIF(('Loading-drum,tote'!$B$31:$B$48),$J3985,('Loading-drum,tote'!$D$31:$D$48))*Impacts!$F$13,IF(('Loading-drum,tote'!$C$21)&lt;&gt;"No control",SUMIF(('Loading-drum,tote'!$B$31:$B$48),$J3985,('Loading-drum,tote'!$E$31:$E$48))*Impacts!$F$13,0)),0)</f>
        <v>0</v>
      </c>
      <c r="R3985" s="10">
        <f>IFERROR(IF(('Loading-truck'!$C$21)="No control",SUMIF(('Loading-truck'!$B$31:$B$48),$J3985,('Loading-truck'!$D$31:$D$48))*Impacts!$F$14,IF(('Loading-truck'!$C$21)&lt;&gt;"No control",SUMIF(('Loading-truck'!$B$31:$B$48),$J3985,('Loading-truck'!$E$31:$E$48))*Impacts!$F$14,0)),0)</f>
        <v>0</v>
      </c>
      <c r="S3985" s="10">
        <f>IFERROR(IF(('Loading-rail'!$C$21)="No control",SUMIF(('Loading-rail'!$B$31:$B$48),$J3985,('Loading-rail'!$D$31:$D$48))*Impacts!$F$15,IF(('Loading-rail'!$C$21)&lt;&gt;"No control",SUMIF(('Loading-rail'!$B$31:$B$48),$J3985,('Loading-rail'!$E$31:$E$48))*Impacts!$F$15,0)),0)</f>
        <v>0</v>
      </c>
      <c r="T3985" s="10">
        <f>IF(Flare!$C$7="",0,(SUMIF(Flare!$B$46:$B$185,$J3985,Flare!$E$46:$E$185)*Impacts!$F$16))</f>
        <v>0</v>
      </c>
      <c r="U3985" s="10">
        <f>IF(VCU!$C$9="",0,(SUMIF(VCU!$B$51:$B$193,$J3985,VCU!$E$51:$E$193)*Impacts!$F$17))</f>
        <v>0</v>
      </c>
      <c r="V3985" s="10">
        <f>IF(CAS!$C$7="",0,(SUMIF(CAS!$B$31:$B$167,$J3985,CAS!$E$31:$E$167)*Impacts!$F$18))</f>
        <v>0</v>
      </c>
      <c r="W3985" s="10">
        <f t="shared" si="102"/>
        <v>0</v>
      </c>
      <c r="AK3985" s="10" t="str">
        <f t="array" ref="AK3985">IFERROR(INDEX(SelectedSpecies,SMALL(IF(SelectedSpecies=AK$1,ROW(SelectedSpecies)),ROW(3986:3986)),2),"")</f>
        <v/>
      </c>
      <c r="BE3985" s="10"/>
      <c r="BI3985" s="10"/>
    </row>
    <row r="3986" spans="1:61" ht="21" customHeight="1" x14ac:dyDescent="0.25">
      <c r="A3986" s="10"/>
      <c r="B3986" s="10"/>
      <c r="E3986" s="10"/>
      <c r="G3986" s="10"/>
      <c r="I3986" s="436" t="s">
        <v>6972</v>
      </c>
      <c r="J3986" s="26" t="s">
        <v>6971</v>
      </c>
      <c r="K3986" s="10">
        <v>0.5</v>
      </c>
      <c r="L3986" s="73">
        <f>IF(Tank1!$C$23="No control",(SUMIF(Tank1!$B$32:$B$49,$J3986,Tank1!$C$32:$C$49)*Impacts!$F$8),0)</f>
        <v>0</v>
      </c>
      <c r="M3986" s="10">
        <f>IF(Tank2!$C$23="No control",(SUMIF(Tank2!$B$32:$B$49,$J3986,Tank2!$C$32:$C$49)*Impacts!$F$9),0)</f>
        <v>0</v>
      </c>
      <c r="N3986" s="10">
        <f>IF(Tank3!$C$23="No control",(SUMIF(Tank3!$B$32:$B$49,$J3986,Tank3!$C$32:$C$49)*Impacts!$F$10),0)</f>
        <v>0</v>
      </c>
      <c r="O3986" s="10">
        <f>IF(Tank4!$C$23="No control",(SUMIF(Tank4!$B$32:$B$49,$J3986,Tank4!$C$32:$C$49)*Impacts!$F$11),0)</f>
        <v>0</v>
      </c>
      <c r="P3986" s="10">
        <f>IF(Tank5!$C$23="No control",(SUMIF(Tank5!$B$32:$B$49,$J3986,Tank5!$C$32:$C$49)*Impacts!$F$12),0)</f>
        <v>0</v>
      </c>
      <c r="Q3986" s="10">
        <f>IFERROR(IF(('Loading-drum,tote'!$C$21)="No control",SUMIF(('Loading-drum,tote'!$B$31:$B$48),$J3986,('Loading-drum,tote'!$D$31:$D$48))*Impacts!$F$13,IF(('Loading-drum,tote'!$C$21)&lt;&gt;"No control",SUMIF(('Loading-drum,tote'!$B$31:$B$48),$J3986,('Loading-drum,tote'!$E$31:$E$48))*Impacts!$F$13,0)),0)</f>
        <v>0</v>
      </c>
      <c r="R3986" s="10">
        <f>IFERROR(IF(('Loading-truck'!$C$21)="No control",SUMIF(('Loading-truck'!$B$31:$B$48),$J3986,('Loading-truck'!$D$31:$D$48))*Impacts!$F$14,IF(('Loading-truck'!$C$21)&lt;&gt;"No control",SUMIF(('Loading-truck'!$B$31:$B$48),$J3986,('Loading-truck'!$E$31:$E$48))*Impacts!$F$14,0)),0)</f>
        <v>0</v>
      </c>
      <c r="S3986" s="10">
        <f>IFERROR(IF(('Loading-rail'!$C$21)="No control",SUMIF(('Loading-rail'!$B$31:$B$48),$J3986,('Loading-rail'!$D$31:$D$48))*Impacts!$F$15,IF(('Loading-rail'!$C$21)&lt;&gt;"No control",SUMIF(('Loading-rail'!$B$31:$B$48),$J3986,('Loading-rail'!$E$31:$E$48))*Impacts!$F$15,0)),0)</f>
        <v>0</v>
      </c>
      <c r="T3986" s="10">
        <f>IF(Flare!$C$7="",0,(SUMIF(Flare!$B$46:$B$185,$J3986,Flare!$E$46:$E$185)*Impacts!$F$16))</f>
        <v>0</v>
      </c>
      <c r="U3986" s="10">
        <f>IF(VCU!$C$9="",0,(SUMIF(VCU!$B$51:$B$193,$J3986,VCU!$E$51:$E$193)*Impacts!$F$17))</f>
        <v>0</v>
      </c>
      <c r="V3986" s="10">
        <f>IF(CAS!$C$7="",0,(SUMIF(CAS!$B$31:$B$167,$J3986,CAS!$E$31:$E$167)*Impacts!$F$18))</f>
        <v>0</v>
      </c>
      <c r="W3986" s="10">
        <f t="shared" si="102"/>
        <v>0</v>
      </c>
      <c r="AK3986" s="10" t="str">
        <f t="array" ref="AK3986">IFERROR(INDEX(SelectedSpecies,SMALL(IF(SelectedSpecies=AK$1,ROW(SelectedSpecies)),ROW(3987:3987)),2),"")</f>
        <v/>
      </c>
      <c r="BE3986" s="10"/>
      <c r="BI3986" s="10"/>
    </row>
    <row r="3987" spans="1:61" ht="21" customHeight="1" x14ac:dyDescent="0.25">
      <c r="A3987" s="10"/>
      <c r="B3987" s="10"/>
      <c r="E3987" s="10"/>
      <c r="G3987" s="10"/>
      <c r="I3987" s="436" t="s">
        <v>3523</v>
      </c>
      <c r="J3987" s="26" t="s">
        <v>3522</v>
      </c>
      <c r="K3987" s="10">
        <v>9</v>
      </c>
      <c r="L3987" s="73">
        <f>IF(Tank1!$C$23="No control",(SUMIF(Tank1!$B$32:$B$49,$J3987,Tank1!$C$32:$C$49)*Impacts!$F$8),0)</f>
        <v>0</v>
      </c>
      <c r="M3987" s="10">
        <f>IF(Tank2!$C$23="No control",(SUMIF(Tank2!$B$32:$B$49,$J3987,Tank2!$C$32:$C$49)*Impacts!$F$9),0)</f>
        <v>0</v>
      </c>
      <c r="N3987" s="10">
        <f>IF(Tank3!$C$23="No control",(SUMIF(Tank3!$B$32:$B$49,$J3987,Tank3!$C$32:$C$49)*Impacts!$F$10),0)</f>
        <v>0</v>
      </c>
      <c r="O3987" s="10">
        <f>IF(Tank4!$C$23="No control",(SUMIF(Tank4!$B$32:$B$49,$J3987,Tank4!$C$32:$C$49)*Impacts!$F$11),0)</f>
        <v>0</v>
      </c>
      <c r="P3987" s="10">
        <f>IF(Tank5!$C$23="No control",(SUMIF(Tank5!$B$32:$B$49,$J3987,Tank5!$C$32:$C$49)*Impacts!$F$12),0)</f>
        <v>0</v>
      </c>
      <c r="Q3987" s="10">
        <f>IFERROR(IF(('Loading-drum,tote'!$C$21)="No control",SUMIF(('Loading-drum,tote'!$B$31:$B$48),$J3987,('Loading-drum,tote'!$D$31:$D$48))*Impacts!$F$13,IF(('Loading-drum,tote'!$C$21)&lt;&gt;"No control",SUMIF(('Loading-drum,tote'!$B$31:$B$48),$J3987,('Loading-drum,tote'!$E$31:$E$48))*Impacts!$F$13,0)),0)</f>
        <v>0</v>
      </c>
      <c r="R3987" s="10">
        <f>IFERROR(IF(('Loading-truck'!$C$21)="No control",SUMIF(('Loading-truck'!$B$31:$B$48),$J3987,('Loading-truck'!$D$31:$D$48))*Impacts!$F$14,IF(('Loading-truck'!$C$21)&lt;&gt;"No control",SUMIF(('Loading-truck'!$B$31:$B$48),$J3987,('Loading-truck'!$E$31:$E$48))*Impacts!$F$14,0)),0)</f>
        <v>0</v>
      </c>
      <c r="S3987" s="10">
        <f>IFERROR(IF(('Loading-rail'!$C$21)="No control",SUMIF(('Loading-rail'!$B$31:$B$48),$J3987,('Loading-rail'!$D$31:$D$48))*Impacts!$F$15,IF(('Loading-rail'!$C$21)&lt;&gt;"No control",SUMIF(('Loading-rail'!$B$31:$B$48),$J3987,('Loading-rail'!$E$31:$E$48))*Impacts!$F$15,0)),0)</f>
        <v>0</v>
      </c>
      <c r="T3987" s="10">
        <f>IF(Flare!$C$7="",0,(SUMIF(Flare!$B$46:$B$185,$J3987,Flare!$E$46:$E$185)*Impacts!$F$16))</f>
        <v>0</v>
      </c>
      <c r="U3987" s="10">
        <f>IF(VCU!$C$9="",0,(SUMIF(VCU!$B$51:$B$193,$J3987,VCU!$E$51:$E$193)*Impacts!$F$17))</f>
        <v>0</v>
      </c>
      <c r="V3987" s="10">
        <f>IF(CAS!$C$7="",0,(SUMIF(CAS!$B$31:$B$167,$J3987,CAS!$E$31:$E$167)*Impacts!$F$18))</f>
        <v>0</v>
      </c>
      <c r="W3987" s="10">
        <f t="shared" si="102"/>
        <v>0</v>
      </c>
      <c r="AK3987" s="10" t="str">
        <f t="array" ref="AK3987">IFERROR(INDEX(SelectedSpecies,SMALL(IF(SelectedSpecies=AK$1,ROW(SelectedSpecies)),ROW(3988:3988)),2),"")</f>
        <v/>
      </c>
      <c r="BE3987" s="10"/>
      <c r="BI3987" s="10"/>
    </row>
    <row r="3988" spans="1:61" ht="21" customHeight="1" x14ac:dyDescent="0.25">
      <c r="A3988" s="10"/>
      <c r="B3988" s="10"/>
      <c r="E3988" s="10"/>
      <c r="G3988" s="10"/>
      <c r="I3988" s="436" t="s">
        <v>4865</v>
      </c>
      <c r="J3988" s="26" t="s">
        <v>4864</v>
      </c>
      <c r="K3988" s="10">
        <v>2.8000000000000003</v>
      </c>
      <c r="L3988" s="73">
        <f>IF(Tank1!$C$23="No control",(SUMIF(Tank1!$B$32:$B$49,$J3988,Tank1!$C$32:$C$49)*Impacts!$F$8),0)</f>
        <v>0</v>
      </c>
      <c r="M3988" s="10">
        <f>IF(Tank2!$C$23="No control",(SUMIF(Tank2!$B$32:$B$49,$J3988,Tank2!$C$32:$C$49)*Impacts!$F$9),0)</f>
        <v>0</v>
      </c>
      <c r="N3988" s="10">
        <f>IF(Tank3!$C$23="No control",(SUMIF(Tank3!$B$32:$B$49,$J3988,Tank3!$C$32:$C$49)*Impacts!$F$10),0)</f>
        <v>0</v>
      </c>
      <c r="O3988" s="10">
        <f>IF(Tank4!$C$23="No control",(SUMIF(Tank4!$B$32:$B$49,$J3988,Tank4!$C$32:$C$49)*Impacts!$F$11),0)</f>
        <v>0</v>
      </c>
      <c r="P3988" s="10">
        <f>IF(Tank5!$C$23="No control",(SUMIF(Tank5!$B$32:$B$49,$J3988,Tank5!$C$32:$C$49)*Impacts!$F$12),0)</f>
        <v>0</v>
      </c>
      <c r="Q3988" s="10">
        <f>IFERROR(IF(('Loading-drum,tote'!$C$21)="No control",SUMIF(('Loading-drum,tote'!$B$31:$B$48),$J3988,('Loading-drum,tote'!$D$31:$D$48))*Impacts!$F$13,IF(('Loading-drum,tote'!$C$21)&lt;&gt;"No control",SUMIF(('Loading-drum,tote'!$B$31:$B$48),$J3988,('Loading-drum,tote'!$E$31:$E$48))*Impacts!$F$13,0)),0)</f>
        <v>0</v>
      </c>
      <c r="R3988" s="10">
        <f>IFERROR(IF(('Loading-truck'!$C$21)="No control",SUMIF(('Loading-truck'!$B$31:$B$48),$J3988,('Loading-truck'!$D$31:$D$48))*Impacts!$F$14,IF(('Loading-truck'!$C$21)&lt;&gt;"No control",SUMIF(('Loading-truck'!$B$31:$B$48),$J3988,('Loading-truck'!$E$31:$E$48))*Impacts!$F$14,0)),0)</f>
        <v>0</v>
      </c>
      <c r="S3988" s="10">
        <f>IFERROR(IF(('Loading-rail'!$C$21)="No control",SUMIF(('Loading-rail'!$B$31:$B$48),$J3988,('Loading-rail'!$D$31:$D$48))*Impacts!$F$15,IF(('Loading-rail'!$C$21)&lt;&gt;"No control",SUMIF(('Loading-rail'!$B$31:$B$48),$J3988,('Loading-rail'!$E$31:$E$48))*Impacts!$F$15,0)),0)</f>
        <v>0</v>
      </c>
      <c r="T3988" s="10">
        <f>IF(Flare!$C$7="",0,(SUMIF(Flare!$B$46:$B$185,$J3988,Flare!$E$46:$E$185)*Impacts!$F$16))</f>
        <v>0</v>
      </c>
      <c r="U3988" s="10">
        <f>IF(VCU!$C$9="",0,(SUMIF(VCU!$B$51:$B$193,$J3988,VCU!$E$51:$E$193)*Impacts!$F$17))</f>
        <v>0</v>
      </c>
      <c r="V3988" s="10">
        <f>IF(CAS!$C$7="",0,(SUMIF(CAS!$B$31:$B$167,$J3988,CAS!$E$31:$E$167)*Impacts!$F$18))</f>
        <v>0</v>
      </c>
      <c r="W3988" s="10">
        <f t="shared" si="102"/>
        <v>0</v>
      </c>
      <c r="AK3988" s="10" t="str">
        <f t="array" ref="AK3988">IFERROR(INDEX(SelectedSpecies,SMALL(IF(SelectedSpecies=AK$1,ROW(SelectedSpecies)),ROW(3989:3989)),2),"")</f>
        <v/>
      </c>
      <c r="BE3988" s="10"/>
      <c r="BI3988" s="10"/>
    </row>
    <row r="3989" spans="1:61" ht="21" customHeight="1" x14ac:dyDescent="0.25">
      <c r="A3989" s="10"/>
      <c r="B3989" s="10"/>
      <c r="E3989" s="10"/>
      <c r="G3989" s="10"/>
      <c r="I3989" s="436" t="s">
        <v>2661</v>
      </c>
      <c r="J3989" s="26" t="s">
        <v>2660</v>
      </c>
      <c r="K3989" s="10">
        <v>10</v>
      </c>
      <c r="L3989" s="73">
        <f>IF(Tank1!$C$23="No control",(SUMIF(Tank1!$B$32:$B$49,$J3989,Tank1!$C$32:$C$49)*Impacts!$F$8),0)</f>
        <v>0</v>
      </c>
      <c r="M3989" s="10">
        <f>IF(Tank2!$C$23="No control",(SUMIF(Tank2!$B$32:$B$49,$J3989,Tank2!$C$32:$C$49)*Impacts!$F$9),0)</f>
        <v>0</v>
      </c>
      <c r="N3989" s="10">
        <f>IF(Tank3!$C$23="No control",(SUMIF(Tank3!$B$32:$B$49,$J3989,Tank3!$C$32:$C$49)*Impacts!$F$10),0)</f>
        <v>0</v>
      </c>
      <c r="O3989" s="10">
        <f>IF(Tank4!$C$23="No control",(SUMIF(Tank4!$B$32:$B$49,$J3989,Tank4!$C$32:$C$49)*Impacts!$F$11),0)</f>
        <v>0</v>
      </c>
      <c r="P3989" s="10">
        <f>IF(Tank5!$C$23="No control",(SUMIF(Tank5!$B$32:$B$49,$J3989,Tank5!$C$32:$C$49)*Impacts!$F$12),0)</f>
        <v>0</v>
      </c>
      <c r="Q3989" s="10">
        <f>IFERROR(IF(('Loading-drum,tote'!$C$21)="No control",SUMIF(('Loading-drum,tote'!$B$31:$B$48),$J3989,('Loading-drum,tote'!$D$31:$D$48))*Impacts!$F$13,IF(('Loading-drum,tote'!$C$21)&lt;&gt;"No control",SUMIF(('Loading-drum,tote'!$B$31:$B$48),$J3989,('Loading-drum,tote'!$E$31:$E$48))*Impacts!$F$13,0)),0)</f>
        <v>0</v>
      </c>
      <c r="R3989" s="10">
        <f>IFERROR(IF(('Loading-truck'!$C$21)="No control",SUMIF(('Loading-truck'!$B$31:$B$48),$J3989,('Loading-truck'!$D$31:$D$48))*Impacts!$F$14,IF(('Loading-truck'!$C$21)&lt;&gt;"No control",SUMIF(('Loading-truck'!$B$31:$B$48),$J3989,('Loading-truck'!$E$31:$E$48))*Impacts!$F$14,0)),0)</f>
        <v>0</v>
      </c>
      <c r="S3989" s="10">
        <f>IFERROR(IF(('Loading-rail'!$C$21)="No control",SUMIF(('Loading-rail'!$B$31:$B$48),$J3989,('Loading-rail'!$D$31:$D$48))*Impacts!$F$15,IF(('Loading-rail'!$C$21)&lt;&gt;"No control",SUMIF(('Loading-rail'!$B$31:$B$48),$J3989,('Loading-rail'!$E$31:$E$48))*Impacts!$F$15,0)),0)</f>
        <v>0</v>
      </c>
      <c r="T3989" s="10">
        <f>IF(Flare!$C$7="",0,(SUMIF(Flare!$B$46:$B$185,$J3989,Flare!$E$46:$E$185)*Impacts!$F$16))</f>
        <v>0</v>
      </c>
      <c r="U3989" s="10">
        <f>IF(VCU!$C$9="",0,(SUMIF(VCU!$B$51:$B$193,$J3989,VCU!$E$51:$E$193)*Impacts!$F$17))</f>
        <v>0</v>
      </c>
      <c r="V3989" s="10">
        <f>IF(CAS!$C$7="",0,(SUMIF(CAS!$B$31:$B$167,$J3989,CAS!$E$31:$E$167)*Impacts!$F$18))</f>
        <v>0</v>
      </c>
      <c r="W3989" s="10">
        <f t="shared" si="102"/>
        <v>0</v>
      </c>
      <c r="AK3989" s="10" t="str">
        <f t="array" ref="AK3989">IFERROR(INDEX(SelectedSpecies,SMALL(IF(SelectedSpecies=AK$1,ROW(SelectedSpecies)),ROW(3990:3990)),2),"")</f>
        <v/>
      </c>
      <c r="BE3989" s="10"/>
      <c r="BI3989" s="10"/>
    </row>
    <row r="3990" spans="1:61" ht="21" customHeight="1" x14ac:dyDescent="0.25">
      <c r="A3990" s="10"/>
      <c r="B3990" s="10"/>
      <c r="E3990" s="10"/>
      <c r="G3990" s="10"/>
      <c r="I3990" s="436" t="s">
        <v>6474</v>
      </c>
      <c r="J3990" s="26" t="s">
        <v>6473</v>
      </c>
      <c r="K3990" s="10">
        <v>0.79</v>
      </c>
      <c r="L3990" s="73">
        <f>IF(Tank1!$C$23="No control",(SUMIF(Tank1!$B$32:$B$49,$J3990,Tank1!$C$32:$C$49)*Impacts!$F$8),0)</f>
        <v>0</v>
      </c>
      <c r="M3990" s="10">
        <f>IF(Tank2!$C$23="No control",(SUMIF(Tank2!$B$32:$B$49,$J3990,Tank2!$C$32:$C$49)*Impacts!$F$9),0)</f>
        <v>0</v>
      </c>
      <c r="N3990" s="10">
        <f>IF(Tank3!$C$23="No control",(SUMIF(Tank3!$B$32:$B$49,$J3990,Tank3!$C$32:$C$49)*Impacts!$F$10),0)</f>
        <v>0</v>
      </c>
      <c r="O3990" s="10">
        <f>IF(Tank4!$C$23="No control",(SUMIF(Tank4!$B$32:$B$49,$J3990,Tank4!$C$32:$C$49)*Impacts!$F$11),0)</f>
        <v>0</v>
      </c>
      <c r="P3990" s="10">
        <f>IF(Tank5!$C$23="No control",(SUMIF(Tank5!$B$32:$B$49,$J3990,Tank5!$C$32:$C$49)*Impacts!$F$12),0)</f>
        <v>0</v>
      </c>
      <c r="Q3990" s="10">
        <f>IFERROR(IF(('Loading-drum,tote'!$C$21)="No control",SUMIF(('Loading-drum,tote'!$B$31:$B$48),$J3990,('Loading-drum,tote'!$D$31:$D$48))*Impacts!$F$13,IF(('Loading-drum,tote'!$C$21)&lt;&gt;"No control",SUMIF(('Loading-drum,tote'!$B$31:$B$48),$J3990,('Loading-drum,tote'!$E$31:$E$48))*Impacts!$F$13,0)),0)</f>
        <v>0</v>
      </c>
      <c r="R3990" s="10">
        <f>IFERROR(IF(('Loading-truck'!$C$21)="No control",SUMIF(('Loading-truck'!$B$31:$B$48),$J3990,('Loading-truck'!$D$31:$D$48))*Impacts!$F$14,IF(('Loading-truck'!$C$21)&lt;&gt;"No control",SUMIF(('Loading-truck'!$B$31:$B$48),$J3990,('Loading-truck'!$E$31:$E$48))*Impacts!$F$14,0)),0)</f>
        <v>0</v>
      </c>
      <c r="S3990" s="10">
        <f>IFERROR(IF(('Loading-rail'!$C$21)="No control",SUMIF(('Loading-rail'!$B$31:$B$48),$J3990,('Loading-rail'!$D$31:$D$48))*Impacts!$F$15,IF(('Loading-rail'!$C$21)&lt;&gt;"No control",SUMIF(('Loading-rail'!$B$31:$B$48),$J3990,('Loading-rail'!$E$31:$E$48))*Impacts!$F$15,0)),0)</f>
        <v>0</v>
      </c>
      <c r="T3990" s="10">
        <f>IF(Flare!$C$7="",0,(SUMIF(Flare!$B$46:$B$185,$J3990,Flare!$E$46:$E$185)*Impacts!$F$16))</f>
        <v>0</v>
      </c>
      <c r="U3990" s="10">
        <f>IF(VCU!$C$9="",0,(SUMIF(VCU!$B$51:$B$193,$J3990,VCU!$E$51:$E$193)*Impacts!$F$17))</f>
        <v>0</v>
      </c>
      <c r="V3990" s="10">
        <f>IF(CAS!$C$7="",0,(SUMIF(CAS!$B$31:$B$167,$J3990,CAS!$E$31:$E$167)*Impacts!$F$18))</f>
        <v>0</v>
      </c>
      <c r="W3990" s="10">
        <f t="shared" si="102"/>
        <v>0</v>
      </c>
      <c r="AK3990" s="10" t="str">
        <f t="array" ref="AK3990">IFERROR(INDEX(SelectedSpecies,SMALL(IF(SelectedSpecies=AK$1,ROW(SelectedSpecies)),ROW(3991:3991)),2),"")</f>
        <v/>
      </c>
      <c r="BE3990" s="10"/>
      <c r="BI3990" s="10"/>
    </row>
    <row r="3991" spans="1:61" ht="21" customHeight="1" x14ac:dyDescent="0.25">
      <c r="A3991" s="10"/>
      <c r="B3991" s="10"/>
      <c r="E3991" s="10"/>
      <c r="G3991" s="10"/>
      <c r="I3991" s="436" t="s">
        <v>1743</v>
      </c>
      <c r="J3991" s="26" t="s">
        <v>1742</v>
      </c>
      <c r="K3991" s="10">
        <v>24.5</v>
      </c>
      <c r="L3991" s="73">
        <f>IF(Tank1!$C$23="No control",(SUMIF(Tank1!$B$32:$B$49,$J3991,Tank1!$C$32:$C$49)*Impacts!$F$8),0)</f>
        <v>0</v>
      </c>
      <c r="M3991" s="10">
        <f>IF(Tank2!$C$23="No control",(SUMIF(Tank2!$B$32:$B$49,$J3991,Tank2!$C$32:$C$49)*Impacts!$F$9),0)</f>
        <v>0</v>
      </c>
      <c r="N3991" s="10">
        <f>IF(Tank3!$C$23="No control",(SUMIF(Tank3!$B$32:$B$49,$J3991,Tank3!$C$32:$C$49)*Impacts!$F$10),0)</f>
        <v>0</v>
      </c>
      <c r="O3991" s="10">
        <f>IF(Tank4!$C$23="No control",(SUMIF(Tank4!$B$32:$B$49,$J3991,Tank4!$C$32:$C$49)*Impacts!$F$11),0)</f>
        <v>0</v>
      </c>
      <c r="P3991" s="10">
        <f>IF(Tank5!$C$23="No control",(SUMIF(Tank5!$B$32:$B$49,$J3991,Tank5!$C$32:$C$49)*Impacts!$F$12),0)</f>
        <v>0</v>
      </c>
      <c r="Q3991" s="10">
        <f>IFERROR(IF(('Loading-drum,tote'!$C$21)="No control",SUMIF(('Loading-drum,tote'!$B$31:$B$48),$J3991,('Loading-drum,tote'!$D$31:$D$48))*Impacts!$F$13,IF(('Loading-drum,tote'!$C$21)&lt;&gt;"No control",SUMIF(('Loading-drum,tote'!$B$31:$B$48),$J3991,('Loading-drum,tote'!$E$31:$E$48))*Impacts!$F$13,0)),0)</f>
        <v>0</v>
      </c>
      <c r="R3991" s="10">
        <f>IFERROR(IF(('Loading-truck'!$C$21)="No control",SUMIF(('Loading-truck'!$B$31:$B$48),$J3991,('Loading-truck'!$D$31:$D$48))*Impacts!$F$14,IF(('Loading-truck'!$C$21)&lt;&gt;"No control",SUMIF(('Loading-truck'!$B$31:$B$48),$J3991,('Loading-truck'!$E$31:$E$48))*Impacts!$F$14,0)),0)</f>
        <v>0</v>
      </c>
      <c r="S3991" s="10">
        <f>IFERROR(IF(('Loading-rail'!$C$21)="No control",SUMIF(('Loading-rail'!$B$31:$B$48),$J3991,('Loading-rail'!$D$31:$D$48))*Impacts!$F$15,IF(('Loading-rail'!$C$21)&lt;&gt;"No control",SUMIF(('Loading-rail'!$B$31:$B$48),$J3991,('Loading-rail'!$E$31:$E$48))*Impacts!$F$15,0)),0)</f>
        <v>0</v>
      </c>
      <c r="T3991" s="10">
        <f>IF(Flare!$C$7="",0,(SUMIF(Flare!$B$46:$B$185,$J3991,Flare!$E$46:$E$185)*Impacts!$F$16))</f>
        <v>0</v>
      </c>
      <c r="U3991" s="10">
        <f>IF(VCU!$C$9="",0,(SUMIF(VCU!$B$51:$B$193,$J3991,VCU!$E$51:$E$193)*Impacts!$F$17))</f>
        <v>0</v>
      </c>
      <c r="V3991" s="10">
        <f>IF(CAS!$C$7="",0,(SUMIF(CAS!$B$31:$B$167,$J3991,CAS!$E$31:$E$167)*Impacts!$F$18))</f>
        <v>0</v>
      </c>
      <c r="W3991" s="10">
        <f t="shared" si="102"/>
        <v>0</v>
      </c>
      <c r="AK3991" s="10" t="str">
        <f t="array" ref="AK3991">IFERROR(INDEX(SelectedSpecies,SMALL(IF(SelectedSpecies=AK$1,ROW(SelectedSpecies)),ROW(3992:3992)),2),"")</f>
        <v/>
      </c>
      <c r="BE3991" s="10"/>
      <c r="BI3991" s="10"/>
    </row>
    <row r="3992" spans="1:61" ht="21" customHeight="1" x14ac:dyDescent="0.25">
      <c r="A3992" s="10"/>
      <c r="B3992" s="10"/>
      <c r="E3992" s="10"/>
      <c r="G3992" s="10"/>
      <c r="I3992" s="436" t="s">
        <v>1745</v>
      </c>
      <c r="J3992" s="26" t="s">
        <v>1744</v>
      </c>
      <c r="K3992" s="10">
        <v>24.5</v>
      </c>
      <c r="L3992" s="73">
        <f>IF(Tank1!$C$23="No control",(SUMIF(Tank1!$B$32:$B$49,$J3992,Tank1!$C$32:$C$49)*Impacts!$F$8),0)</f>
        <v>0</v>
      </c>
      <c r="M3992" s="10">
        <f>IF(Tank2!$C$23="No control",(SUMIF(Tank2!$B$32:$B$49,$J3992,Tank2!$C$32:$C$49)*Impacts!$F$9),0)</f>
        <v>0</v>
      </c>
      <c r="N3992" s="10">
        <f>IF(Tank3!$C$23="No control",(SUMIF(Tank3!$B$32:$B$49,$J3992,Tank3!$C$32:$C$49)*Impacts!$F$10),0)</f>
        <v>0</v>
      </c>
      <c r="O3992" s="10">
        <f>IF(Tank4!$C$23="No control",(SUMIF(Tank4!$B$32:$B$49,$J3992,Tank4!$C$32:$C$49)*Impacts!$F$11),0)</f>
        <v>0</v>
      </c>
      <c r="P3992" s="10">
        <f>IF(Tank5!$C$23="No control",(SUMIF(Tank5!$B$32:$B$49,$J3992,Tank5!$C$32:$C$49)*Impacts!$F$12),0)</f>
        <v>0</v>
      </c>
      <c r="Q3992" s="10">
        <f>IFERROR(IF(('Loading-drum,tote'!$C$21)="No control",SUMIF(('Loading-drum,tote'!$B$31:$B$48),$J3992,('Loading-drum,tote'!$D$31:$D$48))*Impacts!$F$13,IF(('Loading-drum,tote'!$C$21)&lt;&gt;"No control",SUMIF(('Loading-drum,tote'!$B$31:$B$48),$J3992,('Loading-drum,tote'!$E$31:$E$48))*Impacts!$F$13,0)),0)</f>
        <v>0</v>
      </c>
      <c r="R3992" s="10">
        <f>IFERROR(IF(('Loading-truck'!$C$21)="No control",SUMIF(('Loading-truck'!$B$31:$B$48),$J3992,('Loading-truck'!$D$31:$D$48))*Impacts!$F$14,IF(('Loading-truck'!$C$21)&lt;&gt;"No control",SUMIF(('Loading-truck'!$B$31:$B$48),$J3992,('Loading-truck'!$E$31:$E$48))*Impacts!$F$14,0)),0)</f>
        <v>0</v>
      </c>
      <c r="S3992" s="10">
        <f>IFERROR(IF(('Loading-rail'!$C$21)="No control",SUMIF(('Loading-rail'!$B$31:$B$48),$J3992,('Loading-rail'!$D$31:$D$48))*Impacts!$F$15,IF(('Loading-rail'!$C$21)&lt;&gt;"No control",SUMIF(('Loading-rail'!$B$31:$B$48),$J3992,('Loading-rail'!$E$31:$E$48))*Impacts!$F$15,0)),0)</f>
        <v>0</v>
      </c>
      <c r="T3992" s="10">
        <f>IF(Flare!$C$7="",0,(SUMIF(Flare!$B$46:$B$185,$J3992,Flare!$E$46:$E$185)*Impacts!$F$16))</f>
        <v>0</v>
      </c>
      <c r="U3992" s="10">
        <f>IF(VCU!$C$9="",0,(SUMIF(VCU!$B$51:$B$193,$J3992,VCU!$E$51:$E$193)*Impacts!$F$17))</f>
        <v>0</v>
      </c>
      <c r="V3992" s="10">
        <f>IF(CAS!$C$7="",0,(SUMIF(CAS!$B$31:$B$167,$J3992,CAS!$E$31:$E$167)*Impacts!$F$18))</f>
        <v>0</v>
      </c>
      <c r="W3992" s="10">
        <f t="shared" si="102"/>
        <v>0</v>
      </c>
      <c r="AK3992" s="10" t="str">
        <f t="array" ref="AK3992">IFERROR(INDEX(SelectedSpecies,SMALL(IF(SelectedSpecies=AK$1,ROW(SelectedSpecies)),ROW(3993:3993)),2),"")</f>
        <v/>
      </c>
      <c r="BE3992" s="10"/>
      <c r="BI3992" s="10"/>
    </row>
    <row r="3993" spans="1:61" ht="21" customHeight="1" x14ac:dyDescent="0.25">
      <c r="A3993" s="10"/>
      <c r="B3993" s="10"/>
      <c r="E3993" s="10"/>
      <c r="G3993" s="10"/>
      <c r="I3993" s="436" t="s">
        <v>1747</v>
      </c>
      <c r="J3993" s="26" t="s">
        <v>1746</v>
      </c>
      <c r="K3993" s="10">
        <v>24.5</v>
      </c>
      <c r="L3993" s="73">
        <f>IF(Tank1!$C$23="No control",(SUMIF(Tank1!$B$32:$B$49,$J3993,Tank1!$C$32:$C$49)*Impacts!$F$8),0)</f>
        <v>0</v>
      </c>
      <c r="M3993" s="10">
        <f>IF(Tank2!$C$23="No control",(SUMIF(Tank2!$B$32:$B$49,$J3993,Tank2!$C$32:$C$49)*Impacts!$F$9),0)</f>
        <v>0</v>
      </c>
      <c r="N3993" s="10">
        <f>IF(Tank3!$C$23="No control",(SUMIF(Tank3!$B$32:$B$49,$J3993,Tank3!$C$32:$C$49)*Impacts!$F$10),0)</f>
        <v>0</v>
      </c>
      <c r="O3993" s="10">
        <f>IF(Tank4!$C$23="No control",(SUMIF(Tank4!$B$32:$B$49,$J3993,Tank4!$C$32:$C$49)*Impacts!$F$11),0)</f>
        <v>0</v>
      </c>
      <c r="P3993" s="10">
        <f>IF(Tank5!$C$23="No control",(SUMIF(Tank5!$B$32:$B$49,$J3993,Tank5!$C$32:$C$49)*Impacts!$F$12),0)</f>
        <v>0</v>
      </c>
      <c r="Q3993" s="10">
        <f>IFERROR(IF(('Loading-drum,tote'!$C$21)="No control",SUMIF(('Loading-drum,tote'!$B$31:$B$48),$J3993,('Loading-drum,tote'!$D$31:$D$48))*Impacts!$F$13,IF(('Loading-drum,tote'!$C$21)&lt;&gt;"No control",SUMIF(('Loading-drum,tote'!$B$31:$B$48),$J3993,('Loading-drum,tote'!$E$31:$E$48))*Impacts!$F$13,0)),0)</f>
        <v>0</v>
      </c>
      <c r="R3993" s="10">
        <f>IFERROR(IF(('Loading-truck'!$C$21)="No control",SUMIF(('Loading-truck'!$B$31:$B$48),$J3993,('Loading-truck'!$D$31:$D$48))*Impacts!$F$14,IF(('Loading-truck'!$C$21)&lt;&gt;"No control",SUMIF(('Loading-truck'!$B$31:$B$48),$J3993,('Loading-truck'!$E$31:$E$48))*Impacts!$F$14,0)),0)</f>
        <v>0</v>
      </c>
      <c r="S3993" s="10">
        <f>IFERROR(IF(('Loading-rail'!$C$21)="No control",SUMIF(('Loading-rail'!$B$31:$B$48),$J3993,('Loading-rail'!$D$31:$D$48))*Impacts!$F$15,IF(('Loading-rail'!$C$21)&lt;&gt;"No control",SUMIF(('Loading-rail'!$B$31:$B$48),$J3993,('Loading-rail'!$E$31:$E$48))*Impacts!$F$15,0)),0)</f>
        <v>0</v>
      </c>
      <c r="T3993" s="10">
        <f>IF(Flare!$C$7="",0,(SUMIF(Flare!$B$46:$B$185,$J3993,Flare!$E$46:$E$185)*Impacts!$F$16))</f>
        <v>0</v>
      </c>
      <c r="U3993" s="10">
        <f>IF(VCU!$C$9="",0,(SUMIF(VCU!$B$51:$B$193,$J3993,VCU!$E$51:$E$193)*Impacts!$F$17))</f>
        <v>0</v>
      </c>
      <c r="V3993" s="10">
        <f>IF(CAS!$C$7="",0,(SUMIF(CAS!$B$31:$B$167,$J3993,CAS!$E$31:$E$167)*Impacts!$F$18))</f>
        <v>0</v>
      </c>
      <c r="W3993" s="10">
        <f t="shared" si="102"/>
        <v>0</v>
      </c>
      <c r="AK3993" s="10" t="str">
        <f t="array" ref="AK3993">IFERROR(INDEX(SelectedSpecies,SMALL(IF(SelectedSpecies=AK$1,ROW(SelectedSpecies)),ROW(3994:3994)),2),"")</f>
        <v/>
      </c>
      <c r="BE3993" s="10"/>
      <c r="BI3993" s="10"/>
    </row>
    <row r="3994" spans="1:61" ht="21" customHeight="1" x14ac:dyDescent="0.25">
      <c r="A3994" s="10"/>
      <c r="B3994" s="10"/>
      <c r="E3994" s="10"/>
      <c r="G3994" s="10"/>
      <c r="I3994" s="436" t="s">
        <v>4237</v>
      </c>
      <c r="J3994" s="26" t="s">
        <v>4236</v>
      </c>
      <c r="K3994" s="10">
        <v>5</v>
      </c>
      <c r="L3994" s="73">
        <f>IF(Tank1!$C$23="No control",(SUMIF(Tank1!$B$32:$B$49,$J3994,Tank1!$C$32:$C$49)*Impacts!$F$8),0)</f>
        <v>0</v>
      </c>
      <c r="M3994" s="10">
        <f>IF(Tank2!$C$23="No control",(SUMIF(Tank2!$B$32:$B$49,$J3994,Tank2!$C$32:$C$49)*Impacts!$F$9),0)</f>
        <v>0</v>
      </c>
      <c r="N3994" s="10">
        <f>IF(Tank3!$C$23="No control",(SUMIF(Tank3!$B$32:$B$49,$J3994,Tank3!$C$32:$C$49)*Impacts!$F$10),0)</f>
        <v>0</v>
      </c>
      <c r="O3994" s="10">
        <f>IF(Tank4!$C$23="No control",(SUMIF(Tank4!$B$32:$B$49,$J3994,Tank4!$C$32:$C$49)*Impacts!$F$11),0)</f>
        <v>0</v>
      </c>
      <c r="P3994" s="10">
        <f>IF(Tank5!$C$23="No control",(SUMIF(Tank5!$B$32:$B$49,$J3994,Tank5!$C$32:$C$49)*Impacts!$F$12),0)</f>
        <v>0</v>
      </c>
      <c r="Q3994" s="10">
        <f>IFERROR(IF(('Loading-drum,tote'!$C$21)="No control",SUMIF(('Loading-drum,tote'!$B$31:$B$48),$J3994,('Loading-drum,tote'!$D$31:$D$48))*Impacts!$F$13,IF(('Loading-drum,tote'!$C$21)&lt;&gt;"No control",SUMIF(('Loading-drum,tote'!$B$31:$B$48),$J3994,('Loading-drum,tote'!$E$31:$E$48))*Impacts!$F$13,0)),0)</f>
        <v>0</v>
      </c>
      <c r="R3994" s="10">
        <f>IFERROR(IF(('Loading-truck'!$C$21)="No control",SUMIF(('Loading-truck'!$B$31:$B$48),$J3994,('Loading-truck'!$D$31:$D$48))*Impacts!$F$14,IF(('Loading-truck'!$C$21)&lt;&gt;"No control",SUMIF(('Loading-truck'!$B$31:$B$48),$J3994,('Loading-truck'!$E$31:$E$48))*Impacts!$F$14,0)),0)</f>
        <v>0</v>
      </c>
      <c r="S3994" s="10">
        <f>IFERROR(IF(('Loading-rail'!$C$21)="No control",SUMIF(('Loading-rail'!$B$31:$B$48),$J3994,('Loading-rail'!$D$31:$D$48))*Impacts!$F$15,IF(('Loading-rail'!$C$21)&lt;&gt;"No control",SUMIF(('Loading-rail'!$B$31:$B$48),$J3994,('Loading-rail'!$E$31:$E$48))*Impacts!$F$15,0)),0)</f>
        <v>0</v>
      </c>
      <c r="T3994" s="10">
        <f>IF(Flare!$C$7="",0,(SUMIF(Flare!$B$46:$B$185,$J3994,Flare!$E$46:$E$185)*Impacts!$F$16))</f>
        <v>0</v>
      </c>
      <c r="U3994" s="10">
        <f>IF(VCU!$C$9="",0,(SUMIF(VCU!$B$51:$B$193,$J3994,VCU!$E$51:$E$193)*Impacts!$F$17))</f>
        <v>0</v>
      </c>
      <c r="V3994" s="10">
        <f>IF(CAS!$C$7="",0,(SUMIF(CAS!$B$31:$B$167,$J3994,CAS!$E$31:$E$167)*Impacts!$F$18))</f>
        <v>0</v>
      </c>
      <c r="W3994" s="10">
        <f t="shared" ref="W3994:W4057" si="103">SUM(L3994:V3994)</f>
        <v>0</v>
      </c>
      <c r="AK3994" s="10" t="str">
        <f t="array" ref="AK3994">IFERROR(INDEX(SelectedSpecies,SMALL(IF(SelectedSpecies=AK$1,ROW(SelectedSpecies)),ROW(3995:3995)),2),"")</f>
        <v/>
      </c>
      <c r="BE3994" s="10"/>
      <c r="BI3994" s="10"/>
    </row>
    <row r="3995" spans="1:61" ht="21" customHeight="1" x14ac:dyDescent="0.25">
      <c r="A3995" s="10"/>
      <c r="B3995" s="10"/>
      <c r="E3995" s="10"/>
      <c r="G3995" s="10"/>
      <c r="I3995" s="436" t="s">
        <v>4475</v>
      </c>
      <c r="J3995" s="26" t="s">
        <v>4474</v>
      </c>
      <c r="K3995" s="10">
        <v>4.4000000000000004</v>
      </c>
      <c r="L3995" s="73">
        <f>IF(Tank1!$C$23="No control",(SUMIF(Tank1!$B$32:$B$49,$J3995,Tank1!$C$32:$C$49)*Impacts!$F$8),0)</f>
        <v>0</v>
      </c>
      <c r="M3995" s="10">
        <f>IF(Tank2!$C$23="No control",(SUMIF(Tank2!$B$32:$B$49,$J3995,Tank2!$C$32:$C$49)*Impacts!$F$9),0)</f>
        <v>0</v>
      </c>
      <c r="N3995" s="10">
        <f>IF(Tank3!$C$23="No control",(SUMIF(Tank3!$B$32:$B$49,$J3995,Tank3!$C$32:$C$49)*Impacts!$F$10),0)</f>
        <v>0</v>
      </c>
      <c r="O3995" s="10">
        <f>IF(Tank4!$C$23="No control",(SUMIF(Tank4!$B$32:$B$49,$J3995,Tank4!$C$32:$C$49)*Impacts!$F$11),0)</f>
        <v>0</v>
      </c>
      <c r="P3995" s="10">
        <f>IF(Tank5!$C$23="No control",(SUMIF(Tank5!$B$32:$B$49,$J3995,Tank5!$C$32:$C$49)*Impacts!$F$12),0)</f>
        <v>0</v>
      </c>
      <c r="Q3995" s="10">
        <f>IFERROR(IF(('Loading-drum,tote'!$C$21)="No control",SUMIF(('Loading-drum,tote'!$B$31:$B$48),$J3995,('Loading-drum,tote'!$D$31:$D$48))*Impacts!$F$13,IF(('Loading-drum,tote'!$C$21)&lt;&gt;"No control",SUMIF(('Loading-drum,tote'!$B$31:$B$48),$J3995,('Loading-drum,tote'!$E$31:$E$48))*Impacts!$F$13,0)),0)</f>
        <v>0</v>
      </c>
      <c r="R3995" s="10">
        <f>IFERROR(IF(('Loading-truck'!$C$21)="No control",SUMIF(('Loading-truck'!$B$31:$B$48),$J3995,('Loading-truck'!$D$31:$D$48))*Impacts!$F$14,IF(('Loading-truck'!$C$21)&lt;&gt;"No control",SUMIF(('Loading-truck'!$B$31:$B$48),$J3995,('Loading-truck'!$E$31:$E$48))*Impacts!$F$14,0)),0)</f>
        <v>0</v>
      </c>
      <c r="S3995" s="10">
        <f>IFERROR(IF(('Loading-rail'!$C$21)="No control",SUMIF(('Loading-rail'!$B$31:$B$48),$J3995,('Loading-rail'!$D$31:$D$48))*Impacts!$F$15,IF(('Loading-rail'!$C$21)&lt;&gt;"No control",SUMIF(('Loading-rail'!$B$31:$B$48),$J3995,('Loading-rail'!$E$31:$E$48))*Impacts!$F$15,0)),0)</f>
        <v>0</v>
      </c>
      <c r="T3995" s="10">
        <f>IF(Flare!$C$7="",0,(SUMIF(Flare!$B$46:$B$185,$J3995,Flare!$E$46:$E$185)*Impacts!$F$16))</f>
        <v>0</v>
      </c>
      <c r="U3995" s="10">
        <f>IF(VCU!$C$9="",0,(SUMIF(VCU!$B$51:$B$193,$J3995,VCU!$E$51:$E$193)*Impacts!$F$17))</f>
        <v>0</v>
      </c>
      <c r="V3995" s="10">
        <f>IF(CAS!$C$7="",0,(SUMIF(CAS!$B$31:$B$167,$J3995,CAS!$E$31:$E$167)*Impacts!$F$18))</f>
        <v>0</v>
      </c>
      <c r="W3995" s="10">
        <f t="shared" si="103"/>
        <v>0</v>
      </c>
      <c r="AK3995" s="10" t="str">
        <f t="array" ref="AK3995">IFERROR(INDEX(SelectedSpecies,SMALL(IF(SelectedSpecies=AK$1,ROW(SelectedSpecies)),ROW(3996:3996)),2),"")</f>
        <v/>
      </c>
      <c r="BE3995" s="10"/>
      <c r="BI3995" s="10"/>
    </row>
    <row r="3996" spans="1:61" ht="21" customHeight="1" x14ac:dyDescent="0.25">
      <c r="A3996" s="10"/>
      <c r="B3996" s="10"/>
      <c r="E3996" s="10"/>
      <c r="G3996" s="10"/>
      <c r="I3996" s="436" t="s">
        <v>5247</v>
      </c>
      <c r="J3996" s="26" t="s">
        <v>5246</v>
      </c>
      <c r="K3996" s="10">
        <v>1.9000000000000001</v>
      </c>
      <c r="L3996" s="73">
        <f>IF(Tank1!$C$23="No control",(SUMIF(Tank1!$B$32:$B$49,$J3996,Tank1!$C$32:$C$49)*Impacts!$F$8),0)</f>
        <v>0</v>
      </c>
      <c r="M3996" s="10">
        <f>IF(Tank2!$C$23="No control",(SUMIF(Tank2!$B$32:$B$49,$J3996,Tank2!$C$32:$C$49)*Impacts!$F$9),0)</f>
        <v>0</v>
      </c>
      <c r="N3996" s="10">
        <f>IF(Tank3!$C$23="No control",(SUMIF(Tank3!$B$32:$B$49,$J3996,Tank3!$C$32:$C$49)*Impacts!$F$10),0)</f>
        <v>0</v>
      </c>
      <c r="O3996" s="10">
        <f>IF(Tank4!$C$23="No control",(SUMIF(Tank4!$B$32:$B$49,$J3996,Tank4!$C$32:$C$49)*Impacts!$F$11),0)</f>
        <v>0</v>
      </c>
      <c r="P3996" s="10">
        <f>IF(Tank5!$C$23="No control",(SUMIF(Tank5!$B$32:$B$49,$J3996,Tank5!$C$32:$C$49)*Impacts!$F$12),0)</f>
        <v>0</v>
      </c>
      <c r="Q3996" s="10">
        <f>IFERROR(IF(('Loading-drum,tote'!$C$21)="No control",SUMIF(('Loading-drum,tote'!$B$31:$B$48),$J3996,('Loading-drum,tote'!$D$31:$D$48))*Impacts!$F$13,IF(('Loading-drum,tote'!$C$21)&lt;&gt;"No control",SUMIF(('Loading-drum,tote'!$B$31:$B$48),$J3996,('Loading-drum,tote'!$E$31:$E$48))*Impacts!$F$13,0)),0)</f>
        <v>0</v>
      </c>
      <c r="R3996" s="10">
        <f>IFERROR(IF(('Loading-truck'!$C$21)="No control",SUMIF(('Loading-truck'!$B$31:$B$48),$J3996,('Loading-truck'!$D$31:$D$48))*Impacts!$F$14,IF(('Loading-truck'!$C$21)&lt;&gt;"No control",SUMIF(('Loading-truck'!$B$31:$B$48),$J3996,('Loading-truck'!$E$31:$E$48))*Impacts!$F$14,0)),0)</f>
        <v>0</v>
      </c>
      <c r="S3996" s="10">
        <f>IFERROR(IF(('Loading-rail'!$C$21)="No control",SUMIF(('Loading-rail'!$B$31:$B$48),$J3996,('Loading-rail'!$D$31:$D$48))*Impacts!$F$15,IF(('Loading-rail'!$C$21)&lt;&gt;"No control",SUMIF(('Loading-rail'!$B$31:$B$48),$J3996,('Loading-rail'!$E$31:$E$48))*Impacts!$F$15,0)),0)</f>
        <v>0</v>
      </c>
      <c r="T3996" s="10">
        <f>IF(Flare!$C$7="",0,(SUMIF(Flare!$B$46:$B$185,$J3996,Flare!$E$46:$E$185)*Impacts!$F$16))</f>
        <v>0</v>
      </c>
      <c r="U3996" s="10">
        <f>IF(VCU!$C$9="",0,(SUMIF(VCU!$B$51:$B$193,$J3996,VCU!$E$51:$E$193)*Impacts!$F$17))</f>
        <v>0</v>
      </c>
      <c r="V3996" s="10">
        <f>IF(CAS!$C$7="",0,(SUMIF(CAS!$B$31:$B$167,$J3996,CAS!$E$31:$E$167)*Impacts!$F$18))</f>
        <v>0</v>
      </c>
      <c r="W3996" s="10">
        <f t="shared" si="103"/>
        <v>0</v>
      </c>
      <c r="AK3996" s="10" t="str">
        <f t="array" ref="AK3996">IFERROR(INDEX(SelectedSpecies,SMALL(IF(SelectedSpecies=AK$1,ROW(SelectedSpecies)),ROW(3997:3997)),2),"")</f>
        <v/>
      </c>
      <c r="BE3996" s="10"/>
      <c r="BI3996" s="10"/>
    </row>
    <row r="3997" spans="1:61" ht="21" customHeight="1" x14ac:dyDescent="0.25">
      <c r="A3997" s="10"/>
      <c r="B3997" s="10"/>
      <c r="E3997" s="10"/>
      <c r="G3997" s="10"/>
      <c r="I3997" s="436" t="s">
        <v>7040</v>
      </c>
      <c r="J3997" s="26" t="s">
        <v>7039</v>
      </c>
      <c r="K3997" s="10">
        <v>0.45</v>
      </c>
      <c r="L3997" s="73">
        <f>IF(Tank1!$C$23="No control",(SUMIF(Tank1!$B$32:$B$49,$J3997,Tank1!$C$32:$C$49)*Impacts!$F$8),0)</f>
        <v>0</v>
      </c>
      <c r="M3997" s="10">
        <f>IF(Tank2!$C$23="No control",(SUMIF(Tank2!$B$32:$B$49,$J3997,Tank2!$C$32:$C$49)*Impacts!$F$9),0)</f>
        <v>0</v>
      </c>
      <c r="N3997" s="10">
        <f>IF(Tank3!$C$23="No control",(SUMIF(Tank3!$B$32:$B$49,$J3997,Tank3!$C$32:$C$49)*Impacts!$F$10),0)</f>
        <v>0</v>
      </c>
      <c r="O3997" s="10">
        <f>IF(Tank4!$C$23="No control",(SUMIF(Tank4!$B$32:$B$49,$J3997,Tank4!$C$32:$C$49)*Impacts!$F$11),0)</f>
        <v>0</v>
      </c>
      <c r="P3997" s="10">
        <f>IF(Tank5!$C$23="No control",(SUMIF(Tank5!$B$32:$B$49,$J3997,Tank5!$C$32:$C$49)*Impacts!$F$12),0)</f>
        <v>0</v>
      </c>
      <c r="Q3997" s="10">
        <f>IFERROR(IF(('Loading-drum,tote'!$C$21)="No control",SUMIF(('Loading-drum,tote'!$B$31:$B$48),$J3997,('Loading-drum,tote'!$D$31:$D$48))*Impacts!$F$13,IF(('Loading-drum,tote'!$C$21)&lt;&gt;"No control",SUMIF(('Loading-drum,tote'!$B$31:$B$48),$J3997,('Loading-drum,tote'!$E$31:$E$48))*Impacts!$F$13,0)),0)</f>
        <v>0</v>
      </c>
      <c r="R3997" s="10">
        <f>IFERROR(IF(('Loading-truck'!$C$21)="No control",SUMIF(('Loading-truck'!$B$31:$B$48),$J3997,('Loading-truck'!$D$31:$D$48))*Impacts!$F$14,IF(('Loading-truck'!$C$21)&lt;&gt;"No control",SUMIF(('Loading-truck'!$B$31:$B$48),$J3997,('Loading-truck'!$E$31:$E$48))*Impacts!$F$14,0)),0)</f>
        <v>0</v>
      </c>
      <c r="S3997" s="10">
        <f>IFERROR(IF(('Loading-rail'!$C$21)="No control",SUMIF(('Loading-rail'!$B$31:$B$48),$J3997,('Loading-rail'!$D$31:$D$48))*Impacts!$F$15,IF(('Loading-rail'!$C$21)&lt;&gt;"No control",SUMIF(('Loading-rail'!$B$31:$B$48),$J3997,('Loading-rail'!$E$31:$E$48))*Impacts!$F$15,0)),0)</f>
        <v>0</v>
      </c>
      <c r="T3997" s="10">
        <f>IF(Flare!$C$7="",0,(SUMIF(Flare!$B$46:$B$185,$J3997,Flare!$E$46:$E$185)*Impacts!$F$16))</f>
        <v>0</v>
      </c>
      <c r="U3997" s="10">
        <f>IF(VCU!$C$9="",0,(SUMIF(VCU!$B$51:$B$193,$J3997,VCU!$E$51:$E$193)*Impacts!$F$17))</f>
        <v>0</v>
      </c>
      <c r="V3997" s="10">
        <f>IF(CAS!$C$7="",0,(SUMIF(CAS!$B$31:$B$167,$J3997,CAS!$E$31:$E$167)*Impacts!$F$18))</f>
        <v>0</v>
      </c>
      <c r="W3997" s="10">
        <f t="shared" si="103"/>
        <v>0</v>
      </c>
      <c r="AK3997" s="10" t="str">
        <f t="array" ref="AK3997">IFERROR(INDEX(SelectedSpecies,SMALL(IF(SelectedSpecies=AK$1,ROW(SelectedSpecies)),ROW(3998:3998)),2),"")</f>
        <v/>
      </c>
      <c r="BE3997" s="10"/>
      <c r="BI3997" s="10"/>
    </row>
    <row r="3998" spans="1:61" ht="21" customHeight="1" x14ac:dyDescent="0.25">
      <c r="A3998" s="10"/>
      <c r="B3998" s="10"/>
      <c r="E3998" s="10"/>
      <c r="G3998" s="10"/>
      <c r="I3998" s="436" t="s">
        <v>3763</v>
      </c>
      <c r="J3998" s="26" t="s">
        <v>3762</v>
      </c>
      <c r="K3998" s="10">
        <v>6.1000000000000005</v>
      </c>
      <c r="L3998" s="73">
        <f>IF(Tank1!$C$23="No control",(SUMIF(Tank1!$B$32:$B$49,$J3998,Tank1!$C$32:$C$49)*Impacts!$F$8),0)</f>
        <v>0</v>
      </c>
      <c r="M3998" s="10">
        <f>IF(Tank2!$C$23="No control",(SUMIF(Tank2!$B$32:$B$49,$J3998,Tank2!$C$32:$C$49)*Impacts!$F$9),0)</f>
        <v>0</v>
      </c>
      <c r="N3998" s="10">
        <f>IF(Tank3!$C$23="No control",(SUMIF(Tank3!$B$32:$B$49,$J3998,Tank3!$C$32:$C$49)*Impacts!$F$10),0)</f>
        <v>0</v>
      </c>
      <c r="O3998" s="10">
        <f>IF(Tank4!$C$23="No control",(SUMIF(Tank4!$B$32:$B$49,$J3998,Tank4!$C$32:$C$49)*Impacts!$F$11),0)</f>
        <v>0</v>
      </c>
      <c r="P3998" s="10">
        <f>IF(Tank5!$C$23="No control",(SUMIF(Tank5!$B$32:$B$49,$J3998,Tank5!$C$32:$C$49)*Impacts!$F$12),0)</f>
        <v>0</v>
      </c>
      <c r="Q3998" s="10">
        <f>IFERROR(IF(('Loading-drum,tote'!$C$21)="No control",SUMIF(('Loading-drum,tote'!$B$31:$B$48),$J3998,('Loading-drum,tote'!$D$31:$D$48))*Impacts!$F$13,IF(('Loading-drum,tote'!$C$21)&lt;&gt;"No control",SUMIF(('Loading-drum,tote'!$B$31:$B$48),$J3998,('Loading-drum,tote'!$E$31:$E$48))*Impacts!$F$13,0)),0)</f>
        <v>0</v>
      </c>
      <c r="R3998" s="10">
        <f>IFERROR(IF(('Loading-truck'!$C$21)="No control",SUMIF(('Loading-truck'!$B$31:$B$48),$J3998,('Loading-truck'!$D$31:$D$48))*Impacts!$F$14,IF(('Loading-truck'!$C$21)&lt;&gt;"No control",SUMIF(('Loading-truck'!$B$31:$B$48),$J3998,('Loading-truck'!$E$31:$E$48))*Impacts!$F$14,0)),0)</f>
        <v>0</v>
      </c>
      <c r="S3998" s="10">
        <f>IFERROR(IF(('Loading-rail'!$C$21)="No control",SUMIF(('Loading-rail'!$B$31:$B$48),$J3998,('Loading-rail'!$D$31:$D$48))*Impacts!$F$15,IF(('Loading-rail'!$C$21)&lt;&gt;"No control",SUMIF(('Loading-rail'!$B$31:$B$48),$J3998,('Loading-rail'!$E$31:$E$48))*Impacts!$F$15,0)),0)</f>
        <v>0</v>
      </c>
      <c r="T3998" s="10">
        <f>IF(Flare!$C$7="",0,(SUMIF(Flare!$B$46:$B$185,$J3998,Flare!$E$46:$E$185)*Impacts!$F$16))</f>
        <v>0</v>
      </c>
      <c r="U3998" s="10">
        <f>IF(VCU!$C$9="",0,(SUMIF(VCU!$B$51:$B$193,$J3998,VCU!$E$51:$E$193)*Impacts!$F$17))</f>
        <v>0</v>
      </c>
      <c r="V3998" s="10">
        <f>IF(CAS!$C$7="",0,(SUMIF(CAS!$B$31:$B$167,$J3998,CAS!$E$31:$E$167)*Impacts!$F$18))</f>
        <v>0</v>
      </c>
      <c r="W3998" s="10">
        <f t="shared" si="103"/>
        <v>0</v>
      </c>
      <c r="AK3998" s="10" t="str">
        <f t="array" ref="AK3998">IFERROR(INDEX(SelectedSpecies,SMALL(IF(SelectedSpecies=AK$1,ROW(SelectedSpecies)),ROW(3999:3999)),2),"")</f>
        <v/>
      </c>
      <c r="BE3998" s="10"/>
      <c r="BI3998" s="10"/>
    </row>
    <row r="3999" spans="1:61" ht="21" customHeight="1" x14ac:dyDescent="0.25">
      <c r="A3999" s="10"/>
      <c r="B3999" s="10"/>
      <c r="E3999" s="10"/>
      <c r="G3999" s="10"/>
      <c r="I3999" s="436" t="s">
        <v>758</v>
      </c>
      <c r="J3999" s="26" t="s">
        <v>757</v>
      </c>
      <c r="K3999" s="10">
        <v>57</v>
      </c>
      <c r="L3999" s="73">
        <f>IF(Tank1!$C$23="No control",(SUMIF(Tank1!$B$32:$B$49,$J3999,Tank1!$C$32:$C$49)*Impacts!$F$8),0)</f>
        <v>0</v>
      </c>
      <c r="M3999" s="10">
        <f>IF(Tank2!$C$23="No control",(SUMIF(Tank2!$B$32:$B$49,$J3999,Tank2!$C$32:$C$49)*Impacts!$F$9),0)</f>
        <v>0</v>
      </c>
      <c r="N3999" s="10">
        <f>IF(Tank3!$C$23="No control",(SUMIF(Tank3!$B$32:$B$49,$J3999,Tank3!$C$32:$C$49)*Impacts!$F$10),0)</f>
        <v>0</v>
      </c>
      <c r="O3999" s="10">
        <f>IF(Tank4!$C$23="No control",(SUMIF(Tank4!$B$32:$B$49,$J3999,Tank4!$C$32:$C$49)*Impacts!$F$11),0)</f>
        <v>0</v>
      </c>
      <c r="P3999" s="10">
        <f>IF(Tank5!$C$23="No control",(SUMIF(Tank5!$B$32:$B$49,$J3999,Tank5!$C$32:$C$49)*Impacts!$F$12),0)</f>
        <v>0</v>
      </c>
      <c r="Q3999" s="10">
        <f>IFERROR(IF(('Loading-drum,tote'!$C$21)="No control",SUMIF(('Loading-drum,tote'!$B$31:$B$48),$J3999,('Loading-drum,tote'!$D$31:$D$48))*Impacts!$F$13,IF(('Loading-drum,tote'!$C$21)&lt;&gt;"No control",SUMIF(('Loading-drum,tote'!$B$31:$B$48),$J3999,('Loading-drum,tote'!$E$31:$E$48))*Impacts!$F$13,0)),0)</f>
        <v>0</v>
      </c>
      <c r="R3999" s="10">
        <f>IFERROR(IF(('Loading-truck'!$C$21)="No control",SUMIF(('Loading-truck'!$B$31:$B$48),$J3999,('Loading-truck'!$D$31:$D$48))*Impacts!$F$14,IF(('Loading-truck'!$C$21)&lt;&gt;"No control",SUMIF(('Loading-truck'!$B$31:$B$48),$J3999,('Loading-truck'!$E$31:$E$48))*Impacts!$F$14,0)),0)</f>
        <v>0</v>
      </c>
      <c r="S3999" s="10">
        <f>IFERROR(IF(('Loading-rail'!$C$21)="No control",SUMIF(('Loading-rail'!$B$31:$B$48),$J3999,('Loading-rail'!$D$31:$D$48))*Impacts!$F$15,IF(('Loading-rail'!$C$21)&lt;&gt;"No control",SUMIF(('Loading-rail'!$B$31:$B$48),$J3999,('Loading-rail'!$E$31:$E$48))*Impacts!$F$15,0)),0)</f>
        <v>0</v>
      </c>
      <c r="T3999" s="10">
        <f>IF(Flare!$C$7="",0,(SUMIF(Flare!$B$46:$B$185,$J3999,Flare!$E$46:$E$185)*Impacts!$F$16))</f>
        <v>0</v>
      </c>
      <c r="U3999" s="10">
        <f>IF(VCU!$C$9="",0,(SUMIF(VCU!$B$51:$B$193,$J3999,VCU!$E$51:$E$193)*Impacts!$F$17))</f>
        <v>0</v>
      </c>
      <c r="V3999" s="10">
        <f>IF(CAS!$C$7="",0,(SUMIF(CAS!$B$31:$B$167,$J3999,CAS!$E$31:$E$167)*Impacts!$F$18))</f>
        <v>0</v>
      </c>
      <c r="W3999" s="10">
        <f t="shared" si="103"/>
        <v>0</v>
      </c>
      <c r="AK3999" s="10" t="str">
        <f t="array" ref="AK3999">IFERROR(INDEX(SelectedSpecies,SMALL(IF(SelectedSpecies=AK$1,ROW(SelectedSpecies)),ROW(4000:4000)),2),"")</f>
        <v/>
      </c>
      <c r="BE3999" s="10"/>
      <c r="BI3999" s="10"/>
    </row>
    <row r="4000" spans="1:61" ht="21" customHeight="1" x14ac:dyDescent="0.25">
      <c r="A4000" s="10"/>
      <c r="B4000" s="10"/>
      <c r="E4000" s="10"/>
      <c r="G4000" s="10"/>
      <c r="I4000" s="436" t="s">
        <v>2173</v>
      </c>
      <c r="J4000" s="26" t="s">
        <v>2172</v>
      </c>
      <c r="K4000" s="10">
        <v>15</v>
      </c>
      <c r="L4000" s="73">
        <f>IF(Tank1!$C$23="No control",(SUMIF(Tank1!$B$32:$B$49,$J4000,Tank1!$C$32:$C$49)*Impacts!$F$8),0)</f>
        <v>0</v>
      </c>
      <c r="M4000" s="10">
        <f>IF(Tank2!$C$23="No control",(SUMIF(Tank2!$B$32:$B$49,$J4000,Tank2!$C$32:$C$49)*Impacts!$F$9),0)</f>
        <v>0</v>
      </c>
      <c r="N4000" s="10">
        <f>IF(Tank3!$C$23="No control",(SUMIF(Tank3!$B$32:$B$49,$J4000,Tank3!$C$32:$C$49)*Impacts!$F$10),0)</f>
        <v>0</v>
      </c>
      <c r="O4000" s="10">
        <f>IF(Tank4!$C$23="No control",(SUMIF(Tank4!$B$32:$B$49,$J4000,Tank4!$C$32:$C$49)*Impacts!$F$11),0)</f>
        <v>0</v>
      </c>
      <c r="P4000" s="10">
        <f>IF(Tank5!$C$23="No control",(SUMIF(Tank5!$B$32:$B$49,$J4000,Tank5!$C$32:$C$49)*Impacts!$F$12),0)</f>
        <v>0</v>
      </c>
      <c r="Q4000" s="10">
        <f>IFERROR(IF(('Loading-drum,tote'!$C$21)="No control",SUMIF(('Loading-drum,tote'!$B$31:$B$48),$J4000,('Loading-drum,tote'!$D$31:$D$48))*Impacts!$F$13,IF(('Loading-drum,tote'!$C$21)&lt;&gt;"No control",SUMIF(('Loading-drum,tote'!$B$31:$B$48),$J4000,('Loading-drum,tote'!$E$31:$E$48))*Impacts!$F$13,0)),0)</f>
        <v>0</v>
      </c>
      <c r="R4000" s="10">
        <f>IFERROR(IF(('Loading-truck'!$C$21)="No control",SUMIF(('Loading-truck'!$B$31:$B$48),$J4000,('Loading-truck'!$D$31:$D$48))*Impacts!$F$14,IF(('Loading-truck'!$C$21)&lt;&gt;"No control",SUMIF(('Loading-truck'!$B$31:$B$48),$J4000,('Loading-truck'!$E$31:$E$48))*Impacts!$F$14,0)),0)</f>
        <v>0</v>
      </c>
      <c r="S4000" s="10">
        <f>IFERROR(IF(('Loading-rail'!$C$21)="No control",SUMIF(('Loading-rail'!$B$31:$B$48),$J4000,('Loading-rail'!$D$31:$D$48))*Impacts!$F$15,IF(('Loading-rail'!$C$21)&lt;&gt;"No control",SUMIF(('Loading-rail'!$B$31:$B$48),$J4000,('Loading-rail'!$E$31:$E$48))*Impacts!$F$15,0)),0)</f>
        <v>0</v>
      </c>
      <c r="T4000" s="10">
        <f>IF(Flare!$C$7="",0,(SUMIF(Flare!$B$46:$B$185,$J4000,Flare!$E$46:$E$185)*Impacts!$F$16))</f>
        <v>0</v>
      </c>
      <c r="U4000" s="10">
        <f>IF(VCU!$C$9="",0,(SUMIF(VCU!$B$51:$B$193,$J4000,VCU!$E$51:$E$193)*Impacts!$F$17))</f>
        <v>0</v>
      </c>
      <c r="V4000" s="10">
        <f>IF(CAS!$C$7="",0,(SUMIF(CAS!$B$31:$B$167,$J4000,CAS!$E$31:$E$167)*Impacts!$F$18))</f>
        <v>0</v>
      </c>
      <c r="W4000" s="10">
        <f t="shared" si="103"/>
        <v>0</v>
      </c>
      <c r="AK4000" s="10" t="str">
        <f t="array" ref="AK4000">IFERROR(INDEX(SelectedSpecies,SMALL(IF(SelectedSpecies=AK$1,ROW(SelectedSpecies)),ROW(4001:4001)),2),"")</f>
        <v/>
      </c>
      <c r="BE4000" s="10"/>
      <c r="BI4000" s="10"/>
    </row>
    <row r="4001" spans="1:61" ht="21" customHeight="1" x14ac:dyDescent="0.25">
      <c r="A4001" s="10"/>
      <c r="B4001" s="10"/>
      <c r="E4001" s="10"/>
      <c r="G4001" s="10"/>
      <c r="I4001" s="436" t="s">
        <v>6208</v>
      </c>
      <c r="J4001" s="26" t="s">
        <v>6207</v>
      </c>
      <c r="K4001" s="10">
        <v>1</v>
      </c>
      <c r="L4001" s="73">
        <f>IF(Tank1!$C$23="No control",(SUMIF(Tank1!$B$32:$B$49,$J4001,Tank1!$C$32:$C$49)*Impacts!$F$8),0)</f>
        <v>0</v>
      </c>
      <c r="M4001" s="10">
        <f>IF(Tank2!$C$23="No control",(SUMIF(Tank2!$B$32:$B$49,$J4001,Tank2!$C$32:$C$49)*Impacts!$F$9),0)</f>
        <v>0</v>
      </c>
      <c r="N4001" s="10">
        <f>IF(Tank3!$C$23="No control",(SUMIF(Tank3!$B$32:$B$49,$J4001,Tank3!$C$32:$C$49)*Impacts!$F$10),0)</f>
        <v>0</v>
      </c>
      <c r="O4001" s="10">
        <f>IF(Tank4!$C$23="No control",(SUMIF(Tank4!$B$32:$B$49,$J4001,Tank4!$C$32:$C$49)*Impacts!$F$11),0)</f>
        <v>0</v>
      </c>
      <c r="P4001" s="10">
        <f>IF(Tank5!$C$23="No control",(SUMIF(Tank5!$B$32:$B$49,$J4001,Tank5!$C$32:$C$49)*Impacts!$F$12),0)</f>
        <v>0</v>
      </c>
      <c r="Q4001" s="10">
        <f>IFERROR(IF(('Loading-drum,tote'!$C$21)="No control",SUMIF(('Loading-drum,tote'!$B$31:$B$48),$J4001,('Loading-drum,tote'!$D$31:$D$48))*Impacts!$F$13,IF(('Loading-drum,tote'!$C$21)&lt;&gt;"No control",SUMIF(('Loading-drum,tote'!$B$31:$B$48),$J4001,('Loading-drum,tote'!$E$31:$E$48))*Impacts!$F$13,0)),0)</f>
        <v>0</v>
      </c>
      <c r="R4001" s="10">
        <f>IFERROR(IF(('Loading-truck'!$C$21)="No control",SUMIF(('Loading-truck'!$B$31:$B$48),$J4001,('Loading-truck'!$D$31:$D$48))*Impacts!$F$14,IF(('Loading-truck'!$C$21)&lt;&gt;"No control",SUMIF(('Loading-truck'!$B$31:$B$48),$J4001,('Loading-truck'!$E$31:$E$48))*Impacts!$F$14,0)),0)</f>
        <v>0</v>
      </c>
      <c r="S4001" s="10">
        <f>IFERROR(IF(('Loading-rail'!$C$21)="No control",SUMIF(('Loading-rail'!$B$31:$B$48),$J4001,('Loading-rail'!$D$31:$D$48))*Impacts!$F$15,IF(('Loading-rail'!$C$21)&lt;&gt;"No control",SUMIF(('Loading-rail'!$B$31:$B$48),$J4001,('Loading-rail'!$E$31:$E$48))*Impacts!$F$15,0)),0)</f>
        <v>0</v>
      </c>
      <c r="T4001" s="10">
        <f>IF(Flare!$C$7="",0,(SUMIF(Flare!$B$46:$B$185,$J4001,Flare!$E$46:$E$185)*Impacts!$F$16))</f>
        <v>0</v>
      </c>
      <c r="U4001" s="10">
        <f>IF(VCU!$C$9="",0,(SUMIF(VCU!$B$51:$B$193,$J4001,VCU!$E$51:$E$193)*Impacts!$F$17))</f>
        <v>0</v>
      </c>
      <c r="V4001" s="10">
        <f>IF(CAS!$C$7="",0,(SUMIF(CAS!$B$31:$B$167,$J4001,CAS!$E$31:$E$167)*Impacts!$F$18))</f>
        <v>0</v>
      </c>
      <c r="W4001" s="10">
        <f t="shared" si="103"/>
        <v>0</v>
      </c>
      <c r="AK4001" s="10" t="str">
        <f t="array" ref="AK4001">IFERROR(INDEX(SelectedSpecies,SMALL(IF(SelectedSpecies=AK$1,ROW(SelectedSpecies)),ROW(4002:4002)),2),"")</f>
        <v/>
      </c>
      <c r="BE4001" s="10"/>
      <c r="BI4001" s="10"/>
    </row>
    <row r="4002" spans="1:61" ht="21" customHeight="1" x14ac:dyDescent="0.25">
      <c r="A4002" s="10"/>
      <c r="B4002" s="10"/>
      <c r="E4002" s="10"/>
      <c r="G4002" s="10"/>
      <c r="I4002" s="436" t="s">
        <v>4999</v>
      </c>
      <c r="J4002" s="26" t="s">
        <v>4998</v>
      </c>
      <c r="K4002" s="10">
        <v>2.5</v>
      </c>
      <c r="L4002" s="73">
        <f>IF(Tank1!$C$23="No control",(SUMIF(Tank1!$B$32:$B$49,$J4002,Tank1!$C$32:$C$49)*Impacts!$F$8),0)</f>
        <v>0</v>
      </c>
      <c r="M4002" s="10">
        <f>IF(Tank2!$C$23="No control",(SUMIF(Tank2!$B$32:$B$49,$J4002,Tank2!$C$32:$C$49)*Impacts!$F$9),0)</f>
        <v>0</v>
      </c>
      <c r="N4002" s="10">
        <f>IF(Tank3!$C$23="No control",(SUMIF(Tank3!$B$32:$B$49,$J4002,Tank3!$C$32:$C$49)*Impacts!$F$10),0)</f>
        <v>0</v>
      </c>
      <c r="O4002" s="10">
        <f>IF(Tank4!$C$23="No control",(SUMIF(Tank4!$B$32:$B$49,$J4002,Tank4!$C$32:$C$49)*Impacts!$F$11),0)</f>
        <v>0</v>
      </c>
      <c r="P4002" s="10">
        <f>IF(Tank5!$C$23="No control",(SUMIF(Tank5!$B$32:$B$49,$J4002,Tank5!$C$32:$C$49)*Impacts!$F$12),0)</f>
        <v>0</v>
      </c>
      <c r="Q4002" s="10">
        <f>IFERROR(IF(('Loading-drum,tote'!$C$21)="No control",SUMIF(('Loading-drum,tote'!$B$31:$B$48),$J4002,('Loading-drum,tote'!$D$31:$D$48))*Impacts!$F$13,IF(('Loading-drum,tote'!$C$21)&lt;&gt;"No control",SUMIF(('Loading-drum,tote'!$B$31:$B$48),$J4002,('Loading-drum,tote'!$E$31:$E$48))*Impacts!$F$13,0)),0)</f>
        <v>0</v>
      </c>
      <c r="R4002" s="10">
        <f>IFERROR(IF(('Loading-truck'!$C$21)="No control",SUMIF(('Loading-truck'!$B$31:$B$48),$J4002,('Loading-truck'!$D$31:$D$48))*Impacts!$F$14,IF(('Loading-truck'!$C$21)&lt;&gt;"No control",SUMIF(('Loading-truck'!$B$31:$B$48),$J4002,('Loading-truck'!$E$31:$E$48))*Impacts!$F$14,0)),0)</f>
        <v>0</v>
      </c>
      <c r="S4002" s="10">
        <f>IFERROR(IF(('Loading-rail'!$C$21)="No control",SUMIF(('Loading-rail'!$B$31:$B$48),$J4002,('Loading-rail'!$D$31:$D$48))*Impacts!$F$15,IF(('Loading-rail'!$C$21)&lt;&gt;"No control",SUMIF(('Loading-rail'!$B$31:$B$48),$J4002,('Loading-rail'!$E$31:$E$48))*Impacts!$F$15,0)),0)</f>
        <v>0</v>
      </c>
      <c r="T4002" s="10">
        <f>IF(Flare!$C$7="",0,(SUMIF(Flare!$B$46:$B$185,$J4002,Flare!$E$46:$E$185)*Impacts!$F$16))</f>
        <v>0</v>
      </c>
      <c r="U4002" s="10">
        <f>IF(VCU!$C$9="",0,(SUMIF(VCU!$B$51:$B$193,$J4002,VCU!$E$51:$E$193)*Impacts!$F$17))</f>
        <v>0</v>
      </c>
      <c r="V4002" s="10">
        <f>IF(CAS!$C$7="",0,(SUMIF(CAS!$B$31:$B$167,$J4002,CAS!$E$31:$E$167)*Impacts!$F$18))</f>
        <v>0</v>
      </c>
      <c r="W4002" s="10">
        <f t="shared" si="103"/>
        <v>0</v>
      </c>
      <c r="AK4002" s="10" t="str">
        <f t="array" ref="AK4002">IFERROR(INDEX(SelectedSpecies,SMALL(IF(SelectedSpecies=AK$1,ROW(SelectedSpecies)),ROW(4003:4003)),2),"")</f>
        <v/>
      </c>
      <c r="BE4002" s="10"/>
      <c r="BI4002" s="10"/>
    </row>
    <row r="4003" spans="1:61" ht="21" customHeight="1" x14ac:dyDescent="0.25">
      <c r="A4003" s="10"/>
      <c r="B4003" s="10"/>
      <c r="E4003" s="10"/>
      <c r="G4003" s="10"/>
      <c r="I4003" s="436" t="s">
        <v>760</v>
      </c>
      <c r="J4003" s="26" t="s">
        <v>759</v>
      </c>
      <c r="K4003" s="10">
        <v>57</v>
      </c>
      <c r="L4003" s="73">
        <f>IF(Tank1!$C$23="No control",(SUMIF(Tank1!$B$32:$B$49,$J4003,Tank1!$C$32:$C$49)*Impacts!$F$8),0)</f>
        <v>0</v>
      </c>
      <c r="M4003" s="10">
        <f>IF(Tank2!$C$23="No control",(SUMIF(Tank2!$B$32:$B$49,$J4003,Tank2!$C$32:$C$49)*Impacts!$F$9),0)</f>
        <v>0</v>
      </c>
      <c r="N4003" s="10">
        <f>IF(Tank3!$C$23="No control",(SUMIF(Tank3!$B$32:$B$49,$J4003,Tank3!$C$32:$C$49)*Impacts!$F$10),0)</f>
        <v>0</v>
      </c>
      <c r="O4003" s="10">
        <f>IF(Tank4!$C$23="No control",(SUMIF(Tank4!$B$32:$B$49,$J4003,Tank4!$C$32:$C$49)*Impacts!$F$11),0)</f>
        <v>0</v>
      </c>
      <c r="P4003" s="10">
        <f>IF(Tank5!$C$23="No control",(SUMIF(Tank5!$B$32:$B$49,$J4003,Tank5!$C$32:$C$49)*Impacts!$F$12),0)</f>
        <v>0</v>
      </c>
      <c r="Q4003" s="10">
        <f>IFERROR(IF(('Loading-drum,tote'!$C$21)="No control",SUMIF(('Loading-drum,tote'!$B$31:$B$48),$J4003,('Loading-drum,tote'!$D$31:$D$48))*Impacts!$F$13,IF(('Loading-drum,tote'!$C$21)&lt;&gt;"No control",SUMIF(('Loading-drum,tote'!$B$31:$B$48),$J4003,('Loading-drum,tote'!$E$31:$E$48))*Impacts!$F$13,0)),0)</f>
        <v>0</v>
      </c>
      <c r="R4003" s="10">
        <f>IFERROR(IF(('Loading-truck'!$C$21)="No control",SUMIF(('Loading-truck'!$B$31:$B$48),$J4003,('Loading-truck'!$D$31:$D$48))*Impacts!$F$14,IF(('Loading-truck'!$C$21)&lt;&gt;"No control",SUMIF(('Loading-truck'!$B$31:$B$48),$J4003,('Loading-truck'!$E$31:$E$48))*Impacts!$F$14,0)),0)</f>
        <v>0</v>
      </c>
      <c r="S4003" s="10">
        <f>IFERROR(IF(('Loading-rail'!$C$21)="No control",SUMIF(('Loading-rail'!$B$31:$B$48),$J4003,('Loading-rail'!$D$31:$D$48))*Impacts!$F$15,IF(('Loading-rail'!$C$21)&lt;&gt;"No control",SUMIF(('Loading-rail'!$B$31:$B$48),$J4003,('Loading-rail'!$E$31:$E$48))*Impacts!$F$15,0)),0)</f>
        <v>0</v>
      </c>
      <c r="T4003" s="10">
        <f>IF(Flare!$C$7="",0,(SUMIF(Flare!$B$46:$B$185,$J4003,Flare!$E$46:$E$185)*Impacts!$F$16))</f>
        <v>0</v>
      </c>
      <c r="U4003" s="10">
        <f>IF(VCU!$C$9="",0,(SUMIF(VCU!$B$51:$B$193,$J4003,VCU!$E$51:$E$193)*Impacts!$F$17))</f>
        <v>0</v>
      </c>
      <c r="V4003" s="10">
        <f>IF(CAS!$C$7="",0,(SUMIF(CAS!$B$31:$B$167,$J4003,CAS!$E$31:$E$167)*Impacts!$F$18))</f>
        <v>0</v>
      </c>
      <c r="W4003" s="10">
        <f t="shared" si="103"/>
        <v>0</v>
      </c>
      <c r="AK4003" s="10" t="str">
        <f t="array" ref="AK4003">IFERROR(INDEX(SelectedSpecies,SMALL(IF(SelectedSpecies=AK$1,ROW(SelectedSpecies)),ROW(4004:4004)),2),"")</f>
        <v/>
      </c>
      <c r="BE4003" s="10"/>
      <c r="BI4003" s="10"/>
    </row>
    <row r="4004" spans="1:61" ht="21" customHeight="1" x14ac:dyDescent="0.25">
      <c r="A4004" s="10"/>
      <c r="B4004" s="10"/>
      <c r="E4004" s="10"/>
      <c r="G4004" s="10"/>
      <c r="I4004" s="436" t="s">
        <v>2663</v>
      </c>
      <c r="J4004" s="26" t="s">
        <v>2662</v>
      </c>
      <c r="K4004" s="10">
        <v>10</v>
      </c>
      <c r="L4004" s="73">
        <f>IF(Tank1!$C$23="No control",(SUMIF(Tank1!$B$32:$B$49,$J4004,Tank1!$C$32:$C$49)*Impacts!$F$8),0)</f>
        <v>0</v>
      </c>
      <c r="M4004" s="10">
        <f>IF(Tank2!$C$23="No control",(SUMIF(Tank2!$B$32:$B$49,$J4004,Tank2!$C$32:$C$49)*Impacts!$F$9),0)</f>
        <v>0</v>
      </c>
      <c r="N4004" s="10">
        <f>IF(Tank3!$C$23="No control",(SUMIF(Tank3!$B$32:$B$49,$J4004,Tank3!$C$32:$C$49)*Impacts!$F$10),0)</f>
        <v>0</v>
      </c>
      <c r="O4004" s="10">
        <f>IF(Tank4!$C$23="No control",(SUMIF(Tank4!$B$32:$B$49,$J4004,Tank4!$C$32:$C$49)*Impacts!$F$11),0)</f>
        <v>0</v>
      </c>
      <c r="P4004" s="10">
        <f>IF(Tank5!$C$23="No control",(SUMIF(Tank5!$B$32:$B$49,$J4004,Tank5!$C$32:$C$49)*Impacts!$F$12),0)</f>
        <v>0</v>
      </c>
      <c r="Q4004" s="10">
        <f>IFERROR(IF(('Loading-drum,tote'!$C$21)="No control",SUMIF(('Loading-drum,tote'!$B$31:$B$48),$J4004,('Loading-drum,tote'!$D$31:$D$48))*Impacts!$F$13,IF(('Loading-drum,tote'!$C$21)&lt;&gt;"No control",SUMIF(('Loading-drum,tote'!$B$31:$B$48),$J4004,('Loading-drum,tote'!$E$31:$E$48))*Impacts!$F$13,0)),0)</f>
        <v>0</v>
      </c>
      <c r="R4004" s="10">
        <f>IFERROR(IF(('Loading-truck'!$C$21)="No control",SUMIF(('Loading-truck'!$B$31:$B$48),$J4004,('Loading-truck'!$D$31:$D$48))*Impacts!$F$14,IF(('Loading-truck'!$C$21)&lt;&gt;"No control",SUMIF(('Loading-truck'!$B$31:$B$48),$J4004,('Loading-truck'!$E$31:$E$48))*Impacts!$F$14,0)),0)</f>
        <v>0</v>
      </c>
      <c r="S4004" s="10">
        <f>IFERROR(IF(('Loading-rail'!$C$21)="No control",SUMIF(('Loading-rail'!$B$31:$B$48),$J4004,('Loading-rail'!$D$31:$D$48))*Impacts!$F$15,IF(('Loading-rail'!$C$21)&lt;&gt;"No control",SUMIF(('Loading-rail'!$B$31:$B$48),$J4004,('Loading-rail'!$E$31:$E$48))*Impacts!$F$15,0)),0)</f>
        <v>0</v>
      </c>
      <c r="T4004" s="10">
        <f>IF(Flare!$C$7="",0,(SUMIF(Flare!$B$46:$B$185,$J4004,Flare!$E$46:$E$185)*Impacts!$F$16))</f>
        <v>0</v>
      </c>
      <c r="U4004" s="10">
        <f>IF(VCU!$C$9="",0,(SUMIF(VCU!$B$51:$B$193,$J4004,VCU!$E$51:$E$193)*Impacts!$F$17))</f>
        <v>0</v>
      </c>
      <c r="V4004" s="10">
        <f>IF(CAS!$C$7="",0,(SUMIF(CAS!$B$31:$B$167,$J4004,CAS!$E$31:$E$167)*Impacts!$F$18))</f>
        <v>0</v>
      </c>
      <c r="W4004" s="10">
        <f t="shared" si="103"/>
        <v>0</v>
      </c>
      <c r="AK4004" s="10" t="str">
        <f t="array" ref="AK4004">IFERROR(INDEX(SelectedSpecies,SMALL(IF(SelectedSpecies=AK$1,ROW(SelectedSpecies)),ROW(4005:4005)),2),"")</f>
        <v/>
      </c>
      <c r="BE4004" s="10"/>
      <c r="BI4004" s="10"/>
    </row>
    <row r="4005" spans="1:61" ht="21" customHeight="1" x14ac:dyDescent="0.25">
      <c r="A4005" s="10"/>
      <c r="B4005" s="10"/>
      <c r="E4005" s="10"/>
      <c r="G4005" s="10"/>
      <c r="I4005" s="436" t="s">
        <v>3765</v>
      </c>
      <c r="J4005" s="26" t="s">
        <v>3764</v>
      </c>
      <c r="K4005" s="10">
        <v>6.1000000000000005</v>
      </c>
      <c r="L4005" s="73">
        <f>IF(Tank1!$C$23="No control",(SUMIF(Tank1!$B$32:$B$49,$J4005,Tank1!$C$32:$C$49)*Impacts!$F$8),0)</f>
        <v>0</v>
      </c>
      <c r="M4005" s="10">
        <f>IF(Tank2!$C$23="No control",(SUMIF(Tank2!$B$32:$B$49,$J4005,Tank2!$C$32:$C$49)*Impacts!$F$9),0)</f>
        <v>0</v>
      </c>
      <c r="N4005" s="10">
        <f>IF(Tank3!$C$23="No control",(SUMIF(Tank3!$B$32:$B$49,$J4005,Tank3!$C$32:$C$49)*Impacts!$F$10),0)</f>
        <v>0</v>
      </c>
      <c r="O4005" s="10">
        <f>IF(Tank4!$C$23="No control",(SUMIF(Tank4!$B$32:$B$49,$J4005,Tank4!$C$32:$C$49)*Impacts!$F$11),0)</f>
        <v>0</v>
      </c>
      <c r="P4005" s="10">
        <f>IF(Tank5!$C$23="No control",(SUMIF(Tank5!$B$32:$B$49,$J4005,Tank5!$C$32:$C$49)*Impacts!$F$12),0)</f>
        <v>0</v>
      </c>
      <c r="Q4005" s="10">
        <f>IFERROR(IF(('Loading-drum,tote'!$C$21)="No control",SUMIF(('Loading-drum,tote'!$B$31:$B$48),$J4005,('Loading-drum,tote'!$D$31:$D$48))*Impacts!$F$13,IF(('Loading-drum,tote'!$C$21)&lt;&gt;"No control",SUMIF(('Loading-drum,tote'!$B$31:$B$48),$J4005,('Loading-drum,tote'!$E$31:$E$48))*Impacts!$F$13,0)),0)</f>
        <v>0</v>
      </c>
      <c r="R4005" s="10">
        <f>IFERROR(IF(('Loading-truck'!$C$21)="No control",SUMIF(('Loading-truck'!$B$31:$B$48),$J4005,('Loading-truck'!$D$31:$D$48))*Impacts!$F$14,IF(('Loading-truck'!$C$21)&lt;&gt;"No control",SUMIF(('Loading-truck'!$B$31:$B$48),$J4005,('Loading-truck'!$E$31:$E$48))*Impacts!$F$14,0)),0)</f>
        <v>0</v>
      </c>
      <c r="S4005" s="10">
        <f>IFERROR(IF(('Loading-rail'!$C$21)="No control",SUMIF(('Loading-rail'!$B$31:$B$48),$J4005,('Loading-rail'!$D$31:$D$48))*Impacts!$F$15,IF(('Loading-rail'!$C$21)&lt;&gt;"No control",SUMIF(('Loading-rail'!$B$31:$B$48),$J4005,('Loading-rail'!$E$31:$E$48))*Impacts!$F$15,0)),0)</f>
        <v>0</v>
      </c>
      <c r="T4005" s="10">
        <f>IF(Flare!$C$7="",0,(SUMIF(Flare!$B$46:$B$185,$J4005,Flare!$E$46:$E$185)*Impacts!$F$16))</f>
        <v>0</v>
      </c>
      <c r="U4005" s="10">
        <f>IF(VCU!$C$9="",0,(SUMIF(VCU!$B$51:$B$193,$J4005,VCU!$E$51:$E$193)*Impacts!$F$17))</f>
        <v>0</v>
      </c>
      <c r="V4005" s="10">
        <f>IF(CAS!$C$7="",0,(SUMIF(CAS!$B$31:$B$167,$J4005,CAS!$E$31:$E$167)*Impacts!$F$18))</f>
        <v>0</v>
      </c>
      <c r="W4005" s="10">
        <f t="shared" si="103"/>
        <v>0</v>
      </c>
      <c r="AK4005" s="10" t="str">
        <f t="array" ref="AK4005">IFERROR(INDEX(SelectedSpecies,SMALL(IF(SelectedSpecies=AK$1,ROW(SelectedSpecies)),ROW(4006:4006)),2),"")</f>
        <v/>
      </c>
      <c r="BE4005" s="10"/>
      <c r="BI4005" s="10"/>
    </row>
    <row r="4006" spans="1:61" ht="21" customHeight="1" x14ac:dyDescent="0.25">
      <c r="A4006" s="10"/>
      <c r="B4006" s="10"/>
      <c r="E4006" s="10"/>
      <c r="G4006" s="10"/>
      <c r="I4006" s="436" t="s">
        <v>5213</v>
      </c>
      <c r="J4006" s="26" t="s">
        <v>5212</v>
      </c>
      <c r="K4006" s="10">
        <v>2</v>
      </c>
      <c r="L4006" s="73">
        <f>IF(Tank1!$C$23="No control",(SUMIF(Tank1!$B$32:$B$49,$J4006,Tank1!$C$32:$C$49)*Impacts!$F$8),0)</f>
        <v>0</v>
      </c>
      <c r="M4006" s="10">
        <f>IF(Tank2!$C$23="No control",(SUMIF(Tank2!$B$32:$B$49,$J4006,Tank2!$C$32:$C$49)*Impacts!$F$9),0)</f>
        <v>0</v>
      </c>
      <c r="N4006" s="10">
        <f>IF(Tank3!$C$23="No control",(SUMIF(Tank3!$B$32:$B$49,$J4006,Tank3!$C$32:$C$49)*Impacts!$F$10),0)</f>
        <v>0</v>
      </c>
      <c r="O4006" s="10">
        <f>IF(Tank4!$C$23="No control",(SUMIF(Tank4!$B$32:$B$49,$J4006,Tank4!$C$32:$C$49)*Impacts!$F$11),0)</f>
        <v>0</v>
      </c>
      <c r="P4006" s="10">
        <f>IF(Tank5!$C$23="No control",(SUMIF(Tank5!$B$32:$B$49,$J4006,Tank5!$C$32:$C$49)*Impacts!$F$12),0)</f>
        <v>0</v>
      </c>
      <c r="Q4006" s="10">
        <f>IFERROR(IF(('Loading-drum,tote'!$C$21)="No control",SUMIF(('Loading-drum,tote'!$B$31:$B$48),$J4006,('Loading-drum,tote'!$D$31:$D$48))*Impacts!$F$13,IF(('Loading-drum,tote'!$C$21)&lt;&gt;"No control",SUMIF(('Loading-drum,tote'!$B$31:$B$48),$J4006,('Loading-drum,tote'!$E$31:$E$48))*Impacts!$F$13,0)),0)</f>
        <v>0</v>
      </c>
      <c r="R4006" s="10">
        <f>IFERROR(IF(('Loading-truck'!$C$21)="No control",SUMIF(('Loading-truck'!$B$31:$B$48),$J4006,('Loading-truck'!$D$31:$D$48))*Impacts!$F$14,IF(('Loading-truck'!$C$21)&lt;&gt;"No control",SUMIF(('Loading-truck'!$B$31:$B$48),$J4006,('Loading-truck'!$E$31:$E$48))*Impacts!$F$14,0)),0)</f>
        <v>0</v>
      </c>
      <c r="S4006" s="10">
        <f>IFERROR(IF(('Loading-rail'!$C$21)="No control",SUMIF(('Loading-rail'!$B$31:$B$48),$J4006,('Loading-rail'!$D$31:$D$48))*Impacts!$F$15,IF(('Loading-rail'!$C$21)&lt;&gt;"No control",SUMIF(('Loading-rail'!$B$31:$B$48),$J4006,('Loading-rail'!$E$31:$E$48))*Impacts!$F$15,0)),0)</f>
        <v>0</v>
      </c>
      <c r="T4006" s="10">
        <f>IF(Flare!$C$7="",0,(SUMIF(Flare!$B$46:$B$185,$J4006,Flare!$E$46:$E$185)*Impacts!$F$16))</f>
        <v>0</v>
      </c>
      <c r="U4006" s="10">
        <f>IF(VCU!$C$9="",0,(SUMIF(VCU!$B$51:$B$193,$J4006,VCU!$E$51:$E$193)*Impacts!$F$17))</f>
        <v>0</v>
      </c>
      <c r="V4006" s="10">
        <f>IF(CAS!$C$7="",0,(SUMIF(CAS!$B$31:$B$167,$J4006,CAS!$E$31:$E$167)*Impacts!$F$18))</f>
        <v>0</v>
      </c>
      <c r="W4006" s="10">
        <f t="shared" si="103"/>
        <v>0</v>
      </c>
      <c r="AK4006" s="10" t="str">
        <f t="array" ref="AK4006">IFERROR(INDEX(SelectedSpecies,SMALL(IF(SelectedSpecies=AK$1,ROW(SelectedSpecies)),ROW(4007:4007)),2),"")</f>
        <v/>
      </c>
      <c r="BE4006" s="10"/>
      <c r="BI4006" s="10"/>
    </row>
    <row r="4007" spans="1:61" ht="21" customHeight="1" x14ac:dyDescent="0.25">
      <c r="A4007" s="10"/>
      <c r="B4007" s="10"/>
      <c r="E4007" s="10"/>
      <c r="G4007" s="10"/>
      <c r="I4007" s="436" t="s">
        <v>1749</v>
      </c>
      <c r="J4007" s="26" t="s">
        <v>1748</v>
      </c>
      <c r="K4007" s="10">
        <v>24.5</v>
      </c>
      <c r="L4007" s="73">
        <f>IF(Tank1!$C$23="No control",(SUMIF(Tank1!$B$32:$B$49,$J4007,Tank1!$C$32:$C$49)*Impacts!$F$8),0)</f>
        <v>0</v>
      </c>
      <c r="M4007" s="10">
        <f>IF(Tank2!$C$23="No control",(SUMIF(Tank2!$B$32:$B$49,$J4007,Tank2!$C$32:$C$49)*Impacts!$F$9),0)</f>
        <v>0</v>
      </c>
      <c r="N4007" s="10">
        <f>IF(Tank3!$C$23="No control",(SUMIF(Tank3!$B$32:$B$49,$J4007,Tank3!$C$32:$C$49)*Impacts!$F$10),0)</f>
        <v>0</v>
      </c>
      <c r="O4007" s="10">
        <f>IF(Tank4!$C$23="No control",(SUMIF(Tank4!$B$32:$B$49,$J4007,Tank4!$C$32:$C$49)*Impacts!$F$11),0)</f>
        <v>0</v>
      </c>
      <c r="P4007" s="10">
        <f>IF(Tank5!$C$23="No control",(SUMIF(Tank5!$B$32:$B$49,$J4007,Tank5!$C$32:$C$49)*Impacts!$F$12),0)</f>
        <v>0</v>
      </c>
      <c r="Q4007" s="10">
        <f>IFERROR(IF(('Loading-drum,tote'!$C$21)="No control",SUMIF(('Loading-drum,tote'!$B$31:$B$48),$J4007,('Loading-drum,tote'!$D$31:$D$48))*Impacts!$F$13,IF(('Loading-drum,tote'!$C$21)&lt;&gt;"No control",SUMIF(('Loading-drum,tote'!$B$31:$B$48),$J4007,('Loading-drum,tote'!$E$31:$E$48))*Impacts!$F$13,0)),0)</f>
        <v>0</v>
      </c>
      <c r="R4007" s="10">
        <f>IFERROR(IF(('Loading-truck'!$C$21)="No control",SUMIF(('Loading-truck'!$B$31:$B$48),$J4007,('Loading-truck'!$D$31:$D$48))*Impacts!$F$14,IF(('Loading-truck'!$C$21)&lt;&gt;"No control",SUMIF(('Loading-truck'!$B$31:$B$48),$J4007,('Loading-truck'!$E$31:$E$48))*Impacts!$F$14,0)),0)</f>
        <v>0</v>
      </c>
      <c r="S4007" s="10">
        <f>IFERROR(IF(('Loading-rail'!$C$21)="No control",SUMIF(('Loading-rail'!$B$31:$B$48),$J4007,('Loading-rail'!$D$31:$D$48))*Impacts!$F$15,IF(('Loading-rail'!$C$21)&lt;&gt;"No control",SUMIF(('Loading-rail'!$B$31:$B$48),$J4007,('Loading-rail'!$E$31:$E$48))*Impacts!$F$15,0)),0)</f>
        <v>0</v>
      </c>
      <c r="T4007" s="10">
        <f>IF(Flare!$C$7="",0,(SUMIF(Flare!$B$46:$B$185,$J4007,Flare!$E$46:$E$185)*Impacts!$F$16))</f>
        <v>0</v>
      </c>
      <c r="U4007" s="10">
        <f>IF(VCU!$C$9="",0,(SUMIF(VCU!$B$51:$B$193,$J4007,VCU!$E$51:$E$193)*Impacts!$F$17))</f>
        <v>0</v>
      </c>
      <c r="V4007" s="10">
        <f>IF(CAS!$C$7="",0,(SUMIF(CAS!$B$31:$B$167,$J4007,CAS!$E$31:$E$167)*Impacts!$F$18))</f>
        <v>0</v>
      </c>
      <c r="W4007" s="10">
        <f t="shared" si="103"/>
        <v>0</v>
      </c>
      <c r="AK4007" s="10" t="str">
        <f t="array" ref="AK4007">IFERROR(INDEX(SelectedSpecies,SMALL(IF(SelectedSpecies=AK$1,ROW(SelectedSpecies)),ROW(4008:4008)),2),"")</f>
        <v/>
      </c>
      <c r="BE4007" s="10"/>
      <c r="BI4007" s="10"/>
    </row>
    <row r="4008" spans="1:61" ht="21" customHeight="1" x14ac:dyDescent="0.25">
      <c r="A4008" s="10"/>
      <c r="B4008" s="10"/>
      <c r="E4008" s="10"/>
      <c r="G4008" s="10"/>
      <c r="I4008" s="436" t="s">
        <v>10479</v>
      </c>
      <c r="J4008" s="26" t="s">
        <v>10480</v>
      </c>
      <c r="K4008" s="10">
        <v>11</v>
      </c>
      <c r="L4008" s="73">
        <f>IF(Tank1!$C$23="No control",(SUMIF(Tank1!$B$32:$B$49,$J4008,Tank1!$C$32:$C$49)*Impacts!$F$8),0)</f>
        <v>0</v>
      </c>
      <c r="M4008" s="10">
        <f>IF(Tank2!$C$23="No control",(SUMIF(Tank2!$B$32:$B$49,$J4008,Tank2!$C$32:$C$49)*Impacts!$F$9),0)</f>
        <v>0</v>
      </c>
      <c r="N4008" s="10">
        <f>IF(Tank3!$C$23="No control",(SUMIF(Tank3!$B$32:$B$49,$J4008,Tank3!$C$32:$C$49)*Impacts!$F$10),0)</f>
        <v>0</v>
      </c>
      <c r="O4008" s="10">
        <f>IF(Tank4!$C$23="No control",(SUMIF(Tank4!$B$32:$B$49,$J4008,Tank4!$C$32:$C$49)*Impacts!$F$11),0)</f>
        <v>0</v>
      </c>
      <c r="P4008" s="10">
        <f>IF(Tank5!$C$23="No control",(SUMIF(Tank5!$B$32:$B$49,$J4008,Tank5!$C$32:$C$49)*Impacts!$F$12),0)</f>
        <v>0</v>
      </c>
      <c r="Q4008" s="10">
        <f>IFERROR(IF(('Loading-drum,tote'!$C$21)="No control",SUMIF(('Loading-drum,tote'!$B$31:$B$48),$J4008,('Loading-drum,tote'!$D$31:$D$48))*Impacts!$F$13,IF(('Loading-drum,tote'!$C$21)&lt;&gt;"No control",SUMIF(('Loading-drum,tote'!$B$31:$B$48),$J4008,('Loading-drum,tote'!$E$31:$E$48))*Impacts!$F$13,0)),0)</f>
        <v>0</v>
      </c>
      <c r="R4008" s="10">
        <f>IFERROR(IF(('Loading-truck'!$C$21)="No control",SUMIF(('Loading-truck'!$B$31:$B$48),$J4008,('Loading-truck'!$D$31:$D$48))*Impacts!$F$14,IF(('Loading-truck'!$C$21)&lt;&gt;"No control",SUMIF(('Loading-truck'!$B$31:$B$48),$J4008,('Loading-truck'!$E$31:$E$48))*Impacts!$F$14,0)),0)</f>
        <v>0</v>
      </c>
      <c r="S4008" s="10">
        <f>IFERROR(IF(('Loading-rail'!$C$21)="No control",SUMIF(('Loading-rail'!$B$31:$B$48),$J4008,('Loading-rail'!$D$31:$D$48))*Impacts!$F$15,IF(('Loading-rail'!$C$21)&lt;&gt;"No control",SUMIF(('Loading-rail'!$B$31:$B$48),$J4008,('Loading-rail'!$E$31:$E$48))*Impacts!$F$15,0)),0)</f>
        <v>0</v>
      </c>
      <c r="T4008" s="10">
        <f>IF(Flare!$C$7="",0,(SUMIF(Flare!$B$46:$B$185,$J4008,Flare!$E$46:$E$185)*Impacts!$F$16))</f>
        <v>0</v>
      </c>
      <c r="U4008" s="10">
        <f>IF(VCU!$C$9="",0,(SUMIF(VCU!$B$51:$B$193,$J4008,VCU!$E$51:$E$193)*Impacts!$F$17))</f>
        <v>0</v>
      </c>
      <c r="V4008" s="10">
        <f>IF(CAS!$C$7="",0,(SUMIF(CAS!$B$31:$B$167,$J4008,CAS!$E$31:$E$167)*Impacts!$F$18))</f>
        <v>0</v>
      </c>
      <c r="W4008" s="10">
        <f t="shared" si="103"/>
        <v>0</v>
      </c>
      <c r="AK4008" s="10" t="str">
        <f t="array" ref="AK4008">IFERROR(INDEX(SelectedSpecies,SMALL(IF(SelectedSpecies=AK$1,ROW(SelectedSpecies)),ROW(4009:4009)),2),"")</f>
        <v/>
      </c>
      <c r="BE4008" s="10"/>
      <c r="BI4008" s="10"/>
    </row>
    <row r="4009" spans="1:61" ht="21" customHeight="1" x14ac:dyDescent="0.25">
      <c r="A4009" s="10"/>
      <c r="B4009" s="10"/>
      <c r="E4009" s="10"/>
      <c r="G4009" s="10"/>
      <c r="I4009" s="436" t="s">
        <v>10481</v>
      </c>
      <c r="J4009" s="26" t="s">
        <v>10482</v>
      </c>
      <c r="K4009" s="10">
        <v>11.200000000000001</v>
      </c>
      <c r="L4009" s="73">
        <f>IF(Tank1!$C$23="No control",(SUMIF(Tank1!$B$32:$B$49,$J4009,Tank1!$C$32:$C$49)*Impacts!$F$8),0)</f>
        <v>0</v>
      </c>
      <c r="M4009" s="10">
        <f>IF(Tank2!$C$23="No control",(SUMIF(Tank2!$B$32:$B$49,$J4009,Tank2!$C$32:$C$49)*Impacts!$F$9),0)</f>
        <v>0</v>
      </c>
      <c r="N4009" s="10">
        <f>IF(Tank3!$C$23="No control",(SUMIF(Tank3!$B$32:$B$49,$J4009,Tank3!$C$32:$C$49)*Impacts!$F$10),0)</f>
        <v>0</v>
      </c>
      <c r="O4009" s="10">
        <f>IF(Tank4!$C$23="No control",(SUMIF(Tank4!$B$32:$B$49,$J4009,Tank4!$C$32:$C$49)*Impacts!$F$11),0)</f>
        <v>0</v>
      </c>
      <c r="P4009" s="10">
        <f>IF(Tank5!$C$23="No control",(SUMIF(Tank5!$B$32:$B$49,$J4009,Tank5!$C$32:$C$49)*Impacts!$F$12),0)</f>
        <v>0</v>
      </c>
      <c r="Q4009" s="10">
        <f>IFERROR(IF(('Loading-drum,tote'!$C$21)="No control",SUMIF(('Loading-drum,tote'!$B$31:$B$48),$J4009,('Loading-drum,tote'!$D$31:$D$48))*Impacts!$F$13,IF(('Loading-drum,tote'!$C$21)&lt;&gt;"No control",SUMIF(('Loading-drum,tote'!$B$31:$B$48),$J4009,('Loading-drum,tote'!$E$31:$E$48))*Impacts!$F$13,0)),0)</f>
        <v>0</v>
      </c>
      <c r="R4009" s="10">
        <f>IFERROR(IF(('Loading-truck'!$C$21)="No control",SUMIF(('Loading-truck'!$B$31:$B$48),$J4009,('Loading-truck'!$D$31:$D$48))*Impacts!$F$14,IF(('Loading-truck'!$C$21)&lt;&gt;"No control",SUMIF(('Loading-truck'!$B$31:$B$48),$J4009,('Loading-truck'!$E$31:$E$48))*Impacts!$F$14,0)),0)</f>
        <v>0</v>
      </c>
      <c r="S4009" s="10">
        <f>IFERROR(IF(('Loading-rail'!$C$21)="No control",SUMIF(('Loading-rail'!$B$31:$B$48),$J4009,('Loading-rail'!$D$31:$D$48))*Impacts!$F$15,IF(('Loading-rail'!$C$21)&lt;&gt;"No control",SUMIF(('Loading-rail'!$B$31:$B$48),$J4009,('Loading-rail'!$E$31:$E$48))*Impacts!$F$15,0)),0)</f>
        <v>0</v>
      </c>
      <c r="T4009" s="10">
        <f>IF(Flare!$C$7="",0,(SUMIF(Flare!$B$46:$B$185,$J4009,Flare!$E$46:$E$185)*Impacts!$F$16))</f>
        <v>0</v>
      </c>
      <c r="U4009" s="10">
        <f>IF(VCU!$C$9="",0,(SUMIF(VCU!$B$51:$B$193,$J4009,VCU!$E$51:$E$193)*Impacts!$F$17))</f>
        <v>0</v>
      </c>
      <c r="V4009" s="10">
        <f>IF(CAS!$C$7="",0,(SUMIF(CAS!$B$31:$B$167,$J4009,CAS!$E$31:$E$167)*Impacts!$F$18))</f>
        <v>0</v>
      </c>
      <c r="W4009" s="10">
        <f t="shared" si="103"/>
        <v>0</v>
      </c>
      <c r="AK4009" s="10" t="str">
        <f t="array" ref="AK4009">IFERROR(INDEX(SelectedSpecies,SMALL(IF(SelectedSpecies=AK$1,ROW(SelectedSpecies)),ROW(4010:4010)),2),"")</f>
        <v/>
      </c>
      <c r="BE4009" s="10"/>
      <c r="BI4009" s="10"/>
    </row>
    <row r="4010" spans="1:61" ht="21" customHeight="1" x14ac:dyDescent="0.25">
      <c r="A4010" s="10"/>
      <c r="B4010" s="10"/>
      <c r="E4010" s="10"/>
      <c r="G4010" s="10"/>
      <c r="I4010" s="436" t="s">
        <v>375</v>
      </c>
      <c r="J4010" s="26" t="s">
        <v>374</v>
      </c>
      <c r="K4010" s="10">
        <v>370</v>
      </c>
      <c r="L4010" s="73">
        <f>IF(Tank1!$C$23="No control",(SUMIF(Tank1!$B$32:$B$49,$J4010,Tank1!$C$32:$C$49)*Impacts!$F$8),0)</f>
        <v>0</v>
      </c>
      <c r="M4010" s="10">
        <f>IF(Tank2!$C$23="No control",(SUMIF(Tank2!$B$32:$B$49,$J4010,Tank2!$C$32:$C$49)*Impacts!$F$9),0)</f>
        <v>0</v>
      </c>
      <c r="N4010" s="10">
        <f>IF(Tank3!$C$23="No control",(SUMIF(Tank3!$B$32:$B$49,$J4010,Tank3!$C$32:$C$49)*Impacts!$F$10),0)</f>
        <v>0</v>
      </c>
      <c r="O4010" s="10">
        <f>IF(Tank4!$C$23="No control",(SUMIF(Tank4!$B$32:$B$49,$J4010,Tank4!$C$32:$C$49)*Impacts!$F$11),0)</f>
        <v>0</v>
      </c>
      <c r="P4010" s="10">
        <f>IF(Tank5!$C$23="No control",(SUMIF(Tank5!$B$32:$B$49,$J4010,Tank5!$C$32:$C$49)*Impacts!$F$12),0)</f>
        <v>0</v>
      </c>
      <c r="Q4010" s="10">
        <f>IFERROR(IF(('Loading-drum,tote'!$C$21)="No control",SUMIF(('Loading-drum,tote'!$B$31:$B$48),$J4010,('Loading-drum,tote'!$D$31:$D$48))*Impacts!$F$13,IF(('Loading-drum,tote'!$C$21)&lt;&gt;"No control",SUMIF(('Loading-drum,tote'!$B$31:$B$48),$J4010,('Loading-drum,tote'!$E$31:$E$48))*Impacts!$F$13,0)),0)</f>
        <v>0</v>
      </c>
      <c r="R4010" s="10">
        <f>IFERROR(IF(('Loading-truck'!$C$21)="No control",SUMIF(('Loading-truck'!$B$31:$B$48),$J4010,('Loading-truck'!$D$31:$D$48))*Impacts!$F$14,IF(('Loading-truck'!$C$21)&lt;&gt;"No control",SUMIF(('Loading-truck'!$B$31:$B$48),$J4010,('Loading-truck'!$E$31:$E$48))*Impacts!$F$14,0)),0)</f>
        <v>0</v>
      </c>
      <c r="S4010" s="10">
        <f>IFERROR(IF(('Loading-rail'!$C$21)="No control",SUMIF(('Loading-rail'!$B$31:$B$48),$J4010,('Loading-rail'!$D$31:$D$48))*Impacts!$F$15,IF(('Loading-rail'!$C$21)&lt;&gt;"No control",SUMIF(('Loading-rail'!$B$31:$B$48),$J4010,('Loading-rail'!$E$31:$E$48))*Impacts!$F$15,0)),0)</f>
        <v>0</v>
      </c>
      <c r="T4010" s="10">
        <f>IF(Flare!$C$7="",0,(SUMIF(Flare!$B$46:$B$185,$J4010,Flare!$E$46:$E$185)*Impacts!$F$16))</f>
        <v>0</v>
      </c>
      <c r="U4010" s="10">
        <f>IF(VCU!$C$9="",0,(SUMIF(VCU!$B$51:$B$193,$J4010,VCU!$E$51:$E$193)*Impacts!$F$17))</f>
        <v>0</v>
      </c>
      <c r="V4010" s="10">
        <f>IF(CAS!$C$7="",0,(SUMIF(CAS!$B$31:$B$167,$J4010,CAS!$E$31:$E$167)*Impacts!$F$18))</f>
        <v>0</v>
      </c>
      <c r="W4010" s="10">
        <f t="shared" si="103"/>
        <v>0</v>
      </c>
      <c r="AK4010" s="10" t="str">
        <f t="array" ref="AK4010">IFERROR(INDEX(SelectedSpecies,SMALL(IF(SelectedSpecies=AK$1,ROW(SelectedSpecies)),ROW(4011:4011)),2),"")</f>
        <v/>
      </c>
      <c r="BE4010" s="10"/>
      <c r="BI4010" s="10"/>
    </row>
    <row r="4011" spans="1:61" ht="21" customHeight="1" x14ac:dyDescent="0.25">
      <c r="A4011" s="10"/>
      <c r="B4011" s="10"/>
      <c r="E4011" s="10"/>
      <c r="G4011" s="10"/>
      <c r="I4011" s="436" t="s">
        <v>4321</v>
      </c>
      <c r="J4011" s="26" t="s">
        <v>4320</v>
      </c>
      <c r="K4011" s="10">
        <v>5</v>
      </c>
      <c r="L4011" s="73">
        <f>IF(Tank1!$C$23="No control",(SUMIF(Tank1!$B$32:$B$49,$J4011,Tank1!$C$32:$C$49)*Impacts!$F$8),0)</f>
        <v>0</v>
      </c>
      <c r="M4011" s="10">
        <f>IF(Tank2!$C$23="No control",(SUMIF(Tank2!$B$32:$B$49,$J4011,Tank2!$C$32:$C$49)*Impacts!$F$9),0)</f>
        <v>0</v>
      </c>
      <c r="N4011" s="10">
        <f>IF(Tank3!$C$23="No control",(SUMIF(Tank3!$B$32:$B$49,$J4011,Tank3!$C$32:$C$49)*Impacts!$F$10),0)</f>
        <v>0</v>
      </c>
      <c r="O4011" s="10">
        <f>IF(Tank4!$C$23="No control",(SUMIF(Tank4!$B$32:$B$49,$J4011,Tank4!$C$32:$C$49)*Impacts!$F$11),0)</f>
        <v>0</v>
      </c>
      <c r="P4011" s="10">
        <f>IF(Tank5!$C$23="No control",(SUMIF(Tank5!$B$32:$B$49,$J4011,Tank5!$C$32:$C$49)*Impacts!$F$12),0)</f>
        <v>0</v>
      </c>
      <c r="Q4011" s="10">
        <f>IFERROR(IF(('Loading-drum,tote'!$C$21)="No control",SUMIF(('Loading-drum,tote'!$B$31:$B$48),$J4011,('Loading-drum,tote'!$D$31:$D$48))*Impacts!$F$13,IF(('Loading-drum,tote'!$C$21)&lt;&gt;"No control",SUMIF(('Loading-drum,tote'!$B$31:$B$48),$J4011,('Loading-drum,tote'!$E$31:$E$48))*Impacts!$F$13,0)),0)</f>
        <v>0</v>
      </c>
      <c r="R4011" s="10">
        <f>IFERROR(IF(('Loading-truck'!$C$21)="No control",SUMIF(('Loading-truck'!$B$31:$B$48),$J4011,('Loading-truck'!$D$31:$D$48))*Impacts!$F$14,IF(('Loading-truck'!$C$21)&lt;&gt;"No control",SUMIF(('Loading-truck'!$B$31:$B$48),$J4011,('Loading-truck'!$E$31:$E$48))*Impacts!$F$14,0)),0)</f>
        <v>0</v>
      </c>
      <c r="S4011" s="10">
        <f>IFERROR(IF(('Loading-rail'!$C$21)="No control",SUMIF(('Loading-rail'!$B$31:$B$48),$J4011,('Loading-rail'!$D$31:$D$48))*Impacts!$F$15,IF(('Loading-rail'!$C$21)&lt;&gt;"No control",SUMIF(('Loading-rail'!$B$31:$B$48),$J4011,('Loading-rail'!$E$31:$E$48))*Impacts!$F$15,0)),0)</f>
        <v>0</v>
      </c>
      <c r="T4011" s="10">
        <f>IF(Flare!$C$7="",0,(SUMIF(Flare!$B$46:$B$185,$J4011,Flare!$E$46:$E$185)*Impacts!$F$16))</f>
        <v>0</v>
      </c>
      <c r="U4011" s="10">
        <f>IF(VCU!$C$9="",0,(SUMIF(VCU!$B$51:$B$193,$J4011,VCU!$E$51:$E$193)*Impacts!$F$17))</f>
        <v>0</v>
      </c>
      <c r="V4011" s="10">
        <f>IF(CAS!$C$7="",0,(SUMIF(CAS!$B$31:$B$167,$J4011,CAS!$E$31:$E$167)*Impacts!$F$18))</f>
        <v>0</v>
      </c>
      <c r="W4011" s="10">
        <f t="shared" si="103"/>
        <v>0</v>
      </c>
      <c r="AK4011" s="10" t="str">
        <f t="array" ref="AK4011">IFERROR(INDEX(SelectedSpecies,SMALL(IF(SelectedSpecies=AK$1,ROW(SelectedSpecies)),ROW(4012:4012)),2),"")</f>
        <v/>
      </c>
      <c r="BE4011" s="10"/>
      <c r="BI4011" s="10"/>
    </row>
    <row r="4012" spans="1:61" ht="21" customHeight="1" x14ac:dyDescent="0.25">
      <c r="A4012" s="10"/>
      <c r="B4012" s="10"/>
      <c r="E4012" s="10"/>
      <c r="G4012" s="10"/>
      <c r="I4012" s="436" t="s">
        <v>6210</v>
      </c>
      <c r="J4012" s="26" t="s">
        <v>6209</v>
      </c>
      <c r="K4012" s="10">
        <v>1</v>
      </c>
      <c r="L4012" s="73">
        <f>IF(Tank1!$C$23="No control",(SUMIF(Tank1!$B$32:$B$49,$J4012,Tank1!$C$32:$C$49)*Impacts!$F$8),0)</f>
        <v>0</v>
      </c>
      <c r="M4012" s="10">
        <f>IF(Tank2!$C$23="No control",(SUMIF(Tank2!$B$32:$B$49,$J4012,Tank2!$C$32:$C$49)*Impacts!$F$9),0)</f>
        <v>0</v>
      </c>
      <c r="N4012" s="10">
        <f>IF(Tank3!$C$23="No control",(SUMIF(Tank3!$B$32:$B$49,$J4012,Tank3!$C$32:$C$49)*Impacts!$F$10),0)</f>
        <v>0</v>
      </c>
      <c r="O4012" s="10">
        <f>IF(Tank4!$C$23="No control",(SUMIF(Tank4!$B$32:$B$49,$J4012,Tank4!$C$32:$C$49)*Impacts!$F$11),0)</f>
        <v>0</v>
      </c>
      <c r="P4012" s="10">
        <f>IF(Tank5!$C$23="No control",(SUMIF(Tank5!$B$32:$B$49,$J4012,Tank5!$C$32:$C$49)*Impacts!$F$12),0)</f>
        <v>0</v>
      </c>
      <c r="Q4012" s="10">
        <f>IFERROR(IF(('Loading-drum,tote'!$C$21)="No control",SUMIF(('Loading-drum,tote'!$B$31:$B$48),$J4012,('Loading-drum,tote'!$D$31:$D$48))*Impacts!$F$13,IF(('Loading-drum,tote'!$C$21)&lt;&gt;"No control",SUMIF(('Loading-drum,tote'!$B$31:$B$48),$J4012,('Loading-drum,tote'!$E$31:$E$48))*Impacts!$F$13,0)),0)</f>
        <v>0</v>
      </c>
      <c r="R4012" s="10">
        <f>IFERROR(IF(('Loading-truck'!$C$21)="No control",SUMIF(('Loading-truck'!$B$31:$B$48),$J4012,('Loading-truck'!$D$31:$D$48))*Impacts!$F$14,IF(('Loading-truck'!$C$21)&lt;&gt;"No control",SUMIF(('Loading-truck'!$B$31:$B$48),$J4012,('Loading-truck'!$E$31:$E$48))*Impacts!$F$14,0)),0)</f>
        <v>0</v>
      </c>
      <c r="S4012" s="10">
        <f>IFERROR(IF(('Loading-rail'!$C$21)="No control",SUMIF(('Loading-rail'!$B$31:$B$48),$J4012,('Loading-rail'!$D$31:$D$48))*Impacts!$F$15,IF(('Loading-rail'!$C$21)&lt;&gt;"No control",SUMIF(('Loading-rail'!$B$31:$B$48),$J4012,('Loading-rail'!$E$31:$E$48))*Impacts!$F$15,0)),0)</f>
        <v>0</v>
      </c>
      <c r="T4012" s="10">
        <f>IF(Flare!$C$7="",0,(SUMIF(Flare!$B$46:$B$185,$J4012,Flare!$E$46:$E$185)*Impacts!$F$16))</f>
        <v>0</v>
      </c>
      <c r="U4012" s="10">
        <f>IF(VCU!$C$9="",0,(SUMIF(VCU!$B$51:$B$193,$J4012,VCU!$E$51:$E$193)*Impacts!$F$17))</f>
        <v>0</v>
      </c>
      <c r="V4012" s="10">
        <f>IF(CAS!$C$7="",0,(SUMIF(CAS!$B$31:$B$167,$J4012,CAS!$E$31:$E$167)*Impacts!$F$18))</f>
        <v>0</v>
      </c>
      <c r="W4012" s="10">
        <f t="shared" si="103"/>
        <v>0</v>
      </c>
      <c r="AK4012" s="10" t="str">
        <f t="array" ref="AK4012">IFERROR(INDEX(SelectedSpecies,SMALL(IF(SelectedSpecies=AK$1,ROW(SelectedSpecies)),ROW(4013:4013)),2),"")</f>
        <v/>
      </c>
      <c r="BE4012" s="10"/>
      <c r="BI4012" s="10"/>
    </row>
    <row r="4013" spans="1:61" ht="21" customHeight="1" x14ac:dyDescent="0.25">
      <c r="A4013" s="10"/>
      <c r="B4013" s="10"/>
      <c r="E4013" s="10"/>
      <c r="G4013" s="10"/>
      <c r="I4013" s="436" t="s">
        <v>5103</v>
      </c>
      <c r="J4013" s="26" t="s">
        <v>5102</v>
      </c>
      <c r="K4013" s="10">
        <v>2.2000000000000002</v>
      </c>
      <c r="L4013" s="73">
        <f>IF(Tank1!$C$23="No control",(SUMIF(Tank1!$B$32:$B$49,$J4013,Tank1!$C$32:$C$49)*Impacts!$F$8),0)</f>
        <v>0</v>
      </c>
      <c r="M4013" s="10">
        <f>IF(Tank2!$C$23="No control",(SUMIF(Tank2!$B$32:$B$49,$J4013,Tank2!$C$32:$C$49)*Impacts!$F$9),0)</f>
        <v>0</v>
      </c>
      <c r="N4013" s="10">
        <f>IF(Tank3!$C$23="No control",(SUMIF(Tank3!$B$32:$B$49,$J4013,Tank3!$C$32:$C$49)*Impacts!$F$10),0)</f>
        <v>0</v>
      </c>
      <c r="O4013" s="10">
        <f>IF(Tank4!$C$23="No control",(SUMIF(Tank4!$B$32:$B$49,$J4013,Tank4!$C$32:$C$49)*Impacts!$F$11),0)</f>
        <v>0</v>
      </c>
      <c r="P4013" s="10">
        <f>IF(Tank5!$C$23="No control",(SUMIF(Tank5!$B$32:$B$49,$J4013,Tank5!$C$32:$C$49)*Impacts!$F$12),0)</f>
        <v>0</v>
      </c>
      <c r="Q4013" s="10">
        <f>IFERROR(IF(('Loading-drum,tote'!$C$21)="No control",SUMIF(('Loading-drum,tote'!$B$31:$B$48),$J4013,('Loading-drum,tote'!$D$31:$D$48))*Impacts!$F$13,IF(('Loading-drum,tote'!$C$21)&lt;&gt;"No control",SUMIF(('Loading-drum,tote'!$B$31:$B$48),$J4013,('Loading-drum,tote'!$E$31:$E$48))*Impacts!$F$13,0)),0)</f>
        <v>0</v>
      </c>
      <c r="R4013" s="10">
        <f>IFERROR(IF(('Loading-truck'!$C$21)="No control",SUMIF(('Loading-truck'!$B$31:$B$48),$J4013,('Loading-truck'!$D$31:$D$48))*Impacts!$F$14,IF(('Loading-truck'!$C$21)&lt;&gt;"No control",SUMIF(('Loading-truck'!$B$31:$B$48),$J4013,('Loading-truck'!$E$31:$E$48))*Impacts!$F$14,0)),0)</f>
        <v>0</v>
      </c>
      <c r="S4013" s="10">
        <f>IFERROR(IF(('Loading-rail'!$C$21)="No control",SUMIF(('Loading-rail'!$B$31:$B$48),$J4013,('Loading-rail'!$D$31:$D$48))*Impacts!$F$15,IF(('Loading-rail'!$C$21)&lt;&gt;"No control",SUMIF(('Loading-rail'!$B$31:$B$48),$J4013,('Loading-rail'!$E$31:$E$48))*Impacts!$F$15,0)),0)</f>
        <v>0</v>
      </c>
      <c r="T4013" s="10">
        <f>IF(Flare!$C$7="",0,(SUMIF(Flare!$B$46:$B$185,$J4013,Flare!$E$46:$E$185)*Impacts!$F$16))</f>
        <v>0</v>
      </c>
      <c r="U4013" s="10">
        <f>IF(VCU!$C$9="",0,(SUMIF(VCU!$B$51:$B$193,$J4013,VCU!$E$51:$E$193)*Impacts!$F$17))</f>
        <v>0</v>
      </c>
      <c r="V4013" s="10">
        <f>IF(CAS!$C$7="",0,(SUMIF(CAS!$B$31:$B$167,$J4013,CAS!$E$31:$E$167)*Impacts!$F$18))</f>
        <v>0</v>
      </c>
      <c r="W4013" s="10">
        <f t="shared" si="103"/>
        <v>0</v>
      </c>
      <c r="AK4013" s="10" t="str">
        <f t="array" ref="AK4013">IFERROR(INDEX(SelectedSpecies,SMALL(IF(SelectedSpecies=AK$1,ROW(SelectedSpecies)),ROW(4014:4014)),2),"")</f>
        <v/>
      </c>
      <c r="BE4013" s="10"/>
      <c r="BI4013" s="10"/>
    </row>
    <row r="4014" spans="1:61" ht="21" customHeight="1" x14ac:dyDescent="0.25">
      <c r="A4014" s="10"/>
      <c r="B4014" s="10"/>
      <c r="E4014" s="10"/>
      <c r="G4014" s="10"/>
      <c r="I4014" s="436" t="s">
        <v>4739</v>
      </c>
      <c r="J4014" s="26" t="s">
        <v>4738</v>
      </c>
      <c r="K4014" s="10">
        <v>3.5</v>
      </c>
      <c r="L4014" s="73">
        <f>IF(Tank1!$C$23="No control",(SUMIF(Tank1!$B$32:$B$49,$J4014,Tank1!$C$32:$C$49)*Impacts!$F$8),0)</f>
        <v>0</v>
      </c>
      <c r="M4014" s="10">
        <f>IF(Tank2!$C$23="No control",(SUMIF(Tank2!$B$32:$B$49,$J4014,Tank2!$C$32:$C$49)*Impacts!$F$9),0)</f>
        <v>0</v>
      </c>
      <c r="N4014" s="10">
        <f>IF(Tank3!$C$23="No control",(SUMIF(Tank3!$B$32:$B$49,$J4014,Tank3!$C$32:$C$49)*Impacts!$F$10),0)</f>
        <v>0</v>
      </c>
      <c r="O4014" s="10">
        <f>IF(Tank4!$C$23="No control",(SUMIF(Tank4!$B$32:$B$49,$J4014,Tank4!$C$32:$C$49)*Impacts!$F$11),0)</f>
        <v>0</v>
      </c>
      <c r="P4014" s="10">
        <f>IF(Tank5!$C$23="No control",(SUMIF(Tank5!$B$32:$B$49,$J4014,Tank5!$C$32:$C$49)*Impacts!$F$12),0)</f>
        <v>0</v>
      </c>
      <c r="Q4014" s="10">
        <f>IFERROR(IF(('Loading-drum,tote'!$C$21)="No control",SUMIF(('Loading-drum,tote'!$B$31:$B$48),$J4014,('Loading-drum,tote'!$D$31:$D$48))*Impacts!$F$13,IF(('Loading-drum,tote'!$C$21)&lt;&gt;"No control",SUMIF(('Loading-drum,tote'!$B$31:$B$48),$J4014,('Loading-drum,tote'!$E$31:$E$48))*Impacts!$F$13,0)),0)</f>
        <v>0</v>
      </c>
      <c r="R4014" s="10">
        <f>IFERROR(IF(('Loading-truck'!$C$21)="No control",SUMIF(('Loading-truck'!$B$31:$B$48),$J4014,('Loading-truck'!$D$31:$D$48))*Impacts!$F$14,IF(('Loading-truck'!$C$21)&lt;&gt;"No control",SUMIF(('Loading-truck'!$B$31:$B$48),$J4014,('Loading-truck'!$E$31:$E$48))*Impacts!$F$14,0)),0)</f>
        <v>0</v>
      </c>
      <c r="S4014" s="10">
        <f>IFERROR(IF(('Loading-rail'!$C$21)="No control",SUMIF(('Loading-rail'!$B$31:$B$48),$J4014,('Loading-rail'!$D$31:$D$48))*Impacts!$F$15,IF(('Loading-rail'!$C$21)&lt;&gt;"No control",SUMIF(('Loading-rail'!$B$31:$B$48),$J4014,('Loading-rail'!$E$31:$E$48))*Impacts!$F$15,0)),0)</f>
        <v>0</v>
      </c>
      <c r="T4014" s="10">
        <f>IF(Flare!$C$7="",0,(SUMIF(Flare!$B$46:$B$185,$J4014,Flare!$E$46:$E$185)*Impacts!$F$16))</f>
        <v>0</v>
      </c>
      <c r="U4014" s="10">
        <f>IF(VCU!$C$9="",0,(SUMIF(VCU!$B$51:$B$193,$J4014,VCU!$E$51:$E$193)*Impacts!$F$17))</f>
        <v>0</v>
      </c>
      <c r="V4014" s="10">
        <f>IF(CAS!$C$7="",0,(SUMIF(CAS!$B$31:$B$167,$J4014,CAS!$E$31:$E$167)*Impacts!$F$18))</f>
        <v>0</v>
      </c>
      <c r="W4014" s="10">
        <f t="shared" si="103"/>
        <v>0</v>
      </c>
      <c r="AK4014" s="10" t="str">
        <f t="array" ref="AK4014">IFERROR(INDEX(SelectedSpecies,SMALL(IF(SelectedSpecies=AK$1,ROW(SelectedSpecies)),ROW(4015:4015)),2),"")</f>
        <v/>
      </c>
      <c r="BE4014" s="10"/>
      <c r="BI4014" s="10"/>
    </row>
    <row r="4015" spans="1:61" ht="21" customHeight="1" x14ac:dyDescent="0.25">
      <c r="A4015" s="10"/>
      <c r="B4015" s="10"/>
      <c r="E4015" s="10"/>
      <c r="G4015" s="10"/>
      <c r="I4015" s="436" t="s">
        <v>4741</v>
      </c>
      <c r="J4015" s="26" t="s">
        <v>4740</v>
      </c>
      <c r="K4015" s="10">
        <v>3.5</v>
      </c>
      <c r="L4015" s="73">
        <f>IF(Tank1!$C$23="No control",(SUMIF(Tank1!$B$32:$B$49,$J4015,Tank1!$C$32:$C$49)*Impacts!$F$8),0)</f>
        <v>0</v>
      </c>
      <c r="M4015" s="10">
        <f>IF(Tank2!$C$23="No control",(SUMIF(Tank2!$B$32:$B$49,$J4015,Tank2!$C$32:$C$49)*Impacts!$F$9),0)</f>
        <v>0</v>
      </c>
      <c r="N4015" s="10">
        <f>IF(Tank3!$C$23="No control",(SUMIF(Tank3!$B$32:$B$49,$J4015,Tank3!$C$32:$C$49)*Impacts!$F$10),0)</f>
        <v>0</v>
      </c>
      <c r="O4015" s="10">
        <f>IF(Tank4!$C$23="No control",(SUMIF(Tank4!$B$32:$B$49,$J4015,Tank4!$C$32:$C$49)*Impacts!$F$11),0)</f>
        <v>0</v>
      </c>
      <c r="P4015" s="10">
        <f>IF(Tank5!$C$23="No control",(SUMIF(Tank5!$B$32:$B$49,$J4015,Tank5!$C$32:$C$49)*Impacts!$F$12),0)</f>
        <v>0</v>
      </c>
      <c r="Q4015" s="10">
        <f>IFERROR(IF(('Loading-drum,tote'!$C$21)="No control",SUMIF(('Loading-drum,tote'!$B$31:$B$48),$J4015,('Loading-drum,tote'!$D$31:$D$48))*Impacts!$F$13,IF(('Loading-drum,tote'!$C$21)&lt;&gt;"No control",SUMIF(('Loading-drum,tote'!$B$31:$B$48),$J4015,('Loading-drum,tote'!$E$31:$E$48))*Impacts!$F$13,0)),0)</f>
        <v>0</v>
      </c>
      <c r="R4015" s="10">
        <f>IFERROR(IF(('Loading-truck'!$C$21)="No control",SUMIF(('Loading-truck'!$B$31:$B$48),$J4015,('Loading-truck'!$D$31:$D$48))*Impacts!$F$14,IF(('Loading-truck'!$C$21)&lt;&gt;"No control",SUMIF(('Loading-truck'!$B$31:$B$48),$J4015,('Loading-truck'!$E$31:$E$48))*Impacts!$F$14,0)),0)</f>
        <v>0</v>
      </c>
      <c r="S4015" s="10">
        <f>IFERROR(IF(('Loading-rail'!$C$21)="No control",SUMIF(('Loading-rail'!$B$31:$B$48),$J4015,('Loading-rail'!$D$31:$D$48))*Impacts!$F$15,IF(('Loading-rail'!$C$21)&lt;&gt;"No control",SUMIF(('Loading-rail'!$B$31:$B$48),$J4015,('Loading-rail'!$E$31:$E$48))*Impacts!$F$15,0)),0)</f>
        <v>0</v>
      </c>
      <c r="T4015" s="10">
        <f>IF(Flare!$C$7="",0,(SUMIF(Flare!$B$46:$B$185,$J4015,Flare!$E$46:$E$185)*Impacts!$F$16))</f>
        <v>0</v>
      </c>
      <c r="U4015" s="10">
        <f>IF(VCU!$C$9="",0,(SUMIF(VCU!$B$51:$B$193,$J4015,VCU!$E$51:$E$193)*Impacts!$F$17))</f>
        <v>0</v>
      </c>
      <c r="V4015" s="10">
        <f>IF(CAS!$C$7="",0,(SUMIF(CAS!$B$31:$B$167,$J4015,CAS!$E$31:$E$167)*Impacts!$F$18))</f>
        <v>0</v>
      </c>
      <c r="W4015" s="10">
        <f t="shared" si="103"/>
        <v>0</v>
      </c>
      <c r="AK4015" s="10" t="str">
        <f t="array" ref="AK4015">IFERROR(INDEX(SelectedSpecies,SMALL(IF(SelectedSpecies=AK$1,ROW(SelectedSpecies)),ROW(4016:4016)),2),"")</f>
        <v/>
      </c>
      <c r="BE4015" s="10"/>
      <c r="BI4015" s="10"/>
    </row>
    <row r="4016" spans="1:61" ht="21" customHeight="1" x14ac:dyDescent="0.25">
      <c r="A4016" s="10"/>
      <c r="B4016" s="10"/>
      <c r="E4016" s="10"/>
      <c r="G4016" s="10"/>
      <c r="I4016" s="436" t="s">
        <v>5001</v>
      </c>
      <c r="J4016" s="26" t="s">
        <v>5000</v>
      </c>
      <c r="K4016" s="10">
        <v>2.5</v>
      </c>
      <c r="L4016" s="73">
        <f>IF(Tank1!$C$23="No control",(SUMIF(Tank1!$B$32:$B$49,$J4016,Tank1!$C$32:$C$49)*Impacts!$F$8),0)</f>
        <v>0</v>
      </c>
      <c r="M4016" s="10">
        <f>IF(Tank2!$C$23="No control",(SUMIF(Tank2!$B$32:$B$49,$J4016,Tank2!$C$32:$C$49)*Impacts!$F$9),0)</f>
        <v>0</v>
      </c>
      <c r="N4016" s="10">
        <f>IF(Tank3!$C$23="No control",(SUMIF(Tank3!$B$32:$B$49,$J4016,Tank3!$C$32:$C$49)*Impacts!$F$10),0)</f>
        <v>0</v>
      </c>
      <c r="O4016" s="10">
        <f>IF(Tank4!$C$23="No control",(SUMIF(Tank4!$B$32:$B$49,$J4016,Tank4!$C$32:$C$49)*Impacts!$F$11),0)</f>
        <v>0</v>
      </c>
      <c r="P4016" s="10">
        <f>IF(Tank5!$C$23="No control",(SUMIF(Tank5!$B$32:$B$49,$J4016,Tank5!$C$32:$C$49)*Impacts!$F$12),0)</f>
        <v>0</v>
      </c>
      <c r="Q4016" s="10">
        <f>IFERROR(IF(('Loading-drum,tote'!$C$21)="No control",SUMIF(('Loading-drum,tote'!$B$31:$B$48),$J4016,('Loading-drum,tote'!$D$31:$D$48))*Impacts!$F$13,IF(('Loading-drum,tote'!$C$21)&lt;&gt;"No control",SUMIF(('Loading-drum,tote'!$B$31:$B$48),$J4016,('Loading-drum,tote'!$E$31:$E$48))*Impacts!$F$13,0)),0)</f>
        <v>0</v>
      </c>
      <c r="R4016" s="10">
        <f>IFERROR(IF(('Loading-truck'!$C$21)="No control",SUMIF(('Loading-truck'!$B$31:$B$48),$J4016,('Loading-truck'!$D$31:$D$48))*Impacts!$F$14,IF(('Loading-truck'!$C$21)&lt;&gt;"No control",SUMIF(('Loading-truck'!$B$31:$B$48),$J4016,('Loading-truck'!$E$31:$E$48))*Impacts!$F$14,0)),0)</f>
        <v>0</v>
      </c>
      <c r="S4016" s="10">
        <f>IFERROR(IF(('Loading-rail'!$C$21)="No control",SUMIF(('Loading-rail'!$B$31:$B$48),$J4016,('Loading-rail'!$D$31:$D$48))*Impacts!$F$15,IF(('Loading-rail'!$C$21)&lt;&gt;"No control",SUMIF(('Loading-rail'!$B$31:$B$48),$J4016,('Loading-rail'!$E$31:$E$48))*Impacts!$F$15,0)),0)</f>
        <v>0</v>
      </c>
      <c r="T4016" s="10">
        <f>IF(Flare!$C$7="",0,(SUMIF(Flare!$B$46:$B$185,$J4016,Flare!$E$46:$E$185)*Impacts!$F$16))</f>
        <v>0</v>
      </c>
      <c r="U4016" s="10">
        <f>IF(VCU!$C$9="",0,(SUMIF(VCU!$B$51:$B$193,$J4016,VCU!$E$51:$E$193)*Impacts!$F$17))</f>
        <v>0</v>
      </c>
      <c r="V4016" s="10">
        <f>IF(CAS!$C$7="",0,(SUMIF(CAS!$B$31:$B$167,$J4016,CAS!$E$31:$E$167)*Impacts!$F$18))</f>
        <v>0</v>
      </c>
      <c r="W4016" s="10">
        <f t="shared" si="103"/>
        <v>0</v>
      </c>
      <c r="AK4016" s="10" t="str">
        <f t="array" ref="AK4016">IFERROR(INDEX(SelectedSpecies,SMALL(IF(SelectedSpecies=AK$1,ROW(SelectedSpecies)),ROW(4017:4017)),2),"")</f>
        <v/>
      </c>
      <c r="BE4016" s="10"/>
      <c r="BI4016" s="10"/>
    </row>
    <row r="4017" spans="1:61" ht="21" customHeight="1" x14ac:dyDescent="0.25">
      <c r="A4017" s="10"/>
      <c r="B4017" s="10"/>
      <c r="E4017" s="10"/>
      <c r="G4017" s="10"/>
      <c r="I4017" s="436" t="s">
        <v>6342</v>
      </c>
      <c r="J4017" s="26" t="s">
        <v>6341</v>
      </c>
      <c r="K4017" s="10">
        <v>0.9</v>
      </c>
      <c r="L4017" s="73">
        <f>IF(Tank1!$C$23="No control",(SUMIF(Tank1!$B$32:$B$49,$J4017,Tank1!$C$32:$C$49)*Impacts!$F$8),0)</f>
        <v>0</v>
      </c>
      <c r="M4017" s="10">
        <f>IF(Tank2!$C$23="No control",(SUMIF(Tank2!$B$32:$B$49,$J4017,Tank2!$C$32:$C$49)*Impacts!$F$9),0)</f>
        <v>0</v>
      </c>
      <c r="N4017" s="10">
        <f>IF(Tank3!$C$23="No control",(SUMIF(Tank3!$B$32:$B$49,$J4017,Tank3!$C$32:$C$49)*Impacts!$F$10),0)</f>
        <v>0</v>
      </c>
      <c r="O4017" s="10">
        <f>IF(Tank4!$C$23="No control",(SUMIF(Tank4!$B$32:$B$49,$J4017,Tank4!$C$32:$C$49)*Impacts!$F$11),0)</f>
        <v>0</v>
      </c>
      <c r="P4017" s="10">
        <f>IF(Tank5!$C$23="No control",(SUMIF(Tank5!$B$32:$B$49,$J4017,Tank5!$C$32:$C$49)*Impacts!$F$12),0)</f>
        <v>0</v>
      </c>
      <c r="Q4017" s="10">
        <f>IFERROR(IF(('Loading-drum,tote'!$C$21)="No control",SUMIF(('Loading-drum,tote'!$B$31:$B$48),$J4017,('Loading-drum,tote'!$D$31:$D$48))*Impacts!$F$13,IF(('Loading-drum,tote'!$C$21)&lt;&gt;"No control",SUMIF(('Loading-drum,tote'!$B$31:$B$48),$J4017,('Loading-drum,tote'!$E$31:$E$48))*Impacts!$F$13,0)),0)</f>
        <v>0</v>
      </c>
      <c r="R4017" s="10">
        <f>IFERROR(IF(('Loading-truck'!$C$21)="No control",SUMIF(('Loading-truck'!$B$31:$B$48),$J4017,('Loading-truck'!$D$31:$D$48))*Impacts!$F$14,IF(('Loading-truck'!$C$21)&lt;&gt;"No control",SUMIF(('Loading-truck'!$B$31:$B$48),$J4017,('Loading-truck'!$E$31:$E$48))*Impacts!$F$14,0)),0)</f>
        <v>0</v>
      </c>
      <c r="S4017" s="10">
        <f>IFERROR(IF(('Loading-rail'!$C$21)="No control",SUMIF(('Loading-rail'!$B$31:$B$48),$J4017,('Loading-rail'!$D$31:$D$48))*Impacts!$F$15,IF(('Loading-rail'!$C$21)&lt;&gt;"No control",SUMIF(('Loading-rail'!$B$31:$B$48),$J4017,('Loading-rail'!$E$31:$E$48))*Impacts!$F$15,0)),0)</f>
        <v>0</v>
      </c>
      <c r="T4017" s="10">
        <f>IF(Flare!$C$7="",0,(SUMIF(Flare!$B$46:$B$185,$J4017,Flare!$E$46:$E$185)*Impacts!$F$16))</f>
        <v>0</v>
      </c>
      <c r="U4017" s="10">
        <f>IF(VCU!$C$9="",0,(SUMIF(VCU!$B$51:$B$193,$J4017,VCU!$E$51:$E$193)*Impacts!$F$17))</f>
        <v>0</v>
      </c>
      <c r="V4017" s="10">
        <f>IF(CAS!$C$7="",0,(SUMIF(CAS!$B$31:$B$167,$J4017,CAS!$E$31:$E$167)*Impacts!$F$18))</f>
        <v>0</v>
      </c>
      <c r="W4017" s="10">
        <f t="shared" si="103"/>
        <v>0</v>
      </c>
      <c r="AK4017" s="10" t="str">
        <f t="array" ref="AK4017">IFERROR(INDEX(SelectedSpecies,SMALL(IF(SelectedSpecies=AK$1,ROW(SelectedSpecies)),ROW(4018:4018)),2),"")</f>
        <v/>
      </c>
      <c r="BE4017" s="10"/>
      <c r="BI4017" s="10"/>
    </row>
    <row r="4018" spans="1:61" ht="21" customHeight="1" x14ac:dyDescent="0.25">
      <c r="A4018" s="10"/>
      <c r="B4018" s="10"/>
      <c r="E4018" s="10"/>
      <c r="G4018" s="10"/>
      <c r="I4018" s="436" t="s">
        <v>7404</v>
      </c>
      <c r="J4018" s="26" t="s">
        <v>7403</v>
      </c>
      <c r="K4018" s="10">
        <v>0.24</v>
      </c>
      <c r="L4018" s="73">
        <f>IF(Tank1!$C$23="No control",(SUMIF(Tank1!$B$32:$B$49,$J4018,Tank1!$C$32:$C$49)*Impacts!$F$8),0)</f>
        <v>0</v>
      </c>
      <c r="M4018" s="10">
        <f>IF(Tank2!$C$23="No control",(SUMIF(Tank2!$B$32:$B$49,$J4018,Tank2!$C$32:$C$49)*Impacts!$F$9),0)</f>
        <v>0</v>
      </c>
      <c r="N4018" s="10">
        <f>IF(Tank3!$C$23="No control",(SUMIF(Tank3!$B$32:$B$49,$J4018,Tank3!$C$32:$C$49)*Impacts!$F$10),0)</f>
        <v>0</v>
      </c>
      <c r="O4018" s="10">
        <f>IF(Tank4!$C$23="No control",(SUMIF(Tank4!$B$32:$B$49,$J4018,Tank4!$C$32:$C$49)*Impacts!$F$11),0)</f>
        <v>0</v>
      </c>
      <c r="P4018" s="10">
        <f>IF(Tank5!$C$23="No control",(SUMIF(Tank5!$B$32:$B$49,$J4018,Tank5!$C$32:$C$49)*Impacts!$F$12),0)</f>
        <v>0</v>
      </c>
      <c r="Q4018" s="10">
        <f>IFERROR(IF(('Loading-drum,tote'!$C$21)="No control",SUMIF(('Loading-drum,tote'!$B$31:$B$48),$J4018,('Loading-drum,tote'!$D$31:$D$48))*Impacts!$F$13,IF(('Loading-drum,tote'!$C$21)&lt;&gt;"No control",SUMIF(('Loading-drum,tote'!$B$31:$B$48),$J4018,('Loading-drum,tote'!$E$31:$E$48))*Impacts!$F$13,0)),0)</f>
        <v>0</v>
      </c>
      <c r="R4018" s="10">
        <f>IFERROR(IF(('Loading-truck'!$C$21)="No control",SUMIF(('Loading-truck'!$B$31:$B$48),$J4018,('Loading-truck'!$D$31:$D$48))*Impacts!$F$14,IF(('Loading-truck'!$C$21)&lt;&gt;"No control",SUMIF(('Loading-truck'!$B$31:$B$48),$J4018,('Loading-truck'!$E$31:$E$48))*Impacts!$F$14,0)),0)</f>
        <v>0</v>
      </c>
      <c r="S4018" s="10">
        <f>IFERROR(IF(('Loading-rail'!$C$21)="No control",SUMIF(('Loading-rail'!$B$31:$B$48),$J4018,('Loading-rail'!$D$31:$D$48))*Impacts!$F$15,IF(('Loading-rail'!$C$21)&lt;&gt;"No control",SUMIF(('Loading-rail'!$B$31:$B$48),$J4018,('Loading-rail'!$E$31:$E$48))*Impacts!$F$15,0)),0)</f>
        <v>0</v>
      </c>
      <c r="T4018" s="10">
        <f>IF(Flare!$C$7="",0,(SUMIF(Flare!$B$46:$B$185,$J4018,Flare!$E$46:$E$185)*Impacts!$F$16))</f>
        <v>0</v>
      </c>
      <c r="U4018" s="10">
        <f>IF(VCU!$C$9="",0,(SUMIF(VCU!$B$51:$B$193,$J4018,VCU!$E$51:$E$193)*Impacts!$F$17))</f>
        <v>0</v>
      </c>
      <c r="V4018" s="10">
        <f>IF(CAS!$C$7="",0,(SUMIF(CAS!$B$31:$B$167,$J4018,CAS!$E$31:$E$167)*Impacts!$F$18))</f>
        <v>0</v>
      </c>
      <c r="W4018" s="10">
        <f t="shared" si="103"/>
        <v>0</v>
      </c>
      <c r="AK4018" s="10" t="str">
        <f t="array" ref="AK4018">IFERROR(INDEX(SelectedSpecies,SMALL(IF(SelectedSpecies=AK$1,ROW(SelectedSpecies)),ROW(4019:4019)),2),"")</f>
        <v/>
      </c>
      <c r="BE4018" s="10"/>
      <c r="BI4018" s="10"/>
    </row>
    <row r="4019" spans="1:61" ht="21" customHeight="1" x14ac:dyDescent="0.25">
      <c r="A4019" s="10"/>
      <c r="B4019" s="10"/>
      <c r="E4019" s="10"/>
      <c r="G4019" s="10"/>
      <c r="I4019" s="436" t="s">
        <v>1751</v>
      </c>
      <c r="J4019" s="26" t="s">
        <v>1750</v>
      </c>
      <c r="K4019" s="10">
        <v>24.5</v>
      </c>
      <c r="L4019" s="73">
        <f>IF(Tank1!$C$23="No control",(SUMIF(Tank1!$B$32:$B$49,$J4019,Tank1!$C$32:$C$49)*Impacts!$F$8),0)</f>
        <v>0</v>
      </c>
      <c r="M4019" s="10">
        <f>IF(Tank2!$C$23="No control",(SUMIF(Tank2!$B$32:$B$49,$J4019,Tank2!$C$32:$C$49)*Impacts!$F$9),0)</f>
        <v>0</v>
      </c>
      <c r="N4019" s="10">
        <f>IF(Tank3!$C$23="No control",(SUMIF(Tank3!$B$32:$B$49,$J4019,Tank3!$C$32:$C$49)*Impacts!$F$10),0)</f>
        <v>0</v>
      </c>
      <c r="O4019" s="10">
        <f>IF(Tank4!$C$23="No control",(SUMIF(Tank4!$B$32:$B$49,$J4019,Tank4!$C$32:$C$49)*Impacts!$F$11),0)</f>
        <v>0</v>
      </c>
      <c r="P4019" s="10">
        <f>IF(Tank5!$C$23="No control",(SUMIF(Tank5!$B$32:$B$49,$J4019,Tank5!$C$32:$C$49)*Impacts!$F$12),0)</f>
        <v>0</v>
      </c>
      <c r="Q4019" s="10">
        <f>IFERROR(IF(('Loading-drum,tote'!$C$21)="No control",SUMIF(('Loading-drum,tote'!$B$31:$B$48),$J4019,('Loading-drum,tote'!$D$31:$D$48))*Impacts!$F$13,IF(('Loading-drum,tote'!$C$21)&lt;&gt;"No control",SUMIF(('Loading-drum,tote'!$B$31:$B$48),$J4019,('Loading-drum,tote'!$E$31:$E$48))*Impacts!$F$13,0)),0)</f>
        <v>0</v>
      </c>
      <c r="R4019" s="10">
        <f>IFERROR(IF(('Loading-truck'!$C$21)="No control",SUMIF(('Loading-truck'!$B$31:$B$48),$J4019,('Loading-truck'!$D$31:$D$48))*Impacts!$F$14,IF(('Loading-truck'!$C$21)&lt;&gt;"No control",SUMIF(('Loading-truck'!$B$31:$B$48),$J4019,('Loading-truck'!$E$31:$E$48))*Impacts!$F$14,0)),0)</f>
        <v>0</v>
      </c>
      <c r="S4019" s="10">
        <f>IFERROR(IF(('Loading-rail'!$C$21)="No control",SUMIF(('Loading-rail'!$B$31:$B$48),$J4019,('Loading-rail'!$D$31:$D$48))*Impacts!$F$15,IF(('Loading-rail'!$C$21)&lt;&gt;"No control",SUMIF(('Loading-rail'!$B$31:$B$48),$J4019,('Loading-rail'!$E$31:$E$48))*Impacts!$F$15,0)),0)</f>
        <v>0</v>
      </c>
      <c r="T4019" s="10">
        <f>IF(Flare!$C$7="",0,(SUMIF(Flare!$B$46:$B$185,$J4019,Flare!$E$46:$E$185)*Impacts!$F$16))</f>
        <v>0</v>
      </c>
      <c r="U4019" s="10">
        <f>IF(VCU!$C$9="",0,(SUMIF(VCU!$B$51:$B$193,$J4019,VCU!$E$51:$E$193)*Impacts!$F$17))</f>
        <v>0</v>
      </c>
      <c r="V4019" s="10">
        <f>IF(CAS!$C$7="",0,(SUMIF(CAS!$B$31:$B$167,$J4019,CAS!$E$31:$E$167)*Impacts!$F$18))</f>
        <v>0</v>
      </c>
      <c r="W4019" s="10">
        <f t="shared" si="103"/>
        <v>0</v>
      </c>
      <c r="AK4019" s="10" t="str">
        <f t="array" ref="AK4019">IFERROR(INDEX(SelectedSpecies,SMALL(IF(SelectedSpecies=AK$1,ROW(SelectedSpecies)),ROW(4020:4020)),2),"")</f>
        <v/>
      </c>
      <c r="BE4019" s="10"/>
      <c r="BI4019" s="10"/>
    </row>
    <row r="4020" spans="1:61" ht="21" customHeight="1" x14ac:dyDescent="0.25">
      <c r="A4020" s="10"/>
      <c r="B4020" s="10"/>
      <c r="E4020" s="10"/>
      <c r="G4020" s="10"/>
      <c r="I4020" s="436" t="s">
        <v>7830</v>
      </c>
      <c r="J4020" s="26" t="s">
        <v>7829</v>
      </c>
      <c r="K4020" s="10">
        <v>8.0000000000000016E-2</v>
      </c>
      <c r="L4020" s="73">
        <f>IF(Tank1!$C$23="No control",(SUMIF(Tank1!$B$32:$B$49,$J4020,Tank1!$C$32:$C$49)*Impacts!$F$8),0)</f>
        <v>0</v>
      </c>
      <c r="M4020" s="10">
        <f>IF(Tank2!$C$23="No control",(SUMIF(Tank2!$B$32:$B$49,$J4020,Tank2!$C$32:$C$49)*Impacts!$F$9),0)</f>
        <v>0</v>
      </c>
      <c r="N4020" s="10">
        <f>IF(Tank3!$C$23="No control",(SUMIF(Tank3!$B$32:$B$49,$J4020,Tank3!$C$32:$C$49)*Impacts!$F$10),0)</f>
        <v>0</v>
      </c>
      <c r="O4020" s="10">
        <f>IF(Tank4!$C$23="No control",(SUMIF(Tank4!$B$32:$B$49,$J4020,Tank4!$C$32:$C$49)*Impacts!$F$11),0)</f>
        <v>0</v>
      </c>
      <c r="P4020" s="10">
        <f>IF(Tank5!$C$23="No control",(SUMIF(Tank5!$B$32:$B$49,$J4020,Tank5!$C$32:$C$49)*Impacts!$F$12),0)</f>
        <v>0</v>
      </c>
      <c r="Q4020" s="10">
        <f>IFERROR(IF(('Loading-drum,tote'!$C$21)="No control",SUMIF(('Loading-drum,tote'!$B$31:$B$48),$J4020,('Loading-drum,tote'!$D$31:$D$48))*Impacts!$F$13,IF(('Loading-drum,tote'!$C$21)&lt;&gt;"No control",SUMIF(('Loading-drum,tote'!$B$31:$B$48),$J4020,('Loading-drum,tote'!$E$31:$E$48))*Impacts!$F$13,0)),0)</f>
        <v>0</v>
      </c>
      <c r="R4020" s="10">
        <f>IFERROR(IF(('Loading-truck'!$C$21)="No control",SUMIF(('Loading-truck'!$B$31:$B$48),$J4020,('Loading-truck'!$D$31:$D$48))*Impacts!$F$14,IF(('Loading-truck'!$C$21)&lt;&gt;"No control",SUMIF(('Loading-truck'!$B$31:$B$48),$J4020,('Loading-truck'!$E$31:$E$48))*Impacts!$F$14,0)),0)</f>
        <v>0</v>
      </c>
      <c r="S4020" s="10">
        <f>IFERROR(IF(('Loading-rail'!$C$21)="No control",SUMIF(('Loading-rail'!$B$31:$B$48),$J4020,('Loading-rail'!$D$31:$D$48))*Impacts!$F$15,IF(('Loading-rail'!$C$21)&lt;&gt;"No control",SUMIF(('Loading-rail'!$B$31:$B$48),$J4020,('Loading-rail'!$E$31:$E$48))*Impacts!$F$15,0)),0)</f>
        <v>0</v>
      </c>
      <c r="T4020" s="10">
        <f>IF(Flare!$C$7="",0,(SUMIF(Flare!$B$46:$B$185,$J4020,Flare!$E$46:$E$185)*Impacts!$F$16))</f>
        <v>0</v>
      </c>
      <c r="U4020" s="10">
        <f>IF(VCU!$C$9="",0,(SUMIF(VCU!$B$51:$B$193,$J4020,VCU!$E$51:$E$193)*Impacts!$F$17))</f>
        <v>0</v>
      </c>
      <c r="V4020" s="10">
        <f>IF(CAS!$C$7="",0,(SUMIF(CAS!$B$31:$B$167,$J4020,CAS!$E$31:$E$167)*Impacts!$F$18))</f>
        <v>0</v>
      </c>
      <c r="W4020" s="10">
        <f t="shared" si="103"/>
        <v>0</v>
      </c>
      <c r="AK4020" s="10" t="str">
        <f t="array" ref="AK4020">IFERROR(INDEX(SelectedSpecies,SMALL(IF(SelectedSpecies=AK$1,ROW(SelectedSpecies)),ROW(4021:4021)),2),"")</f>
        <v/>
      </c>
      <c r="BE4020" s="10"/>
      <c r="BI4020" s="10"/>
    </row>
    <row r="4021" spans="1:61" ht="21" customHeight="1" x14ac:dyDescent="0.25">
      <c r="A4021" s="10"/>
      <c r="B4021" s="10"/>
      <c r="E4021" s="10"/>
      <c r="G4021" s="10"/>
      <c r="I4021" s="436" t="s">
        <v>4239</v>
      </c>
      <c r="J4021" s="26" t="s">
        <v>4238</v>
      </c>
      <c r="K4021" s="10">
        <v>5</v>
      </c>
      <c r="L4021" s="73">
        <f>IF(Tank1!$C$23="No control",(SUMIF(Tank1!$B$32:$B$49,$J4021,Tank1!$C$32:$C$49)*Impacts!$F$8),0)</f>
        <v>0</v>
      </c>
      <c r="M4021" s="10">
        <f>IF(Tank2!$C$23="No control",(SUMIF(Tank2!$B$32:$B$49,$J4021,Tank2!$C$32:$C$49)*Impacts!$F$9),0)</f>
        <v>0</v>
      </c>
      <c r="N4021" s="10">
        <f>IF(Tank3!$C$23="No control",(SUMIF(Tank3!$B$32:$B$49,$J4021,Tank3!$C$32:$C$49)*Impacts!$F$10),0)</f>
        <v>0</v>
      </c>
      <c r="O4021" s="10">
        <f>IF(Tank4!$C$23="No control",(SUMIF(Tank4!$B$32:$B$49,$J4021,Tank4!$C$32:$C$49)*Impacts!$F$11),0)</f>
        <v>0</v>
      </c>
      <c r="P4021" s="10">
        <f>IF(Tank5!$C$23="No control",(SUMIF(Tank5!$B$32:$B$49,$J4021,Tank5!$C$32:$C$49)*Impacts!$F$12),0)</f>
        <v>0</v>
      </c>
      <c r="Q4021" s="10">
        <f>IFERROR(IF(('Loading-drum,tote'!$C$21)="No control",SUMIF(('Loading-drum,tote'!$B$31:$B$48),$J4021,('Loading-drum,tote'!$D$31:$D$48))*Impacts!$F$13,IF(('Loading-drum,tote'!$C$21)&lt;&gt;"No control",SUMIF(('Loading-drum,tote'!$B$31:$B$48),$J4021,('Loading-drum,tote'!$E$31:$E$48))*Impacts!$F$13,0)),0)</f>
        <v>0</v>
      </c>
      <c r="R4021" s="10">
        <f>IFERROR(IF(('Loading-truck'!$C$21)="No control",SUMIF(('Loading-truck'!$B$31:$B$48),$J4021,('Loading-truck'!$D$31:$D$48))*Impacts!$F$14,IF(('Loading-truck'!$C$21)&lt;&gt;"No control",SUMIF(('Loading-truck'!$B$31:$B$48),$J4021,('Loading-truck'!$E$31:$E$48))*Impacts!$F$14,0)),0)</f>
        <v>0</v>
      </c>
      <c r="S4021" s="10">
        <f>IFERROR(IF(('Loading-rail'!$C$21)="No control",SUMIF(('Loading-rail'!$B$31:$B$48),$J4021,('Loading-rail'!$D$31:$D$48))*Impacts!$F$15,IF(('Loading-rail'!$C$21)&lt;&gt;"No control",SUMIF(('Loading-rail'!$B$31:$B$48),$J4021,('Loading-rail'!$E$31:$E$48))*Impacts!$F$15,0)),0)</f>
        <v>0</v>
      </c>
      <c r="T4021" s="10">
        <f>IF(Flare!$C$7="",0,(SUMIF(Flare!$B$46:$B$185,$J4021,Flare!$E$46:$E$185)*Impacts!$F$16))</f>
        <v>0</v>
      </c>
      <c r="U4021" s="10">
        <f>IF(VCU!$C$9="",0,(SUMIF(VCU!$B$51:$B$193,$J4021,VCU!$E$51:$E$193)*Impacts!$F$17))</f>
        <v>0</v>
      </c>
      <c r="V4021" s="10">
        <f>IF(CAS!$C$7="",0,(SUMIF(CAS!$B$31:$B$167,$J4021,CAS!$E$31:$E$167)*Impacts!$F$18))</f>
        <v>0</v>
      </c>
      <c r="W4021" s="10">
        <f t="shared" si="103"/>
        <v>0</v>
      </c>
      <c r="AK4021" s="10" t="str">
        <f t="array" ref="AK4021">IFERROR(INDEX(SelectedSpecies,SMALL(IF(SelectedSpecies=AK$1,ROW(SelectedSpecies)),ROW(4022:4022)),2),"")</f>
        <v/>
      </c>
      <c r="BE4021" s="10"/>
      <c r="BI4021" s="10"/>
    </row>
    <row r="4022" spans="1:61" ht="21" customHeight="1" x14ac:dyDescent="0.25">
      <c r="A4022" s="10"/>
      <c r="B4022" s="10"/>
      <c r="E4022" s="10"/>
      <c r="G4022" s="10"/>
      <c r="I4022" s="436" t="s">
        <v>6974</v>
      </c>
      <c r="J4022" s="26" t="s">
        <v>6973</v>
      </c>
      <c r="K4022" s="10">
        <v>0.5</v>
      </c>
      <c r="L4022" s="73">
        <f>IF(Tank1!$C$23="No control",(SUMIF(Tank1!$B$32:$B$49,$J4022,Tank1!$C$32:$C$49)*Impacts!$F$8),0)</f>
        <v>0</v>
      </c>
      <c r="M4022" s="10">
        <f>IF(Tank2!$C$23="No control",(SUMIF(Tank2!$B$32:$B$49,$J4022,Tank2!$C$32:$C$49)*Impacts!$F$9),0)</f>
        <v>0</v>
      </c>
      <c r="N4022" s="10">
        <f>IF(Tank3!$C$23="No control",(SUMIF(Tank3!$B$32:$B$49,$J4022,Tank3!$C$32:$C$49)*Impacts!$F$10),0)</f>
        <v>0</v>
      </c>
      <c r="O4022" s="10">
        <f>IF(Tank4!$C$23="No control",(SUMIF(Tank4!$B$32:$B$49,$J4022,Tank4!$C$32:$C$49)*Impacts!$F$11),0)</f>
        <v>0</v>
      </c>
      <c r="P4022" s="10">
        <f>IF(Tank5!$C$23="No control",(SUMIF(Tank5!$B$32:$B$49,$J4022,Tank5!$C$32:$C$49)*Impacts!$F$12),0)</f>
        <v>0</v>
      </c>
      <c r="Q4022" s="10">
        <f>IFERROR(IF(('Loading-drum,tote'!$C$21)="No control",SUMIF(('Loading-drum,tote'!$B$31:$B$48),$J4022,('Loading-drum,tote'!$D$31:$D$48))*Impacts!$F$13,IF(('Loading-drum,tote'!$C$21)&lt;&gt;"No control",SUMIF(('Loading-drum,tote'!$B$31:$B$48),$J4022,('Loading-drum,tote'!$E$31:$E$48))*Impacts!$F$13,0)),0)</f>
        <v>0</v>
      </c>
      <c r="R4022" s="10">
        <f>IFERROR(IF(('Loading-truck'!$C$21)="No control",SUMIF(('Loading-truck'!$B$31:$B$48),$J4022,('Loading-truck'!$D$31:$D$48))*Impacts!$F$14,IF(('Loading-truck'!$C$21)&lt;&gt;"No control",SUMIF(('Loading-truck'!$B$31:$B$48),$J4022,('Loading-truck'!$E$31:$E$48))*Impacts!$F$14,0)),0)</f>
        <v>0</v>
      </c>
      <c r="S4022" s="10">
        <f>IFERROR(IF(('Loading-rail'!$C$21)="No control",SUMIF(('Loading-rail'!$B$31:$B$48),$J4022,('Loading-rail'!$D$31:$D$48))*Impacts!$F$15,IF(('Loading-rail'!$C$21)&lt;&gt;"No control",SUMIF(('Loading-rail'!$B$31:$B$48),$J4022,('Loading-rail'!$E$31:$E$48))*Impacts!$F$15,0)),0)</f>
        <v>0</v>
      </c>
      <c r="T4022" s="10">
        <f>IF(Flare!$C$7="",0,(SUMIF(Flare!$B$46:$B$185,$J4022,Flare!$E$46:$E$185)*Impacts!$F$16))</f>
        <v>0</v>
      </c>
      <c r="U4022" s="10">
        <f>IF(VCU!$C$9="",0,(SUMIF(VCU!$B$51:$B$193,$J4022,VCU!$E$51:$E$193)*Impacts!$F$17))</f>
        <v>0</v>
      </c>
      <c r="V4022" s="10">
        <f>IF(CAS!$C$7="",0,(SUMIF(CAS!$B$31:$B$167,$J4022,CAS!$E$31:$E$167)*Impacts!$F$18))</f>
        <v>0</v>
      </c>
      <c r="W4022" s="10">
        <f t="shared" si="103"/>
        <v>0</v>
      </c>
      <c r="AK4022" s="10" t="str">
        <f t="array" ref="AK4022">IFERROR(INDEX(SelectedSpecies,SMALL(IF(SelectedSpecies=AK$1,ROW(SelectedSpecies)),ROW(4023:4023)),2),"")</f>
        <v/>
      </c>
      <c r="BE4022" s="10"/>
      <c r="BI4022" s="10"/>
    </row>
    <row r="4023" spans="1:61" ht="21" customHeight="1" x14ac:dyDescent="0.25">
      <c r="A4023" s="10"/>
      <c r="B4023" s="10"/>
      <c r="E4023" s="10"/>
      <c r="G4023" s="10"/>
      <c r="I4023" s="436" t="s">
        <v>5043</v>
      </c>
      <c r="J4023" s="26" t="s">
        <v>5042</v>
      </c>
      <c r="K4023" s="10">
        <v>2.4000000000000004</v>
      </c>
      <c r="L4023" s="73">
        <f>IF(Tank1!$C$23="No control",(SUMIF(Tank1!$B$32:$B$49,$J4023,Tank1!$C$32:$C$49)*Impacts!$F$8),0)</f>
        <v>0</v>
      </c>
      <c r="M4023" s="10">
        <f>IF(Tank2!$C$23="No control",(SUMIF(Tank2!$B$32:$B$49,$J4023,Tank2!$C$32:$C$49)*Impacts!$F$9),0)</f>
        <v>0</v>
      </c>
      <c r="N4023" s="10">
        <f>IF(Tank3!$C$23="No control",(SUMIF(Tank3!$B$32:$B$49,$J4023,Tank3!$C$32:$C$49)*Impacts!$F$10),0)</f>
        <v>0</v>
      </c>
      <c r="O4023" s="10">
        <f>IF(Tank4!$C$23="No control",(SUMIF(Tank4!$B$32:$B$49,$J4023,Tank4!$C$32:$C$49)*Impacts!$F$11),0)</f>
        <v>0</v>
      </c>
      <c r="P4023" s="10">
        <f>IF(Tank5!$C$23="No control",(SUMIF(Tank5!$B$32:$B$49,$J4023,Tank5!$C$32:$C$49)*Impacts!$F$12),0)</f>
        <v>0</v>
      </c>
      <c r="Q4023" s="10">
        <f>IFERROR(IF(('Loading-drum,tote'!$C$21)="No control",SUMIF(('Loading-drum,tote'!$B$31:$B$48),$J4023,('Loading-drum,tote'!$D$31:$D$48))*Impacts!$F$13,IF(('Loading-drum,tote'!$C$21)&lt;&gt;"No control",SUMIF(('Loading-drum,tote'!$B$31:$B$48),$J4023,('Loading-drum,tote'!$E$31:$E$48))*Impacts!$F$13,0)),0)</f>
        <v>0</v>
      </c>
      <c r="R4023" s="10">
        <f>IFERROR(IF(('Loading-truck'!$C$21)="No control",SUMIF(('Loading-truck'!$B$31:$B$48),$J4023,('Loading-truck'!$D$31:$D$48))*Impacts!$F$14,IF(('Loading-truck'!$C$21)&lt;&gt;"No control",SUMIF(('Loading-truck'!$B$31:$B$48),$J4023,('Loading-truck'!$E$31:$E$48))*Impacts!$F$14,0)),0)</f>
        <v>0</v>
      </c>
      <c r="S4023" s="10">
        <f>IFERROR(IF(('Loading-rail'!$C$21)="No control",SUMIF(('Loading-rail'!$B$31:$B$48),$J4023,('Loading-rail'!$D$31:$D$48))*Impacts!$F$15,IF(('Loading-rail'!$C$21)&lt;&gt;"No control",SUMIF(('Loading-rail'!$B$31:$B$48),$J4023,('Loading-rail'!$E$31:$E$48))*Impacts!$F$15,0)),0)</f>
        <v>0</v>
      </c>
      <c r="T4023" s="10">
        <f>IF(Flare!$C$7="",0,(SUMIF(Flare!$B$46:$B$185,$J4023,Flare!$E$46:$E$185)*Impacts!$F$16))</f>
        <v>0</v>
      </c>
      <c r="U4023" s="10">
        <f>IF(VCU!$C$9="",0,(SUMIF(VCU!$B$51:$B$193,$J4023,VCU!$E$51:$E$193)*Impacts!$F$17))</f>
        <v>0</v>
      </c>
      <c r="V4023" s="10">
        <f>IF(CAS!$C$7="",0,(SUMIF(CAS!$B$31:$B$167,$J4023,CAS!$E$31:$E$167)*Impacts!$F$18))</f>
        <v>0</v>
      </c>
      <c r="W4023" s="10">
        <f t="shared" si="103"/>
        <v>0</v>
      </c>
      <c r="AK4023" s="10" t="str">
        <f t="array" ref="AK4023">IFERROR(INDEX(SelectedSpecies,SMALL(IF(SelectedSpecies=AK$1,ROW(SelectedSpecies)),ROW(4024:4024)),2),"")</f>
        <v/>
      </c>
      <c r="BE4023" s="10"/>
      <c r="BI4023" s="10"/>
    </row>
    <row r="4024" spans="1:61" ht="21" customHeight="1" x14ac:dyDescent="0.25">
      <c r="A4024" s="10"/>
      <c r="B4024" s="10"/>
      <c r="E4024" s="10"/>
      <c r="G4024" s="10"/>
      <c r="I4024" s="436" t="s">
        <v>5583</v>
      </c>
      <c r="J4024" s="26" t="s">
        <v>5582</v>
      </c>
      <c r="K4024" s="10">
        <v>1.2000000000000002</v>
      </c>
      <c r="L4024" s="73">
        <f>IF(Tank1!$C$23="No control",(SUMIF(Tank1!$B$32:$B$49,$J4024,Tank1!$C$32:$C$49)*Impacts!$F$8),0)</f>
        <v>0</v>
      </c>
      <c r="M4024" s="10">
        <f>IF(Tank2!$C$23="No control",(SUMIF(Tank2!$B$32:$B$49,$J4024,Tank2!$C$32:$C$49)*Impacts!$F$9),0)</f>
        <v>0</v>
      </c>
      <c r="N4024" s="10">
        <f>IF(Tank3!$C$23="No control",(SUMIF(Tank3!$B$32:$B$49,$J4024,Tank3!$C$32:$C$49)*Impacts!$F$10),0)</f>
        <v>0</v>
      </c>
      <c r="O4024" s="10">
        <f>IF(Tank4!$C$23="No control",(SUMIF(Tank4!$B$32:$B$49,$J4024,Tank4!$C$32:$C$49)*Impacts!$F$11),0)</f>
        <v>0</v>
      </c>
      <c r="P4024" s="10">
        <f>IF(Tank5!$C$23="No control",(SUMIF(Tank5!$B$32:$B$49,$J4024,Tank5!$C$32:$C$49)*Impacts!$F$12),0)</f>
        <v>0</v>
      </c>
      <c r="Q4024" s="10">
        <f>IFERROR(IF(('Loading-drum,tote'!$C$21)="No control",SUMIF(('Loading-drum,tote'!$B$31:$B$48),$J4024,('Loading-drum,tote'!$D$31:$D$48))*Impacts!$F$13,IF(('Loading-drum,tote'!$C$21)&lt;&gt;"No control",SUMIF(('Loading-drum,tote'!$B$31:$B$48),$J4024,('Loading-drum,tote'!$E$31:$E$48))*Impacts!$F$13,0)),0)</f>
        <v>0</v>
      </c>
      <c r="R4024" s="10">
        <f>IFERROR(IF(('Loading-truck'!$C$21)="No control",SUMIF(('Loading-truck'!$B$31:$B$48),$J4024,('Loading-truck'!$D$31:$D$48))*Impacts!$F$14,IF(('Loading-truck'!$C$21)&lt;&gt;"No control",SUMIF(('Loading-truck'!$B$31:$B$48),$J4024,('Loading-truck'!$E$31:$E$48))*Impacts!$F$14,0)),0)</f>
        <v>0</v>
      </c>
      <c r="S4024" s="10">
        <f>IFERROR(IF(('Loading-rail'!$C$21)="No control",SUMIF(('Loading-rail'!$B$31:$B$48),$J4024,('Loading-rail'!$D$31:$D$48))*Impacts!$F$15,IF(('Loading-rail'!$C$21)&lt;&gt;"No control",SUMIF(('Loading-rail'!$B$31:$B$48),$J4024,('Loading-rail'!$E$31:$E$48))*Impacts!$F$15,0)),0)</f>
        <v>0</v>
      </c>
      <c r="T4024" s="10">
        <f>IF(Flare!$C$7="",0,(SUMIF(Flare!$B$46:$B$185,$J4024,Flare!$E$46:$E$185)*Impacts!$F$16))</f>
        <v>0</v>
      </c>
      <c r="U4024" s="10">
        <f>IF(VCU!$C$9="",0,(SUMIF(VCU!$B$51:$B$193,$J4024,VCU!$E$51:$E$193)*Impacts!$F$17))</f>
        <v>0</v>
      </c>
      <c r="V4024" s="10">
        <f>IF(CAS!$C$7="",0,(SUMIF(CAS!$B$31:$B$167,$J4024,CAS!$E$31:$E$167)*Impacts!$F$18))</f>
        <v>0</v>
      </c>
      <c r="W4024" s="10">
        <f t="shared" si="103"/>
        <v>0</v>
      </c>
      <c r="AK4024" s="10" t="str">
        <f t="array" ref="AK4024">IFERROR(INDEX(SelectedSpecies,SMALL(IF(SelectedSpecies=AK$1,ROW(SelectedSpecies)),ROW(4025:4025)),2),"")</f>
        <v/>
      </c>
      <c r="BE4024" s="10"/>
      <c r="BI4024" s="10"/>
    </row>
    <row r="4025" spans="1:61" ht="21" customHeight="1" x14ac:dyDescent="0.25">
      <c r="A4025" s="10"/>
      <c r="B4025" s="10"/>
      <c r="E4025" s="10"/>
      <c r="G4025" s="10"/>
      <c r="I4025" s="436" t="s">
        <v>6212</v>
      </c>
      <c r="J4025" s="26" t="s">
        <v>6211</v>
      </c>
      <c r="K4025" s="10">
        <v>1</v>
      </c>
      <c r="L4025" s="73">
        <f>IF(Tank1!$C$23="No control",(SUMIF(Tank1!$B$32:$B$49,$J4025,Tank1!$C$32:$C$49)*Impacts!$F$8),0)</f>
        <v>0</v>
      </c>
      <c r="M4025" s="10">
        <f>IF(Tank2!$C$23="No control",(SUMIF(Tank2!$B$32:$B$49,$J4025,Tank2!$C$32:$C$49)*Impacts!$F$9),0)</f>
        <v>0</v>
      </c>
      <c r="N4025" s="10">
        <f>IF(Tank3!$C$23="No control",(SUMIF(Tank3!$B$32:$B$49,$J4025,Tank3!$C$32:$C$49)*Impacts!$F$10),0)</f>
        <v>0</v>
      </c>
      <c r="O4025" s="10">
        <f>IF(Tank4!$C$23="No control",(SUMIF(Tank4!$B$32:$B$49,$J4025,Tank4!$C$32:$C$49)*Impacts!$F$11),0)</f>
        <v>0</v>
      </c>
      <c r="P4025" s="10">
        <f>IF(Tank5!$C$23="No control",(SUMIF(Tank5!$B$32:$B$49,$J4025,Tank5!$C$32:$C$49)*Impacts!$F$12),0)</f>
        <v>0</v>
      </c>
      <c r="Q4025" s="10">
        <f>IFERROR(IF(('Loading-drum,tote'!$C$21)="No control",SUMIF(('Loading-drum,tote'!$B$31:$B$48),$J4025,('Loading-drum,tote'!$D$31:$D$48))*Impacts!$F$13,IF(('Loading-drum,tote'!$C$21)&lt;&gt;"No control",SUMIF(('Loading-drum,tote'!$B$31:$B$48),$J4025,('Loading-drum,tote'!$E$31:$E$48))*Impacts!$F$13,0)),0)</f>
        <v>0</v>
      </c>
      <c r="R4025" s="10">
        <f>IFERROR(IF(('Loading-truck'!$C$21)="No control",SUMIF(('Loading-truck'!$B$31:$B$48),$J4025,('Loading-truck'!$D$31:$D$48))*Impacts!$F$14,IF(('Loading-truck'!$C$21)&lt;&gt;"No control",SUMIF(('Loading-truck'!$B$31:$B$48),$J4025,('Loading-truck'!$E$31:$E$48))*Impacts!$F$14,0)),0)</f>
        <v>0</v>
      </c>
      <c r="S4025" s="10">
        <f>IFERROR(IF(('Loading-rail'!$C$21)="No control",SUMIF(('Loading-rail'!$B$31:$B$48),$J4025,('Loading-rail'!$D$31:$D$48))*Impacts!$F$15,IF(('Loading-rail'!$C$21)&lt;&gt;"No control",SUMIF(('Loading-rail'!$B$31:$B$48),$J4025,('Loading-rail'!$E$31:$E$48))*Impacts!$F$15,0)),0)</f>
        <v>0</v>
      </c>
      <c r="T4025" s="10">
        <f>IF(Flare!$C$7="",0,(SUMIF(Flare!$B$46:$B$185,$J4025,Flare!$E$46:$E$185)*Impacts!$F$16))</f>
        <v>0</v>
      </c>
      <c r="U4025" s="10">
        <f>IF(VCU!$C$9="",0,(SUMIF(VCU!$B$51:$B$193,$J4025,VCU!$E$51:$E$193)*Impacts!$F$17))</f>
        <v>0</v>
      </c>
      <c r="V4025" s="10">
        <f>IF(CAS!$C$7="",0,(SUMIF(CAS!$B$31:$B$167,$J4025,CAS!$E$31:$E$167)*Impacts!$F$18))</f>
        <v>0</v>
      </c>
      <c r="W4025" s="10">
        <f t="shared" si="103"/>
        <v>0</v>
      </c>
      <c r="AK4025" s="10" t="str">
        <f t="array" ref="AK4025">IFERROR(INDEX(SelectedSpecies,SMALL(IF(SelectedSpecies=AK$1,ROW(SelectedSpecies)),ROW(4026:4026)),2),"")</f>
        <v/>
      </c>
      <c r="BE4025" s="10"/>
      <c r="BI4025" s="10"/>
    </row>
    <row r="4026" spans="1:61" ht="21" customHeight="1" x14ac:dyDescent="0.25">
      <c r="A4026" s="10"/>
      <c r="B4026" s="10"/>
      <c r="E4026" s="10"/>
      <c r="G4026" s="10"/>
      <c r="I4026" s="436" t="s">
        <v>6976</v>
      </c>
      <c r="J4026" s="26" t="s">
        <v>6975</v>
      </c>
      <c r="K4026" s="10">
        <v>0.5</v>
      </c>
      <c r="L4026" s="73">
        <f>IF(Tank1!$C$23="No control",(SUMIF(Tank1!$B$32:$B$49,$J4026,Tank1!$C$32:$C$49)*Impacts!$F$8),0)</f>
        <v>0</v>
      </c>
      <c r="M4026" s="10">
        <f>IF(Tank2!$C$23="No control",(SUMIF(Tank2!$B$32:$B$49,$J4026,Tank2!$C$32:$C$49)*Impacts!$F$9),0)</f>
        <v>0</v>
      </c>
      <c r="N4026" s="10">
        <f>IF(Tank3!$C$23="No control",(SUMIF(Tank3!$B$32:$B$49,$J4026,Tank3!$C$32:$C$49)*Impacts!$F$10),0)</f>
        <v>0</v>
      </c>
      <c r="O4026" s="10">
        <f>IF(Tank4!$C$23="No control",(SUMIF(Tank4!$B$32:$B$49,$J4026,Tank4!$C$32:$C$49)*Impacts!$F$11),0)</f>
        <v>0</v>
      </c>
      <c r="P4026" s="10">
        <f>IF(Tank5!$C$23="No control",(SUMIF(Tank5!$B$32:$B$49,$J4026,Tank5!$C$32:$C$49)*Impacts!$F$12),0)</f>
        <v>0</v>
      </c>
      <c r="Q4026" s="10">
        <f>IFERROR(IF(('Loading-drum,tote'!$C$21)="No control",SUMIF(('Loading-drum,tote'!$B$31:$B$48),$J4026,('Loading-drum,tote'!$D$31:$D$48))*Impacts!$F$13,IF(('Loading-drum,tote'!$C$21)&lt;&gt;"No control",SUMIF(('Loading-drum,tote'!$B$31:$B$48),$J4026,('Loading-drum,tote'!$E$31:$E$48))*Impacts!$F$13,0)),0)</f>
        <v>0</v>
      </c>
      <c r="R4026" s="10">
        <f>IFERROR(IF(('Loading-truck'!$C$21)="No control",SUMIF(('Loading-truck'!$B$31:$B$48),$J4026,('Loading-truck'!$D$31:$D$48))*Impacts!$F$14,IF(('Loading-truck'!$C$21)&lt;&gt;"No control",SUMIF(('Loading-truck'!$B$31:$B$48),$J4026,('Loading-truck'!$E$31:$E$48))*Impacts!$F$14,0)),0)</f>
        <v>0</v>
      </c>
      <c r="S4026" s="10">
        <f>IFERROR(IF(('Loading-rail'!$C$21)="No control",SUMIF(('Loading-rail'!$B$31:$B$48),$J4026,('Loading-rail'!$D$31:$D$48))*Impacts!$F$15,IF(('Loading-rail'!$C$21)&lt;&gt;"No control",SUMIF(('Loading-rail'!$B$31:$B$48),$J4026,('Loading-rail'!$E$31:$E$48))*Impacts!$F$15,0)),0)</f>
        <v>0</v>
      </c>
      <c r="T4026" s="10">
        <f>IF(Flare!$C$7="",0,(SUMIF(Flare!$B$46:$B$185,$J4026,Flare!$E$46:$E$185)*Impacts!$F$16))</f>
        <v>0</v>
      </c>
      <c r="U4026" s="10">
        <f>IF(VCU!$C$9="",0,(SUMIF(VCU!$B$51:$B$193,$J4026,VCU!$E$51:$E$193)*Impacts!$F$17))</f>
        <v>0</v>
      </c>
      <c r="V4026" s="10">
        <f>IF(CAS!$C$7="",0,(SUMIF(CAS!$B$31:$B$167,$J4026,CAS!$E$31:$E$167)*Impacts!$F$18))</f>
        <v>0</v>
      </c>
      <c r="W4026" s="10">
        <f t="shared" si="103"/>
        <v>0</v>
      </c>
      <c r="AK4026" s="10" t="str">
        <f t="array" ref="AK4026">IFERROR(INDEX(SelectedSpecies,SMALL(IF(SelectedSpecies=AK$1,ROW(SelectedSpecies)),ROW(4027:4027)),2),"")</f>
        <v/>
      </c>
      <c r="BE4026" s="10"/>
      <c r="BI4026" s="10"/>
    </row>
    <row r="4027" spans="1:61" ht="21" customHeight="1" x14ac:dyDescent="0.25">
      <c r="A4027" s="10"/>
      <c r="B4027" s="10"/>
      <c r="E4027" s="10"/>
      <c r="G4027" s="10"/>
      <c r="I4027" s="436" t="s">
        <v>3897</v>
      </c>
      <c r="J4027" s="26" t="s">
        <v>3896</v>
      </c>
      <c r="K4027" s="10">
        <v>6</v>
      </c>
      <c r="L4027" s="73">
        <f>IF(Tank1!$C$23="No control",(SUMIF(Tank1!$B$32:$B$49,$J4027,Tank1!$C$32:$C$49)*Impacts!$F$8),0)</f>
        <v>0</v>
      </c>
      <c r="M4027" s="10">
        <f>IF(Tank2!$C$23="No control",(SUMIF(Tank2!$B$32:$B$49,$J4027,Tank2!$C$32:$C$49)*Impacts!$F$9),0)</f>
        <v>0</v>
      </c>
      <c r="N4027" s="10">
        <f>IF(Tank3!$C$23="No control",(SUMIF(Tank3!$B$32:$B$49,$J4027,Tank3!$C$32:$C$49)*Impacts!$F$10),0)</f>
        <v>0</v>
      </c>
      <c r="O4027" s="10">
        <f>IF(Tank4!$C$23="No control",(SUMIF(Tank4!$B$32:$B$49,$J4027,Tank4!$C$32:$C$49)*Impacts!$F$11),0)</f>
        <v>0</v>
      </c>
      <c r="P4027" s="10">
        <f>IF(Tank5!$C$23="No control",(SUMIF(Tank5!$B$32:$B$49,$J4027,Tank5!$C$32:$C$49)*Impacts!$F$12),0)</f>
        <v>0</v>
      </c>
      <c r="Q4027" s="10">
        <f>IFERROR(IF(('Loading-drum,tote'!$C$21)="No control",SUMIF(('Loading-drum,tote'!$B$31:$B$48),$J4027,('Loading-drum,tote'!$D$31:$D$48))*Impacts!$F$13,IF(('Loading-drum,tote'!$C$21)&lt;&gt;"No control",SUMIF(('Loading-drum,tote'!$B$31:$B$48),$J4027,('Loading-drum,tote'!$E$31:$E$48))*Impacts!$F$13,0)),0)</f>
        <v>0</v>
      </c>
      <c r="R4027" s="10">
        <f>IFERROR(IF(('Loading-truck'!$C$21)="No control",SUMIF(('Loading-truck'!$B$31:$B$48),$J4027,('Loading-truck'!$D$31:$D$48))*Impacts!$F$14,IF(('Loading-truck'!$C$21)&lt;&gt;"No control",SUMIF(('Loading-truck'!$B$31:$B$48),$J4027,('Loading-truck'!$E$31:$E$48))*Impacts!$F$14,0)),0)</f>
        <v>0</v>
      </c>
      <c r="S4027" s="10">
        <f>IFERROR(IF(('Loading-rail'!$C$21)="No control",SUMIF(('Loading-rail'!$B$31:$B$48),$J4027,('Loading-rail'!$D$31:$D$48))*Impacts!$F$15,IF(('Loading-rail'!$C$21)&lt;&gt;"No control",SUMIF(('Loading-rail'!$B$31:$B$48),$J4027,('Loading-rail'!$E$31:$E$48))*Impacts!$F$15,0)),0)</f>
        <v>0</v>
      </c>
      <c r="T4027" s="10">
        <f>IF(Flare!$C$7="",0,(SUMIF(Flare!$B$46:$B$185,$J4027,Flare!$E$46:$E$185)*Impacts!$F$16))</f>
        <v>0</v>
      </c>
      <c r="U4027" s="10">
        <f>IF(VCU!$C$9="",0,(SUMIF(VCU!$B$51:$B$193,$J4027,VCU!$E$51:$E$193)*Impacts!$F$17))</f>
        <v>0</v>
      </c>
      <c r="V4027" s="10">
        <f>IF(CAS!$C$7="",0,(SUMIF(CAS!$B$31:$B$167,$J4027,CAS!$E$31:$E$167)*Impacts!$F$18))</f>
        <v>0</v>
      </c>
      <c r="W4027" s="10">
        <f t="shared" si="103"/>
        <v>0</v>
      </c>
      <c r="AK4027" s="10" t="str">
        <f t="array" ref="AK4027">IFERROR(INDEX(SelectedSpecies,SMALL(IF(SelectedSpecies=AK$1,ROW(SelectedSpecies)),ROW(4028:4028)),2),"")</f>
        <v/>
      </c>
      <c r="BE4027" s="10"/>
      <c r="BI4027" s="10"/>
    </row>
    <row r="4028" spans="1:61" ht="21" customHeight="1" x14ac:dyDescent="0.25">
      <c r="A4028" s="10"/>
      <c r="B4028" s="10"/>
      <c r="E4028" s="10"/>
      <c r="G4028" s="10"/>
      <c r="I4028" s="436" t="s">
        <v>6214</v>
      </c>
      <c r="J4028" s="26" t="s">
        <v>6213</v>
      </c>
      <c r="K4028" s="10">
        <v>1</v>
      </c>
      <c r="L4028" s="73">
        <f>IF(Tank1!$C$23="No control",(SUMIF(Tank1!$B$32:$B$49,$J4028,Tank1!$C$32:$C$49)*Impacts!$F$8),0)</f>
        <v>0</v>
      </c>
      <c r="M4028" s="10">
        <f>IF(Tank2!$C$23="No control",(SUMIF(Tank2!$B$32:$B$49,$J4028,Tank2!$C$32:$C$49)*Impacts!$F$9),0)</f>
        <v>0</v>
      </c>
      <c r="N4028" s="10">
        <f>IF(Tank3!$C$23="No control",(SUMIF(Tank3!$B$32:$B$49,$J4028,Tank3!$C$32:$C$49)*Impacts!$F$10),0)</f>
        <v>0</v>
      </c>
      <c r="O4028" s="10">
        <f>IF(Tank4!$C$23="No control",(SUMIF(Tank4!$B$32:$B$49,$J4028,Tank4!$C$32:$C$49)*Impacts!$F$11),0)</f>
        <v>0</v>
      </c>
      <c r="P4028" s="10">
        <f>IF(Tank5!$C$23="No control",(SUMIF(Tank5!$B$32:$B$49,$J4028,Tank5!$C$32:$C$49)*Impacts!$F$12),0)</f>
        <v>0</v>
      </c>
      <c r="Q4028" s="10">
        <f>IFERROR(IF(('Loading-drum,tote'!$C$21)="No control",SUMIF(('Loading-drum,tote'!$B$31:$B$48),$J4028,('Loading-drum,tote'!$D$31:$D$48))*Impacts!$F$13,IF(('Loading-drum,tote'!$C$21)&lt;&gt;"No control",SUMIF(('Loading-drum,tote'!$B$31:$B$48),$J4028,('Loading-drum,tote'!$E$31:$E$48))*Impacts!$F$13,0)),0)</f>
        <v>0</v>
      </c>
      <c r="R4028" s="10">
        <f>IFERROR(IF(('Loading-truck'!$C$21)="No control",SUMIF(('Loading-truck'!$B$31:$B$48),$J4028,('Loading-truck'!$D$31:$D$48))*Impacts!$F$14,IF(('Loading-truck'!$C$21)&lt;&gt;"No control",SUMIF(('Loading-truck'!$B$31:$B$48),$J4028,('Loading-truck'!$E$31:$E$48))*Impacts!$F$14,0)),0)</f>
        <v>0</v>
      </c>
      <c r="S4028" s="10">
        <f>IFERROR(IF(('Loading-rail'!$C$21)="No control",SUMIF(('Loading-rail'!$B$31:$B$48),$J4028,('Loading-rail'!$D$31:$D$48))*Impacts!$F$15,IF(('Loading-rail'!$C$21)&lt;&gt;"No control",SUMIF(('Loading-rail'!$B$31:$B$48),$J4028,('Loading-rail'!$E$31:$E$48))*Impacts!$F$15,0)),0)</f>
        <v>0</v>
      </c>
      <c r="T4028" s="10">
        <f>IF(Flare!$C$7="",0,(SUMIF(Flare!$B$46:$B$185,$J4028,Flare!$E$46:$E$185)*Impacts!$F$16))</f>
        <v>0</v>
      </c>
      <c r="U4028" s="10">
        <f>IF(VCU!$C$9="",0,(SUMIF(VCU!$B$51:$B$193,$J4028,VCU!$E$51:$E$193)*Impacts!$F$17))</f>
        <v>0</v>
      </c>
      <c r="V4028" s="10">
        <f>IF(CAS!$C$7="",0,(SUMIF(CAS!$B$31:$B$167,$J4028,CAS!$E$31:$E$167)*Impacts!$F$18))</f>
        <v>0</v>
      </c>
      <c r="W4028" s="10">
        <f t="shared" si="103"/>
        <v>0</v>
      </c>
      <c r="AK4028" s="10" t="str">
        <f t="array" ref="AK4028">IFERROR(INDEX(SelectedSpecies,SMALL(IF(SelectedSpecies=AK$1,ROW(SelectedSpecies)),ROW(4029:4029)),2),"")</f>
        <v/>
      </c>
      <c r="BE4028" s="10"/>
      <c r="BI4028" s="10"/>
    </row>
    <row r="4029" spans="1:61" ht="21" customHeight="1" x14ac:dyDescent="0.25">
      <c r="A4029" s="10"/>
      <c r="B4029" s="10"/>
      <c r="E4029" s="10"/>
      <c r="G4029" s="10"/>
      <c r="I4029" s="436" t="s">
        <v>1985</v>
      </c>
      <c r="J4029" s="26" t="s">
        <v>1984</v>
      </c>
      <c r="K4029" s="10">
        <v>18</v>
      </c>
      <c r="L4029" s="73">
        <f>IF(Tank1!$C$23="No control",(SUMIF(Tank1!$B$32:$B$49,$J4029,Tank1!$C$32:$C$49)*Impacts!$F$8),0)</f>
        <v>0</v>
      </c>
      <c r="M4029" s="10">
        <f>IF(Tank2!$C$23="No control",(SUMIF(Tank2!$B$32:$B$49,$J4029,Tank2!$C$32:$C$49)*Impacts!$F$9),0)</f>
        <v>0</v>
      </c>
      <c r="N4029" s="10">
        <f>IF(Tank3!$C$23="No control",(SUMIF(Tank3!$B$32:$B$49,$J4029,Tank3!$C$32:$C$49)*Impacts!$F$10),0)</f>
        <v>0</v>
      </c>
      <c r="O4029" s="10">
        <f>IF(Tank4!$C$23="No control",(SUMIF(Tank4!$B$32:$B$49,$J4029,Tank4!$C$32:$C$49)*Impacts!$F$11),0)</f>
        <v>0</v>
      </c>
      <c r="P4029" s="10">
        <f>IF(Tank5!$C$23="No control",(SUMIF(Tank5!$B$32:$B$49,$J4029,Tank5!$C$32:$C$49)*Impacts!$F$12),0)</f>
        <v>0</v>
      </c>
      <c r="Q4029" s="10">
        <f>IFERROR(IF(('Loading-drum,tote'!$C$21)="No control",SUMIF(('Loading-drum,tote'!$B$31:$B$48),$J4029,('Loading-drum,tote'!$D$31:$D$48))*Impacts!$F$13,IF(('Loading-drum,tote'!$C$21)&lt;&gt;"No control",SUMIF(('Loading-drum,tote'!$B$31:$B$48),$J4029,('Loading-drum,tote'!$E$31:$E$48))*Impacts!$F$13,0)),0)</f>
        <v>0</v>
      </c>
      <c r="R4029" s="10">
        <f>IFERROR(IF(('Loading-truck'!$C$21)="No control",SUMIF(('Loading-truck'!$B$31:$B$48),$J4029,('Loading-truck'!$D$31:$D$48))*Impacts!$F$14,IF(('Loading-truck'!$C$21)&lt;&gt;"No control",SUMIF(('Loading-truck'!$B$31:$B$48),$J4029,('Loading-truck'!$E$31:$E$48))*Impacts!$F$14,0)),0)</f>
        <v>0</v>
      </c>
      <c r="S4029" s="10">
        <f>IFERROR(IF(('Loading-rail'!$C$21)="No control",SUMIF(('Loading-rail'!$B$31:$B$48),$J4029,('Loading-rail'!$D$31:$D$48))*Impacts!$F$15,IF(('Loading-rail'!$C$21)&lt;&gt;"No control",SUMIF(('Loading-rail'!$B$31:$B$48),$J4029,('Loading-rail'!$E$31:$E$48))*Impacts!$F$15,0)),0)</f>
        <v>0</v>
      </c>
      <c r="T4029" s="10">
        <f>IF(Flare!$C$7="",0,(SUMIF(Flare!$B$46:$B$185,$J4029,Flare!$E$46:$E$185)*Impacts!$F$16))</f>
        <v>0</v>
      </c>
      <c r="U4029" s="10">
        <f>IF(VCU!$C$9="",0,(SUMIF(VCU!$B$51:$B$193,$J4029,VCU!$E$51:$E$193)*Impacts!$F$17))</f>
        <v>0</v>
      </c>
      <c r="V4029" s="10">
        <f>IF(CAS!$C$7="",0,(SUMIF(CAS!$B$31:$B$167,$J4029,CAS!$E$31:$E$167)*Impacts!$F$18))</f>
        <v>0</v>
      </c>
      <c r="W4029" s="10">
        <f t="shared" si="103"/>
        <v>0</v>
      </c>
      <c r="AK4029" s="10" t="str">
        <f t="array" ref="AK4029">IFERROR(INDEX(SelectedSpecies,SMALL(IF(SelectedSpecies=AK$1,ROW(SelectedSpecies)),ROW(4030:4030)),2),"")</f>
        <v/>
      </c>
      <c r="BE4029" s="10"/>
      <c r="BI4029" s="10"/>
    </row>
    <row r="4030" spans="1:61" ht="21" customHeight="1" x14ac:dyDescent="0.25">
      <c r="A4030" s="10"/>
      <c r="B4030" s="10"/>
      <c r="E4030" s="10"/>
      <c r="G4030" s="10"/>
      <c r="I4030" s="436" t="s">
        <v>6216</v>
      </c>
      <c r="J4030" s="26" t="s">
        <v>6215</v>
      </c>
      <c r="K4030" s="10">
        <v>1</v>
      </c>
      <c r="L4030" s="73">
        <f>IF(Tank1!$C$23="No control",(SUMIF(Tank1!$B$32:$B$49,$J4030,Tank1!$C$32:$C$49)*Impacts!$F$8),0)</f>
        <v>0</v>
      </c>
      <c r="M4030" s="10">
        <f>IF(Tank2!$C$23="No control",(SUMIF(Tank2!$B$32:$B$49,$J4030,Tank2!$C$32:$C$49)*Impacts!$F$9),0)</f>
        <v>0</v>
      </c>
      <c r="N4030" s="10">
        <f>IF(Tank3!$C$23="No control",(SUMIF(Tank3!$B$32:$B$49,$J4030,Tank3!$C$32:$C$49)*Impacts!$F$10),0)</f>
        <v>0</v>
      </c>
      <c r="O4030" s="10">
        <f>IF(Tank4!$C$23="No control",(SUMIF(Tank4!$B$32:$B$49,$J4030,Tank4!$C$32:$C$49)*Impacts!$F$11),0)</f>
        <v>0</v>
      </c>
      <c r="P4030" s="10">
        <f>IF(Tank5!$C$23="No control",(SUMIF(Tank5!$B$32:$B$49,$J4030,Tank5!$C$32:$C$49)*Impacts!$F$12),0)</f>
        <v>0</v>
      </c>
      <c r="Q4030" s="10">
        <f>IFERROR(IF(('Loading-drum,tote'!$C$21)="No control",SUMIF(('Loading-drum,tote'!$B$31:$B$48),$J4030,('Loading-drum,tote'!$D$31:$D$48))*Impacts!$F$13,IF(('Loading-drum,tote'!$C$21)&lt;&gt;"No control",SUMIF(('Loading-drum,tote'!$B$31:$B$48),$J4030,('Loading-drum,tote'!$E$31:$E$48))*Impacts!$F$13,0)),0)</f>
        <v>0</v>
      </c>
      <c r="R4030" s="10">
        <f>IFERROR(IF(('Loading-truck'!$C$21)="No control",SUMIF(('Loading-truck'!$B$31:$B$48),$J4030,('Loading-truck'!$D$31:$D$48))*Impacts!$F$14,IF(('Loading-truck'!$C$21)&lt;&gt;"No control",SUMIF(('Loading-truck'!$B$31:$B$48),$J4030,('Loading-truck'!$E$31:$E$48))*Impacts!$F$14,0)),0)</f>
        <v>0</v>
      </c>
      <c r="S4030" s="10">
        <f>IFERROR(IF(('Loading-rail'!$C$21)="No control",SUMIF(('Loading-rail'!$B$31:$B$48),$J4030,('Loading-rail'!$D$31:$D$48))*Impacts!$F$15,IF(('Loading-rail'!$C$21)&lt;&gt;"No control",SUMIF(('Loading-rail'!$B$31:$B$48),$J4030,('Loading-rail'!$E$31:$E$48))*Impacts!$F$15,0)),0)</f>
        <v>0</v>
      </c>
      <c r="T4030" s="10">
        <f>IF(Flare!$C$7="",0,(SUMIF(Flare!$B$46:$B$185,$J4030,Flare!$E$46:$E$185)*Impacts!$F$16))</f>
        <v>0</v>
      </c>
      <c r="U4030" s="10">
        <f>IF(VCU!$C$9="",0,(SUMIF(VCU!$B$51:$B$193,$J4030,VCU!$E$51:$E$193)*Impacts!$F$17))</f>
        <v>0</v>
      </c>
      <c r="V4030" s="10">
        <f>IF(CAS!$C$7="",0,(SUMIF(CAS!$B$31:$B$167,$J4030,CAS!$E$31:$E$167)*Impacts!$F$18))</f>
        <v>0</v>
      </c>
      <c r="W4030" s="10">
        <f t="shared" si="103"/>
        <v>0</v>
      </c>
      <c r="AK4030" s="10" t="str">
        <f t="array" ref="AK4030">IFERROR(INDEX(SelectedSpecies,SMALL(IF(SelectedSpecies=AK$1,ROW(SelectedSpecies)),ROW(4031:4031)),2),"")</f>
        <v/>
      </c>
      <c r="BE4030" s="10"/>
      <c r="BI4030" s="10"/>
    </row>
    <row r="4031" spans="1:61" ht="21" customHeight="1" x14ac:dyDescent="0.25">
      <c r="A4031" s="10"/>
      <c r="B4031" s="10"/>
      <c r="E4031" s="10"/>
      <c r="G4031" s="10"/>
      <c r="I4031" s="436" t="s">
        <v>6218</v>
      </c>
      <c r="J4031" s="26" t="s">
        <v>6217</v>
      </c>
      <c r="K4031" s="10">
        <v>1</v>
      </c>
      <c r="L4031" s="73">
        <f>IF(Tank1!$C$23="No control",(SUMIF(Tank1!$B$32:$B$49,$J4031,Tank1!$C$32:$C$49)*Impacts!$F$8),0)</f>
        <v>0</v>
      </c>
      <c r="M4031" s="10">
        <f>IF(Tank2!$C$23="No control",(SUMIF(Tank2!$B$32:$B$49,$J4031,Tank2!$C$32:$C$49)*Impacts!$F$9),0)</f>
        <v>0</v>
      </c>
      <c r="N4031" s="10">
        <f>IF(Tank3!$C$23="No control",(SUMIF(Tank3!$B$32:$B$49,$J4031,Tank3!$C$32:$C$49)*Impacts!$F$10),0)</f>
        <v>0</v>
      </c>
      <c r="O4031" s="10">
        <f>IF(Tank4!$C$23="No control",(SUMIF(Tank4!$B$32:$B$49,$J4031,Tank4!$C$32:$C$49)*Impacts!$F$11),0)</f>
        <v>0</v>
      </c>
      <c r="P4031" s="10">
        <f>IF(Tank5!$C$23="No control",(SUMIF(Tank5!$B$32:$B$49,$J4031,Tank5!$C$32:$C$49)*Impacts!$F$12),0)</f>
        <v>0</v>
      </c>
      <c r="Q4031" s="10">
        <f>IFERROR(IF(('Loading-drum,tote'!$C$21)="No control",SUMIF(('Loading-drum,tote'!$B$31:$B$48),$J4031,('Loading-drum,tote'!$D$31:$D$48))*Impacts!$F$13,IF(('Loading-drum,tote'!$C$21)&lt;&gt;"No control",SUMIF(('Loading-drum,tote'!$B$31:$B$48),$J4031,('Loading-drum,tote'!$E$31:$E$48))*Impacts!$F$13,0)),0)</f>
        <v>0</v>
      </c>
      <c r="R4031" s="10">
        <f>IFERROR(IF(('Loading-truck'!$C$21)="No control",SUMIF(('Loading-truck'!$B$31:$B$48),$J4031,('Loading-truck'!$D$31:$D$48))*Impacts!$F$14,IF(('Loading-truck'!$C$21)&lt;&gt;"No control",SUMIF(('Loading-truck'!$B$31:$B$48),$J4031,('Loading-truck'!$E$31:$E$48))*Impacts!$F$14,0)),0)</f>
        <v>0</v>
      </c>
      <c r="S4031" s="10">
        <f>IFERROR(IF(('Loading-rail'!$C$21)="No control",SUMIF(('Loading-rail'!$B$31:$B$48),$J4031,('Loading-rail'!$D$31:$D$48))*Impacts!$F$15,IF(('Loading-rail'!$C$21)&lt;&gt;"No control",SUMIF(('Loading-rail'!$B$31:$B$48),$J4031,('Loading-rail'!$E$31:$E$48))*Impacts!$F$15,0)),0)</f>
        <v>0</v>
      </c>
      <c r="T4031" s="10">
        <f>IF(Flare!$C$7="",0,(SUMIF(Flare!$B$46:$B$185,$J4031,Flare!$E$46:$E$185)*Impacts!$F$16))</f>
        <v>0</v>
      </c>
      <c r="U4031" s="10">
        <f>IF(VCU!$C$9="",0,(SUMIF(VCU!$B$51:$B$193,$J4031,VCU!$E$51:$E$193)*Impacts!$F$17))</f>
        <v>0</v>
      </c>
      <c r="V4031" s="10">
        <f>IF(CAS!$C$7="",0,(SUMIF(CAS!$B$31:$B$167,$J4031,CAS!$E$31:$E$167)*Impacts!$F$18))</f>
        <v>0</v>
      </c>
      <c r="W4031" s="10">
        <f t="shared" si="103"/>
        <v>0</v>
      </c>
      <c r="AK4031" s="10" t="str">
        <f t="array" ref="AK4031">IFERROR(INDEX(SelectedSpecies,SMALL(IF(SelectedSpecies=AK$1,ROW(SelectedSpecies)),ROW(4032:4032)),2),"")</f>
        <v/>
      </c>
      <c r="BE4031" s="10"/>
      <c r="BI4031" s="10"/>
    </row>
    <row r="4032" spans="1:61" ht="21" customHeight="1" x14ac:dyDescent="0.25">
      <c r="A4032" s="10"/>
      <c r="B4032" s="10"/>
      <c r="E4032" s="10"/>
      <c r="G4032" s="10"/>
      <c r="I4032" s="436" t="s">
        <v>1588</v>
      </c>
      <c r="J4032" s="26" t="s">
        <v>1587</v>
      </c>
      <c r="K4032" s="10">
        <v>26</v>
      </c>
      <c r="L4032" s="73">
        <f>IF(Tank1!$C$23="No control",(SUMIF(Tank1!$B$32:$B$49,$J4032,Tank1!$C$32:$C$49)*Impacts!$F$8),0)</f>
        <v>0</v>
      </c>
      <c r="M4032" s="10">
        <f>IF(Tank2!$C$23="No control",(SUMIF(Tank2!$B$32:$B$49,$J4032,Tank2!$C$32:$C$49)*Impacts!$F$9),0)</f>
        <v>0</v>
      </c>
      <c r="N4032" s="10">
        <f>IF(Tank3!$C$23="No control",(SUMIF(Tank3!$B$32:$B$49,$J4032,Tank3!$C$32:$C$49)*Impacts!$F$10),0)</f>
        <v>0</v>
      </c>
      <c r="O4032" s="10">
        <f>IF(Tank4!$C$23="No control",(SUMIF(Tank4!$B$32:$B$49,$J4032,Tank4!$C$32:$C$49)*Impacts!$F$11),0)</f>
        <v>0</v>
      </c>
      <c r="P4032" s="10">
        <f>IF(Tank5!$C$23="No control",(SUMIF(Tank5!$B$32:$B$49,$J4032,Tank5!$C$32:$C$49)*Impacts!$F$12),0)</f>
        <v>0</v>
      </c>
      <c r="Q4032" s="10">
        <f>IFERROR(IF(('Loading-drum,tote'!$C$21)="No control",SUMIF(('Loading-drum,tote'!$B$31:$B$48),$J4032,('Loading-drum,tote'!$D$31:$D$48))*Impacts!$F$13,IF(('Loading-drum,tote'!$C$21)&lt;&gt;"No control",SUMIF(('Loading-drum,tote'!$B$31:$B$48),$J4032,('Loading-drum,tote'!$E$31:$E$48))*Impacts!$F$13,0)),0)</f>
        <v>0</v>
      </c>
      <c r="R4032" s="10">
        <f>IFERROR(IF(('Loading-truck'!$C$21)="No control",SUMIF(('Loading-truck'!$B$31:$B$48),$J4032,('Loading-truck'!$D$31:$D$48))*Impacts!$F$14,IF(('Loading-truck'!$C$21)&lt;&gt;"No control",SUMIF(('Loading-truck'!$B$31:$B$48),$J4032,('Loading-truck'!$E$31:$E$48))*Impacts!$F$14,0)),0)</f>
        <v>0</v>
      </c>
      <c r="S4032" s="10">
        <f>IFERROR(IF(('Loading-rail'!$C$21)="No control",SUMIF(('Loading-rail'!$B$31:$B$48),$J4032,('Loading-rail'!$D$31:$D$48))*Impacts!$F$15,IF(('Loading-rail'!$C$21)&lt;&gt;"No control",SUMIF(('Loading-rail'!$B$31:$B$48),$J4032,('Loading-rail'!$E$31:$E$48))*Impacts!$F$15,0)),0)</f>
        <v>0</v>
      </c>
      <c r="T4032" s="10">
        <f>IF(Flare!$C$7="",0,(SUMIF(Flare!$B$46:$B$185,$J4032,Flare!$E$46:$E$185)*Impacts!$F$16))</f>
        <v>0</v>
      </c>
      <c r="U4032" s="10">
        <f>IF(VCU!$C$9="",0,(SUMIF(VCU!$B$51:$B$193,$J4032,VCU!$E$51:$E$193)*Impacts!$F$17))</f>
        <v>0</v>
      </c>
      <c r="V4032" s="10">
        <f>IF(CAS!$C$7="",0,(SUMIF(CAS!$B$31:$B$167,$J4032,CAS!$E$31:$E$167)*Impacts!$F$18))</f>
        <v>0</v>
      </c>
      <c r="W4032" s="10">
        <f t="shared" si="103"/>
        <v>0</v>
      </c>
      <c r="AK4032" s="10" t="str">
        <f t="array" ref="AK4032">IFERROR(INDEX(SelectedSpecies,SMALL(IF(SelectedSpecies=AK$1,ROW(SelectedSpecies)),ROW(4033:4033)),2),"")</f>
        <v/>
      </c>
      <c r="BE4032" s="10"/>
      <c r="BI4032" s="10"/>
    </row>
    <row r="4033" spans="1:61" ht="21" customHeight="1" x14ac:dyDescent="0.25">
      <c r="A4033" s="10"/>
      <c r="B4033" s="10"/>
      <c r="E4033" s="10"/>
      <c r="G4033" s="10"/>
      <c r="I4033" s="436" t="s">
        <v>2055</v>
      </c>
      <c r="J4033" s="26" t="s">
        <v>2054</v>
      </c>
      <c r="K4033" s="10">
        <v>16</v>
      </c>
      <c r="L4033" s="73">
        <f>IF(Tank1!$C$23="No control",(SUMIF(Tank1!$B$32:$B$49,$J4033,Tank1!$C$32:$C$49)*Impacts!$F$8),0)</f>
        <v>0</v>
      </c>
      <c r="M4033" s="10">
        <f>IF(Tank2!$C$23="No control",(SUMIF(Tank2!$B$32:$B$49,$J4033,Tank2!$C$32:$C$49)*Impacts!$F$9),0)</f>
        <v>0</v>
      </c>
      <c r="N4033" s="10">
        <f>IF(Tank3!$C$23="No control",(SUMIF(Tank3!$B$32:$B$49,$J4033,Tank3!$C$32:$C$49)*Impacts!$F$10),0)</f>
        <v>0</v>
      </c>
      <c r="O4033" s="10">
        <f>IF(Tank4!$C$23="No control",(SUMIF(Tank4!$B$32:$B$49,$J4033,Tank4!$C$32:$C$49)*Impacts!$F$11),0)</f>
        <v>0</v>
      </c>
      <c r="P4033" s="10">
        <f>IF(Tank5!$C$23="No control",(SUMIF(Tank5!$B$32:$B$49,$J4033,Tank5!$C$32:$C$49)*Impacts!$F$12),0)</f>
        <v>0</v>
      </c>
      <c r="Q4033" s="10">
        <f>IFERROR(IF(('Loading-drum,tote'!$C$21)="No control",SUMIF(('Loading-drum,tote'!$B$31:$B$48),$J4033,('Loading-drum,tote'!$D$31:$D$48))*Impacts!$F$13,IF(('Loading-drum,tote'!$C$21)&lt;&gt;"No control",SUMIF(('Loading-drum,tote'!$B$31:$B$48),$J4033,('Loading-drum,tote'!$E$31:$E$48))*Impacts!$F$13,0)),0)</f>
        <v>0</v>
      </c>
      <c r="R4033" s="10">
        <f>IFERROR(IF(('Loading-truck'!$C$21)="No control",SUMIF(('Loading-truck'!$B$31:$B$48),$J4033,('Loading-truck'!$D$31:$D$48))*Impacts!$F$14,IF(('Loading-truck'!$C$21)&lt;&gt;"No control",SUMIF(('Loading-truck'!$B$31:$B$48),$J4033,('Loading-truck'!$E$31:$E$48))*Impacts!$F$14,0)),0)</f>
        <v>0</v>
      </c>
      <c r="S4033" s="10">
        <f>IFERROR(IF(('Loading-rail'!$C$21)="No control",SUMIF(('Loading-rail'!$B$31:$B$48),$J4033,('Loading-rail'!$D$31:$D$48))*Impacts!$F$15,IF(('Loading-rail'!$C$21)&lt;&gt;"No control",SUMIF(('Loading-rail'!$B$31:$B$48),$J4033,('Loading-rail'!$E$31:$E$48))*Impacts!$F$15,0)),0)</f>
        <v>0</v>
      </c>
      <c r="T4033" s="10">
        <f>IF(Flare!$C$7="",0,(SUMIF(Flare!$B$46:$B$185,$J4033,Flare!$E$46:$E$185)*Impacts!$F$16))</f>
        <v>0</v>
      </c>
      <c r="U4033" s="10">
        <f>IF(VCU!$C$9="",0,(SUMIF(VCU!$B$51:$B$193,$J4033,VCU!$E$51:$E$193)*Impacts!$F$17))</f>
        <v>0</v>
      </c>
      <c r="V4033" s="10">
        <f>IF(CAS!$C$7="",0,(SUMIF(CAS!$B$31:$B$167,$J4033,CAS!$E$31:$E$167)*Impacts!$F$18))</f>
        <v>0</v>
      </c>
      <c r="W4033" s="10">
        <f t="shared" si="103"/>
        <v>0</v>
      </c>
      <c r="AK4033" s="10" t="str">
        <f t="array" ref="AK4033">IFERROR(INDEX(SelectedSpecies,SMALL(IF(SelectedSpecies=AK$1,ROW(SelectedSpecies)),ROW(4034:4034)),2),"")</f>
        <v/>
      </c>
      <c r="BE4033" s="10"/>
      <c r="BI4033" s="10"/>
    </row>
    <row r="4034" spans="1:61" ht="21" customHeight="1" x14ac:dyDescent="0.25">
      <c r="A4034" s="10"/>
      <c r="B4034" s="10"/>
      <c r="E4034" s="10"/>
      <c r="G4034" s="10"/>
      <c r="I4034" s="436" t="s">
        <v>2665</v>
      </c>
      <c r="J4034" s="26" t="s">
        <v>2664</v>
      </c>
      <c r="K4034" s="10">
        <v>10</v>
      </c>
      <c r="L4034" s="73">
        <f>IF(Tank1!$C$23="No control",(SUMIF(Tank1!$B$32:$B$49,$J4034,Tank1!$C$32:$C$49)*Impacts!$F$8),0)</f>
        <v>0</v>
      </c>
      <c r="M4034" s="10">
        <f>IF(Tank2!$C$23="No control",(SUMIF(Tank2!$B$32:$B$49,$J4034,Tank2!$C$32:$C$49)*Impacts!$F$9),0)</f>
        <v>0</v>
      </c>
      <c r="N4034" s="10">
        <f>IF(Tank3!$C$23="No control",(SUMIF(Tank3!$B$32:$B$49,$J4034,Tank3!$C$32:$C$49)*Impacts!$F$10),0)</f>
        <v>0</v>
      </c>
      <c r="O4034" s="10">
        <f>IF(Tank4!$C$23="No control",(SUMIF(Tank4!$B$32:$B$49,$J4034,Tank4!$C$32:$C$49)*Impacts!$F$11),0)</f>
        <v>0</v>
      </c>
      <c r="P4034" s="10">
        <f>IF(Tank5!$C$23="No control",(SUMIF(Tank5!$B$32:$B$49,$J4034,Tank5!$C$32:$C$49)*Impacts!$F$12),0)</f>
        <v>0</v>
      </c>
      <c r="Q4034" s="10">
        <f>IFERROR(IF(('Loading-drum,tote'!$C$21)="No control",SUMIF(('Loading-drum,tote'!$B$31:$B$48),$J4034,('Loading-drum,tote'!$D$31:$D$48))*Impacts!$F$13,IF(('Loading-drum,tote'!$C$21)&lt;&gt;"No control",SUMIF(('Loading-drum,tote'!$B$31:$B$48),$J4034,('Loading-drum,tote'!$E$31:$E$48))*Impacts!$F$13,0)),0)</f>
        <v>0</v>
      </c>
      <c r="R4034" s="10">
        <f>IFERROR(IF(('Loading-truck'!$C$21)="No control",SUMIF(('Loading-truck'!$B$31:$B$48),$J4034,('Loading-truck'!$D$31:$D$48))*Impacts!$F$14,IF(('Loading-truck'!$C$21)&lt;&gt;"No control",SUMIF(('Loading-truck'!$B$31:$B$48),$J4034,('Loading-truck'!$E$31:$E$48))*Impacts!$F$14,0)),0)</f>
        <v>0</v>
      </c>
      <c r="S4034" s="10">
        <f>IFERROR(IF(('Loading-rail'!$C$21)="No control",SUMIF(('Loading-rail'!$B$31:$B$48),$J4034,('Loading-rail'!$D$31:$D$48))*Impacts!$F$15,IF(('Loading-rail'!$C$21)&lt;&gt;"No control",SUMIF(('Loading-rail'!$B$31:$B$48),$J4034,('Loading-rail'!$E$31:$E$48))*Impacts!$F$15,0)),0)</f>
        <v>0</v>
      </c>
      <c r="T4034" s="10">
        <f>IF(Flare!$C$7="",0,(SUMIF(Flare!$B$46:$B$185,$J4034,Flare!$E$46:$E$185)*Impacts!$F$16))</f>
        <v>0</v>
      </c>
      <c r="U4034" s="10">
        <f>IF(VCU!$C$9="",0,(SUMIF(VCU!$B$51:$B$193,$J4034,VCU!$E$51:$E$193)*Impacts!$F$17))</f>
        <v>0</v>
      </c>
      <c r="V4034" s="10">
        <f>IF(CAS!$C$7="",0,(SUMIF(CAS!$B$31:$B$167,$J4034,CAS!$E$31:$E$167)*Impacts!$F$18))</f>
        <v>0</v>
      </c>
      <c r="W4034" s="10">
        <f t="shared" si="103"/>
        <v>0</v>
      </c>
      <c r="AK4034" s="10" t="str">
        <f t="array" ref="AK4034">IFERROR(INDEX(SelectedSpecies,SMALL(IF(SelectedSpecies=AK$1,ROW(SelectedSpecies)),ROW(4035:4035)),2),"")</f>
        <v/>
      </c>
      <c r="BE4034" s="10"/>
      <c r="BI4034" s="10"/>
    </row>
    <row r="4035" spans="1:61" ht="21" customHeight="1" x14ac:dyDescent="0.25">
      <c r="A4035" s="10"/>
      <c r="B4035" s="10"/>
      <c r="E4035" s="10"/>
      <c r="G4035" s="10"/>
      <c r="I4035" s="436" t="s">
        <v>7004</v>
      </c>
      <c r="J4035" s="26" t="s">
        <v>7003</v>
      </c>
      <c r="K4035" s="10">
        <v>0.45999999999999996</v>
      </c>
      <c r="L4035" s="73">
        <f>IF(Tank1!$C$23="No control",(SUMIF(Tank1!$B$32:$B$49,$J4035,Tank1!$C$32:$C$49)*Impacts!$F$8),0)</f>
        <v>0</v>
      </c>
      <c r="M4035" s="10">
        <f>IF(Tank2!$C$23="No control",(SUMIF(Tank2!$B$32:$B$49,$J4035,Tank2!$C$32:$C$49)*Impacts!$F$9),0)</f>
        <v>0</v>
      </c>
      <c r="N4035" s="10">
        <f>IF(Tank3!$C$23="No control",(SUMIF(Tank3!$B$32:$B$49,$J4035,Tank3!$C$32:$C$49)*Impacts!$F$10),0)</f>
        <v>0</v>
      </c>
      <c r="O4035" s="10">
        <f>IF(Tank4!$C$23="No control",(SUMIF(Tank4!$B$32:$B$49,$J4035,Tank4!$C$32:$C$49)*Impacts!$F$11),0)</f>
        <v>0</v>
      </c>
      <c r="P4035" s="10">
        <f>IF(Tank5!$C$23="No control",(SUMIF(Tank5!$B$32:$B$49,$J4035,Tank5!$C$32:$C$49)*Impacts!$F$12),0)</f>
        <v>0</v>
      </c>
      <c r="Q4035" s="10">
        <f>IFERROR(IF(('Loading-drum,tote'!$C$21)="No control",SUMIF(('Loading-drum,tote'!$B$31:$B$48),$J4035,('Loading-drum,tote'!$D$31:$D$48))*Impacts!$F$13,IF(('Loading-drum,tote'!$C$21)&lt;&gt;"No control",SUMIF(('Loading-drum,tote'!$B$31:$B$48),$J4035,('Loading-drum,tote'!$E$31:$E$48))*Impacts!$F$13,0)),0)</f>
        <v>0</v>
      </c>
      <c r="R4035" s="10">
        <f>IFERROR(IF(('Loading-truck'!$C$21)="No control",SUMIF(('Loading-truck'!$B$31:$B$48),$J4035,('Loading-truck'!$D$31:$D$48))*Impacts!$F$14,IF(('Loading-truck'!$C$21)&lt;&gt;"No control",SUMIF(('Loading-truck'!$B$31:$B$48),$J4035,('Loading-truck'!$E$31:$E$48))*Impacts!$F$14,0)),0)</f>
        <v>0</v>
      </c>
      <c r="S4035" s="10">
        <f>IFERROR(IF(('Loading-rail'!$C$21)="No control",SUMIF(('Loading-rail'!$B$31:$B$48),$J4035,('Loading-rail'!$D$31:$D$48))*Impacts!$F$15,IF(('Loading-rail'!$C$21)&lt;&gt;"No control",SUMIF(('Loading-rail'!$B$31:$B$48),$J4035,('Loading-rail'!$E$31:$E$48))*Impacts!$F$15,0)),0)</f>
        <v>0</v>
      </c>
      <c r="T4035" s="10">
        <f>IF(Flare!$C$7="",0,(SUMIF(Flare!$B$46:$B$185,$J4035,Flare!$E$46:$E$185)*Impacts!$F$16))</f>
        <v>0</v>
      </c>
      <c r="U4035" s="10">
        <f>IF(VCU!$C$9="",0,(SUMIF(VCU!$B$51:$B$193,$J4035,VCU!$E$51:$E$193)*Impacts!$F$17))</f>
        <v>0</v>
      </c>
      <c r="V4035" s="10">
        <f>IF(CAS!$C$7="",0,(SUMIF(CAS!$B$31:$B$167,$J4035,CAS!$E$31:$E$167)*Impacts!$F$18))</f>
        <v>0</v>
      </c>
      <c r="W4035" s="10">
        <f t="shared" si="103"/>
        <v>0</v>
      </c>
      <c r="AK4035" s="10" t="str">
        <f t="array" ref="AK4035">IFERROR(INDEX(SelectedSpecies,SMALL(IF(SelectedSpecies=AK$1,ROW(SelectedSpecies)),ROW(4036:4036)),2),"")</f>
        <v/>
      </c>
      <c r="BE4035" s="10"/>
      <c r="BI4035" s="10"/>
    </row>
    <row r="4036" spans="1:61" ht="21" customHeight="1" x14ac:dyDescent="0.25">
      <c r="A4036" s="10"/>
      <c r="B4036" s="10"/>
      <c r="E4036" s="10"/>
      <c r="G4036" s="10"/>
      <c r="I4036" s="436" t="s">
        <v>6344</v>
      </c>
      <c r="J4036" s="26" t="s">
        <v>6343</v>
      </c>
      <c r="K4036" s="10">
        <v>0.9</v>
      </c>
      <c r="L4036" s="73">
        <f>IF(Tank1!$C$23="No control",(SUMIF(Tank1!$B$32:$B$49,$J4036,Tank1!$C$32:$C$49)*Impacts!$F$8),0)</f>
        <v>0</v>
      </c>
      <c r="M4036" s="10">
        <f>IF(Tank2!$C$23="No control",(SUMIF(Tank2!$B$32:$B$49,$J4036,Tank2!$C$32:$C$49)*Impacts!$F$9),0)</f>
        <v>0</v>
      </c>
      <c r="N4036" s="10">
        <f>IF(Tank3!$C$23="No control",(SUMIF(Tank3!$B$32:$B$49,$J4036,Tank3!$C$32:$C$49)*Impacts!$F$10),0)</f>
        <v>0</v>
      </c>
      <c r="O4036" s="10">
        <f>IF(Tank4!$C$23="No control",(SUMIF(Tank4!$B$32:$B$49,$J4036,Tank4!$C$32:$C$49)*Impacts!$F$11),0)</f>
        <v>0</v>
      </c>
      <c r="P4036" s="10">
        <f>IF(Tank5!$C$23="No control",(SUMIF(Tank5!$B$32:$B$49,$J4036,Tank5!$C$32:$C$49)*Impacts!$F$12),0)</f>
        <v>0</v>
      </c>
      <c r="Q4036" s="10">
        <f>IFERROR(IF(('Loading-drum,tote'!$C$21)="No control",SUMIF(('Loading-drum,tote'!$B$31:$B$48),$J4036,('Loading-drum,tote'!$D$31:$D$48))*Impacts!$F$13,IF(('Loading-drum,tote'!$C$21)&lt;&gt;"No control",SUMIF(('Loading-drum,tote'!$B$31:$B$48),$J4036,('Loading-drum,tote'!$E$31:$E$48))*Impacts!$F$13,0)),0)</f>
        <v>0</v>
      </c>
      <c r="R4036" s="10">
        <f>IFERROR(IF(('Loading-truck'!$C$21)="No control",SUMIF(('Loading-truck'!$B$31:$B$48),$J4036,('Loading-truck'!$D$31:$D$48))*Impacts!$F$14,IF(('Loading-truck'!$C$21)&lt;&gt;"No control",SUMIF(('Loading-truck'!$B$31:$B$48),$J4036,('Loading-truck'!$E$31:$E$48))*Impacts!$F$14,0)),0)</f>
        <v>0</v>
      </c>
      <c r="S4036" s="10">
        <f>IFERROR(IF(('Loading-rail'!$C$21)="No control",SUMIF(('Loading-rail'!$B$31:$B$48),$J4036,('Loading-rail'!$D$31:$D$48))*Impacts!$F$15,IF(('Loading-rail'!$C$21)&lt;&gt;"No control",SUMIF(('Loading-rail'!$B$31:$B$48),$J4036,('Loading-rail'!$E$31:$E$48))*Impacts!$F$15,0)),0)</f>
        <v>0</v>
      </c>
      <c r="T4036" s="10">
        <f>IF(Flare!$C$7="",0,(SUMIF(Flare!$B$46:$B$185,$J4036,Flare!$E$46:$E$185)*Impacts!$F$16))</f>
        <v>0</v>
      </c>
      <c r="U4036" s="10">
        <f>IF(VCU!$C$9="",0,(SUMIF(VCU!$B$51:$B$193,$J4036,VCU!$E$51:$E$193)*Impacts!$F$17))</f>
        <v>0</v>
      </c>
      <c r="V4036" s="10">
        <f>IF(CAS!$C$7="",0,(SUMIF(CAS!$B$31:$B$167,$J4036,CAS!$E$31:$E$167)*Impacts!$F$18))</f>
        <v>0</v>
      </c>
      <c r="W4036" s="10">
        <f t="shared" si="103"/>
        <v>0</v>
      </c>
      <c r="AK4036" s="10" t="str">
        <f t="array" ref="AK4036">IFERROR(INDEX(SelectedSpecies,SMALL(IF(SelectedSpecies=AK$1,ROW(SelectedSpecies)),ROW(4037:4037)),2),"")</f>
        <v/>
      </c>
      <c r="BE4036" s="10"/>
      <c r="BI4036" s="10"/>
    </row>
    <row r="4037" spans="1:61" ht="21" customHeight="1" x14ac:dyDescent="0.25">
      <c r="A4037" s="10"/>
      <c r="B4037" s="10"/>
      <c r="E4037" s="10"/>
      <c r="G4037" s="10"/>
      <c r="I4037" s="436" t="s">
        <v>8240</v>
      </c>
      <c r="J4037" s="26" t="s">
        <v>8239</v>
      </c>
      <c r="K4037" s="10">
        <v>1.0000000000000002E-2</v>
      </c>
      <c r="L4037" s="73">
        <f>IF(Tank1!$C$23="No control",(SUMIF(Tank1!$B$32:$B$49,$J4037,Tank1!$C$32:$C$49)*Impacts!$F$8),0)</f>
        <v>0</v>
      </c>
      <c r="M4037" s="10">
        <f>IF(Tank2!$C$23="No control",(SUMIF(Tank2!$B$32:$B$49,$J4037,Tank2!$C$32:$C$49)*Impacts!$F$9),0)</f>
        <v>0</v>
      </c>
      <c r="N4037" s="10">
        <f>IF(Tank3!$C$23="No control",(SUMIF(Tank3!$B$32:$B$49,$J4037,Tank3!$C$32:$C$49)*Impacts!$F$10),0)</f>
        <v>0</v>
      </c>
      <c r="O4037" s="10">
        <f>IF(Tank4!$C$23="No control",(SUMIF(Tank4!$B$32:$B$49,$J4037,Tank4!$C$32:$C$49)*Impacts!$F$11),0)</f>
        <v>0</v>
      </c>
      <c r="P4037" s="10">
        <f>IF(Tank5!$C$23="No control",(SUMIF(Tank5!$B$32:$B$49,$J4037,Tank5!$C$32:$C$49)*Impacts!$F$12),0)</f>
        <v>0</v>
      </c>
      <c r="Q4037" s="10">
        <f>IFERROR(IF(('Loading-drum,tote'!$C$21)="No control",SUMIF(('Loading-drum,tote'!$B$31:$B$48),$J4037,('Loading-drum,tote'!$D$31:$D$48))*Impacts!$F$13,IF(('Loading-drum,tote'!$C$21)&lt;&gt;"No control",SUMIF(('Loading-drum,tote'!$B$31:$B$48),$J4037,('Loading-drum,tote'!$E$31:$E$48))*Impacts!$F$13,0)),0)</f>
        <v>0</v>
      </c>
      <c r="R4037" s="10">
        <f>IFERROR(IF(('Loading-truck'!$C$21)="No control",SUMIF(('Loading-truck'!$B$31:$B$48),$J4037,('Loading-truck'!$D$31:$D$48))*Impacts!$F$14,IF(('Loading-truck'!$C$21)&lt;&gt;"No control",SUMIF(('Loading-truck'!$B$31:$B$48),$J4037,('Loading-truck'!$E$31:$E$48))*Impacts!$F$14,0)),0)</f>
        <v>0</v>
      </c>
      <c r="S4037" s="10">
        <f>IFERROR(IF(('Loading-rail'!$C$21)="No control",SUMIF(('Loading-rail'!$B$31:$B$48),$J4037,('Loading-rail'!$D$31:$D$48))*Impacts!$F$15,IF(('Loading-rail'!$C$21)&lt;&gt;"No control",SUMIF(('Loading-rail'!$B$31:$B$48),$J4037,('Loading-rail'!$E$31:$E$48))*Impacts!$F$15,0)),0)</f>
        <v>0</v>
      </c>
      <c r="T4037" s="10">
        <f>IF(Flare!$C$7="",0,(SUMIF(Flare!$B$46:$B$185,$J4037,Flare!$E$46:$E$185)*Impacts!$F$16))</f>
        <v>0</v>
      </c>
      <c r="U4037" s="10">
        <f>IF(VCU!$C$9="",0,(SUMIF(VCU!$B$51:$B$193,$J4037,VCU!$E$51:$E$193)*Impacts!$F$17))</f>
        <v>0</v>
      </c>
      <c r="V4037" s="10">
        <f>IF(CAS!$C$7="",0,(SUMIF(CAS!$B$31:$B$167,$J4037,CAS!$E$31:$E$167)*Impacts!$F$18))</f>
        <v>0</v>
      </c>
      <c r="W4037" s="10">
        <f t="shared" si="103"/>
        <v>0</v>
      </c>
      <c r="AK4037" s="10" t="str">
        <f t="array" ref="AK4037">IFERROR(INDEX(SelectedSpecies,SMALL(IF(SelectedSpecies=AK$1,ROW(SelectedSpecies)),ROW(4038:4038)),2),"")</f>
        <v/>
      </c>
      <c r="BE4037" s="10"/>
      <c r="BI4037" s="10"/>
    </row>
    <row r="4038" spans="1:61" ht="21" customHeight="1" x14ac:dyDescent="0.25">
      <c r="A4038" s="10"/>
      <c r="B4038" s="10"/>
      <c r="E4038" s="10"/>
      <c r="G4038" s="10"/>
      <c r="I4038" s="436" t="s">
        <v>4833</v>
      </c>
      <c r="J4038" s="26" t="s">
        <v>4832</v>
      </c>
      <c r="K4038" s="10">
        <v>3</v>
      </c>
      <c r="L4038" s="73">
        <f>IF(Tank1!$C$23="No control",(SUMIF(Tank1!$B$32:$B$49,$J4038,Tank1!$C$32:$C$49)*Impacts!$F$8),0)</f>
        <v>0</v>
      </c>
      <c r="M4038" s="10">
        <f>IF(Tank2!$C$23="No control",(SUMIF(Tank2!$B$32:$B$49,$J4038,Tank2!$C$32:$C$49)*Impacts!$F$9),0)</f>
        <v>0</v>
      </c>
      <c r="N4038" s="10">
        <f>IF(Tank3!$C$23="No control",(SUMIF(Tank3!$B$32:$B$49,$J4038,Tank3!$C$32:$C$49)*Impacts!$F$10),0)</f>
        <v>0</v>
      </c>
      <c r="O4038" s="10">
        <f>IF(Tank4!$C$23="No control",(SUMIF(Tank4!$B$32:$B$49,$J4038,Tank4!$C$32:$C$49)*Impacts!$F$11),0)</f>
        <v>0</v>
      </c>
      <c r="P4038" s="10">
        <f>IF(Tank5!$C$23="No control",(SUMIF(Tank5!$B$32:$B$49,$J4038,Tank5!$C$32:$C$49)*Impacts!$F$12),0)</f>
        <v>0</v>
      </c>
      <c r="Q4038" s="10">
        <f>IFERROR(IF(('Loading-drum,tote'!$C$21)="No control",SUMIF(('Loading-drum,tote'!$B$31:$B$48),$J4038,('Loading-drum,tote'!$D$31:$D$48))*Impacts!$F$13,IF(('Loading-drum,tote'!$C$21)&lt;&gt;"No control",SUMIF(('Loading-drum,tote'!$B$31:$B$48),$J4038,('Loading-drum,tote'!$E$31:$E$48))*Impacts!$F$13,0)),0)</f>
        <v>0</v>
      </c>
      <c r="R4038" s="10">
        <f>IFERROR(IF(('Loading-truck'!$C$21)="No control",SUMIF(('Loading-truck'!$B$31:$B$48),$J4038,('Loading-truck'!$D$31:$D$48))*Impacts!$F$14,IF(('Loading-truck'!$C$21)&lt;&gt;"No control",SUMIF(('Loading-truck'!$B$31:$B$48),$J4038,('Loading-truck'!$E$31:$E$48))*Impacts!$F$14,0)),0)</f>
        <v>0</v>
      </c>
      <c r="S4038" s="10">
        <f>IFERROR(IF(('Loading-rail'!$C$21)="No control",SUMIF(('Loading-rail'!$B$31:$B$48),$J4038,('Loading-rail'!$D$31:$D$48))*Impacts!$F$15,IF(('Loading-rail'!$C$21)&lt;&gt;"No control",SUMIF(('Loading-rail'!$B$31:$B$48),$J4038,('Loading-rail'!$E$31:$E$48))*Impacts!$F$15,0)),0)</f>
        <v>0</v>
      </c>
      <c r="T4038" s="10">
        <f>IF(Flare!$C$7="",0,(SUMIF(Flare!$B$46:$B$185,$J4038,Flare!$E$46:$E$185)*Impacts!$F$16))</f>
        <v>0</v>
      </c>
      <c r="U4038" s="10">
        <f>IF(VCU!$C$9="",0,(SUMIF(VCU!$B$51:$B$193,$J4038,VCU!$E$51:$E$193)*Impacts!$F$17))</f>
        <v>0</v>
      </c>
      <c r="V4038" s="10">
        <f>IF(CAS!$C$7="",0,(SUMIF(CAS!$B$31:$B$167,$J4038,CAS!$E$31:$E$167)*Impacts!$F$18))</f>
        <v>0</v>
      </c>
      <c r="W4038" s="10">
        <f t="shared" si="103"/>
        <v>0</v>
      </c>
      <c r="AK4038" s="10" t="str">
        <f t="array" ref="AK4038">IFERROR(INDEX(SelectedSpecies,SMALL(IF(SelectedSpecies=AK$1,ROW(SelectedSpecies)),ROW(4039:4039)),2),"")</f>
        <v/>
      </c>
      <c r="BE4038" s="10"/>
      <c r="BI4038" s="10"/>
    </row>
    <row r="4039" spans="1:61" ht="21" customHeight="1" x14ac:dyDescent="0.25">
      <c r="A4039" s="10"/>
      <c r="B4039" s="10"/>
      <c r="E4039" s="10"/>
      <c r="G4039" s="10"/>
      <c r="I4039" s="436" t="s">
        <v>4119</v>
      </c>
      <c r="J4039" s="26" t="s">
        <v>4118</v>
      </c>
      <c r="K4039" s="10">
        <v>5.4</v>
      </c>
      <c r="L4039" s="73">
        <f>IF(Tank1!$C$23="No control",(SUMIF(Tank1!$B$32:$B$49,$J4039,Tank1!$C$32:$C$49)*Impacts!$F$8),0)</f>
        <v>0</v>
      </c>
      <c r="M4039" s="10">
        <f>IF(Tank2!$C$23="No control",(SUMIF(Tank2!$B$32:$B$49,$J4039,Tank2!$C$32:$C$49)*Impacts!$F$9),0)</f>
        <v>0</v>
      </c>
      <c r="N4039" s="10">
        <f>IF(Tank3!$C$23="No control",(SUMIF(Tank3!$B$32:$B$49,$J4039,Tank3!$C$32:$C$49)*Impacts!$F$10),0)</f>
        <v>0</v>
      </c>
      <c r="O4039" s="10">
        <f>IF(Tank4!$C$23="No control",(SUMIF(Tank4!$B$32:$B$49,$J4039,Tank4!$C$32:$C$49)*Impacts!$F$11),0)</f>
        <v>0</v>
      </c>
      <c r="P4039" s="10">
        <f>IF(Tank5!$C$23="No control",(SUMIF(Tank5!$B$32:$B$49,$J4039,Tank5!$C$32:$C$49)*Impacts!$F$12),0)</f>
        <v>0</v>
      </c>
      <c r="Q4039" s="10">
        <f>IFERROR(IF(('Loading-drum,tote'!$C$21)="No control",SUMIF(('Loading-drum,tote'!$B$31:$B$48),$J4039,('Loading-drum,tote'!$D$31:$D$48))*Impacts!$F$13,IF(('Loading-drum,tote'!$C$21)&lt;&gt;"No control",SUMIF(('Loading-drum,tote'!$B$31:$B$48),$J4039,('Loading-drum,tote'!$E$31:$E$48))*Impacts!$F$13,0)),0)</f>
        <v>0</v>
      </c>
      <c r="R4039" s="10">
        <f>IFERROR(IF(('Loading-truck'!$C$21)="No control",SUMIF(('Loading-truck'!$B$31:$B$48),$J4039,('Loading-truck'!$D$31:$D$48))*Impacts!$F$14,IF(('Loading-truck'!$C$21)&lt;&gt;"No control",SUMIF(('Loading-truck'!$B$31:$B$48),$J4039,('Loading-truck'!$E$31:$E$48))*Impacts!$F$14,0)),0)</f>
        <v>0</v>
      </c>
      <c r="S4039" s="10">
        <f>IFERROR(IF(('Loading-rail'!$C$21)="No control",SUMIF(('Loading-rail'!$B$31:$B$48),$J4039,('Loading-rail'!$D$31:$D$48))*Impacts!$F$15,IF(('Loading-rail'!$C$21)&lt;&gt;"No control",SUMIF(('Loading-rail'!$B$31:$B$48),$J4039,('Loading-rail'!$E$31:$E$48))*Impacts!$F$15,0)),0)</f>
        <v>0</v>
      </c>
      <c r="T4039" s="10">
        <f>IF(Flare!$C$7="",0,(SUMIF(Flare!$B$46:$B$185,$J4039,Flare!$E$46:$E$185)*Impacts!$F$16))</f>
        <v>0</v>
      </c>
      <c r="U4039" s="10">
        <f>IF(VCU!$C$9="",0,(SUMIF(VCU!$B$51:$B$193,$J4039,VCU!$E$51:$E$193)*Impacts!$F$17))</f>
        <v>0</v>
      </c>
      <c r="V4039" s="10">
        <f>IF(CAS!$C$7="",0,(SUMIF(CAS!$B$31:$B$167,$J4039,CAS!$E$31:$E$167)*Impacts!$F$18))</f>
        <v>0</v>
      </c>
      <c r="W4039" s="10">
        <f t="shared" si="103"/>
        <v>0</v>
      </c>
      <c r="AK4039" s="10" t="str">
        <f t="array" ref="AK4039">IFERROR(INDEX(SelectedSpecies,SMALL(IF(SelectedSpecies=AK$1,ROW(SelectedSpecies)),ROW(4040:4040)),2),"")</f>
        <v/>
      </c>
      <c r="BE4039" s="10"/>
      <c r="BI4039" s="10"/>
    </row>
    <row r="4040" spans="1:61" ht="21" customHeight="1" x14ac:dyDescent="0.25">
      <c r="A4040" s="10"/>
      <c r="B4040" s="10"/>
      <c r="E4040" s="10"/>
      <c r="G4040" s="10"/>
      <c r="I4040" s="436" t="s">
        <v>7208</v>
      </c>
      <c r="J4040" s="26" t="s">
        <v>7207</v>
      </c>
      <c r="K4040" s="10">
        <v>0.33</v>
      </c>
      <c r="L4040" s="73">
        <f>IF(Tank1!$C$23="No control",(SUMIF(Tank1!$B$32:$B$49,$J4040,Tank1!$C$32:$C$49)*Impacts!$F$8),0)</f>
        <v>0</v>
      </c>
      <c r="M4040" s="10">
        <f>IF(Tank2!$C$23="No control",(SUMIF(Tank2!$B$32:$B$49,$J4040,Tank2!$C$32:$C$49)*Impacts!$F$9),0)</f>
        <v>0</v>
      </c>
      <c r="N4040" s="10">
        <f>IF(Tank3!$C$23="No control",(SUMIF(Tank3!$B$32:$B$49,$J4040,Tank3!$C$32:$C$49)*Impacts!$F$10),0)</f>
        <v>0</v>
      </c>
      <c r="O4040" s="10">
        <f>IF(Tank4!$C$23="No control",(SUMIF(Tank4!$B$32:$B$49,$J4040,Tank4!$C$32:$C$49)*Impacts!$F$11),0)</f>
        <v>0</v>
      </c>
      <c r="P4040" s="10">
        <f>IF(Tank5!$C$23="No control",(SUMIF(Tank5!$B$32:$B$49,$J4040,Tank5!$C$32:$C$49)*Impacts!$F$12),0)</f>
        <v>0</v>
      </c>
      <c r="Q4040" s="10">
        <f>IFERROR(IF(('Loading-drum,tote'!$C$21)="No control",SUMIF(('Loading-drum,tote'!$B$31:$B$48),$J4040,('Loading-drum,tote'!$D$31:$D$48))*Impacts!$F$13,IF(('Loading-drum,tote'!$C$21)&lt;&gt;"No control",SUMIF(('Loading-drum,tote'!$B$31:$B$48),$J4040,('Loading-drum,tote'!$E$31:$E$48))*Impacts!$F$13,0)),0)</f>
        <v>0</v>
      </c>
      <c r="R4040" s="10">
        <f>IFERROR(IF(('Loading-truck'!$C$21)="No control",SUMIF(('Loading-truck'!$B$31:$B$48),$J4040,('Loading-truck'!$D$31:$D$48))*Impacts!$F$14,IF(('Loading-truck'!$C$21)&lt;&gt;"No control",SUMIF(('Loading-truck'!$B$31:$B$48),$J4040,('Loading-truck'!$E$31:$E$48))*Impacts!$F$14,0)),0)</f>
        <v>0</v>
      </c>
      <c r="S4040" s="10">
        <f>IFERROR(IF(('Loading-rail'!$C$21)="No control",SUMIF(('Loading-rail'!$B$31:$B$48),$J4040,('Loading-rail'!$D$31:$D$48))*Impacts!$F$15,IF(('Loading-rail'!$C$21)&lt;&gt;"No control",SUMIF(('Loading-rail'!$B$31:$B$48),$J4040,('Loading-rail'!$E$31:$E$48))*Impacts!$F$15,0)),0)</f>
        <v>0</v>
      </c>
      <c r="T4040" s="10">
        <f>IF(Flare!$C$7="",0,(SUMIF(Flare!$B$46:$B$185,$J4040,Flare!$E$46:$E$185)*Impacts!$F$16))</f>
        <v>0</v>
      </c>
      <c r="U4040" s="10">
        <f>IF(VCU!$C$9="",0,(SUMIF(VCU!$B$51:$B$193,$J4040,VCU!$E$51:$E$193)*Impacts!$F$17))</f>
        <v>0</v>
      </c>
      <c r="V4040" s="10">
        <f>IF(CAS!$C$7="",0,(SUMIF(CAS!$B$31:$B$167,$J4040,CAS!$E$31:$E$167)*Impacts!$F$18))</f>
        <v>0</v>
      </c>
      <c r="W4040" s="10">
        <f t="shared" si="103"/>
        <v>0</v>
      </c>
      <c r="AK4040" s="10" t="str">
        <f t="array" ref="AK4040">IFERROR(INDEX(SelectedSpecies,SMALL(IF(SelectedSpecies=AK$1,ROW(SelectedSpecies)),ROW(4041:4041)),2),"")</f>
        <v/>
      </c>
      <c r="BE4040" s="10"/>
      <c r="BI4040" s="10"/>
    </row>
    <row r="4041" spans="1:61" ht="21" customHeight="1" x14ac:dyDescent="0.25">
      <c r="A4041" s="10"/>
      <c r="B4041" s="10"/>
      <c r="E4041" s="10"/>
      <c r="G4041" s="10"/>
      <c r="I4041" s="436" t="s">
        <v>6220</v>
      </c>
      <c r="J4041" s="26" t="s">
        <v>6219</v>
      </c>
      <c r="K4041" s="10">
        <v>1</v>
      </c>
      <c r="L4041" s="73">
        <f>IF(Tank1!$C$23="No control",(SUMIF(Tank1!$B$32:$B$49,$J4041,Tank1!$C$32:$C$49)*Impacts!$F$8),0)</f>
        <v>0</v>
      </c>
      <c r="M4041" s="10">
        <f>IF(Tank2!$C$23="No control",(SUMIF(Tank2!$B$32:$B$49,$J4041,Tank2!$C$32:$C$49)*Impacts!$F$9),0)</f>
        <v>0</v>
      </c>
      <c r="N4041" s="10">
        <f>IF(Tank3!$C$23="No control",(SUMIF(Tank3!$B$32:$B$49,$J4041,Tank3!$C$32:$C$49)*Impacts!$F$10),0)</f>
        <v>0</v>
      </c>
      <c r="O4041" s="10">
        <f>IF(Tank4!$C$23="No control",(SUMIF(Tank4!$B$32:$B$49,$J4041,Tank4!$C$32:$C$49)*Impacts!$F$11),0)</f>
        <v>0</v>
      </c>
      <c r="P4041" s="10">
        <f>IF(Tank5!$C$23="No control",(SUMIF(Tank5!$B$32:$B$49,$J4041,Tank5!$C$32:$C$49)*Impacts!$F$12),0)</f>
        <v>0</v>
      </c>
      <c r="Q4041" s="10">
        <f>IFERROR(IF(('Loading-drum,tote'!$C$21)="No control",SUMIF(('Loading-drum,tote'!$B$31:$B$48),$J4041,('Loading-drum,tote'!$D$31:$D$48))*Impacts!$F$13,IF(('Loading-drum,tote'!$C$21)&lt;&gt;"No control",SUMIF(('Loading-drum,tote'!$B$31:$B$48),$J4041,('Loading-drum,tote'!$E$31:$E$48))*Impacts!$F$13,0)),0)</f>
        <v>0</v>
      </c>
      <c r="R4041" s="10">
        <f>IFERROR(IF(('Loading-truck'!$C$21)="No control",SUMIF(('Loading-truck'!$B$31:$B$48),$J4041,('Loading-truck'!$D$31:$D$48))*Impacts!$F$14,IF(('Loading-truck'!$C$21)&lt;&gt;"No control",SUMIF(('Loading-truck'!$B$31:$B$48),$J4041,('Loading-truck'!$E$31:$E$48))*Impacts!$F$14,0)),0)</f>
        <v>0</v>
      </c>
      <c r="S4041" s="10">
        <f>IFERROR(IF(('Loading-rail'!$C$21)="No control",SUMIF(('Loading-rail'!$B$31:$B$48),$J4041,('Loading-rail'!$D$31:$D$48))*Impacts!$F$15,IF(('Loading-rail'!$C$21)&lt;&gt;"No control",SUMIF(('Loading-rail'!$B$31:$B$48),$J4041,('Loading-rail'!$E$31:$E$48))*Impacts!$F$15,0)),0)</f>
        <v>0</v>
      </c>
      <c r="T4041" s="10">
        <f>IF(Flare!$C$7="",0,(SUMIF(Flare!$B$46:$B$185,$J4041,Flare!$E$46:$E$185)*Impacts!$F$16))</f>
        <v>0</v>
      </c>
      <c r="U4041" s="10">
        <f>IF(VCU!$C$9="",0,(SUMIF(VCU!$B$51:$B$193,$J4041,VCU!$E$51:$E$193)*Impacts!$F$17))</f>
        <v>0</v>
      </c>
      <c r="V4041" s="10">
        <f>IF(CAS!$C$7="",0,(SUMIF(CAS!$B$31:$B$167,$J4041,CAS!$E$31:$E$167)*Impacts!$F$18))</f>
        <v>0</v>
      </c>
      <c r="W4041" s="10">
        <f t="shared" si="103"/>
        <v>0</v>
      </c>
      <c r="AK4041" s="10" t="str">
        <f t="array" ref="AK4041">IFERROR(INDEX(SelectedSpecies,SMALL(IF(SelectedSpecies=AK$1,ROW(SelectedSpecies)),ROW(4042:4042)),2),"")</f>
        <v/>
      </c>
      <c r="BE4041" s="10"/>
      <c r="BI4041" s="10"/>
    </row>
    <row r="4042" spans="1:61" ht="21" customHeight="1" x14ac:dyDescent="0.25">
      <c r="A4042" s="10"/>
      <c r="B4042" s="10"/>
      <c r="E4042" s="10"/>
      <c r="G4042" s="10"/>
      <c r="I4042" s="436" t="s">
        <v>7006</v>
      </c>
      <c r="J4042" s="26" t="s">
        <v>7005</v>
      </c>
      <c r="K4042" s="10">
        <v>0.45999999999999996</v>
      </c>
      <c r="L4042" s="73">
        <f>IF(Tank1!$C$23="No control",(SUMIF(Tank1!$B$32:$B$49,$J4042,Tank1!$C$32:$C$49)*Impacts!$F$8),0)</f>
        <v>0</v>
      </c>
      <c r="M4042" s="10">
        <f>IF(Tank2!$C$23="No control",(SUMIF(Tank2!$B$32:$B$49,$J4042,Tank2!$C$32:$C$49)*Impacts!$F$9),0)</f>
        <v>0</v>
      </c>
      <c r="N4042" s="10">
        <f>IF(Tank3!$C$23="No control",(SUMIF(Tank3!$B$32:$B$49,$J4042,Tank3!$C$32:$C$49)*Impacts!$F$10),0)</f>
        <v>0</v>
      </c>
      <c r="O4042" s="10">
        <f>IF(Tank4!$C$23="No control",(SUMIF(Tank4!$B$32:$B$49,$J4042,Tank4!$C$32:$C$49)*Impacts!$F$11),0)</f>
        <v>0</v>
      </c>
      <c r="P4042" s="10">
        <f>IF(Tank5!$C$23="No control",(SUMIF(Tank5!$B$32:$B$49,$J4042,Tank5!$C$32:$C$49)*Impacts!$F$12),0)</f>
        <v>0</v>
      </c>
      <c r="Q4042" s="10">
        <f>IFERROR(IF(('Loading-drum,tote'!$C$21)="No control",SUMIF(('Loading-drum,tote'!$B$31:$B$48),$J4042,('Loading-drum,tote'!$D$31:$D$48))*Impacts!$F$13,IF(('Loading-drum,tote'!$C$21)&lt;&gt;"No control",SUMIF(('Loading-drum,tote'!$B$31:$B$48),$J4042,('Loading-drum,tote'!$E$31:$E$48))*Impacts!$F$13,0)),0)</f>
        <v>0</v>
      </c>
      <c r="R4042" s="10">
        <f>IFERROR(IF(('Loading-truck'!$C$21)="No control",SUMIF(('Loading-truck'!$B$31:$B$48),$J4042,('Loading-truck'!$D$31:$D$48))*Impacts!$F$14,IF(('Loading-truck'!$C$21)&lt;&gt;"No control",SUMIF(('Loading-truck'!$B$31:$B$48),$J4042,('Loading-truck'!$E$31:$E$48))*Impacts!$F$14,0)),0)</f>
        <v>0</v>
      </c>
      <c r="S4042" s="10">
        <f>IFERROR(IF(('Loading-rail'!$C$21)="No control",SUMIF(('Loading-rail'!$B$31:$B$48),$J4042,('Loading-rail'!$D$31:$D$48))*Impacts!$F$15,IF(('Loading-rail'!$C$21)&lt;&gt;"No control",SUMIF(('Loading-rail'!$B$31:$B$48),$J4042,('Loading-rail'!$E$31:$E$48))*Impacts!$F$15,0)),0)</f>
        <v>0</v>
      </c>
      <c r="T4042" s="10">
        <f>IF(Flare!$C$7="",0,(SUMIF(Flare!$B$46:$B$185,$J4042,Flare!$E$46:$E$185)*Impacts!$F$16))</f>
        <v>0</v>
      </c>
      <c r="U4042" s="10">
        <f>IF(VCU!$C$9="",0,(SUMIF(VCU!$B$51:$B$193,$J4042,VCU!$E$51:$E$193)*Impacts!$F$17))</f>
        <v>0</v>
      </c>
      <c r="V4042" s="10">
        <f>IF(CAS!$C$7="",0,(SUMIF(CAS!$B$31:$B$167,$J4042,CAS!$E$31:$E$167)*Impacts!$F$18))</f>
        <v>0</v>
      </c>
      <c r="W4042" s="10">
        <f t="shared" si="103"/>
        <v>0</v>
      </c>
      <c r="AK4042" s="10" t="str">
        <f t="array" ref="AK4042">IFERROR(INDEX(SelectedSpecies,SMALL(IF(SelectedSpecies=AK$1,ROW(SelectedSpecies)),ROW(4043:4043)),2),"")</f>
        <v/>
      </c>
      <c r="BE4042" s="10"/>
      <c r="BI4042" s="10"/>
    </row>
    <row r="4043" spans="1:61" ht="21" customHeight="1" x14ac:dyDescent="0.25">
      <c r="A4043" s="10"/>
      <c r="B4043" s="10"/>
      <c r="E4043" s="10"/>
      <c r="G4043" s="10"/>
      <c r="I4043" s="436" t="s">
        <v>6422</v>
      </c>
      <c r="J4043" s="26" t="s">
        <v>6421</v>
      </c>
      <c r="K4043" s="10">
        <v>0.81</v>
      </c>
      <c r="L4043" s="73">
        <f>IF(Tank1!$C$23="No control",(SUMIF(Tank1!$B$32:$B$49,$J4043,Tank1!$C$32:$C$49)*Impacts!$F$8),0)</f>
        <v>0</v>
      </c>
      <c r="M4043" s="10">
        <f>IF(Tank2!$C$23="No control",(SUMIF(Tank2!$B$32:$B$49,$J4043,Tank2!$C$32:$C$49)*Impacts!$F$9),0)</f>
        <v>0</v>
      </c>
      <c r="N4043" s="10">
        <f>IF(Tank3!$C$23="No control",(SUMIF(Tank3!$B$32:$B$49,$J4043,Tank3!$C$32:$C$49)*Impacts!$F$10),0)</f>
        <v>0</v>
      </c>
      <c r="O4043" s="10">
        <f>IF(Tank4!$C$23="No control",(SUMIF(Tank4!$B$32:$B$49,$J4043,Tank4!$C$32:$C$49)*Impacts!$F$11),0)</f>
        <v>0</v>
      </c>
      <c r="P4043" s="10">
        <f>IF(Tank5!$C$23="No control",(SUMIF(Tank5!$B$32:$B$49,$J4043,Tank5!$C$32:$C$49)*Impacts!$F$12),0)</f>
        <v>0</v>
      </c>
      <c r="Q4043" s="10">
        <f>IFERROR(IF(('Loading-drum,tote'!$C$21)="No control",SUMIF(('Loading-drum,tote'!$B$31:$B$48),$J4043,('Loading-drum,tote'!$D$31:$D$48))*Impacts!$F$13,IF(('Loading-drum,tote'!$C$21)&lt;&gt;"No control",SUMIF(('Loading-drum,tote'!$B$31:$B$48),$J4043,('Loading-drum,tote'!$E$31:$E$48))*Impacts!$F$13,0)),0)</f>
        <v>0</v>
      </c>
      <c r="R4043" s="10">
        <f>IFERROR(IF(('Loading-truck'!$C$21)="No control",SUMIF(('Loading-truck'!$B$31:$B$48),$J4043,('Loading-truck'!$D$31:$D$48))*Impacts!$F$14,IF(('Loading-truck'!$C$21)&lt;&gt;"No control",SUMIF(('Loading-truck'!$B$31:$B$48),$J4043,('Loading-truck'!$E$31:$E$48))*Impacts!$F$14,0)),0)</f>
        <v>0</v>
      </c>
      <c r="S4043" s="10">
        <f>IFERROR(IF(('Loading-rail'!$C$21)="No control",SUMIF(('Loading-rail'!$B$31:$B$48),$J4043,('Loading-rail'!$D$31:$D$48))*Impacts!$F$15,IF(('Loading-rail'!$C$21)&lt;&gt;"No control",SUMIF(('Loading-rail'!$B$31:$B$48),$J4043,('Loading-rail'!$E$31:$E$48))*Impacts!$F$15,0)),0)</f>
        <v>0</v>
      </c>
      <c r="T4043" s="10">
        <f>IF(Flare!$C$7="",0,(SUMIF(Flare!$B$46:$B$185,$J4043,Flare!$E$46:$E$185)*Impacts!$F$16))</f>
        <v>0</v>
      </c>
      <c r="U4043" s="10">
        <f>IF(VCU!$C$9="",0,(SUMIF(VCU!$B$51:$B$193,$J4043,VCU!$E$51:$E$193)*Impacts!$F$17))</f>
        <v>0</v>
      </c>
      <c r="V4043" s="10">
        <f>IF(CAS!$C$7="",0,(SUMIF(CAS!$B$31:$B$167,$J4043,CAS!$E$31:$E$167)*Impacts!$F$18))</f>
        <v>0</v>
      </c>
      <c r="W4043" s="10">
        <f t="shared" si="103"/>
        <v>0</v>
      </c>
      <c r="AK4043" s="10" t="str">
        <f t="array" ref="AK4043">IFERROR(INDEX(SelectedSpecies,SMALL(IF(SelectedSpecies=AK$1,ROW(SelectedSpecies)),ROW(4044:4044)),2),"")</f>
        <v/>
      </c>
      <c r="BE4043" s="10"/>
      <c r="BI4043" s="10"/>
    </row>
    <row r="4044" spans="1:61" ht="21" customHeight="1" x14ac:dyDescent="0.25">
      <c r="A4044" s="10"/>
      <c r="B4044" s="10"/>
      <c r="E4044" s="10"/>
      <c r="G4044" s="10"/>
      <c r="I4044" s="436" t="s">
        <v>6422</v>
      </c>
      <c r="J4044" s="26" t="s">
        <v>10483</v>
      </c>
      <c r="K4044" s="10">
        <v>5.6999999999999995E-2</v>
      </c>
      <c r="L4044" s="73">
        <f>IF(Tank1!$C$23="No control",(SUMIF(Tank1!$B$32:$B$49,$J4044,Tank1!$C$32:$C$49)*Impacts!$F$8),0)</f>
        <v>0</v>
      </c>
      <c r="M4044" s="10">
        <f>IF(Tank2!$C$23="No control",(SUMIF(Tank2!$B$32:$B$49,$J4044,Tank2!$C$32:$C$49)*Impacts!$F$9),0)</f>
        <v>0</v>
      </c>
      <c r="N4044" s="10">
        <f>IF(Tank3!$C$23="No control",(SUMIF(Tank3!$B$32:$B$49,$J4044,Tank3!$C$32:$C$49)*Impacts!$F$10),0)</f>
        <v>0</v>
      </c>
      <c r="O4044" s="10">
        <f>IF(Tank4!$C$23="No control",(SUMIF(Tank4!$B$32:$B$49,$J4044,Tank4!$C$32:$C$49)*Impacts!$F$11),0)</f>
        <v>0</v>
      </c>
      <c r="P4044" s="10">
        <f>IF(Tank5!$C$23="No control",(SUMIF(Tank5!$B$32:$B$49,$J4044,Tank5!$C$32:$C$49)*Impacts!$F$12),0)</f>
        <v>0</v>
      </c>
      <c r="Q4044" s="10">
        <f>IFERROR(IF(('Loading-drum,tote'!$C$21)="No control",SUMIF(('Loading-drum,tote'!$B$31:$B$48),$J4044,('Loading-drum,tote'!$D$31:$D$48))*Impacts!$F$13,IF(('Loading-drum,tote'!$C$21)&lt;&gt;"No control",SUMIF(('Loading-drum,tote'!$B$31:$B$48),$J4044,('Loading-drum,tote'!$E$31:$E$48))*Impacts!$F$13,0)),0)</f>
        <v>0</v>
      </c>
      <c r="R4044" s="10">
        <f>IFERROR(IF(('Loading-truck'!$C$21)="No control",SUMIF(('Loading-truck'!$B$31:$B$48),$J4044,('Loading-truck'!$D$31:$D$48))*Impacts!$F$14,IF(('Loading-truck'!$C$21)&lt;&gt;"No control",SUMIF(('Loading-truck'!$B$31:$B$48),$J4044,('Loading-truck'!$E$31:$E$48))*Impacts!$F$14,0)),0)</f>
        <v>0</v>
      </c>
      <c r="S4044" s="10">
        <f>IFERROR(IF(('Loading-rail'!$C$21)="No control",SUMIF(('Loading-rail'!$B$31:$B$48),$J4044,('Loading-rail'!$D$31:$D$48))*Impacts!$F$15,IF(('Loading-rail'!$C$21)&lt;&gt;"No control",SUMIF(('Loading-rail'!$B$31:$B$48),$J4044,('Loading-rail'!$E$31:$E$48))*Impacts!$F$15,0)),0)</f>
        <v>0</v>
      </c>
      <c r="T4044" s="10">
        <f>IF(Flare!$C$7="",0,(SUMIF(Flare!$B$46:$B$185,$J4044,Flare!$E$46:$E$185)*Impacts!$F$16))</f>
        <v>0</v>
      </c>
      <c r="U4044" s="10">
        <f>IF(VCU!$C$9="",0,(SUMIF(VCU!$B$51:$B$193,$J4044,VCU!$E$51:$E$193)*Impacts!$F$17))</f>
        <v>0</v>
      </c>
      <c r="V4044" s="10">
        <f>IF(CAS!$C$7="",0,(SUMIF(CAS!$B$31:$B$167,$J4044,CAS!$E$31:$E$167)*Impacts!$F$18))</f>
        <v>0</v>
      </c>
      <c r="W4044" s="10">
        <f t="shared" si="103"/>
        <v>0</v>
      </c>
      <c r="AK4044" s="10" t="str">
        <f t="array" ref="AK4044">IFERROR(INDEX(SelectedSpecies,SMALL(IF(SelectedSpecies=AK$1,ROW(SelectedSpecies)),ROW(4045:4045)),2),"")</f>
        <v/>
      </c>
      <c r="BE4044" s="10"/>
      <c r="BI4044" s="10"/>
    </row>
    <row r="4045" spans="1:61" ht="21" customHeight="1" x14ac:dyDescent="0.25">
      <c r="A4045" s="10"/>
      <c r="B4045" s="10"/>
      <c r="E4045" s="10"/>
      <c r="G4045" s="10"/>
      <c r="I4045" s="436" t="s">
        <v>6422</v>
      </c>
      <c r="J4045" s="26" t="s">
        <v>10484</v>
      </c>
      <c r="K4045" s="10">
        <v>7.0999999999999994E-2</v>
      </c>
      <c r="L4045" s="73">
        <f>IF(Tank1!$C$23="No control",(SUMIF(Tank1!$B$32:$B$49,$J4045,Tank1!$C$32:$C$49)*Impacts!$F$8),0)</f>
        <v>0</v>
      </c>
      <c r="M4045" s="10">
        <f>IF(Tank2!$C$23="No control",(SUMIF(Tank2!$B$32:$B$49,$J4045,Tank2!$C$32:$C$49)*Impacts!$F$9),0)</f>
        <v>0</v>
      </c>
      <c r="N4045" s="10">
        <f>IF(Tank3!$C$23="No control",(SUMIF(Tank3!$B$32:$B$49,$J4045,Tank3!$C$32:$C$49)*Impacts!$F$10),0)</f>
        <v>0</v>
      </c>
      <c r="O4045" s="10">
        <f>IF(Tank4!$C$23="No control",(SUMIF(Tank4!$B$32:$B$49,$J4045,Tank4!$C$32:$C$49)*Impacts!$F$11),0)</f>
        <v>0</v>
      </c>
      <c r="P4045" s="10">
        <f>IF(Tank5!$C$23="No control",(SUMIF(Tank5!$B$32:$B$49,$J4045,Tank5!$C$32:$C$49)*Impacts!$F$12),0)</f>
        <v>0</v>
      </c>
      <c r="Q4045" s="10">
        <f>IFERROR(IF(('Loading-drum,tote'!$C$21)="No control",SUMIF(('Loading-drum,tote'!$B$31:$B$48),$J4045,('Loading-drum,tote'!$D$31:$D$48))*Impacts!$F$13,IF(('Loading-drum,tote'!$C$21)&lt;&gt;"No control",SUMIF(('Loading-drum,tote'!$B$31:$B$48),$J4045,('Loading-drum,tote'!$E$31:$E$48))*Impacts!$F$13,0)),0)</f>
        <v>0</v>
      </c>
      <c r="R4045" s="10">
        <f>IFERROR(IF(('Loading-truck'!$C$21)="No control",SUMIF(('Loading-truck'!$B$31:$B$48),$J4045,('Loading-truck'!$D$31:$D$48))*Impacts!$F$14,IF(('Loading-truck'!$C$21)&lt;&gt;"No control",SUMIF(('Loading-truck'!$B$31:$B$48),$J4045,('Loading-truck'!$E$31:$E$48))*Impacts!$F$14,0)),0)</f>
        <v>0</v>
      </c>
      <c r="S4045" s="10">
        <f>IFERROR(IF(('Loading-rail'!$C$21)="No control",SUMIF(('Loading-rail'!$B$31:$B$48),$J4045,('Loading-rail'!$D$31:$D$48))*Impacts!$F$15,IF(('Loading-rail'!$C$21)&lt;&gt;"No control",SUMIF(('Loading-rail'!$B$31:$B$48),$J4045,('Loading-rail'!$E$31:$E$48))*Impacts!$F$15,0)),0)</f>
        <v>0</v>
      </c>
      <c r="T4045" s="10">
        <f>IF(Flare!$C$7="",0,(SUMIF(Flare!$B$46:$B$185,$J4045,Flare!$E$46:$E$185)*Impacts!$F$16))</f>
        <v>0</v>
      </c>
      <c r="U4045" s="10">
        <f>IF(VCU!$C$9="",0,(SUMIF(VCU!$B$51:$B$193,$J4045,VCU!$E$51:$E$193)*Impacts!$F$17))</f>
        <v>0</v>
      </c>
      <c r="V4045" s="10">
        <f>IF(CAS!$C$7="",0,(SUMIF(CAS!$B$31:$B$167,$J4045,CAS!$E$31:$E$167)*Impacts!$F$18))</f>
        <v>0</v>
      </c>
      <c r="W4045" s="10">
        <f t="shared" si="103"/>
        <v>0</v>
      </c>
      <c r="AK4045" s="10" t="str">
        <f t="array" ref="AK4045">IFERROR(INDEX(SelectedSpecies,SMALL(IF(SelectedSpecies=AK$1,ROW(SelectedSpecies)),ROW(4046:4046)),2),"")</f>
        <v/>
      </c>
      <c r="BE4045" s="10"/>
      <c r="BI4045" s="10"/>
    </row>
    <row r="4046" spans="1:61" ht="21" customHeight="1" x14ac:dyDescent="0.25">
      <c r="A4046" s="10"/>
      <c r="B4046" s="10"/>
      <c r="E4046" s="10"/>
      <c r="G4046" s="10"/>
      <c r="I4046" s="436" t="s">
        <v>7008</v>
      </c>
      <c r="J4046" s="26" t="s">
        <v>7007</v>
      </c>
      <c r="K4046" s="10">
        <v>0.45999999999999996</v>
      </c>
      <c r="L4046" s="73">
        <f>IF(Tank1!$C$23="No control",(SUMIF(Tank1!$B$32:$B$49,$J4046,Tank1!$C$32:$C$49)*Impacts!$F$8),0)</f>
        <v>0</v>
      </c>
      <c r="M4046" s="10">
        <f>IF(Tank2!$C$23="No control",(SUMIF(Tank2!$B$32:$B$49,$J4046,Tank2!$C$32:$C$49)*Impacts!$F$9),0)</f>
        <v>0</v>
      </c>
      <c r="N4046" s="10">
        <f>IF(Tank3!$C$23="No control",(SUMIF(Tank3!$B$32:$B$49,$J4046,Tank3!$C$32:$C$49)*Impacts!$F$10),0)</f>
        <v>0</v>
      </c>
      <c r="O4046" s="10">
        <f>IF(Tank4!$C$23="No control",(SUMIF(Tank4!$B$32:$B$49,$J4046,Tank4!$C$32:$C$49)*Impacts!$F$11),0)</f>
        <v>0</v>
      </c>
      <c r="P4046" s="10">
        <f>IF(Tank5!$C$23="No control",(SUMIF(Tank5!$B$32:$B$49,$J4046,Tank5!$C$32:$C$49)*Impacts!$F$12),0)</f>
        <v>0</v>
      </c>
      <c r="Q4046" s="10">
        <f>IFERROR(IF(('Loading-drum,tote'!$C$21)="No control",SUMIF(('Loading-drum,tote'!$B$31:$B$48),$J4046,('Loading-drum,tote'!$D$31:$D$48))*Impacts!$F$13,IF(('Loading-drum,tote'!$C$21)&lt;&gt;"No control",SUMIF(('Loading-drum,tote'!$B$31:$B$48),$J4046,('Loading-drum,tote'!$E$31:$E$48))*Impacts!$F$13,0)),0)</f>
        <v>0</v>
      </c>
      <c r="R4046" s="10">
        <f>IFERROR(IF(('Loading-truck'!$C$21)="No control",SUMIF(('Loading-truck'!$B$31:$B$48),$J4046,('Loading-truck'!$D$31:$D$48))*Impacts!$F$14,IF(('Loading-truck'!$C$21)&lt;&gt;"No control",SUMIF(('Loading-truck'!$B$31:$B$48),$J4046,('Loading-truck'!$E$31:$E$48))*Impacts!$F$14,0)),0)</f>
        <v>0</v>
      </c>
      <c r="S4046" s="10">
        <f>IFERROR(IF(('Loading-rail'!$C$21)="No control",SUMIF(('Loading-rail'!$B$31:$B$48),$J4046,('Loading-rail'!$D$31:$D$48))*Impacts!$F$15,IF(('Loading-rail'!$C$21)&lt;&gt;"No control",SUMIF(('Loading-rail'!$B$31:$B$48),$J4046,('Loading-rail'!$E$31:$E$48))*Impacts!$F$15,0)),0)</f>
        <v>0</v>
      </c>
      <c r="T4046" s="10">
        <f>IF(Flare!$C$7="",0,(SUMIF(Flare!$B$46:$B$185,$J4046,Flare!$E$46:$E$185)*Impacts!$F$16))</f>
        <v>0</v>
      </c>
      <c r="U4046" s="10">
        <f>IF(VCU!$C$9="",0,(SUMIF(VCU!$B$51:$B$193,$J4046,VCU!$E$51:$E$193)*Impacts!$F$17))</f>
        <v>0</v>
      </c>
      <c r="V4046" s="10">
        <f>IF(CAS!$C$7="",0,(SUMIF(CAS!$B$31:$B$167,$J4046,CAS!$E$31:$E$167)*Impacts!$F$18))</f>
        <v>0</v>
      </c>
      <c r="W4046" s="10">
        <f t="shared" si="103"/>
        <v>0</v>
      </c>
      <c r="AK4046" s="10" t="str">
        <f t="array" ref="AK4046">IFERROR(INDEX(SelectedSpecies,SMALL(IF(SelectedSpecies=AK$1,ROW(SelectedSpecies)),ROW(4047:4047)),2),"")</f>
        <v/>
      </c>
      <c r="BE4046" s="10"/>
      <c r="BI4046" s="10"/>
    </row>
    <row r="4047" spans="1:61" ht="21" customHeight="1" x14ac:dyDescent="0.25">
      <c r="A4047" s="10"/>
      <c r="B4047" s="10"/>
      <c r="E4047" s="10"/>
      <c r="G4047" s="10"/>
      <c r="I4047" s="436" t="s">
        <v>7210</v>
      </c>
      <c r="J4047" s="26" t="s">
        <v>7209</v>
      </c>
      <c r="K4047" s="10">
        <v>0.33</v>
      </c>
      <c r="L4047" s="73">
        <f>IF(Tank1!$C$23="No control",(SUMIF(Tank1!$B$32:$B$49,$J4047,Tank1!$C$32:$C$49)*Impacts!$F$8),0)</f>
        <v>0</v>
      </c>
      <c r="M4047" s="10">
        <f>IF(Tank2!$C$23="No control",(SUMIF(Tank2!$B$32:$B$49,$J4047,Tank2!$C$32:$C$49)*Impacts!$F$9),0)</f>
        <v>0</v>
      </c>
      <c r="N4047" s="10">
        <f>IF(Tank3!$C$23="No control",(SUMIF(Tank3!$B$32:$B$49,$J4047,Tank3!$C$32:$C$49)*Impacts!$F$10),0)</f>
        <v>0</v>
      </c>
      <c r="O4047" s="10">
        <f>IF(Tank4!$C$23="No control",(SUMIF(Tank4!$B$32:$B$49,$J4047,Tank4!$C$32:$C$49)*Impacts!$F$11),0)</f>
        <v>0</v>
      </c>
      <c r="P4047" s="10">
        <f>IF(Tank5!$C$23="No control",(SUMIF(Tank5!$B$32:$B$49,$J4047,Tank5!$C$32:$C$49)*Impacts!$F$12),0)</f>
        <v>0</v>
      </c>
      <c r="Q4047" s="10">
        <f>IFERROR(IF(('Loading-drum,tote'!$C$21)="No control",SUMIF(('Loading-drum,tote'!$B$31:$B$48),$J4047,('Loading-drum,tote'!$D$31:$D$48))*Impacts!$F$13,IF(('Loading-drum,tote'!$C$21)&lt;&gt;"No control",SUMIF(('Loading-drum,tote'!$B$31:$B$48),$J4047,('Loading-drum,tote'!$E$31:$E$48))*Impacts!$F$13,0)),0)</f>
        <v>0</v>
      </c>
      <c r="R4047" s="10">
        <f>IFERROR(IF(('Loading-truck'!$C$21)="No control",SUMIF(('Loading-truck'!$B$31:$B$48),$J4047,('Loading-truck'!$D$31:$D$48))*Impacts!$F$14,IF(('Loading-truck'!$C$21)&lt;&gt;"No control",SUMIF(('Loading-truck'!$B$31:$B$48),$J4047,('Loading-truck'!$E$31:$E$48))*Impacts!$F$14,0)),0)</f>
        <v>0</v>
      </c>
      <c r="S4047" s="10">
        <f>IFERROR(IF(('Loading-rail'!$C$21)="No control",SUMIF(('Loading-rail'!$B$31:$B$48),$J4047,('Loading-rail'!$D$31:$D$48))*Impacts!$F$15,IF(('Loading-rail'!$C$21)&lt;&gt;"No control",SUMIF(('Loading-rail'!$B$31:$B$48),$J4047,('Loading-rail'!$E$31:$E$48))*Impacts!$F$15,0)),0)</f>
        <v>0</v>
      </c>
      <c r="T4047" s="10">
        <f>IF(Flare!$C$7="",0,(SUMIF(Flare!$B$46:$B$185,$J4047,Flare!$E$46:$E$185)*Impacts!$F$16))</f>
        <v>0</v>
      </c>
      <c r="U4047" s="10">
        <f>IF(VCU!$C$9="",0,(SUMIF(VCU!$B$51:$B$193,$J4047,VCU!$E$51:$E$193)*Impacts!$F$17))</f>
        <v>0</v>
      </c>
      <c r="V4047" s="10">
        <f>IF(CAS!$C$7="",0,(SUMIF(CAS!$B$31:$B$167,$J4047,CAS!$E$31:$E$167)*Impacts!$F$18))</f>
        <v>0</v>
      </c>
      <c r="W4047" s="10">
        <f t="shared" si="103"/>
        <v>0</v>
      </c>
      <c r="AK4047" s="10" t="str">
        <f t="array" ref="AK4047">IFERROR(INDEX(SelectedSpecies,SMALL(IF(SelectedSpecies=AK$1,ROW(SelectedSpecies)),ROW(4048:4048)),2),"")</f>
        <v/>
      </c>
      <c r="BE4047" s="10"/>
      <c r="BI4047" s="10"/>
    </row>
    <row r="4048" spans="1:61" ht="21" customHeight="1" x14ac:dyDescent="0.25">
      <c r="A4048" s="10"/>
      <c r="B4048" s="10"/>
      <c r="E4048" s="10"/>
      <c r="G4048" s="10"/>
      <c r="I4048" s="436" t="s">
        <v>6978</v>
      </c>
      <c r="J4048" s="26" t="s">
        <v>6977</v>
      </c>
      <c r="K4048" s="10">
        <v>0.5</v>
      </c>
      <c r="L4048" s="73">
        <f>IF(Tank1!$C$23="No control",(SUMIF(Tank1!$B$32:$B$49,$J4048,Tank1!$C$32:$C$49)*Impacts!$F$8),0)</f>
        <v>0</v>
      </c>
      <c r="M4048" s="10">
        <f>IF(Tank2!$C$23="No control",(SUMIF(Tank2!$B$32:$B$49,$J4048,Tank2!$C$32:$C$49)*Impacts!$F$9),0)</f>
        <v>0</v>
      </c>
      <c r="N4048" s="10">
        <f>IF(Tank3!$C$23="No control",(SUMIF(Tank3!$B$32:$B$49,$J4048,Tank3!$C$32:$C$49)*Impacts!$F$10),0)</f>
        <v>0</v>
      </c>
      <c r="O4048" s="10">
        <f>IF(Tank4!$C$23="No control",(SUMIF(Tank4!$B$32:$B$49,$J4048,Tank4!$C$32:$C$49)*Impacts!$F$11),0)</f>
        <v>0</v>
      </c>
      <c r="P4048" s="10">
        <f>IF(Tank5!$C$23="No control",(SUMIF(Tank5!$B$32:$B$49,$J4048,Tank5!$C$32:$C$49)*Impacts!$F$12),0)</f>
        <v>0</v>
      </c>
      <c r="Q4048" s="10">
        <f>IFERROR(IF(('Loading-drum,tote'!$C$21)="No control",SUMIF(('Loading-drum,tote'!$B$31:$B$48),$J4048,('Loading-drum,tote'!$D$31:$D$48))*Impacts!$F$13,IF(('Loading-drum,tote'!$C$21)&lt;&gt;"No control",SUMIF(('Loading-drum,tote'!$B$31:$B$48),$J4048,('Loading-drum,tote'!$E$31:$E$48))*Impacts!$F$13,0)),0)</f>
        <v>0</v>
      </c>
      <c r="R4048" s="10">
        <f>IFERROR(IF(('Loading-truck'!$C$21)="No control",SUMIF(('Loading-truck'!$B$31:$B$48),$J4048,('Loading-truck'!$D$31:$D$48))*Impacts!$F$14,IF(('Loading-truck'!$C$21)&lt;&gt;"No control",SUMIF(('Loading-truck'!$B$31:$B$48),$J4048,('Loading-truck'!$E$31:$E$48))*Impacts!$F$14,0)),0)</f>
        <v>0</v>
      </c>
      <c r="S4048" s="10">
        <f>IFERROR(IF(('Loading-rail'!$C$21)="No control",SUMIF(('Loading-rail'!$B$31:$B$48),$J4048,('Loading-rail'!$D$31:$D$48))*Impacts!$F$15,IF(('Loading-rail'!$C$21)&lt;&gt;"No control",SUMIF(('Loading-rail'!$B$31:$B$48),$J4048,('Loading-rail'!$E$31:$E$48))*Impacts!$F$15,0)),0)</f>
        <v>0</v>
      </c>
      <c r="T4048" s="10">
        <f>IF(Flare!$C$7="",0,(SUMIF(Flare!$B$46:$B$185,$J4048,Flare!$E$46:$E$185)*Impacts!$F$16))</f>
        <v>0</v>
      </c>
      <c r="U4048" s="10">
        <f>IF(VCU!$C$9="",0,(SUMIF(VCU!$B$51:$B$193,$J4048,VCU!$E$51:$E$193)*Impacts!$F$17))</f>
        <v>0</v>
      </c>
      <c r="V4048" s="10">
        <f>IF(CAS!$C$7="",0,(SUMIF(CAS!$B$31:$B$167,$J4048,CAS!$E$31:$E$167)*Impacts!$F$18))</f>
        <v>0</v>
      </c>
      <c r="W4048" s="10">
        <f t="shared" si="103"/>
        <v>0</v>
      </c>
      <c r="AK4048" s="10" t="str">
        <f t="array" ref="AK4048">IFERROR(INDEX(SelectedSpecies,SMALL(IF(SelectedSpecies=AK$1,ROW(SelectedSpecies)),ROW(4049:4049)),2),"")</f>
        <v/>
      </c>
      <c r="BE4048" s="10"/>
      <c r="BI4048" s="10"/>
    </row>
    <row r="4049" spans="1:61" ht="21" customHeight="1" x14ac:dyDescent="0.25">
      <c r="A4049" s="10"/>
      <c r="B4049" s="10"/>
      <c r="E4049" s="10"/>
      <c r="G4049" s="10"/>
      <c r="I4049" s="436" t="s">
        <v>6222</v>
      </c>
      <c r="J4049" s="26" t="s">
        <v>6221</v>
      </c>
      <c r="K4049" s="10">
        <v>1</v>
      </c>
      <c r="L4049" s="73">
        <f>IF(Tank1!$C$23="No control",(SUMIF(Tank1!$B$32:$B$49,$J4049,Tank1!$C$32:$C$49)*Impacts!$F$8),0)</f>
        <v>0</v>
      </c>
      <c r="M4049" s="10">
        <f>IF(Tank2!$C$23="No control",(SUMIF(Tank2!$B$32:$B$49,$J4049,Tank2!$C$32:$C$49)*Impacts!$F$9),0)</f>
        <v>0</v>
      </c>
      <c r="N4049" s="10">
        <f>IF(Tank3!$C$23="No control",(SUMIF(Tank3!$B$32:$B$49,$J4049,Tank3!$C$32:$C$49)*Impacts!$F$10),0)</f>
        <v>0</v>
      </c>
      <c r="O4049" s="10">
        <f>IF(Tank4!$C$23="No control",(SUMIF(Tank4!$B$32:$B$49,$J4049,Tank4!$C$32:$C$49)*Impacts!$F$11),0)</f>
        <v>0</v>
      </c>
      <c r="P4049" s="10">
        <f>IF(Tank5!$C$23="No control",(SUMIF(Tank5!$B$32:$B$49,$J4049,Tank5!$C$32:$C$49)*Impacts!$F$12),0)</f>
        <v>0</v>
      </c>
      <c r="Q4049" s="10">
        <f>IFERROR(IF(('Loading-drum,tote'!$C$21)="No control",SUMIF(('Loading-drum,tote'!$B$31:$B$48),$J4049,('Loading-drum,tote'!$D$31:$D$48))*Impacts!$F$13,IF(('Loading-drum,tote'!$C$21)&lt;&gt;"No control",SUMIF(('Loading-drum,tote'!$B$31:$B$48),$J4049,('Loading-drum,tote'!$E$31:$E$48))*Impacts!$F$13,0)),0)</f>
        <v>0</v>
      </c>
      <c r="R4049" s="10">
        <f>IFERROR(IF(('Loading-truck'!$C$21)="No control",SUMIF(('Loading-truck'!$B$31:$B$48),$J4049,('Loading-truck'!$D$31:$D$48))*Impacts!$F$14,IF(('Loading-truck'!$C$21)&lt;&gt;"No control",SUMIF(('Loading-truck'!$B$31:$B$48),$J4049,('Loading-truck'!$E$31:$E$48))*Impacts!$F$14,0)),0)</f>
        <v>0</v>
      </c>
      <c r="S4049" s="10">
        <f>IFERROR(IF(('Loading-rail'!$C$21)="No control",SUMIF(('Loading-rail'!$B$31:$B$48),$J4049,('Loading-rail'!$D$31:$D$48))*Impacts!$F$15,IF(('Loading-rail'!$C$21)&lt;&gt;"No control",SUMIF(('Loading-rail'!$B$31:$B$48),$J4049,('Loading-rail'!$E$31:$E$48))*Impacts!$F$15,0)),0)</f>
        <v>0</v>
      </c>
      <c r="T4049" s="10">
        <f>IF(Flare!$C$7="",0,(SUMIF(Flare!$B$46:$B$185,$J4049,Flare!$E$46:$E$185)*Impacts!$F$16))</f>
        <v>0</v>
      </c>
      <c r="U4049" s="10">
        <f>IF(VCU!$C$9="",0,(SUMIF(VCU!$B$51:$B$193,$J4049,VCU!$E$51:$E$193)*Impacts!$F$17))</f>
        <v>0</v>
      </c>
      <c r="V4049" s="10">
        <f>IF(CAS!$C$7="",0,(SUMIF(CAS!$B$31:$B$167,$J4049,CAS!$E$31:$E$167)*Impacts!$F$18))</f>
        <v>0</v>
      </c>
      <c r="W4049" s="10">
        <f t="shared" si="103"/>
        <v>0</v>
      </c>
      <c r="AK4049" s="10" t="str">
        <f t="array" ref="AK4049">IFERROR(INDEX(SelectedSpecies,SMALL(IF(SelectedSpecies=AK$1,ROW(SelectedSpecies)),ROW(4050:4050)),2),"")</f>
        <v/>
      </c>
      <c r="BE4049" s="10"/>
      <c r="BI4049" s="10"/>
    </row>
    <row r="4050" spans="1:61" ht="21" customHeight="1" x14ac:dyDescent="0.25">
      <c r="A4050" s="10"/>
      <c r="B4050" s="10"/>
      <c r="E4050" s="10"/>
      <c r="G4050" s="10"/>
      <c r="I4050" s="436" t="s">
        <v>6980</v>
      </c>
      <c r="J4050" s="26" t="s">
        <v>6979</v>
      </c>
      <c r="K4050" s="10">
        <v>0.5</v>
      </c>
      <c r="L4050" s="73">
        <f>IF(Tank1!$C$23="No control",(SUMIF(Tank1!$B$32:$B$49,$J4050,Tank1!$C$32:$C$49)*Impacts!$F$8),0)</f>
        <v>0</v>
      </c>
      <c r="M4050" s="10">
        <f>IF(Tank2!$C$23="No control",(SUMIF(Tank2!$B$32:$B$49,$J4050,Tank2!$C$32:$C$49)*Impacts!$F$9),0)</f>
        <v>0</v>
      </c>
      <c r="N4050" s="10">
        <f>IF(Tank3!$C$23="No control",(SUMIF(Tank3!$B$32:$B$49,$J4050,Tank3!$C$32:$C$49)*Impacts!$F$10),0)</f>
        <v>0</v>
      </c>
      <c r="O4050" s="10">
        <f>IF(Tank4!$C$23="No control",(SUMIF(Tank4!$B$32:$B$49,$J4050,Tank4!$C$32:$C$49)*Impacts!$F$11),0)</f>
        <v>0</v>
      </c>
      <c r="P4050" s="10">
        <f>IF(Tank5!$C$23="No control",(SUMIF(Tank5!$B$32:$B$49,$J4050,Tank5!$C$32:$C$49)*Impacts!$F$12),0)</f>
        <v>0</v>
      </c>
      <c r="Q4050" s="10">
        <f>IFERROR(IF(('Loading-drum,tote'!$C$21)="No control",SUMIF(('Loading-drum,tote'!$B$31:$B$48),$J4050,('Loading-drum,tote'!$D$31:$D$48))*Impacts!$F$13,IF(('Loading-drum,tote'!$C$21)&lt;&gt;"No control",SUMIF(('Loading-drum,tote'!$B$31:$B$48),$J4050,('Loading-drum,tote'!$E$31:$E$48))*Impacts!$F$13,0)),0)</f>
        <v>0</v>
      </c>
      <c r="R4050" s="10">
        <f>IFERROR(IF(('Loading-truck'!$C$21)="No control",SUMIF(('Loading-truck'!$B$31:$B$48),$J4050,('Loading-truck'!$D$31:$D$48))*Impacts!$F$14,IF(('Loading-truck'!$C$21)&lt;&gt;"No control",SUMIF(('Loading-truck'!$B$31:$B$48),$J4050,('Loading-truck'!$E$31:$E$48))*Impacts!$F$14,0)),0)</f>
        <v>0</v>
      </c>
      <c r="S4050" s="10">
        <f>IFERROR(IF(('Loading-rail'!$C$21)="No control",SUMIF(('Loading-rail'!$B$31:$B$48),$J4050,('Loading-rail'!$D$31:$D$48))*Impacts!$F$15,IF(('Loading-rail'!$C$21)&lt;&gt;"No control",SUMIF(('Loading-rail'!$B$31:$B$48),$J4050,('Loading-rail'!$E$31:$E$48))*Impacts!$F$15,0)),0)</f>
        <v>0</v>
      </c>
      <c r="T4050" s="10">
        <f>IF(Flare!$C$7="",0,(SUMIF(Flare!$B$46:$B$185,$J4050,Flare!$E$46:$E$185)*Impacts!$F$16))</f>
        <v>0</v>
      </c>
      <c r="U4050" s="10">
        <f>IF(VCU!$C$9="",0,(SUMIF(VCU!$B$51:$B$193,$J4050,VCU!$E$51:$E$193)*Impacts!$F$17))</f>
        <v>0</v>
      </c>
      <c r="V4050" s="10">
        <f>IF(CAS!$C$7="",0,(SUMIF(CAS!$B$31:$B$167,$J4050,CAS!$E$31:$E$167)*Impacts!$F$18))</f>
        <v>0</v>
      </c>
      <c r="W4050" s="10">
        <f t="shared" si="103"/>
        <v>0</v>
      </c>
      <c r="AK4050" s="10" t="str">
        <f t="array" ref="AK4050">IFERROR(INDEX(SelectedSpecies,SMALL(IF(SelectedSpecies=AK$1,ROW(SelectedSpecies)),ROW(4051:4051)),2),"")</f>
        <v/>
      </c>
      <c r="BE4050" s="10"/>
      <c r="BI4050" s="10"/>
    </row>
    <row r="4051" spans="1:61" ht="21" customHeight="1" x14ac:dyDescent="0.25">
      <c r="A4051" s="10"/>
      <c r="B4051" s="10"/>
      <c r="E4051" s="10"/>
      <c r="G4051" s="10"/>
      <c r="I4051" s="436" t="s">
        <v>1753</v>
      </c>
      <c r="J4051" s="26" t="s">
        <v>1752</v>
      </c>
      <c r="K4051" s="10">
        <v>24.5</v>
      </c>
      <c r="L4051" s="73">
        <f>IF(Tank1!$C$23="No control",(SUMIF(Tank1!$B$32:$B$49,$J4051,Tank1!$C$32:$C$49)*Impacts!$F$8),0)</f>
        <v>0</v>
      </c>
      <c r="M4051" s="10">
        <f>IF(Tank2!$C$23="No control",(SUMIF(Tank2!$B$32:$B$49,$J4051,Tank2!$C$32:$C$49)*Impacts!$F$9),0)</f>
        <v>0</v>
      </c>
      <c r="N4051" s="10">
        <f>IF(Tank3!$C$23="No control",(SUMIF(Tank3!$B$32:$B$49,$J4051,Tank3!$C$32:$C$49)*Impacts!$F$10),0)</f>
        <v>0</v>
      </c>
      <c r="O4051" s="10">
        <f>IF(Tank4!$C$23="No control",(SUMIF(Tank4!$B$32:$B$49,$J4051,Tank4!$C$32:$C$49)*Impacts!$F$11),0)</f>
        <v>0</v>
      </c>
      <c r="P4051" s="10">
        <f>IF(Tank5!$C$23="No control",(SUMIF(Tank5!$B$32:$B$49,$J4051,Tank5!$C$32:$C$49)*Impacts!$F$12),0)</f>
        <v>0</v>
      </c>
      <c r="Q4051" s="10">
        <f>IFERROR(IF(('Loading-drum,tote'!$C$21)="No control",SUMIF(('Loading-drum,tote'!$B$31:$B$48),$J4051,('Loading-drum,tote'!$D$31:$D$48))*Impacts!$F$13,IF(('Loading-drum,tote'!$C$21)&lt;&gt;"No control",SUMIF(('Loading-drum,tote'!$B$31:$B$48),$J4051,('Loading-drum,tote'!$E$31:$E$48))*Impacts!$F$13,0)),0)</f>
        <v>0</v>
      </c>
      <c r="R4051" s="10">
        <f>IFERROR(IF(('Loading-truck'!$C$21)="No control",SUMIF(('Loading-truck'!$B$31:$B$48),$J4051,('Loading-truck'!$D$31:$D$48))*Impacts!$F$14,IF(('Loading-truck'!$C$21)&lt;&gt;"No control",SUMIF(('Loading-truck'!$B$31:$B$48),$J4051,('Loading-truck'!$E$31:$E$48))*Impacts!$F$14,0)),0)</f>
        <v>0</v>
      </c>
      <c r="S4051" s="10">
        <f>IFERROR(IF(('Loading-rail'!$C$21)="No control",SUMIF(('Loading-rail'!$B$31:$B$48),$J4051,('Loading-rail'!$D$31:$D$48))*Impacts!$F$15,IF(('Loading-rail'!$C$21)&lt;&gt;"No control",SUMIF(('Loading-rail'!$B$31:$B$48),$J4051,('Loading-rail'!$E$31:$E$48))*Impacts!$F$15,0)),0)</f>
        <v>0</v>
      </c>
      <c r="T4051" s="10">
        <f>IF(Flare!$C$7="",0,(SUMIF(Flare!$B$46:$B$185,$J4051,Flare!$E$46:$E$185)*Impacts!$F$16))</f>
        <v>0</v>
      </c>
      <c r="U4051" s="10">
        <f>IF(VCU!$C$9="",0,(SUMIF(VCU!$B$51:$B$193,$J4051,VCU!$E$51:$E$193)*Impacts!$F$17))</f>
        <v>0</v>
      </c>
      <c r="V4051" s="10">
        <f>IF(CAS!$C$7="",0,(SUMIF(CAS!$B$31:$B$167,$J4051,CAS!$E$31:$E$167)*Impacts!$F$18))</f>
        <v>0</v>
      </c>
      <c r="W4051" s="10">
        <f t="shared" si="103"/>
        <v>0</v>
      </c>
      <c r="AK4051" s="10" t="str">
        <f t="array" ref="AK4051">IFERROR(INDEX(SelectedSpecies,SMALL(IF(SelectedSpecies=AK$1,ROW(SelectedSpecies)),ROW(4052:4052)),2),"")</f>
        <v/>
      </c>
      <c r="BE4051" s="10"/>
      <c r="BI4051" s="10"/>
    </row>
    <row r="4052" spans="1:61" ht="21" customHeight="1" x14ac:dyDescent="0.25">
      <c r="A4052" s="10"/>
      <c r="B4052" s="10"/>
      <c r="E4052" s="10"/>
      <c r="G4052" s="10"/>
      <c r="I4052" s="436" t="s">
        <v>4643</v>
      </c>
      <c r="J4052" s="26" t="s">
        <v>4642</v>
      </c>
      <c r="K4052" s="10">
        <v>4</v>
      </c>
      <c r="L4052" s="73">
        <f>IF(Tank1!$C$23="No control",(SUMIF(Tank1!$B$32:$B$49,$J4052,Tank1!$C$32:$C$49)*Impacts!$F$8),0)</f>
        <v>0</v>
      </c>
      <c r="M4052" s="10">
        <f>IF(Tank2!$C$23="No control",(SUMIF(Tank2!$B$32:$B$49,$J4052,Tank2!$C$32:$C$49)*Impacts!$F$9),0)</f>
        <v>0</v>
      </c>
      <c r="N4052" s="10">
        <f>IF(Tank3!$C$23="No control",(SUMIF(Tank3!$B$32:$B$49,$J4052,Tank3!$C$32:$C$49)*Impacts!$F$10),0)</f>
        <v>0</v>
      </c>
      <c r="O4052" s="10">
        <f>IF(Tank4!$C$23="No control",(SUMIF(Tank4!$B$32:$B$49,$J4052,Tank4!$C$32:$C$49)*Impacts!$F$11),0)</f>
        <v>0</v>
      </c>
      <c r="P4052" s="10">
        <f>IF(Tank5!$C$23="No control",(SUMIF(Tank5!$B$32:$B$49,$J4052,Tank5!$C$32:$C$49)*Impacts!$F$12),0)</f>
        <v>0</v>
      </c>
      <c r="Q4052" s="10">
        <f>IFERROR(IF(('Loading-drum,tote'!$C$21)="No control",SUMIF(('Loading-drum,tote'!$B$31:$B$48),$J4052,('Loading-drum,tote'!$D$31:$D$48))*Impacts!$F$13,IF(('Loading-drum,tote'!$C$21)&lt;&gt;"No control",SUMIF(('Loading-drum,tote'!$B$31:$B$48),$J4052,('Loading-drum,tote'!$E$31:$E$48))*Impacts!$F$13,0)),0)</f>
        <v>0</v>
      </c>
      <c r="R4052" s="10">
        <f>IFERROR(IF(('Loading-truck'!$C$21)="No control",SUMIF(('Loading-truck'!$B$31:$B$48),$J4052,('Loading-truck'!$D$31:$D$48))*Impacts!$F$14,IF(('Loading-truck'!$C$21)&lt;&gt;"No control",SUMIF(('Loading-truck'!$B$31:$B$48),$J4052,('Loading-truck'!$E$31:$E$48))*Impacts!$F$14,0)),0)</f>
        <v>0</v>
      </c>
      <c r="S4052" s="10">
        <f>IFERROR(IF(('Loading-rail'!$C$21)="No control",SUMIF(('Loading-rail'!$B$31:$B$48),$J4052,('Loading-rail'!$D$31:$D$48))*Impacts!$F$15,IF(('Loading-rail'!$C$21)&lt;&gt;"No control",SUMIF(('Loading-rail'!$B$31:$B$48),$J4052,('Loading-rail'!$E$31:$E$48))*Impacts!$F$15,0)),0)</f>
        <v>0</v>
      </c>
      <c r="T4052" s="10">
        <f>IF(Flare!$C$7="",0,(SUMIF(Flare!$B$46:$B$185,$J4052,Flare!$E$46:$E$185)*Impacts!$F$16))</f>
        <v>0</v>
      </c>
      <c r="U4052" s="10">
        <f>IF(VCU!$C$9="",0,(SUMIF(VCU!$B$51:$B$193,$J4052,VCU!$E$51:$E$193)*Impacts!$F$17))</f>
        <v>0</v>
      </c>
      <c r="V4052" s="10">
        <f>IF(CAS!$C$7="",0,(SUMIF(CAS!$B$31:$B$167,$J4052,CAS!$E$31:$E$167)*Impacts!$F$18))</f>
        <v>0</v>
      </c>
      <c r="W4052" s="10">
        <f t="shared" si="103"/>
        <v>0</v>
      </c>
      <c r="AK4052" s="10" t="str">
        <f t="array" ref="AK4052">IFERROR(INDEX(SelectedSpecies,SMALL(IF(SelectedSpecies=AK$1,ROW(SelectedSpecies)),ROW(4053:4053)),2),"")</f>
        <v/>
      </c>
      <c r="BE4052" s="10"/>
      <c r="BI4052" s="10"/>
    </row>
    <row r="4053" spans="1:61" ht="21" customHeight="1" x14ac:dyDescent="0.25">
      <c r="A4053" s="10"/>
      <c r="B4053" s="10"/>
      <c r="E4053" s="10"/>
      <c r="G4053" s="10"/>
      <c r="I4053" s="436" t="s">
        <v>4477</v>
      </c>
      <c r="J4053" s="26" t="s">
        <v>4476</v>
      </c>
      <c r="K4053" s="10">
        <v>4.4000000000000004</v>
      </c>
      <c r="L4053" s="73">
        <f>IF(Tank1!$C$23="No control",(SUMIF(Tank1!$B$32:$B$49,$J4053,Tank1!$C$32:$C$49)*Impacts!$F$8),0)</f>
        <v>0</v>
      </c>
      <c r="M4053" s="10">
        <f>IF(Tank2!$C$23="No control",(SUMIF(Tank2!$B$32:$B$49,$J4053,Tank2!$C$32:$C$49)*Impacts!$F$9),0)</f>
        <v>0</v>
      </c>
      <c r="N4053" s="10">
        <f>IF(Tank3!$C$23="No control",(SUMIF(Tank3!$B$32:$B$49,$J4053,Tank3!$C$32:$C$49)*Impacts!$F$10),0)</f>
        <v>0</v>
      </c>
      <c r="O4053" s="10">
        <f>IF(Tank4!$C$23="No control",(SUMIF(Tank4!$B$32:$B$49,$J4053,Tank4!$C$32:$C$49)*Impacts!$F$11),0)</f>
        <v>0</v>
      </c>
      <c r="P4053" s="10">
        <f>IF(Tank5!$C$23="No control",(SUMIF(Tank5!$B$32:$B$49,$J4053,Tank5!$C$32:$C$49)*Impacts!$F$12),0)</f>
        <v>0</v>
      </c>
      <c r="Q4053" s="10">
        <f>IFERROR(IF(('Loading-drum,tote'!$C$21)="No control",SUMIF(('Loading-drum,tote'!$B$31:$B$48),$J4053,('Loading-drum,tote'!$D$31:$D$48))*Impacts!$F$13,IF(('Loading-drum,tote'!$C$21)&lt;&gt;"No control",SUMIF(('Loading-drum,tote'!$B$31:$B$48),$J4053,('Loading-drum,tote'!$E$31:$E$48))*Impacts!$F$13,0)),0)</f>
        <v>0</v>
      </c>
      <c r="R4053" s="10">
        <f>IFERROR(IF(('Loading-truck'!$C$21)="No control",SUMIF(('Loading-truck'!$B$31:$B$48),$J4053,('Loading-truck'!$D$31:$D$48))*Impacts!$F$14,IF(('Loading-truck'!$C$21)&lt;&gt;"No control",SUMIF(('Loading-truck'!$B$31:$B$48),$J4053,('Loading-truck'!$E$31:$E$48))*Impacts!$F$14,0)),0)</f>
        <v>0</v>
      </c>
      <c r="S4053" s="10">
        <f>IFERROR(IF(('Loading-rail'!$C$21)="No control",SUMIF(('Loading-rail'!$B$31:$B$48),$J4053,('Loading-rail'!$D$31:$D$48))*Impacts!$F$15,IF(('Loading-rail'!$C$21)&lt;&gt;"No control",SUMIF(('Loading-rail'!$B$31:$B$48),$J4053,('Loading-rail'!$E$31:$E$48))*Impacts!$F$15,0)),0)</f>
        <v>0</v>
      </c>
      <c r="T4053" s="10">
        <f>IF(Flare!$C$7="",0,(SUMIF(Flare!$B$46:$B$185,$J4053,Flare!$E$46:$E$185)*Impacts!$F$16))</f>
        <v>0</v>
      </c>
      <c r="U4053" s="10">
        <f>IF(VCU!$C$9="",0,(SUMIF(VCU!$B$51:$B$193,$J4053,VCU!$E$51:$E$193)*Impacts!$F$17))</f>
        <v>0</v>
      </c>
      <c r="V4053" s="10">
        <f>IF(CAS!$C$7="",0,(SUMIF(CAS!$B$31:$B$167,$J4053,CAS!$E$31:$E$167)*Impacts!$F$18))</f>
        <v>0</v>
      </c>
      <c r="W4053" s="10">
        <f t="shared" si="103"/>
        <v>0</v>
      </c>
      <c r="AK4053" s="10" t="str">
        <f t="array" ref="AK4053">IFERROR(INDEX(SelectedSpecies,SMALL(IF(SelectedSpecies=AK$1,ROW(SelectedSpecies)),ROW(4054:4054)),2),"")</f>
        <v/>
      </c>
      <c r="BE4053" s="10"/>
      <c r="BI4053" s="10"/>
    </row>
    <row r="4054" spans="1:61" ht="21" customHeight="1" x14ac:dyDescent="0.25">
      <c r="A4054" s="10"/>
      <c r="B4054" s="10"/>
      <c r="E4054" s="10"/>
      <c r="G4054" s="10"/>
      <c r="I4054" s="436" t="s">
        <v>5622</v>
      </c>
      <c r="J4054" s="26" t="s">
        <v>5621</v>
      </c>
      <c r="K4054" s="10">
        <v>1.1000000000000001</v>
      </c>
      <c r="L4054" s="73">
        <f>IF(Tank1!$C$23="No control",(SUMIF(Tank1!$B$32:$B$49,$J4054,Tank1!$C$32:$C$49)*Impacts!$F$8),0)</f>
        <v>0</v>
      </c>
      <c r="M4054" s="10">
        <f>IF(Tank2!$C$23="No control",(SUMIF(Tank2!$B$32:$B$49,$J4054,Tank2!$C$32:$C$49)*Impacts!$F$9),0)</f>
        <v>0</v>
      </c>
      <c r="N4054" s="10">
        <f>IF(Tank3!$C$23="No control",(SUMIF(Tank3!$B$32:$B$49,$J4054,Tank3!$C$32:$C$49)*Impacts!$F$10),0)</f>
        <v>0</v>
      </c>
      <c r="O4054" s="10">
        <f>IF(Tank4!$C$23="No control",(SUMIF(Tank4!$B$32:$B$49,$J4054,Tank4!$C$32:$C$49)*Impacts!$F$11),0)</f>
        <v>0</v>
      </c>
      <c r="P4054" s="10">
        <f>IF(Tank5!$C$23="No control",(SUMIF(Tank5!$B$32:$B$49,$J4054,Tank5!$C$32:$C$49)*Impacts!$F$12),0)</f>
        <v>0</v>
      </c>
      <c r="Q4054" s="10">
        <f>IFERROR(IF(('Loading-drum,tote'!$C$21)="No control",SUMIF(('Loading-drum,tote'!$B$31:$B$48),$J4054,('Loading-drum,tote'!$D$31:$D$48))*Impacts!$F$13,IF(('Loading-drum,tote'!$C$21)&lt;&gt;"No control",SUMIF(('Loading-drum,tote'!$B$31:$B$48),$J4054,('Loading-drum,tote'!$E$31:$E$48))*Impacts!$F$13,0)),0)</f>
        <v>0</v>
      </c>
      <c r="R4054" s="10">
        <f>IFERROR(IF(('Loading-truck'!$C$21)="No control",SUMIF(('Loading-truck'!$B$31:$B$48),$J4054,('Loading-truck'!$D$31:$D$48))*Impacts!$F$14,IF(('Loading-truck'!$C$21)&lt;&gt;"No control",SUMIF(('Loading-truck'!$B$31:$B$48),$J4054,('Loading-truck'!$E$31:$E$48))*Impacts!$F$14,0)),0)</f>
        <v>0</v>
      </c>
      <c r="S4054" s="10">
        <f>IFERROR(IF(('Loading-rail'!$C$21)="No control",SUMIF(('Loading-rail'!$B$31:$B$48),$J4054,('Loading-rail'!$D$31:$D$48))*Impacts!$F$15,IF(('Loading-rail'!$C$21)&lt;&gt;"No control",SUMIF(('Loading-rail'!$B$31:$B$48),$J4054,('Loading-rail'!$E$31:$E$48))*Impacts!$F$15,0)),0)</f>
        <v>0</v>
      </c>
      <c r="T4054" s="10">
        <f>IF(Flare!$C$7="",0,(SUMIF(Flare!$B$46:$B$185,$J4054,Flare!$E$46:$E$185)*Impacts!$F$16))</f>
        <v>0</v>
      </c>
      <c r="U4054" s="10">
        <f>IF(VCU!$C$9="",0,(SUMIF(VCU!$B$51:$B$193,$J4054,VCU!$E$51:$E$193)*Impacts!$F$17))</f>
        <v>0</v>
      </c>
      <c r="V4054" s="10">
        <f>IF(CAS!$C$7="",0,(SUMIF(CAS!$B$31:$B$167,$J4054,CAS!$E$31:$E$167)*Impacts!$F$18))</f>
        <v>0</v>
      </c>
      <c r="W4054" s="10">
        <f t="shared" si="103"/>
        <v>0</v>
      </c>
      <c r="AK4054" s="10" t="str">
        <f t="array" ref="AK4054">IFERROR(INDEX(SelectedSpecies,SMALL(IF(SelectedSpecies=AK$1,ROW(SelectedSpecies)),ROW(4055:4055)),2),"")</f>
        <v/>
      </c>
      <c r="BE4054" s="10"/>
      <c r="BI4054" s="10"/>
    </row>
    <row r="4055" spans="1:61" ht="21" customHeight="1" x14ac:dyDescent="0.25">
      <c r="A4055" s="10"/>
      <c r="B4055" s="10"/>
      <c r="E4055" s="10"/>
      <c r="G4055" s="10"/>
      <c r="I4055" s="436" t="s">
        <v>1817</v>
      </c>
      <c r="J4055" s="26" t="s">
        <v>1816</v>
      </c>
      <c r="K4055" s="10">
        <v>21</v>
      </c>
      <c r="L4055" s="73">
        <f>IF(Tank1!$C$23="No control",(SUMIF(Tank1!$B$32:$B$49,$J4055,Tank1!$C$32:$C$49)*Impacts!$F$8),0)</f>
        <v>0</v>
      </c>
      <c r="M4055" s="10">
        <f>IF(Tank2!$C$23="No control",(SUMIF(Tank2!$B$32:$B$49,$J4055,Tank2!$C$32:$C$49)*Impacts!$F$9),0)</f>
        <v>0</v>
      </c>
      <c r="N4055" s="10">
        <f>IF(Tank3!$C$23="No control",(SUMIF(Tank3!$B$32:$B$49,$J4055,Tank3!$C$32:$C$49)*Impacts!$F$10),0)</f>
        <v>0</v>
      </c>
      <c r="O4055" s="10">
        <f>IF(Tank4!$C$23="No control",(SUMIF(Tank4!$B$32:$B$49,$J4055,Tank4!$C$32:$C$49)*Impacts!$F$11),0)</f>
        <v>0</v>
      </c>
      <c r="P4055" s="10">
        <f>IF(Tank5!$C$23="No control",(SUMIF(Tank5!$B$32:$B$49,$J4055,Tank5!$C$32:$C$49)*Impacts!$F$12),0)</f>
        <v>0</v>
      </c>
      <c r="Q4055" s="10">
        <f>IFERROR(IF(('Loading-drum,tote'!$C$21)="No control",SUMIF(('Loading-drum,tote'!$B$31:$B$48),$J4055,('Loading-drum,tote'!$D$31:$D$48))*Impacts!$F$13,IF(('Loading-drum,tote'!$C$21)&lt;&gt;"No control",SUMIF(('Loading-drum,tote'!$B$31:$B$48),$J4055,('Loading-drum,tote'!$E$31:$E$48))*Impacts!$F$13,0)),0)</f>
        <v>0</v>
      </c>
      <c r="R4055" s="10">
        <f>IFERROR(IF(('Loading-truck'!$C$21)="No control",SUMIF(('Loading-truck'!$B$31:$B$48),$J4055,('Loading-truck'!$D$31:$D$48))*Impacts!$F$14,IF(('Loading-truck'!$C$21)&lt;&gt;"No control",SUMIF(('Loading-truck'!$B$31:$B$48),$J4055,('Loading-truck'!$E$31:$E$48))*Impacts!$F$14,0)),0)</f>
        <v>0</v>
      </c>
      <c r="S4055" s="10">
        <f>IFERROR(IF(('Loading-rail'!$C$21)="No control",SUMIF(('Loading-rail'!$B$31:$B$48),$J4055,('Loading-rail'!$D$31:$D$48))*Impacts!$F$15,IF(('Loading-rail'!$C$21)&lt;&gt;"No control",SUMIF(('Loading-rail'!$B$31:$B$48),$J4055,('Loading-rail'!$E$31:$E$48))*Impacts!$F$15,0)),0)</f>
        <v>0</v>
      </c>
      <c r="T4055" s="10">
        <f>IF(Flare!$C$7="",0,(SUMIF(Flare!$B$46:$B$185,$J4055,Flare!$E$46:$E$185)*Impacts!$F$16))</f>
        <v>0</v>
      </c>
      <c r="U4055" s="10">
        <f>IF(VCU!$C$9="",0,(SUMIF(VCU!$B$51:$B$193,$J4055,VCU!$E$51:$E$193)*Impacts!$F$17))</f>
        <v>0</v>
      </c>
      <c r="V4055" s="10">
        <f>IF(CAS!$C$7="",0,(SUMIF(CAS!$B$31:$B$167,$J4055,CAS!$E$31:$E$167)*Impacts!$F$18))</f>
        <v>0</v>
      </c>
      <c r="W4055" s="10">
        <f t="shared" si="103"/>
        <v>0</v>
      </c>
      <c r="AK4055" s="10" t="str">
        <f t="array" ref="AK4055">IFERROR(INDEX(SelectedSpecies,SMALL(IF(SelectedSpecies=AK$1,ROW(SelectedSpecies)),ROW(4056:4056)),2),"")</f>
        <v/>
      </c>
      <c r="BE4055" s="10"/>
      <c r="BI4055" s="10"/>
    </row>
    <row r="4056" spans="1:61" ht="21" customHeight="1" x14ac:dyDescent="0.25">
      <c r="A4056" s="10"/>
      <c r="B4056" s="10"/>
      <c r="E4056" s="10"/>
      <c r="G4056" s="10"/>
      <c r="I4056" s="436" t="s">
        <v>8314</v>
      </c>
      <c r="J4056" s="26" t="s">
        <v>8313</v>
      </c>
      <c r="K4056" s="10">
        <v>1E-3</v>
      </c>
      <c r="L4056" s="73">
        <f>IF(Tank1!$C$23="No control",(SUMIF(Tank1!$B$32:$B$49,$J4056,Tank1!$C$32:$C$49)*Impacts!$F$8),0)</f>
        <v>0</v>
      </c>
      <c r="M4056" s="10">
        <f>IF(Tank2!$C$23="No control",(SUMIF(Tank2!$B$32:$B$49,$J4056,Tank2!$C$32:$C$49)*Impacts!$F$9),0)</f>
        <v>0</v>
      </c>
      <c r="N4056" s="10">
        <f>IF(Tank3!$C$23="No control",(SUMIF(Tank3!$B$32:$B$49,$J4056,Tank3!$C$32:$C$49)*Impacts!$F$10),0)</f>
        <v>0</v>
      </c>
      <c r="O4056" s="10">
        <f>IF(Tank4!$C$23="No control",(SUMIF(Tank4!$B$32:$B$49,$J4056,Tank4!$C$32:$C$49)*Impacts!$F$11),0)</f>
        <v>0</v>
      </c>
      <c r="P4056" s="10">
        <f>IF(Tank5!$C$23="No control",(SUMIF(Tank5!$B$32:$B$49,$J4056,Tank5!$C$32:$C$49)*Impacts!$F$12),0)</f>
        <v>0</v>
      </c>
      <c r="Q4056" s="10">
        <f>IFERROR(IF(('Loading-drum,tote'!$C$21)="No control",SUMIF(('Loading-drum,tote'!$B$31:$B$48),$J4056,('Loading-drum,tote'!$D$31:$D$48))*Impacts!$F$13,IF(('Loading-drum,tote'!$C$21)&lt;&gt;"No control",SUMIF(('Loading-drum,tote'!$B$31:$B$48),$J4056,('Loading-drum,tote'!$E$31:$E$48))*Impacts!$F$13,0)),0)</f>
        <v>0</v>
      </c>
      <c r="R4056" s="10">
        <f>IFERROR(IF(('Loading-truck'!$C$21)="No control",SUMIF(('Loading-truck'!$B$31:$B$48),$J4056,('Loading-truck'!$D$31:$D$48))*Impacts!$F$14,IF(('Loading-truck'!$C$21)&lt;&gt;"No control",SUMIF(('Loading-truck'!$B$31:$B$48),$J4056,('Loading-truck'!$E$31:$E$48))*Impacts!$F$14,0)),0)</f>
        <v>0</v>
      </c>
      <c r="S4056" s="10">
        <f>IFERROR(IF(('Loading-rail'!$C$21)="No control",SUMIF(('Loading-rail'!$B$31:$B$48),$J4056,('Loading-rail'!$D$31:$D$48))*Impacts!$F$15,IF(('Loading-rail'!$C$21)&lt;&gt;"No control",SUMIF(('Loading-rail'!$B$31:$B$48),$J4056,('Loading-rail'!$E$31:$E$48))*Impacts!$F$15,0)),0)</f>
        <v>0</v>
      </c>
      <c r="T4056" s="10">
        <f>IF(Flare!$C$7="",0,(SUMIF(Flare!$B$46:$B$185,$J4056,Flare!$E$46:$E$185)*Impacts!$F$16))</f>
        <v>0</v>
      </c>
      <c r="U4056" s="10">
        <f>IF(VCU!$C$9="",0,(SUMIF(VCU!$B$51:$B$193,$J4056,VCU!$E$51:$E$193)*Impacts!$F$17))</f>
        <v>0</v>
      </c>
      <c r="V4056" s="10">
        <f>IF(CAS!$C$7="",0,(SUMIF(CAS!$B$31:$B$167,$J4056,CAS!$E$31:$E$167)*Impacts!$F$18))</f>
        <v>0</v>
      </c>
      <c r="W4056" s="10">
        <f t="shared" si="103"/>
        <v>0</v>
      </c>
      <c r="AK4056" s="10" t="str">
        <f t="array" ref="AK4056">IFERROR(INDEX(SelectedSpecies,SMALL(IF(SelectedSpecies=AK$1,ROW(SelectedSpecies)),ROW(4057:4057)),2),"")</f>
        <v/>
      </c>
      <c r="BE4056" s="10"/>
      <c r="BI4056" s="10"/>
    </row>
    <row r="4057" spans="1:61" ht="21" customHeight="1" x14ac:dyDescent="0.25">
      <c r="A4057" s="10"/>
      <c r="B4057" s="10"/>
      <c r="E4057" s="10"/>
      <c r="G4057" s="10"/>
      <c r="I4057" s="436" t="s">
        <v>1899</v>
      </c>
      <c r="J4057" s="26" t="s">
        <v>1898</v>
      </c>
      <c r="K4057" s="10">
        <v>20</v>
      </c>
      <c r="L4057" s="73">
        <f>IF(Tank1!$C$23="No control",(SUMIF(Tank1!$B$32:$B$49,$J4057,Tank1!$C$32:$C$49)*Impacts!$F$8),0)</f>
        <v>0</v>
      </c>
      <c r="M4057" s="10">
        <f>IF(Tank2!$C$23="No control",(SUMIF(Tank2!$B$32:$B$49,$J4057,Tank2!$C$32:$C$49)*Impacts!$F$9),0)</f>
        <v>0</v>
      </c>
      <c r="N4057" s="10">
        <f>IF(Tank3!$C$23="No control",(SUMIF(Tank3!$B$32:$B$49,$J4057,Tank3!$C$32:$C$49)*Impacts!$F$10),0)</f>
        <v>0</v>
      </c>
      <c r="O4057" s="10">
        <f>IF(Tank4!$C$23="No control",(SUMIF(Tank4!$B$32:$B$49,$J4057,Tank4!$C$32:$C$49)*Impacts!$F$11),0)</f>
        <v>0</v>
      </c>
      <c r="P4057" s="10">
        <f>IF(Tank5!$C$23="No control",(SUMIF(Tank5!$B$32:$B$49,$J4057,Tank5!$C$32:$C$49)*Impacts!$F$12),0)</f>
        <v>0</v>
      </c>
      <c r="Q4057" s="10">
        <f>IFERROR(IF(('Loading-drum,tote'!$C$21)="No control",SUMIF(('Loading-drum,tote'!$B$31:$B$48),$J4057,('Loading-drum,tote'!$D$31:$D$48))*Impacts!$F$13,IF(('Loading-drum,tote'!$C$21)&lt;&gt;"No control",SUMIF(('Loading-drum,tote'!$B$31:$B$48),$J4057,('Loading-drum,tote'!$E$31:$E$48))*Impacts!$F$13,0)),0)</f>
        <v>0</v>
      </c>
      <c r="R4057" s="10">
        <f>IFERROR(IF(('Loading-truck'!$C$21)="No control",SUMIF(('Loading-truck'!$B$31:$B$48),$J4057,('Loading-truck'!$D$31:$D$48))*Impacts!$F$14,IF(('Loading-truck'!$C$21)&lt;&gt;"No control",SUMIF(('Loading-truck'!$B$31:$B$48),$J4057,('Loading-truck'!$E$31:$E$48))*Impacts!$F$14,0)),0)</f>
        <v>0</v>
      </c>
      <c r="S4057" s="10">
        <f>IFERROR(IF(('Loading-rail'!$C$21)="No control",SUMIF(('Loading-rail'!$B$31:$B$48),$J4057,('Loading-rail'!$D$31:$D$48))*Impacts!$F$15,IF(('Loading-rail'!$C$21)&lt;&gt;"No control",SUMIF(('Loading-rail'!$B$31:$B$48),$J4057,('Loading-rail'!$E$31:$E$48))*Impacts!$F$15,0)),0)</f>
        <v>0</v>
      </c>
      <c r="T4057" s="10">
        <f>IF(Flare!$C$7="",0,(SUMIF(Flare!$B$46:$B$185,$J4057,Flare!$E$46:$E$185)*Impacts!$F$16))</f>
        <v>0</v>
      </c>
      <c r="U4057" s="10">
        <f>IF(VCU!$C$9="",0,(SUMIF(VCU!$B$51:$B$193,$J4057,VCU!$E$51:$E$193)*Impacts!$F$17))</f>
        <v>0</v>
      </c>
      <c r="V4057" s="10">
        <f>IF(CAS!$C$7="",0,(SUMIF(CAS!$B$31:$B$167,$J4057,CAS!$E$31:$E$167)*Impacts!$F$18))</f>
        <v>0</v>
      </c>
      <c r="W4057" s="10">
        <f t="shared" si="103"/>
        <v>0</v>
      </c>
      <c r="AK4057" s="10" t="str">
        <f t="array" ref="AK4057">IFERROR(INDEX(SelectedSpecies,SMALL(IF(SelectedSpecies=AK$1,ROW(SelectedSpecies)),ROW(4058:4058)),2),"")</f>
        <v/>
      </c>
      <c r="BE4057" s="10"/>
      <c r="BI4057" s="10"/>
    </row>
    <row r="4058" spans="1:61" ht="21" customHeight="1" x14ac:dyDescent="0.25">
      <c r="A4058" s="10"/>
      <c r="B4058" s="10"/>
      <c r="E4058" s="10"/>
      <c r="G4058" s="10"/>
      <c r="I4058" s="436" t="s">
        <v>1987</v>
      </c>
      <c r="J4058" s="26" t="s">
        <v>1986</v>
      </c>
      <c r="K4058" s="10">
        <v>18</v>
      </c>
      <c r="L4058" s="73">
        <f>IF(Tank1!$C$23="No control",(SUMIF(Tank1!$B$32:$B$49,$J4058,Tank1!$C$32:$C$49)*Impacts!$F$8),0)</f>
        <v>0</v>
      </c>
      <c r="M4058" s="10">
        <f>IF(Tank2!$C$23="No control",(SUMIF(Tank2!$B$32:$B$49,$J4058,Tank2!$C$32:$C$49)*Impacts!$F$9),0)</f>
        <v>0</v>
      </c>
      <c r="N4058" s="10">
        <f>IF(Tank3!$C$23="No control",(SUMIF(Tank3!$B$32:$B$49,$J4058,Tank3!$C$32:$C$49)*Impacts!$F$10),0)</f>
        <v>0</v>
      </c>
      <c r="O4058" s="10">
        <f>IF(Tank4!$C$23="No control",(SUMIF(Tank4!$B$32:$B$49,$J4058,Tank4!$C$32:$C$49)*Impacts!$F$11),0)</f>
        <v>0</v>
      </c>
      <c r="P4058" s="10">
        <f>IF(Tank5!$C$23="No control",(SUMIF(Tank5!$B$32:$B$49,$J4058,Tank5!$C$32:$C$49)*Impacts!$F$12),0)</f>
        <v>0</v>
      </c>
      <c r="Q4058" s="10">
        <f>IFERROR(IF(('Loading-drum,tote'!$C$21)="No control",SUMIF(('Loading-drum,tote'!$B$31:$B$48),$J4058,('Loading-drum,tote'!$D$31:$D$48))*Impacts!$F$13,IF(('Loading-drum,tote'!$C$21)&lt;&gt;"No control",SUMIF(('Loading-drum,tote'!$B$31:$B$48),$J4058,('Loading-drum,tote'!$E$31:$E$48))*Impacts!$F$13,0)),0)</f>
        <v>0</v>
      </c>
      <c r="R4058" s="10">
        <f>IFERROR(IF(('Loading-truck'!$C$21)="No control",SUMIF(('Loading-truck'!$B$31:$B$48),$J4058,('Loading-truck'!$D$31:$D$48))*Impacts!$F$14,IF(('Loading-truck'!$C$21)&lt;&gt;"No control",SUMIF(('Loading-truck'!$B$31:$B$48),$J4058,('Loading-truck'!$E$31:$E$48))*Impacts!$F$14,0)),0)</f>
        <v>0</v>
      </c>
      <c r="S4058" s="10">
        <f>IFERROR(IF(('Loading-rail'!$C$21)="No control",SUMIF(('Loading-rail'!$B$31:$B$48),$J4058,('Loading-rail'!$D$31:$D$48))*Impacts!$F$15,IF(('Loading-rail'!$C$21)&lt;&gt;"No control",SUMIF(('Loading-rail'!$B$31:$B$48),$J4058,('Loading-rail'!$E$31:$E$48))*Impacts!$F$15,0)),0)</f>
        <v>0</v>
      </c>
      <c r="T4058" s="10">
        <f>IF(Flare!$C$7="",0,(SUMIF(Flare!$B$46:$B$185,$J4058,Flare!$E$46:$E$185)*Impacts!$F$16))</f>
        <v>0</v>
      </c>
      <c r="U4058" s="10">
        <f>IF(VCU!$C$9="",0,(SUMIF(VCU!$B$51:$B$193,$J4058,VCU!$E$51:$E$193)*Impacts!$F$17))</f>
        <v>0</v>
      </c>
      <c r="V4058" s="10">
        <f>IF(CAS!$C$7="",0,(SUMIF(CAS!$B$31:$B$167,$J4058,CAS!$E$31:$E$167)*Impacts!$F$18))</f>
        <v>0</v>
      </c>
      <c r="W4058" s="10">
        <f t="shared" ref="W4058:W4121" si="104">SUM(L4058:V4058)</f>
        <v>0</v>
      </c>
      <c r="AK4058" s="10" t="str">
        <f t="array" ref="AK4058">IFERROR(INDEX(SelectedSpecies,SMALL(IF(SelectedSpecies=AK$1,ROW(SelectedSpecies)),ROW(4059:4059)),2),"")</f>
        <v/>
      </c>
      <c r="BE4058" s="10"/>
      <c r="BI4058" s="10"/>
    </row>
    <row r="4059" spans="1:61" ht="21" customHeight="1" x14ac:dyDescent="0.25">
      <c r="A4059" s="10"/>
      <c r="B4059" s="10"/>
      <c r="E4059" s="10"/>
      <c r="G4059" s="10"/>
      <c r="I4059" s="436" t="s">
        <v>3899</v>
      </c>
      <c r="J4059" s="26" t="s">
        <v>3898</v>
      </c>
      <c r="K4059" s="10">
        <v>6</v>
      </c>
      <c r="L4059" s="73">
        <f>IF(Tank1!$C$23="No control",(SUMIF(Tank1!$B$32:$B$49,$J4059,Tank1!$C$32:$C$49)*Impacts!$F$8),0)</f>
        <v>0</v>
      </c>
      <c r="M4059" s="10">
        <f>IF(Tank2!$C$23="No control",(SUMIF(Tank2!$B$32:$B$49,$J4059,Tank2!$C$32:$C$49)*Impacts!$F$9),0)</f>
        <v>0</v>
      </c>
      <c r="N4059" s="10">
        <f>IF(Tank3!$C$23="No control",(SUMIF(Tank3!$B$32:$B$49,$J4059,Tank3!$C$32:$C$49)*Impacts!$F$10),0)</f>
        <v>0</v>
      </c>
      <c r="O4059" s="10">
        <f>IF(Tank4!$C$23="No control",(SUMIF(Tank4!$B$32:$B$49,$J4059,Tank4!$C$32:$C$49)*Impacts!$F$11),0)</f>
        <v>0</v>
      </c>
      <c r="P4059" s="10">
        <f>IF(Tank5!$C$23="No control",(SUMIF(Tank5!$B$32:$B$49,$J4059,Tank5!$C$32:$C$49)*Impacts!$F$12),0)</f>
        <v>0</v>
      </c>
      <c r="Q4059" s="10">
        <f>IFERROR(IF(('Loading-drum,tote'!$C$21)="No control",SUMIF(('Loading-drum,tote'!$B$31:$B$48),$J4059,('Loading-drum,tote'!$D$31:$D$48))*Impacts!$F$13,IF(('Loading-drum,tote'!$C$21)&lt;&gt;"No control",SUMIF(('Loading-drum,tote'!$B$31:$B$48),$J4059,('Loading-drum,tote'!$E$31:$E$48))*Impacts!$F$13,0)),0)</f>
        <v>0</v>
      </c>
      <c r="R4059" s="10">
        <f>IFERROR(IF(('Loading-truck'!$C$21)="No control",SUMIF(('Loading-truck'!$B$31:$B$48),$J4059,('Loading-truck'!$D$31:$D$48))*Impacts!$F$14,IF(('Loading-truck'!$C$21)&lt;&gt;"No control",SUMIF(('Loading-truck'!$B$31:$B$48),$J4059,('Loading-truck'!$E$31:$E$48))*Impacts!$F$14,0)),0)</f>
        <v>0</v>
      </c>
      <c r="S4059" s="10">
        <f>IFERROR(IF(('Loading-rail'!$C$21)="No control",SUMIF(('Loading-rail'!$B$31:$B$48),$J4059,('Loading-rail'!$D$31:$D$48))*Impacts!$F$15,IF(('Loading-rail'!$C$21)&lt;&gt;"No control",SUMIF(('Loading-rail'!$B$31:$B$48),$J4059,('Loading-rail'!$E$31:$E$48))*Impacts!$F$15,0)),0)</f>
        <v>0</v>
      </c>
      <c r="T4059" s="10">
        <f>IF(Flare!$C$7="",0,(SUMIF(Flare!$B$46:$B$185,$J4059,Flare!$E$46:$E$185)*Impacts!$F$16))</f>
        <v>0</v>
      </c>
      <c r="U4059" s="10">
        <f>IF(VCU!$C$9="",0,(SUMIF(VCU!$B$51:$B$193,$J4059,VCU!$E$51:$E$193)*Impacts!$F$17))</f>
        <v>0</v>
      </c>
      <c r="V4059" s="10">
        <f>IF(CAS!$C$7="",0,(SUMIF(CAS!$B$31:$B$167,$J4059,CAS!$E$31:$E$167)*Impacts!$F$18))</f>
        <v>0</v>
      </c>
      <c r="W4059" s="10">
        <f t="shared" si="104"/>
        <v>0</v>
      </c>
      <c r="AK4059" s="10" t="str">
        <f t="array" ref="AK4059">IFERROR(INDEX(SelectedSpecies,SMALL(IF(SelectedSpecies=AK$1,ROW(SelectedSpecies)),ROW(4060:4060)),2),"")</f>
        <v/>
      </c>
      <c r="BE4059" s="10"/>
      <c r="BI4059" s="10"/>
    </row>
    <row r="4060" spans="1:61" ht="21" customHeight="1" x14ac:dyDescent="0.25">
      <c r="A4060" s="10"/>
      <c r="B4060" s="10"/>
      <c r="E4060" s="10"/>
      <c r="G4060" s="10"/>
      <c r="I4060" s="436" t="s">
        <v>7042</v>
      </c>
      <c r="J4060" s="26" t="s">
        <v>7041</v>
      </c>
      <c r="K4060" s="10">
        <v>0.45</v>
      </c>
      <c r="L4060" s="73">
        <f>IF(Tank1!$C$23="No control",(SUMIF(Tank1!$B$32:$B$49,$J4060,Tank1!$C$32:$C$49)*Impacts!$F$8),0)</f>
        <v>0</v>
      </c>
      <c r="M4060" s="10">
        <f>IF(Tank2!$C$23="No control",(SUMIF(Tank2!$B$32:$B$49,$J4060,Tank2!$C$32:$C$49)*Impacts!$F$9),0)</f>
        <v>0</v>
      </c>
      <c r="N4060" s="10">
        <f>IF(Tank3!$C$23="No control",(SUMIF(Tank3!$B$32:$B$49,$J4060,Tank3!$C$32:$C$49)*Impacts!$F$10),0)</f>
        <v>0</v>
      </c>
      <c r="O4060" s="10">
        <f>IF(Tank4!$C$23="No control",(SUMIF(Tank4!$B$32:$B$49,$J4060,Tank4!$C$32:$C$49)*Impacts!$F$11),0)</f>
        <v>0</v>
      </c>
      <c r="P4060" s="10">
        <f>IF(Tank5!$C$23="No control",(SUMIF(Tank5!$B$32:$B$49,$J4060,Tank5!$C$32:$C$49)*Impacts!$F$12),0)</f>
        <v>0</v>
      </c>
      <c r="Q4060" s="10">
        <f>IFERROR(IF(('Loading-drum,tote'!$C$21)="No control",SUMIF(('Loading-drum,tote'!$B$31:$B$48),$J4060,('Loading-drum,tote'!$D$31:$D$48))*Impacts!$F$13,IF(('Loading-drum,tote'!$C$21)&lt;&gt;"No control",SUMIF(('Loading-drum,tote'!$B$31:$B$48),$J4060,('Loading-drum,tote'!$E$31:$E$48))*Impacts!$F$13,0)),0)</f>
        <v>0</v>
      </c>
      <c r="R4060" s="10">
        <f>IFERROR(IF(('Loading-truck'!$C$21)="No control",SUMIF(('Loading-truck'!$B$31:$B$48),$J4060,('Loading-truck'!$D$31:$D$48))*Impacts!$F$14,IF(('Loading-truck'!$C$21)&lt;&gt;"No control",SUMIF(('Loading-truck'!$B$31:$B$48),$J4060,('Loading-truck'!$E$31:$E$48))*Impacts!$F$14,0)),0)</f>
        <v>0</v>
      </c>
      <c r="S4060" s="10">
        <f>IFERROR(IF(('Loading-rail'!$C$21)="No control",SUMIF(('Loading-rail'!$B$31:$B$48),$J4060,('Loading-rail'!$D$31:$D$48))*Impacts!$F$15,IF(('Loading-rail'!$C$21)&lt;&gt;"No control",SUMIF(('Loading-rail'!$B$31:$B$48),$J4060,('Loading-rail'!$E$31:$E$48))*Impacts!$F$15,0)),0)</f>
        <v>0</v>
      </c>
      <c r="T4060" s="10">
        <f>IF(Flare!$C$7="",0,(SUMIF(Flare!$B$46:$B$185,$J4060,Flare!$E$46:$E$185)*Impacts!$F$16))</f>
        <v>0</v>
      </c>
      <c r="U4060" s="10">
        <f>IF(VCU!$C$9="",0,(SUMIF(VCU!$B$51:$B$193,$J4060,VCU!$E$51:$E$193)*Impacts!$F$17))</f>
        <v>0</v>
      </c>
      <c r="V4060" s="10">
        <f>IF(CAS!$C$7="",0,(SUMIF(CAS!$B$31:$B$167,$J4060,CAS!$E$31:$E$167)*Impacts!$F$18))</f>
        <v>0</v>
      </c>
      <c r="W4060" s="10">
        <f t="shared" si="104"/>
        <v>0</v>
      </c>
      <c r="AK4060" s="10" t="str">
        <f t="array" ref="AK4060">IFERROR(INDEX(SelectedSpecies,SMALL(IF(SelectedSpecies=AK$1,ROW(SelectedSpecies)),ROW(4061:4061)),2),"")</f>
        <v/>
      </c>
      <c r="BE4060" s="10"/>
      <c r="BI4060" s="10"/>
    </row>
    <row r="4061" spans="1:61" ht="21" customHeight="1" x14ac:dyDescent="0.25">
      <c r="A4061" s="10"/>
      <c r="B4061" s="10"/>
      <c r="E4061" s="10"/>
      <c r="G4061" s="10"/>
      <c r="I4061" s="436" t="s">
        <v>622</v>
      </c>
      <c r="J4061" s="26" t="s">
        <v>621</v>
      </c>
      <c r="K4061" s="10">
        <v>70</v>
      </c>
      <c r="L4061" s="73">
        <f>IF(Tank1!$C$23="No control",(SUMIF(Tank1!$B$32:$B$49,$J4061,Tank1!$C$32:$C$49)*Impacts!$F$8),0)</f>
        <v>0</v>
      </c>
      <c r="M4061" s="10">
        <f>IF(Tank2!$C$23="No control",(SUMIF(Tank2!$B$32:$B$49,$J4061,Tank2!$C$32:$C$49)*Impacts!$F$9),0)</f>
        <v>0</v>
      </c>
      <c r="N4061" s="10">
        <f>IF(Tank3!$C$23="No control",(SUMIF(Tank3!$B$32:$B$49,$J4061,Tank3!$C$32:$C$49)*Impacts!$F$10),0)</f>
        <v>0</v>
      </c>
      <c r="O4061" s="10">
        <f>IF(Tank4!$C$23="No control",(SUMIF(Tank4!$B$32:$B$49,$J4061,Tank4!$C$32:$C$49)*Impacts!$F$11),0)</f>
        <v>0</v>
      </c>
      <c r="P4061" s="10">
        <f>IF(Tank5!$C$23="No control",(SUMIF(Tank5!$B$32:$B$49,$J4061,Tank5!$C$32:$C$49)*Impacts!$F$12),0)</f>
        <v>0</v>
      </c>
      <c r="Q4061" s="10">
        <f>IFERROR(IF(('Loading-drum,tote'!$C$21)="No control",SUMIF(('Loading-drum,tote'!$B$31:$B$48),$J4061,('Loading-drum,tote'!$D$31:$D$48))*Impacts!$F$13,IF(('Loading-drum,tote'!$C$21)&lt;&gt;"No control",SUMIF(('Loading-drum,tote'!$B$31:$B$48),$J4061,('Loading-drum,tote'!$E$31:$E$48))*Impacts!$F$13,0)),0)</f>
        <v>0</v>
      </c>
      <c r="R4061" s="10">
        <f>IFERROR(IF(('Loading-truck'!$C$21)="No control",SUMIF(('Loading-truck'!$B$31:$B$48),$J4061,('Loading-truck'!$D$31:$D$48))*Impacts!$F$14,IF(('Loading-truck'!$C$21)&lt;&gt;"No control",SUMIF(('Loading-truck'!$B$31:$B$48),$J4061,('Loading-truck'!$E$31:$E$48))*Impacts!$F$14,0)),0)</f>
        <v>0</v>
      </c>
      <c r="S4061" s="10">
        <f>IFERROR(IF(('Loading-rail'!$C$21)="No control",SUMIF(('Loading-rail'!$B$31:$B$48),$J4061,('Loading-rail'!$D$31:$D$48))*Impacts!$F$15,IF(('Loading-rail'!$C$21)&lt;&gt;"No control",SUMIF(('Loading-rail'!$B$31:$B$48),$J4061,('Loading-rail'!$E$31:$E$48))*Impacts!$F$15,0)),0)</f>
        <v>0</v>
      </c>
      <c r="T4061" s="10">
        <f>IF(Flare!$C$7="",0,(SUMIF(Flare!$B$46:$B$185,$J4061,Flare!$E$46:$E$185)*Impacts!$F$16))</f>
        <v>0</v>
      </c>
      <c r="U4061" s="10">
        <f>IF(VCU!$C$9="",0,(SUMIF(VCU!$B$51:$B$193,$J4061,VCU!$E$51:$E$193)*Impacts!$F$17))</f>
        <v>0</v>
      </c>
      <c r="V4061" s="10">
        <f>IF(CAS!$C$7="",0,(SUMIF(CAS!$B$31:$B$167,$J4061,CAS!$E$31:$E$167)*Impacts!$F$18))</f>
        <v>0</v>
      </c>
      <c r="W4061" s="10">
        <f t="shared" si="104"/>
        <v>0</v>
      </c>
      <c r="AK4061" s="10" t="str">
        <f t="array" ref="AK4061">IFERROR(INDEX(SelectedSpecies,SMALL(IF(SelectedSpecies=AK$1,ROW(SelectedSpecies)),ROW(4062:4062)),2),"")</f>
        <v/>
      </c>
      <c r="BE4061" s="10"/>
      <c r="BI4061" s="10"/>
    </row>
    <row r="4062" spans="1:61" ht="21" customHeight="1" x14ac:dyDescent="0.25">
      <c r="A4062" s="10"/>
      <c r="B4062" s="10"/>
      <c r="E4062" s="10"/>
      <c r="G4062" s="10"/>
      <c r="I4062" s="436" t="s">
        <v>5499</v>
      </c>
      <c r="J4062" s="26" t="s">
        <v>5498</v>
      </c>
      <c r="K4062" s="10">
        <v>1.3</v>
      </c>
      <c r="L4062" s="73">
        <f>IF(Tank1!$C$23="No control",(SUMIF(Tank1!$B$32:$B$49,$J4062,Tank1!$C$32:$C$49)*Impacts!$F$8),0)</f>
        <v>0</v>
      </c>
      <c r="M4062" s="10">
        <f>IF(Tank2!$C$23="No control",(SUMIF(Tank2!$B$32:$B$49,$J4062,Tank2!$C$32:$C$49)*Impacts!$F$9),0)</f>
        <v>0</v>
      </c>
      <c r="N4062" s="10">
        <f>IF(Tank3!$C$23="No control",(SUMIF(Tank3!$B$32:$B$49,$J4062,Tank3!$C$32:$C$49)*Impacts!$F$10),0)</f>
        <v>0</v>
      </c>
      <c r="O4062" s="10">
        <f>IF(Tank4!$C$23="No control",(SUMIF(Tank4!$B$32:$B$49,$J4062,Tank4!$C$32:$C$49)*Impacts!$F$11),0)</f>
        <v>0</v>
      </c>
      <c r="P4062" s="10">
        <f>IF(Tank5!$C$23="No control",(SUMIF(Tank5!$B$32:$B$49,$J4062,Tank5!$C$32:$C$49)*Impacts!$F$12),0)</f>
        <v>0</v>
      </c>
      <c r="Q4062" s="10">
        <f>IFERROR(IF(('Loading-drum,tote'!$C$21)="No control",SUMIF(('Loading-drum,tote'!$B$31:$B$48),$J4062,('Loading-drum,tote'!$D$31:$D$48))*Impacts!$F$13,IF(('Loading-drum,tote'!$C$21)&lt;&gt;"No control",SUMIF(('Loading-drum,tote'!$B$31:$B$48),$J4062,('Loading-drum,tote'!$E$31:$E$48))*Impacts!$F$13,0)),0)</f>
        <v>0</v>
      </c>
      <c r="R4062" s="10">
        <f>IFERROR(IF(('Loading-truck'!$C$21)="No control",SUMIF(('Loading-truck'!$B$31:$B$48),$J4062,('Loading-truck'!$D$31:$D$48))*Impacts!$F$14,IF(('Loading-truck'!$C$21)&lt;&gt;"No control",SUMIF(('Loading-truck'!$B$31:$B$48),$J4062,('Loading-truck'!$E$31:$E$48))*Impacts!$F$14,0)),0)</f>
        <v>0</v>
      </c>
      <c r="S4062" s="10">
        <f>IFERROR(IF(('Loading-rail'!$C$21)="No control",SUMIF(('Loading-rail'!$B$31:$B$48),$J4062,('Loading-rail'!$D$31:$D$48))*Impacts!$F$15,IF(('Loading-rail'!$C$21)&lt;&gt;"No control",SUMIF(('Loading-rail'!$B$31:$B$48),$J4062,('Loading-rail'!$E$31:$E$48))*Impacts!$F$15,0)),0)</f>
        <v>0</v>
      </c>
      <c r="T4062" s="10">
        <f>IF(Flare!$C$7="",0,(SUMIF(Flare!$B$46:$B$185,$J4062,Flare!$E$46:$E$185)*Impacts!$F$16))</f>
        <v>0</v>
      </c>
      <c r="U4062" s="10">
        <f>IF(VCU!$C$9="",0,(SUMIF(VCU!$B$51:$B$193,$J4062,VCU!$E$51:$E$193)*Impacts!$F$17))</f>
        <v>0</v>
      </c>
      <c r="V4062" s="10">
        <f>IF(CAS!$C$7="",0,(SUMIF(CAS!$B$31:$B$167,$J4062,CAS!$E$31:$E$167)*Impacts!$F$18))</f>
        <v>0</v>
      </c>
      <c r="W4062" s="10">
        <f t="shared" si="104"/>
        <v>0</v>
      </c>
      <c r="AK4062" s="10" t="str">
        <f t="array" ref="AK4062">IFERROR(INDEX(SelectedSpecies,SMALL(IF(SelectedSpecies=AK$1,ROW(SelectedSpecies)),ROW(4063:4063)),2),"")</f>
        <v/>
      </c>
      <c r="BE4062" s="10"/>
      <c r="BI4062" s="10"/>
    </row>
    <row r="4063" spans="1:61" ht="21" customHeight="1" x14ac:dyDescent="0.25">
      <c r="A4063" s="10"/>
      <c r="B4063" s="10"/>
      <c r="E4063" s="10"/>
      <c r="G4063" s="10"/>
      <c r="I4063" s="436" t="s">
        <v>6982</v>
      </c>
      <c r="J4063" s="26" t="s">
        <v>6981</v>
      </c>
      <c r="K4063" s="10">
        <v>0.5</v>
      </c>
      <c r="L4063" s="73">
        <f>IF(Tank1!$C$23="No control",(SUMIF(Tank1!$B$32:$B$49,$J4063,Tank1!$C$32:$C$49)*Impacts!$F$8),0)</f>
        <v>0</v>
      </c>
      <c r="M4063" s="10">
        <f>IF(Tank2!$C$23="No control",(SUMIF(Tank2!$B$32:$B$49,$J4063,Tank2!$C$32:$C$49)*Impacts!$F$9),0)</f>
        <v>0</v>
      </c>
      <c r="N4063" s="10">
        <f>IF(Tank3!$C$23="No control",(SUMIF(Tank3!$B$32:$B$49,$J4063,Tank3!$C$32:$C$49)*Impacts!$F$10),0)</f>
        <v>0</v>
      </c>
      <c r="O4063" s="10">
        <f>IF(Tank4!$C$23="No control",(SUMIF(Tank4!$B$32:$B$49,$J4063,Tank4!$C$32:$C$49)*Impacts!$F$11),0)</f>
        <v>0</v>
      </c>
      <c r="P4063" s="10">
        <f>IF(Tank5!$C$23="No control",(SUMIF(Tank5!$B$32:$B$49,$J4063,Tank5!$C$32:$C$49)*Impacts!$F$12),0)</f>
        <v>0</v>
      </c>
      <c r="Q4063" s="10">
        <f>IFERROR(IF(('Loading-drum,tote'!$C$21)="No control",SUMIF(('Loading-drum,tote'!$B$31:$B$48),$J4063,('Loading-drum,tote'!$D$31:$D$48))*Impacts!$F$13,IF(('Loading-drum,tote'!$C$21)&lt;&gt;"No control",SUMIF(('Loading-drum,tote'!$B$31:$B$48),$J4063,('Loading-drum,tote'!$E$31:$E$48))*Impacts!$F$13,0)),0)</f>
        <v>0</v>
      </c>
      <c r="R4063" s="10">
        <f>IFERROR(IF(('Loading-truck'!$C$21)="No control",SUMIF(('Loading-truck'!$B$31:$B$48),$J4063,('Loading-truck'!$D$31:$D$48))*Impacts!$F$14,IF(('Loading-truck'!$C$21)&lt;&gt;"No control",SUMIF(('Loading-truck'!$B$31:$B$48),$J4063,('Loading-truck'!$E$31:$E$48))*Impacts!$F$14,0)),0)</f>
        <v>0</v>
      </c>
      <c r="S4063" s="10">
        <f>IFERROR(IF(('Loading-rail'!$C$21)="No control",SUMIF(('Loading-rail'!$B$31:$B$48),$J4063,('Loading-rail'!$D$31:$D$48))*Impacts!$F$15,IF(('Loading-rail'!$C$21)&lt;&gt;"No control",SUMIF(('Loading-rail'!$B$31:$B$48),$J4063,('Loading-rail'!$E$31:$E$48))*Impacts!$F$15,0)),0)</f>
        <v>0</v>
      </c>
      <c r="T4063" s="10">
        <f>IF(Flare!$C$7="",0,(SUMIF(Flare!$B$46:$B$185,$J4063,Flare!$E$46:$E$185)*Impacts!$F$16))</f>
        <v>0</v>
      </c>
      <c r="U4063" s="10">
        <f>IF(VCU!$C$9="",0,(SUMIF(VCU!$B$51:$B$193,$J4063,VCU!$E$51:$E$193)*Impacts!$F$17))</f>
        <v>0</v>
      </c>
      <c r="V4063" s="10">
        <f>IF(CAS!$C$7="",0,(SUMIF(CAS!$B$31:$B$167,$J4063,CAS!$E$31:$E$167)*Impacts!$F$18))</f>
        <v>0</v>
      </c>
      <c r="W4063" s="10">
        <f t="shared" si="104"/>
        <v>0</v>
      </c>
      <c r="AK4063" s="10" t="str">
        <f t="array" ref="AK4063">IFERROR(INDEX(SelectedSpecies,SMALL(IF(SelectedSpecies=AK$1,ROW(SelectedSpecies)),ROW(4064:4064)),2),"")</f>
        <v/>
      </c>
      <c r="BE4063" s="10"/>
      <c r="BI4063" s="10"/>
    </row>
    <row r="4064" spans="1:61" ht="21" customHeight="1" x14ac:dyDescent="0.25">
      <c r="A4064" s="10"/>
      <c r="B4064" s="10"/>
      <c r="E4064" s="10"/>
      <c r="G4064" s="10"/>
      <c r="I4064" s="436" t="s">
        <v>5249</v>
      </c>
      <c r="J4064" s="26" t="s">
        <v>5248</v>
      </c>
      <c r="K4064" s="10">
        <v>1.9000000000000001</v>
      </c>
      <c r="L4064" s="73">
        <f>IF(Tank1!$C$23="No control",(SUMIF(Tank1!$B$32:$B$49,$J4064,Tank1!$C$32:$C$49)*Impacts!$F$8),0)</f>
        <v>0</v>
      </c>
      <c r="M4064" s="10">
        <f>IF(Tank2!$C$23="No control",(SUMIF(Tank2!$B$32:$B$49,$J4064,Tank2!$C$32:$C$49)*Impacts!$F$9),0)</f>
        <v>0</v>
      </c>
      <c r="N4064" s="10">
        <f>IF(Tank3!$C$23="No control",(SUMIF(Tank3!$B$32:$B$49,$J4064,Tank3!$C$32:$C$49)*Impacts!$F$10),0)</f>
        <v>0</v>
      </c>
      <c r="O4064" s="10">
        <f>IF(Tank4!$C$23="No control",(SUMIF(Tank4!$B$32:$B$49,$J4064,Tank4!$C$32:$C$49)*Impacts!$F$11),0)</f>
        <v>0</v>
      </c>
      <c r="P4064" s="10">
        <f>IF(Tank5!$C$23="No control",(SUMIF(Tank5!$B$32:$B$49,$J4064,Tank5!$C$32:$C$49)*Impacts!$F$12),0)</f>
        <v>0</v>
      </c>
      <c r="Q4064" s="10">
        <f>IFERROR(IF(('Loading-drum,tote'!$C$21)="No control",SUMIF(('Loading-drum,tote'!$B$31:$B$48),$J4064,('Loading-drum,tote'!$D$31:$D$48))*Impacts!$F$13,IF(('Loading-drum,tote'!$C$21)&lt;&gt;"No control",SUMIF(('Loading-drum,tote'!$B$31:$B$48),$J4064,('Loading-drum,tote'!$E$31:$E$48))*Impacts!$F$13,0)),0)</f>
        <v>0</v>
      </c>
      <c r="R4064" s="10">
        <f>IFERROR(IF(('Loading-truck'!$C$21)="No control",SUMIF(('Loading-truck'!$B$31:$B$48),$J4064,('Loading-truck'!$D$31:$D$48))*Impacts!$F$14,IF(('Loading-truck'!$C$21)&lt;&gt;"No control",SUMIF(('Loading-truck'!$B$31:$B$48),$J4064,('Loading-truck'!$E$31:$E$48))*Impacts!$F$14,0)),0)</f>
        <v>0</v>
      </c>
      <c r="S4064" s="10">
        <f>IFERROR(IF(('Loading-rail'!$C$21)="No control",SUMIF(('Loading-rail'!$B$31:$B$48),$J4064,('Loading-rail'!$D$31:$D$48))*Impacts!$F$15,IF(('Loading-rail'!$C$21)&lt;&gt;"No control",SUMIF(('Loading-rail'!$B$31:$B$48),$J4064,('Loading-rail'!$E$31:$E$48))*Impacts!$F$15,0)),0)</f>
        <v>0</v>
      </c>
      <c r="T4064" s="10">
        <f>IF(Flare!$C$7="",0,(SUMIF(Flare!$B$46:$B$185,$J4064,Flare!$E$46:$E$185)*Impacts!$F$16))</f>
        <v>0</v>
      </c>
      <c r="U4064" s="10">
        <f>IF(VCU!$C$9="",0,(SUMIF(VCU!$B$51:$B$193,$J4064,VCU!$E$51:$E$193)*Impacts!$F$17))</f>
        <v>0</v>
      </c>
      <c r="V4064" s="10">
        <f>IF(CAS!$C$7="",0,(SUMIF(CAS!$B$31:$B$167,$J4064,CAS!$E$31:$E$167)*Impacts!$F$18))</f>
        <v>0</v>
      </c>
      <c r="W4064" s="10">
        <f t="shared" si="104"/>
        <v>0</v>
      </c>
      <c r="AK4064" s="10" t="str">
        <f t="array" ref="AK4064">IFERROR(INDEX(SelectedSpecies,SMALL(IF(SelectedSpecies=AK$1,ROW(SelectedSpecies)),ROW(4065:4065)),2),"")</f>
        <v/>
      </c>
      <c r="BE4064" s="10"/>
      <c r="BI4064" s="10"/>
    </row>
    <row r="4065" spans="1:61" ht="21" customHeight="1" x14ac:dyDescent="0.25">
      <c r="A4065" s="10"/>
      <c r="B4065" s="10"/>
      <c r="E4065" s="10"/>
      <c r="G4065" s="10"/>
      <c r="I4065" s="436" t="s">
        <v>4699</v>
      </c>
      <c r="J4065" s="26" t="s">
        <v>4698</v>
      </c>
      <c r="K4065" s="10">
        <v>3.6</v>
      </c>
      <c r="L4065" s="73">
        <f>IF(Tank1!$C$23="No control",(SUMIF(Tank1!$B$32:$B$49,$J4065,Tank1!$C$32:$C$49)*Impacts!$F$8),0)</f>
        <v>0</v>
      </c>
      <c r="M4065" s="10">
        <f>IF(Tank2!$C$23="No control",(SUMIF(Tank2!$B$32:$B$49,$J4065,Tank2!$C$32:$C$49)*Impacts!$F$9),0)</f>
        <v>0</v>
      </c>
      <c r="N4065" s="10">
        <f>IF(Tank3!$C$23="No control",(SUMIF(Tank3!$B$32:$B$49,$J4065,Tank3!$C$32:$C$49)*Impacts!$F$10),0)</f>
        <v>0</v>
      </c>
      <c r="O4065" s="10">
        <f>IF(Tank4!$C$23="No control",(SUMIF(Tank4!$B$32:$B$49,$J4065,Tank4!$C$32:$C$49)*Impacts!$F$11),0)</f>
        <v>0</v>
      </c>
      <c r="P4065" s="10">
        <f>IF(Tank5!$C$23="No control",(SUMIF(Tank5!$B$32:$B$49,$J4065,Tank5!$C$32:$C$49)*Impacts!$F$12),0)</f>
        <v>0</v>
      </c>
      <c r="Q4065" s="10">
        <f>IFERROR(IF(('Loading-drum,tote'!$C$21)="No control",SUMIF(('Loading-drum,tote'!$B$31:$B$48),$J4065,('Loading-drum,tote'!$D$31:$D$48))*Impacts!$F$13,IF(('Loading-drum,tote'!$C$21)&lt;&gt;"No control",SUMIF(('Loading-drum,tote'!$B$31:$B$48),$J4065,('Loading-drum,tote'!$E$31:$E$48))*Impacts!$F$13,0)),0)</f>
        <v>0</v>
      </c>
      <c r="R4065" s="10">
        <f>IFERROR(IF(('Loading-truck'!$C$21)="No control",SUMIF(('Loading-truck'!$B$31:$B$48),$J4065,('Loading-truck'!$D$31:$D$48))*Impacts!$F$14,IF(('Loading-truck'!$C$21)&lt;&gt;"No control",SUMIF(('Loading-truck'!$B$31:$B$48),$J4065,('Loading-truck'!$E$31:$E$48))*Impacts!$F$14,0)),0)</f>
        <v>0</v>
      </c>
      <c r="S4065" s="10">
        <f>IFERROR(IF(('Loading-rail'!$C$21)="No control",SUMIF(('Loading-rail'!$B$31:$B$48),$J4065,('Loading-rail'!$D$31:$D$48))*Impacts!$F$15,IF(('Loading-rail'!$C$21)&lt;&gt;"No control",SUMIF(('Loading-rail'!$B$31:$B$48),$J4065,('Loading-rail'!$E$31:$E$48))*Impacts!$F$15,0)),0)</f>
        <v>0</v>
      </c>
      <c r="T4065" s="10">
        <f>IF(Flare!$C$7="",0,(SUMIF(Flare!$B$46:$B$185,$J4065,Flare!$E$46:$E$185)*Impacts!$F$16))</f>
        <v>0</v>
      </c>
      <c r="U4065" s="10">
        <f>IF(VCU!$C$9="",0,(SUMIF(VCU!$B$51:$B$193,$J4065,VCU!$E$51:$E$193)*Impacts!$F$17))</f>
        <v>0</v>
      </c>
      <c r="V4065" s="10">
        <f>IF(CAS!$C$7="",0,(SUMIF(CAS!$B$31:$B$167,$J4065,CAS!$E$31:$E$167)*Impacts!$F$18))</f>
        <v>0</v>
      </c>
      <c r="W4065" s="10">
        <f t="shared" si="104"/>
        <v>0</v>
      </c>
      <c r="AK4065" s="10" t="str">
        <f t="array" ref="AK4065">IFERROR(INDEX(SelectedSpecies,SMALL(IF(SelectedSpecies=AK$1,ROW(SelectedSpecies)),ROW(4066:4066)),2),"")</f>
        <v/>
      </c>
      <c r="BE4065" s="10"/>
      <c r="BI4065" s="10"/>
    </row>
    <row r="4066" spans="1:61" ht="21" customHeight="1" x14ac:dyDescent="0.25">
      <c r="A4066" s="10"/>
      <c r="B4066" s="10"/>
      <c r="E4066" s="10"/>
      <c r="G4066" s="10"/>
      <c r="I4066" s="436" t="s">
        <v>6566</v>
      </c>
      <c r="J4066" s="26" t="s">
        <v>6565</v>
      </c>
      <c r="K4066" s="10">
        <v>0.70000000000000007</v>
      </c>
      <c r="L4066" s="73">
        <f>IF(Tank1!$C$23="No control",(SUMIF(Tank1!$B$32:$B$49,$J4066,Tank1!$C$32:$C$49)*Impacts!$F$8),0)</f>
        <v>0</v>
      </c>
      <c r="M4066" s="10">
        <f>IF(Tank2!$C$23="No control",(SUMIF(Tank2!$B$32:$B$49,$J4066,Tank2!$C$32:$C$49)*Impacts!$F$9),0)</f>
        <v>0</v>
      </c>
      <c r="N4066" s="10">
        <f>IF(Tank3!$C$23="No control",(SUMIF(Tank3!$B$32:$B$49,$J4066,Tank3!$C$32:$C$49)*Impacts!$F$10),0)</f>
        <v>0</v>
      </c>
      <c r="O4066" s="10">
        <f>IF(Tank4!$C$23="No control",(SUMIF(Tank4!$B$32:$B$49,$J4066,Tank4!$C$32:$C$49)*Impacts!$F$11),0)</f>
        <v>0</v>
      </c>
      <c r="P4066" s="10">
        <f>IF(Tank5!$C$23="No control",(SUMIF(Tank5!$B$32:$B$49,$J4066,Tank5!$C$32:$C$49)*Impacts!$F$12),0)</f>
        <v>0</v>
      </c>
      <c r="Q4066" s="10">
        <f>IFERROR(IF(('Loading-drum,tote'!$C$21)="No control",SUMIF(('Loading-drum,tote'!$B$31:$B$48),$J4066,('Loading-drum,tote'!$D$31:$D$48))*Impacts!$F$13,IF(('Loading-drum,tote'!$C$21)&lt;&gt;"No control",SUMIF(('Loading-drum,tote'!$B$31:$B$48),$J4066,('Loading-drum,tote'!$E$31:$E$48))*Impacts!$F$13,0)),0)</f>
        <v>0</v>
      </c>
      <c r="R4066" s="10">
        <f>IFERROR(IF(('Loading-truck'!$C$21)="No control",SUMIF(('Loading-truck'!$B$31:$B$48),$J4066,('Loading-truck'!$D$31:$D$48))*Impacts!$F$14,IF(('Loading-truck'!$C$21)&lt;&gt;"No control",SUMIF(('Loading-truck'!$B$31:$B$48),$J4066,('Loading-truck'!$E$31:$E$48))*Impacts!$F$14,0)),0)</f>
        <v>0</v>
      </c>
      <c r="S4066" s="10">
        <f>IFERROR(IF(('Loading-rail'!$C$21)="No control",SUMIF(('Loading-rail'!$B$31:$B$48),$J4066,('Loading-rail'!$D$31:$D$48))*Impacts!$F$15,IF(('Loading-rail'!$C$21)&lt;&gt;"No control",SUMIF(('Loading-rail'!$B$31:$B$48),$J4066,('Loading-rail'!$E$31:$E$48))*Impacts!$F$15,0)),0)</f>
        <v>0</v>
      </c>
      <c r="T4066" s="10">
        <f>IF(Flare!$C$7="",0,(SUMIF(Flare!$B$46:$B$185,$J4066,Flare!$E$46:$E$185)*Impacts!$F$16))</f>
        <v>0</v>
      </c>
      <c r="U4066" s="10">
        <f>IF(VCU!$C$9="",0,(SUMIF(VCU!$B$51:$B$193,$J4066,VCU!$E$51:$E$193)*Impacts!$F$17))</f>
        <v>0</v>
      </c>
      <c r="V4066" s="10">
        <f>IF(CAS!$C$7="",0,(SUMIF(CAS!$B$31:$B$167,$J4066,CAS!$E$31:$E$167)*Impacts!$F$18))</f>
        <v>0</v>
      </c>
      <c r="W4066" s="10">
        <f t="shared" si="104"/>
        <v>0</v>
      </c>
      <c r="AK4066" s="10" t="str">
        <f t="array" ref="AK4066">IFERROR(INDEX(SelectedSpecies,SMALL(IF(SelectedSpecies=AK$1,ROW(SelectedSpecies)),ROW(4067:4067)),2),"")</f>
        <v/>
      </c>
      <c r="BE4066" s="10"/>
      <c r="BI4066" s="10"/>
    </row>
    <row r="4067" spans="1:61" ht="21" customHeight="1" x14ac:dyDescent="0.25">
      <c r="A4067" s="10"/>
      <c r="B4067" s="10"/>
      <c r="E4067" s="10"/>
      <c r="G4067" s="10"/>
      <c r="I4067" s="436" t="s">
        <v>7044</v>
      </c>
      <c r="J4067" s="26" t="s">
        <v>7043</v>
      </c>
      <c r="K4067" s="10">
        <v>0.45</v>
      </c>
      <c r="L4067" s="73">
        <f>IF(Tank1!$C$23="No control",(SUMIF(Tank1!$B$32:$B$49,$J4067,Tank1!$C$32:$C$49)*Impacts!$F$8),0)</f>
        <v>0</v>
      </c>
      <c r="M4067" s="10">
        <f>IF(Tank2!$C$23="No control",(SUMIF(Tank2!$B$32:$B$49,$J4067,Tank2!$C$32:$C$49)*Impacts!$F$9),0)</f>
        <v>0</v>
      </c>
      <c r="N4067" s="10">
        <f>IF(Tank3!$C$23="No control",(SUMIF(Tank3!$B$32:$B$49,$J4067,Tank3!$C$32:$C$49)*Impacts!$F$10),0)</f>
        <v>0</v>
      </c>
      <c r="O4067" s="10">
        <f>IF(Tank4!$C$23="No control",(SUMIF(Tank4!$B$32:$B$49,$J4067,Tank4!$C$32:$C$49)*Impacts!$F$11),0)</f>
        <v>0</v>
      </c>
      <c r="P4067" s="10">
        <f>IF(Tank5!$C$23="No control",(SUMIF(Tank5!$B$32:$B$49,$J4067,Tank5!$C$32:$C$49)*Impacts!$F$12),0)</f>
        <v>0</v>
      </c>
      <c r="Q4067" s="10">
        <f>IFERROR(IF(('Loading-drum,tote'!$C$21)="No control",SUMIF(('Loading-drum,tote'!$B$31:$B$48),$J4067,('Loading-drum,tote'!$D$31:$D$48))*Impacts!$F$13,IF(('Loading-drum,tote'!$C$21)&lt;&gt;"No control",SUMIF(('Loading-drum,tote'!$B$31:$B$48),$J4067,('Loading-drum,tote'!$E$31:$E$48))*Impacts!$F$13,0)),0)</f>
        <v>0</v>
      </c>
      <c r="R4067" s="10">
        <f>IFERROR(IF(('Loading-truck'!$C$21)="No control",SUMIF(('Loading-truck'!$B$31:$B$48),$J4067,('Loading-truck'!$D$31:$D$48))*Impacts!$F$14,IF(('Loading-truck'!$C$21)&lt;&gt;"No control",SUMIF(('Loading-truck'!$B$31:$B$48),$J4067,('Loading-truck'!$E$31:$E$48))*Impacts!$F$14,0)),0)</f>
        <v>0</v>
      </c>
      <c r="S4067" s="10">
        <f>IFERROR(IF(('Loading-rail'!$C$21)="No control",SUMIF(('Loading-rail'!$B$31:$B$48),$J4067,('Loading-rail'!$D$31:$D$48))*Impacts!$F$15,IF(('Loading-rail'!$C$21)&lt;&gt;"No control",SUMIF(('Loading-rail'!$B$31:$B$48),$J4067,('Loading-rail'!$E$31:$E$48))*Impacts!$F$15,0)),0)</f>
        <v>0</v>
      </c>
      <c r="T4067" s="10">
        <f>IF(Flare!$C$7="",0,(SUMIF(Flare!$B$46:$B$185,$J4067,Flare!$E$46:$E$185)*Impacts!$F$16))</f>
        <v>0</v>
      </c>
      <c r="U4067" s="10">
        <f>IF(VCU!$C$9="",0,(SUMIF(VCU!$B$51:$B$193,$J4067,VCU!$E$51:$E$193)*Impacts!$F$17))</f>
        <v>0</v>
      </c>
      <c r="V4067" s="10">
        <f>IF(CAS!$C$7="",0,(SUMIF(CAS!$B$31:$B$167,$J4067,CAS!$E$31:$E$167)*Impacts!$F$18))</f>
        <v>0</v>
      </c>
      <c r="W4067" s="10">
        <f t="shared" si="104"/>
        <v>0</v>
      </c>
      <c r="AK4067" s="10" t="str">
        <f t="array" ref="AK4067">IFERROR(INDEX(SelectedSpecies,SMALL(IF(SelectedSpecies=AK$1,ROW(SelectedSpecies)),ROW(4068:4068)),2),"")</f>
        <v/>
      </c>
      <c r="BE4067" s="10"/>
      <c r="BI4067" s="10"/>
    </row>
    <row r="4068" spans="1:61" ht="21" customHeight="1" x14ac:dyDescent="0.25">
      <c r="A4068" s="10"/>
      <c r="B4068" s="10"/>
      <c r="E4068" s="10"/>
      <c r="G4068" s="10"/>
      <c r="I4068" s="436" t="s">
        <v>5003</v>
      </c>
      <c r="J4068" s="26" t="s">
        <v>5002</v>
      </c>
      <c r="K4068" s="10">
        <v>2.5</v>
      </c>
      <c r="L4068" s="73">
        <f>IF(Tank1!$C$23="No control",(SUMIF(Tank1!$B$32:$B$49,$J4068,Tank1!$C$32:$C$49)*Impacts!$F$8),0)</f>
        <v>0</v>
      </c>
      <c r="M4068" s="10">
        <f>IF(Tank2!$C$23="No control",(SUMIF(Tank2!$B$32:$B$49,$J4068,Tank2!$C$32:$C$49)*Impacts!$F$9),0)</f>
        <v>0</v>
      </c>
      <c r="N4068" s="10">
        <f>IF(Tank3!$C$23="No control",(SUMIF(Tank3!$B$32:$B$49,$J4068,Tank3!$C$32:$C$49)*Impacts!$F$10),0)</f>
        <v>0</v>
      </c>
      <c r="O4068" s="10">
        <f>IF(Tank4!$C$23="No control",(SUMIF(Tank4!$B$32:$B$49,$J4068,Tank4!$C$32:$C$49)*Impacts!$F$11),0)</f>
        <v>0</v>
      </c>
      <c r="P4068" s="10">
        <f>IF(Tank5!$C$23="No control",(SUMIF(Tank5!$B$32:$B$49,$J4068,Tank5!$C$32:$C$49)*Impacts!$F$12),0)</f>
        <v>0</v>
      </c>
      <c r="Q4068" s="10">
        <f>IFERROR(IF(('Loading-drum,tote'!$C$21)="No control",SUMIF(('Loading-drum,tote'!$B$31:$B$48),$J4068,('Loading-drum,tote'!$D$31:$D$48))*Impacts!$F$13,IF(('Loading-drum,tote'!$C$21)&lt;&gt;"No control",SUMIF(('Loading-drum,tote'!$B$31:$B$48),$J4068,('Loading-drum,tote'!$E$31:$E$48))*Impacts!$F$13,0)),0)</f>
        <v>0</v>
      </c>
      <c r="R4068" s="10">
        <f>IFERROR(IF(('Loading-truck'!$C$21)="No control",SUMIF(('Loading-truck'!$B$31:$B$48),$J4068,('Loading-truck'!$D$31:$D$48))*Impacts!$F$14,IF(('Loading-truck'!$C$21)&lt;&gt;"No control",SUMIF(('Loading-truck'!$B$31:$B$48),$J4068,('Loading-truck'!$E$31:$E$48))*Impacts!$F$14,0)),0)</f>
        <v>0</v>
      </c>
      <c r="S4068" s="10">
        <f>IFERROR(IF(('Loading-rail'!$C$21)="No control",SUMIF(('Loading-rail'!$B$31:$B$48),$J4068,('Loading-rail'!$D$31:$D$48))*Impacts!$F$15,IF(('Loading-rail'!$C$21)&lt;&gt;"No control",SUMIF(('Loading-rail'!$B$31:$B$48),$J4068,('Loading-rail'!$E$31:$E$48))*Impacts!$F$15,0)),0)</f>
        <v>0</v>
      </c>
      <c r="T4068" s="10">
        <f>IF(Flare!$C$7="",0,(SUMIF(Flare!$B$46:$B$185,$J4068,Flare!$E$46:$E$185)*Impacts!$F$16))</f>
        <v>0</v>
      </c>
      <c r="U4068" s="10">
        <f>IF(VCU!$C$9="",0,(SUMIF(VCU!$B$51:$B$193,$J4068,VCU!$E$51:$E$193)*Impacts!$F$17))</f>
        <v>0</v>
      </c>
      <c r="V4068" s="10">
        <f>IF(CAS!$C$7="",0,(SUMIF(CAS!$B$31:$B$167,$J4068,CAS!$E$31:$E$167)*Impacts!$F$18))</f>
        <v>0</v>
      </c>
      <c r="W4068" s="10">
        <f t="shared" si="104"/>
        <v>0</v>
      </c>
      <c r="AK4068" s="10" t="str">
        <f t="array" ref="AK4068">IFERROR(INDEX(SelectedSpecies,SMALL(IF(SelectedSpecies=AK$1,ROW(SelectedSpecies)),ROW(4069:4069)),2),"")</f>
        <v/>
      </c>
      <c r="BE4068" s="10"/>
      <c r="BI4068" s="10"/>
    </row>
    <row r="4069" spans="1:61" ht="21" customHeight="1" x14ac:dyDescent="0.25">
      <c r="A4069" s="10"/>
      <c r="B4069" s="10"/>
      <c r="E4069" s="10"/>
      <c r="G4069" s="10"/>
      <c r="I4069" s="436" t="s">
        <v>1590</v>
      </c>
      <c r="J4069" s="26" t="s">
        <v>1589</v>
      </c>
      <c r="K4069" s="10">
        <v>26</v>
      </c>
      <c r="L4069" s="73">
        <f>IF(Tank1!$C$23="No control",(SUMIF(Tank1!$B$32:$B$49,$J4069,Tank1!$C$32:$C$49)*Impacts!$F$8),0)</f>
        <v>0</v>
      </c>
      <c r="M4069" s="10">
        <f>IF(Tank2!$C$23="No control",(SUMIF(Tank2!$B$32:$B$49,$J4069,Tank2!$C$32:$C$49)*Impacts!$F$9),0)</f>
        <v>0</v>
      </c>
      <c r="N4069" s="10">
        <f>IF(Tank3!$C$23="No control",(SUMIF(Tank3!$B$32:$B$49,$J4069,Tank3!$C$32:$C$49)*Impacts!$F$10),0)</f>
        <v>0</v>
      </c>
      <c r="O4069" s="10">
        <f>IF(Tank4!$C$23="No control",(SUMIF(Tank4!$B$32:$B$49,$J4069,Tank4!$C$32:$C$49)*Impacts!$F$11),0)</f>
        <v>0</v>
      </c>
      <c r="P4069" s="10">
        <f>IF(Tank5!$C$23="No control",(SUMIF(Tank5!$B$32:$B$49,$J4069,Tank5!$C$32:$C$49)*Impacts!$F$12),0)</f>
        <v>0</v>
      </c>
      <c r="Q4069" s="10">
        <f>IFERROR(IF(('Loading-drum,tote'!$C$21)="No control",SUMIF(('Loading-drum,tote'!$B$31:$B$48),$J4069,('Loading-drum,tote'!$D$31:$D$48))*Impacts!$F$13,IF(('Loading-drum,tote'!$C$21)&lt;&gt;"No control",SUMIF(('Loading-drum,tote'!$B$31:$B$48),$J4069,('Loading-drum,tote'!$E$31:$E$48))*Impacts!$F$13,0)),0)</f>
        <v>0</v>
      </c>
      <c r="R4069" s="10">
        <f>IFERROR(IF(('Loading-truck'!$C$21)="No control",SUMIF(('Loading-truck'!$B$31:$B$48),$J4069,('Loading-truck'!$D$31:$D$48))*Impacts!$F$14,IF(('Loading-truck'!$C$21)&lt;&gt;"No control",SUMIF(('Loading-truck'!$B$31:$B$48),$J4069,('Loading-truck'!$E$31:$E$48))*Impacts!$F$14,0)),0)</f>
        <v>0</v>
      </c>
      <c r="S4069" s="10">
        <f>IFERROR(IF(('Loading-rail'!$C$21)="No control",SUMIF(('Loading-rail'!$B$31:$B$48),$J4069,('Loading-rail'!$D$31:$D$48))*Impacts!$F$15,IF(('Loading-rail'!$C$21)&lt;&gt;"No control",SUMIF(('Loading-rail'!$B$31:$B$48),$J4069,('Loading-rail'!$E$31:$E$48))*Impacts!$F$15,0)),0)</f>
        <v>0</v>
      </c>
      <c r="T4069" s="10">
        <f>IF(Flare!$C$7="",0,(SUMIF(Flare!$B$46:$B$185,$J4069,Flare!$E$46:$E$185)*Impacts!$F$16))</f>
        <v>0</v>
      </c>
      <c r="U4069" s="10">
        <f>IF(VCU!$C$9="",0,(SUMIF(VCU!$B$51:$B$193,$J4069,VCU!$E$51:$E$193)*Impacts!$F$17))</f>
        <v>0</v>
      </c>
      <c r="V4069" s="10">
        <f>IF(CAS!$C$7="",0,(SUMIF(CAS!$B$31:$B$167,$J4069,CAS!$E$31:$E$167)*Impacts!$F$18))</f>
        <v>0</v>
      </c>
      <c r="W4069" s="10">
        <f t="shared" si="104"/>
        <v>0</v>
      </c>
      <c r="AK4069" s="10" t="str">
        <f t="array" ref="AK4069">IFERROR(INDEX(SelectedSpecies,SMALL(IF(SelectedSpecies=AK$1,ROW(SelectedSpecies)),ROW(4070:4070)),2),"")</f>
        <v/>
      </c>
      <c r="BE4069" s="10"/>
      <c r="BI4069" s="10"/>
    </row>
    <row r="4070" spans="1:61" ht="21" customHeight="1" x14ac:dyDescent="0.25">
      <c r="A4070" s="10"/>
      <c r="B4070" s="10"/>
      <c r="E4070" s="10"/>
      <c r="G4070" s="10"/>
      <c r="I4070" s="436" t="s">
        <v>618</v>
      </c>
      <c r="J4070" s="26" t="s">
        <v>617</v>
      </c>
      <c r="K4070" s="10">
        <v>72</v>
      </c>
      <c r="L4070" s="73">
        <f>IF(Tank1!$C$23="No control",(SUMIF(Tank1!$B$32:$B$49,$J4070,Tank1!$C$32:$C$49)*Impacts!$F$8),0)</f>
        <v>0</v>
      </c>
      <c r="M4070" s="10">
        <f>IF(Tank2!$C$23="No control",(SUMIF(Tank2!$B$32:$B$49,$J4070,Tank2!$C$32:$C$49)*Impacts!$F$9),0)</f>
        <v>0</v>
      </c>
      <c r="N4070" s="10">
        <f>IF(Tank3!$C$23="No control",(SUMIF(Tank3!$B$32:$B$49,$J4070,Tank3!$C$32:$C$49)*Impacts!$F$10),0)</f>
        <v>0</v>
      </c>
      <c r="O4070" s="10">
        <f>IF(Tank4!$C$23="No control",(SUMIF(Tank4!$B$32:$B$49,$J4070,Tank4!$C$32:$C$49)*Impacts!$F$11),0)</f>
        <v>0</v>
      </c>
      <c r="P4070" s="10">
        <f>IF(Tank5!$C$23="No control",(SUMIF(Tank5!$B$32:$B$49,$J4070,Tank5!$C$32:$C$49)*Impacts!$F$12),0)</f>
        <v>0</v>
      </c>
      <c r="Q4070" s="10">
        <f>IFERROR(IF(('Loading-drum,tote'!$C$21)="No control",SUMIF(('Loading-drum,tote'!$B$31:$B$48),$J4070,('Loading-drum,tote'!$D$31:$D$48))*Impacts!$F$13,IF(('Loading-drum,tote'!$C$21)&lt;&gt;"No control",SUMIF(('Loading-drum,tote'!$B$31:$B$48),$J4070,('Loading-drum,tote'!$E$31:$E$48))*Impacts!$F$13,0)),0)</f>
        <v>0</v>
      </c>
      <c r="R4070" s="10">
        <f>IFERROR(IF(('Loading-truck'!$C$21)="No control",SUMIF(('Loading-truck'!$B$31:$B$48),$J4070,('Loading-truck'!$D$31:$D$48))*Impacts!$F$14,IF(('Loading-truck'!$C$21)&lt;&gt;"No control",SUMIF(('Loading-truck'!$B$31:$B$48),$J4070,('Loading-truck'!$E$31:$E$48))*Impacts!$F$14,0)),0)</f>
        <v>0</v>
      </c>
      <c r="S4070" s="10">
        <f>IFERROR(IF(('Loading-rail'!$C$21)="No control",SUMIF(('Loading-rail'!$B$31:$B$48),$J4070,('Loading-rail'!$D$31:$D$48))*Impacts!$F$15,IF(('Loading-rail'!$C$21)&lt;&gt;"No control",SUMIF(('Loading-rail'!$B$31:$B$48),$J4070,('Loading-rail'!$E$31:$E$48))*Impacts!$F$15,0)),0)</f>
        <v>0</v>
      </c>
      <c r="T4070" s="10">
        <f>IF(Flare!$C$7="",0,(SUMIF(Flare!$B$46:$B$185,$J4070,Flare!$E$46:$E$185)*Impacts!$F$16))</f>
        <v>0</v>
      </c>
      <c r="U4070" s="10">
        <f>IF(VCU!$C$9="",0,(SUMIF(VCU!$B$51:$B$193,$J4070,VCU!$E$51:$E$193)*Impacts!$F$17))</f>
        <v>0</v>
      </c>
      <c r="V4070" s="10">
        <f>IF(CAS!$C$7="",0,(SUMIF(CAS!$B$31:$B$167,$J4070,CAS!$E$31:$E$167)*Impacts!$F$18))</f>
        <v>0</v>
      </c>
      <c r="W4070" s="10">
        <f t="shared" si="104"/>
        <v>0</v>
      </c>
      <c r="AK4070" s="10" t="str">
        <f t="array" ref="AK4070">IFERROR(INDEX(SelectedSpecies,SMALL(IF(SelectedSpecies=AK$1,ROW(SelectedSpecies)),ROW(4071:4071)),2),"")</f>
        <v/>
      </c>
      <c r="BE4070" s="10"/>
      <c r="BI4070" s="10"/>
    </row>
    <row r="4071" spans="1:61" ht="21" customHeight="1" x14ac:dyDescent="0.25">
      <c r="A4071" s="10"/>
      <c r="B4071" s="10"/>
      <c r="E4071" s="10"/>
      <c r="G4071" s="10"/>
      <c r="I4071" s="436" t="s">
        <v>2175</v>
      </c>
      <c r="J4071" s="26" t="s">
        <v>2174</v>
      </c>
      <c r="K4071" s="10">
        <v>15</v>
      </c>
      <c r="L4071" s="73">
        <f>IF(Tank1!$C$23="No control",(SUMIF(Tank1!$B$32:$B$49,$J4071,Tank1!$C$32:$C$49)*Impacts!$F$8),0)</f>
        <v>0</v>
      </c>
      <c r="M4071" s="10">
        <f>IF(Tank2!$C$23="No control",(SUMIF(Tank2!$B$32:$B$49,$J4071,Tank2!$C$32:$C$49)*Impacts!$F$9),0)</f>
        <v>0</v>
      </c>
      <c r="N4071" s="10">
        <f>IF(Tank3!$C$23="No control",(SUMIF(Tank3!$B$32:$B$49,$J4071,Tank3!$C$32:$C$49)*Impacts!$F$10),0)</f>
        <v>0</v>
      </c>
      <c r="O4071" s="10">
        <f>IF(Tank4!$C$23="No control",(SUMIF(Tank4!$B$32:$B$49,$J4071,Tank4!$C$32:$C$49)*Impacts!$F$11),0)</f>
        <v>0</v>
      </c>
      <c r="P4071" s="10">
        <f>IF(Tank5!$C$23="No control",(SUMIF(Tank5!$B$32:$B$49,$J4071,Tank5!$C$32:$C$49)*Impacts!$F$12),0)</f>
        <v>0</v>
      </c>
      <c r="Q4071" s="10">
        <f>IFERROR(IF(('Loading-drum,tote'!$C$21)="No control",SUMIF(('Loading-drum,tote'!$B$31:$B$48),$J4071,('Loading-drum,tote'!$D$31:$D$48))*Impacts!$F$13,IF(('Loading-drum,tote'!$C$21)&lt;&gt;"No control",SUMIF(('Loading-drum,tote'!$B$31:$B$48),$J4071,('Loading-drum,tote'!$E$31:$E$48))*Impacts!$F$13,0)),0)</f>
        <v>0</v>
      </c>
      <c r="R4071" s="10">
        <f>IFERROR(IF(('Loading-truck'!$C$21)="No control",SUMIF(('Loading-truck'!$B$31:$B$48),$J4071,('Loading-truck'!$D$31:$D$48))*Impacts!$F$14,IF(('Loading-truck'!$C$21)&lt;&gt;"No control",SUMIF(('Loading-truck'!$B$31:$B$48),$J4071,('Loading-truck'!$E$31:$E$48))*Impacts!$F$14,0)),0)</f>
        <v>0</v>
      </c>
      <c r="S4071" s="10">
        <f>IFERROR(IF(('Loading-rail'!$C$21)="No control",SUMIF(('Loading-rail'!$B$31:$B$48),$J4071,('Loading-rail'!$D$31:$D$48))*Impacts!$F$15,IF(('Loading-rail'!$C$21)&lt;&gt;"No control",SUMIF(('Loading-rail'!$B$31:$B$48),$J4071,('Loading-rail'!$E$31:$E$48))*Impacts!$F$15,0)),0)</f>
        <v>0</v>
      </c>
      <c r="T4071" s="10">
        <f>IF(Flare!$C$7="",0,(SUMIF(Flare!$B$46:$B$185,$J4071,Flare!$E$46:$E$185)*Impacts!$F$16))</f>
        <v>0</v>
      </c>
      <c r="U4071" s="10">
        <f>IF(VCU!$C$9="",0,(SUMIF(VCU!$B$51:$B$193,$J4071,VCU!$E$51:$E$193)*Impacts!$F$17))</f>
        <v>0</v>
      </c>
      <c r="V4071" s="10">
        <f>IF(CAS!$C$7="",0,(SUMIF(CAS!$B$31:$B$167,$J4071,CAS!$E$31:$E$167)*Impacts!$F$18))</f>
        <v>0</v>
      </c>
      <c r="W4071" s="10">
        <f t="shared" si="104"/>
        <v>0</v>
      </c>
      <c r="AK4071" s="10" t="str">
        <f t="array" ref="AK4071">IFERROR(INDEX(SelectedSpecies,SMALL(IF(SelectedSpecies=AK$1,ROW(SelectedSpecies)),ROW(4072:4072)),2),"")</f>
        <v/>
      </c>
      <c r="BE4071" s="10"/>
      <c r="BI4071" s="10"/>
    </row>
    <row r="4072" spans="1:61" ht="21" customHeight="1" x14ac:dyDescent="0.25">
      <c r="A4072" s="10"/>
      <c r="B4072" s="10"/>
      <c r="E4072" s="10"/>
      <c r="G4072" s="10"/>
      <c r="I4072" s="436" t="s">
        <v>5303</v>
      </c>
      <c r="J4072" s="26" t="s">
        <v>5302</v>
      </c>
      <c r="K4072" s="10">
        <v>1.8</v>
      </c>
      <c r="L4072" s="73">
        <f>IF(Tank1!$C$23="No control",(SUMIF(Tank1!$B$32:$B$49,$J4072,Tank1!$C$32:$C$49)*Impacts!$F$8),0)</f>
        <v>0</v>
      </c>
      <c r="M4072" s="10">
        <f>IF(Tank2!$C$23="No control",(SUMIF(Tank2!$B$32:$B$49,$J4072,Tank2!$C$32:$C$49)*Impacts!$F$9),0)</f>
        <v>0</v>
      </c>
      <c r="N4072" s="10">
        <f>IF(Tank3!$C$23="No control",(SUMIF(Tank3!$B$32:$B$49,$J4072,Tank3!$C$32:$C$49)*Impacts!$F$10),0)</f>
        <v>0</v>
      </c>
      <c r="O4072" s="10">
        <f>IF(Tank4!$C$23="No control",(SUMIF(Tank4!$B$32:$B$49,$J4072,Tank4!$C$32:$C$49)*Impacts!$F$11),0)</f>
        <v>0</v>
      </c>
      <c r="P4072" s="10">
        <f>IF(Tank5!$C$23="No control",(SUMIF(Tank5!$B$32:$B$49,$J4072,Tank5!$C$32:$C$49)*Impacts!$F$12),0)</f>
        <v>0</v>
      </c>
      <c r="Q4072" s="10">
        <f>IFERROR(IF(('Loading-drum,tote'!$C$21)="No control",SUMIF(('Loading-drum,tote'!$B$31:$B$48),$J4072,('Loading-drum,tote'!$D$31:$D$48))*Impacts!$F$13,IF(('Loading-drum,tote'!$C$21)&lt;&gt;"No control",SUMIF(('Loading-drum,tote'!$B$31:$B$48),$J4072,('Loading-drum,tote'!$E$31:$E$48))*Impacts!$F$13,0)),0)</f>
        <v>0</v>
      </c>
      <c r="R4072" s="10">
        <f>IFERROR(IF(('Loading-truck'!$C$21)="No control",SUMIF(('Loading-truck'!$B$31:$B$48),$J4072,('Loading-truck'!$D$31:$D$48))*Impacts!$F$14,IF(('Loading-truck'!$C$21)&lt;&gt;"No control",SUMIF(('Loading-truck'!$B$31:$B$48),$J4072,('Loading-truck'!$E$31:$E$48))*Impacts!$F$14,0)),0)</f>
        <v>0</v>
      </c>
      <c r="S4072" s="10">
        <f>IFERROR(IF(('Loading-rail'!$C$21)="No control",SUMIF(('Loading-rail'!$B$31:$B$48),$J4072,('Loading-rail'!$D$31:$D$48))*Impacts!$F$15,IF(('Loading-rail'!$C$21)&lt;&gt;"No control",SUMIF(('Loading-rail'!$B$31:$B$48),$J4072,('Loading-rail'!$E$31:$E$48))*Impacts!$F$15,0)),0)</f>
        <v>0</v>
      </c>
      <c r="T4072" s="10">
        <f>IF(Flare!$C$7="",0,(SUMIF(Flare!$B$46:$B$185,$J4072,Flare!$E$46:$E$185)*Impacts!$F$16))</f>
        <v>0</v>
      </c>
      <c r="U4072" s="10">
        <f>IF(VCU!$C$9="",0,(SUMIF(VCU!$B$51:$B$193,$J4072,VCU!$E$51:$E$193)*Impacts!$F$17))</f>
        <v>0</v>
      </c>
      <c r="V4072" s="10">
        <f>IF(CAS!$C$7="",0,(SUMIF(CAS!$B$31:$B$167,$J4072,CAS!$E$31:$E$167)*Impacts!$F$18))</f>
        <v>0</v>
      </c>
      <c r="W4072" s="10">
        <f t="shared" si="104"/>
        <v>0</v>
      </c>
      <c r="AK4072" s="10" t="str">
        <f t="array" ref="AK4072">IFERROR(INDEX(SelectedSpecies,SMALL(IF(SelectedSpecies=AK$1,ROW(SelectedSpecies)),ROW(4073:4073)),2),"")</f>
        <v/>
      </c>
      <c r="BE4072" s="10"/>
      <c r="BI4072" s="10"/>
    </row>
    <row r="4073" spans="1:61" ht="21" customHeight="1" x14ac:dyDescent="0.25">
      <c r="A4073" s="10"/>
      <c r="B4073" s="10"/>
      <c r="E4073" s="10"/>
      <c r="G4073" s="10"/>
      <c r="I4073" s="436" t="s">
        <v>4323</v>
      </c>
      <c r="J4073" s="26" t="s">
        <v>4322</v>
      </c>
      <c r="K4073" s="10">
        <v>5</v>
      </c>
      <c r="L4073" s="73">
        <f>IF(Tank1!$C$23="No control",(SUMIF(Tank1!$B$32:$B$49,$J4073,Tank1!$C$32:$C$49)*Impacts!$F$8),0)</f>
        <v>0</v>
      </c>
      <c r="M4073" s="10">
        <f>IF(Tank2!$C$23="No control",(SUMIF(Tank2!$B$32:$B$49,$J4073,Tank2!$C$32:$C$49)*Impacts!$F$9),0)</f>
        <v>0</v>
      </c>
      <c r="N4073" s="10">
        <f>IF(Tank3!$C$23="No control",(SUMIF(Tank3!$B$32:$B$49,$J4073,Tank3!$C$32:$C$49)*Impacts!$F$10),0)</f>
        <v>0</v>
      </c>
      <c r="O4073" s="10">
        <f>IF(Tank4!$C$23="No control",(SUMIF(Tank4!$B$32:$B$49,$J4073,Tank4!$C$32:$C$49)*Impacts!$F$11),0)</f>
        <v>0</v>
      </c>
      <c r="P4073" s="10">
        <f>IF(Tank5!$C$23="No control",(SUMIF(Tank5!$B$32:$B$49,$J4073,Tank5!$C$32:$C$49)*Impacts!$F$12),0)</f>
        <v>0</v>
      </c>
      <c r="Q4073" s="10">
        <f>IFERROR(IF(('Loading-drum,tote'!$C$21)="No control",SUMIF(('Loading-drum,tote'!$B$31:$B$48),$J4073,('Loading-drum,tote'!$D$31:$D$48))*Impacts!$F$13,IF(('Loading-drum,tote'!$C$21)&lt;&gt;"No control",SUMIF(('Loading-drum,tote'!$B$31:$B$48),$J4073,('Loading-drum,tote'!$E$31:$E$48))*Impacts!$F$13,0)),0)</f>
        <v>0</v>
      </c>
      <c r="R4073" s="10">
        <f>IFERROR(IF(('Loading-truck'!$C$21)="No control",SUMIF(('Loading-truck'!$B$31:$B$48),$J4073,('Loading-truck'!$D$31:$D$48))*Impacts!$F$14,IF(('Loading-truck'!$C$21)&lt;&gt;"No control",SUMIF(('Loading-truck'!$B$31:$B$48),$J4073,('Loading-truck'!$E$31:$E$48))*Impacts!$F$14,0)),0)</f>
        <v>0</v>
      </c>
      <c r="S4073" s="10">
        <f>IFERROR(IF(('Loading-rail'!$C$21)="No control",SUMIF(('Loading-rail'!$B$31:$B$48),$J4073,('Loading-rail'!$D$31:$D$48))*Impacts!$F$15,IF(('Loading-rail'!$C$21)&lt;&gt;"No control",SUMIF(('Loading-rail'!$B$31:$B$48),$J4073,('Loading-rail'!$E$31:$E$48))*Impacts!$F$15,0)),0)</f>
        <v>0</v>
      </c>
      <c r="T4073" s="10">
        <f>IF(Flare!$C$7="",0,(SUMIF(Flare!$B$46:$B$185,$J4073,Flare!$E$46:$E$185)*Impacts!$F$16))</f>
        <v>0</v>
      </c>
      <c r="U4073" s="10">
        <f>IF(VCU!$C$9="",0,(SUMIF(VCU!$B$51:$B$193,$J4073,VCU!$E$51:$E$193)*Impacts!$F$17))</f>
        <v>0</v>
      </c>
      <c r="V4073" s="10">
        <f>IF(CAS!$C$7="",0,(SUMIF(CAS!$B$31:$B$167,$J4073,CAS!$E$31:$E$167)*Impacts!$F$18))</f>
        <v>0</v>
      </c>
      <c r="W4073" s="10">
        <f t="shared" si="104"/>
        <v>0</v>
      </c>
      <c r="AK4073" s="10" t="str">
        <f t="array" ref="AK4073">IFERROR(INDEX(SelectedSpecies,SMALL(IF(SelectedSpecies=AK$1,ROW(SelectedSpecies)),ROW(4074:4074)),2),"")</f>
        <v/>
      </c>
      <c r="BE4073" s="10"/>
      <c r="BI4073" s="10"/>
    </row>
    <row r="4074" spans="1:61" ht="21" customHeight="1" x14ac:dyDescent="0.25">
      <c r="A4074" s="10"/>
      <c r="B4074" s="10"/>
      <c r="E4074" s="10"/>
      <c r="G4074" s="10"/>
      <c r="I4074" s="436" t="s">
        <v>3449</v>
      </c>
      <c r="J4074" s="26" t="s">
        <v>3448</v>
      </c>
      <c r="K4074" s="10">
        <v>10</v>
      </c>
      <c r="L4074" s="73">
        <f>IF(Tank1!$C$23="No control",(SUMIF(Tank1!$B$32:$B$49,$J4074,Tank1!$C$32:$C$49)*Impacts!$F$8),0)</f>
        <v>0</v>
      </c>
      <c r="M4074" s="10">
        <f>IF(Tank2!$C$23="No control",(SUMIF(Tank2!$B$32:$B$49,$J4074,Tank2!$C$32:$C$49)*Impacts!$F$9),0)</f>
        <v>0</v>
      </c>
      <c r="N4074" s="10">
        <f>IF(Tank3!$C$23="No control",(SUMIF(Tank3!$B$32:$B$49,$J4074,Tank3!$C$32:$C$49)*Impacts!$F$10),0)</f>
        <v>0</v>
      </c>
      <c r="O4074" s="10">
        <f>IF(Tank4!$C$23="No control",(SUMIF(Tank4!$B$32:$B$49,$J4074,Tank4!$C$32:$C$49)*Impacts!$F$11),0)</f>
        <v>0</v>
      </c>
      <c r="P4074" s="10">
        <f>IF(Tank5!$C$23="No control",(SUMIF(Tank5!$B$32:$B$49,$J4074,Tank5!$C$32:$C$49)*Impacts!$F$12),0)</f>
        <v>0</v>
      </c>
      <c r="Q4074" s="10">
        <f>IFERROR(IF(('Loading-drum,tote'!$C$21)="No control",SUMIF(('Loading-drum,tote'!$B$31:$B$48),$J4074,('Loading-drum,tote'!$D$31:$D$48))*Impacts!$F$13,IF(('Loading-drum,tote'!$C$21)&lt;&gt;"No control",SUMIF(('Loading-drum,tote'!$B$31:$B$48),$J4074,('Loading-drum,tote'!$E$31:$E$48))*Impacts!$F$13,0)),0)</f>
        <v>0</v>
      </c>
      <c r="R4074" s="10">
        <f>IFERROR(IF(('Loading-truck'!$C$21)="No control",SUMIF(('Loading-truck'!$B$31:$B$48),$J4074,('Loading-truck'!$D$31:$D$48))*Impacts!$F$14,IF(('Loading-truck'!$C$21)&lt;&gt;"No control",SUMIF(('Loading-truck'!$B$31:$B$48),$J4074,('Loading-truck'!$E$31:$E$48))*Impacts!$F$14,0)),0)</f>
        <v>0</v>
      </c>
      <c r="S4074" s="10">
        <f>IFERROR(IF(('Loading-rail'!$C$21)="No control",SUMIF(('Loading-rail'!$B$31:$B$48),$J4074,('Loading-rail'!$D$31:$D$48))*Impacts!$F$15,IF(('Loading-rail'!$C$21)&lt;&gt;"No control",SUMIF(('Loading-rail'!$B$31:$B$48),$J4074,('Loading-rail'!$E$31:$E$48))*Impacts!$F$15,0)),0)</f>
        <v>0</v>
      </c>
      <c r="T4074" s="10">
        <f>IF(Flare!$C$7="",0,(SUMIF(Flare!$B$46:$B$185,$J4074,Flare!$E$46:$E$185)*Impacts!$F$16))</f>
        <v>0</v>
      </c>
      <c r="U4074" s="10">
        <f>IF(VCU!$C$9="",0,(SUMIF(VCU!$B$51:$B$193,$J4074,VCU!$E$51:$E$193)*Impacts!$F$17))</f>
        <v>0</v>
      </c>
      <c r="V4074" s="10">
        <f>IF(CAS!$C$7="",0,(SUMIF(CAS!$B$31:$B$167,$J4074,CAS!$E$31:$E$167)*Impacts!$F$18))</f>
        <v>0</v>
      </c>
      <c r="W4074" s="10">
        <f t="shared" si="104"/>
        <v>0</v>
      </c>
      <c r="AK4074" s="10" t="str">
        <f t="array" ref="AK4074">IFERROR(INDEX(SelectedSpecies,SMALL(IF(SelectedSpecies=AK$1,ROW(SelectedSpecies)),ROW(4075:4075)),2),"")</f>
        <v/>
      </c>
      <c r="BE4074" s="10"/>
      <c r="BI4074" s="10"/>
    </row>
    <row r="4075" spans="1:61" ht="21" customHeight="1" x14ac:dyDescent="0.25">
      <c r="A4075" s="10"/>
      <c r="B4075" s="10"/>
      <c r="E4075" s="10"/>
      <c r="G4075" s="10"/>
      <c r="I4075" s="436" t="s">
        <v>7212</v>
      </c>
      <c r="J4075" s="26" t="s">
        <v>7211</v>
      </c>
      <c r="K4075" s="10">
        <v>0.33</v>
      </c>
      <c r="L4075" s="73">
        <f>IF(Tank1!$C$23="No control",(SUMIF(Tank1!$B$32:$B$49,$J4075,Tank1!$C$32:$C$49)*Impacts!$F$8),0)</f>
        <v>0</v>
      </c>
      <c r="M4075" s="10">
        <f>IF(Tank2!$C$23="No control",(SUMIF(Tank2!$B$32:$B$49,$J4075,Tank2!$C$32:$C$49)*Impacts!$F$9),0)</f>
        <v>0</v>
      </c>
      <c r="N4075" s="10">
        <f>IF(Tank3!$C$23="No control",(SUMIF(Tank3!$B$32:$B$49,$J4075,Tank3!$C$32:$C$49)*Impacts!$F$10),0)</f>
        <v>0</v>
      </c>
      <c r="O4075" s="10">
        <f>IF(Tank4!$C$23="No control",(SUMIF(Tank4!$B$32:$B$49,$J4075,Tank4!$C$32:$C$49)*Impacts!$F$11),0)</f>
        <v>0</v>
      </c>
      <c r="P4075" s="10">
        <f>IF(Tank5!$C$23="No control",(SUMIF(Tank5!$B$32:$B$49,$J4075,Tank5!$C$32:$C$49)*Impacts!$F$12),0)</f>
        <v>0</v>
      </c>
      <c r="Q4075" s="10">
        <f>IFERROR(IF(('Loading-drum,tote'!$C$21)="No control",SUMIF(('Loading-drum,tote'!$B$31:$B$48),$J4075,('Loading-drum,tote'!$D$31:$D$48))*Impacts!$F$13,IF(('Loading-drum,tote'!$C$21)&lt;&gt;"No control",SUMIF(('Loading-drum,tote'!$B$31:$B$48),$J4075,('Loading-drum,tote'!$E$31:$E$48))*Impacts!$F$13,0)),0)</f>
        <v>0</v>
      </c>
      <c r="R4075" s="10">
        <f>IFERROR(IF(('Loading-truck'!$C$21)="No control",SUMIF(('Loading-truck'!$B$31:$B$48),$J4075,('Loading-truck'!$D$31:$D$48))*Impacts!$F$14,IF(('Loading-truck'!$C$21)&lt;&gt;"No control",SUMIF(('Loading-truck'!$B$31:$B$48),$J4075,('Loading-truck'!$E$31:$E$48))*Impacts!$F$14,0)),0)</f>
        <v>0</v>
      </c>
      <c r="S4075" s="10">
        <f>IFERROR(IF(('Loading-rail'!$C$21)="No control",SUMIF(('Loading-rail'!$B$31:$B$48),$J4075,('Loading-rail'!$D$31:$D$48))*Impacts!$F$15,IF(('Loading-rail'!$C$21)&lt;&gt;"No control",SUMIF(('Loading-rail'!$B$31:$B$48),$J4075,('Loading-rail'!$E$31:$E$48))*Impacts!$F$15,0)),0)</f>
        <v>0</v>
      </c>
      <c r="T4075" s="10">
        <f>IF(Flare!$C$7="",0,(SUMIF(Flare!$B$46:$B$185,$J4075,Flare!$E$46:$E$185)*Impacts!$F$16))</f>
        <v>0</v>
      </c>
      <c r="U4075" s="10">
        <f>IF(VCU!$C$9="",0,(SUMIF(VCU!$B$51:$B$193,$J4075,VCU!$E$51:$E$193)*Impacts!$F$17))</f>
        <v>0</v>
      </c>
      <c r="V4075" s="10">
        <f>IF(CAS!$C$7="",0,(SUMIF(CAS!$B$31:$B$167,$J4075,CAS!$E$31:$E$167)*Impacts!$F$18))</f>
        <v>0</v>
      </c>
      <c r="W4075" s="10">
        <f t="shared" si="104"/>
        <v>0</v>
      </c>
      <c r="AK4075" s="10" t="str">
        <f t="array" ref="AK4075">IFERROR(INDEX(SelectedSpecies,SMALL(IF(SelectedSpecies=AK$1,ROW(SelectedSpecies)),ROW(4076:4076)),2),"")</f>
        <v/>
      </c>
      <c r="BE4075" s="10"/>
      <c r="BI4075" s="10"/>
    </row>
    <row r="4076" spans="1:61" ht="21" customHeight="1" x14ac:dyDescent="0.25">
      <c r="A4076" s="10"/>
      <c r="B4076" s="10"/>
      <c r="E4076" s="10"/>
      <c r="G4076" s="10"/>
      <c r="I4076" s="436" t="s">
        <v>7306</v>
      </c>
      <c r="J4076" s="26" t="s">
        <v>7305</v>
      </c>
      <c r="K4076" s="10">
        <v>0.30000000000000004</v>
      </c>
      <c r="L4076" s="73">
        <f>IF(Tank1!$C$23="No control",(SUMIF(Tank1!$B$32:$B$49,$J4076,Tank1!$C$32:$C$49)*Impacts!$F$8),0)</f>
        <v>0</v>
      </c>
      <c r="M4076" s="10">
        <f>IF(Tank2!$C$23="No control",(SUMIF(Tank2!$B$32:$B$49,$J4076,Tank2!$C$32:$C$49)*Impacts!$F$9),0)</f>
        <v>0</v>
      </c>
      <c r="N4076" s="10">
        <f>IF(Tank3!$C$23="No control",(SUMIF(Tank3!$B$32:$B$49,$J4076,Tank3!$C$32:$C$49)*Impacts!$F$10),0)</f>
        <v>0</v>
      </c>
      <c r="O4076" s="10">
        <f>IF(Tank4!$C$23="No control",(SUMIF(Tank4!$B$32:$B$49,$J4076,Tank4!$C$32:$C$49)*Impacts!$F$11),0)</f>
        <v>0</v>
      </c>
      <c r="P4076" s="10">
        <f>IF(Tank5!$C$23="No control",(SUMIF(Tank5!$B$32:$B$49,$J4076,Tank5!$C$32:$C$49)*Impacts!$F$12),0)</f>
        <v>0</v>
      </c>
      <c r="Q4076" s="10">
        <f>IFERROR(IF(('Loading-drum,tote'!$C$21)="No control",SUMIF(('Loading-drum,tote'!$B$31:$B$48),$J4076,('Loading-drum,tote'!$D$31:$D$48))*Impacts!$F$13,IF(('Loading-drum,tote'!$C$21)&lt;&gt;"No control",SUMIF(('Loading-drum,tote'!$B$31:$B$48),$J4076,('Loading-drum,tote'!$E$31:$E$48))*Impacts!$F$13,0)),0)</f>
        <v>0</v>
      </c>
      <c r="R4076" s="10">
        <f>IFERROR(IF(('Loading-truck'!$C$21)="No control",SUMIF(('Loading-truck'!$B$31:$B$48),$J4076,('Loading-truck'!$D$31:$D$48))*Impacts!$F$14,IF(('Loading-truck'!$C$21)&lt;&gt;"No control",SUMIF(('Loading-truck'!$B$31:$B$48),$J4076,('Loading-truck'!$E$31:$E$48))*Impacts!$F$14,0)),0)</f>
        <v>0</v>
      </c>
      <c r="S4076" s="10">
        <f>IFERROR(IF(('Loading-rail'!$C$21)="No control",SUMIF(('Loading-rail'!$B$31:$B$48),$J4076,('Loading-rail'!$D$31:$D$48))*Impacts!$F$15,IF(('Loading-rail'!$C$21)&lt;&gt;"No control",SUMIF(('Loading-rail'!$B$31:$B$48),$J4076,('Loading-rail'!$E$31:$E$48))*Impacts!$F$15,0)),0)</f>
        <v>0</v>
      </c>
      <c r="T4076" s="10">
        <f>IF(Flare!$C$7="",0,(SUMIF(Flare!$B$46:$B$185,$J4076,Flare!$E$46:$E$185)*Impacts!$F$16))</f>
        <v>0</v>
      </c>
      <c r="U4076" s="10">
        <f>IF(VCU!$C$9="",0,(SUMIF(VCU!$B$51:$B$193,$J4076,VCU!$E$51:$E$193)*Impacts!$F$17))</f>
        <v>0</v>
      </c>
      <c r="V4076" s="10">
        <f>IF(CAS!$C$7="",0,(SUMIF(CAS!$B$31:$B$167,$J4076,CAS!$E$31:$E$167)*Impacts!$F$18))</f>
        <v>0</v>
      </c>
      <c r="W4076" s="10">
        <f t="shared" si="104"/>
        <v>0</v>
      </c>
      <c r="AK4076" s="10" t="str">
        <f t="array" ref="AK4076">IFERROR(INDEX(SelectedSpecies,SMALL(IF(SelectedSpecies=AK$1,ROW(SelectedSpecies)),ROW(4077:4077)),2),"")</f>
        <v/>
      </c>
      <c r="BE4076" s="10"/>
      <c r="BI4076" s="10"/>
    </row>
    <row r="4077" spans="1:61" ht="21" customHeight="1" x14ac:dyDescent="0.25">
      <c r="A4077" s="10"/>
      <c r="B4077" s="10"/>
      <c r="E4077" s="10"/>
      <c r="G4077" s="10"/>
      <c r="I4077" s="436" t="s">
        <v>4081</v>
      </c>
      <c r="J4077" s="26" t="s">
        <v>4080</v>
      </c>
      <c r="K4077" s="10">
        <v>5.6000000000000005</v>
      </c>
      <c r="L4077" s="73">
        <f>IF(Tank1!$C$23="No control",(SUMIF(Tank1!$B$32:$B$49,$J4077,Tank1!$C$32:$C$49)*Impacts!$F$8),0)</f>
        <v>0</v>
      </c>
      <c r="M4077" s="10">
        <f>IF(Tank2!$C$23="No control",(SUMIF(Tank2!$B$32:$B$49,$J4077,Tank2!$C$32:$C$49)*Impacts!$F$9),0)</f>
        <v>0</v>
      </c>
      <c r="N4077" s="10">
        <f>IF(Tank3!$C$23="No control",(SUMIF(Tank3!$B$32:$B$49,$J4077,Tank3!$C$32:$C$49)*Impacts!$F$10),0)</f>
        <v>0</v>
      </c>
      <c r="O4077" s="10">
        <f>IF(Tank4!$C$23="No control",(SUMIF(Tank4!$B$32:$B$49,$J4077,Tank4!$C$32:$C$49)*Impacts!$F$11),0)</f>
        <v>0</v>
      </c>
      <c r="P4077" s="10">
        <f>IF(Tank5!$C$23="No control",(SUMIF(Tank5!$B$32:$B$49,$J4077,Tank5!$C$32:$C$49)*Impacts!$F$12),0)</f>
        <v>0</v>
      </c>
      <c r="Q4077" s="10">
        <f>IFERROR(IF(('Loading-drum,tote'!$C$21)="No control",SUMIF(('Loading-drum,tote'!$B$31:$B$48),$J4077,('Loading-drum,tote'!$D$31:$D$48))*Impacts!$F$13,IF(('Loading-drum,tote'!$C$21)&lt;&gt;"No control",SUMIF(('Loading-drum,tote'!$B$31:$B$48),$J4077,('Loading-drum,tote'!$E$31:$E$48))*Impacts!$F$13,0)),0)</f>
        <v>0</v>
      </c>
      <c r="R4077" s="10">
        <f>IFERROR(IF(('Loading-truck'!$C$21)="No control",SUMIF(('Loading-truck'!$B$31:$B$48),$J4077,('Loading-truck'!$D$31:$D$48))*Impacts!$F$14,IF(('Loading-truck'!$C$21)&lt;&gt;"No control",SUMIF(('Loading-truck'!$B$31:$B$48),$J4077,('Loading-truck'!$E$31:$E$48))*Impacts!$F$14,0)),0)</f>
        <v>0</v>
      </c>
      <c r="S4077" s="10">
        <f>IFERROR(IF(('Loading-rail'!$C$21)="No control",SUMIF(('Loading-rail'!$B$31:$B$48),$J4077,('Loading-rail'!$D$31:$D$48))*Impacts!$F$15,IF(('Loading-rail'!$C$21)&lt;&gt;"No control",SUMIF(('Loading-rail'!$B$31:$B$48),$J4077,('Loading-rail'!$E$31:$E$48))*Impacts!$F$15,0)),0)</f>
        <v>0</v>
      </c>
      <c r="T4077" s="10">
        <f>IF(Flare!$C$7="",0,(SUMIF(Flare!$B$46:$B$185,$J4077,Flare!$E$46:$E$185)*Impacts!$F$16))</f>
        <v>0</v>
      </c>
      <c r="U4077" s="10">
        <f>IF(VCU!$C$9="",0,(SUMIF(VCU!$B$51:$B$193,$J4077,VCU!$E$51:$E$193)*Impacts!$F$17))</f>
        <v>0</v>
      </c>
      <c r="V4077" s="10">
        <f>IF(CAS!$C$7="",0,(SUMIF(CAS!$B$31:$B$167,$J4077,CAS!$E$31:$E$167)*Impacts!$F$18))</f>
        <v>0</v>
      </c>
      <c r="W4077" s="10">
        <f t="shared" si="104"/>
        <v>0</v>
      </c>
      <c r="AK4077" s="10" t="str">
        <f t="array" ref="AK4077">IFERROR(INDEX(SelectedSpecies,SMALL(IF(SelectedSpecies=AK$1,ROW(SelectedSpecies)),ROW(4078:4078)),2),"")</f>
        <v/>
      </c>
      <c r="BE4077" s="10"/>
      <c r="BI4077" s="10"/>
    </row>
    <row r="4078" spans="1:61" ht="21" customHeight="1" x14ac:dyDescent="0.25">
      <c r="A4078" s="10"/>
      <c r="B4078" s="10"/>
      <c r="E4078" s="10"/>
      <c r="G4078" s="10"/>
      <c r="I4078" s="436" t="s">
        <v>6224</v>
      </c>
      <c r="J4078" s="26" t="s">
        <v>6223</v>
      </c>
      <c r="K4078" s="10">
        <v>1</v>
      </c>
      <c r="L4078" s="73">
        <f>IF(Tank1!$C$23="No control",(SUMIF(Tank1!$B$32:$B$49,$J4078,Tank1!$C$32:$C$49)*Impacts!$F$8),0)</f>
        <v>0</v>
      </c>
      <c r="M4078" s="10">
        <f>IF(Tank2!$C$23="No control",(SUMIF(Tank2!$B$32:$B$49,$J4078,Tank2!$C$32:$C$49)*Impacts!$F$9),0)</f>
        <v>0</v>
      </c>
      <c r="N4078" s="10">
        <f>IF(Tank3!$C$23="No control",(SUMIF(Tank3!$B$32:$B$49,$J4078,Tank3!$C$32:$C$49)*Impacts!$F$10),0)</f>
        <v>0</v>
      </c>
      <c r="O4078" s="10">
        <f>IF(Tank4!$C$23="No control",(SUMIF(Tank4!$B$32:$B$49,$J4078,Tank4!$C$32:$C$49)*Impacts!$F$11),0)</f>
        <v>0</v>
      </c>
      <c r="P4078" s="10">
        <f>IF(Tank5!$C$23="No control",(SUMIF(Tank5!$B$32:$B$49,$J4078,Tank5!$C$32:$C$49)*Impacts!$F$12),0)</f>
        <v>0</v>
      </c>
      <c r="Q4078" s="10">
        <f>IFERROR(IF(('Loading-drum,tote'!$C$21)="No control",SUMIF(('Loading-drum,tote'!$B$31:$B$48),$J4078,('Loading-drum,tote'!$D$31:$D$48))*Impacts!$F$13,IF(('Loading-drum,tote'!$C$21)&lt;&gt;"No control",SUMIF(('Loading-drum,tote'!$B$31:$B$48),$J4078,('Loading-drum,tote'!$E$31:$E$48))*Impacts!$F$13,0)),0)</f>
        <v>0</v>
      </c>
      <c r="R4078" s="10">
        <f>IFERROR(IF(('Loading-truck'!$C$21)="No control",SUMIF(('Loading-truck'!$B$31:$B$48),$J4078,('Loading-truck'!$D$31:$D$48))*Impacts!$F$14,IF(('Loading-truck'!$C$21)&lt;&gt;"No control",SUMIF(('Loading-truck'!$B$31:$B$48),$J4078,('Loading-truck'!$E$31:$E$48))*Impacts!$F$14,0)),0)</f>
        <v>0</v>
      </c>
      <c r="S4078" s="10">
        <f>IFERROR(IF(('Loading-rail'!$C$21)="No control",SUMIF(('Loading-rail'!$B$31:$B$48),$J4078,('Loading-rail'!$D$31:$D$48))*Impacts!$F$15,IF(('Loading-rail'!$C$21)&lt;&gt;"No control",SUMIF(('Loading-rail'!$B$31:$B$48),$J4078,('Loading-rail'!$E$31:$E$48))*Impacts!$F$15,0)),0)</f>
        <v>0</v>
      </c>
      <c r="T4078" s="10">
        <f>IF(Flare!$C$7="",0,(SUMIF(Flare!$B$46:$B$185,$J4078,Flare!$E$46:$E$185)*Impacts!$F$16))</f>
        <v>0</v>
      </c>
      <c r="U4078" s="10">
        <f>IF(VCU!$C$9="",0,(SUMIF(VCU!$B$51:$B$193,$J4078,VCU!$E$51:$E$193)*Impacts!$F$17))</f>
        <v>0</v>
      </c>
      <c r="V4078" s="10">
        <f>IF(CAS!$C$7="",0,(SUMIF(CAS!$B$31:$B$167,$J4078,CAS!$E$31:$E$167)*Impacts!$F$18))</f>
        <v>0</v>
      </c>
      <c r="W4078" s="10">
        <f t="shared" si="104"/>
        <v>0</v>
      </c>
      <c r="AK4078" s="10" t="str">
        <f t="array" ref="AK4078">IFERROR(INDEX(SelectedSpecies,SMALL(IF(SelectedSpecies=AK$1,ROW(SelectedSpecies)),ROW(4079:4079)),2),"")</f>
        <v/>
      </c>
      <c r="BE4078" s="10"/>
      <c r="BI4078" s="10"/>
    </row>
    <row r="4079" spans="1:61" ht="21" customHeight="1" x14ac:dyDescent="0.25">
      <c r="A4079" s="10"/>
      <c r="B4079" s="10"/>
      <c r="E4079" s="10"/>
      <c r="G4079" s="10"/>
      <c r="I4079" s="436" t="s">
        <v>762</v>
      </c>
      <c r="J4079" s="26" t="s">
        <v>761</v>
      </c>
      <c r="K4079" s="10">
        <v>50</v>
      </c>
      <c r="L4079" s="73">
        <f>IF(Tank1!$C$23="No control",(SUMIF(Tank1!$B$32:$B$49,$J4079,Tank1!$C$32:$C$49)*Impacts!$F$8),0)</f>
        <v>0</v>
      </c>
      <c r="M4079" s="10">
        <f>IF(Tank2!$C$23="No control",(SUMIF(Tank2!$B$32:$B$49,$J4079,Tank2!$C$32:$C$49)*Impacts!$F$9),0)</f>
        <v>0</v>
      </c>
      <c r="N4079" s="10">
        <f>IF(Tank3!$C$23="No control",(SUMIF(Tank3!$B$32:$B$49,$J4079,Tank3!$C$32:$C$49)*Impacts!$F$10),0)</f>
        <v>0</v>
      </c>
      <c r="O4079" s="10">
        <f>IF(Tank4!$C$23="No control",(SUMIF(Tank4!$B$32:$B$49,$J4079,Tank4!$C$32:$C$49)*Impacts!$F$11),0)</f>
        <v>0</v>
      </c>
      <c r="P4079" s="10">
        <f>IF(Tank5!$C$23="No control",(SUMIF(Tank5!$B$32:$B$49,$J4079,Tank5!$C$32:$C$49)*Impacts!$F$12),0)</f>
        <v>0</v>
      </c>
      <c r="Q4079" s="10">
        <f>IFERROR(IF(('Loading-drum,tote'!$C$21)="No control",SUMIF(('Loading-drum,tote'!$B$31:$B$48),$J4079,('Loading-drum,tote'!$D$31:$D$48))*Impacts!$F$13,IF(('Loading-drum,tote'!$C$21)&lt;&gt;"No control",SUMIF(('Loading-drum,tote'!$B$31:$B$48),$J4079,('Loading-drum,tote'!$E$31:$E$48))*Impacts!$F$13,0)),0)</f>
        <v>0</v>
      </c>
      <c r="R4079" s="10">
        <f>IFERROR(IF(('Loading-truck'!$C$21)="No control",SUMIF(('Loading-truck'!$B$31:$B$48),$J4079,('Loading-truck'!$D$31:$D$48))*Impacts!$F$14,IF(('Loading-truck'!$C$21)&lt;&gt;"No control",SUMIF(('Loading-truck'!$B$31:$B$48),$J4079,('Loading-truck'!$E$31:$E$48))*Impacts!$F$14,0)),0)</f>
        <v>0</v>
      </c>
      <c r="S4079" s="10">
        <f>IFERROR(IF(('Loading-rail'!$C$21)="No control",SUMIF(('Loading-rail'!$B$31:$B$48),$J4079,('Loading-rail'!$D$31:$D$48))*Impacts!$F$15,IF(('Loading-rail'!$C$21)&lt;&gt;"No control",SUMIF(('Loading-rail'!$B$31:$B$48),$J4079,('Loading-rail'!$E$31:$E$48))*Impacts!$F$15,0)),0)</f>
        <v>0</v>
      </c>
      <c r="T4079" s="10">
        <f>IF(Flare!$C$7="",0,(SUMIF(Flare!$B$46:$B$185,$J4079,Flare!$E$46:$E$185)*Impacts!$F$16))</f>
        <v>0</v>
      </c>
      <c r="U4079" s="10">
        <f>IF(VCU!$C$9="",0,(SUMIF(VCU!$B$51:$B$193,$J4079,VCU!$E$51:$E$193)*Impacts!$F$17))</f>
        <v>0</v>
      </c>
      <c r="V4079" s="10">
        <f>IF(CAS!$C$7="",0,(SUMIF(CAS!$B$31:$B$167,$J4079,CAS!$E$31:$E$167)*Impacts!$F$18))</f>
        <v>0</v>
      </c>
      <c r="W4079" s="10">
        <f t="shared" si="104"/>
        <v>0</v>
      </c>
      <c r="AK4079" s="10" t="str">
        <f t="array" ref="AK4079">IFERROR(INDEX(SelectedSpecies,SMALL(IF(SelectedSpecies=AK$1,ROW(SelectedSpecies)),ROW(4080:4080)),2),"")</f>
        <v/>
      </c>
      <c r="BE4079" s="10"/>
      <c r="BI4079" s="10"/>
    </row>
    <row r="4080" spans="1:61" ht="21" customHeight="1" x14ac:dyDescent="0.25">
      <c r="A4080" s="10"/>
      <c r="B4080" s="10"/>
      <c r="E4080" s="10"/>
      <c r="G4080" s="10"/>
      <c r="I4080" s="436" t="s">
        <v>3557</v>
      </c>
      <c r="J4080" s="26" t="s">
        <v>3556</v>
      </c>
      <c r="K4080" s="10">
        <v>8.4</v>
      </c>
      <c r="L4080" s="73">
        <f>IF(Tank1!$C$23="No control",(SUMIF(Tank1!$B$32:$B$49,$J4080,Tank1!$C$32:$C$49)*Impacts!$F$8),0)</f>
        <v>0</v>
      </c>
      <c r="M4080" s="10">
        <f>IF(Tank2!$C$23="No control",(SUMIF(Tank2!$B$32:$B$49,$J4080,Tank2!$C$32:$C$49)*Impacts!$F$9),0)</f>
        <v>0</v>
      </c>
      <c r="N4080" s="10">
        <f>IF(Tank3!$C$23="No control",(SUMIF(Tank3!$B$32:$B$49,$J4080,Tank3!$C$32:$C$49)*Impacts!$F$10),0)</f>
        <v>0</v>
      </c>
      <c r="O4080" s="10">
        <f>IF(Tank4!$C$23="No control",(SUMIF(Tank4!$B$32:$B$49,$J4080,Tank4!$C$32:$C$49)*Impacts!$F$11),0)</f>
        <v>0</v>
      </c>
      <c r="P4080" s="10">
        <f>IF(Tank5!$C$23="No control",(SUMIF(Tank5!$B$32:$B$49,$J4080,Tank5!$C$32:$C$49)*Impacts!$F$12),0)</f>
        <v>0</v>
      </c>
      <c r="Q4080" s="10">
        <f>IFERROR(IF(('Loading-drum,tote'!$C$21)="No control",SUMIF(('Loading-drum,tote'!$B$31:$B$48),$J4080,('Loading-drum,tote'!$D$31:$D$48))*Impacts!$F$13,IF(('Loading-drum,tote'!$C$21)&lt;&gt;"No control",SUMIF(('Loading-drum,tote'!$B$31:$B$48),$J4080,('Loading-drum,tote'!$E$31:$E$48))*Impacts!$F$13,0)),0)</f>
        <v>0</v>
      </c>
      <c r="R4080" s="10">
        <f>IFERROR(IF(('Loading-truck'!$C$21)="No control",SUMIF(('Loading-truck'!$B$31:$B$48),$J4080,('Loading-truck'!$D$31:$D$48))*Impacts!$F$14,IF(('Loading-truck'!$C$21)&lt;&gt;"No control",SUMIF(('Loading-truck'!$B$31:$B$48),$J4080,('Loading-truck'!$E$31:$E$48))*Impacts!$F$14,0)),0)</f>
        <v>0</v>
      </c>
      <c r="S4080" s="10">
        <f>IFERROR(IF(('Loading-rail'!$C$21)="No control",SUMIF(('Loading-rail'!$B$31:$B$48),$J4080,('Loading-rail'!$D$31:$D$48))*Impacts!$F$15,IF(('Loading-rail'!$C$21)&lt;&gt;"No control",SUMIF(('Loading-rail'!$B$31:$B$48),$J4080,('Loading-rail'!$E$31:$E$48))*Impacts!$F$15,0)),0)</f>
        <v>0</v>
      </c>
      <c r="T4080" s="10">
        <f>IF(Flare!$C$7="",0,(SUMIF(Flare!$B$46:$B$185,$J4080,Flare!$E$46:$E$185)*Impacts!$F$16))</f>
        <v>0</v>
      </c>
      <c r="U4080" s="10">
        <f>IF(VCU!$C$9="",0,(SUMIF(VCU!$B$51:$B$193,$J4080,VCU!$E$51:$E$193)*Impacts!$F$17))</f>
        <v>0</v>
      </c>
      <c r="V4080" s="10">
        <f>IF(CAS!$C$7="",0,(SUMIF(CAS!$B$31:$B$167,$J4080,CAS!$E$31:$E$167)*Impacts!$F$18))</f>
        <v>0</v>
      </c>
      <c r="W4080" s="10">
        <f t="shared" si="104"/>
        <v>0</v>
      </c>
      <c r="AK4080" s="10" t="str">
        <f t="array" ref="AK4080">IFERROR(INDEX(SelectedSpecies,SMALL(IF(SelectedSpecies=AK$1,ROW(SelectedSpecies)),ROW(4081:4081)),2),"")</f>
        <v/>
      </c>
      <c r="BE4080" s="10"/>
      <c r="BI4080" s="10"/>
    </row>
    <row r="4081" spans="1:61" ht="21" customHeight="1" x14ac:dyDescent="0.25">
      <c r="A4081" s="10"/>
      <c r="B4081" s="10"/>
      <c r="E4081" s="10"/>
      <c r="G4081" s="10"/>
      <c r="I4081" s="436" t="s">
        <v>814</v>
      </c>
      <c r="J4081" s="26" t="s">
        <v>813</v>
      </c>
      <c r="K4081" s="10">
        <v>50</v>
      </c>
      <c r="L4081" s="73">
        <f>IF(Tank1!$C$23="No control",(SUMIF(Tank1!$B$32:$B$49,$J4081,Tank1!$C$32:$C$49)*Impacts!$F$8),0)</f>
        <v>0</v>
      </c>
      <c r="M4081" s="10">
        <f>IF(Tank2!$C$23="No control",(SUMIF(Tank2!$B$32:$B$49,$J4081,Tank2!$C$32:$C$49)*Impacts!$F$9),0)</f>
        <v>0</v>
      </c>
      <c r="N4081" s="10">
        <f>IF(Tank3!$C$23="No control",(SUMIF(Tank3!$B$32:$B$49,$J4081,Tank3!$C$32:$C$49)*Impacts!$F$10),0)</f>
        <v>0</v>
      </c>
      <c r="O4081" s="10">
        <f>IF(Tank4!$C$23="No control",(SUMIF(Tank4!$B$32:$B$49,$J4081,Tank4!$C$32:$C$49)*Impacts!$F$11),0)</f>
        <v>0</v>
      </c>
      <c r="P4081" s="10">
        <f>IF(Tank5!$C$23="No control",(SUMIF(Tank5!$B$32:$B$49,$J4081,Tank5!$C$32:$C$49)*Impacts!$F$12),0)</f>
        <v>0</v>
      </c>
      <c r="Q4081" s="10">
        <f>IFERROR(IF(('Loading-drum,tote'!$C$21)="No control",SUMIF(('Loading-drum,tote'!$B$31:$B$48),$J4081,('Loading-drum,tote'!$D$31:$D$48))*Impacts!$F$13,IF(('Loading-drum,tote'!$C$21)&lt;&gt;"No control",SUMIF(('Loading-drum,tote'!$B$31:$B$48),$J4081,('Loading-drum,tote'!$E$31:$E$48))*Impacts!$F$13,0)),0)</f>
        <v>0</v>
      </c>
      <c r="R4081" s="10">
        <f>IFERROR(IF(('Loading-truck'!$C$21)="No control",SUMIF(('Loading-truck'!$B$31:$B$48),$J4081,('Loading-truck'!$D$31:$D$48))*Impacts!$F$14,IF(('Loading-truck'!$C$21)&lt;&gt;"No control",SUMIF(('Loading-truck'!$B$31:$B$48),$J4081,('Loading-truck'!$E$31:$E$48))*Impacts!$F$14,0)),0)</f>
        <v>0</v>
      </c>
      <c r="S4081" s="10">
        <f>IFERROR(IF(('Loading-rail'!$C$21)="No control",SUMIF(('Loading-rail'!$B$31:$B$48),$J4081,('Loading-rail'!$D$31:$D$48))*Impacts!$F$15,IF(('Loading-rail'!$C$21)&lt;&gt;"No control",SUMIF(('Loading-rail'!$B$31:$B$48),$J4081,('Loading-rail'!$E$31:$E$48))*Impacts!$F$15,0)),0)</f>
        <v>0</v>
      </c>
      <c r="T4081" s="10">
        <f>IF(Flare!$C$7="",0,(SUMIF(Flare!$B$46:$B$185,$J4081,Flare!$E$46:$E$185)*Impacts!$F$16))</f>
        <v>0</v>
      </c>
      <c r="U4081" s="10">
        <f>IF(VCU!$C$9="",0,(SUMIF(VCU!$B$51:$B$193,$J4081,VCU!$E$51:$E$193)*Impacts!$F$17))</f>
        <v>0</v>
      </c>
      <c r="V4081" s="10">
        <f>IF(CAS!$C$7="",0,(SUMIF(CAS!$B$31:$B$167,$J4081,CAS!$E$31:$E$167)*Impacts!$F$18))</f>
        <v>0</v>
      </c>
      <c r="W4081" s="10">
        <f t="shared" si="104"/>
        <v>0</v>
      </c>
      <c r="AK4081" s="10" t="str">
        <f t="array" ref="AK4081">IFERROR(INDEX(SelectedSpecies,SMALL(IF(SelectedSpecies=AK$1,ROW(SelectedSpecies)),ROW(4082:4082)),2),"")</f>
        <v/>
      </c>
      <c r="BE4081" s="10"/>
      <c r="BI4081" s="10"/>
    </row>
    <row r="4082" spans="1:61" ht="21" customHeight="1" x14ac:dyDescent="0.25">
      <c r="A4082" s="10"/>
      <c r="B4082" s="10"/>
      <c r="E4082" s="10"/>
      <c r="G4082" s="10"/>
      <c r="I4082" s="436" t="s">
        <v>1903</v>
      </c>
      <c r="J4082" s="26" t="s">
        <v>1902</v>
      </c>
      <c r="K4082" s="10">
        <v>19.3</v>
      </c>
      <c r="L4082" s="73">
        <f>IF(Tank1!$C$23="No control",(SUMIF(Tank1!$B$32:$B$49,$J4082,Tank1!$C$32:$C$49)*Impacts!$F$8),0)</f>
        <v>0</v>
      </c>
      <c r="M4082" s="10">
        <f>IF(Tank2!$C$23="No control",(SUMIF(Tank2!$B$32:$B$49,$J4082,Tank2!$C$32:$C$49)*Impacts!$F$9),0)</f>
        <v>0</v>
      </c>
      <c r="N4082" s="10">
        <f>IF(Tank3!$C$23="No control",(SUMIF(Tank3!$B$32:$B$49,$J4082,Tank3!$C$32:$C$49)*Impacts!$F$10),0)</f>
        <v>0</v>
      </c>
      <c r="O4082" s="10">
        <f>IF(Tank4!$C$23="No control",(SUMIF(Tank4!$B$32:$B$49,$J4082,Tank4!$C$32:$C$49)*Impacts!$F$11),0)</f>
        <v>0</v>
      </c>
      <c r="P4082" s="10">
        <f>IF(Tank5!$C$23="No control",(SUMIF(Tank5!$B$32:$B$49,$J4082,Tank5!$C$32:$C$49)*Impacts!$F$12),0)</f>
        <v>0</v>
      </c>
      <c r="Q4082" s="10">
        <f>IFERROR(IF(('Loading-drum,tote'!$C$21)="No control",SUMIF(('Loading-drum,tote'!$B$31:$B$48),$J4082,('Loading-drum,tote'!$D$31:$D$48))*Impacts!$F$13,IF(('Loading-drum,tote'!$C$21)&lt;&gt;"No control",SUMIF(('Loading-drum,tote'!$B$31:$B$48),$J4082,('Loading-drum,tote'!$E$31:$E$48))*Impacts!$F$13,0)),0)</f>
        <v>0</v>
      </c>
      <c r="R4082" s="10">
        <f>IFERROR(IF(('Loading-truck'!$C$21)="No control",SUMIF(('Loading-truck'!$B$31:$B$48),$J4082,('Loading-truck'!$D$31:$D$48))*Impacts!$F$14,IF(('Loading-truck'!$C$21)&lt;&gt;"No control",SUMIF(('Loading-truck'!$B$31:$B$48),$J4082,('Loading-truck'!$E$31:$E$48))*Impacts!$F$14,0)),0)</f>
        <v>0</v>
      </c>
      <c r="S4082" s="10">
        <f>IFERROR(IF(('Loading-rail'!$C$21)="No control",SUMIF(('Loading-rail'!$B$31:$B$48),$J4082,('Loading-rail'!$D$31:$D$48))*Impacts!$F$15,IF(('Loading-rail'!$C$21)&lt;&gt;"No control",SUMIF(('Loading-rail'!$B$31:$B$48),$J4082,('Loading-rail'!$E$31:$E$48))*Impacts!$F$15,0)),0)</f>
        <v>0</v>
      </c>
      <c r="T4082" s="10">
        <f>IF(Flare!$C$7="",0,(SUMIF(Flare!$B$46:$B$185,$J4082,Flare!$E$46:$E$185)*Impacts!$F$16))</f>
        <v>0</v>
      </c>
      <c r="U4082" s="10">
        <f>IF(VCU!$C$9="",0,(SUMIF(VCU!$B$51:$B$193,$J4082,VCU!$E$51:$E$193)*Impacts!$F$17))</f>
        <v>0</v>
      </c>
      <c r="V4082" s="10">
        <f>IF(CAS!$C$7="",0,(SUMIF(CAS!$B$31:$B$167,$J4082,CAS!$E$31:$E$167)*Impacts!$F$18))</f>
        <v>0</v>
      </c>
      <c r="W4082" s="10">
        <f t="shared" si="104"/>
        <v>0</v>
      </c>
      <c r="AK4082" s="10" t="str">
        <f t="array" ref="AK4082">IFERROR(INDEX(SelectedSpecies,SMALL(IF(SelectedSpecies=AK$1,ROW(SelectedSpecies)),ROW(4083:4083)),2),"")</f>
        <v/>
      </c>
      <c r="BE4082" s="10"/>
      <c r="BI4082" s="10"/>
    </row>
    <row r="4083" spans="1:61" ht="21" customHeight="1" x14ac:dyDescent="0.25">
      <c r="A4083" s="10"/>
      <c r="B4083" s="10"/>
      <c r="E4083" s="10"/>
      <c r="G4083" s="10"/>
      <c r="I4083" s="436" t="s">
        <v>3525</v>
      </c>
      <c r="J4083" s="26" t="s">
        <v>3524</v>
      </c>
      <c r="K4083" s="10">
        <v>9</v>
      </c>
      <c r="L4083" s="73">
        <f>IF(Tank1!$C$23="No control",(SUMIF(Tank1!$B$32:$B$49,$J4083,Tank1!$C$32:$C$49)*Impacts!$F$8),0)</f>
        <v>0</v>
      </c>
      <c r="M4083" s="10">
        <f>IF(Tank2!$C$23="No control",(SUMIF(Tank2!$B$32:$B$49,$J4083,Tank2!$C$32:$C$49)*Impacts!$F$9),0)</f>
        <v>0</v>
      </c>
      <c r="N4083" s="10">
        <f>IF(Tank3!$C$23="No control",(SUMIF(Tank3!$B$32:$B$49,$J4083,Tank3!$C$32:$C$49)*Impacts!$F$10),0)</f>
        <v>0</v>
      </c>
      <c r="O4083" s="10">
        <f>IF(Tank4!$C$23="No control",(SUMIF(Tank4!$B$32:$B$49,$J4083,Tank4!$C$32:$C$49)*Impacts!$F$11),0)</f>
        <v>0</v>
      </c>
      <c r="P4083" s="10">
        <f>IF(Tank5!$C$23="No control",(SUMIF(Tank5!$B$32:$B$49,$J4083,Tank5!$C$32:$C$49)*Impacts!$F$12),0)</f>
        <v>0</v>
      </c>
      <c r="Q4083" s="10">
        <f>IFERROR(IF(('Loading-drum,tote'!$C$21)="No control",SUMIF(('Loading-drum,tote'!$B$31:$B$48),$J4083,('Loading-drum,tote'!$D$31:$D$48))*Impacts!$F$13,IF(('Loading-drum,tote'!$C$21)&lt;&gt;"No control",SUMIF(('Loading-drum,tote'!$B$31:$B$48),$J4083,('Loading-drum,tote'!$E$31:$E$48))*Impacts!$F$13,0)),0)</f>
        <v>0</v>
      </c>
      <c r="R4083" s="10">
        <f>IFERROR(IF(('Loading-truck'!$C$21)="No control",SUMIF(('Loading-truck'!$B$31:$B$48),$J4083,('Loading-truck'!$D$31:$D$48))*Impacts!$F$14,IF(('Loading-truck'!$C$21)&lt;&gt;"No control",SUMIF(('Loading-truck'!$B$31:$B$48),$J4083,('Loading-truck'!$E$31:$E$48))*Impacts!$F$14,0)),0)</f>
        <v>0</v>
      </c>
      <c r="S4083" s="10">
        <f>IFERROR(IF(('Loading-rail'!$C$21)="No control",SUMIF(('Loading-rail'!$B$31:$B$48),$J4083,('Loading-rail'!$D$31:$D$48))*Impacts!$F$15,IF(('Loading-rail'!$C$21)&lt;&gt;"No control",SUMIF(('Loading-rail'!$B$31:$B$48),$J4083,('Loading-rail'!$E$31:$E$48))*Impacts!$F$15,0)),0)</f>
        <v>0</v>
      </c>
      <c r="T4083" s="10">
        <f>IF(Flare!$C$7="",0,(SUMIF(Flare!$B$46:$B$185,$J4083,Flare!$E$46:$E$185)*Impacts!$F$16))</f>
        <v>0</v>
      </c>
      <c r="U4083" s="10">
        <f>IF(VCU!$C$9="",0,(SUMIF(VCU!$B$51:$B$193,$J4083,VCU!$E$51:$E$193)*Impacts!$F$17))</f>
        <v>0</v>
      </c>
      <c r="V4083" s="10">
        <f>IF(CAS!$C$7="",0,(SUMIF(CAS!$B$31:$B$167,$J4083,CAS!$E$31:$E$167)*Impacts!$F$18))</f>
        <v>0</v>
      </c>
      <c r="W4083" s="10">
        <f t="shared" si="104"/>
        <v>0</v>
      </c>
      <c r="AK4083" s="10" t="str">
        <f t="array" ref="AK4083">IFERROR(INDEX(SelectedSpecies,SMALL(IF(SelectedSpecies=AK$1,ROW(SelectedSpecies)),ROW(4084:4084)),2),"")</f>
        <v/>
      </c>
      <c r="BE4083" s="10"/>
      <c r="BI4083" s="10"/>
    </row>
    <row r="4084" spans="1:61" ht="21" customHeight="1" x14ac:dyDescent="0.25">
      <c r="A4084" s="10"/>
      <c r="B4084" s="10"/>
      <c r="E4084" s="10"/>
      <c r="G4084" s="10"/>
      <c r="I4084" s="436" t="s">
        <v>7308</v>
      </c>
      <c r="J4084" s="26" t="s">
        <v>7307</v>
      </c>
      <c r="K4084" s="10">
        <v>0.30000000000000004</v>
      </c>
      <c r="L4084" s="73">
        <f>IF(Tank1!$C$23="No control",(SUMIF(Tank1!$B$32:$B$49,$J4084,Tank1!$C$32:$C$49)*Impacts!$F$8),0)</f>
        <v>0</v>
      </c>
      <c r="M4084" s="10">
        <f>IF(Tank2!$C$23="No control",(SUMIF(Tank2!$B$32:$B$49,$J4084,Tank2!$C$32:$C$49)*Impacts!$F$9),0)</f>
        <v>0</v>
      </c>
      <c r="N4084" s="10">
        <f>IF(Tank3!$C$23="No control",(SUMIF(Tank3!$B$32:$B$49,$J4084,Tank3!$C$32:$C$49)*Impacts!$F$10),0)</f>
        <v>0</v>
      </c>
      <c r="O4084" s="10">
        <f>IF(Tank4!$C$23="No control",(SUMIF(Tank4!$B$32:$B$49,$J4084,Tank4!$C$32:$C$49)*Impacts!$F$11),0)</f>
        <v>0</v>
      </c>
      <c r="P4084" s="10">
        <f>IF(Tank5!$C$23="No control",(SUMIF(Tank5!$B$32:$B$49,$J4084,Tank5!$C$32:$C$49)*Impacts!$F$12),0)</f>
        <v>0</v>
      </c>
      <c r="Q4084" s="10">
        <f>IFERROR(IF(('Loading-drum,tote'!$C$21)="No control",SUMIF(('Loading-drum,tote'!$B$31:$B$48),$J4084,('Loading-drum,tote'!$D$31:$D$48))*Impacts!$F$13,IF(('Loading-drum,tote'!$C$21)&lt;&gt;"No control",SUMIF(('Loading-drum,tote'!$B$31:$B$48),$J4084,('Loading-drum,tote'!$E$31:$E$48))*Impacts!$F$13,0)),0)</f>
        <v>0</v>
      </c>
      <c r="R4084" s="10">
        <f>IFERROR(IF(('Loading-truck'!$C$21)="No control",SUMIF(('Loading-truck'!$B$31:$B$48),$J4084,('Loading-truck'!$D$31:$D$48))*Impacts!$F$14,IF(('Loading-truck'!$C$21)&lt;&gt;"No control",SUMIF(('Loading-truck'!$B$31:$B$48),$J4084,('Loading-truck'!$E$31:$E$48))*Impacts!$F$14,0)),0)</f>
        <v>0</v>
      </c>
      <c r="S4084" s="10">
        <f>IFERROR(IF(('Loading-rail'!$C$21)="No control",SUMIF(('Loading-rail'!$B$31:$B$48),$J4084,('Loading-rail'!$D$31:$D$48))*Impacts!$F$15,IF(('Loading-rail'!$C$21)&lt;&gt;"No control",SUMIF(('Loading-rail'!$B$31:$B$48),$J4084,('Loading-rail'!$E$31:$E$48))*Impacts!$F$15,0)),0)</f>
        <v>0</v>
      </c>
      <c r="T4084" s="10">
        <f>IF(Flare!$C$7="",0,(SUMIF(Flare!$B$46:$B$185,$J4084,Flare!$E$46:$E$185)*Impacts!$F$16))</f>
        <v>0</v>
      </c>
      <c r="U4084" s="10">
        <f>IF(VCU!$C$9="",0,(SUMIF(VCU!$B$51:$B$193,$J4084,VCU!$E$51:$E$193)*Impacts!$F$17))</f>
        <v>0</v>
      </c>
      <c r="V4084" s="10">
        <f>IF(CAS!$C$7="",0,(SUMIF(CAS!$B$31:$B$167,$J4084,CAS!$E$31:$E$167)*Impacts!$F$18))</f>
        <v>0</v>
      </c>
      <c r="W4084" s="10">
        <f t="shared" si="104"/>
        <v>0</v>
      </c>
      <c r="AK4084" s="10" t="str">
        <f t="array" ref="AK4084">IFERROR(INDEX(SelectedSpecies,SMALL(IF(SelectedSpecies=AK$1,ROW(SelectedSpecies)),ROW(4085:4085)),2),"")</f>
        <v/>
      </c>
      <c r="BE4084" s="10"/>
      <c r="BI4084" s="10"/>
    </row>
    <row r="4085" spans="1:61" ht="21" customHeight="1" x14ac:dyDescent="0.25">
      <c r="A4085" s="10"/>
      <c r="B4085" s="10"/>
      <c r="E4085" s="10"/>
      <c r="G4085" s="10"/>
      <c r="I4085" s="436" t="s">
        <v>5305</v>
      </c>
      <c r="J4085" s="26" t="s">
        <v>5304</v>
      </c>
      <c r="K4085" s="10">
        <v>1.8</v>
      </c>
      <c r="L4085" s="73">
        <f>IF(Tank1!$C$23="No control",(SUMIF(Tank1!$B$32:$B$49,$J4085,Tank1!$C$32:$C$49)*Impacts!$F$8),0)</f>
        <v>0</v>
      </c>
      <c r="M4085" s="10">
        <f>IF(Tank2!$C$23="No control",(SUMIF(Tank2!$B$32:$B$49,$J4085,Tank2!$C$32:$C$49)*Impacts!$F$9),0)</f>
        <v>0</v>
      </c>
      <c r="N4085" s="10">
        <f>IF(Tank3!$C$23="No control",(SUMIF(Tank3!$B$32:$B$49,$J4085,Tank3!$C$32:$C$49)*Impacts!$F$10),0)</f>
        <v>0</v>
      </c>
      <c r="O4085" s="10">
        <f>IF(Tank4!$C$23="No control",(SUMIF(Tank4!$B$32:$B$49,$J4085,Tank4!$C$32:$C$49)*Impacts!$F$11),0)</f>
        <v>0</v>
      </c>
      <c r="P4085" s="10">
        <f>IF(Tank5!$C$23="No control",(SUMIF(Tank5!$B$32:$B$49,$J4085,Tank5!$C$32:$C$49)*Impacts!$F$12),0)</f>
        <v>0</v>
      </c>
      <c r="Q4085" s="10">
        <f>IFERROR(IF(('Loading-drum,tote'!$C$21)="No control",SUMIF(('Loading-drum,tote'!$B$31:$B$48),$J4085,('Loading-drum,tote'!$D$31:$D$48))*Impacts!$F$13,IF(('Loading-drum,tote'!$C$21)&lt;&gt;"No control",SUMIF(('Loading-drum,tote'!$B$31:$B$48),$J4085,('Loading-drum,tote'!$E$31:$E$48))*Impacts!$F$13,0)),0)</f>
        <v>0</v>
      </c>
      <c r="R4085" s="10">
        <f>IFERROR(IF(('Loading-truck'!$C$21)="No control",SUMIF(('Loading-truck'!$B$31:$B$48),$J4085,('Loading-truck'!$D$31:$D$48))*Impacts!$F$14,IF(('Loading-truck'!$C$21)&lt;&gt;"No control",SUMIF(('Loading-truck'!$B$31:$B$48),$J4085,('Loading-truck'!$E$31:$E$48))*Impacts!$F$14,0)),0)</f>
        <v>0</v>
      </c>
      <c r="S4085" s="10">
        <f>IFERROR(IF(('Loading-rail'!$C$21)="No control",SUMIF(('Loading-rail'!$B$31:$B$48),$J4085,('Loading-rail'!$D$31:$D$48))*Impacts!$F$15,IF(('Loading-rail'!$C$21)&lt;&gt;"No control",SUMIF(('Loading-rail'!$B$31:$B$48),$J4085,('Loading-rail'!$E$31:$E$48))*Impacts!$F$15,0)),0)</f>
        <v>0</v>
      </c>
      <c r="T4085" s="10">
        <f>IF(Flare!$C$7="",0,(SUMIF(Flare!$B$46:$B$185,$J4085,Flare!$E$46:$E$185)*Impacts!$F$16))</f>
        <v>0</v>
      </c>
      <c r="U4085" s="10">
        <f>IF(VCU!$C$9="",0,(SUMIF(VCU!$B$51:$B$193,$J4085,VCU!$E$51:$E$193)*Impacts!$F$17))</f>
        <v>0</v>
      </c>
      <c r="V4085" s="10">
        <f>IF(CAS!$C$7="",0,(SUMIF(CAS!$B$31:$B$167,$J4085,CAS!$E$31:$E$167)*Impacts!$F$18))</f>
        <v>0</v>
      </c>
      <c r="W4085" s="10">
        <f t="shared" si="104"/>
        <v>0</v>
      </c>
      <c r="AK4085" s="10" t="str">
        <f t="array" ref="AK4085">IFERROR(INDEX(SelectedSpecies,SMALL(IF(SelectedSpecies=AK$1,ROW(SelectedSpecies)),ROW(4086:4086)),2),"")</f>
        <v/>
      </c>
      <c r="BE4085" s="10"/>
      <c r="BI4085" s="10"/>
    </row>
    <row r="4086" spans="1:61" ht="21" customHeight="1" x14ac:dyDescent="0.25">
      <c r="A4086" s="10"/>
      <c r="B4086" s="10"/>
      <c r="E4086" s="10"/>
      <c r="G4086" s="10"/>
      <c r="I4086" s="436" t="s">
        <v>1482</v>
      </c>
      <c r="J4086" s="26" t="s">
        <v>1481</v>
      </c>
      <c r="K4086" s="10">
        <v>30</v>
      </c>
      <c r="L4086" s="73">
        <f>IF(Tank1!$C$23="No control",(SUMIF(Tank1!$B$32:$B$49,$J4086,Tank1!$C$32:$C$49)*Impacts!$F$8),0)</f>
        <v>0</v>
      </c>
      <c r="M4086" s="10">
        <f>IF(Tank2!$C$23="No control",(SUMIF(Tank2!$B$32:$B$49,$J4086,Tank2!$C$32:$C$49)*Impacts!$F$9),0)</f>
        <v>0</v>
      </c>
      <c r="N4086" s="10">
        <f>IF(Tank3!$C$23="No control",(SUMIF(Tank3!$B$32:$B$49,$J4086,Tank3!$C$32:$C$49)*Impacts!$F$10),0)</f>
        <v>0</v>
      </c>
      <c r="O4086" s="10">
        <f>IF(Tank4!$C$23="No control",(SUMIF(Tank4!$B$32:$B$49,$J4086,Tank4!$C$32:$C$49)*Impacts!$F$11),0)</f>
        <v>0</v>
      </c>
      <c r="P4086" s="10">
        <f>IF(Tank5!$C$23="No control",(SUMIF(Tank5!$B$32:$B$49,$J4086,Tank5!$C$32:$C$49)*Impacts!$F$12),0)</f>
        <v>0</v>
      </c>
      <c r="Q4086" s="10">
        <f>IFERROR(IF(('Loading-drum,tote'!$C$21)="No control",SUMIF(('Loading-drum,tote'!$B$31:$B$48),$J4086,('Loading-drum,tote'!$D$31:$D$48))*Impacts!$F$13,IF(('Loading-drum,tote'!$C$21)&lt;&gt;"No control",SUMIF(('Loading-drum,tote'!$B$31:$B$48),$J4086,('Loading-drum,tote'!$E$31:$E$48))*Impacts!$F$13,0)),0)</f>
        <v>0</v>
      </c>
      <c r="R4086" s="10">
        <f>IFERROR(IF(('Loading-truck'!$C$21)="No control",SUMIF(('Loading-truck'!$B$31:$B$48),$J4086,('Loading-truck'!$D$31:$D$48))*Impacts!$F$14,IF(('Loading-truck'!$C$21)&lt;&gt;"No control",SUMIF(('Loading-truck'!$B$31:$B$48),$J4086,('Loading-truck'!$E$31:$E$48))*Impacts!$F$14,0)),0)</f>
        <v>0</v>
      </c>
      <c r="S4086" s="10">
        <f>IFERROR(IF(('Loading-rail'!$C$21)="No control",SUMIF(('Loading-rail'!$B$31:$B$48),$J4086,('Loading-rail'!$D$31:$D$48))*Impacts!$F$15,IF(('Loading-rail'!$C$21)&lt;&gt;"No control",SUMIF(('Loading-rail'!$B$31:$B$48),$J4086,('Loading-rail'!$E$31:$E$48))*Impacts!$F$15,0)),0)</f>
        <v>0</v>
      </c>
      <c r="T4086" s="10">
        <f>IF(Flare!$C$7="",0,(SUMIF(Flare!$B$46:$B$185,$J4086,Flare!$E$46:$E$185)*Impacts!$F$16))</f>
        <v>0</v>
      </c>
      <c r="U4086" s="10">
        <f>IF(VCU!$C$9="",0,(SUMIF(VCU!$B$51:$B$193,$J4086,VCU!$E$51:$E$193)*Impacts!$F$17))</f>
        <v>0</v>
      </c>
      <c r="V4086" s="10">
        <f>IF(CAS!$C$7="",0,(SUMIF(CAS!$B$31:$B$167,$J4086,CAS!$E$31:$E$167)*Impacts!$F$18))</f>
        <v>0</v>
      </c>
      <c r="W4086" s="10">
        <f t="shared" si="104"/>
        <v>0</v>
      </c>
      <c r="AK4086" s="10" t="str">
        <f t="array" ref="AK4086">IFERROR(INDEX(SelectedSpecies,SMALL(IF(SelectedSpecies=AK$1,ROW(SelectedSpecies)),ROW(4087:4087)),2),"")</f>
        <v/>
      </c>
      <c r="BE4086" s="10"/>
      <c r="BI4086" s="10"/>
    </row>
    <row r="4087" spans="1:61" ht="21" customHeight="1" x14ac:dyDescent="0.25">
      <c r="A4087" s="10"/>
      <c r="B4087" s="10"/>
      <c r="E4087" s="10"/>
      <c r="G4087" s="10"/>
      <c r="I4087" s="436" t="s">
        <v>1911</v>
      </c>
      <c r="J4087" s="26" t="s">
        <v>1910</v>
      </c>
      <c r="K4087" s="10">
        <v>19</v>
      </c>
      <c r="L4087" s="73">
        <f>IF(Tank1!$C$23="No control",(SUMIF(Tank1!$B$32:$B$49,$J4087,Tank1!$C$32:$C$49)*Impacts!$F$8),0)</f>
        <v>0</v>
      </c>
      <c r="M4087" s="10">
        <f>IF(Tank2!$C$23="No control",(SUMIF(Tank2!$B$32:$B$49,$J4087,Tank2!$C$32:$C$49)*Impacts!$F$9),0)</f>
        <v>0</v>
      </c>
      <c r="N4087" s="10">
        <f>IF(Tank3!$C$23="No control",(SUMIF(Tank3!$B$32:$B$49,$J4087,Tank3!$C$32:$C$49)*Impacts!$F$10),0)</f>
        <v>0</v>
      </c>
      <c r="O4087" s="10">
        <f>IF(Tank4!$C$23="No control",(SUMIF(Tank4!$B$32:$B$49,$J4087,Tank4!$C$32:$C$49)*Impacts!$F$11),0)</f>
        <v>0</v>
      </c>
      <c r="P4087" s="10">
        <f>IF(Tank5!$C$23="No control",(SUMIF(Tank5!$B$32:$B$49,$J4087,Tank5!$C$32:$C$49)*Impacts!$F$12),0)</f>
        <v>0</v>
      </c>
      <c r="Q4087" s="10">
        <f>IFERROR(IF(('Loading-drum,tote'!$C$21)="No control",SUMIF(('Loading-drum,tote'!$B$31:$B$48),$J4087,('Loading-drum,tote'!$D$31:$D$48))*Impacts!$F$13,IF(('Loading-drum,tote'!$C$21)&lt;&gt;"No control",SUMIF(('Loading-drum,tote'!$B$31:$B$48),$J4087,('Loading-drum,tote'!$E$31:$E$48))*Impacts!$F$13,0)),0)</f>
        <v>0</v>
      </c>
      <c r="R4087" s="10">
        <f>IFERROR(IF(('Loading-truck'!$C$21)="No control",SUMIF(('Loading-truck'!$B$31:$B$48),$J4087,('Loading-truck'!$D$31:$D$48))*Impacts!$F$14,IF(('Loading-truck'!$C$21)&lt;&gt;"No control",SUMIF(('Loading-truck'!$B$31:$B$48),$J4087,('Loading-truck'!$E$31:$E$48))*Impacts!$F$14,0)),0)</f>
        <v>0</v>
      </c>
      <c r="S4087" s="10">
        <f>IFERROR(IF(('Loading-rail'!$C$21)="No control",SUMIF(('Loading-rail'!$B$31:$B$48),$J4087,('Loading-rail'!$D$31:$D$48))*Impacts!$F$15,IF(('Loading-rail'!$C$21)&lt;&gt;"No control",SUMIF(('Loading-rail'!$B$31:$B$48),$J4087,('Loading-rail'!$E$31:$E$48))*Impacts!$F$15,0)),0)</f>
        <v>0</v>
      </c>
      <c r="T4087" s="10">
        <f>IF(Flare!$C$7="",0,(SUMIF(Flare!$B$46:$B$185,$J4087,Flare!$E$46:$E$185)*Impacts!$F$16))</f>
        <v>0</v>
      </c>
      <c r="U4087" s="10">
        <f>IF(VCU!$C$9="",0,(SUMIF(VCU!$B$51:$B$193,$J4087,VCU!$E$51:$E$193)*Impacts!$F$17))</f>
        <v>0</v>
      </c>
      <c r="V4087" s="10">
        <f>IF(CAS!$C$7="",0,(SUMIF(CAS!$B$31:$B$167,$J4087,CAS!$E$31:$E$167)*Impacts!$F$18))</f>
        <v>0</v>
      </c>
      <c r="W4087" s="10">
        <f t="shared" si="104"/>
        <v>0</v>
      </c>
      <c r="AK4087" s="10" t="str">
        <f t="array" ref="AK4087">IFERROR(INDEX(SelectedSpecies,SMALL(IF(SelectedSpecies=AK$1,ROW(SelectedSpecies)),ROW(4088:4088)),2),"")</f>
        <v/>
      </c>
      <c r="BE4087" s="10"/>
      <c r="BI4087" s="10"/>
    </row>
    <row r="4088" spans="1:61" ht="21" customHeight="1" x14ac:dyDescent="0.25">
      <c r="A4088" s="10"/>
      <c r="B4088" s="10"/>
      <c r="E4088" s="10"/>
      <c r="G4088" s="10"/>
      <c r="I4088" s="436" t="s">
        <v>1484</v>
      </c>
      <c r="J4088" s="26" t="s">
        <v>1483</v>
      </c>
      <c r="K4088" s="10">
        <v>30</v>
      </c>
      <c r="L4088" s="73">
        <f>IF(Tank1!$C$23="No control",(SUMIF(Tank1!$B$32:$B$49,$J4088,Tank1!$C$32:$C$49)*Impacts!$F$8),0)</f>
        <v>0</v>
      </c>
      <c r="M4088" s="10">
        <f>IF(Tank2!$C$23="No control",(SUMIF(Tank2!$B$32:$B$49,$J4088,Tank2!$C$32:$C$49)*Impacts!$F$9),0)</f>
        <v>0</v>
      </c>
      <c r="N4088" s="10">
        <f>IF(Tank3!$C$23="No control",(SUMIF(Tank3!$B$32:$B$49,$J4088,Tank3!$C$32:$C$49)*Impacts!$F$10),0)</f>
        <v>0</v>
      </c>
      <c r="O4088" s="10">
        <f>IF(Tank4!$C$23="No control",(SUMIF(Tank4!$B$32:$B$49,$J4088,Tank4!$C$32:$C$49)*Impacts!$F$11),0)</f>
        <v>0</v>
      </c>
      <c r="P4088" s="10">
        <f>IF(Tank5!$C$23="No control",(SUMIF(Tank5!$B$32:$B$49,$J4088,Tank5!$C$32:$C$49)*Impacts!$F$12),0)</f>
        <v>0</v>
      </c>
      <c r="Q4088" s="10">
        <f>IFERROR(IF(('Loading-drum,tote'!$C$21)="No control",SUMIF(('Loading-drum,tote'!$B$31:$B$48),$J4088,('Loading-drum,tote'!$D$31:$D$48))*Impacts!$F$13,IF(('Loading-drum,tote'!$C$21)&lt;&gt;"No control",SUMIF(('Loading-drum,tote'!$B$31:$B$48),$J4088,('Loading-drum,tote'!$E$31:$E$48))*Impacts!$F$13,0)),0)</f>
        <v>0</v>
      </c>
      <c r="R4088" s="10">
        <f>IFERROR(IF(('Loading-truck'!$C$21)="No control",SUMIF(('Loading-truck'!$B$31:$B$48),$J4088,('Loading-truck'!$D$31:$D$48))*Impacts!$F$14,IF(('Loading-truck'!$C$21)&lt;&gt;"No control",SUMIF(('Loading-truck'!$B$31:$B$48),$J4088,('Loading-truck'!$E$31:$E$48))*Impacts!$F$14,0)),0)</f>
        <v>0</v>
      </c>
      <c r="S4088" s="10">
        <f>IFERROR(IF(('Loading-rail'!$C$21)="No control",SUMIF(('Loading-rail'!$B$31:$B$48),$J4088,('Loading-rail'!$D$31:$D$48))*Impacts!$F$15,IF(('Loading-rail'!$C$21)&lt;&gt;"No control",SUMIF(('Loading-rail'!$B$31:$B$48),$J4088,('Loading-rail'!$E$31:$E$48))*Impacts!$F$15,0)),0)</f>
        <v>0</v>
      </c>
      <c r="T4088" s="10">
        <f>IF(Flare!$C$7="",0,(SUMIF(Flare!$B$46:$B$185,$J4088,Flare!$E$46:$E$185)*Impacts!$F$16))</f>
        <v>0</v>
      </c>
      <c r="U4088" s="10">
        <f>IF(VCU!$C$9="",0,(SUMIF(VCU!$B$51:$B$193,$J4088,VCU!$E$51:$E$193)*Impacts!$F$17))</f>
        <v>0</v>
      </c>
      <c r="V4088" s="10">
        <f>IF(CAS!$C$7="",0,(SUMIF(CAS!$B$31:$B$167,$J4088,CAS!$E$31:$E$167)*Impacts!$F$18))</f>
        <v>0</v>
      </c>
      <c r="W4088" s="10">
        <f t="shared" si="104"/>
        <v>0</v>
      </c>
      <c r="AK4088" s="10" t="str">
        <f t="array" ref="AK4088">IFERROR(INDEX(SelectedSpecies,SMALL(IF(SelectedSpecies=AK$1,ROW(SelectedSpecies)),ROW(4089:4089)),2),"")</f>
        <v/>
      </c>
      <c r="BE4088" s="10"/>
      <c r="BI4088" s="10"/>
    </row>
    <row r="4089" spans="1:61" ht="21" customHeight="1" x14ac:dyDescent="0.25">
      <c r="A4089" s="10"/>
      <c r="B4089" s="10"/>
      <c r="E4089" s="10"/>
      <c r="G4089" s="10"/>
      <c r="I4089" s="436" t="s">
        <v>624</v>
      </c>
      <c r="J4089" s="26" t="s">
        <v>623</v>
      </c>
      <c r="K4089" s="10">
        <v>70</v>
      </c>
      <c r="L4089" s="73">
        <f>IF(Tank1!$C$23="No control",(SUMIF(Tank1!$B$32:$B$49,$J4089,Tank1!$C$32:$C$49)*Impacts!$F$8),0)</f>
        <v>0</v>
      </c>
      <c r="M4089" s="10">
        <f>IF(Tank2!$C$23="No control",(SUMIF(Tank2!$B$32:$B$49,$J4089,Tank2!$C$32:$C$49)*Impacts!$F$9),0)</f>
        <v>0</v>
      </c>
      <c r="N4089" s="10">
        <f>IF(Tank3!$C$23="No control",(SUMIF(Tank3!$B$32:$B$49,$J4089,Tank3!$C$32:$C$49)*Impacts!$F$10),0)</f>
        <v>0</v>
      </c>
      <c r="O4089" s="10">
        <f>IF(Tank4!$C$23="No control",(SUMIF(Tank4!$B$32:$B$49,$J4089,Tank4!$C$32:$C$49)*Impacts!$F$11),0)</f>
        <v>0</v>
      </c>
      <c r="P4089" s="10">
        <f>IF(Tank5!$C$23="No control",(SUMIF(Tank5!$B$32:$B$49,$J4089,Tank5!$C$32:$C$49)*Impacts!$F$12),0)</f>
        <v>0</v>
      </c>
      <c r="Q4089" s="10">
        <f>IFERROR(IF(('Loading-drum,tote'!$C$21)="No control",SUMIF(('Loading-drum,tote'!$B$31:$B$48),$J4089,('Loading-drum,tote'!$D$31:$D$48))*Impacts!$F$13,IF(('Loading-drum,tote'!$C$21)&lt;&gt;"No control",SUMIF(('Loading-drum,tote'!$B$31:$B$48),$J4089,('Loading-drum,tote'!$E$31:$E$48))*Impacts!$F$13,0)),0)</f>
        <v>0</v>
      </c>
      <c r="R4089" s="10">
        <f>IFERROR(IF(('Loading-truck'!$C$21)="No control",SUMIF(('Loading-truck'!$B$31:$B$48),$J4089,('Loading-truck'!$D$31:$D$48))*Impacts!$F$14,IF(('Loading-truck'!$C$21)&lt;&gt;"No control",SUMIF(('Loading-truck'!$B$31:$B$48),$J4089,('Loading-truck'!$E$31:$E$48))*Impacts!$F$14,0)),0)</f>
        <v>0</v>
      </c>
      <c r="S4089" s="10">
        <f>IFERROR(IF(('Loading-rail'!$C$21)="No control",SUMIF(('Loading-rail'!$B$31:$B$48),$J4089,('Loading-rail'!$D$31:$D$48))*Impacts!$F$15,IF(('Loading-rail'!$C$21)&lt;&gt;"No control",SUMIF(('Loading-rail'!$B$31:$B$48),$J4089,('Loading-rail'!$E$31:$E$48))*Impacts!$F$15,0)),0)</f>
        <v>0</v>
      </c>
      <c r="T4089" s="10">
        <f>IF(Flare!$C$7="",0,(SUMIF(Flare!$B$46:$B$185,$J4089,Flare!$E$46:$E$185)*Impacts!$F$16))</f>
        <v>0</v>
      </c>
      <c r="U4089" s="10">
        <f>IF(VCU!$C$9="",0,(SUMIF(VCU!$B$51:$B$193,$J4089,VCU!$E$51:$E$193)*Impacts!$F$17))</f>
        <v>0</v>
      </c>
      <c r="V4089" s="10">
        <f>IF(CAS!$C$7="",0,(SUMIF(CAS!$B$31:$B$167,$J4089,CAS!$E$31:$E$167)*Impacts!$F$18))</f>
        <v>0</v>
      </c>
      <c r="W4089" s="10">
        <f t="shared" si="104"/>
        <v>0</v>
      </c>
      <c r="AK4089" s="10" t="str">
        <f t="array" ref="AK4089">IFERROR(INDEX(SelectedSpecies,SMALL(IF(SelectedSpecies=AK$1,ROW(SelectedSpecies)),ROW(4090:4090)),2),"")</f>
        <v/>
      </c>
      <c r="BE4089" s="10"/>
      <c r="BI4089" s="10"/>
    </row>
    <row r="4090" spans="1:61" ht="21" customHeight="1" x14ac:dyDescent="0.25">
      <c r="A4090" s="10"/>
      <c r="B4090" s="10"/>
      <c r="E4090" s="10"/>
      <c r="G4090" s="10"/>
      <c r="I4090" s="436" t="s">
        <v>3693</v>
      </c>
      <c r="J4090" s="26" t="s">
        <v>3692</v>
      </c>
      <c r="K4090" s="10">
        <v>7</v>
      </c>
      <c r="L4090" s="73">
        <f>IF(Tank1!$C$23="No control",(SUMIF(Tank1!$B$32:$B$49,$J4090,Tank1!$C$32:$C$49)*Impacts!$F$8),0)</f>
        <v>0</v>
      </c>
      <c r="M4090" s="10">
        <f>IF(Tank2!$C$23="No control",(SUMIF(Tank2!$B$32:$B$49,$J4090,Tank2!$C$32:$C$49)*Impacts!$F$9),0)</f>
        <v>0</v>
      </c>
      <c r="N4090" s="10">
        <f>IF(Tank3!$C$23="No control",(SUMIF(Tank3!$B$32:$B$49,$J4090,Tank3!$C$32:$C$49)*Impacts!$F$10),0)</f>
        <v>0</v>
      </c>
      <c r="O4090" s="10">
        <f>IF(Tank4!$C$23="No control",(SUMIF(Tank4!$B$32:$B$49,$J4090,Tank4!$C$32:$C$49)*Impacts!$F$11),0)</f>
        <v>0</v>
      </c>
      <c r="P4090" s="10">
        <f>IF(Tank5!$C$23="No control",(SUMIF(Tank5!$B$32:$B$49,$J4090,Tank5!$C$32:$C$49)*Impacts!$F$12),0)</f>
        <v>0</v>
      </c>
      <c r="Q4090" s="10">
        <f>IFERROR(IF(('Loading-drum,tote'!$C$21)="No control",SUMIF(('Loading-drum,tote'!$B$31:$B$48),$J4090,('Loading-drum,tote'!$D$31:$D$48))*Impacts!$F$13,IF(('Loading-drum,tote'!$C$21)&lt;&gt;"No control",SUMIF(('Loading-drum,tote'!$B$31:$B$48),$J4090,('Loading-drum,tote'!$E$31:$E$48))*Impacts!$F$13,0)),0)</f>
        <v>0</v>
      </c>
      <c r="R4090" s="10">
        <f>IFERROR(IF(('Loading-truck'!$C$21)="No control",SUMIF(('Loading-truck'!$B$31:$B$48),$J4090,('Loading-truck'!$D$31:$D$48))*Impacts!$F$14,IF(('Loading-truck'!$C$21)&lt;&gt;"No control",SUMIF(('Loading-truck'!$B$31:$B$48),$J4090,('Loading-truck'!$E$31:$E$48))*Impacts!$F$14,0)),0)</f>
        <v>0</v>
      </c>
      <c r="S4090" s="10">
        <f>IFERROR(IF(('Loading-rail'!$C$21)="No control",SUMIF(('Loading-rail'!$B$31:$B$48),$J4090,('Loading-rail'!$D$31:$D$48))*Impacts!$F$15,IF(('Loading-rail'!$C$21)&lt;&gt;"No control",SUMIF(('Loading-rail'!$B$31:$B$48),$J4090,('Loading-rail'!$E$31:$E$48))*Impacts!$F$15,0)),0)</f>
        <v>0</v>
      </c>
      <c r="T4090" s="10">
        <f>IF(Flare!$C$7="",0,(SUMIF(Flare!$B$46:$B$185,$J4090,Flare!$E$46:$E$185)*Impacts!$F$16))</f>
        <v>0</v>
      </c>
      <c r="U4090" s="10">
        <f>IF(VCU!$C$9="",0,(SUMIF(VCU!$B$51:$B$193,$J4090,VCU!$E$51:$E$193)*Impacts!$F$17))</f>
        <v>0</v>
      </c>
      <c r="V4090" s="10">
        <f>IF(CAS!$C$7="",0,(SUMIF(CAS!$B$31:$B$167,$J4090,CAS!$E$31:$E$167)*Impacts!$F$18))</f>
        <v>0</v>
      </c>
      <c r="W4090" s="10">
        <f t="shared" si="104"/>
        <v>0</v>
      </c>
      <c r="AK4090" s="10" t="str">
        <f t="array" ref="AK4090">IFERROR(INDEX(SelectedSpecies,SMALL(IF(SelectedSpecies=AK$1,ROW(SelectedSpecies)),ROW(4091:4091)),2),"")</f>
        <v/>
      </c>
      <c r="BE4090" s="10"/>
      <c r="BI4090" s="10"/>
    </row>
    <row r="4091" spans="1:61" ht="21" customHeight="1" x14ac:dyDescent="0.25">
      <c r="A4091" s="10"/>
      <c r="B4091" s="10"/>
      <c r="E4091" s="10"/>
      <c r="G4091" s="10"/>
      <c r="I4091" s="436" t="s">
        <v>972</v>
      </c>
      <c r="J4091" s="26" t="s">
        <v>971</v>
      </c>
      <c r="K4091" s="10">
        <v>36</v>
      </c>
      <c r="L4091" s="73">
        <f>IF(Tank1!$C$23="No control",(SUMIF(Tank1!$B$32:$B$49,$J4091,Tank1!$C$32:$C$49)*Impacts!$F$8),0)</f>
        <v>0</v>
      </c>
      <c r="M4091" s="10">
        <f>IF(Tank2!$C$23="No control",(SUMIF(Tank2!$B$32:$B$49,$J4091,Tank2!$C$32:$C$49)*Impacts!$F$9),0)</f>
        <v>0</v>
      </c>
      <c r="N4091" s="10">
        <f>IF(Tank3!$C$23="No control",(SUMIF(Tank3!$B$32:$B$49,$J4091,Tank3!$C$32:$C$49)*Impacts!$F$10),0)</f>
        <v>0</v>
      </c>
      <c r="O4091" s="10">
        <f>IF(Tank4!$C$23="No control",(SUMIF(Tank4!$B$32:$B$49,$J4091,Tank4!$C$32:$C$49)*Impacts!$F$11),0)</f>
        <v>0</v>
      </c>
      <c r="P4091" s="10">
        <f>IF(Tank5!$C$23="No control",(SUMIF(Tank5!$B$32:$B$49,$J4091,Tank5!$C$32:$C$49)*Impacts!$F$12),0)</f>
        <v>0</v>
      </c>
      <c r="Q4091" s="10">
        <f>IFERROR(IF(('Loading-drum,tote'!$C$21)="No control",SUMIF(('Loading-drum,tote'!$B$31:$B$48),$J4091,('Loading-drum,tote'!$D$31:$D$48))*Impacts!$F$13,IF(('Loading-drum,tote'!$C$21)&lt;&gt;"No control",SUMIF(('Loading-drum,tote'!$B$31:$B$48),$J4091,('Loading-drum,tote'!$E$31:$E$48))*Impacts!$F$13,0)),0)</f>
        <v>0</v>
      </c>
      <c r="R4091" s="10">
        <f>IFERROR(IF(('Loading-truck'!$C$21)="No control",SUMIF(('Loading-truck'!$B$31:$B$48),$J4091,('Loading-truck'!$D$31:$D$48))*Impacts!$F$14,IF(('Loading-truck'!$C$21)&lt;&gt;"No control",SUMIF(('Loading-truck'!$B$31:$B$48),$J4091,('Loading-truck'!$E$31:$E$48))*Impacts!$F$14,0)),0)</f>
        <v>0</v>
      </c>
      <c r="S4091" s="10">
        <f>IFERROR(IF(('Loading-rail'!$C$21)="No control",SUMIF(('Loading-rail'!$B$31:$B$48),$J4091,('Loading-rail'!$D$31:$D$48))*Impacts!$F$15,IF(('Loading-rail'!$C$21)&lt;&gt;"No control",SUMIF(('Loading-rail'!$B$31:$B$48),$J4091,('Loading-rail'!$E$31:$E$48))*Impacts!$F$15,0)),0)</f>
        <v>0</v>
      </c>
      <c r="T4091" s="10">
        <f>IF(Flare!$C$7="",0,(SUMIF(Flare!$B$46:$B$185,$J4091,Flare!$E$46:$E$185)*Impacts!$F$16))</f>
        <v>0</v>
      </c>
      <c r="U4091" s="10">
        <f>IF(VCU!$C$9="",0,(SUMIF(VCU!$B$51:$B$193,$J4091,VCU!$E$51:$E$193)*Impacts!$F$17))</f>
        <v>0</v>
      </c>
      <c r="V4091" s="10">
        <f>IF(CAS!$C$7="",0,(SUMIF(CAS!$B$31:$B$167,$J4091,CAS!$E$31:$E$167)*Impacts!$F$18))</f>
        <v>0</v>
      </c>
      <c r="W4091" s="10">
        <f t="shared" si="104"/>
        <v>0</v>
      </c>
      <c r="AK4091" s="10" t="str">
        <f t="array" ref="AK4091">IFERROR(INDEX(SelectedSpecies,SMALL(IF(SelectedSpecies=AK$1,ROW(SelectedSpecies)),ROW(4092:4092)),2),"")</f>
        <v/>
      </c>
      <c r="BE4091" s="10"/>
      <c r="BI4091" s="10"/>
    </row>
    <row r="4092" spans="1:61" ht="21" customHeight="1" x14ac:dyDescent="0.25">
      <c r="A4092" s="10"/>
      <c r="B4092" s="10"/>
      <c r="E4092" s="10"/>
      <c r="G4092" s="10"/>
      <c r="I4092" s="436" t="s">
        <v>7310</v>
      </c>
      <c r="J4092" s="26" t="s">
        <v>7309</v>
      </c>
      <c r="K4092" s="10">
        <v>0.30000000000000004</v>
      </c>
      <c r="L4092" s="73">
        <f>IF(Tank1!$C$23="No control",(SUMIF(Tank1!$B$32:$B$49,$J4092,Tank1!$C$32:$C$49)*Impacts!$F$8),0)</f>
        <v>0</v>
      </c>
      <c r="M4092" s="10">
        <f>IF(Tank2!$C$23="No control",(SUMIF(Tank2!$B$32:$B$49,$J4092,Tank2!$C$32:$C$49)*Impacts!$F$9),0)</f>
        <v>0</v>
      </c>
      <c r="N4092" s="10">
        <f>IF(Tank3!$C$23="No control",(SUMIF(Tank3!$B$32:$B$49,$J4092,Tank3!$C$32:$C$49)*Impacts!$F$10),0)</f>
        <v>0</v>
      </c>
      <c r="O4092" s="10">
        <f>IF(Tank4!$C$23="No control",(SUMIF(Tank4!$B$32:$B$49,$J4092,Tank4!$C$32:$C$49)*Impacts!$F$11),0)</f>
        <v>0</v>
      </c>
      <c r="P4092" s="10">
        <f>IF(Tank5!$C$23="No control",(SUMIF(Tank5!$B$32:$B$49,$J4092,Tank5!$C$32:$C$49)*Impacts!$F$12),0)</f>
        <v>0</v>
      </c>
      <c r="Q4092" s="10">
        <f>IFERROR(IF(('Loading-drum,tote'!$C$21)="No control",SUMIF(('Loading-drum,tote'!$B$31:$B$48),$J4092,('Loading-drum,tote'!$D$31:$D$48))*Impacts!$F$13,IF(('Loading-drum,tote'!$C$21)&lt;&gt;"No control",SUMIF(('Loading-drum,tote'!$B$31:$B$48),$J4092,('Loading-drum,tote'!$E$31:$E$48))*Impacts!$F$13,0)),0)</f>
        <v>0</v>
      </c>
      <c r="R4092" s="10">
        <f>IFERROR(IF(('Loading-truck'!$C$21)="No control",SUMIF(('Loading-truck'!$B$31:$B$48),$J4092,('Loading-truck'!$D$31:$D$48))*Impacts!$F$14,IF(('Loading-truck'!$C$21)&lt;&gt;"No control",SUMIF(('Loading-truck'!$B$31:$B$48),$J4092,('Loading-truck'!$E$31:$E$48))*Impacts!$F$14,0)),0)</f>
        <v>0</v>
      </c>
      <c r="S4092" s="10">
        <f>IFERROR(IF(('Loading-rail'!$C$21)="No control",SUMIF(('Loading-rail'!$B$31:$B$48),$J4092,('Loading-rail'!$D$31:$D$48))*Impacts!$F$15,IF(('Loading-rail'!$C$21)&lt;&gt;"No control",SUMIF(('Loading-rail'!$B$31:$B$48),$J4092,('Loading-rail'!$E$31:$E$48))*Impacts!$F$15,0)),0)</f>
        <v>0</v>
      </c>
      <c r="T4092" s="10">
        <f>IF(Flare!$C$7="",0,(SUMIF(Flare!$B$46:$B$185,$J4092,Flare!$E$46:$E$185)*Impacts!$F$16))</f>
        <v>0</v>
      </c>
      <c r="U4092" s="10">
        <f>IF(VCU!$C$9="",0,(SUMIF(VCU!$B$51:$B$193,$J4092,VCU!$E$51:$E$193)*Impacts!$F$17))</f>
        <v>0</v>
      </c>
      <c r="V4092" s="10">
        <f>IF(CAS!$C$7="",0,(SUMIF(CAS!$B$31:$B$167,$J4092,CAS!$E$31:$E$167)*Impacts!$F$18))</f>
        <v>0</v>
      </c>
      <c r="W4092" s="10">
        <f t="shared" si="104"/>
        <v>0</v>
      </c>
      <c r="AK4092" s="10" t="str">
        <f t="array" ref="AK4092">IFERROR(INDEX(SelectedSpecies,SMALL(IF(SelectedSpecies=AK$1,ROW(SelectedSpecies)),ROW(4093:4093)),2),"")</f>
        <v/>
      </c>
      <c r="BE4092" s="10"/>
      <c r="BI4092" s="10"/>
    </row>
    <row r="4093" spans="1:61" ht="21" customHeight="1" x14ac:dyDescent="0.25">
      <c r="A4093" s="10"/>
      <c r="B4093" s="10"/>
      <c r="E4093" s="10"/>
      <c r="G4093" s="10"/>
      <c r="I4093" s="436" t="s">
        <v>7564</v>
      </c>
      <c r="J4093" s="26" t="s">
        <v>7563</v>
      </c>
      <c r="K4093" s="10">
        <v>0.2</v>
      </c>
      <c r="L4093" s="73">
        <f>IF(Tank1!$C$23="No control",(SUMIF(Tank1!$B$32:$B$49,$J4093,Tank1!$C$32:$C$49)*Impacts!$F$8),0)</f>
        <v>0</v>
      </c>
      <c r="M4093" s="10">
        <f>IF(Tank2!$C$23="No control",(SUMIF(Tank2!$B$32:$B$49,$J4093,Tank2!$C$32:$C$49)*Impacts!$F$9),0)</f>
        <v>0</v>
      </c>
      <c r="N4093" s="10">
        <f>IF(Tank3!$C$23="No control",(SUMIF(Tank3!$B$32:$B$49,$J4093,Tank3!$C$32:$C$49)*Impacts!$F$10),0)</f>
        <v>0</v>
      </c>
      <c r="O4093" s="10">
        <f>IF(Tank4!$C$23="No control",(SUMIF(Tank4!$B$32:$B$49,$J4093,Tank4!$C$32:$C$49)*Impacts!$F$11),0)</f>
        <v>0</v>
      </c>
      <c r="P4093" s="10">
        <f>IF(Tank5!$C$23="No control",(SUMIF(Tank5!$B$32:$B$49,$J4093,Tank5!$C$32:$C$49)*Impacts!$F$12),0)</f>
        <v>0</v>
      </c>
      <c r="Q4093" s="10">
        <f>IFERROR(IF(('Loading-drum,tote'!$C$21)="No control",SUMIF(('Loading-drum,tote'!$B$31:$B$48),$J4093,('Loading-drum,tote'!$D$31:$D$48))*Impacts!$F$13,IF(('Loading-drum,tote'!$C$21)&lt;&gt;"No control",SUMIF(('Loading-drum,tote'!$B$31:$B$48),$J4093,('Loading-drum,tote'!$E$31:$E$48))*Impacts!$F$13,0)),0)</f>
        <v>0</v>
      </c>
      <c r="R4093" s="10">
        <f>IFERROR(IF(('Loading-truck'!$C$21)="No control",SUMIF(('Loading-truck'!$B$31:$B$48),$J4093,('Loading-truck'!$D$31:$D$48))*Impacts!$F$14,IF(('Loading-truck'!$C$21)&lt;&gt;"No control",SUMIF(('Loading-truck'!$B$31:$B$48),$J4093,('Loading-truck'!$E$31:$E$48))*Impacts!$F$14,0)),0)</f>
        <v>0</v>
      </c>
      <c r="S4093" s="10">
        <f>IFERROR(IF(('Loading-rail'!$C$21)="No control",SUMIF(('Loading-rail'!$B$31:$B$48),$J4093,('Loading-rail'!$D$31:$D$48))*Impacts!$F$15,IF(('Loading-rail'!$C$21)&lt;&gt;"No control",SUMIF(('Loading-rail'!$B$31:$B$48),$J4093,('Loading-rail'!$E$31:$E$48))*Impacts!$F$15,0)),0)</f>
        <v>0</v>
      </c>
      <c r="T4093" s="10">
        <f>IF(Flare!$C$7="",0,(SUMIF(Flare!$B$46:$B$185,$J4093,Flare!$E$46:$E$185)*Impacts!$F$16))</f>
        <v>0</v>
      </c>
      <c r="U4093" s="10">
        <f>IF(VCU!$C$9="",0,(SUMIF(VCU!$B$51:$B$193,$J4093,VCU!$E$51:$E$193)*Impacts!$F$17))</f>
        <v>0</v>
      </c>
      <c r="V4093" s="10">
        <f>IF(CAS!$C$7="",0,(SUMIF(CAS!$B$31:$B$167,$J4093,CAS!$E$31:$E$167)*Impacts!$F$18))</f>
        <v>0</v>
      </c>
      <c r="W4093" s="10">
        <f t="shared" si="104"/>
        <v>0</v>
      </c>
      <c r="AK4093" s="10" t="str">
        <f t="array" ref="AK4093">IFERROR(INDEX(SelectedSpecies,SMALL(IF(SelectedSpecies=AK$1,ROW(SelectedSpecies)),ROW(4094:4094)),2),"")</f>
        <v/>
      </c>
      <c r="BE4093" s="10"/>
      <c r="BI4093" s="10"/>
    </row>
    <row r="4094" spans="1:61" ht="21" customHeight="1" x14ac:dyDescent="0.25">
      <c r="A4094" s="10"/>
      <c r="B4094" s="10"/>
      <c r="E4094" s="10"/>
      <c r="G4094" s="10"/>
      <c r="I4094" s="436" t="s">
        <v>4623</v>
      </c>
      <c r="J4094" s="26" t="s">
        <v>4622</v>
      </c>
      <c r="K4094" s="10">
        <v>4</v>
      </c>
      <c r="L4094" s="73">
        <f>IF(Tank1!$C$23="No control",(SUMIF(Tank1!$B$32:$B$49,$J4094,Tank1!$C$32:$C$49)*Impacts!$F$8),0)</f>
        <v>0</v>
      </c>
      <c r="M4094" s="10">
        <f>IF(Tank2!$C$23="No control",(SUMIF(Tank2!$B$32:$B$49,$J4094,Tank2!$C$32:$C$49)*Impacts!$F$9),0)</f>
        <v>0</v>
      </c>
      <c r="N4094" s="10">
        <f>IF(Tank3!$C$23="No control",(SUMIF(Tank3!$B$32:$B$49,$J4094,Tank3!$C$32:$C$49)*Impacts!$F$10),0)</f>
        <v>0</v>
      </c>
      <c r="O4094" s="10">
        <f>IF(Tank4!$C$23="No control",(SUMIF(Tank4!$B$32:$B$49,$J4094,Tank4!$C$32:$C$49)*Impacts!$F$11),0)</f>
        <v>0</v>
      </c>
      <c r="P4094" s="10">
        <f>IF(Tank5!$C$23="No control",(SUMIF(Tank5!$B$32:$B$49,$J4094,Tank5!$C$32:$C$49)*Impacts!$F$12),0)</f>
        <v>0</v>
      </c>
      <c r="Q4094" s="10">
        <f>IFERROR(IF(('Loading-drum,tote'!$C$21)="No control",SUMIF(('Loading-drum,tote'!$B$31:$B$48),$J4094,('Loading-drum,tote'!$D$31:$D$48))*Impacts!$F$13,IF(('Loading-drum,tote'!$C$21)&lt;&gt;"No control",SUMIF(('Loading-drum,tote'!$B$31:$B$48),$J4094,('Loading-drum,tote'!$E$31:$E$48))*Impacts!$F$13,0)),0)</f>
        <v>0</v>
      </c>
      <c r="R4094" s="10">
        <f>IFERROR(IF(('Loading-truck'!$C$21)="No control",SUMIF(('Loading-truck'!$B$31:$B$48),$J4094,('Loading-truck'!$D$31:$D$48))*Impacts!$F$14,IF(('Loading-truck'!$C$21)&lt;&gt;"No control",SUMIF(('Loading-truck'!$B$31:$B$48),$J4094,('Loading-truck'!$E$31:$E$48))*Impacts!$F$14,0)),0)</f>
        <v>0</v>
      </c>
      <c r="S4094" s="10">
        <f>IFERROR(IF(('Loading-rail'!$C$21)="No control",SUMIF(('Loading-rail'!$B$31:$B$48),$J4094,('Loading-rail'!$D$31:$D$48))*Impacts!$F$15,IF(('Loading-rail'!$C$21)&lt;&gt;"No control",SUMIF(('Loading-rail'!$B$31:$B$48),$J4094,('Loading-rail'!$E$31:$E$48))*Impacts!$F$15,0)),0)</f>
        <v>0</v>
      </c>
      <c r="T4094" s="10">
        <f>IF(Flare!$C$7="",0,(SUMIF(Flare!$B$46:$B$185,$J4094,Flare!$E$46:$E$185)*Impacts!$F$16))</f>
        <v>0</v>
      </c>
      <c r="U4094" s="10">
        <f>IF(VCU!$C$9="",0,(SUMIF(VCU!$B$51:$B$193,$J4094,VCU!$E$51:$E$193)*Impacts!$F$17))</f>
        <v>0</v>
      </c>
      <c r="V4094" s="10">
        <f>IF(CAS!$C$7="",0,(SUMIF(CAS!$B$31:$B$167,$J4094,CAS!$E$31:$E$167)*Impacts!$F$18))</f>
        <v>0</v>
      </c>
      <c r="W4094" s="10">
        <f t="shared" si="104"/>
        <v>0</v>
      </c>
      <c r="AK4094" s="10" t="str">
        <f t="array" ref="AK4094">IFERROR(INDEX(SelectedSpecies,SMALL(IF(SelectedSpecies=AK$1,ROW(SelectedSpecies)),ROW(4095:4095)),2),"")</f>
        <v/>
      </c>
      <c r="BE4094" s="10"/>
      <c r="BI4094" s="10"/>
    </row>
    <row r="4095" spans="1:61" ht="21" customHeight="1" x14ac:dyDescent="0.25">
      <c r="A4095" s="10"/>
      <c r="B4095" s="10"/>
      <c r="E4095" s="10"/>
      <c r="G4095" s="10"/>
      <c r="I4095" s="436" t="s">
        <v>6456</v>
      </c>
      <c r="J4095" s="26" t="s">
        <v>6455</v>
      </c>
      <c r="K4095" s="10">
        <v>0.8</v>
      </c>
      <c r="L4095" s="73">
        <f>IF(Tank1!$C$23="No control",(SUMIF(Tank1!$B$32:$B$49,$J4095,Tank1!$C$32:$C$49)*Impacts!$F$8),0)</f>
        <v>0</v>
      </c>
      <c r="M4095" s="10">
        <f>IF(Tank2!$C$23="No control",(SUMIF(Tank2!$B$32:$B$49,$J4095,Tank2!$C$32:$C$49)*Impacts!$F$9),0)</f>
        <v>0</v>
      </c>
      <c r="N4095" s="10">
        <f>IF(Tank3!$C$23="No control",(SUMIF(Tank3!$B$32:$B$49,$J4095,Tank3!$C$32:$C$49)*Impacts!$F$10),0)</f>
        <v>0</v>
      </c>
      <c r="O4095" s="10">
        <f>IF(Tank4!$C$23="No control",(SUMIF(Tank4!$B$32:$B$49,$J4095,Tank4!$C$32:$C$49)*Impacts!$F$11),0)</f>
        <v>0</v>
      </c>
      <c r="P4095" s="10">
        <f>IF(Tank5!$C$23="No control",(SUMIF(Tank5!$B$32:$B$49,$J4095,Tank5!$C$32:$C$49)*Impacts!$F$12),0)</f>
        <v>0</v>
      </c>
      <c r="Q4095" s="10">
        <f>IFERROR(IF(('Loading-drum,tote'!$C$21)="No control",SUMIF(('Loading-drum,tote'!$B$31:$B$48),$J4095,('Loading-drum,tote'!$D$31:$D$48))*Impacts!$F$13,IF(('Loading-drum,tote'!$C$21)&lt;&gt;"No control",SUMIF(('Loading-drum,tote'!$B$31:$B$48),$J4095,('Loading-drum,tote'!$E$31:$E$48))*Impacts!$F$13,0)),0)</f>
        <v>0</v>
      </c>
      <c r="R4095" s="10">
        <f>IFERROR(IF(('Loading-truck'!$C$21)="No control",SUMIF(('Loading-truck'!$B$31:$B$48),$J4095,('Loading-truck'!$D$31:$D$48))*Impacts!$F$14,IF(('Loading-truck'!$C$21)&lt;&gt;"No control",SUMIF(('Loading-truck'!$B$31:$B$48),$J4095,('Loading-truck'!$E$31:$E$48))*Impacts!$F$14,0)),0)</f>
        <v>0</v>
      </c>
      <c r="S4095" s="10">
        <f>IFERROR(IF(('Loading-rail'!$C$21)="No control",SUMIF(('Loading-rail'!$B$31:$B$48),$J4095,('Loading-rail'!$D$31:$D$48))*Impacts!$F$15,IF(('Loading-rail'!$C$21)&lt;&gt;"No control",SUMIF(('Loading-rail'!$B$31:$B$48),$J4095,('Loading-rail'!$E$31:$E$48))*Impacts!$F$15,0)),0)</f>
        <v>0</v>
      </c>
      <c r="T4095" s="10">
        <f>IF(Flare!$C$7="",0,(SUMIF(Flare!$B$46:$B$185,$J4095,Flare!$E$46:$E$185)*Impacts!$F$16))</f>
        <v>0</v>
      </c>
      <c r="U4095" s="10">
        <f>IF(VCU!$C$9="",0,(SUMIF(VCU!$B$51:$B$193,$J4095,VCU!$E$51:$E$193)*Impacts!$F$17))</f>
        <v>0</v>
      </c>
      <c r="V4095" s="10">
        <f>IF(CAS!$C$7="",0,(SUMIF(CAS!$B$31:$B$167,$J4095,CAS!$E$31:$E$167)*Impacts!$F$18))</f>
        <v>0</v>
      </c>
      <c r="W4095" s="10">
        <f t="shared" si="104"/>
        <v>0</v>
      </c>
      <c r="AK4095" s="10" t="str">
        <f t="array" ref="AK4095">IFERROR(INDEX(SelectedSpecies,SMALL(IF(SelectedSpecies=AK$1,ROW(SelectedSpecies)),ROW(4096:4096)),2),"")</f>
        <v/>
      </c>
      <c r="BE4095" s="10"/>
      <c r="BI4095" s="10"/>
    </row>
    <row r="4096" spans="1:61" ht="21" customHeight="1" x14ac:dyDescent="0.25">
      <c r="A4096" s="10"/>
      <c r="B4096" s="10"/>
      <c r="E4096" s="10"/>
      <c r="G4096" s="10"/>
      <c r="I4096" s="436" t="s">
        <v>1755</v>
      </c>
      <c r="J4096" s="26" t="s">
        <v>1754</v>
      </c>
      <c r="K4096" s="10">
        <v>24.5</v>
      </c>
      <c r="L4096" s="73">
        <f>IF(Tank1!$C$23="No control",(SUMIF(Tank1!$B$32:$B$49,$J4096,Tank1!$C$32:$C$49)*Impacts!$F$8),0)</f>
        <v>0</v>
      </c>
      <c r="M4096" s="10">
        <f>IF(Tank2!$C$23="No control",(SUMIF(Tank2!$B$32:$B$49,$J4096,Tank2!$C$32:$C$49)*Impacts!$F$9),0)</f>
        <v>0</v>
      </c>
      <c r="N4096" s="10">
        <f>IF(Tank3!$C$23="No control",(SUMIF(Tank3!$B$32:$B$49,$J4096,Tank3!$C$32:$C$49)*Impacts!$F$10),0)</f>
        <v>0</v>
      </c>
      <c r="O4096" s="10">
        <f>IF(Tank4!$C$23="No control",(SUMIF(Tank4!$B$32:$B$49,$J4096,Tank4!$C$32:$C$49)*Impacts!$F$11),0)</f>
        <v>0</v>
      </c>
      <c r="P4096" s="10">
        <f>IF(Tank5!$C$23="No control",(SUMIF(Tank5!$B$32:$B$49,$J4096,Tank5!$C$32:$C$49)*Impacts!$F$12),0)</f>
        <v>0</v>
      </c>
      <c r="Q4096" s="10">
        <f>IFERROR(IF(('Loading-drum,tote'!$C$21)="No control",SUMIF(('Loading-drum,tote'!$B$31:$B$48),$J4096,('Loading-drum,tote'!$D$31:$D$48))*Impacts!$F$13,IF(('Loading-drum,tote'!$C$21)&lt;&gt;"No control",SUMIF(('Loading-drum,tote'!$B$31:$B$48),$J4096,('Loading-drum,tote'!$E$31:$E$48))*Impacts!$F$13,0)),0)</f>
        <v>0</v>
      </c>
      <c r="R4096" s="10">
        <f>IFERROR(IF(('Loading-truck'!$C$21)="No control",SUMIF(('Loading-truck'!$B$31:$B$48),$J4096,('Loading-truck'!$D$31:$D$48))*Impacts!$F$14,IF(('Loading-truck'!$C$21)&lt;&gt;"No control",SUMIF(('Loading-truck'!$B$31:$B$48),$J4096,('Loading-truck'!$E$31:$E$48))*Impacts!$F$14,0)),0)</f>
        <v>0</v>
      </c>
      <c r="S4096" s="10">
        <f>IFERROR(IF(('Loading-rail'!$C$21)="No control",SUMIF(('Loading-rail'!$B$31:$B$48),$J4096,('Loading-rail'!$D$31:$D$48))*Impacts!$F$15,IF(('Loading-rail'!$C$21)&lt;&gt;"No control",SUMIF(('Loading-rail'!$B$31:$B$48),$J4096,('Loading-rail'!$E$31:$E$48))*Impacts!$F$15,0)),0)</f>
        <v>0</v>
      </c>
      <c r="T4096" s="10">
        <f>IF(Flare!$C$7="",0,(SUMIF(Flare!$B$46:$B$185,$J4096,Flare!$E$46:$E$185)*Impacts!$F$16))</f>
        <v>0</v>
      </c>
      <c r="U4096" s="10">
        <f>IF(VCU!$C$9="",0,(SUMIF(VCU!$B$51:$B$193,$J4096,VCU!$E$51:$E$193)*Impacts!$F$17))</f>
        <v>0</v>
      </c>
      <c r="V4096" s="10">
        <f>IF(CAS!$C$7="",0,(SUMIF(CAS!$B$31:$B$167,$J4096,CAS!$E$31:$E$167)*Impacts!$F$18))</f>
        <v>0</v>
      </c>
      <c r="W4096" s="10">
        <f t="shared" si="104"/>
        <v>0</v>
      </c>
      <c r="AK4096" s="10" t="str">
        <f t="array" ref="AK4096">IFERROR(INDEX(SelectedSpecies,SMALL(IF(SelectedSpecies=AK$1,ROW(SelectedSpecies)),ROW(4097:4097)),2),"")</f>
        <v/>
      </c>
      <c r="BE4096" s="10"/>
      <c r="BI4096" s="10"/>
    </row>
    <row r="4097" spans="1:61" ht="21" customHeight="1" x14ac:dyDescent="0.25">
      <c r="A4097" s="10"/>
      <c r="B4097" s="10"/>
      <c r="E4097" s="10"/>
      <c r="G4097" s="10"/>
      <c r="I4097" s="436" t="s">
        <v>7832</v>
      </c>
      <c r="J4097" s="26" t="s">
        <v>7831</v>
      </c>
      <c r="K4097" s="10">
        <v>8.0000000000000016E-2</v>
      </c>
      <c r="L4097" s="73">
        <f>IF(Tank1!$C$23="No control",(SUMIF(Tank1!$B$32:$B$49,$J4097,Tank1!$C$32:$C$49)*Impacts!$F$8),0)</f>
        <v>0</v>
      </c>
      <c r="M4097" s="10">
        <f>IF(Tank2!$C$23="No control",(SUMIF(Tank2!$B$32:$B$49,$J4097,Tank2!$C$32:$C$49)*Impacts!$F$9),0)</f>
        <v>0</v>
      </c>
      <c r="N4097" s="10">
        <f>IF(Tank3!$C$23="No control",(SUMIF(Tank3!$B$32:$B$49,$J4097,Tank3!$C$32:$C$49)*Impacts!$F$10),0)</f>
        <v>0</v>
      </c>
      <c r="O4097" s="10">
        <f>IF(Tank4!$C$23="No control",(SUMIF(Tank4!$B$32:$B$49,$J4097,Tank4!$C$32:$C$49)*Impacts!$F$11),0)</f>
        <v>0</v>
      </c>
      <c r="P4097" s="10">
        <f>IF(Tank5!$C$23="No control",(SUMIF(Tank5!$B$32:$B$49,$J4097,Tank5!$C$32:$C$49)*Impacts!$F$12),0)</f>
        <v>0</v>
      </c>
      <c r="Q4097" s="10">
        <f>IFERROR(IF(('Loading-drum,tote'!$C$21)="No control",SUMIF(('Loading-drum,tote'!$B$31:$B$48),$J4097,('Loading-drum,tote'!$D$31:$D$48))*Impacts!$F$13,IF(('Loading-drum,tote'!$C$21)&lt;&gt;"No control",SUMIF(('Loading-drum,tote'!$B$31:$B$48),$J4097,('Loading-drum,tote'!$E$31:$E$48))*Impacts!$F$13,0)),0)</f>
        <v>0</v>
      </c>
      <c r="R4097" s="10">
        <f>IFERROR(IF(('Loading-truck'!$C$21)="No control",SUMIF(('Loading-truck'!$B$31:$B$48),$J4097,('Loading-truck'!$D$31:$D$48))*Impacts!$F$14,IF(('Loading-truck'!$C$21)&lt;&gt;"No control",SUMIF(('Loading-truck'!$B$31:$B$48),$J4097,('Loading-truck'!$E$31:$E$48))*Impacts!$F$14,0)),0)</f>
        <v>0</v>
      </c>
      <c r="S4097" s="10">
        <f>IFERROR(IF(('Loading-rail'!$C$21)="No control",SUMIF(('Loading-rail'!$B$31:$B$48),$J4097,('Loading-rail'!$D$31:$D$48))*Impacts!$F$15,IF(('Loading-rail'!$C$21)&lt;&gt;"No control",SUMIF(('Loading-rail'!$B$31:$B$48),$J4097,('Loading-rail'!$E$31:$E$48))*Impacts!$F$15,0)),0)</f>
        <v>0</v>
      </c>
      <c r="T4097" s="10">
        <f>IF(Flare!$C$7="",0,(SUMIF(Flare!$B$46:$B$185,$J4097,Flare!$E$46:$E$185)*Impacts!$F$16))</f>
        <v>0</v>
      </c>
      <c r="U4097" s="10">
        <f>IF(VCU!$C$9="",0,(SUMIF(VCU!$B$51:$B$193,$J4097,VCU!$E$51:$E$193)*Impacts!$F$17))</f>
        <v>0</v>
      </c>
      <c r="V4097" s="10">
        <f>IF(CAS!$C$7="",0,(SUMIF(CAS!$B$31:$B$167,$J4097,CAS!$E$31:$E$167)*Impacts!$F$18))</f>
        <v>0</v>
      </c>
      <c r="W4097" s="10">
        <f t="shared" si="104"/>
        <v>0</v>
      </c>
      <c r="AK4097" s="10" t="str">
        <f t="array" ref="AK4097">IFERROR(INDEX(SelectedSpecies,SMALL(IF(SelectedSpecies=AK$1,ROW(SelectedSpecies)),ROW(4098:4098)),2),"")</f>
        <v/>
      </c>
      <c r="BE4097" s="10"/>
      <c r="BI4097" s="10"/>
    </row>
    <row r="4098" spans="1:61" ht="21" customHeight="1" x14ac:dyDescent="0.25">
      <c r="A4098" s="10"/>
      <c r="B4098" s="10"/>
      <c r="E4098" s="10"/>
      <c r="G4098" s="10"/>
      <c r="I4098" s="436" t="s">
        <v>5539</v>
      </c>
      <c r="J4098" s="26" t="s">
        <v>5538</v>
      </c>
      <c r="K4098" s="10">
        <v>1.25</v>
      </c>
      <c r="L4098" s="73">
        <f>IF(Tank1!$C$23="No control",(SUMIF(Tank1!$B$32:$B$49,$J4098,Tank1!$C$32:$C$49)*Impacts!$F$8),0)</f>
        <v>0</v>
      </c>
      <c r="M4098" s="10">
        <f>IF(Tank2!$C$23="No control",(SUMIF(Tank2!$B$32:$B$49,$J4098,Tank2!$C$32:$C$49)*Impacts!$F$9),0)</f>
        <v>0</v>
      </c>
      <c r="N4098" s="10">
        <f>IF(Tank3!$C$23="No control",(SUMIF(Tank3!$B$32:$B$49,$J4098,Tank3!$C$32:$C$49)*Impacts!$F$10),0)</f>
        <v>0</v>
      </c>
      <c r="O4098" s="10">
        <f>IF(Tank4!$C$23="No control",(SUMIF(Tank4!$B$32:$B$49,$J4098,Tank4!$C$32:$C$49)*Impacts!$F$11),0)</f>
        <v>0</v>
      </c>
      <c r="P4098" s="10">
        <f>IF(Tank5!$C$23="No control",(SUMIF(Tank5!$B$32:$B$49,$J4098,Tank5!$C$32:$C$49)*Impacts!$F$12),0)</f>
        <v>0</v>
      </c>
      <c r="Q4098" s="10">
        <f>IFERROR(IF(('Loading-drum,tote'!$C$21)="No control",SUMIF(('Loading-drum,tote'!$B$31:$B$48),$J4098,('Loading-drum,tote'!$D$31:$D$48))*Impacts!$F$13,IF(('Loading-drum,tote'!$C$21)&lt;&gt;"No control",SUMIF(('Loading-drum,tote'!$B$31:$B$48),$J4098,('Loading-drum,tote'!$E$31:$E$48))*Impacts!$F$13,0)),0)</f>
        <v>0</v>
      </c>
      <c r="R4098" s="10">
        <f>IFERROR(IF(('Loading-truck'!$C$21)="No control",SUMIF(('Loading-truck'!$B$31:$B$48),$J4098,('Loading-truck'!$D$31:$D$48))*Impacts!$F$14,IF(('Loading-truck'!$C$21)&lt;&gt;"No control",SUMIF(('Loading-truck'!$B$31:$B$48),$J4098,('Loading-truck'!$E$31:$E$48))*Impacts!$F$14,0)),0)</f>
        <v>0</v>
      </c>
      <c r="S4098" s="10">
        <f>IFERROR(IF(('Loading-rail'!$C$21)="No control",SUMIF(('Loading-rail'!$B$31:$B$48),$J4098,('Loading-rail'!$D$31:$D$48))*Impacts!$F$15,IF(('Loading-rail'!$C$21)&lt;&gt;"No control",SUMIF(('Loading-rail'!$B$31:$B$48),$J4098,('Loading-rail'!$E$31:$E$48))*Impacts!$F$15,0)),0)</f>
        <v>0</v>
      </c>
      <c r="T4098" s="10">
        <f>IF(Flare!$C$7="",0,(SUMIF(Flare!$B$46:$B$185,$J4098,Flare!$E$46:$E$185)*Impacts!$F$16))</f>
        <v>0</v>
      </c>
      <c r="U4098" s="10">
        <f>IF(VCU!$C$9="",0,(SUMIF(VCU!$B$51:$B$193,$J4098,VCU!$E$51:$E$193)*Impacts!$F$17))</f>
        <v>0</v>
      </c>
      <c r="V4098" s="10">
        <f>IF(CAS!$C$7="",0,(SUMIF(CAS!$B$31:$B$167,$J4098,CAS!$E$31:$E$167)*Impacts!$F$18))</f>
        <v>0</v>
      </c>
      <c r="W4098" s="10">
        <f t="shared" si="104"/>
        <v>0</v>
      </c>
      <c r="AK4098" s="10" t="str">
        <f t="array" ref="AK4098">IFERROR(INDEX(SelectedSpecies,SMALL(IF(SelectedSpecies=AK$1,ROW(SelectedSpecies)),ROW(4099:4099)),2),"")</f>
        <v/>
      </c>
      <c r="BE4098" s="10"/>
      <c r="BI4098" s="10"/>
    </row>
    <row r="4099" spans="1:61" ht="21" customHeight="1" x14ac:dyDescent="0.25">
      <c r="A4099" s="10"/>
      <c r="B4099" s="10"/>
      <c r="E4099" s="10"/>
      <c r="G4099" s="10"/>
      <c r="I4099" s="436" t="s">
        <v>7566</v>
      </c>
      <c r="J4099" s="26" t="s">
        <v>7565</v>
      </c>
      <c r="K4099" s="10">
        <v>0.2</v>
      </c>
      <c r="L4099" s="73">
        <f>IF(Tank1!$C$23="No control",(SUMIF(Tank1!$B$32:$B$49,$J4099,Tank1!$C$32:$C$49)*Impacts!$F$8),0)</f>
        <v>0</v>
      </c>
      <c r="M4099" s="10">
        <f>IF(Tank2!$C$23="No control",(SUMIF(Tank2!$B$32:$B$49,$J4099,Tank2!$C$32:$C$49)*Impacts!$F$9),0)</f>
        <v>0</v>
      </c>
      <c r="N4099" s="10">
        <f>IF(Tank3!$C$23="No control",(SUMIF(Tank3!$B$32:$B$49,$J4099,Tank3!$C$32:$C$49)*Impacts!$F$10),0)</f>
        <v>0</v>
      </c>
      <c r="O4099" s="10">
        <f>IF(Tank4!$C$23="No control",(SUMIF(Tank4!$B$32:$B$49,$J4099,Tank4!$C$32:$C$49)*Impacts!$F$11),0)</f>
        <v>0</v>
      </c>
      <c r="P4099" s="10">
        <f>IF(Tank5!$C$23="No control",(SUMIF(Tank5!$B$32:$B$49,$J4099,Tank5!$C$32:$C$49)*Impacts!$F$12),0)</f>
        <v>0</v>
      </c>
      <c r="Q4099" s="10">
        <f>IFERROR(IF(('Loading-drum,tote'!$C$21)="No control",SUMIF(('Loading-drum,tote'!$B$31:$B$48),$J4099,('Loading-drum,tote'!$D$31:$D$48))*Impacts!$F$13,IF(('Loading-drum,tote'!$C$21)&lt;&gt;"No control",SUMIF(('Loading-drum,tote'!$B$31:$B$48),$J4099,('Loading-drum,tote'!$E$31:$E$48))*Impacts!$F$13,0)),0)</f>
        <v>0</v>
      </c>
      <c r="R4099" s="10">
        <f>IFERROR(IF(('Loading-truck'!$C$21)="No control",SUMIF(('Loading-truck'!$B$31:$B$48),$J4099,('Loading-truck'!$D$31:$D$48))*Impacts!$F$14,IF(('Loading-truck'!$C$21)&lt;&gt;"No control",SUMIF(('Loading-truck'!$B$31:$B$48),$J4099,('Loading-truck'!$E$31:$E$48))*Impacts!$F$14,0)),0)</f>
        <v>0</v>
      </c>
      <c r="S4099" s="10">
        <f>IFERROR(IF(('Loading-rail'!$C$21)="No control",SUMIF(('Loading-rail'!$B$31:$B$48),$J4099,('Loading-rail'!$D$31:$D$48))*Impacts!$F$15,IF(('Loading-rail'!$C$21)&lt;&gt;"No control",SUMIF(('Loading-rail'!$B$31:$B$48),$J4099,('Loading-rail'!$E$31:$E$48))*Impacts!$F$15,0)),0)</f>
        <v>0</v>
      </c>
      <c r="T4099" s="10">
        <f>IF(Flare!$C$7="",0,(SUMIF(Flare!$B$46:$B$185,$J4099,Flare!$E$46:$E$185)*Impacts!$F$16))</f>
        <v>0</v>
      </c>
      <c r="U4099" s="10">
        <f>IF(VCU!$C$9="",0,(SUMIF(VCU!$B$51:$B$193,$J4099,VCU!$E$51:$E$193)*Impacts!$F$17))</f>
        <v>0</v>
      </c>
      <c r="V4099" s="10">
        <f>IF(CAS!$C$7="",0,(SUMIF(CAS!$B$31:$B$167,$J4099,CAS!$E$31:$E$167)*Impacts!$F$18))</f>
        <v>0</v>
      </c>
      <c r="W4099" s="10">
        <f t="shared" si="104"/>
        <v>0</v>
      </c>
      <c r="AK4099" s="10" t="str">
        <f t="array" ref="AK4099">IFERROR(INDEX(SelectedSpecies,SMALL(IF(SelectedSpecies=AK$1,ROW(SelectedSpecies)),ROW(4100:4100)),2),"")</f>
        <v/>
      </c>
      <c r="BE4099" s="10"/>
      <c r="BI4099" s="10"/>
    </row>
    <row r="4100" spans="1:61" ht="21" customHeight="1" x14ac:dyDescent="0.25">
      <c r="A4100" s="10"/>
      <c r="B4100" s="10"/>
      <c r="E4100" s="10"/>
      <c r="G4100" s="10"/>
      <c r="I4100" s="436" t="s">
        <v>1404</v>
      </c>
      <c r="J4100" s="26" t="s">
        <v>1403</v>
      </c>
      <c r="K4100" s="10">
        <v>33</v>
      </c>
      <c r="L4100" s="73">
        <f>IF(Tank1!$C$23="No control",(SUMIF(Tank1!$B$32:$B$49,$J4100,Tank1!$C$32:$C$49)*Impacts!$F$8),0)</f>
        <v>0</v>
      </c>
      <c r="M4100" s="10">
        <f>IF(Tank2!$C$23="No control",(SUMIF(Tank2!$B$32:$B$49,$J4100,Tank2!$C$32:$C$49)*Impacts!$F$9),0)</f>
        <v>0</v>
      </c>
      <c r="N4100" s="10">
        <f>IF(Tank3!$C$23="No control",(SUMIF(Tank3!$B$32:$B$49,$J4100,Tank3!$C$32:$C$49)*Impacts!$F$10),0)</f>
        <v>0</v>
      </c>
      <c r="O4100" s="10">
        <f>IF(Tank4!$C$23="No control",(SUMIF(Tank4!$B$32:$B$49,$J4100,Tank4!$C$32:$C$49)*Impacts!$F$11),0)</f>
        <v>0</v>
      </c>
      <c r="P4100" s="10">
        <f>IF(Tank5!$C$23="No control",(SUMIF(Tank5!$B$32:$B$49,$J4100,Tank5!$C$32:$C$49)*Impacts!$F$12),0)</f>
        <v>0</v>
      </c>
      <c r="Q4100" s="10">
        <f>IFERROR(IF(('Loading-drum,tote'!$C$21)="No control",SUMIF(('Loading-drum,tote'!$B$31:$B$48),$J4100,('Loading-drum,tote'!$D$31:$D$48))*Impacts!$F$13,IF(('Loading-drum,tote'!$C$21)&lt;&gt;"No control",SUMIF(('Loading-drum,tote'!$B$31:$B$48),$J4100,('Loading-drum,tote'!$E$31:$E$48))*Impacts!$F$13,0)),0)</f>
        <v>0</v>
      </c>
      <c r="R4100" s="10">
        <f>IFERROR(IF(('Loading-truck'!$C$21)="No control",SUMIF(('Loading-truck'!$B$31:$B$48),$J4100,('Loading-truck'!$D$31:$D$48))*Impacts!$F$14,IF(('Loading-truck'!$C$21)&lt;&gt;"No control",SUMIF(('Loading-truck'!$B$31:$B$48),$J4100,('Loading-truck'!$E$31:$E$48))*Impacts!$F$14,0)),0)</f>
        <v>0</v>
      </c>
      <c r="S4100" s="10">
        <f>IFERROR(IF(('Loading-rail'!$C$21)="No control",SUMIF(('Loading-rail'!$B$31:$B$48),$J4100,('Loading-rail'!$D$31:$D$48))*Impacts!$F$15,IF(('Loading-rail'!$C$21)&lt;&gt;"No control",SUMIF(('Loading-rail'!$B$31:$B$48),$J4100,('Loading-rail'!$E$31:$E$48))*Impacts!$F$15,0)),0)</f>
        <v>0</v>
      </c>
      <c r="T4100" s="10">
        <f>IF(Flare!$C$7="",0,(SUMIF(Flare!$B$46:$B$185,$J4100,Flare!$E$46:$E$185)*Impacts!$F$16))</f>
        <v>0</v>
      </c>
      <c r="U4100" s="10">
        <f>IF(VCU!$C$9="",0,(SUMIF(VCU!$B$51:$B$193,$J4100,VCU!$E$51:$E$193)*Impacts!$F$17))</f>
        <v>0</v>
      </c>
      <c r="V4100" s="10">
        <f>IF(CAS!$C$7="",0,(SUMIF(CAS!$B$31:$B$167,$J4100,CAS!$E$31:$E$167)*Impacts!$F$18))</f>
        <v>0</v>
      </c>
      <c r="W4100" s="10">
        <f t="shared" si="104"/>
        <v>0</v>
      </c>
      <c r="AK4100" s="10" t="str">
        <f t="array" ref="AK4100">IFERROR(INDEX(SelectedSpecies,SMALL(IF(SelectedSpecies=AK$1,ROW(SelectedSpecies)),ROW(4101:4101)),2),"")</f>
        <v/>
      </c>
      <c r="BE4100" s="10"/>
      <c r="BI4100" s="10"/>
    </row>
    <row r="4101" spans="1:61" ht="21" customHeight="1" x14ac:dyDescent="0.25">
      <c r="A4101" s="10"/>
      <c r="B4101" s="10"/>
      <c r="E4101" s="10"/>
      <c r="G4101" s="10"/>
      <c r="I4101" s="436" t="s">
        <v>7214</v>
      </c>
      <c r="J4101" s="26" t="s">
        <v>7213</v>
      </c>
      <c r="K4101" s="10">
        <v>0.33</v>
      </c>
      <c r="L4101" s="73">
        <f>IF(Tank1!$C$23="No control",(SUMIF(Tank1!$B$32:$B$49,$J4101,Tank1!$C$32:$C$49)*Impacts!$F$8),0)</f>
        <v>0</v>
      </c>
      <c r="M4101" s="10">
        <f>IF(Tank2!$C$23="No control",(SUMIF(Tank2!$B$32:$B$49,$J4101,Tank2!$C$32:$C$49)*Impacts!$F$9),0)</f>
        <v>0</v>
      </c>
      <c r="N4101" s="10">
        <f>IF(Tank3!$C$23="No control",(SUMIF(Tank3!$B$32:$B$49,$J4101,Tank3!$C$32:$C$49)*Impacts!$F$10),0)</f>
        <v>0</v>
      </c>
      <c r="O4101" s="10">
        <f>IF(Tank4!$C$23="No control",(SUMIF(Tank4!$B$32:$B$49,$J4101,Tank4!$C$32:$C$49)*Impacts!$F$11),0)</f>
        <v>0</v>
      </c>
      <c r="P4101" s="10">
        <f>IF(Tank5!$C$23="No control",(SUMIF(Tank5!$B$32:$B$49,$J4101,Tank5!$C$32:$C$49)*Impacts!$F$12),0)</f>
        <v>0</v>
      </c>
      <c r="Q4101" s="10">
        <f>IFERROR(IF(('Loading-drum,tote'!$C$21)="No control",SUMIF(('Loading-drum,tote'!$B$31:$B$48),$J4101,('Loading-drum,tote'!$D$31:$D$48))*Impacts!$F$13,IF(('Loading-drum,tote'!$C$21)&lt;&gt;"No control",SUMIF(('Loading-drum,tote'!$B$31:$B$48),$J4101,('Loading-drum,tote'!$E$31:$E$48))*Impacts!$F$13,0)),0)</f>
        <v>0</v>
      </c>
      <c r="R4101" s="10">
        <f>IFERROR(IF(('Loading-truck'!$C$21)="No control",SUMIF(('Loading-truck'!$B$31:$B$48),$J4101,('Loading-truck'!$D$31:$D$48))*Impacts!$F$14,IF(('Loading-truck'!$C$21)&lt;&gt;"No control",SUMIF(('Loading-truck'!$B$31:$B$48),$J4101,('Loading-truck'!$E$31:$E$48))*Impacts!$F$14,0)),0)</f>
        <v>0</v>
      </c>
      <c r="S4101" s="10">
        <f>IFERROR(IF(('Loading-rail'!$C$21)="No control",SUMIF(('Loading-rail'!$B$31:$B$48),$J4101,('Loading-rail'!$D$31:$D$48))*Impacts!$F$15,IF(('Loading-rail'!$C$21)&lt;&gt;"No control",SUMIF(('Loading-rail'!$B$31:$B$48),$J4101,('Loading-rail'!$E$31:$E$48))*Impacts!$F$15,0)),0)</f>
        <v>0</v>
      </c>
      <c r="T4101" s="10">
        <f>IF(Flare!$C$7="",0,(SUMIF(Flare!$B$46:$B$185,$J4101,Flare!$E$46:$E$185)*Impacts!$F$16))</f>
        <v>0</v>
      </c>
      <c r="U4101" s="10">
        <f>IF(VCU!$C$9="",0,(SUMIF(VCU!$B$51:$B$193,$J4101,VCU!$E$51:$E$193)*Impacts!$F$17))</f>
        <v>0</v>
      </c>
      <c r="V4101" s="10">
        <f>IF(CAS!$C$7="",0,(SUMIF(CAS!$B$31:$B$167,$J4101,CAS!$E$31:$E$167)*Impacts!$F$18))</f>
        <v>0</v>
      </c>
      <c r="W4101" s="10">
        <f t="shared" si="104"/>
        <v>0</v>
      </c>
      <c r="AK4101" s="10" t="str">
        <f t="array" ref="AK4101">IFERROR(INDEX(SelectedSpecies,SMALL(IF(SelectedSpecies=AK$1,ROW(SelectedSpecies)),ROW(4102:4102)),2),"")</f>
        <v/>
      </c>
      <c r="BE4101" s="10"/>
      <c r="BI4101" s="10"/>
    </row>
    <row r="4102" spans="1:61" ht="21" customHeight="1" x14ac:dyDescent="0.25">
      <c r="A4102" s="10"/>
      <c r="B4102" s="10"/>
      <c r="E4102" s="10"/>
      <c r="G4102" s="10"/>
      <c r="I4102" s="436" t="s">
        <v>6668</v>
      </c>
      <c r="J4102" s="26" t="s">
        <v>6667</v>
      </c>
      <c r="K4102" s="10">
        <v>0.60000000000000009</v>
      </c>
      <c r="L4102" s="73">
        <f>IF(Tank1!$C$23="No control",(SUMIF(Tank1!$B$32:$B$49,$J4102,Tank1!$C$32:$C$49)*Impacts!$F$8),0)</f>
        <v>0</v>
      </c>
      <c r="M4102" s="10">
        <f>IF(Tank2!$C$23="No control",(SUMIF(Tank2!$B$32:$B$49,$J4102,Tank2!$C$32:$C$49)*Impacts!$F$9),0)</f>
        <v>0</v>
      </c>
      <c r="N4102" s="10">
        <f>IF(Tank3!$C$23="No control",(SUMIF(Tank3!$B$32:$B$49,$J4102,Tank3!$C$32:$C$49)*Impacts!$F$10),0)</f>
        <v>0</v>
      </c>
      <c r="O4102" s="10">
        <f>IF(Tank4!$C$23="No control",(SUMIF(Tank4!$B$32:$B$49,$J4102,Tank4!$C$32:$C$49)*Impacts!$F$11),0)</f>
        <v>0</v>
      </c>
      <c r="P4102" s="10">
        <f>IF(Tank5!$C$23="No control",(SUMIF(Tank5!$B$32:$B$49,$J4102,Tank5!$C$32:$C$49)*Impacts!$F$12),0)</f>
        <v>0</v>
      </c>
      <c r="Q4102" s="10">
        <f>IFERROR(IF(('Loading-drum,tote'!$C$21)="No control",SUMIF(('Loading-drum,tote'!$B$31:$B$48),$J4102,('Loading-drum,tote'!$D$31:$D$48))*Impacts!$F$13,IF(('Loading-drum,tote'!$C$21)&lt;&gt;"No control",SUMIF(('Loading-drum,tote'!$B$31:$B$48),$J4102,('Loading-drum,tote'!$E$31:$E$48))*Impacts!$F$13,0)),0)</f>
        <v>0</v>
      </c>
      <c r="R4102" s="10">
        <f>IFERROR(IF(('Loading-truck'!$C$21)="No control",SUMIF(('Loading-truck'!$B$31:$B$48),$J4102,('Loading-truck'!$D$31:$D$48))*Impacts!$F$14,IF(('Loading-truck'!$C$21)&lt;&gt;"No control",SUMIF(('Loading-truck'!$B$31:$B$48),$J4102,('Loading-truck'!$E$31:$E$48))*Impacts!$F$14,0)),0)</f>
        <v>0</v>
      </c>
      <c r="S4102" s="10">
        <f>IFERROR(IF(('Loading-rail'!$C$21)="No control",SUMIF(('Loading-rail'!$B$31:$B$48),$J4102,('Loading-rail'!$D$31:$D$48))*Impacts!$F$15,IF(('Loading-rail'!$C$21)&lt;&gt;"No control",SUMIF(('Loading-rail'!$B$31:$B$48),$J4102,('Loading-rail'!$E$31:$E$48))*Impacts!$F$15,0)),0)</f>
        <v>0</v>
      </c>
      <c r="T4102" s="10">
        <f>IF(Flare!$C$7="",0,(SUMIF(Flare!$B$46:$B$185,$J4102,Flare!$E$46:$E$185)*Impacts!$F$16))</f>
        <v>0</v>
      </c>
      <c r="U4102" s="10">
        <f>IF(VCU!$C$9="",0,(SUMIF(VCU!$B$51:$B$193,$J4102,VCU!$E$51:$E$193)*Impacts!$F$17))</f>
        <v>0</v>
      </c>
      <c r="V4102" s="10">
        <f>IF(CAS!$C$7="",0,(SUMIF(CAS!$B$31:$B$167,$J4102,CAS!$E$31:$E$167)*Impacts!$F$18))</f>
        <v>0</v>
      </c>
      <c r="W4102" s="10">
        <f t="shared" si="104"/>
        <v>0</v>
      </c>
      <c r="AK4102" s="10" t="str">
        <f t="array" ref="AK4102">IFERROR(INDEX(SelectedSpecies,SMALL(IF(SelectedSpecies=AK$1,ROW(SelectedSpecies)),ROW(4103:4103)),2),"")</f>
        <v/>
      </c>
      <c r="BE4102" s="10"/>
      <c r="BI4102" s="10"/>
    </row>
    <row r="4103" spans="1:61" ht="21" customHeight="1" x14ac:dyDescent="0.25">
      <c r="A4103" s="10"/>
      <c r="B4103" s="10"/>
      <c r="E4103" s="10"/>
      <c r="G4103" s="10"/>
      <c r="I4103" s="436" t="s">
        <v>1584</v>
      </c>
      <c r="J4103" s="26" t="s">
        <v>1583</v>
      </c>
      <c r="K4103" s="10">
        <v>27</v>
      </c>
      <c r="L4103" s="73">
        <f>IF(Tank1!$C$23="No control",(SUMIF(Tank1!$B$32:$B$49,$J4103,Tank1!$C$32:$C$49)*Impacts!$F$8),0)</f>
        <v>0</v>
      </c>
      <c r="M4103" s="10">
        <f>IF(Tank2!$C$23="No control",(SUMIF(Tank2!$B$32:$B$49,$J4103,Tank2!$C$32:$C$49)*Impacts!$F$9),0)</f>
        <v>0</v>
      </c>
      <c r="N4103" s="10">
        <f>IF(Tank3!$C$23="No control",(SUMIF(Tank3!$B$32:$B$49,$J4103,Tank3!$C$32:$C$49)*Impacts!$F$10),0)</f>
        <v>0</v>
      </c>
      <c r="O4103" s="10">
        <f>IF(Tank4!$C$23="No control",(SUMIF(Tank4!$B$32:$B$49,$J4103,Tank4!$C$32:$C$49)*Impacts!$F$11),0)</f>
        <v>0</v>
      </c>
      <c r="P4103" s="10">
        <f>IF(Tank5!$C$23="No control",(SUMIF(Tank5!$B$32:$B$49,$J4103,Tank5!$C$32:$C$49)*Impacts!$F$12),0)</f>
        <v>0</v>
      </c>
      <c r="Q4103" s="10">
        <f>IFERROR(IF(('Loading-drum,tote'!$C$21)="No control",SUMIF(('Loading-drum,tote'!$B$31:$B$48),$J4103,('Loading-drum,tote'!$D$31:$D$48))*Impacts!$F$13,IF(('Loading-drum,tote'!$C$21)&lt;&gt;"No control",SUMIF(('Loading-drum,tote'!$B$31:$B$48),$J4103,('Loading-drum,tote'!$E$31:$E$48))*Impacts!$F$13,0)),0)</f>
        <v>0</v>
      </c>
      <c r="R4103" s="10">
        <f>IFERROR(IF(('Loading-truck'!$C$21)="No control",SUMIF(('Loading-truck'!$B$31:$B$48),$J4103,('Loading-truck'!$D$31:$D$48))*Impacts!$F$14,IF(('Loading-truck'!$C$21)&lt;&gt;"No control",SUMIF(('Loading-truck'!$B$31:$B$48),$J4103,('Loading-truck'!$E$31:$E$48))*Impacts!$F$14,0)),0)</f>
        <v>0</v>
      </c>
      <c r="S4103" s="10">
        <f>IFERROR(IF(('Loading-rail'!$C$21)="No control",SUMIF(('Loading-rail'!$B$31:$B$48),$J4103,('Loading-rail'!$D$31:$D$48))*Impacts!$F$15,IF(('Loading-rail'!$C$21)&lt;&gt;"No control",SUMIF(('Loading-rail'!$B$31:$B$48),$J4103,('Loading-rail'!$E$31:$E$48))*Impacts!$F$15,0)),0)</f>
        <v>0</v>
      </c>
      <c r="T4103" s="10">
        <f>IF(Flare!$C$7="",0,(SUMIF(Flare!$B$46:$B$185,$J4103,Flare!$E$46:$E$185)*Impacts!$F$16))</f>
        <v>0</v>
      </c>
      <c r="U4103" s="10">
        <f>IF(VCU!$C$9="",0,(SUMIF(VCU!$B$51:$B$193,$J4103,VCU!$E$51:$E$193)*Impacts!$F$17))</f>
        <v>0</v>
      </c>
      <c r="V4103" s="10">
        <f>IF(CAS!$C$7="",0,(SUMIF(CAS!$B$31:$B$167,$J4103,CAS!$E$31:$E$167)*Impacts!$F$18))</f>
        <v>0</v>
      </c>
      <c r="W4103" s="10">
        <f t="shared" si="104"/>
        <v>0</v>
      </c>
      <c r="AK4103" s="10" t="str">
        <f t="array" ref="AK4103">IFERROR(INDEX(SelectedSpecies,SMALL(IF(SelectedSpecies=AK$1,ROW(SelectedSpecies)),ROW(4104:4104)),2),"")</f>
        <v/>
      </c>
      <c r="BE4103" s="10"/>
      <c r="BI4103" s="10"/>
    </row>
    <row r="4104" spans="1:61" ht="21" customHeight="1" x14ac:dyDescent="0.25">
      <c r="A4104" s="10"/>
      <c r="B4104" s="10"/>
      <c r="E4104" s="10"/>
      <c r="G4104" s="10"/>
      <c r="I4104" s="436" t="s">
        <v>1777</v>
      </c>
      <c r="J4104" s="26" t="s">
        <v>1776</v>
      </c>
      <c r="K4104" s="10">
        <v>23.400000000000002</v>
      </c>
      <c r="L4104" s="73">
        <f>IF(Tank1!$C$23="No control",(SUMIF(Tank1!$B$32:$B$49,$J4104,Tank1!$C$32:$C$49)*Impacts!$F$8),0)</f>
        <v>0</v>
      </c>
      <c r="M4104" s="10">
        <f>IF(Tank2!$C$23="No control",(SUMIF(Tank2!$B$32:$B$49,$J4104,Tank2!$C$32:$C$49)*Impacts!$F$9),0)</f>
        <v>0</v>
      </c>
      <c r="N4104" s="10">
        <f>IF(Tank3!$C$23="No control",(SUMIF(Tank3!$B$32:$B$49,$J4104,Tank3!$C$32:$C$49)*Impacts!$F$10),0)</f>
        <v>0</v>
      </c>
      <c r="O4104" s="10">
        <f>IF(Tank4!$C$23="No control",(SUMIF(Tank4!$B$32:$B$49,$J4104,Tank4!$C$32:$C$49)*Impacts!$F$11),0)</f>
        <v>0</v>
      </c>
      <c r="P4104" s="10">
        <f>IF(Tank5!$C$23="No control",(SUMIF(Tank5!$B$32:$B$49,$J4104,Tank5!$C$32:$C$49)*Impacts!$F$12),0)</f>
        <v>0</v>
      </c>
      <c r="Q4104" s="10">
        <f>IFERROR(IF(('Loading-drum,tote'!$C$21)="No control",SUMIF(('Loading-drum,tote'!$B$31:$B$48),$J4104,('Loading-drum,tote'!$D$31:$D$48))*Impacts!$F$13,IF(('Loading-drum,tote'!$C$21)&lt;&gt;"No control",SUMIF(('Loading-drum,tote'!$B$31:$B$48),$J4104,('Loading-drum,tote'!$E$31:$E$48))*Impacts!$F$13,0)),0)</f>
        <v>0</v>
      </c>
      <c r="R4104" s="10">
        <f>IFERROR(IF(('Loading-truck'!$C$21)="No control",SUMIF(('Loading-truck'!$B$31:$B$48),$J4104,('Loading-truck'!$D$31:$D$48))*Impacts!$F$14,IF(('Loading-truck'!$C$21)&lt;&gt;"No control",SUMIF(('Loading-truck'!$B$31:$B$48),$J4104,('Loading-truck'!$E$31:$E$48))*Impacts!$F$14,0)),0)</f>
        <v>0</v>
      </c>
      <c r="S4104" s="10">
        <f>IFERROR(IF(('Loading-rail'!$C$21)="No control",SUMIF(('Loading-rail'!$B$31:$B$48),$J4104,('Loading-rail'!$D$31:$D$48))*Impacts!$F$15,IF(('Loading-rail'!$C$21)&lt;&gt;"No control",SUMIF(('Loading-rail'!$B$31:$B$48),$J4104,('Loading-rail'!$E$31:$E$48))*Impacts!$F$15,0)),0)</f>
        <v>0</v>
      </c>
      <c r="T4104" s="10">
        <f>IF(Flare!$C$7="",0,(SUMIF(Flare!$B$46:$B$185,$J4104,Flare!$E$46:$E$185)*Impacts!$F$16))</f>
        <v>0</v>
      </c>
      <c r="U4104" s="10">
        <f>IF(VCU!$C$9="",0,(SUMIF(VCU!$B$51:$B$193,$J4104,VCU!$E$51:$E$193)*Impacts!$F$17))</f>
        <v>0</v>
      </c>
      <c r="V4104" s="10">
        <f>IF(CAS!$C$7="",0,(SUMIF(CAS!$B$31:$B$167,$J4104,CAS!$E$31:$E$167)*Impacts!$F$18))</f>
        <v>0</v>
      </c>
      <c r="W4104" s="10">
        <f t="shared" si="104"/>
        <v>0</v>
      </c>
      <c r="AK4104" s="10" t="str">
        <f t="array" ref="AK4104">IFERROR(INDEX(SelectedSpecies,SMALL(IF(SelectedSpecies=AK$1,ROW(SelectedSpecies)),ROW(4105:4105)),2),"")</f>
        <v/>
      </c>
      <c r="BE4104" s="10"/>
      <c r="BI4104" s="10"/>
    </row>
    <row r="4105" spans="1:61" ht="21" customHeight="1" x14ac:dyDescent="0.25">
      <c r="A4105" s="10"/>
      <c r="B4105" s="10"/>
      <c r="E4105" s="10"/>
      <c r="G4105" s="10"/>
      <c r="I4105" s="436" t="s">
        <v>7142</v>
      </c>
      <c r="J4105" s="26" t="s">
        <v>7141</v>
      </c>
      <c r="K4105" s="10">
        <v>0.38</v>
      </c>
      <c r="L4105" s="73">
        <f>IF(Tank1!$C$23="No control",(SUMIF(Tank1!$B$32:$B$49,$J4105,Tank1!$C$32:$C$49)*Impacts!$F$8),0)</f>
        <v>0</v>
      </c>
      <c r="M4105" s="10">
        <f>IF(Tank2!$C$23="No control",(SUMIF(Tank2!$B$32:$B$49,$J4105,Tank2!$C$32:$C$49)*Impacts!$F$9),0)</f>
        <v>0</v>
      </c>
      <c r="N4105" s="10">
        <f>IF(Tank3!$C$23="No control",(SUMIF(Tank3!$B$32:$B$49,$J4105,Tank3!$C$32:$C$49)*Impacts!$F$10),0)</f>
        <v>0</v>
      </c>
      <c r="O4105" s="10">
        <f>IF(Tank4!$C$23="No control",(SUMIF(Tank4!$B$32:$B$49,$J4105,Tank4!$C$32:$C$49)*Impacts!$F$11),0)</f>
        <v>0</v>
      </c>
      <c r="P4105" s="10">
        <f>IF(Tank5!$C$23="No control",(SUMIF(Tank5!$B$32:$B$49,$J4105,Tank5!$C$32:$C$49)*Impacts!$F$12),0)</f>
        <v>0</v>
      </c>
      <c r="Q4105" s="10">
        <f>IFERROR(IF(('Loading-drum,tote'!$C$21)="No control",SUMIF(('Loading-drum,tote'!$B$31:$B$48),$J4105,('Loading-drum,tote'!$D$31:$D$48))*Impacts!$F$13,IF(('Loading-drum,tote'!$C$21)&lt;&gt;"No control",SUMIF(('Loading-drum,tote'!$B$31:$B$48),$J4105,('Loading-drum,tote'!$E$31:$E$48))*Impacts!$F$13,0)),0)</f>
        <v>0</v>
      </c>
      <c r="R4105" s="10">
        <f>IFERROR(IF(('Loading-truck'!$C$21)="No control",SUMIF(('Loading-truck'!$B$31:$B$48),$J4105,('Loading-truck'!$D$31:$D$48))*Impacts!$F$14,IF(('Loading-truck'!$C$21)&lt;&gt;"No control",SUMIF(('Loading-truck'!$B$31:$B$48),$J4105,('Loading-truck'!$E$31:$E$48))*Impacts!$F$14,0)),0)</f>
        <v>0</v>
      </c>
      <c r="S4105" s="10">
        <f>IFERROR(IF(('Loading-rail'!$C$21)="No control",SUMIF(('Loading-rail'!$B$31:$B$48),$J4105,('Loading-rail'!$D$31:$D$48))*Impacts!$F$15,IF(('Loading-rail'!$C$21)&lt;&gt;"No control",SUMIF(('Loading-rail'!$B$31:$B$48),$J4105,('Loading-rail'!$E$31:$E$48))*Impacts!$F$15,0)),0)</f>
        <v>0</v>
      </c>
      <c r="T4105" s="10">
        <f>IF(Flare!$C$7="",0,(SUMIF(Flare!$B$46:$B$185,$J4105,Flare!$E$46:$E$185)*Impacts!$F$16))</f>
        <v>0</v>
      </c>
      <c r="U4105" s="10">
        <f>IF(VCU!$C$9="",0,(SUMIF(VCU!$B$51:$B$193,$J4105,VCU!$E$51:$E$193)*Impacts!$F$17))</f>
        <v>0</v>
      </c>
      <c r="V4105" s="10">
        <f>IF(CAS!$C$7="",0,(SUMIF(CAS!$B$31:$B$167,$J4105,CAS!$E$31:$E$167)*Impacts!$F$18))</f>
        <v>0</v>
      </c>
      <c r="W4105" s="10">
        <f t="shared" si="104"/>
        <v>0</v>
      </c>
      <c r="AK4105" s="10" t="str">
        <f t="array" ref="AK4105">IFERROR(INDEX(SelectedSpecies,SMALL(IF(SelectedSpecies=AK$1,ROW(SelectedSpecies)),ROW(4106:4106)),2),"")</f>
        <v/>
      </c>
      <c r="BE4105" s="10"/>
      <c r="BI4105" s="10"/>
    </row>
    <row r="4106" spans="1:61" ht="21" customHeight="1" x14ac:dyDescent="0.25">
      <c r="A4106" s="10"/>
      <c r="B4106" s="10"/>
      <c r="E4106" s="10"/>
      <c r="G4106" s="10"/>
      <c r="I4106" s="436" t="s">
        <v>2667</v>
      </c>
      <c r="J4106" s="26" t="s">
        <v>2666</v>
      </c>
      <c r="K4106" s="10">
        <v>10</v>
      </c>
      <c r="L4106" s="73">
        <f>IF(Tank1!$C$23="No control",(SUMIF(Tank1!$B$32:$B$49,$J4106,Tank1!$C$32:$C$49)*Impacts!$F$8),0)</f>
        <v>0</v>
      </c>
      <c r="M4106" s="10">
        <f>IF(Tank2!$C$23="No control",(SUMIF(Tank2!$B$32:$B$49,$J4106,Tank2!$C$32:$C$49)*Impacts!$F$9),0)</f>
        <v>0</v>
      </c>
      <c r="N4106" s="10">
        <f>IF(Tank3!$C$23="No control",(SUMIF(Tank3!$B$32:$B$49,$J4106,Tank3!$C$32:$C$49)*Impacts!$F$10),0)</f>
        <v>0</v>
      </c>
      <c r="O4106" s="10">
        <f>IF(Tank4!$C$23="No control",(SUMIF(Tank4!$B$32:$B$49,$J4106,Tank4!$C$32:$C$49)*Impacts!$F$11),0)</f>
        <v>0</v>
      </c>
      <c r="P4106" s="10">
        <f>IF(Tank5!$C$23="No control",(SUMIF(Tank5!$B$32:$B$49,$J4106,Tank5!$C$32:$C$49)*Impacts!$F$12),0)</f>
        <v>0</v>
      </c>
      <c r="Q4106" s="10">
        <f>IFERROR(IF(('Loading-drum,tote'!$C$21)="No control",SUMIF(('Loading-drum,tote'!$B$31:$B$48),$J4106,('Loading-drum,tote'!$D$31:$D$48))*Impacts!$F$13,IF(('Loading-drum,tote'!$C$21)&lt;&gt;"No control",SUMIF(('Loading-drum,tote'!$B$31:$B$48),$J4106,('Loading-drum,tote'!$E$31:$E$48))*Impacts!$F$13,0)),0)</f>
        <v>0</v>
      </c>
      <c r="R4106" s="10">
        <f>IFERROR(IF(('Loading-truck'!$C$21)="No control",SUMIF(('Loading-truck'!$B$31:$B$48),$J4106,('Loading-truck'!$D$31:$D$48))*Impacts!$F$14,IF(('Loading-truck'!$C$21)&lt;&gt;"No control",SUMIF(('Loading-truck'!$B$31:$B$48),$J4106,('Loading-truck'!$E$31:$E$48))*Impacts!$F$14,0)),0)</f>
        <v>0</v>
      </c>
      <c r="S4106" s="10">
        <f>IFERROR(IF(('Loading-rail'!$C$21)="No control",SUMIF(('Loading-rail'!$B$31:$B$48),$J4106,('Loading-rail'!$D$31:$D$48))*Impacts!$F$15,IF(('Loading-rail'!$C$21)&lt;&gt;"No control",SUMIF(('Loading-rail'!$B$31:$B$48),$J4106,('Loading-rail'!$E$31:$E$48))*Impacts!$F$15,0)),0)</f>
        <v>0</v>
      </c>
      <c r="T4106" s="10">
        <f>IF(Flare!$C$7="",0,(SUMIF(Flare!$B$46:$B$185,$J4106,Flare!$E$46:$E$185)*Impacts!$F$16))</f>
        <v>0</v>
      </c>
      <c r="U4106" s="10">
        <f>IF(VCU!$C$9="",0,(SUMIF(VCU!$B$51:$B$193,$J4106,VCU!$E$51:$E$193)*Impacts!$F$17))</f>
        <v>0</v>
      </c>
      <c r="V4106" s="10">
        <f>IF(CAS!$C$7="",0,(SUMIF(CAS!$B$31:$B$167,$J4106,CAS!$E$31:$E$167)*Impacts!$F$18))</f>
        <v>0</v>
      </c>
      <c r="W4106" s="10">
        <f t="shared" si="104"/>
        <v>0</v>
      </c>
      <c r="AK4106" s="10" t="str">
        <f t="array" ref="AK4106">IFERROR(INDEX(SelectedSpecies,SMALL(IF(SelectedSpecies=AK$1,ROW(SelectedSpecies)),ROW(4107:4107)),2),"")</f>
        <v/>
      </c>
      <c r="BE4106" s="10"/>
      <c r="BI4106" s="10"/>
    </row>
    <row r="4107" spans="1:61" ht="21" customHeight="1" x14ac:dyDescent="0.25">
      <c r="A4107" s="10"/>
      <c r="B4107" s="10"/>
      <c r="E4107" s="10"/>
      <c r="G4107" s="10"/>
      <c r="I4107" s="436" t="s">
        <v>1919</v>
      </c>
      <c r="J4107" s="26" t="s">
        <v>1918</v>
      </c>
      <c r="K4107" s="10">
        <v>18.3</v>
      </c>
      <c r="L4107" s="73">
        <f>IF(Tank1!$C$23="No control",(SUMIF(Tank1!$B$32:$B$49,$J4107,Tank1!$C$32:$C$49)*Impacts!$F$8),0)</f>
        <v>0</v>
      </c>
      <c r="M4107" s="10">
        <f>IF(Tank2!$C$23="No control",(SUMIF(Tank2!$B$32:$B$49,$J4107,Tank2!$C$32:$C$49)*Impacts!$F$9),0)</f>
        <v>0</v>
      </c>
      <c r="N4107" s="10">
        <f>IF(Tank3!$C$23="No control",(SUMIF(Tank3!$B$32:$B$49,$J4107,Tank3!$C$32:$C$49)*Impacts!$F$10),0)</f>
        <v>0</v>
      </c>
      <c r="O4107" s="10">
        <f>IF(Tank4!$C$23="No control",(SUMIF(Tank4!$B$32:$B$49,$J4107,Tank4!$C$32:$C$49)*Impacts!$F$11),0)</f>
        <v>0</v>
      </c>
      <c r="P4107" s="10">
        <f>IF(Tank5!$C$23="No control",(SUMIF(Tank5!$B$32:$B$49,$J4107,Tank5!$C$32:$C$49)*Impacts!$F$12),0)</f>
        <v>0</v>
      </c>
      <c r="Q4107" s="10">
        <f>IFERROR(IF(('Loading-drum,tote'!$C$21)="No control",SUMIF(('Loading-drum,tote'!$B$31:$B$48),$J4107,('Loading-drum,tote'!$D$31:$D$48))*Impacts!$F$13,IF(('Loading-drum,tote'!$C$21)&lt;&gt;"No control",SUMIF(('Loading-drum,tote'!$B$31:$B$48),$J4107,('Loading-drum,tote'!$E$31:$E$48))*Impacts!$F$13,0)),0)</f>
        <v>0</v>
      </c>
      <c r="R4107" s="10">
        <f>IFERROR(IF(('Loading-truck'!$C$21)="No control",SUMIF(('Loading-truck'!$B$31:$B$48),$J4107,('Loading-truck'!$D$31:$D$48))*Impacts!$F$14,IF(('Loading-truck'!$C$21)&lt;&gt;"No control",SUMIF(('Loading-truck'!$B$31:$B$48),$J4107,('Loading-truck'!$E$31:$E$48))*Impacts!$F$14,0)),0)</f>
        <v>0</v>
      </c>
      <c r="S4107" s="10">
        <f>IFERROR(IF(('Loading-rail'!$C$21)="No control",SUMIF(('Loading-rail'!$B$31:$B$48),$J4107,('Loading-rail'!$D$31:$D$48))*Impacts!$F$15,IF(('Loading-rail'!$C$21)&lt;&gt;"No control",SUMIF(('Loading-rail'!$B$31:$B$48),$J4107,('Loading-rail'!$E$31:$E$48))*Impacts!$F$15,0)),0)</f>
        <v>0</v>
      </c>
      <c r="T4107" s="10">
        <f>IF(Flare!$C$7="",0,(SUMIF(Flare!$B$46:$B$185,$J4107,Flare!$E$46:$E$185)*Impacts!$F$16))</f>
        <v>0</v>
      </c>
      <c r="U4107" s="10">
        <f>IF(VCU!$C$9="",0,(SUMIF(VCU!$B$51:$B$193,$J4107,VCU!$E$51:$E$193)*Impacts!$F$17))</f>
        <v>0</v>
      </c>
      <c r="V4107" s="10">
        <f>IF(CAS!$C$7="",0,(SUMIF(CAS!$B$31:$B$167,$J4107,CAS!$E$31:$E$167)*Impacts!$F$18))</f>
        <v>0</v>
      </c>
      <c r="W4107" s="10">
        <f t="shared" si="104"/>
        <v>0</v>
      </c>
      <c r="AK4107" s="10" t="str">
        <f t="array" ref="AK4107">IFERROR(INDEX(SelectedSpecies,SMALL(IF(SelectedSpecies=AK$1,ROW(SelectedSpecies)),ROW(4108:4108)),2),"")</f>
        <v/>
      </c>
      <c r="BE4107" s="10"/>
      <c r="BI4107" s="10"/>
    </row>
    <row r="4108" spans="1:61" ht="21" customHeight="1" x14ac:dyDescent="0.25">
      <c r="A4108" s="10"/>
      <c r="B4108" s="10"/>
      <c r="E4108" s="10"/>
      <c r="G4108" s="10"/>
      <c r="I4108" s="436" t="s">
        <v>4099</v>
      </c>
      <c r="J4108" s="26" t="s">
        <v>4098</v>
      </c>
      <c r="K4108" s="10">
        <v>5.5</v>
      </c>
      <c r="L4108" s="73">
        <f>IF(Tank1!$C$23="No control",(SUMIF(Tank1!$B$32:$B$49,$J4108,Tank1!$C$32:$C$49)*Impacts!$F$8),0)</f>
        <v>0</v>
      </c>
      <c r="M4108" s="10">
        <f>IF(Tank2!$C$23="No control",(SUMIF(Tank2!$B$32:$B$49,$J4108,Tank2!$C$32:$C$49)*Impacts!$F$9),0)</f>
        <v>0</v>
      </c>
      <c r="N4108" s="10">
        <f>IF(Tank3!$C$23="No control",(SUMIF(Tank3!$B$32:$B$49,$J4108,Tank3!$C$32:$C$49)*Impacts!$F$10),0)</f>
        <v>0</v>
      </c>
      <c r="O4108" s="10">
        <f>IF(Tank4!$C$23="No control",(SUMIF(Tank4!$B$32:$B$49,$J4108,Tank4!$C$32:$C$49)*Impacts!$F$11),0)</f>
        <v>0</v>
      </c>
      <c r="P4108" s="10">
        <f>IF(Tank5!$C$23="No control",(SUMIF(Tank5!$B$32:$B$49,$J4108,Tank5!$C$32:$C$49)*Impacts!$F$12),0)</f>
        <v>0</v>
      </c>
      <c r="Q4108" s="10">
        <f>IFERROR(IF(('Loading-drum,tote'!$C$21)="No control",SUMIF(('Loading-drum,tote'!$B$31:$B$48),$J4108,('Loading-drum,tote'!$D$31:$D$48))*Impacts!$F$13,IF(('Loading-drum,tote'!$C$21)&lt;&gt;"No control",SUMIF(('Loading-drum,tote'!$B$31:$B$48),$J4108,('Loading-drum,tote'!$E$31:$E$48))*Impacts!$F$13,0)),0)</f>
        <v>0</v>
      </c>
      <c r="R4108" s="10">
        <f>IFERROR(IF(('Loading-truck'!$C$21)="No control",SUMIF(('Loading-truck'!$B$31:$B$48),$J4108,('Loading-truck'!$D$31:$D$48))*Impacts!$F$14,IF(('Loading-truck'!$C$21)&lt;&gt;"No control",SUMIF(('Loading-truck'!$B$31:$B$48),$J4108,('Loading-truck'!$E$31:$E$48))*Impacts!$F$14,0)),0)</f>
        <v>0</v>
      </c>
      <c r="S4108" s="10">
        <f>IFERROR(IF(('Loading-rail'!$C$21)="No control",SUMIF(('Loading-rail'!$B$31:$B$48),$J4108,('Loading-rail'!$D$31:$D$48))*Impacts!$F$15,IF(('Loading-rail'!$C$21)&lt;&gt;"No control",SUMIF(('Loading-rail'!$B$31:$B$48),$J4108,('Loading-rail'!$E$31:$E$48))*Impacts!$F$15,0)),0)</f>
        <v>0</v>
      </c>
      <c r="T4108" s="10">
        <f>IF(Flare!$C$7="",0,(SUMIF(Flare!$B$46:$B$185,$J4108,Flare!$E$46:$E$185)*Impacts!$F$16))</f>
        <v>0</v>
      </c>
      <c r="U4108" s="10">
        <f>IF(VCU!$C$9="",0,(SUMIF(VCU!$B$51:$B$193,$J4108,VCU!$E$51:$E$193)*Impacts!$F$17))</f>
        <v>0</v>
      </c>
      <c r="V4108" s="10">
        <f>IF(CAS!$C$7="",0,(SUMIF(CAS!$B$31:$B$167,$J4108,CAS!$E$31:$E$167)*Impacts!$F$18))</f>
        <v>0</v>
      </c>
      <c r="W4108" s="10">
        <f t="shared" si="104"/>
        <v>0</v>
      </c>
      <c r="AK4108" s="10" t="str">
        <f t="array" ref="AK4108">IFERROR(INDEX(SelectedSpecies,SMALL(IF(SelectedSpecies=AK$1,ROW(SelectedSpecies)),ROW(4109:4109)),2),"")</f>
        <v/>
      </c>
      <c r="BE4108" s="10"/>
      <c r="BI4108" s="10"/>
    </row>
    <row r="4109" spans="1:61" ht="21" customHeight="1" x14ac:dyDescent="0.25">
      <c r="A4109" s="10"/>
      <c r="B4109" s="10"/>
      <c r="E4109" s="10"/>
      <c r="G4109" s="10"/>
      <c r="I4109" s="436" t="s">
        <v>1628</v>
      </c>
      <c r="J4109" s="26" t="s">
        <v>1627</v>
      </c>
      <c r="K4109" s="10">
        <v>25</v>
      </c>
      <c r="L4109" s="73">
        <f>IF(Tank1!$C$23="No control",(SUMIF(Tank1!$B$32:$B$49,$J4109,Tank1!$C$32:$C$49)*Impacts!$F$8),0)</f>
        <v>0</v>
      </c>
      <c r="M4109" s="10">
        <f>IF(Tank2!$C$23="No control",(SUMIF(Tank2!$B$32:$B$49,$J4109,Tank2!$C$32:$C$49)*Impacts!$F$9),0)</f>
        <v>0</v>
      </c>
      <c r="N4109" s="10">
        <f>IF(Tank3!$C$23="No control",(SUMIF(Tank3!$B$32:$B$49,$J4109,Tank3!$C$32:$C$49)*Impacts!$F$10),0)</f>
        <v>0</v>
      </c>
      <c r="O4109" s="10">
        <f>IF(Tank4!$C$23="No control",(SUMIF(Tank4!$B$32:$B$49,$J4109,Tank4!$C$32:$C$49)*Impacts!$F$11),0)</f>
        <v>0</v>
      </c>
      <c r="P4109" s="10">
        <f>IF(Tank5!$C$23="No control",(SUMIF(Tank5!$B$32:$B$49,$J4109,Tank5!$C$32:$C$49)*Impacts!$F$12),0)</f>
        <v>0</v>
      </c>
      <c r="Q4109" s="10">
        <f>IFERROR(IF(('Loading-drum,tote'!$C$21)="No control",SUMIF(('Loading-drum,tote'!$B$31:$B$48),$J4109,('Loading-drum,tote'!$D$31:$D$48))*Impacts!$F$13,IF(('Loading-drum,tote'!$C$21)&lt;&gt;"No control",SUMIF(('Loading-drum,tote'!$B$31:$B$48),$J4109,('Loading-drum,tote'!$E$31:$E$48))*Impacts!$F$13,0)),0)</f>
        <v>0</v>
      </c>
      <c r="R4109" s="10">
        <f>IFERROR(IF(('Loading-truck'!$C$21)="No control",SUMIF(('Loading-truck'!$B$31:$B$48),$J4109,('Loading-truck'!$D$31:$D$48))*Impacts!$F$14,IF(('Loading-truck'!$C$21)&lt;&gt;"No control",SUMIF(('Loading-truck'!$B$31:$B$48),$J4109,('Loading-truck'!$E$31:$E$48))*Impacts!$F$14,0)),0)</f>
        <v>0</v>
      </c>
      <c r="S4109" s="10">
        <f>IFERROR(IF(('Loading-rail'!$C$21)="No control",SUMIF(('Loading-rail'!$B$31:$B$48),$J4109,('Loading-rail'!$D$31:$D$48))*Impacts!$F$15,IF(('Loading-rail'!$C$21)&lt;&gt;"No control",SUMIF(('Loading-rail'!$B$31:$B$48),$J4109,('Loading-rail'!$E$31:$E$48))*Impacts!$F$15,0)),0)</f>
        <v>0</v>
      </c>
      <c r="T4109" s="10">
        <f>IF(Flare!$C$7="",0,(SUMIF(Flare!$B$46:$B$185,$J4109,Flare!$E$46:$E$185)*Impacts!$F$16))</f>
        <v>0</v>
      </c>
      <c r="U4109" s="10">
        <f>IF(VCU!$C$9="",0,(SUMIF(VCU!$B$51:$B$193,$J4109,VCU!$E$51:$E$193)*Impacts!$F$17))</f>
        <v>0</v>
      </c>
      <c r="V4109" s="10">
        <f>IF(CAS!$C$7="",0,(SUMIF(CAS!$B$31:$B$167,$J4109,CAS!$E$31:$E$167)*Impacts!$F$18))</f>
        <v>0</v>
      </c>
      <c r="W4109" s="10">
        <f t="shared" si="104"/>
        <v>0</v>
      </c>
      <c r="AK4109" s="10" t="str">
        <f t="array" ref="AK4109">IFERROR(INDEX(SelectedSpecies,SMALL(IF(SelectedSpecies=AK$1,ROW(SelectedSpecies)),ROW(4110:4110)),2),"")</f>
        <v/>
      </c>
      <c r="BE4109" s="10"/>
      <c r="BI4109" s="10"/>
    </row>
    <row r="4110" spans="1:61" ht="21" customHeight="1" x14ac:dyDescent="0.25">
      <c r="A4110" s="10"/>
      <c r="B4110" s="10"/>
      <c r="E4110" s="10"/>
      <c r="G4110" s="10"/>
      <c r="I4110" s="436" t="s">
        <v>4389</v>
      </c>
      <c r="J4110" s="26" t="s">
        <v>4388</v>
      </c>
      <c r="K4110" s="10">
        <v>4.8000000000000007</v>
      </c>
      <c r="L4110" s="73">
        <f>IF(Tank1!$C$23="No control",(SUMIF(Tank1!$B$32:$B$49,$J4110,Tank1!$C$32:$C$49)*Impacts!$F$8),0)</f>
        <v>0</v>
      </c>
      <c r="M4110" s="10">
        <f>IF(Tank2!$C$23="No control",(SUMIF(Tank2!$B$32:$B$49,$J4110,Tank2!$C$32:$C$49)*Impacts!$F$9),0)</f>
        <v>0</v>
      </c>
      <c r="N4110" s="10">
        <f>IF(Tank3!$C$23="No control",(SUMIF(Tank3!$B$32:$B$49,$J4110,Tank3!$C$32:$C$49)*Impacts!$F$10),0)</f>
        <v>0</v>
      </c>
      <c r="O4110" s="10">
        <f>IF(Tank4!$C$23="No control",(SUMIF(Tank4!$B$32:$B$49,$J4110,Tank4!$C$32:$C$49)*Impacts!$F$11),0)</f>
        <v>0</v>
      </c>
      <c r="P4110" s="10">
        <f>IF(Tank5!$C$23="No control",(SUMIF(Tank5!$B$32:$B$49,$J4110,Tank5!$C$32:$C$49)*Impacts!$F$12),0)</f>
        <v>0</v>
      </c>
      <c r="Q4110" s="10">
        <f>IFERROR(IF(('Loading-drum,tote'!$C$21)="No control",SUMIF(('Loading-drum,tote'!$B$31:$B$48),$J4110,('Loading-drum,tote'!$D$31:$D$48))*Impacts!$F$13,IF(('Loading-drum,tote'!$C$21)&lt;&gt;"No control",SUMIF(('Loading-drum,tote'!$B$31:$B$48),$J4110,('Loading-drum,tote'!$E$31:$E$48))*Impacts!$F$13,0)),0)</f>
        <v>0</v>
      </c>
      <c r="R4110" s="10">
        <f>IFERROR(IF(('Loading-truck'!$C$21)="No control",SUMIF(('Loading-truck'!$B$31:$B$48),$J4110,('Loading-truck'!$D$31:$D$48))*Impacts!$F$14,IF(('Loading-truck'!$C$21)&lt;&gt;"No control",SUMIF(('Loading-truck'!$B$31:$B$48),$J4110,('Loading-truck'!$E$31:$E$48))*Impacts!$F$14,0)),0)</f>
        <v>0</v>
      </c>
      <c r="S4110" s="10">
        <f>IFERROR(IF(('Loading-rail'!$C$21)="No control",SUMIF(('Loading-rail'!$B$31:$B$48),$J4110,('Loading-rail'!$D$31:$D$48))*Impacts!$F$15,IF(('Loading-rail'!$C$21)&lt;&gt;"No control",SUMIF(('Loading-rail'!$B$31:$B$48),$J4110,('Loading-rail'!$E$31:$E$48))*Impacts!$F$15,0)),0)</f>
        <v>0</v>
      </c>
      <c r="T4110" s="10">
        <f>IF(Flare!$C$7="",0,(SUMIF(Flare!$B$46:$B$185,$J4110,Flare!$E$46:$E$185)*Impacts!$F$16))</f>
        <v>0</v>
      </c>
      <c r="U4110" s="10">
        <f>IF(VCU!$C$9="",0,(SUMIF(VCU!$B$51:$B$193,$J4110,VCU!$E$51:$E$193)*Impacts!$F$17))</f>
        <v>0</v>
      </c>
      <c r="V4110" s="10">
        <f>IF(CAS!$C$7="",0,(SUMIF(CAS!$B$31:$B$167,$J4110,CAS!$E$31:$E$167)*Impacts!$F$18))</f>
        <v>0</v>
      </c>
      <c r="W4110" s="10">
        <f t="shared" si="104"/>
        <v>0</v>
      </c>
      <c r="AK4110" s="10" t="str">
        <f t="array" ref="AK4110">IFERROR(INDEX(SelectedSpecies,SMALL(IF(SelectedSpecies=AK$1,ROW(SelectedSpecies)),ROW(4111:4111)),2),"")</f>
        <v/>
      </c>
      <c r="BE4110" s="10"/>
      <c r="BI4110" s="10"/>
    </row>
    <row r="4111" spans="1:61" ht="21" customHeight="1" x14ac:dyDescent="0.25">
      <c r="A4111" s="10"/>
      <c r="B4111" s="10"/>
      <c r="E4111" s="10"/>
      <c r="G4111" s="10"/>
      <c r="I4111" s="436" t="s">
        <v>5215</v>
      </c>
      <c r="J4111" s="26" t="s">
        <v>5214</v>
      </c>
      <c r="K4111" s="10">
        <v>2</v>
      </c>
      <c r="L4111" s="73">
        <f>IF(Tank1!$C$23="No control",(SUMIF(Tank1!$B$32:$B$49,$J4111,Tank1!$C$32:$C$49)*Impacts!$F$8),0)</f>
        <v>0</v>
      </c>
      <c r="M4111" s="10">
        <f>IF(Tank2!$C$23="No control",(SUMIF(Tank2!$B$32:$B$49,$J4111,Tank2!$C$32:$C$49)*Impacts!$F$9),0)</f>
        <v>0</v>
      </c>
      <c r="N4111" s="10">
        <f>IF(Tank3!$C$23="No control",(SUMIF(Tank3!$B$32:$B$49,$J4111,Tank3!$C$32:$C$49)*Impacts!$F$10),0)</f>
        <v>0</v>
      </c>
      <c r="O4111" s="10">
        <f>IF(Tank4!$C$23="No control",(SUMIF(Tank4!$B$32:$B$49,$J4111,Tank4!$C$32:$C$49)*Impacts!$F$11),0)</f>
        <v>0</v>
      </c>
      <c r="P4111" s="10">
        <f>IF(Tank5!$C$23="No control",(SUMIF(Tank5!$B$32:$B$49,$J4111,Tank5!$C$32:$C$49)*Impacts!$F$12),0)</f>
        <v>0</v>
      </c>
      <c r="Q4111" s="10">
        <f>IFERROR(IF(('Loading-drum,tote'!$C$21)="No control",SUMIF(('Loading-drum,tote'!$B$31:$B$48),$J4111,('Loading-drum,tote'!$D$31:$D$48))*Impacts!$F$13,IF(('Loading-drum,tote'!$C$21)&lt;&gt;"No control",SUMIF(('Loading-drum,tote'!$B$31:$B$48),$J4111,('Loading-drum,tote'!$E$31:$E$48))*Impacts!$F$13,0)),0)</f>
        <v>0</v>
      </c>
      <c r="R4111" s="10">
        <f>IFERROR(IF(('Loading-truck'!$C$21)="No control",SUMIF(('Loading-truck'!$B$31:$B$48),$J4111,('Loading-truck'!$D$31:$D$48))*Impacts!$F$14,IF(('Loading-truck'!$C$21)&lt;&gt;"No control",SUMIF(('Loading-truck'!$B$31:$B$48),$J4111,('Loading-truck'!$E$31:$E$48))*Impacts!$F$14,0)),0)</f>
        <v>0</v>
      </c>
      <c r="S4111" s="10">
        <f>IFERROR(IF(('Loading-rail'!$C$21)="No control",SUMIF(('Loading-rail'!$B$31:$B$48),$J4111,('Loading-rail'!$D$31:$D$48))*Impacts!$F$15,IF(('Loading-rail'!$C$21)&lt;&gt;"No control",SUMIF(('Loading-rail'!$B$31:$B$48),$J4111,('Loading-rail'!$E$31:$E$48))*Impacts!$F$15,0)),0)</f>
        <v>0</v>
      </c>
      <c r="T4111" s="10">
        <f>IF(Flare!$C$7="",0,(SUMIF(Flare!$B$46:$B$185,$J4111,Flare!$E$46:$E$185)*Impacts!$F$16))</f>
        <v>0</v>
      </c>
      <c r="U4111" s="10">
        <f>IF(VCU!$C$9="",0,(SUMIF(VCU!$B$51:$B$193,$J4111,VCU!$E$51:$E$193)*Impacts!$F$17))</f>
        <v>0</v>
      </c>
      <c r="V4111" s="10">
        <f>IF(CAS!$C$7="",0,(SUMIF(CAS!$B$31:$B$167,$J4111,CAS!$E$31:$E$167)*Impacts!$F$18))</f>
        <v>0</v>
      </c>
      <c r="W4111" s="10">
        <f t="shared" si="104"/>
        <v>0</v>
      </c>
      <c r="AK4111" s="10" t="str">
        <f t="array" ref="AK4111">IFERROR(INDEX(SelectedSpecies,SMALL(IF(SelectedSpecies=AK$1,ROW(SelectedSpecies)),ROW(4112:4112)),2),"")</f>
        <v/>
      </c>
      <c r="BE4111" s="10"/>
      <c r="BI4111" s="10"/>
    </row>
    <row r="4112" spans="1:61" ht="21" customHeight="1" x14ac:dyDescent="0.25">
      <c r="A4112" s="10"/>
      <c r="B4112" s="10"/>
      <c r="E4112" s="10"/>
      <c r="G4112" s="10"/>
      <c r="I4112" s="436" t="s">
        <v>4351</v>
      </c>
      <c r="J4112" s="26" t="s">
        <v>4350</v>
      </c>
      <c r="K4112" s="10">
        <v>4.9000000000000004</v>
      </c>
      <c r="L4112" s="73">
        <f>IF(Tank1!$C$23="No control",(SUMIF(Tank1!$B$32:$B$49,$J4112,Tank1!$C$32:$C$49)*Impacts!$F$8),0)</f>
        <v>0</v>
      </c>
      <c r="M4112" s="10">
        <f>IF(Tank2!$C$23="No control",(SUMIF(Tank2!$B$32:$B$49,$J4112,Tank2!$C$32:$C$49)*Impacts!$F$9),0)</f>
        <v>0</v>
      </c>
      <c r="N4112" s="10">
        <f>IF(Tank3!$C$23="No control",(SUMIF(Tank3!$B$32:$B$49,$J4112,Tank3!$C$32:$C$49)*Impacts!$F$10),0)</f>
        <v>0</v>
      </c>
      <c r="O4112" s="10">
        <f>IF(Tank4!$C$23="No control",(SUMIF(Tank4!$B$32:$B$49,$J4112,Tank4!$C$32:$C$49)*Impacts!$F$11),0)</f>
        <v>0</v>
      </c>
      <c r="P4112" s="10">
        <f>IF(Tank5!$C$23="No control",(SUMIF(Tank5!$B$32:$B$49,$J4112,Tank5!$C$32:$C$49)*Impacts!$F$12),0)</f>
        <v>0</v>
      </c>
      <c r="Q4112" s="10">
        <f>IFERROR(IF(('Loading-drum,tote'!$C$21)="No control",SUMIF(('Loading-drum,tote'!$B$31:$B$48),$J4112,('Loading-drum,tote'!$D$31:$D$48))*Impacts!$F$13,IF(('Loading-drum,tote'!$C$21)&lt;&gt;"No control",SUMIF(('Loading-drum,tote'!$B$31:$B$48),$J4112,('Loading-drum,tote'!$E$31:$E$48))*Impacts!$F$13,0)),0)</f>
        <v>0</v>
      </c>
      <c r="R4112" s="10">
        <f>IFERROR(IF(('Loading-truck'!$C$21)="No control",SUMIF(('Loading-truck'!$B$31:$B$48),$J4112,('Loading-truck'!$D$31:$D$48))*Impacts!$F$14,IF(('Loading-truck'!$C$21)&lt;&gt;"No control",SUMIF(('Loading-truck'!$B$31:$B$48),$J4112,('Loading-truck'!$E$31:$E$48))*Impacts!$F$14,0)),0)</f>
        <v>0</v>
      </c>
      <c r="S4112" s="10">
        <f>IFERROR(IF(('Loading-rail'!$C$21)="No control",SUMIF(('Loading-rail'!$B$31:$B$48),$J4112,('Loading-rail'!$D$31:$D$48))*Impacts!$F$15,IF(('Loading-rail'!$C$21)&lt;&gt;"No control",SUMIF(('Loading-rail'!$B$31:$B$48),$J4112,('Loading-rail'!$E$31:$E$48))*Impacts!$F$15,0)),0)</f>
        <v>0</v>
      </c>
      <c r="T4112" s="10">
        <f>IF(Flare!$C$7="",0,(SUMIF(Flare!$B$46:$B$185,$J4112,Flare!$E$46:$E$185)*Impacts!$F$16))</f>
        <v>0</v>
      </c>
      <c r="U4112" s="10">
        <f>IF(VCU!$C$9="",0,(SUMIF(VCU!$B$51:$B$193,$J4112,VCU!$E$51:$E$193)*Impacts!$F$17))</f>
        <v>0</v>
      </c>
      <c r="V4112" s="10">
        <f>IF(CAS!$C$7="",0,(SUMIF(CAS!$B$31:$B$167,$J4112,CAS!$E$31:$E$167)*Impacts!$F$18))</f>
        <v>0</v>
      </c>
      <c r="W4112" s="10">
        <f t="shared" si="104"/>
        <v>0</v>
      </c>
      <c r="AK4112" s="10" t="str">
        <f t="array" ref="AK4112">IFERROR(INDEX(SelectedSpecies,SMALL(IF(SelectedSpecies=AK$1,ROW(SelectedSpecies)),ROW(4113:4113)),2),"")</f>
        <v/>
      </c>
      <c r="BE4112" s="10"/>
      <c r="BI4112" s="10"/>
    </row>
    <row r="4113" spans="1:61" ht="21" customHeight="1" x14ac:dyDescent="0.25">
      <c r="A4113" s="10"/>
      <c r="B4113" s="10"/>
      <c r="E4113" s="10"/>
      <c r="G4113" s="10"/>
      <c r="I4113" s="436" t="s">
        <v>7568</v>
      </c>
      <c r="J4113" s="26" t="s">
        <v>7567</v>
      </c>
      <c r="K4113" s="10">
        <v>0.2</v>
      </c>
      <c r="L4113" s="73">
        <f>IF(Tank1!$C$23="No control",(SUMIF(Tank1!$B$32:$B$49,$J4113,Tank1!$C$32:$C$49)*Impacts!$F$8),0)</f>
        <v>0</v>
      </c>
      <c r="M4113" s="10">
        <f>IF(Tank2!$C$23="No control",(SUMIF(Tank2!$B$32:$B$49,$J4113,Tank2!$C$32:$C$49)*Impacts!$F$9),0)</f>
        <v>0</v>
      </c>
      <c r="N4113" s="10">
        <f>IF(Tank3!$C$23="No control",(SUMIF(Tank3!$B$32:$B$49,$J4113,Tank3!$C$32:$C$49)*Impacts!$F$10),0)</f>
        <v>0</v>
      </c>
      <c r="O4113" s="10">
        <f>IF(Tank4!$C$23="No control",(SUMIF(Tank4!$B$32:$B$49,$J4113,Tank4!$C$32:$C$49)*Impacts!$F$11),0)</f>
        <v>0</v>
      </c>
      <c r="P4113" s="10">
        <f>IF(Tank5!$C$23="No control",(SUMIF(Tank5!$B$32:$B$49,$J4113,Tank5!$C$32:$C$49)*Impacts!$F$12),0)</f>
        <v>0</v>
      </c>
      <c r="Q4113" s="10">
        <f>IFERROR(IF(('Loading-drum,tote'!$C$21)="No control",SUMIF(('Loading-drum,tote'!$B$31:$B$48),$J4113,('Loading-drum,tote'!$D$31:$D$48))*Impacts!$F$13,IF(('Loading-drum,tote'!$C$21)&lt;&gt;"No control",SUMIF(('Loading-drum,tote'!$B$31:$B$48),$J4113,('Loading-drum,tote'!$E$31:$E$48))*Impacts!$F$13,0)),0)</f>
        <v>0</v>
      </c>
      <c r="R4113" s="10">
        <f>IFERROR(IF(('Loading-truck'!$C$21)="No control",SUMIF(('Loading-truck'!$B$31:$B$48),$J4113,('Loading-truck'!$D$31:$D$48))*Impacts!$F$14,IF(('Loading-truck'!$C$21)&lt;&gt;"No control",SUMIF(('Loading-truck'!$B$31:$B$48),$J4113,('Loading-truck'!$E$31:$E$48))*Impacts!$F$14,0)),0)</f>
        <v>0</v>
      </c>
      <c r="S4113" s="10">
        <f>IFERROR(IF(('Loading-rail'!$C$21)="No control",SUMIF(('Loading-rail'!$B$31:$B$48),$J4113,('Loading-rail'!$D$31:$D$48))*Impacts!$F$15,IF(('Loading-rail'!$C$21)&lt;&gt;"No control",SUMIF(('Loading-rail'!$B$31:$B$48),$J4113,('Loading-rail'!$E$31:$E$48))*Impacts!$F$15,0)),0)</f>
        <v>0</v>
      </c>
      <c r="T4113" s="10">
        <f>IF(Flare!$C$7="",0,(SUMIF(Flare!$B$46:$B$185,$J4113,Flare!$E$46:$E$185)*Impacts!$F$16))</f>
        <v>0</v>
      </c>
      <c r="U4113" s="10">
        <f>IF(VCU!$C$9="",0,(SUMIF(VCU!$B$51:$B$193,$J4113,VCU!$E$51:$E$193)*Impacts!$F$17))</f>
        <v>0</v>
      </c>
      <c r="V4113" s="10">
        <f>IF(CAS!$C$7="",0,(SUMIF(CAS!$B$31:$B$167,$J4113,CAS!$E$31:$E$167)*Impacts!$F$18))</f>
        <v>0</v>
      </c>
      <c r="W4113" s="10">
        <f t="shared" si="104"/>
        <v>0</v>
      </c>
      <c r="AK4113" s="10" t="str">
        <f t="array" ref="AK4113">IFERROR(INDEX(SelectedSpecies,SMALL(IF(SelectedSpecies=AK$1,ROW(SelectedSpecies)),ROW(4114:4114)),2),"")</f>
        <v/>
      </c>
      <c r="BE4113" s="10"/>
      <c r="BI4113" s="10"/>
    </row>
    <row r="4114" spans="1:61" ht="21" customHeight="1" x14ac:dyDescent="0.25">
      <c r="A4114" s="10"/>
      <c r="B4114" s="10"/>
      <c r="E4114" s="10"/>
      <c r="G4114" s="10"/>
      <c r="I4114" s="436" t="s">
        <v>7322</v>
      </c>
      <c r="J4114" s="26" t="s">
        <v>7321</v>
      </c>
      <c r="K4114" s="10">
        <v>0.27999999999999997</v>
      </c>
      <c r="L4114" s="73">
        <f>IF(Tank1!$C$23="No control",(SUMIF(Tank1!$B$32:$B$49,$J4114,Tank1!$C$32:$C$49)*Impacts!$F$8),0)</f>
        <v>0</v>
      </c>
      <c r="M4114" s="10">
        <f>IF(Tank2!$C$23="No control",(SUMIF(Tank2!$B$32:$B$49,$J4114,Tank2!$C$32:$C$49)*Impacts!$F$9),0)</f>
        <v>0</v>
      </c>
      <c r="N4114" s="10">
        <f>IF(Tank3!$C$23="No control",(SUMIF(Tank3!$B$32:$B$49,$J4114,Tank3!$C$32:$C$49)*Impacts!$F$10),0)</f>
        <v>0</v>
      </c>
      <c r="O4114" s="10">
        <f>IF(Tank4!$C$23="No control",(SUMIF(Tank4!$B$32:$B$49,$J4114,Tank4!$C$32:$C$49)*Impacts!$F$11),0)</f>
        <v>0</v>
      </c>
      <c r="P4114" s="10">
        <f>IF(Tank5!$C$23="No control",(SUMIF(Tank5!$B$32:$B$49,$J4114,Tank5!$C$32:$C$49)*Impacts!$F$12),0)</f>
        <v>0</v>
      </c>
      <c r="Q4114" s="10">
        <f>IFERROR(IF(('Loading-drum,tote'!$C$21)="No control",SUMIF(('Loading-drum,tote'!$B$31:$B$48),$J4114,('Loading-drum,tote'!$D$31:$D$48))*Impacts!$F$13,IF(('Loading-drum,tote'!$C$21)&lt;&gt;"No control",SUMIF(('Loading-drum,tote'!$B$31:$B$48),$J4114,('Loading-drum,tote'!$E$31:$E$48))*Impacts!$F$13,0)),0)</f>
        <v>0</v>
      </c>
      <c r="R4114" s="10">
        <f>IFERROR(IF(('Loading-truck'!$C$21)="No control",SUMIF(('Loading-truck'!$B$31:$B$48),$J4114,('Loading-truck'!$D$31:$D$48))*Impacts!$F$14,IF(('Loading-truck'!$C$21)&lt;&gt;"No control",SUMIF(('Loading-truck'!$B$31:$B$48),$J4114,('Loading-truck'!$E$31:$E$48))*Impacts!$F$14,0)),0)</f>
        <v>0</v>
      </c>
      <c r="S4114" s="10">
        <f>IFERROR(IF(('Loading-rail'!$C$21)="No control",SUMIF(('Loading-rail'!$B$31:$B$48),$J4114,('Loading-rail'!$D$31:$D$48))*Impacts!$F$15,IF(('Loading-rail'!$C$21)&lt;&gt;"No control",SUMIF(('Loading-rail'!$B$31:$B$48),$J4114,('Loading-rail'!$E$31:$E$48))*Impacts!$F$15,0)),0)</f>
        <v>0</v>
      </c>
      <c r="T4114" s="10">
        <f>IF(Flare!$C$7="",0,(SUMIF(Flare!$B$46:$B$185,$J4114,Flare!$E$46:$E$185)*Impacts!$F$16))</f>
        <v>0</v>
      </c>
      <c r="U4114" s="10">
        <f>IF(VCU!$C$9="",0,(SUMIF(VCU!$B$51:$B$193,$J4114,VCU!$E$51:$E$193)*Impacts!$F$17))</f>
        <v>0</v>
      </c>
      <c r="V4114" s="10">
        <f>IF(CAS!$C$7="",0,(SUMIF(CAS!$B$31:$B$167,$J4114,CAS!$E$31:$E$167)*Impacts!$F$18))</f>
        <v>0</v>
      </c>
      <c r="W4114" s="10">
        <f t="shared" si="104"/>
        <v>0</v>
      </c>
      <c r="AK4114" s="10" t="str">
        <f t="array" ref="AK4114">IFERROR(INDEX(SelectedSpecies,SMALL(IF(SelectedSpecies=AK$1,ROW(SelectedSpecies)),ROW(4115:4115)),2),"")</f>
        <v/>
      </c>
      <c r="BE4114" s="10"/>
      <c r="BI4114" s="10"/>
    </row>
    <row r="4115" spans="1:61" ht="21" customHeight="1" x14ac:dyDescent="0.25">
      <c r="A4115" s="10"/>
      <c r="B4115" s="10"/>
      <c r="E4115" s="10"/>
      <c r="G4115" s="10"/>
      <c r="I4115" s="436" t="s">
        <v>6226</v>
      </c>
      <c r="J4115" s="26" t="s">
        <v>6225</v>
      </c>
      <c r="K4115" s="10">
        <v>1</v>
      </c>
      <c r="L4115" s="73">
        <f>IF(Tank1!$C$23="No control",(SUMIF(Tank1!$B$32:$B$49,$J4115,Tank1!$C$32:$C$49)*Impacts!$F$8),0)</f>
        <v>0</v>
      </c>
      <c r="M4115" s="10">
        <f>IF(Tank2!$C$23="No control",(SUMIF(Tank2!$B$32:$B$49,$J4115,Tank2!$C$32:$C$49)*Impacts!$F$9),0)</f>
        <v>0</v>
      </c>
      <c r="N4115" s="10">
        <f>IF(Tank3!$C$23="No control",(SUMIF(Tank3!$B$32:$B$49,$J4115,Tank3!$C$32:$C$49)*Impacts!$F$10),0)</f>
        <v>0</v>
      </c>
      <c r="O4115" s="10">
        <f>IF(Tank4!$C$23="No control",(SUMIF(Tank4!$B$32:$B$49,$J4115,Tank4!$C$32:$C$49)*Impacts!$F$11),0)</f>
        <v>0</v>
      </c>
      <c r="P4115" s="10">
        <f>IF(Tank5!$C$23="No control",(SUMIF(Tank5!$B$32:$B$49,$J4115,Tank5!$C$32:$C$49)*Impacts!$F$12),0)</f>
        <v>0</v>
      </c>
      <c r="Q4115" s="10">
        <f>IFERROR(IF(('Loading-drum,tote'!$C$21)="No control",SUMIF(('Loading-drum,tote'!$B$31:$B$48),$J4115,('Loading-drum,tote'!$D$31:$D$48))*Impacts!$F$13,IF(('Loading-drum,tote'!$C$21)&lt;&gt;"No control",SUMIF(('Loading-drum,tote'!$B$31:$B$48),$J4115,('Loading-drum,tote'!$E$31:$E$48))*Impacts!$F$13,0)),0)</f>
        <v>0</v>
      </c>
      <c r="R4115" s="10">
        <f>IFERROR(IF(('Loading-truck'!$C$21)="No control",SUMIF(('Loading-truck'!$B$31:$B$48),$J4115,('Loading-truck'!$D$31:$D$48))*Impacts!$F$14,IF(('Loading-truck'!$C$21)&lt;&gt;"No control",SUMIF(('Loading-truck'!$B$31:$B$48),$J4115,('Loading-truck'!$E$31:$E$48))*Impacts!$F$14,0)),0)</f>
        <v>0</v>
      </c>
      <c r="S4115" s="10">
        <f>IFERROR(IF(('Loading-rail'!$C$21)="No control",SUMIF(('Loading-rail'!$B$31:$B$48),$J4115,('Loading-rail'!$D$31:$D$48))*Impacts!$F$15,IF(('Loading-rail'!$C$21)&lt;&gt;"No control",SUMIF(('Loading-rail'!$B$31:$B$48),$J4115,('Loading-rail'!$E$31:$E$48))*Impacts!$F$15,0)),0)</f>
        <v>0</v>
      </c>
      <c r="T4115" s="10">
        <f>IF(Flare!$C$7="",0,(SUMIF(Flare!$B$46:$B$185,$J4115,Flare!$E$46:$E$185)*Impacts!$F$16))</f>
        <v>0</v>
      </c>
      <c r="U4115" s="10">
        <f>IF(VCU!$C$9="",0,(SUMIF(VCU!$B$51:$B$193,$J4115,VCU!$E$51:$E$193)*Impacts!$F$17))</f>
        <v>0</v>
      </c>
      <c r="V4115" s="10">
        <f>IF(CAS!$C$7="",0,(SUMIF(CAS!$B$31:$B$167,$J4115,CAS!$E$31:$E$167)*Impacts!$F$18))</f>
        <v>0</v>
      </c>
      <c r="W4115" s="10">
        <f t="shared" si="104"/>
        <v>0</v>
      </c>
      <c r="AK4115" s="10" t="str">
        <f t="array" ref="AK4115">IFERROR(INDEX(SelectedSpecies,SMALL(IF(SelectedSpecies=AK$1,ROW(SelectedSpecies)),ROW(4116:4116)),2),"")</f>
        <v/>
      </c>
      <c r="BE4115" s="10"/>
      <c r="BI4115" s="10"/>
    </row>
    <row r="4116" spans="1:61" ht="21" customHeight="1" x14ac:dyDescent="0.25">
      <c r="A4116" s="10"/>
      <c r="B4116" s="10"/>
      <c r="E4116" s="10"/>
      <c r="G4116" s="10"/>
      <c r="I4116" s="436" t="s">
        <v>6984</v>
      </c>
      <c r="J4116" s="26" t="s">
        <v>6983</v>
      </c>
      <c r="K4116" s="10">
        <v>0.5</v>
      </c>
      <c r="L4116" s="73">
        <f>IF(Tank1!$C$23="No control",(SUMIF(Tank1!$B$32:$B$49,$J4116,Tank1!$C$32:$C$49)*Impacts!$F$8),0)</f>
        <v>0</v>
      </c>
      <c r="M4116" s="10">
        <f>IF(Tank2!$C$23="No control",(SUMIF(Tank2!$B$32:$B$49,$J4116,Tank2!$C$32:$C$49)*Impacts!$F$9),0)</f>
        <v>0</v>
      </c>
      <c r="N4116" s="10">
        <f>IF(Tank3!$C$23="No control",(SUMIF(Tank3!$B$32:$B$49,$J4116,Tank3!$C$32:$C$49)*Impacts!$F$10),0)</f>
        <v>0</v>
      </c>
      <c r="O4116" s="10">
        <f>IF(Tank4!$C$23="No control",(SUMIF(Tank4!$B$32:$B$49,$J4116,Tank4!$C$32:$C$49)*Impacts!$F$11),0)</f>
        <v>0</v>
      </c>
      <c r="P4116" s="10">
        <f>IF(Tank5!$C$23="No control",(SUMIF(Tank5!$B$32:$B$49,$J4116,Tank5!$C$32:$C$49)*Impacts!$F$12),0)</f>
        <v>0</v>
      </c>
      <c r="Q4116" s="10">
        <f>IFERROR(IF(('Loading-drum,tote'!$C$21)="No control",SUMIF(('Loading-drum,tote'!$B$31:$B$48),$J4116,('Loading-drum,tote'!$D$31:$D$48))*Impacts!$F$13,IF(('Loading-drum,tote'!$C$21)&lt;&gt;"No control",SUMIF(('Loading-drum,tote'!$B$31:$B$48),$J4116,('Loading-drum,tote'!$E$31:$E$48))*Impacts!$F$13,0)),0)</f>
        <v>0</v>
      </c>
      <c r="R4116" s="10">
        <f>IFERROR(IF(('Loading-truck'!$C$21)="No control",SUMIF(('Loading-truck'!$B$31:$B$48),$J4116,('Loading-truck'!$D$31:$D$48))*Impacts!$F$14,IF(('Loading-truck'!$C$21)&lt;&gt;"No control",SUMIF(('Loading-truck'!$B$31:$B$48),$J4116,('Loading-truck'!$E$31:$E$48))*Impacts!$F$14,0)),0)</f>
        <v>0</v>
      </c>
      <c r="S4116" s="10">
        <f>IFERROR(IF(('Loading-rail'!$C$21)="No control",SUMIF(('Loading-rail'!$B$31:$B$48),$J4116,('Loading-rail'!$D$31:$D$48))*Impacts!$F$15,IF(('Loading-rail'!$C$21)&lt;&gt;"No control",SUMIF(('Loading-rail'!$B$31:$B$48),$J4116,('Loading-rail'!$E$31:$E$48))*Impacts!$F$15,0)),0)</f>
        <v>0</v>
      </c>
      <c r="T4116" s="10">
        <f>IF(Flare!$C$7="",0,(SUMIF(Flare!$B$46:$B$185,$J4116,Flare!$E$46:$E$185)*Impacts!$F$16))</f>
        <v>0</v>
      </c>
      <c r="U4116" s="10">
        <f>IF(VCU!$C$9="",0,(SUMIF(VCU!$B$51:$B$193,$J4116,VCU!$E$51:$E$193)*Impacts!$F$17))</f>
        <v>0</v>
      </c>
      <c r="V4116" s="10">
        <f>IF(CAS!$C$7="",0,(SUMIF(CAS!$B$31:$B$167,$J4116,CAS!$E$31:$E$167)*Impacts!$F$18))</f>
        <v>0</v>
      </c>
      <c r="W4116" s="10">
        <f t="shared" si="104"/>
        <v>0</v>
      </c>
      <c r="AK4116" s="10" t="str">
        <f t="array" ref="AK4116">IFERROR(INDEX(SelectedSpecies,SMALL(IF(SelectedSpecies=AK$1,ROW(SelectedSpecies)),ROW(4117:4117)),2),"")</f>
        <v/>
      </c>
      <c r="BE4116" s="10"/>
      <c r="BI4116" s="10"/>
    </row>
    <row r="4117" spans="1:61" ht="21" customHeight="1" x14ac:dyDescent="0.25">
      <c r="A4117" s="10"/>
      <c r="B4117" s="10"/>
      <c r="E4117" s="10"/>
      <c r="G4117" s="10"/>
      <c r="I4117" s="436" t="s">
        <v>5005</v>
      </c>
      <c r="J4117" s="26" t="s">
        <v>5004</v>
      </c>
      <c r="K4117" s="10">
        <v>2.5</v>
      </c>
      <c r="L4117" s="73">
        <f>IF(Tank1!$C$23="No control",(SUMIF(Tank1!$B$32:$B$49,$J4117,Tank1!$C$32:$C$49)*Impacts!$F$8),0)</f>
        <v>0</v>
      </c>
      <c r="M4117" s="10">
        <f>IF(Tank2!$C$23="No control",(SUMIF(Tank2!$B$32:$B$49,$J4117,Tank2!$C$32:$C$49)*Impacts!$F$9),0)</f>
        <v>0</v>
      </c>
      <c r="N4117" s="10">
        <f>IF(Tank3!$C$23="No control",(SUMIF(Tank3!$B$32:$B$49,$J4117,Tank3!$C$32:$C$49)*Impacts!$F$10),0)</f>
        <v>0</v>
      </c>
      <c r="O4117" s="10">
        <f>IF(Tank4!$C$23="No control",(SUMIF(Tank4!$B$32:$B$49,$J4117,Tank4!$C$32:$C$49)*Impacts!$F$11),0)</f>
        <v>0</v>
      </c>
      <c r="P4117" s="10">
        <f>IF(Tank5!$C$23="No control",(SUMIF(Tank5!$B$32:$B$49,$J4117,Tank5!$C$32:$C$49)*Impacts!$F$12),0)</f>
        <v>0</v>
      </c>
      <c r="Q4117" s="10">
        <f>IFERROR(IF(('Loading-drum,tote'!$C$21)="No control",SUMIF(('Loading-drum,tote'!$B$31:$B$48),$J4117,('Loading-drum,tote'!$D$31:$D$48))*Impacts!$F$13,IF(('Loading-drum,tote'!$C$21)&lt;&gt;"No control",SUMIF(('Loading-drum,tote'!$B$31:$B$48),$J4117,('Loading-drum,tote'!$E$31:$E$48))*Impacts!$F$13,0)),0)</f>
        <v>0</v>
      </c>
      <c r="R4117" s="10">
        <f>IFERROR(IF(('Loading-truck'!$C$21)="No control",SUMIF(('Loading-truck'!$B$31:$B$48),$J4117,('Loading-truck'!$D$31:$D$48))*Impacts!$F$14,IF(('Loading-truck'!$C$21)&lt;&gt;"No control",SUMIF(('Loading-truck'!$B$31:$B$48),$J4117,('Loading-truck'!$E$31:$E$48))*Impacts!$F$14,0)),0)</f>
        <v>0</v>
      </c>
      <c r="S4117" s="10">
        <f>IFERROR(IF(('Loading-rail'!$C$21)="No control",SUMIF(('Loading-rail'!$B$31:$B$48),$J4117,('Loading-rail'!$D$31:$D$48))*Impacts!$F$15,IF(('Loading-rail'!$C$21)&lt;&gt;"No control",SUMIF(('Loading-rail'!$B$31:$B$48),$J4117,('Loading-rail'!$E$31:$E$48))*Impacts!$F$15,0)),0)</f>
        <v>0</v>
      </c>
      <c r="T4117" s="10">
        <f>IF(Flare!$C$7="",0,(SUMIF(Flare!$B$46:$B$185,$J4117,Flare!$E$46:$E$185)*Impacts!$F$16))</f>
        <v>0</v>
      </c>
      <c r="U4117" s="10">
        <f>IF(VCU!$C$9="",0,(SUMIF(VCU!$B$51:$B$193,$J4117,VCU!$E$51:$E$193)*Impacts!$F$17))</f>
        <v>0</v>
      </c>
      <c r="V4117" s="10">
        <f>IF(CAS!$C$7="",0,(SUMIF(CAS!$B$31:$B$167,$J4117,CAS!$E$31:$E$167)*Impacts!$F$18))</f>
        <v>0</v>
      </c>
      <c r="W4117" s="10">
        <f t="shared" si="104"/>
        <v>0</v>
      </c>
      <c r="AK4117" s="10" t="str">
        <f t="array" ref="AK4117">IFERROR(INDEX(SelectedSpecies,SMALL(IF(SelectedSpecies=AK$1,ROW(SelectedSpecies)),ROW(4118:4118)),2),"")</f>
        <v/>
      </c>
      <c r="BE4117" s="10"/>
      <c r="BI4117" s="10"/>
    </row>
    <row r="4118" spans="1:61" ht="21" customHeight="1" x14ac:dyDescent="0.25">
      <c r="A4118" s="10"/>
      <c r="B4118" s="10"/>
      <c r="E4118" s="10"/>
      <c r="G4118" s="10"/>
      <c r="I4118" s="436" t="s">
        <v>5624</v>
      </c>
      <c r="J4118" s="26" t="s">
        <v>5623</v>
      </c>
      <c r="K4118" s="10">
        <v>1.1000000000000001</v>
      </c>
      <c r="L4118" s="73">
        <f>IF(Tank1!$C$23="No control",(SUMIF(Tank1!$B$32:$B$49,$J4118,Tank1!$C$32:$C$49)*Impacts!$F$8),0)</f>
        <v>0</v>
      </c>
      <c r="M4118" s="10">
        <f>IF(Tank2!$C$23="No control",(SUMIF(Tank2!$B$32:$B$49,$J4118,Tank2!$C$32:$C$49)*Impacts!$F$9),0)</f>
        <v>0</v>
      </c>
      <c r="N4118" s="10">
        <f>IF(Tank3!$C$23="No control",(SUMIF(Tank3!$B$32:$B$49,$J4118,Tank3!$C$32:$C$49)*Impacts!$F$10),0)</f>
        <v>0</v>
      </c>
      <c r="O4118" s="10">
        <f>IF(Tank4!$C$23="No control",(SUMIF(Tank4!$B$32:$B$49,$J4118,Tank4!$C$32:$C$49)*Impacts!$F$11),0)</f>
        <v>0</v>
      </c>
      <c r="P4118" s="10">
        <f>IF(Tank5!$C$23="No control",(SUMIF(Tank5!$B$32:$B$49,$J4118,Tank5!$C$32:$C$49)*Impacts!$F$12),0)</f>
        <v>0</v>
      </c>
      <c r="Q4118" s="10">
        <f>IFERROR(IF(('Loading-drum,tote'!$C$21)="No control",SUMIF(('Loading-drum,tote'!$B$31:$B$48),$J4118,('Loading-drum,tote'!$D$31:$D$48))*Impacts!$F$13,IF(('Loading-drum,tote'!$C$21)&lt;&gt;"No control",SUMIF(('Loading-drum,tote'!$B$31:$B$48),$J4118,('Loading-drum,tote'!$E$31:$E$48))*Impacts!$F$13,0)),0)</f>
        <v>0</v>
      </c>
      <c r="R4118" s="10">
        <f>IFERROR(IF(('Loading-truck'!$C$21)="No control",SUMIF(('Loading-truck'!$B$31:$B$48),$J4118,('Loading-truck'!$D$31:$D$48))*Impacts!$F$14,IF(('Loading-truck'!$C$21)&lt;&gt;"No control",SUMIF(('Loading-truck'!$B$31:$B$48),$J4118,('Loading-truck'!$E$31:$E$48))*Impacts!$F$14,0)),0)</f>
        <v>0</v>
      </c>
      <c r="S4118" s="10">
        <f>IFERROR(IF(('Loading-rail'!$C$21)="No control",SUMIF(('Loading-rail'!$B$31:$B$48),$J4118,('Loading-rail'!$D$31:$D$48))*Impacts!$F$15,IF(('Loading-rail'!$C$21)&lt;&gt;"No control",SUMIF(('Loading-rail'!$B$31:$B$48),$J4118,('Loading-rail'!$E$31:$E$48))*Impacts!$F$15,0)),0)</f>
        <v>0</v>
      </c>
      <c r="T4118" s="10">
        <f>IF(Flare!$C$7="",0,(SUMIF(Flare!$B$46:$B$185,$J4118,Flare!$E$46:$E$185)*Impacts!$F$16))</f>
        <v>0</v>
      </c>
      <c r="U4118" s="10">
        <f>IF(VCU!$C$9="",0,(SUMIF(VCU!$B$51:$B$193,$J4118,VCU!$E$51:$E$193)*Impacts!$F$17))</f>
        <v>0</v>
      </c>
      <c r="V4118" s="10">
        <f>IF(CAS!$C$7="",0,(SUMIF(CAS!$B$31:$B$167,$J4118,CAS!$E$31:$E$167)*Impacts!$F$18))</f>
        <v>0</v>
      </c>
      <c r="W4118" s="10">
        <f t="shared" si="104"/>
        <v>0</v>
      </c>
      <c r="AK4118" s="10" t="str">
        <f t="array" ref="AK4118">IFERROR(INDEX(SelectedSpecies,SMALL(IF(SelectedSpecies=AK$1,ROW(SelectedSpecies)),ROW(4119:4119)),2),"")</f>
        <v/>
      </c>
      <c r="BE4118" s="10"/>
      <c r="BI4118" s="10"/>
    </row>
    <row r="4119" spans="1:61" ht="21" customHeight="1" x14ac:dyDescent="0.25">
      <c r="A4119" s="10"/>
      <c r="B4119" s="10"/>
      <c r="E4119" s="10"/>
      <c r="G4119" s="10"/>
      <c r="I4119" s="436" t="s">
        <v>7312</v>
      </c>
      <c r="J4119" s="26" t="s">
        <v>7311</v>
      </c>
      <c r="K4119" s="10">
        <v>0.30000000000000004</v>
      </c>
      <c r="L4119" s="73">
        <f>IF(Tank1!$C$23="No control",(SUMIF(Tank1!$B$32:$B$49,$J4119,Tank1!$C$32:$C$49)*Impacts!$F$8),0)</f>
        <v>0</v>
      </c>
      <c r="M4119" s="10">
        <f>IF(Tank2!$C$23="No control",(SUMIF(Tank2!$B$32:$B$49,$J4119,Tank2!$C$32:$C$49)*Impacts!$F$9),0)</f>
        <v>0</v>
      </c>
      <c r="N4119" s="10">
        <f>IF(Tank3!$C$23="No control",(SUMIF(Tank3!$B$32:$B$49,$J4119,Tank3!$C$32:$C$49)*Impacts!$F$10),0)</f>
        <v>0</v>
      </c>
      <c r="O4119" s="10">
        <f>IF(Tank4!$C$23="No control",(SUMIF(Tank4!$B$32:$B$49,$J4119,Tank4!$C$32:$C$49)*Impacts!$F$11),0)</f>
        <v>0</v>
      </c>
      <c r="P4119" s="10">
        <f>IF(Tank5!$C$23="No control",(SUMIF(Tank5!$B$32:$B$49,$J4119,Tank5!$C$32:$C$49)*Impacts!$F$12),0)</f>
        <v>0</v>
      </c>
      <c r="Q4119" s="10">
        <f>IFERROR(IF(('Loading-drum,tote'!$C$21)="No control",SUMIF(('Loading-drum,tote'!$B$31:$B$48),$J4119,('Loading-drum,tote'!$D$31:$D$48))*Impacts!$F$13,IF(('Loading-drum,tote'!$C$21)&lt;&gt;"No control",SUMIF(('Loading-drum,tote'!$B$31:$B$48),$J4119,('Loading-drum,tote'!$E$31:$E$48))*Impacts!$F$13,0)),0)</f>
        <v>0</v>
      </c>
      <c r="R4119" s="10">
        <f>IFERROR(IF(('Loading-truck'!$C$21)="No control",SUMIF(('Loading-truck'!$B$31:$B$48),$J4119,('Loading-truck'!$D$31:$D$48))*Impacts!$F$14,IF(('Loading-truck'!$C$21)&lt;&gt;"No control",SUMIF(('Loading-truck'!$B$31:$B$48),$J4119,('Loading-truck'!$E$31:$E$48))*Impacts!$F$14,0)),0)</f>
        <v>0</v>
      </c>
      <c r="S4119" s="10">
        <f>IFERROR(IF(('Loading-rail'!$C$21)="No control",SUMIF(('Loading-rail'!$B$31:$B$48),$J4119,('Loading-rail'!$D$31:$D$48))*Impacts!$F$15,IF(('Loading-rail'!$C$21)&lt;&gt;"No control",SUMIF(('Loading-rail'!$B$31:$B$48),$J4119,('Loading-rail'!$E$31:$E$48))*Impacts!$F$15,0)),0)</f>
        <v>0</v>
      </c>
      <c r="T4119" s="10">
        <f>IF(Flare!$C$7="",0,(SUMIF(Flare!$B$46:$B$185,$J4119,Flare!$E$46:$E$185)*Impacts!$F$16))</f>
        <v>0</v>
      </c>
      <c r="U4119" s="10">
        <f>IF(VCU!$C$9="",0,(SUMIF(VCU!$B$51:$B$193,$J4119,VCU!$E$51:$E$193)*Impacts!$F$17))</f>
        <v>0</v>
      </c>
      <c r="V4119" s="10">
        <f>IF(CAS!$C$7="",0,(SUMIF(CAS!$B$31:$B$167,$J4119,CAS!$E$31:$E$167)*Impacts!$F$18))</f>
        <v>0</v>
      </c>
      <c r="W4119" s="10">
        <f t="shared" si="104"/>
        <v>0</v>
      </c>
      <c r="AK4119" s="10" t="str">
        <f t="array" ref="AK4119">IFERROR(INDEX(SelectedSpecies,SMALL(IF(SelectedSpecies=AK$1,ROW(SelectedSpecies)),ROW(4120:4120)),2),"")</f>
        <v/>
      </c>
      <c r="BE4119" s="10"/>
      <c r="BI4119" s="10"/>
    </row>
    <row r="4120" spans="1:61" ht="21" customHeight="1" x14ac:dyDescent="0.25">
      <c r="A4120" s="10"/>
      <c r="B4120" s="10"/>
      <c r="E4120" s="10"/>
      <c r="G4120" s="10"/>
      <c r="I4120" s="436" t="s">
        <v>3451</v>
      </c>
      <c r="J4120" s="26" t="s">
        <v>3450</v>
      </c>
      <c r="K4120" s="10">
        <v>10</v>
      </c>
      <c r="L4120" s="73">
        <f>IF(Tank1!$C$23="No control",(SUMIF(Tank1!$B$32:$B$49,$J4120,Tank1!$C$32:$C$49)*Impacts!$F$8),0)</f>
        <v>0</v>
      </c>
      <c r="M4120" s="10">
        <f>IF(Tank2!$C$23="No control",(SUMIF(Tank2!$B$32:$B$49,$J4120,Tank2!$C$32:$C$49)*Impacts!$F$9),0)</f>
        <v>0</v>
      </c>
      <c r="N4120" s="10">
        <f>IF(Tank3!$C$23="No control",(SUMIF(Tank3!$B$32:$B$49,$J4120,Tank3!$C$32:$C$49)*Impacts!$F$10),0)</f>
        <v>0</v>
      </c>
      <c r="O4120" s="10">
        <f>IF(Tank4!$C$23="No control",(SUMIF(Tank4!$B$32:$B$49,$J4120,Tank4!$C$32:$C$49)*Impacts!$F$11),0)</f>
        <v>0</v>
      </c>
      <c r="P4120" s="10">
        <f>IF(Tank5!$C$23="No control",(SUMIF(Tank5!$B$32:$B$49,$J4120,Tank5!$C$32:$C$49)*Impacts!$F$12),0)</f>
        <v>0</v>
      </c>
      <c r="Q4120" s="10">
        <f>IFERROR(IF(('Loading-drum,tote'!$C$21)="No control",SUMIF(('Loading-drum,tote'!$B$31:$B$48),$J4120,('Loading-drum,tote'!$D$31:$D$48))*Impacts!$F$13,IF(('Loading-drum,tote'!$C$21)&lt;&gt;"No control",SUMIF(('Loading-drum,tote'!$B$31:$B$48),$J4120,('Loading-drum,tote'!$E$31:$E$48))*Impacts!$F$13,0)),0)</f>
        <v>0</v>
      </c>
      <c r="R4120" s="10">
        <f>IFERROR(IF(('Loading-truck'!$C$21)="No control",SUMIF(('Loading-truck'!$B$31:$B$48),$J4120,('Loading-truck'!$D$31:$D$48))*Impacts!$F$14,IF(('Loading-truck'!$C$21)&lt;&gt;"No control",SUMIF(('Loading-truck'!$B$31:$B$48),$J4120,('Loading-truck'!$E$31:$E$48))*Impacts!$F$14,0)),0)</f>
        <v>0</v>
      </c>
      <c r="S4120" s="10">
        <f>IFERROR(IF(('Loading-rail'!$C$21)="No control",SUMIF(('Loading-rail'!$B$31:$B$48),$J4120,('Loading-rail'!$D$31:$D$48))*Impacts!$F$15,IF(('Loading-rail'!$C$21)&lt;&gt;"No control",SUMIF(('Loading-rail'!$B$31:$B$48),$J4120,('Loading-rail'!$E$31:$E$48))*Impacts!$F$15,0)),0)</f>
        <v>0</v>
      </c>
      <c r="T4120" s="10">
        <f>IF(Flare!$C$7="",0,(SUMIF(Flare!$B$46:$B$185,$J4120,Flare!$E$46:$E$185)*Impacts!$F$16))</f>
        <v>0</v>
      </c>
      <c r="U4120" s="10">
        <f>IF(VCU!$C$9="",0,(SUMIF(VCU!$B$51:$B$193,$J4120,VCU!$E$51:$E$193)*Impacts!$F$17))</f>
        <v>0</v>
      </c>
      <c r="V4120" s="10">
        <f>IF(CAS!$C$7="",0,(SUMIF(CAS!$B$31:$B$167,$J4120,CAS!$E$31:$E$167)*Impacts!$F$18))</f>
        <v>0</v>
      </c>
      <c r="W4120" s="10">
        <f t="shared" si="104"/>
        <v>0</v>
      </c>
      <c r="AK4120" s="10" t="str">
        <f t="array" ref="AK4120">IFERROR(INDEX(SelectedSpecies,SMALL(IF(SelectedSpecies=AK$1,ROW(SelectedSpecies)),ROW(4121:4121)),2),"")</f>
        <v/>
      </c>
      <c r="BE4120" s="10"/>
      <c r="BI4120" s="10"/>
    </row>
    <row r="4121" spans="1:61" ht="21" customHeight="1" x14ac:dyDescent="0.25">
      <c r="A4121" s="10"/>
      <c r="B4121" s="10"/>
      <c r="E4121" s="10"/>
      <c r="G4121" s="10"/>
      <c r="I4121" s="436" t="s">
        <v>7796</v>
      </c>
      <c r="J4121" s="26" t="s">
        <v>7795</v>
      </c>
      <c r="K4121" s="10">
        <v>0.1</v>
      </c>
      <c r="L4121" s="73">
        <f>IF(Tank1!$C$23="No control",(SUMIF(Tank1!$B$32:$B$49,$J4121,Tank1!$C$32:$C$49)*Impacts!$F$8),0)</f>
        <v>0</v>
      </c>
      <c r="M4121" s="10">
        <f>IF(Tank2!$C$23="No control",(SUMIF(Tank2!$B$32:$B$49,$J4121,Tank2!$C$32:$C$49)*Impacts!$F$9),0)</f>
        <v>0</v>
      </c>
      <c r="N4121" s="10">
        <f>IF(Tank3!$C$23="No control",(SUMIF(Tank3!$B$32:$B$49,$J4121,Tank3!$C$32:$C$49)*Impacts!$F$10),0)</f>
        <v>0</v>
      </c>
      <c r="O4121" s="10">
        <f>IF(Tank4!$C$23="No control",(SUMIF(Tank4!$B$32:$B$49,$J4121,Tank4!$C$32:$C$49)*Impacts!$F$11),0)</f>
        <v>0</v>
      </c>
      <c r="P4121" s="10">
        <f>IF(Tank5!$C$23="No control",(SUMIF(Tank5!$B$32:$B$49,$J4121,Tank5!$C$32:$C$49)*Impacts!$F$12),0)</f>
        <v>0</v>
      </c>
      <c r="Q4121" s="10">
        <f>IFERROR(IF(('Loading-drum,tote'!$C$21)="No control",SUMIF(('Loading-drum,tote'!$B$31:$B$48),$J4121,('Loading-drum,tote'!$D$31:$D$48))*Impacts!$F$13,IF(('Loading-drum,tote'!$C$21)&lt;&gt;"No control",SUMIF(('Loading-drum,tote'!$B$31:$B$48),$J4121,('Loading-drum,tote'!$E$31:$E$48))*Impacts!$F$13,0)),0)</f>
        <v>0</v>
      </c>
      <c r="R4121" s="10">
        <f>IFERROR(IF(('Loading-truck'!$C$21)="No control",SUMIF(('Loading-truck'!$B$31:$B$48),$J4121,('Loading-truck'!$D$31:$D$48))*Impacts!$F$14,IF(('Loading-truck'!$C$21)&lt;&gt;"No control",SUMIF(('Loading-truck'!$B$31:$B$48),$J4121,('Loading-truck'!$E$31:$E$48))*Impacts!$F$14,0)),0)</f>
        <v>0</v>
      </c>
      <c r="S4121" s="10">
        <f>IFERROR(IF(('Loading-rail'!$C$21)="No control",SUMIF(('Loading-rail'!$B$31:$B$48),$J4121,('Loading-rail'!$D$31:$D$48))*Impacts!$F$15,IF(('Loading-rail'!$C$21)&lt;&gt;"No control",SUMIF(('Loading-rail'!$B$31:$B$48),$J4121,('Loading-rail'!$E$31:$E$48))*Impacts!$F$15,0)),0)</f>
        <v>0</v>
      </c>
      <c r="T4121" s="10">
        <f>IF(Flare!$C$7="",0,(SUMIF(Flare!$B$46:$B$185,$J4121,Flare!$E$46:$E$185)*Impacts!$F$16))</f>
        <v>0</v>
      </c>
      <c r="U4121" s="10">
        <f>IF(VCU!$C$9="",0,(SUMIF(VCU!$B$51:$B$193,$J4121,VCU!$E$51:$E$193)*Impacts!$F$17))</f>
        <v>0</v>
      </c>
      <c r="V4121" s="10">
        <f>IF(CAS!$C$7="",0,(SUMIF(CAS!$B$31:$B$167,$J4121,CAS!$E$31:$E$167)*Impacts!$F$18))</f>
        <v>0</v>
      </c>
      <c r="W4121" s="10">
        <f t="shared" si="104"/>
        <v>0</v>
      </c>
      <c r="AK4121" s="10" t="str">
        <f t="array" ref="AK4121">IFERROR(INDEX(SelectedSpecies,SMALL(IF(SelectedSpecies=AK$1,ROW(SelectedSpecies)),ROW(4122:4122)),2),"")</f>
        <v/>
      </c>
      <c r="BE4121" s="10"/>
      <c r="BI4121" s="10"/>
    </row>
    <row r="4122" spans="1:61" ht="21" customHeight="1" x14ac:dyDescent="0.25">
      <c r="A4122" s="10"/>
      <c r="B4122" s="10"/>
      <c r="E4122" s="10"/>
      <c r="G4122" s="10"/>
      <c r="I4122" s="436" t="s">
        <v>3595</v>
      </c>
      <c r="J4122" s="26" t="s">
        <v>3594</v>
      </c>
      <c r="K4122" s="10">
        <v>8</v>
      </c>
      <c r="L4122" s="73">
        <f>IF(Tank1!$C$23="No control",(SUMIF(Tank1!$B$32:$B$49,$J4122,Tank1!$C$32:$C$49)*Impacts!$F$8),0)</f>
        <v>0</v>
      </c>
      <c r="M4122" s="10">
        <f>IF(Tank2!$C$23="No control",(SUMIF(Tank2!$B$32:$B$49,$J4122,Tank2!$C$32:$C$49)*Impacts!$F$9),0)</f>
        <v>0</v>
      </c>
      <c r="N4122" s="10">
        <f>IF(Tank3!$C$23="No control",(SUMIF(Tank3!$B$32:$B$49,$J4122,Tank3!$C$32:$C$49)*Impacts!$F$10),0)</f>
        <v>0</v>
      </c>
      <c r="O4122" s="10">
        <f>IF(Tank4!$C$23="No control",(SUMIF(Tank4!$B$32:$B$49,$J4122,Tank4!$C$32:$C$49)*Impacts!$F$11),0)</f>
        <v>0</v>
      </c>
      <c r="P4122" s="10">
        <f>IF(Tank5!$C$23="No control",(SUMIF(Tank5!$B$32:$B$49,$J4122,Tank5!$C$32:$C$49)*Impacts!$F$12),0)</f>
        <v>0</v>
      </c>
      <c r="Q4122" s="10">
        <f>IFERROR(IF(('Loading-drum,tote'!$C$21)="No control",SUMIF(('Loading-drum,tote'!$B$31:$B$48),$J4122,('Loading-drum,tote'!$D$31:$D$48))*Impacts!$F$13,IF(('Loading-drum,tote'!$C$21)&lt;&gt;"No control",SUMIF(('Loading-drum,tote'!$B$31:$B$48),$J4122,('Loading-drum,tote'!$E$31:$E$48))*Impacts!$F$13,0)),0)</f>
        <v>0</v>
      </c>
      <c r="R4122" s="10">
        <f>IFERROR(IF(('Loading-truck'!$C$21)="No control",SUMIF(('Loading-truck'!$B$31:$B$48),$J4122,('Loading-truck'!$D$31:$D$48))*Impacts!$F$14,IF(('Loading-truck'!$C$21)&lt;&gt;"No control",SUMIF(('Loading-truck'!$B$31:$B$48),$J4122,('Loading-truck'!$E$31:$E$48))*Impacts!$F$14,0)),0)</f>
        <v>0</v>
      </c>
      <c r="S4122" s="10">
        <f>IFERROR(IF(('Loading-rail'!$C$21)="No control",SUMIF(('Loading-rail'!$B$31:$B$48),$J4122,('Loading-rail'!$D$31:$D$48))*Impacts!$F$15,IF(('Loading-rail'!$C$21)&lt;&gt;"No control",SUMIF(('Loading-rail'!$B$31:$B$48),$J4122,('Loading-rail'!$E$31:$E$48))*Impacts!$F$15,0)),0)</f>
        <v>0</v>
      </c>
      <c r="T4122" s="10">
        <f>IF(Flare!$C$7="",0,(SUMIF(Flare!$B$46:$B$185,$J4122,Flare!$E$46:$E$185)*Impacts!$F$16))</f>
        <v>0</v>
      </c>
      <c r="U4122" s="10">
        <f>IF(VCU!$C$9="",0,(SUMIF(VCU!$B$51:$B$193,$J4122,VCU!$E$51:$E$193)*Impacts!$F$17))</f>
        <v>0</v>
      </c>
      <c r="V4122" s="10">
        <f>IF(CAS!$C$7="",0,(SUMIF(CAS!$B$31:$B$167,$J4122,CAS!$E$31:$E$167)*Impacts!$F$18))</f>
        <v>0</v>
      </c>
      <c r="W4122" s="10">
        <f t="shared" ref="W4122:W4154" si="105">SUM(L4122:V4122)</f>
        <v>0</v>
      </c>
      <c r="AK4122" s="10" t="str">
        <f t="array" ref="AK4122">IFERROR(INDEX(SelectedSpecies,SMALL(IF(SelectedSpecies=AK$1,ROW(SelectedSpecies)),ROW(4123:4123)),2),"")</f>
        <v/>
      </c>
      <c r="BE4122" s="10"/>
      <c r="BI4122" s="10"/>
    </row>
    <row r="4123" spans="1:61" ht="21" customHeight="1" x14ac:dyDescent="0.25">
      <c r="A4123" s="10"/>
      <c r="B4123" s="10"/>
      <c r="E4123" s="10"/>
      <c r="G4123" s="10"/>
      <c r="I4123" s="436" t="s">
        <v>6228</v>
      </c>
      <c r="J4123" s="26" t="s">
        <v>6227</v>
      </c>
      <c r="K4123" s="10">
        <v>1</v>
      </c>
      <c r="L4123" s="73">
        <f>IF(Tank1!$C$23="No control",(SUMIF(Tank1!$B$32:$B$49,$J4123,Tank1!$C$32:$C$49)*Impacts!$F$8),0)</f>
        <v>0</v>
      </c>
      <c r="M4123" s="10">
        <f>IF(Tank2!$C$23="No control",(SUMIF(Tank2!$B$32:$B$49,$J4123,Tank2!$C$32:$C$49)*Impacts!$F$9),0)</f>
        <v>0</v>
      </c>
      <c r="N4123" s="10">
        <f>IF(Tank3!$C$23="No control",(SUMIF(Tank3!$B$32:$B$49,$J4123,Tank3!$C$32:$C$49)*Impacts!$F$10),0)</f>
        <v>0</v>
      </c>
      <c r="O4123" s="10">
        <f>IF(Tank4!$C$23="No control",(SUMIF(Tank4!$B$32:$B$49,$J4123,Tank4!$C$32:$C$49)*Impacts!$F$11),0)</f>
        <v>0</v>
      </c>
      <c r="P4123" s="10">
        <f>IF(Tank5!$C$23="No control",(SUMIF(Tank5!$B$32:$B$49,$J4123,Tank5!$C$32:$C$49)*Impacts!$F$12),0)</f>
        <v>0</v>
      </c>
      <c r="Q4123" s="10">
        <f>IFERROR(IF(('Loading-drum,tote'!$C$21)="No control",SUMIF(('Loading-drum,tote'!$B$31:$B$48),$J4123,('Loading-drum,tote'!$D$31:$D$48))*Impacts!$F$13,IF(('Loading-drum,tote'!$C$21)&lt;&gt;"No control",SUMIF(('Loading-drum,tote'!$B$31:$B$48),$J4123,('Loading-drum,tote'!$E$31:$E$48))*Impacts!$F$13,0)),0)</f>
        <v>0</v>
      </c>
      <c r="R4123" s="10">
        <f>IFERROR(IF(('Loading-truck'!$C$21)="No control",SUMIF(('Loading-truck'!$B$31:$B$48),$J4123,('Loading-truck'!$D$31:$D$48))*Impacts!$F$14,IF(('Loading-truck'!$C$21)&lt;&gt;"No control",SUMIF(('Loading-truck'!$B$31:$B$48),$J4123,('Loading-truck'!$E$31:$E$48))*Impacts!$F$14,0)),0)</f>
        <v>0</v>
      </c>
      <c r="S4123" s="10">
        <f>IFERROR(IF(('Loading-rail'!$C$21)="No control",SUMIF(('Loading-rail'!$B$31:$B$48),$J4123,('Loading-rail'!$D$31:$D$48))*Impacts!$F$15,IF(('Loading-rail'!$C$21)&lt;&gt;"No control",SUMIF(('Loading-rail'!$B$31:$B$48),$J4123,('Loading-rail'!$E$31:$E$48))*Impacts!$F$15,0)),0)</f>
        <v>0</v>
      </c>
      <c r="T4123" s="10">
        <f>IF(Flare!$C$7="",0,(SUMIF(Flare!$B$46:$B$185,$J4123,Flare!$E$46:$E$185)*Impacts!$F$16))</f>
        <v>0</v>
      </c>
      <c r="U4123" s="10">
        <f>IF(VCU!$C$9="",0,(SUMIF(VCU!$B$51:$B$193,$J4123,VCU!$E$51:$E$193)*Impacts!$F$17))</f>
        <v>0</v>
      </c>
      <c r="V4123" s="10">
        <f>IF(CAS!$C$7="",0,(SUMIF(CAS!$B$31:$B$167,$J4123,CAS!$E$31:$E$167)*Impacts!$F$18))</f>
        <v>0</v>
      </c>
      <c r="W4123" s="10">
        <f t="shared" si="105"/>
        <v>0</v>
      </c>
      <c r="AK4123" s="10" t="str">
        <f t="array" ref="AK4123">IFERROR(INDEX(SelectedSpecies,SMALL(IF(SelectedSpecies=AK$1,ROW(SelectedSpecies)),ROW(4124:4124)),2),"")</f>
        <v/>
      </c>
      <c r="BE4123" s="10"/>
      <c r="BI4123" s="10"/>
    </row>
    <row r="4124" spans="1:61" ht="21" customHeight="1" x14ac:dyDescent="0.25">
      <c r="A4124" s="10"/>
      <c r="B4124" s="10"/>
      <c r="E4124" s="10"/>
      <c r="G4124" s="10"/>
      <c r="I4124" s="436" t="s">
        <v>7798</v>
      </c>
      <c r="J4124" s="26" t="s">
        <v>7797</v>
      </c>
      <c r="K4124" s="10">
        <v>0.1</v>
      </c>
      <c r="L4124" s="73">
        <f>IF(Tank1!$C$23="No control",(SUMIF(Tank1!$B$32:$B$49,$J4124,Tank1!$C$32:$C$49)*Impacts!$F$8),0)</f>
        <v>0</v>
      </c>
      <c r="M4124" s="10">
        <f>IF(Tank2!$C$23="No control",(SUMIF(Tank2!$B$32:$B$49,$J4124,Tank2!$C$32:$C$49)*Impacts!$F$9),0)</f>
        <v>0</v>
      </c>
      <c r="N4124" s="10">
        <f>IF(Tank3!$C$23="No control",(SUMIF(Tank3!$B$32:$B$49,$J4124,Tank3!$C$32:$C$49)*Impacts!$F$10),0)</f>
        <v>0</v>
      </c>
      <c r="O4124" s="10">
        <f>IF(Tank4!$C$23="No control",(SUMIF(Tank4!$B$32:$B$49,$J4124,Tank4!$C$32:$C$49)*Impacts!$F$11),0)</f>
        <v>0</v>
      </c>
      <c r="P4124" s="10">
        <f>IF(Tank5!$C$23="No control",(SUMIF(Tank5!$B$32:$B$49,$J4124,Tank5!$C$32:$C$49)*Impacts!$F$12),0)</f>
        <v>0</v>
      </c>
      <c r="Q4124" s="10">
        <f>IFERROR(IF(('Loading-drum,tote'!$C$21)="No control",SUMIF(('Loading-drum,tote'!$B$31:$B$48),$J4124,('Loading-drum,tote'!$D$31:$D$48))*Impacts!$F$13,IF(('Loading-drum,tote'!$C$21)&lt;&gt;"No control",SUMIF(('Loading-drum,tote'!$B$31:$B$48),$J4124,('Loading-drum,tote'!$E$31:$E$48))*Impacts!$F$13,0)),0)</f>
        <v>0</v>
      </c>
      <c r="R4124" s="10">
        <f>IFERROR(IF(('Loading-truck'!$C$21)="No control",SUMIF(('Loading-truck'!$B$31:$B$48),$J4124,('Loading-truck'!$D$31:$D$48))*Impacts!$F$14,IF(('Loading-truck'!$C$21)&lt;&gt;"No control",SUMIF(('Loading-truck'!$B$31:$B$48),$J4124,('Loading-truck'!$E$31:$E$48))*Impacts!$F$14,0)),0)</f>
        <v>0</v>
      </c>
      <c r="S4124" s="10">
        <f>IFERROR(IF(('Loading-rail'!$C$21)="No control",SUMIF(('Loading-rail'!$B$31:$B$48),$J4124,('Loading-rail'!$D$31:$D$48))*Impacts!$F$15,IF(('Loading-rail'!$C$21)&lt;&gt;"No control",SUMIF(('Loading-rail'!$B$31:$B$48),$J4124,('Loading-rail'!$E$31:$E$48))*Impacts!$F$15,0)),0)</f>
        <v>0</v>
      </c>
      <c r="T4124" s="10">
        <f>IF(Flare!$C$7="",0,(SUMIF(Flare!$B$46:$B$185,$J4124,Flare!$E$46:$E$185)*Impacts!$F$16))</f>
        <v>0</v>
      </c>
      <c r="U4124" s="10">
        <f>IF(VCU!$C$9="",0,(SUMIF(VCU!$B$51:$B$193,$J4124,VCU!$E$51:$E$193)*Impacts!$F$17))</f>
        <v>0</v>
      </c>
      <c r="V4124" s="10">
        <f>IF(CAS!$C$7="",0,(SUMIF(CAS!$B$31:$B$167,$J4124,CAS!$E$31:$E$167)*Impacts!$F$18))</f>
        <v>0</v>
      </c>
      <c r="W4124" s="10">
        <f t="shared" si="105"/>
        <v>0</v>
      </c>
      <c r="AK4124" s="10" t="str">
        <f t="array" ref="AK4124">IFERROR(INDEX(SelectedSpecies,SMALL(IF(SelectedSpecies=AK$1,ROW(SelectedSpecies)),ROW(4125:4125)),2),"")</f>
        <v/>
      </c>
      <c r="BE4124" s="10"/>
      <c r="BI4124" s="10"/>
    </row>
    <row r="4125" spans="1:61" ht="21" customHeight="1" x14ac:dyDescent="0.25">
      <c r="A4125" s="10"/>
      <c r="B4125" s="10"/>
      <c r="E4125" s="10"/>
      <c r="G4125" s="10"/>
      <c r="I4125" s="436" t="s">
        <v>7314</v>
      </c>
      <c r="J4125" s="26" t="s">
        <v>7313</v>
      </c>
      <c r="K4125" s="10">
        <v>0.30000000000000004</v>
      </c>
      <c r="L4125" s="73">
        <f>IF(Tank1!$C$23="No control",(SUMIF(Tank1!$B$32:$B$49,$J4125,Tank1!$C$32:$C$49)*Impacts!$F$8),0)</f>
        <v>0</v>
      </c>
      <c r="M4125" s="10">
        <f>IF(Tank2!$C$23="No control",(SUMIF(Tank2!$B$32:$B$49,$J4125,Tank2!$C$32:$C$49)*Impacts!$F$9),0)</f>
        <v>0</v>
      </c>
      <c r="N4125" s="10">
        <f>IF(Tank3!$C$23="No control",(SUMIF(Tank3!$B$32:$B$49,$J4125,Tank3!$C$32:$C$49)*Impacts!$F$10),0)</f>
        <v>0</v>
      </c>
      <c r="O4125" s="10">
        <f>IF(Tank4!$C$23="No control",(SUMIF(Tank4!$B$32:$B$49,$J4125,Tank4!$C$32:$C$49)*Impacts!$F$11),0)</f>
        <v>0</v>
      </c>
      <c r="P4125" s="10">
        <f>IF(Tank5!$C$23="No control",(SUMIF(Tank5!$B$32:$B$49,$J4125,Tank5!$C$32:$C$49)*Impacts!$F$12),0)</f>
        <v>0</v>
      </c>
      <c r="Q4125" s="10">
        <f>IFERROR(IF(('Loading-drum,tote'!$C$21)="No control",SUMIF(('Loading-drum,tote'!$B$31:$B$48),$J4125,('Loading-drum,tote'!$D$31:$D$48))*Impacts!$F$13,IF(('Loading-drum,tote'!$C$21)&lt;&gt;"No control",SUMIF(('Loading-drum,tote'!$B$31:$B$48),$J4125,('Loading-drum,tote'!$E$31:$E$48))*Impacts!$F$13,0)),0)</f>
        <v>0</v>
      </c>
      <c r="R4125" s="10">
        <f>IFERROR(IF(('Loading-truck'!$C$21)="No control",SUMIF(('Loading-truck'!$B$31:$B$48),$J4125,('Loading-truck'!$D$31:$D$48))*Impacts!$F$14,IF(('Loading-truck'!$C$21)&lt;&gt;"No control",SUMIF(('Loading-truck'!$B$31:$B$48),$J4125,('Loading-truck'!$E$31:$E$48))*Impacts!$F$14,0)),0)</f>
        <v>0</v>
      </c>
      <c r="S4125" s="10">
        <f>IFERROR(IF(('Loading-rail'!$C$21)="No control",SUMIF(('Loading-rail'!$B$31:$B$48),$J4125,('Loading-rail'!$D$31:$D$48))*Impacts!$F$15,IF(('Loading-rail'!$C$21)&lt;&gt;"No control",SUMIF(('Loading-rail'!$B$31:$B$48),$J4125,('Loading-rail'!$E$31:$E$48))*Impacts!$F$15,0)),0)</f>
        <v>0</v>
      </c>
      <c r="T4125" s="10">
        <f>IF(Flare!$C$7="",0,(SUMIF(Flare!$B$46:$B$185,$J4125,Flare!$E$46:$E$185)*Impacts!$F$16))</f>
        <v>0</v>
      </c>
      <c r="U4125" s="10">
        <f>IF(VCU!$C$9="",0,(SUMIF(VCU!$B$51:$B$193,$J4125,VCU!$E$51:$E$193)*Impacts!$F$17))</f>
        <v>0</v>
      </c>
      <c r="V4125" s="10">
        <f>IF(CAS!$C$7="",0,(SUMIF(CAS!$B$31:$B$167,$J4125,CAS!$E$31:$E$167)*Impacts!$F$18))</f>
        <v>0</v>
      </c>
      <c r="W4125" s="10">
        <f t="shared" si="105"/>
        <v>0</v>
      </c>
      <c r="AK4125" s="10" t="str">
        <f t="array" ref="AK4125">IFERROR(INDEX(SelectedSpecies,SMALL(IF(SelectedSpecies=AK$1,ROW(SelectedSpecies)),ROW(4126:4126)),2),"")</f>
        <v/>
      </c>
      <c r="BE4125" s="10"/>
      <c r="BI4125" s="10"/>
    </row>
    <row r="4126" spans="1:61" ht="21" customHeight="1" x14ac:dyDescent="0.25">
      <c r="A4126" s="10"/>
      <c r="B4126" s="10"/>
      <c r="E4126" s="10"/>
      <c r="G4126" s="10"/>
      <c r="I4126" s="436" t="s">
        <v>1757</v>
      </c>
      <c r="J4126" s="26" t="s">
        <v>1756</v>
      </c>
      <c r="K4126" s="10">
        <v>24.5</v>
      </c>
      <c r="L4126" s="73">
        <f>IF(Tank1!$C$23="No control",(SUMIF(Tank1!$B$32:$B$49,$J4126,Tank1!$C$32:$C$49)*Impacts!$F$8),0)</f>
        <v>0</v>
      </c>
      <c r="M4126" s="10">
        <f>IF(Tank2!$C$23="No control",(SUMIF(Tank2!$B$32:$B$49,$J4126,Tank2!$C$32:$C$49)*Impacts!$F$9),0)</f>
        <v>0</v>
      </c>
      <c r="N4126" s="10">
        <f>IF(Tank3!$C$23="No control",(SUMIF(Tank3!$B$32:$B$49,$J4126,Tank3!$C$32:$C$49)*Impacts!$F$10),0)</f>
        <v>0</v>
      </c>
      <c r="O4126" s="10">
        <f>IF(Tank4!$C$23="No control",(SUMIF(Tank4!$B$32:$B$49,$J4126,Tank4!$C$32:$C$49)*Impacts!$F$11),0)</f>
        <v>0</v>
      </c>
      <c r="P4126" s="10">
        <f>IF(Tank5!$C$23="No control",(SUMIF(Tank5!$B$32:$B$49,$J4126,Tank5!$C$32:$C$49)*Impacts!$F$12),0)</f>
        <v>0</v>
      </c>
      <c r="Q4126" s="10">
        <f>IFERROR(IF(('Loading-drum,tote'!$C$21)="No control",SUMIF(('Loading-drum,tote'!$B$31:$B$48),$J4126,('Loading-drum,tote'!$D$31:$D$48))*Impacts!$F$13,IF(('Loading-drum,tote'!$C$21)&lt;&gt;"No control",SUMIF(('Loading-drum,tote'!$B$31:$B$48),$J4126,('Loading-drum,tote'!$E$31:$E$48))*Impacts!$F$13,0)),0)</f>
        <v>0</v>
      </c>
      <c r="R4126" s="10">
        <f>IFERROR(IF(('Loading-truck'!$C$21)="No control",SUMIF(('Loading-truck'!$B$31:$B$48),$J4126,('Loading-truck'!$D$31:$D$48))*Impacts!$F$14,IF(('Loading-truck'!$C$21)&lt;&gt;"No control",SUMIF(('Loading-truck'!$B$31:$B$48),$J4126,('Loading-truck'!$E$31:$E$48))*Impacts!$F$14,0)),0)</f>
        <v>0</v>
      </c>
      <c r="S4126" s="10">
        <f>IFERROR(IF(('Loading-rail'!$C$21)="No control",SUMIF(('Loading-rail'!$B$31:$B$48),$J4126,('Loading-rail'!$D$31:$D$48))*Impacts!$F$15,IF(('Loading-rail'!$C$21)&lt;&gt;"No control",SUMIF(('Loading-rail'!$B$31:$B$48),$J4126,('Loading-rail'!$E$31:$E$48))*Impacts!$F$15,0)),0)</f>
        <v>0</v>
      </c>
      <c r="T4126" s="10">
        <f>IF(Flare!$C$7="",0,(SUMIF(Flare!$B$46:$B$185,$J4126,Flare!$E$46:$E$185)*Impacts!$F$16))</f>
        <v>0</v>
      </c>
      <c r="U4126" s="10">
        <f>IF(VCU!$C$9="",0,(SUMIF(VCU!$B$51:$B$193,$J4126,VCU!$E$51:$E$193)*Impacts!$F$17))</f>
        <v>0</v>
      </c>
      <c r="V4126" s="10">
        <f>IF(CAS!$C$7="",0,(SUMIF(CAS!$B$31:$B$167,$J4126,CAS!$E$31:$E$167)*Impacts!$F$18))</f>
        <v>0</v>
      </c>
      <c r="W4126" s="10">
        <f t="shared" si="105"/>
        <v>0</v>
      </c>
      <c r="AK4126" s="10" t="str">
        <f t="array" ref="AK4126">IFERROR(INDEX(SelectedSpecies,SMALL(IF(SelectedSpecies=AK$1,ROW(SelectedSpecies)),ROW(4127:4127)),2),"")</f>
        <v/>
      </c>
      <c r="BE4126" s="10"/>
      <c r="BI4126" s="10"/>
    </row>
    <row r="4127" spans="1:61" ht="21" customHeight="1" x14ac:dyDescent="0.25">
      <c r="A4127" s="10"/>
      <c r="B4127" s="10"/>
      <c r="E4127" s="10"/>
      <c r="G4127" s="10"/>
      <c r="I4127" s="436" t="s">
        <v>1811</v>
      </c>
      <c r="J4127" s="26" t="s">
        <v>1810</v>
      </c>
      <c r="K4127" s="10">
        <v>22</v>
      </c>
      <c r="L4127" s="73">
        <f>IF(Tank1!$C$23="No control",(SUMIF(Tank1!$B$32:$B$49,$J4127,Tank1!$C$32:$C$49)*Impacts!$F$8),0)</f>
        <v>0</v>
      </c>
      <c r="M4127" s="10">
        <f>IF(Tank2!$C$23="No control",(SUMIF(Tank2!$B$32:$B$49,$J4127,Tank2!$C$32:$C$49)*Impacts!$F$9),0)</f>
        <v>0</v>
      </c>
      <c r="N4127" s="10">
        <f>IF(Tank3!$C$23="No control",(SUMIF(Tank3!$B$32:$B$49,$J4127,Tank3!$C$32:$C$49)*Impacts!$F$10),0)</f>
        <v>0</v>
      </c>
      <c r="O4127" s="10">
        <f>IF(Tank4!$C$23="No control",(SUMIF(Tank4!$B$32:$B$49,$J4127,Tank4!$C$32:$C$49)*Impacts!$F$11),0)</f>
        <v>0</v>
      </c>
      <c r="P4127" s="10">
        <f>IF(Tank5!$C$23="No control",(SUMIF(Tank5!$B$32:$B$49,$J4127,Tank5!$C$32:$C$49)*Impacts!$F$12),0)</f>
        <v>0</v>
      </c>
      <c r="Q4127" s="10">
        <f>IFERROR(IF(('Loading-drum,tote'!$C$21)="No control",SUMIF(('Loading-drum,tote'!$B$31:$B$48),$J4127,('Loading-drum,tote'!$D$31:$D$48))*Impacts!$F$13,IF(('Loading-drum,tote'!$C$21)&lt;&gt;"No control",SUMIF(('Loading-drum,tote'!$B$31:$B$48),$J4127,('Loading-drum,tote'!$E$31:$E$48))*Impacts!$F$13,0)),0)</f>
        <v>0</v>
      </c>
      <c r="R4127" s="10">
        <f>IFERROR(IF(('Loading-truck'!$C$21)="No control",SUMIF(('Loading-truck'!$B$31:$B$48),$J4127,('Loading-truck'!$D$31:$D$48))*Impacts!$F$14,IF(('Loading-truck'!$C$21)&lt;&gt;"No control",SUMIF(('Loading-truck'!$B$31:$B$48),$J4127,('Loading-truck'!$E$31:$E$48))*Impacts!$F$14,0)),0)</f>
        <v>0</v>
      </c>
      <c r="S4127" s="10">
        <f>IFERROR(IF(('Loading-rail'!$C$21)="No control",SUMIF(('Loading-rail'!$B$31:$B$48),$J4127,('Loading-rail'!$D$31:$D$48))*Impacts!$F$15,IF(('Loading-rail'!$C$21)&lt;&gt;"No control",SUMIF(('Loading-rail'!$B$31:$B$48),$J4127,('Loading-rail'!$E$31:$E$48))*Impacts!$F$15,0)),0)</f>
        <v>0</v>
      </c>
      <c r="T4127" s="10">
        <f>IF(Flare!$C$7="",0,(SUMIF(Flare!$B$46:$B$185,$J4127,Flare!$E$46:$E$185)*Impacts!$F$16))</f>
        <v>0</v>
      </c>
      <c r="U4127" s="10">
        <f>IF(VCU!$C$9="",0,(SUMIF(VCU!$B$51:$B$193,$J4127,VCU!$E$51:$E$193)*Impacts!$F$17))</f>
        <v>0</v>
      </c>
      <c r="V4127" s="10">
        <f>IF(CAS!$C$7="",0,(SUMIF(CAS!$B$31:$B$167,$J4127,CAS!$E$31:$E$167)*Impacts!$F$18))</f>
        <v>0</v>
      </c>
      <c r="W4127" s="10">
        <f t="shared" si="105"/>
        <v>0</v>
      </c>
      <c r="AK4127" s="10" t="str">
        <f t="array" ref="AK4127">IFERROR(INDEX(SelectedSpecies,SMALL(IF(SelectedSpecies=AK$1,ROW(SelectedSpecies)),ROW(4128:4128)),2),"")</f>
        <v/>
      </c>
      <c r="BE4127" s="10"/>
      <c r="BI4127" s="10"/>
    </row>
    <row r="4128" spans="1:61" ht="21" customHeight="1" x14ac:dyDescent="0.25">
      <c r="A4128" s="10"/>
      <c r="B4128" s="10"/>
      <c r="E4128" s="10"/>
      <c r="G4128" s="10"/>
      <c r="I4128" s="436" t="s">
        <v>4511</v>
      </c>
      <c r="J4128" s="26" t="s">
        <v>4510</v>
      </c>
      <c r="K4128" s="10">
        <v>9</v>
      </c>
      <c r="L4128" s="73">
        <f>IF(Tank1!$C$23="No control",(SUMIF(Tank1!$B$32:$B$49,$J4128,Tank1!$C$32:$C$49)*Impacts!$F$8),0)</f>
        <v>0</v>
      </c>
      <c r="M4128" s="10">
        <f>IF(Tank2!$C$23="No control",(SUMIF(Tank2!$B$32:$B$49,$J4128,Tank2!$C$32:$C$49)*Impacts!$F$9),0)</f>
        <v>0</v>
      </c>
      <c r="N4128" s="10">
        <f>IF(Tank3!$C$23="No control",(SUMIF(Tank3!$B$32:$B$49,$J4128,Tank3!$C$32:$C$49)*Impacts!$F$10),0)</f>
        <v>0</v>
      </c>
      <c r="O4128" s="10">
        <f>IF(Tank4!$C$23="No control",(SUMIF(Tank4!$B$32:$B$49,$J4128,Tank4!$C$32:$C$49)*Impacts!$F$11),0)</f>
        <v>0</v>
      </c>
      <c r="P4128" s="10">
        <f>IF(Tank5!$C$23="No control",(SUMIF(Tank5!$B$32:$B$49,$J4128,Tank5!$C$32:$C$49)*Impacts!$F$12),0)</f>
        <v>0</v>
      </c>
      <c r="Q4128" s="10">
        <f>IFERROR(IF(('Loading-drum,tote'!$C$21)="No control",SUMIF(('Loading-drum,tote'!$B$31:$B$48),$J4128,('Loading-drum,tote'!$D$31:$D$48))*Impacts!$F$13,IF(('Loading-drum,tote'!$C$21)&lt;&gt;"No control",SUMIF(('Loading-drum,tote'!$B$31:$B$48),$J4128,('Loading-drum,tote'!$E$31:$E$48))*Impacts!$F$13,0)),0)</f>
        <v>0</v>
      </c>
      <c r="R4128" s="10">
        <f>IFERROR(IF(('Loading-truck'!$C$21)="No control",SUMIF(('Loading-truck'!$B$31:$B$48),$J4128,('Loading-truck'!$D$31:$D$48))*Impacts!$F$14,IF(('Loading-truck'!$C$21)&lt;&gt;"No control",SUMIF(('Loading-truck'!$B$31:$B$48),$J4128,('Loading-truck'!$E$31:$E$48))*Impacts!$F$14,0)),0)</f>
        <v>0</v>
      </c>
      <c r="S4128" s="10">
        <f>IFERROR(IF(('Loading-rail'!$C$21)="No control",SUMIF(('Loading-rail'!$B$31:$B$48),$J4128,('Loading-rail'!$D$31:$D$48))*Impacts!$F$15,IF(('Loading-rail'!$C$21)&lt;&gt;"No control",SUMIF(('Loading-rail'!$B$31:$B$48),$J4128,('Loading-rail'!$E$31:$E$48))*Impacts!$F$15,0)),0)</f>
        <v>0</v>
      </c>
      <c r="T4128" s="10">
        <f>IF(Flare!$C$7="",0,(SUMIF(Flare!$B$46:$B$185,$J4128,Flare!$E$46:$E$185)*Impacts!$F$16))</f>
        <v>0</v>
      </c>
      <c r="U4128" s="10">
        <f>IF(VCU!$C$9="",0,(SUMIF(VCU!$B$51:$B$193,$J4128,VCU!$E$51:$E$193)*Impacts!$F$17))</f>
        <v>0</v>
      </c>
      <c r="V4128" s="10">
        <f>IF(CAS!$C$7="",0,(SUMIF(CAS!$B$31:$B$167,$J4128,CAS!$E$31:$E$167)*Impacts!$F$18))</f>
        <v>0</v>
      </c>
      <c r="W4128" s="10">
        <f t="shared" si="105"/>
        <v>0</v>
      </c>
      <c r="AK4128" s="10" t="str">
        <f t="array" ref="AK4128">IFERROR(INDEX(SelectedSpecies,SMALL(IF(SelectedSpecies=AK$1,ROW(SelectedSpecies)),ROW(4129:4129)),2),"")</f>
        <v/>
      </c>
      <c r="BE4128" s="10"/>
      <c r="BI4128" s="10"/>
    </row>
    <row r="4129" spans="1:61" ht="21" customHeight="1" x14ac:dyDescent="0.25">
      <c r="A4129" s="10"/>
      <c r="B4129" s="10"/>
      <c r="E4129" s="10"/>
      <c r="G4129" s="10"/>
      <c r="I4129" s="436" t="s">
        <v>5501</v>
      </c>
      <c r="J4129" s="26" t="s">
        <v>5500</v>
      </c>
      <c r="K4129" s="10">
        <v>1.3</v>
      </c>
      <c r="L4129" s="73">
        <f>IF(Tank1!$C$23="No control",(SUMIF(Tank1!$B$32:$B$49,$J4129,Tank1!$C$32:$C$49)*Impacts!$F$8),0)</f>
        <v>0</v>
      </c>
      <c r="M4129" s="10">
        <f>IF(Tank2!$C$23="No control",(SUMIF(Tank2!$B$32:$B$49,$J4129,Tank2!$C$32:$C$49)*Impacts!$F$9),0)</f>
        <v>0</v>
      </c>
      <c r="N4129" s="10">
        <f>IF(Tank3!$C$23="No control",(SUMIF(Tank3!$B$32:$B$49,$J4129,Tank3!$C$32:$C$49)*Impacts!$F$10),0)</f>
        <v>0</v>
      </c>
      <c r="O4129" s="10">
        <f>IF(Tank4!$C$23="No control",(SUMIF(Tank4!$B$32:$B$49,$J4129,Tank4!$C$32:$C$49)*Impacts!$F$11),0)</f>
        <v>0</v>
      </c>
      <c r="P4129" s="10">
        <f>IF(Tank5!$C$23="No control",(SUMIF(Tank5!$B$32:$B$49,$J4129,Tank5!$C$32:$C$49)*Impacts!$F$12),0)</f>
        <v>0</v>
      </c>
      <c r="Q4129" s="10">
        <f>IFERROR(IF(('Loading-drum,tote'!$C$21)="No control",SUMIF(('Loading-drum,tote'!$B$31:$B$48),$J4129,('Loading-drum,tote'!$D$31:$D$48))*Impacts!$F$13,IF(('Loading-drum,tote'!$C$21)&lt;&gt;"No control",SUMIF(('Loading-drum,tote'!$B$31:$B$48),$J4129,('Loading-drum,tote'!$E$31:$E$48))*Impacts!$F$13,0)),0)</f>
        <v>0</v>
      </c>
      <c r="R4129" s="10">
        <f>IFERROR(IF(('Loading-truck'!$C$21)="No control",SUMIF(('Loading-truck'!$B$31:$B$48),$J4129,('Loading-truck'!$D$31:$D$48))*Impacts!$F$14,IF(('Loading-truck'!$C$21)&lt;&gt;"No control",SUMIF(('Loading-truck'!$B$31:$B$48),$J4129,('Loading-truck'!$E$31:$E$48))*Impacts!$F$14,0)),0)</f>
        <v>0</v>
      </c>
      <c r="S4129" s="10">
        <f>IFERROR(IF(('Loading-rail'!$C$21)="No control",SUMIF(('Loading-rail'!$B$31:$B$48),$J4129,('Loading-rail'!$D$31:$D$48))*Impacts!$F$15,IF(('Loading-rail'!$C$21)&lt;&gt;"No control",SUMIF(('Loading-rail'!$B$31:$B$48),$J4129,('Loading-rail'!$E$31:$E$48))*Impacts!$F$15,0)),0)</f>
        <v>0</v>
      </c>
      <c r="T4129" s="10">
        <f>IF(Flare!$C$7="",0,(SUMIF(Flare!$B$46:$B$185,$J4129,Flare!$E$46:$E$185)*Impacts!$F$16))</f>
        <v>0</v>
      </c>
      <c r="U4129" s="10">
        <f>IF(VCU!$C$9="",0,(SUMIF(VCU!$B$51:$B$193,$J4129,VCU!$E$51:$E$193)*Impacts!$F$17))</f>
        <v>0</v>
      </c>
      <c r="V4129" s="10">
        <f>IF(CAS!$C$7="",0,(SUMIF(CAS!$B$31:$B$167,$J4129,CAS!$E$31:$E$167)*Impacts!$F$18))</f>
        <v>0</v>
      </c>
      <c r="W4129" s="10">
        <f t="shared" si="105"/>
        <v>0</v>
      </c>
      <c r="AK4129" s="10" t="str">
        <f t="array" ref="AK4129">IFERROR(INDEX(SelectedSpecies,SMALL(IF(SelectedSpecies=AK$1,ROW(SelectedSpecies)),ROW(4130:4130)),2),"")</f>
        <v/>
      </c>
      <c r="BE4129" s="10"/>
      <c r="BI4129" s="10"/>
    </row>
    <row r="4130" spans="1:61" ht="21" customHeight="1" x14ac:dyDescent="0.25">
      <c r="A4130" s="10"/>
      <c r="B4130" s="10"/>
      <c r="E4130" s="10"/>
      <c r="G4130" s="10"/>
      <c r="I4130" s="436" t="s">
        <v>3453</v>
      </c>
      <c r="J4130" s="26" t="s">
        <v>3452</v>
      </c>
      <c r="K4130" s="10">
        <v>10</v>
      </c>
      <c r="L4130" s="73">
        <f>IF(Tank1!$C$23="No control",(SUMIF(Tank1!$B$32:$B$49,$J4130,Tank1!$C$32:$C$49)*Impacts!$F$8),0)</f>
        <v>0</v>
      </c>
      <c r="M4130" s="10">
        <f>IF(Tank2!$C$23="No control",(SUMIF(Tank2!$B$32:$B$49,$J4130,Tank2!$C$32:$C$49)*Impacts!$F$9),0)</f>
        <v>0</v>
      </c>
      <c r="N4130" s="10">
        <f>IF(Tank3!$C$23="No control",(SUMIF(Tank3!$B$32:$B$49,$J4130,Tank3!$C$32:$C$49)*Impacts!$F$10),0)</f>
        <v>0</v>
      </c>
      <c r="O4130" s="10">
        <f>IF(Tank4!$C$23="No control",(SUMIF(Tank4!$B$32:$B$49,$J4130,Tank4!$C$32:$C$49)*Impacts!$F$11),0)</f>
        <v>0</v>
      </c>
      <c r="P4130" s="10">
        <f>IF(Tank5!$C$23="No control",(SUMIF(Tank5!$B$32:$B$49,$J4130,Tank5!$C$32:$C$49)*Impacts!$F$12),0)</f>
        <v>0</v>
      </c>
      <c r="Q4130" s="10">
        <f>IFERROR(IF(('Loading-drum,tote'!$C$21)="No control",SUMIF(('Loading-drum,tote'!$B$31:$B$48),$J4130,('Loading-drum,tote'!$D$31:$D$48))*Impacts!$F$13,IF(('Loading-drum,tote'!$C$21)&lt;&gt;"No control",SUMIF(('Loading-drum,tote'!$B$31:$B$48),$J4130,('Loading-drum,tote'!$E$31:$E$48))*Impacts!$F$13,0)),0)</f>
        <v>0</v>
      </c>
      <c r="R4130" s="10">
        <f>IFERROR(IF(('Loading-truck'!$C$21)="No control",SUMIF(('Loading-truck'!$B$31:$B$48),$J4130,('Loading-truck'!$D$31:$D$48))*Impacts!$F$14,IF(('Loading-truck'!$C$21)&lt;&gt;"No control",SUMIF(('Loading-truck'!$B$31:$B$48),$J4130,('Loading-truck'!$E$31:$E$48))*Impacts!$F$14,0)),0)</f>
        <v>0</v>
      </c>
      <c r="S4130" s="10">
        <f>IFERROR(IF(('Loading-rail'!$C$21)="No control",SUMIF(('Loading-rail'!$B$31:$B$48),$J4130,('Loading-rail'!$D$31:$D$48))*Impacts!$F$15,IF(('Loading-rail'!$C$21)&lt;&gt;"No control",SUMIF(('Loading-rail'!$B$31:$B$48),$J4130,('Loading-rail'!$E$31:$E$48))*Impacts!$F$15,0)),0)</f>
        <v>0</v>
      </c>
      <c r="T4130" s="10">
        <f>IF(Flare!$C$7="",0,(SUMIF(Flare!$B$46:$B$185,$J4130,Flare!$E$46:$E$185)*Impacts!$F$16))</f>
        <v>0</v>
      </c>
      <c r="U4130" s="10">
        <f>IF(VCU!$C$9="",0,(SUMIF(VCU!$B$51:$B$193,$J4130,VCU!$E$51:$E$193)*Impacts!$F$17))</f>
        <v>0</v>
      </c>
      <c r="V4130" s="10">
        <f>IF(CAS!$C$7="",0,(SUMIF(CAS!$B$31:$B$167,$J4130,CAS!$E$31:$E$167)*Impacts!$F$18))</f>
        <v>0</v>
      </c>
      <c r="W4130" s="10">
        <f t="shared" si="105"/>
        <v>0</v>
      </c>
      <c r="AK4130" s="10" t="str">
        <f t="array" ref="AK4130">IFERROR(INDEX(SelectedSpecies,SMALL(IF(SelectedSpecies=AK$1,ROW(SelectedSpecies)),ROW(4131:4131)),2),"")</f>
        <v/>
      </c>
      <c r="BE4130" s="10"/>
      <c r="BI4130" s="10"/>
    </row>
    <row r="4131" spans="1:61" ht="21" customHeight="1" x14ac:dyDescent="0.25">
      <c r="A4131" s="10"/>
      <c r="B4131" s="10"/>
      <c r="E4131" s="10"/>
      <c r="G4131" s="10"/>
      <c r="I4131" s="436" t="s">
        <v>4325</v>
      </c>
      <c r="J4131" s="26" t="s">
        <v>4324</v>
      </c>
      <c r="K4131" s="10">
        <v>5</v>
      </c>
      <c r="L4131" s="73">
        <f>IF(Tank1!$C$23="No control",(SUMIF(Tank1!$B$32:$B$49,$J4131,Tank1!$C$32:$C$49)*Impacts!$F$8),0)</f>
        <v>0</v>
      </c>
      <c r="M4131" s="10">
        <f>IF(Tank2!$C$23="No control",(SUMIF(Tank2!$B$32:$B$49,$J4131,Tank2!$C$32:$C$49)*Impacts!$F$9),0)</f>
        <v>0</v>
      </c>
      <c r="N4131" s="10">
        <f>IF(Tank3!$C$23="No control",(SUMIF(Tank3!$B$32:$B$49,$J4131,Tank3!$C$32:$C$49)*Impacts!$F$10),0)</f>
        <v>0</v>
      </c>
      <c r="O4131" s="10">
        <f>IF(Tank4!$C$23="No control",(SUMIF(Tank4!$B$32:$B$49,$J4131,Tank4!$C$32:$C$49)*Impacts!$F$11),0)</f>
        <v>0</v>
      </c>
      <c r="P4131" s="10">
        <f>IF(Tank5!$C$23="No control",(SUMIF(Tank5!$B$32:$B$49,$J4131,Tank5!$C$32:$C$49)*Impacts!$F$12),0)</f>
        <v>0</v>
      </c>
      <c r="Q4131" s="10">
        <f>IFERROR(IF(('Loading-drum,tote'!$C$21)="No control",SUMIF(('Loading-drum,tote'!$B$31:$B$48),$J4131,('Loading-drum,tote'!$D$31:$D$48))*Impacts!$F$13,IF(('Loading-drum,tote'!$C$21)&lt;&gt;"No control",SUMIF(('Loading-drum,tote'!$B$31:$B$48),$J4131,('Loading-drum,tote'!$E$31:$E$48))*Impacts!$F$13,0)),0)</f>
        <v>0</v>
      </c>
      <c r="R4131" s="10">
        <f>IFERROR(IF(('Loading-truck'!$C$21)="No control",SUMIF(('Loading-truck'!$B$31:$B$48),$J4131,('Loading-truck'!$D$31:$D$48))*Impacts!$F$14,IF(('Loading-truck'!$C$21)&lt;&gt;"No control",SUMIF(('Loading-truck'!$B$31:$B$48),$J4131,('Loading-truck'!$E$31:$E$48))*Impacts!$F$14,0)),0)</f>
        <v>0</v>
      </c>
      <c r="S4131" s="10">
        <f>IFERROR(IF(('Loading-rail'!$C$21)="No control",SUMIF(('Loading-rail'!$B$31:$B$48),$J4131,('Loading-rail'!$D$31:$D$48))*Impacts!$F$15,IF(('Loading-rail'!$C$21)&lt;&gt;"No control",SUMIF(('Loading-rail'!$B$31:$B$48),$J4131,('Loading-rail'!$E$31:$E$48))*Impacts!$F$15,0)),0)</f>
        <v>0</v>
      </c>
      <c r="T4131" s="10">
        <f>IF(Flare!$C$7="",0,(SUMIF(Flare!$B$46:$B$185,$J4131,Flare!$E$46:$E$185)*Impacts!$F$16))</f>
        <v>0</v>
      </c>
      <c r="U4131" s="10">
        <f>IF(VCU!$C$9="",0,(SUMIF(VCU!$B$51:$B$193,$J4131,VCU!$E$51:$E$193)*Impacts!$F$17))</f>
        <v>0</v>
      </c>
      <c r="V4131" s="10">
        <f>IF(CAS!$C$7="",0,(SUMIF(CAS!$B$31:$B$167,$J4131,CAS!$E$31:$E$167)*Impacts!$F$18))</f>
        <v>0</v>
      </c>
      <c r="W4131" s="10">
        <f t="shared" si="105"/>
        <v>0</v>
      </c>
      <c r="AK4131" s="10" t="str">
        <f t="array" ref="AK4131">IFERROR(INDEX(SelectedSpecies,SMALL(IF(SelectedSpecies=AK$1,ROW(SelectedSpecies)),ROW(4132:4132)),2),"")</f>
        <v/>
      </c>
      <c r="BE4131" s="10"/>
      <c r="BI4131" s="10"/>
    </row>
    <row r="4132" spans="1:61" ht="21" customHeight="1" x14ac:dyDescent="0.25">
      <c r="A4132" s="10"/>
      <c r="B4132" s="10"/>
      <c r="E4132" s="10"/>
      <c r="G4132" s="10"/>
      <c r="I4132" s="436" t="s">
        <v>2373</v>
      </c>
      <c r="J4132" s="26" t="s">
        <v>2372</v>
      </c>
      <c r="K4132" s="10">
        <v>11</v>
      </c>
      <c r="L4132" s="73">
        <f>IF(Tank1!$C$23="No control",(SUMIF(Tank1!$B$32:$B$49,$J4132,Tank1!$C$32:$C$49)*Impacts!$F$8),0)</f>
        <v>0</v>
      </c>
      <c r="M4132" s="10">
        <f>IF(Tank2!$C$23="No control",(SUMIF(Tank2!$B$32:$B$49,$J4132,Tank2!$C$32:$C$49)*Impacts!$F$9),0)</f>
        <v>0</v>
      </c>
      <c r="N4132" s="10">
        <f>IF(Tank3!$C$23="No control",(SUMIF(Tank3!$B$32:$B$49,$J4132,Tank3!$C$32:$C$49)*Impacts!$F$10),0)</f>
        <v>0</v>
      </c>
      <c r="O4132" s="10">
        <f>IF(Tank4!$C$23="No control",(SUMIF(Tank4!$B$32:$B$49,$J4132,Tank4!$C$32:$C$49)*Impacts!$F$11),0)</f>
        <v>0</v>
      </c>
      <c r="P4132" s="10">
        <f>IF(Tank5!$C$23="No control",(SUMIF(Tank5!$B$32:$B$49,$J4132,Tank5!$C$32:$C$49)*Impacts!$F$12),0)</f>
        <v>0</v>
      </c>
      <c r="Q4132" s="10">
        <f>IFERROR(IF(('Loading-drum,tote'!$C$21)="No control",SUMIF(('Loading-drum,tote'!$B$31:$B$48),$J4132,('Loading-drum,tote'!$D$31:$D$48))*Impacts!$F$13,IF(('Loading-drum,tote'!$C$21)&lt;&gt;"No control",SUMIF(('Loading-drum,tote'!$B$31:$B$48),$J4132,('Loading-drum,tote'!$E$31:$E$48))*Impacts!$F$13,0)),0)</f>
        <v>0</v>
      </c>
      <c r="R4132" s="10">
        <f>IFERROR(IF(('Loading-truck'!$C$21)="No control",SUMIF(('Loading-truck'!$B$31:$B$48),$J4132,('Loading-truck'!$D$31:$D$48))*Impacts!$F$14,IF(('Loading-truck'!$C$21)&lt;&gt;"No control",SUMIF(('Loading-truck'!$B$31:$B$48),$J4132,('Loading-truck'!$E$31:$E$48))*Impacts!$F$14,0)),0)</f>
        <v>0</v>
      </c>
      <c r="S4132" s="10">
        <f>IFERROR(IF(('Loading-rail'!$C$21)="No control",SUMIF(('Loading-rail'!$B$31:$B$48),$J4132,('Loading-rail'!$D$31:$D$48))*Impacts!$F$15,IF(('Loading-rail'!$C$21)&lt;&gt;"No control",SUMIF(('Loading-rail'!$B$31:$B$48),$J4132,('Loading-rail'!$E$31:$E$48))*Impacts!$F$15,0)),0)</f>
        <v>0</v>
      </c>
      <c r="T4132" s="10">
        <f>IF(Flare!$C$7="",0,(SUMIF(Flare!$B$46:$B$185,$J4132,Flare!$E$46:$E$185)*Impacts!$F$16))</f>
        <v>0</v>
      </c>
      <c r="U4132" s="10">
        <f>IF(VCU!$C$9="",0,(SUMIF(VCU!$B$51:$B$193,$J4132,VCU!$E$51:$E$193)*Impacts!$F$17))</f>
        <v>0</v>
      </c>
      <c r="V4132" s="10">
        <f>IF(CAS!$C$7="",0,(SUMIF(CAS!$B$31:$B$167,$J4132,CAS!$E$31:$E$167)*Impacts!$F$18))</f>
        <v>0</v>
      </c>
      <c r="W4132" s="10">
        <f t="shared" si="105"/>
        <v>0</v>
      </c>
      <c r="AK4132" s="10" t="str">
        <f t="array" ref="AK4132">IFERROR(INDEX(SelectedSpecies,SMALL(IF(SelectedSpecies=AK$1,ROW(SelectedSpecies)),ROW(4133:4133)),2),"")</f>
        <v/>
      </c>
      <c r="BE4132" s="10"/>
      <c r="BI4132" s="10"/>
    </row>
    <row r="4133" spans="1:61" ht="21" customHeight="1" x14ac:dyDescent="0.25">
      <c r="A4133" s="10"/>
      <c r="B4133" s="10"/>
      <c r="E4133" s="10"/>
      <c r="G4133" s="10"/>
      <c r="I4133" s="436" t="s">
        <v>8018</v>
      </c>
      <c r="J4133" s="26" t="s">
        <v>8017</v>
      </c>
      <c r="K4133" s="10">
        <v>2.5000000000000001E-2</v>
      </c>
      <c r="L4133" s="73">
        <f>IF(Tank1!$C$23="No control",(SUMIF(Tank1!$B$32:$B$49,$J4133,Tank1!$C$32:$C$49)*Impacts!$F$8),0)</f>
        <v>0</v>
      </c>
      <c r="M4133" s="10">
        <f>IF(Tank2!$C$23="No control",(SUMIF(Tank2!$B$32:$B$49,$J4133,Tank2!$C$32:$C$49)*Impacts!$F$9),0)</f>
        <v>0</v>
      </c>
      <c r="N4133" s="10">
        <f>IF(Tank3!$C$23="No control",(SUMIF(Tank3!$B$32:$B$49,$J4133,Tank3!$C$32:$C$49)*Impacts!$F$10),0)</f>
        <v>0</v>
      </c>
      <c r="O4133" s="10">
        <f>IF(Tank4!$C$23="No control",(SUMIF(Tank4!$B$32:$B$49,$J4133,Tank4!$C$32:$C$49)*Impacts!$F$11),0)</f>
        <v>0</v>
      </c>
      <c r="P4133" s="10">
        <f>IF(Tank5!$C$23="No control",(SUMIF(Tank5!$B$32:$B$49,$J4133,Tank5!$C$32:$C$49)*Impacts!$F$12),0)</f>
        <v>0</v>
      </c>
      <c r="Q4133" s="10">
        <f>IFERROR(IF(('Loading-drum,tote'!$C$21)="No control",SUMIF(('Loading-drum,tote'!$B$31:$B$48),$J4133,('Loading-drum,tote'!$D$31:$D$48))*Impacts!$F$13,IF(('Loading-drum,tote'!$C$21)&lt;&gt;"No control",SUMIF(('Loading-drum,tote'!$B$31:$B$48),$J4133,('Loading-drum,tote'!$E$31:$E$48))*Impacts!$F$13,0)),0)</f>
        <v>0</v>
      </c>
      <c r="R4133" s="10">
        <f>IFERROR(IF(('Loading-truck'!$C$21)="No control",SUMIF(('Loading-truck'!$B$31:$B$48),$J4133,('Loading-truck'!$D$31:$D$48))*Impacts!$F$14,IF(('Loading-truck'!$C$21)&lt;&gt;"No control",SUMIF(('Loading-truck'!$B$31:$B$48),$J4133,('Loading-truck'!$E$31:$E$48))*Impacts!$F$14,0)),0)</f>
        <v>0</v>
      </c>
      <c r="S4133" s="10">
        <f>IFERROR(IF(('Loading-rail'!$C$21)="No control",SUMIF(('Loading-rail'!$B$31:$B$48),$J4133,('Loading-rail'!$D$31:$D$48))*Impacts!$F$15,IF(('Loading-rail'!$C$21)&lt;&gt;"No control",SUMIF(('Loading-rail'!$B$31:$B$48),$J4133,('Loading-rail'!$E$31:$E$48))*Impacts!$F$15,0)),0)</f>
        <v>0</v>
      </c>
      <c r="T4133" s="10">
        <f>IF(Flare!$C$7="",0,(SUMIF(Flare!$B$46:$B$185,$J4133,Flare!$E$46:$E$185)*Impacts!$F$16))</f>
        <v>0</v>
      </c>
      <c r="U4133" s="10">
        <f>IF(VCU!$C$9="",0,(SUMIF(VCU!$B$51:$B$193,$J4133,VCU!$E$51:$E$193)*Impacts!$F$17))</f>
        <v>0</v>
      </c>
      <c r="V4133" s="10">
        <f>IF(CAS!$C$7="",0,(SUMIF(CAS!$B$31:$B$167,$J4133,CAS!$E$31:$E$167)*Impacts!$F$18))</f>
        <v>0</v>
      </c>
      <c r="W4133" s="10">
        <f t="shared" si="105"/>
        <v>0</v>
      </c>
      <c r="AK4133" s="10" t="str">
        <f t="array" ref="AK4133">IFERROR(INDEX(SelectedSpecies,SMALL(IF(SelectedSpecies=AK$1,ROW(SelectedSpecies)),ROW(4134:4134)),2),"")</f>
        <v/>
      </c>
      <c r="BE4133" s="10"/>
      <c r="BI4133" s="10"/>
    </row>
    <row r="4134" spans="1:61" ht="21" customHeight="1" x14ac:dyDescent="0.25">
      <c r="A4134" s="10"/>
      <c r="B4134" s="10"/>
      <c r="E4134" s="10"/>
      <c r="G4134" s="10"/>
      <c r="I4134" s="436" t="s">
        <v>2375</v>
      </c>
      <c r="J4134" s="26" t="s">
        <v>2374</v>
      </c>
      <c r="K4134" s="10">
        <v>11</v>
      </c>
      <c r="L4134" s="73">
        <f>IF(Tank1!$C$23="No control",(SUMIF(Tank1!$B$32:$B$49,$J4134,Tank1!$C$32:$C$49)*Impacts!$F$8),0)</f>
        <v>0</v>
      </c>
      <c r="M4134" s="10">
        <f>IF(Tank2!$C$23="No control",(SUMIF(Tank2!$B$32:$B$49,$J4134,Tank2!$C$32:$C$49)*Impacts!$F$9),0)</f>
        <v>0</v>
      </c>
      <c r="N4134" s="10">
        <f>IF(Tank3!$C$23="No control",(SUMIF(Tank3!$B$32:$B$49,$J4134,Tank3!$C$32:$C$49)*Impacts!$F$10),0)</f>
        <v>0</v>
      </c>
      <c r="O4134" s="10">
        <f>IF(Tank4!$C$23="No control",(SUMIF(Tank4!$B$32:$B$49,$J4134,Tank4!$C$32:$C$49)*Impacts!$F$11),0)</f>
        <v>0</v>
      </c>
      <c r="P4134" s="10">
        <f>IF(Tank5!$C$23="No control",(SUMIF(Tank5!$B$32:$B$49,$J4134,Tank5!$C$32:$C$49)*Impacts!$F$12),0)</f>
        <v>0</v>
      </c>
      <c r="Q4134" s="10">
        <f>IFERROR(IF(('Loading-drum,tote'!$C$21)="No control",SUMIF(('Loading-drum,tote'!$B$31:$B$48),$J4134,('Loading-drum,tote'!$D$31:$D$48))*Impacts!$F$13,IF(('Loading-drum,tote'!$C$21)&lt;&gt;"No control",SUMIF(('Loading-drum,tote'!$B$31:$B$48),$J4134,('Loading-drum,tote'!$E$31:$E$48))*Impacts!$F$13,0)),0)</f>
        <v>0</v>
      </c>
      <c r="R4134" s="10">
        <f>IFERROR(IF(('Loading-truck'!$C$21)="No control",SUMIF(('Loading-truck'!$B$31:$B$48),$J4134,('Loading-truck'!$D$31:$D$48))*Impacts!$F$14,IF(('Loading-truck'!$C$21)&lt;&gt;"No control",SUMIF(('Loading-truck'!$B$31:$B$48),$J4134,('Loading-truck'!$E$31:$E$48))*Impacts!$F$14,0)),0)</f>
        <v>0</v>
      </c>
      <c r="S4134" s="10">
        <f>IFERROR(IF(('Loading-rail'!$C$21)="No control",SUMIF(('Loading-rail'!$B$31:$B$48),$J4134,('Loading-rail'!$D$31:$D$48))*Impacts!$F$15,IF(('Loading-rail'!$C$21)&lt;&gt;"No control",SUMIF(('Loading-rail'!$B$31:$B$48),$J4134,('Loading-rail'!$E$31:$E$48))*Impacts!$F$15,0)),0)</f>
        <v>0</v>
      </c>
      <c r="T4134" s="10">
        <f>IF(Flare!$C$7="",0,(SUMIF(Flare!$B$46:$B$185,$J4134,Flare!$E$46:$E$185)*Impacts!$F$16))</f>
        <v>0</v>
      </c>
      <c r="U4134" s="10">
        <f>IF(VCU!$C$9="",0,(SUMIF(VCU!$B$51:$B$193,$J4134,VCU!$E$51:$E$193)*Impacts!$F$17))</f>
        <v>0</v>
      </c>
      <c r="V4134" s="10">
        <f>IF(CAS!$C$7="",0,(SUMIF(CAS!$B$31:$B$167,$J4134,CAS!$E$31:$E$167)*Impacts!$F$18))</f>
        <v>0</v>
      </c>
      <c r="W4134" s="10">
        <f t="shared" si="105"/>
        <v>0</v>
      </c>
      <c r="AK4134" s="10" t="str">
        <f t="array" ref="AK4134">IFERROR(INDEX(SelectedSpecies,SMALL(IF(SelectedSpecies=AK$1,ROW(SelectedSpecies)),ROW(4135:4135)),2),"")</f>
        <v/>
      </c>
      <c r="BE4134" s="10"/>
      <c r="BI4134" s="10"/>
    </row>
    <row r="4135" spans="1:61" ht="21" customHeight="1" x14ac:dyDescent="0.25">
      <c r="A4135" s="10"/>
      <c r="B4135" s="10"/>
      <c r="E4135" s="10"/>
      <c r="G4135" s="10"/>
      <c r="I4135" s="436" t="s">
        <v>7964</v>
      </c>
      <c r="J4135" s="26" t="s">
        <v>7963</v>
      </c>
      <c r="K4135" s="10">
        <v>4.2000000000000003E-2</v>
      </c>
      <c r="L4135" s="73">
        <f>IF(Tank1!$C$23="No control",(SUMIF(Tank1!$B$32:$B$49,$J4135,Tank1!$C$32:$C$49)*Impacts!$F$8),0)</f>
        <v>0</v>
      </c>
      <c r="M4135" s="10">
        <f>IF(Tank2!$C$23="No control",(SUMIF(Tank2!$B$32:$B$49,$J4135,Tank2!$C$32:$C$49)*Impacts!$F$9),0)</f>
        <v>0</v>
      </c>
      <c r="N4135" s="10">
        <f>IF(Tank3!$C$23="No control",(SUMIF(Tank3!$B$32:$B$49,$J4135,Tank3!$C$32:$C$49)*Impacts!$F$10),0)</f>
        <v>0</v>
      </c>
      <c r="O4135" s="10">
        <f>IF(Tank4!$C$23="No control",(SUMIF(Tank4!$B$32:$B$49,$J4135,Tank4!$C$32:$C$49)*Impacts!$F$11),0)</f>
        <v>0</v>
      </c>
      <c r="P4135" s="10">
        <f>IF(Tank5!$C$23="No control",(SUMIF(Tank5!$B$32:$B$49,$J4135,Tank5!$C$32:$C$49)*Impacts!$F$12),0)</f>
        <v>0</v>
      </c>
      <c r="Q4135" s="10">
        <f>IFERROR(IF(('Loading-drum,tote'!$C$21)="No control",SUMIF(('Loading-drum,tote'!$B$31:$B$48),$J4135,('Loading-drum,tote'!$D$31:$D$48))*Impacts!$F$13,IF(('Loading-drum,tote'!$C$21)&lt;&gt;"No control",SUMIF(('Loading-drum,tote'!$B$31:$B$48),$J4135,('Loading-drum,tote'!$E$31:$E$48))*Impacts!$F$13,0)),0)</f>
        <v>0</v>
      </c>
      <c r="R4135" s="10">
        <f>IFERROR(IF(('Loading-truck'!$C$21)="No control",SUMIF(('Loading-truck'!$B$31:$B$48),$J4135,('Loading-truck'!$D$31:$D$48))*Impacts!$F$14,IF(('Loading-truck'!$C$21)&lt;&gt;"No control",SUMIF(('Loading-truck'!$B$31:$B$48),$J4135,('Loading-truck'!$E$31:$E$48))*Impacts!$F$14,0)),0)</f>
        <v>0</v>
      </c>
      <c r="S4135" s="10">
        <f>IFERROR(IF(('Loading-rail'!$C$21)="No control",SUMIF(('Loading-rail'!$B$31:$B$48),$J4135,('Loading-rail'!$D$31:$D$48))*Impacts!$F$15,IF(('Loading-rail'!$C$21)&lt;&gt;"No control",SUMIF(('Loading-rail'!$B$31:$B$48),$J4135,('Loading-rail'!$E$31:$E$48))*Impacts!$F$15,0)),0)</f>
        <v>0</v>
      </c>
      <c r="T4135" s="10">
        <f>IF(Flare!$C$7="",0,(SUMIF(Flare!$B$46:$B$185,$J4135,Flare!$E$46:$E$185)*Impacts!$F$16))</f>
        <v>0</v>
      </c>
      <c r="U4135" s="10">
        <f>IF(VCU!$C$9="",0,(SUMIF(VCU!$B$51:$B$193,$J4135,VCU!$E$51:$E$193)*Impacts!$F$17))</f>
        <v>0</v>
      </c>
      <c r="V4135" s="10">
        <f>IF(CAS!$C$7="",0,(SUMIF(CAS!$B$31:$B$167,$J4135,CAS!$E$31:$E$167)*Impacts!$F$18))</f>
        <v>0</v>
      </c>
      <c r="W4135" s="10">
        <f t="shared" si="105"/>
        <v>0</v>
      </c>
      <c r="AK4135" s="10" t="str">
        <f t="array" ref="AK4135">IFERROR(INDEX(SelectedSpecies,SMALL(IF(SelectedSpecies=AK$1,ROW(SelectedSpecies)),ROW(4136:4136)),2),"")</f>
        <v/>
      </c>
      <c r="BE4135" s="10"/>
      <c r="BI4135" s="10"/>
    </row>
    <row r="4136" spans="1:61" ht="21" customHeight="1" x14ac:dyDescent="0.25">
      <c r="A4136" s="10"/>
      <c r="B4136" s="10"/>
      <c r="E4136" s="10"/>
      <c r="G4136" s="10"/>
      <c r="I4136" s="436" t="s">
        <v>2341</v>
      </c>
      <c r="J4136" s="26" t="s">
        <v>2340</v>
      </c>
      <c r="K4136" s="10">
        <v>11.200000000000001</v>
      </c>
      <c r="L4136" s="73">
        <f>IF(Tank1!$C$23="No control",(SUMIF(Tank1!$B$32:$B$49,$J4136,Tank1!$C$32:$C$49)*Impacts!$F$8),0)</f>
        <v>0</v>
      </c>
      <c r="M4136" s="10">
        <f>IF(Tank2!$C$23="No control",(SUMIF(Tank2!$B$32:$B$49,$J4136,Tank2!$C$32:$C$49)*Impacts!$F$9),0)</f>
        <v>0</v>
      </c>
      <c r="N4136" s="10">
        <f>IF(Tank3!$C$23="No control",(SUMIF(Tank3!$B$32:$B$49,$J4136,Tank3!$C$32:$C$49)*Impacts!$F$10),0)</f>
        <v>0</v>
      </c>
      <c r="O4136" s="10">
        <f>IF(Tank4!$C$23="No control",(SUMIF(Tank4!$B$32:$B$49,$J4136,Tank4!$C$32:$C$49)*Impacts!$F$11),0)</f>
        <v>0</v>
      </c>
      <c r="P4136" s="10">
        <f>IF(Tank5!$C$23="No control",(SUMIF(Tank5!$B$32:$B$49,$J4136,Tank5!$C$32:$C$49)*Impacts!$F$12),0)</f>
        <v>0</v>
      </c>
      <c r="Q4136" s="10">
        <f>IFERROR(IF(('Loading-drum,tote'!$C$21)="No control",SUMIF(('Loading-drum,tote'!$B$31:$B$48),$J4136,('Loading-drum,tote'!$D$31:$D$48))*Impacts!$F$13,IF(('Loading-drum,tote'!$C$21)&lt;&gt;"No control",SUMIF(('Loading-drum,tote'!$B$31:$B$48),$J4136,('Loading-drum,tote'!$E$31:$E$48))*Impacts!$F$13,0)),0)</f>
        <v>0</v>
      </c>
      <c r="R4136" s="10">
        <f>IFERROR(IF(('Loading-truck'!$C$21)="No control",SUMIF(('Loading-truck'!$B$31:$B$48),$J4136,('Loading-truck'!$D$31:$D$48))*Impacts!$F$14,IF(('Loading-truck'!$C$21)&lt;&gt;"No control",SUMIF(('Loading-truck'!$B$31:$B$48),$J4136,('Loading-truck'!$E$31:$E$48))*Impacts!$F$14,0)),0)</f>
        <v>0</v>
      </c>
      <c r="S4136" s="10">
        <f>IFERROR(IF(('Loading-rail'!$C$21)="No control",SUMIF(('Loading-rail'!$B$31:$B$48),$J4136,('Loading-rail'!$D$31:$D$48))*Impacts!$F$15,IF(('Loading-rail'!$C$21)&lt;&gt;"No control",SUMIF(('Loading-rail'!$B$31:$B$48),$J4136,('Loading-rail'!$E$31:$E$48))*Impacts!$F$15,0)),0)</f>
        <v>0</v>
      </c>
      <c r="T4136" s="10">
        <f>IF(Flare!$C$7="",0,(SUMIF(Flare!$B$46:$B$185,$J4136,Flare!$E$46:$E$185)*Impacts!$F$16))</f>
        <v>0</v>
      </c>
      <c r="U4136" s="10">
        <f>IF(VCU!$C$9="",0,(SUMIF(VCU!$B$51:$B$193,$J4136,VCU!$E$51:$E$193)*Impacts!$F$17))</f>
        <v>0</v>
      </c>
      <c r="V4136" s="10">
        <f>IF(CAS!$C$7="",0,(SUMIF(CAS!$B$31:$B$167,$J4136,CAS!$E$31:$E$167)*Impacts!$F$18))</f>
        <v>0</v>
      </c>
      <c r="W4136" s="10">
        <f t="shared" si="105"/>
        <v>0</v>
      </c>
      <c r="AK4136" s="10" t="str">
        <f t="array" ref="AK4136">IFERROR(INDEX(SelectedSpecies,SMALL(IF(SelectedSpecies=AK$1,ROW(SelectedSpecies)),ROW(4137:4137)),2),"")</f>
        <v/>
      </c>
      <c r="BE4136" s="10"/>
      <c r="BI4136" s="10"/>
    </row>
    <row r="4137" spans="1:61" ht="21" customHeight="1" x14ac:dyDescent="0.25">
      <c r="A4137" s="10"/>
      <c r="B4137" s="10"/>
      <c r="E4137" s="10"/>
      <c r="G4137" s="10"/>
      <c r="I4137" s="436" t="s">
        <v>2343</v>
      </c>
      <c r="J4137" s="26" t="s">
        <v>2342</v>
      </c>
      <c r="K4137" s="10">
        <v>11.200000000000001</v>
      </c>
      <c r="L4137" s="73">
        <f>IF(Tank1!$C$23="No control",(SUMIF(Tank1!$B$32:$B$49,$J4137,Tank1!$C$32:$C$49)*Impacts!$F$8),0)</f>
        <v>0</v>
      </c>
      <c r="M4137" s="10">
        <f>IF(Tank2!$C$23="No control",(SUMIF(Tank2!$B$32:$B$49,$J4137,Tank2!$C$32:$C$49)*Impacts!$F$9),0)</f>
        <v>0</v>
      </c>
      <c r="N4137" s="10">
        <f>IF(Tank3!$C$23="No control",(SUMIF(Tank3!$B$32:$B$49,$J4137,Tank3!$C$32:$C$49)*Impacts!$F$10),0)</f>
        <v>0</v>
      </c>
      <c r="O4137" s="10">
        <f>IF(Tank4!$C$23="No control",(SUMIF(Tank4!$B$32:$B$49,$J4137,Tank4!$C$32:$C$49)*Impacts!$F$11),0)</f>
        <v>0</v>
      </c>
      <c r="P4137" s="10">
        <f>IF(Tank5!$C$23="No control",(SUMIF(Tank5!$B$32:$B$49,$J4137,Tank5!$C$32:$C$49)*Impacts!$F$12),0)</f>
        <v>0</v>
      </c>
      <c r="Q4137" s="10">
        <f>IFERROR(IF(('Loading-drum,tote'!$C$21)="No control",SUMIF(('Loading-drum,tote'!$B$31:$B$48),$J4137,('Loading-drum,tote'!$D$31:$D$48))*Impacts!$F$13,IF(('Loading-drum,tote'!$C$21)&lt;&gt;"No control",SUMIF(('Loading-drum,tote'!$B$31:$B$48),$J4137,('Loading-drum,tote'!$E$31:$E$48))*Impacts!$F$13,0)),0)</f>
        <v>0</v>
      </c>
      <c r="R4137" s="10">
        <f>IFERROR(IF(('Loading-truck'!$C$21)="No control",SUMIF(('Loading-truck'!$B$31:$B$48),$J4137,('Loading-truck'!$D$31:$D$48))*Impacts!$F$14,IF(('Loading-truck'!$C$21)&lt;&gt;"No control",SUMIF(('Loading-truck'!$B$31:$B$48),$J4137,('Loading-truck'!$E$31:$E$48))*Impacts!$F$14,0)),0)</f>
        <v>0</v>
      </c>
      <c r="S4137" s="10">
        <f>IFERROR(IF(('Loading-rail'!$C$21)="No control",SUMIF(('Loading-rail'!$B$31:$B$48),$J4137,('Loading-rail'!$D$31:$D$48))*Impacts!$F$15,IF(('Loading-rail'!$C$21)&lt;&gt;"No control",SUMIF(('Loading-rail'!$B$31:$B$48),$J4137,('Loading-rail'!$E$31:$E$48))*Impacts!$F$15,0)),0)</f>
        <v>0</v>
      </c>
      <c r="T4137" s="10">
        <f>IF(Flare!$C$7="",0,(SUMIF(Flare!$B$46:$B$185,$J4137,Flare!$E$46:$E$185)*Impacts!$F$16))</f>
        <v>0</v>
      </c>
      <c r="U4137" s="10">
        <f>IF(VCU!$C$9="",0,(SUMIF(VCU!$B$51:$B$193,$J4137,VCU!$E$51:$E$193)*Impacts!$F$17))</f>
        <v>0</v>
      </c>
      <c r="V4137" s="10">
        <f>IF(CAS!$C$7="",0,(SUMIF(CAS!$B$31:$B$167,$J4137,CAS!$E$31:$E$167)*Impacts!$F$18))</f>
        <v>0</v>
      </c>
      <c r="W4137" s="10">
        <f t="shared" si="105"/>
        <v>0</v>
      </c>
      <c r="AK4137" s="10" t="str">
        <f t="array" ref="AK4137">IFERROR(INDEX(SelectedSpecies,SMALL(IF(SelectedSpecies=AK$1,ROW(SelectedSpecies)),ROW(4138:4138)),2),"")</f>
        <v/>
      </c>
      <c r="BE4137" s="10"/>
      <c r="BI4137" s="10"/>
    </row>
    <row r="4138" spans="1:61" ht="21" customHeight="1" x14ac:dyDescent="0.25">
      <c r="A4138" s="10"/>
      <c r="B4138" s="10"/>
      <c r="E4138" s="10"/>
      <c r="G4138" s="10"/>
      <c r="I4138" s="436" t="s">
        <v>2345</v>
      </c>
      <c r="J4138" s="26" t="s">
        <v>2344</v>
      </c>
      <c r="K4138" s="10">
        <v>11.200000000000001</v>
      </c>
      <c r="L4138" s="73">
        <f>IF(Tank1!$C$23="No control",(SUMIF(Tank1!$B$32:$B$49,$J4138,Tank1!$C$32:$C$49)*Impacts!$F$8),0)</f>
        <v>0</v>
      </c>
      <c r="M4138" s="10">
        <f>IF(Tank2!$C$23="No control",(SUMIF(Tank2!$B$32:$B$49,$J4138,Tank2!$C$32:$C$49)*Impacts!$F$9),0)</f>
        <v>0</v>
      </c>
      <c r="N4138" s="10">
        <f>IF(Tank3!$C$23="No control",(SUMIF(Tank3!$B$32:$B$49,$J4138,Tank3!$C$32:$C$49)*Impacts!$F$10),0)</f>
        <v>0</v>
      </c>
      <c r="O4138" s="10">
        <f>IF(Tank4!$C$23="No control",(SUMIF(Tank4!$B$32:$B$49,$J4138,Tank4!$C$32:$C$49)*Impacts!$F$11),0)</f>
        <v>0</v>
      </c>
      <c r="P4138" s="10">
        <f>IF(Tank5!$C$23="No control",(SUMIF(Tank5!$B$32:$B$49,$J4138,Tank5!$C$32:$C$49)*Impacts!$F$12),0)</f>
        <v>0</v>
      </c>
      <c r="Q4138" s="10">
        <f>IFERROR(IF(('Loading-drum,tote'!$C$21)="No control",SUMIF(('Loading-drum,tote'!$B$31:$B$48),$J4138,('Loading-drum,tote'!$D$31:$D$48))*Impacts!$F$13,IF(('Loading-drum,tote'!$C$21)&lt;&gt;"No control",SUMIF(('Loading-drum,tote'!$B$31:$B$48),$J4138,('Loading-drum,tote'!$E$31:$E$48))*Impacts!$F$13,0)),0)</f>
        <v>0</v>
      </c>
      <c r="R4138" s="10">
        <f>IFERROR(IF(('Loading-truck'!$C$21)="No control",SUMIF(('Loading-truck'!$B$31:$B$48),$J4138,('Loading-truck'!$D$31:$D$48))*Impacts!$F$14,IF(('Loading-truck'!$C$21)&lt;&gt;"No control",SUMIF(('Loading-truck'!$B$31:$B$48),$J4138,('Loading-truck'!$E$31:$E$48))*Impacts!$F$14,0)),0)</f>
        <v>0</v>
      </c>
      <c r="S4138" s="10">
        <f>IFERROR(IF(('Loading-rail'!$C$21)="No control",SUMIF(('Loading-rail'!$B$31:$B$48),$J4138,('Loading-rail'!$D$31:$D$48))*Impacts!$F$15,IF(('Loading-rail'!$C$21)&lt;&gt;"No control",SUMIF(('Loading-rail'!$B$31:$B$48),$J4138,('Loading-rail'!$E$31:$E$48))*Impacts!$F$15,0)),0)</f>
        <v>0</v>
      </c>
      <c r="T4138" s="10">
        <f>IF(Flare!$C$7="",0,(SUMIF(Flare!$B$46:$B$185,$J4138,Flare!$E$46:$E$185)*Impacts!$F$16))</f>
        <v>0</v>
      </c>
      <c r="U4138" s="10">
        <f>IF(VCU!$C$9="",0,(SUMIF(VCU!$B$51:$B$193,$J4138,VCU!$E$51:$E$193)*Impacts!$F$17))</f>
        <v>0</v>
      </c>
      <c r="V4138" s="10">
        <f>IF(CAS!$C$7="",0,(SUMIF(CAS!$B$31:$B$167,$J4138,CAS!$E$31:$E$167)*Impacts!$F$18))</f>
        <v>0</v>
      </c>
      <c r="W4138" s="10">
        <f t="shared" si="105"/>
        <v>0</v>
      </c>
      <c r="AK4138" s="10" t="str">
        <f t="array" ref="AK4138">IFERROR(INDEX(SelectedSpecies,SMALL(IF(SelectedSpecies=AK$1,ROW(SelectedSpecies)),ROW(4139:4139)),2),"")</f>
        <v/>
      </c>
      <c r="BE4138" s="10"/>
      <c r="BI4138" s="10"/>
    </row>
    <row r="4139" spans="1:61" ht="21" customHeight="1" x14ac:dyDescent="0.25">
      <c r="A4139" s="10"/>
      <c r="B4139" s="10"/>
      <c r="E4139" s="10"/>
      <c r="G4139" s="10"/>
      <c r="I4139" s="436" t="s">
        <v>1516</v>
      </c>
      <c r="J4139" s="26" t="s">
        <v>1515</v>
      </c>
      <c r="K4139" s="10">
        <v>27.5</v>
      </c>
      <c r="L4139" s="73">
        <f>IF(Tank1!$C$23="No control",(SUMIF(Tank1!$B$32:$B$49,$J4139,Tank1!$C$32:$C$49)*Impacts!$F$8),0)</f>
        <v>0</v>
      </c>
      <c r="M4139" s="10">
        <f>IF(Tank2!$C$23="No control",(SUMIF(Tank2!$B$32:$B$49,$J4139,Tank2!$C$32:$C$49)*Impacts!$F$9),0)</f>
        <v>0</v>
      </c>
      <c r="N4139" s="10">
        <f>IF(Tank3!$C$23="No control",(SUMIF(Tank3!$B$32:$B$49,$J4139,Tank3!$C$32:$C$49)*Impacts!$F$10),0)</f>
        <v>0</v>
      </c>
      <c r="O4139" s="10">
        <f>IF(Tank4!$C$23="No control",(SUMIF(Tank4!$B$32:$B$49,$J4139,Tank4!$C$32:$C$49)*Impacts!$F$11),0)</f>
        <v>0</v>
      </c>
      <c r="P4139" s="10">
        <f>IF(Tank5!$C$23="No control",(SUMIF(Tank5!$B$32:$B$49,$J4139,Tank5!$C$32:$C$49)*Impacts!$F$12),0)</f>
        <v>0</v>
      </c>
      <c r="Q4139" s="10">
        <f>IFERROR(IF(('Loading-drum,tote'!$C$21)="No control",SUMIF(('Loading-drum,tote'!$B$31:$B$48),$J4139,('Loading-drum,tote'!$D$31:$D$48))*Impacts!$F$13,IF(('Loading-drum,tote'!$C$21)&lt;&gt;"No control",SUMIF(('Loading-drum,tote'!$B$31:$B$48),$J4139,('Loading-drum,tote'!$E$31:$E$48))*Impacts!$F$13,0)),0)</f>
        <v>0</v>
      </c>
      <c r="R4139" s="10">
        <f>IFERROR(IF(('Loading-truck'!$C$21)="No control",SUMIF(('Loading-truck'!$B$31:$B$48),$J4139,('Loading-truck'!$D$31:$D$48))*Impacts!$F$14,IF(('Loading-truck'!$C$21)&lt;&gt;"No control",SUMIF(('Loading-truck'!$B$31:$B$48),$J4139,('Loading-truck'!$E$31:$E$48))*Impacts!$F$14,0)),0)</f>
        <v>0</v>
      </c>
      <c r="S4139" s="10">
        <f>IFERROR(IF(('Loading-rail'!$C$21)="No control",SUMIF(('Loading-rail'!$B$31:$B$48),$J4139,('Loading-rail'!$D$31:$D$48))*Impacts!$F$15,IF(('Loading-rail'!$C$21)&lt;&gt;"No control",SUMIF(('Loading-rail'!$B$31:$B$48),$J4139,('Loading-rail'!$E$31:$E$48))*Impacts!$F$15,0)),0)</f>
        <v>0</v>
      </c>
      <c r="T4139" s="10">
        <f>IF(Flare!$C$7="",0,(SUMIF(Flare!$B$46:$B$185,$J4139,Flare!$E$46:$E$185)*Impacts!$F$16))</f>
        <v>0</v>
      </c>
      <c r="U4139" s="10">
        <f>IF(VCU!$C$9="",0,(SUMIF(VCU!$B$51:$B$193,$J4139,VCU!$E$51:$E$193)*Impacts!$F$17))</f>
        <v>0</v>
      </c>
      <c r="V4139" s="10">
        <f>IF(CAS!$C$7="",0,(SUMIF(CAS!$B$31:$B$167,$J4139,CAS!$E$31:$E$167)*Impacts!$F$18))</f>
        <v>0</v>
      </c>
      <c r="W4139" s="10">
        <f t="shared" si="105"/>
        <v>0</v>
      </c>
      <c r="AK4139" s="10" t="str">
        <f t="array" ref="AK4139">IFERROR(INDEX(SelectedSpecies,SMALL(IF(SelectedSpecies=AK$1,ROW(SelectedSpecies)),ROW(4140:4140)),2),"")</f>
        <v/>
      </c>
      <c r="BE4139" s="10"/>
      <c r="BI4139" s="10"/>
    </row>
    <row r="4140" spans="1:61" ht="21" customHeight="1" x14ac:dyDescent="0.25">
      <c r="A4140" s="10"/>
      <c r="B4140" s="10"/>
      <c r="E4140" s="10"/>
      <c r="G4140" s="10"/>
      <c r="I4140" s="436" t="s">
        <v>1642</v>
      </c>
      <c r="J4140" s="26" t="s">
        <v>1641</v>
      </c>
      <c r="K4140" s="10">
        <v>25</v>
      </c>
      <c r="L4140" s="73">
        <f>IF(Tank1!$C$23="No control",(SUMIF(Tank1!$B$32:$B$49,$J4140,Tank1!$C$32:$C$49)*Impacts!$F$8),0)</f>
        <v>0</v>
      </c>
      <c r="M4140" s="10">
        <f>IF(Tank2!$C$23="No control",(SUMIF(Tank2!$B$32:$B$49,$J4140,Tank2!$C$32:$C$49)*Impacts!$F$9),0)</f>
        <v>0</v>
      </c>
      <c r="N4140" s="10">
        <f>IF(Tank3!$C$23="No control",(SUMIF(Tank3!$B$32:$B$49,$J4140,Tank3!$C$32:$C$49)*Impacts!$F$10),0)</f>
        <v>0</v>
      </c>
      <c r="O4140" s="10">
        <f>IF(Tank4!$C$23="No control",(SUMIF(Tank4!$B$32:$B$49,$J4140,Tank4!$C$32:$C$49)*Impacts!$F$11),0)</f>
        <v>0</v>
      </c>
      <c r="P4140" s="10">
        <f>IF(Tank5!$C$23="No control",(SUMIF(Tank5!$B$32:$B$49,$J4140,Tank5!$C$32:$C$49)*Impacts!$F$12),0)</f>
        <v>0</v>
      </c>
      <c r="Q4140" s="10">
        <f>IFERROR(IF(('Loading-drum,tote'!$C$21)="No control",SUMIF(('Loading-drum,tote'!$B$31:$B$48),$J4140,('Loading-drum,tote'!$D$31:$D$48))*Impacts!$F$13,IF(('Loading-drum,tote'!$C$21)&lt;&gt;"No control",SUMIF(('Loading-drum,tote'!$B$31:$B$48),$J4140,('Loading-drum,tote'!$E$31:$E$48))*Impacts!$F$13,0)),0)</f>
        <v>0</v>
      </c>
      <c r="R4140" s="10">
        <f>IFERROR(IF(('Loading-truck'!$C$21)="No control",SUMIF(('Loading-truck'!$B$31:$B$48),$J4140,('Loading-truck'!$D$31:$D$48))*Impacts!$F$14,IF(('Loading-truck'!$C$21)&lt;&gt;"No control",SUMIF(('Loading-truck'!$B$31:$B$48),$J4140,('Loading-truck'!$E$31:$E$48))*Impacts!$F$14,0)),0)</f>
        <v>0</v>
      </c>
      <c r="S4140" s="10">
        <f>IFERROR(IF(('Loading-rail'!$C$21)="No control",SUMIF(('Loading-rail'!$B$31:$B$48),$J4140,('Loading-rail'!$D$31:$D$48))*Impacts!$F$15,IF(('Loading-rail'!$C$21)&lt;&gt;"No control",SUMIF(('Loading-rail'!$B$31:$B$48),$J4140,('Loading-rail'!$E$31:$E$48))*Impacts!$F$15,0)),0)</f>
        <v>0</v>
      </c>
      <c r="T4140" s="10">
        <f>IF(Flare!$C$7="",0,(SUMIF(Flare!$B$46:$B$185,$J4140,Flare!$E$46:$E$185)*Impacts!$F$16))</f>
        <v>0</v>
      </c>
      <c r="U4140" s="10">
        <f>IF(VCU!$C$9="",0,(SUMIF(VCU!$B$51:$B$193,$J4140,VCU!$E$51:$E$193)*Impacts!$F$17))</f>
        <v>0</v>
      </c>
      <c r="V4140" s="10">
        <f>IF(CAS!$C$7="",0,(SUMIF(CAS!$B$31:$B$167,$J4140,CAS!$E$31:$E$167)*Impacts!$F$18))</f>
        <v>0</v>
      </c>
      <c r="W4140" s="10">
        <f t="shared" si="105"/>
        <v>0</v>
      </c>
      <c r="AK4140" s="10" t="str">
        <f t="array" ref="AK4140">IFERROR(INDEX(SelectedSpecies,SMALL(IF(SelectedSpecies=AK$1,ROW(SelectedSpecies)),ROW(4141:4141)),2),"")</f>
        <v/>
      </c>
      <c r="BE4140" s="10"/>
      <c r="BI4140" s="10"/>
    </row>
    <row r="4141" spans="1:61" ht="21" customHeight="1" x14ac:dyDescent="0.25">
      <c r="A4141" s="10"/>
      <c r="B4141" s="10"/>
      <c r="E4141" s="10"/>
      <c r="G4141" s="10"/>
      <c r="I4141" s="436" t="s">
        <v>7316</v>
      </c>
      <c r="J4141" s="26" t="s">
        <v>7315</v>
      </c>
      <c r="K4141" s="10">
        <v>0.30000000000000004</v>
      </c>
      <c r="L4141" s="73">
        <f>IF(Tank1!$C$23="No control",(SUMIF(Tank1!$B$32:$B$49,$J4141,Tank1!$C$32:$C$49)*Impacts!$F$8),0)</f>
        <v>0</v>
      </c>
      <c r="M4141" s="10">
        <f>IF(Tank2!$C$23="No control",(SUMIF(Tank2!$B$32:$B$49,$J4141,Tank2!$C$32:$C$49)*Impacts!$F$9),0)</f>
        <v>0</v>
      </c>
      <c r="N4141" s="10">
        <f>IF(Tank3!$C$23="No control",(SUMIF(Tank3!$B$32:$B$49,$J4141,Tank3!$C$32:$C$49)*Impacts!$F$10),0)</f>
        <v>0</v>
      </c>
      <c r="O4141" s="10">
        <f>IF(Tank4!$C$23="No control",(SUMIF(Tank4!$B$32:$B$49,$J4141,Tank4!$C$32:$C$49)*Impacts!$F$11),0)</f>
        <v>0</v>
      </c>
      <c r="P4141" s="10">
        <f>IF(Tank5!$C$23="No control",(SUMIF(Tank5!$B$32:$B$49,$J4141,Tank5!$C$32:$C$49)*Impacts!$F$12),0)</f>
        <v>0</v>
      </c>
      <c r="Q4141" s="10">
        <f>IFERROR(IF(('Loading-drum,tote'!$C$21)="No control",SUMIF(('Loading-drum,tote'!$B$31:$B$48),$J4141,('Loading-drum,tote'!$D$31:$D$48))*Impacts!$F$13,IF(('Loading-drum,tote'!$C$21)&lt;&gt;"No control",SUMIF(('Loading-drum,tote'!$B$31:$B$48),$J4141,('Loading-drum,tote'!$E$31:$E$48))*Impacts!$F$13,0)),0)</f>
        <v>0</v>
      </c>
      <c r="R4141" s="10">
        <f>IFERROR(IF(('Loading-truck'!$C$21)="No control",SUMIF(('Loading-truck'!$B$31:$B$48),$J4141,('Loading-truck'!$D$31:$D$48))*Impacts!$F$14,IF(('Loading-truck'!$C$21)&lt;&gt;"No control",SUMIF(('Loading-truck'!$B$31:$B$48),$J4141,('Loading-truck'!$E$31:$E$48))*Impacts!$F$14,0)),0)</f>
        <v>0</v>
      </c>
      <c r="S4141" s="10">
        <f>IFERROR(IF(('Loading-rail'!$C$21)="No control",SUMIF(('Loading-rail'!$B$31:$B$48),$J4141,('Loading-rail'!$D$31:$D$48))*Impacts!$F$15,IF(('Loading-rail'!$C$21)&lt;&gt;"No control",SUMIF(('Loading-rail'!$B$31:$B$48),$J4141,('Loading-rail'!$E$31:$E$48))*Impacts!$F$15,0)),0)</f>
        <v>0</v>
      </c>
      <c r="T4141" s="10">
        <f>IF(Flare!$C$7="",0,(SUMIF(Flare!$B$46:$B$185,$J4141,Flare!$E$46:$E$185)*Impacts!$F$16))</f>
        <v>0</v>
      </c>
      <c r="U4141" s="10">
        <f>IF(VCU!$C$9="",0,(SUMIF(VCU!$B$51:$B$193,$J4141,VCU!$E$51:$E$193)*Impacts!$F$17))</f>
        <v>0</v>
      </c>
      <c r="V4141" s="10">
        <f>IF(CAS!$C$7="",0,(SUMIF(CAS!$B$31:$B$167,$J4141,CAS!$E$31:$E$167)*Impacts!$F$18))</f>
        <v>0</v>
      </c>
      <c r="W4141" s="10">
        <f t="shared" si="105"/>
        <v>0</v>
      </c>
      <c r="AK4141" s="10" t="str">
        <f t="array" ref="AK4141">IFERROR(INDEX(SelectedSpecies,SMALL(IF(SelectedSpecies=AK$1,ROW(SelectedSpecies)),ROW(4142:4142)),2),"")</f>
        <v/>
      </c>
      <c r="BE4141" s="10"/>
      <c r="BI4141" s="10"/>
    </row>
    <row r="4142" spans="1:61" ht="21" customHeight="1" x14ac:dyDescent="0.25">
      <c r="A4142" s="10"/>
      <c r="B4142" s="10"/>
      <c r="E4142" s="10"/>
      <c r="G4142" s="10"/>
      <c r="I4142" s="436" t="s">
        <v>6346</v>
      </c>
      <c r="J4142" s="26" t="s">
        <v>6345</v>
      </c>
      <c r="K4142" s="10">
        <v>0.9</v>
      </c>
      <c r="L4142" s="73">
        <f>IF(Tank1!$C$23="No control",(SUMIF(Tank1!$B$32:$B$49,$J4142,Tank1!$C$32:$C$49)*Impacts!$F$8),0)</f>
        <v>0</v>
      </c>
      <c r="M4142" s="10">
        <f>IF(Tank2!$C$23="No control",(SUMIF(Tank2!$B$32:$B$49,$J4142,Tank2!$C$32:$C$49)*Impacts!$F$9),0)</f>
        <v>0</v>
      </c>
      <c r="N4142" s="10">
        <f>IF(Tank3!$C$23="No control",(SUMIF(Tank3!$B$32:$B$49,$J4142,Tank3!$C$32:$C$49)*Impacts!$F$10),0)</f>
        <v>0</v>
      </c>
      <c r="O4142" s="10">
        <f>IF(Tank4!$C$23="No control",(SUMIF(Tank4!$B$32:$B$49,$J4142,Tank4!$C$32:$C$49)*Impacts!$F$11),0)</f>
        <v>0</v>
      </c>
      <c r="P4142" s="10">
        <f>IF(Tank5!$C$23="No control",(SUMIF(Tank5!$B$32:$B$49,$J4142,Tank5!$C$32:$C$49)*Impacts!$F$12),0)</f>
        <v>0</v>
      </c>
      <c r="Q4142" s="10">
        <f>IFERROR(IF(('Loading-drum,tote'!$C$21)="No control",SUMIF(('Loading-drum,tote'!$B$31:$B$48),$J4142,('Loading-drum,tote'!$D$31:$D$48))*Impacts!$F$13,IF(('Loading-drum,tote'!$C$21)&lt;&gt;"No control",SUMIF(('Loading-drum,tote'!$B$31:$B$48),$J4142,('Loading-drum,tote'!$E$31:$E$48))*Impacts!$F$13,0)),0)</f>
        <v>0</v>
      </c>
      <c r="R4142" s="10">
        <f>IFERROR(IF(('Loading-truck'!$C$21)="No control",SUMIF(('Loading-truck'!$B$31:$B$48),$J4142,('Loading-truck'!$D$31:$D$48))*Impacts!$F$14,IF(('Loading-truck'!$C$21)&lt;&gt;"No control",SUMIF(('Loading-truck'!$B$31:$B$48),$J4142,('Loading-truck'!$E$31:$E$48))*Impacts!$F$14,0)),0)</f>
        <v>0</v>
      </c>
      <c r="S4142" s="10">
        <f>IFERROR(IF(('Loading-rail'!$C$21)="No control",SUMIF(('Loading-rail'!$B$31:$B$48),$J4142,('Loading-rail'!$D$31:$D$48))*Impacts!$F$15,IF(('Loading-rail'!$C$21)&lt;&gt;"No control",SUMIF(('Loading-rail'!$B$31:$B$48),$J4142,('Loading-rail'!$E$31:$E$48))*Impacts!$F$15,0)),0)</f>
        <v>0</v>
      </c>
      <c r="T4142" s="10">
        <f>IF(Flare!$C$7="",0,(SUMIF(Flare!$B$46:$B$185,$J4142,Flare!$E$46:$E$185)*Impacts!$F$16))</f>
        <v>0</v>
      </c>
      <c r="U4142" s="10">
        <f>IF(VCU!$C$9="",0,(SUMIF(VCU!$B$51:$B$193,$J4142,VCU!$E$51:$E$193)*Impacts!$F$17))</f>
        <v>0</v>
      </c>
      <c r="V4142" s="10">
        <f>IF(CAS!$C$7="",0,(SUMIF(CAS!$B$31:$B$167,$J4142,CAS!$E$31:$E$167)*Impacts!$F$18))</f>
        <v>0</v>
      </c>
      <c r="W4142" s="10">
        <f t="shared" si="105"/>
        <v>0</v>
      </c>
      <c r="AK4142" s="10" t="str">
        <f t="array" ref="AK4142">IFERROR(INDEX(SelectedSpecies,SMALL(IF(SelectedSpecies=AK$1,ROW(SelectedSpecies)),ROW(4143:4143)),2),"")</f>
        <v/>
      </c>
      <c r="BE4142" s="10"/>
      <c r="BI4142" s="10"/>
    </row>
    <row r="4143" spans="1:61" ht="21" customHeight="1" x14ac:dyDescent="0.25">
      <c r="A4143" s="10"/>
      <c r="B4143" s="10"/>
      <c r="E4143" s="10"/>
      <c r="G4143" s="10"/>
      <c r="I4143" s="436" t="s">
        <v>5626</v>
      </c>
      <c r="J4143" s="26" t="s">
        <v>5625</v>
      </c>
      <c r="K4143" s="10">
        <v>1.1000000000000001</v>
      </c>
      <c r="L4143" s="73">
        <f>IF(Tank1!$C$23="No control",(SUMIF(Tank1!$B$32:$B$49,$J4143,Tank1!$C$32:$C$49)*Impacts!$F$8),0)</f>
        <v>0</v>
      </c>
      <c r="M4143" s="10">
        <f>IF(Tank2!$C$23="No control",(SUMIF(Tank2!$B$32:$B$49,$J4143,Tank2!$C$32:$C$49)*Impacts!$F$9),0)</f>
        <v>0</v>
      </c>
      <c r="N4143" s="10">
        <f>IF(Tank3!$C$23="No control",(SUMIF(Tank3!$B$32:$B$49,$J4143,Tank3!$C$32:$C$49)*Impacts!$F$10),0)</f>
        <v>0</v>
      </c>
      <c r="O4143" s="10">
        <f>IF(Tank4!$C$23="No control",(SUMIF(Tank4!$B$32:$B$49,$J4143,Tank4!$C$32:$C$49)*Impacts!$F$11),0)</f>
        <v>0</v>
      </c>
      <c r="P4143" s="10">
        <f>IF(Tank5!$C$23="No control",(SUMIF(Tank5!$B$32:$B$49,$J4143,Tank5!$C$32:$C$49)*Impacts!$F$12),0)</f>
        <v>0</v>
      </c>
      <c r="Q4143" s="10">
        <f>IFERROR(IF(('Loading-drum,tote'!$C$21)="No control",SUMIF(('Loading-drum,tote'!$B$31:$B$48),$J4143,('Loading-drum,tote'!$D$31:$D$48))*Impacts!$F$13,IF(('Loading-drum,tote'!$C$21)&lt;&gt;"No control",SUMIF(('Loading-drum,tote'!$B$31:$B$48),$J4143,('Loading-drum,tote'!$E$31:$E$48))*Impacts!$F$13,0)),0)</f>
        <v>0</v>
      </c>
      <c r="R4143" s="10">
        <f>IFERROR(IF(('Loading-truck'!$C$21)="No control",SUMIF(('Loading-truck'!$B$31:$B$48),$J4143,('Loading-truck'!$D$31:$D$48))*Impacts!$F$14,IF(('Loading-truck'!$C$21)&lt;&gt;"No control",SUMIF(('Loading-truck'!$B$31:$B$48),$J4143,('Loading-truck'!$E$31:$E$48))*Impacts!$F$14,0)),0)</f>
        <v>0</v>
      </c>
      <c r="S4143" s="10">
        <f>IFERROR(IF(('Loading-rail'!$C$21)="No control",SUMIF(('Loading-rail'!$B$31:$B$48),$J4143,('Loading-rail'!$D$31:$D$48))*Impacts!$F$15,IF(('Loading-rail'!$C$21)&lt;&gt;"No control",SUMIF(('Loading-rail'!$B$31:$B$48),$J4143,('Loading-rail'!$E$31:$E$48))*Impacts!$F$15,0)),0)</f>
        <v>0</v>
      </c>
      <c r="T4143" s="10">
        <f>IF(Flare!$C$7="",0,(SUMIF(Flare!$B$46:$B$185,$J4143,Flare!$E$46:$E$185)*Impacts!$F$16))</f>
        <v>0</v>
      </c>
      <c r="U4143" s="10">
        <f>IF(VCU!$C$9="",0,(SUMIF(VCU!$B$51:$B$193,$J4143,VCU!$E$51:$E$193)*Impacts!$F$17))</f>
        <v>0</v>
      </c>
      <c r="V4143" s="10">
        <f>IF(CAS!$C$7="",0,(SUMIF(CAS!$B$31:$B$167,$J4143,CAS!$E$31:$E$167)*Impacts!$F$18))</f>
        <v>0</v>
      </c>
      <c r="W4143" s="10">
        <f t="shared" si="105"/>
        <v>0</v>
      </c>
      <c r="AK4143" s="10" t="str">
        <f t="array" ref="AK4143">IFERROR(INDEX(SelectedSpecies,SMALL(IF(SelectedSpecies=AK$1,ROW(SelectedSpecies)),ROW(4144:4144)),2),"")</f>
        <v/>
      </c>
      <c r="BE4143" s="10"/>
      <c r="BI4143" s="10"/>
    </row>
    <row r="4144" spans="1:61" ht="21" customHeight="1" x14ac:dyDescent="0.25">
      <c r="A4144" s="10"/>
      <c r="B4144" s="10"/>
      <c r="E4144" s="10"/>
      <c r="G4144" s="10"/>
      <c r="I4144" s="436" t="s">
        <v>5217</v>
      </c>
      <c r="J4144" s="26" t="s">
        <v>5216</v>
      </c>
      <c r="K4144" s="10">
        <v>2</v>
      </c>
      <c r="L4144" s="73">
        <f>IF(Tank1!$C$23="No control",(SUMIF(Tank1!$B$32:$B$49,$J4144,Tank1!$C$32:$C$49)*Impacts!$F$8),0)</f>
        <v>0</v>
      </c>
      <c r="M4144" s="10">
        <f>IF(Tank2!$C$23="No control",(SUMIF(Tank2!$B$32:$B$49,$J4144,Tank2!$C$32:$C$49)*Impacts!$F$9),0)</f>
        <v>0</v>
      </c>
      <c r="N4144" s="10">
        <f>IF(Tank3!$C$23="No control",(SUMIF(Tank3!$B$32:$B$49,$J4144,Tank3!$C$32:$C$49)*Impacts!$F$10),0)</f>
        <v>0</v>
      </c>
      <c r="O4144" s="10">
        <f>IF(Tank4!$C$23="No control",(SUMIF(Tank4!$B$32:$B$49,$J4144,Tank4!$C$32:$C$49)*Impacts!$F$11),0)</f>
        <v>0</v>
      </c>
      <c r="P4144" s="10">
        <f>IF(Tank5!$C$23="No control",(SUMIF(Tank5!$B$32:$B$49,$J4144,Tank5!$C$32:$C$49)*Impacts!$F$12),0)</f>
        <v>0</v>
      </c>
      <c r="Q4144" s="10">
        <f>IFERROR(IF(('Loading-drum,tote'!$C$21)="No control",SUMIF(('Loading-drum,tote'!$B$31:$B$48),$J4144,('Loading-drum,tote'!$D$31:$D$48))*Impacts!$F$13,IF(('Loading-drum,tote'!$C$21)&lt;&gt;"No control",SUMIF(('Loading-drum,tote'!$B$31:$B$48),$J4144,('Loading-drum,tote'!$E$31:$E$48))*Impacts!$F$13,0)),0)</f>
        <v>0</v>
      </c>
      <c r="R4144" s="10">
        <f>IFERROR(IF(('Loading-truck'!$C$21)="No control",SUMIF(('Loading-truck'!$B$31:$B$48),$J4144,('Loading-truck'!$D$31:$D$48))*Impacts!$F$14,IF(('Loading-truck'!$C$21)&lt;&gt;"No control",SUMIF(('Loading-truck'!$B$31:$B$48),$J4144,('Loading-truck'!$E$31:$E$48))*Impacts!$F$14,0)),0)</f>
        <v>0</v>
      </c>
      <c r="S4144" s="10">
        <f>IFERROR(IF(('Loading-rail'!$C$21)="No control",SUMIF(('Loading-rail'!$B$31:$B$48),$J4144,('Loading-rail'!$D$31:$D$48))*Impacts!$F$15,IF(('Loading-rail'!$C$21)&lt;&gt;"No control",SUMIF(('Loading-rail'!$B$31:$B$48),$J4144,('Loading-rail'!$E$31:$E$48))*Impacts!$F$15,0)),0)</f>
        <v>0</v>
      </c>
      <c r="T4144" s="10">
        <f>IF(Flare!$C$7="",0,(SUMIF(Flare!$B$46:$B$185,$J4144,Flare!$E$46:$E$185)*Impacts!$F$16))</f>
        <v>0</v>
      </c>
      <c r="U4144" s="10">
        <f>IF(VCU!$C$9="",0,(SUMIF(VCU!$B$51:$B$193,$J4144,VCU!$E$51:$E$193)*Impacts!$F$17))</f>
        <v>0</v>
      </c>
      <c r="V4144" s="10">
        <f>IF(CAS!$C$7="",0,(SUMIF(CAS!$B$31:$B$167,$J4144,CAS!$E$31:$E$167)*Impacts!$F$18))</f>
        <v>0</v>
      </c>
      <c r="W4144" s="10">
        <f t="shared" si="105"/>
        <v>0</v>
      </c>
      <c r="AK4144" s="10" t="str">
        <f t="array" ref="AK4144">IFERROR(INDEX(SelectedSpecies,SMALL(IF(SelectedSpecies=AK$1,ROW(SelectedSpecies)),ROW(4145:4145)),2),"")</f>
        <v/>
      </c>
      <c r="BE4144" s="10"/>
      <c r="BI4144" s="10"/>
    </row>
    <row r="4145" spans="1:61" ht="21" customHeight="1" x14ac:dyDescent="0.25">
      <c r="A4145" s="10"/>
      <c r="B4145" s="10"/>
      <c r="E4145" s="10"/>
      <c r="G4145" s="10"/>
      <c r="I4145" s="436" t="s">
        <v>3455</v>
      </c>
      <c r="J4145" s="26" t="s">
        <v>3454</v>
      </c>
      <c r="K4145" s="10">
        <v>10</v>
      </c>
      <c r="L4145" s="73">
        <f>IF(Tank1!$C$23="No control",(SUMIF(Tank1!$B$32:$B$49,$J4145,Tank1!$C$32:$C$49)*Impacts!$F$8),0)</f>
        <v>0</v>
      </c>
      <c r="M4145" s="10">
        <f>IF(Tank2!$C$23="No control",(SUMIF(Tank2!$B$32:$B$49,$J4145,Tank2!$C$32:$C$49)*Impacts!$F$9),0)</f>
        <v>0</v>
      </c>
      <c r="N4145" s="10">
        <f>IF(Tank3!$C$23="No control",(SUMIF(Tank3!$B$32:$B$49,$J4145,Tank3!$C$32:$C$49)*Impacts!$F$10),0)</f>
        <v>0</v>
      </c>
      <c r="O4145" s="10">
        <f>IF(Tank4!$C$23="No control",(SUMIF(Tank4!$B$32:$B$49,$J4145,Tank4!$C$32:$C$49)*Impacts!$F$11),0)</f>
        <v>0</v>
      </c>
      <c r="P4145" s="10">
        <f>IF(Tank5!$C$23="No control",(SUMIF(Tank5!$B$32:$B$49,$J4145,Tank5!$C$32:$C$49)*Impacts!$F$12),0)</f>
        <v>0</v>
      </c>
      <c r="Q4145" s="10">
        <f>IFERROR(IF(('Loading-drum,tote'!$C$21)="No control",SUMIF(('Loading-drum,tote'!$B$31:$B$48),$J4145,('Loading-drum,tote'!$D$31:$D$48))*Impacts!$F$13,IF(('Loading-drum,tote'!$C$21)&lt;&gt;"No control",SUMIF(('Loading-drum,tote'!$B$31:$B$48),$J4145,('Loading-drum,tote'!$E$31:$E$48))*Impacts!$F$13,0)),0)</f>
        <v>0</v>
      </c>
      <c r="R4145" s="10">
        <f>IFERROR(IF(('Loading-truck'!$C$21)="No control",SUMIF(('Loading-truck'!$B$31:$B$48),$J4145,('Loading-truck'!$D$31:$D$48))*Impacts!$F$14,IF(('Loading-truck'!$C$21)&lt;&gt;"No control",SUMIF(('Loading-truck'!$B$31:$B$48),$J4145,('Loading-truck'!$E$31:$E$48))*Impacts!$F$14,0)),0)</f>
        <v>0</v>
      </c>
      <c r="S4145" s="10">
        <f>IFERROR(IF(('Loading-rail'!$C$21)="No control",SUMIF(('Loading-rail'!$B$31:$B$48),$J4145,('Loading-rail'!$D$31:$D$48))*Impacts!$F$15,IF(('Loading-rail'!$C$21)&lt;&gt;"No control",SUMIF(('Loading-rail'!$B$31:$B$48),$J4145,('Loading-rail'!$E$31:$E$48))*Impacts!$F$15,0)),0)</f>
        <v>0</v>
      </c>
      <c r="T4145" s="10">
        <f>IF(Flare!$C$7="",0,(SUMIF(Flare!$B$46:$B$185,$J4145,Flare!$E$46:$E$185)*Impacts!$F$16))</f>
        <v>0</v>
      </c>
      <c r="U4145" s="10">
        <f>IF(VCU!$C$9="",0,(SUMIF(VCU!$B$51:$B$193,$J4145,VCU!$E$51:$E$193)*Impacts!$F$17))</f>
        <v>0</v>
      </c>
      <c r="V4145" s="10">
        <f>IF(CAS!$C$7="",0,(SUMIF(CAS!$B$31:$B$167,$J4145,CAS!$E$31:$E$167)*Impacts!$F$18))</f>
        <v>0</v>
      </c>
      <c r="W4145" s="10">
        <f t="shared" si="105"/>
        <v>0</v>
      </c>
      <c r="AK4145" s="10" t="str">
        <f t="array" ref="AK4145">IFERROR(INDEX(SelectedSpecies,SMALL(IF(SelectedSpecies=AK$1,ROW(SelectedSpecies)),ROW(4146:4146)),2),"")</f>
        <v/>
      </c>
      <c r="BE4145" s="10"/>
      <c r="BI4145" s="10"/>
    </row>
    <row r="4146" spans="1:61" ht="21" customHeight="1" x14ac:dyDescent="0.25">
      <c r="A4146" s="10"/>
      <c r="B4146" s="10"/>
      <c r="E4146" s="10"/>
      <c r="G4146" s="10"/>
      <c r="I4146" s="436" t="s">
        <v>8367</v>
      </c>
      <c r="J4146" s="26" t="s">
        <v>8341</v>
      </c>
      <c r="K4146" s="10">
        <v>3E-9</v>
      </c>
      <c r="L4146" s="73">
        <f>IF(Tank1!$C$23="No control",(SUMIF(Tank1!$B$32:$B$49,$J4146,Tank1!$C$32:$C$49)*Impacts!$F$8),0)</f>
        <v>0</v>
      </c>
      <c r="M4146" s="10">
        <f>IF(Tank2!$C$23="No control",(SUMIF(Tank2!$B$32:$B$49,$J4146,Tank2!$C$32:$C$49)*Impacts!$F$9),0)</f>
        <v>0</v>
      </c>
      <c r="N4146" s="10">
        <f>IF(Tank3!$C$23="No control",(SUMIF(Tank3!$B$32:$B$49,$J4146,Tank3!$C$32:$C$49)*Impacts!$F$10),0)</f>
        <v>0</v>
      </c>
      <c r="O4146" s="10">
        <f>IF(Tank4!$C$23="No control",(SUMIF(Tank4!$B$32:$B$49,$J4146,Tank4!$C$32:$C$49)*Impacts!$F$11),0)</f>
        <v>0</v>
      </c>
      <c r="P4146" s="10">
        <f>IF(Tank5!$C$23="No control",(SUMIF(Tank5!$B$32:$B$49,$J4146,Tank5!$C$32:$C$49)*Impacts!$F$12),0)</f>
        <v>0</v>
      </c>
      <c r="Q4146" s="10">
        <f>IFERROR(IF(('Loading-drum,tote'!$C$21)="No control",SUMIF(('Loading-drum,tote'!$B$31:$B$48),$J4146,('Loading-drum,tote'!$D$31:$D$48))*Impacts!$F$13,IF(('Loading-drum,tote'!$C$21)&lt;&gt;"No control",SUMIF(('Loading-drum,tote'!$B$31:$B$48),$J4146,('Loading-drum,tote'!$E$31:$E$48))*Impacts!$F$13,0)),0)</f>
        <v>0</v>
      </c>
      <c r="R4146" s="10">
        <f>IFERROR(IF(('Loading-truck'!$C$21)="No control",SUMIF(('Loading-truck'!$B$31:$B$48),$J4146,('Loading-truck'!$D$31:$D$48))*Impacts!$F$14,IF(('Loading-truck'!$C$21)&lt;&gt;"No control",SUMIF(('Loading-truck'!$B$31:$B$48),$J4146,('Loading-truck'!$E$31:$E$48))*Impacts!$F$14,0)),0)</f>
        <v>0</v>
      </c>
      <c r="S4146" s="10">
        <f>IFERROR(IF(('Loading-rail'!$C$21)="No control",SUMIF(('Loading-rail'!$B$31:$B$48),$J4146,('Loading-rail'!$D$31:$D$48))*Impacts!$F$15,IF(('Loading-rail'!$C$21)&lt;&gt;"No control",SUMIF(('Loading-rail'!$B$31:$B$48),$J4146,('Loading-rail'!$E$31:$E$48))*Impacts!$F$15,0)),0)</f>
        <v>0</v>
      </c>
      <c r="T4146" s="10">
        <f>IF(Flare!$C$7="",0,(SUMIF(Flare!$B$46:$B$185,$J4146,Flare!$E$46:$E$185)*Impacts!$F$16))</f>
        <v>0</v>
      </c>
      <c r="U4146" s="10">
        <f>IF(VCU!$C$9="",0,(SUMIF(VCU!$B$51:$B$193,$J4146,VCU!$E$51:$E$193)*Impacts!$F$17))</f>
        <v>0</v>
      </c>
      <c r="V4146" s="10">
        <f>IF(CAS!$C$7="",0,(SUMIF(CAS!$B$31:$B$167,$J4146,CAS!$E$31:$E$167)*Impacts!$F$18))</f>
        <v>0</v>
      </c>
      <c r="W4146" s="10">
        <f t="shared" si="105"/>
        <v>0</v>
      </c>
      <c r="AK4146" s="10" t="str">
        <f t="array" ref="AK4146">IFERROR(INDEX(SelectedSpecies,SMALL(IF(SelectedSpecies=AK$1,ROW(SelectedSpecies)),ROW(4147:4147)),2),"")</f>
        <v/>
      </c>
      <c r="BE4146" s="10"/>
      <c r="BI4146" s="10"/>
    </row>
    <row r="4147" spans="1:61" ht="21" customHeight="1" x14ac:dyDescent="0.25">
      <c r="A4147" s="10"/>
      <c r="B4147" s="10"/>
      <c r="E4147" s="10"/>
      <c r="G4147" s="10"/>
      <c r="I4147" s="436" t="s">
        <v>8367</v>
      </c>
      <c r="J4147" s="26" t="s">
        <v>8342</v>
      </c>
      <c r="K4147" s="10">
        <v>3E-9</v>
      </c>
      <c r="L4147" s="73">
        <f>IF(Tank1!$C$23="No control",(SUMIF(Tank1!$B$32:$B$49,$J4147,Tank1!$C$32:$C$49)*Impacts!$F$8),0)</f>
        <v>0</v>
      </c>
      <c r="M4147" s="10">
        <f>IF(Tank2!$C$23="No control",(SUMIF(Tank2!$B$32:$B$49,$J4147,Tank2!$C$32:$C$49)*Impacts!$F$9),0)</f>
        <v>0</v>
      </c>
      <c r="N4147" s="10">
        <f>IF(Tank3!$C$23="No control",(SUMIF(Tank3!$B$32:$B$49,$J4147,Tank3!$C$32:$C$49)*Impacts!$F$10),0)</f>
        <v>0</v>
      </c>
      <c r="O4147" s="10">
        <f>IF(Tank4!$C$23="No control",(SUMIF(Tank4!$B$32:$B$49,$J4147,Tank4!$C$32:$C$49)*Impacts!$F$11),0)</f>
        <v>0</v>
      </c>
      <c r="P4147" s="10">
        <f>IF(Tank5!$C$23="No control",(SUMIF(Tank5!$B$32:$B$49,$J4147,Tank5!$C$32:$C$49)*Impacts!$F$12),0)</f>
        <v>0</v>
      </c>
      <c r="Q4147" s="10">
        <f>IFERROR(IF(('Loading-drum,tote'!$C$21)="No control",SUMIF(('Loading-drum,tote'!$B$31:$B$48),$J4147,('Loading-drum,tote'!$D$31:$D$48))*Impacts!$F$13,IF(('Loading-drum,tote'!$C$21)&lt;&gt;"No control",SUMIF(('Loading-drum,tote'!$B$31:$B$48),$J4147,('Loading-drum,tote'!$E$31:$E$48))*Impacts!$F$13,0)),0)</f>
        <v>0</v>
      </c>
      <c r="R4147" s="10">
        <f>IFERROR(IF(('Loading-truck'!$C$21)="No control",SUMIF(('Loading-truck'!$B$31:$B$48),$J4147,('Loading-truck'!$D$31:$D$48))*Impacts!$F$14,IF(('Loading-truck'!$C$21)&lt;&gt;"No control",SUMIF(('Loading-truck'!$B$31:$B$48),$J4147,('Loading-truck'!$E$31:$E$48))*Impacts!$F$14,0)),0)</f>
        <v>0</v>
      </c>
      <c r="S4147" s="10">
        <f>IFERROR(IF(('Loading-rail'!$C$21)="No control",SUMIF(('Loading-rail'!$B$31:$B$48),$J4147,('Loading-rail'!$D$31:$D$48))*Impacts!$F$15,IF(('Loading-rail'!$C$21)&lt;&gt;"No control",SUMIF(('Loading-rail'!$B$31:$B$48),$J4147,('Loading-rail'!$E$31:$E$48))*Impacts!$F$15,0)),0)</f>
        <v>0</v>
      </c>
      <c r="T4147" s="10">
        <f>IF(Flare!$C$7="",0,(SUMIF(Flare!$B$46:$B$185,$J4147,Flare!$E$46:$E$185)*Impacts!$F$16))</f>
        <v>0</v>
      </c>
      <c r="U4147" s="10">
        <f>IF(VCU!$C$9="",0,(SUMIF(VCU!$B$51:$B$193,$J4147,VCU!$E$51:$E$193)*Impacts!$F$17))</f>
        <v>0</v>
      </c>
      <c r="V4147" s="10">
        <f>IF(CAS!$C$7="",0,(SUMIF(CAS!$B$31:$B$167,$J4147,CAS!$E$31:$E$167)*Impacts!$F$18))</f>
        <v>0</v>
      </c>
      <c r="W4147" s="10">
        <f t="shared" si="105"/>
        <v>0</v>
      </c>
      <c r="AK4147" s="10" t="str">
        <f t="array" ref="AK4147">IFERROR(INDEX(SelectedSpecies,SMALL(IF(SelectedSpecies=AK$1,ROW(SelectedSpecies)),ROW(#REF!)),2),"")</f>
        <v/>
      </c>
      <c r="BE4147" s="10"/>
      <c r="BI4147" s="10"/>
    </row>
    <row r="4148" spans="1:61" ht="21" customHeight="1" x14ac:dyDescent="0.25">
      <c r="A4148" s="10"/>
      <c r="B4148" s="10"/>
      <c r="E4148" s="10"/>
      <c r="G4148" s="10"/>
      <c r="I4148" s="841" t="s">
        <v>8363</v>
      </c>
      <c r="J4148" s="101" t="s">
        <v>8363</v>
      </c>
      <c r="K4148" s="101"/>
      <c r="L4148" s="73">
        <f>IF(Tank1!$C$23="No control",(SUMIF(Tank1!$B$32:$B$49,$J4148,Tank1!$C$32:$C$49)*Impacts!$F$8),0)</f>
        <v>0</v>
      </c>
      <c r="M4148" s="10">
        <f>IF(Tank2!$C$23="No control",(SUMIF(Tank2!$B$32:$B$49,$J4148,Tank2!$C$32:$C$49)*Impacts!$F$9),0)</f>
        <v>0</v>
      </c>
      <c r="N4148" s="10">
        <f>IF(Tank3!$C$23="No control",(SUMIF(Tank3!$B$32:$B$49,$J4148,Tank3!$C$32:$C$49)*Impacts!$F$10),0)</f>
        <v>0</v>
      </c>
      <c r="O4148" s="10">
        <f>IF(Tank4!$C$23="No control",(SUMIF(Tank4!$B$32:$B$49,$J4148,Tank4!$C$32:$C$49)*Impacts!$F$11),0)</f>
        <v>0</v>
      </c>
      <c r="P4148" s="10">
        <f>IF(Tank5!$C$23="No control",(SUMIF(Tank5!$B$32:$B$49,$J4148,Tank5!$C$32:$C$49)*Impacts!$F$12),0)</f>
        <v>0</v>
      </c>
      <c r="Q4148" s="10">
        <f>IFERROR(IF(('Loading-drum,tote'!$C$21)="No control",SUMIF(('Loading-drum,tote'!$B$31:$B$48),$J4148,('Loading-drum,tote'!$D$31:$D$48))*Impacts!$F$13,IF(('Loading-drum,tote'!$C$21)&lt;&gt;"No control",SUMIF(('Loading-drum,tote'!$B$31:$B$48),$J4148,('Loading-drum,tote'!$E$31:$E$48))*Impacts!$F$13,0)),0)</f>
        <v>0</v>
      </c>
      <c r="R4148" s="10">
        <f>IFERROR(IF(('Loading-truck'!$C$21)="No control",SUMIF(('Loading-truck'!$B$31:$B$48),$J4148,('Loading-truck'!$D$31:$D$48))*Impacts!$F$14,IF(('Loading-truck'!$C$21)&lt;&gt;"No control",SUMIF(('Loading-truck'!$B$31:$B$48),$J4148,('Loading-truck'!$E$31:$E$48))*Impacts!$F$14,0)),0)</f>
        <v>0</v>
      </c>
      <c r="S4148" s="10">
        <f>IFERROR(IF(('Loading-rail'!$C$21)="No control",SUMIF(('Loading-rail'!$B$31:$B$48),$J4148,('Loading-rail'!$D$31:$D$48))*Impacts!$F$15,IF(('Loading-rail'!$C$21)&lt;&gt;"No control",SUMIF(('Loading-rail'!$B$31:$B$48),$J4148,('Loading-rail'!$E$31:$E$48))*Impacts!$F$15,0)),0)</f>
        <v>0</v>
      </c>
      <c r="T4148" s="10">
        <f>IF(Flare!$C$7="",0,(SUMIF(Flare!$B$46:$B$185,$J4148,Flare!$E$46:$E$185)*Impacts!$F$16))</f>
        <v>0</v>
      </c>
      <c r="U4148" s="10">
        <f>IF(VCU!$C$9="",0,(SUMIF(VCU!$B$51:$B$193,$J4148,VCU!$E$51:$E$193)*Impacts!$F$17))</f>
        <v>0</v>
      </c>
      <c r="V4148" s="10">
        <f>IF(CAS!$C$7="",0,(SUMIF(CAS!$B$31:$B$167,$J4148,CAS!$E$31:$E$167)*Impacts!$F$18))</f>
        <v>0</v>
      </c>
      <c r="W4148" s="10">
        <f t="shared" si="105"/>
        <v>0</v>
      </c>
      <c r="AK4148" s="10" t="str">
        <f t="array" ref="AK4148">IFERROR(INDEX(SelectedSpecies,SMALL(IF(SelectedSpecies=AK$1,ROW(SelectedSpecies)),ROW(4149:4149)),2),"")</f>
        <v/>
      </c>
      <c r="BE4148" s="10"/>
      <c r="BI4148" s="10"/>
    </row>
    <row r="4149" spans="1:61" ht="21" customHeight="1" x14ac:dyDescent="0.25">
      <c r="A4149" s="10"/>
      <c r="B4149" s="10"/>
      <c r="E4149" s="10"/>
      <c r="G4149" s="10"/>
      <c r="I4149" s="841" t="s">
        <v>8706</v>
      </c>
      <c r="J4149" s="101" t="s">
        <v>8364</v>
      </c>
      <c r="K4149" s="101" t="s">
        <v>10275</v>
      </c>
      <c r="L4149" s="73">
        <f>IF(Tank1!$C$23="No control",(SUMIF(Tank1!$B$32:$B$49,$J4149,Tank1!$C$32:$C$49)*Impacts!$F$8),0)</f>
        <v>0</v>
      </c>
      <c r="M4149" s="10">
        <f>IF(Tank2!$C$23="No control",(SUMIF(Tank2!$B$32:$B$49,$J4149,Tank2!$C$32:$C$49)*Impacts!$F$9),0)</f>
        <v>0</v>
      </c>
      <c r="N4149" s="10">
        <f>IF(Tank3!$C$23="No control",(SUMIF(Tank3!$B$32:$B$49,$J4149,Tank3!$C$32:$C$49)*Impacts!$F$10),0)</f>
        <v>0</v>
      </c>
      <c r="O4149" s="10">
        <f>IF(Tank4!$C$23="No control",(SUMIF(Tank4!$B$32:$B$49,$J4149,Tank4!$C$32:$C$49)*Impacts!$F$11),0)</f>
        <v>0</v>
      </c>
      <c r="P4149" s="10">
        <f>IF(Tank5!$C$23="No control",(SUMIF(Tank5!$B$32:$B$49,$J4149,Tank5!$C$32:$C$49)*Impacts!$F$12),0)</f>
        <v>0</v>
      </c>
      <c r="Q4149" s="10">
        <f>IFERROR(IF(('Loading-drum,tote'!$C$21)="No control",SUMIF(('Loading-drum,tote'!$B$31:$B$48),$J4149,('Loading-drum,tote'!$D$31:$D$48))*Impacts!$F$13,IF(('Loading-drum,tote'!$C$21)&lt;&gt;"No control",SUMIF(('Loading-drum,tote'!$B$31:$B$48),$J4149,('Loading-drum,tote'!$E$31:$E$48))*Impacts!$F$13,0)),0)</f>
        <v>0</v>
      </c>
      <c r="R4149" s="10">
        <f>IFERROR(IF(('Loading-truck'!$C$21)="No control",SUMIF(('Loading-truck'!$B$31:$B$48),$J4149,('Loading-truck'!$D$31:$D$48))*Impacts!$F$14,IF(('Loading-truck'!$C$21)&lt;&gt;"No control",SUMIF(('Loading-truck'!$B$31:$B$48),$J4149,('Loading-truck'!$E$31:$E$48))*Impacts!$F$14,0)),0)</f>
        <v>0</v>
      </c>
      <c r="S4149" s="10">
        <f>IFERROR(IF(('Loading-rail'!$C$21)="No control",SUMIF(('Loading-rail'!$B$31:$B$48),$J4149,('Loading-rail'!$D$31:$D$48))*Impacts!$F$15,IF(('Loading-rail'!$C$21)&lt;&gt;"No control",SUMIF(('Loading-rail'!$B$31:$B$48),$J4149,('Loading-rail'!$E$31:$E$48))*Impacts!$F$15,0)),0)</f>
        <v>0</v>
      </c>
      <c r="T4149" s="10">
        <f>IF(Flare!$C$7="",0,(SUMIF(Flare!$B$46:$B$185,$J4149,Flare!$E$46:$E$185)*Impacts!$F$16))</f>
        <v>0</v>
      </c>
      <c r="U4149" s="10">
        <f>IF(VCU!$C$9="",0,(SUMIF(VCU!$B$51:$B$193,$J4149,VCU!$E$51:$E$193)*Impacts!$F$17))</f>
        <v>0</v>
      </c>
      <c r="V4149" s="10">
        <f>IF(CAS!$C$7="",0,(SUMIF(CAS!$B$31:$B$167,$J4149,CAS!$E$31:$E$167)*Impacts!$F$18))</f>
        <v>0</v>
      </c>
      <c r="W4149" s="10">
        <f t="shared" si="105"/>
        <v>0</v>
      </c>
      <c r="AK4149" s="10" t="str">
        <f t="array" ref="AK4149">IFERROR(INDEX(SelectedSpecies,SMALL(IF(SelectedSpecies=AK$1,ROW(SelectedSpecies)),ROW(4150:4150)),2),"")</f>
        <v/>
      </c>
      <c r="BE4149" s="10"/>
      <c r="BI4149" s="10"/>
    </row>
    <row r="4150" spans="1:61" ht="21" customHeight="1" x14ac:dyDescent="0.25">
      <c r="A4150" s="10"/>
      <c r="B4150" s="10"/>
      <c r="E4150" s="10"/>
      <c r="G4150" s="10"/>
      <c r="I4150" s="841" t="s">
        <v>8365</v>
      </c>
      <c r="J4150" s="101" t="s">
        <v>8365</v>
      </c>
      <c r="K4150" s="101"/>
      <c r="L4150" s="73">
        <f>IF(Tank1!$C$23="No control",(SUMIF(Tank1!$B$32:$B$49,$J4150,Tank1!$C$32:$C$49)*Impacts!$F$8),0)</f>
        <v>0</v>
      </c>
      <c r="M4150" s="10">
        <f>IF(Tank2!$C$23="No control",(SUMIF(Tank2!$B$32:$B$49,$J4150,Tank2!$C$32:$C$49)*Impacts!$F$9),0)</f>
        <v>0</v>
      </c>
      <c r="N4150" s="10">
        <f>IF(Tank3!$C$23="No control",(SUMIF(Tank3!$B$32:$B$49,$J4150,Tank3!$C$32:$C$49)*Impacts!$F$10),0)</f>
        <v>0</v>
      </c>
      <c r="O4150" s="10">
        <f>IF(Tank4!$C$23="No control",(SUMIF(Tank4!$B$32:$B$49,$J4150,Tank4!$C$32:$C$49)*Impacts!$F$11),0)</f>
        <v>0</v>
      </c>
      <c r="P4150" s="10">
        <f>IF(Tank5!$C$23="No control",(SUMIF(Tank5!$B$32:$B$49,$J4150,Tank5!$C$32:$C$49)*Impacts!$F$12),0)</f>
        <v>0</v>
      </c>
      <c r="Q4150" s="10">
        <f>IFERROR(IF(('Loading-drum,tote'!$C$21)="No control",SUMIF(('Loading-drum,tote'!$B$31:$B$48),$J4150,('Loading-drum,tote'!$D$31:$D$48))*Impacts!$F$13,IF(('Loading-drum,tote'!$C$21)&lt;&gt;"No control",SUMIF(('Loading-drum,tote'!$B$31:$B$48),$J4150,('Loading-drum,tote'!$E$31:$E$48))*Impacts!$F$13,0)),0)</f>
        <v>0</v>
      </c>
      <c r="R4150" s="10">
        <f>IFERROR(IF(('Loading-truck'!$C$21)="No control",SUMIF(('Loading-truck'!$B$31:$B$48),$J4150,('Loading-truck'!$D$31:$D$48))*Impacts!$F$14,IF(('Loading-truck'!$C$21)&lt;&gt;"No control",SUMIF(('Loading-truck'!$B$31:$B$48),$J4150,('Loading-truck'!$E$31:$E$48))*Impacts!$F$14,0)),0)</f>
        <v>0</v>
      </c>
      <c r="S4150" s="10">
        <f>IFERROR(IF(('Loading-rail'!$C$21)="No control",SUMIF(('Loading-rail'!$B$31:$B$48),$J4150,('Loading-rail'!$D$31:$D$48))*Impacts!$F$15,IF(('Loading-rail'!$C$21)&lt;&gt;"No control",SUMIF(('Loading-rail'!$B$31:$B$48),$J4150,('Loading-rail'!$E$31:$E$48))*Impacts!$F$15,0)),0)</f>
        <v>0</v>
      </c>
      <c r="T4150" s="10">
        <f>IF(Flare!$C$7="",0,(SUMIF(Flare!$B$46:$B$185,$J4150,Flare!$E$46:$E$185)*Impacts!$F$16))</f>
        <v>0</v>
      </c>
      <c r="U4150" s="10">
        <f>IF(VCU!$C$9="",0,(SUMIF(VCU!$B$51:$B$193,$J4150,VCU!$E$51:$E$193)*Impacts!$F$17))</f>
        <v>0</v>
      </c>
      <c r="V4150" s="10">
        <f>IF(CAS!$C$7="",0,(SUMIF(CAS!$B$31:$B$167,$J4150,CAS!$E$31:$E$167)*Impacts!$F$18))</f>
        <v>0</v>
      </c>
      <c r="W4150" s="10">
        <f t="shared" si="105"/>
        <v>0</v>
      </c>
      <c r="AK4150" s="10" t="str">
        <f t="array" ref="AK4150">IFERROR(INDEX(SelectedSpecies,SMALL(IF(SelectedSpecies=AK$1,ROW(SelectedSpecies)),ROW(4151:4151)),2),"")</f>
        <v/>
      </c>
      <c r="BE4150" s="10"/>
      <c r="BI4150" s="10"/>
    </row>
    <row r="4151" spans="1:61" ht="21" customHeight="1" x14ac:dyDescent="0.25">
      <c r="A4151" s="10"/>
      <c r="B4151" s="10"/>
      <c r="E4151" s="10"/>
      <c r="G4151" s="10"/>
      <c r="I4151" s="841" t="s">
        <v>8714</v>
      </c>
      <c r="J4151" s="101" t="s">
        <v>8714</v>
      </c>
      <c r="K4151" s="101"/>
      <c r="L4151" s="73">
        <f>IF(Tank1!$C$23="No control",(SUMIF(Tank1!$B$32:$B$49,$J4151,Tank1!$C$32:$C$49)*Impacts!$F$8),0)</f>
        <v>0</v>
      </c>
      <c r="M4151" s="10">
        <f>IF(Tank2!$C$23="No control",(SUMIF(Tank2!$B$32:$B$49,$J4151,Tank2!$C$32:$C$49)*Impacts!$F$9),0)</f>
        <v>0</v>
      </c>
      <c r="N4151" s="10">
        <f>IF(Tank3!$C$23="No control",(SUMIF(Tank3!$B$32:$B$49,$J4151,Tank3!$C$32:$C$49)*Impacts!$F$10),0)</f>
        <v>0</v>
      </c>
      <c r="O4151" s="10">
        <f>IF(Tank4!$C$23="No control",(SUMIF(Tank4!$B$32:$B$49,$J4151,Tank4!$C$32:$C$49)*Impacts!$F$11),0)</f>
        <v>0</v>
      </c>
      <c r="P4151" s="10">
        <f>IF(Tank5!$C$23="No control",(SUMIF(Tank5!$B$32:$B$49,$J4151,Tank5!$C$32:$C$49)*Impacts!$F$12),0)</f>
        <v>0</v>
      </c>
      <c r="Q4151" s="10">
        <f>IFERROR(IF(('Loading-drum,tote'!$C$21)="No control",SUMIF(('Loading-drum,tote'!$B$31:$B$48),$J4151,('Loading-drum,tote'!$D$31:$D$48))*Impacts!$F$13,IF(('Loading-drum,tote'!$C$21)&lt;&gt;"No control",SUMIF(('Loading-drum,tote'!$B$31:$B$48),$J4151,('Loading-drum,tote'!$E$31:$E$48))*Impacts!$F$13,0)),0)</f>
        <v>0</v>
      </c>
      <c r="R4151" s="10">
        <f>IFERROR(IF(('Loading-truck'!$C$21)="No control",SUMIF(('Loading-truck'!$B$31:$B$48),$J4151,('Loading-truck'!$D$31:$D$48))*Impacts!$F$14,IF(('Loading-truck'!$C$21)&lt;&gt;"No control",SUMIF(('Loading-truck'!$B$31:$B$48),$J4151,('Loading-truck'!$E$31:$E$48))*Impacts!$F$14,0)),0)</f>
        <v>0</v>
      </c>
      <c r="S4151" s="10">
        <f>IFERROR(IF(('Loading-rail'!$C$21)="No control",SUMIF(('Loading-rail'!$B$31:$B$48),$J4151,('Loading-rail'!$D$31:$D$48))*Impacts!$F$15,IF(('Loading-rail'!$C$21)&lt;&gt;"No control",SUMIF(('Loading-rail'!$B$31:$B$48),$J4151,('Loading-rail'!$E$31:$E$48))*Impacts!$F$15,0)),0)</f>
        <v>0</v>
      </c>
      <c r="T4151" s="10">
        <f>IF(Flare!$C$7="",0,(SUMIF(Flare!$B$46:$B$185,$J4151,Flare!$E$46:$E$185)*Impacts!$F$16))</f>
        <v>0</v>
      </c>
      <c r="U4151" s="10">
        <f>IF(VCU!$C$9="",0,(SUMIF(VCU!$B$51:$B$193,$J4151,VCU!$E$51:$E$193)*Impacts!$F$17))</f>
        <v>0</v>
      </c>
      <c r="V4151" s="10">
        <f>IF(CAS!$C$7="",0,(SUMIF(CAS!$B$31:$B$167,$J4151,CAS!$E$31:$E$167)*Impacts!$F$18))</f>
        <v>0</v>
      </c>
      <c r="W4151" s="10">
        <f t="shared" si="105"/>
        <v>0</v>
      </c>
      <c r="AK4151" s="10" t="str">
        <f t="array" ref="AK4151">IFERROR(INDEX(SelectedSpecies,SMALL(IF(SelectedSpecies=AK$1,ROW(SelectedSpecies)),ROW(4152:4152)),2),"")</f>
        <v/>
      </c>
      <c r="BE4151" s="10"/>
      <c r="BI4151" s="10"/>
    </row>
    <row r="4152" spans="1:61" ht="21" customHeight="1" x14ac:dyDescent="0.25">
      <c r="A4152" s="10"/>
      <c r="B4152" s="10"/>
      <c r="E4152" s="10"/>
      <c r="G4152" s="10"/>
      <c r="I4152" s="841" t="s">
        <v>8715</v>
      </c>
      <c r="J4152" s="101" t="s">
        <v>8715</v>
      </c>
      <c r="K4152" s="101"/>
      <c r="L4152" s="73">
        <f>IF(Tank1!$C$23="No control",(SUMIF(Tank1!$B$32:$B$49,$J4152,Tank1!$C$32:$C$49)*Impacts!$F$8),0)</f>
        <v>0</v>
      </c>
      <c r="M4152" s="10">
        <f>IF(Tank2!$C$23="No control",(SUMIF(Tank2!$B$32:$B$49,$J4152,Tank2!$C$32:$C$49)*Impacts!$F$9),0)</f>
        <v>0</v>
      </c>
      <c r="N4152" s="10">
        <f>IF(Tank3!$C$23="No control",(SUMIF(Tank3!$B$32:$B$49,$J4152,Tank3!$C$32:$C$49)*Impacts!$F$10),0)</f>
        <v>0</v>
      </c>
      <c r="O4152" s="10">
        <f>IF(Tank4!$C$23="No control",(SUMIF(Tank4!$B$32:$B$49,$J4152,Tank4!$C$32:$C$49)*Impacts!$F$11),0)</f>
        <v>0</v>
      </c>
      <c r="P4152" s="10">
        <f>IF(Tank5!$C$23="No control",(SUMIF(Tank5!$B$32:$B$49,$J4152,Tank5!$C$32:$C$49)*Impacts!$F$12),0)</f>
        <v>0</v>
      </c>
      <c r="Q4152" s="10">
        <f>IFERROR(IF(('Loading-drum,tote'!$C$21)="No control",SUMIF(('Loading-drum,tote'!$B$31:$B$48),$J4152,('Loading-drum,tote'!$D$31:$D$48))*Impacts!$F$13,IF(('Loading-drum,tote'!$C$21)&lt;&gt;"No control",SUMIF(('Loading-drum,tote'!$B$31:$B$48),$J4152,('Loading-drum,tote'!$E$31:$E$48))*Impacts!$F$13,0)),0)</f>
        <v>0</v>
      </c>
      <c r="R4152" s="10">
        <f>IFERROR(IF(('Loading-truck'!$C$21)="No control",SUMIF(('Loading-truck'!$B$31:$B$48),$J4152,('Loading-truck'!$D$31:$D$48))*Impacts!$F$14,IF(('Loading-truck'!$C$21)&lt;&gt;"No control",SUMIF(('Loading-truck'!$B$31:$B$48),$J4152,('Loading-truck'!$E$31:$E$48))*Impacts!$F$14,0)),0)</f>
        <v>0</v>
      </c>
      <c r="S4152" s="10">
        <f>IFERROR(IF(('Loading-rail'!$C$21)="No control",SUMIF(('Loading-rail'!$B$31:$B$48),$J4152,('Loading-rail'!$D$31:$D$48))*Impacts!$F$15,IF(('Loading-rail'!$C$21)&lt;&gt;"No control",SUMIF(('Loading-rail'!$B$31:$B$48),$J4152,('Loading-rail'!$E$31:$E$48))*Impacts!$F$15,0)),0)</f>
        <v>0</v>
      </c>
      <c r="T4152" s="10">
        <f>IF(Flare!$C$7="",0,(SUMIF(Flare!$B$46:$B$185,$J4152,Flare!$E$46:$E$185)*Impacts!$F$16))</f>
        <v>0</v>
      </c>
      <c r="U4152" s="10">
        <f>IF(VCU!$C$9="",0,(SUMIF(VCU!$B$51:$B$193,$J4152,VCU!$E$51:$E$193)*Impacts!$F$17))</f>
        <v>0</v>
      </c>
      <c r="V4152" s="10">
        <f>IF(CAS!$C$7="",0,(SUMIF(CAS!$B$31:$B$167,$J4152,CAS!$E$31:$E$167)*Impacts!$F$18))</f>
        <v>0</v>
      </c>
      <c r="W4152" s="10">
        <f t="shared" si="105"/>
        <v>0</v>
      </c>
      <c r="AK4152" s="10" t="str">
        <f t="array" ref="AK4152">IFERROR(INDEX(SelectedSpecies,SMALL(IF(SelectedSpecies=AK$1,ROW(SelectedSpecies)),ROW(4153:4153)),2),"")</f>
        <v/>
      </c>
      <c r="BE4152" s="10"/>
      <c r="BI4152" s="10"/>
    </row>
    <row r="4153" spans="1:61" ht="21" customHeight="1" x14ac:dyDescent="0.25">
      <c r="A4153" s="10"/>
      <c r="B4153" s="10"/>
      <c r="E4153" s="10"/>
      <c r="G4153" s="10"/>
      <c r="I4153" s="841" t="s">
        <v>8707</v>
      </c>
      <c r="J4153" s="101" t="s">
        <v>8366</v>
      </c>
      <c r="K4153" s="101" t="s">
        <v>10275</v>
      </c>
      <c r="L4153" s="73">
        <f>IF(Tank1!$C$23="No control",(SUMIF(Tank1!$B$32:$B$49,$J4153,Tank1!$C$32:$C$49)*Impacts!$F$8),0)</f>
        <v>0</v>
      </c>
      <c r="M4153" s="10">
        <f>IF(Tank2!$C$23="No control",(SUMIF(Tank2!$B$32:$B$49,$J4153,Tank2!$C$32:$C$49)*Impacts!$F$9),0)</f>
        <v>0</v>
      </c>
      <c r="N4153" s="10">
        <f>IF(Tank3!$C$23="No control",(SUMIF(Tank3!$B$32:$B$49,$J4153,Tank3!$C$32:$C$49)*Impacts!$F$10),0)</f>
        <v>0</v>
      </c>
      <c r="O4153" s="10">
        <f>IF(Tank4!$C$23="No control",(SUMIF(Tank4!$B$32:$B$49,$J4153,Tank4!$C$32:$C$49)*Impacts!$F$11),0)</f>
        <v>0</v>
      </c>
      <c r="P4153" s="10">
        <f>IF(Tank5!$C$23="No control",(SUMIF(Tank5!$B$32:$B$49,$J4153,Tank5!$C$32:$C$49)*Impacts!$F$12),0)</f>
        <v>0</v>
      </c>
      <c r="Q4153" s="10">
        <f>IFERROR(IF(('Loading-drum,tote'!$C$21)="No control",SUMIF(('Loading-drum,tote'!$B$31:$B$48),$J4153,('Loading-drum,tote'!$D$31:$D$48))*Impacts!$F$13,IF(('Loading-drum,tote'!$C$21)&lt;&gt;"No control",SUMIF(('Loading-drum,tote'!$B$31:$B$48),$J4153,('Loading-drum,tote'!$E$31:$E$48))*Impacts!$F$13,0)),0)</f>
        <v>0</v>
      </c>
      <c r="R4153" s="10">
        <f>IFERROR(IF(('Loading-truck'!$C$21)="No control",SUMIF(('Loading-truck'!$B$31:$B$48),$J4153,('Loading-truck'!$D$31:$D$48))*Impacts!$F$14,IF(('Loading-truck'!$C$21)&lt;&gt;"No control",SUMIF(('Loading-truck'!$B$31:$B$48),$J4153,('Loading-truck'!$E$31:$E$48))*Impacts!$F$14,0)),0)</f>
        <v>0</v>
      </c>
      <c r="S4153" s="10">
        <f>IFERROR(IF(('Loading-rail'!$C$21)="No control",SUMIF(('Loading-rail'!$B$31:$B$48),$J4153,('Loading-rail'!$D$31:$D$48))*Impacts!$F$15,IF(('Loading-rail'!$C$21)&lt;&gt;"No control",SUMIF(('Loading-rail'!$B$31:$B$48),$J4153,('Loading-rail'!$E$31:$E$48))*Impacts!$F$15,0)),0)</f>
        <v>0</v>
      </c>
      <c r="T4153" s="10">
        <f>IF(Flare!$C$7="",0,(SUMIF(Flare!$B$46:$B$185,$J4153,Flare!$E$46:$E$185)*Impacts!$F$16))</f>
        <v>0</v>
      </c>
      <c r="U4153" s="10">
        <f>IF(VCU!$C$9="",0,(SUMIF(VCU!$B$51:$B$193,$J4153,VCU!$E$51:$E$193)*Impacts!$F$17))</f>
        <v>0</v>
      </c>
      <c r="V4153" s="10">
        <f>IF(CAS!$C$7="",0,(SUMIF(CAS!$B$31:$B$167,$J4153,CAS!$E$31:$E$167)*Impacts!$F$18))</f>
        <v>0</v>
      </c>
      <c r="W4153" s="10">
        <f t="shared" si="105"/>
        <v>0</v>
      </c>
      <c r="AK4153" s="10" t="str">
        <f t="array" ref="AK4153">IFERROR(INDEX(SelectedSpecies,SMALL(IF(SelectedSpecies=AK$1,ROW(SelectedSpecies)),ROW(4154:4154)),2),"")</f>
        <v/>
      </c>
      <c r="BE4153" s="10"/>
      <c r="BI4153" s="10"/>
    </row>
    <row r="4154" spans="1:61" ht="21" customHeight="1" x14ac:dyDescent="0.25">
      <c r="A4154" s="10"/>
      <c r="B4154" s="10"/>
      <c r="E4154" s="10"/>
      <c r="G4154" s="10"/>
      <c r="I4154" s="841" t="s">
        <v>3</v>
      </c>
      <c r="J4154" s="101" t="s">
        <v>3</v>
      </c>
      <c r="K4154" s="101" t="s">
        <v>10275</v>
      </c>
      <c r="L4154" s="73">
        <f>IF(Tank1!$C$23="No control",(SUMIF(Tank1!$B$32:$B$49,$J4154,Tank1!$C$32:$C$49)*Impacts!$F$8),0)</f>
        <v>0</v>
      </c>
      <c r="M4154" s="10">
        <f>IF(Tank2!$C$23="No control",(SUMIF(Tank2!$B$32:$B$49,$J4154,Tank2!$C$32:$C$49)*Impacts!$F$9),0)</f>
        <v>0</v>
      </c>
      <c r="N4154" s="10">
        <f>IF(Tank3!$C$23="No control",(SUMIF(Tank3!$B$32:$B$49,$J4154,Tank3!$C$32:$C$49)*Impacts!$F$10),0)</f>
        <v>0</v>
      </c>
      <c r="O4154" s="10">
        <f>IF(Tank4!$C$23="No control",(SUMIF(Tank4!$B$32:$B$49,$J4154,Tank4!$C$32:$C$49)*Impacts!$F$11),0)</f>
        <v>0</v>
      </c>
      <c r="P4154" s="10">
        <f>IF(Tank5!$C$23="No control",(SUMIF(Tank5!$B$32:$B$49,$J4154,Tank5!$C$32:$C$49)*Impacts!$F$12),0)</f>
        <v>0</v>
      </c>
      <c r="Q4154" s="10">
        <f>IFERROR(IF(('Loading-drum,tote'!$C$21)="No control",SUMIF(('Loading-drum,tote'!$B$31:$B$48),$J4154,('Loading-drum,tote'!$D$31:$D$48))*Impacts!$F$13,IF(('Loading-drum,tote'!$C$21)&lt;&gt;"No control",SUMIF(('Loading-drum,tote'!$B$31:$B$48),$J4154,('Loading-drum,tote'!$E$31:$E$48))*Impacts!$F$13,0)),0)</f>
        <v>0</v>
      </c>
      <c r="R4154" s="10">
        <f>IFERROR(IF(('Loading-truck'!$C$21)="No control",SUMIF(('Loading-truck'!$B$31:$B$48),$J4154,('Loading-truck'!$D$31:$D$48))*Impacts!$F$14,IF(('Loading-truck'!$C$21)&lt;&gt;"No control",SUMIF(('Loading-truck'!$B$31:$B$48),$J4154,('Loading-truck'!$E$31:$E$48))*Impacts!$F$14,0)),0)</f>
        <v>0</v>
      </c>
      <c r="S4154" s="10">
        <f>IFERROR(IF(('Loading-rail'!$C$21)="No control",SUMIF(('Loading-rail'!$B$31:$B$48),$J4154,('Loading-rail'!$D$31:$D$48))*Impacts!$F$15,IF(('Loading-rail'!$C$21)&lt;&gt;"No control",SUMIF(('Loading-rail'!$B$31:$B$48),$J4154,('Loading-rail'!$E$31:$E$48))*Impacts!$F$15,0)),0)</f>
        <v>0</v>
      </c>
      <c r="T4154" s="10">
        <f>IF(Flare!$C$7="",0,(SUMIF(Flare!$B$46:$B$185,$J4154,Flare!$E$46:$E$185)*Impacts!$F$16))</f>
        <v>0</v>
      </c>
      <c r="U4154" s="10">
        <f>IF(VCU!$C$9="",0,(SUMIF(VCU!$B$51:$B$193,$J4154,VCU!$E$51:$E$193)*Impacts!$F$17))</f>
        <v>0</v>
      </c>
      <c r="V4154" s="10">
        <f>IF(CAS!$C$7="",0,(SUMIF(CAS!$B$31:$B$167,$J4154,CAS!$E$31:$E$167)*Impacts!$F$18))</f>
        <v>0</v>
      </c>
      <c r="W4154" s="10">
        <f t="shared" si="105"/>
        <v>0</v>
      </c>
      <c r="AK4154" s="10" t="str">
        <f t="array" ref="AK4154">IFERROR(INDEX(SelectedSpecies,SMALL(IF(SelectedSpecies=AK$1,ROW(SelectedSpecies)),ROW(4155:4155)),2),"")</f>
        <v/>
      </c>
      <c r="BE4154" s="10"/>
      <c r="BI4154" s="10"/>
    </row>
    <row r="4155" spans="1:61" ht="21" customHeight="1" x14ac:dyDescent="0.25">
      <c r="BE4155" s="10"/>
      <c r="BI4155" s="10"/>
    </row>
    <row r="4156" spans="1:61" ht="21" customHeight="1" x14ac:dyDescent="0.25">
      <c r="BE4156" s="10"/>
      <c r="BI4156" s="10"/>
    </row>
    <row r="4157" spans="1:61" ht="21" hidden="1" customHeight="1" x14ac:dyDescent="0.25">
      <c r="A4157" s="10"/>
      <c r="B4157" s="10"/>
      <c r="E4157" s="10"/>
      <c r="G4157" s="10"/>
      <c r="AK4157" s="10" t="str">
        <f t="array" ref="AK4157">IFERROR(INDEX(SelectedSpecies,SMALL(IF(SelectedSpecies=AK$1,ROW(SelectedSpecies)),ROW(4156:4156)),2),"")</f>
        <v/>
      </c>
    </row>
    <row r="4158" spans="1:61" ht="21" hidden="1" customHeight="1" x14ac:dyDescent="0.25">
      <c r="A4158" s="10"/>
      <c r="B4158" s="10"/>
      <c r="E4158" s="10"/>
      <c r="G4158" s="10"/>
      <c r="AK4158" s="10" t="str">
        <f t="array" ref="AK4158">IFERROR(INDEX(SelectedSpecies,SMALL(IF(SelectedSpecies=AK$1,ROW(SelectedSpecies)),ROW(4157:4157)),2),"")</f>
        <v/>
      </c>
    </row>
    <row r="4159" spans="1:61" ht="21" hidden="1" customHeight="1" x14ac:dyDescent="0.25">
      <c r="A4159" s="10"/>
      <c r="B4159" s="10"/>
      <c r="E4159" s="10"/>
      <c r="G4159" s="10"/>
      <c r="AK4159" s="10" t="str">
        <f t="array" ref="AK4159">IFERROR(INDEX(SelectedSpecies,SMALL(IF(SelectedSpecies=AK$1,ROW(SelectedSpecies)),ROW(4158:4158)),2),"")</f>
        <v/>
      </c>
    </row>
    <row r="4160" spans="1:61" ht="21" hidden="1" customHeight="1" x14ac:dyDescent="0.25">
      <c r="A4160" s="10"/>
      <c r="B4160" s="10"/>
      <c r="E4160" s="10"/>
      <c r="G4160" s="10"/>
      <c r="AK4160" s="10" t="str">
        <f t="array" ref="AK4160">IFERROR(INDEX(SelectedSpecies,SMALL(IF(SelectedSpecies=AK$1,ROW(SelectedSpecies)),ROW(4159:4159)),2),"")</f>
        <v/>
      </c>
    </row>
    <row r="4161" spans="1:37" ht="21" hidden="1" customHeight="1" x14ac:dyDescent="0.25">
      <c r="A4161" s="10"/>
      <c r="B4161" s="10"/>
      <c r="E4161" s="10"/>
      <c r="G4161" s="10"/>
      <c r="AK4161" s="10" t="str">
        <f t="array" ref="AK4161">IFERROR(INDEX(SelectedSpecies,SMALL(IF(SelectedSpecies=AK$1,ROW(SelectedSpecies)),ROW(4160:4160)),2),"")</f>
        <v/>
      </c>
    </row>
    <row r="4162" spans="1:37" ht="21" hidden="1" customHeight="1" x14ac:dyDescent="0.25">
      <c r="A4162" s="10"/>
      <c r="B4162" s="10"/>
      <c r="E4162" s="10"/>
      <c r="G4162" s="10"/>
      <c r="AK4162" s="10" t="str">
        <f t="array" ref="AK4162">IFERROR(INDEX(SelectedSpecies,SMALL(IF(SelectedSpecies=AK$1,ROW(SelectedSpecies)),ROW(4161:4161)),2),"")</f>
        <v/>
      </c>
    </row>
    <row r="4163" spans="1:37" ht="21" hidden="1" customHeight="1" x14ac:dyDescent="0.25">
      <c r="A4163" s="10"/>
      <c r="B4163" s="10"/>
      <c r="E4163" s="10"/>
      <c r="G4163" s="10"/>
      <c r="AK4163" s="10" t="str">
        <f t="array" ref="AK4163">IFERROR(INDEX(SelectedSpecies,SMALL(IF(SelectedSpecies=AK$1,ROW(SelectedSpecies)),ROW(4162:4162)),2),"")</f>
        <v/>
      </c>
    </row>
    <row r="4164" spans="1:37" ht="21" hidden="1" customHeight="1" x14ac:dyDescent="0.25">
      <c r="A4164" s="10"/>
      <c r="B4164" s="10"/>
      <c r="E4164" s="10"/>
      <c r="G4164" s="10"/>
      <c r="AK4164" s="10" t="str">
        <f t="array" ref="AK4164">IFERROR(INDEX(SelectedSpecies,SMALL(IF(SelectedSpecies=AK$1,ROW(SelectedSpecies)),ROW(4163:4163)),2),"")</f>
        <v/>
      </c>
    </row>
    <row r="4165" spans="1:37" ht="21" hidden="1" customHeight="1" x14ac:dyDescent="0.25">
      <c r="A4165" s="10"/>
      <c r="B4165" s="10"/>
      <c r="E4165" s="10"/>
      <c r="G4165" s="10"/>
      <c r="AK4165" s="10" t="str">
        <f t="array" ref="AK4165">IFERROR(INDEX(SelectedSpecies,SMALL(IF(SelectedSpecies=AK$1,ROW(SelectedSpecies)),ROW(4164:4164)),2),"")</f>
        <v/>
      </c>
    </row>
    <row r="4166" spans="1:37" ht="21" hidden="1" customHeight="1" x14ac:dyDescent="0.25">
      <c r="A4166" s="10"/>
      <c r="B4166" s="10"/>
      <c r="E4166" s="10"/>
      <c r="G4166" s="10"/>
      <c r="AK4166" s="10" t="str">
        <f t="array" ref="AK4166">IFERROR(INDEX(SelectedSpecies,SMALL(IF(SelectedSpecies=AK$1,ROW(SelectedSpecies)),ROW(4165:4165)),2),"")</f>
        <v/>
      </c>
    </row>
    <row r="4167" spans="1:37" ht="21" hidden="1" customHeight="1" x14ac:dyDescent="0.25">
      <c r="A4167" s="10"/>
      <c r="B4167" s="10"/>
      <c r="E4167" s="10"/>
      <c r="G4167" s="10"/>
      <c r="AK4167" s="10" t="str">
        <f t="array" ref="AK4167">IFERROR(INDEX(SelectedSpecies,SMALL(IF(SelectedSpecies=AK$1,ROW(SelectedSpecies)),ROW(4166:4166)),2),"")</f>
        <v/>
      </c>
    </row>
    <row r="4168" spans="1:37" ht="21" hidden="1" customHeight="1" x14ac:dyDescent="0.25">
      <c r="A4168" s="10"/>
      <c r="B4168" s="10"/>
      <c r="E4168" s="10"/>
      <c r="G4168" s="10"/>
      <c r="AK4168" s="10" t="str">
        <f t="array" ref="AK4168">IFERROR(INDEX(SelectedSpecies,SMALL(IF(SelectedSpecies=AK$1,ROW(SelectedSpecies)),ROW(4167:4167)),2),"")</f>
        <v/>
      </c>
    </row>
    <row r="4169" spans="1:37" ht="21" hidden="1" customHeight="1" x14ac:dyDescent="0.25">
      <c r="A4169" s="10"/>
      <c r="B4169" s="10"/>
      <c r="E4169" s="10"/>
      <c r="G4169" s="10"/>
      <c r="AK4169" s="10" t="str">
        <f t="array" ref="AK4169">IFERROR(INDEX(SelectedSpecies,SMALL(IF(SelectedSpecies=AK$1,ROW(SelectedSpecies)),ROW(4168:4168)),2),"")</f>
        <v/>
      </c>
    </row>
    <row r="4170" spans="1:37" ht="21" hidden="1" customHeight="1" x14ac:dyDescent="0.25">
      <c r="A4170" s="10"/>
      <c r="B4170" s="10"/>
      <c r="E4170" s="10"/>
      <c r="G4170" s="10"/>
      <c r="AK4170" s="10" t="str">
        <f t="array" ref="AK4170">IFERROR(INDEX(SelectedSpecies,SMALL(IF(SelectedSpecies=AK$1,ROW(SelectedSpecies)),ROW(4169:4169)),2),"")</f>
        <v/>
      </c>
    </row>
    <row r="4171" spans="1:37" ht="21" hidden="1" customHeight="1" x14ac:dyDescent="0.25">
      <c r="A4171" s="10"/>
      <c r="B4171" s="10"/>
      <c r="E4171" s="10"/>
      <c r="G4171" s="10"/>
      <c r="AK4171" s="10" t="str">
        <f t="array" ref="AK4171">IFERROR(INDEX(SelectedSpecies,SMALL(IF(SelectedSpecies=AK$1,ROW(SelectedSpecies)),ROW(4170:4170)),2),"")</f>
        <v/>
      </c>
    </row>
    <row r="4172" spans="1:37" ht="21" hidden="1" customHeight="1" x14ac:dyDescent="0.25">
      <c r="A4172" s="10"/>
      <c r="B4172" s="10"/>
      <c r="E4172" s="10"/>
      <c r="G4172" s="10"/>
      <c r="AK4172" s="10" t="str">
        <f t="array" ref="AK4172">IFERROR(INDEX(SelectedSpecies,SMALL(IF(SelectedSpecies=AK$1,ROW(SelectedSpecies)),ROW(4171:4171)),2),"")</f>
        <v/>
      </c>
    </row>
    <row r="4173" spans="1:37" ht="21" hidden="1" customHeight="1" x14ac:dyDescent="0.25">
      <c r="A4173" s="10"/>
      <c r="B4173" s="10"/>
      <c r="E4173" s="10"/>
      <c r="G4173" s="10"/>
      <c r="AK4173" s="10" t="str">
        <f t="array" ref="AK4173">IFERROR(INDEX(SelectedSpecies,SMALL(IF(SelectedSpecies=AK$1,ROW(SelectedSpecies)),ROW(4172:4172)),2),"")</f>
        <v/>
      </c>
    </row>
    <row r="4174" spans="1:37" ht="21" hidden="1" customHeight="1" x14ac:dyDescent="0.25">
      <c r="A4174" s="10"/>
      <c r="B4174" s="10"/>
      <c r="E4174" s="10"/>
      <c r="G4174" s="10"/>
      <c r="AK4174" s="10" t="str">
        <f t="array" ref="AK4174">IFERROR(INDEX(SelectedSpecies,SMALL(IF(SelectedSpecies=AK$1,ROW(SelectedSpecies)),ROW(4173:4173)),2),"")</f>
        <v/>
      </c>
    </row>
    <row r="4175" spans="1:37" ht="21" hidden="1" customHeight="1" x14ac:dyDescent="0.25">
      <c r="A4175" s="10"/>
      <c r="B4175" s="10"/>
      <c r="E4175" s="10"/>
      <c r="G4175" s="10"/>
      <c r="AK4175" s="10" t="str">
        <f t="array" ref="AK4175">IFERROR(INDEX(SelectedSpecies,SMALL(IF(SelectedSpecies=AK$1,ROW(SelectedSpecies)),ROW(4174:4174)),2),"")</f>
        <v/>
      </c>
    </row>
    <row r="4176" spans="1:37" ht="21" hidden="1" customHeight="1" x14ac:dyDescent="0.25">
      <c r="A4176" s="10"/>
      <c r="B4176" s="10"/>
      <c r="E4176" s="10"/>
      <c r="G4176" s="10"/>
      <c r="AK4176" s="10" t="str">
        <f t="array" ref="AK4176">IFERROR(INDEX(SelectedSpecies,SMALL(IF(SelectedSpecies=AK$1,ROW(SelectedSpecies)),ROW(4175:4175)),2),"")</f>
        <v/>
      </c>
    </row>
    <row r="4177" spans="1:37" ht="21" hidden="1" customHeight="1" x14ac:dyDescent="0.25">
      <c r="A4177" s="10"/>
      <c r="B4177" s="10"/>
      <c r="E4177" s="10"/>
      <c r="G4177" s="10"/>
      <c r="AK4177" s="10" t="str">
        <f t="array" ref="AK4177">IFERROR(INDEX(SelectedSpecies,SMALL(IF(SelectedSpecies=AK$1,ROW(SelectedSpecies)),ROW(4176:4176)),2),"")</f>
        <v/>
      </c>
    </row>
    <row r="4178" spans="1:37" ht="21" hidden="1" customHeight="1" x14ac:dyDescent="0.25">
      <c r="A4178" s="10"/>
      <c r="B4178" s="10"/>
      <c r="E4178" s="10"/>
      <c r="G4178" s="10"/>
      <c r="AK4178" s="10" t="str">
        <f t="array" ref="AK4178">IFERROR(INDEX(SelectedSpecies,SMALL(IF(SelectedSpecies=AK$1,ROW(SelectedSpecies)),ROW(4177:4177)),2),"")</f>
        <v/>
      </c>
    </row>
    <row r="4179" spans="1:37" ht="21" hidden="1" customHeight="1" x14ac:dyDescent="0.25">
      <c r="A4179" s="10"/>
      <c r="B4179" s="10"/>
      <c r="E4179" s="10"/>
      <c r="G4179" s="10"/>
      <c r="AK4179" s="10" t="str">
        <f t="array" ref="AK4179">IFERROR(INDEX(SelectedSpecies,SMALL(IF(SelectedSpecies=AK$1,ROW(SelectedSpecies)),ROW(4178:4178)),2),"")</f>
        <v/>
      </c>
    </row>
    <row r="4180" spans="1:37" ht="21" hidden="1" customHeight="1" x14ac:dyDescent="0.25">
      <c r="A4180" s="10"/>
      <c r="B4180" s="10"/>
      <c r="E4180" s="10"/>
      <c r="G4180" s="10"/>
      <c r="AK4180" s="10" t="str">
        <f t="array" ref="AK4180">IFERROR(INDEX(SelectedSpecies,SMALL(IF(SelectedSpecies=AK$1,ROW(SelectedSpecies)),ROW(4179:4179)),2),"")</f>
        <v/>
      </c>
    </row>
    <row r="4181" spans="1:37" ht="21" hidden="1" customHeight="1" x14ac:dyDescent="0.25">
      <c r="A4181" s="10"/>
      <c r="B4181" s="10"/>
      <c r="E4181" s="10"/>
      <c r="G4181" s="10"/>
      <c r="AK4181" s="10" t="str">
        <f t="array" ref="AK4181">IFERROR(INDEX(SelectedSpecies,SMALL(IF(SelectedSpecies=AK$1,ROW(SelectedSpecies)),ROW(4180:4180)),2),"")</f>
        <v/>
      </c>
    </row>
    <row r="4182" spans="1:37" ht="21" hidden="1" customHeight="1" x14ac:dyDescent="0.25">
      <c r="A4182" s="10"/>
      <c r="B4182" s="10"/>
      <c r="E4182" s="10"/>
      <c r="G4182" s="10"/>
      <c r="AK4182" s="10" t="str">
        <f t="array" ref="AK4182">IFERROR(INDEX(SelectedSpecies,SMALL(IF(SelectedSpecies=AK$1,ROW(SelectedSpecies)),ROW(4181:4181)),2),"")</f>
        <v/>
      </c>
    </row>
    <row r="4183" spans="1:37" ht="21" hidden="1" customHeight="1" x14ac:dyDescent="0.25">
      <c r="A4183" s="10"/>
      <c r="B4183" s="10"/>
      <c r="E4183" s="10"/>
      <c r="G4183" s="10"/>
      <c r="AK4183" s="10" t="str">
        <f t="array" ref="AK4183">IFERROR(INDEX(SelectedSpecies,SMALL(IF(SelectedSpecies=AK$1,ROW(SelectedSpecies)),ROW(4182:4182)),2),"")</f>
        <v/>
      </c>
    </row>
    <row r="4184" spans="1:37" ht="21" hidden="1" customHeight="1" x14ac:dyDescent="0.25">
      <c r="A4184" s="10"/>
      <c r="B4184" s="10"/>
      <c r="E4184" s="10"/>
      <c r="G4184" s="10"/>
      <c r="AK4184" s="10" t="str">
        <f t="array" ref="AK4184">IFERROR(INDEX(SelectedSpecies,SMALL(IF(SelectedSpecies=AK$1,ROW(SelectedSpecies)),ROW(4183:4183)),2),"")</f>
        <v/>
      </c>
    </row>
    <row r="4185" spans="1:37" ht="21" hidden="1" customHeight="1" x14ac:dyDescent="0.25">
      <c r="A4185" s="10"/>
      <c r="B4185" s="10"/>
      <c r="E4185" s="10"/>
      <c r="G4185" s="10"/>
      <c r="AK4185" s="10" t="str">
        <f t="array" ref="AK4185">IFERROR(INDEX(SelectedSpecies,SMALL(IF(SelectedSpecies=AK$1,ROW(SelectedSpecies)),ROW(4184:4184)),2),"")</f>
        <v/>
      </c>
    </row>
    <row r="4186" spans="1:37" ht="21" hidden="1" customHeight="1" x14ac:dyDescent="0.25">
      <c r="A4186" s="10"/>
      <c r="B4186" s="10"/>
      <c r="E4186" s="10"/>
      <c r="G4186" s="10"/>
      <c r="AK4186" s="10" t="str">
        <f t="array" ref="AK4186">IFERROR(INDEX(SelectedSpecies,SMALL(IF(SelectedSpecies=AK$1,ROW(SelectedSpecies)),ROW(4185:4185)),2),"")</f>
        <v/>
      </c>
    </row>
    <row r="4187" spans="1:37" ht="21" hidden="1" customHeight="1" x14ac:dyDescent="0.25">
      <c r="A4187" s="10"/>
      <c r="B4187" s="10"/>
      <c r="E4187" s="10"/>
      <c r="G4187" s="10"/>
      <c r="AK4187" s="10" t="str">
        <f t="array" ref="AK4187">IFERROR(INDEX(SelectedSpecies,SMALL(IF(SelectedSpecies=AK$1,ROW(SelectedSpecies)),ROW(4186:4186)),2),"")</f>
        <v/>
      </c>
    </row>
    <row r="4188" spans="1:37" ht="21" hidden="1" customHeight="1" x14ac:dyDescent="0.25">
      <c r="A4188" s="10"/>
      <c r="B4188" s="10"/>
      <c r="E4188" s="10"/>
      <c r="G4188" s="10"/>
      <c r="AK4188" s="10" t="str">
        <f t="array" ref="AK4188">IFERROR(INDEX(SelectedSpecies,SMALL(IF(SelectedSpecies=AK$1,ROW(SelectedSpecies)),ROW(4187:4187)),2),"")</f>
        <v/>
      </c>
    </row>
    <row r="4189" spans="1:37" ht="21" hidden="1" customHeight="1" x14ac:dyDescent="0.25">
      <c r="A4189" s="10"/>
      <c r="B4189" s="10"/>
      <c r="E4189" s="10"/>
      <c r="G4189" s="10"/>
      <c r="AK4189" s="10" t="str">
        <f t="array" ref="AK4189">IFERROR(INDEX(SelectedSpecies,SMALL(IF(SelectedSpecies=AK$1,ROW(SelectedSpecies)),ROW(4188:4188)),2),"")</f>
        <v/>
      </c>
    </row>
    <row r="4190" spans="1:37" ht="21" hidden="1" customHeight="1" x14ac:dyDescent="0.25">
      <c r="A4190" s="10"/>
      <c r="B4190" s="10"/>
      <c r="E4190" s="10"/>
      <c r="G4190" s="10"/>
      <c r="AK4190" s="10" t="str">
        <f t="array" ref="AK4190">IFERROR(INDEX(SelectedSpecies,SMALL(IF(SelectedSpecies=AK$1,ROW(SelectedSpecies)),ROW(4189:4189)),2),"")</f>
        <v/>
      </c>
    </row>
    <row r="4191" spans="1:37" ht="21" hidden="1" customHeight="1" x14ac:dyDescent="0.25">
      <c r="A4191" s="10"/>
      <c r="B4191" s="10"/>
      <c r="E4191" s="10"/>
      <c r="G4191" s="10"/>
      <c r="AK4191" s="10" t="str">
        <f t="array" ref="AK4191">IFERROR(INDEX(SelectedSpecies,SMALL(IF(SelectedSpecies=AK$1,ROW(SelectedSpecies)),ROW(4190:4190)),2),"")</f>
        <v/>
      </c>
    </row>
    <row r="4192" spans="1:37" ht="21" hidden="1" customHeight="1" x14ac:dyDescent="0.25">
      <c r="A4192" s="10"/>
      <c r="B4192" s="10"/>
      <c r="E4192" s="10"/>
      <c r="G4192" s="10"/>
      <c r="AK4192" s="10" t="str">
        <f t="array" ref="AK4192">IFERROR(INDEX(SelectedSpecies,SMALL(IF(SelectedSpecies=AK$1,ROW(SelectedSpecies)),ROW(4191:4191)),2),"")</f>
        <v/>
      </c>
    </row>
    <row r="4193" spans="1:37" ht="21" hidden="1" customHeight="1" x14ac:dyDescent="0.25">
      <c r="A4193" s="10"/>
      <c r="B4193" s="10"/>
      <c r="E4193" s="10"/>
      <c r="G4193" s="10"/>
      <c r="AK4193" s="10" t="str">
        <f t="array" ref="AK4193">IFERROR(INDEX(SelectedSpecies,SMALL(IF(SelectedSpecies=AK$1,ROW(SelectedSpecies)),ROW(4192:4192)),2),"")</f>
        <v/>
      </c>
    </row>
    <row r="4194" spans="1:37" ht="21" hidden="1" customHeight="1" x14ac:dyDescent="0.25">
      <c r="A4194" s="10"/>
      <c r="B4194" s="10"/>
      <c r="E4194" s="10"/>
      <c r="G4194" s="10"/>
      <c r="AK4194" s="10" t="str">
        <f t="array" ref="AK4194">IFERROR(INDEX(SelectedSpecies,SMALL(IF(SelectedSpecies=AK$1,ROW(SelectedSpecies)),ROW(4193:4193)),2),"")</f>
        <v/>
      </c>
    </row>
    <row r="4195" spans="1:37" ht="21" hidden="1" customHeight="1" x14ac:dyDescent="0.25">
      <c r="A4195" s="10"/>
      <c r="B4195" s="10"/>
      <c r="E4195" s="10"/>
      <c r="G4195" s="10"/>
      <c r="AK4195" s="10" t="str">
        <f t="array" ref="AK4195">IFERROR(INDEX(SelectedSpecies,SMALL(IF(SelectedSpecies=AK$1,ROW(SelectedSpecies)),ROW(4194:4194)),2),"")</f>
        <v/>
      </c>
    </row>
    <row r="4196" spans="1:37" ht="21" hidden="1" customHeight="1" x14ac:dyDescent="0.25">
      <c r="A4196" s="10"/>
      <c r="B4196" s="10"/>
      <c r="E4196" s="10"/>
      <c r="G4196" s="10"/>
      <c r="AK4196" s="10" t="str">
        <f t="array" ref="AK4196">IFERROR(INDEX(SelectedSpecies,SMALL(IF(SelectedSpecies=AK$1,ROW(SelectedSpecies)),ROW(4195:4195)),2),"")</f>
        <v/>
      </c>
    </row>
    <row r="4197" spans="1:37" ht="21" hidden="1" customHeight="1" x14ac:dyDescent="0.25">
      <c r="A4197" s="10"/>
      <c r="B4197" s="10"/>
      <c r="E4197" s="10"/>
      <c r="G4197" s="10"/>
      <c r="AK4197" s="10" t="str">
        <f t="array" ref="AK4197">IFERROR(INDEX(SelectedSpecies,SMALL(IF(SelectedSpecies=AK$1,ROW(SelectedSpecies)),ROW(4196:4196)),2),"")</f>
        <v/>
      </c>
    </row>
    <row r="4198" spans="1:37" ht="21" hidden="1" customHeight="1" x14ac:dyDescent="0.25">
      <c r="A4198" s="10"/>
      <c r="B4198" s="10"/>
      <c r="E4198" s="10"/>
      <c r="G4198" s="10"/>
      <c r="AK4198" s="10" t="str">
        <f t="array" ref="AK4198">IFERROR(INDEX(SelectedSpecies,SMALL(IF(SelectedSpecies=AK$1,ROW(SelectedSpecies)),ROW(4197:4197)),2),"")</f>
        <v/>
      </c>
    </row>
    <row r="4199" spans="1:37" ht="21" hidden="1" customHeight="1" x14ac:dyDescent="0.25">
      <c r="A4199" s="10"/>
      <c r="B4199" s="10"/>
      <c r="E4199" s="10"/>
      <c r="G4199" s="10"/>
      <c r="AK4199" s="10" t="str">
        <f t="array" ref="AK4199">IFERROR(INDEX(SelectedSpecies,SMALL(IF(SelectedSpecies=AK$1,ROW(SelectedSpecies)),ROW(4198:4198)),2),"")</f>
        <v/>
      </c>
    </row>
    <row r="4200" spans="1:37" ht="21" hidden="1" customHeight="1" x14ac:dyDescent="0.25">
      <c r="A4200" s="10"/>
      <c r="B4200" s="10"/>
      <c r="E4200" s="10"/>
      <c r="G4200" s="10"/>
      <c r="AK4200" s="10" t="str">
        <f t="array" ref="AK4200">IFERROR(INDEX(SelectedSpecies,SMALL(IF(SelectedSpecies=AK$1,ROW(SelectedSpecies)),ROW(4199:4199)),2),"")</f>
        <v/>
      </c>
    </row>
    <row r="4201" spans="1:37" ht="21" hidden="1" customHeight="1" x14ac:dyDescent="0.25">
      <c r="A4201" s="10"/>
      <c r="B4201" s="10"/>
      <c r="E4201" s="10"/>
      <c r="G4201" s="10"/>
      <c r="AK4201" s="10" t="str">
        <f t="array" ref="AK4201">IFERROR(INDEX(SelectedSpecies,SMALL(IF(SelectedSpecies=AK$1,ROW(SelectedSpecies)),ROW(4200:4200)),2),"")</f>
        <v/>
      </c>
    </row>
    <row r="4202" spans="1:37" ht="21" hidden="1" customHeight="1" x14ac:dyDescent="0.25">
      <c r="A4202" s="10"/>
      <c r="B4202" s="10"/>
      <c r="E4202" s="10"/>
      <c r="G4202" s="10"/>
      <c r="AK4202" s="10" t="str">
        <f t="array" ref="AK4202">IFERROR(INDEX(SelectedSpecies,SMALL(IF(SelectedSpecies=AK$1,ROW(SelectedSpecies)),ROW(4201:4201)),2),"")</f>
        <v/>
      </c>
    </row>
    <row r="4203" spans="1:37" ht="21" hidden="1" customHeight="1" x14ac:dyDescent="0.25">
      <c r="A4203" s="10"/>
      <c r="B4203" s="10"/>
      <c r="E4203" s="10"/>
      <c r="G4203" s="10"/>
      <c r="AK4203" s="10" t="str">
        <f t="array" ref="AK4203">IFERROR(INDEX(SelectedSpecies,SMALL(IF(SelectedSpecies=AK$1,ROW(SelectedSpecies)),ROW(4202:4202)),2),"")</f>
        <v/>
      </c>
    </row>
    <row r="4204" spans="1:37" ht="21" hidden="1" customHeight="1" x14ac:dyDescent="0.25">
      <c r="A4204" s="10"/>
      <c r="B4204" s="10"/>
      <c r="E4204" s="10"/>
      <c r="G4204" s="10"/>
      <c r="AK4204" s="10" t="str">
        <f t="array" ref="AK4204">IFERROR(INDEX(SelectedSpecies,SMALL(IF(SelectedSpecies=AK$1,ROW(SelectedSpecies)),ROW(4203:4203)),2),"")</f>
        <v/>
      </c>
    </row>
    <row r="4205" spans="1:37" ht="21" hidden="1" customHeight="1" x14ac:dyDescent="0.25">
      <c r="A4205" s="10"/>
      <c r="B4205" s="10"/>
      <c r="E4205" s="10"/>
      <c r="G4205" s="10"/>
      <c r="AK4205" s="10" t="str">
        <f t="array" ref="AK4205">IFERROR(INDEX(SelectedSpecies,SMALL(IF(SelectedSpecies=AK$1,ROW(SelectedSpecies)),ROW(4204:4204)),2),"")</f>
        <v/>
      </c>
    </row>
    <row r="4206" spans="1:37" ht="21" hidden="1" customHeight="1" x14ac:dyDescent="0.25">
      <c r="A4206" s="10"/>
      <c r="B4206" s="10"/>
      <c r="E4206" s="10"/>
      <c r="G4206" s="10"/>
      <c r="AK4206" s="10" t="str">
        <f t="array" ref="AK4206">IFERROR(INDEX(SelectedSpecies,SMALL(IF(SelectedSpecies=AK$1,ROW(SelectedSpecies)),ROW(4205:4205)),2),"")</f>
        <v/>
      </c>
    </row>
    <row r="4207" spans="1:37" ht="21" hidden="1" customHeight="1" x14ac:dyDescent="0.25">
      <c r="A4207" s="10"/>
      <c r="B4207" s="10"/>
      <c r="E4207" s="10"/>
      <c r="G4207" s="10"/>
      <c r="AK4207" s="10" t="str">
        <f t="array" ref="AK4207">IFERROR(INDEX(SelectedSpecies,SMALL(IF(SelectedSpecies=AK$1,ROW(SelectedSpecies)),ROW(4206:4206)),2),"")</f>
        <v/>
      </c>
    </row>
    <row r="4208" spans="1:37" ht="21" hidden="1" customHeight="1" x14ac:dyDescent="0.25">
      <c r="A4208" s="10"/>
      <c r="B4208" s="10"/>
      <c r="E4208" s="10"/>
      <c r="G4208" s="10"/>
      <c r="AK4208" s="10" t="str">
        <f t="array" ref="AK4208">IFERROR(INDEX(SelectedSpecies,SMALL(IF(SelectedSpecies=AK$1,ROW(SelectedSpecies)),ROW(4207:4207)),2),"")</f>
        <v/>
      </c>
    </row>
    <row r="4209" spans="1:37" ht="21" hidden="1" customHeight="1" x14ac:dyDescent="0.25">
      <c r="A4209" s="10"/>
      <c r="B4209" s="10"/>
      <c r="E4209" s="10"/>
      <c r="G4209" s="10"/>
      <c r="AK4209" s="10" t="str">
        <f t="array" ref="AK4209">IFERROR(INDEX(SelectedSpecies,SMALL(IF(SelectedSpecies=AK$1,ROW(SelectedSpecies)),ROW(4208:4208)),2),"")</f>
        <v/>
      </c>
    </row>
    <row r="4210" spans="1:37" ht="21" hidden="1" customHeight="1" x14ac:dyDescent="0.25">
      <c r="A4210" s="10"/>
      <c r="B4210" s="10"/>
      <c r="E4210" s="10"/>
      <c r="G4210" s="10"/>
      <c r="AK4210" s="10" t="str">
        <f t="array" ref="AK4210">IFERROR(INDEX(SelectedSpecies,SMALL(IF(SelectedSpecies=AK$1,ROW(SelectedSpecies)),ROW(4209:4209)),2),"")</f>
        <v/>
      </c>
    </row>
    <row r="4211" spans="1:37" ht="21" hidden="1" customHeight="1" x14ac:dyDescent="0.25">
      <c r="A4211" s="10"/>
      <c r="B4211" s="10"/>
      <c r="E4211" s="10"/>
      <c r="G4211" s="10"/>
      <c r="AK4211" s="10" t="str">
        <f t="array" ref="AK4211">IFERROR(INDEX(SelectedSpecies,SMALL(IF(SelectedSpecies=AK$1,ROW(SelectedSpecies)),ROW(4210:4210)),2),"")</f>
        <v/>
      </c>
    </row>
    <row r="4212" spans="1:37" ht="21" hidden="1" customHeight="1" x14ac:dyDescent="0.25">
      <c r="A4212" s="10"/>
      <c r="B4212" s="10"/>
      <c r="E4212" s="10"/>
      <c r="G4212" s="10"/>
      <c r="AK4212" s="10" t="str">
        <f t="array" ref="AK4212">IFERROR(INDEX(SelectedSpecies,SMALL(IF(SelectedSpecies=AK$1,ROW(SelectedSpecies)),ROW(4211:4211)),2),"")</f>
        <v/>
      </c>
    </row>
    <row r="4213" spans="1:37" ht="21" hidden="1" customHeight="1" x14ac:dyDescent="0.25">
      <c r="A4213" s="10"/>
      <c r="B4213" s="10"/>
      <c r="E4213" s="10"/>
      <c r="G4213" s="10"/>
      <c r="AK4213" s="10" t="str">
        <f t="array" ref="AK4213">IFERROR(INDEX(SelectedSpecies,SMALL(IF(SelectedSpecies=AK$1,ROW(SelectedSpecies)),ROW(4212:4212)),2),"")</f>
        <v/>
      </c>
    </row>
    <row r="4214" spans="1:37" ht="21" hidden="1" customHeight="1" x14ac:dyDescent="0.25">
      <c r="A4214" s="10"/>
      <c r="B4214" s="10"/>
      <c r="E4214" s="10"/>
      <c r="G4214" s="10"/>
      <c r="AK4214" s="10" t="str">
        <f t="array" ref="AK4214">IFERROR(INDEX(SelectedSpecies,SMALL(IF(SelectedSpecies=AK$1,ROW(SelectedSpecies)),ROW(4213:4213)),2),"")</f>
        <v/>
      </c>
    </row>
    <row r="4215" spans="1:37" ht="21" hidden="1" customHeight="1" x14ac:dyDescent="0.25">
      <c r="A4215" s="10"/>
      <c r="B4215" s="10"/>
      <c r="E4215" s="10"/>
      <c r="G4215" s="10"/>
      <c r="AK4215" s="10" t="str">
        <f t="array" ref="AK4215">IFERROR(INDEX(SelectedSpecies,SMALL(IF(SelectedSpecies=AK$1,ROW(SelectedSpecies)),ROW(4214:4214)),2),"")</f>
        <v/>
      </c>
    </row>
    <row r="4216" spans="1:37" ht="21" hidden="1" customHeight="1" x14ac:dyDescent="0.25">
      <c r="A4216" s="10"/>
      <c r="B4216" s="10"/>
      <c r="E4216" s="10"/>
      <c r="G4216" s="10"/>
      <c r="AK4216" s="10" t="str">
        <f t="array" ref="AK4216">IFERROR(INDEX(SelectedSpecies,SMALL(IF(SelectedSpecies=AK$1,ROW(SelectedSpecies)),ROW(4215:4215)),2),"")</f>
        <v/>
      </c>
    </row>
    <row r="4217" spans="1:37" ht="21" hidden="1" customHeight="1" x14ac:dyDescent="0.25">
      <c r="A4217" s="10"/>
      <c r="B4217" s="10"/>
      <c r="E4217" s="10"/>
      <c r="G4217" s="10"/>
      <c r="AK4217" s="10" t="str">
        <f t="array" ref="AK4217">IFERROR(INDEX(SelectedSpecies,SMALL(IF(SelectedSpecies=AK$1,ROW(SelectedSpecies)),ROW(4216:4216)),2),"")</f>
        <v/>
      </c>
    </row>
    <row r="4218" spans="1:37" ht="21" hidden="1" customHeight="1" x14ac:dyDescent="0.25">
      <c r="A4218" s="10"/>
      <c r="B4218" s="10"/>
      <c r="E4218" s="10"/>
      <c r="G4218" s="10"/>
      <c r="AK4218" s="10" t="str">
        <f t="array" ref="AK4218">IFERROR(INDEX(SelectedSpecies,SMALL(IF(SelectedSpecies=AK$1,ROW(SelectedSpecies)),ROW(4217:4217)),2),"")</f>
        <v/>
      </c>
    </row>
    <row r="4219" spans="1:37" ht="21" hidden="1" customHeight="1" x14ac:dyDescent="0.25">
      <c r="A4219" s="10"/>
      <c r="B4219" s="10"/>
      <c r="E4219" s="10"/>
      <c r="G4219" s="10"/>
      <c r="AK4219" s="10" t="str">
        <f t="array" ref="AK4219">IFERROR(INDEX(SelectedSpecies,SMALL(IF(SelectedSpecies=AK$1,ROW(SelectedSpecies)),ROW(4218:4218)),2),"")</f>
        <v/>
      </c>
    </row>
    <row r="4220" spans="1:37" ht="21" hidden="1" customHeight="1" x14ac:dyDescent="0.25">
      <c r="A4220" s="10"/>
      <c r="B4220" s="10"/>
      <c r="E4220" s="10"/>
      <c r="G4220" s="10"/>
      <c r="AK4220" s="10" t="str">
        <f t="array" ref="AK4220">IFERROR(INDEX(SelectedSpecies,SMALL(IF(SelectedSpecies=AK$1,ROW(SelectedSpecies)),ROW(4219:4219)),2),"")</f>
        <v/>
      </c>
    </row>
    <row r="4221" spans="1:37" ht="21" hidden="1" customHeight="1" x14ac:dyDescent="0.25">
      <c r="A4221" s="10"/>
      <c r="B4221" s="10"/>
      <c r="E4221" s="10"/>
      <c r="G4221" s="10"/>
      <c r="AK4221" s="10" t="str">
        <f t="array" ref="AK4221">IFERROR(INDEX(SelectedSpecies,SMALL(IF(SelectedSpecies=AK$1,ROW(SelectedSpecies)),ROW(4220:4220)),2),"")</f>
        <v/>
      </c>
    </row>
    <row r="4222" spans="1:37" ht="21" hidden="1" customHeight="1" x14ac:dyDescent="0.25">
      <c r="A4222" s="10"/>
      <c r="B4222" s="10"/>
      <c r="E4222" s="10"/>
      <c r="G4222" s="10"/>
      <c r="AK4222" s="10" t="str">
        <f t="array" ref="AK4222">IFERROR(INDEX(SelectedSpecies,SMALL(IF(SelectedSpecies=AK$1,ROW(SelectedSpecies)),ROW(4221:4221)),2),"")</f>
        <v/>
      </c>
    </row>
    <row r="4223" spans="1:37" ht="21" hidden="1" customHeight="1" x14ac:dyDescent="0.25">
      <c r="A4223" s="10"/>
      <c r="B4223" s="10"/>
      <c r="E4223" s="10"/>
      <c r="G4223" s="10"/>
      <c r="AK4223" s="10" t="str">
        <f t="array" ref="AK4223">IFERROR(INDEX(SelectedSpecies,SMALL(IF(SelectedSpecies=AK$1,ROW(SelectedSpecies)),ROW(4222:4222)),2),"")</f>
        <v/>
      </c>
    </row>
    <row r="4224" spans="1:37" ht="21" hidden="1" customHeight="1" x14ac:dyDescent="0.25">
      <c r="A4224" s="10"/>
      <c r="B4224" s="10"/>
      <c r="E4224" s="10"/>
      <c r="G4224" s="10"/>
      <c r="AK4224" s="10" t="str">
        <f t="array" ref="AK4224">IFERROR(INDEX(SelectedSpecies,SMALL(IF(SelectedSpecies=AK$1,ROW(SelectedSpecies)),ROW(4223:4223)),2),"")</f>
        <v/>
      </c>
    </row>
    <row r="4225" spans="1:37" ht="21" hidden="1" customHeight="1" x14ac:dyDescent="0.25">
      <c r="A4225" s="10"/>
      <c r="B4225" s="10"/>
      <c r="E4225" s="10"/>
      <c r="G4225" s="10"/>
      <c r="AK4225" s="10" t="str">
        <f t="array" ref="AK4225">IFERROR(INDEX(SelectedSpecies,SMALL(IF(SelectedSpecies=AK$1,ROW(SelectedSpecies)),ROW(4224:4224)),2),"")</f>
        <v/>
      </c>
    </row>
    <row r="4226" spans="1:37" ht="21" hidden="1" customHeight="1" x14ac:dyDescent="0.25">
      <c r="A4226" s="10"/>
      <c r="B4226" s="10"/>
      <c r="E4226" s="10"/>
      <c r="G4226" s="10"/>
      <c r="AK4226" s="10" t="str">
        <f t="array" ref="AK4226">IFERROR(INDEX(SelectedSpecies,SMALL(IF(SelectedSpecies=AK$1,ROW(SelectedSpecies)),ROW(4225:4225)),2),"")</f>
        <v/>
      </c>
    </row>
    <row r="4227" spans="1:37" ht="21" hidden="1" customHeight="1" x14ac:dyDescent="0.25">
      <c r="A4227" s="10"/>
      <c r="B4227" s="10"/>
      <c r="E4227" s="10"/>
      <c r="G4227" s="10"/>
      <c r="AK4227" s="10" t="str">
        <f t="array" ref="AK4227">IFERROR(INDEX(SelectedSpecies,SMALL(IF(SelectedSpecies=AK$1,ROW(SelectedSpecies)),ROW(4226:4226)),2),"")</f>
        <v/>
      </c>
    </row>
    <row r="4228" spans="1:37" ht="21" hidden="1" customHeight="1" x14ac:dyDescent="0.25">
      <c r="A4228" s="10"/>
      <c r="B4228" s="10"/>
      <c r="E4228" s="10"/>
      <c r="G4228" s="10"/>
      <c r="AK4228" s="10" t="str">
        <f t="array" ref="AK4228">IFERROR(INDEX(SelectedSpecies,SMALL(IF(SelectedSpecies=AK$1,ROW(SelectedSpecies)),ROW(4227:4227)),2),"")</f>
        <v/>
      </c>
    </row>
    <row r="4229" spans="1:37" ht="21" hidden="1" customHeight="1" x14ac:dyDescent="0.25">
      <c r="A4229" s="10"/>
      <c r="B4229" s="10"/>
      <c r="E4229" s="10"/>
      <c r="G4229" s="10"/>
      <c r="AK4229" s="10" t="str">
        <f t="array" ref="AK4229">IFERROR(INDEX(SelectedSpecies,SMALL(IF(SelectedSpecies=AK$1,ROW(SelectedSpecies)),ROW(4228:4228)),2),"")</f>
        <v/>
      </c>
    </row>
    <row r="4230" spans="1:37" ht="21" hidden="1" customHeight="1" x14ac:dyDescent="0.25">
      <c r="A4230" s="10"/>
      <c r="B4230" s="10"/>
      <c r="E4230" s="10"/>
      <c r="G4230" s="10"/>
      <c r="AK4230" s="10" t="str">
        <f t="array" ref="AK4230">IFERROR(INDEX(SelectedSpecies,SMALL(IF(SelectedSpecies=AK$1,ROW(SelectedSpecies)),ROW(4229:4229)),2),"")</f>
        <v/>
      </c>
    </row>
    <row r="4231" spans="1:37" ht="21" hidden="1" customHeight="1" x14ac:dyDescent="0.25">
      <c r="A4231" s="10"/>
      <c r="B4231" s="10"/>
      <c r="E4231" s="10"/>
      <c r="G4231" s="10"/>
      <c r="AK4231" s="10" t="str">
        <f t="array" ref="AK4231">IFERROR(INDEX(SelectedSpecies,SMALL(IF(SelectedSpecies=AK$1,ROW(SelectedSpecies)),ROW(4230:4230)),2),"")</f>
        <v/>
      </c>
    </row>
    <row r="4232" spans="1:37" ht="21" hidden="1" customHeight="1" x14ac:dyDescent="0.25">
      <c r="A4232" s="10"/>
      <c r="B4232" s="10"/>
      <c r="E4232" s="10"/>
      <c r="G4232" s="10"/>
      <c r="AK4232" s="10" t="str">
        <f t="array" ref="AK4232">IFERROR(INDEX(SelectedSpecies,SMALL(IF(SelectedSpecies=AK$1,ROW(SelectedSpecies)),ROW(4231:4231)),2),"")</f>
        <v/>
      </c>
    </row>
    <row r="4233" spans="1:37" ht="21" hidden="1" customHeight="1" x14ac:dyDescent="0.25">
      <c r="A4233" s="10"/>
      <c r="B4233" s="10"/>
      <c r="E4233" s="10"/>
      <c r="G4233" s="10"/>
      <c r="AK4233" s="10" t="str">
        <f t="array" ref="AK4233">IFERROR(INDEX(SelectedSpecies,SMALL(IF(SelectedSpecies=AK$1,ROW(SelectedSpecies)),ROW(4232:4232)),2),"")</f>
        <v/>
      </c>
    </row>
    <row r="4234" spans="1:37" ht="21" hidden="1" customHeight="1" x14ac:dyDescent="0.25">
      <c r="A4234" s="10"/>
      <c r="B4234" s="10"/>
      <c r="E4234" s="10"/>
      <c r="G4234" s="10"/>
      <c r="AK4234" s="10" t="str">
        <f t="array" ref="AK4234">IFERROR(INDEX(SelectedSpecies,SMALL(IF(SelectedSpecies=AK$1,ROW(SelectedSpecies)),ROW(4233:4233)),2),"")</f>
        <v/>
      </c>
    </row>
    <row r="4235" spans="1:37" ht="21" hidden="1" customHeight="1" x14ac:dyDescent="0.25">
      <c r="A4235" s="10"/>
      <c r="B4235" s="10"/>
      <c r="E4235" s="10"/>
      <c r="G4235" s="10"/>
      <c r="AK4235" s="10" t="str">
        <f t="array" ref="AK4235">IFERROR(INDEX(SelectedSpecies,SMALL(IF(SelectedSpecies=AK$1,ROW(SelectedSpecies)),ROW(4234:4234)),2),"")</f>
        <v/>
      </c>
    </row>
    <row r="4236" spans="1:37" ht="21" hidden="1" customHeight="1" x14ac:dyDescent="0.25">
      <c r="A4236" s="10"/>
      <c r="B4236" s="10"/>
      <c r="E4236" s="10"/>
      <c r="G4236" s="10"/>
      <c r="AK4236" s="10" t="str">
        <f t="array" ref="AK4236">IFERROR(INDEX(SelectedSpecies,SMALL(IF(SelectedSpecies=AK$1,ROW(SelectedSpecies)),ROW(4235:4235)),2),"")</f>
        <v/>
      </c>
    </row>
    <row r="4237" spans="1:37" ht="21" hidden="1" customHeight="1" x14ac:dyDescent="0.25">
      <c r="A4237" s="10"/>
      <c r="B4237" s="10"/>
      <c r="E4237" s="10"/>
      <c r="G4237" s="10"/>
      <c r="AK4237" s="10" t="str">
        <f t="array" ref="AK4237">IFERROR(INDEX(SelectedSpecies,SMALL(IF(SelectedSpecies=AK$1,ROW(SelectedSpecies)),ROW(4236:4236)),2),"")</f>
        <v/>
      </c>
    </row>
    <row r="4238" spans="1:37" ht="21" hidden="1" customHeight="1" x14ac:dyDescent="0.25">
      <c r="A4238" s="10"/>
      <c r="B4238" s="10"/>
      <c r="E4238" s="10"/>
      <c r="G4238" s="10"/>
      <c r="AK4238" s="10" t="str">
        <f t="array" ref="AK4238">IFERROR(INDEX(SelectedSpecies,SMALL(IF(SelectedSpecies=AK$1,ROW(SelectedSpecies)),ROW(4237:4237)),2),"")</f>
        <v/>
      </c>
    </row>
    <row r="4239" spans="1:37" ht="21" hidden="1" customHeight="1" x14ac:dyDescent="0.25">
      <c r="A4239" s="10"/>
      <c r="B4239" s="10"/>
      <c r="E4239" s="10"/>
      <c r="G4239" s="10"/>
      <c r="AK4239" s="10" t="str">
        <f t="array" ref="AK4239">IFERROR(INDEX(SelectedSpecies,SMALL(IF(SelectedSpecies=AK$1,ROW(SelectedSpecies)),ROW(4238:4238)),2),"")</f>
        <v/>
      </c>
    </row>
    <row r="4240" spans="1:37" ht="21" hidden="1" customHeight="1" x14ac:dyDescent="0.25">
      <c r="A4240" s="10"/>
      <c r="B4240" s="10"/>
      <c r="E4240" s="10"/>
      <c r="G4240" s="10"/>
      <c r="AK4240" s="10" t="str">
        <f t="array" ref="AK4240">IFERROR(INDEX(SelectedSpecies,SMALL(IF(SelectedSpecies=AK$1,ROW(SelectedSpecies)),ROW(4239:4239)),2),"")</f>
        <v/>
      </c>
    </row>
    <row r="4241" spans="1:37" ht="21" hidden="1" customHeight="1" x14ac:dyDescent="0.25">
      <c r="A4241" s="10"/>
      <c r="B4241" s="10"/>
      <c r="E4241" s="10"/>
      <c r="G4241" s="10"/>
      <c r="AK4241" s="10" t="str">
        <f t="array" ref="AK4241">IFERROR(INDEX(SelectedSpecies,SMALL(IF(SelectedSpecies=AK$1,ROW(SelectedSpecies)),ROW(4240:4240)),2),"")</f>
        <v/>
      </c>
    </row>
    <row r="4242" spans="1:37" ht="21" hidden="1" customHeight="1" x14ac:dyDescent="0.25">
      <c r="A4242" s="10"/>
      <c r="B4242" s="10"/>
      <c r="E4242" s="10"/>
      <c r="G4242" s="10"/>
      <c r="AK4242" s="10" t="str">
        <f t="array" ref="AK4242">IFERROR(INDEX(SelectedSpecies,SMALL(IF(SelectedSpecies=AK$1,ROW(SelectedSpecies)),ROW(4241:4241)),2),"")</f>
        <v/>
      </c>
    </row>
    <row r="4243" spans="1:37" ht="21" hidden="1" customHeight="1" x14ac:dyDescent="0.25">
      <c r="A4243" s="10"/>
      <c r="B4243" s="10"/>
      <c r="E4243" s="10"/>
      <c r="G4243" s="10"/>
      <c r="AK4243" s="10" t="str">
        <f t="array" ref="AK4243">IFERROR(INDEX(SelectedSpecies,SMALL(IF(SelectedSpecies=AK$1,ROW(SelectedSpecies)),ROW(4242:4242)),2),"")</f>
        <v/>
      </c>
    </row>
    <row r="4244" spans="1:37" ht="21" hidden="1" customHeight="1" x14ac:dyDescent="0.25">
      <c r="A4244" s="10"/>
      <c r="B4244" s="10"/>
      <c r="E4244" s="10"/>
      <c r="G4244" s="10"/>
      <c r="AK4244" s="10" t="str">
        <f t="array" ref="AK4244">IFERROR(INDEX(SelectedSpecies,SMALL(IF(SelectedSpecies=AK$1,ROW(SelectedSpecies)),ROW(4243:4243)),2),"")</f>
        <v/>
      </c>
    </row>
    <row r="4245" spans="1:37" ht="21" hidden="1" customHeight="1" x14ac:dyDescent="0.25">
      <c r="A4245" s="10"/>
      <c r="B4245" s="10"/>
      <c r="E4245" s="10"/>
      <c r="G4245" s="10"/>
      <c r="AK4245" s="10" t="str">
        <f t="array" ref="AK4245">IFERROR(INDEX(SelectedSpecies,SMALL(IF(SelectedSpecies=AK$1,ROW(SelectedSpecies)),ROW(4244:4244)),2),"")</f>
        <v/>
      </c>
    </row>
    <row r="4246" spans="1:37" ht="21" hidden="1" customHeight="1" x14ac:dyDescent="0.25">
      <c r="A4246" s="10"/>
      <c r="B4246" s="10"/>
      <c r="E4246" s="10"/>
      <c r="G4246" s="10"/>
      <c r="AK4246" s="10" t="str">
        <f t="array" ref="AK4246">IFERROR(INDEX(SelectedSpecies,SMALL(IF(SelectedSpecies=AK$1,ROW(SelectedSpecies)),ROW(4245:4245)),2),"")</f>
        <v/>
      </c>
    </row>
    <row r="4247" spans="1:37" ht="21" hidden="1" customHeight="1" x14ac:dyDescent="0.25">
      <c r="A4247" s="10"/>
      <c r="B4247" s="10"/>
      <c r="E4247" s="10"/>
      <c r="G4247" s="10"/>
      <c r="AK4247" s="10" t="str">
        <f t="array" ref="AK4247">IFERROR(INDEX(SelectedSpecies,SMALL(IF(SelectedSpecies=AK$1,ROW(SelectedSpecies)),ROW(4246:4246)),2),"")</f>
        <v/>
      </c>
    </row>
    <row r="4248" spans="1:37" ht="21" hidden="1" customHeight="1" x14ac:dyDescent="0.25">
      <c r="A4248" s="10"/>
      <c r="B4248" s="10"/>
      <c r="E4248" s="10"/>
      <c r="G4248" s="10"/>
      <c r="AK4248" s="10" t="str">
        <f t="array" ref="AK4248">IFERROR(INDEX(SelectedSpecies,SMALL(IF(SelectedSpecies=AK$1,ROW(SelectedSpecies)),ROW(4247:4247)),2),"")</f>
        <v/>
      </c>
    </row>
    <row r="4249" spans="1:37" ht="21" hidden="1" customHeight="1" x14ac:dyDescent="0.25">
      <c r="A4249" s="10"/>
      <c r="B4249" s="10"/>
      <c r="E4249" s="10"/>
      <c r="G4249" s="10"/>
      <c r="AK4249" s="10" t="str">
        <f t="array" ref="AK4249">IFERROR(INDEX(SelectedSpecies,SMALL(IF(SelectedSpecies=AK$1,ROW(SelectedSpecies)),ROW(4248:4248)),2),"")</f>
        <v/>
      </c>
    </row>
    <row r="4250" spans="1:37" ht="21" hidden="1" customHeight="1" x14ac:dyDescent="0.25">
      <c r="A4250" s="10"/>
      <c r="B4250" s="10"/>
      <c r="E4250" s="10"/>
      <c r="G4250" s="10"/>
      <c r="AK4250" s="10" t="str">
        <f t="array" ref="AK4250">IFERROR(INDEX(SelectedSpecies,SMALL(IF(SelectedSpecies=AK$1,ROW(SelectedSpecies)),ROW(4249:4249)),2),"")</f>
        <v/>
      </c>
    </row>
    <row r="4251" spans="1:37" ht="21" hidden="1" customHeight="1" x14ac:dyDescent="0.25">
      <c r="A4251" s="10"/>
      <c r="B4251" s="10"/>
      <c r="E4251" s="10"/>
      <c r="G4251" s="10"/>
      <c r="AK4251" s="10" t="str">
        <f t="array" ref="AK4251">IFERROR(INDEX(SelectedSpecies,SMALL(IF(SelectedSpecies=AK$1,ROW(SelectedSpecies)),ROW(4250:4250)),2),"")</f>
        <v/>
      </c>
    </row>
    <row r="4252" spans="1:37" ht="21" hidden="1" customHeight="1" x14ac:dyDescent="0.25">
      <c r="A4252" s="10"/>
      <c r="B4252" s="10"/>
      <c r="E4252" s="10"/>
      <c r="G4252" s="10"/>
      <c r="AK4252" s="10" t="str">
        <f t="array" ref="AK4252">IFERROR(INDEX(SelectedSpecies,SMALL(IF(SelectedSpecies=AK$1,ROW(SelectedSpecies)),ROW(4251:4251)),2),"")</f>
        <v/>
      </c>
    </row>
    <row r="4253" spans="1:37" ht="21" hidden="1" customHeight="1" x14ac:dyDescent="0.25">
      <c r="A4253" s="10"/>
      <c r="B4253" s="10"/>
      <c r="E4253" s="10"/>
      <c r="G4253" s="10"/>
      <c r="AK4253" s="10" t="str">
        <f t="array" ref="AK4253">IFERROR(INDEX(SelectedSpecies,SMALL(IF(SelectedSpecies=AK$1,ROW(SelectedSpecies)),ROW(4252:4252)),2),"")</f>
        <v/>
      </c>
    </row>
    <row r="4254" spans="1:37" ht="21" hidden="1" customHeight="1" x14ac:dyDescent="0.25">
      <c r="A4254" s="10"/>
      <c r="B4254" s="10"/>
      <c r="E4254" s="10"/>
      <c r="G4254" s="10"/>
      <c r="AK4254" s="10" t="str">
        <f t="array" ref="AK4254">IFERROR(INDEX(SelectedSpecies,SMALL(IF(SelectedSpecies=AK$1,ROW(SelectedSpecies)),ROW(4253:4253)),2),"")</f>
        <v/>
      </c>
    </row>
    <row r="4255" spans="1:37" ht="21" hidden="1" customHeight="1" x14ac:dyDescent="0.25">
      <c r="A4255" s="10"/>
      <c r="B4255" s="10"/>
      <c r="E4255" s="10"/>
      <c r="G4255" s="10"/>
      <c r="AK4255" s="10" t="str">
        <f t="array" ref="AK4255">IFERROR(INDEX(SelectedSpecies,SMALL(IF(SelectedSpecies=AK$1,ROW(SelectedSpecies)),ROW(4254:4254)),2),"")</f>
        <v/>
      </c>
    </row>
    <row r="4256" spans="1:37" ht="21" hidden="1" customHeight="1" x14ac:dyDescent="0.25">
      <c r="A4256" s="10"/>
      <c r="B4256" s="10"/>
      <c r="E4256" s="10"/>
      <c r="G4256" s="10"/>
      <c r="AK4256" s="10" t="str">
        <f t="array" ref="AK4256">IFERROR(INDEX(SelectedSpecies,SMALL(IF(SelectedSpecies=AK$1,ROW(SelectedSpecies)),ROW(4255:4255)),2),"")</f>
        <v/>
      </c>
    </row>
    <row r="4257" spans="1:37" ht="21" hidden="1" customHeight="1" x14ac:dyDescent="0.25">
      <c r="A4257" s="10"/>
      <c r="B4257" s="10"/>
      <c r="E4257" s="10"/>
      <c r="G4257" s="10"/>
      <c r="AK4257" s="10" t="str">
        <f t="array" ref="AK4257">IFERROR(INDEX(SelectedSpecies,SMALL(IF(SelectedSpecies=AK$1,ROW(SelectedSpecies)),ROW(4256:4256)),2),"")</f>
        <v/>
      </c>
    </row>
    <row r="4258" spans="1:37" ht="21" hidden="1" customHeight="1" x14ac:dyDescent="0.25">
      <c r="A4258" s="10"/>
      <c r="B4258" s="10"/>
      <c r="E4258" s="10"/>
      <c r="G4258" s="10"/>
      <c r="AK4258" s="10" t="str">
        <f t="array" ref="AK4258">IFERROR(INDEX(SelectedSpecies,SMALL(IF(SelectedSpecies=AK$1,ROW(SelectedSpecies)),ROW(4257:4257)),2),"")</f>
        <v/>
      </c>
    </row>
    <row r="4259" spans="1:37" ht="21" hidden="1" customHeight="1" x14ac:dyDescent="0.25">
      <c r="A4259" s="10"/>
      <c r="B4259" s="10"/>
      <c r="E4259" s="10"/>
      <c r="G4259" s="10"/>
      <c r="AK4259" s="10" t="str">
        <f t="array" ref="AK4259">IFERROR(INDEX(SelectedSpecies,SMALL(IF(SelectedSpecies=AK$1,ROW(SelectedSpecies)),ROW(4258:4258)),2),"")</f>
        <v/>
      </c>
    </row>
    <row r="4260" spans="1:37" ht="21" hidden="1" customHeight="1" x14ac:dyDescent="0.25">
      <c r="A4260" s="10"/>
      <c r="B4260" s="10"/>
      <c r="E4260" s="10"/>
      <c r="G4260" s="10"/>
      <c r="AK4260" s="10" t="str">
        <f t="array" ref="AK4260">IFERROR(INDEX(SelectedSpecies,SMALL(IF(SelectedSpecies=AK$1,ROW(SelectedSpecies)),ROW(4259:4259)),2),"")</f>
        <v/>
      </c>
    </row>
    <row r="4261" spans="1:37" ht="21" hidden="1" customHeight="1" x14ac:dyDescent="0.25">
      <c r="A4261" s="10"/>
      <c r="B4261" s="10"/>
      <c r="E4261" s="10"/>
      <c r="G4261" s="10"/>
      <c r="AK4261" s="10" t="str">
        <f t="array" ref="AK4261">IFERROR(INDEX(SelectedSpecies,SMALL(IF(SelectedSpecies=AK$1,ROW(SelectedSpecies)),ROW(4260:4260)),2),"")</f>
        <v/>
      </c>
    </row>
    <row r="4262" spans="1:37" ht="21" hidden="1" customHeight="1" x14ac:dyDescent="0.25">
      <c r="A4262" s="10"/>
      <c r="B4262" s="10"/>
      <c r="E4262" s="10"/>
      <c r="G4262" s="10"/>
      <c r="AK4262" s="10" t="str">
        <f t="array" ref="AK4262">IFERROR(INDEX(SelectedSpecies,SMALL(IF(SelectedSpecies=AK$1,ROW(SelectedSpecies)),ROW(4261:4261)),2),"")</f>
        <v/>
      </c>
    </row>
    <row r="4263" spans="1:37" ht="21" hidden="1" customHeight="1" x14ac:dyDescent="0.25">
      <c r="A4263" s="10"/>
      <c r="B4263" s="10"/>
      <c r="E4263" s="10"/>
      <c r="G4263" s="10"/>
      <c r="AK4263" s="10" t="str">
        <f t="array" ref="AK4263">IFERROR(INDEX(SelectedSpecies,SMALL(IF(SelectedSpecies=AK$1,ROW(SelectedSpecies)),ROW(4262:4262)),2),"")</f>
        <v/>
      </c>
    </row>
    <row r="4264" spans="1:37" ht="21" hidden="1" customHeight="1" x14ac:dyDescent="0.25">
      <c r="A4264" s="10"/>
      <c r="B4264" s="10"/>
      <c r="E4264" s="10"/>
      <c r="G4264" s="10"/>
      <c r="AK4264" s="10" t="str">
        <f t="array" ref="AK4264">IFERROR(INDEX(SelectedSpecies,SMALL(IF(SelectedSpecies=AK$1,ROW(SelectedSpecies)),ROW(4263:4263)),2),"")</f>
        <v/>
      </c>
    </row>
    <row r="4265" spans="1:37" ht="21" hidden="1" customHeight="1" x14ac:dyDescent="0.25">
      <c r="A4265" s="10"/>
      <c r="B4265" s="10"/>
      <c r="E4265" s="10"/>
      <c r="G4265" s="10"/>
      <c r="AK4265" s="10" t="str">
        <f t="array" ref="AK4265">IFERROR(INDEX(SelectedSpecies,SMALL(IF(SelectedSpecies=AK$1,ROW(SelectedSpecies)),ROW(4264:4264)),2),"")</f>
        <v/>
      </c>
    </row>
    <row r="4266" spans="1:37" ht="21" hidden="1" customHeight="1" x14ac:dyDescent="0.25">
      <c r="A4266" s="10"/>
      <c r="B4266" s="10"/>
      <c r="E4266" s="10"/>
      <c r="G4266" s="10"/>
      <c r="AK4266" s="10" t="str">
        <f t="array" ref="AK4266">IFERROR(INDEX(SelectedSpecies,SMALL(IF(SelectedSpecies=AK$1,ROW(SelectedSpecies)),ROW(4265:4265)),2),"")</f>
        <v/>
      </c>
    </row>
    <row r="4267" spans="1:37" ht="21" hidden="1" customHeight="1" x14ac:dyDescent="0.25">
      <c r="A4267" s="10"/>
      <c r="B4267" s="10"/>
      <c r="E4267" s="10"/>
      <c r="G4267" s="10"/>
      <c r="AK4267" s="10" t="str">
        <f t="array" ref="AK4267">IFERROR(INDEX(SelectedSpecies,SMALL(IF(SelectedSpecies=AK$1,ROW(SelectedSpecies)),ROW(4266:4266)),2),"")</f>
        <v/>
      </c>
    </row>
    <row r="4268" spans="1:37" ht="21" hidden="1" customHeight="1" x14ac:dyDescent="0.25">
      <c r="A4268" s="10"/>
      <c r="B4268" s="10"/>
      <c r="E4268" s="10"/>
      <c r="G4268" s="10"/>
      <c r="AK4268" s="10" t="str">
        <f t="array" ref="AK4268">IFERROR(INDEX(SelectedSpecies,SMALL(IF(SelectedSpecies=AK$1,ROW(SelectedSpecies)),ROW(4267:4267)),2),"")</f>
        <v/>
      </c>
    </row>
    <row r="4269" spans="1:37" ht="21" hidden="1" customHeight="1" x14ac:dyDescent="0.25">
      <c r="A4269" s="10"/>
      <c r="B4269" s="10"/>
      <c r="E4269" s="10"/>
      <c r="G4269" s="10"/>
      <c r="AK4269" s="10" t="str">
        <f t="array" ref="AK4269">IFERROR(INDEX(SelectedSpecies,SMALL(IF(SelectedSpecies=AK$1,ROW(SelectedSpecies)),ROW(4268:4268)),2),"")</f>
        <v/>
      </c>
    </row>
    <row r="4270" spans="1:37" ht="21" hidden="1" customHeight="1" x14ac:dyDescent="0.25">
      <c r="A4270" s="10"/>
      <c r="B4270" s="10"/>
      <c r="E4270" s="10"/>
      <c r="G4270" s="10"/>
      <c r="AK4270" s="10" t="str">
        <f t="array" ref="AK4270">IFERROR(INDEX(SelectedSpecies,SMALL(IF(SelectedSpecies=AK$1,ROW(SelectedSpecies)),ROW(4269:4269)),2),"")</f>
        <v/>
      </c>
    </row>
    <row r="4271" spans="1:37" ht="21" hidden="1" customHeight="1" x14ac:dyDescent="0.25">
      <c r="A4271" s="10"/>
      <c r="B4271" s="10"/>
      <c r="E4271" s="10"/>
      <c r="G4271" s="10"/>
      <c r="AK4271" s="10" t="str">
        <f t="array" ref="AK4271">IFERROR(INDEX(SelectedSpecies,SMALL(IF(SelectedSpecies=AK$1,ROW(SelectedSpecies)),ROW(4270:4270)),2),"")</f>
        <v/>
      </c>
    </row>
    <row r="4272" spans="1:37" ht="21" hidden="1" customHeight="1" x14ac:dyDescent="0.25">
      <c r="A4272" s="10"/>
      <c r="B4272" s="10"/>
      <c r="E4272" s="10"/>
      <c r="G4272" s="10"/>
      <c r="AK4272" s="10" t="str">
        <f t="array" ref="AK4272">IFERROR(INDEX(SelectedSpecies,SMALL(IF(SelectedSpecies=AK$1,ROW(SelectedSpecies)),ROW(4271:4271)),2),"")</f>
        <v/>
      </c>
    </row>
    <row r="4273" spans="1:37" ht="21" hidden="1" customHeight="1" x14ac:dyDescent="0.25">
      <c r="A4273" s="10"/>
      <c r="B4273" s="10"/>
      <c r="E4273" s="10"/>
      <c r="G4273" s="10"/>
      <c r="AK4273" s="10" t="str">
        <f t="array" ref="AK4273">IFERROR(INDEX(SelectedSpecies,SMALL(IF(SelectedSpecies=AK$1,ROW(SelectedSpecies)),ROW(4272:4272)),2),"")</f>
        <v/>
      </c>
    </row>
    <row r="4274" spans="1:37" ht="21" hidden="1" customHeight="1" x14ac:dyDescent="0.25">
      <c r="A4274" s="10"/>
      <c r="B4274" s="10"/>
      <c r="E4274" s="10"/>
      <c r="G4274" s="10"/>
      <c r="AK4274" s="10" t="str">
        <f t="array" ref="AK4274">IFERROR(INDEX(SelectedSpecies,SMALL(IF(SelectedSpecies=AK$1,ROW(SelectedSpecies)),ROW(4273:4273)),2),"")</f>
        <v/>
      </c>
    </row>
    <row r="4275" spans="1:37" ht="21" hidden="1" customHeight="1" x14ac:dyDescent="0.25">
      <c r="A4275" s="10"/>
      <c r="B4275" s="10"/>
      <c r="E4275" s="10"/>
      <c r="G4275" s="10"/>
      <c r="AK4275" s="10" t="str">
        <f t="array" ref="AK4275">IFERROR(INDEX(SelectedSpecies,SMALL(IF(SelectedSpecies=AK$1,ROW(SelectedSpecies)),ROW(4274:4274)),2),"")</f>
        <v/>
      </c>
    </row>
    <row r="4276" spans="1:37" ht="21" hidden="1" customHeight="1" x14ac:dyDescent="0.25">
      <c r="A4276" s="10"/>
      <c r="B4276" s="10"/>
      <c r="E4276" s="10"/>
      <c r="G4276" s="10"/>
      <c r="AK4276" s="10" t="str">
        <f t="array" ref="AK4276">IFERROR(INDEX(SelectedSpecies,SMALL(IF(SelectedSpecies=AK$1,ROW(SelectedSpecies)),ROW(4275:4275)),2),"")</f>
        <v/>
      </c>
    </row>
    <row r="4277" spans="1:37" ht="21" hidden="1" customHeight="1" x14ac:dyDescent="0.25">
      <c r="A4277" s="10"/>
      <c r="B4277" s="10"/>
      <c r="E4277" s="10"/>
      <c r="G4277" s="10"/>
      <c r="AK4277" s="10" t="str">
        <f t="array" ref="AK4277">IFERROR(INDEX(SelectedSpecies,SMALL(IF(SelectedSpecies=AK$1,ROW(SelectedSpecies)),ROW(4276:4276)),2),"")</f>
        <v/>
      </c>
    </row>
    <row r="4278" spans="1:37" ht="21" hidden="1" customHeight="1" x14ac:dyDescent="0.25">
      <c r="A4278" s="10"/>
      <c r="B4278" s="10"/>
      <c r="E4278" s="10"/>
      <c r="G4278" s="10"/>
      <c r="AK4278" s="10" t="str">
        <f t="array" ref="AK4278">IFERROR(INDEX(SelectedSpecies,SMALL(IF(SelectedSpecies=AK$1,ROW(SelectedSpecies)),ROW(4277:4277)),2),"")</f>
        <v/>
      </c>
    </row>
    <row r="4279" spans="1:37" ht="21" hidden="1" customHeight="1" x14ac:dyDescent="0.25">
      <c r="A4279" s="10"/>
      <c r="B4279" s="10"/>
      <c r="E4279" s="10"/>
      <c r="G4279" s="10"/>
      <c r="AK4279" s="10" t="str">
        <f t="array" ref="AK4279">IFERROR(INDEX(SelectedSpecies,SMALL(IF(SelectedSpecies=AK$1,ROW(SelectedSpecies)),ROW(4278:4278)),2),"")</f>
        <v/>
      </c>
    </row>
    <row r="4280" spans="1:37" ht="21" hidden="1" customHeight="1" x14ac:dyDescent="0.25">
      <c r="A4280" s="10"/>
      <c r="B4280" s="10"/>
      <c r="E4280" s="10"/>
      <c r="G4280" s="10"/>
      <c r="AK4280" s="10" t="str">
        <f t="array" ref="AK4280">IFERROR(INDEX(SelectedSpecies,SMALL(IF(SelectedSpecies=AK$1,ROW(SelectedSpecies)),ROW(4279:4279)),2),"")</f>
        <v/>
      </c>
    </row>
    <row r="4281" spans="1:37" ht="21" hidden="1" customHeight="1" x14ac:dyDescent="0.25">
      <c r="A4281" s="10"/>
      <c r="B4281" s="10"/>
      <c r="E4281" s="10"/>
      <c r="G4281" s="10"/>
      <c r="AK4281" s="10" t="str">
        <f t="array" ref="AK4281">IFERROR(INDEX(SelectedSpecies,SMALL(IF(SelectedSpecies=AK$1,ROW(SelectedSpecies)),ROW(4280:4280)),2),"")</f>
        <v/>
      </c>
    </row>
    <row r="4282" spans="1:37" ht="21" hidden="1" customHeight="1" x14ac:dyDescent="0.25">
      <c r="A4282" s="10"/>
      <c r="B4282" s="10"/>
      <c r="E4282" s="10"/>
      <c r="G4282" s="10"/>
      <c r="AK4282" s="10" t="str">
        <f t="array" ref="AK4282">IFERROR(INDEX(SelectedSpecies,SMALL(IF(SelectedSpecies=AK$1,ROW(SelectedSpecies)),ROW(4281:4281)),2),"")</f>
        <v/>
      </c>
    </row>
    <row r="4283" spans="1:37" ht="21" hidden="1" customHeight="1" x14ac:dyDescent="0.25">
      <c r="A4283" s="10"/>
      <c r="B4283" s="10"/>
      <c r="E4283" s="10"/>
      <c r="G4283" s="10"/>
      <c r="AK4283" s="10" t="str">
        <f t="array" ref="AK4283">IFERROR(INDEX(SelectedSpecies,SMALL(IF(SelectedSpecies=AK$1,ROW(SelectedSpecies)),ROW(4282:4282)),2),"")</f>
        <v/>
      </c>
    </row>
    <row r="4284" spans="1:37" ht="21" hidden="1" customHeight="1" x14ac:dyDescent="0.25">
      <c r="A4284" s="10"/>
      <c r="B4284" s="10"/>
      <c r="E4284" s="10"/>
      <c r="G4284" s="10"/>
      <c r="AK4284" s="10" t="str">
        <f t="array" ref="AK4284">IFERROR(INDEX(SelectedSpecies,SMALL(IF(SelectedSpecies=AK$1,ROW(SelectedSpecies)),ROW(4283:4283)),2),"")</f>
        <v/>
      </c>
    </row>
    <row r="4285" spans="1:37" ht="21" hidden="1" customHeight="1" x14ac:dyDescent="0.25">
      <c r="A4285" s="10"/>
      <c r="B4285" s="10"/>
      <c r="E4285" s="10"/>
      <c r="G4285" s="10"/>
      <c r="AK4285" s="10" t="str">
        <f t="array" ref="AK4285">IFERROR(INDEX(SelectedSpecies,SMALL(IF(SelectedSpecies=AK$1,ROW(SelectedSpecies)),ROW(4284:4284)),2),"")</f>
        <v/>
      </c>
    </row>
    <row r="4286" spans="1:37" ht="21" hidden="1" customHeight="1" x14ac:dyDescent="0.25">
      <c r="A4286" s="10"/>
      <c r="B4286" s="10"/>
      <c r="E4286" s="10"/>
      <c r="G4286" s="10"/>
      <c r="AK4286" s="10" t="str">
        <f t="array" ref="AK4286">IFERROR(INDEX(SelectedSpecies,SMALL(IF(SelectedSpecies=AK$1,ROW(SelectedSpecies)),ROW(4285:4285)),2),"")</f>
        <v/>
      </c>
    </row>
    <row r="4287" spans="1:37" ht="21" hidden="1" customHeight="1" x14ac:dyDescent="0.25">
      <c r="A4287" s="10"/>
      <c r="B4287" s="10"/>
      <c r="E4287" s="10"/>
      <c r="G4287" s="10"/>
      <c r="AK4287" s="10" t="str">
        <f t="array" ref="AK4287">IFERROR(INDEX(SelectedSpecies,SMALL(IF(SelectedSpecies=AK$1,ROW(SelectedSpecies)),ROW(4286:4286)),2),"")</f>
        <v/>
      </c>
    </row>
    <row r="4288" spans="1:37" ht="21" hidden="1" customHeight="1" x14ac:dyDescent="0.25">
      <c r="A4288" s="10"/>
      <c r="B4288" s="10"/>
      <c r="E4288" s="10"/>
      <c r="G4288" s="10"/>
      <c r="AK4288" s="10" t="str">
        <f t="array" ref="AK4288">IFERROR(INDEX(SelectedSpecies,SMALL(IF(SelectedSpecies=AK$1,ROW(SelectedSpecies)),ROW(4287:4287)),2),"")</f>
        <v/>
      </c>
    </row>
    <row r="4289" spans="1:37" ht="21" hidden="1" customHeight="1" x14ac:dyDescent="0.25">
      <c r="A4289" s="10"/>
      <c r="B4289" s="10"/>
      <c r="E4289" s="10"/>
      <c r="G4289" s="10"/>
      <c r="AK4289" s="10" t="str">
        <f t="array" ref="AK4289">IFERROR(INDEX(SelectedSpecies,SMALL(IF(SelectedSpecies=AK$1,ROW(SelectedSpecies)),ROW(4288:4288)),2),"")</f>
        <v/>
      </c>
    </row>
    <row r="4290" spans="1:37" ht="21" hidden="1" customHeight="1" x14ac:dyDescent="0.25">
      <c r="A4290" s="10"/>
      <c r="B4290" s="10"/>
      <c r="E4290" s="10"/>
      <c r="G4290" s="10"/>
      <c r="AK4290" s="10" t="str">
        <f t="array" ref="AK4290">IFERROR(INDEX(SelectedSpecies,SMALL(IF(SelectedSpecies=AK$1,ROW(SelectedSpecies)),ROW(4289:4289)),2),"")</f>
        <v/>
      </c>
    </row>
    <row r="4291" spans="1:37" ht="21" hidden="1" customHeight="1" x14ac:dyDescent="0.25">
      <c r="A4291" s="10"/>
      <c r="B4291" s="10"/>
      <c r="E4291" s="10"/>
      <c r="G4291" s="10"/>
      <c r="AK4291" s="10" t="str">
        <f t="array" ref="AK4291">IFERROR(INDEX(SelectedSpecies,SMALL(IF(SelectedSpecies=AK$1,ROW(SelectedSpecies)),ROW(4290:4290)),2),"")</f>
        <v/>
      </c>
    </row>
    <row r="4292" spans="1:37" ht="21" hidden="1" customHeight="1" x14ac:dyDescent="0.25">
      <c r="A4292" s="10"/>
      <c r="B4292" s="10"/>
      <c r="E4292" s="10"/>
      <c r="G4292" s="10"/>
      <c r="AK4292" s="10" t="str">
        <f t="array" ref="AK4292">IFERROR(INDEX(SelectedSpecies,SMALL(IF(SelectedSpecies=AK$1,ROW(SelectedSpecies)),ROW(4291:4291)),2),"")</f>
        <v/>
      </c>
    </row>
    <row r="4293" spans="1:37" ht="21" hidden="1" customHeight="1" x14ac:dyDescent="0.25">
      <c r="A4293" s="10"/>
      <c r="B4293" s="10"/>
      <c r="E4293" s="10"/>
      <c r="G4293" s="10"/>
      <c r="AK4293" s="10" t="str">
        <f t="array" ref="AK4293">IFERROR(INDEX(SelectedSpecies,SMALL(IF(SelectedSpecies=AK$1,ROW(SelectedSpecies)),ROW(4292:4292)),2),"")</f>
        <v/>
      </c>
    </row>
    <row r="4294" spans="1:37" ht="21" hidden="1" customHeight="1" x14ac:dyDescent="0.25">
      <c r="A4294" s="10"/>
      <c r="B4294" s="10"/>
      <c r="E4294" s="10"/>
      <c r="G4294" s="10"/>
      <c r="AK4294" s="10" t="str">
        <f t="array" ref="AK4294">IFERROR(INDEX(SelectedSpecies,SMALL(IF(SelectedSpecies=AK$1,ROW(SelectedSpecies)),ROW(4293:4293)),2),"")</f>
        <v/>
      </c>
    </row>
    <row r="4295" spans="1:37" ht="21" hidden="1" customHeight="1" x14ac:dyDescent="0.25">
      <c r="A4295" s="10"/>
      <c r="B4295" s="10"/>
      <c r="E4295" s="10"/>
      <c r="G4295" s="10"/>
      <c r="AK4295" s="10" t="str">
        <f t="array" ref="AK4295">IFERROR(INDEX(SelectedSpecies,SMALL(IF(SelectedSpecies=AK$1,ROW(SelectedSpecies)),ROW(4294:4294)),2),"")</f>
        <v/>
      </c>
    </row>
    <row r="4296" spans="1:37" ht="21" hidden="1" customHeight="1" x14ac:dyDescent="0.25">
      <c r="A4296" s="10"/>
      <c r="B4296" s="10"/>
      <c r="E4296" s="10"/>
      <c r="G4296" s="10"/>
      <c r="AK4296" s="10" t="str">
        <f t="array" ref="AK4296">IFERROR(INDEX(SelectedSpecies,SMALL(IF(SelectedSpecies=AK$1,ROW(SelectedSpecies)),ROW(4295:4295)),2),"")</f>
        <v/>
      </c>
    </row>
    <row r="4297" spans="1:37" ht="21" hidden="1" customHeight="1" x14ac:dyDescent="0.25">
      <c r="A4297" s="10"/>
      <c r="B4297" s="10"/>
      <c r="E4297" s="10"/>
      <c r="G4297" s="10"/>
      <c r="AK4297" s="10" t="str">
        <f t="array" ref="AK4297">IFERROR(INDEX(SelectedSpecies,SMALL(IF(SelectedSpecies=AK$1,ROW(SelectedSpecies)),ROW(4296:4296)),2),"")</f>
        <v/>
      </c>
    </row>
    <row r="4298" spans="1:37" ht="21" hidden="1" customHeight="1" x14ac:dyDescent="0.25">
      <c r="A4298" s="10"/>
      <c r="B4298" s="10"/>
      <c r="E4298" s="10"/>
      <c r="G4298" s="10"/>
      <c r="AK4298" s="10" t="str">
        <f t="array" ref="AK4298">IFERROR(INDEX(SelectedSpecies,SMALL(IF(SelectedSpecies=AK$1,ROW(SelectedSpecies)),ROW(4297:4297)),2),"")</f>
        <v/>
      </c>
    </row>
    <row r="4299" spans="1:37" ht="21" hidden="1" customHeight="1" x14ac:dyDescent="0.25">
      <c r="A4299" s="10"/>
      <c r="B4299" s="10"/>
      <c r="E4299" s="10"/>
      <c r="G4299" s="10"/>
      <c r="AK4299" s="10" t="str">
        <f t="array" ref="AK4299">IFERROR(INDEX(SelectedSpecies,SMALL(IF(SelectedSpecies=AK$1,ROW(SelectedSpecies)),ROW(4298:4298)),2),"")</f>
        <v/>
      </c>
    </row>
    <row r="4300" spans="1:37" ht="21" hidden="1" customHeight="1" x14ac:dyDescent="0.25">
      <c r="A4300" s="10"/>
      <c r="B4300" s="10"/>
      <c r="E4300" s="10"/>
      <c r="G4300" s="10"/>
      <c r="AK4300" s="10" t="str">
        <f t="array" ref="AK4300">IFERROR(INDEX(SelectedSpecies,SMALL(IF(SelectedSpecies=AK$1,ROW(SelectedSpecies)),ROW(4299:4299)),2),"")</f>
        <v/>
      </c>
    </row>
    <row r="4301" spans="1:37" ht="21" hidden="1" customHeight="1" x14ac:dyDescent="0.25">
      <c r="A4301" s="10"/>
      <c r="B4301" s="10"/>
      <c r="E4301" s="10"/>
      <c r="G4301" s="10"/>
      <c r="AK4301" s="10" t="str">
        <f t="array" ref="AK4301">IFERROR(INDEX(SelectedSpecies,SMALL(IF(SelectedSpecies=AK$1,ROW(SelectedSpecies)),ROW(4300:4300)),2),"")</f>
        <v/>
      </c>
    </row>
    <row r="4302" spans="1:37" ht="21" hidden="1" customHeight="1" x14ac:dyDescent="0.25">
      <c r="A4302" s="10"/>
      <c r="B4302" s="10"/>
      <c r="E4302" s="10"/>
      <c r="G4302" s="10"/>
      <c r="AK4302" s="10" t="str">
        <f t="array" ref="AK4302">IFERROR(INDEX(SelectedSpecies,SMALL(IF(SelectedSpecies=AK$1,ROW(SelectedSpecies)),ROW(4301:4301)),2),"")</f>
        <v/>
      </c>
    </row>
    <row r="4303" spans="1:37" ht="21" hidden="1" customHeight="1" x14ac:dyDescent="0.25">
      <c r="A4303" s="10"/>
      <c r="B4303" s="10"/>
      <c r="E4303" s="10"/>
      <c r="G4303" s="10"/>
      <c r="AK4303" s="10" t="str">
        <f t="array" ref="AK4303">IFERROR(INDEX(SelectedSpecies,SMALL(IF(SelectedSpecies=AK$1,ROW(SelectedSpecies)),ROW(4302:4302)),2),"")</f>
        <v/>
      </c>
    </row>
    <row r="4304" spans="1:37" ht="21" hidden="1" customHeight="1" x14ac:dyDescent="0.25">
      <c r="A4304" s="10"/>
      <c r="B4304" s="10"/>
      <c r="E4304" s="10"/>
      <c r="G4304" s="10"/>
      <c r="AK4304" s="10" t="str">
        <f t="array" ref="AK4304">IFERROR(INDEX(SelectedSpecies,SMALL(IF(SelectedSpecies=AK$1,ROW(SelectedSpecies)),ROW(4303:4303)),2),"")</f>
        <v/>
      </c>
    </row>
    <row r="4305" spans="1:37" ht="21" hidden="1" customHeight="1" x14ac:dyDescent="0.25">
      <c r="A4305" s="10"/>
      <c r="B4305" s="10"/>
      <c r="E4305" s="10"/>
      <c r="G4305" s="10"/>
      <c r="AK4305" s="10" t="str">
        <f t="array" ref="AK4305">IFERROR(INDEX(SelectedSpecies,SMALL(IF(SelectedSpecies=AK$1,ROW(SelectedSpecies)),ROW(4304:4304)),2),"")</f>
        <v/>
      </c>
    </row>
    <row r="4306" spans="1:37" ht="21" hidden="1" customHeight="1" x14ac:dyDescent="0.25">
      <c r="A4306" s="10"/>
      <c r="B4306" s="10"/>
      <c r="E4306" s="10"/>
      <c r="G4306" s="10"/>
      <c r="AK4306" s="10" t="str">
        <f t="array" ref="AK4306">IFERROR(INDEX(SelectedSpecies,SMALL(IF(SelectedSpecies=AK$1,ROW(SelectedSpecies)),ROW(4305:4305)),2),"")</f>
        <v/>
      </c>
    </row>
    <row r="4307" spans="1:37" ht="21" hidden="1" customHeight="1" x14ac:dyDescent="0.25">
      <c r="A4307" s="10"/>
      <c r="B4307" s="10"/>
      <c r="E4307" s="10"/>
      <c r="G4307" s="10"/>
      <c r="AK4307" s="10" t="str">
        <f t="array" ref="AK4307">IFERROR(INDEX(SelectedSpecies,SMALL(IF(SelectedSpecies=AK$1,ROW(SelectedSpecies)),ROW(4306:4306)),2),"")</f>
        <v/>
      </c>
    </row>
    <row r="4308" spans="1:37" ht="21" hidden="1" customHeight="1" x14ac:dyDescent="0.25">
      <c r="A4308" s="10"/>
      <c r="B4308" s="10"/>
      <c r="E4308" s="10"/>
      <c r="G4308" s="10"/>
      <c r="AK4308" s="10" t="str">
        <f t="array" ref="AK4308">IFERROR(INDEX(SelectedSpecies,SMALL(IF(SelectedSpecies=AK$1,ROW(SelectedSpecies)),ROW(4307:4307)),2),"")</f>
        <v/>
      </c>
    </row>
    <row r="4309" spans="1:37" ht="21" hidden="1" customHeight="1" x14ac:dyDescent="0.25">
      <c r="A4309" s="10"/>
      <c r="B4309" s="10"/>
      <c r="E4309" s="10"/>
      <c r="G4309" s="10"/>
      <c r="AK4309" s="10" t="str">
        <f t="array" ref="AK4309">IFERROR(INDEX(SelectedSpecies,SMALL(IF(SelectedSpecies=AK$1,ROW(SelectedSpecies)),ROW(4308:4308)),2),"")</f>
        <v/>
      </c>
    </row>
    <row r="4310" spans="1:37" ht="21" hidden="1" customHeight="1" x14ac:dyDescent="0.25">
      <c r="A4310" s="10"/>
      <c r="B4310" s="10"/>
      <c r="E4310" s="10"/>
      <c r="G4310" s="10"/>
      <c r="AK4310" s="10" t="str">
        <f t="array" ref="AK4310">IFERROR(INDEX(SelectedSpecies,SMALL(IF(SelectedSpecies=AK$1,ROW(SelectedSpecies)),ROW(4309:4309)),2),"")</f>
        <v/>
      </c>
    </row>
    <row r="4311" spans="1:37" ht="21" hidden="1" customHeight="1" x14ac:dyDescent="0.25">
      <c r="A4311" s="10"/>
      <c r="B4311" s="10"/>
      <c r="E4311" s="10"/>
      <c r="G4311" s="10"/>
      <c r="AK4311" s="10" t="str">
        <f t="array" ref="AK4311">IFERROR(INDEX(SelectedSpecies,SMALL(IF(SelectedSpecies=AK$1,ROW(SelectedSpecies)),ROW(4310:4310)),2),"")</f>
        <v/>
      </c>
    </row>
    <row r="4312" spans="1:37" ht="21" hidden="1" customHeight="1" x14ac:dyDescent="0.25">
      <c r="A4312" s="10"/>
      <c r="B4312" s="10"/>
      <c r="E4312" s="10"/>
      <c r="G4312" s="10"/>
      <c r="AK4312" s="10" t="str">
        <f t="array" ref="AK4312">IFERROR(INDEX(SelectedSpecies,SMALL(IF(SelectedSpecies=AK$1,ROW(SelectedSpecies)),ROW(4311:4311)),2),"")</f>
        <v/>
      </c>
    </row>
    <row r="4313" spans="1:37" ht="21" hidden="1" customHeight="1" x14ac:dyDescent="0.25">
      <c r="A4313" s="10"/>
      <c r="B4313" s="10"/>
      <c r="E4313" s="10"/>
      <c r="G4313" s="10"/>
      <c r="AK4313" s="10" t="str">
        <f t="array" ref="AK4313">IFERROR(INDEX(SelectedSpecies,SMALL(IF(SelectedSpecies=AK$1,ROW(SelectedSpecies)),ROW(4312:4312)),2),"")</f>
        <v/>
      </c>
    </row>
    <row r="4314" spans="1:37" ht="21" hidden="1" customHeight="1" x14ac:dyDescent="0.25">
      <c r="A4314" s="10"/>
      <c r="B4314" s="10"/>
      <c r="E4314" s="10"/>
      <c r="G4314" s="10"/>
      <c r="AK4314" s="10" t="str">
        <f t="array" ref="AK4314">IFERROR(INDEX(SelectedSpecies,SMALL(IF(SelectedSpecies=AK$1,ROW(SelectedSpecies)),ROW(4313:4313)),2),"")</f>
        <v/>
      </c>
    </row>
    <row r="4315" spans="1:37" ht="21" hidden="1" customHeight="1" x14ac:dyDescent="0.25">
      <c r="A4315" s="10"/>
      <c r="B4315" s="10"/>
      <c r="E4315" s="10"/>
      <c r="G4315" s="10"/>
      <c r="AK4315" s="10" t="str">
        <f t="array" ref="AK4315">IFERROR(INDEX(SelectedSpecies,SMALL(IF(SelectedSpecies=AK$1,ROW(SelectedSpecies)),ROW(4314:4314)),2),"")</f>
        <v/>
      </c>
    </row>
    <row r="4316" spans="1:37" ht="21" hidden="1" customHeight="1" x14ac:dyDescent="0.25">
      <c r="A4316" s="10"/>
      <c r="B4316" s="10"/>
      <c r="E4316" s="10"/>
      <c r="G4316" s="10"/>
      <c r="AK4316" s="10" t="str">
        <f t="array" ref="AK4316">IFERROR(INDEX(SelectedSpecies,SMALL(IF(SelectedSpecies=AK$1,ROW(SelectedSpecies)),ROW(4315:4315)),2),"")</f>
        <v/>
      </c>
    </row>
    <row r="4317" spans="1:37" ht="21" hidden="1" customHeight="1" x14ac:dyDescent="0.25">
      <c r="A4317" s="10"/>
      <c r="B4317" s="10"/>
      <c r="E4317" s="10"/>
      <c r="G4317" s="10"/>
      <c r="AK4317" s="10" t="str">
        <f t="array" ref="AK4317">IFERROR(INDEX(SelectedSpecies,SMALL(IF(SelectedSpecies=AK$1,ROW(SelectedSpecies)),ROW(4316:4316)),2),"")</f>
        <v/>
      </c>
    </row>
    <row r="4318" spans="1:37" ht="21" hidden="1" customHeight="1" x14ac:dyDescent="0.25">
      <c r="A4318" s="10"/>
      <c r="B4318" s="10"/>
      <c r="E4318" s="10"/>
      <c r="G4318" s="10"/>
      <c r="AK4318" s="10" t="str">
        <f t="array" ref="AK4318">IFERROR(INDEX(SelectedSpecies,SMALL(IF(SelectedSpecies=AK$1,ROW(SelectedSpecies)),ROW(4317:4317)),2),"")</f>
        <v/>
      </c>
    </row>
    <row r="4319" spans="1:37" ht="21" hidden="1" customHeight="1" x14ac:dyDescent="0.25">
      <c r="A4319" s="10"/>
      <c r="B4319" s="10"/>
      <c r="E4319" s="10"/>
      <c r="G4319" s="10"/>
      <c r="AK4319" s="10" t="str">
        <f t="array" ref="AK4319">IFERROR(INDEX(SelectedSpecies,SMALL(IF(SelectedSpecies=AK$1,ROW(SelectedSpecies)),ROW(4318:4318)),2),"")</f>
        <v/>
      </c>
    </row>
    <row r="4320" spans="1:37" ht="21" hidden="1" customHeight="1" x14ac:dyDescent="0.25">
      <c r="A4320" s="10"/>
      <c r="B4320" s="10"/>
      <c r="E4320" s="10"/>
      <c r="G4320" s="10"/>
      <c r="AK4320" s="10" t="str">
        <f t="array" ref="AK4320">IFERROR(INDEX(SelectedSpecies,SMALL(IF(SelectedSpecies=AK$1,ROW(SelectedSpecies)),ROW(4319:4319)),2),"")</f>
        <v/>
      </c>
    </row>
    <row r="4321" spans="1:37" ht="21" hidden="1" customHeight="1" x14ac:dyDescent="0.25">
      <c r="A4321" s="10"/>
      <c r="B4321" s="10"/>
      <c r="E4321" s="10"/>
      <c r="G4321" s="10"/>
      <c r="AK4321" s="10" t="str">
        <f t="array" ref="AK4321">IFERROR(INDEX(SelectedSpecies,SMALL(IF(SelectedSpecies=AK$1,ROW(SelectedSpecies)),ROW(4320:4320)),2),"")</f>
        <v/>
      </c>
    </row>
    <row r="4322" spans="1:37" ht="21" hidden="1" customHeight="1" x14ac:dyDescent="0.25">
      <c r="A4322" s="10"/>
      <c r="B4322" s="10"/>
      <c r="E4322" s="10"/>
      <c r="G4322" s="10"/>
      <c r="AK4322" s="10" t="str">
        <f t="array" ref="AK4322">IFERROR(INDEX(SelectedSpecies,SMALL(IF(SelectedSpecies=AK$1,ROW(SelectedSpecies)),ROW(4321:4321)),2),"")</f>
        <v/>
      </c>
    </row>
    <row r="4323" spans="1:37" ht="21" hidden="1" customHeight="1" x14ac:dyDescent="0.25">
      <c r="A4323" s="10"/>
      <c r="B4323" s="10"/>
      <c r="E4323" s="10"/>
      <c r="G4323" s="10"/>
      <c r="AK4323" s="10" t="str">
        <f t="array" ref="AK4323">IFERROR(INDEX(SelectedSpecies,SMALL(IF(SelectedSpecies=AK$1,ROW(SelectedSpecies)),ROW(4322:4322)),2),"")</f>
        <v/>
      </c>
    </row>
    <row r="4324" spans="1:37" ht="21" hidden="1" customHeight="1" x14ac:dyDescent="0.25">
      <c r="A4324" s="10"/>
      <c r="B4324" s="10"/>
      <c r="E4324" s="10"/>
      <c r="G4324" s="10"/>
      <c r="AK4324" s="10" t="str">
        <f t="array" ref="AK4324">IFERROR(INDEX(SelectedSpecies,SMALL(IF(SelectedSpecies=AK$1,ROW(SelectedSpecies)),ROW(4323:4323)),2),"")</f>
        <v/>
      </c>
    </row>
    <row r="4325" spans="1:37" ht="21" hidden="1" customHeight="1" x14ac:dyDescent="0.25">
      <c r="A4325" s="10"/>
      <c r="B4325" s="10"/>
      <c r="E4325" s="10"/>
      <c r="G4325" s="10"/>
      <c r="AK4325" s="10" t="str">
        <f t="array" ref="AK4325">IFERROR(INDEX(SelectedSpecies,SMALL(IF(SelectedSpecies=AK$1,ROW(SelectedSpecies)),ROW(4324:4324)),2),"")</f>
        <v/>
      </c>
    </row>
    <row r="4326" spans="1:37" ht="21" hidden="1" customHeight="1" x14ac:dyDescent="0.25">
      <c r="A4326" s="10"/>
      <c r="B4326" s="10"/>
      <c r="E4326" s="10"/>
      <c r="G4326" s="10"/>
      <c r="AK4326" s="10" t="str">
        <f t="array" ref="AK4326">IFERROR(INDEX(SelectedSpecies,SMALL(IF(SelectedSpecies=AK$1,ROW(SelectedSpecies)),ROW(4325:4325)),2),"")</f>
        <v/>
      </c>
    </row>
    <row r="4327" spans="1:37" ht="21" hidden="1" customHeight="1" x14ac:dyDescent="0.25">
      <c r="A4327" s="10"/>
      <c r="B4327" s="10"/>
      <c r="E4327" s="10"/>
      <c r="G4327" s="10"/>
      <c r="AK4327" s="10" t="str">
        <f t="array" ref="AK4327">IFERROR(INDEX(SelectedSpecies,SMALL(IF(SelectedSpecies=AK$1,ROW(SelectedSpecies)),ROW(4326:4326)),2),"")</f>
        <v/>
      </c>
    </row>
    <row r="4328" spans="1:37" ht="21" hidden="1" customHeight="1" x14ac:dyDescent="0.25">
      <c r="A4328" s="10"/>
      <c r="B4328" s="10"/>
      <c r="E4328" s="10"/>
      <c r="G4328" s="10"/>
      <c r="AK4328" s="10" t="str">
        <f t="array" ref="AK4328">IFERROR(INDEX(SelectedSpecies,SMALL(IF(SelectedSpecies=AK$1,ROW(SelectedSpecies)),ROW(4327:4327)),2),"")</f>
        <v/>
      </c>
    </row>
    <row r="4329" spans="1:37" ht="21" hidden="1" customHeight="1" x14ac:dyDescent="0.25">
      <c r="A4329" s="10"/>
      <c r="B4329" s="10"/>
      <c r="E4329" s="10"/>
      <c r="G4329" s="10"/>
      <c r="AK4329" s="10" t="str">
        <f t="array" ref="AK4329">IFERROR(INDEX(SelectedSpecies,SMALL(IF(SelectedSpecies=AK$1,ROW(SelectedSpecies)),ROW(4328:4328)),2),"")</f>
        <v/>
      </c>
    </row>
    <row r="4330" spans="1:37" ht="21" hidden="1" customHeight="1" x14ac:dyDescent="0.25">
      <c r="A4330" s="10"/>
      <c r="B4330" s="10"/>
      <c r="E4330" s="10"/>
      <c r="G4330" s="10"/>
      <c r="AK4330" s="10" t="str">
        <f t="array" ref="AK4330">IFERROR(INDEX(SelectedSpecies,SMALL(IF(SelectedSpecies=AK$1,ROW(SelectedSpecies)),ROW(4329:4329)),2),"")</f>
        <v/>
      </c>
    </row>
    <row r="4331" spans="1:37" ht="21" hidden="1" customHeight="1" x14ac:dyDescent="0.25">
      <c r="A4331" s="10"/>
      <c r="B4331" s="10"/>
      <c r="E4331" s="10"/>
      <c r="G4331" s="10"/>
      <c r="AK4331" s="10" t="str">
        <f t="array" ref="AK4331">IFERROR(INDEX(SelectedSpecies,SMALL(IF(SelectedSpecies=AK$1,ROW(SelectedSpecies)),ROW(4330:4330)),2),"")</f>
        <v/>
      </c>
    </row>
    <row r="4332" spans="1:37" ht="21" hidden="1" customHeight="1" x14ac:dyDescent="0.25">
      <c r="A4332" s="10"/>
      <c r="B4332" s="10"/>
      <c r="E4332" s="10"/>
      <c r="G4332" s="10"/>
      <c r="AK4332" s="10" t="str">
        <f t="array" ref="AK4332">IFERROR(INDEX(SelectedSpecies,SMALL(IF(SelectedSpecies=AK$1,ROW(SelectedSpecies)),ROW(4331:4331)),2),"")</f>
        <v/>
      </c>
    </row>
    <row r="4333" spans="1:37" ht="21" hidden="1" customHeight="1" x14ac:dyDescent="0.25">
      <c r="AK4333" s="10" t="str">
        <f t="array" ref="AK4333">IFERROR(INDEX(SelectedSpecies,SMALL(IF(SelectedSpecies=AK$1,ROW(SelectedSpecies)),ROW(4332:4332)),2),"")</f>
        <v/>
      </c>
    </row>
    <row r="4334" spans="1:37" ht="21" hidden="1" customHeight="1" x14ac:dyDescent="0.25">
      <c r="AK4334" s="10" t="str">
        <f t="array" ref="AK4334">IFERROR(INDEX(SelectedSpecies,SMALL(IF(SelectedSpecies=AK$1,ROW(SelectedSpecies)),ROW(4333:4333)),2),"")</f>
        <v/>
      </c>
    </row>
    <row r="4335" spans="1:37" ht="21" hidden="1" customHeight="1" x14ac:dyDescent="0.25">
      <c r="AK4335" s="10" t="str">
        <f t="array" ref="AK4335">IFERROR(INDEX(SelectedSpecies,SMALL(IF(SelectedSpecies=AK$1,ROW(SelectedSpecies)),ROW(4334:4334)),2),"")</f>
        <v/>
      </c>
    </row>
    <row r="4336" spans="1:37" ht="21" hidden="1" customHeight="1" x14ac:dyDescent="0.25">
      <c r="AK4336" s="10" t="str">
        <f t="array" ref="AK4336">IFERROR(INDEX(SelectedSpecies,SMALL(IF(SelectedSpecies=AK$1,ROW(SelectedSpecies)),ROW(4335:4335)),2),"")</f>
        <v/>
      </c>
    </row>
    <row r="4337" spans="37:37" ht="21" hidden="1" customHeight="1" x14ac:dyDescent="0.25">
      <c r="AK4337" s="10" t="str">
        <f t="array" ref="AK4337">IFERROR(INDEX(SelectedSpecies,SMALL(IF(SelectedSpecies=AK$1,ROW(SelectedSpecies)),ROW(4336:4336)),2),"")</f>
        <v/>
      </c>
    </row>
    <row r="4338" spans="37:37" ht="21" hidden="1" customHeight="1" x14ac:dyDescent="0.25">
      <c r="AK4338" s="10" t="str">
        <f t="array" ref="AK4338">IFERROR(INDEX(SelectedSpecies,SMALL(IF(SelectedSpecies=AK$1,ROW(SelectedSpecies)),ROW(4337:4337)),2),"")</f>
        <v/>
      </c>
    </row>
    <row r="4339" spans="37:37" ht="21" hidden="1" customHeight="1" x14ac:dyDescent="0.25">
      <c r="AK4339" s="10" t="str">
        <f t="array" ref="AK4339">IFERROR(INDEX(SelectedSpecies,SMALL(IF(SelectedSpecies=AK$1,ROW(SelectedSpecies)),ROW(4338:4338)),2),"")</f>
        <v/>
      </c>
    </row>
    <row r="4340" spans="37:37" ht="21" hidden="1" customHeight="1" x14ac:dyDescent="0.25"/>
  </sheetData>
  <sheetProtection algorithmName="SHA-512" hashValue="Q6ovy5FkH6Hi46Ne0DiBWrDUwD6T/+56El2nL8nSffAyPYUctbFwc+oXKXlF+OTEK9xat3zo4kJp8+2T0Oezxw==" saltValue="7HiW/UzEBivyYL8W6rTU4w==" spinCount="100000" sheet="1" objects="1" scenarios="1" formatColumns="0" formatRows="0" autoFilter="0"/>
  <mergeCells count="7">
    <mergeCell ref="BU59:CI59"/>
    <mergeCell ref="BU1:CI1"/>
    <mergeCell ref="BU47:CG47"/>
    <mergeCell ref="BS2:BS10"/>
    <mergeCell ref="BS11:BS17"/>
    <mergeCell ref="BU33:CH33"/>
    <mergeCell ref="BU17:CH17"/>
  </mergeCells>
  <pageMargins left="0.7" right="0.7" top="0.75" bottom="0.75" header="0.3" footer="0.3"/>
  <pageSetup scale="10" fitToHeight="0" orientation="landscape" r:id="rId1"/>
  <ignoredErrors>
    <ignoredError sqref="BK21:BM21 BO21:BP21" formula="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9BB589-B01A-4C15-A814-D8466B47F3B7}">
  <sheetPr codeName="Sheet23">
    <tabColor theme="8" tint="0.39997558519241921"/>
  </sheetPr>
  <dimension ref="A1:G167"/>
  <sheetViews>
    <sheetView workbookViewId="0">
      <selection sqref="A1:G1"/>
    </sheetView>
  </sheetViews>
  <sheetFormatPr defaultColWidth="0" defaultRowHeight="14.25" zeroHeight="1" x14ac:dyDescent="0.25"/>
  <cols>
    <col min="1" max="1" width="26.140625" style="466" customWidth="1"/>
    <col min="2" max="2" width="52.140625" style="466" customWidth="1"/>
    <col min="3" max="3" width="19.7109375" style="466" customWidth="1"/>
    <col min="4" max="4" width="15.28515625" style="466" customWidth="1"/>
    <col min="5" max="5" width="13.7109375" style="466" customWidth="1"/>
    <col min="6" max="6" width="49.85546875" style="466" customWidth="1"/>
    <col min="7" max="7" width="27" style="466" customWidth="1"/>
    <col min="8" max="16384" width="9.140625" style="466" hidden="1"/>
  </cols>
  <sheetData>
    <row r="1" spans="1:7" ht="3.75" customHeight="1" thickBot="1" x14ac:dyDescent="0.3">
      <c r="A1" s="1623" t="s">
        <v>8392</v>
      </c>
      <c r="B1" s="1623"/>
      <c r="C1" s="1623"/>
      <c r="D1" s="1623"/>
      <c r="E1" s="1623"/>
      <c r="F1" s="1623"/>
      <c r="G1" s="1623"/>
    </row>
    <row r="2" spans="1:7" ht="18.75" thickBot="1" x14ac:dyDescent="0.3">
      <c r="A2" s="1436" t="s">
        <v>279</v>
      </c>
      <c r="B2" s="1437"/>
      <c r="C2" s="1437"/>
      <c r="D2" s="1437"/>
      <c r="E2" s="1437"/>
      <c r="F2" s="1437"/>
      <c r="G2" s="1438"/>
    </row>
    <row r="3" spans="1:7" ht="146.25" customHeight="1" thickBot="1" x14ac:dyDescent="0.3">
      <c r="A3" s="1429" t="s">
        <v>10518</v>
      </c>
      <c r="B3" s="1621"/>
      <c r="C3" s="1621"/>
      <c r="D3" s="1621"/>
      <c r="E3" s="1621"/>
      <c r="F3" s="1621"/>
      <c r="G3" s="1622"/>
    </row>
    <row r="4" spans="1:7" ht="15" customHeight="1" thickBot="1" x14ac:dyDescent="0.3">
      <c r="A4" s="1498" t="s">
        <v>8642</v>
      </c>
      <c r="B4" s="1498"/>
      <c r="C4" s="1498"/>
      <c r="D4" s="1498"/>
      <c r="E4" s="1498"/>
      <c r="F4" s="1498"/>
      <c r="G4" s="1498"/>
    </row>
    <row r="5" spans="1:7" ht="15" customHeight="1" thickBot="1" x14ac:dyDescent="0.3">
      <c r="A5" s="1344" t="s">
        <v>8585</v>
      </c>
      <c r="B5" s="1345"/>
      <c r="C5" s="1345"/>
      <c r="D5" s="1345"/>
      <c r="E5" s="1345"/>
      <c r="F5" s="1345"/>
      <c r="G5" s="1346"/>
    </row>
    <row r="6" spans="1:7" ht="117.75" customHeight="1" x14ac:dyDescent="0.25">
      <c r="A6" s="1636" t="s">
        <v>10016</v>
      </c>
      <c r="B6" s="1637"/>
      <c r="C6" s="1637"/>
      <c r="D6" s="1637"/>
      <c r="E6" s="1637"/>
      <c r="F6" s="1637"/>
      <c r="G6" s="1638"/>
    </row>
    <row r="7" spans="1:7" ht="15" customHeight="1" x14ac:dyDescent="0.25">
      <c r="A7" s="1639" t="s">
        <v>8543</v>
      </c>
      <c r="B7" s="1640"/>
      <c r="C7" s="1640"/>
      <c r="D7" s="1640"/>
      <c r="E7" s="1640"/>
      <c r="F7" s="1640" t="s">
        <v>8545</v>
      </c>
      <c r="G7" s="1648"/>
    </row>
    <row r="8" spans="1:7" ht="15" customHeight="1" x14ac:dyDescent="0.2">
      <c r="A8" s="1487" t="str">
        <f>IF(F8="","",Tank1!C9)</f>
        <v/>
      </c>
      <c r="B8" s="1485"/>
      <c r="C8" s="1485"/>
      <c r="D8" s="1485"/>
      <c r="E8" s="1485"/>
      <c r="F8" s="1154" t="str">
        <f>IF(Tank1!C10="","",IF(AND(Tank1!$C$23="No control",Tank1!$C$26="Yes"),(VLOOKUP(Tank1!$C$24,Downwash,MATCH(Tank1!$C$25,ReleaseHeight,1)+1,TRUE)),IF(AND(Tank1!$C$23="No control",Tank1!$C$26="No"),(VLOOKUP(Tank1!$C$24,NoDownwash,MATCH(Tank1!$C$25,ReleaseHeight,1)+1,TRUE)),"")))</f>
        <v/>
      </c>
      <c r="G8" s="1567"/>
    </row>
    <row r="9" spans="1:7" ht="15" customHeight="1" x14ac:dyDescent="0.2">
      <c r="A9" s="1487" t="str">
        <f>IF(F9="","",Tank2!C9)</f>
        <v/>
      </c>
      <c r="B9" s="1485"/>
      <c r="C9" s="1485"/>
      <c r="D9" s="1485"/>
      <c r="E9" s="1485"/>
      <c r="F9" s="1154" t="str">
        <f>IF(Tank2!C10="","",IF(AND(Tank2!$C$23="No control",Tank2!$C$26="Yes"),(VLOOKUP(Tank2!$C$24,Downwash,MATCH(Tank2!$C$25,ReleaseHeight,1)+1,TRUE)),IF(AND(Tank2!$C$23="No control",Tank2!$C$26="No"),(VLOOKUP(Tank2!$C$24,NoDownwash,MATCH(Tank2!$C$25,ReleaseHeight,1)+1,TRUE)),"")))</f>
        <v/>
      </c>
      <c r="G9" s="1567"/>
    </row>
    <row r="10" spans="1:7" ht="15" customHeight="1" x14ac:dyDescent="0.2">
      <c r="A10" s="1487" t="str">
        <f>IF(F10="","",Tank3!C9)</f>
        <v/>
      </c>
      <c r="B10" s="1485"/>
      <c r="C10" s="1485"/>
      <c r="D10" s="1485"/>
      <c r="E10" s="1485"/>
      <c r="F10" s="1154" t="str">
        <f>IF(Tank3!C10="","",IF(AND(Tank3!$C$23="No control",Tank3!$C$26="Yes"),(VLOOKUP(Tank3!$C$24,Downwash,MATCH(Tank3!$C$25,ReleaseHeight,1)+1,TRUE)),IF(AND(Tank3!$C$23="No control",Tank3!$C$26="No"),(VLOOKUP(Tank3!$C$24,NoDownwash,MATCH(Tank3!$C$25,ReleaseHeight,1)+1,TRUE)),"")))</f>
        <v/>
      </c>
      <c r="G10" s="1567"/>
    </row>
    <row r="11" spans="1:7" ht="15" customHeight="1" x14ac:dyDescent="0.2">
      <c r="A11" s="1487" t="str">
        <f>IF(F11="","",Tank4!C9)</f>
        <v/>
      </c>
      <c r="B11" s="1485"/>
      <c r="C11" s="1485"/>
      <c r="D11" s="1485"/>
      <c r="E11" s="1485"/>
      <c r="F11" s="1154" t="str">
        <f>IF(Tank4!C10="","",IF(AND(Tank4!$C$23="No control",Tank4!$C$26="Yes"),(VLOOKUP(Tank4!$C$24,Downwash,MATCH(Tank4!$C$25,ReleaseHeight,1)+1,TRUE)),IF(AND(Tank4!$C$23="No control",Tank4!$C$26="No"),(VLOOKUP(Tank4!$C$24,NoDownwash,MATCH(Tank4!$C$25,ReleaseHeight,1)+1,TRUE)),"")))</f>
        <v/>
      </c>
      <c r="G11" s="1567"/>
    </row>
    <row r="12" spans="1:7" ht="15" customHeight="1" x14ac:dyDescent="0.2">
      <c r="A12" s="1487" t="str">
        <f>IF(F12="","",Tank5!C9)</f>
        <v/>
      </c>
      <c r="B12" s="1485"/>
      <c r="C12" s="1485"/>
      <c r="D12" s="1485"/>
      <c r="E12" s="1485"/>
      <c r="F12" s="1154" t="str">
        <f>IF(Tank5!C10="","",IF(AND(Tank5!$C$23="No control",Tank5!$C$26="Yes"),(VLOOKUP(Tank5!$C$24,Downwash,MATCH(Tank5!$C$25,ReleaseHeight,1)+1,TRUE)),IF(AND(Tank5!$C$23="No control",Tank5!$C$26="No"),(VLOOKUP(Tank5!$C$24,NoDownwash,MATCH(Tank5!$C$25,ReleaseHeight,1)+1,TRUE)),"")))</f>
        <v/>
      </c>
      <c r="G12" s="1567"/>
    </row>
    <row r="13" spans="1:7" ht="15" customHeight="1" x14ac:dyDescent="0.2">
      <c r="A13" s="1487" t="str">
        <f>IF(F13="","",'Loading-drum,tote'!C9)</f>
        <v/>
      </c>
      <c r="B13" s="1485"/>
      <c r="C13" s="1485"/>
      <c r="D13" s="1485"/>
      <c r="E13" s="1485"/>
      <c r="F13" s="1154" t="str">
        <f>IF('Loading-drum,tote'!C10="","",IF('Loading-drum,tote'!C21="","",(IF('Loading-drum,tote'!C18="Yes",(VLOOKUP('Loading-drum,tote'!C16,Downwash,MATCH('Loading-drum,tote'!C17,ReleaseHeight,1)+1,TRUE)),(VLOOKUP('Loading-drum,tote'!C16,NoDownwash,MATCH('Loading-drum,tote'!C17,ReleaseHeight,1)+1,TRUE))))))</f>
        <v/>
      </c>
      <c r="G13" s="1567"/>
    </row>
    <row r="14" spans="1:7" ht="15" customHeight="1" x14ac:dyDescent="0.2">
      <c r="A14" s="1487" t="str">
        <f>IF(F14="","",'Loading-truck'!C9)</f>
        <v/>
      </c>
      <c r="B14" s="1485"/>
      <c r="C14" s="1485"/>
      <c r="D14" s="1485"/>
      <c r="E14" s="1485"/>
      <c r="F14" s="1154" t="str">
        <f>IF('Loading-truck'!C10="","",IF('Loading-truck'!C21="","",(IF('Loading-truck'!C18="Yes",(VLOOKUP('Loading-truck'!C16,Downwash,MATCH('Loading-truck'!C17,ReleaseHeight,1)+1,TRUE)),(VLOOKUP('Loading-truck'!C16,NoDownwash,MATCH('Loading-truck'!C17,ReleaseHeight,1)+1,TRUE))))))</f>
        <v/>
      </c>
      <c r="G14" s="1567"/>
    </row>
    <row r="15" spans="1:7" ht="15" customHeight="1" x14ac:dyDescent="0.2">
      <c r="A15" s="1487" t="str">
        <f>IF(F15="","",'Loading-rail'!C9)</f>
        <v/>
      </c>
      <c r="B15" s="1485"/>
      <c r="C15" s="1485"/>
      <c r="D15" s="1485"/>
      <c r="E15" s="1485"/>
      <c r="F15" s="1154" t="str">
        <f>IF('Loading-rail'!C10="","",IF('Loading-rail'!$C$21="","",(IF('Loading-rail'!C18="Yes",(VLOOKUP('Loading-rail'!C16,Downwash,MATCH('Loading-rail'!C17,ReleaseHeight,1)+1,TRUE)),(VLOOKUP('Loading-rail'!C16,NoDownwash,MATCH('Loading-rail'!C17,ReleaseHeight,1)+1,TRUE))))))</f>
        <v/>
      </c>
      <c r="G15" s="1567"/>
    </row>
    <row r="16" spans="1:7" ht="15" customHeight="1" x14ac:dyDescent="0.2">
      <c r="A16" s="1487" t="str">
        <f>IF(F16="","",Flare!C8)</f>
        <v/>
      </c>
      <c r="B16" s="1485"/>
      <c r="C16" s="1485"/>
      <c r="D16" s="1485"/>
      <c r="E16" s="1485"/>
      <c r="F16" s="1154" t="str">
        <f>IF(Flare!C17="Yes",VLOOKUP(Flare!C15,Downwash,MATCH(Flare!C16,ReleaseHeight,1)+1,TRUE),IF(Flare!C17="No",VLOOKUP(Flare!C15,NoDownwash,MATCH(Flare!C16,ReleaseHeight,1)+1,TRUE),""))</f>
        <v/>
      </c>
      <c r="G16" s="1567"/>
    </row>
    <row r="17" spans="1:7" ht="15" customHeight="1" x14ac:dyDescent="0.2">
      <c r="A17" s="1487" t="str">
        <f>IF(F17="","",VCU!C10)</f>
        <v/>
      </c>
      <c r="B17" s="1485"/>
      <c r="C17" s="1485"/>
      <c r="D17" s="1485"/>
      <c r="E17" s="1485"/>
      <c r="F17" s="1154" t="str">
        <f>IF(VCU!C19="Yes",VLOOKUP(VCU!C17,Downwash,MATCH(VCU!C18,ReleaseHeight,1)+1,TRUE),IF(VCU!C19="No",VLOOKUP(VCU!C17,NoDownwash,MATCH(VCU!C18,ReleaseHeight,1)+1,TRUE),""))</f>
        <v/>
      </c>
      <c r="G17" s="1567"/>
    </row>
    <row r="18" spans="1:7" ht="15" customHeight="1" thickBot="1" x14ac:dyDescent="0.25">
      <c r="A18" s="1483" t="str">
        <f>IF(F18="","",CAS!C8)</f>
        <v/>
      </c>
      <c r="B18" s="1484"/>
      <c r="C18" s="1484"/>
      <c r="D18" s="1484"/>
      <c r="E18" s="1484"/>
      <c r="F18" s="1590" t="str">
        <f>IF(CAS!C17="Yes",VLOOKUP(CAS!C15,Downwash,MATCH(CAS!C16,ReleaseHeight,1)+1,TRUE),IF(CAS!C17="No",VLOOKUP(CAS!C15,NoDownwash,MATCH(CAS!C16,ReleaseHeight,1)+1,TRUE),""))</f>
        <v/>
      </c>
      <c r="G18" s="1647"/>
    </row>
    <row r="19" spans="1:7" ht="15" customHeight="1" thickBot="1" x14ac:dyDescent="0.3">
      <c r="A19" s="1414" t="s">
        <v>8642</v>
      </c>
      <c r="B19" s="1414"/>
      <c r="C19" s="1414"/>
      <c r="D19" s="1414"/>
      <c r="E19" s="1414"/>
      <c r="F19" s="1414"/>
      <c r="G19" s="1414"/>
    </row>
    <row r="20" spans="1:7" ht="15" customHeight="1" thickBot="1" x14ac:dyDescent="0.3">
      <c r="A20" s="1411" t="s">
        <v>8586</v>
      </c>
      <c r="B20" s="1412"/>
      <c r="C20" s="1412"/>
      <c r="D20" s="1412"/>
      <c r="E20" s="1412"/>
      <c r="F20" s="1412"/>
      <c r="G20" s="1413"/>
    </row>
    <row r="21" spans="1:7" ht="15" customHeight="1" thickBot="1" x14ac:dyDescent="0.3">
      <c r="A21" s="1644" t="s">
        <v>8371</v>
      </c>
      <c r="B21" s="1645"/>
      <c r="C21" s="1645"/>
      <c r="D21" s="1645"/>
      <c r="E21" s="1645"/>
      <c r="F21" s="1645" t="str">
        <f>IF(COUNTIF(E25:E166,"no")=0,"Yes","No")</f>
        <v>Yes</v>
      </c>
      <c r="G21" s="1646"/>
    </row>
    <row r="22" spans="1:7" ht="15" customHeight="1" thickBot="1" x14ac:dyDescent="0.3">
      <c r="A22" s="1498" t="s">
        <v>8642</v>
      </c>
      <c r="B22" s="1498"/>
      <c r="C22" s="1498"/>
      <c r="D22" s="1498"/>
      <c r="E22" s="1498"/>
      <c r="F22" s="1498"/>
      <c r="G22" s="1498"/>
    </row>
    <row r="23" spans="1:7" ht="15" customHeight="1" thickBot="1" x14ac:dyDescent="0.3">
      <c r="A23" s="1411" t="s">
        <v>8587</v>
      </c>
      <c r="B23" s="1412"/>
      <c r="C23" s="1412"/>
      <c r="D23" s="1412"/>
      <c r="E23" s="1412"/>
      <c r="F23" s="1412"/>
      <c r="G23" s="1413"/>
    </row>
    <row r="24" spans="1:7" s="545" customFormat="1" ht="45" x14ac:dyDescent="0.25">
      <c r="A24" s="551" t="s">
        <v>8353</v>
      </c>
      <c r="B24" s="443" t="s">
        <v>8588</v>
      </c>
      <c r="C24" s="443" t="s">
        <v>282</v>
      </c>
      <c r="D24" s="443" t="s">
        <v>10212</v>
      </c>
      <c r="E24" s="443" t="s">
        <v>283</v>
      </c>
      <c r="F24" s="833" t="s">
        <v>8372</v>
      </c>
      <c r="G24" s="445" t="s">
        <v>8381</v>
      </c>
    </row>
    <row r="25" spans="1:7" ht="30" customHeight="1" x14ac:dyDescent="0.25">
      <c r="A25" s="486" t="s">
        <v>8708</v>
      </c>
      <c r="B25" s="831" t="s">
        <v>8363</v>
      </c>
      <c r="C25" s="831">
        <f>SUMIF('Hidden Inputs'!$J$3:$J$4154,$B25,'Hidden Inputs'!$W$3:$W$4154)</f>
        <v>0</v>
      </c>
      <c r="D25" s="831">
        <v>1</v>
      </c>
      <c r="E25" s="831" t="str">
        <f>IF(C25="","",(IF(C25&lt;D25,"Yes","No")))</f>
        <v>Yes</v>
      </c>
      <c r="F25" s="832" t="str">
        <f>IF(E25="No", "Please revise throughputs of this pollutant on each applicable source sheet.","N/A")</f>
        <v>N/A</v>
      </c>
      <c r="G25" s="830"/>
    </row>
    <row r="26" spans="1:7" ht="30" customHeight="1" x14ac:dyDescent="0.25">
      <c r="A26" s="486" t="s">
        <v>8708</v>
      </c>
      <c r="B26" s="831" t="s">
        <v>8715</v>
      </c>
      <c r="C26" s="831">
        <f>SUMIF('Hidden Inputs'!$J$3:$J$4154,$B26,'Hidden Inputs'!$W$3:$W$4154)</f>
        <v>0</v>
      </c>
      <c r="D26" s="831">
        <v>0.2</v>
      </c>
      <c r="E26" s="831" t="str">
        <f>IF(C26="","",(IF(C26&lt;D26,"Yes","No")))</f>
        <v>Yes</v>
      </c>
      <c r="F26" s="832" t="str">
        <f t="shared" ref="F26:F27" si="0">IF(E26="No", "Please revise throughputs of this pollutant on each applicable source sheet.","N/A")</f>
        <v>N/A</v>
      </c>
      <c r="G26" s="830"/>
    </row>
    <row r="27" spans="1:7" ht="30" customHeight="1" thickBot="1" x14ac:dyDescent="0.3">
      <c r="A27" s="552" t="s">
        <v>8707</v>
      </c>
      <c r="B27" s="835" t="s">
        <v>8366</v>
      </c>
      <c r="C27" s="835">
        <f>SUMIF('Hidden Inputs'!$J$3:$J$4154,$B27,'Hidden Inputs'!$W$3:$W$4154)</f>
        <v>0</v>
      </c>
      <c r="D27" s="835">
        <v>1</v>
      </c>
      <c r="E27" s="835" t="str">
        <f>IF(C27="","",(IF(C27&lt;D27,"Yes","No")))</f>
        <v>Yes</v>
      </c>
      <c r="F27" s="834" t="str">
        <f t="shared" si="0"/>
        <v>N/A</v>
      </c>
      <c r="G27" s="553"/>
    </row>
    <row r="28" spans="1:7" ht="15" customHeight="1" thickBot="1" x14ac:dyDescent="0.3">
      <c r="A28" s="1498" t="s">
        <v>8642</v>
      </c>
      <c r="B28" s="1498"/>
      <c r="C28" s="1498"/>
      <c r="D28" s="1498"/>
      <c r="E28" s="1498"/>
      <c r="F28" s="1498"/>
      <c r="G28" s="1498"/>
    </row>
    <row r="29" spans="1:7" ht="15" customHeight="1" thickBot="1" x14ac:dyDescent="0.3">
      <c r="A29" s="1641" t="s">
        <v>8589</v>
      </c>
      <c r="B29" s="1642"/>
      <c r="C29" s="1642"/>
      <c r="D29" s="1642"/>
      <c r="E29" s="1642"/>
      <c r="F29" s="1642"/>
      <c r="G29" s="1643"/>
    </row>
    <row r="30" spans="1:7" ht="45" x14ac:dyDescent="0.25">
      <c r="A30" s="554" t="s">
        <v>8353</v>
      </c>
      <c r="B30" s="443" t="s">
        <v>8548</v>
      </c>
      <c r="C30" s="443" t="s">
        <v>282</v>
      </c>
      <c r="D30" s="443" t="s">
        <v>8544</v>
      </c>
      <c r="E30" s="443" t="s">
        <v>283</v>
      </c>
      <c r="F30" s="833" t="s">
        <v>8372</v>
      </c>
      <c r="G30" s="445" t="s">
        <v>8381</v>
      </c>
    </row>
    <row r="31" spans="1:7" ht="30.75" customHeight="1" x14ac:dyDescent="0.25">
      <c r="A31" s="486" t="str">
        <f>'Hidden Inputs'!AL2</f>
        <v/>
      </c>
      <c r="B31" s="832" t="str">
        <f t="shared" ref="B31:B62" si="1">IFERROR(VLOOKUP(A31, SpeciesDataTable,2,FALSE)," ")</f>
        <v xml:space="preserve"> </v>
      </c>
      <c r="C31" s="750">
        <f>SUMIF('Hidden Inputs'!$J$3:$J$4154,$B31,'Hidden Inputs'!$W$3:$W$4154)</f>
        <v>0</v>
      </c>
      <c r="D31" s="832" t="str">
        <f t="shared" ref="D31:D62" si="2">IFERROR(VLOOKUP(B31, SpeciesESL, 2, FALSE),"")</f>
        <v/>
      </c>
      <c r="E31" s="831" t="str">
        <f t="shared" ref="E31:E94" si="3">IF(C31="","",(IF(C31&lt;D31,"Yes","No")))</f>
        <v>Yes</v>
      </c>
      <c r="F31" s="832" t="str">
        <f>IF(E31="No", "Please revise throughputs of this pollutant on each applicable source sheet.","No additional steps required.")</f>
        <v>No additional steps required.</v>
      </c>
      <c r="G31" s="830"/>
    </row>
    <row r="32" spans="1:7" ht="30.75" customHeight="1" x14ac:dyDescent="0.25">
      <c r="A32" s="486" t="str">
        <f>'Hidden Inputs'!AL3</f>
        <v/>
      </c>
      <c r="B32" s="832" t="str">
        <f t="shared" si="1"/>
        <v xml:space="preserve"> </v>
      </c>
      <c r="C32" s="750">
        <f>SUMIF('Hidden Inputs'!$J$3:$J$4154,$B32,'Hidden Inputs'!$W$3:$W$4154)</f>
        <v>0</v>
      </c>
      <c r="D32" s="832" t="str">
        <f t="shared" si="2"/>
        <v/>
      </c>
      <c r="E32" s="831" t="str">
        <f t="shared" si="3"/>
        <v>Yes</v>
      </c>
      <c r="F32" s="832" t="str">
        <f t="shared" ref="F32:F95" si="4">IF(E32="No", "Please revise throughputs of this pollutant on each applicable source sheet.","No additional steps required.")</f>
        <v>No additional steps required.</v>
      </c>
      <c r="G32" s="830"/>
    </row>
    <row r="33" spans="1:7" ht="30.75" customHeight="1" x14ac:dyDescent="0.25">
      <c r="A33" s="486" t="str">
        <f>'Hidden Inputs'!AL4</f>
        <v/>
      </c>
      <c r="B33" s="832" t="str">
        <f t="shared" si="1"/>
        <v xml:space="preserve"> </v>
      </c>
      <c r="C33" s="750">
        <f>SUMIF('Hidden Inputs'!$J$3:$J$4154,$B33,'Hidden Inputs'!$W$3:$W$4154)</f>
        <v>0</v>
      </c>
      <c r="D33" s="832" t="str">
        <f t="shared" si="2"/>
        <v/>
      </c>
      <c r="E33" s="831" t="str">
        <f t="shared" si="3"/>
        <v>Yes</v>
      </c>
      <c r="F33" s="832" t="str">
        <f t="shared" si="4"/>
        <v>No additional steps required.</v>
      </c>
      <c r="G33" s="830"/>
    </row>
    <row r="34" spans="1:7" ht="30.75" customHeight="1" x14ac:dyDescent="0.25">
      <c r="A34" s="486" t="str">
        <f>'Hidden Inputs'!AL5</f>
        <v/>
      </c>
      <c r="B34" s="832" t="str">
        <f t="shared" si="1"/>
        <v xml:space="preserve"> </v>
      </c>
      <c r="C34" s="750">
        <f>SUMIF('Hidden Inputs'!$J$3:$J$4154,$B34,'Hidden Inputs'!$W$3:$W$4154)</f>
        <v>0</v>
      </c>
      <c r="D34" s="832" t="str">
        <f t="shared" si="2"/>
        <v/>
      </c>
      <c r="E34" s="831" t="str">
        <f t="shared" si="3"/>
        <v>Yes</v>
      </c>
      <c r="F34" s="832" t="str">
        <f t="shared" si="4"/>
        <v>No additional steps required.</v>
      </c>
      <c r="G34" s="830"/>
    </row>
    <row r="35" spans="1:7" ht="30.75" customHeight="1" x14ac:dyDescent="0.25">
      <c r="A35" s="486" t="str">
        <f>'Hidden Inputs'!AL6</f>
        <v/>
      </c>
      <c r="B35" s="832" t="str">
        <f t="shared" si="1"/>
        <v xml:space="preserve"> </v>
      </c>
      <c r="C35" s="750">
        <f>SUMIF('Hidden Inputs'!$J$3:$J$4154,$B35,'Hidden Inputs'!$W$3:$W$4154)</f>
        <v>0</v>
      </c>
      <c r="D35" s="832" t="str">
        <f t="shared" si="2"/>
        <v/>
      </c>
      <c r="E35" s="831" t="str">
        <f t="shared" si="3"/>
        <v>Yes</v>
      </c>
      <c r="F35" s="832" t="str">
        <f t="shared" si="4"/>
        <v>No additional steps required.</v>
      </c>
      <c r="G35" s="830"/>
    </row>
    <row r="36" spans="1:7" ht="30.75" customHeight="1" x14ac:dyDescent="0.25">
      <c r="A36" s="486" t="str">
        <f>'Hidden Inputs'!AL7</f>
        <v/>
      </c>
      <c r="B36" s="832" t="str">
        <f t="shared" si="1"/>
        <v xml:space="preserve"> </v>
      </c>
      <c r="C36" s="750">
        <f>SUMIF('Hidden Inputs'!$J$3:$J$4154,$B36,'Hidden Inputs'!$W$3:$W$4154)</f>
        <v>0</v>
      </c>
      <c r="D36" s="832" t="str">
        <f t="shared" si="2"/>
        <v/>
      </c>
      <c r="E36" s="831" t="str">
        <f t="shared" si="3"/>
        <v>Yes</v>
      </c>
      <c r="F36" s="832" t="str">
        <f t="shared" si="4"/>
        <v>No additional steps required.</v>
      </c>
      <c r="G36" s="830"/>
    </row>
    <row r="37" spans="1:7" ht="30.75" customHeight="1" x14ac:dyDescent="0.25">
      <c r="A37" s="486" t="str">
        <f>'Hidden Inputs'!AL8</f>
        <v/>
      </c>
      <c r="B37" s="832" t="str">
        <f t="shared" si="1"/>
        <v xml:space="preserve"> </v>
      </c>
      <c r="C37" s="750">
        <f>SUMIF('Hidden Inputs'!$J$3:$J$4154,$B37,'Hidden Inputs'!$W$3:$W$4154)</f>
        <v>0</v>
      </c>
      <c r="D37" s="832" t="str">
        <f t="shared" si="2"/>
        <v/>
      </c>
      <c r="E37" s="831" t="str">
        <f t="shared" si="3"/>
        <v>Yes</v>
      </c>
      <c r="F37" s="832" t="str">
        <f t="shared" si="4"/>
        <v>No additional steps required.</v>
      </c>
      <c r="G37" s="830"/>
    </row>
    <row r="38" spans="1:7" ht="30.75" customHeight="1" x14ac:dyDescent="0.25">
      <c r="A38" s="486" t="str">
        <f>'Hidden Inputs'!AL9</f>
        <v/>
      </c>
      <c r="B38" s="832" t="str">
        <f t="shared" si="1"/>
        <v xml:space="preserve"> </v>
      </c>
      <c r="C38" s="750">
        <f>SUMIF('Hidden Inputs'!$J$3:$J$4154,$B38,'Hidden Inputs'!$W$3:$W$4154)</f>
        <v>0</v>
      </c>
      <c r="D38" s="832" t="str">
        <f t="shared" si="2"/>
        <v/>
      </c>
      <c r="E38" s="831" t="str">
        <f t="shared" si="3"/>
        <v>Yes</v>
      </c>
      <c r="F38" s="832" t="str">
        <f t="shared" si="4"/>
        <v>No additional steps required.</v>
      </c>
      <c r="G38" s="830"/>
    </row>
    <row r="39" spans="1:7" ht="30.75" customHeight="1" x14ac:dyDescent="0.25">
      <c r="A39" s="486" t="str">
        <f>'Hidden Inputs'!AL10</f>
        <v/>
      </c>
      <c r="B39" s="832" t="str">
        <f t="shared" si="1"/>
        <v xml:space="preserve"> </v>
      </c>
      <c r="C39" s="750">
        <f>SUMIF('Hidden Inputs'!$J$3:$J$4154,$B39,'Hidden Inputs'!$W$3:$W$4154)</f>
        <v>0</v>
      </c>
      <c r="D39" s="832" t="str">
        <f t="shared" si="2"/>
        <v/>
      </c>
      <c r="E39" s="831" t="str">
        <f t="shared" si="3"/>
        <v>Yes</v>
      </c>
      <c r="F39" s="832" t="str">
        <f t="shared" si="4"/>
        <v>No additional steps required.</v>
      </c>
      <c r="G39" s="830"/>
    </row>
    <row r="40" spans="1:7" ht="30.75" customHeight="1" x14ac:dyDescent="0.25">
      <c r="A40" s="486" t="str">
        <f>'Hidden Inputs'!AL11</f>
        <v/>
      </c>
      <c r="B40" s="832" t="str">
        <f t="shared" si="1"/>
        <v xml:space="preserve"> </v>
      </c>
      <c r="C40" s="750">
        <f>SUMIF('Hidden Inputs'!$J$3:$J$4154,$B40,'Hidden Inputs'!$W$3:$W$4154)</f>
        <v>0</v>
      </c>
      <c r="D40" s="832" t="str">
        <f t="shared" si="2"/>
        <v/>
      </c>
      <c r="E40" s="831" t="str">
        <f t="shared" si="3"/>
        <v>Yes</v>
      </c>
      <c r="F40" s="832" t="str">
        <f t="shared" si="4"/>
        <v>No additional steps required.</v>
      </c>
      <c r="G40" s="830"/>
    </row>
    <row r="41" spans="1:7" ht="30.75" customHeight="1" x14ac:dyDescent="0.25">
      <c r="A41" s="486" t="str">
        <f>'Hidden Inputs'!AL12</f>
        <v/>
      </c>
      <c r="B41" s="832" t="str">
        <f t="shared" si="1"/>
        <v xml:space="preserve"> </v>
      </c>
      <c r="C41" s="750">
        <f>SUMIF('Hidden Inputs'!$J$3:$J$4154,$B41,'Hidden Inputs'!$W$3:$W$4154)</f>
        <v>0</v>
      </c>
      <c r="D41" s="832" t="str">
        <f t="shared" si="2"/>
        <v/>
      </c>
      <c r="E41" s="831" t="str">
        <f t="shared" si="3"/>
        <v>Yes</v>
      </c>
      <c r="F41" s="832" t="str">
        <f t="shared" si="4"/>
        <v>No additional steps required.</v>
      </c>
      <c r="G41" s="830"/>
    </row>
    <row r="42" spans="1:7" ht="30.75" customHeight="1" x14ac:dyDescent="0.25">
      <c r="A42" s="486" t="str">
        <f>'Hidden Inputs'!AL13</f>
        <v/>
      </c>
      <c r="B42" s="832" t="str">
        <f t="shared" si="1"/>
        <v xml:space="preserve"> </v>
      </c>
      <c r="C42" s="750">
        <f>SUMIF('Hidden Inputs'!$J$3:$J$4154,$B42,'Hidden Inputs'!$W$3:$W$4154)</f>
        <v>0</v>
      </c>
      <c r="D42" s="832" t="str">
        <f t="shared" si="2"/>
        <v/>
      </c>
      <c r="E42" s="831" t="str">
        <f t="shared" si="3"/>
        <v>Yes</v>
      </c>
      <c r="F42" s="832" t="str">
        <f t="shared" si="4"/>
        <v>No additional steps required.</v>
      </c>
      <c r="G42" s="830"/>
    </row>
    <row r="43" spans="1:7" ht="30.75" customHeight="1" x14ac:dyDescent="0.25">
      <c r="A43" s="486" t="str">
        <f>'Hidden Inputs'!AL14</f>
        <v/>
      </c>
      <c r="B43" s="832" t="str">
        <f t="shared" si="1"/>
        <v xml:space="preserve"> </v>
      </c>
      <c r="C43" s="750">
        <f>SUMIF('Hidden Inputs'!$J$3:$J$4154,$B43,'Hidden Inputs'!$W$3:$W$4154)</f>
        <v>0</v>
      </c>
      <c r="D43" s="832" t="str">
        <f t="shared" si="2"/>
        <v/>
      </c>
      <c r="E43" s="831" t="str">
        <f t="shared" si="3"/>
        <v>Yes</v>
      </c>
      <c r="F43" s="832" t="str">
        <f t="shared" si="4"/>
        <v>No additional steps required.</v>
      </c>
      <c r="G43" s="830"/>
    </row>
    <row r="44" spans="1:7" ht="30.75" customHeight="1" x14ac:dyDescent="0.25">
      <c r="A44" s="486" t="str">
        <f>'Hidden Inputs'!AL15</f>
        <v/>
      </c>
      <c r="B44" s="832" t="str">
        <f t="shared" si="1"/>
        <v xml:space="preserve"> </v>
      </c>
      <c r="C44" s="750">
        <f>SUMIF('Hidden Inputs'!$J$3:$J$4154,$B44,'Hidden Inputs'!$W$3:$W$4154)</f>
        <v>0</v>
      </c>
      <c r="D44" s="832" t="str">
        <f t="shared" si="2"/>
        <v/>
      </c>
      <c r="E44" s="831" t="str">
        <f t="shared" si="3"/>
        <v>Yes</v>
      </c>
      <c r="F44" s="832" t="str">
        <f t="shared" si="4"/>
        <v>No additional steps required.</v>
      </c>
      <c r="G44" s="830"/>
    </row>
    <row r="45" spans="1:7" ht="30.75" customHeight="1" x14ac:dyDescent="0.25">
      <c r="A45" s="486" t="str">
        <f>'Hidden Inputs'!AL16</f>
        <v/>
      </c>
      <c r="B45" s="832" t="str">
        <f t="shared" si="1"/>
        <v xml:space="preserve"> </v>
      </c>
      <c r="C45" s="750">
        <f>SUMIF('Hidden Inputs'!$J$3:$J$4154,$B45,'Hidden Inputs'!$W$3:$W$4154)</f>
        <v>0</v>
      </c>
      <c r="D45" s="832" t="str">
        <f t="shared" si="2"/>
        <v/>
      </c>
      <c r="E45" s="831" t="str">
        <f t="shared" si="3"/>
        <v>Yes</v>
      </c>
      <c r="F45" s="832" t="str">
        <f t="shared" si="4"/>
        <v>No additional steps required.</v>
      </c>
      <c r="G45" s="830"/>
    </row>
    <row r="46" spans="1:7" ht="30.75" customHeight="1" x14ac:dyDescent="0.25">
      <c r="A46" s="486" t="str">
        <f>'Hidden Inputs'!AL17</f>
        <v/>
      </c>
      <c r="B46" s="832" t="str">
        <f t="shared" si="1"/>
        <v xml:space="preserve"> </v>
      </c>
      <c r="C46" s="750">
        <f>SUMIF('Hidden Inputs'!$J$3:$J$4154,$B46,'Hidden Inputs'!$W$3:$W$4154)</f>
        <v>0</v>
      </c>
      <c r="D46" s="832" t="str">
        <f t="shared" si="2"/>
        <v/>
      </c>
      <c r="E46" s="831" t="str">
        <f t="shared" si="3"/>
        <v>Yes</v>
      </c>
      <c r="F46" s="832" t="str">
        <f t="shared" si="4"/>
        <v>No additional steps required.</v>
      </c>
      <c r="G46" s="830"/>
    </row>
    <row r="47" spans="1:7" ht="30.75" customHeight="1" x14ac:dyDescent="0.25">
      <c r="A47" s="486" t="str">
        <f>'Hidden Inputs'!AL18</f>
        <v/>
      </c>
      <c r="B47" s="832" t="str">
        <f t="shared" si="1"/>
        <v xml:space="preserve"> </v>
      </c>
      <c r="C47" s="750">
        <f>SUMIF('Hidden Inputs'!$J$3:$J$4154,$B47,'Hidden Inputs'!$W$3:$W$4154)</f>
        <v>0</v>
      </c>
      <c r="D47" s="832" t="str">
        <f t="shared" si="2"/>
        <v/>
      </c>
      <c r="E47" s="831" t="str">
        <f t="shared" si="3"/>
        <v>Yes</v>
      </c>
      <c r="F47" s="832" t="str">
        <f t="shared" si="4"/>
        <v>No additional steps required.</v>
      </c>
      <c r="G47" s="830"/>
    </row>
    <row r="48" spans="1:7" ht="30.75" customHeight="1" x14ac:dyDescent="0.25">
      <c r="A48" s="486" t="str">
        <f>'Hidden Inputs'!AL19</f>
        <v/>
      </c>
      <c r="B48" s="832" t="str">
        <f t="shared" si="1"/>
        <v xml:space="preserve"> </v>
      </c>
      <c r="C48" s="750">
        <f>SUMIF('Hidden Inputs'!$J$3:$J$4154,$B48,'Hidden Inputs'!$W$3:$W$4154)</f>
        <v>0</v>
      </c>
      <c r="D48" s="832" t="str">
        <f t="shared" si="2"/>
        <v/>
      </c>
      <c r="E48" s="831" t="str">
        <f t="shared" si="3"/>
        <v>Yes</v>
      </c>
      <c r="F48" s="832" t="str">
        <f t="shared" si="4"/>
        <v>No additional steps required.</v>
      </c>
      <c r="G48" s="830"/>
    </row>
    <row r="49" spans="1:7" ht="30.75" customHeight="1" x14ac:dyDescent="0.25">
      <c r="A49" s="486" t="str">
        <f>'Hidden Inputs'!AL20</f>
        <v/>
      </c>
      <c r="B49" s="832" t="str">
        <f t="shared" si="1"/>
        <v xml:space="preserve"> </v>
      </c>
      <c r="C49" s="750">
        <f>SUMIF('Hidden Inputs'!$J$3:$J$4154,$B49,'Hidden Inputs'!$W$3:$W$4154)</f>
        <v>0</v>
      </c>
      <c r="D49" s="832" t="str">
        <f t="shared" si="2"/>
        <v/>
      </c>
      <c r="E49" s="831" t="str">
        <f t="shared" si="3"/>
        <v>Yes</v>
      </c>
      <c r="F49" s="832" t="str">
        <f t="shared" si="4"/>
        <v>No additional steps required.</v>
      </c>
      <c r="G49" s="830"/>
    </row>
    <row r="50" spans="1:7" ht="30.75" customHeight="1" x14ac:dyDescent="0.25">
      <c r="A50" s="486" t="str">
        <f>'Hidden Inputs'!AL21</f>
        <v/>
      </c>
      <c r="B50" s="832" t="str">
        <f t="shared" si="1"/>
        <v xml:space="preserve"> </v>
      </c>
      <c r="C50" s="750">
        <f>SUMIF('Hidden Inputs'!$J$3:$J$4154,$B50,'Hidden Inputs'!$W$3:$W$4154)</f>
        <v>0</v>
      </c>
      <c r="D50" s="832" t="str">
        <f t="shared" si="2"/>
        <v/>
      </c>
      <c r="E50" s="831" t="str">
        <f t="shared" si="3"/>
        <v>Yes</v>
      </c>
      <c r="F50" s="832" t="str">
        <f t="shared" si="4"/>
        <v>No additional steps required.</v>
      </c>
      <c r="G50" s="830"/>
    </row>
    <row r="51" spans="1:7" ht="30.75" customHeight="1" x14ac:dyDescent="0.25">
      <c r="A51" s="486" t="str">
        <f>'Hidden Inputs'!AL22</f>
        <v/>
      </c>
      <c r="B51" s="832" t="str">
        <f t="shared" si="1"/>
        <v xml:space="preserve"> </v>
      </c>
      <c r="C51" s="750">
        <f>SUMIF('Hidden Inputs'!$J$3:$J$4154,$B51,'Hidden Inputs'!$W$3:$W$4154)</f>
        <v>0</v>
      </c>
      <c r="D51" s="832" t="str">
        <f t="shared" si="2"/>
        <v/>
      </c>
      <c r="E51" s="831" t="str">
        <f t="shared" si="3"/>
        <v>Yes</v>
      </c>
      <c r="F51" s="832" t="str">
        <f t="shared" si="4"/>
        <v>No additional steps required.</v>
      </c>
      <c r="G51" s="830"/>
    </row>
    <row r="52" spans="1:7" ht="30.75" customHeight="1" x14ac:dyDescent="0.25">
      <c r="A52" s="486" t="str">
        <f>'Hidden Inputs'!AL23</f>
        <v/>
      </c>
      <c r="B52" s="832" t="str">
        <f t="shared" si="1"/>
        <v xml:space="preserve"> </v>
      </c>
      <c r="C52" s="750">
        <f>SUMIF('Hidden Inputs'!$J$3:$J$4154,$B52,'Hidden Inputs'!$W$3:$W$4154)</f>
        <v>0</v>
      </c>
      <c r="D52" s="832" t="str">
        <f t="shared" si="2"/>
        <v/>
      </c>
      <c r="E52" s="831" t="str">
        <f t="shared" si="3"/>
        <v>Yes</v>
      </c>
      <c r="F52" s="832" t="str">
        <f t="shared" si="4"/>
        <v>No additional steps required.</v>
      </c>
      <c r="G52" s="830"/>
    </row>
    <row r="53" spans="1:7" ht="30.75" customHeight="1" x14ac:dyDescent="0.25">
      <c r="A53" s="486" t="str">
        <f>'Hidden Inputs'!AL24</f>
        <v/>
      </c>
      <c r="B53" s="832" t="str">
        <f t="shared" si="1"/>
        <v xml:space="preserve"> </v>
      </c>
      <c r="C53" s="750">
        <f>SUMIF('Hidden Inputs'!$J$3:$J$4154,$B53,'Hidden Inputs'!$W$3:$W$4154)</f>
        <v>0</v>
      </c>
      <c r="D53" s="832" t="str">
        <f t="shared" si="2"/>
        <v/>
      </c>
      <c r="E53" s="831" t="str">
        <f t="shared" si="3"/>
        <v>Yes</v>
      </c>
      <c r="F53" s="832" t="str">
        <f t="shared" si="4"/>
        <v>No additional steps required.</v>
      </c>
      <c r="G53" s="830"/>
    </row>
    <row r="54" spans="1:7" ht="30.75" customHeight="1" x14ac:dyDescent="0.25">
      <c r="A54" s="486" t="str">
        <f>'Hidden Inputs'!AL25</f>
        <v/>
      </c>
      <c r="B54" s="832" t="str">
        <f t="shared" si="1"/>
        <v xml:space="preserve"> </v>
      </c>
      <c r="C54" s="750">
        <f>SUMIF('Hidden Inputs'!$J$3:$J$4154,$B54,'Hidden Inputs'!$W$3:$W$4154)</f>
        <v>0</v>
      </c>
      <c r="D54" s="832" t="str">
        <f t="shared" si="2"/>
        <v/>
      </c>
      <c r="E54" s="831" t="str">
        <f t="shared" si="3"/>
        <v>Yes</v>
      </c>
      <c r="F54" s="832" t="str">
        <f t="shared" si="4"/>
        <v>No additional steps required.</v>
      </c>
      <c r="G54" s="830"/>
    </row>
    <row r="55" spans="1:7" ht="30.75" customHeight="1" x14ac:dyDescent="0.25">
      <c r="A55" s="486" t="str">
        <f>'Hidden Inputs'!AL26</f>
        <v/>
      </c>
      <c r="B55" s="832" t="str">
        <f t="shared" si="1"/>
        <v xml:space="preserve"> </v>
      </c>
      <c r="C55" s="750">
        <f>SUMIF('Hidden Inputs'!$J$3:$J$4154,$B55,'Hidden Inputs'!$W$3:$W$4154)</f>
        <v>0</v>
      </c>
      <c r="D55" s="832" t="str">
        <f t="shared" si="2"/>
        <v/>
      </c>
      <c r="E55" s="831" t="str">
        <f t="shared" si="3"/>
        <v>Yes</v>
      </c>
      <c r="F55" s="832" t="str">
        <f t="shared" si="4"/>
        <v>No additional steps required.</v>
      </c>
      <c r="G55" s="830"/>
    </row>
    <row r="56" spans="1:7" ht="30.75" customHeight="1" x14ac:dyDescent="0.25">
      <c r="A56" s="486" t="str">
        <f>'Hidden Inputs'!AL27</f>
        <v/>
      </c>
      <c r="B56" s="832" t="str">
        <f t="shared" si="1"/>
        <v xml:space="preserve"> </v>
      </c>
      <c r="C56" s="750">
        <f>SUMIF('Hidden Inputs'!$J$3:$J$4154,$B56,'Hidden Inputs'!$W$3:$W$4154)</f>
        <v>0</v>
      </c>
      <c r="D56" s="832" t="str">
        <f t="shared" si="2"/>
        <v/>
      </c>
      <c r="E56" s="831" t="str">
        <f t="shared" si="3"/>
        <v>Yes</v>
      </c>
      <c r="F56" s="832" t="str">
        <f t="shared" si="4"/>
        <v>No additional steps required.</v>
      </c>
      <c r="G56" s="830"/>
    </row>
    <row r="57" spans="1:7" ht="30.75" customHeight="1" x14ac:dyDescent="0.25">
      <c r="A57" s="486" t="str">
        <f>'Hidden Inputs'!AL28</f>
        <v/>
      </c>
      <c r="B57" s="832" t="str">
        <f t="shared" si="1"/>
        <v xml:space="preserve"> </v>
      </c>
      <c r="C57" s="750">
        <f>SUMIF('Hidden Inputs'!$J$3:$J$4154,$B57,'Hidden Inputs'!$W$3:$W$4154)</f>
        <v>0</v>
      </c>
      <c r="D57" s="832" t="str">
        <f t="shared" si="2"/>
        <v/>
      </c>
      <c r="E57" s="831" t="str">
        <f t="shared" si="3"/>
        <v>Yes</v>
      </c>
      <c r="F57" s="832" t="str">
        <f t="shared" si="4"/>
        <v>No additional steps required.</v>
      </c>
      <c r="G57" s="830"/>
    </row>
    <row r="58" spans="1:7" ht="30.75" customHeight="1" x14ac:dyDescent="0.25">
      <c r="A58" s="486" t="str">
        <f>'Hidden Inputs'!AL29</f>
        <v/>
      </c>
      <c r="B58" s="832" t="str">
        <f t="shared" si="1"/>
        <v xml:space="preserve"> </v>
      </c>
      <c r="C58" s="750">
        <f>SUMIF('Hidden Inputs'!$J$3:$J$4154,$B58,'Hidden Inputs'!$W$3:$W$4154)</f>
        <v>0</v>
      </c>
      <c r="D58" s="832" t="str">
        <f t="shared" si="2"/>
        <v/>
      </c>
      <c r="E58" s="831" t="str">
        <f t="shared" si="3"/>
        <v>Yes</v>
      </c>
      <c r="F58" s="832" t="str">
        <f t="shared" si="4"/>
        <v>No additional steps required.</v>
      </c>
      <c r="G58" s="830"/>
    </row>
    <row r="59" spans="1:7" ht="30.75" customHeight="1" x14ac:dyDescent="0.25">
      <c r="A59" s="486" t="str">
        <f>'Hidden Inputs'!AL30</f>
        <v/>
      </c>
      <c r="B59" s="832" t="str">
        <f t="shared" si="1"/>
        <v xml:space="preserve"> </v>
      </c>
      <c r="C59" s="750">
        <f>SUMIF('Hidden Inputs'!$J$3:$J$4154,$B59,'Hidden Inputs'!$W$3:$W$4154)</f>
        <v>0</v>
      </c>
      <c r="D59" s="832" t="str">
        <f t="shared" si="2"/>
        <v/>
      </c>
      <c r="E59" s="831" t="str">
        <f t="shared" si="3"/>
        <v>Yes</v>
      </c>
      <c r="F59" s="832" t="str">
        <f t="shared" si="4"/>
        <v>No additional steps required.</v>
      </c>
      <c r="G59" s="830"/>
    </row>
    <row r="60" spans="1:7" ht="30.75" customHeight="1" x14ac:dyDescent="0.25">
      <c r="A60" s="486" t="str">
        <f>'Hidden Inputs'!AL31</f>
        <v/>
      </c>
      <c r="B60" s="832" t="str">
        <f t="shared" si="1"/>
        <v xml:space="preserve"> </v>
      </c>
      <c r="C60" s="750">
        <f>SUMIF('Hidden Inputs'!$J$3:$J$4154,$B60,'Hidden Inputs'!$W$3:$W$4154)</f>
        <v>0</v>
      </c>
      <c r="D60" s="832" t="str">
        <f t="shared" si="2"/>
        <v/>
      </c>
      <c r="E60" s="831" t="str">
        <f t="shared" si="3"/>
        <v>Yes</v>
      </c>
      <c r="F60" s="832" t="str">
        <f t="shared" si="4"/>
        <v>No additional steps required.</v>
      </c>
      <c r="G60" s="830"/>
    </row>
    <row r="61" spans="1:7" ht="30.75" customHeight="1" x14ac:dyDescent="0.25">
      <c r="A61" s="486" t="str">
        <f>'Hidden Inputs'!AL32</f>
        <v/>
      </c>
      <c r="B61" s="832" t="str">
        <f t="shared" si="1"/>
        <v xml:space="preserve"> </v>
      </c>
      <c r="C61" s="750">
        <f>SUMIF('Hidden Inputs'!$J$3:$J$4154,$B61,'Hidden Inputs'!$W$3:$W$4154)</f>
        <v>0</v>
      </c>
      <c r="D61" s="832" t="str">
        <f t="shared" si="2"/>
        <v/>
      </c>
      <c r="E61" s="831" t="str">
        <f t="shared" si="3"/>
        <v>Yes</v>
      </c>
      <c r="F61" s="832" t="str">
        <f t="shared" si="4"/>
        <v>No additional steps required.</v>
      </c>
      <c r="G61" s="830"/>
    </row>
    <row r="62" spans="1:7" ht="30.75" customHeight="1" x14ac:dyDescent="0.25">
      <c r="A62" s="486" t="str">
        <f>'Hidden Inputs'!AL33</f>
        <v/>
      </c>
      <c r="B62" s="832" t="str">
        <f t="shared" si="1"/>
        <v xml:space="preserve"> </v>
      </c>
      <c r="C62" s="750">
        <f>SUMIF('Hidden Inputs'!$J$3:$J$4154,$B62,'Hidden Inputs'!$W$3:$W$4154)</f>
        <v>0</v>
      </c>
      <c r="D62" s="832" t="str">
        <f t="shared" si="2"/>
        <v/>
      </c>
      <c r="E62" s="831" t="str">
        <f t="shared" si="3"/>
        <v>Yes</v>
      </c>
      <c r="F62" s="832" t="str">
        <f t="shared" si="4"/>
        <v>No additional steps required.</v>
      </c>
      <c r="G62" s="830"/>
    </row>
    <row r="63" spans="1:7" ht="30.75" customHeight="1" x14ac:dyDescent="0.25">
      <c r="A63" s="486" t="str">
        <f>'Hidden Inputs'!AL34</f>
        <v/>
      </c>
      <c r="B63" s="832" t="str">
        <f t="shared" ref="B63:B94" si="5">IFERROR(VLOOKUP(A63, SpeciesDataTable,2,FALSE)," ")</f>
        <v xml:space="preserve"> </v>
      </c>
      <c r="C63" s="750">
        <f>SUMIF('Hidden Inputs'!$J$3:$J$4154,$B63,'Hidden Inputs'!$W$3:$W$4154)</f>
        <v>0</v>
      </c>
      <c r="D63" s="832" t="str">
        <f t="shared" ref="D63:D94" si="6">IFERROR(VLOOKUP(B63, SpeciesESL, 2, FALSE),"")</f>
        <v/>
      </c>
      <c r="E63" s="831" t="str">
        <f t="shared" si="3"/>
        <v>Yes</v>
      </c>
      <c r="F63" s="832" t="str">
        <f t="shared" si="4"/>
        <v>No additional steps required.</v>
      </c>
      <c r="G63" s="830"/>
    </row>
    <row r="64" spans="1:7" ht="30.75" customHeight="1" x14ac:dyDescent="0.25">
      <c r="A64" s="486" t="str">
        <f>'Hidden Inputs'!AL35</f>
        <v/>
      </c>
      <c r="B64" s="832" t="str">
        <f t="shared" si="5"/>
        <v xml:space="preserve"> </v>
      </c>
      <c r="C64" s="750">
        <f>SUMIF('Hidden Inputs'!$J$3:$J$4154,$B64,'Hidden Inputs'!$W$3:$W$4154)</f>
        <v>0</v>
      </c>
      <c r="D64" s="832" t="str">
        <f t="shared" si="6"/>
        <v/>
      </c>
      <c r="E64" s="831" t="str">
        <f t="shared" si="3"/>
        <v>Yes</v>
      </c>
      <c r="F64" s="832" t="str">
        <f t="shared" si="4"/>
        <v>No additional steps required.</v>
      </c>
      <c r="G64" s="830"/>
    </row>
    <row r="65" spans="1:7" ht="30.75" customHeight="1" x14ac:dyDescent="0.25">
      <c r="A65" s="486" t="str">
        <f>'Hidden Inputs'!AL36</f>
        <v/>
      </c>
      <c r="B65" s="832" t="str">
        <f t="shared" si="5"/>
        <v xml:space="preserve"> </v>
      </c>
      <c r="C65" s="750">
        <f>SUMIF('Hidden Inputs'!$J$3:$J$4154,$B65,'Hidden Inputs'!$W$3:$W$4154)</f>
        <v>0</v>
      </c>
      <c r="D65" s="832" t="str">
        <f t="shared" si="6"/>
        <v/>
      </c>
      <c r="E65" s="831" t="str">
        <f t="shared" si="3"/>
        <v>Yes</v>
      </c>
      <c r="F65" s="832" t="str">
        <f t="shared" si="4"/>
        <v>No additional steps required.</v>
      </c>
      <c r="G65" s="830"/>
    </row>
    <row r="66" spans="1:7" ht="30.75" customHeight="1" x14ac:dyDescent="0.25">
      <c r="A66" s="486" t="str">
        <f>'Hidden Inputs'!AL37</f>
        <v/>
      </c>
      <c r="B66" s="832" t="str">
        <f t="shared" si="5"/>
        <v xml:space="preserve"> </v>
      </c>
      <c r="C66" s="750">
        <f>SUMIF('Hidden Inputs'!$J$3:$J$4154,$B66,'Hidden Inputs'!$W$3:$W$4154)</f>
        <v>0</v>
      </c>
      <c r="D66" s="832" t="str">
        <f t="shared" si="6"/>
        <v/>
      </c>
      <c r="E66" s="831" t="str">
        <f t="shared" si="3"/>
        <v>Yes</v>
      </c>
      <c r="F66" s="832" t="str">
        <f t="shared" si="4"/>
        <v>No additional steps required.</v>
      </c>
      <c r="G66" s="830"/>
    </row>
    <row r="67" spans="1:7" ht="30.75" customHeight="1" x14ac:dyDescent="0.25">
      <c r="A67" s="486" t="str">
        <f>'Hidden Inputs'!AL38</f>
        <v/>
      </c>
      <c r="B67" s="832" t="str">
        <f t="shared" si="5"/>
        <v xml:space="preserve"> </v>
      </c>
      <c r="C67" s="750">
        <f>SUMIF('Hidden Inputs'!$J$3:$J$4154,$B67,'Hidden Inputs'!$W$3:$W$4154)</f>
        <v>0</v>
      </c>
      <c r="D67" s="832" t="str">
        <f t="shared" si="6"/>
        <v/>
      </c>
      <c r="E67" s="831" t="str">
        <f t="shared" si="3"/>
        <v>Yes</v>
      </c>
      <c r="F67" s="832" t="str">
        <f t="shared" si="4"/>
        <v>No additional steps required.</v>
      </c>
      <c r="G67" s="830"/>
    </row>
    <row r="68" spans="1:7" ht="30.75" customHeight="1" x14ac:dyDescent="0.25">
      <c r="A68" s="486" t="str">
        <f>'Hidden Inputs'!AL39</f>
        <v/>
      </c>
      <c r="B68" s="832" t="str">
        <f t="shared" si="5"/>
        <v xml:space="preserve"> </v>
      </c>
      <c r="C68" s="750">
        <f>SUMIF('Hidden Inputs'!$J$3:$J$4154,$B68,'Hidden Inputs'!$W$3:$W$4154)</f>
        <v>0</v>
      </c>
      <c r="D68" s="832" t="str">
        <f t="shared" si="6"/>
        <v/>
      </c>
      <c r="E68" s="831" t="str">
        <f t="shared" si="3"/>
        <v>Yes</v>
      </c>
      <c r="F68" s="832" t="str">
        <f t="shared" si="4"/>
        <v>No additional steps required.</v>
      </c>
      <c r="G68" s="830"/>
    </row>
    <row r="69" spans="1:7" ht="30.75" customHeight="1" x14ac:dyDescent="0.25">
      <c r="A69" s="486" t="str">
        <f>'Hidden Inputs'!AL40</f>
        <v/>
      </c>
      <c r="B69" s="832" t="str">
        <f t="shared" si="5"/>
        <v xml:space="preserve"> </v>
      </c>
      <c r="C69" s="750">
        <f>SUMIF('Hidden Inputs'!$J$3:$J$4154,$B69,'Hidden Inputs'!$W$3:$W$4154)</f>
        <v>0</v>
      </c>
      <c r="D69" s="832" t="str">
        <f t="shared" si="6"/>
        <v/>
      </c>
      <c r="E69" s="831" t="str">
        <f t="shared" si="3"/>
        <v>Yes</v>
      </c>
      <c r="F69" s="832" t="str">
        <f t="shared" si="4"/>
        <v>No additional steps required.</v>
      </c>
      <c r="G69" s="830"/>
    </row>
    <row r="70" spans="1:7" ht="30.75" customHeight="1" x14ac:dyDescent="0.25">
      <c r="A70" s="486" t="str">
        <f>'Hidden Inputs'!AL41</f>
        <v/>
      </c>
      <c r="B70" s="832" t="str">
        <f t="shared" si="5"/>
        <v xml:space="preserve"> </v>
      </c>
      <c r="C70" s="750">
        <f>SUMIF('Hidden Inputs'!$J$3:$J$4154,$B70,'Hidden Inputs'!$W$3:$W$4154)</f>
        <v>0</v>
      </c>
      <c r="D70" s="832" t="str">
        <f t="shared" si="6"/>
        <v/>
      </c>
      <c r="E70" s="831" t="str">
        <f t="shared" si="3"/>
        <v>Yes</v>
      </c>
      <c r="F70" s="832" t="str">
        <f t="shared" si="4"/>
        <v>No additional steps required.</v>
      </c>
      <c r="G70" s="830"/>
    </row>
    <row r="71" spans="1:7" ht="30.75" customHeight="1" x14ac:dyDescent="0.25">
      <c r="A71" s="486" t="str">
        <f>'Hidden Inputs'!AL42</f>
        <v/>
      </c>
      <c r="B71" s="832" t="str">
        <f t="shared" si="5"/>
        <v xml:space="preserve"> </v>
      </c>
      <c r="C71" s="750">
        <f>SUMIF('Hidden Inputs'!$J$3:$J$4154,$B71,'Hidden Inputs'!$W$3:$W$4154)</f>
        <v>0</v>
      </c>
      <c r="D71" s="832" t="str">
        <f t="shared" si="6"/>
        <v/>
      </c>
      <c r="E71" s="831" t="str">
        <f t="shared" si="3"/>
        <v>Yes</v>
      </c>
      <c r="F71" s="832" t="str">
        <f t="shared" si="4"/>
        <v>No additional steps required.</v>
      </c>
      <c r="G71" s="830"/>
    </row>
    <row r="72" spans="1:7" ht="30.75" customHeight="1" x14ac:dyDescent="0.25">
      <c r="A72" s="486" t="str">
        <f>'Hidden Inputs'!AL43</f>
        <v/>
      </c>
      <c r="B72" s="832" t="str">
        <f t="shared" si="5"/>
        <v xml:space="preserve"> </v>
      </c>
      <c r="C72" s="750">
        <f>SUMIF('Hidden Inputs'!$J$3:$J$4154,$B72,'Hidden Inputs'!$W$3:$W$4154)</f>
        <v>0</v>
      </c>
      <c r="D72" s="832" t="str">
        <f t="shared" si="6"/>
        <v/>
      </c>
      <c r="E72" s="831" t="str">
        <f t="shared" si="3"/>
        <v>Yes</v>
      </c>
      <c r="F72" s="832" t="str">
        <f t="shared" si="4"/>
        <v>No additional steps required.</v>
      </c>
      <c r="G72" s="830"/>
    </row>
    <row r="73" spans="1:7" ht="30.75" customHeight="1" x14ac:dyDescent="0.25">
      <c r="A73" s="486" t="str">
        <f>'Hidden Inputs'!AL44</f>
        <v/>
      </c>
      <c r="B73" s="832" t="str">
        <f t="shared" si="5"/>
        <v xml:space="preserve"> </v>
      </c>
      <c r="C73" s="750">
        <f>SUMIF('Hidden Inputs'!$J$3:$J$4154,$B73,'Hidden Inputs'!$W$3:$W$4154)</f>
        <v>0</v>
      </c>
      <c r="D73" s="832" t="str">
        <f t="shared" si="6"/>
        <v/>
      </c>
      <c r="E73" s="831" t="str">
        <f t="shared" si="3"/>
        <v>Yes</v>
      </c>
      <c r="F73" s="832" t="str">
        <f t="shared" si="4"/>
        <v>No additional steps required.</v>
      </c>
      <c r="G73" s="830"/>
    </row>
    <row r="74" spans="1:7" ht="30.75" customHeight="1" x14ac:dyDescent="0.25">
      <c r="A74" s="486" t="str">
        <f>'Hidden Inputs'!AL45</f>
        <v/>
      </c>
      <c r="B74" s="832" t="str">
        <f t="shared" si="5"/>
        <v xml:space="preserve"> </v>
      </c>
      <c r="C74" s="750">
        <f>SUMIF('Hidden Inputs'!$J$3:$J$4154,$B74,'Hidden Inputs'!$W$3:$W$4154)</f>
        <v>0</v>
      </c>
      <c r="D74" s="832" t="str">
        <f t="shared" si="6"/>
        <v/>
      </c>
      <c r="E74" s="831" t="str">
        <f t="shared" si="3"/>
        <v>Yes</v>
      </c>
      <c r="F74" s="832" t="str">
        <f t="shared" si="4"/>
        <v>No additional steps required.</v>
      </c>
      <c r="G74" s="830"/>
    </row>
    <row r="75" spans="1:7" ht="30.75" customHeight="1" x14ac:dyDescent="0.25">
      <c r="A75" s="486" t="str">
        <f>'Hidden Inputs'!AL46</f>
        <v/>
      </c>
      <c r="B75" s="832" t="str">
        <f t="shared" si="5"/>
        <v xml:space="preserve"> </v>
      </c>
      <c r="C75" s="750">
        <f>SUMIF('Hidden Inputs'!$J$3:$J$4154,$B75,'Hidden Inputs'!$W$3:$W$4154)</f>
        <v>0</v>
      </c>
      <c r="D75" s="832" t="str">
        <f t="shared" si="6"/>
        <v/>
      </c>
      <c r="E75" s="831" t="str">
        <f t="shared" si="3"/>
        <v>Yes</v>
      </c>
      <c r="F75" s="832" t="str">
        <f t="shared" si="4"/>
        <v>No additional steps required.</v>
      </c>
      <c r="G75" s="830"/>
    </row>
    <row r="76" spans="1:7" ht="30.75" customHeight="1" x14ac:dyDescent="0.25">
      <c r="A76" s="486" t="str">
        <f>'Hidden Inputs'!AL47</f>
        <v/>
      </c>
      <c r="B76" s="832" t="str">
        <f t="shared" si="5"/>
        <v xml:space="preserve"> </v>
      </c>
      <c r="C76" s="750">
        <f>SUMIF('Hidden Inputs'!$J$3:$J$4154,$B76,'Hidden Inputs'!$W$3:$W$4154)</f>
        <v>0</v>
      </c>
      <c r="D76" s="832" t="str">
        <f t="shared" si="6"/>
        <v/>
      </c>
      <c r="E76" s="831" t="str">
        <f t="shared" si="3"/>
        <v>Yes</v>
      </c>
      <c r="F76" s="832" t="str">
        <f t="shared" si="4"/>
        <v>No additional steps required.</v>
      </c>
      <c r="G76" s="830"/>
    </row>
    <row r="77" spans="1:7" ht="30.75" customHeight="1" x14ac:dyDescent="0.25">
      <c r="A77" s="486" t="str">
        <f>'Hidden Inputs'!AL48</f>
        <v/>
      </c>
      <c r="B77" s="832" t="str">
        <f t="shared" si="5"/>
        <v xml:space="preserve"> </v>
      </c>
      <c r="C77" s="750">
        <f>SUMIF('Hidden Inputs'!$J$3:$J$4154,$B77,'Hidden Inputs'!$W$3:$W$4154)</f>
        <v>0</v>
      </c>
      <c r="D77" s="832" t="str">
        <f t="shared" si="6"/>
        <v/>
      </c>
      <c r="E77" s="831" t="str">
        <f t="shared" si="3"/>
        <v>Yes</v>
      </c>
      <c r="F77" s="832" t="str">
        <f t="shared" si="4"/>
        <v>No additional steps required.</v>
      </c>
      <c r="G77" s="830"/>
    </row>
    <row r="78" spans="1:7" ht="30.75" customHeight="1" x14ac:dyDescent="0.25">
      <c r="A78" s="486" t="str">
        <f>'Hidden Inputs'!AL49</f>
        <v/>
      </c>
      <c r="B78" s="832" t="str">
        <f t="shared" si="5"/>
        <v xml:space="preserve"> </v>
      </c>
      <c r="C78" s="750">
        <f>SUMIF('Hidden Inputs'!$J$3:$J$4154,$B78,'Hidden Inputs'!$W$3:$W$4154)</f>
        <v>0</v>
      </c>
      <c r="D78" s="832" t="str">
        <f t="shared" si="6"/>
        <v/>
      </c>
      <c r="E78" s="831" t="str">
        <f t="shared" si="3"/>
        <v>Yes</v>
      </c>
      <c r="F78" s="832" t="str">
        <f t="shared" si="4"/>
        <v>No additional steps required.</v>
      </c>
      <c r="G78" s="830"/>
    </row>
    <row r="79" spans="1:7" ht="30.75" customHeight="1" x14ac:dyDescent="0.25">
      <c r="A79" s="486" t="str">
        <f>'Hidden Inputs'!AL50</f>
        <v/>
      </c>
      <c r="B79" s="832" t="str">
        <f t="shared" si="5"/>
        <v xml:space="preserve"> </v>
      </c>
      <c r="C79" s="750">
        <f>SUMIF('Hidden Inputs'!$J$3:$J$4154,$B79,'Hidden Inputs'!$W$3:$W$4154)</f>
        <v>0</v>
      </c>
      <c r="D79" s="832" t="str">
        <f t="shared" si="6"/>
        <v/>
      </c>
      <c r="E79" s="831" t="str">
        <f t="shared" si="3"/>
        <v>Yes</v>
      </c>
      <c r="F79" s="832" t="str">
        <f t="shared" si="4"/>
        <v>No additional steps required.</v>
      </c>
      <c r="G79" s="830"/>
    </row>
    <row r="80" spans="1:7" ht="30.75" customHeight="1" x14ac:dyDescent="0.25">
      <c r="A80" s="486" t="str">
        <f>'Hidden Inputs'!AL51</f>
        <v/>
      </c>
      <c r="B80" s="832" t="str">
        <f t="shared" si="5"/>
        <v xml:space="preserve"> </v>
      </c>
      <c r="C80" s="750">
        <f>SUMIF('Hidden Inputs'!$J$3:$J$4154,$B80,'Hidden Inputs'!$W$3:$W$4154)</f>
        <v>0</v>
      </c>
      <c r="D80" s="832" t="str">
        <f t="shared" si="6"/>
        <v/>
      </c>
      <c r="E80" s="831" t="str">
        <f t="shared" si="3"/>
        <v>Yes</v>
      </c>
      <c r="F80" s="832" t="str">
        <f t="shared" si="4"/>
        <v>No additional steps required.</v>
      </c>
      <c r="G80" s="830"/>
    </row>
    <row r="81" spans="1:7" ht="30.75" customHeight="1" x14ac:dyDescent="0.25">
      <c r="A81" s="486" t="str">
        <f>'Hidden Inputs'!AL52</f>
        <v/>
      </c>
      <c r="B81" s="832" t="str">
        <f t="shared" si="5"/>
        <v xml:space="preserve"> </v>
      </c>
      <c r="C81" s="750">
        <f>SUMIF('Hidden Inputs'!$J$3:$J$4154,$B81,'Hidden Inputs'!$W$3:$W$4154)</f>
        <v>0</v>
      </c>
      <c r="D81" s="832" t="str">
        <f t="shared" si="6"/>
        <v/>
      </c>
      <c r="E81" s="831" t="str">
        <f t="shared" si="3"/>
        <v>Yes</v>
      </c>
      <c r="F81" s="832" t="str">
        <f t="shared" si="4"/>
        <v>No additional steps required.</v>
      </c>
      <c r="G81" s="830"/>
    </row>
    <row r="82" spans="1:7" ht="30.75" customHeight="1" x14ac:dyDescent="0.25">
      <c r="A82" s="486" t="str">
        <f>'Hidden Inputs'!AL53</f>
        <v/>
      </c>
      <c r="B82" s="832" t="str">
        <f t="shared" si="5"/>
        <v xml:space="preserve"> </v>
      </c>
      <c r="C82" s="750">
        <f>SUMIF('Hidden Inputs'!$J$3:$J$4154,$B82,'Hidden Inputs'!$W$3:$W$4154)</f>
        <v>0</v>
      </c>
      <c r="D82" s="832" t="str">
        <f t="shared" si="6"/>
        <v/>
      </c>
      <c r="E82" s="831" t="str">
        <f t="shared" si="3"/>
        <v>Yes</v>
      </c>
      <c r="F82" s="832" t="str">
        <f t="shared" si="4"/>
        <v>No additional steps required.</v>
      </c>
      <c r="G82" s="830"/>
    </row>
    <row r="83" spans="1:7" ht="30.75" customHeight="1" x14ac:dyDescent="0.25">
      <c r="A83" s="486" t="str">
        <f>'Hidden Inputs'!AL54</f>
        <v/>
      </c>
      <c r="B83" s="832" t="str">
        <f t="shared" si="5"/>
        <v xml:space="preserve"> </v>
      </c>
      <c r="C83" s="750">
        <f>SUMIF('Hidden Inputs'!$J$3:$J$4154,$B83,'Hidden Inputs'!$W$3:$W$4154)</f>
        <v>0</v>
      </c>
      <c r="D83" s="832" t="str">
        <f t="shared" si="6"/>
        <v/>
      </c>
      <c r="E83" s="831" t="str">
        <f t="shared" si="3"/>
        <v>Yes</v>
      </c>
      <c r="F83" s="832" t="str">
        <f t="shared" si="4"/>
        <v>No additional steps required.</v>
      </c>
      <c r="G83" s="830"/>
    </row>
    <row r="84" spans="1:7" ht="30.75" customHeight="1" x14ac:dyDescent="0.25">
      <c r="A84" s="486" t="str">
        <f>'Hidden Inputs'!AL55</f>
        <v/>
      </c>
      <c r="B84" s="832" t="str">
        <f t="shared" si="5"/>
        <v xml:space="preserve"> </v>
      </c>
      <c r="C84" s="750">
        <f>SUMIF('Hidden Inputs'!$J$3:$J$4154,$B84,'Hidden Inputs'!$W$3:$W$4154)</f>
        <v>0</v>
      </c>
      <c r="D84" s="832" t="str">
        <f t="shared" si="6"/>
        <v/>
      </c>
      <c r="E84" s="831" t="str">
        <f t="shared" si="3"/>
        <v>Yes</v>
      </c>
      <c r="F84" s="832" t="str">
        <f t="shared" si="4"/>
        <v>No additional steps required.</v>
      </c>
      <c r="G84" s="830"/>
    </row>
    <row r="85" spans="1:7" ht="30.75" customHeight="1" x14ac:dyDescent="0.25">
      <c r="A85" s="486" t="str">
        <f>'Hidden Inputs'!AL56</f>
        <v/>
      </c>
      <c r="B85" s="832" t="str">
        <f t="shared" si="5"/>
        <v xml:space="preserve"> </v>
      </c>
      <c r="C85" s="750">
        <f>SUMIF('Hidden Inputs'!$J$3:$J$4154,$B85,'Hidden Inputs'!$W$3:$W$4154)</f>
        <v>0</v>
      </c>
      <c r="D85" s="832" t="str">
        <f t="shared" si="6"/>
        <v/>
      </c>
      <c r="E85" s="831" t="str">
        <f t="shared" si="3"/>
        <v>Yes</v>
      </c>
      <c r="F85" s="832" t="str">
        <f t="shared" si="4"/>
        <v>No additional steps required.</v>
      </c>
      <c r="G85" s="830"/>
    </row>
    <row r="86" spans="1:7" ht="30.75" customHeight="1" x14ac:dyDescent="0.25">
      <c r="A86" s="486" t="str">
        <f>'Hidden Inputs'!AL57</f>
        <v/>
      </c>
      <c r="B86" s="832" t="str">
        <f t="shared" si="5"/>
        <v xml:space="preserve"> </v>
      </c>
      <c r="C86" s="750">
        <f>SUMIF('Hidden Inputs'!$J$3:$J$4154,$B86,'Hidden Inputs'!$W$3:$W$4154)</f>
        <v>0</v>
      </c>
      <c r="D86" s="832" t="str">
        <f t="shared" si="6"/>
        <v/>
      </c>
      <c r="E86" s="831" t="str">
        <f t="shared" si="3"/>
        <v>Yes</v>
      </c>
      <c r="F86" s="832" t="str">
        <f t="shared" si="4"/>
        <v>No additional steps required.</v>
      </c>
      <c r="G86" s="830"/>
    </row>
    <row r="87" spans="1:7" ht="30.75" customHeight="1" x14ac:dyDescent="0.25">
      <c r="A87" s="486" t="str">
        <f>'Hidden Inputs'!AL58</f>
        <v/>
      </c>
      <c r="B87" s="832" t="str">
        <f t="shared" si="5"/>
        <v xml:space="preserve"> </v>
      </c>
      <c r="C87" s="750">
        <f>SUMIF('Hidden Inputs'!$J$3:$J$4154,$B87,'Hidden Inputs'!$W$3:$W$4154)</f>
        <v>0</v>
      </c>
      <c r="D87" s="832" t="str">
        <f t="shared" si="6"/>
        <v/>
      </c>
      <c r="E87" s="831" t="str">
        <f t="shared" si="3"/>
        <v>Yes</v>
      </c>
      <c r="F87" s="832" t="str">
        <f t="shared" si="4"/>
        <v>No additional steps required.</v>
      </c>
      <c r="G87" s="830"/>
    </row>
    <row r="88" spans="1:7" ht="30.75" customHeight="1" x14ac:dyDescent="0.25">
      <c r="A88" s="486" t="str">
        <f>'Hidden Inputs'!AL59</f>
        <v/>
      </c>
      <c r="B88" s="832" t="str">
        <f t="shared" si="5"/>
        <v xml:space="preserve"> </v>
      </c>
      <c r="C88" s="750">
        <f>SUMIF('Hidden Inputs'!$J$3:$J$4154,$B88,'Hidden Inputs'!$W$3:$W$4154)</f>
        <v>0</v>
      </c>
      <c r="D88" s="832" t="str">
        <f t="shared" si="6"/>
        <v/>
      </c>
      <c r="E88" s="831" t="str">
        <f t="shared" si="3"/>
        <v>Yes</v>
      </c>
      <c r="F88" s="832" t="str">
        <f t="shared" si="4"/>
        <v>No additional steps required.</v>
      </c>
      <c r="G88" s="830"/>
    </row>
    <row r="89" spans="1:7" ht="30.75" customHeight="1" x14ac:dyDescent="0.25">
      <c r="A89" s="486" t="str">
        <f>'Hidden Inputs'!AL60</f>
        <v/>
      </c>
      <c r="B89" s="832" t="str">
        <f t="shared" si="5"/>
        <v xml:space="preserve"> </v>
      </c>
      <c r="C89" s="750">
        <f>SUMIF('Hidden Inputs'!$J$3:$J$4154,$B89,'Hidden Inputs'!$W$3:$W$4154)</f>
        <v>0</v>
      </c>
      <c r="D89" s="832" t="str">
        <f t="shared" si="6"/>
        <v/>
      </c>
      <c r="E89" s="831" t="str">
        <f t="shared" si="3"/>
        <v>Yes</v>
      </c>
      <c r="F89" s="832" t="str">
        <f t="shared" si="4"/>
        <v>No additional steps required.</v>
      </c>
      <c r="G89" s="830"/>
    </row>
    <row r="90" spans="1:7" ht="30.75" customHeight="1" x14ac:dyDescent="0.25">
      <c r="A90" s="486" t="str">
        <f>'Hidden Inputs'!AL61</f>
        <v/>
      </c>
      <c r="B90" s="832" t="str">
        <f t="shared" si="5"/>
        <v xml:space="preserve"> </v>
      </c>
      <c r="C90" s="750">
        <f>SUMIF('Hidden Inputs'!$J$3:$J$4154,$B90,'Hidden Inputs'!$W$3:$W$4154)</f>
        <v>0</v>
      </c>
      <c r="D90" s="832" t="str">
        <f t="shared" si="6"/>
        <v/>
      </c>
      <c r="E90" s="831" t="str">
        <f t="shared" si="3"/>
        <v>Yes</v>
      </c>
      <c r="F90" s="832" t="str">
        <f t="shared" si="4"/>
        <v>No additional steps required.</v>
      </c>
      <c r="G90" s="830"/>
    </row>
    <row r="91" spans="1:7" ht="30.75" customHeight="1" x14ac:dyDescent="0.25">
      <c r="A91" s="486" t="str">
        <f>'Hidden Inputs'!AL62</f>
        <v/>
      </c>
      <c r="B91" s="832" t="str">
        <f t="shared" si="5"/>
        <v xml:space="preserve"> </v>
      </c>
      <c r="C91" s="750">
        <f>SUMIF('Hidden Inputs'!$J$3:$J$4154,$B91,'Hidden Inputs'!$W$3:$W$4154)</f>
        <v>0</v>
      </c>
      <c r="D91" s="832" t="str">
        <f t="shared" si="6"/>
        <v/>
      </c>
      <c r="E91" s="831" t="str">
        <f t="shared" si="3"/>
        <v>Yes</v>
      </c>
      <c r="F91" s="832" t="str">
        <f t="shared" si="4"/>
        <v>No additional steps required.</v>
      </c>
      <c r="G91" s="830"/>
    </row>
    <row r="92" spans="1:7" ht="30.75" customHeight="1" x14ac:dyDescent="0.25">
      <c r="A92" s="486" t="str">
        <f>'Hidden Inputs'!AL63</f>
        <v/>
      </c>
      <c r="B92" s="832" t="str">
        <f t="shared" si="5"/>
        <v xml:space="preserve"> </v>
      </c>
      <c r="C92" s="750">
        <f>SUMIF('Hidden Inputs'!$J$3:$J$4154,$B92,'Hidden Inputs'!$W$3:$W$4154)</f>
        <v>0</v>
      </c>
      <c r="D92" s="832" t="str">
        <f t="shared" si="6"/>
        <v/>
      </c>
      <c r="E92" s="831" t="str">
        <f t="shared" si="3"/>
        <v>Yes</v>
      </c>
      <c r="F92" s="832" t="str">
        <f t="shared" si="4"/>
        <v>No additional steps required.</v>
      </c>
      <c r="G92" s="830"/>
    </row>
    <row r="93" spans="1:7" ht="30.75" customHeight="1" x14ac:dyDescent="0.25">
      <c r="A93" s="486" t="str">
        <f>'Hidden Inputs'!AL64</f>
        <v/>
      </c>
      <c r="B93" s="832" t="str">
        <f t="shared" si="5"/>
        <v xml:space="preserve"> </v>
      </c>
      <c r="C93" s="750">
        <f>SUMIF('Hidden Inputs'!$J$3:$J$4154,$B93,'Hidden Inputs'!$W$3:$W$4154)</f>
        <v>0</v>
      </c>
      <c r="D93" s="832" t="str">
        <f t="shared" si="6"/>
        <v/>
      </c>
      <c r="E93" s="831" t="str">
        <f t="shared" si="3"/>
        <v>Yes</v>
      </c>
      <c r="F93" s="832" t="str">
        <f t="shared" si="4"/>
        <v>No additional steps required.</v>
      </c>
      <c r="G93" s="830"/>
    </row>
    <row r="94" spans="1:7" ht="30.75" customHeight="1" x14ac:dyDescent="0.25">
      <c r="A94" s="486" t="str">
        <f>'Hidden Inputs'!AL65</f>
        <v/>
      </c>
      <c r="B94" s="832" t="str">
        <f t="shared" si="5"/>
        <v xml:space="preserve"> </v>
      </c>
      <c r="C94" s="750">
        <f>SUMIF('Hidden Inputs'!$J$3:$J$4154,$B94,'Hidden Inputs'!$W$3:$W$4154)</f>
        <v>0</v>
      </c>
      <c r="D94" s="832" t="str">
        <f t="shared" si="6"/>
        <v/>
      </c>
      <c r="E94" s="831" t="str">
        <f t="shared" si="3"/>
        <v>Yes</v>
      </c>
      <c r="F94" s="832" t="str">
        <f t="shared" si="4"/>
        <v>No additional steps required.</v>
      </c>
      <c r="G94" s="830"/>
    </row>
    <row r="95" spans="1:7" ht="30.75" customHeight="1" x14ac:dyDescent="0.25">
      <c r="A95" s="486" t="str">
        <f>'Hidden Inputs'!AL66</f>
        <v/>
      </c>
      <c r="B95" s="832" t="str">
        <f t="shared" ref="B95:B126" si="7">IFERROR(VLOOKUP(A95, SpeciesDataTable,2,FALSE)," ")</f>
        <v xml:space="preserve"> </v>
      </c>
      <c r="C95" s="750">
        <f>SUMIF('Hidden Inputs'!$J$3:$J$4154,$B95,'Hidden Inputs'!$W$3:$W$4154)</f>
        <v>0</v>
      </c>
      <c r="D95" s="832" t="str">
        <f t="shared" ref="D95:D126" si="8">IFERROR(VLOOKUP(B95, SpeciesESL, 2, FALSE),"")</f>
        <v/>
      </c>
      <c r="E95" s="831" t="str">
        <f t="shared" ref="E95:E158" si="9">IF(C95="","",(IF(C95&lt;D95,"Yes","No")))</f>
        <v>Yes</v>
      </c>
      <c r="F95" s="832" t="str">
        <f t="shared" si="4"/>
        <v>No additional steps required.</v>
      </c>
      <c r="G95" s="830"/>
    </row>
    <row r="96" spans="1:7" ht="30.75" customHeight="1" x14ac:dyDescent="0.25">
      <c r="A96" s="486" t="str">
        <f>'Hidden Inputs'!AL67</f>
        <v/>
      </c>
      <c r="B96" s="832" t="str">
        <f t="shared" si="7"/>
        <v xml:space="preserve"> </v>
      </c>
      <c r="C96" s="750">
        <f>SUMIF('Hidden Inputs'!$J$3:$J$4154,$B96,'Hidden Inputs'!$W$3:$W$4154)</f>
        <v>0</v>
      </c>
      <c r="D96" s="832" t="str">
        <f t="shared" si="8"/>
        <v/>
      </c>
      <c r="E96" s="831" t="str">
        <f t="shared" si="9"/>
        <v>Yes</v>
      </c>
      <c r="F96" s="832" t="str">
        <f t="shared" ref="F96:F159" si="10">IF(E96="No", "Please revise throughputs of this pollutant on each applicable source sheet.","No additional steps required.")</f>
        <v>No additional steps required.</v>
      </c>
      <c r="G96" s="830"/>
    </row>
    <row r="97" spans="1:7" ht="30.75" customHeight="1" x14ac:dyDescent="0.25">
      <c r="A97" s="486" t="str">
        <f>'Hidden Inputs'!AL68</f>
        <v/>
      </c>
      <c r="B97" s="832" t="str">
        <f t="shared" si="7"/>
        <v xml:space="preserve"> </v>
      </c>
      <c r="C97" s="750">
        <f>SUMIF('Hidden Inputs'!$J$3:$J$4154,$B97,'Hidden Inputs'!$W$3:$W$4154)</f>
        <v>0</v>
      </c>
      <c r="D97" s="832" t="str">
        <f t="shared" si="8"/>
        <v/>
      </c>
      <c r="E97" s="831" t="str">
        <f t="shared" si="9"/>
        <v>Yes</v>
      </c>
      <c r="F97" s="832" t="str">
        <f t="shared" si="10"/>
        <v>No additional steps required.</v>
      </c>
      <c r="G97" s="830"/>
    </row>
    <row r="98" spans="1:7" ht="30.75" customHeight="1" x14ac:dyDescent="0.25">
      <c r="A98" s="486" t="str">
        <f>'Hidden Inputs'!AL69</f>
        <v/>
      </c>
      <c r="B98" s="832" t="str">
        <f t="shared" si="7"/>
        <v xml:space="preserve"> </v>
      </c>
      <c r="C98" s="750">
        <f>SUMIF('Hidden Inputs'!$J$3:$J$4154,$B98,'Hidden Inputs'!$W$3:$W$4154)</f>
        <v>0</v>
      </c>
      <c r="D98" s="832" t="str">
        <f t="shared" si="8"/>
        <v/>
      </c>
      <c r="E98" s="831" t="str">
        <f t="shared" si="9"/>
        <v>Yes</v>
      </c>
      <c r="F98" s="832" t="str">
        <f t="shared" si="10"/>
        <v>No additional steps required.</v>
      </c>
      <c r="G98" s="830"/>
    </row>
    <row r="99" spans="1:7" ht="30.75" customHeight="1" x14ac:dyDescent="0.25">
      <c r="A99" s="486" t="str">
        <f>'Hidden Inputs'!AL70</f>
        <v/>
      </c>
      <c r="B99" s="832" t="str">
        <f t="shared" si="7"/>
        <v xml:space="preserve"> </v>
      </c>
      <c r="C99" s="750">
        <f>SUMIF('Hidden Inputs'!$J$3:$J$4154,$B99,'Hidden Inputs'!$W$3:$W$4154)</f>
        <v>0</v>
      </c>
      <c r="D99" s="832" t="str">
        <f t="shared" si="8"/>
        <v/>
      </c>
      <c r="E99" s="831" t="str">
        <f t="shared" si="9"/>
        <v>Yes</v>
      </c>
      <c r="F99" s="832" t="str">
        <f t="shared" si="10"/>
        <v>No additional steps required.</v>
      </c>
      <c r="G99" s="830"/>
    </row>
    <row r="100" spans="1:7" ht="30.75" customHeight="1" x14ac:dyDescent="0.25">
      <c r="A100" s="486" t="str">
        <f>'Hidden Inputs'!AL71</f>
        <v/>
      </c>
      <c r="B100" s="832" t="str">
        <f t="shared" si="7"/>
        <v xml:space="preserve"> </v>
      </c>
      <c r="C100" s="750">
        <f>SUMIF('Hidden Inputs'!$J$3:$J$4154,$B100,'Hidden Inputs'!$W$3:$W$4154)</f>
        <v>0</v>
      </c>
      <c r="D100" s="832" t="str">
        <f t="shared" si="8"/>
        <v/>
      </c>
      <c r="E100" s="831" t="str">
        <f t="shared" si="9"/>
        <v>Yes</v>
      </c>
      <c r="F100" s="832" t="str">
        <f t="shared" si="10"/>
        <v>No additional steps required.</v>
      </c>
      <c r="G100" s="830"/>
    </row>
    <row r="101" spans="1:7" ht="30.75" customHeight="1" x14ac:dyDescent="0.25">
      <c r="A101" s="486" t="str">
        <f>'Hidden Inputs'!AL72</f>
        <v/>
      </c>
      <c r="B101" s="832" t="str">
        <f t="shared" si="7"/>
        <v xml:space="preserve"> </v>
      </c>
      <c r="C101" s="750">
        <f>SUMIF('Hidden Inputs'!$J$3:$J$4154,$B101,'Hidden Inputs'!$W$3:$W$4154)</f>
        <v>0</v>
      </c>
      <c r="D101" s="832" t="str">
        <f t="shared" si="8"/>
        <v/>
      </c>
      <c r="E101" s="831" t="str">
        <f t="shared" si="9"/>
        <v>Yes</v>
      </c>
      <c r="F101" s="832" t="str">
        <f t="shared" si="10"/>
        <v>No additional steps required.</v>
      </c>
      <c r="G101" s="830"/>
    </row>
    <row r="102" spans="1:7" ht="30.75" customHeight="1" x14ac:dyDescent="0.25">
      <c r="A102" s="486" t="str">
        <f>'Hidden Inputs'!AL73</f>
        <v/>
      </c>
      <c r="B102" s="832" t="str">
        <f t="shared" si="7"/>
        <v xml:space="preserve"> </v>
      </c>
      <c r="C102" s="750">
        <f>SUMIF('Hidden Inputs'!$J$3:$J$4154,$B102,'Hidden Inputs'!$W$3:$W$4154)</f>
        <v>0</v>
      </c>
      <c r="D102" s="832" t="str">
        <f t="shared" si="8"/>
        <v/>
      </c>
      <c r="E102" s="831" t="str">
        <f t="shared" si="9"/>
        <v>Yes</v>
      </c>
      <c r="F102" s="832" t="str">
        <f t="shared" si="10"/>
        <v>No additional steps required.</v>
      </c>
      <c r="G102" s="830"/>
    </row>
    <row r="103" spans="1:7" ht="30.75" customHeight="1" x14ac:dyDescent="0.25">
      <c r="A103" s="486" t="str">
        <f>'Hidden Inputs'!AL74</f>
        <v/>
      </c>
      <c r="B103" s="832" t="str">
        <f t="shared" si="7"/>
        <v xml:space="preserve"> </v>
      </c>
      <c r="C103" s="750">
        <f>SUMIF('Hidden Inputs'!$J$3:$J$4154,$B103,'Hidden Inputs'!$W$3:$W$4154)</f>
        <v>0</v>
      </c>
      <c r="D103" s="832" t="str">
        <f t="shared" si="8"/>
        <v/>
      </c>
      <c r="E103" s="831" t="str">
        <f t="shared" si="9"/>
        <v>Yes</v>
      </c>
      <c r="F103" s="832" t="str">
        <f t="shared" si="10"/>
        <v>No additional steps required.</v>
      </c>
      <c r="G103" s="830"/>
    </row>
    <row r="104" spans="1:7" ht="30.75" customHeight="1" x14ac:dyDescent="0.25">
      <c r="A104" s="486" t="str">
        <f>'Hidden Inputs'!AL75</f>
        <v/>
      </c>
      <c r="B104" s="832" t="str">
        <f t="shared" si="7"/>
        <v xml:space="preserve"> </v>
      </c>
      <c r="C104" s="750">
        <f>SUMIF('Hidden Inputs'!$J$3:$J$4154,$B104,'Hidden Inputs'!$W$3:$W$4154)</f>
        <v>0</v>
      </c>
      <c r="D104" s="832" t="str">
        <f t="shared" si="8"/>
        <v/>
      </c>
      <c r="E104" s="831" t="str">
        <f t="shared" si="9"/>
        <v>Yes</v>
      </c>
      <c r="F104" s="832" t="str">
        <f t="shared" si="10"/>
        <v>No additional steps required.</v>
      </c>
      <c r="G104" s="830"/>
    </row>
    <row r="105" spans="1:7" ht="30.75" customHeight="1" x14ac:dyDescent="0.25">
      <c r="A105" s="486" t="str">
        <f>'Hidden Inputs'!AL76</f>
        <v/>
      </c>
      <c r="B105" s="832" t="str">
        <f t="shared" si="7"/>
        <v xml:space="preserve"> </v>
      </c>
      <c r="C105" s="750">
        <f>SUMIF('Hidden Inputs'!$J$3:$J$4154,$B105,'Hidden Inputs'!$W$3:$W$4154)</f>
        <v>0</v>
      </c>
      <c r="D105" s="832" t="str">
        <f t="shared" si="8"/>
        <v/>
      </c>
      <c r="E105" s="831" t="str">
        <f t="shared" si="9"/>
        <v>Yes</v>
      </c>
      <c r="F105" s="832" t="str">
        <f t="shared" si="10"/>
        <v>No additional steps required.</v>
      </c>
      <c r="G105" s="830"/>
    </row>
    <row r="106" spans="1:7" ht="30.75" customHeight="1" x14ac:dyDescent="0.25">
      <c r="A106" s="486" t="str">
        <f>'Hidden Inputs'!AL77</f>
        <v/>
      </c>
      <c r="B106" s="832" t="str">
        <f t="shared" si="7"/>
        <v xml:space="preserve"> </v>
      </c>
      <c r="C106" s="750">
        <f>SUMIF('Hidden Inputs'!$J$3:$J$4154,$B106,'Hidden Inputs'!$W$3:$W$4154)</f>
        <v>0</v>
      </c>
      <c r="D106" s="832" t="str">
        <f t="shared" si="8"/>
        <v/>
      </c>
      <c r="E106" s="831" t="str">
        <f t="shared" si="9"/>
        <v>Yes</v>
      </c>
      <c r="F106" s="832" t="str">
        <f t="shared" si="10"/>
        <v>No additional steps required.</v>
      </c>
      <c r="G106" s="830"/>
    </row>
    <row r="107" spans="1:7" ht="30.75" customHeight="1" x14ac:dyDescent="0.25">
      <c r="A107" s="486" t="str">
        <f>'Hidden Inputs'!AL78</f>
        <v/>
      </c>
      <c r="B107" s="832" t="str">
        <f t="shared" si="7"/>
        <v xml:space="preserve"> </v>
      </c>
      <c r="C107" s="750">
        <f>SUMIF('Hidden Inputs'!$J$3:$J$4154,$B107,'Hidden Inputs'!$W$3:$W$4154)</f>
        <v>0</v>
      </c>
      <c r="D107" s="832" t="str">
        <f t="shared" si="8"/>
        <v/>
      </c>
      <c r="E107" s="831" t="str">
        <f t="shared" si="9"/>
        <v>Yes</v>
      </c>
      <c r="F107" s="832" t="str">
        <f t="shared" si="10"/>
        <v>No additional steps required.</v>
      </c>
      <c r="G107" s="830"/>
    </row>
    <row r="108" spans="1:7" ht="30.75" customHeight="1" x14ac:dyDescent="0.25">
      <c r="A108" s="486" t="str">
        <f>'Hidden Inputs'!AL79</f>
        <v/>
      </c>
      <c r="B108" s="832" t="str">
        <f t="shared" si="7"/>
        <v xml:space="preserve"> </v>
      </c>
      <c r="C108" s="750">
        <f>SUMIF('Hidden Inputs'!$J$3:$J$4154,$B108,'Hidden Inputs'!$W$3:$W$4154)</f>
        <v>0</v>
      </c>
      <c r="D108" s="832" t="str">
        <f t="shared" si="8"/>
        <v/>
      </c>
      <c r="E108" s="831" t="str">
        <f t="shared" si="9"/>
        <v>Yes</v>
      </c>
      <c r="F108" s="832" t="str">
        <f t="shared" si="10"/>
        <v>No additional steps required.</v>
      </c>
      <c r="G108" s="830"/>
    </row>
    <row r="109" spans="1:7" ht="30.75" customHeight="1" x14ac:dyDescent="0.25">
      <c r="A109" s="486" t="str">
        <f>'Hidden Inputs'!AL80</f>
        <v/>
      </c>
      <c r="B109" s="832" t="str">
        <f t="shared" si="7"/>
        <v xml:space="preserve"> </v>
      </c>
      <c r="C109" s="750">
        <f>SUMIF('Hidden Inputs'!$J$3:$J$4154,$B109,'Hidden Inputs'!$W$3:$W$4154)</f>
        <v>0</v>
      </c>
      <c r="D109" s="832" t="str">
        <f t="shared" si="8"/>
        <v/>
      </c>
      <c r="E109" s="831" t="str">
        <f t="shared" si="9"/>
        <v>Yes</v>
      </c>
      <c r="F109" s="832" t="str">
        <f t="shared" si="10"/>
        <v>No additional steps required.</v>
      </c>
      <c r="G109" s="830"/>
    </row>
    <row r="110" spans="1:7" ht="30.75" customHeight="1" x14ac:dyDescent="0.25">
      <c r="A110" s="486" t="str">
        <f>'Hidden Inputs'!AL81</f>
        <v/>
      </c>
      <c r="B110" s="832" t="str">
        <f t="shared" si="7"/>
        <v xml:space="preserve"> </v>
      </c>
      <c r="C110" s="750">
        <f>SUMIF('Hidden Inputs'!$J$3:$J$4154,$B110,'Hidden Inputs'!$W$3:$W$4154)</f>
        <v>0</v>
      </c>
      <c r="D110" s="832" t="str">
        <f t="shared" si="8"/>
        <v/>
      </c>
      <c r="E110" s="831" t="str">
        <f t="shared" si="9"/>
        <v>Yes</v>
      </c>
      <c r="F110" s="832" t="str">
        <f t="shared" si="10"/>
        <v>No additional steps required.</v>
      </c>
      <c r="G110" s="830"/>
    </row>
    <row r="111" spans="1:7" ht="30.75" customHeight="1" x14ac:dyDescent="0.25">
      <c r="A111" s="486" t="str">
        <f>'Hidden Inputs'!AL82</f>
        <v/>
      </c>
      <c r="B111" s="832" t="str">
        <f t="shared" si="7"/>
        <v xml:space="preserve"> </v>
      </c>
      <c r="C111" s="750">
        <f>SUMIF('Hidden Inputs'!$J$3:$J$4154,$B111,'Hidden Inputs'!$W$3:$W$4154)</f>
        <v>0</v>
      </c>
      <c r="D111" s="832" t="str">
        <f t="shared" si="8"/>
        <v/>
      </c>
      <c r="E111" s="831" t="str">
        <f t="shared" si="9"/>
        <v>Yes</v>
      </c>
      <c r="F111" s="832" t="str">
        <f t="shared" si="10"/>
        <v>No additional steps required.</v>
      </c>
      <c r="G111" s="830"/>
    </row>
    <row r="112" spans="1:7" ht="30.75" customHeight="1" x14ac:dyDescent="0.25">
      <c r="A112" s="486" t="str">
        <f>'Hidden Inputs'!AL83</f>
        <v/>
      </c>
      <c r="B112" s="832" t="str">
        <f t="shared" si="7"/>
        <v xml:space="preserve"> </v>
      </c>
      <c r="C112" s="750">
        <f>SUMIF('Hidden Inputs'!$J$3:$J$4154,$B112,'Hidden Inputs'!$W$3:$W$4154)</f>
        <v>0</v>
      </c>
      <c r="D112" s="832" t="str">
        <f t="shared" si="8"/>
        <v/>
      </c>
      <c r="E112" s="831" t="str">
        <f t="shared" si="9"/>
        <v>Yes</v>
      </c>
      <c r="F112" s="832" t="str">
        <f t="shared" si="10"/>
        <v>No additional steps required.</v>
      </c>
      <c r="G112" s="830"/>
    </row>
    <row r="113" spans="1:7" ht="30.75" customHeight="1" x14ac:dyDescent="0.25">
      <c r="A113" s="486" t="str">
        <f>'Hidden Inputs'!AL84</f>
        <v/>
      </c>
      <c r="B113" s="832" t="str">
        <f t="shared" si="7"/>
        <v xml:space="preserve"> </v>
      </c>
      <c r="C113" s="750">
        <f>SUMIF('Hidden Inputs'!$J$3:$J$4154,$B113,'Hidden Inputs'!$W$3:$W$4154)</f>
        <v>0</v>
      </c>
      <c r="D113" s="832" t="str">
        <f t="shared" si="8"/>
        <v/>
      </c>
      <c r="E113" s="831" t="str">
        <f t="shared" si="9"/>
        <v>Yes</v>
      </c>
      <c r="F113" s="832" t="str">
        <f t="shared" si="10"/>
        <v>No additional steps required.</v>
      </c>
      <c r="G113" s="830"/>
    </row>
    <row r="114" spans="1:7" ht="30.75" customHeight="1" x14ac:dyDescent="0.25">
      <c r="A114" s="486" t="str">
        <f>'Hidden Inputs'!AL85</f>
        <v/>
      </c>
      <c r="B114" s="832" t="str">
        <f t="shared" si="7"/>
        <v xml:space="preserve"> </v>
      </c>
      <c r="C114" s="750">
        <f>SUMIF('Hidden Inputs'!$J$3:$J$4154,$B114,'Hidden Inputs'!$W$3:$W$4154)</f>
        <v>0</v>
      </c>
      <c r="D114" s="832" t="str">
        <f t="shared" si="8"/>
        <v/>
      </c>
      <c r="E114" s="831" t="str">
        <f t="shared" si="9"/>
        <v>Yes</v>
      </c>
      <c r="F114" s="832" t="str">
        <f t="shared" si="10"/>
        <v>No additional steps required.</v>
      </c>
      <c r="G114" s="830"/>
    </row>
    <row r="115" spans="1:7" ht="30.75" customHeight="1" x14ac:dyDescent="0.25">
      <c r="A115" s="486" t="str">
        <f>'Hidden Inputs'!AL86</f>
        <v/>
      </c>
      <c r="B115" s="832" t="str">
        <f t="shared" si="7"/>
        <v xml:space="preserve"> </v>
      </c>
      <c r="C115" s="750">
        <f>SUMIF('Hidden Inputs'!$J$3:$J$4154,$B115,'Hidden Inputs'!$W$3:$W$4154)</f>
        <v>0</v>
      </c>
      <c r="D115" s="832" t="str">
        <f t="shared" si="8"/>
        <v/>
      </c>
      <c r="E115" s="831" t="str">
        <f t="shared" si="9"/>
        <v>Yes</v>
      </c>
      <c r="F115" s="832" t="str">
        <f t="shared" si="10"/>
        <v>No additional steps required.</v>
      </c>
      <c r="G115" s="830"/>
    </row>
    <row r="116" spans="1:7" ht="30.75" customHeight="1" x14ac:dyDescent="0.25">
      <c r="A116" s="486" t="str">
        <f>'Hidden Inputs'!AL87</f>
        <v/>
      </c>
      <c r="B116" s="832" t="str">
        <f t="shared" si="7"/>
        <v xml:space="preserve"> </v>
      </c>
      <c r="C116" s="750">
        <f>SUMIF('Hidden Inputs'!$J$3:$J$4154,$B116,'Hidden Inputs'!$W$3:$W$4154)</f>
        <v>0</v>
      </c>
      <c r="D116" s="832" t="str">
        <f t="shared" si="8"/>
        <v/>
      </c>
      <c r="E116" s="831" t="str">
        <f t="shared" si="9"/>
        <v>Yes</v>
      </c>
      <c r="F116" s="832" t="str">
        <f t="shared" si="10"/>
        <v>No additional steps required.</v>
      </c>
      <c r="G116" s="830"/>
    </row>
    <row r="117" spans="1:7" ht="30.75" customHeight="1" x14ac:dyDescent="0.25">
      <c r="A117" s="486" t="str">
        <f>'Hidden Inputs'!AL88</f>
        <v/>
      </c>
      <c r="B117" s="832" t="str">
        <f t="shared" si="7"/>
        <v xml:space="preserve"> </v>
      </c>
      <c r="C117" s="750">
        <f>SUMIF('Hidden Inputs'!$J$3:$J$4154,$B117,'Hidden Inputs'!$W$3:$W$4154)</f>
        <v>0</v>
      </c>
      <c r="D117" s="832" t="str">
        <f t="shared" si="8"/>
        <v/>
      </c>
      <c r="E117" s="831" t="str">
        <f t="shared" si="9"/>
        <v>Yes</v>
      </c>
      <c r="F117" s="832" t="str">
        <f t="shared" si="10"/>
        <v>No additional steps required.</v>
      </c>
      <c r="G117" s="830"/>
    </row>
    <row r="118" spans="1:7" ht="30.75" customHeight="1" x14ac:dyDescent="0.25">
      <c r="A118" s="486" t="str">
        <f>'Hidden Inputs'!AL89</f>
        <v/>
      </c>
      <c r="B118" s="832" t="str">
        <f t="shared" si="7"/>
        <v xml:space="preserve"> </v>
      </c>
      <c r="C118" s="750">
        <f>SUMIF('Hidden Inputs'!$J$3:$J$4154,$B118,'Hidden Inputs'!$W$3:$W$4154)</f>
        <v>0</v>
      </c>
      <c r="D118" s="832" t="str">
        <f t="shared" si="8"/>
        <v/>
      </c>
      <c r="E118" s="831" t="str">
        <f t="shared" si="9"/>
        <v>Yes</v>
      </c>
      <c r="F118" s="832" t="str">
        <f t="shared" si="10"/>
        <v>No additional steps required.</v>
      </c>
      <c r="G118" s="830"/>
    </row>
    <row r="119" spans="1:7" ht="30.75" customHeight="1" x14ac:dyDescent="0.25">
      <c r="A119" s="486" t="str">
        <f>'Hidden Inputs'!AL90</f>
        <v/>
      </c>
      <c r="B119" s="832" t="str">
        <f t="shared" si="7"/>
        <v xml:space="preserve"> </v>
      </c>
      <c r="C119" s="750">
        <f>SUMIF('Hidden Inputs'!$J$3:$J$4154,$B119,'Hidden Inputs'!$W$3:$W$4154)</f>
        <v>0</v>
      </c>
      <c r="D119" s="832" t="str">
        <f t="shared" si="8"/>
        <v/>
      </c>
      <c r="E119" s="831" t="str">
        <f t="shared" si="9"/>
        <v>Yes</v>
      </c>
      <c r="F119" s="832" t="str">
        <f t="shared" si="10"/>
        <v>No additional steps required.</v>
      </c>
      <c r="G119" s="830"/>
    </row>
    <row r="120" spans="1:7" ht="30.75" customHeight="1" x14ac:dyDescent="0.25">
      <c r="A120" s="486" t="str">
        <f>'Hidden Inputs'!AL91</f>
        <v/>
      </c>
      <c r="B120" s="832" t="str">
        <f t="shared" si="7"/>
        <v xml:space="preserve"> </v>
      </c>
      <c r="C120" s="750">
        <f>SUMIF('Hidden Inputs'!$J$3:$J$4154,$B120,'Hidden Inputs'!$W$3:$W$4154)</f>
        <v>0</v>
      </c>
      <c r="D120" s="832" t="str">
        <f t="shared" si="8"/>
        <v/>
      </c>
      <c r="E120" s="831" t="str">
        <f t="shared" si="9"/>
        <v>Yes</v>
      </c>
      <c r="F120" s="832" t="str">
        <f t="shared" si="10"/>
        <v>No additional steps required.</v>
      </c>
      <c r="G120" s="830"/>
    </row>
    <row r="121" spans="1:7" ht="30.75" customHeight="1" x14ac:dyDescent="0.25">
      <c r="A121" s="486" t="str">
        <f>'Hidden Inputs'!AL92</f>
        <v/>
      </c>
      <c r="B121" s="832" t="str">
        <f t="shared" si="7"/>
        <v xml:space="preserve"> </v>
      </c>
      <c r="C121" s="750">
        <f>SUMIF('Hidden Inputs'!$J$3:$J$4154,$B121,'Hidden Inputs'!$W$3:$W$4154)</f>
        <v>0</v>
      </c>
      <c r="D121" s="832" t="str">
        <f t="shared" si="8"/>
        <v/>
      </c>
      <c r="E121" s="831" t="str">
        <f t="shared" si="9"/>
        <v>Yes</v>
      </c>
      <c r="F121" s="832" t="str">
        <f t="shared" si="10"/>
        <v>No additional steps required.</v>
      </c>
      <c r="G121" s="830"/>
    </row>
    <row r="122" spans="1:7" ht="30.75" customHeight="1" x14ac:dyDescent="0.25">
      <c r="A122" s="486" t="str">
        <f>'Hidden Inputs'!AL93</f>
        <v/>
      </c>
      <c r="B122" s="832" t="str">
        <f t="shared" si="7"/>
        <v xml:space="preserve"> </v>
      </c>
      <c r="C122" s="750">
        <f>SUMIF('Hidden Inputs'!$J$3:$J$4154,$B122,'Hidden Inputs'!$W$3:$W$4154)</f>
        <v>0</v>
      </c>
      <c r="D122" s="832" t="str">
        <f t="shared" si="8"/>
        <v/>
      </c>
      <c r="E122" s="831" t="str">
        <f t="shared" si="9"/>
        <v>Yes</v>
      </c>
      <c r="F122" s="832" t="str">
        <f t="shared" si="10"/>
        <v>No additional steps required.</v>
      </c>
      <c r="G122" s="830"/>
    </row>
    <row r="123" spans="1:7" ht="30.75" customHeight="1" x14ac:dyDescent="0.25">
      <c r="A123" s="486" t="str">
        <f>'Hidden Inputs'!AL94</f>
        <v/>
      </c>
      <c r="B123" s="832" t="str">
        <f t="shared" si="7"/>
        <v xml:space="preserve"> </v>
      </c>
      <c r="C123" s="750">
        <f>SUMIF('Hidden Inputs'!$J$3:$J$4154,$B123,'Hidden Inputs'!$W$3:$W$4154)</f>
        <v>0</v>
      </c>
      <c r="D123" s="832" t="str">
        <f t="shared" si="8"/>
        <v/>
      </c>
      <c r="E123" s="831" t="str">
        <f t="shared" si="9"/>
        <v>Yes</v>
      </c>
      <c r="F123" s="832" t="str">
        <f t="shared" si="10"/>
        <v>No additional steps required.</v>
      </c>
      <c r="G123" s="830"/>
    </row>
    <row r="124" spans="1:7" ht="30.75" customHeight="1" x14ac:dyDescent="0.25">
      <c r="A124" s="486" t="str">
        <f>'Hidden Inputs'!AL95</f>
        <v/>
      </c>
      <c r="B124" s="832" t="str">
        <f t="shared" si="7"/>
        <v xml:space="preserve"> </v>
      </c>
      <c r="C124" s="750">
        <f>SUMIF('Hidden Inputs'!$J$3:$J$4154,$B124,'Hidden Inputs'!$W$3:$W$4154)</f>
        <v>0</v>
      </c>
      <c r="D124" s="832" t="str">
        <f t="shared" si="8"/>
        <v/>
      </c>
      <c r="E124" s="831" t="str">
        <f t="shared" si="9"/>
        <v>Yes</v>
      </c>
      <c r="F124" s="832" t="str">
        <f t="shared" si="10"/>
        <v>No additional steps required.</v>
      </c>
      <c r="G124" s="830"/>
    </row>
    <row r="125" spans="1:7" ht="30.75" customHeight="1" x14ac:dyDescent="0.25">
      <c r="A125" s="486" t="str">
        <f>'Hidden Inputs'!AL96</f>
        <v/>
      </c>
      <c r="B125" s="832" t="str">
        <f t="shared" si="7"/>
        <v xml:space="preserve"> </v>
      </c>
      <c r="C125" s="750">
        <f>SUMIF('Hidden Inputs'!$J$3:$J$4154,$B125,'Hidden Inputs'!$W$3:$W$4154)</f>
        <v>0</v>
      </c>
      <c r="D125" s="832" t="str">
        <f t="shared" si="8"/>
        <v/>
      </c>
      <c r="E125" s="831" t="str">
        <f t="shared" si="9"/>
        <v>Yes</v>
      </c>
      <c r="F125" s="832" t="str">
        <f t="shared" si="10"/>
        <v>No additional steps required.</v>
      </c>
      <c r="G125" s="830"/>
    </row>
    <row r="126" spans="1:7" ht="30.75" customHeight="1" x14ac:dyDescent="0.25">
      <c r="A126" s="486" t="str">
        <f>'Hidden Inputs'!AL97</f>
        <v/>
      </c>
      <c r="B126" s="832" t="str">
        <f t="shared" si="7"/>
        <v xml:space="preserve"> </v>
      </c>
      <c r="C126" s="750">
        <f>SUMIF('Hidden Inputs'!$J$3:$J$4154,$B126,'Hidden Inputs'!$W$3:$W$4154)</f>
        <v>0</v>
      </c>
      <c r="D126" s="832" t="str">
        <f t="shared" si="8"/>
        <v/>
      </c>
      <c r="E126" s="831" t="str">
        <f t="shared" si="9"/>
        <v>Yes</v>
      </c>
      <c r="F126" s="832" t="str">
        <f t="shared" si="10"/>
        <v>No additional steps required.</v>
      </c>
      <c r="G126" s="830"/>
    </row>
    <row r="127" spans="1:7" ht="30.75" customHeight="1" x14ac:dyDescent="0.25">
      <c r="A127" s="486" t="str">
        <f>'Hidden Inputs'!AL98</f>
        <v/>
      </c>
      <c r="B127" s="832" t="str">
        <f t="shared" ref="B127:B158" si="11">IFERROR(VLOOKUP(A127, SpeciesDataTable,2,FALSE)," ")</f>
        <v xml:space="preserve"> </v>
      </c>
      <c r="C127" s="750">
        <f>SUMIF('Hidden Inputs'!$J$3:$J$4154,$B127,'Hidden Inputs'!$W$3:$W$4154)</f>
        <v>0</v>
      </c>
      <c r="D127" s="832" t="str">
        <f t="shared" ref="D127:D158" si="12">IFERROR(VLOOKUP(B127, SpeciesESL, 2, FALSE),"")</f>
        <v/>
      </c>
      <c r="E127" s="831" t="str">
        <f t="shared" si="9"/>
        <v>Yes</v>
      </c>
      <c r="F127" s="832" t="str">
        <f t="shared" si="10"/>
        <v>No additional steps required.</v>
      </c>
      <c r="G127" s="830"/>
    </row>
    <row r="128" spans="1:7" ht="30.75" customHeight="1" x14ac:dyDescent="0.25">
      <c r="A128" s="486" t="str">
        <f>'Hidden Inputs'!AL99</f>
        <v/>
      </c>
      <c r="B128" s="832" t="str">
        <f t="shared" si="11"/>
        <v xml:space="preserve"> </v>
      </c>
      <c r="C128" s="750">
        <f>SUMIF('Hidden Inputs'!$J$3:$J$4154,$B128,'Hidden Inputs'!$W$3:$W$4154)</f>
        <v>0</v>
      </c>
      <c r="D128" s="832" t="str">
        <f t="shared" si="12"/>
        <v/>
      </c>
      <c r="E128" s="831" t="str">
        <f t="shared" si="9"/>
        <v>Yes</v>
      </c>
      <c r="F128" s="832" t="str">
        <f t="shared" si="10"/>
        <v>No additional steps required.</v>
      </c>
      <c r="G128" s="830"/>
    </row>
    <row r="129" spans="1:7" ht="30.75" customHeight="1" x14ac:dyDescent="0.25">
      <c r="A129" s="486" t="str">
        <f>'Hidden Inputs'!AL100</f>
        <v/>
      </c>
      <c r="B129" s="832" t="str">
        <f t="shared" si="11"/>
        <v xml:space="preserve"> </v>
      </c>
      <c r="C129" s="750">
        <f>SUMIF('Hidden Inputs'!$J$3:$J$4154,$B129,'Hidden Inputs'!$W$3:$W$4154)</f>
        <v>0</v>
      </c>
      <c r="D129" s="832" t="str">
        <f t="shared" si="12"/>
        <v/>
      </c>
      <c r="E129" s="831" t="str">
        <f t="shared" si="9"/>
        <v>Yes</v>
      </c>
      <c r="F129" s="832" t="str">
        <f t="shared" si="10"/>
        <v>No additional steps required.</v>
      </c>
      <c r="G129" s="830"/>
    </row>
    <row r="130" spans="1:7" ht="30.75" customHeight="1" x14ac:dyDescent="0.25">
      <c r="A130" s="486" t="str">
        <f>'Hidden Inputs'!AL101</f>
        <v/>
      </c>
      <c r="B130" s="832" t="str">
        <f t="shared" si="11"/>
        <v xml:space="preserve"> </v>
      </c>
      <c r="C130" s="750">
        <f>SUMIF('Hidden Inputs'!$J$3:$J$4154,$B130,'Hidden Inputs'!$W$3:$W$4154)</f>
        <v>0</v>
      </c>
      <c r="D130" s="832" t="str">
        <f t="shared" si="12"/>
        <v/>
      </c>
      <c r="E130" s="831" t="str">
        <f t="shared" si="9"/>
        <v>Yes</v>
      </c>
      <c r="F130" s="832" t="str">
        <f t="shared" si="10"/>
        <v>No additional steps required.</v>
      </c>
      <c r="G130" s="830"/>
    </row>
    <row r="131" spans="1:7" ht="30.75" customHeight="1" x14ac:dyDescent="0.25">
      <c r="A131" s="486" t="str">
        <f>'Hidden Inputs'!AL102</f>
        <v/>
      </c>
      <c r="B131" s="832" t="str">
        <f t="shared" si="11"/>
        <v xml:space="preserve"> </v>
      </c>
      <c r="C131" s="750">
        <f>SUMIF('Hidden Inputs'!$J$3:$J$4154,$B131,'Hidden Inputs'!$W$3:$W$4154)</f>
        <v>0</v>
      </c>
      <c r="D131" s="832" t="str">
        <f t="shared" si="12"/>
        <v/>
      </c>
      <c r="E131" s="831" t="str">
        <f t="shared" si="9"/>
        <v>Yes</v>
      </c>
      <c r="F131" s="832" t="str">
        <f t="shared" si="10"/>
        <v>No additional steps required.</v>
      </c>
      <c r="G131" s="830"/>
    </row>
    <row r="132" spans="1:7" ht="30.75" customHeight="1" x14ac:dyDescent="0.25">
      <c r="A132" s="486" t="str">
        <f>'Hidden Inputs'!AL103</f>
        <v/>
      </c>
      <c r="B132" s="832" t="str">
        <f t="shared" si="11"/>
        <v xml:space="preserve"> </v>
      </c>
      <c r="C132" s="750">
        <f>SUMIF('Hidden Inputs'!$J$3:$J$4154,$B132,'Hidden Inputs'!$W$3:$W$4154)</f>
        <v>0</v>
      </c>
      <c r="D132" s="832" t="str">
        <f t="shared" si="12"/>
        <v/>
      </c>
      <c r="E132" s="831" t="str">
        <f t="shared" si="9"/>
        <v>Yes</v>
      </c>
      <c r="F132" s="832" t="str">
        <f t="shared" si="10"/>
        <v>No additional steps required.</v>
      </c>
      <c r="G132" s="830"/>
    </row>
    <row r="133" spans="1:7" ht="30.75" customHeight="1" x14ac:dyDescent="0.25">
      <c r="A133" s="486" t="str">
        <f>'Hidden Inputs'!AL104</f>
        <v/>
      </c>
      <c r="B133" s="832" t="str">
        <f t="shared" si="11"/>
        <v xml:space="preserve"> </v>
      </c>
      <c r="C133" s="750">
        <f>SUMIF('Hidden Inputs'!$J$3:$J$4154,$B133,'Hidden Inputs'!$W$3:$W$4154)</f>
        <v>0</v>
      </c>
      <c r="D133" s="832" t="str">
        <f t="shared" si="12"/>
        <v/>
      </c>
      <c r="E133" s="831" t="str">
        <f t="shared" si="9"/>
        <v>Yes</v>
      </c>
      <c r="F133" s="832" t="str">
        <f t="shared" si="10"/>
        <v>No additional steps required.</v>
      </c>
      <c r="G133" s="830"/>
    </row>
    <row r="134" spans="1:7" ht="30.75" customHeight="1" x14ac:dyDescent="0.25">
      <c r="A134" s="486" t="str">
        <f>'Hidden Inputs'!AL105</f>
        <v/>
      </c>
      <c r="B134" s="832" t="str">
        <f t="shared" si="11"/>
        <v xml:space="preserve"> </v>
      </c>
      <c r="C134" s="750">
        <f>SUMIF('Hidden Inputs'!$J$3:$J$4154,$B134,'Hidden Inputs'!$W$3:$W$4154)</f>
        <v>0</v>
      </c>
      <c r="D134" s="832" t="str">
        <f t="shared" si="12"/>
        <v/>
      </c>
      <c r="E134" s="831" t="str">
        <f t="shared" si="9"/>
        <v>Yes</v>
      </c>
      <c r="F134" s="832" t="str">
        <f t="shared" si="10"/>
        <v>No additional steps required.</v>
      </c>
      <c r="G134" s="830"/>
    </row>
    <row r="135" spans="1:7" ht="30.75" customHeight="1" x14ac:dyDescent="0.25">
      <c r="A135" s="486" t="str">
        <f>'Hidden Inputs'!AL106</f>
        <v/>
      </c>
      <c r="B135" s="832" t="str">
        <f t="shared" si="11"/>
        <v xml:space="preserve"> </v>
      </c>
      <c r="C135" s="750">
        <f>SUMIF('Hidden Inputs'!$J$3:$J$4154,$B135,'Hidden Inputs'!$W$3:$W$4154)</f>
        <v>0</v>
      </c>
      <c r="D135" s="832" t="str">
        <f t="shared" si="12"/>
        <v/>
      </c>
      <c r="E135" s="831" t="str">
        <f t="shared" si="9"/>
        <v>Yes</v>
      </c>
      <c r="F135" s="832" t="str">
        <f t="shared" si="10"/>
        <v>No additional steps required.</v>
      </c>
      <c r="G135" s="830"/>
    </row>
    <row r="136" spans="1:7" ht="30.75" customHeight="1" x14ac:dyDescent="0.25">
      <c r="A136" s="486" t="str">
        <f>'Hidden Inputs'!AL107</f>
        <v/>
      </c>
      <c r="B136" s="832" t="str">
        <f t="shared" si="11"/>
        <v xml:space="preserve"> </v>
      </c>
      <c r="C136" s="750">
        <f>SUMIF('Hidden Inputs'!$J$3:$J$4154,$B136,'Hidden Inputs'!$W$3:$W$4154)</f>
        <v>0</v>
      </c>
      <c r="D136" s="832" t="str">
        <f t="shared" si="12"/>
        <v/>
      </c>
      <c r="E136" s="831" t="str">
        <f t="shared" si="9"/>
        <v>Yes</v>
      </c>
      <c r="F136" s="832" t="str">
        <f t="shared" si="10"/>
        <v>No additional steps required.</v>
      </c>
      <c r="G136" s="830"/>
    </row>
    <row r="137" spans="1:7" ht="30.75" customHeight="1" x14ac:dyDescent="0.25">
      <c r="A137" s="486" t="str">
        <f>'Hidden Inputs'!AL108</f>
        <v/>
      </c>
      <c r="B137" s="832" t="str">
        <f t="shared" si="11"/>
        <v xml:space="preserve"> </v>
      </c>
      <c r="C137" s="750">
        <f>SUMIF('Hidden Inputs'!$J$3:$J$4154,$B137,'Hidden Inputs'!$W$3:$W$4154)</f>
        <v>0</v>
      </c>
      <c r="D137" s="832" t="str">
        <f t="shared" si="12"/>
        <v/>
      </c>
      <c r="E137" s="831" t="str">
        <f t="shared" si="9"/>
        <v>Yes</v>
      </c>
      <c r="F137" s="832" t="str">
        <f t="shared" si="10"/>
        <v>No additional steps required.</v>
      </c>
      <c r="G137" s="830"/>
    </row>
    <row r="138" spans="1:7" ht="30.75" customHeight="1" x14ac:dyDescent="0.25">
      <c r="A138" s="486" t="str">
        <f>'Hidden Inputs'!AL109</f>
        <v/>
      </c>
      <c r="B138" s="832" t="str">
        <f t="shared" si="11"/>
        <v xml:space="preserve"> </v>
      </c>
      <c r="C138" s="750">
        <f>SUMIF('Hidden Inputs'!$J$3:$J$4154,$B138,'Hidden Inputs'!$W$3:$W$4154)</f>
        <v>0</v>
      </c>
      <c r="D138" s="832" t="str">
        <f t="shared" si="12"/>
        <v/>
      </c>
      <c r="E138" s="831" t="str">
        <f t="shared" si="9"/>
        <v>Yes</v>
      </c>
      <c r="F138" s="832" t="str">
        <f t="shared" si="10"/>
        <v>No additional steps required.</v>
      </c>
      <c r="G138" s="830"/>
    </row>
    <row r="139" spans="1:7" ht="30.75" customHeight="1" x14ac:dyDescent="0.25">
      <c r="A139" s="486" t="str">
        <f>'Hidden Inputs'!AL110</f>
        <v/>
      </c>
      <c r="B139" s="832" t="str">
        <f t="shared" si="11"/>
        <v xml:space="preserve"> </v>
      </c>
      <c r="C139" s="750">
        <f>SUMIF('Hidden Inputs'!$J$3:$J$4154,$B139,'Hidden Inputs'!$W$3:$W$4154)</f>
        <v>0</v>
      </c>
      <c r="D139" s="832" t="str">
        <f t="shared" si="12"/>
        <v/>
      </c>
      <c r="E139" s="831" t="str">
        <f t="shared" si="9"/>
        <v>Yes</v>
      </c>
      <c r="F139" s="832" t="str">
        <f t="shared" si="10"/>
        <v>No additional steps required.</v>
      </c>
      <c r="G139" s="830"/>
    </row>
    <row r="140" spans="1:7" ht="30.75" customHeight="1" x14ac:dyDescent="0.25">
      <c r="A140" s="486" t="str">
        <f>'Hidden Inputs'!AL111</f>
        <v/>
      </c>
      <c r="B140" s="832" t="str">
        <f t="shared" si="11"/>
        <v xml:space="preserve"> </v>
      </c>
      <c r="C140" s="750">
        <f>SUMIF('Hidden Inputs'!$J$3:$J$4154,$B140,'Hidden Inputs'!$W$3:$W$4154)</f>
        <v>0</v>
      </c>
      <c r="D140" s="832" t="str">
        <f t="shared" si="12"/>
        <v/>
      </c>
      <c r="E140" s="831" t="str">
        <f t="shared" si="9"/>
        <v>Yes</v>
      </c>
      <c r="F140" s="832" t="str">
        <f t="shared" si="10"/>
        <v>No additional steps required.</v>
      </c>
      <c r="G140" s="830"/>
    </row>
    <row r="141" spans="1:7" ht="30.75" customHeight="1" x14ac:dyDescent="0.25">
      <c r="A141" s="486" t="str">
        <f>'Hidden Inputs'!AL112</f>
        <v/>
      </c>
      <c r="B141" s="832" t="str">
        <f t="shared" si="11"/>
        <v xml:space="preserve"> </v>
      </c>
      <c r="C141" s="750">
        <f>SUMIF('Hidden Inputs'!$J$3:$J$4154,$B141,'Hidden Inputs'!$W$3:$W$4154)</f>
        <v>0</v>
      </c>
      <c r="D141" s="832" t="str">
        <f t="shared" si="12"/>
        <v/>
      </c>
      <c r="E141" s="831" t="str">
        <f t="shared" si="9"/>
        <v>Yes</v>
      </c>
      <c r="F141" s="832" t="str">
        <f t="shared" si="10"/>
        <v>No additional steps required.</v>
      </c>
      <c r="G141" s="830"/>
    </row>
    <row r="142" spans="1:7" ht="30.75" customHeight="1" x14ac:dyDescent="0.25">
      <c r="A142" s="486" t="str">
        <f>'Hidden Inputs'!AL113</f>
        <v/>
      </c>
      <c r="B142" s="832" t="str">
        <f t="shared" si="11"/>
        <v xml:space="preserve"> </v>
      </c>
      <c r="C142" s="750">
        <f>SUMIF('Hidden Inputs'!$J$3:$J$4154,$B142,'Hidden Inputs'!$W$3:$W$4154)</f>
        <v>0</v>
      </c>
      <c r="D142" s="832" t="str">
        <f t="shared" si="12"/>
        <v/>
      </c>
      <c r="E142" s="831" t="str">
        <f t="shared" si="9"/>
        <v>Yes</v>
      </c>
      <c r="F142" s="832" t="str">
        <f t="shared" si="10"/>
        <v>No additional steps required.</v>
      </c>
      <c r="G142" s="830"/>
    </row>
    <row r="143" spans="1:7" ht="30.75" customHeight="1" x14ac:dyDescent="0.25">
      <c r="A143" s="486" t="str">
        <f>'Hidden Inputs'!AL114</f>
        <v/>
      </c>
      <c r="B143" s="832" t="str">
        <f t="shared" si="11"/>
        <v xml:space="preserve"> </v>
      </c>
      <c r="C143" s="750">
        <f>SUMIF('Hidden Inputs'!$J$3:$J$4154,$B143,'Hidden Inputs'!$W$3:$W$4154)</f>
        <v>0</v>
      </c>
      <c r="D143" s="832" t="str">
        <f t="shared" si="12"/>
        <v/>
      </c>
      <c r="E143" s="831" t="str">
        <f t="shared" si="9"/>
        <v>Yes</v>
      </c>
      <c r="F143" s="832" t="str">
        <f t="shared" si="10"/>
        <v>No additional steps required.</v>
      </c>
      <c r="G143" s="830"/>
    </row>
    <row r="144" spans="1:7" ht="30.75" customHeight="1" x14ac:dyDescent="0.25">
      <c r="A144" s="486" t="str">
        <f>'Hidden Inputs'!AL115</f>
        <v/>
      </c>
      <c r="B144" s="832" t="str">
        <f t="shared" si="11"/>
        <v xml:space="preserve"> </v>
      </c>
      <c r="C144" s="750">
        <f>SUMIF('Hidden Inputs'!$J$3:$J$4154,$B144,'Hidden Inputs'!$W$3:$W$4154)</f>
        <v>0</v>
      </c>
      <c r="D144" s="832" t="str">
        <f t="shared" si="12"/>
        <v/>
      </c>
      <c r="E144" s="831" t="str">
        <f t="shared" si="9"/>
        <v>Yes</v>
      </c>
      <c r="F144" s="832" t="str">
        <f t="shared" si="10"/>
        <v>No additional steps required.</v>
      </c>
      <c r="G144" s="830"/>
    </row>
    <row r="145" spans="1:7" ht="30.75" customHeight="1" x14ac:dyDescent="0.25">
      <c r="A145" s="486" t="str">
        <f>'Hidden Inputs'!AL116</f>
        <v/>
      </c>
      <c r="B145" s="832" t="str">
        <f t="shared" si="11"/>
        <v xml:space="preserve"> </v>
      </c>
      <c r="C145" s="750">
        <f>SUMIF('Hidden Inputs'!$J$3:$J$4154,$B145,'Hidden Inputs'!$W$3:$W$4154)</f>
        <v>0</v>
      </c>
      <c r="D145" s="832" t="str">
        <f t="shared" si="12"/>
        <v/>
      </c>
      <c r="E145" s="831" t="str">
        <f t="shared" si="9"/>
        <v>Yes</v>
      </c>
      <c r="F145" s="832" t="str">
        <f t="shared" si="10"/>
        <v>No additional steps required.</v>
      </c>
      <c r="G145" s="830"/>
    </row>
    <row r="146" spans="1:7" ht="30.75" customHeight="1" x14ac:dyDescent="0.25">
      <c r="A146" s="486" t="str">
        <f>'Hidden Inputs'!AL117</f>
        <v/>
      </c>
      <c r="B146" s="832" t="str">
        <f t="shared" si="11"/>
        <v xml:space="preserve"> </v>
      </c>
      <c r="C146" s="750">
        <f>SUMIF('Hidden Inputs'!$J$3:$J$4154,$B146,'Hidden Inputs'!$W$3:$W$4154)</f>
        <v>0</v>
      </c>
      <c r="D146" s="832" t="str">
        <f t="shared" si="12"/>
        <v/>
      </c>
      <c r="E146" s="831" t="str">
        <f t="shared" si="9"/>
        <v>Yes</v>
      </c>
      <c r="F146" s="832" t="str">
        <f t="shared" si="10"/>
        <v>No additional steps required.</v>
      </c>
      <c r="G146" s="830"/>
    </row>
    <row r="147" spans="1:7" ht="30.75" customHeight="1" x14ac:dyDescent="0.25">
      <c r="A147" s="486" t="str">
        <f>'Hidden Inputs'!AL118</f>
        <v/>
      </c>
      <c r="B147" s="832" t="str">
        <f t="shared" si="11"/>
        <v xml:space="preserve"> </v>
      </c>
      <c r="C147" s="750">
        <f>SUMIF('Hidden Inputs'!$J$3:$J$4154,$B147,'Hidden Inputs'!$W$3:$W$4154)</f>
        <v>0</v>
      </c>
      <c r="D147" s="832" t="str">
        <f t="shared" si="12"/>
        <v/>
      </c>
      <c r="E147" s="831" t="str">
        <f t="shared" si="9"/>
        <v>Yes</v>
      </c>
      <c r="F147" s="832" t="str">
        <f t="shared" si="10"/>
        <v>No additional steps required.</v>
      </c>
      <c r="G147" s="830"/>
    </row>
    <row r="148" spans="1:7" ht="30.75" customHeight="1" x14ac:dyDescent="0.25">
      <c r="A148" s="486" t="str">
        <f>'Hidden Inputs'!AL119</f>
        <v/>
      </c>
      <c r="B148" s="832" t="str">
        <f t="shared" si="11"/>
        <v xml:space="preserve"> </v>
      </c>
      <c r="C148" s="750">
        <f>SUMIF('Hidden Inputs'!$J$3:$J$4154,$B148,'Hidden Inputs'!$W$3:$W$4154)</f>
        <v>0</v>
      </c>
      <c r="D148" s="832" t="str">
        <f t="shared" si="12"/>
        <v/>
      </c>
      <c r="E148" s="831" t="str">
        <f t="shared" si="9"/>
        <v>Yes</v>
      </c>
      <c r="F148" s="832" t="str">
        <f t="shared" si="10"/>
        <v>No additional steps required.</v>
      </c>
      <c r="G148" s="830"/>
    </row>
    <row r="149" spans="1:7" ht="30.75" customHeight="1" x14ac:dyDescent="0.25">
      <c r="A149" s="486" t="str">
        <f>'Hidden Inputs'!AL120</f>
        <v/>
      </c>
      <c r="B149" s="832" t="str">
        <f t="shared" si="11"/>
        <v xml:space="preserve"> </v>
      </c>
      <c r="C149" s="750">
        <f>SUMIF('Hidden Inputs'!$J$3:$J$4154,$B149,'Hidden Inputs'!$W$3:$W$4154)</f>
        <v>0</v>
      </c>
      <c r="D149" s="832" t="str">
        <f t="shared" si="12"/>
        <v/>
      </c>
      <c r="E149" s="831" t="str">
        <f t="shared" si="9"/>
        <v>Yes</v>
      </c>
      <c r="F149" s="832" t="str">
        <f t="shared" si="10"/>
        <v>No additional steps required.</v>
      </c>
      <c r="G149" s="830"/>
    </row>
    <row r="150" spans="1:7" ht="30.75" customHeight="1" x14ac:dyDescent="0.25">
      <c r="A150" s="486" t="str">
        <f>'Hidden Inputs'!AL121</f>
        <v/>
      </c>
      <c r="B150" s="832" t="str">
        <f t="shared" si="11"/>
        <v xml:space="preserve"> </v>
      </c>
      <c r="C150" s="750">
        <f>SUMIF('Hidden Inputs'!$J$3:$J$4154,$B150,'Hidden Inputs'!$W$3:$W$4154)</f>
        <v>0</v>
      </c>
      <c r="D150" s="832" t="str">
        <f t="shared" si="12"/>
        <v/>
      </c>
      <c r="E150" s="831" t="str">
        <f t="shared" si="9"/>
        <v>Yes</v>
      </c>
      <c r="F150" s="832" t="str">
        <f t="shared" si="10"/>
        <v>No additional steps required.</v>
      </c>
      <c r="G150" s="830"/>
    </row>
    <row r="151" spans="1:7" ht="30.75" customHeight="1" x14ac:dyDescent="0.25">
      <c r="A151" s="486" t="str">
        <f>'Hidden Inputs'!AL122</f>
        <v/>
      </c>
      <c r="B151" s="832" t="str">
        <f t="shared" si="11"/>
        <v xml:space="preserve"> </v>
      </c>
      <c r="C151" s="750">
        <f>SUMIF('Hidden Inputs'!$J$3:$J$4154,$B151,'Hidden Inputs'!$W$3:$W$4154)</f>
        <v>0</v>
      </c>
      <c r="D151" s="832" t="str">
        <f t="shared" si="12"/>
        <v/>
      </c>
      <c r="E151" s="831" t="str">
        <f t="shared" si="9"/>
        <v>Yes</v>
      </c>
      <c r="F151" s="832" t="str">
        <f t="shared" si="10"/>
        <v>No additional steps required.</v>
      </c>
      <c r="G151" s="830"/>
    </row>
    <row r="152" spans="1:7" ht="30.75" customHeight="1" x14ac:dyDescent="0.25">
      <c r="A152" s="486" t="str">
        <f>'Hidden Inputs'!AL123</f>
        <v/>
      </c>
      <c r="B152" s="832" t="str">
        <f t="shared" si="11"/>
        <v xml:space="preserve"> </v>
      </c>
      <c r="C152" s="750">
        <f>SUMIF('Hidden Inputs'!$J$3:$J$4154,$B152,'Hidden Inputs'!$W$3:$W$4154)</f>
        <v>0</v>
      </c>
      <c r="D152" s="832" t="str">
        <f t="shared" si="12"/>
        <v/>
      </c>
      <c r="E152" s="831" t="str">
        <f t="shared" si="9"/>
        <v>Yes</v>
      </c>
      <c r="F152" s="832" t="str">
        <f t="shared" si="10"/>
        <v>No additional steps required.</v>
      </c>
      <c r="G152" s="830"/>
    </row>
    <row r="153" spans="1:7" ht="30.75" customHeight="1" x14ac:dyDescent="0.25">
      <c r="A153" s="486" t="str">
        <f>'Hidden Inputs'!AL124</f>
        <v/>
      </c>
      <c r="B153" s="832" t="str">
        <f t="shared" si="11"/>
        <v xml:space="preserve"> </v>
      </c>
      <c r="C153" s="750">
        <f>SUMIF('Hidden Inputs'!$J$3:$J$4154,$B153,'Hidden Inputs'!$W$3:$W$4154)</f>
        <v>0</v>
      </c>
      <c r="D153" s="832" t="str">
        <f t="shared" si="12"/>
        <v/>
      </c>
      <c r="E153" s="831" t="str">
        <f t="shared" si="9"/>
        <v>Yes</v>
      </c>
      <c r="F153" s="832" t="str">
        <f t="shared" si="10"/>
        <v>No additional steps required.</v>
      </c>
      <c r="G153" s="830"/>
    </row>
    <row r="154" spans="1:7" ht="30.75" customHeight="1" x14ac:dyDescent="0.25">
      <c r="A154" s="486" t="str">
        <f>'Hidden Inputs'!AL125</f>
        <v/>
      </c>
      <c r="B154" s="832" t="str">
        <f t="shared" si="11"/>
        <v xml:space="preserve"> </v>
      </c>
      <c r="C154" s="750">
        <f>SUMIF('Hidden Inputs'!$J$3:$J$4154,$B154,'Hidden Inputs'!$W$3:$W$4154)</f>
        <v>0</v>
      </c>
      <c r="D154" s="832" t="str">
        <f t="shared" si="12"/>
        <v/>
      </c>
      <c r="E154" s="831" t="str">
        <f t="shared" si="9"/>
        <v>Yes</v>
      </c>
      <c r="F154" s="832" t="str">
        <f t="shared" si="10"/>
        <v>No additional steps required.</v>
      </c>
      <c r="G154" s="830"/>
    </row>
    <row r="155" spans="1:7" ht="30.75" customHeight="1" x14ac:dyDescent="0.25">
      <c r="A155" s="486" t="str">
        <f>'Hidden Inputs'!AL126</f>
        <v/>
      </c>
      <c r="B155" s="832" t="str">
        <f t="shared" si="11"/>
        <v xml:space="preserve"> </v>
      </c>
      <c r="C155" s="750">
        <f>SUMIF('Hidden Inputs'!$J$3:$J$4154,$B155,'Hidden Inputs'!$W$3:$W$4154)</f>
        <v>0</v>
      </c>
      <c r="D155" s="832" t="str">
        <f t="shared" si="12"/>
        <v/>
      </c>
      <c r="E155" s="831" t="str">
        <f t="shared" si="9"/>
        <v>Yes</v>
      </c>
      <c r="F155" s="832" t="str">
        <f t="shared" si="10"/>
        <v>No additional steps required.</v>
      </c>
      <c r="G155" s="830"/>
    </row>
    <row r="156" spans="1:7" ht="30.75" customHeight="1" x14ac:dyDescent="0.25">
      <c r="A156" s="486" t="str">
        <f>'Hidden Inputs'!AL127</f>
        <v/>
      </c>
      <c r="B156" s="832" t="str">
        <f t="shared" si="11"/>
        <v xml:space="preserve"> </v>
      </c>
      <c r="C156" s="750">
        <f>SUMIF('Hidden Inputs'!$J$3:$J$4154,$B156,'Hidden Inputs'!$W$3:$W$4154)</f>
        <v>0</v>
      </c>
      <c r="D156" s="832" t="str">
        <f t="shared" si="12"/>
        <v/>
      </c>
      <c r="E156" s="831" t="str">
        <f t="shared" si="9"/>
        <v>Yes</v>
      </c>
      <c r="F156" s="832" t="str">
        <f t="shared" si="10"/>
        <v>No additional steps required.</v>
      </c>
      <c r="G156" s="830"/>
    </row>
    <row r="157" spans="1:7" ht="30.75" customHeight="1" x14ac:dyDescent="0.25">
      <c r="A157" s="486" t="str">
        <f>'Hidden Inputs'!AL128</f>
        <v/>
      </c>
      <c r="B157" s="832" t="str">
        <f t="shared" si="11"/>
        <v xml:space="preserve"> </v>
      </c>
      <c r="C157" s="750">
        <f>SUMIF('Hidden Inputs'!$J$3:$J$4154,$B157,'Hidden Inputs'!$W$3:$W$4154)</f>
        <v>0</v>
      </c>
      <c r="D157" s="832" t="str">
        <f t="shared" si="12"/>
        <v/>
      </c>
      <c r="E157" s="831" t="str">
        <f t="shared" si="9"/>
        <v>Yes</v>
      </c>
      <c r="F157" s="832" t="str">
        <f t="shared" si="10"/>
        <v>No additional steps required.</v>
      </c>
      <c r="G157" s="830"/>
    </row>
    <row r="158" spans="1:7" ht="30.75" customHeight="1" x14ac:dyDescent="0.25">
      <c r="A158" s="486" t="str">
        <f>'Hidden Inputs'!AL129</f>
        <v/>
      </c>
      <c r="B158" s="832" t="str">
        <f t="shared" si="11"/>
        <v xml:space="preserve"> </v>
      </c>
      <c r="C158" s="750">
        <f>SUMIF('Hidden Inputs'!$J$3:$J$4154,$B158,'Hidden Inputs'!$W$3:$W$4154)</f>
        <v>0</v>
      </c>
      <c r="D158" s="832" t="str">
        <f t="shared" si="12"/>
        <v/>
      </c>
      <c r="E158" s="831" t="str">
        <f t="shared" si="9"/>
        <v>Yes</v>
      </c>
      <c r="F158" s="832" t="str">
        <f t="shared" si="10"/>
        <v>No additional steps required.</v>
      </c>
      <c r="G158" s="830"/>
    </row>
    <row r="159" spans="1:7" ht="30.75" customHeight="1" x14ac:dyDescent="0.25">
      <c r="A159" s="486" t="str">
        <f>'Hidden Inputs'!AL130</f>
        <v/>
      </c>
      <c r="B159" s="832" t="str">
        <f t="shared" ref="B159:B166" si="13">IFERROR(VLOOKUP(A159, SpeciesDataTable,2,FALSE)," ")</f>
        <v xml:space="preserve"> </v>
      </c>
      <c r="C159" s="750">
        <f>SUMIF('Hidden Inputs'!$J$3:$J$4154,$B159,'Hidden Inputs'!$W$3:$W$4154)</f>
        <v>0</v>
      </c>
      <c r="D159" s="832" t="str">
        <f t="shared" ref="D159:D166" si="14">IFERROR(VLOOKUP(B159, SpeciesESL, 2, FALSE),"")</f>
        <v/>
      </c>
      <c r="E159" s="831" t="str">
        <f t="shared" ref="E159:E166" si="15">IF(C159="","",(IF(C159&lt;D159,"Yes","No")))</f>
        <v>Yes</v>
      </c>
      <c r="F159" s="832" t="str">
        <f t="shared" si="10"/>
        <v>No additional steps required.</v>
      </c>
      <c r="G159" s="830"/>
    </row>
    <row r="160" spans="1:7" ht="30.75" customHeight="1" x14ac:dyDescent="0.25">
      <c r="A160" s="486" t="str">
        <f>'Hidden Inputs'!AL131</f>
        <v/>
      </c>
      <c r="B160" s="832" t="str">
        <f t="shared" si="13"/>
        <v xml:space="preserve"> </v>
      </c>
      <c r="C160" s="750">
        <f>SUMIF('Hidden Inputs'!$J$3:$J$4154,$B160,'Hidden Inputs'!$W$3:$W$4154)</f>
        <v>0</v>
      </c>
      <c r="D160" s="832" t="str">
        <f t="shared" si="14"/>
        <v/>
      </c>
      <c r="E160" s="831" t="str">
        <f t="shared" si="15"/>
        <v>Yes</v>
      </c>
      <c r="F160" s="832" t="str">
        <f t="shared" ref="F160:F166" si="16">IF(E160="No", "Please revise throughputs of this pollutant on each applicable source sheet.","No additional steps required.")</f>
        <v>No additional steps required.</v>
      </c>
      <c r="G160" s="830"/>
    </row>
    <row r="161" spans="1:7" ht="30.75" customHeight="1" x14ac:dyDescent="0.25">
      <c r="A161" s="486" t="str">
        <f>'Hidden Inputs'!AL132</f>
        <v/>
      </c>
      <c r="B161" s="832" t="str">
        <f t="shared" si="13"/>
        <v xml:space="preserve"> </v>
      </c>
      <c r="C161" s="750">
        <f>SUMIF('Hidden Inputs'!$J$3:$J$4154,$B161,'Hidden Inputs'!$W$3:$W$4154)</f>
        <v>0</v>
      </c>
      <c r="D161" s="832" t="str">
        <f t="shared" si="14"/>
        <v/>
      </c>
      <c r="E161" s="831" t="str">
        <f t="shared" si="15"/>
        <v>Yes</v>
      </c>
      <c r="F161" s="832" t="str">
        <f t="shared" si="16"/>
        <v>No additional steps required.</v>
      </c>
      <c r="G161" s="830"/>
    </row>
    <row r="162" spans="1:7" ht="30.75" customHeight="1" x14ac:dyDescent="0.25">
      <c r="A162" s="486" t="str">
        <f>'Hidden Inputs'!AL133</f>
        <v/>
      </c>
      <c r="B162" s="832" t="str">
        <f t="shared" si="13"/>
        <v xml:space="preserve"> </v>
      </c>
      <c r="C162" s="750">
        <f>SUMIF('Hidden Inputs'!$J$3:$J$4154,$B162,'Hidden Inputs'!$W$3:$W$4154)</f>
        <v>0</v>
      </c>
      <c r="D162" s="832" t="str">
        <f t="shared" si="14"/>
        <v/>
      </c>
      <c r="E162" s="831" t="str">
        <f t="shared" si="15"/>
        <v>Yes</v>
      </c>
      <c r="F162" s="832" t="str">
        <f t="shared" si="16"/>
        <v>No additional steps required.</v>
      </c>
      <c r="G162" s="830"/>
    </row>
    <row r="163" spans="1:7" ht="30.75" customHeight="1" x14ac:dyDescent="0.25">
      <c r="A163" s="486" t="str">
        <f>'Hidden Inputs'!AL134</f>
        <v/>
      </c>
      <c r="B163" s="832" t="str">
        <f t="shared" si="13"/>
        <v xml:space="preserve"> </v>
      </c>
      <c r="C163" s="750">
        <f>SUMIF('Hidden Inputs'!$J$3:$J$4154,$B163,'Hidden Inputs'!$W$3:$W$4154)</f>
        <v>0</v>
      </c>
      <c r="D163" s="832" t="str">
        <f t="shared" si="14"/>
        <v/>
      </c>
      <c r="E163" s="831" t="str">
        <f t="shared" si="15"/>
        <v>Yes</v>
      </c>
      <c r="F163" s="832" t="str">
        <f t="shared" si="16"/>
        <v>No additional steps required.</v>
      </c>
      <c r="G163" s="830"/>
    </row>
    <row r="164" spans="1:7" ht="30.75" customHeight="1" x14ac:dyDescent="0.25">
      <c r="A164" s="486" t="str">
        <f>'Hidden Inputs'!AL135</f>
        <v/>
      </c>
      <c r="B164" s="832" t="str">
        <f t="shared" si="13"/>
        <v xml:space="preserve"> </v>
      </c>
      <c r="C164" s="750">
        <f>SUMIF('Hidden Inputs'!$J$3:$J$4154,$B164,'Hidden Inputs'!$W$3:$W$4154)</f>
        <v>0</v>
      </c>
      <c r="D164" s="832" t="str">
        <f t="shared" si="14"/>
        <v/>
      </c>
      <c r="E164" s="831" t="str">
        <f t="shared" si="15"/>
        <v>Yes</v>
      </c>
      <c r="F164" s="832" t="str">
        <f t="shared" si="16"/>
        <v>No additional steps required.</v>
      </c>
      <c r="G164" s="830"/>
    </row>
    <row r="165" spans="1:7" ht="30.75" customHeight="1" x14ac:dyDescent="0.25">
      <c r="A165" s="486" t="str">
        <f>'Hidden Inputs'!AL136</f>
        <v/>
      </c>
      <c r="B165" s="832" t="str">
        <f t="shared" si="13"/>
        <v xml:space="preserve"> </v>
      </c>
      <c r="C165" s="750">
        <f>SUMIF('Hidden Inputs'!$J$3:$J$4154,$B165,'Hidden Inputs'!$W$3:$W$4154)</f>
        <v>0</v>
      </c>
      <c r="D165" s="832" t="str">
        <f t="shared" si="14"/>
        <v/>
      </c>
      <c r="E165" s="831" t="str">
        <f t="shared" si="15"/>
        <v>Yes</v>
      </c>
      <c r="F165" s="832" t="str">
        <f t="shared" si="16"/>
        <v>No additional steps required.</v>
      </c>
      <c r="G165" s="830"/>
    </row>
    <row r="166" spans="1:7" ht="30.75" customHeight="1" thickBot="1" x14ac:dyDescent="0.3">
      <c r="A166" s="547" t="str">
        <f>'Hidden Inputs'!AL137</f>
        <v/>
      </c>
      <c r="B166" s="834" t="str">
        <f t="shared" si="13"/>
        <v xml:space="preserve"> </v>
      </c>
      <c r="C166" s="751">
        <f>SUMIF('Hidden Inputs'!$J$3:$J$4154,$B166,'Hidden Inputs'!$W$3:$W$4154)</f>
        <v>0</v>
      </c>
      <c r="D166" s="834" t="str">
        <f t="shared" si="14"/>
        <v/>
      </c>
      <c r="E166" s="835" t="str">
        <f t="shared" si="15"/>
        <v>Yes</v>
      </c>
      <c r="F166" s="834" t="str">
        <f t="shared" si="16"/>
        <v>No additional steps required.</v>
      </c>
      <c r="G166" s="553"/>
    </row>
    <row r="167" spans="1:7" x14ac:dyDescent="0.25">
      <c r="A167" s="1559" t="s">
        <v>8455</v>
      </c>
      <c r="B167" s="1559"/>
      <c r="C167" s="1559"/>
      <c r="D167" s="1559"/>
      <c r="E167" s="1559"/>
      <c r="F167" s="1559"/>
      <c r="G167" s="1559"/>
    </row>
  </sheetData>
  <sheetProtection algorithmName="SHA-512" hashValue="9/ZYdVHYQfq5ewJSqF3EvpmMePIPrgkn8IAksW5mZfcnoXK1cKqBQquExDQ0oRw9yXkpue6RL3hJpPmO2V2IAA==" saltValue="vAbFLLDITD7ACJdUY7J3mw==" spinCount="100000" sheet="1" objects="1" scenarios="1" formatColumns="0" formatRows="0" autoFilter="0"/>
  <mergeCells count="39">
    <mergeCell ref="F10:G10"/>
    <mergeCell ref="F11:G11"/>
    <mergeCell ref="F12:G12"/>
    <mergeCell ref="F7:G7"/>
    <mergeCell ref="F8:G8"/>
    <mergeCell ref="F9:G9"/>
    <mergeCell ref="F13:G13"/>
    <mergeCell ref="F14:G14"/>
    <mergeCell ref="F15:G15"/>
    <mergeCell ref="A14:E14"/>
    <mergeCell ref="A15:E15"/>
    <mergeCell ref="F16:G16"/>
    <mergeCell ref="F17:G17"/>
    <mergeCell ref="F18:G18"/>
    <mergeCell ref="A16:E16"/>
    <mergeCell ref="A17:E17"/>
    <mergeCell ref="A18:E18"/>
    <mergeCell ref="A22:G22"/>
    <mergeCell ref="A19:G19"/>
    <mergeCell ref="A20:G20"/>
    <mergeCell ref="A21:E21"/>
    <mergeCell ref="A23:G23"/>
    <mergeCell ref="F21:G21"/>
    <mergeCell ref="A167:G167"/>
    <mergeCell ref="A6:G6"/>
    <mergeCell ref="A5:G5"/>
    <mergeCell ref="A4:G4"/>
    <mergeCell ref="A1:G1"/>
    <mergeCell ref="A2:G2"/>
    <mergeCell ref="A3:G3"/>
    <mergeCell ref="A7:E7"/>
    <mergeCell ref="A8:E8"/>
    <mergeCell ref="A9:E9"/>
    <mergeCell ref="A10:E10"/>
    <mergeCell ref="A11:E11"/>
    <mergeCell ref="A12:E12"/>
    <mergeCell ref="A13:E13"/>
    <mergeCell ref="A29:G29"/>
    <mergeCell ref="A28:G28"/>
  </mergeCells>
  <conditionalFormatting sqref="F21 E25:E27 E30:E166">
    <cfRule type="containsText" dxfId="123" priority="4" operator="containsText" text="No">
      <formula>NOT(ISERROR(SEARCH("No",E21)))</formula>
    </cfRule>
  </conditionalFormatting>
  <dataValidations count="1">
    <dataValidation allowBlank="1" showErrorMessage="1" prompt="enter date and project number authorizing species" sqref="G25:G27 G31:G166" xr:uid="{10BD5CFE-397D-459A-BD03-B80FFE297BB9}"/>
  </dataValidations>
  <printOptions horizontalCentered="1"/>
  <pageMargins left="0.7" right="0.7" top="0.75" bottom="0.75" header="0.3" footer="0.3"/>
  <pageSetup scale="60" fitToHeight="0" orientation="landscape" r:id="rId1"/>
  <headerFooter>
    <oddHeader>&amp;C&amp;"Arial,Regular"Tanks and Loading Increases RAP Application</oddHeader>
    <oddFooter>&amp;LVersion 3.0&amp;CSheet: &amp;A&amp;RPage &amp;P</oddFooter>
  </headerFooter>
  <rowBreaks count="1" manualBreakCount="1">
    <brk id="28" max="6" man="1"/>
  </rowBreaks>
  <extLst>
    <ext xmlns:x14="http://schemas.microsoft.com/office/spreadsheetml/2009/9/main" uri="{78C0D931-6437-407d-A8EE-F0AAD7539E65}">
      <x14:conditionalFormattings>
        <x14:conditionalFormatting xmlns:xm="http://schemas.microsoft.com/office/excel/2006/main">
          <x14:cfRule type="expression" priority="1" stopIfTrue="1" id="{B006A97D-0337-46C9-93C4-F7A18ABF6DDF}">
            <xm:f>'Hidden Inputs'!$BR$5</xm:f>
            <x14:dxf>
              <font>
                <color theme="0" tint="-0.499984740745262"/>
              </font>
              <numFmt numFmtId="171" formatCode=";;;"/>
              <fill>
                <patternFill>
                  <bgColor theme="0" tint="-0.499984740745262"/>
                </patternFill>
              </fill>
            </x14:dxf>
          </x14:cfRule>
          <xm:sqref>A1:XFD1048576</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tabColor theme="8" tint="0.39997558519241921"/>
    <pageSetUpPr fitToPage="1"/>
  </sheetPr>
  <dimension ref="A1:Z31"/>
  <sheetViews>
    <sheetView workbookViewId="0">
      <selection sqref="A1:U1"/>
    </sheetView>
  </sheetViews>
  <sheetFormatPr defaultColWidth="0" defaultRowHeight="14.25" zeroHeight="1" x14ac:dyDescent="0.2"/>
  <cols>
    <col min="1" max="1" width="25.28515625" style="462" customWidth="1"/>
    <col min="2" max="2" width="27.28515625" style="462" customWidth="1"/>
    <col min="3" max="3" width="19.42578125" style="462" customWidth="1"/>
    <col min="4" max="4" width="9.140625" style="462" customWidth="1"/>
    <col min="5" max="5" width="11.28515625" style="462" customWidth="1"/>
    <col min="6" max="6" width="9.140625" style="462" customWidth="1"/>
    <col min="7" max="7" width="10.7109375" style="462" customWidth="1"/>
    <col min="8" max="8" width="9.140625" style="462" customWidth="1"/>
    <col min="9" max="9" width="10.5703125" style="462" customWidth="1"/>
    <col min="10" max="10" width="9.85546875" style="462" customWidth="1"/>
    <col min="11" max="13" width="10.5703125" style="462" customWidth="1"/>
    <col min="14" max="14" width="9.140625" style="462" customWidth="1"/>
    <col min="15" max="21" width="10.85546875" style="462" customWidth="1"/>
    <col min="22" max="26" width="0" style="462" hidden="1" customWidth="1"/>
    <col min="27" max="16384" width="9.140625" style="462" hidden="1"/>
  </cols>
  <sheetData>
    <row r="1" spans="1:21" ht="4.5" customHeight="1" thickBot="1" x14ac:dyDescent="0.25">
      <c r="A1" s="1649" t="s">
        <v>8392</v>
      </c>
      <c r="B1" s="1649"/>
      <c r="C1" s="1649"/>
      <c r="D1" s="1649"/>
      <c r="E1" s="1649"/>
      <c r="F1" s="1649"/>
      <c r="G1" s="1649"/>
      <c r="H1" s="1649"/>
      <c r="I1" s="1649"/>
      <c r="J1" s="1649"/>
      <c r="K1" s="1649"/>
      <c r="L1" s="1649"/>
      <c r="M1" s="1649"/>
      <c r="N1" s="1649"/>
      <c r="O1" s="1649"/>
      <c r="P1" s="1649"/>
      <c r="Q1" s="1649"/>
      <c r="R1" s="1649"/>
      <c r="S1" s="1649"/>
      <c r="T1" s="1649"/>
      <c r="U1" s="1649"/>
    </row>
    <row r="2" spans="1:21" ht="18.75" thickBot="1" x14ac:dyDescent="0.3">
      <c r="A2" s="1000" t="s">
        <v>10237</v>
      </c>
      <c r="B2" s="1650"/>
      <c r="C2" s="1650"/>
      <c r="D2" s="1650"/>
      <c r="E2" s="1650"/>
      <c r="F2" s="1650"/>
      <c r="G2" s="1650"/>
      <c r="H2" s="1650"/>
      <c r="I2" s="1650"/>
      <c r="J2" s="1650"/>
      <c r="K2" s="1650"/>
      <c r="L2" s="1650"/>
      <c r="M2" s="1650"/>
      <c r="N2" s="1650"/>
      <c r="O2" s="1650"/>
      <c r="P2" s="1650"/>
      <c r="Q2" s="1650"/>
      <c r="R2" s="1650"/>
      <c r="S2" s="1650"/>
      <c r="T2" s="1650"/>
      <c r="U2" s="1650"/>
    </row>
    <row r="3" spans="1:21" ht="132.75" customHeight="1" thickBot="1" x14ac:dyDescent="0.25">
      <c r="A3" s="1651" t="s">
        <v>10244</v>
      </c>
      <c r="B3" s="1652"/>
      <c r="C3" s="1652"/>
      <c r="D3" s="1652"/>
      <c r="E3" s="1652"/>
      <c r="F3" s="1652"/>
      <c r="G3" s="1652"/>
      <c r="H3" s="1652"/>
      <c r="I3" s="1652"/>
      <c r="J3" s="1652"/>
      <c r="K3" s="1652"/>
      <c r="L3" s="1652"/>
      <c r="M3" s="1652"/>
      <c r="N3" s="1652"/>
      <c r="O3" s="1652"/>
      <c r="P3" s="1652"/>
      <c r="Q3" s="1652"/>
      <c r="R3" s="1652"/>
      <c r="S3" s="1652"/>
      <c r="T3" s="1652"/>
      <c r="U3" s="1652"/>
    </row>
    <row r="4" spans="1:21" s="715" customFormat="1" ht="15.75" customHeight="1" thickBot="1" x14ac:dyDescent="0.3">
      <c r="A4" s="1661" t="s">
        <v>8644</v>
      </c>
      <c r="B4" s="1661"/>
      <c r="C4" s="1661"/>
      <c r="D4" s="1661"/>
      <c r="E4" s="1661"/>
      <c r="F4" s="1661"/>
      <c r="G4" s="1661"/>
      <c r="H4" s="1661"/>
      <c r="I4" s="1661"/>
      <c r="J4" s="1661"/>
      <c r="K4" s="1661"/>
      <c r="L4" s="1661"/>
      <c r="M4" s="1661"/>
      <c r="N4" s="1661"/>
      <c r="O4" s="1661"/>
      <c r="P4" s="1661"/>
      <c r="Q4" s="1661"/>
      <c r="R4" s="1661"/>
      <c r="S4" s="1661"/>
      <c r="T4" s="1661"/>
      <c r="U4" s="1661"/>
    </row>
    <row r="5" spans="1:21" ht="15.75" thickBot="1" x14ac:dyDescent="0.3">
      <c r="A5" s="1653" t="s">
        <v>8988</v>
      </c>
      <c r="B5" s="1654"/>
      <c r="C5" s="1654"/>
      <c r="D5" s="1654"/>
      <c r="E5" s="1654"/>
      <c r="F5" s="1654"/>
      <c r="G5" s="1654"/>
      <c r="H5" s="1654"/>
      <c r="I5" s="1654"/>
      <c r="J5" s="1654"/>
      <c r="K5" s="1654"/>
      <c r="L5" s="1654"/>
      <c r="M5" s="1654"/>
      <c r="N5" s="1654"/>
      <c r="O5" s="1654"/>
      <c r="P5" s="1654"/>
      <c r="Q5" s="1654"/>
      <c r="R5" s="1654"/>
      <c r="S5" s="1654"/>
      <c r="T5" s="1654"/>
      <c r="U5" s="1654"/>
    </row>
    <row r="6" spans="1:21" ht="45" customHeight="1" x14ac:dyDescent="0.2">
      <c r="A6" s="765" t="s">
        <v>10064</v>
      </c>
      <c r="B6" s="769" t="s">
        <v>0</v>
      </c>
      <c r="C6" s="769" t="s">
        <v>8543</v>
      </c>
      <c r="D6" s="769" t="s">
        <v>8595</v>
      </c>
      <c r="E6" s="769" t="s">
        <v>10077</v>
      </c>
      <c r="F6" s="769" t="s">
        <v>8665</v>
      </c>
      <c r="G6" s="769" t="s">
        <v>10078</v>
      </c>
      <c r="H6" s="769" t="s">
        <v>8666</v>
      </c>
      <c r="I6" s="769" t="s">
        <v>10079</v>
      </c>
      <c r="J6" s="769" t="s">
        <v>8667</v>
      </c>
      <c r="K6" s="769" t="s">
        <v>10080</v>
      </c>
      <c r="L6" s="769" t="s">
        <v>8668</v>
      </c>
      <c r="M6" s="769" t="s">
        <v>10081</v>
      </c>
      <c r="N6" s="769" t="s">
        <v>8669</v>
      </c>
      <c r="O6" s="769" t="s">
        <v>10082</v>
      </c>
      <c r="P6" s="769" t="s">
        <v>8670</v>
      </c>
      <c r="Q6" s="769" t="s">
        <v>10083</v>
      </c>
      <c r="R6" s="769" t="s">
        <v>10239</v>
      </c>
      <c r="S6" s="769" t="s">
        <v>10240</v>
      </c>
      <c r="T6" s="769" t="s">
        <v>10241</v>
      </c>
      <c r="U6" s="770" t="s">
        <v>10242</v>
      </c>
    </row>
    <row r="7" spans="1:21" x14ac:dyDescent="0.2">
      <c r="A7" s="764" t="str">
        <f>IF(AND(ISBLANK(Tank1!$C$7),ISBLANK(Tank1!$C$8),ISBLANK(Tank1!$C$9)),"",Tank1!$C$7)</f>
        <v/>
      </c>
      <c r="B7" s="50" t="str">
        <f>IF(A7="","",Tank1!$C$8)</f>
        <v/>
      </c>
      <c r="C7" s="50" t="str">
        <f>IF(A7="","",Tank1!$C$9)</f>
        <v/>
      </c>
      <c r="D7" s="829"/>
      <c r="E7" s="726">
        <v>0</v>
      </c>
      <c r="F7" s="829"/>
      <c r="G7" s="726">
        <v>0</v>
      </c>
      <c r="H7" s="829"/>
      <c r="I7" s="726">
        <v>0</v>
      </c>
      <c r="J7" s="829"/>
      <c r="K7" s="726">
        <v>0</v>
      </c>
      <c r="L7" s="829"/>
      <c r="M7" s="726">
        <v>0</v>
      </c>
      <c r="N7" s="507"/>
      <c r="O7" s="49">
        <f>IF(Tank1!$C$23="no control",Tank1!C32,0)</f>
        <v>0</v>
      </c>
      <c r="P7" s="829"/>
      <c r="Q7" s="726">
        <v>0</v>
      </c>
      <c r="R7" s="767"/>
      <c r="S7" s="49">
        <f>IF(Tank1!$C$23="No control",(SUMIF(Tank1!$B$32:$B$49,"hydrogen sulfide",Tank1!$C$32:$C$49)),0)</f>
        <v>0</v>
      </c>
      <c r="T7" s="767"/>
      <c r="U7" s="775">
        <f>IF(Tank1!$C$23="No control",(SUMIF(Tank1!$B$32:$B$49,"sulfuric acid",Tank1!$C$32:$C$49)),0)</f>
        <v>0</v>
      </c>
    </row>
    <row r="8" spans="1:21" x14ac:dyDescent="0.2">
      <c r="A8" s="764" t="str">
        <f>IF(AND(ISBLANK(Tank2!$C$7),ISBLANK(Tank2!$C$8),ISBLANK(Tank2!$C$9)),"",Tank2!$C$7)</f>
        <v/>
      </c>
      <c r="B8" s="50" t="str">
        <f>IF(A8="","",Tank2!$C$8)</f>
        <v/>
      </c>
      <c r="C8" s="50" t="str">
        <f>IF(A8="","",Tank2!$C$9)</f>
        <v/>
      </c>
      <c r="D8" s="829"/>
      <c r="E8" s="726">
        <v>0</v>
      </c>
      <c r="F8" s="829"/>
      <c r="G8" s="726">
        <v>0</v>
      </c>
      <c r="H8" s="829"/>
      <c r="I8" s="726">
        <v>0</v>
      </c>
      <c r="J8" s="829"/>
      <c r="K8" s="726">
        <v>0</v>
      </c>
      <c r="L8" s="829"/>
      <c r="M8" s="726">
        <v>0</v>
      </c>
      <c r="N8" s="507"/>
      <c r="O8" s="49">
        <f>IF(Tank2!$C$23="no control",Tank2!C32,0)</f>
        <v>0</v>
      </c>
      <c r="P8" s="829"/>
      <c r="Q8" s="726">
        <v>0</v>
      </c>
      <c r="R8" s="767"/>
      <c r="S8" s="49">
        <f>IF(Tank2!$C$23="No control",(SUMIF(Tank2!$B$32:$B$49,"hydrogen sulfide",Tank2!$C$32:$C$49)),0)</f>
        <v>0</v>
      </c>
      <c r="T8" s="767"/>
      <c r="U8" s="775">
        <f>IF(Tank2!$C$23="No control",(SUMIF(Tank2!$B$32:$B$49,"sulfuric acid",Tank2!$C$32:$C$49)),0)</f>
        <v>0</v>
      </c>
    </row>
    <row r="9" spans="1:21" x14ac:dyDescent="0.2">
      <c r="A9" s="764" t="str">
        <f>IF(AND(ISBLANK(Tank3!$C$7),ISBLANK(Tank3!$C$8),ISBLANK(Tank3!$C$9)),"",Tank3!$C$7)</f>
        <v/>
      </c>
      <c r="B9" s="50" t="str">
        <f>IF(A9="","",Tank3!$C$8)</f>
        <v/>
      </c>
      <c r="C9" s="50" t="str">
        <f>IF(A9="","",Tank3!$C$9)</f>
        <v/>
      </c>
      <c r="D9" s="829"/>
      <c r="E9" s="726">
        <v>0</v>
      </c>
      <c r="F9" s="829"/>
      <c r="G9" s="726">
        <v>0</v>
      </c>
      <c r="H9" s="829"/>
      <c r="I9" s="726">
        <v>0</v>
      </c>
      <c r="J9" s="829"/>
      <c r="K9" s="726">
        <v>0</v>
      </c>
      <c r="L9" s="829"/>
      <c r="M9" s="726">
        <v>0</v>
      </c>
      <c r="N9" s="507"/>
      <c r="O9" s="49">
        <f>IF(Tank3!$C$23="no control",Tank3!C32,0)</f>
        <v>0</v>
      </c>
      <c r="P9" s="829"/>
      <c r="Q9" s="726">
        <v>0</v>
      </c>
      <c r="R9" s="767"/>
      <c r="S9" s="49">
        <f>IF(Tank3!$C$23="No control",(SUMIF(Tank3!$B$32:$B$49,"hydrogen sulfide",Tank3!$C$32:$C$49)),0)</f>
        <v>0</v>
      </c>
      <c r="T9" s="767"/>
      <c r="U9" s="775">
        <f>IF(Tank3!$C$23="No control",(SUMIF(Tank3!$B$32:$B$49,"sulfuric acid",Tank3!$C$32:$C$49)),0)</f>
        <v>0</v>
      </c>
    </row>
    <row r="10" spans="1:21" x14ac:dyDescent="0.2">
      <c r="A10" s="764" t="str">
        <f>IF(AND(ISBLANK(Tank4!$C$7),ISBLANK(Tank4!$C$8),ISBLANK(Tank4!$C$9)),"",Tank4!$C$7)</f>
        <v/>
      </c>
      <c r="B10" s="50" t="str">
        <f>IF(A10="","",Tank4!$C$8)</f>
        <v/>
      </c>
      <c r="C10" s="50" t="str">
        <f>IF(A10="","",Tank4!$C$9)</f>
        <v/>
      </c>
      <c r="D10" s="829"/>
      <c r="E10" s="726">
        <v>0</v>
      </c>
      <c r="F10" s="829"/>
      <c r="G10" s="726">
        <v>0</v>
      </c>
      <c r="H10" s="829"/>
      <c r="I10" s="726">
        <v>0</v>
      </c>
      <c r="J10" s="829"/>
      <c r="K10" s="726">
        <v>0</v>
      </c>
      <c r="L10" s="829"/>
      <c r="M10" s="726">
        <v>0</v>
      </c>
      <c r="N10" s="507"/>
      <c r="O10" s="49">
        <f>IF(Tank4!$C$23="no control",Tank4!C32,0)</f>
        <v>0</v>
      </c>
      <c r="P10" s="829"/>
      <c r="Q10" s="726">
        <v>0</v>
      </c>
      <c r="R10" s="767"/>
      <c r="S10" s="49">
        <f>IF(Tank4!$C$23="No control",(SUMIF(Tank4!$B$32:$B$49,"hydrogen sulfide",Tank4!$C$32:$C$49)),0)</f>
        <v>0</v>
      </c>
      <c r="T10" s="767"/>
      <c r="U10" s="775">
        <f>IF(Tank4!$C$23="No control",(SUMIF(Tank4!$B$32:$B$49,"sulfuric acid",Tank4!$C$32:$C$49)),0)</f>
        <v>0</v>
      </c>
    </row>
    <row r="11" spans="1:21" x14ac:dyDescent="0.2">
      <c r="A11" s="764" t="str">
        <f>IF(AND(ISBLANK(Tank5!$C$7),ISBLANK(Tank5!$C$8),ISBLANK(Tank5!$C$9)),"",Tank5!$C$7)</f>
        <v/>
      </c>
      <c r="B11" s="50" t="str">
        <f>IF(A11="","",Tank5!$C$8)</f>
        <v/>
      </c>
      <c r="C11" s="50" t="str">
        <f>IF(A11="","",Tank5!$C$9)</f>
        <v/>
      </c>
      <c r="D11" s="829"/>
      <c r="E11" s="726">
        <v>0</v>
      </c>
      <c r="F11" s="829"/>
      <c r="G11" s="726">
        <v>0</v>
      </c>
      <c r="H11" s="829"/>
      <c r="I11" s="726">
        <v>0</v>
      </c>
      <c r="J11" s="829"/>
      <c r="K11" s="726">
        <v>0</v>
      </c>
      <c r="L11" s="829"/>
      <c r="M11" s="726">
        <v>0</v>
      </c>
      <c r="N11" s="507"/>
      <c r="O11" s="49">
        <f>IF(Tank5!$C$23="no control",Tank5!C32,0)</f>
        <v>0</v>
      </c>
      <c r="P11" s="829"/>
      <c r="Q11" s="726">
        <v>0</v>
      </c>
      <c r="R11" s="767"/>
      <c r="S11" s="49">
        <f>IF(Tank5!$C$23="No control",(SUMIF(Tank5!$B$32:$B$49,"hydrogen sulfide",Tank5!$C$32:$C$49)),0)</f>
        <v>0</v>
      </c>
      <c r="T11" s="767"/>
      <c r="U11" s="775">
        <f>IF(Tank5!$C$23="No control",(SUMIF(Tank5!$B$32:$B$49,"sulfuric acid",Tank5!$C$32:$C$49)),0)</f>
        <v>0</v>
      </c>
    </row>
    <row r="12" spans="1:21" x14ac:dyDescent="0.2">
      <c r="A12" s="764" t="str">
        <f>IF(AND(ISBLANK('Loading-drum,tote'!$C$7),ISBLANK('Loading-drum,tote'!$C$8),ISBLANK('Loading-drum,tote'!$C$9)),"",'Loading-drum,tote'!$C$7)</f>
        <v/>
      </c>
      <c r="B12" s="50" t="str">
        <f>IF(A12="","",'Loading-drum,tote'!$C$8)</f>
        <v/>
      </c>
      <c r="C12" s="50" t="str">
        <f>IF(A12="","",'Loading-drum,tote'!$C$9)</f>
        <v/>
      </c>
      <c r="D12" s="829"/>
      <c r="E12" s="726">
        <v>0</v>
      </c>
      <c r="F12" s="829"/>
      <c r="G12" s="726">
        <v>0</v>
      </c>
      <c r="H12" s="829"/>
      <c r="I12" s="726">
        <v>0</v>
      </c>
      <c r="J12" s="829"/>
      <c r="K12" s="726">
        <v>0</v>
      </c>
      <c r="L12" s="829"/>
      <c r="M12" s="726">
        <v>0</v>
      </c>
      <c r="N12" s="507"/>
      <c r="O12" s="726" t="str">
        <f>IF('Loading-drum,tote'!$C$21="no control",'Loading-drum,tote'!D31,'Loading-drum,tote'!E31)</f>
        <v/>
      </c>
      <c r="P12" s="829"/>
      <c r="Q12" s="726">
        <v>0</v>
      </c>
      <c r="R12" s="768"/>
      <c r="S12" s="726">
        <f>IFERROR(IF(('Loading-drum,tote'!$C$21)="No control",SUMIF(('Loading-drum,tote'!$B$31:$B$48),"hydrogen sulfide",('Loading-drum,tote'!$D$31:$D$48)),IF(('Loading-drum,tote'!$C$21)&lt;&gt;"No control",SUMIF(('Loading-drum,tote'!$B$31:$B$48),"hydrogen sulfide",('Loading-drum,tote'!$E$31:$E$48)))),0)</f>
        <v>0</v>
      </c>
      <c r="T12" s="768"/>
      <c r="U12" s="727">
        <f>IFERROR(IF(('Loading-drum,tote'!$C$21)="No control",SUMIF(('Loading-drum,tote'!$B$31:$B$48),"hydrogen sulfide",('Loading-drum,tote'!$D$31:$D$48)),IF(('Loading-drum,tote'!$C$21)&lt;&gt;"No control",SUMIF(('Loading-drum,tote'!$B$31:$B$48),"sulfuric acid",('Loading-drum,tote'!$E$31:$E$48)))),0)</f>
        <v>0</v>
      </c>
    </row>
    <row r="13" spans="1:21" x14ac:dyDescent="0.2">
      <c r="A13" s="764" t="str">
        <f>IF(AND(ISBLANK('Loading-truck'!$C$7),ISBLANK('Loading-truck'!$C$8),ISBLANK('Loading-truck'!$C$9)),"",'Loading-truck'!$C$7)</f>
        <v/>
      </c>
      <c r="B13" s="50" t="str">
        <f>IF(A13="","",'Loading-truck'!$C$8)</f>
        <v/>
      </c>
      <c r="C13" s="50" t="str">
        <f>IF(A13="","",'Loading-truck'!$C$9)</f>
        <v/>
      </c>
      <c r="D13" s="829"/>
      <c r="E13" s="726">
        <v>0</v>
      </c>
      <c r="F13" s="829"/>
      <c r="G13" s="726">
        <v>0</v>
      </c>
      <c r="H13" s="829"/>
      <c r="I13" s="726">
        <v>0</v>
      </c>
      <c r="J13" s="829"/>
      <c r="K13" s="726">
        <v>0</v>
      </c>
      <c r="L13" s="829"/>
      <c r="M13" s="726">
        <v>0</v>
      </c>
      <c r="N13" s="507"/>
      <c r="O13" s="726" t="str">
        <f>IF('Loading-truck'!$C$21="no control",'Loading-truck'!D31,'Loading-truck'!E31)</f>
        <v/>
      </c>
      <c r="P13" s="829"/>
      <c r="Q13" s="726">
        <v>0</v>
      </c>
      <c r="R13" s="768"/>
      <c r="S13" s="726">
        <f>IFERROR(IF(('Loading-truck'!$C$21)="No control",SUMIF(('Loading-truck'!$B$31:$B$48),"hydrogen sulfide",('Loading-truck'!$D$31:$D$48)),IF(('Loading-truck'!$C$21)&lt;&gt;"No control",SUMIF(('Loading-truck'!$B$31:$B$48),"hydrogen sulfide",('Loading-truck'!$E$31:$E$48)),0)),0)</f>
        <v>0</v>
      </c>
      <c r="T13" s="768"/>
      <c r="U13" s="727">
        <f>IFERROR(IF(('Loading-truck'!$C$21)="No control",SUMIF(('Loading-truck'!$B$31:$B$48),"sulfuric acid",('Loading-truck'!$D$31:$D$48)),IF(('Loading-truck'!$C$21)&lt;&gt;"No control",SUMIF(('Loading-truck'!$B$31:$B$48),"hydrogen sulfide",('Loading-truck'!$E$31:$E$48)),0)),0)</f>
        <v>0</v>
      </c>
    </row>
    <row r="14" spans="1:21" x14ac:dyDescent="0.2">
      <c r="A14" s="764" t="str">
        <f>IF(AND(ISBLANK('Loading-rail'!$C$7),ISBLANK('Loading-rail'!$C$8),ISBLANK('Loading-rail'!$C$9)),"",'Loading-rail'!$C$7)</f>
        <v/>
      </c>
      <c r="B14" s="50" t="str">
        <f>IF(A14="","",'Loading-rail'!$C$8)</f>
        <v/>
      </c>
      <c r="C14" s="50" t="str">
        <f>IF(A14="","",'Loading-rail'!$C$9)</f>
        <v/>
      </c>
      <c r="D14" s="829"/>
      <c r="E14" s="793"/>
      <c r="F14" s="829"/>
      <c r="G14" s="793"/>
      <c r="H14" s="829"/>
      <c r="I14" s="793"/>
      <c r="J14" s="829"/>
      <c r="K14" s="793"/>
      <c r="L14" s="829"/>
      <c r="M14" s="793"/>
      <c r="N14" s="507"/>
      <c r="O14" s="726" t="str">
        <f>IF('Loading-rail'!$C$21="no contol",'Loading-rail'!D31,'Loading-rail'!E31)</f>
        <v/>
      </c>
      <c r="P14" s="829"/>
      <c r="Q14" s="726">
        <v>0</v>
      </c>
      <c r="R14" s="768"/>
      <c r="S14" s="726">
        <f>IFERROR(IF(('Loading-rail'!$C$21)="No control",SUMIF(('Loading-rail'!$B$31:$B$48),"hydrogen sulfide",('Loading-rail'!$D$31:$D$48)),IF(('Loading-rail'!$C$21)&lt;&gt;"No control",SUMIF(('Loading-rail'!$B$31:$B$48),"hydrogen sulfide",('Loading-rail'!$E$31:$E$48)),0)),0)</f>
        <v>0</v>
      </c>
      <c r="T14" s="768"/>
      <c r="U14" s="727">
        <f>IFERROR(IF(('Loading-rail'!$C$21)="No control",SUMIF(('Loading-rail'!$B$31:$B$48),"sulfuric acid",('Loading-rail'!$D$31:$D$48)),IF(('Loading-rail'!$C$21)&lt;&gt;"No control",SUMIF(('Loading-rail'!$B$31:$B$48),"hydrogen sulfide",('Loading-rail'!$E$31:$E$48)),0)),0)</f>
        <v>0</v>
      </c>
    </row>
    <row r="15" spans="1:21" x14ac:dyDescent="0.2">
      <c r="A15" s="580" t="s">
        <v>10084</v>
      </c>
      <c r="B15" s="50" t="str">
        <f>IF(AND(ISBLANK(Flare!$C$7),ISBLANK(Flare!$C$8)),"",Flare!$C$7)</f>
        <v/>
      </c>
      <c r="C15" s="50" t="str">
        <f>IF(B15="","",Flare!$C$8)</f>
        <v/>
      </c>
      <c r="D15" s="507"/>
      <c r="E15" s="726">
        <f>IF(A15="","",Flare!E46)</f>
        <v>0</v>
      </c>
      <c r="F15" s="507"/>
      <c r="G15" s="726">
        <f>IF(A15="","",Flare!E47)</f>
        <v>0</v>
      </c>
      <c r="H15" s="786"/>
      <c r="I15" s="726">
        <v>0</v>
      </c>
      <c r="J15" s="786"/>
      <c r="K15" s="726">
        <v>0</v>
      </c>
      <c r="L15" s="786"/>
      <c r="M15" s="726">
        <v>0</v>
      </c>
      <c r="N15" s="507"/>
      <c r="O15" s="726">
        <f>IF(A15="","",Flare!E49)</f>
        <v>0</v>
      </c>
      <c r="P15" s="507"/>
      <c r="Q15" s="726" t="str">
        <f>IF(A15="","",Flare!E48)</f>
        <v>&lt;0.01</v>
      </c>
      <c r="R15" s="768"/>
      <c r="S15" s="726">
        <f>IF(Flare!$C$7="",0,(SUMIF(Flare!$B$46:$B$185,"hydrogen sulfide",Flare!$E$46:$E$185)))</f>
        <v>0</v>
      </c>
      <c r="T15" s="768"/>
      <c r="U15" s="727">
        <f>IF(Flare!$C$7="",0,(SUMIF(Flare!$B$46:$B$185,"sulfuric acid",Flare!$E$46:$E$185)))</f>
        <v>0</v>
      </c>
    </row>
    <row r="16" spans="1:21" x14ac:dyDescent="0.2">
      <c r="A16" s="580" t="s">
        <v>10084</v>
      </c>
      <c r="B16" s="590" t="str">
        <f>IF(AND(ISBLANK(VCU!$C$9),ISBLANK(VCU!$C$10)),"",VCU!$C$9)</f>
        <v/>
      </c>
      <c r="C16" s="50" t="str">
        <f>IF(B16="","",VCU!$C$10)</f>
        <v/>
      </c>
      <c r="D16" s="507"/>
      <c r="E16" s="726">
        <f>IF(A16="","",IF(VCU!C8="Affected",0,IF(ISNUMBER(VCU!E51),VCU!E51,0)))</f>
        <v>0</v>
      </c>
      <c r="F16" s="507"/>
      <c r="G16" s="726">
        <f>IF(A16="","",IF(VCU!C8="Affected",0,IF(ISNUMBER(VCU!E52),VCU!E52,0)))</f>
        <v>0</v>
      </c>
      <c r="H16" s="507"/>
      <c r="I16" s="726">
        <f>IF(A16="","",IF(VCU!C8="Affected",0,IF(ISNUMBER(VCU!E53),VCU!E53,0)))</f>
        <v>0</v>
      </c>
      <c r="J16" s="507"/>
      <c r="K16" s="726">
        <f>IF(A16="","",IF(VCU!C8="Affected",0,IF(ISNUMBER(VCU!E54),VCU!E54,0)))</f>
        <v>0</v>
      </c>
      <c r="L16" s="507"/>
      <c r="M16" s="726">
        <f>IF(A16="","",IF(VCU!C8="Affected",0,IF(ISNUMBER(VCU!E55),VCU!E55,0)))</f>
        <v>0</v>
      </c>
      <c r="N16" s="507"/>
      <c r="O16" s="726">
        <f>IF(A16="","",IF(VCU!C8="Affected",0,IF(ISNUMBER(VCU!E57),VCU!E57,0)))</f>
        <v>0</v>
      </c>
      <c r="P16" s="507"/>
      <c r="Q16" s="726">
        <f>IF(A16="","",IF(VCU!C8="Affected",0,IF(ISNUMBER(VCU!E56),VCU!E56,0)))</f>
        <v>0</v>
      </c>
      <c r="R16" s="768"/>
      <c r="S16" s="726">
        <f>IF(VCU!$C$9="",0,(SUMIF(VCU!$B$51:$B$193,"hydrogen sulfide",VCU!$E$51:$E$193)))</f>
        <v>0</v>
      </c>
      <c r="T16" s="768"/>
      <c r="U16" s="727">
        <f>IF(VCU!$C$9="",0,(SUMIF(VCU!$B$51:$B$193,"sulfuric acid",VCU!$E$51:$E$193)))</f>
        <v>0</v>
      </c>
    </row>
    <row r="17" spans="1:26" x14ac:dyDescent="0.2">
      <c r="A17" s="580" t="s">
        <v>10084</v>
      </c>
      <c r="B17" s="50" t="str">
        <f>IF(AND(ISBLANK(CAS!$C$7),ISBLANK(CAS!$C$8)),"",CAS!$C$7)</f>
        <v/>
      </c>
      <c r="C17" s="50" t="str">
        <f>IF(B17="","",CAS!$C$8)</f>
        <v/>
      </c>
      <c r="D17" s="507"/>
      <c r="E17" s="726">
        <v>0</v>
      </c>
      <c r="F17" s="507"/>
      <c r="G17" s="726">
        <v>0</v>
      </c>
      <c r="H17" s="507"/>
      <c r="I17" s="726">
        <v>0</v>
      </c>
      <c r="J17" s="507"/>
      <c r="K17" s="726">
        <v>0</v>
      </c>
      <c r="L17" s="507"/>
      <c r="M17" s="726">
        <v>0</v>
      </c>
      <c r="N17" s="507"/>
      <c r="O17" s="726">
        <f>IF(A17="","",CAS!E31)</f>
        <v>0</v>
      </c>
      <c r="P17" s="507"/>
      <c r="Q17" s="726">
        <v>0</v>
      </c>
      <c r="R17" s="768"/>
      <c r="S17" s="726">
        <f>IF(CAS!$C$7="",0,(SUMIF(CAS!$B$31:$B$167,"hydrogen sulfide",CAS!$E$31:$E$167)))</f>
        <v>0</v>
      </c>
      <c r="T17" s="768"/>
      <c r="U17" s="727">
        <f>IF(CAS!$C$7="",0,(SUMIF(CAS!$B$31:$B$167,"sulfuric acid",CAS!$E$31:$E$167)*Impacts!$F$18))</f>
        <v>0</v>
      </c>
    </row>
    <row r="18" spans="1:26" ht="15.75" thickBot="1" x14ac:dyDescent="0.3">
      <c r="A18" s="716" t="s">
        <v>1</v>
      </c>
      <c r="B18" s="717"/>
      <c r="C18" s="717"/>
      <c r="D18" s="458">
        <f>SUMIF('Hidden Inputs'!BV$61:BV$71,TRUE,D$7:D$17)</f>
        <v>0</v>
      </c>
      <c r="E18" s="458">
        <f>SUMIF('Hidden Inputs'!BW$61:BW$71,TRUE,E$7:E$17)</f>
        <v>0</v>
      </c>
      <c r="F18" s="458">
        <f>SUMIF('Hidden Inputs'!BX$61:BX$71,TRUE,F$7:F$17)</f>
        <v>0</v>
      </c>
      <c r="G18" s="458">
        <f>SUMIF('Hidden Inputs'!BY$61:BY$71,TRUE,G$7:G$17)</f>
        <v>0</v>
      </c>
      <c r="H18" s="458">
        <f>SUMIF('Hidden Inputs'!BZ$61:BZ$71,TRUE,H$7:H$17)</f>
        <v>0</v>
      </c>
      <c r="I18" s="458">
        <f>SUMIF('Hidden Inputs'!CA$61:CA$71,TRUE,I$7:I$17)</f>
        <v>0</v>
      </c>
      <c r="J18" s="458">
        <f>SUMIF('Hidden Inputs'!CB$61:CB$71,TRUE,J$7:J$17)</f>
        <v>0</v>
      </c>
      <c r="K18" s="458">
        <f>SUMIF('Hidden Inputs'!CC$61:CC$71,TRUE,K$7:K$17)</f>
        <v>0</v>
      </c>
      <c r="L18" s="458">
        <f>SUMIF('Hidden Inputs'!CD$61:CD$71,TRUE,L$7:L$17)</f>
        <v>0</v>
      </c>
      <c r="M18" s="458">
        <f>SUMIF('Hidden Inputs'!CE$61:CE$71,TRUE,M$7:M$17)</f>
        <v>0</v>
      </c>
      <c r="N18" s="458">
        <f>SUMIF('Hidden Inputs'!CF$61:CF$71,TRUE,N$7:N$17)</f>
        <v>0</v>
      </c>
      <c r="O18" s="458">
        <f>SUMIF('Hidden Inputs'!CG$61:CG$71,TRUE,O$7:O$17)</f>
        <v>0</v>
      </c>
      <c r="P18" s="458">
        <f>SUMIF('Hidden Inputs'!CH$61:CH$71,TRUE,P$7:P$17)</f>
        <v>0</v>
      </c>
      <c r="Q18" s="458">
        <f>SUMIF('Hidden Inputs'!CI$61:CI$71,TRUE,Q$7:Q$17)</f>
        <v>0</v>
      </c>
      <c r="R18" s="458">
        <f>SUMIF('Hidden Inputs'!CJ$61:CJ$71,TRUE,R$7:R$17)</f>
        <v>0</v>
      </c>
      <c r="S18" s="458">
        <f>SUMIF('Hidden Inputs'!CK$61:CK$71,TRUE,S$7:S$17)</f>
        <v>0</v>
      </c>
      <c r="T18" s="458">
        <f>SUMIF('Hidden Inputs'!CL$61:CL$71,TRUE,T$7:T$17)</f>
        <v>0</v>
      </c>
      <c r="U18" s="459">
        <f>SUMIF('Hidden Inputs'!CM$61:CM$71,TRUE,U$7:U$17)</f>
        <v>0</v>
      </c>
    </row>
    <row r="19" spans="1:26" ht="15" customHeight="1" x14ac:dyDescent="0.2">
      <c r="A19" s="1659" t="s">
        <v>8989</v>
      </c>
      <c r="B19" s="1659"/>
      <c r="C19" s="1659"/>
      <c r="D19" s="1659"/>
      <c r="E19" s="1659"/>
      <c r="F19" s="1659"/>
      <c r="G19" s="1659"/>
      <c r="H19" s="1659"/>
      <c r="I19" s="1659"/>
      <c r="J19" s="1659"/>
      <c r="K19" s="1659"/>
      <c r="L19" s="1659"/>
      <c r="M19" s="1659"/>
      <c r="N19" s="1659"/>
      <c r="O19" s="1659"/>
      <c r="P19" s="1659"/>
      <c r="Q19" s="1659"/>
      <c r="R19" s="1659"/>
      <c r="S19" s="1659"/>
      <c r="T19" s="1659"/>
      <c r="U19" s="1659"/>
    </row>
    <row r="20" spans="1:26" s="715" customFormat="1" ht="15.75" customHeight="1" thickBot="1" x14ac:dyDescent="0.3">
      <c r="A20" s="1660" t="s">
        <v>8644</v>
      </c>
      <c r="B20" s="1660"/>
      <c r="C20" s="1660"/>
      <c r="D20" s="1660"/>
      <c r="E20" s="1660"/>
      <c r="F20" s="1660"/>
      <c r="G20" s="1660"/>
      <c r="H20" s="1660"/>
      <c r="I20" s="1660"/>
      <c r="J20" s="1660"/>
      <c r="K20" s="1660"/>
      <c r="L20" s="1660"/>
      <c r="M20" s="1660"/>
      <c r="N20" s="1660"/>
      <c r="O20" s="1660"/>
      <c r="P20" s="1660"/>
      <c r="Q20" s="1660"/>
      <c r="R20" s="1660"/>
      <c r="S20" s="1660"/>
      <c r="T20" s="1660"/>
      <c r="U20" s="1660"/>
    </row>
    <row r="21" spans="1:26" ht="15.75" thickBot="1" x14ac:dyDescent="0.3">
      <c r="A21" s="1655" t="s">
        <v>8594</v>
      </c>
      <c r="B21" s="1656"/>
      <c r="C21" s="1657" t="s">
        <v>8644</v>
      </c>
      <c r="D21" s="1658"/>
      <c r="E21" s="1658"/>
      <c r="F21" s="1658"/>
      <c r="G21" s="1658"/>
      <c r="H21" s="1658"/>
      <c r="I21" s="1658"/>
      <c r="J21" s="1658"/>
      <c r="K21" s="1658"/>
      <c r="L21" s="1658"/>
      <c r="M21" s="1658"/>
      <c r="N21" s="1658"/>
      <c r="O21" s="1658"/>
      <c r="P21" s="1658"/>
      <c r="Q21" s="1658"/>
      <c r="R21" s="1658"/>
      <c r="S21" s="1658"/>
      <c r="T21" s="1658"/>
      <c r="U21" s="1658"/>
    </row>
    <row r="22" spans="1:26" ht="15" x14ac:dyDescent="0.25">
      <c r="A22" s="578" t="s">
        <v>266</v>
      </c>
      <c r="B22" s="579" t="s">
        <v>10119</v>
      </c>
      <c r="C22" s="1657" t="s">
        <v>8644</v>
      </c>
      <c r="D22" s="1658"/>
      <c r="E22" s="1658"/>
      <c r="F22" s="1658"/>
      <c r="G22" s="1658"/>
      <c r="H22" s="1658"/>
      <c r="I22" s="1658"/>
      <c r="J22" s="1658"/>
      <c r="K22" s="1658"/>
      <c r="L22" s="1658"/>
      <c r="M22" s="1658"/>
      <c r="N22" s="1658"/>
      <c r="O22" s="1658"/>
      <c r="P22" s="1658"/>
      <c r="Q22" s="1658"/>
      <c r="R22" s="1658"/>
      <c r="S22" s="1658"/>
      <c r="T22" s="1658"/>
      <c r="U22" s="1658"/>
    </row>
    <row r="23" spans="1:26" ht="15" customHeight="1" x14ac:dyDescent="0.2">
      <c r="A23" s="489" t="str">
        <f>IF(Tank1!C10="","",Tank1!$A$2)</f>
        <v/>
      </c>
      <c r="B23" s="529" t="str">
        <f>IF(A23="","",Tank1!C27+Tank1!C28)</f>
        <v/>
      </c>
      <c r="C23" s="1657" t="s">
        <v>8644</v>
      </c>
      <c r="D23" s="1658"/>
      <c r="E23" s="1658"/>
      <c r="F23" s="1658"/>
      <c r="G23" s="1658"/>
      <c r="H23" s="1658"/>
      <c r="I23" s="1658"/>
      <c r="J23" s="1658"/>
      <c r="K23" s="1658"/>
      <c r="L23" s="1658"/>
      <c r="M23" s="1658"/>
      <c r="N23" s="1658"/>
      <c r="O23" s="1658"/>
      <c r="P23" s="1658"/>
      <c r="Q23" s="1658"/>
      <c r="R23" s="1658"/>
      <c r="S23" s="1658"/>
      <c r="T23" s="1658"/>
      <c r="U23" s="1658"/>
    </row>
    <row r="24" spans="1:26" ht="15" customHeight="1" x14ac:dyDescent="0.2">
      <c r="A24" s="489" t="str">
        <f>IF(Tank2!$C$10="","",Tank2!$A$2)</f>
        <v/>
      </c>
      <c r="B24" s="529" t="str">
        <f>IF(A24="","",Tank2!C27+Tank2!C28)</f>
        <v/>
      </c>
      <c r="C24" s="1657" t="s">
        <v>8644</v>
      </c>
      <c r="D24" s="1658"/>
      <c r="E24" s="1658"/>
      <c r="F24" s="1658"/>
      <c r="G24" s="1658"/>
      <c r="H24" s="1658"/>
      <c r="I24" s="1658"/>
      <c r="J24" s="1658"/>
      <c r="K24" s="1658"/>
      <c r="L24" s="1658"/>
      <c r="M24" s="1658"/>
      <c r="N24" s="1658"/>
      <c r="O24" s="1658"/>
      <c r="P24" s="1658"/>
      <c r="Q24" s="1658"/>
      <c r="R24" s="1658"/>
      <c r="S24" s="1658"/>
      <c r="T24" s="1658"/>
      <c r="U24" s="1658"/>
    </row>
    <row r="25" spans="1:26" ht="15" customHeight="1" x14ac:dyDescent="0.2">
      <c r="A25" s="489" t="str">
        <f>IF(Tank3!C10="","",Tank3!$A$2)</f>
        <v/>
      </c>
      <c r="B25" s="529" t="str">
        <f>IF(A25="","",Tank3!C27+Tank3!C28)</f>
        <v/>
      </c>
      <c r="C25" s="1657" t="s">
        <v>8644</v>
      </c>
      <c r="D25" s="1658"/>
      <c r="E25" s="1658"/>
      <c r="F25" s="1658"/>
      <c r="G25" s="1658"/>
      <c r="H25" s="1658"/>
      <c r="I25" s="1658"/>
      <c r="J25" s="1658"/>
      <c r="K25" s="1658"/>
      <c r="L25" s="1658"/>
      <c r="M25" s="1658"/>
      <c r="N25" s="1658"/>
      <c r="O25" s="1658"/>
      <c r="P25" s="1658"/>
      <c r="Q25" s="1658"/>
      <c r="R25" s="1658"/>
      <c r="S25" s="1658"/>
      <c r="T25" s="1658"/>
      <c r="U25" s="1658"/>
    </row>
    <row r="26" spans="1:26" ht="15" customHeight="1" x14ac:dyDescent="0.2">
      <c r="A26" s="489" t="str">
        <f>IF(Tank4!$C$10="","",Tank4!$A$2)</f>
        <v/>
      </c>
      <c r="B26" s="529" t="str">
        <f>IF(A26="","",Tank4!C27+Tank4!C28)</f>
        <v/>
      </c>
      <c r="C26" s="1657" t="s">
        <v>8644</v>
      </c>
      <c r="D26" s="1658"/>
      <c r="E26" s="1658"/>
      <c r="F26" s="1658"/>
      <c r="G26" s="1658"/>
      <c r="H26" s="1658"/>
      <c r="I26" s="1658"/>
      <c r="J26" s="1658"/>
      <c r="K26" s="1658"/>
      <c r="L26" s="1658"/>
      <c r="M26" s="1658"/>
      <c r="N26" s="1658"/>
      <c r="O26" s="1658"/>
      <c r="P26" s="1658"/>
      <c r="Q26" s="1658"/>
      <c r="R26" s="1658"/>
      <c r="S26" s="1658"/>
      <c r="T26" s="1658"/>
      <c r="U26" s="1658"/>
    </row>
    <row r="27" spans="1:26" ht="15" customHeight="1" x14ac:dyDescent="0.2">
      <c r="A27" s="489" t="str">
        <f>IF(Tank5!$C$10="","",Tank5!$A$2)</f>
        <v/>
      </c>
      <c r="B27" s="529" t="str">
        <f>IF(A27="","",Tank5!C27+Tank5!C28)</f>
        <v/>
      </c>
      <c r="C27" s="1657" t="s">
        <v>8644</v>
      </c>
      <c r="D27" s="1658"/>
      <c r="E27" s="1658"/>
      <c r="F27" s="1658"/>
      <c r="G27" s="1658"/>
      <c r="H27" s="1658"/>
      <c r="I27" s="1658"/>
      <c r="J27" s="1658"/>
      <c r="K27" s="1658"/>
      <c r="L27" s="1658"/>
      <c r="M27" s="1658"/>
      <c r="N27" s="1658"/>
      <c r="O27" s="1658"/>
      <c r="P27" s="1658"/>
      <c r="Q27" s="1658"/>
      <c r="R27" s="1658"/>
      <c r="S27" s="1658"/>
      <c r="T27" s="1658"/>
      <c r="U27" s="1658"/>
    </row>
    <row r="28" spans="1:26" ht="15" x14ac:dyDescent="0.2">
      <c r="A28" s="489" t="str">
        <f>IF('Loading-drum,tote'!C10="","",'Loading-drum,tote'!A2:D2)</f>
        <v/>
      </c>
      <c r="B28" s="529" t="str">
        <f>IF(A28="","",'Loading-drum,tote'!C26+'Loading-drum,tote'!C27)</f>
        <v/>
      </c>
      <c r="C28" s="1657" t="s">
        <v>8644</v>
      </c>
      <c r="D28" s="1658"/>
      <c r="E28" s="1658"/>
      <c r="F28" s="1658"/>
      <c r="G28" s="1658"/>
      <c r="H28" s="1658"/>
      <c r="I28" s="1658"/>
      <c r="J28" s="1658"/>
      <c r="K28" s="1658"/>
      <c r="L28" s="1658"/>
      <c r="M28" s="1658"/>
      <c r="N28" s="1658"/>
      <c r="O28" s="1658"/>
      <c r="P28" s="1658"/>
      <c r="Q28" s="1658"/>
      <c r="R28" s="1658"/>
      <c r="S28" s="1658"/>
      <c r="T28" s="1658"/>
      <c r="U28" s="1658"/>
      <c r="V28" s="460"/>
      <c r="W28" s="460"/>
      <c r="X28" s="460"/>
      <c r="Y28" s="460"/>
      <c r="Z28" s="460"/>
    </row>
    <row r="29" spans="1:26" ht="15" x14ac:dyDescent="0.2">
      <c r="A29" s="489" t="str">
        <f>IF('Loading-truck'!$C$10="","",'Loading-truck'!A2)</f>
        <v/>
      </c>
      <c r="B29" s="529" t="str">
        <f>IF(A29="","",'Loading-truck'!C26+'Loading-truck'!C27)</f>
        <v/>
      </c>
      <c r="C29" s="1657" t="s">
        <v>8644</v>
      </c>
      <c r="D29" s="1658"/>
      <c r="E29" s="1658"/>
      <c r="F29" s="1658"/>
      <c r="G29" s="1658"/>
      <c r="H29" s="1658"/>
      <c r="I29" s="1658"/>
      <c r="J29" s="1658"/>
      <c r="K29" s="1658"/>
      <c r="L29" s="1658"/>
      <c r="M29" s="1658"/>
      <c r="N29" s="1658"/>
      <c r="O29" s="1658"/>
      <c r="P29" s="1658"/>
      <c r="Q29" s="1658"/>
      <c r="R29" s="1658"/>
      <c r="S29" s="1658"/>
      <c r="T29" s="1658"/>
      <c r="U29" s="1658"/>
      <c r="V29" s="460"/>
      <c r="W29" s="460"/>
      <c r="X29" s="460"/>
      <c r="Y29" s="460"/>
      <c r="Z29" s="460"/>
    </row>
    <row r="30" spans="1:26" ht="15.75" thickBot="1" x14ac:dyDescent="0.25">
      <c r="A30" s="571" t="str">
        <f>IF('Loading-rail'!$C$10="","",'Loading-rail'!A2)</f>
        <v/>
      </c>
      <c r="B30" s="572" t="str">
        <f>IF(A30="","",'Loading-rail'!C26+'Loading-rail'!C27)</f>
        <v/>
      </c>
      <c r="C30" s="1657" t="s">
        <v>8644</v>
      </c>
      <c r="D30" s="1658"/>
      <c r="E30" s="1658"/>
      <c r="F30" s="1658"/>
      <c r="G30" s="1658"/>
      <c r="H30" s="1658"/>
      <c r="I30" s="1658"/>
      <c r="J30" s="1658"/>
      <c r="K30" s="1658"/>
      <c r="L30" s="1658"/>
      <c r="M30" s="1658"/>
      <c r="N30" s="1658"/>
      <c r="O30" s="1658"/>
      <c r="P30" s="1658"/>
      <c r="Q30" s="1658"/>
      <c r="R30" s="1658"/>
      <c r="S30" s="1658"/>
      <c r="T30" s="1658"/>
      <c r="U30" s="1658"/>
      <c r="V30" s="460"/>
      <c r="W30" s="460"/>
      <c r="X30" s="460"/>
      <c r="Y30" s="460"/>
      <c r="Z30" s="460"/>
    </row>
    <row r="31" spans="1:26" x14ac:dyDescent="0.2">
      <c r="A31" s="1528" t="s">
        <v>8641</v>
      </c>
      <c r="B31" s="1528"/>
      <c r="C31" s="1528"/>
      <c r="D31" s="1528"/>
      <c r="E31" s="1528"/>
      <c r="F31" s="1528"/>
      <c r="G31" s="1528"/>
      <c r="H31" s="1528"/>
      <c r="I31" s="1528"/>
      <c r="J31" s="1528"/>
      <c r="K31" s="1528"/>
      <c r="L31" s="1528"/>
      <c r="M31" s="1528"/>
      <c r="N31" s="1528"/>
      <c r="O31" s="1528"/>
      <c r="P31" s="1528"/>
      <c r="Q31" s="1528"/>
      <c r="R31" s="1528"/>
      <c r="S31" s="1528"/>
      <c r="T31" s="1528"/>
      <c r="U31" s="1528"/>
    </row>
  </sheetData>
  <sheetProtection algorithmName="SHA-512" hashValue="/dbfdDJqY1S0lq9X1Da+w9hq7sk838dUsUqQ45L9gfeJRcVN8sgoFc6SG7SXjCoYvUQPyAjDBiNQTleaCJRztg==" saltValue="yYJpK/mQkn1YyYQlSjyRkw==" spinCount="100000" sheet="1" objects="1" scenarios="1" formatColumns="0" formatRows="0" autoFilter="0"/>
  <mergeCells count="19">
    <mergeCell ref="C24:U24"/>
    <mergeCell ref="C25:U25"/>
    <mergeCell ref="C26:U26"/>
    <mergeCell ref="A1:U1"/>
    <mergeCell ref="A31:U31"/>
    <mergeCell ref="A2:U2"/>
    <mergeCell ref="A3:U3"/>
    <mergeCell ref="A5:U5"/>
    <mergeCell ref="A21:B21"/>
    <mergeCell ref="C21:U21"/>
    <mergeCell ref="A19:U19"/>
    <mergeCell ref="A20:U20"/>
    <mergeCell ref="A4:U4"/>
    <mergeCell ref="C27:U27"/>
    <mergeCell ref="C28:U28"/>
    <mergeCell ref="C29:U29"/>
    <mergeCell ref="C30:U30"/>
    <mergeCell ref="C22:U22"/>
    <mergeCell ref="C23:U23"/>
  </mergeCells>
  <conditionalFormatting sqref="A7:U17">
    <cfRule type="expression" dxfId="121" priority="9">
      <formula>$B7=""</formula>
    </cfRule>
  </conditionalFormatting>
  <conditionalFormatting sqref="D7:U18">
    <cfRule type="expression" dxfId="112" priority="10">
      <formula>AND(ISNUMBER(D7),D7&gt;0,D7&lt;0.01)</formula>
    </cfRule>
  </conditionalFormatting>
  <dataValidations xWindow="561" yWindow="597" count="1">
    <dataValidation type="decimal" operator="greaterThanOrEqual" allowBlank="1" showErrorMessage="1" prompt="enter current emission rate (tpy)" sqref="D7:D17 F7:F17 H7:H17 J7:J17 L7:L17 N7:N17 P7:P17 R7:R17 T7:T17" xr:uid="{24B171D2-CD03-4839-9783-36243036E924}">
      <formula1>0</formula1>
    </dataValidation>
  </dataValidations>
  <printOptions horizontalCentered="1"/>
  <pageMargins left="0.7" right="0.7" top="0.75" bottom="0.75" header="0.3" footer="0.3"/>
  <pageSetup scale="47" fitToHeight="0" orientation="landscape" r:id="rId1"/>
  <headerFooter>
    <oddHeader>&amp;C&amp;"Arial,Regular"Tanks and Loading Increases RAP Application</oddHeader>
    <oddFooter>&amp;LVersion 3.0&amp;CSheet: &amp;A&amp;RPage &amp;P</oddFooter>
  </headerFooter>
  <extLst>
    <ext xmlns:x14="http://schemas.microsoft.com/office/spreadsheetml/2009/9/main" uri="{78C0D931-6437-407d-A8EE-F0AAD7539E65}">
      <x14:conditionalFormattings>
        <x14:conditionalFormatting xmlns:xm="http://schemas.microsoft.com/office/excel/2006/main">
          <x14:cfRule type="expression" priority="20" stopIfTrue="1" id="{F1BEFD39-1E8E-45B7-A590-50CEB13973F9}">
            <xm:f>'Hidden Inputs'!$BR$5</xm:f>
            <x14:dxf>
              <font>
                <color theme="0" tint="-0.499984740745262"/>
              </font>
              <numFmt numFmtId="171" formatCode=";;;"/>
              <fill>
                <patternFill>
                  <bgColor theme="0" tint="-0.499984740745262"/>
                </patternFill>
              </fill>
              <border>
                <left/>
                <right/>
                <top/>
                <bottom/>
              </border>
            </x14:dxf>
          </x14:cfRule>
          <xm:sqref>A2:U30</xm:sqref>
        </x14:conditionalFormatting>
        <x14:conditionalFormatting xmlns:xm="http://schemas.microsoft.com/office/excel/2006/main">
          <x14:cfRule type="expression" priority="8" id="{AFA55999-93F6-4984-85BA-C32E67936C75}">
            <xm:f>OR(Tank1!$C$6="Modified",AND(Tank1!$C$23="No control",Tank1!$C$6="Affected"))</xm:f>
            <x14:dxf>
              <font>
                <color theme="0" tint="-0.24994659260841701"/>
              </font>
              <numFmt numFmtId="171" formatCode=";;;"/>
              <fill>
                <patternFill>
                  <bgColor theme="0" tint="-0.499984740745262"/>
                </patternFill>
              </fill>
              <border>
                <vertical/>
                <horizontal/>
              </border>
            </x14:dxf>
          </x14:cfRule>
          <xm:sqref>D7:M7 P7:Q7</xm:sqref>
        </x14:conditionalFormatting>
        <x14:conditionalFormatting xmlns:xm="http://schemas.microsoft.com/office/excel/2006/main">
          <x14:cfRule type="expression" priority="7" id="{C29F0EAF-67B8-4A84-9066-5AD724881C66}">
            <xm:f>OR(Tank2!$C$6="Modified",AND(Tank2!$C$23="No control",Tank2!$C$6="Affected"))</xm:f>
            <x14:dxf>
              <font>
                <color theme="0" tint="-0.24994659260841701"/>
              </font>
              <numFmt numFmtId="171" formatCode=";;;"/>
              <fill>
                <patternFill>
                  <bgColor theme="0" tint="-0.499984740745262"/>
                </patternFill>
              </fill>
              <border>
                <vertical/>
                <horizontal/>
              </border>
            </x14:dxf>
          </x14:cfRule>
          <xm:sqref>D8:M8 P8:Q8</xm:sqref>
        </x14:conditionalFormatting>
        <x14:conditionalFormatting xmlns:xm="http://schemas.microsoft.com/office/excel/2006/main">
          <x14:cfRule type="expression" priority="6" id="{0362D400-93C6-41FD-A636-F05FDE31A45F}">
            <xm:f>OR(Tank3!$C$6="Modified",AND(Tank3!$C$23="No control",Tank3!$C$6="Affected"))</xm:f>
            <x14:dxf>
              <font>
                <color theme="0" tint="-0.24994659260841701"/>
              </font>
              <numFmt numFmtId="171" formatCode=";;;"/>
              <fill>
                <patternFill>
                  <bgColor theme="0" tint="-0.499984740745262"/>
                </patternFill>
              </fill>
              <border>
                <vertical/>
                <horizontal/>
              </border>
            </x14:dxf>
          </x14:cfRule>
          <xm:sqref>D9:M9 P9:Q9</xm:sqref>
        </x14:conditionalFormatting>
        <x14:conditionalFormatting xmlns:xm="http://schemas.microsoft.com/office/excel/2006/main">
          <x14:cfRule type="expression" priority="5" id="{7B03D738-3F66-4D89-ABB5-5D65D174AB1B}">
            <xm:f>OR(Tank4!$C$6="Modified",AND(Tank4!$C$23="No control",Tank4!$C$6="Affected"))</xm:f>
            <x14:dxf>
              <font>
                <color theme="0" tint="-0.24994659260841701"/>
              </font>
              <numFmt numFmtId="171" formatCode=";;;"/>
              <fill>
                <patternFill>
                  <bgColor theme="0" tint="-0.499984740745262"/>
                </patternFill>
              </fill>
              <border>
                <vertical/>
                <horizontal/>
              </border>
            </x14:dxf>
          </x14:cfRule>
          <xm:sqref>D10:M10 P10:Q10</xm:sqref>
        </x14:conditionalFormatting>
        <x14:conditionalFormatting xmlns:xm="http://schemas.microsoft.com/office/excel/2006/main">
          <x14:cfRule type="expression" priority="4" id="{C84BD387-0882-4C33-BB25-1C7F81033BBD}">
            <xm:f>OR(Tank5!$C$6="Modified",AND(Tank5!$C$23="No control",Tank5!$C$6="Affected"))</xm:f>
            <x14:dxf>
              <font>
                <color theme="0" tint="-0.24994659260841701"/>
              </font>
              <numFmt numFmtId="171" formatCode=";;;"/>
              <fill>
                <patternFill>
                  <bgColor theme="0" tint="-0.499984740745262"/>
                </patternFill>
              </fill>
              <border>
                <vertical/>
                <horizontal/>
              </border>
            </x14:dxf>
          </x14:cfRule>
          <xm:sqref>D11:M11 P11:Q11</xm:sqref>
        </x14:conditionalFormatting>
        <x14:conditionalFormatting xmlns:xm="http://schemas.microsoft.com/office/excel/2006/main">
          <x14:cfRule type="expression" priority="3" id="{D3D66618-66C2-4C59-B706-D6718858DA55}">
            <xm:f>OR('Loading-drum,tote'!$C$6="Modified",AND('Loading-drum,tote'!$C$21="No control",'Loading-drum,tote'!$C$6="Affected"))</xm:f>
            <x14:dxf>
              <font>
                <color theme="0" tint="-0.24994659260841701"/>
              </font>
              <numFmt numFmtId="171" formatCode=";;;"/>
              <fill>
                <patternFill>
                  <bgColor theme="0" tint="-0.499984740745262"/>
                </patternFill>
              </fill>
            </x14:dxf>
          </x14:cfRule>
          <xm:sqref>D12:M12 P12:Q12</xm:sqref>
        </x14:conditionalFormatting>
        <x14:conditionalFormatting xmlns:xm="http://schemas.microsoft.com/office/excel/2006/main">
          <x14:cfRule type="expression" priority="2" id="{422A500D-8279-4C12-A049-4F8DEBE569F3}">
            <xm:f>OR('Loading-truck'!$C$6="Modified",AND('Loading-truck'!$C$21="No control",'Loading-truck'!$C$6="Affected"))</xm:f>
            <x14:dxf>
              <font>
                <color theme="0" tint="-0.24994659260841701"/>
              </font>
              <numFmt numFmtId="171" formatCode=";;;"/>
              <fill>
                <patternFill>
                  <bgColor theme="0" tint="-0.499984740745262"/>
                </patternFill>
              </fill>
            </x14:dxf>
          </x14:cfRule>
          <xm:sqref>D13:M13 P13:Q13</xm:sqref>
        </x14:conditionalFormatting>
        <x14:conditionalFormatting xmlns:xm="http://schemas.microsoft.com/office/excel/2006/main">
          <x14:cfRule type="expression" priority="1" id="{6A7F4874-A412-44A5-8345-6AB57E007E7F}">
            <xm:f>OR('Loading-rail'!$C$6="Modified",AND('Loading-rail'!$C$21="No control",'Loading-rail'!$C$6="Affected"))</xm:f>
            <x14:dxf>
              <font>
                <color theme="0" tint="-0.24994659260841701"/>
              </font>
              <numFmt numFmtId="171" formatCode=";;;"/>
              <fill>
                <patternFill>
                  <bgColor theme="0" tint="-0.499984740745262"/>
                </patternFill>
              </fill>
            </x14:dxf>
          </x14:cfRule>
          <xm:sqref>D14:M14 P14:Q14</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7E61A-DEA3-457A-B202-C900880045A7}">
  <sheetPr codeName="Sheet4">
    <tabColor theme="1"/>
  </sheetPr>
  <dimension ref="A1:V23"/>
  <sheetViews>
    <sheetView workbookViewId="0"/>
  </sheetViews>
  <sheetFormatPr defaultRowHeight="15" x14ac:dyDescent="0.25"/>
  <cols>
    <col min="1" max="1" width="17.42578125" customWidth="1"/>
    <col min="2" max="2" width="14" bestFit="1" customWidth="1"/>
    <col min="3" max="3" width="13.42578125" bestFit="1" customWidth="1"/>
    <col min="4" max="15" width="14" bestFit="1" customWidth="1"/>
    <col min="16" max="16" width="13.42578125" bestFit="1" customWidth="1"/>
    <col min="17" max="22" width="14" bestFit="1" customWidth="1"/>
  </cols>
  <sheetData>
    <row r="1" spans="1:22" x14ac:dyDescent="0.25">
      <c r="A1" s="38" t="s">
        <v>9940</v>
      </c>
      <c r="B1" s="37"/>
      <c r="C1" s="37"/>
      <c r="D1" s="37"/>
      <c r="E1" s="37"/>
      <c r="F1" s="37"/>
      <c r="G1" s="37"/>
      <c r="H1" s="37"/>
      <c r="I1" s="37"/>
      <c r="J1" s="37"/>
      <c r="K1" s="37"/>
      <c r="L1" s="37"/>
      <c r="M1" s="37"/>
      <c r="N1" s="37"/>
      <c r="O1" s="37"/>
      <c r="P1" s="37"/>
      <c r="Q1" s="37"/>
      <c r="R1" s="37"/>
      <c r="S1" s="37"/>
      <c r="T1" s="37"/>
      <c r="U1" s="37"/>
      <c r="V1" s="37"/>
    </row>
    <row r="2" spans="1:22" ht="15" customHeight="1" x14ac:dyDescent="0.25">
      <c r="B2" s="902" t="s">
        <v>8631</v>
      </c>
      <c r="C2" s="903"/>
      <c r="D2" s="903"/>
      <c r="E2" s="903"/>
      <c r="F2" s="903"/>
      <c r="G2" s="903"/>
      <c r="H2" s="903"/>
      <c r="I2" s="903"/>
      <c r="J2" s="903"/>
      <c r="K2" s="903"/>
      <c r="L2" s="903"/>
      <c r="M2" s="903"/>
      <c r="N2" s="903"/>
      <c r="O2" s="903"/>
      <c r="P2" s="903"/>
      <c r="Q2" s="903"/>
      <c r="R2" s="903"/>
      <c r="S2" s="903"/>
      <c r="T2" s="903"/>
      <c r="U2" s="903"/>
      <c r="V2" s="904"/>
    </row>
    <row r="3" spans="1:22" ht="30.75" customHeight="1" x14ac:dyDescent="0.25">
      <c r="A3" s="43" t="s">
        <v>8630</v>
      </c>
      <c r="B3" s="39">
        <v>3</v>
      </c>
      <c r="C3" s="39">
        <v>10</v>
      </c>
      <c r="D3" s="40">
        <v>20</v>
      </c>
      <c r="E3" s="40">
        <v>30</v>
      </c>
      <c r="F3" s="41">
        <v>40</v>
      </c>
      <c r="G3" s="41">
        <v>50</v>
      </c>
      <c r="H3" s="40">
        <v>60</v>
      </c>
      <c r="I3" s="39">
        <v>70</v>
      </c>
      <c r="J3" s="40">
        <v>80</v>
      </c>
      <c r="K3" s="41">
        <v>90</v>
      </c>
      <c r="L3" s="40">
        <v>100</v>
      </c>
      <c r="M3" s="39">
        <v>110</v>
      </c>
      <c r="N3" s="39">
        <v>120</v>
      </c>
      <c r="O3" s="39">
        <v>130</v>
      </c>
      <c r="P3" s="39">
        <v>140</v>
      </c>
      <c r="Q3" s="41">
        <v>150</v>
      </c>
      <c r="R3" s="39">
        <v>160</v>
      </c>
      <c r="S3" s="41">
        <v>170</v>
      </c>
      <c r="T3" s="39">
        <v>180</v>
      </c>
      <c r="U3" s="39">
        <v>190</v>
      </c>
      <c r="V3" s="39">
        <v>200</v>
      </c>
    </row>
    <row r="4" spans="1:22" x14ac:dyDescent="0.25">
      <c r="A4" s="42">
        <v>50</v>
      </c>
      <c r="B4" s="172">
        <v>434.21004566210047</v>
      </c>
      <c r="C4" s="172">
        <v>50.904109589041099</v>
      </c>
      <c r="D4" s="173">
        <v>13.242009132420092</v>
      </c>
      <c r="E4" s="173">
        <v>5.8995433789954337</v>
      </c>
      <c r="F4" s="174">
        <v>3.1963470319634708</v>
      </c>
      <c r="G4" s="174">
        <v>1.9543378995433791</v>
      </c>
      <c r="H4" s="173">
        <v>1.3150684931506851</v>
      </c>
      <c r="I4" s="172">
        <v>0.93150684931506844</v>
      </c>
      <c r="J4" s="173">
        <v>0.69406392694063923</v>
      </c>
      <c r="K4" s="174">
        <v>0.54794520547945202</v>
      </c>
      <c r="L4" s="173">
        <v>0.43835616438356162</v>
      </c>
      <c r="M4" s="172">
        <v>0.34703196347031962</v>
      </c>
      <c r="N4" s="172">
        <v>0.29223744292237447</v>
      </c>
      <c r="O4" s="172">
        <v>0.23744292237442924</v>
      </c>
      <c r="P4" s="172">
        <v>0.20091324200913241</v>
      </c>
      <c r="Q4" s="174">
        <v>0.17899543378995436</v>
      </c>
      <c r="R4" s="172">
        <v>0.15525114155251143</v>
      </c>
      <c r="S4" s="174">
        <v>0.13698630136986301</v>
      </c>
      <c r="T4" s="172">
        <v>0.12054794520547946</v>
      </c>
      <c r="U4" s="172">
        <v>0.1077625570776256</v>
      </c>
      <c r="V4" s="172">
        <v>9.4977168949771706E-2</v>
      </c>
    </row>
    <row r="5" spans="1:22" x14ac:dyDescent="0.25">
      <c r="A5" s="42">
        <v>100</v>
      </c>
      <c r="B5" s="172">
        <v>361.36986301369865</v>
      </c>
      <c r="C5" s="172">
        <v>40.785388127853878</v>
      </c>
      <c r="D5" s="173">
        <v>12.730593607305936</v>
      </c>
      <c r="E5" s="173">
        <v>5.8995433789954337</v>
      </c>
      <c r="F5" s="174">
        <v>3.1963470319634708</v>
      </c>
      <c r="G5" s="174">
        <v>1.9543378995433791</v>
      </c>
      <c r="H5" s="173">
        <v>1.3150684931506851</v>
      </c>
      <c r="I5" s="172">
        <v>0.93150684931506844</v>
      </c>
      <c r="J5" s="173">
        <v>0.69406392694063923</v>
      </c>
      <c r="K5" s="174">
        <v>0.54794520547945202</v>
      </c>
      <c r="L5" s="173">
        <v>0.43835616438356162</v>
      </c>
      <c r="M5" s="172">
        <v>0.34703196347031962</v>
      </c>
      <c r="N5" s="172">
        <v>0.29223744292237447</v>
      </c>
      <c r="O5" s="172">
        <v>0.23744292237442924</v>
      </c>
      <c r="P5" s="172">
        <v>0.20091324200913241</v>
      </c>
      <c r="Q5" s="174">
        <v>0.17899543378995436</v>
      </c>
      <c r="R5" s="172">
        <v>0.15525114155251143</v>
      </c>
      <c r="S5" s="174">
        <v>0.13698630136986301</v>
      </c>
      <c r="T5" s="172">
        <v>0.12054794520547946</v>
      </c>
      <c r="U5" s="172">
        <v>0.1077625570776256</v>
      </c>
      <c r="V5" s="172">
        <v>9.4977168949771706E-2</v>
      </c>
    </row>
    <row r="6" spans="1:22" x14ac:dyDescent="0.25">
      <c r="A6" s="42">
        <v>150</v>
      </c>
      <c r="B6" s="172">
        <v>230.28310502283105</v>
      </c>
      <c r="C6" s="172">
        <v>35.470319634703195</v>
      </c>
      <c r="D6" s="173">
        <v>10.045662100456623</v>
      </c>
      <c r="E6" s="173">
        <v>5.6621004566210047</v>
      </c>
      <c r="F6" s="174">
        <v>3.1963470319634708</v>
      </c>
      <c r="G6" s="174">
        <v>1.9543378995433791</v>
      </c>
      <c r="H6" s="173">
        <v>1.3150684931506851</v>
      </c>
      <c r="I6" s="172">
        <v>0.93150684931506844</v>
      </c>
      <c r="J6" s="173">
        <v>0.69406392694063923</v>
      </c>
      <c r="K6" s="174">
        <v>0.54794520547945202</v>
      </c>
      <c r="L6" s="173">
        <v>0.43835616438356162</v>
      </c>
      <c r="M6" s="172">
        <v>0.34703196347031962</v>
      </c>
      <c r="N6" s="172">
        <v>0.29223744292237447</v>
      </c>
      <c r="O6" s="172">
        <v>0.23744292237442924</v>
      </c>
      <c r="P6" s="172">
        <v>0.20091324200913241</v>
      </c>
      <c r="Q6" s="174">
        <v>0.17899543378995436</v>
      </c>
      <c r="R6" s="172">
        <v>0.15525114155251143</v>
      </c>
      <c r="S6" s="174">
        <v>0.13698630136986301</v>
      </c>
      <c r="T6" s="172">
        <v>0.12054794520547946</v>
      </c>
      <c r="U6" s="172">
        <v>0.1077625570776256</v>
      </c>
      <c r="V6" s="172">
        <v>9.4977168949771706E-2</v>
      </c>
    </row>
    <row r="7" spans="1:22" x14ac:dyDescent="0.25">
      <c r="A7" s="42">
        <v>200</v>
      </c>
      <c r="B7" s="172">
        <v>154.48401826484019</v>
      </c>
      <c r="C7" s="172">
        <v>35.470319634703195</v>
      </c>
      <c r="D7" s="173">
        <v>8.8036529680365305</v>
      </c>
      <c r="E7" s="173">
        <v>5.0228310502283113</v>
      </c>
      <c r="F7" s="174">
        <v>3.0319634703196345</v>
      </c>
      <c r="G7" s="174">
        <v>1.9543378995433791</v>
      </c>
      <c r="H7" s="173">
        <v>1.3150684931506851</v>
      </c>
      <c r="I7" s="172">
        <v>0.93150684931506844</v>
      </c>
      <c r="J7" s="173">
        <v>0.69406392694063923</v>
      </c>
      <c r="K7" s="174">
        <v>0.54794520547945202</v>
      </c>
      <c r="L7" s="173">
        <v>0.43835616438356162</v>
      </c>
      <c r="M7" s="172">
        <v>0.34703196347031962</v>
      </c>
      <c r="N7" s="172">
        <v>0.29223744292237447</v>
      </c>
      <c r="O7" s="172">
        <v>0.23744292237442924</v>
      </c>
      <c r="P7" s="172">
        <v>0.20091324200913241</v>
      </c>
      <c r="Q7" s="174">
        <v>0.17899543378995436</v>
      </c>
      <c r="R7" s="172">
        <v>0.15525114155251143</v>
      </c>
      <c r="S7" s="174">
        <v>0.13698630136986301</v>
      </c>
      <c r="T7" s="172">
        <v>0.12054794520547946</v>
      </c>
      <c r="U7" s="172">
        <v>0.1077625570776256</v>
      </c>
      <c r="V7" s="172">
        <v>9.4977168949771706E-2</v>
      </c>
    </row>
    <row r="8" spans="1:22" x14ac:dyDescent="0.25">
      <c r="A8" s="42">
        <v>250</v>
      </c>
      <c r="B8" s="172">
        <v>110.31963470319636</v>
      </c>
      <c r="C8" s="172">
        <v>33.552511415525117</v>
      </c>
      <c r="D8" s="173">
        <v>8.8036529680365305</v>
      </c>
      <c r="E8" s="173">
        <v>4.4383561643835616</v>
      </c>
      <c r="F8" s="174">
        <v>2.8310502283105023</v>
      </c>
      <c r="G8" s="174">
        <v>1.8264840182648403</v>
      </c>
      <c r="H8" s="173">
        <v>1.3150684931506851</v>
      </c>
      <c r="I8" s="172">
        <v>0.93150684931506844</v>
      </c>
      <c r="J8" s="173">
        <v>0.69406392694063923</v>
      </c>
      <c r="K8" s="174">
        <v>0.54794520547945202</v>
      </c>
      <c r="L8" s="173">
        <v>0.43835616438356162</v>
      </c>
      <c r="M8" s="172">
        <v>0.34703196347031962</v>
      </c>
      <c r="N8" s="172">
        <v>0.29223744292237447</v>
      </c>
      <c r="O8" s="172">
        <v>0.23744292237442924</v>
      </c>
      <c r="P8" s="172">
        <v>0.20091324200913241</v>
      </c>
      <c r="Q8" s="174">
        <v>0.17899543378995436</v>
      </c>
      <c r="R8" s="172">
        <v>0.15525114155251143</v>
      </c>
      <c r="S8" s="174">
        <v>0.13698630136986301</v>
      </c>
      <c r="T8" s="172">
        <v>0.12054794520547946</v>
      </c>
      <c r="U8" s="172">
        <v>0.1077625570776256</v>
      </c>
      <c r="V8" s="172">
        <v>9.4977168949771706E-2</v>
      </c>
    </row>
    <row r="9" spans="1:22" x14ac:dyDescent="0.25">
      <c r="A9" s="42">
        <v>300</v>
      </c>
      <c r="B9" s="172">
        <v>82.75799086757992</v>
      </c>
      <c r="C9" s="172">
        <v>33.552511415525117</v>
      </c>
      <c r="D9" s="173">
        <v>8.2739726027397271</v>
      </c>
      <c r="E9" s="173">
        <v>4.4383561643835616</v>
      </c>
      <c r="F9" s="174">
        <v>2.4109589041095889</v>
      </c>
      <c r="G9" s="174">
        <v>1.7534246575342465</v>
      </c>
      <c r="H9" s="173">
        <v>1.2237442922374431</v>
      </c>
      <c r="I9" s="172">
        <v>0.87671232876712324</v>
      </c>
      <c r="J9" s="173">
        <v>0.69406392694063923</v>
      </c>
      <c r="K9" s="174">
        <v>0.54794520547945202</v>
      </c>
      <c r="L9" s="173">
        <v>0.43835616438356162</v>
      </c>
      <c r="M9" s="172">
        <v>0.34703196347031962</v>
      </c>
      <c r="N9" s="172">
        <v>0.29223744292237447</v>
      </c>
      <c r="O9" s="172">
        <v>0.23744292237442924</v>
      </c>
      <c r="P9" s="172">
        <v>0.20091324200913241</v>
      </c>
      <c r="Q9" s="174">
        <v>0.17899543378995436</v>
      </c>
      <c r="R9" s="172">
        <v>0.15525114155251143</v>
      </c>
      <c r="S9" s="174">
        <v>0.13698630136986301</v>
      </c>
      <c r="T9" s="172">
        <v>0.12054794520547946</v>
      </c>
      <c r="U9" s="172">
        <v>0.1077625570776256</v>
      </c>
      <c r="V9" s="172">
        <v>9.4977168949771706E-2</v>
      </c>
    </row>
    <row r="10" spans="1:22" x14ac:dyDescent="0.25">
      <c r="A10" s="42">
        <v>400</v>
      </c>
      <c r="B10" s="172">
        <v>51.835616438356169</v>
      </c>
      <c r="C10" s="172">
        <v>29.461187214611872</v>
      </c>
      <c r="D10" s="173">
        <v>8.1826484018264836</v>
      </c>
      <c r="E10" s="173">
        <v>3.7077625570776256</v>
      </c>
      <c r="F10" s="174">
        <v>2.3378995433789957</v>
      </c>
      <c r="G10" s="174">
        <v>1.3881278538812785</v>
      </c>
      <c r="H10" s="173">
        <v>1.095890410958904</v>
      </c>
      <c r="I10" s="172">
        <v>0.84018264840182655</v>
      </c>
      <c r="J10" s="173">
        <v>0.63926940639269414</v>
      </c>
      <c r="K10" s="174">
        <v>0.54794520547945202</v>
      </c>
      <c r="L10" s="173">
        <v>0.43835616438356162</v>
      </c>
      <c r="M10" s="172">
        <v>0.34703196347031962</v>
      </c>
      <c r="N10" s="172">
        <v>0.29223744292237447</v>
      </c>
      <c r="O10" s="172">
        <v>0.23744292237442924</v>
      </c>
      <c r="P10" s="172">
        <v>0.20091324200913241</v>
      </c>
      <c r="Q10" s="174">
        <v>0.17899543378995436</v>
      </c>
      <c r="R10" s="172">
        <v>0.16073059360730596</v>
      </c>
      <c r="S10" s="174">
        <v>0.13698630136986301</v>
      </c>
      <c r="T10" s="172">
        <v>0.12054794520547946</v>
      </c>
      <c r="U10" s="172">
        <v>0.1077625570776256</v>
      </c>
      <c r="V10" s="172">
        <v>9.4977168949771706E-2</v>
      </c>
    </row>
    <row r="11" spans="1:22" x14ac:dyDescent="0.25">
      <c r="A11" s="42">
        <v>500</v>
      </c>
      <c r="B11" s="172">
        <v>35.762557077625573</v>
      </c>
      <c r="C11" s="172">
        <v>24.146118721461189</v>
      </c>
      <c r="D11" s="173">
        <v>7.7077625570776265</v>
      </c>
      <c r="E11" s="173">
        <v>3.5616438356164384</v>
      </c>
      <c r="F11" s="174">
        <v>2.0821917808219177</v>
      </c>
      <c r="G11" s="174">
        <v>1.3881278538812785</v>
      </c>
      <c r="H11" s="173">
        <v>0.89497716894977175</v>
      </c>
      <c r="I11" s="172">
        <v>0.73059360730593614</v>
      </c>
      <c r="J11" s="173">
        <v>0.60273972602739723</v>
      </c>
      <c r="K11" s="174">
        <v>0.49315068493150682</v>
      </c>
      <c r="L11" s="173">
        <v>0.38356164383561647</v>
      </c>
      <c r="M11" s="172">
        <v>0.31050228310502287</v>
      </c>
      <c r="N11" s="172">
        <v>0.29223744292237447</v>
      </c>
      <c r="O11" s="172">
        <v>0.23744292237442924</v>
      </c>
      <c r="P11" s="172">
        <v>0.20091324200913241</v>
      </c>
      <c r="Q11" s="174">
        <v>0.17899543378995436</v>
      </c>
      <c r="R11" s="172">
        <v>0.15525114155251143</v>
      </c>
      <c r="S11" s="174">
        <v>0.13698630136986301</v>
      </c>
      <c r="T11" s="172">
        <v>0.12054794520547946</v>
      </c>
      <c r="U11" s="172">
        <v>0.1077625570776256</v>
      </c>
      <c r="V11" s="172">
        <v>9.4977168949771706E-2</v>
      </c>
    </row>
    <row r="12" spans="1:22" x14ac:dyDescent="0.25">
      <c r="A12" s="42">
        <v>600</v>
      </c>
      <c r="B12" s="172">
        <v>26.301369863013701</v>
      </c>
      <c r="C12" s="172">
        <v>19.634703196347033</v>
      </c>
      <c r="D12" s="173">
        <v>7.6164383561643847</v>
      </c>
      <c r="E12" s="173">
        <v>3.4337899543378998</v>
      </c>
      <c r="F12" s="174">
        <v>1.9178082191780823</v>
      </c>
      <c r="G12" s="174">
        <v>1.2785388127853883</v>
      </c>
      <c r="H12" s="173">
        <v>0.89497716894977175</v>
      </c>
      <c r="I12" s="172">
        <v>0.65753424657534254</v>
      </c>
      <c r="J12" s="173">
        <v>0.51141552511415522</v>
      </c>
      <c r="K12" s="174">
        <v>0.43835616438356162</v>
      </c>
      <c r="L12" s="173">
        <v>0.36529680365296807</v>
      </c>
      <c r="M12" s="172">
        <v>0.31050228310502287</v>
      </c>
      <c r="N12" s="172">
        <v>0.25570776255707761</v>
      </c>
      <c r="O12" s="172">
        <v>0.21917808219178081</v>
      </c>
      <c r="P12" s="172">
        <v>0.20091324200913241</v>
      </c>
      <c r="Q12" s="174">
        <v>0.17899543378995436</v>
      </c>
      <c r="R12" s="172">
        <v>0.15525114155251143</v>
      </c>
      <c r="S12" s="174">
        <v>0.13698630136986301</v>
      </c>
      <c r="T12" s="172">
        <v>0.12054794520547946</v>
      </c>
      <c r="U12" s="172">
        <v>0.1077625570776256</v>
      </c>
      <c r="V12" s="172">
        <v>9.4977168949771706E-2</v>
      </c>
    </row>
    <row r="13" spans="1:22" x14ac:dyDescent="0.25">
      <c r="A13" s="42">
        <v>700</v>
      </c>
      <c r="B13" s="172">
        <v>20.273972602739729</v>
      </c>
      <c r="C13" s="172">
        <v>16.164383561643834</v>
      </c>
      <c r="D13" s="173">
        <v>7.6164383561643847</v>
      </c>
      <c r="E13" s="173">
        <v>3.4337899543378998</v>
      </c>
      <c r="F13" s="174">
        <v>1.9178082191780823</v>
      </c>
      <c r="G13" s="174">
        <v>1.1689497716894979</v>
      </c>
      <c r="H13" s="173">
        <v>0.87671232876712324</v>
      </c>
      <c r="I13" s="172">
        <v>0.65753424657534254</v>
      </c>
      <c r="J13" s="173">
        <v>0.49315068493150682</v>
      </c>
      <c r="K13" s="174">
        <v>0.38356164383561647</v>
      </c>
      <c r="L13" s="173">
        <v>0.32876712328767127</v>
      </c>
      <c r="M13" s="172">
        <v>0.29223744292237447</v>
      </c>
      <c r="N13" s="172">
        <v>0.25570776255707761</v>
      </c>
      <c r="O13" s="172">
        <v>0.21917808219178081</v>
      </c>
      <c r="P13" s="172">
        <v>0.18082191780821918</v>
      </c>
      <c r="Q13" s="174">
        <v>0.15890410958904108</v>
      </c>
      <c r="R13" s="172">
        <v>0.14429223744292238</v>
      </c>
      <c r="S13" s="174">
        <v>0.13698630136986301</v>
      </c>
      <c r="T13" s="172">
        <v>0.12054794520547946</v>
      </c>
      <c r="U13" s="172">
        <v>0.1077625570776256</v>
      </c>
      <c r="V13" s="172">
        <v>9.4977168949771706E-2</v>
      </c>
    </row>
    <row r="14" spans="1:22" x14ac:dyDescent="0.25">
      <c r="A14" s="42">
        <v>800</v>
      </c>
      <c r="B14" s="172">
        <v>16.219178082191782</v>
      </c>
      <c r="C14" s="172">
        <v>13.479452054794521</v>
      </c>
      <c r="D14" s="173">
        <v>7.3424657534246585</v>
      </c>
      <c r="E14" s="173">
        <v>3.2876712328767126</v>
      </c>
      <c r="F14" s="174">
        <v>1.8264840182648403</v>
      </c>
      <c r="G14" s="174">
        <v>1.1689497716894979</v>
      </c>
      <c r="H14" s="173">
        <v>0.80365296803652964</v>
      </c>
      <c r="I14" s="172">
        <v>0.65753424657534254</v>
      </c>
      <c r="J14" s="173">
        <v>0.49315068493150682</v>
      </c>
      <c r="K14" s="174">
        <v>0.38356164383561647</v>
      </c>
      <c r="L14" s="173">
        <v>0.31050228310502287</v>
      </c>
      <c r="M14" s="172">
        <v>0.25570776255707761</v>
      </c>
      <c r="N14" s="172">
        <v>0.23744292237442924</v>
      </c>
      <c r="O14" s="172">
        <v>0.20091324200913241</v>
      </c>
      <c r="P14" s="172">
        <v>0.17899543378995436</v>
      </c>
      <c r="Q14" s="174">
        <v>0.15525114155251143</v>
      </c>
      <c r="R14" s="172">
        <v>0.13515981735159818</v>
      </c>
      <c r="S14" s="174">
        <v>0.12054794520547946</v>
      </c>
      <c r="T14" s="172">
        <v>0.11141552511415524</v>
      </c>
      <c r="U14" s="172">
        <v>0.10228310502283104</v>
      </c>
      <c r="V14" s="172">
        <v>9.4977168949771706E-2</v>
      </c>
    </row>
    <row r="15" spans="1:22" x14ac:dyDescent="0.25">
      <c r="A15" s="42">
        <v>900</v>
      </c>
      <c r="B15" s="172">
        <v>13.296803652968038</v>
      </c>
      <c r="C15" s="172">
        <v>11.415525114155251</v>
      </c>
      <c r="D15" s="173">
        <v>6.8858447488584478</v>
      </c>
      <c r="E15" s="173">
        <v>3.1050228310502286</v>
      </c>
      <c r="F15" s="174">
        <v>1.7351598173515981</v>
      </c>
      <c r="G15" s="174">
        <v>1.1689497716894979</v>
      </c>
      <c r="H15" s="173">
        <v>0.78538812785388135</v>
      </c>
      <c r="I15" s="172">
        <v>0.60273972602739723</v>
      </c>
      <c r="J15" s="173">
        <v>0.49315068493150682</v>
      </c>
      <c r="K15" s="174">
        <v>0.38356164383561647</v>
      </c>
      <c r="L15" s="173">
        <v>0.31050228310502287</v>
      </c>
      <c r="M15" s="172">
        <v>0.25570776255707761</v>
      </c>
      <c r="N15" s="172">
        <v>0.21917808219178081</v>
      </c>
      <c r="O15" s="172">
        <v>0.18264840182648404</v>
      </c>
      <c r="P15" s="172">
        <v>0.16986301369863013</v>
      </c>
      <c r="Q15" s="174">
        <v>0.15159817351598176</v>
      </c>
      <c r="R15" s="172">
        <v>0.13333333333333333</v>
      </c>
      <c r="S15" s="174">
        <v>0.11872146118721462</v>
      </c>
      <c r="T15" s="172">
        <v>0.10410958904109591</v>
      </c>
      <c r="U15" s="172">
        <v>9.4977168949771706E-2</v>
      </c>
      <c r="V15" s="172">
        <v>8.7671232876712329E-2</v>
      </c>
    </row>
    <row r="16" spans="1:22" x14ac:dyDescent="0.25">
      <c r="A16" s="42">
        <v>1000</v>
      </c>
      <c r="B16" s="172">
        <v>11.141552511415526</v>
      </c>
      <c r="C16" s="172">
        <v>9.7716894977168955</v>
      </c>
      <c r="D16" s="173">
        <v>6.3561643835616444</v>
      </c>
      <c r="E16" s="173">
        <v>3.1050228310502286</v>
      </c>
      <c r="F16" s="174">
        <v>1.7351598173515981</v>
      </c>
      <c r="G16" s="174">
        <v>1.1324200913242011</v>
      </c>
      <c r="H16" s="173">
        <v>0.78538812785388135</v>
      </c>
      <c r="I16" s="172">
        <v>0.54794520547945202</v>
      </c>
      <c r="J16" s="173">
        <v>0.45662100456621008</v>
      </c>
      <c r="K16" s="174">
        <v>0.38356164383561647</v>
      </c>
      <c r="L16" s="173">
        <v>0.31050228310502287</v>
      </c>
      <c r="M16" s="172">
        <v>0.25570776255707761</v>
      </c>
      <c r="N16" s="172">
        <v>0.20091324200913241</v>
      </c>
      <c r="O16" s="172">
        <v>0.17716894977168948</v>
      </c>
      <c r="P16" s="172">
        <v>0.15707762557077626</v>
      </c>
      <c r="Q16" s="174">
        <v>0.14246575342465753</v>
      </c>
      <c r="R16" s="172">
        <v>0.12785388127853881</v>
      </c>
      <c r="S16" s="174">
        <v>0.11506849315068493</v>
      </c>
      <c r="T16" s="172">
        <v>0.10410958904109591</v>
      </c>
      <c r="U16" s="172">
        <v>9.1324200913242018E-2</v>
      </c>
      <c r="V16" s="172">
        <v>8.4018264840182655E-2</v>
      </c>
    </row>
    <row r="17" spans="1:22" x14ac:dyDescent="0.25">
      <c r="A17" s="42">
        <v>1500</v>
      </c>
      <c r="B17" s="172">
        <v>5.6255707762557075</v>
      </c>
      <c r="C17" s="172">
        <v>5.2420091324200921</v>
      </c>
      <c r="D17" s="173">
        <v>4.1643835616438354</v>
      </c>
      <c r="E17" s="173">
        <v>2.8675799086757991</v>
      </c>
      <c r="F17" s="174">
        <v>1.5159817351598173</v>
      </c>
      <c r="G17" s="174">
        <v>0.94977168949771695</v>
      </c>
      <c r="H17" s="173">
        <v>0.65753424657534254</v>
      </c>
      <c r="I17" s="172">
        <v>0.52968036529680373</v>
      </c>
      <c r="J17" s="173">
        <v>0.40182648401826482</v>
      </c>
      <c r="K17" s="174">
        <v>0.31050228310502287</v>
      </c>
      <c r="L17" s="173">
        <v>0.31050228310502287</v>
      </c>
      <c r="M17" s="172">
        <v>0.25570776255707761</v>
      </c>
      <c r="N17" s="172">
        <v>0.20091324200913241</v>
      </c>
      <c r="O17" s="172">
        <v>0.17534246575342466</v>
      </c>
      <c r="P17" s="172">
        <v>0.15159817351598176</v>
      </c>
      <c r="Q17" s="174">
        <v>0.12968036529680366</v>
      </c>
      <c r="R17" s="172">
        <v>0.11141552511415524</v>
      </c>
      <c r="S17" s="174">
        <v>0.1004566210045662</v>
      </c>
      <c r="T17" s="172">
        <v>9.1324200913242018E-2</v>
      </c>
      <c r="U17" s="172">
        <v>8.4018264840182655E-2</v>
      </c>
      <c r="V17" s="172">
        <v>7.6712328767123292E-2</v>
      </c>
    </row>
    <row r="18" spans="1:22" x14ac:dyDescent="0.25">
      <c r="A18" s="42">
        <v>2000</v>
      </c>
      <c r="B18" s="172">
        <v>3.4337899543378998</v>
      </c>
      <c r="C18" s="172">
        <v>3.3242009132420094</v>
      </c>
      <c r="D18" s="173">
        <v>2.8675799086757991</v>
      </c>
      <c r="E18" s="173">
        <v>2.2465753424657535</v>
      </c>
      <c r="F18" s="174">
        <v>1.4429223744292239</v>
      </c>
      <c r="G18" s="174">
        <v>0.82191780821917815</v>
      </c>
      <c r="H18" s="173">
        <v>0.58447488584474894</v>
      </c>
      <c r="I18" s="172">
        <v>0.42009132420091327</v>
      </c>
      <c r="J18" s="173">
        <v>0.36529680365296807</v>
      </c>
      <c r="K18" s="174">
        <v>0.29223744292237447</v>
      </c>
      <c r="L18" s="173">
        <v>0.23744292237442924</v>
      </c>
      <c r="M18" s="172">
        <v>0.20091324200913241</v>
      </c>
      <c r="N18" s="172">
        <v>0.16255707762557081</v>
      </c>
      <c r="O18" s="172">
        <v>0.14977168949771688</v>
      </c>
      <c r="P18" s="172">
        <v>0.13515981735159818</v>
      </c>
      <c r="Q18" s="174">
        <v>0.12420091324200913</v>
      </c>
      <c r="R18" s="172">
        <v>0.11141552511415524</v>
      </c>
      <c r="S18" s="174">
        <v>0.1004566210045662</v>
      </c>
      <c r="T18" s="172">
        <v>8.9497716894977181E-2</v>
      </c>
      <c r="U18" s="172">
        <v>8.036529680365298E-2</v>
      </c>
      <c r="V18" s="172">
        <v>7.1232876712328766E-2</v>
      </c>
    </row>
    <row r="19" spans="1:22" x14ac:dyDescent="0.25">
      <c r="A19" s="42">
        <v>2500</v>
      </c>
      <c r="B19" s="172">
        <v>2.3744292237442925</v>
      </c>
      <c r="C19" s="172">
        <v>2.3196347031963471</v>
      </c>
      <c r="D19" s="173">
        <v>2.0639269406392695</v>
      </c>
      <c r="E19" s="173">
        <v>1.7716894977168951</v>
      </c>
      <c r="F19" s="174">
        <v>1.2420091324200915</v>
      </c>
      <c r="G19" s="174">
        <v>0.80365296803652964</v>
      </c>
      <c r="H19" s="173">
        <v>0.49315068493150682</v>
      </c>
      <c r="I19" s="172">
        <v>0.38356164383561647</v>
      </c>
      <c r="J19" s="173">
        <v>0.29223744292237447</v>
      </c>
      <c r="K19" s="174">
        <v>0.25570776255707761</v>
      </c>
      <c r="L19" s="173">
        <v>0.21917808219178081</v>
      </c>
      <c r="M19" s="172">
        <v>0.18264840182648404</v>
      </c>
      <c r="N19" s="172">
        <v>0.16073059360730596</v>
      </c>
      <c r="O19" s="172">
        <v>0.13333333333333333</v>
      </c>
      <c r="P19" s="172">
        <v>0.11324200913242009</v>
      </c>
      <c r="Q19" s="174">
        <v>0.10410958904109591</v>
      </c>
      <c r="R19" s="172">
        <v>9.6803652968036544E-2</v>
      </c>
      <c r="S19" s="174">
        <v>8.9497716894977181E-2</v>
      </c>
      <c r="T19" s="172">
        <v>8.4018264840182655E-2</v>
      </c>
      <c r="U19" s="172">
        <v>7.6712328767123292E-2</v>
      </c>
      <c r="V19" s="172">
        <v>7.1232876712328766E-2</v>
      </c>
    </row>
    <row r="20" spans="1:22" x14ac:dyDescent="0.25">
      <c r="A20" s="42">
        <v>3000</v>
      </c>
      <c r="B20" s="172">
        <v>1.7899543378995435</v>
      </c>
      <c r="C20" s="172">
        <v>1.7351598173515981</v>
      </c>
      <c r="D20" s="173">
        <v>1.6073059360730593</v>
      </c>
      <c r="E20" s="173">
        <v>1.4063926940639269</v>
      </c>
      <c r="F20" s="174">
        <v>1.0410958904109588</v>
      </c>
      <c r="G20" s="174">
        <v>0.73059360730593614</v>
      </c>
      <c r="H20" s="173">
        <v>0.49315068493150682</v>
      </c>
      <c r="I20" s="172">
        <v>0.34703196347031962</v>
      </c>
      <c r="J20" s="173">
        <v>0.27397260273972601</v>
      </c>
      <c r="K20" s="174">
        <v>0.21917808219178081</v>
      </c>
      <c r="L20" s="173">
        <v>0.20091324200913241</v>
      </c>
      <c r="M20" s="172">
        <v>0.18264840182648404</v>
      </c>
      <c r="N20" s="172">
        <v>0.15159817351598176</v>
      </c>
      <c r="O20" s="172">
        <v>0.13150684931506851</v>
      </c>
      <c r="P20" s="172">
        <v>0.11324200913242009</v>
      </c>
      <c r="Q20" s="174">
        <v>9.6803652968036544E-2</v>
      </c>
      <c r="R20" s="172">
        <v>8.036529680365298E-2</v>
      </c>
      <c r="S20" s="174">
        <v>7.6712328767123292E-2</v>
      </c>
      <c r="T20" s="172">
        <v>7.1232876712328766E-2</v>
      </c>
      <c r="U20" s="172">
        <v>6.7579908675799091E-2</v>
      </c>
      <c r="V20" s="172">
        <v>6.3926940639269403E-2</v>
      </c>
    </row>
    <row r="21" spans="1:22" x14ac:dyDescent="0.25">
      <c r="A21" s="42">
        <v>4000</v>
      </c>
      <c r="B21" s="172">
        <v>1.1324200913242011</v>
      </c>
      <c r="C21" s="172">
        <v>1.1324200913242011</v>
      </c>
      <c r="D21" s="173">
        <v>1.0593607305936075</v>
      </c>
      <c r="E21" s="173">
        <v>0.96803652968036535</v>
      </c>
      <c r="F21" s="174">
        <v>0.76712328767123295</v>
      </c>
      <c r="G21" s="174">
        <v>0.56621004566210054</v>
      </c>
      <c r="H21" s="173">
        <v>0.42009132420091327</v>
      </c>
      <c r="I21" s="172">
        <v>0.31050228310502287</v>
      </c>
      <c r="J21" s="173">
        <v>0.21917808219178081</v>
      </c>
      <c r="K21" s="174">
        <v>0.18264840182648404</v>
      </c>
      <c r="L21" s="173">
        <v>0.15342465753424658</v>
      </c>
      <c r="M21" s="172">
        <v>0.13515981735159818</v>
      </c>
      <c r="N21" s="172">
        <v>0.12237442922374429</v>
      </c>
      <c r="O21" s="172">
        <v>0.11141552511415524</v>
      </c>
      <c r="P21" s="172">
        <v>0.1004566210045662</v>
      </c>
      <c r="Q21" s="174">
        <v>8.9497716894977181E-2</v>
      </c>
      <c r="R21" s="172">
        <v>8.036529680365298E-2</v>
      </c>
      <c r="S21" s="174">
        <v>6.9406392694063929E-2</v>
      </c>
      <c r="T21" s="172">
        <v>6.2100456621004566E-2</v>
      </c>
      <c r="U21" s="172">
        <v>5.2968036529680365E-2</v>
      </c>
      <c r="V21" s="172">
        <v>4.7488584474885853E-2</v>
      </c>
    </row>
    <row r="22" spans="1:22" x14ac:dyDescent="0.25">
      <c r="A22" s="42">
        <v>5000</v>
      </c>
      <c r="B22" s="172">
        <v>0.82191780821917815</v>
      </c>
      <c r="C22" s="172">
        <v>0.78538812785388135</v>
      </c>
      <c r="D22" s="173">
        <v>0.76712328767123295</v>
      </c>
      <c r="E22" s="173">
        <v>0.69406392694063923</v>
      </c>
      <c r="F22" s="174">
        <v>0.58447488584474894</v>
      </c>
      <c r="G22" s="174">
        <v>0.45662100456621008</v>
      </c>
      <c r="H22" s="173">
        <v>0.34703196347031962</v>
      </c>
      <c r="I22" s="172">
        <v>0.27397260273972601</v>
      </c>
      <c r="J22" s="173">
        <v>0.20091324200913241</v>
      </c>
      <c r="K22" s="174">
        <v>0.15159817351598176</v>
      </c>
      <c r="L22" s="173">
        <v>0.13150684931506851</v>
      </c>
      <c r="M22" s="172">
        <v>0.11324200913242009</v>
      </c>
      <c r="N22" s="172">
        <v>9.8630136986301381E-2</v>
      </c>
      <c r="O22" s="172">
        <v>9.1324200913242018E-2</v>
      </c>
      <c r="P22" s="172">
        <v>8.4018264840182655E-2</v>
      </c>
      <c r="Q22" s="174">
        <v>7.6712328767123292E-2</v>
      </c>
      <c r="R22" s="172">
        <v>6.9406392694063929E-2</v>
      </c>
      <c r="S22" s="174">
        <v>6.3926940639269403E-2</v>
      </c>
      <c r="T22" s="172">
        <v>5.8447488584474891E-2</v>
      </c>
      <c r="U22" s="172">
        <v>5.1141552511415521E-2</v>
      </c>
      <c r="V22" s="172">
        <v>4.7488584474885853E-2</v>
      </c>
    </row>
    <row r="23" spans="1:22" x14ac:dyDescent="0.25">
      <c r="B23" s="902" t="s">
        <v>8631</v>
      </c>
      <c r="C23" s="903"/>
      <c r="D23" s="903"/>
      <c r="E23" s="903"/>
      <c r="F23" s="903"/>
      <c r="G23" s="903"/>
      <c r="H23" s="903"/>
      <c r="I23" s="903"/>
      <c r="J23" s="903"/>
      <c r="K23" s="903"/>
      <c r="L23" s="903"/>
      <c r="M23" s="903"/>
      <c r="N23" s="903"/>
      <c r="O23" s="903"/>
      <c r="P23" s="903"/>
      <c r="Q23" s="903"/>
      <c r="R23" s="903"/>
      <c r="S23" s="903"/>
      <c r="T23" s="903"/>
      <c r="U23" s="903"/>
      <c r="V23" s="904"/>
    </row>
  </sheetData>
  <sheetProtection algorithmName="SHA-512" hashValue="WVPvtvt8k/Ut7Vx/pyzTcgvaHJz+jRiNyTDCBMkAzHzgiplj0Samb7FTZHPkdepv1n4BxQcZfS5YlDzlnW5tPw==" saltValue="wLgLnubd92uiZsZ248gPig==" spinCount="100000" sheet="1" objects="1" scenarios="1" formatColumns="0" formatRows="0" autoFilter="0"/>
  <mergeCells count="2">
    <mergeCell ref="B2:V2"/>
    <mergeCell ref="B23:V23"/>
  </mergeCells>
  <pageMargins left="0.7" right="0.7" top="0.75" bottom="0.75" header="0.3" footer="0.3"/>
  <pageSetup scale="85" orientation="portrait" r:id="rId1"/>
  <headerFooter>
    <oddHeader>&amp;C&amp;"Arial,Regular"RAP - Tanks and Loading Increases Application</oddHeader>
    <oddFooter>&amp;LVersion: 5/1/2019&amp;CSheet: &amp;A&amp;RPage &amp;P/&amp;N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52B23-CEC2-4710-8F2E-56AA1BA8DB9D}">
  <sheetPr codeName="Sheet33">
    <tabColor theme="8" tint="0.39997558519241921"/>
  </sheetPr>
  <dimension ref="A1:J21"/>
  <sheetViews>
    <sheetView workbookViewId="0">
      <selection sqref="A1:J1"/>
    </sheetView>
  </sheetViews>
  <sheetFormatPr defaultColWidth="0" defaultRowHeight="15" zeroHeight="1" x14ac:dyDescent="0.25"/>
  <cols>
    <col min="1" max="1" width="31.85546875" customWidth="1"/>
    <col min="2" max="10" width="16.85546875" customWidth="1"/>
    <col min="11" max="16384" width="9.140625" hidden="1"/>
  </cols>
  <sheetData>
    <row r="1" spans="1:10" ht="6" customHeight="1" thickBot="1" x14ac:dyDescent="0.3">
      <c r="A1" s="1623" t="s">
        <v>8392</v>
      </c>
      <c r="B1" s="1623"/>
      <c r="C1" s="1623"/>
      <c r="D1" s="1623"/>
      <c r="E1" s="1623"/>
      <c r="F1" s="1623"/>
      <c r="G1" s="1623"/>
      <c r="H1" s="1623"/>
      <c r="I1" s="1623"/>
      <c r="J1" s="1623"/>
    </row>
    <row r="2" spans="1:10" ht="18.75" thickBot="1" x14ac:dyDescent="0.3">
      <c r="A2" s="1000" t="s">
        <v>10141</v>
      </c>
      <c r="B2" s="1650"/>
      <c r="C2" s="1650"/>
      <c r="D2" s="1650"/>
      <c r="E2" s="1650"/>
      <c r="F2" s="1650"/>
      <c r="G2" s="1650"/>
      <c r="H2" s="1650"/>
      <c r="I2" s="1650"/>
      <c r="J2" s="1650"/>
    </row>
    <row r="3" spans="1:10" ht="229.5" customHeight="1" thickBot="1" x14ac:dyDescent="0.3">
      <c r="A3" s="1664" t="s">
        <v>10280</v>
      </c>
      <c r="B3" s="1665"/>
      <c r="C3" s="1665"/>
      <c r="D3" s="1665"/>
      <c r="E3" s="1665"/>
      <c r="F3" s="1665"/>
      <c r="G3" s="1665"/>
      <c r="H3" s="1665"/>
      <c r="I3" s="1665"/>
      <c r="J3" s="1665"/>
    </row>
    <row r="4" spans="1:10" ht="15.75" thickBot="1" x14ac:dyDescent="0.3">
      <c r="A4" s="1666" t="s">
        <v>10098</v>
      </c>
      <c r="B4" s="1666"/>
      <c r="C4" s="1666"/>
      <c r="D4" s="1666"/>
      <c r="E4" s="1666"/>
      <c r="F4" s="1666"/>
      <c r="G4" s="1666"/>
      <c r="H4" s="1666"/>
      <c r="I4" s="1666"/>
      <c r="J4" s="1666"/>
    </row>
    <row r="5" spans="1:10" ht="16.5" x14ac:dyDescent="0.25">
      <c r="A5" s="629" t="s">
        <v>2</v>
      </c>
      <c r="B5" s="645" t="s">
        <v>8495</v>
      </c>
      <c r="C5" s="643" t="s">
        <v>10143</v>
      </c>
      <c r="D5" s="643" t="s">
        <v>8491</v>
      </c>
      <c r="E5" s="643" t="s">
        <v>10144</v>
      </c>
      <c r="F5" s="643" t="s">
        <v>10145</v>
      </c>
      <c r="G5" s="643" t="s">
        <v>10146</v>
      </c>
      <c r="H5" s="643" t="s">
        <v>3</v>
      </c>
      <c r="I5" s="643" t="s">
        <v>10147</v>
      </c>
      <c r="J5" s="643" t="s">
        <v>10148</v>
      </c>
    </row>
    <row r="6" spans="1:10" ht="46.5" customHeight="1" thickBot="1" x14ac:dyDescent="0.3">
      <c r="A6" s="773" t="s">
        <v>10245</v>
      </c>
      <c r="B6" s="646"/>
      <c r="C6" s="644"/>
      <c r="D6" s="644"/>
      <c r="E6" s="644"/>
      <c r="F6" s="644"/>
      <c r="G6" s="644"/>
      <c r="H6" s="644"/>
      <c r="I6" s="644"/>
      <c r="J6" s="644"/>
    </row>
    <row r="7" spans="1:10" ht="30" customHeight="1" x14ac:dyDescent="0.25">
      <c r="A7" s="647" t="s">
        <v>10097</v>
      </c>
      <c r="B7" s="828"/>
      <c r="C7" s="648"/>
      <c r="D7" s="648"/>
      <c r="E7" s="648"/>
      <c r="F7" s="648"/>
      <c r="G7" s="648"/>
      <c r="H7" s="804"/>
      <c r="I7" s="648"/>
      <c r="J7" s="648"/>
    </row>
    <row r="8" spans="1:10" ht="30" customHeight="1" x14ac:dyDescent="0.25">
      <c r="A8" s="642" t="str">
        <f>"Baseline Emissions (tpy)
"&amp;Tank1!$C$7</f>
        <v xml:space="preserve">Baseline Emissions (tpy)
</v>
      </c>
      <c r="B8" s="790"/>
      <c r="C8" s="791"/>
      <c r="D8" s="791"/>
      <c r="E8" s="791"/>
      <c r="F8" s="791"/>
      <c r="G8" s="791"/>
      <c r="H8" s="620"/>
      <c r="I8" s="620"/>
      <c r="J8" s="620"/>
    </row>
    <row r="9" spans="1:10" ht="30" customHeight="1" x14ac:dyDescent="0.25">
      <c r="A9" s="635" t="str">
        <f>"Baseline Emissions (tpy)
"&amp;Tank2!$C$7</f>
        <v xml:space="preserve">Baseline Emissions (tpy)
</v>
      </c>
      <c r="B9" s="787"/>
      <c r="C9" s="788"/>
      <c r="D9" s="788"/>
      <c r="E9" s="788"/>
      <c r="F9" s="788"/>
      <c r="G9" s="788"/>
      <c r="H9" s="609"/>
      <c r="I9" s="609"/>
      <c r="J9" s="609"/>
    </row>
    <row r="10" spans="1:10" ht="30" customHeight="1" x14ac:dyDescent="0.25">
      <c r="A10" s="635" t="str">
        <f>"Baseline Emissions (tpy)
"&amp;Tank3!$C$7</f>
        <v xml:space="preserve">Baseline Emissions (tpy)
</v>
      </c>
      <c r="B10" s="787"/>
      <c r="C10" s="788"/>
      <c r="D10" s="788"/>
      <c r="E10" s="788"/>
      <c r="F10" s="788"/>
      <c r="G10" s="788"/>
      <c r="H10" s="609"/>
      <c r="I10" s="609"/>
      <c r="J10" s="609"/>
    </row>
    <row r="11" spans="1:10" ht="30" customHeight="1" x14ac:dyDescent="0.25">
      <c r="A11" s="635" t="str">
        <f>"Baseline Emissions (tpy)
"&amp;Tank4!$C$7</f>
        <v xml:space="preserve">Baseline Emissions (tpy)
</v>
      </c>
      <c r="B11" s="787"/>
      <c r="C11" s="788"/>
      <c r="D11" s="788"/>
      <c r="E11" s="788"/>
      <c r="F11" s="788"/>
      <c r="G11" s="788"/>
      <c r="H11" s="609"/>
      <c r="I11" s="609"/>
      <c r="J11" s="609"/>
    </row>
    <row r="12" spans="1:10" ht="30" customHeight="1" x14ac:dyDescent="0.25">
      <c r="A12" s="635" t="str">
        <f>"Baseline Emissions (tpy)
"&amp;Tank5!$C$7</f>
        <v xml:space="preserve">Baseline Emissions (tpy)
</v>
      </c>
      <c r="B12" s="787"/>
      <c r="C12" s="788"/>
      <c r="D12" s="788"/>
      <c r="E12" s="788"/>
      <c r="F12" s="788"/>
      <c r="G12" s="788"/>
      <c r="H12" s="609"/>
      <c r="I12" s="609"/>
      <c r="J12" s="609"/>
    </row>
    <row r="13" spans="1:10" ht="30" customHeight="1" x14ac:dyDescent="0.25">
      <c r="A13" s="635" t="str">
        <f>"Baseline Emissions (tpy)
"&amp;'Loading-drum,tote'!$C$7</f>
        <v xml:space="preserve">Baseline Emissions (tpy)
</v>
      </c>
      <c r="B13" s="787"/>
      <c r="C13" s="788"/>
      <c r="D13" s="788"/>
      <c r="E13" s="788"/>
      <c r="F13" s="788"/>
      <c r="G13" s="788"/>
      <c r="H13" s="609"/>
      <c r="I13" s="609"/>
      <c r="J13" s="609"/>
    </row>
    <row r="14" spans="1:10" ht="30" customHeight="1" x14ac:dyDescent="0.25">
      <c r="A14" s="635" t="str">
        <f>"Baseline Emissions (tpy)
"&amp;'Loading-truck'!$C$7</f>
        <v xml:space="preserve">Baseline Emissions (tpy)
</v>
      </c>
      <c r="B14" s="787"/>
      <c r="C14" s="788"/>
      <c r="D14" s="788"/>
      <c r="E14" s="788"/>
      <c r="F14" s="788"/>
      <c r="G14" s="788"/>
      <c r="H14" s="609"/>
      <c r="I14" s="609"/>
      <c r="J14" s="609"/>
    </row>
    <row r="15" spans="1:10" ht="30" customHeight="1" x14ac:dyDescent="0.25">
      <c r="A15" s="635" t="str">
        <f>"Baseline Emissions (tpy)
"&amp;'Loading-rail'!$C$7</f>
        <v xml:space="preserve">Baseline Emissions (tpy)
</v>
      </c>
      <c r="B15" s="787"/>
      <c r="C15" s="788"/>
      <c r="D15" s="788"/>
      <c r="E15" s="788"/>
      <c r="F15" s="788"/>
      <c r="G15" s="788"/>
      <c r="H15" s="609"/>
      <c r="I15" s="609"/>
      <c r="J15" s="609"/>
    </row>
    <row r="16" spans="1:10" ht="30" customHeight="1" x14ac:dyDescent="0.25">
      <c r="A16" s="635" t="str">
        <f>"Baseline Emissions (tpy)
"&amp;Flare!$C$7</f>
        <v xml:space="preserve">Baseline Emissions (tpy)
</v>
      </c>
      <c r="B16" s="630"/>
      <c r="C16" s="609"/>
      <c r="D16" s="789"/>
      <c r="E16" s="789"/>
      <c r="F16" s="789"/>
      <c r="G16" s="609"/>
      <c r="H16" s="609"/>
      <c r="I16" s="609"/>
      <c r="J16" s="609"/>
    </row>
    <row r="17" spans="1:10" ht="30" customHeight="1" x14ac:dyDescent="0.25">
      <c r="A17" s="635" t="str">
        <f>"Baseline Emissions (tpy)
"&amp;VCU!$C$9</f>
        <v xml:space="preserve">Baseline Emissions (tpy)
</v>
      </c>
      <c r="B17" s="630"/>
      <c r="C17" s="609"/>
      <c r="D17" s="609"/>
      <c r="E17" s="609"/>
      <c r="F17" s="609"/>
      <c r="G17" s="609"/>
      <c r="H17" s="609"/>
      <c r="I17" s="609"/>
      <c r="J17" s="609"/>
    </row>
    <row r="18" spans="1:10" ht="30" customHeight="1" thickBot="1" x14ac:dyDescent="0.3">
      <c r="A18" s="636" t="str">
        <f>"Baseline Emissions (tpy)
"&amp;CAS!$C$7</f>
        <v xml:space="preserve">Baseline Emissions (tpy)
</v>
      </c>
      <c r="B18" s="631"/>
      <c r="C18" s="610"/>
      <c r="D18" s="610"/>
      <c r="E18" s="610"/>
      <c r="F18" s="610"/>
      <c r="G18" s="610"/>
      <c r="H18" s="610"/>
      <c r="I18" s="610"/>
      <c r="J18" s="610"/>
    </row>
    <row r="19" spans="1:10" ht="30" customHeight="1" thickBot="1" x14ac:dyDescent="0.3">
      <c r="A19" s="632" t="s">
        <v>10112</v>
      </c>
      <c r="B19" s="633">
        <f>SUMIF('Hidden Inputs'!BW5:BW15,TRUE,B8:B18)</f>
        <v>0</v>
      </c>
      <c r="C19" s="634">
        <f>SUMIF('Hidden Inputs'!BX5:BX15,TRUE,C8:C18)</f>
        <v>0</v>
      </c>
      <c r="D19" s="634">
        <f>SUMIF('Hidden Inputs'!BY5:BY15,TRUE,D8:D18)</f>
        <v>0</v>
      </c>
      <c r="E19" s="634">
        <f>SUMIF('Hidden Inputs'!BZ5:BZ15,TRUE,E8:E18)</f>
        <v>0</v>
      </c>
      <c r="F19" s="634">
        <f>SUMIF('Hidden Inputs'!CA5:CA15,TRUE,F8:F18)</f>
        <v>0</v>
      </c>
      <c r="G19" s="634">
        <f>SUMIF('Hidden Inputs'!CB5:CB15,TRUE,G8:G18)</f>
        <v>0</v>
      </c>
      <c r="H19" s="634">
        <f>SUMIF('Hidden Inputs'!CC5:CC15,TRUE,H8:H18)</f>
        <v>0</v>
      </c>
      <c r="I19" s="634">
        <f>SUMIF('Hidden Inputs'!CE5:CE15,TRUE,I8:I18)</f>
        <v>0</v>
      </c>
      <c r="J19" s="634">
        <f>SUMIF('Hidden Inputs'!CH5:CH15,TRUE,J8:J18)</f>
        <v>0</v>
      </c>
    </row>
    <row r="20" spans="1:10" x14ac:dyDescent="0.25">
      <c r="A20" s="1662" t="s">
        <v>10197</v>
      </c>
      <c r="B20" s="1662"/>
      <c r="C20" s="1662"/>
      <c r="D20" s="1662"/>
      <c r="E20" s="1662"/>
      <c r="F20" s="1662"/>
      <c r="G20" s="1662"/>
      <c r="H20" s="1662"/>
      <c r="I20" s="1662"/>
      <c r="J20" s="1662"/>
    </row>
    <row r="21" spans="1:10" x14ac:dyDescent="0.25">
      <c r="A21" s="1663" t="s">
        <v>10099</v>
      </c>
      <c r="B21" s="1663"/>
      <c r="C21" s="1663"/>
      <c r="D21" s="1663"/>
      <c r="E21" s="1663"/>
      <c r="F21" s="1663"/>
      <c r="G21" s="1663"/>
      <c r="H21" s="1663"/>
      <c r="I21" s="1663"/>
      <c r="J21" s="1663"/>
    </row>
  </sheetData>
  <sheetProtection algorithmName="SHA-512" hashValue="TaU4Hkj/IjVRw59CV2Xtrxtn91TZ/kyimSjYr30dydXuaLMUrWG8Vm6/ZQOhWxTR8VZfNrWzWQtb05hJELeEIQ==" saltValue="RoE4Qgw4bh5oduvpIwl5tA==" spinCount="100000" sheet="1" objects="1" scenarios="1" formatColumns="0" formatRows="0" autoFilter="0"/>
  <mergeCells count="6">
    <mergeCell ref="A20:J20"/>
    <mergeCell ref="A21:J21"/>
    <mergeCell ref="A1:J1"/>
    <mergeCell ref="A2:J2"/>
    <mergeCell ref="A3:J3"/>
    <mergeCell ref="A4:J4"/>
  </mergeCells>
  <conditionalFormatting sqref="B6:J19">
    <cfRule type="expression" dxfId="107" priority="455">
      <formula>IF(ISBLANK(B$6),FALSE,B$6&lt;B$19)</formula>
    </cfRule>
  </conditionalFormatting>
  <conditionalFormatting sqref="I8:J18">
    <cfRule type="expression" dxfId="93" priority="448">
      <formula>I8&gt;I$6</formula>
    </cfRule>
  </conditionalFormatting>
  <dataValidations count="1">
    <dataValidation allowBlank="1" showErrorMessage="1" prompt="Enter the baseline emission years for this pollutant. This can be any consecutive 24-month period, but must be the same for all EPNs with the same pollutant." sqref="B7:J7" xr:uid="{55AF510B-9285-48D3-8A8B-AF1B512202F4}"/>
  </dataValidations>
  <hyperlinks>
    <hyperlink ref="A20" location="FederalApplicability!A43" display="Click here to return to the Federal Applicabilty review." xr:uid="{FC1F3720-C145-4DD1-84A5-13E0C5DABA02}"/>
    <hyperlink ref="A20:J20" location="FederalApplicability!A1" tooltip="Click here to jump to the Federal Applicability review." display="Click here to jump to the Federal Applicabilty review." xr:uid="{292F4B14-EABF-47C1-A52A-4B99E67EA52F}"/>
  </hyperlinks>
  <printOptions horizontalCentered="1"/>
  <pageMargins left="0.7" right="0.7" top="0.75" bottom="0.75" header="0.3" footer="0.3"/>
  <pageSetup scale="65" fitToWidth="2" fitToHeight="0" orientation="landscape" r:id="rId1"/>
  <headerFooter>
    <oddHeader>&amp;C&amp;"Arial,Regular"Tanks and Loading Increases RAP Application</oddHeader>
    <oddFooter>&amp;LVersion 3.0&amp;CSheet: &amp;A&amp;RPage &amp;P</oddFooter>
  </headerFooter>
  <extLst>
    <ext xmlns:x14="http://schemas.microsoft.com/office/spreadsheetml/2009/9/main" uri="{78C0D931-6437-407d-A8EE-F0AAD7539E65}">
      <x14:conditionalFormattings>
        <x14:conditionalFormatting xmlns:xm="http://schemas.microsoft.com/office/excel/2006/main">
          <x14:cfRule type="expression" priority="2" stopIfTrue="1" id="{D541C8B5-9542-47E2-AD08-E897A403F842}">
            <xm:f>NOT('Hidden Inputs'!BV3)</xm:f>
            <x14:dxf>
              <font>
                <color theme="0" tint="-0.24994659260841701"/>
              </font>
              <numFmt numFmtId="171" formatCode=";;;"/>
              <fill>
                <patternFill>
                  <bgColor theme="0" tint="-0.499984740745262"/>
                </patternFill>
              </fill>
            </x14:dxf>
          </x14:cfRule>
          <xm:sqref>A6:H18</xm:sqref>
        </x14:conditionalFormatting>
        <x14:conditionalFormatting xmlns:xm="http://schemas.microsoft.com/office/excel/2006/main">
          <x14:cfRule type="expression" priority="1" id="{75682E35-AF3C-4CBE-A32D-E47A683ACE16}">
            <xm:f>'Hidden Inputs'!$BR$5</xm:f>
            <x14:dxf>
              <numFmt numFmtId="171" formatCode=";;;"/>
              <fill>
                <patternFill>
                  <bgColor theme="0" tint="-0.499984740745262"/>
                </patternFill>
              </fill>
            </x14:dxf>
          </x14:cfRule>
          <xm:sqref>A1:XFD1048576</xm:sqref>
        </x14:conditionalFormatting>
        <x14:conditionalFormatting xmlns:xm="http://schemas.microsoft.com/office/excel/2006/main">
          <x14:cfRule type="expression" priority="9" id="{72C0B54C-8A61-4AE5-ABC0-34C23A27F6FB}">
            <xm:f>AND($B$6&lt;&gt;"",$B$6&lt;EmissionSummary!$F$18)</xm:f>
            <x14:dxf>
              <fill>
                <patternFill>
                  <bgColor theme="5" tint="0.59996337778862885"/>
                </patternFill>
              </fill>
            </x14:dxf>
          </x14:cfRule>
          <xm:sqref>B6</xm:sqref>
        </x14:conditionalFormatting>
        <x14:conditionalFormatting xmlns:xm="http://schemas.microsoft.com/office/excel/2006/main">
          <x14:cfRule type="expression" priority="10" id="{6CD5B7C4-9C56-4693-9336-34CE87C228F9}">
            <xm:f>OR(B8&gt;EmissionSummary!$F7,B8&gt;EmissionSummary!$F$18)</xm:f>
            <x14:dxf>
              <fill>
                <patternFill>
                  <bgColor theme="5" tint="0.59996337778862885"/>
                </patternFill>
              </fill>
            </x14:dxf>
          </x14:cfRule>
          <xm:sqref>B8:B18</xm:sqref>
        </x14:conditionalFormatting>
        <x14:conditionalFormatting xmlns:xm="http://schemas.microsoft.com/office/excel/2006/main">
          <x14:cfRule type="expression" priority="8" id="{653FD33F-C02D-4042-B5B5-59EE38146BA2}">
            <xm:f>AND($C$6&lt;&gt;"",$C$6&lt;EmissionSummary!$D$18)</xm:f>
            <x14:dxf>
              <fill>
                <patternFill>
                  <bgColor theme="5" tint="0.59996337778862885"/>
                </patternFill>
              </fill>
            </x14:dxf>
          </x14:cfRule>
          <xm:sqref>C6</xm:sqref>
        </x14:conditionalFormatting>
        <x14:conditionalFormatting xmlns:xm="http://schemas.microsoft.com/office/excel/2006/main">
          <x14:cfRule type="expression" priority="11" id="{B3222F32-2729-4803-8EE3-561AA39CD039}">
            <xm:f>OR(C8&gt;EmissionSummary!$D7,C8&gt;EmissionSummary!$D$18)</xm:f>
            <x14:dxf>
              <fill>
                <patternFill>
                  <bgColor theme="5" tint="0.59996337778862885"/>
                </patternFill>
              </fill>
            </x14:dxf>
          </x14:cfRule>
          <xm:sqref>C8:C18</xm:sqref>
        </x14:conditionalFormatting>
        <x14:conditionalFormatting xmlns:xm="http://schemas.microsoft.com/office/excel/2006/main">
          <x14:cfRule type="expression" priority="7" id="{56044982-1A04-4809-A490-C07D69059E06}">
            <xm:f>AND($D$6&lt;&gt;"",$D$6&lt;EmissionSummary!$H$18)</xm:f>
            <x14:dxf>
              <fill>
                <patternFill>
                  <bgColor theme="5" tint="0.59996337778862885"/>
                </patternFill>
              </fill>
            </x14:dxf>
          </x14:cfRule>
          <xm:sqref>D6</xm:sqref>
        </x14:conditionalFormatting>
        <x14:conditionalFormatting xmlns:xm="http://schemas.microsoft.com/office/excel/2006/main">
          <x14:cfRule type="expression" priority="12" id="{782B93B3-C325-4DA6-8A11-E509BC7B9E03}">
            <xm:f>OR(E8&gt;EmissionSummary!$J7,E8&gt;EmissionSummary!$J$18)</xm:f>
            <x14:dxf>
              <fill>
                <patternFill>
                  <bgColor theme="5" tint="0.59996337778862885"/>
                </patternFill>
              </fill>
            </x14:dxf>
          </x14:cfRule>
          <xm:sqref>D8:D18</xm:sqref>
        </x14:conditionalFormatting>
        <x14:conditionalFormatting xmlns:xm="http://schemas.microsoft.com/office/excel/2006/main">
          <x14:cfRule type="expression" priority="6" id="{1D1BDFBA-A4D5-4463-9B2A-039E8BABDFB6}">
            <xm:f>AND($E$6&lt;&gt;"",$E$6&lt;EmissionSummary!$J$18)</xm:f>
            <x14:dxf>
              <fill>
                <patternFill>
                  <bgColor theme="5" tint="0.59996337778862885"/>
                </patternFill>
              </fill>
            </x14:dxf>
          </x14:cfRule>
          <xm:sqref>E6</xm:sqref>
        </x14:conditionalFormatting>
        <x14:conditionalFormatting xmlns:xm="http://schemas.microsoft.com/office/excel/2006/main">
          <x14:cfRule type="expression" priority="13" id="{D0EC99CC-A79D-4D61-AB7A-B3B03E9A71A7}">
            <xm:f>OR(E8&gt;EmissionSummary!$J7,E8&gt;EmissionSummary!$J$18)</xm:f>
            <x14:dxf>
              <fill>
                <patternFill>
                  <bgColor theme="5" tint="0.59996337778862885"/>
                </patternFill>
              </fill>
            </x14:dxf>
          </x14:cfRule>
          <xm:sqref>E8:E18</xm:sqref>
        </x14:conditionalFormatting>
        <x14:conditionalFormatting xmlns:xm="http://schemas.microsoft.com/office/excel/2006/main">
          <x14:cfRule type="expression" priority="5" id="{B5FE0C6D-BD30-472F-976A-D040191ACA0F}">
            <xm:f>AND($F$6&lt;&gt;"",$F$6&lt;EmissionSummary!$L$18)</xm:f>
            <x14:dxf>
              <fill>
                <patternFill>
                  <bgColor theme="5" tint="0.59996337778862885"/>
                </patternFill>
              </fill>
            </x14:dxf>
          </x14:cfRule>
          <xm:sqref>F6</xm:sqref>
        </x14:conditionalFormatting>
        <x14:conditionalFormatting xmlns:xm="http://schemas.microsoft.com/office/excel/2006/main">
          <x14:cfRule type="expression" priority="14" id="{37578EDC-FCBF-464E-9428-FA47B4EC0C96}">
            <xm:f>OR(F8&gt;EmissionSummary!$L7,F8&gt;EmissionSummary!$L$18)</xm:f>
            <x14:dxf>
              <fill>
                <patternFill>
                  <bgColor theme="5" tint="0.59996337778862885"/>
                </patternFill>
              </fill>
            </x14:dxf>
          </x14:cfRule>
          <xm:sqref>F8:F18</xm:sqref>
        </x14:conditionalFormatting>
        <x14:conditionalFormatting xmlns:xm="http://schemas.microsoft.com/office/excel/2006/main">
          <x14:cfRule type="expression" priority="649" id="{0C114B51-32D7-4A61-A68A-D5AEF3478EC8}">
            <xm:f>AND($G$6&lt;&gt;"",$G$6&lt;EmissionSummary!$P$18)</xm:f>
            <x14:dxf>
              <fill>
                <patternFill>
                  <bgColor theme="5" tint="0.59996337778862885"/>
                </patternFill>
              </fill>
            </x14:dxf>
          </x14:cfRule>
          <xm:sqref>G6</xm:sqref>
        </x14:conditionalFormatting>
        <x14:conditionalFormatting xmlns:xm="http://schemas.microsoft.com/office/excel/2006/main">
          <x14:cfRule type="expression" priority="650" id="{14FA709E-93FD-41D5-B016-B5FF46ADF691}">
            <xm:f>OR(G8&gt;EmissionSummary!$P7,G8&gt;EmissionSummary!$P$18)</xm:f>
            <x14:dxf>
              <fill>
                <patternFill>
                  <bgColor theme="5" tint="0.59996337778862885"/>
                </patternFill>
              </fill>
            </x14:dxf>
          </x14:cfRule>
          <xm:sqref>G8:G18</xm:sqref>
        </x14:conditionalFormatting>
        <x14:conditionalFormatting xmlns:xm="http://schemas.microsoft.com/office/excel/2006/main">
          <x14:cfRule type="expression" priority="3" id="{889CECC9-1263-47CC-B420-F17023717548}">
            <xm:f>AND($H$6&lt;&gt;"",$H$6&lt;EmissionSummary!$N$18)</xm:f>
            <x14:dxf>
              <fill>
                <patternFill>
                  <bgColor theme="5" tint="0.59996337778862885"/>
                </patternFill>
              </fill>
            </x14:dxf>
          </x14:cfRule>
          <xm:sqref>H6</xm:sqref>
        </x14:conditionalFormatting>
        <x14:conditionalFormatting xmlns:xm="http://schemas.microsoft.com/office/excel/2006/main">
          <x14:cfRule type="expression" priority="16" id="{FEF1F6FE-33D7-4045-83E7-554867CF15C9}">
            <xm:f>OR(H8&gt;EmissionSummary!$N7,H8&gt;EmissionSummary!$N$18)</xm:f>
            <x14:dxf>
              <fill>
                <patternFill>
                  <bgColor theme="5" tint="0.59996337778862885"/>
                </patternFill>
              </fill>
            </x14:dxf>
          </x14:cfRule>
          <xm:sqref>H8:H18</xm:sqref>
        </x14:conditionalFormatting>
        <x14:conditionalFormatting xmlns:xm="http://schemas.microsoft.com/office/excel/2006/main">
          <x14:cfRule type="expression" priority="660" stopIfTrue="1" id="{D541C8B5-9542-47E2-AD08-E897A403F842}">
            <xm:f>NOT('Hidden Inputs'!CE3)</xm:f>
            <x14:dxf>
              <font>
                <color theme="0" tint="-0.24994659260841701"/>
              </font>
              <numFmt numFmtId="171" formatCode=";;;"/>
              <fill>
                <patternFill>
                  <bgColor theme="0" tint="-0.499984740745262"/>
                </patternFill>
              </fill>
            </x14:dxf>
          </x14:cfRule>
          <xm:sqref>I6:I18</xm:sqref>
        </x14:conditionalFormatting>
        <x14:conditionalFormatting xmlns:xm="http://schemas.microsoft.com/office/excel/2006/main">
          <x14:cfRule type="expression" priority="679" stopIfTrue="1" id="{D541C8B5-9542-47E2-AD08-E897A403F842}">
            <xm:f>NOT('Hidden Inputs'!CH3)</xm:f>
            <x14:dxf>
              <font>
                <color theme="0" tint="-0.24994659260841701"/>
              </font>
              <numFmt numFmtId="171" formatCode=";;;"/>
              <fill>
                <patternFill>
                  <bgColor theme="0" tint="-0.499984740745262"/>
                </patternFill>
              </fill>
            </x14:dxf>
          </x14:cfRule>
          <xm:sqref>J6:J18</xm:sqref>
        </x14:conditionalFormatting>
      </x14:conditionalFormattings>
    </ext>
    <ext xmlns:x14="http://schemas.microsoft.com/office/spreadsheetml/2009/9/main" uri="{CCE6A557-97BC-4b89-ADB6-D9C93CAAB3DF}">
      <x14:dataValidations xmlns:xm="http://schemas.microsoft.com/office/excel/2006/main" count="13">
        <x14:dataValidation type="decimal" operator="greaterThanOrEqual" allowBlank="1" showErrorMessage="1" error="Current Sitewide PTE on this sheet must be greater than or equal to the Current Sitewide PTE reported on the Emission Eummary Table." prompt="Enter the current sitewide potential to emit for this pollutant. This includes all authorizations, but does not include this project." xr:uid="{88D807C2-89CA-45B0-9DE0-8F01A8D5D624}">
          <x14:formula1>
            <xm:f>EmissionSummary!T18</xm:f>
          </x14:formula1>
          <xm:sqref>J6</xm:sqref>
        </x14:dataValidation>
        <x14:dataValidation type="decimal" allowBlank="1" showErrorMessage="1" error="The Baseline Emissions for this pollutant and EPN have exceeded the Current Sitewide PTE reported above." prompt="Enter the baseline actual emissions for this EPN for this pollutant." xr:uid="{520EA5DC-57FC-45C4-A5CF-B524868BACBE}">
          <x14:formula1>
            <xm:f>0</xm:f>
          </x14:formula1>
          <x14:formula2>
            <xm:f>EmissionSummary!T7</xm:f>
          </x14:formula2>
          <xm:sqref>J8:J18</xm:sqref>
        </x14:dataValidation>
        <x14:dataValidation type="decimal" operator="greaterThanOrEqual" allowBlank="1" showErrorMessage="1" error="Current Sitewide PTE on this sheet must be greater than or equal to the Current Sitewide PTE reported on the Emission Eummary Table." prompt="Enter the current sitewide potential to emit for this pollutant. This includes all authorizations, but does not include this project." xr:uid="{E8F89972-C103-414D-9A88-47E8BC82B8E1}">
          <x14:formula1>
            <xm:f>EmissionSummary!P18</xm:f>
          </x14:formula1>
          <xm:sqref>G6 I6</xm:sqref>
        </x14:dataValidation>
        <x14:dataValidation type="decimal" allowBlank="1" showErrorMessage="1" error="The Baseline Emissions for this pollutant and EPN have exceeded the Current Sitewide PTE reported on the Emission Summary tab." prompt="Enter the baseline actual emissions for this EPN for this pollutant." xr:uid="{74AA17C3-BD25-4663-B30D-1E3D5A3C584A}">
          <x14:formula1>
            <xm:f>0</xm:f>
          </x14:formula1>
          <x14:formula2>
            <xm:f>EmissionSummary!P7</xm:f>
          </x14:formula2>
          <xm:sqref>G8:G18</xm:sqref>
        </x14:dataValidation>
        <x14:dataValidation type="decimal" operator="greaterThanOrEqual" allowBlank="1" showErrorMessage="1" error="Current Sitewide PTE on this sheet must be greater than or equal to the Current Sitewide PTE reported on the Emission Eummary Table." prompt="Enter the current sitewide potential to emit for this pollutant. This includes all authorizations, but does not include this project." xr:uid="{B64E4C3A-217E-48FB-9BE9-2EA01756DD99}">
          <x14:formula1>
            <xm:f>EmissionSummary!F18</xm:f>
          </x14:formula1>
          <xm:sqref>D6 B6</xm:sqref>
        </x14:dataValidation>
        <x14:dataValidation type="decimal" operator="greaterThanOrEqual" allowBlank="1" showErrorMessage="1" error="Current Sitewide PTE on this sheet must be greater than or equal to the Current Sitewide PTE reported on the Emission Eummary Table." prompt="Enter the current sitewide potential to emit for this pollutant. This includes all authorizations, but does not include this project." xr:uid="{A879575F-EAEA-4443-83D6-331EB1638B11}">
          <x14:formula1>
            <xm:f>EmissionSummary!D18</xm:f>
          </x14:formula1>
          <xm:sqref>C6</xm:sqref>
        </x14:dataValidation>
        <x14:dataValidation type="decimal" operator="greaterThanOrEqual" allowBlank="1" showErrorMessage="1" error="Current Sitewide PTE on this sheet must be greater than or equal to the Current Sitewide PTE reported on the Emission Eummary Table." prompt="Enter the current sitewide potential to emit for this pollutant. This includes all authorizations, but does not include this project." xr:uid="{86F8DB9C-45B3-4F6F-A7F0-D25324692D58}">
          <x14:formula1>
            <xm:f>EmissionSummary!J18</xm:f>
          </x14:formula1>
          <xm:sqref>E6</xm:sqref>
        </x14:dataValidation>
        <x14:dataValidation type="decimal" operator="greaterThanOrEqual" allowBlank="1" showErrorMessage="1" error="Current Sitewide PTE on this sheet must be greater than or equal to the Current Sitewide PTE reported on the Emission Eummary Table." prompt="Enter the current sitewide potential to emit for this pollutant. This includes all authorizations, but does not include this project." xr:uid="{216BC151-89EA-41F7-B83E-77F8E2919EA4}">
          <x14:formula1>
            <xm:f>EmissionSummary!L18</xm:f>
          </x14:formula1>
          <xm:sqref>F6 H6</xm:sqref>
        </x14:dataValidation>
        <x14:dataValidation type="decimal" allowBlank="1" showErrorMessage="1" error="The Baseline Emissions for this pollutant and EPN have exceeded the Current Sitewide PTE reported on the Emission Summary tab." prompt="Enter the baseline actual emissions for this EPN for this pollutant." xr:uid="{28B6485A-4D12-4FDB-AB2A-77100242FE55}">
          <x14:formula1>
            <xm:f>0</xm:f>
          </x14:formula1>
          <x14:formula2>
            <xm:f>EmissionSummary!L7</xm:f>
          </x14:formula2>
          <xm:sqref>H8:H18 F8:F18</xm:sqref>
        </x14:dataValidation>
        <x14:dataValidation type="decimal" allowBlank="1" showErrorMessage="1" error="The Baseline Emissions for this pollutant and EPN have exceeded the Current Sitewide PTE reported on the Emission Summary tab." prompt="Enter the baseline actual emissions for this EPN for this pollutant." xr:uid="{63C279A6-0445-498D-AFD8-CC952E516416}">
          <x14:formula1>
            <xm:f>0</xm:f>
          </x14:formula1>
          <x14:formula2>
            <xm:f>EmissionSummary!J7</xm:f>
          </x14:formula2>
          <xm:sqref>E8:E18</xm:sqref>
        </x14:dataValidation>
        <x14:dataValidation type="decimal" allowBlank="1" showErrorMessage="1" error="The Baseline Emissions for this pollutant and EPN have exceeded the Current Sitewide PTE reported on the Emission Summary tab." prompt="Enter the baseline actual emissions for this EPN for this pollutant." xr:uid="{EBEA707E-B37D-41ED-B764-98862A369FEF}">
          <x14:formula1>
            <xm:f>0</xm:f>
          </x14:formula1>
          <x14:formula2>
            <xm:f>EmissionSummary!F7</xm:f>
          </x14:formula2>
          <xm:sqref>D8:D18 B8:B18</xm:sqref>
        </x14:dataValidation>
        <x14:dataValidation type="decimal" allowBlank="1" showErrorMessage="1" error="The Baseline Emissions for this pollutant and EPN have exceeded the Current Sitewide PTE reported on the Emission Summary tab." prompt="Enter the baseline actual emissions for this EPN for this pollutant." xr:uid="{0ADF4FE9-62B3-458A-AB03-001C35A8854D}">
          <x14:formula1>
            <xm:f>0</xm:f>
          </x14:formula1>
          <x14:formula2>
            <xm:f>EmissionSummary!D7</xm:f>
          </x14:formula2>
          <xm:sqref>C8:C18</xm:sqref>
        </x14:dataValidation>
        <x14:dataValidation type="decimal" allowBlank="1" showErrorMessage="1" error="The Baseline Emissions for this pollutant and EPN have exceeded the Current Sitewide PTE reported above." prompt="Enter the baseline actual emissions for this EPN for this pollutant." xr:uid="{6BA466FA-A393-46BE-91C3-7BA4D0DFE5EA}">
          <x14:formula1>
            <xm:f>0</xm:f>
          </x14:formula1>
          <x14:formula2>
            <xm:f>EmissionSummary!R7</xm:f>
          </x14:formula2>
          <xm:sqref>I8:I18</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0FA45F-E579-4906-AAB6-E47E8B9D28A0}">
  <sheetPr codeName="Sheet22">
    <tabColor theme="8" tint="0.39997558519241921"/>
  </sheetPr>
  <dimension ref="A1:Q109"/>
  <sheetViews>
    <sheetView showGridLines="0" workbookViewId="0">
      <selection sqref="A1:F1"/>
    </sheetView>
  </sheetViews>
  <sheetFormatPr defaultColWidth="0" defaultRowHeight="15" zeroHeight="1" x14ac:dyDescent="0.25"/>
  <cols>
    <col min="1" max="1" width="45.7109375" customWidth="1"/>
    <col min="2" max="2" width="26.7109375" bestFit="1" customWidth="1"/>
    <col min="3" max="3" width="21" bestFit="1" customWidth="1"/>
    <col min="4" max="4" width="27.85546875" bestFit="1" customWidth="1"/>
    <col min="5" max="6" width="21.7109375" customWidth="1"/>
    <col min="7" max="7" width="26.7109375" hidden="1" customWidth="1"/>
    <col min="8" max="8" width="26.7109375" style="887" hidden="1" customWidth="1"/>
    <col min="9" max="12" width="10.140625" style="887" hidden="1" customWidth="1"/>
    <col min="13" max="14" width="26.7109375" style="887" hidden="1" customWidth="1"/>
    <col min="15" max="16" width="26.7109375" hidden="1" customWidth="1"/>
    <col min="17" max="16384" width="9.140625" hidden="1"/>
  </cols>
  <sheetData>
    <row r="1" spans="1:17" s="450" customFormat="1" ht="6" customHeight="1" thickBot="1" x14ac:dyDescent="0.3">
      <c r="A1" s="1297" t="s">
        <v>8551</v>
      </c>
      <c r="B1" s="1297"/>
      <c r="C1" s="1297"/>
      <c r="D1" s="1297"/>
      <c r="E1" s="1297"/>
      <c r="F1" s="1297"/>
      <c r="H1" s="881"/>
      <c r="I1" s="881"/>
      <c r="J1" s="881"/>
      <c r="K1" s="881"/>
      <c r="L1" s="881"/>
      <c r="M1" s="881"/>
      <c r="N1"/>
      <c r="O1"/>
      <c r="P1"/>
      <c r="Q1"/>
    </row>
    <row r="2" spans="1:17" s="28" customFormat="1" ht="21" thickBot="1" x14ac:dyDescent="0.35">
      <c r="A2" s="1704" t="s">
        <v>8550</v>
      </c>
      <c r="B2" s="1705"/>
      <c r="C2" s="1705"/>
      <c r="D2" s="1705"/>
      <c r="E2" s="1705"/>
      <c r="F2" s="1706"/>
      <c r="H2" s="882" t="s">
        <v>8372</v>
      </c>
      <c r="I2" s="882" t="s">
        <v>10569</v>
      </c>
      <c r="J2" s="882" t="str">
        <f>IF('Hidden Inputs'!$BR$5,TRUE,"GREY2")</f>
        <v>GREY2</v>
      </c>
      <c r="K2" s="882" t="s">
        <v>10570</v>
      </c>
      <c r="L2" s="882" t="s">
        <v>10555</v>
      </c>
      <c r="M2" s="882"/>
      <c r="N2"/>
      <c r="O2"/>
      <c r="P2"/>
      <c r="Q2"/>
    </row>
    <row r="3" spans="1:17" s="583" customFormat="1" ht="192.75" customHeight="1" x14ac:dyDescent="0.25">
      <c r="A3" s="1707" t="s">
        <v>10488</v>
      </c>
      <c r="B3" s="1708"/>
      <c r="C3" s="1708"/>
      <c r="D3" s="1708"/>
      <c r="E3" s="1708"/>
      <c r="F3" s="1709"/>
      <c r="H3" s="880"/>
      <c r="I3" s="880"/>
      <c r="J3" s="880" t="b">
        <f>'Hidden Inputs'!$BR$5</f>
        <v>0</v>
      </c>
      <c r="K3" s="880"/>
      <c r="L3" s="880"/>
      <c r="M3" s="880"/>
      <c r="N3"/>
      <c r="O3"/>
      <c r="P3"/>
      <c r="Q3"/>
    </row>
    <row r="4" spans="1:17" s="583" customFormat="1" ht="15" customHeight="1" thickBot="1" x14ac:dyDescent="0.3">
      <c r="A4" s="1710" t="s">
        <v>10091</v>
      </c>
      <c r="B4" s="1711"/>
      <c r="C4" s="1711"/>
      <c r="D4" s="1711"/>
      <c r="E4" s="1711"/>
      <c r="F4" s="1712"/>
      <c r="H4" s="880"/>
      <c r="I4" s="880"/>
      <c r="J4" s="880" t="b">
        <f>$J$3</f>
        <v>0</v>
      </c>
      <c r="K4" s="880"/>
      <c r="L4" s="880"/>
      <c r="M4" s="880"/>
      <c r="N4"/>
      <c r="O4"/>
      <c r="P4"/>
      <c r="Q4"/>
    </row>
    <row r="5" spans="1:17" s="583" customFormat="1" ht="15.75" thickBot="1" x14ac:dyDescent="0.3">
      <c r="A5" s="1703" t="s">
        <v>8411</v>
      </c>
      <c r="B5" s="1703"/>
      <c r="C5" s="1703"/>
      <c r="D5" s="1703"/>
      <c r="E5" s="1703"/>
      <c r="F5" s="1703"/>
      <c r="H5" s="880"/>
      <c r="I5" s="880"/>
      <c r="J5" s="880" t="b">
        <f>$J$3</f>
        <v>0</v>
      </c>
      <c r="K5" s="880"/>
      <c r="L5" s="880"/>
      <c r="M5" s="880"/>
      <c r="N5"/>
      <c r="O5"/>
      <c r="P5"/>
      <c r="Q5"/>
    </row>
    <row r="6" spans="1:17" s="583" customFormat="1" ht="15.75" thickBot="1" x14ac:dyDescent="0.3">
      <c r="A6" s="1411" t="s">
        <v>10044</v>
      </c>
      <c r="B6" s="1412"/>
      <c r="C6" s="1412"/>
      <c r="D6" s="1412"/>
      <c r="E6" s="1412"/>
      <c r="F6" s="1413"/>
      <c r="H6" s="880"/>
      <c r="I6" s="880"/>
      <c r="J6" s="880" t="b">
        <f>$J$3</f>
        <v>0</v>
      </c>
      <c r="K6" s="880"/>
      <c r="L6" s="880"/>
      <c r="M6" s="880"/>
      <c r="N6"/>
      <c r="O6"/>
      <c r="P6"/>
      <c r="Q6"/>
    </row>
    <row r="7" spans="1:17" s="583" customFormat="1" ht="30.75" customHeight="1" x14ac:dyDescent="0.25">
      <c r="A7" s="1730" t="s">
        <v>10093</v>
      </c>
      <c r="B7" s="1731"/>
      <c r="C7" s="1727"/>
      <c r="D7" s="1728"/>
      <c r="E7" s="1728"/>
      <c r="F7" s="1729"/>
      <c r="H7" s="880"/>
      <c r="I7" s="880"/>
      <c r="J7" s="880" t="b">
        <f>$J$3</f>
        <v>0</v>
      </c>
      <c r="K7" s="880"/>
      <c r="L7" s="880"/>
      <c r="M7" s="880"/>
      <c r="N7"/>
      <c r="O7"/>
      <c r="P7"/>
      <c r="Q7"/>
    </row>
    <row r="8" spans="1:17" s="583" customFormat="1" ht="30.75" customHeight="1" x14ac:dyDescent="0.25">
      <c r="A8" s="1723" t="s">
        <v>10502</v>
      </c>
      <c r="B8" s="1724"/>
      <c r="C8" s="1765"/>
      <c r="D8" s="1756"/>
      <c r="E8" s="1756"/>
      <c r="F8" s="1757"/>
      <c r="H8" s="880" t="s">
        <v>10571</v>
      </c>
      <c r="I8" s="880"/>
      <c r="J8" s="880" t="b">
        <f>$J$3</f>
        <v>0</v>
      </c>
      <c r="K8" s="880" t="b">
        <f>C8="I disagree"</f>
        <v>0</v>
      </c>
      <c r="L8" s="880"/>
      <c r="M8" s="880"/>
      <c r="N8"/>
      <c r="O8"/>
      <c r="P8"/>
      <c r="Q8"/>
    </row>
    <row r="9" spans="1:17" s="583" customFormat="1" ht="88.5" customHeight="1" x14ac:dyDescent="0.25">
      <c r="A9" s="1713" t="s">
        <v>10126</v>
      </c>
      <c r="B9" s="1714"/>
      <c r="C9" s="1765"/>
      <c r="D9" s="1756"/>
      <c r="E9" s="1756"/>
      <c r="F9" s="1757"/>
      <c r="H9" s="880" t="s">
        <v>10567</v>
      </c>
      <c r="I9" s="880"/>
      <c r="J9" s="880" t="b">
        <f>OR(J3,K8)</f>
        <v>0</v>
      </c>
      <c r="K9" s="880" t="b">
        <f>$C$9="I disagree"</f>
        <v>0</v>
      </c>
      <c r="L9" s="880"/>
      <c r="M9" s="880"/>
      <c r="N9"/>
      <c r="O9"/>
      <c r="P9"/>
      <c r="Q9"/>
    </row>
    <row r="10" spans="1:17" s="583" customFormat="1" ht="20.100000000000001" customHeight="1" x14ac:dyDescent="0.25">
      <c r="A10" s="1723" t="s">
        <v>10085</v>
      </c>
      <c r="B10" s="1724"/>
      <c r="C10" s="1756"/>
      <c r="D10" s="1756"/>
      <c r="E10" s="1756"/>
      <c r="F10" s="1757"/>
      <c r="H10" s="880"/>
      <c r="I10" s="880"/>
      <c r="J10" s="880" t="b">
        <f>OR(J3,K8,C9="I disagree")</f>
        <v>0</v>
      </c>
      <c r="K10" s="880"/>
      <c r="L10" s="880"/>
      <c r="M10" s="880"/>
      <c r="N10"/>
      <c r="O10"/>
      <c r="P10"/>
      <c r="Q10"/>
    </row>
    <row r="11" spans="1:17" s="583" customFormat="1" ht="57" customHeight="1" x14ac:dyDescent="0.25">
      <c r="A11" s="1723" t="s">
        <v>10086</v>
      </c>
      <c r="B11" s="1724"/>
      <c r="C11" s="1755"/>
      <c r="D11" s="1756"/>
      <c r="E11" s="1756"/>
      <c r="F11" s="1757"/>
      <c r="H11" s="880" t="s">
        <v>10573</v>
      </c>
      <c r="I11" s="880" t="b">
        <f>$C$10="No"</f>
        <v>0</v>
      </c>
      <c r="J11" s="880" t="b">
        <f t="shared" ref="J11:J18" si="0">J10</f>
        <v>0</v>
      </c>
      <c r="K11" s="880"/>
      <c r="L11" s="880"/>
      <c r="M11" s="880"/>
      <c r="N11"/>
      <c r="O11"/>
      <c r="P11"/>
      <c r="Q11"/>
    </row>
    <row r="12" spans="1:17" s="583" customFormat="1" ht="63" customHeight="1" thickBot="1" x14ac:dyDescent="0.3">
      <c r="A12" s="1761" t="s">
        <v>8635</v>
      </c>
      <c r="B12" s="1762"/>
      <c r="C12" s="1758"/>
      <c r="D12" s="1759"/>
      <c r="E12" s="1759"/>
      <c r="F12" s="1760"/>
      <c r="H12" s="880"/>
      <c r="I12" s="880"/>
      <c r="J12" s="880" t="b">
        <f t="shared" si="0"/>
        <v>0</v>
      </c>
      <c r="K12" s="880"/>
      <c r="L12" s="880"/>
      <c r="M12" s="880"/>
      <c r="N12"/>
      <c r="O12"/>
      <c r="P12"/>
      <c r="Q12"/>
    </row>
    <row r="13" spans="1:17" s="583" customFormat="1" ht="30" customHeight="1" thickBot="1" x14ac:dyDescent="0.3">
      <c r="A13" s="1703" t="s">
        <v>8411</v>
      </c>
      <c r="B13" s="1703"/>
      <c r="C13" s="1703"/>
      <c r="D13" s="1703"/>
      <c r="E13" s="1703"/>
      <c r="F13" s="1703"/>
      <c r="H13" s="880"/>
      <c r="I13" s="880"/>
      <c r="J13" s="880" t="b">
        <f>J12</f>
        <v>0</v>
      </c>
      <c r="K13" s="880"/>
      <c r="L13" s="880"/>
      <c r="M13" s="880"/>
      <c r="N13"/>
      <c r="O13"/>
      <c r="P13"/>
      <c r="Q13"/>
    </row>
    <row r="14" spans="1:17" s="583" customFormat="1" ht="20.100000000000001" customHeight="1" x14ac:dyDescent="0.25">
      <c r="A14" s="1732" t="s">
        <v>10167</v>
      </c>
      <c r="B14" s="1733"/>
      <c r="C14" s="1733"/>
      <c r="D14" s="1733"/>
      <c r="E14" s="1733"/>
      <c r="F14" s="1734"/>
      <c r="H14" s="880"/>
      <c r="I14" s="880"/>
      <c r="J14" s="880" t="b">
        <f t="shared" si="0"/>
        <v>0</v>
      </c>
      <c r="K14" s="880"/>
      <c r="L14" s="880"/>
      <c r="M14" s="880"/>
      <c r="N14"/>
      <c r="O14"/>
      <c r="P14"/>
      <c r="Q14"/>
    </row>
    <row r="15" spans="1:17" s="583" customFormat="1" ht="20.100000000000001" customHeight="1" thickBot="1" x14ac:dyDescent="0.3">
      <c r="A15" s="1767" t="s">
        <v>10096</v>
      </c>
      <c r="B15" s="1768"/>
      <c r="C15" s="1768"/>
      <c r="D15" s="1768"/>
      <c r="E15" s="1768"/>
      <c r="F15" s="1769"/>
      <c r="H15" s="880"/>
      <c r="I15" s="880"/>
      <c r="J15" s="880" t="b">
        <f t="shared" si="0"/>
        <v>0</v>
      </c>
      <c r="K15" s="880"/>
      <c r="L15" s="880"/>
      <c r="M15" s="880"/>
      <c r="N15"/>
      <c r="O15"/>
      <c r="P15"/>
      <c r="Q15"/>
    </row>
    <row r="16" spans="1:17" s="583" customFormat="1" ht="30" customHeight="1" x14ac:dyDescent="0.25">
      <c r="A16" s="1792" t="s">
        <v>10506</v>
      </c>
      <c r="B16" s="1793"/>
      <c r="C16" s="1770" t="str">
        <f>IF('PI-1-TankLoading'!D69="","",'PI-1-TankLoading'!D69)</f>
        <v/>
      </c>
      <c r="D16" s="1771"/>
      <c r="E16" s="1771"/>
      <c r="F16" s="1772"/>
      <c r="H16" s="880"/>
      <c r="I16" s="880"/>
      <c r="J16" s="880" t="b">
        <f t="shared" si="0"/>
        <v>0</v>
      </c>
      <c r="K16" s="880"/>
      <c r="L16" s="880"/>
      <c r="M16" s="880"/>
      <c r="N16"/>
      <c r="O16"/>
      <c r="P16"/>
      <c r="Q16"/>
    </row>
    <row r="17" spans="1:17" s="583" customFormat="1" ht="30" customHeight="1" x14ac:dyDescent="0.25">
      <c r="A17" s="1725" t="s">
        <v>8931</v>
      </c>
      <c r="B17" s="1726"/>
      <c r="C17" s="1787"/>
      <c r="D17" s="1788"/>
      <c r="E17" s="1788"/>
      <c r="F17" s="1789"/>
      <c r="H17" s="880" t="s">
        <v>10572</v>
      </c>
      <c r="I17" s="886" t="b">
        <f>IF(COUNTIF('Hidden Inputs'!$BH$2:$BH$40,$C$16)=0,TRUE,FALSE)</f>
        <v>0</v>
      </c>
      <c r="J17" s="880" t="b">
        <f t="shared" si="0"/>
        <v>0</v>
      </c>
      <c r="K17" s="880"/>
      <c r="L17" s="880"/>
      <c r="M17" s="880"/>
      <c r="N17"/>
      <c r="O17"/>
      <c r="P17"/>
      <c r="Q17"/>
    </row>
    <row r="18" spans="1:17" s="583" customFormat="1" ht="45" customHeight="1" thickBot="1" x14ac:dyDescent="0.3">
      <c r="A18" s="1715" t="s">
        <v>8922</v>
      </c>
      <c r="B18" s="1716"/>
      <c r="C18" s="1794" t="str">
        <f>IF(C16="","Select a county from the 'PI-1-TankLoading' sheet.",IF(AND(ISBLANK(C17),IF(COUNTIF('Hidden Inputs'!$BH$2:$BH$40,C16)&gt;0,TRUE,FALSE)),"This county is designated marginal nonattainment for ozone and a portion is in "&amp;VLOOKUP(C16,'Hidden Inputs'!$BE$2:$BG$29,3,FALSE)&amp;" "&amp;VLOOKUP(C16,'Hidden Inputs'!$BE$2:$BG$29,2,FALSE)&amp;" nonattainment. Answer the question above to determine if this facility lies in that portion of the county.",IF('Hidden Inputs'!BO30=0,"Because this project will be located in an area that is in attainment or unclassified for all pollutants, nonattainment review is not required."&amp;" Continue to Section III below for PSD Applicability Determination.",IF(C16="El Paso",IF(C17="Yes","This project will be located in an area designated marginal nonattainment for ozone (as of December 30, 2021) &amp; moderate nonattainment for PM10 (as of November 6, 1991). Complete the following sections.","This project will be located in an area designated marginal nonattainment for ozone as of December 30, 2021. Complete the following sections."),"This project will be located in an area with a"&amp;IF('Hidden Inputs'!BO30="SO2","n "," ")&amp;VLOOKUP(C16,'Hidden Inputs'!$BE$2:$BG$29,3,FALSE)&amp;" "&amp;VLOOKUP(C16,'Hidden Inputs'!$BE$2:$BG$29,2,FALSE)&amp;" nonattainment classification as of "&amp;INDEX('Hidden Inputs'!$BD$2:$BD$29,MATCH(C16,'Hidden Inputs'!$BE$2:$BE$29,0),1)&amp;". Complete the following sections."))))</f>
        <v>Select a county from the 'PI-1-TankLoading' sheet.</v>
      </c>
      <c r="D18" s="1795"/>
      <c r="E18" s="1795"/>
      <c r="F18" s="1796"/>
      <c r="H18" s="883" t="s">
        <v>10617</v>
      </c>
      <c r="I18" s="880"/>
      <c r="J18" s="880" t="b">
        <f t="shared" si="0"/>
        <v>0</v>
      </c>
      <c r="K18" s="880"/>
      <c r="L18" s="880">
        <f>IF(C16="El Paso",IF(C17="Yes",5,1),IF(COUNTIF(C18,"*ozone*"),1,IF(COUNTIF(C18,"*PM10*"),2,IF(COUNTIF(C18,"*SO2*"),3,4))))</f>
        <v>4</v>
      </c>
      <c r="M18" s="880"/>
      <c r="N18"/>
      <c r="O18"/>
      <c r="P18"/>
      <c r="Q18"/>
    </row>
    <row r="19" spans="1:17" s="583" customFormat="1" ht="20.100000000000001" customHeight="1" thickBot="1" x14ac:dyDescent="0.3">
      <c r="A19" s="1703" t="s">
        <v>8411</v>
      </c>
      <c r="B19" s="1703"/>
      <c r="C19" s="1703"/>
      <c r="D19" s="1703"/>
      <c r="E19" s="1703"/>
      <c r="F19" s="1703"/>
      <c r="H19" s="880"/>
      <c r="I19" s="880"/>
      <c r="J19" s="880" t="b">
        <f>J18</f>
        <v>0</v>
      </c>
      <c r="K19" s="880"/>
      <c r="L19" s="880"/>
      <c r="M19" s="880"/>
      <c r="N19"/>
      <c r="O19"/>
      <c r="P19"/>
      <c r="Q19"/>
    </row>
    <row r="20" spans="1:17" s="583" customFormat="1" ht="60" customHeight="1" x14ac:dyDescent="0.25">
      <c r="A20" s="1697" t="s">
        <v>10189</v>
      </c>
      <c r="B20" s="1698"/>
      <c r="C20" s="1698"/>
      <c r="D20" s="1698"/>
      <c r="E20" s="1698"/>
      <c r="F20" s="1699"/>
      <c r="H20" s="880" t="s">
        <v>10577</v>
      </c>
      <c r="I20" s="880"/>
      <c r="J20" s="880" t="b">
        <f>OR(J10,$L$18=4)</f>
        <v>1</v>
      </c>
      <c r="K20" s="880"/>
      <c r="L20" s="880"/>
      <c r="M20" s="880"/>
      <c r="N20"/>
      <c r="O20"/>
      <c r="P20"/>
      <c r="Q20"/>
    </row>
    <row r="21" spans="1:17" s="691" customFormat="1" ht="45" customHeight="1" x14ac:dyDescent="0.25">
      <c r="A21" s="692" t="s">
        <v>2</v>
      </c>
      <c r="B21" s="1746" t="s">
        <v>10122</v>
      </c>
      <c r="C21" s="1766"/>
      <c r="D21" s="694" t="s">
        <v>8924</v>
      </c>
      <c r="E21" s="1746" t="s">
        <v>10076</v>
      </c>
      <c r="F21" s="1747"/>
      <c r="H21" s="880" t="s">
        <v>10577</v>
      </c>
      <c r="I21" s="884"/>
      <c r="J21" s="880" t="b">
        <f t="shared" ref="J21:J34" si="1">J20</f>
        <v>1</v>
      </c>
      <c r="K21" s="884"/>
      <c r="L21" s="884"/>
      <c r="M21" s="884"/>
      <c r="N21"/>
      <c r="O21"/>
      <c r="P21"/>
      <c r="Q21"/>
    </row>
    <row r="22" spans="1:17" s="583" customFormat="1" ht="20.100000000000001" customHeight="1" x14ac:dyDescent="0.25">
      <c r="A22" s="586" t="s">
        <v>8932</v>
      </c>
      <c r="B22" s="1750">
        <f>'Hidden Inputs'!BL20</f>
        <v>0</v>
      </c>
      <c r="C22" s="1751"/>
      <c r="D22" s="584">
        <f>IF('Hidden Inputs'!$BM$30="Moderate ",100,IF('Hidden Inputs'!$BM$30="Serious ",50,IF('Hidden Inputs'!$BM$30="Severe",25,100)))</f>
        <v>100</v>
      </c>
      <c r="E22" s="1748" t="str">
        <f>IF(OR($L$18=1,$L$18=5),IF($B22&gt;=$D22,"Yes","No"),"No")</f>
        <v>No</v>
      </c>
      <c r="F22" s="1749"/>
      <c r="G22" s="588"/>
      <c r="H22" s="880" t="s">
        <v>10600</v>
      </c>
      <c r="I22" s="880" t="b">
        <f>AND($L$18&lt;&gt;1,$L$18&lt;&gt;5)</f>
        <v>1</v>
      </c>
      <c r="J22" s="880" t="b">
        <f t="shared" si="1"/>
        <v>1</v>
      </c>
      <c r="K22" s="880"/>
      <c r="L22" s="880">
        <f>IF(AND(I22=FALSE,J22=FALSE,E22="Yes"),1,0)</f>
        <v>0</v>
      </c>
      <c r="M22" s="880"/>
      <c r="N22"/>
      <c r="O22"/>
      <c r="P22"/>
      <c r="Q22"/>
    </row>
    <row r="23" spans="1:17" s="583" customFormat="1" ht="20.100000000000001" customHeight="1" x14ac:dyDescent="0.25">
      <c r="A23" s="586" t="s">
        <v>8933</v>
      </c>
      <c r="B23" s="1750">
        <f>'Hidden Inputs'!BL21</f>
        <v>0</v>
      </c>
      <c r="C23" s="1751"/>
      <c r="D23" s="584">
        <f>IF('Hidden Inputs'!$BM$30="Moderate ",100,IF('Hidden Inputs'!$BM$30="Serious ",50,IF('Hidden Inputs'!$BM$30="Severe",25,100)))</f>
        <v>100</v>
      </c>
      <c r="E23" s="1748" t="str">
        <f>IF(OR($L$18=1,$L$18=5),IF($B23&gt;=$D23,"Yes","No"),"No")</f>
        <v>No</v>
      </c>
      <c r="F23" s="1749"/>
      <c r="H23" s="880" t="s">
        <v>10600</v>
      </c>
      <c r="I23" s="880" t="b">
        <f>AND($L$18&lt;&gt;1,$L$18&lt;&gt;5)</f>
        <v>1</v>
      </c>
      <c r="J23" s="880" t="b">
        <f t="shared" si="1"/>
        <v>1</v>
      </c>
      <c r="K23" s="880"/>
      <c r="L23" s="880">
        <f t="shared" ref="L23:L25" si="2">IF(AND(I23=FALSE,J23=FALSE,E23="Yes"),1,0)</f>
        <v>0</v>
      </c>
      <c r="M23" s="880"/>
      <c r="N23"/>
      <c r="O23"/>
      <c r="P23"/>
      <c r="Q23"/>
    </row>
    <row r="24" spans="1:17" s="583" customFormat="1" ht="20.100000000000001" customHeight="1" x14ac:dyDescent="0.25">
      <c r="A24" s="586" t="s">
        <v>8492</v>
      </c>
      <c r="B24" s="1750">
        <f>'Hidden Inputs'!BL22</f>
        <v>0</v>
      </c>
      <c r="C24" s="1751"/>
      <c r="D24" s="584">
        <f>IF('Hidden Inputs'!$BM$30="Moderate ",100,IF('Hidden Inputs'!$BM$30="Serious ",70,100))</f>
        <v>100</v>
      </c>
      <c r="E24" s="1748" t="str">
        <f>IF(OR($L$18=2,$L$18=5),IF($B24&gt;=$D24,"Yes","No"),"No")</f>
        <v>No</v>
      </c>
      <c r="F24" s="1749"/>
      <c r="H24" s="880" t="s">
        <v>10601</v>
      </c>
      <c r="I24" s="880" t="b">
        <f>AND($L$18&lt;&gt;2,$L$18&lt;&gt;5)</f>
        <v>1</v>
      </c>
      <c r="J24" s="880" t="b">
        <f t="shared" si="1"/>
        <v>1</v>
      </c>
      <c r="K24" s="880"/>
      <c r="L24" s="880">
        <f t="shared" si="2"/>
        <v>0</v>
      </c>
      <c r="M24" s="880"/>
      <c r="N24"/>
      <c r="O24"/>
      <c r="P24"/>
      <c r="Q24"/>
    </row>
    <row r="25" spans="1:17" s="583" customFormat="1" ht="20.100000000000001" customHeight="1" thickBot="1" x14ac:dyDescent="0.3">
      <c r="A25" s="587" t="s">
        <v>8496</v>
      </c>
      <c r="B25" s="1790">
        <f>'Hidden Inputs'!BL23</f>
        <v>0</v>
      </c>
      <c r="C25" s="1791"/>
      <c r="D25" s="585">
        <v>100</v>
      </c>
      <c r="E25" s="1752" t="str">
        <f>IF($L$18=3,IF($B25&gt;=$D25,"Yes","No"),"No")</f>
        <v>No</v>
      </c>
      <c r="F25" s="1753"/>
      <c r="H25" s="880" t="s">
        <v>10602</v>
      </c>
      <c r="I25" s="880" t="b">
        <f>$L$18&lt;&gt;3</f>
        <v>1</v>
      </c>
      <c r="J25" s="880" t="b">
        <f t="shared" si="1"/>
        <v>1</v>
      </c>
      <c r="K25" s="880"/>
      <c r="L25" s="880">
        <f t="shared" si="2"/>
        <v>0</v>
      </c>
      <c r="M25" s="880"/>
      <c r="N25"/>
      <c r="O25"/>
      <c r="P25"/>
      <c r="Q25"/>
    </row>
    <row r="26" spans="1:17" s="583" customFormat="1" ht="45" customHeight="1" thickBot="1" x14ac:dyDescent="0.3">
      <c r="A26" s="752" t="s">
        <v>8928</v>
      </c>
      <c r="B26" s="1667" t="str">
        <f>IF(AND('Hidden Inputs'!BM28,'Hidden Inputs'!BP32),IF('Hidden Inputs'!BO32,"The current sitewide potential to emit for each pollutant is below the major source threshold. The site is minor for all pollutants. Continue to Step 3 to determine if the site will become major.","The current sitewide potential to emit for at least one pollutant is at or above the major source threshold. "&amp;"For pollutants below the major source threshold, continue to step 4 to determine if the project increase itself is major. "&amp;"For pollutants that equal or exceed the major source threshold, continue to Step 5 to determine if any pollutants require netting."),"Please complete all input areas above this row.")</f>
        <v>Please complete all input areas above this row.</v>
      </c>
      <c r="C26" s="1668"/>
      <c r="D26" s="1668"/>
      <c r="E26" s="1668"/>
      <c r="F26" s="1669"/>
      <c r="G26" s="588"/>
      <c r="H26" s="880" t="s">
        <v>10577</v>
      </c>
      <c r="I26" s="880"/>
      <c r="J26" s="880" t="b">
        <f t="shared" si="1"/>
        <v>1</v>
      </c>
      <c r="K26" s="880"/>
      <c r="L26" s="880"/>
      <c r="M26" s="880"/>
      <c r="N26"/>
      <c r="O26"/>
      <c r="P26"/>
      <c r="Q26"/>
    </row>
    <row r="27" spans="1:17" s="583" customFormat="1" ht="20.100000000000001" customHeight="1" thickBot="1" x14ac:dyDescent="0.3">
      <c r="A27" s="1692" t="s">
        <v>8411</v>
      </c>
      <c r="B27" s="1692"/>
      <c r="C27" s="1692"/>
      <c r="D27" s="1692"/>
      <c r="E27" s="1692"/>
      <c r="F27" s="1692"/>
      <c r="H27" s="880"/>
      <c r="I27" s="880"/>
      <c r="J27" s="880" t="b">
        <f>J26</f>
        <v>1</v>
      </c>
      <c r="K27" s="880"/>
      <c r="L27" s="880"/>
      <c r="M27" s="880"/>
      <c r="N27"/>
      <c r="O27"/>
      <c r="P27"/>
      <c r="Q27"/>
    </row>
    <row r="28" spans="1:17" s="583" customFormat="1" ht="75" customHeight="1" x14ac:dyDescent="0.25">
      <c r="A28" s="1543" t="s">
        <v>10551</v>
      </c>
      <c r="B28" s="1544"/>
      <c r="C28" s="1544"/>
      <c r="D28" s="1544"/>
      <c r="E28" s="1544"/>
      <c r="F28" s="1780"/>
      <c r="H28" s="880" t="s">
        <v>10578</v>
      </c>
      <c r="I28" s="880" t="b">
        <f>SUM(L22:L25)&lt;&gt;0</f>
        <v>0</v>
      </c>
      <c r="J28" s="880" t="b">
        <f t="shared" si="1"/>
        <v>1</v>
      </c>
      <c r="K28" s="880"/>
      <c r="L28" s="880"/>
      <c r="M28" s="880"/>
      <c r="N28"/>
      <c r="O28"/>
      <c r="P28"/>
      <c r="Q28"/>
    </row>
    <row r="29" spans="1:17" s="691" customFormat="1" ht="45" customHeight="1" x14ac:dyDescent="0.25">
      <c r="A29" s="692" t="s">
        <v>2</v>
      </c>
      <c r="B29" s="1691" t="s">
        <v>10163</v>
      </c>
      <c r="C29" s="1691"/>
      <c r="D29" s="694" t="s">
        <v>8924</v>
      </c>
      <c r="E29" s="1682" t="s">
        <v>10043</v>
      </c>
      <c r="F29" s="1683"/>
      <c r="H29" s="880" t="s">
        <v>10578</v>
      </c>
      <c r="I29" s="880" t="b">
        <f>I28</f>
        <v>0</v>
      </c>
      <c r="J29" s="880" t="b">
        <f t="shared" si="1"/>
        <v>1</v>
      </c>
      <c r="K29" s="880"/>
      <c r="L29" s="884"/>
      <c r="M29" s="884"/>
      <c r="N29"/>
      <c r="O29"/>
      <c r="P29"/>
      <c r="Q29"/>
    </row>
    <row r="30" spans="1:17" s="583" customFormat="1" ht="20.100000000000001" customHeight="1" x14ac:dyDescent="0.25">
      <c r="A30" s="586" t="s">
        <v>8932</v>
      </c>
      <c r="B30" s="1678">
        <f>'Hidden Inputs'!BP20</f>
        <v>0</v>
      </c>
      <c r="C30" s="1678"/>
      <c r="D30" s="584">
        <f>IF('Hidden Inputs'!$BM$30="Moderate ",100,IF('Hidden Inputs'!$BM$30="Serious ",50,IF('Hidden Inputs'!$BM$30="Severe",25,100)))</f>
        <v>100</v>
      </c>
      <c r="E30" s="1781" t="str">
        <f>IF(AND($L$18&lt;&gt;1,$L$18&lt;&gt;5),"No",IF(COUNTIF($B$26,"*The site is minor for all pollutants*")&gt;0,IF($B30&gt;=$D30,"Yes","No"),"No"))</f>
        <v>No</v>
      </c>
      <c r="F30" s="1782"/>
      <c r="G30" s="588"/>
      <c r="H30" s="880" t="s">
        <v>10603</v>
      </c>
      <c r="I30" s="880" t="b">
        <f>IF($I$28, TRUE,AND($L$18&lt;&gt;1,$L$18&lt;&gt;5))</f>
        <v>1</v>
      </c>
      <c r="J30" s="880" t="b">
        <f t="shared" si="1"/>
        <v>1</v>
      </c>
      <c r="K30" s="880"/>
      <c r="L30" s="880">
        <f>IF(AND(I30=FALSE,J30=FALSE,E30="Yes"),1,0)</f>
        <v>0</v>
      </c>
      <c r="M30" s="880"/>
      <c r="N30"/>
      <c r="O30"/>
      <c r="P30"/>
      <c r="Q30"/>
    </row>
    <row r="31" spans="1:17" s="583" customFormat="1" ht="20.100000000000001" customHeight="1" x14ac:dyDescent="0.25">
      <c r="A31" s="586" t="s">
        <v>8933</v>
      </c>
      <c r="B31" s="1678">
        <f>'Hidden Inputs'!BP21</f>
        <v>0</v>
      </c>
      <c r="C31" s="1678"/>
      <c r="D31" s="584">
        <f>IF('Hidden Inputs'!$BM$30="Moderate ",100,IF('Hidden Inputs'!$BM$30="Serious ",50,IF('Hidden Inputs'!$BM$30="Severe",25,100)))</f>
        <v>100</v>
      </c>
      <c r="E31" s="1783" t="str">
        <f>IF(AND($L$18&lt;&gt;1,$L$18&lt;&gt;5),"No",IF(COUNTIF($B$26,"*The site is minor for all pollutants*")&gt;0,IF($B31&gt;=$D31,"Yes","No"),"No"))</f>
        <v>No</v>
      </c>
      <c r="F31" s="1784"/>
      <c r="H31" s="880" t="s">
        <v>10603</v>
      </c>
      <c r="I31" s="880" t="b">
        <f>IF($I$28, TRUE,AND($L$18&lt;&gt;1,$L$18&lt;&gt;5))</f>
        <v>1</v>
      </c>
      <c r="J31" s="880" t="b">
        <f t="shared" si="1"/>
        <v>1</v>
      </c>
      <c r="K31" s="880"/>
      <c r="L31" s="880">
        <f t="shared" ref="L31:L33" si="3">IF(AND(I31=FALSE,J31=FALSE,E31="Yes"),1,0)</f>
        <v>0</v>
      </c>
      <c r="M31" s="880"/>
      <c r="N31"/>
      <c r="O31"/>
      <c r="P31"/>
      <c r="Q31"/>
    </row>
    <row r="32" spans="1:17" s="583" customFormat="1" ht="20.100000000000001" customHeight="1" x14ac:dyDescent="0.25">
      <c r="A32" s="586" t="s">
        <v>8492</v>
      </c>
      <c r="B32" s="1678">
        <f>'Hidden Inputs'!BP22</f>
        <v>0</v>
      </c>
      <c r="C32" s="1678"/>
      <c r="D32" s="584">
        <f>IF('Hidden Inputs'!$BM$30="Moderate ",100,IF('Hidden Inputs'!$BM$30="Serious ",70,100))</f>
        <v>100</v>
      </c>
      <c r="E32" s="1783" t="str">
        <f>IF(AND($L$18&lt;&gt;2,$L$18&lt;&gt;5),"No",IF(COUNTIF($B$26,"*The site is minor for all pollutants*")&gt;0,IF($B32&gt;=$D32,"Yes","No"),"No"))</f>
        <v>No</v>
      </c>
      <c r="F32" s="1784"/>
      <c r="H32" s="880" t="s">
        <v>10604</v>
      </c>
      <c r="I32" s="880" t="b">
        <f>IF($I$28, TRUE,AND($L$18&lt;&gt;2,$L$18&lt;&gt;5))</f>
        <v>1</v>
      </c>
      <c r="J32" s="880" t="b">
        <f t="shared" si="1"/>
        <v>1</v>
      </c>
      <c r="K32" s="880"/>
      <c r="L32" s="880">
        <f t="shared" si="3"/>
        <v>0</v>
      </c>
      <c r="M32" s="880"/>
      <c r="N32"/>
      <c r="O32"/>
      <c r="P32"/>
      <c r="Q32"/>
    </row>
    <row r="33" spans="1:17" s="583" customFormat="1" ht="20.100000000000001" customHeight="1" thickBot="1" x14ac:dyDescent="0.3">
      <c r="A33" s="587" t="s">
        <v>8496</v>
      </c>
      <c r="B33" s="1679">
        <f>'Hidden Inputs'!BP23</f>
        <v>0</v>
      </c>
      <c r="C33" s="1679"/>
      <c r="D33" s="585">
        <v>100</v>
      </c>
      <c r="E33" s="1785" t="str">
        <f>IF($L$18&lt;&gt;3,"No",IF(COUNTIF($B$26,"*The site is minor for all pollutants*")&gt;0,IF($B33&gt;=$D33,"Yes","No"),"No"))</f>
        <v>No</v>
      </c>
      <c r="F33" s="1786"/>
      <c r="G33" s="591"/>
      <c r="H33" s="880" t="s">
        <v>10605</v>
      </c>
      <c r="I33" s="880" t="b">
        <f>IF($I$28, TRUE,$L$18&lt;&gt;3)</f>
        <v>1</v>
      </c>
      <c r="J33" s="880" t="b">
        <f t="shared" si="1"/>
        <v>1</v>
      </c>
      <c r="K33" s="880"/>
      <c r="L33" s="880">
        <f t="shared" si="3"/>
        <v>0</v>
      </c>
      <c r="M33" s="880"/>
      <c r="N33"/>
      <c r="O33"/>
      <c r="P33"/>
      <c r="Q33"/>
    </row>
    <row r="34" spans="1:17" s="583" customFormat="1" ht="45" customHeight="1" thickBot="1" x14ac:dyDescent="0.3">
      <c r="A34" s="753" t="s">
        <v>8922</v>
      </c>
      <c r="B34" s="1777" t="str">
        <f>IF(AND('Hidden Inputs'!BM28,'Hidden Inputs'!BP33),IF('Hidden Inputs'!BO33,"The current sitewide potential to emit plus the proposed increase for each pollutant is below the major source threshold. The site will continue to be minor for all pollutants. "&amp;"This project is not subject to nonattainment review. Continue to Section III below for PSD Applicability Determination.","The current sitewide potential to emit plus the proposed increase in potential to emit for at least one pollutant is at or above the major source threshold."&amp;" The site will be a new major source for those pollutants. Continue to Step 4."),"Complete all input areas above this row.")</f>
        <v>Complete all input areas above this row.</v>
      </c>
      <c r="C34" s="1778"/>
      <c r="D34" s="1778"/>
      <c r="E34" s="1778"/>
      <c r="F34" s="1779"/>
      <c r="G34" s="588"/>
      <c r="H34" s="880" t="s">
        <v>10578</v>
      </c>
      <c r="I34" s="880" t="b">
        <f>I28</f>
        <v>0</v>
      </c>
      <c r="J34" s="880" t="b">
        <f t="shared" si="1"/>
        <v>1</v>
      </c>
      <c r="K34" s="880"/>
      <c r="L34" s="886" t="b">
        <f>'Hidden Inputs'!BO33</f>
        <v>1</v>
      </c>
      <c r="M34" s="880"/>
      <c r="N34"/>
      <c r="O34"/>
      <c r="P34"/>
      <c r="Q34"/>
    </row>
    <row r="35" spans="1:17" s="583" customFormat="1" ht="20.100000000000001" customHeight="1" thickBot="1" x14ac:dyDescent="0.3">
      <c r="A35" s="1703" t="s">
        <v>8411</v>
      </c>
      <c r="B35" s="1703"/>
      <c r="C35" s="1703"/>
      <c r="D35" s="1703"/>
      <c r="E35" s="1703"/>
      <c r="F35" s="1703"/>
      <c r="H35" s="880"/>
      <c r="I35" s="880"/>
      <c r="J35" s="880" t="b">
        <f>IF(L34,FALSE,J34)</f>
        <v>0</v>
      </c>
      <c r="K35" s="880"/>
      <c r="L35" s="880"/>
      <c r="M35" s="880"/>
      <c r="N35"/>
      <c r="O35"/>
      <c r="P35"/>
      <c r="Q35"/>
    </row>
    <row r="36" spans="1:17" s="583" customFormat="1" ht="75" customHeight="1" thickBot="1" x14ac:dyDescent="0.3">
      <c r="A36" s="1774" t="s">
        <v>10562</v>
      </c>
      <c r="B36" s="1775"/>
      <c r="C36" s="1775"/>
      <c r="D36" s="1775"/>
      <c r="E36" s="1775"/>
      <c r="F36" s="1776"/>
      <c r="H36" s="880" t="s">
        <v>10579</v>
      </c>
      <c r="I36" s="880" t="b">
        <f>IF(L18=4,TRUE,IF(COUNTIF($B$26,"*minor for all*")&gt;0,IF(COUNTIF($B$34,"*section iii*")&gt;0,TRUE,FALSE),COUNTIF(I22:I25,FALSE)=COUNTIF(L22:L25,1)))</f>
        <v>1</v>
      </c>
      <c r="J36" s="880" t="b">
        <f t="shared" ref="J36:J41" si="4">J35</f>
        <v>0</v>
      </c>
      <c r="K36" s="880"/>
      <c r="L36" s="880"/>
      <c r="M36" s="880"/>
      <c r="N36"/>
      <c r="O36"/>
      <c r="P36"/>
      <c r="Q36"/>
    </row>
    <row r="37" spans="1:17" s="691" customFormat="1" ht="45" customHeight="1" x14ac:dyDescent="0.25">
      <c r="A37" s="696" t="s">
        <v>2</v>
      </c>
      <c r="B37" s="1754" t="s">
        <v>10123</v>
      </c>
      <c r="C37" s="1754"/>
      <c r="D37" s="697" t="s">
        <v>8924</v>
      </c>
      <c r="E37" s="1754" t="s">
        <v>10043</v>
      </c>
      <c r="F37" s="1773"/>
      <c r="G37" s="695"/>
      <c r="H37" s="884" t="s">
        <v>10579</v>
      </c>
      <c r="I37" s="884" t="b">
        <f>I36</f>
        <v>1</v>
      </c>
      <c r="J37" s="880" t="b">
        <f t="shared" si="4"/>
        <v>0</v>
      </c>
      <c r="K37" s="884"/>
      <c r="L37" s="884"/>
      <c r="M37" s="884"/>
      <c r="N37"/>
      <c r="O37"/>
      <c r="P37"/>
      <c r="Q37"/>
    </row>
    <row r="38" spans="1:17" s="583" customFormat="1" ht="20.100000000000001" customHeight="1" x14ac:dyDescent="0.25">
      <c r="A38" s="586" t="s">
        <v>8932</v>
      </c>
      <c r="B38" s="1678">
        <f>'Hidden Inputs'!BN20</f>
        <v>0</v>
      </c>
      <c r="C38" s="1678"/>
      <c r="D38" s="584">
        <f>IF('Hidden Inputs'!$BM$30="Moderate ",100,IF('Hidden Inputs'!$BM$30="Serious ",50,IF('Hidden Inputs'!$BM$30="Severe",25,100)))</f>
        <v>100</v>
      </c>
      <c r="E38" s="1763" t="str">
        <f>IF(AND($L$18&lt;&gt;1,$L$18&lt;&gt;5),"No",IF(COUNTIF($B$26,"*The site is minor for all pollutants*")&gt;0,IF(COUNTIF($B$34,"*step 4*")&gt;0,IF($B38&gt;=$D38,"Yes","No"),"No"),IF($E22="Yes","No",IF($B38&gt;=$D38,"Yes","No"))))</f>
        <v>No</v>
      </c>
      <c r="F38" s="1764"/>
      <c r="H38" s="880" t="s">
        <v>10580</v>
      </c>
      <c r="I38" s="880" t="b">
        <f>IF($I$36,TRUE,IF(AND($L$18&lt;&gt;1,$L$18&lt;&gt;5),TRUE,IF(SUM($L$22:$L$25)&gt;0,$L$22=1,FALSE)))</f>
        <v>1</v>
      </c>
      <c r="J38" s="880" t="b">
        <f t="shared" si="4"/>
        <v>0</v>
      </c>
      <c r="K38" s="880"/>
      <c r="L38" s="880">
        <f>IF(AND(I38=FALSE,J38=FALSE,E38="Yes"),1,0)</f>
        <v>0</v>
      </c>
      <c r="M38" s="880"/>
      <c r="N38"/>
      <c r="O38"/>
      <c r="P38"/>
      <c r="Q38"/>
    </row>
    <row r="39" spans="1:17" s="583" customFormat="1" ht="20.100000000000001" customHeight="1" x14ac:dyDescent="0.25">
      <c r="A39" s="586" t="s">
        <v>8933</v>
      </c>
      <c r="B39" s="1678">
        <f>'Hidden Inputs'!BN21</f>
        <v>0</v>
      </c>
      <c r="C39" s="1678"/>
      <c r="D39" s="584">
        <f>IF('Hidden Inputs'!$BM$30="Moderate ",100,IF('Hidden Inputs'!$BM$30="Serious ",50,IF('Hidden Inputs'!$BM$30="Severe",25,100)))</f>
        <v>100</v>
      </c>
      <c r="E39" s="1671" t="str">
        <f>IF(AND($L$18&lt;&gt;1,$L$18&lt;&gt;5),"No",IF(COUNTIF($B$26,"*The site is minor for all pollutants*")&gt;0,IF(COUNTIF($B$34,"*step 4*")&gt;0,IF($B39&gt;=$D39,"Yes","No"),"No"),IF($E23="Yes","No",IF($B39&gt;=$D39,"Yes","No"))))</f>
        <v>No</v>
      </c>
      <c r="F39" s="1672"/>
      <c r="G39" s="864"/>
      <c r="H39" s="880" t="s">
        <v>10581</v>
      </c>
      <c r="I39" s="880" t="b">
        <f>IF($I$36,TRUE,IF(AND($L$18&lt;&gt;1,$L$18&lt;&gt;5),TRUE,IF(SUM($L$22:$L$25)&gt;0,$L$23=1,FALSE)))</f>
        <v>1</v>
      </c>
      <c r="J39" s="880" t="b">
        <f t="shared" si="4"/>
        <v>0</v>
      </c>
      <c r="K39" s="880"/>
      <c r="L39" s="880">
        <f t="shared" ref="L39:L41" si="5">IF(AND(I39=FALSE,J39=FALSE,E39="Yes"),1,0)</f>
        <v>0</v>
      </c>
      <c r="M39" s="880"/>
      <c r="N39"/>
      <c r="O39"/>
      <c r="P39"/>
      <c r="Q39"/>
    </row>
    <row r="40" spans="1:17" s="583" customFormat="1" ht="20.100000000000001" customHeight="1" x14ac:dyDescent="0.25">
      <c r="A40" s="586" t="s">
        <v>8492</v>
      </c>
      <c r="B40" s="1678">
        <f>'Hidden Inputs'!BN22</f>
        <v>0</v>
      </c>
      <c r="C40" s="1678"/>
      <c r="D40" s="584">
        <f>IF('Hidden Inputs'!$BM$30="Moderate ",100,IF('Hidden Inputs'!$BM$30="Serious ",70,100))</f>
        <v>100</v>
      </c>
      <c r="E40" s="1671" t="str">
        <f>IF(AND($L$18&lt;&gt;2,$L$18&lt;&gt;5),"No",IF(COUNTIF($B$26,"*The site is minor for all pollutants*")&gt;0,IF(COUNTIF($B$34,"*step 4*")&gt;0,IF($B40&gt;=$D40,"Yes","No"),"No"),IF($E24="Yes","No",IF($B40&gt;=$D40,"Yes","No"))))</f>
        <v>No</v>
      </c>
      <c r="F40" s="1672"/>
      <c r="H40" s="880" t="s">
        <v>10582</v>
      </c>
      <c r="I40" s="880" t="b">
        <f>IF($I$36,TRUE,IF(AND($L$18&lt;&gt;2,$L$18&lt;&gt;5),TRUE,IF(SUM($L$22:$L$25)&gt;0,$L$24=1,FALSE)))</f>
        <v>1</v>
      </c>
      <c r="J40" s="880" t="b">
        <f t="shared" si="4"/>
        <v>0</v>
      </c>
      <c r="K40" s="880"/>
      <c r="L40" s="880">
        <f t="shared" si="5"/>
        <v>0</v>
      </c>
      <c r="M40" s="880"/>
      <c r="N40"/>
      <c r="O40"/>
      <c r="P40"/>
      <c r="Q40"/>
    </row>
    <row r="41" spans="1:17" s="583" customFormat="1" ht="20.100000000000001" customHeight="1" thickBot="1" x14ac:dyDescent="0.3">
      <c r="A41" s="587" t="s">
        <v>8496</v>
      </c>
      <c r="B41" s="1679">
        <f>'Hidden Inputs'!BN23</f>
        <v>0</v>
      </c>
      <c r="C41" s="1679"/>
      <c r="D41" s="585">
        <v>100</v>
      </c>
      <c r="E41" s="1735" t="str">
        <f>IF($L$18&lt;&gt;3,"No",IF(COUNTIF($B$26,"*The site is minor for all pollutants*")&gt;0,IF(COUNTIF($B$34,"*step 4*")&gt;0,IF($B41&gt;=$D41,"Yes","No"),"No"),IF($E25="Yes","No",IF($B41&gt;=$D41,"Yes","No"))))</f>
        <v>No</v>
      </c>
      <c r="F41" s="1736"/>
      <c r="H41" s="880" t="s">
        <v>10583</v>
      </c>
      <c r="I41" s="880" t="b">
        <f>IF($I$36,TRUE,IF($L$18&lt;&gt;3,TRUE,IF(SUM($L$22:$L$25)&gt;0,$L$25=1,FALSE)))</f>
        <v>1</v>
      </c>
      <c r="J41" s="880" t="b">
        <f t="shared" si="4"/>
        <v>0</v>
      </c>
      <c r="K41" s="880"/>
      <c r="L41" s="880">
        <f t="shared" si="5"/>
        <v>0</v>
      </c>
      <c r="M41" s="880"/>
      <c r="N41"/>
      <c r="O41"/>
      <c r="P41"/>
      <c r="Q41"/>
    </row>
    <row r="42" spans="1:17" s="583" customFormat="1" ht="45" customHeight="1" thickBot="1" x14ac:dyDescent="0.3">
      <c r="A42" s="753" t="s">
        <v>8929</v>
      </c>
      <c r="B42" s="1694" t="str">
        <f>IF(AND('Hidden Inputs'!BM28,'Hidden Inputs'!BP34),IF('Hidden Inputs'!BO34,"The total proposed potential to emit for each pollutant is below the associated major source threshold."&amp;IF(AND($L$18&lt;&gt;4,SUM($L$22:$L$25)=0,SUM($L$30:$L$33)&gt;0)," Nonattainment review is not required. Continue to Section III below for PSD Applicability Determination.",""),"At least one pollutant in this project is at or above the threshold. The project is subject to nonattainment review for at least one pollutant. This project does not qualify for this RAP."),"Complete all input areas above this row.")</f>
        <v>Complete all input areas above this row.</v>
      </c>
      <c r="C42" s="1695"/>
      <c r="D42" s="1695"/>
      <c r="E42" s="1695"/>
      <c r="F42" s="1696"/>
      <c r="G42" s="588" t="str">
        <f>IF(AND('Hidden Inputs'!BM28,'Hidden Inputs'!BP34),TRUE,"Complete all input areas above this row.")</f>
        <v>Complete all input areas above this row.</v>
      </c>
      <c r="H42" s="880" t="s">
        <v>10579</v>
      </c>
      <c r="I42" s="880" t="b">
        <f>IF(I36,TRUE,IF(B42='Hidden Inputs'!$BK$38,TRUE,FALSE))</f>
        <v>1</v>
      </c>
      <c r="J42" s="880" t="b">
        <f>IF(J41=TRUE, TRUE, IF(I36,TRUE,IF(B42='Hidden Inputs'!$BK$38,TRUE,FALSE)))</f>
        <v>1</v>
      </c>
      <c r="K42" s="880" t="b">
        <f>IF($L$18&lt;&gt;4,IF(SUM($L$22:$L$25)=0,IF(COUNTIF($B$34,"*section iii*")=0,COUNTIF($B$42,"*does not qualify*")&gt;0,FALSE),SUM($L$38:$L$41)&gt;0),FALSE)</f>
        <v>0</v>
      </c>
      <c r="L42" s="886" t="b">
        <f>'Hidden Inputs'!BO34</f>
        <v>1</v>
      </c>
      <c r="M42" s="883"/>
      <c r="N42"/>
      <c r="O42"/>
      <c r="P42"/>
      <c r="Q42"/>
    </row>
    <row r="43" spans="1:17" s="583" customFormat="1" ht="20.100000000000001" customHeight="1" thickBot="1" x14ac:dyDescent="0.3">
      <c r="A43" s="1703" t="s">
        <v>8411</v>
      </c>
      <c r="B43" s="1703"/>
      <c r="C43" s="1703"/>
      <c r="D43" s="1703"/>
      <c r="E43" s="1703"/>
      <c r="F43" s="1703"/>
      <c r="G43" s="583" t="str">
        <f>IF($L$18=4,"N/A",FALSE)</f>
        <v>N/A</v>
      </c>
      <c r="H43" s="880"/>
      <c r="I43" s="880"/>
      <c r="J43" s="880" t="b">
        <f>$J$3</f>
        <v>0</v>
      </c>
      <c r="K43" s="880"/>
      <c r="L43" s="880"/>
      <c r="M43" s="880"/>
      <c r="N43"/>
      <c r="O43"/>
      <c r="P43"/>
      <c r="Q43"/>
    </row>
    <row r="44" spans="1:17" s="583" customFormat="1" ht="105" customHeight="1" x14ac:dyDescent="0.25">
      <c r="A44" s="1697" t="s">
        <v>10497</v>
      </c>
      <c r="B44" s="1698"/>
      <c r="C44" s="1698"/>
      <c r="D44" s="1698"/>
      <c r="E44" s="1698"/>
      <c r="F44" s="1699"/>
      <c r="G44" s="583" t="b">
        <f>IF(SUM($L$22:$L$25)=0,TRUE,FALSE)</f>
        <v>1</v>
      </c>
      <c r="H44" s="885" t="s">
        <v>10584</v>
      </c>
      <c r="I44" s="880" t="b">
        <f>IF($L$18=4,TRUE,IF($K$42,TRUE,IF(COUNTIF($B$26,"*minor for all*")&gt;0,TRUE,FALSE)))</f>
        <v>1</v>
      </c>
      <c r="J44" s="880" t="b">
        <f>$J$9</f>
        <v>0</v>
      </c>
      <c r="K44" s="880"/>
      <c r="L44" s="880"/>
      <c r="M44" s="883"/>
      <c r="N44"/>
      <c r="O44"/>
      <c r="P44"/>
      <c r="Q44"/>
    </row>
    <row r="45" spans="1:17" s="691" customFormat="1" ht="45" customHeight="1" x14ac:dyDescent="0.25">
      <c r="A45" s="692" t="s">
        <v>2</v>
      </c>
      <c r="B45" s="694" t="s">
        <v>10174</v>
      </c>
      <c r="C45" s="693" t="s">
        <v>8923</v>
      </c>
      <c r="D45" s="694" t="s">
        <v>10175</v>
      </c>
      <c r="E45" s="694" t="s">
        <v>10279</v>
      </c>
      <c r="F45" s="690" t="s">
        <v>10043</v>
      </c>
      <c r="G45" s="695"/>
      <c r="H45" s="884" t="s">
        <v>10584</v>
      </c>
      <c r="I45" s="884" t="b">
        <f>$I$44</f>
        <v>1</v>
      </c>
      <c r="J45" s="880" t="b">
        <f t="shared" ref="J45:J50" si="6">$J$9</f>
        <v>0</v>
      </c>
      <c r="K45" s="884"/>
      <c r="L45" s="884"/>
      <c r="M45" s="884"/>
      <c r="N45"/>
      <c r="O45"/>
      <c r="P45"/>
      <c r="Q45"/>
    </row>
    <row r="46" spans="1:17" s="583" customFormat="1" ht="20.100000000000001" customHeight="1" x14ac:dyDescent="0.25">
      <c r="A46" s="586" t="s">
        <v>8932</v>
      </c>
      <c r="B46" s="650">
        <f>'Hidden Inputs'!BO20+'Hidden Inputs'!BM20</f>
        <v>0</v>
      </c>
      <c r="C46" s="651">
        <f>'Hidden Inputs'!BK20</f>
        <v>0</v>
      </c>
      <c r="D46" s="650">
        <f>B46-C46</f>
        <v>0</v>
      </c>
      <c r="E46" s="584">
        <f>IF('Hidden Inputs'!$BM$30="Moderate ",40,IF('Hidden Inputs'!$BM$30="Serious ",5,IF('Hidden Inputs'!$BM$30="Severe",5,40)))</f>
        <v>40</v>
      </c>
      <c r="F46" s="875" t="str">
        <f>IF(OR(AND($L$18&lt;&gt;1,$L$18&lt;&gt;5),COUNTIF($B$26,"*The site is minor for all pollutants*")&gt;0),"No",IF($E22="No","No",IF($D46&gt;=$E46,"Yes","No")))</f>
        <v>No</v>
      </c>
      <c r="H46" s="880" t="s">
        <v>10585</v>
      </c>
      <c r="I46" s="880" t="b">
        <f>IF($I$44,TRUE,IF(AND($L$18&lt;&gt;1,$L$18&lt;&gt;5),TRUE,IF($L$22=0,TRUE,FALSE)))</f>
        <v>1</v>
      </c>
      <c r="J46" s="880" t="b">
        <f t="shared" si="6"/>
        <v>0</v>
      </c>
      <c r="K46" s="880"/>
      <c r="L46" s="880">
        <f>IF(AND(I46=FALSE,F46="Yes"),1,0)</f>
        <v>0</v>
      </c>
      <c r="M46" s="880"/>
      <c r="N46"/>
      <c r="O46"/>
      <c r="P46"/>
      <c r="Q46"/>
    </row>
    <row r="47" spans="1:17" s="583" customFormat="1" ht="20.100000000000001" customHeight="1" x14ac:dyDescent="0.25">
      <c r="A47" s="586" t="s">
        <v>8933</v>
      </c>
      <c r="B47" s="650">
        <f>'Hidden Inputs'!BO21+'Hidden Inputs'!BM21</f>
        <v>0</v>
      </c>
      <c r="C47" s="651">
        <f>'Hidden Inputs'!BK21</f>
        <v>0</v>
      </c>
      <c r="D47" s="650">
        <f>B47-C47</f>
        <v>0</v>
      </c>
      <c r="E47" s="584">
        <f>IF('Hidden Inputs'!$BM$30="Moderate ",40,IF('Hidden Inputs'!$BM$30="Serious ",5,IF('Hidden Inputs'!$BM$30="Severe",5,40)))</f>
        <v>40</v>
      </c>
      <c r="F47" s="875" t="str">
        <f>IF(OR(AND($L$18&lt;&gt;1,$L$18&lt;&gt;5),COUNTIF($B$26,"*The site is minor for all pollutants*")&gt;0),"No",IF($E23="No","No",IF($D47&gt;=$E47,"Yes","No")))</f>
        <v>No</v>
      </c>
      <c r="H47" s="880" t="s">
        <v>10586</v>
      </c>
      <c r="I47" s="880" t="b">
        <f>IF($I$44,TRUE,IF(AND($L$18&lt;&gt;1,$L$18&lt;&gt;5),TRUE,IF($L$23=0,TRUE,FALSE)))</f>
        <v>1</v>
      </c>
      <c r="J47" s="880" t="b">
        <f t="shared" si="6"/>
        <v>0</v>
      </c>
      <c r="K47" s="880"/>
      <c r="L47" s="880">
        <f t="shared" ref="L47:L49" si="7">IF(AND(I47=FALSE,F47="Yes"),1,0)</f>
        <v>0</v>
      </c>
      <c r="M47" s="880"/>
      <c r="N47"/>
      <c r="O47"/>
      <c r="P47"/>
      <c r="Q47"/>
    </row>
    <row r="48" spans="1:17" s="583" customFormat="1" ht="20.100000000000001" customHeight="1" x14ac:dyDescent="0.25">
      <c r="A48" s="586" t="s">
        <v>8492</v>
      </c>
      <c r="B48" s="650">
        <f>'Hidden Inputs'!BO22+'Hidden Inputs'!BM22</f>
        <v>0</v>
      </c>
      <c r="C48" s="651">
        <f>'Hidden Inputs'!BK22</f>
        <v>0</v>
      </c>
      <c r="D48" s="650">
        <f>B48-C48</f>
        <v>0</v>
      </c>
      <c r="E48" s="584">
        <f>IF('Hidden Inputs'!$BM$30="Moderate ",15,IF('Hidden Inputs'!$BM$30="Serious ",5,15))</f>
        <v>15</v>
      </c>
      <c r="F48" s="875" t="str">
        <f>IF(OR(AND($L$18&lt;&gt;2,$L$18&lt;&gt;5),COUNTIF($B$26,"*The site is minor for all pollutants*")&gt;0),"No",IF($E24="No","No",IF($D48&gt;=$E48,"Yes","No")))</f>
        <v>No</v>
      </c>
      <c r="H48" s="880" t="s">
        <v>10587</v>
      </c>
      <c r="I48" s="880" t="b">
        <f>IF($I$44,TRUE,IF(AND($L$18&lt;&gt;2,$L$18&lt;&gt;5),TRUE,IF($L$24=0,TRUE,FALSE)))</f>
        <v>1</v>
      </c>
      <c r="J48" s="880" t="b">
        <f t="shared" si="6"/>
        <v>0</v>
      </c>
      <c r="K48" s="880"/>
      <c r="L48" s="880">
        <f t="shared" si="7"/>
        <v>0</v>
      </c>
      <c r="M48" s="880"/>
      <c r="N48"/>
      <c r="O48"/>
      <c r="P48"/>
      <c r="Q48"/>
    </row>
    <row r="49" spans="1:17" s="583" customFormat="1" ht="20.100000000000001" customHeight="1" thickBot="1" x14ac:dyDescent="0.3">
      <c r="A49" s="587" t="s">
        <v>8496</v>
      </c>
      <c r="B49" s="652">
        <f>'Hidden Inputs'!BO23+'Hidden Inputs'!BM23</f>
        <v>0</v>
      </c>
      <c r="C49" s="651">
        <f>'Hidden Inputs'!BK23</f>
        <v>0</v>
      </c>
      <c r="D49" s="652">
        <f>B49-C49</f>
        <v>0</v>
      </c>
      <c r="E49" s="585">
        <v>40</v>
      </c>
      <c r="F49" s="876" t="str">
        <f>IF(OR($L$18&lt;&gt;3,COUNTIF($B$26,"*The site is minor for all pollutants*")&gt;0),"No",IF($E25="No","No",IF($D49&gt;=$E49,"Yes","No")))</f>
        <v>No</v>
      </c>
      <c r="H49" s="880" t="s">
        <v>10588</v>
      </c>
      <c r="I49" s="880" t="b">
        <f>IF($I$44,TRUE,IF($L$18&lt;&gt;3,TRUE,IF($L$25=0,TRUE,FALSE)))</f>
        <v>1</v>
      </c>
      <c r="J49" s="880" t="b">
        <f t="shared" si="6"/>
        <v>0</v>
      </c>
      <c r="K49" s="880"/>
      <c r="L49" s="880">
        <f t="shared" si="7"/>
        <v>0</v>
      </c>
      <c r="M49" s="880"/>
      <c r="N49"/>
      <c r="O49"/>
      <c r="P49"/>
      <c r="Q49"/>
    </row>
    <row r="50" spans="1:17" s="583" customFormat="1" ht="45" customHeight="1" thickBot="1" x14ac:dyDescent="0.3">
      <c r="A50" s="752" t="s">
        <v>8929</v>
      </c>
      <c r="B50" s="1743" t="str">
        <f>IF(AND('Hidden Inputs'!BM28,'Hidden Inputs'!BP35),IF('Hidden Inputs'!BO35,"The project emission increases for all pollutants are below the significant emission rate. Nonattinment review is not required. Continue to Section III below for PSD Applicability Determination.",'Hidden Inputs'!$BK$38),"Complete all input areas above this row.")</f>
        <v>Complete all input areas above this row.</v>
      </c>
      <c r="C50" s="1744"/>
      <c r="D50" s="1744"/>
      <c r="E50" s="1744"/>
      <c r="F50" s="1745"/>
      <c r="G50" s="588"/>
      <c r="H50" s="880" t="s">
        <v>10584</v>
      </c>
      <c r="I50" s="880" t="b">
        <f>$I$44</f>
        <v>1</v>
      </c>
      <c r="J50" s="880" t="b">
        <f t="shared" si="6"/>
        <v>0</v>
      </c>
      <c r="K50" s="880" t="b">
        <f>IF(B50='Hidden Inputs'!$BK$38,TRUE,FALSE)</f>
        <v>0</v>
      </c>
      <c r="L50" s="880" t="b">
        <f>IF($L$18&lt;&gt;4,IF(SUM($L$22:$L$25)=0,IF(COUNTIF($B$34,"*section iii*")=0,COUNTIF($B$42,"*does not qualify*")&gt;0,FALSE),IF($K$42,TRUE,SUM($L$46:$L$49)&gt;0)),FALSE)</f>
        <v>0</v>
      </c>
      <c r="M50" s="883"/>
      <c r="N50"/>
      <c r="O50"/>
      <c r="P50"/>
      <c r="Q50"/>
    </row>
    <row r="51" spans="1:17" s="583" customFormat="1" ht="30" customHeight="1" thickBot="1" x14ac:dyDescent="0.3">
      <c r="A51" s="1690" t="s">
        <v>8411</v>
      </c>
      <c r="B51" s="1690"/>
      <c r="C51" s="1690"/>
      <c r="D51" s="1690"/>
      <c r="E51" s="1690"/>
      <c r="F51" s="1690"/>
      <c r="H51" s="880"/>
      <c r="I51" s="880"/>
      <c r="J51" s="880" t="b">
        <f>$J$3</f>
        <v>0</v>
      </c>
      <c r="K51" s="880"/>
      <c r="L51" s="880"/>
      <c r="M51" s="880"/>
      <c r="N51"/>
      <c r="O51"/>
      <c r="P51"/>
      <c r="Q51"/>
    </row>
    <row r="52" spans="1:17" s="583" customFormat="1" ht="20.100000000000001" customHeight="1" x14ac:dyDescent="0.25">
      <c r="A52" s="1732" t="s">
        <v>10168</v>
      </c>
      <c r="B52" s="1733"/>
      <c r="C52" s="1733"/>
      <c r="D52" s="1733"/>
      <c r="E52" s="1733"/>
      <c r="F52" s="1734"/>
      <c r="H52" s="880" t="s">
        <v>10589</v>
      </c>
      <c r="I52" s="880"/>
      <c r="J52" s="880" t="b">
        <f>IF($J$10,TRUE,$L$50)</f>
        <v>0</v>
      </c>
      <c r="K52" s="880"/>
      <c r="L52" s="880"/>
      <c r="M52" s="880"/>
      <c r="N52"/>
      <c r="O52"/>
      <c r="P52"/>
      <c r="Q52"/>
    </row>
    <row r="53" spans="1:17" s="583" customFormat="1" ht="20.100000000000001" customHeight="1" thickBot="1" x14ac:dyDescent="0.3">
      <c r="A53" s="1684" t="s">
        <v>10095</v>
      </c>
      <c r="B53" s="1685"/>
      <c r="C53" s="1685"/>
      <c r="D53" s="1685"/>
      <c r="E53" s="1685"/>
      <c r="F53" s="1686"/>
      <c r="H53" s="880" t="s">
        <v>10589</v>
      </c>
      <c r="I53" s="880"/>
      <c r="J53" s="880" t="b">
        <f t="shared" ref="J53:J84" si="8">$J$52</f>
        <v>0</v>
      </c>
      <c r="K53" s="880"/>
      <c r="L53" s="880"/>
      <c r="M53" s="880"/>
      <c r="N53"/>
      <c r="O53"/>
      <c r="P53"/>
      <c r="Q53"/>
    </row>
    <row r="54" spans="1:17" s="583" customFormat="1" ht="30" customHeight="1" x14ac:dyDescent="0.25">
      <c r="A54" s="1721" t="s">
        <v>10100</v>
      </c>
      <c r="B54" s="1722"/>
      <c r="C54" s="1737"/>
      <c r="D54" s="1738"/>
      <c r="E54" s="1738"/>
      <c r="F54" s="1739"/>
      <c r="H54" s="880" t="s">
        <v>10589</v>
      </c>
      <c r="I54" s="880"/>
      <c r="J54" s="880" t="b">
        <f t="shared" si="8"/>
        <v>0</v>
      </c>
      <c r="K54" s="880"/>
      <c r="L54" s="880"/>
      <c r="M54" s="880"/>
      <c r="N54"/>
      <c r="O54"/>
      <c r="P54"/>
      <c r="Q54"/>
    </row>
    <row r="55" spans="1:17" s="583" customFormat="1" ht="30" customHeight="1" x14ac:dyDescent="0.25">
      <c r="A55" s="1719" t="s">
        <v>10094</v>
      </c>
      <c r="B55" s="1720"/>
      <c r="C55" s="1687"/>
      <c r="D55" s="1688"/>
      <c r="E55" s="1688"/>
      <c r="F55" s="1689"/>
      <c r="H55" s="880" t="s">
        <v>10590</v>
      </c>
      <c r="I55" s="880" t="b">
        <f>$C$54&lt;&gt;"Other/Not Listed"</f>
        <v>1</v>
      </c>
      <c r="J55" s="880" t="b">
        <f t="shared" si="8"/>
        <v>0</v>
      </c>
      <c r="K55" s="880"/>
      <c r="L55" s="880"/>
      <c r="M55" s="880"/>
      <c r="N55"/>
      <c r="O55"/>
      <c r="P55"/>
      <c r="Q55"/>
    </row>
    <row r="56" spans="1:17" s="583" customFormat="1" ht="30" customHeight="1" thickBot="1" x14ac:dyDescent="0.3">
      <c r="A56" s="1717" t="s">
        <v>8922</v>
      </c>
      <c r="B56" s="1718"/>
      <c r="C56" s="1740" t="str">
        <f>IF(ISBLANK(C54),"Select a source type above.",IF('Hidden Inputs'!BK28,"This is a named source and the PSD major source threshold is 100 tpy of any one pollutant.","This is not a named source and the PSD major source threshold is 250 tpy of any one pollutant."))</f>
        <v>Select a source type above.</v>
      </c>
      <c r="D56" s="1741"/>
      <c r="E56" s="1741"/>
      <c r="F56" s="1742"/>
      <c r="H56" s="880" t="s">
        <v>10589</v>
      </c>
      <c r="I56" s="880"/>
      <c r="J56" s="880" t="b">
        <f t="shared" si="8"/>
        <v>0</v>
      </c>
      <c r="K56" s="880"/>
      <c r="L56" s="880"/>
      <c r="M56" s="880"/>
      <c r="N56"/>
      <c r="O56"/>
      <c r="P56"/>
      <c r="Q56"/>
    </row>
    <row r="57" spans="1:17" s="583" customFormat="1" ht="15.75" thickBot="1" x14ac:dyDescent="0.3">
      <c r="A57" s="1692" t="s">
        <v>8411</v>
      </c>
      <c r="B57" s="1692"/>
      <c r="C57" s="1692"/>
      <c r="D57" s="1692"/>
      <c r="E57" s="1692"/>
      <c r="F57" s="1692"/>
      <c r="H57" s="880"/>
      <c r="I57" s="880"/>
      <c r="J57" s="880" t="b">
        <f t="shared" si="8"/>
        <v>0</v>
      </c>
      <c r="K57" s="880"/>
      <c r="L57" s="880"/>
      <c r="M57" s="880"/>
      <c r="N57"/>
      <c r="O57"/>
      <c r="P57"/>
      <c r="Q57"/>
    </row>
    <row r="58" spans="1:17" s="583" customFormat="1" ht="60" customHeight="1" x14ac:dyDescent="0.25">
      <c r="A58" s="1700" t="s">
        <v>10172</v>
      </c>
      <c r="B58" s="1701"/>
      <c r="C58" s="1701"/>
      <c r="D58" s="1701"/>
      <c r="E58" s="1701"/>
      <c r="F58" s="1702"/>
      <c r="H58" s="880" t="s">
        <v>10589</v>
      </c>
      <c r="I58" s="880"/>
      <c r="J58" s="880" t="b">
        <f t="shared" si="8"/>
        <v>0</v>
      </c>
      <c r="K58" s="880"/>
      <c r="L58" s="880"/>
      <c r="M58" s="880"/>
      <c r="N58"/>
      <c r="O58"/>
      <c r="P58"/>
      <c r="Q58"/>
    </row>
    <row r="59" spans="1:17" s="691" customFormat="1" ht="45" customHeight="1" x14ac:dyDescent="0.25">
      <c r="A59" s="692" t="s">
        <v>2</v>
      </c>
      <c r="B59" s="1691" t="s">
        <v>10122</v>
      </c>
      <c r="C59" s="1691"/>
      <c r="D59" s="694" t="s">
        <v>8924</v>
      </c>
      <c r="E59" s="1682" t="s">
        <v>10076</v>
      </c>
      <c r="F59" s="1683"/>
      <c r="H59" s="884" t="s">
        <v>10589</v>
      </c>
      <c r="I59" s="884"/>
      <c r="J59" s="880" t="b">
        <f t="shared" si="8"/>
        <v>0</v>
      </c>
      <c r="K59" s="884"/>
      <c r="L59" s="884"/>
      <c r="M59" s="884"/>
      <c r="N59"/>
      <c r="O59"/>
      <c r="P59"/>
      <c r="Q59"/>
    </row>
    <row r="60" spans="1:17" s="583" customFormat="1" ht="20.100000000000001" customHeight="1" x14ac:dyDescent="0.25">
      <c r="A60" s="766" t="s">
        <v>8495</v>
      </c>
      <c r="B60" s="1670">
        <f>'Hidden Inputs'!BL7</f>
        <v>0</v>
      </c>
      <c r="C60" s="1670"/>
      <c r="D60" s="584">
        <f>IF('Hidden Inputs'!$BK$28,100,250)</f>
        <v>250</v>
      </c>
      <c r="E60" s="1680" t="str">
        <f t="shared" ref="E60:E65" si="9">IF(B60&gt;=D60,"Yes","No")</f>
        <v>No</v>
      </c>
      <c r="F60" s="1681"/>
      <c r="G60" s="588"/>
      <c r="H60" s="880" t="s">
        <v>10589</v>
      </c>
      <c r="I60" s="880"/>
      <c r="J60" s="880" t="b">
        <f t="shared" si="8"/>
        <v>0</v>
      </c>
      <c r="K60" s="880"/>
      <c r="L60" s="880">
        <f>IF(E60="yes",1,0)</f>
        <v>0</v>
      </c>
      <c r="M60" s="880"/>
      <c r="N60"/>
      <c r="O60"/>
      <c r="P60"/>
      <c r="Q60"/>
    </row>
    <row r="61" spans="1:17" s="583" customFormat="1" ht="20.100000000000001" customHeight="1" x14ac:dyDescent="0.25">
      <c r="A61" s="766" t="s">
        <v>8494</v>
      </c>
      <c r="B61" s="1670">
        <f>'Hidden Inputs'!BL8</f>
        <v>0</v>
      </c>
      <c r="C61" s="1670"/>
      <c r="D61" s="584">
        <f>IF('Hidden Inputs'!$BK$28,100,250)</f>
        <v>250</v>
      </c>
      <c r="E61" s="1680" t="str">
        <f t="shared" si="9"/>
        <v>No</v>
      </c>
      <c r="F61" s="1681"/>
      <c r="H61" s="880" t="s">
        <v>10589</v>
      </c>
      <c r="I61" s="880"/>
      <c r="J61" s="880" t="b">
        <f t="shared" si="8"/>
        <v>0</v>
      </c>
      <c r="K61" s="880"/>
      <c r="L61" s="880">
        <f t="shared" ref="L61:L68" si="10">IF(E61="yes",1,0)</f>
        <v>0</v>
      </c>
      <c r="M61" s="880"/>
      <c r="N61"/>
      <c r="O61"/>
      <c r="P61"/>
      <c r="Q61"/>
    </row>
    <row r="62" spans="1:17" s="583" customFormat="1" ht="20.100000000000001" customHeight="1" x14ac:dyDescent="0.25">
      <c r="A62" s="766" t="s">
        <v>8491</v>
      </c>
      <c r="B62" s="1670">
        <f>'Hidden Inputs'!BL9</f>
        <v>0</v>
      </c>
      <c r="C62" s="1670"/>
      <c r="D62" s="584">
        <f>IF('Hidden Inputs'!$BK$28,100,250)</f>
        <v>250</v>
      </c>
      <c r="E62" s="1680" t="str">
        <f t="shared" si="9"/>
        <v>No</v>
      </c>
      <c r="F62" s="1681"/>
      <c r="H62" s="880" t="s">
        <v>10589</v>
      </c>
      <c r="I62" s="880"/>
      <c r="J62" s="880" t="b">
        <f t="shared" si="8"/>
        <v>0</v>
      </c>
      <c r="K62" s="880"/>
      <c r="L62" s="880">
        <f t="shared" si="10"/>
        <v>0</v>
      </c>
      <c r="M62" s="880"/>
      <c r="N62"/>
      <c r="O62"/>
      <c r="P62"/>
      <c r="Q62"/>
    </row>
    <row r="63" spans="1:17" s="583" customFormat="1" ht="20.100000000000001" customHeight="1" x14ac:dyDescent="0.25">
      <c r="A63" s="766" t="s">
        <v>8492</v>
      </c>
      <c r="B63" s="1670">
        <f>'Hidden Inputs'!BL10</f>
        <v>0</v>
      </c>
      <c r="C63" s="1670"/>
      <c r="D63" s="584">
        <f>IF('Hidden Inputs'!$BK$28,100,250)</f>
        <v>250</v>
      </c>
      <c r="E63" s="1680" t="str">
        <f t="shared" si="9"/>
        <v>No</v>
      </c>
      <c r="F63" s="1681"/>
      <c r="H63" s="880" t="s">
        <v>10589</v>
      </c>
      <c r="I63" s="880"/>
      <c r="J63" s="880" t="b">
        <f t="shared" si="8"/>
        <v>0</v>
      </c>
      <c r="K63" s="880"/>
      <c r="L63" s="880">
        <f t="shared" si="10"/>
        <v>0</v>
      </c>
      <c r="M63" s="880"/>
      <c r="N63"/>
      <c r="O63"/>
      <c r="P63"/>
      <c r="Q63"/>
    </row>
    <row r="64" spans="1:17" s="583" customFormat="1" ht="20.100000000000001" customHeight="1" x14ac:dyDescent="0.25">
      <c r="A64" s="766" t="s">
        <v>8493</v>
      </c>
      <c r="B64" s="1670">
        <f>'Hidden Inputs'!BL11</f>
        <v>0</v>
      </c>
      <c r="C64" s="1670"/>
      <c r="D64" s="584">
        <f>IF('Hidden Inputs'!$BK$28,100,250)</f>
        <v>250</v>
      </c>
      <c r="E64" s="1680" t="str">
        <f t="shared" si="9"/>
        <v>No</v>
      </c>
      <c r="F64" s="1681"/>
      <c r="H64" s="880" t="s">
        <v>10589</v>
      </c>
      <c r="I64" s="880"/>
      <c r="J64" s="880" t="b">
        <f t="shared" si="8"/>
        <v>0</v>
      </c>
      <c r="K64" s="880"/>
      <c r="L64" s="880">
        <f t="shared" si="10"/>
        <v>0</v>
      </c>
      <c r="M64" s="880"/>
      <c r="N64"/>
      <c r="O64"/>
      <c r="P64"/>
      <c r="Q64"/>
    </row>
    <row r="65" spans="1:17" s="583" customFormat="1" ht="20.100000000000001" customHeight="1" x14ac:dyDescent="0.25">
      <c r="A65" s="766" t="s">
        <v>8496</v>
      </c>
      <c r="B65" s="1670">
        <f>'Hidden Inputs'!BL12</f>
        <v>0</v>
      </c>
      <c r="C65" s="1670"/>
      <c r="D65" s="584">
        <f>IF('Hidden Inputs'!$BK$28,100,250)</f>
        <v>250</v>
      </c>
      <c r="E65" s="1680" t="str">
        <f t="shared" si="9"/>
        <v>No</v>
      </c>
      <c r="F65" s="1681"/>
      <c r="H65" s="880" t="s">
        <v>10589</v>
      </c>
      <c r="I65" s="880"/>
      <c r="J65" s="880" t="b">
        <f t="shared" si="8"/>
        <v>0</v>
      </c>
      <c r="K65" s="880"/>
      <c r="L65" s="880">
        <f t="shared" si="10"/>
        <v>0</v>
      </c>
      <c r="M65" s="880"/>
      <c r="N65"/>
      <c r="O65"/>
      <c r="P65"/>
      <c r="Q65"/>
    </row>
    <row r="66" spans="1:17" s="583" customFormat="1" ht="20.100000000000001" customHeight="1" x14ac:dyDescent="0.25">
      <c r="A66" s="766" t="s">
        <v>8925</v>
      </c>
      <c r="B66" s="1670">
        <f>'Hidden Inputs'!BL13</f>
        <v>0</v>
      </c>
      <c r="C66" s="1670"/>
      <c r="D66" s="584">
        <f>IF('Hidden Inputs'!$BK$28,100,250)</f>
        <v>250</v>
      </c>
      <c r="E66" s="1680" t="str">
        <f>IF(B66&gt;=D66,"Yes","No")</f>
        <v>No</v>
      </c>
      <c r="F66" s="1681"/>
      <c r="H66" s="880" t="s">
        <v>10589</v>
      </c>
      <c r="I66" s="880"/>
      <c r="J66" s="880" t="b">
        <f t="shared" si="8"/>
        <v>0</v>
      </c>
      <c r="K66" s="880"/>
      <c r="L66" s="880">
        <f t="shared" si="10"/>
        <v>0</v>
      </c>
      <c r="M66" s="880"/>
      <c r="N66"/>
      <c r="O66"/>
      <c r="P66"/>
      <c r="Q66"/>
    </row>
    <row r="67" spans="1:17" s="583" customFormat="1" ht="20.100000000000001" customHeight="1" x14ac:dyDescent="0.25">
      <c r="A67" s="766" t="s">
        <v>8926</v>
      </c>
      <c r="B67" s="1670">
        <f>'Hidden Inputs'!BL15</f>
        <v>0</v>
      </c>
      <c r="C67" s="1670"/>
      <c r="D67" s="584">
        <f>IF('Hidden Inputs'!$BK$28,100,250)</f>
        <v>250</v>
      </c>
      <c r="E67" s="1680" t="str">
        <f t="shared" ref="E67:E68" si="11">IF(B67&gt;=D67,"Yes","No")</f>
        <v>No</v>
      </c>
      <c r="F67" s="1681"/>
      <c r="H67" s="880" t="s">
        <v>10589</v>
      </c>
      <c r="I67" s="880"/>
      <c r="J67" s="880" t="b">
        <f t="shared" si="8"/>
        <v>0</v>
      </c>
      <c r="K67" s="880"/>
      <c r="L67" s="880">
        <f t="shared" si="10"/>
        <v>0</v>
      </c>
      <c r="M67" s="880"/>
      <c r="N67"/>
      <c r="O67"/>
      <c r="P67"/>
      <c r="Q67"/>
    </row>
    <row r="68" spans="1:17" s="583" customFormat="1" ht="20.100000000000001" customHeight="1" x14ac:dyDescent="0.25">
      <c r="A68" s="766" t="s">
        <v>8927</v>
      </c>
      <c r="B68" s="1670">
        <f>'Hidden Inputs'!BL18</f>
        <v>0</v>
      </c>
      <c r="C68" s="1670"/>
      <c r="D68" s="584">
        <f>IF('Hidden Inputs'!$BK$28,100,250)</f>
        <v>250</v>
      </c>
      <c r="E68" s="1680" t="str">
        <f t="shared" si="11"/>
        <v>No</v>
      </c>
      <c r="F68" s="1681"/>
      <c r="H68" s="880" t="s">
        <v>10589</v>
      </c>
      <c r="I68" s="880"/>
      <c r="J68" s="880" t="b">
        <f t="shared" si="8"/>
        <v>0</v>
      </c>
      <c r="K68" s="880"/>
      <c r="L68" s="880">
        <f t="shared" si="10"/>
        <v>0</v>
      </c>
      <c r="M68" s="880"/>
      <c r="N68"/>
      <c r="O68"/>
      <c r="P68"/>
      <c r="Q68"/>
    </row>
    <row r="69" spans="1:17" s="583" customFormat="1" ht="45" customHeight="1" thickBot="1" x14ac:dyDescent="0.3">
      <c r="A69" s="774" t="s">
        <v>8928</v>
      </c>
      <c r="B69" s="1673" t="str">
        <f>IF('Hidden Inputs'!BK2,"Select a source type above.",IF('Hidden Inputs'!BK3,"The current sitewide potential to emit for each pollutant is below the major source threshold. The site is minor. Continue to Step 3 to determine if the site will be a major source.","The current sitewide potential to emit for at least one pollutant is at or above the major source threshold. The site is an existing major source. Continue to Step 5"&amp;" to determine which pollutants (if any) are subject to netting."))</f>
        <v>Select a source type above.</v>
      </c>
      <c r="C69" s="1673"/>
      <c r="D69" s="1673"/>
      <c r="E69" s="1673"/>
      <c r="F69" s="1674"/>
      <c r="G69" s="588"/>
      <c r="H69" s="880" t="s">
        <v>10589</v>
      </c>
      <c r="I69" s="880"/>
      <c r="J69" s="880" t="b">
        <f t="shared" si="8"/>
        <v>0</v>
      </c>
      <c r="K69" s="880"/>
      <c r="L69" s="880"/>
      <c r="M69" s="880"/>
      <c r="N69"/>
      <c r="O69"/>
      <c r="P69"/>
      <c r="Q69"/>
    </row>
    <row r="70" spans="1:17" s="583" customFormat="1" ht="15.75" thickBot="1" x14ac:dyDescent="0.3">
      <c r="A70" s="1004" t="s">
        <v>8411</v>
      </c>
      <c r="B70" s="1004"/>
      <c r="C70" s="1004"/>
      <c r="D70" s="1004"/>
      <c r="E70" s="1004"/>
      <c r="F70" s="1004"/>
      <c r="H70" s="880"/>
      <c r="I70" s="880"/>
      <c r="J70" s="880" t="b">
        <f>$J$3</f>
        <v>0</v>
      </c>
      <c r="K70" s="880"/>
      <c r="L70" s="880"/>
      <c r="M70" s="880"/>
      <c r="N70"/>
      <c r="O70"/>
      <c r="P70"/>
      <c r="Q70"/>
    </row>
    <row r="71" spans="1:17" s="583" customFormat="1" ht="75" customHeight="1" x14ac:dyDescent="0.25">
      <c r="A71" s="1700" t="s">
        <v>10498</v>
      </c>
      <c r="B71" s="1701"/>
      <c r="C71" s="1701"/>
      <c r="D71" s="1701"/>
      <c r="E71" s="1701"/>
      <c r="F71" s="1702"/>
      <c r="H71" s="880" t="s">
        <v>10591</v>
      </c>
      <c r="I71" s="880" t="b">
        <f>SUM($L$60:$L$68)&gt;0</f>
        <v>0</v>
      </c>
      <c r="J71" s="880" t="b">
        <f t="shared" si="8"/>
        <v>0</v>
      </c>
      <c r="K71" s="880"/>
      <c r="L71" s="880"/>
      <c r="M71" s="880"/>
      <c r="N71"/>
      <c r="O71"/>
      <c r="P71"/>
      <c r="Q71"/>
    </row>
    <row r="72" spans="1:17" s="691" customFormat="1" ht="45" customHeight="1" x14ac:dyDescent="0.25">
      <c r="A72" s="692" t="s">
        <v>2</v>
      </c>
      <c r="B72" s="1691" t="s">
        <v>10154</v>
      </c>
      <c r="C72" s="1691"/>
      <c r="D72" s="694" t="s">
        <v>8924</v>
      </c>
      <c r="E72" s="1682" t="s">
        <v>10076</v>
      </c>
      <c r="F72" s="1683"/>
      <c r="H72" s="884" t="s">
        <v>10591</v>
      </c>
      <c r="I72" s="884" t="b">
        <f>$I$71</f>
        <v>0</v>
      </c>
      <c r="J72" s="880" t="b">
        <f t="shared" si="8"/>
        <v>0</v>
      </c>
      <c r="K72" s="884"/>
      <c r="L72" s="884"/>
      <c r="M72" s="884"/>
      <c r="N72"/>
      <c r="O72"/>
      <c r="P72"/>
      <c r="Q72"/>
    </row>
    <row r="73" spans="1:17" s="583" customFormat="1" ht="20.100000000000001" customHeight="1" x14ac:dyDescent="0.25">
      <c r="A73" s="766" t="s">
        <v>8495</v>
      </c>
      <c r="B73" s="1670">
        <f>'Hidden Inputs'!BP7</f>
        <v>0</v>
      </c>
      <c r="C73" s="1670"/>
      <c r="D73" s="584">
        <f>IF('Hidden Inputs'!$BK$28,100,250)</f>
        <v>250</v>
      </c>
      <c r="E73" s="1763" t="str">
        <f t="shared" ref="E73:E81" si="12">IF(COUNTIF($B$69,"*the site is minor*")&gt;0,IF($B73&gt;=$D73,"Yes","No"),"No")</f>
        <v>No</v>
      </c>
      <c r="F73" s="1764"/>
      <c r="G73" s="588"/>
      <c r="H73" s="880" t="s">
        <v>10591</v>
      </c>
      <c r="I73" s="884" t="b">
        <f t="shared" ref="I73:I82" si="13">$I$71</f>
        <v>0</v>
      </c>
      <c r="J73" s="880" t="b">
        <f t="shared" si="8"/>
        <v>0</v>
      </c>
      <c r="K73" s="884"/>
      <c r="L73" s="880">
        <f t="shared" ref="L73:L81" si="14">IF(E73="yes",1,0)</f>
        <v>0</v>
      </c>
      <c r="M73" s="880"/>
      <c r="N73"/>
      <c r="O73"/>
      <c r="P73"/>
      <c r="Q73"/>
    </row>
    <row r="74" spans="1:17" s="583" customFormat="1" ht="20.100000000000001" customHeight="1" x14ac:dyDescent="0.25">
      <c r="A74" s="766" t="s">
        <v>8494</v>
      </c>
      <c r="B74" s="1670">
        <f>'Hidden Inputs'!BP8</f>
        <v>0</v>
      </c>
      <c r="C74" s="1670"/>
      <c r="D74" s="584">
        <f>IF('Hidden Inputs'!$BK$28,100,250)</f>
        <v>250</v>
      </c>
      <c r="E74" s="1671" t="str">
        <f t="shared" si="12"/>
        <v>No</v>
      </c>
      <c r="F74" s="1672"/>
      <c r="H74" s="880" t="s">
        <v>10591</v>
      </c>
      <c r="I74" s="884" t="b">
        <f t="shared" si="13"/>
        <v>0</v>
      </c>
      <c r="J74" s="880" t="b">
        <f t="shared" si="8"/>
        <v>0</v>
      </c>
      <c r="K74" s="884"/>
      <c r="L74" s="880">
        <f t="shared" si="14"/>
        <v>0</v>
      </c>
      <c r="M74" s="880"/>
      <c r="N74"/>
      <c r="O74"/>
      <c r="P74"/>
      <c r="Q74"/>
    </row>
    <row r="75" spans="1:17" s="583" customFormat="1" ht="20.100000000000001" customHeight="1" x14ac:dyDescent="0.25">
      <c r="A75" s="766" t="s">
        <v>8491</v>
      </c>
      <c r="B75" s="1670">
        <f>'Hidden Inputs'!BP9</f>
        <v>0</v>
      </c>
      <c r="C75" s="1670"/>
      <c r="D75" s="584">
        <f>IF('Hidden Inputs'!$BK$28,100,250)</f>
        <v>250</v>
      </c>
      <c r="E75" s="1671" t="str">
        <f t="shared" si="12"/>
        <v>No</v>
      </c>
      <c r="F75" s="1672"/>
      <c r="H75" s="880" t="s">
        <v>10591</v>
      </c>
      <c r="I75" s="884" t="b">
        <f t="shared" si="13"/>
        <v>0</v>
      </c>
      <c r="J75" s="880" t="b">
        <f t="shared" si="8"/>
        <v>0</v>
      </c>
      <c r="K75" s="884"/>
      <c r="L75" s="880">
        <f t="shared" si="14"/>
        <v>0</v>
      </c>
      <c r="M75" s="880"/>
      <c r="N75"/>
      <c r="O75"/>
      <c r="P75"/>
      <c r="Q75"/>
    </row>
    <row r="76" spans="1:17" s="583" customFormat="1" ht="20.100000000000001" customHeight="1" x14ac:dyDescent="0.25">
      <c r="A76" s="766" t="s">
        <v>8492</v>
      </c>
      <c r="B76" s="1670">
        <f>'Hidden Inputs'!BP10</f>
        <v>0</v>
      </c>
      <c r="C76" s="1670"/>
      <c r="D76" s="584">
        <f>IF('Hidden Inputs'!$BK$28,100,250)</f>
        <v>250</v>
      </c>
      <c r="E76" s="1671" t="str">
        <f t="shared" si="12"/>
        <v>No</v>
      </c>
      <c r="F76" s="1672"/>
      <c r="H76" s="880" t="s">
        <v>10591</v>
      </c>
      <c r="I76" s="884" t="b">
        <f t="shared" si="13"/>
        <v>0</v>
      </c>
      <c r="J76" s="880" t="b">
        <f t="shared" si="8"/>
        <v>0</v>
      </c>
      <c r="K76" s="884"/>
      <c r="L76" s="880">
        <f t="shared" si="14"/>
        <v>0</v>
      </c>
      <c r="M76" s="880"/>
      <c r="N76"/>
      <c r="O76"/>
      <c r="P76"/>
      <c r="Q76"/>
    </row>
    <row r="77" spans="1:17" s="583" customFormat="1" ht="20.100000000000001" customHeight="1" x14ac:dyDescent="0.25">
      <c r="A77" s="766" t="s">
        <v>8493</v>
      </c>
      <c r="B77" s="1670">
        <f>'Hidden Inputs'!BP11</f>
        <v>0</v>
      </c>
      <c r="C77" s="1670"/>
      <c r="D77" s="584">
        <f>IF('Hidden Inputs'!$BK$28,100,250)</f>
        <v>250</v>
      </c>
      <c r="E77" s="1671" t="str">
        <f t="shared" si="12"/>
        <v>No</v>
      </c>
      <c r="F77" s="1672"/>
      <c r="H77" s="880" t="s">
        <v>10591</v>
      </c>
      <c r="I77" s="884" t="b">
        <f t="shared" si="13"/>
        <v>0</v>
      </c>
      <c r="J77" s="880" t="b">
        <f t="shared" si="8"/>
        <v>0</v>
      </c>
      <c r="K77" s="884"/>
      <c r="L77" s="880">
        <f t="shared" si="14"/>
        <v>0</v>
      </c>
      <c r="M77" s="880"/>
      <c r="N77"/>
      <c r="O77"/>
      <c r="P77"/>
      <c r="Q77"/>
    </row>
    <row r="78" spans="1:17" s="583" customFormat="1" ht="20.100000000000001" customHeight="1" x14ac:dyDescent="0.25">
      <c r="A78" s="766" t="s">
        <v>8496</v>
      </c>
      <c r="B78" s="1670">
        <f>'Hidden Inputs'!BP12</f>
        <v>0</v>
      </c>
      <c r="C78" s="1670"/>
      <c r="D78" s="584">
        <f>IF('Hidden Inputs'!$BK$28,100,250)</f>
        <v>250</v>
      </c>
      <c r="E78" s="1671" t="str">
        <f t="shared" si="12"/>
        <v>No</v>
      </c>
      <c r="F78" s="1672"/>
      <c r="H78" s="880" t="s">
        <v>10591</v>
      </c>
      <c r="I78" s="884" t="b">
        <f t="shared" si="13"/>
        <v>0</v>
      </c>
      <c r="J78" s="880" t="b">
        <f t="shared" si="8"/>
        <v>0</v>
      </c>
      <c r="K78" s="884"/>
      <c r="L78" s="880">
        <f t="shared" si="14"/>
        <v>0</v>
      </c>
      <c r="M78" s="880"/>
      <c r="N78"/>
      <c r="O78"/>
      <c r="P78"/>
      <c r="Q78"/>
    </row>
    <row r="79" spans="1:17" s="583" customFormat="1" ht="20.100000000000001" customHeight="1" x14ac:dyDescent="0.25">
      <c r="A79" s="766" t="s">
        <v>8925</v>
      </c>
      <c r="B79" s="1670">
        <f>'Hidden Inputs'!BP13</f>
        <v>0</v>
      </c>
      <c r="C79" s="1670"/>
      <c r="D79" s="584">
        <f>IF('Hidden Inputs'!$BK$28,100,250)</f>
        <v>250</v>
      </c>
      <c r="E79" s="1671" t="str">
        <f t="shared" si="12"/>
        <v>No</v>
      </c>
      <c r="F79" s="1672"/>
      <c r="H79" s="880" t="s">
        <v>10591</v>
      </c>
      <c r="I79" s="884" t="b">
        <f t="shared" si="13"/>
        <v>0</v>
      </c>
      <c r="J79" s="880" t="b">
        <f t="shared" si="8"/>
        <v>0</v>
      </c>
      <c r="K79" s="884"/>
      <c r="L79" s="880">
        <f t="shared" si="14"/>
        <v>0</v>
      </c>
      <c r="M79" s="880"/>
      <c r="N79"/>
      <c r="O79"/>
      <c r="P79"/>
      <c r="Q79"/>
    </row>
    <row r="80" spans="1:17" s="583" customFormat="1" ht="20.100000000000001" customHeight="1" x14ac:dyDescent="0.25">
      <c r="A80" s="766" t="s">
        <v>8926</v>
      </c>
      <c r="B80" s="1670">
        <f>'Hidden Inputs'!BP15</f>
        <v>0</v>
      </c>
      <c r="C80" s="1670"/>
      <c r="D80" s="584">
        <f>IF('Hidden Inputs'!$BK$28,100,250)</f>
        <v>250</v>
      </c>
      <c r="E80" s="1671" t="str">
        <f t="shared" si="12"/>
        <v>No</v>
      </c>
      <c r="F80" s="1672"/>
      <c r="H80" s="880" t="s">
        <v>10591</v>
      </c>
      <c r="I80" s="884" t="b">
        <f t="shared" si="13"/>
        <v>0</v>
      </c>
      <c r="J80" s="880" t="b">
        <f t="shared" si="8"/>
        <v>0</v>
      </c>
      <c r="K80" s="884"/>
      <c r="L80" s="880">
        <f t="shared" si="14"/>
        <v>0</v>
      </c>
      <c r="M80" s="880"/>
      <c r="N80"/>
      <c r="O80"/>
      <c r="P80"/>
      <c r="Q80"/>
    </row>
    <row r="81" spans="1:17" s="583" customFormat="1" ht="20.100000000000001" customHeight="1" x14ac:dyDescent="0.25">
      <c r="A81" s="766" t="s">
        <v>8927</v>
      </c>
      <c r="B81" s="1670">
        <f>'Hidden Inputs'!BP18</f>
        <v>0</v>
      </c>
      <c r="C81" s="1670"/>
      <c r="D81" s="584">
        <f>IF('Hidden Inputs'!$BK$28,100,250)</f>
        <v>250</v>
      </c>
      <c r="E81" s="1671" t="str">
        <f t="shared" si="12"/>
        <v>No</v>
      </c>
      <c r="F81" s="1672"/>
      <c r="H81" s="880" t="s">
        <v>10591</v>
      </c>
      <c r="I81" s="884" t="b">
        <f t="shared" si="13"/>
        <v>0</v>
      </c>
      <c r="J81" s="880" t="b">
        <f t="shared" si="8"/>
        <v>0</v>
      </c>
      <c r="K81" s="884"/>
      <c r="L81" s="880">
        <f t="shared" si="14"/>
        <v>0</v>
      </c>
      <c r="M81" s="880"/>
      <c r="N81"/>
      <c r="O81"/>
      <c r="P81"/>
      <c r="Q81"/>
    </row>
    <row r="82" spans="1:17" s="583" customFormat="1" ht="45" customHeight="1" thickBot="1" x14ac:dyDescent="0.3">
      <c r="A82" s="774" t="s">
        <v>8928</v>
      </c>
      <c r="B82" s="1673" t="str">
        <f>IF('Hidden Inputs'!BL2,"Select a source type above.",IF(COUNTIF($B$69,"*the site is minor*")&gt;0,IF(COUNTIF($E$73:$F$81,"yes")=0,"The current sitewide potential to emit plus the proposed increase in potential to emit for each pollutant is below the major source threshold. The site is minor. "&amp;"This project is not subject to PSD Review.","The current sitewide potential to emit plus the proposed increase in potential to emit for at least one "&amp;"pollutant is at or above the major source threshold."&amp;" The site will be a new major source. Continue to Step 4."),"N/A"))</f>
        <v>Select a source type above.</v>
      </c>
      <c r="C82" s="1673"/>
      <c r="D82" s="1673"/>
      <c r="E82" s="1673"/>
      <c r="F82" s="1674"/>
      <c r="G82" s="588"/>
      <c r="H82" s="880" t="s">
        <v>10591</v>
      </c>
      <c r="I82" s="884" t="b">
        <f t="shared" si="13"/>
        <v>0</v>
      </c>
      <c r="J82" s="880" t="b">
        <f t="shared" si="8"/>
        <v>0</v>
      </c>
      <c r="K82" s="884"/>
      <c r="L82" s="880"/>
      <c r="M82" s="880"/>
      <c r="N82"/>
      <c r="O82"/>
      <c r="P82"/>
      <c r="Q82"/>
    </row>
    <row r="83" spans="1:17" s="583" customFormat="1" ht="30" customHeight="1" thickBot="1" x14ac:dyDescent="0.3">
      <c r="A83" s="1004" t="s">
        <v>8411</v>
      </c>
      <c r="B83" s="1004"/>
      <c r="C83" s="1004"/>
      <c r="D83" s="1004"/>
      <c r="E83" s="1004"/>
      <c r="F83" s="1004"/>
      <c r="H83" s="880"/>
      <c r="I83" s="884"/>
      <c r="J83" s="880" t="b">
        <f>$J$3</f>
        <v>0</v>
      </c>
      <c r="K83" s="884"/>
      <c r="L83" s="880"/>
      <c r="M83" s="880"/>
      <c r="N83"/>
      <c r="O83"/>
      <c r="P83"/>
      <c r="Q83"/>
    </row>
    <row r="84" spans="1:17" s="583" customFormat="1" ht="75" customHeight="1" x14ac:dyDescent="0.25">
      <c r="A84" s="1675" t="s">
        <v>10557</v>
      </c>
      <c r="B84" s="1676"/>
      <c r="C84" s="1676"/>
      <c r="D84" s="1676"/>
      <c r="E84" s="1676"/>
      <c r="F84" s="1677"/>
      <c r="H84" s="880" t="s">
        <v>10596</v>
      </c>
      <c r="I84" s="880" t="b">
        <f>IF(COUNTIF($B$82,"*select*")=0,IF(SUM($L$60:$L$68)&gt;0,TRUE,SUM(L60:L68,L73:L81)=0),FALSE)</f>
        <v>0</v>
      </c>
      <c r="J84" s="880" t="b">
        <f t="shared" si="8"/>
        <v>0</v>
      </c>
      <c r="K84" s="880"/>
      <c r="L84" s="880"/>
      <c r="M84" s="880"/>
      <c r="N84"/>
      <c r="O84"/>
      <c r="P84"/>
      <c r="Q84"/>
    </row>
    <row r="85" spans="1:17" s="691" customFormat="1" ht="45" customHeight="1" x14ac:dyDescent="0.25">
      <c r="A85" s="692" t="s">
        <v>2</v>
      </c>
      <c r="B85" s="1691" t="s">
        <v>10123</v>
      </c>
      <c r="C85" s="1691"/>
      <c r="D85" s="694" t="s">
        <v>8924</v>
      </c>
      <c r="E85" s="1682" t="s">
        <v>10043</v>
      </c>
      <c r="F85" s="1683"/>
      <c r="H85" s="880" t="s">
        <v>10596</v>
      </c>
      <c r="I85" s="880" t="b">
        <f>$I$84</f>
        <v>0</v>
      </c>
      <c r="J85" s="880" t="b">
        <f t="shared" ref="J85:J108" si="15">$J$52</f>
        <v>0</v>
      </c>
      <c r="K85" s="884"/>
      <c r="L85" s="884"/>
      <c r="M85" s="884"/>
      <c r="N85"/>
      <c r="O85"/>
      <c r="P85"/>
      <c r="Q85"/>
    </row>
    <row r="86" spans="1:17" s="583" customFormat="1" ht="20.100000000000001" customHeight="1" x14ac:dyDescent="0.25">
      <c r="A86" s="766" t="s">
        <v>8495</v>
      </c>
      <c r="B86" s="1678">
        <f>'Hidden Inputs'!BN7</f>
        <v>0</v>
      </c>
      <c r="C86" s="1678"/>
      <c r="D86" s="584">
        <f>IF('Hidden Inputs'!$BK$28,100,250)</f>
        <v>250</v>
      </c>
      <c r="E86" s="1781" t="str">
        <f t="shared" ref="E86:E90" si="16">IF(OR(COUNTIF($B$69,"*netting*")&gt;0,COUNTIF($B$82,"*not subject*")&gt;0),"No",IF($B86&gt;=$D86,"Yes","No"))</f>
        <v>No</v>
      </c>
      <c r="F86" s="1782"/>
      <c r="G86" s="864"/>
      <c r="H86" s="880" t="s">
        <v>10596</v>
      </c>
      <c r="I86" s="880" t="b">
        <f>$I$84</f>
        <v>0</v>
      </c>
      <c r="J86" s="880" t="b">
        <f t="shared" si="15"/>
        <v>0</v>
      </c>
      <c r="K86" s="884"/>
      <c r="L86" s="880">
        <f t="shared" ref="L86:L94" si="17">IF(AND(I86=FALSE,E86="yes"),1,0)</f>
        <v>0</v>
      </c>
      <c r="M86" s="880"/>
      <c r="N86"/>
      <c r="O86"/>
      <c r="P86"/>
      <c r="Q86"/>
    </row>
    <row r="87" spans="1:17" s="583" customFormat="1" ht="20.100000000000001" customHeight="1" x14ac:dyDescent="0.25">
      <c r="A87" s="766" t="s">
        <v>8494</v>
      </c>
      <c r="B87" s="1678">
        <f>'Hidden Inputs'!BN8</f>
        <v>0</v>
      </c>
      <c r="C87" s="1678"/>
      <c r="D87" s="584">
        <f>IF('Hidden Inputs'!$BK$28,100,250)</f>
        <v>250</v>
      </c>
      <c r="E87" s="1781" t="str">
        <f t="shared" si="16"/>
        <v>No</v>
      </c>
      <c r="F87" s="1782"/>
      <c r="H87" s="880" t="s">
        <v>10596</v>
      </c>
      <c r="I87" s="880" t="b">
        <f>$I$84</f>
        <v>0</v>
      </c>
      <c r="J87" s="880" t="b">
        <f t="shared" si="15"/>
        <v>0</v>
      </c>
      <c r="K87" s="884"/>
      <c r="L87" s="880">
        <f t="shared" si="17"/>
        <v>0</v>
      </c>
      <c r="M87" s="880"/>
      <c r="N87"/>
      <c r="O87"/>
      <c r="P87"/>
      <c r="Q87"/>
    </row>
    <row r="88" spans="1:17" s="583" customFormat="1" ht="20.100000000000001" customHeight="1" x14ac:dyDescent="0.25">
      <c r="A88" s="766" t="s">
        <v>8491</v>
      </c>
      <c r="B88" s="1678">
        <f>'Hidden Inputs'!BN9</f>
        <v>0</v>
      </c>
      <c r="C88" s="1678"/>
      <c r="D88" s="584">
        <f>IF('Hidden Inputs'!$BK$28,100,250)</f>
        <v>250</v>
      </c>
      <c r="E88" s="1781" t="str">
        <f t="shared" si="16"/>
        <v>No</v>
      </c>
      <c r="F88" s="1782"/>
      <c r="H88" s="880" t="s">
        <v>10596</v>
      </c>
      <c r="I88" s="880" t="b">
        <f>$I$84</f>
        <v>0</v>
      </c>
      <c r="J88" s="880" t="b">
        <f t="shared" si="15"/>
        <v>0</v>
      </c>
      <c r="K88" s="884"/>
      <c r="L88" s="880">
        <f t="shared" si="17"/>
        <v>0</v>
      </c>
      <c r="M88" s="880"/>
      <c r="N88"/>
      <c r="O88"/>
      <c r="P88"/>
      <c r="Q88"/>
    </row>
    <row r="89" spans="1:17" s="583" customFormat="1" ht="20.100000000000001" customHeight="1" x14ac:dyDescent="0.25">
      <c r="A89" s="766" t="s">
        <v>8492</v>
      </c>
      <c r="B89" s="1678">
        <f>'Hidden Inputs'!BN10</f>
        <v>0</v>
      </c>
      <c r="C89" s="1678"/>
      <c r="D89" s="584">
        <f>IF('Hidden Inputs'!$BK$28,100,250)</f>
        <v>250</v>
      </c>
      <c r="E89" s="1781" t="str">
        <f>IF(OR($L$18=2,$L$18=5,COUNTIF($B$69,"*netting*")&gt;0,COUNTIF($B$82,"*not subject*")&gt;0),"No",IF($B89&gt;=$D89,"Yes","No"))</f>
        <v>No</v>
      </c>
      <c r="F89" s="1782"/>
      <c r="H89" s="880" t="s">
        <v>10597</v>
      </c>
      <c r="I89" s="880" t="b">
        <f>OR($I$84,$L$18=2,$L$18=5)</f>
        <v>0</v>
      </c>
      <c r="J89" s="880" t="b">
        <f t="shared" si="15"/>
        <v>0</v>
      </c>
      <c r="K89" s="884"/>
      <c r="L89" s="880">
        <f t="shared" si="17"/>
        <v>0</v>
      </c>
      <c r="M89" s="880"/>
      <c r="N89"/>
      <c r="O89"/>
      <c r="P89"/>
      <c r="Q89"/>
    </row>
    <row r="90" spans="1:17" s="583" customFormat="1" ht="20.100000000000001" customHeight="1" x14ac:dyDescent="0.25">
      <c r="A90" s="766" t="s">
        <v>8493</v>
      </c>
      <c r="B90" s="1678">
        <f>'Hidden Inputs'!BN11</f>
        <v>0</v>
      </c>
      <c r="C90" s="1678"/>
      <c r="D90" s="584">
        <f>IF('Hidden Inputs'!$BK$28,100,250)</f>
        <v>250</v>
      </c>
      <c r="E90" s="1781" t="str">
        <f t="shared" si="16"/>
        <v>No</v>
      </c>
      <c r="F90" s="1782"/>
      <c r="H90" s="880" t="s">
        <v>10596</v>
      </c>
      <c r="I90" s="880" t="b">
        <f>$I$84</f>
        <v>0</v>
      </c>
      <c r="J90" s="880" t="b">
        <f t="shared" si="15"/>
        <v>0</v>
      </c>
      <c r="K90" s="884"/>
      <c r="L90" s="880">
        <f t="shared" si="17"/>
        <v>0</v>
      </c>
      <c r="M90" s="880"/>
      <c r="N90"/>
      <c r="O90"/>
      <c r="P90"/>
      <c r="Q90"/>
    </row>
    <row r="91" spans="1:17" s="583" customFormat="1" ht="20.100000000000001" customHeight="1" x14ac:dyDescent="0.25">
      <c r="A91" s="766" t="s">
        <v>8496</v>
      </c>
      <c r="B91" s="1678">
        <f>'Hidden Inputs'!BN12</f>
        <v>0</v>
      </c>
      <c r="C91" s="1678"/>
      <c r="D91" s="584">
        <f>IF('Hidden Inputs'!$BK$28,100,250)</f>
        <v>250</v>
      </c>
      <c r="E91" s="1781" t="str">
        <f>IF(OR($L$18=3,COUNTIF($B$69,"*netting*")&gt;0,COUNTIF($B$82,"*not subject*")&gt;0),"No",IF($B91&gt;=$D91,"Yes","No"))</f>
        <v>No</v>
      </c>
      <c r="F91" s="1782"/>
      <c r="H91" s="880" t="s">
        <v>10598</v>
      </c>
      <c r="I91" s="880" t="b">
        <f>OR($I$84,$L$18=3)</f>
        <v>0</v>
      </c>
      <c r="J91" s="880" t="b">
        <f t="shared" si="15"/>
        <v>0</v>
      </c>
      <c r="K91" s="886"/>
      <c r="L91" s="880">
        <f t="shared" si="17"/>
        <v>0</v>
      </c>
      <c r="M91" s="880"/>
      <c r="N91"/>
      <c r="O91"/>
      <c r="P91"/>
      <c r="Q91"/>
    </row>
    <row r="92" spans="1:17" s="583" customFormat="1" ht="20.100000000000001" customHeight="1" x14ac:dyDescent="0.25">
      <c r="A92" s="766" t="s">
        <v>8925</v>
      </c>
      <c r="B92" s="1678">
        <f>'Hidden Inputs'!BN13</f>
        <v>0</v>
      </c>
      <c r="C92" s="1678"/>
      <c r="D92" s="584">
        <f>IF('Hidden Inputs'!$BK$28,100,250)</f>
        <v>250</v>
      </c>
      <c r="E92" s="1781" t="str">
        <f>IF(OR($L$18=1,$L$18=5,COUNTIF($B$69,"*netting*")&gt;0,COUNTIF($B$82,"*not subject*")&gt;0),"No",IF($B92&gt;=$D92,"Yes","No"))</f>
        <v>No</v>
      </c>
      <c r="F92" s="1782"/>
      <c r="H92" s="880" t="s">
        <v>10599</v>
      </c>
      <c r="I92" s="880" t="b">
        <f>OR($I$84,$L$18=1,$L$18=5)</f>
        <v>0</v>
      </c>
      <c r="J92" s="880" t="b">
        <f t="shared" si="15"/>
        <v>0</v>
      </c>
      <c r="K92" s="886"/>
      <c r="L92" s="880">
        <f t="shared" si="17"/>
        <v>0</v>
      </c>
      <c r="M92" s="880"/>
      <c r="N92"/>
      <c r="O92"/>
      <c r="P92"/>
      <c r="Q92"/>
    </row>
    <row r="93" spans="1:17" s="583" customFormat="1" ht="20.100000000000001" customHeight="1" x14ac:dyDescent="0.25">
      <c r="A93" s="766" t="s">
        <v>8926</v>
      </c>
      <c r="B93" s="1678">
        <f>'Hidden Inputs'!BN15</f>
        <v>0</v>
      </c>
      <c r="C93" s="1678"/>
      <c r="D93" s="584">
        <f>IF('Hidden Inputs'!$BK$28,100,250)</f>
        <v>250</v>
      </c>
      <c r="E93" s="1781" t="str">
        <f t="shared" ref="E93:E94" si="18">IF(OR(COUNTIF($B$69,"*netting*")&gt;0,COUNTIF($B$82,"*not subject*")&gt;0),"No",IF($B93&gt;=$D93,"Yes","No"))</f>
        <v>No</v>
      </c>
      <c r="F93" s="1782"/>
      <c r="H93" s="880" t="s">
        <v>10596</v>
      </c>
      <c r="I93" s="880" t="b">
        <f>$I$84</f>
        <v>0</v>
      </c>
      <c r="J93" s="880" t="b">
        <f t="shared" si="15"/>
        <v>0</v>
      </c>
      <c r="K93" s="880"/>
      <c r="L93" s="880">
        <f t="shared" si="17"/>
        <v>0</v>
      </c>
      <c r="M93" s="880"/>
      <c r="N93"/>
      <c r="O93"/>
      <c r="P93"/>
      <c r="Q93"/>
    </row>
    <row r="94" spans="1:17" s="583" customFormat="1" ht="20.100000000000001" customHeight="1" x14ac:dyDescent="0.25">
      <c r="A94" s="766" t="s">
        <v>8927</v>
      </c>
      <c r="B94" s="1678">
        <f>'Hidden Inputs'!BN18</f>
        <v>0</v>
      </c>
      <c r="C94" s="1678"/>
      <c r="D94" s="584">
        <f>IF('Hidden Inputs'!$BK$28,100,250)</f>
        <v>250</v>
      </c>
      <c r="E94" s="1781" t="str">
        <f t="shared" si="18"/>
        <v>No</v>
      </c>
      <c r="F94" s="1782"/>
      <c r="H94" s="880" t="s">
        <v>10596</v>
      </c>
      <c r="I94" s="880" t="b">
        <f>$I$84</f>
        <v>0</v>
      </c>
      <c r="J94" s="880" t="b">
        <f t="shared" si="15"/>
        <v>0</v>
      </c>
      <c r="K94" s="880"/>
      <c r="L94" s="880">
        <f t="shared" si="17"/>
        <v>0</v>
      </c>
      <c r="M94" s="880"/>
      <c r="N94"/>
      <c r="O94"/>
      <c r="P94"/>
      <c r="Q94"/>
    </row>
    <row r="95" spans="1:17" s="583" customFormat="1" ht="45" customHeight="1" thickBot="1" x14ac:dyDescent="0.3">
      <c r="A95" s="774" t="s">
        <v>8929</v>
      </c>
      <c r="B95" s="1673" t="str">
        <f>IF('Hidden Inputs'!BM2,"Select a source type above.",IF('Hidden Inputs'!BM3,"The total proposed potential to emit for each pollutant is below the associated major source threshold. PSD review is not required for this project.","At least one pollutant in this project is at or above the threshold. The project is subject to PSD review and does not qualify for this RAP."))</f>
        <v>Select a source type above.</v>
      </c>
      <c r="C95" s="1673"/>
      <c r="D95" s="1673"/>
      <c r="E95" s="1673"/>
      <c r="F95" s="1674"/>
      <c r="H95" s="880" t="s">
        <v>10596</v>
      </c>
      <c r="I95" s="880" t="b">
        <f>$I$84</f>
        <v>0</v>
      </c>
      <c r="J95" s="880" t="b">
        <f t="shared" si="15"/>
        <v>0</v>
      </c>
      <c r="K95" s="880" t="b">
        <f>COUNTIF($B$95,"*does not qualify*")&gt;0</f>
        <v>0</v>
      </c>
      <c r="L95" s="880"/>
      <c r="M95" s="880"/>
      <c r="N95"/>
      <c r="O95"/>
      <c r="P95"/>
      <c r="Q95"/>
    </row>
    <row r="96" spans="1:17" s="583" customFormat="1" ht="30" customHeight="1" thickBot="1" x14ac:dyDescent="0.3">
      <c r="A96" s="1690" t="s">
        <v>8411</v>
      </c>
      <c r="B96" s="1690"/>
      <c r="C96" s="1690"/>
      <c r="D96" s="1690"/>
      <c r="E96" s="1690"/>
      <c r="F96" s="1690"/>
      <c r="H96" s="880"/>
      <c r="I96" s="880"/>
      <c r="J96" s="880" t="b">
        <f>$J$3</f>
        <v>0</v>
      </c>
      <c r="K96" s="880"/>
      <c r="L96" s="880"/>
      <c r="M96" s="880"/>
      <c r="N96"/>
      <c r="O96"/>
      <c r="P96"/>
      <c r="Q96"/>
    </row>
    <row r="97" spans="1:17" s="583" customFormat="1" ht="105" customHeight="1" x14ac:dyDescent="0.25">
      <c r="A97" s="1697" t="s">
        <v>10500</v>
      </c>
      <c r="B97" s="1698"/>
      <c r="C97" s="1698"/>
      <c r="D97" s="1698"/>
      <c r="E97" s="1698"/>
      <c r="F97" s="1699"/>
      <c r="H97" s="880" t="s">
        <v>10592</v>
      </c>
      <c r="I97" s="880" t="b">
        <f>SUM($L$60:$L$68)=0</f>
        <v>1</v>
      </c>
      <c r="J97" s="880" t="b">
        <f t="shared" si="15"/>
        <v>0</v>
      </c>
      <c r="K97" s="880"/>
      <c r="L97" s="880"/>
      <c r="M97" s="880"/>
      <c r="N97"/>
      <c r="O97"/>
      <c r="P97"/>
      <c r="Q97"/>
    </row>
    <row r="98" spans="1:17" s="691" customFormat="1" ht="45" customHeight="1" x14ac:dyDescent="0.25">
      <c r="A98" s="872" t="s">
        <v>2</v>
      </c>
      <c r="B98" s="873" t="s">
        <v>10174</v>
      </c>
      <c r="C98" s="873" t="s">
        <v>8923</v>
      </c>
      <c r="D98" s="873" t="s">
        <v>10175</v>
      </c>
      <c r="E98" s="873" t="s">
        <v>8930</v>
      </c>
      <c r="F98" s="690" t="s">
        <v>10043</v>
      </c>
      <c r="H98" s="880" t="s">
        <v>10592</v>
      </c>
      <c r="I98" s="880" t="b">
        <f>$I$97</f>
        <v>1</v>
      </c>
      <c r="J98" s="880" t="b">
        <f t="shared" si="15"/>
        <v>0</v>
      </c>
      <c r="K98" s="884"/>
      <c r="L98" s="884"/>
      <c r="M98" s="884"/>
      <c r="N98"/>
      <c r="O98"/>
      <c r="P98"/>
      <c r="Q98"/>
    </row>
    <row r="99" spans="1:17" s="583" customFormat="1" ht="20.100000000000001" customHeight="1" x14ac:dyDescent="0.25">
      <c r="A99" s="865" t="s">
        <v>8495</v>
      </c>
      <c r="B99" s="866">
        <f>'Hidden Inputs'!BO7+'Hidden Inputs'!BM7</f>
        <v>0</v>
      </c>
      <c r="C99" s="866">
        <f>'Hidden Inputs'!BK7</f>
        <v>0</v>
      </c>
      <c r="D99" s="867">
        <f>B99-C99</f>
        <v>0</v>
      </c>
      <c r="E99" s="867">
        <v>100</v>
      </c>
      <c r="F99" s="874" t="str">
        <f>IF(COUNTIF($B$69,"*netting*")=0,"No",IF($D99&gt;=$E99,"Yes","No"))</f>
        <v>No</v>
      </c>
      <c r="H99" s="880" t="s">
        <v>10592</v>
      </c>
      <c r="I99" s="880" t="b">
        <f>$I$97</f>
        <v>1</v>
      </c>
      <c r="J99" s="880" t="b">
        <f t="shared" si="15"/>
        <v>0</v>
      </c>
      <c r="K99" s="880"/>
      <c r="L99" s="880">
        <f t="shared" ref="L99:L107" si="19">IF(AND(I99=FALSE,E99="yes"),1,0)</f>
        <v>0</v>
      </c>
      <c r="M99" s="880"/>
      <c r="N99"/>
      <c r="O99"/>
      <c r="P99"/>
      <c r="Q99"/>
    </row>
    <row r="100" spans="1:17" s="583" customFormat="1" ht="20.100000000000001" customHeight="1" x14ac:dyDescent="0.25">
      <c r="A100" s="868" t="s">
        <v>8494</v>
      </c>
      <c r="B100" s="867">
        <f>'Hidden Inputs'!BO8+'Hidden Inputs'!BM8</f>
        <v>0</v>
      </c>
      <c r="C100" s="867">
        <f>'Hidden Inputs'!BK8</f>
        <v>0</v>
      </c>
      <c r="D100" s="869">
        <f t="shared" ref="D100:D107" si="20">B100-C100</f>
        <v>0</v>
      </c>
      <c r="E100" s="869">
        <v>40</v>
      </c>
      <c r="F100" s="874" t="str">
        <f t="shared" ref="F100:F103" si="21">IF(COUNTIF($B$69,"*netting*")=0,"No",IF($D100&gt;=$E100,"Yes","No"))</f>
        <v>No</v>
      </c>
      <c r="G100" s="592"/>
      <c r="H100" s="880" t="s">
        <v>10592</v>
      </c>
      <c r="I100" s="880" t="b">
        <f>$I$97</f>
        <v>1</v>
      </c>
      <c r="J100" s="880" t="b">
        <f t="shared" si="15"/>
        <v>0</v>
      </c>
      <c r="K100" s="880"/>
      <c r="L100" s="880">
        <f t="shared" si="19"/>
        <v>0</v>
      </c>
      <c r="M100" s="880"/>
      <c r="N100"/>
      <c r="O100"/>
      <c r="P100"/>
      <c r="Q100"/>
    </row>
    <row r="101" spans="1:17" s="583" customFormat="1" ht="20.100000000000001" customHeight="1" x14ac:dyDescent="0.25">
      <c r="A101" s="868" t="s">
        <v>8491</v>
      </c>
      <c r="B101" s="867">
        <f>'Hidden Inputs'!BO9+'Hidden Inputs'!BM9</f>
        <v>0</v>
      </c>
      <c r="C101" s="867">
        <f>'Hidden Inputs'!BK9</f>
        <v>0</v>
      </c>
      <c r="D101" s="869">
        <f t="shared" si="20"/>
        <v>0</v>
      </c>
      <c r="E101" s="869">
        <v>25</v>
      </c>
      <c r="F101" s="874" t="str">
        <f t="shared" si="21"/>
        <v>No</v>
      </c>
      <c r="G101" s="592"/>
      <c r="H101" s="880" t="s">
        <v>10592</v>
      </c>
      <c r="I101" s="880" t="b">
        <f>$I$97</f>
        <v>1</v>
      </c>
      <c r="J101" s="880" t="b">
        <f t="shared" si="15"/>
        <v>0</v>
      </c>
      <c r="K101" s="880"/>
      <c r="L101" s="880">
        <f t="shared" si="19"/>
        <v>0</v>
      </c>
      <c r="M101" s="880"/>
      <c r="N101"/>
      <c r="O101"/>
      <c r="P101"/>
      <c r="Q101"/>
    </row>
    <row r="102" spans="1:17" s="583" customFormat="1" ht="20.100000000000001" customHeight="1" x14ac:dyDescent="0.25">
      <c r="A102" s="868" t="s">
        <v>8492</v>
      </c>
      <c r="B102" s="867">
        <f>'Hidden Inputs'!BO10+'Hidden Inputs'!BM10</f>
        <v>0</v>
      </c>
      <c r="C102" s="867">
        <f>'Hidden Inputs'!BK10</f>
        <v>0</v>
      </c>
      <c r="D102" s="869">
        <f t="shared" si="20"/>
        <v>0</v>
      </c>
      <c r="E102" s="869">
        <v>15</v>
      </c>
      <c r="F102" s="870" t="str">
        <f>IF(OR($L$18=2,$L$18=5,COUNTIF($B$69,"*netting*")=0),"No",IF($D$102&gt;=$E$102,"Yes","No"))</f>
        <v>No</v>
      </c>
      <c r="G102" s="592"/>
      <c r="H102" s="880" t="s">
        <v>10593</v>
      </c>
      <c r="I102" s="884" t="b">
        <f>OR($I$97,$L$18=2,$L$18=5)</f>
        <v>1</v>
      </c>
      <c r="J102" s="880" t="b">
        <f t="shared" si="15"/>
        <v>0</v>
      </c>
      <c r="K102" s="880"/>
      <c r="L102" s="880">
        <f t="shared" si="19"/>
        <v>0</v>
      </c>
      <c r="M102" s="880"/>
      <c r="N102"/>
      <c r="O102"/>
      <c r="P102"/>
      <c r="Q102"/>
    </row>
    <row r="103" spans="1:17" s="583" customFormat="1" ht="20.100000000000001" customHeight="1" x14ac:dyDescent="0.25">
      <c r="A103" s="868" t="s">
        <v>8493</v>
      </c>
      <c r="B103" s="867">
        <f>'Hidden Inputs'!BO11+'Hidden Inputs'!BM11</f>
        <v>0</v>
      </c>
      <c r="C103" s="867">
        <f>'Hidden Inputs'!BK11</f>
        <v>0</v>
      </c>
      <c r="D103" s="869">
        <f t="shared" si="20"/>
        <v>0</v>
      </c>
      <c r="E103" s="869">
        <v>10</v>
      </c>
      <c r="F103" s="870" t="str">
        <f t="shared" si="21"/>
        <v>No</v>
      </c>
      <c r="G103" s="592"/>
      <c r="H103" s="880" t="s">
        <v>10592</v>
      </c>
      <c r="I103" s="884" t="b">
        <f>$I$97</f>
        <v>1</v>
      </c>
      <c r="J103" s="880" t="b">
        <f t="shared" si="15"/>
        <v>0</v>
      </c>
      <c r="K103" s="880"/>
      <c r="L103" s="880">
        <f t="shared" si="19"/>
        <v>0</v>
      </c>
      <c r="M103" s="880"/>
      <c r="N103"/>
      <c r="O103"/>
      <c r="P103"/>
      <c r="Q103"/>
    </row>
    <row r="104" spans="1:17" s="583" customFormat="1" ht="20.100000000000001" customHeight="1" x14ac:dyDescent="0.25">
      <c r="A104" s="868" t="s">
        <v>8496</v>
      </c>
      <c r="B104" s="867">
        <f>'Hidden Inputs'!BO12+'Hidden Inputs'!BM12</f>
        <v>0</v>
      </c>
      <c r="C104" s="867">
        <f>'Hidden Inputs'!BK12</f>
        <v>0</v>
      </c>
      <c r="D104" s="869">
        <f t="shared" si="20"/>
        <v>0</v>
      </c>
      <c r="E104" s="869">
        <v>40</v>
      </c>
      <c r="F104" s="870" t="str">
        <f>IF(OR($L$18=3,COUNTIF($B$69,"*netting*")=0),"No",IF($D$104&gt;=$E$104,"Yes","No"))</f>
        <v>No</v>
      </c>
      <c r="G104" s="592"/>
      <c r="H104" s="880" t="s">
        <v>10594</v>
      </c>
      <c r="I104" s="884" t="b">
        <f>OR($I$97,$L$18=3)</f>
        <v>1</v>
      </c>
      <c r="J104" s="880" t="b">
        <f t="shared" si="15"/>
        <v>0</v>
      </c>
      <c r="K104" s="880"/>
      <c r="L104" s="880">
        <f t="shared" si="19"/>
        <v>0</v>
      </c>
      <c r="M104" s="880"/>
      <c r="N104"/>
      <c r="O104"/>
      <c r="P104"/>
      <c r="Q104"/>
    </row>
    <row r="105" spans="1:17" s="583" customFormat="1" ht="20.100000000000001" customHeight="1" x14ac:dyDescent="0.25">
      <c r="A105" s="868" t="s">
        <v>8925</v>
      </c>
      <c r="B105" s="867">
        <f>'Hidden Inputs'!BO13+'Hidden Inputs'!BM13</f>
        <v>0</v>
      </c>
      <c r="C105" s="867">
        <f>'Hidden Inputs'!BK13</f>
        <v>0</v>
      </c>
      <c r="D105" s="869">
        <f t="shared" si="20"/>
        <v>0</v>
      </c>
      <c r="E105" s="869">
        <v>40</v>
      </c>
      <c r="F105" s="870" t="str">
        <f>IF(OR($L$18=1,$L$18=5,COUNTIF($B$69,"*netting*")=0),"No",IF($D$105&gt;=$E$105,"Yes","No"))</f>
        <v>No</v>
      </c>
      <c r="G105" s="592"/>
      <c r="H105" s="880" t="s">
        <v>10595</v>
      </c>
      <c r="I105" s="884" t="b">
        <f>OR($I$97,$L$18=1,$L$18=5)</f>
        <v>1</v>
      </c>
      <c r="J105" s="880" t="b">
        <f t="shared" si="15"/>
        <v>0</v>
      </c>
      <c r="K105" s="880"/>
      <c r="L105" s="880">
        <f t="shared" si="19"/>
        <v>0</v>
      </c>
      <c r="M105" s="880"/>
      <c r="N105"/>
      <c r="O105"/>
      <c r="P105"/>
      <c r="Q105"/>
    </row>
    <row r="106" spans="1:17" s="583" customFormat="1" ht="20.100000000000001" customHeight="1" x14ac:dyDescent="0.25">
      <c r="A106" s="868" t="s">
        <v>8926</v>
      </c>
      <c r="B106" s="867">
        <f>'Hidden Inputs'!BO15+'Hidden Inputs'!BM15</f>
        <v>0</v>
      </c>
      <c r="C106" s="867">
        <f>'Hidden Inputs'!BK15</f>
        <v>0</v>
      </c>
      <c r="D106" s="869">
        <f t="shared" si="20"/>
        <v>0</v>
      </c>
      <c r="E106" s="869">
        <v>10</v>
      </c>
      <c r="F106" s="870" t="str">
        <f t="shared" ref="F106:F107" si="22">IF(COUNTIF($B$69,"*netting*")=0,"No",IF($D106&gt;=$E106,"Yes","No"))</f>
        <v>No</v>
      </c>
      <c r="G106" s="592"/>
      <c r="H106" s="880" t="s">
        <v>10592</v>
      </c>
      <c r="I106" s="880" t="b">
        <f>$I$97</f>
        <v>1</v>
      </c>
      <c r="J106" s="880" t="b">
        <f t="shared" si="15"/>
        <v>0</v>
      </c>
      <c r="K106" s="880"/>
      <c r="L106" s="880">
        <f t="shared" si="19"/>
        <v>0</v>
      </c>
      <c r="M106" s="880"/>
      <c r="N106"/>
      <c r="O106"/>
      <c r="P106"/>
      <c r="Q106"/>
    </row>
    <row r="107" spans="1:17" s="583" customFormat="1" ht="20.100000000000001" customHeight="1" thickBot="1" x14ac:dyDescent="0.3">
      <c r="A107" s="868" t="s">
        <v>8927</v>
      </c>
      <c r="B107" s="867">
        <f>'Hidden Inputs'!BO18+'Hidden Inputs'!BM18</f>
        <v>0</v>
      </c>
      <c r="C107" s="867">
        <f>'Hidden Inputs'!BK18</f>
        <v>0</v>
      </c>
      <c r="D107" s="869">
        <f t="shared" si="20"/>
        <v>0</v>
      </c>
      <c r="E107" s="869">
        <v>7</v>
      </c>
      <c r="F107" s="870" t="str">
        <f t="shared" si="22"/>
        <v>No</v>
      </c>
      <c r="G107" s="592"/>
      <c r="H107" s="880" t="s">
        <v>10592</v>
      </c>
      <c r="I107" s="880" t="b">
        <f>$I$97</f>
        <v>1</v>
      </c>
      <c r="J107" s="880" t="b">
        <f t="shared" si="15"/>
        <v>0</v>
      </c>
      <c r="K107" s="880"/>
      <c r="L107" s="880">
        <f t="shared" si="19"/>
        <v>0</v>
      </c>
      <c r="M107" s="880"/>
      <c r="N107"/>
      <c r="O107"/>
      <c r="P107"/>
      <c r="Q107"/>
    </row>
    <row r="108" spans="1:17" s="583" customFormat="1" ht="39.950000000000003" customHeight="1" thickBot="1" x14ac:dyDescent="0.3">
      <c r="A108" s="871" t="s">
        <v>8929</v>
      </c>
      <c r="B108" s="1667" t="str">
        <f>IF('Hidden Inputs'!BN2,"Select a source type above.",IF('Hidden Inputs'!BN3,"The project emission increases for all pollutants are below the significant emission rate. PSD review is not required.","At least one pollutant in this project is at or above the threshold. Netting would be required. This project does not qualify for this RAP."))</f>
        <v>Select a source type above.</v>
      </c>
      <c r="C108" s="1668"/>
      <c r="D108" s="1668"/>
      <c r="E108" s="1668"/>
      <c r="F108" s="1669"/>
      <c r="G108" s="588"/>
      <c r="H108" s="880" t="s">
        <v>10592</v>
      </c>
      <c r="I108" s="880" t="b">
        <f>$I$97</f>
        <v>1</v>
      </c>
      <c r="J108" s="880" t="b">
        <f t="shared" si="15"/>
        <v>0</v>
      </c>
      <c r="K108" s="880" t="b">
        <f>COUNTIF($B$108,"*does not qualify*")&gt;0</f>
        <v>0</v>
      </c>
      <c r="L108" s="880"/>
      <c r="M108" s="880"/>
      <c r="N108"/>
      <c r="O108"/>
      <c r="P108"/>
      <c r="Q108"/>
    </row>
    <row r="109" spans="1:17" s="583" customFormat="1" ht="14.25" x14ac:dyDescent="0.2">
      <c r="A109" s="1693" t="s">
        <v>8455</v>
      </c>
      <c r="B109" s="1693"/>
      <c r="C109" s="1693"/>
      <c r="D109" s="1693"/>
      <c r="E109" s="1693"/>
      <c r="F109" s="1693"/>
      <c r="H109" s="880"/>
      <c r="I109" s="880"/>
      <c r="J109" s="880"/>
      <c r="K109" s="880"/>
      <c r="L109" s="880"/>
      <c r="M109" s="880"/>
      <c r="N109" s="880"/>
    </row>
  </sheetData>
  <sheetProtection algorithmName="SHA-512" hashValue="x/Oqps0I7nf1+1o/aYEM7z1J+lOpGv8VkTOvRJ+7OwShPVLY5kLCoMtuxAMnbxcEl3DscP8A1UARx3LFUT0tMQ==" saltValue="mkrYVXkx1EIeTZp7fMINyg==" spinCount="100000" sheet="1" objects="1" scenarios="1" formatColumns="0" formatRows="0" autoFilter="0"/>
  <mergeCells count="151">
    <mergeCell ref="E73:F73"/>
    <mergeCell ref="B74:C74"/>
    <mergeCell ref="A16:B16"/>
    <mergeCell ref="B76:C76"/>
    <mergeCell ref="E76:F76"/>
    <mergeCell ref="E40:F40"/>
    <mergeCell ref="E94:F94"/>
    <mergeCell ref="B85:C85"/>
    <mergeCell ref="B86:C86"/>
    <mergeCell ref="B92:C92"/>
    <mergeCell ref="E86:F86"/>
    <mergeCell ref="E87:F87"/>
    <mergeCell ref="E88:F88"/>
    <mergeCell ref="E89:F89"/>
    <mergeCell ref="E90:F90"/>
    <mergeCell ref="E91:F91"/>
    <mergeCell ref="E92:F92"/>
    <mergeCell ref="E93:F93"/>
    <mergeCell ref="B91:C91"/>
    <mergeCell ref="E85:F85"/>
    <mergeCell ref="E63:F63"/>
    <mergeCell ref="B62:C62"/>
    <mergeCell ref="B63:C63"/>
    <mergeCell ref="C18:F18"/>
    <mergeCell ref="E39:F39"/>
    <mergeCell ref="E23:F23"/>
    <mergeCell ref="E24:F24"/>
    <mergeCell ref="C16:F16"/>
    <mergeCell ref="E37:F37"/>
    <mergeCell ref="A36:F36"/>
    <mergeCell ref="B34:F34"/>
    <mergeCell ref="A35:F35"/>
    <mergeCell ref="A27:F27"/>
    <mergeCell ref="A28:F28"/>
    <mergeCell ref="B29:C29"/>
    <mergeCell ref="B30:C30"/>
    <mergeCell ref="B31:C31"/>
    <mergeCell ref="B32:C32"/>
    <mergeCell ref="B33:C33"/>
    <mergeCell ref="E30:F30"/>
    <mergeCell ref="E31:F31"/>
    <mergeCell ref="E32:F32"/>
    <mergeCell ref="E33:F33"/>
    <mergeCell ref="C17:F17"/>
    <mergeCell ref="E29:F29"/>
    <mergeCell ref="B25:C25"/>
    <mergeCell ref="A19:F19"/>
    <mergeCell ref="A8:B8"/>
    <mergeCell ref="A44:F44"/>
    <mergeCell ref="B50:F50"/>
    <mergeCell ref="B26:F26"/>
    <mergeCell ref="E21:F21"/>
    <mergeCell ref="E22:F22"/>
    <mergeCell ref="B23:C23"/>
    <mergeCell ref="B24:C24"/>
    <mergeCell ref="E25:F25"/>
    <mergeCell ref="B22:C22"/>
    <mergeCell ref="B37:C37"/>
    <mergeCell ref="B38:C38"/>
    <mergeCell ref="C11:F11"/>
    <mergeCell ref="C12:F12"/>
    <mergeCell ref="A12:B12"/>
    <mergeCell ref="E38:F38"/>
    <mergeCell ref="A20:F20"/>
    <mergeCell ref="C8:F8"/>
    <mergeCell ref="B21:C21"/>
    <mergeCell ref="A13:F13"/>
    <mergeCell ref="A14:F14"/>
    <mergeCell ref="A15:F15"/>
    <mergeCell ref="C9:F9"/>
    <mergeCell ref="C10:F10"/>
    <mergeCell ref="B75:C75"/>
    <mergeCell ref="E75:F75"/>
    <mergeCell ref="A1:F1"/>
    <mergeCell ref="A2:F2"/>
    <mergeCell ref="A3:F3"/>
    <mergeCell ref="A4:F4"/>
    <mergeCell ref="A5:F5"/>
    <mergeCell ref="A6:F6"/>
    <mergeCell ref="A9:B9"/>
    <mergeCell ref="A18:B18"/>
    <mergeCell ref="A56:B56"/>
    <mergeCell ref="A55:B55"/>
    <mergeCell ref="A54:B54"/>
    <mergeCell ref="A11:B11"/>
    <mergeCell ref="A10:B10"/>
    <mergeCell ref="A17:B17"/>
    <mergeCell ref="C7:F7"/>
    <mergeCell ref="A7:B7"/>
    <mergeCell ref="A52:F52"/>
    <mergeCell ref="E41:F41"/>
    <mergeCell ref="B39:C39"/>
    <mergeCell ref="B66:C66"/>
    <mergeCell ref="C54:F54"/>
    <mergeCell ref="C56:F56"/>
    <mergeCell ref="A109:F109"/>
    <mergeCell ref="B42:F42"/>
    <mergeCell ref="B81:C81"/>
    <mergeCell ref="E81:F81"/>
    <mergeCell ref="B72:C72"/>
    <mergeCell ref="E72:F72"/>
    <mergeCell ref="B73:C73"/>
    <mergeCell ref="A97:F97"/>
    <mergeCell ref="B95:F95"/>
    <mergeCell ref="A96:F96"/>
    <mergeCell ref="B87:C87"/>
    <mergeCell ref="B88:C88"/>
    <mergeCell ref="B89:C89"/>
    <mergeCell ref="B90:C90"/>
    <mergeCell ref="B64:C64"/>
    <mergeCell ref="A58:F58"/>
    <mergeCell ref="E64:F64"/>
    <mergeCell ref="E65:F65"/>
    <mergeCell ref="E66:F66"/>
    <mergeCell ref="B65:C65"/>
    <mergeCell ref="A70:F70"/>
    <mergeCell ref="A71:F71"/>
    <mergeCell ref="A43:F43"/>
    <mergeCell ref="E74:F74"/>
    <mergeCell ref="B68:C68"/>
    <mergeCell ref="B69:F69"/>
    <mergeCell ref="B40:C40"/>
    <mergeCell ref="B41:C41"/>
    <mergeCell ref="E67:F67"/>
    <mergeCell ref="E59:F59"/>
    <mergeCell ref="E60:F60"/>
    <mergeCell ref="E61:F61"/>
    <mergeCell ref="E62:F62"/>
    <mergeCell ref="A53:F53"/>
    <mergeCell ref="C55:F55"/>
    <mergeCell ref="E68:F68"/>
    <mergeCell ref="A51:F51"/>
    <mergeCell ref="B67:C67"/>
    <mergeCell ref="B59:C59"/>
    <mergeCell ref="B60:C60"/>
    <mergeCell ref="B61:C61"/>
    <mergeCell ref="A57:F57"/>
    <mergeCell ref="B108:F108"/>
    <mergeCell ref="B77:C77"/>
    <mergeCell ref="E77:F77"/>
    <mergeCell ref="B78:C78"/>
    <mergeCell ref="E78:F78"/>
    <mergeCell ref="B79:C79"/>
    <mergeCell ref="E79:F79"/>
    <mergeCell ref="B82:F82"/>
    <mergeCell ref="B80:C80"/>
    <mergeCell ref="E80:F80"/>
    <mergeCell ref="A84:F84"/>
    <mergeCell ref="A83:F83"/>
    <mergeCell ref="B93:C93"/>
    <mergeCell ref="B94:C94"/>
  </mergeCells>
  <conditionalFormatting sqref="A2:F108">
    <cfRule type="expression" dxfId="91" priority="2">
      <formula>$J2</formula>
    </cfRule>
  </conditionalFormatting>
  <conditionalFormatting sqref="A8:F108">
    <cfRule type="expression" dxfId="90" priority="4">
      <formula>$K8</formula>
    </cfRule>
  </conditionalFormatting>
  <conditionalFormatting sqref="A10:F108">
    <cfRule type="expression" dxfId="89" priority="3">
      <formula>$I10=TRUE</formula>
    </cfRule>
  </conditionalFormatting>
  <dataValidations count="7">
    <dataValidation allowBlank="1" showErrorMessage="1" prompt="provide brief description of the facility" sqref="C55:F55" xr:uid="{0E893E95-B477-466B-AE74-0CED81A279C0}"/>
    <dataValidation type="list" allowBlank="1" showErrorMessage="1" prompt="select one" sqref="C17:F17 C7:F7" xr:uid="{4126EBCE-647F-4082-9ED7-186A00B1CE46}">
      <formula1>"Yes,No"</formula1>
    </dataValidation>
    <dataValidation allowBlank="1" showErrorMessage="1" prompt="describe proposed changes in the other pending projects" sqref="C11:F11" xr:uid="{934FFC38-C2B8-4623-8CFE-0CA25B6E2361}"/>
    <dataValidation type="list" allowBlank="1" showErrorMessage="1" prompt="select one" sqref="C10:F10" xr:uid="{45069A20-E189-4218-83D8-55C3CE0C4DA6}">
      <formula1>YN</formula1>
    </dataValidation>
    <dataValidation type="list" allowBlank="1" showErrorMessage="1" prompt="select one" sqref="C8:F9" xr:uid="{5E54A6FC-427E-46DA-A2A3-522A6CF3FEEB}">
      <formula1>"I agree,I disagree"</formula1>
    </dataValidation>
    <dataValidation allowBlank="1" showErrorMessage="1" prompt="When was the most recent air authorization action affecting sources in this RAP project? Provide the date and a brief description of the change." sqref="C42:F50 D37:E41 B38:B41 C13:F36" xr:uid="{F656824A-09C3-424A-873D-26E20AD83C9D}"/>
    <dataValidation allowBlank="1" showErrorMessage="1" prompt="enter authorization date and brief description of most recent air authorization action affecting sources in this RAP project" sqref="C12:F12" xr:uid="{20832E50-BE03-459D-9EA5-04079101A169}"/>
  </dataValidations>
  <hyperlinks>
    <hyperlink ref="A4" r:id="rId1" xr:uid="{49066BE1-D632-402E-84F2-618B693683D6}"/>
  </hyperlinks>
  <printOptions horizontalCentered="1"/>
  <pageMargins left="0.7" right="0.7" top="0.75" bottom="0.75" header="0.3" footer="0.3"/>
  <pageSetup scale="55" fitToHeight="0" orientation="portrait" cellComments="atEnd" r:id="rId2"/>
  <headerFooter>
    <oddHeader>&amp;C&amp;"Arial,Regular"Tanks and Loading Increases RAP Application</oddHeader>
    <oddFooter>&amp;LVersion 3.0&amp;CSheet: &amp;A&amp;RPage &amp;P</oddFooter>
  </headerFooter>
  <rowBreaks count="2" manualBreakCount="2">
    <brk id="43" max="5" man="1"/>
    <brk id="83" max="5" man="1"/>
  </rowBreaks>
  <extLst>
    <ext xmlns:x14="http://schemas.microsoft.com/office/spreadsheetml/2009/9/main" uri="{CCE6A557-97BC-4b89-ADB6-D9C93CAAB3DF}">
      <x14:dataValidations xmlns:xm="http://schemas.microsoft.com/office/excel/2006/main" count="1">
        <x14:dataValidation type="list" allowBlank="1" showErrorMessage="1" prompt="select one" xr:uid="{00CECB33-C8EC-4FF4-9AAD-67F2A7C1E830}">
          <x14:formula1>
            <xm:f>'Hidden Inputs'!$BI$2:$BI$29</xm:f>
          </x14:formula1>
          <xm:sqref>C54:F54</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5613F-7280-4E2F-942F-25ECC6D689F0}">
  <sheetPr codeName="Sheet2">
    <tabColor theme="1"/>
  </sheetPr>
  <dimension ref="A1:W25"/>
  <sheetViews>
    <sheetView workbookViewId="0"/>
  </sheetViews>
  <sheetFormatPr defaultRowHeight="15" x14ac:dyDescent="0.25"/>
  <cols>
    <col min="1" max="2" width="16.7109375" customWidth="1"/>
    <col min="3" max="3" width="9.85546875" customWidth="1"/>
    <col min="4" max="5" width="10.5703125" bestFit="1" customWidth="1"/>
    <col min="6" max="11" width="9.28515625" bestFit="1" customWidth="1"/>
    <col min="12" max="23" width="8" bestFit="1" customWidth="1"/>
    <col min="25" max="25" width="12.42578125" customWidth="1"/>
    <col min="26" max="26" width="9.140625" customWidth="1"/>
    <col min="27" max="29" width="5" bestFit="1" customWidth="1"/>
    <col min="30" max="31" width="3.7109375" bestFit="1" customWidth="1"/>
    <col min="32" max="32" width="5.5703125" bestFit="1" customWidth="1"/>
    <col min="33" max="35" width="3.7109375" bestFit="1" customWidth="1"/>
    <col min="36" max="46" width="5" bestFit="1" customWidth="1"/>
  </cols>
  <sheetData>
    <row r="1" spans="1:23" x14ac:dyDescent="0.25">
      <c r="A1" s="8" t="s">
        <v>9941</v>
      </c>
      <c r="B1" s="8"/>
      <c r="C1" s="2"/>
      <c r="D1" s="2"/>
      <c r="E1" s="2"/>
      <c r="F1" s="2"/>
      <c r="G1" s="2"/>
      <c r="H1" s="2"/>
      <c r="I1" s="2"/>
      <c r="J1" s="2"/>
      <c r="K1" s="2"/>
      <c r="L1" s="2"/>
      <c r="M1" s="2"/>
      <c r="N1" s="2"/>
      <c r="O1" s="2"/>
      <c r="P1" s="2"/>
      <c r="Q1" s="2"/>
      <c r="R1" s="2"/>
      <c r="S1" s="2"/>
      <c r="T1" s="2"/>
      <c r="U1" s="2"/>
      <c r="V1" s="2"/>
      <c r="W1" s="2"/>
    </row>
    <row r="2" spans="1:23" ht="15" customHeight="1" x14ac:dyDescent="0.25">
      <c r="C2" s="7" t="s">
        <v>281</v>
      </c>
      <c r="D2" s="5"/>
      <c r="E2" s="5"/>
      <c r="F2" s="5"/>
      <c r="G2" s="5"/>
      <c r="H2" s="5"/>
      <c r="I2" s="5"/>
      <c r="J2" s="5"/>
      <c r="K2" s="5"/>
      <c r="L2" s="5"/>
      <c r="M2" s="5"/>
      <c r="N2" s="5"/>
      <c r="O2" s="5"/>
      <c r="P2" s="5"/>
      <c r="Q2" s="5"/>
      <c r="R2" s="5"/>
      <c r="S2" s="5"/>
      <c r="T2" s="5"/>
      <c r="U2" s="5"/>
      <c r="V2" s="5"/>
      <c r="W2" s="6"/>
    </row>
    <row r="3" spans="1:23" ht="45" x14ac:dyDescent="0.25">
      <c r="A3" s="3" t="s">
        <v>280</v>
      </c>
      <c r="B3" s="3">
        <v>0</v>
      </c>
      <c r="C3" s="24">
        <v>3</v>
      </c>
      <c r="D3" s="24">
        <v>10</v>
      </c>
      <c r="E3" s="24">
        <v>20</v>
      </c>
      <c r="F3" s="24">
        <v>30</v>
      </c>
      <c r="G3" s="24">
        <v>40</v>
      </c>
      <c r="H3" s="24">
        <v>50</v>
      </c>
      <c r="I3" s="24">
        <v>60</v>
      </c>
      <c r="J3" s="24">
        <v>70</v>
      </c>
      <c r="K3" s="24">
        <v>80</v>
      </c>
      <c r="L3" s="24">
        <v>90</v>
      </c>
      <c r="M3" s="24">
        <v>100</v>
      </c>
      <c r="N3" s="24">
        <v>110</v>
      </c>
      <c r="O3" s="24">
        <v>120</v>
      </c>
      <c r="P3" s="24">
        <v>130</v>
      </c>
      <c r="Q3" s="24">
        <v>140</v>
      </c>
      <c r="R3" s="25">
        <v>150</v>
      </c>
      <c r="S3" s="25">
        <v>160</v>
      </c>
      <c r="T3" s="25">
        <v>170</v>
      </c>
      <c r="U3" s="25">
        <v>180</v>
      </c>
      <c r="V3" s="25">
        <v>190</v>
      </c>
      <c r="W3" s="25">
        <v>200</v>
      </c>
    </row>
    <row r="4" spans="1:23" x14ac:dyDescent="0.25">
      <c r="A4" s="4">
        <v>0</v>
      </c>
      <c r="B4" s="22">
        <v>54.155251141552519</v>
      </c>
      <c r="C4" s="22">
        <v>54.155251141552519</v>
      </c>
      <c r="D4" s="22">
        <v>43.159817351598171</v>
      </c>
      <c r="E4" s="22">
        <v>41.278538812785399</v>
      </c>
      <c r="F4" s="22">
        <v>18.356164383561644</v>
      </c>
      <c r="G4" s="22">
        <v>10.885844748858448</v>
      </c>
      <c r="H4" s="22">
        <v>6.6118721461187215</v>
      </c>
      <c r="I4" s="22">
        <v>4.5844748858447497</v>
      </c>
      <c r="J4" s="22">
        <v>3.3789954337899544</v>
      </c>
      <c r="K4" s="22">
        <v>2.5753424657534247</v>
      </c>
      <c r="L4" s="22">
        <v>2.0456621004566213</v>
      </c>
      <c r="M4" s="22">
        <v>1.6438356164383563</v>
      </c>
      <c r="N4" s="22">
        <v>1.3698630136986301</v>
      </c>
      <c r="O4" s="22">
        <v>1.1506849315068493</v>
      </c>
      <c r="P4" s="22">
        <v>0.98630136986301375</v>
      </c>
      <c r="Q4" s="22">
        <v>0.84018264840182655</v>
      </c>
      <c r="R4" s="22">
        <v>0.73059360730593614</v>
      </c>
      <c r="S4" s="22">
        <v>0.63926940639269414</v>
      </c>
      <c r="T4" s="22">
        <v>0.56621004566210043</v>
      </c>
      <c r="U4" s="22">
        <v>0.51141552511415533</v>
      </c>
      <c r="V4" s="22">
        <v>0.45662100456621008</v>
      </c>
      <c r="W4" s="22">
        <v>0.42009132420091327</v>
      </c>
    </row>
    <row r="5" spans="1:23" s="9" customFormat="1" x14ac:dyDescent="0.25">
      <c r="A5" s="4">
        <v>50</v>
      </c>
      <c r="B5" s="22">
        <v>54.155251141552519</v>
      </c>
      <c r="C5" s="22">
        <v>54.155251141552519</v>
      </c>
      <c r="D5" s="22">
        <v>43.159817351598171</v>
      </c>
      <c r="E5" s="22">
        <v>41.278538812785399</v>
      </c>
      <c r="F5" s="22">
        <v>18.356164383561644</v>
      </c>
      <c r="G5" s="22">
        <v>10.885844748858448</v>
      </c>
      <c r="H5" s="22">
        <v>6.6118721461187215</v>
      </c>
      <c r="I5" s="22">
        <v>4.5844748858447497</v>
      </c>
      <c r="J5" s="22">
        <v>3.3789954337899544</v>
      </c>
      <c r="K5" s="22">
        <v>2.5753424657534247</v>
      </c>
      <c r="L5" s="22">
        <v>2.0456621004566213</v>
      </c>
      <c r="M5" s="22">
        <v>1.6438356164383563</v>
      </c>
      <c r="N5" s="22">
        <v>1.3698630136986301</v>
      </c>
      <c r="O5" s="22">
        <v>1.1506849315068493</v>
      </c>
      <c r="P5" s="22">
        <v>0.98630136986301375</v>
      </c>
      <c r="Q5" s="22">
        <v>0.84018264840182655</v>
      </c>
      <c r="R5" s="22">
        <v>0.73059360730593614</v>
      </c>
      <c r="S5" s="22">
        <v>0.63926940639269414</v>
      </c>
      <c r="T5" s="22">
        <v>0.56621004566210043</v>
      </c>
      <c r="U5" s="22">
        <v>0.51141552511415533</v>
      </c>
      <c r="V5" s="22">
        <v>0.45662100456621008</v>
      </c>
      <c r="W5" s="22">
        <v>0.42009132420091327</v>
      </c>
    </row>
    <row r="6" spans="1:23" x14ac:dyDescent="0.25">
      <c r="A6" s="4">
        <v>100</v>
      </c>
      <c r="B6" s="22">
        <v>36.968036529680369</v>
      </c>
      <c r="C6" s="22">
        <v>36.968036529680369</v>
      </c>
      <c r="D6" s="22">
        <v>31.397260273972606</v>
      </c>
      <c r="E6" s="22">
        <v>18.319634703196346</v>
      </c>
      <c r="F6" s="22">
        <v>12.931506849315069</v>
      </c>
      <c r="G6" s="22">
        <v>10.885844748858448</v>
      </c>
      <c r="H6" s="22">
        <v>6.6118721461187215</v>
      </c>
      <c r="I6" s="22">
        <v>4.5844748858447497</v>
      </c>
      <c r="J6" s="22">
        <v>3.3789954337899544</v>
      </c>
      <c r="K6" s="22">
        <v>2.5753424657534247</v>
      </c>
      <c r="L6" s="22">
        <v>2.0456621004566213</v>
      </c>
      <c r="M6" s="22">
        <v>1.6438356164383563</v>
      </c>
      <c r="N6" s="22">
        <v>1.3698630136986301</v>
      </c>
      <c r="O6" s="22">
        <v>1.1506849315068493</v>
      </c>
      <c r="P6" s="22">
        <v>0.98630136986301375</v>
      </c>
      <c r="Q6" s="22">
        <v>0.84018264840182655</v>
      </c>
      <c r="R6" s="22">
        <v>0.73059360730593614</v>
      </c>
      <c r="S6" s="22">
        <v>0.63926940639269414</v>
      </c>
      <c r="T6" s="22">
        <v>0.56621004566210043</v>
      </c>
      <c r="U6" s="22">
        <v>0.51141552511415533</v>
      </c>
      <c r="V6" s="22">
        <v>0.45662100456621008</v>
      </c>
      <c r="W6" s="22">
        <v>0.42009132420091327</v>
      </c>
    </row>
    <row r="7" spans="1:23" x14ac:dyDescent="0.25">
      <c r="A7" s="4">
        <v>150</v>
      </c>
      <c r="B7" s="22">
        <v>24.438356164383563</v>
      </c>
      <c r="C7" s="22">
        <v>24.438356164383563</v>
      </c>
      <c r="D7" s="22">
        <v>21.826484018264843</v>
      </c>
      <c r="E7" s="22">
        <v>15.013698630136988</v>
      </c>
      <c r="F7" s="22">
        <v>12.931506849315069</v>
      </c>
      <c r="G7" s="22">
        <v>10.885844748858448</v>
      </c>
      <c r="H7" s="22">
        <v>6.2465753424657535</v>
      </c>
      <c r="I7" s="22">
        <v>4.5844748858447497</v>
      </c>
      <c r="J7" s="22">
        <v>3.3789954337899544</v>
      </c>
      <c r="K7" s="22">
        <v>2.5753424657534247</v>
      </c>
      <c r="L7" s="22">
        <v>2.0456621004566213</v>
      </c>
      <c r="M7" s="22">
        <v>1.6438356164383563</v>
      </c>
      <c r="N7" s="22">
        <v>1.3698630136986301</v>
      </c>
      <c r="O7" s="22">
        <v>1.1506849315068493</v>
      </c>
      <c r="P7" s="22">
        <v>0.98630136986301375</v>
      </c>
      <c r="Q7" s="22">
        <v>0.84018264840182655</v>
      </c>
      <c r="R7" s="22">
        <v>0.73059360730593614</v>
      </c>
      <c r="S7" s="22">
        <v>0.63926940639269414</v>
      </c>
      <c r="T7" s="22">
        <v>0.56621004566210043</v>
      </c>
      <c r="U7" s="22">
        <v>0.51141552511415533</v>
      </c>
      <c r="V7" s="22">
        <v>0.45662100456621008</v>
      </c>
      <c r="W7" s="22">
        <v>0.42009132420091327</v>
      </c>
    </row>
    <row r="8" spans="1:23" x14ac:dyDescent="0.25">
      <c r="A8" s="4">
        <v>200</v>
      </c>
      <c r="B8" s="22">
        <v>17.351598173515981</v>
      </c>
      <c r="C8" s="22">
        <v>17.351598173515981</v>
      </c>
      <c r="D8" s="22">
        <v>15.945205479452056</v>
      </c>
      <c r="E8" s="22">
        <v>12.931506849315069</v>
      </c>
      <c r="F8" s="22">
        <v>12.931506849315069</v>
      </c>
      <c r="G8" s="22">
        <v>10.210045662100457</v>
      </c>
      <c r="H8" s="22">
        <v>6.2465753424657535</v>
      </c>
      <c r="I8" s="22">
        <v>3.9817351598173518</v>
      </c>
      <c r="J8" s="22">
        <v>3.3789954337899544</v>
      </c>
      <c r="K8" s="22">
        <v>2.5753424657534247</v>
      </c>
      <c r="L8" s="22">
        <v>2.0456621004566213</v>
      </c>
      <c r="M8" s="22">
        <v>1.6438356164383563</v>
      </c>
      <c r="N8" s="22">
        <v>1.3698630136986301</v>
      </c>
      <c r="O8" s="22">
        <v>1.1506849315068493</v>
      </c>
      <c r="P8" s="22">
        <v>0.98630136986301375</v>
      </c>
      <c r="Q8" s="22">
        <v>0.84018264840182655</v>
      </c>
      <c r="R8" s="22">
        <v>0.73059360730593614</v>
      </c>
      <c r="S8" s="22">
        <v>0.63926940639269414</v>
      </c>
      <c r="T8" s="22">
        <v>0.56621004566210043</v>
      </c>
      <c r="U8" s="22">
        <v>0.51141552511415533</v>
      </c>
      <c r="V8" s="22">
        <v>0.45662100456621008</v>
      </c>
      <c r="W8" s="22">
        <v>0.42009132420091327</v>
      </c>
    </row>
    <row r="9" spans="1:23" x14ac:dyDescent="0.25">
      <c r="A9" s="4">
        <v>250</v>
      </c>
      <c r="B9" s="22">
        <v>14.611872146118722</v>
      </c>
      <c r="C9" s="22">
        <v>14.611872146118722</v>
      </c>
      <c r="D9" s="22">
        <v>13.570776255707763</v>
      </c>
      <c r="E9" s="22">
        <v>11.269406392694064</v>
      </c>
      <c r="F9" s="22">
        <v>11.269406392694064</v>
      </c>
      <c r="G9" s="22">
        <v>9.351598173515983</v>
      </c>
      <c r="H9" s="22">
        <v>5.8630136986301373</v>
      </c>
      <c r="I9" s="22">
        <v>3.8904109589041096</v>
      </c>
      <c r="J9" s="22">
        <v>2.7214611872146119</v>
      </c>
      <c r="K9" s="22">
        <v>2.0456621004566213</v>
      </c>
      <c r="L9" s="22">
        <v>2.0456621004566213</v>
      </c>
      <c r="M9" s="22">
        <v>1.6438356164383563</v>
      </c>
      <c r="N9" s="22">
        <v>1.3698630136986301</v>
      </c>
      <c r="O9" s="22">
        <v>1.1506849315068493</v>
      </c>
      <c r="P9" s="22">
        <v>0.98630136986301375</v>
      </c>
      <c r="Q9" s="22">
        <v>0.84018264840182655</v>
      </c>
      <c r="R9" s="22">
        <v>0.73059360730593614</v>
      </c>
      <c r="S9" s="22">
        <v>0.63926940639269414</v>
      </c>
      <c r="T9" s="22">
        <v>0.56621004566210043</v>
      </c>
      <c r="U9" s="22">
        <v>0.51141552511415533</v>
      </c>
      <c r="V9" s="22">
        <v>0.45662100456621008</v>
      </c>
      <c r="W9" s="22">
        <v>0.42009132420091327</v>
      </c>
    </row>
    <row r="10" spans="1:23" x14ac:dyDescent="0.25">
      <c r="A10" s="4">
        <v>300</v>
      </c>
      <c r="B10" s="22">
        <v>13.15068493150685</v>
      </c>
      <c r="C10" s="22">
        <v>13.15068493150685</v>
      </c>
      <c r="D10" s="22">
        <v>12.237442922374429</v>
      </c>
      <c r="E10" s="22">
        <v>10.045662100456621</v>
      </c>
      <c r="F10" s="22">
        <v>10.045662100456621</v>
      </c>
      <c r="G10" s="22">
        <v>8.2922374429223744</v>
      </c>
      <c r="H10" s="22">
        <v>5.4794520547945202</v>
      </c>
      <c r="I10" s="22">
        <v>3.7442922374429219</v>
      </c>
      <c r="J10" s="22">
        <v>2.6484018264840183</v>
      </c>
      <c r="K10" s="22">
        <v>1.9543378995433791</v>
      </c>
      <c r="L10" s="22">
        <v>1.4611872146118723</v>
      </c>
      <c r="M10" s="22">
        <v>1.3698630136986301</v>
      </c>
      <c r="N10" s="22">
        <v>1.3698630136986301</v>
      </c>
      <c r="O10" s="22">
        <v>1.1506849315068493</v>
      </c>
      <c r="P10" s="22">
        <v>0.98630136986301375</v>
      </c>
      <c r="Q10" s="22">
        <v>0.84018264840182655</v>
      </c>
      <c r="R10" s="22">
        <v>0.73059360730593614</v>
      </c>
      <c r="S10" s="22">
        <v>0.63926940639269414</v>
      </c>
      <c r="T10" s="22">
        <v>0.56621004566210043</v>
      </c>
      <c r="U10" s="22">
        <v>0.51141552511415533</v>
      </c>
      <c r="V10" s="22">
        <v>0.45662100456621008</v>
      </c>
      <c r="W10" s="22">
        <v>0.42009132420091327</v>
      </c>
    </row>
    <row r="11" spans="1:23" x14ac:dyDescent="0.25">
      <c r="A11" s="4">
        <v>400</v>
      </c>
      <c r="B11" s="22">
        <v>10.831050228310502</v>
      </c>
      <c r="C11" s="22">
        <v>10.831050228310502</v>
      </c>
      <c r="D11" s="22">
        <v>10.173515981735161</v>
      </c>
      <c r="E11" s="22">
        <v>8.4018264840182653</v>
      </c>
      <c r="F11" s="22">
        <v>8.4018264840182653</v>
      </c>
      <c r="G11" s="22">
        <v>6.4657534246575343</v>
      </c>
      <c r="H11" s="22">
        <v>4.493150684931507</v>
      </c>
      <c r="I11" s="22">
        <v>3.3607305936073062</v>
      </c>
      <c r="J11" s="22">
        <v>2.4292237442922375</v>
      </c>
      <c r="K11" s="22">
        <v>1.8264840182648403</v>
      </c>
      <c r="L11" s="22">
        <v>1.4063926940639271</v>
      </c>
      <c r="M11" s="22">
        <v>1.1141552511415524</v>
      </c>
      <c r="N11" s="22">
        <v>0.87671232876712324</v>
      </c>
      <c r="O11" s="22">
        <v>0.84018264840182655</v>
      </c>
      <c r="P11" s="22">
        <v>0.84018264840182655</v>
      </c>
      <c r="Q11" s="22">
        <v>0.84018264840182655</v>
      </c>
      <c r="R11" s="22">
        <v>0.73059360730593614</v>
      </c>
      <c r="S11" s="22">
        <v>0.63926940639269414</v>
      </c>
      <c r="T11" s="22">
        <v>0.56621004566210043</v>
      </c>
      <c r="U11" s="22">
        <v>0.51141552511415533</v>
      </c>
      <c r="V11" s="22">
        <v>0.45662100456621008</v>
      </c>
      <c r="W11" s="22">
        <v>0.42009132420091327</v>
      </c>
    </row>
    <row r="12" spans="1:23" x14ac:dyDescent="0.25">
      <c r="A12" s="4">
        <v>500</v>
      </c>
      <c r="B12" s="22">
        <v>9.1689497716894994</v>
      </c>
      <c r="C12" s="22">
        <v>9.1689497716894994</v>
      </c>
      <c r="D12" s="22">
        <v>8.6392694063926943</v>
      </c>
      <c r="E12" s="22">
        <v>7.2511415525114158</v>
      </c>
      <c r="F12" s="22">
        <v>7.2511415525114158</v>
      </c>
      <c r="G12" s="22">
        <v>5.333333333333333</v>
      </c>
      <c r="H12" s="22">
        <v>3.707762557077626</v>
      </c>
      <c r="I12" s="22">
        <v>2.7579908675799087</v>
      </c>
      <c r="J12" s="22">
        <v>2.1552511415525113</v>
      </c>
      <c r="K12" s="22">
        <v>1.6803652968036531</v>
      </c>
      <c r="L12" s="22">
        <v>1.3150684931506849</v>
      </c>
      <c r="M12" s="22">
        <v>1.0593607305936072</v>
      </c>
      <c r="N12" s="22">
        <v>0.85844748858447495</v>
      </c>
      <c r="O12" s="22">
        <v>0.69406392694063934</v>
      </c>
      <c r="P12" s="22">
        <v>0.58447488584474894</v>
      </c>
      <c r="Q12" s="22">
        <v>0.56621004566210043</v>
      </c>
      <c r="R12" s="22">
        <v>0.56621004566210043</v>
      </c>
      <c r="S12" s="22">
        <v>0.56621004566210043</v>
      </c>
      <c r="T12" s="22">
        <v>0.56621004566210043</v>
      </c>
      <c r="U12" s="22">
        <v>0.51141552511415533</v>
      </c>
      <c r="V12" s="22">
        <v>0.45662100456621008</v>
      </c>
      <c r="W12" s="22">
        <v>0.42009132420091327</v>
      </c>
    </row>
    <row r="13" spans="1:23" x14ac:dyDescent="0.25">
      <c r="A13" s="4">
        <v>600</v>
      </c>
      <c r="B13" s="22">
        <v>7.8538812785388128</v>
      </c>
      <c r="C13" s="22">
        <v>7.8538812785388128</v>
      </c>
      <c r="D13" s="22">
        <v>7.4520547945205484</v>
      </c>
      <c r="E13" s="22">
        <v>6.3926940639269407</v>
      </c>
      <c r="F13" s="22">
        <v>6.3926940639269407</v>
      </c>
      <c r="G13" s="22">
        <v>4.5296803652968034</v>
      </c>
      <c r="H13" s="22">
        <v>3.1598173515981736</v>
      </c>
      <c r="I13" s="22">
        <v>2.3561643835616439</v>
      </c>
      <c r="J13" s="22">
        <v>1.8447488584474887</v>
      </c>
      <c r="K13" s="22">
        <v>1.4794520547945207</v>
      </c>
      <c r="L13" s="22">
        <v>1.2237442922374431</v>
      </c>
      <c r="M13" s="22">
        <v>0.98630136986301375</v>
      </c>
      <c r="N13" s="22">
        <v>0.80365296803652975</v>
      </c>
      <c r="O13" s="22">
        <v>0.67579908675799083</v>
      </c>
      <c r="P13" s="22">
        <v>0.56621004566210043</v>
      </c>
      <c r="Q13" s="22">
        <v>0.47488584474885848</v>
      </c>
      <c r="R13" s="22">
        <v>0.40182648401826487</v>
      </c>
      <c r="S13" s="22">
        <v>0.34703196347031967</v>
      </c>
      <c r="T13" s="22">
        <v>0.31050228310502287</v>
      </c>
      <c r="U13" s="22">
        <v>0.25570776255707767</v>
      </c>
      <c r="V13" s="22">
        <v>0.23744292237442924</v>
      </c>
      <c r="W13" s="22">
        <v>0.20091324200913244</v>
      </c>
    </row>
    <row r="14" spans="1:23" x14ac:dyDescent="0.25">
      <c r="A14" s="4">
        <v>700</v>
      </c>
      <c r="B14" s="22">
        <v>6.8127853881278542</v>
      </c>
      <c r="C14" s="22">
        <v>6.8127853881278542</v>
      </c>
      <c r="D14" s="22">
        <v>6.5205479452054798</v>
      </c>
      <c r="E14" s="22">
        <v>5.7168949771689501</v>
      </c>
      <c r="F14" s="22">
        <v>5.7168949771689501</v>
      </c>
      <c r="G14" s="22">
        <v>3.945205479452055</v>
      </c>
      <c r="H14" s="22">
        <v>2.7579908675799087</v>
      </c>
      <c r="I14" s="22">
        <v>2.0456621004566213</v>
      </c>
      <c r="J14" s="22">
        <v>1.6073059360730595</v>
      </c>
      <c r="K14" s="22">
        <v>1.2968036529680365</v>
      </c>
      <c r="L14" s="22">
        <v>1.0776255707762556</v>
      </c>
      <c r="M14" s="22">
        <v>0.91324200913242015</v>
      </c>
      <c r="N14" s="22">
        <v>0.74885844748858454</v>
      </c>
      <c r="O14" s="22">
        <v>0.63926940639269414</v>
      </c>
      <c r="P14" s="22">
        <v>0.52968036529680362</v>
      </c>
      <c r="Q14" s="22">
        <v>0.45662100456621008</v>
      </c>
      <c r="R14" s="22">
        <v>0.40182648401826487</v>
      </c>
      <c r="S14" s="22">
        <v>0.34703196347031967</v>
      </c>
      <c r="T14" s="22">
        <v>0.29223744292237447</v>
      </c>
      <c r="U14" s="22">
        <v>0.25570776255707767</v>
      </c>
      <c r="V14" s="22">
        <v>0.23744292237442924</v>
      </c>
      <c r="W14" s="22">
        <v>0.20091324200913244</v>
      </c>
    </row>
    <row r="15" spans="1:23" x14ac:dyDescent="0.25">
      <c r="A15" s="4">
        <v>800</v>
      </c>
      <c r="B15" s="22">
        <v>6.0273972602739736</v>
      </c>
      <c r="C15" s="22">
        <v>6.0273972602739736</v>
      </c>
      <c r="D15" s="22">
        <v>5.7534246575342465</v>
      </c>
      <c r="E15" s="22">
        <v>5.1506849315068495</v>
      </c>
      <c r="F15" s="22">
        <v>5.1506849315068495</v>
      </c>
      <c r="G15" s="22">
        <v>3.506849315068493</v>
      </c>
      <c r="H15" s="22">
        <v>2.4474885844748862</v>
      </c>
      <c r="I15" s="22">
        <v>1.8264840182648403</v>
      </c>
      <c r="J15" s="22">
        <v>1.4246575342465755</v>
      </c>
      <c r="K15" s="22">
        <v>1.1506849315068493</v>
      </c>
      <c r="L15" s="22">
        <v>0.94977168949771695</v>
      </c>
      <c r="M15" s="22">
        <v>0.80365296803652975</v>
      </c>
      <c r="N15" s="22">
        <v>0.69406392694063934</v>
      </c>
      <c r="O15" s="22">
        <v>0.60273972602739734</v>
      </c>
      <c r="P15" s="22">
        <v>0.51141552511415533</v>
      </c>
      <c r="Q15" s="22">
        <v>0.43835616438356162</v>
      </c>
      <c r="R15" s="22">
        <v>0.38356164383561642</v>
      </c>
      <c r="S15" s="22">
        <v>0.32876712328767121</v>
      </c>
      <c r="T15" s="22">
        <v>0.29223744292237447</v>
      </c>
      <c r="U15" s="22">
        <v>0.25570776255707767</v>
      </c>
      <c r="V15" s="22">
        <v>0.21917808219178081</v>
      </c>
      <c r="W15" s="22">
        <v>0.20091324200913244</v>
      </c>
    </row>
    <row r="16" spans="1:23" x14ac:dyDescent="0.25">
      <c r="A16" s="4">
        <v>900</v>
      </c>
      <c r="B16" s="22">
        <v>5.3515981735159821</v>
      </c>
      <c r="C16" s="22">
        <v>5.3515981735159821</v>
      </c>
      <c r="D16" s="22">
        <v>5.1141552511415531</v>
      </c>
      <c r="E16" s="22">
        <v>4.6575342465753433</v>
      </c>
      <c r="F16" s="22">
        <v>4.6575342465753433</v>
      </c>
      <c r="G16" s="22">
        <v>3.1598173515981736</v>
      </c>
      <c r="H16" s="22">
        <v>2.2100456621004567</v>
      </c>
      <c r="I16" s="22">
        <v>1.6438356164383563</v>
      </c>
      <c r="J16" s="22">
        <v>1.2785388127853883</v>
      </c>
      <c r="K16" s="22">
        <v>1.0410958904109591</v>
      </c>
      <c r="L16" s="22">
        <v>0.85844748858447495</v>
      </c>
      <c r="M16" s="22">
        <v>0.73059360730593614</v>
      </c>
      <c r="N16" s="22">
        <v>0.62100456621004574</v>
      </c>
      <c r="O16" s="22">
        <v>0.54794520547945202</v>
      </c>
      <c r="P16" s="22">
        <v>0.47488584474885848</v>
      </c>
      <c r="Q16" s="22">
        <v>0.42009132420091327</v>
      </c>
      <c r="R16" s="22">
        <v>0.36529680365296807</v>
      </c>
      <c r="S16" s="22">
        <v>0.31050228310502287</v>
      </c>
      <c r="T16" s="22">
        <v>0.27397260273972601</v>
      </c>
      <c r="U16" s="22">
        <v>0.25570776255707767</v>
      </c>
      <c r="V16" s="22">
        <v>0.21917808219178081</v>
      </c>
      <c r="W16" s="22">
        <v>0.20091324200913244</v>
      </c>
    </row>
    <row r="17" spans="1:23" x14ac:dyDescent="0.25">
      <c r="A17" s="4">
        <v>1000</v>
      </c>
      <c r="B17" s="22">
        <v>4.7853881278538815</v>
      </c>
      <c r="C17" s="22">
        <v>4.7853881278538815</v>
      </c>
      <c r="D17" s="22">
        <v>4.602739726027397</v>
      </c>
      <c r="E17" s="22">
        <v>4.2557077625570781</v>
      </c>
      <c r="F17" s="22">
        <v>4.2557077625570781</v>
      </c>
      <c r="G17" s="22">
        <v>2.8675799086757991</v>
      </c>
      <c r="H17" s="22">
        <v>2.0091324200913245</v>
      </c>
      <c r="I17" s="22">
        <v>1.4977168949771691</v>
      </c>
      <c r="J17" s="22">
        <v>1.1689497716894979</v>
      </c>
      <c r="K17" s="22">
        <v>0.94977168949771695</v>
      </c>
      <c r="L17" s="22">
        <v>0.78538812785388123</v>
      </c>
      <c r="M17" s="22">
        <v>0.65753424657534243</v>
      </c>
      <c r="N17" s="22">
        <v>0.56621004566210043</v>
      </c>
      <c r="O17" s="22">
        <v>0.49315068493150688</v>
      </c>
      <c r="P17" s="22">
        <v>0.43835616438356162</v>
      </c>
      <c r="Q17" s="22">
        <v>0.38356164383561642</v>
      </c>
      <c r="R17" s="22">
        <v>0.34703196347031967</v>
      </c>
      <c r="S17" s="22">
        <v>0.31050228310502287</v>
      </c>
      <c r="T17" s="22">
        <v>0.27397260273972601</v>
      </c>
      <c r="U17" s="22">
        <v>0.23744292237442924</v>
      </c>
      <c r="V17" s="22">
        <v>0.21917808219178081</v>
      </c>
      <c r="W17" s="22">
        <v>0.20091324200913244</v>
      </c>
    </row>
    <row r="18" spans="1:23" x14ac:dyDescent="0.25">
      <c r="A18" s="4">
        <v>1500</v>
      </c>
      <c r="B18" s="22">
        <v>3.1415525114155249</v>
      </c>
      <c r="C18" s="22">
        <v>3.1415525114155249</v>
      </c>
      <c r="D18" s="22">
        <v>3.0502283105022832</v>
      </c>
      <c r="E18" s="22">
        <v>2.8675799086757991</v>
      </c>
      <c r="F18" s="22">
        <v>2.8675799086757991</v>
      </c>
      <c r="G18" s="22">
        <v>1.9543378995433791</v>
      </c>
      <c r="H18" s="22">
        <v>1.4063926940639271</v>
      </c>
      <c r="I18" s="22">
        <v>1.0593607305936072</v>
      </c>
      <c r="J18" s="22">
        <v>0.82191780821917815</v>
      </c>
      <c r="K18" s="22">
        <v>0.65753424657534243</v>
      </c>
      <c r="L18" s="22">
        <v>0.54794520547945202</v>
      </c>
      <c r="M18" s="22">
        <v>0.45662100456621008</v>
      </c>
      <c r="N18" s="22">
        <v>0.40182648401826487</v>
      </c>
      <c r="O18" s="22">
        <v>0.34703196347031967</v>
      </c>
      <c r="P18" s="22">
        <v>0.31050228310502287</v>
      </c>
      <c r="Q18" s="22">
        <v>0.27397260273972601</v>
      </c>
      <c r="R18" s="22">
        <v>0.21917808219178081</v>
      </c>
      <c r="S18" s="22">
        <v>0.21917808219178081</v>
      </c>
      <c r="T18" s="22">
        <v>0.20091324200913244</v>
      </c>
      <c r="U18" s="22">
        <v>0.18082191780821918</v>
      </c>
      <c r="V18" s="22">
        <v>0.16986301369863016</v>
      </c>
      <c r="W18" s="22">
        <v>0.15890410958904108</v>
      </c>
    </row>
    <row r="19" spans="1:23" x14ac:dyDescent="0.25">
      <c r="A19" s="4">
        <v>2000</v>
      </c>
      <c r="B19" s="22">
        <v>2.2283105022831049</v>
      </c>
      <c r="C19" s="22">
        <v>2.2283105022831049</v>
      </c>
      <c r="D19" s="22">
        <v>2.1917808219178081</v>
      </c>
      <c r="E19" s="22">
        <v>2.1369863013698631</v>
      </c>
      <c r="F19" s="22">
        <v>2.1369863013698631</v>
      </c>
      <c r="G19" s="22">
        <v>1.4611872146118723</v>
      </c>
      <c r="H19" s="22">
        <v>1.0593607305936072</v>
      </c>
      <c r="I19" s="22">
        <v>0.80365296803652975</v>
      </c>
      <c r="J19" s="22">
        <v>0.63926940639269414</v>
      </c>
      <c r="K19" s="22">
        <v>0.51141552511415533</v>
      </c>
      <c r="L19" s="22">
        <v>0.42009132420091327</v>
      </c>
      <c r="M19" s="22">
        <v>0.36529680365296807</v>
      </c>
      <c r="N19" s="22">
        <v>0.31050228310502287</v>
      </c>
      <c r="O19" s="22">
        <v>0.27397260273972601</v>
      </c>
      <c r="P19" s="22">
        <v>0.23744292237442924</v>
      </c>
      <c r="Q19" s="22">
        <v>0.20091324200913244</v>
      </c>
      <c r="R19" s="22">
        <v>0.18264840182648404</v>
      </c>
      <c r="S19" s="22">
        <v>0.16803652968036531</v>
      </c>
      <c r="T19" s="22">
        <v>0.15342465753424658</v>
      </c>
      <c r="U19" s="22">
        <v>0.14246575342465753</v>
      </c>
      <c r="V19" s="22">
        <v>0.13333333333333333</v>
      </c>
      <c r="W19" s="22">
        <v>0.12420091324200914</v>
      </c>
    </row>
    <row r="20" spans="1:23" x14ac:dyDescent="0.25">
      <c r="A20" s="4">
        <v>2500</v>
      </c>
      <c r="B20" s="22">
        <v>1.6986301369863015</v>
      </c>
      <c r="C20" s="22">
        <v>1.6986301369863015</v>
      </c>
      <c r="D20" s="22">
        <v>1.6803652968036531</v>
      </c>
      <c r="E20" s="22">
        <v>1.6438356164383563</v>
      </c>
      <c r="F20" s="22">
        <v>1.6438356164383563</v>
      </c>
      <c r="G20" s="22">
        <v>1.1689497716894979</v>
      </c>
      <c r="H20" s="22">
        <v>0.85844748858447495</v>
      </c>
      <c r="I20" s="22">
        <v>0.65753424657534243</v>
      </c>
      <c r="J20" s="22">
        <v>0.51141552511415533</v>
      </c>
      <c r="K20" s="22">
        <v>0.42009132420091327</v>
      </c>
      <c r="L20" s="22">
        <v>0.34703196347031967</v>
      </c>
      <c r="M20" s="22">
        <v>0.29223744292237447</v>
      </c>
      <c r="N20" s="22">
        <v>0.25570776255707767</v>
      </c>
      <c r="O20" s="22">
        <v>0.21917808219178081</v>
      </c>
      <c r="P20" s="22">
        <v>0.20091324200913244</v>
      </c>
      <c r="Q20" s="22">
        <v>0.17168949771689498</v>
      </c>
      <c r="R20" s="22">
        <v>0.15342465753424658</v>
      </c>
      <c r="S20" s="22">
        <v>0.13881278538812786</v>
      </c>
      <c r="T20" s="22">
        <v>0.12602739726027398</v>
      </c>
      <c r="U20" s="22">
        <v>0.11689497716894978</v>
      </c>
      <c r="V20" s="22">
        <v>0.1095890410958904</v>
      </c>
      <c r="W20" s="22">
        <v>0.10228310502283104</v>
      </c>
    </row>
    <row r="21" spans="1:23" x14ac:dyDescent="0.25">
      <c r="A21" s="4">
        <v>3000</v>
      </c>
      <c r="B21" s="22">
        <v>1.3698630136986301</v>
      </c>
      <c r="C21" s="22">
        <v>1.3698630136986301</v>
      </c>
      <c r="D21" s="22">
        <v>1.3333333333333333</v>
      </c>
      <c r="E21" s="22">
        <v>1.3150684931506849</v>
      </c>
      <c r="F21" s="22">
        <v>1.3150684931506849</v>
      </c>
      <c r="G21" s="22">
        <v>0.94977168949771695</v>
      </c>
      <c r="H21" s="22">
        <v>0.71232876712328774</v>
      </c>
      <c r="I21" s="22">
        <v>0.54794520547945202</v>
      </c>
      <c r="J21" s="22">
        <v>0.43835616438356162</v>
      </c>
      <c r="K21" s="22">
        <v>0.36529680365296807</v>
      </c>
      <c r="L21" s="22">
        <v>0.29223744292237447</v>
      </c>
      <c r="M21" s="22">
        <v>0.25570776255707767</v>
      </c>
      <c r="N21" s="22">
        <v>0.21917808219178081</v>
      </c>
      <c r="O21" s="22">
        <v>0.18264840182648404</v>
      </c>
      <c r="P21" s="22">
        <v>0.16438356164383561</v>
      </c>
      <c r="Q21" s="22">
        <v>0.14611872146118723</v>
      </c>
      <c r="R21" s="22">
        <v>0.12968036529680366</v>
      </c>
      <c r="S21" s="22">
        <v>0.11689497716894978</v>
      </c>
      <c r="T21" s="22">
        <v>0.10593607305936073</v>
      </c>
      <c r="U21" s="22">
        <v>0.10045662100456622</v>
      </c>
      <c r="V21" s="22">
        <v>9.3150684931506841E-2</v>
      </c>
      <c r="W21" s="22">
        <v>8.7671232876712329E-2</v>
      </c>
    </row>
    <row r="22" spans="1:23" x14ac:dyDescent="0.25">
      <c r="A22" s="4">
        <v>4000</v>
      </c>
      <c r="B22" s="22">
        <v>0.91324200913242015</v>
      </c>
      <c r="C22" s="22">
        <v>0.91324200913242015</v>
      </c>
      <c r="D22" s="22">
        <v>0.91324200913242015</v>
      </c>
      <c r="E22" s="22">
        <v>0.91324200913242015</v>
      </c>
      <c r="F22" s="22">
        <v>0.91324200913242015</v>
      </c>
      <c r="G22" s="22">
        <v>0.67579908675799083</v>
      </c>
      <c r="H22" s="22">
        <v>0.52968036529680362</v>
      </c>
      <c r="I22" s="22">
        <v>0.42009132420091327</v>
      </c>
      <c r="J22" s="22">
        <v>0.32876712328767121</v>
      </c>
      <c r="K22" s="22">
        <v>0.27397260273972601</v>
      </c>
      <c r="L22" s="22">
        <v>0.23744292237442924</v>
      </c>
      <c r="M22" s="22">
        <v>0.20091324200913244</v>
      </c>
      <c r="N22" s="22">
        <v>0.16621004566210046</v>
      </c>
      <c r="O22" s="22">
        <v>0.14429223744292238</v>
      </c>
      <c r="P22" s="22">
        <v>0.12785388127853883</v>
      </c>
      <c r="Q22" s="22">
        <v>0.11324200913242011</v>
      </c>
      <c r="R22" s="22">
        <v>0.10045662100456622</v>
      </c>
      <c r="S22" s="22">
        <v>9.1324200913242018E-2</v>
      </c>
      <c r="T22" s="22">
        <v>8.2191780821917804E-2</v>
      </c>
      <c r="U22" s="22">
        <v>7.6712328767123292E-2</v>
      </c>
      <c r="V22" s="22">
        <v>7.3059360730593617E-2</v>
      </c>
      <c r="W22" s="22">
        <v>6.7579908675799091E-2</v>
      </c>
    </row>
    <row r="23" spans="1:23" x14ac:dyDescent="0.25">
      <c r="A23" s="4">
        <v>5000</v>
      </c>
      <c r="B23" s="22">
        <v>0.67579908675799083</v>
      </c>
      <c r="C23" s="22">
        <v>0.67579908675799083</v>
      </c>
      <c r="D23" s="22">
        <v>0.67579908675799083</v>
      </c>
      <c r="E23" s="22">
        <v>0.67579908675799083</v>
      </c>
      <c r="F23" s="22">
        <v>0.67579908675799083</v>
      </c>
      <c r="G23" s="22">
        <v>0.52968036529680362</v>
      </c>
      <c r="H23" s="22">
        <v>0.42009132420091327</v>
      </c>
      <c r="I23" s="22">
        <v>0.32876712328767121</v>
      </c>
      <c r="J23" s="22">
        <v>0.27397260273972601</v>
      </c>
      <c r="K23" s="22">
        <v>0.21917808219178081</v>
      </c>
      <c r="L23" s="22">
        <v>0.18264840182648404</v>
      </c>
      <c r="M23" s="22">
        <v>0.15890410958904108</v>
      </c>
      <c r="N23" s="22">
        <v>0.13698630136986301</v>
      </c>
      <c r="O23" s="22">
        <v>0.11872146118721462</v>
      </c>
      <c r="P23" s="22">
        <v>0.10410958904109589</v>
      </c>
      <c r="Q23" s="22">
        <v>9.3150684931506841E-2</v>
      </c>
      <c r="R23" s="22">
        <v>8.2191780821917804E-2</v>
      </c>
      <c r="S23" s="22">
        <v>7.4885844748858441E-2</v>
      </c>
      <c r="T23" s="22">
        <v>6.7579908675799091E-2</v>
      </c>
      <c r="U23" s="22">
        <v>6.2100456621004572E-2</v>
      </c>
      <c r="V23" s="22">
        <v>5.8447488584474891E-2</v>
      </c>
      <c r="W23" s="22">
        <v>5.4794520547945202E-2</v>
      </c>
    </row>
    <row r="25" spans="1:23" ht="28.5" customHeight="1" x14ac:dyDescent="0.25"/>
  </sheetData>
  <sheetProtection algorithmName="SHA-512" hashValue="/cTuAhbeqPJ5LLVNmTTZVt9/wCVSX3kk1WjRWFrJuBSgSg4P2MM+ZRL1TW7DC8IjbIN4sdjNfEooQgRuD+3jyw==" saltValue="/ZO26JROz0AeR438n84hRw==" spinCount="100000" sheet="1" objects="1" scenarios="1" formatColumns="0" formatRows="0" autoFilter="0"/>
  <pageMargins left="0.7" right="0.7" top="0.75" bottom="0.75" header="0.3" footer="0.3"/>
  <pageSetup orientation="portrait" r:id="rId1"/>
  <headerFooter>
    <oddHeader>&amp;C&amp;"Arial,Regular"Annual Throughput Increase RAP Application</oddHeader>
    <oddFooter>&amp;LVersion: 5/1/2019&amp;CSheet: &amp;A&amp;RPage &amp;P/&amp;N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tabColor theme="8" tint="0.39997558519241921"/>
  </sheetPr>
  <dimension ref="A1:C37"/>
  <sheetViews>
    <sheetView workbookViewId="0"/>
  </sheetViews>
  <sheetFormatPr defaultColWidth="0" defaultRowHeight="14.25" zeroHeight="1" x14ac:dyDescent="0.2"/>
  <cols>
    <col min="1" max="1" width="117.5703125" style="462" customWidth="1"/>
    <col min="2" max="3" width="31.85546875" style="462" hidden="1" customWidth="1"/>
    <col min="4" max="16384" width="9.140625" style="462" hidden="1"/>
  </cols>
  <sheetData>
    <row r="1" spans="1:1" ht="6" customHeight="1" thickBot="1" x14ac:dyDescent="0.25">
      <c r="A1" s="451" t="s">
        <v>8392</v>
      </c>
    </row>
    <row r="2" spans="1:1" ht="18.75" customHeight="1" thickBot="1" x14ac:dyDescent="0.25">
      <c r="A2" s="734" t="s">
        <v>5</v>
      </c>
    </row>
    <row r="3" spans="1:1" ht="89.25" customHeight="1" thickBot="1" x14ac:dyDescent="0.25">
      <c r="A3" s="733" t="s">
        <v>10247</v>
      </c>
    </row>
    <row r="4" spans="1:1" ht="15.75" thickBot="1" x14ac:dyDescent="0.25">
      <c r="A4" s="452" t="s">
        <v>8555</v>
      </c>
    </row>
    <row r="5" spans="1:1" ht="15.75" thickBot="1" x14ac:dyDescent="0.25">
      <c r="A5" s="735" t="s">
        <v>8556</v>
      </c>
    </row>
    <row r="6" spans="1:1" ht="58.5" customHeight="1" thickBot="1" x14ac:dyDescent="0.25">
      <c r="A6" s="555" t="str">
        <f>IF(Tank1!C16="","",IF(Tank1!C16="Fixed roof",VLOOKUP(Tank1!$C$17,'Hidden Inputs'!$BA$3:$BC$5,MATCH(Tank1!$C$18,'Hidden Inputs'!$BA2:BC2,0),FALSE),IF(Tank1!C16="External floating roof",VLOOKUP(Tank1!$C$17,'Hidden Inputs'!$BA$7:$BC$9,MATCH(Tank1!$C$18,'Hidden Inputs'!$BA$6:$BC$6,0),FALSE),IF(Tank1!C16="Internal floating roof",VLOOKUP(Tank1!$C$17,'Hidden Inputs'!$BA$11:$BC$13,MATCH(Tank1!$C$18,'Hidden Inputs'!$BA$10:$BC$10,0),FALSE),""))))</f>
        <v/>
      </c>
    </row>
    <row r="7" spans="1:1" ht="15.75" thickBot="1" x14ac:dyDescent="0.25">
      <c r="A7" s="453" t="s">
        <v>8555</v>
      </c>
    </row>
    <row r="8" spans="1:1" ht="15.75" thickBot="1" x14ac:dyDescent="0.25">
      <c r="A8" s="735" t="s">
        <v>8557</v>
      </c>
    </row>
    <row r="9" spans="1:1" ht="58.5" customHeight="1" thickBot="1" x14ac:dyDescent="0.25">
      <c r="A9" s="555" t="str">
        <f>IF(Tank2!C16="","",IF(Tank2!C16="Fixed roof",VLOOKUP(Tank2!$C$17,'Hidden Inputs'!$BA$3:$BC$5,MATCH(Tank2!$C$18,'Hidden Inputs'!$BA2:BC2,0),FALSE),IF(Tank2!C16="External floating roof",VLOOKUP(Tank2!$C$17,'Hidden Inputs'!$BA$7:$BC$9,MATCH(Tank2!$C$18,'Hidden Inputs'!$BA$6:$BC$6,0),FALSE),IF(Tank2!C16="Internal floating roof",VLOOKUP(Tank2!$C$17,'Hidden Inputs'!$BA$11:$BC$13,MATCH(Tank2!$C$18,'Hidden Inputs'!$BA$10:$BC$10,0),FALSE),""))))</f>
        <v/>
      </c>
    </row>
    <row r="10" spans="1:1" ht="15.75" thickBot="1" x14ac:dyDescent="0.25">
      <c r="A10" s="454" t="s">
        <v>8555</v>
      </c>
    </row>
    <row r="11" spans="1:1" ht="15.75" thickBot="1" x14ac:dyDescent="0.25">
      <c r="A11" s="735" t="s">
        <v>8558</v>
      </c>
    </row>
    <row r="12" spans="1:1" ht="58.5" customHeight="1" thickBot="1" x14ac:dyDescent="0.25">
      <c r="A12" s="555" t="str">
        <f>IF(Tank3!C16="","",IF(Tank3!C16="Fixed roof",VLOOKUP(Tank3!$C$17,'Hidden Inputs'!$BA$3:$BC$5,MATCH(Tank3!$C$18,'Hidden Inputs'!$BA2:BC2,0),FALSE),IF(Tank3!C16="External floating roof",VLOOKUP(Tank3!$C$17,'Hidden Inputs'!$BA$7:$BC$9,MATCH(Tank3!$C$18,'Hidden Inputs'!$BA$6:$BC$6,0),FALSE),IF(Tank3!C16="Internal floating roof",VLOOKUP(Tank3!$C$17,'Hidden Inputs'!$BA$11:$BC$13,MATCH(Tank3!$C$18,'Hidden Inputs'!$BA$10:$BC$10,0),FALSE),""))))</f>
        <v/>
      </c>
    </row>
    <row r="13" spans="1:1" ht="15.75" thickBot="1" x14ac:dyDescent="0.25">
      <c r="A13" s="454" t="s">
        <v>8555</v>
      </c>
    </row>
    <row r="14" spans="1:1" ht="15.75" thickBot="1" x14ac:dyDescent="0.25">
      <c r="A14" s="735" t="s">
        <v>8559</v>
      </c>
    </row>
    <row r="15" spans="1:1" ht="58.5" customHeight="1" thickBot="1" x14ac:dyDescent="0.25">
      <c r="A15" s="555" t="str">
        <f>IF(Tank4!C16="","",IF(Tank4!C16="Fixed roof",VLOOKUP(Tank4!$C$17,'Hidden Inputs'!$BA$3:$BC$5,MATCH(Tank4!$C$18,'Hidden Inputs'!$BA2:BC2,0),FALSE),IF(Tank4!C16="External floating roof",VLOOKUP(Tank4!$C$17,'Hidden Inputs'!$BA$7:$BC$9,MATCH(Tank4!$C$18,'Hidden Inputs'!$BA$6:$BC$6,0),FALSE),IF(Tank4!C16="Internal floating roof",VLOOKUP(Tank4!$C$17,'Hidden Inputs'!$BA$11:$BC$13,MATCH(Tank4!$C$18,'Hidden Inputs'!$BA$10:$BC$10,0),FALSE),""))))</f>
        <v/>
      </c>
    </row>
    <row r="16" spans="1:1" ht="15.75" thickBot="1" x14ac:dyDescent="0.25">
      <c r="A16" s="454" t="s">
        <v>8555</v>
      </c>
    </row>
    <row r="17" spans="1:1" ht="15.75" thickBot="1" x14ac:dyDescent="0.25">
      <c r="A17" s="735" t="s">
        <v>8560</v>
      </c>
    </row>
    <row r="18" spans="1:1" ht="58.5" customHeight="1" thickBot="1" x14ac:dyDescent="0.25">
      <c r="A18" s="555" t="str">
        <f>IF(Tank5!C16="","",IF(Tank5!C16="Fixed roof",VLOOKUP(Tank5!$C$17,'Hidden Inputs'!$BA$3:$BC$5,MATCH(Tank5!$C$18,'Hidden Inputs'!$BA2:BC2,0),FALSE),IF(Tank5!C16="External floating roof",VLOOKUP(Tank5!$C$17,'Hidden Inputs'!$BA$7:$BC$9,MATCH(Tank5!$C$18,'Hidden Inputs'!$BA$6:$BC$6,0),FALSE),IF(Tank5!C16="Internal floating roof",VLOOKUP(Tank5!$C$17,'Hidden Inputs'!$BA$11:$BC$13,MATCH(Tank5!$C$18,'Hidden Inputs'!$BA$10:$BC$10,0),FALSE),""))))</f>
        <v/>
      </c>
    </row>
    <row r="19" spans="1:1" ht="15.75" thickBot="1" x14ac:dyDescent="0.25">
      <c r="A19" s="454" t="s">
        <v>8555</v>
      </c>
    </row>
    <row r="20" spans="1:1" ht="15.75" thickBot="1" x14ac:dyDescent="0.25">
      <c r="A20" s="735" t="s">
        <v>8561</v>
      </c>
    </row>
    <row r="21" spans="1:1" ht="45.75" customHeight="1" thickBot="1" x14ac:dyDescent="0.25">
      <c r="A21" s="555" t="str">
        <f>IF('Loading-drum,tote'!C20="","",(IF('Loading-drum,tote'!C20&lt;0.5,'Hidden Inputs'!AA7,'Hidden Inputs'!AA8)))</f>
        <v/>
      </c>
    </row>
    <row r="22" spans="1:1" ht="15.75" thickBot="1" x14ac:dyDescent="0.25">
      <c r="A22" s="454" t="s">
        <v>8555</v>
      </c>
    </row>
    <row r="23" spans="1:1" ht="15.75" thickBot="1" x14ac:dyDescent="0.25">
      <c r="A23" s="735" t="s">
        <v>8562</v>
      </c>
    </row>
    <row r="24" spans="1:1" ht="31.5" customHeight="1" thickBot="1" x14ac:dyDescent="0.25">
      <c r="A24" s="555" t="str">
        <f>IF('Loading-truck'!C20="","",(IF('Loading-truck'!C20&lt;0.5,'Hidden Inputs'!AA4,(IF('Loading-truck'!C22=100,'Hidden Inputs'!AA6,'Hidden Inputs'!AA5)))))</f>
        <v/>
      </c>
    </row>
    <row r="25" spans="1:1" ht="15.75" thickBot="1" x14ac:dyDescent="0.3">
      <c r="A25" s="455" t="s">
        <v>8555</v>
      </c>
    </row>
    <row r="26" spans="1:1" ht="15.75" thickBot="1" x14ac:dyDescent="0.25">
      <c r="A26" s="735" t="s">
        <v>8563</v>
      </c>
    </row>
    <row r="27" spans="1:1" ht="53.25" customHeight="1" thickBot="1" x14ac:dyDescent="0.25">
      <c r="A27" s="555" t="str">
        <f>IF('Loading-rail'!C20="","",(IF('Loading-rail'!C20&lt;0.5,'Hidden Inputs'!AA2,'Hidden Inputs'!AA3)))</f>
        <v/>
      </c>
    </row>
    <row r="28" spans="1:1" ht="15.75" thickBot="1" x14ac:dyDescent="0.3">
      <c r="A28" s="455" t="s">
        <v>8555</v>
      </c>
    </row>
    <row r="29" spans="1:1" ht="15.75" thickBot="1" x14ac:dyDescent="0.25">
      <c r="A29" s="735" t="s">
        <v>8564</v>
      </c>
    </row>
    <row r="30" spans="1:1" ht="59.25" customHeight="1" thickBot="1" x14ac:dyDescent="0.25">
      <c r="A30" s="555" t="str">
        <f>IF(Flare!C7="","",'Hidden Inputs'!AA12)</f>
        <v/>
      </c>
    </row>
    <row r="31" spans="1:1" ht="15.75" thickBot="1" x14ac:dyDescent="0.3">
      <c r="A31" s="455" t="s">
        <v>8555</v>
      </c>
    </row>
    <row r="32" spans="1:1" ht="15.75" thickBot="1" x14ac:dyDescent="0.25">
      <c r="A32" s="735" t="s">
        <v>8565</v>
      </c>
    </row>
    <row r="33" spans="1:1" ht="15" thickBot="1" x14ac:dyDescent="0.25">
      <c r="A33" s="555" t="str">
        <f>IF(VCU!C9="","",'Hidden Inputs'!AA11)</f>
        <v/>
      </c>
    </row>
    <row r="34" spans="1:1" ht="15.75" thickBot="1" x14ac:dyDescent="0.3">
      <c r="A34" s="455" t="s">
        <v>8555</v>
      </c>
    </row>
    <row r="35" spans="1:1" ht="15.75" thickBot="1" x14ac:dyDescent="0.25">
      <c r="A35" s="735" t="s">
        <v>8566</v>
      </c>
    </row>
    <row r="36" spans="1:1" ht="45" customHeight="1" thickBot="1" x14ac:dyDescent="0.25">
      <c r="A36" s="555" t="str">
        <f>IF(CAS!C19="","",(IF(CAS!C19="Regenerative",'Hidden Inputs'!AA9,'Hidden Inputs'!AA10)))</f>
        <v/>
      </c>
    </row>
    <row r="37" spans="1:1" ht="15" x14ac:dyDescent="0.25">
      <c r="A37" s="455" t="s">
        <v>8455</v>
      </c>
    </row>
  </sheetData>
  <sheetProtection algorithmName="SHA-512" hashValue="rBBRorSV5cAG9YaGClVnERkqtf7yFtdUGch0fnVdZPm0JFSGZajy2AVT3NvJgcvxXPDYtIUc15j7xeSvB43dVA==" saltValue="XtPEksxJjsrzbOdwfaJuQw==" spinCount="100000" sheet="1" objects="1" scenarios="1" formatColumns="0" formatRows="0" autoFilter="0"/>
  <printOptions horizontalCentered="1"/>
  <pageMargins left="0.7" right="0.7" top="0.75" bottom="0.75" header="0.3" footer="0.3"/>
  <pageSetup scale="73" fitToHeight="0" orientation="portrait" r:id="rId1"/>
  <headerFooter>
    <oddHeader>&amp;C&amp;"Arial,Regular"Tanks and Loading Increases RAP Application</oddHeader>
    <oddFooter>&amp;LVersion 3.0&amp;CSheet: &amp;A&amp;RPage &amp;P</oddFooter>
  </headerFooter>
  <rowBreaks count="1" manualBreakCount="1">
    <brk id="22" man="1"/>
  </rowBreaks>
  <extLst>
    <ext xmlns:x14="http://schemas.microsoft.com/office/spreadsheetml/2009/9/main" uri="{78C0D931-6437-407d-A8EE-F0AAD7539E65}">
      <x14:conditionalFormattings>
        <x14:conditionalFormatting xmlns:xm="http://schemas.microsoft.com/office/excel/2006/main">
          <x14:cfRule type="expression" priority="11" id="{2A9F4117-DF39-4FCC-AE4A-BE5048EC031E}">
            <xm:f>OR(Tank1!$C$6="",Tank1!$C$6="affected")</xm:f>
            <x14:dxf>
              <numFmt numFmtId="171" formatCode=";;;"/>
              <fill>
                <patternFill>
                  <bgColor theme="0" tint="-0.499984740745262"/>
                </patternFill>
              </fill>
            </x14:dxf>
          </x14:cfRule>
          <xm:sqref>A5:A6</xm:sqref>
        </x14:conditionalFormatting>
        <x14:conditionalFormatting xmlns:xm="http://schemas.microsoft.com/office/excel/2006/main">
          <x14:cfRule type="expression" priority="10" id="{068A0E86-CF3A-4BED-BAA0-E995FD6BC21B}">
            <xm:f>OR(Tank2!$C$6="",Tank2!$C$6="affected")</xm:f>
            <x14:dxf>
              <numFmt numFmtId="171" formatCode=";;;"/>
              <fill>
                <patternFill>
                  <bgColor theme="0" tint="-0.499984740745262"/>
                </patternFill>
              </fill>
            </x14:dxf>
          </x14:cfRule>
          <xm:sqref>A8:A9</xm:sqref>
        </x14:conditionalFormatting>
        <x14:conditionalFormatting xmlns:xm="http://schemas.microsoft.com/office/excel/2006/main">
          <x14:cfRule type="expression" priority="9" id="{D76CE31F-CEB3-48C0-9C29-39611E99DE18}">
            <xm:f>OR(Tank3!$C$6="",Tank3!$C$6="affected")</xm:f>
            <x14:dxf>
              <numFmt numFmtId="171" formatCode=";;;"/>
              <fill>
                <patternFill>
                  <bgColor theme="0" tint="-0.499984740745262"/>
                </patternFill>
              </fill>
            </x14:dxf>
          </x14:cfRule>
          <xm:sqref>A11:A12</xm:sqref>
        </x14:conditionalFormatting>
        <x14:conditionalFormatting xmlns:xm="http://schemas.microsoft.com/office/excel/2006/main">
          <x14:cfRule type="expression" priority="8" id="{4E9F8057-D397-4D4F-A60F-20C876B1D46A}">
            <xm:f>OR(Tank4!$C$6="",Tank4!$C$6="affected")</xm:f>
            <x14:dxf>
              <numFmt numFmtId="171" formatCode=";;;"/>
              <fill>
                <patternFill>
                  <bgColor theme="0" tint="-0.499984740745262"/>
                </patternFill>
              </fill>
            </x14:dxf>
          </x14:cfRule>
          <xm:sqref>A14:A15</xm:sqref>
        </x14:conditionalFormatting>
        <x14:conditionalFormatting xmlns:xm="http://schemas.microsoft.com/office/excel/2006/main">
          <x14:cfRule type="expression" priority="7" id="{1888CB22-96CF-4E87-A1A6-0C277F8270BA}">
            <xm:f>OR(Tank5!$C$6="",Tank5!$C$6="affected")</xm:f>
            <x14:dxf>
              <numFmt numFmtId="171" formatCode=";;;"/>
              <fill>
                <patternFill>
                  <bgColor theme="0" tint="-0.499984740745262"/>
                </patternFill>
              </fill>
            </x14:dxf>
          </x14:cfRule>
          <xm:sqref>A17:A18</xm:sqref>
        </x14:conditionalFormatting>
        <x14:conditionalFormatting xmlns:xm="http://schemas.microsoft.com/office/excel/2006/main">
          <x14:cfRule type="expression" priority="6" id="{C696F52C-9CF2-4CBA-9F46-48076112F50B}">
            <xm:f>OR('Loading-drum,tote'!$C$6="",'Loading-drum,tote'!$C$6="affected")</xm:f>
            <x14:dxf>
              <numFmt numFmtId="171" formatCode=";;;"/>
              <fill>
                <patternFill>
                  <bgColor theme="0" tint="-0.499984740745262"/>
                </patternFill>
              </fill>
            </x14:dxf>
          </x14:cfRule>
          <xm:sqref>A20:A21</xm:sqref>
        </x14:conditionalFormatting>
        <x14:conditionalFormatting xmlns:xm="http://schemas.microsoft.com/office/excel/2006/main">
          <x14:cfRule type="expression" priority="5" id="{08161014-EDB1-40BD-BE84-B5DACB772A08}">
            <xm:f>OR('Loading-truck'!$C$6="",'Loading-truck'!$C$6="affected")</xm:f>
            <x14:dxf>
              <numFmt numFmtId="171" formatCode=";;;"/>
              <fill>
                <patternFill>
                  <bgColor theme="0" tint="-0.499984740745262"/>
                </patternFill>
              </fill>
            </x14:dxf>
          </x14:cfRule>
          <xm:sqref>A23:A24</xm:sqref>
        </x14:conditionalFormatting>
        <x14:conditionalFormatting xmlns:xm="http://schemas.microsoft.com/office/excel/2006/main">
          <x14:cfRule type="expression" priority="4" id="{A908DDA6-7C89-4F03-B28A-6A7F3206CCCC}">
            <xm:f>OR('Loading-rail'!$C$6="",'Loading-rail'!$C$6="affected")</xm:f>
            <x14:dxf>
              <numFmt numFmtId="171" formatCode=";;;"/>
              <fill>
                <patternFill>
                  <bgColor theme="0" tint="-0.499984740745262"/>
                </patternFill>
              </fill>
            </x14:dxf>
          </x14:cfRule>
          <xm:sqref>A26:A27</xm:sqref>
        </x14:conditionalFormatting>
        <x14:conditionalFormatting xmlns:xm="http://schemas.microsoft.com/office/excel/2006/main">
          <x14:cfRule type="expression" priority="3" id="{13A3C418-98C0-4AE4-BDDE-3487C4116732}">
            <xm:f>OR(Flare!$C$6="",Flare!$C$6="affected")</xm:f>
            <x14:dxf>
              <numFmt numFmtId="171" formatCode=";;;"/>
              <fill>
                <patternFill>
                  <bgColor theme="0" tint="-0.499984740745262"/>
                </patternFill>
              </fill>
            </x14:dxf>
          </x14:cfRule>
          <xm:sqref>A29:A30</xm:sqref>
        </x14:conditionalFormatting>
        <x14:conditionalFormatting xmlns:xm="http://schemas.microsoft.com/office/excel/2006/main">
          <x14:cfRule type="expression" priority="2" id="{042CF9BA-BE8E-48AB-8FCB-26013C5C609E}">
            <xm:f>OR(VCU!$C$8="",Tank1!$C$6="affected")</xm:f>
            <x14:dxf>
              <numFmt numFmtId="171" formatCode=";;;"/>
              <fill>
                <patternFill>
                  <bgColor theme="0" tint="-0.499984740745262"/>
                </patternFill>
              </fill>
            </x14:dxf>
          </x14:cfRule>
          <xm:sqref>A32:A33</xm:sqref>
        </x14:conditionalFormatting>
        <x14:conditionalFormatting xmlns:xm="http://schemas.microsoft.com/office/excel/2006/main">
          <x14:cfRule type="expression" priority="1" id="{5EFE19F4-0053-47DE-9705-B553271E2682}">
            <xm:f>OR(CAS!$C$6="",CAS!$C$6="affected")</xm:f>
            <x14:dxf>
              <numFmt numFmtId="171" formatCode=";;;"/>
              <fill>
                <patternFill>
                  <bgColor theme="0" tint="-0.499984740745262"/>
                </patternFill>
              </fill>
            </x14:dxf>
          </x14:cfRule>
          <xm:sqref>A35:A36</xm:sqref>
        </x14:conditionalFormatting>
        <x14:conditionalFormatting xmlns:xm="http://schemas.microsoft.com/office/excel/2006/main">
          <x14:cfRule type="expression" priority="12" stopIfTrue="1" id="{1ED7B07A-3183-4EBF-B232-E982614AF0A6}">
            <xm:f>'Hidden Inputs'!$BR$5</xm:f>
            <x14:dxf>
              <font>
                <color theme="0" tint="-0.499984740745262"/>
              </font>
              <numFmt numFmtId="171" formatCode=";;;"/>
              <fill>
                <patternFill>
                  <bgColor theme="0" tint="-0.499984740745262"/>
                </patternFill>
              </fill>
              <border>
                <left/>
                <right/>
                <top/>
                <bottom/>
              </border>
            </x14:dxf>
          </x14:cfRule>
          <xm:sqref>A1:XFD1048576</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C2EA8B-5FAD-4132-99CC-D1BCC2372D94}">
  <sheetPr codeName="Sheet24">
    <tabColor theme="8" tint="0.39997558519241921"/>
  </sheetPr>
  <dimension ref="A1:V304"/>
  <sheetViews>
    <sheetView workbookViewId="0">
      <selection sqref="A1:D1"/>
    </sheetView>
  </sheetViews>
  <sheetFormatPr defaultColWidth="0" defaultRowHeight="0" customHeight="1" zeroHeight="1" x14ac:dyDescent="0.25"/>
  <cols>
    <col min="1" max="1" width="5.140625" style="570" customWidth="1"/>
    <col min="2" max="2" width="6.42578125" style="570" customWidth="1"/>
    <col min="3" max="3" width="12.28515625" style="570" customWidth="1"/>
    <col min="4" max="4" width="101.7109375" style="570" customWidth="1"/>
    <col min="5" max="5" width="77.5703125" style="457" hidden="1" customWidth="1"/>
    <col min="6" max="16384" width="4.5703125" style="556" hidden="1"/>
  </cols>
  <sheetData>
    <row r="1" spans="1:16" ht="5.25" customHeight="1" thickBot="1" x14ac:dyDescent="0.3">
      <c r="A1" s="1879" t="s">
        <v>8600</v>
      </c>
      <c r="B1" s="1879"/>
      <c r="C1" s="1879"/>
      <c r="D1" s="1879"/>
      <c r="E1" s="456" t="s">
        <v>8903</v>
      </c>
    </row>
    <row r="2" spans="1:16" ht="18.75" thickBot="1" x14ac:dyDescent="0.3">
      <c r="A2" s="1832" t="s">
        <v>10198</v>
      </c>
      <c r="B2" s="1833"/>
      <c r="C2" s="1833"/>
      <c r="D2" s="1834"/>
    </row>
    <row r="3" spans="1:16" ht="119.25" customHeight="1" thickBot="1" x14ac:dyDescent="0.3">
      <c r="A3" s="1829" t="s">
        <v>10235</v>
      </c>
      <c r="B3" s="1830"/>
      <c r="C3" s="1830"/>
      <c r="D3" s="1831"/>
    </row>
    <row r="4" spans="1:16" ht="15" thickBot="1" x14ac:dyDescent="0.3">
      <c r="A4" s="1828" t="s">
        <v>8555</v>
      </c>
      <c r="B4" s="1828"/>
      <c r="C4" s="1828"/>
      <c r="D4" s="1828"/>
    </row>
    <row r="5" spans="1:16" ht="15.75" thickBot="1" x14ac:dyDescent="0.3">
      <c r="A5" s="1805" t="s">
        <v>10200</v>
      </c>
      <c r="B5" s="1806"/>
      <c r="C5" s="1806"/>
      <c r="D5" s="1806"/>
      <c r="E5" s="777"/>
      <c r="F5" s="777"/>
      <c r="G5" s="777"/>
      <c r="H5" s="777"/>
      <c r="I5" s="777"/>
      <c r="J5" s="777"/>
      <c r="K5" s="777"/>
      <c r="L5" s="777"/>
      <c r="M5" s="777"/>
      <c r="N5" s="777"/>
      <c r="O5" s="777"/>
      <c r="P5" s="778"/>
    </row>
    <row r="6" spans="1:16" ht="45" customHeight="1" x14ac:dyDescent="0.25">
      <c r="A6" s="557">
        <v>1</v>
      </c>
      <c r="B6" s="1814" t="s">
        <v>8601</v>
      </c>
      <c r="C6" s="1815"/>
      <c r="D6" s="1816"/>
      <c r="E6" s="457" t="s">
        <v>8913</v>
      </c>
    </row>
    <row r="7" spans="1:16" ht="44.25" customHeight="1" x14ac:dyDescent="0.25">
      <c r="A7" s="558">
        <v>2</v>
      </c>
      <c r="B7" s="1817" t="s">
        <v>10195</v>
      </c>
      <c r="C7" s="1818"/>
      <c r="D7" s="1819"/>
      <c r="E7" s="457" t="s">
        <v>8913</v>
      </c>
    </row>
    <row r="8" spans="1:16" ht="71.25" customHeight="1" thickBot="1" x14ac:dyDescent="0.3">
      <c r="A8" s="730" t="s">
        <v>10191</v>
      </c>
      <c r="B8" s="1820" t="s">
        <v>10196</v>
      </c>
      <c r="C8" s="1821"/>
      <c r="D8" s="1822"/>
      <c r="E8" s="457" t="s">
        <v>10505</v>
      </c>
    </row>
    <row r="9" spans="1:16" ht="15" x14ac:dyDescent="0.25">
      <c r="A9" s="1835" t="s">
        <v>8602</v>
      </c>
      <c r="B9" s="1836"/>
      <c r="C9" s="1836"/>
      <c r="D9" s="1837"/>
      <c r="E9" s="457" t="s">
        <v>10504</v>
      </c>
    </row>
    <row r="10" spans="1:16" ht="31.5" customHeight="1" x14ac:dyDescent="0.25">
      <c r="A10" s="731" t="s">
        <v>10045</v>
      </c>
      <c r="B10" s="1811" t="s">
        <v>8881</v>
      </c>
      <c r="C10" s="1811"/>
      <c r="D10" s="1823"/>
    </row>
    <row r="11" spans="1:16" ht="15" customHeight="1" x14ac:dyDescent="0.25">
      <c r="A11" s="558"/>
      <c r="B11" s="481" t="s">
        <v>8749</v>
      </c>
      <c r="C11" s="1811" t="s">
        <v>8603</v>
      </c>
      <c r="D11" s="1823"/>
    </row>
    <row r="12" spans="1:16" ht="30" customHeight="1" x14ac:dyDescent="0.25">
      <c r="A12" s="558"/>
      <c r="B12" s="481" t="s">
        <v>8757</v>
      </c>
      <c r="C12" s="1811" t="s">
        <v>8604</v>
      </c>
      <c r="D12" s="1823"/>
    </row>
    <row r="13" spans="1:16" ht="30.75" customHeight="1" x14ac:dyDescent="0.25">
      <c r="A13" s="558"/>
      <c r="B13" s="481" t="s">
        <v>8760</v>
      </c>
      <c r="C13" s="1811" t="s">
        <v>8605</v>
      </c>
      <c r="D13" s="1823"/>
    </row>
    <row r="14" spans="1:16" ht="31.5" customHeight="1" x14ac:dyDescent="0.25">
      <c r="A14" s="558"/>
      <c r="B14" s="481" t="s">
        <v>8758</v>
      </c>
      <c r="C14" s="1811" t="s">
        <v>8606</v>
      </c>
      <c r="D14" s="1823"/>
    </row>
    <row r="15" spans="1:16" ht="15" customHeight="1" x14ac:dyDescent="0.25">
      <c r="A15" s="558"/>
      <c r="B15" s="481" t="s">
        <v>8759</v>
      </c>
      <c r="C15" s="1811" t="s">
        <v>8607</v>
      </c>
      <c r="D15" s="1823"/>
    </row>
    <row r="16" spans="1:16" ht="15" customHeight="1" x14ac:dyDescent="0.25">
      <c r="A16" s="558"/>
      <c r="B16" s="481" t="s">
        <v>8766</v>
      </c>
      <c r="C16" s="1811" t="s">
        <v>8716</v>
      </c>
      <c r="D16" s="1823"/>
    </row>
    <row r="17" spans="1:4" ht="43.5" customHeight="1" x14ac:dyDescent="0.25">
      <c r="A17" s="558"/>
      <c r="B17" s="481" t="s">
        <v>8770</v>
      </c>
      <c r="C17" s="1811" t="s">
        <v>8837</v>
      </c>
      <c r="D17" s="1823"/>
    </row>
    <row r="18" spans="1:4" ht="30.75" customHeight="1" x14ac:dyDescent="0.25">
      <c r="A18" s="558"/>
      <c r="B18" s="481" t="s">
        <v>8771</v>
      </c>
      <c r="C18" s="1811" t="s">
        <v>8609</v>
      </c>
      <c r="D18" s="1823"/>
    </row>
    <row r="19" spans="1:4" ht="31.5" customHeight="1" x14ac:dyDescent="0.25">
      <c r="A19" s="731" t="s">
        <v>10033</v>
      </c>
      <c r="B19" s="1811" t="s">
        <v>8882</v>
      </c>
      <c r="C19" s="1811"/>
      <c r="D19" s="1823"/>
    </row>
    <row r="20" spans="1:4" ht="15" customHeight="1" x14ac:dyDescent="0.25">
      <c r="A20" s="558"/>
      <c r="B20" s="481" t="s">
        <v>8749</v>
      </c>
      <c r="C20" s="1811" t="s">
        <v>8603</v>
      </c>
      <c r="D20" s="1823"/>
    </row>
    <row r="21" spans="1:4" ht="15" customHeight="1" x14ac:dyDescent="0.25">
      <c r="A21" s="558"/>
      <c r="B21" s="481" t="s">
        <v>8757</v>
      </c>
      <c r="C21" s="1811" t="s">
        <v>8718</v>
      </c>
      <c r="D21" s="1823"/>
    </row>
    <row r="22" spans="1:4" ht="15" customHeight="1" x14ac:dyDescent="0.25">
      <c r="A22" s="558"/>
      <c r="B22" s="481" t="s">
        <v>8760</v>
      </c>
      <c r="C22" s="1811" t="s">
        <v>8610</v>
      </c>
      <c r="D22" s="1823"/>
    </row>
    <row r="23" spans="1:4" ht="15" customHeight="1" x14ac:dyDescent="0.25">
      <c r="A23" s="558"/>
      <c r="B23" s="481" t="s">
        <v>8758</v>
      </c>
      <c r="C23" s="1811" t="s">
        <v>8717</v>
      </c>
      <c r="D23" s="1823"/>
    </row>
    <row r="24" spans="1:4" ht="15" customHeight="1" x14ac:dyDescent="0.25">
      <c r="A24" s="558"/>
      <c r="B24" s="481" t="s">
        <v>8759</v>
      </c>
      <c r="C24" s="1811" t="s">
        <v>8611</v>
      </c>
      <c r="D24" s="1823"/>
    </row>
    <row r="25" spans="1:4" ht="30.75" customHeight="1" x14ac:dyDescent="0.25">
      <c r="A25" s="731" t="s">
        <v>10034</v>
      </c>
      <c r="B25" s="1811" t="s">
        <v>8883</v>
      </c>
      <c r="C25" s="1811"/>
      <c r="D25" s="1823"/>
    </row>
    <row r="26" spans="1:4" ht="15" customHeight="1" x14ac:dyDescent="0.25">
      <c r="A26" s="558"/>
      <c r="B26" s="481" t="s">
        <v>8749</v>
      </c>
      <c r="C26" s="1811" t="s">
        <v>8603</v>
      </c>
      <c r="D26" s="1823"/>
    </row>
    <row r="27" spans="1:4" ht="30.75" customHeight="1" x14ac:dyDescent="0.25">
      <c r="A27" s="558"/>
      <c r="B27" s="481" t="s">
        <v>8757</v>
      </c>
      <c r="C27" s="1838" t="s">
        <v>8612</v>
      </c>
      <c r="D27" s="1839"/>
    </row>
    <row r="28" spans="1:4" ht="30.75" customHeight="1" x14ac:dyDescent="0.25">
      <c r="A28" s="558"/>
      <c r="B28" s="481" t="s">
        <v>8760</v>
      </c>
      <c r="C28" s="1811" t="s">
        <v>8613</v>
      </c>
      <c r="D28" s="1823"/>
    </row>
    <row r="29" spans="1:4" ht="15" customHeight="1" x14ac:dyDescent="0.25">
      <c r="A29" s="558"/>
      <c r="B29" s="481" t="s">
        <v>8758</v>
      </c>
      <c r="C29" s="1811" t="s">
        <v>8726</v>
      </c>
      <c r="D29" s="1823"/>
    </row>
    <row r="30" spans="1:4" ht="15" customHeight="1" x14ac:dyDescent="0.25">
      <c r="A30" s="558"/>
      <c r="B30" s="481" t="s">
        <v>8759</v>
      </c>
      <c r="C30" s="1811" t="s">
        <v>8614</v>
      </c>
      <c r="D30" s="1823"/>
    </row>
    <row r="31" spans="1:4" ht="15" customHeight="1" x14ac:dyDescent="0.25">
      <c r="A31" s="558"/>
      <c r="B31" s="481" t="s">
        <v>8766</v>
      </c>
      <c r="C31" s="1811" t="s">
        <v>8615</v>
      </c>
      <c r="D31" s="1823"/>
    </row>
    <row r="32" spans="1:4" ht="31.5" customHeight="1" x14ac:dyDescent="0.25">
      <c r="A32" s="558"/>
      <c r="B32" s="481" t="s">
        <v>8770</v>
      </c>
      <c r="C32" s="1811" t="s">
        <v>8727</v>
      </c>
      <c r="D32" s="1823"/>
    </row>
    <row r="33" spans="1:5" ht="30.75" customHeight="1" x14ac:dyDescent="0.25">
      <c r="A33" s="558"/>
      <c r="B33" s="481" t="s">
        <v>8771</v>
      </c>
      <c r="C33" s="1811" t="s">
        <v>8722</v>
      </c>
      <c r="D33" s="1823"/>
    </row>
    <row r="34" spans="1:5" ht="15" customHeight="1" x14ac:dyDescent="0.25">
      <c r="A34" s="558"/>
      <c r="B34" s="481" t="s">
        <v>8812</v>
      </c>
      <c r="C34" s="1811" t="s">
        <v>8724</v>
      </c>
      <c r="D34" s="1823"/>
    </row>
    <row r="35" spans="1:5" ht="30.75" customHeight="1" x14ac:dyDescent="0.25">
      <c r="A35" s="558"/>
      <c r="B35" s="481" t="s">
        <v>8813</v>
      </c>
      <c r="C35" s="1811" t="s">
        <v>8720</v>
      </c>
      <c r="D35" s="1823"/>
    </row>
    <row r="36" spans="1:5" ht="15" customHeight="1" x14ac:dyDescent="0.25">
      <c r="A36" s="558"/>
      <c r="B36" s="481" t="s">
        <v>8805</v>
      </c>
      <c r="C36" s="1811" t="s">
        <v>8728</v>
      </c>
      <c r="D36" s="1823"/>
    </row>
    <row r="37" spans="1:5" ht="15" customHeight="1" x14ac:dyDescent="0.25">
      <c r="A37" s="558"/>
      <c r="B37" s="481" t="s">
        <v>8807</v>
      </c>
      <c r="C37" s="1811" t="s">
        <v>8723</v>
      </c>
      <c r="D37" s="1823"/>
    </row>
    <row r="38" spans="1:5" ht="30" customHeight="1" x14ac:dyDescent="0.25">
      <c r="A38" s="558"/>
      <c r="B38" s="560" t="s">
        <v>8809</v>
      </c>
      <c r="C38" s="1811" t="s">
        <v>8725</v>
      </c>
      <c r="D38" s="1823"/>
    </row>
    <row r="39" spans="1:5" ht="30" customHeight="1" x14ac:dyDescent="0.25">
      <c r="A39" s="558"/>
      <c r="B39" s="481" t="s">
        <v>8811</v>
      </c>
      <c r="C39" s="1811" t="s">
        <v>8616</v>
      </c>
      <c r="D39" s="1823"/>
    </row>
    <row r="40" spans="1:5" ht="30" customHeight="1" x14ac:dyDescent="0.25">
      <c r="A40" s="558"/>
      <c r="B40" s="481" t="s">
        <v>8810</v>
      </c>
      <c r="C40" s="1811" t="s">
        <v>8617</v>
      </c>
      <c r="D40" s="1823"/>
    </row>
    <row r="41" spans="1:5" ht="15" customHeight="1" x14ac:dyDescent="0.25">
      <c r="A41" s="558"/>
      <c r="B41" s="481" t="s">
        <v>8814</v>
      </c>
      <c r="C41" s="1811" t="s">
        <v>8721</v>
      </c>
      <c r="D41" s="1823"/>
    </row>
    <row r="42" spans="1:5" ht="30" customHeight="1" x14ac:dyDescent="0.25">
      <c r="A42" s="558"/>
      <c r="B42" s="481" t="s">
        <v>8815</v>
      </c>
      <c r="C42" s="1811" t="s">
        <v>8618</v>
      </c>
      <c r="D42" s="1823"/>
    </row>
    <row r="43" spans="1:5" ht="15" customHeight="1" x14ac:dyDescent="0.25">
      <c r="A43" s="558"/>
      <c r="B43" s="481" t="s">
        <v>8806</v>
      </c>
      <c r="C43" s="1811" t="s">
        <v>8619</v>
      </c>
      <c r="D43" s="1823"/>
    </row>
    <row r="44" spans="1:5" ht="29.25" customHeight="1" thickBot="1" x14ac:dyDescent="0.3">
      <c r="A44" s="561"/>
      <c r="B44" s="562" t="s">
        <v>8808</v>
      </c>
      <c r="C44" s="1813" t="s">
        <v>8719</v>
      </c>
      <c r="D44" s="1825"/>
    </row>
    <row r="45" spans="1:5" ht="15" x14ac:dyDescent="0.25">
      <c r="A45" s="1840" t="s">
        <v>8801</v>
      </c>
      <c r="B45" s="1841"/>
      <c r="C45" s="1841"/>
      <c r="D45" s="1842"/>
      <c r="E45" s="457" t="s">
        <v>10507</v>
      </c>
    </row>
    <row r="46" spans="1:5" ht="33" customHeight="1" thickBot="1" x14ac:dyDescent="0.3">
      <c r="A46" s="731" t="s">
        <v>10035</v>
      </c>
      <c r="B46" s="1843" t="s">
        <v>10519</v>
      </c>
      <c r="C46" s="1821"/>
      <c r="D46" s="1822"/>
      <c r="E46" s="457" t="s">
        <v>8914</v>
      </c>
    </row>
    <row r="47" spans="1:5" ht="60.75" customHeight="1" thickBot="1" x14ac:dyDescent="0.3">
      <c r="A47" s="809"/>
      <c r="B47" s="817" t="s">
        <v>10064</v>
      </c>
      <c r="C47" s="818" t="s">
        <v>10282</v>
      </c>
      <c r="D47" s="819" t="s">
        <v>2</v>
      </c>
    </row>
    <row r="48" spans="1:5" ht="14.25" x14ac:dyDescent="0.25">
      <c r="A48" s="809"/>
      <c r="B48" s="814">
        <f>Tank1!$C$7</f>
        <v>0</v>
      </c>
      <c r="C48" s="816">
        <f>Tank1!C33</f>
        <v>0</v>
      </c>
      <c r="D48" s="815" t="str">
        <f>Tank1!$B33</f>
        <v/>
      </c>
    </row>
    <row r="49" spans="1:4" ht="14.25" x14ac:dyDescent="0.25">
      <c r="A49" s="809"/>
      <c r="B49" s="812">
        <f>$B$48</f>
        <v>0</v>
      </c>
      <c r="C49" s="820">
        <f>Tank1!C34</f>
        <v>0</v>
      </c>
      <c r="D49" s="821" t="str">
        <f>Tank1!$B34</f>
        <v/>
      </c>
    </row>
    <row r="50" spans="1:4" ht="14.25" x14ac:dyDescent="0.25">
      <c r="A50" s="809"/>
      <c r="B50" s="812">
        <f t="shared" ref="B50:B64" si="0">$B$48</f>
        <v>0</v>
      </c>
      <c r="C50" s="820">
        <f>Tank1!C35</f>
        <v>0</v>
      </c>
      <c r="D50" s="821" t="str">
        <f>Tank1!$B35</f>
        <v/>
      </c>
    </row>
    <row r="51" spans="1:4" ht="14.25" x14ac:dyDescent="0.25">
      <c r="A51" s="809"/>
      <c r="B51" s="812">
        <f t="shared" si="0"/>
        <v>0</v>
      </c>
      <c r="C51" s="820">
        <f>Tank1!C36</f>
        <v>0</v>
      </c>
      <c r="D51" s="821" t="str">
        <f>Tank1!$B36</f>
        <v/>
      </c>
    </row>
    <row r="52" spans="1:4" ht="14.25" x14ac:dyDescent="0.25">
      <c r="A52" s="809"/>
      <c r="B52" s="812">
        <f t="shared" si="0"/>
        <v>0</v>
      </c>
      <c r="C52" s="820">
        <f>Tank1!C37</f>
        <v>0</v>
      </c>
      <c r="D52" s="821" t="str">
        <f>Tank1!$B37</f>
        <v/>
      </c>
    </row>
    <row r="53" spans="1:4" ht="14.25" x14ac:dyDescent="0.25">
      <c r="A53" s="809"/>
      <c r="B53" s="812">
        <f t="shared" si="0"/>
        <v>0</v>
      </c>
      <c r="C53" s="820">
        <f>Tank1!C38</f>
        <v>0</v>
      </c>
      <c r="D53" s="821" t="str">
        <f>Tank1!$B38</f>
        <v/>
      </c>
    </row>
    <row r="54" spans="1:4" ht="14.25" x14ac:dyDescent="0.25">
      <c r="A54" s="809"/>
      <c r="B54" s="812">
        <f t="shared" si="0"/>
        <v>0</v>
      </c>
      <c r="C54" s="820">
        <f>Tank1!C39</f>
        <v>0</v>
      </c>
      <c r="D54" s="821" t="str">
        <f>Tank1!$B39</f>
        <v/>
      </c>
    </row>
    <row r="55" spans="1:4" ht="14.25" x14ac:dyDescent="0.25">
      <c r="A55" s="809"/>
      <c r="B55" s="812">
        <f t="shared" si="0"/>
        <v>0</v>
      </c>
      <c r="C55" s="820">
        <f>Tank1!C40</f>
        <v>0</v>
      </c>
      <c r="D55" s="821" t="str">
        <f>Tank1!$B40</f>
        <v/>
      </c>
    </row>
    <row r="56" spans="1:4" ht="14.25" x14ac:dyDescent="0.25">
      <c r="A56" s="809"/>
      <c r="B56" s="812">
        <f t="shared" si="0"/>
        <v>0</v>
      </c>
      <c r="C56" s="820">
        <f>Tank1!C41</f>
        <v>0</v>
      </c>
      <c r="D56" s="821" t="str">
        <f>Tank1!$B41</f>
        <v/>
      </c>
    </row>
    <row r="57" spans="1:4" ht="14.25" x14ac:dyDescent="0.25">
      <c r="A57" s="809"/>
      <c r="B57" s="812">
        <f t="shared" si="0"/>
        <v>0</v>
      </c>
      <c r="C57" s="820">
        <f>Tank1!C42</f>
        <v>0</v>
      </c>
      <c r="D57" s="821" t="str">
        <f>Tank1!$B42</f>
        <v/>
      </c>
    </row>
    <row r="58" spans="1:4" ht="14.25" x14ac:dyDescent="0.25">
      <c r="A58" s="809"/>
      <c r="B58" s="812">
        <f t="shared" si="0"/>
        <v>0</v>
      </c>
      <c r="C58" s="820">
        <f>Tank1!C43</f>
        <v>0</v>
      </c>
      <c r="D58" s="821" t="str">
        <f>Tank1!$B43</f>
        <v/>
      </c>
    </row>
    <row r="59" spans="1:4" ht="14.25" x14ac:dyDescent="0.25">
      <c r="A59" s="809"/>
      <c r="B59" s="812">
        <f t="shared" si="0"/>
        <v>0</v>
      </c>
      <c r="C59" s="820">
        <f>Tank1!C44</f>
        <v>0</v>
      </c>
      <c r="D59" s="821" t="str">
        <f>Tank1!$B44</f>
        <v/>
      </c>
    </row>
    <row r="60" spans="1:4" ht="14.25" x14ac:dyDescent="0.25">
      <c r="A60" s="809"/>
      <c r="B60" s="812">
        <f t="shared" si="0"/>
        <v>0</v>
      </c>
      <c r="C60" s="820">
        <f>Tank1!C45</f>
        <v>0</v>
      </c>
      <c r="D60" s="821" t="str">
        <f>Tank1!$B45</f>
        <v/>
      </c>
    </row>
    <row r="61" spans="1:4" ht="14.25" x14ac:dyDescent="0.25">
      <c r="A61" s="809"/>
      <c r="B61" s="812">
        <f t="shared" si="0"/>
        <v>0</v>
      </c>
      <c r="C61" s="820">
        <f>Tank1!C46</f>
        <v>0</v>
      </c>
      <c r="D61" s="821" t="str">
        <f>Tank1!$B46</f>
        <v/>
      </c>
    </row>
    <row r="62" spans="1:4" ht="14.25" x14ac:dyDescent="0.25">
      <c r="A62" s="809"/>
      <c r="B62" s="812">
        <f t="shared" si="0"/>
        <v>0</v>
      </c>
      <c r="C62" s="820">
        <f>Tank1!C47</f>
        <v>0</v>
      </c>
      <c r="D62" s="821" t="str">
        <f>Tank1!$B47</f>
        <v/>
      </c>
    </row>
    <row r="63" spans="1:4" ht="14.25" x14ac:dyDescent="0.25">
      <c r="A63" s="809"/>
      <c r="B63" s="812">
        <f t="shared" si="0"/>
        <v>0</v>
      </c>
      <c r="C63" s="820">
        <f>Tank1!C48</f>
        <v>0</v>
      </c>
      <c r="D63" s="821" t="str">
        <f>Tank1!$B48</f>
        <v/>
      </c>
    </row>
    <row r="64" spans="1:4" ht="15" thickBot="1" x14ac:dyDescent="0.3">
      <c r="A64" s="809"/>
      <c r="B64" s="824">
        <f t="shared" si="0"/>
        <v>0</v>
      </c>
      <c r="C64" s="825">
        <f>Tank1!C49</f>
        <v>0</v>
      </c>
      <c r="D64" s="826" t="str">
        <f>Tank1!$B49</f>
        <v/>
      </c>
    </row>
    <row r="65" spans="1:4" ht="14.25" x14ac:dyDescent="0.25">
      <c r="A65" s="809"/>
      <c r="B65" s="814">
        <f>Tank2!$C$7</f>
        <v>0</v>
      </c>
      <c r="C65" s="816">
        <f>Tank2!C33</f>
        <v>0</v>
      </c>
      <c r="D65" s="815" t="str">
        <f>Tank2!$B33</f>
        <v/>
      </c>
    </row>
    <row r="66" spans="1:4" ht="14.25" x14ac:dyDescent="0.25">
      <c r="A66" s="809"/>
      <c r="B66" s="812">
        <f>Tank2!$C$7</f>
        <v>0</v>
      </c>
      <c r="C66" s="820">
        <f>Tank2!C34</f>
        <v>0</v>
      </c>
      <c r="D66" s="821" t="str">
        <f>Tank2!$B34</f>
        <v/>
      </c>
    </row>
    <row r="67" spans="1:4" ht="14.25" x14ac:dyDescent="0.25">
      <c r="A67" s="809"/>
      <c r="B67" s="812">
        <f>Tank2!$C$7</f>
        <v>0</v>
      </c>
      <c r="C67" s="820">
        <f>Tank2!C35</f>
        <v>0</v>
      </c>
      <c r="D67" s="821" t="str">
        <f>Tank2!$B35</f>
        <v/>
      </c>
    </row>
    <row r="68" spans="1:4" ht="14.25" x14ac:dyDescent="0.25">
      <c r="A68" s="809"/>
      <c r="B68" s="812">
        <f>Tank2!$C$7</f>
        <v>0</v>
      </c>
      <c r="C68" s="820">
        <f>Tank2!C36</f>
        <v>0</v>
      </c>
      <c r="D68" s="821" t="str">
        <f>Tank2!$B36</f>
        <v/>
      </c>
    </row>
    <row r="69" spans="1:4" ht="14.25" x14ac:dyDescent="0.25">
      <c r="A69" s="809"/>
      <c r="B69" s="812">
        <f>Tank2!$C$7</f>
        <v>0</v>
      </c>
      <c r="C69" s="820">
        <f>Tank2!C37</f>
        <v>0</v>
      </c>
      <c r="D69" s="821" t="str">
        <f>Tank2!$B37</f>
        <v/>
      </c>
    </row>
    <row r="70" spans="1:4" ht="14.25" x14ac:dyDescent="0.25">
      <c r="A70" s="809"/>
      <c r="B70" s="812">
        <f>Tank2!$C$7</f>
        <v>0</v>
      </c>
      <c r="C70" s="820">
        <f>Tank2!C38</f>
        <v>0</v>
      </c>
      <c r="D70" s="821" t="str">
        <f>Tank2!$B38</f>
        <v/>
      </c>
    </row>
    <row r="71" spans="1:4" ht="14.25" x14ac:dyDescent="0.25">
      <c r="A71" s="809"/>
      <c r="B71" s="812">
        <f>Tank2!$C$7</f>
        <v>0</v>
      </c>
      <c r="C71" s="820">
        <f>Tank2!C39</f>
        <v>0</v>
      </c>
      <c r="D71" s="821" t="str">
        <f>Tank2!$B39</f>
        <v/>
      </c>
    </row>
    <row r="72" spans="1:4" ht="14.25" x14ac:dyDescent="0.25">
      <c r="A72" s="809"/>
      <c r="B72" s="812">
        <f>Tank2!$C$7</f>
        <v>0</v>
      </c>
      <c r="C72" s="820">
        <f>Tank2!C40</f>
        <v>0</v>
      </c>
      <c r="D72" s="821" t="str">
        <f>Tank2!$B40</f>
        <v/>
      </c>
    </row>
    <row r="73" spans="1:4" ht="14.25" x14ac:dyDescent="0.25">
      <c r="A73" s="809"/>
      <c r="B73" s="812">
        <f>Tank2!$C$7</f>
        <v>0</v>
      </c>
      <c r="C73" s="820">
        <f>Tank2!C41</f>
        <v>0</v>
      </c>
      <c r="D73" s="821" t="str">
        <f>Tank2!$B41</f>
        <v/>
      </c>
    </row>
    <row r="74" spans="1:4" ht="14.25" x14ac:dyDescent="0.25">
      <c r="A74" s="809"/>
      <c r="B74" s="812">
        <f>Tank2!$C$7</f>
        <v>0</v>
      </c>
      <c r="C74" s="820">
        <f>Tank2!C42</f>
        <v>0</v>
      </c>
      <c r="D74" s="821" t="str">
        <f>Tank2!$B42</f>
        <v/>
      </c>
    </row>
    <row r="75" spans="1:4" ht="14.25" x14ac:dyDescent="0.25">
      <c r="A75" s="809"/>
      <c r="B75" s="812">
        <f>Tank2!$C$7</f>
        <v>0</v>
      </c>
      <c r="C75" s="820">
        <f>Tank2!C43</f>
        <v>0</v>
      </c>
      <c r="D75" s="821" t="str">
        <f>Tank2!$B43</f>
        <v/>
      </c>
    </row>
    <row r="76" spans="1:4" ht="14.25" x14ac:dyDescent="0.25">
      <c r="A76" s="809"/>
      <c r="B76" s="812">
        <f>Tank2!$C$7</f>
        <v>0</v>
      </c>
      <c r="C76" s="820">
        <f>Tank2!C44</f>
        <v>0</v>
      </c>
      <c r="D76" s="821" t="str">
        <f>Tank2!$B44</f>
        <v/>
      </c>
    </row>
    <row r="77" spans="1:4" ht="14.25" x14ac:dyDescent="0.25">
      <c r="A77" s="809"/>
      <c r="B77" s="812">
        <f>Tank2!$C$7</f>
        <v>0</v>
      </c>
      <c r="C77" s="820">
        <f>Tank2!C45</f>
        <v>0</v>
      </c>
      <c r="D77" s="821" t="str">
        <f>Tank2!$B45</f>
        <v/>
      </c>
    </row>
    <row r="78" spans="1:4" ht="14.25" x14ac:dyDescent="0.25">
      <c r="A78" s="809"/>
      <c r="B78" s="812">
        <f>Tank2!$C$7</f>
        <v>0</v>
      </c>
      <c r="C78" s="820">
        <f>Tank2!C46</f>
        <v>0</v>
      </c>
      <c r="D78" s="821" t="str">
        <f>Tank2!$B46</f>
        <v/>
      </c>
    </row>
    <row r="79" spans="1:4" ht="14.25" x14ac:dyDescent="0.25">
      <c r="A79" s="809"/>
      <c r="B79" s="812">
        <f>Tank2!$C$7</f>
        <v>0</v>
      </c>
      <c r="C79" s="820">
        <f>Tank2!C47</f>
        <v>0</v>
      </c>
      <c r="D79" s="821" t="str">
        <f>Tank2!$B47</f>
        <v/>
      </c>
    </row>
    <row r="80" spans="1:4" ht="14.25" x14ac:dyDescent="0.25">
      <c r="A80" s="809"/>
      <c r="B80" s="812">
        <f>Tank2!$C$7</f>
        <v>0</v>
      </c>
      <c r="C80" s="820">
        <f>Tank2!C48</f>
        <v>0</v>
      </c>
      <c r="D80" s="821" t="str">
        <f>Tank2!$B48</f>
        <v/>
      </c>
    </row>
    <row r="81" spans="1:4" ht="15" thickBot="1" x14ac:dyDescent="0.3">
      <c r="A81" s="809"/>
      <c r="B81" s="824">
        <f>Tank2!$C$7</f>
        <v>0</v>
      </c>
      <c r="C81" s="825">
        <f>Tank2!C49</f>
        <v>0</v>
      </c>
      <c r="D81" s="826" t="str">
        <f>Tank2!$B49</f>
        <v/>
      </c>
    </row>
    <row r="82" spans="1:4" ht="14.25" x14ac:dyDescent="0.25">
      <c r="A82" s="809"/>
      <c r="B82" s="814">
        <f>Tank3!$C$7</f>
        <v>0</v>
      </c>
      <c r="C82" s="816">
        <f>Tank3!C33</f>
        <v>0</v>
      </c>
      <c r="D82" s="815" t="str">
        <f>Tank3!$B33</f>
        <v/>
      </c>
    </row>
    <row r="83" spans="1:4" ht="14.25" x14ac:dyDescent="0.25">
      <c r="A83" s="809"/>
      <c r="B83" s="812">
        <f>Tank3!$C$7</f>
        <v>0</v>
      </c>
      <c r="C83" s="820">
        <f>Tank3!C34</f>
        <v>0</v>
      </c>
      <c r="D83" s="821" t="str">
        <f>Tank3!$B34</f>
        <v/>
      </c>
    </row>
    <row r="84" spans="1:4" ht="14.25" x14ac:dyDescent="0.25">
      <c r="A84" s="809"/>
      <c r="B84" s="812">
        <f>Tank3!$C$7</f>
        <v>0</v>
      </c>
      <c r="C84" s="820">
        <f>Tank3!C35</f>
        <v>0</v>
      </c>
      <c r="D84" s="821" t="str">
        <f>Tank3!$B35</f>
        <v/>
      </c>
    </row>
    <row r="85" spans="1:4" ht="14.25" x14ac:dyDescent="0.25">
      <c r="A85" s="809"/>
      <c r="B85" s="812">
        <f>Tank3!$C$7</f>
        <v>0</v>
      </c>
      <c r="C85" s="820">
        <f>Tank3!C36</f>
        <v>0</v>
      </c>
      <c r="D85" s="821" t="str">
        <f>Tank3!$B36</f>
        <v/>
      </c>
    </row>
    <row r="86" spans="1:4" ht="14.25" x14ac:dyDescent="0.25">
      <c r="A86" s="809"/>
      <c r="B86" s="812">
        <f>Tank3!$C$7</f>
        <v>0</v>
      </c>
      <c r="C86" s="820">
        <f>Tank3!C37</f>
        <v>0</v>
      </c>
      <c r="D86" s="821" t="str">
        <f>Tank3!$B37</f>
        <v/>
      </c>
    </row>
    <row r="87" spans="1:4" ht="14.25" x14ac:dyDescent="0.25">
      <c r="A87" s="809"/>
      <c r="B87" s="812">
        <f>Tank3!$C$7</f>
        <v>0</v>
      </c>
      <c r="C87" s="820">
        <f>Tank3!C38</f>
        <v>0</v>
      </c>
      <c r="D87" s="821" t="str">
        <f>Tank3!$B38</f>
        <v/>
      </c>
    </row>
    <row r="88" spans="1:4" ht="14.25" x14ac:dyDescent="0.25">
      <c r="A88" s="809"/>
      <c r="B88" s="812">
        <f>Tank3!$C$7</f>
        <v>0</v>
      </c>
      <c r="C88" s="820">
        <f>Tank3!C39</f>
        <v>0</v>
      </c>
      <c r="D88" s="821" t="str">
        <f>Tank3!$B39</f>
        <v/>
      </c>
    </row>
    <row r="89" spans="1:4" ht="14.25" x14ac:dyDescent="0.25">
      <c r="A89" s="809"/>
      <c r="B89" s="812">
        <f>Tank3!$C$7</f>
        <v>0</v>
      </c>
      <c r="C89" s="820">
        <f>Tank3!C40</f>
        <v>0</v>
      </c>
      <c r="D89" s="821" t="str">
        <f>Tank3!$B40</f>
        <v/>
      </c>
    </row>
    <row r="90" spans="1:4" ht="14.25" x14ac:dyDescent="0.25">
      <c r="A90" s="809"/>
      <c r="B90" s="812">
        <f>Tank3!$C$7</f>
        <v>0</v>
      </c>
      <c r="C90" s="820">
        <f>Tank3!C41</f>
        <v>0</v>
      </c>
      <c r="D90" s="821" t="str">
        <f>Tank3!$B41</f>
        <v/>
      </c>
    </row>
    <row r="91" spans="1:4" ht="14.25" x14ac:dyDescent="0.25">
      <c r="A91" s="809"/>
      <c r="B91" s="812">
        <f>Tank3!$C$7</f>
        <v>0</v>
      </c>
      <c r="C91" s="820">
        <f>Tank3!C42</f>
        <v>0</v>
      </c>
      <c r="D91" s="821" t="str">
        <f>Tank3!$B42</f>
        <v/>
      </c>
    </row>
    <row r="92" spans="1:4" ht="14.25" x14ac:dyDescent="0.25">
      <c r="A92" s="809"/>
      <c r="B92" s="812">
        <f>Tank3!$C$7</f>
        <v>0</v>
      </c>
      <c r="C92" s="820">
        <f>Tank3!C43</f>
        <v>0</v>
      </c>
      <c r="D92" s="821" t="str">
        <f>Tank3!$B43</f>
        <v/>
      </c>
    </row>
    <row r="93" spans="1:4" ht="14.25" x14ac:dyDescent="0.25">
      <c r="A93" s="809"/>
      <c r="B93" s="812">
        <f>Tank3!$C$7</f>
        <v>0</v>
      </c>
      <c r="C93" s="820">
        <f>Tank3!C44</f>
        <v>0</v>
      </c>
      <c r="D93" s="821" t="str">
        <f>Tank3!$B44</f>
        <v/>
      </c>
    </row>
    <row r="94" spans="1:4" ht="14.25" x14ac:dyDescent="0.25">
      <c r="A94" s="809"/>
      <c r="B94" s="812">
        <f>Tank3!$C$7</f>
        <v>0</v>
      </c>
      <c r="C94" s="820">
        <f>Tank3!C45</f>
        <v>0</v>
      </c>
      <c r="D94" s="821" t="str">
        <f>Tank3!$B45</f>
        <v/>
      </c>
    </row>
    <row r="95" spans="1:4" ht="14.25" x14ac:dyDescent="0.25">
      <c r="A95" s="809"/>
      <c r="B95" s="812">
        <f>Tank3!$C$7</f>
        <v>0</v>
      </c>
      <c r="C95" s="820">
        <f>Tank3!C46</f>
        <v>0</v>
      </c>
      <c r="D95" s="821" t="str">
        <f>Tank3!$B46</f>
        <v/>
      </c>
    </row>
    <row r="96" spans="1:4" ht="14.25" x14ac:dyDescent="0.25">
      <c r="A96" s="809"/>
      <c r="B96" s="812">
        <f>Tank3!$C$7</f>
        <v>0</v>
      </c>
      <c r="C96" s="820">
        <f>Tank3!C47</f>
        <v>0</v>
      </c>
      <c r="D96" s="821" t="str">
        <f>Tank3!$B47</f>
        <v/>
      </c>
    </row>
    <row r="97" spans="1:4" ht="14.25" x14ac:dyDescent="0.25">
      <c r="A97" s="809"/>
      <c r="B97" s="812">
        <f>Tank3!$C$7</f>
        <v>0</v>
      </c>
      <c r="C97" s="820">
        <f>Tank3!C48</f>
        <v>0</v>
      </c>
      <c r="D97" s="821" t="str">
        <f>Tank3!$B48</f>
        <v/>
      </c>
    </row>
    <row r="98" spans="1:4" ht="15" thickBot="1" x14ac:dyDescent="0.3">
      <c r="A98" s="809"/>
      <c r="B98" s="824">
        <f>Tank3!$C$7</f>
        <v>0</v>
      </c>
      <c r="C98" s="825">
        <f>Tank3!C49</f>
        <v>0</v>
      </c>
      <c r="D98" s="826" t="str">
        <f>Tank3!$B49</f>
        <v/>
      </c>
    </row>
    <row r="99" spans="1:4" ht="14.25" x14ac:dyDescent="0.25">
      <c r="A99" s="809"/>
      <c r="B99" s="814">
        <f>Tank4!$C$7</f>
        <v>0</v>
      </c>
      <c r="C99" s="816">
        <f>Tank4!C33</f>
        <v>0</v>
      </c>
      <c r="D99" s="815" t="str">
        <f>Tank4!$B33</f>
        <v/>
      </c>
    </row>
    <row r="100" spans="1:4" ht="14.25" x14ac:dyDescent="0.25">
      <c r="A100" s="809"/>
      <c r="B100" s="812">
        <f>Tank4!$C$7</f>
        <v>0</v>
      </c>
      <c r="C100" s="820">
        <f>Tank4!C34</f>
        <v>0</v>
      </c>
      <c r="D100" s="821" t="str">
        <f>Tank4!$B34</f>
        <v/>
      </c>
    </row>
    <row r="101" spans="1:4" ht="14.25" x14ac:dyDescent="0.25">
      <c r="A101" s="809"/>
      <c r="B101" s="812">
        <f>Tank4!$C$7</f>
        <v>0</v>
      </c>
      <c r="C101" s="820">
        <f>Tank4!C35</f>
        <v>0</v>
      </c>
      <c r="D101" s="821" t="str">
        <f>Tank4!$B35</f>
        <v/>
      </c>
    </row>
    <row r="102" spans="1:4" ht="14.25" x14ac:dyDescent="0.25">
      <c r="A102" s="809"/>
      <c r="B102" s="812">
        <f>Tank4!$C$7</f>
        <v>0</v>
      </c>
      <c r="C102" s="820">
        <f>Tank4!C36</f>
        <v>0</v>
      </c>
      <c r="D102" s="821" t="str">
        <f>Tank4!$B36</f>
        <v/>
      </c>
    </row>
    <row r="103" spans="1:4" ht="14.25" x14ac:dyDescent="0.25">
      <c r="A103" s="809"/>
      <c r="B103" s="812">
        <f>Tank4!$C$7</f>
        <v>0</v>
      </c>
      <c r="C103" s="820">
        <f>Tank4!C37</f>
        <v>0</v>
      </c>
      <c r="D103" s="821" t="str">
        <f>Tank4!$B37</f>
        <v/>
      </c>
    </row>
    <row r="104" spans="1:4" ht="14.25" x14ac:dyDescent="0.25">
      <c r="A104" s="809"/>
      <c r="B104" s="812">
        <f>Tank4!$C$7</f>
        <v>0</v>
      </c>
      <c r="C104" s="820">
        <f>Tank4!C38</f>
        <v>0</v>
      </c>
      <c r="D104" s="821" t="str">
        <f>Tank4!$B38</f>
        <v/>
      </c>
    </row>
    <row r="105" spans="1:4" ht="14.25" x14ac:dyDescent="0.25">
      <c r="A105" s="809"/>
      <c r="B105" s="812">
        <f>Tank4!$C$7</f>
        <v>0</v>
      </c>
      <c r="C105" s="820">
        <f>Tank4!C39</f>
        <v>0</v>
      </c>
      <c r="D105" s="821" t="str">
        <f>Tank4!$B39</f>
        <v/>
      </c>
    </row>
    <row r="106" spans="1:4" ht="14.25" x14ac:dyDescent="0.25">
      <c r="A106" s="809"/>
      <c r="B106" s="812">
        <f>Tank4!$C$7</f>
        <v>0</v>
      </c>
      <c r="C106" s="820">
        <f>Tank4!C40</f>
        <v>0</v>
      </c>
      <c r="D106" s="821" t="str">
        <f>Tank4!$B40</f>
        <v/>
      </c>
    </row>
    <row r="107" spans="1:4" ht="14.25" x14ac:dyDescent="0.25">
      <c r="A107" s="809"/>
      <c r="B107" s="812">
        <f>Tank4!$C$7</f>
        <v>0</v>
      </c>
      <c r="C107" s="820">
        <f>Tank4!C41</f>
        <v>0</v>
      </c>
      <c r="D107" s="821" t="str">
        <f>Tank4!$B41</f>
        <v/>
      </c>
    </row>
    <row r="108" spans="1:4" ht="14.25" x14ac:dyDescent="0.25">
      <c r="A108" s="809"/>
      <c r="B108" s="812">
        <f>Tank4!$C$7</f>
        <v>0</v>
      </c>
      <c r="C108" s="820">
        <f>Tank4!C42</f>
        <v>0</v>
      </c>
      <c r="D108" s="821" t="str">
        <f>Tank4!$B42</f>
        <v/>
      </c>
    </row>
    <row r="109" spans="1:4" ht="14.25" x14ac:dyDescent="0.25">
      <c r="A109" s="809"/>
      <c r="B109" s="812">
        <f>Tank4!$C$7</f>
        <v>0</v>
      </c>
      <c r="C109" s="820">
        <f>Tank4!C43</f>
        <v>0</v>
      </c>
      <c r="D109" s="821" t="str">
        <f>Tank4!$B43</f>
        <v/>
      </c>
    </row>
    <row r="110" spans="1:4" ht="14.25" x14ac:dyDescent="0.25">
      <c r="A110" s="809"/>
      <c r="B110" s="812">
        <f>Tank4!$C$7</f>
        <v>0</v>
      </c>
      <c r="C110" s="820">
        <f>Tank4!C44</f>
        <v>0</v>
      </c>
      <c r="D110" s="821" t="str">
        <f>Tank4!$B44</f>
        <v/>
      </c>
    </row>
    <row r="111" spans="1:4" ht="14.25" x14ac:dyDescent="0.25">
      <c r="A111" s="809"/>
      <c r="B111" s="812">
        <f>Tank4!$C$7</f>
        <v>0</v>
      </c>
      <c r="C111" s="820">
        <f>Tank4!C45</f>
        <v>0</v>
      </c>
      <c r="D111" s="821" t="str">
        <f>Tank4!$B45</f>
        <v/>
      </c>
    </row>
    <row r="112" spans="1:4" ht="14.25" x14ac:dyDescent="0.25">
      <c r="A112" s="809"/>
      <c r="B112" s="812">
        <f>Tank4!$C$7</f>
        <v>0</v>
      </c>
      <c r="C112" s="820">
        <f>Tank4!C46</f>
        <v>0</v>
      </c>
      <c r="D112" s="821" t="str">
        <f>Tank4!$B46</f>
        <v/>
      </c>
    </row>
    <row r="113" spans="1:4" ht="14.25" x14ac:dyDescent="0.25">
      <c r="A113" s="809"/>
      <c r="B113" s="812">
        <f>Tank4!$C$7</f>
        <v>0</v>
      </c>
      <c r="C113" s="820">
        <f>Tank4!C47</f>
        <v>0</v>
      </c>
      <c r="D113" s="821" t="str">
        <f>Tank4!$B47</f>
        <v/>
      </c>
    </row>
    <row r="114" spans="1:4" ht="14.25" x14ac:dyDescent="0.25">
      <c r="A114" s="809"/>
      <c r="B114" s="812">
        <f>Tank4!$C$7</f>
        <v>0</v>
      </c>
      <c r="C114" s="820">
        <f>Tank4!C48</f>
        <v>0</v>
      </c>
      <c r="D114" s="821" t="str">
        <f>Tank4!$B48</f>
        <v/>
      </c>
    </row>
    <row r="115" spans="1:4" ht="15" thickBot="1" x14ac:dyDescent="0.3">
      <c r="A115" s="809"/>
      <c r="B115" s="813">
        <f>Tank4!$C$7</f>
        <v>0</v>
      </c>
      <c r="C115" s="822">
        <f>Tank4!C49</f>
        <v>0</v>
      </c>
      <c r="D115" s="823" t="str">
        <f>Tank4!$B49</f>
        <v/>
      </c>
    </row>
    <row r="116" spans="1:4" ht="14.25" x14ac:dyDescent="0.25">
      <c r="A116" s="809"/>
      <c r="B116" s="810">
        <f>Tank5!$C$7</f>
        <v>0</v>
      </c>
      <c r="C116" s="827">
        <f>Tank5!C33</f>
        <v>0</v>
      </c>
      <c r="D116" s="811" t="str">
        <f>Tank5!$B33</f>
        <v/>
      </c>
    </row>
    <row r="117" spans="1:4" ht="14.25" x14ac:dyDescent="0.25">
      <c r="A117" s="809"/>
      <c r="B117" s="810">
        <f>Tank5!$C$7</f>
        <v>0</v>
      </c>
      <c r="C117" s="827">
        <f>Tank5!C34</f>
        <v>0</v>
      </c>
      <c r="D117" s="811" t="str">
        <f>Tank5!$B34</f>
        <v/>
      </c>
    </row>
    <row r="118" spans="1:4" ht="14.25" x14ac:dyDescent="0.25">
      <c r="A118" s="809"/>
      <c r="B118" s="810">
        <f>Tank5!$C$7</f>
        <v>0</v>
      </c>
      <c r="C118" s="827">
        <f>Tank5!C35</f>
        <v>0</v>
      </c>
      <c r="D118" s="811" t="str">
        <f>Tank5!$B35</f>
        <v/>
      </c>
    </row>
    <row r="119" spans="1:4" ht="14.25" x14ac:dyDescent="0.25">
      <c r="A119" s="809"/>
      <c r="B119" s="810">
        <f>Tank5!$C$7</f>
        <v>0</v>
      </c>
      <c r="C119" s="827">
        <f>Tank5!C36</f>
        <v>0</v>
      </c>
      <c r="D119" s="811" t="str">
        <f>Tank5!$B36</f>
        <v/>
      </c>
    </row>
    <row r="120" spans="1:4" ht="14.25" x14ac:dyDescent="0.25">
      <c r="A120" s="809"/>
      <c r="B120" s="810">
        <f>Tank5!$C$7</f>
        <v>0</v>
      </c>
      <c r="C120" s="827">
        <f>Tank5!C37</f>
        <v>0</v>
      </c>
      <c r="D120" s="811" t="str">
        <f>Tank5!$B37</f>
        <v/>
      </c>
    </row>
    <row r="121" spans="1:4" ht="14.25" x14ac:dyDescent="0.25">
      <c r="A121" s="809"/>
      <c r="B121" s="810">
        <f>Tank5!$C$7</f>
        <v>0</v>
      </c>
      <c r="C121" s="827">
        <f>Tank5!C38</f>
        <v>0</v>
      </c>
      <c r="D121" s="811" t="str">
        <f>Tank5!$B38</f>
        <v/>
      </c>
    </row>
    <row r="122" spans="1:4" ht="14.25" x14ac:dyDescent="0.25">
      <c r="A122" s="809"/>
      <c r="B122" s="810">
        <f>Tank5!$C$7</f>
        <v>0</v>
      </c>
      <c r="C122" s="827">
        <f>Tank5!C39</f>
        <v>0</v>
      </c>
      <c r="D122" s="811" t="str">
        <f>Tank5!$B39</f>
        <v/>
      </c>
    </row>
    <row r="123" spans="1:4" ht="14.25" x14ac:dyDescent="0.25">
      <c r="A123" s="809"/>
      <c r="B123" s="810">
        <f>Tank5!$C$7</f>
        <v>0</v>
      </c>
      <c r="C123" s="827">
        <f>Tank5!C40</f>
        <v>0</v>
      </c>
      <c r="D123" s="811" t="str">
        <f>Tank5!$B40</f>
        <v/>
      </c>
    </row>
    <row r="124" spans="1:4" ht="14.25" x14ac:dyDescent="0.25">
      <c r="A124" s="809"/>
      <c r="B124" s="810">
        <f>Tank5!$C$7</f>
        <v>0</v>
      </c>
      <c r="C124" s="827">
        <f>Tank5!C41</f>
        <v>0</v>
      </c>
      <c r="D124" s="811" t="str">
        <f>Tank5!$B41</f>
        <v/>
      </c>
    </row>
    <row r="125" spans="1:4" ht="14.25" x14ac:dyDescent="0.25">
      <c r="A125" s="809"/>
      <c r="B125" s="810">
        <f>Tank5!$C$7</f>
        <v>0</v>
      </c>
      <c r="C125" s="827">
        <f>Tank5!C42</f>
        <v>0</v>
      </c>
      <c r="D125" s="811" t="str">
        <f>Tank5!$B42</f>
        <v/>
      </c>
    </row>
    <row r="126" spans="1:4" ht="14.25" x14ac:dyDescent="0.25">
      <c r="A126" s="809"/>
      <c r="B126" s="810">
        <f>Tank5!$C$7</f>
        <v>0</v>
      </c>
      <c r="C126" s="827">
        <f>Tank5!C43</f>
        <v>0</v>
      </c>
      <c r="D126" s="811" t="str">
        <f>Tank5!$B43</f>
        <v/>
      </c>
    </row>
    <row r="127" spans="1:4" ht="14.25" x14ac:dyDescent="0.25">
      <c r="A127" s="809"/>
      <c r="B127" s="810">
        <f>Tank5!$C$7</f>
        <v>0</v>
      </c>
      <c r="C127" s="827">
        <f>Tank5!C44</f>
        <v>0</v>
      </c>
      <c r="D127" s="811" t="str">
        <f>Tank5!$B44</f>
        <v/>
      </c>
    </row>
    <row r="128" spans="1:4" ht="14.25" x14ac:dyDescent="0.25">
      <c r="A128" s="809"/>
      <c r="B128" s="810">
        <f>Tank5!$C$7</f>
        <v>0</v>
      </c>
      <c r="C128" s="827">
        <f>Tank5!C45</f>
        <v>0</v>
      </c>
      <c r="D128" s="811" t="str">
        <f>Tank5!$B45</f>
        <v/>
      </c>
    </row>
    <row r="129" spans="1:5" ht="14.25" x14ac:dyDescent="0.25">
      <c r="A129" s="809"/>
      <c r="B129" s="810">
        <f>Tank5!$C$7</f>
        <v>0</v>
      </c>
      <c r="C129" s="827">
        <f>Tank5!C46</f>
        <v>0</v>
      </c>
      <c r="D129" s="811" t="str">
        <f>Tank5!$B46</f>
        <v/>
      </c>
    </row>
    <row r="130" spans="1:5" ht="14.25" x14ac:dyDescent="0.25">
      <c r="A130" s="809"/>
      <c r="B130" s="810">
        <f>Tank5!$C$7</f>
        <v>0</v>
      </c>
      <c r="C130" s="827">
        <f>Tank5!C47</f>
        <v>0</v>
      </c>
      <c r="D130" s="811" t="str">
        <f>Tank5!$B47</f>
        <v/>
      </c>
    </row>
    <row r="131" spans="1:5" ht="14.25" x14ac:dyDescent="0.25">
      <c r="A131" s="809"/>
      <c r="B131" s="810">
        <f>Tank5!$C$7</f>
        <v>0</v>
      </c>
      <c r="C131" s="827">
        <f>Tank5!C48</f>
        <v>0</v>
      </c>
      <c r="D131" s="811" t="str">
        <f>Tank5!$B48</f>
        <v/>
      </c>
    </row>
    <row r="132" spans="1:5" ht="14.25" x14ac:dyDescent="0.25">
      <c r="A132" s="809"/>
      <c r="B132" s="810">
        <f>Tank5!$C$7</f>
        <v>0</v>
      </c>
      <c r="C132" s="827">
        <f>Tank5!C49</f>
        <v>0</v>
      </c>
      <c r="D132" s="811" t="str">
        <f>Tank5!$B49</f>
        <v/>
      </c>
    </row>
    <row r="133" spans="1:5" ht="18" customHeight="1" x14ac:dyDescent="0.25">
      <c r="A133" s="731" t="s">
        <v>10036</v>
      </c>
      <c r="B133" s="1844" t="s">
        <v>8755</v>
      </c>
      <c r="C133" s="1845"/>
      <c r="D133" s="1846"/>
      <c r="E133" s="457" t="s">
        <v>8914</v>
      </c>
    </row>
    <row r="134" spans="1:5" ht="31.5" customHeight="1" x14ac:dyDescent="0.25">
      <c r="A134" s="731" t="s">
        <v>10037</v>
      </c>
      <c r="B134" s="1847" t="str">
        <f>IFERROR(IF('Hidden Inputs'!BS28=0,"","Tank liquid height for FIN") &amp;
IF('Hidden Inputs'!BS28&gt;1,"s "," ") &amp;
VLOOKUP(1,'Hidden Inputs'!BS29:BT33,2,FALSE) &amp; IF('Hidden Inputs'!BS28&gt;1,", ",
IF('Hidden Inputs'!BS28=1,"","")) &amp;IF('Hidden Inputs'!BS28&gt;1, VLOOKUP(2,'Hidden Inputs'!BS29:BT33,2,FALSE) &amp; IF('Hidden Inputs'!BS28&gt;2,", " &amp;
IF('Hidden Inputs'!BS28=3,"and ",""),""),"") &amp;IF('Hidden Inputs'!BS28&gt;2,
VLOOKUP(3,'Hidden Inputs'!BS29:BT33,2,FALSE) &amp; IF('Hidden Inputs'!BS28&gt;3,", " &amp; IF('Hidden Inputs'!BS28=4,"and ",""),""),"") &amp;
IF('Hidden Inputs'!BS28&gt;3, VLOOKUP(4,'Hidden Inputs'!BS29:BT33,2,FALSE) &amp; IF('Hidden Inputs'!BS28&gt;4,", " &amp;
IF('Hidden Inputs'!BS28=5,"and ",""),""),"") &amp;IF('Hidden Inputs'!BS28&gt;4, VLOOKUP(5,'Hidden Inputs'!BS29:BT33,2,FALSE),"") &amp;
IF('Hidden Inputs'!BS28&gt;0," shall be monitored continuously. A record of the tanks’ height shall be maintained on a 12-month rolling basis.",""),"")</f>
        <v/>
      </c>
      <c r="C134" s="1848"/>
      <c r="D134" s="1849"/>
      <c r="E134" s="457" t="s">
        <v>8994</v>
      </c>
    </row>
    <row r="135" spans="1:5" ht="45" customHeight="1" x14ac:dyDescent="0.25">
      <c r="A135" s="731" t="s">
        <v>10038</v>
      </c>
      <c r="B135" s="1847" t="str">
        <f>IFERROR(IF('Hidden Inputs'!BS20=0,"","For heated tank(s) (FIN") &amp;
 IF('Hidden Inputs'!BS20&gt;1,"s "," ") &amp;
VLOOKUP(1,'Hidden Inputs'!BS21:BT25,2,FALSE) &amp; IF('Hidden Inputs'!BS20&gt;1,", ",IF('Hidden Inputs'!BS20=1,"","")) &amp;
IF('Hidden Inputs'!BS20&gt;1, VLOOKUP(2,'Hidden Inputs'!BS21:BT25,2,FALSE) &amp; IF('Hidden Inputs'!BS20&gt;2,", " &amp; IF('Hidden Inputs'!BS20=3,"and ",""),""),"") &amp;
IF('Hidden Inputs'!BS20&gt;2, VLOOKUP(3,'Hidden Inputs'!BS21:BT25,2,FALSE) &amp; IF('Hidden Inputs'!BS20&gt;3,", " &amp; IF('Hidden Inputs'!BS20=4,"and ",""),""),"") &amp;
IF('Hidden Inputs'!BS20&gt;3, VLOOKUP(4,'Hidden Inputs'!BS21:BT25,2,FALSE) &amp; IF('Hidden Inputs'!BS20&gt;4,", " &amp; IF('Hidden Inputs'!BS20=5,"and ",""),""),"") &amp;
IF('Hidden Inputs'!BS20&gt;4, VLOOKUP(5,'Hidden Inputs'!BS21:BT25,2,FALSE),"") &amp;
IF('Hidden Inputs'!BS20&gt;0,"), the permit holder shall maintain the temperature of the liquid less than or equal to the temperature represented in the " &amp; "RAP: TankLoading application. The tank temperature shall be continuously monitored and the temperature shall be recorded daily and during tank filling.",""),"")</f>
        <v/>
      </c>
      <c r="C135" s="1848"/>
      <c r="D135" s="1849"/>
      <c r="E135" s="457" t="s">
        <v>8995</v>
      </c>
    </row>
    <row r="136" spans="1:5" ht="45" customHeight="1" x14ac:dyDescent="0.25">
      <c r="A136" s="558"/>
      <c r="B136" s="807" t="s">
        <v>8749</v>
      </c>
      <c r="C136" s="1853" t="s">
        <v>10520</v>
      </c>
      <c r="D136" s="1819"/>
    </row>
    <row r="137" spans="1:5" ht="100.5" customHeight="1" x14ac:dyDescent="0.25">
      <c r="A137" s="558"/>
      <c r="B137" s="806" t="s">
        <v>8757</v>
      </c>
      <c r="C137" s="1824" t="s">
        <v>8804</v>
      </c>
      <c r="D137" s="1819"/>
    </row>
    <row r="138" spans="1:5" ht="45" customHeight="1" x14ac:dyDescent="0.25">
      <c r="A138" s="731" t="s">
        <v>10039</v>
      </c>
      <c r="B138" s="1850" t="s">
        <v>8818</v>
      </c>
      <c r="C138" s="1851"/>
      <c r="D138" s="1852"/>
      <c r="E138" s="457" t="s">
        <v>8905</v>
      </c>
    </row>
    <row r="139" spans="1:5" ht="14.25" x14ac:dyDescent="0.25">
      <c r="A139" s="558"/>
      <c r="B139" s="563" t="s">
        <v>8749</v>
      </c>
      <c r="C139" s="1847" t="s">
        <v>8756</v>
      </c>
      <c r="D139" s="1849"/>
    </row>
    <row r="140" spans="1:5" ht="59.25" customHeight="1" x14ac:dyDescent="0.25">
      <c r="A140" s="558"/>
      <c r="B140" s="563"/>
      <c r="C140" s="563" t="s">
        <v>8750</v>
      </c>
      <c r="D140" s="564" t="s">
        <v>8754</v>
      </c>
    </row>
    <row r="141" spans="1:5" ht="59.25" customHeight="1" x14ac:dyDescent="0.25">
      <c r="A141" s="558"/>
      <c r="B141" s="563"/>
      <c r="C141" s="563" t="s">
        <v>8751</v>
      </c>
      <c r="D141" s="565" t="s">
        <v>8753</v>
      </c>
    </row>
    <row r="142" spans="1:5" ht="14.25" x14ac:dyDescent="0.25">
      <c r="A142" s="558"/>
      <c r="B142" s="563"/>
      <c r="C142" s="563" t="s">
        <v>8752</v>
      </c>
      <c r="D142" s="564" t="s">
        <v>8816</v>
      </c>
    </row>
    <row r="143" spans="1:5" ht="72.75" customHeight="1" x14ac:dyDescent="0.25">
      <c r="A143" s="558"/>
      <c r="B143" s="563" t="s">
        <v>8757</v>
      </c>
      <c r="C143" s="1847" t="s">
        <v>8884</v>
      </c>
      <c r="D143" s="1849"/>
      <c r="E143" s="457" t="s">
        <v>8904</v>
      </c>
    </row>
    <row r="144" spans="1:5" ht="44.25" customHeight="1" x14ac:dyDescent="0.25">
      <c r="A144" s="558"/>
      <c r="B144" s="563" t="s">
        <v>8760</v>
      </c>
      <c r="C144" s="1824" t="s">
        <v>8996</v>
      </c>
      <c r="D144" s="1819"/>
      <c r="E144" s="457" t="s">
        <v>8904</v>
      </c>
    </row>
    <row r="145" spans="1:5" ht="44.25" customHeight="1" x14ac:dyDescent="0.25">
      <c r="A145" s="558"/>
      <c r="B145" s="563" t="s">
        <v>8758</v>
      </c>
      <c r="C145" s="1824" t="s">
        <v>8817</v>
      </c>
      <c r="D145" s="1819"/>
    </row>
    <row r="146" spans="1:5" ht="30.75" customHeight="1" thickBot="1" x14ac:dyDescent="0.3">
      <c r="A146" s="561"/>
      <c r="B146" s="562" t="s">
        <v>8759</v>
      </c>
      <c r="C146" s="1826" t="s">
        <v>8764</v>
      </c>
      <c r="D146" s="1827"/>
    </row>
    <row r="147" spans="1:5" ht="15" x14ac:dyDescent="0.25">
      <c r="A147" s="1854" t="s">
        <v>8802</v>
      </c>
      <c r="B147" s="1855"/>
      <c r="C147" s="1855"/>
      <c r="D147" s="1856"/>
      <c r="E147" s="457" t="s">
        <v>10508</v>
      </c>
    </row>
    <row r="148" spans="1:5" ht="14.25" x14ac:dyDescent="0.25">
      <c r="A148" s="566">
        <v>12</v>
      </c>
      <c r="B148" s="1860" t="s">
        <v>10521</v>
      </c>
      <c r="C148" s="1818"/>
      <c r="D148" s="1819"/>
      <c r="E148" s="457" t="s">
        <v>8912</v>
      </c>
    </row>
    <row r="149" spans="1:5" ht="45" customHeight="1" x14ac:dyDescent="0.25">
      <c r="A149" s="566">
        <v>13</v>
      </c>
      <c r="B149" s="1860" t="s">
        <v>8765</v>
      </c>
      <c r="C149" s="1818"/>
      <c r="D149" s="1819"/>
      <c r="E149" s="457" t="s">
        <v>8912</v>
      </c>
    </row>
    <row r="150" spans="1:5" ht="30.75" customHeight="1" x14ac:dyDescent="0.25">
      <c r="A150" s="566">
        <v>14</v>
      </c>
      <c r="B150" s="1824" t="s">
        <v>9942</v>
      </c>
      <c r="C150" s="1818"/>
      <c r="D150" s="1819"/>
      <c r="E150" s="457" t="s">
        <v>8912</v>
      </c>
    </row>
    <row r="151" spans="1:5" ht="45" customHeight="1" x14ac:dyDescent="0.25">
      <c r="A151" s="566">
        <v>15</v>
      </c>
      <c r="B151" s="1817" t="s">
        <v>10321</v>
      </c>
      <c r="C151" s="1818"/>
      <c r="D151" s="1819"/>
      <c r="E151" s="457" t="s">
        <v>10319</v>
      </c>
    </row>
    <row r="152" spans="1:5" ht="45" customHeight="1" x14ac:dyDescent="0.25">
      <c r="A152" s="566">
        <v>16</v>
      </c>
      <c r="B152" s="1817" t="s">
        <v>10322</v>
      </c>
      <c r="C152" s="1818"/>
      <c r="D152" s="1819"/>
      <c r="E152" s="457" t="s">
        <v>10320</v>
      </c>
    </row>
    <row r="153" spans="1:5" ht="75" customHeight="1" x14ac:dyDescent="0.25">
      <c r="A153" s="566">
        <v>17</v>
      </c>
      <c r="B153" s="1824" t="s">
        <v>8819</v>
      </c>
      <c r="C153" s="1818"/>
      <c r="D153" s="1819"/>
      <c r="E153" s="457" t="s">
        <v>8906</v>
      </c>
    </row>
    <row r="154" spans="1:5" ht="31.5" customHeight="1" x14ac:dyDescent="0.25">
      <c r="A154" s="566">
        <v>18</v>
      </c>
      <c r="B154" s="1824" t="s">
        <v>8820</v>
      </c>
      <c r="C154" s="1818"/>
      <c r="D154" s="1819"/>
      <c r="E154" s="457" t="s">
        <v>8907</v>
      </c>
    </row>
    <row r="155" spans="1:5" ht="59.25" customHeight="1" x14ac:dyDescent="0.25">
      <c r="A155" s="558"/>
      <c r="B155" s="563" t="s">
        <v>8749</v>
      </c>
      <c r="C155" s="1824" t="s">
        <v>8885</v>
      </c>
      <c r="D155" s="1819"/>
    </row>
    <row r="156" spans="1:5" ht="30.75" customHeight="1" x14ac:dyDescent="0.25">
      <c r="A156" s="558"/>
      <c r="B156" s="563" t="s">
        <v>8757</v>
      </c>
      <c r="C156" s="1824" t="s">
        <v>8761</v>
      </c>
      <c r="D156" s="1819"/>
    </row>
    <row r="157" spans="1:5" ht="14.25" x14ac:dyDescent="0.25">
      <c r="A157" s="558"/>
      <c r="B157" s="563" t="s">
        <v>8760</v>
      </c>
      <c r="C157" s="1824" t="s">
        <v>8762</v>
      </c>
      <c r="D157" s="1819"/>
    </row>
    <row r="158" spans="1:5" ht="14.25" x14ac:dyDescent="0.25">
      <c r="A158" s="558"/>
      <c r="B158" s="563" t="s">
        <v>8758</v>
      </c>
      <c r="C158" s="1847" t="s">
        <v>8763</v>
      </c>
      <c r="D158" s="1849"/>
    </row>
    <row r="159" spans="1:5" ht="58.5" customHeight="1" x14ac:dyDescent="0.25">
      <c r="A159" s="566">
        <v>19</v>
      </c>
      <c r="B159" s="1847" t="s">
        <v>8977</v>
      </c>
      <c r="C159" s="1848"/>
      <c r="D159" s="1849"/>
      <c r="E159" s="457" t="s">
        <v>8976</v>
      </c>
    </row>
    <row r="160" spans="1:5" ht="45" customHeight="1" x14ac:dyDescent="0.25">
      <c r="A160" s="566">
        <v>20</v>
      </c>
      <c r="B160" s="1824" t="s">
        <v>8978</v>
      </c>
      <c r="C160" s="1818"/>
      <c r="D160" s="1819"/>
      <c r="E160" s="457" t="s">
        <v>9002</v>
      </c>
    </row>
    <row r="161" spans="1:5" ht="14.25" x14ac:dyDescent="0.25">
      <c r="A161" s="558"/>
      <c r="B161" s="1824" t="s">
        <v>8886</v>
      </c>
      <c r="C161" s="1818"/>
      <c r="D161" s="1819"/>
    </row>
    <row r="162" spans="1:5" ht="14.25" x14ac:dyDescent="0.25">
      <c r="A162" s="558"/>
      <c r="B162" s="1824" t="s">
        <v>8887</v>
      </c>
      <c r="C162" s="1818"/>
      <c r="D162" s="1819"/>
    </row>
    <row r="163" spans="1:5" ht="14.25" x14ac:dyDescent="0.25">
      <c r="A163" s="558"/>
      <c r="B163" s="1824" t="s">
        <v>8888</v>
      </c>
      <c r="C163" s="1818"/>
      <c r="D163" s="1819"/>
    </row>
    <row r="164" spans="1:5" ht="14.25" x14ac:dyDescent="0.25">
      <c r="A164" s="558"/>
      <c r="B164" s="1824" t="s">
        <v>8889</v>
      </c>
      <c r="C164" s="1818"/>
      <c r="D164" s="1819"/>
    </row>
    <row r="165" spans="1:5" ht="14.25" x14ac:dyDescent="0.25">
      <c r="A165" s="558"/>
      <c r="B165" s="1824" t="s">
        <v>8890</v>
      </c>
      <c r="C165" s="1818"/>
      <c r="D165" s="1819"/>
    </row>
    <row r="166" spans="1:5" ht="14.25" x14ac:dyDescent="0.25">
      <c r="A166" s="558"/>
      <c r="B166" s="1824" t="s">
        <v>8891</v>
      </c>
      <c r="C166" s="1818"/>
      <c r="D166" s="1819"/>
    </row>
    <row r="167" spans="1:5" ht="14.25" x14ac:dyDescent="0.25">
      <c r="A167" s="558"/>
      <c r="B167" s="1824" t="s">
        <v>8892</v>
      </c>
      <c r="C167" s="1818"/>
      <c r="D167" s="1819"/>
    </row>
    <row r="168" spans="1:5" ht="47.25" customHeight="1" x14ac:dyDescent="0.25">
      <c r="A168" s="566">
        <v>21</v>
      </c>
      <c r="B168" s="1824" t="s">
        <v>8990</v>
      </c>
      <c r="C168" s="1818"/>
      <c r="D168" s="1819"/>
      <c r="E168" s="457" t="s">
        <v>9002</v>
      </c>
    </row>
    <row r="169" spans="1:5" ht="74.25" customHeight="1" thickBot="1" x14ac:dyDescent="0.3">
      <c r="A169" s="567">
        <v>22</v>
      </c>
      <c r="B169" s="1857" t="str">
        <f>"The benzene content of any grade of gasoline processed at this terminal shall not exceed " &amp; 'PI-1-TankLoading'!D87 &amp; " percent by weight in the liquid. Gasoline shall be analyzed for benzene two times per year. One test shall be during the summer (May 1 -September 15)" &amp; " and the other test shall be during the winter (November 1 - February 29).  The record shall report benzene content for all grades of gasoline. Gasoline analyses the delivering refiner are acceptable in place of on-site analysis."</f>
        <v>The benzene content of any grade of gasoline processed at this terminal shall not exceed  percent by weight in the liquid. Gasoline shall be analyzed for benzene two times per year. One test shall be during the summer (May 1 -September 15) and the other test shall be during the winter (November 1 - February 29).  The record shall report benzene content for all grades of gasoline. Gasoline analyses the delivering refiner are acceptable in place of on-site analysis.</v>
      </c>
      <c r="C169" s="1858"/>
      <c r="D169" s="1859"/>
      <c r="E169" s="457" t="s">
        <v>9002</v>
      </c>
    </row>
    <row r="170" spans="1:5" ht="15" x14ac:dyDescent="0.25">
      <c r="A170" s="1854" t="s">
        <v>8803</v>
      </c>
      <c r="B170" s="1855"/>
      <c r="C170" s="1855"/>
      <c r="D170" s="1856"/>
      <c r="E170" s="457" t="s">
        <v>10509</v>
      </c>
    </row>
    <row r="171" spans="1:5" ht="14.25" x14ac:dyDescent="0.25">
      <c r="A171" s="566">
        <v>23</v>
      </c>
      <c r="B171" s="1824" t="s">
        <v>8794</v>
      </c>
      <c r="C171" s="1818"/>
      <c r="D171" s="1819"/>
      <c r="E171" s="457" t="s">
        <v>8911</v>
      </c>
    </row>
    <row r="172" spans="1:5" ht="101.25" customHeight="1" x14ac:dyDescent="0.25">
      <c r="A172" s="558"/>
      <c r="B172" s="563" t="s">
        <v>8749</v>
      </c>
      <c r="C172" s="1847" t="str">
        <f>"The flare systems shall be designed such that the combined assist " &amp; Flare!C28 &amp; " and waste stream to each flare meets the 40 CFR § 60.18 specifications of minimum heating value and maximum tip velocity at all times when emissions may be vented to them." &amp; " 
The heating value and velocity requirements shall be satisfied during operations authorized by this permit. Flare testing per 40 CFR § 60.18(f) may be requested by the appropriate regional office to demonstrate compliance with these requirements."</f>
        <v>The flare systems shall be designed such that the combined assist  and waste stream to each flare meets the 40 CFR § 60.18 specifications of minimum heating value and maximum tip velocity at all times when emissions may be vented to them. 
The heating value and velocity requirements shall be satisfied during operations authorized by this permit. Flare testing per 40 CFR § 60.18(f) may be requested by the appropriate regional office to demonstrate compliance with these requirements.</v>
      </c>
      <c r="D172" s="1849"/>
      <c r="E172" s="457" t="s">
        <v>8919</v>
      </c>
    </row>
    <row r="173" spans="1:5" ht="60" customHeight="1" x14ac:dyDescent="0.25">
      <c r="A173" s="558"/>
      <c r="B173" s="563" t="s">
        <v>8757</v>
      </c>
      <c r="C173" s="1824" t="s">
        <v>8822</v>
      </c>
      <c r="D173" s="1819"/>
      <c r="E173" s="457" t="s">
        <v>8911</v>
      </c>
    </row>
    <row r="174" spans="1:5" ht="29.25" customHeight="1" x14ac:dyDescent="0.25">
      <c r="A174" s="558"/>
      <c r="B174" s="563" t="s">
        <v>8760</v>
      </c>
      <c r="C174" s="1847" t="str">
        <f>"The flare shall be operated with no visible emissions except periods not to exceed a total of five minutes during any two consecutive hours. This shall be ensured by the use of " &amp; Flare!C20 &amp; " assist to the flare."</f>
        <v>The flare shall be operated with no visible emissions except periods not to exceed a total of five minutes during any two consecutive hours. This shall be ensured by the use of  assist to the flare.</v>
      </c>
      <c r="D174" s="1849"/>
      <c r="E174" s="457" t="s">
        <v>8918</v>
      </c>
    </row>
    <row r="175" spans="1:5" ht="30.75" customHeight="1" x14ac:dyDescent="0.25">
      <c r="A175" s="558"/>
      <c r="B175" s="563" t="s">
        <v>8758</v>
      </c>
      <c r="C175" s="1847" t="str">
        <f>"A minimum of 0.3 scf of supplemental " &amp; Flare!C28 &amp; " for every 1 scf of waste gas shall be supplied to maintain the minimum heating value and complete combustion."</f>
        <v>A minimum of 0.3 scf of supplemental  for every 1 scf of waste gas shall be supplied to maintain the minimum heating value and complete combustion.</v>
      </c>
      <c r="D175" s="1849"/>
      <c r="E175" s="457" t="s">
        <v>8917</v>
      </c>
    </row>
    <row r="176" spans="1:5" ht="116.25" customHeight="1" x14ac:dyDescent="0.25">
      <c r="A176" s="558"/>
      <c r="B176" s="563" t="s">
        <v>8759</v>
      </c>
      <c r="C176" s="1824" t="s">
        <v>8823</v>
      </c>
      <c r="D176" s="1819"/>
      <c r="E176" s="457" t="s">
        <v>8908</v>
      </c>
    </row>
    <row r="177" spans="1:5" ht="45.75" customHeight="1" x14ac:dyDescent="0.25">
      <c r="A177" s="558"/>
      <c r="B177" s="563" t="s">
        <v>8759</v>
      </c>
      <c r="C177" s="1824" t="s">
        <v>8838</v>
      </c>
      <c r="D177" s="1819"/>
      <c r="E177" s="457" t="s">
        <v>8909</v>
      </c>
    </row>
    <row r="178" spans="1:5" ht="59.25" customHeight="1" x14ac:dyDescent="0.25">
      <c r="A178" s="558"/>
      <c r="B178" s="563" t="s">
        <v>8766</v>
      </c>
      <c r="C178" s="1847" t="s">
        <v>8825</v>
      </c>
      <c r="D178" s="1849"/>
      <c r="E178" s="457" t="s">
        <v>8910</v>
      </c>
    </row>
    <row r="179" spans="1:5" ht="44.25" customHeight="1" thickBot="1" x14ac:dyDescent="0.3">
      <c r="A179" s="561"/>
      <c r="B179" s="562" t="s">
        <v>8770</v>
      </c>
      <c r="C179" s="1826" t="s">
        <v>8824</v>
      </c>
      <c r="D179" s="1827"/>
      <c r="E179" s="457" t="s">
        <v>8911</v>
      </c>
    </row>
    <row r="180" spans="1:5" ht="15" x14ac:dyDescent="0.25">
      <c r="A180" s="1854" t="s">
        <v>8893</v>
      </c>
      <c r="B180" s="1855"/>
      <c r="C180" s="1855"/>
      <c r="D180" s="1856"/>
      <c r="E180" s="457" t="s">
        <v>10510</v>
      </c>
    </row>
    <row r="181" spans="1:5" ht="14.25" x14ac:dyDescent="0.25">
      <c r="A181" s="566">
        <v>24</v>
      </c>
      <c r="B181" s="1824" t="s">
        <v>8894</v>
      </c>
      <c r="C181" s="1818"/>
      <c r="D181" s="1819"/>
    </row>
    <row r="182" spans="1:5" ht="74.25" customHeight="1" x14ac:dyDescent="0.25">
      <c r="A182" s="558"/>
      <c r="B182" s="563" t="s">
        <v>8749</v>
      </c>
      <c r="C182" s="1847" t="str">
        <f>IF('PI-1-TankLoading'!D86="Gasoline Terminal","The VCU shall achieve " &amp; VCU!C32 &amp; " mg/L control of the waste gas directed to it. This shall be ensured by maintaining the temperature 1400 ⁰F in, or immediately downstream of, the combustion chamber above prior to the initial stack test" &amp; " performed in accordance with the stack test Special Condition. Following the completion of that stack test, the six " &amp; "minute average temperature shall be maintained above the minimum one hour average temperature maintained during the last satisfactory stack test.","The VCU shall achieve " &amp; VCU!C31 &amp; "% control of the waste gas directed to it. This shall be ensured by maintaining the temperature 1400 ⁰F in, or immediately downstream of, the combustion chamber above prior to the initial stack test performed in accordance with the " &amp; "stack test Special Condition. Following the completion of that stack test, the six minute average temperature shall be maintained above the minimum one hour average temperature maintained during the last satisfactory stack test.")</f>
        <v>The VCU shall achieve % control of the waste gas directed to it. This shall be ensured by maintaining the temperature 1400 ⁰F in, or immediately downstream of, the combustion chamber above prior to the initial stack test performed in accordance with the stack test Special Condition. Following the completion of that stack test, the six minute average temperature shall be maintained above the minimum one hour average temperature maintained during the last satisfactory stack test.</v>
      </c>
      <c r="D182" s="1849"/>
      <c r="E182" s="457" t="s">
        <v>8916</v>
      </c>
    </row>
    <row r="183" spans="1:5" ht="76.5" customHeight="1" x14ac:dyDescent="0.25">
      <c r="A183" s="558"/>
      <c r="B183" s="563" t="s">
        <v>8757</v>
      </c>
      <c r="C183" s="1824" t="s">
        <v>8826</v>
      </c>
      <c r="D183" s="1819"/>
    </row>
    <row r="184" spans="1:5" ht="76.5" customHeight="1" x14ac:dyDescent="0.25">
      <c r="A184" s="558"/>
      <c r="B184" s="563" t="s">
        <v>8760</v>
      </c>
      <c r="C184" s="1824" t="s">
        <v>8827</v>
      </c>
      <c r="D184" s="1819"/>
    </row>
    <row r="185" spans="1:5" ht="72.75" customHeight="1" thickBot="1" x14ac:dyDescent="0.3">
      <c r="A185" s="558"/>
      <c r="B185" s="563" t="s">
        <v>8758</v>
      </c>
      <c r="C185" s="1824" t="s">
        <v>8828</v>
      </c>
      <c r="D185" s="1819"/>
    </row>
    <row r="186" spans="1:5" ht="15" x14ac:dyDescent="0.25">
      <c r="A186" s="1854" t="s">
        <v>8895</v>
      </c>
      <c r="B186" s="1855"/>
      <c r="C186" s="1855"/>
      <c r="D186" s="1856"/>
      <c r="E186" s="457" t="s">
        <v>10511</v>
      </c>
    </row>
    <row r="187" spans="1:5" ht="30.75" customHeight="1" x14ac:dyDescent="0.25">
      <c r="A187" s="566">
        <v>25</v>
      </c>
      <c r="B187" s="1876" t="str">
        <f>"FINs "&amp;(IF(Tank1!C23="carbon adsorption system",Tank1!C7&amp;", ",""))
&amp;(IF(Tank2!C23="carbon adsorption system",Tank2!C7&amp;", ",""))
&amp;(IF(Tank3!C23="carbon adsorption system",Tank3!C7&amp;", ",""))
&amp;(IF(Tank4!C23="carbon adsorption system",Tank4!C7&amp;", ",""))
&amp;(IF(Tank5!C23="carbon adsorption system",Tank5!C7&amp;", ",""))
&amp;(IF('Loading-drum,tote'!C21="carbon adsorption system",'Loading-drum,tote'!C7&amp;", ",""))
&amp;(IF('Loading-truck'!C21="carbon adsorption system",'Loading-truck'!C7&amp;", ",""))
&amp;(IF('Loading-rail'!C21="carbon adsorption system",'Loading-rail'!C7&amp;", ",""))
&amp;"shall vent through a CAS consisting of at least two activated carbon canisters that are connected in series."</f>
        <v>FINs shall vent through a CAS consisting of at least two activated carbon canisters that are connected in series.</v>
      </c>
      <c r="C187" s="1877"/>
      <c r="D187" s="1878"/>
      <c r="E187" s="457" t="s">
        <v>10292</v>
      </c>
    </row>
    <row r="188" spans="1:5" ht="45" customHeight="1" x14ac:dyDescent="0.25">
      <c r="A188" s="558"/>
      <c r="B188" s="563" t="s">
        <v>8749</v>
      </c>
      <c r="C188" s="1847" t="str">
        <f>"The CAS shall be sampled " &amp; CAS!C23 &amp; " to determine breakthrough of VOC. The sampling point shall be at the outlet of the initial canister but before the inlet to the second or final polishing canister. " &amp; "Sampling shall be done during maximum loading rate and/or tank filling."</f>
        <v>The CAS shall be sampled  to determine breakthrough of VOC. The sampling point shall be at the outlet of the initial canister but before the inlet to the second or final polishing canister. Sampling shall be done during maximum loading rate and/or tank filling.</v>
      </c>
      <c r="D188" s="1849"/>
    </row>
    <row r="189" spans="1:5" ht="46.5" customHeight="1" x14ac:dyDescent="0.25">
      <c r="A189" s="558"/>
      <c r="B189" s="563" t="s">
        <v>8757</v>
      </c>
      <c r="C189" s="1847" t="s">
        <v>8896</v>
      </c>
      <c r="D189" s="1849"/>
    </row>
    <row r="190" spans="1:5" ht="73.5" customHeight="1" x14ac:dyDescent="0.25">
      <c r="A190" s="558"/>
      <c r="B190" s="563"/>
      <c r="C190" s="563" t="s">
        <v>8750</v>
      </c>
      <c r="D190" s="565" t="str">
        <f>"Immediately prior to performing sampling, the instrument/FID shall be calibrated with zero and span calibration gas mixtures. " &amp; "Zero gas shall be certified to contain less than 0.1 ppmv total hydrocarbons. Span calibration gas shall be methane at a concentration within ± 10 percent of " &amp; CAS!C20 &amp; " ppmv, and certified by the manufacturer to be ± 2 percent accurate. Calibration error for the zero and span calibration gas checks must be less than ± 5 percent of the span calibration gas value before sampling may be conducted."</f>
        <v>Immediately prior to performing sampling, the instrument/FID shall be calibrated with zero and span calibration gas mixtures. Zero gas shall be certified to contain less than 0.1 ppmv total hydrocarbons. Span calibration gas shall be methane at a concentration within ± 10 percent of  ppmv, and certified by the manufacturer to be ± 2 percent accurate. Calibration error for the zero and span calibration gas checks must be less than ± 5 percent of the span calibration gas value before sampling may be conducted.</v>
      </c>
      <c r="E190" s="457" t="s">
        <v>8915</v>
      </c>
    </row>
    <row r="191" spans="1:5" ht="45" customHeight="1" x14ac:dyDescent="0.25">
      <c r="A191" s="558"/>
      <c r="B191" s="563"/>
      <c r="C191" s="563" t="s">
        <v>8751</v>
      </c>
      <c r="D191" s="565" t="s">
        <v>8830</v>
      </c>
    </row>
    <row r="192" spans="1:5" ht="31.5" customHeight="1" x14ac:dyDescent="0.25">
      <c r="A192" s="558"/>
      <c r="B192" s="563"/>
      <c r="C192" s="563" t="s">
        <v>8752</v>
      </c>
      <c r="D192" s="564" t="s">
        <v>8795</v>
      </c>
    </row>
    <row r="193" spans="1:5" ht="73.5" customHeight="1" x14ac:dyDescent="0.25">
      <c r="A193" s="558"/>
      <c r="B193" s="563" t="s">
        <v>8760</v>
      </c>
      <c r="C193" s="1847" t="str">
        <f>"Breakthrough shall be defined as the highest 1 minute average measured VOC concentration at or exceeding " &amp; CAS!C20 &amp; " ppmv. When the condition of breakthrough of VOC from the initial saturation canister occurs, the waste gas flow shall be switched to the second canister and a fresh canister shall " &amp; "be placed as the new final polishing canister within 72 hours. Sufficient new activated carbon canisters shall be maintained at the site to replace spent carbon canisters such that replacements can be done in the above specified time frame."</f>
        <v>Breakthrough shall be defined as the highest 1 minute average measured VOC concentration at or exceeding  ppmv. When the condition of breakthrough of VOC from the initial saturation canister occurs, the waste gas flow shall be switched to the second canister and a fresh canister shall be placed as the new final polishing canister within 72 hours. Sufficient new activated carbon canisters shall be maintained at the site to replace spent carbon canisters such that replacements can be done in the above specified time frame.</v>
      </c>
      <c r="D193" s="1849"/>
      <c r="E193" s="457" t="s">
        <v>8915</v>
      </c>
    </row>
    <row r="194" spans="1:5" ht="14.25" x14ac:dyDescent="0.25">
      <c r="A194" s="558"/>
      <c r="B194" s="563" t="s">
        <v>8758</v>
      </c>
      <c r="C194" s="1824" t="s">
        <v>8796</v>
      </c>
      <c r="D194" s="1819"/>
    </row>
    <row r="195" spans="1:5" ht="14.25" x14ac:dyDescent="0.25">
      <c r="A195" s="558"/>
      <c r="B195" s="563"/>
      <c r="C195" s="563" t="s">
        <v>8750</v>
      </c>
      <c r="D195" s="564" t="s">
        <v>8797</v>
      </c>
    </row>
    <row r="196" spans="1:5" ht="14.25" x14ac:dyDescent="0.25">
      <c r="A196" s="558"/>
      <c r="B196" s="563"/>
      <c r="C196" s="563" t="s">
        <v>8751</v>
      </c>
      <c r="D196" s="564" t="s">
        <v>8798</v>
      </c>
    </row>
    <row r="197" spans="1:5" ht="14.25" x14ac:dyDescent="0.25">
      <c r="A197" s="558"/>
      <c r="B197" s="563"/>
      <c r="C197" s="563" t="s">
        <v>8752</v>
      </c>
      <c r="D197" s="564" t="s">
        <v>8799</v>
      </c>
    </row>
    <row r="198" spans="1:5" ht="14.25" x14ac:dyDescent="0.25">
      <c r="A198" s="558"/>
      <c r="B198" s="563"/>
      <c r="C198" s="563" t="s">
        <v>8767</v>
      </c>
      <c r="D198" s="565" t="s">
        <v>8800</v>
      </c>
    </row>
    <row r="199" spans="1:5" ht="31.5" customHeight="1" x14ac:dyDescent="0.25">
      <c r="A199" s="558"/>
      <c r="B199" s="563" t="s">
        <v>8759</v>
      </c>
      <c r="C199" s="1824" t="s">
        <v>8833</v>
      </c>
      <c r="D199" s="1819"/>
    </row>
    <row r="200" spans="1:5" ht="57.75" customHeight="1" x14ac:dyDescent="0.25">
      <c r="A200" s="806" t="s">
        <v>10298</v>
      </c>
      <c r="B200" s="1863" t="str">
        <f>"FINs "
&amp;(IF(Tank1!$C$23="carbon adsorption system",Tank1!C7&amp;", ",""))
&amp;(IF(Tank2!$C$23="carbon adsorption system",Tank2!C7&amp;", ",""))
&amp;(IF(Tank3!$C$23="carbon adsorption system",Tank3!C7&amp;", ",""))
&amp;(IF(Tank4!$C$23="carbon adsorption system",Tank4!C7&amp;", ",""))
&amp;(IF(Tank5!$C$23="carbon adsorption system",Tank5!C7&amp;", ",""))
&amp;(IF('Loading-drum,tote'!$C$21="carbon adsorption system",'Loading-drum,tote'!C7&amp;", ",""))
&amp;(IF('Loading-truck'!$C$21="carbon adsorption system",'Loading-truck'!C7&amp;", ",""))
&amp;(IF('Loading-rail'!$C$21="carbon adsorption system",'Loading-rail'!C7&amp;", ",""))
&amp;"shall vent through a CAS consisting of at least two activated carbon canisters working in parallel such that the vent emissions are alternately controlled by each canister while the other canister is regenerated."&amp;" The VOC concentration of the CAS exhaust shall be monitored and recorded by a CEMS that is capable of measuring organic compound concentration in the exhaust air stream of the control device."</f>
        <v>FINs shall vent through a CAS consisting of at least two activated carbon canisters working in parallel such that the vent emissions are alternately controlled by each canister while the other canister is regenerated. The VOC concentration of the CAS exhaust shall be monitored and recorded by a CEMS that is capable of measuring organic compound concentration in the exhaust air stream of the control device.</v>
      </c>
      <c r="C200" s="1014"/>
      <c r="D200" s="1014"/>
      <c r="E200" s="457" t="s">
        <v>10299</v>
      </c>
    </row>
    <row r="201" spans="1:5" ht="45.75" customHeight="1" x14ac:dyDescent="0.25">
      <c r="A201" s="563"/>
      <c r="B201" s="806" t="s">
        <v>8749</v>
      </c>
      <c r="C201" s="1863" t="str">
        <f>"The CAS shall be sampled and recorded continuously by a CEMS to assure the VOC concentration does not exceed "&amp;CAS!C20&amp;" ppmv. An alarm shall be installed such that an operator is alerted and can take action before the CAS outlet concentration exceeds the breakthrough concentration."</f>
        <v>The CAS shall be sampled and recorded continuously by a CEMS to assure the VOC concentration does not exceed  ppmv. An alarm shall be installed such that an operator is alerted and can take action before the CAS outlet concentration exceeds the breakthrough concentration.</v>
      </c>
      <c r="D201" s="1014"/>
      <c r="E201" s="457" t="s">
        <v>10305</v>
      </c>
    </row>
    <row r="202" spans="1:5" ht="288" customHeight="1" x14ac:dyDescent="0.25">
      <c r="A202" s="563"/>
      <c r="B202" s="806" t="s">
        <v>8757</v>
      </c>
      <c r="C202" s="1862" t="s">
        <v>8897</v>
      </c>
      <c r="D202" s="1811"/>
    </row>
    <row r="203" spans="1:5" ht="86.25" customHeight="1" x14ac:dyDescent="0.25">
      <c r="A203" s="563"/>
      <c r="B203" s="806" t="s">
        <v>8760</v>
      </c>
      <c r="C203" s="1862" t="s">
        <v>8831</v>
      </c>
      <c r="D203" s="1811"/>
    </row>
    <row r="204" spans="1:5" ht="87" customHeight="1" x14ac:dyDescent="0.25">
      <c r="A204" s="563"/>
      <c r="B204" s="806" t="s">
        <v>8758</v>
      </c>
      <c r="C204" s="1817" t="s">
        <v>10308</v>
      </c>
      <c r="D204" s="1871"/>
    </row>
    <row r="205" spans="1:5" ht="72.75" customHeight="1" x14ac:dyDescent="0.25">
      <c r="A205" s="563"/>
      <c r="B205" s="563"/>
      <c r="C205" s="806" t="s">
        <v>8750</v>
      </c>
      <c r="D205" s="806" t="s">
        <v>10300</v>
      </c>
    </row>
    <row r="206" spans="1:5" ht="31.5" customHeight="1" x14ac:dyDescent="0.25">
      <c r="A206" s="563"/>
      <c r="B206" s="563"/>
      <c r="C206" s="806" t="s">
        <v>8751</v>
      </c>
      <c r="D206" s="806" t="s">
        <v>8791</v>
      </c>
    </row>
    <row r="207" spans="1:5" ht="30" customHeight="1" x14ac:dyDescent="0.25">
      <c r="A207" s="563"/>
      <c r="B207" s="563"/>
      <c r="C207" s="806" t="s">
        <v>8752</v>
      </c>
      <c r="D207" s="806" t="s">
        <v>8832</v>
      </c>
    </row>
    <row r="208" spans="1:5" ht="30.75" customHeight="1" x14ac:dyDescent="0.25">
      <c r="A208" s="563"/>
      <c r="B208" s="806" t="s">
        <v>8759</v>
      </c>
      <c r="C208" s="1817" t="s">
        <v>10301</v>
      </c>
      <c r="D208" s="1871"/>
    </row>
    <row r="209" spans="1:5" ht="14.25" x14ac:dyDescent="0.25">
      <c r="A209" s="563"/>
      <c r="B209" s="806" t="s">
        <v>8766</v>
      </c>
      <c r="C209" s="1817" t="s">
        <v>8790</v>
      </c>
      <c r="D209" s="1871"/>
    </row>
    <row r="210" spans="1:5" ht="31.5" customHeight="1" x14ac:dyDescent="0.25">
      <c r="A210" s="563"/>
      <c r="B210" s="563"/>
      <c r="C210" s="806" t="s">
        <v>8750</v>
      </c>
      <c r="D210" s="806" t="s">
        <v>8780</v>
      </c>
    </row>
    <row r="211" spans="1:5" ht="14.25" x14ac:dyDescent="0.25">
      <c r="A211" s="563"/>
      <c r="B211" s="563"/>
      <c r="C211" s="806" t="s">
        <v>8751</v>
      </c>
      <c r="D211" s="806" t="s">
        <v>8781</v>
      </c>
    </row>
    <row r="212" spans="1:5" ht="31.5" customHeight="1" x14ac:dyDescent="0.25">
      <c r="A212" s="563"/>
      <c r="B212" s="563"/>
      <c r="C212" s="806" t="s">
        <v>8752</v>
      </c>
      <c r="D212" s="806" t="s">
        <v>8792</v>
      </c>
    </row>
    <row r="213" spans="1:5" ht="14.25" x14ac:dyDescent="0.25">
      <c r="A213" s="563"/>
      <c r="B213" s="563"/>
      <c r="C213" s="806" t="s">
        <v>8767</v>
      </c>
      <c r="D213" s="806" t="s">
        <v>8782</v>
      </c>
    </row>
    <row r="214" spans="1:5" ht="14.25" x14ac:dyDescent="0.25">
      <c r="A214" s="563"/>
      <c r="B214" s="563"/>
      <c r="C214" s="806" t="s">
        <v>8768</v>
      </c>
      <c r="D214" s="806" t="s">
        <v>8793</v>
      </c>
    </row>
    <row r="215" spans="1:5" ht="31.5" customHeight="1" x14ac:dyDescent="0.25">
      <c r="A215" s="563"/>
      <c r="B215" s="806" t="s">
        <v>8770</v>
      </c>
      <c r="C215" s="1817" t="s">
        <v>8833</v>
      </c>
      <c r="D215" s="1871"/>
    </row>
    <row r="216" spans="1:5" ht="42.75" customHeight="1" x14ac:dyDescent="0.25">
      <c r="A216" s="563"/>
      <c r="B216" s="806" t="s">
        <v>8771</v>
      </c>
      <c r="C216" s="1817" t="s">
        <v>10302</v>
      </c>
      <c r="D216" s="1871"/>
    </row>
    <row r="217" spans="1:5" ht="44.25" customHeight="1" x14ac:dyDescent="0.25">
      <c r="A217" s="563"/>
      <c r="B217" s="806" t="s">
        <v>8812</v>
      </c>
      <c r="C217" s="1817" t="s">
        <v>10303</v>
      </c>
      <c r="D217" s="1871"/>
    </row>
    <row r="218" spans="1:5" ht="45" customHeight="1" x14ac:dyDescent="0.25">
      <c r="A218" s="563"/>
      <c r="B218" s="806" t="s">
        <v>8813</v>
      </c>
      <c r="C218" s="1817" t="s">
        <v>10304</v>
      </c>
      <c r="D218" s="1871"/>
    </row>
    <row r="219" spans="1:5" ht="44.25" customHeight="1" x14ac:dyDescent="0.25">
      <c r="A219" s="566">
        <v>26</v>
      </c>
      <c r="B219" s="1847" t="str">
        <f>"FINs "
&amp;(IF(Tank1!$C$23="carbon adsorption system",Tank1!C7&amp;", ",""))
&amp;(IF(Tank2!$C$23="carbon adsorption system",Tank2!C7&amp;", ",""))
&amp;(IF(Tank3!$C$23="carbon adsorption system",Tank3!C7&amp;", ",""))
&amp;(IF(Tank4!$C$23="carbon adsorption system",Tank4!C7&amp;", ",""))
&amp;(IF(Tank5!$C$23="carbon adsorption system",Tank5!C7&amp;", ",""))
&amp;(IF('Loading-drum,tote'!$C$21="carbon adsorption system",'Loading-drum,tote'!C7&amp;", ",""))
&amp;(IF('Loading-truck'!$C$21="carbon adsorption system",'Loading-truck'!C7&amp;", ",""))
&amp;(IF('Loading-rail'!$C$21="carbon adsorption system",'Loading-rail'!C7&amp;", ",""))
&amp;"shall vent through a CAS consisting of at least two activated carbon canisters working in parallel such that the vent emissions are alternately controlled by each canister while the other canister is regenerated."</f>
        <v>FINs shall vent through a CAS consisting of at least two activated carbon canisters working in parallel such that the vent emissions are alternately controlled by each canister while the other canister is regenerated.</v>
      </c>
      <c r="C219" s="1848"/>
      <c r="D219" s="1849"/>
      <c r="E219" s="457" t="s">
        <v>10293</v>
      </c>
    </row>
    <row r="220" spans="1:5" ht="30" customHeight="1" x14ac:dyDescent="0.25">
      <c r="A220" s="566"/>
      <c r="B220" s="806" t="s">
        <v>8749</v>
      </c>
      <c r="C220" s="1872" t="s">
        <v>10311</v>
      </c>
      <c r="D220" s="1849"/>
    </row>
    <row r="221" spans="1:5" ht="60" customHeight="1" x14ac:dyDescent="0.25">
      <c r="A221" s="558"/>
      <c r="B221" s="563" t="s">
        <v>8757</v>
      </c>
      <c r="C221" s="1872" t="s">
        <v>10312</v>
      </c>
      <c r="D221" s="1849"/>
    </row>
    <row r="222" spans="1:5" ht="101.25" customHeight="1" x14ac:dyDescent="0.25">
      <c r="A222" s="558"/>
      <c r="B222" s="563" t="s">
        <v>8760</v>
      </c>
      <c r="C222" s="1817" t="s">
        <v>10313</v>
      </c>
      <c r="D222" s="1819"/>
    </row>
    <row r="223" spans="1:5" ht="57.75" customHeight="1" x14ac:dyDescent="0.25">
      <c r="A223" s="558"/>
      <c r="B223" s="563" t="s">
        <v>8758</v>
      </c>
      <c r="C223" s="1817" t="s">
        <v>10294</v>
      </c>
      <c r="D223" s="1819"/>
    </row>
    <row r="224" spans="1:5" ht="30" customHeight="1" x14ac:dyDescent="0.25">
      <c r="A224" s="558"/>
      <c r="B224" s="481" t="s">
        <v>8759</v>
      </c>
      <c r="C224" s="1817" t="s">
        <v>10295</v>
      </c>
      <c r="D224" s="1819"/>
    </row>
    <row r="225" spans="1:5" ht="29.25" customHeight="1" x14ac:dyDescent="0.25">
      <c r="A225" s="558"/>
      <c r="B225" s="806" t="s">
        <v>8766</v>
      </c>
      <c r="C225" s="1874" t="s">
        <v>10296</v>
      </c>
      <c r="D225" s="1875"/>
    </row>
    <row r="226" spans="1:5" ht="129.75" customHeight="1" x14ac:dyDescent="0.25">
      <c r="A226" s="558"/>
      <c r="B226" s="806" t="s">
        <v>8770</v>
      </c>
      <c r="C226" s="1817" t="s">
        <v>10297</v>
      </c>
      <c r="D226" s="1819"/>
    </row>
    <row r="227" spans="1:5" ht="73.5" customHeight="1" x14ac:dyDescent="0.25">
      <c r="A227" s="558"/>
      <c r="B227" s="806" t="s">
        <v>8771</v>
      </c>
      <c r="C227" s="1817" t="s">
        <v>10314</v>
      </c>
      <c r="D227" s="1819"/>
    </row>
    <row r="228" spans="1:5" ht="14.25" x14ac:dyDescent="0.25">
      <c r="A228" s="558"/>
      <c r="B228" s="836" t="s">
        <v>8812</v>
      </c>
      <c r="C228" s="1817" t="s">
        <v>8790</v>
      </c>
      <c r="D228" s="1819"/>
    </row>
    <row r="229" spans="1:5" ht="30.75" customHeight="1" x14ac:dyDescent="0.25">
      <c r="A229" s="558"/>
      <c r="B229" s="563"/>
      <c r="C229" s="563" t="s">
        <v>8750</v>
      </c>
      <c r="D229" s="564" t="s">
        <v>8780</v>
      </c>
    </row>
    <row r="230" spans="1:5" ht="14.25" x14ac:dyDescent="0.25">
      <c r="A230" s="558"/>
      <c r="B230" s="563"/>
      <c r="C230" s="563" t="s">
        <v>8751</v>
      </c>
      <c r="D230" s="564" t="s">
        <v>8781</v>
      </c>
    </row>
    <row r="231" spans="1:5" ht="30.75" customHeight="1" x14ac:dyDescent="0.25">
      <c r="A231" s="558"/>
      <c r="B231" s="563"/>
      <c r="C231" s="563" t="s">
        <v>8752</v>
      </c>
      <c r="D231" s="564" t="s">
        <v>8792</v>
      </c>
    </row>
    <row r="232" spans="1:5" ht="14.25" x14ac:dyDescent="0.25">
      <c r="A232" s="558"/>
      <c r="B232" s="563"/>
      <c r="C232" s="563" t="s">
        <v>8767</v>
      </c>
      <c r="D232" s="564" t="s">
        <v>8782</v>
      </c>
    </row>
    <row r="233" spans="1:5" ht="14.25" x14ac:dyDescent="0.25">
      <c r="A233" s="558"/>
      <c r="B233" s="563"/>
      <c r="C233" s="563" t="s">
        <v>8768</v>
      </c>
      <c r="D233" s="564" t="s">
        <v>8793</v>
      </c>
    </row>
    <row r="234" spans="1:5" ht="38.25" customHeight="1" x14ac:dyDescent="0.25">
      <c r="A234" s="566">
        <v>27</v>
      </c>
      <c r="B234" s="1872" t="str">
        <f>"FINs "
&amp;(IF(Tank1!$C$23="carbon adsorption system",Tank1!C7&amp;", ",""))
&amp;(IF(Tank2!$C$23="carbon adsorption system",Tank2!C7&amp;", ",""))
&amp;(IF(Tank3!$C$23="carbon adsorption system",Tank3!C7&amp;", ",""))
&amp;(IF(Tank4!$C$23="carbon adsorption system",Tank4!C7&amp;", ",""))
&amp;(IF(Tank5!$C$23="carbon adsorption system",Tank5!C7&amp;", ",""))
&amp;(IF('Loading-drum,tote'!$C$21="carbon adsorption system",'Loading-drum,tote'!C7&amp;", ",""))
&amp;(IF('Loading-truck'!$C$21="carbon adsorption system",'Loading-truck'!C7&amp;", ",""))
&amp;(IF('Loading-rail'!$C$21="carbon adsorption system",'Loading-rail'!C7&amp;", ",""))
&amp;"shall vent through a CAS consisting of at least two activated carbon canisters that are connected in series."</f>
        <v>FINs shall vent through a CAS consisting of at least two activated carbon canisters that are connected in series.</v>
      </c>
      <c r="C234" s="1848"/>
      <c r="D234" s="1849"/>
      <c r="E234" s="457" t="s">
        <v>10291</v>
      </c>
    </row>
    <row r="235" spans="1:5" ht="44.25" customHeight="1" x14ac:dyDescent="0.25">
      <c r="A235" s="558"/>
      <c r="B235" s="563" t="s">
        <v>8749</v>
      </c>
      <c r="C235" s="1872" t="s">
        <v>10315</v>
      </c>
      <c r="D235" s="1849"/>
    </row>
    <row r="236" spans="1:5" ht="75.75" customHeight="1" x14ac:dyDescent="0.25">
      <c r="A236" s="558"/>
      <c r="B236" s="563" t="s">
        <v>8757</v>
      </c>
      <c r="C236" s="1872" t="str">
        <f>"Breakthrough of the first canister shall be defined as the highest 1 minute average measured VOC concentration at or exceeding the breakthrough concentration of " &amp; CAS!C20 &amp; " ppmv. When the condition of breakthrough of VOC from the initial saturation canister occurs, the waste gas flow shall be switched to the second canister and a fresh canister shall be placed as the new final polishing canister within 72 hours." &amp;" Sufficient new activated carbon canisters shall be maintained at the site to replace spent carbon canisters such that replacements can be done in the above specified time frame."</f>
        <v>Breakthrough of the first canister shall be defined as the highest 1 minute average measured VOC concentration at or exceeding the breakthrough concentration of  ppmv. When the condition of breakthrough of VOC from the initial saturation canister occurs, the waste gas flow shall be switched to the second canister and a fresh canister shall be placed as the new final polishing canister within 72 hours. Sufficient new activated carbon canisters shall be maintained at the site to replace spent carbon canisters such that replacements can be done in the above specified time frame.</v>
      </c>
      <c r="D236" s="1849"/>
      <c r="E236" s="457" t="s">
        <v>8915</v>
      </c>
    </row>
    <row r="237" spans="1:5" ht="286.5" customHeight="1" x14ac:dyDescent="0.25">
      <c r="A237" s="558"/>
      <c r="B237" s="563" t="s">
        <v>8760</v>
      </c>
      <c r="C237" s="1817" t="s">
        <v>10310</v>
      </c>
      <c r="D237" s="1819"/>
    </row>
    <row r="238" spans="1:5" ht="87" customHeight="1" x14ac:dyDescent="0.25">
      <c r="A238" s="558"/>
      <c r="B238" s="563" t="s">
        <v>8758</v>
      </c>
      <c r="C238" s="1817" t="s">
        <v>8831</v>
      </c>
      <c r="D238" s="1819"/>
    </row>
    <row r="239" spans="1:5" ht="72.75" customHeight="1" x14ac:dyDescent="0.25">
      <c r="A239" s="558"/>
      <c r="B239" s="806" t="s">
        <v>8759</v>
      </c>
      <c r="C239" s="1817" t="s">
        <v>10309</v>
      </c>
      <c r="D239" s="1819"/>
    </row>
    <row r="240" spans="1:5" ht="73.5" customHeight="1" x14ac:dyDescent="0.25">
      <c r="A240" s="558"/>
      <c r="B240" s="563"/>
      <c r="C240" s="806" t="s">
        <v>8750</v>
      </c>
      <c r="D240" s="837" t="s">
        <v>10306</v>
      </c>
    </row>
    <row r="241" spans="1:5" ht="33" customHeight="1" x14ac:dyDescent="0.25">
      <c r="A241" s="558"/>
      <c r="B241" s="563"/>
      <c r="C241" s="806" t="s">
        <v>8751</v>
      </c>
      <c r="D241" s="837" t="s">
        <v>8791</v>
      </c>
    </row>
    <row r="242" spans="1:5" ht="32.25" customHeight="1" x14ac:dyDescent="0.25">
      <c r="A242" s="558"/>
      <c r="B242" s="563"/>
      <c r="C242" s="806" t="s">
        <v>8752</v>
      </c>
      <c r="D242" s="838" t="s">
        <v>8832</v>
      </c>
    </row>
    <row r="243" spans="1:5" ht="30.75" customHeight="1" x14ac:dyDescent="0.25">
      <c r="A243" s="558"/>
      <c r="B243" s="806" t="s">
        <v>8766</v>
      </c>
      <c r="C243" s="1817" t="s">
        <v>10307</v>
      </c>
      <c r="D243" s="1819"/>
    </row>
    <row r="244" spans="1:5" ht="14.25" x14ac:dyDescent="0.25">
      <c r="A244" s="558"/>
      <c r="B244" s="806" t="s">
        <v>8770</v>
      </c>
      <c r="C244" s="1817" t="s">
        <v>8790</v>
      </c>
      <c r="D244" s="1819"/>
    </row>
    <row r="245" spans="1:5" ht="30.75" customHeight="1" x14ac:dyDescent="0.25">
      <c r="A245" s="558"/>
      <c r="B245" s="806"/>
      <c r="C245" s="806" t="s">
        <v>8750</v>
      </c>
      <c r="D245" s="837" t="s">
        <v>8780</v>
      </c>
    </row>
    <row r="246" spans="1:5" ht="14.25" x14ac:dyDescent="0.25">
      <c r="A246" s="558"/>
      <c r="B246" s="806"/>
      <c r="C246" s="806" t="s">
        <v>8751</v>
      </c>
      <c r="D246" s="837" t="s">
        <v>8781</v>
      </c>
    </row>
    <row r="247" spans="1:5" ht="30.75" customHeight="1" x14ac:dyDescent="0.25">
      <c r="A247" s="558"/>
      <c r="B247" s="806"/>
      <c r="C247" s="806" t="s">
        <v>8752</v>
      </c>
      <c r="D247" s="837" t="s">
        <v>8792</v>
      </c>
    </row>
    <row r="248" spans="1:5" ht="14.25" x14ac:dyDescent="0.25">
      <c r="A248" s="558"/>
      <c r="B248" s="806"/>
      <c r="C248" s="806" t="s">
        <v>8767</v>
      </c>
      <c r="D248" s="837" t="s">
        <v>8782</v>
      </c>
    </row>
    <row r="249" spans="1:5" ht="14.25" x14ac:dyDescent="0.25">
      <c r="A249" s="558"/>
      <c r="B249" s="806"/>
      <c r="C249" s="806" t="s">
        <v>8768</v>
      </c>
      <c r="D249" s="837" t="s">
        <v>8793</v>
      </c>
    </row>
    <row r="250" spans="1:5" ht="31.5" customHeight="1" thickBot="1" x14ac:dyDescent="0.3">
      <c r="A250" s="558"/>
      <c r="B250" s="806" t="s">
        <v>8771</v>
      </c>
      <c r="C250" s="1817" t="s">
        <v>8833</v>
      </c>
      <c r="D250" s="1819"/>
    </row>
    <row r="251" spans="1:5" ht="15" x14ac:dyDescent="0.25">
      <c r="A251" s="1865" t="s">
        <v>8772</v>
      </c>
      <c r="B251" s="1866"/>
      <c r="C251" s="1866"/>
      <c r="D251" s="1867"/>
      <c r="E251" s="457" t="s">
        <v>8979</v>
      </c>
    </row>
    <row r="252" spans="1:5" ht="130.5" customHeight="1" x14ac:dyDescent="0.25">
      <c r="A252" s="566">
        <v>28</v>
      </c>
      <c r="B252" s="1847" t="s">
        <v>8898</v>
      </c>
      <c r="C252" s="1848"/>
      <c r="D252" s="1849"/>
    </row>
    <row r="253" spans="1:5" ht="18" customHeight="1" x14ac:dyDescent="0.25">
      <c r="A253" s="558"/>
      <c r="B253" s="563" t="s">
        <v>8749</v>
      </c>
      <c r="C253" s="1847" t="s">
        <v>8873</v>
      </c>
      <c r="D253" s="1849"/>
    </row>
    <row r="254" spans="1:5" ht="14.25" x14ac:dyDescent="0.25">
      <c r="A254" s="558"/>
      <c r="B254" s="563"/>
      <c r="C254" s="563" t="s">
        <v>8750</v>
      </c>
      <c r="D254" s="564" t="s">
        <v>8779</v>
      </c>
    </row>
    <row r="255" spans="1:5" ht="14.25" x14ac:dyDescent="0.25">
      <c r="A255" s="558"/>
      <c r="B255" s="563"/>
      <c r="C255" s="563" t="s">
        <v>8751</v>
      </c>
      <c r="D255" s="564" t="s">
        <v>8784</v>
      </c>
    </row>
    <row r="256" spans="1:5" ht="14.25" x14ac:dyDescent="0.25">
      <c r="A256" s="558"/>
      <c r="B256" s="563"/>
      <c r="C256" s="563" t="s">
        <v>8752</v>
      </c>
      <c r="D256" s="565" t="s">
        <v>8774</v>
      </c>
    </row>
    <row r="257" spans="1:5" ht="14.25" x14ac:dyDescent="0.25">
      <c r="A257" s="558"/>
      <c r="B257" s="563"/>
      <c r="C257" s="563" t="s">
        <v>8767</v>
      </c>
      <c r="D257" s="565" t="s">
        <v>8775</v>
      </c>
    </row>
    <row r="258" spans="1:5" ht="14.25" x14ac:dyDescent="0.25">
      <c r="A258" s="558"/>
      <c r="B258" s="563"/>
      <c r="C258" s="563" t="s">
        <v>8768</v>
      </c>
      <c r="D258" s="565" t="s">
        <v>8776</v>
      </c>
    </row>
    <row r="259" spans="1:5" ht="30" customHeight="1" x14ac:dyDescent="0.25">
      <c r="A259" s="558"/>
      <c r="B259" s="563"/>
      <c r="C259" s="563" t="s">
        <v>8769</v>
      </c>
      <c r="D259" s="565" t="s">
        <v>8777</v>
      </c>
    </row>
    <row r="260" spans="1:5" ht="14.25" x14ac:dyDescent="0.25">
      <c r="A260" s="558"/>
      <c r="B260" s="563"/>
      <c r="C260" s="563" t="s">
        <v>8773</v>
      </c>
      <c r="D260" s="565" t="s">
        <v>8778</v>
      </c>
    </row>
    <row r="261" spans="1:5" ht="45" customHeight="1" x14ac:dyDescent="0.25">
      <c r="A261" s="558"/>
      <c r="B261" s="563"/>
      <c r="C261" s="563" t="s">
        <v>8783</v>
      </c>
      <c r="D261" s="565" t="s">
        <v>8874</v>
      </c>
    </row>
    <row r="262" spans="1:5" ht="14.25" x14ac:dyDescent="0.25">
      <c r="A262" s="558"/>
      <c r="B262" s="563" t="s">
        <v>8757</v>
      </c>
      <c r="C262" s="1824" t="s">
        <v>10074</v>
      </c>
      <c r="D262" s="1819"/>
    </row>
    <row r="263" spans="1:5" ht="45" customHeight="1" x14ac:dyDescent="0.25">
      <c r="A263" s="558"/>
      <c r="B263" s="563" t="s">
        <v>8760</v>
      </c>
      <c r="C263" s="1824" t="s">
        <v>8875</v>
      </c>
      <c r="D263" s="1819"/>
    </row>
    <row r="264" spans="1:5" ht="159" customHeight="1" x14ac:dyDescent="0.25">
      <c r="A264" s="558"/>
      <c r="B264" s="563" t="s">
        <v>8758</v>
      </c>
      <c r="C264" s="1824" t="s">
        <v>8876</v>
      </c>
      <c r="D264" s="1819"/>
    </row>
    <row r="265" spans="1:5" ht="72.75" customHeight="1" x14ac:dyDescent="0.25">
      <c r="A265" s="558"/>
      <c r="B265" s="563" t="s">
        <v>8759</v>
      </c>
      <c r="C265" s="1824" t="s">
        <v>8878</v>
      </c>
      <c r="D265" s="1819"/>
    </row>
    <row r="266" spans="1:5" ht="60" customHeight="1" thickBot="1" x14ac:dyDescent="0.3">
      <c r="A266" s="559"/>
      <c r="B266" s="568" t="s">
        <v>8766</v>
      </c>
      <c r="C266" s="1873" t="s">
        <v>8879</v>
      </c>
      <c r="D266" s="1822"/>
    </row>
    <row r="267" spans="1:5" ht="15" x14ac:dyDescent="0.25">
      <c r="A267" s="1868" t="s">
        <v>8785</v>
      </c>
      <c r="B267" s="1869"/>
      <c r="C267" s="1869"/>
      <c r="D267" s="1870"/>
      <c r="E267" s="457" t="s">
        <v>8992</v>
      </c>
    </row>
    <row r="268" spans="1:5" ht="28.5" x14ac:dyDescent="0.25">
      <c r="A268" s="566">
        <v>29</v>
      </c>
      <c r="B268" s="1863" t="str">
        <f>"The following requirements apply to capture systems for "&amp;(IF(Flare!$C$40="Yes","the flare, ",""))&amp;(IF(VCU!$C$45="Yes","the VCU, ",""))&amp;(IF(CAS!$C$25="Yes","the CAS, ","")) &amp; ":"</f>
        <v>The following requirements apply to capture systems for :</v>
      </c>
      <c r="C268" s="1014"/>
      <c r="D268" s="1864"/>
      <c r="E268" s="457" t="s">
        <v>10042</v>
      </c>
    </row>
    <row r="269" spans="1:5" ht="30.75" customHeight="1" x14ac:dyDescent="0.25">
      <c r="A269" s="558"/>
      <c r="B269" s="563" t="s">
        <v>8749</v>
      </c>
      <c r="C269" s="1862" t="s">
        <v>8787</v>
      </c>
      <c r="D269" s="1823"/>
    </row>
    <row r="270" spans="1:5" ht="31.5" customHeight="1" x14ac:dyDescent="0.25">
      <c r="A270" s="558"/>
      <c r="B270" s="563" t="s">
        <v>8757</v>
      </c>
      <c r="C270" s="1811" t="s">
        <v>8877</v>
      </c>
      <c r="D270" s="1823"/>
    </row>
    <row r="271" spans="1:5" ht="14.25" x14ac:dyDescent="0.25">
      <c r="A271" s="558"/>
      <c r="B271" s="563" t="s">
        <v>8760</v>
      </c>
      <c r="C271" s="1863" t="str">
        <f>"The following control device(s) shall not have a bypass: "&amp;(IF(Flare!$C$42="No","the flare, ",""))&amp;(IF(VCU!$C$47="No","the VCU, ",""))&amp;(IF(CAS!$C$27="No","the CAS, ","")) &amp; "."</f>
        <v>The following control device(s) shall not have a bypass: .</v>
      </c>
      <c r="D271" s="1864"/>
      <c r="E271" s="457" t="s">
        <v>10277</v>
      </c>
    </row>
    <row r="272" spans="1:5" ht="16.5" customHeight="1" x14ac:dyDescent="0.25">
      <c r="A272" s="558"/>
      <c r="B272" s="563" t="s">
        <v>8758</v>
      </c>
      <c r="C272" s="1863" t="str">
        <f>"The "&amp;(IF(Flare!$C$42="Yes","flare, ",""))&amp;(IF(VCU!$C$47="Yes","VCU, ",""))&amp;(IF(CAS!$C$27="Yes","CAS, ","")) &amp; "has a bypass. Comply with either of the following requirements:"</f>
        <v>The has a bypass. Comply with either of the following requirements:</v>
      </c>
      <c r="D272" s="1864"/>
      <c r="E272" s="457" t="s">
        <v>10278</v>
      </c>
    </row>
    <row r="273" spans="1:4" ht="44.25" customHeight="1" x14ac:dyDescent="0.25">
      <c r="A273" s="558"/>
      <c r="B273" s="563"/>
      <c r="C273" s="563" t="s">
        <v>8750</v>
      </c>
      <c r="D273" s="564" t="s">
        <v>8788</v>
      </c>
    </row>
    <row r="274" spans="1:4" ht="30.75" customHeight="1" x14ac:dyDescent="0.25">
      <c r="A274" s="558"/>
      <c r="B274" s="563"/>
      <c r="C274" s="563" t="s">
        <v>8751</v>
      </c>
      <c r="D274" s="565" t="s">
        <v>8789</v>
      </c>
    </row>
    <row r="275" spans="1:4" ht="58.5" customHeight="1" x14ac:dyDescent="0.25">
      <c r="A275" s="558"/>
      <c r="B275" s="563" t="s">
        <v>8759</v>
      </c>
      <c r="C275" s="1811" t="s">
        <v>8880</v>
      </c>
      <c r="D275" s="1823"/>
    </row>
    <row r="276" spans="1:4" ht="30" customHeight="1" thickBot="1" x14ac:dyDescent="0.3">
      <c r="A276" s="561"/>
      <c r="B276" s="562" t="s">
        <v>8766</v>
      </c>
      <c r="C276" s="1092" t="s">
        <v>8786</v>
      </c>
      <c r="D276" s="1861"/>
    </row>
    <row r="277" spans="1:4" ht="15" x14ac:dyDescent="0.25">
      <c r="A277" s="1807" t="s">
        <v>10040</v>
      </c>
      <c r="B277" s="1808"/>
      <c r="C277" s="1808"/>
      <c r="D277" s="1809"/>
    </row>
    <row r="278" spans="1:4" ht="14.25" x14ac:dyDescent="0.25">
      <c r="A278" s="1810" t="s">
        <v>8859</v>
      </c>
      <c r="B278" s="1811"/>
      <c r="C278" s="1811"/>
      <c r="D278" s="564" t="s">
        <v>8839</v>
      </c>
    </row>
    <row r="279" spans="1:4" ht="14.25" x14ac:dyDescent="0.25">
      <c r="A279" s="1810" t="s">
        <v>8860</v>
      </c>
      <c r="B279" s="1811"/>
      <c r="C279" s="1811"/>
      <c r="D279" s="564" t="s">
        <v>8840</v>
      </c>
    </row>
    <row r="280" spans="1:4" ht="14.25" x14ac:dyDescent="0.25">
      <c r="A280" s="1810" t="s">
        <v>271</v>
      </c>
      <c r="B280" s="1811"/>
      <c r="C280" s="1811"/>
      <c r="D280" s="564" t="s">
        <v>8841</v>
      </c>
    </row>
    <row r="281" spans="1:4" ht="14.25" x14ac:dyDescent="0.25">
      <c r="A281" s="1810" t="s">
        <v>8836</v>
      </c>
      <c r="B281" s="1811"/>
      <c r="C281" s="1811"/>
      <c r="D281" s="564" t="s">
        <v>8842</v>
      </c>
    </row>
    <row r="282" spans="1:4" ht="14.25" x14ac:dyDescent="0.25">
      <c r="A282" s="1810" t="s">
        <v>8861</v>
      </c>
      <c r="B282" s="1811"/>
      <c r="C282" s="1811"/>
      <c r="D282" s="564" t="s">
        <v>8843</v>
      </c>
    </row>
    <row r="283" spans="1:4" ht="14.25" x14ac:dyDescent="0.2">
      <c r="A283" s="1810" t="s">
        <v>8834</v>
      </c>
      <c r="B283" s="1811"/>
      <c r="C283" s="1811"/>
      <c r="D283" s="569" t="s">
        <v>8844</v>
      </c>
    </row>
    <row r="284" spans="1:4" ht="14.25" x14ac:dyDescent="0.25">
      <c r="A284" s="1810" t="s">
        <v>0</v>
      </c>
      <c r="B284" s="1811"/>
      <c r="C284" s="1811"/>
      <c r="D284" s="564" t="s">
        <v>8845</v>
      </c>
    </row>
    <row r="285" spans="1:4" ht="14.25" x14ac:dyDescent="0.2">
      <c r="A285" s="1810" t="s">
        <v>8862</v>
      </c>
      <c r="B285" s="1811"/>
      <c r="C285" s="1811"/>
      <c r="D285" s="569" t="s">
        <v>8846</v>
      </c>
    </row>
    <row r="286" spans="1:4" ht="14.25" x14ac:dyDescent="0.25">
      <c r="A286" s="1810" t="s">
        <v>8863</v>
      </c>
      <c r="B286" s="1811"/>
      <c r="C286" s="1811"/>
      <c r="D286" s="564" t="s">
        <v>8847</v>
      </c>
    </row>
    <row r="287" spans="1:4" ht="14.25" x14ac:dyDescent="0.25">
      <c r="A287" s="1810" t="s">
        <v>8864</v>
      </c>
      <c r="B287" s="1811"/>
      <c r="C287" s="1811"/>
      <c r="D287" s="564" t="s">
        <v>8848</v>
      </c>
    </row>
    <row r="288" spans="1:4" ht="14.25" x14ac:dyDescent="0.25">
      <c r="A288" s="1810" t="s">
        <v>8865</v>
      </c>
      <c r="B288" s="1811"/>
      <c r="C288" s="1811"/>
      <c r="D288" s="564" t="s">
        <v>8849</v>
      </c>
    </row>
    <row r="289" spans="1:22" ht="14.25" x14ac:dyDescent="0.25">
      <c r="A289" s="1810" t="s">
        <v>8871</v>
      </c>
      <c r="B289" s="1811"/>
      <c r="C289" s="1811"/>
      <c r="D289" s="564" t="s">
        <v>8850</v>
      </c>
    </row>
    <row r="290" spans="1:22" ht="14.25" x14ac:dyDescent="0.25">
      <c r="A290" s="1810" t="s">
        <v>8872</v>
      </c>
      <c r="B290" s="1811"/>
      <c r="C290" s="1811"/>
      <c r="D290" s="564" t="s">
        <v>10041</v>
      </c>
    </row>
    <row r="291" spans="1:22" ht="14.25" x14ac:dyDescent="0.25">
      <c r="A291" s="1810" t="s">
        <v>8866</v>
      </c>
      <c r="B291" s="1811"/>
      <c r="C291" s="1811"/>
      <c r="D291" s="564" t="s">
        <v>8851</v>
      </c>
    </row>
    <row r="292" spans="1:22" ht="14.25" x14ac:dyDescent="0.25">
      <c r="A292" s="1810" t="s">
        <v>8867</v>
      </c>
      <c r="B292" s="1811"/>
      <c r="C292" s="1811"/>
      <c r="D292" s="564" t="s">
        <v>8852</v>
      </c>
    </row>
    <row r="293" spans="1:22" ht="14.25" x14ac:dyDescent="0.25">
      <c r="A293" s="1810" t="s">
        <v>8868</v>
      </c>
      <c r="B293" s="1811"/>
      <c r="C293" s="1811"/>
      <c r="D293" s="564" t="s">
        <v>8853</v>
      </c>
    </row>
    <row r="294" spans="1:22" ht="14.25" x14ac:dyDescent="0.25">
      <c r="A294" s="1810" t="s">
        <v>8869</v>
      </c>
      <c r="B294" s="1811"/>
      <c r="C294" s="1811"/>
      <c r="D294" s="564" t="s">
        <v>8854</v>
      </c>
    </row>
    <row r="295" spans="1:22" ht="14.25" x14ac:dyDescent="0.25">
      <c r="A295" s="1810" t="s">
        <v>8870</v>
      </c>
      <c r="B295" s="1811"/>
      <c r="C295" s="1811"/>
      <c r="D295" s="564" t="s">
        <v>8855</v>
      </c>
    </row>
    <row r="296" spans="1:22" ht="14.25" x14ac:dyDescent="0.25">
      <c r="A296" s="1810" t="s">
        <v>8835</v>
      </c>
      <c r="B296" s="1811"/>
      <c r="C296" s="1811"/>
      <c r="D296" s="564" t="s">
        <v>8856</v>
      </c>
    </row>
    <row r="297" spans="1:22" ht="14.25" x14ac:dyDescent="0.25">
      <c r="A297" s="1810" t="s">
        <v>272</v>
      </c>
      <c r="B297" s="1811"/>
      <c r="C297" s="1811"/>
      <c r="D297" s="564" t="s">
        <v>8857</v>
      </c>
    </row>
    <row r="298" spans="1:22" ht="15" thickBot="1" x14ac:dyDescent="0.3">
      <c r="A298" s="1812" t="s">
        <v>3</v>
      </c>
      <c r="B298" s="1813"/>
      <c r="C298" s="1813"/>
      <c r="D298" s="689" t="s">
        <v>8858</v>
      </c>
    </row>
    <row r="299" spans="1:22" s="462" customFormat="1" ht="15.75" thickBot="1" x14ac:dyDescent="0.25">
      <c r="A299" s="1803" t="s">
        <v>10199</v>
      </c>
      <c r="B299" s="1804"/>
      <c r="C299" s="1804"/>
      <c r="D299" s="1804"/>
      <c r="E299" s="777"/>
      <c r="F299" s="777"/>
      <c r="G299" s="777"/>
      <c r="H299" s="777"/>
      <c r="I299" s="777"/>
      <c r="J299" s="777"/>
      <c r="K299" s="777"/>
      <c r="L299" s="777"/>
      <c r="M299" s="777"/>
      <c r="N299" s="777"/>
      <c r="O299" s="777"/>
      <c r="P299" s="778"/>
      <c r="Q299" s="460"/>
      <c r="R299" s="460"/>
      <c r="S299" s="460"/>
      <c r="T299" s="460"/>
      <c r="U299" s="460"/>
      <c r="V299" s="460"/>
    </row>
    <row r="300" spans="1:22" s="462" customFormat="1" ht="62.25" customHeight="1" x14ac:dyDescent="0.2">
      <c r="A300" s="1801" t="s">
        <v>10192</v>
      </c>
      <c r="B300" s="1802"/>
      <c r="C300" s="1802"/>
      <c r="D300" s="1802"/>
      <c r="E300" s="781"/>
      <c r="F300" s="781"/>
      <c r="G300" s="781"/>
      <c r="H300" s="781"/>
      <c r="I300" s="781"/>
      <c r="J300" s="781"/>
      <c r="K300" s="781"/>
      <c r="L300" s="781"/>
      <c r="M300" s="781"/>
      <c r="N300" s="781"/>
      <c r="O300" s="781"/>
      <c r="P300" s="782"/>
      <c r="Q300" s="556"/>
      <c r="R300" s="556"/>
      <c r="S300" s="556"/>
      <c r="T300" s="556"/>
      <c r="U300" s="556"/>
      <c r="V300" s="556"/>
    </row>
    <row r="301" spans="1:22" s="462" customFormat="1" ht="15" x14ac:dyDescent="0.2">
      <c r="A301" s="1799" t="s">
        <v>8593</v>
      </c>
      <c r="B301" s="1800"/>
      <c r="C301" s="1800"/>
      <c r="D301" s="1800"/>
      <c r="E301" s="779"/>
      <c r="F301" s="779"/>
      <c r="G301" s="779"/>
      <c r="H301" s="779"/>
      <c r="I301" s="779"/>
      <c r="J301" s="779"/>
      <c r="K301" s="779"/>
      <c r="L301" s="779"/>
      <c r="M301" s="779"/>
      <c r="N301" s="779"/>
      <c r="O301" s="779"/>
      <c r="P301" s="780"/>
      <c r="Q301" s="556"/>
      <c r="R301" s="556"/>
      <c r="S301" s="556"/>
      <c r="T301" s="556"/>
      <c r="U301" s="556"/>
      <c r="V301" s="556"/>
    </row>
    <row r="302" spans="1:22" s="462" customFormat="1" ht="15.75" customHeight="1" thickBot="1" x14ac:dyDescent="0.25">
      <c r="A302" s="1797"/>
      <c r="B302" s="1798"/>
      <c r="C302" s="1798"/>
      <c r="D302" s="1798"/>
      <c r="E302" s="783"/>
      <c r="F302" s="783"/>
      <c r="G302" s="783"/>
      <c r="H302" s="783"/>
      <c r="I302" s="783"/>
      <c r="J302" s="783"/>
      <c r="K302" s="783"/>
      <c r="L302" s="783"/>
      <c r="M302" s="783"/>
      <c r="N302" s="783"/>
      <c r="O302" s="783"/>
      <c r="P302" s="784"/>
    </row>
    <row r="303" spans="1:22" ht="14.25" x14ac:dyDescent="0.25">
      <c r="A303" s="1880" t="s">
        <v>8641</v>
      </c>
      <c r="B303" s="1880"/>
      <c r="C303" s="1880"/>
      <c r="D303" s="1880"/>
    </row>
    <row r="304" spans="1:22" ht="171" hidden="1" customHeight="1" x14ac:dyDescent="0.25"/>
  </sheetData>
  <sheetProtection algorithmName="SHA-512" hashValue="exq7tWX8RpeYDLFgj27JOga1PS4XSrgW1t3MN8v9NhgsmKG/tmPRinIhYOYXILZzIrAnNvNJR2GicwtuPyXsOw==" saltValue="JDaevcVDu2/TFTZQiofjJA==" spinCount="100000" sheet="1" objects="1" scenarios="1" formatColumns="0" formatRows="0" autoFilter="0"/>
  <mergeCells count="176">
    <mergeCell ref="B171:D171"/>
    <mergeCell ref="A1:D1"/>
    <mergeCell ref="A303:D303"/>
    <mergeCell ref="C20:D20"/>
    <mergeCell ref="C21:D21"/>
    <mergeCell ref="C22:D22"/>
    <mergeCell ref="C23:D23"/>
    <mergeCell ref="C24:D24"/>
    <mergeCell ref="C11:D11"/>
    <mergeCell ref="C12:D12"/>
    <mergeCell ref="C13:D13"/>
    <mergeCell ref="C14:D14"/>
    <mergeCell ref="C15:D15"/>
    <mergeCell ref="C16:D16"/>
    <mergeCell ref="C17:D17"/>
    <mergeCell ref="C18:D18"/>
    <mergeCell ref="C177:D177"/>
    <mergeCell ref="C178:D178"/>
    <mergeCell ref="C179:D179"/>
    <mergeCell ref="B181:D181"/>
    <mergeCell ref="C182:D182"/>
    <mergeCell ref="C172:D172"/>
    <mergeCell ref="C173:D173"/>
    <mergeCell ref="C174:D174"/>
    <mergeCell ref="B200:D200"/>
    <mergeCell ref="C201:D201"/>
    <mergeCell ref="C203:D203"/>
    <mergeCell ref="C204:D204"/>
    <mergeCell ref="C208:D208"/>
    <mergeCell ref="C216:D216"/>
    <mergeCell ref="C217:D217"/>
    <mergeCell ref="C218:D218"/>
    <mergeCell ref="C175:D175"/>
    <mergeCell ref="C176:D176"/>
    <mergeCell ref="C194:D194"/>
    <mergeCell ref="C183:D183"/>
    <mergeCell ref="C184:D184"/>
    <mergeCell ref="C185:D185"/>
    <mergeCell ref="B187:D187"/>
    <mergeCell ref="C188:D188"/>
    <mergeCell ref="C189:D189"/>
    <mergeCell ref="C193:D193"/>
    <mergeCell ref="C202:D202"/>
    <mergeCell ref="C199:D199"/>
    <mergeCell ref="C221:D221"/>
    <mergeCell ref="C222:D222"/>
    <mergeCell ref="B268:D268"/>
    <mergeCell ref="C263:D263"/>
    <mergeCell ref="C264:D264"/>
    <mergeCell ref="C265:D265"/>
    <mergeCell ref="C266:D266"/>
    <mergeCell ref="C220:D220"/>
    <mergeCell ref="C225:D225"/>
    <mergeCell ref="C226:D226"/>
    <mergeCell ref="C227:D227"/>
    <mergeCell ref="C239:D239"/>
    <mergeCell ref="C243:D243"/>
    <mergeCell ref="C244:D244"/>
    <mergeCell ref="C250:D250"/>
    <mergeCell ref="B219:D219"/>
    <mergeCell ref="C275:D275"/>
    <mergeCell ref="C276:D276"/>
    <mergeCell ref="C269:D269"/>
    <mergeCell ref="C270:D270"/>
    <mergeCell ref="C271:D271"/>
    <mergeCell ref="C272:D272"/>
    <mergeCell ref="A186:D186"/>
    <mergeCell ref="A180:D180"/>
    <mergeCell ref="A251:D251"/>
    <mergeCell ref="A267:D267"/>
    <mergeCell ref="C215:D215"/>
    <mergeCell ref="B234:D234"/>
    <mergeCell ref="C235:D235"/>
    <mergeCell ref="C236:D236"/>
    <mergeCell ref="C237:D237"/>
    <mergeCell ref="C238:D238"/>
    <mergeCell ref="B252:D252"/>
    <mergeCell ref="C253:D253"/>
    <mergeCell ref="C262:D262"/>
    <mergeCell ref="C209:D209"/>
    <mergeCell ref="C228:D228"/>
    <mergeCell ref="C223:D223"/>
    <mergeCell ref="C224:D224"/>
    <mergeCell ref="B160:D160"/>
    <mergeCell ref="B159:D159"/>
    <mergeCell ref="A147:D147"/>
    <mergeCell ref="A170:D170"/>
    <mergeCell ref="B161:D161"/>
    <mergeCell ref="B162:D162"/>
    <mergeCell ref="B163:D163"/>
    <mergeCell ref="B164:D164"/>
    <mergeCell ref="B165:D165"/>
    <mergeCell ref="B166:D166"/>
    <mergeCell ref="B167:D167"/>
    <mergeCell ref="B168:D168"/>
    <mergeCell ref="B169:D169"/>
    <mergeCell ref="B154:D154"/>
    <mergeCell ref="C155:D155"/>
    <mergeCell ref="C156:D156"/>
    <mergeCell ref="C157:D157"/>
    <mergeCell ref="C158:D158"/>
    <mergeCell ref="B152:D152"/>
    <mergeCell ref="B153:D153"/>
    <mergeCell ref="B148:D148"/>
    <mergeCell ref="B149:D149"/>
    <mergeCell ref="A45:D45"/>
    <mergeCell ref="B150:D150"/>
    <mergeCell ref="B151:D151"/>
    <mergeCell ref="B46:D46"/>
    <mergeCell ref="B133:D133"/>
    <mergeCell ref="B134:D134"/>
    <mergeCell ref="B135:D135"/>
    <mergeCell ref="C137:D137"/>
    <mergeCell ref="B138:D138"/>
    <mergeCell ref="C139:D139"/>
    <mergeCell ref="C143:D143"/>
    <mergeCell ref="C144:D144"/>
    <mergeCell ref="C136:D136"/>
    <mergeCell ref="A4:D4"/>
    <mergeCell ref="A3:D3"/>
    <mergeCell ref="A2:D2"/>
    <mergeCell ref="A9:D9"/>
    <mergeCell ref="B10:D10"/>
    <mergeCell ref="B19:D19"/>
    <mergeCell ref="C26:D26"/>
    <mergeCell ref="C27:D27"/>
    <mergeCell ref="C28:D28"/>
    <mergeCell ref="B25:D25"/>
    <mergeCell ref="A295:C295"/>
    <mergeCell ref="A296:C296"/>
    <mergeCell ref="A297:C297"/>
    <mergeCell ref="B6:D6"/>
    <mergeCell ref="B7:D7"/>
    <mergeCell ref="B8:D8"/>
    <mergeCell ref="C29:D29"/>
    <mergeCell ref="C30:D30"/>
    <mergeCell ref="C31:D31"/>
    <mergeCell ref="C145:D145"/>
    <mergeCell ref="C42:D42"/>
    <mergeCell ref="C43:D43"/>
    <mergeCell ref="C44:D44"/>
    <mergeCell ref="C37:D37"/>
    <mergeCell ref="C38:D38"/>
    <mergeCell ref="C39:D39"/>
    <mergeCell ref="C40:D40"/>
    <mergeCell ref="C41:D41"/>
    <mergeCell ref="C32:D32"/>
    <mergeCell ref="C33:D33"/>
    <mergeCell ref="C34:D34"/>
    <mergeCell ref="C35:D35"/>
    <mergeCell ref="C36:D36"/>
    <mergeCell ref="C146:D146"/>
    <mergeCell ref="A302:D302"/>
    <mergeCell ref="A301:D301"/>
    <mergeCell ref="A300:D300"/>
    <mergeCell ref="A299:D299"/>
    <mergeCell ref="A5:D5"/>
    <mergeCell ref="A277:D277"/>
    <mergeCell ref="A278:C278"/>
    <mergeCell ref="A298:C298"/>
    <mergeCell ref="A279:C279"/>
    <mergeCell ref="A280:C280"/>
    <mergeCell ref="A281:C281"/>
    <mergeCell ref="A282:C282"/>
    <mergeCell ref="A283:C283"/>
    <mergeCell ref="A284:C284"/>
    <mergeCell ref="A285:C285"/>
    <mergeCell ref="A286:C286"/>
    <mergeCell ref="A287:C287"/>
    <mergeCell ref="A288:C288"/>
    <mergeCell ref="A289:C289"/>
    <mergeCell ref="A290:C290"/>
    <mergeCell ref="A291:C291"/>
    <mergeCell ref="A292:C292"/>
    <mergeCell ref="A293:C293"/>
    <mergeCell ref="A294:C294"/>
  </mergeCells>
  <dataValidations count="1">
    <dataValidation allowBlank="1" showErrorMessage="1" prompt="sign here by typing your name" sqref="A302:D302" xr:uid="{F8D67038-162E-40C5-AC94-9AD4142F73C4}"/>
  </dataValidations>
  <printOptions horizontalCentered="1"/>
  <pageMargins left="0.7" right="0.7" top="0.75" bottom="0.75" header="0.3" footer="0.3"/>
  <pageSetup scale="70" fitToHeight="0" orientation="portrait" r:id="rId1"/>
  <headerFooter>
    <oddHeader>&amp;C&amp;"Arial,Regular"Tanks and Loading Increases RAP Application</oddHeader>
    <oddFooter>&amp;LVersion 3.0&amp;CSheet: &amp;A&amp;RPage &amp;P</oddFooter>
  </headerFooter>
  <ignoredErrors>
    <ignoredError sqref="C140:C142 C195:C198 C190:C192 C229:C231 B232:C233 C254:C261 C273:C274 A134:A135 A8" numberStoredAsText="1"/>
  </ignoredErrors>
  <extLst>
    <ext xmlns:x14="http://schemas.microsoft.com/office/spreadsheetml/2009/9/main" uri="{78C0D931-6437-407d-A8EE-F0AAD7539E65}">
      <x14:conditionalFormattings>
        <x14:conditionalFormatting xmlns:xm="http://schemas.microsoft.com/office/excel/2006/main">
          <x14:cfRule type="expression" priority="15" stopIfTrue="1" id="{19B7F5DB-18D7-46DD-AA4E-6D77DFACC242}">
            <xm:f>'Hidden Inputs'!$BR$5</xm:f>
            <x14:dxf>
              <font>
                <color theme="0" tint="-0.499984740745262"/>
              </font>
              <numFmt numFmtId="171" formatCode=";;;"/>
              <fill>
                <patternFill>
                  <bgColor theme="0" tint="-0.499984740745262"/>
                </patternFill>
              </fill>
              <border>
                <left/>
                <right/>
                <top/>
                <bottom/>
              </border>
            </x14:dxf>
          </x14:cfRule>
          <xm:sqref>A5</xm:sqref>
        </x14:conditionalFormatting>
        <x14:conditionalFormatting xmlns:xm="http://schemas.microsoft.com/office/excel/2006/main">
          <x14:cfRule type="expression" priority="367" id="{3F45B109-579E-4AD3-A6B4-EBAF4F0DF0D8}">
            <xm:f>CAS!$C$19="non-regenerative"</xm:f>
            <x14:dxf>
              <font>
                <color theme="0" tint="-0.24994659260841701"/>
              </font>
              <numFmt numFmtId="171" formatCode=";;;"/>
              <fill>
                <patternFill>
                  <bgColor theme="0" tint="-0.499984740745262"/>
                </patternFill>
              </fill>
              <border>
                <left/>
                <right/>
                <top/>
                <bottom/>
                <vertical/>
                <horizontal/>
              </border>
            </x14:dxf>
          </x14:cfRule>
          <xm:sqref>A219:B219 A220:C220 A221:D224 A225:C227 A228:D233</xm:sqref>
        </x14:conditionalFormatting>
        <x14:conditionalFormatting xmlns:xm="http://schemas.microsoft.com/office/excel/2006/main">
          <x14:cfRule type="expression" priority="99" id="{0567ECDC-A3DA-4179-B5DB-DDE38B0EC2AD}">
            <xm:f>'PI-1-TankLoading'!$G$136="No"</xm:f>
            <x14:dxf>
              <font>
                <color theme="0" tint="-0.24994659260841701"/>
              </font>
              <numFmt numFmtId="171" formatCode=";;;"/>
              <fill>
                <patternFill>
                  <bgColor theme="0" tint="-0.499984740745262"/>
                </patternFill>
              </fill>
              <border>
                <left/>
                <right/>
                <top/>
                <bottom/>
              </border>
            </x14:dxf>
          </x14:cfRule>
          <xm:sqref>A12:C12</xm:sqref>
        </x14:conditionalFormatting>
        <x14:conditionalFormatting xmlns:xm="http://schemas.microsoft.com/office/excel/2006/main">
          <x14:cfRule type="expression" priority="98" id="{298283AB-83CC-44E8-BC46-2471F04E7D87}">
            <xm:f>'PI-1-TankLoading'!$G$137="No"</xm:f>
            <x14:dxf>
              <font>
                <color theme="0" tint="-0.24994659260841701"/>
              </font>
              <numFmt numFmtId="171" formatCode=";;;"/>
              <fill>
                <patternFill>
                  <bgColor theme="0" tint="-0.499984740745262"/>
                </patternFill>
              </fill>
              <border>
                <left/>
                <right/>
                <top/>
                <bottom/>
              </border>
            </x14:dxf>
          </x14:cfRule>
          <xm:sqref>A13:C13</xm:sqref>
        </x14:conditionalFormatting>
        <x14:conditionalFormatting xmlns:xm="http://schemas.microsoft.com/office/excel/2006/main">
          <x14:cfRule type="expression" priority="97" id="{91954D09-A8B4-47B7-B3D1-9384D95DD57C}">
            <xm:f>'PI-1-TankLoading'!$G$138="No"</xm:f>
            <x14:dxf>
              <font>
                <color theme="0" tint="-0.24994659260841701"/>
              </font>
              <numFmt numFmtId="171" formatCode=";;;"/>
              <fill>
                <patternFill>
                  <bgColor theme="0" tint="-0.499984740745262"/>
                </patternFill>
              </fill>
              <border>
                <left/>
                <right/>
                <top/>
                <bottom/>
              </border>
            </x14:dxf>
          </x14:cfRule>
          <xm:sqref>A14:C14</xm:sqref>
        </x14:conditionalFormatting>
        <x14:conditionalFormatting xmlns:xm="http://schemas.microsoft.com/office/excel/2006/main">
          <x14:cfRule type="expression" priority="78" id="{15FD5EB9-796B-4630-A275-378B66622188}">
            <xm:f>'PI-1-TankLoading'!$G$139="No"</xm:f>
            <x14:dxf>
              <font>
                <color theme="0" tint="-0.24994659260841701"/>
              </font>
              <numFmt numFmtId="171" formatCode=";;;"/>
              <fill>
                <patternFill>
                  <bgColor theme="0" tint="-0.499984740745262"/>
                </patternFill>
              </fill>
              <border>
                <left/>
                <right/>
                <top/>
                <bottom/>
              </border>
            </x14:dxf>
          </x14:cfRule>
          <xm:sqref>A15:C15</xm:sqref>
        </x14:conditionalFormatting>
        <x14:conditionalFormatting xmlns:xm="http://schemas.microsoft.com/office/excel/2006/main">
          <x14:cfRule type="expression" priority="79" id="{C0E3D325-398D-4B18-9DFC-BBFAB59F9CF7}">
            <xm:f>'PI-1-TankLoading'!$G$140="No"</xm:f>
            <x14:dxf>
              <font>
                <color theme="0" tint="-0.24994659260841701"/>
              </font>
              <numFmt numFmtId="171" formatCode=";;;"/>
              <fill>
                <patternFill>
                  <bgColor theme="0" tint="-0.499984740745262"/>
                </patternFill>
              </fill>
              <border>
                <left/>
                <right/>
                <top/>
                <bottom/>
              </border>
            </x14:dxf>
          </x14:cfRule>
          <xm:sqref>A16:C16</xm:sqref>
        </x14:conditionalFormatting>
        <x14:conditionalFormatting xmlns:xm="http://schemas.microsoft.com/office/excel/2006/main">
          <x14:cfRule type="expression" priority="334" id="{6D6F0DA3-E48C-495C-ACD4-FBD56D902DD4}">
            <xm:f>'PI-1-TankLoading'!$G$141="No"</xm:f>
            <x14:dxf>
              <font>
                <color theme="0" tint="-0.24994659260841701"/>
              </font>
              <numFmt numFmtId="171" formatCode=";;;"/>
              <fill>
                <patternFill>
                  <bgColor theme="0" tint="-0.499984740745262"/>
                </patternFill>
              </fill>
              <border>
                <left/>
                <right/>
                <top/>
                <bottom/>
              </border>
            </x14:dxf>
          </x14:cfRule>
          <xm:sqref>A17:C17</xm:sqref>
        </x14:conditionalFormatting>
        <x14:conditionalFormatting xmlns:xm="http://schemas.microsoft.com/office/excel/2006/main">
          <x14:cfRule type="expression" priority="335" id="{FF9B8629-D7E3-49F5-9FC8-4B6C88D633E5}">
            <xm:f>'PI-1-TankLoading'!$G$142="No"</xm:f>
            <x14:dxf>
              <font>
                <color theme="0" tint="-0.24994659260841701"/>
              </font>
              <numFmt numFmtId="171" formatCode=";;;"/>
              <fill>
                <patternFill>
                  <bgColor theme="0" tint="-0.499984740745262"/>
                </patternFill>
              </fill>
              <border>
                <left/>
                <right/>
                <top/>
                <bottom/>
              </border>
            </x14:dxf>
          </x14:cfRule>
          <xm:sqref>A18:C18</xm:sqref>
        </x14:conditionalFormatting>
        <x14:conditionalFormatting xmlns:xm="http://schemas.microsoft.com/office/excel/2006/main">
          <x14:cfRule type="expression" priority="342" id="{23AAAC68-E329-48AA-A37F-9319615AB798}">
            <xm:f>'PI-1-TankLoading'!$G$146="No"</xm:f>
            <x14:dxf>
              <font>
                <color theme="0" tint="-0.24994659260841701"/>
              </font>
              <numFmt numFmtId="171" formatCode=";;;"/>
              <fill>
                <patternFill>
                  <bgColor theme="0" tint="-0.499984740745262"/>
                </patternFill>
              </fill>
              <border>
                <left/>
                <right/>
                <top/>
                <bottom/>
                <vertical/>
                <horizontal/>
              </border>
            </x14:dxf>
          </x14:cfRule>
          <xm:sqref>A22:C22</xm:sqref>
        </x14:conditionalFormatting>
        <x14:conditionalFormatting xmlns:xm="http://schemas.microsoft.com/office/excel/2006/main">
          <x14:cfRule type="expression" priority="337" id="{8AFFDD19-AB94-47CA-A9C5-16F9D51F6915}">
            <xm:f>'PI-1-TankLoading'!$G$147="No"</xm:f>
            <x14:dxf>
              <font>
                <color theme="0" tint="-0.24994659260841701"/>
              </font>
              <numFmt numFmtId="171" formatCode=";;;"/>
              <fill>
                <patternFill>
                  <bgColor theme="0" tint="-0.499984740745262"/>
                </patternFill>
              </fill>
              <border>
                <left/>
                <right/>
                <top/>
                <bottom/>
                <vertical/>
                <horizontal/>
              </border>
            </x14:dxf>
          </x14:cfRule>
          <xm:sqref>A23:C23</xm:sqref>
        </x14:conditionalFormatting>
        <x14:conditionalFormatting xmlns:xm="http://schemas.microsoft.com/office/excel/2006/main">
          <x14:cfRule type="expression" priority="338" id="{6D8AF29D-7AB6-4FEB-901E-B570FF863DB0}">
            <xm:f>'PI-1-TankLoading'!$G$148="No"</xm:f>
            <x14:dxf>
              <font>
                <color theme="0" tint="-0.24994659260841701"/>
              </font>
              <numFmt numFmtId="171" formatCode=";;;"/>
              <fill>
                <patternFill>
                  <bgColor theme="0" tint="-0.499984740745262"/>
                </patternFill>
              </fill>
              <border>
                <left/>
                <right/>
                <top/>
                <bottom/>
                <vertical/>
                <horizontal/>
              </border>
            </x14:dxf>
          </x14:cfRule>
          <xm:sqref>A24:C24</xm:sqref>
        </x14:conditionalFormatting>
        <x14:conditionalFormatting xmlns:xm="http://schemas.microsoft.com/office/excel/2006/main">
          <x14:cfRule type="expression" priority="88" id="{56FAA76A-34B3-4522-B423-62B0EDDF6147}">
            <xm:f>'PI-1-TankLoading'!$G$150="No"</xm:f>
            <x14:dxf>
              <font>
                <color theme="0" tint="-0.24994659260841701"/>
              </font>
              <numFmt numFmtId="171" formatCode=";;;"/>
              <fill>
                <patternFill>
                  <bgColor theme="0" tint="-0.499984740745262"/>
                </patternFill>
              </fill>
              <border>
                <left/>
                <right/>
                <top/>
                <bottom/>
                <vertical/>
                <horizontal/>
              </border>
            </x14:dxf>
          </x14:cfRule>
          <xm:sqref>A26:C26</xm:sqref>
        </x14:conditionalFormatting>
        <x14:conditionalFormatting xmlns:xm="http://schemas.microsoft.com/office/excel/2006/main">
          <x14:cfRule type="expression" priority="87" id="{924A6686-A0B3-402A-814F-2131FFF3507A}">
            <xm:f>'PI-1-TankLoading'!$G$151="No"</xm:f>
            <x14:dxf>
              <font>
                <color theme="0" tint="-0.24994659260841701"/>
              </font>
              <numFmt numFmtId="171" formatCode=";;;"/>
              <fill>
                <patternFill>
                  <bgColor theme="0" tint="-0.499984740745262"/>
                </patternFill>
              </fill>
              <border>
                <left/>
                <right/>
                <top/>
                <bottom/>
                <vertical/>
                <horizontal/>
              </border>
            </x14:dxf>
          </x14:cfRule>
          <xm:sqref>A27:C27</xm:sqref>
        </x14:conditionalFormatting>
        <x14:conditionalFormatting xmlns:xm="http://schemas.microsoft.com/office/excel/2006/main">
          <x14:cfRule type="expression" priority="86" id="{14E0D6ED-95E6-4A6A-9E06-3DE9FBD0937A}">
            <xm:f>'PI-1-TankLoading'!$G$152="No"</xm:f>
            <x14:dxf>
              <font>
                <color theme="0" tint="-0.24994659260841701"/>
              </font>
              <numFmt numFmtId="171" formatCode=";;;"/>
              <fill>
                <patternFill>
                  <bgColor theme="0" tint="-0.499984740745262"/>
                </patternFill>
              </fill>
              <border>
                <left/>
                <right/>
                <top/>
                <bottom/>
                <vertical/>
                <horizontal/>
              </border>
            </x14:dxf>
          </x14:cfRule>
          <xm:sqref>A28:C28</xm:sqref>
        </x14:conditionalFormatting>
        <x14:conditionalFormatting xmlns:xm="http://schemas.microsoft.com/office/excel/2006/main">
          <x14:cfRule type="expression" priority="72" id="{FAA621A9-0904-453B-99A2-76396124C831}">
            <xm:f>'PI-1-TankLoading'!$G$153="No"</xm:f>
            <x14:dxf>
              <font>
                <color theme="0" tint="-0.24994659260841701"/>
              </font>
              <numFmt numFmtId="171" formatCode=";;;"/>
              <fill>
                <patternFill>
                  <bgColor theme="0" tint="-0.499984740745262"/>
                </patternFill>
              </fill>
              <border>
                <left/>
                <right/>
                <top/>
                <bottom/>
                <vertical/>
                <horizontal/>
              </border>
            </x14:dxf>
          </x14:cfRule>
          <xm:sqref>A29:C29</xm:sqref>
        </x14:conditionalFormatting>
        <x14:conditionalFormatting xmlns:xm="http://schemas.microsoft.com/office/excel/2006/main">
          <x14:cfRule type="expression" priority="85" id="{3ED15BE1-BF1C-4058-800A-22183349A3EF}">
            <xm:f>'PI-1-TankLoading'!$G$154="No"</xm:f>
            <x14:dxf>
              <font>
                <color theme="0" tint="-0.24994659260841701"/>
              </font>
              <numFmt numFmtId="171" formatCode=";;;"/>
              <fill>
                <patternFill>
                  <bgColor theme="0" tint="-0.499984740745262"/>
                </patternFill>
              </fill>
              <border>
                <left/>
                <right/>
                <top/>
                <bottom/>
                <vertical/>
                <horizontal/>
              </border>
            </x14:dxf>
          </x14:cfRule>
          <xm:sqref>A30:C30</xm:sqref>
        </x14:conditionalFormatting>
        <x14:conditionalFormatting xmlns:xm="http://schemas.microsoft.com/office/excel/2006/main">
          <x14:cfRule type="expression" priority="84" id="{2F8C02E7-D1E0-4A4B-B5E9-35B33DFCA2F4}">
            <xm:f>'PI-1-TankLoading'!$G$155="No"</xm:f>
            <x14:dxf>
              <font>
                <color theme="0" tint="-0.24994659260841701"/>
              </font>
              <numFmt numFmtId="171" formatCode=";;;"/>
              <fill>
                <patternFill>
                  <bgColor theme="0" tint="-0.499984740745262"/>
                </patternFill>
              </fill>
              <border>
                <left/>
                <right/>
                <top/>
                <bottom/>
                <vertical/>
                <horizontal/>
              </border>
            </x14:dxf>
          </x14:cfRule>
          <xm:sqref>A31:C31</xm:sqref>
        </x14:conditionalFormatting>
        <x14:conditionalFormatting xmlns:xm="http://schemas.microsoft.com/office/excel/2006/main">
          <x14:cfRule type="expression" priority="71" id="{C756B127-C3D5-4ABB-AA20-98C52C6B03AD}">
            <xm:f>'PI-1-TankLoading'!$G$156="No"</xm:f>
            <x14:dxf>
              <font>
                <color theme="0" tint="-0.24994659260841701"/>
              </font>
              <numFmt numFmtId="171" formatCode=";;;"/>
              <fill>
                <patternFill>
                  <bgColor theme="0" tint="-0.499984740745262"/>
                </patternFill>
              </fill>
              <border>
                <left/>
                <right/>
                <top/>
                <bottom/>
                <vertical/>
                <horizontal/>
              </border>
            </x14:dxf>
          </x14:cfRule>
          <xm:sqref>A32:C32</xm:sqref>
        </x14:conditionalFormatting>
        <x14:conditionalFormatting xmlns:xm="http://schemas.microsoft.com/office/excel/2006/main">
          <x14:cfRule type="expression" priority="70" id="{B0DDD318-F38D-4ADD-9991-9ABB55042780}">
            <xm:f>'PI-1-TankLoading'!$G$157="No"</xm:f>
            <x14:dxf>
              <font>
                <color theme="0" tint="-0.24994659260841701"/>
              </font>
              <numFmt numFmtId="171" formatCode=";;;"/>
              <fill>
                <patternFill>
                  <bgColor theme="0" tint="-0.499984740745262"/>
                </patternFill>
              </fill>
              <border>
                <left/>
                <right/>
                <top/>
                <bottom/>
                <vertical/>
                <horizontal/>
              </border>
            </x14:dxf>
          </x14:cfRule>
          <xm:sqref>A33:C33</xm:sqref>
        </x14:conditionalFormatting>
        <x14:conditionalFormatting xmlns:xm="http://schemas.microsoft.com/office/excel/2006/main">
          <x14:cfRule type="expression" priority="69" id="{A508E0B0-CC84-4DE8-86C4-5D6DD51DE2AE}">
            <xm:f>'PI-1-TankLoading'!$G$158="No"</xm:f>
            <x14:dxf>
              <font>
                <color theme="0" tint="-0.24994659260841701"/>
              </font>
              <numFmt numFmtId="171" formatCode=";;;"/>
              <fill>
                <patternFill>
                  <bgColor theme="0" tint="-0.499984740745262"/>
                </patternFill>
              </fill>
              <border>
                <left/>
                <right/>
                <top/>
                <bottom/>
                <vertical/>
                <horizontal/>
              </border>
            </x14:dxf>
          </x14:cfRule>
          <xm:sqref>A34:C34</xm:sqref>
        </x14:conditionalFormatting>
        <x14:conditionalFormatting xmlns:xm="http://schemas.microsoft.com/office/excel/2006/main">
          <x14:cfRule type="expression" priority="63" id="{00EDA382-29F3-4493-9F47-62235818C19B}">
            <xm:f>'PI-1-TankLoading'!$G$159="No"</xm:f>
            <x14:dxf>
              <font>
                <color theme="0" tint="-0.24994659260841701"/>
              </font>
              <numFmt numFmtId="171" formatCode=";;;"/>
              <fill>
                <patternFill>
                  <bgColor theme="0" tint="-0.499984740745262"/>
                </patternFill>
              </fill>
              <border>
                <left/>
                <right/>
                <top/>
                <bottom/>
                <vertical/>
                <horizontal/>
              </border>
            </x14:dxf>
          </x14:cfRule>
          <xm:sqref>A35:C35</xm:sqref>
        </x14:conditionalFormatting>
        <x14:conditionalFormatting xmlns:xm="http://schemas.microsoft.com/office/excel/2006/main">
          <x14:cfRule type="expression" priority="64" id="{5B8D459E-2B2A-4DB5-8E5D-BAB87C25335D}">
            <xm:f>'PI-1-TankLoading'!$G$160="No"</xm:f>
            <x14:dxf>
              <font>
                <color theme="0" tint="-0.24994659260841701"/>
              </font>
              <numFmt numFmtId="171" formatCode=";;;"/>
              <fill>
                <patternFill>
                  <bgColor theme="0" tint="-0.499984740745262"/>
                </patternFill>
              </fill>
              <border>
                <left/>
                <right/>
                <top/>
                <bottom/>
                <vertical/>
                <horizontal/>
              </border>
            </x14:dxf>
          </x14:cfRule>
          <xm:sqref>A36:C36</xm:sqref>
        </x14:conditionalFormatting>
        <x14:conditionalFormatting xmlns:xm="http://schemas.microsoft.com/office/excel/2006/main">
          <x14:cfRule type="expression" priority="65" id="{841A4E6C-2CFB-4533-8047-0792CDB54801}">
            <xm:f>'PI-1-TankLoading'!$G$161="No"</xm:f>
            <x14:dxf>
              <font>
                <color theme="0" tint="-0.24994659260841701"/>
              </font>
              <numFmt numFmtId="171" formatCode=";;;"/>
              <fill>
                <patternFill>
                  <bgColor theme="0" tint="-0.499984740745262"/>
                </patternFill>
              </fill>
              <border>
                <left/>
                <right/>
                <top/>
                <bottom/>
                <vertical/>
                <horizontal/>
              </border>
            </x14:dxf>
          </x14:cfRule>
          <xm:sqref>A37:C37</xm:sqref>
        </x14:conditionalFormatting>
        <x14:conditionalFormatting xmlns:xm="http://schemas.microsoft.com/office/excel/2006/main">
          <x14:cfRule type="expression" priority="66" id="{5B6DB2F4-6891-4338-A185-A966CB3AF3A2}">
            <xm:f>'PI-1-TankLoading'!$G$162="No"</xm:f>
            <x14:dxf>
              <font>
                <color theme="0" tint="-0.24994659260841701"/>
              </font>
              <numFmt numFmtId="171" formatCode=";;;"/>
              <fill>
                <patternFill>
                  <bgColor theme="0" tint="-0.499984740745262"/>
                </patternFill>
              </fill>
              <border>
                <left/>
                <right/>
                <top/>
                <bottom/>
                <vertical/>
                <horizontal/>
              </border>
            </x14:dxf>
          </x14:cfRule>
          <xm:sqref>A38:C38</xm:sqref>
        </x14:conditionalFormatting>
        <x14:conditionalFormatting xmlns:xm="http://schemas.microsoft.com/office/excel/2006/main">
          <x14:cfRule type="expression" priority="83" id="{E281C7C5-5B51-4F15-988C-86D6344D7091}">
            <xm:f>'PI-1-TankLoading'!$G$163="No"</xm:f>
            <x14:dxf>
              <font>
                <color theme="0" tint="-0.24994659260841701"/>
              </font>
              <numFmt numFmtId="171" formatCode=";;;"/>
              <fill>
                <patternFill>
                  <bgColor theme="0" tint="-0.499984740745262"/>
                </patternFill>
              </fill>
              <border>
                <left/>
                <right/>
                <top/>
                <bottom/>
                <vertical/>
                <horizontal/>
              </border>
            </x14:dxf>
          </x14:cfRule>
          <xm:sqref>A39:C39</xm:sqref>
        </x14:conditionalFormatting>
        <x14:conditionalFormatting xmlns:xm="http://schemas.microsoft.com/office/excel/2006/main">
          <x14:cfRule type="expression" priority="82" id="{DCF3BCFE-92CD-40E5-91BC-8C80FDE441F2}">
            <xm:f>'PI-1-TankLoading'!$G$164="No"</xm:f>
            <x14:dxf>
              <font>
                <color theme="0" tint="-0.24994659260841701"/>
              </font>
              <numFmt numFmtId="171" formatCode=";;;"/>
              <fill>
                <patternFill>
                  <bgColor theme="0" tint="-0.499984740745262"/>
                </patternFill>
              </fill>
              <border>
                <left/>
                <right/>
                <top/>
                <bottom/>
                <vertical/>
                <horizontal/>
              </border>
            </x14:dxf>
          </x14:cfRule>
          <xm:sqref>A40:C40</xm:sqref>
        </x14:conditionalFormatting>
        <x14:conditionalFormatting xmlns:xm="http://schemas.microsoft.com/office/excel/2006/main">
          <x14:cfRule type="expression" priority="81" id="{051BBD7B-55EA-4444-B0D2-8CC18B6C74CD}">
            <xm:f>'PI-1-TankLoading'!$G$166="No"</xm:f>
            <x14:dxf>
              <font>
                <color theme="0" tint="-0.24994659260841701"/>
              </font>
              <numFmt numFmtId="171" formatCode=";;;"/>
              <fill>
                <patternFill>
                  <bgColor theme="0" tint="-0.499984740745262"/>
                </patternFill>
              </fill>
              <border>
                <left/>
                <right/>
                <top/>
                <bottom/>
                <vertical/>
                <horizontal/>
              </border>
            </x14:dxf>
          </x14:cfRule>
          <xm:sqref>A42:C42</xm:sqref>
        </x14:conditionalFormatting>
        <x14:conditionalFormatting xmlns:xm="http://schemas.microsoft.com/office/excel/2006/main">
          <x14:cfRule type="expression" priority="344" id="{C71691F8-0734-45A0-90A7-4D34F9C30EB9}">
            <xm:f>'PI-1-TankLoading'!$G$167="No"</xm:f>
            <x14:dxf>
              <font>
                <color theme="0" tint="-0.24994659260841701"/>
              </font>
              <numFmt numFmtId="171" formatCode=";;;"/>
              <fill>
                <patternFill>
                  <bgColor theme="0" tint="-0.499984740745262"/>
                </patternFill>
              </fill>
              <border>
                <left/>
                <right/>
                <top/>
                <bottom/>
                <vertical/>
                <horizontal/>
              </border>
            </x14:dxf>
          </x14:cfRule>
          <xm:sqref>A43:C43</xm:sqref>
        </x14:conditionalFormatting>
        <x14:conditionalFormatting xmlns:xm="http://schemas.microsoft.com/office/excel/2006/main">
          <x14:cfRule type="expression" priority="68" id="{75D98E9F-3786-490F-ADE4-DEB189AF81B4}">
            <xm:f>'PI-1-TankLoading'!$G$168="No"</xm:f>
            <x14:dxf>
              <font>
                <color theme="0" tint="-0.24994659260841701"/>
              </font>
              <numFmt numFmtId="171" formatCode=";;;"/>
              <fill>
                <patternFill>
                  <bgColor theme="0" tint="-0.499984740745262"/>
                </patternFill>
              </fill>
              <border>
                <left/>
                <right/>
                <top/>
                <bottom/>
                <vertical/>
                <horizontal/>
              </border>
            </x14:dxf>
          </x14:cfRule>
          <xm:sqref>A44:C44</xm:sqref>
        </x14:conditionalFormatting>
        <x14:conditionalFormatting xmlns:xm="http://schemas.microsoft.com/office/excel/2006/main">
          <x14:cfRule type="expression" priority="14" id="{2000F7AF-9D9F-4044-8512-FF94810BDDE7}">
            <xm:f>'PI-1-TankLoading'!$G$193="No"</xm:f>
            <x14:dxf>
              <numFmt numFmtId="171" formatCode=";;;"/>
              <fill>
                <patternFill>
                  <bgColor theme="0" tint="-0.499984740745262"/>
                </patternFill>
              </fill>
            </x14:dxf>
          </x14:cfRule>
          <xm:sqref>A8:D8</xm:sqref>
        </x14:conditionalFormatting>
        <x14:conditionalFormatting xmlns:xm="http://schemas.microsoft.com/office/excel/2006/main">
          <x14:cfRule type="expression" priority="77" id="{DD932AC4-D3E5-4628-A6DD-684BA9239B77}">
            <xm:f>AND('PI-1-TankLoading'!$G$135="No",'PI-1-TankLoading'!$G$136="No",'PI-1-TankLoading'!$G$137="No",'PI-1-TankLoading'!$G$138="No",'PI-1-TankLoading'!$G$139="No",'PI-1-TankLoading'!$G$140="No",'PI-1-TankLoading'!$G$141="No",'PI-1-TankLoading'!$G$142="No")</xm:f>
            <x14:dxf>
              <font>
                <color theme="0" tint="-0.24994659260841701"/>
              </font>
              <numFmt numFmtId="171" formatCode=";;;"/>
              <fill>
                <patternFill>
                  <bgColor theme="0" tint="-0.499984740745262"/>
                </patternFill>
              </fill>
              <border>
                <left/>
                <right/>
                <top/>
                <bottom/>
                <vertical/>
                <horizontal/>
              </border>
            </x14:dxf>
          </x14:cfRule>
          <xm:sqref>A10:D10</xm:sqref>
        </x14:conditionalFormatting>
        <x14:conditionalFormatting xmlns:xm="http://schemas.microsoft.com/office/excel/2006/main">
          <x14:cfRule type="expression" priority="100" id="{4C236FA9-1542-4A1D-90A6-E51B852F780E}">
            <xm:f>'PI-1-TankLoading'!$G$135="No"</xm:f>
            <x14:dxf>
              <font>
                <color theme="0" tint="-0.24994659260841701"/>
              </font>
              <numFmt numFmtId="171" formatCode=";;;"/>
              <fill>
                <patternFill>
                  <bgColor theme="0" tint="-0.499984740745262"/>
                </patternFill>
              </fill>
              <border>
                <left/>
                <right/>
                <top/>
                <bottom/>
              </border>
            </x14:dxf>
          </x14:cfRule>
          <xm:sqref>A11:D11</xm:sqref>
        </x14:conditionalFormatting>
        <x14:conditionalFormatting xmlns:xm="http://schemas.microsoft.com/office/excel/2006/main">
          <x14:cfRule type="expression" priority="74" id="{118BEF07-CAB4-43F1-B963-652B5A9B89B5}">
            <xm:f>AND('PI-1-TankLoading'!$G$144="No",'PI-1-TankLoading'!$G$145="No",'PI-1-TankLoading'!$G$146="No",'PI-1-TankLoading'!$G$147="No",'PI-1-TankLoading'!$G$148="No")</xm:f>
            <x14:dxf>
              <font>
                <color theme="0" tint="-0.24994659260841701"/>
              </font>
              <numFmt numFmtId="171" formatCode=";;;"/>
              <fill>
                <patternFill>
                  <bgColor theme="0" tint="-0.499984740745262"/>
                </patternFill>
              </fill>
              <border>
                <left/>
                <right/>
                <top/>
                <bottom/>
                <vertical/>
                <horizontal/>
              </border>
            </x14:dxf>
          </x14:cfRule>
          <xm:sqref>A19:D19</xm:sqref>
        </x14:conditionalFormatting>
        <x14:conditionalFormatting xmlns:xm="http://schemas.microsoft.com/office/excel/2006/main">
          <x14:cfRule type="expression" priority="92" id="{AB49C687-2D24-49B0-A80A-91577BFDE3F1}">
            <xm:f>'PI-1-TankLoading'!$G$144="No"</xm:f>
            <x14:dxf>
              <font>
                <color theme="0" tint="-0.24994659260841701"/>
              </font>
              <numFmt numFmtId="171" formatCode=";;;"/>
              <fill>
                <patternFill>
                  <bgColor theme="0" tint="-0.499984740745262"/>
                </patternFill>
              </fill>
              <border>
                <left/>
                <right/>
                <top/>
                <bottom/>
                <vertical/>
                <horizontal/>
              </border>
            </x14:dxf>
          </x14:cfRule>
          <xm:sqref>A20:D20</xm:sqref>
        </x14:conditionalFormatting>
        <x14:conditionalFormatting xmlns:xm="http://schemas.microsoft.com/office/excel/2006/main">
          <x14:cfRule type="expression" priority="62" id="{0A5D106F-DA45-4527-A316-BB05CEAE586D}">
            <xm:f>'PI-1-TankLoading'!$G$145="No"</xm:f>
            <x14:dxf>
              <font>
                <color theme="0" tint="-0.24994659260841701"/>
              </font>
              <numFmt numFmtId="171" formatCode=";;;"/>
              <fill>
                <patternFill>
                  <bgColor theme="0" tint="-0.499984740745262"/>
                </patternFill>
              </fill>
              <border>
                <left/>
                <right/>
                <top/>
                <bottom/>
                <vertical/>
                <horizontal/>
              </border>
            </x14:dxf>
          </x14:cfRule>
          <xm:sqref>A21:D21</xm:sqref>
        </x14:conditionalFormatting>
        <x14:conditionalFormatting xmlns:xm="http://schemas.microsoft.com/office/excel/2006/main">
          <x14:cfRule type="expression" priority="73" id="{87947995-8D90-4F27-8647-B6194D4AE791}">
            <xm:f>AND('PI-1-TankLoading'!$G$150="No",'PI-1-TankLoading'!$G$151="No",'PI-1-TankLoading'!$G$152="No",'PI-1-TankLoading'!$G$153="No",'PI-1-TankLoading'!$G$154="No",'PI-1-TankLoading'!$G$155="No",'PI-1-TankLoading'!$G$156="No",'PI-1-TankLoading'!$G$157="No",'PI-1-TankLoading'!$G$158="No",'PI-1-TankLoading'!$G$159="No",'PI-1-TankLoading'!$G$160="No",'PI-1-TankLoading'!$G$161="No",'PI-1-TankLoading'!$G$162="No",'PI-1-TankLoading'!$G$163="No",'PI-1-TankLoading'!$G$164="No",'PI-1-TankLoading'!$G$165="No",'PI-1-TankLoading'!$G$166="No",'PI-1-TankLoading'!$G$167="No",'PI-1-TankLoading'!$G$168="No")</xm:f>
            <x14:dxf>
              <font>
                <color theme="0" tint="-0.24994659260841701"/>
              </font>
              <numFmt numFmtId="171" formatCode=";;;"/>
              <fill>
                <patternFill>
                  <fgColor theme="0" tint="-0.24994659260841701"/>
                  <bgColor theme="0" tint="-0.499984740745262"/>
                </patternFill>
              </fill>
              <border>
                <left/>
                <right/>
                <top/>
                <bottom/>
                <vertical/>
                <horizontal/>
              </border>
            </x14:dxf>
          </x14:cfRule>
          <xm:sqref>A25:D25</xm:sqref>
        </x14:conditionalFormatting>
        <x14:conditionalFormatting xmlns:xm="http://schemas.microsoft.com/office/excel/2006/main">
          <x14:cfRule type="expression" priority="67" id="{B4C98091-0B03-4E87-9757-546728B89B7D}">
            <xm:f>'PI-1-TankLoading'!$G$165="No"</xm:f>
            <x14:dxf>
              <font>
                <color theme="0" tint="-0.24994659260841701"/>
              </font>
              <numFmt numFmtId="171" formatCode=";;;"/>
              <fill>
                <patternFill>
                  <bgColor theme="0" tint="-0.499984740745262"/>
                </patternFill>
              </fill>
              <border>
                <left/>
                <right/>
                <top/>
                <bottom/>
                <vertical/>
                <horizontal/>
              </border>
            </x14:dxf>
          </x14:cfRule>
          <xm:sqref>A41:D41</xm:sqref>
        </x14:conditionalFormatting>
        <x14:conditionalFormatting xmlns:xm="http://schemas.microsoft.com/office/excel/2006/main">
          <x14:cfRule type="expression" priority="577" id="{4C610C65-463C-44AD-BBB5-3E864429715F}">
            <xm:f>'PI-1-TankLoading'!$G$102=0</xm:f>
            <x14:dxf>
              <font>
                <color theme="0" tint="-0.24994659260841701"/>
              </font>
              <numFmt numFmtId="171" formatCode=";;;"/>
              <fill>
                <patternFill>
                  <bgColor theme="0" tint="-0.499984740745262"/>
                </patternFill>
              </fill>
              <border>
                <left/>
                <right/>
                <top/>
                <bottom/>
                <vertical/>
                <horizontal/>
              </border>
            </x14:dxf>
          </x14:cfRule>
          <xm:sqref>A45:D146</xm:sqref>
        </x14:conditionalFormatting>
        <x14:conditionalFormatting xmlns:xm="http://schemas.microsoft.com/office/excel/2006/main">
          <x14:cfRule type="expression" priority="9" id="{661098C6-54EE-4BA1-A0D0-663A9D6C5AD9}">
            <xm:f>Tank1!$C$7=""</xm:f>
            <x14:dxf>
              <numFmt numFmtId="171" formatCode=";;;"/>
              <fill>
                <patternFill>
                  <bgColor theme="0" tint="-0.499984740745262"/>
                </patternFill>
              </fill>
            </x14:dxf>
          </x14:cfRule>
          <xm:sqref>A48:D64</xm:sqref>
        </x14:conditionalFormatting>
        <x14:conditionalFormatting xmlns:xm="http://schemas.microsoft.com/office/excel/2006/main">
          <x14:cfRule type="expression" priority="8" id="{947A7B92-5499-4EFC-9CD7-244F0F79220D}">
            <xm:f>Tank2!$C$7=""</xm:f>
            <x14:dxf>
              <numFmt numFmtId="171" formatCode=";;;"/>
              <fill>
                <patternFill>
                  <bgColor theme="0" tint="-0.499984740745262"/>
                </patternFill>
              </fill>
            </x14:dxf>
          </x14:cfRule>
          <xm:sqref>A65:D81</xm:sqref>
        </x14:conditionalFormatting>
        <x14:conditionalFormatting xmlns:xm="http://schemas.microsoft.com/office/excel/2006/main">
          <x14:cfRule type="expression" priority="7" id="{97EDA38C-2822-43B2-8B13-8E7255070AED}">
            <xm:f>Tank3!$C$7=""</xm:f>
            <x14:dxf>
              <numFmt numFmtId="171" formatCode=";;;"/>
              <fill>
                <patternFill>
                  <bgColor theme="0" tint="-0.499984740745262"/>
                </patternFill>
              </fill>
            </x14:dxf>
          </x14:cfRule>
          <xm:sqref>A82:D98</xm:sqref>
        </x14:conditionalFormatting>
        <x14:conditionalFormatting xmlns:xm="http://schemas.microsoft.com/office/excel/2006/main">
          <x14:cfRule type="expression" priority="6" id="{CC16BA64-DCD3-4402-9F7C-A2E6FFEA67C8}">
            <xm:f>Tank4!$C$7=""</xm:f>
            <x14:dxf>
              <numFmt numFmtId="171" formatCode=";;;"/>
              <fill>
                <patternFill>
                  <bgColor theme="0" tint="-0.499984740745262"/>
                </patternFill>
              </fill>
            </x14:dxf>
          </x14:cfRule>
          <xm:sqref>A99:D115</xm:sqref>
        </x14:conditionalFormatting>
        <x14:conditionalFormatting xmlns:xm="http://schemas.microsoft.com/office/excel/2006/main">
          <x14:cfRule type="expression" priority="5" id="{56ADE6DC-194E-4A6B-B7F6-22BCE665BBAB}">
            <xm:f>Tank5!$C$7=""</xm:f>
            <x14:dxf>
              <numFmt numFmtId="171" formatCode=";;;"/>
              <fill>
                <patternFill>
                  <bgColor theme="0" tint="-0.499984740745262"/>
                </patternFill>
              </fill>
            </x14:dxf>
          </x14:cfRule>
          <xm:sqref>A116:D132</xm:sqref>
        </x14:conditionalFormatting>
        <x14:conditionalFormatting xmlns:xm="http://schemas.microsoft.com/office/excel/2006/main">
          <x14:cfRule type="expression" priority="21" id="{38E6A5AA-9888-4185-96C2-EC9A9DFE2651}">
            <xm:f>AND(Tank1!$C$22&lt;&gt;"Yes",Tank2!$C$22&lt;&gt;"Yes",Tank3!$C$22&lt;&gt;"Yes",Tank4!$C$22&lt;&gt;"Yes",Tank5!$C$22&lt;&gt;"Yes")</xm:f>
            <x14:dxf>
              <font>
                <color theme="0" tint="-0.24994659260841701"/>
              </font>
              <numFmt numFmtId="171" formatCode=";;;"/>
              <fill>
                <patternFill>
                  <bgColor theme="0" tint="-0.499984740745262"/>
                </patternFill>
              </fill>
              <border>
                <left/>
                <right/>
                <top/>
                <bottom/>
                <vertical/>
                <horizontal/>
              </border>
            </x14:dxf>
          </x14:cfRule>
          <xm:sqref>A134:D134</xm:sqref>
        </x14:conditionalFormatting>
        <x14:conditionalFormatting xmlns:xm="http://schemas.microsoft.com/office/excel/2006/main">
          <x14:cfRule type="expression" priority="20" id="{947C0094-F2D9-4D91-AC2D-6AD9BCE4AC94}">
            <xm:f>AND(Tank1!$C$20&lt;&gt;"Yes",Tank2!$C$20&lt;&gt;"Yes",Tank3!$C$20&lt;&gt;"Yes",Tank4!$C$20&lt;&gt;"Yes",Tank5!$C$20&lt;&gt;"Yes")</xm:f>
            <x14:dxf>
              <font>
                <color theme="0" tint="-0.24994659260841701"/>
              </font>
              <numFmt numFmtId="171" formatCode=";;;"/>
              <fill>
                <patternFill>
                  <bgColor theme="0" tint="-0.499984740745262"/>
                </patternFill>
              </fill>
              <border>
                <left/>
                <right/>
                <top/>
                <bottom/>
                <vertical/>
                <horizontal/>
              </border>
            </x14:dxf>
          </x14:cfRule>
          <xm:sqref>A135:D137</xm:sqref>
        </x14:conditionalFormatting>
        <x14:conditionalFormatting xmlns:xm="http://schemas.microsoft.com/office/excel/2006/main">
          <x14:cfRule type="expression" priority="52" id="{420F941C-B781-42E1-80D3-C66467F91571}">
            <xm:f>AND(OR(Tank1!$C$17="TVP &lt; 0.50",Tank1!$C$17=""),OR(Tank2!$C$17="TVP &lt; 0.50",Tank2!$C$17=""),OR(Tank3!$C$17="TVP &lt; 0.50",Tank3!$C$17=""),OR(Tank4!$C$17="TVP &lt; 0.50",Tank4!$C$17=""),OR(Tank5!$C$17="TVP &lt; 0.50",Tank5!$C$17=""))</xm:f>
            <x14:dxf>
              <font>
                <color theme="0" tint="-0.24994659260841701"/>
              </font>
              <numFmt numFmtId="171" formatCode=";;;"/>
              <fill>
                <patternFill>
                  <bgColor theme="0" tint="-0.499984740745262"/>
                </patternFill>
              </fill>
              <border>
                <left/>
                <right/>
                <top/>
                <bottom/>
              </border>
            </x14:dxf>
          </x14:cfRule>
          <x14:cfRule type="expression" priority="26" id="{58F10894-245F-40B2-9FCF-C872FD0B74B7}">
            <xm:f>AND(OR(Tank1!$C$18="&lt; 25 Mgal",Tank1!$C$18=""),OR(Tank2!$C$18="&lt; 25 Mgal",Tank2!$C$18=""),OR(Tank3!$C$18="&lt; 25 Mgal",Tank3!$C$18=""),OR(Tank4!$C$18="&lt; 25 Mgal",Tank4!$C$18=""),OR(Tank5!$C$18="&lt; 25 Mgal",Tank5!$C$18=""))</xm:f>
            <x14:dxf>
              <font>
                <color theme="0" tint="-0.24994659260841701"/>
              </font>
              <numFmt numFmtId="171" formatCode=";;;"/>
              <fill>
                <patternFill>
                  <bgColor theme="0" tint="-0.499984740745262"/>
                </patternFill>
              </fill>
              <border>
                <left/>
                <right/>
                <top/>
                <bottom/>
                <vertical/>
                <horizontal/>
              </border>
            </x14:dxf>
          </x14:cfRule>
          <xm:sqref>A138:D146</xm:sqref>
        </x14:conditionalFormatting>
        <x14:conditionalFormatting xmlns:xm="http://schemas.microsoft.com/office/excel/2006/main">
          <x14:cfRule type="expression" priority="60" id="{96EABB41-7E86-4CA8-8C27-1898D385FAA9}">
            <xm:f>AND(OR(Tank1!$C$16="Fixed roof",Tank1!$C$16=""),OR(Tank2!$C$16="Fixed roof",Tank2!$C$16=""),OR(Tank3!$C$16="Fixed roof",Tank3!$C$16=""),OR(Tank4!$C$16="Fixed roof",Tank4!$C$16=""),OR(Tank5!$C$16="Fixed roof",Tank4!$C$16=""))</xm:f>
            <x14:dxf>
              <font>
                <color theme="0" tint="-0.24994659260841701"/>
              </font>
              <numFmt numFmtId="171" formatCode=";;;"/>
              <fill>
                <patternFill>
                  <bgColor theme="0" tint="-0.499984740745262"/>
                </patternFill>
              </fill>
              <border>
                <left/>
                <right/>
                <top/>
                <bottom/>
                <vertical/>
                <horizontal/>
              </border>
            </x14:dxf>
          </x14:cfRule>
          <xm:sqref>A143:D144</xm:sqref>
        </x14:conditionalFormatting>
        <x14:conditionalFormatting xmlns:xm="http://schemas.microsoft.com/office/excel/2006/main">
          <x14:cfRule type="expression" priority="578" id="{16B4C45B-62CA-4AFC-B524-22EC4EA55E82}">
            <xm:f>AND('PI-1-TankLoading'!$G$103="No",'PI-1-TankLoading'!$G$104="No",'PI-1-TankLoading'!$G$105="No")</xm:f>
            <x14:dxf>
              <font>
                <color theme="0" tint="-0.24994659260841701"/>
              </font>
              <numFmt numFmtId="171" formatCode=";;;"/>
              <fill>
                <patternFill>
                  <bgColor theme="0" tint="-0.499984740745262"/>
                </patternFill>
              </fill>
              <border>
                <left/>
                <right/>
                <top/>
                <bottom/>
                <vertical/>
                <horizontal/>
              </border>
            </x14:dxf>
          </x14:cfRule>
          <xm:sqref>A147:D169</xm:sqref>
        </x14:conditionalFormatting>
        <x14:conditionalFormatting xmlns:xm="http://schemas.microsoft.com/office/excel/2006/main">
          <x14:cfRule type="expression" priority="352" id="{3DA58DF5-09D0-433C-B00C-C5858EA1FB41}">
            <xm:f>'Loading-truck'!$C$22&lt;98.7</xm:f>
            <x14:dxf>
              <font>
                <color theme="0" tint="-0.24994659260841701"/>
              </font>
              <numFmt numFmtId="171" formatCode=";;;"/>
              <fill>
                <patternFill>
                  <bgColor theme="0" tint="-0.499984740745262"/>
                </patternFill>
              </fill>
              <border>
                <left/>
                <right/>
                <top/>
                <bottom/>
                <vertical/>
                <horizontal/>
              </border>
            </x14:dxf>
          </x14:cfRule>
          <xm:sqref>A151:D151</xm:sqref>
        </x14:conditionalFormatting>
        <x14:conditionalFormatting xmlns:xm="http://schemas.microsoft.com/office/excel/2006/main">
          <x14:cfRule type="expression" priority="353" id="{D5A2A45B-7F4B-4541-B36E-F770618AD798}">
            <xm:f>'Loading-truck'!$C$22&lt;99.2</xm:f>
            <x14:dxf>
              <font>
                <color theme="0" tint="-0.24994659260841701"/>
              </font>
              <numFmt numFmtId="171" formatCode=";;;"/>
              <fill>
                <patternFill>
                  <bgColor theme="0" tint="-0.499984740745262"/>
                </patternFill>
              </fill>
              <border>
                <left/>
                <right/>
                <top/>
                <bottom/>
                <vertical/>
                <horizontal/>
              </border>
            </x14:dxf>
          </x14:cfRule>
          <xm:sqref>A152:D152</xm:sqref>
        </x14:conditionalFormatting>
        <x14:conditionalFormatting xmlns:xm="http://schemas.microsoft.com/office/excel/2006/main">
          <x14:cfRule type="expression" priority="354" id="{18665F9E-0789-4968-B5AD-BF98178944CA}">
            <xm:f>'Loading-truck'!$C$22&lt;&gt;100</xm:f>
            <x14:dxf>
              <font>
                <color theme="0" tint="-0.24994659260841701"/>
              </font>
              <numFmt numFmtId="171" formatCode=";;;"/>
              <fill>
                <patternFill>
                  <bgColor theme="0" tint="-0.499984740745262"/>
                </patternFill>
              </fill>
              <border>
                <left/>
                <right/>
                <top/>
                <bottom/>
                <vertical/>
                <horizontal/>
              </border>
            </x14:dxf>
          </x14:cfRule>
          <xm:sqref>A153:D153</xm:sqref>
        </x14:conditionalFormatting>
        <x14:conditionalFormatting xmlns:xm="http://schemas.microsoft.com/office/excel/2006/main">
          <x14:cfRule type="expression" priority="348" id="{28C4592C-7807-4BC0-9135-C5B9CED3B831}">
            <xm:f>'Loading-rail'!$C$22&lt;&gt;100</xm:f>
            <x14:dxf>
              <font>
                <color theme="0" tint="-0.24994659260841701"/>
              </font>
              <numFmt numFmtId="171" formatCode=";;;"/>
              <fill>
                <patternFill>
                  <bgColor theme="0" tint="-0.499984740745262"/>
                </patternFill>
              </fill>
              <border>
                <left/>
                <right/>
                <top/>
                <bottom/>
                <vertical/>
                <horizontal/>
              </border>
            </x14:dxf>
          </x14:cfRule>
          <xm:sqref>A154:D158</xm:sqref>
        </x14:conditionalFormatting>
        <x14:conditionalFormatting xmlns:xm="http://schemas.microsoft.com/office/excel/2006/main">
          <x14:cfRule type="expression" priority="716" id="{CF1A0A18-6EB5-4BE5-8F5A-9C574E2AAE35}">
            <xm:f>'Loading-drum,tote'!$C$20&lt;0.5</xm:f>
            <x14:dxf>
              <font>
                <color theme="0" tint="-0.24994659260841701"/>
              </font>
              <numFmt numFmtId="171" formatCode=";;;"/>
              <fill>
                <patternFill>
                  <bgColor theme="0" tint="-0.499984740745262"/>
                </patternFill>
              </fill>
              <border>
                <left/>
                <right/>
                <top/>
                <bottom/>
                <vertical/>
                <horizontal/>
              </border>
            </x14:dxf>
          </x14:cfRule>
          <xm:sqref>A159:D159</xm:sqref>
        </x14:conditionalFormatting>
        <x14:conditionalFormatting xmlns:xm="http://schemas.microsoft.com/office/excel/2006/main">
          <x14:cfRule type="expression" priority="24" id="{1BCC92D0-3520-44A2-966A-E5F6F5445D91}">
            <xm:f>OR('PI-1-TankLoading'!$D$86&lt;&gt;"gasoline terminal",'Hidden Inputs'!$BR$2&lt;&gt;1)</xm:f>
            <x14:dxf>
              <font>
                <color theme="0" tint="-0.24994659260841701"/>
              </font>
              <numFmt numFmtId="171" formatCode=";;;"/>
              <fill>
                <patternFill>
                  <bgColor theme="0" tint="-0.499984740745262"/>
                </patternFill>
              </fill>
              <border>
                <left/>
                <right/>
                <top/>
                <bottom/>
                <vertical/>
                <horizontal/>
              </border>
            </x14:dxf>
          </x14:cfRule>
          <xm:sqref>A160:D169</xm:sqref>
        </x14:conditionalFormatting>
        <x14:conditionalFormatting xmlns:xm="http://schemas.microsoft.com/office/excel/2006/main">
          <x14:cfRule type="expression" priority="579" id="{19CE1D24-C0AF-4B6F-A6FF-5B0D72AB17EC}">
            <xm:f>'PI-1-TankLoading'!$G$106="No"</xm:f>
            <x14:dxf>
              <font>
                <color theme="0" tint="-0.24994659260841701"/>
              </font>
              <numFmt numFmtId="171" formatCode=";;;"/>
              <fill>
                <patternFill>
                  <bgColor theme="0" tint="-0.499984740745262"/>
                </patternFill>
              </fill>
              <border>
                <left/>
                <right/>
                <top/>
                <bottom/>
                <vertical/>
                <horizontal/>
              </border>
            </x14:dxf>
          </x14:cfRule>
          <xm:sqref>A170:D179</xm:sqref>
        </x14:conditionalFormatting>
        <x14:conditionalFormatting xmlns:xm="http://schemas.microsoft.com/office/excel/2006/main">
          <x14:cfRule type="expression" priority="42" id="{30FA6867-CFE6-4AB0-A33F-9B620928EF05}">
            <xm:f>Flare!$C$27="no"</xm:f>
            <x14:dxf>
              <font>
                <color theme="0" tint="-0.24994659260841701"/>
              </font>
              <numFmt numFmtId="171" formatCode=";;;"/>
              <fill>
                <patternFill>
                  <bgColor theme="0" tint="-0.499984740745262"/>
                </patternFill>
              </fill>
              <border>
                <left/>
                <right/>
                <top/>
                <bottom/>
                <vertical/>
                <horizontal/>
              </border>
            </x14:dxf>
          </x14:cfRule>
          <xm:sqref>A175:D175</xm:sqref>
        </x14:conditionalFormatting>
        <x14:conditionalFormatting xmlns:xm="http://schemas.microsoft.com/office/excel/2006/main">
          <x14:cfRule type="expression" priority="739" id="{841F2958-7699-4489-8E19-439A6ED1D5F7}">
            <xm:f>Flare!$C$24&lt;&gt;"gas analyzer"</xm:f>
            <x14:dxf>
              <font>
                <color theme="0" tint="-0.24994659260841701"/>
              </font>
              <numFmt numFmtId="171" formatCode=";;;"/>
              <fill>
                <patternFill>
                  <bgColor theme="0" tint="-0.499984740745262"/>
                </patternFill>
              </fill>
              <border>
                <left/>
                <right/>
                <top/>
                <bottom/>
                <vertical/>
                <horizontal/>
              </border>
            </x14:dxf>
          </x14:cfRule>
          <xm:sqref>A176:D176</xm:sqref>
        </x14:conditionalFormatting>
        <x14:conditionalFormatting xmlns:xm="http://schemas.microsoft.com/office/excel/2006/main">
          <x14:cfRule type="expression" priority="740" id="{413167D8-9D2E-463B-AC11-9FF40CBE57C1}">
            <xm:f>Flare!$C$24&lt;&gt;"Btu calorimeter"</xm:f>
            <x14:dxf>
              <font>
                <color theme="0" tint="-0.24994659260841701"/>
              </font>
              <numFmt numFmtId="171" formatCode=";;;"/>
              <fill>
                <patternFill>
                  <bgColor theme="0" tint="-0.499984740745262"/>
                </patternFill>
              </fill>
              <border>
                <left/>
                <right/>
                <top/>
                <bottom/>
                <vertical/>
                <horizontal/>
              </border>
            </x14:dxf>
          </x14:cfRule>
          <xm:sqref>A177:D177</xm:sqref>
        </x14:conditionalFormatting>
        <x14:conditionalFormatting xmlns:xm="http://schemas.microsoft.com/office/excel/2006/main">
          <x14:cfRule type="expression" priority="741" id="{7B80220B-684D-456D-B798-3EE0F70009FA}">
            <xm:f>Flare!$C$25="no"</xm:f>
            <x14:dxf>
              <font>
                <color theme="0" tint="-0.24994659260841701"/>
              </font>
              <numFmt numFmtId="171" formatCode=";;;"/>
              <fill>
                <patternFill>
                  <bgColor theme="0" tint="-0.499984740745262"/>
                </patternFill>
              </fill>
              <border>
                <left/>
                <right/>
                <top/>
                <bottom/>
                <vertical/>
                <horizontal/>
              </border>
            </x14:dxf>
          </x14:cfRule>
          <xm:sqref>A178:D178</xm:sqref>
        </x14:conditionalFormatting>
        <x14:conditionalFormatting xmlns:xm="http://schemas.microsoft.com/office/excel/2006/main">
          <x14:cfRule type="expression" priority="580" id="{49B934EC-B8B2-4C5E-B1FF-BEF1253FCB33}">
            <xm:f>'PI-1-TankLoading'!$G$107="No"</xm:f>
            <x14:dxf>
              <font>
                <color theme="0" tint="-0.24994659260841701"/>
              </font>
              <numFmt numFmtId="171" formatCode=";;;"/>
              <fill>
                <patternFill>
                  <bgColor theme="0" tint="-0.499984740745262"/>
                </patternFill>
              </fill>
              <border>
                <left/>
                <right/>
                <top/>
                <bottom/>
                <vertical/>
                <horizontal/>
              </border>
            </x14:dxf>
          </x14:cfRule>
          <xm:sqref>A180:D185 A251:D266</xm:sqref>
        </x14:conditionalFormatting>
        <x14:conditionalFormatting xmlns:xm="http://schemas.microsoft.com/office/excel/2006/main">
          <x14:cfRule type="expression" priority="581" id="{A4AA070D-9439-4073-8D09-C4ABC03C4200}">
            <xm:f>'PI-1-TankLoading'!$G$108="No"</xm:f>
            <x14:dxf>
              <font>
                <color theme="0" tint="-0.24994659260841701"/>
              </font>
              <numFmt numFmtId="171" formatCode=";;;"/>
              <fill>
                <patternFill>
                  <bgColor theme="0" tint="-0.499984740745262"/>
                </patternFill>
              </fill>
              <border>
                <left/>
                <right/>
                <top/>
                <bottom/>
                <vertical/>
                <horizontal/>
              </border>
            </x14:dxf>
          </x14:cfRule>
          <xm:sqref>A186:D199 A200:B200 A201:C204 A205:B207 D205:D207 A208:C209 A210:D214 A215:C218 A219:B219 A220:C220 A221:D224 A225:C227 A228:D238 A239:C239 A240:D242 A243:C244 A245:D249 A250:C250</xm:sqref>
        </x14:conditionalFormatting>
        <x14:conditionalFormatting xmlns:xm="http://schemas.microsoft.com/office/excel/2006/main">
          <x14:cfRule type="expression" priority="1" id="{30C08432-4437-4A82-973E-1943E37BF5DB}">
            <xm:f>CAS!$C$19="regenerative"</xm:f>
            <x14:dxf>
              <numFmt numFmtId="171" formatCode=";;;"/>
              <fill>
                <patternFill>
                  <bgColor theme="0" tint="-0.499984740745262"/>
                </patternFill>
              </fill>
            </x14:dxf>
          </x14:cfRule>
          <xm:sqref>A187:D199</xm:sqref>
        </x14:conditionalFormatting>
        <x14:conditionalFormatting xmlns:xm="http://schemas.microsoft.com/office/excel/2006/main">
          <x14:cfRule type="expression" priority="3" id="{1C261FF0-428F-47D8-B84B-FC0A1C7930BF}">
            <xm:f>OR('PI-1-TankLoading'!$D$86:$G$86="Gasoline Terminal",CAS!$C$19="non-regenerative")</xm:f>
            <x14:dxf>
              <numFmt numFmtId="171" formatCode=";;;"/>
              <fill>
                <patternFill>
                  <bgColor theme="0" tint="-0.499984740745262"/>
                </patternFill>
              </fill>
            </x14:dxf>
          </x14:cfRule>
          <xm:sqref>A200:D218</xm:sqref>
        </x14:conditionalFormatting>
        <x14:conditionalFormatting xmlns:xm="http://schemas.microsoft.com/office/excel/2006/main">
          <x14:cfRule type="expression" priority="2" id="{F840FD31-36F6-4C89-B726-8C0B8930BAE4}">
            <xm:f>OR(CAS!$C$19="non-regenerative",'PI-1-TankLoading'!$D$86&lt;&gt;"gasoline terminal")</xm:f>
            <x14:dxf>
              <numFmt numFmtId="171" formatCode=";;;"/>
              <fill>
                <patternFill>
                  <bgColor theme="0" tint="-0.499984740745262"/>
                </patternFill>
              </fill>
            </x14:dxf>
          </x14:cfRule>
          <xm:sqref>A219:D233</xm:sqref>
        </x14:conditionalFormatting>
        <x14:conditionalFormatting xmlns:xm="http://schemas.microsoft.com/office/excel/2006/main">
          <x14:cfRule type="expression" priority="4" id="{249FB17F-6474-420E-A289-7349A83CFD92}">
            <xm:f>OR(CAS!$C$19="regenerative",CAS!$D$31&lt;100)</xm:f>
            <x14:dxf>
              <numFmt numFmtId="171" formatCode=";;;"/>
              <fill>
                <patternFill>
                  <bgColor theme="0" tint="-0.499984740745262"/>
                </patternFill>
              </fill>
            </x14:dxf>
          </x14:cfRule>
          <xm:sqref>A234:D238 A239:C239 A240:D242 A243:C244 A245:D249 A250:C250</xm:sqref>
        </x14:conditionalFormatting>
        <x14:conditionalFormatting xmlns:xm="http://schemas.microsoft.com/office/excel/2006/main">
          <x14:cfRule type="expression" priority="27" id="{4E3CEE12-B5E9-4CE9-9E17-F28D78A7D146}">
            <xm:f>AND(Flare!$C$40&lt;&gt;"Yes",VCU!$C$45&lt;&gt;"Yes",CAS!$C$25&lt;&gt;"Yes")</xm:f>
            <x14:dxf>
              <font>
                <color theme="0" tint="-0.24994659260841701"/>
              </font>
              <numFmt numFmtId="171" formatCode=";;;"/>
              <fill>
                <patternFill>
                  <bgColor theme="0" tint="-0.499984740745262"/>
                </patternFill>
              </fill>
              <border>
                <left/>
                <right/>
                <top/>
                <bottom/>
                <vertical/>
                <horizontal/>
              </border>
            </x14:dxf>
          </x14:cfRule>
          <xm:sqref>A267:D276</xm:sqref>
        </x14:conditionalFormatting>
        <x14:conditionalFormatting xmlns:xm="http://schemas.microsoft.com/office/excel/2006/main">
          <x14:cfRule type="expression" priority="10" id="{7E499152-C2C5-4772-AABD-2E63A9C1DB27}">
            <xm:f>AND(Flare!$C$42="yes",VCU!$C$47="yes",CAS!$C$27="yes")</xm:f>
            <x14:dxf>
              <numFmt numFmtId="171" formatCode=";;;"/>
              <fill>
                <patternFill>
                  <bgColor theme="0" tint="-0.499984740745262"/>
                </patternFill>
              </fill>
            </x14:dxf>
          </x14:cfRule>
          <xm:sqref>A271:D271</xm:sqref>
        </x14:conditionalFormatting>
        <x14:conditionalFormatting xmlns:xm="http://schemas.microsoft.com/office/excel/2006/main">
          <x14:cfRule type="expression" priority="11" id="{5F038C1B-A9BA-4E7C-AFA3-E763C8A1399D}">
            <xm:f>AND(Flare!$C$42="No",VCU!$C$47="No",CAS!$C$27="no")</xm:f>
            <x14:dxf>
              <numFmt numFmtId="171" formatCode=";;;"/>
              <fill>
                <patternFill>
                  <bgColor theme="0" tint="-0.499984740745262"/>
                </patternFill>
              </fill>
            </x14:dxf>
          </x14:cfRule>
          <xm:sqref>A272:D275</xm:sqref>
        </x14:conditionalFormatting>
        <x14:conditionalFormatting xmlns:xm="http://schemas.microsoft.com/office/excel/2006/main">
          <x14:cfRule type="expression" priority="29" id="{37774D2D-67D0-4E6B-A7E6-70F373723CA4}">
            <xm:f>'Hidden Inputs'!$BR$5</xm:f>
            <x14:dxf>
              <font>
                <color theme="0" tint="-0.499984740745262"/>
              </font>
              <numFmt numFmtId="171" formatCode=";;;"/>
              <fill>
                <patternFill>
                  <bgColor theme="0" tint="-0.499984740745262"/>
                </patternFill>
              </fill>
              <border>
                <left/>
                <right/>
                <top/>
                <bottom/>
              </border>
            </x14:dxf>
          </x14:cfRule>
          <xm:sqref>A251:XFD1048576 A1:D199 E1:XFD204 A200:B200 A201:C204 A205:B207 D205:XFD207 A208:C209 E208:XFD227 A210:D214 A215:C218 A219:B219 A220:C220 A221:D224 A225:C227 A228:XFD234 A235:D235 F235:XFD235 A236:XFD238 A239:C239 E239:XFD250 A240:D242 A243:C244 A245:D249 A250:C250</xm:sqref>
        </x14:conditionalFormatting>
        <x14:conditionalFormatting xmlns:xm="http://schemas.microsoft.com/office/excel/2006/main">
          <x14:cfRule type="expression" priority="16" stopIfTrue="1" id="{384CC66C-D52A-4AFB-A4FE-3BBE60D59466}">
            <xm:f>'Hidden Inputs'!$BR$5</xm:f>
            <x14:dxf>
              <font>
                <color theme="0" tint="-0.499984740745262"/>
              </font>
              <numFmt numFmtId="171" formatCode=";;;"/>
              <fill>
                <patternFill>
                  <bgColor theme="0" tint="-0.499984740745262"/>
                </patternFill>
              </fill>
              <border>
                <left/>
                <right/>
                <top/>
                <bottom/>
              </border>
            </x14:dxf>
          </x14:cfRule>
          <xm:sqref>E5:P5 A299:A302 E299:P302</xm:sqref>
        </x14:conditionalFormatting>
      </x14:conditionalFormatting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F7CAAF-9D2C-463E-8634-F96B4C7AB3E3}">
  <sheetPr codeName="Sheet20">
    <tabColor theme="8" tint="0.39997558519241921"/>
  </sheetPr>
  <dimension ref="A1:XFC89"/>
  <sheetViews>
    <sheetView workbookViewId="0">
      <selection sqref="A1:G1"/>
    </sheetView>
  </sheetViews>
  <sheetFormatPr defaultColWidth="0" defaultRowHeight="12.75" zeroHeight="1" x14ac:dyDescent="0.25"/>
  <cols>
    <col min="1" max="1" width="20.140625" style="449" customWidth="1"/>
    <col min="2" max="2" width="17.28515625" style="449" customWidth="1"/>
    <col min="3" max="3" width="16.7109375" style="449" customWidth="1"/>
    <col min="4" max="4" width="17.5703125" style="449" bestFit="1" customWidth="1"/>
    <col min="5" max="5" width="15.85546875" style="449" customWidth="1"/>
    <col min="6" max="6" width="13.5703125" style="449" customWidth="1"/>
    <col min="7" max="7" width="15" style="449" customWidth="1"/>
    <col min="8" max="16383" width="0" style="449" hidden="1"/>
    <col min="16384" max="16384" width="9.140625" style="449" hidden="1"/>
  </cols>
  <sheetData>
    <row r="1" spans="1:16383" ht="6.75" customHeight="1" thickBot="1" x14ac:dyDescent="0.3">
      <c r="A1" s="1950" t="s">
        <v>8392</v>
      </c>
      <c r="B1" s="1950"/>
      <c r="C1" s="1950"/>
      <c r="D1" s="1950"/>
      <c r="E1" s="1950"/>
      <c r="F1" s="1950"/>
      <c r="G1" s="1950"/>
    </row>
    <row r="2" spans="1:16383" ht="21.75" customHeight="1" thickBot="1" x14ac:dyDescent="0.3">
      <c r="A2" s="1951" t="s">
        <v>8483</v>
      </c>
      <c r="B2" s="1034"/>
      <c r="C2" s="1952"/>
      <c r="D2" s="1952"/>
      <c r="E2" s="1952"/>
      <c r="F2" s="1952"/>
      <c r="G2" s="1953"/>
    </row>
    <row r="3" spans="1:16383" s="439" customFormat="1" ht="131.25" customHeight="1" x14ac:dyDescent="0.25">
      <c r="A3" s="1332" t="s">
        <v>10496</v>
      </c>
      <c r="B3" s="1117"/>
      <c r="C3" s="1117"/>
      <c r="D3" s="1117"/>
      <c r="E3" s="1117"/>
      <c r="F3" s="1117"/>
      <c r="G3" s="1912"/>
    </row>
    <row r="4" spans="1:16383" s="439" customFormat="1" ht="15.75" customHeight="1" thickBot="1" x14ac:dyDescent="0.3">
      <c r="A4" s="1101" t="s">
        <v>10030</v>
      </c>
      <c r="B4" s="1118"/>
      <c r="C4" s="1118"/>
      <c r="D4" s="1118"/>
      <c r="E4" s="1118"/>
      <c r="F4" s="1118"/>
      <c r="G4" s="1119"/>
    </row>
    <row r="5" spans="1:16383" s="439" customFormat="1" ht="101.25" customHeight="1" thickBot="1" x14ac:dyDescent="0.3">
      <c r="A5" s="1954" t="s">
        <v>10316</v>
      </c>
      <c r="B5" s="1955"/>
      <c r="C5" s="1955"/>
      <c r="D5" s="1955"/>
      <c r="E5" s="1955"/>
      <c r="F5" s="1955"/>
      <c r="G5" s="1956"/>
    </row>
    <row r="6" spans="1:16383" s="477" customFormat="1" ht="15" thickBot="1" x14ac:dyDescent="0.3">
      <c r="A6" s="1885" t="s">
        <v>8411</v>
      </c>
      <c r="B6" s="1885"/>
      <c r="C6" s="1885"/>
      <c r="D6" s="1885"/>
      <c r="E6" s="1885"/>
      <c r="F6" s="1885"/>
      <c r="G6" s="1885"/>
    </row>
    <row r="7" spans="1:16383" s="439" customFormat="1" ht="15" customHeight="1" thickBot="1" x14ac:dyDescent="0.3">
      <c r="A7" s="1253" t="s">
        <v>8484</v>
      </c>
      <c r="B7" s="1330"/>
      <c r="C7" s="1330"/>
      <c r="D7" s="1330"/>
      <c r="E7" s="1330"/>
      <c r="F7" s="1330"/>
      <c r="G7" s="1331"/>
    </row>
    <row r="8" spans="1:16383" s="439" customFormat="1" ht="15" customHeight="1" x14ac:dyDescent="0.25">
      <c r="A8" s="1198" t="s">
        <v>8485</v>
      </c>
      <c r="B8" s="1054"/>
      <c r="C8" s="1054"/>
      <c r="D8" s="1054"/>
      <c r="E8" s="1054"/>
      <c r="F8" s="1054"/>
      <c r="G8" s="1055"/>
    </row>
    <row r="9" spans="1:16383" s="439" customFormat="1" ht="15" customHeight="1" x14ac:dyDescent="0.25">
      <c r="A9" s="1928" t="s">
        <v>8486</v>
      </c>
      <c r="B9" s="1929"/>
      <c r="C9" s="1929"/>
      <c r="D9" s="1929"/>
      <c r="E9" s="1929"/>
      <c r="F9" s="1929"/>
      <c r="G9" s="548" t="s">
        <v>6</v>
      </c>
    </row>
    <row r="10" spans="1:16383" s="439" customFormat="1" ht="15" customHeight="1" x14ac:dyDescent="0.25">
      <c r="A10" s="1881" t="s">
        <v>8487</v>
      </c>
      <c r="B10" s="1081"/>
      <c r="C10" s="1081"/>
      <c r="D10" s="1081"/>
      <c r="E10" s="1081"/>
      <c r="F10" s="1081"/>
      <c r="G10" s="484"/>
    </row>
    <row r="11" spans="1:16383" s="439" customFormat="1" ht="15" thickBot="1" x14ac:dyDescent="0.3">
      <c r="A11" s="1930" t="s">
        <v>10243</v>
      </c>
      <c r="B11" s="1931"/>
      <c r="C11" s="1931"/>
      <c r="D11" s="1931"/>
      <c r="E11" s="1931"/>
      <c r="F11" s="1931"/>
      <c r="G11" s="772" t="s">
        <v>7</v>
      </c>
    </row>
    <row r="12" spans="1:16383" s="574" customFormat="1" ht="15" customHeight="1" x14ac:dyDescent="0.25">
      <c r="A12" s="1932" t="s">
        <v>8488</v>
      </c>
      <c r="B12" s="1933"/>
      <c r="C12" s="1933"/>
      <c r="D12" s="1933"/>
      <c r="E12" s="1933"/>
      <c r="F12" s="1933"/>
      <c r="G12" s="1934"/>
      <c r="H12" s="439"/>
      <c r="I12" s="439"/>
      <c r="J12" s="439"/>
      <c r="K12" s="439"/>
      <c r="L12" s="439"/>
      <c r="M12" s="439"/>
      <c r="N12" s="439"/>
      <c r="O12" s="439"/>
      <c r="P12" s="439"/>
      <c r="Q12" s="439"/>
      <c r="R12" s="439"/>
      <c r="S12" s="439"/>
      <c r="T12" s="439"/>
      <c r="U12" s="439"/>
      <c r="V12" s="439"/>
      <c r="W12" s="439"/>
      <c r="X12" s="439"/>
      <c r="Y12" s="439"/>
      <c r="Z12" s="439"/>
      <c r="AA12" s="439"/>
      <c r="AB12" s="439"/>
      <c r="AC12" s="439"/>
      <c r="AD12" s="439"/>
      <c r="AE12" s="439"/>
      <c r="AF12" s="439"/>
      <c r="AG12" s="439"/>
      <c r="AH12" s="439"/>
      <c r="AI12" s="439"/>
      <c r="AJ12" s="439"/>
      <c r="AK12" s="439"/>
      <c r="AL12" s="439"/>
      <c r="AM12" s="439"/>
      <c r="AN12" s="439"/>
      <c r="AO12" s="439"/>
      <c r="AP12" s="439"/>
      <c r="AQ12" s="439"/>
      <c r="AR12" s="439"/>
      <c r="AS12" s="439"/>
      <c r="AT12" s="439"/>
      <c r="AU12" s="439"/>
      <c r="AV12" s="439"/>
      <c r="AW12" s="439"/>
      <c r="AX12" s="439"/>
      <c r="AY12" s="439"/>
      <c r="AZ12" s="439"/>
      <c r="BA12" s="439"/>
      <c r="BB12" s="439"/>
      <c r="BC12" s="439"/>
      <c r="BD12" s="439"/>
      <c r="BE12" s="439"/>
      <c r="BF12" s="439"/>
      <c r="BG12" s="439"/>
      <c r="BH12" s="439"/>
      <c r="BI12" s="439"/>
      <c r="BJ12" s="439"/>
      <c r="BK12" s="439"/>
      <c r="BL12" s="439"/>
      <c r="BM12" s="439"/>
      <c r="BN12" s="439"/>
      <c r="BO12" s="439"/>
      <c r="BP12" s="439"/>
      <c r="BQ12" s="439"/>
      <c r="BR12" s="439"/>
      <c r="BS12" s="439"/>
      <c r="BT12" s="439"/>
      <c r="BU12" s="439"/>
      <c r="BV12" s="439"/>
      <c r="BW12" s="439"/>
      <c r="BX12" s="439"/>
      <c r="BY12" s="439"/>
      <c r="BZ12" s="439"/>
      <c r="CA12" s="439"/>
      <c r="CB12" s="439"/>
      <c r="CC12" s="439"/>
      <c r="CD12" s="439"/>
      <c r="CE12" s="439"/>
      <c r="CF12" s="439"/>
      <c r="CG12" s="439"/>
      <c r="CH12" s="439"/>
      <c r="CI12" s="439"/>
      <c r="CJ12" s="439"/>
      <c r="CK12" s="439"/>
      <c r="CL12" s="439"/>
      <c r="CM12" s="439"/>
      <c r="CN12" s="439"/>
      <c r="CO12" s="439"/>
      <c r="CP12" s="439"/>
      <c r="CQ12" s="439"/>
      <c r="CR12" s="439"/>
      <c r="CS12" s="439"/>
      <c r="CT12" s="439"/>
      <c r="CU12" s="439"/>
      <c r="CV12" s="439"/>
      <c r="CW12" s="439"/>
      <c r="CX12" s="439"/>
      <c r="CY12" s="439"/>
      <c r="CZ12" s="439"/>
      <c r="DA12" s="439"/>
      <c r="DB12" s="439"/>
      <c r="DC12" s="439"/>
      <c r="DD12" s="439"/>
      <c r="DE12" s="439"/>
      <c r="DF12" s="439"/>
      <c r="DG12" s="439"/>
      <c r="DH12" s="439"/>
      <c r="DI12" s="439"/>
      <c r="DJ12" s="439"/>
      <c r="DK12" s="439"/>
      <c r="DL12" s="439"/>
      <c r="DM12" s="439"/>
      <c r="DN12" s="439"/>
      <c r="DO12" s="439"/>
      <c r="DP12" s="439"/>
      <c r="DQ12" s="439"/>
      <c r="DR12" s="439"/>
      <c r="DS12" s="439"/>
      <c r="DT12" s="439"/>
      <c r="DU12" s="439"/>
      <c r="DV12" s="439"/>
      <c r="DW12" s="439"/>
      <c r="DX12" s="439"/>
      <c r="DY12" s="439"/>
      <c r="DZ12" s="439"/>
      <c r="EA12" s="439"/>
      <c r="EB12" s="439"/>
      <c r="EC12" s="439"/>
      <c r="ED12" s="439"/>
      <c r="EE12" s="439"/>
      <c r="EF12" s="439"/>
      <c r="EG12" s="439"/>
      <c r="EH12" s="439"/>
      <c r="EI12" s="439"/>
      <c r="EJ12" s="439"/>
      <c r="EK12" s="439"/>
      <c r="EL12" s="439"/>
      <c r="EM12" s="439"/>
      <c r="EN12" s="439"/>
      <c r="EO12" s="439"/>
      <c r="EP12" s="439"/>
      <c r="EQ12" s="439"/>
      <c r="ER12" s="439"/>
      <c r="ES12" s="439"/>
      <c r="ET12" s="439"/>
      <c r="EU12" s="439"/>
      <c r="EV12" s="439"/>
      <c r="EW12" s="439"/>
      <c r="EX12" s="439"/>
      <c r="EY12" s="439"/>
      <c r="EZ12" s="439"/>
      <c r="FA12" s="439"/>
      <c r="FB12" s="439"/>
      <c r="FC12" s="439"/>
      <c r="FD12" s="439"/>
      <c r="FE12" s="439"/>
      <c r="FF12" s="439"/>
      <c r="FG12" s="439"/>
      <c r="FH12" s="439"/>
      <c r="FI12" s="439"/>
      <c r="FJ12" s="439"/>
      <c r="FK12" s="439"/>
      <c r="FL12" s="439"/>
      <c r="FM12" s="439"/>
      <c r="FN12" s="439"/>
      <c r="FO12" s="439"/>
      <c r="FP12" s="439"/>
      <c r="FQ12" s="439"/>
      <c r="FR12" s="439"/>
      <c r="FS12" s="439"/>
      <c r="FT12" s="439"/>
      <c r="FU12" s="439"/>
      <c r="FV12" s="439"/>
      <c r="FW12" s="439"/>
      <c r="FX12" s="439"/>
      <c r="FY12" s="439"/>
      <c r="FZ12" s="439"/>
      <c r="GA12" s="439"/>
      <c r="GB12" s="439"/>
      <c r="GC12" s="439"/>
      <c r="GD12" s="439"/>
      <c r="GE12" s="439"/>
      <c r="GF12" s="439"/>
      <c r="GG12" s="439"/>
      <c r="GH12" s="439"/>
      <c r="GI12" s="439"/>
      <c r="GJ12" s="439"/>
      <c r="GK12" s="439"/>
      <c r="GL12" s="439"/>
      <c r="GM12" s="439"/>
      <c r="GN12" s="439"/>
      <c r="GO12" s="439"/>
      <c r="GP12" s="439"/>
      <c r="GQ12" s="439"/>
      <c r="GR12" s="439"/>
      <c r="GS12" s="439"/>
      <c r="GT12" s="439"/>
      <c r="GU12" s="439"/>
      <c r="GV12" s="439"/>
      <c r="GW12" s="439"/>
      <c r="GX12" s="439"/>
      <c r="GY12" s="439"/>
      <c r="GZ12" s="439"/>
      <c r="HA12" s="439"/>
      <c r="HB12" s="439"/>
      <c r="HC12" s="439"/>
      <c r="HD12" s="439"/>
      <c r="HE12" s="439"/>
      <c r="HF12" s="439"/>
      <c r="HG12" s="439"/>
      <c r="HH12" s="439"/>
      <c r="HI12" s="439"/>
      <c r="HJ12" s="439"/>
      <c r="HK12" s="439"/>
      <c r="HL12" s="439"/>
      <c r="HM12" s="439"/>
      <c r="HN12" s="439"/>
      <c r="HO12" s="439"/>
      <c r="HP12" s="439"/>
      <c r="HQ12" s="439"/>
      <c r="HR12" s="439"/>
      <c r="HS12" s="439"/>
      <c r="HT12" s="439"/>
      <c r="HU12" s="439"/>
      <c r="HV12" s="439"/>
      <c r="HW12" s="439"/>
      <c r="HX12" s="439"/>
      <c r="HY12" s="439"/>
      <c r="HZ12" s="439"/>
      <c r="IA12" s="439"/>
      <c r="IB12" s="439"/>
      <c r="IC12" s="439"/>
      <c r="ID12" s="439"/>
      <c r="IE12" s="439"/>
      <c r="IF12" s="439"/>
      <c r="IG12" s="439"/>
      <c r="IH12" s="439"/>
      <c r="II12" s="439"/>
      <c r="IJ12" s="439"/>
      <c r="IK12" s="439"/>
      <c r="IL12" s="439"/>
      <c r="IM12" s="439"/>
      <c r="IN12" s="439"/>
      <c r="IO12" s="439"/>
      <c r="IP12" s="439"/>
      <c r="IQ12" s="439"/>
      <c r="IR12" s="439"/>
      <c r="IS12" s="439"/>
      <c r="IT12" s="439"/>
      <c r="IU12" s="439"/>
      <c r="IV12" s="439"/>
      <c r="IW12" s="439"/>
      <c r="IX12" s="439"/>
      <c r="IY12" s="439"/>
      <c r="IZ12" s="439"/>
      <c r="JA12" s="439"/>
      <c r="JB12" s="439"/>
      <c r="JC12" s="439"/>
      <c r="JD12" s="439"/>
      <c r="JE12" s="439"/>
      <c r="JF12" s="439"/>
      <c r="JG12" s="439"/>
      <c r="JH12" s="439"/>
      <c r="JI12" s="439"/>
      <c r="JJ12" s="439"/>
      <c r="JK12" s="439"/>
      <c r="JL12" s="439"/>
      <c r="JM12" s="439"/>
      <c r="JN12" s="439"/>
      <c r="JO12" s="439"/>
      <c r="JP12" s="439"/>
      <c r="JQ12" s="439"/>
      <c r="JR12" s="439"/>
      <c r="JS12" s="439"/>
      <c r="JT12" s="439"/>
      <c r="JU12" s="439"/>
      <c r="JV12" s="439"/>
      <c r="JW12" s="439"/>
      <c r="JX12" s="439"/>
      <c r="JY12" s="439"/>
      <c r="JZ12" s="439"/>
      <c r="KA12" s="439"/>
      <c r="KB12" s="439"/>
      <c r="KC12" s="439"/>
      <c r="KD12" s="439"/>
      <c r="KE12" s="439"/>
      <c r="KF12" s="439"/>
      <c r="KG12" s="439"/>
      <c r="KH12" s="439"/>
      <c r="KI12" s="439"/>
      <c r="KJ12" s="439"/>
      <c r="KK12" s="439"/>
      <c r="KL12" s="439"/>
      <c r="KM12" s="439"/>
      <c r="KN12" s="439"/>
      <c r="KO12" s="439"/>
      <c r="KP12" s="439"/>
      <c r="KQ12" s="439"/>
      <c r="KR12" s="439"/>
      <c r="KS12" s="439"/>
      <c r="KT12" s="439"/>
      <c r="KU12" s="439"/>
      <c r="KV12" s="439"/>
      <c r="KW12" s="439"/>
      <c r="KX12" s="439"/>
      <c r="KY12" s="439"/>
      <c r="KZ12" s="439"/>
      <c r="LA12" s="439"/>
      <c r="LB12" s="439"/>
      <c r="LC12" s="439"/>
      <c r="LD12" s="439"/>
      <c r="LE12" s="439"/>
      <c r="LF12" s="439"/>
      <c r="LG12" s="439"/>
      <c r="LH12" s="439"/>
      <c r="LI12" s="439"/>
      <c r="LJ12" s="439"/>
      <c r="LK12" s="439"/>
      <c r="LL12" s="439"/>
      <c r="LM12" s="439"/>
      <c r="LN12" s="439"/>
      <c r="LO12" s="439"/>
      <c r="LP12" s="439"/>
      <c r="LQ12" s="439"/>
      <c r="LR12" s="439"/>
      <c r="LS12" s="439"/>
      <c r="LT12" s="439"/>
      <c r="LU12" s="439"/>
      <c r="LV12" s="439"/>
      <c r="LW12" s="439"/>
      <c r="LX12" s="439"/>
      <c r="LY12" s="439"/>
      <c r="LZ12" s="439"/>
      <c r="MA12" s="439"/>
      <c r="MB12" s="439"/>
      <c r="MC12" s="439"/>
      <c r="MD12" s="439"/>
      <c r="ME12" s="439"/>
      <c r="MF12" s="439"/>
      <c r="MG12" s="439"/>
      <c r="MH12" s="439"/>
      <c r="MI12" s="439"/>
      <c r="MJ12" s="439"/>
      <c r="MK12" s="439"/>
      <c r="ML12" s="439"/>
      <c r="MM12" s="439"/>
      <c r="MN12" s="439"/>
      <c r="MO12" s="439"/>
      <c r="MP12" s="439"/>
      <c r="MQ12" s="439"/>
      <c r="MR12" s="439"/>
      <c r="MS12" s="439"/>
      <c r="MT12" s="439"/>
      <c r="MU12" s="439"/>
      <c r="MV12" s="439"/>
      <c r="MW12" s="439"/>
      <c r="MX12" s="439"/>
      <c r="MY12" s="439"/>
      <c r="MZ12" s="439"/>
      <c r="NA12" s="439"/>
      <c r="NB12" s="439"/>
      <c r="NC12" s="439"/>
      <c r="ND12" s="439"/>
      <c r="NE12" s="439"/>
      <c r="NF12" s="439"/>
      <c r="NG12" s="439"/>
      <c r="NH12" s="439"/>
      <c r="NI12" s="439"/>
      <c r="NJ12" s="439"/>
      <c r="NK12" s="439"/>
      <c r="NL12" s="439"/>
      <c r="NM12" s="439"/>
      <c r="NN12" s="439"/>
      <c r="NO12" s="439"/>
      <c r="NP12" s="439"/>
      <c r="NQ12" s="439"/>
      <c r="NR12" s="439"/>
      <c r="NS12" s="439"/>
      <c r="NT12" s="439"/>
      <c r="NU12" s="439"/>
      <c r="NV12" s="439"/>
      <c r="NW12" s="439"/>
      <c r="NX12" s="439"/>
      <c r="NY12" s="439"/>
      <c r="NZ12" s="439"/>
      <c r="OA12" s="439"/>
      <c r="OB12" s="439"/>
      <c r="OC12" s="439"/>
      <c r="OD12" s="439"/>
      <c r="OE12" s="439"/>
      <c r="OF12" s="439"/>
      <c r="OG12" s="439"/>
      <c r="OH12" s="439"/>
      <c r="OI12" s="439"/>
      <c r="OJ12" s="439"/>
      <c r="OK12" s="439"/>
      <c r="OL12" s="439"/>
      <c r="OM12" s="439"/>
      <c r="ON12" s="439"/>
      <c r="OO12" s="439"/>
      <c r="OP12" s="439"/>
      <c r="OQ12" s="439"/>
      <c r="OR12" s="439"/>
      <c r="OS12" s="439"/>
      <c r="OT12" s="439"/>
      <c r="OU12" s="439"/>
      <c r="OV12" s="439"/>
      <c r="OW12" s="439"/>
      <c r="OX12" s="439"/>
      <c r="OY12" s="439"/>
      <c r="OZ12" s="439"/>
      <c r="PA12" s="439"/>
      <c r="PB12" s="439"/>
      <c r="PC12" s="439"/>
      <c r="PD12" s="439"/>
      <c r="PE12" s="439"/>
      <c r="PF12" s="439"/>
      <c r="PG12" s="439"/>
      <c r="PH12" s="439"/>
      <c r="PI12" s="439"/>
      <c r="PJ12" s="439"/>
      <c r="PK12" s="439"/>
      <c r="PL12" s="439"/>
      <c r="PM12" s="439"/>
      <c r="PN12" s="439"/>
      <c r="PO12" s="439"/>
      <c r="PP12" s="439"/>
      <c r="PQ12" s="439"/>
      <c r="PR12" s="439"/>
      <c r="PS12" s="439"/>
      <c r="PT12" s="439"/>
      <c r="PU12" s="439"/>
      <c r="PV12" s="439"/>
      <c r="PW12" s="439"/>
      <c r="PX12" s="439"/>
      <c r="PY12" s="439"/>
      <c r="PZ12" s="439"/>
      <c r="QA12" s="439"/>
      <c r="QB12" s="439"/>
      <c r="QC12" s="439"/>
      <c r="QD12" s="439"/>
      <c r="QE12" s="439"/>
      <c r="QF12" s="439"/>
      <c r="QG12" s="439"/>
      <c r="QH12" s="439"/>
      <c r="QI12" s="439"/>
      <c r="QJ12" s="439"/>
      <c r="QK12" s="439"/>
      <c r="QL12" s="439"/>
      <c r="QM12" s="439"/>
      <c r="QN12" s="439"/>
      <c r="QO12" s="439"/>
      <c r="QP12" s="439"/>
      <c r="QQ12" s="439"/>
      <c r="QR12" s="439"/>
      <c r="QS12" s="439"/>
      <c r="QT12" s="439"/>
      <c r="QU12" s="439"/>
      <c r="QV12" s="439"/>
      <c r="QW12" s="439"/>
      <c r="QX12" s="439"/>
      <c r="QY12" s="439"/>
      <c r="QZ12" s="439"/>
      <c r="RA12" s="439"/>
      <c r="RB12" s="439"/>
      <c r="RC12" s="439"/>
      <c r="RD12" s="439"/>
      <c r="RE12" s="439"/>
      <c r="RF12" s="439"/>
      <c r="RG12" s="439"/>
      <c r="RH12" s="439"/>
      <c r="RI12" s="439"/>
      <c r="RJ12" s="439"/>
      <c r="RK12" s="439"/>
      <c r="RL12" s="439"/>
      <c r="RM12" s="439"/>
      <c r="RN12" s="439"/>
      <c r="RO12" s="439"/>
      <c r="RP12" s="439"/>
      <c r="RQ12" s="439"/>
      <c r="RR12" s="439"/>
      <c r="RS12" s="439"/>
      <c r="RT12" s="439"/>
      <c r="RU12" s="439"/>
      <c r="RV12" s="439"/>
      <c r="RW12" s="439"/>
      <c r="RX12" s="439"/>
      <c r="RY12" s="439"/>
      <c r="RZ12" s="439"/>
      <c r="SA12" s="439"/>
      <c r="SB12" s="439"/>
      <c r="SC12" s="439"/>
      <c r="SD12" s="439"/>
      <c r="SE12" s="439"/>
      <c r="SF12" s="439"/>
      <c r="SG12" s="439"/>
      <c r="SH12" s="439"/>
      <c r="SI12" s="439"/>
      <c r="SJ12" s="439"/>
      <c r="SK12" s="439"/>
      <c r="SL12" s="439"/>
      <c r="SM12" s="439"/>
      <c r="SN12" s="439"/>
      <c r="SO12" s="439"/>
      <c r="SP12" s="439"/>
      <c r="SQ12" s="439"/>
      <c r="SR12" s="439"/>
      <c r="SS12" s="439"/>
      <c r="ST12" s="439"/>
      <c r="SU12" s="439"/>
      <c r="SV12" s="439"/>
      <c r="SW12" s="439"/>
      <c r="SX12" s="439"/>
      <c r="SY12" s="439"/>
      <c r="SZ12" s="439"/>
      <c r="TA12" s="439"/>
      <c r="TB12" s="439"/>
      <c r="TC12" s="439"/>
      <c r="TD12" s="439"/>
      <c r="TE12" s="439"/>
      <c r="TF12" s="439"/>
      <c r="TG12" s="439"/>
      <c r="TH12" s="439"/>
      <c r="TI12" s="439"/>
      <c r="TJ12" s="439"/>
      <c r="TK12" s="439"/>
      <c r="TL12" s="439"/>
      <c r="TM12" s="439"/>
      <c r="TN12" s="439"/>
      <c r="TO12" s="439"/>
      <c r="TP12" s="439"/>
      <c r="TQ12" s="439"/>
      <c r="TR12" s="439"/>
      <c r="TS12" s="439"/>
      <c r="TT12" s="439"/>
      <c r="TU12" s="439"/>
      <c r="TV12" s="439"/>
      <c r="TW12" s="439"/>
      <c r="TX12" s="439"/>
      <c r="TY12" s="439"/>
      <c r="TZ12" s="439"/>
      <c r="UA12" s="439"/>
      <c r="UB12" s="439"/>
      <c r="UC12" s="439"/>
      <c r="UD12" s="439"/>
      <c r="UE12" s="439"/>
      <c r="UF12" s="439"/>
      <c r="UG12" s="439"/>
      <c r="UH12" s="439"/>
      <c r="UI12" s="439"/>
      <c r="UJ12" s="439"/>
      <c r="UK12" s="439"/>
      <c r="UL12" s="439"/>
      <c r="UM12" s="439"/>
      <c r="UN12" s="439"/>
      <c r="UO12" s="439"/>
      <c r="UP12" s="439"/>
      <c r="UQ12" s="439"/>
      <c r="UR12" s="439"/>
      <c r="US12" s="439"/>
      <c r="UT12" s="439"/>
      <c r="UU12" s="439"/>
      <c r="UV12" s="439"/>
      <c r="UW12" s="439"/>
      <c r="UX12" s="439"/>
      <c r="UY12" s="439"/>
      <c r="UZ12" s="439"/>
      <c r="VA12" s="439"/>
      <c r="VB12" s="439"/>
      <c r="VC12" s="439"/>
      <c r="VD12" s="439"/>
      <c r="VE12" s="439"/>
      <c r="VF12" s="439"/>
      <c r="VG12" s="439"/>
      <c r="VH12" s="439"/>
      <c r="VI12" s="439"/>
      <c r="VJ12" s="439"/>
      <c r="VK12" s="439"/>
      <c r="VL12" s="439"/>
      <c r="VM12" s="439"/>
      <c r="VN12" s="439"/>
      <c r="VO12" s="439"/>
      <c r="VP12" s="439"/>
      <c r="VQ12" s="439"/>
      <c r="VR12" s="439"/>
      <c r="VS12" s="439"/>
      <c r="VT12" s="439"/>
      <c r="VU12" s="439"/>
      <c r="VV12" s="439"/>
      <c r="VW12" s="439"/>
      <c r="VX12" s="439"/>
      <c r="VY12" s="439"/>
      <c r="VZ12" s="439"/>
      <c r="WA12" s="439"/>
      <c r="WB12" s="439"/>
      <c r="WC12" s="439"/>
      <c r="WD12" s="439"/>
      <c r="WE12" s="439"/>
      <c r="WF12" s="439"/>
      <c r="WG12" s="439"/>
      <c r="WH12" s="439"/>
      <c r="WI12" s="439"/>
      <c r="WJ12" s="439"/>
      <c r="WK12" s="439"/>
      <c r="WL12" s="439"/>
      <c r="WM12" s="439"/>
      <c r="WN12" s="439"/>
      <c r="WO12" s="439"/>
      <c r="WP12" s="439"/>
      <c r="WQ12" s="439"/>
      <c r="WR12" s="439"/>
      <c r="WS12" s="439"/>
      <c r="WT12" s="439"/>
      <c r="WU12" s="439"/>
      <c r="WV12" s="439"/>
      <c r="WW12" s="439"/>
      <c r="WX12" s="439"/>
      <c r="WY12" s="439"/>
      <c r="WZ12" s="439"/>
      <c r="XA12" s="439"/>
      <c r="XB12" s="439"/>
      <c r="XC12" s="439"/>
      <c r="XD12" s="439"/>
      <c r="XE12" s="439"/>
      <c r="XF12" s="439"/>
      <c r="XG12" s="439"/>
      <c r="XH12" s="439"/>
      <c r="XI12" s="439"/>
      <c r="XJ12" s="439"/>
      <c r="XK12" s="439"/>
      <c r="XL12" s="439"/>
      <c r="XM12" s="439"/>
      <c r="XN12" s="439"/>
      <c r="XO12" s="439"/>
      <c r="XP12" s="439"/>
      <c r="XQ12" s="439"/>
      <c r="XR12" s="439"/>
      <c r="XS12" s="439"/>
      <c r="XT12" s="439"/>
      <c r="XU12" s="439"/>
      <c r="XV12" s="439"/>
      <c r="XW12" s="439"/>
      <c r="XX12" s="439"/>
      <c r="XY12" s="439"/>
      <c r="XZ12" s="439"/>
      <c r="YA12" s="439"/>
      <c r="YB12" s="439"/>
      <c r="YC12" s="439"/>
      <c r="YD12" s="439"/>
      <c r="YE12" s="439"/>
      <c r="YF12" s="439"/>
      <c r="YG12" s="439"/>
      <c r="YH12" s="439"/>
      <c r="YI12" s="439"/>
      <c r="YJ12" s="439"/>
      <c r="YK12" s="439"/>
      <c r="YL12" s="439"/>
      <c r="YM12" s="439"/>
      <c r="YN12" s="439"/>
      <c r="YO12" s="439"/>
      <c r="YP12" s="439"/>
      <c r="YQ12" s="439"/>
      <c r="YR12" s="439"/>
      <c r="YS12" s="439"/>
      <c r="YT12" s="439"/>
      <c r="YU12" s="439"/>
      <c r="YV12" s="439"/>
      <c r="YW12" s="439"/>
      <c r="YX12" s="439"/>
      <c r="YY12" s="439"/>
      <c r="YZ12" s="439"/>
      <c r="ZA12" s="439"/>
      <c r="ZB12" s="439"/>
      <c r="ZC12" s="439"/>
      <c r="ZD12" s="439"/>
      <c r="ZE12" s="439"/>
      <c r="ZF12" s="439"/>
      <c r="ZG12" s="439"/>
      <c r="ZH12" s="439"/>
      <c r="ZI12" s="439"/>
      <c r="ZJ12" s="439"/>
      <c r="ZK12" s="439"/>
      <c r="ZL12" s="439"/>
      <c r="ZM12" s="439"/>
      <c r="ZN12" s="439"/>
      <c r="ZO12" s="439"/>
      <c r="ZP12" s="439"/>
      <c r="ZQ12" s="439"/>
      <c r="ZR12" s="439"/>
      <c r="ZS12" s="439"/>
      <c r="ZT12" s="439"/>
      <c r="ZU12" s="439"/>
      <c r="ZV12" s="439"/>
      <c r="ZW12" s="439"/>
      <c r="ZX12" s="439"/>
      <c r="ZY12" s="439"/>
      <c r="ZZ12" s="439"/>
      <c r="AAA12" s="439"/>
      <c r="AAB12" s="439"/>
      <c r="AAC12" s="439"/>
      <c r="AAD12" s="439"/>
      <c r="AAE12" s="439"/>
      <c r="AAF12" s="439"/>
      <c r="AAG12" s="439"/>
      <c r="AAH12" s="439"/>
      <c r="AAI12" s="439"/>
      <c r="AAJ12" s="439"/>
      <c r="AAK12" s="439"/>
      <c r="AAL12" s="439"/>
      <c r="AAM12" s="439"/>
      <c r="AAN12" s="439"/>
      <c r="AAO12" s="439"/>
      <c r="AAP12" s="439"/>
      <c r="AAQ12" s="439"/>
      <c r="AAR12" s="439"/>
      <c r="AAS12" s="439"/>
      <c r="AAT12" s="439"/>
      <c r="AAU12" s="439"/>
      <c r="AAV12" s="439"/>
      <c r="AAW12" s="439"/>
      <c r="AAX12" s="439"/>
      <c r="AAY12" s="439"/>
      <c r="AAZ12" s="439"/>
      <c r="ABA12" s="439"/>
      <c r="ABB12" s="439"/>
      <c r="ABC12" s="439"/>
      <c r="ABD12" s="439"/>
      <c r="ABE12" s="439"/>
      <c r="ABF12" s="439"/>
      <c r="ABG12" s="439"/>
      <c r="ABH12" s="439"/>
      <c r="ABI12" s="439"/>
      <c r="ABJ12" s="439"/>
      <c r="ABK12" s="439"/>
      <c r="ABL12" s="439"/>
      <c r="ABM12" s="439"/>
      <c r="ABN12" s="439"/>
      <c r="ABO12" s="439"/>
      <c r="ABP12" s="439"/>
      <c r="ABQ12" s="439"/>
      <c r="ABR12" s="439"/>
      <c r="ABS12" s="439"/>
      <c r="ABT12" s="439"/>
      <c r="ABU12" s="439"/>
      <c r="ABV12" s="439"/>
      <c r="ABW12" s="439"/>
      <c r="ABX12" s="439"/>
      <c r="ABY12" s="439"/>
      <c r="ABZ12" s="439"/>
      <c r="ACA12" s="439"/>
      <c r="ACB12" s="439"/>
      <c r="ACC12" s="439"/>
      <c r="ACD12" s="439"/>
      <c r="ACE12" s="439"/>
      <c r="ACF12" s="439"/>
      <c r="ACG12" s="439"/>
      <c r="ACH12" s="439"/>
      <c r="ACI12" s="439"/>
      <c r="ACJ12" s="439"/>
      <c r="ACK12" s="439"/>
      <c r="ACL12" s="439"/>
      <c r="ACM12" s="439"/>
      <c r="ACN12" s="439"/>
      <c r="ACO12" s="439"/>
      <c r="ACP12" s="439"/>
      <c r="ACQ12" s="439"/>
      <c r="ACR12" s="439"/>
      <c r="ACS12" s="439"/>
      <c r="ACT12" s="439"/>
      <c r="ACU12" s="439"/>
      <c r="ACV12" s="439"/>
      <c r="ACW12" s="439"/>
      <c r="ACX12" s="439"/>
      <c r="ACY12" s="439"/>
      <c r="ACZ12" s="439"/>
      <c r="ADA12" s="439"/>
      <c r="ADB12" s="439"/>
      <c r="ADC12" s="439"/>
      <c r="ADD12" s="439"/>
      <c r="ADE12" s="439"/>
      <c r="ADF12" s="439"/>
      <c r="ADG12" s="439"/>
      <c r="ADH12" s="439"/>
      <c r="ADI12" s="439"/>
      <c r="ADJ12" s="439"/>
      <c r="ADK12" s="439"/>
      <c r="ADL12" s="439"/>
      <c r="ADM12" s="439"/>
      <c r="ADN12" s="439"/>
      <c r="ADO12" s="439"/>
      <c r="ADP12" s="439"/>
      <c r="ADQ12" s="439"/>
      <c r="ADR12" s="439"/>
      <c r="ADS12" s="439"/>
      <c r="ADT12" s="439"/>
      <c r="ADU12" s="439"/>
      <c r="ADV12" s="439"/>
      <c r="ADW12" s="439"/>
      <c r="ADX12" s="439"/>
      <c r="ADY12" s="439"/>
      <c r="ADZ12" s="439"/>
      <c r="AEA12" s="439"/>
      <c r="AEB12" s="439"/>
      <c r="AEC12" s="439"/>
      <c r="AED12" s="439"/>
      <c r="AEE12" s="439"/>
      <c r="AEF12" s="439"/>
      <c r="AEG12" s="439"/>
      <c r="AEH12" s="439"/>
      <c r="AEI12" s="439"/>
      <c r="AEJ12" s="439"/>
      <c r="AEK12" s="439"/>
      <c r="AEL12" s="439"/>
      <c r="AEM12" s="439"/>
      <c r="AEN12" s="439"/>
      <c r="AEO12" s="439"/>
      <c r="AEP12" s="439"/>
      <c r="AEQ12" s="439"/>
      <c r="AER12" s="439"/>
      <c r="AES12" s="439"/>
      <c r="AET12" s="439"/>
      <c r="AEU12" s="439"/>
      <c r="AEV12" s="439"/>
      <c r="AEW12" s="439"/>
      <c r="AEX12" s="439"/>
      <c r="AEY12" s="439"/>
      <c r="AEZ12" s="439"/>
      <c r="AFA12" s="439"/>
      <c r="AFB12" s="439"/>
      <c r="AFC12" s="439"/>
      <c r="AFD12" s="439"/>
      <c r="AFE12" s="439"/>
      <c r="AFF12" s="439"/>
      <c r="AFG12" s="439"/>
      <c r="AFH12" s="439"/>
      <c r="AFI12" s="439"/>
      <c r="AFJ12" s="439"/>
      <c r="AFK12" s="439"/>
      <c r="AFL12" s="439"/>
      <c r="AFM12" s="439"/>
      <c r="AFN12" s="439"/>
      <c r="AFO12" s="439"/>
      <c r="AFP12" s="439"/>
      <c r="AFQ12" s="439"/>
      <c r="AFR12" s="439"/>
      <c r="AFS12" s="439"/>
      <c r="AFT12" s="439"/>
      <c r="AFU12" s="439"/>
      <c r="AFV12" s="439"/>
      <c r="AFW12" s="439"/>
      <c r="AFX12" s="439"/>
      <c r="AFY12" s="439"/>
      <c r="AFZ12" s="439"/>
      <c r="AGA12" s="439"/>
      <c r="AGB12" s="439"/>
      <c r="AGC12" s="439"/>
      <c r="AGD12" s="439"/>
      <c r="AGE12" s="439"/>
      <c r="AGF12" s="439"/>
      <c r="AGG12" s="439"/>
      <c r="AGH12" s="439"/>
      <c r="AGI12" s="439"/>
      <c r="AGJ12" s="439"/>
      <c r="AGK12" s="439"/>
      <c r="AGL12" s="439"/>
      <c r="AGM12" s="439"/>
      <c r="AGN12" s="439"/>
      <c r="AGO12" s="439"/>
      <c r="AGP12" s="439"/>
      <c r="AGQ12" s="439"/>
      <c r="AGR12" s="439"/>
      <c r="AGS12" s="439"/>
      <c r="AGT12" s="439"/>
      <c r="AGU12" s="439"/>
      <c r="AGV12" s="439"/>
      <c r="AGW12" s="439"/>
      <c r="AGX12" s="439"/>
      <c r="AGY12" s="439"/>
      <c r="AGZ12" s="439"/>
      <c r="AHA12" s="439"/>
      <c r="AHB12" s="439"/>
      <c r="AHC12" s="439"/>
      <c r="AHD12" s="439"/>
      <c r="AHE12" s="439"/>
      <c r="AHF12" s="439"/>
      <c r="AHG12" s="439"/>
      <c r="AHH12" s="439"/>
      <c r="AHI12" s="439"/>
      <c r="AHJ12" s="439"/>
      <c r="AHK12" s="439"/>
      <c r="AHL12" s="439"/>
      <c r="AHM12" s="439"/>
      <c r="AHN12" s="439"/>
      <c r="AHO12" s="439"/>
      <c r="AHP12" s="439"/>
      <c r="AHQ12" s="439"/>
      <c r="AHR12" s="439"/>
      <c r="AHS12" s="439"/>
      <c r="AHT12" s="439"/>
      <c r="AHU12" s="439"/>
      <c r="AHV12" s="439"/>
      <c r="AHW12" s="439"/>
      <c r="AHX12" s="439"/>
      <c r="AHY12" s="439"/>
      <c r="AHZ12" s="439"/>
      <c r="AIA12" s="439"/>
      <c r="AIB12" s="439"/>
      <c r="AIC12" s="439"/>
      <c r="AID12" s="439"/>
      <c r="AIE12" s="439"/>
      <c r="AIF12" s="439"/>
      <c r="AIG12" s="439"/>
      <c r="AIH12" s="439"/>
      <c r="AII12" s="439"/>
      <c r="AIJ12" s="439"/>
      <c r="AIK12" s="439"/>
      <c r="AIL12" s="439"/>
      <c r="AIM12" s="439"/>
      <c r="AIN12" s="439"/>
      <c r="AIO12" s="439"/>
      <c r="AIP12" s="439"/>
      <c r="AIQ12" s="439"/>
      <c r="AIR12" s="439"/>
      <c r="AIS12" s="439"/>
      <c r="AIT12" s="439"/>
      <c r="AIU12" s="439"/>
      <c r="AIV12" s="439"/>
      <c r="AIW12" s="439"/>
      <c r="AIX12" s="439"/>
      <c r="AIY12" s="439"/>
      <c r="AIZ12" s="439"/>
      <c r="AJA12" s="439"/>
      <c r="AJB12" s="439"/>
      <c r="AJC12" s="439"/>
      <c r="AJD12" s="439"/>
      <c r="AJE12" s="439"/>
      <c r="AJF12" s="439"/>
      <c r="AJG12" s="439"/>
      <c r="AJH12" s="439"/>
      <c r="AJI12" s="439"/>
      <c r="AJJ12" s="439"/>
      <c r="AJK12" s="439"/>
      <c r="AJL12" s="439"/>
      <c r="AJM12" s="439"/>
      <c r="AJN12" s="439"/>
      <c r="AJO12" s="439"/>
      <c r="AJP12" s="439"/>
      <c r="AJQ12" s="439"/>
      <c r="AJR12" s="439"/>
      <c r="AJS12" s="439"/>
      <c r="AJT12" s="439"/>
      <c r="AJU12" s="439"/>
      <c r="AJV12" s="439"/>
      <c r="AJW12" s="439"/>
      <c r="AJX12" s="439"/>
      <c r="AJY12" s="439"/>
      <c r="AJZ12" s="439"/>
      <c r="AKA12" s="439"/>
      <c r="AKB12" s="439"/>
      <c r="AKC12" s="439"/>
      <c r="AKD12" s="439"/>
      <c r="AKE12" s="439"/>
      <c r="AKF12" s="439"/>
      <c r="AKG12" s="439"/>
      <c r="AKH12" s="439"/>
      <c r="AKI12" s="439"/>
      <c r="AKJ12" s="439"/>
      <c r="AKK12" s="439"/>
      <c r="AKL12" s="439"/>
      <c r="AKM12" s="439"/>
      <c r="AKN12" s="439"/>
      <c r="AKO12" s="439"/>
      <c r="AKP12" s="439"/>
      <c r="AKQ12" s="439"/>
      <c r="AKR12" s="439"/>
      <c r="AKS12" s="439"/>
      <c r="AKT12" s="439"/>
      <c r="AKU12" s="439"/>
      <c r="AKV12" s="439"/>
      <c r="AKW12" s="439"/>
      <c r="AKX12" s="439"/>
      <c r="AKY12" s="439"/>
      <c r="AKZ12" s="439"/>
      <c r="ALA12" s="439"/>
      <c r="ALB12" s="439"/>
      <c r="ALC12" s="439"/>
      <c r="ALD12" s="439"/>
      <c r="ALE12" s="439"/>
      <c r="ALF12" s="439"/>
      <c r="ALG12" s="439"/>
      <c r="ALH12" s="439"/>
      <c r="ALI12" s="439"/>
      <c r="ALJ12" s="439"/>
      <c r="ALK12" s="439"/>
      <c r="ALL12" s="439"/>
      <c r="ALM12" s="439"/>
      <c r="ALN12" s="439"/>
      <c r="ALO12" s="439"/>
      <c r="ALP12" s="439"/>
      <c r="ALQ12" s="439"/>
      <c r="ALR12" s="439"/>
      <c r="ALS12" s="439"/>
      <c r="ALT12" s="439"/>
      <c r="ALU12" s="439"/>
      <c r="ALV12" s="439"/>
      <c r="ALW12" s="439"/>
      <c r="ALX12" s="439"/>
      <c r="ALY12" s="439"/>
      <c r="ALZ12" s="439"/>
      <c r="AMA12" s="439"/>
      <c r="AMB12" s="439"/>
      <c r="AMC12" s="439"/>
      <c r="AMD12" s="439"/>
      <c r="AME12" s="439"/>
      <c r="AMF12" s="439"/>
      <c r="AMG12" s="439"/>
      <c r="AMH12" s="439"/>
      <c r="AMI12" s="439"/>
      <c r="AMJ12" s="439"/>
      <c r="AMK12" s="439"/>
      <c r="AML12" s="439"/>
      <c r="AMM12" s="439"/>
      <c r="AMN12" s="439"/>
      <c r="AMO12" s="439"/>
      <c r="AMP12" s="439"/>
      <c r="AMQ12" s="439"/>
      <c r="AMR12" s="439"/>
      <c r="AMS12" s="439"/>
      <c r="AMT12" s="439"/>
      <c r="AMU12" s="439"/>
      <c r="AMV12" s="439"/>
      <c r="AMW12" s="439"/>
      <c r="AMX12" s="439"/>
      <c r="AMY12" s="439"/>
      <c r="AMZ12" s="439"/>
      <c r="ANA12" s="439"/>
      <c r="ANB12" s="439"/>
      <c r="ANC12" s="439"/>
      <c r="AND12" s="439"/>
      <c r="ANE12" s="439"/>
      <c r="ANF12" s="439"/>
      <c r="ANG12" s="439"/>
      <c r="ANH12" s="439"/>
      <c r="ANI12" s="439"/>
      <c r="ANJ12" s="439"/>
      <c r="ANK12" s="439"/>
      <c r="ANL12" s="439"/>
      <c r="ANM12" s="439"/>
      <c r="ANN12" s="439"/>
      <c r="ANO12" s="439"/>
      <c r="ANP12" s="439"/>
      <c r="ANQ12" s="439"/>
      <c r="ANR12" s="439"/>
      <c r="ANS12" s="439"/>
      <c r="ANT12" s="439"/>
      <c r="ANU12" s="439"/>
      <c r="ANV12" s="439"/>
      <c r="ANW12" s="439"/>
      <c r="ANX12" s="439"/>
      <c r="ANY12" s="439"/>
      <c r="ANZ12" s="439"/>
      <c r="AOA12" s="439"/>
      <c r="AOB12" s="439"/>
      <c r="AOC12" s="439"/>
      <c r="AOD12" s="439"/>
      <c r="AOE12" s="439"/>
      <c r="AOF12" s="439"/>
      <c r="AOG12" s="439"/>
      <c r="AOH12" s="439"/>
      <c r="AOI12" s="439"/>
      <c r="AOJ12" s="439"/>
      <c r="AOK12" s="439"/>
      <c r="AOL12" s="439"/>
      <c r="AOM12" s="439"/>
      <c r="AON12" s="439"/>
      <c r="AOO12" s="439"/>
      <c r="AOP12" s="439"/>
      <c r="AOQ12" s="439"/>
      <c r="AOR12" s="439"/>
      <c r="AOS12" s="439"/>
      <c r="AOT12" s="439"/>
      <c r="AOU12" s="439"/>
      <c r="AOV12" s="439"/>
      <c r="AOW12" s="439"/>
      <c r="AOX12" s="439"/>
      <c r="AOY12" s="439"/>
      <c r="AOZ12" s="439"/>
      <c r="APA12" s="439"/>
      <c r="APB12" s="439"/>
      <c r="APC12" s="439"/>
      <c r="APD12" s="439"/>
      <c r="APE12" s="439"/>
      <c r="APF12" s="439"/>
      <c r="APG12" s="439"/>
      <c r="APH12" s="439"/>
      <c r="API12" s="439"/>
      <c r="APJ12" s="439"/>
      <c r="APK12" s="439"/>
      <c r="APL12" s="439"/>
      <c r="APM12" s="439"/>
      <c r="APN12" s="439"/>
      <c r="APO12" s="439"/>
      <c r="APP12" s="439"/>
      <c r="APQ12" s="439"/>
      <c r="APR12" s="439"/>
      <c r="APS12" s="439"/>
      <c r="APT12" s="439"/>
      <c r="APU12" s="439"/>
      <c r="APV12" s="439"/>
      <c r="APW12" s="439"/>
      <c r="APX12" s="439"/>
      <c r="APY12" s="439"/>
      <c r="APZ12" s="439"/>
      <c r="AQA12" s="439"/>
      <c r="AQB12" s="439"/>
      <c r="AQC12" s="439"/>
      <c r="AQD12" s="439"/>
      <c r="AQE12" s="439"/>
      <c r="AQF12" s="439"/>
      <c r="AQG12" s="439"/>
      <c r="AQH12" s="439"/>
      <c r="AQI12" s="439"/>
      <c r="AQJ12" s="439"/>
      <c r="AQK12" s="439"/>
      <c r="AQL12" s="439"/>
      <c r="AQM12" s="439"/>
      <c r="AQN12" s="439"/>
      <c r="AQO12" s="439"/>
      <c r="AQP12" s="439"/>
      <c r="AQQ12" s="439"/>
      <c r="AQR12" s="439"/>
      <c r="AQS12" s="439"/>
      <c r="AQT12" s="439"/>
      <c r="AQU12" s="439"/>
      <c r="AQV12" s="439"/>
      <c r="AQW12" s="439"/>
      <c r="AQX12" s="439"/>
      <c r="AQY12" s="439"/>
      <c r="AQZ12" s="439"/>
      <c r="ARA12" s="439"/>
      <c r="ARB12" s="439"/>
      <c r="ARC12" s="439"/>
      <c r="ARD12" s="439"/>
      <c r="ARE12" s="439"/>
      <c r="ARF12" s="439"/>
      <c r="ARG12" s="439"/>
      <c r="ARH12" s="439"/>
      <c r="ARI12" s="439"/>
      <c r="ARJ12" s="439"/>
      <c r="ARK12" s="439"/>
      <c r="ARL12" s="439"/>
      <c r="ARM12" s="439"/>
      <c r="ARN12" s="439"/>
      <c r="ARO12" s="439"/>
      <c r="ARP12" s="439"/>
      <c r="ARQ12" s="439"/>
      <c r="ARR12" s="439"/>
      <c r="ARS12" s="439"/>
      <c r="ART12" s="439"/>
      <c r="ARU12" s="439"/>
      <c r="ARV12" s="439"/>
      <c r="ARW12" s="439"/>
      <c r="ARX12" s="439"/>
      <c r="ARY12" s="439"/>
      <c r="ARZ12" s="439"/>
      <c r="ASA12" s="439"/>
      <c r="ASB12" s="439"/>
      <c r="ASC12" s="439"/>
      <c r="ASD12" s="439"/>
      <c r="ASE12" s="439"/>
      <c r="ASF12" s="439"/>
      <c r="ASG12" s="439"/>
      <c r="ASH12" s="439"/>
      <c r="ASI12" s="439"/>
      <c r="ASJ12" s="439"/>
      <c r="ASK12" s="439"/>
      <c r="ASL12" s="439"/>
      <c r="ASM12" s="439"/>
      <c r="ASN12" s="439"/>
      <c r="ASO12" s="439"/>
      <c r="ASP12" s="439"/>
      <c r="ASQ12" s="439"/>
      <c r="ASR12" s="439"/>
      <c r="ASS12" s="439"/>
      <c r="AST12" s="439"/>
      <c r="ASU12" s="439"/>
      <c r="ASV12" s="439"/>
      <c r="ASW12" s="439"/>
      <c r="ASX12" s="439"/>
      <c r="ASY12" s="439"/>
      <c r="ASZ12" s="439"/>
      <c r="ATA12" s="439"/>
      <c r="ATB12" s="439"/>
      <c r="ATC12" s="439"/>
      <c r="ATD12" s="439"/>
      <c r="ATE12" s="439"/>
      <c r="ATF12" s="439"/>
      <c r="ATG12" s="439"/>
      <c r="ATH12" s="439"/>
      <c r="ATI12" s="439"/>
      <c r="ATJ12" s="439"/>
      <c r="ATK12" s="439"/>
      <c r="ATL12" s="439"/>
      <c r="ATM12" s="439"/>
      <c r="ATN12" s="439"/>
      <c r="ATO12" s="439"/>
      <c r="ATP12" s="439"/>
      <c r="ATQ12" s="439"/>
      <c r="ATR12" s="439"/>
      <c r="ATS12" s="439"/>
      <c r="ATT12" s="439"/>
      <c r="ATU12" s="439"/>
      <c r="ATV12" s="439"/>
      <c r="ATW12" s="439"/>
      <c r="ATX12" s="439"/>
      <c r="ATY12" s="439"/>
      <c r="ATZ12" s="439"/>
      <c r="AUA12" s="439"/>
      <c r="AUB12" s="439"/>
      <c r="AUC12" s="439"/>
      <c r="AUD12" s="439"/>
      <c r="AUE12" s="439"/>
      <c r="AUF12" s="439"/>
      <c r="AUG12" s="439"/>
      <c r="AUH12" s="439"/>
      <c r="AUI12" s="439"/>
      <c r="AUJ12" s="439"/>
      <c r="AUK12" s="439"/>
      <c r="AUL12" s="439"/>
      <c r="AUM12" s="439"/>
      <c r="AUN12" s="439"/>
      <c r="AUO12" s="439"/>
      <c r="AUP12" s="439"/>
      <c r="AUQ12" s="439"/>
      <c r="AUR12" s="439"/>
      <c r="AUS12" s="439"/>
      <c r="AUT12" s="439"/>
      <c r="AUU12" s="439"/>
      <c r="AUV12" s="439"/>
      <c r="AUW12" s="439"/>
      <c r="AUX12" s="439"/>
      <c r="AUY12" s="439"/>
      <c r="AUZ12" s="439"/>
      <c r="AVA12" s="439"/>
      <c r="AVB12" s="439"/>
      <c r="AVC12" s="439"/>
      <c r="AVD12" s="439"/>
      <c r="AVE12" s="439"/>
      <c r="AVF12" s="439"/>
      <c r="AVG12" s="439"/>
      <c r="AVH12" s="439"/>
      <c r="AVI12" s="439"/>
      <c r="AVJ12" s="439"/>
      <c r="AVK12" s="439"/>
      <c r="AVL12" s="439"/>
      <c r="AVM12" s="439"/>
      <c r="AVN12" s="439"/>
      <c r="AVO12" s="439"/>
      <c r="AVP12" s="439"/>
      <c r="AVQ12" s="439"/>
      <c r="AVR12" s="439"/>
      <c r="AVS12" s="439"/>
      <c r="AVT12" s="439"/>
      <c r="AVU12" s="439"/>
      <c r="AVV12" s="439"/>
      <c r="AVW12" s="439"/>
      <c r="AVX12" s="439"/>
      <c r="AVY12" s="439"/>
      <c r="AVZ12" s="439"/>
      <c r="AWA12" s="439"/>
      <c r="AWB12" s="439"/>
      <c r="AWC12" s="439"/>
      <c r="AWD12" s="439"/>
      <c r="AWE12" s="439"/>
      <c r="AWF12" s="439"/>
      <c r="AWG12" s="439"/>
      <c r="AWH12" s="439"/>
      <c r="AWI12" s="439"/>
      <c r="AWJ12" s="439"/>
      <c r="AWK12" s="439"/>
      <c r="AWL12" s="439"/>
      <c r="AWM12" s="439"/>
      <c r="AWN12" s="439"/>
      <c r="AWO12" s="439"/>
      <c r="AWP12" s="439"/>
      <c r="AWQ12" s="439"/>
      <c r="AWR12" s="439"/>
      <c r="AWS12" s="439"/>
      <c r="AWT12" s="439"/>
      <c r="AWU12" s="439"/>
      <c r="AWV12" s="439"/>
      <c r="AWW12" s="439"/>
      <c r="AWX12" s="439"/>
      <c r="AWY12" s="439"/>
      <c r="AWZ12" s="439"/>
      <c r="AXA12" s="439"/>
      <c r="AXB12" s="439"/>
      <c r="AXC12" s="439"/>
      <c r="AXD12" s="439"/>
      <c r="AXE12" s="439"/>
      <c r="AXF12" s="439"/>
      <c r="AXG12" s="439"/>
      <c r="AXH12" s="439"/>
      <c r="AXI12" s="439"/>
      <c r="AXJ12" s="439"/>
      <c r="AXK12" s="439"/>
      <c r="AXL12" s="439"/>
      <c r="AXM12" s="439"/>
      <c r="AXN12" s="439"/>
      <c r="AXO12" s="439"/>
      <c r="AXP12" s="439"/>
      <c r="AXQ12" s="439"/>
      <c r="AXR12" s="439"/>
      <c r="AXS12" s="439"/>
      <c r="AXT12" s="439"/>
      <c r="AXU12" s="439"/>
      <c r="AXV12" s="439"/>
      <c r="AXW12" s="439"/>
      <c r="AXX12" s="439"/>
      <c r="AXY12" s="439"/>
      <c r="AXZ12" s="439"/>
      <c r="AYA12" s="439"/>
      <c r="AYB12" s="439"/>
      <c r="AYC12" s="439"/>
      <c r="AYD12" s="439"/>
      <c r="AYE12" s="439"/>
      <c r="AYF12" s="439"/>
      <c r="AYG12" s="439"/>
      <c r="AYH12" s="439"/>
      <c r="AYI12" s="439"/>
      <c r="AYJ12" s="439"/>
      <c r="AYK12" s="439"/>
      <c r="AYL12" s="439"/>
      <c r="AYM12" s="439"/>
      <c r="AYN12" s="439"/>
      <c r="AYO12" s="439"/>
      <c r="AYP12" s="439"/>
      <c r="AYQ12" s="439"/>
      <c r="AYR12" s="439"/>
      <c r="AYS12" s="439"/>
      <c r="AYT12" s="439"/>
      <c r="AYU12" s="439"/>
      <c r="AYV12" s="439"/>
      <c r="AYW12" s="439"/>
      <c r="AYX12" s="439"/>
      <c r="AYY12" s="439"/>
      <c r="AYZ12" s="439"/>
      <c r="AZA12" s="439"/>
      <c r="AZB12" s="439"/>
      <c r="AZC12" s="439"/>
      <c r="AZD12" s="439"/>
      <c r="AZE12" s="439"/>
      <c r="AZF12" s="439"/>
      <c r="AZG12" s="439"/>
      <c r="AZH12" s="439"/>
      <c r="AZI12" s="439"/>
      <c r="AZJ12" s="439"/>
      <c r="AZK12" s="439"/>
      <c r="AZL12" s="439"/>
      <c r="AZM12" s="439"/>
      <c r="AZN12" s="439"/>
      <c r="AZO12" s="439"/>
      <c r="AZP12" s="439"/>
      <c r="AZQ12" s="439"/>
      <c r="AZR12" s="439"/>
      <c r="AZS12" s="439"/>
      <c r="AZT12" s="439"/>
      <c r="AZU12" s="439"/>
      <c r="AZV12" s="439"/>
      <c r="AZW12" s="439"/>
      <c r="AZX12" s="439"/>
      <c r="AZY12" s="439"/>
      <c r="AZZ12" s="439"/>
      <c r="BAA12" s="439"/>
      <c r="BAB12" s="439"/>
      <c r="BAC12" s="439"/>
      <c r="BAD12" s="439"/>
      <c r="BAE12" s="439"/>
      <c r="BAF12" s="439"/>
      <c r="BAG12" s="439"/>
      <c r="BAH12" s="439"/>
      <c r="BAI12" s="439"/>
      <c r="BAJ12" s="439"/>
      <c r="BAK12" s="439"/>
      <c r="BAL12" s="439"/>
      <c r="BAM12" s="439"/>
      <c r="BAN12" s="439"/>
      <c r="BAO12" s="439"/>
      <c r="BAP12" s="439"/>
      <c r="BAQ12" s="439"/>
      <c r="BAR12" s="439"/>
      <c r="BAS12" s="439"/>
      <c r="BAT12" s="439"/>
      <c r="BAU12" s="439"/>
      <c r="BAV12" s="439"/>
      <c r="BAW12" s="439"/>
      <c r="BAX12" s="439"/>
      <c r="BAY12" s="439"/>
      <c r="BAZ12" s="439"/>
      <c r="BBA12" s="439"/>
      <c r="BBB12" s="439"/>
      <c r="BBC12" s="439"/>
      <c r="BBD12" s="439"/>
      <c r="BBE12" s="439"/>
      <c r="BBF12" s="439"/>
      <c r="BBG12" s="439"/>
      <c r="BBH12" s="439"/>
      <c r="BBI12" s="439"/>
      <c r="BBJ12" s="439"/>
      <c r="BBK12" s="439"/>
      <c r="BBL12" s="439"/>
      <c r="BBM12" s="439"/>
      <c r="BBN12" s="439"/>
      <c r="BBO12" s="439"/>
      <c r="BBP12" s="439"/>
      <c r="BBQ12" s="439"/>
      <c r="BBR12" s="439"/>
      <c r="BBS12" s="439"/>
      <c r="BBT12" s="439"/>
      <c r="BBU12" s="439"/>
      <c r="BBV12" s="439"/>
      <c r="BBW12" s="439"/>
      <c r="BBX12" s="439"/>
      <c r="BBY12" s="439"/>
      <c r="BBZ12" s="439"/>
      <c r="BCA12" s="439"/>
      <c r="BCB12" s="439"/>
      <c r="BCC12" s="439"/>
      <c r="BCD12" s="439"/>
      <c r="BCE12" s="439"/>
      <c r="BCF12" s="439"/>
      <c r="BCG12" s="439"/>
      <c r="BCH12" s="439"/>
      <c r="BCI12" s="439"/>
      <c r="BCJ12" s="439"/>
      <c r="BCK12" s="439"/>
      <c r="BCL12" s="439"/>
      <c r="BCM12" s="439"/>
      <c r="BCN12" s="439"/>
      <c r="BCO12" s="439"/>
      <c r="BCP12" s="439"/>
      <c r="BCQ12" s="439"/>
      <c r="BCR12" s="439"/>
      <c r="BCS12" s="439"/>
      <c r="BCT12" s="439"/>
      <c r="BCU12" s="439"/>
      <c r="BCV12" s="439"/>
      <c r="BCW12" s="439"/>
      <c r="BCX12" s="439"/>
      <c r="BCY12" s="439"/>
      <c r="BCZ12" s="439"/>
      <c r="BDA12" s="439"/>
      <c r="BDB12" s="439"/>
      <c r="BDC12" s="439"/>
      <c r="BDD12" s="439"/>
      <c r="BDE12" s="439"/>
      <c r="BDF12" s="439"/>
      <c r="BDG12" s="439"/>
      <c r="BDH12" s="439"/>
      <c r="BDI12" s="439"/>
      <c r="BDJ12" s="439"/>
      <c r="BDK12" s="439"/>
      <c r="BDL12" s="439"/>
      <c r="BDM12" s="439"/>
      <c r="BDN12" s="439"/>
      <c r="BDO12" s="439"/>
      <c r="BDP12" s="439"/>
      <c r="BDQ12" s="439"/>
      <c r="BDR12" s="439"/>
      <c r="BDS12" s="439"/>
      <c r="BDT12" s="439"/>
      <c r="BDU12" s="439"/>
      <c r="BDV12" s="439"/>
      <c r="BDW12" s="439"/>
      <c r="BDX12" s="439"/>
      <c r="BDY12" s="439"/>
      <c r="BDZ12" s="439"/>
      <c r="BEA12" s="439"/>
      <c r="BEB12" s="439"/>
      <c r="BEC12" s="439"/>
      <c r="BED12" s="439"/>
      <c r="BEE12" s="439"/>
      <c r="BEF12" s="439"/>
      <c r="BEG12" s="439"/>
      <c r="BEH12" s="439"/>
      <c r="BEI12" s="439"/>
      <c r="BEJ12" s="439"/>
      <c r="BEK12" s="439"/>
      <c r="BEL12" s="439"/>
      <c r="BEM12" s="439"/>
      <c r="BEN12" s="439"/>
      <c r="BEO12" s="439"/>
      <c r="BEP12" s="439"/>
      <c r="BEQ12" s="439"/>
      <c r="BER12" s="439"/>
      <c r="BES12" s="439"/>
      <c r="BET12" s="439"/>
      <c r="BEU12" s="439"/>
      <c r="BEV12" s="439"/>
      <c r="BEW12" s="439"/>
      <c r="BEX12" s="439"/>
      <c r="BEY12" s="439"/>
      <c r="BEZ12" s="439"/>
      <c r="BFA12" s="439"/>
      <c r="BFB12" s="439"/>
      <c r="BFC12" s="439"/>
      <c r="BFD12" s="439"/>
      <c r="BFE12" s="439"/>
      <c r="BFF12" s="439"/>
      <c r="BFG12" s="439"/>
      <c r="BFH12" s="439"/>
      <c r="BFI12" s="439"/>
      <c r="BFJ12" s="439"/>
      <c r="BFK12" s="439"/>
      <c r="BFL12" s="439"/>
      <c r="BFM12" s="439"/>
      <c r="BFN12" s="439"/>
      <c r="BFO12" s="439"/>
      <c r="BFP12" s="439"/>
      <c r="BFQ12" s="439"/>
      <c r="BFR12" s="439"/>
      <c r="BFS12" s="439"/>
      <c r="BFT12" s="439"/>
      <c r="BFU12" s="439"/>
      <c r="BFV12" s="439"/>
      <c r="BFW12" s="439"/>
      <c r="BFX12" s="439"/>
      <c r="BFY12" s="439"/>
      <c r="BFZ12" s="439"/>
      <c r="BGA12" s="439"/>
      <c r="BGB12" s="439"/>
      <c r="BGC12" s="439"/>
      <c r="BGD12" s="439"/>
      <c r="BGE12" s="439"/>
      <c r="BGF12" s="439"/>
      <c r="BGG12" s="439"/>
      <c r="BGH12" s="439"/>
      <c r="BGI12" s="439"/>
      <c r="BGJ12" s="439"/>
      <c r="BGK12" s="439"/>
      <c r="BGL12" s="439"/>
      <c r="BGM12" s="439"/>
      <c r="BGN12" s="439"/>
      <c r="BGO12" s="439"/>
      <c r="BGP12" s="439"/>
      <c r="BGQ12" s="439"/>
      <c r="BGR12" s="439"/>
      <c r="BGS12" s="439"/>
      <c r="BGT12" s="439"/>
      <c r="BGU12" s="439"/>
      <c r="BGV12" s="439"/>
      <c r="BGW12" s="439"/>
      <c r="BGX12" s="439"/>
      <c r="BGY12" s="439"/>
      <c r="BGZ12" s="439"/>
      <c r="BHA12" s="439"/>
      <c r="BHB12" s="439"/>
      <c r="BHC12" s="439"/>
      <c r="BHD12" s="439"/>
      <c r="BHE12" s="439"/>
      <c r="BHF12" s="439"/>
      <c r="BHG12" s="439"/>
      <c r="BHH12" s="439"/>
      <c r="BHI12" s="439"/>
      <c r="BHJ12" s="439"/>
      <c r="BHK12" s="439"/>
      <c r="BHL12" s="439"/>
      <c r="BHM12" s="439"/>
      <c r="BHN12" s="439"/>
      <c r="BHO12" s="439"/>
      <c r="BHP12" s="439"/>
      <c r="BHQ12" s="439"/>
      <c r="BHR12" s="439"/>
      <c r="BHS12" s="439"/>
      <c r="BHT12" s="439"/>
      <c r="BHU12" s="439"/>
      <c r="BHV12" s="439"/>
      <c r="BHW12" s="439"/>
      <c r="BHX12" s="439"/>
      <c r="BHY12" s="439"/>
      <c r="BHZ12" s="439"/>
      <c r="BIA12" s="439"/>
      <c r="BIB12" s="439"/>
      <c r="BIC12" s="439"/>
      <c r="BID12" s="439"/>
      <c r="BIE12" s="439"/>
      <c r="BIF12" s="439"/>
      <c r="BIG12" s="439"/>
      <c r="BIH12" s="439"/>
      <c r="BII12" s="439"/>
      <c r="BIJ12" s="439"/>
      <c r="BIK12" s="439"/>
      <c r="BIL12" s="439"/>
      <c r="BIM12" s="439"/>
      <c r="BIN12" s="439"/>
      <c r="BIO12" s="439"/>
      <c r="BIP12" s="439"/>
      <c r="BIQ12" s="439"/>
      <c r="BIR12" s="439"/>
      <c r="BIS12" s="439"/>
      <c r="BIT12" s="439"/>
      <c r="BIU12" s="439"/>
      <c r="BIV12" s="439"/>
      <c r="BIW12" s="439"/>
      <c r="BIX12" s="439"/>
      <c r="BIY12" s="439"/>
      <c r="BIZ12" s="439"/>
      <c r="BJA12" s="439"/>
      <c r="BJB12" s="439"/>
      <c r="BJC12" s="439"/>
      <c r="BJD12" s="439"/>
      <c r="BJE12" s="439"/>
      <c r="BJF12" s="439"/>
      <c r="BJG12" s="439"/>
      <c r="BJH12" s="439"/>
      <c r="BJI12" s="439"/>
      <c r="BJJ12" s="439"/>
      <c r="BJK12" s="439"/>
      <c r="BJL12" s="439"/>
      <c r="BJM12" s="439"/>
      <c r="BJN12" s="439"/>
      <c r="BJO12" s="439"/>
      <c r="BJP12" s="439"/>
      <c r="BJQ12" s="439"/>
      <c r="BJR12" s="439"/>
      <c r="BJS12" s="439"/>
      <c r="BJT12" s="439"/>
      <c r="BJU12" s="439"/>
      <c r="BJV12" s="439"/>
      <c r="BJW12" s="439"/>
      <c r="BJX12" s="439"/>
      <c r="BJY12" s="439"/>
      <c r="BJZ12" s="439"/>
      <c r="BKA12" s="439"/>
      <c r="BKB12" s="439"/>
      <c r="BKC12" s="439"/>
      <c r="BKD12" s="439"/>
      <c r="BKE12" s="439"/>
      <c r="BKF12" s="439"/>
      <c r="BKG12" s="439"/>
      <c r="BKH12" s="439"/>
      <c r="BKI12" s="439"/>
      <c r="BKJ12" s="439"/>
      <c r="BKK12" s="439"/>
      <c r="BKL12" s="439"/>
      <c r="BKM12" s="439"/>
      <c r="BKN12" s="439"/>
      <c r="BKO12" s="439"/>
      <c r="BKP12" s="439"/>
      <c r="BKQ12" s="439"/>
      <c r="BKR12" s="439"/>
      <c r="BKS12" s="439"/>
      <c r="BKT12" s="439"/>
      <c r="BKU12" s="439"/>
      <c r="BKV12" s="439"/>
      <c r="BKW12" s="439"/>
      <c r="BKX12" s="439"/>
      <c r="BKY12" s="439"/>
      <c r="BKZ12" s="439"/>
      <c r="BLA12" s="439"/>
      <c r="BLB12" s="439"/>
      <c r="BLC12" s="439"/>
      <c r="BLD12" s="439"/>
      <c r="BLE12" s="439"/>
      <c r="BLF12" s="439"/>
      <c r="BLG12" s="439"/>
      <c r="BLH12" s="439"/>
      <c r="BLI12" s="439"/>
      <c r="BLJ12" s="439"/>
      <c r="BLK12" s="439"/>
      <c r="BLL12" s="439"/>
      <c r="BLM12" s="439"/>
      <c r="BLN12" s="439"/>
      <c r="BLO12" s="439"/>
      <c r="BLP12" s="439"/>
      <c r="BLQ12" s="439"/>
      <c r="BLR12" s="439"/>
      <c r="BLS12" s="439"/>
      <c r="BLT12" s="439"/>
      <c r="BLU12" s="439"/>
      <c r="BLV12" s="439"/>
      <c r="BLW12" s="439"/>
      <c r="BLX12" s="439"/>
      <c r="BLY12" s="439"/>
      <c r="BLZ12" s="439"/>
      <c r="BMA12" s="439"/>
      <c r="BMB12" s="439"/>
      <c r="BMC12" s="439"/>
      <c r="BMD12" s="439"/>
      <c r="BME12" s="439"/>
      <c r="BMF12" s="439"/>
      <c r="BMG12" s="439"/>
      <c r="BMH12" s="439"/>
      <c r="BMI12" s="439"/>
      <c r="BMJ12" s="439"/>
      <c r="BMK12" s="439"/>
      <c r="BML12" s="439"/>
      <c r="BMM12" s="439"/>
      <c r="BMN12" s="439"/>
      <c r="BMO12" s="439"/>
      <c r="BMP12" s="439"/>
      <c r="BMQ12" s="439"/>
      <c r="BMR12" s="439"/>
      <c r="BMS12" s="439"/>
      <c r="BMT12" s="439"/>
      <c r="BMU12" s="439"/>
      <c r="BMV12" s="439"/>
      <c r="BMW12" s="439"/>
      <c r="BMX12" s="439"/>
      <c r="BMY12" s="439"/>
      <c r="BMZ12" s="439"/>
      <c r="BNA12" s="439"/>
      <c r="BNB12" s="439"/>
      <c r="BNC12" s="439"/>
      <c r="BND12" s="439"/>
      <c r="BNE12" s="439"/>
      <c r="BNF12" s="439"/>
      <c r="BNG12" s="439"/>
      <c r="BNH12" s="439"/>
      <c r="BNI12" s="439"/>
      <c r="BNJ12" s="439"/>
      <c r="BNK12" s="439"/>
      <c r="BNL12" s="439"/>
      <c r="BNM12" s="439"/>
      <c r="BNN12" s="439"/>
      <c r="BNO12" s="439"/>
      <c r="BNP12" s="439"/>
      <c r="BNQ12" s="439"/>
      <c r="BNR12" s="439"/>
      <c r="BNS12" s="439"/>
      <c r="BNT12" s="439"/>
      <c r="BNU12" s="439"/>
      <c r="BNV12" s="439"/>
      <c r="BNW12" s="439"/>
      <c r="BNX12" s="439"/>
      <c r="BNY12" s="439"/>
      <c r="BNZ12" s="439"/>
      <c r="BOA12" s="439"/>
      <c r="BOB12" s="439"/>
      <c r="BOC12" s="439"/>
      <c r="BOD12" s="439"/>
      <c r="BOE12" s="439"/>
      <c r="BOF12" s="439"/>
      <c r="BOG12" s="439"/>
      <c r="BOH12" s="439"/>
      <c r="BOI12" s="439"/>
      <c r="BOJ12" s="439"/>
      <c r="BOK12" s="439"/>
      <c r="BOL12" s="439"/>
      <c r="BOM12" s="439"/>
      <c r="BON12" s="439"/>
      <c r="BOO12" s="439"/>
      <c r="BOP12" s="439"/>
      <c r="BOQ12" s="439"/>
      <c r="BOR12" s="439"/>
      <c r="BOS12" s="439"/>
      <c r="BOT12" s="439"/>
      <c r="BOU12" s="439"/>
      <c r="BOV12" s="439"/>
      <c r="BOW12" s="439"/>
      <c r="BOX12" s="439"/>
      <c r="BOY12" s="439"/>
      <c r="BOZ12" s="439"/>
      <c r="BPA12" s="439"/>
      <c r="BPB12" s="439"/>
      <c r="BPC12" s="439"/>
      <c r="BPD12" s="439"/>
      <c r="BPE12" s="439"/>
      <c r="BPF12" s="439"/>
      <c r="BPG12" s="439"/>
      <c r="BPH12" s="439"/>
      <c r="BPI12" s="439"/>
      <c r="BPJ12" s="439"/>
      <c r="BPK12" s="439"/>
      <c r="BPL12" s="439"/>
      <c r="BPM12" s="439"/>
      <c r="BPN12" s="439"/>
      <c r="BPO12" s="439"/>
      <c r="BPP12" s="439"/>
      <c r="BPQ12" s="439"/>
      <c r="BPR12" s="439"/>
      <c r="BPS12" s="439"/>
      <c r="BPT12" s="439"/>
      <c r="BPU12" s="439"/>
      <c r="BPV12" s="439"/>
      <c r="BPW12" s="439"/>
      <c r="BPX12" s="439"/>
      <c r="BPY12" s="439"/>
      <c r="BPZ12" s="439"/>
      <c r="BQA12" s="439"/>
      <c r="BQB12" s="439"/>
      <c r="BQC12" s="439"/>
      <c r="BQD12" s="439"/>
      <c r="BQE12" s="439"/>
      <c r="BQF12" s="439"/>
      <c r="BQG12" s="439"/>
      <c r="BQH12" s="439"/>
      <c r="BQI12" s="439"/>
      <c r="BQJ12" s="439"/>
      <c r="BQK12" s="439"/>
      <c r="BQL12" s="439"/>
      <c r="BQM12" s="439"/>
      <c r="BQN12" s="439"/>
      <c r="BQO12" s="439"/>
      <c r="BQP12" s="439"/>
      <c r="BQQ12" s="439"/>
      <c r="BQR12" s="439"/>
      <c r="BQS12" s="439"/>
      <c r="BQT12" s="439"/>
      <c r="BQU12" s="439"/>
      <c r="BQV12" s="439"/>
      <c r="BQW12" s="439"/>
      <c r="BQX12" s="439"/>
      <c r="BQY12" s="439"/>
      <c r="BQZ12" s="439"/>
      <c r="BRA12" s="439"/>
      <c r="BRB12" s="439"/>
      <c r="BRC12" s="439"/>
      <c r="BRD12" s="439"/>
      <c r="BRE12" s="439"/>
      <c r="BRF12" s="439"/>
      <c r="BRG12" s="439"/>
      <c r="BRH12" s="439"/>
      <c r="BRI12" s="439"/>
      <c r="BRJ12" s="439"/>
      <c r="BRK12" s="439"/>
      <c r="BRL12" s="439"/>
      <c r="BRM12" s="439"/>
      <c r="BRN12" s="439"/>
      <c r="BRO12" s="439"/>
      <c r="BRP12" s="439"/>
      <c r="BRQ12" s="439"/>
      <c r="BRR12" s="439"/>
      <c r="BRS12" s="439"/>
      <c r="BRT12" s="439"/>
      <c r="BRU12" s="439"/>
      <c r="BRV12" s="439"/>
      <c r="BRW12" s="439"/>
      <c r="BRX12" s="439"/>
      <c r="BRY12" s="439"/>
      <c r="BRZ12" s="439"/>
      <c r="BSA12" s="439"/>
      <c r="BSB12" s="439"/>
      <c r="BSC12" s="439"/>
      <c r="BSD12" s="439"/>
      <c r="BSE12" s="439"/>
      <c r="BSF12" s="439"/>
      <c r="BSG12" s="439"/>
      <c r="BSH12" s="439"/>
      <c r="BSI12" s="439"/>
      <c r="BSJ12" s="439"/>
      <c r="BSK12" s="439"/>
      <c r="BSL12" s="439"/>
      <c r="BSM12" s="439"/>
      <c r="BSN12" s="439"/>
      <c r="BSO12" s="439"/>
      <c r="BSP12" s="439"/>
      <c r="BSQ12" s="439"/>
      <c r="BSR12" s="439"/>
      <c r="BSS12" s="439"/>
      <c r="BST12" s="439"/>
      <c r="BSU12" s="439"/>
      <c r="BSV12" s="439"/>
      <c r="BSW12" s="439"/>
      <c r="BSX12" s="439"/>
      <c r="BSY12" s="439"/>
      <c r="BSZ12" s="439"/>
      <c r="BTA12" s="439"/>
      <c r="BTB12" s="439"/>
      <c r="BTC12" s="439"/>
      <c r="BTD12" s="439"/>
      <c r="BTE12" s="439"/>
      <c r="BTF12" s="439"/>
      <c r="BTG12" s="439"/>
      <c r="BTH12" s="439"/>
      <c r="BTI12" s="439"/>
      <c r="BTJ12" s="439"/>
      <c r="BTK12" s="439"/>
      <c r="BTL12" s="439"/>
      <c r="BTM12" s="439"/>
      <c r="BTN12" s="439"/>
      <c r="BTO12" s="439"/>
      <c r="BTP12" s="439"/>
      <c r="BTQ12" s="439"/>
      <c r="BTR12" s="439"/>
      <c r="BTS12" s="439"/>
      <c r="BTT12" s="439"/>
      <c r="BTU12" s="439"/>
      <c r="BTV12" s="439"/>
      <c r="BTW12" s="439"/>
      <c r="BTX12" s="439"/>
      <c r="BTY12" s="439"/>
      <c r="BTZ12" s="439"/>
      <c r="BUA12" s="439"/>
      <c r="BUB12" s="439"/>
      <c r="BUC12" s="439"/>
      <c r="BUD12" s="439"/>
      <c r="BUE12" s="439"/>
      <c r="BUF12" s="439"/>
      <c r="BUG12" s="439"/>
      <c r="BUH12" s="439"/>
      <c r="BUI12" s="439"/>
      <c r="BUJ12" s="439"/>
      <c r="BUK12" s="439"/>
      <c r="BUL12" s="439"/>
      <c r="BUM12" s="439"/>
      <c r="BUN12" s="439"/>
      <c r="BUO12" s="439"/>
      <c r="BUP12" s="439"/>
      <c r="BUQ12" s="439"/>
      <c r="BUR12" s="439"/>
      <c r="BUS12" s="439"/>
      <c r="BUT12" s="439"/>
      <c r="BUU12" s="439"/>
      <c r="BUV12" s="439"/>
      <c r="BUW12" s="439"/>
      <c r="BUX12" s="439"/>
      <c r="BUY12" s="439"/>
      <c r="BUZ12" s="439"/>
      <c r="BVA12" s="439"/>
      <c r="BVB12" s="439"/>
      <c r="BVC12" s="439"/>
      <c r="BVD12" s="439"/>
      <c r="BVE12" s="439"/>
      <c r="BVF12" s="439"/>
      <c r="BVG12" s="439"/>
      <c r="BVH12" s="439"/>
      <c r="BVI12" s="439"/>
      <c r="BVJ12" s="439"/>
      <c r="BVK12" s="439"/>
      <c r="BVL12" s="439"/>
      <c r="BVM12" s="439"/>
      <c r="BVN12" s="439"/>
      <c r="BVO12" s="439"/>
      <c r="BVP12" s="439"/>
      <c r="BVQ12" s="439"/>
      <c r="BVR12" s="439"/>
      <c r="BVS12" s="439"/>
      <c r="BVT12" s="439"/>
      <c r="BVU12" s="439"/>
      <c r="BVV12" s="439"/>
      <c r="BVW12" s="439"/>
      <c r="BVX12" s="439"/>
      <c r="BVY12" s="439"/>
      <c r="BVZ12" s="439"/>
      <c r="BWA12" s="439"/>
      <c r="BWB12" s="439"/>
      <c r="BWC12" s="439"/>
      <c r="BWD12" s="439"/>
      <c r="BWE12" s="439"/>
      <c r="BWF12" s="439"/>
      <c r="BWG12" s="439"/>
      <c r="BWH12" s="439"/>
      <c r="BWI12" s="439"/>
      <c r="BWJ12" s="439"/>
      <c r="BWK12" s="439"/>
      <c r="BWL12" s="439"/>
      <c r="BWM12" s="439"/>
      <c r="BWN12" s="439"/>
      <c r="BWO12" s="439"/>
      <c r="BWP12" s="439"/>
      <c r="BWQ12" s="439"/>
      <c r="BWR12" s="439"/>
      <c r="BWS12" s="439"/>
      <c r="BWT12" s="439"/>
      <c r="BWU12" s="439"/>
      <c r="BWV12" s="439"/>
      <c r="BWW12" s="439"/>
      <c r="BWX12" s="439"/>
      <c r="BWY12" s="439"/>
      <c r="BWZ12" s="439"/>
      <c r="BXA12" s="439"/>
      <c r="BXB12" s="439"/>
      <c r="BXC12" s="439"/>
      <c r="BXD12" s="439"/>
      <c r="BXE12" s="439"/>
      <c r="BXF12" s="439"/>
      <c r="BXG12" s="439"/>
      <c r="BXH12" s="439"/>
      <c r="BXI12" s="439"/>
      <c r="BXJ12" s="439"/>
      <c r="BXK12" s="439"/>
      <c r="BXL12" s="439"/>
      <c r="BXM12" s="439"/>
      <c r="BXN12" s="439"/>
      <c r="BXO12" s="439"/>
      <c r="BXP12" s="439"/>
      <c r="BXQ12" s="439"/>
      <c r="BXR12" s="439"/>
      <c r="BXS12" s="439"/>
      <c r="BXT12" s="439"/>
      <c r="BXU12" s="439"/>
      <c r="BXV12" s="439"/>
      <c r="BXW12" s="439"/>
      <c r="BXX12" s="439"/>
      <c r="BXY12" s="439"/>
      <c r="BXZ12" s="439"/>
      <c r="BYA12" s="439"/>
      <c r="BYB12" s="439"/>
      <c r="BYC12" s="439"/>
      <c r="BYD12" s="439"/>
      <c r="BYE12" s="439"/>
      <c r="BYF12" s="439"/>
      <c r="BYG12" s="439"/>
      <c r="BYH12" s="439"/>
      <c r="BYI12" s="439"/>
      <c r="BYJ12" s="439"/>
      <c r="BYK12" s="439"/>
      <c r="BYL12" s="439"/>
      <c r="BYM12" s="439"/>
      <c r="BYN12" s="439"/>
      <c r="BYO12" s="439"/>
      <c r="BYP12" s="439"/>
      <c r="BYQ12" s="439"/>
      <c r="BYR12" s="439"/>
      <c r="BYS12" s="439"/>
      <c r="BYT12" s="439"/>
      <c r="BYU12" s="439"/>
      <c r="BYV12" s="439"/>
      <c r="BYW12" s="439"/>
      <c r="BYX12" s="439"/>
      <c r="BYY12" s="439"/>
      <c r="BYZ12" s="439"/>
      <c r="BZA12" s="439"/>
      <c r="BZB12" s="439"/>
      <c r="BZC12" s="439"/>
      <c r="BZD12" s="439"/>
      <c r="BZE12" s="439"/>
      <c r="BZF12" s="439"/>
      <c r="BZG12" s="439"/>
      <c r="BZH12" s="439"/>
      <c r="BZI12" s="439"/>
      <c r="BZJ12" s="439"/>
      <c r="BZK12" s="439"/>
      <c r="BZL12" s="439"/>
      <c r="BZM12" s="439"/>
      <c r="BZN12" s="439"/>
      <c r="BZO12" s="439"/>
      <c r="BZP12" s="439"/>
      <c r="BZQ12" s="439"/>
      <c r="BZR12" s="439"/>
      <c r="BZS12" s="439"/>
      <c r="BZT12" s="439"/>
      <c r="BZU12" s="439"/>
      <c r="BZV12" s="439"/>
      <c r="BZW12" s="439"/>
      <c r="BZX12" s="439"/>
      <c r="BZY12" s="439"/>
      <c r="BZZ12" s="439"/>
      <c r="CAA12" s="439"/>
      <c r="CAB12" s="439"/>
      <c r="CAC12" s="439"/>
      <c r="CAD12" s="439"/>
      <c r="CAE12" s="439"/>
      <c r="CAF12" s="439"/>
      <c r="CAG12" s="439"/>
      <c r="CAH12" s="439"/>
      <c r="CAI12" s="439"/>
      <c r="CAJ12" s="439"/>
      <c r="CAK12" s="439"/>
      <c r="CAL12" s="439"/>
      <c r="CAM12" s="439"/>
      <c r="CAN12" s="439"/>
      <c r="CAO12" s="439"/>
      <c r="CAP12" s="439"/>
      <c r="CAQ12" s="439"/>
      <c r="CAR12" s="439"/>
      <c r="CAS12" s="439"/>
      <c r="CAT12" s="439"/>
      <c r="CAU12" s="439"/>
      <c r="CAV12" s="439"/>
      <c r="CAW12" s="439"/>
      <c r="CAX12" s="439"/>
      <c r="CAY12" s="439"/>
      <c r="CAZ12" s="439"/>
      <c r="CBA12" s="439"/>
      <c r="CBB12" s="439"/>
      <c r="CBC12" s="439"/>
      <c r="CBD12" s="439"/>
      <c r="CBE12" s="439"/>
      <c r="CBF12" s="439"/>
      <c r="CBG12" s="439"/>
      <c r="CBH12" s="439"/>
      <c r="CBI12" s="439"/>
      <c r="CBJ12" s="439"/>
      <c r="CBK12" s="439"/>
      <c r="CBL12" s="439"/>
      <c r="CBM12" s="439"/>
      <c r="CBN12" s="439"/>
      <c r="CBO12" s="439"/>
      <c r="CBP12" s="439"/>
      <c r="CBQ12" s="439"/>
      <c r="CBR12" s="439"/>
      <c r="CBS12" s="439"/>
      <c r="CBT12" s="439"/>
      <c r="CBU12" s="439"/>
      <c r="CBV12" s="439"/>
      <c r="CBW12" s="439"/>
      <c r="CBX12" s="439"/>
      <c r="CBY12" s="439"/>
      <c r="CBZ12" s="439"/>
      <c r="CCA12" s="439"/>
      <c r="CCB12" s="439"/>
      <c r="CCC12" s="439"/>
      <c r="CCD12" s="439"/>
      <c r="CCE12" s="439"/>
      <c r="CCF12" s="439"/>
      <c r="CCG12" s="439"/>
      <c r="CCH12" s="439"/>
      <c r="CCI12" s="439"/>
      <c r="CCJ12" s="439"/>
      <c r="CCK12" s="439"/>
      <c r="CCL12" s="439"/>
      <c r="CCM12" s="439"/>
      <c r="CCN12" s="439"/>
      <c r="CCO12" s="439"/>
      <c r="CCP12" s="439"/>
      <c r="CCQ12" s="439"/>
      <c r="CCR12" s="439"/>
      <c r="CCS12" s="439"/>
      <c r="CCT12" s="439"/>
      <c r="CCU12" s="439"/>
      <c r="CCV12" s="439"/>
      <c r="CCW12" s="439"/>
      <c r="CCX12" s="439"/>
      <c r="CCY12" s="439"/>
      <c r="CCZ12" s="439"/>
      <c r="CDA12" s="439"/>
      <c r="CDB12" s="439"/>
      <c r="CDC12" s="439"/>
      <c r="CDD12" s="439"/>
      <c r="CDE12" s="439"/>
      <c r="CDF12" s="439"/>
      <c r="CDG12" s="439"/>
      <c r="CDH12" s="439"/>
      <c r="CDI12" s="439"/>
      <c r="CDJ12" s="439"/>
      <c r="CDK12" s="439"/>
      <c r="CDL12" s="439"/>
      <c r="CDM12" s="439"/>
      <c r="CDN12" s="439"/>
      <c r="CDO12" s="439"/>
      <c r="CDP12" s="439"/>
      <c r="CDQ12" s="439"/>
      <c r="CDR12" s="439"/>
      <c r="CDS12" s="439"/>
      <c r="CDT12" s="439"/>
      <c r="CDU12" s="439"/>
      <c r="CDV12" s="439"/>
      <c r="CDW12" s="439"/>
      <c r="CDX12" s="439"/>
      <c r="CDY12" s="439"/>
      <c r="CDZ12" s="439"/>
      <c r="CEA12" s="439"/>
      <c r="CEB12" s="439"/>
      <c r="CEC12" s="439"/>
      <c r="CED12" s="439"/>
      <c r="CEE12" s="439"/>
      <c r="CEF12" s="439"/>
      <c r="CEG12" s="439"/>
      <c r="CEH12" s="439"/>
      <c r="CEI12" s="439"/>
      <c r="CEJ12" s="439"/>
      <c r="CEK12" s="439"/>
      <c r="CEL12" s="439"/>
      <c r="CEM12" s="439"/>
      <c r="CEN12" s="439"/>
      <c r="CEO12" s="439"/>
      <c r="CEP12" s="439"/>
      <c r="CEQ12" s="439"/>
      <c r="CER12" s="439"/>
      <c r="CES12" s="439"/>
      <c r="CET12" s="439"/>
      <c r="CEU12" s="439"/>
      <c r="CEV12" s="439"/>
      <c r="CEW12" s="439"/>
      <c r="CEX12" s="439"/>
      <c r="CEY12" s="439"/>
      <c r="CEZ12" s="439"/>
      <c r="CFA12" s="439"/>
      <c r="CFB12" s="439"/>
      <c r="CFC12" s="439"/>
      <c r="CFD12" s="439"/>
      <c r="CFE12" s="439"/>
      <c r="CFF12" s="439"/>
      <c r="CFG12" s="439"/>
      <c r="CFH12" s="439"/>
      <c r="CFI12" s="439"/>
      <c r="CFJ12" s="439"/>
      <c r="CFK12" s="439"/>
      <c r="CFL12" s="439"/>
      <c r="CFM12" s="439"/>
      <c r="CFN12" s="439"/>
      <c r="CFO12" s="439"/>
      <c r="CFP12" s="439"/>
      <c r="CFQ12" s="439"/>
      <c r="CFR12" s="439"/>
      <c r="CFS12" s="439"/>
      <c r="CFT12" s="439"/>
      <c r="CFU12" s="439"/>
      <c r="CFV12" s="439"/>
      <c r="CFW12" s="439"/>
      <c r="CFX12" s="439"/>
      <c r="CFY12" s="439"/>
      <c r="CFZ12" s="439"/>
      <c r="CGA12" s="439"/>
      <c r="CGB12" s="439"/>
      <c r="CGC12" s="439"/>
      <c r="CGD12" s="439"/>
      <c r="CGE12" s="439"/>
      <c r="CGF12" s="439"/>
      <c r="CGG12" s="439"/>
      <c r="CGH12" s="439"/>
      <c r="CGI12" s="439"/>
      <c r="CGJ12" s="439"/>
      <c r="CGK12" s="439"/>
      <c r="CGL12" s="439"/>
      <c r="CGM12" s="439"/>
      <c r="CGN12" s="439"/>
      <c r="CGO12" s="439"/>
      <c r="CGP12" s="439"/>
      <c r="CGQ12" s="439"/>
      <c r="CGR12" s="439"/>
      <c r="CGS12" s="439"/>
      <c r="CGT12" s="439"/>
      <c r="CGU12" s="439"/>
      <c r="CGV12" s="439"/>
      <c r="CGW12" s="439"/>
      <c r="CGX12" s="439"/>
      <c r="CGY12" s="439"/>
      <c r="CGZ12" s="439"/>
      <c r="CHA12" s="439"/>
      <c r="CHB12" s="439"/>
      <c r="CHC12" s="439"/>
      <c r="CHD12" s="439"/>
      <c r="CHE12" s="439"/>
      <c r="CHF12" s="439"/>
      <c r="CHG12" s="439"/>
      <c r="CHH12" s="439"/>
      <c r="CHI12" s="439"/>
      <c r="CHJ12" s="439"/>
      <c r="CHK12" s="439"/>
      <c r="CHL12" s="439"/>
      <c r="CHM12" s="439"/>
      <c r="CHN12" s="439"/>
      <c r="CHO12" s="439"/>
      <c r="CHP12" s="439"/>
      <c r="CHQ12" s="439"/>
      <c r="CHR12" s="439"/>
      <c r="CHS12" s="439"/>
      <c r="CHT12" s="439"/>
      <c r="CHU12" s="439"/>
      <c r="CHV12" s="439"/>
      <c r="CHW12" s="439"/>
      <c r="CHX12" s="439"/>
      <c r="CHY12" s="439"/>
      <c r="CHZ12" s="439"/>
      <c r="CIA12" s="439"/>
      <c r="CIB12" s="439"/>
      <c r="CIC12" s="439"/>
      <c r="CID12" s="439"/>
      <c r="CIE12" s="439"/>
      <c r="CIF12" s="439"/>
      <c r="CIG12" s="439"/>
      <c r="CIH12" s="439"/>
      <c r="CII12" s="439"/>
      <c r="CIJ12" s="439"/>
      <c r="CIK12" s="439"/>
      <c r="CIL12" s="439"/>
      <c r="CIM12" s="439"/>
      <c r="CIN12" s="439"/>
      <c r="CIO12" s="439"/>
      <c r="CIP12" s="439"/>
      <c r="CIQ12" s="439"/>
      <c r="CIR12" s="439"/>
      <c r="CIS12" s="439"/>
      <c r="CIT12" s="439"/>
      <c r="CIU12" s="439"/>
      <c r="CIV12" s="439"/>
      <c r="CIW12" s="439"/>
      <c r="CIX12" s="439"/>
      <c r="CIY12" s="439"/>
      <c r="CIZ12" s="439"/>
      <c r="CJA12" s="439"/>
      <c r="CJB12" s="439"/>
      <c r="CJC12" s="439"/>
      <c r="CJD12" s="439"/>
      <c r="CJE12" s="439"/>
      <c r="CJF12" s="439"/>
      <c r="CJG12" s="439"/>
      <c r="CJH12" s="439"/>
      <c r="CJI12" s="439"/>
      <c r="CJJ12" s="439"/>
      <c r="CJK12" s="439"/>
      <c r="CJL12" s="439"/>
      <c r="CJM12" s="439"/>
      <c r="CJN12" s="439"/>
      <c r="CJO12" s="439"/>
      <c r="CJP12" s="439"/>
      <c r="CJQ12" s="439"/>
      <c r="CJR12" s="439"/>
      <c r="CJS12" s="439"/>
      <c r="CJT12" s="439"/>
      <c r="CJU12" s="439"/>
      <c r="CJV12" s="439"/>
      <c r="CJW12" s="439"/>
      <c r="CJX12" s="439"/>
      <c r="CJY12" s="439"/>
      <c r="CJZ12" s="439"/>
      <c r="CKA12" s="439"/>
      <c r="CKB12" s="439"/>
      <c r="CKC12" s="439"/>
      <c r="CKD12" s="439"/>
      <c r="CKE12" s="439"/>
      <c r="CKF12" s="439"/>
      <c r="CKG12" s="439"/>
      <c r="CKH12" s="439"/>
      <c r="CKI12" s="439"/>
      <c r="CKJ12" s="439"/>
      <c r="CKK12" s="439"/>
      <c r="CKL12" s="439"/>
      <c r="CKM12" s="439"/>
      <c r="CKN12" s="439"/>
      <c r="CKO12" s="439"/>
      <c r="CKP12" s="439"/>
      <c r="CKQ12" s="439"/>
      <c r="CKR12" s="439"/>
      <c r="CKS12" s="439"/>
      <c r="CKT12" s="439"/>
      <c r="CKU12" s="439"/>
      <c r="CKV12" s="439"/>
      <c r="CKW12" s="439"/>
      <c r="CKX12" s="439"/>
      <c r="CKY12" s="439"/>
      <c r="CKZ12" s="439"/>
      <c r="CLA12" s="439"/>
      <c r="CLB12" s="439"/>
      <c r="CLC12" s="439"/>
      <c r="CLD12" s="439"/>
      <c r="CLE12" s="439"/>
      <c r="CLF12" s="439"/>
      <c r="CLG12" s="439"/>
      <c r="CLH12" s="439"/>
      <c r="CLI12" s="439"/>
      <c r="CLJ12" s="439"/>
      <c r="CLK12" s="439"/>
      <c r="CLL12" s="439"/>
      <c r="CLM12" s="439"/>
      <c r="CLN12" s="439"/>
      <c r="CLO12" s="439"/>
      <c r="CLP12" s="439"/>
      <c r="CLQ12" s="439"/>
      <c r="CLR12" s="439"/>
      <c r="CLS12" s="439"/>
      <c r="CLT12" s="439"/>
      <c r="CLU12" s="439"/>
      <c r="CLV12" s="439"/>
      <c r="CLW12" s="439"/>
      <c r="CLX12" s="439"/>
      <c r="CLY12" s="439"/>
      <c r="CLZ12" s="439"/>
      <c r="CMA12" s="439"/>
      <c r="CMB12" s="439"/>
      <c r="CMC12" s="439"/>
      <c r="CMD12" s="439"/>
      <c r="CME12" s="439"/>
      <c r="CMF12" s="439"/>
      <c r="CMG12" s="439"/>
      <c r="CMH12" s="439"/>
      <c r="CMI12" s="439"/>
      <c r="CMJ12" s="439"/>
      <c r="CMK12" s="439"/>
      <c r="CML12" s="439"/>
      <c r="CMM12" s="439"/>
      <c r="CMN12" s="439"/>
      <c r="CMO12" s="439"/>
      <c r="CMP12" s="439"/>
      <c r="CMQ12" s="439"/>
      <c r="CMR12" s="439"/>
      <c r="CMS12" s="439"/>
      <c r="CMT12" s="439"/>
      <c r="CMU12" s="439"/>
      <c r="CMV12" s="439"/>
      <c r="CMW12" s="439"/>
      <c r="CMX12" s="439"/>
      <c r="CMY12" s="439"/>
      <c r="CMZ12" s="439"/>
      <c r="CNA12" s="439"/>
      <c r="CNB12" s="439"/>
      <c r="CNC12" s="439"/>
      <c r="CND12" s="439"/>
      <c r="CNE12" s="439"/>
      <c r="CNF12" s="439"/>
      <c r="CNG12" s="439"/>
      <c r="CNH12" s="439"/>
      <c r="CNI12" s="439"/>
      <c r="CNJ12" s="439"/>
      <c r="CNK12" s="439"/>
      <c r="CNL12" s="439"/>
      <c r="CNM12" s="439"/>
      <c r="CNN12" s="439"/>
      <c r="CNO12" s="439"/>
      <c r="CNP12" s="439"/>
      <c r="CNQ12" s="439"/>
      <c r="CNR12" s="439"/>
      <c r="CNS12" s="439"/>
      <c r="CNT12" s="439"/>
      <c r="CNU12" s="439"/>
      <c r="CNV12" s="439"/>
      <c r="CNW12" s="439"/>
      <c r="CNX12" s="439"/>
      <c r="CNY12" s="439"/>
      <c r="CNZ12" s="439"/>
      <c r="COA12" s="439"/>
      <c r="COB12" s="439"/>
      <c r="COC12" s="439"/>
      <c r="COD12" s="439"/>
      <c r="COE12" s="439"/>
      <c r="COF12" s="439"/>
      <c r="COG12" s="439"/>
      <c r="COH12" s="439"/>
      <c r="COI12" s="439"/>
      <c r="COJ12" s="439"/>
      <c r="COK12" s="439"/>
      <c r="COL12" s="439"/>
      <c r="COM12" s="439"/>
      <c r="CON12" s="439"/>
      <c r="COO12" s="439"/>
      <c r="COP12" s="439"/>
      <c r="COQ12" s="439"/>
      <c r="COR12" s="439"/>
      <c r="COS12" s="439"/>
      <c r="COT12" s="439"/>
      <c r="COU12" s="439"/>
      <c r="COV12" s="439"/>
      <c r="COW12" s="439"/>
      <c r="COX12" s="439"/>
      <c r="COY12" s="439"/>
      <c r="COZ12" s="439"/>
      <c r="CPA12" s="439"/>
      <c r="CPB12" s="439"/>
      <c r="CPC12" s="439"/>
      <c r="CPD12" s="439"/>
      <c r="CPE12" s="439"/>
      <c r="CPF12" s="439"/>
      <c r="CPG12" s="439"/>
      <c r="CPH12" s="439"/>
      <c r="CPI12" s="439"/>
      <c r="CPJ12" s="439"/>
      <c r="CPK12" s="439"/>
      <c r="CPL12" s="439"/>
      <c r="CPM12" s="439"/>
      <c r="CPN12" s="439"/>
      <c r="CPO12" s="439"/>
      <c r="CPP12" s="439"/>
      <c r="CPQ12" s="439"/>
      <c r="CPR12" s="439"/>
      <c r="CPS12" s="439"/>
      <c r="CPT12" s="439"/>
      <c r="CPU12" s="439"/>
      <c r="CPV12" s="439"/>
      <c r="CPW12" s="439"/>
      <c r="CPX12" s="439"/>
      <c r="CPY12" s="439"/>
      <c r="CPZ12" s="439"/>
      <c r="CQA12" s="439"/>
      <c r="CQB12" s="439"/>
      <c r="CQC12" s="439"/>
      <c r="CQD12" s="439"/>
      <c r="CQE12" s="439"/>
      <c r="CQF12" s="439"/>
      <c r="CQG12" s="439"/>
      <c r="CQH12" s="439"/>
      <c r="CQI12" s="439"/>
      <c r="CQJ12" s="439"/>
      <c r="CQK12" s="439"/>
      <c r="CQL12" s="439"/>
      <c r="CQM12" s="439"/>
      <c r="CQN12" s="439"/>
      <c r="CQO12" s="439"/>
      <c r="CQP12" s="439"/>
      <c r="CQQ12" s="439"/>
      <c r="CQR12" s="439"/>
      <c r="CQS12" s="439"/>
      <c r="CQT12" s="439"/>
      <c r="CQU12" s="439"/>
      <c r="CQV12" s="439"/>
      <c r="CQW12" s="439"/>
      <c r="CQX12" s="439"/>
      <c r="CQY12" s="439"/>
      <c r="CQZ12" s="439"/>
      <c r="CRA12" s="439"/>
      <c r="CRB12" s="439"/>
      <c r="CRC12" s="439"/>
      <c r="CRD12" s="439"/>
      <c r="CRE12" s="439"/>
      <c r="CRF12" s="439"/>
      <c r="CRG12" s="439"/>
      <c r="CRH12" s="439"/>
      <c r="CRI12" s="439"/>
      <c r="CRJ12" s="439"/>
      <c r="CRK12" s="439"/>
      <c r="CRL12" s="439"/>
      <c r="CRM12" s="439"/>
      <c r="CRN12" s="439"/>
      <c r="CRO12" s="439"/>
      <c r="CRP12" s="439"/>
      <c r="CRQ12" s="439"/>
      <c r="CRR12" s="439"/>
      <c r="CRS12" s="439"/>
      <c r="CRT12" s="439"/>
      <c r="CRU12" s="439"/>
      <c r="CRV12" s="439"/>
      <c r="CRW12" s="439"/>
      <c r="CRX12" s="439"/>
      <c r="CRY12" s="439"/>
      <c r="CRZ12" s="439"/>
      <c r="CSA12" s="439"/>
      <c r="CSB12" s="439"/>
      <c r="CSC12" s="439"/>
      <c r="CSD12" s="439"/>
      <c r="CSE12" s="439"/>
      <c r="CSF12" s="439"/>
      <c r="CSG12" s="439"/>
      <c r="CSH12" s="439"/>
      <c r="CSI12" s="439"/>
      <c r="CSJ12" s="439"/>
      <c r="CSK12" s="439"/>
      <c r="CSL12" s="439"/>
      <c r="CSM12" s="439"/>
      <c r="CSN12" s="439"/>
      <c r="CSO12" s="439"/>
      <c r="CSP12" s="439"/>
      <c r="CSQ12" s="439"/>
      <c r="CSR12" s="439"/>
      <c r="CSS12" s="439"/>
      <c r="CST12" s="439"/>
      <c r="CSU12" s="439"/>
      <c r="CSV12" s="439"/>
      <c r="CSW12" s="439"/>
      <c r="CSX12" s="439"/>
      <c r="CSY12" s="439"/>
      <c r="CSZ12" s="439"/>
      <c r="CTA12" s="439"/>
      <c r="CTB12" s="439"/>
      <c r="CTC12" s="439"/>
      <c r="CTD12" s="439"/>
      <c r="CTE12" s="439"/>
      <c r="CTF12" s="439"/>
      <c r="CTG12" s="439"/>
      <c r="CTH12" s="439"/>
      <c r="CTI12" s="439"/>
      <c r="CTJ12" s="439"/>
      <c r="CTK12" s="439"/>
      <c r="CTL12" s="439"/>
      <c r="CTM12" s="439"/>
      <c r="CTN12" s="439"/>
      <c r="CTO12" s="439"/>
      <c r="CTP12" s="439"/>
      <c r="CTQ12" s="439"/>
      <c r="CTR12" s="439"/>
      <c r="CTS12" s="439"/>
      <c r="CTT12" s="439"/>
      <c r="CTU12" s="439"/>
      <c r="CTV12" s="439"/>
      <c r="CTW12" s="439"/>
      <c r="CTX12" s="439"/>
      <c r="CTY12" s="439"/>
      <c r="CTZ12" s="439"/>
      <c r="CUA12" s="439"/>
      <c r="CUB12" s="439"/>
      <c r="CUC12" s="439"/>
      <c r="CUD12" s="439"/>
      <c r="CUE12" s="439"/>
      <c r="CUF12" s="439"/>
      <c r="CUG12" s="439"/>
      <c r="CUH12" s="439"/>
      <c r="CUI12" s="439"/>
      <c r="CUJ12" s="439"/>
      <c r="CUK12" s="439"/>
      <c r="CUL12" s="439"/>
      <c r="CUM12" s="439"/>
      <c r="CUN12" s="439"/>
      <c r="CUO12" s="439"/>
      <c r="CUP12" s="439"/>
      <c r="CUQ12" s="439"/>
      <c r="CUR12" s="439"/>
      <c r="CUS12" s="439"/>
      <c r="CUT12" s="439"/>
      <c r="CUU12" s="439"/>
      <c r="CUV12" s="439"/>
      <c r="CUW12" s="439"/>
      <c r="CUX12" s="439"/>
      <c r="CUY12" s="439"/>
      <c r="CUZ12" s="439"/>
      <c r="CVA12" s="439"/>
      <c r="CVB12" s="439"/>
      <c r="CVC12" s="439"/>
      <c r="CVD12" s="439"/>
      <c r="CVE12" s="439"/>
      <c r="CVF12" s="439"/>
      <c r="CVG12" s="439"/>
      <c r="CVH12" s="439"/>
      <c r="CVI12" s="439"/>
      <c r="CVJ12" s="439"/>
      <c r="CVK12" s="439"/>
      <c r="CVL12" s="439"/>
      <c r="CVM12" s="439"/>
      <c r="CVN12" s="439"/>
      <c r="CVO12" s="439"/>
      <c r="CVP12" s="439"/>
      <c r="CVQ12" s="439"/>
      <c r="CVR12" s="439"/>
      <c r="CVS12" s="439"/>
      <c r="CVT12" s="439"/>
      <c r="CVU12" s="439"/>
      <c r="CVV12" s="439"/>
      <c r="CVW12" s="439"/>
      <c r="CVX12" s="439"/>
      <c r="CVY12" s="439"/>
      <c r="CVZ12" s="439"/>
      <c r="CWA12" s="439"/>
      <c r="CWB12" s="439"/>
      <c r="CWC12" s="439"/>
      <c r="CWD12" s="439"/>
      <c r="CWE12" s="439"/>
      <c r="CWF12" s="439"/>
      <c r="CWG12" s="439"/>
      <c r="CWH12" s="439"/>
      <c r="CWI12" s="439"/>
      <c r="CWJ12" s="439"/>
      <c r="CWK12" s="439"/>
      <c r="CWL12" s="439"/>
      <c r="CWM12" s="439"/>
      <c r="CWN12" s="439"/>
      <c r="CWO12" s="439"/>
      <c r="CWP12" s="439"/>
      <c r="CWQ12" s="439"/>
      <c r="CWR12" s="439"/>
      <c r="CWS12" s="439"/>
      <c r="CWT12" s="439"/>
      <c r="CWU12" s="439"/>
      <c r="CWV12" s="439"/>
      <c r="CWW12" s="439"/>
      <c r="CWX12" s="439"/>
      <c r="CWY12" s="439"/>
      <c r="CWZ12" s="439"/>
      <c r="CXA12" s="439"/>
      <c r="CXB12" s="439"/>
      <c r="CXC12" s="439"/>
      <c r="CXD12" s="439"/>
      <c r="CXE12" s="439"/>
      <c r="CXF12" s="439"/>
      <c r="CXG12" s="439"/>
      <c r="CXH12" s="439"/>
      <c r="CXI12" s="439"/>
      <c r="CXJ12" s="439"/>
      <c r="CXK12" s="439"/>
      <c r="CXL12" s="439"/>
      <c r="CXM12" s="439"/>
      <c r="CXN12" s="439"/>
      <c r="CXO12" s="439"/>
      <c r="CXP12" s="439"/>
      <c r="CXQ12" s="439"/>
      <c r="CXR12" s="439"/>
      <c r="CXS12" s="439"/>
      <c r="CXT12" s="439"/>
      <c r="CXU12" s="439"/>
      <c r="CXV12" s="439"/>
      <c r="CXW12" s="439"/>
      <c r="CXX12" s="439"/>
      <c r="CXY12" s="439"/>
      <c r="CXZ12" s="439"/>
      <c r="CYA12" s="439"/>
      <c r="CYB12" s="439"/>
      <c r="CYC12" s="439"/>
      <c r="CYD12" s="439"/>
      <c r="CYE12" s="439"/>
      <c r="CYF12" s="439"/>
      <c r="CYG12" s="439"/>
      <c r="CYH12" s="439"/>
      <c r="CYI12" s="439"/>
      <c r="CYJ12" s="439"/>
      <c r="CYK12" s="439"/>
      <c r="CYL12" s="439"/>
      <c r="CYM12" s="439"/>
      <c r="CYN12" s="439"/>
      <c r="CYO12" s="439"/>
      <c r="CYP12" s="439"/>
      <c r="CYQ12" s="439"/>
      <c r="CYR12" s="439"/>
      <c r="CYS12" s="439"/>
      <c r="CYT12" s="439"/>
      <c r="CYU12" s="439"/>
      <c r="CYV12" s="439"/>
      <c r="CYW12" s="439"/>
      <c r="CYX12" s="439"/>
      <c r="CYY12" s="439"/>
      <c r="CYZ12" s="439"/>
      <c r="CZA12" s="439"/>
      <c r="CZB12" s="439"/>
      <c r="CZC12" s="439"/>
      <c r="CZD12" s="439"/>
      <c r="CZE12" s="439"/>
      <c r="CZF12" s="439"/>
      <c r="CZG12" s="439"/>
      <c r="CZH12" s="439"/>
      <c r="CZI12" s="439"/>
      <c r="CZJ12" s="439"/>
      <c r="CZK12" s="439"/>
      <c r="CZL12" s="439"/>
      <c r="CZM12" s="439"/>
      <c r="CZN12" s="439"/>
      <c r="CZO12" s="439"/>
      <c r="CZP12" s="439"/>
      <c r="CZQ12" s="439"/>
      <c r="CZR12" s="439"/>
      <c r="CZS12" s="439"/>
      <c r="CZT12" s="439"/>
      <c r="CZU12" s="439"/>
      <c r="CZV12" s="439"/>
      <c r="CZW12" s="439"/>
      <c r="CZX12" s="439"/>
      <c r="CZY12" s="439"/>
      <c r="CZZ12" s="439"/>
      <c r="DAA12" s="439"/>
      <c r="DAB12" s="439"/>
      <c r="DAC12" s="439"/>
      <c r="DAD12" s="439"/>
      <c r="DAE12" s="439"/>
      <c r="DAF12" s="439"/>
      <c r="DAG12" s="439"/>
      <c r="DAH12" s="439"/>
      <c r="DAI12" s="439"/>
      <c r="DAJ12" s="439"/>
      <c r="DAK12" s="439"/>
      <c r="DAL12" s="439"/>
      <c r="DAM12" s="439"/>
      <c r="DAN12" s="439"/>
      <c r="DAO12" s="439"/>
      <c r="DAP12" s="439"/>
      <c r="DAQ12" s="439"/>
      <c r="DAR12" s="439"/>
      <c r="DAS12" s="439"/>
      <c r="DAT12" s="439"/>
      <c r="DAU12" s="439"/>
      <c r="DAV12" s="439"/>
      <c r="DAW12" s="439"/>
      <c r="DAX12" s="439"/>
      <c r="DAY12" s="439"/>
      <c r="DAZ12" s="439"/>
      <c r="DBA12" s="439"/>
      <c r="DBB12" s="439"/>
      <c r="DBC12" s="439"/>
      <c r="DBD12" s="439"/>
      <c r="DBE12" s="439"/>
      <c r="DBF12" s="439"/>
      <c r="DBG12" s="439"/>
      <c r="DBH12" s="439"/>
      <c r="DBI12" s="439"/>
      <c r="DBJ12" s="439"/>
      <c r="DBK12" s="439"/>
      <c r="DBL12" s="439"/>
      <c r="DBM12" s="439"/>
      <c r="DBN12" s="439"/>
      <c r="DBO12" s="439"/>
      <c r="DBP12" s="439"/>
      <c r="DBQ12" s="439"/>
      <c r="DBR12" s="439"/>
      <c r="DBS12" s="439"/>
      <c r="DBT12" s="439"/>
      <c r="DBU12" s="439"/>
      <c r="DBV12" s="439"/>
      <c r="DBW12" s="439"/>
      <c r="DBX12" s="439"/>
      <c r="DBY12" s="439"/>
      <c r="DBZ12" s="439"/>
      <c r="DCA12" s="439"/>
      <c r="DCB12" s="439"/>
      <c r="DCC12" s="439"/>
      <c r="DCD12" s="439"/>
      <c r="DCE12" s="439"/>
      <c r="DCF12" s="439"/>
      <c r="DCG12" s="439"/>
      <c r="DCH12" s="439"/>
      <c r="DCI12" s="439"/>
      <c r="DCJ12" s="439"/>
      <c r="DCK12" s="439"/>
      <c r="DCL12" s="439"/>
      <c r="DCM12" s="439"/>
      <c r="DCN12" s="439"/>
      <c r="DCO12" s="439"/>
      <c r="DCP12" s="439"/>
      <c r="DCQ12" s="439"/>
      <c r="DCR12" s="439"/>
      <c r="DCS12" s="439"/>
      <c r="DCT12" s="439"/>
      <c r="DCU12" s="439"/>
      <c r="DCV12" s="439"/>
      <c r="DCW12" s="439"/>
      <c r="DCX12" s="439"/>
      <c r="DCY12" s="439"/>
      <c r="DCZ12" s="439"/>
      <c r="DDA12" s="439"/>
      <c r="DDB12" s="439"/>
      <c r="DDC12" s="439"/>
      <c r="DDD12" s="439"/>
      <c r="DDE12" s="439"/>
      <c r="DDF12" s="439"/>
      <c r="DDG12" s="439"/>
      <c r="DDH12" s="439"/>
      <c r="DDI12" s="439"/>
      <c r="DDJ12" s="439"/>
      <c r="DDK12" s="439"/>
      <c r="DDL12" s="439"/>
      <c r="DDM12" s="439"/>
      <c r="DDN12" s="439"/>
      <c r="DDO12" s="439"/>
      <c r="DDP12" s="439"/>
      <c r="DDQ12" s="439"/>
      <c r="DDR12" s="439"/>
      <c r="DDS12" s="439"/>
      <c r="DDT12" s="439"/>
      <c r="DDU12" s="439"/>
      <c r="DDV12" s="439"/>
      <c r="DDW12" s="439"/>
      <c r="DDX12" s="439"/>
      <c r="DDY12" s="439"/>
      <c r="DDZ12" s="439"/>
      <c r="DEA12" s="439"/>
      <c r="DEB12" s="439"/>
      <c r="DEC12" s="439"/>
      <c r="DED12" s="439"/>
      <c r="DEE12" s="439"/>
      <c r="DEF12" s="439"/>
      <c r="DEG12" s="439"/>
      <c r="DEH12" s="439"/>
      <c r="DEI12" s="439"/>
      <c r="DEJ12" s="439"/>
      <c r="DEK12" s="439"/>
      <c r="DEL12" s="439"/>
      <c r="DEM12" s="439"/>
      <c r="DEN12" s="439"/>
      <c r="DEO12" s="439"/>
      <c r="DEP12" s="439"/>
      <c r="DEQ12" s="439"/>
      <c r="DER12" s="439"/>
      <c r="DES12" s="439"/>
      <c r="DET12" s="439"/>
      <c r="DEU12" s="439"/>
      <c r="DEV12" s="439"/>
      <c r="DEW12" s="439"/>
      <c r="DEX12" s="439"/>
      <c r="DEY12" s="439"/>
      <c r="DEZ12" s="439"/>
      <c r="DFA12" s="439"/>
      <c r="DFB12" s="439"/>
      <c r="DFC12" s="439"/>
      <c r="DFD12" s="439"/>
      <c r="DFE12" s="439"/>
      <c r="DFF12" s="439"/>
      <c r="DFG12" s="439"/>
      <c r="DFH12" s="439"/>
      <c r="DFI12" s="439"/>
      <c r="DFJ12" s="439"/>
      <c r="DFK12" s="439"/>
      <c r="DFL12" s="439"/>
      <c r="DFM12" s="439"/>
      <c r="DFN12" s="439"/>
      <c r="DFO12" s="439"/>
      <c r="DFP12" s="439"/>
      <c r="DFQ12" s="439"/>
      <c r="DFR12" s="439"/>
      <c r="DFS12" s="439"/>
      <c r="DFT12" s="439"/>
      <c r="DFU12" s="439"/>
      <c r="DFV12" s="439"/>
      <c r="DFW12" s="439"/>
      <c r="DFX12" s="439"/>
      <c r="DFY12" s="439"/>
      <c r="DFZ12" s="439"/>
      <c r="DGA12" s="439"/>
      <c r="DGB12" s="439"/>
      <c r="DGC12" s="439"/>
      <c r="DGD12" s="439"/>
      <c r="DGE12" s="439"/>
      <c r="DGF12" s="439"/>
      <c r="DGG12" s="439"/>
      <c r="DGH12" s="439"/>
      <c r="DGI12" s="439"/>
      <c r="DGJ12" s="439"/>
      <c r="DGK12" s="439"/>
      <c r="DGL12" s="439"/>
      <c r="DGM12" s="439"/>
      <c r="DGN12" s="439"/>
      <c r="DGO12" s="439"/>
      <c r="DGP12" s="439"/>
      <c r="DGQ12" s="439"/>
      <c r="DGR12" s="439"/>
      <c r="DGS12" s="439"/>
      <c r="DGT12" s="439"/>
      <c r="DGU12" s="439"/>
      <c r="DGV12" s="439"/>
      <c r="DGW12" s="439"/>
      <c r="DGX12" s="439"/>
      <c r="DGY12" s="439"/>
      <c r="DGZ12" s="439"/>
      <c r="DHA12" s="439"/>
      <c r="DHB12" s="439"/>
      <c r="DHC12" s="439"/>
      <c r="DHD12" s="439"/>
      <c r="DHE12" s="439"/>
      <c r="DHF12" s="439"/>
      <c r="DHG12" s="439"/>
      <c r="DHH12" s="439"/>
      <c r="DHI12" s="439"/>
      <c r="DHJ12" s="439"/>
      <c r="DHK12" s="439"/>
      <c r="DHL12" s="439"/>
      <c r="DHM12" s="439"/>
      <c r="DHN12" s="439"/>
      <c r="DHO12" s="439"/>
      <c r="DHP12" s="439"/>
      <c r="DHQ12" s="439"/>
      <c r="DHR12" s="439"/>
      <c r="DHS12" s="439"/>
      <c r="DHT12" s="439"/>
      <c r="DHU12" s="439"/>
      <c r="DHV12" s="439"/>
      <c r="DHW12" s="439"/>
      <c r="DHX12" s="439"/>
      <c r="DHY12" s="439"/>
      <c r="DHZ12" s="439"/>
      <c r="DIA12" s="439"/>
      <c r="DIB12" s="439"/>
      <c r="DIC12" s="439"/>
      <c r="DID12" s="439"/>
      <c r="DIE12" s="439"/>
      <c r="DIF12" s="439"/>
      <c r="DIG12" s="439"/>
      <c r="DIH12" s="439"/>
      <c r="DII12" s="439"/>
      <c r="DIJ12" s="439"/>
      <c r="DIK12" s="439"/>
      <c r="DIL12" s="439"/>
      <c r="DIM12" s="439"/>
      <c r="DIN12" s="439"/>
      <c r="DIO12" s="439"/>
      <c r="DIP12" s="439"/>
      <c r="DIQ12" s="439"/>
      <c r="DIR12" s="439"/>
      <c r="DIS12" s="439"/>
      <c r="DIT12" s="439"/>
      <c r="DIU12" s="439"/>
      <c r="DIV12" s="439"/>
      <c r="DIW12" s="439"/>
      <c r="DIX12" s="439"/>
      <c r="DIY12" s="439"/>
      <c r="DIZ12" s="439"/>
      <c r="DJA12" s="439"/>
      <c r="DJB12" s="439"/>
      <c r="DJC12" s="439"/>
      <c r="DJD12" s="439"/>
      <c r="DJE12" s="439"/>
      <c r="DJF12" s="439"/>
      <c r="DJG12" s="439"/>
      <c r="DJH12" s="439"/>
      <c r="DJI12" s="439"/>
      <c r="DJJ12" s="439"/>
      <c r="DJK12" s="439"/>
      <c r="DJL12" s="439"/>
      <c r="DJM12" s="439"/>
      <c r="DJN12" s="439"/>
      <c r="DJO12" s="439"/>
      <c r="DJP12" s="439"/>
      <c r="DJQ12" s="439"/>
      <c r="DJR12" s="439"/>
      <c r="DJS12" s="439"/>
      <c r="DJT12" s="439"/>
      <c r="DJU12" s="439"/>
      <c r="DJV12" s="439"/>
      <c r="DJW12" s="439"/>
      <c r="DJX12" s="439"/>
      <c r="DJY12" s="439"/>
      <c r="DJZ12" s="439"/>
      <c r="DKA12" s="439"/>
      <c r="DKB12" s="439"/>
      <c r="DKC12" s="439"/>
      <c r="DKD12" s="439"/>
      <c r="DKE12" s="439"/>
      <c r="DKF12" s="439"/>
      <c r="DKG12" s="439"/>
      <c r="DKH12" s="439"/>
      <c r="DKI12" s="439"/>
      <c r="DKJ12" s="439"/>
      <c r="DKK12" s="439"/>
      <c r="DKL12" s="439"/>
      <c r="DKM12" s="439"/>
      <c r="DKN12" s="439"/>
      <c r="DKO12" s="439"/>
      <c r="DKP12" s="439"/>
      <c r="DKQ12" s="439"/>
      <c r="DKR12" s="439"/>
      <c r="DKS12" s="439"/>
      <c r="DKT12" s="439"/>
      <c r="DKU12" s="439"/>
      <c r="DKV12" s="439"/>
      <c r="DKW12" s="439"/>
      <c r="DKX12" s="439"/>
      <c r="DKY12" s="439"/>
      <c r="DKZ12" s="439"/>
      <c r="DLA12" s="439"/>
      <c r="DLB12" s="439"/>
      <c r="DLC12" s="439"/>
      <c r="DLD12" s="439"/>
      <c r="DLE12" s="439"/>
      <c r="DLF12" s="439"/>
      <c r="DLG12" s="439"/>
      <c r="DLH12" s="439"/>
      <c r="DLI12" s="439"/>
      <c r="DLJ12" s="439"/>
      <c r="DLK12" s="439"/>
      <c r="DLL12" s="439"/>
      <c r="DLM12" s="439"/>
      <c r="DLN12" s="439"/>
      <c r="DLO12" s="439"/>
      <c r="DLP12" s="439"/>
      <c r="DLQ12" s="439"/>
      <c r="DLR12" s="439"/>
      <c r="DLS12" s="439"/>
      <c r="DLT12" s="439"/>
      <c r="DLU12" s="439"/>
      <c r="DLV12" s="439"/>
      <c r="DLW12" s="439"/>
      <c r="DLX12" s="439"/>
      <c r="DLY12" s="439"/>
      <c r="DLZ12" s="439"/>
      <c r="DMA12" s="439"/>
      <c r="DMB12" s="439"/>
      <c r="DMC12" s="439"/>
      <c r="DMD12" s="439"/>
      <c r="DME12" s="439"/>
      <c r="DMF12" s="439"/>
      <c r="DMG12" s="439"/>
      <c r="DMH12" s="439"/>
      <c r="DMI12" s="439"/>
      <c r="DMJ12" s="439"/>
      <c r="DMK12" s="439"/>
      <c r="DML12" s="439"/>
      <c r="DMM12" s="439"/>
      <c r="DMN12" s="439"/>
      <c r="DMO12" s="439"/>
      <c r="DMP12" s="439"/>
      <c r="DMQ12" s="439"/>
      <c r="DMR12" s="439"/>
      <c r="DMS12" s="439"/>
      <c r="DMT12" s="439"/>
      <c r="DMU12" s="439"/>
      <c r="DMV12" s="439"/>
      <c r="DMW12" s="439"/>
      <c r="DMX12" s="439"/>
      <c r="DMY12" s="439"/>
      <c r="DMZ12" s="439"/>
      <c r="DNA12" s="439"/>
      <c r="DNB12" s="439"/>
      <c r="DNC12" s="439"/>
      <c r="DND12" s="439"/>
      <c r="DNE12" s="439"/>
      <c r="DNF12" s="439"/>
      <c r="DNG12" s="439"/>
      <c r="DNH12" s="439"/>
      <c r="DNI12" s="439"/>
      <c r="DNJ12" s="439"/>
      <c r="DNK12" s="439"/>
      <c r="DNL12" s="439"/>
      <c r="DNM12" s="439"/>
      <c r="DNN12" s="439"/>
      <c r="DNO12" s="439"/>
      <c r="DNP12" s="439"/>
      <c r="DNQ12" s="439"/>
      <c r="DNR12" s="439"/>
      <c r="DNS12" s="439"/>
      <c r="DNT12" s="439"/>
      <c r="DNU12" s="439"/>
      <c r="DNV12" s="439"/>
      <c r="DNW12" s="439"/>
      <c r="DNX12" s="439"/>
      <c r="DNY12" s="439"/>
      <c r="DNZ12" s="439"/>
      <c r="DOA12" s="439"/>
      <c r="DOB12" s="439"/>
      <c r="DOC12" s="439"/>
      <c r="DOD12" s="439"/>
      <c r="DOE12" s="439"/>
      <c r="DOF12" s="439"/>
      <c r="DOG12" s="439"/>
      <c r="DOH12" s="439"/>
      <c r="DOI12" s="439"/>
      <c r="DOJ12" s="439"/>
      <c r="DOK12" s="439"/>
      <c r="DOL12" s="439"/>
      <c r="DOM12" s="439"/>
      <c r="DON12" s="439"/>
      <c r="DOO12" s="439"/>
      <c r="DOP12" s="439"/>
      <c r="DOQ12" s="439"/>
      <c r="DOR12" s="439"/>
      <c r="DOS12" s="439"/>
      <c r="DOT12" s="439"/>
      <c r="DOU12" s="439"/>
      <c r="DOV12" s="439"/>
      <c r="DOW12" s="439"/>
      <c r="DOX12" s="439"/>
      <c r="DOY12" s="439"/>
      <c r="DOZ12" s="439"/>
      <c r="DPA12" s="439"/>
      <c r="DPB12" s="439"/>
      <c r="DPC12" s="439"/>
      <c r="DPD12" s="439"/>
      <c r="DPE12" s="439"/>
      <c r="DPF12" s="439"/>
      <c r="DPG12" s="439"/>
      <c r="DPH12" s="439"/>
      <c r="DPI12" s="439"/>
      <c r="DPJ12" s="439"/>
      <c r="DPK12" s="439"/>
      <c r="DPL12" s="439"/>
      <c r="DPM12" s="439"/>
      <c r="DPN12" s="439"/>
      <c r="DPO12" s="439"/>
      <c r="DPP12" s="439"/>
      <c r="DPQ12" s="439"/>
      <c r="DPR12" s="439"/>
      <c r="DPS12" s="439"/>
      <c r="DPT12" s="439"/>
      <c r="DPU12" s="439"/>
      <c r="DPV12" s="439"/>
      <c r="DPW12" s="439"/>
      <c r="DPX12" s="439"/>
      <c r="DPY12" s="439"/>
      <c r="DPZ12" s="439"/>
      <c r="DQA12" s="439"/>
      <c r="DQB12" s="439"/>
      <c r="DQC12" s="439"/>
      <c r="DQD12" s="439"/>
      <c r="DQE12" s="439"/>
      <c r="DQF12" s="439"/>
      <c r="DQG12" s="439"/>
      <c r="DQH12" s="439"/>
      <c r="DQI12" s="439"/>
      <c r="DQJ12" s="439"/>
      <c r="DQK12" s="439"/>
      <c r="DQL12" s="439"/>
      <c r="DQM12" s="439"/>
      <c r="DQN12" s="439"/>
      <c r="DQO12" s="439"/>
      <c r="DQP12" s="439"/>
      <c r="DQQ12" s="439"/>
      <c r="DQR12" s="439"/>
      <c r="DQS12" s="439"/>
      <c r="DQT12" s="439"/>
      <c r="DQU12" s="439"/>
      <c r="DQV12" s="439"/>
      <c r="DQW12" s="439"/>
      <c r="DQX12" s="439"/>
      <c r="DQY12" s="439"/>
      <c r="DQZ12" s="439"/>
      <c r="DRA12" s="439"/>
      <c r="DRB12" s="439"/>
      <c r="DRC12" s="439"/>
      <c r="DRD12" s="439"/>
      <c r="DRE12" s="439"/>
      <c r="DRF12" s="439"/>
      <c r="DRG12" s="439"/>
      <c r="DRH12" s="439"/>
      <c r="DRI12" s="439"/>
      <c r="DRJ12" s="439"/>
      <c r="DRK12" s="439"/>
      <c r="DRL12" s="439"/>
      <c r="DRM12" s="439"/>
      <c r="DRN12" s="439"/>
      <c r="DRO12" s="439"/>
      <c r="DRP12" s="439"/>
      <c r="DRQ12" s="439"/>
      <c r="DRR12" s="439"/>
      <c r="DRS12" s="439"/>
      <c r="DRT12" s="439"/>
      <c r="DRU12" s="439"/>
      <c r="DRV12" s="439"/>
      <c r="DRW12" s="439"/>
      <c r="DRX12" s="439"/>
      <c r="DRY12" s="439"/>
      <c r="DRZ12" s="439"/>
      <c r="DSA12" s="439"/>
      <c r="DSB12" s="439"/>
      <c r="DSC12" s="439"/>
      <c r="DSD12" s="439"/>
      <c r="DSE12" s="439"/>
      <c r="DSF12" s="439"/>
      <c r="DSG12" s="439"/>
      <c r="DSH12" s="439"/>
      <c r="DSI12" s="439"/>
      <c r="DSJ12" s="439"/>
      <c r="DSK12" s="439"/>
      <c r="DSL12" s="439"/>
      <c r="DSM12" s="439"/>
      <c r="DSN12" s="439"/>
      <c r="DSO12" s="439"/>
      <c r="DSP12" s="439"/>
      <c r="DSQ12" s="439"/>
      <c r="DSR12" s="439"/>
      <c r="DSS12" s="439"/>
      <c r="DST12" s="439"/>
      <c r="DSU12" s="439"/>
      <c r="DSV12" s="439"/>
      <c r="DSW12" s="439"/>
      <c r="DSX12" s="439"/>
      <c r="DSY12" s="439"/>
      <c r="DSZ12" s="439"/>
      <c r="DTA12" s="439"/>
      <c r="DTB12" s="439"/>
      <c r="DTC12" s="439"/>
      <c r="DTD12" s="439"/>
      <c r="DTE12" s="439"/>
      <c r="DTF12" s="439"/>
      <c r="DTG12" s="439"/>
      <c r="DTH12" s="439"/>
      <c r="DTI12" s="439"/>
      <c r="DTJ12" s="439"/>
      <c r="DTK12" s="439"/>
      <c r="DTL12" s="439"/>
      <c r="DTM12" s="439"/>
      <c r="DTN12" s="439"/>
      <c r="DTO12" s="439"/>
      <c r="DTP12" s="439"/>
      <c r="DTQ12" s="439"/>
      <c r="DTR12" s="439"/>
      <c r="DTS12" s="439"/>
      <c r="DTT12" s="439"/>
      <c r="DTU12" s="439"/>
      <c r="DTV12" s="439"/>
      <c r="DTW12" s="439"/>
      <c r="DTX12" s="439"/>
      <c r="DTY12" s="439"/>
      <c r="DTZ12" s="439"/>
      <c r="DUA12" s="439"/>
      <c r="DUB12" s="439"/>
      <c r="DUC12" s="439"/>
      <c r="DUD12" s="439"/>
      <c r="DUE12" s="439"/>
      <c r="DUF12" s="439"/>
      <c r="DUG12" s="439"/>
      <c r="DUH12" s="439"/>
      <c r="DUI12" s="439"/>
      <c r="DUJ12" s="439"/>
      <c r="DUK12" s="439"/>
      <c r="DUL12" s="439"/>
      <c r="DUM12" s="439"/>
      <c r="DUN12" s="439"/>
      <c r="DUO12" s="439"/>
      <c r="DUP12" s="439"/>
      <c r="DUQ12" s="439"/>
      <c r="DUR12" s="439"/>
      <c r="DUS12" s="439"/>
      <c r="DUT12" s="439"/>
      <c r="DUU12" s="439"/>
      <c r="DUV12" s="439"/>
      <c r="DUW12" s="439"/>
      <c r="DUX12" s="439"/>
      <c r="DUY12" s="439"/>
      <c r="DUZ12" s="439"/>
      <c r="DVA12" s="439"/>
      <c r="DVB12" s="439"/>
      <c r="DVC12" s="439"/>
      <c r="DVD12" s="439"/>
      <c r="DVE12" s="439"/>
      <c r="DVF12" s="439"/>
      <c r="DVG12" s="439"/>
      <c r="DVH12" s="439"/>
      <c r="DVI12" s="439"/>
      <c r="DVJ12" s="439"/>
      <c r="DVK12" s="439"/>
      <c r="DVL12" s="439"/>
      <c r="DVM12" s="439"/>
      <c r="DVN12" s="439"/>
      <c r="DVO12" s="439"/>
      <c r="DVP12" s="439"/>
      <c r="DVQ12" s="439"/>
      <c r="DVR12" s="439"/>
      <c r="DVS12" s="439"/>
      <c r="DVT12" s="439"/>
      <c r="DVU12" s="439"/>
      <c r="DVV12" s="439"/>
      <c r="DVW12" s="439"/>
      <c r="DVX12" s="439"/>
      <c r="DVY12" s="439"/>
      <c r="DVZ12" s="439"/>
      <c r="DWA12" s="439"/>
      <c r="DWB12" s="439"/>
      <c r="DWC12" s="439"/>
      <c r="DWD12" s="439"/>
      <c r="DWE12" s="439"/>
      <c r="DWF12" s="439"/>
      <c r="DWG12" s="439"/>
      <c r="DWH12" s="439"/>
      <c r="DWI12" s="439"/>
      <c r="DWJ12" s="439"/>
      <c r="DWK12" s="439"/>
      <c r="DWL12" s="439"/>
      <c r="DWM12" s="439"/>
      <c r="DWN12" s="439"/>
      <c r="DWO12" s="439"/>
      <c r="DWP12" s="439"/>
      <c r="DWQ12" s="439"/>
      <c r="DWR12" s="439"/>
      <c r="DWS12" s="439"/>
      <c r="DWT12" s="439"/>
      <c r="DWU12" s="439"/>
      <c r="DWV12" s="439"/>
      <c r="DWW12" s="439"/>
      <c r="DWX12" s="439"/>
      <c r="DWY12" s="439"/>
      <c r="DWZ12" s="439"/>
      <c r="DXA12" s="439"/>
      <c r="DXB12" s="439"/>
      <c r="DXC12" s="439"/>
      <c r="DXD12" s="439"/>
      <c r="DXE12" s="439"/>
      <c r="DXF12" s="439"/>
      <c r="DXG12" s="439"/>
      <c r="DXH12" s="439"/>
      <c r="DXI12" s="439"/>
      <c r="DXJ12" s="439"/>
      <c r="DXK12" s="439"/>
      <c r="DXL12" s="439"/>
      <c r="DXM12" s="439"/>
      <c r="DXN12" s="439"/>
      <c r="DXO12" s="439"/>
      <c r="DXP12" s="439"/>
      <c r="DXQ12" s="439"/>
      <c r="DXR12" s="439"/>
      <c r="DXS12" s="439"/>
      <c r="DXT12" s="439"/>
      <c r="DXU12" s="439"/>
      <c r="DXV12" s="439"/>
      <c r="DXW12" s="439"/>
      <c r="DXX12" s="439"/>
      <c r="DXY12" s="439"/>
      <c r="DXZ12" s="439"/>
      <c r="DYA12" s="439"/>
      <c r="DYB12" s="439"/>
      <c r="DYC12" s="439"/>
      <c r="DYD12" s="439"/>
      <c r="DYE12" s="439"/>
      <c r="DYF12" s="439"/>
      <c r="DYG12" s="439"/>
      <c r="DYH12" s="439"/>
      <c r="DYI12" s="439"/>
      <c r="DYJ12" s="439"/>
      <c r="DYK12" s="439"/>
      <c r="DYL12" s="439"/>
      <c r="DYM12" s="439"/>
      <c r="DYN12" s="439"/>
      <c r="DYO12" s="439"/>
      <c r="DYP12" s="439"/>
      <c r="DYQ12" s="439"/>
      <c r="DYR12" s="439"/>
      <c r="DYS12" s="439"/>
      <c r="DYT12" s="439"/>
      <c r="DYU12" s="439"/>
      <c r="DYV12" s="439"/>
      <c r="DYW12" s="439"/>
      <c r="DYX12" s="439"/>
      <c r="DYY12" s="439"/>
      <c r="DYZ12" s="439"/>
      <c r="DZA12" s="439"/>
      <c r="DZB12" s="439"/>
      <c r="DZC12" s="439"/>
      <c r="DZD12" s="439"/>
      <c r="DZE12" s="439"/>
      <c r="DZF12" s="439"/>
      <c r="DZG12" s="439"/>
      <c r="DZH12" s="439"/>
      <c r="DZI12" s="439"/>
      <c r="DZJ12" s="439"/>
      <c r="DZK12" s="439"/>
      <c r="DZL12" s="439"/>
      <c r="DZM12" s="439"/>
      <c r="DZN12" s="439"/>
      <c r="DZO12" s="439"/>
      <c r="DZP12" s="439"/>
      <c r="DZQ12" s="439"/>
      <c r="DZR12" s="439"/>
      <c r="DZS12" s="439"/>
      <c r="DZT12" s="439"/>
      <c r="DZU12" s="439"/>
      <c r="DZV12" s="439"/>
      <c r="DZW12" s="439"/>
      <c r="DZX12" s="439"/>
      <c r="DZY12" s="439"/>
      <c r="DZZ12" s="439"/>
      <c r="EAA12" s="439"/>
      <c r="EAB12" s="439"/>
      <c r="EAC12" s="439"/>
      <c r="EAD12" s="439"/>
      <c r="EAE12" s="439"/>
      <c r="EAF12" s="439"/>
      <c r="EAG12" s="439"/>
      <c r="EAH12" s="439"/>
      <c r="EAI12" s="439"/>
      <c r="EAJ12" s="439"/>
      <c r="EAK12" s="439"/>
      <c r="EAL12" s="439"/>
      <c r="EAM12" s="439"/>
      <c r="EAN12" s="439"/>
      <c r="EAO12" s="439"/>
      <c r="EAP12" s="439"/>
      <c r="EAQ12" s="439"/>
      <c r="EAR12" s="439"/>
      <c r="EAS12" s="439"/>
      <c r="EAT12" s="439"/>
      <c r="EAU12" s="439"/>
      <c r="EAV12" s="439"/>
      <c r="EAW12" s="439"/>
      <c r="EAX12" s="439"/>
      <c r="EAY12" s="439"/>
      <c r="EAZ12" s="439"/>
      <c r="EBA12" s="439"/>
      <c r="EBB12" s="439"/>
      <c r="EBC12" s="439"/>
      <c r="EBD12" s="439"/>
      <c r="EBE12" s="439"/>
      <c r="EBF12" s="439"/>
      <c r="EBG12" s="439"/>
      <c r="EBH12" s="439"/>
      <c r="EBI12" s="439"/>
      <c r="EBJ12" s="439"/>
      <c r="EBK12" s="439"/>
      <c r="EBL12" s="439"/>
      <c r="EBM12" s="439"/>
      <c r="EBN12" s="439"/>
      <c r="EBO12" s="439"/>
      <c r="EBP12" s="439"/>
      <c r="EBQ12" s="439"/>
      <c r="EBR12" s="439"/>
      <c r="EBS12" s="439"/>
      <c r="EBT12" s="439"/>
      <c r="EBU12" s="439"/>
      <c r="EBV12" s="439"/>
      <c r="EBW12" s="439"/>
      <c r="EBX12" s="439"/>
      <c r="EBY12" s="439"/>
      <c r="EBZ12" s="439"/>
      <c r="ECA12" s="439"/>
      <c r="ECB12" s="439"/>
      <c r="ECC12" s="439"/>
      <c r="ECD12" s="439"/>
      <c r="ECE12" s="439"/>
      <c r="ECF12" s="439"/>
      <c r="ECG12" s="439"/>
      <c r="ECH12" s="439"/>
      <c r="ECI12" s="439"/>
      <c r="ECJ12" s="439"/>
      <c r="ECK12" s="439"/>
      <c r="ECL12" s="439"/>
      <c r="ECM12" s="439"/>
      <c r="ECN12" s="439"/>
      <c r="ECO12" s="439"/>
      <c r="ECP12" s="439"/>
      <c r="ECQ12" s="439"/>
      <c r="ECR12" s="439"/>
      <c r="ECS12" s="439"/>
      <c r="ECT12" s="439"/>
      <c r="ECU12" s="439"/>
      <c r="ECV12" s="439"/>
      <c r="ECW12" s="439"/>
      <c r="ECX12" s="439"/>
      <c r="ECY12" s="439"/>
      <c r="ECZ12" s="439"/>
      <c r="EDA12" s="439"/>
      <c r="EDB12" s="439"/>
      <c r="EDC12" s="439"/>
      <c r="EDD12" s="439"/>
      <c r="EDE12" s="439"/>
      <c r="EDF12" s="439"/>
      <c r="EDG12" s="439"/>
      <c r="EDH12" s="439"/>
      <c r="EDI12" s="439"/>
      <c r="EDJ12" s="439"/>
      <c r="EDK12" s="439"/>
      <c r="EDL12" s="439"/>
      <c r="EDM12" s="439"/>
      <c r="EDN12" s="439"/>
      <c r="EDO12" s="439"/>
      <c r="EDP12" s="439"/>
      <c r="EDQ12" s="439"/>
      <c r="EDR12" s="439"/>
      <c r="EDS12" s="439"/>
      <c r="EDT12" s="439"/>
      <c r="EDU12" s="439"/>
      <c r="EDV12" s="439"/>
      <c r="EDW12" s="439"/>
      <c r="EDX12" s="439"/>
      <c r="EDY12" s="439"/>
      <c r="EDZ12" s="439"/>
      <c r="EEA12" s="439"/>
      <c r="EEB12" s="439"/>
      <c r="EEC12" s="439"/>
      <c r="EED12" s="439"/>
      <c r="EEE12" s="439"/>
      <c r="EEF12" s="439"/>
      <c r="EEG12" s="439"/>
      <c r="EEH12" s="439"/>
      <c r="EEI12" s="439"/>
      <c r="EEJ12" s="439"/>
      <c r="EEK12" s="439"/>
      <c r="EEL12" s="439"/>
      <c r="EEM12" s="439"/>
      <c r="EEN12" s="439"/>
      <c r="EEO12" s="439"/>
      <c r="EEP12" s="439"/>
      <c r="EEQ12" s="439"/>
      <c r="EER12" s="439"/>
      <c r="EES12" s="439"/>
      <c r="EET12" s="439"/>
      <c r="EEU12" s="439"/>
      <c r="EEV12" s="439"/>
      <c r="EEW12" s="439"/>
      <c r="EEX12" s="439"/>
      <c r="EEY12" s="439"/>
      <c r="EEZ12" s="439"/>
      <c r="EFA12" s="439"/>
      <c r="EFB12" s="439"/>
      <c r="EFC12" s="439"/>
      <c r="EFD12" s="439"/>
      <c r="EFE12" s="439"/>
      <c r="EFF12" s="439"/>
      <c r="EFG12" s="439"/>
      <c r="EFH12" s="439"/>
      <c r="EFI12" s="439"/>
      <c r="EFJ12" s="439"/>
      <c r="EFK12" s="439"/>
      <c r="EFL12" s="439"/>
      <c r="EFM12" s="439"/>
      <c r="EFN12" s="439"/>
      <c r="EFO12" s="439"/>
      <c r="EFP12" s="439"/>
      <c r="EFQ12" s="439"/>
      <c r="EFR12" s="439"/>
      <c r="EFS12" s="439"/>
      <c r="EFT12" s="439"/>
      <c r="EFU12" s="439"/>
      <c r="EFV12" s="439"/>
      <c r="EFW12" s="439"/>
      <c r="EFX12" s="439"/>
      <c r="EFY12" s="439"/>
      <c r="EFZ12" s="439"/>
      <c r="EGA12" s="439"/>
      <c r="EGB12" s="439"/>
      <c r="EGC12" s="439"/>
      <c r="EGD12" s="439"/>
      <c r="EGE12" s="439"/>
      <c r="EGF12" s="439"/>
      <c r="EGG12" s="439"/>
      <c r="EGH12" s="439"/>
      <c r="EGI12" s="439"/>
      <c r="EGJ12" s="439"/>
      <c r="EGK12" s="439"/>
      <c r="EGL12" s="439"/>
      <c r="EGM12" s="439"/>
      <c r="EGN12" s="439"/>
      <c r="EGO12" s="439"/>
      <c r="EGP12" s="439"/>
      <c r="EGQ12" s="439"/>
      <c r="EGR12" s="439"/>
      <c r="EGS12" s="439"/>
      <c r="EGT12" s="439"/>
      <c r="EGU12" s="439"/>
      <c r="EGV12" s="439"/>
      <c r="EGW12" s="439"/>
      <c r="EGX12" s="439"/>
      <c r="EGY12" s="439"/>
      <c r="EGZ12" s="439"/>
      <c r="EHA12" s="439"/>
      <c r="EHB12" s="439"/>
      <c r="EHC12" s="439"/>
      <c r="EHD12" s="439"/>
      <c r="EHE12" s="439"/>
      <c r="EHF12" s="439"/>
      <c r="EHG12" s="439"/>
      <c r="EHH12" s="439"/>
      <c r="EHI12" s="439"/>
      <c r="EHJ12" s="439"/>
      <c r="EHK12" s="439"/>
      <c r="EHL12" s="439"/>
      <c r="EHM12" s="439"/>
      <c r="EHN12" s="439"/>
      <c r="EHO12" s="439"/>
      <c r="EHP12" s="439"/>
      <c r="EHQ12" s="439"/>
      <c r="EHR12" s="439"/>
      <c r="EHS12" s="439"/>
      <c r="EHT12" s="439"/>
      <c r="EHU12" s="439"/>
      <c r="EHV12" s="439"/>
      <c r="EHW12" s="439"/>
      <c r="EHX12" s="439"/>
      <c r="EHY12" s="439"/>
      <c r="EHZ12" s="439"/>
      <c r="EIA12" s="439"/>
      <c r="EIB12" s="439"/>
      <c r="EIC12" s="439"/>
      <c r="EID12" s="439"/>
      <c r="EIE12" s="439"/>
      <c r="EIF12" s="439"/>
      <c r="EIG12" s="439"/>
      <c r="EIH12" s="439"/>
      <c r="EII12" s="439"/>
      <c r="EIJ12" s="439"/>
      <c r="EIK12" s="439"/>
      <c r="EIL12" s="439"/>
      <c r="EIM12" s="439"/>
      <c r="EIN12" s="439"/>
      <c r="EIO12" s="439"/>
      <c r="EIP12" s="439"/>
      <c r="EIQ12" s="439"/>
      <c r="EIR12" s="439"/>
      <c r="EIS12" s="439"/>
      <c r="EIT12" s="439"/>
      <c r="EIU12" s="439"/>
      <c r="EIV12" s="439"/>
      <c r="EIW12" s="439"/>
      <c r="EIX12" s="439"/>
      <c r="EIY12" s="439"/>
      <c r="EIZ12" s="439"/>
      <c r="EJA12" s="439"/>
      <c r="EJB12" s="439"/>
      <c r="EJC12" s="439"/>
      <c r="EJD12" s="439"/>
      <c r="EJE12" s="439"/>
      <c r="EJF12" s="439"/>
      <c r="EJG12" s="439"/>
      <c r="EJH12" s="439"/>
      <c r="EJI12" s="439"/>
      <c r="EJJ12" s="439"/>
      <c r="EJK12" s="439"/>
      <c r="EJL12" s="439"/>
      <c r="EJM12" s="439"/>
      <c r="EJN12" s="439"/>
      <c r="EJO12" s="439"/>
      <c r="EJP12" s="439"/>
      <c r="EJQ12" s="439"/>
      <c r="EJR12" s="439"/>
      <c r="EJS12" s="439"/>
      <c r="EJT12" s="439"/>
      <c r="EJU12" s="439"/>
      <c r="EJV12" s="439"/>
      <c r="EJW12" s="439"/>
      <c r="EJX12" s="439"/>
      <c r="EJY12" s="439"/>
      <c r="EJZ12" s="439"/>
      <c r="EKA12" s="439"/>
      <c r="EKB12" s="439"/>
      <c r="EKC12" s="439"/>
      <c r="EKD12" s="439"/>
      <c r="EKE12" s="439"/>
      <c r="EKF12" s="439"/>
      <c r="EKG12" s="439"/>
      <c r="EKH12" s="439"/>
      <c r="EKI12" s="439"/>
      <c r="EKJ12" s="439"/>
      <c r="EKK12" s="439"/>
      <c r="EKL12" s="439"/>
      <c r="EKM12" s="439"/>
      <c r="EKN12" s="439"/>
      <c r="EKO12" s="439"/>
      <c r="EKP12" s="439"/>
      <c r="EKQ12" s="439"/>
      <c r="EKR12" s="439"/>
      <c r="EKS12" s="439"/>
      <c r="EKT12" s="439"/>
      <c r="EKU12" s="439"/>
      <c r="EKV12" s="439"/>
      <c r="EKW12" s="439"/>
      <c r="EKX12" s="439"/>
      <c r="EKY12" s="439"/>
      <c r="EKZ12" s="439"/>
      <c r="ELA12" s="439"/>
      <c r="ELB12" s="439"/>
      <c r="ELC12" s="439"/>
      <c r="ELD12" s="439"/>
      <c r="ELE12" s="439"/>
      <c r="ELF12" s="439"/>
      <c r="ELG12" s="439"/>
      <c r="ELH12" s="439"/>
      <c r="ELI12" s="439"/>
      <c r="ELJ12" s="439"/>
      <c r="ELK12" s="439"/>
      <c r="ELL12" s="439"/>
      <c r="ELM12" s="439"/>
      <c r="ELN12" s="439"/>
      <c r="ELO12" s="439"/>
      <c r="ELP12" s="439"/>
      <c r="ELQ12" s="439"/>
      <c r="ELR12" s="439"/>
      <c r="ELS12" s="439"/>
      <c r="ELT12" s="439"/>
      <c r="ELU12" s="439"/>
      <c r="ELV12" s="439"/>
      <c r="ELW12" s="439"/>
      <c r="ELX12" s="439"/>
      <c r="ELY12" s="439"/>
      <c r="ELZ12" s="439"/>
      <c r="EMA12" s="439"/>
      <c r="EMB12" s="439"/>
      <c r="EMC12" s="439"/>
      <c r="EMD12" s="439"/>
      <c r="EME12" s="439"/>
      <c r="EMF12" s="439"/>
      <c r="EMG12" s="439"/>
      <c r="EMH12" s="439"/>
      <c r="EMI12" s="439"/>
      <c r="EMJ12" s="439"/>
      <c r="EMK12" s="439"/>
      <c r="EML12" s="439"/>
      <c r="EMM12" s="439"/>
      <c r="EMN12" s="439"/>
      <c r="EMO12" s="439"/>
      <c r="EMP12" s="439"/>
      <c r="EMQ12" s="439"/>
      <c r="EMR12" s="439"/>
      <c r="EMS12" s="439"/>
      <c r="EMT12" s="439"/>
      <c r="EMU12" s="439"/>
      <c r="EMV12" s="439"/>
      <c r="EMW12" s="439"/>
      <c r="EMX12" s="439"/>
      <c r="EMY12" s="439"/>
      <c r="EMZ12" s="439"/>
      <c r="ENA12" s="439"/>
      <c r="ENB12" s="439"/>
      <c r="ENC12" s="439"/>
      <c r="END12" s="439"/>
      <c r="ENE12" s="439"/>
      <c r="ENF12" s="439"/>
      <c r="ENG12" s="439"/>
      <c r="ENH12" s="439"/>
      <c r="ENI12" s="439"/>
      <c r="ENJ12" s="439"/>
      <c r="ENK12" s="439"/>
      <c r="ENL12" s="439"/>
      <c r="ENM12" s="439"/>
      <c r="ENN12" s="439"/>
      <c r="ENO12" s="439"/>
      <c r="ENP12" s="439"/>
      <c r="ENQ12" s="439"/>
      <c r="ENR12" s="439"/>
      <c r="ENS12" s="439"/>
      <c r="ENT12" s="439"/>
      <c r="ENU12" s="439"/>
      <c r="ENV12" s="439"/>
      <c r="ENW12" s="439"/>
      <c r="ENX12" s="439"/>
      <c r="ENY12" s="439"/>
      <c r="ENZ12" s="439"/>
      <c r="EOA12" s="439"/>
      <c r="EOB12" s="439"/>
      <c r="EOC12" s="439"/>
      <c r="EOD12" s="439"/>
      <c r="EOE12" s="439"/>
      <c r="EOF12" s="439"/>
      <c r="EOG12" s="439"/>
      <c r="EOH12" s="439"/>
      <c r="EOI12" s="439"/>
      <c r="EOJ12" s="439"/>
      <c r="EOK12" s="439"/>
      <c r="EOL12" s="439"/>
      <c r="EOM12" s="439"/>
      <c r="EON12" s="439"/>
      <c r="EOO12" s="439"/>
      <c r="EOP12" s="439"/>
      <c r="EOQ12" s="439"/>
      <c r="EOR12" s="439"/>
      <c r="EOS12" s="439"/>
      <c r="EOT12" s="439"/>
      <c r="EOU12" s="439"/>
      <c r="EOV12" s="439"/>
      <c r="EOW12" s="439"/>
      <c r="EOX12" s="439"/>
      <c r="EOY12" s="439"/>
      <c r="EOZ12" s="439"/>
      <c r="EPA12" s="439"/>
      <c r="EPB12" s="439"/>
      <c r="EPC12" s="439"/>
      <c r="EPD12" s="439"/>
      <c r="EPE12" s="439"/>
      <c r="EPF12" s="439"/>
      <c r="EPG12" s="439"/>
      <c r="EPH12" s="439"/>
      <c r="EPI12" s="439"/>
      <c r="EPJ12" s="439"/>
      <c r="EPK12" s="439"/>
      <c r="EPL12" s="439"/>
      <c r="EPM12" s="439"/>
      <c r="EPN12" s="439"/>
      <c r="EPO12" s="439"/>
      <c r="EPP12" s="439"/>
      <c r="EPQ12" s="439"/>
      <c r="EPR12" s="439"/>
      <c r="EPS12" s="439"/>
      <c r="EPT12" s="439"/>
      <c r="EPU12" s="439"/>
      <c r="EPV12" s="439"/>
      <c r="EPW12" s="439"/>
      <c r="EPX12" s="439"/>
      <c r="EPY12" s="439"/>
      <c r="EPZ12" s="439"/>
      <c r="EQA12" s="439"/>
      <c r="EQB12" s="439"/>
      <c r="EQC12" s="439"/>
      <c r="EQD12" s="439"/>
      <c r="EQE12" s="439"/>
      <c r="EQF12" s="439"/>
      <c r="EQG12" s="439"/>
      <c r="EQH12" s="439"/>
      <c r="EQI12" s="439"/>
      <c r="EQJ12" s="439"/>
      <c r="EQK12" s="439"/>
      <c r="EQL12" s="439"/>
      <c r="EQM12" s="439"/>
      <c r="EQN12" s="439"/>
      <c r="EQO12" s="439"/>
      <c r="EQP12" s="439"/>
      <c r="EQQ12" s="439"/>
      <c r="EQR12" s="439"/>
      <c r="EQS12" s="439"/>
      <c r="EQT12" s="439"/>
      <c r="EQU12" s="439"/>
      <c r="EQV12" s="439"/>
      <c r="EQW12" s="439"/>
      <c r="EQX12" s="439"/>
      <c r="EQY12" s="439"/>
      <c r="EQZ12" s="439"/>
      <c r="ERA12" s="439"/>
      <c r="ERB12" s="439"/>
      <c r="ERC12" s="439"/>
      <c r="ERD12" s="439"/>
      <c r="ERE12" s="439"/>
      <c r="ERF12" s="439"/>
      <c r="ERG12" s="439"/>
      <c r="ERH12" s="439"/>
      <c r="ERI12" s="439"/>
      <c r="ERJ12" s="439"/>
      <c r="ERK12" s="439"/>
      <c r="ERL12" s="439"/>
      <c r="ERM12" s="439"/>
      <c r="ERN12" s="439"/>
      <c r="ERO12" s="439"/>
      <c r="ERP12" s="439"/>
      <c r="ERQ12" s="439"/>
      <c r="ERR12" s="439"/>
      <c r="ERS12" s="439"/>
      <c r="ERT12" s="439"/>
      <c r="ERU12" s="439"/>
      <c r="ERV12" s="439"/>
      <c r="ERW12" s="439"/>
      <c r="ERX12" s="439"/>
      <c r="ERY12" s="439"/>
      <c r="ERZ12" s="439"/>
      <c r="ESA12" s="439"/>
      <c r="ESB12" s="439"/>
      <c r="ESC12" s="439"/>
      <c r="ESD12" s="439"/>
      <c r="ESE12" s="439"/>
      <c r="ESF12" s="439"/>
      <c r="ESG12" s="439"/>
      <c r="ESH12" s="439"/>
      <c r="ESI12" s="439"/>
      <c r="ESJ12" s="439"/>
      <c r="ESK12" s="439"/>
      <c r="ESL12" s="439"/>
      <c r="ESM12" s="439"/>
      <c r="ESN12" s="439"/>
      <c r="ESO12" s="439"/>
      <c r="ESP12" s="439"/>
      <c r="ESQ12" s="439"/>
      <c r="ESR12" s="439"/>
      <c r="ESS12" s="439"/>
      <c r="EST12" s="439"/>
      <c r="ESU12" s="439"/>
      <c r="ESV12" s="439"/>
      <c r="ESW12" s="439"/>
      <c r="ESX12" s="439"/>
      <c r="ESY12" s="439"/>
      <c r="ESZ12" s="439"/>
      <c r="ETA12" s="439"/>
      <c r="ETB12" s="439"/>
      <c r="ETC12" s="439"/>
      <c r="ETD12" s="439"/>
      <c r="ETE12" s="439"/>
      <c r="ETF12" s="439"/>
      <c r="ETG12" s="439"/>
      <c r="ETH12" s="439"/>
      <c r="ETI12" s="439"/>
      <c r="ETJ12" s="439"/>
      <c r="ETK12" s="439"/>
      <c r="ETL12" s="439"/>
      <c r="ETM12" s="439"/>
      <c r="ETN12" s="439"/>
      <c r="ETO12" s="439"/>
      <c r="ETP12" s="439"/>
      <c r="ETQ12" s="439"/>
      <c r="ETR12" s="439"/>
      <c r="ETS12" s="439"/>
      <c r="ETT12" s="439"/>
      <c r="ETU12" s="439"/>
      <c r="ETV12" s="439"/>
      <c r="ETW12" s="439"/>
      <c r="ETX12" s="439"/>
      <c r="ETY12" s="439"/>
      <c r="ETZ12" s="439"/>
      <c r="EUA12" s="439"/>
      <c r="EUB12" s="439"/>
      <c r="EUC12" s="439"/>
      <c r="EUD12" s="439"/>
      <c r="EUE12" s="439"/>
      <c r="EUF12" s="439"/>
      <c r="EUG12" s="439"/>
      <c r="EUH12" s="439"/>
      <c r="EUI12" s="439"/>
      <c r="EUJ12" s="439"/>
      <c r="EUK12" s="439"/>
      <c r="EUL12" s="439"/>
      <c r="EUM12" s="439"/>
      <c r="EUN12" s="439"/>
      <c r="EUO12" s="439"/>
      <c r="EUP12" s="439"/>
      <c r="EUQ12" s="439"/>
      <c r="EUR12" s="439"/>
      <c r="EUS12" s="439"/>
      <c r="EUT12" s="439"/>
      <c r="EUU12" s="439"/>
      <c r="EUV12" s="439"/>
      <c r="EUW12" s="439"/>
      <c r="EUX12" s="439"/>
      <c r="EUY12" s="439"/>
      <c r="EUZ12" s="439"/>
      <c r="EVA12" s="439"/>
      <c r="EVB12" s="439"/>
      <c r="EVC12" s="439"/>
      <c r="EVD12" s="439"/>
      <c r="EVE12" s="439"/>
      <c r="EVF12" s="439"/>
      <c r="EVG12" s="439"/>
      <c r="EVH12" s="439"/>
      <c r="EVI12" s="439"/>
      <c r="EVJ12" s="439"/>
      <c r="EVK12" s="439"/>
      <c r="EVL12" s="439"/>
      <c r="EVM12" s="439"/>
      <c r="EVN12" s="439"/>
      <c r="EVO12" s="439"/>
      <c r="EVP12" s="439"/>
      <c r="EVQ12" s="439"/>
      <c r="EVR12" s="439"/>
      <c r="EVS12" s="439"/>
      <c r="EVT12" s="439"/>
      <c r="EVU12" s="439"/>
      <c r="EVV12" s="439"/>
      <c r="EVW12" s="439"/>
      <c r="EVX12" s="439"/>
      <c r="EVY12" s="439"/>
      <c r="EVZ12" s="439"/>
      <c r="EWA12" s="439"/>
      <c r="EWB12" s="439"/>
      <c r="EWC12" s="439"/>
      <c r="EWD12" s="439"/>
      <c r="EWE12" s="439"/>
      <c r="EWF12" s="439"/>
      <c r="EWG12" s="439"/>
      <c r="EWH12" s="439"/>
      <c r="EWI12" s="439"/>
      <c r="EWJ12" s="439"/>
      <c r="EWK12" s="439"/>
      <c r="EWL12" s="439"/>
      <c r="EWM12" s="439"/>
      <c r="EWN12" s="439"/>
      <c r="EWO12" s="439"/>
      <c r="EWP12" s="439"/>
      <c r="EWQ12" s="439"/>
      <c r="EWR12" s="439"/>
      <c r="EWS12" s="439"/>
      <c r="EWT12" s="439"/>
      <c r="EWU12" s="439"/>
      <c r="EWV12" s="439"/>
      <c r="EWW12" s="439"/>
      <c r="EWX12" s="439"/>
      <c r="EWY12" s="439"/>
      <c r="EWZ12" s="439"/>
      <c r="EXA12" s="439"/>
      <c r="EXB12" s="439"/>
      <c r="EXC12" s="439"/>
      <c r="EXD12" s="439"/>
      <c r="EXE12" s="439"/>
      <c r="EXF12" s="439"/>
      <c r="EXG12" s="439"/>
      <c r="EXH12" s="439"/>
      <c r="EXI12" s="439"/>
      <c r="EXJ12" s="439"/>
      <c r="EXK12" s="439"/>
      <c r="EXL12" s="439"/>
      <c r="EXM12" s="439"/>
      <c r="EXN12" s="439"/>
      <c r="EXO12" s="439"/>
      <c r="EXP12" s="439"/>
      <c r="EXQ12" s="439"/>
      <c r="EXR12" s="439"/>
      <c r="EXS12" s="439"/>
      <c r="EXT12" s="439"/>
      <c r="EXU12" s="439"/>
      <c r="EXV12" s="439"/>
      <c r="EXW12" s="439"/>
      <c r="EXX12" s="439"/>
      <c r="EXY12" s="439"/>
      <c r="EXZ12" s="439"/>
      <c r="EYA12" s="439"/>
      <c r="EYB12" s="439"/>
      <c r="EYC12" s="439"/>
      <c r="EYD12" s="439"/>
      <c r="EYE12" s="439"/>
      <c r="EYF12" s="439"/>
      <c r="EYG12" s="439"/>
      <c r="EYH12" s="439"/>
      <c r="EYI12" s="439"/>
      <c r="EYJ12" s="439"/>
      <c r="EYK12" s="439"/>
      <c r="EYL12" s="439"/>
      <c r="EYM12" s="439"/>
      <c r="EYN12" s="439"/>
      <c r="EYO12" s="439"/>
      <c r="EYP12" s="439"/>
      <c r="EYQ12" s="439"/>
      <c r="EYR12" s="439"/>
      <c r="EYS12" s="439"/>
      <c r="EYT12" s="439"/>
      <c r="EYU12" s="439"/>
      <c r="EYV12" s="439"/>
      <c r="EYW12" s="439"/>
      <c r="EYX12" s="439"/>
      <c r="EYY12" s="439"/>
      <c r="EYZ12" s="439"/>
      <c r="EZA12" s="439"/>
      <c r="EZB12" s="439"/>
      <c r="EZC12" s="439"/>
      <c r="EZD12" s="439"/>
      <c r="EZE12" s="439"/>
      <c r="EZF12" s="439"/>
      <c r="EZG12" s="439"/>
      <c r="EZH12" s="439"/>
      <c r="EZI12" s="439"/>
      <c r="EZJ12" s="439"/>
      <c r="EZK12" s="439"/>
      <c r="EZL12" s="439"/>
      <c r="EZM12" s="439"/>
      <c r="EZN12" s="439"/>
      <c r="EZO12" s="439"/>
      <c r="EZP12" s="439"/>
      <c r="EZQ12" s="439"/>
      <c r="EZR12" s="439"/>
      <c r="EZS12" s="439"/>
      <c r="EZT12" s="439"/>
      <c r="EZU12" s="439"/>
      <c r="EZV12" s="439"/>
      <c r="EZW12" s="439"/>
      <c r="EZX12" s="439"/>
      <c r="EZY12" s="439"/>
      <c r="EZZ12" s="439"/>
      <c r="FAA12" s="439"/>
      <c r="FAB12" s="439"/>
      <c r="FAC12" s="439"/>
      <c r="FAD12" s="439"/>
      <c r="FAE12" s="439"/>
      <c r="FAF12" s="439"/>
      <c r="FAG12" s="439"/>
      <c r="FAH12" s="439"/>
      <c r="FAI12" s="439"/>
      <c r="FAJ12" s="439"/>
      <c r="FAK12" s="439"/>
      <c r="FAL12" s="439"/>
      <c r="FAM12" s="439"/>
      <c r="FAN12" s="439"/>
      <c r="FAO12" s="439"/>
      <c r="FAP12" s="439"/>
      <c r="FAQ12" s="439"/>
      <c r="FAR12" s="439"/>
      <c r="FAS12" s="439"/>
      <c r="FAT12" s="439"/>
      <c r="FAU12" s="439"/>
      <c r="FAV12" s="439"/>
      <c r="FAW12" s="439"/>
      <c r="FAX12" s="439"/>
      <c r="FAY12" s="439"/>
      <c r="FAZ12" s="439"/>
      <c r="FBA12" s="439"/>
      <c r="FBB12" s="439"/>
      <c r="FBC12" s="439"/>
      <c r="FBD12" s="439"/>
      <c r="FBE12" s="439"/>
      <c r="FBF12" s="439"/>
      <c r="FBG12" s="439"/>
      <c r="FBH12" s="439"/>
      <c r="FBI12" s="439"/>
      <c r="FBJ12" s="439"/>
      <c r="FBK12" s="439"/>
      <c r="FBL12" s="439"/>
      <c r="FBM12" s="439"/>
      <c r="FBN12" s="439"/>
      <c r="FBO12" s="439"/>
      <c r="FBP12" s="439"/>
      <c r="FBQ12" s="439"/>
      <c r="FBR12" s="439"/>
      <c r="FBS12" s="439"/>
      <c r="FBT12" s="439"/>
      <c r="FBU12" s="439"/>
      <c r="FBV12" s="439"/>
      <c r="FBW12" s="439"/>
      <c r="FBX12" s="439"/>
      <c r="FBY12" s="439"/>
      <c r="FBZ12" s="439"/>
      <c r="FCA12" s="439"/>
      <c r="FCB12" s="439"/>
      <c r="FCC12" s="439"/>
      <c r="FCD12" s="439"/>
      <c r="FCE12" s="439"/>
      <c r="FCF12" s="439"/>
      <c r="FCG12" s="439"/>
      <c r="FCH12" s="439"/>
      <c r="FCI12" s="439"/>
      <c r="FCJ12" s="439"/>
      <c r="FCK12" s="439"/>
      <c r="FCL12" s="439"/>
      <c r="FCM12" s="439"/>
      <c r="FCN12" s="439"/>
      <c r="FCO12" s="439"/>
      <c r="FCP12" s="439"/>
      <c r="FCQ12" s="439"/>
      <c r="FCR12" s="439"/>
      <c r="FCS12" s="439"/>
      <c r="FCT12" s="439"/>
      <c r="FCU12" s="439"/>
      <c r="FCV12" s="439"/>
      <c r="FCW12" s="439"/>
      <c r="FCX12" s="439"/>
      <c r="FCY12" s="439"/>
      <c r="FCZ12" s="439"/>
      <c r="FDA12" s="439"/>
      <c r="FDB12" s="439"/>
      <c r="FDC12" s="439"/>
      <c r="FDD12" s="439"/>
      <c r="FDE12" s="439"/>
      <c r="FDF12" s="439"/>
      <c r="FDG12" s="439"/>
      <c r="FDH12" s="439"/>
      <c r="FDI12" s="439"/>
      <c r="FDJ12" s="439"/>
      <c r="FDK12" s="439"/>
      <c r="FDL12" s="439"/>
      <c r="FDM12" s="439"/>
      <c r="FDN12" s="439"/>
      <c r="FDO12" s="439"/>
      <c r="FDP12" s="439"/>
      <c r="FDQ12" s="439"/>
      <c r="FDR12" s="439"/>
      <c r="FDS12" s="439"/>
      <c r="FDT12" s="439"/>
      <c r="FDU12" s="439"/>
      <c r="FDV12" s="439"/>
      <c r="FDW12" s="439"/>
      <c r="FDX12" s="439"/>
      <c r="FDY12" s="439"/>
      <c r="FDZ12" s="439"/>
      <c r="FEA12" s="439"/>
      <c r="FEB12" s="439"/>
      <c r="FEC12" s="439"/>
      <c r="FED12" s="439"/>
      <c r="FEE12" s="439"/>
      <c r="FEF12" s="439"/>
      <c r="FEG12" s="439"/>
      <c r="FEH12" s="439"/>
      <c r="FEI12" s="439"/>
      <c r="FEJ12" s="439"/>
      <c r="FEK12" s="439"/>
      <c r="FEL12" s="439"/>
      <c r="FEM12" s="439"/>
      <c r="FEN12" s="439"/>
      <c r="FEO12" s="439"/>
      <c r="FEP12" s="439"/>
      <c r="FEQ12" s="439"/>
      <c r="FER12" s="439"/>
      <c r="FES12" s="439"/>
      <c r="FET12" s="439"/>
      <c r="FEU12" s="439"/>
      <c r="FEV12" s="439"/>
      <c r="FEW12" s="439"/>
      <c r="FEX12" s="439"/>
      <c r="FEY12" s="439"/>
      <c r="FEZ12" s="439"/>
      <c r="FFA12" s="439"/>
      <c r="FFB12" s="439"/>
      <c r="FFC12" s="439"/>
      <c r="FFD12" s="439"/>
      <c r="FFE12" s="439"/>
      <c r="FFF12" s="439"/>
      <c r="FFG12" s="439"/>
      <c r="FFH12" s="439"/>
      <c r="FFI12" s="439"/>
      <c r="FFJ12" s="439"/>
      <c r="FFK12" s="439"/>
      <c r="FFL12" s="439"/>
      <c r="FFM12" s="439"/>
      <c r="FFN12" s="439"/>
      <c r="FFO12" s="439"/>
      <c r="FFP12" s="439"/>
      <c r="FFQ12" s="439"/>
      <c r="FFR12" s="439"/>
      <c r="FFS12" s="439"/>
      <c r="FFT12" s="439"/>
      <c r="FFU12" s="439"/>
      <c r="FFV12" s="439"/>
      <c r="FFW12" s="439"/>
      <c r="FFX12" s="439"/>
      <c r="FFY12" s="439"/>
      <c r="FFZ12" s="439"/>
      <c r="FGA12" s="439"/>
      <c r="FGB12" s="439"/>
      <c r="FGC12" s="439"/>
      <c r="FGD12" s="439"/>
      <c r="FGE12" s="439"/>
      <c r="FGF12" s="439"/>
      <c r="FGG12" s="439"/>
      <c r="FGH12" s="439"/>
      <c r="FGI12" s="439"/>
      <c r="FGJ12" s="439"/>
      <c r="FGK12" s="439"/>
      <c r="FGL12" s="439"/>
      <c r="FGM12" s="439"/>
      <c r="FGN12" s="439"/>
      <c r="FGO12" s="439"/>
      <c r="FGP12" s="439"/>
      <c r="FGQ12" s="439"/>
      <c r="FGR12" s="439"/>
      <c r="FGS12" s="439"/>
      <c r="FGT12" s="439"/>
      <c r="FGU12" s="439"/>
      <c r="FGV12" s="439"/>
      <c r="FGW12" s="439"/>
      <c r="FGX12" s="439"/>
      <c r="FGY12" s="439"/>
      <c r="FGZ12" s="439"/>
      <c r="FHA12" s="439"/>
      <c r="FHB12" s="439"/>
      <c r="FHC12" s="439"/>
      <c r="FHD12" s="439"/>
      <c r="FHE12" s="439"/>
      <c r="FHF12" s="439"/>
      <c r="FHG12" s="439"/>
      <c r="FHH12" s="439"/>
      <c r="FHI12" s="439"/>
      <c r="FHJ12" s="439"/>
      <c r="FHK12" s="439"/>
      <c r="FHL12" s="439"/>
      <c r="FHM12" s="439"/>
      <c r="FHN12" s="439"/>
      <c r="FHO12" s="439"/>
      <c r="FHP12" s="439"/>
      <c r="FHQ12" s="439"/>
      <c r="FHR12" s="439"/>
      <c r="FHS12" s="439"/>
      <c r="FHT12" s="439"/>
      <c r="FHU12" s="439"/>
      <c r="FHV12" s="439"/>
      <c r="FHW12" s="439"/>
      <c r="FHX12" s="439"/>
      <c r="FHY12" s="439"/>
      <c r="FHZ12" s="439"/>
      <c r="FIA12" s="439"/>
      <c r="FIB12" s="439"/>
      <c r="FIC12" s="439"/>
      <c r="FID12" s="439"/>
      <c r="FIE12" s="439"/>
      <c r="FIF12" s="439"/>
      <c r="FIG12" s="439"/>
      <c r="FIH12" s="439"/>
      <c r="FII12" s="439"/>
      <c r="FIJ12" s="439"/>
      <c r="FIK12" s="439"/>
      <c r="FIL12" s="439"/>
      <c r="FIM12" s="439"/>
      <c r="FIN12" s="439"/>
      <c r="FIO12" s="439"/>
      <c r="FIP12" s="439"/>
      <c r="FIQ12" s="439"/>
      <c r="FIR12" s="439"/>
      <c r="FIS12" s="439"/>
      <c r="FIT12" s="439"/>
      <c r="FIU12" s="439"/>
      <c r="FIV12" s="439"/>
      <c r="FIW12" s="439"/>
      <c r="FIX12" s="439"/>
      <c r="FIY12" s="439"/>
      <c r="FIZ12" s="439"/>
      <c r="FJA12" s="439"/>
      <c r="FJB12" s="439"/>
      <c r="FJC12" s="439"/>
      <c r="FJD12" s="439"/>
      <c r="FJE12" s="439"/>
      <c r="FJF12" s="439"/>
      <c r="FJG12" s="439"/>
      <c r="FJH12" s="439"/>
      <c r="FJI12" s="439"/>
      <c r="FJJ12" s="439"/>
      <c r="FJK12" s="439"/>
      <c r="FJL12" s="439"/>
      <c r="FJM12" s="439"/>
      <c r="FJN12" s="439"/>
      <c r="FJO12" s="439"/>
      <c r="FJP12" s="439"/>
      <c r="FJQ12" s="439"/>
      <c r="FJR12" s="439"/>
      <c r="FJS12" s="439"/>
      <c r="FJT12" s="439"/>
      <c r="FJU12" s="439"/>
      <c r="FJV12" s="439"/>
      <c r="FJW12" s="439"/>
      <c r="FJX12" s="439"/>
      <c r="FJY12" s="439"/>
      <c r="FJZ12" s="439"/>
      <c r="FKA12" s="439"/>
      <c r="FKB12" s="439"/>
      <c r="FKC12" s="439"/>
      <c r="FKD12" s="439"/>
      <c r="FKE12" s="439"/>
      <c r="FKF12" s="439"/>
      <c r="FKG12" s="439"/>
      <c r="FKH12" s="439"/>
      <c r="FKI12" s="439"/>
      <c r="FKJ12" s="439"/>
      <c r="FKK12" s="439"/>
      <c r="FKL12" s="439"/>
      <c r="FKM12" s="439"/>
      <c r="FKN12" s="439"/>
      <c r="FKO12" s="439"/>
      <c r="FKP12" s="439"/>
      <c r="FKQ12" s="439"/>
      <c r="FKR12" s="439"/>
      <c r="FKS12" s="439"/>
      <c r="FKT12" s="439"/>
      <c r="FKU12" s="439"/>
      <c r="FKV12" s="439"/>
      <c r="FKW12" s="439"/>
      <c r="FKX12" s="439"/>
      <c r="FKY12" s="439"/>
      <c r="FKZ12" s="439"/>
      <c r="FLA12" s="439"/>
      <c r="FLB12" s="439"/>
      <c r="FLC12" s="439"/>
      <c r="FLD12" s="439"/>
      <c r="FLE12" s="439"/>
      <c r="FLF12" s="439"/>
      <c r="FLG12" s="439"/>
      <c r="FLH12" s="439"/>
      <c r="FLI12" s="439"/>
      <c r="FLJ12" s="439"/>
      <c r="FLK12" s="439"/>
      <c r="FLL12" s="439"/>
      <c r="FLM12" s="439"/>
      <c r="FLN12" s="439"/>
      <c r="FLO12" s="439"/>
      <c r="FLP12" s="439"/>
      <c r="FLQ12" s="439"/>
      <c r="FLR12" s="439"/>
      <c r="FLS12" s="439"/>
      <c r="FLT12" s="439"/>
      <c r="FLU12" s="439"/>
      <c r="FLV12" s="439"/>
      <c r="FLW12" s="439"/>
      <c r="FLX12" s="439"/>
      <c r="FLY12" s="439"/>
      <c r="FLZ12" s="439"/>
      <c r="FMA12" s="439"/>
      <c r="FMB12" s="439"/>
      <c r="FMC12" s="439"/>
      <c r="FMD12" s="439"/>
      <c r="FME12" s="439"/>
      <c r="FMF12" s="439"/>
      <c r="FMG12" s="439"/>
      <c r="FMH12" s="439"/>
      <c r="FMI12" s="439"/>
      <c r="FMJ12" s="439"/>
      <c r="FMK12" s="439"/>
      <c r="FML12" s="439"/>
      <c r="FMM12" s="439"/>
      <c r="FMN12" s="439"/>
      <c r="FMO12" s="439"/>
      <c r="FMP12" s="439"/>
      <c r="FMQ12" s="439"/>
      <c r="FMR12" s="439"/>
      <c r="FMS12" s="439"/>
      <c r="FMT12" s="439"/>
      <c r="FMU12" s="439"/>
      <c r="FMV12" s="439"/>
      <c r="FMW12" s="439"/>
      <c r="FMX12" s="439"/>
      <c r="FMY12" s="439"/>
      <c r="FMZ12" s="439"/>
      <c r="FNA12" s="439"/>
      <c r="FNB12" s="439"/>
      <c r="FNC12" s="439"/>
      <c r="FND12" s="439"/>
      <c r="FNE12" s="439"/>
      <c r="FNF12" s="439"/>
      <c r="FNG12" s="439"/>
      <c r="FNH12" s="439"/>
      <c r="FNI12" s="439"/>
      <c r="FNJ12" s="439"/>
      <c r="FNK12" s="439"/>
      <c r="FNL12" s="439"/>
      <c r="FNM12" s="439"/>
      <c r="FNN12" s="439"/>
      <c r="FNO12" s="439"/>
      <c r="FNP12" s="439"/>
      <c r="FNQ12" s="439"/>
      <c r="FNR12" s="439"/>
      <c r="FNS12" s="439"/>
      <c r="FNT12" s="439"/>
      <c r="FNU12" s="439"/>
      <c r="FNV12" s="439"/>
      <c r="FNW12" s="439"/>
      <c r="FNX12" s="439"/>
      <c r="FNY12" s="439"/>
      <c r="FNZ12" s="439"/>
      <c r="FOA12" s="439"/>
      <c r="FOB12" s="439"/>
      <c r="FOC12" s="439"/>
      <c r="FOD12" s="439"/>
      <c r="FOE12" s="439"/>
      <c r="FOF12" s="439"/>
      <c r="FOG12" s="439"/>
      <c r="FOH12" s="439"/>
      <c r="FOI12" s="439"/>
      <c r="FOJ12" s="439"/>
      <c r="FOK12" s="439"/>
      <c r="FOL12" s="439"/>
      <c r="FOM12" s="439"/>
      <c r="FON12" s="439"/>
      <c r="FOO12" s="439"/>
      <c r="FOP12" s="439"/>
      <c r="FOQ12" s="439"/>
      <c r="FOR12" s="439"/>
      <c r="FOS12" s="439"/>
      <c r="FOT12" s="439"/>
      <c r="FOU12" s="439"/>
      <c r="FOV12" s="439"/>
      <c r="FOW12" s="439"/>
      <c r="FOX12" s="439"/>
      <c r="FOY12" s="439"/>
      <c r="FOZ12" s="439"/>
      <c r="FPA12" s="439"/>
      <c r="FPB12" s="439"/>
      <c r="FPC12" s="439"/>
      <c r="FPD12" s="439"/>
      <c r="FPE12" s="439"/>
      <c r="FPF12" s="439"/>
      <c r="FPG12" s="439"/>
      <c r="FPH12" s="439"/>
      <c r="FPI12" s="439"/>
      <c r="FPJ12" s="439"/>
      <c r="FPK12" s="439"/>
      <c r="FPL12" s="439"/>
      <c r="FPM12" s="439"/>
      <c r="FPN12" s="439"/>
      <c r="FPO12" s="439"/>
      <c r="FPP12" s="439"/>
      <c r="FPQ12" s="439"/>
      <c r="FPR12" s="439"/>
      <c r="FPS12" s="439"/>
      <c r="FPT12" s="439"/>
      <c r="FPU12" s="439"/>
      <c r="FPV12" s="439"/>
      <c r="FPW12" s="439"/>
      <c r="FPX12" s="439"/>
      <c r="FPY12" s="439"/>
      <c r="FPZ12" s="439"/>
      <c r="FQA12" s="439"/>
      <c r="FQB12" s="439"/>
      <c r="FQC12" s="439"/>
      <c r="FQD12" s="439"/>
      <c r="FQE12" s="439"/>
      <c r="FQF12" s="439"/>
      <c r="FQG12" s="439"/>
      <c r="FQH12" s="439"/>
      <c r="FQI12" s="439"/>
      <c r="FQJ12" s="439"/>
      <c r="FQK12" s="439"/>
      <c r="FQL12" s="439"/>
      <c r="FQM12" s="439"/>
      <c r="FQN12" s="439"/>
      <c r="FQO12" s="439"/>
      <c r="FQP12" s="439"/>
      <c r="FQQ12" s="439"/>
      <c r="FQR12" s="439"/>
      <c r="FQS12" s="439"/>
      <c r="FQT12" s="439"/>
      <c r="FQU12" s="439"/>
      <c r="FQV12" s="439"/>
      <c r="FQW12" s="439"/>
      <c r="FQX12" s="439"/>
      <c r="FQY12" s="439"/>
      <c r="FQZ12" s="439"/>
      <c r="FRA12" s="439"/>
      <c r="FRB12" s="439"/>
      <c r="FRC12" s="439"/>
      <c r="FRD12" s="439"/>
      <c r="FRE12" s="439"/>
      <c r="FRF12" s="439"/>
      <c r="FRG12" s="439"/>
      <c r="FRH12" s="439"/>
      <c r="FRI12" s="439"/>
      <c r="FRJ12" s="439"/>
      <c r="FRK12" s="439"/>
      <c r="FRL12" s="439"/>
      <c r="FRM12" s="439"/>
      <c r="FRN12" s="439"/>
      <c r="FRO12" s="439"/>
      <c r="FRP12" s="439"/>
      <c r="FRQ12" s="439"/>
      <c r="FRR12" s="439"/>
      <c r="FRS12" s="439"/>
      <c r="FRT12" s="439"/>
      <c r="FRU12" s="439"/>
      <c r="FRV12" s="439"/>
      <c r="FRW12" s="439"/>
      <c r="FRX12" s="439"/>
      <c r="FRY12" s="439"/>
      <c r="FRZ12" s="439"/>
      <c r="FSA12" s="439"/>
      <c r="FSB12" s="439"/>
      <c r="FSC12" s="439"/>
      <c r="FSD12" s="439"/>
      <c r="FSE12" s="439"/>
      <c r="FSF12" s="439"/>
      <c r="FSG12" s="439"/>
      <c r="FSH12" s="439"/>
      <c r="FSI12" s="439"/>
      <c r="FSJ12" s="439"/>
      <c r="FSK12" s="439"/>
      <c r="FSL12" s="439"/>
      <c r="FSM12" s="439"/>
      <c r="FSN12" s="439"/>
      <c r="FSO12" s="439"/>
      <c r="FSP12" s="439"/>
      <c r="FSQ12" s="439"/>
      <c r="FSR12" s="439"/>
      <c r="FSS12" s="439"/>
      <c r="FST12" s="439"/>
      <c r="FSU12" s="439"/>
      <c r="FSV12" s="439"/>
      <c r="FSW12" s="439"/>
      <c r="FSX12" s="439"/>
      <c r="FSY12" s="439"/>
      <c r="FSZ12" s="439"/>
      <c r="FTA12" s="439"/>
      <c r="FTB12" s="439"/>
      <c r="FTC12" s="439"/>
      <c r="FTD12" s="439"/>
      <c r="FTE12" s="439"/>
      <c r="FTF12" s="439"/>
      <c r="FTG12" s="439"/>
      <c r="FTH12" s="439"/>
      <c r="FTI12" s="439"/>
      <c r="FTJ12" s="439"/>
      <c r="FTK12" s="439"/>
      <c r="FTL12" s="439"/>
      <c r="FTM12" s="439"/>
      <c r="FTN12" s="439"/>
      <c r="FTO12" s="439"/>
      <c r="FTP12" s="439"/>
      <c r="FTQ12" s="439"/>
      <c r="FTR12" s="439"/>
      <c r="FTS12" s="439"/>
      <c r="FTT12" s="439"/>
      <c r="FTU12" s="439"/>
      <c r="FTV12" s="439"/>
      <c r="FTW12" s="439"/>
      <c r="FTX12" s="439"/>
      <c r="FTY12" s="439"/>
      <c r="FTZ12" s="439"/>
      <c r="FUA12" s="439"/>
      <c r="FUB12" s="439"/>
      <c r="FUC12" s="439"/>
      <c r="FUD12" s="439"/>
      <c r="FUE12" s="439"/>
      <c r="FUF12" s="439"/>
      <c r="FUG12" s="439"/>
      <c r="FUH12" s="439"/>
      <c r="FUI12" s="439"/>
      <c r="FUJ12" s="439"/>
      <c r="FUK12" s="439"/>
      <c r="FUL12" s="439"/>
      <c r="FUM12" s="439"/>
      <c r="FUN12" s="439"/>
      <c r="FUO12" s="439"/>
      <c r="FUP12" s="439"/>
      <c r="FUQ12" s="439"/>
      <c r="FUR12" s="439"/>
      <c r="FUS12" s="439"/>
      <c r="FUT12" s="439"/>
      <c r="FUU12" s="439"/>
      <c r="FUV12" s="439"/>
      <c r="FUW12" s="439"/>
      <c r="FUX12" s="439"/>
      <c r="FUY12" s="439"/>
      <c r="FUZ12" s="439"/>
      <c r="FVA12" s="439"/>
      <c r="FVB12" s="439"/>
      <c r="FVC12" s="439"/>
      <c r="FVD12" s="439"/>
      <c r="FVE12" s="439"/>
      <c r="FVF12" s="439"/>
      <c r="FVG12" s="439"/>
      <c r="FVH12" s="439"/>
      <c r="FVI12" s="439"/>
      <c r="FVJ12" s="439"/>
      <c r="FVK12" s="439"/>
      <c r="FVL12" s="439"/>
      <c r="FVM12" s="439"/>
      <c r="FVN12" s="439"/>
      <c r="FVO12" s="439"/>
      <c r="FVP12" s="439"/>
      <c r="FVQ12" s="439"/>
      <c r="FVR12" s="439"/>
      <c r="FVS12" s="439"/>
      <c r="FVT12" s="439"/>
      <c r="FVU12" s="439"/>
      <c r="FVV12" s="439"/>
      <c r="FVW12" s="439"/>
      <c r="FVX12" s="439"/>
      <c r="FVY12" s="439"/>
      <c r="FVZ12" s="439"/>
      <c r="FWA12" s="439"/>
      <c r="FWB12" s="439"/>
      <c r="FWC12" s="439"/>
      <c r="FWD12" s="439"/>
      <c r="FWE12" s="439"/>
      <c r="FWF12" s="439"/>
      <c r="FWG12" s="439"/>
      <c r="FWH12" s="439"/>
      <c r="FWI12" s="439"/>
      <c r="FWJ12" s="439"/>
      <c r="FWK12" s="439"/>
      <c r="FWL12" s="439"/>
      <c r="FWM12" s="439"/>
      <c r="FWN12" s="439"/>
      <c r="FWO12" s="439"/>
      <c r="FWP12" s="439"/>
      <c r="FWQ12" s="439"/>
      <c r="FWR12" s="439"/>
      <c r="FWS12" s="439"/>
      <c r="FWT12" s="439"/>
      <c r="FWU12" s="439"/>
      <c r="FWV12" s="439"/>
      <c r="FWW12" s="439"/>
      <c r="FWX12" s="439"/>
      <c r="FWY12" s="439"/>
      <c r="FWZ12" s="439"/>
      <c r="FXA12" s="439"/>
      <c r="FXB12" s="439"/>
      <c r="FXC12" s="439"/>
      <c r="FXD12" s="439"/>
      <c r="FXE12" s="439"/>
      <c r="FXF12" s="439"/>
      <c r="FXG12" s="439"/>
      <c r="FXH12" s="439"/>
      <c r="FXI12" s="439"/>
      <c r="FXJ12" s="439"/>
      <c r="FXK12" s="439"/>
      <c r="FXL12" s="439"/>
      <c r="FXM12" s="439"/>
      <c r="FXN12" s="439"/>
      <c r="FXO12" s="439"/>
      <c r="FXP12" s="439"/>
      <c r="FXQ12" s="439"/>
      <c r="FXR12" s="439"/>
      <c r="FXS12" s="439"/>
      <c r="FXT12" s="439"/>
      <c r="FXU12" s="439"/>
      <c r="FXV12" s="439"/>
      <c r="FXW12" s="439"/>
      <c r="FXX12" s="439"/>
      <c r="FXY12" s="439"/>
      <c r="FXZ12" s="439"/>
      <c r="FYA12" s="439"/>
      <c r="FYB12" s="439"/>
      <c r="FYC12" s="439"/>
      <c r="FYD12" s="439"/>
      <c r="FYE12" s="439"/>
      <c r="FYF12" s="439"/>
      <c r="FYG12" s="439"/>
      <c r="FYH12" s="439"/>
      <c r="FYI12" s="439"/>
      <c r="FYJ12" s="439"/>
      <c r="FYK12" s="439"/>
      <c r="FYL12" s="439"/>
      <c r="FYM12" s="439"/>
      <c r="FYN12" s="439"/>
      <c r="FYO12" s="439"/>
      <c r="FYP12" s="439"/>
      <c r="FYQ12" s="439"/>
      <c r="FYR12" s="439"/>
      <c r="FYS12" s="439"/>
      <c r="FYT12" s="439"/>
      <c r="FYU12" s="439"/>
      <c r="FYV12" s="439"/>
      <c r="FYW12" s="439"/>
      <c r="FYX12" s="439"/>
      <c r="FYY12" s="439"/>
      <c r="FYZ12" s="439"/>
      <c r="FZA12" s="439"/>
      <c r="FZB12" s="439"/>
      <c r="FZC12" s="439"/>
      <c r="FZD12" s="439"/>
      <c r="FZE12" s="439"/>
      <c r="FZF12" s="439"/>
      <c r="FZG12" s="439"/>
      <c r="FZH12" s="439"/>
      <c r="FZI12" s="439"/>
      <c r="FZJ12" s="439"/>
      <c r="FZK12" s="439"/>
      <c r="FZL12" s="439"/>
      <c r="FZM12" s="439"/>
      <c r="FZN12" s="439"/>
      <c r="FZO12" s="439"/>
      <c r="FZP12" s="439"/>
      <c r="FZQ12" s="439"/>
      <c r="FZR12" s="439"/>
      <c r="FZS12" s="439"/>
      <c r="FZT12" s="439"/>
      <c r="FZU12" s="439"/>
      <c r="FZV12" s="439"/>
      <c r="FZW12" s="439"/>
      <c r="FZX12" s="439"/>
      <c r="FZY12" s="439"/>
      <c r="FZZ12" s="439"/>
      <c r="GAA12" s="439"/>
      <c r="GAB12" s="439"/>
      <c r="GAC12" s="439"/>
      <c r="GAD12" s="439"/>
      <c r="GAE12" s="439"/>
      <c r="GAF12" s="439"/>
      <c r="GAG12" s="439"/>
      <c r="GAH12" s="439"/>
      <c r="GAI12" s="439"/>
      <c r="GAJ12" s="439"/>
      <c r="GAK12" s="439"/>
      <c r="GAL12" s="439"/>
      <c r="GAM12" s="439"/>
      <c r="GAN12" s="439"/>
      <c r="GAO12" s="439"/>
      <c r="GAP12" s="439"/>
      <c r="GAQ12" s="439"/>
      <c r="GAR12" s="439"/>
      <c r="GAS12" s="439"/>
      <c r="GAT12" s="439"/>
      <c r="GAU12" s="439"/>
      <c r="GAV12" s="439"/>
      <c r="GAW12" s="439"/>
      <c r="GAX12" s="439"/>
      <c r="GAY12" s="439"/>
      <c r="GAZ12" s="439"/>
      <c r="GBA12" s="439"/>
      <c r="GBB12" s="439"/>
      <c r="GBC12" s="439"/>
      <c r="GBD12" s="439"/>
      <c r="GBE12" s="439"/>
      <c r="GBF12" s="439"/>
      <c r="GBG12" s="439"/>
      <c r="GBH12" s="439"/>
      <c r="GBI12" s="439"/>
      <c r="GBJ12" s="439"/>
      <c r="GBK12" s="439"/>
      <c r="GBL12" s="439"/>
      <c r="GBM12" s="439"/>
      <c r="GBN12" s="439"/>
      <c r="GBO12" s="439"/>
      <c r="GBP12" s="439"/>
      <c r="GBQ12" s="439"/>
      <c r="GBR12" s="439"/>
      <c r="GBS12" s="439"/>
      <c r="GBT12" s="439"/>
      <c r="GBU12" s="439"/>
      <c r="GBV12" s="439"/>
      <c r="GBW12" s="439"/>
      <c r="GBX12" s="439"/>
      <c r="GBY12" s="439"/>
      <c r="GBZ12" s="439"/>
      <c r="GCA12" s="439"/>
      <c r="GCB12" s="439"/>
      <c r="GCC12" s="439"/>
      <c r="GCD12" s="439"/>
      <c r="GCE12" s="439"/>
      <c r="GCF12" s="439"/>
      <c r="GCG12" s="439"/>
      <c r="GCH12" s="439"/>
      <c r="GCI12" s="439"/>
      <c r="GCJ12" s="439"/>
      <c r="GCK12" s="439"/>
      <c r="GCL12" s="439"/>
      <c r="GCM12" s="439"/>
      <c r="GCN12" s="439"/>
      <c r="GCO12" s="439"/>
      <c r="GCP12" s="439"/>
      <c r="GCQ12" s="439"/>
      <c r="GCR12" s="439"/>
      <c r="GCS12" s="439"/>
      <c r="GCT12" s="439"/>
      <c r="GCU12" s="439"/>
      <c r="GCV12" s="439"/>
      <c r="GCW12" s="439"/>
      <c r="GCX12" s="439"/>
      <c r="GCY12" s="439"/>
      <c r="GCZ12" s="439"/>
      <c r="GDA12" s="439"/>
      <c r="GDB12" s="439"/>
      <c r="GDC12" s="439"/>
      <c r="GDD12" s="439"/>
      <c r="GDE12" s="439"/>
      <c r="GDF12" s="439"/>
      <c r="GDG12" s="439"/>
      <c r="GDH12" s="439"/>
      <c r="GDI12" s="439"/>
      <c r="GDJ12" s="439"/>
      <c r="GDK12" s="439"/>
      <c r="GDL12" s="439"/>
      <c r="GDM12" s="439"/>
      <c r="GDN12" s="439"/>
      <c r="GDO12" s="439"/>
      <c r="GDP12" s="439"/>
      <c r="GDQ12" s="439"/>
      <c r="GDR12" s="439"/>
      <c r="GDS12" s="439"/>
      <c r="GDT12" s="439"/>
      <c r="GDU12" s="439"/>
      <c r="GDV12" s="439"/>
      <c r="GDW12" s="439"/>
      <c r="GDX12" s="439"/>
      <c r="GDY12" s="439"/>
      <c r="GDZ12" s="439"/>
      <c r="GEA12" s="439"/>
      <c r="GEB12" s="439"/>
      <c r="GEC12" s="439"/>
      <c r="GED12" s="439"/>
      <c r="GEE12" s="439"/>
      <c r="GEF12" s="439"/>
      <c r="GEG12" s="439"/>
      <c r="GEH12" s="439"/>
      <c r="GEI12" s="439"/>
      <c r="GEJ12" s="439"/>
      <c r="GEK12" s="439"/>
      <c r="GEL12" s="439"/>
      <c r="GEM12" s="439"/>
      <c r="GEN12" s="439"/>
      <c r="GEO12" s="439"/>
      <c r="GEP12" s="439"/>
      <c r="GEQ12" s="439"/>
      <c r="GER12" s="439"/>
      <c r="GES12" s="439"/>
      <c r="GET12" s="439"/>
      <c r="GEU12" s="439"/>
      <c r="GEV12" s="439"/>
      <c r="GEW12" s="439"/>
      <c r="GEX12" s="439"/>
      <c r="GEY12" s="439"/>
      <c r="GEZ12" s="439"/>
      <c r="GFA12" s="439"/>
      <c r="GFB12" s="439"/>
      <c r="GFC12" s="439"/>
      <c r="GFD12" s="439"/>
      <c r="GFE12" s="439"/>
      <c r="GFF12" s="439"/>
      <c r="GFG12" s="439"/>
      <c r="GFH12" s="439"/>
      <c r="GFI12" s="439"/>
      <c r="GFJ12" s="439"/>
      <c r="GFK12" s="439"/>
      <c r="GFL12" s="439"/>
      <c r="GFM12" s="439"/>
      <c r="GFN12" s="439"/>
      <c r="GFO12" s="439"/>
      <c r="GFP12" s="439"/>
      <c r="GFQ12" s="439"/>
      <c r="GFR12" s="439"/>
      <c r="GFS12" s="439"/>
      <c r="GFT12" s="439"/>
      <c r="GFU12" s="439"/>
      <c r="GFV12" s="439"/>
      <c r="GFW12" s="439"/>
      <c r="GFX12" s="439"/>
      <c r="GFY12" s="439"/>
      <c r="GFZ12" s="439"/>
      <c r="GGA12" s="439"/>
      <c r="GGB12" s="439"/>
      <c r="GGC12" s="439"/>
      <c r="GGD12" s="439"/>
      <c r="GGE12" s="439"/>
      <c r="GGF12" s="439"/>
      <c r="GGG12" s="439"/>
      <c r="GGH12" s="439"/>
      <c r="GGI12" s="439"/>
      <c r="GGJ12" s="439"/>
      <c r="GGK12" s="439"/>
      <c r="GGL12" s="439"/>
      <c r="GGM12" s="439"/>
      <c r="GGN12" s="439"/>
      <c r="GGO12" s="439"/>
      <c r="GGP12" s="439"/>
      <c r="GGQ12" s="439"/>
      <c r="GGR12" s="439"/>
      <c r="GGS12" s="439"/>
      <c r="GGT12" s="439"/>
      <c r="GGU12" s="439"/>
      <c r="GGV12" s="439"/>
      <c r="GGW12" s="439"/>
      <c r="GGX12" s="439"/>
      <c r="GGY12" s="439"/>
      <c r="GGZ12" s="439"/>
      <c r="GHA12" s="439"/>
      <c r="GHB12" s="439"/>
      <c r="GHC12" s="439"/>
      <c r="GHD12" s="439"/>
      <c r="GHE12" s="439"/>
      <c r="GHF12" s="439"/>
      <c r="GHG12" s="439"/>
      <c r="GHH12" s="439"/>
      <c r="GHI12" s="439"/>
      <c r="GHJ12" s="439"/>
      <c r="GHK12" s="439"/>
      <c r="GHL12" s="439"/>
      <c r="GHM12" s="439"/>
      <c r="GHN12" s="439"/>
      <c r="GHO12" s="439"/>
      <c r="GHP12" s="439"/>
      <c r="GHQ12" s="439"/>
      <c r="GHR12" s="439"/>
      <c r="GHS12" s="439"/>
      <c r="GHT12" s="439"/>
      <c r="GHU12" s="439"/>
      <c r="GHV12" s="439"/>
      <c r="GHW12" s="439"/>
      <c r="GHX12" s="439"/>
      <c r="GHY12" s="439"/>
      <c r="GHZ12" s="439"/>
      <c r="GIA12" s="439"/>
      <c r="GIB12" s="439"/>
      <c r="GIC12" s="439"/>
      <c r="GID12" s="439"/>
      <c r="GIE12" s="439"/>
      <c r="GIF12" s="439"/>
      <c r="GIG12" s="439"/>
      <c r="GIH12" s="439"/>
      <c r="GII12" s="439"/>
      <c r="GIJ12" s="439"/>
      <c r="GIK12" s="439"/>
      <c r="GIL12" s="439"/>
      <c r="GIM12" s="439"/>
      <c r="GIN12" s="439"/>
      <c r="GIO12" s="439"/>
      <c r="GIP12" s="439"/>
      <c r="GIQ12" s="439"/>
      <c r="GIR12" s="439"/>
      <c r="GIS12" s="439"/>
      <c r="GIT12" s="439"/>
      <c r="GIU12" s="439"/>
      <c r="GIV12" s="439"/>
      <c r="GIW12" s="439"/>
      <c r="GIX12" s="439"/>
      <c r="GIY12" s="439"/>
      <c r="GIZ12" s="439"/>
      <c r="GJA12" s="439"/>
      <c r="GJB12" s="439"/>
      <c r="GJC12" s="439"/>
      <c r="GJD12" s="439"/>
      <c r="GJE12" s="439"/>
      <c r="GJF12" s="439"/>
      <c r="GJG12" s="439"/>
      <c r="GJH12" s="439"/>
      <c r="GJI12" s="439"/>
      <c r="GJJ12" s="439"/>
      <c r="GJK12" s="439"/>
      <c r="GJL12" s="439"/>
      <c r="GJM12" s="439"/>
      <c r="GJN12" s="439"/>
      <c r="GJO12" s="439"/>
      <c r="GJP12" s="439"/>
      <c r="GJQ12" s="439"/>
      <c r="GJR12" s="439"/>
      <c r="GJS12" s="439"/>
      <c r="GJT12" s="439"/>
      <c r="GJU12" s="439"/>
      <c r="GJV12" s="439"/>
      <c r="GJW12" s="439"/>
      <c r="GJX12" s="439"/>
      <c r="GJY12" s="439"/>
      <c r="GJZ12" s="439"/>
      <c r="GKA12" s="439"/>
      <c r="GKB12" s="439"/>
      <c r="GKC12" s="439"/>
      <c r="GKD12" s="439"/>
      <c r="GKE12" s="439"/>
      <c r="GKF12" s="439"/>
      <c r="GKG12" s="439"/>
      <c r="GKH12" s="439"/>
      <c r="GKI12" s="439"/>
      <c r="GKJ12" s="439"/>
      <c r="GKK12" s="439"/>
      <c r="GKL12" s="439"/>
      <c r="GKM12" s="439"/>
      <c r="GKN12" s="439"/>
      <c r="GKO12" s="439"/>
      <c r="GKP12" s="439"/>
      <c r="GKQ12" s="439"/>
      <c r="GKR12" s="439"/>
      <c r="GKS12" s="439"/>
      <c r="GKT12" s="439"/>
      <c r="GKU12" s="439"/>
      <c r="GKV12" s="439"/>
      <c r="GKW12" s="439"/>
      <c r="GKX12" s="439"/>
      <c r="GKY12" s="439"/>
      <c r="GKZ12" s="439"/>
      <c r="GLA12" s="439"/>
      <c r="GLB12" s="439"/>
      <c r="GLC12" s="439"/>
      <c r="GLD12" s="439"/>
      <c r="GLE12" s="439"/>
      <c r="GLF12" s="439"/>
      <c r="GLG12" s="439"/>
      <c r="GLH12" s="439"/>
      <c r="GLI12" s="439"/>
      <c r="GLJ12" s="439"/>
      <c r="GLK12" s="439"/>
      <c r="GLL12" s="439"/>
      <c r="GLM12" s="439"/>
      <c r="GLN12" s="439"/>
      <c r="GLO12" s="439"/>
      <c r="GLP12" s="439"/>
      <c r="GLQ12" s="439"/>
      <c r="GLR12" s="439"/>
      <c r="GLS12" s="439"/>
      <c r="GLT12" s="439"/>
      <c r="GLU12" s="439"/>
      <c r="GLV12" s="439"/>
      <c r="GLW12" s="439"/>
      <c r="GLX12" s="439"/>
      <c r="GLY12" s="439"/>
      <c r="GLZ12" s="439"/>
      <c r="GMA12" s="439"/>
      <c r="GMB12" s="439"/>
      <c r="GMC12" s="439"/>
      <c r="GMD12" s="439"/>
      <c r="GME12" s="439"/>
      <c r="GMF12" s="439"/>
      <c r="GMG12" s="439"/>
      <c r="GMH12" s="439"/>
      <c r="GMI12" s="439"/>
      <c r="GMJ12" s="439"/>
      <c r="GMK12" s="439"/>
      <c r="GML12" s="439"/>
      <c r="GMM12" s="439"/>
      <c r="GMN12" s="439"/>
      <c r="GMO12" s="439"/>
      <c r="GMP12" s="439"/>
      <c r="GMQ12" s="439"/>
      <c r="GMR12" s="439"/>
      <c r="GMS12" s="439"/>
      <c r="GMT12" s="439"/>
      <c r="GMU12" s="439"/>
      <c r="GMV12" s="439"/>
      <c r="GMW12" s="439"/>
      <c r="GMX12" s="439"/>
      <c r="GMY12" s="439"/>
      <c r="GMZ12" s="439"/>
      <c r="GNA12" s="439"/>
      <c r="GNB12" s="439"/>
      <c r="GNC12" s="439"/>
      <c r="GND12" s="439"/>
      <c r="GNE12" s="439"/>
      <c r="GNF12" s="439"/>
      <c r="GNG12" s="439"/>
      <c r="GNH12" s="439"/>
      <c r="GNI12" s="439"/>
      <c r="GNJ12" s="439"/>
      <c r="GNK12" s="439"/>
      <c r="GNL12" s="439"/>
      <c r="GNM12" s="439"/>
      <c r="GNN12" s="439"/>
      <c r="GNO12" s="439"/>
      <c r="GNP12" s="439"/>
      <c r="GNQ12" s="439"/>
      <c r="GNR12" s="439"/>
      <c r="GNS12" s="439"/>
      <c r="GNT12" s="439"/>
      <c r="GNU12" s="439"/>
      <c r="GNV12" s="439"/>
      <c r="GNW12" s="439"/>
      <c r="GNX12" s="439"/>
      <c r="GNY12" s="439"/>
      <c r="GNZ12" s="439"/>
      <c r="GOA12" s="439"/>
      <c r="GOB12" s="439"/>
      <c r="GOC12" s="439"/>
      <c r="GOD12" s="439"/>
      <c r="GOE12" s="439"/>
      <c r="GOF12" s="439"/>
      <c r="GOG12" s="439"/>
      <c r="GOH12" s="439"/>
      <c r="GOI12" s="439"/>
      <c r="GOJ12" s="439"/>
      <c r="GOK12" s="439"/>
      <c r="GOL12" s="439"/>
      <c r="GOM12" s="439"/>
      <c r="GON12" s="439"/>
      <c r="GOO12" s="439"/>
      <c r="GOP12" s="439"/>
      <c r="GOQ12" s="439"/>
      <c r="GOR12" s="439"/>
      <c r="GOS12" s="439"/>
      <c r="GOT12" s="439"/>
      <c r="GOU12" s="439"/>
      <c r="GOV12" s="439"/>
      <c r="GOW12" s="439"/>
      <c r="GOX12" s="439"/>
      <c r="GOY12" s="439"/>
      <c r="GOZ12" s="439"/>
      <c r="GPA12" s="439"/>
      <c r="GPB12" s="439"/>
      <c r="GPC12" s="439"/>
      <c r="GPD12" s="439"/>
      <c r="GPE12" s="439"/>
      <c r="GPF12" s="439"/>
      <c r="GPG12" s="439"/>
      <c r="GPH12" s="439"/>
      <c r="GPI12" s="439"/>
      <c r="GPJ12" s="439"/>
      <c r="GPK12" s="439"/>
      <c r="GPL12" s="439"/>
      <c r="GPM12" s="439"/>
      <c r="GPN12" s="439"/>
      <c r="GPO12" s="439"/>
      <c r="GPP12" s="439"/>
      <c r="GPQ12" s="439"/>
      <c r="GPR12" s="439"/>
      <c r="GPS12" s="439"/>
      <c r="GPT12" s="439"/>
      <c r="GPU12" s="439"/>
      <c r="GPV12" s="439"/>
      <c r="GPW12" s="439"/>
      <c r="GPX12" s="439"/>
      <c r="GPY12" s="439"/>
      <c r="GPZ12" s="439"/>
      <c r="GQA12" s="439"/>
      <c r="GQB12" s="439"/>
      <c r="GQC12" s="439"/>
      <c r="GQD12" s="439"/>
      <c r="GQE12" s="439"/>
      <c r="GQF12" s="439"/>
      <c r="GQG12" s="439"/>
      <c r="GQH12" s="439"/>
      <c r="GQI12" s="439"/>
      <c r="GQJ12" s="439"/>
      <c r="GQK12" s="439"/>
      <c r="GQL12" s="439"/>
      <c r="GQM12" s="439"/>
      <c r="GQN12" s="439"/>
      <c r="GQO12" s="439"/>
      <c r="GQP12" s="439"/>
      <c r="GQQ12" s="439"/>
      <c r="GQR12" s="439"/>
      <c r="GQS12" s="439"/>
      <c r="GQT12" s="439"/>
      <c r="GQU12" s="439"/>
      <c r="GQV12" s="439"/>
      <c r="GQW12" s="439"/>
      <c r="GQX12" s="439"/>
      <c r="GQY12" s="439"/>
      <c r="GQZ12" s="439"/>
      <c r="GRA12" s="439"/>
      <c r="GRB12" s="439"/>
      <c r="GRC12" s="439"/>
      <c r="GRD12" s="439"/>
      <c r="GRE12" s="439"/>
      <c r="GRF12" s="439"/>
      <c r="GRG12" s="439"/>
      <c r="GRH12" s="439"/>
      <c r="GRI12" s="439"/>
      <c r="GRJ12" s="439"/>
      <c r="GRK12" s="439"/>
      <c r="GRL12" s="439"/>
      <c r="GRM12" s="439"/>
      <c r="GRN12" s="439"/>
      <c r="GRO12" s="439"/>
      <c r="GRP12" s="439"/>
      <c r="GRQ12" s="439"/>
      <c r="GRR12" s="439"/>
      <c r="GRS12" s="439"/>
      <c r="GRT12" s="439"/>
      <c r="GRU12" s="439"/>
      <c r="GRV12" s="439"/>
      <c r="GRW12" s="439"/>
      <c r="GRX12" s="439"/>
      <c r="GRY12" s="439"/>
      <c r="GRZ12" s="439"/>
      <c r="GSA12" s="439"/>
      <c r="GSB12" s="439"/>
      <c r="GSC12" s="439"/>
      <c r="GSD12" s="439"/>
      <c r="GSE12" s="439"/>
      <c r="GSF12" s="439"/>
      <c r="GSG12" s="439"/>
      <c r="GSH12" s="439"/>
      <c r="GSI12" s="439"/>
      <c r="GSJ12" s="439"/>
      <c r="GSK12" s="439"/>
      <c r="GSL12" s="439"/>
      <c r="GSM12" s="439"/>
      <c r="GSN12" s="439"/>
      <c r="GSO12" s="439"/>
      <c r="GSP12" s="439"/>
      <c r="GSQ12" s="439"/>
      <c r="GSR12" s="439"/>
      <c r="GSS12" s="439"/>
      <c r="GST12" s="439"/>
      <c r="GSU12" s="439"/>
      <c r="GSV12" s="439"/>
      <c r="GSW12" s="439"/>
      <c r="GSX12" s="439"/>
      <c r="GSY12" s="439"/>
      <c r="GSZ12" s="439"/>
      <c r="GTA12" s="439"/>
      <c r="GTB12" s="439"/>
      <c r="GTC12" s="439"/>
      <c r="GTD12" s="439"/>
      <c r="GTE12" s="439"/>
      <c r="GTF12" s="439"/>
      <c r="GTG12" s="439"/>
      <c r="GTH12" s="439"/>
      <c r="GTI12" s="439"/>
      <c r="GTJ12" s="439"/>
      <c r="GTK12" s="439"/>
      <c r="GTL12" s="439"/>
      <c r="GTM12" s="439"/>
      <c r="GTN12" s="439"/>
      <c r="GTO12" s="439"/>
      <c r="GTP12" s="439"/>
      <c r="GTQ12" s="439"/>
      <c r="GTR12" s="439"/>
      <c r="GTS12" s="439"/>
      <c r="GTT12" s="439"/>
      <c r="GTU12" s="439"/>
      <c r="GTV12" s="439"/>
      <c r="GTW12" s="439"/>
      <c r="GTX12" s="439"/>
      <c r="GTY12" s="439"/>
      <c r="GTZ12" s="439"/>
      <c r="GUA12" s="439"/>
      <c r="GUB12" s="439"/>
      <c r="GUC12" s="439"/>
      <c r="GUD12" s="439"/>
      <c r="GUE12" s="439"/>
      <c r="GUF12" s="439"/>
      <c r="GUG12" s="439"/>
      <c r="GUH12" s="439"/>
      <c r="GUI12" s="439"/>
      <c r="GUJ12" s="439"/>
      <c r="GUK12" s="439"/>
      <c r="GUL12" s="439"/>
      <c r="GUM12" s="439"/>
      <c r="GUN12" s="439"/>
      <c r="GUO12" s="439"/>
      <c r="GUP12" s="439"/>
      <c r="GUQ12" s="439"/>
      <c r="GUR12" s="439"/>
      <c r="GUS12" s="439"/>
      <c r="GUT12" s="439"/>
      <c r="GUU12" s="439"/>
      <c r="GUV12" s="439"/>
      <c r="GUW12" s="439"/>
      <c r="GUX12" s="439"/>
      <c r="GUY12" s="439"/>
      <c r="GUZ12" s="439"/>
      <c r="GVA12" s="439"/>
      <c r="GVB12" s="439"/>
      <c r="GVC12" s="439"/>
      <c r="GVD12" s="439"/>
      <c r="GVE12" s="439"/>
      <c r="GVF12" s="439"/>
      <c r="GVG12" s="439"/>
      <c r="GVH12" s="439"/>
      <c r="GVI12" s="439"/>
      <c r="GVJ12" s="439"/>
      <c r="GVK12" s="439"/>
      <c r="GVL12" s="439"/>
      <c r="GVM12" s="439"/>
      <c r="GVN12" s="439"/>
      <c r="GVO12" s="439"/>
      <c r="GVP12" s="439"/>
      <c r="GVQ12" s="439"/>
      <c r="GVR12" s="439"/>
      <c r="GVS12" s="439"/>
      <c r="GVT12" s="439"/>
      <c r="GVU12" s="439"/>
      <c r="GVV12" s="439"/>
      <c r="GVW12" s="439"/>
      <c r="GVX12" s="439"/>
      <c r="GVY12" s="439"/>
      <c r="GVZ12" s="439"/>
      <c r="GWA12" s="439"/>
      <c r="GWB12" s="439"/>
      <c r="GWC12" s="439"/>
      <c r="GWD12" s="439"/>
      <c r="GWE12" s="439"/>
      <c r="GWF12" s="439"/>
      <c r="GWG12" s="439"/>
      <c r="GWH12" s="439"/>
      <c r="GWI12" s="439"/>
      <c r="GWJ12" s="439"/>
      <c r="GWK12" s="439"/>
      <c r="GWL12" s="439"/>
      <c r="GWM12" s="439"/>
      <c r="GWN12" s="439"/>
      <c r="GWO12" s="439"/>
      <c r="GWP12" s="439"/>
      <c r="GWQ12" s="439"/>
      <c r="GWR12" s="439"/>
      <c r="GWS12" s="439"/>
      <c r="GWT12" s="439"/>
      <c r="GWU12" s="439"/>
      <c r="GWV12" s="439"/>
      <c r="GWW12" s="439"/>
      <c r="GWX12" s="439"/>
      <c r="GWY12" s="439"/>
      <c r="GWZ12" s="439"/>
      <c r="GXA12" s="439"/>
      <c r="GXB12" s="439"/>
      <c r="GXC12" s="439"/>
      <c r="GXD12" s="439"/>
      <c r="GXE12" s="439"/>
      <c r="GXF12" s="439"/>
      <c r="GXG12" s="439"/>
      <c r="GXH12" s="439"/>
      <c r="GXI12" s="439"/>
      <c r="GXJ12" s="439"/>
      <c r="GXK12" s="439"/>
      <c r="GXL12" s="439"/>
      <c r="GXM12" s="439"/>
      <c r="GXN12" s="439"/>
      <c r="GXO12" s="439"/>
      <c r="GXP12" s="439"/>
      <c r="GXQ12" s="439"/>
      <c r="GXR12" s="439"/>
      <c r="GXS12" s="439"/>
      <c r="GXT12" s="439"/>
      <c r="GXU12" s="439"/>
      <c r="GXV12" s="439"/>
      <c r="GXW12" s="439"/>
      <c r="GXX12" s="439"/>
      <c r="GXY12" s="439"/>
      <c r="GXZ12" s="439"/>
      <c r="GYA12" s="439"/>
      <c r="GYB12" s="439"/>
      <c r="GYC12" s="439"/>
      <c r="GYD12" s="439"/>
      <c r="GYE12" s="439"/>
      <c r="GYF12" s="439"/>
      <c r="GYG12" s="439"/>
      <c r="GYH12" s="439"/>
      <c r="GYI12" s="439"/>
      <c r="GYJ12" s="439"/>
      <c r="GYK12" s="439"/>
      <c r="GYL12" s="439"/>
      <c r="GYM12" s="439"/>
      <c r="GYN12" s="439"/>
      <c r="GYO12" s="439"/>
      <c r="GYP12" s="439"/>
      <c r="GYQ12" s="439"/>
      <c r="GYR12" s="439"/>
      <c r="GYS12" s="439"/>
      <c r="GYT12" s="439"/>
      <c r="GYU12" s="439"/>
      <c r="GYV12" s="439"/>
      <c r="GYW12" s="439"/>
      <c r="GYX12" s="439"/>
      <c r="GYY12" s="439"/>
      <c r="GYZ12" s="439"/>
      <c r="GZA12" s="439"/>
      <c r="GZB12" s="439"/>
      <c r="GZC12" s="439"/>
      <c r="GZD12" s="439"/>
      <c r="GZE12" s="439"/>
      <c r="GZF12" s="439"/>
      <c r="GZG12" s="439"/>
      <c r="GZH12" s="439"/>
      <c r="GZI12" s="439"/>
      <c r="GZJ12" s="439"/>
      <c r="GZK12" s="439"/>
      <c r="GZL12" s="439"/>
      <c r="GZM12" s="439"/>
      <c r="GZN12" s="439"/>
      <c r="GZO12" s="439"/>
      <c r="GZP12" s="439"/>
      <c r="GZQ12" s="439"/>
      <c r="GZR12" s="439"/>
      <c r="GZS12" s="439"/>
      <c r="GZT12" s="439"/>
      <c r="GZU12" s="439"/>
      <c r="GZV12" s="439"/>
      <c r="GZW12" s="439"/>
      <c r="GZX12" s="439"/>
      <c r="GZY12" s="439"/>
      <c r="GZZ12" s="439"/>
      <c r="HAA12" s="439"/>
      <c r="HAB12" s="439"/>
      <c r="HAC12" s="439"/>
      <c r="HAD12" s="439"/>
      <c r="HAE12" s="439"/>
      <c r="HAF12" s="439"/>
      <c r="HAG12" s="439"/>
      <c r="HAH12" s="439"/>
      <c r="HAI12" s="439"/>
      <c r="HAJ12" s="439"/>
      <c r="HAK12" s="439"/>
      <c r="HAL12" s="439"/>
      <c r="HAM12" s="439"/>
      <c r="HAN12" s="439"/>
      <c r="HAO12" s="439"/>
      <c r="HAP12" s="439"/>
      <c r="HAQ12" s="439"/>
      <c r="HAR12" s="439"/>
      <c r="HAS12" s="439"/>
      <c r="HAT12" s="439"/>
      <c r="HAU12" s="439"/>
      <c r="HAV12" s="439"/>
      <c r="HAW12" s="439"/>
      <c r="HAX12" s="439"/>
      <c r="HAY12" s="439"/>
      <c r="HAZ12" s="439"/>
      <c r="HBA12" s="439"/>
      <c r="HBB12" s="439"/>
      <c r="HBC12" s="439"/>
      <c r="HBD12" s="439"/>
      <c r="HBE12" s="439"/>
      <c r="HBF12" s="439"/>
      <c r="HBG12" s="439"/>
      <c r="HBH12" s="439"/>
      <c r="HBI12" s="439"/>
      <c r="HBJ12" s="439"/>
      <c r="HBK12" s="439"/>
      <c r="HBL12" s="439"/>
      <c r="HBM12" s="439"/>
      <c r="HBN12" s="439"/>
      <c r="HBO12" s="439"/>
      <c r="HBP12" s="439"/>
      <c r="HBQ12" s="439"/>
      <c r="HBR12" s="439"/>
      <c r="HBS12" s="439"/>
      <c r="HBT12" s="439"/>
      <c r="HBU12" s="439"/>
      <c r="HBV12" s="439"/>
      <c r="HBW12" s="439"/>
      <c r="HBX12" s="439"/>
      <c r="HBY12" s="439"/>
      <c r="HBZ12" s="439"/>
      <c r="HCA12" s="439"/>
      <c r="HCB12" s="439"/>
      <c r="HCC12" s="439"/>
      <c r="HCD12" s="439"/>
      <c r="HCE12" s="439"/>
      <c r="HCF12" s="439"/>
      <c r="HCG12" s="439"/>
      <c r="HCH12" s="439"/>
      <c r="HCI12" s="439"/>
      <c r="HCJ12" s="439"/>
      <c r="HCK12" s="439"/>
      <c r="HCL12" s="439"/>
      <c r="HCM12" s="439"/>
      <c r="HCN12" s="439"/>
      <c r="HCO12" s="439"/>
      <c r="HCP12" s="439"/>
      <c r="HCQ12" s="439"/>
      <c r="HCR12" s="439"/>
      <c r="HCS12" s="439"/>
      <c r="HCT12" s="439"/>
      <c r="HCU12" s="439"/>
      <c r="HCV12" s="439"/>
      <c r="HCW12" s="439"/>
      <c r="HCX12" s="439"/>
      <c r="HCY12" s="439"/>
      <c r="HCZ12" s="439"/>
      <c r="HDA12" s="439"/>
      <c r="HDB12" s="439"/>
      <c r="HDC12" s="439"/>
      <c r="HDD12" s="439"/>
      <c r="HDE12" s="439"/>
      <c r="HDF12" s="439"/>
      <c r="HDG12" s="439"/>
      <c r="HDH12" s="439"/>
      <c r="HDI12" s="439"/>
      <c r="HDJ12" s="439"/>
      <c r="HDK12" s="439"/>
      <c r="HDL12" s="439"/>
      <c r="HDM12" s="439"/>
      <c r="HDN12" s="439"/>
      <c r="HDO12" s="439"/>
      <c r="HDP12" s="439"/>
      <c r="HDQ12" s="439"/>
      <c r="HDR12" s="439"/>
      <c r="HDS12" s="439"/>
      <c r="HDT12" s="439"/>
      <c r="HDU12" s="439"/>
      <c r="HDV12" s="439"/>
      <c r="HDW12" s="439"/>
      <c r="HDX12" s="439"/>
      <c r="HDY12" s="439"/>
      <c r="HDZ12" s="439"/>
      <c r="HEA12" s="439"/>
      <c r="HEB12" s="439"/>
      <c r="HEC12" s="439"/>
      <c r="HED12" s="439"/>
      <c r="HEE12" s="439"/>
      <c r="HEF12" s="439"/>
      <c r="HEG12" s="439"/>
      <c r="HEH12" s="439"/>
      <c r="HEI12" s="439"/>
      <c r="HEJ12" s="439"/>
      <c r="HEK12" s="439"/>
      <c r="HEL12" s="439"/>
      <c r="HEM12" s="439"/>
      <c r="HEN12" s="439"/>
      <c r="HEO12" s="439"/>
      <c r="HEP12" s="439"/>
      <c r="HEQ12" s="439"/>
      <c r="HER12" s="439"/>
      <c r="HES12" s="439"/>
      <c r="HET12" s="439"/>
      <c r="HEU12" s="439"/>
      <c r="HEV12" s="439"/>
      <c r="HEW12" s="439"/>
      <c r="HEX12" s="439"/>
      <c r="HEY12" s="439"/>
      <c r="HEZ12" s="439"/>
      <c r="HFA12" s="439"/>
      <c r="HFB12" s="439"/>
      <c r="HFC12" s="439"/>
      <c r="HFD12" s="439"/>
      <c r="HFE12" s="439"/>
      <c r="HFF12" s="439"/>
      <c r="HFG12" s="439"/>
      <c r="HFH12" s="439"/>
      <c r="HFI12" s="439"/>
      <c r="HFJ12" s="439"/>
      <c r="HFK12" s="439"/>
      <c r="HFL12" s="439"/>
      <c r="HFM12" s="439"/>
      <c r="HFN12" s="439"/>
      <c r="HFO12" s="439"/>
      <c r="HFP12" s="439"/>
      <c r="HFQ12" s="439"/>
      <c r="HFR12" s="439"/>
      <c r="HFS12" s="439"/>
      <c r="HFT12" s="439"/>
      <c r="HFU12" s="439"/>
      <c r="HFV12" s="439"/>
      <c r="HFW12" s="439"/>
      <c r="HFX12" s="439"/>
      <c r="HFY12" s="439"/>
      <c r="HFZ12" s="439"/>
      <c r="HGA12" s="439"/>
      <c r="HGB12" s="439"/>
      <c r="HGC12" s="439"/>
      <c r="HGD12" s="439"/>
      <c r="HGE12" s="439"/>
      <c r="HGF12" s="439"/>
      <c r="HGG12" s="439"/>
      <c r="HGH12" s="439"/>
      <c r="HGI12" s="439"/>
      <c r="HGJ12" s="439"/>
      <c r="HGK12" s="439"/>
      <c r="HGL12" s="439"/>
      <c r="HGM12" s="439"/>
      <c r="HGN12" s="439"/>
      <c r="HGO12" s="439"/>
      <c r="HGP12" s="439"/>
      <c r="HGQ12" s="439"/>
      <c r="HGR12" s="439"/>
      <c r="HGS12" s="439"/>
      <c r="HGT12" s="439"/>
      <c r="HGU12" s="439"/>
      <c r="HGV12" s="439"/>
      <c r="HGW12" s="439"/>
      <c r="HGX12" s="439"/>
      <c r="HGY12" s="439"/>
      <c r="HGZ12" s="439"/>
      <c r="HHA12" s="439"/>
      <c r="HHB12" s="439"/>
      <c r="HHC12" s="439"/>
      <c r="HHD12" s="439"/>
      <c r="HHE12" s="439"/>
      <c r="HHF12" s="439"/>
      <c r="HHG12" s="439"/>
      <c r="HHH12" s="439"/>
      <c r="HHI12" s="439"/>
      <c r="HHJ12" s="439"/>
      <c r="HHK12" s="439"/>
      <c r="HHL12" s="439"/>
      <c r="HHM12" s="439"/>
      <c r="HHN12" s="439"/>
      <c r="HHO12" s="439"/>
      <c r="HHP12" s="439"/>
      <c r="HHQ12" s="439"/>
      <c r="HHR12" s="439"/>
      <c r="HHS12" s="439"/>
      <c r="HHT12" s="439"/>
      <c r="HHU12" s="439"/>
      <c r="HHV12" s="439"/>
      <c r="HHW12" s="439"/>
      <c r="HHX12" s="439"/>
      <c r="HHY12" s="439"/>
      <c r="HHZ12" s="439"/>
      <c r="HIA12" s="439"/>
      <c r="HIB12" s="439"/>
      <c r="HIC12" s="439"/>
      <c r="HID12" s="439"/>
      <c r="HIE12" s="439"/>
      <c r="HIF12" s="439"/>
      <c r="HIG12" s="439"/>
      <c r="HIH12" s="439"/>
      <c r="HII12" s="439"/>
      <c r="HIJ12" s="439"/>
      <c r="HIK12" s="439"/>
      <c r="HIL12" s="439"/>
      <c r="HIM12" s="439"/>
      <c r="HIN12" s="439"/>
      <c r="HIO12" s="439"/>
      <c r="HIP12" s="439"/>
      <c r="HIQ12" s="439"/>
      <c r="HIR12" s="439"/>
      <c r="HIS12" s="439"/>
      <c r="HIT12" s="439"/>
      <c r="HIU12" s="439"/>
      <c r="HIV12" s="439"/>
      <c r="HIW12" s="439"/>
      <c r="HIX12" s="439"/>
      <c r="HIY12" s="439"/>
      <c r="HIZ12" s="439"/>
      <c r="HJA12" s="439"/>
      <c r="HJB12" s="439"/>
      <c r="HJC12" s="439"/>
      <c r="HJD12" s="439"/>
      <c r="HJE12" s="439"/>
      <c r="HJF12" s="439"/>
      <c r="HJG12" s="439"/>
      <c r="HJH12" s="439"/>
      <c r="HJI12" s="439"/>
      <c r="HJJ12" s="439"/>
      <c r="HJK12" s="439"/>
      <c r="HJL12" s="439"/>
      <c r="HJM12" s="439"/>
      <c r="HJN12" s="439"/>
      <c r="HJO12" s="439"/>
      <c r="HJP12" s="439"/>
      <c r="HJQ12" s="439"/>
      <c r="HJR12" s="439"/>
      <c r="HJS12" s="439"/>
      <c r="HJT12" s="439"/>
      <c r="HJU12" s="439"/>
      <c r="HJV12" s="439"/>
      <c r="HJW12" s="439"/>
      <c r="HJX12" s="439"/>
      <c r="HJY12" s="439"/>
      <c r="HJZ12" s="439"/>
      <c r="HKA12" s="439"/>
      <c r="HKB12" s="439"/>
      <c r="HKC12" s="439"/>
      <c r="HKD12" s="439"/>
      <c r="HKE12" s="439"/>
      <c r="HKF12" s="439"/>
      <c r="HKG12" s="439"/>
      <c r="HKH12" s="439"/>
      <c r="HKI12" s="439"/>
      <c r="HKJ12" s="439"/>
      <c r="HKK12" s="439"/>
      <c r="HKL12" s="439"/>
      <c r="HKM12" s="439"/>
      <c r="HKN12" s="439"/>
      <c r="HKO12" s="439"/>
      <c r="HKP12" s="439"/>
      <c r="HKQ12" s="439"/>
      <c r="HKR12" s="439"/>
      <c r="HKS12" s="439"/>
      <c r="HKT12" s="439"/>
      <c r="HKU12" s="439"/>
      <c r="HKV12" s="439"/>
      <c r="HKW12" s="439"/>
      <c r="HKX12" s="439"/>
      <c r="HKY12" s="439"/>
      <c r="HKZ12" s="439"/>
      <c r="HLA12" s="439"/>
      <c r="HLB12" s="439"/>
      <c r="HLC12" s="439"/>
      <c r="HLD12" s="439"/>
      <c r="HLE12" s="439"/>
      <c r="HLF12" s="439"/>
      <c r="HLG12" s="439"/>
      <c r="HLH12" s="439"/>
      <c r="HLI12" s="439"/>
      <c r="HLJ12" s="439"/>
      <c r="HLK12" s="439"/>
      <c r="HLL12" s="439"/>
      <c r="HLM12" s="439"/>
      <c r="HLN12" s="439"/>
      <c r="HLO12" s="439"/>
      <c r="HLP12" s="439"/>
      <c r="HLQ12" s="439"/>
      <c r="HLR12" s="439"/>
      <c r="HLS12" s="439"/>
      <c r="HLT12" s="439"/>
      <c r="HLU12" s="439"/>
      <c r="HLV12" s="439"/>
      <c r="HLW12" s="439"/>
      <c r="HLX12" s="439"/>
      <c r="HLY12" s="439"/>
      <c r="HLZ12" s="439"/>
      <c r="HMA12" s="439"/>
      <c r="HMB12" s="439"/>
      <c r="HMC12" s="439"/>
      <c r="HMD12" s="439"/>
      <c r="HME12" s="439"/>
      <c r="HMF12" s="439"/>
      <c r="HMG12" s="439"/>
      <c r="HMH12" s="439"/>
      <c r="HMI12" s="439"/>
      <c r="HMJ12" s="439"/>
      <c r="HMK12" s="439"/>
      <c r="HML12" s="439"/>
      <c r="HMM12" s="439"/>
      <c r="HMN12" s="439"/>
      <c r="HMO12" s="439"/>
      <c r="HMP12" s="439"/>
      <c r="HMQ12" s="439"/>
      <c r="HMR12" s="439"/>
      <c r="HMS12" s="439"/>
      <c r="HMT12" s="439"/>
      <c r="HMU12" s="439"/>
      <c r="HMV12" s="439"/>
      <c r="HMW12" s="439"/>
      <c r="HMX12" s="439"/>
      <c r="HMY12" s="439"/>
      <c r="HMZ12" s="439"/>
      <c r="HNA12" s="439"/>
      <c r="HNB12" s="439"/>
      <c r="HNC12" s="439"/>
      <c r="HND12" s="439"/>
      <c r="HNE12" s="439"/>
      <c r="HNF12" s="439"/>
      <c r="HNG12" s="439"/>
      <c r="HNH12" s="439"/>
      <c r="HNI12" s="439"/>
      <c r="HNJ12" s="439"/>
      <c r="HNK12" s="439"/>
      <c r="HNL12" s="439"/>
      <c r="HNM12" s="439"/>
      <c r="HNN12" s="439"/>
      <c r="HNO12" s="439"/>
      <c r="HNP12" s="439"/>
      <c r="HNQ12" s="439"/>
      <c r="HNR12" s="439"/>
      <c r="HNS12" s="439"/>
      <c r="HNT12" s="439"/>
      <c r="HNU12" s="439"/>
      <c r="HNV12" s="439"/>
      <c r="HNW12" s="439"/>
      <c r="HNX12" s="439"/>
      <c r="HNY12" s="439"/>
      <c r="HNZ12" s="439"/>
      <c r="HOA12" s="439"/>
      <c r="HOB12" s="439"/>
      <c r="HOC12" s="439"/>
      <c r="HOD12" s="439"/>
      <c r="HOE12" s="439"/>
      <c r="HOF12" s="439"/>
      <c r="HOG12" s="439"/>
      <c r="HOH12" s="439"/>
      <c r="HOI12" s="439"/>
      <c r="HOJ12" s="439"/>
      <c r="HOK12" s="439"/>
      <c r="HOL12" s="439"/>
      <c r="HOM12" s="439"/>
      <c r="HON12" s="439"/>
      <c r="HOO12" s="439"/>
      <c r="HOP12" s="439"/>
      <c r="HOQ12" s="439"/>
      <c r="HOR12" s="439"/>
      <c r="HOS12" s="439"/>
      <c r="HOT12" s="439"/>
      <c r="HOU12" s="439"/>
      <c r="HOV12" s="439"/>
      <c r="HOW12" s="439"/>
      <c r="HOX12" s="439"/>
      <c r="HOY12" s="439"/>
      <c r="HOZ12" s="439"/>
      <c r="HPA12" s="439"/>
      <c r="HPB12" s="439"/>
      <c r="HPC12" s="439"/>
      <c r="HPD12" s="439"/>
      <c r="HPE12" s="439"/>
      <c r="HPF12" s="439"/>
      <c r="HPG12" s="439"/>
      <c r="HPH12" s="439"/>
      <c r="HPI12" s="439"/>
      <c r="HPJ12" s="439"/>
      <c r="HPK12" s="439"/>
      <c r="HPL12" s="439"/>
      <c r="HPM12" s="439"/>
      <c r="HPN12" s="439"/>
      <c r="HPO12" s="439"/>
      <c r="HPP12" s="439"/>
      <c r="HPQ12" s="439"/>
      <c r="HPR12" s="439"/>
      <c r="HPS12" s="439"/>
      <c r="HPT12" s="439"/>
      <c r="HPU12" s="439"/>
      <c r="HPV12" s="439"/>
      <c r="HPW12" s="439"/>
      <c r="HPX12" s="439"/>
      <c r="HPY12" s="439"/>
      <c r="HPZ12" s="439"/>
      <c r="HQA12" s="439"/>
      <c r="HQB12" s="439"/>
      <c r="HQC12" s="439"/>
      <c r="HQD12" s="439"/>
      <c r="HQE12" s="439"/>
      <c r="HQF12" s="439"/>
      <c r="HQG12" s="439"/>
      <c r="HQH12" s="439"/>
      <c r="HQI12" s="439"/>
      <c r="HQJ12" s="439"/>
      <c r="HQK12" s="439"/>
      <c r="HQL12" s="439"/>
      <c r="HQM12" s="439"/>
      <c r="HQN12" s="439"/>
      <c r="HQO12" s="439"/>
      <c r="HQP12" s="439"/>
      <c r="HQQ12" s="439"/>
      <c r="HQR12" s="439"/>
      <c r="HQS12" s="439"/>
      <c r="HQT12" s="439"/>
      <c r="HQU12" s="439"/>
      <c r="HQV12" s="439"/>
      <c r="HQW12" s="439"/>
      <c r="HQX12" s="439"/>
      <c r="HQY12" s="439"/>
      <c r="HQZ12" s="439"/>
      <c r="HRA12" s="439"/>
      <c r="HRB12" s="439"/>
      <c r="HRC12" s="439"/>
      <c r="HRD12" s="439"/>
      <c r="HRE12" s="439"/>
      <c r="HRF12" s="439"/>
      <c r="HRG12" s="439"/>
      <c r="HRH12" s="439"/>
      <c r="HRI12" s="439"/>
      <c r="HRJ12" s="439"/>
      <c r="HRK12" s="439"/>
      <c r="HRL12" s="439"/>
      <c r="HRM12" s="439"/>
      <c r="HRN12" s="439"/>
      <c r="HRO12" s="439"/>
      <c r="HRP12" s="439"/>
      <c r="HRQ12" s="439"/>
      <c r="HRR12" s="439"/>
      <c r="HRS12" s="439"/>
      <c r="HRT12" s="439"/>
      <c r="HRU12" s="439"/>
      <c r="HRV12" s="439"/>
      <c r="HRW12" s="439"/>
      <c r="HRX12" s="439"/>
      <c r="HRY12" s="439"/>
      <c r="HRZ12" s="439"/>
      <c r="HSA12" s="439"/>
      <c r="HSB12" s="439"/>
      <c r="HSC12" s="439"/>
      <c r="HSD12" s="439"/>
      <c r="HSE12" s="439"/>
      <c r="HSF12" s="439"/>
      <c r="HSG12" s="439"/>
      <c r="HSH12" s="439"/>
      <c r="HSI12" s="439"/>
      <c r="HSJ12" s="439"/>
      <c r="HSK12" s="439"/>
      <c r="HSL12" s="439"/>
      <c r="HSM12" s="439"/>
      <c r="HSN12" s="439"/>
      <c r="HSO12" s="439"/>
      <c r="HSP12" s="439"/>
      <c r="HSQ12" s="439"/>
      <c r="HSR12" s="439"/>
      <c r="HSS12" s="439"/>
      <c r="HST12" s="439"/>
      <c r="HSU12" s="439"/>
      <c r="HSV12" s="439"/>
      <c r="HSW12" s="439"/>
      <c r="HSX12" s="439"/>
      <c r="HSY12" s="439"/>
      <c r="HSZ12" s="439"/>
      <c r="HTA12" s="439"/>
      <c r="HTB12" s="439"/>
      <c r="HTC12" s="439"/>
      <c r="HTD12" s="439"/>
      <c r="HTE12" s="439"/>
      <c r="HTF12" s="439"/>
      <c r="HTG12" s="439"/>
      <c r="HTH12" s="439"/>
      <c r="HTI12" s="439"/>
      <c r="HTJ12" s="439"/>
      <c r="HTK12" s="439"/>
      <c r="HTL12" s="439"/>
      <c r="HTM12" s="439"/>
      <c r="HTN12" s="439"/>
      <c r="HTO12" s="439"/>
      <c r="HTP12" s="439"/>
      <c r="HTQ12" s="439"/>
      <c r="HTR12" s="439"/>
      <c r="HTS12" s="439"/>
      <c r="HTT12" s="439"/>
      <c r="HTU12" s="439"/>
      <c r="HTV12" s="439"/>
      <c r="HTW12" s="439"/>
      <c r="HTX12" s="439"/>
      <c r="HTY12" s="439"/>
      <c r="HTZ12" s="439"/>
      <c r="HUA12" s="439"/>
      <c r="HUB12" s="439"/>
      <c r="HUC12" s="439"/>
      <c r="HUD12" s="439"/>
      <c r="HUE12" s="439"/>
      <c r="HUF12" s="439"/>
      <c r="HUG12" s="439"/>
      <c r="HUH12" s="439"/>
      <c r="HUI12" s="439"/>
      <c r="HUJ12" s="439"/>
      <c r="HUK12" s="439"/>
      <c r="HUL12" s="439"/>
      <c r="HUM12" s="439"/>
      <c r="HUN12" s="439"/>
      <c r="HUO12" s="439"/>
      <c r="HUP12" s="439"/>
      <c r="HUQ12" s="439"/>
      <c r="HUR12" s="439"/>
      <c r="HUS12" s="439"/>
      <c r="HUT12" s="439"/>
      <c r="HUU12" s="439"/>
      <c r="HUV12" s="439"/>
      <c r="HUW12" s="439"/>
      <c r="HUX12" s="439"/>
      <c r="HUY12" s="439"/>
      <c r="HUZ12" s="439"/>
      <c r="HVA12" s="439"/>
      <c r="HVB12" s="439"/>
      <c r="HVC12" s="439"/>
      <c r="HVD12" s="439"/>
      <c r="HVE12" s="439"/>
      <c r="HVF12" s="439"/>
      <c r="HVG12" s="439"/>
      <c r="HVH12" s="439"/>
      <c r="HVI12" s="439"/>
      <c r="HVJ12" s="439"/>
      <c r="HVK12" s="439"/>
      <c r="HVL12" s="439"/>
      <c r="HVM12" s="439"/>
      <c r="HVN12" s="439"/>
      <c r="HVO12" s="439"/>
      <c r="HVP12" s="439"/>
      <c r="HVQ12" s="439"/>
      <c r="HVR12" s="439"/>
      <c r="HVS12" s="439"/>
      <c r="HVT12" s="439"/>
      <c r="HVU12" s="439"/>
      <c r="HVV12" s="439"/>
      <c r="HVW12" s="439"/>
      <c r="HVX12" s="439"/>
      <c r="HVY12" s="439"/>
      <c r="HVZ12" s="439"/>
      <c r="HWA12" s="439"/>
      <c r="HWB12" s="439"/>
      <c r="HWC12" s="439"/>
      <c r="HWD12" s="439"/>
      <c r="HWE12" s="439"/>
      <c r="HWF12" s="439"/>
      <c r="HWG12" s="439"/>
      <c r="HWH12" s="439"/>
      <c r="HWI12" s="439"/>
      <c r="HWJ12" s="439"/>
      <c r="HWK12" s="439"/>
      <c r="HWL12" s="439"/>
      <c r="HWM12" s="439"/>
      <c r="HWN12" s="439"/>
      <c r="HWO12" s="439"/>
      <c r="HWP12" s="439"/>
      <c r="HWQ12" s="439"/>
      <c r="HWR12" s="439"/>
      <c r="HWS12" s="439"/>
      <c r="HWT12" s="439"/>
      <c r="HWU12" s="439"/>
      <c r="HWV12" s="439"/>
      <c r="HWW12" s="439"/>
      <c r="HWX12" s="439"/>
      <c r="HWY12" s="439"/>
      <c r="HWZ12" s="439"/>
      <c r="HXA12" s="439"/>
      <c r="HXB12" s="439"/>
      <c r="HXC12" s="439"/>
      <c r="HXD12" s="439"/>
      <c r="HXE12" s="439"/>
      <c r="HXF12" s="439"/>
      <c r="HXG12" s="439"/>
      <c r="HXH12" s="439"/>
      <c r="HXI12" s="439"/>
      <c r="HXJ12" s="439"/>
      <c r="HXK12" s="439"/>
      <c r="HXL12" s="439"/>
      <c r="HXM12" s="439"/>
      <c r="HXN12" s="439"/>
      <c r="HXO12" s="439"/>
      <c r="HXP12" s="439"/>
      <c r="HXQ12" s="439"/>
      <c r="HXR12" s="439"/>
      <c r="HXS12" s="439"/>
      <c r="HXT12" s="439"/>
      <c r="HXU12" s="439"/>
      <c r="HXV12" s="439"/>
      <c r="HXW12" s="439"/>
      <c r="HXX12" s="439"/>
      <c r="HXY12" s="439"/>
      <c r="HXZ12" s="439"/>
      <c r="HYA12" s="439"/>
      <c r="HYB12" s="439"/>
      <c r="HYC12" s="439"/>
      <c r="HYD12" s="439"/>
      <c r="HYE12" s="439"/>
      <c r="HYF12" s="439"/>
      <c r="HYG12" s="439"/>
      <c r="HYH12" s="439"/>
      <c r="HYI12" s="439"/>
      <c r="HYJ12" s="439"/>
      <c r="HYK12" s="439"/>
      <c r="HYL12" s="439"/>
      <c r="HYM12" s="439"/>
      <c r="HYN12" s="439"/>
      <c r="HYO12" s="439"/>
      <c r="HYP12" s="439"/>
      <c r="HYQ12" s="439"/>
      <c r="HYR12" s="439"/>
      <c r="HYS12" s="439"/>
      <c r="HYT12" s="439"/>
      <c r="HYU12" s="439"/>
      <c r="HYV12" s="439"/>
      <c r="HYW12" s="439"/>
      <c r="HYX12" s="439"/>
      <c r="HYY12" s="439"/>
      <c r="HYZ12" s="439"/>
      <c r="HZA12" s="439"/>
      <c r="HZB12" s="439"/>
      <c r="HZC12" s="439"/>
      <c r="HZD12" s="439"/>
      <c r="HZE12" s="439"/>
      <c r="HZF12" s="439"/>
      <c r="HZG12" s="439"/>
      <c r="HZH12" s="439"/>
      <c r="HZI12" s="439"/>
      <c r="HZJ12" s="439"/>
      <c r="HZK12" s="439"/>
      <c r="HZL12" s="439"/>
      <c r="HZM12" s="439"/>
      <c r="HZN12" s="439"/>
      <c r="HZO12" s="439"/>
      <c r="HZP12" s="439"/>
      <c r="HZQ12" s="439"/>
      <c r="HZR12" s="439"/>
      <c r="HZS12" s="439"/>
      <c r="HZT12" s="439"/>
      <c r="HZU12" s="439"/>
      <c r="HZV12" s="439"/>
      <c r="HZW12" s="439"/>
      <c r="HZX12" s="439"/>
      <c r="HZY12" s="439"/>
      <c r="HZZ12" s="439"/>
      <c r="IAA12" s="439"/>
      <c r="IAB12" s="439"/>
      <c r="IAC12" s="439"/>
      <c r="IAD12" s="439"/>
      <c r="IAE12" s="439"/>
      <c r="IAF12" s="439"/>
      <c r="IAG12" s="439"/>
      <c r="IAH12" s="439"/>
      <c r="IAI12" s="439"/>
      <c r="IAJ12" s="439"/>
      <c r="IAK12" s="439"/>
      <c r="IAL12" s="439"/>
      <c r="IAM12" s="439"/>
      <c r="IAN12" s="439"/>
      <c r="IAO12" s="439"/>
      <c r="IAP12" s="439"/>
      <c r="IAQ12" s="439"/>
      <c r="IAR12" s="439"/>
      <c r="IAS12" s="439"/>
      <c r="IAT12" s="439"/>
      <c r="IAU12" s="439"/>
      <c r="IAV12" s="439"/>
      <c r="IAW12" s="439"/>
      <c r="IAX12" s="439"/>
      <c r="IAY12" s="439"/>
      <c r="IAZ12" s="439"/>
      <c r="IBA12" s="439"/>
      <c r="IBB12" s="439"/>
      <c r="IBC12" s="439"/>
      <c r="IBD12" s="439"/>
      <c r="IBE12" s="439"/>
      <c r="IBF12" s="439"/>
      <c r="IBG12" s="439"/>
      <c r="IBH12" s="439"/>
      <c r="IBI12" s="439"/>
      <c r="IBJ12" s="439"/>
      <c r="IBK12" s="439"/>
      <c r="IBL12" s="439"/>
      <c r="IBM12" s="439"/>
      <c r="IBN12" s="439"/>
      <c r="IBO12" s="439"/>
      <c r="IBP12" s="439"/>
      <c r="IBQ12" s="439"/>
      <c r="IBR12" s="439"/>
      <c r="IBS12" s="439"/>
      <c r="IBT12" s="439"/>
      <c r="IBU12" s="439"/>
      <c r="IBV12" s="439"/>
      <c r="IBW12" s="439"/>
      <c r="IBX12" s="439"/>
      <c r="IBY12" s="439"/>
      <c r="IBZ12" s="439"/>
      <c r="ICA12" s="439"/>
      <c r="ICB12" s="439"/>
      <c r="ICC12" s="439"/>
      <c r="ICD12" s="439"/>
      <c r="ICE12" s="439"/>
      <c r="ICF12" s="439"/>
      <c r="ICG12" s="439"/>
      <c r="ICH12" s="439"/>
      <c r="ICI12" s="439"/>
      <c r="ICJ12" s="439"/>
      <c r="ICK12" s="439"/>
      <c r="ICL12" s="439"/>
      <c r="ICM12" s="439"/>
      <c r="ICN12" s="439"/>
      <c r="ICO12" s="439"/>
      <c r="ICP12" s="439"/>
      <c r="ICQ12" s="439"/>
      <c r="ICR12" s="439"/>
      <c r="ICS12" s="439"/>
      <c r="ICT12" s="439"/>
      <c r="ICU12" s="439"/>
      <c r="ICV12" s="439"/>
      <c r="ICW12" s="439"/>
      <c r="ICX12" s="439"/>
      <c r="ICY12" s="439"/>
      <c r="ICZ12" s="439"/>
      <c r="IDA12" s="439"/>
      <c r="IDB12" s="439"/>
      <c r="IDC12" s="439"/>
      <c r="IDD12" s="439"/>
      <c r="IDE12" s="439"/>
      <c r="IDF12" s="439"/>
      <c r="IDG12" s="439"/>
      <c r="IDH12" s="439"/>
      <c r="IDI12" s="439"/>
      <c r="IDJ12" s="439"/>
      <c r="IDK12" s="439"/>
      <c r="IDL12" s="439"/>
      <c r="IDM12" s="439"/>
      <c r="IDN12" s="439"/>
      <c r="IDO12" s="439"/>
      <c r="IDP12" s="439"/>
      <c r="IDQ12" s="439"/>
      <c r="IDR12" s="439"/>
      <c r="IDS12" s="439"/>
      <c r="IDT12" s="439"/>
      <c r="IDU12" s="439"/>
      <c r="IDV12" s="439"/>
      <c r="IDW12" s="439"/>
      <c r="IDX12" s="439"/>
      <c r="IDY12" s="439"/>
      <c r="IDZ12" s="439"/>
      <c r="IEA12" s="439"/>
      <c r="IEB12" s="439"/>
      <c r="IEC12" s="439"/>
      <c r="IED12" s="439"/>
      <c r="IEE12" s="439"/>
      <c r="IEF12" s="439"/>
      <c r="IEG12" s="439"/>
      <c r="IEH12" s="439"/>
      <c r="IEI12" s="439"/>
      <c r="IEJ12" s="439"/>
      <c r="IEK12" s="439"/>
      <c r="IEL12" s="439"/>
      <c r="IEM12" s="439"/>
      <c r="IEN12" s="439"/>
      <c r="IEO12" s="439"/>
      <c r="IEP12" s="439"/>
      <c r="IEQ12" s="439"/>
      <c r="IER12" s="439"/>
      <c r="IES12" s="439"/>
      <c r="IET12" s="439"/>
      <c r="IEU12" s="439"/>
      <c r="IEV12" s="439"/>
      <c r="IEW12" s="439"/>
      <c r="IEX12" s="439"/>
      <c r="IEY12" s="439"/>
      <c r="IEZ12" s="439"/>
      <c r="IFA12" s="439"/>
      <c r="IFB12" s="439"/>
      <c r="IFC12" s="439"/>
      <c r="IFD12" s="439"/>
      <c r="IFE12" s="439"/>
      <c r="IFF12" s="439"/>
      <c r="IFG12" s="439"/>
      <c r="IFH12" s="439"/>
      <c r="IFI12" s="439"/>
      <c r="IFJ12" s="439"/>
      <c r="IFK12" s="439"/>
      <c r="IFL12" s="439"/>
      <c r="IFM12" s="439"/>
      <c r="IFN12" s="439"/>
      <c r="IFO12" s="439"/>
      <c r="IFP12" s="439"/>
      <c r="IFQ12" s="439"/>
      <c r="IFR12" s="439"/>
      <c r="IFS12" s="439"/>
      <c r="IFT12" s="439"/>
      <c r="IFU12" s="439"/>
      <c r="IFV12" s="439"/>
      <c r="IFW12" s="439"/>
      <c r="IFX12" s="439"/>
      <c r="IFY12" s="439"/>
      <c r="IFZ12" s="439"/>
      <c r="IGA12" s="439"/>
      <c r="IGB12" s="439"/>
      <c r="IGC12" s="439"/>
      <c r="IGD12" s="439"/>
      <c r="IGE12" s="439"/>
      <c r="IGF12" s="439"/>
      <c r="IGG12" s="439"/>
      <c r="IGH12" s="439"/>
      <c r="IGI12" s="439"/>
      <c r="IGJ12" s="439"/>
      <c r="IGK12" s="439"/>
      <c r="IGL12" s="439"/>
      <c r="IGM12" s="439"/>
      <c r="IGN12" s="439"/>
      <c r="IGO12" s="439"/>
      <c r="IGP12" s="439"/>
      <c r="IGQ12" s="439"/>
      <c r="IGR12" s="439"/>
      <c r="IGS12" s="439"/>
      <c r="IGT12" s="439"/>
      <c r="IGU12" s="439"/>
      <c r="IGV12" s="439"/>
      <c r="IGW12" s="439"/>
      <c r="IGX12" s="439"/>
      <c r="IGY12" s="439"/>
      <c r="IGZ12" s="439"/>
      <c r="IHA12" s="439"/>
      <c r="IHB12" s="439"/>
      <c r="IHC12" s="439"/>
      <c r="IHD12" s="439"/>
      <c r="IHE12" s="439"/>
      <c r="IHF12" s="439"/>
      <c r="IHG12" s="439"/>
      <c r="IHH12" s="439"/>
      <c r="IHI12" s="439"/>
      <c r="IHJ12" s="439"/>
      <c r="IHK12" s="439"/>
      <c r="IHL12" s="439"/>
      <c r="IHM12" s="439"/>
      <c r="IHN12" s="439"/>
      <c r="IHO12" s="439"/>
      <c r="IHP12" s="439"/>
      <c r="IHQ12" s="439"/>
      <c r="IHR12" s="439"/>
      <c r="IHS12" s="439"/>
      <c r="IHT12" s="439"/>
      <c r="IHU12" s="439"/>
      <c r="IHV12" s="439"/>
      <c r="IHW12" s="439"/>
      <c r="IHX12" s="439"/>
      <c r="IHY12" s="439"/>
      <c r="IHZ12" s="439"/>
      <c r="IIA12" s="439"/>
      <c r="IIB12" s="439"/>
      <c r="IIC12" s="439"/>
      <c r="IID12" s="439"/>
      <c r="IIE12" s="439"/>
      <c r="IIF12" s="439"/>
      <c r="IIG12" s="439"/>
      <c r="IIH12" s="439"/>
      <c r="III12" s="439"/>
      <c r="IIJ12" s="439"/>
      <c r="IIK12" s="439"/>
      <c r="IIL12" s="439"/>
      <c r="IIM12" s="439"/>
      <c r="IIN12" s="439"/>
      <c r="IIO12" s="439"/>
      <c r="IIP12" s="439"/>
      <c r="IIQ12" s="439"/>
      <c r="IIR12" s="439"/>
      <c r="IIS12" s="439"/>
      <c r="IIT12" s="439"/>
      <c r="IIU12" s="439"/>
      <c r="IIV12" s="439"/>
      <c r="IIW12" s="439"/>
      <c r="IIX12" s="439"/>
      <c r="IIY12" s="439"/>
      <c r="IIZ12" s="439"/>
      <c r="IJA12" s="439"/>
      <c r="IJB12" s="439"/>
      <c r="IJC12" s="439"/>
      <c r="IJD12" s="439"/>
      <c r="IJE12" s="439"/>
      <c r="IJF12" s="439"/>
      <c r="IJG12" s="439"/>
      <c r="IJH12" s="439"/>
      <c r="IJI12" s="439"/>
      <c r="IJJ12" s="439"/>
      <c r="IJK12" s="439"/>
      <c r="IJL12" s="439"/>
      <c r="IJM12" s="439"/>
      <c r="IJN12" s="439"/>
      <c r="IJO12" s="439"/>
      <c r="IJP12" s="439"/>
      <c r="IJQ12" s="439"/>
      <c r="IJR12" s="439"/>
      <c r="IJS12" s="439"/>
      <c r="IJT12" s="439"/>
      <c r="IJU12" s="439"/>
      <c r="IJV12" s="439"/>
      <c r="IJW12" s="439"/>
      <c r="IJX12" s="439"/>
      <c r="IJY12" s="439"/>
      <c r="IJZ12" s="439"/>
      <c r="IKA12" s="439"/>
      <c r="IKB12" s="439"/>
      <c r="IKC12" s="439"/>
      <c r="IKD12" s="439"/>
      <c r="IKE12" s="439"/>
      <c r="IKF12" s="439"/>
      <c r="IKG12" s="439"/>
      <c r="IKH12" s="439"/>
      <c r="IKI12" s="439"/>
      <c r="IKJ12" s="439"/>
      <c r="IKK12" s="439"/>
      <c r="IKL12" s="439"/>
      <c r="IKM12" s="439"/>
      <c r="IKN12" s="439"/>
      <c r="IKO12" s="439"/>
      <c r="IKP12" s="439"/>
      <c r="IKQ12" s="439"/>
      <c r="IKR12" s="439"/>
      <c r="IKS12" s="439"/>
      <c r="IKT12" s="439"/>
      <c r="IKU12" s="439"/>
      <c r="IKV12" s="439"/>
      <c r="IKW12" s="439"/>
      <c r="IKX12" s="439"/>
      <c r="IKY12" s="439"/>
      <c r="IKZ12" s="439"/>
      <c r="ILA12" s="439"/>
      <c r="ILB12" s="439"/>
      <c r="ILC12" s="439"/>
      <c r="ILD12" s="439"/>
      <c r="ILE12" s="439"/>
      <c r="ILF12" s="439"/>
      <c r="ILG12" s="439"/>
      <c r="ILH12" s="439"/>
      <c r="ILI12" s="439"/>
      <c r="ILJ12" s="439"/>
      <c r="ILK12" s="439"/>
      <c r="ILL12" s="439"/>
      <c r="ILM12" s="439"/>
      <c r="ILN12" s="439"/>
      <c r="ILO12" s="439"/>
      <c r="ILP12" s="439"/>
      <c r="ILQ12" s="439"/>
      <c r="ILR12" s="439"/>
      <c r="ILS12" s="439"/>
      <c r="ILT12" s="439"/>
      <c r="ILU12" s="439"/>
      <c r="ILV12" s="439"/>
      <c r="ILW12" s="439"/>
      <c r="ILX12" s="439"/>
      <c r="ILY12" s="439"/>
      <c r="ILZ12" s="439"/>
      <c r="IMA12" s="439"/>
      <c r="IMB12" s="439"/>
      <c r="IMC12" s="439"/>
      <c r="IMD12" s="439"/>
      <c r="IME12" s="439"/>
      <c r="IMF12" s="439"/>
      <c r="IMG12" s="439"/>
      <c r="IMH12" s="439"/>
      <c r="IMI12" s="439"/>
      <c r="IMJ12" s="439"/>
      <c r="IMK12" s="439"/>
      <c r="IML12" s="439"/>
      <c r="IMM12" s="439"/>
      <c r="IMN12" s="439"/>
      <c r="IMO12" s="439"/>
      <c r="IMP12" s="439"/>
      <c r="IMQ12" s="439"/>
      <c r="IMR12" s="439"/>
      <c r="IMS12" s="439"/>
      <c r="IMT12" s="439"/>
      <c r="IMU12" s="439"/>
      <c r="IMV12" s="439"/>
      <c r="IMW12" s="439"/>
      <c r="IMX12" s="439"/>
      <c r="IMY12" s="439"/>
      <c r="IMZ12" s="439"/>
      <c r="INA12" s="439"/>
      <c r="INB12" s="439"/>
      <c r="INC12" s="439"/>
      <c r="IND12" s="439"/>
      <c r="INE12" s="439"/>
      <c r="INF12" s="439"/>
      <c r="ING12" s="439"/>
      <c r="INH12" s="439"/>
      <c r="INI12" s="439"/>
      <c r="INJ12" s="439"/>
      <c r="INK12" s="439"/>
      <c r="INL12" s="439"/>
      <c r="INM12" s="439"/>
      <c r="INN12" s="439"/>
      <c r="INO12" s="439"/>
      <c r="INP12" s="439"/>
      <c r="INQ12" s="439"/>
      <c r="INR12" s="439"/>
      <c r="INS12" s="439"/>
      <c r="INT12" s="439"/>
      <c r="INU12" s="439"/>
      <c r="INV12" s="439"/>
      <c r="INW12" s="439"/>
      <c r="INX12" s="439"/>
      <c r="INY12" s="439"/>
      <c r="INZ12" s="439"/>
      <c r="IOA12" s="439"/>
      <c r="IOB12" s="439"/>
      <c r="IOC12" s="439"/>
      <c r="IOD12" s="439"/>
      <c r="IOE12" s="439"/>
      <c r="IOF12" s="439"/>
      <c r="IOG12" s="439"/>
      <c r="IOH12" s="439"/>
      <c r="IOI12" s="439"/>
      <c r="IOJ12" s="439"/>
      <c r="IOK12" s="439"/>
      <c r="IOL12" s="439"/>
      <c r="IOM12" s="439"/>
      <c r="ION12" s="439"/>
      <c r="IOO12" s="439"/>
      <c r="IOP12" s="439"/>
      <c r="IOQ12" s="439"/>
      <c r="IOR12" s="439"/>
      <c r="IOS12" s="439"/>
      <c r="IOT12" s="439"/>
      <c r="IOU12" s="439"/>
      <c r="IOV12" s="439"/>
      <c r="IOW12" s="439"/>
      <c r="IOX12" s="439"/>
      <c r="IOY12" s="439"/>
      <c r="IOZ12" s="439"/>
      <c r="IPA12" s="439"/>
      <c r="IPB12" s="439"/>
      <c r="IPC12" s="439"/>
      <c r="IPD12" s="439"/>
      <c r="IPE12" s="439"/>
      <c r="IPF12" s="439"/>
      <c r="IPG12" s="439"/>
      <c r="IPH12" s="439"/>
      <c r="IPI12" s="439"/>
      <c r="IPJ12" s="439"/>
      <c r="IPK12" s="439"/>
      <c r="IPL12" s="439"/>
      <c r="IPM12" s="439"/>
      <c r="IPN12" s="439"/>
      <c r="IPO12" s="439"/>
      <c r="IPP12" s="439"/>
      <c r="IPQ12" s="439"/>
      <c r="IPR12" s="439"/>
      <c r="IPS12" s="439"/>
      <c r="IPT12" s="439"/>
      <c r="IPU12" s="439"/>
      <c r="IPV12" s="439"/>
      <c r="IPW12" s="439"/>
      <c r="IPX12" s="439"/>
      <c r="IPY12" s="439"/>
      <c r="IPZ12" s="439"/>
      <c r="IQA12" s="439"/>
      <c r="IQB12" s="439"/>
      <c r="IQC12" s="439"/>
      <c r="IQD12" s="439"/>
      <c r="IQE12" s="439"/>
      <c r="IQF12" s="439"/>
      <c r="IQG12" s="439"/>
      <c r="IQH12" s="439"/>
      <c r="IQI12" s="439"/>
      <c r="IQJ12" s="439"/>
      <c r="IQK12" s="439"/>
      <c r="IQL12" s="439"/>
      <c r="IQM12" s="439"/>
      <c r="IQN12" s="439"/>
      <c r="IQO12" s="439"/>
      <c r="IQP12" s="439"/>
      <c r="IQQ12" s="439"/>
      <c r="IQR12" s="439"/>
      <c r="IQS12" s="439"/>
      <c r="IQT12" s="439"/>
      <c r="IQU12" s="439"/>
      <c r="IQV12" s="439"/>
      <c r="IQW12" s="439"/>
      <c r="IQX12" s="439"/>
      <c r="IQY12" s="439"/>
      <c r="IQZ12" s="439"/>
      <c r="IRA12" s="439"/>
      <c r="IRB12" s="439"/>
      <c r="IRC12" s="439"/>
      <c r="IRD12" s="439"/>
      <c r="IRE12" s="439"/>
      <c r="IRF12" s="439"/>
      <c r="IRG12" s="439"/>
      <c r="IRH12" s="439"/>
      <c r="IRI12" s="439"/>
      <c r="IRJ12" s="439"/>
      <c r="IRK12" s="439"/>
      <c r="IRL12" s="439"/>
      <c r="IRM12" s="439"/>
      <c r="IRN12" s="439"/>
      <c r="IRO12" s="439"/>
      <c r="IRP12" s="439"/>
      <c r="IRQ12" s="439"/>
      <c r="IRR12" s="439"/>
      <c r="IRS12" s="439"/>
      <c r="IRT12" s="439"/>
      <c r="IRU12" s="439"/>
      <c r="IRV12" s="439"/>
      <c r="IRW12" s="439"/>
      <c r="IRX12" s="439"/>
      <c r="IRY12" s="439"/>
      <c r="IRZ12" s="439"/>
      <c r="ISA12" s="439"/>
      <c r="ISB12" s="439"/>
      <c r="ISC12" s="439"/>
      <c r="ISD12" s="439"/>
      <c r="ISE12" s="439"/>
      <c r="ISF12" s="439"/>
      <c r="ISG12" s="439"/>
      <c r="ISH12" s="439"/>
      <c r="ISI12" s="439"/>
      <c r="ISJ12" s="439"/>
      <c r="ISK12" s="439"/>
      <c r="ISL12" s="439"/>
      <c r="ISM12" s="439"/>
      <c r="ISN12" s="439"/>
      <c r="ISO12" s="439"/>
      <c r="ISP12" s="439"/>
      <c r="ISQ12" s="439"/>
      <c r="ISR12" s="439"/>
      <c r="ISS12" s="439"/>
      <c r="IST12" s="439"/>
      <c r="ISU12" s="439"/>
      <c r="ISV12" s="439"/>
      <c r="ISW12" s="439"/>
      <c r="ISX12" s="439"/>
      <c r="ISY12" s="439"/>
      <c r="ISZ12" s="439"/>
      <c r="ITA12" s="439"/>
      <c r="ITB12" s="439"/>
      <c r="ITC12" s="439"/>
      <c r="ITD12" s="439"/>
      <c r="ITE12" s="439"/>
      <c r="ITF12" s="439"/>
      <c r="ITG12" s="439"/>
      <c r="ITH12" s="439"/>
      <c r="ITI12" s="439"/>
      <c r="ITJ12" s="439"/>
      <c r="ITK12" s="439"/>
      <c r="ITL12" s="439"/>
      <c r="ITM12" s="439"/>
      <c r="ITN12" s="439"/>
      <c r="ITO12" s="439"/>
      <c r="ITP12" s="439"/>
      <c r="ITQ12" s="439"/>
      <c r="ITR12" s="439"/>
      <c r="ITS12" s="439"/>
      <c r="ITT12" s="439"/>
      <c r="ITU12" s="439"/>
      <c r="ITV12" s="439"/>
      <c r="ITW12" s="439"/>
      <c r="ITX12" s="439"/>
      <c r="ITY12" s="439"/>
      <c r="ITZ12" s="439"/>
      <c r="IUA12" s="439"/>
      <c r="IUB12" s="439"/>
      <c r="IUC12" s="439"/>
      <c r="IUD12" s="439"/>
      <c r="IUE12" s="439"/>
      <c r="IUF12" s="439"/>
      <c r="IUG12" s="439"/>
      <c r="IUH12" s="439"/>
      <c r="IUI12" s="439"/>
      <c r="IUJ12" s="439"/>
      <c r="IUK12" s="439"/>
      <c r="IUL12" s="439"/>
      <c r="IUM12" s="439"/>
      <c r="IUN12" s="439"/>
      <c r="IUO12" s="439"/>
      <c r="IUP12" s="439"/>
      <c r="IUQ12" s="439"/>
      <c r="IUR12" s="439"/>
      <c r="IUS12" s="439"/>
      <c r="IUT12" s="439"/>
      <c r="IUU12" s="439"/>
      <c r="IUV12" s="439"/>
      <c r="IUW12" s="439"/>
      <c r="IUX12" s="439"/>
      <c r="IUY12" s="439"/>
      <c r="IUZ12" s="439"/>
      <c r="IVA12" s="439"/>
      <c r="IVB12" s="439"/>
      <c r="IVC12" s="439"/>
      <c r="IVD12" s="439"/>
      <c r="IVE12" s="439"/>
      <c r="IVF12" s="439"/>
      <c r="IVG12" s="439"/>
      <c r="IVH12" s="439"/>
      <c r="IVI12" s="439"/>
      <c r="IVJ12" s="439"/>
      <c r="IVK12" s="439"/>
      <c r="IVL12" s="439"/>
      <c r="IVM12" s="439"/>
      <c r="IVN12" s="439"/>
      <c r="IVO12" s="439"/>
      <c r="IVP12" s="439"/>
      <c r="IVQ12" s="439"/>
      <c r="IVR12" s="439"/>
      <c r="IVS12" s="439"/>
      <c r="IVT12" s="439"/>
      <c r="IVU12" s="439"/>
      <c r="IVV12" s="439"/>
      <c r="IVW12" s="439"/>
      <c r="IVX12" s="439"/>
      <c r="IVY12" s="439"/>
      <c r="IVZ12" s="439"/>
      <c r="IWA12" s="439"/>
      <c r="IWB12" s="439"/>
      <c r="IWC12" s="439"/>
      <c r="IWD12" s="439"/>
      <c r="IWE12" s="439"/>
      <c r="IWF12" s="439"/>
      <c r="IWG12" s="439"/>
      <c r="IWH12" s="439"/>
      <c r="IWI12" s="439"/>
      <c r="IWJ12" s="439"/>
      <c r="IWK12" s="439"/>
      <c r="IWL12" s="439"/>
      <c r="IWM12" s="439"/>
      <c r="IWN12" s="439"/>
      <c r="IWO12" s="439"/>
      <c r="IWP12" s="439"/>
      <c r="IWQ12" s="439"/>
      <c r="IWR12" s="439"/>
      <c r="IWS12" s="439"/>
      <c r="IWT12" s="439"/>
      <c r="IWU12" s="439"/>
      <c r="IWV12" s="439"/>
      <c r="IWW12" s="439"/>
      <c r="IWX12" s="439"/>
      <c r="IWY12" s="439"/>
      <c r="IWZ12" s="439"/>
      <c r="IXA12" s="439"/>
      <c r="IXB12" s="439"/>
      <c r="IXC12" s="439"/>
      <c r="IXD12" s="439"/>
      <c r="IXE12" s="439"/>
      <c r="IXF12" s="439"/>
      <c r="IXG12" s="439"/>
      <c r="IXH12" s="439"/>
      <c r="IXI12" s="439"/>
      <c r="IXJ12" s="439"/>
      <c r="IXK12" s="439"/>
      <c r="IXL12" s="439"/>
      <c r="IXM12" s="439"/>
      <c r="IXN12" s="439"/>
      <c r="IXO12" s="439"/>
      <c r="IXP12" s="439"/>
      <c r="IXQ12" s="439"/>
      <c r="IXR12" s="439"/>
      <c r="IXS12" s="439"/>
      <c r="IXT12" s="439"/>
      <c r="IXU12" s="439"/>
      <c r="IXV12" s="439"/>
      <c r="IXW12" s="439"/>
      <c r="IXX12" s="439"/>
      <c r="IXY12" s="439"/>
      <c r="IXZ12" s="439"/>
      <c r="IYA12" s="439"/>
      <c r="IYB12" s="439"/>
      <c r="IYC12" s="439"/>
      <c r="IYD12" s="439"/>
      <c r="IYE12" s="439"/>
      <c r="IYF12" s="439"/>
      <c r="IYG12" s="439"/>
      <c r="IYH12" s="439"/>
      <c r="IYI12" s="439"/>
      <c r="IYJ12" s="439"/>
      <c r="IYK12" s="439"/>
      <c r="IYL12" s="439"/>
      <c r="IYM12" s="439"/>
      <c r="IYN12" s="439"/>
      <c r="IYO12" s="439"/>
      <c r="IYP12" s="439"/>
      <c r="IYQ12" s="439"/>
      <c r="IYR12" s="439"/>
      <c r="IYS12" s="439"/>
      <c r="IYT12" s="439"/>
      <c r="IYU12" s="439"/>
      <c r="IYV12" s="439"/>
      <c r="IYW12" s="439"/>
      <c r="IYX12" s="439"/>
      <c r="IYY12" s="439"/>
      <c r="IYZ12" s="439"/>
      <c r="IZA12" s="439"/>
      <c r="IZB12" s="439"/>
      <c r="IZC12" s="439"/>
      <c r="IZD12" s="439"/>
      <c r="IZE12" s="439"/>
      <c r="IZF12" s="439"/>
      <c r="IZG12" s="439"/>
      <c r="IZH12" s="439"/>
      <c r="IZI12" s="439"/>
      <c r="IZJ12" s="439"/>
      <c r="IZK12" s="439"/>
      <c r="IZL12" s="439"/>
      <c r="IZM12" s="439"/>
      <c r="IZN12" s="439"/>
      <c r="IZO12" s="439"/>
      <c r="IZP12" s="439"/>
      <c r="IZQ12" s="439"/>
      <c r="IZR12" s="439"/>
      <c r="IZS12" s="439"/>
      <c r="IZT12" s="439"/>
      <c r="IZU12" s="439"/>
      <c r="IZV12" s="439"/>
      <c r="IZW12" s="439"/>
      <c r="IZX12" s="439"/>
      <c r="IZY12" s="439"/>
      <c r="IZZ12" s="439"/>
      <c r="JAA12" s="439"/>
      <c r="JAB12" s="439"/>
      <c r="JAC12" s="439"/>
      <c r="JAD12" s="439"/>
      <c r="JAE12" s="439"/>
      <c r="JAF12" s="439"/>
      <c r="JAG12" s="439"/>
      <c r="JAH12" s="439"/>
      <c r="JAI12" s="439"/>
      <c r="JAJ12" s="439"/>
      <c r="JAK12" s="439"/>
      <c r="JAL12" s="439"/>
      <c r="JAM12" s="439"/>
      <c r="JAN12" s="439"/>
      <c r="JAO12" s="439"/>
      <c r="JAP12" s="439"/>
      <c r="JAQ12" s="439"/>
      <c r="JAR12" s="439"/>
      <c r="JAS12" s="439"/>
      <c r="JAT12" s="439"/>
      <c r="JAU12" s="439"/>
      <c r="JAV12" s="439"/>
      <c r="JAW12" s="439"/>
      <c r="JAX12" s="439"/>
      <c r="JAY12" s="439"/>
      <c r="JAZ12" s="439"/>
      <c r="JBA12" s="439"/>
      <c r="JBB12" s="439"/>
      <c r="JBC12" s="439"/>
      <c r="JBD12" s="439"/>
      <c r="JBE12" s="439"/>
      <c r="JBF12" s="439"/>
      <c r="JBG12" s="439"/>
      <c r="JBH12" s="439"/>
      <c r="JBI12" s="439"/>
      <c r="JBJ12" s="439"/>
      <c r="JBK12" s="439"/>
      <c r="JBL12" s="439"/>
      <c r="JBM12" s="439"/>
      <c r="JBN12" s="439"/>
      <c r="JBO12" s="439"/>
      <c r="JBP12" s="439"/>
      <c r="JBQ12" s="439"/>
      <c r="JBR12" s="439"/>
      <c r="JBS12" s="439"/>
      <c r="JBT12" s="439"/>
      <c r="JBU12" s="439"/>
      <c r="JBV12" s="439"/>
      <c r="JBW12" s="439"/>
      <c r="JBX12" s="439"/>
      <c r="JBY12" s="439"/>
      <c r="JBZ12" s="439"/>
      <c r="JCA12" s="439"/>
      <c r="JCB12" s="439"/>
      <c r="JCC12" s="439"/>
      <c r="JCD12" s="439"/>
      <c r="JCE12" s="439"/>
      <c r="JCF12" s="439"/>
      <c r="JCG12" s="439"/>
      <c r="JCH12" s="439"/>
      <c r="JCI12" s="439"/>
      <c r="JCJ12" s="439"/>
      <c r="JCK12" s="439"/>
      <c r="JCL12" s="439"/>
      <c r="JCM12" s="439"/>
      <c r="JCN12" s="439"/>
      <c r="JCO12" s="439"/>
      <c r="JCP12" s="439"/>
      <c r="JCQ12" s="439"/>
      <c r="JCR12" s="439"/>
      <c r="JCS12" s="439"/>
      <c r="JCT12" s="439"/>
      <c r="JCU12" s="439"/>
      <c r="JCV12" s="439"/>
      <c r="JCW12" s="439"/>
      <c r="JCX12" s="439"/>
      <c r="JCY12" s="439"/>
      <c r="JCZ12" s="439"/>
      <c r="JDA12" s="439"/>
      <c r="JDB12" s="439"/>
      <c r="JDC12" s="439"/>
      <c r="JDD12" s="439"/>
      <c r="JDE12" s="439"/>
      <c r="JDF12" s="439"/>
      <c r="JDG12" s="439"/>
      <c r="JDH12" s="439"/>
      <c r="JDI12" s="439"/>
      <c r="JDJ12" s="439"/>
      <c r="JDK12" s="439"/>
      <c r="JDL12" s="439"/>
      <c r="JDM12" s="439"/>
      <c r="JDN12" s="439"/>
      <c r="JDO12" s="439"/>
      <c r="JDP12" s="439"/>
      <c r="JDQ12" s="439"/>
      <c r="JDR12" s="439"/>
      <c r="JDS12" s="439"/>
      <c r="JDT12" s="439"/>
      <c r="JDU12" s="439"/>
      <c r="JDV12" s="439"/>
      <c r="JDW12" s="439"/>
      <c r="JDX12" s="439"/>
      <c r="JDY12" s="439"/>
      <c r="JDZ12" s="439"/>
      <c r="JEA12" s="439"/>
      <c r="JEB12" s="439"/>
      <c r="JEC12" s="439"/>
      <c r="JED12" s="439"/>
      <c r="JEE12" s="439"/>
      <c r="JEF12" s="439"/>
      <c r="JEG12" s="439"/>
      <c r="JEH12" s="439"/>
      <c r="JEI12" s="439"/>
      <c r="JEJ12" s="439"/>
      <c r="JEK12" s="439"/>
      <c r="JEL12" s="439"/>
      <c r="JEM12" s="439"/>
      <c r="JEN12" s="439"/>
      <c r="JEO12" s="439"/>
      <c r="JEP12" s="439"/>
      <c r="JEQ12" s="439"/>
      <c r="JER12" s="439"/>
      <c r="JES12" s="439"/>
      <c r="JET12" s="439"/>
      <c r="JEU12" s="439"/>
      <c r="JEV12" s="439"/>
      <c r="JEW12" s="439"/>
      <c r="JEX12" s="439"/>
      <c r="JEY12" s="439"/>
      <c r="JEZ12" s="439"/>
      <c r="JFA12" s="439"/>
      <c r="JFB12" s="439"/>
      <c r="JFC12" s="439"/>
      <c r="JFD12" s="439"/>
      <c r="JFE12" s="439"/>
      <c r="JFF12" s="439"/>
      <c r="JFG12" s="439"/>
      <c r="JFH12" s="439"/>
      <c r="JFI12" s="439"/>
      <c r="JFJ12" s="439"/>
      <c r="JFK12" s="439"/>
      <c r="JFL12" s="439"/>
      <c r="JFM12" s="439"/>
      <c r="JFN12" s="439"/>
      <c r="JFO12" s="439"/>
      <c r="JFP12" s="439"/>
      <c r="JFQ12" s="439"/>
      <c r="JFR12" s="439"/>
      <c r="JFS12" s="439"/>
      <c r="JFT12" s="439"/>
      <c r="JFU12" s="439"/>
      <c r="JFV12" s="439"/>
      <c r="JFW12" s="439"/>
      <c r="JFX12" s="439"/>
      <c r="JFY12" s="439"/>
      <c r="JFZ12" s="439"/>
      <c r="JGA12" s="439"/>
      <c r="JGB12" s="439"/>
      <c r="JGC12" s="439"/>
      <c r="JGD12" s="439"/>
      <c r="JGE12" s="439"/>
      <c r="JGF12" s="439"/>
      <c r="JGG12" s="439"/>
      <c r="JGH12" s="439"/>
      <c r="JGI12" s="439"/>
      <c r="JGJ12" s="439"/>
      <c r="JGK12" s="439"/>
      <c r="JGL12" s="439"/>
      <c r="JGM12" s="439"/>
      <c r="JGN12" s="439"/>
      <c r="JGO12" s="439"/>
      <c r="JGP12" s="439"/>
      <c r="JGQ12" s="439"/>
      <c r="JGR12" s="439"/>
      <c r="JGS12" s="439"/>
      <c r="JGT12" s="439"/>
      <c r="JGU12" s="439"/>
      <c r="JGV12" s="439"/>
      <c r="JGW12" s="439"/>
      <c r="JGX12" s="439"/>
      <c r="JGY12" s="439"/>
      <c r="JGZ12" s="439"/>
      <c r="JHA12" s="439"/>
      <c r="JHB12" s="439"/>
      <c r="JHC12" s="439"/>
      <c r="JHD12" s="439"/>
      <c r="JHE12" s="439"/>
      <c r="JHF12" s="439"/>
      <c r="JHG12" s="439"/>
      <c r="JHH12" s="439"/>
      <c r="JHI12" s="439"/>
      <c r="JHJ12" s="439"/>
      <c r="JHK12" s="439"/>
      <c r="JHL12" s="439"/>
      <c r="JHM12" s="439"/>
      <c r="JHN12" s="439"/>
      <c r="JHO12" s="439"/>
      <c r="JHP12" s="439"/>
      <c r="JHQ12" s="439"/>
      <c r="JHR12" s="439"/>
      <c r="JHS12" s="439"/>
      <c r="JHT12" s="439"/>
      <c r="JHU12" s="439"/>
      <c r="JHV12" s="439"/>
      <c r="JHW12" s="439"/>
      <c r="JHX12" s="439"/>
      <c r="JHY12" s="439"/>
      <c r="JHZ12" s="439"/>
      <c r="JIA12" s="439"/>
      <c r="JIB12" s="439"/>
      <c r="JIC12" s="439"/>
      <c r="JID12" s="439"/>
      <c r="JIE12" s="439"/>
      <c r="JIF12" s="439"/>
      <c r="JIG12" s="439"/>
      <c r="JIH12" s="439"/>
      <c r="JII12" s="439"/>
      <c r="JIJ12" s="439"/>
      <c r="JIK12" s="439"/>
      <c r="JIL12" s="439"/>
      <c r="JIM12" s="439"/>
      <c r="JIN12" s="439"/>
      <c r="JIO12" s="439"/>
      <c r="JIP12" s="439"/>
      <c r="JIQ12" s="439"/>
      <c r="JIR12" s="439"/>
      <c r="JIS12" s="439"/>
      <c r="JIT12" s="439"/>
      <c r="JIU12" s="439"/>
      <c r="JIV12" s="439"/>
      <c r="JIW12" s="439"/>
      <c r="JIX12" s="439"/>
      <c r="JIY12" s="439"/>
      <c r="JIZ12" s="439"/>
      <c r="JJA12" s="439"/>
      <c r="JJB12" s="439"/>
      <c r="JJC12" s="439"/>
      <c r="JJD12" s="439"/>
      <c r="JJE12" s="439"/>
      <c r="JJF12" s="439"/>
      <c r="JJG12" s="439"/>
      <c r="JJH12" s="439"/>
      <c r="JJI12" s="439"/>
      <c r="JJJ12" s="439"/>
      <c r="JJK12" s="439"/>
      <c r="JJL12" s="439"/>
      <c r="JJM12" s="439"/>
      <c r="JJN12" s="439"/>
      <c r="JJO12" s="439"/>
      <c r="JJP12" s="439"/>
      <c r="JJQ12" s="439"/>
      <c r="JJR12" s="439"/>
      <c r="JJS12" s="439"/>
      <c r="JJT12" s="439"/>
      <c r="JJU12" s="439"/>
      <c r="JJV12" s="439"/>
      <c r="JJW12" s="439"/>
      <c r="JJX12" s="439"/>
      <c r="JJY12" s="439"/>
      <c r="JJZ12" s="439"/>
      <c r="JKA12" s="439"/>
      <c r="JKB12" s="439"/>
      <c r="JKC12" s="439"/>
      <c r="JKD12" s="439"/>
      <c r="JKE12" s="439"/>
      <c r="JKF12" s="439"/>
      <c r="JKG12" s="439"/>
      <c r="JKH12" s="439"/>
      <c r="JKI12" s="439"/>
      <c r="JKJ12" s="439"/>
      <c r="JKK12" s="439"/>
      <c r="JKL12" s="439"/>
      <c r="JKM12" s="439"/>
      <c r="JKN12" s="439"/>
      <c r="JKO12" s="439"/>
      <c r="JKP12" s="439"/>
      <c r="JKQ12" s="439"/>
      <c r="JKR12" s="439"/>
      <c r="JKS12" s="439"/>
      <c r="JKT12" s="439"/>
      <c r="JKU12" s="439"/>
      <c r="JKV12" s="439"/>
      <c r="JKW12" s="439"/>
      <c r="JKX12" s="439"/>
      <c r="JKY12" s="439"/>
      <c r="JKZ12" s="439"/>
      <c r="JLA12" s="439"/>
      <c r="JLB12" s="439"/>
      <c r="JLC12" s="439"/>
      <c r="JLD12" s="439"/>
      <c r="JLE12" s="439"/>
      <c r="JLF12" s="439"/>
      <c r="JLG12" s="439"/>
      <c r="JLH12" s="439"/>
      <c r="JLI12" s="439"/>
      <c r="JLJ12" s="439"/>
      <c r="JLK12" s="439"/>
      <c r="JLL12" s="439"/>
      <c r="JLM12" s="439"/>
      <c r="JLN12" s="439"/>
      <c r="JLO12" s="439"/>
      <c r="JLP12" s="439"/>
      <c r="JLQ12" s="439"/>
      <c r="JLR12" s="439"/>
      <c r="JLS12" s="439"/>
      <c r="JLT12" s="439"/>
      <c r="JLU12" s="439"/>
      <c r="JLV12" s="439"/>
      <c r="JLW12" s="439"/>
      <c r="JLX12" s="439"/>
      <c r="JLY12" s="439"/>
      <c r="JLZ12" s="439"/>
      <c r="JMA12" s="439"/>
      <c r="JMB12" s="439"/>
      <c r="JMC12" s="439"/>
      <c r="JMD12" s="439"/>
      <c r="JME12" s="439"/>
      <c r="JMF12" s="439"/>
      <c r="JMG12" s="439"/>
      <c r="JMH12" s="439"/>
      <c r="JMI12" s="439"/>
      <c r="JMJ12" s="439"/>
      <c r="JMK12" s="439"/>
      <c r="JML12" s="439"/>
      <c r="JMM12" s="439"/>
      <c r="JMN12" s="439"/>
      <c r="JMO12" s="439"/>
      <c r="JMP12" s="439"/>
      <c r="JMQ12" s="439"/>
      <c r="JMR12" s="439"/>
      <c r="JMS12" s="439"/>
      <c r="JMT12" s="439"/>
      <c r="JMU12" s="439"/>
      <c r="JMV12" s="439"/>
      <c r="JMW12" s="439"/>
      <c r="JMX12" s="439"/>
      <c r="JMY12" s="439"/>
      <c r="JMZ12" s="439"/>
      <c r="JNA12" s="439"/>
      <c r="JNB12" s="439"/>
      <c r="JNC12" s="439"/>
      <c r="JND12" s="439"/>
      <c r="JNE12" s="439"/>
      <c r="JNF12" s="439"/>
      <c r="JNG12" s="439"/>
      <c r="JNH12" s="439"/>
      <c r="JNI12" s="439"/>
      <c r="JNJ12" s="439"/>
      <c r="JNK12" s="439"/>
      <c r="JNL12" s="439"/>
      <c r="JNM12" s="439"/>
      <c r="JNN12" s="439"/>
      <c r="JNO12" s="439"/>
      <c r="JNP12" s="439"/>
      <c r="JNQ12" s="439"/>
      <c r="JNR12" s="439"/>
      <c r="JNS12" s="439"/>
      <c r="JNT12" s="439"/>
      <c r="JNU12" s="439"/>
      <c r="JNV12" s="439"/>
      <c r="JNW12" s="439"/>
      <c r="JNX12" s="439"/>
      <c r="JNY12" s="439"/>
      <c r="JNZ12" s="439"/>
      <c r="JOA12" s="439"/>
      <c r="JOB12" s="439"/>
      <c r="JOC12" s="439"/>
      <c r="JOD12" s="439"/>
      <c r="JOE12" s="439"/>
      <c r="JOF12" s="439"/>
      <c r="JOG12" s="439"/>
      <c r="JOH12" s="439"/>
      <c r="JOI12" s="439"/>
      <c r="JOJ12" s="439"/>
      <c r="JOK12" s="439"/>
      <c r="JOL12" s="439"/>
      <c r="JOM12" s="439"/>
      <c r="JON12" s="439"/>
      <c r="JOO12" s="439"/>
      <c r="JOP12" s="439"/>
      <c r="JOQ12" s="439"/>
      <c r="JOR12" s="439"/>
      <c r="JOS12" s="439"/>
      <c r="JOT12" s="439"/>
      <c r="JOU12" s="439"/>
      <c r="JOV12" s="439"/>
      <c r="JOW12" s="439"/>
      <c r="JOX12" s="439"/>
      <c r="JOY12" s="439"/>
      <c r="JOZ12" s="439"/>
      <c r="JPA12" s="439"/>
      <c r="JPB12" s="439"/>
      <c r="JPC12" s="439"/>
      <c r="JPD12" s="439"/>
      <c r="JPE12" s="439"/>
      <c r="JPF12" s="439"/>
      <c r="JPG12" s="439"/>
      <c r="JPH12" s="439"/>
      <c r="JPI12" s="439"/>
      <c r="JPJ12" s="439"/>
      <c r="JPK12" s="439"/>
      <c r="JPL12" s="439"/>
      <c r="JPM12" s="439"/>
      <c r="JPN12" s="439"/>
      <c r="JPO12" s="439"/>
      <c r="JPP12" s="439"/>
      <c r="JPQ12" s="439"/>
      <c r="JPR12" s="439"/>
      <c r="JPS12" s="439"/>
      <c r="JPT12" s="439"/>
      <c r="JPU12" s="439"/>
      <c r="JPV12" s="439"/>
      <c r="JPW12" s="439"/>
      <c r="JPX12" s="439"/>
      <c r="JPY12" s="439"/>
      <c r="JPZ12" s="439"/>
      <c r="JQA12" s="439"/>
      <c r="JQB12" s="439"/>
      <c r="JQC12" s="439"/>
      <c r="JQD12" s="439"/>
      <c r="JQE12" s="439"/>
      <c r="JQF12" s="439"/>
      <c r="JQG12" s="439"/>
      <c r="JQH12" s="439"/>
      <c r="JQI12" s="439"/>
      <c r="JQJ12" s="439"/>
      <c r="JQK12" s="439"/>
      <c r="JQL12" s="439"/>
      <c r="JQM12" s="439"/>
      <c r="JQN12" s="439"/>
      <c r="JQO12" s="439"/>
      <c r="JQP12" s="439"/>
      <c r="JQQ12" s="439"/>
      <c r="JQR12" s="439"/>
      <c r="JQS12" s="439"/>
      <c r="JQT12" s="439"/>
      <c r="JQU12" s="439"/>
      <c r="JQV12" s="439"/>
      <c r="JQW12" s="439"/>
      <c r="JQX12" s="439"/>
      <c r="JQY12" s="439"/>
      <c r="JQZ12" s="439"/>
      <c r="JRA12" s="439"/>
      <c r="JRB12" s="439"/>
      <c r="JRC12" s="439"/>
      <c r="JRD12" s="439"/>
      <c r="JRE12" s="439"/>
      <c r="JRF12" s="439"/>
      <c r="JRG12" s="439"/>
      <c r="JRH12" s="439"/>
      <c r="JRI12" s="439"/>
      <c r="JRJ12" s="439"/>
      <c r="JRK12" s="439"/>
      <c r="JRL12" s="439"/>
      <c r="JRM12" s="439"/>
      <c r="JRN12" s="439"/>
      <c r="JRO12" s="439"/>
      <c r="JRP12" s="439"/>
      <c r="JRQ12" s="439"/>
      <c r="JRR12" s="439"/>
      <c r="JRS12" s="439"/>
      <c r="JRT12" s="439"/>
      <c r="JRU12" s="439"/>
      <c r="JRV12" s="439"/>
      <c r="JRW12" s="439"/>
      <c r="JRX12" s="439"/>
      <c r="JRY12" s="439"/>
      <c r="JRZ12" s="439"/>
      <c r="JSA12" s="439"/>
      <c r="JSB12" s="439"/>
      <c r="JSC12" s="439"/>
      <c r="JSD12" s="439"/>
      <c r="JSE12" s="439"/>
      <c r="JSF12" s="439"/>
      <c r="JSG12" s="439"/>
      <c r="JSH12" s="439"/>
      <c r="JSI12" s="439"/>
      <c r="JSJ12" s="439"/>
      <c r="JSK12" s="439"/>
      <c r="JSL12" s="439"/>
      <c r="JSM12" s="439"/>
      <c r="JSN12" s="439"/>
      <c r="JSO12" s="439"/>
      <c r="JSP12" s="439"/>
      <c r="JSQ12" s="439"/>
      <c r="JSR12" s="439"/>
      <c r="JSS12" s="439"/>
      <c r="JST12" s="439"/>
      <c r="JSU12" s="439"/>
      <c r="JSV12" s="439"/>
      <c r="JSW12" s="439"/>
      <c r="JSX12" s="439"/>
      <c r="JSY12" s="439"/>
      <c r="JSZ12" s="439"/>
      <c r="JTA12" s="439"/>
      <c r="JTB12" s="439"/>
      <c r="JTC12" s="439"/>
      <c r="JTD12" s="439"/>
      <c r="JTE12" s="439"/>
      <c r="JTF12" s="439"/>
      <c r="JTG12" s="439"/>
      <c r="JTH12" s="439"/>
      <c r="JTI12" s="439"/>
      <c r="JTJ12" s="439"/>
      <c r="JTK12" s="439"/>
      <c r="JTL12" s="439"/>
      <c r="JTM12" s="439"/>
      <c r="JTN12" s="439"/>
      <c r="JTO12" s="439"/>
      <c r="JTP12" s="439"/>
      <c r="JTQ12" s="439"/>
      <c r="JTR12" s="439"/>
      <c r="JTS12" s="439"/>
      <c r="JTT12" s="439"/>
      <c r="JTU12" s="439"/>
      <c r="JTV12" s="439"/>
      <c r="JTW12" s="439"/>
      <c r="JTX12" s="439"/>
      <c r="JTY12" s="439"/>
      <c r="JTZ12" s="439"/>
      <c r="JUA12" s="439"/>
      <c r="JUB12" s="439"/>
      <c r="JUC12" s="439"/>
      <c r="JUD12" s="439"/>
      <c r="JUE12" s="439"/>
      <c r="JUF12" s="439"/>
      <c r="JUG12" s="439"/>
      <c r="JUH12" s="439"/>
      <c r="JUI12" s="439"/>
      <c r="JUJ12" s="439"/>
      <c r="JUK12" s="439"/>
      <c r="JUL12" s="439"/>
      <c r="JUM12" s="439"/>
      <c r="JUN12" s="439"/>
      <c r="JUO12" s="439"/>
      <c r="JUP12" s="439"/>
      <c r="JUQ12" s="439"/>
      <c r="JUR12" s="439"/>
      <c r="JUS12" s="439"/>
      <c r="JUT12" s="439"/>
      <c r="JUU12" s="439"/>
      <c r="JUV12" s="439"/>
      <c r="JUW12" s="439"/>
      <c r="JUX12" s="439"/>
      <c r="JUY12" s="439"/>
      <c r="JUZ12" s="439"/>
      <c r="JVA12" s="439"/>
      <c r="JVB12" s="439"/>
      <c r="JVC12" s="439"/>
      <c r="JVD12" s="439"/>
      <c r="JVE12" s="439"/>
      <c r="JVF12" s="439"/>
      <c r="JVG12" s="439"/>
      <c r="JVH12" s="439"/>
      <c r="JVI12" s="439"/>
      <c r="JVJ12" s="439"/>
      <c r="JVK12" s="439"/>
      <c r="JVL12" s="439"/>
      <c r="JVM12" s="439"/>
      <c r="JVN12" s="439"/>
      <c r="JVO12" s="439"/>
      <c r="JVP12" s="439"/>
      <c r="JVQ12" s="439"/>
      <c r="JVR12" s="439"/>
      <c r="JVS12" s="439"/>
      <c r="JVT12" s="439"/>
      <c r="JVU12" s="439"/>
      <c r="JVV12" s="439"/>
      <c r="JVW12" s="439"/>
      <c r="JVX12" s="439"/>
      <c r="JVY12" s="439"/>
      <c r="JVZ12" s="439"/>
      <c r="JWA12" s="439"/>
      <c r="JWB12" s="439"/>
      <c r="JWC12" s="439"/>
      <c r="JWD12" s="439"/>
      <c r="JWE12" s="439"/>
      <c r="JWF12" s="439"/>
      <c r="JWG12" s="439"/>
      <c r="JWH12" s="439"/>
      <c r="JWI12" s="439"/>
      <c r="JWJ12" s="439"/>
      <c r="JWK12" s="439"/>
      <c r="JWL12" s="439"/>
      <c r="JWM12" s="439"/>
      <c r="JWN12" s="439"/>
      <c r="JWO12" s="439"/>
      <c r="JWP12" s="439"/>
      <c r="JWQ12" s="439"/>
      <c r="JWR12" s="439"/>
      <c r="JWS12" s="439"/>
      <c r="JWT12" s="439"/>
      <c r="JWU12" s="439"/>
      <c r="JWV12" s="439"/>
      <c r="JWW12" s="439"/>
      <c r="JWX12" s="439"/>
      <c r="JWY12" s="439"/>
      <c r="JWZ12" s="439"/>
      <c r="JXA12" s="439"/>
      <c r="JXB12" s="439"/>
      <c r="JXC12" s="439"/>
      <c r="JXD12" s="439"/>
      <c r="JXE12" s="439"/>
      <c r="JXF12" s="439"/>
      <c r="JXG12" s="439"/>
      <c r="JXH12" s="439"/>
      <c r="JXI12" s="439"/>
      <c r="JXJ12" s="439"/>
      <c r="JXK12" s="439"/>
      <c r="JXL12" s="439"/>
      <c r="JXM12" s="439"/>
      <c r="JXN12" s="439"/>
      <c r="JXO12" s="439"/>
      <c r="JXP12" s="439"/>
      <c r="JXQ12" s="439"/>
      <c r="JXR12" s="439"/>
      <c r="JXS12" s="439"/>
      <c r="JXT12" s="439"/>
      <c r="JXU12" s="439"/>
      <c r="JXV12" s="439"/>
      <c r="JXW12" s="439"/>
      <c r="JXX12" s="439"/>
      <c r="JXY12" s="439"/>
      <c r="JXZ12" s="439"/>
      <c r="JYA12" s="439"/>
      <c r="JYB12" s="439"/>
      <c r="JYC12" s="439"/>
      <c r="JYD12" s="439"/>
      <c r="JYE12" s="439"/>
      <c r="JYF12" s="439"/>
      <c r="JYG12" s="439"/>
      <c r="JYH12" s="439"/>
      <c r="JYI12" s="439"/>
      <c r="JYJ12" s="439"/>
      <c r="JYK12" s="439"/>
      <c r="JYL12" s="439"/>
      <c r="JYM12" s="439"/>
      <c r="JYN12" s="439"/>
      <c r="JYO12" s="439"/>
      <c r="JYP12" s="439"/>
      <c r="JYQ12" s="439"/>
      <c r="JYR12" s="439"/>
      <c r="JYS12" s="439"/>
      <c r="JYT12" s="439"/>
      <c r="JYU12" s="439"/>
      <c r="JYV12" s="439"/>
      <c r="JYW12" s="439"/>
      <c r="JYX12" s="439"/>
      <c r="JYY12" s="439"/>
      <c r="JYZ12" s="439"/>
      <c r="JZA12" s="439"/>
      <c r="JZB12" s="439"/>
      <c r="JZC12" s="439"/>
      <c r="JZD12" s="439"/>
      <c r="JZE12" s="439"/>
      <c r="JZF12" s="439"/>
      <c r="JZG12" s="439"/>
      <c r="JZH12" s="439"/>
      <c r="JZI12" s="439"/>
      <c r="JZJ12" s="439"/>
      <c r="JZK12" s="439"/>
      <c r="JZL12" s="439"/>
      <c r="JZM12" s="439"/>
      <c r="JZN12" s="439"/>
      <c r="JZO12" s="439"/>
      <c r="JZP12" s="439"/>
      <c r="JZQ12" s="439"/>
      <c r="JZR12" s="439"/>
      <c r="JZS12" s="439"/>
      <c r="JZT12" s="439"/>
      <c r="JZU12" s="439"/>
      <c r="JZV12" s="439"/>
      <c r="JZW12" s="439"/>
      <c r="JZX12" s="439"/>
      <c r="JZY12" s="439"/>
      <c r="JZZ12" s="439"/>
      <c r="KAA12" s="439"/>
      <c r="KAB12" s="439"/>
      <c r="KAC12" s="439"/>
      <c r="KAD12" s="439"/>
      <c r="KAE12" s="439"/>
      <c r="KAF12" s="439"/>
      <c r="KAG12" s="439"/>
      <c r="KAH12" s="439"/>
      <c r="KAI12" s="439"/>
      <c r="KAJ12" s="439"/>
      <c r="KAK12" s="439"/>
      <c r="KAL12" s="439"/>
      <c r="KAM12" s="439"/>
      <c r="KAN12" s="439"/>
      <c r="KAO12" s="439"/>
      <c r="KAP12" s="439"/>
      <c r="KAQ12" s="439"/>
      <c r="KAR12" s="439"/>
      <c r="KAS12" s="439"/>
      <c r="KAT12" s="439"/>
      <c r="KAU12" s="439"/>
      <c r="KAV12" s="439"/>
      <c r="KAW12" s="439"/>
      <c r="KAX12" s="439"/>
      <c r="KAY12" s="439"/>
      <c r="KAZ12" s="439"/>
      <c r="KBA12" s="439"/>
      <c r="KBB12" s="439"/>
      <c r="KBC12" s="439"/>
      <c r="KBD12" s="439"/>
      <c r="KBE12" s="439"/>
      <c r="KBF12" s="439"/>
      <c r="KBG12" s="439"/>
      <c r="KBH12" s="439"/>
      <c r="KBI12" s="439"/>
      <c r="KBJ12" s="439"/>
      <c r="KBK12" s="439"/>
      <c r="KBL12" s="439"/>
      <c r="KBM12" s="439"/>
      <c r="KBN12" s="439"/>
      <c r="KBO12" s="439"/>
      <c r="KBP12" s="439"/>
      <c r="KBQ12" s="439"/>
      <c r="KBR12" s="439"/>
      <c r="KBS12" s="439"/>
      <c r="KBT12" s="439"/>
      <c r="KBU12" s="439"/>
      <c r="KBV12" s="439"/>
      <c r="KBW12" s="439"/>
      <c r="KBX12" s="439"/>
      <c r="KBY12" s="439"/>
      <c r="KBZ12" s="439"/>
      <c r="KCA12" s="439"/>
      <c r="KCB12" s="439"/>
      <c r="KCC12" s="439"/>
      <c r="KCD12" s="439"/>
      <c r="KCE12" s="439"/>
      <c r="KCF12" s="439"/>
      <c r="KCG12" s="439"/>
      <c r="KCH12" s="439"/>
      <c r="KCI12" s="439"/>
      <c r="KCJ12" s="439"/>
      <c r="KCK12" s="439"/>
      <c r="KCL12" s="439"/>
      <c r="KCM12" s="439"/>
      <c r="KCN12" s="439"/>
      <c r="KCO12" s="439"/>
      <c r="KCP12" s="439"/>
      <c r="KCQ12" s="439"/>
      <c r="KCR12" s="439"/>
      <c r="KCS12" s="439"/>
      <c r="KCT12" s="439"/>
      <c r="KCU12" s="439"/>
      <c r="KCV12" s="439"/>
      <c r="KCW12" s="439"/>
      <c r="KCX12" s="439"/>
      <c r="KCY12" s="439"/>
      <c r="KCZ12" s="439"/>
      <c r="KDA12" s="439"/>
      <c r="KDB12" s="439"/>
      <c r="KDC12" s="439"/>
      <c r="KDD12" s="439"/>
      <c r="KDE12" s="439"/>
      <c r="KDF12" s="439"/>
      <c r="KDG12" s="439"/>
      <c r="KDH12" s="439"/>
      <c r="KDI12" s="439"/>
      <c r="KDJ12" s="439"/>
      <c r="KDK12" s="439"/>
      <c r="KDL12" s="439"/>
      <c r="KDM12" s="439"/>
      <c r="KDN12" s="439"/>
      <c r="KDO12" s="439"/>
      <c r="KDP12" s="439"/>
      <c r="KDQ12" s="439"/>
      <c r="KDR12" s="439"/>
      <c r="KDS12" s="439"/>
      <c r="KDT12" s="439"/>
      <c r="KDU12" s="439"/>
      <c r="KDV12" s="439"/>
      <c r="KDW12" s="439"/>
      <c r="KDX12" s="439"/>
      <c r="KDY12" s="439"/>
      <c r="KDZ12" s="439"/>
      <c r="KEA12" s="439"/>
      <c r="KEB12" s="439"/>
      <c r="KEC12" s="439"/>
      <c r="KED12" s="439"/>
      <c r="KEE12" s="439"/>
      <c r="KEF12" s="439"/>
      <c r="KEG12" s="439"/>
      <c r="KEH12" s="439"/>
      <c r="KEI12" s="439"/>
      <c r="KEJ12" s="439"/>
      <c r="KEK12" s="439"/>
      <c r="KEL12" s="439"/>
      <c r="KEM12" s="439"/>
      <c r="KEN12" s="439"/>
      <c r="KEO12" s="439"/>
      <c r="KEP12" s="439"/>
      <c r="KEQ12" s="439"/>
      <c r="KER12" s="439"/>
      <c r="KES12" s="439"/>
      <c r="KET12" s="439"/>
      <c r="KEU12" s="439"/>
      <c r="KEV12" s="439"/>
      <c r="KEW12" s="439"/>
      <c r="KEX12" s="439"/>
      <c r="KEY12" s="439"/>
      <c r="KEZ12" s="439"/>
      <c r="KFA12" s="439"/>
      <c r="KFB12" s="439"/>
      <c r="KFC12" s="439"/>
      <c r="KFD12" s="439"/>
      <c r="KFE12" s="439"/>
      <c r="KFF12" s="439"/>
      <c r="KFG12" s="439"/>
      <c r="KFH12" s="439"/>
      <c r="KFI12" s="439"/>
      <c r="KFJ12" s="439"/>
      <c r="KFK12" s="439"/>
      <c r="KFL12" s="439"/>
      <c r="KFM12" s="439"/>
      <c r="KFN12" s="439"/>
      <c r="KFO12" s="439"/>
      <c r="KFP12" s="439"/>
      <c r="KFQ12" s="439"/>
      <c r="KFR12" s="439"/>
      <c r="KFS12" s="439"/>
      <c r="KFT12" s="439"/>
      <c r="KFU12" s="439"/>
      <c r="KFV12" s="439"/>
      <c r="KFW12" s="439"/>
      <c r="KFX12" s="439"/>
      <c r="KFY12" s="439"/>
      <c r="KFZ12" s="439"/>
      <c r="KGA12" s="439"/>
      <c r="KGB12" s="439"/>
      <c r="KGC12" s="439"/>
      <c r="KGD12" s="439"/>
      <c r="KGE12" s="439"/>
      <c r="KGF12" s="439"/>
      <c r="KGG12" s="439"/>
      <c r="KGH12" s="439"/>
      <c r="KGI12" s="439"/>
      <c r="KGJ12" s="439"/>
      <c r="KGK12" s="439"/>
      <c r="KGL12" s="439"/>
      <c r="KGM12" s="439"/>
      <c r="KGN12" s="439"/>
      <c r="KGO12" s="439"/>
      <c r="KGP12" s="439"/>
      <c r="KGQ12" s="439"/>
      <c r="KGR12" s="439"/>
      <c r="KGS12" s="439"/>
      <c r="KGT12" s="439"/>
      <c r="KGU12" s="439"/>
      <c r="KGV12" s="439"/>
      <c r="KGW12" s="439"/>
      <c r="KGX12" s="439"/>
      <c r="KGY12" s="439"/>
      <c r="KGZ12" s="439"/>
      <c r="KHA12" s="439"/>
      <c r="KHB12" s="439"/>
      <c r="KHC12" s="439"/>
      <c r="KHD12" s="439"/>
      <c r="KHE12" s="439"/>
      <c r="KHF12" s="439"/>
      <c r="KHG12" s="439"/>
      <c r="KHH12" s="439"/>
      <c r="KHI12" s="439"/>
      <c r="KHJ12" s="439"/>
      <c r="KHK12" s="439"/>
      <c r="KHL12" s="439"/>
      <c r="KHM12" s="439"/>
      <c r="KHN12" s="439"/>
      <c r="KHO12" s="439"/>
      <c r="KHP12" s="439"/>
      <c r="KHQ12" s="439"/>
      <c r="KHR12" s="439"/>
      <c r="KHS12" s="439"/>
      <c r="KHT12" s="439"/>
      <c r="KHU12" s="439"/>
      <c r="KHV12" s="439"/>
      <c r="KHW12" s="439"/>
      <c r="KHX12" s="439"/>
      <c r="KHY12" s="439"/>
      <c r="KHZ12" s="439"/>
      <c r="KIA12" s="439"/>
      <c r="KIB12" s="439"/>
      <c r="KIC12" s="439"/>
      <c r="KID12" s="439"/>
      <c r="KIE12" s="439"/>
      <c r="KIF12" s="439"/>
      <c r="KIG12" s="439"/>
      <c r="KIH12" s="439"/>
      <c r="KII12" s="439"/>
      <c r="KIJ12" s="439"/>
      <c r="KIK12" s="439"/>
      <c r="KIL12" s="439"/>
      <c r="KIM12" s="439"/>
      <c r="KIN12" s="439"/>
      <c r="KIO12" s="439"/>
      <c r="KIP12" s="439"/>
      <c r="KIQ12" s="439"/>
      <c r="KIR12" s="439"/>
      <c r="KIS12" s="439"/>
      <c r="KIT12" s="439"/>
      <c r="KIU12" s="439"/>
      <c r="KIV12" s="439"/>
      <c r="KIW12" s="439"/>
      <c r="KIX12" s="439"/>
      <c r="KIY12" s="439"/>
      <c r="KIZ12" s="439"/>
      <c r="KJA12" s="439"/>
      <c r="KJB12" s="439"/>
      <c r="KJC12" s="439"/>
      <c r="KJD12" s="439"/>
      <c r="KJE12" s="439"/>
      <c r="KJF12" s="439"/>
      <c r="KJG12" s="439"/>
      <c r="KJH12" s="439"/>
      <c r="KJI12" s="439"/>
      <c r="KJJ12" s="439"/>
      <c r="KJK12" s="439"/>
      <c r="KJL12" s="439"/>
      <c r="KJM12" s="439"/>
      <c r="KJN12" s="439"/>
      <c r="KJO12" s="439"/>
      <c r="KJP12" s="439"/>
      <c r="KJQ12" s="439"/>
      <c r="KJR12" s="439"/>
      <c r="KJS12" s="439"/>
      <c r="KJT12" s="439"/>
      <c r="KJU12" s="439"/>
      <c r="KJV12" s="439"/>
      <c r="KJW12" s="439"/>
      <c r="KJX12" s="439"/>
      <c r="KJY12" s="439"/>
      <c r="KJZ12" s="439"/>
      <c r="KKA12" s="439"/>
      <c r="KKB12" s="439"/>
      <c r="KKC12" s="439"/>
      <c r="KKD12" s="439"/>
      <c r="KKE12" s="439"/>
      <c r="KKF12" s="439"/>
      <c r="KKG12" s="439"/>
      <c r="KKH12" s="439"/>
      <c r="KKI12" s="439"/>
      <c r="KKJ12" s="439"/>
      <c r="KKK12" s="439"/>
      <c r="KKL12" s="439"/>
      <c r="KKM12" s="439"/>
      <c r="KKN12" s="439"/>
      <c r="KKO12" s="439"/>
      <c r="KKP12" s="439"/>
      <c r="KKQ12" s="439"/>
      <c r="KKR12" s="439"/>
      <c r="KKS12" s="439"/>
      <c r="KKT12" s="439"/>
      <c r="KKU12" s="439"/>
      <c r="KKV12" s="439"/>
      <c r="KKW12" s="439"/>
      <c r="KKX12" s="439"/>
      <c r="KKY12" s="439"/>
      <c r="KKZ12" s="439"/>
      <c r="KLA12" s="439"/>
      <c r="KLB12" s="439"/>
      <c r="KLC12" s="439"/>
      <c r="KLD12" s="439"/>
      <c r="KLE12" s="439"/>
      <c r="KLF12" s="439"/>
      <c r="KLG12" s="439"/>
      <c r="KLH12" s="439"/>
      <c r="KLI12" s="439"/>
      <c r="KLJ12" s="439"/>
      <c r="KLK12" s="439"/>
      <c r="KLL12" s="439"/>
      <c r="KLM12" s="439"/>
      <c r="KLN12" s="439"/>
      <c r="KLO12" s="439"/>
      <c r="KLP12" s="439"/>
      <c r="KLQ12" s="439"/>
      <c r="KLR12" s="439"/>
      <c r="KLS12" s="439"/>
      <c r="KLT12" s="439"/>
      <c r="KLU12" s="439"/>
      <c r="KLV12" s="439"/>
      <c r="KLW12" s="439"/>
      <c r="KLX12" s="439"/>
      <c r="KLY12" s="439"/>
      <c r="KLZ12" s="439"/>
      <c r="KMA12" s="439"/>
      <c r="KMB12" s="439"/>
      <c r="KMC12" s="439"/>
      <c r="KMD12" s="439"/>
      <c r="KME12" s="439"/>
      <c r="KMF12" s="439"/>
      <c r="KMG12" s="439"/>
      <c r="KMH12" s="439"/>
      <c r="KMI12" s="439"/>
      <c r="KMJ12" s="439"/>
      <c r="KMK12" s="439"/>
      <c r="KML12" s="439"/>
      <c r="KMM12" s="439"/>
      <c r="KMN12" s="439"/>
      <c r="KMO12" s="439"/>
      <c r="KMP12" s="439"/>
      <c r="KMQ12" s="439"/>
      <c r="KMR12" s="439"/>
      <c r="KMS12" s="439"/>
      <c r="KMT12" s="439"/>
      <c r="KMU12" s="439"/>
      <c r="KMV12" s="439"/>
      <c r="KMW12" s="439"/>
      <c r="KMX12" s="439"/>
      <c r="KMY12" s="439"/>
      <c r="KMZ12" s="439"/>
      <c r="KNA12" s="439"/>
      <c r="KNB12" s="439"/>
      <c r="KNC12" s="439"/>
      <c r="KND12" s="439"/>
      <c r="KNE12" s="439"/>
      <c r="KNF12" s="439"/>
      <c r="KNG12" s="439"/>
      <c r="KNH12" s="439"/>
      <c r="KNI12" s="439"/>
      <c r="KNJ12" s="439"/>
      <c r="KNK12" s="439"/>
      <c r="KNL12" s="439"/>
      <c r="KNM12" s="439"/>
      <c r="KNN12" s="439"/>
      <c r="KNO12" s="439"/>
      <c r="KNP12" s="439"/>
      <c r="KNQ12" s="439"/>
      <c r="KNR12" s="439"/>
      <c r="KNS12" s="439"/>
      <c r="KNT12" s="439"/>
      <c r="KNU12" s="439"/>
      <c r="KNV12" s="439"/>
      <c r="KNW12" s="439"/>
      <c r="KNX12" s="439"/>
      <c r="KNY12" s="439"/>
      <c r="KNZ12" s="439"/>
      <c r="KOA12" s="439"/>
      <c r="KOB12" s="439"/>
      <c r="KOC12" s="439"/>
      <c r="KOD12" s="439"/>
      <c r="KOE12" s="439"/>
      <c r="KOF12" s="439"/>
      <c r="KOG12" s="439"/>
      <c r="KOH12" s="439"/>
      <c r="KOI12" s="439"/>
      <c r="KOJ12" s="439"/>
      <c r="KOK12" s="439"/>
      <c r="KOL12" s="439"/>
      <c r="KOM12" s="439"/>
      <c r="KON12" s="439"/>
      <c r="KOO12" s="439"/>
      <c r="KOP12" s="439"/>
      <c r="KOQ12" s="439"/>
      <c r="KOR12" s="439"/>
      <c r="KOS12" s="439"/>
      <c r="KOT12" s="439"/>
      <c r="KOU12" s="439"/>
      <c r="KOV12" s="439"/>
      <c r="KOW12" s="439"/>
      <c r="KOX12" s="439"/>
      <c r="KOY12" s="439"/>
      <c r="KOZ12" s="439"/>
      <c r="KPA12" s="439"/>
      <c r="KPB12" s="439"/>
      <c r="KPC12" s="439"/>
      <c r="KPD12" s="439"/>
      <c r="KPE12" s="439"/>
      <c r="KPF12" s="439"/>
      <c r="KPG12" s="439"/>
      <c r="KPH12" s="439"/>
      <c r="KPI12" s="439"/>
      <c r="KPJ12" s="439"/>
      <c r="KPK12" s="439"/>
      <c r="KPL12" s="439"/>
      <c r="KPM12" s="439"/>
      <c r="KPN12" s="439"/>
      <c r="KPO12" s="439"/>
      <c r="KPP12" s="439"/>
      <c r="KPQ12" s="439"/>
      <c r="KPR12" s="439"/>
      <c r="KPS12" s="439"/>
      <c r="KPT12" s="439"/>
      <c r="KPU12" s="439"/>
      <c r="KPV12" s="439"/>
      <c r="KPW12" s="439"/>
      <c r="KPX12" s="439"/>
      <c r="KPY12" s="439"/>
      <c r="KPZ12" s="439"/>
      <c r="KQA12" s="439"/>
      <c r="KQB12" s="439"/>
      <c r="KQC12" s="439"/>
      <c r="KQD12" s="439"/>
      <c r="KQE12" s="439"/>
      <c r="KQF12" s="439"/>
      <c r="KQG12" s="439"/>
      <c r="KQH12" s="439"/>
      <c r="KQI12" s="439"/>
      <c r="KQJ12" s="439"/>
      <c r="KQK12" s="439"/>
      <c r="KQL12" s="439"/>
      <c r="KQM12" s="439"/>
      <c r="KQN12" s="439"/>
      <c r="KQO12" s="439"/>
      <c r="KQP12" s="439"/>
      <c r="KQQ12" s="439"/>
      <c r="KQR12" s="439"/>
      <c r="KQS12" s="439"/>
      <c r="KQT12" s="439"/>
      <c r="KQU12" s="439"/>
      <c r="KQV12" s="439"/>
      <c r="KQW12" s="439"/>
      <c r="KQX12" s="439"/>
      <c r="KQY12" s="439"/>
      <c r="KQZ12" s="439"/>
      <c r="KRA12" s="439"/>
      <c r="KRB12" s="439"/>
      <c r="KRC12" s="439"/>
      <c r="KRD12" s="439"/>
      <c r="KRE12" s="439"/>
      <c r="KRF12" s="439"/>
      <c r="KRG12" s="439"/>
      <c r="KRH12" s="439"/>
      <c r="KRI12" s="439"/>
      <c r="KRJ12" s="439"/>
      <c r="KRK12" s="439"/>
      <c r="KRL12" s="439"/>
      <c r="KRM12" s="439"/>
      <c r="KRN12" s="439"/>
      <c r="KRO12" s="439"/>
      <c r="KRP12" s="439"/>
      <c r="KRQ12" s="439"/>
      <c r="KRR12" s="439"/>
      <c r="KRS12" s="439"/>
      <c r="KRT12" s="439"/>
      <c r="KRU12" s="439"/>
      <c r="KRV12" s="439"/>
      <c r="KRW12" s="439"/>
      <c r="KRX12" s="439"/>
      <c r="KRY12" s="439"/>
      <c r="KRZ12" s="439"/>
      <c r="KSA12" s="439"/>
      <c r="KSB12" s="439"/>
      <c r="KSC12" s="439"/>
      <c r="KSD12" s="439"/>
      <c r="KSE12" s="439"/>
      <c r="KSF12" s="439"/>
      <c r="KSG12" s="439"/>
      <c r="KSH12" s="439"/>
      <c r="KSI12" s="439"/>
      <c r="KSJ12" s="439"/>
      <c r="KSK12" s="439"/>
      <c r="KSL12" s="439"/>
      <c r="KSM12" s="439"/>
      <c r="KSN12" s="439"/>
      <c r="KSO12" s="439"/>
      <c r="KSP12" s="439"/>
      <c r="KSQ12" s="439"/>
      <c r="KSR12" s="439"/>
      <c r="KSS12" s="439"/>
      <c r="KST12" s="439"/>
      <c r="KSU12" s="439"/>
      <c r="KSV12" s="439"/>
      <c r="KSW12" s="439"/>
      <c r="KSX12" s="439"/>
      <c r="KSY12" s="439"/>
      <c r="KSZ12" s="439"/>
      <c r="KTA12" s="439"/>
      <c r="KTB12" s="439"/>
      <c r="KTC12" s="439"/>
      <c r="KTD12" s="439"/>
      <c r="KTE12" s="439"/>
      <c r="KTF12" s="439"/>
      <c r="KTG12" s="439"/>
      <c r="KTH12" s="439"/>
      <c r="KTI12" s="439"/>
      <c r="KTJ12" s="439"/>
      <c r="KTK12" s="439"/>
      <c r="KTL12" s="439"/>
      <c r="KTM12" s="439"/>
      <c r="KTN12" s="439"/>
      <c r="KTO12" s="439"/>
      <c r="KTP12" s="439"/>
      <c r="KTQ12" s="439"/>
      <c r="KTR12" s="439"/>
      <c r="KTS12" s="439"/>
      <c r="KTT12" s="439"/>
      <c r="KTU12" s="439"/>
      <c r="KTV12" s="439"/>
      <c r="KTW12" s="439"/>
      <c r="KTX12" s="439"/>
      <c r="KTY12" s="439"/>
      <c r="KTZ12" s="439"/>
      <c r="KUA12" s="439"/>
      <c r="KUB12" s="439"/>
      <c r="KUC12" s="439"/>
      <c r="KUD12" s="439"/>
      <c r="KUE12" s="439"/>
      <c r="KUF12" s="439"/>
      <c r="KUG12" s="439"/>
      <c r="KUH12" s="439"/>
      <c r="KUI12" s="439"/>
      <c r="KUJ12" s="439"/>
      <c r="KUK12" s="439"/>
      <c r="KUL12" s="439"/>
      <c r="KUM12" s="439"/>
      <c r="KUN12" s="439"/>
      <c r="KUO12" s="439"/>
      <c r="KUP12" s="439"/>
      <c r="KUQ12" s="439"/>
      <c r="KUR12" s="439"/>
      <c r="KUS12" s="439"/>
      <c r="KUT12" s="439"/>
      <c r="KUU12" s="439"/>
      <c r="KUV12" s="439"/>
      <c r="KUW12" s="439"/>
      <c r="KUX12" s="439"/>
      <c r="KUY12" s="439"/>
      <c r="KUZ12" s="439"/>
      <c r="KVA12" s="439"/>
      <c r="KVB12" s="439"/>
      <c r="KVC12" s="439"/>
      <c r="KVD12" s="439"/>
      <c r="KVE12" s="439"/>
      <c r="KVF12" s="439"/>
      <c r="KVG12" s="439"/>
      <c r="KVH12" s="439"/>
      <c r="KVI12" s="439"/>
      <c r="KVJ12" s="439"/>
      <c r="KVK12" s="439"/>
      <c r="KVL12" s="439"/>
      <c r="KVM12" s="439"/>
      <c r="KVN12" s="439"/>
      <c r="KVO12" s="439"/>
      <c r="KVP12" s="439"/>
      <c r="KVQ12" s="439"/>
      <c r="KVR12" s="439"/>
      <c r="KVS12" s="439"/>
      <c r="KVT12" s="439"/>
      <c r="KVU12" s="439"/>
      <c r="KVV12" s="439"/>
      <c r="KVW12" s="439"/>
      <c r="KVX12" s="439"/>
      <c r="KVY12" s="439"/>
      <c r="KVZ12" s="439"/>
      <c r="KWA12" s="439"/>
      <c r="KWB12" s="439"/>
      <c r="KWC12" s="439"/>
      <c r="KWD12" s="439"/>
      <c r="KWE12" s="439"/>
      <c r="KWF12" s="439"/>
      <c r="KWG12" s="439"/>
      <c r="KWH12" s="439"/>
      <c r="KWI12" s="439"/>
      <c r="KWJ12" s="439"/>
      <c r="KWK12" s="439"/>
      <c r="KWL12" s="439"/>
      <c r="KWM12" s="439"/>
      <c r="KWN12" s="439"/>
      <c r="KWO12" s="439"/>
      <c r="KWP12" s="439"/>
      <c r="KWQ12" s="439"/>
      <c r="KWR12" s="439"/>
      <c r="KWS12" s="439"/>
      <c r="KWT12" s="439"/>
      <c r="KWU12" s="439"/>
      <c r="KWV12" s="439"/>
      <c r="KWW12" s="439"/>
      <c r="KWX12" s="439"/>
      <c r="KWY12" s="439"/>
      <c r="KWZ12" s="439"/>
      <c r="KXA12" s="439"/>
      <c r="KXB12" s="439"/>
      <c r="KXC12" s="439"/>
      <c r="KXD12" s="439"/>
      <c r="KXE12" s="439"/>
      <c r="KXF12" s="439"/>
      <c r="KXG12" s="439"/>
      <c r="KXH12" s="439"/>
      <c r="KXI12" s="439"/>
      <c r="KXJ12" s="439"/>
      <c r="KXK12" s="439"/>
      <c r="KXL12" s="439"/>
      <c r="KXM12" s="439"/>
      <c r="KXN12" s="439"/>
      <c r="KXO12" s="439"/>
      <c r="KXP12" s="439"/>
      <c r="KXQ12" s="439"/>
      <c r="KXR12" s="439"/>
      <c r="KXS12" s="439"/>
      <c r="KXT12" s="439"/>
      <c r="KXU12" s="439"/>
      <c r="KXV12" s="439"/>
      <c r="KXW12" s="439"/>
      <c r="KXX12" s="439"/>
      <c r="KXY12" s="439"/>
      <c r="KXZ12" s="439"/>
      <c r="KYA12" s="439"/>
      <c r="KYB12" s="439"/>
      <c r="KYC12" s="439"/>
      <c r="KYD12" s="439"/>
      <c r="KYE12" s="439"/>
      <c r="KYF12" s="439"/>
      <c r="KYG12" s="439"/>
      <c r="KYH12" s="439"/>
      <c r="KYI12" s="439"/>
      <c r="KYJ12" s="439"/>
      <c r="KYK12" s="439"/>
      <c r="KYL12" s="439"/>
      <c r="KYM12" s="439"/>
      <c r="KYN12" s="439"/>
      <c r="KYO12" s="439"/>
      <c r="KYP12" s="439"/>
      <c r="KYQ12" s="439"/>
      <c r="KYR12" s="439"/>
      <c r="KYS12" s="439"/>
      <c r="KYT12" s="439"/>
      <c r="KYU12" s="439"/>
      <c r="KYV12" s="439"/>
      <c r="KYW12" s="439"/>
      <c r="KYX12" s="439"/>
      <c r="KYY12" s="439"/>
      <c r="KYZ12" s="439"/>
      <c r="KZA12" s="439"/>
      <c r="KZB12" s="439"/>
      <c r="KZC12" s="439"/>
      <c r="KZD12" s="439"/>
      <c r="KZE12" s="439"/>
      <c r="KZF12" s="439"/>
      <c r="KZG12" s="439"/>
      <c r="KZH12" s="439"/>
      <c r="KZI12" s="439"/>
      <c r="KZJ12" s="439"/>
      <c r="KZK12" s="439"/>
      <c r="KZL12" s="439"/>
      <c r="KZM12" s="439"/>
      <c r="KZN12" s="439"/>
      <c r="KZO12" s="439"/>
      <c r="KZP12" s="439"/>
      <c r="KZQ12" s="439"/>
      <c r="KZR12" s="439"/>
      <c r="KZS12" s="439"/>
      <c r="KZT12" s="439"/>
      <c r="KZU12" s="439"/>
      <c r="KZV12" s="439"/>
      <c r="KZW12" s="439"/>
      <c r="KZX12" s="439"/>
      <c r="KZY12" s="439"/>
      <c r="KZZ12" s="439"/>
      <c r="LAA12" s="439"/>
      <c r="LAB12" s="439"/>
      <c r="LAC12" s="439"/>
      <c r="LAD12" s="439"/>
      <c r="LAE12" s="439"/>
      <c r="LAF12" s="439"/>
      <c r="LAG12" s="439"/>
      <c r="LAH12" s="439"/>
      <c r="LAI12" s="439"/>
      <c r="LAJ12" s="439"/>
      <c r="LAK12" s="439"/>
      <c r="LAL12" s="439"/>
      <c r="LAM12" s="439"/>
      <c r="LAN12" s="439"/>
      <c r="LAO12" s="439"/>
      <c r="LAP12" s="439"/>
      <c r="LAQ12" s="439"/>
      <c r="LAR12" s="439"/>
      <c r="LAS12" s="439"/>
      <c r="LAT12" s="439"/>
      <c r="LAU12" s="439"/>
      <c r="LAV12" s="439"/>
      <c r="LAW12" s="439"/>
      <c r="LAX12" s="439"/>
      <c r="LAY12" s="439"/>
      <c r="LAZ12" s="439"/>
      <c r="LBA12" s="439"/>
      <c r="LBB12" s="439"/>
      <c r="LBC12" s="439"/>
      <c r="LBD12" s="439"/>
      <c r="LBE12" s="439"/>
      <c r="LBF12" s="439"/>
      <c r="LBG12" s="439"/>
      <c r="LBH12" s="439"/>
      <c r="LBI12" s="439"/>
      <c r="LBJ12" s="439"/>
      <c r="LBK12" s="439"/>
      <c r="LBL12" s="439"/>
      <c r="LBM12" s="439"/>
      <c r="LBN12" s="439"/>
      <c r="LBO12" s="439"/>
      <c r="LBP12" s="439"/>
      <c r="LBQ12" s="439"/>
      <c r="LBR12" s="439"/>
      <c r="LBS12" s="439"/>
      <c r="LBT12" s="439"/>
      <c r="LBU12" s="439"/>
      <c r="LBV12" s="439"/>
      <c r="LBW12" s="439"/>
      <c r="LBX12" s="439"/>
      <c r="LBY12" s="439"/>
      <c r="LBZ12" s="439"/>
      <c r="LCA12" s="439"/>
      <c r="LCB12" s="439"/>
      <c r="LCC12" s="439"/>
      <c r="LCD12" s="439"/>
      <c r="LCE12" s="439"/>
      <c r="LCF12" s="439"/>
      <c r="LCG12" s="439"/>
      <c r="LCH12" s="439"/>
      <c r="LCI12" s="439"/>
      <c r="LCJ12" s="439"/>
      <c r="LCK12" s="439"/>
      <c r="LCL12" s="439"/>
      <c r="LCM12" s="439"/>
      <c r="LCN12" s="439"/>
      <c r="LCO12" s="439"/>
      <c r="LCP12" s="439"/>
      <c r="LCQ12" s="439"/>
      <c r="LCR12" s="439"/>
      <c r="LCS12" s="439"/>
      <c r="LCT12" s="439"/>
      <c r="LCU12" s="439"/>
      <c r="LCV12" s="439"/>
      <c r="LCW12" s="439"/>
      <c r="LCX12" s="439"/>
      <c r="LCY12" s="439"/>
      <c r="LCZ12" s="439"/>
      <c r="LDA12" s="439"/>
      <c r="LDB12" s="439"/>
      <c r="LDC12" s="439"/>
      <c r="LDD12" s="439"/>
      <c r="LDE12" s="439"/>
      <c r="LDF12" s="439"/>
      <c r="LDG12" s="439"/>
      <c r="LDH12" s="439"/>
      <c r="LDI12" s="439"/>
      <c r="LDJ12" s="439"/>
      <c r="LDK12" s="439"/>
      <c r="LDL12" s="439"/>
      <c r="LDM12" s="439"/>
      <c r="LDN12" s="439"/>
      <c r="LDO12" s="439"/>
      <c r="LDP12" s="439"/>
      <c r="LDQ12" s="439"/>
      <c r="LDR12" s="439"/>
      <c r="LDS12" s="439"/>
      <c r="LDT12" s="439"/>
      <c r="LDU12" s="439"/>
      <c r="LDV12" s="439"/>
      <c r="LDW12" s="439"/>
      <c r="LDX12" s="439"/>
      <c r="LDY12" s="439"/>
      <c r="LDZ12" s="439"/>
      <c r="LEA12" s="439"/>
      <c r="LEB12" s="439"/>
      <c r="LEC12" s="439"/>
      <c r="LED12" s="439"/>
      <c r="LEE12" s="439"/>
      <c r="LEF12" s="439"/>
      <c r="LEG12" s="439"/>
      <c r="LEH12" s="439"/>
      <c r="LEI12" s="439"/>
      <c r="LEJ12" s="439"/>
      <c r="LEK12" s="439"/>
      <c r="LEL12" s="439"/>
      <c r="LEM12" s="439"/>
      <c r="LEN12" s="439"/>
      <c r="LEO12" s="439"/>
      <c r="LEP12" s="439"/>
      <c r="LEQ12" s="439"/>
      <c r="LER12" s="439"/>
      <c r="LES12" s="439"/>
      <c r="LET12" s="439"/>
      <c r="LEU12" s="439"/>
      <c r="LEV12" s="439"/>
      <c r="LEW12" s="439"/>
      <c r="LEX12" s="439"/>
      <c r="LEY12" s="439"/>
      <c r="LEZ12" s="439"/>
      <c r="LFA12" s="439"/>
      <c r="LFB12" s="439"/>
      <c r="LFC12" s="439"/>
      <c r="LFD12" s="439"/>
      <c r="LFE12" s="439"/>
      <c r="LFF12" s="439"/>
      <c r="LFG12" s="439"/>
      <c r="LFH12" s="439"/>
      <c r="LFI12" s="439"/>
      <c r="LFJ12" s="439"/>
      <c r="LFK12" s="439"/>
      <c r="LFL12" s="439"/>
      <c r="LFM12" s="439"/>
      <c r="LFN12" s="439"/>
      <c r="LFO12" s="439"/>
      <c r="LFP12" s="439"/>
      <c r="LFQ12" s="439"/>
      <c r="LFR12" s="439"/>
      <c r="LFS12" s="439"/>
      <c r="LFT12" s="439"/>
      <c r="LFU12" s="439"/>
      <c r="LFV12" s="439"/>
      <c r="LFW12" s="439"/>
      <c r="LFX12" s="439"/>
      <c r="LFY12" s="439"/>
      <c r="LFZ12" s="439"/>
      <c r="LGA12" s="439"/>
      <c r="LGB12" s="439"/>
      <c r="LGC12" s="439"/>
      <c r="LGD12" s="439"/>
      <c r="LGE12" s="439"/>
      <c r="LGF12" s="439"/>
      <c r="LGG12" s="439"/>
      <c r="LGH12" s="439"/>
      <c r="LGI12" s="439"/>
      <c r="LGJ12" s="439"/>
      <c r="LGK12" s="439"/>
      <c r="LGL12" s="439"/>
      <c r="LGM12" s="439"/>
      <c r="LGN12" s="439"/>
      <c r="LGO12" s="439"/>
      <c r="LGP12" s="439"/>
      <c r="LGQ12" s="439"/>
      <c r="LGR12" s="439"/>
      <c r="LGS12" s="439"/>
      <c r="LGT12" s="439"/>
      <c r="LGU12" s="439"/>
      <c r="LGV12" s="439"/>
      <c r="LGW12" s="439"/>
      <c r="LGX12" s="439"/>
      <c r="LGY12" s="439"/>
      <c r="LGZ12" s="439"/>
      <c r="LHA12" s="439"/>
      <c r="LHB12" s="439"/>
      <c r="LHC12" s="439"/>
      <c r="LHD12" s="439"/>
      <c r="LHE12" s="439"/>
      <c r="LHF12" s="439"/>
      <c r="LHG12" s="439"/>
      <c r="LHH12" s="439"/>
      <c r="LHI12" s="439"/>
      <c r="LHJ12" s="439"/>
      <c r="LHK12" s="439"/>
      <c r="LHL12" s="439"/>
      <c r="LHM12" s="439"/>
      <c r="LHN12" s="439"/>
      <c r="LHO12" s="439"/>
      <c r="LHP12" s="439"/>
      <c r="LHQ12" s="439"/>
      <c r="LHR12" s="439"/>
      <c r="LHS12" s="439"/>
      <c r="LHT12" s="439"/>
      <c r="LHU12" s="439"/>
      <c r="LHV12" s="439"/>
      <c r="LHW12" s="439"/>
      <c r="LHX12" s="439"/>
      <c r="LHY12" s="439"/>
      <c r="LHZ12" s="439"/>
      <c r="LIA12" s="439"/>
      <c r="LIB12" s="439"/>
      <c r="LIC12" s="439"/>
      <c r="LID12" s="439"/>
      <c r="LIE12" s="439"/>
      <c r="LIF12" s="439"/>
      <c r="LIG12" s="439"/>
      <c r="LIH12" s="439"/>
      <c r="LII12" s="439"/>
      <c r="LIJ12" s="439"/>
      <c r="LIK12" s="439"/>
      <c r="LIL12" s="439"/>
      <c r="LIM12" s="439"/>
      <c r="LIN12" s="439"/>
      <c r="LIO12" s="439"/>
      <c r="LIP12" s="439"/>
      <c r="LIQ12" s="439"/>
      <c r="LIR12" s="439"/>
      <c r="LIS12" s="439"/>
      <c r="LIT12" s="439"/>
      <c r="LIU12" s="439"/>
      <c r="LIV12" s="439"/>
      <c r="LIW12" s="439"/>
      <c r="LIX12" s="439"/>
      <c r="LIY12" s="439"/>
      <c r="LIZ12" s="439"/>
      <c r="LJA12" s="439"/>
      <c r="LJB12" s="439"/>
      <c r="LJC12" s="439"/>
      <c r="LJD12" s="439"/>
      <c r="LJE12" s="439"/>
      <c r="LJF12" s="439"/>
      <c r="LJG12" s="439"/>
      <c r="LJH12" s="439"/>
      <c r="LJI12" s="439"/>
      <c r="LJJ12" s="439"/>
      <c r="LJK12" s="439"/>
      <c r="LJL12" s="439"/>
      <c r="LJM12" s="439"/>
      <c r="LJN12" s="439"/>
      <c r="LJO12" s="439"/>
      <c r="LJP12" s="439"/>
      <c r="LJQ12" s="439"/>
      <c r="LJR12" s="439"/>
      <c r="LJS12" s="439"/>
      <c r="LJT12" s="439"/>
      <c r="LJU12" s="439"/>
      <c r="LJV12" s="439"/>
      <c r="LJW12" s="439"/>
      <c r="LJX12" s="439"/>
      <c r="LJY12" s="439"/>
      <c r="LJZ12" s="439"/>
      <c r="LKA12" s="439"/>
      <c r="LKB12" s="439"/>
      <c r="LKC12" s="439"/>
      <c r="LKD12" s="439"/>
      <c r="LKE12" s="439"/>
      <c r="LKF12" s="439"/>
      <c r="LKG12" s="439"/>
      <c r="LKH12" s="439"/>
      <c r="LKI12" s="439"/>
      <c r="LKJ12" s="439"/>
      <c r="LKK12" s="439"/>
      <c r="LKL12" s="439"/>
      <c r="LKM12" s="439"/>
      <c r="LKN12" s="439"/>
      <c r="LKO12" s="439"/>
      <c r="LKP12" s="439"/>
      <c r="LKQ12" s="439"/>
      <c r="LKR12" s="439"/>
      <c r="LKS12" s="439"/>
      <c r="LKT12" s="439"/>
      <c r="LKU12" s="439"/>
      <c r="LKV12" s="439"/>
      <c r="LKW12" s="439"/>
      <c r="LKX12" s="439"/>
      <c r="LKY12" s="439"/>
      <c r="LKZ12" s="439"/>
      <c r="LLA12" s="439"/>
      <c r="LLB12" s="439"/>
      <c r="LLC12" s="439"/>
      <c r="LLD12" s="439"/>
      <c r="LLE12" s="439"/>
      <c r="LLF12" s="439"/>
      <c r="LLG12" s="439"/>
      <c r="LLH12" s="439"/>
      <c r="LLI12" s="439"/>
      <c r="LLJ12" s="439"/>
      <c r="LLK12" s="439"/>
      <c r="LLL12" s="439"/>
      <c r="LLM12" s="439"/>
      <c r="LLN12" s="439"/>
      <c r="LLO12" s="439"/>
      <c r="LLP12" s="439"/>
      <c r="LLQ12" s="439"/>
      <c r="LLR12" s="439"/>
      <c r="LLS12" s="439"/>
      <c r="LLT12" s="439"/>
      <c r="LLU12" s="439"/>
      <c r="LLV12" s="439"/>
      <c r="LLW12" s="439"/>
      <c r="LLX12" s="439"/>
      <c r="LLY12" s="439"/>
      <c r="LLZ12" s="439"/>
      <c r="LMA12" s="439"/>
      <c r="LMB12" s="439"/>
      <c r="LMC12" s="439"/>
      <c r="LMD12" s="439"/>
      <c r="LME12" s="439"/>
      <c r="LMF12" s="439"/>
      <c r="LMG12" s="439"/>
      <c r="LMH12" s="439"/>
      <c r="LMI12" s="439"/>
      <c r="LMJ12" s="439"/>
      <c r="LMK12" s="439"/>
      <c r="LML12" s="439"/>
      <c r="LMM12" s="439"/>
      <c r="LMN12" s="439"/>
      <c r="LMO12" s="439"/>
      <c r="LMP12" s="439"/>
      <c r="LMQ12" s="439"/>
      <c r="LMR12" s="439"/>
      <c r="LMS12" s="439"/>
      <c r="LMT12" s="439"/>
      <c r="LMU12" s="439"/>
      <c r="LMV12" s="439"/>
      <c r="LMW12" s="439"/>
      <c r="LMX12" s="439"/>
      <c r="LMY12" s="439"/>
      <c r="LMZ12" s="439"/>
      <c r="LNA12" s="439"/>
      <c r="LNB12" s="439"/>
      <c r="LNC12" s="439"/>
      <c r="LND12" s="439"/>
      <c r="LNE12" s="439"/>
      <c r="LNF12" s="439"/>
      <c r="LNG12" s="439"/>
      <c r="LNH12" s="439"/>
      <c r="LNI12" s="439"/>
      <c r="LNJ12" s="439"/>
      <c r="LNK12" s="439"/>
      <c r="LNL12" s="439"/>
      <c r="LNM12" s="439"/>
      <c r="LNN12" s="439"/>
      <c r="LNO12" s="439"/>
      <c r="LNP12" s="439"/>
      <c r="LNQ12" s="439"/>
      <c r="LNR12" s="439"/>
      <c r="LNS12" s="439"/>
      <c r="LNT12" s="439"/>
      <c r="LNU12" s="439"/>
      <c r="LNV12" s="439"/>
      <c r="LNW12" s="439"/>
      <c r="LNX12" s="439"/>
      <c r="LNY12" s="439"/>
      <c r="LNZ12" s="439"/>
      <c r="LOA12" s="439"/>
      <c r="LOB12" s="439"/>
      <c r="LOC12" s="439"/>
      <c r="LOD12" s="439"/>
      <c r="LOE12" s="439"/>
      <c r="LOF12" s="439"/>
      <c r="LOG12" s="439"/>
      <c r="LOH12" s="439"/>
      <c r="LOI12" s="439"/>
      <c r="LOJ12" s="439"/>
      <c r="LOK12" s="439"/>
      <c r="LOL12" s="439"/>
      <c r="LOM12" s="439"/>
      <c r="LON12" s="439"/>
      <c r="LOO12" s="439"/>
      <c r="LOP12" s="439"/>
      <c r="LOQ12" s="439"/>
      <c r="LOR12" s="439"/>
      <c r="LOS12" s="439"/>
      <c r="LOT12" s="439"/>
      <c r="LOU12" s="439"/>
      <c r="LOV12" s="439"/>
      <c r="LOW12" s="439"/>
      <c r="LOX12" s="439"/>
      <c r="LOY12" s="439"/>
      <c r="LOZ12" s="439"/>
      <c r="LPA12" s="439"/>
      <c r="LPB12" s="439"/>
      <c r="LPC12" s="439"/>
      <c r="LPD12" s="439"/>
      <c r="LPE12" s="439"/>
      <c r="LPF12" s="439"/>
      <c r="LPG12" s="439"/>
      <c r="LPH12" s="439"/>
      <c r="LPI12" s="439"/>
      <c r="LPJ12" s="439"/>
      <c r="LPK12" s="439"/>
      <c r="LPL12" s="439"/>
      <c r="LPM12" s="439"/>
      <c r="LPN12" s="439"/>
      <c r="LPO12" s="439"/>
      <c r="LPP12" s="439"/>
      <c r="LPQ12" s="439"/>
      <c r="LPR12" s="439"/>
      <c r="LPS12" s="439"/>
      <c r="LPT12" s="439"/>
      <c r="LPU12" s="439"/>
      <c r="LPV12" s="439"/>
      <c r="LPW12" s="439"/>
      <c r="LPX12" s="439"/>
      <c r="LPY12" s="439"/>
      <c r="LPZ12" s="439"/>
      <c r="LQA12" s="439"/>
      <c r="LQB12" s="439"/>
      <c r="LQC12" s="439"/>
      <c r="LQD12" s="439"/>
      <c r="LQE12" s="439"/>
      <c r="LQF12" s="439"/>
      <c r="LQG12" s="439"/>
      <c r="LQH12" s="439"/>
      <c r="LQI12" s="439"/>
      <c r="LQJ12" s="439"/>
      <c r="LQK12" s="439"/>
      <c r="LQL12" s="439"/>
      <c r="LQM12" s="439"/>
      <c r="LQN12" s="439"/>
      <c r="LQO12" s="439"/>
      <c r="LQP12" s="439"/>
      <c r="LQQ12" s="439"/>
      <c r="LQR12" s="439"/>
      <c r="LQS12" s="439"/>
      <c r="LQT12" s="439"/>
      <c r="LQU12" s="439"/>
      <c r="LQV12" s="439"/>
      <c r="LQW12" s="439"/>
      <c r="LQX12" s="439"/>
      <c r="LQY12" s="439"/>
      <c r="LQZ12" s="439"/>
      <c r="LRA12" s="439"/>
      <c r="LRB12" s="439"/>
      <c r="LRC12" s="439"/>
      <c r="LRD12" s="439"/>
      <c r="LRE12" s="439"/>
      <c r="LRF12" s="439"/>
      <c r="LRG12" s="439"/>
      <c r="LRH12" s="439"/>
      <c r="LRI12" s="439"/>
      <c r="LRJ12" s="439"/>
      <c r="LRK12" s="439"/>
      <c r="LRL12" s="439"/>
      <c r="LRM12" s="439"/>
      <c r="LRN12" s="439"/>
      <c r="LRO12" s="439"/>
      <c r="LRP12" s="439"/>
      <c r="LRQ12" s="439"/>
      <c r="LRR12" s="439"/>
      <c r="LRS12" s="439"/>
      <c r="LRT12" s="439"/>
      <c r="LRU12" s="439"/>
      <c r="LRV12" s="439"/>
      <c r="LRW12" s="439"/>
      <c r="LRX12" s="439"/>
      <c r="LRY12" s="439"/>
      <c r="LRZ12" s="439"/>
      <c r="LSA12" s="439"/>
      <c r="LSB12" s="439"/>
      <c r="LSC12" s="439"/>
      <c r="LSD12" s="439"/>
      <c r="LSE12" s="439"/>
      <c r="LSF12" s="439"/>
      <c r="LSG12" s="439"/>
      <c r="LSH12" s="439"/>
      <c r="LSI12" s="439"/>
      <c r="LSJ12" s="439"/>
      <c r="LSK12" s="439"/>
      <c r="LSL12" s="439"/>
      <c r="LSM12" s="439"/>
      <c r="LSN12" s="439"/>
      <c r="LSO12" s="439"/>
      <c r="LSP12" s="439"/>
      <c r="LSQ12" s="439"/>
      <c r="LSR12" s="439"/>
      <c r="LSS12" s="439"/>
      <c r="LST12" s="439"/>
      <c r="LSU12" s="439"/>
      <c r="LSV12" s="439"/>
      <c r="LSW12" s="439"/>
      <c r="LSX12" s="439"/>
      <c r="LSY12" s="439"/>
      <c r="LSZ12" s="439"/>
      <c r="LTA12" s="439"/>
      <c r="LTB12" s="439"/>
      <c r="LTC12" s="439"/>
      <c r="LTD12" s="439"/>
      <c r="LTE12" s="439"/>
      <c r="LTF12" s="439"/>
      <c r="LTG12" s="439"/>
      <c r="LTH12" s="439"/>
      <c r="LTI12" s="439"/>
      <c r="LTJ12" s="439"/>
      <c r="LTK12" s="439"/>
      <c r="LTL12" s="439"/>
      <c r="LTM12" s="439"/>
      <c r="LTN12" s="439"/>
      <c r="LTO12" s="439"/>
      <c r="LTP12" s="439"/>
      <c r="LTQ12" s="439"/>
      <c r="LTR12" s="439"/>
      <c r="LTS12" s="439"/>
      <c r="LTT12" s="439"/>
      <c r="LTU12" s="439"/>
      <c r="LTV12" s="439"/>
      <c r="LTW12" s="439"/>
      <c r="LTX12" s="439"/>
      <c r="LTY12" s="439"/>
      <c r="LTZ12" s="439"/>
      <c r="LUA12" s="439"/>
      <c r="LUB12" s="439"/>
      <c r="LUC12" s="439"/>
      <c r="LUD12" s="439"/>
      <c r="LUE12" s="439"/>
      <c r="LUF12" s="439"/>
      <c r="LUG12" s="439"/>
      <c r="LUH12" s="439"/>
      <c r="LUI12" s="439"/>
      <c r="LUJ12" s="439"/>
      <c r="LUK12" s="439"/>
      <c r="LUL12" s="439"/>
      <c r="LUM12" s="439"/>
      <c r="LUN12" s="439"/>
      <c r="LUO12" s="439"/>
      <c r="LUP12" s="439"/>
      <c r="LUQ12" s="439"/>
      <c r="LUR12" s="439"/>
      <c r="LUS12" s="439"/>
      <c r="LUT12" s="439"/>
      <c r="LUU12" s="439"/>
      <c r="LUV12" s="439"/>
      <c r="LUW12" s="439"/>
      <c r="LUX12" s="439"/>
      <c r="LUY12" s="439"/>
      <c r="LUZ12" s="439"/>
      <c r="LVA12" s="439"/>
      <c r="LVB12" s="439"/>
      <c r="LVC12" s="439"/>
      <c r="LVD12" s="439"/>
      <c r="LVE12" s="439"/>
      <c r="LVF12" s="439"/>
      <c r="LVG12" s="439"/>
      <c r="LVH12" s="439"/>
      <c r="LVI12" s="439"/>
      <c r="LVJ12" s="439"/>
      <c r="LVK12" s="439"/>
      <c r="LVL12" s="439"/>
      <c r="LVM12" s="439"/>
      <c r="LVN12" s="439"/>
      <c r="LVO12" s="439"/>
      <c r="LVP12" s="439"/>
      <c r="LVQ12" s="439"/>
      <c r="LVR12" s="439"/>
      <c r="LVS12" s="439"/>
      <c r="LVT12" s="439"/>
      <c r="LVU12" s="439"/>
      <c r="LVV12" s="439"/>
      <c r="LVW12" s="439"/>
      <c r="LVX12" s="439"/>
      <c r="LVY12" s="439"/>
      <c r="LVZ12" s="439"/>
      <c r="LWA12" s="439"/>
      <c r="LWB12" s="439"/>
      <c r="LWC12" s="439"/>
      <c r="LWD12" s="439"/>
      <c r="LWE12" s="439"/>
      <c r="LWF12" s="439"/>
      <c r="LWG12" s="439"/>
      <c r="LWH12" s="439"/>
      <c r="LWI12" s="439"/>
      <c r="LWJ12" s="439"/>
      <c r="LWK12" s="439"/>
      <c r="LWL12" s="439"/>
      <c r="LWM12" s="439"/>
      <c r="LWN12" s="439"/>
      <c r="LWO12" s="439"/>
      <c r="LWP12" s="439"/>
      <c r="LWQ12" s="439"/>
      <c r="LWR12" s="439"/>
      <c r="LWS12" s="439"/>
      <c r="LWT12" s="439"/>
      <c r="LWU12" s="439"/>
      <c r="LWV12" s="439"/>
      <c r="LWW12" s="439"/>
      <c r="LWX12" s="439"/>
      <c r="LWY12" s="439"/>
      <c r="LWZ12" s="439"/>
      <c r="LXA12" s="439"/>
      <c r="LXB12" s="439"/>
      <c r="LXC12" s="439"/>
      <c r="LXD12" s="439"/>
      <c r="LXE12" s="439"/>
      <c r="LXF12" s="439"/>
      <c r="LXG12" s="439"/>
      <c r="LXH12" s="439"/>
      <c r="LXI12" s="439"/>
      <c r="LXJ12" s="439"/>
      <c r="LXK12" s="439"/>
      <c r="LXL12" s="439"/>
      <c r="LXM12" s="439"/>
      <c r="LXN12" s="439"/>
      <c r="LXO12" s="439"/>
      <c r="LXP12" s="439"/>
      <c r="LXQ12" s="439"/>
      <c r="LXR12" s="439"/>
      <c r="LXS12" s="439"/>
      <c r="LXT12" s="439"/>
      <c r="LXU12" s="439"/>
      <c r="LXV12" s="439"/>
      <c r="LXW12" s="439"/>
      <c r="LXX12" s="439"/>
      <c r="LXY12" s="439"/>
      <c r="LXZ12" s="439"/>
      <c r="LYA12" s="439"/>
      <c r="LYB12" s="439"/>
      <c r="LYC12" s="439"/>
      <c r="LYD12" s="439"/>
      <c r="LYE12" s="439"/>
      <c r="LYF12" s="439"/>
      <c r="LYG12" s="439"/>
      <c r="LYH12" s="439"/>
      <c r="LYI12" s="439"/>
      <c r="LYJ12" s="439"/>
      <c r="LYK12" s="439"/>
      <c r="LYL12" s="439"/>
      <c r="LYM12" s="439"/>
      <c r="LYN12" s="439"/>
      <c r="LYO12" s="439"/>
      <c r="LYP12" s="439"/>
      <c r="LYQ12" s="439"/>
      <c r="LYR12" s="439"/>
      <c r="LYS12" s="439"/>
      <c r="LYT12" s="439"/>
      <c r="LYU12" s="439"/>
      <c r="LYV12" s="439"/>
      <c r="LYW12" s="439"/>
      <c r="LYX12" s="439"/>
      <c r="LYY12" s="439"/>
      <c r="LYZ12" s="439"/>
      <c r="LZA12" s="439"/>
      <c r="LZB12" s="439"/>
      <c r="LZC12" s="439"/>
      <c r="LZD12" s="439"/>
      <c r="LZE12" s="439"/>
      <c r="LZF12" s="439"/>
      <c r="LZG12" s="439"/>
      <c r="LZH12" s="439"/>
      <c r="LZI12" s="439"/>
      <c r="LZJ12" s="439"/>
      <c r="LZK12" s="439"/>
      <c r="LZL12" s="439"/>
      <c r="LZM12" s="439"/>
      <c r="LZN12" s="439"/>
      <c r="LZO12" s="439"/>
      <c r="LZP12" s="439"/>
      <c r="LZQ12" s="439"/>
      <c r="LZR12" s="439"/>
      <c r="LZS12" s="439"/>
      <c r="LZT12" s="439"/>
      <c r="LZU12" s="439"/>
      <c r="LZV12" s="439"/>
      <c r="LZW12" s="439"/>
      <c r="LZX12" s="439"/>
      <c r="LZY12" s="439"/>
      <c r="LZZ12" s="439"/>
      <c r="MAA12" s="439"/>
      <c r="MAB12" s="439"/>
      <c r="MAC12" s="439"/>
      <c r="MAD12" s="439"/>
      <c r="MAE12" s="439"/>
      <c r="MAF12" s="439"/>
      <c r="MAG12" s="439"/>
      <c r="MAH12" s="439"/>
      <c r="MAI12" s="439"/>
      <c r="MAJ12" s="439"/>
      <c r="MAK12" s="439"/>
      <c r="MAL12" s="439"/>
      <c r="MAM12" s="439"/>
      <c r="MAN12" s="439"/>
      <c r="MAO12" s="439"/>
      <c r="MAP12" s="439"/>
      <c r="MAQ12" s="439"/>
      <c r="MAR12" s="439"/>
      <c r="MAS12" s="439"/>
      <c r="MAT12" s="439"/>
      <c r="MAU12" s="439"/>
      <c r="MAV12" s="439"/>
      <c r="MAW12" s="439"/>
      <c r="MAX12" s="439"/>
      <c r="MAY12" s="439"/>
      <c r="MAZ12" s="439"/>
      <c r="MBA12" s="439"/>
      <c r="MBB12" s="439"/>
      <c r="MBC12" s="439"/>
      <c r="MBD12" s="439"/>
      <c r="MBE12" s="439"/>
      <c r="MBF12" s="439"/>
      <c r="MBG12" s="439"/>
      <c r="MBH12" s="439"/>
      <c r="MBI12" s="439"/>
      <c r="MBJ12" s="439"/>
      <c r="MBK12" s="439"/>
      <c r="MBL12" s="439"/>
      <c r="MBM12" s="439"/>
      <c r="MBN12" s="439"/>
      <c r="MBO12" s="439"/>
      <c r="MBP12" s="439"/>
      <c r="MBQ12" s="439"/>
      <c r="MBR12" s="439"/>
      <c r="MBS12" s="439"/>
      <c r="MBT12" s="439"/>
      <c r="MBU12" s="439"/>
      <c r="MBV12" s="439"/>
      <c r="MBW12" s="439"/>
      <c r="MBX12" s="439"/>
      <c r="MBY12" s="439"/>
      <c r="MBZ12" s="439"/>
      <c r="MCA12" s="439"/>
      <c r="MCB12" s="439"/>
      <c r="MCC12" s="439"/>
      <c r="MCD12" s="439"/>
      <c r="MCE12" s="439"/>
      <c r="MCF12" s="439"/>
      <c r="MCG12" s="439"/>
      <c r="MCH12" s="439"/>
      <c r="MCI12" s="439"/>
      <c r="MCJ12" s="439"/>
      <c r="MCK12" s="439"/>
      <c r="MCL12" s="439"/>
      <c r="MCM12" s="439"/>
      <c r="MCN12" s="439"/>
      <c r="MCO12" s="439"/>
      <c r="MCP12" s="439"/>
      <c r="MCQ12" s="439"/>
      <c r="MCR12" s="439"/>
      <c r="MCS12" s="439"/>
      <c r="MCT12" s="439"/>
      <c r="MCU12" s="439"/>
      <c r="MCV12" s="439"/>
      <c r="MCW12" s="439"/>
      <c r="MCX12" s="439"/>
      <c r="MCY12" s="439"/>
      <c r="MCZ12" s="439"/>
      <c r="MDA12" s="439"/>
      <c r="MDB12" s="439"/>
      <c r="MDC12" s="439"/>
      <c r="MDD12" s="439"/>
      <c r="MDE12" s="439"/>
      <c r="MDF12" s="439"/>
      <c r="MDG12" s="439"/>
      <c r="MDH12" s="439"/>
      <c r="MDI12" s="439"/>
      <c r="MDJ12" s="439"/>
      <c r="MDK12" s="439"/>
      <c r="MDL12" s="439"/>
      <c r="MDM12" s="439"/>
      <c r="MDN12" s="439"/>
      <c r="MDO12" s="439"/>
      <c r="MDP12" s="439"/>
      <c r="MDQ12" s="439"/>
      <c r="MDR12" s="439"/>
      <c r="MDS12" s="439"/>
      <c r="MDT12" s="439"/>
      <c r="MDU12" s="439"/>
      <c r="MDV12" s="439"/>
      <c r="MDW12" s="439"/>
      <c r="MDX12" s="439"/>
      <c r="MDY12" s="439"/>
      <c r="MDZ12" s="439"/>
      <c r="MEA12" s="439"/>
      <c r="MEB12" s="439"/>
      <c r="MEC12" s="439"/>
      <c r="MED12" s="439"/>
      <c r="MEE12" s="439"/>
      <c r="MEF12" s="439"/>
      <c r="MEG12" s="439"/>
      <c r="MEH12" s="439"/>
      <c r="MEI12" s="439"/>
      <c r="MEJ12" s="439"/>
      <c r="MEK12" s="439"/>
      <c r="MEL12" s="439"/>
      <c r="MEM12" s="439"/>
      <c r="MEN12" s="439"/>
      <c r="MEO12" s="439"/>
      <c r="MEP12" s="439"/>
      <c r="MEQ12" s="439"/>
      <c r="MER12" s="439"/>
      <c r="MES12" s="439"/>
      <c r="MET12" s="439"/>
      <c r="MEU12" s="439"/>
      <c r="MEV12" s="439"/>
      <c r="MEW12" s="439"/>
      <c r="MEX12" s="439"/>
      <c r="MEY12" s="439"/>
      <c r="MEZ12" s="439"/>
      <c r="MFA12" s="439"/>
      <c r="MFB12" s="439"/>
      <c r="MFC12" s="439"/>
      <c r="MFD12" s="439"/>
      <c r="MFE12" s="439"/>
      <c r="MFF12" s="439"/>
      <c r="MFG12" s="439"/>
      <c r="MFH12" s="439"/>
      <c r="MFI12" s="439"/>
      <c r="MFJ12" s="439"/>
      <c r="MFK12" s="439"/>
      <c r="MFL12" s="439"/>
      <c r="MFM12" s="439"/>
      <c r="MFN12" s="439"/>
      <c r="MFO12" s="439"/>
      <c r="MFP12" s="439"/>
      <c r="MFQ12" s="439"/>
      <c r="MFR12" s="439"/>
      <c r="MFS12" s="439"/>
      <c r="MFT12" s="439"/>
      <c r="MFU12" s="439"/>
      <c r="MFV12" s="439"/>
      <c r="MFW12" s="439"/>
      <c r="MFX12" s="439"/>
      <c r="MFY12" s="439"/>
      <c r="MFZ12" s="439"/>
      <c r="MGA12" s="439"/>
      <c r="MGB12" s="439"/>
      <c r="MGC12" s="439"/>
      <c r="MGD12" s="439"/>
      <c r="MGE12" s="439"/>
      <c r="MGF12" s="439"/>
      <c r="MGG12" s="439"/>
      <c r="MGH12" s="439"/>
      <c r="MGI12" s="439"/>
      <c r="MGJ12" s="439"/>
      <c r="MGK12" s="439"/>
      <c r="MGL12" s="439"/>
      <c r="MGM12" s="439"/>
      <c r="MGN12" s="439"/>
      <c r="MGO12" s="439"/>
      <c r="MGP12" s="439"/>
      <c r="MGQ12" s="439"/>
      <c r="MGR12" s="439"/>
      <c r="MGS12" s="439"/>
      <c r="MGT12" s="439"/>
      <c r="MGU12" s="439"/>
      <c r="MGV12" s="439"/>
      <c r="MGW12" s="439"/>
      <c r="MGX12" s="439"/>
      <c r="MGY12" s="439"/>
      <c r="MGZ12" s="439"/>
      <c r="MHA12" s="439"/>
      <c r="MHB12" s="439"/>
      <c r="MHC12" s="439"/>
      <c r="MHD12" s="439"/>
      <c r="MHE12" s="439"/>
      <c r="MHF12" s="439"/>
      <c r="MHG12" s="439"/>
      <c r="MHH12" s="439"/>
      <c r="MHI12" s="439"/>
      <c r="MHJ12" s="439"/>
      <c r="MHK12" s="439"/>
      <c r="MHL12" s="439"/>
      <c r="MHM12" s="439"/>
      <c r="MHN12" s="439"/>
      <c r="MHO12" s="439"/>
      <c r="MHP12" s="439"/>
      <c r="MHQ12" s="439"/>
      <c r="MHR12" s="439"/>
      <c r="MHS12" s="439"/>
      <c r="MHT12" s="439"/>
      <c r="MHU12" s="439"/>
      <c r="MHV12" s="439"/>
      <c r="MHW12" s="439"/>
      <c r="MHX12" s="439"/>
      <c r="MHY12" s="439"/>
      <c r="MHZ12" s="439"/>
      <c r="MIA12" s="439"/>
      <c r="MIB12" s="439"/>
      <c r="MIC12" s="439"/>
      <c r="MID12" s="439"/>
      <c r="MIE12" s="439"/>
      <c r="MIF12" s="439"/>
      <c r="MIG12" s="439"/>
      <c r="MIH12" s="439"/>
      <c r="MII12" s="439"/>
      <c r="MIJ12" s="439"/>
      <c r="MIK12" s="439"/>
      <c r="MIL12" s="439"/>
      <c r="MIM12" s="439"/>
      <c r="MIN12" s="439"/>
      <c r="MIO12" s="439"/>
      <c r="MIP12" s="439"/>
      <c r="MIQ12" s="439"/>
      <c r="MIR12" s="439"/>
      <c r="MIS12" s="439"/>
      <c r="MIT12" s="439"/>
      <c r="MIU12" s="439"/>
      <c r="MIV12" s="439"/>
      <c r="MIW12" s="439"/>
      <c r="MIX12" s="439"/>
      <c r="MIY12" s="439"/>
      <c r="MIZ12" s="439"/>
      <c r="MJA12" s="439"/>
      <c r="MJB12" s="439"/>
      <c r="MJC12" s="439"/>
      <c r="MJD12" s="439"/>
      <c r="MJE12" s="439"/>
      <c r="MJF12" s="439"/>
      <c r="MJG12" s="439"/>
      <c r="MJH12" s="439"/>
      <c r="MJI12" s="439"/>
      <c r="MJJ12" s="439"/>
      <c r="MJK12" s="439"/>
      <c r="MJL12" s="439"/>
      <c r="MJM12" s="439"/>
      <c r="MJN12" s="439"/>
      <c r="MJO12" s="439"/>
      <c r="MJP12" s="439"/>
      <c r="MJQ12" s="439"/>
      <c r="MJR12" s="439"/>
      <c r="MJS12" s="439"/>
      <c r="MJT12" s="439"/>
      <c r="MJU12" s="439"/>
      <c r="MJV12" s="439"/>
      <c r="MJW12" s="439"/>
      <c r="MJX12" s="439"/>
      <c r="MJY12" s="439"/>
      <c r="MJZ12" s="439"/>
      <c r="MKA12" s="439"/>
      <c r="MKB12" s="439"/>
      <c r="MKC12" s="439"/>
      <c r="MKD12" s="439"/>
      <c r="MKE12" s="439"/>
      <c r="MKF12" s="439"/>
      <c r="MKG12" s="439"/>
      <c r="MKH12" s="439"/>
      <c r="MKI12" s="439"/>
      <c r="MKJ12" s="439"/>
      <c r="MKK12" s="439"/>
      <c r="MKL12" s="439"/>
      <c r="MKM12" s="439"/>
      <c r="MKN12" s="439"/>
      <c r="MKO12" s="439"/>
      <c r="MKP12" s="439"/>
      <c r="MKQ12" s="439"/>
      <c r="MKR12" s="439"/>
      <c r="MKS12" s="439"/>
      <c r="MKT12" s="439"/>
      <c r="MKU12" s="439"/>
      <c r="MKV12" s="439"/>
      <c r="MKW12" s="439"/>
      <c r="MKX12" s="439"/>
      <c r="MKY12" s="439"/>
      <c r="MKZ12" s="439"/>
      <c r="MLA12" s="439"/>
      <c r="MLB12" s="439"/>
      <c r="MLC12" s="439"/>
      <c r="MLD12" s="439"/>
      <c r="MLE12" s="439"/>
      <c r="MLF12" s="439"/>
      <c r="MLG12" s="439"/>
      <c r="MLH12" s="439"/>
      <c r="MLI12" s="439"/>
      <c r="MLJ12" s="439"/>
      <c r="MLK12" s="439"/>
      <c r="MLL12" s="439"/>
      <c r="MLM12" s="439"/>
      <c r="MLN12" s="439"/>
      <c r="MLO12" s="439"/>
      <c r="MLP12" s="439"/>
      <c r="MLQ12" s="439"/>
      <c r="MLR12" s="439"/>
      <c r="MLS12" s="439"/>
      <c r="MLT12" s="439"/>
      <c r="MLU12" s="439"/>
      <c r="MLV12" s="439"/>
      <c r="MLW12" s="439"/>
      <c r="MLX12" s="439"/>
      <c r="MLY12" s="439"/>
      <c r="MLZ12" s="439"/>
      <c r="MMA12" s="439"/>
      <c r="MMB12" s="439"/>
      <c r="MMC12" s="439"/>
      <c r="MMD12" s="439"/>
      <c r="MME12" s="439"/>
      <c r="MMF12" s="439"/>
      <c r="MMG12" s="439"/>
      <c r="MMH12" s="439"/>
      <c r="MMI12" s="439"/>
      <c r="MMJ12" s="439"/>
      <c r="MMK12" s="439"/>
      <c r="MML12" s="439"/>
      <c r="MMM12" s="439"/>
      <c r="MMN12" s="439"/>
      <c r="MMO12" s="439"/>
      <c r="MMP12" s="439"/>
      <c r="MMQ12" s="439"/>
      <c r="MMR12" s="439"/>
      <c r="MMS12" s="439"/>
      <c r="MMT12" s="439"/>
      <c r="MMU12" s="439"/>
      <c r="MMV12" s="439"/>
      <c r="MMW12" s="439"/>
      <c r="MMX12" s="439"/>
      <c r="MMY12" s="439"/>
      <c r="MMZ12" s="439"/>
      <c r="MNA12" s="439"/>
      <c r="MNB12" s="439"/>
      <c r="MNC12" s="439"/>
      <c r="MND12" s="439"/>
      <c r="MNE12" s="439"/>
      <c r="MNF12" s="439"/>
      <c r="MNG12" s="439"/>
      <c r="MNH12" s="439"/>
      <c r="MNI12" s="439"/>
      <c r="MNJ12" s="439"/>
      <c r="MNK12" s="439"/>
      <c r="MNL12" s="439"/>
      <c r="MNM12" s="439"/>
      <c r="MNN12" s="439"/>
      <c r="MNO12" s="439"/>
      <c r="MNP12" s="439"/>
      <c r="MNQ12" s="439"/>
      <c r="MNR12" s="439"/>
      <c r="MNS12" s="439"/>
      <c r="MNT12" s="439"/>
      <c r="MNU12" s="439"/>
      <c r="MNV12" s="439"/>
      <c r="MNW12" s="439"/>
      <c r="MNX12" s="439"/>
      <c r="MNY12" s="439"/>
      <c r="MNZ12" s="439"/>
      <c r="MOA12" s="439"/>
      <c r="MOB12" s="439"/>
      <c r="MOC12" s="439"/>
      <c r="MOD12" s="439"/>
      <c r="MOE12" s="439"/>
      <c r="MOF12" s="439"/>
      <c r="MOG12" s="439"/>
      <c r="MOH12" s="439"/>
      <c r="MOI12" s="439"/>
      <c r="MOJ12" s="439"/>
      <c r="MOK12" s="439"/>
      <c r="MOL12" s="439"/>
      <c r="MOM12" s="439"/>
      <c r="MON12" s="439"/>
      <c r="MOO12" s="439"/>
      <c r="MOP12" s="439"/>
      <c r="MOQ12" s="439"/>
      <c r="MOR12" s="439"/>
      <c r="MOS12" s="439"/>
      <c r="MOT12" s="439"/>
      <c r="MOU12" s="439"/>
      <c r="MOV12" s="439"/>
      <c r="MOW12" s="439"/>
      <c r="MOX12" s="439"/>
      <c r="MOY12" s="439"/>
      <c r="MOZ12" s="439"/>
      <c r="MPA12" s="439"/>
      <c r="MPB12" s="439"/>
      <c r="MPC12" s="439"/>
      <c r="MPD12" s="439"/>
      <c r="MPE12" s="439"/>
      <c r="MPF12" s="439"/>
      <c r="MPG12" s="439"/>
      <c r="MPH12" s="439"/>
      <c r="MPI12" s="439"/>
      <c r="MPJ12" s="439"/>
      <c r="MPK12" s="439"/>
      <c r="MPL12" s="439"/>
      <c r="MPM12" s="439"/>
      <c r="MPN12" s="439"/>
      <c r="MPO12" s="439"/>
      <c r="MPP12" s="439"/>
      <c r="MPQ12" s="439"/>
      <c r="MPR12" s="439"/>
      <c r="MPS12" s="439"/>
      <c r="MPT12" s="439"/>
      <c r="MPU12" s="439"/>
      <c r="MPV12" s="439"/>
      <c r="MPW12" s="439"/>
      <c r="MPX12" s="439"/>
      <c r="MPY12" s="439"/>
      <c r="MPZ12" s="439"/>
      <c r="MQA12" s="439"/>
      <c r="MQB12" s="439"/>
      <c r="MQC12" s="439"/>
      <c r="MQD12" s="439"/>
      <c r="MQE12" s="439"/>
      <c r="MQF12" s="439"/>
      <c r="MQG12" s="439"/>
      <c r="MQH12" s="439"/>
      <c r="MQI12" s="439"/>
      <c r="MQJ12" s="439"/>
      <c r="MQK12" s="439"/>
      <c r="MQL12" s="439"/>
      <c r="MQM12" s="439"/>
      <c r="MQN12" s="439"/>
      <c r="MQO12" s="439"/>
      <c r="MQP12" s="439"/>
      <c r="MQQ12" s="439"/>
      <c r="MQR12" s="439"/>
      <c r="MQS12" s="439"/>
      <c r="MQT12" s="439"/>
      <c r="MQU12" s="439"/>
      <c r="MQV12" s="439"/>
      <c r="MQW12" s="439"/>
      <c r="MQX12" s="439"/>
      <c r="MQY12" s="439"/>
      <c r="MQZ12" s="439"/>
      <c r="MRA12" s="439"/>
      <c r="MRB12" s="439"/>
      <c r="MRC12" s="439"/>
      <c r="MRD12" s="439"/>
      <c r="MRE12" s="439"/>
      <c r="MRF12" s="439"/>
      <c r="MRG12" s="439"/>
      <c r="MRH12" s="439"/>
      <c r="MRI12" s="439"/>
      <c r="MRJ12" s="439"/>
      <c r="MRK12" s="439"/>
      <c r="MRL12" s="439"/>
      <c r="MRM12" s="439"/>
      <c r="MRN12" s="439"/>
      <c r="MRO12" s="439"/>
      <c r="MRP12" s="439"/>
      <c r="MRQ12" s="439"/>
      <c r="MRR12" s="439"/>
      <c r="MRS12" s="439"/>
      <c r="MRT12" s="439"/>
      <c r="MRU12" s="439"/>
      <c r="MRV12" s="439"/>
      <c r="MRW12" s="439"/>
      <c r="MRX12" s="439"/>
      <c r="MRY12" s="439"/>
      <c r="MRZ12" s="439"/>
      <c r="MSA12" s="439"/>
      <c r="MSB12" s="439"/>
      <c r="MSC12" s="439"/>
      <c r="MSD12" s="439"/>
      <c r="MSE12" s="439"/>
      <c r="MSF12" s="439"/>
      <c r="MSG12" s="439"/>
      <c r="MSH12" s="439"/>
      <c r="MSI12" s="439"/>
      <c r="MSJ12" s="439"/>
      <c r="MSK12" s="439"/>
      <c r="MSL12" s="439"/>
      <c r="MSM12" s="439"/>
      <c r="MSN12" s="439"/>
      <c r="MSO12" s="439"/>
      <c r="MSP12" s="439"/>
      <c r="MSQ12" s="439"/>
      <c r="MSR12" s="439"/>
      <c r="MSS12" s="439"/>
      <c r="MST12" s="439"/>
      <c r="MSU12" s="439"/>
      <c r="MSV12" s="439"/>
      <c r="MSW12" s="439"/>
      <c r="MSX12" s="439"/>
      <c r="MSY12" s="439"/>
      <c r="MSZ12" s="439"/>
      <c r="MTA12" s="439"/>
      <c r="MTB12" s="439"/>
      <c r="MTC12" s="439"/>
      <c r="MTD12" s="439"/>
      <c r="MTE12" s="439"/>
      <c r="MTF12" s="439"/>
      <c r="MTG12" s="439"/>
      <c r="MTH12" s="439"/>
      <c r="MTI12" s="439"/>
      <c r="MTJ12" s="439"/>
      <c r="MTK12" s="439"/>
      <c r="MTL12" s="439"/>
      <c r="MTM12" s="439"/>
      <c r="MTN12" s="439"/>
      <c r="MTO12" s="439"/>
      <c r="MTP12" s="439"/>
      <c r="MTQ12" s="439"/>
      <c r="MTR12" s="439"/>
      <c r="MTS12" s="439"/>
      <c r="MTT12" s="439"/>
      <c r="MTU12" s="439"/>
      <c r="MTV12" s="439"/>
      <c r="MTW12" s="439"/>
      <c r="MTX12" s="439"/>
      <c r="MTY12" s="439"/>
      <c r="MTZ12" s="439"/>
      <c r="MUA12" s="439"/>
      <c r="MUB12" s="439"/>
      <c r="MUC12" s="439"/>
      <c r="MUD12" s="439"/>
      <c r="MUE12" s="439"/>
      <c r="MUF12" s="439"/>
      <c r="MUG12" s="439"/>
      <c r="MUH12" s="439"/>
      <c r="MUI12" s="439"/>
      <c r="MUJ12" s="439"/>
      <c r="MUK12" s="439"/>
      <c r="MUL12" s="439"/>
      <c r="MUM12" s="439"/>
      <c r="MUN12" s="439"/>
      <c r="MUO12" s="439"/>
      <c r="MUP12" s="439"/>
      <c r="MUQ12" s="439"/>
      <c r="MUR12" s="439"/>
      <c r="MUS12" s="439"/>
      <c r="MUT12" s="439"/>
      <c r="MUU12" s="439"/>
      <c r="MUV12" s="439"/>
      <c r="MUW12" s="439"/>
      <c r="MUX12" s="439"/>
      <c r="MUY12" s="439"/>
      <c r="MUZ12" s="439"/>
      <c r="MVA12" s="439"/>
      <c r="MVB12" s="439"/>
      <c r="MVC12" s="439"/>
      <c r="MVD12" s="439"/>
      <c r="MVE12" s="439"/>
      <c r="MVF12" s="439"/>
      <c r="MVG12" s="439"/>
      <c r="MVH12" s="439"/>
      <c r="MVI12" s="439"/>
      <c r="MVJ12" s="439"/>
      <c r="MVK12" s="439"/>
      <c r="MVL12" s="439"/>
      <c r="MVM12" s="439"/>
      <c r="MVN12" s="439"/>
      <c r="MVO12" s="439"/>
      <c r="MVP12" s="439"/>
      <c r="MVQ12" s="439"/>
      <c r="MVR12" s="439"/>
      <c r="MVS12" s="439"/>
      <c r="MVT12" s="439"/>
      <c r="MVU12" s="439"/>
      <c r="MVV12" s="439"/>
      <c r="MVW12" s="439"/>
      <c r="MVX12" s="439"/>
      <c r="MVY12" s="439"/>
      <c r="MVZ12" s="439"/>
      <c r="MWA12" s="439"/>
      <c r="MWB12" s="439"/>
      <c r="MWC12" s="439"/>
      <c r="MWD12" s="439"/>
      <c r="MWE12" s="439"/>
      <c r="MWF12" s="439"/>
      <c r="MWG12" s="439"/>
      <c r="MWH12" s="439"/>
      <c r="MWI12" s="439"/>
      <c r="MWJ12" s="439"/>
      <c r="MWK12" s="439"/>
      <c r="MWL12" s="439"/>
      <c r="MWM12" s="439"/>
      <c r="MWN12" s="439"/>
      <c r="MWO12" s="439"/>
      <c r="MWP12" s="439"/>
      <c r="MWQ12" s="439"/>
      <c r="MWR12" s="439"/>
      <c r="MWS12" s="439"/>
      <c r="MWT12" s="439"/>
      <c r="MWU12" s="439"/>
      <c r="MWV12" s="439"/>
      <c r="MWW12" s="439"/>
      <c r="MWX12" s="439"/>
      <c r="MWY12" s="439"/>
      <c r="MWZ12" s="439"/>
      <c r="MXA12" s="439"/>
      <c r="MXB12" s="439"/>
      <c r="MXC12" s="439"/>
      <c r="MXD12" s="439"/>
      <c r="MXE12" s="439"/>
      <c r="MXF12" s="439"/>
      <c r="MXG12" s="439"/>
      <c r="MXH12" s="439"/>
      <c r="MXI12" s="439"/>
      <c r="MXJ12" s="439"/>
      <c r="MXK12" s="439"/>
      <c r="MXL12" s="439"/>
      <c r="MXM12" s="439"/>
      <c r="MXN12" s="439"/>
      <c r="MXO12" s="439"/>
      <c r="MXP12" s="439"/>
      <c r="MXQ12" s="439"/>
      <c r="MXR12" s="439"/>
      <c r="MXS12" s="439"/>
      <c r="MXT12" s="439"/>
      <c r="MXU12" s="439"/>
      <c r="MXV12" s="439"/>
      <c r="MXW12" s="439"/>
      <c r="MXX12" s="439"/>
      <c r="MXY12" s="439"/>
      <c r="MXZ12" s="439"/>
      <c r="MYA12" s="439"/>
      <c r="MYB12" s="439"/>
      <c r="MYC12" s="439"/>
      <c r="MYD12" s="439"/>
      <c r="MYE12" s="439"/>
      <c r="MYF12" s="439"/>
      <c r="MYG12" s="439"/>
      <c r="MYH12" s="439"/>
      <c r="MYI12" s="439"/>
      <c r="MYJ12" s="439"/>
      <c r="MYK12" s="439"/>
      <c r="MYL12" s="439"/>
      <c r="MYM12" s="439"/>
      <c r="MYN12" s="439"/>
      <c r="MYO12" s="439"/>
      <c r="MYP12" s="439"/>
      <c r="MYQ12" s="439"/>
      <c r="MYR12" s="439"/>
      <c r="MYS12" s="439"/>
      <c r="MYT12" s="439"/>
      <c r="MYU12" s="439"/>
      <c r="MYV12" s="439"/>
      <c r="MYW12" s="439"/>
      <c r="MYX12" s="439"/>
      <c r="MYY12" s="439"/>
      <c r="MYZ12" s="439"/>
      <c r="MZA12" s="439"/>
      <c r="MZB12" s="439"/>
      <c r="MZC12" s="439"/>
      <c r="MZD12" s="439"/>
      <c r="MZE12" s="439"/>
      <c r="MZF12" s="439"/>
      <c r="MZG12" s="439"/>
      <c r="MZH12" s="439"/>
      <c r="MZI12" s="439"/>
      <c r="MZJ12" s="439"/>
      <c r="MZK12" s="439"/>
      <c r="MZL12" s="439"/>
      <c r="MZM12" s="439"/>
      <c r="MZN12" s="439"/>
      <c r="MZO12" s="439"/>
      <c r="MZP12" s="439"/>
      <c r="MZQ12" s="439"/>
      <c r="MZR12" s="439"/>
      <c r="MZS12" s="439"/>
      <c r="MZT12" s="439"/>
      <c r="MZU12" s="439"/>
      <c r="MZV12" s="439"/>
      <c r="MZW12" s="439"/>
      <c r="MZX12" s="439"/>
      <c r="MZY12" s="439"/>
      <c r="MZZ12" s="439"/>
      <c r="NAA12" s="439"/>
      <c r="NAB12" s="439"/>
      <c r="NAC12" s="439"/>
      <c r="NAD12" s="439"/>
      <c r="NAE12" s="439"/>
      <c r="NAF12" s="439"/>
      <c r="NAG12" s="439"/>
      <c r="NAH12" s="439"/>
      <c r="NAI12" s="439"/>
      <c r="NAJ12" s="439"/>
      <c r="NAK12" s="439"/>
      <c r="NAL12" s="439"/>
      <c r="NAM12" s="439"/>
      <c r="NAN12" s="439"/>
      <c r="NAO12" s="439"/>
      <c r="NAP12" s="439"/>
      <c r="NAQ12" s="439"/>
      <c r="NAR12" s="439"/>
      <c r="NAS12" s="439"/>
      <c r="NAT12" s="439"/>
      <c r="NAU12" s="439"/>
      <c r="NAV12" s="439"/>
      <c r="NAW12" s="439"/>
      <c r="NAX12" s="439"/>
      <c r="NAY12" s="439"/>
      <c r="NAZ12" s="439"/>
      <c r="NBA12" s="439"/>
      <c r="NBB12" s="439"/>
      <c r="NBC12" s="439"/>
      <c r="NBD12" s="439"/>
      <c r="NBE12" s="439"/>
      <c r="NBF12" s="439"/>
      <c r="NBG12" s="439"/>
      <c r="NBH12" s="439"/>
      <c r="NBI12" s="439"/>
      <c r="NBJ12" s="439"/>
      <c r="NBK12" s="439"/>
      <c r="NBL12" s="439"/>
      <c r="NBM12" s="439"/>
      <c r="NBN12" s="439"/>
      <c r="NBO12" s="439"/>
      <c r="NBP12" s="439"/>
      <c r="NBQ12" s="439"/>
      <c r="NBR12" s="439"/>
      <c r="NBS12" s="439"/>
      <c r="NBT12" s="439"/>
      <c r="NBU12" s="439"/>
      <c r="NBV12" s="439"/>
      <c r="NBW12" s="439"/>
      <c r="NBX12" s="439"/>
      <c r="NBY12" s="439"/>
      <c r="NBZ12" s="439"/>
      <c r="NCA12" s="439"/>
      <c r="NCB12" s="439"/>
      <c r="NCC12" s="439"/>
      <c r="NCD12" s="439"/>
      <c r="NCE12" s="439"/>
      <c r="NCF12" s="439"/>
      <c r="NCG12" s="439"/>
      <c r="NCH12" s="439"/>
      <c r="NCI12" s="439"/>
      <c r="NCJ12" s="439"/>
      <c r="NCK12" s="439"/>
      <c r="NCL12" s="439"/>
      <c r="NCM12" s="439"/>
      <c r="NCN12" s="439"/>
      <c r="NCO12" s="439"/>
      <c r="NCP12" s="439"/>
      <c r="NCQ12" s="439"/>
      <c r="NCR12" s="439"/>
      <c r="NCS12" s="439"/>
      <c r="NCT12" s="439"/>
      <c r="NCU12" s="439"/>
      <c r="NCV12" s="439"/>
      <c r="NCW12" s="439"/>
      <c r="NCX12" s="439"/>
      <c r="NCY12" s="439"/>
      <c r="NCZ12" s="439"/>
      <c r="NDA12" s="439"/>
      <c r="NDB12" s="439"/>
      <c r="NDC12" s="439"/>
      <c r="NDD12" s="439"/>
      <c r="NDE12" s="439"/>
      <c r="NDF12" s="439"/>
      <c r="NDG12" s="439"/>
      <c r="NDH12" s="439"/>
      <c r="NDI12" s="439"/>
      <c r="NDJ12" s="439"/>
      <c r="NDK12" s="439"/>
      <c r="NDL12" s="439"/>
      <c r="NDM12" s="439"/>
      <c r="NDN12" s="439"/>
      <c r="NDO12" s="439"/>
      <c r="NDP12" s="439"/>
      <c r="NDQ12" s="439"/>
      <c r="NDR12" s="439"/>
      <c r="NDS12" s="439"/>
      <c r="NDT12" s="439"/>
      <c r="NDU12" s="439"/>
      <c r="NDV12" s="439"/>
      <c r="NDW12" s="439"/>
      <c r="NDX12" s="439"/>
      <c r="NDY12" s="439"/>
      <c r="NDZ12" s="439"/>
      <c r="NEA12" s="439"/>
      <c r="NEB12" s="439"/>
      <c r="NEC12" s="439"/>
      <c r="NED12" s="439"/>
      <c r="NEE12" s="439"/>
      <c r="NEF12" s="439"/>
      <c r="NEG12" s="439"/>
      <c r="NEH12" s="439"/>
      <c r="NEI12" s="439"/>
      <c r="NEJ12" s="439"/>
      <c r="NEK12" s="439"/>
      <c r="NEL12" s="439"/>
      <c r="NEM12" s="439"/>
      <c r="NEN12" s="439"/>
      <c r="NEO12" s="439"/>
      <c r="NEP12" s="439"/>
      <c r="NEQ12" s="439"/>
      <c r="NER12" s="439"/>
      <c r="NES12" s="439"/>
      <c r="NET12" s="439"/>
      <c r="NEU12" s="439"/>
      <c r="NEV12" s="439"/>
      <c r="NEW12" s="439"/>
      <c r="NEX12" s="439"/>
      <c r="NEY12" s="439"/>
      <c r="NEZ12" s="439"/>
      <c r="NFA12" s="439"/>
      <c r="NFB12" s="439"/>
      <c r="NFC12" s="439"/>
      <c r="NFD12" s="439"/>
      <c r="NFE12" s="439"/>
      <c r="NFF12" s="439"/>
      <c r="NFG12" s="439"/>
      <c r="NFH12" s="439"/>
      <c r="NFI12" s="439"/>
      <c r="NFJ12" s="439"/>
      <c r="NFK12" s="439"/>
      <c r="NFL12" s="439"/>
      <c r="NFM12" s="439"/>
      <c r="NFN12" s="439"/>
      <c r="NFO12" s="439"/>
      <c r="NFP12" s="439"/>
      <c r="NFQ12" s="439"/>
      <c r="NFR12" s="439"/>
      <c r="NFS12" s="439"/>
      <c r="NFT12" s="439"/>
      <c r="NFU12" s="439"/>
      <c r="NFV12" s="439"/>
      <c r="NFW12" s="439"/>
      <c r="NFX12" s="439"/>
      <c r="NFY12" s="439"/>
      <c r="NFZ12" s="439"/>
      <c r="NGA12" s="439"/>
      <c r="NGB12" s="439"/>
      <c r="NGC12" s="439"/>
      <c r="NGD12" s="439"/>
      <c r="NGE12" s="439"/>
      <c r="NGF12" s="439"/>
      <c r="NGG12" s="439"/>
      <c r="NGH12" s="439"/>
      <c r="NGI12" s="439"/>
      <c r="NGJ12" s="439"/>
      <c r="NGK12" s="439"/>
      <c r="NGL12" s="439"/>
      <c r="NGM12" s="439"/>
      <c r="NGN12" s="439"/>
      <c r="NGO12" s="439"/>
      <c r="NGP12" s="439"/>
      <c r="NGQ12" s="439"/>
      <c r="NGR12" s="439"/>
      <c r="NGS12" s="439"/>
      <c r="NGT12" s="439"/>
      <c r="NGU12" s="439"/>
      <c r="NGV12" s="439"/>
      <c r="NGW12" s="439"/>
      <c r="NGX12" s="439"/>
      <c r="NGY12" s="439"/>
      <c r="NGZ12" s="439"/>
      <c r="NHA12" s="439"/>
      <c r="NHB12" s="439"/>
      <c r="NHC12" s="439"/>
      <c r="NHD12" s="439"/>
      <c r="NHE12" s="439"/>
      <c r="NHF12" s="439"/>
      <c r="NHG12" s="439"/>
      <c r="NHH12" s="439"/>
      <c r="NHI12" s="439"/>
      <c r="NHJ12" s="439"/>
      <c r="NHK12" s="439"/>
      <c r="NHL12" s="439"/>
      <c r="NHM12" s="439"/>
      <c r="NHN12" s="439"/>
      <c r="NHO12" s="439"/>
      <c r="NHP12" s="439"/>
      <c r="NHQ12" s="439"/>
      <c r="NHR12" s="439"/>
      <c r="NHS12" s="439"/>
      <c r="NHT12" s="439"/>
      <c r="NHU12" s="439"/>
      <c r="NHV12" s="439"/>
      <c r="NHW12" s="439"/>
      <c r="NHX12" s="439"/>
      <c r="NHY12" s="439"/>
      <c r="NHZ12" s="439"/>
      <c r="NIA12" s="439"/>
      <c r="NIB12" s="439"/>
      <c r="NIC12" s="439"/>
      <c r="NID12" s="439"/>
      <c r="NIE12" s="439"/>
      <c r="NIF12" s="439"/>
      <c r="NIG12" s="439"/>
      <c r="NIH12" s="439"/>
      <c r="NII12" s="439"/>
      <c r="NIJ12" s="439"/>
      <c r="NIK12" s="439"/>
      <c r="NIL12" s="439"/>
      <c r="NIM12" s="439"/>
      <c r="NIN12" s="439"/>
      <c r="NIO12" s="439"/>
      <c r="NIP12" s="439"/>
      <c r="NIQ12" s="439"/>
      <c r="NIR12" s="439"/>
      <c r="NIS12" s="439"/>
      <c r="NIT12" s="439"/>
      <c r="NIU12" s="439"/>
      <c r="NIV12" s="439"/>
      <c r="NIW12" s="439"/>
      <c r="NIX12" s="439"/>
      <c r="NIY12" s="439"/>
      <c r="NIZ12" s="439"/>
      <c r="NJA12" s="439"/>
      <c r="NJB12" s="439"/>
      <c r="NJC12" s="439"/>
      <c r="NJD12" s="439"/>
      <c r="NJE12" s="439"/>
      <c r="NJF12" s="439"/>
      <c r="NJG12" s="439"/>
      <c r="NJH12" s="439"/>
      <c r="NJI12" s="439"/>
      <c r="NJJ12" s="439"/>
      <c r="NJK12" s="439"/>
      <c r="NJL12" s="439"/>
      <c r="NJM12" s="439"/>
      <c r="NJN12" s="439"/>
      <c r="NJO12" s="439"/>
      <c r="NJP12" s="439"/>
      <c r="NJQ12" s="439"/>
      <c r="NJR12" s="439"/>
      <c r="NJS12" s="439"/>
      <c r="NJT12" s="439"/>
      <c r="NJU12" s="439"/>
      <c r="NJV12" s="439"/>
      <c r="NJW12" s="439"/>
      <c r="NJX12" s="439"/>
      <c r="NJY12" s="439"/>
      <c r="NJZ12" s="439"/>
      <c r="NKA12" s="439"/>
      <c r="NKB12" s="439"/>
      <c r="NKC12" s="439"/>
      <c r="NKD12" s="439"/>
      <c r="NKE12" s="439"/>
      <c r="NKF12" s="439"/>
      <c r="NKG12" s="439"/>
      <c r="NKH12" s="439"/>
      <c r="NKI12" s="439"/>
      <c r="NKJ12" s="439"/>
      <c r="NKK12" s="439"/>
      <c r="NKL12" s="439"/>
      <c r="NKM12" s="439"/>
      <c r="NKN12" s="439"/>
      <c r="NKO12" s="439"/>
      <c r="NKP12" s="439"/>
      <c r="NKQ12" s="439"/>
      <c r="NKR12" s="439"/>
      <c r="NKS12" s="439"/>
      <c r="NKT12" s="439"/>
      <c r="NKU12" s="439"/>
      <c r="NKV12" s="439"/>
      <c r="NKW12" s="439"/>
      <c r="NKX12" s="439"/>
      <c r="NKY12" s="439"/>
      <c r="NKZ12" s="439"/>
      <c r="NLA12" s="439"/>
      <c r="NLB12" s="439"/>
      <c r="NLC12" s="439"/>
      <c r="NLD12" s="439"/>
      <c r="NLE12" s="439"/>
      <c r="NLF12" s="439"/>
      <c r="NLG12" s="439"/>
      <c r="NLH12" s="439"/>
      <c r="NLI12" s="439"/>
      <c r="NLJ12" s="439"/>
      <c r="NLK12" s="439"/>
      <c r="NLL12" s="439"/>
      <c r="NLM12" s="439"/>
      <c r="NLN12" s="439"/>
      <c r="NLO12" s="439"/>
      <c r="NLP12" s="439"/>
      <c r="NLQ12" s="439"/>
      <c r="NLR12" s="439"/>
      <c r="NLS12" s="439"/>
      <c r="NLT12" s="439"/>
      <c r="NLU12" s="439"/>
      <c r="NLV12" s="439"/>
      <c r="NLW12" s="439"/>
      <c r="NLX12" s="439"/>
      <c r="NLY12" s="439"/>
      <c r="NLZ12" s="439"/>
      <c r="NMA12" s="439"/>
      <c r="NMB12" s="439"/>
      <c r="NMC12" s="439"/>
      <c r="NMD12" s="439"/>
      <c r="NME12" s="439"/>
      <c r="NMF12" s="439"/>
      <c r="NMG12" s="439"/>
      <c r="NMH12" s="439"/>
      <c r="NMI12" s="439"/>
      <c r="NMJ12" s="439"/>
      <c r="NMK12" s="439"/>
      <c r="NML12" s="439"/>
      <c r="NMM12" s="439"/>
      <c r="NMN12" s="439"/>
      <c r="NMO12" s="439"/>
      <c r="NMP12" s="439"/>
      <c r="NMQ12" s="439"/>
      <c r="NMR12" s="439"/>
      <c r="NMS12" s="439"/>
      <c r="NMT12" s="439"/>
      <c r="NMU12" s="439"/>
      <c r="NMV12" s="439"/>
      <c r="NMW12" s="439"/>
      <c r="NMX12" s="439"/>
      <c r="NMY12" s="439"/>
      <c r="NMZ12" s="439"/>
      <c r="NNA12" s="439"/>
      <c r="NNB12" s="439"/>
      <c r="NNC12" s="439"/>
      <c r="NND12" s="439"/>
      <c r="NNE12" s="439"/>
      <c r="NNF12" s="439"/>
      <c r="NNG12" s="439"/>
      <c r="NNH12" s="439"/>
      <c r="NNI12" s="439"/>
      <c r="NNJ12" s="439"/>
      <c r="NNK12" s="439"/>
      <c r="NNL12" s="439"/>
      <c r="NNM12" s="439"/>
      <c r="NNN12" s="439"/>
      <c r="NNO12" s="439"/>
      <c r="NNP12" s="439"/>
      <c r="NNQ12" s="439"/>
      <c r="NNR12" s="439"/>
      <c r="NNS12" s="439"/>
      <c r="NNT12" s="439"/>
      <c r="NNU12" s="439"/>
      <c r="NNV12" s="439"/>
      <c r="NNW12" s="439"/>
      <c r="NNX12" s="439"/>
      <c r="NNY12" s="439"/>
      <c r="NNZ12" s="439"/>
      <c r="NOA12" s="439"/>
      <c r="NOB12" s="439"/>
      <c r="NOC12" s="439"/>
      <c r="NOD12" s="439"/>
      <c r="NOE12" s="439"/>
      <c r="NOF12" s="439"/>
      <c r="NOG12" s="439"/>
      <c r="NOH12" s="439"/>
      <c r="NOI12" s="439"/>
      <c r="NOJ12" s="439"/>
      <c r="NOK12" s="439"/>
      <c r="NOL12" s="439"/>
      <c r="NOM12" s="439"/>
      <c r="NON12" s="439"/>
      <c r="NOO12" s="439"/>
      <c r="NOP12" s="439"/>
      <c r="NOQ12" s="439"/>
      <c r="NOR12" s="439"/>
      <c r="NOS12" s="439"/>
      <c r="NOT12" s="439"/>
      <c r="NOU12" s="439"/>
      <c r="NOV12" s="439"/>
      <c r="NOW12" s="439"/>
      <c r="NOX12" s="439"/>
      <c r="NOY12" s="439"/>
      <c r="NOZ12" s="439"/>
      <c r="NPA12" s="439"/>
      <c r="NPB12" s="439"/>
      <c r="NPC12" s="439"/>
      <c r="NPD12" s="439"/>
      <c r="NPE12" s="439"/>
      <c r="NPF12" s="439"/>
      <c r="NPG12" s="439"/>
      <c r="NPH12" s="439"/>
      <c r="NPI12" s="439"/>
      <c r="NPJ12" s="439"/>
      <c r="NPK12" s="439"/>
      <c r="NPL12" s="439"/>
      <c r="NPM12" s="439"/>
      <c r="NPN12" s="439"/>
      <c r="NPO12" s="439"/>
      <c r="NPP12" s="439"/>
      <c r="NPQ12" s="439"/>
      <c r="NPR12" s="439"/>
      <c r="NPS12" s="439"/>
      <c r="NPT12" s="439"/>
      <c r="NPU12" s="439"/>
      <c r="NPV12" s="439"/>
      <c r="NPW12" s="439"/>
      <c r="NPX12" s="439"/>
      <c r="NPY12" s="439"/>
      <c r="NPZ12" s="439"/>
      <c r="NQA12" s="439"/>
      <c r="NQB12" s="439"/>
      <c r="NQC12" s="439"/>
      <c r="NQD12" s="439"/>
      <c r="NQE12" s="439"/>
      <c r="NQF12" s="439"/>
      <c r="NQG12" s="439"/>
      <c r="NQH12" s="439"/>
      <c r="NQI12" s="439"/>
      <c r="NQJ12" s="439"/>
      <c r="NQK12" s="439"/>
      <c r="NQL12" s="439"/>
      <c r="NQM12" s="439"/>
      <c r="NQN12" s="439"/>
      <c r="NQO12" s="439"/>
      <c r="NQP12" s="439"/>
      <c r="NQQ12" s="439"/>
      <c r="NQR12" s="439"/>
      <c r="NQS12" s="439"/>
      <c r="NQT12" s="439"/>
      <c r="NQU12" s="439"/>
      <c r="NQV12" s="439"/>
      <c r="NQW12" s="439"/>
      <c r="NQX12" s="439"/>
      <c r="NQY12" s="439"/>
      <c r="NQZ12" s="439"/>
      <c r="NRA12" s="439"/>
      <c r="NRB12" s="439"/>
      <c r="NRC12" s="439"/>
      <c r="NRD12" s="439"/>
      <c r="NRE12" s="439"/>
      <c r="NRF12" s="439"/>
      <c r="NRG12" s="439"/>
      <c r="NRH12" s="439"/>
      <c r="NRI12" s="439"/>
      <c r="NRJ12" s="439"/>
      <c r="NRK12" s="439"/>
      <c r="NRL12" s="439"/>
      <c r="NRM12" s="439"/>
      <c r="NRN12" s="439"/>
      <c r="NRO12" s="439"/>
      <c r="NRP12" s="439"/>
      <c r="NRQ12" s="439"/>
      <c r="NRR12" s="439"/>
      <c r="NRS12" s="439"/>
      <c r="NRT12" s="439"/>
      <c r="NRU12" s="439"/>
      <c r="NRV12" s="439"/>
      <c r="NRW12" s="439"/>
      <c r="NRX12" s="439"/>
      <c r="NRY12" s="439"/>
      <c r="NRZ12" s="439"/>
      <c r="NSA12" s="439"/>
      <c r="NSB12" s="439"/>
      <c r="NSC12" s="439"/>
      <c r="NSD12" s="439"/>
      <c r="NSE12" s="439"/>
      <c r="NSF12" s="439"/>
      <c r="NSG12" s="439"/>
      <c r="NSH12" s="439"/>
      <c r="NSI12" s="439"/>
      <c r="NSJ12" s="439"/>
      <c r="NSK12" s="439"/>
      <c r="NSL12" s="439"/>
      <c r="NSM12" s="439"/>
      <c r="NSN12" s="439"/>
      <c r="NSO12" s="439"/>
      <c r="NSP12" s="439"/>
      <c r="NSQ12" s="439"/>
      <c r="NSR12" s="439"/>
      <c r="NSS12" s="439"/>
      <c r="NST12" s="439"/>
      <c r="NSU12" s="439"/>
      <c r="NSV12" s="439"/>
      <c r="NSW12" s="439"/>
      <c r="NSX12" s="439"/>
      <c r="NSY12" s="439"/>
      <c r="NSZ12" s="439"/>
      <c r="NTA12" s="439"/>
      <c r="NTB12" s="439"/>
      <c r="NTC12" s="439"/>
      <c r="NTD12" s="439"/>
      <c r="NTE12" s="439"/>
      <c r="NTF12" s="439"/>
      <c r="NTG12" s="439"/>
      <c r="NTH12" s="439"/>
      <c r="NTI12" s="439"/>
      <c r="NTJ12" s="439"/>
      <c r="NTK12" s="439"/>
      <c r="NTL12" s="439"/>
      <c r="NTM12" s="439"/>
      <c r="NTN12" s="439"/>
      <c r="NTO12" s="439"/>
      <c r="NTP12" s="439"/>
      <c r="NTQ12" s="439"/>
      <c r="NTR12" s="439"/>
      <c r="NTS12" s="439"/>
      <c r="NTT12" s="439"/>
      <c r="NTU12" s="439"/>
      <c r="NTV12" s="439"/>
      <c r="NTW12" s="439"/>
      <c r="NTX12" s="439"/>
      <c r="NTY12" s="439"/>
      <c r="NTZ12" s="439"/>
      <c r="NUA12" s="439"/>
      <c r="NUB12" s="439"/>
      <c r="NUC12" s="439"/>
      <c r="NUD12" s="439"/>
      <c r="NUE12" s="439"/>
      <c r="NUF12" s="439"/>
      <c r="NUG12" s="439"/>
      <c r="NUH12" s="439"/>
      <c r="NUI12" s="439"/>
      <c r="NUJ12" s="439"/>
      <c r="NUK12" s="439"/>
      <c r="NUL12" s="439"/>
      <c r="NUM12" s="439"/>
      <c r="NUN12" s="439"/>
      <c r="NUO12" s="439"/>
      <c r="NUP12" s="439"/>
      <c r="NUQ12" s="439"/>
      <c r="NUR12" s="439"/>
      <c r="NUS12" s="439"/>
      <c r="NUT12" s="439"/>
      <c r="NUU12" s="439"/>
      <c r="NUV12" s="439"/>
      <c r="NUW12" s="439"/>
      <c r="NUX12" s="439"/>
      <c r="NUY12" s="439"/>
      <c r="NUZ12" s="439"/>
      <c r="NVA12" s="439"/>
      <c r="NVB12" s="439"/>
      <c r="NVC12" s="439"/>
      <c r="NVD12" s="439"/>
      <c r="NVE12" s="439"/>
      <c r="NVF12" s="439"/>
      <c r="NVG12" s="439"/>
      <c r="NVH12" s="439"/>
      <c r="NVI12" s="439"/>
      <c r="NVJ12" s="439"/>
      <c r="NVK12" s="439"/>
      <c r="NVL12" s="439"/>
      <c r="NVM12" s="439"/>
      <c r="NVN12" s="439"/>
      <c r="NVO12" s="439"/>
      <c r="NVP12" s="439"/>
      <c r="NVQ12" s="439"/>
      <c r="NVR12" s="439"/>
      <c r="NVS12" s="439"/>
      <c r="NVT12" s="439"/>
      <c r="NVU12" s="439"/>
      <c r="NVV12" s="439"/>
      <c r="NVW12" s="439"/>
      <c r="NVX12" s="439"/>
      <c r="NVY12" s="439"/>
      <c r="NVZ12" s="439"/>
      <c r="NWA12" s="439"/>
      <c r="NWB12" s="439"/>
      <c r="NWC12" s="439"/>
      <c r="NWD12" s="439"/>
      <c r="NWE12" s="439"/>
      <c r="NWF12" s="439"/>
      <c r="NWG12" s="439"/>
      <c r="NWH12" s="439"/>
      <c r="NWI12" s="439"/>
      <c r="NWJ12" s="439"/>
      <c r="NWK12" s="439"/>
      <c r="NWL12" s="439"/>
      <c r="NWM12" s="439"/>
      <c r="NWN12" s="439"/>
      <c r="NWO12" s="439"/>
      <c r="NWP12" s="439"/>
      <c r="NWQ12" s="439"/>
      <c r="NWR12" s="439"/>
      <c r="NWS12" s="439"/>
      <c r="NWT12" s="439"/>
      <c r="NWU12" s="439"/>
      <c r="NWV12" s="439"/>
      <c r="NWW12" s="439"/>
      <c r="NWX12" s="439"/>
      <c r="NWY12" s="439"/>
      <c r="NWZ12" s="439"/>
      <c r="NXA12" s="439"/>
      <c r="NXB12" s="439"/>
      <c r="NXC12" s="439"/>
      <c r="NXD12" s="439"/>
      <c r="NXE12" s="439"/>
      <c r="NXF12" s="439"/>
      <c r="NXG12" s="439"/>
      <c r="NXH12" s="439"/>
      <c r="NXI12" s="439"/>
      <c r="NXJ12" s="439"/>
      <c r="NXK12" s="439"/>
      <c r="NXL12" s="439"/>
      <c r="NXM12" s="439"/>
      <c r="NXN12" s="439"/>
      <c r="NXO12" s="439"/>
      <c r="NXP12" s="439"/>
      <c r="NXQ12" s="439"/>
      <c r="NXR12" s="439"/>
      <c r="NXS12" s="439"/>
      <c r="NXT12" s="439"/>
      <c r="NXU12" s="439"/>
      <c r="NXV12" s="439"/>
      <c r="NXW12" s="439"/>
      <c r="NXX12" s="439"/>
      <c r="NXY12" s="439"/>
      <c r="NXZ12" s="439"/>
      <c r="NYA12" s="439"/>
      <c r="NYB12" s="439"/>
      <c r="NYC12" s="439"/>
      <c r="NYD12" s="439"/>
      <c r="NYE12" s="439"/>
      <c r="NYF12" s="439"/>
      <c r="NYG12" s="439"/>
      <c r="NYH12" s="439"/>
      <c r="NYI12" s="439"/>
      <c r="NYJ12" s="439"/>
      <c r="NYK12" s="439"/>
      <c r="NYL12" s="439"/>
      <c r="NYM12" s="439"/>
      <c r="NYN12" s="439"/>
      <c r="NYO12" s="439"/>
      <c r="NYP12" s="439"/>
      <c r="NYQ12" s="439"/>
      <c r="NYR12" s="439"/>
      <c r="NYS12" s="439"/>
      <c r="NYT12" s="439"/>
      <c r="NYU12" s="439"/>
      <c r="NYV12" s="439"/>
      <c r="NYW12" s="439"/>
      <c r="NYX12" s="439"/>
      <c r="NYY12" s="439"/>
      <c r="NYZ12" s="439"/>
      <c r="NZA12" s="439"/>
      <c r="NZB12" s="439"/>
      <c r="NZC12" s="439"/>
      <c r="NZD12" s="439"/>
      <c r="NZE12" s="439"/>
      <c r="NZF12" s="439"/>
      <c r="NZG12" s="439"/>
      <c r="NZH12" s="439"/>
      <c r="NZI12" s="439"/>
      <c r="NZJ12" s="439"/>
      <c r="NZK12" s="439"/>
      <c r="NZL12" s="439"/>
      <c r="NZM12" s="439"/>
      <c r="NZN12" s="439"/>
      <c r="NZO12" s="439"/>
      <c r="NZP12" s="439"/>
      <c r="NZQ12" s="439"/>
      <c r="NZR12" s="439"/>
      <c r="NZS12" s="439"/>
      <c r="NZT12" s="439"/>
      <c r="NZU12" s="439"/>
      <c r="NZV12" s="439"/>
      <c r="NZW12" s="439"/>
      <c r="NZX12" s="439"/>
      <c r="NZY12" s="439"/>
      <c r="NZZ12" s="439"/>
      <c r="OAA12" s="439"/>
      <c r="OAB12" s="439"/>
      <c r="OAC12" s="439"/>
      <c r="OAD12" s="439"/>
      <c r="OAE12" s="439"/>
      <c r="OAF12" s="439"/>
      <c r="OAG12" s="439"/>
      <c r="OAH12" s="439"/>
      <c r="OAI12" s="439"/>
      <c r="OAJ12" s="439"/>
      <c r="OAK12" s="439"/>
      <c r="OAL12" s="439"/>
      <c r="OAM12" s="439"/>
      <c r="OAN12" s="439"/>
      <c r="OAO12" s="439"/>
      <c r="OAP12" s="439"/>
      <c r="OAQ12" s="439"/>
      <c r="OAR12" s="439"/>
      <c r="OAS12" s="439"/>
      <c r="OAT12" s="439"/>
      <c r="OAU12" s="439"/>
      <c r="OAV12" s="439"/>
      <c r="OAW12" s="439"/>
      <c r="OAX12" s="439"/>
      <c r="OAY12" s="439"/>
      <c r="OAZ12" s="439"/>
      <c r="OBA12" s="439"/>
      <c r="OBB12" s="439"/>
      <c r="OBC12" s="439"/>
      <c r="OBD12" s="439"/>
      <c r="OBE12" s="439"/>
      <c r="OBF12" s="439"/>
      <c r="OBG12" s="439"/>
      <c r="OBH12" s="439"/>
      <c r="OBI12" s="439"/>
      <c r="OBJ12" s="439"/>
      <c r="OBK12" s="439"/>
      <c r="OBL12" s="439"/>
      <c r="OBM12" s="439"/>
      <c r="OBN12" s="439"/>
      <c r="OBO12" s="439"/>
      <c r="OBP12" s="439"/>
      <c r="OBQ12" s="439"/>
      <c r="OBR12" s="439"/>
      <c r="OBS12" s="439"/>
      <c r="OBT12" s="439"/>
      <c r="OBU12" s="439"/>
      <c r="OBV12" s="439"/>
      <c r="OBW12" s="439"/>
      <c r="OBX12" s="439"/>
      <c r="OBY12" s="439"/>
      <c r="OBZ12" s="439"/>
      <c r="OCA12" s="439"/>
      <c r="OCB12" s="439"/>
      <c r="OCC12" s="439"/>
      <c r="OCD12" s="439"/>
      <c r="OCE12" s="439"/>
      <c r="OCF12" s="439"/>
      <c r="OCG12" s="439"/>
      <c r="OCH12" s="439"/>
      <c r="OCI12" s="439"/>
      <c r="OCJ12" s="439"/>
      <c r="OCK12" s="439"/>
      <c r="OCL12" s="439"/>
      <c r="OCM12" s="439"/>
      <c r="OCN12" s="439"/>
      <c r="OCO12" s="439"/>
      <c r="OCP12" s="439"/>
      <c r="OCQ12" s="439"/>
      <c r="OCR12" s="439"/>
      <c r="OCS12" s="439"/>
      <c r="OCT12" s="439"/>
      <c r="OCU12" s="439"/>
      <c r="OCV12" s="439"/>
      <c r="OCW12" s="439"/>
      <c r="OCX12" s="439"/>
      <c r="OCY12" s="439"/>
      <c r="OCZ12" s="439"/>
      <c r="ODA12" s="439"/>
      <c r="ODB12" s="439"/>
      <c r="ODC12" s="439"/>
      <c r="ODD12" s="439"/>
      <c r="ODE12" s="439"/>
      <c r="ODF12" s="439"/>
      <c r="ODG12" s="439"/>
      <c r="ODH12" s="439"/>
      <c r="ODI12" s="439"/>
      <c r="ODJ12" s="439"/>
      <c r="ODK12" s="439"/>
      <c r="ODL12" s="439"/>
      <c r="ODM12" s="439"/>
      <c r="ODN12" s="439"/>
      <c r="ODO12" s="439"/>
      <c r="ODP12" s="439"/>
      <c r="ODQ12" s="439"/>
      <c r="ODR12" s="439"/>
      <c r="ODS12" s="439"/>
      <c r="ODT12" s="439"/>
      <c r="ODU12" s="439"/>
      <c r="ODV12" s="439"/>
      <c r="ODW12" s="439"/>
      <c r="ODX12" s="439"/>
      <c r="ODY12" s="439"/>
      <c r="ODZ12" s="439"/>
      <c r="OEA12" s="439"/>
      <c r="OEB12" s="439"/>
      <c r="OEC12" s="439"/>
      <c r="OED12" s="439"/>
      <c r="OEE12" s="439"/>
      <c r="OEF12" s="439"/>
      <c r="OEG12" s="439"/>
      <c r="OEH12" s="439"/>
      <c r="OEI12" s="439"/>
      <c r="OEJ12" s="439"/>
      <c r="OEK12" s="439"/>
      <c r="OEL12" s="439"/>
      <c r="OEM12" s="439"/>
      <c r="OEN12" s="439"/>
      <c r="OEO12" s="439"/>
      <c r="OEP12" s="439"/>
      <c r="OEQ12" s="439"/>
      <c r="OER12" s="439"/>
      <c r="OES12" s="439"/>
      <c r="OET12" s="439"/>
      <c r="OEU12" s="439"/>
      <c r="OEV12" s="439"/>
      <c r="OEW12" s="439"/>
      <c r="OEX12" s="439"/>
      <c r="OEY12" s="439"/>
      <c r="OEZ12" s="439"/>
      <c r="OFA12" s="439"/>
      <c r="OFB12" s="439"/>
      <c r="OFC12" s="439"/>
      <c r="OFD12" s="439"/>
      <c r="OFE12" s="439"/>
      <c r="OFF12" s="439"/>
      <c r="OFG12" s="439"/>
      <c r="OFH12" s="439"/>
      <c r="OFI12" s="439"/>
      <c r="OFJ12" s="439"/>
      <c r="OFK12" s="439"/>
      <c r="OFL12" s="439"/>
      <c r="OFM12" s="439"/>
      <c r="OFN12" s="439"/>
      <c r="OFO12" s="439"/>
      <c r="OFP12" s="439"/>
      <c r="OFQ12" s="439"/>
      <c r="OFR12" s="439"/>
      <c r="OFS12" s="439"/>
      <c r="OFT12" s="439"/>
      <c r="OFU12" s="439"/>
      <c r="OFV12" s="439"/>
      <c r="OFW12" s="439"/>
      <c r="OFX12" s="439"/>
      <c r="OFY12" s="439"/>
      <c r="OFZ12" s="439"/>
      <c r="OGA12" s="439"/>
      <c r="OGB12" s="439"/>
      <c r="OGC12" s="439"/>
      <c r="OGD12" s="439"/>
      <c r="OGE12" s="439"/>
      <c r="OGF12" s="439"/>
      <c r="OGG12" s="439"/>
      <c r="OGH12" s="439"/>
      <c r="OGI12" s="439"/>
      <c r="OGJ12" s="439"/>
      <c r="OGK12" s="439"/>
      <c r="OGL12" s="439"/>
      <c r="OGM12" s="439"/>
      <c r="OGN12" s="439"/>
      <c r="OGO12" s="439"/>
      <c r="OGP12" s="439"/>
      <c r="OGQ12" s="439"/>
      <c r="OGR12" s="439"/>
      <c r="OGS12" s="439"/>
      <c r="OGT12" s="439"/>
      <c r="OGU12" s="439"/>
      <c r="OGV12" s="439"/>
      <c r="OGW12" s="439"/>
      <c r="OGX12" s="439"/>
      <c r="OGY12" s="439"/>
      <c r="OGZ12" s="439"/>
      <c r="OHA12" s="439"/>
      <c r="OHB12" s="439"/>
      <c r="OHC12" s="439"/>
      <c r="OHD12" s="439"/>
      <c r="OHE12" s="439"/>
      <c r="OHF12" s="439"/>
      <c r="OHG12" s="439"/>
      <c r="OHH12" s="439"/>
      <c r="OHI12" s="439"/>
      <c r="OHJ12" s="439"/>
      <c r="OHK12" s="439"/>
      <c r="OHL12" s="439"/>
      <c r="OHM12" s="439"/>
      <c r="OHN12" s="439"/>
      <c r="OHO12" s="439"/>
      <c r="OHP12" s="439"/>
      <c r="OHQ12" s="439"/>
      <c r="OHR12" s="439"/>
      <c r="OHS12" s="439"/>
      <c r="OHT12" s="439"/>
      <c r="OHU12" s="439"/>
      <c r="OHV12" s="439"/>
      <c r="OHW12" s="439"/>
      <c r="OHX12" s="439"/>
      <c r="OHY12" s="439"/>
      <c r="OHZ12" s="439"/>
      <c r="OIA12" s="439"/>
      <c r="OIB12" s="439"/>
      <c r="OIC12" s="439"/>
      <c r="OID12" s="439"/>
      <c r="OIE12" s="439"/>
      <c r="OIF12" s="439"/>
      <c r="OIG12" s="439"/>
      <c r="OIH12" s="439"/>
      <c r="OII12" s="439"/>
      <c r="OIJ12" s="439"/>
      <c r="OIK12" s="439"/>
      <c r="OIL12" s="439"/>
      <c r="OIM12" s="439"/>
      <c r="OIN12" s="439"/>
      <c r="OIO12" s="439"/>
      <c r="OIP12" s="439"/>
      <c r="OIQ12" s="439"/>
      <c r="OIR12" s="439"/>
      <c r="OIS12" s="439"/>
      <c r="OIT12" s="439"/>
      <c r="OIU12" s="439"/>
      <c r="OIV12" s="439"/>
      <c r="OIW12" s="439"/>
      <c r="OIX12" s="439"/>
      <c r="OIY12" s="439"/>
      <c r="OIZ12" s="439"/>
      <c r="OJA12" s="439"/>
      <c r="OJB12" s="439"/>
      <c r="OJC12" s="439"/>
      <c r="OJD12" s="439"/>
      <c r="OJE12" s="439"/>
      <c r="OJF12" s="439"/>
      <c r="OJG12" s="439"/>
      <c r="OJH12" s="439"/>
      <c r="OJI12" s="439"/>
      <c r="OJJ12" s="439"/>
      <c r="OJK12" s="439"/>
      <c r="OJL12" s="439"/>
      <c r="OJM12" s="439"/>
      <c r="OJN12" s="439"/>
      <c r="OJO12" s="439"/>
      <c r="OJP12" s="439"/>
      <c r="OJQ12" s="439"/>
      <c r="OJR12" s="439"/>
      <c r="OJS12" s="439"/>
      <c r="OJT12" s="439"/>
      <c r="OJU12" s="439"/>
      <c r="OJV12" s="439"/>
      <c r="OJW12" s="439"/>
      <c r="OJX12" s="439"/>
      <c r="OJY12" s="439"/>
      <c r="OJZ12" s="439"/>
      <c r="OKA12" s="439"/>
      <c r="OKB12" s="439"/>
      <c r="OKC12" s="439"/>
      <c r="OKD12" s="439"/>
      <c r="OKE12" s="439"/>
      <c r="OKF12" s="439"/>
      <c r="OKG12" s="439"/>
      <c r="OKH12" s="439"/>
      <c r="OKI12" s="439"/>
      <c r="OKJ12" s="439"/>
      <c r="OKK12" s="439"/>
      <c r="OKL12" s="439"/>
      <c r="OKM12" s="439"/>
      <c r="OKN12" s="439"/>
      <c r="OKO12" s="439"/>
      <c r="OKP12" s="439"/>
      <c r="OKQ12" s="439"/>
      <c r="OKR12" s="439"/>
      <c r="OKS12" s="439"/>
      <c r="OKT12" s="439"/>
      <c r="OKU12" s="439"/>
      <c r="OKV12" s="439"/>
      <c r="OKW12" s="439"/>
      <c r="OKX12" s="439"/>
      <c r="OKY12" s="439"/>
      <c r="OKZ12" s="439"/>
      <c r="OLA12" s="439"/>
      <c r="OLB12" s="439"/>
      <c r="OLC12" s="439"/>
      <c r="OLD12" s="439"/>
      <c r="OLE12" s="439"/>
      <c r="OLF12" s="439"/>
      <c r="OLG12" s="439"/>
      <c r="OLH12" s="439"/>
      <c r="OLI12" s="439"/>
      <c r="OLJ12" s="439"/>
      <c r="OLK12" s="439"/>
      <c r="OLL12" s="439"/>
      <c r="OLM12" s="439"/>
      <c r="OLN12" s="439"/>
      <c r="OLO12" s="439"/>
      <c r="OLP12" s="439"/>
      <c r="OLQ12" s="439"/>
      <c r="OLR12" s="439"/>
      <c r="OLS12" s="439"/>
      <c r="OLT12" s="439"/>
      <c r="OLU12" s="439"/>
      <c r="OLV12" s="439"/>
      <c r="OLW12" s="439"/>
      <c r="OLX12" s="439"/>
      <c r="OLY12" s="439"/>
      <c r="OLZ12" s="439"/>
      <c r="OMA12" s="439"/>
      <c r="OMB12" s="439"/>
      <c r="OMC12" s="439"/>
      <c r="OMD12" s="439"/>
      <c r="OME12" s="439"/>
      <c r="OMF12" s="439"/>
      <c r="OMG12" s="439"/>
      <c r="OMH12" s="439"/>
      <c r="OMI12" s="439"/>
      <c r="OMJ12" s="439"/>
      <c r="OMK12" s="439"/>
      <c r="OML12" s="439"/>
      <c r="OMM12" s="439"/>
      <c r="OMN12" s="439"/>
      <c r="OMO12" s="439"/>
      <c r="OMP12" s="439"/>
      <c r="OMQ12" s="439"/>
      <c r="OMR12" s="439"/>
      <c r="OMS12" s="439"/>
      <c r="OMT12" s="439"/>
      <c r="OMU12" s="439"/>
      <c r="OMV12" s="439"/>
      <c r="OMW12" s="439"/>
      <c r="OMX12" s="439"/>
      <c r="OMY12" s="439"/>
      <c r="OMZ12" s="439"/>
      <c r="ONA12" s="439"/>
      <c r="ONB12" s="439"/>
      <c r="ONC12" s="439"/>
      <c r="OND12" s="439"/>
      <c r="ONE12" s="439"/>
      <c r="ONF12" s="439"/>
      <c r="ONG12" s="439"/>
      <c r="ONH12" s="439"/>
      <c r="ONI12" s="439"/>
      <c r="ONJ12" s="439"/>
      <c r="ONK12" s="439"/>
      <c r="ONL12" s="439"/>
      <c r="ONM12" s="439"/>
      <c r="ONN12" s="439"/>
      <c r="ONO12" s="439"/>
      <c r="ONP12" s="439"/>
      <c r="ONQ12" s="439"/>
      <c r="ONR12" s="439"/>
      <c r="ONS12" s="439"/>
      <c r="ONT12" s="439"/>
      <c r="ONU12" s="439"/>
      <c r="ONV12" s="439"/>
      <c r="ONW12" s="439"/>
      <c r="ONX12" s="439"/>
      <c r="ONY12" s="439"/>
      <c r="ONZ12" s="439"/>
      <c r="OOA12" s="439"/>
      <c r="OOB12" s="439"/>
      <c r="OOC12" s="439"/>
      <c r="OOD12" s="439"/>
      <c r="OOE12" s="439"/>
      <c r="OOF12" s="439"/>
      <c r="OOG12" s="439"/>
      <c r="OOH12" s="439"/>
      <c r="OOI12" s="439"/>
      <c r="OOJ12" s="439"/>
      <c r="OOK12" s="439"/>
      <c r="OOL12" s="439"/>
      <c r="OOM12" s="439"/>
      <c r="OON12" s="439"/>
      <c r="OOO12" s="439"/>
      <c r="OOP12" s="439"/>
      <c r="OOQ12" s="439"/>
      <c r="OOR12" s="439"/>
      <c r="OOS12" s="439"/>
      <c r="OOT12" s="439"/>
      <c r="OOU12" s="439"/>
      <c r="OOV12" s="439"/>
      <c r="OOW12" s="439"/>
      <c r="OOX12" s="439"/>
      <c r="OOY12" s="439"/>
      <c r="OOZ12" s="439"/>
      <c r="OPA12" s="439"/>
      <c r="OPB12" s="439"/>
      <c r="OPC12" s="439"/>
      <c r="OPD12" s="439"/>
      <c r="OPE12" s="439"/>
      <c r="OPF12" s="439"/>
      <c r="OPG12" s="439"/>
      <c r="OPH12" s="439"/>
      <c r="OPI12" s="439"/>
      <c r="OPJ12" s="439"/>
      <c r="OPK12" s="439"/>
      <c r="OPL12" s="439"/>
      <c r="OPM12" s="439"/>
      <c r="OPN12" s="439"/>
      <c r="OPO12" s="439"/>
      <c r="OPP12" s="439"/>
      <c r="OPQ12" s="439"/>
      <c r="OPR12" s="439"/>
      <c r="OPS12" s="439"/>
      <c r="OPT12" s="439"/>
      <c r="OPU12" s="439"/>
      <c r="OPV12" s="439"/>
      <c r="OPW12" s="439"/>
      <c r="OPX12" s="439"/>
      <c r="OPY12" s="439"/>
      <c r="OPZ12" s="439"/>
      <c r="OQA12" s="439"/>
      <c r="OQB12" s="439"/>
      <c r="OQC12" s="439"/>
      <c r="OQD12" s="439"/>
      <c r="OQE12" s="439"/>
      <c r="OQF12" s="439"/>
      <c r="OQG12" s="439"/>
      <c r="OQH12" s="439"/>
      <c r="OQI12" s="439"/>
      <c r="OQJ12" s="439"/>
      <c r="OQK12" s="439"/>
      <c r="OQL12" s="439"/>
      <c r="OQM12" s="439"/>
      <c r="OQN12" s="439"/>
      <c r="OQO12" s="439"/>
      <c r="OQP12" s="439"/>
      <c r="OQQ12" s="439"/>
      <c r="OQR12" s="439"/>
      <c r="OQS12" s="439"/>
      <c r="OQT12" s="439"/>
      <c r="OQU12" s="439"/>
      <c r="OQV12" s="439"/>
      <c r="OQW12" s="439"/>
      <c r="OQX12" s="439"/>
      <c r="OQY12" s="439"/>
      <c r="OQZ12" s="439"/>
      <c r="ORA12" s="439"/>
      <c r="ORB12" s="439"/>
      <c r="ORC12" s="439"/>
      <c r="ORD12" s="439"/>
      <c r="ORE12" s="439"/>
      <c r="ORF12" s="439"/>
      <c r="ORG12" s="439"/>
      <c r="ORH12" s="439"/>
      <c r="ORI12" s="439"/>
      <c r="ORJ12" s="439"/>
      <c r="ORK12" s="439"/>
      <c r="ORL12" s="439"/>
      <c r="ORM12" s="439"/>
      <c r="ORN12" s="439"/>
      <c r="ORO12" s="439"/>
      <c r="ORP12" s="439"/>
      <c r="ORQ12" s="439"/>
      <c r="ORR12" s="439"/>
      <c r="ORS12" s="439"/>
      <c r="ORT12" s="439"/>
      <c r="ORU12" s="439"/>
      <c r="ORV12" s="439"/>
      <c r="ORW12" s="439"/>
      <c r="ORX12" s="439"/>
      <c r="ORY12" s="439"/>
      <c r="ORZ12" s="439"/>
      <c r="OSA12" s="439"/>
      <c r="OSB12" s="439"/>
      <c r="OSC12" s="439"/>
      <c r="OSD12" s="439"/>
      <c r="OSE12" s="439"/>
      <c r="OSF12" s="439"/>
      <c r="OSG12" s="439"/>
      <c r="OSH12" s="439"/>
      <c r="OSI12" s="439"/>
      <c r="OSJ12" s="439"/>
      <c r="OSK12" s="439"/>
      <c r="OSL12" s="439"/>
      <c r="OSM12" s="439"/>
      <c r="OSN12" s="439"/>
      <c r="OSO12" s="439"/>
      <c r="OSP12" s="439"/>
      <c r="OSQ12" s="439"/>
      <c r="OSR12" s="439"/>
      <c r="OSS12" s="439"/>
      <c r="OST12" s="439"/>
      <c r="OSU12" s="439"/>
      <c r="OSV12" s="439"/>
      <c r="OSW12" s="439"/>
      <c r="OSX12" s="439"/>
      <c r="OSY12" s="439"/>
      <c r="OSZ12" s="439"/>
      <c r="OTA12" s="439"/>
      <c r="OTB12" s="439"/>
      <c r="OTC12" s="439"/>
      <c r="OTD12" s="439"/>
      <c r="OTE12" s="439"/>
      <c r="OTF12" s="439"/>
      <c r="OTG12" s="439"/>
      <c r="OTH12" s="439"/>
      <c r="OTI12" s="439"/>
      <c r="OTJ12" s="439"/>
      <c r="OTK12" s="439"/>
      <c r="OTL12" s="439"/>
      <c r="OTM12" s="439"/>
      <c r="OTN12" s="439"/>
      <c r="OTO12" s="439"/>
      <c r="OTP12" s="439"/>
      <c r="OTQ12" s="439"/>
      <c r="OTR12" s="439"/>
      <c r="OTS12" s="439"/>
      <c r="OTT12" s="439"/>
      <c r="OTU12" s="439"/>
      <c r="OTV12" s="439"/>
      <c r="OTW12" s="439"/>
      <c r="OTX12" s="439"/>
      <c r="OTY12" s="439"/>
      <c r="OTZ12" s="439"/>
      <c r="OUA12" s="439"/>
      <c r="OUB12" s="439"/>
      <c r="OUC12" s="439"/>
      <c r="OUD12" s="439"/>
      <c r="OUE12" s="439"/>
      <c r="OUF12" s="439"/>
      <c r="OUG12" s="439"/>
      <c r="OUH12" s="439"/>
      <c r="OUI12" s="439"/>
      <c r="OUJ12" s="439"/>
      <c r="OUK12" s="439"/>
      <c r="OUL12" s="439"/>
      <c r="OUM12" s="439"/>
      <c r="OUN12" s="439"/>
      <c r="OUO12" s="439"/>
      <c r="OUP12" s="439"/>
      <c r="OUQ12" s="439"/>
      <c r="OUR12" s="439"/>
      <c r="OUS12" s="439"/>
      <c r="OUT12" s="439"/>
      <c r="OUU12" s="439"/>
      <c r="OUV12" s="439"/>
      <c r="OUW12" s="439"/>
      <c r="OUX12" s="439"/>
      <c r="OUY12" s="439"/>
      <c r="OUZ12" s="439"/>
      <c r="OVA12" s="439"/>
      <c r="OVB12" s="439"/>
      <c r="OVC12" s="439"/>
      <c r="OVD12" s="439"/>
      <c r="OVE12" s="439"/>
      <c r="OVF12" s="439"/>
      <c r="OVG12" s="439"/>
      <c r="OVH12" s="439"/>
      <c r="OVI12" s="439"/>
      <c r="OVJ12" s="439"/>
      <c r="OVK12" s="439"/>
      <c r="OVL12" s="439"/>
      <c r="OVM12" s="439"/>
      <c r="OVN12" s="439"/>
      <c r="OVO12" s="439"/>
      <c r="OVP12" s="439"/>
      <c r="OVQ12" s="439"/>
      <c r="OVR12" s="439"/>
      <c r="OVS12" s="439"/>
      <c r="OVT12" s="439"/>
      <c r="OVU12" s="439"/>
      <c r="OVV12" s="439"/>
      <c r="OVW12" s="439"/>
      <c r="OVX12" s="439"/>
      <c r="OVY12" s="439"/>
      <c r="OVZ12" s="439"/>
      <c r="OWA12" s="439"/>
      <c r="OWB12" s="439"/>
      <c r="OWC12" s="439"/>
      <c r="OWD12" s="439"/>
      <c r="OWE12" s="439"/>
      <c r="OWF12" s="439"/>
      <c r="OWG12" s="439"/>
      <c r="OWH12" s="439"/>
      <c r="OWI12" s="439"/>
      <c r="OWJ12" s="439"/>
      <c r="OWK12" s="439"/>
      <c r="OWL12" s="439"/>
      <c r="OWM12" s="439"/>
      <c r="OWN12" s="439"/>
      <c r="OWO12" s="439"/>
      <c r="OWP12" s="439"/>
      <c r="OWQ12" s="439"/>
      <c r="OWR12" s="439"/>
      <c r="OWS12" s="439"/>
      <c r="OWT12" s="439"/>
      <c r="OWU12" s="439"/>
      <c r="OWV12" s="439"/>
      <c r="OWW12" s="439"/>
      <c r="OWX12" s="439"/>
      <c r="OWY12" s="439"/>
      <c r="OWZ12" s="439"/>
      <c r="OXA12" s="439"/>
      <c r="OXB12" s="439"/>
      <c r="OXC12" s="439"/>
      <c r="OXD12" s="439"/>
      <c r="OXE12" s="439"/>
      <c r="OXF12" s="439"/>
      <c r="OXG12" s="439"/>
      <c r="OXH12" s="439"/>
      <c r="OXI12" s="439"/>
      <c r="OXJ12" s="439"/>
      <c r="OXK12" s="439"/>
      <c r="OXL12" s="439"/>
      <c r="OXM12" s="439"/>
      <c r="OXN12" s="439"/>
      <c r="OXO12" s="439"/>
      <c r="OXP12" s="439"/>
      <c r="OXQ12" s="439"/>
      <c r="OXR12" s="439"/>
      <c r="OXS12" s="439"/>
      <c r="OXT12" s="439"/>
      <c r="OXU12" s="439"/>
      <c r="OXV12" s="439"/>
      <c r="OXW12" s="439"/>
      <c r="OXX12" s="439"/>
      <c r="OXY12" s="439"/>
      <c r="OXZ12" s="439"/>
      <c r="OYA12" s="439"/>
      <c r="OYB12" s="439"/>
      <c r="OYC12" s="439"/>
      <c r="OYD12" s="439"/>
      <c r="OYE12" s="439"/>
      <c r="OYF12" s="439"/>
      <c r="OYG12" s="439"/>
      <c r="OYH12" s="439"/>
      <c r="OYI12" s="439"/>
      <c r="OYJ12" s="439"/>
      <c r="OYK12" s="439"/>
      <c r="OYL12" s="439"/>
      <c r="OYM12" s="439"/>
      <c r="OYN12" s="439"/>
      <c r="OYO12" s="439"/>
      <c r="OYP12" s="439"/>
      <c r="OYQ12" s="439"/>
      <c r="OYR12" s="439"/>
      <c r="OYS12" s="439"/>
      <c r="OYT12" s="439"/>
      <c r="OYU12" s="439"/>
      <c r="OYV12" s="439"/>
      <c r="OYW12" s="439"/>
      <c r="OYX12" s="439"/>
      <c r="OYY12" s="439"/>
      <c r="OYZ12" s="439"/>
      <c r="OZA12" s="439"/>
      <c r="OZB12" s="439"/>
      <c r="OZC12" s="439"/>
      <c r="OZD12" s="439"/>
      <c r="OZE12" s="439"/>
      <c r="OZF12" s="439"/>
      <c r="OZG12" s="439"/>
      <c r="OZH12" s="439"/>
      <c r="OZI12" s="439"/>
      <c r="OZJ12" s="439"/>
      <c r="OZK12" s="439"/>
      <c r="OZL12" s="439"/>
      <c r="OZM12" s="439"/>
      <c r="OZN12" s="439"/>
      <c r="OZO12" s="439"/>
      <c r="OZP12" s="439"/>
      <c r="OZQ12" s="439"/>
      <c r="OZR12" s="439"/>
      <c r="OZS12" s="439"/>
      <c r="OZT12" s="439"/>
      <c r="OZU12" s="439"/>
      <c r="OZV12" s="439"/>
      <c r="OZW12" s="439"/>
      <c r="OZX12" s="439"/>
      <c r="OZY12" s="439"/>
      <c r="OZZ12" s="439"/>
      <c r="PAA12" s="439"/>
      <c r="PAB12" s="439"/>
      <c r="PAC12" s="439"/>
      <c r="PAD12" s="439"/>
      <c r="PAE12" s="439"/>
      <c r="PAF12" s="439"/>
      <c r="PAG12" s="439"/>
      <c r="PAH12" s="439"/>
      <c r="PAI12" s="439"/>
      <c r="PAJ12" s="439"/>
      <c r="PAK12" s="439"/>
      <c r="PAL12" s="439"/>
      <c r="PAM12" s="439"/>
      <c r="PAN12" s="439"/>
      <c r="PAO12" s="439"/>
      <c r="PAP12" s="439"/>
      <c r="PAQ12" s="439"/>
      <c r="PAR12" s="439"/>
      <c r="PAS12" s="439"/>
      <c r="PAT12" s="439"/>
      <c r="PAU12" s="439"/>
      <c r="PAV12" s="439"/>
      <c r="PAW12" s="439"/>
      <c r="PAX12" s="439"/>
      <c r="PAY12" s="439"/>
      <c r="PAZ12" s="439"/>
      <c r="PBA12" s="439"/>
      <c r="PBB12" s="439"/>
      <c r="PBC12" s="439"/>
      <c r="PBD12" s="439"/>
      <c r="PBE12" s="439"/>
      <c r="PBF12" s="439"/>
      <c r="PBG12" s="439"/>
      <c r="PBH12" s="439"/>
      <c r="PBI12" s="439"/>
      <c r="PBJ12" s="439"/>
      <c r="PBK12" s="439"/>
      <c r="PBL12" s="439"/>
      <c r="PBM12" s="439"/>
      <c r="PBN12" s="439"/>
      <c r="PBO12" s="439"/>
      <c r="PBP12" s="439"/>
      <c r="PBQ12" s="439"/>
      <c r="PBR12" s="439"/>
      <c r="PBS12" s="439"/>
      <c r="PBT12" s="439"/>
      <c r="PBU12" s="439"/>
      <c r="PBV12" s="439"/>
      <c r="PBW12" s="439"/>
      <c r="PBX12" s="439"/>
      <c r="PBY12" s="439"/>
      <c r="PBZ12" s="439"/>
      <c r="PCA12" s="439"/>
      <c r="PCB12" s="439"/>
      <c r="PCC12" s="439"/>
      <c r="PCD12" s="439"/>
      <c r="PCE12" s="439"/>
      <c r="PCF12" s="439"/>
      <c r="PCG12" s="439"/>
      <c r="PCH12" s="439"/>
      <c r="PCI12" s="439"/>
      <c r="PCJ12" s="439"/>
      <c r="PCK12" s="439"/>
      <c r="PCL12" s="439"/>
      <c r="PCM12" s="439"/>
      <c r="PCN12" s="439"/>
      <c r="PCO12" s="439"/>
      <c r="PCP12" s="439"/>
      <c r="PCQ12" s="439"/>
      <c r="PCR12" s="439"/>
      <c r="PCS12" s="439"/>
      <c r="PCT12" s="439"/>
      <c r="PCU12" s="439"/>
      <c r="PCV12" s="439"/>
      <c r="PCW12" s="439"/>
      <c r="PCX12" s="439"/>
      <c r="PCY12" s="439"/>
      <c r="PCZ12" s="439"/>
      <c r="PDA12" s="439"/>
      <c r="PDB12" s="439"/>
      <c r="PDC12" s="439"/>
      <c r="PDD12" s="439"/>
      <c r="PDE12" s="439"/>
      <c r="PDF12" s="439"/>
      <c r="PDG12" s="439"/>
      <c r="PDH12" s="439"/>
      <c r="PDI12" s="439"/>
      <c r="PDJ12" s="439"/>
      <c r="PDK12" s="439"/>
      <c r="PDL12" s="439"/>
      <c r="PDM12" s="439"/>
      <c r="PDN12" s="439"/>
      <c r="PDO12" s="439"/>
      <c r="PDP12" s="439"/>
      <c r="PDQ12" s="439"/>
      <c r="PDR12" s="439"/>
      <c r="PDS12" s="439"/>
      <c r="PDT12" s="439"/>
      <c r="PDU12" s="439"/>
      <c r="PDV12" s="439"/>
      <c r="PDW12" s="439"/>
      <c r="PDX12" s="439"/>
      <c r="PDY12" s="439"/>
      <c r="PDZ12" s="439"/>
      <c r="PEA12" s="439"/>
      <c r="PEB12" s="439"/>
      <c r="PEC12" s="439"/>
      <c r="PED12" s="439"/>
      <c r="PEE12" s="439"/>
      <c r="PEF12" s="439"/>
      <c r="PEG12" s="439"/>
      <c r="PEH12" s="439"/>
      <c r="PEI12" s="439"/>
      <c r="PEJ12" s="439"/>
      <c r="PEK12" s="439"/>
      <c r="PEL12" s="439"/>
      <c r="PEM12" s="439"/>
      <c r="PEN12" s="439"/>
      <c r="PEO12" s="439"/>
      <c r="PEP12" s="439"/>
      <c r="PEQ12" s="439"/>
      <c r="PER12" s="439"/>
      <c r="PES12" s="439"/>
      <c r="PET12" s="439"/>
      <c r="PEU12" s="439"/>
      <c r="PEV12" s="439"/>
      <c r="PEW12" s="439"/>
      <c r="PEX12" s="439"/>
      <c r="PEY12" s="439"/>
      <c r="PEZ12" s="439"/>
      <c r="PFA12" s="439"/>
      <c r="PFB12" s="439"/>
      <c r="PFC12" s="439"/>
      <c r="PFD12" s="439"/>
      <c r="PFE12" s="439"/>
      <c r="PFF12" s="439"/>
      <c r="PFG12" s="439"/>
      <c r="PFH12" s="439"/>
      <c r="PFI12" s="439"/>
      <c r="PFJ12" s="439"/>
      <c r="PFK12" s="439"/>
      <c r="PFL12" s="439"/>
      <c r="PFM12" s="439"/>
      <c r="PFN12" s="439"/>
      <c r="PFO12" s="439"/>
      <c r="PFP12" s="439"/>
      <c r="PFQ12" s="439"/>
      <c r="PFR12" s="439"/>
      <c r="PFS12" s="439"/>
      <c r="PFT12" s="439"/>
      <c r="PFU12" s="439"/>
      <c r="PFV12" s="439"/>
      <c r="PFW12" s="439"/>
      <c r="PFX12" s="439"/>
      <c r="PFY12" s="439"/>
      <c r="PFZ12" s="439"/>
      <c r="PGA12" s="439"/>
      <c r="PGB12" s="439"/>
      <c r="PGC12" s="439"/>
      <c r="PGD12" s="439"/>
      <c r="PGE12" s="439"/>
      <c r="PGF12" s="439"/>
      <c r="PGG12" s="439"/>
      <c r="PGH12" s="439"/>
      <c r="PGI12" s="439"/>
      <c r="PGJ12" s="439"/>
      <c r="PGK12" s="439"/>
      <c r="PGL12" s="439"/>
      <c r="PGM12" s="439"/>
      <c r="PGN12" s="439"/>
      <c r="PGO12" s="439"/>
      <c r="PGP12" s="439"/>
      <c r="PGQ12" s="439"/>
      <c r="PGR12" s="439"/>
      <c r="PGS12" s="439"/>
      <c r="PGT12" s="439"/>
      <c r="PGU12" s="439"/>
      <c r="PGV12" s="439"/>
      <c r="PGW12" s="439"/>
      <c r="PGX12" s="439"/>
      <c r="PGY12" s="439"/>
      <c r="PGZ12" s="439"/>
      <c r="PHA12" s="439"/>
      <c r="PHB12" s="439"/>
      <c r="PHC12" s="439"/>
      <c r="PHD12" s="439"/>
      <c r="PHE12" s="439"/>
      <c r="PHF12" s="439"/>
      <c r="PHG12" s="439"/>
      <c r="PHH12" s="439"/>
      <c r="PHI12" s="439"/>
      <c r="PHJ12" s="439"/>
      <c r="PHK12" s="439"/>
      <c r="PHL12" s="439"/>
      <c r="PHM12" s="439"/>
      <c r="PHN12" s="439"/>
      <c r="PHO12" s="439"/>
      <c r="PHP12" s="439"/>
      <c r="PHQ12" s="439"/>
      <c r="PHR12" s="439"/>
      <c r="PHS12" s="439"/>
      <c r="PHT12" s="439"/>
      <c r="PHU12" s="439"/>
      <c r="PHV12" s="439"/>
      <c r="PHW12" s="439"/>
      <c r="PHX12" s="439"/>
      <c r="PHY12" s="439"/>
      <c r="PHZ12" s="439"/>
      <c r="PIA12" s="439"/>
      <c r="PIB12" s="439"/>
      <c r="PIC12" s="439"/>
      <c r="PID12" s="439"/>
      <c r="PIE12" s="439"/>
      <c r="PIF12" s="439"/>
      <c r="PIG12" s="439"/>
      <c r="PIH12" s="439"/>
      <c r="PII12" s="439"/>
      <c r="PIJ12" s="439"/>
      <c r="PIK12" s="439"/>
      <c r="PIL12" s="439"/>
      <c r="PIM12" s="439"/>
      <c r="PIN12" s="439"/>
      <c r="PIO12" s="439"/>
      <c r="PIP12" s="439"/>
      <c r="PIQ12" s="439"/>
      <c r="PIR12" s="439"/>
      <c r="PIS12" s="439"/>
      <c r="PIT12" s="439"/>
      <c r="PIU12" s="439"/>
      <c r="PIV12" s="439"/>
      <c r="PIW12" s="439"/>
      <c r="PIX12" s="439"/>
      <c r="PIY12" s="439"/>
      <c r="PIZ12" s="439"/>
      <c r="PJA12" s="439"/>
      <c r="PJB12" s="439"/>
      <c r="PJC12" s="439"/>
      <c r="PJD12" s="439"/>
      <c r="PJE12" s="439"/>
      <c r="PJF12" s="439"/>
      <c r="PJG12" s="439"/>
      <c r="PJH12" s="439"/>
      <c r="PJI12" s="439"/>
      <c r="PJJ12" s="439"/>
      <c r="PJK12" s="439"/>
      <c r="PJL12" s="439"/>
      <c r="PJM12" s="439"/>
      <c r="PJN12" s="439"/>
      <c r="PJO12" s="439"/>
      <c r="PJP12" s="439"/>
      <c r="PJQ12" s="439"/>
      <c r="PJR12" s="439"/>
      <c r="PJS12" s="439"/>
      <c r="PJT12" s="439"/>
      <c r="PJU12" s="439"/>
      <c r="PJV12" s="439"/>
      <c r="PJW12" s="439"/>
      <c r="PJX12" s="439"/>
      <c r="PJY12" s="439"/>
      <c r="PJZ12" s="439"/>
      <c r="PKA12" s="439"/>
      <c r="PKB12" s="439"/>
      <c r="PKC12" s="439"/>
      <c r="PKD12" s="439"/>
      <c r="PKE12" s="439"/>
      <c r="PKF12" s="439"/>
      <c r="PKG12" s="439"/>
      <c r="PKH12" s="439"/>
      <c r="PKI12" s="439"/>
      <c r="PKJ12" s="439"/>
      <c r="PKK12" s="439"/>
      <c r="PKL12" s="439"/>
      <c r="PKM12" s="439"/>
      <c r="PKN12" s="439"/>
      <c r="PKO12" s="439"/>
      <c r="PKP12" s="439"/>
      <c r="PKQ12" s="439"/>
      <c r="PKR12" s="439"/>
      <c r="PKS12" s="439"/>
      <c r="PKT12" s="439"/>
      <c r="PKU12" s="439"/>
      <c r="PKV12" s="439"/>
      <c r="PKW12" s="439"/>
      <c r="PKX12" s="439"/>
      <c r="PKY12" s="439"/>
      <c r="PKZ12" s="439"/>
      <c r="PLA12" s="439"/>
      <c r="PLB12" s="439"/>
      <c r="PLC12" s="439"/>
      <c r="PLD12" s="439"/>
      <c r="PLE12" s="439"/>
      <c r="PLF12" s="439"/>
      <c r="PLG12" s="439"/>
      <c r="PLH12" s="439"/>
      <c r="PLI12" s="439"/>
      <c r="PLJ12" s="439"/>
      <c r="PLK12" s="439"/>
      <c r="PLL12" s="439"/>
      <c r="PLM12" s="439"/>
      <c r="PLN12" s="439"/>
      <c r="PLO12" s="439"/>
      <c r="PLP12" s="439"/>
      <c r="PLQ12" s="439"/>
      <c r="PLR12" s="439"/>
      <c r="PLS12" s="439"/>
      <c r="PLT12" s="439"/>
      <c r="PLU12" s="439"/>
      <c r="PLV12" s="439"/>
      <c r="PLW12" s="439"/>
      <c r="PLX12" s="439"/>
      <c r="PLY12" s="439"/>
      <c r="PLZ12" s="439"/>
      <c r="PMA12" s="439"/>
      <c r="PMB12" s="439"/>
      <c r="PMC12" s="439"/>
      <c r="PMD12" s="439"/>
      <c r="PME12" s="439"/>
      <c r="PMF12" s="439"/>
      <c r="PMG12" s="439"/>
      <c r="PMH12" s="439"/>
      <c r="PMI12" s="439"/>
      <c r="PMJ12" s="439"/>
      <c r="PMK12" s="439"/>
      <c r="PML12" s="439"/>
      <c r="PMM12" s="439"/>
      <c r="PMN12" s="439"/>
      <c r="PMO12" s="439"/>
      <c r="PMP12" s="439"/>
      <c r="PMQ12" s="439"/>
      <c r="PMR12" s="439"/>
      <c r="PMS12" s="439"/>
      <c r="PMT12" s="439"/>
      <c r="PMU12" s="439"/>
      <c r="PMV12" s="439"/>
      <c r="PMW12" s="439"/>
      <c r="PMX12" s="439"/>
      <c r="PMY12" s="439"/>
      <c r="PMZ12" s="439"/>
      <c r="PNA12" s="439"/>
      <c r="PNB12" s="439"/>
      <c r="PNC12" s="439"/>
      <c r="PND12" s="439"/>
      <c r="PNE12" s="439"/>
      <c r="PNF12" s="439"/>
      <c r="PNG12" s="439"/>
      <c r="PNH12" s="439"/>
      <c r="PNI12" s="439"/>
      <c r="PNJ12" s="439"/>
      <c r="PNK12" s="439"/>
      <c r="PNL12" s="439"/>
      <c r="PNM12" s="439"/>
      <c r="PNN12" s="439"/>
      <c r="PNO12" s="439"/>
      <c r="PNP12" s="439"/>
      <c r="PNQ12" s="439"/>
      <c r="PNR12" s="439"/>
      <c r="PNS12" s="439"/>
      <c r="PNT12" s="439"/>
      <c r="PNU12" s="439"/>
      <c r="PNV12" s="439"/>
      <c r="PNW12" s="439"/>
      <c r="PNX12" s="439"/>
      <c r="PNY12" s="439"/>
      <c r="PNZ12" s="439"/>
      <c r="POA12" s="439"/>
      <c r="POB12" s="439"/>
      <c r="POC12" s="439"/>
      <c r="POD12" s="439"/>
      <c r="POE12" s="439"/>
      <c r="POF12" s="439"/>
      <c r="POG12" s="439"/>
      <c r="POH12" s="439"/>
      <c r="POI12" s="439"/>
      <c r="POJ12" s="439"/>
      <c r="POK12" s="439"/>
      <c r="POL12" s="439"/>
      <c r="POM12" s="439"/>
      <c r="PON12" s="439"/>
      <c r="POO12" s="439"/>
      <c r="POP12" s="439"/>
      <c r="POQ12" s="439"/>
      <c r="POR12" s="439"/>
      <c r="POS12" s="439"/>
      <c r="POT12" s="439"/>
      <c r="POU12" s="439"/>
      <c r="POV12" s="439"/>
      <c r="POW12" s="439"/>
      <c r="POX12" s="439"/>
      <c r="POY12" s="439"/>
      <c r="POZ12" s="439"/>
      <c r="PPA12" s="439"/>
      <c r="PPB12" s="439"/>
      <c r="PPC12" s="439"/>
      <c r="PPD12" s="439"/>
      <c r="PPE12" s="439"/>
      <c r="PPF12" s="439"/>
      <c r="PPG12" s="439"/>
      <c r="PPH12" s="439"/>
      <c r="PPI12" s="439"/>
      <c r="PPJ12" s="439"/>
      <c r="PPK12" s="439"/>
      <c r="PPL12" s="439"/>
      <c r="PPM12" s="439"/>
      <c r="PPN12" s="439"/>
      <c r="PPO12" s="439"/>
      <c r="PPP12" s="439"/>
      <c r="PPQ12" s="439"/>
      <c r="PPR12" s="439"/>
      <c r="PPS12" s="439"/>
      <c r="PPT12" s="439"/>
      <c r="PPU12" s="439"/>
      <c r="PPV12" s="439"/>
      <c r="PPW12" s="439"/>
      <c r="PPX12" s="439"/>
      <c r="PPY12" s="439"/>
      <c r="PPZ12" s="439"/>
      <c r="PQA12" s="439"/>
      <c r="PQB12" s="439"/>
      <c r="PQC12" s="439"/>
      <c r="PQD12" s="439"/>
      <c r="PQE12" s="439"/>
      <c r="PQF12" s="439"/>
      <c r="PQG12" s="439"/>
      <c r="PQH12" s="439"/>
      <c r="PQI12" s="439"/>
      <c r="PQJ12" s="439"/>
      <c r="PQK12" s="439"/>
      <c r="PQL12" s="439"/>
      <c r="PQM12" s="439"/>
      <c r="PQN12" s="439"/>
      <c r="PQO12" s="439"/>
      <c r="PQP12" s="439"/>
      <c r="PQQ12" s="439"/>
      <c r="PQR12" s="439"/>
      <c r="PQS12" s="439"/>
      <c r="PQT12" s="439"/>
      <c r="PQU12" s="439"/>
      <c r="PQV12" s="439"/>
      <c r="PQW12" s="439"/>
      <c r="PQX12" s="439"/>
      <c r="PQY12" s="439"/>
      <c r="PQZ12" s="439"/>
      <c r="PRA12" s="439"/>
      <c r="PRB12" s="439"/>
      <c r="PRC12" s="439"/>
      <c r="PRD12" s="439"/>
      <c r="PRE12" s="439"/>
      <c r="PRF12" s="439"/>
      <c r="PRG12" s="439"/>
      <c r="PRH12" s="439"/>
      <c r="PRI12" s="439"/>
      <c r="PRJ12" s="439"/>
      <c r="PRK12" s="439"/>
      <c r="PRL12" s="439"/>
      <c r="PRM12" s="439"/>
      <c r="PRN12" s="439"/>
      <c r="PRO12" s="439"/>
      <c r="PRP12" s="439"/>
      <c r="PRQ12" s="439"/>
      <c r="PRR12" s="439"/>
      <c r="PRS12" s="439"/>
      <c r="PRT12" s="439"/>
      <c r="PRU12" s="439"/>
      <c r="PRV12" s="439"/>
      <c r="PRW12" s="439"/>
      <c r="PRX12" s="439"/>
      <c r="PRY12" s="439"/>
      <c r="PRZ12" s="439"/>
      <c r="PSA12" s="439"/>
      <c r="PSB12" s="439"/>
      <c r="PSC12" s="439"/>
      <c r="PSD12" s="439"/>
      <c r="PSE12" s="439"/>
      <c r="PSF12" s="439"/>
      <c r="PSG12" s="439"/>
      <c r="PSH12" s="439"/>
      <c r="PSI12" s="439"/>
      <c r="PSJ12" s="439"/>
      <c r="PSK12" s="439"/>
      <c r="PSL12" s="439"/>
      <c r="PSM12" s="439"/>
      <c r="PSN12" s="439"/>
      <c r="PSO12" s="439"/>
      <c r="PSP12" s="439"/>
      <c r="PSQ12" s="439"/>
      <c r="PSR12" s="439"/>
      <c r="PSS12" s="439"/>
      <c r="PST12" s="439"/>
      <c r="PSU12" s="439"/>
      <c r="PSV12" s="439"/>
      <c r="PSW12" s="439"/>
      <c r="PSX12" s="439"/>
      <c r="PSY12" s="439"/>
      <c r="PSZ12" s="439"/>
      <c r="PTA12" s="439"/>
      <c r="PTB12" s="439"/>
      <c r="PTC12" s="439"/>
      <c r="PTD12" s="439"/>
      <c r="PTE12" s="439"/>
      <c r="PTF12" s="439"/>
      <c r="PTG12" s="439"/>
      <c r="PTH12" s="439"/>
      <c r="PTI12" s="439"/>
      <c r="PTJ12" s="439"/>
      <c r="PTK12" s="439"/>
      <c r="PTL12" s="439"/>
      <c r="PTM12" s="439"/>
      <c r="PTN12" s="439"/>
      <c r="PTO12" s="439"/>
      <c r="PTP12" s="439"/>
      <c r="PTQ12" s="439"/>
      <c r="PTR12" s="439"/>
      <c r="PTS12" s="439"/>
      <c r="PTT12" s="439"/>
      <c r="PTU12" s="439"/>
      <c r="PTV12" s="439"/>
      <c r="PTW12" s="439"/>
      <c r="PTX12" s="439"/>
      <c r="PTY12" s="439"/>
      <c r="PTZ12" s="439"/>
      <c r="PUA12" s="439"/>
      <c r="PUB12" s="439"/>
      <c r="PUC12" s="439"/>
      <c r="PUD12" s="439"/>
      <c r="PUE12" s="439"/>
      <c r="PUF12" s="439"/>
      <c r="PUG12" s="439"/>
      <c r="PUH12" s="439"/>
      <c r="PUI12" s="439"/>
      <c r="PUJ12" s="439"/>
      <c r="PUK12" s="439"/>
      <c r="PUL12" s="439"/>
      <c r="PUM12" s="439"/>
      <c r="PUN12" s="439"/>
      <c r="PUO12" s="439"/>
      <c r="PUP12" s="439"/>
      <c r="PUQ12" s="439"/>
      <c r="PUR12" s="439"/>
      <c r="PUS12" s="439"/>
      <c r="PUT12" s="439"/>
      <c r="PUU12" s="439"/>
      <c r="PUV12" s="439"/>
      <c r="PUW12" s="439"/>
      <c r="PUX12" s="439"/>
      <c r="PUY12" s="439"/>
      <c r="PUZ12" s="439"/>
      <c r="PVA12" s="439"/>
      <c r="PVB12" s="439"/>
      <c r="PVC12" s="439"/>
      <c r="PVD12" s="439"/>
      <c r="PVE12" s="439"/>
      <c r="PVF12" s="439"/>
      <c r="PVG12" s="439"/>
      <c r="PVH12" s="439"/>
      <c r="PVI12" s="439"/>
      <c r="PVJ12" s="439"/>
      <c r="PVK12" s="439"/>
      <c r="PVL12" s="439"/>
      <c r="PVM12" s="439"/>
      <c r="PVN12" s="439"/>
      <c r="PVO12" s="439"/>
      <c r="PVP12" s="439"/>
      <c r="PVQ12" s="439"/>
      <c r="PVR12" s="439"/>
      <c r="PVS12" s="439"/>
      <c r="PVT12" s="439"/>
      <c r="PVU12" s="439"/>
      <c r="PVV12" s="439"/>
      <c r="PVW12" s="439"/>
      <c r="PVX12" s="439"/>
      <c r="PVY12" s="439"/>
      <c r="PVZ12" s="439"/>
      <c r="PWA12" s="439"/>
      <c r="PWB12" s="439"/>
      <c r="PWC12" s="439"/>
      <c r="PWD12" s="439"/>
      <c r="PWE12" s="439"/>
      <c r="PWF12" s="439"/>
      <c r="PWG12" s="439"/>
      <c r="PWH12" s="439"/>
      <c r="PWI12" s="439"/>
      <c r="PWJ12" s="439"/>
      <c r="PWK12" s="439"/>
      <c r="PWL12" s="439"/>
      <c r="PWM12" s="439"/>
      <c r="PWN12" s="439"/>
      <c r="PWO12" s="439"/>
      <c r="PWP12" s="439"/>
      <c r="PWQ12" s="439"/>
      <c r="PWR12" s="439"/>
      <c r="PWS12" s="439"/>
      <c r="PWT12" s="439"/>
      <c r="PWU12" s="439"/>
      <c r="PWV12" s="439"/>
      <c r="PWW12" s="439"/>
      <c r="PWX12" s="439"/>
      <c r="PWY12" s="439"/>
      <c r="PWZ12" s="439"/>
      <c r="PXA12" s="439"/>
      <c r="PXB12" s="439"/>
      <c r="PXC12" s="439"/>
      <c r="PXD12" s="439"/>
      <c r="PXE12" s="439"/>
      <c r="PXF12" s="439"/>
      <c r="PXG12" s="439"/>
      <c r="PXH12" s="439"/>
      <c r="PXI12" s="439"/>
      <c r="PXJ12" s="439"/>
      <c r="PXK12" s="439"/>
      <c r="PXL12" s="439"/>
      <c r="PXM12" s="439"/>
      <c r="PXN12" s="439"/>
      <c r="PXO12" s="439"/>
      <c r="PXP12" s="439"/>
      <c r="PXQ12" s="439"/>
      <c r="PXR12" s="439"/>
      <c r="PXS12" s="439"/>
      <c r="PXT12" s="439"/>
      <c r="PXU12" s="439"/>
      <c r="PXV12" s="439"/>
      <c r="PXW12" s="439"/>
      <c r="PXX12" s="439"/>
      <c r="PXY12" s="439"/>
      <c r="PXZ12" s="439"/>
      <c r="PYA12" s="439"/>
      <c r="PYB12" s="439"/>
      <c r="PYC12" s="439"/>
      <c r="PYD12" s="439"/>
      <c r="PYE12" s="439"/>
      <c r="PYF12" s="439"/>
      <c r="PYG12" s="439"/>
      <c r="PYH12" s="439"/>
      <c r="PYI12" s="439"/>
      <c r="PYJ12" s="439"/>
      <c r="PYK12" s="439"/>
      <c r="PYL12" s="439"/>
      <c r="PYM12" s="439"/>
      <c r="PYN12" s="439"/>
      <c r="PYO12" s="439"/>
      <c r="PYP12" s="439"/>
      <c r="PYQ12" s="439"/>
      <c r="PYR12" s="439"/>
      <c r="PYS12" s="439"/>
      <c r="PYT12" s="439"/>
      <c r="PYU12" s="439"/>
      <c r="PYV12" s="439"/>
      <c r="PYW12" s="439"/>
      <c r="PYX12" s="439"/>
      <c r="PYY12" s="439"/>
      <c r="PYZ12" s="439"/>
      <c r="PZA12" s="439"/>
      <c r="PZB12" s="439"/>
      <c r="PZC12" s="439"/>
      <c r="PZD12" s="439"/>
      <c r="PZE12" s="439"/>
      <c r="PZF12" s="439"/>
      <c r="PZG12" s="439"/>
      <c r="PZH12" s="439"/>
      <c r="PZI12" s="439"/>
      <c r="PZJ12" s="439"/>
      <c r="PZK12" s="439"/>
      <c r="PZL12" s="439"/>
      <c r="PZM12" s="439"/>
      <c r="PZN12" s="439"/>
      <c r="PZO12" s="439"/>
      <c r="PZP12" s="439"/>
      <c r="PZQ12" s="439"/>
      <c r="PZR12" s="439"/>
      <c r="PZS12" s="439"/>
      <c r="PZT12" s="439"/>
      <c r="PZU12" s="439"/>
      <c r="PZV12" s="439"/>
      <c r="PZW12" s="439"/>
      <c r="PZX12" s="439"/>
      <c r="PZY12" s="439"/>
      <c r="PZZ12" s="439"/>
      <c r="QAA12" s="439"/>
      <c r="QAB12" s="439"/>
      <c r="QAC12" s="439"/>
      <c r="QAD12" s="439"/>
      <c r="QAE12" s="439"/>
      <c r="QAF12" s="439"/>
      <c r="QAG12" s="439"/>
      <c r="QAH12" s="439"/>
      <c r="QAI12" s="439"/>
      <c r="QAJ12" s="439"/>
      <c r="QAK12" s="439"/>
      <c r="QAL12" s="439"/>
      <c r="QAM12" s="439"/>
      <c r="QAN12" s="439"/>
      <c r="QAO12" s="439"/>
      <c r="QAP12" s="439"/>
      <c r="QAQ12" s="439"/>
      <c r="QAR12" s="439"/>
      <c r="QAS12" s="439"/>
      <c r="QAT12" s="439"/>
      <c r="QAU12" s="439"/>
      <c r="QAV12" s="439"/>
      <c r="QAW12" s="439"/>
      <c r="QAX12" s="439"/>
      <c r="QAY12" s="439"/>
      <c r="QAZ12" s="439"/>
      <c r="QBA12" s="439"/>
      <c r="QBB12" s="439"/>
      <c r="QBC12" s="439"/>
      <c r="QBD12" s="439"/>
      <c r="QBE12" s="439"/>
      <c r="QBF12" s="439"/>
      <c r="QBG12" s="439"/>
      <c r="QBH12" s="439"/>
      <c r="QBI12" s="439"/>
      <c r="QBJ12" s="439"/>
      <c r="QBK12" s="439"/>
      <c r="QBL12" s="439"/>
      <c r="QBM12" s="439"/>
      <c r="QBN12" s="439"/>
      <c r="QBO12" s="439"/>
      <c r="QBP12" s="439"/>
      <c r="QBQ12" s="439"/>
      <c r="QBR12" s="439"/>
      <c r="QBS12" s="439"/>
      <c r="QBT12" s="439"/>
      <c r="QBU12" s="439"/>
      <c r="QBV12" s="439"/>
      <c r="QBW12" s="439"/>
      <c r="QBX12" s="439"/>
      <c r="QBY12" s="439"/>
      <c r="QBZ12" s="439"/>
      <c r="QCA12" s="439"/>
      <c r="QCB12" s="439"/>
      <c r="QCC12" s="439"/>
      <c r="QCD12" s="439"/>
      <c r="QCE12" s="439"/>
      <c r="QCF12" s="439"/>
      <c r="QCG12" s="439"/>
      <c r="QCH12" s="439"/>
      <c r="QCI12" s="439"/>
      <c r="QCJ12" s="439"/>
      <c r="QCK12" s="439"/>
      <c r="QCL12" s="439"/>
      <c r="QCM12" s="439"/>
      <c r="QCN12" s="439"/>
      <c r="QCO12" s="439"/>
      <c r="QCP12" s="439"/>
      <c r="QCQ12" s="439"/>
      <c r="QCR12" s="439"/>
      <c r="QCS12" s="439"/>
      <c r="QCT12" s="439"/>
      <c r="QCU12" s="439"/>
      <c r="QCV12" s="439"/>
      <c r="QCW12" s="439"/>
      <c r="QCX12" s="439"/>
      <c r="QCY12" s="439"/>
      <c r="QCZ12" s="439"/>
      <c r="QDA12" s="439"/>
      <c r="QDB12" s="439"/>
      <c r="QDC12" s="439"/>
      <c r="QDD12" s="439"/>
      <c r="QDE12" s="439"/>
      <c r="QDF12" s="439"/>
      <c r="QDG12" s="439"/>
      <c r="QDH12" s="439"/>
      <c r="QDI12" s="439"/>
      <c r="QDJ12" s="439"/>
      <c r="QDK12" s="439"/>
      <c r="QDL12" s="439"/>
      <c r="QDM12" s="439"/>
      <c r="QDN12" s="439"/>
      <c r="QDO12" s="439"/>
      <c r="QDP12" s="439"/>
      <c r="QDQ12" s="439"/>
      <c r="QDR12" s="439"/>
      <c r="QDS12" s="439"/>
      <c r="QDT12" s="439"/>
      <c r="QDU12" s="439"/>
      <c r="QDV12" s="439"/>
      <c r="QDW12" s="439"/>
      <c r="QDX12" s="439"/>
      <c r="QDY12" s="439"/>
      <c r="QDZ12" s="439"/>
      <c r="QEA12" s="439"/>
      <c r="QEB12" s="439"/>
      <c r="QEC12" s="439"/>
      <c r="QED12" s="439"/>
      <c r="QEE12" s="439"/>
      <c r="QEF12" s="439"/>
      <c r="QEG12" s="439"/>
      <c r="QEH12" s="439"/>
      <c r="QEI12" s="439"/>
      <c r="QEJ12" s="439"/>
      <c r="QEK12" s="439"/>
      <c r="QEL12" s="439"/>
      <c r="QEM12" s="439"/>
      <c r="QEN12" s="439"/>
      <c r="QEO12" s="439"/>
      <c r="QEP12" s="439"/>
      <c r="QEQ12" s="439"/>
      <c r="QER12" s="439"/>
      <c r="QES12" s="439"/>
      <c r="QET12" s="439"/>
      <c r="QEU12" s="439"/>
      <c r="QEV12" s="439"/>
      <c r="QEW12" s="439"/>
      <c r="QEX12" s="439"/>
      <c r="QEY12" s="439"/>
      <c r="QEZ12" s="439"/>
      <c r="QFA12" s="439"/>
      <c r="QFB12" s="439"/>
      <c r="QFC12" s="439"/>
      <c r="QFD12" s="439"/>
      <c r="QFE12" s="439"/>
      <c r="QFF12" s="439"/>
      <c r="QFG12" s="439"/>
      <c r="QFH12" s="439"/>
      <c r="QFI12" s="439"/>
      <c r="QFJ12" s="439"/>
      <c r="QFK12" s="439"/>
      <c r="QFL12" s="439"/>
      <c r="QFM12" s="439"/>
      <c r="QFN12" s="439"/>
      <c r="QFO12" s="439"/>
      <c r="QFP12" s="439"/>
      <c r="QFQ12" s="439"/>
      <c r="QFR12" s="439"/>
      <c r="QFS12" s="439"/>
      <c r="QFT12" s="439"/>
      <c r="QFU12" s="439"/>
      <c r="QFV12" s="439"/>
      <c r="QFW12" s="439"/>
      <c r="QFX12" s="439"/>
      <c r="QFY12" s="439"/>
      <c r="QFZ12" s="439"/>
      <c r="QGA12" s="439"/>
      <c r="QGB12" s="439"/>
      <c r="QGC12" s="439"/>
      <c r="QGD12" s="439"/>
      <c r="QGE12" s="439"/>
      <c r="QGF12" s="439"/>
      <c r="QGG12" s="439"/>
      <c r="QGH12" s="439"/>
      <c r="QGI12" s="439"/>
      <c r="QGJ12" s="439"/>
      <c r="QGK12" s="439"/>
      <c r="QGL12" s="439"/>
      <c r="QGM12" s="439"/>
      <c r="QGN12" s="439"/>
      <c r="QGO12" s="439"/>
      <c r="QGP12" s="439"/>
      <c r="QGQ12" s="439"/>
      <c r="QGR12" s="439"/>
      <c r="QGS12" s="439"/>
      <c r="QGT12" s="439"/>
      <c r="QGU12" s="439"/>
      <c r="QGV12" s="439"/>
      <c r="QGW12" s="439"/>
      <c r="QGX12" s="439"/>
      <c r="QGY12" s="439"/>
      <c r="QGZ12" s="439"/>
      <c r="QHA12" s="439"/>
      <c r="QHB12" s="439"/>
      <c r="QHC12" s="439"/>
      <c r="QHD12" s="439"/>
      <c r="QHE12" s="439"/>
      <c r="QHF12" s="439"/>
      <c r="QHG12" s="439"/>
      <c r="QHH12" s="439"/>
      <c r="QHI12" s="439"/>
      <c r="QHJ12" s="439"/>
      <c r="QHK12" s="439"/>
      <c r="QHL12" s="439"/>
      <c r="QHM12" s="439"/>
      <c r="QHN12" s="439"/>
      <c r="QHO12" s="439"/>
      <c r="QHP12" s="439"/>
      <c r="QHQ12" s="439"/>
      <c r="QHR12" s="439"/>
      <c r="QHS12" s="439"/>
      <c r="QHT12" s="439"/>
      <c r="QHU12" s="439"/>
      <c r="QHV12" s="439"/>
      <c r="QHW12" s="439"/>
      <c r="QHX12" s="439"/>
      <c r="QHY12" s="439"/>
      <c r="QHZ12" s="439"/>
      <c r="QIA12" s="439"/>
      <c r="QIB12" s="439"/>
      <c r="QIC12" s="439"/>
      <c r="QID12" s="439"/>
      <c r="QIE12" s="439"/>
      <c r="QIF12" s="439"/>
      <c r="QIG12" s="439"/>
      <c r="QIH12" s="439"/>
      <c r="QII12" s="439"/>
      <c r="QIJ12" s="439"/>
      <c r="QIK12" s="439"/>
      <c r="QIL12" s="439"/>
      <c r="QIM12" s="439"/>
      <c r="QIN12" s="439"/>
      <c r="QIO12" s="439"/>
      <c r="QIP12" s="439"/>
      <c r="QIQ12" s="439"/>
      <c r="QIR12" s="439"/>
      <c r="QIS12" s="439"/>
      <c r="QIT12" s="439"/>
      <c r="QIU12" s="439"/>
      <c r="QIV12" s="439"/>
      <c r="QIW12" s="439"/>
      <c r="QIX12" s="439"/>
      <c r="QIY12" s="439"/>
      <c r="QIZ12" s="439"/>
      <c r="QJA12" s="439"/>
      <c r="QJB12" s="439"/>
      <c r="QJC12" s="439"/>
      <c r="QJD12" s="439"/>
      <c r="QJE12" s="439"/>
      <c r="QJF12" s="439"/>
      <c r="QJG12" s="439"/>
      <c r="QJH12" s="439"/>
      <c r="QJI12" s="439"/>
      <c r="QJJ12" s="439"/>
      <c r="QJK12" s="439"/>
      <c r="QJL12" s="439"/>
      <c r="QJM12" s="439"/>
      <c r="QJN12" s="439"/>
      <c r="QJO12" s="439"/>
      <c r="QJP12" s="439"/>
      <c r="QJQ12" s="439"/>
      <c r="QJR12" s="439"/>
      <c r="QJS12" s="439"/>
      <c r="QJT12" s="439"/>
      <c r="QJU12" s="439"/>
      <c r="QJV12" s="439"/>
      <c r="QJW12" s="439"/>
      <c r="QJX12" s="439"/>
      <c r="QJY12" s="439"/>
      <c r="QJZ12" s="439"/>
      <c r="QKA12" s="439"/>
      <c r="QKB12" s="439"/>
      <c r="QKC12" s="439"/>
      <c r="QKD12" s="439"/>
      <c r="QKE12" s="439"/>
      <c r="QKF12" s="439"/>
      <c r="QKG12" s="439"/>
      <c r="QKH12" s="439"/>
      <c r="QKI12" s="439"/>
      <c r="QKJ12" s="439"/>
      <c r="QKK12" s="439"/>
      <c r="QKL12" s="439"/>
      <c r="QKM12" s="439"/>
      <c r="QKN12" s="439"/>
      <c r="QKO12" s="439"/>
      <c r="QKP12" s="439"/>
      <c r="QKQ12" s="439"/>
      <c r="QKR12" s="439"/>
      <c r="QKS12" s="439"/>
      <c r="QKT12" s="439"/>
      <c r="QKU12" s="439"/>
      <c r="QKV12" s="439"/>
      <c r="QKW12" s="439"/>
      <c r="QKX12" s="439"/>
      <c r="QKY12" s="439"/>
      <c r="QKZ12" s="439"/>
      <c r="QLA12" s="439"/>
      <c r="QLB12" s="439"/>
      <c r="QLC12" s="439"/>
      <c r="QLD12" s="439"/>
      <c r="QLE12" s="439"/>
      <c r="QLF12" s="439"/>
      <c r="QLG12" s="439"/>
      <c r="QLH12" s="439"/>
      <c r="QLI12" s="439"/>
      <c r="QLJ12" s="439"/>
      <c r="QLK12" s="439"/>
      <c r="QLL12" s="439"/>
      <c r="QLM12" s="439"/>
      <c r="QLN12" s="439"/>
      <c r="QLO12" s="439"/>
      <c r="QLP12" s="439"/>
      <c r="QLQ12" s="439"/>
      <c r="QLR12" s="439"/>
      <c r="QLS12" s="439"/>
      <c r="QLT12" s="439"/>
      <c r="QLU12" s="439"/>
      <c r="QLV12" s="439"/>
      <c r="QLW12" s="439"/>
      <c r="QLX12" s="439"/>
      <c r="QLY12" s="439"/>
      <c r="QLZ12" s="439"/>
      <c r="QMA12" s="439"/>
      <c r="QMB12" s="439"/>
      <c r="QMC12" s="439"/>
      <c r="QMD12" s="439"/>
      <c r="QME12" s="439"/>
      <c r="QMF12" s="439"/>
      <c r="QMG12" s="439"/>
      <c r="QMH12" s="439"/>
      <c r="QMI12" s="439"/>
      <c r="QMJ12" s="439"/>
      <c r="QMK12" s="439"/>
      <c r="QML12" s="439"/>
      <c r="QMM12" s="439"/>
      <c r="QMN12" s="439"/>
      <c r="QMO12" s="439"/>
      <c r="QMP12" s="439"/>
      <c r="QMQ12" s="439"/>
      <c r="QMR12" s="439"/>
      <c r="QMS12" s="439"/>
      <c r="QMT12" s="439"/>
      <c r="QMU12" s="439"/>
      <c r="QMV12" s="439"/>
      <c r="QMW12" s="439"/>
      <c r="QMX12" s="439"/>
      <c r="QMY12" s="439"/>
      <c r="QMZ12" s="439"/>
      <c r="QNA12" s="439"/>
      <c r="QNB12" s="439"/>
      <c r="QNC12" s="439"/>
      <c r="QND12" s="439"/>
      <c r="QNE12" s="439"/>
      <c r="QNF12" s="439"/>
      <c r="QNG12" s="439"/>
      <c r="QNH12" s="439"/>
      <c r="QNI12" s="439"/>
      <c r="QNJ12" s="439"/>
      <c r="QNK12" s="439"/>
      <c r="QNL12" s="439"/>
      <c r="QNM12" s="439"/>
      <c r="QNN12" s="439"/>
      <c r="QNO12" s="439"/>
      <c r="QNP12" s="439"/>
      <c r="QNQ12" s="439"/>
      <c r="QNR12" s="439"/>
      <c r="QNS12" s="439"/>
      <c r="QNT12" s="439"/>
      <c r="QNU12" s="439"/>
      <c r="QNV12" s="439"/>
      <c r="QNW12" s="439"/>
      <c r="QNX12" s="439"/>
      <c r="QNY12" s="439"/>
      <c r="QNZ12" s="439"/>
      <c r="QOA12" s="439"/>
      <c r="QOB12" s="439"/>
      <c r="QOC12" s="439"/>
      <c r="QOD12" s="439"/>
      <c r="QOE12" s="439"/>
      <c r="QOF12" s="439"/>
      <c r="QOG12" s="439"/>
      <c r="QOH12" s="439"/>
      <c r="QOI12" s="439"/>
      <c r="QOJ12" s="439"/>
      <c r="QOK12" s="439"/>
      <c r="QOL12" s="439"/>
      <c r="QOM12" s="439"/>
      <c r="QON12" s="439"/>
      <c r="QOO12" s="439"/>
      <c r="QOP12" s="439"/>
      <c r="QOQ12" s="439"/>
      <c r="QOR12" s="439"/>
      <c r="QOS12" s="439"/>
      <c r="QOT12" s="439"/>
      <c r="QOU12" s="439"/>
      <c r="QOV12" s="439"/>
      <c r="QOW12" s="439"/>
      <c r="QOX12" s="439"/>
      <c r="QOY12" s="439"/>
      <c r="QOZ12" s="439"/>
      <c r="QPA12" s="439"/>
      <c r="QPB12" s="439"/>
      <c r="QPC12" s="439"/>
      <c r="QPD12" s="439"/>
      <c r="QPE12" s="439"/>
      <c r="QPF12" s="439"/>
      <c r="QPG12" s="439"/>
      <c r="QPH12" s="439"/>
      <c r="QPI12" s="439"/>
      <c r="QPJ12" s="439"/>
      <c r="QPK12" s="439"/>
      <c r="QPL12" s="439"/>
      <c r="QPM12" s="439"/>
      <c r="QPN12" s="439"/>
      <c r="QPO12" s="439"/>
      <c r="QPP12" s="439"/>
      <c r="QPQ12" s="439"/>
      <c r="QPR12" s="439"/>
      <c r="QPS12" s="439"/>
      <c r="QPT12" s="439"/>
      <c r="QPU12" s="439"/>
      <c r="QPV12" s="439"/>
      <c r="QPW12" s="439"/>
      <c r="QPX12" s="439"/>
      <c r="QPY12" s="439"/>
      <c r="QPZ12" s="439"/>
      <c r="QQA12" s="439"/>
      <c r="QQB12" s="439"/>
      <c r="QQC12" s="439"/>
      <c r="QQD12" s="439"/>
      <c r="QQE12" s="439"/>
      <c r="QQF12" s="439"/>
      <c r="QQG12" s="439"/>
      <c r="QQH12" s="439"/>
      <c r="QQI12" s="439"/>
      <c r="QQJ12" s="439"/>
      <c r="QQK12" s="439"/>
      <c r="QQL12" s="439"/>
      <c r="QQM12" s="439"/>
      <c r="QQN12" s="439"/>
      <c r="QQO12" s="439"/>
      <c r="QQP12" s="439"/>
      <c r="QQQ12" s="439"/>
      <c r="QQR12" s="439"/>
      <c r="QQS12" s="439"/>
      <c r="QQT12" s="439"/>
      <c r="QQU12" s="439"/>
      <c r="QQV12" s="439"/>
      <c r="QQW12" s="439"/>
      <c r="QQX12" s="439"/>
      <c r="QQY12" s="439"/>
      <c r="QQZ12" s="439"/>
      <c r="QRA12" s="439"/>
      <c r="QRB12" s="439"/>
      <c r="QRC12" s="439"/>
      <c r="QRD12" s="439"/>
      <c r="QRE12" s="439"/>
      <c r="QRF12" s="439"/>
      <c r="QRG12" s="439"/>
      <c r="QRH12" s="439"/>
      <c r="QRI12" s="439"/>
      <c r="QRJ12" s="439"/>
      <c r="QRK12" s="439"/>
      <c r="QRL12" s="439"/>
      <c r="QRM12" s="439"/>
      <c r="QRN12" s="439"/>
      <c r="QRO12" s="439"/>
      <c r="QRP12" s="439"/>
      <c r="QRQ12" s="439"/>
      <c r="QRR12" s="439"/>
      <c r="QRS12" s="439"/>
      <c r="QRT12" s="439"/>
      <c r="QRU12" s="439"/>
      <c r="QRV12" s="439"/>
      <c r="QRW12" s="439"/>
      <c r="QRX12" s="439"/>
      <c r="QRY12" s="439"/>
      <c r="QRZ12" s="439"/>
      <c r="QSA12" s="439"/>
      <c r="QSB12" s="439"/>
      <c r="QSC12" s="439"/>
      <c r="QSD12" s="439"/>
      <c r="QSE12" s="439"/>
      <c r="QSF12" s="439"/>
      <c r="QSG12" s="439"/>
      <c r="QSH12" s="439"/>
      <c r="QSI12" s="439"/>
      <c r="QSJ12" s="439"/>
      <c r="QSK12" s="439"/>
      <c r="QSL12" s="439"/>
      <c r="QSM12" s="439"/>
      <c r="QSN12" s="439"/>
      <c r="QSO12" s="439"/>
      <c r="QSP12" s="439"/>
      <c r="QSQ12" s="439"/>
      <c r="QSR12" s="439"/>
      <c r="QSS12" s="439"/>
      <c r="QST12" s="439"/>
      <c r="QSU12" s="439"/>
      <c r="QSV12" s="439"/>
      <c r="QSW12" s="439"/>
      <c r="QSX12" s="439"/>
      <c r="QSY12" s="439"/>
      <c r="QSZ12" s="439"/>
      <c r="QTA12" s="439"/>
      <c r="QTB12" s="439"/>
      <c r="QTC12" s="439"/>
      <c r="QTD12" s="439"/>
      <c r="QTE12" s="439"/>
      <c r="QTF12" s="439"/>
      <c r="QTG12" s="439"/>
      <c r="QTH12" s="439"/>
      <c r="QTI12" s="439"/>
      <c r="QTJ12" s="439"/>
      <c r="QTK12" s="439"/>
      <c r="QTL12" s="439"/>
      <c r="QTM12" s="439"/>
      <c r="QTN12" s="439"/>
      <c r="QTO12" s="439"/>
      <c r="QTP12" s="439"/>
      <c r="QTQ12" s="439"/>
      <c r="QTR12" s="439"/>
      <c r="QTS12" s="439"/>
      <c r="QTT12" s="439"/>
      <c r="QTU12" s="439"/>
      <c r="QTV12" s="439"/>
      <c r="QTW12" s="439"/>
      <c r="QTX12" s="439"/>
      <c r="QTY12" s="439"/>
      <c r="QTZ12" s="439"/>
      <c r="QUA12" s="439"/>
      <c r="QUB12" s="439"/>
      <c r="QUC12" s="439"/>
      <c r="QUD12" s="439"/>
      <c r="QUE12" s="439"/>
      <c r="QUF12" s="439"/>
      <c r="QUG12" s="439"/>
      <c r="QUH12" s="439"/>
      <c r="QUI12" s="439"/>
      <c r="QUJ12" s="439"/>
      <c r="QUK12" s="439"/>
      <c r="QUL12" s="439"/>
      <c r="QUM12" s="439"/>
      <c r="QUN12" s="439"/>
      <c r="QUO12" s="439"/>
      <c r="QUP12" s="439"/>
      <c r="QUQ12" s="439"/>
      <c r="QUR12" s="439"/>
      <c r="QUS12" s="439"/>
      <c r="QUT12" s="439"/>
      <c r="QUU12" s="439"/>
      <c r="QUV12" s="439"/>
      <c r="QUW12" s="439"/>
      <c r="QUX12" s="439"/>
      <c r="QUY12" s="439"/>
      <c r="QUZ12" s="439"/>
      <c r="QVA12" s="439"/>
      <c r="QVB12" s="439"/>
      <c r="QVC12" s="439"/>
      <c r="QVD12" s="439"/>
      <c r="QVE12" s="439"/>
      <c r="QVF12" s="439"/>
      <c r="QVG12" s="439"/>
      <c r="QVH12" s="439"/>
      <c r="QVI12" s="439"/>
      <c r="QVJ12" s="439"/>
      <c r="QVK12" s="439"/>
      <c r="QVL12" s="439"/>
      <c r="QVM12" s="439"/>
      <c r="QVN12" s="439"/>
      <c r="QVO12" s="439"/>
      <c r="QVP12" s="439"/>
      <c r="QVQ12" s="439"/>
      <c r="QVR12" s="439"/>
      <c r="QVS12" s="439"/>
      <c r="QVT12" s="439"/>
      <c r="QVU12" s="439"/>
      <c r="QVV12" s="439"/>
      <c r="QVW12" s="439"/>
      <c r="QVX12" s="439"/>
      <c r="QVY12" s="439"/>
      <c r="QVZ12" s="439"/>
      <c r="QWA12" s="439"/>
      <c r="QWB12" s="439"/>
      <c r="QWC12" s="439"/>
      <c r="QWD12" s="439"/>
      <c r="QWE12" s="439"/>
      <c r="QWF12" s="439"/>
      <c r="QWG12" s="439"/>
      <c r="QWH12" s="439"/>
      <c r="QWI12" s="439"/>
      <c r="QWJ12" s="439"/>
      <c r="QWK12" s="439"/>
      <c r="QWL12" s="439"/>
      <c r="QWM12" s="439"/>
      <c r="QWN12" s="439"/>
      <c r="QWO12" s="439"/>
      <c r="QWP12" s="439"/>
      <c r="QWQ12" s="439"/>
      <c r="QWR12" s="439"/>
      <c r="QWS12" s="439"/>
      <c r="QWT12" s="439"/>
      <c r="QWU12" s="439"/>
      <c r="QWV12" s="439"/>
      <c r="QWW12" s="439"/>
      <c r="QWX12" s="439"/>
      <c r="QWY12" s="439"/>
      <c r="QWZ12" s="439"/>
      <c r="QXA12" s="439"/>
      <c r="QXB12" s="439"/>
      <c r="QXC12" s="439"/>
      <c r="QXD12" s="439"/>
      <c r="QXE12" s="439"/>
      <c r="QXF12" s="439"/>
      <c r="QXG12" s="439"/>
      <c r="QXH12" s="439"/>
      <c r="QXI12" s="439"/>
      <c r="QXJ12" s="439"/>
      <c r="QXK12" s="439"/>
      <c r="QXL12" s="439"/>
      <c r="QXM12" s="439"/>
      <c r="QXN12" s="439"/>
      <c r="QXO12" s="439"/>
      <c r="QXP12" s="439"/>
      <c r="QXQ12" s="439"/>
      <c r="QXR12" s="439"/>
      <c r="QXS12" s="439"/>
      <c r="QXT12" s="439"/>
      <c r="QXU12" s="439"/>
      <c r="QXV12" s="439"/>
      <c r="QXW12" s="439"/>
      <c r="QXX12" s="439"/>
      <c r="QXY12" s="439"/>
      <c r="QXZ12" s="439"/>
      <c r="QYA12" s="439"/>
      <c r="QYB12" s="439"/>
      <c r="QYC12" s="439"/>
      <c r="QYD12" s="439"/>
      <c r="QYE12" s="439"/>
      <c r="QYF12" s="439"/>
      <c r="QYG12" s="439"/>
      <c r="QYH12" s="439"/>
      <c r="QYI12" s="439"/>
      <c r="QYJ12" s="439"/>
      <c r="QYK12" s="439"/>
      <c r="QYL12" s="439"/>
      <c r="QYM12" s="439"/>
      <c r="QYN12" s="439"/>
      <c r="QYO12" s="439"/>
      <c r="QYP12" s="439"/>
      <c r="QYQ12" s="439"/>
      <c r="QYR12" s="439"/>
      <c r="QYS12" s="439"/>
      <c r="QYT12" s="439"/>
      <c r="QYU12" s="439"/>
      <c r="QYV12" s="439"/>
      <c r="QYW12" s="439"/>
      <c r="QYX12" s="439"/>
      <c r="QYY12" s="439"/>
      <c r="QYZ12" s="439"/>
      <c r="QZA12" s="439"/>
      <c r="QZB12" s="439"/>
      <c r="QZC12" s="439"/>
      <c r="QZD12" s="439"/>
      <c r="QZE12" s="439"/>
      <c r="QZF12" s="439"/>
      <c r="QZG12" s="439"/>
      <c r="QZH12" s="439"/>
      <c r="QZI12" s="439"/>
      <c r="QZJ12" s="439"/>
      <c r="QZK12" s="439"/>
      <c r="QZL12" s="439"/>
      <c r="QZM12" s="439"/>
      <c r="QZN12" s="439"/>
      <c r="QZO12" s="439"/>
      <c r="QZP12" s="439"/>
      <c r="QZQ12" s="439"/>
      <c r="QZR12" s="439"/>
      <c r="QZS12" s="439"/>
      <c r="QZT12" s="439"/>
      <c r="QZU12" s="439"/>
      <c r="QZV12" s="439"/>
      <c r="QZW12" s="439"/>
      <c r="QZX12" s="439"/>
      <c r="QZY12" s="439"/>
      <c r="QZZ12" s="439"/>
      <c r="RAA12" s="439"/>
      <c r="RAB12" s="439"/>
      <c r="RAC12" s="439"/>
      <c r="RAD12" s="439"/>
      <c r="RAE12" s="439"/>
      <c r="RAF12" s="439"/>
      <c r="RAG12" s="439"/>
      <c r="RAH12" s="439"/>
      <c r="RAI12" s="439"/>
      <c r="RAJ12" s="439"/>
      <c r="RAK12" s="439"/>
      <c r="RAL12" s="439"/>
      <c r="RAM12" s="439"/>
      <c r="RAN12" s="439"/>
      <c r="RAO12" s="439"/>
      <c r="RAP12" s="439"/>
      <c r="RAQ12" s="439"/>
      <c r="RAR12" s="439"/>
      <c r="RAS12" s="439"/>
      <c r="RAT12" s="439"/>
      <c r="RAU12" s="439"/>
      <c r="RAV12" s="439"/>
      <c r="RAW12" s="439"/>
      <c r="RAX12" s="439"/>
      <c r="RAY12" s="439"/>
      <c r="RAZ12" s="439"/>
      <c r="RBA12" s="439"/>
      <c r="RBB12" s="439"/>
      <c r="RBC12" s="439"/>
      <c r="RBD12" s="439"/>
      <c r="RBE12" s="439"/>
      <c r="RBF12" s="439"/>
      <c r="RBG12" s="439"/>
      <c r="RBH12" s="439"/>
      <c r="RBI12" s="439"/>
      <c r="RBJ12" s="439"/>
      <c r="RBK12" s="439"/>
      <c r="RBL12" s="439"/>
      <c r="RBM12" s="439"/>
      <c r="RBN12" s="439"/>
      <c r="RBO12" s="439"/>
      <c r="RBP12" s="439"/>
      <c r="RBQ12" s="439"/>
      <c r="RBR12" s="439"/>
      <c r="RBS12" s="439"/>
      <c r="RBT12" s="439"/>
      <c r="RBU12" s="439"/>
      <c r="RBV12" s="439"/>
      <c r="RBW12" s="439"/>
      <c r="RBX12" s="439"/>
      <c r="RBY12" s="439"/>
      <c r="RBZ12" s="439"/>
      <c r="RCA12" s="439"/>
      <c r="RCB12" s="439"/>
      <c r="RCC12" s="439"/>
      <c r="RCD12" s="439"/>
      <c r="RCE12" s="439"/>
      <c r="RCF12" s="439"/>
      <c r="RCG12" s="439"/>
      <c r="RCH12" s="439"/>
      <c r="RCI12" s="439"/>
      <c r="RCJ12" s="439"/>
      <c r="RCK12" s="439"/>
      <c r="RCL12" s="439"/>
      <c r="RCM12" s="439"/>
      <c r="RCN12" s="439"/>
      <c r="RCO12" s="439"/>
      <c r="RCP12" s="439"/>
      <c r="RCQ12" s="439"/>
      <c r="RCR12" s="439"/>
      <c r="RCS12" s="439"/>
      <c r="RCT12" s="439"/>
      <c r="RCU12" s="439"/>
      <c r="RCV12" s="439"/>
      <c r="RCW12" s="439"/>
      <c r="RCX12" s="439"/>
      <c r="RCY12" s="439"/>
      <c r="RCZ12" s="439"/>
      <c r="RDA12" s="439"/>
      <c r="RDB12" s="439"/>
      <c r="RDC12" s="439"/>
      <c r="RDD12" s="439"/>
      <c r="RDE12" s="439"/>
      <c r="RDF12" s="439"/>
      <c r="RDG12" s="439"/>
      <c r="RDH12" s="439"/>
      <c r="RDI12" s="439"/>
      <c r="RDJ12" s="439"/>
      <c r="RDK12" s="439"/>
      <c r="RDL12" s="439"/>
      <c r="RDM12" s="439"/>
      <c r="RDN12" s="439"/>
      <c r="RDO12" s="439"/>
      <c r="RDP12" s="439"/>
      <c r="RDQ12" s="439"/>
      <c r="RDR12" s="439"/>
      <c r="RDS12" s="439"/>
      <c r="RDT12" s="439"/>
      <c r="RDU12" s="439"/>
      <c r="RDV12" s="439"/>
      <c r="RDW12" s="439"/>
      <c r="RDX12" s="439"/>
      <c r="RDY12" s="439"/>
      <c r="RDZ12" s="439"/>
      <c r="REA12" s="439"/>
      <c r="REB12" s="439"/>
      <c r="REC12" s="439"/>
      <c r="RED12" s="439"/>
      <c r="REE12" s="439"/>
      <c r="REF12" s="439"/>
      <c r="REG12" s="439"/>
      <c r="REH12" s="439"/>
      <c r="REI12" s="439"/>
      <c r="REJ12" s="439"/>
      <c r="REK12" s="439"/>
      <c r="REL12" s="439"/>
      <c r="REM12" s="439"/>
      <c r="REN12" s="439"/>
      <c r="REO12" s="439"/>
      <c r="REP12" s="439"/>
      <c r="REQ12" s="439"/>
      <c r="RER12" s="439"/>
      <c r="RES12" s="439"/>
      <c r="RET12" s="439"/>
      <c r="REU12" s="439"/>
      <c r="REV12" s="439"/>
      <c r="REW12" s="439"/>
      <c r="REX12" s="439"/>
      <c r="REY12" s="439"/>
      <c r="REZ12" s="439"/>
      <c r="RFA12" s="439"/>
      <c r="RFB12" s="439"/>
      <c r="RFC12" s="439"/>
      <c r="RFD12" s="439"/>
      <c r="RFE12" s="439"/>
      <c r="RFF12" s="439"/>
      <c r="RFG12" s="439"/>
      <c r="RFH12" s="439"/>
      <c r="RFI12" s="439"/>
      <c r="RFJ12" s="439"/>
      <c r="RFK12" s="439"/>
      <c r="RFL12" s="439"/>
      <c r="RFM12" s="439"/>
      <c r="RFN12" s="439"/>
      <c r="RFO12" s="439"/>
      <c r="RFP12" s="439"/>
      <c r="RFQ12" s="439"/>
      <c r="RFR12" s="439"/>
      <c r="RFS12" s="439"/>
      <c r="RFT12" s="439"/>
      <c r="RFU12" s="439"/>
      <c r="RFV12" s="439"/>
      <c r="RFW12" s="439"/>
      <c r="RFX12" s="439"/>
      <c r="RFY12" s="439"/>
      <c r="RFZ12" s="439"/>
      <c r="RGA12" s="439"/>
      <c r="RGB12" s="439"/>
      <c r="RGC12" s="439"/>
      <c r="RGD12" s="439"/>
      <c r="RGE12" s="439"/>
      <c r="RGF12" s="439"/>
      <c r="RGG12" s="439"/>
      <c r="RGH12" s="439"/>
      <c r="RGI12" s="439"/>
      <c r="RGJ12" s="439"/>
      <c r="RGK12" s="439"/>
      <c r="RGL12" s="439"/>
      <c r="RGM12" s="439"/>
      <c r="RGN12" s="439"/>
      <c r="RGO12" s="439"/>
      <c r="RGP12" s="439"/>
      <c r="RGQ12" s="439"/>
      <c r="RGR12" s="439"/>
      <c r="RGS12" s="439"/>
      <c r="RGT12" s="439"/>
      <c r="RGU12" s="439"/>
      <c r="RGV12" s="439"/>
      <c r="RGW12" s="439"/>
      <c r="RGX12" s="439"/>
      <c r="RGY12" s="439"/>
      <c r="RGZ12" s="439"/>
      <c r="RHA12" s="439"/>
      <c r="RHB12" s="439"/>
      <c r="RHC12" s="439"/>
      <c r="RHD12" s="439"/>
      <c r="RHE12" s="439"/>
      <c r="RHF12" s="439"/>
      <c r="RHG12" s="439"/>
      <c r="RHH12" s="439"/>
      <c r="RHI12" s="439"/>
      <c r="RHJ12" s="439"/>
      <c r="RHK12" s="439"/>
      <c r="RHL12" s="439"/>
      <c r="RHM12" s="439"/>
      <c r="RHN12" s="439"/>
      <c r="RHO12" s="439"/>
      <c r="RHP12" s="439"/>
      <c r="RHQ12" s="439"/>
      <c r="RHR12" s="439"/>
      <c r="RHS12" s="439"/>
      <c r="RHT12" s="439"/>
      <c r="RHU12" s="439"/>
      <c r="RHV12" s="439"/>
      <c r="RHW12" s="439"/>
      <c r="RHX12" s="439"/>
      <c r="RHY12" s="439"/>
      <c r="RHZ12" s="439"/>
      <c r="RIA12" s="439"/>
      <c r="RIB12" s="439"/>
      <c r="RIC12" s="439"/>
      <c r="RID12" s="439"/>
      <c r="RIE12" s="439"/>
      <c r="RIF12" s="439"/>
      <c r="RIG12" s="439"/>
      <c r="RIH12" s="439"/>
      <c r="RII12" s="439"/>
      <c r="RIJ12" s="439"/>
      <c r="RIK12" s="439"/>
      <c r="RIL12" s="439"/>
      <c r="RIM12" s="439"/>
      <c r="RIN12" s="439"/>
      <c r="RIO12" s="439"/>
      <c r="RIP12" s="439"/>
      <c r="RIQ12" s="439"/>
      <c r="RIR12" s="439"/>
      <c r="RIS12" s="439"/>
      <c r="RIT12" s="439"/>
      <c r="RIU12" s="439"/>
      <c r="RIV12" s="439"/>
      <c r="RIW12" s="439"/>
      <c r="RIX12" s="439"/>
      <c r="RIY12" s="439"/>
      <c r="RIZ12" s="439"/>
      <c r="RJA12" s="439"/>
      <c r="RJB12" s="439"/>
      <c r="RJC12" s="439"/>
      <c r="RJD12" s="439"/>
      <c r="RJE12" s="439"/>
      <c r="RJF12" s="439"/>
      <c r="RJG12" s="439"/>
      <c r="RJH12" s="439"/>
      <c r="RJI12" s="439"/>
      <c r="RJJ12" s="439"/>
      <c r="RJK12" s="439"/>
      <c r="RJL12" s="439"/>
      <c r="RJM12" s="439"/>
      <c r="RJN12" s="439"/>
      <c r="RJO12" s="439"/>
      <c r="RJP12" s="439"/>
      <c r="RJQ12" s="439"/>
      <c r="RJR12" s="439"/>
      <c r="RJS12" s="439"/>
      <c r="RJT12" s="439"/>
      <c r="RJU12" s="439"/>
      <c r="RJV12" s="439"/>
      <c r="RJW12" s="439"/>
      <c r="RJX12" s="439"/>
      <c r="RJY12" s="439"/>
      <c r="RJZ12" s="439"/>
      <c r="RKA12" s="439"/>
      <c r="RKB12" s="439"/>
      <c r="RKC12" s="439"/>
      <c r="RKD12" s="439"/>
      <c r="RKE12" s="439"/>
      <c r="RKF12" s="439"/>
      <c r="RKG12" s="439"/>
      <c r="RKH12" s="439"/>
      <c r="RKI12" s="439"/>
      <c r="RKJ12" s="439"/>
      <c r="RKK12" s="439"/>
      <c r="RKL12" s="439"/>
      <c r="RKM12" s="439"/>
      <c r="RKN12" s="439"/>
      <c r="RKO12" s="439"/>
      <c r="RKP12" s="439"/>
      <c r="RKQ12" s="439"/>
      <c r="RKR12" s="439"/>
      <c r="RKS12" s="439"/>
      <c r="RKT12" s="439"/>
      <c r="RKU12" s="439"/>
      <c r="RKV12" s="439"/>
      <c r="RKW12" s="439"/>
      <c r="RKX12" s="439"/>
      <c r="RKY12" s="439"/>
      <c r="RKZ12" s="439"/>
      <c r="RLA12" s="439"/>
      <c r="RLB12" s="439"/>
      <c r="RLC12" s="439"/>
      <c r="RLD12" s="439"/>
      <c r="RLE12" s="439"/>
      <c r="RLF12" s="439"/>
      <c r="RLG12" s="439"/>
      <c r="RLH12" s="439"/>
      <c r="RLI12" s="439"/>
      <c r="RLJ12" s="439"/>
      <c r="RLK12" s="439"/>
      <c r="RLL12" s="439"/>
      <c r="RLM12" s="439"/>
      <c r="RLN12" s="439"/>
      <c r="RLO12" s="439"/>
      <c r="RLP12" s="439"/>
      <c r="RLQ12" s="439"/>
      <c r="RLR12" s="439"/>
      <c r="RLS12" s="439"/>
      <c r="RLT12" s="439"/>
      <c r="RLU12" s="439"/>
      <c r="RLV12" s="439"/>
      <c r="RLW12" s="439"/>
      <c r="RLX12" s="439"/>
      <c r="RLY12" s="439"/>
      <c r="RLZ12" s="439"/>
      <c r="RMA12" s="439"/>
      <c r="RMB12" s="439"/>
      <c r="RMC12" s="439"/>
      <c r="RMD12" s="439"/>
      <c r="RME12" s="439"/>
      <c r="RMF12" s="439"/>
      <c r="RMG12" s="439"/>
      <c r="RMH12" s="439"/>
      <c r="RMI12" s="439"/>
      <c r="RMJ12" s="439"/>
      <c r="RMK12" s="439"/>
      <c r="RML12" s="439"/>
      <c r="RMM12" s="439"/>
      <c r="RMN12" s="439"/>
      <c r="RMO12" s="439"/>
      <c r="RMP12" s="439"/>
      <c r="RMQ12" s="439"/>
      <c r="RMR12" s="439"/>
      <c r="RMS12" s="439"/>
      <c r="RMT12" s="439"/>
      <c r="RMU12" s="439"/>
      <c r="RMV12" s="439"/>
      <c r="RMW12" s="439"/>
      <c r="RMX12" s="439"/>
      <c r="RMY12" s="439"/>
      <c r="RMZ12" s="439"/>
      <c r="RNA12" s="439"/>
      <c r="RNB12" s="439"/>
      <c r="RNC12" s="439"/>
      <c r="RND12" s="439"/>
      <c r="RNE12" s="439"/>
      <c r="RNF12" s="439"/>
      <c r="RNG12" s="439"/>
      <c r="RNH12" s="439"/>
      <c r="RNI12" s="439"/>
      <c r="RNJ12" s="439"/>
      <c r="RNK12" s="439"/>
      <c r="RNL12" s="439"/>
      <c r="RNM12" s="439"/>
      <c r="RNN12" s="439"/>
      <c r="RNO12" s="439"/>
      <c r="RNP12" s="439"/>
      <c r="RNQ12" s="439"/>
      <c r="RNR12" s="439"/>
      <c r="RNS12" s="439"/>
      <c r="RNT12" s="439"/>
      <c r="RNU12" s="439"/>
      <c r="RNV12" s="439"/>
      <c r="RNW12" s="439"/>
      <c r="RNX12" s="439"/>
      <c r="RNY12" s="439"/>
      <c r="RNZ12" s="439"/>
      <c r="ROA12" s="439"/>
      <c r="ROB12" s="439"/>
      <c r="ROC12" s="439"/>
      <c r="ROD12" s="439"/>
      <c r="ROE12" s="439"/>
      <c r="ROF12" s="439"/>
      <c r="ROG12" s="439"/>
      <c r="ROH12" s="439"/>
      <c r="ROI12" s="439"/>
      <c r="ROJ12" s="439"/>
      <c r="ROK12" s="439"/>
      <c r="ROL12" s="439"/>
      <c r="ROM12" s="439"/>
      <c r="RON12" s="439"/>
      <c r="ROO12" s="439"/>
      <c r="ROP12" s="439"/>
      <c r="ROQ12" s="439"/>
      <c r="ROR12" s="439"/>
      <c r="ROS12" s="439"/>
      <c r="ROT12" s="439"/>
      <c r="ROU12" s="439"/>
      <c r="ROV12" s="439"/>
      <c r="ROW12" s="439"/>
      <c r="ROX12" s="439"/>
      <c r="ROY12" s="439"/>
      <c r="ROZ12" s="439"/>
      <c r="RPA12" s="439"/>
      <c r="RPB12" s="439"/>
      <c r="RPC12" s="439"/>
      <c r="RPD12" s="439"/>
      <c r="RPE12" s="439"/>
      <c r="RPF12" s="439"/>
      <c r="RPG12" s="439"/>
      <c r="RPH12" s="439"/>
      <c r="RPI12" s="439"/>
      <c r="RPJ12" s="439"/>
      <c r="RPK12" s="439"/>
      <c r="RPL12" s="439"/>
      <c r="RPM12" s="439"/>
      <c r="RPN12" s="439"/>
      <c r="RPO12" s="439"/>
      <c r="RPP12" s="439"/>
      <c r="RPQ12" s="439"/>
      <c r="RPR12" s="439"/>
      <c r="RPS12" s="439"/>
      <c r="RPT12" s="439"/>
      <c r="RPU12" s="439"/>
      <c r="RPV12" s="439"/>
      <c r="RPW12" s="439"/>
      <c r="RPX12" s="439"/>
      <c r="RPY12" s="439"/>
      <c r="RPZ12" s="439"/>
      <c r="RQA12" s="439"/>
      <c r="RQB12" s="439"/>
      <c r="RQC12" s="439"/>
      <c r="RQD12" s="439"/>
      <c r="RQE12" s="439"/>
      <c r="RQF12" s="439"/>
      <c r="RQG12" s="439"/>
      <c r="RQH12" s="439"/>
      <c r="RQI12" s="439"/>
      <c r="RQJ12" s="439"/>
      <c r="RQK12" s="439"/>
      <c r="RQL12" s="439"/>
      <c r="RQM12" s="439"/>
      <c r="RQN12" s="439"/>
      <c r="RQO12" s="439"/>
      <c r="RQP12" s="439"/>
      <c r="RQQ12" s="439"/>
      <c r="RQR12" s="439"/>
      <c r="RQS12" s="439"/>
      <c r="RQT12" s="439"/>
      <c r="RQU12" s="439"/>
      <c r="RQV12" s="439"/>
      <c r="RQW12" s="439"/>
      <c r="RQX12" s="439"/>
      <c r="RQY12" s="439"/>
      <c r="RQZ12" s="439"/>
      <c r="RRA12" s="439"/>
      <c r="RRB12" s="439"/>
      <c r="RRC12" s="439"/>
      <c r="RRD12" s="439"/>
      <c r="RRE12" s="439"/>
      <c r="RRF12" s="439"/>
      <c r="RRG12" s="439"/>
      <c r="RRH12" s="439"/>
      <c r="RRI12" s="439"/>
      <c r="RRJ12" s="439"/>
      <c r="RRK12" s="439"/>
      <c r="RRL12" s="439"/>
      <c r="RRM12" s="439"/>
      <c r="RRN12" s="439"/>
      <c r="RRO12" s="439"/>
      <c r="RRP12" s="439"/>
      <c r="RRQ12" s="439"/>
      <c r="RRR12" s="439"/>
      <c r="RRS12" s="439"/>
      <c r="RRT12" s="439"/>
      <c r="RRU12" s="439"/>
      <c r="RRV12" s="439"/>
      <c r="RRW12" s="439"/>
      <c r="RRX12" s="439"/>
      <c r="RRY12" s="439"/>
      <c r="RRZ12" s="439"/>
      <c r="RSA12" s="439"/>
      <c r="RSB12" s="439"/>
      <c r="RSC12" s="439"/>
      <c r="RSD12" s="439"/>
      <c r="RSE12" s="439"/>
      <c r="RSF12" s="439"/>
      <c r="RSG12" s="439"/>
      <c r="RSH12" s="439"/>
      <c r="RSI12" s="439"/>
      <c r="RSJ12" s="439"/>
      <c r="RSK12" s="439"/>
      <c r="RSL12" s="439"/>
      <c r="RSM12" s="439"/>
      <c r="RSN12" s="439"/>
      <c r="RSO12" s="439"/>
      <c r="RSP12" s="439"/>
      <c r="RSQ12" s="439"/>
      <c r="RSR12" s="439"/>
      <c r="RSS12" s="439"/>
      <c r="RST12" s="439"/>
      <c r="RSU12" s="439"/>
      <c r="RSV12" s="439"/>
      <c r="RSW12" s="439"/>
      <c r="RSX12" s="439"/>
      <c r="RSY12" s="439"/>
      <c r="RSZ12" s="439"/>
      <c r="RTA12" s="439"/>
      <c r="RTB12" s="439"/>
      <c r="RTC12" s="439"/>
      <c r="RTD12" s="439"/>
      <c r="RTE12" s="439"/>
      <c r="RTF12" s="439"/>
      <c r="RTG12" s="439"/>
      <c r="RTH12" s="439"/>
      <c r="RTI12" s="439"/>
      <c r="RTJ12" s="439"/>
      <c r="RTK12" s="439"/>
      <c r="RTL12" s="439"/>
      <c r="RTM12" s="439"/>
      <c r="RTN12" s="439"/>
      <c r="RTO12" s="439"/>
      <c r="RTP12" s="439"/>
      <c r="RTQ12" s="439"/>
      <c r="RTR12" s="439"/>
      <c r="RTS12" s="439"/>
      <c r="RTT12" s="439"/>
      <c r="RTU12" s="439"/>
      <c r="RTV12" s="439"/>
      <c r="RTW12" s="439"/>
      <c r="RTX12" s="439"/>
      <c r="RTY12" s="439"/>
      <c r="RTZ12" s="439"/>
      <c r="RUA12" s="439"/>
      <c r="RUB12" s="439"/>
      <c r="RUC12" s="439"/>
      <c r="RUD12" s="439"/>
      <c r="RUE12" s="439"/>
      <c r="RUF12" s="439"/>
      <c r="RUG12" s="439"/>
      <c r="RUH12" s="439"/>
      <c r="RUI12" s="439"/>
      <c r="RUJ12" s="439"/>
      <c r="RUK12" s="439"/>
      <c r="RUL12" s="439"/>
      <c r="RUM12" s="439"/>
      <c r="RUN12" s="439"/>
      <c r="RUO12" s="439"/>
      <c r="RUP12" s="439"/>
      <c r="RUQ12" s="439"/>
      <c r="RUR12" s="439"/>
      <c r="RUS12" s="439"/>
      <c r="RUT12" s="439"/>
      <c r="RUU12" s="439"/>
      <c r="RUV12" s="439"/>
      <c r="RUW12" s="439"/>
      <c r="RUX12" s="439"/>
      <c r="RUY12" s="439"/>
      <c r="RUZ12" s="439"/>
      <c r="RVA12" s="439"/>
      <c r="RVB12" s="439"/>
      <c r="RVC12" s="439"/>
      <c r="RVD12" s="439"/>
      <c r="RVE12" s="439"/>
      <c r="RVF12" s="439"/>
      <c r="RVG12" s="439"/>
      <c r="RVH12" s="439"/>
      <c r="RVI12" s="439"/>
      <c r="RVJ12" s="439"/>
      <c r="RVK12" s="439"/>
      <c r="RVL12" s="439"/>
      <c r="RVM12" s="439"/>
      <c r="RVN12" s="439"/>
      <c r="RVO12" s="439"/>
      <c r="RVP12" s="439"/>
      <c r="RVQ12" s="439"/>
      <c r="RVR12" s="439"/>
      <c r="RVS12" s="439"/>
      <c r="RVT12" s="439"/>
      <c r="RVU12" s="439"/>
      <c r="RVV12" s="439"/>
      <c r="RVW12" s="439"/>
      <c r="RVX12" s="439"/>
      <c r="RVY12" s="439"/>
      <c r="RVZ12" s="439"/>
      <c r="RWA12" s="439"/>
      <c r="RWB12" s="439"/>
      <c r="RWC12" s="439"/>
      <c r="RWD12" s="439"/>
      <c r="RWE12" s="439"/>
      <c r="RWF12" s="439"/>
      <c r="RWG12" s="439"/>
      <c r="RWH12" s="439"/>
      <c r="RWI12" s="439"/>
      <c r="RWJ12" s="439"/>
      <c r="RWK12" s="439"/>
      <c r="RWL12" s="439"/>
      <c r="RWM12" s="439"/>
      <c r="RWN12" s="439"/>
      <c r="RWO12" s="439"/>
      <c r="RWP12" s="439"/>
      <c r="RWQ12" s="439"/>
      <c r="RWR12" s="439"/>
      <c r="RWS12" s="439"/>
      <c r="RWT12" s="439"/>
      <c r="RWU12" s="439"/>
      <c r="RWV12" s="439"/>
      <c r="RWW12" s="439"/>
      <c r="RWX12" s="439"/>
      <c r="RWY12" s="439"/>
      <c r="RWZ12" s="439"/>
      <c r="RXA12" s="439"/>
      <c r="RXB12" s="439"/>
      <c r="RXC12" s="439"/>
      <c r="RXD12" s="439"/>
      <c r="RXE12" s="439"/>
      <c r="RXF12" s="439"/>
      <c r="RXG12" s="439"/>
      <c r="RXH12" s="439"/>
      <c r="RXI12" s="439"/>
      <c r="RXJ12" s="439"/>
      <c r="RXK12" s="439"/>
      <c r="RXL12" s="439"/>
      <c r="RXM12" s="439"/>
      <c r="RXN12" s="439"/>
      <c r="RXO12" s="439"/>
      <c r="RXP12" s="439"/>
      <c r="RXQ12" s="439"/>
      <c r="RXR12" s="439"/>
      <c r="RXS12" s="439"/>
      <c r="RXT12" s="439"/>
      <c r="RXU12" s="439"/>
      <c r="RXV12" s="439"/>
      <c r="RXW12" s="439"/>
      <c r="RXX12" s="439"/>
      <c r="RXY12" s="439"/>
      <c r="RXZ12" s="439"/>
      <c r="RYA12" s="439"/>
      <c r="RYB12" s="439"/>
      <c r="RYC12" s="439"/>
      <c r="RYD12" s="439"/>
      <c r="RYE12" s="439"/>
      <c r="RYF12" s="439"/>
      <c r="RYG12" s="439"/>
      <c r="RYH12" s="439"/>
      <c r="RYI12" s="439"/>
      <c r="RYJ12" s="439"/>
      <c r="RYK12" s="439"/>
      <c r="RYL12" s="439"/>
      <c r="RYM12" s="439"/>
      <c r="RYN12" s="439"/>
      <c r="RYO12" s="439"/>
      <c r="RYP12" s="439"/>
      <c r="RYQ12" s="439"/>
      <c r="RYR12" s="439"/>
      <c r="RYS12" s="439"/>
      <c r="RYT12" s="439"/>
      <c r="RYU12" s="439"/>
      <c r="RYV12" s="439"/>
      <c r="RYW12" s="439"/>
      <c r="RYX12" s="439"/>
      <c r="RYY12" s="439"/>
      <c r="RYZ12" s="439"/>
      <c r="RZA12" s="439"/>
      <c r="RZB12" s="439"/>
      <c r="RZC12" s="439"/>
      <c r="RZD12" s="439"/>
      <c r="RZE12" s="439"/>
      <c r="RZF12" s="439"/>
      <c r="RZG12" s="439"/>
      <c r="RZH12" s="439"/>
      <c r="RZI12" s="439"/>
      <c r="RZJ12" s="439"/>
      <c r="RZK12" s="439"/>
      <c r="RZL12" s="439"/>
      <c r="RZM12" s="439"/>
      <c r="RZN12" s="439"/>
      <c r="RZO12" s="439"/>
      <c r="RZP12" s="439"/>
      <c r="RZQ12" s="439"/>
      <c r="RZR12" s="439"/>
      <c r="RZS12" s="439"/>
      <c r="RZT12" s="439"/>
      <c r="RZU12" s="439"/>
      <c r="RZV12" s="439"/>
      <c r="RZW12" s="439"/>
      <c r="RZX12" s="439"/>
      <c r="RZY12" s="439"/>
      <c r="RZZ12" s="439"/>
      <c r="SAA12" s="439"/>
      <c r="SAB12" s="439"/>
      <c r="SAC12" s="439"/>
      <c r="SAD12" s="439"/>
      <c r="SAE12" s="439"/>
      <c r="SAF12" s="439"/>
      <c r="SAG12" s="439"/>
      <c r="SAH12" s="439"/>
      <c r="SAI12" s="439"/>
      <c r="SAJ12" s="439"/>
      <c r="SAK12" s="439"/>
      <c r="SAL12" s="439"/>
      <c r="SAM12" s="439"/>
      <c r="SAN12" s="439"/>
      <c r="SAO12" s="439"/>
      <c r="SAP12" s="439"/>
      <c r="SAQ12" s="439"/>
      <c r="SAR12" s="439"/>
      <c r="SAS12" s="439"/>
      <c r="SAT12" s="439"/>
      <c r="SAU12" s="439"/>
      <c r="SAV12" s="439"/>
      <c r="SAW12" s="439"/>
      <c r="SAX12" s="439"/>
      <c r="SAY12" s="439"/>
      <c r="SAZ12" s="439"/>
      <c r="SBA12" s="439"/>
      <c r="SBB12" s="439"/>
      <c r="SBC12" s="439"/>
      <c r="SBD12" s="439"/>
      <c r="SBE12" s="439"/>
      <c r="SBF12" s="439"/>
      <c r="SBG12" s="439"/>
      <c r="SBH12" s="439"/>
      <c r="SBI12" s="439"/>
      <c r="SBJ12" s="439"/>
      <c r="SBK12" s="439"/>
      <c r="SBL12" s="439"/>
      <c r="SBM12" s="439"/>
      <c r="SBN12" s="439"/>
      <c r="SBO12" s="439"/>
      <c r="SBP12" s="439"/>
      <c r="SBQ12" s="439"/>
      <c r="SBR12" s="439"/>
      <c r="SBS12" s="439"/>
      <c r="SBT12" s="439"/>
      <c r="SBU12" s="439"/>
      <c r="SBV12" s="439"/>
      <c r="SBW12" s="439"/>
      <c r="SBX12" s="439"/>
      <c r="SBY12" s="439"/>
      <c r="SBZ12" s="439"/>
      <c r="SCA12" s="439"/>
      <c r="SCB12" s="439"/>
      <c r="SCC12" s="439"/>
      <c r="SCD12" s="439"/>
      <c r="SCE12" s="439"/>
      <c r="SCF12" s="439"/>
      <c r="SCG12" s="439"/>
      <c r="SCH12" s="439"/>
      <c r="SCI12" s="439"/>
      <c r="SCJ12" s="439"/>
      <c r="SCK12" s="439"/>
      <c r="SCL12" s="439"/>
      <c r="SCM12" s="439"/>
      <c r="SCN12" s="439"/>
      <c r="SCO12" s="439"/>
      <c r="SCP12" s="439"/>
      <c r="SCQ12" s="439"/>
      <c r="SCR12" s="439"/>
      <c r="SCS12" s="439"/>
      <c r="SCT12" s="439"/>
      <c r="SCU12" s="439"/>
      <c r="SCV12" s="439"/>
      <c r="SCW12" s="439"/>
      <c r="SCX12" s="439"/>
      <c r="SCY12" s="439"/>
      <c r="SCZ12" s="439"/>
      <c r="SDA12" s="439"/>
      <c r="SDB12" s="439"/>
      <c r="SDC12" s="439"/>
      <c r="SDD12" s="439"/>
      <c r="SDE12" s="439"/>
      <c r="SDF12" s="439"/>
      <c r="SDG12" s="439"/>
      <c r="SDH12" s="439"/>
      <c r="SDI12" s="439"/>
      <c r="SDJ12" s="439"/>
      <c r="SDK12" s="439"/>
      <c r="SDL12" s="439"/>
      <c r="SDM12" s="439"/>
      <c r="SDN12" s="439"/>
      <c r="SDO12" s="439"/>
      <c r="SDP12" s="439"/>
      <c r="SDQ12" s="439"/>
      <c r="SDR12" s="439"/>
      <c r="SDS12" s="439"/>
      <c r="SDT12" s="439"/>
      <c r="SDU12" s="439"/>
      <c r="SDV12" s="439"/>
      <c r="SDW12" s="439"/>
      <c r="SDX12" s="439"/>
      <c r="SDY12" s="439"/>
      <c r="SDZ12" s="439"/>
      <c r="SEA12" s="439"/>
      <c r="SEB12" s="439"/>
      <c r="SEC12" s="439"/>
      <c r="SED12" s="439"/>
      <c r="SEE12" s="439"/>
      <c r="SEF12" s="439"/>
      <c r="SEG12" s="439"/>
      <c r="SEH12" s="439"/>
      <c r="SEI12" s="439"/>
      <c r="SEJ12" s="439"/>
      <c r="SEK12" s="439"/>
      <c r="SEL12" s="439"/>
      <c r="SEM12" s="439"/>
      <c r="SEN12" s="439"/>
      <c r="SEO12" s="439"/>
      <c r="SEP12" s="439"/>
      <c r="SEQ12" s="439"/>
      <c r="SER12" s="439"/>
      <c r="SES12" s="439"/>
      <c r="SET12" s="439"/>
      <c r="SEU12" s="439"/>
      <c r="SEV12" s="439"/>
      <c r="SEW12" s="439"/>
      <c r="SEX12" s="439"/>
      <c r="SEY12" s="439"/>
      <c r="SEZ12" s="439"/>
      <c r="SFA12" s="439"/>
      <c r="SFB12" s="439"/>
      <c r="SFC12" s="439"/>
      <c r="SFD12" s="439"/>
      <c r="SFE12" s="439"/>
      <c r="SFF12" s="439"/>
      <c r="SFG12" s="439"/>
      <c r="SFH12" s="439"/>
      <c r="SFI12" s="439"/>
      <c r="SFJ12" s="439"/>
      <c r="SFK12" s="439"/>
      <c r="SFL12" s="439"/>
      <c r="SFM12" s="439"/>
      <c r="SFN12" s="439"/>
      <c r="SFO12" s="439"/>
      <c r="SFP12" s="439"/>
      <c r="SFQ12" s="439"/>
      <c r="SFR12" s="439"/>
      <c r="SFS12" s="439"/>
      <c r="SFT12" s="439"/>
      <c r="SFU12" s="439"/>
      <c r="SFV12" s="439"/>
      <c r="SFW12" s="439"/>
      <c r="SFX12" s="439"/>
      <c r="SFY12" s="439"/>
      <c r="SFZ12" s="439"/>
      <c r="SGA12" s="439"/>
      <c r="SGB12" s="439"/>
      <c r="SGC12" s="439"/>
      <c r="SGD12" s="439"/>
      <c r="SGE12" s="439"/>
      <c r="SGF12" s="439"/>
      <c r="SGG12" s="439"/>
      <c r="SGH12" s="439"/>
      <c r="SGI12" s="439"/>
      <c r="SGJ12" s="439"/>
      <c r="SGK12" s="439"/>
      <c r="SGL12" s="439"/>
      <c r="SGM12" s="439"/>
      <c r="SGN12" s="439"/>
      <c r="SGO12" s="439"/>
      <c r="SGP12" s="439"/>
      <c r="SGQ12" s="439"/>
      <c r="SGR12" s="439"/>
      <c r="SGS12" s="439"/>
      <c r="SGT12" s="439"/>
      <c r="SGU12" s="439"/>
      <c r="SGV12" s="439"/>
      <c r="SGW12" s="439"/>
      <c r="SGX12" s="439"/>
      <c r="SGY12" s="439"/>
      <c r="SGZ12" s="439"/>
      <c r="SHA12" s="439"/>
      <c r="SHB12" s="439"/>
      <c r="SHC12" s="439"/>
      <c r="SHD12" s="439"/>
      <c r="SHE12" s="439"/>
      <c r="SHF12" s="439"/>
      <c r="SHG12" s="439"/>
      <c r="SHH12" s="439"/>
      <c r="SHI12" s="439"/>
      <c r="SHJ12" s="439"/>
      <c r="SHK12" s="439"/>
      <c r="SHL12" s="439"/>
      <c r="SHM12" s="439"/>
      <c r="SHN12" s="439"/>
      <c r="SHO12" s="439"/>
      <c r="SHP12" s="439"/>
      <c r="SHQ12" s="439"/>
      <c r="SHR12" s="439"/>
      <c r="SHS12" s="439"/>
      <c r="SHT12" s="439"/>
      <c r="SHU12" s="439"/>
      <c r="SHV12" s="439"/>
      <c r="SHW12" s="439"/>
      <c r="SHX12" s="439"/>
      <c r="SHY12" s="439"/>
      <c r="SHZ12" s="439"/>
      <c r="SIA12" s="439"/>
      <c r="SIB12" s="439"/>
      <c r="SIC12" s="439"/>
      <c r="SID12" s="439"/>
      <c r="SIE12" s="439"/>
      <c r="SIF12" s="439"/>
      <c r="SIG12" s="439"/>
      <c r="SIH12" s="439"/>
      <c r="SII12" s="439"/>
      <c r="SIJ12" s="439"/>
      <c r="SIK12" s="439"/>
      <c r="SIL12" s="439"/>
      <c r="SIM12" s="439"/>
      <c r="SIN12" s="439"/>
      <c r="SIO12" s="439"/>
      <c r="SIP12" s="439"/>
      <c r="SIQ12" s="439"/>
      <c r="SIR12" s="439"/>
      <c r="SIS12" s="439"/>
      <c r="SIT12" s="439"/>
      <c r="SIU12" s="439"/>
      <c r="SIV12" s="439"/>
      <c r="SIW12" s="439"/>
      <c r="SIX12" s="439"/>
      <c r="SIY12" s="439"/>
      <c r="SIZ12" s="439"/>
      <c r="SJA12" s="439"/>
      <c r="SJB12" s="439"/>
      <c r="SJC12" s="439"/>
      <c r="SJD12" s="439"/>
      <c r="SJE12" s="439"/>
      <c r="SJF12" s="439"/>
      <c r="SJG12" s="439"/>
      <c r="SJH12" s="439"/>
      <c r="SJI12" s="439"/>
      <c r="SJJ12" s="439"/>
      <c r="SJK12" s="439"/>
      <c r="SJL12" s="439"/>
      <c r="SJM12" s="439"/>
      <c r="SJN12" s="439"/>
      <c r="SJO12" s="439"/>
      <c r="SJP12" s="439"/>
      <c r="SJQ12" s="439"/>
      <c r="SJR12" s="439"/>
      <c r="SJS12" s="439"/>
      <c r="SJT12" s="439"/>
      <c r="SJU12" s="439"/>
      <c r="SJV12" s="439"/>
      <c r="SJW12" s="439"/>
      <c r="SJX12" s="439"/>
      <c r="SJY12" s="439"/>
      <c r="SJZ12" s="439"/>
      <c r="SKA12" s="439"/>
      <c r="SKB12" s="439"/>
      <c r="SKC12" s="439"/>
      <c r="SKD12" s="439"/>
      <c r="SKE12" s="439"/>
      <c r="SKF12" s="439"/>
      <c r="SKG12" s="439"/>
      <c r="SKH12" s="439"/>
      <c r="SKI12" s="439"/>
      <c r="SKJ12" s="439"/>
      <c r="SKK12" s="439"/>
      <c r="SKL12" s="439"/>
      <c r="SKM12" s="439"/>
      <c r="SKN12" s="439"/>
      <c r="SKO12" s="439"/>
      <c r="SKP12" s="439"/>
      <c r="SKQ12" s="439"/>
      <c r="SKR12" s="439"/>
      <c r="SKS12" s="439"/>
      <c r="SKT12" s="439"/>
      <c r="SKU12" s="439"/>
      <c r="SKV12" s="439"/>
      <c r="SKW12" s="439"/>
      <c r="SKX12" s="439"/>
      <c r="SKY12" s="439"/>
      <c r="SKZ12" s="439"/>
      <c r="SLA12" s="439"/>
      <c r="SLB12" s="439"/>
      <c r="SLC12" s="439"/>
      <c r="SLD12" s="439"/>
      <c r="SLE12" s="439"/>
      <c r="SLF12" s="439"/>
      <c r="SLG12" s="439"/>
      <c r="SLH12" s="439"/>
      <c r="SLI12" s="439"/>
      <c r="SLJ12" s="439"/>
      <c r="SLK12" s="439"/>
      <c r="SLL12" s="439"/>
      <c r="SLM12" s="439"/>
      <c r="SLN12" s="439"/>
      <c r="SLO12" s="439"/>
      <c r="SLP12" s="439"/>
      <c r="SLQ12" s="439"/>
      <c r="SLR12" s="439"/>
      <c r="SLS12" s="439"/>
      <c r="SLT12" s="439"/>
      <c r="SLU12" s="439"/>
      <c r="SLV12" s="439"/>
      <c r="SLW12" s="439"/>
      <c r="SLX12" s="439"/>
      <c r="SLY12" s="439"/>
      <c r="SLZ12" s="439"/>
      <c r="SMA12" s="439"/>
      <c r="SMB12" s="439"/>
      <c r="SMC12" s="439"/>
      <c r="SMD12" s="439"/>
      <c r="SME12" s="439"/>
      <c r="SMF12" s="439"/>
      <c r="SMG12" s="439"/>
      <c r="SMH12" s="439"/>
      <c r="SMI12" s="439"/>
      <c r="SMJ12" s="439"/>
      <c r="SMK12" s="439"/>
      <c r="SML12" s="439"/>
      <c r="SMM12" s="439"/>
      <c r="SMN12" s="439"/>
      <c r="SMO12" s="439"/>
      <c r="SMP12" s="439"/>
      <c r="SMQ12" s="439"/>
      <c r="SMR12" s="439"/>
      <c r="SMS12" s="439"/>
      <c r="SMT12" s="439"/>
      <c r="SMU12" s="439"/>
      <c r="SMV12" s="439"/>
      <c r="SMW12" s="439"/>
      <c r="SMX12" s="439"/>
      <c r="SMY12" s="439"/>
      <c r="SMZ12" s="439"/>
      <c r="SNA12" s="439"/>
      <c r="SNB12" s="439"/>
      <c r="SNC12" s="439"/>
      <c r="SND12" s="439"/>
      <c r="SNE12" s="439"/>
      <c r="SNF12" s="439"/>
      <c r="SNG12" s="439"/>
      <c r="SNH12" s="439"/>
      <c r="SNI12" s="439"/>
      <c r="SNJ12" s="439"/>
      <c r="SNK12" s="439"/>
      <c r="SNL12" s="439"/>
      <c r="SNM12" s="439"/>
      <c r="SNN12" s="439"/>
      <c r="SNO12" s="439"/>
      <c r="SNP12" s="439"/>
      <c r="SNQ12" s="439"/>
      <c r="SNR12" s="439"/>
      <c r="SNS12" s="439"/>
      <c r="SNT12" s="439"/>
      <c r="SNU12" s="439"/>
      <c r="SNV12" s="439"/>
      <c r="SNW12" s="439"/>
      <c r="SNX12" s="439"/>
      <c r="SNY12" s="439"/>
      <c r="SNZ12" s="439"/>
      <c r="SOA12" s="439"/>
      <c r="SOB12" s="439"/>
      <c r="SOC12" s="439"/>
      <c r="SOD12" s="439"/>
      <c r="SOE12" s="439"/>
      <c r="SOF12" s="439"/>
      <c r="SOG12" s="439"/>
      <c r="SOH12" s="439"/>
      <c r="SOI12" s="439"/>
      <c r="SOJ12" s="439"/>
      <c r="SOK12" s="439"/>
      <c r="SOL12" s="439"/>
      <c r="SOM12" s="439"/>
      <c r="SON12" s="439"/>
      <c r="SOO12" s="439"/>
      <c r="SOP12" s="439"/>
      <c r="SOQ12" s="439"/>
      <c r="SOR12" s="439"/>
      <c r="SOS12" s="439"/>
      <c r="SOT12" s="439"/>
      <c r="SOU12" s="439"/>
      <c r="SOV12" s="439"/>
      <c r="SOW12" s="439"/>
      <c r="SOX12" s="439"/>
      <c r="SOY12" s="439"/>
      <c r="SOZ12" s="439"/>
      <c r="SPA12" s="439"/>
      <c r="SPB12" s="439"/>
      <c r="SPC12" s="439"/>
      <c r="SPD12" s="439"/>
      <c r="SPE12" s="439"/>
      <c r="SPF12" s="439"/>
      <c r="SPG12" s="439"/>
      <c r="SPH12" s="439"/>
      <c r="SPI12" s="439"/>
      <c r="SPJ12" s="439"/>
      <c r="SPK12" s="439"/>
      <c r="SPL12" s="439"/>
      <c r="SPM12" s="439"/>
      <c r="SPN12" s="439"/>
      <c r="SPO12" s="439"/>
      <c r="SPP12" s="439"/>
      <c r="SPQ12" s="439"/>
      <c r="SPR12" s="439"/>
      <c r="SPS12" s="439"/>
      <c r="SPT12" s="439"/>
      <c r="SPU12" s="439"/>
      <c r="SPV12" s="439"/>
      <c r="SPW12" s="439"/>
      <c r="SPX12" s="439"/>
      <c r="SPY12" s="439"/>
      <c r="SPZ12" s="439"/>
      <c r="SQA12" s="439"/>
      <c r="SQB12" s="439"/>
      <c r="SQC12" s="439"/>
      <c r="SQD12" s="439"/>
      <c r="SQE12" s="439"/>
      <c r="SQF12" s="439"/>
      <c r="SQG12" s="439"/>
      <c r="SQH12" s="439"/>
      <c r="SQI12" s="439"/>
      <c r="SQJ12" s="439"/>
      <c r="SQK12" s="439"/>
      <c r="SQL12" s="439"/>
      <c r="SQM12" s="439"/>
      <c r="SQN12" s="439"/>
      <c r="SQO12" s="439"/>
      <c r="SQP12" s="439"/>
      <c r="SQQ12" s="439"/>
      <c r="SQR12" s="439"/>
      <c r="SQS12" s="439"/>
      <c r="SQT12" s="439"/>
      <c r="SQU12" s="439"/>
      <c r="SQV12" s="439"/>
      <c r="SQW12" s="439"/>
      <c r="SQX12" s="439"/>
      <c r="SQY12" s="439"/>
      <c r="SQZ12" s="439"/>
      <c r="SRA12" s="439"/>
      <c r="SRB12" s="439"/>
      <c r="SRC12" s="439"/>
      <c r="SRD12" s="439"/>
      <c r="SRE12" s="439"/>
      <c r="SRF12" s="439"/>
      <c r="SRG12" s="439"/>
      <c r="SRH12" s="439"/>
      <c r="SRI12" s="439"/>
      <c r="SRJ12" s="439"/>
      <c r="SRK12" s="439"/>
      <c r="SRL12" s="439"/>
      <c r="SRM12" s="439"/>
      <c r="SRN12" s="439"/>
      <c r="SRO12" s="439"/>
      <c r="SRP12" s="439"/>
      <c r="SRQ12" s="439"/>
      <c r="SRR12" s="439"/>
      <c r="SRS12" s="439"/>
      <c r="SRT12" s="439"/>
      <c r="SRU12" s="439"/>
      <c r="SRV12" s="439"/>
      <c r="SRW12" s="439"/>
      <c r="SRX12" s="439"/>
      <c r="SRY12" s="439"/>
      <c r="SRZ12" s="439"/>
      <c r="SSA12" s="439"/>
      <c r="SSB12" s="439"/>
      <c r="SSC12" s="439"/>
      <c r="SSD12" s="439"/>
      <c r="SSE12" s="439"/>
      <c r="SSF12" s="439"/>
      <c r="SSG12" s="439"/>
      <c r="SSH12" s="439"/>
      <c r="SSI12" s="439"/>
      <c r="SSJ12" s="439"/>
      <c r="SSK12" s="439"/>
      <c r="SSL12" s="439"/>
      <c r="SSM12" s="439"/>
      <c r="SSN12" s="439"/>
      <c r="SSO12" s="439"/>
      <c r="SSP12" s="439"/>
      <c r="SSQ12" s="439"/>
      <c r="SSR12" s="439"/>
      <c r="SSS12" s="439"/>
      <c r="SST12" s="439"/>
      <c r="SSU12" s="439"/>
      <c r="SSV12" s="439"/>
      <c r="SSW12" s="439"/>
      <c r="SSX12" s="439"/>
      <c r="SSY12" s="439"/>
      <c r="SSZ12" s="439"/>
      <c r="STA12" s="439"/>
      <c r="STB12" s="439"/>
      <c r="STC12" s="439"/>
      <c r="STD12" s="439"/>
      <c r="STE12" s="439"/>
      <c r="STF12" s="439"/>
      <c r="STG12" s="439"/>
      <c r="STH12" s="439"/>
      <c r="STI12" s="439"/>
      <c r="STJ12" s="439"/>
      <c r="STK12" s="439"/>
      <c r="STL12" s="439"/>
      <c r="STM12" s="439"/>
      <c r="STN12" s="439"/>
      <c r="STO12" s="439"/>
      <c r="STP12" s="439"/>
      <c r="STQ12" s="439"/>
      <c r="STR12" s="439"/>
      <c r="STS12" s="439"/>
      <c r="STT12" s="439"/>
      <c r="STU12" s="439"/>
      <c r="STV12" s="439"/>
      <c r="STW12" s="439"/>
      <c r="STX12" s="439"/>
      <c r="STY12" s="439"/>
      <c r="STZ12" s="439"/>
      <c r="SUA12" s="439"/>
      <c r="SUB12" s="439"/>
      <c r="SUC12" s="439"/>
      <c r="SUD12" s="439"/>
      <c r="SUE12" s="439"/>
      <c r="SUF12" s="439"/>
      <c r="SUG12" s="439"/>
      <c r="SUH12" s="439"/>
      <c r="SUI12" s="439"/>
      <c r="SUJ12" s="439"/>
      <c r="SUK12" s="439"/>
      <c r="SUL12" s="439"/>
      <c r="SUM12" s="439"/>
      <c r="SUN12" s="439"/>
      <c r="SUO12" s="439"/>
      <c r="SUP12" s="439"/>
      <c r="SUQ12" s="439"/>
      <c r="SUR12" s="439"/>
      <c r="SUS12" s="439"/>
      <c r="SUT12" s="439"/>
      <c r="SUU12" s="439"/>
      <c r="SUV12" s="439"/>
      <c r="SUW12" s="439"/>
      <c r="SUX12" s="439"/>
      <c r="SUY12" s="439"/>
      <c r="SUZ12" s="439"/>
      <c r="SVA12" s="439"/>
      <c r="SVB12" s="439"/>
      <c r="SVC12" s="439"/>
      <c r="SVD12" s="439"/>
      <c r="SVE12" s="439"/>
      <c r="SVF12" s="439"/>
      <c r="SVG12" s="439"/>
      <c r="SVH12" s="439"/>
      <c r="SVI12" s="439"/>
      <c r="SVJ12" s="439"/>
      <c r="SVK12" s="439"/>
      <c r="SVL12" s="439"/>
      <c r="SVM12" s="439"/>
      <c r="SVN12" s="439"/>
      <c r="SVO12" s="439"/>
      <c r="SVP12" s="439"/>
      <c r="SVQ12" s="439"/>
      <c r="SVR12" s="439"/>
      <c r="SVS12" s="439"/>
      <c r="SVT12" s="439"/>
      <c r="SVU12" s="439"/>
      <c r="SVV12" s="439"/>
      <c r="SVW12" s="439"/>
      <c r="SVX12" s="439"/>
      <c r="SVY12" s="439"/>
      <c r="SVZ12" s="439"/>
      <c r="SWA12" s="439"/>
      <c r="SWB12" s="439"/>
      <c r="SWC12" s="439"/>
      <c r="SWD12" s="439"/>
      <c r="SWE12" s="439"/>
      <c r="SWF12" s="439"/>
      <c r="SWG12" s="439"/>
      <c r="SWH12" s="439"/>
      <c r="SWI12" s="439"/>
      <c r="SWJ12" s="439"/>
      <c r="SWK12" s="439"/>
      <c r="SWL12" s="439"/>
      <c r="SWM12" s="439"/>
      <c r="SWN12" s="439"/>
      <c r="SWO12" s="439"/>
      <c r="SWP12" s="439"/>
      <c r="SWQ12" s="439"/>
      <c r="SWR12" s="439"/>
      <c r="SWS12" s="439"/>
      <c r="SWT12" s="439"/>
      <c r="SWU12" s="439"/>
      <c r="SWV12" s="439"/>
      <c r="SWW12" s="439"/>
      <c r="SWX12" s="439"/>
      <c r="SWY12" s="439"/>
      <c r="SWZ12" s="439"/>
      <c r="SXA12" s="439"/>
      <c r="SXB12" s="439"/>
      <c r="SXC12" s="439"/>
      <c r="SXD12" s="439"/>
      <c r="SXE12" s="439"/>
      <c r="SXF12" s="439"/>
      <c r="SXG12" s="439"/>
      <c r="SXH12" s="439"/>
      <c r="SXI12" s="439"/>
      <c r="SXJ12" s="439"/>
      <c r="SXK12" s="439"/>
      <c r="SXL12" s="439"/>
      <c r="SXM12" s="439"/>
      <c r="SXN12" s="439"/>
      <c r="SXO12" s="439"/>
      <c r="SXP12" s="439"/>
      <c r="SXQ12" s="439"/>
      <c r="SXR12" s="439"/>
      <c r="SXS12" s="439"/>
      <c r="SXT12" s="439"/>
      <c r="SXU12" s="439"/>
      <c r="SXV12" s="439"/>
      <c r="SXW12" s="439"/>
      <c r="SXX12" s="439"/>
      <c r="SXY12" s="439"/>
      <c r="SXZ12" s="439"/>
      <c r="SYA12" s="439"/>
      <c r="SYB12" s="439"/>
      <c r="SYC12" s="439"/>
      <c r="SYD12" s="439"/>
      <c r="SYE12" s="439"/>
      <c r="SYF12" s="439"/>
      <c r="SYG12" s="439"/>
      <c r="SYH12" s="439"/>
      <c r="SYI12" s="439"/>
      <c r="SYJ12" s="439"/>
      <c r="SYK12" s="439"/>
      <c r="SYL12" s="439"/>
      <c r="SYM12" s="439"/>
      <c r="SYN12" s="439"/>
      <c r="SYO12" s="439"/>
      <c r="SYP12" s="439"/>
      <c r="SYQ12" s="439"/>
      <c r="SYR12" s="439"/>
      <c r="SYS12" s="439"/>
      <c r="SYT12" s="439"/>
      <c r="SYU12" s="439"/>
      <c r="SYV12" s="439"/>
      <c r="SYW12" s="439"/>
      <c r="SYX12" s="439"/>
      <c r="SYY12" s="439"/>
      <c r="SYZ12" s="439"/>
      <c r="SZA12" s="439"/>
      <c r="SZB12" s="439"/>
      <c r="SZC12" s="439"/>
      <c r="SZD12" s="439"/>
      <c r="SZE12" s="439"/>
      <c r="SZF12" s="439"/>
      <c r="SZG12" s="439"/>
      <c r="SZH12" s="439"/>
      <c r="SZI12" s="439"/>
      <c r="SZJ12" s="439"/>
      <c r="SZK12" s="439"/>
      <c r="SZL12" s="439"/>
      <c r="SZM12" s="439"/>
      <c r="SZN12" s="439"/>
      <c r="SZO12" s="439"/>
      <c r="SZP12" s="439"/>
      <c r="SZQ12" s="439"/>
      <c r="SZR12" s="439"/>
      <c r="SZS12" s="439"/>
      <c r="SZT12" s="439"/>
      <c r="SZU12" s="439"/>
      <c r="SZV12" s="439"/>
      <c r="SZW12" s="439"/>
      <c r="SZX12" s="439"/>
      <c r="SZY12" s="439"/>
      <c r="SZZ12" s="439"/>
      <c r="TAA12" s="439"/>
      <c r="TAB12" s="439"/>
      <c r="TAC12" s="439"/>
      <c r="TAD12" s="439"/>
      <c r="TAE12" s="439"/>
      <c r="TAF12" s="439"/>
      <c r="TAG12" s="439"/>
      <c r="TAH12" s="439"/>
      <c r="TAI12" s="439"/>
      <c r="TAJ12" s="439"/>
      <c r="TAK12" s="439"/>
      <c r="TAL12" s="439"/>
      <c r="TAM12" s="439"/>
      <c r="TAN12" s="439"/>
      <c r="TAO12" s="439"/>
      <c r="TAP12" s="439"/>
      <c r="TAQ12" s="439"/>
      <c r="TAR12" s="439"/>
      <c r="TAS12" s="439"/>
      <c r="TAT12" s="439"/>
      <c r="TAU12" s="439"/>
      <c r="TAV12" s="439"/>
      <c r="TAW12" s="439"/>
      <c r="TAX12" s="439"/>
      <c r="TAY12" s="439"/>
      <c r="TAZ12" s="439"/>
      <c r="TBA12" s="439"/>
      <c r="TBB12" s="439"/>
      <c r="TBC12" s="439"/>
      <c r="TBD12" s="439"/>
      <c r="TBE12" s="439"/>
      <c r="TBF12" s="439"/>
      <c r="TBG12" s="439"/>
      <c r="TBH12" s="439"/>
      <c r="TBI12" s="439"/>
      <c r="TBJ12" s="439"/>
      <c r="TBK12" s="439"/>
      <c r="TBL12" s="439"/>
      <c r="TBM12" s="439"/>
      <c r="TBN12" s="439"/>
      <c r="TBO12" s="439"/>
      <c r="TBP12" s="439"/>
      <c r="TBQ12" s="439"/>
      <c r="TBR12" s="439"/>
      <c r="TBS12" s="439"/>
      <c r="TBT12" s="439"/>
      <c r="TBU12" s="439"/>
      <c r="TBV12" s="439"/>
      <c r="TBW12" s="439"/>
      <c r="TBX12" s="439"/>
      <c r="TBY12" s="439"/>
      <c r="TBZ12" s="439"/>
      <c r="TCA12" s="439"/>
      <c r="TCB12" s="439"/>
      <c r="TCC12" s="439"/>
      <c r="TCD12" s="439"/>
      <c r="TCE12" s="439"/>
      <c r="TCF12" s="439"/>
      <c r="TCG12" s="439"/>
      <c r="TCH12" s="439"/>
      <c r="TCI12" s="439"/>
      <c r="TCJ12" s="439"/>
      <c r="TCK12" s="439"/>
      <c r="TCL12" s="439"/>
      <c r="TCM12" s="439"/>
      <c r="TCN12" s="439"/>
      <c r="TCO12" s="439"/>
      <c r="TCP12" s="439"/>
      <c r="TCQ12" s="439"/>
      <c r="TCR12" s="439"/>
      <c r="TCS12" s="439"/>
      <c r="TCT12" s="439"/>
      <c r="TCU12" s="439"/>
      <c r="TCV12" s="439"/>
      <c r="TCW12" s="439"/>
      <c r="TCX12" s="439"/>
      <c r="TCY12" s="439"/>
      <c r="TCZ12" s="439"/>
      <c r="TDA12" s="439"/>
      <c r="TDB12" s="439"/>
      <c r="TDC12" s="439"/>
      <c r="TDD12" s="439"/>
      <c r="TDE12" s="439"/>
      <c r="TDF12" s="439"/>
      <c r="TDG12" s="439"/>
      <c r="TDH12" s="439"/>
      <c r="TDI12" s="439"/>
      <c r="TDJ12" s="439"/>
      <c r="TDK12" s="439"/>
      <c r="TDL12" s="439"/>
      <c r="TDM12" s="439"/>
      <c r="TDN12" s="439"/>
      <c r="TDO12" s="439"/>
      <c r="TDP12" s="439"/>
      <c r="TDQ12" s="439"/>
      <c r="TDR12" s="439"/>
      <c r="TDS12" s="439"/>
      <c r="TDT12" s="439"/>
      <c r="TDU12" s="439"/>
      <c r="TDV12" s="439"/>
      <c r="TDW12" s="439"/>
      <c r="TDX12" s="439"/>
      <c r="TDY12" s="439"/>
      <c r="TDZ12" s="439"/>
      <c r="TEA12" s="439"/>
      <c r="TEB12" s="439"/>
      <c r="TEC12" s="439"/>
      <c r="TED12" s="439"/>
      <c r="TEE12" s="439"/>
      <c r="TEF12" s="439"/>
      <c r="TEG12" s="439"/>
      <c r="TEH12" s="439"/>
      <c r="TEI12" s="439"/>
      <c r="TEJ12" s="439"/>
      <c r="TEK12" s="439"/>
      <c r="TEL12" s="439"/>
      <c r="TEM12" s="439"/>
      <c r="TEN12" s="439"/>
      <c r="TEO12" s="439"/>
      <c r="TEP12" s="439"/>
      <c r="TEQ12" s="439"/>
      <c r="TER12" s="439"/>
      <c r="TES12" s="439"/>
      <c r="TET12" s="439"/>
      <c r="TEU12" s="439"/>
      <c r="TEV12" s="439"/>
      <c r="TEW12" s="439"/>
      <c r="TEX12" s="439"/>
      <c r="TEY12" s="439"/>
      <c r="TEZ12" s="439"/>
      <c r="TFA12" s="439"/>
      <c r="TFB12" s="439"/>
      <c r="TFC12" s="439"/>
      <c r="TFD12" s="439"/>
      <c r="TFE12" s="439"/>
      <c r="TFF12" s="439"/>
      <c r="TFG12" s="439"/>
      <c r="TFH12" s="439"/>
      <c r="TFI12" s="439"/>
      <c r="TFJ12" s="439"/>
      <c r="TFK12" s="439"/>
      <c r="TFL12" s="439"/>
      <c r="TFM12" s="439"/>
      <c r="TFN12" s="439"/>
      <c r="TFO12" s="439"/>
      <c r="TFP12" s="439"/>
      <c r="TFQ12" s="439"/>
      <c r="TFR12" s="439"/>
      <c r="TFS12" s="439"/>
      <c r="TFT12" s="439"/>
      <c r="TFU12" s="439"/>
      <c r="TFV12" s="439"/>
      <c r="TFW12" s="439"/>
      <c r="TFX12" s="439"/>
      <c r="TFY12" s="439"/>
      <c r="TFZ12" s="439"/>
      <c r="TGA12" s="439"/>
      <c r="TGB12" s="439"/>
      <c r="TGC12" s="439"/>
      <c r="TGD12" s="439"/>
      <c r="TGE12" s="439"/>
      <c r="TGF12" s="439"/>
      <c r="TGG12" s="439"/>
      <c r="TGH12" s="439"/>
      <c r="TGI12" s="439"/>
      <c r="TGJ12" s="439"/>
      <c r="TGK12" s="439"/>
      <c r="TGL12" s="439"/>
      <c r="TGM12" s="439"/>
      <c r="TGN12" s="439"/>
      <c r="TGO12" s="439"/>
      <c r="TGP12" s="439"/>
      <c r="TGQ12" s="439"/>
      <c r="TGR12" s="439"/>
      <c r="TGS12" s="439"/>
      <c r="TGT12" s="439"/>
      <c r="TGU12" s="439"/>
      <c r="TGV12" s="439"/>
      <c r="TGW12" s="439"/>
      <c r="TGX12" s="439"/>
      <c r="TGY12" s="439"/>
      <c r="TGZ12" s="439"/>
      <c r="THA12" s="439"/>
      <c r="THB12" s="439"/>
      <c r="THC12" s="439"/>
      <c r="THD12" s="439"/>
      <c r="THE12" s="439"/>
      <c r="THF12" s="439"/>
      <c r="THG12" s="439"/>
      <c r="THH12" s="439"/>
      <c r="THI12" s="439"/>
      <c r="THJ12" s="439"/>
      <c r="THK12" s="439"/>
      <c r="THL12" s="439"/>
      <c r="THM12" s="439"/>
      <c r="THN12" s="439"/>
      <c r="THO12" s="439"/>
      <c r="THP12" s="439"/>
      <c r="THQ12" s="439"/>
      <c r="THR12" s="439"/>
      <c r="THS12" s="439"/>
      <c r="THT12" s="439"/>
      <c r="THU12" s="439"/>
      <c r="THV12" s="439"/>
      <c r="THW12" s="439"/>
      <c r="THX12" s="439"/>
      <c r="THY12" s="439"/>
      <c r="THZ12" s="439"/>
      <c r="TIA12" s="439"/>
      <c r="TIB12" s="439"/>
      <c r="TIC12" s="439"/>
      <c r="TID12" s="439"/>
      <c r="TIE12" s="439"/>
      <c r="TIF12" s="439"/>
      <c r="TIG12" s="439"/>
      <c r="TIH12" s="439"/>
      <c r="TII12" s="439"/>
      <c r="TIJ12" s="439"/>
      <c r="TIK12" s="439"/>
      <c r="TIL12" s="439"/>
      <c r="TIM12" s="439"/>
      <c r="TIN12" s="439"/>
      <c r="TIO12" s="439"/>
      <c r="TIP12" s="439"/>
      <c r="TIQ12" s="439"/>
      <c r="TIR12" s="439"/>
      <c r="TIS12" s="439"/>
      <c r="TIT12" s="439"/>
      <c r="TIU12" s="439"/>
      <c r="TIV12" s="439"/>
      <c r="TIW12" s="439"/>
      <c r="TIX12" s="439"/>
      <c r="TIY12" s="439"/>
      <c r="TIZ12" s="439"/>
      <c r="TJA12" s="439"/>
      <c r="TJB12" s="439"/>
      <c r="TJC12" s="439"/>
      <c r="TJD12" s="439"/>
      <c r="TJE12" s="439"/>
      <c r="TJF12" s="439"/>
      <c r="TJG12" s="439"/>
      <c r="TJH12" s="439"/>
      <c r="TJI12" s="439"/>
      <c r="TJJ12" s="439"/>
      <c r="TJK12" s="439"/>
      <c r="TJL12" s="439"/>
      <c r="TJM12" s="439"/>
      <c r="TJN12" s="439"/>
      <c r="TJO12" s="439"/>
      <c r="TJP12" s="439"/>
      <c r="TJQ12" s="439"/>
      <c r="TJR12" s="439"/>
      <c r="TJS12" s="439"/>
      <c r="TJT12" s="439"/>
      <c r="TJU12" s="439"/>
      <c r="TJV12" s="439"/>
      <c r="TJW12" s="439"/>
      <c r="TJX12" s="439"/>
      <c r="TJY12" s="439"/>
      <c r="TJZ12" s="439"/>
      <c r="TKA12" s="439"/>
      <c r="TKB12" s="439"/>
      <c r="TKC12" s="439"/>
      <c r="TKD12" s="439"/>
      <c r="TKE12" s="439"/>
      <c r="TKF12" s="439"/>
      <c r="TKG12" s="439"/>
      <c r="TKH12" s="439"/>
      <c r="TKI12" s="439"/>
      <c r="TKJ12" s="439"/>
      <c r="TKK12" s="439"/>
      <c r="TKL12" s="439"/>
      <c r="TKM12" s="439"/>
      <c r="TKN12" s="439"/>
      <c r="TKO12" s="439"/>
      <c r="TKP12" s="439"/>
      <c r="TKQ12" s="439"/>
      <c r="TKR12" s="439"/>
      <c r="TKS12" s="439"/>
      <c r="TKT12" s="439"/>
      <c r="TKU12" s="439"/>
      <c r="TKV12" s="439"/>
      <c r="TKW12" s="439"/>
      <c r="TKX12" s="439"/>
      <c r="TKY12" s="439"/>
      <c r="TKZ12" s="439"/>
      <c r="TLA12" s="439"/>
      <c r="TLB12" s="439"/>
      <c r="TLC12" s="439"/>
      <c r="TLD12" s="439"/>
      <c r="TLE12" s="439"/>
      <c r="TLF12" s="439"/>
      <c r="TLG12" s="439"/>
      <c r="TLH12" s="439"/>
      <c r="TLI12" s="439"/>
      <c r="TLJ12" s="439"/>
      <c r="TLK12" s="439"/>
      <c r="TLL12" s="439"/>
      <c r="TLM12" s="439"/>
      <c r="TLN12" s="439"/>
      <c r="TLO12" s="439"/>
      <c r="TLP12" s="439"/>
      <c r="TLQ12" s="439"/>
      <c r="TLR12" s="439"/>
      <c r="TLS12" s="439"/>
      <c r="TLT12" s="439"/>
      <c r="TLU12" s="439"/>
      <c r="TLV12" s="439"/>
      <c r="TLW12" s="439"/>
      <c r="TLX12" s="439"/>
      <c r="TLY12" s="439"/>
      <c r="TLZ12" s="439"/>
      <c r="TMA12" s="439"/>
      <c r="TMB12" s="439"/>
      <c r="TMC12" s="439"/>
      <c r="TMD12" s="439"/>
      <c r="TME12" s="439"/>
      <c r="TMF12" s="439"/>
      <c r="TMG12" s="439"/>
      <c r="TMH12" s="439"/>
      <c r="TMI12" s="439"/>
      <c r="TMJ12" s="439"/>
      <c r="TMK12" s="439"/>
      <c r="TML12" s="439"/>
      <c r="TMM12" s="439"/>
      <c r="TMN12" s="439"/>
      <c r="TMO12" s="439"/>
      <c r="TMP12" s="439"/>
      <c r="TMQ12" s="439"/>
      <c r="TMR12" s="439"/>
      <c r="TMS12" s="439"/>
      <c r="TMT12" s="439"/>
      <c r="TMU12" s="439"/>
      <c r="TMV12" s="439"/>
      <c r="TMW12" s="439"/>
      <c r="TMX12" s="439"/>
      <c r="TMY12" s="439"/>
      <c r="TMZ12" s="439"/>
      <c r="TNA12" s="439"/>
      <c r="TNB12" s="439"/>
      <c r="TNC12" s="439"/>
      <c r="TND12" s="439"/>
      <c r="TNE12" s="439"/>
      <c r="TNF12" s="439"/>
      <c r="TNG12" s="439"/>
      <c r="TNH12" s="439"/>
      <c r="TNI12" s="439"/>
      <c r="TNJ12" s="439"/>
      <c r="TNK12" s="439"/>
      <c r="TNL12" s="439"/>
      <c r="TNM12" s="439"/>
      <c r="TNN12" s="439"/>
      <c r="TNO12" s="439"/>
      <c r="TNP12" s="439"/>
      <c r="TNQ12" s="439"/>
      <c r="TNR12" s="439"/>
      <c r="TNS12" s="439"/>
      <c r="TNT12" s="439"/>
      <c r="TNU12" s="439"/>
      <c r="TNV12" s="439"/>
      <c r="TNW12" s="439"/>
      <c r="TNX12" s="439"/>
      <c r="TNY12" s="439"/>
      <c r="TNZ12" s="439"/>
      <c r="TOA12" s="439"/>
      <c r="TOB12" s="439"/>
      <c r="TOC12" s="439"/>
      <c r="TOD12" s="439"/>
      <c r="TOE12" s="439"/>
      <c r="TOF12" s="439"/>
      <c r="TOG12" s="439"/>
      <c r="TOH12" s="439"/>
      <c r="TOI12" s="439"/>
      <c r="TOJ12" s="439"/>
      <c r="TOK12" s="439"/>
      <c r="TOL12" s="439"/>
      <c r="TOM12" s="439"/>
      <c r="TON12" s="439"/>
      <c r="TOO12" s="439"/>
      <c r="TOP12" s="439"/>
      <c r="TOQ12" s="439"/>
      <c r="TOR12" s="439"/>
      <c r="TOS12" s="439"/>
      <c r="TOT12" s="439"/>
      <c r="TOU12" s="439"/>
      <c r="TOV12" s="439"/>
      <c r="TOW12" s="439"/>
      <c r="TOX12" s="439"/>
      <c r="TOY12" s="439"/>
      <c r="TOZ12" s="439"/>
      <c r="TPA12" s="439"/>
      <c r="TPB12" s="439"/>
      <c r="TPC12" s="439"/>
      <c r="TPD12" s="439"/>
      <c r="TPE12" s="439"/>
      <c r="TPF12" s="439"/>
      <c r="TPG12" s="439"/>
      <c r="TPH12" s="439"/>
      <c r="TPI12" s="439"/>
      <c r="TPJ12" s="439"/>
      <c r="TPK12" s="439"/>
      <c r="TPL12" s="439"/>
      <c r="TPM12" s="439"/>
      <c r="TPN12" s="439"/>
      <c r="TPO12" s="439"/>
      <c r="TPP12" s="439"/>
      <c r="TPQ12" s="439"/>
      <c r="TPR12" s="439"/>
      <c r="TPS12" s="439"/>
      <c r="TPT12" s="439"/>
      <c r="TPU12" s="439"/>
      <c r="TPV12" s="439"/>
      <c r="TPW12" s="439"/>
      <c r="TPX12" s="439"/>
      <c r="TPY12" s="439"/>
      <c r="TPZ12" s="439"/>
      <c r="TQA12" s="439"/>
      <c r="TQB12" s="439"/>
      <c r="TQC12" s="439"/>
      <c r="TQD12" s="439"/>
      <c r="TQE12" s="439"/>
      <c r="TQF12" s="439"/>
      <c r="TQG12" s="439"/>
      <c r="TQH12" s="439"/>
      <c r="TQI12" s="439"/>
      <c r="TQJ12" s="439"/>
      <c r="TQK12" s="439"/>
      <c r="TQL12" s="439"/>
      <c r="TQM12" s="439"/>
      <c r="TQN12" s="439"/>
      <c r="TQO12" s="439"/>
      <c r="TQP12" s="439"/>
      <c r="TQQ12" s="439"/>
      <c r="TQR12" s="439"/>
      <c r="TQS12" s="439"/>
      <c r="TQT12" s="439"/>
      <c r="TQU12" s="439"/>
      <c r="TQV12" s="439"/>
      <c r="TQW12" s="439"/>
      <c r="TQX12" s="439"/>
      <c r="TQY12" s="439"/>
      <c r="TQZ12" s="439"/>
      <c r="TRA12" s="439"/>
      <c r="TRB12" s="439"/>
      <c r="TRC12" s="439"/>
      <c r="TRD12" s="439"/>
      <c r="TRE12" s="439"/>
      <c r="TRF12" s="439"/>
      <c r="TRG12" s="439"/>
      <c r="TRH12" s="439"/>
      <c r="TRI12" s="439"/>
      <c r="TRJ12" s="439"/>
      <c r="TRK12" s="439"/>
      <c r="TRL12" s="439"/>
      <c r="TRM12" s="439"/>
      <c r="TRN12" s="439"/>
      <c r="TRO12" s="439"/>
      <c r="TRP12" s="439"/>
      <c r="TRQ12" s="439"/>
      <c r="TRR12" s="439"/>
      <c r="TRS12" s="439"/>
      <c r="TRT12" s="439"/>
      <c r="TRU12" s="439"/>
      <c r="TRV12" s="439"/>
      <c r="TRW12" s="439"/>
      <c r="TRX12" s="439"/>
      <c r="TRY12" s="439"/>
      <c r="TRZ12" s="439"/>
      <c r="TSA12" s="439"/>
      <c r="TSB12" s="439"/>
      <c r="TSC12" s="439"/>
      <c r="TSD12" s="439"/>
      <c r="TSE12" s="439"/>
      <c r="TSF12" s="439"/>
      <c r="TSG12" s="439"/>
      <c r="TSH12" s="439"/>
      <c r="TSI12" s="439"/>
      <c r="TSJ12" s="439"/>
      <c r="TSK12" s="439"/>
      <c r="TSL12" s="439"/>
      <c r="TSM12" s="439"/>
      <c r="TSN12" s="439"/>
      <c r="TSO12" s="439"/>
      <c r="TSP12" s="439"/>
      <c r="TSQ12" s="439"/>
      <c r="TSR12" s="439"/>
      <c r="TSS12" s="439"/>
      <c r="TST12" s="439"/>
      <c r="TSU12" s="439"/>
      <c r="TSV12" s="439"/>
      <c r="TSW12" s="439"/>
      <c r="TSX12" s="439"/>
      <c r="TSY12" s="439"/>
      <c r="TSZ12" s="439"/>
      <c r="TTA12" s="439"/>
      <c r="TTB12" s="439"/>
      <c r="TTC12" s="439"/>
      <c r="TTD12" s="439"/>
      <c r="TTE12" s="439"/>
      <c r="TTF12" s="439"/>
      <c r="TTG12" s="439"/>
      <c r="TTH12" s="439"/>
      <c r="TTI12" s="439"/>
      <c r="TTJ12" s="439"/>
      <c r="TTK12" s="439"/>
      <c r="TTL12" s="439"/>
      <c r="TTM12" s="439"/>
      <c r="TTN12" s="439"/>
      <c r="TTO12" s="439"/>
      <c r="TTP12" s="439"/>
      <c r="TTQ12" s="439"/>
      <c r="TTR12" s="439"/>
      <c r="TTS12" s="439"/>
      <c r="TTT12" s="439"/>
      <c r="TTU12" s="439"/>
      <c r="TTV12" s="439"/>
      <c r="TTW12" s="439"/>
      <c r="TTX12" s="439"/>
      <c r="TTY12" s="439"/>
      <c r="TTZ12" s="439"/>
      <c r="TUA12" s="439"/>
      <c r="TUB12" s="439"/>
      <c r="TUC12" s="439"/>
      <c r="TUD12" s="439"/>
      <c r="TUE12" s="439"/>
      <c r="TUF12" s="439"/>
      <c r="TUG12" s="439"/>
      <c r="TUH12" s="439"/>
      <c r="TUI12" s="439"/>
      <c r="TUJ12" s="439"/>
      <c r="TUK12" s="439"/>
      <c r="TUL12" s="439"/>
      <c r="TUM12" s="439"/>
      <c r="TUN12" s="439"/>
      <c r="TUO12" s="439"/>
      <c r="TUP12" s="439"/>
      <c r="TUQ12" s="439"/>
      <c r="TUR12" s="439"/>
      <c r="TUS12" s="439"/>
      <c r="TUT12" s="439"/>
      <c r="TUU12" s="439"/>
      <c r="TUV12" s="439"/>
      <c r="TUW12" s="439"/>
      <c r="TUX12" s="439"/>
      <c r="TUY12" s="439"/>
      <c r="TUZ12" s="439"/>
      <c r="TVA12" s="439"/>
      <c r="TVB12" s="439"/>
      <c r="TVC12" s="439"/>
      <c r="TVD12" s="439"/>
      <c r="TVE12" s="439"/>
      <c r="TVF12" s="439"/>
      <c r="TVG12" s="439"/>
      <c r="TVH12" s="439"/>
      <c r="TVI12" s="439"/>
      <c r="TVJ12" s="439"/>
      <c r="TVK12" s="439"/>
      <c r="TVL12" s="439"/>
      <c r="TVM12" s="439"/>
      <c r="TVN12" s="439"/>
      <c r="TVO12" s="439"/>
      <c r="TVP12" s="439"/>
      <c r="TVQ12" s="439"/>
      <c r="TVR12" s="439"/>
      <c r="TVS12" s="439"/>
      <c r="TVT12" s="439"/>
      <c r="TVU12" s="439"/>
      <c r="TVV12" s="439"/>
      <c r="TVW12" s="439"/>
      <c r="TVX12" s="439"/>
      <c r="TVY12" s="439"/>
      <c r="TVZ12" s="439"/>
      <c r="TWA12" s="439"/>
      <c r="TWB12" s="439"/>
      <c r="TWC12" s="439"/>
      <c r="TWD12" s="439"/>
      <c r="TWE12" s="439"/>
      <c r="TWF12" s="439"/>
      <c r="TWG12" s="439"/>
      <c r="TWH12" s="439"/>
      <c r="TWI12" s="439"/>
      <c r="TWJ12" s="439"/>
      <c r="TWK12" s="439"/>
      <c r="TWL12" s="439"/>
      <c r="TWM12" s="439"/>
      <c r="TWN12" s="439"/>
      <c r="TWO12" s="439"/>
      <c r="TWP12" s="439"/>
      <c r="TWQ12" s="439"/>
      <c r="TWR12" s="439"/>
      <c r="TWS12" s="439"/>
      <c r="TWT12" s="439"/>
      <c r="TWU12" s="439"/>
      <c r="TWV12" s="439"/>
      <c r="TWW12" s="439"/>
      <c r="TWX12" s="439"/>
      <c r="TWY12" s="439"/>
      <c r="TWZ12" s="439"/>
      <c r="TXA12" s="439"/>
      <c r="TXB12" s="439"/>
      <c r="TXC12" s="439"/>
      <c r="TXD12" s="439"/>
      <c r="TXE12" s="439"/>
      <c r="TXF12" s="439"/>
      <c r="TXG12" s="439"/>
      <c r="TXH12" s="439"/>
      <c r="TXI12" s="439"/>
      <c r="TXJ12" s="439"/>
      <c r="TXK12" s="439"/>
      <c r="TXL12" s="439"/>
      <c r="TXM12" s="439"/>
      <c r="TXN12" s="439"/>
      <c r="TXO12" s="439"/>
      <c r="TXP12" s="439"/>
      <c r="TXQ12" s="439"/>
      <c r="TXR12" s="439"/>
      <c r="TXS12" s="439"/>
      <c r="TXT12" s="439"/>
      <c r="TXU12" s="439"/>
      <c r="TXV12" s="439"/>
      <c r="TXW12" s="439"/>
      <c r="TXX12" s="439"/>
      <c r="TXY12" s="439"/>
      <c r="TXZ12" s="439"/>
      <c r="TYA12" s="439"/>
      <c r="TYB12" s="439"/>
      <c r="TYC12" s="439"/>
      <c r="TYD12" s="439"/>
      <c r="TYE12" s="439"/>
      <c r="TYF12" s="439"/>
      <c r="TYG12" s="439"/>
      <c r="TYH12" s="439"/>
      <c r="TYI12" s="439"/>
      <c r="TYJ12" s="439"/>
      <c r="TYK12" s="439"/>
      <c r="TYL12" s="439"/>
      <c r="TYM12" s="439"/>
      <c r="TYN12" s="439"/>
      <c r="TYO12" s="439"/>
      <c r="TYP12" s="439"/>
      <c r="TYQ12" s="439"/>
      <c r="TYR12" s="439"/>
      <c r="TYS12" s="439"/>
      <c r="TYT12" s="439"/>
      <c r="TYU12" s="439"/>
      <c r="TYV12" s="439"/>
      <c r="TYW12" s="439"/>
      <c r="TYX12" s="439"/>
      <c r="TYY12" s="439"/>
      <c r="TYZ12" s="439"/>
      <c r="TZA12" s="439"/>
      <c r="TZB12" s="439"/>
      <c r="TZC12" s="439"/>
      <c r="TZD12" s="439"/>
      <c r="TZE12" s="439"/>
      <c r="TZF12" s="439"/>
      <c r="TZG12" s="439"/>
      <c r="TZH12" s="439"/>
      <c r="TZI12" s="439"/>
      <c r="TZJ12" s="439"/>
      <c r="TZK12" s="439"/>
      <c r="TZL12" s="439"/>
      <c r="TZM12" s="439"/>
      <c r="TZN12" s="439"/>
      <c r="TZO12" s="439"/>
      <c r="TZP12" s="439"/>
      <c r="TZQ12" s="439"/>
      <c r="TZR12" s="439"/>
      <c r="TZS12" s="439"/>
      <c r="TZT12" s="439"/>
      <c r="TZU12" s="439"/>
      <c r="TZV12" s="439"/>
      <c r="TZW12" s="439"/>
      <c r="TZX12" s="439"/>
      <c r="TZY12" s="439"/>
      <c r="TZZ12" s="439"/>
      <c r="UAA12" s="439"/>
      <c r="UAB12" s="439"/>
      <c r="UAC12" s="439"/>
      <c r="UAD12" s="439"/>
      <c r="UAE12" s="439"/>
      <c r="UAF12" s="439"/>
      <c r="UAG12" s="439"/>
      <c r="UAH12" s="439"/>
      <c r="UAI12" s="439"/>
      <c r="UAJ12" s="439"/>
      <c r="UAK12" s="439"/>
      <c r="UAL12" s="439"/>
      <c r="UAM12" s="439"/>
      <c r="UAN12" s="439"/>
      <c r="UAO12" s="439"/>
      <c r="UAP12" s="439"/>
      <c r="UAQ12" s="439"/>
      <c r="UAR12" s="439"/>
      <c r="UAS12" s="439"/>
      <c r="UAT12" s="439"/>
      <c r="UAU12" s="439"/>
      <c r="UAV12" s="439"/>
      <c r="UAW12" s="439"/>
      <c r="UAX12" s="439"/>
      <c r="UAY12" s="439"/>
      <c r="UAZ12" s="439"/>
      <c r="UBA12" s="439"/>
      <c r="UBB12" s="439"/>
      <c r="UBC12" s="439"/>
      <c r="UBD12" s="439"/>
      <c r="UBE12" s="439"/>
      <c r="UBF12" s="439"/>
      <c r="UBG12" s="439"/>
      <c r="UBH12" s="439"/>
      <c r="UBI12" s="439"/>
      <c r="UBJ12" s="439"/>
      <c r="UBK12" s="439"/>
      <c r="UBL12" s="439"/>
      <c r="UBM12" s="439"/>
      <c r="UBN12" s="439"/>
      <c r="UBO12" s="439"/>
      <c r="UBP12" s="439"/>
      <c r="UBQ12" s="439"/>
      <c r="UBR12" s="439"/>
      <c r="UBS12" s="439"/>
      <c r="UBT12" s="439"/>
      <c r="UBU12" s="439"/>
      <c r="UBV12" s="439"/>
      <c r="UBW12" s="439"/>
      <c r="UBX12" s="439"/>
      <c r="UBY12" s="439"/>
      <c r="UBZ12" s="439"/>
      <c r="UCA12" s="439"/>
      <c r="UCB12" s="439"/>
      <c r="UCC12" s="439"/>
      <c r="UCD12" s="439"/>
      <c r="UCE12" s="439"/>
      <c r="UCF12" s="439"/>
      <c r="UCG12" s="439"/>
      <c r="UCH12" s="439"/>
      <c r="UCI12" s="439"/>
      <c r="UCJ12" s="439"/>
      <c r="UCK12" s="439"/>
      <c r="UCL12" s="439"/>
      <c r="UCM12" s="439"/>
      <c r="UCN12" s="439"/>
      <c r="UCO12" s="439"/>
      <c r="UCP12" s="439"/>
      <c r="UCQ12" s="439"/>
      <c r="UCR12" s="439"/>
      <c r="UCS12" s="439"/>
      <c r="UCT12" s="439"/>
      <c r="UCU12" s="439"/>
      <c r="UCV12" s="439"/>
      <c r="UCW12" s="439"/>
      <c r="UCX12" s="439"/>
      <c r="UCY12" s="439"/>
      <c r="UCZ12" s="439"/>
      <c r="UDA12" s="439"/>
      <c r="UDB12" s="439"/>
      <c r="UDC12" s="439"/>
      <c r="UDD12" s="439"/>
      <c r="UDE12" s="439"/>
      <c r="UDF12" s="439"/>
      <c r="UDG12" s="439"/>
      <c r="UDH12" s="439"/>
      <c r="UDI12" s="439"/>
      <c r="UDJ12" s="439"/>
      <c r="UDK12" s="439"/>
      <c r="UDL12" s="439"/>
      <c r="UDM12" s="439"/>
      <c r="UDN12" s="439"/>
      <c r="UDO12" s="439"/>
      <c r="UDP12" s="439"/>
      <c r="UDQ12" s="439"/>
      <c r="UDR12" s="439"/>
      <c r="UDS12" s="439"/>
      <c r="UDT12" s="439"/>
      <c r="UDU12" s="439"/>
      <c r="UDV12" s="439"/>
      <c r="UDW12" s="439"/>
      <c r="UDX12" s="439"/>
      <c r="UDY12" s="439"/>
      <c r="UDZ12" s="439"/>
      <c r="UEA12" s="439"/>
      <c r="UEB12" s="439"/>
      <c r="UEC12" s="439"/>
      <c r="UED12" s="439"/>
      <c r="UEE12" s="439"/>
      <c r="UEF12" s="439"/>
      <c r="UEG12" s="439"/>
      <c r="UEH12" s="439"/>
      <c r="UEI12" s="439"/>
      <c r="UEJ12" s="439"/>
      <c r="UEK12" s="439"/>
      <c r="UEL12" s="439"/>
      <c r="UEM12" s="439"/>
      <c r="UEN12" s="439"/>
      <c r="UEO12" s="439"/>
      <c r="UEP12" s="439"/>
      <c r="UEQ12" s="439"/>
      <c r="UER12" s="439"/>
      <c r="UES12" s="439"/>
      <c r="UET12" s="439"/>
      <c r="UEU12" s="439"/>
      <c r="UEV12" s="439"/>
      <c r="UEW12" s="439"/>
      <c r="UEX12" s="439"/>
      <c r="UEY12" s="439"/>
      <c r="UEZ12" s="439"/>
      <c r="UFA12" s="439"/>
      <c r="UFB12" s="439"/>
      <c r="UFC12" s="439"/>
      <c r="UFD12" s="439"/>
      <c r="UFE12" s="439"/>
      <c r="UFF12" s="439"/>
      <c r="UFG12" s="439"/>
      <c r="UFH12" s="439"/>
      <c r="UFI12" s="439"/>
      <c r="UFJ12" s="439"/>
      <c r="UFK12" s="439"/>
      <c r="UFL12" s="439"/>
      <c r="UFM12" s="439"/>
      <c r="UFN12" s="439"/>
      <c r="UFO12" s="439"/>
      <c r="UFP12" s="439"/>
      <c r="UFQ12" s="439"/>
      <c r="UFR12" s="439"/>
      <c r="UFS12" s="439"/>
      <c r="UFT12" s="439"/>
      <c r="UFU12" s="439"/>
      <c r="UFV12" s="439"/>
      <c r="UFW12" s="439"/>
      <c r="UFX12" s="439"/>
      <c r="UFY12" s="439"/>
      <c r="UFZ12" s="439"/>
      <c r="UGA12" s="439"/>
      <c r="UGB12" s="439"/>
      <c r="UGC12" s="439"/>
      <c r="UGD12" s="439"/>
      <c r="UGE12" s="439"/>
      <c r="UGF12" s="439"/>
      <c r="UGG12" s="439"/>
      <c r="UGH12" s="439"/>
      <c r="UGI12" s="439"/>
      <c r="UGJ12" s="439"/>
      <c r="UGK12" s="439"/>
      <c r="UGL12" s="439"/>
      <c r="UGM12" s="439"/>
      <c r="UGN12" s="439"/>
      <c r="UGO12" s="439"/>
      <c r="UGP12" s="439"/>
      <c r="UGQ12" s="439"/>
      <c r="UGR12" s="439"/>
      <c r="UGS12" s="439"/>
      <c r="UGT12" s="439"/>
      <c r="UGU12" s="439"/>
      <c r="UGV12" s="439"/>
      <c r="UGW12" s="439"/>
      <c r="UGX12" s="439"/>
      <c r="UGY12" s="439"/>
      <c r="UGZ12" s="439"/>
      <c r="UHA12" s="439"/>
      <c r="UHB12" s="439"/>
      <c r="UHC12" s="439"/>
      <c r="UHD12" s="439"/>
      <c r="UHE12" s="439"/>
      <c r="UHF12" s="439"/>
      <c r="UHG12" s="439"/>
      <c r="UHH12" s="439"/>
      <c r="UHI12" s="439"/>
      <c r="UHJ12" s="439"/>
      <c r="UHK12" s="439"/>
      <c r="UHL12" s="439"/>
      <c r="UHM12" s="439"/>
      <c r="UHN12" s="439"/>
      <c r="UHO12" s="439"/>
      <c r="UHP12" s="439"/>
      <c r="UHQ12" s="439"/>
      <c r="UHR12" s="439"/>
      <c r="UHS12" s="439"/>
      <c r="UHT12" s="439"/>
      <c r="UHU12" s="439"/>
      <c r="UHV12" s="439"/>
      <c r="UHW12" s="439"/>
      <c r="UHX12" s="439"/>
      <c r="UHY12" s="439"/>
      <c r="UHZ12" s="439"/>
      <c r="UIA12" s="439"/>
      <c r="UIB12" s="439"/>
      <c r="UIC12" s="439"/>
      <c r="UID12" s="439"/>
      <c r="UIE12" s="439"/>
      <c r="UIF12" s="439"/>
      <c r="UIG12" s="439"/>
      <c r="UIH12" s="439"/>
      <c r="UII12" s="439"/>
      <c r="UIJ12" s="439"/>
      <c r="UIK12" s="439"/>
      <c r="UIL12" s="439"/>
      <c r="UIM12" s="439"/>
      <c r="UIN12" s="439"/>
      <c r="UIO12" s="439"/>
      <c r="UIP12" s="439"/>
      <c r="UIQ12" s="439"/>
      <c r="UIR12" s="439"/>
      <c r="UIS12" s="439"/>
      <c r="UIT12" s="439"/>
      <c r="UIU12" s="439"/>
      <c r="UIV12" s="439"/>
      <c r="UIW12" s="439"/>
      <c r="UIX12" s="439"/>
      <c r="UIY12" s="439"/>
      <c r="UIZ12" s="439"/>
      <c r="UJA12" s="439"/>
      <c r="UJB12" s="439"/>
      <c r="UJC12" s="439"/>
      <c r="UJD12" s="439"/>
      <c r="UJE12" s="439"/>
      <c r="UJF12" s="439"/>
      <c r="UJG12" s="439"/>
      <c r="UJH12" s="439"/>
      <c r="UJI12" s="439"/>
      <c r="UJJ12" s="439"/>
      <c r="UJK12" s="439"/>
      <c r="UJL12" s="439"/>
      <c r="UJM12" s="439"/>
      <c r="UJN12" s="439"/>
      <c r="UJO12" s="439"/>
      <c r="UJP12" s="439"/>
      <c r="UJQ12" s="439"/>
      <c r="UJR12" s="439"/>
      <c r="UJS12" s="439"/>
      <c r="UJT12" s="439"/>
      <c r="UJU12" s="439"/>
      <c r="UJV12" s="439"/>
      <c r="UJW12" s="439"/>
      <c r="UJX12" s="439"/>
      <c r="UJY12" s="439"/>
      <c r="UJZ12" s="439"/>
      <c r="UKA12" s="439"/>
      <c r="UKB12" s="439"/>
      <c r="UKC12" s="439"/>
      <c r="UKD12" s="439"/>
      <c r="UKE12" s="439"/>
      <c r="UKF12" s="439"/>
      <c r="UKG12" s="439"/>
      <c r="UKH12" s="439"/>
      <c r="UKI12" s="439"/>
      <c r="UKJ12" s="439"/>
      <c r="UKK12" s="439"/>
      <c r="UKL12" s="439"/>
      <c r="UKM12" s="439"/>
      <c r="UKN12" s="439"/>
      <c r="UKO12" s="439"/>
      <c r="UKP12" s="439"/>
      <c r="UKQ12" s="439"/>
      <c r="UKR12" s="439"/>
      <c r="UKS12" s="439"/>
      <c r="UKT12" s="439"/>
      <c r="UKU12" s="439"/>
      <c r="UKV12" s="439"/>
      <c r="UKW12" s="439"/>
      <c r="UKX12" s="439"/>
      <c r="UKY12" s="439"/>
      <c r="UKZ12" s="439"/>
      <c r="ULA12" s="439"/>
      <c r="ULB12" s="439"/>
      <c r="ULC12" s="439"/>
      <c r="ULD12" s="439"/>
      <c r="ULE12" s="439"/>
      <c r="ULF12" s="439"/>
      <c r="ULG12" s="439"/>
      <c r="ULH12" s="439"/>
      <c r="ULI12" s="439"/>
      <c r="ULJ12" s="439"/>
      <c r="ULK12" s="439"/>
      <c r="ULL12" s="439"/>
      <c r="ULM12" s="439"/>
      <c r="ULN12" s="439"/>
      <c r="ULO12" s="439"/>
      <c r="ULP12" s="439"/>
      <c r="ULQ12" s="439"/>
      <c r="ULR12" s="439"/>
      <c r="ULS12" s="439"/>
      <c r="ULT12" s="439"/>
      <c r="ULU12" s="439"/>
      <c r="ULV12" s="439"/>
      <c r="ULW12" s="439"/>
      <c r="ULX12" s="439"/>
      <c r="ULY12" s="439"/>
      <c r="ULZ12" s="439"/>
      <c r="UMA12" s="439"/>
      <c r="UMB12" s="439"/>
      <c r="UMC12" s="439"/>
      <c r="UMD12" s="439"/>
      <c r="UME12" s="439"/>
      <c r="UMF12" s="439"/>
      <c r="UMG12" s="439"/>
      <c r="UMH12" s="439"/>
      <c r="UMI12" s="439"/>
      <c r="UMJ12" s="439"/>
      <c r="UMK12" s="439"/>
      <c r="UML12" s="439"/>
      <c r="UMM12" s="439"/>
      <c r="UMN12" s="439"/>
      <c r="UMO12" s="439"/>
      <c r="UMP12" s="439"/>
      <c r="UMQ12" s="439"/>
      <c r="UMR12" s="439"/>
      <c r="UMS12" s="439"/>
      <c r="UMT12" s="439"/>
      <c r="UMU12" s="439"/>
      <c r="UMV12" s="439"/>
      <c r="UMW12" s="439"/>
      <c r="UMX12" s="439"/>
      <c r="UMY12" s="439"/>
      <c r="UMZ12" s="439"/>
      <c r="UNA12" s="439"/>
      <c r="UNB12" s="439"/>
      <c r="UNC12" s="439"/>
      <c r="UND12" s="439"/>
      <c r="UNE12" s="439"/>
      <c r="UNF12" s="439"/>
      <c r="UNG12" s="439"/>
      <c r="UNH12" s="439"/>
      <c r="UNI12" s="439"/>
      <c r="UNJ12" s="439"/>
      <c r="UNK12" s="439"/>
      <c r="UNL12" s="439"/>
      <c r="UNM12" s="439"/>
      <c r="UNN12" s="439"/>
      <c r="UNO12" s="439"/>
      <c r="UNP12" s="439"/>
      <c r="UNQ12" s="439"/>
      <c r="UNR12" s="439"/>
      <c r="UNS12" s="439"/>
      <c r="UNT12" s="439"/>
      <c r="UNU12" s="439"/>
      <c r="UNV12" s="439"/>
      <c r="UNW12" s="439"/>
      <c r="UNX12" s="439"/>
      <c r="UNY12" s="439"/>
      <c r="UNZ12" s="439"/>
      <c r="UOA12" s="439"/>
      <c r="UOB12" s="439"/>
      <c r="UOC12" s="439"/>
      <c r="UOD12" s="439"/>
      <c r="UOE12" s="439"/>
      <c r="UOF12" s="439"/>
      <c r="UOG12" s="439"/>
      <c r="UOH12" s="439"/>
      <c r="UOI12" s="439"/>
      <c r="UOJ12" s="439"/>
      <c r="UOK12" s="439"/>
      <c r="UOL12" s="439"/>
      <c r="UOM12" s="439"/>
      <c r="UON12" s="439"/>
      <c r="UOO12" s="439"/>
      <c r="UOP12" s="439"/>
      <c r="UOQ12" s="439"/>
      <c r="UOR12" s="439"/>
      <c r="UOS12" s="439"/>
      <c r="UOT12" s="439"/>
      <c r="UOU12" s="439"/>
      <c r="UOV12" s="439"/>
      <c r="UOW12" s="439"/>
      <c r="UOX12" s="439"/>
      <c r="UOY12" s="439"/>
      <c r="UOZ12" s="439"/>
      <c r="UPA12" s="439"/>
      <c r="UPB12" s="439"/>
      <c r="UPC12" s="439"/>
      <c r="UPD12" s="439"/>
      <c r="UPE12" s="439"/>
      <c r="UPF12" s="439"/>
      <c r="UPG12" s="439"/>
      <c r="UPH12" s="439"/>
      <c r="UPI12" s="439"/>
      <c r="UPJ12" s="439"/>
      <c r="UPK12" s="439"/>
      <c r="UPL12" s="439"/>
      <c r="UPM12" s="439"/>
      <c r="UPN12" s="439"/>
      <c r="UPO12" s="439"/>
      <c r="UPP12" s="439"/>
      <c r="UPQ12" s="439"/>
      <c r="UPR12" s="439"/>
      <c r="UPS12" s="439"/>
      <c r="UPT12" s="439"/>
      <c r="UPU12" s="439"/>
      <c r="UPV12" s="439"/>
      <c r="UPW12" s="439"/>
      <c r="UPX12" s="439"/>
      <c r="UPY12" s="439"/>
      <c r="UPZ12" s="439"/>
      <c r="UQA12" s="439"/>
      <c r="UQB12" s="439"/>
      <c r="UQC12" s="439"/>
      <c r="UQD12" s="439"/>
      <c r="UQE12" s="439"/>
      <c r="UQF12" s="439"/>
      <c r="UQG12" s="439"/>
      <c r="UQH12" s="439"/>
      <c r="UQI12" s="439"/>
      <c r="UQJ12" s="439"/>
      <c r="UQK12" s="439"/>
      <c r="UQL12" s="439"/>
      <c r="UQM12" s="439"/>
      <c r="UQN12" s="439"/>
      <c r="UQO12" s="439"/>
      <c r="UQP12" s="439"/>
      <c r="UQQ12" s="439"/>
      <c r="UQR12" s="439"/>
      <c r="UQS12" s="439"/>
      <c r="UQT12" s="439"/>
      <c r="UQU12" s="439"/>
      <c r="UQV12" s="439"/>
      <c r="UQW12" s="439"/>
      <c r="UQX12" s="439"/>
      <c r="UQY12" s="439"/>
      <c r="UQZ12" s="439"/>
      <c r="URA12" s="439"/>
      <c r="URB12" s="439"/>
      <c r="URC12" s="439"/>
      <c r="URD12" s="439"/>
      <c r="URE12" s="439"/>
      <c r="URF12" s="439"/>
      <c r="URG12" s="439"/>
      <c r="URH12" s="439"/>
      <c r="URI12" s="439"/>
      <c r="URJ12" s="439"/>
      <c r="URK12" s="439"/>
      <c r="URL12" s="439"/>
      <c r="URM12" s="439"/>
      <c r="URN12" s="439"/>
      <c r="URO12" s="439"/>
      <c r="URP12" s="439"/>
      <c r="URQ12" s="439"/>
      <c r="URR12" s="439"/>
      <c r="URS12" s="439"/>
      <c r="URT12" s="439"/>
      <c r="URU12" s="439"/>
      <c r="URV12" s="439"/>
      <c r="URW12" s="439"/>
      <c r="URX12" s="439"/>
      <c r="URY12" s="439"/>
      <c r="URZ12" s="439"/>
      <c r="USA12" s="439"/>
      <c r="USB12" s="439"/>
      <c r="USC12" s="439"/>
      <c r="USD12" s="439"/>
      <c r="USE12" s="439"/>
      <c r="USF12" s="439"/>
      <c r="USG12" s="439"/>
      <c r="USH12" s="439"/>
      <c r="USI12" s="439"/>
      <c r="USJ12" s="439"/>
      <c r="USK12" s="439"/>
      <c r="USL12" s="439"/>
      <c r="USM12" s="439"/>
      <c r="USN12" s="439"/>
      <c r="USO12" s="439"/>
      <c r="USP12" s="439"/>
      <c r="USQ12" s="439"/>
      <c r="USR12" s="439"/>
      <c r="USS12" s="439"/>
      <c r="UST12" s="439"/>
      <c r="USU12" s="439"/>
      <c r="USV12" s="439"/>
      <c r="USW12" s="439"/>
      <c r="USX12" s="439"/>
      <c r="USY12" s="439"/>
      <c r="USZ12" s="439"/>
      <c r="UTA12" s="439"/>
      <c r="UTB12" s="439"/>
      <c r="UTC12" s="439"/>
      <c r="UTD12" s="439"/>
      <c r="UTE12" s="439"/>
      <c r="UTF12" s="439"/>
      <c r="UTG12" s="439"/>
      <c r="UTH12" s="439"/>
      <c r="UTI12" s="439"/>
      <c r="UTJ12" s="439"/>
      <c r="UTK12" s="439"/>
      <c r="UTL12" s="439"/>
      <c r="UTM12" s="439"/>
      <c r="UTN12" s="439"/>
      <c r="UTO12" s="439"/>
      <c r="UTP12" s="439"/>
      <c r="UTQ12" s="439"/>
      <c r="UTR12" s="439"/>
      <c r="UTS12" s="439"/>
      <c r="UTT12" s="439"/>
      <c r="UTU12" s="439"/>
      <c r="UTV12" s="439"/>
      <c r="UTW12" s="439"/>
      <c r="UTX12" s="439"/>
      <c r="UTY12" s="439"/>
      <c r="UTZ12" s="439"/>
      <c r="UUA12" s="439"/>
      <c r="UUB12" s="439"/>
      <c r="UUC12" s="439"/>
      <c r="UUD12" s="439"/>
      <c r="UUE12" s="439"/>
      <c r="UUF12" s="439"/>
      <c r="UUG12" s="439"/>
      <c r="UUH12" s="439"/>
      <c r="UUI12" s="439"/>
      <c r="UUJ12" s="439"/>
      <c r="UUK12" s="439"/>
      <c r="UUL12" s="439"/>
      <c r="UUM12" s="439"/>
      <c r="UUN12" s="439"/>
      <c r="UUO12" s="439"/>
      <c r="UUP12" s="439"/>
      <c r="UUQ12" s="439"/>
      <c r="UUR12" s="439"/>
      <c r="UUS12" s="439"/>
      <c r="UUT12" s="439"/>
      <c r="UUU12" s="439"/>
      <c r="UUV12" s="439"/>
      <c r="UUW12" s="439"/>
      <c r="UUX12" s="439"/>
      <c r="UUY12" s="439"/>
      <c r="UUZ12" s="439"/>
      <c r="UVA12" s="439"/>
      <c r="UVB12" s="439"/>
      <c r="UVC12" s="439"/>
      <c r="UVD12" s="439"/>
      <c r="UVE12" s="439"/>
      <c r="UVF12" s="439"/>
      <c r="UVG12" s="439"/>
      <c r="UVH12" s="439"/>
      <c r="UVI12" s="439"/>
      <c r="UVJ12" s="439"/>
      <c r="UVK12" s="439"/>
      <c r="UVL12" s="439"/>
      <c r="UVM12" s="439"/>
      <c r="UVN12" s="439"/>
      <c r="UVO12" s="439"/>
      <c r="UVP12" s="439"/>
      <c r="UVQ12" s="439"/>
      <c r="UVR12" s="439"/>
      <c r="UVS12" s="439"/>
      <c r="UVT12" s="439"/>
      <c r="UVU12" s="439"/>
      <c r="UVV12" s="439"/>
      <c r="UVW12" s="439"/>
      <c r="UVX12" s="439"/>
      <c r="UVY12" s="439"/>
      <c r="UVZ12" s="439"/>
      <c r="UWA12" s="439"/>
      <c r="UWB12" s="439"/>
      <c r="UWC12" s="439"/>
      <c r="UWD12" s="439"/>
      <c r="UWE12" s="439"/>
      <c r="UWF12" s="439"/>
      <c r="UWG12" s="439"/>
      <c r="UWH12" s="439"/>
      <c r="UWI12" s="439"/>
      <c r="UWJ12" s="439"/>
      <c r="UWK12" s="439"/>
      <c r="UWL12" s="439"/>
      <c r="UWM12" s="439"/>
      <c r="UWN12" s="439"/>
      <c r="UWO12" s="439"/>
      <c r="UWP12" s="439"/>
      <c r="UWQ12" s="439"/>
      <c r="UWR12" s="439"/>
      <c r="UWS12" s="439"/>
      <c r="UWT12" s="439"/>
      <c r="UWU12" s="439"/>
      <c r="UWV12" s="439"/>
      <c r="UWW12" s="439"/>
      <c r="UWX12" s="439"/>
      <c r="UWY12" s="439"/>
      <c r="UWZ12" s="439"/>
      <c r="UXA12" s="439"/>
      <c r="UXB12" s="439"/>
      <c r="UXC12" s="439"/>
      <c r="UXD12" s="439"/>
      <c r="UXE12" s="439"/>
      <c r="UXF12" s="439"/>
      <c r="UXG12" s="439"/>
      <c r="UXH12" s="439"/>
      <c r="UXI12" s="439"/>
      <c r="UXJ12" s="439"/>
      <c r="UXK12" s="439"/>
      <c r="UXL12" s="439"/>
      <c r="UXM12" s="439"/>
      <c r="UXN12" s="439"/>
      <c r="UXO12" s="439"/>
      <c r="UXP12" s="439"/>
      <c r="UXQ12" s="439"/>
      <c r="UXR12" s="439"/>
      <c r="UXS12" s="439"/>
      <c r="UXT12" s="439"/>
      <c r="UXU12" s="439"/>
      <c r="UXV12" s="439"/>
      <c r="UXW12" s="439"/>
      <c r="UXX12" s="439"/>
      <c r="UXY12" s="439"/>
      <c r="UXZ12" s="439"/>
      <c r="UYA12" s="439"/>
      <c r="UYB12" s="439"/>
      <c r="UYC12" s="439"/>
      <c r="UYD12" s="439"/>
      <c r="UYE12" s="439"/>
      <c r="UYF12" s="439"/>
      <c r="UYG12" s="439"/>
      <c r="UYH12" s="439"/>
      <c r="UYI12" s="439"/>
      <c r="UYJ12" s="439"/>
      <c r="UYK12" s="439"/>
      <c r="UYL12" s="439"/>
      <c r="UYM12" s="439"/>
      <c r="UYN12" s="439"/>
      <c r="UYO12" s="439"/>
      <c r="UYP12" s="439"/>
      <c r="UYQ12" s="439"/>
      <c r="UYR12" s="439"/>
      <c r="UYS12" s="439"/>
      <c r="UYT12" s="439"/>
      <c r="UYU12" s="439"/>
      <c r="UYV12" s="439"/>
      <c r="UYW12" s="439"/>
      <c r="UYX12" s="439"/>
      <c r="UYY12" s="439"/>
      <c r="UYZ12" s="439"/>
      <c r="UZA12" s="439"/>
      <c r="UZB12" s="439"/>
      <c r="UZC12" s="439"/>
      <c r="UZD12" s="439"/>
      <c r="UZE12" s="439"/>
      <c r="UZF12" s="439"/>
      <c r="UZG12" s="439"/>
      <c r="UZH12" s="439"/>
      <c r="UZI12" s="439"/>
      <c r="UZJ12" s="439"/>
      <c r="UZK12" s="439"/>
      <c r="UZL12" s="439"/>
      <c r="UZM12" s="439"/>
      <c r="UZN12" s="439"/>
      <c r="UZO12" s="439"/>
      <c r="UZP12" s="439"/>
      <c r="UZQ12" s="439"/>
      <c r="UZR12" s="439"/>
      <c r="UZS12" s="439"/>
      <c r="UZT12" s="439"/>
      <c r="UZU12" s="439"/>
      <c r="UZV12" s="439"/>
      <c r="UZW12" s="439"/>
      <c r="UZX12" s="439"/>
      <c r="UZY12" s="439"/>
      <c r="UZZ12" s="439"/>
      <c r="VAA12" s="439"/>
      <c r="VAB12" s="439"/>
      <c r="VAC12" s="439"/>
      <c r="VAD12" s="439"/>
      <c r="VAE12" s="439"/>
      <c r="VAF12" s="439"/>
      <c r="VAG12" s="439"/>
      <c r="VAH12" s="439"/>
      <c r="VAI12" s="439"/>
      <c r="VAJ12" s="439"/>
      <c r="VAK12" s="439"/>
      <c r="VAL12" s="439"/>
      <c r="VAM12" s="439"/>
      <c r="VAN12" s="439"/>
      <c r="VAO12" s="439"/>
      <c r="VAP12" s="439"/>
      <c r="VAQ12" s="439"/>
      <c r="VAR12" s="439"/>
      <c r="VAS12" s="439"/>
      <c r="VAT12" s="439"/>
      <c r="VAU12" s="439"/>
      <c r="VAV12" s="439"/>
      <c r="VAW12" s="439"/>
      <c r="VAX12" s="439"/>
      <c r="VAY12" s="439"/>
      <c r="VAZ12" s="439"/>
      <c r="VBA12" s="439"/>
      <c r="VBB12" s="439"/>
      <c r="VBC12" s="439"/>
      <c r="VBD12" s="439"/>
      <c r="VBE12" s="439"/>
      <c r="VBF12" s="439"/>
      <c r="VBG12" s="439"/>
      <c r="VBH12" s="439"/>
      <c r="VBI12" s="439"/>
      <c r="VBJ12" s="439"/>
      <c r="VBK12" s="439"/>
      <c r="VBL12" s="439"/>
      <c r="VBM12" s="439"/>
      <c r="VBN12" s="439"/>
      <c r="VBO12" s="439"/>
      <c r="VBP12" s="439"/>
      <c r="VBQ12" s="439"/>
      <c r="VBR12" s="439"/>
      <c r="VBS12" s="439"/>
      <c r="VBT12" s="439"/>
      <c r="VBU12" s="439"/>
      <c r="VBV12" s="439"/>
      <c r="VBW12" s="439"/>
      <c r="VBX12" s="439"/>
      <c r="VBY12" s="439"/>
      <c r="VBZ12" s="439"/>
      <c r="VCA12" s="439"/>
      <c r="VCB12" s="439"/>
      <c r="VCC12" s="439"/>
      <c r="VCD12" s="439"/>
      <c r="VCE12" s="439"/>
      <c r="VCF12" s="439"/>
      <c r="VCG12" s="439"/>
      <c r="VCH12" s="439"/>
      <c r="VCI12" s="439"/>
      <c r="VCJ12" s="439"/>
      <c r="VCK12" s="439"/>
      <c r="VCL12" s="439"/>
      <c r="VCM12" s="439"/>
      <c r="VCN12" s="439"/>
      <c r="VCO12" s="439"/>
      <c r="VCP12" s="439"/>
      <c r="VCQ12" s="439"/>
      <c r="VCR12" s="439"/>
      <c r="VCS12" s="439"/>
      <c r="VCT12" s="439"/>
      <c r="VCU12" s="439"/>
      <c r="VCV12" s="439"/>
      <c r="VCW12" s="439"/>
      <c r="VCX12" s="439"/>
      <c r="VCY12" s="439"/>
      <c r="VCZ12" s="439"/>
      <c r="VDA12" s="439"/>
      <c r="VDB12" s="439"/>
      <c r="VDC12" s="439"/>
      <c r="VDD12" s="439"/>
      <c r="VDE12" s="439"/>
      <c r="VDF12" s="439"/>
      <c r="VDG12" s="439"/>
      <c r="VDH12" s="439"/>
      <c r="VDI12" s="439"/>
      <c r="VDJ12" s="439"/>
      <c r="VDK12" s="439"/>
      <c r="VDL12" s="439"/>
      <c r="VDM12" s="439"/>
      <c r="VDN12" s="439"/>
      <c r="VDO12" s="439"/>
      <c r="VDP12" s="439"/>
      <c r="VDQ12" s="439"/>
      <c r="VDR12" s="439"/>
      <c r="VDS12" s="439"/>
      <c r="VDT12" s="439"/>
      <c r="VDU12" s="439"/>
      <c r="VDV12" s="439"/>
      <c r="VDW12" s="439"/>
      <c r="VDX12" s="439"/>
      <c r="VDY12" s="439"/>
      <c r="VDZ12" s="439"/>
      <c r="VEA12" s="439"/>
      <c r="VEB12" s="439"/>
      <c r="VEC12" s="439"/>
      <c r="VED12" s="439"/>
      <c r="VEE12" s="439"/>
      <c r="VEF12" s="439"/>
      <c r="VEG12" s="439"/>
      <c r="VEH12" s="439"/>
      <c r="VEI12" s="439"/>
      <c r="VEJ12" s="439"/>
      <c r="VEK12" s="439"/>
      <c r="VEL12" s="439"/>
      <c r="VEM12" s="439"/>
      <c r="VEN12" s="439"/>
      <c r="VEO12" s="439"/>
      <c r="VEP12" s="439"/>
      <c r="VEQ12" s="439"/>
      <c r="VER12" s="439"/>
      <c r="VES12" s="439"/>
      <c r="VET12" s="439"/>
      <c r="VEU12" s="439"/>
      <c r="VEV12" s="439"/>
      <c r="VEW12" s="439"/>
      <c r="VEX12" s="439"/>
      <c r="VEY12" s="439"/>
      <c r="VEZ12" s="439"/>
      <c r="VFA12" s="439"/>
      <c r="VFB12" s="439"/>
      <c r="VFC12" s="439"/>
      <c r="VFD12" s="439"/>
      <c r="VFE12" s="439"/>
      <c r="VFF12" s="439"/>
      <c r="VFG12" s="439"/>
      <c r="VFH12" s="439"/>
      <c r="VFI12" s="439"/>
      <c r="VFJ12" s="439"/>
      <c r="VFK12" s="439"/>
      <c r="VFL12" s="439"/>
      <c r="VFM12" s="439"/>
      <c r="VFN12" s="439"/>
      <c r="VFO12" s="439"/>
      <c r="VFP12" s="439"/>
      <c r="VFQ12" s="439"/>
      <c r="VFR12" s="439"/>
      <c r="VFS12" s="439"/>
      <c r="VFT12" s="439"/>
      <c r="VFU12" s="439"/>
      <c r="VFV12" s="439"/>
      <c r="VFW12" s="439"/>
      <c r="VFX12" s="439"/>
      <c r="VFY12" s="439"/>
      <c r="VFZ12" s="439"/>
      <c r="VGA12" s="439"/>
      <c r="VGB12" s="439"/>
      <c r="VGC12" s="439"/>
      <c r="VGD12" s="439"/>
      <c r="VGE12" s="439"/>
      <c r="VGF12" s="439"/>
      <c r="VGG12" s="439"/>
      <c r="VGH12" s="439"/>
      <c r="VGI12" s="439"/>
      <c r="VGJ12" s="439"/>
      <c r="VGK12" s="439"/>
      <c r="VGL12" s="439"/>
      <c r="VGM12" s="439"/>
      <c r="VGN12" s="439"/>
      <c r="VGO12" s="439"/>
      <c r="VGP12" s="439"/>
      <c r="VGQ12" s="439"/>
      <c r="VGR12" s="439"/>
      <c r="VGS12" s="439"/>
      <c r="VGT12" s="439"/>
      <c r="VGU12" s="439"/>
      <c r="VGV12" s="439"/>
      <c r="VGW12" s="439"/>
      <c r="VGX12" s="439"/>
      <c r="VGY12" s="439"/>
      <c r="VGZ12" s="439"/>
      <c r="VHA12" s="439"/>
      <c r="VHB12" s="439"/>
      <c r="VHC12" s="439"/>
      <c r="VHD12" s="439"/>
      <c r="VHE12" s="439"/>
      <c r="VHF12" s="439"/>
      <c r="VHG12" s="439"/>
      <c r="VHH12" s="439"/>
      <c r="VHI12" s="439"/>
      <c r="VHJ12" s="439"/>
      <c r="VHK12" s="439"/>
      <c r="VHL12" s="439"/>
      <c r="VHM12" s="439"/>
      <c r="VHN12" s="439"/>
      <c r="VHO12" s="439"/>
      <c r="VHP12" s="439"/>
      <c r="VHQ12" s="439"/>
      <c r="VHR12" s="439"/>
      <c r="VHS12" s="439"/>
      <c r="VHT12" s="439"/>
      <c r="VHU12" s="439"/>
      <c r="VHV12" s="439"/>
      <c r="VHW12" s="439"/>
      <c r="VHX12" s="439"/>
      <c r="VHY12" s="439"/>
      <c r="VHZ12" s="439"/>
      <c r="VIA12" s="439"/>
      <c r="VIB12" s="439"/>
      <c r="VIC12" s="439"/>
      <c r="VID12" s="439"/>
      <c r="VIE12" s="439"/>
      <c r="VIF12" s="439"/>
      <c r="VIG12" s="439"/>
      <c r="VIH12" s="439"/>
      <c r="VII12" s="439"/>
      <c r="VIJ12" s="439"/>
      <c r="VIK12" s="439"/>
      <c r="VIL12" s="439"/>
      <c r="VIM12" s="439"/>
      <c r="VIN12" s="439"/>
      <c r="VIO12" s="439"/>
      <c r="VIP12" s="439"/>
      <c r="VIQ12" s="439"/>
      <c r="VIR12" s="439"/>
      <c r="VIS12" s="439"/>
      <c r="VIT12" s="439"/>
      <c r="VIU12" s="439"/>
      <c r="VIV12" s="439"/>
      <c r="VIW12" s="439"/>
      <c r="VIX12" s="439"/>
      <c r="VIY12" s="439"/>
      <c r="VIZ12" s="439"/>
      <c r="VJA12" s="439"/>
      <c r="VJB12" s="439"/>
      <c r="VJC12" s="439"/>
      <c r="VJD12" s="439"/>
      <c r="VJE12" s="439"/>
      <c r="VJF12" s="439"/>
      <c r="VJG12" s="439"/>
      <c r="VJH12" s="439"/>
      <c r="VJI12" s="439"/>
      <c r="VJJ12" s="439"/>
      <c r="VJK12" s="439"/>
      <c r="VJL12" s="439"/>
      <c r="VJM12" s="439"/>
      <c r="VJN12" s="439"/>
      <c r="VJO12" s="439"/>
      <c r="VJP12" s="439"/>
      <c r="VJQ12" s="439"/>
      <c r="VJR12" s="439"/>
      <c r="VJS12" s="439"/>
      <c r="VJT12" s="439"/>
      <c r="VJU12" s="439"/>
      <c r="VJV12" s="439"/>
      <c r="VJW12" s="439"/>
      <c r="VJX12" s="439"/>
      <c r="VJY12" s="439"/>
      <c r="VJZ12" s="439"/>
      <c r="VKA12" s="439"/>
      <c r="VKB12" s="439"/>
      <c r="VKC12" s="439"/>
      <c r="VKD12" s="439"/>
      <c r="VKE12" s="439"/>
      <c r="VKF12" s="439"/>
      <c r="VKG12" s="439"/>
      <c r="VKH12" s="439"/>
      <c r="VKI12" s="439"/>
      <c r="VKJ12" s="439"/>
      <c r="VKK12" s="439"/>
      <c r="VKL12" s="439"/>
      <c r="VKM12" s="439"/>
      <c r="VKN12" s="439"/>
      <c r="VKO12" s="439"/>
      <c r="VKP12" s="439"/>
      <c r="VKQ12" s="439"/>
      <c r="VKR12" s="439"/>
      <c r="VKS12" s="439"/>
      <c r="VKT12" s="439"/>
      <c r="VKU12" s="439"/>
      <c r="VKV12" s="439"/>
      <c r="VKW12" s="439"/>
      <c r="VKX12" s="439"/>
      <c r="VKY12" s="439"/>
      <c r="VKZ12" s="439"/>
      <c r="VLA12" s="439"/>
      <c r="VLB12" s="439"/>
      <c r="VLC12" s="439"/>
      <c r="VLD12" s="439"/>
      <c r="VLE12" s="439"/>
      <c r="VLF12" s="439"/>
      <c r="VLG12" s="439"/>
      <c r="VLH12" s="439"/>
      <c r="VLI12" s="439"/>
      <c r="VLJ12" s="439"/>
      <c r="VLK12" s="439"/>
      <c r="VLL12" s="439"/>
      <c r="VLM12" s="439"/>
      <c r="VLN12" s="439"/>
      <c r="VLO12" s="439"/>
      <c r="VLP12" s="439"/>
      <c r="VLQ12" s="439"/>
      <c r="VLR12" s="439"/>
      <c r="VLS12" s="439"/>
      <c r="VLT12" s="439"/>
      <c r="VLU12" s="439"/>
      <c r="VLV12" s="439"/>
      <c r="VLW12" s="439"/>
      <c r="VLX12" s="439"/>
      <c r="VLY12" s="439"/>
      <c r="VLZ12" s="439"/>
      <c r="VMA12" s="439"/>
      <c r="VMB12" s="439"/>
      <c r="VMC12" s="439"/>
      <c r="VMD12" s="439"/>
      <c r="VME12" s="439"/>
      <c r="VMF12" s="439"/>
      <c r="VMG12" s="439"/>
      <c r="VMH12" s="439"/>
      <c r="VMI12" s="439"/>
      <c r="VMJ12" s="439"/>
      <c r="VMK12" s="439"/>
      <c r="VML12" s="439"/>
      <c r="VMM12" s="439"/>
      <c r="VMN12" s="439"/>
      <c r="VMO12" s="439"/>
      <c r="VMP12" s="439"/>
      <c r="VMQ12" s="439"/>
      <c r="VMR12" s="439"/>
      <c r="VMS12" s="439"/>
      <c r="VMT12" s="439"/>
      <c r="VMU12" s="439"/>
      <c r="VMV12" s="439"/>
      <c r="VMW12" s="439"/>
      <c r="VMX12" s="439"/>
      <c r="VMY12" s="439"/>
      <c r="VMZ12" s="439"/>
      <c r="VNA12" s="439"/>
      <c r="VNB12" s="439"/>
      <c r="VNC12" s="439"/>
      <c r="VND12" s="439"/>
      <c r="VNE12" s="439"/>
      <c r="VNF12" s="439"/>
      <c r="VNG12" s="439"/>
      <c r="VNH12" s="439"/>
      <c r="VNI12" s="439"/>
      <c r="VNJ12" s="439"/>
      <c r="VNK12" s="439"/>
      <c r="VNL12" s="439"/>
      <c r="VNM12" s="439"/>
      <c r="VNN12" s="439"/>
      <c r="VNO12" s="439"/>
      <c r="VNP12" s="439"/>
      <c r="VNQ12" s="439"/>
      <c r="VNR12" s="439"/>
      <c r="VNS12" s="439"/>
      <c r="VNT12" s="439"/>
      <c r="VNU12" s="439"/>
      <c r="VNV12" s="439"/>
      <c r="VNW12" s="439"/>
      <c r="VNX12" s="439"/>
      <c r="VNY12" s="439"/>
      <c r="VNZ12" s="439"/>
      <c r="VOA12" s="439"/>
      <c r="VOB12" s="439"/>
      <c r="VOC12" s="439"/>
      <c r="VOD12" s="439"/>
      <c r="VOE12" s="439"/>
      <c r="VOF12" s="439"/>
      <c r="VOG12" s="439"/>
      <c r="VOH12" s="439"/>
      <c r="VOI12" s="439"/>
      <c r="VOJ12" s="439"/>
      <c r="VOK12" s="439"/>
      <c r="VOL12" s="439"/>
      <c r="VOM12" s="439"/>
      <c r="VON12" s="439"/>
      <c r="VOO12" s="439"/>
      <c r="VOP12" s="439"/>
      <c r="VOQ12" s="439"/>
      <c r="VOR12" s="439"/>
      <c r="VOS12" s="439"/>
      <c r="VOT12" s="439"/>
      <c r="VOU12" s="439"/>
      <c r="VOV12" s="439"/>
      <c r="VOW12" s="439"/>
      <c r="VOX12" s="439"/>
      <c r="VOY12" s="439"/>
      <c r="VOZ12" s="439"/>
      <c r="VPA12" s="439"/>
      <c r="VPB12" s="439"/>
      <c r="VPC12" s="439"/>
      <c r="VPD12" s="439"/>
      <c r="VPE12" s="439"/>
      <c r="VPF12" s="439"/>
      <c r="VPG12" s="439"/>
      <c r="VPH12" s="439"/>
      <c r="VPI12" s="439"/>
      <c r="VPJ12" s="439"/>
      <c r="VPK12" s="439"/>
      <c r="VPL12" s="439"/>
      <c r="VPM12" s="439"/>
      <c r="VPN12" s="439"/>
      <c r="VPO12" s="439"/>
      <c r="VPP12" s="439"/>
      <c r="VPQ12" s="439"/>
      <c r="VPR12" s="439"/>
      <c r="VPS12" s="439"/>
      <c r="VPT12" s="439"/>
      <c r="VPU12" s="439"/>
      <c r="VPV12" s="439"/>
      <c r="VPW12" s="439"/>
      <c r="VPX12" s="439"/>
      <c r="VPY12" s="439"/>
      <c r="VPZ12" s="439"/>
      <c r="VQA12" s="439"/>
      <c r="VQB12" s="439"/>
      <c r="VQC12" s="439"/>
      <c r="VQD12" s="439"/>
      <c r="VQE12" s="439"/>
      <c r="VQF12" s="439"/>
      <c r="VQG12" s="439"/>
      <c r="VQH12" s="439"/>
      <c r="VQI12" s="439"/>
      <c r="VQJ12" s="439"/>
      <c r="VQK12" s="439"/>
      <c r="VQL12" s="439"/>
      <c r="VQM12" s="439"/>
      <c r="VQN12" s="439"/>
      <c r="VQO12" s="439"/>
      <c r="VQP12" s="439"/>
      <c r="VQQ12" s="439"/>
      <c r="VQR12" s="439"/>
      <c r="VQS12" s="439"/>
      <c r="VQT12" s="439"/>
      <c r="VQU12" s="439"/>
      <c r="VQV12" s="439"/>
      <c r="VQW12" s="439"/>
      <c r="VQX12" s="439"/>
      <c r="VQY12" s="439"/>
      <c r="VQZ12" s="439"/>
      <c r="VRA12" s="439"/>
      <c r="VRB12" s="439"/>
      <c r="VRC12" s="439"/>
      <c r="VRD12" s="439"/>
      <c r="VRE12" s="439"/>
      <c r="VRF12" s="439"/>
      <c r="VRG12" s="439"/>
      <c r="VRH12" s="439"/>
      <c r="VRI12" s="439"/>
      <c r="VRJ12" s="439"/>
      <c r="VRK12" s="439"/>
      <c r="VRL12" s="439"/>
      <c r="VRM12" s="439"/>
      <c r="VRN12" s="439"/>
      <c r="VRO12" s="439"/>
      <c r="VRP12" s="439"/>
      <c r="VRQ12" s="439"/>
      <c r="VRR12" s="439"/>
      <c r="VRS12" s="439"/>
      <c r="VRT12" s="439"/>
      <c r="VRU12" s="439"/>
      <c r="VRV12" s="439"/>
      <c r="VRW12" s="439"/>
      <c r="VRX12" s="439"/>
      <c r="VRY12" s="439"/>
      <c r="VRZ12" s="439"/>
      <c r="VSA12" s="439"/>
      <c r="VSB12" s="439"/>
      <c r="VSC12" s="439"/>
      <c r="VSD12" s="439"/>
      <c r="VSE12" s="439"/>
      <c r="VSF12" s="439"/>
      <c r="VSG12" s="439"/>
      <c r="VSH12" s="439"/>
      <c r="VSI12" s="439"/>
      <c r="VSJ12" s="439"/>
      <c r="VSK12" s="439"/>
      <c r="VSL12" s="439"/>
      <c r="VSM12" s="439"/>
      <c r="VSN12" s="439"/>
      <c r="VSO12" s="439"/>
      <c r="VSP12" s="439"/>
      <c r="VSQ12" s="439"/>
      <c r="VSR12" s="439"/>
      <c r="VSS12" s="439"/>
      <c r="VST12" s="439"/>
      <c r="VSU12" s="439"/>
      <c r="VSV12" s="439"/>
      <c r="VSW12" s="439"/>
      <c r="VSX12" s="439"/>
      <c r="VSY12" s="439"/>
      <c r="VSZ12" s="439"/>
      <c r="VTA12" s="439"/>
      <c r="VTB12" s="439"/>
      <c r="VTC12" s="439"/>
      <c r="VTD12" s="439"/>
      <c r="VTE12" s="439"/>
      <c r="VTF12" s="439"/>
      <c r="VTG12" s="439"/>
      <c r="VTH12" s="439"/>
      <c r="VTI12" s="439"/>
      <c r="VTJ12" s="439"/>
      <c r="VTK12" s="439"/>
      <c r="VTL12" s="439"/>
      <c r="VTM12" s="439"/>
      <c r="VTN12" s="439"/>
      <c r="VTO12" s="439"/>
      <c r="VTP12" s="439"/>
      <c r="VTQ12" s="439"/>
      <c r="VTR12" s="439"/>
      <c r="VTS12" s="439"/>
      <c r="VTT12" s="439"/>
      <c r="VTU12" s="439"/>
      <c r="VTV12" s="439"/>
      <c r="VTW12" s="439"/>
      <c r="VTX12" s="439"/>
      <c r="VTY12" s="439"/>
      <c r="VTZ12" s="439"/>
      <c r="VUA12" s="439"/>
      <c r="VUB12" s="439"/>
      <c r="VUC12" s="439"/>
      <c r="VUD12" s="439"/>
      <c r="VUE12" s="439"/>
      <c r="VUF12" s="439"/>
      <c r="VUG12" s="439"/>
      <c r="VUH12" s="439"/>
      <c r="VUI12" s="439"/>
      <c r="VUJ12" s="439"/>
      <c r="VUK12" s="439"/>
      <c r="VUL12" s="439"/>
      <c r="VUM12" s="439"/>
      <c r="VUN12" s="439"/>
      <c r="VUO12" s="439"/>
      <c r="VUP12" s="439"/>
      <c r="VUQ12" s="439"/>
      <c r="VUR12" s="439"/>
      <c r="VUS12" s="439"/>
      <c r="VUT12" s="439"/>
      <c r="VUU12" s="439"/>
      <c r="VUV12" s="439"/>
      <c r="VUW12" s="439"/>
      <c r="VUX12" s="439"/>
      <c r="VUY12" s="439"/>
      <c r="VUZ12" s="439"/>
      <c r="VVA12" s="439"/>
      <c r="VVB12" s="439"/>
      <c r="VVC12" s="439"/>
      <c r="VVD12" s="439"/>
      <c r="VVE12" s="439"/>
      <c r="VVF12" s="439"/>
      <c r="VVG12" s="439"/>
      <c r="VVH12" s="439"/>
      <c r="VVI12" s="439"/>
      <c r="VVJ12" s="439"/>
      <c r="VVK12" s="439"/>
      <c r="VVL12" s="439"/>
      <c r="VVM12" s="439"/>
      <c r="VVN12" s="439"/>
      <c r="VVO12" s="439"/>
      <c r="VVP12" s="439"/>
      <c r="VVQ12" s="439"/>
      <c r="VVR12" s="439"/>
      <c r="VVS12" s="439"/>
      <c r="VVT12" s="439"/>
      <c r="VVU12" s="439"/>
      <c r="VVV12" s="439"/>
      <c r="VVW12" s="439"/>
      <c r="VVX12" s="439"/>
      <c r="VVY12" s="439"/>
      <c r="VVZ12" s="439"/>
      <c r="VWA12" s="439"/>
      <c r="VWB12" s="439"/>
      <c r="VWC12" s="439"/>
      <c r="VWD12" s="439"/>
      <c r="VWE12" s="439"/>
      <c r="VWF12" s="439"/>
      <c r="VWG12" s="439"/>
      <c r="VWH12" s="439"/>
      <c r="VWI12" s="439"/>
      <c r="VWJ12" s="439"/>
      <c r="VWK12" s="439"/>
      <c r="VWL12" s="439"/>
      <c r="VWM12" s="439"/>
      <c r="VWN12" s="439"/>
      <c r="VWO12" s="439"/>
      <c r="VWP12" s="439"/>
      <c r="VWQ12" s="439"/>
      <c r="VWR12" s="439"/>
      <c r="VWS12" s="439"/>
      <c r="VWT12" s="439"/>
      <c r="VWU12" s="439"/>
      <c r="VWV12" s="439"/>
      <c r="VWW12" s="439"/>
      <c r="VWX12" s="439"/>
      <c r="VWY12" s="439"/>
      <c r="VWZ12" s="439"/>
      <c r="VXA12" s="439"/>
      <c r="VXB12" s="439"/>
      <c r="VXC12" s="439"/>
      <c r="VXD12" s="439"/>
      <c r="VXE12" s="439"/>
      <c r="VXF12" s="439"/>
      <c r="VXG12" s="439"/>
      <c r="VXH12" s="439"/>
      <c r="VXI12" s="439"/>
      <c r="VXJ12" s="439"/>
      <c r="VXK12" s="439"/>
      <c r="VXL12" s="439"/>
      <c r="VXM12" s="439"/>
      <c r="VXN12" s="439"/>
      <c r="VXO12" s="439"/>
      <c r="VXP12" s="439"/>
      <c r="VXQ12" s="439"/>
      <c r="VXR12" s="439"/>
      <c r="VXS12" s="439"/>
      <c r="VXT12" s="439"/>
      <c r="VXU12" s="439"/>
      <c r="VXV12" s="439"/>
      <c r="VXW12" s="439"/>
      <c r="VXX12" s="439"/>
      <c r="VXY12" s="439"/>
      <c r="VXZ12" s="439"/>
      <c r="VYA12" s="439"/>
      <c r="VYB12" s="439"/>
      <c r="VYC12" s="439"/>
      <c r="VYD12" s="439"/>
      <c r="VYE12" s="439"/>
      <c r="VYF12" s="439"/>
      <c r="VYG12" s="439"/>
      <c r="VYH12" s="439"/>
      <c r="VYI12" s="439"/>
      <c r="VYJ12" s="439"/>
      <c r="VYK12" s="439"/>
      <c r="VYL12" s="439"/>
      <c r="VYM12" s="439"/>
      <c r="VYN12" s="439"/>
      <c r="VYO12" s="439"/>
      <c r="VYP12" s="439"/>
      <c r="VYQ12" s="439"/>
      <c r="VYR12" s="439"/>
      <c r="VYS12" s="439"/>
      <c r="VYT12" s="439"/>
      <c r="VYU12" s="439"/>
      <c r="VYV12" s="439"/>
      <c r="VYW12" s="439"/>
      <c r="VYX12" s="439"/>
      <c r="VYY12" s="439"/>
      <c r="VYZ12" s="439"/>
      <c r="VZA12" s="439"/>
      <c r="VZB12" s="439"/>
      <c r="VZC12" s="439"/>
      <c r="VZD12" s="439"/>
      <c r="VZE12" s="439"/>
      <c r="VZF12" s="439"/>
      <c r="VZG12" s="439"/>
      <c r="VZH12" s="439"/>
      <c r="VZI12" s="439"/>
      <c r="VZJ12" s="439"/>
      <c r="VZK12" s="439"/>
      <c r="VZL12" s="439"/>
      <c r="VZM12" s="439"/>
      <c r="VZN12" s="439"/>
      <c r="VZO12" s="439"/>
      <c r="VZP12" s="439"/>
      <c r="VZQ12" s="439"/>
      <c r="VZR12" s="439"/>
      <c r="VZS12" s="439"/>
      <c r="VZT12" s="439"/>
      <c r="VZU12" s="439"/>
      <c r="VZV12" s="439"/>
      <c r="VZW12" s="439"/>
      <c r="VZX12" s="439"/>
      <c r="VZY12" s="439"/>
      <c r="VZZ12" s="439"/>
      <c r="WAA12" s="439"/>
      <c r="WAB12" s="439"/>
      <c r="WAC12" s="439"/>
      <c r="WAD12" s="439"/>
      <c r="WAE12" s="439"/>
      <c r="WAF12" s="439"/>
      <c r="WAG12" s="439"/>
      <c r="WAH12" s="439"/>
      <c r="WAI12" s="439"/>
      <c r="WAJ12" s="439"/>
      <c r="WAK12" s="439"/>
      <c r="WAL12" s="439"/>
      <c r="WAM12" s="439"/>
      <c r="WAN12" s="439"/>
      <c r="WAO12" s="439"/>
      <c r="WAP12" s="439"/>
      <c r="WAQ12" s="439"/>
      <c r="WAR12" s="439"/>
      <c r="WAS12" s="439"/>
      <c r="WAT12" s="439"/>
      <c r="WAU12" s="439"/>
      <c r="WAV12" s="439"/>
      <c r="WAW12" s="439"/>
      <c r="WAX12" s="439"/>
      <c r="WAY12" s="439"/>
      <c r="WAZ12" s="439"/>
      <c r="WBA12" s="439"/>
      <c r="WBB12" s="439"/>
      <c r="WBC12" s="439"/>
      <c r="WBD12" s="439"/>
      <c r="WBE12" s="439"/>
      <c r="WBF12" s="439"/>
      <c r="WBG12" s="439"/>
      <c r="WBH12" s="439"/>
      <c r="WBI12" s="439"/>
      <c r="WBJ12" s="439"/>
      <c r="WBK12" s="439"/>
      <c r="WBL12" s="439"/>
      <c r="WBM12" s="439"/>
      <c r="WBN12" s="439"/>
      <c r="WBO12" s="439"/>
      <c r="WBP12" s="439"/>
      <c r="WBQ12" s="439"/>
      <c r="WBR12" s="439"/>
      <c r="WBS12" s="439"/>
      <c r="WBT12" s="439"/>
      <c r="WBU12" s="439"/>
      <c r="WBV12" s="439"/>
      <c r="WBW12" s="439"/>
      <c r="WBX12" s="439"/>
      <c r="WBY12" s="439"/>
      <c r="WBZ12" s="439"/>
      <c r="WCA12" s="439"/>
      <c r="WCB12" s="439"/>
      <c r="WCC12" s="439"/>
      <c r="WCD12" s="439"/>
      <c r="WCE12" s="439"/>
      <c r="WCF12" s="439"/>
      <c r="WCG12" s="439"/>
      <c r="WCH12" s="439"/>
      <c r="WCI12" s="439"/>
      <c r="WCJ12" s="439"/>
      <c r="WCK12" s="439"/>
      <c r="WCL12" s="439"/>
      <c r="WCM12" s="439"/>
      <c r="WCN12" s="439"/>
      <c r="WCO12" s="439"/>
      <c r="WCP12" s="439"/>
      <c r="WCQ12" s="439"/>
      <c r="WCR12" s="439"/>
      <c r="WCS12" s="439"/>
      <c r="WCT12" s="439"/>
      <c r="WCU12" s="439"/>
      <c r="WCV12" s="439"/>
      <c r="WCW12" s="439"/>
      <c r="WCX12" s="439"/>
      <c r="WCY12" s="439"/>
      <c r="WCZ12" s="439"/>
      <c r="WDA12" s="439"/>
      <c r="WDB12" s="439"/>
      <c r="WDC12" s="439"/>
      <c r="WDD12" s="439"/>
      <c r="WDE12" s="439"/>
      <c r="WDF12" s="439"/>
      <c r="WDG12" s="439"/>
      <c r="WDH12" s="439"/>
      <c r="WDI12" s="439"/>
      <c r="WDJ12" s="439"/>
      <c r="WDK12" s="439"/>
      <c r="WDL12" s="439"/>
      <c r="WDM12" s="439"/>
      <c r="WDN12" s="439"/>
      <c r="WDO12" s="439"/>
      <c r="WDP12" s="439"/>
      <c r="WDQ12" s="439"/>
      <c r="WDR12" s="439"/>
      <c r="WDS12" s="439"/>
      <c r="WDT12" s="439"/>
      <c r="WDU12" s="439"/>
      <c r="WDV12" s="439"/>
      <c r="WDW12" s="439"/>
      <c r="WDX12" s="439"/>
      <c r="WDY12" s="439"/>
      <c r="WDZ12" s="439"/>
      <c r="WEA12" s="439"/>
      <c r="WEB12" s="439"/>
      <c r="WEC12" s="439"/>
      <c r="WED12" s="439"/>
      <c r="WEE12" s="439"/>
      <c r="WEF12" s="439"/>
      <c r="WEG12" s="439"/>
      <c r="WEH12" s="439"/>
      <c r="WEI12" s="439"/>
      <c r="WEJ12" s="439"/>
      <c r="WEK12" s="439"/>
      <c r="WEL12" s="439"/>
      <c r="WEM12" s="439"/>
      <c r="WEN12" s="439"/>
      <c r="WEO12" s="439"/>
      <c r="WEP12" s="439"/>
      <c r="WEQ12" s="439"/>
      <c r="WER12" s="439"/>
      <c r="WES12" s="439"/>
      <c r="WET12" s="439"/>
      <c r="WEU12" s="439"/>
      <c r="WEV12" s="439"/>
      <c r="WEW12" s="439"/>
      <c r="WEX12" s="439"/>
      <c r="WEY12" s="439"/>
      <c r="WEZ12" s="439"/>
      <c r="WFA12" s="439"/>
      <c r="WFB12" s="439"/>
      <c r="WFC12" s="439"/>
      <c r="WFD12" s="439"/>
      <c r="WFE12" s="439"/>
      <c r="WFF12" s="439"/>
      <c r="WFG12" s="439"/>
      <c r="WFH12" s="439"/>
      <c r="WFI12" s="439"/>
      <c r="WFJ12" s="439"/>
      <c r="WFK12" s="439"/>
      <c r="WFL12" s="439"/>
      <c r="WFM12" s="439"/>
      <c r="WFN12" s="439"/>
      <c r="WFO12" s="439"/>
      <c r="WFP12" s="439"/>
      <c r="WFQ12" s="439"/>
      <c r="WFR12" s="439"/>
      <c r="WFS12" s="439"/>
      <c r="WFT12" s="439"/>
      <c r="WFU12" s="439"/>
      <c r="WFV12" s="439"/>
      <c r="WFW12" s="439"/>
      <c r="WFX12" s="439"/>
      <c r="WFY12" s="439"/>
      <c r="WFZ12" s="439"/>
      <c r="WGA12" s="439"/>
      <c r="WGB12" s="439"/>
      <c r="WGC12" s="439"/>
      <c r="WGD12" s="439"/>
      <c r="WGE12" s="439"/>
      <c r="WGF12" s="439"/>
      <c r="WGG12" s="439"/>
      <c r="WGH12" s="439"/>
      <c r="WGI12" s="439"/>
      <c r="WGJ12" s="439"/>
      <c r="WGK12" s="439"/>
      <c r="WGL12" s="439"/>
      <c r="WGM12" s="439"/>
      <c r="WGN12" s="439"/>
      <c r="WGO12" s="439"/>
      <c r="WGP12" s="439"/>
      <c r="WGQ12" s="439"/>
      <c r="WGR12" s="439"/>
      <c r="WGS12" s="439"/>
      <c r="WGT12" s="439"/>
      <c r="WGU12" s="439"/>
      <c r="WGV12" s="439"/>
      <c r="WGW12" s="439"/>
      <c r="WGX12" s="439"/>
      <c r="WGY12" s="439"/>
      <c r="WGZ12" s="439"/>
      <c r="WHA12" s="439"/>
      <c r="WHB12" s="439"/>
      <c r="WHC12" s="439"/>
      <c r="WHD12" s="439"/>
      <c r="WHE12" s="439"/>
      <c r="WHF12" s="439"/>
      <c r="WHG12" s="439"/>
      <c r="WHH12" s="439"/>
      <c r="WHI12" s="439"/>
      <c r="WHJ12" s="439"/>
      <c r="WHK12" s="439"/>
      <c r="WHL12" s="439"/>
      <c r="WHM12" s="439"/>
      <c r="WHN12" s="439"/>
      <c r="WHO12" s="439"/>
      <c r="WHP12" s="439"/>
      <c r="WHQ12" s="439"/>
      <c r="WHR12" s="439"/>
      <c r="WHS12" s="439"/>
      <c r="WHT12" s="439"/>
      <c r="WHU12" s="439"/>
      <c r="WHV12" s="439"/>
      <c r="WHW12" s="439"/>
      <c r="WHX12" s="439"/>
      <c r="WHY12" s="439"/>
      <c r="WHZ12" s="439"/>
      <c r="WIA12" s="439"/>
      <c r="WIB12" s="439"/>
      <c r="WIC12" s="439"/>
      <c r="WID12" s="439"/>
      <c r="WIE12" s="439"/>
      <c r="WIF12" s="439"/>
      <c r="WIG12" s="439"/>
      <c r="WIH12" s="439"/>
      <c r="WII12" s="439"/>
      <c r="WIJ12" s="439"/>
      <c r="WIK12" s="439"/>
      <c r="WIL12" s="439"/>
      <c r="WIM12" s="439"/>
      <c r="WIN12" s="439"/>
      <c r="WIO12" s="439"/>
      <c r="WIP12" s="439"/>
      <c r="WIQ12" s="439"/>
      <c r="WIR12" s="439"/>
      <c r="WIS12" s="439"/>
      <c r="WIT12" s="439"/>
      <c r="WIU12" s="439"/>
      <c r="WIV12" s="439"/>
      <c r="WIW12" s="439"/>
      <c r="WIX12" s="439"/>
      <c r="WIY12" s="439"/>
      <c r="WIZ12" s="439"/>
      <c r="WJA12" s="439"/>
      <c r="WJB12" s="439"/>
      <c r="WJC12" s="439"/>
      <c r="WJD12" s="439"/>
      <c r="WJE12" s="439"/>
      <c r="WJF12" s="439"/>
      <c r="WJG12" s="439"/>
      <c r="WJH12" s="439"/>
      <c r="WJI12" s="439"/>
      <c r="WJJ12" s="439"/>
      <c r="WJK12" s="439"/>
      <c r="WJL12" s="439"/>
      <c r="WJM12" s="439"/>
      <c r="WJN12" s="439"/>
      <c r="WJO12" s="439"/>
      <c r="WJP12" s="439"/>
      <c r="WJQ12" s="439"/>
      <c r="WJR12" s="439"/>
      <c r="WJS12" s="439"/>
      <c r="WJT12" s="439"/>
      <c r="WJU12" s="439"/>
      <c r="WJV12" s="439"/>
      <c r="WJW12" s="439"/>
      <c r="WJX12" s="439"/>
      <c r="WJY12" s="439"/>
      <c r="WJZ12" s="439"/>
      <c r="WKA12" s="439"/>
      <c r="WKB12" s="439"/>
      <c r="WKC12" s="439"/>
      <c r="WKD12" s="439"/>
      <c r="WKE12" s="439"/>
      <c r="WKF12" s="439"/>
      <c r="WKG12" s="439"/>
      <c r="WKH12" s="439"/>
      <c r="WKI12" s="439"/>
      <c r="WKJ12" s="439"/>
      <c r="WKK12" s="439"/>
      <c r="WKL12" s="439"/>
      <c r="WKM12" s="439"/>
      <c r="WKN12" s="439"/>
      <c r="WKO12" s="439"/>
      <c r="WKP12" s="439"/>
      <c r="WKQ12" s="439"/>
      <c r="WKR12" s="439"/>
      <c r="WKS12" s="439"/>
      <c r="WKT12" s="439"/>
      <c r="WKU12" s="439"/>
      <c r="WKV12" s="439"/>
      <c r="WKW12" s="439"/>
      <c r="WKX12" s="439"/>
      <c r="WKY12" s="439"/>
      <c r="WKZ12" s="439"/>
      <c r="WLA12" s="439"/>
      <c r="WLB12" s="439"/>
      <c r="WLC12" s="439"/>
      <c r="WLD12" s="439"/>
      <c r="WLE12" s="439"/>
      <c r="WLF12" s="439"/>
      <c r="WLG12" s="439"/>
      <c r="WLH12" s="439"/>
      <c r="WLI12" s="439"/>
      <c r="WLJ12" s="439"/>
      <c r="WLK12" s="439"/>
      <c r="WLL12" s="439"/>
      <c r="WLM12" s="439"/>
      <c r="WLN12" s="439"/>
      <c r="WLO12" s="439"/>
      <c r="WLP12" s="439"/>
      <c r="WLQ12" s="439"/>
      <c r="WLR12" s="439"/>
      <c r="WLS12" s="439"/>
      <c r="WLT12" s="439"/>
      <c r="WLU12" s="439"/>
      <c r="WLV12" s="439"/>
      <c r="WLW12" s="439"/>
      <c r="WLX12" s="439"/>
      <c r="WLY12" s="439"/>
      <c r="WLZ12" s="439"/>
      <c r="WMA12" s="439"/>
      <c r="WMB12" s="439"/>
      <c r="WMC12" s="439"/>
      <c r="WMD12" s="439"/>
      <c r="WME12" s="439"/>
      <c r="WMF12" s="439"/>
      <c r="WMG12" s="439"/>
      <c r="WMH12" s="439"/>
      <c r="WMI12" s="439"/>
      <c r="WMJ12" s="439"/>
      <c r="WMK12" s="439"/>
      <c r="WML12" s="439"/>
      <c r="WMM12" s="439"/>
      <c r="WMN12" s="439"/>
      <c r="WMO12" s="439"/>
      <c r="WMP12" s="439"/>
      <c r="WMQ12" s="439"/>
      <c r="WMR12" s="439"/>
      <c r="WMS12" s="439"/>
      <c r="WMT12" s="439"/>
      <c r="WMU12" s="439"/>
      <c r="WMV12" s="439"/>
      <c r="WMW12" s="439"/>
      <c r="WMX12" s="439"/>
      <c r="WMY12" s="439"/>
      <c r="WMZ12" s="439"/>
      <c r="WNA12" s="439"/>
      <c r="WNB12" s="439"/>
      <c r="WNC12" s="439"/>
      <c r="WND12" s="439"/>
      <c r="WNE12" s="439"/>
      <c r="WNF12" s="439"/>
      <c r="WNG12" s="439"/>
      <c r="WNH12" s="439"/>
      <c r="WNI12" s="439"/>
      <c r="WNJ12" s="439"/>
      <c r="WNK12" s="439"/>
      <c r="WNL12" s="439"/>
      <c r="WNM12" s="439"/>
      <c r="WNN12" s="439"/>
      <c r="WNO12" s="439"/>
      <c r="WNP12" s="439"/>
      <c r="WNQ12" s="439"/>
      <c r="WNR12" s="439"/>
      <c r="WNS12" s="439"/>
      <c r="WNT12" s="439"/>
      <c r="WNU12" s="439"/>
      <c r="WNV12" s="439"/>
      <c r="WNW12" s="439"/>
      <c r="WNX12" s="439"/>
      <c r="WNY12" s="439"/>
      <c r="WNZ12" s="439"/>
      <c r="WOA12" s="439"/>
      <c r="WOB12" s="439"/>
      <c r="WOC12" s="439"/>
      <c r="WOD12" s="439"/>
      <c r="WOE12" s="439"/>
      <c r="WOF12" s="439"/>
      <c r="WOG12" s="439"/>
      <c r="WOH12" s="439"/>
      <c r="WOI12" s="439"/>
      <c r="WOJ12" s="439"/>
      <c r="WOK12" s="439"/>
      <c r="WOL12" s="439"/>
      <c r="WOM12" s="439"/>
      <c r="WON12" s="439"/>
      <c r="WOO12" s="439"/>
      <c r="WOP12" s="439"/>
      <c r="WOQ12" s="439"/>
      <c r="WOR12" s="439"/>
      <c r="WOS12" s="439"/>
      <c r="WOT12" s="439"/>
      <c r="WOU12" s="439"/>
      <c r="WOV12" s="439"/>
      <c r="WOW12" s="439"/>
      <c r="WOX12" s="439"/>
      <c r="WOY12" s="439"/>
      <c r="WOZ12" s="439"/>
      <c r="WPA12" s="439"/>
      <c r="WPB12" s="439"/>
      <c r="WPC12" s="439"/>
      <c r="WPD12" s="439"/>
      <c r="WPE12" s="439"/>
      <c r="WPF12" s="439"/>
      <c r="WPG12" s="439"/>
      <c r="WPH12" s="439"/>
      <c r="WPI12" s="439"/>
      <c r="WPJ12" s="439"/>
      <c r="WPK12" s="439"/>
      <c r="WPL12" s="439"/>
      <c r="WPM12" s="439"/>
      <c r="WPN12" s="439"/>
      <c r="WPO12" s="439"/>
      <c r="WPP12" s="439"/>
      <c r="WPQ12" s="439"/>
      <c r="WPR12" s="439"/>
      <c r="WPS12" s="439"/>
      <c r="WPT12" s="439"/>
      <c r="WPU12" s="439"/>
      <c r="WPV12" s="439"/>
      <c r="WPW12" s="439"/>
      <c r="WPX12" s="439"/>
      <c r="WPY12" s="439"/>
      <c r="WPZ12" s="439"/>
      <c r="WQA12" s="439"/>
      <c r="WQB12" s="439"/>
      <c r="WQC12" s="439"/>
      <c r="WQD12" s="439"/>
      <c r="WQE12" s="439"/>
      <c r="WQF12" s="439"/>
      <c r="WQG12" s="439"/>
      <c r="WQH12" s="439"/>
      <c r="WQI12" s="439"/>
      <c r="WQJ12" s="439"/>
      <c r="WQK12" s="439"/>
      <c r="WQL12" s="439"/>
      <c r="WQM12" s="439"/>
      <c r="WQN12" s="439"/>
      <c r="WQO12" s="439"/>
      <c r="WQP12" s="439"/>
      <c r="WQQ12" s="439"/>
      <c r="WQR12" s="439"/>
      <c r="WQS12" s="439"/>
      <c r="WQT12" s="439"/>
      <c r="WQU12" s="439"/>
      <c r="WQV12" s="439"/>
      <c r="WQW12" s="439"/>
      <c r="WQX12" s="439"/>
      <c r="WQY12" s="439"/>
      <c r="WQZ12" s="439"/>
      <c r="WRA12" s="439"/>
      <c r="WRB12" s="439"/>
      <c r="WRC12" s="439"/>
      <c r="WRD12" s="439"/>
      <c r="WRE12" s="439"/>
      <c r="WRF12" s="439"/>
      <c r="WRG12" s="439"/>
      <c r="WRH12" s="439"/>
      <c r="WRI12" s="439"/>
      <c r="WRJ12" s="439"/>
      <c r="WRK12" s="439"/>
      <c r="WRL12" s="439"/>
      <c r="WRM12" s="439"/>
      <c r="WRN12" s="439"/>
      <c r="WRO12" s="439"/>
      <c r="WRP12" s="439"/>
      <c r="WRQ12" s="439"/>
      <c r="WRR12" s="439"/>
      <c r="WRS12" s="439"/>
      <c r="WRT12" s="439"/>
      <c r="WRU12" s="439"/>
      <c r="WRV12" s="439"/>
      <c r="WRW12" s="439"/>
      <c r="WRX12" s="439"/>
      <c r="WRY12" s="439"/>
      <c r="WRZ12" s="439"/>
      <c r="WSA12" s="439"/>
      <c r="WSB12" s="439"/>
      <c r="WSC12" s="439"/>
      <c r="WSD12" s="439"/>
      <c r="WSE12" s="439"/>
      <c r="WSF12" s="439"/>
      <c r="WSG12" s="439"/>
      <c r="WSH12" s="439"/>
      <c r="WSI12" s="439"/>
      <c r="WSJ12" s="439"/>
      <c r="WSK12" s="439"/>
      <c r="WSL12" s="439"/>
      <c r="WSM12" s="439"/>
      <c r="WSN12" s="439"/>
      <c r="WSO12" s="439"/>
      <c r="WSP12" s="439"/>
      <c r="WSQ12" s="439"/>
      <c r="WSR12" s="439"/>
      <c r="WSS12" s="439"/>
      <c r="WST12" s="439"/>
      <c r="WSU12" s="439"/>
      <c r="WSV12" s="439"/>
      <c r="WSW12" s="439"/>
      <c r="WSX12" s="439"/>
      <c r="WSY12" s="439"/>
      <c r="WSZ12" s="439"/>
      <c r="WTA12" s="439"/>
      <c r="WTB12" s="439"/>
      <c r="WTC12" s="439"/>
      <c r="WTD12" s="439"/>
      <c r="WTE12" s="439"/>
      <c r="WTF12" s="439"/>
      <c r="WTG12" s="439"/>
      <c r="WTH12" s="439"/>
      <c r="WTI12" s="439"/>
      <c r="WTJ12" s="439"/>
      <c r="WTK12" s="439"/>
      <c r="WTL12" s="439"/>
      <c r="WTM12" s="439"/>
      <c r="WTN12" s="439"/>
      <c r="WTO12" s="439"/>
      <c r="WTP12" s="439"/>
      <c r="WTQ12" s="439"/>
      <c r="WTR12" s="439"/>
      <c r="WTS12" s="439"/>
      <c r="WTT12" s="439"/>
      <c r="WTU12" s="439"/>
      <c r="WTV12" s="439"/>
      <c r="WTW12" s="439"/>
      <c r="WTX12" s="439"/>
      <c r="WTY12" s="439"/>
      <c r="WTZ12" s="439"/>
      <c r="WUA12" s="439"/>
      <c r="WUB12" s="439"/>
      <c r="WUC12" s="439"/>
      <c r="WUD12" s="439"/>
      <c r="WUE12" s="439"/>
      <c r="WUF12" s="439"/>
      <c r="WUG12" s="439"/>
      <c r="WUH12" s="439"/>
      <c r="WUI12" s="439"/>
      <c r="WUJ12" s="439"/>
      <c r="WUK12" s="439"/>
      <c r="WUL12" s="439"/>
      <c r="WUM12" s="439"/>
      <c r="WUN12" s="439"/>
      <c r="WUO12" s="439"/>
      <c r="WUP12" s="439"/>
      <c r="WUQ12" s="439"/>
      <c r="WUR12" s="439"/>
      <c r="WUS12" s="439"/>
      <c r="WUT12" s="439"/>
      <c r="WUU12" s="439"/>
      <c r="WUV12" s="439"/>
      <c r="WUW12" s="439"/>
      <c r="WUX12" s="439"/>
      <c r="WUY12" s="439"/>
      <c r="WUZ12" s="439"/>
      <c r="WVA12" s="439"/>
      <c r="WVB12" s="439"/>
      <c r="WVC12" s="439"/>
      <c r="WVD12" s="439"/>
      <c r="WVE12" s="439"/>
      <c r="WVF12" s="439"/>
      <c r="WVG12" s="439"/>
      <c r="WVH12" s="439"/>
      <c r="WVI12" s="439"/>
      <c r="WVJ12" s="439"/>
      <c r="WVK12" s="439"/>
      <c r="WVL12" s="439"/>
      <c r="WVM12" s="439"/>
      <c r="WVN12" s="439"/>
      <c r="WVO12" s="439"/>
      <c r="WVP12" s="439"/>
      <c r="WVQ12" s="439"/>
      <c r="WVR12" s="439"/>
      <c r="WVS12" s="439"/>
      <c r="WVT12" s="439"/>
      <c r="WVU12" s="439"/>
      <c r="WVV12" s="439"/>
      <c r="WVW12" s="439"/>
      <c r="WVX12" s="439"/>
      <c r="WVY12" s="439"/>
      <c r="WVZ12" s="439"/>
      <c r="WWA12" s="439"/>
      <c r="WWB12" s="439"/>
      <c r="WWC12" s="439"/>
      <c r="WWD12" s="439"/>
      <c r="WWE12" s="439"/>
      <c r="WWF12" s="439"/>
      <c r="WWG12" s="439"/>
      <c r="WWH12" s="439"/>
      <c r="WWI12" s="439"/>
      <c r="WWJ12" s="439"/>
      <c r="WWK12" s="439"/>
      <c r="WWL12" s="439"/>
      <c r="WWM12" s="439"/>
      <c r="WWN12" s="439"/>
      <c r="WWO12" s="439"/>
      <c r="WWP12" s="439"/>
      <c r="WWQ12" s="439"/>
      <c r="WWR12" s="439"/>
      <c r="WWS12" s="439"/>
      <c r="WWT12" s="439"/>
      <c r="WWU12" s="439"/>
      <c r="WWV12" s="439"/>
      <c r="WWW12" s="439"/>
      <c r="WWX12" s="439"/>
      <c r="WWY12" s="439"/>
      <c r="WWZ12" s="439"/>
      <c r="WXA12" s="439"/>
      <c r="WXB12" s="439"/>
      <c r="WXC12" s="439"/>
      <c r="WXD12" s="439"/>
      <c r="WXE12" s="439"/>
      <c r="WXF12" s="439"/>
      <c r="WXG12" s="439"/>
      <c r="WXH12" s="439"/>
      <c r="WXI12" s="439"/>
      <c r="WXJ12" s="439"/>
      <c r="WXK12" s="439"/>
      <c r="WXL12" s="439"/>
      <c r="WXM12" s="439"/>
      <c r="WXN12" s="439"/>
      <c r="WXO12" s="439"/>
      <c r="WXP12" s="439"/>
      <c r="WXQ12" s="439"/>
      <c r="WXR12" s="439"/>
      <c r="WXS12" s="439"/>
      <c r="WXT12" s="439"/>
      <c r="WXU12" s="439"/>
      <c r="WXV12" s="439"/>
      <c r="WXW12" s="439"/>
      <c r="WXX12" s="439"/>
      <c r="WXY12" s="439"/>
      <c r="WXZ12" s="439"/>
      <c r="WYA12" s="439"/>
      <c r="WYB12" s="439"/>
      <c r="WYC12" s="439"/>
      <c r="WYD12" s="439"/>
      <c r="WYE12" s="439"/>
      <c r="WYF12" s="439"/>
      <c r="WYG12" s="439"/>
      <c r="WYH12" s="439"/>
      <c r="WYI12" s="439"/>
      <c r="WYJ12" s="439"/>
      <c r="WYK12" s="439"/>
      <c r="WYL12" s="439"/>
      <c r="WYM12" s="439"/>
      <c r="WYN12" s="439"/>
      <c r="WYO12" s="439"/>
      <c r="WYP12" s="439"/>
      <c r="WYQ12" s="439"/>
      <c r="WYR12" s="439"/>
      <c r="WYS12" s="439"/>
      <c r="WYT12" s="439"/>
      <c r="WYU12" s="439"/>
      <c r="WYV12" s="439"/>
      <c r="WYW12" s="439"/>
      <c r="WYX12" s="439"/>
      <c r="WYY12" s="439"/>
      <c r="WYZ12" s="439"/>
      <c r="WZA12" s="439"/>
      <c r="WZB12" s="439"/>
      <c r="WZC12" s="439"/>
      <c r="WZD12" s="439"/>
      <c r="WZE12" s="439"/>
      <c r="WZF12" s="439"/>
      <c r="WZG12" s="439"/>
      <c r="WZH12" s="439"/>
      <c r="WZI12" s="439"/>
      <c r="WZJ12" s="439"/>
      <c r="WZK12" s="439"/>
      <c r="WZL12" s="439"/>
      <c r="WZM12" s="439"/>
      <c r="WZN12" s="439"/>
      <c r="WZO12" s="439"/>
      <c r="WZP12" s="439"/>
      <c r="WZQ12" s="439"/>
      <c r="WZR12" s="439"/>
      <c r="WZS12" s="439"/>
      <c r="WZT12" s="439"/>
      <c r="WZU12" s="439"/>
      <c r="WZV12" s="439"/>
      <c r="WZW12" s="439"/>
      <c r="WZX12" s="439"/>
      <c r="WZY12" s="439"/>
      <c r="WZZ12" s="439"/>
      <c r="XAA12" s="439"/>
      <c r="XAB12" s="439"/>
      <c r="XAC12" s="439"/>
      <c r="XAD12" s="439"/>
      <c r="XAE12" s="439"/>
      <c r="XAF12" s="439"/>
      <c r="XAG12" s="439"/>
      <c r="XAH12" s="439"/>
      <c r="XAI12" s="439"/>
      <c r="XAJ12" s="439"/>
      <c r="XAK12" s="439"/>
      <c r="XAL12" s="439"/>
      <c r="XAM12" s="439"/>
      <c r="XAN12" s="439"/>
      <c r="XAO12" s="439"/>
      <c r="XAP12" s="439"/>
      <c r="XAQ12" s="439"/>
      <c r="XAR12" s="439"/>
      <c r="XAS12" s="439"/>
      <c r="XAT12" s="439"/>
      <c r="XAU12" s="439"/>
      <c r="XAV12" s="439"/>
      <c r="XAW12" s="439"/>
      <c r="XAX12" s="439"/>
      <c r="XAY12" s="439"/>
      <c r="XAZ12" s="439"/>
      <c r="XBA12" s="439"/>
      <c r="XBB12" s="439"/>
      <c r="XBC12" s="439"/>
      <c r="XBD12" s="439"/>
      <c r="XBE12" s="439"/>
      <c r="XBF12" s="439"/>
      <c r="XBG12" s="439"/>
      <c r="XBH12" s="439"/>
      <c r="XBI12" s="439"/>
      <c r="XBJ12" s="439"/>
      <c r="XBK12" s="439"/>
      <c r="XBL12" s="439"/>
      <c r="XBM12" s="439"/>
      <c r="XBN12" s="439"/>
      <c r="XBO12" s="439"/>
      <c r="XBP12" s="439"/>
      <c r="XBQ12" s="439"/>
      <c r="XBR12" s="439"/>
      <c r="XBS12" s="439"/>
      <c r="XBT12" s="439"/>
      <c r="XBU12" s="439"/>
      <c r="XBV12" s="439"/>
      <c r="XBW12" s="439"/>
      <c r="XBX12" s="439"/>
      <c r="XBY12" s="439"/>
      <c r="XBZ12" s="439"/>
      <c r="XCA12" s="439"/>
      <c r="XCB12" s="439"/>
      <c r="XCC12" s="439"/>
      <c r="XCD12" s="439"/>
      <c r="XCE12" s="439"/>
      <c r="XCF12" s="439"/>
      <c r="XCG12" s="439"/>
      <c r="XCH12" s="439"/>
      <c r="XCI12" s="439"/>
      <c r="XCJ12" s="439"/>
      <c r="XCK12" s="439"/>
      <c r="XCL12" s="439"/>
      <c r="XCM12" s="439"/>
      <c r="XCN12" s="439"/>
      <c r="XCO12" s="439"/>
      <c r="XCP12" s="439"/>
      <c r="XCQ12" s="439"/>
      <c r="XCR12" s="439"/>
      <c r="XCS12" s="439"/>
      <c r="XCT12" s="439"/>
      <c r="XCU12" s="439"/>
      <c r="XCV12" s="439"/>
      <c r="XCW12" s="439"/>
      <c r="XCX12" s="439"/>
      <c r="XCY12" s="439"/>
      <c r="XCZ12" s="439"/>
      <c r="XDA12" s="439"/>
      <c r="XDB12" s="439"/>
      <c r="XDC12" s="439"/>
      <c r="XDD12" s="439"/>
      <c r="XDE12" s="439"/>
      <c r="XDF12" s="439"/>
      <c r="XDG12" s="439"/>
      <c r="XDH12" s="439"/>
      <c r="XDI12" s="439"/>
      <c r="XDJ12" s="439"/>
      <c r="XDK12" s="439"/>
      <c r="XDL12" s="439"/>
      <c r="XDM12" s="439"/>
      <c r="XDN12" s="439"/>
      <c r="XDO12" s="439"/>
      <c r="XDP12" s="439"/>
      <c r="XDQ12" s="439"/>
      <c r="XDR12" s="439"/>
      <c r="XDS12" s="439"/>
      <c r="XDT12" s="439"/>
      <c r="XDU12" s="439"/>
      <c r="XDV12" s="439"/>
      <c r="XDW12" s="439"/>
      <c r="XDX12" s="439"/>
      <c r="XDY12" s="439"/>
      <c r="XDZ12" s="439"/>
      <c r="XEA12" s="439"/>
      <c r="XEB12" s="439"/>
      <c r="XEC12" s="439"/>
      <c r="XED12" s="439"/>
      <c r="XEE12" s="439"/>
      <c r="XEF12" s="439"/>
      <c r="XEG12" s="439"/>
      <c r="XEH12" s="439"/>
      <c r="XEI12" s="439"/>
      <c r="XEJ12" s="439"/>
      <c r="XEK12" s="439"/>
      <c r="XEL12" s="439"/>
      <c r="XEM12" s="439"/>
      <c r="XEN12" s="439"/>
      <c r="XEO12" s="439"/>
      <c r="XEP12" s="439"/>
      <c r="XEQ12" s="439"/>
      <c r="XER12" s="439"/>
      <c r="XES12" s="439"/>
      <c r="XET12" s="439"/>
      <c r="XEU12" s="439"/>
      <c r="XEV12" s="439"/>
      <c r="XEW12" s="439"/>
      <c r="XEX12" s="439"/>
      <c r="XEY12" s="439"/>
      <c r="XEZ12" s="439"/>
      <c r="XFA12" s="439"/>
      <c r="XFB12" s="439"/>
      <c r="XFC12" s="439"/>
    </row>
    <row r="13" spans="1:16383" s="439" customFormat="1" ht="14.25" x14ac:dyDescent="0.25">
      <c r="A13" s="1935" t="s">
        <v>8664</v>
      </c>
      <c r="B13" s="1936"/>
      <c r="C13" s="1936"/>
      <c r="D13" s="1936"/>
      <c r="E13" s="1936"/>
      <c r="F13" s="1936"/>
      <c r="G13" s="1937"/>
    </row>
    <row r="14" spans="1:16383" s="439" customFormat="1" ht="30" x14ac:dyDescent="0.25">
      <c r="A14" s="1962" t="s">
        <v>2</v>
      </c>
      <c r="B14" s="1943"/>
      <c r="C14" s="1943" t="s">
        <v>8489</v>
      </c>
      <c r="D14" s="1943"/>
      <c r="E14" s="1939" t="s">
        <v>10090</v>
      </c>
      <c r="F14" s="1939"/>
      <c r="G14" s="34" t="s">
        <v>8490</v>
      </c>
    </row>
    <row r="15" spans="1:16383" s="439" customFormat="1" ht="18.75" customHeight="1" x14ac:dyDescent="0.25">
      <c r="A15" s="1881" t="s">
        <v>3</v>
      </c>
      <c r="B15" s="1081"/>
      <c r="C15" s="1944">
        <f>EmissionSummary!O18</f>
        <v>0</v>
      </c>
      <c r="D15" s="1944"/>
      <c r="E15" s="1940">
        <v>5</v>
      </c>
      <c r="F15" s="1940"/>
      <c r="G15" s="549" t="str">
        <f t="shared" ref="G15:G21" si="0">IF(C15&gt;E15,"Yes","No")</f>
        <v>No</v>
      </c>
    </row>
    <row r="16" spans="1:16383" s="439" customFormat="1" ht="18.75" customHeight="1" x14ac:dyDescent="0.25">
      <c r="A16" s="1881" t="s">
        <v>8491</v>
      </c>
      <c r="B16" s="1081"/>
      <c r="C16" s="1944">
        <f>EmissionSummary!I18</f>
        <v>0</v>
      </c>
      <c r="D16" s="1944"/>
      <c r="E16" s="1940">
        <v>5</v>
      </c>
      <c r="F16" s="1940"/>
      <c r="G16" s="549" t="str">
        <f>IF(OR(C16&gt;E16,D17&gt;E17,C18&gt;E18),"Yes","No")</f>
        <v>No</v>
      </c>
    </row>
    <row r="17" spans="1:7" s="439" customFormat="1" ht="18.75" customHeight="1" x14ac:dyDescent="0.25">
      <c r="A17" s="1881" t="s">
        <v>8492</v>
      </c>
      <c r="B17" s="1081"/>
      <c r="C17" s="1944">
        <f>EmissionSummary!K18</f>
        <v>0</v>
      </c>
      <c r="D17" s="1944"/>
      <c r="E17" s="1940">
        <v>5</v>
      </c>
      <c r="F17" s="1940"/>
      <c r="G17" s="549" t="str">
        <f t="shared" si="0"/>
        <v>No</v>
      </c>
    </row>
    <row r="18" spans="1:7" s="439" customFormat="1" ht="18.75" customHeight="1" x14ac:dyDescent="0.25">
      <c r="A18" s="1881" t="s">
        <v>8493</v>
      </c>
      <c r="B18" s="1081"/>
      <c r="C18" s="1944">
        <f>EmissionSummary!M18</f>
        <v>0</v>
      </c>
      <c r="D18" s="1944"/>
      <c r="E18" s="1940">
        <v>5</v>
      </c>
      <c r="F18" s="1940"/>
      <c r="G18" s="549" t="str">
        <f t="shared" si="0"/>
        <v>No</v>
      </c>
    </row>
    <row r="19" spans="1:7" s="439" customFormat="1" ht="18.75" customHeight="1" x14ac:dyDescent="0.25">
      <c r="A19" s="1881" t="s">
        <v>8494</v>
      </c>
      <c r="B19" s="1081"/>
      <c r="C19" s="1944">
        <f>EmissionSummary!E18</f>
        <v>0</v>
      </c>
      <c r="D19" s="1944"/>
      <c r="E19" s="1940">
        <v>5</v>
      </c>
      <c r="F19" s="1940"/>
      <c r="G19" s="549" t="str">
        <f t="shared" si="0"/>
        <v>No</v>
      </c>
    </row>
    <row r="20" spans="1:7" s="439" customFormat="1" ht="18.75" customHeight="1" x14ac:dyDescent="0.25">
      <c r="A20" s="1881" t="s">
        <v>8495</v>
      </c>
      <c r="B20" s="1081"/>
      <c r="C20" s="1944">
        <f>EmissionSummary!G18</f>
        <v>0</v>
      </c>
      <c r="D20" s="1944"/>
      <c r="E20" s="1940">
        <v>50</v>
      </c>
      <c r="F20" s="1940"/>
      <c r="G20" s="549" t="str">
        <f t="shared" si="0"/>
        <v>No</v>
      </c>
    </row>
    <row r="21" spans="1:7" s="439" customFormat="1" ht="18.75" customHeight="1" thickBot="1" x14ac:dyDescent="0.3">
      <c r="A21" s="1941" t="s">
        <v>8496</v>
      </c>
      <c r="B21" s="1942"/>
      <c r="C21" s="1961">
        <f>EmissionSummary!Q18</f>
        <v>0</v>
      </c>
      <c r="D21" s="1961"/>
      <c r="E21" s="1938">
        <v>10</v>
      </c>
      <c r="F21" s="1938"/>
      <c r="G21" s="550" t="str">
        <f t="shared" si="0"/>
        <v>No</v>
      </c>
    </row>
    <row r="22" spans="1:7" s="439" customFormat="1" ht="15" customHeight="1" x14ac:dyDescent="0.25">
      <c r="A22" s="1957" t="s">
        <v>8497</v>
      </c>
      <c r="B22" s="1958"/>
      <c r="C22" s="1958"/>
      <c r="D22" s="1958"/>
      <c r="E22" s="1958"/>
      <c r="F22" s="1959" t="str">
        <f>IF(COUNTIF(G15:G21,"Yes")+COUNTIF(G10:G11,"Yes")&gt;=1,"Yes","No")</f>
        <v>No</v>
      </c>
      <c r="G22" s="1960"/>
    </row>
    <row r="23" spans="1:7" s="439" customFormat="1" ht="15" customHeight="1" thickBot="1" x14ac:dyDescent="0.3">
      <c r="A23" s="1947" t="s">
        <v>8498</v>
      </c>
      <c r="B23" s="1948"/>
      <c r="C23" s="1948"/>
      <c r="D23" s="1948"/>
      <c r="E23" s="1948"/>
      <c r="F23" s="1948"/>
      <c r="G23" s="1949"/>
    </row>
    <row r="24" spans="1:7" s="439" customFormat="1" ht="35.25" customHeight="1" thickBot="1" x14ac:dyDescent="0.3">
      <c r="A24" s="1945" t="s">
        <v>10234</v>
      </c>
      <c r="B24" s="1946"/>
      <c r="C24" s="1946"/>
      <c r="D24" s="1946"/>
      <c r="E24" s="1946"/>
      <c r="F24" s="1946"/>
      <c r="G24" s="760"/>
    </row>
    <row r="25" spans="1:7" s="439" customFormat="1" ht="15" customHeight="1" thickBot="1" x14ac:dyDescent="0.3">
      <c r="A25" s="1924" t="s">
        <v>8411</v>
      </c>
      <c r="B25" s="1924"/>
      <c r="C25" s="1924"/>
      <c r="D25" s="1924"/>
      <c r="E25" s="1924"/>
      <c r="F25" s="1924"/>
      <c r="G25" s="1924"/>
    </row>
    <row r="26" spans="1:7" s="439" customFormat="1" ht="15" customHeight="1" thickBot="1" x14ac:dyDescent="0.3">
      <c r="A26" s="1120" t="s">
        <v>8499</v>
      </c>
      <c r="B26" s="1121"/>
      <c r="C26" s="1121"/>
      <c r="D26" s="1121"/>
      <c r="E26" s="1121"/>
      <c r="F26" s="1121"/>
      <c r="G26" s="1122"/>
    </row>
    <row r="27" spans="1:7" s="439" customFormat="1" ht="30" customHeight="1" thickBot="1" x14ac:dyDescent="0.3">
      <c r="A27" s="1925" t="s">
        <v>8500</v>
      </c>
      <c r="B27" s="1926"/>
      <c r="C27" s="1926"/>
      <c r="D27" s="1926"/>
      <c r="E27" s="1926"/>
      <c r="F27" s="1926"/>
      <c r="G27" s="1927"/>
    </row>
    <row r="28" spans="1:7" s="439" customFormat="1" ht="15" customHeight="1" x14ac:dyDescent="0.25">
      <c r="A28" s="1021" t="s">
        <v>8501</v>
      </c>
      <c r="B28" s="1113"/>
      <c r="C28" s="1113"/>
      <c r="D28" s="1113"/>
      <c r="E28" s="1113"/>
      <c r="F28" s="1113"/>
      <c r="G28" s="1920"/>
    </row>
    <row r="29" spans="1:7" s="439" customFormat="1" ht="45" customHeight="1" x14ac:dyDescent="0.25">
      <c r="A29" s="1921" t="s">
        <v>8502</v>
      </c>
      <c r="B29" s="1922"/>
      <c r="C29" s="1922"/>
      <c r="D29" s="1922"/>
      <c r="E29" s="1922"/>
      <c r="F29" s="1922"/>
      <c r="G29" s="1923"/>
    </row>
    <row r="30" spans="1:7" s="439" customFormat="1" ht="15" customHeight="1" x14ac:dyDescent="0.25">
      <c r="A30" s="1206" t="s">
        <v>8663</v>
      </c>
      <c r="B30" s="1207"/>
      <c r="C30" s="1149"/>
      <c r="D30" s="1150"/>
      <c r="E30" s="1150"/>
      <c r="F30" s="1150"/>
      <c r="G30" s="1151"/>
    </row>
    <row r="31" spans="1:7" s="439" customFormat="1" ht="15" customHeight="1" x14ac:dyDescent="0.25">
      <c r="A31" s="1188" t="s">
        <v>8398</v>
      </c>
      <c r="B31" s="1189"/>
      <c r="C31" s="1149"/>
      <c r="D31" s="1150"/>
      <c r="E31" s="1150"/>
      <c r="F31" s="1150"/>
      <c r="G31" s="1151"/>
    </row>
    <row r="32" spans="1:7" s="439" customFormat="1" ht="15" customHeight="1" x14ac:dyDescent="0.25">
      <c r="A32" s="1206" t="s">
        <v>8399</v>
      </c>
      <c r="B32" s="1207"/>
      <c r="C32" s="1149"/>
      <c r="D32" s="1150"/>
      <c r="E32" s="1150"/>
      <c r="F32" s="1150"/>
      <c r="G32" s="1151"/>
    </row>
    <row r="33" spans="1:7" s="439" customFormat="1" ht="15" customHeight="1" x14ac:dyDescent="0.25">
      <c r="A33" s="1188" t="s">
        <v>8400</v>
      </c>
      <c r="B33" s="1189"/>
      <c r="C33" s="1203"/>
      <c r="D33" s="1204"/>
      <c r="E33" s="1204"/>
      <c r="F33" s="1204"/>
      <c r="G33" s="1205"/>
    </row>
    <row r="34" spans="1:7" s="439" customFormat="1" ht="15" customHeight="1" x14ac:dyDescent="0.25">
      <c r="A34" s="1188" t="s">
        <v>8503</v>
      </c>
      <c r="B34" s="1189"/>
      <c r="C34" s="1149"/>
      <c r="D34" s="1150"/>
      <c r="E34" s="1150"/>
      <c r="F34" s="1150"/>
      <c r="G34" s="1151"/>
    </row>
    <row r="35" spans="1:7" s="439" customFormat="1" ht="15" customHeight="1" x14ac:dyDescent="0.25">
      <c r="A35" s="1188" t="s">
        <v>8401</v>
      </c>
      <c r="B35" s="1189"/>
      <c r="C35" s="1149"/>
      <c r="D35" s="1150"/>
      <c r="E35" s="1150"/>
      <c r="F35" s="1150"/>
      <c r="G35" s="1151"/>
    </row>
    <row r="36" spans="1:7" s="439" customFormat="1" ht="15" customHeight="1" x14ac:dyDescent="0.25">
      <c r="A36" s="1188" t="s">
        <v>8402</v>
      </c>
      <c r="B36" s="1189"/>
      <c r="C36" s="1149"/>
      <c r="D36" s="1150"/>
      <c r="E36" s="1150"/>
      <c r="F36" s="1150"/>
      <c r="G36" s="1151"/>
    </row>
    <row r="37" spans="1:7" s="439" customFormat="1" ht="15" customHeight="1" x14ac:dyDescent="0.25">
      <c r="A37" s="1188" t="s">
        <v>8403</v>
      </c>
      <c r="B37" s="1189"/>
      <c r="C37" s="1919"/>
      <c r="D37" s="1150"/>
      <c r="E37" s="1150"/>
      <c r="F37" s="1150"/>
      <c r="G37" s="1151"/>
    </row>
    <row r="38" spans="1:7" s="439" customFormat="1" ht="15" customHeight="1" x14ac:dyDescent="0.25">
      <c r="A38" s="1206" t="s">
        <v>8404</v>
      </c>
      <c r="B38" s="1207"/>
      <c r="C38" s="1149"/>
      <c r="D38" s="1150"/>
      <c r="E38" s="1150"/>
      <c r="F38" s="1150"/>
      <c r="G38" s="1151"/>
    </row>
    <row r="39" spans="1:7" s="439" customFormat="1" ht="15" customHeight="1" x14ac:dyDescent="0.25">
      <c r="A39" s="1206" t="s">
        <v>8405</v>
      </c>
      <c r="B39" s="1207"/>
      <c r="C39" s="1149"/>
      <c r="D39" s="1150"/>
      <c r="E39" s="1150"/>
      <c r="F39" s="1150"/>
      <c r="G39" s="1151"/>
    </row>
    <row r="40" spans="1:7" s="439" customFormat="1" ht="15" customHeight="1" x14ac:dyDescent="0.25">
      <c r="A40" s="1188" t="s">
        <v>8406</v>
      </c>
      <c r="B40" s="1189"/>
      <c r="C40" s="1190"/>
      <c r="D40" s="1191"/>
      <c r="E40" s="1191"/>
      <c r="F40" s="1191"/>
      <c r="G40" s="1192"/>
    </row>
    <row r="41" spans="1:7" s="439" customFormat="1" ht="15" customHeight="1" x14ac:dyDescent="0.25">
      <c r="A41" s="1188" t="s">
        <v>8407</v>
      </c>
      <c r="B41" s="1189"/>
      <c r="C41" s="1190"/>
      <c r="D41" s="1191"/>
      <c r="E41" s="1191"/>
      <c r="F41" s="1191"/>
      <c r="G41" s="1192"/>
    </row>
    <row r="42" spans="1:7" s="439" customFormat="1" ht="15" customHeight="1" x14ac:dyDescent="0.25">
      <c r="A42" s="1188" t="s">
        <v>8408</v>
      </c>
      <c r="B42" s="1189"/>
      <c r="C42" s="1913"/>
      <c r="D42" s="1914"/>
      <c r="E42" s="1914"/>
      <c r="F42" s="1914"/>
      <c r="G42" s="1915"/>
    </row>
    <row r="43" spans="1:7" s="439" customFormat="1" ht="30" customHeight="1" x14ac:dyDescent="0.25">
      <c r="A43" s="1916" t="s">
        <v>8504</v>
      </c>
      <c r="B43" s="1917"/>
      <c r="C43" s="1917"/>
      <c r="D43" s="1917"/>
      <c r="E43" s="1917"/>
      <c r="F43" s="1917"/>
      <c r="G43" s="1918"/>
    </row>
    <row r="44" spans="1:7" s="439" customFormat="1" ht="15" customHeight="1" x14ac:dyDescent="0.25">
      <c r="A44" s="1206" t="s">
        <v>8663</v>
      </c>
      <c r="B44" s="1207"/>
      <c r="C44" s="1149"/>
      <c r="D44" s="1150"/>
      <c r="E44" s="1150"/>
      <c r="F44" s="1150"/>
      <c r="G44" s="1151"/>
    </row>
    <row r="45" spans="1:7" s="439" customFormat="1" ht="15" customHeight="1" x14ac:dyDescent="0.25">
      <c r="A45" s="1188" t="s">
        <v>8398</v>
      </c>
      <c r="B45" s="1189"/>
      <c r="C45" s="1149"/>
      <c r="D45" s="1150"/>
      <c r="E45" s="1150"/>
      <c r="F45" s="1150"/>
      <c r="G45" s="1151"/>
    </row>
    <row r="46" spans="1:7" s="439" customFormat="1" ht="15" customHeight="1" x14ac:dyDescent="0.25">
      <c r="A46" s="1206" t="s">
        <v>8399</v>
      </c>
      <c r="B46" s="1207"/>
      <c r="C46" s="1149"/>
      <c r="D46" s="1150"/>
      <c r="E46" s="1150"/>
      <c r="F46" s="1150"/>
      <c r="G46" s="1151"/>
    </row>
    <row r="47" spans="1:7" s="439" customFormat="1" ht="15" customHeight="1" x14ac:dyDescent="0.25">
      <c r="A47" s="1188" t="s">
        <v>8400</v>
      </c>
      <c r="B47" s="1189"/>
      <c r="C47" s="1203"/>
      <c r="D47" s="1204"/>
      <c r="E47" s="1204"/>
      <c r="F47" s="1204"/>
      <c r="G47" s="1205"/>
    </row>
    <row r="48" spans="1:7" s="439" customFormat="1" ht="15" customHeight="1" x14ac:dyDescent="0.25">
      <c r="A48" s="1188" t="s">
        <v>8503</v>
      </c>
      <c r="B48" s="1189"/>
      <c r="C48" s="1149"/>
      <c r="D48" s="1150"/>
      <c r="E48" s="1150"/>
      <c r="F48" s="1150"/>
      <c r="G48" s="1151"/>
    </row>
    <row r="49" spans="1:7" s="439" customFormat="1" ht="15" customHeight="1" x14ac:dyDescent="0.25">
      <c r="A49" s="1188" t="s">
        <v>8401</v>
      </c>
      <c r="B49" s="1189"/>
      <c r="C49" s="1149"/>
      <c r="D49" s="1150"/>
      <c r="E49" s="1150"/>
      <c r="F49" s="1150"/>
      <c r="G49" s="1151"/>
    </row>
    <row r="50" spans="1:7" s="439" customFormat="1" ht="15" customHeight="1" x14ac:dyDescent="0.25">
      <c r="A50" s="1188" t="s">
        <v>8402</v>
      </c>
      <c r="B50" s="1189"/>
      <c r="C50" s="1149"/>
      <c r="D50" s="1150"/>
      <c r="E50" s="1150"/>
      <c r="F50" s="1150"/>
      <c r="G50" s="1151"/>
    </row>
    <row r="51" spans="1:7" s="439" customFormat="1" ht="15" customHeight="1" x14ac:dyDescent="0.25">
      <c r="A51" s="1188" t="s">
        <v>8403</v>
      </c>
      <c r="B51" s="1189"/>
      <c r="C51" s="1149"/>
      <c r="D51" s="1150"/>
      <c r="E51" s="1150"/>
      <c r="F51" s="1150"/>
      <c r="G51" s="1151"/>
    </row>
    <row r="52" spans="1:7" s="439" customFormat="1" ht="15" customHeight="1" x14ac:dyDescent="0.25">
      <c r="A52" s="1206" t="s">
        <v>8404</v>
      </c>
      <c r="B52" s="1207"/>
      <c r="C52" s="1149"/>
      <c r="D52" s="1150"/>
      <c r="E52" s="1150"/>
      <c r="F52" s="1150"/>
      <c r="G52" s="1151"/>
    </row>
    <row r="53" spans="1:7" s="439" customFormat="1" ht="15" customHeight="1" x14ac:dyDescent="0.25">
      <c r="A53" s="1206" t="s">
        <v>8405</v>
      </c>
      <c r="B53" s="1207"/>
      <c r="C53" s="1149"/>
      <c r="D53" s="1150"/>
      <c r="E53" s="1150"/>
      <c r="F53" s="1150"/>
      <c r="G53" s="1151"/>
    </row>
    <row r="54" spans="1:7" s="439" customFormat="1" ht="15" customHeight="1" x14ac:dyDescent="0.25">
      <c r="A54" s="1188" t="s">
        <v>8406</v>
      </c>
      <c r="B54" s="1189"/>
      <c r="C54" s="1190"/>
      <c r="D54" s="1191"/>
      <c r="E54" s="1191"/>
      <c r="F54" s="1191"/>
      <c r="G54" s="1192"/>
    </row>
    <row r="55" spans="1:7" s="439" customFormat="1" ht="15" customHeight="1" x14ac:dyDescent="0.25">
      <c r="A55" s="1188" t="s">
        <v>8407</v>
      </c>
      <c r="B55" s="1189"/>
      <c r="C55" s="1190"/>
      <c r="D55" s="1191"/>
      <c r="E55" s="1191"/>
      <c r="F55" s="1191"/>
      <c r="G55" s="1192"/>
    </row>
    <row r="56" spans="1:7" s="439" customFormat="1" ht="15" customHeight="1" thickBot="1" x14ac:dyDescent="0.3">
      <c r="A56" s="1069" t="s">
        <v>8408</v>
      </c>
      <c r="B56" s="1071"/>
      <c r="C56" s="1202"/>
      <c r="D56" s="1196"/>
      <c r="E56" s="1196"/>
      <c r="F56" s="1196"/>
      <c r="G56" s="1197"/>
    </row>
    <row r="57" spans="1:7" s="439" customFormat="1" ht="186.75" customHeight="1" x14ac:dyDescent="0.25">
      <c r="A57" s="1911" t="s">
        <v>10031</v>
      </c>
      <c r="B57" s="1117"/>
      <c r="C57" s="1117"/>
      <c r="D57" s="1117"/>
      <c r="E57" s="1117"/>
      <c r="F57" s="1117"/>
      <c r="G57" s="1912"/>
    </row>
    <row r="58" spans="1:7" s="439" customFormat="1" ht="15" customHeight="1" x14ac:dyDescent="0.25">
      <c r="A58" s="1193" t="s">
        <v>8505</v>
      </c>
      <c r="B58" s="1194"/>
      <c r="C58" s="1149"/>
      <c r="D58" s="1150"/>
      <c r="E58" s="1150"/>
      <c r="F58" s="1150"/>
      <c r="G58" s="1151"/>
    </row>
    <row r="59" spans="1:7" s="439" customFormat="1" ht="15" customHeight="1" x14ac:dyDescent="0.25">
      <c r="A59" s="1193" t="s">
        <v>8506</v>
      </c>
      <c r="B59" s="1194"/>
      <c r="C59" s="1149"/>
      <c r="D59" s="1150"/>
      <c r="E59" s="1150"/>
      <c r="F59" s="1150"/>
      <c r="G59" s="1151"/>
    </row>
    <row r="60" spans="1:7" s="439" customFormat="1" ht="15" customHeight="1" x14ac:dyDescent="0.25">
      <c r="A60" s="1193" t="s">
        <v>8402</v>
      </c>
      <c r="B60" s="1194"/>
      <c r="C60" s="1149"/>
      <c r="D60" s="1150"/>
      <c r="E60" s="1150"/>
      <c r="F60" s="1150"/>
      <c r="G60" s="1151"/>
    </row>
    <row r="61" spans="1:7" s="439" customFormat="1" ht="15" customHeight="1" x14ac:dyDescent="0.25">
      <c r="A61" s="1188" t="s">
        <v>8403</v>
      </c>
      <c r="B61" s="1189"/>
      <c r="C61" s="1149"/>
      <c r="D61" s="1150"/>
      <c r="E61" s="1150"/>
      <c r="F61" s="1150"/>
      <c r="G61" s="1151"/>
    </row>
    <row r="62" spans="1:7" s="439" customFormat="1" ht="15" customHeight="1" x14ac:dyDescent="0.25">
      <c r="A62" s="1188" t="s">
        <v>8405</v>
      </c>
      <c r="B62" s="1189"/>
      <c r="C62" s="1149"/>
      <c r="D62" s="1150"/>
      <c r="E62" s="1150"/>
      <c r="F62" s="1150"/>
      <c r="G62" s="1151"/>
    </row>
    <row r="63" spans="1:7" s="439" customFormat="1" ht="15" customHeight="1" x14ac:dyDescent="0.25">
      <c r="A63" s="1193" t="s">
        <v>8428</v>
      </c>
      <c r="B63" s="1194"/>
      <c r="C63" s="1909"/>
      <c r="D63" s="1910"/>
      <c r="E63" s="1910"/>
      <c r="F63" s="1910"/>
      <c r="G63" s="1151"/>
    </row>
    <row r="64" spans="1:7" s="439" customFormat="1" ht="30" customHeight="1" thickBot="1" x14ac:dyDescent="0.3">
      <c r="A64" s="1206" t="s">
        <v>8507</v>
      </c>
      <c r="B64" s="1226"/>
      <c r="C64" s="1226"/>
      <c r="D64" s="1226"/>
      <c r="E64" s="1143"/>
      <c r="F64" s="1144"/>
      <c r="G64" s="1145"/>
    </row>
    <row r="65" spans="1:7" s="439" customFormat="1" ht="105" customHeight="1" x14ac:dyDescent="0.25">
      <c r="A65" s="1908" t="s">
        <v>8508</v>
      </c>
      <c r="B65" s="1124"/>
      <c r="C65" s="1124"/>
      <c r="D65" s="1124"/>
      <c r="E65" s="1124"/>
      <c r="F65" s="1124"/>
      <c r="G65" s="1125"/>
    </row>
    <row r="66" spans="1:7" s="439" customFormat="1" ht="30" customHeight="1" x14ac:dyDescent="0.25">
      <c r="A66" s="1206" t="s">
        <v>8509</v>
      </c>
      <c r="B66" s="1226"/>
      <c r="C66" s="1226"/>
      <c r="D66" s="1207"/>
      <c r="E66" s="1143"/>
      <c r="F66" s="1144"/>
      <c r="G66" s="1145"/>
    </row>
    <row r="67" spans="1:7" s="439" customFormat="1" ht="45" customHeight="1" x14ac:dyDescent="0.25">
      <c r="A67" s="1206" t="s">
        <v>8510</v>
      </c>
      <c r="B67" s="1226"/>
      <c r="C67" s="1226"/>
      <c r="D67" s="1207"/>
      <c r="E67" s="1143"/>
      <c r="F67" s="1144"/>
      <c r="G67" s="1145"/>
    </row>
    <row r="68" spans="1:7" s="439" customFormat="1" ht="30" customHeight="1" x14ac:dyDescent="0.25">
      <c r="A68" s="1093" t="s">
        <v>10503</v>
      </c>
      <c r="B68" s="1094"/>
      <c r="C68" s="1094"/>
      <c r="D68" s="1094"/>
      <c r="E68" s="1149"/>
      <c r="F68" s="1150"/>
      <c r="G68" s="1151"/>
    </row>
    <row r="69" spans="1:7" s="439" customFormat="1" ht="15" customHeight="1" x14ac:dyDescent="0.25">
      <c r="A69" s="1902" t="s">
        <v>10201</v>
      </c>
      <c r="B69" s="1903"/>
      <c r="C69" s="1903"/>
      <c r="D69" s="1904"/>
      <c r="E69" s="1149"/>
      <c r="F69" s="1150"/>
      <c r="G69" s="1151"/>
    </row>
    <row r="70" spans="1:7" s="439" customFormat="1" ht="15" customHeight="1" x14ac:dyDescent="0.25">
      <c r="A70" s="1902" t="s">
        <v>10202</v>
      </c>
      <c r="B70" s="1903"/>
      <c r="C70" s="1903"/>
      <c r="D70" s="1904"/>
      <c r="E70" s="1149"/>
      <c r="F70" s="1150"/>
      <c r="G70" s="1151"/>
    </row>
    <row r="71" spans="1:7" s="439" customFormat="1" ht="15" customHeight="1" thickBot="1" x14ac:dyDescent="0.3">
      <c r="A71" s="1905" t="s">
        <v>10203</v>
      </c>
      <c r="B71" s="1906"/>
      <c r="C71" s="1906"/>
      <c r="D71" s="1907"/>
      <c r="E71" s="1186"/>
      <c r="F71" s="1259"/>
      <c r="G71" s="1187"/>
    </row>
    <row r="72" spans="1:7" s="439" customFormat="1" ht="15" customHeight="1" thickBot="1" x14ac:dyDescent="0.3">
      <c r="A72" s="1885" t="s">
        <v>8411</v>
      </c>
      <c r="B72" s="1885"/>
      <c r="C72" s="1885"/>
      <c r="D72" s="1885"/>
      <c r="E72" s="1885"/>
      <c r="F72" s="1885"/>
      <c r="G72" s="1885"/>
    </row>
    <row r="73" spans="1:7" s="439" customFormat="1" ht="15" customHeight="1" thickBot="1" x14ac:dyDescent="0.3">
      <c r="A73" s="1886" t="s">
        <v>8511</v>
      </c>
      <c r="B73" s="1887"/>
      <c r="C73" s="1887"/>
      <c r="D73" s="1887"/>
      <c r="E73" s="1887"/>
      <c r="F73" s="1887"/>
      <c r="G73" s="1888"/>
    </row>
    <row r="74" spans="1:7" s="439" customFormat="1" ht="48" customHeight="1" x14ac:dyDescent="0.25">
      <c r="A74" s="1889" t="s">
        <v>10317</v>
      </c>
      <c r="B74" s="1890"/>
      <c r="C74" s="1890"/>
      <c r="D74" s="1890"/>
      <c r="E74" s="1890"/>
      <c r="F74" s="1890"/>
      <c r="G74" s="1891"/>
    </row>
    <row r="75" spans="1:7" s="439" customFormat="1" ht="30" customHeight="1" x14ac:dyDescent="0.25">
      <c r="A75" s="1223" t="s">
        <v>8512</v>
      </c>
      <c r="B75" s="1224"/>
      <c r="C75" s="1224"/>
      <c r="D75" s="1224"/>
      <c r="E75" s="1224"/>
      <c r="F75" s="1224"/>
      <c r="G75" s="759"/>
    </row>
    <row r="76" spans="1:7" s="439" customFormat="1" ht="15" customHeight="1" x14ac:dyDescent="0.25">
      <c r="A76" s="1223" t="s">
        <v>8513</v>
      </c>
      <c r="B76" s="1224"/>
      <c r="C76" s="1224"/>
      <c r="D76" s="1224"/>
      <c r="E76" s="1224"/>
      <c r="F76" s="1224"/>
      <c r="G76" s="759"/>
    </row>
    <row r="77" spans="1:7" s="439" customFormat="1" ht="15" customHeight="1" x14ac:dyDescent="0.25">
      <c r="A77" s="1881" t="s">
        <v>8514</v>
      </c>
      <c r="B77" s="1081"/>
      <c r="C77" s="1081"/>
      <c r="D77" s="1081"/>
      <c r="E77" s="1081"/>
      <c r="F77" s="1081"/>
      <c r="G77" s="759"/>
    </row>
    <row r="78" spans="1:7" s="439" customFormat="1" ht="15" customHeight="1" x14ac:dyDescent="0.25">
      <c r="A78" s="1881" t="s">
        <v>8515</v>
      </c>
      <c r="B78" s="1081"/>
      <c r="C78" s="1081"/>
      <c r="D78" s="1081"/>
      <c r="E78" s="1081"/>
      <c r="F78" s="1081"/>
      <c r="G78" s="759"/>
    </row>
    <row r="79" spans="1:7" s="439" customFormat="1" ht="15" customHeight="1" thickBot="1" x14ac:dyDescent="0.3">
      <c r="A79" s="1882" t="s">
        <v>10288</v>
      </c>
      <c r="B79" s="1883"/>
      <c r="C79" s="1883"/>
      <c r="D79" s="1883"/>
      <c r="E79" s="1883"/>
      <c r="F79" s="1883"/>
      <c r="G79" s="581" t="str">
        <f>IF(G78="","",IF((AND(G75="yes",G76="no",G77="no",G78="no")),"Yes","No"))</f>
        <v/>
      </c>
    </row>
    <row r="80" spans="1:7" s="439" customFormat="1" ht="15" customHeight="1" thickBot="1" x14ac:dyDescent="0.3">
      <c r="A80" s="1885"/>
      <c r="B80" s="1885"/>
      <c r="C80" s="1885"/>
      <c r="D80" s="1885"/>
      <c r="E80" s="1885"/>
      <c r="F80" s="1885"/>
      <c r="G80" s="1885"/>
    </row>
    <row r="81" spans="1:7" s="439" customFormat="1" ht="15" customHeight="1" thickBot="1" x14ac:dyDescent="0.3">
      <c r="A81" s="1886" t="s">
        <v>10612</v>
      </c>
      <c r="B81" s="1887"/>
      <c r="C81" s="1887"/>
      <c r="D81" s="1887"/>
      <c r="E81" s="1887"/>
      <c r="F81" s="1887"/>
      <c r="G81" s="1888"/>
    </row>
    <row r="82" spans="1:7" s="439" customFormat="1" ht="30" customHeight="1" x14ac:dyDescent="0.25">
      <c r="A82" s="1892" t="s">
        <v>10613</v>
      </c>
      <c r="B82" s="1893"/>
      <c r="C82" s="1893"/>
      <c r="D82" s="1893"/>
      <c r="E82" s="1893"/>
      <c r="F82" s="1893"/>
      <c r="G82" s="1894"/>
    </row>
    <row r="83" spans="1:7" s="439" customFormat="1" ht="17.100000000000001" customHeight="1" thickBot="1" x14ac:dyDescent="0.3">
      <c r="A83" s="1895" t="s">
        <v>10614</v>
      </c>
      <c r="B83" s="1896"/>
      <c r="C83" s="1896"/>
      <c r="D83" s="1896"/>
      <c r="E83" s="1896"/>
      <c r="F83" s="1896"/>
      <c r="G83" s="1897"/>
    </row>
    <row r="84" spans="1:7" s="439" customFormat="1" ht="15" customHeight="1" x14ac:dyDescent="0.2">
      <c r="A84" s="1898" t="s">
        <v>10615</v>
      </c>
      <c r="B84" s="1899"/>
      <c r="C84" s="1899"/>
      <c r="D84" s="1899"/>
      <c r="E84" s="1899"/>
      <c r="F84" s="1899"/>
      <c r="G84" s="888"/>
    </row>
    <row r="85" spans="1:7" s="439" customFormat="1" ht="30" customHeight="1" thickBot="1" x14ac:dyDescent="0.25">
      <c r="A85" s="1900" t="s">
        <v>10616</v>
      </c>
      <c r="B85" s="1901"/>
      <c r="C85" s="1901"/>
      <c r="D85" s="1901"/>
      <c r="E85" s="1901"/>
      <c r="F85" s="1901"/>
      <c r="G85" s="889"/>
    </row>
    <row r="86" spans="1:7" s="476" customFormat="1" ht="15" customHeight="1" x14ac:dyDescent="0.2">
      <c r="A86" s="1276" t="s">
        <v>8455</v>
      </c>
      <c r="B86" s="1276"/>
      <c r="C86" s="1276"/>
      <c r="D86" s="1276"/>
      <c r="E86" s="1276"/>
      <c r="F86" s="1276"/>
      <c r="G86" s="1276"/>
    </row>
    <row r="87" spans="1:7" hidden="1" x14ac:dyDescent="0.25">
      <c r="A87" s="1884"/>
      <c r="B87" s="1884"/>
      <c r="C87" s="1884"/>
      <c r="D87" s="1884"/>
      <c r="E87" s="1884"/>
      <c r="F87" s="1884"/>
      <c r="G87" s="1884"/>
    </row>
    <row r="89" spans="1:7" ht="13.5" hidden="1" customHeight="1" x14ac:dyDescent="0.25"/>
  </sheetData>
  <sheetProtection algorithmName="SHA-512" hashValue="L89rs3D6WFSTW5FMY49O6vmjre2GvSzp/UFgEuwBTSr80gbxElD/eJPu0gyMAMuJYZ8v5bTLjI2QdS4bUvNq0Q==" saltValue="q0qyet6CGPcRp5rHa335hw==" spinCount="100000" sheet="1" objects="1" scenarios="1" formatColumns="0" formatRows="0" autoFilter="0"/>
  <mergeCells count="143">
    <mergeCell ref="A23:G23"/>
    <mergeCell ref="A7:G7"/>
    <mergeCell ref="A8:G8"/>
    <mergeCell ref="A1:G1"/>
    <mergeCell ref="A2:G2"/>
    <mergeCell ref="A3:G3"/>
    <mergeCell ref="A4:G4"/>
    <mergeCell ref="A5:G5"/>
    <mergeCell ref="A6:G6"/>
    <mergeCell ref="A22:E22"/>
    <mergeCell ref="F22:G22"/>
    <mergeCell ref="C19:D19"/>
    <mergeCell ref="C20:D20"/>
    <mergeCell ref="C21:D21"/>
    <mergeCell ref="A14:B14"/>
    <mergeCell ref="A15:B15"/>
    <mergeCell ref="A16:B16"/>
    <mergeCell ref="A17:B17"/>
    <mergeCell ref="A18:B18"/>
    <mergeCell ref="A19:B19"/>
    <mergeCell ref="A25:G25"/>
    <mergeCell ref="A26:G26"/>
    <mergeCell ref="A27:G27"/>
    <mergeCell ref="A9:F9"/>
    <mergeCell ref="A10:F10"/>
    <mergeCell ref="A11:F11"/>
    <mergeCell ref="A12:G12"/>
    <mergeCell ref="A13:G13"/>
    <mergeCell ref="E21:F21"/>
    <mergeCell ref="E14:F14"/>
    <mergeCell ref="E15:F15"/>
    <mergeCell ref="E16:F16"/>
    <mergeCell ref="E17:F17"/>
    <mergeCell ref="E18:F18"/>
    <mergeCell ref="E19:F19"/>
    <mergeCell ref="E20:F20"/>
    <mergeCell ref="A20:B20"/>
    <mergeCell ref="A21:B21"/>
    <mergeCell ref="C14:D14"/>
    <mergeCell ref="C15:D15"/>
    <mergeCell ref="C16:D16"/>
    <mergeCell ref="C17:D17"/>
    <mergeCell ref="C18:D18"/>
    <mergeCell ref="A24:F24"/>
    <mergeCell ref="A32:B32"/>
    <mergeCell ref="C32:G32"/>
    <mergeCell ref="A33:B33"/>
    <mergeCell ref="C33:G33"/>
    <mergeCell ref="A34:B34"/>
    <mergeCell ref="C34:G34"/>
    <mergeCell ref="A28:G28"/>
    <mergeCell ref="A29:G29"/>
    <mergeCell ref="A30:B30"/>
    <mergeCell ref="C30:G30"/>
    <mergeCell ref="A31:B31"/>
    <mergeCell ref="C31:G31"/>
    <mergeCell ref="A38:B38"/>
    <mergeCell ref="C38:G38"/>
    <mergeCell ref="A39:B39"/>
    <mergeCell ref="C39:G39"/>
    <mergeCell ref="A40:B40"/>
    <mergeCell ref="C40:G40"/>
    <mergeCell ref="A35:B35"/>
    <mergeCell ref="C35:G35"/>
    <mergeCell ref="A36:B36"/>
    <mergeCell ref="C36:G36"/>
    <mergeCell ref="A37:B37"/>
    <mergeCell ref="C37:G37"/>
    <mergeCell ref="A45:B45"/>
    <mergeCell ref="C45:G45"/>
    <mergeCell ref="A46:B46"/>
    <mergeCell ref="C46:G46"/>
    <mergeCell ref="A47:B47"/>
    <mergeCell ref="C47:G47"/>
    <mergeCell ref="A41:B41"/>
    <mergeCell ref="C41:G41"/>
    <mergeCell ref="A42:B42"/>
    <mergeCell ref="C42:G42"/>
    <mergeCell ref="A43:G43"/>
    <mergeCell ref="A44:B44"/>
    <mergeCell ref="C44:G44"/>
    <mergeCell ref="A51:B51"/>
    <mergeCell ref="C51:G51"/>
    <mergeCell ref="A52:B52"/>
    <mergeCell ref="C52:G52"/>
    <mergeCell ref="A53:B53"/>
    <mergeCell ref="C53:G53"/>
    <mergeCell ref="A48:B48"/>
    <mergeCell ref="C48:G48"/>
    <mergeCell ref="A49:B49"/>
    <mergeCell ref="C49:G49"/>
    <mergeCell ref="A50:B50"/>
    <mergeCell ref="C50:G50"/>
    <mergeCell ref="A57:G57"/>
    <mergeCell ref="A58:B58"/>
    <mergeCell ref="C58:G58"/>
    <mergeCell ref="A59:B59"/>
    <mergeCell ref="C59:G59"/>
    <mergeCell ref="A60:B60"/>
    <mergeCell ref="C60:G60"/>
    <mergeCell ref="A54:B54"/>
    <mergeCell ref="C54:G54"/>
    <mergeCell ref="A55:B55"/>
    <mergeCell ref="C55:G55"/>
    <mergeCell ref="A56:B56"/>
    <mergeCell ref="C56:G56"/>
    <mergeCell ref="A64:D64"/>
    <mergeCell ref="E64:G64"/>
    <mergeCell ref="A65:G65"/>
    <mergeCell ref="A66:D66"/>
    <mergeCell ref="E66:G66"/>
    <mergeCell ref="A61:B61"/>
    <mergeCell ref="C61:G61"/>
    <mergeCell ref="A62:B62"/>
    <mergeCell ref="C62:G62"/>
    <mergeCell ref="A63:B63"/>
    <mergeCell ref="C63:G63"/>
    <mergeCell ref="A70:D70"/>
    <mergeCell ref="E70:G70"/>
    <mergeCell ref="A71:D71"/>
    <mergeCell ref="E71:G71"/>
    <mergeCell ref="A67:D67"/>
    <mergeCell ref="E67:G67"/>
    <mergeCell ref="A68:D68"/>
    <mergeCell ref="E68:G68"/>
    <mergeCell ref="A69:D69"/>
    <mergeCell ref="E69:G69"/>
    <mergeCell ref="A76:F76"/>
    <mergeCell ref="A77:F77"/>
    <mergeCell ref="A78:F78"/>
    <mergeCell ref="A79:F79"/>
    <mergeCell ref="A86:G86"/>
    <mergeCell ref="A87:G87"/>
    <mergeCell ref="A72:G72"/>
    <mergeCell ref="A73:G73"/>
    <mergeCell ref="A74:G74"/>
    <mergeCell ref="A75:F75"/>
    <mergeCell ref="A80:G80"/>
    <mergeCell ref="A81:G81"/>
    <mergeCell ref="A82:G82"/>
    <mergeCell ref="A83:G83"/>
    <mergeCell ref="A84:F84"/>
    <mergeCell ref="A85:F85"/>
  </mergeCells>
  <conditionalFormatting sqref="A68:G71">
    <cfRule type="expression" dxfId="3" priority="14">
      <formula>AND($E$66="no",$E$67="no")</formula>
    </cfRule>
  </conditionalFormatting>
  <conditionalFormatting sqref="A81:G85">
    <cfRule type="expression" dxfId="2" priority="1">
      <formula>AND($F$22="NO",$C$31="")</formula>
    </cfRule>
  </conditionalFormatting>
  <conditionalFormatting sqref="A85:G85">
    <cfRule type="expression" dxfId="1" priority="2">
      <formula>AND($E$66="NO",$E$67="NO")</formula>
    </cfRule>
  </conditionalFormatting>
  <conditionalFormatting sqref="E15:E21 G15:G21">
    <cfRule type="expression" dxfId="0" priority="17">
      <formula>E15="yes"</formula>
    </cfRule>
  </conditionalFormatting>
  <dataValidations count="37">
    <dataValidation type="list" errorStyle="information" allowBlank="1" showErrorMessage="1" errorTitle="Public Place Warning" error="The public place availability must be pre-arranged and indicated as such on this form. Please enter or select &quot;Yes&quot; to confirm the public place is available." prompt="select one" sqref="E64:G64" xr:uid="{496F4C02-2C1F-4B19-A879-5CEE79C3A7DF}">
      <formula1>"Yes,N/A"</formula1>
    </dataValidation>
    <dataValidation allowBlank="1" showErrorMessage="1" prompt="enter second line of physical address" sqref="C60:G60" xr:uid="{9D14F876-DE58-4E2E-9FA8-885CC4988C33}"/>
    <dataValidation allowBlank="1" showErrorMessage="1" prompt="enter city" sqref="C61:G61 C37:G37 C51:G51" xr:uid="{CEBDD29C-CB9B-442B-B28E-79A37C82968A}"/>
    <dataValidation allowBlank="1" showErrorMessage="1" prompt="enter the ZIP code" sqref="C62:G62" xr:uid="{1CBAFC59-2DF0-4085-8D77-6AB5ABAF64D2}"/>
    <dataValidation allowBlank="1" showErrorMessage="1" prompt="enter name of public place" sqref="C58:G58" xr:uid="{7644DAE9-9B18-4BDE-AF24-80D5608784BA}"/>
    <dataValidation type="list" allowBlank="1" showErrorMessage="1" prompt="select one" sqref="G24 E66:G67 G75:G78" xr:uid="{818F0C8C-8E33-4E06-81D3-C1DDB7751AF9}">
      <formula1>YN</formula1>
    </dataValidation>
    <dataValidation type="list" allowBlank="1" showErrorMessage="1" prompt="Is this application for either a new permit or change of location? Enter or select &quot;Yes&quot; or &quot;No&quot;." sqref="G12" xr:uid="{89724F9E-AF97-4784-B092-89B7C9D1DB65}">
      <formula1>YesNo</formula1>
    </dataValidation>
    <dataValidation allowBlank="1" showErrorMessage="1" promptTitle="Public Notice Threshold" prompt="This is the amount of change authorized before a Public Notice must be held." sqref="C14:C21" xr:uid="{4D37A78A-BA5E-4FFA-AEEC-D213A70ACACA}"/>
    <dataValidation allowBlank="1" showErrorMessage="1" prompt="Enter the company name of the Responsible Person." sqref="A34 A48" xr:uid="{D8355742-11AB-48D6-A825-CE7D11D9D50C}"/>
    <dataValidation type="textLength" operator="greaterThan" allowBlank="1" showInputMessage="1" showErrorMessage="1" errorTitle="This text cannot be deleted" error="Please do not alter the text in this block of instructions. It has been left unlocked for accessibility purposes only. Altering the text in an instructions block may result in denial of the permit application." sqref="A28 A74 A3:A4 A57 A65 A8" xr:uid="{C5E76C01-CF5D-4FA1-9E9A-B2C9A9F6909D}">
      <formula1>1</formula1>
    </dataValidation>
    <dataValidation allowBlank="1" showErrorMessage="1" prompt="Enter the fax number of the Responsible Person." sqref="A41 A55" xr:uid="{CFEF3667-AA72-4EF1-B6D2-BC0885C300B0}"/>
    <dataValidation allowBlank="1" showErrorMessage="1" prompt="Enter the mailing address of the Responsible Person." sqref="A35:A36 A49:A50" xr:uid="{04DC2A66-057D-4EE9-8D4E-913764D18C92}"/>
    <dataValidation allowBlank="1" showErrorMessage="1" prompt="Enter the email address of the Responsible Person." sqref="A42 A56" xr:uid="{2EA607D1-37BA-48C3-B956-43D90FF7F257}"/>
    <dataValidation allowBlank="1" showErrorMessage="1" prompt="Enter the title of the Responsible Person." sqref="A33 A47" xr:uid="{042F376C-A6F4-4F38-AB33-5B3B6F254D9D}"/>
    <dataValidation type="list" allowBlank="1" showErrorMessage="1" promptTitle="State Permit Amendment Only:" prompt="If this is not a state permit application, skip this question. If this is a state permit application, is there a new air contaminant in this application? Enter or select &quot;Yes&quot; or &quot;No&quot;." sqref="G12" xr:uid="{45562C07-846E-43DC-A5CD-075D703A0E5C}">
      <formula1>YesNo</formula1>
    </dataValidation>
    <dataValidation type="list" allowBlank="1" showErrorMessage="1" prompt="select no" sqref="G10" xr:uid="{F2CCC6FC-344F-4E3E-9C63-688FE7BCA6A3}">
      <formula1>"No"</formula1>
    </dataValidation>
    <dataValidation allowBlank="1" showErrorMessage="1" promptTitle="Notice Required?" prompt="If your project's change in emissions exceed the Public Notice (PN) threshold, it is required to provide public notice." sqref="E14:E21" xr:uid="{B18F715C-4E91-4359-AF1A-4932A055822B}"/>
    <dataValidation type="list" allowBlank="1" showErrorMessage="1" prompt="Is this application for either a new permit or change of location? Enter or select &quot;Yes&quot; or &quot;No&quot;." sqref="G10" xr:uid="{556D9FFC-F11B-4752-AFF1-43A7C32B0810}">
      <formula1>"No"</formula1>
    </dataValidation>
    <dataValidation allowBlank="1" showErrorMessage="1" promptTitle="State Permit Amendment Only:" prompt="If this is not a state permit application, skip this question. If this is a state permit application, is there a new air contaminant in this application? Enter or select &quot;Yes&quot; or &quot;No&quot;." sqref="G11" xr:uid="{349DAF99-F317-47EB-A8CF-2B7F117D1F57}"/>
    <dataValidation type="list" allowBlank="1" showErrorMessage="1" prompt="Is this application for either a new permit or change of location? Enter or select &quot;Yes&quot; or &quot;No&quot;." sqref="G11" xr:uid="{AA24C4BE-EDDA-45F8-9106-E021BAE2E0A3}">
      <formula1>"Yes,No"</formula1>
    </dataValidation>
    <dataValidation allowBlank="1" showErrorMessage="1" prompt="enter mailing address" sqref="C49:G49 C35:G35" xr:uid="{EBE76C11-92CC-44B9-904F-4967252B4628}"/>
    <dataValidation allowBlank="1" showErrorMessage="1" prompt="enter company or legal name" sqref="C48:G48 C34:G34" xr:uid="{1884FCAA-452F-49C3-AC4A-1D2D9E14D91A}"/>
    <dataValidation allowBlank="1" showErrorMessage="1" prompt="enter the prefix (Mr., Ms., Dr., etc.)" sqref="C44:G44 C30:G30" xr:uid="{F8FE2057-D4D5-482C-941A-F1D609D6F9E1}"/>
    <dataValidation allowBlank="1" showErrorMessage="1" prompt="enter first name" sqref="C45:G45 C31:G31" xr:uid="{628C41AE-826B-40FD-8B98-F093A861CF9B}"/>
    <dataValidation allowBlank="1" showErrorMessage="1" prompt="enter last name" sqref="C46:G46 C32:G32" xr:uid="{EB6E47E2-B937-4681-AFD1-826B277B5D79}"/>
    <dataValidation allowBlank="1" showErrorMessage="1" prompt="enter title" sqref="C47:G47 C33:G33" xr:uid="{9D0AC92C-16E9-4CA3-842A-F2DEE5FD2E59}"/>
    <dataValidation allowBlank="1" showErrorMessage="1" prompt="enter second line of address" sqref="C50:G50 C36:G36" xr:uid="{C7193042-A74C-4A7B-8528-77BB42FE3EEB}"/>
    <dataValidation allowBlank="1" showErrorMessage="1" prompt="enter state" sqref="C52:G52 C38:G38" xr:uid="{0592A7E2-51F1-47F3-9B44-A192F4B30F5F}"/>
    <dataValidation allowBlank="1" showErrorMessage="1" prompt="enter ZIP code" sqref="C53:G53 C39:G39" xr:uid="{6E4C8D32-73F1-4E6D-9E5F-F26AC7B3577B}"/>
    <dataValidation allowBlank="1" showErrorMessage="1" prompt="enter telephone number" sqref="C54:G54 C40:G40" xr:uid="{EBE36D83-B8FC-4C7C-ACCB-42333524A488}"/>
    <dataValidation allowBlank="1" showErrorMessage="1" prompt="enter fax number" sqref="C55:G55 C41:G41" xr:uid="{7885837F-AC92-488B-A91A-389A8DA19F6E}"/>
    <dataValidation allowBlank="1" showErrorMessage="1" prompt="enter email address" sqref="C56:G56 C42:G42" xr:uid="{83F8D897-9BF5-4972-B316-2E75A1FCD918}"/>
    <dataValidation allowBlank="1" showErrorMessage="1" prompt="enter physical address" sqref="C59:G59" xr:uid="{32D0B38E-88D4-484D-962B-AB902244E2A8}"/>
    <dataValidation type="list" allowBlank="1" showErrorMessage="1" prompt="select county" sqref="C63:G63" xr:uid="{CCA1F265-3D7F-4688-BF49-BF3AC9568C74}">
      <formula1>Counties</formula1>
    </dataValidation>
    <dataValidation allowBlank="1" showErrorMessage="1" prompt="list a language required by the bilingual program" sqref="E68:G71" xr:uid="{2595FFAB-C9CC-43C0-9445-3E02453B00A5}"/>
    <dataValidation type="list" allowBlank="1" showErrorMessage="1" prompt="Is a Plain Language Summary in an alternative language as required by 30 TAC § 39.426(c) provided with the application? Select &quot;Yes&quot;." sqref="G85" xr:uid="{159CE82D-82D8-46E5-9D0E-667711A9A36A}">
      <formula1>"Yes"</formula1>
    </dataValidation>
    <dataValidation type="list" allowBlank="1" showErrorMessage="1" prompt="Is a Plain Language Summary as required by 30 TAC § 39.405(k) provided with the application? Select &quot;Yes&quot;." sqref="G84" xr:uid="{302F23F3-2F2E-4FE3-B31F-D43D966C999E}">
      <formula1>"Yes"</formula1>
    </dataValidation>
  </dataValidations>
  <hyperlinks>
    <hyperlink ref="A4" r:id="rId1" xr:uid="{4DA37664-C620-4F55-A63F-CC28B06A9B68}"/>
    <hyperlink ref="A4:G4" r:id="rId2" tooltip="Click to link to TCEQ information on bilingual requirements." display="www.tceq.texas.gov/permitting/air/bilingual/how1_2_pn.html" xr:uid="{D52BF20D-C220-4BF3-B640-C243A8008332}"/>
    <hyperlink ref="A83" r:id="rId3" xr:uid="{FFA312B9-CD98-4B58-8950-0F93E4196219}"/>
  </hyperlinks>
  <printOptions horizontalCentered="1"/>
  <pageMargins left="0.7" right="0.7" top="0.75" bottom="0.75" header="0.3" footer="0.3"/>
  <pageSetup scale="73" fitToHeight="0" orientation="portrait" cellComments="asDisplayed" r:id="rId4"/>
  <headerFooter>
    <oddHeader>&amp;C&amp;"Arial,Regular"Tanks and Loading Increases RAP Application</oddHeader>
    <oddFooter>&amp;LVersion 3.0&amp;CSheet: &amp;A&amp;RPage &amp;P</oddFooter>
  </headerFooter>
  <rowBreaks count="2" manualBreakCount="2">
    <brk id="42" max="6" man="1"/>
    <brk id="72" max="6" man="1"/>
  </rowBreaks>
  <ignoredErrors>
    <ignoredError sqref="G16" formula="1"/>
  </ignoredErrors>
  <extLst>
    <ext xmlns:x14="http://schemas.microsoft.com/office/spreadsheetml/2009/9/main" uri="{78C0D931-6437-407d-A8EE-F0AAD7539E65}">
      <x14:conditionalFormattings>
        <x14:conditionalFormatting xmlns:xm="http://schemas.microsoft.com/office/excel/2006/main">
          <x14:cfRule type="expression" priority="6" stopIfTrue="1" id="{CE707C6A-F98C-436A-8541-60DF4530D77B}">
            <xm:f>'Hidden Inputs'!$BR$5</xm:f>
            <x14:dxf>
              <font>
                <color theme="0" tint="-0.499984740745262"/>
              </font>
              <numFmt numFmtId="171" formatCode=";;;"/>
              <fill>
                <patternFill>
                  <bgColor theme="0" tint="-0.499984740745262"/>
                </patternFill>
              </fill>
            </x14:dxf>
          </x14:cfRule>
          <xm:sqref>A2:G85</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tabColor theme="5" tint="0.39997558519241921"/>
  </sheetPr>
  <dimension ref="A1:E74"/>
  <sheetViews>
    <sheetView showGridLines="0" tabSelected="1" workbookViewId="0">
      <selection sqref="A1:D1"/>
    </sheetView>
  </sheetViews>
  <sheetFormatPr defaultColWidth="0" defaultRowHeight="14.25" zeroHeight="1" x14ac:dyDescent="0.2"/>
  <cols>
    <col min="1" max="1" width="34.7109375" style="462" customWidth="1"/>
    <col min="2" max="2" width="40.7109375" style="462" customWidth="1"/>
    <col min="3" max="4" width="23.42578125" style="462" customWidth="1"/>
    <col min="5" max="5" width="8.5703125" style="462" customWidth="1"/>
    <col min="6" max="16384" width="8.5703125" style="462" hidden="1"/>
  </cols>
  <sheetData>
    <row r="1" spans="1:4" ht="3.75" customHeight="1" thickBot="1" x14ac:dyDescent="0.25">
      <c r="A1" s="956" t="s">
        <v>8516</v>
      </c>
      <c r="B1" s="956"/>
      <c r="C1" s="956"/>
      <c r="D1" s="956"/>
    </row>
    <row r="2" spans="1:4" ht="18" x14ac:dyDescent="0.25">
      <c r="A2" s="957" t="s">
        <v>10607</v>
      </c>
      <c r="B2" s="958"/>
      <c r="C2" s="958"/>
      <c r="D2" s="959"/>
    </row>
    <row r="3" spans="1:4" ht="15" customHeight="1" x14ac:dyDescent="0.2">
      <c r="A3" s="967" t="s">
        <v>10606</v>
      </c>
      <c r="B3" s="968"/>
      <c r="C3" s="968"/>
      <c r="D3" s="969"/>
    </row>
    <row r="4" spans="1:4" ht="15" customHeight="1" x14ac:dyDescent="0.2">
      <c r="A4" s="967" t="s">
        <v>8856</v>
      </c>
      <c r="B4" s="968"/>
      <c r="C4" s="968"/>
      <c r="D4" s="969"/>
    </row>
    <row r="5" spans="1:4" ht="15" customHeight="1" thickBot="1" x14ac:dyDescent="0.25">
      <c r="A5" s="960" t="str">
        <f>"TCEQ "&amp;Reference!B1&amp;", Version "&amp;Reference!B2</f>
        <v>TCEQ 20862, Version 4.1</v>
      </c>
      <c r="B5" s="961"/>
      <c r="C5" s="961"/>
      <c r="D5" s="962"/>
    </row>
    <row r="6" spans="1:4" ht="33" customHeight="1" thickBot="1" x14ac:dyDescent="0.25">
      <c r="A6" s="964" t="s">
        <v>10514</v>
      </c>
      <c r="B6" s="965"/>
      <c r="C6" s="965"/>
      <c r="D6" s="966"/>
    </row>
    <row r="7" spans="1:4" ht="15.75" thickBot="1" x14ac:dyDescent="0.25">
      <c r="A7" s="919" t="s">
        <v>8567</v>
      </c>
      <c r="B7" s="919"/>
      <c r="C7" s="919"/>
      <c r="D7" s="919"/>
    </row>
    <row r="8" spans="1:4" ht="15.75" thickBot="1" x14ac:dyDescent="0.3">
      <c r="A8" s="932" t="s">
        <v>8568</v>
      </c>
      <c r="B8" s="933"/>
      <c r="C8" s="933"/>
      <c r="D8" s="934"/>
    </row>
    <row r="9" spans="1:4" ht="345.75" customHeight="1" thickBot="1" x14ac:dyDescent="0.25">
      <c r="A9" s="963" t="s">
        <v>10619</v>
      </c>
      <c r="B9" s="906"/>
      <c r="C9" s="906"/>
      <c r="D9" s="907"/>
    </row>
    <row r="10" spans="1:4" ht="15.75" thickBot="1" x14ac:dyDescent="0.25">
      <c r="A10" s="919" t="s">
        <v>8567</v>
      </c>
      <c r="B10" s="919"/>
      <c r="C10" s="919"/>
      <c r="D10" s="919"/>
    </row>
    <row r="11" spans="1:4" ht="15.75" thickBot="1" x14ac:dyDescent="0.3">
      <c r="A11" s="932" t="s">
        <v>10204</v>
      </c>
      <c r="B11" s="933"/>
      <c r="C11" s="933"/>
      <c r="D11" s="934"/>
    </row>
    <row r="12" spans="1:4" ht="241.5" customHeight="1" x14ac:dyDescent="0.2">
      <c r="A12" s="938" t="s">
        <v>10331</v>
      </c>
      <c r="B12" s="939"/>
      <c r="C12" s="939"/>
      <c r="D12" s="940"/>
    </row>
    <row r="13" spans="1:4" ht="212.25" customHeight="1" x14ac:dyDescent="0.2">
      <c r="A13" s="941" t="s">
        <v>10512</v>
      </c>
      <c r="B13" s="942"/>
      <c r="C13" s="942"/>
      <c r="D13" s="943"/>
    </row>
    <row r="14" spans="1:4" ht="165" customHeight="1" thickBot="1" x14ac:dyDescent="0.25">
      <c r="A14" s="944" t="s">
        <v>10546</v>
      </c>
      <c r="B14" s="945"/>
      <c r="C14" s="945"/>
      <c r="D14" s="946"/>
    </row>
    <row r="15" spans="1:4" ht="15.75" thickBot="1" x14ac:dyDescent="0.25">
      <c r="A15" s="919" t="s">
        <v>8567</v>
      </c>
      <c r="B15" s="919"/>
      <c r="C15" s="919"/>
      <c r="D15" s="919"/>
    </row>
    <row r="16" spans="1:4" ht="15.75" thickBot="1" x14ac:dyDescent="0.3">
      <c r="A16" s="932" t="s">
        <v>10214</v>
      </c>
      <c r="B16" s="933"/>
      <c r="C16" s="933"/>
      <c r="D16" s="934"/>
    </row>
    <row r="17" spans="1:4" ht="282" customHeight="1" x14ac:dyDescent="0.2">
      <c r="A17" s="935" t="s">
        <v>10647</v>
      </c>
      <c r="B17" s="936"/>
      <c r="C17" s="936"/>
      <c r="D17" s="937"/>
    </row>
    <row r="18" spans="1:4" ht="146.25" customHeight="1" x14ac:dyDescent="0.2">
      <c r="A18" s="953" t="s">
        <v>10646</v>
      </c>
      <c r="B18" s="954"/>
      <c r="C18" s="954"/>
      <c r="D18" s="955"/>
    </row>
    <row r="19" spans="1:4" ht="133.5" customHeight="1" x14ac:dyDescent="0.2">
      <c r="A19" s="947" t="s">
        <v>10536</v>
      </c>
      <c r="B19" s="948"/>
      <c r="C19" s="948"/>
      <c r="D19" s="949"/>
    </row>
    <row r="20" spans="1:4" ht="15" customHeight="1" thickBot="1" x14ac:dyDescent="0.25">
      <c r="A20" s="950" t="s">
        <v>10485</v>
      </c>
      <c r="B20" s="951"/>
      <c r="C20" s="951"/>
      <c r="D20" s="952"/>
    </row>
    <row r="21" spans="1:4" ht="15.75" thickBot="1" x14ac:dyDescent="0.25">
      <c r="A21" s="919" t="s">
        <v>8567</v>
      </c>
      <c r="B21" s="919"/>
      <c r="C21" s="919"/>
      <c r="D21" s="919"/>
    </row>
    <row r="22" spans="1:4" ht="15.75" thickBot="1" x14ac:dyDescent="0.3">
      <c r="A22" s="932" t="s">
        <v>10215</v>
      </c>
      <c r="B22" s="933"/>
      <c r="C22" s="933"/>
      <c r="D22" s="934"/>
    </row>
    <row r="23" spans="1:4" ht="117" customHeight="1" thickBot="1" x14ac:dyDescent="0.25">
      <c r="A23" s="905" t="s">
        <v>10252</v>
      </c>
      <c r="B23" s="906"/>
      <c r="C23" s="906"/>
      <c r="D23" s="907"/>
    </row>
    <row r="24" spans="1:4" s="439" customFormat="1" ht="15.75" thickBot="1" x14ac:dyDescent="0.3">
      <c r="A24" s="919" t="s">
        <v>8567</v>
      </c>
      <c r="B24" s="919"/>
      <c r="C24" s="919"/>
      <c r="D24" s="919"/>
    </row>
    <row r="25" spans="1:4" s="439" customFormat="1" ht="15.75" thickBot="1" x14ac:dyDescent="0.3">
      <c r="A25" s="911" t="s">
        <v>10216</v>
      </c>
      <c r="B25" s="912"/>
      <c r="C25" s="912"/>
      <c r="D25" s="913"/>
    </row>
    <row r="26" spans="1:4" s="439" customFormat="1" ht="81" customHeight="1" x14ac:dyDescent="0.25">
      <c r="A26" s="916" t="s">
        <v>10287</v>
      </c>
      <c r="B26" s="917"/>
      <c r="C26" s="917"/>
      <c r="D26" s="918"/>
    </row>
    <row r="27" spans="1:4" s="439" customFormat="1" ht="359.25" customHeight="1" thickBot="1" x14ac:dyDescent="0.3">
      <c r="A27" s="971" t="s">
        <v>10088</v>
      </c>
      <c r="B27" s="972"/>
      <c r="C27" s="972"/>
      <c r="D27" s="973"/>
    </row>
    <row r="28" spans="1:4" s="439" customFormat="1" ht="15.75" thickBot="1" x14ac:dyDescent="0.3">
      <c r="A28" s="919" t="s">
        <v>8567</v>
      </c>
      <c r="B28" s="919"/>
      <c r="C28" s="919"/>
      <c r="D28" s="919"/>
    </row>
    <row r="29" spans="1:4" ht="15.75" thickBot="1" x14ac:dyDescent="0.3">
      <c r="A29" s="908" t="s">
        <v>10328</v>
      </c>
      <c r="B29" s="909"/>
      <c r="C29" s="909"/>
      <c r="D29" s="910"/>
    </row>
    <row r="30" spans="1:4" x14ac:dyDescent="0.2">
      <c r="A30" s="763" t="s">
        <v>8598</v>
      </c>
      <c r="B30" s="914" t="s">
        <v>8599</v>
      </c>
      <c r="C30" s="914"/>
      <c r="D30" s="915"/>
    </row>
    <row r="31" spans="1:4" x14ac:dyDescent="0.2">
      <c r="A31" s="844" t="s">
        <v>10486</v>
      </c>
      <c r="B31" s="929" t="s">
        <v>10487</v>
      </c>
      <c r="C31" s="930"/>
      <c r="D31" s="931"/>
    </row>
    <row r="32" spans="1:4" x14ac:dyDescent="0.2">
      <c r="A32" s="489" t="s">
        <v>8386</v>
      </c>
      <c r="B32" s="922" t="s">
        <v>10213</v>
      </c>
      <c r="C32" s="922"/>
      <c r="D32" s="923"/>
    </row>
    <row r="33" spans="1:4" x14ac:dyDescent="0.2">
      <c r="A33" s="843" t="s">
        <v>10537</v>
      </c>
      <c r="B33" s="926" t="s">
        <v>10485</v>
      </c>
      <c r="C33" s="927"/>
      <c r="D33" s="928"/>
    </row>
    <row r="34" spans="1:4" x14ac:dyDescent="0.2">
      <c r="A34" s="489" t="s">
        <v>8570</v>
      </c>
      <c r="B34" s="924" t="s">
        <v>10022</v>
      </c>
      <c r="C34" s="924"/>
      <c r="D34" s="925"/>
    </row>
    <row r="35" spans="1:4" x14ac:dyDescent="0.2">
      <c r="A35" s="489" t="s">
        <v>8571</v>
      </c>
      <c r="B35" s="924" t="s">
        <v>10023</v>
      </c>
      <c r="C35" s="924"/>
      <c r="D35" s="925"/>
    </row>
    <row r="36" spans="1:4" ht="15" customHeight="1" x14ac:dyDescent="0.2">
      <c r="A36" s="845" t="s">
        <v>8531</v>
      </c>
      <c r="B36" s="920" t="s">
        <v>10025</v>
      </c>
      <c r="C36" s="920"/>
      <c r="D36" s="921"/>
    </row>
    <row r="37" spans="1:4" ht="15" thickBot="1" x14ac:dyDescent="0.25">
      <c r="A37" s="490" t="s">
        <v>8530</v>
      </c>
      <c r="B37" s="995" t="s">
        <v>10024</v>
      </c>
      <c r="C37" s="995"/>
      <c r="D37" s="996"/>
    </row>
    <row r="38" spans="1:4" ht="15.75" thickBot="1" x14ac:dyDescent="0.25">
      <c r="A38" s="919" t="s">
        <v>8567</v>
      </c>
      <c r="B38" s="919"/>
      <c r="C38" s="919"/>
      <c r="D38" s="919"/>
    </row>
    <row r="39" spans="1:4" ht="15.75" thickBot="1" x14ac:dyDescent="0.3">
      <c r="A39" s="911" t="s">
        <v>10329</v>
      </c>
      <c r="B39" s="912"/>
      <c r="C39" s="912"/>
      <c r="D39" s="913"/>
    </row>
    <row r="40" spans="1:4" s="439" customFormat="1" ht="15.75" thickBot="1" x14ac:dyDescent="0.3">
      <c r="A40" s="29" t="s">
        <v>8517</v>
      </c>
      <c r="B40" s="30" t="s">
        <v>8518</v>
      </c>
      <c r="C40" s="31" t="s">
        <v>8519</v>
      </c>
      <c r="D40" s="32" t="s">
        <v>8520</v>
      </c>
    </row>
    <row r="41" spans="1:4" s="439" customFormat="1" ht="60" customHeight="1" x14ac:dyDescent="0.25">
      <c r="A41" s="862" t="s">
        <v>8521</v>
      </c>
      <c r="B41" s="846" t="s">
        <v>10486</v>
      </c>
      <c r="C41" s="846" t="s">
        <v>8522</v>
      </c>
      <c r="D41" s="847" t="s">
        <v>10534</v>
      </c>
    </row>
    <row r="42" spans="1:4" s="439" customFormat="1" ht="60" customHeight="1" x14ac:dyDescent="0.25">
      <c r="A42" s="859" t="s">
        <v>10531</v>
      </c>
      <c r="B42" s="860" t="s">
        <v>10532</v>
      </c>
      <c r="C42" s="860" t="s">
        <v>8522</v>
      </c>
      <c r="D42" s="857" t="s">
        <v>10533</v>
      </c>
    </row>
    <row r="43" spans="1:4" s="439" customFormat="1" ht="75" customHeight="1" x14ac:dyDescent="0.25">
      <c r="A43" s="491" t="s">
        <v>8523</v>
      </c>
      <c r="B43" s="492" t="s">
        <v>8524</v>
      </c>
      <c r="C43" s="492" t="s">
        <v>8525</v>
      </c>
      <c r="D43" s="857" t="s">
        <v>10530</v>
      </c>
    </row>
    <row r="44" spans="1:4" s="439" customFormat="1" ht="75" customHeight="1" x14ac:dyDescent="0.25">
      <c r="A44" s="859" t="s">
        <v>10527</v>
      </c>
      <c r="B44" s="860" t="s">
        <v>10528</v>
      </c>
      <c r="C44" s="492" t="s">
        <v>8525</v>
      </c>
      <c r="D44" s="857" t="s">
        <v>10530</v>
      </c>
    </row>
    <row r="45" spans="1:4" s="439" customFormat="1" ht="75" customHeight="1" x14ac:dyDescent="0.25">
      <c r="A45" s="491" t="s">
        <v>8526</v>
      </c>
      <c r="B45" s="492" t="s">
        <v>8527</v>
      </c>
      <c r="C45" s="492" t="s">
        <v>8525</v>
      </c>
      <c r="D45" s="857" t="s">
        <v>10530</v>
      </c>
    </row>
    <row r="46" spans="1:4" s="439" customFormat="1" ht="60" customHeight="1" thickBot="1" x14ac:dyDescent="0.3">
      <c r="A46" s="861" t="s">
        <v>10529</v>
      </c>
      <c r="B46" s="493" t="s">
        <v>8528</v>
      </c>
      <c r="C46" s="493" t="s">
        <v>8529</v>
      </c>
      <c r="D46" s="858" t="s">
        <v>10535</v>
      </c>
    </row>
    <row r="47" spans="1:4" s="439" customFormat="1" ht="15.75" thickBot="1" x14ac:dyDescent="0.3">
      <c r="A47" s="919" t="s">
        <v>8567</v>
      </c>
      <c r="B47" s="919"/>
      <c r="C47" s="919"/>
      <c r="D47" s="919"/>
    </row>
    <row r="48" spans="1:4" ht="15.75" thickBot="1" x14ac:dyDescent="0.3">
      <c r="A48" s="908" t="s">
        <v>10330</v>
      </c>
      <c r="B48" s="909"/>
      <c r="C48" s="909"/>
      <c r="D48" s="910"/>
    </row>
    <row r="49" spans="1:4" ht="15.75" customHeight="1" x14ac:dyDescent="0.25">
      <c r="A49" s="980" t="s">
        <v>8650</v>
      </c>
      <c r="B49" s="981"/>
      <c r="C49" s="981"/>
      <c r="D49" s="982"/>
    </row>
    <row r="50" spans="1:4" ht="15.75" customHeight="1" x14ac:dyDescent="0.2">
      <c r="A50" s="992" t="s">
        <v>10257</v>
      </c>
      <c r="B50" s="993"/>
      <c r="C50" s="993"/>
      <c r="D50" s="994"/>
    </row>
    <row r="51" spans="1:4" ht="15" x14ac:dyDescent="0.25">
      <c r="A51" s="989" t="s">
        <v>10075</v>
      </c>
      <c r="B51" s="990"/>
      <c r="C51" s="990"/>
      <c r="D51" s="991"/>
    </row>
    <row r="52" spans="1:4" ht="15" customHeight="1" x14ac:dyDescent="0.2">
      <c r="A52" s="983" t="s">
        <v>10515</v>
      </c>
      <c r="B52" s="984"/>
      <c r="C52" s="984"/>
      <c r="D52" s="985"/>
    </row>
    <row r="53" spans="1:4" ht="15" customHeight="1" x14ac:dyDescent="0.2">
      <c r="A53" s="983" t="s">
        <v>8658</v>
      </c>
      <c r="B53" s="984"/>
      <c r="C53" s="984"/>
      <c r="D53" s="985"/>
    </row>
    <row r="54" spans="1:4" ht="15" x14ac:dyDescent="0.25">
      <c r="A54" s="989" t="s">
        <v>8660</v>
      </c>
      <c r="B54" s="990"/>
      <c r="C54" s="990"/>
      <c r="D54" s="991"/>
    </row>
    <row r="55" spans="1:4" x14ac:dyDescent="0.2">
      <c r="A55" s="986" t="s">
        <v>8652</v>
      </c>
      <c r="B55" s="987"/>
      <c r="C55" s="987"/>
      <c r="D55" s="988"/>
    </row>
    <row r="56" spans="1:4" x14ac:dyDescent="0.2">
      <c r="A56" s="986" t="s">
        <v>8653</v>
      </c>
      <c r="B56" s="987"/>
      <c r="C56" s="987"/>
      <c r="D56" s="988"/>
    </row>
    <row r="57" spans="1:4" x14ac:dyDescent="0.2">
      <c r="A57" s="986" t="s">
        <v>8654</v>
      </c>
      <c r="B57" s="987"/>
      <c r="C57" s="987"/>
      <c r="D57" s="988"/>
    </row>
    <row r="58" spans="1:4" x14ac:dyDescent="0.2">
      <c r="A58" s="986" t="s">
        <v>8655</v>
      </c>
      <c r="B58" s="987"/>
      <c r="C58" s="987"/>
      <c r="D58" s="988"/>
    </row>
    <row r="59" spans="1:4" x14ac:dyDescent="0.2">
      <c r="A59" s="986" t="s">
        <v>8656</v>
      </c>
      <c r="B59" s="987"/>
      <c r="C59" s="987"/>
      <c r="D59" s="988"/>
    </row>
    <row r="60" spans="1:4" x14ac:dyDescent="0.2">
      <c r="A60" s="974" t="s">
        <v>10258</v>
      </c>
      <c r="B60" s="975"/>
      <c r="C60" s="975"/>
      <c r="D60" s="976"/>
    </row>
    <row r="61" spans="1:4" x14ac:dyDescent="0.2">
      <c r="A61" s="974" t="s">
        <v>10169</v>
      </c>
      <c r="B61" s="975"/>
      <c r="C61" s="975"/>
      <c r="D61" s="976"/>
    </row>
    <row r="62" spans="1:4" x14ac:dyDescent="0.2">
      <c r="A62" s="974" t="s">
        <v>10170</v>
      </c>
      <c r="B62" s="975"/>
      <c r="C62" s="975"/>
      <c r="D62" s="976"/>
    </row>
    <row r="63" spans="1:4" x14ac:dyDescent="0.2">
      <c r="A63" s="974" t="s">
        <v>8657</v>
      </c>
      <c r="B63" s="975"/>
      <c r="C63" s="975"/>
      <c r="D63" s="976"/>
    </row>
    <row r="64" spans="1:4" x14ac:dyDescent="0.2">
      <c r="A64" s="974" t="s">
        <v>10259</v>
      </c>
      <c r="B64" s="975"/>
      <c r="C64" s="975"/>
      <c r="D64" s="976"/>
    </row>
    <row r="65" spans="1:4" x14ac:dyDescent="0.2">
      <c r="A65" s="974" t="s">
        <v>10260</v>
      </c>
      <c r="B65" s="975"/>
      <c r="C65" s="975"/>
      <c r="D65" s="976"/>
    </row>
    <row r="66" spans="1:4" ht="15" x14ac:dyDescent="0.2">
      <c r="A66" s="997" t="s">
        <v>8651</v>
      </c>
      <c r="B66" s="998"/>
      <c r="C66" s="998"/>
      <c r="D66" s="999"/>
    </row>
    <row r="67" spans="1:4" ht="14.25" customHeight="1" x14ac:dyDescent="0.2">
      <c r="A67" s="974" t="s">
        <v>8659</v>
      </c>
      <c r="B67" s="975"/>
      <c r="C67" s="975"/>
      <c r="D67" s="976"/>
    </row>
    <row r="68" spans="1:4" s="583" customFormat="1" x14ac:dyDescent="0.2">
      <c r="A68" s="974" t="s">
        <v>10238</v>
      </c>
      <c r="B68" s="975"/>
      <c r="C68" s="975"/>
      <c r="D68" s="976"/>
    </row>
    <row r="69" spans="1:4" ht="14.25" customHeight="1" x14ac:dyDescent="0.2">
      <c r="A69" s="974" t="s">
        <v>10101</v>
      </c>
      <c r="B69" s="975"/>
      <c r="C69" s="975"/>
      <c r="D69" s="976"/>
    </row>
    <row r="70" spans="1:4" ht="14.25" customHeight="1" x14ac:dyDescent="0.2">
      <c r="A70" s="974" t="s">
        <v>8662</v>
      </c>
      <c r="B70" s="975"/>
      <c r="C70" s="975"/>
      <c r="D70" s="976"/>
    </row>
    <row r="71" spans="1:4" ht="14.25" customHeight="1" x14ac:dyDescent="0.2">
      <c r="A71" s="974" t="s">
        <v>8661</v>
      </c>
      <c r="B71" s="975"/>
      <c r="C71" s="975"/>
      <c r="D71" s="976"/>
    </row>
    <row r="72" spans="1:4" ht="14.25" customHeight="1" x14ac:dyDescent="0.2">
      <c r="A72" s="974" t="s">
        <v>10262</v>
      </c>
      <c r="B72" s="975"/>
      <c r="C72" s="975"/>
      <c r="D72" s="976"/>
    </row>
    <row r="73" spans="1:4" ht="15" thickBot="1" x14ac:dyDescent="0.25">
      <c r="A73" s="977" t="s">
        <v>10261</v>
      </c>
      <c r="B73" s="978"/>
      <c r="C73" s="978"/>
      <c r="D73" s="979"/>
    </row>
    <row r="74" spans="1:4" x14ac:dyDescent="0.2">
      <c r="A74" s="970" t="s">
        <v>8455</v>
      </c>
      <c r="B74" s="970"/>
      <c r="C74" s="970"/>
      <c r="D74" s="970"/>
    </row>
  </sheetData>
  <sheetProtection algorithmName="SHA-512" hashValue="ko9872W/0INGuaJha9ElV3dYpzcbBxJuS/cxrePwcBp+iiKYtnhTwl+eitY3Xvzcu+eB2Sa5M4dx7/mQpWGJSw==" saltValue="AJ2ATMzthEmnslX4Q7XPDQ==" spinCount="100000" sheet="1" objects="1" scenarios="1" formatColumns="0" formatRows="0" autoFilter="0"/>
  <mergeCells count="67">
    <mergeCell ref="A47:D47"/>
    <mergeCell ref="A50:D50"/>
    <mergeCell ref="B37:D37"/>
    <mergeCell ref="A72:D72"/>
    <mergeCell ref="A66:D66"/>
    <mergeCell ref="A48:D48"/>
    <mergeCell ref="A57:D57"/>
    <mergeCell ref="A68:D68"/>
    <mergeCell ref="A64:D64"/>
    <mergeCell ref="A61:D61"/>
    <mergeCell ref="A62:D62"/>
    <mergeCell ref="A59:D59"/>
    <mergeCell ref="A60:D60"/>
    <mergeCell ref="A58:D58"/>
    <mergeCell ref="A74:D74"/>
    <mergeCell ref="A27:D27"/>
    <mergeCell ref="A65:D65"/>
    <mergeCell ref="A71:D71"/>
    <mergeCell ref="A69:D69"/>
    <mergeCell ref="A70:D70"/>
    <mergeCell ref="A67:D67"/>
    <mergeCell ref="A73:D73"/>
    <mergeCell ref="A49:D49"/>
    <mergeCell ref="A53:D53"/>
    <mergeCell ref="A55:D55"/>
    <mergeCell ref="A51:D51"/>
    <mergeCell ref="A52:D52"/>
    <mergeCell ref="A63:D63"/>
    <mergeCell ref="A54:D54"/>
    <mergeCell ref="A56:D56"/>
    <mergeCell ref="A1:D1"/>
    <mergeCell ref="A2:D2"/>
    <mergeCell ref="A5:D5"/>
    <mergeCell ref="A8:D8"/>
    <mergeCell ref="A9:D9"/>
    <mergeCell ref="A6:D6"/>
    <mergeCell ref="A7:D7"/>
    <mergeCell ref="A3:D3"/>
    <mergeCell ref="A4:D4"/>
    <mergeCell ref="A10:D10"/>
    <mergeCell ref="A16:D16"/>
    <mergeCell ref="A17:D17"/>
    <mergeCell ref="A21:D21"/>
    <mergeCell ref="A22:D22"/>
    <mergeCell ref="A15:D15"/>
    <mergeCell ref="A11:D11"/>
    <mergeCell ref="A12:D12"/>
    <mergeCell ref="A13:D13"/>
    <mergeCell ref="A14:D14"/>
    <mergeCell ref="A19:D19"/>
    <mergeCell ref="A20:D20"/>
    <mergeCell ref="A18:D18"/>
    <mergeCell ref="A23:D23"/>
    <mergeCell ref="A29:D29"/>
    <mergeCell ref="A39:D39"/>
    <mergeCell ref="B30:D30"/>
    <mergeCell ref="A25:D25"/>
    <mergeCell ref="A26:D26"/>
    <mergeCell ref="A24:D24"/>
    <mergeCell ref="A38:D38"/>
    <mergeCell ref="B36:D36"/>
    <mergeCell ref="B32:D32"/>
    <mergeCell ref="B34:D34"/>
    <mergeCell ref="B35:D35"/>
    <mergeCell ref="A28:D28"/>
    <mergeCell ref="B33:D33"/>
    <mergeCell ref="B31:D31"/>
  </mergeCells>
  <hyperlinks>
    <hyperlink ref="B32" r:id="rId1" xr:uid="{DF45564E-BF02-4FDF-8BB8-00E8B257CE51}"/>
    <hyperlink ref="B35" r:id="rId2" xr:uid="{587F4B18-1555-4A23-B64B-F89D391FD459}"/>
    <hyperlink ref="B34" r:id="rId3" xr:uid="{FDC77D12-F71D-41C7-B698-728FCDD4776E}"/>
    <hyperlink ref="B37" r:id="rId4" xr:uid="{3552D6D7-E00B-4FDE-ACA8-6EEDB09B0B40}"/>
    <hyperlink ref="B36" r:id="rId5" xr:uid="{52E55E47-12A0-488C-8622-1F62D36EF762}"/>
    <hyperlink ref="B37:C37" r:id="rId6" tooltip="Click to link to TCEQ regions" display="www.tceq.texas.gov/agency/directory/region" xr:uid="{AE00856E-250A-466B-A6C8-3A3C067512E4}"/>
    <hyperlink ref="B36:C36" r:id="rId7" tooltip="Click to link to local air pollution control programs in Texas" display="www.tceq.texas.gov/permitting/air/local_programs.html" xr:uid="{FFD2012D-A821-4629-9E9E-21F92E90A2BE}"/>
    <hyperlink ref="B30" r:id="rId8" xr:uid="{EC18872C-0A2F-4A57-B3EE-50CF3608FA3A}"/>
    <hyperlink ref="A52:B52" location="General!A1" display="General" xr:uid="{CAEC4019-ADE9-430F-B1CA-CFF371F6B996}"/>
    <hyperlink ref="A55:B55" location="Tank1!A1" display="Tank 1" xr:uid="{BB8F472D-E6CF-4D84-9285-B38DEAACB0A3}"/>
    <hyperlink ref="A71:B71" location="PublicNotice!A1" display="Public Notice Applicability" xr:uid="{E7A9C464-A0B6-43B1-9206-9B67960693BD}"/>
    <hyperlink ref="A53:D53" location="Fees!A1" tooltip="Click to jump to the Estimated Capital Cost and Fee Verification sheet." display="     Estimated Capital Cost and Fee Verification" xr:uid="{DC1DE286-0227-408C-9849-90696BA7B2F3}"/>
    <hyperlink ref="A55:D55" location="Tank1!A1" tooltip="Click to jump to the Tank 1 sheet." display="     Tank 1" xr:uid="{728013A2-2D16-44DE-A5DD-68A09E950378}"/>
    <hyperlink ref="A60:D60" location="'Loading-drum,tote'!A1" tooltip="Click to jump to the Loading: Drum, Tote sheet." display="     Loading: Drum, Tote" xr:uid="{6E456894-0D82-406B-8A47-F91C65B97F7B}"/>
    <hyperlink ref="A61:D61" location="'Loading-truck'!A1" tooltip="Click to jump to the Loading: Truck sheet." display="     Loading: Truck" xr:uid="{820C5492-4855-4630-9833-929AE0414BDF}"/>
    <hyperlink ref="A62:D62" location="'Loading-rail'!A1" tooltip="Click to jump to the Loading: Rail sheet." display="     Loading: Rail" xr:uid="{A9116241-BE10-4F02-BB1D-741A690B24A8}"/>
    <hyperlink ref="A63:D63" location="Flare!A1" tooltip="Click to jump to the Flare sheet." display="     Flare" xr:uid="{F04D091B-6D2D-43A8-9FC3-7991D42ECD61}"/>
    <hyperlink ref="A64:D64" location="VCU!A1" tooltip="Click to jump to the Vapor Combustion Unit (VCU) sheet." display="     Vapor Combustion Unit" xr:uid="{4A5F55C0-0249-45CA-B962-6BB19F9337D1}"/>
    <hyperlink ref="A65:D65" location="CAS!A1" tooltip="Click to jump to the Carbon Adsorption System (CAS) sheet." display="     Carbon Adsorption System" xr:uid="{0E1BD2FA-1C01-4FB7-A617-228655C4D2C4}"/>
    <hyperlink ref="A70:D70" location="FederalApplicability!A1" tooltip="Click to jump to the Federal Applicability Determination sheet." display="     Federal Applicability Determination" xr:uid="{6F2324C8-BCD7-4163-A7AD-2648084D6E2B}"/>
    <hyperlink ref="A67:D67" location="Impacts!A1" tooltip="Click to jump to the Impacts Analysis sheet." display="     Impacts Analysis" xr:uid="{23EDD7A1-B22C-4076-A2E4-0FF20CD0C667}"/>
    <hyperlink ref="A72:D72" location="BACT!A1" tooltip="Click to jump to the Best Available Control Technology (BACT) sheet." display="     Best Available Control Technology" xr:uid="{3E6471ED-BE3C-4F39-A3AB-8345A2414FEB}"/>
    <hyperlink ref="A68:D68" location="EmissionSummary!A1" tooltip="Click to jump to the Project Emission Summary sheet." display="     Project Emission Summary" xr:uid="{5EFBBF56-716A-4E3A-9546-916E9D628B10}"/>
    <hyperlink ref="A50:D50" location="Species!A1" tooltip="Click to jump to the Species List sheet." display="     Species List" xr:uid="{337B5E51-3C01-4A4C-9C94-CAA96F615FDF}"/>
    <hyperlink ref="A69:D69" location="Baseline!A1" tooltip="Click to jump to the Baseline Emission Information sheet." display="     Baseline Emission Information" xr:uid="{513B6560-3420-401A-982B-1DB207D4190C}"/>
    <hyperlink ref="A52:D52" location="'PI-1-Tank-Loading'!A1" tooltip="Click to jump to PI-1-Tank/Loading sheet." display="     PI-1-Tank-Loading: General Application for RAP-Tank-Loading" xr:uid="{46626641-CA3D-4F30-8B72-400040E16A6F}"/>
    <hyperlink ref="A56:B56" location="Tank1!A1" display="Tank 1" xr:uid="{1E08F87F-72C1-4ADB-97D2-2B8633FBE3E1}"/>
    <hyperlink ref="A57:B57" location="Tank1!A1" display="Tank 1" xr:uid="{46286EC2-76B6-4BCA-A314-7A3A7CCD89BA}"/>
    <hyperlink ref="A58:B58" location="Tank1!A1" display="Tank 1" xr:uid="{EA70CD98-D1E1-445B-9731-2E16CF926EBD}"/>
    <hyperlink ref="A59:B59" location="Tank1!A1" display="Tank 1" xr:uid="{B21018F9-8FD4-42D4-87B4-A37C1DD3095F}"/>
    <hyperlink ref="A56:D59" location="Tank1!A1" tooltip="Click to jump to the Tank 1 sheet." display="     Tank 1" xr:uid="{4BC982E2-5399-4798-8D96-6A264C56352F}"/>
    <hyperlink ref="A56:D56" location="Tank2!A1" tooltip="Click to jump to the Tank 2 sheet." display="     Tank 2" xr:uid="{102A1E8D-FCDD-4279-8C0F-65A651999DB4}"/>
    <hyperlink ref="A57:D57" location="Tank3!A1" tooltip="Click to jump to the Tank 3 sheet." display="     Tank 3" xr:uid="{A3564049-3E92-49D8-9C87-80B2EF8C1BDE}"/>
    <hyperlink ref="A58:D58" location="Tank4!A1" tooltip="Click to jump to the Tank 4 sheet." display="     Tank 4" xr:uid="{89B4728E-565C-4FB6-B018-F9E210594450}"/>
    <hyperlink ref="A59:D59" location="Tank5!A1" tooltip="Click to jump to the Tank 5 sheet." display="     Tank 5" xr:uid="{E79F337B-4839-49C2-B277-4F787D4D0461}"/>
    <hyperlink ref="A71:D71" location="PublicNotice!A1" tooltip="Click to jump to the Public Notice Applicability and Small Business Classification sheet." display="     Public Notice Applicability and Small Business Classification" xr:uid="{8F0703FD-2F04-44B8-923E-1E84A1DD47E7}"/>
    <hyperlink ref="A73:D73" location="CND!A1" tooltip="Click to jump to the Special Conditions sheet." display="     Special Conditions" xr:uid="{FA9599E3-37B9-4677-9035-4DD903E3A887}"/>
    <hyperlink ref="B31" r:id="rId9" xr:uid="{7158315D-2BE2-4A5E-B587-0314C1DBED0B}"/>
    <hyperlink ref="A20" r:id="rId10" xr:uid="{8495BD10-92CB-4CF0-80AD-557D81AE497E}"/>
  </hyperlinks>
  <printOptions horizontalCentered="1"/>
  <pageMargins left="0.7" right="0.7" top="0.75" bottom="0.75" header="0.3" footer="0.3"/>
  <pageSetup scale="73" fitToHeight="0" orientation="portrait" cellComments="atEnd" r:id="rId11"/>
  <headerFooter>
    <oddHeader>&amp;C&amp;"Arial,Regular"Tanks and Loading Increases RAP Application</oddHeader>
    <oddFooter>&amp;LVersion 3.0&amp;CSheet: &amp;A&amp;RPage &amp;P</oddFooter>
  </headerFooter>
  <rowBreaks count="1" manualBreakCount="1">
    <brk id="15" max="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1451B-C6AD-4C07-8792-8F0CD99B0B22}">
  <sheetPr codeName="Sheet6">
    <tabColor theme="5" tint="0.39997558519241921"/>
  </sheetPr>
  <dimension ref="A1:B4151"/>
  <sheetViews>
    <sheetView workbookViewId="0">
      <selection sqref="A1:B1"/>
    </sheetView>
  </sheetViews>
  <sheetFormatPr defaultColWidth="0" defaultRowHeight="14.25" zeroHeight="1" x14ac:dyDescent="0.2"/>
  <cols>
    <col min="1" max="1" width="14" style="462" bestFit="1" customWidth="1"/>
    <col min="2" max="2" width="105" style="462" customWidth="1"/>
    <col min="3" max="16384" width="9.140625" style="462" hidden="1"/>
  </cols>
  <sheetData>
    <row r="1" spans="1:2" ht="6" customHeight="1" thickBot="1" x14ac:dyDescent="0.25">
      <c r="A1" s="956" t="s">
        <v>8516</v>
      </c>
      <c r="B1" s="956"/>
    </row>
    <row r="2" spans="1:2" ht="18.75" thickBot="1" x14ac:dyDescent="0.3">
      <c r="A2" s="1000" t="s">
        <v>8920</v>
      </c>
      <c r="B2" s="1001"/>
    </row>
    <row r="3" spans="1:2" ht="30" customHeight="1" thickBot="1" x14ac:dyDescent="0.25">
      <c r="A3" s="1002" t="s">
        <v>10516</v>
      </c>
      <c r="B3" s="1003"/>
    </row>
    <row r="4" spans="1:2" ht="15" thickBot="1" x14ac:dyDescent="0.25">
      <c r="A4" s="970" t="s">
        <v>8567</v>
      </c>
      <c r="B4" s="970"/>
    </row>
    <row r="5" spans="1:2" ht="15.75" thickBot="1" x14ac:dyDescent="0.3">
      <c r="A5" s="494" t="s">
        <v>271</v>
      </c>
      <c r="B5" s="495" t="s">
        <v>270</v>
      </c>
    </row>
    <row r="6" spans="1:2" x14ac:dyDescent="0.2">
      <c r="A6" s="851" t="s">
        <v>2669</v>
      </c>
      <c r="B6" s="852" t="s">
        <v>2668</v>
      </c>
    </row>
    <row r="7" spans="1:2" x14ac:dyDescent="0.2">
      <c r="A7" s="649" t="s">
        <v>7848</v>
      </c>
      <c r="B7" s="796" t="s">
        <v>7847</v>
      </c>
    </row>
    <row r="8" spans="1:2" x14ac:dyDescent="0.2">
      <c r="A8" s="649" t="s">
        <v>7220</v>
      </c>
      <c r="B8" s="725" t="s">
        <v>7219</v>
      </c>
    </row>
    <row r="9" spans="1:2" x14ac:dyDescent="0.2">
      <c r="A9" s="649" t="s">
        <v>7670</v>
      </c>
      <c r="B9" s="725" t="s">
        <v>7669</v>
      </c>
    </row>
    <row r="10" spans="1:2" x14ac:dyDescent="0.2">
      <c r="A10" s="649" t="s">
        <v>1646</v>
      </c>
      <c r="B10" s="725" t="s">
        <v>1645</v>
      </c>
    </row>
    <row r="11" spans="1:2" x14ac:dyDescent="0.2">
      <c r="A11" s="649" t="s">
        <v>848</v>
      </c>
      <c r="B11" s="725" t="s">
        <v>847</v>
      </c>
    </row>
    <row r="12" spans="1:2" x14ac:dyDescent="0.2">
      <c r="A12" s="649" t="s">
        <v>7672</v>
      </c>
      <c r="B12" s="725" t="s">
        <v>7671</v>
      </c>
    </row>
    <row r="13" spans="1:2" x14ac:dyDescent="0.2">
      <c r="A13" s="649" t="s">
        <v>6594</v>
      </c>
      <c r="B13" s="725" t="s">
        <v>6593</v>
      </c>
    </row>
    <row r="14" spans="1:2" x14ac:dyDescent="0.2">
      <c r="A14" s="649" t="s">
        <v>7222</v>
      </c>
      <c r="B14" s="725" t="s">
        <v>7221</v>
      </c>
    </row>
    <row r="15" spans="1:2" x14ac:dyDescent="0.2">
      <c r="A15" s="649" t="s">
        <v>7856</v>
      </c>
      <c r="B15" s="725" t="s">
        <v>7855</v>
      </c>
    </row>
    <row r="16" spans="1:2" x14ac:dyDescent="0.2">
      <c r="A16" s="649" t="s">
        <v>6490</v>
      </c>
      <c r="B16" s="725" t="s">
        <v>6489</v>
      </c>
    </row>
    <row r="17" spans="1:2" x14ac:dyDescent="0.2">
      <c r="A17" s="649" t="s">
        <v>4141</v>
      </c>
      <c r="B17" s="725" t="s">
        <v>4140</v>
      </c>
    </row>
    <row r="18" spans="1:2" x14ac:dyDescent="0.2">
      <c r="A18" s="649" t="s">
        <v>6596</v>
      </c>
      <c r="B18" s="725" t="s">
        <v>6595</v>
      </c>
    </row>
    <row r="19" spans="1:2" x14ac:dyDescent="0.2">
      <c r="A19" s="649" t="s">
        <v>7674</v>
      </c>
      <c r="B19" s="725" t="s">
        <v>7673</v>
      </c>
    </row>
    <row r="20" spans="1:2" x14ac:dyDescent="0.2">
      <c r="A20" s="649" t="s">
        <v>5628</v>
      </c>
      <c r="B20" s="725" t="s">
        <v>5627</v>
      </c>
    </row>
    <row r="21" spans="1:2" x14ac:dyDescent="0.2">
      <c r="A21" s="649" t="s">
        <v>6260</v>
      </c>
      <c r="B21" s="725" t="s">
        <v>6259</v>
      </c>
    </row>
    <row r="22" spans="1:2" x14ac:dyDescent="0.2">
      <c r="A22" s="649" t="s">
        <v>3459</v>
      </c>
      <c r="B22" s="725" t="s">
        <v>3458</v>
      </c>
    </row>
    <row r="23" spans="1:2" x14ac:dyDescent="0.2">
      <c r="A23" s="649" t="s">
        <v>764</v>
      </c>
      <c r="B23" s="725" t="s">
        <v>763</v>
      </c>
    </row>
    <row r="24" spans="1:2" x14ac:dyDescent="0.2">
      <c r="A24" s="649" t="s">
        <v>5009</v>
      </c>
      <c r="B24" s="725" t="s">
        <v>5008</v>
      </c>
    </row>
    <row r="25" spans="1:2" x14ac:dyDescent="0.2">
      <c r="A25" s="649" t="s">
        <v>2195</v>
      </c>
      <c r="B25" s="725" t="s">
        <v>2194</v>
      </c>
    </row>
    <row r="26" spans="1:2" x14ac:dyDescent="0.2">
      <c r="A26" s="649" t="s">
        <v>2385</v>
      </c>
      <c r="B26" s="725" t="s">
        <v>2384</v>
      </c>
    </row>
    <row r="27" spans="1:2" x14ac:dyDescent="0.2">
      <c r="A27" s="649" t="s">
        <v>7224</v>
      </c>
      <c r="B27" s="725" t="s">
        <v>7223</v>
      </c>
    </row>
    <row r="28" spans="1:2" x14ac:dyDescent="0.2">
      <c r="A28" s="649" t="s">
        <v>6696</v>
      </c>
      <c r="B28" s="725" t="s">
        <v>6695</v>
      </c>
    </row>
    <row r="29" spans="1:2" x14ac:dyDescent="0.2">
      <c r="A29" s="649" t="s">
        <v>6674</v>
      </c>
      <c r="B29" s="725" t="s">
        <v>6673</v>
      </c>
    </row>
    <row r="30" spans="1:2" x14ac:dyDescent="0.2">
      <c r="A30" s="649" t="s">
        <v>5503</v>
      </c>
      <c r="B30" s="725" t="s">
        <v>5502</v>
      </c>
    </row>
    <row r="31" spans="1:2" x14ac:dyDescent="0.2">
      <c r="A31" s="649" t="s">
        <v>4143</v>
      </c>
      <c r="B31" s="725" t="s">
        <v>4142</v>
      </c>
    </row>
    <row r="32" spans="1:2" x14ac:dyDescent="0.2">
      <c r="A32" s="649" t="s">
        <v>7986</v>
      </c>
      <c r="B32" s="725" t="s">
        <v>7985</v>
      </c>
    </row>
    <row r="33" spans="1:2" x14ac:dyDescent="0.2">
      <c r="A33" s="649" t="s">
        <v>6270</v>
      </c>
      <c r="B33" s="725" t="s">
        <v>6269</v>
      </c>
    </row>
    <row r="34" spans="1:2" x14ac:dyDescent="0.2">
      <c r="A34" s="649" t="s">
        <v>4457</v>
      </c>
      <c r="B34" s="725" t="s">
        <v>4456</v>
      </c>
    </row>
    <row r="35" spans="1:2" x14ac:dyDescent="0.2">
      <c r="A35" s="649" t="s">
        <v>6272</v>
      </c>
      <c r="B35" s="725" t="s">
        <v>6271</v>
      </c>
    </row>
    <row r="36" spans="1:2" x14ac:dyDescent="0.2">
      <c r="A36" s="649" t="s">
        <v>5630</v>
      </c>
      <c r="B36" s="725" t="s">
        <v>5629</v>
      </c>
    </row>
    <row r="37" spans="1:2" x14ac:dyDescent="0.2">
      <c r="A37" s="649" t="s">
        <v>5011</v>
      </c>
      <c r="B37" s="725" t="s">
        <v>5010</v>
      </c>
    </row>
    <row r="38" spans="1:2" x14ac:dyDescent="0.2">
      <c r="A38" s="649" t="s">
        <v>7132</v>
      </c>
      <c r="B38" s="725" t="s">
        <v>7131</v>
      </c>
    </row>
    <row r="39" spans="1:2" x14ac:dyDescent="0.2">
      <c r="A39" s="649" t="s">
        <v>6424</v>
      </c>
      <c r="B39" s="725" t="s">
        <v>6423</v>
      </c>
    </row>
    <row r="40" spans="1:2" x14ac:dyDescent="0.2">
      <c r="A40" s="649" t="s">
        <v>7010</v>
      </c>
      <c r="B40" s="725" t="s">
        <v>7009</v>
      </c>
    </row>
    <row r="41" spans="1:2" x14ac:dyDescent="0.2">
      <c r="A41" s="649" t="s">
        <v>7012</v>
      </c>
      <c r="B41" s="725" t="s">
        <v>7011</v>
      </c>
    </row>
    <row r="42" spans="1:2" x14ac:dyDescent="0.2">
      <c r="A42" s="649" t="s">
        <v>7412</v>
      </c>
      <c r="B42" s="725" t="s">
        <v>7411</v>
      </c>
    </row>
    <row r="43" spans="1:2" x14ac:dyDescent="0.2">
      <c r="A43" s="649" t="s">
        <v>7952</v>
      </c>
      <c r="B43" s="725" t="s">
        <v>7951</v>
      </c>
    </row>
    <row r="44" spans="1:2" x14ac:dyDescent="0.2">
      <c r="A44" s="649" t="s">
        <v>4899</v>
      </c>
      <c r="B44" s="725" t="s">
        <v>4898</v>
      </c>
    </row>
    <row r="45" spans="1:2" x14ac:dyDescent="0.2">
      <c r="A45" s="649" t="s">
        <v>4513</v>
      </c>
      <c r="B45" s="725" t="s">
        <v>4512</v>
      </c>
    </row>
    <row r="46" spans="1:2" x14ac:dyDescent="0.2">
      <c r="A46" s="649" t="s">
        <v>6698</v>
      </c>
      <c r="B46" s="725" t="s">
        <v>6697</v>
      </c>
    </row>
    <row r="47" spans="1:2" x14ac:dyDescent="0.2">
      <c r="A47" s="649" t="s">
        <v>2295</v>
      </c>
      <c r="B47" s="725" t="s">
        <v>2294</v>
      </c>
    </row>
    <row r="48" spans="1:2" x14ac:dyDescent="0.2">
      <c r="A48" s="649" t="s">
        <v>5013</v>
      </c>
      <c r="B48" s="725" t="s">
        <v>5012</v>
      </c>
    </row>
    <row r="49" spans="1:2" x14ac:dyDescent="0.2">
      <c r="A49" s="649" t="s">
        <v>8096</v>
      </c>
      <c r="B49" s="725" t="s">
        <v>8095</v>
      </c>
    </row>
    <row r="50" spans="1:2" x14ac:dyDescent="0.2">
      <c r="A50" s="649" t="s">
        <v>7226</v>
      </c>
      <c r="B50" s="725" t="s">
        <v>7225</v>
      </c>
    </row>
    <row r="51" spans="1:2" x14ac:dyDescent="0.2">
      <c r="A51" s="649" t="s">
        <v>4135</v>
      </c>
      <c r="B51" s="725" t="s">
        <v>4134</v>
      </c>
    </row>
    <row r="52" spans="1:2" x14ac:dyDescent="0.2">
      <c r="A52" s="649" t="s">
        <v>4353</v>
      </c>
      <c r="B52" s="725" t="s">
        <v>4352</v>
      </c>
    </row>
    <row r="53" spans="1:2" x14ac:dyDescent="0.2">
      <c r="A53" s="649" t="s">
        <v>2671</v>
      </c>
      <c r="B53" s="725" t="s">
        <v>2670</v>
      </c>
    </row>
    <row r="54" spans="1:2" x14ac:dyDescent="0.2">
      <c r="A54" s="649" t="s">
        <v>3491</v>
      </c>
      <c r="B54" s="725" t="s">
        <v>3490</v>
      </c>
    </row>
    <row r="55" spans="1:2" x14ac:dyDescent="0.2">
      <c r="A55" s="649" t="s">
        <v>5632</v>
      </c>
      <c r="B55" s="725" t="s">
        <v>5631</v>
      </c>
    </row>
    <row r="56" spans="1:2" x14ac:dyDescent="0.2">
      <c r="A56" s="649" t="s">
        <v>5309</v>
      </c>
      <c r="B56" s="725" t="s">
        <v>5308</v>
      </c>
    </row>
    <row r="57" spans="1:2" x14ac:dyDescent="0.2">
      <c r="A57" s="649" t="s">
        <v>6700</v>
      </c>
      <c r="B57" s="725" t="s">
        <v>6699</v>
      </c>
    </row>
    <row r="58" spans="1:2" x14ac:dyDescent="0.2">
      <c r="A58" s="649" t="s">
        <v>5634</v>
      </c>
      <c r="B58" s="725" t="s">
        <v>5633</v>
      </c>
    </row>
    <row r="59" spans="1:2" x14ac:dyDescent="0.2">
      <c r="A59" s="649" t="s">
        <v>4799</v>
      </c>
      <c r="B59" s="725" t="s">
        <v>4798</v>
      </c>
    </row>
    <row r="60" spans="1:2" x14ac:dyDescent="0.2">
      <c r="A60" s="649" t="s">
        <v>2387</v>
      </c>
      <c r="B60" s="725" t="s">
        <v>2386</v>
      </c>
    </row>
    <row r="61" spans="1:2" x14ac:dyDescent="0.2">
      <c r="A61" s="649" t="s">
        <v>8098</v>
      </c>
      <c r="B61" s="725" t="s">
        <v>8097</v>
      </c>
    </row>
    <row r="62" spans="1:2" x14ac:dyDescent="0.2">
      <c r="A62" s="649" t="s">
        <v>5636</v>
      </c>
      <c r="B62" s="725" t="s">
        <v>5635</v>
      </c>
    </row>
    <row r="63" spans="1:2" x14ac:dyDescent="0.2">
      <c r="A63" s="649" t="s">
        <v>4701</v>
      </c>
      <c r="B63" s="725" t="s">
        <v>4700</v>
      </c>
    </row>
    <row r="64" spans="1:2" x14ac:dyDescent="0.2">
      <c r="A64" s="649" t="s">
        <v>5585</v>
      </c>
      <c r="B64" s="725" t="s">
        <v>5584</v>
      </c>
    </row>
    <row r="65" spans="1:2" x14ac:dyDescent="0.2">
      <c r="A65" s="649" t="s">
        <v>3901</v>
      </c>
      <c r="B65" s="725" t="s">
        <v>3900</v>
      </c>
    </row>
    <row r="66" spans="1:2" x14ac:dyDescent="0.2">
      <c r="A66" s="649" t="s">
        <v>3635</v>
      </c>
      <c r="B66" s="725" t="s">
        <v>3634</v>
      </c>
    </row>
    <row r="67" spans="1:2" x14ac:dyDescent="0.2">
      <c r="A67" s="649" t="s">
        <v>4901</v>
      </c>
      <c r="B67" s="725" t="s">
        <v>4900</v>
      </c>
    </row>
    <row r="68" spans="1:2" x14ac:dyDescent="0.2">
      <c r="A68" s="649" t="s">
        <v>4661</v>
      </c>
      <c r="B68" s="725" t="s">
        <v>4660</v>
      </c>
    </row>
    <row r="69" spans="1:2" x14ac:dyDescent="0.2">
      <c r="A69" s="649" t="s">
        <v>5638</v>
      </c>
      <c r="B69" s="725" t="s">
        <v>5637</v>
      </c>
    </row>
    <row r="70" spans="1:2" x14ac:dyDescent="0.2">
      <c r="A70" s="649" t="s">
        <v>7884</v>
      </c>
      <c r="B70" s="725" t="s">
        <v>7883</v>
      </c>
    </row>
    <row r="71" spans="1:2" x14ac:dyDescent="0.2">
      <c r="A71" s="649" t="s">
        <v>7676</v>
      </c>
      <c r="B71" s="725" t="s">
        <v>7675</v>
      </c>
    </row>
    <row r="72" spans="1:2" x14ac:dyDescent="0.2">
      <c r="A72" s="649" t="s">
        <v>5640</v>
      </c>
      <c r="B72" s="725" t="s">
        <v>5639</v>
      </c>
    </row>
    <row r="73" spans="1:2" x14ac:dyDescent="0.2">
      <c r="A73" s="649" t="s">
        <v>8100</v>
      </c>
      <c r="B73" s="725" t="s">
        <v>8099</v>
      </c>
    </row>
    <row r="74" spans="1:2" x14ac:dyDescent="0.2">
      <c r="A74" s="649" t="s">
        <v>7804</v>
      </c>
      <c r="B74" s="725" t="s">
        <v>7803</v>
      </c>
    </row>
    <row r="75" spans="1:2" x14ac:dyDescent="0.2">
      <c r="A75" s="649" t="s">
        <v>5505</v>
      </c>
      <c r="B75" s="725" t="s">
        <v>5504</v>
      </c>
    </row>
    <row r="76" spans="1:2" x14ac:dyDescent="0.2">
      <c r="A76" s="649" t="s">
        <v>6358</v>
      </c>
      <c r="B76" s="725" t="s">
        <v>6357</v>
      </c>
    </row>
    <row r="77" spans="1:2" x14ac:dyDescent="0.2">
      <c r="A77" s="649" t="s">
        <v>6492</v>
      </c>
      <c r="B77" s="725" t="s">
        <v>6491</v>
      </c>
    </row>
    <row r="78" spans="1:2" x14ac:dyDescent="0.2">
      <c r="A78" s="649" t="s">
        <v>5642</v>
      </c>
      <c r="B78" s="725" t="s">
        <v>5641</v>
      </c>
    </row>
    <row r="79" spans="1:2" x14ac:dyDescent="0.2">
      <c r="A79" s="649" t="s">
        <v>2673</v>
      </c>
      <c r="B79" s="725" t="s">
        <v>2672</v>
      </c>
    </row>
    <row r="80" spans="1:2" x14ac:dyDescent="0.2">
      <c r="A80" s="649" t="s">
        <v>628</v>
      </c>
      <c r="B80" s="725" t="s">
        <v>627</v>
      </c>
    </row>
    <row r="81" spans="1:2" x14ac:dyDescent="0.2">
      <c r="A81" s="649" t="s">
        <v>6598</v>
      </c>
      <c r="B81" s="725" t="s">
        <v>6597</v>
      </c>
    </row>
    <row r="82" spans="1:2" x14ac:dyDescent="0.2">
      <c r="A82" s="649" t="s">
        <v>4449</v>
      </c>
      <c r="B82" s="725" t="s">
        <v>4448</v>
      </c>
    </row>
    <row r="83" spans="1:2" x14ac:dyDescent="0.2">
      <c r="A83" s="649" t="s">
        <v>6702</v>
      </c>
      <c r="B83" s="725" t="s">
        <v>6701</v>
      </c>
    </row>
    <row r="84" spans="1:2" x14ac:dyDescent="0.2">
      <c r="A84" s="649" t="s">
        <v>5059</v>
      </c>
      <c r="B84" s="725" t="s">
        <v>5058</v>
      </c>
    </row>
    <row r="85" spans="1:2" x14ac:dyDescent="0.2">
      <c r="A85" s="649" t="s">
        <v>3619</v>
      </c>
      <c r="B85" s="725" t="s">
        <v>3618</v>
      </c>
    </row>
    <row r="86" spans="1:2" x14ac:dyDescent="0.2">
      <c r="A86" s="649" t="s">
        <v>5015</v>
      </c>
      <c r="B86" s="725" t="s">
        <v>5014</v>
      </c>
    </row>
    <row r="87" spans="1:2" x14ac:dyDescent="0.2">
      <c r="A87" s="649" t="s">
        <v>7414</v>
      </c>
      <c r="B87" s="725" t="s">
        <v>7413</v>
      </c>
    </row>
    <row r="88" spans="1:2" x14ac:dyDescent="0.2">
      <c r="A88" s="649" t="s">
        <v>1648</v>
      </c>
      <c r="B88" s="725" t="s">
        <v>1647</v>
      </c>
    </row>
    <row r="89" spans="1:2" x14ac:dyDescent="0.2">
      <c r="A89" s="649" t="s">
        <v>8102</v>
      </c>
      <c r="B89" s="725" t="s">
        <v>8101</v>
      </c>
    </row>
    <row r="90" spans="1:2" x14ac:dyDescent="0.2">
      <c r="A90" s="649" t="s">
        <v>4355</v>
      </c>
      <c r="B90" s="725" t="s">
        <v>4354</v>
      </c>
    </row>
    <row r="91" spans="1:2" ht="28.5" x14ac:dyDescent="0.2">
      <c r="A91" s="649" t="s">
        <v>5644</v>
      </c>
      <c r="B91" s="725" t="s">
        <v>5643</v>
      </c>
    </row>
    <row r="92" spans="1:2" x14ac:dyDescent="0.2">
      <c r="A92" s="649" t="s">
        <v>5646</v>
      </c>
      <c r="B92" s="725" t="s">
        <v>5645</v>
      </c>
    </row>
    <row r="93" spans="1:2" x14ac:dyDescent="0.2">
      <c r="A93" s="649" t="s">
        <v>8250</v>
      </c>
      <c r="B93" s="725" t="s">
        <v>8249</v>
      </c>
    </row>
    <row r="94" spans="1:2" x14ac:dyDescent="0.2">
      <c r="A94" s="649" t="s">
        <v>6704</v>
      </c>
      <c r="B94" s="725" t="s">
        <v>6703</v>
      </c>
    </row>
    <row r="95" spans="1:2" x14ac:dyDescent="0.2">
      <c r="A95" s="649" t="s">
        <v>6706</v>
      </c>
      <c r="B95" s="725" t="s">
        <v>6705</v>
      </c>
    </row>
    <row r="96" spans="1:2" x14ac:dyDescent="0.2">
      <c r="A96" s="649" t="s">
        <v>3721</v>
      </c>
      <c r="B96" s="725" t="s">
        <v>3720</v>
      </c>
    </row>
    <row r="97" spans="1:2" x14ac:dyDescent="0.2">
      <c r="A97" s="649" t="s">
        <v>8032</v>
      </c>
      <c r="B97" s="725" t="s">
        <v>8031</v>
      </c>
    </row>
    <row r="98" spans="1:2" x14ac:dyDescent="0.2">
      <c r="A98" s="649" t="s">
        <v>487</v>
      </c>
      <c r="B98" s="725" t="s">
        <v>486</v>
      </c>
    </row>
    <row r="99" spans="1:2" x14ac:dyDescent="0.2">
      <c r="A99" s="649" t="s">
        <v>6676</v>
      </c>
      <c r="B99" s="725" t="s">
        <v>6675</v>
      </c>
    </row>
    <row r="100" spans="1:2" x14ac:dyDescent="0.2">
      <c r="A100" s="649" t="s">
        <v>6600</v>
      </c>
      <c r="B100" s="725" t="s">
        <v>6599</v>
      </c>
    </row>
    <row r="101" spans="1:2" x14ac:dyDescent="0.2">
      <c r="A101" s="649" t="s">
        <v>5061</v>
      </c>
      <c r="B101" s="725" t="s">
        <v>5060</v>
      </c>
    </row>
    <row r="102" spans="1:2" x14ac:dyDescent="0.2">
      <c r="A102" s="649" t="s">
        <v>2675</v>
      </c>
      <c r="B102" s="725" t="s">
        <v>2674</v>
      </c>
    </row>
    <row r="103" spans="1:2" x14ac:dyDescent="0.2">
      <c r="A103" s="649" t="s">
        <v>4145</v>
      </c>
      <c r="B103" s="725" t="s">
        <v>4144</v>
      </c>
    </row>
    <row r="104" spans="1:2" x14ac:dyDescent="0.2">
      <c r="A104" s="649" t="s">
        <v>5385</v>
      </c>
      <c r="B104" s="725" t="s">
        <v>5384</v>
      </c>
    </row>
    <row r="105" spans="1:2" x14ac:dyDescent="0.2">
      <c r="A105" s="649" t="s">
        <v>6708</v>
      </c>
      <c r="B105" s="725" t="s">
        <v>6707</v>
      </c>
    </row>
    <row r="106" spans="1:2" x14ac:dyDescent="0.2">
      <c r="A106" s="649" t="s">
        <v>6678</v>
      </c>
      <c r="B106" s="725" t="s">
        <v>6677</v>
      </c>
    </row>
    <row r="107" spans="1:2" x14ac:dyDescent="0.2">
      <c r="A107" s="649" t="s">
        <v>5648</v>
      </c>
      <c r="B107" s="725" t="s">
        <v>5647</v>
      </c>
    </row>
    <row r="108" spans="1:2" x14ac:dyDescent="0.2">
      <c r="A108" s="649" t="s">
        <v>5650</v>
      </c>
      <c r="B108" s="725" t="s">
        <v>5649</v>
      </c>
    </row>
    <row r="109" spans="1:2" x14ac:dyDescent="0.2">
      <c r="A109" s="649" t="s">
        <v>7886</v>
      </c>
      <c r="B109" s="725" t="s">
        <v>7885</v>
      </c>
    </row>
    <row r="110" spans="1:2" x14ac:dyDescent="0.2">
      <c r="A110" s="649" t="s">
        <v>630</v>
      </c>
      <c r="B110" s="725" t="s">
        <v>629</v>
      </c>
    </row>
    <row r="111" spans="1:2" x14ac:dyDescent="0.2">
      <c r="A111" s="649" t="s">
        <v>7678</v>
      </c>
      <c r="B111" s="725" t="s">
        <v>7677</v>
      </c>
    </row>
    <row r="112" spans="1:2" x14ac:dyDescent="0.2">
      <c r="A112" s="649" t="s">
        <v>2061</v>
      </c>
      <c r="B112" s="725" t="s">
        <v>2060</v>
      </c>
    </row>
    <row r="113" spans="1:2" x14ac:dyDescent="0.2">
      <c r="A113" s="649" t="s">
        <v>2197</v>
      </c>
      <c r="B113" s="725" t="s">
        <v>2196</v>
      </c>
    </row>
    <row r="114" spans="1:2" x14ac:dyDescent="0.2">
      <c r="A114" s="649" t="s">
        <v>4647</v>
      </c>
      <c r="B114" s="725" t="s">
        <v>4646</v>
      </c>
    </row>
    <row r="115" spans="1:2" x14ac:dyDescent="0.2">
      <c r="A115" s="649" t="s">
        <v>2063</v>
      </c>
      <c r="B115" s="725" t="s">
        <v>2062</v>
      </c>
    </row>
    <row r="116" spans="1:2" x14ac:dyDescent="0.2">
      <c r="A116" s="649" t="s">
        <v>928</v>
      </c>
      <c r="B116" s="725" t="s">
        <v>927</v>
      </c>
    </row>
    <row r="117" spans="1:2" x14ac:dyDescent="0.2">
      <c r="A117" s="649" t="s">
        <v>5652</v>
      </c>
      <c r="B117" s="725" t="s">
        <v>5651</v>
      </c>
    </row>
    <row r="118" spans="1:2" x14ac:dyDescent="0.2">
      <c r="A118" s="649" t="s">
        <v>2677</v>
      </c>
      <c r="B118" s="725" t="s">
        <v>2676</v>
      </c>
    </row>
    <row r="119" spans="1:2" x14ac:dyDescent="0.2">
      <c r="A119" s="649" t="s">
        <v>2389</v>
      </c>
      <c r="B119" s="725" t="s">
        <v>2388</v>
      </c>
    </row>
    <row r="120" spans="1:2" x14ac:dyDescent="0.2">
      <c r="A120" s="649" t="s">
        <v>4835</v>
      </c>
      <c r="B120" s="725" t="s">
        <v>4834</v>
      </c>
    </row>
    <row r="121" spans="1:2" x14ac:dyDescent="0.2">
      <c r="A121" s="649" t="s">
        <v>2391</v>
      </c>
      <c r="B121" s="725" t="s">
        <v>2390</v>
      </c>
    </row>
    <row r="122" spans="1:2" x14ac:dyDescent="0.2">
      <c r="A122" s="649" t="s">
        <v>2393</v>
      </c>
      <c r="B122" s="725" t="s">
        <v>2392</v>
      </c>
    </row>
    <row r="123" spans="1:2" x14ac:dyDescent="0.2">
      <c r="A123" s="649" t="s">
        <v>5507</v>
      </c>
      <c r="B123" s="725" t="s">
        <v>5506</v>
      </c>
    </row>
    <row r="124" spans="1:2" x14ac:dyDescent="0.2">
      <c r="A124" s="649" t="s">
        <v>2395</v>
      </c>
      <c r="B124" s="725" t="s">
        <v>2394</v>
      </c>
    </row>
    <row r="125" spans="1:2" x14ac:dyDescent="0.2">
      <c r="A125" s="649" t="s">
        <v>6274</v>
      </c>
      <c r="B125" s="725" t="s">
        <v>6273</v>
      </c>
    </row>
    <row r="126" spans="1:2" x14ac:dyDescent="0.2">
      <c r="A126" s="649" t="s">
        <v>4241</v>
      </c>
      <c r="B126" s="725" t="s">
        <v>4240</v>
      </c>
    </row>
    <row r="127" spans="1:2" x14ac:dyDescent="0.2">
      <c r="A127" s="649" t="s">
        <v>6710</v>
      </c>
      <c r="B127" s="725" t="s">
        <v>6709</v>
      </c>
    </row>
    <row r="128" spans="1:2" x14ac:dyDescent="0.2">
      <c r="A128" s="649" t="s">
        <v>1602</v>
      </c>
      <c r="B128" s="725" t="s">
        <v>1601</v>
      </c>
    </row>
    <row r="129" spans="1:2" x14ac:dyDescent="0.2">
      <c r="A129" s="649" t="s">
        <v>7416</v>
      </c>
      <c r="B129" s="725" t="s">
        <v>7415</v>
      </c>
    </row>
    <row r="130" spans="1:2" x14ac:dyDescent="0.2">
      <c r="A130" s="649" t="s">
        <v>8104</v>
      </c>
      <c r="B130" s="725" t="s">
        <v>8103</v>
      </c>
    </row>
    <row r="131" spans="1:2" x14ac:dyDescent="0.2">
      <c r="A131" s="649" t="s">
        <v>8106</v>
      </c>
      <c r="B131" s="725" t="s">
        <v>8105</v>
      </c>
    </row>
    <row r="132" spans="1:2" x14ac:dyDescent="0.2">
      <c r="A132" s="649" t="s">
        <v>5477</v>
      </c>
      <c r="B132" s="725" t="s">
        <v>5476</v>
      </c>
    </row>
    <row r="133" spans="1:2" x14ac:dyDescent="0.2">
      <c r="A133" s="649" t="s">
        <v>974</v>
      </c>
      <c r="B133" s="725" t="s">
        <v>973</v>
      </c>
    </row>
    <row r="134" spans="1:2" x14ac:dyDescent="0.2">
      <c r="A134" s="649" t="s">
        <v>3737</v>
      </c>
      <c r="B134" s="725" t="s">
        <v>3736</v>
      </c>
    </row>
    <row r="135" spans="1:2" x14ac:dyDescent="0.2">
      <c r="A135" s="649" t="s">
        <v>4243</v>
      </c>
      <c r="B135" s="725" t="s">
        <v>4242</v>
      </c>
    </row>
    <row r="136" spans="1:2" x14ac:dyDescent="0.2">
      <c r="A136" s="649" t="s">
        <v>5587</v>
      </c>
      <c r="B136" s="725" t="s">
        <v>5586</v>
      </c>
    </row>
    <row r="137" spans="1:2" x14ac:dyDescent="0.2">
      <c r="A137" s="649" t="s">
        <v>4451</v>
      </c>
      <c r="B137" s="725" t="s">
        <v>4450</v>
      </c>
    </row>
    <row r="138" spans="1:2" x14ac:dyDescent="0.2">
      <c r="A138" s="649" t="s">
        <v>4147</v>
      </c>
      <c r="B138" s="725" t="s">
        <v>4146</v>
      </c>
    </row>
    <row r="139" spans="1:2" x14ac:dyDescent="0.2">
      <c r="A139" s="649" t="s">
        <v>1424</v>
      </c>
      <c r="B139" s="725" t="s">
        <v>1423</v>
      </c>
    </row>
    <row r="140" spans="1:2" x14ac:dyDescent="0.2">
      <c r="A140" s="649" t="s">
        <v>5589</v>
      </c>
      <c r="B140" s="725" t="s">
        <v>5588</v>
      </c>
    </row>
    <row r="141" spans="1:2" x14ac:dyDescent="0.2">
      <c r="A141" s="649" t="s">
        <v>7382</v>
      </c>
      <c r="B141" s="725" t="s">
        <v>7381</v>
      </c>
    </row>
    <row r="142" spans="1:2" x14ac:dyDescent="0.2">
      <c r="A142" s="649" t="s">
        <v>5123</v>
      </c>
      <c r="B142" s="725" t="s">
        <v>5122</v>
      </c>
    </row>
    <row r="143" spans="1:2" x14ac:dyDescent="0.2">
      <c r="A143" s="649" t="s">
        <v>3903</v>
      </c>
      <c r="B143" s="725" t="s">
        <v>3902</v>
      </c>
    </row>
    <row r="144" spans="1:2" x14ac:dyDescent="0.2">
      <c r="A144" s="649" t="s">
        <v>7680</v>
      </c>
      <c r="B144" s="725" t="s">
        <v>7679</v>
      </c>
    </row>
    <row r="145" spans="1:2" x14ac:dyDescent="0.2">
      <c r="A145" s="649" t="s">
        <v>3637</v>
      </c>
      <c r="B145" s="725" t="s">
        <v>3636</v>
      </c>
    </row>
    <row r="146" spans="1:2" x14ac:dyDescent="0.2">
      <c r="A146" s="649" t="s">
        <v>1518</v>
      </c>
      <c r="B146" s="725" t="s">
        <v>1517</v>
      </c>
    </row>
    <row r="147" spans="1:2" x14ac:dyDescent="0.2">
      <c r="A147" s="649" t="s">
        <v>5654</v>
      </c>
      <c r="B147" s="725" t="s">
        <v>5653</v>
      </c>
    </row>
    <row r="148" spans="1:2" x14ac:dyDescent="0.2">
      <c r="A148" s="649" t="s">
        <v>5656</v>
      </c>
      <c r="B148" s="725" t="s">
        <v>5655</v>
      </c>
    </row>
    <row r="149" spans="1:2" x14ac:dyDescent="0.2">
      <c r="A149" s="649" t="s">
        <v>4149</v>
      </c>
      <c r="B149" s="725" t="s">
        <v>4148</v>
      </c>
    </row>
    <row r="150" spans="1:2" x14ac:dyDescent="0.2">
      <c r="A150" s="649" t="s">
        <v>3639</v>
      </c>
      <c r="B150" s="725" t="s">
        <v>3638</v>
      </c>
    </row>
    <row r="151" spans="1:2" x14ac:dyDescent="0.2">
      <c r="A151" s="649" t="s">
        <v>2397</v>
      </c>
      <c r="B151" s="725" t="s">
        <v>2396</v>
      </c>
    </row>
    <row r="152" spans="1:2" x14ac:dyDescent="0.2">
      <c r="A152" s="649" t="s">
        <v>1787</v>
      </c>
      <c r="B152" s="725" t="s">
        <v>1786</v>
      </c>
    </row>
    <row r="153" spans="1:2" x14ac:dyDescent="0.2">
      <c r="A153" s="649" t="s">
        <v>4801</v>
      </c>
      <c r="B153" s="725" t="s">
        <v>4800</v>
      </c>
    </row>
    <row r="154" spans="1:2" x14ac:dyDescent="0.2">
      <c r="A154" s="649" t="s">
        <v>2233</v>
      </c>
      <c r="B154" s="725" t="s">
        <v>2232</v>
      </c>
    </row>
    <row r="155" spans="1:2" x14ac:dyDescent="0.2">
      <c r="A155" s="649" t="s">
        <v>6602</v>
      </c>
      <c r="B155" s="725" t="s">
        <v>6601</v>
      </c>
    </row>
    <row r="156" spans="1:2" x14ac:dyDescent="0.2">
      <c r="A156" s="649" t="s">
        <v>4101</v>
      </c>
      <c r="B156" s="725" t="s">
        <v>4100</v>
      </c>
    </row>
    <row r="157" spans="1:2" x14ac:dyDescent="0.2">
      <c r="A157" s="649" t="s">
        <v>5479</v>
      </c>
      <c r="B157" s="725" t="s">
        <v>5478</v>
      </c>
    </row>
    <row r="158" spans="1:2" ht="28.5" x14ac:dyDescent="0.2">
      <c r="A158" s="649" t="s">
        <v>5541</v>
      </c>
      <c r="B158" s="725" t="s">
        <v>5540</v>
      </c>
    </row>
    <row r="159" spans="1:2" ht="28.5" x14ac:dyDescent="0.2">
      <c r="A159" s="649" t="s">
        <v>5543</v>
      </c>
      <c r="B159" s="725" t="s">
        <v>5542</v>
      </c>
    </row>
    <row r="160" spans="1:2" x14ac:dyDescent="0.2">
      <c r="A160" s="649" t="s">
        <v>2399</v>
      </c>
      <c r="B160" s="725" t="s">
        <v>2398</v>
      </c>
    </row>
    <row r="161" spans="1:2" x14ac:dyDescent="0.2">
      <c r="A161" s="649" t="s">
        <v>5251</v>
      </c>
      <c r="B161" s="725" t="s">
        <v>5250</v>
      </c>
    </row>
    <row r="162" spans="1:2" x14ac:dyDescent="0.2">
      <c r="A162" s="649" t="s">
        <v>5658</v>
      </c>
      <c r="B162" s="725" t="s">
        <v>5657</v>
      </c>
    </row>
    <row r="163" spans="1:2" x14ac:dyDescent="0.2">
      <c r="A163" s="649" t="s">
        <v>4151</v>
      </c>
      <c r="B163" s="725" t="s">
        <v>4150</v>
      </c>
    </row>
    <row r="164" spans="1:2" x14ac:dyDescent="0.2">
      <c r="A164" s="649" t="s">
        <v>1921</v>
      </c>
      <c r="B164" s="725" t="s">
        <v>1920</v>
      </c>
    </row>
    <row r="165" spans="1:2" x14ac:dyDescent="0.2">
      <c r="A165" s="649" t="s">
        <v>6276</v>
      </c>
      <c r="B165" s="725" t="s">
        <v>6275</v>
      </c>
    </row>
    <row r="166" spans="1:2" x14ac:dyDescent="0.2">
      <c r="A166" s="649" t="s">
        <v>6278</v>
      </c>
      <c r="B166" s="725" t="s">
        <v>6277</v>
      </c>
    </row>
    <row r="167" spans="1:2" x14ac:dyDescent="0.2">
      <c r="A167" s="649" t="s">
        <v>7228</v>
      </c>
      <c r="B167" s="725" t="s">
        <v>7227</v>
      </c>
    </row>
    <row r="168" spans="1:2" x14ac:dyDescent="0.2">
      <c r="A168" s="649" t="s">
        <v>4085</v>
      </c>
      <c r="B168" s="725" t="s">
        <v>4084</v>
      </c>
    </row>
    <row r="169" spans="1:2" x14ac:dyDescent="0.2">
      <c r="A169" s="649" t="s">
        <v>7888</v>
      </c>
      <c r="B169" s="725" t="s">
        <v>7887</v>
      </c>
    </row>
    <row r="170" spans="1:2" x14ac:dyDescent="0.2">
      <c r="A170" s="649" t="s">
        <v>1604</v>
      </c>
      <c r="B170" s="725" t="s">
        <v>1603</v>
      </c>
    </row>
    <row r="171" spans="1:2" x14ac:dyDescent="0.2">
      <c r="A171" s="649" t="s">
        <v>5660</v>
      </c>
      <c r="B171" s="725" t="s">
        <v>5659</v>
      </c>
    </row>
    <row r="172" spans="1:2" x14ac:dyDescent="0.2">
      <c r="A172" s="649" t="s">
        <v>4933</v>
      </c>
      <c r="B172" s="725" t="s">
        <v>4932</v>
      </c>
    </row>
    <row r="173" spans="1:2" x14ac:dyDescent="0.2">
      <c r="A173" s="649" t="s">
        <v>5125</v>
      </c>
      <c r="B173" s="725" t="s">
        <v>5124</v>
      </c>
    </row>
    <row r="174" spans="1:2" x14ac:dyDescent="0.2">
      <c r="A174" s="649" t="s">
        <v>4703</v>
      </c>
      <c r="B174" s="725" t="s">
        <v>4702</v>
      </c>
    </row>
    <row r="175" spans="1:2" x14ac:dyDescent="0.2">
      <c r="A175" s="649" t="s">
        <v>3641</v>
      </c>
      <c r="B175" s="725" t="s">
        <v>3640</v>
      </c>
    </row>
    <row r="176" spans="1:2" x14ac:dyDescent="0.2">
      <c r="A176" s="649" t="s">
        <v>2065</v>
      </c>
      <c r="B176" s="725" t="s">
        <v>2064</v>
      </c>
    </row>
    <row r="177" spans="1:2" x14ac:dyDescent="0.2">
      <c r="A177" s="649" t="s">
        <v>2401</v>
      </c>
      <c r="B177" s="725" t="s">
        <v>2400</v>
      </c>
    </row>
    <row r="178" spans="1:2" x14ac:dyDescent="0.2">
      <c r="A178" s="649" t="s">
        <v>5509</v>
      </c>
      <c r="B178" s="725" t="s">
        <v>5508</v>
      </c>
    </row>
    <row r="179" spans="1:2" x14ac:dyDescent="0.2">
      <c r="A179" s="649" t="s">
        <v>6494</v>
      </c>
      <c r="B179" s="725" t="s">
        <v>6493</v>
      </c>
    </row>
    <row r="180" spans="1:2" x14ac:dyDescent="0.2">
      <c r="A180" s="649" t="s">
        <v>5481</v>
      </c>
      <c r="B180" s="725" t="s">
        <v>5480</v>
      </c>
    </row>
    <row r="181" spans="1:2" x14ac:dyDescent="0.2">
      <c r="A181" s="649" t="s">
        <v>4153</v>
      </c>
      <c r="B181" s="725" t="s">
        <v>4152</v>
      </c>
    </row>
    <row r="182" spans="1:2" x14ac:dyDescent="0.2">
      <c r="A182" s="649" t="s">
        <v>6482</v>
      </c>
      <c r="B182" s="725" t="s">
        <v>6481</v>
      </c>
    </row>
    <row r="183" spans="1:2" x14ac:dyDescent="0.2">
      <c r="A183" s="649" t="s">
        <v>6604</v>
      </c>
      <c r="B183" s="725" t="s">
        <v>6603</v>
      </c>
    </row>
    <row r="184" spans="1:2" x14ac:dyDescent="0.2">
      <c r="A184" s="649" t="s">
        <v>1426</v>
      </c>
      <c r="B184" s="725" t="s">
        <v>1425</v>
      </c>
    </row>
    <row r="185" spans="1:2" x14ac:dyDescent="0.2">
      <c r="A185" s="649" t="s">
        <v>6606</v>
      </c>
      <c r="B185" s="725" t="s">
        <v>6605</v>
      </c>
    </row>
    <row r="186" spans="1:2" x14ac:dyDescent="0.2">
      <c r="A186" s="649" t="s">
        <v>568</v>
      </c>
      <c r="B186" s="725" t="s">
        <v>567</v>
      </c>
    </row>
    <row r="187" spans="1:2" x14ac:dyDescent="0.2">
      <c r="A187" s="649" t="s">
        <v>5662</v>
      </c>
      <c r="B187" s="725" t="s">
        <v>5661</v>
      </c>
    </row>
    <row r="188" spans="1:2" x14ac:dyDescent="0.2">
      <c r="A188" s="649" t="s">
        <v>960</v>
      </c>
      <c r="B188" s="725" t="s">
        <v>959</v>
      </c>
    </row>
    <row r="189" spans="1:2" x14ac:dyDescent="0.2">
      <c r="A189" s="649" t="s">
        <v>6496</v>
      </c>
      <c r="B189" s="725" t="s">
        <v>6495</v>
      </c>
    </row>
    <row r="190" spans="1:2" x14ac:dyDescent="0.2">
      <c r="A190" s="649" t="s">
        <v>2039</v>
      </c>
      <c r="B190" s="725" t="s">
        <v>2038</v>
      </c>
    </row>
    <row r="191" spans="1:2" x14ac:dyDescent="0.2">
      <c r="A191" s="649" t="s">
        <v>4245</v>
      </c>
      <c r="B191" s="725" t="s">
        <v>4244</v>
      </c>
    </row>
    <row r="192" spans="1:2" x14ac:dyDescent="0.2">
      <c r="A192" s="649" t="s">
        <v>6262</v>
      </c>
      <c r="B192" s="725" t="s">
        <v>6261</v>
      </c>
    </row>
    <row r="193" spans="1:2" x14ac:dyDescent="0.2">
      <c r="A193" s="649" t="s">
        <v>7682</v>
      </c>
      <c r="B193" s="725" t="s">
        <v>7681</v>
      </c>
    </row>
    <row r="194" spans="1:2" x14ac:dyDescent="0.2">
      <c r="A194" s="649" t="s">
        <v>4705</v>
      </c>
      <c r="B194" s="725" t="s">
        <v>4704</v>
      </c>
    </row>
    <row r="195" spans="1:2" x14ac:dyDescent="0.2">
      <c r="A195" s="649" t="s">
        <v>5664</v>
      </c>
      <c r="B195" s="725" t="s">
        <v>5663</v>
      </c>
    </row>
    <row r="196" spans="1:2" x14ac:dyDescent="0.2">
      <c r="A196" s="649" t="s">
        <v>6498</v>
      </c>
      <c r="B196" s="725" t="s">
        <v>6497</v>
      </c>
    </row>
    <row r="197" spans="1:2" x14ac:dyDescent="0.2">
      <c r="A197" s="649" t="s">
        <v>1428</v>
      </c>
      <c r="B197" s="725" t="s">
        <v>1427</v>
      </c>
    </row>
    <row r="198" spans="1:2" x14ac:dyDescent="0.2">
      <c r="A198" s="649" t="s">
        <v>7154</v>
      </c>
      <c r="B198" s="725" t="s">
        <v>7153</v>
      </c>
    </row>
    <row r="199" spans="1:2" x14ac:dyDescent="0.2">
      <c r="A199" s="649" t="s">
        <v>5666</v>
      </c>
      <c r="B199" s="725" t="s">
        <v>5665</v>
      </c>
    </row>
    <row r="200" spans="1:2" x14ac:dyDescent="0.2">
      <c r="A200" s="649" t="s">
        <v>2403</v>
      </c>
      <c r="B200" s="725" t="s">
        <v>2402</v>
      </c>
    </row>
    <row r="201" spans="1:2" x14ac:dyDescent="0.2">
      <c r="A201" s="649" t="s">
        <v>6680</v>
      </c>
      <c r="B201" s="725" t="s">
        <v>6679</v>
      </c>
    </row>
    <row r="202" spans="1:2" x14ac:dyDescent="0.2">
      <c r="A202" s="649" t="s">
        <v>4401</v>
      </c>
      <c r="B202" s="725" t="s">
        <v>4400</v>
      </c>
    </row>
    <row r="203" spans="1:2" x14ac:dyDescent="0.2">
      <c r="A203" s="649" t="s">
        <v>6500</v>
      </c>
      <c r="B203" s="725" t="s">
        <v>6499</v>
      </c>
    </row>
    <row r="204" spans="1:2" x14ac:dyDescent="0.2">
      <c r="A204" s="649" t="s">
        <v>7046</v>
      </c>
      <c r="B204" s="725" t="s">
        <v>7045</v>
      </c>
    </row>
    <row r="205" spans="1:2" x14ac:dyDescent="0.2">
      <c r="A205" s="649" t="s">
        <v>8108</v>
      </c>
      <c r="B205" s="725" t="s">
        <v>8107</v>
      </c>
    </row>
    <row r="206" spans="1:2" x14ac:dyDescent="0.2">
      <c r="A206" s="649" t="s">
        <v>930</v>
      </c>
      <c r="B206" s="725" t="s">
        <v>929</v>
      </c>
    </row>
    <row r="207" spans="1:2" x14ac:dyDescent="0.2">
      <c r="A207" s="649" t="s">
        <v>4431</v>
      </c>
      <c r="B207" s="725" t="s">
        <v>4430</v>
      </c>
    </row>
    <row r="208" spans="1:2" x14ac:dyDescent="0.2">
      <c r="A208" s="649" t="s">
        <v>4247</v>
      </c>
      <c r="B208" s="725" t="s">
        <v>4246</v>
      </c>
    </row>
    <row r="209" spans="1:2" x14ac:dyDescent="0.2">
      <c r="A209" s="649" t="s">
        <v>6608</v>
      </c>
      <c r="B209" s="725" t="s">
        <v>6607</v>
      </c>
    </row>
    <row r="210" spans="1:2" x14ac:dyDescent="0.2">
      <c r="A210" s="649" t="s">
        <v>1520</v>
      </c>
      <c r="B210" s="725" t="s">
        <v>1519</v>
      </c>
    </row>
    <row r="211" spans="1:2" x14ac:dyDescent="0.2">
      <c r="A211" s="649" t="s">
        <v>976</v>
      </c>
      <c r="B211" s="725" t="s">
        <v>975</v>
      </c>
    </row>
    <row r="212" spans="1:2" x14ac:dyDescent="0.2">
      <c r="A212" s="649" t="s">
        <v>1819</v>
      </c>
      <c r="B212" s="725" t="s">
        <v>1818</v>
      </c>
    </row>
    <row r="213" spans="1:2" x14ac:dyDescent="0.2">
      <c r="A213" s="649" t="s">
        <v>4747</v>
      </c>
      <c r="B213" s="725" t="s">
        <v>4746</v>
      </c>
    </row>
    <row r="214" spans="1:2" x14ac:dyDescent="0.2">
      <c r="A214" s="649" t="s">
        <v>5668</v>
      </c>
      <c r="B214" s="725" t="s">
        <v>5667</v>
      </c>
    </row>
    <row r="215" spans="1:2" x14ac:dyDescent="0.2">
      <c r="A215" s="649" t="s">
        <v>4155</v>
      </c>
      <c r="B215" s="725" t="s">
        <v>4154</v>
      </c>
    </row>
    <row r="216" spans="1:2" x14ac:dyDescent="0.2">
      <c r="A216" s="649" t="s">
        <v>4935</v>
      </c>
      <c r="B216" s="725" t="s">
        <v>4934</v>
      </c>
    </row>
    <row r="217" spans="1:2" x14ac:dyDescent="0.2">
      <c r="A217" s="649" t="s">
        <v>3473</v>
      </c>
      <c r="B217" s="725" t="s">
        <v>3472</v>
      </c>
    </row>
    <row r="218" spans="1:2" x14ac:dyDescent="0.2">
      <c r="A218" s="649" t="s">
        <v>4391</v>
      </c>
      <c r="B218" s="725" t="s">
        <v>4390</v>
      </c>
    </row>
    <row r="219" spans="1:2" x14ac:dyDescent="0.2">
      <c r="A219" s="649" t="s">
        <v>846</v>
      </c>
      <c r="B219" s="725" t="s">
        <v>845</v>
      </c>
    </row>
    <row r="220" spans="1:2" x14ac:dyDescent="0.2">
      <c r="A220" s="649" t="s">
        <v>1923</v>
      </c>
      <c r="B220" s="725" t="s">
        <v>1922</v>
      </c>
    </row>
    <row r="221" spans="1:2" x14ac:dyDescent="0.2">
      <c r="A221" s="649" t="s">
        <v>5670</v>
      </c>
      <c r="B221" s="725" t="s">
        <v>5669</v>
      </c>
    </row>
    <row r="222" spans="1:2" x14ac:dyDescent="0.2">
      <c r="A222" s="649" t="s">
        <v>2049</v>
      </c>
      <c r="B222" s="725" t="s">
        <v>2048</v>
      </c>
    </row>
    <row r="223" spans="1:2" x14ac:dyDescent="0.2">
      <c r="A223" s="649" t="s">
        <v>6988</v>
      </c>
      <c r="B223" s="725" t="s">
        <v>6987</v>
      </c>
    </row>
    <row r="224" spans="1:2" x14ac:dyDescent="0.2">
      <c r="A224" s="649" t="s">
        <v>4803</v>
      </c>
      <c r="B224" s="725" t="s">
        <v>4802</v>
      </c>
    </row>
    <row r="225" spans="1:2" x14ac:dyDescent="0.2">
      <c r="A225" s="649" t="s">
        <v>6280</v>
      </c>
      <c r="B225" s="725" t="s">
        <v>6279</v>
      </c>
    </row>
    <row r="226" spans="1:2" x14ac:dyDescent="0.2">
      <c r="A226" s="649" t="s">
        <v>8110</v>
      </c>
      <c r="B226" s="725" t="s">
        <v>8109</v>
      </c>
    </row>
    <row r="227" spans="1:2" x14ac:dyDescent="0.2">
      <c r="A227" s="649" t="s">
        <v>3739</v>
      </c>
      <c r="B227" s="725" t="s">
        <v>3738</v>
      </c>
    </row>
    <row r="228" spans="1:2" x14ac:dyDescent="0.2">
      <c r="A228" s="649" t="s">
        <v>4087</v>
      </c>
      <c r="B228" s="725" t="s">
        <v>4086</v>
      </c>
    </row>
    <row r="229" spans="1:2" x14ac:dyDescent="0.2">
      <c r="A229" s="649" t="s">
        <v>5672</v>
      </c>
      <c r="B229" s="725" t="s">
        <v>5671</v>
      </c>
    </row>
    <row r="230" spans="1:2" x14ac:dyDescent="0.2">
      <c r="A230" s="649" t="s">
        <v>920</v>
      </c>
      <c r="B230" s="725" t="s">
        <v>919</v>
      </c>
    </row>
    <row r="231" spans="1:2" x14ac:dyDescent="0.2">
      <c r="A231" s="649" t="s">
        <v>766</v>
      </c>
      <c r="B231" s="725" t="s">
        <v>765</v>
      </c>
    </row>
    <row r="232" spans="1:2" x14ac:dyDescent="0.2">
      <c r="A232" s="649" t="s">
        <v>850</v>
      </c>
      <c r="B232" s="725" t="s">
        <v>849</v>
      </c>
    </row>
    <row r="233" spans="1:2" x14ac:dyDescent="0.2">
      <c r="A233" s="649" t="s">
        <v>2679</v>
      </c>
      <c r="B233" s="725" t="s">
        <v>2678</v>
      </c>
    </row>
    <row r="234" spans="1:2" x14ac:dyDescent="0.2">
      <c r="A234" s="649" t="s">
        <v>7684</v>
      </c>
      <c r="B234" s="725" t="s">
        <v>7683</v>
      </c>
    </row>
    <row r="235" spans="1:2" x14ac:dyDescent="0.2">
      <c r="A235" s="649" t="s">
        <v>5674</v>
      </c>
      <c r="B235" s="725" t="s">
        <v>5673</v>
      </c>
    </row>
    <row r="236" spans="1:2" x14ac:dyDescent="0.2">
      <c r="A236" s="649" t="s">
        <v>852</v>
      </c>
      <c r="B236" s="725" t="s">
        <v>851</v>
      </c>
    </row>
    <row r="237" spans="1:2" x14ac:dyDescent="0.2">
      <c r="A237" s="649" t="s">
        <v>7858</v>
      </c>
      <c r="B237" s="725" t="s">
        <v>7857</v>
      </c>
    </row>
    <row r="238" spans="1:2" x14ac:dyDescent="0.2">
      <c r="A238" s="649" t="s">
        <v>6610</v>
      </c>
      <c r="B238" s="725" t="s">
        <v>6609</v>
      </c>
    </row>
    <row r="239" spans="1:2" x14ac:dyDescent="0.2">
      <c r="A239" s="649" t="s">
        <v>854</v>
      </c>
      <c r="B239" s="725" t="s">
        <v>853</v>
      </c>
    </row>
    <row r="240" spans="1:2" x14ac:dyDescent="0.2">
      <c r="A240" s="649" t="s">
        <v>7418</v>
      </c>
      <c r="B240" s="725" t="s">
        <v>7417</v>
      </c>
    </row>
    <row r="241" spans="1:2" x14ac:dyDescent="0.2">
      <c r="A241" s="649" t="s">
        <v>7230</v>
      </c>
      <c r="B241" s="725" t="s">
        <v>7229</v>
      </c>
    </row>
    <row r="242" spans="1:2" x14ac:dyDescent="0.2">
      <c r="A242" s="649" t="s">
        <v>6282</v>
      </c>
      <c r="B242" s="725" t="s">
        <v>6281</v>
      </c>
    </row>
    <row r="243" spans="1:2" x14ac:dyDescent="0.2">
      <c r="A243" s="649" t="s">
        <v>6284</v>
      </c>
      <c r="B243" s="725" t="s">
        <v>6283</v>
      </c>
    </row>
    <row r="244" spans="1:2" x14ac:dyDescent="0.2">
      <c r="A244" s="649" t="s">
        <v>6286</v>
      </c>
      <c r="B244" s="725" t="s">
        <v>6285</v>
      </c>
    </row>
    <row r="245" spans="1:2" x14ac:dyDescent="0.2">
      <c r="A245" s="649" t="s">
        <v>6288</v>
      </c>
      <c r="B245" s="725" t="s">
        <v>6287</v>
      </c>
    </row>
    <row r="246" spans="1:2" x14ac:dyDescent="0.2">
      <c r="A246" s="649" t="s">
        <v>6712</v>
      </c>
      <c r="B246" s="725" t="s">
        <v>6711</v>
      </c>
    </row>
    <row r="247" spans="1:2" x14ac:dyDescent="0.2">
      <c r="A247" s="649" t="s">
        <v>8030</v>
      </c>
      <c r="B247" s="725" t="s">
        <v>8029</v>
      </c>
    </row>
    <row r="248" spans="1:2" x14ac:dyDescent="0.2">
      <c r="A248" s="649" t="s">
        <v>2347</v>
      </c>
      <c r="B248" s="725" t="s">
        <v>2346</v>
      </c>
    </row>
    <row r="249" spans="1:2" x14ac:dyDescent="0.2">
      <c r="A249" s="649" t="s">
        <v>856</v>
      </c>
      <c r="B249" s="725" t="s">
        <v>855</v>
      </c>
    </row>
    <row r="250" spans="1:2" x14ac:dyDescent="0.2">
      <c r="A250" s="649" t="s">
        <v>7890</v>
      </c>
      <c r="B250" s="725" t="s">
        <v>7889</v>
      </c>
    </row>
    <row r="251" spans="1:2" x14ac:dyDescent="0.2">
      <c r="A251" s="649" t="s">
        <v>295</v>
      </c>
      <c r="B251" s="725" t="s">
        <v>294</v>
      </c>
    </row>
    <row r="252" spans="1:2" x14ac:dyDescent="0.2">
      <c r="A252" s="649" t="s">
        <v>467</v>
      </c>
      <c r="B252" s="725" t="s">
        <v>466</v>
      </c>
    </row>
    <row r="253" spans="1:2" x14ac:dyDescent="0.2">
      <c r="A253" s="649" t="s">
        <v>6244</v>
      </c>
      <c r="B253" s="725" t="s">
        <v>6243</v>
      </c>
    </row>
    <row r="254" spans="1:2" x14ac:dyDescent="0.2">
      <c r="A254" s="649" t="s">
        <v>5676</v>
      </c>
      <c r="B254" s="725" t="s">
        <v>5675</v>
      </c>
    </row>
    <row r="255" spans="1:2" x14ac:dyDescent="0.2">
      <c r="A255" s="649" t="s">
        <v>439</v>
      </c>
      <c r="B255" s="725" t="s">
        <v>438</v>
      </c>
    </row>
    <row r="256" spans="1:2" x14ac:dyDescent="0.2">
      <c r="A256" s="649" t="s">
        <v>818</v>
      </c>
      <c r="B256" s="725" t="s">
        <v>817</v>
      </c>
    </row>
    <row r="257" spans="1:2" x14ac:dyDescent="0.2">
      <c r="A257" s="649" t="s">
        <v>7802</v>
      </c>
      <c r="B257" s="725" t="s">
        <v>7801</v>
      </c>
    </row>
    <row r="258" spans="1:2" x14ac:dyDescent="0.2">
      <c r="A258" s="649" t="s">
        <v>7604</v>
      </c>
      <c r="B258" s="725" t="s">
        <v>7603</v>
      </c>
    </row>
    <row r="259" spans="1:2" x14ac:dyDescent="0.2">
      <c r="A259" s="649" t="s">
        <v>7686</v>
      </c>
      <c r="B259" s="725" t="s">
        <v>7685</v>
      </c>
    </row>
    <row r="260" spans="1:2" x14ac:dyDescent="0.2">
      <c r="A260" s="649" t="s">
        <v>7232</v>
      </c>
      <c r="B260" s="725" t="s">
        <v>7231</v>
      </c>
    </row>
    <row r="261" spans="1:2" x14ac:dyDescent="0.2">
      <c r="A261" s="649" t="s">
        <v>7318</v>
      </c>
      <c r="B261" s="725" t="s">
        <v>7317</v>
      </c>
    </row>
    <row r="262" spans="1:2" x14ac:dyDescent="0.2">
      <c r="A262" s="649" t="s">
        <v>7156</v>
      </c>
      <c r="B262" s="725" t="s">
        <v>7155</v>
      </c>
    </row>
    <row r="263" spans="1:2" x14ac:dyDescent="0.2">
      <c r="A263" s="649" t="s">
        <v>3767</v>
      </c>
      <c r="B263" s="725" t="s">
        <v>3766</v>
      </c>
    </row>
    <row r="264" spans="1:2" x14ac:dyDescent="0.2">
      <c r="A264" s="649" t="s">
        <v>858</v>
      </c>
      <c r="B264" s="725" t="s">
        <v>857</v>
      </c>
    </row>
    <row r="265" spans="1:2" x14ac:dyDescent="0.2">
      <c r="A265" s="649" t="s">
        <v>5545</v>
      </c>
      <c r="B265" s="725" t="s">
        <v>5544</v>
      </c>
    </row>
    <row r="266" spans="1:2" x14ac:dyDescent="0.2">
      <c r="A266" s="649" t="s">
        <v>7658</v>
      </c>
      <c r="B266" s="725" t="s">
        <v>7657</v>
      </c>
    </row>
    <row r="267" spans="1:2" x14ac:dyDescent="0.2">
      <c r="A267" s="649" t="s">
        <v>5387</v>
      </c>
      <c r="B267" s="725" t="s">
        <v>5386</v>
      </c>
    </row>
    <row r="268" spans="1:2" x14ac:dyDescent="0.2">
      <c r="A268" s="649" t="s">
        <v>4249</v>
      </c>
      <c r="B268" s="725" t="s">
        <v>4248</v>
      </c>
    </row>
    <row r="269" spans="1:2" x14ac:dyDescent="0.2">
      <c r="A269" s="649" t="s">
        <v>860</v>
      </c>
      <c r="B269" s="725" t="s">
        <v>859</v>
      </c>
    </row>
    <row r="270" spans="1:2" x14ac:dyDescent="0.2">
      <c r="A270" s="649" t="s">
        <v>7406</v>
      </c>
      <c r="B270" s="725" t="s">
        <v>7405</v>
      </c>
    </row>
    <row r="271" spans="1:2" x14ac:dyDescent="0.2">
      <c r="A271" s="649" t="s">
        <v>4937</v>
      </c>
      <c r="B271" s="725" t="s">
        <v>4936</v>
      </c>
    </row>
    <row r="272" spans="1:2" x14ac:dyDescent="0.2">
      <c r="A272" s="649" t="s">
        <v>6714</v>
      </c>
      <c r="B272" s="725" t="s">
        <v>6713</v>
      </c>
    </row>
    <row r="273" spans="1:2" x14ac:dyDescent="0.2">
      <c r="A273" s="649" t="s">
        <v>1258</v>
      </c>
      <c r="B273" s="725" t="s">
        <v>1257</v>
      </c>
    </row>
    <row r="274" spans="1:2" x14ac:dyDescent="0.2">
      <c r="A274" s="649" t="s">
        <v>5307</v>
      </c>
      <c r="B274" s="725" t="s">
        <v>5306</v>
      </c>
    </row>
    <row r="275" spans="1:2" x14ac:dyDescent="0.2">
      <c r="A275" s="649" t="s">
        <v>6716</v>
      </c>
      <c r="B275" s="725" t="s">
        <v>6715</v>
      </c>
    </row>
    <row r="276" spans="1:2" x14ac:dyDescent="0.2">
      <c r="A276" s="649" t="s">
        <v>7420</v>
      </c>
      <c r="B276" s="725" t="s">
        <v>7419</v>
      </c>
    </row>
    <row r="277" spans="1:2" x14ac:dyDescent="0.2">
      <c r="A277" s="649" t="s">
        <v>7234</v>
      </c>
      <c r="B277" s="725" t="s">
        <v>7233</v>
      </c>
    </row>
    <row r="278" spans="1:2" x14ac:dyDescent="0.2">
      <c r="A278" s="649" t="s">
        <v>862</v>
      </c>
      <c r="B278" s="725" t="s">
        <v>861</v>
      </c>
    </row>
    <row r="279" spans="1:2" x14ac:dyDescent="0.2">
      <c r="A279" s="649" t="s">
        <v>7014</v>
      </c>
      <c r="B279" s="725" t="s">
        <v>7013</v>
      </c>
    </row>
    <row r="280" spans="1:2" x14ac:dyDescent="0.2">
      <c r="A280" s="649" t="s">
        <v>1260</v>
      </c>
      <c r="B280" s="725" t="s">
        <v>1259</v>
      </c>
    </row>
    <row r="281" spans="1:2" x14ac:dyDescent="0.2">
      <c r="A281" s="649" t="s">
        <v>8112</v>
      </c>
      <c r="B281" s="725" t="s">
        <v>8111</v>
      </c>
    </row>
    <row r="282" spans="1:2" x14ac:dyDescent="0.2">
      <c r="A282" s="649" t="s">
        <v>820</v>
      </c>
      <c r="B282" s="725" t="s">
        <v>819</v>
      </c>
    </row>
    <row r="283" spans="1:2" x14ac:dyDescent="0.2">
      <c r="A283" s="649" t="s">
        <v>5678</v>
      </c>
      <c r="B283" s="725" t="s">
        <v>5677</v>
      </c>
    </row>
    <row r="284" spans="1:2" x14ac:dyDescent="0.2">
      <c r="A284" s="649" t="s">
        <v>3615</v>
      </c>
      <c r="B284" s="725" t="s">
        <v>3614</v>
      </c>
    </row>
    <row r="285" spans="1:2" x14ac:dyDescent="0.2">
      <c r="A285" s="649" t="s">
        <v>8252</v>
      </c>
      <c r="B285" s="725" t="s">
        <v>8251</v>
      </c>
    </row>
    <row r="286" spans="1:2" x14ac:dyDescent="0.2">
      <c r="A286" s="649" t="s">
        <v>2067</v>
      </c>
      <c r="B286" s="725" t="s">
        <v>2066</v>
      </c>
    </row>
    <row r="287" spans="1:2" x14ac:dyDescent="0.2">
      <c r="A287" s="649" t="s">
        <v>2297</v>
      </c>
      <c r="B287" s="725" t="s">
        <v>2296</v>
      </c>
    </row>
    <row r="288" spans="1:2" x14ac:dyDescent="0.2">
      <c r="A288" s="649" t="s">
        <v>8346</v>
      </c>
      <c r="B288" s="725" t="s">
        <v>8345</v>
      </c>
    </row>
    <row r="289" spans="1:2" x14ac:dyDescent="0.2">
      <c r="A289" s="649" t="s">
        <v>3769</v>
      </c>
      <c r="B289" s="725" t="s">
        <v>3768</v>
      </c>
    </row>
    <row r="290" spans="1:2" x14ac:dyDescent="0.2">
      <c r="A290" s="649" t="s">
        <v>632</v>
      </c>
      <c r="B290" s="725" t="s">
        <v>631</v>
      </c>
    </row>
    <row r="291" spans="1:2" x14ac:dyDescent="0.2">
      <c r="A291" s="649" t="s">
        <v>634</v>
      </c>
      <c r="B291" s="725" t="s">
        <v>633</v>
      </c>
    </row>
    <row r="292" spans="1:2" x14ac:dyDescent="0.2">
      <c r="A292" s="649" t="s">
        <v>2299</v>
      </c>
      <c r="B292" s="725" t="s">
        <v>2298</v>
      </c>
    </row>
    <row r="293" spans="1:2" x14ac:dyDescent="0.2">
      <c r="A293" s="649" t="s">
        <v>1650</v>
      </c>
      <c r="B293" s="725" t="s">
        <v>1649</v>
      </c>
    </row>
    <row r="294" spans="1:2" x14ac:dyDescent="0.2">
      <c r="A294" s="649" t="s">
        <v>1652</v>
      </c>
      <c r="B294" s="725" t="s">
        <v>1651</v>
      </c>
    </row>
    <row r="295" spans="1:2" x14ac:dyDescent="0.2">
      <c r="A295" s="649" t="s">
        <v>1654</v>
      </c>
      <c r="B295" s="725" t="s">
        <v>1653</v>
      </c>
    </row>
    <row r="296" spans="1:2" x14ac:dyDescent="0.2">
      <c r="A296" s="649" t="s">
        <v>2681</v>
      </c>
      <c r="B296" s="725" t="s">
        <v>2680</v>
      </c>
    </row>
    <row r="297" spans="1:2" x14ac:dyDescent="0.2">
      <c r="A297" s="649" t="s">
        <v>8254</v>
      </c>
      <c r="B297" s="725" t="s">
        <v>8253</v>
      </c>
    </row>
    <row r="298" spans="1:2" x14ac:dyDescent="0.2">
      <c r="A298" s="649" t="s">
        <v>2683</v>
      </c>
      <c r="B298" s="725" t="s">
        <v>2682</v>
      </c>
    </row>
    <row r="299" spans="1:2" x14ac:dyDescent="0.2">
      <c r="A299" s="649" t="s">
        <v>5680</v>
      </c>
      <c r="B299" s="725" t="s">
        <v>5679</v>
      </c>
    </row>
    <row r="300" spans="1:2" x14ac:dyDescent="0.2">
      <c r="A300" s="649" t="s">
        <v>5389</v>
      </c>
      <c r="B300" s="725" t="s">
        <v>5388</v>
      </c>
    </row>
    <row r="301" spans="1:2" x14ac:dyDescent="0.2">
      <c r="A301" s="649" t="s">
        <v>7988</v>
      </c>
      <c r="B301" s="725" t="s">
        <v>7987</v>
      </c>
    </row>
    <row r="302" spans="1:2" x14ac:dyDescent="0.2">
      <c r="A302" s="649" t="s">
        <v>6718</v>
      </c>
      <c r="B302" s="725" t="s">
        <v>6717</v>
      </c>
    </row>
    <row r="303" spans="1:2" x14ac:dyDescent="0.2">
      <c r="A303" s="649" t="s">
        <v>5682</v>
      </c>
      <c r="B303" s="725" t="s">
        <v>5681</v>
      </c>
    </row>
    <row r="304" spans="1:2" x14ac:dyDescent="0.2">
      <c r="A304" s="649" t="s">
        <v>2235</v>
      </c>
      <c r="B304" s="725" t="s">
        <v>2234</v>
      </c>
    </row>
    <row r="305" spans="1:2" x14ac:dyDescent="0.2">
      <c r="A305" s="649" t="s">
        <v>5684</v>
      </c>
      <c r="B305" s="725" t="s">
        <v>5683</v>
      </c>
    </row>
    <row r="306" spans="1:2" x14ac:dyDescent="0.2">
      <c r="A306" s="649" t="s">
        <v>5105</v>
      </c>
      <c r="B306" s="725" t="s">
        <v>5104</v>
      </c>
    </row>
    <row r="307" spans="1:2" x14ac:dyDescent="0.2">
      <c r="A307" s="649" t="s">
        <v>5063</v>
      </c>
      <c r="B307" s="725" t="s">
        <v>5062</v>
      </c>
    </row>
    <row r="308" spans="1:2" x14ac:dyDescent="0.2">
      <c r="A308" s="649" t="s">
        <v>1821</v>
      </c>
      <c r="B308" s="725" t="s">
        <v>1820</v>
      </c>
    </row>
    <row r="309" spans="1:2" x14ac:dyDescent="0.2">
      <c r="A309" s="649" t="s">
        <v>1656</v>
      </c>
      <c r="B309" s="725" t="s">
        <v>1655</v>
      </c>
    </row>
    <row r="310" spans="1:2" x14ac:dyDescent="0.2">
      <c r="A310" s="649" t="s">
        <v>2685</v>
      </c>
      <c r="B310" s="725" t="s">
        <v>2684</v>
      </c>
    </row>
    <row r="311" spans="1:2" x14ac:dyDescent="0.2">
      <c r="A311" s="649" t="s">
        <v>804</v>
      </c>
      <c r="B311" s="725" t="s">
        <v>803</v>
      </c>
    </row>
    <row r="312" spans="1:2" x14ac:dyDescent="0.2">
      <c r="A312" s="649" t="s">
        <v>922</v>
      </c>
      <c r="B312" s="725" t="s">
        <v>921</v>
      </c>
    </row>
    <row r="313" spans="1:2" x14ac:dyDescent="0.2">
      <c r="A313" s="649" t="s">
        <v>1925</v>
      </c>
      <c r="B313" s="725" t="s">
        <v>1924</v>
      </c>
    </row>
    <row r="314" spans="1:2" x14ac:dyDescent="0.2">
      <c r="A314" s="649" t="s">
        <v>3507</v>
      </c>
      <c r="B314" s="725" t="s">
        <v>3506</v>
      </c>
    </row>
    <row r="315" spans="1:2" x14ac:dyDescent="0.2">
      <c r="A315" s="649" t="s">
        <v>5253</v>
      </c>
      <c r="B315" s="725" t="s">
        <v>5252</v>
      </c>
    </row>
    <row r="316" spans="1:2" x14ac:dyDescent="0.2">
      <c r="A316" s="649" t="s">
        <v>7058</v>
      </c>
      <c r="B316" s="725" t="s">
        <v>7057</v>
      </c>
    </row>
    <row r="317" spans="1:2" x14ac:dyDescent="0.2">
      <c r="A317" s="649" t="s">
        <v>968</v>
      </c>
      <c r="B317" s="725" t="s">
        <v>967</v>
      </c>
    </row>
    <row r="318" spans="1:2" x14ac:dyDescent="0.2">
      <c r="A318" s="649" t="s">
        <v>4157</v>
      </c>
      <c r="B318" s="725" t="s">
        <v>4156</v>
      </c>
    </row>
    <row r="319" spans="1:2" x14ac:dyDescent="0.2">
      <c r="A319" s="649" t="s">
        <v>3509</v>
      </c>
      <c r="B319" s="725" t="s">
        <v>3508</v>
      </c>
    </row>
    <row r="320" spans="1:2" x14ac:dyDescent="0.2">
      <c r="A320" s="649" t="s">
        <v>1430</v>
      </c>
      <c r="B320" s="725" t="s">
        <v>1429</v>
      </c>
    </row>
    <row r="321" spans="1:2" x14ac:dyDescent="0.2">
      <c r="A321" s="649" t="s">
        <v>387</v>
      </c>
      <c r="B321" s="725" t="s">
        <v>386</v>
      </c>
    </row>
    <row r="322" spans="1:2" x14ac:dyDescent="0.2">
      <c r="A322" s="649" t="s">
        <v>6612</v>
      </c>
      <c r="B322" s="725" t="s">
        <v>6611</v>
      </c>
    </row>
    <row r="323" spans="1:2" x14ac:dyDescent="0.2">
      <c r="A323" s="649" t="s">
        <v>3569</v>
      </c>
      <c r="B323" s="725" t="s">
        <v>3568</v>
      </c>
    </row>
    <row r="324" spans="1:2" x14ac:dyDescent="0.2">
      <c r="A324" s="649" t="s">
        <v>2405</v>
      </c>
      <c r="B324" s="725" t="s">
        <v>2404</v>
      </c>
    </row>
    <row r="325" spans="1:2" x14ac:dyDescent="0.2">
      <c r="A325" s="649" t="s">
        <v>3605</v>
      </c>
      <c r="B325" s="725" t="s">
        <v>3604</v>
      </c>
    </row>
    <row r="326" spans="1:2" x14ac:dyDescent="0.2">
      <c r="A326" s="649" t="s">
        <v>6682</v>
      </c>
      <c r="B326" s="725" t="s">
        <v>6681</v>
      </c>
    </row>
    <row r="327" spans="1:2" x14ac:dyDescent="0.2">
      <c r="A327" s="649" t="s">
        <v>580</v>
      </c>
      <c r="B327" s="725" t="s">
        <v>579</v>
      </c>
    </row>
    <row r="328" spans="1:2" x14ac:dyDescent="0.2">
      <c r="A328" s="649" t="s">
        <v>950</v>
      </c>
      <c r="B328" s="725" t="s">
        <v>949</v>
      </c>
    </row>
    <row r="329" spans="1:2" x14ac:dyDescent="0.2">
      <c r="A329" s="649" t="s">
        <v>4403</v>
      </c>
      <c r="B329" s="725" t="s">
        <v>4402</v>
      </c>
    </row>
    <row r="330" spans="1:2" x14ac:dyDescent="0.2">
      <c r="A330" s="649" t="s">
        <v>6720</v>
      </c>
      <c r="B330" s="725" t="s">
        <v>6719</v>
      </c>
    </row>
    <row r="331" spans="1:2" x14ac:dyDescent="0.2">
      <c r="A331" s="649" t="s">
        <v>5547</v>
      </c>
      <c r="B331" s="725" t="s">
        <v>5546</v>
      </c>
    </row>
    <row r="332" spans="1:2" x14ac:dyDescent="0.2">
      <c r="A332" s="649" t="s">
        <v>3643</v>
      </c>
      <c r="B332" s="725" t="s">
        <v>3642</v>
      </c>
    </row>
    <row r="333" spans="1:2" x14ac:dyDescent="0.2">
      <c r="A333" s="649" t="s">
        <v>7342</v>
      </c>
      <c r="B333" s="725" t="s">
        <v>7341</v>
      </c>
    </row>
    <row r="334" spans="1:2" x14ac:dyDescent="0.2">
      <c r="A334" s="649" t="s">
        <v>7688</v>
      </c>
      <c r="B334" s="725" t="s">
        <v>7687</v>
      </c>
    </row>
    <row r="335" spans="1:2" x14ac:dyDescent="0.2">
      <c r="A335" s="649" t="s">
        <v>4251</v>
      </c>
      <c r="B335" s="725" t="s">
        <v>4250</v>
      </c>
    </row>
    <row r="336" spans="1:2" x14ac:dyDescent="0.2">
      <c r="A336" s="649" t="s">
        <v>1927</v>
      </c>
      <c r="B336" s="725" t="s">
        <v>1926</v>
      </c>
    </row>
    <row r="337" spans="1:2" x14ac:dyDescent="0.2">
      <c r="A337" s="649" t="s">
        <v>5686</v>
      </c>
      <c r="B337" s="725" t="s">
        <v>5685</v>
      </c>
    </row>
    <row r="338" spans="1:2" x14ac:dyDescent="0.2">
      <c r="A338" s="649" t="s">
        <v>1494</v>
      </c>
      <c r="B338" s="725" t="s">
        <v>1493</v>
      </c>
    </row>
    <row r="339" spans="1:2" x14ac:dyDescent="0.2">
      <c r="A339" s="649" t="s">
        <v>1496</v>
      </c>
      <c r="B339" s="725" t="s">
        <v>1495</v>
      </c>
    </row>
    <row r="340" spans="1:2" x14ac:dyDescent="0.2">
      <c r="A340" s="649" t="s">
        <v>1498</v>
      </c>
      <c r="B340" s="725" t="s">
        <v>1497</v>
      </c>
    </row>
    <row r="341" spans="1:2" x14ac:dyDescent="0.2">
      <c r="A341" s="649" t="s">
        <v>1500</v>
      </c>
      <c r="B341" s="725" t="s">
        <v>1499</v>
      </c>
    </row>
    <row r="342" spans="1:2" x14ac:dyDescent="0.2">
      <c r="A342" s="649" t="s">
        <v>6990</v>
      </c>
      <c r="B342" s="725" t="s">
        <v>6989</v>
      </c>
    </row>
    <row r="343" spans="1:2" x14ac:dyDescent="0.2">
      <c r="A343" s="649" t="s">
        <v>4805</v>
      </c>
      <c r="B343" s="725" t="s">
        <v>4804</v>
      </c>
    </row>
    <row r="344" spans="1:2" x14ac:dyDescent="0.2">
      <c r="A344" s="649" t="s">
        <v>6290</v>
      </c>
      <c r="B344" s="725" t="s">
        <v>6289</v>
      </c>
    </row>
    <row r="345" spans="1:2" x14ac:dyDescent="0.2">
      <c r="A345" s="649" t="s">
        <v>8114</v>
      </c>
      <c r="B345" s="725" t="s">
        <v>8113</v>
      </c>
    </row>
    <row r="346" spans="1:2" x14ac:dyDescent="0.2">
      <c r="A346" s="649" t="s">
        <v>4433</v>
      </c>
      <c r="B346" s="725" t="s">
        <v>4432</v>
      </c>
    </row>
    <row r="347" spans="1:2" x14ac:dyDescent="0.2">
      <c r="A347" s="649" t="s">
        <v>7236</v>
      </c>
      <c r="B347" s="725" t="s">
        <v>7235</v>
      </c>
    </row>
    <row r="348" spans="1:2" x14ac:dyDescent="0.2">
      <c r="A348" s="649" t="s">
        <v>5688</v>
      </c>
      <c r="B348" s="725" t="s">
        <v>5687</v>
      </c>
    </row>
    <row r="349" spans="1:2" x14ac:dyDescent="0.2">
      <c r="A349" s="649" t="s">
        <v>5107</v>
      </c>
      <c r="B349" s="725" t="s">
        <v>5106</v>
      </c>
    </row>
    <row r="350" spans="1:2" x14ac:dyDescent="0.2">
      <c r="A350" s="649" t="s">
        <v>3541</v>
      </c>
      <c r="B350" s="725" t="s">
        <v>3540</v>
      </c>
    </row>
    <row r="351" spans="1:2" x14ac:dyDescent="0.2">
      <c r="A351" s="649" t="s">
        <v>1522</v>
      </c>
      <c r="B351" s="725" t="s">
        <v>1521</v>
      </c>
    </row>
    <row r="352" spans="1:2" x14ac:dyDescent="0.2">
      <c r="A352" s="649" t="s">
        <v>4103</v>
      </c>
      <c r="B352" s="725" t="s">
        <v>4102</v>
      </c>
    </row>
    <row r="353" spans="1:2" x14ac:dyDescent="0.2">
      <c r="A353" s="649" t="s">
        <v>7158</v>
      </c>
      <c r="B353" s="725" t="s">
        <v>7157</v>
      </c>
    </row>
    <row r="354" spans="1:2" x14ac:dyDescent="0.2">
      <c r="A354" s="649" t="s">
        <v>4625</v>
      </c>
      <c r="B354" s="725" t="s">
        <v>4624</v>
      </c>
    </row>
    <row r="355" spans="1:2" x14ac:dyDescent="0.2">
      <c r="A355" s="649" t="s">
        <v>4707</v>
      </c>
      <c r="B355" s="725" t="s">
        <v>4706</v>
      </c>
    </row>
    <row r="356" spans="1:2" x14ac:dyDescent="0.2">
      <c r="A356" s="649" t="s">
        <v>7238</v>
      </c>
      <c r="B356" s="725" t="s">
        <v>7237</v>
      </c>
    </row>
    <row r="357" spans="1:2" x14ac:dyDescent="0.2">
      <c r="A357" s="649" t="s">
        <v>2407</v>
      </c>
      <c r="B357" s="725" t="s">
        <v>2406</v>
      </c>
    </row>
    <row r="358" spans="1:2" x14ac:dyDescent="0.2">
      <c r="A358" s="649" t="s">
        <v>2189</v>
      </c>
      <c r="B358" s="725" t="s">
        <v>2188</v>
      </c>
    </row>
    <row r="359" spans="1:2" x14ac:dyDescent="0.2">
      <c r="A359" s="649" t="s">
        <v>1432</v>
      </c>
      <c r="B359" s="725" t="s">
        <v>1431</v>
      </c>
    </row>
    <row r="360" spans="1:2" x14ac:dyDescent="0.2">
      <c r="A360" s="649" t="s">
        <v>5065</v>
      </c>
      <c r="B360" s="725" t="s">
        <v>5064</v>
      </c>
    </row>
    <row r="361" spans="1:2" x14ac:dyDescent="0.2">
      <c r="A361" s="649" t="s">
        <v>7240</v>
      </c>
      <c r="B361" s="725" t="s">
        <v>7239</v>
      </c>
    </row>
    <row r="362" spans="1:2" x14ac:dyDescent="0.2">
      <c r="A362" s="649" t="s">
        <v>465</v>
      </c>
      <c r="B362" s="725" t="s">
        <v>464</v>
      </c>
    </row>
    <row r="363" spans="1:2" x14ac:dyDescent="0.2">
      <c r="A363" s="649" t="s">
        <v>479</v>
      </c>
      <c r="B363" s="725" t="s">
        <v>478</v>
      </c>
    </row>
    <row r="364" spans="1:2" x14ac:dyDescent="0.2">
      <c r="A364" s="649" t="s">
        <v>6476</v>
      </c>
      <c r="B364" s="725" t="s">
        <v>6475</v>
      </c>
    </row>
    <row r="365" spans="1:2" x14ac:dyDescent="0.2">
      <c r="A365" s="649" t="s">
        <v>4405</v>
      </c>
      <c r="B365" s="725" t="s">
        <v>4404</v>
      </c>
    </row>
    <row r="366" spans="1:2" x14ac:dyDescent="0.2">
      <c r="A366" s="649" t="s">
        <v>6426</v>
      </c>
      <c r="B366" s="725" t="s">
        <v>6425</v>
      </c>
    </row>
    <row r="367" spans="1:2" x14ac:dyDescent="0.2">
      <c r="A367" s="649" t="s">
        <v>8348</v>
      </c>
      <c r="B367" s="725" t="s">
        <v>8347</v>
      </c>
    </row>
    <row r="368" spans="1:2" x14ac:dyDescent="0.2">
      <c r="A368" s="649" t="s">
        <v>3573</v>
      </c>
      <c r="B368" s="725" t="s">
        <v>3572</v>
      </c>
    </row>
    <row r="369" spans="1:2" x14ac:dyDescent="0.2">
      <c r="A369" s="649" t="s">
        <v>7160</v>
      </c>
      <c r="B369" s="725" t="s">
        <v>7159</v>
      </c>
    </row>
    <row r="370" spans="1:2" x14ac:dyDescent="0.2">
      <c r="A370" s="649" t="s">
        <v>7892</v>
      </c>
      <c r="B370" s="725" t="s">
        <v>7891</v>
      </c>
    </row>
    <row r="371" spans="1:2" x14ac:dyDescent="0.2">
      <c r="A371" s="649" t="s">
        <v>6478</v>
      </c>
      <c r="B371" s="725" t="s">
        <v>6477</v>
      </c>
    </row>
    <row r="372" spans="1:2" x14ac:dyDescent="0.2">
      <c r="A372" s="649" t="s">
        <v>4709</v>
      </c>
      <c r="B372" s="725" t="s">
        <v>4708</v>
      </c>
    </row>
    <row r="373" spans="1:2" x14ac:dyDescent="0.2">
      <c r="A373" s="649" t="s">
        <v>6480</v>
      </c>
      <c r="B373" s="725" t="s">
        <v>6479</v>
      </c>
    </row>
    <row r="374" spans="1:2" x14ac:dyDescent="0.2">
      <c r="A374" s="649" t="s">
        <v>6722</v>
      </c>
      <c r="B374" s="725" t="s">
        <v>6721</v>
      </c>
    </row>
    <row r="375" spans="1:2" x14ac:dyDescent="0.2">
      <c r="A375" s="649" t="s">
        <v>5690</v>
      </c>
      <c r="B375" s="725" t="s">
        <v>5689</v>
      </c>
    </row>
    <row r="376" spans="1:2" x14ac:dyDescent="0.2">
      <c r="A376" s="649" t="s">
        <v>2409</v>
      </c>
      <c r="B376" s="725" t="s">
        <v>2408</v>
      </c>
    </row>
    <row r="377" spans="1:2" x14ac:dyDescent="0.2">
      <c r="A377" s="649" t="s">
        <v>3543</v>
      </c>
      <c r="B377" s="725" t="s">
        <v>3542</v>
      </c>
    </row>
    <row r="378" spans="1:2" x14ac:dyDescent="0.2">
      <c r="A378" s="649" t="s">
        <v>1434</v>
      </c>
      <c r="B378" s="725" t="s">
        <v>1433</v>
      </c>
    </row>
    <row r="379" spans="1:2" x14ac:dyDescent="0.2">
      <c r="A379" s="649" t="s">
        <v>932</v>
      </c>
      <c r="B379" s="725" t="s">
        <v>931</v>
      </c>
    </row>
    <row r="380" spans="1:2" x14ac:dyDescent="0.2">
      <c r="A380" s="649" t="s">
        <v>4483</v>
      </c>
      <c r="B380" s="725" t="s">
        <v>4482</v>
      </c>
    </row>
    <row r="381" spans="1:2" x14ac:dyDescent="0.2">
      <c r="A381" s="649" t="s">
        <v>822</v>
      </c>
      <c r="B381" s="725" t="s">
        <v>821</v>
      </c>
    </row>
    <row r="382" spans="1:2" x14ac:dyDescent="0.2">
      <c r="A382" s="649" t="s">
        <v>6684</v>
      </c>
      <c r="B382" s="725" t="s">
        <v>6683</v>
      </c>
    </row>
    <row r="383" spans="1:2" x14ac:dyDescent="0.2">
      <c r="A383" s="649" t="s">
        <v>5067</v>
      </c>
      <c r="B383" s="725" t="s">
        <v>5066</v>
      </c>
    </row>
    <row r="384" spans="1:2" x14ac:dyDescent="0.2">
      <c r="A384" s="649" t="s">
        <v>584</v>
      </c>
      <c r="B384" s="725" t="s">
        <v>583</v>
      </c>
    </row>
    <row r="385" spans="1:2" x14ac:dyDescent="0.2">
      <c r="A385" s="649" t="s">
        <v>7570</v>
      </c>
      <c r="B385" s="725" t="s">
        <v>7569</v>
      </c>
    </row>
    <row r="386" spans="1:2" x14ac:dyDescent="0.2">
      <c r="A386" s="649" t="s">
        <v>1823</v>
      </c>
      <c r="B386" s="725" t="s">
        <v>1822</v>
      </c>
    </row>
    <row r="387" spans="1:2" x14ac:dyDescent="0.2">
      <c r="A387" s="649" t="s">
        <v>297</v>
      </c>
      <c r="B387" s="725" t="s">
        <v>296</v>
      </c>
    </row>
    <row r="388" spans="1:2" x14ac:dyDescent="0.2">
      <c r="A388" s="649" t="s">
        <v>824</v>
      </c>
      <c r="B388" s="725" t="s">
        <v>823</v>
      </c>
    </row>
    <row r="389" spans="1:2" x14ac:dyDescent="0.2">
      <c r="A389" s="649" t="s">
        <v>826</v>
      </c>
      <c r="B389" s="725" t="s">
        <v>825</v>
      </c>
    </row>
    <row r="390" spans="1:2" x14ac:dyDescent="0.2">
      <c r="A390" s="649" t="s">
        <v>1524</v>
      </c>
      <c r="B390" s="725" t="s">
        <v>1523</v>
      </c>
    </row>
    <row r="391" spans="1:2" x14ac:dyDescent="0.2">
      <c r="A391" s="649" t="s">
        <v>4105</v>
      </c>
      <c r="B391" s="725" t="s">
        <v>4104</v>
      </c>
    </row>
    <row r="392" spans="1:2" x14ac:dyDescent="0.2">
      <c r="A392" s="649" t="s">
        <v>6614</v>
      </c>
      <c r="B392" s="725" t="s">
        <v>6613</v>
      </c>
    </row>
    <row r="393" spans="1:2" x14ac:dyDescent="0.2">
      <c r="A393" s="649" t="s">
        <v>5069</v>
      </c>
      <c r="B393" s="725" t="s">
        <v>5068</v>
      </c>
    </row>
    <row r="394" spans="1:2" x14ac:dyDescent="0.2">
      <c r="A394" s="649" t="s">
        <v>4749</v>
      </c>
      <c r="B394" s="725" t="s">
        <v>4748</v>
      </c>
    </row>
    <row r="395" spans="1:2" x14ac:dyDescent="0.2">
      <c r="A395" s="649" t="s">
        <v>6686</v>
      </c>
      <c r="B395" s="725" t="s">
        <v>6685</v>
      </c>
    </row>
    <row r="396" spans="1:2" x14ac:dyDescent="0.2">
      <c r="A396" s="649" t="s">
        <v>6428</v>
      </c>
      <c r="B396" s="725" t="s">
        <v>6427</v>
      </c>
    </row>
    <row r="397" spans="1:2" x14ac:dyDescent="0.2">
      <c r="A397" s="649" t="s">
        <v>6724</v>
      </c>
      <c r="B397" s="725" t="s">
        <v>6723</v>
      </c>
    </row>
    <row r="398" spans="1:2" x14ac:dyDescent="0.2">
      <c r="A398" s="649" t="s">
        <v>7572</v>
      </c>
      <c r="B398" s="725" t="s">
        <v>7571</v>
      </c>
    </row>
    <row r="399" spans="1:2" x14ac:dyDescent="0.2">
      <c r="A399" s="649" t="s">
        <v>5391</v>
      </c>
      <c r="B399" s="725" t="s">
        <v>5390</v>
      </c>
    </row>
    <row r="400" spans="1:2" x14ac:dyDescent="0.2">
      <c r="A400" s="649" t="s">
        <v>5337</v>
      </c>
      <c r="B400" s="725" t="s">
        <v>5336</v>
      </c>
    </row>
    <row r="401" spans="1:2" x14ac:dyDescent="0.2">
      <c r="A401" s="649" t="s">
        <v>379</v>
      </c>
      <c r="B401" s="725" t="s">
        <v>378</v>
      </c>
    </row>
    <row r="402" spans="1:2" x14ac:dyDescent="0.2">
      <c r="A402" s="649" t="s">
        <v>6246</v>
      </c>
      <c r="B402" s="725" t="s">
        <v>6245</v>
      </c>
    </row>
    <row r="403" spans="1:2" x14ac:dyDescent="0.2">
      <c r="A403" s="649" t="s">
        <v>1905</v>
      </c>
      <c r="B403" s="725" t="s">
        <v>1904</v>
      </c>
    </row>
    <row r="404" spans="1:2" x14ac:dyDescent="0.2">
      <c r="A404" s="649" t="s">
        <v>415</v>
      </c>
      <c r="B404" s="725" t="s">
        <v>414</v>
      </c>
    </row>
    <row r="405" spans="1:2" x14ac:dyDescent="0.2">
      <c r="A405" s="649" t="s">
        <v>1436</v>
      </c>
      <c r="B405" s="725" t="s">
        <v>1435</v>
      </c>
    </row>
    <row r="406" spans="1:2" x14ac:dyDescent="0.2">
      <c r="A406" s="649" t="s">
        <v>7060</v>
      </c>
      <c r="B406" s="725" t="s">
        <v>7059</v>
      </c>
    </row>
    <row r="407" spans="1:2" x14ac:dyDescent="0.2">
      <c r="A407" s="649" t="s">
        <v>7422</v>
      </c>
      <c r="B407" s="725" t="s">
        <v>7421</v>
      </c>
    </row>
    <row r="408" spans="1:2" x14ac:dyDescent="0.2">
      <c r="A408" s="649" t="s">
        <v>2069</v>
      </c>
      <c r="B408" s="725" t="s">
        <v>2068</v>
      </c>
    </row>
    <row r="409" spans="1:2" x14ac:dyDescent="0.2">
      <c r="A409" s="649" t="s">
        <v>4851</v>
      </c>
      <c r="B409" s="725" t="s">
        <v>4850</v>
      </c>
    </row>
    <row r="410" spans="1:2" x14ac:dyDescent="0.2">
      <c r="A410" s="649" t="s">
        <v>1929</v>
      </c>
      <c r="B410" s="725" t="s">
        <v>1928</v>
      </c>
    </row>
    <row r="411" spans="1:2" x14ac:dyDescent="0.2">
      <c r="A411" s="649" t="s">
        <v>4073</v>
      </c>
      <c r="B411" s="725" t="s">
        <v>4072</v>
      </c>
    </row>
    <row r="412" spans="1:2" x14ac:dyDescent="0.2">
      <c r="A412" s="649" t="s">
        <v>4159</v>
      </c>
      <c r="B412" s="725" t="s">
        <v>4158</v>
      </c>
    </row>
    <row r="413" spans="1:2" x14ac:dyDescent="0.2">
      <c r="A413" s="649" t="s">
        <v>5692</v>
      </c>
      <c r="B413" s="725" t="s">
        <v>5691</v>
      </c>
    </row>
    <row r="414" spans="1:2" x14ac:dyDescent="0.2">
      <c r="A414" s="649" t="s">
        <v>7690</v>
      </c>
      <c r="B414" s="725" t="s">
        <v>7689</v>
      </c>
    </row>
    <row r="415" spans="1:2" x14ac:dyDescent="0.2">
      <c r="A415" s="649" t="s">
        <v>4393</v>
      </c>
      <c r="B415" s="725" t="s">
        <v>4392</v>
      </c>
    </row>
    <row r="416" spans="1:2" x14ac:dyDescent="0.2">
      <c r="A416" s="649" t="s">
        <v>3559</v>
      </c>
      <c r="B416" s="725" t="s">
        <v>3558</v>
      </c>
    </row>
    <row r="417" spans="1:2" x14ac:dyDescent="0.2">
      <c r="A417" s="649" t="s">
        <v>7344</v>
      </c>
      <c r="B417" s="725" t="s">
        <v>7343</v>
      </c>
    </row>
    <row r="418" spans="1:2" x14ac:dyDescent="0.2">
      <c r="A418" s="649" t="s">
        <v>6616</v>
      </c>
      <c r="B418" s="725" t="s">
        <v>6615</v>
      </c>
    </row>
    <row r="419" spans="1:2" x14ac:dyDescent="0.2">
      <c r="A419" s="649" t="s">
        <v>6618</v>
      </c>
      <c r="B419" s="725" t="s">
        <v>6617</v>
      </c>
    </row>
    <row r="420" spans="1:2" x14ac:dyDescent="0.2">
      <c r="A420" s="649" t="s">
        <v>4939</v>
      </c>
      <c r="B420" s="725" t="s">
        <v>4938</v>
      </c>
    </row>
    <row r="421" spans="1:2" x14ac:dyDescent="0.2">
      <c r="A421" s="649" t="s">
        <v>1526</v>
      </c>
      <c r="B421" s="725" t="s">
        <v>1525</v>
      </c>
    </row>
    <row r="422" spans="1:2" x14ac:dyDescent="0.2">
      <c r="A422" s="649" t="s">
        <v>2687</v>
      </c>
      <c r="B422" s="725" t="s">
        <v>2686</v>
      </c>
    </row>
    <row r="423" spans="1:2" x14ac:dyDescent="0.2">
      <c r="A423" s="649" t="s">
        <v>6726</v>
      </c>
      <c r="B423" s="725" t="s">
        <v>6725</v>
      </c>
    </row>
    <row r="424" spans="1:2" x14ac:dyDescent="0.2">
      <c r="A424" s="649" t="s">
        <v>2689</v>
      </c>
      <c r="B424" s="725" t="s">
        <v>2688</v>
      </c>
    </row>
    <row r="425" spans="1:2" x14ac:dyDescent="0.2">
      <c r="A425" s="649" t="s">
        <v>2691</v>
      </c>
      <c r="B425" s="725" t="s">
        <v>2690</v>
      </c>
    </row>
    <row r="426" spans="1:2" x14ac:dyDescent="0.2">
      <c r="A426" s="649" t="s">
        <v>1931</v>
      </c>
      <c r="B426" s="725" t="s">
        <v>1930</v>
      </c>
    </row>
    <row r="427" spans="1:2" x14ac:dyDescent="0.2">
      <c r="A427" s="649" t="s">
        <v>4061</v>
      </c>
      <c r="B427" s="725" t="s">
        <v>4060</v>
      </c>
    </row>
    <row r="428" spans="1:2" x14ac:dyDescent="0.2">
      <c r="A428" s="649" t="s">
        <v>582</v>
      </c>
      <c r="B428" s="725" t="s">
        <v>581</v>
      </c>
    </row>
    <row r="429" spans="1:2" x14ac:dyDescent="0.2">
      <c r="A429" s="649" t="s">
        <v>5694</v>
      </c>
      <c r="B429" s="725" t="s">
        <v>5693</v>
      </c>
    </row>
    <row r="430" spans="1:2" x14ac:dyDescent="0.2">
      <c r="A430" s="649" t="s">
        <v>5696</v>
      </c>
      <c r="B430" s="725" t="s">
        <v>5695</v>
      </c>
    </row>
    <row r="431" spans="1:2" x14ac:dyDescent="0.2">
      <c r="A431" s="649" t="s">
        <v>1586</v>
      </c>
      <c r="B431" s="725" t="s">
        <v>1585</v>
      </c>
    </row>
    <row r="432" spans="1:2" x14ac:dyDescent="0.2">
      <c r="A432" s="649" t="s">
        <v>4941</v>
      </c>
      <c r="B432" s="725" t="s">
        <v>4940</v>
      </c>
    </row>
    <row r="433" spans="1:2" x14ac:dyDescent="0.2">
      <c r="A433" s="649" t="s">
        <v>4943</v>
      </c>
      <c r="B433" s="725" t="s">
        <v>4942</v>
      </c>
    </row>
    <row r="434" spans="1:2" x14ac:dyDescent="0.2">
      <c r="A434" s="649" t="s">
        <v>1825</v>
      </c>
      <c r="B434" s="725" t="s">
        <v>1824</v>
      </c>
    </row>
    <row r="435" spans="1:2" x14ac:dyDescent="0.2">
      <c r="A435" s="649" t="s">
        <v>4407</v>
      </c>
      <c r="B435" s="725" t="s">
        <v>4406</v>
      </c>
    </row>
    <row r="436" spans="1:2" x14ac:dyDescent="0.2">
      <c r="A436" s="649" t="s">
        <v>5365</v>
      </c>
      <c r="B436" s="725" t="s">
        <v>5364</v>
      </c>
    </row>
    <row r="437" spans="1:2" x14ac:dyDescent="0.2">
      <c r="A437" s="649" t="s">
        <v>2177</v>
      </c>
      <c r="B437" s="725" t="s">
        <v>2176</v>
      </c>
    </row>
    <row r="438" spans="1:2" x14ac:dyDescent="0.2">
      <c r="A438" s="649" t="s">
        <v>5071</v>
      </c>
      <c r="B438" s="725" t="s">
        <v>5070</v>
      </c>
    </row>
    <row r="439" spans="1:2" x14ac:dyDescent="0.2">
      <c r="A439" s="649" t="s">
        <v>5255</v>
      </c>
      <c r="B439" s="725" t="s">
        <v>5254</v>
      </c>
    </row>
    <row r="440" spans="1:2" x14ac:dyDescent="0.2">
      <c r="A440" s="649" t="s">
        <v>5127</v>
      </c>
      <c r="B440" s="725" t="s">
        <v>5126</v>
      </c>
    </row>
    <row r="441" spans="1:2" x14ac:dyDescent="0.2">
      <c r="A441" s="649" t="s">
        <v>1933</v>
      </c>
      <c r="B441" s="725" t="s">
        <v>1932</v>
      </c>
    </row>
    <row r="442" spans="1:2" x14ac:dyDescent="0.2">
      <c r="A442" s="649" t="s">
        <v>4161</v>
      </c>
      <c r="B442" s="725" t="s">
        <v>4160</v>
      </c>
    </row>
    <row r="443" spans="1:2" x14ac:dyDescent="0.2">
      <c r="A443" s="649" t="s">
        <v>4525</v>
      </c>
      <c r="B443" s="725" t="s">
        <v>4524</v>
      </c>
    </row>
    <row r="444" spans="1:2" x14ac:dyDescent="0.2">
      <c r="A444" s="649" t="s">
        <v>8034</v>
      </c>
      <c r="B444" s="725" t="s">
        <v>8033</v>
      </c>
    </row>
    <row r="445" spans="1:2" x14ac:dyDescent="0.2">
      <c r="A445" s="649" t="s">
        <v>7424</v>
      </c>
      <c r="B445" s="725" t="s">
        <v>7423</v>
      </c>
    </row>
    <row r="446" spans="1:2" x14ac:dyDescent="0.2">
      <c r="A446" s="649" t="s">
        <v>1827</v>
      </c>
      <c r="B446" s="725" t="s">
        <v>1826</v>
      </c>
    </row>
    <row r="447" spans="1:2" x14ac:dyDescent="0.2">
      <c r="A447" s="649" t="s">
        <v>3617</v>
      </c>
      <c r="B447" s="725" t="s">
        <v>3616</v>
      </c>
    </row>
    <row r="448" spans="1:2" x14ac:dyDescent="0.2">
      <c r="A448" s="649" t="s">
        <v>2411</v>
      </c>
      <c r="B448" s="725" t="s">
        <v>2410</v>
      </c>
    </row>
    <row r="449" spans="1:2" x14ac:dyDescent="0.2">
      <c r="A449" s="649" t="s">
        <v>8316</v>
      </c>
      <c r="B449" s="725" t="s">
        <v>8315</v>
      </c>
    </row>
    <row r="450" spans="1:2" x14ac:dyDescent="0.2">
      <c r="A450" s="649" t="s">
        <v>5073</v>
      </c>
      <c r="B450" s="725" t="s">
        <v>5072</v>
      </c>
    </row>
    <row r="451" spans="1:2" x14ac:dyDescent="0.2">
      <c r="A451" s="649" t="s">
        <v>6502</v>
      </c>
      <c r="B451" s="725" t="s">
        <v>6501</v>
      </c>
    </row>
    <row r="452" spans="1:2" x14ac:dyDescent="0.2">
      <c r="A452" s="649" t="s">
        <v>1438</v>
      </c>
      <c r="B452" s="725" t="s">
        <v>1437</v>
      </c>
    </row>
    <row r="453" spans="1:2" x14ac:dyDescent="0.2">
      <c r="A453" s="649" t="s">
        <v>5257</v>
      </c>
      <c r="B453" s="725" t="s">
        <v>5256</v>
      </c>
    </row>
    <row r="454" spans="1:2" x14ac:dyDescent="0.2">
      <c r="A454" s="649" t="s">
        <v>5393</v>
      </c>
      <c r="B454" s="725" t="s">
        <v>5392</v>
      </c>
    </row>
    <row r="455" spans="1:2" x14ac:dyDescent="0.2">
      <c r="A455" s="649" t="s">
        <v>1214</v>
      </c>
      <c r="B455" s="725" t="s">
        <v>1213</v>
      </c>
    </row>
    <row r="456" spans="1:2" x14ac:dyDescent="0.2">
      <c r="A456" s="649" t="s">
        <v>489</v>
      </c>
      <c r="B456" s="725" t="s">
        <v>488</v>
      </c>
    </row>
    <row r="457" spans="1:2" x14ac:dyDescent="0.2">
      <c r="A457" s="649" t="s">
        <v>8116</v>
      </c>
      <c r="B457" s="725" t="s">
        <v>8115</v>
      </c>
    </row>
    <row r="458" spans="1:2" x14ac:dyDescent="0.2">
      <c r="A458" s="649" t="s">
        <v>7242</v>
      </c>
      <c r="B458" s="725" t="s">
        <v>7241</v>
      </c>
    </row>
    <row r="459" spans="1:2" x14ac:dyDescent="0.2">
      <c r="A459" s="649" t="s">
        <v>3511</v>
      </c>
      <c r="B459" s="725" t="s">
        <v>3510</v>
      </c>
    </row>
    <row r="460" spans="1:2" x14ac:dyDescent="0.2">
      <c r="A460" s="649" t="s">
        <v>3695</v>
      </c>
      <c r="B460" s="725" t="s">
        <v>3694</v>
      </c>
    </row>
    <row r="461" spans="1:2" x14ac:dyDescent="0.2">
      <c r="A461" s="649" t="s">
        <v>7062</v>
      </c>
      <c r="B461" s="725" t="s">
        <v>7061</v>
      </c>
    </row>
    <row r="462" spans="1:2" x14ac:dyDescent="0.2">
      <c r="A462" s="649" t="s">
        <v>4527</v>
      </c>
      <c r="B462" s="725" t="s">
        <v>4526</v>
      </c>
    </row>
    <row r="463" spans="1:2" x14ac:dyDescent="0.2">
      <c r="A463" s="649" t="s">
        <v>5219</v>
      </c>
      <c r="B463" s="725" t="s">
        <v>5218</v>
      </c>
    </row>
    <row r="464" spans="1:2" x14ac:dyDescent="0.2">
      <c r="A464" s="649" t="s">
        <v>5698</v>
      </c>
      <c r="B464" s="725" t="s">
        <v>5697</v>
      </c>
    </row>
    <row r="465" spans="1:2" x14ac:dyDescent="0.2">
      <c r="A465" s="649" t="s">
        <v>5700</v>
      </c>
      <c r="B465" s="725" t="s">
        <v>5699</v>
      </c>
    </row>
    <row r="466" spans="1:2" x14ac:dyDescent="0.2">
      <c r="A466" s="649" t="s">
        <v>5549</v>
      </c>
      <c r="B466" s="725" t="s">
        <v>5548</v>
      </c>
    </row>
    <row r="467" spans="1:2" x14ac:dyDescent="0.2">
      <c r="A467" s="649" t="s">
        <v>4409</v>
      </c>
      <c r="B467" s="725" t="s">
        <v>4408</v>
      </c>
    </row>
    <row r="468" spans="1:2" x14ac:dyDescent="0.2">
      <c r="A468" s="649" t="s">
        <v>8306</v>
      </c>
      <c r="B468" s="725" t="s">
        <v>8305</v>
      </c>
    </row>
    <row r="469" spans="1:2" x14ac:dyDescent="0.2">
      <c r="A469" s="649" t="s">
        <v>2301</v>
      </c>
      <c r="B469" s="725" t="s">
        <v>2300</v>
      </c>
    </row>
    <row r="470" spans="1:2" x14ac:dyDescent="0.2">
      <c r="A470" s="649" t="s">
        <v>3537</v>
      </c>
      <c r="B470" s="725" t="s">
        <v>3536</v>
      </c>
    </row>
    <row r="471" spans="1:2" x14ac:dyDescent="0.2">
      <c r="A471" s="649" t="s">
        <v>6728</v>
      </c>
      <c r="B471" s="725" t="s">
        <v>6727</v>
      </c>
    </row>
    <row r="472" spans="1:2" x14ac:dyDescent="0.2">
      <c r="A472" s="649" t="s">
        <v>5702</v>
      </c>
      <c r="B472" s="725" t="s">
        <v>5701</v>
      </c>
    </row>
    <row r="473" spans="1:2" x14ac:dyDescent="0.2">
      <c r="A473" s="649" t="s">
        <v>2413</v>
      </c>
      <c r="B473" s="725" t="s">
        <v>2412</v>
      </c>
    </row>
    <row r="474" spans="1:2" x14ac:dyDescent="0.2">
      <c r="A474" s="649" t="s">
        <v>2693</v>
      </c>
      <c r="B474" s="725" t="s">
        <v>2692</v>
      </c>
    </row>
    <row r="475" spans="1:2" x14ac:dyDescent="0.2">
      <c r="A475" s="649" t="s">
        <v>806</v>
      </c>
      <c r="B475" s="725" t="s">
        <v>805</v>
      </c>
    </row>
    <row r="476" spans="1:2" x14ac:dyDescent="0.2">
      <c r="A476" s="649" t="s">
        <v>4121</v>
      </c>
      <c r="B476" s="725" t="s">
        <v>4120</v>
      </c>
    </row>
    <row r="477" spans="1:2" x14ac:dyDescent="0.2">
      <c r="A477" s="649" t="s">
        <v>4875</v>
      </c>
      <c r="B477" s="725" t="s">
        <v>4874</v>
      </c>
    </row>
    <row r="478" spans="1:2" x14ac:dyDescent="0.2">
      <c r="A478" s="649" t="s">
        <v>4671</v>
      </c>
      <c r="B478" s="725" t="s">
        <v>4670</v>
      </c>
    </row>
    <row r="479" spans="1:2" x14ac:dyDescent="0.2">
      <c r="A479" s="649" t="s">
        <v>2695</v>
      </c>
      <c r="B479" s="725" t="s">
        <v>2694</v>
      </c>
    </row>
    <row r="480" spans="1:2" x14ac:dyDescent="0.2">
      <c r="A480" s="649" t="s">
        <v>5075</v>
      </c>
      <c r="B480" s="725" t="s">
        <v>5074</v>
      </c>
    </row>
    <row r="481" spans="1:2" x14ac:dyDescent="0.2">
      <c r="A481" s="649" t="s">
        <v>5395</v>
      </c>
      <c r="B481" s="725" t="s">
        <v>5394</v>
      </c>
    </row>
    <row r="482" spans="1:2" x14ac:dyDescent="0.2">
      <c r="A482" s="649" t="s">
        <v>5704</v>
      </c>
      <c r="B482" s="725" t="s">
        <v>5703</v>
      </c>
    </row>
    <row r="483" spans="1:2" x14ac:dyDescent="0.2">
      <c r="A483" s="649" t="s">
        <v>1993</v>
      </c>
      <c r="B483" s="725" t="s">
        <v>1992</v>
      </c>
    </row>
    <row r="484" spans="1:2" x14ac:dyDescent="0.2">
      <c r="A484" s="649" t="s">
        <v>2415</v>
      </c>
      <c r="B484" s="725" t="s">
        <v>2414</v>
      </c>
    </row>
    <row r="485" spans="1:2" x14ac:dyDescent="0.2">
      <c r="A485" s="649" t="s">
        <v>8036</v>
      </c>
      <c r="B485" s="725" t="s">
        <v>8035</v>
      </c>
    </row>
    <row r="486" spans="1:2" x14ac:dyDescent="0.2">
      <c r="A486" s="649" t="s">
        <v>7244</v>
      </c>
      <c r="B486" s="725" t="s">
        <v>7243</v>
      </c>
    </row>
    <row r="487" spans="1:2" x14ac:dyDescent="0.2">
      <c r="A487" s="649" t="s">
        <v>1907</v>
      </c>
      <c r="B487" s="725" t="s">
        <v>1906</v>
      </c>
    </row>
    <row r="488" spans="1:2" x14ac:dyDescent="0.2">
      <c r="A488" s="649" t="s">
        <v>2071</v>
      </c>
      <c r="B488" s="725" t="s">
        <v>2070</v>
      </c>
    </row>
    <row r="489" spans="1:2" x14ac:dyDescent="0.2">
      <c r="A489" s="649" t="s">
        <v>6730</v>
      </c>
      <c r="B489" s="725" t="s">
        <v>6729</v>
      </c>
    </row>
    <row r="490" spans="1:2" x14ac:dyDescent="0.2">
      <c r="A490" s="649" t="s">
        <v>8118</v>
      </c>
      <c r="B490" s="725" t="s">
        <v>8117</v>
      </c>
    </row>
    <row r="491" spans="1:2" x14ac:dyDescent="0.2">
      <c r="A491" s="649" t="s">
        <v>6732</v>
      </c>
      <c r="B491" s="725" t="s">
        <v>6731</v>
      </c>
    </row>
    <row r="492" spans="1:2" x14ac:dyDescent="0.2">
      <c r="A492" s="649" t="s">
        <v>6734</v>
      </c>
      <c r="B492" s="725" t="s">
        <v>6733</v>
      </c>
    </row>
    <row r="493" spans="1:2" x14ac:dyDescent="0.2">
      <c r="A493" s="649" t="s">
        <v>6736</v>
      </c>
      <c r="B493" s="725" t="s">
        <v>6735</v>
      </c>
    </row>
    <row r="494" spans="1:2" x14ac:dyDescent="0.2">
      <c r="A494" s="649" t="s">
        <v>7048</v>
      </c>
      <c r="B494" s="725" t="s">
        <v>7047</v>
      </c>
    </row>
    <row r="495" spans="1:2" x14ac:dyDescent="0.2">
      <c r="A495" s="649" t="s">
        <v>3723</v>
      </c>
      <c r="B495" s="725" t="s">
        <v>3722</v>
      </c>
    </row>
    <row r="496" spans="1:2" x14ac:dyDescent="0.2">
      <c r="A496" s="649" t="s">
        <v>1606</v>
      </c>
      <c r="B496" s="725" t="s">
        <v>1605</v>
      </c>
    </row>
    <row r="497" spans="1:2" x14ac:dyDescent="0.2">
      <c r="A497" s="649" t="s">
        <v>4837</v>
      </c>
      <c r="B497" s="725" t="s">
        <v>4836</v>
      </c>
    </row>
    <row r="498" spans="1:2" x14ac:dyDescent="0.2">
      <c r="A498" s="649" t="s">
        <v>4627</v>
      </c>
      <c r="B498" s="725" t="s">
        <v>4626</v>
      </c>
    </row>
    <row r="499" spans="1:2" x14ac:dyDescent="0.2">
      <c r="A499" s="649" t="s">
        <v>6738</v>
      </c>
      <c r="B499" s="725" t="s">
        <v>6737</v>
      </c>
    </row>
    <row r="500" spans="1:2" x14ac:dyDescent="0.2">
      <c r="A500" s="649" t="s">
        <v>5397</v>
      </c>
      <c r="B500" s="725" t="s">
        <v>5396</v>
      </c>
    </row>
    <row r="501" spans="1:2" x14ac:dyDescent="0.2">
      <c r="A501" s="649" t="s">
        <v>7606</v>
      </c>
      <c r="B501" s="725" t="s">
        <v>7605</v>
      </c>
    </row>
    <row r="502" spans="1:2" x14ac:dyDescent="0.2">
      <c r="A502" s="649" t="s">
        <v>5706</v>
      </c>
      <c r="B502" s="725" t="s">
        <v>5705</v>
      </c>
    </row>
    <row r="503" spans="1:2" x14ac:dyDescent="0.2">
      <c r="A503" s="649" t="s">
        <v>1935</v>
      </c>
      <c r="B503" s="725" t="s">
        <v>1934</v>
      </c>
    </row>
    <row r="504" spans="1:2" x14ac:dyDescent="0.2">
      <c r="A504" s="649" t="s">
        <v>5708</v>
      </c>
      <c r="B504" s="725" t="s">
        <v>5707</v>
      </c>
    </row>
    <row r="505" spans="1:2" x14ac:dyDescent="0.2">
      <c r="A505" s="649" t="s">
        <v>1630</v>
      </c>
      <c r="B505" s="725" t="s">
        <v>1629</v>
      </c>
    </row>
    <row r="506" spans="1:2" x14ac:dyDescent="0.2">
      <c r="A506" s="649" t="s">
        <v>3529</v>
      </c>
      <c r="B506" s="725" t="s">
        <v>3528</v>
      </c>
    </row>
    <row r="507" spans="1:2" x14ac:dyDescent="0.2">
      <c r="A507" s="649" t="s">
        <v>5129</v>
      </c>
      <c r="B507" s="725" t="s">
        <v>5128</v>
      </c>
    </row>
    <row r="508" spans="1:2" x14ac:dyDescent="0.2">
      <c r="A508" s="649" t="s">
        <v>5551</v>
      </c>
      <c r="B508" s="725" t="s">
        <v>5550</v>
      </c>
    </row>
    <row r="509" spans="1:2" x14ac:dyDescent="0.2">
      <c r="A509" s="649" t="s">
        <v>6458</v>
      </c>
      <c r="B509" s="725" t="s">
        <v>6457</v>
      </c>
    </row>
    <row r="510" spans="1:2" x14ac:dyDescent="0.2">
      <c r="A510" s="649" t="s">
        <v>8120</v>
      </c>
      <c r="B510" s="725" t="s">
        <v>8119</v>
      </c>
    </row>
    <row r="511" spans="1:2" x14ac:dyDescent="0.2">
      <c r="A511" s="649" t="s">
        <v>768</v>
      </c>
      <c r="B511" s="725" t="s">
        <v>767</v>
      </c>
    </row>
    <row r="512" spans="1:2" x14ac:dyDescent="0.2">
      <c r="A512" s="649" t="s">
        <v>1216</v>
      </c>
      <c r="B512" s="725" t="s">
        <v>1215</v>
      </c>
    </row>
    <row r="513" spans="1:2" x14ac:dyDescent="0.2">
      <c r="A513" s="649" t="s">
        <v>6740</v>
      </c>
      <c r="B513" s="725" t="s">
        <v>6739</v>
      </c>
    </row>
    <row r="514" spans="1:2" x14ac:dyDescent="0.2">
      <c r="A514" s="649" t="s">
        <v>6292</v>
      </c>
      <c r="B514" s="725" t="s">
        <v>6291</v>
      </c>
    </row>
    <row r="515" spans="1:2" x14ac:dyDescent="0.2">
      <c r="A515" s="649" t="s">
        <v>1528</v>
      </c>
      <c r="B515" s="725" t="s">
        <v>1527</v>
      </c>
    </row>
    <row r="516" spans="1:2" x14ac:dyDescent="0.2">
      <c r="A516" s="649" t="s">
        <v>4529</v>
      </c>
      <c r="B516" s="725" t="s">
        <v>4528</v>
      </c>
    </row>
    <row r="517" spans="1:2" x14ac:dyDescent="0.2">
      <c r="A517" s="649" t="s">
        <v>6504</v>
      </c>
      <c r="B517" s="725" t="s">
        <v>6503</v>
      </c>
    </row>
    <row r="518" spans="1:2" x14ac:dyDescent="0.2">
      <c r="A518" s="649" t="s">
        <v>349</v>
      </c>
      <c r="B518" s="725" t="s">
        <v>348</v>
      </c>
    </row>
    <row r="519" spans="1:2" x14ac:dyDescent="0.2">
      <c r="A519" s="649" t="s">
        <v>4877</v>
      </c>
      <c r="B519" s="725" t="s">
        <v>4876</v>
      </c>
    </row>
    <row r="520" spans="1:2" x14ac:dyDescent="0.2">
      <c r="A520" s="649" t="s">
        <v>4327</v>
      </c>
      <c r="B520" s="725" t="s">
        <v>4326</v>
      </c>
    </row>
    <row r="521" spans="1:2" x14ac:dyDescent="0.2">
      <c r="A521" s="649" t="s">
        <v>2417</v>
      </c>
      <c r="B521" s="725" t="s">
        <v>2416</v>
      </c>
    </row>
    <row r="522" spans="1:2" x14ac:dyDescent="0.2">
      <c r="A522" s="649" t="s">
        <v>4751</v>
      </c>
      <c r="B522" s="725" t="s">
        <v>4750</v>
      </c>
    </row>
    <row r="523" spans="1:2" x14ac:dyDescent="0.2">
      <c r="A523" s="649" t="s">
        <v>2697</v>
      </c>
      <c r="B523" s="725" t="s">
        <v>2696</v>
      </c>
    </row>
    <row r="524" spans="1:2" x14ac:dyDescent="0.2">
      <c r="A524" s="649" t="s">
        <v>864</v>
      </c>
      <c r="B524" s="725" t="s">
        <v>863</v>
      </c>
    </row>
    <row r="525" spans="1:2" x14ac:dyDescent="0.2">
      <c r="A525" s="649" t="s">
        <v>5553</v>
      </c>
      <c r="B525" s="725" t="s">
        <v>5552</v>
      </c>
    </row>
    <row r="526" spans="1:2" x14ac:dyDescent="0.2">
      <c r="A526" s="649" t="s">
        <v>6620</v>
      </c>
      <c r="B526" s="725" t="s">
        <v>6619</v>
      </c>
    </row>
    <row r="527" spans="1:2" x14ac:dyDescent="0.2">
      <c r="A527" s="649" t="s">
        <v>1530</v>
      </c>
      <c r="B527" s="725" t="s">
        <v>1529</v>
      </c>
    </row>
    <row r="528" spans="1:2" x14ac:dyDescent="0.2">
      <c r="A528" s="649" t="s">
        <v>7246</v>
      </c>
      <c r="B528" s="725" t="s">
        <v>7245</v>
      </c>
    </row>
    <row r="529" spans="1:2" x14ac:dyDescent="0.2">
      <c r="A529" s="649" t="s">
        <v>4839</v>
      </c>
      <c r="B529" s="725" t="s">
        <v>4838</v>
      </c>
    </row>
    <row r="530" spans="1:2" x14ac:dyDescent="0.2">
      <c r="A530" s="649" t="s">
        <v>4163</v>
      </c>
      <c r="B530" s="725" t="s">
        <v>4162</v>
      </c>
    </row>
    <row r="531" spans="1:2" x14ac:dyDescent="0.2">
      <c r="A531" s="649" t="s">
        <v>5591</v>
      </c>
      <c r="B531" s="725" t="s">
        <v>5590</v>
      </c>
    </row>
    <row r="532" spans="1:2" x14ac:dyDescent="0.2">
      <c r="A532" s="649" t="s">
        <v>6688</v>
      </c>
      <c r="B532" s="725" t="s">
        <v>6687</v>
      </c>
    </row>
    <row r="533" spans="1:2" x14ac:dyDescent="0.2">
      <c r="A533" s="649" t="s">
        <v>5710</v>
      </c>
      <c r="B533" s="725" t="s">
        <v>5709</v>
      </c>
    </row>
    <row r="534" spans="1:2" x14ac:dyDescent="0.2">
      <c r="A534" s="649" t="s">
        <v>5221</v>
      </c>
      <c r="B534" s="725" t="s">
        <v>5220</v>
      </c>
    </row>
    <row r="535" spans="1:2" x14ac:dyDescent="0.2">
      <c r="A535" s="649" t="s">
        <v>4853</v>
      </c>
      <c r="B535" s="725" t="s">
        <v>4852</v>
      </c>
    </row>
    <row r="536" spans="1:2" x14ac:dyDescent="0.2">
      <c r="A536" s="649" t="s">
        <v>978</v>
      </c>
      <c r="B536" s="725" t="s">
        <v>977</v>
      </c>
    </row>
    <row r="537" spans="1:2" x14ac:dyDescent="0.2">
      <c r="A537" s="649" t="s">
        <v>636</v>
      </c>
      <c r="B537" s="725" t="s">
        <v>635</v>
      </c>
    </row>
    <row r="538" spans="1:2" x14ac:dyDescent="0.2">
      <c r="A538" s="649" t="s">
        <v>5712</v>
      </c>
      <c r="B538" s="725" t="s">
        <v>5711</v>
      </c>
    </row>
    <row r="539" spans="1:2" x14ac:dyDescent="0.2">
      <c r="A539" s="649" t="s">
        <v>3725</v>
      </c>
      <c r="B539" s="725" t="s">
        <v>3724</v>
      </c>
    </row>
    <row r="540" spans="1:2" x14ac:dyDescent="0.2">
      <c r="A540" s="649" t="s">
        <v>1440</v>
      </c>
      <c r="B540" s="725" t="s">
        <v>1439</v>
      </c>
    </row>
    <row r="541" spans="1:2" x14ac:dyDescent="0.2">
      <c r="A541" s="649" t="s">
        <v>598</v>
      </c>
      <c r="B541" s="725" t="s">
        <v>597</v>
      </c>
    </row>
    <row r="542" spans="1:2" x14ac:dyDescent="0.2">
      <c r="A542" s="649" t="s">
        <v>4781</v>
      </c>
      <c r="B542" s="725" t="s">
        <v>4780</v>
      </c>
    </row>
    <row r="543" spans="1:2" x14ac:dyDescent="0.2">
      <c r="A543" s="649" t="s">
        <v>6506</v>
      </c>
      <c r="B543" s="725" t="s">
        <v>6505</v>
      </c>
    </row>
    <row r="544" spans="1:2" x14ac:dyDescent="0.2">
      <c r="A544" s="649" t="s">
        <v>7860</v>
      </c>
      <c r="B544" s="725" t="s">
        <v>7859</v>
      </c>
    </row>
    <row r="545" spans="1:2" x14ac:dyDescent="0.2">
      <c r="A545" s="649" t="s">
        <v>2327</v>
      </c>
      <c r="B545" s="725" t="s">
        <v>2326</v>
      </c>
    </row>
    <row r="546" spans="1:2" x14ac:dyDescent="0.2">
      <c r="A546" s="649" t="s">
        <v>1502</v>
      </c>
      <c r="B546" s="725" t="s">
        <v>1501</v>
      </c>
    </row>
    <row r="547" spans="1:2" x14ac:dyDescent="0.2">
      <c r="A547" s="649" t="s">
        <v>5714</v>
      </c>
      <c r="B547" s="725" t="s">
        <v>5713</v>
      </c>
    </row>
    <row r="548" spans="1:2" x14ac:dyDescent="0.2">
      <c r="A548" s="649" t="s">
        <v>5716</v>
      </c>
      <c r="B548" s="725" t="s">
        <v>5715</v>
      </c>
    </row>
    <row r="549" spans="1:2" x14ac:dyDescent="0.2">
      <c r="A549" s="649" t="s">
        <v>1442</v>
      </c>
      <c r="B549" s="725" t="s">
        <v>1441</v>
      </c>
    </row>
    <row r="550" spans="1:2" x14ac:dyDescent="0.2">
      <c r="A550" s="649" t="s">
        <v>6622</v>
      </c>
      <c r="B550" s="725" t="s">
        <v>6621</v>
      </c>
    </row>
    <row r="551" spans="1:2" x14ac:dyDescent="0.2">
      <c r="A551" s="649" t="s">
        <v>351</v>
      </c>
      <c r="B551" s="725" t="s">
        <v>350</v>
      </c>
    </row>
    <row r="552" spans="1:2" x14ac:dyDescent="0.2">
      <c r="A552" s="649" t="s">
        <v>4841</v>
      </c>
      <c r="B552" s="725" t="s">
        <v>4840</v>
      </c>
    </row>
    <row r="553" spans="1:2" x14ac:dyDescent="0.2">
      <c r="A553" s="649" t="s">
        <v>564</v>
      </c>
      <c r="B553" s="725" t="s">
        <v>563</v>
      </c>
    </row>
    <row r="554" spans="1:2" x14ac:dyDescent="0.2">
      <c r="A554" s="649" t="s">
        <v>2073</v>
      </c>
      <c r="B554" s="725" t="s">
        <v>2072</v>
      </c>
    </row>
    <row r="555" spans="1:2" x14ac:dyDescent="0.2">
      <c r="A555" s="649" t="s">
        <v>1937</v>
      </c>
      <c r="B555" s="725" t="s">
        <v>1936</v>
      </c>
    </row>
    <row r="556" spans="1:2" x14ac:dyDescent="0.2">
      <c r="A556" s="649" t="s">
        <v>1444</v>
      </c>
      <c r="B556" s="725" t="s">
        <v>1443</v>
      </c>
    </row>
    <row r="557" spans="1:2" x14ac:dyDescent="0.2">
      <c r="A557" s="649" t="s">
        <v>3705</v>
      </c>
      <c r="B557" s="725" t="s">
        <v>3704</v>
      </c>
    </row>
    <row r="558" spans="1:2" x14ac:dyDescent="0.2">
      <c r="A558" s="649" t="s">
        <v>353</v>
      </c>
      <c r="B558" s="725" t="s">
        <v>352</v>
      </c>
    </row>
    <row r="559" spans="1:2" x14ac:dyDescent="0.2">
      <c r="A559" s="649" t="s">
        <v>3607</v>
      </c>
      <c r="B559" s="725" t="s">
        <v>3606</v>
      </c>
    </row>
    <row r="560" spans="1:2" x14ac:dyDescent="0.2">
      <c r="A560" s="649" t="s">
        <v>2699</v>
      </c>
      <c r="B560" s="725" t="s">
        <v>2698</v>
      </c>
    </row>
    <row r="561" spans="1:2" x14ac:dyDescent="0.2">
      <c r="A561" s="649" t="s">
        <v>980</v>
      </c>
      <c r="B561" s="725" t="s">
        <v>979</v>
      </c>
    </row>
    <row r="562" spans="1:2" x14ac:dyDescent="0.2">
      <c r="A562" s="649" t="s">
        <v>7634</v>
      </c>
      <c r="B562" s="725" t="s">
        <v>7633</v>
      </c>
    </row>
    <row r="563" spans="1:2" x14ac:dyDescent="0.2">
      <c r="A563" s="649" t="s">
        <v>638</v>
      </c>
      <c r="B563" s="725" t="s">
        <v>637</v>
      </c>
    </row>
    <row r="564" spans="1:2" x14ac:dyDescent="0.2">
      <c r="A564" s="649" t="s">
        <v>2075</v>
      </c>
      <c r="B564" s="725" t="s">
        <v>2074</v>
      </c>
    </row>
    <row r="565" spans="1:2" x14ac:dyDescent="0.2">
      <c r="A565" s="649" t="s">
        <v>1939</v>
      </c>
      <c r="B565" s="725" t="s">
        <v>1938</v>
      </c>
    </row>
    <row r="566" spans="1:2" x14ac:dyDescent="0.2">
      <c r="A566" s="649" t="s">
        <v>355</v>
      </c>
      <c r="B566" s="725" t="s">
        <v>354</v>
      </c>
    </row>
    <row r="567" spans="1:2" x14ac:dyDescent="0.2">
      <c r="A567" s="649" t="s">
        <v>357</v>
      </c>
      <c r="B567" s="725" t="s">
        <v>356</v>
      </c>
    </row>
    <row r="568" spans="1:2" x14ac:dyDescent="0.2">
      <c r="A568" s="649" t="s">
        <v>2077</v>
      </c>
      <c r="B568" s="725" t="s">
        <v>2076</v>
      </c>
    </row>
    <row r="569" spans="1:2" x14ac:dyDescent="0.2">
      <c r="A569" s="649" t="s">
        <v>1941</v>
      </c>
      <c r="B569" s="725" t="s">
        <v>1940</v>
      </c>
    </row>
    <row r="570" spans="1:2" x14ac:dyDescent="0.2">
      <c r="A570" s="649" t="s">
        <v>7806</v>
      </c>
      <c r="B570" s="725" t="s">
        <v>7805</v>
      </c>
    </row>
    <row r="571" spans="1:2" x14ac:dyDescent="0.2">
      <c r="A571" s="649" t="s">
        <v>4629</v>
      </c>
      <c r="B571" s="725" t="s">
        <v>4628</v>
      </c>
    </row>
    <row r="572" spans="1:2" x14ac:dyDescent="0.2">
      <c r="A572" s="649" t="s">
        <v>2419</v>
      </c>
      <c r="B572" s="725" t="s">
        <v>2418</v>
      </c>
    </row>
    <row r="573" spans="1:2" x14ac:dyDescent="0.2">
      <c r="A573" s="649" t="s">
        <v>5718</v>
      </c>
      <c r="B573" s="725" t="s">
        <v>5717</v>
      </c>
    </row>
    <row r="574" spans="1:2" x14ac:dyDescent="0.2">
      <c r="A574" s="649" t="s">
        <v>3575</v>
      </c>
      <c r="B574" s="725" t="s">
        <v>3574</v>
      </c>
    </row>
    <row r="575" spans="1:2" x14ac:dyDescent="0.2">
      <c r="A575" s="649" t="s">
        <v>2701</v>
      </c>
      <c r="B575" s="725" t="s">
        <v>2700</v>
      </c>
    </row>
    <row r="576" spans="1:2" x14ac:dyDescent="0.2">
      <c r="A576" s="649" t="s">
        <v>1504</v>
      </c>
      <c r="B576" s="725" t="s">
        <v>1503</v>
      </c>
    </row>
    <row r="577" spans="1:2" x14ac:dyDescent="0.2">
      <c r="A577" s="649" t="s">
        <v>5720</v>
      </c>
      <c r="B577" s="725" t="s">
        <v>5719</v>
      </c>
    </row>
    <row r="578" spans="1:2" x14ac:dyDescent="0.2">
      <c r="A578" s="649" t="s">
        <v>5722</v>
      </c>
      <c r="B578" s="725" t="s">
        <v>5721</v>
      </c>
    </row>
    <row r="579" spans="1:2" x14ac:dyDescent="0.2">
      <c r="A579" s="649" t="s">
        <v>2079</v>
      </c>
      <c r="B579" s="725" t="s">
        <v>2078</v>
      </c>
    </row>
    <row r="580" spans="1:2" x14ac:dyDescent="0.2">
      <c r="A580" s="649" t="s">
        <v>2081</v>
      </c>
      <c r="B580" s="725" t="s">
        <v>2080</v>
      </c>
    </row>
    <row r="581" spans="1:2" x14ac:dyDescent="0.2">
      <c r="A581" s="649" t="s">
        <v>2421</v>
      </c>
      <c r="B581" s="725" t="s">
        <v>2420</v>
      </c>
    </row>
    <row r="582" spans="1:2" x14ac:dyDescent="0.2">
      <c r="A582" s="649" t="s">
        <v>5724</v>
      </c>
      <c r="B582" s="725" t="s">
        <v>5723</v>
      </c>
    </row>
    <row r="583" spans="1:2" x14ac:dyDescent="0.2">
      <c r="A583" s="649" t="s">
        <v>6460</v>
      </c>
      <c r="B583" s="725" t="s">
        <v>6459</v>
      </c>
    </row>
    <row r="584" spans="1:2" x14ac:dyDescent="0.2">
      <c r="A584" s="649" t="s">
        <v>5131</v>
      </c>
      <c r="B584" s="725" t="s">
        <v>5130</v>
      </c>
    </row>
    <row r="585" spans="1:2" x14ac:dyDescent="0.2">
      <c r="A585" s="649" t="s">
        <v>5726</v>
      </c>
      <c r="B585" s="725" t="s">
        <v>5725</v>
      </c>
    </row>
    <row r="586" spans="1:2" x14ac:dyDescent="0.2">
      <c r="A586" s="649" t="s">
        <v>640</v>
      </c>
      <c r="B586" s="725" t="s">
        <v>639</v>
      </c>
    </row>
    <row r="587" spans="1:2" x14ac:dyDescent="0.2">
      <c r="A587" s="649" t="s">
        <v>5728</v>
      </c>
      <c r="B587" s="725" t="s">
        <v>5727</v>
      </c>
    </row>
    <row r="588" spans="1:2" x14ac:dyDescent="0.2">
      <c r="A588" s="649" t="s">
        <v>2083</v>
      </c>
      <c r="B588" s="725" t="s">
        <v>2082</v>
      </c>
    </row>
    <row r="589" spans="1:2" x14ac:dyDescent="0.2">
      <c r="A589" s="649" t="s">
        <v>7248</v>
      </c>
      <c r="B589" s="725" t="s">
        <v>7247</v>
      </c>
    </row>
    <row r="590" spans="1:2" x14ac:dyDescent="0.2">
      <c r="A590" s="649" t="s">
        <v>4945</v>
      </c>
      <c r="B590" s="725" t="s">
        <v>4944</v>
      </c>
    </row>
    <row r="591" spans="1:2" x14ac:dyDescent="0.2">
      <c r="A591" s="649" t="s">
        <v>3571</v>
      </c>
      <c r="B591" s="725" t="s">
        <v>3570</v>
      </c>
    </row>
    <row r="592" spans="1:2" x14ac:dyDescent="0.2">
      <c r="A592" s="649" t="s">
        <v>7894</v>
      </c>
      <c r="B592" s="725" t="s">
        <v>7893</v>
      </c>
    </row>
    <row r="593" spans="1:2" x14ac:dyDescent="0.2">
      <c r="A593" s="649" t="s">
        <v>2703</v>
      </c>
      <c r="B593" s="725" t="s">
        <v>2702</v>
      </c>
    </row>
    <row r="594" spans="1:2" x14ac:dyDescent="0.2">
      <c r="A594" s="649" t="s">
        <v>3905</v>
      </c>
      <c r="B594" s="725" t="s">
        <v>3904</v>
      </c>
    </row>
    <row r="595" spans="1:2" x14ac:dyDescent="0.2">
      <c r="A595" s="649" t="s">
        <v>7954</v>
      </c>
      <c r="B595" s="725" t="s">
        <v>7953</v>
      </c>
    </row>
    <row r="596" spans="1:2" x14ac:dyDescent="0.2">
      <c r="A596" s="649" t="s">
        <v>10333</v>
      </c>
      <c r="B596" s="725" t="s">
        <v>10334</v>
      </c>
    </row>
    <row r="597" spans="1:2" x14ac:dyDescent="0.2">
      <c r="A597" s="649" t="s">
        <v>285</v>
      </c>
      <c r="B597" s="725" t="s">
        <v>284</v>
      </c>
    </row>
    <row r="598" spans="1:2" x14ac:dyDescent="0.2">
      <c r="A598" s="649" t="s">
        <v>421</v>
      </c>
      <c r="B598" s="725" t="s">
        <v>420</v>
      </c>
    </row>
    <row r="599" spans="1:2" x14ac:dyDescent="0.2">
      <c r="A599" s="649" t="s">
        <v>293</v>
      </c>
      <c r="B599" s="725" t="s">
        <v>292</v>
      </c>
    </row>
    <row r="600" spans="1:2" x14ac:dyDescent="0.2">
      <c r="A600" s="649" t="s">
        <v>5311</v>
      </c>
      <c r="B600" s="725" t="s">
        <v>5310</v>
      </c>
    </row>
    <row r="601" spans="1:2" x14ac:dyDescent="0.2">
      <c r="A601" s="649" t="s">
        <v>5259</v>
      </c>
      <c r="B601" s="725" t="s">
        <v>5258</v>
      </c>
    </row>
    <row r="602" spans="1:2" x14ac:dyDescent="0.2">
      <c r="A602" s="649" t="s">
        <v>491</v>
      </c>
      <c r="B602" s="725" t="s">
        <v>490</v>
      </c>
    </row>
    <row r="603" spans="1:2" x14ac:dyDescent="0.2">
      <c r="A603" s="649" t="s">
        <v>6574</v>
      </c>
      <c r="B603" s="725" t="s">
        <v>6573</v>
      </c>
    </row>
    <row r="604" spans="1:2" x14ac:dyDescent="0.2">
      <c r="A604" s="649" t="s">
        <v>8122</v>
      </c>
      <c r="B604" s="725" t="s">
        <v>8121</v>
      </c>
    </row>
    <row r="605" spans="1:2" x14ac:dyDescent="0.2">
      <c r="A605" s="649" t="s">
        <v>7346</v>
      </c>
      <c r="B605" s="725" t="s">
        <v>7345</v>
      </c>
    </row>
    <row r="606" spans="1:2" x14ac:dyDescent="0.2">
      <c r="A606" s="649" t="s">
        <v>1632</v>
      </c>
      <c r="B606" s="725" t="s">
        <v>1631</v>
      </c>
    </row>
    <row r="607" spans="1:2" x14ac:dyDescent="0.2">
      <c r="A607" s="649" t="s">
        <v>6742</v>
      </c>
      <c r="B607" s="725" t="s">
        <v>6741</v>
      </c>
    </row>
    <row r="608" spans="1:2" x14ac:dyDescent="0.2">
      <c r="A608" s="649" t="s">
        <v>1634</v>
      </c>
      <c r="B608" s="725" t="s">
        <v>1633</v>
      </c>
    </row>
    <row r="609" spans="1:2" x14ac:dyDescent="0.2">
      <c r="A609" s="649" t="s">
        <v>8124</v>
      </c>
      <c r="B609" s="725" t="s">
        <v>8123</v>
      </c>
    </row>
    <row r="610" spans="1:2" x14ac:dyDescent="0.2">
      <c r="A610" s="649" t="s">
        <v>4649</v>
      </c>
      <c r="B610" s="725" t="s">
        <v>4648</v>
      </c>
    </row>
    <row r="611" spans="1:2" x14ac:dyDescent="0.2">
      <c r="A611" s="649" t="s">
        <v>4479</v>
      </c>
      <c r="B611" s="725" t="s">
        <v>4478</v>
      </c>
    </row>
    <row r="612" spans="1:2" x14ac:dyDescent="0.2">
      <c r="A612" s="649" t="s">
        <v>3545</v>
      </c>
      <c r="B612" s="725" t="s">
        <v>3544</v>
      </c>
    </row>
    <row r="613" spans="1:2" x14ac:dyDescent="0.2">
      <c r="A613" s="649" t="s">
        <v>2219</v>
      </c>
      <c r="B613" s="725" t="s">
        <v>2218</v>
      </c>
    </row>
    <row r="614" spans="1:2" x14ac:dyDescent="0.2">
      <c r="A614" s="649" t="s">
        <v>6362</v>
      </c>
      <c r="B614" s="725" t="s">
        <v>6361</v>
      </c>
    </row>
    <row r="615" spans="1:2" x14ac:dyDescent="0.2">
      <c r="A615" s="649" t="s">
        <v>7862</v>
      </c>
      <c r="B615" s="725" t="s">
        <v>7861</v>
      </c>
    </row>
    <row r="616" spans="1:2" x14ac:dyDescent="0.2">
      <c r="A616" s="649" t="s">
        <v>7384</v>
      </c>
      <c r="B616" s="725" t="s">
        <v>7383</v>
      </c>
    </row>
    <row r="617" spans="1:2" x14ac:dyDescent="0.2">
      <c r="A617" s="649" t="s">
        <v>1789</v>
      </c>
      <c r="B617" s="725" t="s">
        <v>1788</v>
      </c>
    </row>
    <row r="618" spans="1:2" x14ac:dyDescent="0.2">
      <c r="A618" s="649" t="s">
        <v>5339</v>
      </c>
      <c r="B618" s="725" t="s">
        <v>5338</v>
      </c>
    </row>
    <row r="619" spans="1:2" x14ac:dyDescent="0.2">
      <c r="A619" s="649" t="s">
        <v>4631</v>
      </c>
      <c r="B619" s="725" t="s">
        <v>4630</v>
      </c>
    </row>
    <row r="620" spans="1:2" x14ac:dyDescent="0.2">
      <c r="A620" s="649" t="s">
        <v>3513</v>
      </c>
      <c r="B620" s="725" t="s">
        <v>3512</v>
      </c>
    </row>
    <row r="621" spans="1:2" x14ac:dyDescent="0.2">
      <c r="A621" s="649" t="s">
        <v>6744</v>
      </c>
      <c r="B621" s="725" t="s">
        <v>6743</v>
      </c>
    </row>
    <row r="622" spans="1:2" x14ac:dyDescent="0.2">
      <c r="A622" s="649" t="s">
        <v>6746</v>
      </c>
      <c r="B622" s="725" t="s">
        <v>6745</v>
      </c>
    </row>
    <row r="623" spans="1:2" x14ac:dyDescent="0.2">
      <c r="A623" s="649" t="s">
        <v>1829</v>
      </c>
      <c r="B623" s="725" t="s">
        <v>1828</v>
      </c>
    </row>
    <row r="624" spans="1:2" x14ac:dyDescent="0.2">
      <c r="A624" s="649" t="s">
        <v>8038</v>
      </c>
      <c r="B624" s="725" t="s">
        <v>8037</v>
      </c>
    </row>
    <row r="625" spans="1:2" x14ac:dyDescent="0.2">
      <c r="A625" s="649" t="s">
        <v>2349</v>
      </c>
      <c r="B625" s="725" t="s">
        <v>2348</v>
      </c>
    </row>
    <row r="626" spans="1:2" x14ac:dyDescent="0.2">
      <c r="A626" s="649" t="s">
        <v>3709</v>
      </c>
      <c r="B626" s="725" t="s">
        <v>3708</v>
      </c>
    </row>
    <row r="627" spans="1:2" x14ac:dyDescent="0.2">
      <c r="A627" s="649" t="s">
        <v>866</v>
      </c>
      <c r="B627" s="725" t="s">
        <v>865</v>
      </c>
    </row>
    <row r="628" spans="1:2" x14ac:dyDescent="0.2">
      <c r="A628" s="649" t="s">
        <v>5730</v>
      </c>
      <c r="B628" s="725" t="s">
        <v>5729</v>
      </c>
    </row>
    <row r="629" spans="1:2" x14ac:dyDescent="0.2">
      <c r="A629" s="649" t="s">
        <v>5555</v>
      </c>
      <c r="B629" s="725" t="s">
        <v>5554</v>
      </c>
    </row>
    <row r="630" spans="1:2" x14ac:dyDescent="0.2">
      <c r="A630" s="649" t="s">
        <v>8286</v>
      </c>
      <c r="B630" s="725" t="s">
        <v>8285</v>
      </c>
    </row>
    <row r="631" spans="1:2" x14ac:dyDescent="0.2">
      <c r="A631" s="649" t="s">
        <v>5367</v>
      </c>
      <c r="B631" s="725" t="s">
        <v>5366</v>
      </c>
    </row>
    <row r="632" spans="1:2" x14ac:dyDescent="0.2">
      <c r="A632" s="649" t="s">
        <v>5732</v>
      </c>
      <c r="B632" s="725" t="s">
        <v>5731</v>
      </c>
    </row>
    <row r="633" spans="1:2" x14ac:dyDescent="0.2">
      <c r="A633" s="649" t="s">
        <v>2237</v>
      </c>
      <c r="B633" s="725" t="s">
        <v>2236</v>
      </c>
    </row>
    <row r="634" spans="1:2" x14ac:dyDescent="0.2">
      <c r="A634" s="649" t="s">
        <v>8126</v>
      </c>
      <c r="B634" s="725" t="s">
        <v>8125</v>
      </c>
    </row>
    <row r="635" spans="1:2" x14ac:dyDescent="0.2">
      <c r="A635" s="649" t="s">
        <v>1262</v>
      </c>
      <c r="B635" s="725" t="s">
        <v>1261</v>
      </c>
    </row>
    <row r="636" spans="1:2" x14ac:dyDescent="0.2">
      <c r="A636" s="649" t="s">
        <v>6748</v>
      </c>
      <c r="B636" s="725" t="s">
        <v>6747</v>
      </c>
    </row>
    <row r="637" spans="1:2" x14ac:dyDescent="0.2">
      <c r="A637" s="649" t="s">
        <v>1264</v>
      </c>
      <c r="B637" s="725" t="s">
        <v>1263</v>
      </c>
    </row>
    <row r="638" spans="1:2" x14ac:dyDescent="0.2">
      <c r="A638" s="649" t="s">
        <v>3577</v>
      </c>
      <c r="B638" s="725" t="s">
        <v>3576</v>
      </c>
    </row>
    <row r="639" spans="1:2" x14ac:dyDescent="0.2">
      <c r="A639" s="649" t="s">
        <v>3515</v>
      </c>
      <c r="B639" s="725" t="s">
        <v>3514</v>
      </c>
    </row>
    <row r="640" spans="1:2" x14ac:dyDescent="0.2">
      <c r="A640" s="649" t="s">
        <v>3907</v>
      </c>
      <c r="B640" s="725" t="s">
        <v>3906</v>
      </c>
    </row>
    <row r="641" spans="1:2" x14ac:dyDescent="0.2">
      <c r="A641" s="649" t="s">
        <v>4531</v>
      </c>
      <c r="B641" s="725" t="s">
        <v>4530</v>
      </c>
    </row>
    <row r="642" spans="1:2" x14ac:dyDescent="0.2">
      <c r="A642" s="649" t="s">
        <v>1210</v>
      </c>
      <c r="B642" s="725" t="s">
        <v>1209</v>
      </c>
    </row>
    <row r="643" spans="1:2" x14ac:dyDescent="0.2">
      <c r="A643" s="649" t="s">
        <v>7864</v>
      </c>
      <c r="B643" s="725" t="s">
        <v>7863</v>
      </c>
    </row>
    <row r="644" spans="1:2" x14ac:dyDescent="0.2">
      <c r="A644" s="649" t="s">
        <v>1418</v>
      </c>
      <c r="B644" s="725" t="s">
        <v>1417</v>
      </c>
    </row>
    <row r="645" spans="1:2" x14ac:dyDescent="0.2">
      <c r="A645" s="649" t="s">
        <v>4903</v>
      </c>
      <c r="B645" s="725" t="s">
        <v>4902</v>
      </c>
    </row>
    <row r="646" spans="1:2" x14ac:dyDescent="0.2">
      <c r="A646" s="649" t="s">
        <v>8290</v>
      </c>
      <c r="B646" s="725" t="s">
        <v>8289</v>
      </c>
    </row>
    <row r="647" spans="1:2" x14ac:dyDescent="0.2">
      <c r="A647" s="649" t="s">
        <v>8292</v>
      </c>
      <c r="B647" s="725" t="s">
        <v>8291</v>
      </c>
    </row>
    <row r="648" spans="1:2" x14ac:dyDescent="0.2">
      <c r="A648" s="649" t="s">
        <v>8334</v>
      </c>
      <c r="B648" s="725" t="s">
        <v>8333</v>
      </c>
    </row>
    <row r="649" spans="1:2" x14ac:dyDescent="0.2">
      <c r="A649" s="649" t="s">
        <v>7426</v>
      </c>
      <c r="B649" s="725" t="s">
        <v>7425</v>
      </c>
    </row>
    <row r="650" spans="1:2" x14ac:dyDescent="0.2">
      <c r="A650" s="649" t="s">
        <v>8128</v>
      </c>
      <c r="B650" s="725" t="s">
        <v>8127</v>
      </c>
    </row>
    <row r="651" spans="1:2" x14ac:dyDescent="0.2">
      <c r="A651" s="649" t="s">
        <v>6364</v>
      </c>
      <c r="B651" s="725" t="s">
        <v>6363</v>
      </c>
    </row>
    <row r="652" spans="1:2" x14ac:dyDescent="0.2">
      <c r="A652" s="649" t="s">
        <v>6364</v>
      </c>
      <c r="B652" s="725" t="s">
        <v>10335</v>
      </c>
    </row>
    <row r="653" spans="1:2" x14ac:dyDescent="0.2">
      <c r="A653" s="649" t="s">
        <v>6364</v>
      </c>
      <c r="B653" s="725" t="s">
        <v>10336</v>
      </c>
    </row>
    <row r="654" spans="1:2" x14ac:dyDescent="0.2">
      <c r="A654" s="649" t="s">
        <v>3771</v>
      </c>
      <c r="B654" s="725" t="s">
        <v>3770</v>
      </c>
    </row>
    <row r="655" spans="1:2" x14ac:dyDescent="0.2">
      <c r="A655" s="649" t="s">
        <v>2705</v>
      </c>
      <c r="B655" s="725" t="s">
        <v>2704</v>
      </c>
    </row>
    <row r="656" spans="1:2" x14ac:dyDescent="0.2">
      <c r="A656" s="649" t="s">
        <v>3741</v>
      </c>
      <c r="B656" s="725" t="s">
        <v>3740</v>
      </c>
    </row>
    <row r="657" spans="1:2" x14ac:dyDescent="0.2">
      <c r="A657" s="649" t="s">
        <v>4165</v>
      </c>
      <c r="B657" s="725" t="s">
        <v>4164</v>
      </c>
    </row>
    <row r="658" spans="1:2" x14ac:dyDescent="0.2">
      <c r="A658" s="649" t="s">
        <v>6986</v>
      </c>
      <c r="B658" s="725" t="s">
        <v>6985</v>
      </c>
    </row>
    <row r="659" spans="1:2" x14ac:dyDescent="0.2">
      <c r="A659" s="649" t="s">
        <v>3457</v>
      </c>
      <c r="B659" s="725" t="s">
        <v>3456</v>
      </c>
    </row>
    <row r="660" spans="1:2" x14ac:dyDescent="0.2">
      <c r="A660" s="649" t="s">
        <v>2423</v>
      </c>
      <c r="B660" s="725" t="s">
        <v>2422</v>
      </c>
    </row>
    <row r="661" spans="1:2" x14ac:dyDescent="0.2">
      <c r="A661" s="649" t="s">
        <v>4167</v>
      </c>
      <c r="B661" s="725" t="s">
        <v>4166</v>
      </c>
    </row>
    <row r="662" spans="1:2" x14ac:dyDescent="0.2">
      <c r="A662" s="649" t="s">
        <v>4711</v>
      </c>
      <c r="B662" s="725" t="s">
        <v>4710</v>
      </c>
    </row>
    <row r="663" spans="1:2" x14ac:dyDescent="0.2">
      <c r="A663" s="649" t="s">
        <v>6750</v>
      </c>
      <c r="B663" s="725" t="s">
        <v>6749</v>
      </c>
    </row>
    <row r="664" spans="1:2" x14ac:dyDescent="0.2">
      <c r="A664" s="649" t="s">
        <v>4169</v>
      </c>
      <c r="B664" s="725" t="s">
        <v>4168</v>
      </c>
    </row>
    <row r="665" spans="1:2" x14ac:dyDescent="0.2">
      <c r="A665" s="649" t="s">
        <v>4485</v>
      </c>
      <c r="B665" s="725" t="s">
        <v>4484</v>
      </c>
    </row>
    <row r="666" spans="1:2" x14ac:dyDescent="0.2">
      <c r="A666" s="649" t="s">
        <v>4253</v>
      </c>
      <c r="B666" s="725" t="s">
        <v>4252</v>
      </c>
    </row>
    <row r="667" spans="1:2" x14ac:dyDescent="0.2">
      <c r="A667" s="649" t="s">
        <v>5045</v>
      </c>
      <c r="B667" s="725" t="s">
        <v>5044</v>
      </c>
    </row>
    <row r="668" spans="1:2" x14ac:dyDescent="0.2">
      <c r="A668" s="649" t="s">
        <v>4633</v>
      </c>
      <c r="B668" s="725" t="s">
        <v>4632</v>
      </c>
    </row>
    <row r="669" spans="1:2" x14ac:dyDescent="0.2">
      <c r="A669" s="649" t="s">
        <v>6568</v>
      </c>
      <c r="B669" s="725" t="s">
        <v>6567</v>
      </c>
    </row>
    <row r="670" spans="1:2" x14ac:dyDescent="0.2">
      <c r="A670" s="649" t="s">
        <v>1995</v>
      </c>
      <c r="B670" s="725" t="s">
        <v>1994</v>
      </c>
    </row>
    <row r="671" spans="1:2" x14ac:dyDescent="0.2">
      <c r="A671" s="649" t="s">
        <v>6508</v>
      </c>
      <c r="B671" s="725" t="s">
        <v>6507</v>
      </c>
    </row>
    <row r="672" spans="1:2" x14ac:dyDescent="0.2">
      <c r="A672" s="649" t="s">
        <v>2707</v>
      </c>
      <c r="B672" s="725" t="s">
        <v>2706</v>
      </c>
    </row>
    <row r="673" spans="1:2" x14ac:dyDescent="0.2">
      <c r="A673" s="649" t="s">
        <v>7408</v>
      </c>
      <c r="B673" s="725" t="s">
        <v>7407</v>
      </c>
    </row>
    <row r="674" spans="1:2" x14ac:dyDescent="0.2">
      <c r="A674" s="649" t="s">
        <v>8040</v>
      </c>
      <c r="B674" s="725" t="s">
        <v>8039</v>
      </c>
    </row>
    <row r="675" spans="1:2" x14ac:dyDescent="0.2">
      <c r="A675" s="649" t="s">
        <v>5399</v>
      </c>
      <c r="B675" s="725" t="s">
        <v>5398</v>
      </c>
    </row>
    <row r="676" spans="1:2" x14ac:dyDescent="0.2">
      <c r="A676" s="649" t="s">
        <v>6366</v>
      </c>
      <c r="B676" s="725" t="s">
        <v>6365</v>
      </c>
    </row>
    <row r="677" spans="1:2" x14ac:dyDescent="0.2">
      <c r="A677" s="649" t="s">
        <v>6366</v>
      </c>
      <c r="B677" s="725" t="s">
        <v>10337</v>
      </c>
    </row>
    <row r="678" spans="1:2" x14ac:dyDescent="0.2">
      <c r="A678" s="649" t="s">
        <v>6366</v>
      </c>
      <c r="B678" s="725" t="s">
        <v>10338</v>
      </c>
    </row>
    <row r="679" spans="1:2" x14ac:dyDescent="0.2">
      <c r="A679" s="649" t="s">
        <v>4947</v>
      </c>
      <c r="B679" s="725" t="s">
        <v>4946</v>
      </c>
    </row>
    <row r="680" spans="1:2" x14ac:dyDescent="0.2">
      <c r="A680" s="649" t="s">
        <v>7636</v>
      </c>
      <c r="B680" s="725" t="s">
        <v>7635</v>
      </c>
    </row>
    <row r="681" spans="1:2" x14ac:dyDescent="0.2">
      <c r="A681" s="649" t="s">
        <v>7064</v>
      </c>
      <c r="B681" s="725" t="s">
        <v>7063</v>
      </c>
    </row>
    <row r="682" spans="1:2" x14ac:dyDescent="0.2">
      <c r="A682" s="649" t="s">
        <v>5734</v>
      </c>
      <c r="B682" s="725" t="s">
        <v>5733</v>
      </c>
    </row>
    <row r="683" spans="1:2" x14ac:dyDescent="0.2">
      <c r="A683" s="649" t="s">
        <v>1831</v>
      </c>
      <c r="B683" s="725" t="s">
        <v>1830</v>
      </c>
    </row>
    <row r="684" spans="1:2" x14ac:dyDescent="0.2">
      <c r="A684" s="649" t="s">
        <v>3909</v>
      </c>
      <c r="B684" s="725" t="s">
        <v>3908</v>
      </c>
    </row>
    <row r="685" spans="1:2" x14ac:dyDescent="0.2">
      <c r="A685" s="649" t="s">
        <v>4949</v>
      </c>
      <c r="B685" s="725" t="s">
        <v>4948</v>
      </c>
    </row>
    <row r="686" spans="1:2" x14ac:dyDescent="0.2">
      <c r="A686" s="649" t="s">
        <v>7850</v>
      </c>
      <c r="B686" s="725" t="s">
        <v>7849</v>
      </c>
    </row>
    <row r="687" spans="1:2" x14ac:dyDescent="0.2">
      <c r="A687" s="649" t="s">
        <v>7692</v>
      </c>
      <c r="B687" s="725" t="s">
        <v>7691</v>
      </c>
    </row>
    <row r="688" spans="1:2" x14ac:dyDescent="0.2">
      <c r="A688" s="649" t="s">
        <v>6752</v>
      </c>
      <c r="B688" s="725" t="s">
        <v>6751</v>
      </c>
    </row>
    <row r="689" spans="1:2" x14ac:dyDescent="0.2">
      <c r="A689" s="649" t="s">
        <v>7896</v>
      </c>
      <c r="B689" s="725" t="s">
        <v>7895</v>
      </c>
    </row>
    <row r="690" spans="1:2" x14ac:dyDescent="0.2">
      <c r="A690" s="649" t="s">
        <v>6754</v>
      </c>
      <c r="B690" s="725" t="s">
        <v>6753</v>
      </c>
    </row>
    <row r="691" spans="1:2" x14ac:dyDescent="0.2">
      <c r="A691" s="649" t="s">
        <v>5736</v>
      </c>
      <c r="B691" s="725" t="s">
        <v>5735</v>
      </c>
    </row>
    <row r="692" spans="1:2" x14ac:dyDescent="0.2">
      <c r="A692" s="649" t="s">
        <v>6294</v>
      </c>
      <c r="B692" s="725" t="s">
        <v>6293</v>
      </c>
    </row>
    <row r="693" spans="1:2" x14ac:dyDescent="0.2">
      <c r="A693" s="649" t="s">
        <v>6624</v>
      </c>
      <c r="B693" s="725" t="s">
        <v>6623</v>
      </c>
    </row>
    <row r="694" spans="1:2" x14ac:dyDescent="0.2">
      <c r="A694" s="649" t="s">
        <v>4533</v>
      </c>
      <c r="B694" s="725" t="s">
        <v>4532</v>
      </c>
    </row>
    <row r="695" spans="1:2" x14ac:dyDescent="0.2">
      <c r="A695" s="649" t="s">
        <v>4515</v>
      </c>
      <c r="B695" s="725" t="s">
        <v>4514</v>
      </c>
    </row>
    <row r="696" spans="1:2" x14ac:dyDescent="0.2">
      <c r="A696" s="649" t="s">
        <v>5738</v>
      </c>
      <c r="B696" s="725" t="s">
        <v>5737</v>
      </c>
    </row>
    <row r="697" spans="1:2" x14ac:dyDescent="0.2">
      <c r="A697" s="649" t="s">
        <v>844</v>
      </c>
      <c r="B697" s="725" t="s">
        <v>843</v>
      </c>
    </row>
    <row r="698" spans="1:2" x14ac:dyDescent="0.2">
      <c r="A698" s="649" t="s">
        <v>5740</v>
      </c>
      <c r="B698" s="725" t="s">
        <v>5739</v>
      </c>
    </row>
    <row r="699" spans="1:2" x14ac:dyDescent="0.2">
      <c r="A699" s="649" t="s">
        <v>7866</v>
      </c>
      <c r="B699" s="725" t="s">
        <v>7865</v>
      </c>
    </row>
    <row r="700" spans="1:2" x14ac:dyDescent="0.2">
      <c r="A700" s="649" t="s">
        <v>5742</v>
      </c>
      <c r="B700" s="725" t="s">
        <v>5741</v>
      </c>
    </row>
    <row r="701" spans="1:2" x14ac:dyDescent="0.2">
      <c r="A701" s="649" t="s">
        <v>4357</v>
      </c>
      <c r="B701" s="725" t="s">
        <v>4356</v>
      </c>
    </row>
    <row r="702" spans="1:2" x14ac:dyDescent="0.2">
      <c r="A702" s="649" t="s">
        <v>2425</v>
      </c>
      <c r="B702" s="725" t="s">
        <v>2424</v>
      </c>
    </row>
    <row r="703" spans="1:2" x14ac:dyDescent="0.2">
      <c r="A703" s="649" t="s">
        <v>4255</v>
      </c>
      <c r="B703" s="725" t="s">
        <v>4254</v>
      </c>
    </row>
    <row r="704" spans="1:2" x14ac:dyDescent="0.2">
      <c r="A704" s="649" t="s">
        <v>4171</v>
      </c>
      <c r="B704" s="725" t="s">
        <v>4170</v>
      </c>
    </row>
    <row r="705" spans="1:2" x14ac:dyDescent="0.2">
      <c r="A705" s="649" t="s">
        <v>2351</v>
      </c>
      <c r="B705" s="725" t="s">
        <v>2350</v>
      </c>
    </row>
    <row r="706" spans="1:2" x14ac:dyDescent="0.2">
      <c r="A706" s="649" t="s">
        <v>5313</v>
      </c>
      <c r="B706" s="725" t="s">
        <v>5312</v>
      </c>
    </row>
    <row r="707" spans="1:2" x14ac:dyDescent="0.2">
      <c r="A707" s="649" t="s">
        <v>2427</v>
      </c>
      <c r="B707" s="725" t="s">
        <v>2426</v>
      </c>
    </row>
    <row r="708" spans="1:2" x14ac:dyDescent="0.2">
      <c r="A708" s="649" t="s">
        <v>1658</v>
      </c>
      <c r="B708" s="725" t="s">
        <v>1657</v>
      </c>
    </row>
    <row r="709" spans="1:2" x14ac:dyDescent="0.2">
      <c r="A709" s="649" t="s">
        <v>1660</v>
      </c>
      <c r="B709" s="725" t="s">
        <v>1659</v>
      </c>
    </row>
    <row r="710" spans="1:2" x14ac:dyDescent="0.2">
      <c r="A710" s="649" t="s">
        <v>1532</v>
      </c>
      <c r="B710" s="725" t="s">
        <v>1531</v>
      </c>
    </row>
    <row r="711" spans="1:2" x14ac:dyDescent="0.2">
      <c r="A711" s="649" t="s">
        <v>2199</v>
      </c>
      <c r="B711" s="725" t="s">
        <v>2198</v>
      </c>
    </row>
    <row r="712" spans="1:2" x14ac:dyDescent="0.2">
      <c r="A712" s="649" t="s">
        <v>7162</v>
      </c>
      <c r="B712" s="725" t="s">
        <v>7161</v>
      </c>
    </row>
    <row r="713" spans="1:2" x14ac:dyDescent="0.2">
      <c r="A713" s="649" t="s">
        <v>5077</v>
      </c>
      <c r="B713" s="725" t="s">
        <v>5076</v>
      </c>
    </row>
    <row r="714" spans="1:2" x14ac:dyDescent="0.2">
      <c r="A714" s="649" t="s">
        <v>3487</v>
      </c>
      <c r="B714" s="725" t="s">
        <v>3486</v>
      </c>
    </row>
    <row r="715" spans="1:2" x14ac:dyDescent="0.2">
      <c r="A715" s="649" t="s">
        <v>2429</v>
      </c>
      <c r="B715" s="725" t="s">
        <v>2428</v>
      </c>
    </row>
    <row r="716" spans="1:2" x14ac:dyDescent="0.2">
      <c r="A716" s="649" t="s">
        <v>2085</v>
      </c>
      <c r="B716" s="725" t="s">
        <v>2084</v>
      </c>
    </row>
    <row r="717" spans="1:2" x14ac:dyDescent="0.2">
      <c r="A717" s="649" t="s">
        <v>964</v>
      </c>
      <c r="B717" s="725" t="s">
        <v>963</v>
      </c>
    </row>
    <row r="718" spans="1:2" x14ac:dyDescent="0.2">
      <c r="A718" s="649" t="s">
        <v>1779</v>
      </c>
      <c r="B718" s="725" t="s">
        <v>1778</v>
      </c>
    </row>
    <row r="719" spans="1:2" x14ac:dyDescent="0.2">
      <c r="A719" s="649" t="s">
        <v>5744</v>
      </c>
      <c r="B719" s="725" t="s">
        <v>5743</v>
      </c>
    </row>
    <row r="720" spans="1:2" x14ac:dyDescent="0.2">
      <c r="A720" s="649" t="s">
        <v>2709</v>
      </c>
      <c r="B720" s="725" t="s">
        <v>2708</v>
      </c>
    </row>
    <row r="721" spans="1:2" x14ac:dyDescent="0.2">
      <c r="A721" s="649" t="s">
        <v>4753</v>
      </c>
      <c r="B721" s="725" t="s">
        <v>4752</v>
      </c>
    </row>
    <row r="722" spans="1:2" x14ac:dyDescent="0.2">
      <c r="A722" s="649" t="s">
        <v>4535</v>
      </c>
      <c r="B722" s="725" t="s">
        <v>4534</v>
      </c>
    </row>
    <row r="723" spans="1:2" x14ac:dyDescent="0.2">
      <c r="A723" s="649" t="s">
        <v>5593</v>
      </c>
      <c r="B723" s="725" t="s">
        <v>5592</v>
      </c>
    </row>
    <row r="724" spans="1:2" x14ac:dyDescent="0.2">
      <c r="A724" s="649" t="s">
        <v>3475</v>
      </c>
      <c r="B724" s="725" t="s">
        <v>3474</v>
      </c>
    </row>
    <row r="725" spans="1:2" x14ac:dyDescent="0.2">
      <c r="A725" s="649" t="s">
        <v>3621</v>
      </c>
      <c r="B725" s="725" t="s">
        <v>3620</v>
      </c>
    </row>
    <row r="726" spans="1:2" x14ac:dyDescent="0.2">
      <c r="A726" s="649" t="s">
        <v>3561</v>
      </c>
      <c r="B726" s="725" t="s">
        <v>3560</v>
      </c>
    </row>
    <row r="727" spans="1:2" x14ac:dyDescent="0.2">
      <c r="A727" s="649" t="s">
        <v>4951</v>
      </c>
      <c r="B727" s="725" t="s">
        <v>4950</v>
      </c>
    </row>
    <row r="728" spans="1:2" x14ac:dyDescent="0.2">
      <c r="A728" s="649" t="s">
        <v>4459</v>
      </c>
      <c r="B728" s="725" t="s">
        <v>4458</v>
      </c>
    </row>
    <row r="729" spans="1:2" x14ac:dyDescent="0.2">
      <c r="A729" s="649" t="s">
        <v>4755</v>
      </c>
      <c r="B729" s="725" t="s">
        <v>4754</v>
      </c>
    </row>
    <row r="730" spans="1:2" x14ac:dyDescent="0.2">
      <c r="A730" s="649" t="s">
        <v>4807</v>
      </c>
      <c r="B730" s="725" t="s">
        <v>4806</v>
      </c>
    </row>
    <row r="731" spans="1:2" x14ac:dyDescent="0.2">
      <c r="A731" s="649" t="s">
        <v>7348</v>
      </c>
      <c r="B731" s="725" t="s">
        <v>7347</v>
      </c>
    </row>
    <row r="732" spans="1:2" x14ac:dyDescent="0.2">
      <c r="A732" s="649" t="s">
        <v>6510</v>
      </c>
      <c r="B732" s="725" t="s">
        <v>6509</v>
      </c>
    </row>
    <row r="733" spans="1:2" x14ac:dyDescent="0.2">
      <c r="A733" s="649" t="s">
        <v>5047</v>
      </c>
      <c r="B733" s="725" t="s">
        <v>5046</v>
      </c>
    </row>
    <row r="734" spans="1:2" x14ac:dyDescent="0.2">
      <c r="A734" s="649" t="s">
        <v>473</v>
      </c>
      <c r="B734" s="725" t="s">
        <v>472</v>
      </c>
    </row>
    <row r="735" spans="1:2" x14ac:dyDescent="0.2">
      <c r="A735" s="649" t="s">
        <v>3645</v>
      </c>
      <c r="B735" s="725" t="s">
        <v>3644</v>
      </c>
    </row>
    <row r="736" spans="1:2" x14ac:dyDescent="0.2">
      <c r="A736" s="649" t="s">
        <v>1534</v>
      </c>
      <c r="B736" s="725" t="s">
        <v>1533</v>
      </c>
    </row>
    <row r="737" spans="1:2" x14ac:dyDescent="0.2">
      <c r="A737" s="649" t="s">
        <v>572</v>
      </c>
      <c r="B737" s="725" t="s">
        <v>571</v>
      </c>
    </row>
    <row r="738" spans="1:2" x14ac:dyDescent="0.2">
      <c r="A738" s="649" t="s">
        <v>1536</v>
      </c>
      <c r="B738" s="725" t="s">
        <v>1535</v>
      </c>
    </row>
    <row r="739" spans="1:2" x14ac:dyDescent="0.2">
      <c r="A739" s="649" t="s">
        <v>7066</v>
      </c>
      <c r="B739" s="725" t="s">
        <v>7065</v>
      </c>
    </row>
    <row r="740" spans="1:2" x14ac:dyDescent="0.2">
      <c r="A740" s="649" t="s">
        <v>6756</v>
      </c>
      <c r="B740" s="725" t="s">
        <v>6755</v>
      </c>
    </row>
    <row r="741" spans="1:2" x14ac:dyDescent="0.2">
      <c r="A741" s="649" t="s">
        <v>4057</v>
      </c>
      <c r="B741" s="725" t="s">
        <v>4056</v>
      </c>
    </row>
    <row r="742" spans="1:2" x14ac:dyDescent="0.2">
      <c r="A742" s="649" t="s">
        <v>642</v>
      </c>
      <c r="B742" s="725" t="s">
        <v>641</v>
      </c>
    </row>
    <row r="743" spans="1:2" x14ac:dyDescent="0.2">
      <c r="A743" s="649" t="s">
        <v>2087</v>
      </c>
      <c r="B743" s="725" t="s">
        <v>2086</v>
      </c>
    </row>
    <row r="744" spans="1:2" x14ac:dyDescent="0.2">
      <c r="A744" s="649" t="s">
        <v>2431</v>
      </c>
      <c r="B744" s="725" t="s">
        <v>2430</v>
      </c>
    </row>
    <row r="745" spans="1:2" x14ac:dyDescent="0.2">
      <c r="A745" s="649" t="s">
        <v>3531</v>
      </c>
      <c r="B745" s="725" t="s">
        <v>3530</v>
      </c>
    </row>
    <row r="746" spans="1:2" x14ac:dyDescent="0.2">
      <c r="A746" s="649" t="s">
        <v>1266</v>
      </c>
      <c r="B746" s="725" t="s">
        <v>1265</v>
      </c>
    </row>
    <row r="747" spans="1:2" x14ac:dyDescent="0.2">
      <c r="A747" s="649" t="s">
        <v>5746</v>
      </c>
      <c r="B747" s="725" t="s">
        <v>5745</v>
      </c>
    </row>
    <row r="748" spans="1:2" x14ac:dyDescent="0.2">
      <c r="A748" s="649" t="s">
        <v>2089</v>
      </c>
      <c r="B748" s="725" t="s">
        <v>2088</v>
      </c>
    </row>
    <row r="749" spans="1:2" x14ac:dyDescent="0.2">
      <c r="A749" s="649" t="s">
        <v>5748</v>
      </c>
      <c r="B749" s="725" t="s">
        <v>5747</v>
      </c>
    </row>
    <row r="750" spans="1:2" x14ac:dyDescent="0.2">
      <c r="A750" s="649" t="s">
        <v>2711</v>
      </c>
      <c r="B750" s="725" t="s">
        <v>2710</v>
      </c>
    </row>
    <row r="751" spans="1:2" x14ac:dyDescent="0.2">
      <c r="A751" s="649" t="s">
        <v>2713</v>
      </c>
      <c r="B751" s="725" t="s">
        <v>2712</v>
      </c>
    </row>
    <row r="752" spans="1:2" x14ac:dyDescent="0.2">
      <c r="A752" s="649" t="s">
        <v>5750</v>
      </c>
      <c r="B752" s="725" t="s">
        <v>5749</v>
      </c>
    </row>
    <row r="753" spans="1:2" x14ac:dyDescent="0.2">
      <c r="A753" s="649" t="s">
        <v>5752</v>
      </c>
      <c r="B753" s="725" t="s">
        <v>5751</v>
      </c>
    </row>
    <row r="754" spans="1:2" x14ac:dyDescent="0.2">
      <c r="A754" s="649" t="s">
        <v>6296</v>
      </c>
      <c r="B754" s="725" t="s">
        <v>6295</v>
      </c>
    </row>
    <row r="755" spans="1:2" x14ac:dyDescent="0.2">
      <c r="A755" s="649" t="s">
        <v>7428</v>
      </c>
      <c r="B755" s="725" t="s">
        <v>7427</v>
      </c>
    </row>
    <row r="756" spans="1:2" x14ac:dyDescent="0.2">
      <c r="A756" s="649" t="s">
        <v>7430</v>
      </c>
      <c r="B756" s="725" t="s">
        <v>7429</v>
      </c>
    </row>
    <row r="757" spans="1:2" x14ac:dyDescent="0.2">
      <c r="A757" s="649" t="s">
        <v>7432</v>
      </c>
      <c r="B757" s="725" t="s">
        <v>7431</v>
      </c>
    </row>
    <row r="758" spans="1:2" x14ac:dyDescent="0.2">
      <c r="A758" s="649" t="s">
        <v>4537</v>
      </c>
      <c r="B758" s="725" t="s">
        <v>4536</v>
      </c>
    </row>
    <row r="759" spans="1:2" x14ac:dyDescent="0.2">
      <c r="A759" s="649" t="s">
        <v>2433</v>
      </c>
      <c r="B759" s="725" t="s">
        <v>2432</v>
      </c>
    </row>
    <row r="760" spans="1:2" x14ac:dyDescent="0.2">
      <c r="A760" s="649" t="s">
        <v>2435</v>
      </c>
      <c r="B760" s="725" t="s">
        <v>2434</v>
      </c>
    </row>
    <row r="761" spans="1:2" x14ac:dyDescent="0.2">
      <c r="A761" s="649" t="s">
        <v>1636</v>
      </c>
      <c r="B761" s="725" t="s">
        <v>1635</v>
      </c>
    </row>
    <row r="762" spans="1:2" x14ac:dyDescent="0.2">
      <c r="A762" s="649" t="s">
        <v>7324</v>
      </c>
      <c r="B762" s="725" t="s">
        <v>7323</v>
      </c>
    </row>
    <row r="763" spans="1:2" x14ac:dyDescent="0.2">
      <c r="A763" s="649" t="s">
        <v>5341</v>
      </c>
      <c r="B763" s="725" t="s">
        <v>5340</v>
      </c>
    </row>
    <row r="764" spans="1:2" x14ac:dyDescent="0.2">
      <c r="A764" s="649" t="s">
        <v>6758</v>
      </c>
      <c r="B764" s="725" t="s">
        <v>6757</v>
      </c>
    </row>
    <row r="765" spans="1:2" x14ac:dyDescent="0.2">
      <c r="A765" s="649" t="s">
        <v>3773</v>
      </c>
      <c r="B765" s="725" t="s">
        <v>3772</v>
      </c>
    </row>
    <row r="766" spans="1:2" x14ac:dyDescent="0.2">
      <c r="A766" s="649" t="s">
        <v>6512</v>
      </c>
      <c r="B766" s="725" t="s">
        <v>6511</v>
      </c>
    </row>
    <row r="767" spans="1:2" x14ac:dyDescent="0.2">
      <c r="A767" s="649" t="s">
        <v>7326</v>
      </c>
      <c r="B767" s="725" t="s">
        <v>7325</v>
      </c>
    </row>
    <row r="768" spans="1:2" x14ac:dyDescent="0.2">
      <c r="A768" s="649" t="s">
        <v>7068</v>
      </c>
      <c r="B768" s="725" t="s">
        <v>7067</v>
      </c>
    </row>
    <row r="769" spans="1:2" x14ac:dyDescent="0.2">
      <c r="A769" s="649" t="s">
        <v>7070</v>
      </c>
      <c r="B769" s="725" t="s">
        <v>7069</v>
      </c>
    </row>
    <row r="770" spans="1:2" x14ac:dyDescent="0.2">
      <c r="A770" s="649" t="s">
        <v>3775</v>
      </c>
      <c r="B770" s="725" t="s">
        <v>3774</v>
      </c>
    </row>
    <row r="771" spans="1:2" x14ac:dyDescent="0.2">
      <c r="A771" s="649" t="s">
        <v>1486</v>
      </c>
      <c r="B771" s="725" t="s">
        <v>1485</v>
      </c>
    </row>
    <row r="772" spans="1:2" x14ac:dyDescent="0.2">
      <c r="A772" s="649" t="s">
        <v>3911</v>
      </c>
      <c r="B772" s="725" t="s">
        <v>3910</v>
      </c>
    </row>
    <row r="773" spans="1:2" x14ac:dyDescent="0.2">
      <c r="A773" s="649" t="s">
        <v>2715</v>
      </c>
      <c r="B773" s="725" t="s">
        <v>2714</v>
      </c>
    </row>
    <row r="774" spans="1:2" x14ac:dyDescent="0.2">
      <c r="A774" s="649" t="s">
        <v>4905</v>
      </c>
      <c r="B774" s="725" t="s">
        <v>4904</v>
      </c>
    </row>
    <row r="775" spans="1:2" x14ac:dyDescent="0.2">
      <c r="A775" s="649" t="s">
        <v>4673</v>
      </c>
      <c r="B775" s="725" t="s">
        <v>4672</v>
      </c>
    </row>
    <row r="776" spans="1:2" x14ac:dyDescent="0.2">
      <c r="A776" s="649" t="s">
        <v>2201</v>
      </c>
      <c r="B776" s="725" t="s">
        <v>2200</v>
      </c>
    </row>
    <row r="777" spans="1:2" x14ac:dyDescent="0.2">
      <c r="A777" s="649" t="s">
        <v>5557</v>
      </c>
      <c r="B777" s="725" t="s">
        <v>5556</v>
      </c>
    </row>
    <row r="778" spans="1:2" x14ac:dyDescent="0.2">
      <c r="A778" s="649" t="s">
        <v>2717</v>
      </c>
      <c r="B778" s="725" t="s">
        <v>2716</v>
      </c>
    </row>
    <row r="779" spans="1:2" x14ac:dyDescent="0.2">
      <c r="A779" s="649" t="s">
        <v>2331</v>
      </c>
      <c r="B779" s="725" t="s">
        <v>2330</v>
      </c>
    </row>
    <row r="780" spans="1:2" x14ac:dyDescent="0.2">
      <c r="A780" s="649" t="s">
        <v>4793</v>
      </c>
      <c r="B780" s="725" t="s">
        <v>4792</v>
      </c>
    </row>
    <row r="781" spans="1:2" x14ac:dyDescent="0.2">
      <c r="A781" s="649" t="s">
        <v>3913</v>
      </c>
      <c r="B781" s="725" t="s">
        <v>3912</v>
      </c>
    </row>
    <row r="782" spans="1:2" x14ac:dyDescent="0.2">
      <c r="A782" s="649" t="s">
        <v>3777</v>
      </c>
      <c r="B782" s="725" t="s">
        <v>3776</v>
      </c>
    </row>
    <row r="783" spans="1:2" x14ac:dyDescent="0.2">
      <c r="A783" s="649" t="s">
        <v>2091</v>
      </c>
      <c r="B783" s="725" t="s">
        <v>2090</v>
      </c>
    </row>
    <row r="784" spans="1:2" x14ac:dyDescent="0.2">
      <c r="A784" s="649" t="s">
        <v>5754</v>
      </c>
      <c r="B784" s="725" t="s">
        <v>5753</v>
      </c>
    </row>
    <row r="785" spans="1:2" x14ac:dyDescent="0.2">
      <c r="A785" s="649" t="s">
        <v>1662</v>
      </c>
      <c r="B785" s="725" t="s">
        <v>1661</v>
      </c>
    </row>
    <row r="786" spans="1:2" x14ac:dyDescent="0.2">
      <c r="A786" s="649" t="s">
        <v>1664</v>
      </c>
      <c r="B786" s="725" t="s">
        <v>1663</v>
      </c>
    </row>
    <row r="787" spans="1:2" x14ac:dyDescent="0.2">
      <c r="A787" s="649" t="s">
        <v>10339</v>
      </c>
      <c r="B787" s="725" t="s">
        <v>10340</v>
      </c>
    </row>
    <row r="788" spans="1:2" x14ac:dyDescent="0.2">
      <c r="A788" s="649" t="s">
        <v>10341</v>
      </c>
      <c r="B788" s="725" t="s">
        <v>10342</v>
      </c>
    </row>
    <row r="789" spans="1:2" x14ac:dyDescent="0.2">
      <c r="A789" s="649" t="s">
        <v>7164</v>
      </c>
      <c r="B789" s="725" t="s">
        <v>7163</v>
      </c>
    </row>
    <row r="790" spans="1:2" x14ac:dyDescent="0.2">
      <c r="A790" s="649" t="s">
        <v>2719</v>
      </c>
      <c r="B790" s="725" t="s">
        <v>2718</v>
      </c>
    </row>
    <row r="791" spans="1:2" x14ac:dyDescent="0.2">
      <c r="A791" s="649" t="s">
        <v>7350</v>
      </c>
      <c r="B791" s="725" t="s">
        <v>7349</v>
      </c>
    </row>
    <row r="792" spans="1:2" x14ac:dyDescent="0.2">
      <c r="A792" s="649" t="s">
        <v>7694</v>
      </c>
      <c r="B792" s="725" t="s">
        <v>7693</v>
      </c>
    </row>
    <row r="793" spans="1:2" x14ac:dyDescent="0.2">
      <c r="A793" s="649" t="s">
        <v>5756</v>
      </c>
      <c r="B793" s="725" t="s">
        <v>5755</v>
      </c>
    </row>
    <row r="794" spans="1:2" x14ac:dyDescent="0.2">
      <c r="A794" s="649" t="s">
        <v>8130</v>
      </c>
      <c r="B794" s="725" t="s">
        <v>8129</v>
      </c>
    </row>
    <row r="795" spans="1:2" x14ac:dyDescent="0.2">
      <c r="A795" s="649" t="s">
        <v>5758</v>
      </c>
      <c r="B795" s="725" t="s">
        <v>5757</v>
      </c>
    </row>
    <row r="796" spans="1:2" x14ac:dyDescent="0.2">
      <c r="A796" s="649" t="s">
        <v>7868</v>
      </c>
      <c r="B796" s="725" t="s">
        <v>7867</v>
      </c>
    </row>
    <row r="797" spans="1:2" x14ac:dyDescent="0.2">
      <c r="A797" s="649" t="s">
        <v>6760</v>
      </c>
      <c r="B797" s="725" t="s">
        <v>6759</v>
      </c>
    </row>
    <row r="798" spans="1:2" x14ac:dyDescent="0.2">
      <c r="A798" s="649" t="s">
        <v>6762</v>
      </c>
      <c r="B798" s="725" t="s">
        <v>6761</v>
      </c>
    </row>
    <row r="799" spans="1:2" x14ac:dyDescent="0.2">
      <c r="A799" s="649" t="s">
        <v>6764</v>
      </c>
      <c r="B799" s="725" t="s">
        <v>6763</v>
      </c>
    </row>
    <row r="800" spans="1:2" x14ac:dyDescent="0.2">
      <c r="A800" s="649" t="s">
        <v>6766</v>
      </c>
      <c r="B800" s="725" t="s">
        <v>6765</v>
      </c>
    </row>
    <row r="801" spans="1:2" x14ac:dyDescent="0.2">
      <c r="A801" s="649" t="s">
        <v>5760</v>
      </c>
      <c r="B801" s="725" t="s">
        <v>5759</v>
      </c>
    </row>
    <row r="802" spans="1:2" x14ac:dyDescent="0.2">
      <c r="A802" s="649" t="s">
        <v>7434</v>
      </c>
      <c r="B802" s="725" t="s">
        <v>7433</v>
      </c>
    </row>
    <row r="803" spans="1:2" x14ac:dyDescent="0.2">
      <c r="A803" s="649" t="s">
        <v>7436</v>
      </c>
      <c r="B803" s="725" t="s">
        <v>7435</v>
      </c>
    </row>
    <row r="804" spans="1:2" x14ac:dyDescent="0.2">
      <c r="A804" s="649" t="s">
        <v>7438</v>
      </c>
      <c r="B804" s="725" t="s">
        <v>7437</v>
      </c>
    </row>
    <row r="805" spans="1:2" x14ac:dyDescent="0.2">
      <c r="A805" s="649" t="s">
        <v>644</v>
      </c>
      <c r="B805" s="725" t="s">
        <v>643</v>
      </c>
    </row>
    <row r="806" spans="1:2" x14ac:dyDescent="0.2">
      <c r="A806" s="649" t="s">
        <v>2721</v>
      </c>
      <c r="B806" s="725" t="s">
        <v>2720</v>
      </c>
    </row>
    <row r="807" spans="1:2" x14ac:dyDescent="0.2">
      <c r="A807" s="649" t="s">
        <v>5762</v>
      </c>
      <c r="B807" s="725" t="s">
        <v>5761</v>
      </c>
    </row>
    <row r="808" spans="1:2" x14ac:dyDescent="0.2">
      <c r="A808" s="649" t="s">
        <v>7440</v>
      </c>
      <c r="B808" s="725" t="s">
        <v>7439</v>
      </c>
    </row>
    <row r="809" spans="1:2" x14ac:dyDescent="0.2">
      <c r="A809" s="649" t="s">
        <v>5764</v>
      </c>
      <c r="B809" s="725" t="s">
        <v>5763</v>
      </c>
    </row>
    <row r="810" spans="1:2" x14ac:dyDescent="0.2">
      <c r="A810" s="649" t="s">
        <v>3915</v>
      </c>
      <c r="B810" s="725" t="s">
        <v>3914</v>
      </c>
    </row>
    <row r="811" spans="1:2" x14ac:dyDescent="0.2">
      <c r="A811" s="649" t="s">
        <v>4359</v>
      </c>
      <c r="B811" s="725" t="s">
        <v>4358</v>
      </c>
    </row>
    <row r="812" spans="1:2" x14ac:dyDescent="0.2">
      <c r="A812" s="649" t="s">
        <v>7072</v>
      </c>
      <c r="B812" s="725" t="s">
        <v>7071</v>
      </c>
    </row>
    <row r="813" spans="1:2" x14ac:dyDescent="0.2">
      <c r="A813" s="649" t="s">
        <v>8132</v>
      </c>
      <c r="B813" s="725" t="s">
        <v>8131</v>
      </c>
    </row>
    <row r="814" spans="1:2" x14ac:dyDescent="0.2">
      <c r="A814" s="649" t="s">
        <v>6298</v>
      </c>
      <c r="B814" s="725" t="s">
        <v>6297</v>
      </c>
    </row>
    <row r="815" spans="1:2" x14ac:dyDescent="0.2">
      <c r="A815" s="649" t="s">
        <v>7898</v>
      </c>
      <c r="B815" s="725" t="s">
        <v>7897</v>
      </c>
    </row>
    <row r="816" spans="1:2" x14ac:dyDescent="0.2">
      <c r="A816" s="649" t="s">
        <v>4123</v>
      </c>
      <c r="B816" s="725" t="s">
        <v>4122</v>
      </c>
    </row>
    <row r="817" spans="1:2" x14ac:dyDescent="0.2">
      <c r="A817" s="649" t="s">
        <v>5766</v>
      </c>
      <c r="B817" s="725" t="s">
        <v>5765</v>
      </c>
    </row>
    <row r="818" spans="1:2" x14ac:dyDescent="0.2">
      <c r="A818" s="649" t="s">
        <v>7808</v>
      </c>
      <c r="B818" s="725" t="s">
        <v>7807</v>
      </c>
    </row>
    <row r="819" spans="1:2" x14ac:dyDescent="0.2">
      <c r="A819" s="649" t="s">
        <v>2437</v>
      </c>
      <c r="B819" s="725" t="s">
        <v>2436</v>
      </c>
    </row>
    <row r="820" spans="1:2" x14ac:dyDescent="0.2">
      <c r="A820" s="649" t="s">
        <v>1997</v>
      </c>
      <c r="B820" s="725" t="s">
        <v>1996</v>
      </c>
    </row>
    <row r="821" spans="1:2" x14ac:dyDescent="0.2">
      <c r="A821" s="649" t="s">
        <v>3667</v>
      </c>
      <c r="B821" s="725" t="s">
        <v>3666</v>
      </c>
    </row>
    <row r="822" spans="1:2" x14ac:dyDescent="0.2">
      <c r="A822" s="649" t="s">
        <v>1943</v>
      </c>
      <c r="B822" s="725" t="s">
        <v>1942</v>
      </c>
    </row>
    <row r="823" spans="1:2" x14ac:dyDescent="0.2">
      <c r="A823" s="649" t="s">
        <v>4089</v>
      </c>
      <c r="B823" s="725" t="s">
        <v>4088</v>
      </c>
    </row>
    <row r="824" spans="1:2" x14ac:dyDescent="0.2">
      <c r="A824" s="649" t="s">
        <v>5768</v>
      </c>
      <c r="B824" s="725" t="s">
        <v>5767</v>
      </c>
    </row>
    <row r="825" spans="1:2" x14ac:dyDescent="0.2">
      <c r="A825" s="649" t="s">
        <v>934</v>
      </c>
      <c r="B825" s="725" t="s">
        <v>933</v>
      </c>
    </row>
    <row r="826" spans="1:2" x14ac:dyDescent="0.2">
      <c r="A826" s="649" t="s">
        <v>4783</v>
      </c>
      <c r="B826" s="725" t="s">
        <v>4782</v>
      </c>
    </row>
    <row r="827" spans="1:2" x14ac:dyDescent="0.2">
      <c r="A827" s="649" t="s">
        <v>3917</v>
      </c>
      <c r="B827" s="725" t="s">
        <v>3916</v>
      </c>
    </row>
    <row r="828" spans="1:2" x14ac:dyDescent="0.2">
      <c r="A828" s="649" t="s">
        <v>7442</v>
      </c>
      <c r="B828" s="725" t="s">
        <v>7441</v>
      </c>
    </row>
    <row r="829" spans="1:2" x14ac:dyDescent="0.2">
      <c r="A829" s="649" t="s">
        <v>8336</v>
      </c>
      <c r="B829" s="725" t="s">
        <v>8335</v>
      </c>
    </row>
    <row r="830" spans="1:2" x14ac:dyDescent="0.2">
      <c r="A830" s="649" t="s">
        <v>4091</v>
      </c>
      <c r="B830" s="725" t="s">
        <v>4090</v>
      </c>
    </row>
    <row r="831" spans="1:2" x14ac:dyDescent="0.2">
      <c r="A831" s="649" t="s">
        <v>6368</v>
      </c>
      <c r="B831" s="725" t="s">
        <v>6367</v>
      </c>
    </row>
    <row r="832" spans="1:2" x14ac:dyDescent="0.2">
      <c r="A832" s="649" t="s">
        <v>6368</v>
      </c>
      <c r="B832" s="725" t="s">
        <v>10343</v>
      </c>
    </row>
    <row r="833" spans="1:2" x14ac:dyDescent="0.2">
      <c r="A833" s="649" t="s">
        <v>6368</v>
      </c>
      <c r="B833" s="725" t="s">
        <v>10344</v>
      </c>
    </row>
    <row r="834" spans="1:2" x14ac:dyDescent="0.2">
      <c r="A834" s="649" t="s">
        <v>5770</v>
      </c>
      <c r="B834" s="725" t="s">
        <v>5769</v>
      </c>
    </row>
    <row r="835" spans="1:2" x14ac:dyDescent="0.2">
      <c r="A835" s="649" t="s">
        <v>4329</v>
      </c>
      <c r="B835" s="725" t="s">
        <v>4328</v>
      </c>
    </row>
    <row r="836" spans="1:2" x14ac:dyDescent="0.2">
      <c r="A836" s="649" t="s">
        <v>8042</v>
      </c>
      <c r="B836" s="725" t="s">
        <v>8041</v>
      </c>
    </row>
    <row r="837" spans="1:2" x14ac:dyDescent="0.2">
      <c r="A837" s="649" t="s">
        <v>7444</v>
      </c>
      <c r="B837" s="725" t="s">
        <v>7443</v>
      </c>
    </row>
    <row r="838" spans="1:2" x14ac:dyDescent="0.2">
      <c r="A838" s="649" t="s">
        <v>646</v>
      </c>
      <c r="B838" s="725" t="s">
        <v>645</v>
      </c>
    </row>
    <row r="839" spans="1:2" x14ac:dyDescent="0.2">
      <c r="A839" s="649" t="s">
        <v>3493</v>
      </c>
      <c r="B839" s="725" t="s">
        <v>3492</v>
      </c>
    </row>
    <row r="840" spans="1:2" x14ac:dyDescent="0.2">
      <c r="A840" s="649" t="s">
        <v>8308</v>
      </c>
      <c r="B840" s="725" t="s">
        <v>8307</v>
      </c>
    </row>
    <row r="841" spans="1:2" x14ac:dyDescent="0.2">
      <c r="A841" s="649" t="s">
        <v>7608</v>
      </c>
      <c r="B841" s="725" t="s">
        <v>7607</v>
      </c>
    </row>
    <row r="842" spans="1:2" x14ac:dyDescent="0.2">
      <c r="A842" s="649" t="s">
        <v>2439</v>
      </c>
      <c r="B842" s="725" t="s">
        <v>2438</v>
      </c>
    </row>
    <row r="843" spans="1:2" x14ac:dyDescent="0.2">
      <c r="A843" s="649" t="s">
        <v>2441</v>
      </c>
      <c r="B843" s="725" t="s">
        <v>2440</v>
      </c>
    </row>
    <row r="844" spans="1:2" x14ac:dyDescent="0.2">
      <c r="A844" s="649" t="s">
        <v>2443</v>
      </c>
      <c r="B844" s="725" t="s">
        <v>2442</v>
      </c>
    </row>
    <row r="845" spans="1:2" x14ac:dyDescent="0.2">
      <c r="A845" s="649" t="s">
        <v>2445</v>
      </c>
      <c r="B845" s="725" t="s">
        <v>2444</v>
      </c>
    </row>
    <row r="846" spans="1:2" x14ac:dyDescent="0.2">
      <c r="A846" s="649" t="s">
        <v>1218</v>
      </c>
      <c r="B846" s="725" t="s">
        <v>1217</v>
      </c>
    </row>
    <row r="847" spans="1:2" x14ac:dyDescent="0.2">
      <c r="A847" s="649" t="s">
        <v>4361</v>
      </c>
      <c r="B847" s="725" t="s">
        <v>4360</v>
      </c>
    </row>
    <row r="848" spans="1:2" x14ac:dyDescent="0.2">
      <c r="A848" s="649" t="s">
        <v>6370</v>
      </c>
      <c r="B848" s="725" t="s">
        <v>6369</v>
      </c>
    </row>
    <row r="849" spans="1:2" x14ac:dyDescent="0.2">
      <c r="A849" s="649" t="s">
        <v>6370</v>
      </c>
      <c r="B849" s="725" t="s">
        <v>10345</v>
      </c>
    </row>
    <row r="850" spans="1:2" x14ac:dyDescent="0.2">
      <c r="A850" s="649" t="s">
        <v>6370</v>
      </c>
      <c r="B850" s="725" t="s">
        <v>10346</v>
      </c>
    </row>
    <row r="851" spans="1:2" x14ac:dyDescent="0.2">
      <c r="A851" s="649" t="s">
        <v>5223</v>
      </c>
      <c r="B851" s="725" t="s">
        <v>5222</v>
      </c>
    </row>
    <row r="852" spans="1:2" x14ac:dyDescent="0.2">
      <c r="A852" s="649" t="s">
        <v>8318</v>
      </c>
      <c r="B852" s="725" t="s">
        <v>8317</v>
      </c>
    </row>
    <row r="853" spans="1:2" x14ac:dyDescent="0.2">
      <c r="A853" s="649" t="s">
        <v>5133</v>
      </c>
      <c r="B853" s="725" t="s">
        <v>5132</v>
      </c>
    </row>
    <row r="854" spans="1:2" x14ac:dyDescent="0.2">
      <c r="A854" s="649" t="s">
        <v>7696</v>
      </c>
      <c r="B854" s="725" t="s">
        <v>7695</v>
      </c>
    </row>
    <row r="855" spans="1:2" x14ac:dyDescent="0.2">
      <c r="A855" s="649" t="s">
        <v>4173</v>
      </c>
      <c r="B855" s="725" t="s">
        <v>4172</v>
      </c>
    </row>
    <row r="856" spans="1:2" x14ac:dyDescent="0.2">
      <c r="A856" s="649" t="s">
        <v>7810</v>
      </c>
      <c r="B856" s="725" t="s">
        <v>7809</v>
      </c>
    </row>
    <row r="857" spans="1:2" x14ac:dyDescent="0.2">
      <c r="A857" s="649" t="s">
        <v>7990</v>
      </c>
      <c r="B857" s="725" t="s">
        <v>7989</v>
      </c>
    </row>
    <row r="858" spans="1:2" x14ac:dyDescent="0.2">
      <c r="A858" s="649" t="s">
        <v>2329</v>
      </c>
      <c r="B858" s="725" t="s">
        <v>2328</v>
      </c>
    </row>
    <row r="859" spans="1:2" ht="28.5" x14ac:dyDescent="0.2">
      <c r="A859" s="649" t="s">
        <v>2723</v>
      </c>
      <c r="B859" s="725" t="s">
        <v>2722</v>
      </c>
    </row>
    <row r="860" spans="1:2" x14ac:dyDescent="0.2">
      <c r="A860" s="649" t="s">
        <v>1268</v>
      </c>
      <c r="B860" s="725" t="s">
        <v>1267</v>
      </c>
    </row>
    <row r="861" spans="1:2" x14ac:dyDescent="0.2">
      <c r="A861" s="649" t="s">
        <v>1270</v>
      </c>
      <c r="B861" s="725" t="s">
        <v>1269</v>
      </c>
    </row>
    <row r="862" spans="1:2" x14ac:dyDescent="0.2">
      <c r="A862" s="649" t="s">
        <v>1272</v>
      </c>
      <c r="B862" s="725" t="s">
        <v>1271</v>
      </c>
    </row>
    <row r="863" spans="1:2" x14ac:dyDescent="0.2">
      <c r="A863" s="649" t="s">
        <v>982</v>
      </c>
      <c r="B863" s="725" t="s">
        <v>981</v>
      </c>
    </row>
    <row r="864" spans="1:2" x14ac:dyDescent="0.2">
      <c r="A864" s="649" t="s">
        <v>1608</v>
      </c>
      <c r="B864" s="725" t="s">
        <v>1607</v>
      </c>
    </row>
    <row r="865" spans="1:2" x14ac:dyDescent="0.2">
      <c r="A865" s="649" t="s">
        <v>7698</v>
      </c>
      <c r="B865" s="725" t="s">
        <v>7697</v>
      </c>
    </row>
    <row r="866" spans="1:2" x14ac:dyDescent="0.2">
      <c r="A866" s="649" t="s">
        <v>4539</v>
      </c>
      <c r="B866" s="725" t="s">
        <v>4538</v>
      </c>
    </row>
    <row r="867" spans="1:2" x14ac:dyDescent="0.2">
      <c r="A867" s="649" t="s">
        <v>7700</v>
      </c>
      <c r="B867" s="725" t="s">
        <v>7699</v>
      </c>
    </row>
    <row r="868" spans="1:2" x14ac:dyDescent="0.2">
      <c r="A868" s="649" t="s">
        <v>6768</v>
      </c>
      <c r="B868" s="725" t="s">
        <v>6767</v>
      </c>
    </row>
    <row r="869" spans="1:2" x14ac:dyDescent="0.2">
      <c r="A869" s="649" t="s">
        <v>7074</v>
      </c>
      <c r="B869" s="725" t="s">
        <v>7073</v>
      </c>
    </row>
    <row r="870" spans="1:2" x14ac:dyDescent="0.2">
      <c r="A870" s="649" t="s">
        <v>7702</v>
      </c>
      <c r="B870" s="725" t="s">
        <v>7701</v>
      </c>
    </row>
    <row r="871" spans="1:2" x14ac:dyDescent="0.2">
      <c r="A871" s="649" t="s">
        <v>7446</v>
      </c>
      <c r="B871" s="725" t="s">
        <v>7445</v>
      </c>
    </row>
    <row r="872" spans="1:2" x14ac:dyDescent="0.2">
      <c r="A872" s="649" t="s">
        <v>4713</v>
      </c>
      <c r="B872" s="725" t="s">
        <v>4712</v>
      </c>
    </row>
    <row r="873" spans="1:2" x14ac:dyDescent="0.2">
      <c r="A873" s="649" t="s">
        <v>4715</v>
      </c>
      <c r="B873" s="725" t="s">
        <v>4714</v>
      </c>
    </row>
    <row r="874" spans="1:2" x14ac:dyDescent="0.2">
      <c r="A874" s="649" t="s">
        <v>7448</v>
      </c>
      <c r="B874" s="725" t="s">
        <v>7447</v>
      </c>
    </row>
    <row r="875" spans="1:2" x14ac:dyDescent="0.2">
      <c r="A875" s="649" t="s">
        <v>4363</v>
      </c>
      <c r="B875" s="725" t="s">
        <v>4362</v>
      </c>
    </row>
    <row r="876" spans="1:2" x14ac:dyDescent="0.2">
      <c r="A876" s="649" t="s">
        <v>4953</v>
      </c>
      <c r="B876" s="725" t="s">
        <v>4952</v>
      </c>
    </row>
    <row r="877" spans="1:2" x14ac:dyDescent="0.2">
      <c r="A877" s="649" t="s">
        <v>3779</v>
      </c>
      <c r="B877" s="725" t="s">
        <v>3778</v>
      </c>
    </row>
    <row r="878" spans="1:2" x14ac:dyDescent="0.2">
      <c r="A878" s="649" t="s">
        <v>3781</v>
      </c>
      <c r="B878" s="725" t="s">
        <v>3780</v>
      </c>
    </row>
    <row r="879" spans="1:2" x14ac:dyDescent="0.2">
      <c r="A879" s="649" t="s">
        <v>5559</v>
      </c>
      <c r="B879" s="725" t="s">
        <v>5558</v>
      </c>
    </row>
    <row r="880" spans="1:2" x14ac:dyDescent="0.2">
      <c r="A880" s="649" t="s">
        <v>1999</v>
      </c>
      <c r="B880" s="725" t="s">
        <v>1998</v>
      </c>
    </row>
    <row r="881" spans="1:2" x14ac:dyDescent="0.2">
      <c r="A881" s="649" t="s">
        <v>6300</v>
      </c>
      <c r="B881" s="725" t="s">
        <v>6299</v>
      </c>
    </row>
    <row r="882" spans="1:2" x14ac:dyDescent="0.2">
      <c r="A882" s="649" t="s">
        <v>6372</v>
      </c>
      <c r="B882" s="725" t="s">
        <v>6371</v>
      </c>
    </row>
    <row r="883" spans="1:2" x14ac:dyDescent="0.2">
      <c r="A883" s="649" t="s">
        <v>6372</v>
      </c>
      <c r="B883" s="725" t="s">
        <v>10347</v>
      </c>
    </row>
    <row r="884" spans="1:2" x14ac:dyDescent="0.2">
      <c r="A884" s="649" t="s">
        <v>6372</v>
      </c>
      <c r="B884" s="725" t="s">
        <v>10348</v>
      </c>
    </row>
    <row r="885" spans="1:2" x14ac:dyDescent="0.2">
      <c r="A885" s="649" t="s">
        <v>441</v>
      </c>
      <c r="B885" s="725" t="s">
        <v>440</v>
      </c>
    </row>
    <row r="886" spans="1:2" x14ac:dyDescent="0.2">
      <c r="A886" s="649" t="s">
        <v>7450</v>
      </c>
      <c r="B886" s="725" t="s">
        <v>7449</v>
      </c>
    </row>
    <row r="887" spans="1:2" x14ac:dyDescent="0.2">
      <c r="A887" s="649" t="s">
        <v>970</v>
      </c>
      <c r="B887" s="725" t="s">
        <v>969</v>
      </c>
    </row>
    <row r="888" spans="1:2" x14ac:dyDescent="0.2">
      <c r="A888" s="649" t="s">
        <v>6374</v>
      </c>
      <c r="B888" s="725" t="s">
        <v>6373</v>
      </c>
    </row>
    <row r="889" spans="1:2" x14ac:dyDescent="0.2">
      <c r="A889" s="649" t="s">
        <v>6374</v>
      </c>
      <c r="B889" s="725" t="s">
        <v>10349</v>
      </c>
    </row>
    <row r="890" spans="1:2" x14ac:dyDescent="0.2">
      <c r="A890" s="649" t="s">
        <v>6374</v>
      </c>
      <c r="B890" s="725" t="s">
        <v>10350</v>
      </c>
    </row>
    <row r="891" spans="1:2" x14ac:dyDescent="0.2">
      <c r="A891" s="649" t="s">
        <v>7452</v>
      </c>
      <c r="B891" s="725" t="s">
        <v>7451</v>
      </c>
    </row>
    <row r="892" spans="1:2" x14ac:dyDescent="0.2">
      <c r="A892" s="649" t="s">
        <v>1791</v>
      </c>
      <c r="B892" s="725" t="s">
        <v>1790</v>
      </c>
    </row>
    <row r="893" spans="1:2" x14ac:dyDescent="0.2">
      <c r="A893" s="649" t="s">
        <v>4809</v>
      </c>
      <c r="B893" s="725" t="s">
        <v>4808</v>
      </c>
    </row>
    <row r="894" spans="1:2" x14ac:dyDescent="0.2">
      <c r="A894" s="649" t="s">
        <v>6376</v>
      </c>
      <c r="B894" s="725" t="s">
        <v>6375</v>
      </c>
    </row>
    <row r="895" spans="1:2" x14ac:dyDescent="0.2">
      <c r="A895" s="649" t="s">
        <v>6376</v>
      </c>
      <c r="B895" s="725" t="s">
        <v>10351</v>
      </c>
    </row>
    <row r="896" spans="1:2" x14ac:dyDescent="0.2">
      <c r="A896" s="649" t="s">
        <v>6376</v>
      </c>
      <c r="B896" s="725" t="s">
        <v>10352</v>
      </c>
    </row>
    <row r="897" spans="1:2" x14ac:dyDescent="0.2">
      <c r="A897" s="649" t="s">
        <v>4955</v>
      </c>
      <c r="B897" s="725" t="s">
        <v>4954</v>
      </c>
    </row>
    <row r="898" spans="1:2" x14ac:dyDescent="0.2">
      <c r="A898" s="649" t="s">
        <v>2093</v>
      </c>
      <c r="B898" s="725" t="s">
        <v>2092</v>
      </c>
    </row>
    <row r="899" spans="1:2" x14ac:dyDescent="0.2">
      <c r="A899" s="649" t="s">
        <v>493</v>
      </c>
      <c r="B899" s="725" t="s">
        <v>492</v>
      </c>
    </row>
    <row r="900" spans="1:2" x14ac:dyDescent="0.2">
      <c r="A900" s="649" t="s">
        <v>1945</v>
      </c>
      <c r="B900" s="725" t="s">
        <v>1944</v>
      </c>
    </row>
    <row r="901" spans="1:2" x14ac:dyDescent="0.2">
      <c r="A901" s="649" t="s">
        <v>2353</v>
      </c>
      <c r="B901" s="725" t="s">
        <v>2352</v>
      </c>
    </row>
    <row r="902" spans="1:2" x14ac:dyDescent="0.2">
      <c r="A902" s="649" t="s">
        <v>2447</v>
      </c>
      <c r="B902" s="725" t="s">
        <v>2446</v>
      </c>
    </row>
    <row r="903" spans="1:2" x14ac:dyDescent="0.2">
      <c r="A903" s="649" t="s">
        <v>4957</v>
      </c>
      <c r="B903" s="725" t="s">
        <v>4956</v>
      </c>
    </row>
    <row r="904" spans="1:2" x14ac:dyDescent="0.2">
      <c r="A904" s="649" t="s">
        <v>6770</v>
      </c>
      <c r="B904" s="725" t="s">
        <v>6769</v>
      </c>
    </row>
    <row r="905" spans="1:2" x14ac:dyDescent="0.2">
      <c r="A905" s="649" t="s">
        <v>10353</v>
      </c>
      <c r="B905" s="725" t="s">
        <v>10354</v>
      </c>
    </row>
    <row r="906" spans="1:2" x14ac:dyDescent="0.2">
      <c r="A906" s="649" t="s">
        <v>6626</v>
      </c>
      <c r="B906" s="725" t="s">
        <v>6625</v>
      </c>
    </row>
    <row r="907" spans="1:2" x14ac:dyDescent="0.2">
      <c r="A907" s="649" t="s">
        <v>6378</v>
      </c>
      <c r="B907" s="725" t="s">
        <v>6377</v>
      </c>
    </row>
    <row r="908" spans="1:2" x14ac:dyDescent="0.2">
      <c r="A908" s="649" t="s">
        <v>6378</v>
      </c>
      <c r="B908" s="725" t="s">
        <v>10355</v>
      </c>
    </row>
    <row r="909" spans="1:2" x14ac:dyDescent="0.2">
      <c r="A909" s="649" t="s">
        <v>6378</v>
      </c>
      <c r="B909" s="725" t="s">
        <v>10356</v>
      </c>
    </row>
    <row r="910" spans="1:2" x14ac:dyDescent="0.2">
      <c r="A910" s="649" t="s">
        <v>2725</v>
      </c>
      <c r="B910" s="725" t="s">
        <v>2724</v>
      </c>
    </row>
    <row r="911" spans="1:2" x14ac:dyDescent="0.2">
      <c r="A911" s="649" t="s">
        <v>4717</v>
      </c>
      <c r="B911" s="725" t="s">
        <v>4716</v>
      </c>
    </row>
    <row r="912" spans="1:2" x14ac:dyDescent="0.2">
      <c r="A912" s="649" t="s">
        <v>3743</v>
      </c>
      <c r="B912" s="725" t="s">
        <v>3742</v>
      </c>
    </row>
    <row r="913" spans="1:2" x14ac:dyDescent="0.2">
      <c r="A913" s="649" t="s">
        <v>8242</v>
      </c>
      <c r="B913" s="725" t="s">
        <v>8241</v>
      </c>
    </row>
    <row r="914" spans="1:2" x14ac:dyDescent="0.2">
      <c r="A914" s="649" t="s">
        <v>3745</v>
      </c>
      <c r="B914" s="725" t="s">
        <v>3744</v>
      </c>
    </row>
    <row r="915" spans="1:2" x14ac:dyDescent="0.2">
      <c r="A915" s="649" t="s">
        <v>5343</v>
      </c>
      <c r="B915" s="725" t="s">
        <v>5342</v>
      </c>
    </row>
    <row r="916" spans="1:2" x14ac:dyDescent="0.2">
      <c r="A916" s="649" t="s">
        <v>936</v>
      </c>
      <c r="B916" s="725" t="s">
        <v>935</v>
      </c>
    </row>
    <row r="917" spans="1:2" x14ac:dyDescent="0.2">
      <c r="A917" s="649" t="s">
        <v>2449</v>
      </c>
      <c r="B917" s="725" t="s">
        <v>2448</v>
      </c>
    </row>
    <row r="918" spans="1:2" x14ac:dyDescent="0.2">
      <c r="A918" s="649" t="s">
        <v>3547</v>
      </c>
      <c r="B918" s="725" t="s">
        <v>3546</v>
      </c>
    </row>
    <row r="919" spans="1:2" x14ac:dyDescent="0.2">
      <c r="A919" s="649" t="s">
        <v>5595</v>
      </c>
      <c r="B919" s="725" t="s">
        <v>5594</v>
      </c>
    </row>
    <row r="920" spans="1:2" x14ac:dyDescent="0.2">
      <c r="A920" s="649" t="s">
        <v>6514</v>
      </c>
      <c r="B920" s="725" t="s">
        <v>6513</v>
      </c>
    </row>
    <row r="921" spans="1:2" x14ac:dyDescent="0.2">
      <c r="A921" s="649" t="s">
        <v>4541</v>
      </c>
      <c r="B921" s="725" t="s">
        <v>4540</v>
      </c>
    </row>
    <row r="922" spans="1:2" x14ac:dyDescent="0.2">
      <c r="A922" s="649" t="s">
        <v>7454</v>
      </c>
      <c r="B922" s="725" t="s">
        <v>7453</v>
      </c>
    </row>
    <row r="923" spans="1:2" x14ac:dyDescent="0.2">
      <c r="A923" s="649" t="s">
        <v>7618</v>
      </c>
      <c r="B923" s="725" t="s">
        <v>7617</v>
      </c>
    </row>
    <row r="924" spans="1:2" x14ac:dyDescent="0.2">
      <c r="A924" s="649" t="s">
        <v>7134</v>
      </c>
      <c r="B924" s="725" t="s">
        <v>7133</v>
      </c>
    </row>
    <row r="925" spans="1:2" x14ac:dyDescent="0.2">
      <c r="A925" s="649" t="s">
        <v>2727</v>
      </c>
      <c r="B925" s="725" t="s">
        <v>2726</v>
      </c>
    </row>
    <row r="926" spans="1:2" x14ac:dyDescent="0.2">
      <c r="A926" s="649" t="s">
        <v>2729</v>
      </c>
      <c r="B926" s="725" t="s">
        <v>2728</v>
      </c>
    </row>
    <row r="927" spans="1:2" x14ac:dyDescent="0.2">
      <c r="A927" s="649" t="s">
        <v>8256</v>
      </c>
      <c r="B927" s="725" t="s">
        <v>8255</v>
      </c>
    </row>
    <row r="928" spans="1:2" x14ac:dyDescent="0.2">
      <c r="A928" s="649" t="s">
        <v>4175</v>
      </c>
      <c r="B928" s="725" t="s">
        <v>4174</v>
      </c>
    </row>
    <row r="929" spans="1:2" x14ac:dyDescent="0.2">
      <c r="A929" s="649" t="s">
        <v>471</v>
      </c>
      <c r="B929" s="725" t="s">
        <v>470</v>
      </c>
    </row>
    <row r="930" spans="1:2" x14ac:dyDescent="0.2">
      <c r="A930" s="649" t="s">
        <v>4543</v>
      </c>
      <c r="B930" s="725" t="s">
        <v>4542</v>
      </c>
    </row>
    <row r="931" spans="1:2" x14ac:dyDescent="0.2">
      <c r="A931" s="649" t="s">
        <v>7456</v>
      </c>
      <c r="B931" s="725" t="s">
        <v>7455</v>
      </c>
    </row>
    <row r="932" spans="1:2" x14ac:dyDescent="0.2">
      <c r="A932" s="649" t="s">
        <v>1610</v>
      </c>
      <c r="B932" s="725" t="s">
        <v>1609</v>
      </c>
    </row>
    <row r="933" spans="1:2" x14ac:dyDescent="0.2">
      <c r="A933" s="649" t="s">
        <v>5511</v>
      </c>
      <c r="B933" s="725" t="s">
        <v>5510</v>
      </c>
    </row>
    <row r="934" spans="1:2" x14ac:dyDescent="0.2">
      <c r="A934" s="649" t="s">
        <v>6772</v>
      </c>
      <c r="B934" s="725" t="s">
        <v>6771</v>
      </c>
    </row>
    <row r="935" spans="1:2" x14ac:dyDescent="0.2">
      <c r="A935" s="649" t="s">
        <v>4411</v>
      </c>
      <c r="B935" s="725" t="s">
        <v>4410</v>
      </c>
    </row>
    <row r="936" spans="1:2" x14ac:dyDescent="0.2">
      <c r="A936" s="649" t="s">
        <v>600</v>
      </c>
      <c r="B936" s="725" t="s">
        <v>599</v>
      </c>
    </row>
    <row r="937" spans="1:2" x14ac:dyDescent="0.2">
      <c r="A937" s="649" t="s">
        <v>5772</v>
      </c>
      <c r="B937" s="725" t="s">
        <v>5771</v>
      </c>
    </row>
    <row r="938" spans="1:2" x14ac:dyDescent="0.2">
      <c r="A938" s="649" t="s">
        <v>4365</v>
      </c>
      <c r="B938" s="725" t="s">
        <v>4364</v>
      </c>
    </row>
    <row r="939" spans="1:2" x14ac:dyDescent="0.2">
      <c r="A939" s="649" t="s">
        <v>8134</v>
      </c>
      <c r="B939" s="725" t="s">
        <v>8133</v>
      </c>
    </row>
    <row r="940" spans="1:2" x14ac:dyDescent="0.2">
      <c r="A940" s="649" t="s">
        <v>6302</v>
      </c>
      <c r="B940" s="725" t="s">
        <v>6301</v>
      </c>
    </row>
    <row r="941" spans="1:2" x14ac:dyDescent="0.2">
      <c r="A941" s="649" t="s">
        <v>5774</v>
      </c>
      <c r="B941" s="725" t="s">
        <v>5773</v>
      </c>
    </row>
    <row r="942" spans="1:2" x14ac:dyDescent="0.2">
      <c r="A942" s="649" t="s">
        <v>389</v>
      </c>
      <c r="B942" s="725" t="s">
        <v>388</v>
      </c>
    </row>
    <row r="943" spans="1:2" x14ac:dyDescent="0.2">
      <c r="A943" s="649" t="s">
        <v>5135</v>
      </c>
      <c r="B943" s="725" t="s">
        <v>5134</v>
      </c>
    </row>
    <row r="944" spans="1:2" x14ac:dyDescent="0.2">
      <c r="A944" s="649" t="s">
        <v>606</v>
      </c>
      <c r="B944" s="725" t="s">
        <v>605</v>
      </c>
    </row>
    <row r="945" spans="1:2" x14ac:dyDescent="0.2">
      <c r="A945" s="649" t="s">
        <v>2731</v>
      </c>
      <c r="B945" s="725" t="s">
        <v>2730</v>
      </c>
    </row>
    <row r="946" spans="1:2" x14ac:dyDescent="0.2">
      <c r="A946" s="649" t="s">
        <v>1446</v>
      </c>
      <c r="B946" s="725" t="s">
        <v>1445</v>
      </c>
    </row>
    <row r="947" spans="1:2" x14ac:dyDescent="0.2">
      <c r="A947" s="649" t="s">
        <v>417</v>
      </c>
      <c r="B947" s="725" t="s">
        <v>416</v>
      </c>
    </row>
    <row r="948" spans="1:2" x14ac:dyDescent="0.2">
      <c r="A948" s="649" t="s">
        <v>3579</v>
      </c>
      <c r="B948" s="725" t="s">
        <v>3578</v>
      </c>
    </row>
    <row r="949" spans="1:2" x14ac:dyDescent="0.2">
      <c r="A949" s="649" t="s">
        <v>2095</v>
      </c>
      <c r="B949" s="725" t="s">
        <v>2094</v>
      </c>
    </row>
    <row r="950" spans="1:2" x14ac:dyDescent="0.2">
      <c r="A950" s="649" t="s">
        <v>7076</v>
      </c>
      <c r="B950" s="725" t="s">
        <v>7075</v>
      </c>
    </row>
    <row r="951" spans="1:2" x14ac:dyDescent="0.2">
      <c r="A951" s="649" t="s">
        <v>2451</v>
      </c>
      <c r="B951" s="725" t="s">
        <v>2450</v>
      </c>
    </row>
    <row r="952" spans="1:2" x14ac:dyDescent="0.2">
      <c r="A952" s="649" t="s">
        <v>5079</v>
      </c>
      <c r="B952" s="725" t="s">
        <v>5078</v>
      </c>
    </row>
    <row r="953" spans="1:2" x14ac:dyDescent="0.2">
      <c r="A953" s="649" t="s">
        <v>5776</v>
      </c>
      <c r="B953" s="725" t="s">
        <v>5775</v>
      </c>
    </row>
    <row r="954" spans="1:2" x14ac:dyDescent="0.2">
      <c r="A954" s="649" t="s">
        <v>2733</v>
      </c>
      <c r="B954" s="725" t="s">
        <v>2732</v>
      </c>
    </row>
    <row r="955" spans="1:2" x14ac:dyDescent="0.2">
      <c r="A955" s="649" t="s">
        <v>5778</v>
      </c>
      <c r="B955" s="725" t="s">
        <v>5777</v>
      </c>
    </row>
    <row r="956" spans="1:2" x14ac:dyDescent="0.2">
      <c r="A956" s="649" t="s">
        <v>359</v>
      </c>
      <c r="B956" s="725" t="s">
        <v>358</v>
      </c>
    </row>
    <row r="957" spans="1:2" x14ac:dyDescent="0.2">
      <c r="A957" s="649" t="s">
        <v>2097</v>
      </c>
      <c r="B957" s="725" t="s">
        <v>2096</v>
      </c>
    </row>
    <row r="958" spans="1:2" x14ac:dyDescent="0.2">
      <c r="A958" s="649" t="s">
        <v>3783</v>
      </c>
      <c r="B958" s="725" t="s">
        <v>3782</v>
      </c>
    </row>
    <row r="959" spans="1:2" x14ac:dyDescent="0.2">
      <c r="A959" s="649" t="s">
        <v>5780</v>
      </c>
      <c r="B959" s="725" t="s">
        <v>5779</v>
      </c>
    </row>
    <row r="960" spans="1:2" x14ac:dyDescent="0.2">
      <c r="A960" s="649" t="s">
        <v>3919</v>
      </c>
      <c r="B960" s="725" t="s">
        <v>3918</v>
      </c>
    </row>
    <row r="961" spans="1:2" x14ac:dyDescent="0.2">
      <c r="A961" s="649" t="s">
        <v>6516</v>
      </c>
      <c r="B961" s="725" t="s">
        <v>6515</v>
      </c>
    </row>
    <row r="962" spans="1:2" x14ac:dyDescent="0.2">
      <c r="A962" s="649" t="s">
        <v>3461</v>
      </c>
      <c r="B962" s="725" t="s">
        <v>3460</v>
      </c>
    </row>
    <row r="963" spans="1:2" x14ac:dyDescent="0.2">
      <c r="A963" s="649" t="s">
        <v>7016</v>
      </c>
      <c r="B963" s="725" t="s">
        <v>7015</v>
      </c>
    </row>
    <row r="964" spans="1:2" x14ac:dyDescent="0.2">
      <c r="A964" s="649" t="s">
        <v>3549</v>
      </c>
      <c r="B964" s="725" t="s">
        <v>3548</v>
      </c>
    </row>
    <row r="965" spans="1:2" x14ac:dyDescent="0.2">
      <c r="A965" s="649" t="s">
        <v>5782</v>
      </c>
      <c r="B965" s="725" t="s">
        <v>5781</v>
      </c>
    </row>
    <row r="966" spans="1:2" x14ac:dyDescent="0.2">
      <c r="A966" s="649" t="s">
        <v>4843</v>
      </c>
      <c r="B966" s="725" t="s">
        <v>4842</v>
      </c>
    </row>
    <row r="967" spans="1:2" x14ac:dyDescent="0.2">
      <c r="A967" s="649" t="s">
        <v>1538</v>
      </c>
      <c r="B967" s="725" t="s">
        <v>1537</v>
      </c>
    </row>
    <row r="968" spans="1:2" x14ac:dyDescent="0.2">
      <c r="A968" s="649" t="s">
        <v>7704</v>
      </c>
      <c r="B968" s="725" t="s">
        <v>7703</v>
      </c>
    </row>
    <row r="969" spans="1:2" x14ac:dyDescent="0.2">
      <c r="A969" s="649" t="s">
        <v>2099</v>
      </c>
      <c r="B969" s="725" t="s">
        <v>2098</v>
      </c>
    </row>
    <row r="970" spans="1:2" x14ac:dyDescent="0.2">
      <c r="A970" s="649" t="s">
        <v>2101</v>
      </c>
      <c r="B970" s="725" t="s">
        <v>2100</v>
      </c>
    </row>
    <row r="971" spans="1:2" x14ac:dyDescent="0.2">
      <c r="A971" s="649" t="s">
        <v>5315</v>
      </c>
      <c r="B971" s="725" t="s">
        <v>5314</v>
      </c>
    </row>
    <row r="972" spans="1:2" x14ac:dyDescent="0.2">
      <c r="A972" s="649" t="s">
        <v>7166</v>
      </c>
      <c r="B972" s="725" t="s">
        <v>7165</v>
      </c>
    </row>
    <row r="973" spans="1:2" x14ac:dyDescent="0.2">
      <c r="A973" s="649" t="s">
        <v>7458</v>
      </c>
      <c r="B973" s="725" t="s">
        <v>7457</v>
      </c>
    </row>
    <row r="974" spans="1:2" x14ac:dyDescent="0.2">
      <c r="A974" s="649" t="s">
        <v>1833</v>
      </c>
      <c r="B974" s="725" t="s">
        <v>1832</v>
      </c>
    </row>
    <row r="975" spans="1:2" x14ac:dyDescent="0.2">
      <c r="A975" s="649" t="s">
        <v>7900</v>
      </c>
      <c r="B975" s="725" t="s">
        <v>7899</v>
      </c>
    </row>
    <row r="976" spans="1:2" x14ac:dyDescent="0.2">
      <c r="A976" s="649" t="s">
        <v>1274</v>
      </c>
      <c r="B976" s="725" t="s">
        <v>1273</v>
      </c>
    </row>
    <row r="977" spans="1:2" x14ac:dyDescent="0.2">
      <c r="A977" s="649" t="s">
        <v>1666</v>
      </c>
      <c r="B977" s="725" t="s">
        <v>1665</v>
      </c>
    </row>
    <row r="978" spans="1:2" x14ac:dyDescent="0.2">
      <c r="A978" s="649" t="s">
        <v>1276</v>
      </c>
      <c r="B978" s="725" t="s">
        <v>1275</v>
      </c>
    </row>
    <row r="979" spans="1:2" x14ac:dyDescent="0.2">
      <c r="A979" s="649" t="s">
        <v>7460</v>
      </c>
      <c r="B979" s="725" t="s">
        <v>7459</v>
      </c>
    </row>
    <row r="980" spans="1:2" x14ac:dyDescent="0.2">
      <c r="A980" s="649" t="s">
        <v>8136</v>
      </c>
      <c r="B980" s="725" t="s">
        <v>8135</v>
      </c>
    </row>
    <row r="981" spans="1:2" x14ac:dyDescent="0.2">
      <c r="A981" s="649" t="s">
        <v>5784</v>
      </c>
      <c r="B981" s="725" t="s">
        <v>5783</v>
      </c>
    </row>
    <row r="982" spans="1:2" x14ac:dyDescent="0.2">
      <c r="A982" s="649" t="s">
        <v>2735</v>
      </c>
      <c r="B982" s="725" t="s">
        <v>2734</v>
      </c>
    </row>
    <row r="983" spans="1:2" x14ac:dyDescent="0.2">
      <c r="A983" s="649" t="s">
        <v>7462</v>
      </c>
      <c r="B983" s="725" t="s">
        <v>7461</v>
      </c>
    </row>
    <row r="984" spans="1:2" x14ac:dyDescent="0.2">
      <c r="A984" s="649" t="s">
        <v>7464</v>
      </c>
      <c r="B984" s="725" t="s">
        <v>7463</v>
      </c>
    </row>
    <row r="985" spans="1:2" x14ac:dyDescent="0.2">
      <c r="A985" s="649" t="s">
        <v>7466</v>
      </c>
      <c r="B985" s="725" t="s">
        <v>7465</v>
      </c>
    </row>
    <row r="986" spans="1:2" x14ac:dyDescent="0.2">
      <c r="A986" s="649" t="s">
        <v>4177</v>
      </c>
      <c r="B986" s="725" t="s">
        <v>4176</v>
      </c>
    </row>
    <row r="987" spans="1:2" x14ac:dyDescent="0.2">
      <c r="A987" s="649" t="s">
        <v>648</v>
      </c>
      <c r="B987" s="725" t="s">
        <v>647</v>
      </c>
    </row>
    <row r="988" spans="1:2" x14ac:dyDescent="0.2">
      <c r="A988" s="649" t="s">
        <v>650</v>
      </c>
      <c r="B988" s="725" t="s">
        <v>649</v>
      </c>
    </row>
    <row r="989" spans="1:2" x14ac:dyDescent="0.2">
      <c r="A989" s="649" t="s">
        <v>5137</v>
      </c>
      <c r="B989" s="725" t="s">
        <v>5136</v>
      </c>
    </row>
    <row r="990" spans="1:2" x14ac:dyDescent="0.2">
      <c r="A990" s="649" t="s">
        <v>5786</v>
      </c>
      <c r="B990" s="725" t="s">
        <v>5785</v>
      </c>
    </row>
    <row r="991" spans="1:2" x14ac:dyDescent="0.2">
      <c r="A991" s="649" t="s">
        <v>7078</v>
      </c>
      <c r="B991" s="725" t="s">
        <v>7077</v>
      </c>
    </row>
    <row r="992" spans="1:2" x14ac:dyDescent="0.2">
      <c r="A992" s="649" t="s">
        <v>4545</v>
      </c>
      <c r="B992" s="725" t="s">
        <v>4544</v>
      </c>
    </row>
    <row r="993" spans="1:2" x14ac:dyDescent="0.2">
      <c r="A993" s="649" t="s">
        <v>1220</v>
      </c>
      <c r="B993" s="725" t="s">
        <v>1219</v>
      </c>
    </row>
    <row r="994" spans="1:2" x14ac:dyDescent="0.2">
      <c r="A994" s="649" t="s">
        <v>6774</v>
      </c>
      <c r="B994" s="725" t="s">
        <v>6773</v>
      </c>
    </row>
    <row r="995" spans="1:2" x14ac:dyDescent="0.2">
      <c r="A995" s="649" t="s">
        <v>3921</v>
      </c>
      <c r="B995" s="725" t="s">
        <v>3920</v>
      </c>
    </row>
    <row r="996" spans="1:2" x14ac:dyDescent="0.2">
      <c r="A996" s="649" t="s">
        <v>2303</v>
      </c>
      <c r="B996" s="725" t="s">
        <v>2302</v>
      </c>
    </row>
    <row r="997" spans="1:2" x14ac:dyDescent="0.2">
      <c r="A997" s="649" t="s">
        <v>7992</v>
      </c>
      <c r="B997" s="725" t="s">
        <v>7991</v>
      </c>
    </row>
    <row r="998" spans="1:2" x14ac:dyDescent="0.2">
      <c r="A998" s="649" t="s">
        <v>4331</v>
      </c>
      <c r="B998" s="725" t="s">
        <v>4330</v>
      </c>
    </row>
    <row r="999" spans="1:2" x14ac:dyDescent="0.2">
      <c r="A999" s="649" t="s">
        <v>8138</v>
      </c>
      <c r="B999" s="725" t="s">
        <v>8137</v>
      </c>
    </row>
    <row r="1000" spans="1:2" x14ac:dyDescent="0.2">
      <c r="A1000" s="649" t="s">
        <v>2103</v>
      </c>
      <c r="B1000" s="725" t="s">
        <v>2102</v>
      </c>
    </row>
    <row r="1001" spans="1:2" x14ac:dyDescent="0.2">
      <c r="A1001" s="649" t="s">
        <v>8044</v>
      </c>
      <c r="B1001" s="725" t="s">
        <v>8043</v>
      </c>
    </row>
    <row r="1002" spans="1:2" x14ac:dyDescent="0.2">
      <c r="A1002" s="649" t="s">
        <v>5401</v>
      </c>
      <c r="B1002" s="725" t="s">
        <v>5400</v>
      </c>
    </row>
    <row r="1003" spans="1:2" ht="28.5" x14ac:dyDescent="0.2">
      <c r="A1003" s="649" t="s">
        <v>2737</v>
      </c>
      <c r="B1003" s="725" t="s">
        <v>2736</v>
      </c>
    </row>
    <row r="1004" spans="1:2" x14ac:dyDescent="0.2">
      <c r="A1004" s="649" t="s">
        <v>4413</v>
      </c>
      <c r="B1004" s="725" t="s">
        <v>4412</v>
      </c>
    </row>
    <row r="1005" spans="1:2" x14ac:dyDescent="0.2">
      <c r="A1005" s="649" t="s">
        <v>652</v>
      </c>
      <c r="B1005" s="725" t="s">
        <v>651</v>
      </c>
    </row>
    <row r="1006" spans="1:2" x14ac:dyDescent="0.2">
      <c r="A1006" s="649" t="s">
        <v>7352</v>
      </c>
      <c r="B1006" s="725" t="s">
        <v>7351</v>
      </c>
    </row>
    <row r="1007" spans="1:2" x14ac:dyDescent="0.2">
      <c r="A1007" s="649" t="s">
        <v>8046</v>
      </c>
      <c r="B1007" s="725" t="s">
        <v>8045</v>
      </c>
    </row>
    <row r="1008" spans="1:2" x14ac:dyDescent="0.2">
      <c r="A1008" s="649" t="s">
        <v>6248</v>
      </c>
      <c r="B1008" s="725" t="s">
        <v>6247</v>
      </c>
    </row>
    <row r="1009" spans="1:2" x14ac:dyDescent="0.2">
      <c r="A1009" s="649" t="s">
        <v>4547</v>
      </c>
      <c r="B1009" s="725" t="s">
        <v>4546</v>
      </c>
    </row>
    <row r="1010" spans="1:2" x14ac:dyDescent="0.2">
      <c r="A1010" s="649" t="s">
        <v>5345</v>
      </c>
      <c r="B1010" s="725" t="s">
        <v>5344</v>
      </c>
    </row>
    <row r="1011" spans="1:2" x14ac:dyDescent="0.2">
      <c r="A1011" s="649" t="s">
        <v>1668</v>
      </c>
      <c r="B1011" s="725" t="s">
        <v>1667</v>
      </c>
    </row>
    <row r="1012" spans="1:2" x14ac:dyDescent="0.2">
      <c r="A1012" s="649" t="s">
        <v>4257</v>
      </c>
      <c r="B1012" s="725" t="s">
        <v>4256</v>
      </c>
    </row>
    <row r="1013" spans="1:2" x14ac:dyDescent="0.2">
      <c r="A1013" s="649" t="s">
        <v>5788</v>
      </c>
      <c r="B1013" s="725" t="s">
        <v>5787</v>
      </c>
    </row>
    <row r="1014" spans="1:2" x14ac:dyDescent="0.2">
      <c r="A1014" s="649" t="s">
        <v>8088</v>
      </c>
      <c r="B1014" s="725" t="s">
        <v>8087</v>
      </c>
    </row>
    <row r="1015" spans="1:2" x14ac:dyDescent="0.2">
      <c r="A1015" s="649" t="s">
        <v>7468</v>
      </c>
      <c r="B1015" s="725" t="s">
        <v>7467</v>
      </c>
    </row>
    <row r="1016" spans="1:2" ht="28.5" x14ac:dyDescent="0.2">
      <c r="A1016" s="649" t="s">
        <v>2739</v>
      </c>
      <c r="B1016" s="725" t="s">
        <v>2738</v>
      </c>
    </row>
    <row r="1017" spans="1:2" x14ac:dyDescent="0.2">
      <c r="A1017" s="649" t="s">
        <v>3785</v>
      </c>
      <c r="B1017" s="725" t="s">
        <v>3784</v>
      </c>
    </row>
    <row r="1018" spans="1:2" x14ac:dyDescent="0.2">
      <c r="A1018" s="649" t="s">
        <v>7470</v>
      </c>
      <c r="B1018" s="725" t="s">
        <v>7469</v>
      </c>
    </row>
    <row r="1019" spans="1:2" x14ac:dyDescent="0.2">
      <c r="A1019" s="649" t="s">
        <v>2105</v>
      </c>
      <c r="B1019" s="725" t="s">
        <v>2104</v>
      </c>
    </row>
    <row r="1020" spans="1:2" x14ac:dyDescent="0.2">
      <c r="A1020" s="649" t="s">
        <v>2107</v>
      </c>
      <c r="B1020" s="725" t="s">
        <v>2106</v>
      </c>
    </row>
    <row r="1021" spans="1:2" x14ac:dyDescent="0.2">
      <c r="A1021" s="649" t="s">
        <v>4959</v>
      </c>
      <c r="B1021" s="725" t="s">
        <v>4958</v>
      </c>
    </row>
    <row r="1022" spans="1:2" x14ac:dyDescent="0.2">
      <c r="A1022" s="649" t="s">
        <v>3787</v>
      </c>
      <c r="B1022" s="725" t="s">
        <v>3786</v>
      </c>
    </row>
    <row r="1023" spans="1:2" x14ac:dyDescent="0.2">
      <c r="A1023" s="649" t="s">
        <v>2741</v>
      </c>
      <c r="B1023" s="725" t="s">
        <v>2740</v>
      </c>
    </row>
    <row r="1024" spans="1:2" x14ac:dyDescent="0.2">
      <c r="A1024" s="649" t="s">
        <v>4487</v>
      </c>
      <c r="B1024" s="725" t="s">
        <v>4486</v>
      </c>
    </row>
    <row r="1025" spans="1:2" x14ac:dyDescent="0.2">
      <c r="A1025" s="649" t="s">
        <v>361</v>
      </c>
      <c r="B1025" s="725" t="s">
        <v>360</v>
      </c>
    </row>
    <row r="1026" spans="1:2" x14ac:dyDescent="0.2">
      <c r="A1026" s="649" t="s">
        <v>363</v>
      </c>
      <c r="B1026" s="725" t="s">
        <v>362</v>
      </c>
    </row>
    <row r="1027" spans="1:2" x14ac:dyDescent="0.2">
      <c r="A1027" s="649" t="s">
        <v>4179</v>
      </c>
      <c r="B1027" s="725" t="s">
        <v>4178</v>
      </c>
    </row>
    <row r="1028" spans="1:2" x14ac:dyDescent="0.2">
      <c r="A1028" s="649" t="s">
        <v>984</v>
      </c>
      <c r="B1028" s="725" t="s">
        <v>983</v>
      </c>
    </row>
    <row r="1029" spans="1:2" x14ac:dyDescent="0.2">
      <c r="A1029" s="649" t="s">
        <v>986</v>
      </c>
      <c r="B1029" s="725" t="s">
        <v>985</v>
      </c>
    </row>
    <row r="1030" spans="1:2" x14ac:dyDescent="0.2">
      <c r="A1030" s="649" t="s">
        <v>6776</v>
      </c>
      <c r="B1030" s="725" t="s">
        <v>6775</v>
      </c>
    </row>
    <row r="1031" spans="1:2" x14ac:dyDescent="0.2">
      <c r="A1031" s="649" t="s">
        <v>7706</v>
      </c>
      <c r="B1031" s="725" t="s">
        <v>7705</v>
      </c>
    </row>
    <row r="1032" spans="1:2" x14ac:dyDescent="0.2">
      <c r="A1032" s="649" t="s">
        <v>7994</v>
      </c>
      <c r="B1032" s="725" t="s">
        <v>7993</v>
      </c>
    </row>
    <row r="1033" spans="1:2" x14ac:dyDescent="0.2">
      <c r="A1033" s="649" t="s">
        <v>10357</v>
      </c>
      <c r="B1033" s="725" t="s">
        <v>10358</v>
      </c>
    </row>
    <row r="1034" spans="1:2" x14ac:dyDescent="0.2">
      <c r="A1034" s="649" t="s">
        <v>5369</v>
      </c>
      <c r="B1034" s="725" t="s">
        <v>5368</v>
      </c>
    </row>
    <row r="1035" spans="1:2" x14ac:dyDescent="0.2">
      <c r="A1035" s="649" t="s">
        <v>610</v>
      </c>
      <c r="B1035" s="725" t="s">
        <v>609</v>
      </c>
    </row>
    <row r="1036" spans="1:2" x14ac:dyDescent="0.2">
      <c r="A1036" s="649" t="s">
        <v>612</v>
      </c>
      <c r="B1036" s="725" t="s">
        <v>611</v>
      </c>
    </row>
    <row r="1037" spans="1:2" x14ac:dyDescent="0.2">
      <c r="A1037" s="649" t="s">
        <v>5790</v>
      </c>
      <c r="B1037" s="725" t="s">
        <v>5789</v>
      </c>
    </row>
    <row r="1038" spans="1:2" x14ac:dyDescent="0.2">
      <c r="A1038" s="649" t="s">
        <v>2743</v>
      </c>
      <c r="B1038" s="725" t="s">
        <v>2742</v>
      </c>
    </row>
    <row r="1039" spans="1:2" x14ac:dyDescent="0.2">
      <c r="A1039" s="649" t="s">
        <v>1793</v>
      </c>
      <c r="B1039" s="725" t="s">
        <v>1792</v>
      </c>
    </row>
    <row r="1040" spans="1:2" x14ac:dyDescent="0.2">
      <c r="A1040" s="649" t="s">
        <v>7386</v>
      </c>
      <c r="B1040" s="725" t="s">
        <v>7385</v>
      </c>
    </row>
    <row r="1041" spans="1:2" x14ac:dyDescent="0.2">
      <c r="A1041" s="649" t="s">
        <v>6462</v>
      </c>
      <c r="B1041" s="725" t="s">
        <v>6461</v>
      </c>
    </row>
    <row r="1042" spans="1:2" x14ac:dyDescent="0.2">
      <c r="A1042" s="649" t="s">
        <v>7708</v>
      </c>
      <c r="B1042" s="725" t="s">
        <v>7707</v>
      </c>
    </row>
    <row r="1043" spans="1:2" x14ac:dyDescent="0.2">
      <c r="A1043" s="649" t="s">
        <v>1947</v>
      </c>
      <c r="B1043" s="725" t="s">
        <v>1946</v>
      </c>
    </row>
    <row r="1044" spans="1:2" ht="28.5" x14ac:dyDescent="0.2">
      <c r="A1044" s="649" t="s">
        <v>2745</v>
      </c>
      <c r="B1044" s="725" t="s">
        <v>2744</v>
      </c>
    </row>
    <row r="1045" spans="1:2" x14ac:dyDescent="0.2">
      <c r="A1045" s="649" t="s">
        <v>4453</v>
      </c>
      <c r="B1045" s="725" t="s">
        <v>4452</v>
      </c>
    </row>
    <row r="1046" spans="1:2" x14ac:dyDescent="0.2">
      <c r="A1046" s="649" t="s">
        <v>7250</v>
      </c>
      <c r="B1046" s="725" t="s">
        <v>7249</v>
      </c>
    </row>
    <row r="1047" spans="1:2" x14ac:dyDescent="0.2">
      <c r="A1047" s="649" t="s">
        <v>1795</v>
      </c>
      <c r="B1047" s="725" t="s">
        <v>1794</v>
      </c>
    </row>
    <row r="1048" spans="1:2" x14ac:dyDescent="0.2">
      <c r="A1048" s="649" t="s">
        <v>5792</v>
      </c>
      <c r="B1048" s="725" t="s">
        <v>5791</v>
      </c>
    </row>
    <row r="1049" spans="1:2" x14ac:dyDescent="0.2">
      <c r="A1049" s="649" t="s">
        <v>4367</v>
      </c>
      <c r="B1049" s="725" t="s">
        <v>4366</v>
      </c>
    </row>
    <row r="1050" spans="1:2" ht="28.5" x14ac:dyDescent="0.2">
      <c r="A1050" s="649" t="s">
        <v>2747</v>
      </c>
      <c r="B1050" s="725" t="s">
        <v>2746</v>
      </c>
    </row>
    <row r="1051" spans="1:2" x14ac:dyDescent="0.2">
      <c r="A1051" s="649" t="s">
        <v>7354</v>
      </c>
      <c r="B1051" s="725" t="s">
        <v>7353</v>
      </c>
    </row>
    <row r="1052" spans="1:2" x14ac:dyDescent="0.2">
      <c r="A1052" s="649" t="s">
        <v>988</v>
      </c>
      <c r="B1052" s="725" t="s">
        <v>987</v>
      </c>
    </row>
    <row r="1053" spans="1:2" x14ac:dyDescent="0.2">
      <c r="A1053" s="649" t="s">
        <v>2453</v>
      </c>
      <c r="B1053" s="725" t="s">
        <v>2452</v>
      </c>
    </row>
    <row r="1054" spans="1:2" x14ac:dyDescent="0.2">
      <c r="A1054" s="649" t="s">
        <v>5794</v>
      </c>
      <c r="B1054" s="725" t="s">
        <v>5793</v>
      </c>
    </row>
    <row r="1055" spans="1:2" x14ac:dyDescent="0.2">
      <c r="A1055" s="649" t="s">
        <v>868</v>
      </c>
      <c r="B1055" s="725" t="s">
        <v>867</v>
      </c>
    </row>
    <row r="1056" spans="1:2" x14ac:dyDescent="0.2">
      <c r="A1056" s="649" t="s">
        <v>1278</v>
      </c>
      <c r="B1056" s="725" t="s">
        <v>1277</v>
      </c>
    </row>
    <row r="1057" spans="1:2" x14ac:dyDescent="0.2">
      <c r="A1057" s="649" t="s">
        <v>1280</v>
      </c>
      <c r="B1057" s="725" t="s">
        <v>1279</v>
      </c>
    </row>
    <row r="1058" spans="1:2" x14ac:dyDescent="0.2">
      <c r="A1058" s="649" t="s">
        <v>1282</v>
      </c>
      <c r="B1058" s="725" t="s">
        <v>1281</v>
      </c>
    </row>
    <row r="1059" spans="1:2" x14ac:dyDescent="0.2">
      <c r="A1059" s="649" t="s">
        <v>1284</v>
      </c>
      <c r="B1059" s="725" t="s">
        <v>1283</v>
      </c>
    </row>
    <row r="1060" spans="1:2" x14ac:dyDescent="0.2">
      <c r="A1060" s="649" t="s">
        <v>1286</v>
      </c>
      <c r="B1060" s="725" t="s">
        <v>1285</v>
      </c>
    </row>
    <row r="1061" spans="1:2" x14ac:dyDescent="0.2">
      <c r="A1061" s="649" t="s">
        <v>1288</v>
      </c>
      <c r="B1061" s="725" t="s">
        <v>1287</v>
      </c>
    </row>
    <row r="1062" spans="1:2" x14ac:dyDescent="0.2">
      <c r="A1062" s="649" t="s">
        <v>1290</v>
      </c>
      <c r="B1062" s="725" t="s">
        <v>1289</v>
      </c>
    </row>
    <row r="1063" spans="1:2" x14ac:dyDescent="0.2">
      <c r="A1063" s="649" t="s">
        <v>1292</v>
      </c>
      <c r="B1063" s="725" t="s">
        <v>1291</v>
      </c>
    </row>
    <row r="1064" spans="1:2" x14ac:dyDescent="0.2">
      <c r="A1064" s="649" t="s">
        <v>1294</v>
      </c>
      <c r="B1064" s="725" t="s">
        <v>1293</v>
      </c>
    </row>
    <row r="1065" spans="1:2" x14ac:dyDescent="0.2">
      <c r="A1065" s="649" t="s">
        <v>2239</v>
      </c>
      <c r="B1065" s="725" t="s">
        <v>2238</v>
      </c>
    </row>
    <row r="1066" spans="1:2" x14ac:dyDescent="0.2">
      <c r="A1066" s="649" t="s">
        <v>990</v>
      </c>
      <c r="B1066" s="725" t="s">
        <v>989</v>
      </c>
    </row>
    <row r="1067" spans="1:2" x14ac:dyDescent="0.2">
      <c r="A1067" s="649" t="s">
        <v>5225</v>
      </c>
      <c r="B1067" s="725" t="s">
        <v>5224</v>
      </c>
    </row>
    <row r="1068" spans="1:2" x14ac:dyDescent="0.2">
      <c r="A1068" s="649" t="s">
        <v>6518</v>
      </c>
      <c r="B1068" s="725" t="s">
        <v>6517</v>
      </c>
    </row>
    <row r="1069" spans="1:2" x14ac:dyDescent="0.2">
      <c r="A1069" s="649" t="s">
        <v>654</v>
      </c>
      <c r="B1069" s="725" t="s">
        <v>653</v>
      </c>
    </row>
    <row r="1070" spans="1:2" x14ac:dyDescent="0.2">
      <c r="A1070" s="649" t="s">
        <v>1670</v>
      </c>
      <c r="B1070" s="725" t="s">
        <v>1669</v>
      </c>
    </row>
    <row r="1071" spans="1:2" x14ac:dyDescent="0.2">
      <c r="A1071" s="649" t="s">
        <v>1672</v>
      </c>
      <c r="B1071" s="725" t="s">
        <v>1671</v>
      </c>
    </row>
    <row r="1072" spans="1:2" x14ac:dyDescent="0.2">
      <c r="A1072" s="649" t="s">
        <v>1674</v>
      </c>
      <c r="B1072" s="725" t="s">
        <v>1673</v>
      </c>
    </row>
    <row r="1073" spans="1:2" x14ac:dyDescent="0.2">
      <c r="A1073" s="649" t="s">
        <v>7710</v>
      </c>
      <c r="B1073" s="725" t="s">
        <v>7709</v>
      </c>
    </row>
    <row r="1074" spans="1:2" x14ac:dyDescent="0.2">
      <c r="A1074" s="649" t="s">
        <v>656</v>
      </c>
      <c r="B1074" s="725" t="s">
        <v>655</v>
      </c>
    </row>
    <row r="1075" spans="1:2" x14ac:dyDescent="0.2">
      <c r="A1075" s="649" t="s">
        <v>1676</v>
      </c>
      <c r="B1075" s="725" t="s">
        <v>1675</v>
      </c>
    </row>
    <row r="1076" spans="1:2" x14ac:dyDescent="0.2">
      <c r="A1076" s="649" t="s">
        <v>4259</v>
      </c>
      <c r="B1076" s="725" t="s">
        <v>4258</v>
      </c>
    </row>
    <row r="1077" spans="1:2" x14ac:dyDescent="0.2">
      <c r="A1077" s="649" t="s">
        <v>7252</v>
      </c>
      <c r="B1077" s="725" t="s">
        <v>7251</v>
      </c>
    </row>
    <row r="1078" spans="1:2" x14ac:dyDescent="0.2">
      <c r="A1078" s="649" t="s">
        <v>4261</v>
      </c>
      <c r="B1078" s="725" t="s">
        <v>4260</v>
      </c>
    </row>
    <row r="1079" spans="1:2" ht="28.5" x14ac:dyDescent="0.2">
      <c r="A1079" s="649" t="s">
        <v>3923</v>
      </c>
      <c r="B1079" s="725" t="s">
        <v>3922</v>
      </c>
    </row>
    <row r="1080" spans="1:2" x14ac:dyDescent="0.2">
      <c r="A1080" s="649" t="s">
        <v>4811</v>
      </c>
      <c r="B1080" s="725" t="s">
        <v>4810</v>
      </c>
    </row>
    <row r="1081" spans="1:2" x14ac:dyDescent="0.2">
      <c r="A1081" s="649" t="s">
        <v>4961</v>
      </c>
      <c r="B1081" s="725" t="s">
        <v>4960</v>
      </c>
    </row>
    <row r="1082" spans="1:2" x14ac:dyDescent="0.2">
      <c r="A1082" s="649" t="s">
        <v>5796</v>
      </c>
      <c r="B1082" s="725" t="s">
        <v>5795</v>
      </c>
    </row>
    <row r="1083" spans="1:2" x14ac:dyDescent="0.2">
      <c r="A1083" s="649" t="s">
        <v>495</v>
      </c>
      <c r="B1083" s="725" t="s">
        <v>494</v>
      </c>
    </row>
    <row r="1084" spans="1:2" x14ac:dyDescent="0.2">
      <c r="A1084" s="649" t="s">
        <v>5798</v>
      </c>
      <c r="B1084" s="725" t="s">
        <v>5797</v>
      </c>
    </row>
    <row r="1085" spans="1:2" ht="28.5" x14ac:dyDescent="0.2">
      <c r="A1085" s="649" t="s">
        <v>2749</v>
      </c>
      <c r="B1085" s="725" t="s">
        <v>2748</v>
      </c>
    </row>
    <row r="1086" spans="1:2" x14ac:dyDescent="0.2">
      <c r="A1086" s="649" t="s">
        <v>4549</v>
      </c>
      <c r="B1086" s="725" t="s">
        <v>4548</v>
      </c>
    </row>
    <row r="1087" spans="1:2" x14ac:dyDescent="0.2">
      <c r="A1087" s="649" t="s">
        <v>658</v>
      </c>
      <c r="B1087" s="725" t="s">
        <v>657</v>
      </c>
    </row>
    <row r="1088" spans="1:2" x14ac:dyDescent="0.2">
      <c r="A1088" s="649" t="s">
        <v>1949</v>
      </c>
      <c r="B1088" s="725" t="s">
        <v>1948</v>
      </c>
    </row>
    <row r="1089" spans="1:2" x14ac:dyDescent="0.2">
      <c r="A1089" s="649" t="s">
        <v>5800</v>
      </c>
      <c r="B1089" s="725" t="s">
        <v>5799</v>
      </c>
    </row>
    <row r="1090" spans="1:2" x14ac:dyDescent="0.2">
      <c r="A1090" s="649" t="s">
        <v>5139</v>
      </c>
      <c r="B1090" s="725" t="s">
        <v>5138</v>
      </c>
    </row>
    <row r="1091" spans="1:2" x14ac:dyDescent="0.2">
      <c r="A1091" s="649" t="s">
        <v>5141</v>
      </c>
      <c r="B1091" s="725" t="s">
        <v>5140</v>
      </c>
    </row>
    <row r="1092" spans="1:2" x14ac:dyDescent="0.2">
      <c r="A1092" s="649" t="s">
        <v>497</v>
      </c>
      <c r="B1092" s="725" t="s">
        <v>496</v>
      </c>
    </row>
    <row r="1093" spans="1:2" x14ac:dyDescent="0.2">
      <c r="A1093" s="649" t="s">
        <v>5143</v>
      </c>
      <c r="B1093" s="725" t="s">
        <v>5142</v>
      </c>
    </row>
    <row r="1094" spans="1:2" x14ac:dyDescent="0.2">
      <c r="A1094" s="649" t="s">
        <v>7328</v>
      </c>
      <c r="B1094" s="725" t="s">
        <v>7327</v>
      </c>
    </row>
    <row r="1095" spans="1:2" x14ac:dyDescent="0.2">
      <c r="A1095" s="649" t="s">
        <v>2751</v>
      </c>
      <c r="B1095" s="725" t="s">
        <v>2750</v>
      </c>
    </row>
    <row r="1096" spans="1:2" x14ac:dyDescent="0.2">
      <c r="A1096" s="649" t="s">
        <v>463</v>
      </c>
      <c r="B1096" s="725" t="s">
        <v>462</v>
      </c>
    </row>
    <row r="1097" spans="1:2" x14ac:dyDescent="0.2">
      <c r="A1097" s="649" t="s">
        <v>499</v>
      </c>
      <c r="B1097" s="725" t="s">
        <v>498</v>
      </c>
    </row>
    <row r="1098" spans="1:2" x14ac:dyDescent="0.2">
      <c r="A1098" s="649" t="s">
        <v>6778</v>
      </c>
      <c r="B1098" s="725" t="s">
        <v>6777</v>
      </c>
    </row>
    <row r="1099" spans="1:2" x14ac:dyDescent="0.2">
      <c r="A1099" s="649" t="s">
        <v>3581</v>
      </c>
      <c r="B1099" s="725" t="s">
        <v>3580</v>
      </c>
    </row>
    <row r="1100" spans="1:2" x14ac:dyDescent="0.2">
      <c r="A1100" s="649" t="s">
        <v>5403</v>
      </c>
      <c r="B1100" s="725" t="s">
        <v>5402</v>
      </c>
    </row>
    <row r="1101" spans="1:2" x14ac:dyDescent="0.2">
      <c r="A1101" s="649" t="s">
        <v>7472</v>
      </c>
      <c r="B1101" s="725" t="s">
        <v>7471</v>
      </c>
    </row>
    <row r="1102" spans="1:2" x14ac:dyDescent="0.2">
      <c r="A1102" s="649" t="s">
        <v>7474</v>
      </c>
      <c r="B1102" s="725" t="s">
        <v>7473</v>
      </c>
    </row>
    <row r="1103" spans="1:2" x14ac:dyDescent="0.2">
      <c r="A1103" s="649" t="s">
        <v>7834</v>
      </c>
      <c r="B1103" s="725" t="s">
        <v>7833</v>
      </c>
    </row>
    <row r="1104" spans="1:2" x14ac:dyDescent="0.2">
      <c r="A1104" s="649" t="s">
        <v>3483</v>
      </c>
      <c r="B1104" s="725" t="s">
        <v>3482</v>
      </c>
    </row>
    <row r="1105" spans="1:2" x14ac:dyDescent="0.2">
      <c r="A1105" s="649" t="s">
        <v>660</v>
      </c>
      <c r="B1105" s="725" t="s">
        <v>659</v>
      </c>
    </row>
    <row r="1106" spans="1:2" x14ac:dyDescent="0.2">
      <c r="A1106" s="649" t="s">
        <v>870</v>
      </c>
      <c r="B1106" s="725" t="s">
        <v>869</v>
      </c>
    </row>
    <row r="1107" spans="1:2" x14ac:dyDescent="0.2">
      <c r="A1107" s="649" t="s">
        <v>872</v>
      </c>
      <c r="B1107" s="725" t="s">
        <v>871</v>
      </c>
    </row>
    <row r="1108" spans="1:2" x14ac:dyDescent="0.2">
      <c r="A1108" s="649" t="s">
        <v>874</v>
      </c>
      <c r="B1108" s="725" t="s">
        <v>873</v>
      </c>
    </row>
    <row r="1109" spans="1:2" x14ac:dyDescent="0.2">
      <c r="A1109" s="649" t="s">
        <v>876</v>
      </c>
      <c r="B1109" s="725" t="s">
        <v>875</v>
      </c>
    </row>
    <row r="1110" spans="1:2" x14ac:dyDescent="0.2">
      <c r="A1110" s="649" t="s">
        <v>878</v>
      </c>
      <c r="B1110" s="725" t="s">
        <v>877</v>
      </c>
    </row>
    <row r="1111" spans="1:2" x14ac:dyDescent="0.2">
      <c r="A1111" s="649" t="s">
        <v>880</v>
      </c>
      <c r="B1111" s="725" t="s">
        <v>879</v>
      </c>
    </row>
    <row r="1112" spans="1:2" x14ac:dyDescent="0.2">
      <c r="A1112" s="649" t="s">
        <v>882</v>
      </c>
      <c r="B1112" s="725" t="s">
        <v>881</v>
      </c>
    </row>
    <row r="1113" spans="1:2" x14ac:dyDescent="0.2">
      <c r="A1113" s="649" t="s">
        <v>884</v>
      </c>
      <c r="B1113" s="725" t="s">
        <v>883</v>
      </c>
    </row>
    <row r="1114" spans="1:2" x14ac:dyDescent="0.2">
      <c r="A1114" s="649" t="s">
        <v>1296</v>
      </c>
      <c r="B1114" s="725" t="s">
        <v>1295</v>
      </c>
    </row>
    <row r="1115" spans="1:2" x14ac:dyDescent="0.2">
      <c r="A1115" s="649" t="s">
        <v>1298</v>
      </c>
      <c r="B1115" s="725" t="s">
        <v>1297</v>
      </c>
    </row>
    <row r="1116" spans="1:2" x14ac:dyDescent="0.2">
      <c r="A1116" s="649" t="s">
        <v>1300</v>
      </c>
      <c r="B1116" s="725" t="s">
        <v>1299</v>
      </c>
    </row>
    <row r="1117" spans="1:2" x14ac:dyDescent="0.2">
      <c r="A1117" s="649" t="s">
        <v>992</v>
      </c>
      <c r="B1117" s="725" t="s">
        <v>991</v>
      </c>
    </row>
    <row r="1118" spans="1:2" x14ac:dyDescent="0.2">
      <c r="A1118" s="649" t="s">
        <v>7356</v>
      </c>
      <c r="B1118" s="725" t="s">
        <v>7355</v>
      </c>
    </row>
    <row r="1119" spans="1:2" x14ac:dyDescent="0.2">
      <c r="A1119" s="649" t="s">
        <v>4435</v>
      </c>
      <c r="B1119" s="725" t="s">
        <v>4434</v>
      </c>
    </row>
    <row r="1120" spans="1:2" x14ac:dyDescent="0.2">
      <c r="A1120" s="649" t="s">
        <v>1222</v>
      </c>
      <c r="B1120" s="725" t="s">
        <v>1221</v>
      </c>
    </row>
    <row r="1121" spans="1:2" x14ac:dyDescent="0.2">
      <c r="A1121" s="649" t="s">
        <v>425</v>
      </c>
      <c r="B1121" s="725" t="s">
        <v>424</v>
      </c>
    </row>
    <row r="1122" spans="1:2" x14ac:dyDescent="0.2">
      <c r="A1122" s="649" t="s">
        <v>994</v>
      </c>
      <c r="B1122" s="725" t="s">
        <v>993</v>
      </c>
    </row>
    <row r="1123" spans="1:2" x14ac:dyDescent="0.2">
      <c r="A1123" s="649" t="s">
        <v>996</v>
      </c>
      <c r="B1123" s="725" t="s">
        <v>995</v>
      </c>
    </row>
    <row r="1124" spans="1:2" x14ac:dyDescent="0.2">
      <c r="A1124" s="649" t="s">
        <v>886</v>
      </c>
      <c r="B1124" s="725" t="s">
        <v>885</v>
      </c>
    </row>
    <row r="1125" spans="1:2" x14ac:dyDescent="0.2">
      <c r="A1125" s="649" t="s">
        <v>7574</v>
      </c>
      <c r="B1125" s="725" t="s">
        <v>7573</v>
      </c>
    </row>
    <row r="1126" spans="1:2" x14ac:dyDescent="0.2">
      <c r="A1126" s="649" t="s">
        <v>4461</v>
      </c>
      <c r="B1126" s="725" t="s">
        <v>4460</v>
      </c>
    </row>
    <row r="1127" spans="1:2" x14ac:dyDescent="0.2">
      <c r="A1127" s="649" t="s">
        <v>7712</v>
      </c>
      <c r="B1127" s="725" t="s">
        <v>7711</v>
      </c>
    </row>
    <row r="1128" spans="1:2" x14ac:dyDescent="0.2">
      <c r="A1128" s="649" t="s">
        <v>5405</v>
      </c>
      <c r="B1128" s="725" t="s">
        <v>5404</v>
      </c>
    </row>
    <row r="1129" spans="1:2" x14ac:dyDescent="0.2">
      <c r="A1129" s="649" t="s">
        <v>6380</v>
      </c>
      <c r="B1129" s="725" t="s">
        <v>6379</v>
      </c>
    </row>
    <row r="1130" spans="1:2" x14ac:dyDescent="0.2">
      <c r="A1130" s="649" t="s">
        <v>6380</v>
      </c>
      <c r="B1130" s="725" t="s">
        <v>10359</v>
      </c>
    </row>
    <row r="1131" spans="1:2" x14ac:dyDescent="0.2">
      <c r="A1131" s="649" t="s">
        <v>6380</v>
      </c>
      <c r="B1131" s="725" t="s">
        <v>10360</v>
      </c>
    </row>
    <row r="1132" spans="1:2" x14ac:dyDescent="0.2">
      <c r="A1132" s="649" t="s">
        <v>998</v>
      </c>
      <c r="B1132" s="725" t="s">
        <v>997</v>
      </c>
    </row>
    <row r="1133" spans="1:2" x14ac:dyDescent="0.2">
      <c r="A1133" s="649" t="s">
        <v>6780</v>
      </c>
      <c r="B1133" s="725" t="s">
        <v>6779</v>
      </c>
    </row>
    <row r="1134" spans="1:2" x14ac:dyDescent="0.2">
      <c r="A1134" s="649" t="s">
        <v>7332</v>
      </c>
      <c r="B1134" s="725" t="s">
        <v>7331</v>
      </c>
    </row>
    <row r="1135" spans="1:2" x14ac:dyDescent="0.2">
      <c r="A1135" s="649" t="s">
        <v>6382</v>
      </c>
      <c r="B1135" s="725" t="s">
        <v>6381</v>
      </c>
    </row>
    <row r="1136" spans="1:2" x14ac:dyDescent="0.2">
      <c r="A1136" s="649" t="s">
        <v>6382</v>
      </c>
      <c r="B1136" s="725" t="s">
        <v>10361</v>
      </c>
    </row>
    <row r="1137" spans="1:2" x14ac:dyDescent="0.2">
      <c r="A1137" s="649" t="s">
        <v>6382</v>
      </c>
      <c r="B1137" s="725" t="s">
        <v>10362</v>
      </c>
    </row>
    <row r="1138" spans="1:2" x14ac:dyDescent="0.2">
      <c r="A1138" s="649" t="s">
        <v>8338</v>
      </c>
      <c r="B1138" s="725" t="s">
        <v>8337</v>
      </c>
    </row>
    <row r="1139" spans="1:2" x14ac:dyDescent="0.2">
      <c r="A1139" s="649" t="s">
        <v>6384</v>
      </c>
      <c r="B1139" s="725" t="s">
        <v>6383</v>
      </c>
    </row>
    <row r="1140" spans="1:2" x14ac:dyDescent="0.2">
      <c r="A1140" s="649" t="s">
        <v>6384</v>
      </c>
      <c r="B1140" s="725" t="s">
        <v>10363</v>
      </c>
    </row>
    <row r="1141" spans="1:2" x14ac:dyDescent="0.2">
      <c r="A1141" s="649" t="s">
        <v>6384</v>
      </c>
      <c r="B1141" s="725" t="s">
        <v>10364</v>
      </c>
    </row>
    <row r="1142" spans="1:2" x14ac:dyDescent="0.2">
      <c r="A1142" s="649" t="s">
        <v>938</v>
      </c>
      <c r="B1142" s="725" t="s">
        <v>937</v>
      </c>
    </row>
    <row r="1143" spans="1:2" x14ac:dyDescent="0.2">
      <c r="A1143" s="649" t="s">
        <v>5802</v>
      </c>
      <c r="B1143" s="725" t="s">
        <v>5801</v>
      </c>
    </row>
    <row r="1144" spans="1:2" x14ac:dyDescent="0.2">
      <c r="A1144" s="649" t="s">
        <v>6386</v>
      </c>
      <c r="B1144" s="725" t="s">
        <v>6385</v>
      </c>
    </row>
    <row r="1145" spans="1:2" x14ac:dyDescent="0.2">
      <c r="A1145" s="649" t="s">
        <v>6386</v>
      </c>
      <c r="B1145" s="725" t="s">
        <v>10365</v>
      </c>
    </row>
    <row r="1146" spans="1:2" x14ac:dyDescent="0.2">
      <c r="A1146" s="649" t="s">
        <v>6386</v>
      </c>
      <c r="B1146" s="725" t="s">
        <v>10366</v>
      </c>
    </row>
    <row r="1147" spans="1:2" x14ac:dyDescent="0.2">
      <c r="A1147" s="649" t="s">
        <v>5483</v>
      </c>
      <c r="B1147" s="725" t="s">
        <v>5482</v>
      </c>
    </row>
    <row r="1148" spans="1:2" x14ac:dyDescent="0.2">
      <c r="A1148" s="649" t="s">
        <v>2455</v>
      </c>
      <c r="B1148" s="725" t="s">
        <v>2454</v>
      </c>
    </row>
    <row r="1149" spans="1:2" x14ac:dyDescent="0.2">
      <c r="A1149" s="649" t="s">
        <v>1835</v>
      </c>
      <c r="B1149" s="725" t="s">
        <v>1834</v>
      </c>
    </row>
    <row r="1150" spans="1:2" x14ac:dyDescent="0.2">
      <c r="A1150" s="649" t="s">
        <v>501</v>
      </c>
      <c r="B1150" s="725" t="s">
        <v>500</v>
      </c>
    </row>
    <row r="1151" spans="1:2" x14ac:dyDescent="0.2">
      <c r="A1151" s="649" t="s">
        <v>2241</v>
      </c>
      <c r="B1151" s="725" t="s">
        <v>2240</v>
      </c>
    </row>
    <row r="1152" spans="1:2" x14ac:dyDescent="0.2">
      <c r="A1152" s="649" t="s">
        <v>4963</v>
      </c>
      <c r="B1152" s="725" t="s">
        <v>4962</v>
      </c>
    </row>
    <row r="1153" spans="1:2" x14ac:dyDescent="0.2">
      <c r="A1153" s="649" t="s">
        <v>1000</v>
      </c>
      <c r="B1153" s="725" t="s">
        <v>999</v>
      </c>
    </row>
    <row r="1154" spans="1:2" x14ac:dyDescent="0.2">
      <c r="A1154" s="649" t="s">
        <v>1002</v>
      </c>
      <c r="B1154" s="725" t="s">
        <v>1001</v>
      </c>
    </row>
    <row r="1155" spans="1:2" x14ac:dyDescent="0.2">
      <c r="A1155" s="649" t="s">
        <v>1302</v>
      </c>
      <c r="B1155" s="725" t="s">
        <v>1301</v>
      </c>
    </row>
    <row r="1156" spans="1:2" x14ac:dyDescent="0.2">
      <c r="A1156" s="649" t="s">
        <v>1304</v>
      </c>
      <c r="B1156" s="725" t="s">
        <v>1303</v>
      </c>
    </row>
    <row r="1157" spans="1:2" x14ac:dyDescent="0.2">
      <c r="A1157" s="649" t="s">
        <v>1306</v>
      </c>
      <c r="B1157" s="725" t="s">
        <v>1305</v>
      </c>
    </row>
    <row r="1158" spans="1:2" x14ac:dyDescent="0.2">
      <c r="A1158" s="649" t="s">
        <v>1308</v>
      </c>
      <c r="B1158" s="725" t="s">
        <v>1307</v>
      </c>
    </row>
    <row r="1159" spans="1:2" x14ac:dyDescent="0.2">
      <c r="A1159" s="649" t="s">
        <v>1004</v>
      </c>
      <c r="B1159" s="725" t="s">
        <v>1003</v>
      </c>
    </row>
    <row r="1160" spans="1:2" x14ac:dyDescent="0.2">
      <c r="A1160" s="649" t="s">
        <v>1612</v>
      </c>
      <c r="B1160" s="725" t="s">
        <v>1611</v>
      </c>
    </row>
    <row r="1161" spans="1:2" x14ac:dyDescent="0.2">
      <c r="A1161" s="649" t="s">
        <v>1837</v>
      </c>
      <c r="B1161" s="725" t="s">
        <v>1836</v>
      </c>
    </row>
    <row r="1162" spans="1:2" x14ac:dyDescent="0.2">
      <c r="A1162" s="649" t="s">
        <v>2753</v>
      </c>
      <c r="B1162" s="725" t="s">
        <v>2752</v>
      </c>
    </row>
    <row r="1163" spans="1:2" x14ac:dyDescent="0.2">
      <c r="A1163" s="649" t="s">
        <v>6388</v>
      </c>
      <c r="B1163" s="725" t="s">
        <v>6387</v>
      </c>
    </row>
    <row r="1164" spans="1:2" x14ac:dyDescent="0.2">
      <c r="A1164" s="649" t="s">
        <v>6388</v>
      </c>
      <c r="B1164" s="725" t="s">
        <v>10367</v>
      </c>
    </row>
    <row r="1165" spans="1:2" x14ac:dyDescent="0.2">
      <c r="A1165" s="649" t="s">
        <v>6388</v>
      </c>
      <c r="B1165" s="725" t="s">
        <v>10368</v>
      </c>
    </row>
    <row r="1166" spans="1:2" x14ac:dyDescent="0.2">
      <c r="A1166" s="649" t="s">
        <v>6672</v>
      </c>
      <c r="B1166" s="725" t="s">
        <v>6671</v>
      </c>
    </row>
    <row r="1167" spans="1:2" x14ac:dyDescent="0.2">
      <c r="A1167" s="649" t="s">
        <v>8344</v>
      </c>
      <c r="B1167" s="725" t="s">
        <v>8343</v>
      </c>
    </row>
    <row r="1168" spans="1:2" x14ac:dyDescent="0.2">
      <c r="A1168" s="649" t="s">
        <v>6782</v>
      </c>
      <c r="B1168" s="725" t="s">
        <v>6781</v>
      </c>
    </row>
    <row r="1169" spans="1:2" x14ac:dyDescent="0.2">
      <c r="A1169" s="649" t="s">
        <v>7576</v>
      </c>
      <c r="B1169" s="725" t="s">
        <v>7575</v>
      </c>
    </row>
    <row r="1170" spans="1:2" x14ac:dyDescent="0.2">
      <c r="A1170" s="649" t="s">
        <v>2755</v>
      </c>
      <c r="B1170" s="725" t="s">
        <v>2754</v>
      </c>
    </row>
    <row r="1171" spans="1:2" x14ac:dyDescent="0.2">
      <c r="A1171" s="649" t="s">
        <v>6784</v>
      </c>
      <c r="B1171" s="725" t="s">
        <v>6783</v>
      </c>
    </row>
    <row r="1172" spans="1:2" x14ac:dyDescent="0.2">
      <c r="A1172" s="649" t="s">
        <v>6786</v>
      </c>
      <c r="B1172" s="725" t="s">
        <v>6785</v>
      </c>
    </row>
    <row r="1173" spans="1:2" x14ac:dyDescent="0.2">
      <c r="A1173" s="649" t="s">
        <v>2757</v>
      </c>
      <c r="B1173" s="725" t="s">
        <v>2756</v>
      </c>
    </row>
    <row r="1174" spans="1:2" x14ac:dyDescent="0.2">
      <c r="A1174" s="649" t="s">
        <v>5804</v>
      </c>
      <c r="B1174" s="725" t="s">
        <v>5803</v>
      </c>
    </row>
    <row r="1175" spans="1:2" x14ac:dyDescent="0.2">
      <c r="A1175" s="649" t="s">
        <v>1678</v>
      </c>
      <c r="B1175" s="725" t="s">
        <v>1677</v>
      </c>
    </row>
    <row r="1176" spans="1:2" x14ac:dyDescent="0.2">
      <c r="A1176" s="649" t="s">
        <v>1006</v>
      </c>
      <c r="B1176" s="725" t="s">
        <v>1005</v>
      </c>
    </row>
    <row r="1177" spans="1:2" x14ac:dyDescent="0.2">
      <c r="A1177" s="649" t="s">
        <v>602</v>
      </c>
      <c r="B1177" s="725" t="s">
        <v>601</v>
      </c>
    </row>
    <row r="1178" spans="1:2" x14ac:dyDescent="0.2">
      <c r="A1178" s="649" t="s">
        <v>4551</v>
      </c>
      <c r="B1178" s="725" t="s">
        <v>4550</v>
      </c>
    </row>
    <row r="1179" spans="1:2" x14ac:dyDescent="0.2">
      <c r="A1179" s="649" t="s">
        <v>1797</v>
      </c>
      <c r="B1179" s="725" t="s">
        <v>1796</v>
      </c>
    </row>
    <row r="1180" spans="1:2" x14ac:dyDescent="0.2">
      <c r="A1180" s="649" t="s">
        <v>5806</v>
      </c>
      <c r="B1180" s="725" t="s">
        <v>5805</v>
      </c>
    </row>
    <row r="1181" spans="1:2" x14ac:dyDescent="0.2">
      <c r="A1181" s="649" t="s">
        <v>4719</v>
      </c>
      <c r="B1181" s="725" t="s">
        <v>4718</v>
      </c>
    </row>
    <row r="1182" spans="1:2" x14ac:dyDescent="0.2">
      <c r="A1182" s="649" t="s">
        <v>8310</v>
      </c>
      <c r="B1182" s="725" t="s">
        <v>8309</v>
      </c>
    </row>
    <row r="1183" spans="1:2" x14ac:dyDescent="0.2">
      <c r="A1183" s="649" t="s">
        <v>2759</v>
      </c>
      <c r="B1183" s="725" t="s">
        <v>2758</v>
      </c>
    </row>
    <row r="1184" spans="1:2" x14ac:dyDescent="0.2">
      <c r="A1184" s="649" t="s">
        <v>8008</v>
      </c>
      <c r="B1184" s="725" t="s">
        <v>8007</v>
      </c>
    </row>
    <row r="1185" spans="1:2" x14ac:dyDescent="0.2">
      <c r="A1185" s="649" t="s">
        <v>6788</v>
      </c>
      <c r="B1185" s="725" t="s">
        <v>6787</v>
      </c>
    </row>
    <row r="1186" spans="1:2" x14ac:dyDescent="0.2">
      <c r="A1186" s="649" t="s">
        <v>7714</v>
      </c>
      <c r="B1186" s="725" t="s">
        <v>7713</v>
      </c>
    </row>
    <row r="1187" spans="1:2" x14ac:dyDescent="0.2">
      <c r="A1187" s="649" t="s">
        <v>3789</v>
      </c>
      <c r="B1187" s="725" t="s">
        <v>3788</v>
      </c>
    </row>
    <row r="1188" spans="1:2" x14ac:dyDescent="0.2">
      <c r="A1188" s="649" t="s">
        <v>2243</v>
      </c>
      <c r="B1188" s="725" t="s">
        <v>2242</v>
      </c>
    </row>
    <row r="1189" spans="1:2" x14ac:dyDescent="0.2">
      <c r="A1189" s="649" t="s">
        <v>2761</v>
      </c>
      <c r="B1189" s="725" t="s">
        <v>2760</v>
      </c>
    </row>
    <row r="1190" spans="1:2" x14ac:dyDescent="0.2">
      <c r="A1190" s="649" t="s">
        <v>1951</v>
      </c>
      <c r="B1190" s="725" t="s">
        <v>1950</v>
      </c>
    </row>
    <row r="1191" spans="1:2" x14ac:dyDescent="0.2">
      <c r="A1191" s="649" t="s">
        <v>576</v>
      </c>
      <c r="B1191" s="725" t="s">
        <v>575</v>
      </c>
    </row>
    <row r="1192" spans="1:2" x14ac:dyDescent="0.2">
      <c r="A1192" s="649" t="s">
        <v>6588</v>
      </c>
      <c r="B1192" s="725" t="s">
        <v>6587</v>
      </c>
    </row>
    <row r="1193" spans="1:2" x14ac:dyDescent="0.2">
      <c r="A1193" s="649" t="s">
        <v>3583</v>
      </c>
      <c r="B1193" s="725" t="s">
        <v>3582</v>
      </c>
    </row>
    <row r="1194" spans="1:2" x14ac:dyDescent="0.2">
      <c r="A1194" s="649" t="s">
        <v>503</v>
      </c>
      <c r="B1194" s="725" t="s">
        <v>502</v>
      </c>
    </row>
    <row r="1195" spans="1:2" x14ac:dyDescent="0.2">
      <c r="A1195" s="649" t="s">
        <v>2763</v>
      </c>
      <c r="B1195" s="725" t="s">
        <v>2762</v>
      </c>
    </row>
    <row r="1196" spans="1:2" x14ac:dyDescent="0.2">
      <c r="A1196" s="649" t="s">
        <v>2457</v>
      </c>
      <c r="B1196" s="725" t="s">
        <v>2456</v>
      </c>
    </row>
    <row r="1197" spans="1:2" x14ac:dyDescent="0.2">
      <c r="A1197" s="649" t="s">
        <v>7620</v>
      </c>
      <c r="B1197" s="725" t="s">
        <v>7619</v>
      </c>
    </row>
    <row r="1198" spans="1:2" x14ac:dyDescent="0.2">
      <c r="A1198" s="649" t="s">
        <v>6790</v>
      </c>
      <c r="B1198" s="725" t="s">
        <v>6789</v>
      </c>
    </row>
    <row r="1199" spans="1:2" x14ac:dyDescent="0.2">
      <c r="A1199" s="649" t="s">
        <v>1224</v>
      </c>
      <c r="B1199" s="725" t="s">
        <v>1223</v>
      </c>
    </row>
    <row r="1200" spans="1:2" x14ac:dyDescent="0.2">
      <c r="A1200" s="649" t="s">
        <v>662</v>
      </c>
      <c r="B1200" s="725" t="s">
        <v>661</v>
      </c>
    </row>
    <row r="1201" spans="1:2" x14ac:dyDescent="0.2">
      <c r="A1201" s="649" t="s">
        <v>664</v>
      </c>
      <c r="B1201" s="725" t="s">
        <v>663</v>
      </c>
    </row>
    <row r="1202" spans="1:2" x14ac:dyDescent="0.2">
      <c r="A1202" s="649" t="s">
        <v>6792</v>
      </c>
      <c r="B1202" s="725" t="s">
        <v>6791</v>
      </c>
    </row>
    <row r="1203" spans="1:2" x14ac:dyDescent="0.2">
      <c r="A1203" s="649" t="s">
        <v>8140</v>
      </c>
      <c r="B1203" s="725" t="s">
        <v>8139</v>
      </c>
    </row>
    <row r="1204" spans="1:2" x14ac:dyDescent="0.2">
      <c r="A1204" s="649" t="s">
        <v>5145</v>
      </c>
      <c r="B1204" s="725" t="s">
        <v>5144</v>
      </c>
    </row>
    <row r="1205" spans="1:2" x14ac:dyDescent="0.2">
      <c r="A1205" s="649" t="s">
        <v>5808</v>
      </c>
      <c r="B1205" s="725" t="s">
        <v>5807</v>
      </c>
    </row>
    <row r="1206" spans="1:2" x14ac:dyDescent="0.2">
      <c r="A1206" s="649" t="s">
        <v>2765</v>
      </c>
      <c r="B1206" s="725" t="s">
        <v>2764</v>
      </c>
    </row>
    <row r="1207" spans="1:2" x14ac:dyDescent="0.2">
      <c r="A1207" s="649" t="s">
        <v>4181</v>
      </c>
      <c r="B1207" s="725" t="s">
        <v>4180</v>
      </c>
    </row>
    <row r="1208" spans="1:2" x14ac:dyDescent="0.2">
      <c r="A1208" s="649" t="s">
        <v>1953</v>
      </c>
      <c r="B1208" s="725" t="s">
        <v>1952</v>
      </c>
    </row>
    <row r="1209" spans="1:2" x14ac:dyDescent="0.2">
      <c r="A1209" s="649" t="s">
        <v>2109</v>
      </c>
      <c r="B1209" s="725" t="s">
        <v>2108</v>
      </c>
    </row>
    <row r="1210" spans="1:2" x14ac:dyDescent="0.2">
      <c r="A1210" s="649" t="s">
        <v>2767</v>
      </c>
      <c r="B1210" s="725" t="s">
        <v>2766</v>
      </c>
    </row>
    <row r="1211" spans="1:2" x14ac:dyDescent="0.2">
      <c r="A1211" s="649" t="s">
        <v>2769</v>
      </c>
      <c r="B1211" s="725" t="s">
        <v>2768</v>
      </c>
    </row>
    <row r="1212" spans="1:2" x14ac:dyDescent="0.2">
      <c r="A1212" s="649" t="s">
        <v>4757</v>
      </c>
      <c r="B1212" s="725" t="s">
        <v>4756</v>
      </c>
    </row>
    <row r="1213" spans="1:2" x14ac:dyDescent="0.2">
      <c r="A1213" s="649" t="s">
        <v>666</v>
      </c>
      <c r="B1213" s="725" t="s">
        <v>665</v>
      </c>
    </row>
    <row r="1214" spans="1:2" x14ac:dyDescent="0.2">
      <c r="A1214" s="649" t="s">
        <v>668</v>
      </c>
      <c r="B1214" s="725" t="s">
        <v>667</v>
      </c>
    </row>
    <row r="1215" spans="1:2" x14ac:dyDescent="0.2">
      <c r="A1215" s="649" t="s">
        <v>7836</v>
      </c>
      <c r="B1215" s="725" t="s">
        <v>7835</v>
      </c>
    </row>
    <row r="1216" spans="1:2" x14ac:dyDescent="0.2">
      <c r="A1216" s="649" t="s">
        <v>3925</v>
      </c>
      <c r="B1216" s="725" t="s">
        <v>3924</v>
      </c>
    </row>
    <row r="1217" spans="1:2" x14ac:dyDescent="0.2">
      <c r="A1217" s="649" t="s">
        <v>6520</v>
      </c>
      <c r="B1217" s="725" t="s">
        <v>6519</v>
      </c>
    </row>
    <row r="1218" spans="1:2" x14ac:dyDescent="0.2">
      <c r="A1218" s="649" t="s">
        <v>6628</v>
      </c>
      <c r="B1218" s="725" t="s">
        <v>6627</v>
      </c>
    </row>
    <row r="1219" spans="1:2" x14ac:dyDescent="0.2">
      <c r="A1219" s="649" t="s">
        <v>2221</v>
      </c>
      <c r="B1219" s="725" t="s">
        <v>2220</v>
      </c>
    </row>
    <row r="1220" spans="1:2" x14ac:dyDescent="0.2">
      <c r="A1220" s="649" t="s">
        <v>5407</v>
      </c>
      <c r="B1220" s="725" t="s">
        <v>5406</v>
      </c>
    </row>
    <row r="1221" spans="1:2" x14ac:dyDescent="0.2">
      <c r="A1221" s="649" t="s">
        <v>2111</v>
      </c>
      <c r="B1221" s="725" t="s">
        <v>2110</v>
      </c>
    </row>
    <row r="1222" spans="1:2" x14ac:dyDescent="0.2">
      <c r="A1222" s="649" t="s">
        <v>2113</v>
      </c>
      <c r="B1222" s="725" t="s">
        <v>2112</v>
      </c>
    </row>
    <row r="1223" spans="1:2" ht="28.5" x14ac:dyDescent="0.2">
      <c r="A1223" s="649" t="s">
        <v>2771</v>
      </c>
      <c r="B1223" s="725" t="s">
        <v>2770</v>
      </c>
    </row>
    <row r="1224" spans="1:2" x14ac:dyDescent="0.2">
      <c r="A1224" s="649" t="s">
        <v>7638</v>
      </c>
      <c r="B1224" s="725" t="s">
        <v>7637</v>
      </c>
    </row>
    <row r="1225" spans="1:2" x14ac:dyDescent="0.2">
      <c r="A1225" s="649" t="s">
        <v>7358</v>
      </c>
      <c r="B1225" s="725" t="s">
        <v>7357</v>
      </c>
    </row>
    <row r="1226" spans="1:2" x14ac:dyDescent="0.2">
      <c r="A1226" s="649" t="s">
        <v>2773</v>
      </c>
      <c r="B1226" s="725" t="s">
        <v>2772</v>
      </c>
    </row>
    <row r="1227" spans="1:2" x14ac:dyDescent="0.2">
      <c r="A1227" s="649" t="s">
        <v>1008</v>
      </c>
      <c r="B1227" s="725" t="s">
        <v>1007</v>
      </c>
    </row>
    <row r="1228" spans="1:2" x14ac:dyDescent="0.2">
      <c r="A1228" s="649" t="s">
        <v>2115</v>
      </c>
      <c r="B1228" s="725" t="s">
        <v>2114</v>
      </c>
    </row>
    <row r="1229" spans="1:2" x14ac:dyDescent="0.2">
      <c r="A1229" s="649" t="s">
        <v>8142</v>
      </c>
      <c r="B1229" s="725" t="s">
        <v>8141</v>
      </c>
    </row>
    <row r="1230" spans="1:2" x14ac:dyDescent="0.2">
      <c r="A1230" s="649" t="s">
        <v>7716</v>
      </c>
      <c r="B1230" s="725" t="s">
        <v>7715</v>
      </c>
    </row>
    <row r="1231" spans="1:2" x14ac:dyDescent="0.2">
      <c r="A1231" s="649" t="s">
        <v>670</v>
      </c>
      <c r="B1231" s="725" t="s">
        <v>669</v>
      </c>
    </row>
    <row r="1232" spans="1:2" x14ac:dyDescent="0.2">
      <c r="A1232" s="649" t="s">
        <v>7718</v>
      </c>
      <c r="B1232" s="725" t="s">
        <v>7717</v>
      </c>
    </row>
    <row r="1233" spans="1:2" x14ac:dyDescent="0.2">
      <c r="A1233" s="649" t="s">
        <v>7476</v>
      </c>
      <c r="B1233" s="725" t="s">
        <v>7475</v>
      </c>
    </row>
    <row r="1234" spans="1:2" x14ac:dyDescent="0.2">
      <c r="A1234" s="649" t="s">
        <v>5810</v>
      </c>
      <c r="B1234" s="725" t="s">
        <v>5809</v>
      </c>
    </row>
    <row r="1235" spans="1:2" x14ac:dyDescent="0.2">
      <c r="A1235" s="649" t="s">
        <v>2245</v>
      </c>
      <c r="B1235" s="725" t="s">
        <v>2244</v>
      </c>
    </row>
    <row r="1236" spans="1:2" x14ac:dyDescent="0.2">
      <c r="A1236" s="649" t="s">
        <v>5081</v>
      </c>
      <c r="B1236" s="725" t="s">
        <v>5080</v>
      </c>
    </row>
    <row r="1237" spans="1:2" x14ac:dyDescent="0.2">
      <c r="A1237" s="649" t="s">
        <v>7902</v>
      </c>
      <c r="B1237" s="725" t="s">
        <v>7901</v>
      </c>
    </row>
    <row r="1238" spans="1:2" x14ac:dyDescent="0.2">
      <c r="A1238" s="649" t="s">
        <v>7478</v>
      </c>
      <c r="B1238" s="725" t="s">
        <v>7477</v>
      </c>
    </row>
    <row r="1239" spans="1:2" x14ac:dyDescent="0.2">
      <c r="A1239" s="649" t="s">
        <v>8092</v>
      </c>
      <c r="B1239" s="725" t="s">
        <v>8091</v>
      </c>
    </row>
    <row r="1240" spans="1:2" ht="28.5" x14ac:dyDescent="0.2">
      <c r="A1240" s="649" t="s">
        <v>5812</v>
      </c>
      <c r="B1240" s="725" t="s">
        <v>5811</v>
      </c>
    </row>
    <row r="1241" spans="1:2" x14ac:dyDescent="0.2">
      <c r="A1241" s="649" t="s">
        <v>5814</v>
      </c>
      <c r="B1241" s="725" t="s">
        <v>5813</v>
      </c>
    </row>
    <row r="1242" spans="1:2" x14ac:dyDescent="0.2">
      <c r="A1242" s="649" t="s">
        <v>5513</v>
      </c>
      <c r="B1242" s="725" t="s">
        <v>5512</v>
      </c>
    </row>
    <row r="1243" spans="1:2" x14ac:dyDescent="0.2">
      <c r="A1243" s="649" t="s">
        <v>1310</v>
      </c>
      <c r="B1243" s="725" t="s">
        <v>1309</v>
      </c>
    </row>
    <row r="1244" spans="1:2" x14ac:dyDescent="0.2">
      <c r="A1244" s="649" t="s">
        <v>672</v>
      </c>
      <c r="B1244" s="725" t="s">
        <v>671</v>
      </c>
    </row>
    <row r="1245" spans="1:2" x14ac:dyDescent="0.2">
      <c r="A1245" s="649" t="s">
        <v>674</v>
      </c>
      <c r="B1245" s="725" t="s">
        <v>673</v>
      </c>
    </row>
    <row r="1246" spans="1:2" x14ac:dyDescent="0.2">
      <c r="A1246" s="649" t="s">
        <v>676</v>
      </c>
      <c r="B1246" s="725" t="s">
        <v>675</v>
      </c>
    </row>
    <row r="1247" spans="1:2" x14ac:dyDescent="0.2">
      <c r="A1247" s="649" t="s">
        <v>6794</v>
      </c>
      <c r="B1247" s="725" t="s">
        <v>6793</v>
      </c>
    </row>
    <row r="1248" spans="1:2" x14ac:dyDescent="0.2">
      <c r="A1248" s="649" t="s">
        <v>485</v>
      </c>
      <c r="B1248" s="725" t="s">
        <v>484</v>
      </c>
    </row>
    <row r="1249" spans="1:2" x14ac:dyDescent="0.2">
      <c r="A1249" s="649" t="s">
        <v>2191</v>
      </c>
      <c r="B1249" s="725" t="s">
        <v>2190</v>
      </c>
    </row>
    <row r="1250" spans="1:2" x14ac:dyDescent="0.2">
      <c r="A1250" s="649" t="s">
        <v>678</v>
      </c>
      <c r="B1250" s="725" t="s">
        <v>677</v>
      </c>
    </row>
    <row r="1251" spans="1:2" x14ac:dyDescent="0.2">
      <c r="A1251" s="649" t="s">
        <v>966</v>
      </c>
      <c r="B1251" s="725" t="s">
        <v>965</v>
      </c>
    </row>
    <row r="1252" spans="1:2" x14ac:dyDescent="0.2">
      <c r="A1252" s="649" t="s">
        <v>8300</v>
      </c>
      <c r="B1252" s="725" t="s">
        <v>8299</v>
      </c>
    </row>
    <row r="1253" spans="1:2" x14ac:dyDescent="0.2">
      <c r="A1253" s="649" t="s">
        <v>6796</v>
      </c>
      <c r="B1253" s="725" t="s">
        <v>6795</v>
      </c>
    </row>
    <row r="1254" spans="1:2" x14ac:dyDescent="0.2">
      <c r="A1254" s="649" t="s">
        <v>5083</v>
      </c>
      <c r="B1254" s="725" t="s">
        <v>5082</v>
      </c>
    </row>
    <row r="1255" spans="1:2" x14ac:dyDescent="0.2">
      <c r="A1255" s="649" t="s">
        <v>3711</v>
      </c>
      <c r="B1255" s="725" t="s">
        <v>3710</v>
      </c>
    </row>
    <row r="1256" spans="1:2" x14ac:dyDescent="0.2">
      <c r="A1256" s="649" t="s">
        <v>6430</v>
      </c>
      <c r="B1256" s="725" t="s">
        <v>6429</v>
      </c>
    </row>
    <row r="1257" spans="1:2" x14ac:dyDescent="0.2">
      <c r="A1257" s="649" t="s">
        <v>6992</v>
      </c>
      <c r="B1257" s="725" t="s">
        <v>6991</v>
      </c>
    </row>
    <row r="1258" spans="1:2" x14ac:dyDescent="0.2">
      <c r="A1258" s="649" t="s">
        <v>5816</v>
      </c>
      <c r="B1258" s="725" t="s">
        <v>5815</v>
      </c>
    </row>
    <row r="1259" spans="1:2" x14ac:dyDescent="0.2">
      <c r="A1259" s="649" t="s">
        <v>4263</v>
      </c>
      <c r="B1259" s="725" t="s">
        <v>4262</v>
      </c>
    </row>
    <row r="1260" spans="1:2" x14ac:dyDescent="0.2">
      <c r="A1260" s="649" t="s">
        <v>6522</v>
      </c>
      <c r="B1260" s="725" t="s">
        <v>6521</v>
      </c>
    </row>
    <row r="1261" spans="1:2" x14ac:dyDescent="0.2">
      <c r="A1261" s="649" t="s">
        <v>1955</v>
      </c>
      <c r="B1261" s="725" t="s">
        <v>1954</v>
      </c>
    </row>
    <row r="1262" spans="1:2" x14ac:dyDescent="0.2">
      <c r="A1262" s="649" t="s">
        <v>7480</v>
      </c>
      <c r="B1262" s="725" t="s">
        <v>7479</v>
      </c>
    </row>
    <row r="1263" spans="1:2" x14ac:dyDescent="0.2">
      <c r="A1263" s="649" t="s">
        <v>1312</v>
      </c>
      <c r="B1263" s="725" t="s">
        <v>1311</v>
      </c>
    </row>
    <row r="1264" spans="1:2" x14ac:dyDescent="0.2">
      <c r="A1264" s="649" t="s">
        <v>1314</v>
      </c>
      <c r="B1264" s="725" t="s">
        <v>1313</v>
      </c>
    </row>
    <row r="1265" spans="1:2" x14ac:dyDescent="0.2">
      <c r="A1265" s="649" t="s">
        <v>1316</v>
      </c>
      <c r="B1265" s="725" t="s">
        <v>1315</v>
      </c>
    </row>
    <row r="1266" spans="1:2" x14ac:dyDescent="0.2">
      <c r="A1266" s="649" t="s">
        <v>1318</v>
      </c>
      <c r="B1266" s="725" t="s">
        <v>1317</v>
      </c>
    </row>
    <row r="1267" spans="1:2" x14ac:dyDescent="0.2">
      <c r="A1267" s="649" t="s">
        <v>1320</v>
      </c>
      <c r="B1267" s="725" t="s">
        <v>1319</v>
      </c>
    </row>
    <row r="1268" spans="1:2" x14ac:dyDescent="0.2">
      <c r="A1268" s="649" t="s">
        <v>1322</v>
      </c>
      <c r="B1268" s="725" t="s">
        <v>1321</v>
      </c>
    </row>
    <row r="1269" spans="1:2" x14ac:dyDescent="0.2">
      <c r="A1269" s="649" t="s">
        <v>1324</v>
      </c>
      <c r="B1269" s="725" t="s">
        <v>1323</v>
      </c>
    </row>
    <row r="1270" spans="1:2" x14ac:dyDescent="0.2">
      <c r="A1270" s="649" t="s">
        <v>680</v>
      </c>
      <c r="B1270" s="725" t="s">
        <v>679</v>
      </c>
    </row>
    <row r="1271" spans="1:2" x14ac:dyDescent="0.2">
      <c r="A1271" s="649" t="s">
        <v>2775</v>
      </c>
      <c r="B1271" s="725" t="s">
        <v>2774</v>
      </c>
    </row>
    <row r="1272" spans="1:2" x14ac:dyDescent="0.2">
      <c r="A1272" s="649" t="s">
        <v>2777</v>
      </c>
      <c r="B1272" s="725" t="s">
        <v>2776</v>
      </c>
    </row>
    <row r="1273" spans="1:2" x14ac:dyDescent="0.2">
      <c r="A1273" s="649" t="s">
        <v>2459</v>
      </c>
      <c r="B1273" s="725" t="s">
        <v>2458</v>
      </c>
    </row>
    <row r="1274" spans="1:2" x14ac:dyDescent="0.2">
      <c r="A1274" s="649" t="s">
        <v>5409</v>
      </c>
      <c r="B1274" s="725" t="s">
        <v>5408</v>
      </c>
    </row>
    <row r="1275" spans="1:2" x14ac:dyDescent="0.2">
      <c r="A1275" s="649" t="s">
        <v>682</v>
      </c>
      <c r="B1275" s="725" t="s">
        <v>681</v>
      </c>
    </row>
    <row r="1276" spans="1:2" x14ac:dyDescent="0.2">
      <c r="A1276" s="649" t="s">
        <v>7148</v>
      </c>
      <c r="B1276" s="725" t="s">
        <v>7147</v>
      </c>
    </row>
    <row r="1277" spans="1:2" x14ac:dyDescent="0.2">
      <c r="A1277" s="649" t="s">
        <v>2203</v>
      </c>
      <c r="B1277" s="725" t="s">
        <v>2202</v>
      </c>
    </row>
    <row r="1278" spans="1:2" x14ac:dyDescent="0.2">
      <c r="A1278" s="649" t="s">
        <v>7812</v>
      </c>
      <c r="B1278" s="725" t="s">
        <v>7811</v>
      </c>
    </row>
    <row r="1279" spans="1:2" x14ac:dyDescent="0.2">
      <c r="A1279" s="649" t="s">
        <v>5818</v>
      </c>
      <c r="B1279" s="725" t="s">
        <v>5817</v>
      </c>
    </row>
    <row r="1280" spans="1:2" x14ac:dyDescent="0.2">
      <c r="A1280" s="649" t="s">
        <v>1492</v>
      </c>
      <c r="B1280" s="725" t="s">
        <v>1491</v>
      </c>
    </row>
    <row r="1281" spans="1:2" x14ac:dyDescent="0.2">
      <c r="A1281" s="649" t="s">
        <v>1010</v>
      </c>
      <c r="B1281" s="725" t="s">
        <v>1009</v>
      </c>
    </row>
    <row r="1282" spans="1:2" x14ac:dyDescent="0.2">
      <c r="A1282" s="649" t="s">
        <v>1012</v>
      </c>
      <c r="B1282" s="725" t="s">
        <v>1011</v>
      </c>
    </row>
    <row r="1283" spans="1:2" x14ac:dyDescent="0.2">
      <c r="A1283" s="649" t="s">
        <v>7482</v>
      </c>
      <c r="B1283" s="725" t="s">
        <v>7481</v>
      </c>
    </row>
    <row r="1284" spans="1:2" x14ac:dyDescent="0.2">
      <c r="A1284" s="649" t="s">
        <v>4675</v>
      </c>
      <c r="B1284" s="725" t="s">
        <v>4674</v>
      </c>
    </row>
    <row r="1285" spans="1:2" x14ac:dyDescent="0.2">
      <c r="A1285" s="649" t="s">
        <v>4553</v>
      </c>
      <c r="B1285" s="725" t="s">
        <v>4552</v>
      </c>
    </row>
    <row r="1286" spans="1:2" x14ac:dyDescent="0.2">
      <c r="A1286" s="649" t="s">
        <v>5411</v>
      </c>
      <c r="B1286" s="725" t="s">
        <v>5410</v>
      </c>
    </row>
    <row r="1287" spans="1:2" x14ac:dyDescent="0.2">
      <c r="A1287" s="649" t="s">
        <v>1326</v>
      </c>
      <c r="B1287" s="725" t="s">
        <v>1325</v>
      </c>
    </row>
    <row r="1288" spans="1:2" x14ac:dyDescent="0.2">
      <c r="A1288" s="649" t="s">
        <v>1989</v>
      </c>
      <c r="B1288" s="725" t="s">
        <v>1988</v>
      </c>
    </row>
    <row r="1289" spans="1:2" x14ac:dyDescent="0.2">
      <c r="A1289" s="649" t="s">
        <v>3495</v>
      </c>
      <c r="B1289" s="725" t="s">
        <v>3494</v>
      </c>
    </row>
    <row r="1290" spans="1:2" x14ac:dyDescent="0.2">
      <c r="A1290" s="649" t="s">
        <v>2305</v>
      </c>
      <c r="B1290" s="725" t="s">
        <v>2304</v>
      </c>
    </row>
    <row r="1291" spans="1:2" x14ac:dyDescent="0.2">
      <c r="A1291" s="649" t="s">
        <v>5820</v>
      </c>
      <c r="B1291" s="725" t="s">
        <v>5819</v>
      </c>
    </row>
    <row r="1292" spans="1:2" x14ac:dyDescent="0.2">
      <c r="A1292" s="649" t="s">
        <v>2779</v>
      </c>
      <c r="B1292" s="725" t="s">
        <v>2778</v>
      </c>
    </row>
    <row r="1293" spans="1:2" x14ac:dyDescent="0.2">
      <c r="A1293" s="649" t="s">
        <v>3669</v>
      </c>
      <c r="B1293" s="725" t="s">
        <v>3668</v>
      </c>
    </row>
    <row r="1294" spans="1:2" x14ac:dyDescent="0.2">
      <c r="A1294" s="649" t="s">
        <v>7578</v>
      </c>
      <c r="B1294" s="725" t="s">
        <v>7577</v>
      </c>
    </row>
    <row r="1295" spans="1:2" x14ac:dyDescent="0.2">
      <c r="A1295" s="649" t="s">
        <v>8086</v>
      </c>
      <c r="B1295" s="725" t="s">
        <v>8085</v>
      </c>
    </row>
    <row r="1296" spans="1:2" x14ac:dyDescent="0.2">
      <c r="A1296" s="649" t="s">
        <v>5822</v>
      </c>
      <c r="B1296" s="725" t="s">
        <v>5821</v>
      </c>
    </row>
    <row r="1297" spans="1:2" x14ac:dyDescent="0.2">
      <c r="A1297" s="649" t="s">
        <v>4183</v>
      </c>
      <c r="B1297" s="725" t="s">
        <v>4182</v>
      </c>
    </row>
    <row r="1298" spans="1:2" x14ac:dyDescent="0.2">
      <c r="A1298" s="649" t="s">
        <v>8144</v>
      </c>
      <c r="B1298" s="725" t="s">
        <v>8143</v>
      </c>
    </row>
    <row r="1299" spans="1:2" x14ac:dyDescent="0.2">
      <c r="A1299" s="649" t="s">
        <v>5317</v>
      </c>
      <c r="B1299" s="725" t="s">
        <v>5316</v>
      </c>
    </row>
    <row r="1300" spans="1:2" x14ac:dyDescent="0.2">
      <c r="A1300" s="649" t="s">
        <v>3791</v>
      </c>
      <c r="B1300" s="725" t="s">
        <v>3790</v>
      </c>
    </row>
    <row r="1301" spans="1:2" x14ac:dyDescent="0.2">
      <c r="A1301" s="649" t="s">
        <v>6798</v>
      </c>
      <c r="B1301" s="725" t="s">
        <v>6797</v>
      </c>
    </row>
    <row r="1302" spans="1:2" x14ac:dyDescent="0.2">
      <c r="A1302" s="649" t="s">
        <v>4813</v>
      </c>
      <c r="B1302" s="725" t="s">
        <v>4812</v>
      </c>
    </row>
    <row r="1303" spans="1:2" x14ac:dyDescent="0.2">
      <c r="A1303" s="649" t="s">
        <v>7050</v>
      </c>
      <c r="B1303" s="725" t="s">
        <v>7049</v>
      </c>
    </row>
    <row r="1304" spans="1:2" x14ac:dyDescent="0.2">
      <c r="A1304" s="649" t="s">
        <v>1763</v>
      </c>
      <c r="B1304" s="725" t="s">
        <v>1762</v>
      </c>
    </row>
    <row r="1305" spans="1:2" x14ac:dyDescent="0.2">
      <c r="A1305" s="649" t="s">
        <v>1680</v>
      </c>
      <c r="B1305" s="725" t="s">
        <v>1679</v>
      </c>
    </row>
    <row r="1306" spans="1:2" x14ac:dyDescent="0.2">
      <c r="A1306" s="649" t="s">
        <v>1839</v>
      </c>
      <c r="B1306" s="725" t="s">
        <v>1838</v>
      </c>
    </row>
    <row r="1307" spans="1:2" x14ac:dyDescent="0.2">
      <c r="A1307" s="649" t="s">
        <v>6800</v>
      </c>
      <c r="B1307" s="725" t="s">
        <v>6799</v>
      </c>
    </row>
    <row r="1308" spans="1:2" x14ac:dyDescent="0.2">
      <c r="A1308" s="649" t="s">
        <v>8048</v>
      </c>
      <c r="B1308" s="725" t="s">
        <v>8047</v>
      </c>
    </row>
    <row r="1309" spans="1:2" x14ac:dyDescent="0.2">
      <c r="A1309" s="649" t="s">
        <v>586</v>
      </c>
      <c r="B1309" s="725" t="s">
        <v>585</v>
      </c>
    </row>
    <row r="1310" spans="1:2" x14ac:dyDescent="0.2">
      <c r="A1310" s="649" t="s">
        <v>5824</v>
      </c>
      <c r="B1310" s="725" t="s">
        <v>5823</v>
      </c>
    </row>
    <row r="1311" spans="1:2" x14ac:dyDescent="0.2">
      <c r="A1311" s="649" t="s">
        <v>4185</v>
      </c>
      <c r="B1311" s="725" t="s">
        <v>4184</v>
      </c>
    </row>
    <row r="1312" spans="1:2" x14ac:dyDescent="0.2">
      <c r="A1312" s="649" t="s">
        <v>2781</v>
      </c>
      <c r="B1312" s="725" t="s">
        <v>2780</v>
      </c>
    </row>
    <row r="1313" spans="1:2" x14ac:dyDescent="0.2">
      <c r="A1313" s="649" t="s">
        <v>1014</v>
      </c>
      <c r="B1313" s="725" t="s">
        <v>1013</v>
      </c>
    </row>
    <row r="1314" spans="1:2" x14ac:dyDescent="0.2">
      <c r="A1314" s="649" t="s">
        <v>4187</v>
      </c>
      <c r="B1314" s="725" t="s">
        <v>4186</v>
      </c>
    </row>
    <row r="1315" spans="1:2" x14ac:dyDescent="0.2">
      <c r="A1315" s="649" t="s">
        <v>588</v>
      </c>
      <c r="B1315" s="725" t="s">
        <v>587</v>
      </c>
    </row>
    <row r="1316" spans="1:2" x14ac:dyDescent="0.2">
      <c r="A1316" s="649" t="s">
        <v>6432</v>
      </c>
      <c r="B1316" s="725" t="s">
        <v>6431</v>
      </c>
    </row>
    <row r="1317" spans="1:2" x14ac:dyDescent="0.2">
      <c r="A1317" s="649" t="s">
        <v>4395</v>
      </c>
      <c r="B1317" s="725" t="s">
        <v>4394</v>
      </c>
    </row>
    <row r="1318" spans="1:2" x14ac:dyDescent="0.2">
      <c r="A1318" s="649" t="s">
        <v>6802</v>
      </c>
      <c r="B1318" s="725" t="s">
        <v>6801</v>
      </c>
    </row>
    <row r="1319" spans="1:2" x14ac:dyDescent="0.2">
      <c r="A1319" s="649" t="s">
        <v>7254</v>
      </c>
      <c r="B1319" s="725" t="s">
        <v>7253</v>
      </c>
    </row>
    <row r="1320" spans="1:2" x14ac:dyDescent="0.2">
      <c r="A1320" s="649" t="s">
        <v>1682</v>
      </c>
      <c r="B1320" s="725" t="s">
        <v>1681</v>
      </c>
    </row>
    <row r="1321" spans="1:2" x14ac:dyDescent="0.2">
      <c r="A1321" s="649" t="s">
        <v>5826</v>
      </c>
      <c r="B1321" s="725" t="s">
        <v>5825</v>
      </c>
    </row>
    <row r="1322" spans="1:2" x14ac:dyDescent="0.2">
      <c r="A1322" s="649" t="s">
        <v>5828</v>
      </c>
      <c r="B1322" s="725" t="s">
        <v>5827</v>
      </c>
    </row>
    <row r="1323" spans="1:2" x14ac:dyDescent="0.2">
      <c r="A1323" s="649" t="s">
        <v>7080</v>
      </c>
      <c r="B1323" s="725" t="s">
        <v>7079</v>
      </c>
    </row>
    <row r="1324" spans="1:2" x14ac:dyDescent="0.2">
      <c r="A1324" s="649" t="s">
        <v>4759</v>
      </c>
      <c r="B1324" s="725" t="s">
        <v>4758</v>
      </c>
    </row>
    <row r="1325" spans="1:2" x14ac:dyDescent="0.2">
      <c r="A1325" s="649" t="s">
        <v>1226</v>
      </c>
      <c r="B1325" s="725" t="s">
        <v>1225</v>
      </c>
    </row>
    <row r="1326" spans="1:2" x14ac:dyDescent="0.2">
      <c r="A1326" s="649" t="s">
        <v>1228</v>
      </c>
      <c r="B1326" s="725" t="s">
        <v>1227</v>
      </c>
    </row>
    <row r="1327" spans="1:2" x14ac:dyDescent="0.2">
      <c r="A1327" s="649" t="s">
        <v>2783</v>
      </c>
      <c r="B1327" s="725" t="s">
        <v>2782</v>
      </c>
    </row>
    <row r="1328" spans="1:2" x14ac:dyDescent="0.2">
      <c r="A1328" s="649" t="s">
        <v>2785</v>
      </c>
      <c r="B1328" s="725" t="s">
        <v>2784</v>
      </c>
    </row>
    <row r="1329" spans="1:2" x14ac:dyDescent="0.2">
      <c r="A1329" s="649" t="s">
        <v>6804</v>
      </c>
      <c r="B1329" s="725" t="s">
        <v>6803</v>
      </c>
    </row>
    <row r="1330" spans="1:2" x14ac:dyDescent="0.2">
      <c r="A1330" s="649" t="s">
        <v>6806</v>
      </c>
      <c r="B1330" s="725" t="s">
        <v>6805</v>
      </c>
    </row>
    <row r="1331" spans="1:2" x14ac:dyDescent="0.2">
      <c r="A1331" s="649" t="s">
        <v>888</v>
      </c>
      <c r="B1331" s="725" t="s">
        <v>887</v>
      </c>
    </row>
    <row r="1332" spans="1:2" x14ac:dyDescent="0.2">
      <c r="A1332" s="649" t="s">
        <v>2179</v>
      </c>
      <c r="B1332" s="725" t="s">
        <v>2178</v>
      </c>
    </row>
    <row r="1333" spans="1:2" x14ac:dyDescent="0.2">
      <c r="A1333" s="649" t="s">
        <v>890</v>
      </c>
      <c r="B1333" s="725" t="s">
        <v>889</v>
      </c>
    </row>
    <row r="1334" spans="1:2" x14ac:dyDescent="0.2">
      <c r="A1334" s="649" t="s">
        <v>892</v>
      </c>
      <c r="B1334" s="725" t="s">
        <v>891</v>
      </c>
    </row>
    <row r="1335" spans="1:2" x14ac:dyDescent="0.2">
      <c r="A1335" s="649" t="s">
        <v>894</v>
      </c>
      <c r="B1335" s="725" t="s">
        <v>893</v>
      </c>
    </row>
    <row r="1336" spans="1:2" x14ac:dyDescent="0.2">
      <c r="A1336" s="649" t="s">
        <v>896</v>
      </c>
      <c r="B1336" s="725" t="s">
        <v>895</v>
      </c>
    </row>
    <row r="1337" spans="1:2" x14ac:dyDescent="0.2">
      <c r="A1337" s="649" t="s">
        <v>2787</v>
      </c>
      <c r="B1337" s="725" t="s">
        <v>2786</v>
      </c>
    </row>
    <row r="1338" spans="1:2" x14ac:dyDescent="0.2">
      <c r="A1338" s="649" t="s">
        <v>8258</v>
      </c>
      <c r="B1338" s="725" t="s">
        <v>8257</v>
      </c>
    </row>
    <row r="1339" spans="1:2" x14ac:dyDescent="0.2">
      <c r="A1339" s="649" t="s">
        <v>7720</v>
      </c>
      <c r="B1339" s="725" t="s">
        <v>7719</v>
      </c>
    </row>
    <row r="1340" spans="1:2" x14ac:dyDescent="0.2">
      <c r="A1340" s="649" t="s">
        <v>5147</v>
      </c>
      <c r="B1340" s="725" t="s">
        <v>5146</v>
      </c>
    </row>
    <row r="1341" spans="1:2" x14ac:dyDescent="0.2">
      <c r="A1341" s="649" t="s">
        <v>4663</v>
      </c>
      <c r="B1341" s="725" t="s">
        <v>4662</v>
      </c>
    </row>
    <row r="1342" spans="1:2" x14ac:dyDescent="0.2">
      <c r="A1342" s="649" t="s">
        <v>7814</v>
      </c>
      <c r="B1342" s="725" t="s">
        <v>7813</v>
      </c>
    </row>
    <row r="1343" spans="1:2" x14ac:dyDescent="0.2">
      <c r="A1343" s="649" t="s">
        <v>4265</v>
      </c>
      <c r="B1343" s="725" t="s">
        <v>4264</v>
      </c>
    </row>
    <row r="1344" spans="1:2" x14ac:dyDescent="0.2">
      <c r="A1344" s="649" t="s">
        <v>5830</v>
      </c>
      <c r="B1344" s="725" t="s">
        <v>5829</v>
      </c>
    </row>
    <row r="1345" spans="1:2" x14ac:dyDescent="0.2">
      <c r="A1345" s="649" t="s">
        <v>7904</v>
      </c>
      <c r="B1345" s="725" t="s">
        <v>7903</v>
      </c>
    </row>
    <row r="1346" spans="1:2" x14ac:dyDescent="0.2">
      <c r="A1346" s="649" t="s">
        <v>8146</v>
      </c>
      <c r="B1346" s="725" t="s">
        <v>8145</v>
      </c>
    </row>
    <row r="1347" spans="1:2" x14ac:dyDescent="0.2">
      <c r="A1347" s="649" t="s">
        <v>7722</v>
      </c>
      <c r="B1347" s="725" t="s">
        <v>7721</v>
      </c>
    </row>
    <row r="1348" spans="1:2" x14ac:dyDescent="0.2">
      <c r="A1348" s="649" t="s">
        <v>3927</v>
      </c>
      <c r="B1348" s="725" t="s">
        <v>3926</v>
      </c>
    </row>
    <row r="1349" spans="1:2" x14ac:dyDescent="0.2">
      <c r="A1349" s="649" t="s">
        <v>3929</v>
      </c>
      <c r="B1349" s="725" t="s">
        <v>3928</v>
      </c>
    </row>
    <row r="1350" spans="1:2" x14ac:dyDescent="0.2">
      <c r="A1350" s="649" t="s">
        <v>7906</v>
      </c>
      <c r="B1350" s="725" t="s">
        <v>7905</v>
      </c>
    </row>
    <row r="1351" spans="1:2" x14ac:dyDescent="0.2">
      <c r="A1351" s="649" t="s">
        <v>3647</v>
      </c>
      <c r="B1351" s="725" t="s">
        <v>3646</v>
      </c>
    </row>
    <row r="1352" spans="1:2" x14ac:dyDescent="0.2">
      <c r="A1352" s="649" t="s">
        <v>2789</v>
      </c>
      <c r="B1352" s="725" t="s">
        <v>2788</v>
      </c>
    </row>
    <row r="1353" spans="1:2" x14ac:dyDescent="0.2">
      <c r="A1353" s="649" t="s">
        <v>5832</v>
      </c>
      <c r="B1353" s="725" t="s">
        <v>5831</v>
      </c>
    </row>
    <row r="1354" spans="1:2" x14ac:dyDescent="0.2">
      <c r="A1354" s="649" t="s">
        <v>1448</v>
      </c>
      <c r="B1354" s="725" t="s">
        <v>1447</v>
      </c>
    </row>
    <row r="1355" spans="1:2" x14ac:dyDescent="0.2">
      <c r="A1355" s="649" t="s">
        <v>7484</v>
      </c>
      <c r="B1355" s="725" t="s">
        <v>7483</v>
      </c>
    </row>
    <row r="1356" spans="1:2" x14ac:dyDescent="0.2">
      <c r="A1356" s="649" t="s">
        <v>3463</v>
      </c>
      <c r="B1356" s="725" t="s">
        <v>3462</v>
      </c>
    </row>
    <row r="1357" spans="1:2" x14ac:dyDescent="0.2">
      <c r="A1357" s="649" t="s">
        <v>4125</v>
      </c>
      <c r="B1357" s="725" t="s">
        <v>4124</v>
      </c>
    </row>
    <row r="1358" spans="1:2" x14ac:dyDescent="0.2">
      <c r="A1358" s="649" t="s">
        <v>2791</v>
      </c>
      <c r="B1358" s="725" t="s">
        <v>2790</v>
      </c>
    </row>
    <row r="1359" spans="1:2" x14ac:dyDescent="0.2">
      <c r="A1359" s="649" t="s">
        <v>3649</v>
      </c>
      <c r="B1359" s="725" t="s">
        <v>3648</v>
      </c>
    </row>
    <row r="1360" spans="1:2" x14ac:dyDescent="0.2">
      <c r="A1360" s="649" t="s">
        <v>8148</v>
      </c>
      <c r="B1360" s="725" t="s">
        <v>8147</v>
      </c>
    </row>
    <row r="1361" spans="1:2" x14ac:dyDescent="0.2">
      <c r="A1361" s="649" t="s">
        <v>2461</v>
      </c>
      <c r="B1361" s="725" t="s">
        <v>2460</v>
      </c>
    </row>
    <row r="1362" spans="1:2" x14ac:dyDescent="0.2">
      <c r="A1362" s="649" t="s">
        <v>2793</v>
      </c>
      <c r="B1362" s="725" t="s">
        <v>2792</v>
      </c>
    </row>
    <row r="1363" spans="1:2" x14ac:dyDescent="0.2">
      <c r="A1363" s="649" t="s">
        <v>1614</v>
      </c>
      <c r="B1363" s="725" t="s">
        <v>1613</v>
      </c>
    </row>
    <row r="1364" spans="1:2" x14ac:dyDescent="0.2">
      <c r="A1364" s="649" t="s">
        <v>566</v>
      </c>
      <c r="B1364" s="725" t="s">
        <v>565</v>
      </c>
    </row>
    <row r="1365" spans="1:2" x14ac:dyDescent="0.2">
      <c r="A1365" s="649" t="s">
        <v>4267</v>
      </c>
      <c r="B1365" s="725" t="s">
        <v>4266</v>
      </c>
    </row>
    <row r="1366" spans="1:2" x14ac:dyDescent="0.2">
      <c r="A1366" s="649" t="s">
        <v>4269</v>
      </c>
      <c r="B1366" s="725" t="s">
        <v>4268</v>
      </c>
    </row>
    <row r="1367" spans="1:2" x14ac:dyDescent="0.2">
      <c r="A1367" s="649" t="s">
        <v>4271</v>
      </c>
      <c r="B1367" s="725" t="s">
        <v>4270</v>
      </c>
    </row>
    <row r="1368" spans="1:2" x14ac:dyDescent="0.2">
      <c r="A1368" s="649" t="s">
        <v>2795</v>
      </c>
      <c r="B1368" s="725" t="s">
        <v>2794</v>
      </c>
    </row>
    <row r="1369" spans="1:2" x14ac:dyDescent="0.2">
      <c r="A1369" s="649" t="s">
        <v>7486</v>
      </c>
      <c r="B1369" s="725" t="s">
        <v>7485</v>
      </c>
    </row>
    <row r="1370" spans="1:2" x14ac:dyDescent="0.2">
      <c r="A1370" s="649" t="s">
        <v>2797</v>
      </c>
      <c r="B1370" s="725" t="s">
        <v>2796</v>
      </c>
    </row>
    <row r="1371" spans="1:2" x14ac:dyDescent="0.2">
      <c r="A1371" s="649" t="s">
        <v>5834</v>
      </c>
      <c r="B1371" s="725" t="s">
        <v>5833</v>
      </c>
    </row>
    <row r="1372" spans="1:2" x14ac:dyDescent="0.2">
      <c r="A1372" s="649" t="s">
        <v>2799</v>
      </c>
      <c r="B1372" s="725" t="s">
        <v>2798</v>
      </c>
    </row>
    <row r="1373" spans="1:2" x14ac:dyDescent="0.2">
      <c r="A1373" s="649" t="s">
        <v>10369</v>
      </c>
      <c r="B1373" s="725" t="s">
        <v>10370</v>
      </c>
    </row>
    <row r="1374" spans="1:2" x14ac:dyDescent="0.2">
      <c r="A1374" s="649" t="s">
        <v>2463</v>
      </c>
      <c r="B1374" s="725" t="s">
        <v>2462</v>
      </c>
    </row>
    <row r="1375" spans="1:2" x14ac:dyDescent="0.2">
      <c r="A1375" s="649" t="s">
        <v>2801</v>
      </c>
      <c r="B1375" s="725" t="s">
        <v>2800</v>
      </c>
    </row>
    <row r="1376" spans="1:2" x14ac:dyDescent="0.2">
      <c r="A1376" s="649" t="s">
        <v>7256</v>
      </c>
      <c r="B1376" s="725" t="s">
        <v>7255</v>
      </c>
    </row>
    <row r="1377" spans="1:2" x14ac:dyDescent="0.2">
      <c r="A1377" s="649" t="s">
        <v>365</v>
      </c>
      <c r="B1377" s="725" t="s">
        <v>364</v>
      </c>
    </row>
    <row r="1378" spans="1:2" x14ac:dyDescent="0.2">
      <c r="A1378" s="649" t="s">
        <v>2803</v>
      </c>
      <c r="B1378" s="725" t="s">
        <v>2802</v>
      </c>
    </row>
    <row r="1379" spans="1:2" x14ac:dyDescent="0.2">
      <c r="A1379" s="649" t="s">
        <v>10371</v>
      </c>
      <c r="B1379" s="725" t="s">
        <v>10372</v>
      </c>
    </row>
    <row r="1380" spans="1:2" x14ac:dyDescent="0.2">
      <c r="A1380" s="649" t="s">
        <v>1540</v>
      </c>
      <c r="B1380" s="725" t="s">
        <v>1539</v>
      </c>
    </row>
    <row r="1381" spans="1:2" x14ac:dyDescent="0.2">
      <c r="A1381" s="649" t="s">
        <v>2117</v>
      </c>
      <c r="B1381" s="725" t="s">
        <v>2116</v>
      </c>
    </row>
    <row r="1382" spans="1:2" x14ac:dyDescent="0.2">
      <c r="A1382" s="649" t="s">
        <v>5515</v>
      </c>
      <c r="B1382" s="725" t="s">
        <v>5514</v>
      </c>
    </row>
    <row r="1383" spans="1:2" x14ac:dyDescent="0.2">
      <c r="A1383" s="649" t="s">
        <v>5347</v>
      </c>
      <c r="B1383" s="725" t="s">
        <v>5346</v>
      </c>
    </row>
    <row r="1384" spans="1:2" x14ac:dyDescent="0.2">
      <c r="A1384" s="649" t="s">
        <v>5413</v>
      </c>
      <c r="B1384" s="725" t="s">
        <v>5412</v>
      </c>
    </row>
    <row r="1385" spans="1:2" x14ac:dyDescent="0.2">
      <c r="A1385" s="649" t="s">
        <v>5227</v>
      </c>
      <c r="B1385" s="725" t="s">
        <v>5226</v>
      </c>
    </row>
    <row r="1386" spans="1:2" x14ac:dyDescent="0.2">
      <c r="A1386" s="649" t="s">
        <v>4063</v>
      </c>
      <c r="B1386" s="725" t="s">
        <v>4062</v>
      </c>
    </row>
    <row r="1387" spans="1:2" x14ac:dyDescent="0.2">
      <c r="A1387" s="649" t="s">
        <v>684</v>
      </c>
      <c r="B1387" s="725" t="s">
        <v>683</v>
      </c>
    </row>
    <row r="1388" spans="1:2" x14ac:dyDescent="0.2">
      <c r="A1388" s="649" t="s">
        <v>5561</v>
      </c>
      <c r="B1388" s="725" t="s">
        <v>5560</v>
      </c>
    </row>
    <row r="1389" spans="1:2" x14ac:dyDescent="0.2">
      <c r="A1389" s="649" t="s">
        <v>6304</v>
      </c>
      <c r="B1389" s="725" t="s">
        <v>6303</v>
      </c>
    </row>
    <row r="1390" spans="1:2" x14ac:dyDescent="0.2">
      <c r="A1390" s="649" t="s">
        <v>7908</v>
      </c>
      <c r="B1390" s="725" t="s">
        <v>7907</v>
      </c>
    </row>
    <row r="1391" spans="1:2" x14ac:dyDescent="0.2">
      <c r="A1391" s="649" t="s">
        <v>8260</v>
      </c>
      <c r="B1391" s="725" t="s">
        <v>8259</v>
      </c>
    </row>
    <row r="1392" spans="1:2" x14ac:dyDescent="0.2">
      <c r="A1392" s="649" t="s">
        <v>5836</v>
      </c>
      <c r="B1392" s="725" t="s">
        <v>5835</v>
      </c>
    </row>
    <row r="1393" spans="1:2" x14ac:dyDescent="0.2">
      <c r="A1393" s="649" t="s">
        <v>7724</v>
      </c>
      <c r="B1393" s="725" t="s">
        <v>7723</v>
      </c>
    </row>
    <row r="1394" spans="1:2" x14ac:dyDescent="0.2">
      <c r="A1394" s="649" t="s">
        <v>1212</v>
      </c>
      <c r="B1394" s="725" t="s">
        <v>1211</v>
      </c>
    </row>
    <row r="1395" spans="1:2" x14ac:dyDescent="0.2">
      <c r="A1395" s="649" t="s">
        <v>7958</v>
      </c>
      <c r="B1395" s="725" t="s">
        <v>7957</v>
      </c>
    </row>
    <row r="1396" spans="1:2" x14ac:dyDescent="0.2">
      <c r="A1396" s="649" t="s">
        <v>5563</v>
      </c>
      <c r="B1396" s="725" t="s">
        <v>5562</v>
      </c>
    </row>
    <row r="1397" spans="1:2" x14ac:dyDescent="0.2">
      <c r="A1397" s="649" t="s">
        <v>5415</v>
      </c>
      <c r="B1397" s="725" t="s">
        <v>5414</v>
      </c>
    </row>
    <row r="1398" spans="1:2" x14ac:dyDescent="0.2">
      <c r="A1398" s="649" t="s">
        <v>5838</v>
      </c>
      <c r="B1398" s="725" t="s">
        <v>5837</v>
      </c>
    </row>
    <row r="1399" spans="1:2" x14ac:dyDescent="0.2">
      <c r="A1399" s="649" t="s">
        <v>2057</v>
      </c>
      <c r="B1399" s="725" t="s">
        <v>2056</v>
      </c>
    </row>
    <row r="1400" spans="1:2" x14ac:dyDescent="0.2">
      <c r="A1400" s="649" t="s">
        <v>4635</v>
      </c>
      <c r="B1400" s="725" t="s">
        <v>4634</v>
      </c>
    </row>
    <row r="1401" spans="1:2" x14ac:dyDescent="0.2">
      <c r="A1401" s="649" t="s">
        <v>7258</v>
      </c>
      <c r="B1401" s="725" t="s">
        <v>7257</v>
      </c>
    </row>
    <row r="1402" spans="1:2" x14ac:dyDescent="0.2">
      <c r="A1402" s="649" t="s">
        <v>5485</v>
      </c>
      <c r="B1402" s="725" t="s">
        <v>5484</v>
      </c>
    </row>
    <row r="1403" spans="1:2" x14ac:dyDescent="0.2">
      <c r="A1403" s="649" t="s">
        <v>5149</v>
      </c>
      <c r="B1403" s="725" t="s">
        <v>5148</v>
      </c>
    </row>
    <row r="1404" spans="1:2" x14ac:dyDescent="0.2">
      <c r="A1404" s="649" t="s">
        <v>2119</v>
      </c>
      <c r="B1404" s="725" t="s">
        <v>2118</v>
      </c>
    </row>
    <row r="1405" spans="1:2" x14ac:dyDescent="0.2">
      <c r="A1405" s="649" t="s">
        <v>7150</v>
      </c>
      <c r="B1405" s="725" t="s">
        <v>7149</v>
      </c>
    </row>
    <row r="1406" spans="1:2" x14ac:dyDescent="0.2">
      <c r="A1406" s="649" t="s">
        <v>3793</v>
      </c>
      <c r="B1406" s="725" t="s">
        <v>3792</v>
      </c>
    </row>
    <row r="1407" spans="1:2" x14ac:dyDescent="0.2">
      <c r="A1407" s="649" t="s">
        <v>2465</v>
      </c>
      <c r="B1407" s="725" t="s">
        <v>2464</v>
      </c>
    </row>
    <row r="1408" spans="1:2" x14ac:dyDescent="0.2">
      <c r="A1408" s="649" t="s">
        <v>2467</v>
      </c>
      <c r="B1408" s="725" t="s">
        <v>2466</v>
      </c>
    </row>
    <row r="1409" spans="1:2" x14ac:dyDescent="0.2">
      <c r="A1409" s="649" t="s">
        <v>5597</v>
      </c>
      <c r="B1409" s="725" t="s">
        <v>5596</v>
      </c>
    </row>
    <row r="1410" spans="1:2" x14ac:dyDescent="0.2">
      <c r="A1410" s="649" t="s">
        <v>1759</v>
      </c>
      <c r="B1410" s="725" t="s">
        <v>1758</v>
      </c>
    </row>
    <row r="1411" spans="1:2" x14ac:dyDescent="0.2">
      <c r="A1411" s="649" t="s">
        <v>2805</v>
      </c>
      <c r="B1411" s="725" t="s">
        <v>2804</v>
      </c>
    </row>
    <row r="1412" spans="1:2" x14ac:dyDescent="0.2">
      <c r="A1412" s="649" t="s">
        <v>6808</v>
      </c>
      <c r="B1412" s="725" t="s">
        <v>6807</v>
      </c>
    </row>
    <row r="1413" spans="1:2" x14ac:dyDescent="0.2">
      <c r="A1413" s="649" t="s">
        <v>2807</v>
      </c>
      <c r="B1413" s="725" t="s">
        <v>2806</v>
      </c>
    </row>
    <row r="1414" spans="1:2" x14ac:dyDescent="0.2">
      <c r="A1414" s="649" t="s">
        <v>7260</v>
      </c>
      <c r="B1414" s="725" t="s">
        <v>7259</v>
      </c>
    </row>
    <row r="1415" spans="1:2" x14ac:dyDescent="0.2">
      <c r="A1415" s="649" t="s">
        <v>7816</v>
      </c>
      <c r="B1415" s="725" t="s">
        <v>7815</v>
      </c>
    </row>
    <row r="1416" spans="1:2" x14ac:dyDescent="0.2">
      <c r="A1416" s="649" t="s">
        <v>4815</v>
      </c>
      <c r="B1416" s="725" t="s">
        <v>4814</v>
      </c>
    </row>
    <row r="1417" spans="1:2" x14ac:dyDescent="0.2">
      <c r="A1417" s="649" t="s">
        <v>5319</v>
      </c>
      <c r="B1417" s="725" t="s">
        <v>5318</v>
      </c>
    </row>
    <row r="1418" spans="1:2" x14ac:dyDescent="0.2">
      <c r="A1418" s="649" t="s">
        <v>4273</v>
      </c>
      <c r="B1418" s="725" t="s">
        <v>4272</v>
      </c>
    </row>
    <row r="1419" spans="1:2" x14ac:dyDescent="0.2">
      <c r="A1419" s="649" t="s">
        <v>5840</v>
      </c>
      <c r="B1419" s="725" t="s">
        <v>5839</v>
      </c>
    </row>
    <row r="1420" spans="1:2" x14ac:dyDescent="0.2">
      <c r="A1420" s="649" t="s">
        <v>3747</v>
      </c>
      <c r="B1420" s="725" t="s">
        <v>3746</v>
      </c>
    </row>
    <row r="1421" spans="1:2" x14ac:dyDescent="0.2">
      <c r="A1421" s="649" t="s">
        <v>3795</v>
      </c>
      <c r="B1421" s="725" t="s">
        <v>3794</v>
      </c>
    </row>
    <row r="1422" spans="1:2" x14ac:dyDescent="0.2">
      <c r="A1422" s="649" t="s">
        <v>4189</v>
      </c>
      <c r="B1422" s="725" t="s">
        <v>4188</v>
      </c>
    </row>
    <row r="1423" spans="1:2" x14ac:dyDescent="0.2">
      <c r="A1423" s="649" t="s">
        <v>3931</v>
      </c>
      <c r="B1423" s="725" t="s">
        <v>3930</v>
      </c>
    </row>
    <row r="1424" spans="1:2" x14ac:dyDescent="0.2">
      <c r="A1424" s="649" t="s">
        <v>1230</v>
      </c>
      <c r="B1424" s="725" t="s">
        <v>1229</v>
      </c>
    </row>
    <row r="1425" spans="1:2" x14ac:dyDescent="0.2">
      <c r="A1425" s="649" t="s">
        <v>5599</v>
      </c>
      <c r="B1425" s="725" t="s">
        <v>5598</v>
      </c>
    </row>
    <row r="1426" spans="1:2" x14ac:dyDescent="0.2">
      <c r="A1426" s="649" t="s">
        <v>4415</v>
      </c>
      <c r="B1426" s="725" t="s">
        <v>4414</v>
      </c>
    </row>
    <row r="1427" spans="1:2" x14ac:dyDescent="0.2">
      <c r="A1427" s="649" t="s">
        <v>2225</v>
      </c>
      <c r="B1427" s="725" t="s">
        <v>2224</v>
      </c>
    </row>
    <row r="1428" spans="1:2" x14ac:dyDescent="0.2">
      <c r="A1428" s="649" t="s">
        <v>2809</v>
      </c>
      <c r="B1428" s="725" t="s">
        <v>2808</v>
      </c>
    </row>
    <row r="1429" spans="1:2" x14ac:dyDescent="0.2">
      <c r="A1429" s="649" t="s">
        <v>3671</v>
      </c>
      <c r="B1429" s="725" t="s">
        <v>3670</v>
      </c>
    </row>
    <row r="1430" spans="1:2" x14ac:dyDescent="0.2">
      <c r="A1430" s="649" t="s">
        <v>7262</v>
      </c>
      <c r="B1430" s="725" t="s">
        <v>7261</v>
      </c>
    </row>
    <row r="1431" spans="1:2" x14ac:dyDescent="0.2">
      <c r="A1431" s="649" t="s">
        <v>6524</v>
      </c>
      <c r="B1431" s="725" t="s">
        <v>6523</v>
      </c>
    </row>
    <row r="1432" spans="1:2" x14ac:dyDescent="0.2">
      <c r="A1432" s="649" t="s">
        <v>2001</v>
      </c>
      <c r="B1432" s="725" t="s">
        <v>2000</v>
      </c>
    </row>
    <row r="1433" spans="1:2" x14ac:dyDescent="0.2">
      <c r="A1433" s="649" t="s">
        <v>2307</v>
      </c>
      <c r="B1433" s="725" t="s">
        <v>2306</v>
      </c>
    </row>
    <row r="1434" spans="1:2" x14ac:dyDescent="0.2">
      <c r="A1434" s="649" t="s">
        <v>958</v>
      </c>
      <c r="B1434" s="725" t="s">
        <v>957</v>
      </c>
    </row>
    <row r="1435" spans="1:2" x14ac:dyDescent="0.2">
      <c r="A1435" s="649" t="s">
        <v>1684</v>
      </c>
      <c r="B1435" s="725" t="s">
        <v>1683</v>
      </c>
    </row>
    <row r="1436" spans="1:2" x14ac:dyDescent="0.2">
      <c r="A1436" s="649" t="s">
        <v>7082</v>
      </c>
      <c r="B1436" s="725" t="s">
        <v>7081</v>
      </c>
    </row>
    <row r="1437" spans="1:2" x14ac:dyDescent="0.2">
      <c r="A1437" s="649" t="s">
        <v>3477</v>
      </c>
      <c r="B1437" s="725" t="s">
        <v>3476</v>
      </c>
    </row>
    <row r="1438" spans="1:2" x14ac:dyDescent="0.2">
      <c r="A1438" s="649" t="s">
        <v>5842</v>
      </c>
      <c r="B1438" s="725" t="s">
        <v>5841</v>
      </c>
    </row>
    <row r="1439" spans="1:2" x14ac:dyDescent="0.2">
      <c r="A1439" s="649" t="s">
        <v>2811</v>
      </c>
      <c r="B1439" s="725" t="s">
        <v>2810</v>
      </c>
    </row>
    <row r="1440" spans="1:2" x14ac:dyDescent="0.2">
      <c r="A1440" s="649" t="s">
        <v>2813</v>
      </c>
      <c r="B1440" s="725" t="s">
        <v>2812</v>
      </c>
    </row>
    <row r="1441" spans="1:2" x14ac:dyDescent="0.2">
      <c r="A1441" s="649" t="s">
        <v>5565</v>
      </c>
      <c r="B1441" s="725" t="s">
        <v>5564</v>
      </c>
    </row>
    <row r="1442" spans="1:2" x14ac:dyDescent="0.2">
      <c r="A1442" s="649" t="s">
        <v>1686</v>
      </c>
      <c r="B1442" s="725" t="s">
        <v>1685</v>
      </c>
    </row>
    <row r="1443" spans="1:2" x14ac:dyDescent="0.2">
      <c r="A1443" s="649" t="s">
        <v>8050</v>
      </c>
      <c r="B1443" s="725" t="s">
        <v>8049</v>
      </c>
    </row>
    <row r="1444" spans="1:2" x14ac:dyDescent="0.2">
      <c r="A1444" s="649" t="s">
        <v>2051</v>
      </c>
      <c r="B1444" s="725" t="s">
        <v>2050</v>
      </c>
    </row>
    <row r="1445" spans="1:2" x14ac:dyDescent="0.2">
      <c r="A1445" s="649" t="s">
        <v>7388</v>
      </c>
      <c r="B1445" s="725" t="s">
        <v>7387</v>
      </c>
    </row>
    <row r="1446" spans="1:2" x14ac:dyDescent="0.2">
      <c r="A1446" s="649" t="s">
        <v>3673</v>
      </c>
      <c r="B1446" s="725" t="s">
        <v>3672</v>
      </c>
    </row>
    <row r="1447" spans="1:2" x14ac:dyDescent="0.2">
      <c r="A1447" s="649" t="s">
        <v>6526</v>
      </c>
      <c r="B1447" s="725" t="s">
        <v>6525</v>
      </c>
    </row>
    <row r="1448" spans="1:2" x14ac:dyDescent="0.2">
      <c r="A1448" s="649" t="s">
        <v>2815</v>
      </c>
      <c r="B1448" s="725" t="s">
        <v>2814</v>
      </c>
    </row>
    <row r="1449" spans="1:2" x14ac:dyDescent="0.2">
      <c r="A1449" s="649" t="s">
        <v>2817</v>
      </c>
      <c r="B1449" s="725" t="s">
        <v>2816</v>
      </c>
    </row>
    <row r="1450" spans="1:2" x14ac:dyDescent="0.2">
      <c r="A1450" s="649" t="s">
        <v>2819</v>
      </c>
      <c r="B1450" s="725" t="s">
        <v>2818</v>
      </c>
    </row>
    <row r="1451" spans="1:2" x14ac:dyDescent="0.2">
      <c r="A1451" s="649" t="s">
        <v>1016</v>
      </c>
      <c r="B1451" s="725" t="s">
        <v>1015</v>
      </c>
    </row>
    <row r="1452" spans="1:2" x14ac:dyDescent="0.2">
      <c r="A1452" s="649" t="s">
        <v>4369</v>
      </c>
      <c r="B1452" s="725" t="s">
        <v>4368</v>
      </c>
    </row>
    <row r="1453" spans="1:2" x14ac:dyDescent="0.2">
      <c r="A1453" s="649" t="s">
        <v>4489</v>
      </c>
      <c r="B1453" s="725" t="s">
        <v>4488</v>
      </c>
    </row>
    <row r="1454" spans="1:2" x14ac:dyDescent="0.2">
      <c r="A1454" s="649" t="s">
        <v>2121</v>
      </c>
      <c r="B1454" s="725" t="s">
        <v>2120</v>
      </c>
    </row>
    <row r="1455" spans="1:2" x14ac:dyDescent="0.2">
      <c r="A1455" s="649" t="s">
        <v>686</v>
      </c>
      <c r="B1455" s="725" t="s">
        <v>685</v>
      </c>
    </row>
    <row r="1456" spans="1:2" x14ac:dyDescent="0.2">
      <c r="A1456" s="649" t="s">
        <v>1616</v>
      </c>
      <c r="B1456" s="725" t="s">
        <v>1615</v>
      </c>
    </row>
    <row r="1457" spans="1:2" x14ac:dyDescent="0.2">
      <c r="A1457" s="649" t="s">
        <v>7168</v>
      </c>
      <c r="B1457" s="725" t="s">
        <v>7167</v>
      </c>
    </row>
    <row r="1458" spans="1:2" x14ac:dyDescent="0.2">
      <c r="A1458" s="649" t="s">
        <v>10373</v>
      </c>
      <c r="B1458" s="725" t="s">
        <v>10374</v>
      </c>
    </row>
    <row r="1459" spans="1:2" x14ac:dyDescent="0.2">
      <c r="A1459" s="649" t="s">
        <v>7084</v>
      </c>
      <c r="B1459" s="725" t="s">
        <v>7083</v>
      </c>
    </row>
    <row r="1460" spans="1:2" x14ac:dyDescent="0.2">
      <c r="A1460" s="649" t="s">
        <v>1232</v>
      </c>
      <c r="B1460" s="725" t="s">
        <v>1231</v>
      </c>
    </row>
    <row r="1461" spans="1:2" x14ac:dyDescent="0.2">
      <c r="A1461" s="649" t="s">
        <v>688</v>
      </c>
      <c r="B1461" s="725" t="s">
        <v>687</v>
      </c>
    </row>
    <row r="1462" spans="1:2" x14ac:dyDescent="0.2">
      <c r="A1462" s="649" t="s">
        <v>7170</v>
      </c>
      <c r="B1462" s="725" t="s">
        <v>7169</v>
      </c>
    </row>
    <row r="1463" spans="1:2" x14ac:dyDescent="0.2">
      <c r="A1463" s="649" t="s">
        <v>1765</v>
      </c>
      <c r="B1463" s="725" t="s">
        <v>1764</v>
      </c>
    </row>
    <row r="1464" spans="1:2" x14ac:dyDescent="0.2">
      <c r="A1464" s="649" t="s">
        <v>2469</v>
      </c>
      <c r="B1464" s="725" t="s">
        <v>2468</v>
      </c>
    </row>
    <row r="1465" spans="1:2" x14ac:dyDescent="0.2">
      <c r="A1465" s="649" t="s">
        <v>2471</v>
      </c>
      <c r="B1465" s="725" t="s">
        <v>2470</v>
      </c>
    </row>
    <row r="1466" spans="1:2" x14ac:dyDescent="0.2">
      <c r="A1466" s="649" t="s">
        <v>2473</v>
      </c>
      <c r="B1466" s="725" t="s">
        <v>2472</v>
      </c>
    </row>
    <row r="1467" spans="1:2" x14ac:dyDescent="0.2">
      <c r="A1467" s="649" t="s">
        <v>2821</v>
      </c>
      <c r="B1467" s="725" t="s">
        <v>2820</v>
      </c>
    </row>
    <row r="1468" spans="1:2" x14ac:dyDescent="0.2">
      <c r="A1468" s="649" t="s">
        <v>4191</v>
      </c>
      <c r="B1468" s="725" t="s">
        <v>4190</v>
      </c>
    </row>
    <row r="1469" spans="1:2" x14ac:dyDescent="0.2">
      <c r="A1469" s="649" t="s">
        <v>323</v>
      </c>
      <c r="B1469" s="725" t="s">
        <v>322</v>
      </c>
    </row>
    <row r="1470" spans="1:2" x14ac:dyDescent="0.2">
      <c r="A1470" s="649" t="s">
        <v>2247</v>
      </c>
      <c r="B1470" s="725" t="s">
        <v>2246</v>
      </c>
    </row>
    <row r="1471" spans="1:2" x14ac:dyDescent="0.2">
      <c r="A1471" s="649" t="s">
        <v>8320</v>
      </c>
      <c r="B1471" s="725" t="s">
        <v>8319</v>
      </c>
    </row>
    <row r="1472" spans="1:2" x14ac:dyDescent="0.2">
      <c r="A1472" s="649" t="s">
        <v>4107</v>
      </c>
      <c r="B1472" s="725" t="s">
        <v>4106</v>
      </c>
    </row>
    <row r="1473" spans="1:2" x14ac:dyDescent="0.2">
      <c r="A1473" s="649" t="s">
        <v>8150</v>
      </c>
      <c r="B1473" s="725" t="s">
        <v>8149</v>
      </c>
    </row>
    <row r="1474" spans="1:2" x14ac:dyDescent="0.2">
      <c r="A1474" s="649" t="s">
        <v>7264</v>
      </c>
      <c r="B1474" s="725" t="s">
        <v>7263</v>
      </c>
    </row>
    <row r="1475" spans="1:2" x14ac:dyDescent="0.2">
      <c r="A1475" s="649" t="s">
        <v>5844</v>
      </c>
      <c r="B1475" s="725" t="s">
        <v>5843</v>
      </c>
    </row>
    <row r="1476" spans="1:2" x14ac:dyDescent="0.2">
      <c r="A1476" s="649" t="s">
        <v>2823</v>
      </c>
      <c r="B1476" s="725" t="s">
        <v>2822</v>
      </c>
    </row>
    <row r="1477" spans="1:2" x14ac:dyDescent="0.2">
      <c r="A1477" s="649" t="s">
        <v>6810</v>
      </c>
      <c r="B1477" s="725" t="s">
        <v>6809</v>
      </c>
    </row>
    <row r="1478" spans="1:2" x14ac:dyDescent="0.2">
      <c r="A1478" s="649" t="s">
        <v>2825</v>
      </c>
      <c r="B1478" s="725" t="s">
        <v>2824</v>
      </c>
    </row>
    <row r="1479" spans="1:2" x14ac:dyDescent="0.2">
      <c r="A1479" s="649" t="s">
        <v>1767</v>
      </c>
      <c r="B1479" s="725" t="s">
        <v>1766</v>
      </c>
    </row>
    <row r="1480" spans="1:2" x14ac:dyDescent="0.2">
      <c r="A1480" s="649" t="s">
        <v>7488</v>
      </c>
      <c r="B1480" s="725" t="s">
        <v>7487</v>
      </c>
    </row>
    <row r="1481" spans="1:2" x14ac:dyDescent="0.2">
      <c r="A1481" s="649" t="s">
        <v>4275</v>
      </c>
      <c r="B1481" s="725" t="s">
        <v>4274</v>
      </c>
    </row>
    <row r="1482" spans="1:2" x14ac:dyDescent="0.2">
      <c r="A1482" s="649" t="s">
        <v>7580</v>
      </c>
      <c r="B1482" s="725" t="s">
        <v>7579</v>
      </c>
    </row>
    <row r="1483" spans="1:2" x14ac:dyDescent="0.2">
      <c r="A1483" s="649" t="s">
        <v>505</v>
      </c>
      <c r="B1483" s="725" t="s">
        <v>504</v>
      </c>
    </row>
    <row r="1484" spans="1:2" x14ac:dyDescent="0.2">
      <c r="A1484" s="649" t="s">
        <v>6812</v>
      </c>
      <c r="B1484" s="725" t="s">
        <v>6811</v>
      </c>
    </row>
    <row r="1485" spans="1:2" x14ac:dyDescent="0.2">
      <c r="A1485" s="649" t="s">
        <v>2827</v>
      </c>
      <c r="B1485" s="725" t="s">
        <v>2826</v>
      </c>
    </row>
    <row r="1486" spans="1:2" x14ac:dyDescent="0.2">
      <c r="A1486" s="649" t="s">
        <v>3797</v>
      </c>
      <c r="B1486" s="725" t="s">
        <v>3796</v>
      </c>
    </row>
    <row r="1487" spans="1:2" x14ac:dyDescent="0.2">
      <c r="A1487" s="649" t="s">
        <v>2829</v>
      </c>
      <c r="B1487" s="725" t="s">
        <v>2828</v>
      </c>
    </row>
    <row r="1488" spans="1:2" x14ac:dyDescent="0.2">
      <c r="A1488" s="649" t="s">
        <v>5371</v>
      </c>
      <c r="B1488" s="725" t="s">
        <v>5370</v>
      </c>
    </row>
    <row r="1489" spans="1:2" x14ac:dyDescent="0.2">
      <c r="A1489" s="649" t="s">
        <v>3675</v>
      </c>
      <c r="B1489" s="725" t="s">
        <v>3674</v>
      </c>
    </row>
    <row r="1490" spans="1:2" x14ac:dyDescent="0.2">
      <c r="A1490" s="649" t="s">
        <v>1841</v>
      </c>
      <c r="B1490" s="725" t="s">
        <v>1840</v>
      </c>
    </row>
    <row r="1491" spans="1:2" x14ac:dyDescent="0.2">
      <c r="A1491" s="649" t="s">
        <v>5567</v>
      </c>
      <c r="B1491" s="725" t="s">
        <v>5566</v>
      </c>
    </row>
    <row r="1492" spans="1:2" x14ac:dyDescent="0.2">
      <c r="A1492" s="649" t="s">
        <v>4517</v>
      </c>
      <c r="B1492" s="725" t="s">
        <v>4516</v>
      </c>
    </row>
    <row r="1493" spans="1:2" x14ac:dyDescent="0.2">
      <c r="A1493" s="649" t="s">
        <v>3933</v>
      </c>
      <c r="B1493" s="725" t="s">
        <v>3932</v>
      </c>
    </row>
    <row r="1494" spans="1:2" x14ac:dyDescent="0.2">
      <c r="A1494" s="649" t="s">
        <v>5846</v>
      </c>
      <c r="B1494" s="725" t="s">
        <v>5845</v>
      </c>
    </row>
    <row r="1495" spans="1:2" x14ac:dyDescent="0.2">
      <c r="A1495" s="649" t="s">
        <v>5848</v>
      </c>
      <c r="B1495" s="725" t="s">
        <v>5847</v>
      </c>
    </row>
    <row r="1496" spans="1:2" x14ac:dyDescent="0.2">
      <c r="A1496" s="649" t="s">
        <v>1018</v>
      </c>
      <c r="B1496" s="725" t="s">
        <v>1017</v>
      </c>
    </row>
    <row r="1497" spans="1:2" x14ac:dyDescent="0.2">
      <c r="A1497" s="649" t="s">
        <v>4277</v>
      </c>
      <c r="B1497" s="725" t="s">
        <v>4276</v>
      </c>
    </row>
    <row r="1498" spans="1:2" x14ac:dyDescent="0.2">
      <c r="A1498" s="649" t="s">
        <v>7086</v>
      </c>
      <c r="B1498" s="725" t="s">
        <v>7085</v>
      </c>
    </row>
    <row r="1499" spans="1:2" x14ac:dyDescent="0.2">
      <c r="A1499" s="649" t="s">
        <v>2831</v>
      </c>
      <c r="B1499" s="725" t="s">
        <v>2830</v>
      </c>
    </row>
    <row r="1500" spans="1:2" x14ac:dyDescent="0.2">
      <c r="A1500" s="649" t="s">
        <v>1328</v>
      </c>
      <c r="B1500" s="725" t="s">
        <v>1327</v>
      </c>
    </row>
    <row r="1501" spans="1:2" x14ac:dyDescent="0.2">
      <c r="A1501" s="649" t="s">
        <v>1020</v>
      </c>
      <c r="B1501" s="725" t="s">
        <v>1019</v>
      </c>
    </row>
    <row r="1502" spans="1:2" x14ac:dyDescent="0.2">
      <c r="A1502" s="649" t="s">
        <v>1022</v>
      </c>
      <c r="B1502" s="725" t="s">
        <v>1021</v>
      </c>
    </row>
    <row r="1503" spans="1:2" x14ac:dyDescent="0.2">
      <c r="A1503" s="649" t="s">
        <v>5850</v>
      </c>
      <c r="B1503" s="725" t="s">
        <v>5849</v>
      </c>
    </row>
    <row r="1504" spans="1:2" x14ac:dyDescent="0.2">
      <c r="A1504" s="649" t="s">
        <v>2833</v>
      </c>
      <c r="B1504" s="725" t="s">
        <v>2832</v>
      </c>
    </row>
    <row r="1505" spans="1:2" x14ac:dyDescent="0.2">
      <c r="A1505" s="649" t="s">
        <v>5852</v>
      </c>
      <c r="B1505" s="725" t="s">
        <v>5851</v>
      </c>
    </row>
    <row r="1506" spans="1:2" x14ac:dyDescent="0.2">
      <c r="A1506" s="649" t="s">
        <v>5854</v>
      </c>
      <c r="B1506" s="725" t="s">
        <v>5853</v>
      </c>
    </row>
    <row r="1507" spans="1:2" x14ac:dyDescent="0.2">
      <c r="A1507" s="649" t="s">
        <v>3935</v>
      </c>
      <c r="B1507" s="725" t="s">
        <v>3934</v>
      </c>
    </row>
    <row r="1508" spans="1:2" x14ac:dyDescent="0.2">
      <c r="A1508" s="649" t="s">
        <v>3937</v>
      </c>
      <c r="B1508" s="725" t="s">
        <v>3936</v>
      </c>
    </row>
    <row r="1509" spans="1:2" x14ac:dyDescent="0.2">
      <c r="A1509" s="649" t="s">
        <v>2475</v>
      </c>
      <c r="B1509" s="725" t="s">
        <v>2474</v>
      </c>
    </row>
    <row r="1510" spans="1:2" x14ac:dyDescent="0.2">
      <c r="A1510" s="649" t="s">
        <v>5601</v>
      </c>
      <c r="B1510" s="725" t="s">
        <v>5600</v>
      </c>
    </row>
    <row r="1511" spans="1:2" x14ac:dyDescent="0.2">
      <c r="A1511" s="649" t="s">
        <v>4555</v>
      </c>
      <c r="B1511" s="725" t="s">
        <v>4554</v>
      </c>
    </row>
    <row r="1512" spans="1:2" x14ac:dyDescent="0.2">
      <c r="A1512" s="649" t="s">
        <v>4721</v>
      </c>
      <c r="B1512" s="725" t="s">
        <v>4720</v>
      </c>
    </row>
    <row r="1513" spans="1:2" x14ac:dyDescent="0.2">
      <c r="A1513" s="649" t="s">
        <v>3539</v>
      </c>
      <c r="B1513" s="725" t="s">
        <v>3538</v>
      </c>
    </row>
    <row r="1514" spans="1:2" x14ac:dyDescent="0.2">
      <c r="A1514" s="649" t="s">
        <v>5856</v>
      </c>
      <c r="B1514" s="725" t="s">
        <v>5855</v>
      </c>
    </row>
    <row r="1515" spans="1:2" x14ac:dyDescent="0.2">
      <c r="A1515" s="649" t="s">
        <v>4127</v>
      </c>
      <c r="B1515" s="725" t="s">
        <v>4126</v>
      </c>
    </row>
    <row r="1516" spans="1:2" x14ac:dyDescent="0.2">
      <c r="A1516" s="649" t="s">
        <v>6814</v>
      </c>
      <c r="B1516" s="725" t="s">
        <v>6813</v>
      </c>
    </row>
    <row r="1517" spans="1:2" x14ac:dyDescent="0.2">
      <c r="A1517" s="649" t="s">
        <v>8152</v>
      </c>
      <c r="B1517" s="725" t="s">
        <v>8151</v>
      </c>
    </row>
    <row r="1518" spans="1:2" x14ac:dyDescent="0.2">
      <c r="A1518" s="649" t="s">
        <v>2835</v>
      </c>
      <c r="B1518" s="725" t="s">
        <v>2834</v>
      </c>
    </row>
    <row r="1519" spans="1:2" x14ac:dyDescent="0.2">
      <c r="A1519" s="649" t="s">
        <v>8154</v>
      </c>
      <c r="B1519" s="725" t="s">
        <v>8153</v>
      </c>
    </row>
    <row r="1520" spans="1:2" x14ac:dyDescent="0.2">
      <c r="A1520" s="649" t="s">
        <v>4417</v>
      </c>
      <c r="B1520" s="725" t="s">
        <v>4416</v>
      </c>
    </row>
    <row r="1521" spans="1:2" x14ac:dyDescent="0.2">
      <c r="A1521" s="649" t="s">
        <v>2477</v>
      </c>
      <c r="B1521" s="725" t="s">
        <v>2476</v>
      </c>
    </row>
    <row r="1522" spans="1:2" x14ac:dyDescent="0.2">
      <c r="A1522" s="649" t="s">
        <v>5858</v>
      </c>
      <c r="B1522" s="725" t="s">
        <v>5857</v>
      </c>
    </row>
    <row r="1523" spans="1:2" x14ac:dyDescent="0.2">
      <c r="A1523" s="649" t="s">
        <v>3651</v>
      </c>
      <c r="B1523" s="725" t="s">
        <v>3650</v>
      </c>
    </row>
    <row r="1524" spans="1:2" x14ac:dyDescent="0.2">
      <c r="A1524" s="649" t="s">
        <v>5321</v>
      </c>
      <c r="B1524" s="725" t="s">
        <v>5320</v>
      </c>
    </row>
    <row r="1525" spans="1:2" x14ac:dyDescent="0.2">
      <c r="A1525" s="649" t="s">
        <v>6816</v>
      </c>
      <c r="B1525" s="725" t="s">
        <v>6815</v>
      </c>
    </row>
    <row r="1526" spans="1:2" x14ac:dyDescent="0.2">
      <c r="A1526" s="649" t="s">
        <v>7088</v>
      </c>
      <c r="B1526" s="725" t="s">
        <v>7087</v>
      </c>
    </row>
    <row r="1527" spans="1:2" x14ac:dyDescent="0.2">
      <c r="A1527" s="649" t="s">
        <v>3939</v>
      </c>
      <c r="B1527" s="725" t="s">
        <v>3938</v>
      </c>
    </row>
    <row r="1528" spans="1:2" x14ac:dyDescent="0.2">
      <c r="A1528" s="649" t="s">
        <v>5487</v>
      </c>
      <c r="B1528" s="725" t="s">
        <v>5486</v>
      </c>
    </row>
    <row r="1529" spans="1:2" x14ac:dyDescent="0.2">
      <c r="A1529" s="649" t="s">
        <v>7018</v>
      </c>
      <c r="B1529" s="725" t="s">
        <v>7017</v>
      </c>
    </row>
    <row r="1530" spans="1:2" x14ac:dyDescent="0.2">
      <c r="A1530" s="649" t="s">
        <v>8322</v>
      </c>
      <c r="B1530" s="725" t="s">
        <v>8321</v>
      </c>
    </row>
    <row r="1531" spans="1:2" x14ac:dyDescent="0.2">
      <c r="A1531" s="649" t="s">
        <v>8052</v>
      </c>
      <c r="B1531" s="725" t="s">
        <v>8051</v>
      </c>
    </row>
    <row r="1532" spans="1:2" x14ac:dyDescent="0.2">
      <c r="A1532" s="649" t="s">
        <v>770</v>
      </c>
      <c r="B1532" s="725" t="s">
        <v>769</v>
      </c>
    </row>
    <row r="1533" spans="1:2" x14ac:dyDescent="0.2">
      <c r="A1533" s="649" t="s">
        <v>2837</v>
      </c>
      <c r="B1533" s="725" t="s">
        <v>2836</v>
      </c>
    </row>
    <row r="1534" spans="1:2" x14ac:dyDescent="0.2">
      <c r="A1534" s="649" t="s">
        <v>4419</v>
      </c>
      <c r="B1534" s="725" t="s">
        <v>4418</v>
      </c>
    </row>
    <row r="1535" spans="1:2" x14ac:dyDescent="0.2">
      <c r="A1535" s="649" t="s">
        <v>5860</v>
      </c>
      <c r="B1535" s="725" t="s">
        <v>5859</v>
      </c>
    </row>
    <row r="1536" spans="1:2" x14ac:dyDescent="0.2">
      <c r="A1536" s="649" t="s">
        <v>1618</v>
      </c>
      <c r="B1536" s="725" t="s">
        <v>1617</v>
      </c>
    </row>
    <row r="1537" spans="1:2" x14ac:dyDescent="0.2">
      <c r="A1537" s="649" t="s">
        <v>808</v>
      </c>
      <c r="B1537" s="725" t="s">
        <v>807</v>
      </c>
    </row>
    <row r="1538" spans="1:2" x14ac:dyDescent="0.2">
      <c r="A1538" s="649" t="s">
        <v>5862</v>
      </c>
      <c r="B1538" s="725" t="s">
        <v>5861</v>
      </c>
    </row>
    <row r="1539" spans="1:2" x14ac:dyDescent="0.2">
      <c r="A1539" s="649" t="s">
        <v>5864</v>
      </c>
      <c r="B1539" s="725" t="s">
        <v>5863</v>
      </c>
    </row>
    <row r="1540" spans="1:2" x14ac:dyDescent="0.2">
      <c r="A1540" s="649" t="s">
        <v>828</v>
      </c>
      <c r="B1540" s="725" t="s">
        <v>827</v>
      </c>
    </row>
    <row r="1541" spans="1:2" x14ac:dyDescent="0.2">
      <c r="A1541" s="649" t="s">
        <v>6818</v>
      </c>
      <c r="B1541" s="725" t="s">
        <v>6817</v>
      </c>
    </row>
    <row r="1542" spans="1:2" x14ac:dyDescent="0.2">
      <c r="A1542" s="649" t="s">
        <v>6820</v>
      </c>
      <c r="B1542" s="725" t="s">
        <v>6819</v>
      </c>
    </row>
    <row r="1543" spans="1:2" x14ac:dyDescent="0.2">
      <c r="A1543" s="649" t="s">
        <v>7726</v>
      </c>
      <c r="B1543" s="725" t="s">
        <v>7725</v>
      </c>
    </row>
    <row r="1544" spans="1:2" x14ac:dyDescent="0.2">
      <c r="A1544" s="649" t="s">
        <v>5323</v>
      </c>
      <c r="B1544" s="725" t="s">
        <v>5322</v>
      </c>
    </row>
    <row r="1545" spans="1:2" x14ac:dyDescent="0.2">
      <c r="A1545" s="649" t="s">
        <v>3941</v>
      </c>
      <c r="B1545" s="725" t="s">
        <v>3940</v>
      </c>
    </row>
    <row r="1546" spans="1:2" x14ac:dyDescent="0.2">
      <c r="A1546" s="649" t="s">
        <v>6306</v>
      </c>
      <c r="B1546" s="725" t="s">
        <v>6305</v>
      </c>
    </row>
    <row r="1547" spans="1:2" x14ac:dyDescent="0.2">
      <c r="A1547" s="649" t="s">
        <v>4491</v>
      </c>
      <c r="B1547" s="725" t="s">
        <v>4490</v>
      </c>
    </row>
    <row r="1548" spans="1:2" x14ac:dyDescent="0.2">
      <c r="A1548" s="649" t="s">
        <v>4493</v>
      </c>
      <c r="B1548" s="725" t="s">
        <v>4492</v>
      </c>
    </row>
    <row r="1549" spans="1:2" x14ac:dyDescent="0.2">
      <c r="A1549" s="649" t="s">
        <v>2839</v>
      </c>
      <c r="B1549" s="725" t="s">
        <v>2838</v>
      </c>
    </row>
    <row r="1550" spans="1:2" x14ac:dyDescent="0.2">
      <c r="A1550" s="649" t="s">
        <v>4463</v>
      </c>
      <c r="B1550" s="725" t="s">
        <v>4462</v>
      </c>
    </row>
    <row r="1551" spans="1:2" x14ac:dyDescent="0.2">
      <c r="A1551" s="649" t="s">
        <v>3677</v>
      </c>
      <c r="B1551" s="725" t="s">
        <v>3676</v>
      </c>
    </row>
    <row r="1552" spans="1:2" x14ac:dyDescent="0.2">
      <c r="A1552" s="649" t="s">
        <v>5417</v>
      </c>
      <c r="B1552" s="725" t="s">
        <v>5416</v>
      </c>
    </row>
    <row r="1553" spans="1:2" x14ac:dyDescent="0.2">
      <c r="A1553" s="649" t="s">
        <v>5517</v>
      </c>
      <c r="B1553" s="725" t="s">
        <v>5516</v>
      </c>
    </row>
    <row r="1554" spans="1:2" x14ac:dyDescent="0.2">
      <c r="A1554" s="649" t="s">
        <v>7266</v>
      </c>
      <c r="B1554" s="725" t="s">
        <v>7265</v>
      </c>
    </row>
    <row r="1555" spans="1:2" x14ac:dyDescent="0.2">
      <c r="A1555" s="649" t="s">
        <v>1542</v>
      </c>
      <c r="B1555" s="725" t="s">
        <v>1541</v>
      </c>
    </row>
    <row r="1556" spans="1:2" x14ac:dyDescent="0.2">
      <c r="A1556" s="649" t="s">
        <v>7020</v>
      </c>
      <c r="B1556" s="725" t="s">
        <v>7019</v>
      </c>
    </row>
    <row r="1557" spans="1:2" x14ac:dyDescent="0.2">
      <c r="A1557" s="649" t="s">
        <v>7968</v>
      </c>
      <c r="B1557" s="725" t="s">
        <v>7967</v>
      </c>
    </row>
    <row r="1558" spans="1:2" x14ac:dyDescent="0.2">
      <c r="A1558" s="649" t="s">
        <v>5109</v>
      </c>
      <c r="B1558" s="725" t="s">
        <v>5108</v>
      </c>
    </row>
    <row r="1559" spans="1:2" x14ac:dyDescent="0.2">
      <c r="A1559" s="649" t="s">
        <v>4333</v>
      </c>
      <c r="B1559" s="725" t="s">
        <v>4332</v>
      </c>
    </row>
    <row r="1560" spans="1:2" x14ac:dyDescent="0.2">
      <c r="A1560" s="649" t="s">
        <v>1688</v>
      </c>
      <c r="B1560" s="725" t="s">
        <v>1687</v>
      </c>
    </row>
    <row r="1561" spans="1:2" x14ac:dyDescent="0.2">
      <c r="A1561" s="649" t="s">
        <v>2479</v>
      </c>
      <c r="B1561" s="725" t="s">
        <v>2478</v>
      </c>
    </row>
    <row r="1562" spans="1:2" x14ac:dyDescent="0.2">
      <c r="A1562" s="649" t="s">
        <v>3943</v>
      </c>
      <c r="B1562" s="725" t="s">
        <v>3942</v>
      </c>
    </row>
    <row r="1563" spans="1:2" x14ac:dyDescent="0.2">
      <c r="A1563" s="649" t="s">
        <v>940</v>
      </c>
      <c r="B1563" s="725" t="s">
        <v>939</v>
      </c>
    </row>
    <row r="1564" spans="1:2" x14ac:dyDescent="0.2">
      <c r="A1564" s="649" t="s">
        <v>7172</v>
      </c>
      <c r="B1564" s="725" t="s">
        <v>7171</v>
      </c>
    </row>
    <row r="1565" spans="1:2" x14ac:dyDescent="0.2">
      <c r="A1565" s="649" t="s">
        <v>2309</v>
      </c>
      <c r="B1565" s="725" t="s">
        <v>2308</v>
      </c>
    </row>
    <row r="1566" spans="1:2" x14ac:dyDescent="0.2">
      <c r="A1566" s="649" t="s">
        <v>5261</v>
      </c>
      <c r="B1566" s="725" t="s">
        <v>5260</v>
      </c>
    </row>
    <row r="1567" spans="1:2" x14ac:dyDescent="0.2">
      <c r="A1567" s="649" t="s">
        <v>5866</v>
      </c>
      <c r="B1567" s="725" t="s">
        <v>5865</v>
      </c>
    </row>
    <row r="1568" spans="1:2" x14ac:dyDescent="0.2">
      <c r="A1568" s="649" t="s">
        <v>690</v>
      </c>
      <c r="B1568" s="725" t="s">
        <v>689</v>
      </c>
    </row>
    <row r="1569" spans="1:2" x14ac:dyDescent="0.2">
      <c r="A1569" s="649" t="s">
        <v>4065</v>
      </c>
      <c r="B1569" s="725" t="s">
        <v>4064</v>
      </c>
    </row>
    <row r="1570" spans="1:2" x14ac:dyDescent="0.2">
      <c r="A1570" s="649" t="s">
        <v>4761</v>
      </c>
      <c r="B1570" s="725" t="s">
        <v>4760</v>
      </c>
    </row>
    <row r="1571" spans="1:2" x14ac:dyDescent="0.2">
      <c r="A1571" s="649" t="s">
        <v>3945</v>
      </c>
      <c r="B1571" s="725" t="s">
        <v>3944</v>
      </c>
    </row>
    <row r="1572" spans="1:2" x14ac:dyDescent="0.2">
      <c r="A1572" s="649" t="s">
        <v>507</v>
      </c>
      <c r="B1572" s="725" t="s">
        <v>506</v>
      </c>
    </row>
    <row r="1573" spans="1:2" x14ac:dyDescent="0.2">
      <c r="A1573" s="649" t="s">
        <v>509</v>
      </c>
      <c r="B1573" s="725" t="s">
        <v>508</v>
      </c>
    </row>
    <row r="1574" spans="1:2" x14ac:dyDescent="0.2">
      <c r="A1574" s="649" t="s">
        <v>2841</v>
      </c>
      <c r="B1574" s="725" t="s">
        <v>2840</v>
      </c>
    </row>
    <row r="1575" spans="1:2" x14ac:dyDescent="0.2">
      <c r="A1575" s="649" t="s">
        <v>2843</v>
      </c>
      <c r="B1575" s="725" t="s">
        <v>2842</v>
      </c>
    </row>
    <row r="1576" spans="1:2" x14ac:dyDescent="0.2">
      <c r="A1576" s="649" t="s">
        <v>3947</v>
      </c>
      <c r="B1576" s="725" t="s">
        <v>3946</v>
      </c>
    </row>
    <row r="1577" spans="1:2" x14ac:dyDescent="0.2">
      <c r="A1577" s="649" t="s">
        <v>6822</v>
      </c>
      <c r="B1577" s="725" t="s">
        <v>6821</v>
      </c>
    </row>
    <row r="1578" spans="1:2" x14ac:dyDescent="0.2">
      <c r="A1578" s="649" t="s">
        <v>5151</v>
      </c>
      <c r="B1578" s="725" t="s">
        <v>5150</v>
      </c>
    </row>
    <row r="1579" spans="1:2" x14ac:dyDescent="0.2">
      <c r="A1579" s="649" t="s">
        <v>692</v>
      </c>
      <c r="B1579" s="725" t="s">
        <v>691</v>
      </c>
    </row>
    <row r="1580" spans="1:2" x14ac:dyDescent="0.2">
      <c r="A1580" s="649" t="s">
        <v>2123</v>
      </c>
      <c r="B1580" s="725" t="s">
        <v>2122</v>
      </c>
    </row>
    <row r="1581" spans="1:2" x14ac:dyDescent="0.2">
      <c r="A1581" s="649" t="s">
        <v>1544</v>
      </c>
      <c r="B1581" s="725" t="s">
        <v>1543</v>
      </c>
    </row>
    <row r="1582" spans="1:2" x14ac:dyDescent="0.2">
      <c r="A1582" s="649" t="s">
        <v>4855</v>
      </c>
      <c r="B1582" s="725" t="s">
        <v>4854</v>
      </c>
    </row>
    <row r="1583" spans="1:2" x14ac:dyDescent="0.2">
      <c r="A1583" s="649" t="s">
        <v>4907</v>
      </c>
      <c r="B1583" s="725" t="s">
        <v>4906</v>
      </c>
    </row>
    <row r="1584" spans="1:2" x14ac:dyDescent="0.2">
      <c r="A1584" s="649" t="s">
        <v>5349</v>
      </c>
      <c r="B1584" s="725" t="s">
        <v>5348</v>
      </c>
    </row>
    <row r="1585" spans="1:2" x14ac:dyDescent="0.2">
      <c r="A1585" s="649" t="s">
        <v>7090</v>
      </c>
      <c r="B1585" s="725" t="s">
        <v>7089</v>
      </c>
    </row>
    <row r="1586" spans="1:2" x14ac:dyDescent="0.2">
      <c r="A1586" s="649" t="s">
        <v>4557</v>
      </c>
      <c r="B1586" s="725" t="s">
        <v>4556</v>
      </c>
    </row>
    <row r="1587" spans="1:2" x14ac:dyDescent="0.2">
      <c r="A1587" s="649" t="s">
        <v>1957</v>
      </c>
      <c r="B1587" s="725" t="s">
        <v>1956</v>
      </c>
    </row>
    <row r="1588" spans="1:2" x14ac:dyDescent="0.2">
      <c r="A1588" s="649" t="s">
        <v>5868</v>
      </c>
      <c r="B1588" s="725" t="s">
        <v>5867</v>
      </c>
    </row>
    <row r="1589" spans="1:2" x14ac:dyDescent="0.2">
      <c r="A1589" s="649" t="s">
        <v>6308</v>
      </c>
      <c r="B1589" s="725" t="s">
        <v>6307</v>
      </c>
    </row>
    <row r="1590" spans="1:2" x14ac:dyDescent="0.2">
      <c r="A1590" s="649" t="s">
        <v>4129</v>
      </c>
      <c r="B1590" s="725" t="s">
        <v>4128</v>
      </c>
    </row>
    <row r="1591" spans="1:2" x14ac:dyDescent="0.2">
      <c r="A1591" s="649" t="s">
        <v>5870</v>
      </c>
      <c r="B1591" s="725" t="s">
        <v>5869</v>
      </c>
    </row>
    <row r="1592" spans="1:2" x14ac:dyDescent="0.2">
      <c r="A1592" s="649" t="s">
        <v>942</v>
      </c>
      <c r="B1592" s="725" t="s">
        <v>941</v>
      </c>
    </row>
    <row r="1593" spans="1:2" x14ac:dyDescent="0.2">
      <c r="A1593" s="649" t="s">
        <v>5325</v>
      </c>
      <c r="B1593" s="725" t="s">
        <v>5324</v>
      </c>
    </row>
    <row r="1594" spans="1:2" x14ac:dyDescent="0.2">
      <c r="A1594" s="649" t="s">
        <v>6630</v>
      </c>
      <c r="B1594" s="725" t="s">
        <v>6629</v>
      </c>
    </row>
    <row r="1595" spans="1:2" x14ac:dyDescent="0.2">
      <c r="A1595" s="649" t="s">
        <v>3465</v>
      </c>
      <c r="B1595" s="725" t="s">
        <v>3464</v>
      </c>
    </row>
    <row r="1596" spans="1:2" x14ac:dyDescent="0.2">
      <c r="A1596" s="649" t="s">
        <v>7490</v>
      </c>
      <c r="B1596" s="725" t="s">
        <v>7489</v>
      </c>
    </row>
    <row r="1597" spans="1:2" x14ac:dyDescent="0.2">
      <c r="A1597" s="649" t="s">
        <v>6824</v>
      </c>
      <c r="B1597" s="725" t="s">
        <v>6823</v>
      </c>
    </row>
    <row r="1598" spans="1:2" x14ac:dyDescent="0.2">
      <c r="A1598" s="649" t="s">
        <v>6576</v>
      </c>
      <c r="B1598" s="725" t="s">
        <v>6575</v>
      </c>
    </row>
    <row r="1599" spans="1:2" x14ac:dyDescent="0.2">
      <c r="A1599" s="649" t="s">
        <v>5872</v>
      </c>
      <c r="B1599" s="725" t="s">
        <v>5871</v>
      </c>
    </row>
    <row r="1600" spans="1:2" x14ac:dyDescent="0.2">
      <c r="A1600" s="649" t="s">
        <v>3527</v>
      </c>
      <c r="B1600" s="725" t="s">
        <v>3526</v>
      </c>
    </row>
    <row r="1601" spans="1:2" x14ac:dyDescent="0.2">
      <c r="A1601" s="649" t="s">
        <v>2311</v>
      </c>
      <c r="B1601" s="725" t="s">
        <v>2310</v>
      </c>
    </row>
    <row r="1602" spans="1:2" x14ac:dyDescent="0.2">
      <c r="A1602" s="649" t="s">
        <v>1488</v>
      </c>
      <c r="B1602" s="725" t="s">
        <v>1487</v>
      </c>
    </row>
    <row r="1603" spans="1:2" x14ac:dyDescent="0.2">
      <c r="A1603" s="649" t="s">
        <v>1843</v>
      </c>
      <c r="B1603" s="725" t="s">
        <v>1842</v>
      </c>
    </row>
    <row r="1604" spans="1:2" x14ac:dyDescent="0.2">
      <c r="A1604" s="649" t="s">
        <v>5874</v>
      </c>
      <c r="B1604" s="725" t="s">
        <v>5873</v>
      </c>
    </row>
    <row r="1605" spans="1:2" x14ac:dyDescent="0.2">
      <c r="A1605" s="649" t="s">
        <v>4879</v>
      </c>
      <c r="B1605" s="725" t="s">
        <v>4878</v>
      </c>
    </row>
    <row r="1606" spans="1:2" x14ac:dyDescent="0.2">
      <c r="A1606" s="649" t="s">
        <v>5229</v>
      </c>
      <c r="B1606" s="725" t="s">
        <v>5228</v>
      </c>
    </row>
    <row r="1607" spans="1:2" x14ac:dyDescent="0.2">
      <c r="A1607" s="649" t="s">
        <v>511</v>
      </c>
      <c r="B1607" s="725" t="s">
        <v>510</v>
      </c>
    </row>
    <row r="1608" spans="1:2" x14ac:dyDescent="0.2">
      <c r="A1608" s="649" t="s">
        <v>3949</v>
      </c>
      <c r="B1608" s="725" t="s">
        <v>3948</v>
      </c>
    </row>
    <row r="1609" spans="1:2" x14ac:dyDescent="0.2">
      <c r="A1609" s="649" t="s">
        <v>4651</v>
      </c>
      <c r="B1609" s="725" t="s">
        <v>4650</v>
      </c>
    </row>
    <row r="1610" spans="1:2" x14ac:dyDescent="0.2">
      <c r="A1610" s="649" t="s">
        <v>1845</v>
      </c>
      <c r="B1610" s="725" t="s">
        <v>1844</v>
      </c>
    </row>
    <row r="1611" spans="1:2" x14ac:dyDescent="0.2">
      <c r="A1611" s="649" t="s">
        <v>6826</v>
      </c>
      <c r="B1611" s="725" t="s">
        <v>6825</v>
      </c>
    </row>
    <row r="1612" spans="1:2" x14ac:dyDescent="0.2">
      <c r="A1612" s="649" t="s">
        <v>3703</v>
      </c>
      <c r="B1612" s="725" t="s">
        <v>3702</v>
      </c>
    </row>
    <row r="1613" spans="1:2" x14ac:dyDescent="0.2">
      <c r="A1613" s="649" t="s">
        <v>7640</v>
      </c>
      <c r="B1613" s="725" t="s">
        <v>7639</v>
      </c>
    </row>
    <row r="1614" spans="1:2" x14ac:dyDescent="0.2">
      <c r="A1614" s="649" t="s">
        <v>5153</v>
      </c>
      <c r="B1614" s="725" t="s">
        <v>5152</v>
      </c>
    </row>
    <row r="1615" spans="1:2" x14ac:dyDescent="0.2">
      <c r="A1615" s="649" t="s">
        <v>1592</v>
      </c>
      <c r="B1615" s="725" t="s">
        <v>1591</v>
      </c>
    </row>
    <row r="1616" spans="1:2" x14ac:dyDescent="0.2">
      <c r="A1616" s="649" t="s">
        <v>435</v>
      </c>
      <c r="B1616" s="725" t="s">
        <v>434</v>
      </c>
    </row>
    <row r="1617" spans="1:2" x14ac:dyDescent="0.2">
      <c r="A1617" s="649" t="s">
        <v>4723</v>
      </c>
      <c r="B1617" s="725" t="s">
        <v>4722</v>
      </c>
    </row>
    <row r="1618" spans="1:2" x14ac:dyDescent="0.2">
      <c r="A1618" s="649" t="s">
        <v>5017</v>
      </c>
      <c r="B1618" s="725" t="s">
        <v>5016</v>
      </c>
    </row>
    <row r="1619" spans="1:2" x14ac:dyDescent="0.2">
      <c r="A1619" s="649" t="s">
        <v>437</v>
      </c>
      <c r="B1619" s="725" t="s">
        <v>436</v>
      </c>
    </row>
    <row r="1620" spans="1:2" x14ac:dyDescent="0.2">
      <c r="A1620" s="649" t="s">
        <v>5155</v>
      </c>
      <c r="B1620" s="725" t="s">
        <v>5154</v>
      </c>
    </row>
    <row r="1621" spans="1:2" x14ac:dyDescent="0.2">
      <c r="A1621" s="649" t="s">
        <v>6230</v>
      </c>
      <c r="B1621" s="725" t="s">
        <v>6229</v>
      </c>
    </row>
    <row r="1622" spans="1:2" x14ac:dyDescent="0.2">
      <c r="A1622" s="649" t="s">
        <v>6232</v>
      </c>
      <c r="B1622" s="725" t="s">
        <v>6231</v>
      </c>
    </row>
    <row r="1623" spans="1:2" x14ac:dyDescent="0.2">
      <c r="A1623" s="649" t="s">
        <v>6234</v>
      </c>
      <c r="B1623" s="725" t="s">
        <v>6233</v>
      </c>
    </row>
    <row r="1624" spans="1:2" x14ac:dyDescent="0.2">
      <c r="A1624" s="649" t="s">
        <v>6236</v>
      </c>
      <c r="B1624" s="725" t="s">
        <v>6235</v>
      </c>
    </row>
    <row r="1625" spans="1:2" x14ac:dyDescent="0.2">
      <c r="A1625" s="649" t="s">
        <v>5519</v>
      </c>
      <c r="B1625" s="725" t="s">
        <v>5518</v>
      </c>
    </row>
    <row r="1626" spans="1:2" x14ac:dyDescent="0.2">
      <c r="A1626" s="649" t="s">
        <v>6632</v>
      </c>
      <c r="B1626" s="725" t="s">
        <v>6631</v>
      </c>
    </row>
    <row r="1627" spans="1:2" x14ac:dyDescent="0.2">
      <c r="A1627" s="649" t="s">
        <v>2845</v>
      </c>
      <c r="B1627" s="725" t="s">
        <v>2844</v>
      </c>
    </row>
    <row r="1628" spans="1:2" x14ac:dyDescent="0.2">
      <c r="A1628" s="649" t="s">
        <v>6828</v>
      </c>
      <c r="B1628" s="725" t="s">
        <v>6827</v>
      </c>
    </row>
    <row r="1629" spans="1:2" x14ac:dyDescent="0.2">
      <c r="A1629" s="649" t="s">
        <v>7728</v>
      </c>
      <c r="B1629" s="725" t="s">
        <v>7727</v>
      </c>
    </row>
    <row r="1630" spans="1:2" x14ac:dyDescent="0.2">
      <c r="A1630" s="649" t="s">
        <v>4909</v>
      </c>
      <c r="B1630" s="725" t="s">
        <v>4908</v>
      </c>
    </row>
    <row r="1631" spans="1:2" x14ac:dyDescent="0.2">
      <c r="A1631" s="649" t="s">
        <v>1024</v>
      </c>
      <c r="B1631" s="725" t="s">
        <v>1023</v>
      </c>
    </row>
    <row r="1632" spans="1:2" x14ac:dyDescent="0.2">
      <c r="A1632" s="649" t="s">
        <v>1026</v>
      </c>
      <c r="B1632" s="725" t="s">
        <v>1025</v>
      </c>
    </row>
    <row r="1633" spans="1:2" x14ac:dyDescent="0.2">
      <c r="A1633" s="649" t="s">
        <v>2847</v>
      </c>
      <c r="B1633" s="725" t="s">
        <v>2846</v>
      </c>
    </row>
    <row r="1634" spans="1:2" x14ac:dyDescent="0.2">
      <c r="A1634" s="649" t="s">
        <v>3799</v>
      </c>
      <c r="B1634" s="725" t="s">
        <v>3798</v>
      </c>
    </row>
    <row r="1635" spans="1:2" x14ac:dyDescent="0.2">
      <c r="A1635" s="649" t="s">
        <v>5876</v>
      </c>
      <c r="B1635" s="725" t="s">
        <v>5875</v>
      </c>
    </row>
    <row r="1636" spans="1:2" x14ac:dyDescent="0.2">
      <c r="A1636" s="649" t="s">
        <v>4397</v>
      </c>
      <c r="B1636" s="725" t="s">
        <v>4396</v>
      </c>
    </row>
    <row r="1637" spans="1:2" x14ac:dyDescent="0.2">
      <c r="A1637" s="649" t="s">
        <v>3951</v>
      </c>
      <c r="B1637" s="725" t="s">
        <v>3950</v>
      </c>
    </row>
    <row r="1638" spans="1:2" x14ac:dyDescent="0.2">
      <c r="A1638" s="649" t="s">
        <v>2849</v>
      </c>
      <c r="B1638" s="725" t="s">
        <v>2848</v>
      </c>
    </row>
    <row r="1639" spans="1:2" x14ac:dyDescent="0.2">
      <c r="A1639" s="649" t="s">
        <v>512</v>
      </c>
      <c r="B1639" s="725" t="s">
        <v>498</v>
      </c>
    </row>
    <row r="1640" spans="1:2" x14ac:dyDescent="0.2">
      <c r="A1640" s="649" t="s">
        <v>5878</v>
      </c>
      <c r="B1640" s="725" t="s">
        <v>5877</v>
      </c>
    </row>
    <row r="1641" spans="1:2" x14ac:dyDescent="0.2">
      <c r="A1641" s="649" t="s">
        <v>1234</v>
      </c>
      <c r="B1641" s="725" t="s">
        <v>1233</v>
      </c>
    </row>
    <row r="1642" spans="1:2" x14ac:dyDescent="0.2">
      <c r="A1642" s="649" t="s">
        <v>5521</v>
      </c>
      <c r="B1642" s="725" t="s">
        <v>5520</v>
      </c>
    </row>
    <row r="1643" spans="1:2" x14ac:dyDescent="0.2">
      <c r="A1643" s="649" t="s">
        <v>6830</v>
      </c>
      <c r="B1643" s="725" t="s">
        <v>6829</v>
      </c>
    </row>
    <row r="1644" spans="1:2" x14ac:dyDescent="0.2">
      <c r="A1644" s="649" t="s">
        <v>8156</v>
      </c>
      <c r="B1644" s="725" t="s">
        <v>8155</v>
      </c>
    </row>
    <row r="1645" spans="1:2" x14ac:dyDescent="0.2">
      <c r="A1645" s="649" t="s">
        <v>4193</v>
      </c>
      <c r="B1645" s="725" t="s">
        <v>4192</v>
      </c>
    </row>
    <row r="1646" spans="1:2" x14ac:dyDescent="0.2">
      <c r="A1646" s="649" t="s">
        <v>7642</v>
      </c>
      <c r="B1646" s="725" t="s">
        <v>7641</v>
      </c>
    </row>
    <row r="1647" spans="1:2" x14ac:dyDescent="0.2">
      <c r="A1647" s="649" t="s">
        <v>4279</v>
      </c>
      <c r="B1647" s="725" t="s">
        <v>4278</v>
      </c>
    </row>
    <row r="1648" spans="1:2" x14ac:dyDescent="0.2">
      <c r="A1648" s="649" t="s">
        <v>1028</v>
      </c>
      <c r="B1648" s="725" t="s">
        <v>1027</v>
      </c>
    </row>
    <row r="1649" spans="1:2" x14ac:dyDescent="0.2">
      <c r="A1649" s="649" t="s">
        <v>2181</v>
      </c>
      <c r="B1649" s="725" t="s">
        <v>2180</v>
      </c>
    </row>
    <row r="1650" spans="1:2" x14ac:dyDescent="0.2">
      <c r="A1650" s="649" t="s">
        <v>5419</v>
      </c>
      <c r="B1650" s="725" t="s">
        <v>5418</v>
      </c>
    </row>
    <row r="1651" spans="1:2" x14ac:dyDescent="0.2">
      <c r="A1651" s="649" t="s">
        <v>7092</v>
      </c>
      <c r="B1651" s="725" t="s">
        <v>7091</v>
      </c>
    </row>
    <row r="1652" spans="1:2" x14ac:dyDescent="0.2">
      <c r="A1652" s="649" t="s">
        <v>2481</v>
      </c>
      <c r="B1652" s="725" t="s">
        <v>2480</v>
      </c>
    </row>
    <row r="1653" spans="1:2" x14ac:dyDescent="0.2">
      <c r="A1653" s="649" t="s">
        <v>1030</v>
      </c>
      <c r="B1653" s="725" t="s">
        <v>1029</v>
      </c>
    </row>
    <row r="1654" spans="1:2" x14ac:dyDescent="0.2">
      <c r="A1654" s="649" t="s">
        <v>3953</v>
      </c>
      <c r="B1654" s="725" t="s">
        <v>3952</v>
      </c>
    </row>
    <row r="1655" spans="1:2" x14ac:dyDescent="0.2">
      <c r="A1655" s="649" t="s">
        <v>2851</v>
      </c>
      <c r="B1655" s="725" t="s">
        <v>2850</v>
      </c>
    </row>
    <row r="1656" spans="1:2" x14ac:dyDescent="0.2">
      <c r="A1656" s="649" t="s">
        <v>1032</v>
      </c>
      <c r="B1656" s="725" t="s">
        <v>1031</v>
      </c>
    </row>
    <row r="1657" spans="1:2" x14ac:dyDescent="0.2">
      <c r="A1657" s="649" t="s">
        <v>7492</v>
      </c>
      <c r="B1657" s="725" t="s">
        <v>7491</v>
      </c>
    </row>
    <row r="1658" spans="1:2" x14ac:dyDescent="0.2">
      <c r="A1658" s="649" t="s">
        <v>5327</v>
      </c>
      <c r="B1658" s="725" t="s">
        <v>5326</v>
      </c>
    </row>
    <row r="1659" spans="1:2" x14ac:dyDescent="0.2">
      <c r="A1659" s="649" t="s">
        <v>4653</v>
      </c>
      <c r="B1659" s="725" t="s">
        <v>4652</v>
      </c>
    </row>
    <row r="1660" spans="1:2" x14ac:dyDescent="0.2">
      <c r="A1660" s="649" t="s">
        <v>5157</v>
      </c>
      <c r="B1660" s="725" t="s">
        <v>5156</v>
      </c>
    </row>
    <row r="1661" spans="1:2" x14ac:dyDescent="0.2">
      <c r="A1661" s="649" t="s">
        <v>7622</v>
      </c>
      <c r="B1661" s="725" t="s">
        <v>7621</v>
      </c>
    </row>
    <row r="1662" spans="1:2" x14ac:dyDescent="0.2">
      <c r="A1662" s="649" t="s">
        <v>8054</v>
      </c>
      <c r="B1662" s="725" t="s">
        <v>8053</v>
      </c>
    </row>
    <row r="1663" spans="1:2" x14ac:dyDescent="0.2">
      <c r="A1663" s="649" t="s">
        <v>8262</v>
      </c>
      <c r="B1663" s="725" t="s">
        <v>8261</v>
      </c>
    </row>
    <row r="1664" spans="1:2" x14ac:dyDescent="0.2">
      <c r="A1664" s="649" t="s">
        <v>5421</v>
      </c>
      <c r="B1664" s="725" t="s">
        <v>5420</v>
      </c>
    </row>
    <row r="1665" spans="1:2" x14ac:dyDescent="0.2">
      <c r="A1665" s="649" t="s">
        <v>694</v>
      </c>
      <c r="B1665" s="725" t="s">
        <v>693</v>
      </c>
    </row>
    <row r="1666" spans="1:2" x14ac:dyDescent="0.2">
      <c r="A1666" s="649" t="s">
        <v>5880</v>
      </c>
      <c r="B1666" s="725" t="s">
        <v>5879</v>
      </c>
    </row>
    <row r="1667" spans="1:2" x14ac:dyDescent="0.2">
      <c r="A1667" s="649" t="s">
        <v>6484</v>
      </c>
      <c r="B1667" s="725" t="s">
        <v>6483</v>
      </c>
    </row>
    <row r="1668" spans="1:2" x14ac:dyDescent="0.2">
      <c r="A1668" s="649" t="s">
        <v>6528</v>
      </c>
      <c r="B1668" s="725" t="s">
        <v>6527</v>
      </c>
    </row>
    <row r="1669" spans="1:2" x14ac:dyDescent="0.2">
      <c r="A1669" s="649" t="s">
        <v>2853</v>
      </c>
      <c r="B1669" s="725" t="s">
        <v>2852</v>
      </c>
    </row>
    <row r="1670" spans="1:2" x14ac:dyDescent="0.2">
      <c r="A1670" s="649" t="s">
        <v>2855</v>
      </c>
      <c r="B1670" s="725" t="s">
        <v>2854</v>
      </c>
    </row>
    <row r="1671" spans="1:2" x14ac:dyDescent="0.2">
      <c r="A1671" s="649" t="s">
        <v>6390</v>
      </c>
      <c r="B1671" s="725" t="s">
        <v>6389</v>
      </c>
    </row>
    <row r="1672" spans="1:2" x14ac:dyDescent="0.2">
      <c r="A1672" s="649" t="s">
        <v>6390</v>
      </c>
      <c r="B1672" s="725" t="s">
        <v>10375</v>
      </c>
    </row>
    <row r="1673" spans="1:2" x14ac:dyDescent="0.2">
      <c r="A1673" s="649" t="s">
        <v>6390</v>
      </c>
      <c r="B1673" s="725" t="s">
        <v>10376</v>
      </c>
    </row>
    <row r="1674" spans="1:2" x14ac:dyDescent="0.2">
      <c r="A1674" s="649" t="s">
        <v>608</v>
      </c>
      <c r="B1674" s="725" t="s">
        <v>607</v>
      </c>
    </row>
    <row r="1675" spans="1:2" x14ac:dyDescent="0.2">
      <c r="A1675" s="649" t="s">
        <v>4335</v>
      </c>
      <c r="B1675" s="725" t="s">
        <v>4334</v>
      </c>
    </row>
    <row r="1676" spans="1:2" x14ac:dyDescent="0.2">
      <c r="A1676" s="649" t="s">
        <v>2857</v>
      </c>
      <c r="B1676" s="725" t="s">
        <v>2856</v>
      </c>
    </row>
    <row r="1677" spans="1:2" x14ac:dyDescent="0.2">
      <c r="A1677" s="649" t="s">
        <v>3563</v>
      </c>
      <c r="B1677" s="725" t="s">
        <v>3562</v>
      </c>
    </row>
    <row r="1678" spans="1:2" x14ac:dyDescent="0.2">
      <c r="A1678" s="649" t="s">
        <v>4059</v>
      </c>
      <c r="B1678" s="725" t="s">
        <v>4058</v>
      </c>
    </row>
    <row r="1679" spans="1:2" x14ac:dyDescent="0.2">
      <c r="A1679" s="649" t="s">
        <v>5882</v>
      </c>
      <c r="B1679" s="725" t="s">
        <v>5881</v>
      </c>
    </row>
    <row r="1680" spans="1:2" x14ac:dyDescent="0.2">
      <c r="A1680" s="649" t="s">
        <v>5884</v>
      </c>
      <c r="B1680" s="725" t="s">
        <v>5883</v>
      </c>
    </row>
    <row r="1681" spans="1:2" x14ac:dyDescent="0.2">
      <c r="A1681" s="649" t="s">
        <v>7730</v>
      </c>
      <c r="B1681" s="725" t="s">
        <v>7729</v>
      </c>
    </row>
    <row r="1682" spans="1:2" x14ac:dyDescent="0.2">
      <c r="A1682" s="649" t="s">
        <v>5886</v>
      </c>
      <c r="B1682" s="725" t="s">
        <v>5885</v>
      </c>
    </row>
    <row r="1683" spans="1:2" x14ac:dyDescent="0.2">
      <c r="A1683" s="649" t="s">
        <v>2859</v>
      </c>
      <c r="B1683" s="725" t="s">
        <v>2858</v>
      </c>
    </row>
    <row r="1684" spans="1:2" x14ac:dyDescent="0.2">
      <c r="A1684" s="649" t="s">
        <v>4109</v>
      </c>
      <c r="B1684" s="725" t="s">
        <v>4108</v>
      </c>
    </row>
    <row r="1685" spans="1:2" x14ac:dyDescent="0.2">
      <c r="A1685" s="649" t="s">
        <v>7174</v>
      </c>
      <c r="B1685" s="725" t="s">
        <v>7173</v>
      </c>
    </row>
    <row r="1686" spans="1:2" x14ac:dyDescent="0.2">
      <c r="A1686" s="649" t="s">
        <v>8302</v>
      </c>
      <c r="B1686" s="725" t="s">
        <v>8301</v>
      </c>
    </row>
    <row r="1687" spans="1:2" x14ac:dyDescent="0.2">
      <c r="A1687" s="649" t="s">
        <v>2125</v>
      </c>
      <c r="B1687" s="725" t="s">
        <v>2124</v>
      </c>
    </row>
    <row r="1688" spans="1:2" x14ac:dyDescent="0.2">
      <c r="A1688" s="649" t="s">
        <v>5888</v>
      </c>
      <c r="B1688" s="725" t="s">
        <v>5887</v>
      </c>
    </row>
    <row r="1689" spans="1:2" x14ac:dyDescent="0.2">
      <c r="A1689" s="649" t="s">
        <v>7052</v>
      </c>
      <c r="B1689" s="725" t="s">
        <v>7051</v>
      </c>
    </row>
    <row r="1690" spans="1:2" x14ac:dyDescent="0.2">
      <c r="A1690" s="649" t="s">
        <v>5159</v>
      </c>
      <c r="B1690" s="725" t="s">
        <v>5158</v>
      </c>
    </row>
    <row r="1691" spans="1:2" x14ac:dyDescent="0.2">
      <c r="A1691" s="649" t="s">
        <v>7268</v>
      </c>
      <c r="B1691" s="725" t="s">
        <v>7267</v>
      </c>
    </row>
    <row r="1692" spans="1:2" x14ac:dyDescent="0.2">
      <c r="A1692" s="649" t="s">
        <v>7980</v>
      </c>
      <c r="B1692" s="725" t="s">
        <v>7979</v>
      </c>
    </row>
    <row r="1693" spans="1:2" x14ac:dyDescent="0.2">
      <c r="A1693" s="649" t="s">
        <v>4067</v>
      </c>
      <c r="B1693" s="725" t="s">
        <v>4066</v>
      </c>
    </row>
    <row r="1694" spans="1:2" x14ac:dyDescent="0.2">
      <c r="A1694" s="649" t="s">
        <v>4481</v>
      </c>
      <c r="B1694" s="725" t="s">
        <v>4480</v>
      </c>
    </row>
    <row r="1695" spans="1:2" x14ac:dyDescent="0.2">
      <c r="A1695" s="649" t="s">
        <v>1847</v>
      </c>
      <c r="B1695" s="725" t="s">
        <v>1846</v>
      </c>
    </row>
    <row r="1696" spans="1:2" x14ac:dyDescent="0.2">
      <c r="A1696" s="649" t="s">
        <v>6832</v>
      </c>
      <c r="B1696" s="725" t="s">
        <v>6831</v>
      </c>
    </row>
    <row r="1697" spans="1:2" x14ac:dyDescent="0.2">
      <c r="A1697" s="649" t="s">
        <v>6634</v>
      </c>
      <c r="B1697" s="725" t="s">
        <v>6633</v>
      </c>
    </row>
    <row r="1698" spans="1:2" x14ac:dyDescent="0.2">
      <c r="A1698" s="649" t="s">
        <v>6834</v>
      </c>
      <c r="B1698" s="725" t="s">
        <v>6833</v>
      </c>
    </row>
    <row r="1699" spans="1:2" x14ac:dyDescent="0.2">
      <c r="A1699" s="649" t="s">
        <v>7494</v>
      </c>
      <c r="B1699" s="725" t="s">
        <v>7493</v>
      </c>
    </row>
    <row r="1700" spans="1:2" x14ac:dyDescent="0.2">
      <c r="A1700" s="649" t="s">
        <v>5263</v>
      </c>
      <c r="B1700" s="725" t="s">
        <v>5262</v>
      </c>
    </row>
    <row r="1701" spans="1:2" x14ac:dyDescent="0.2">
      <c r="A1701" s="649" t="s">
        <v>2227</v>
      </c>
      <c r="B1701" s="725" t="s">
        <v>2226</v>
      </c>
    </row>
    <row r="1702" spans="1:2" x14ac:dyDescent="0.2">
      <c r="A1702" s="649" t="s">
        <v>1408</v>
      </c>
      <c r="B1702" s="725" t="s">
        <v>1407</v>
      </c>
    </row>
    <row r="1703" spans="1:2" x14ac:dyDescent="0.2">
      <c r="A1703" s="649" t="s">
        <v>1799</v>
      </c>
      <c r="B1703" s="725" t="s">
        <v>1798</v>
      </c>
    </row>
    <row r="1704" spans="1:2" x14ac:dyDescent="0.2">
      <c r="A1704" s="649" t="s">
        <v>5890</v>
      </c>
      <c r="B1704" s="725" t="s">
        <v>5889</v>
      </c>
    </row>
    <row r="1705" spans="1:2" x14ac:dyDescent="0.2">
      <c r="A1705" s="649" t="s">
        <v>1034</v>
      </c>
      <c r="B1705" s="725" t="s">
        <v>1033</v>
      </c>
    </row>
    <row r="1706" spans="1:2" x14ac:dyDescent="0.2">
      <c r="A1706" s="649" t="s">
        <v>898</v>
      </c>
      <c r="B1706" s="725" t="s">
        <v>897</v>
      </c>
    </row>
    <row r="1707" spans="1:2" x14ac:dyDescent="0.2">
      <c r="A1707" s="649" t="s">
        <v>900</v>
      </c>
      <c r="B1707" s="725" t="s">
        <v>899</v>
      </c>
    </row>
    <row r="1708" spans="1:2" x14ac:dyDescent="0.2">
      <c r="A1708" s="649" t="s">
        <v>902</v>
      </c>
      <c r="B1708" s="725" t="s">
        <v>901</v>
      </c>
    </row>
    <row r="1709" spans="1:2" x14ac:dyDescent="0.2">
      <c r="A1709" s="649" t="s">
        <v>904</v>
      </c>
      <c r="B1709" s="725" t="s">
        <v>903</v>
      </c>
    </row>
    <row r="1710" spans="1:2" x14ac:dyDescent="0.2">
      <c r="A1710" s="649" t="s">
        <v>696</v>
      </c>
      <c r="B1710" s="725" t="s">
        <v>695</v>
      </c>
    </row>
    <row r="1711" spans="1:2" x14ac:dyDescent="0.2">
      <c r="A1711" s="649" t="s">
        <v>4867</v>
      </c>
      <c r="B1711" s="725" t="s">
        <v>4866</v>
      </c>
    </row>
    <row r="1712" spans="1:2" x14ac:dyDescent="0.2">
      <c r="A1712" s="649" t="s">
        <v>4869</v>
      </c>
      <c r="B1712" s="725" t="s">
        <v>4868</v>
      </c>
    </row>
    <row r="1713" spans="1:2" x14ac:dyDescent="0.2">
      <c r="A1713" s="649" t="s">
        <v>6530</v>
      </c>
      <c r="B1713" s="725" t="s">
        <v>6529</v>
      </c>
    </row>
    <row r="1714" spans="1:2" x14ac:dyDescent="0.2">
      <c r="A1714" s="649" t="s">
        <v>367</v>
      </c>
      <c r="B1714" s="725" t="s">
        <v>366</v>
      </c>
    </row>
    <row r="1715" spans="1:2" x14ac:dyDescent="0.2">
      <c r="A1715" s="649" t="s">
        <v>3623</v>
      </c>
      <c r="B1715" s="725" t="s">
        <v>3622</v>
      </c>
    </row>
    <row r="1716" spans="1:2" x14ac:dyDescent="0.2">
      <c r="A1716" s="649" t="s">
        <v>3801</v>
      </c>
      <c r="B1716" s="725" t="s">
        <v>3800</v>
      </c>
    </row>
    <row r="1717" spans="1:2" x14ac:dyDescent="0.2">
      <c r="A1717" s="649" t="s">
        <v>2861</v>
      </c>
      <c r="B1717" s="725" t="s">
        <v>2860</v>
      </c>
    </row>
    <row r="1718" spans="1:2" x14ac:dyDescent="0.2">
      <c r="A1718" s="649" t="s">
        <v>2863</v>
      </c>
      <c r="B1718" s="725" t="s">
        <v>2862</v>
      </c>
    </row>
    <row r="1719" spans="1:2" x14ac:dyDescent="0.2">
      <c r="A1719" s="649" t="s">
        <v>5892</v>
      </c>
      <c r="B1719" s="725" t="s">
        <v>5891</v>
      </c>
    </row>
    <row r="1720" spans="1:2" x14ac:dyDescent="0.2">
      <c r="A1720" s="649" t="s">
        <v>1036</v>
      </c>
      <c r="B1720" s="725" t="s">
        <v>1035</v>
      </c>
    </row>
    <row r="1721" spans="1:2" x14ac:dyDescent="0.2">
      <c r="A1721" s="649" t="s">
        <v>698</v>
      </c>
      <c r="B1721" s="725" t="s">
        <v>697</v>
      </c>
    </row>
    <row r="1722" spans="1:2" x14ac:dyDescent="0.2">
      <c r="A1722" s="649" t="s">
        <v>7910</v>
      </c>
      <c r="B1722" s="725" t="s">
        <v>7909</v>
      </c>
    </row>
    <row r="1723" spans="1:2" x14ac:dyDescent="0.2">
      <c r="A1723" s="649" t="s">
        <v>7176</v>
      </c>
      <c r="B1723" s="725" t="s">
        <v>7175</v>
      </c>
    </row>
    <row r="1724" spans="1:2" x14ac:dyDescent="0.2">
      <c r="A1724" s="649" t="s">
        <v>3749</v>
      </c>
      <c r="B1724" s="725" t="s">
        <v>3748</v>
      </c>
    </row>
    <row r="1725" spans="1:2" x14ac:dyDescent="0.2">
      <c r="A1725" s="649" t="s">
        <v>5231</v>
      </c>
      <c r="B1725" s="725" t="s">
        <v>5230</v>
      </c>
    </row>
    <row r="1726" spans="1:2" x14ac:dyDescent="0.2">
      <c r="A1726" s="649" t="s">
        <v>5894</v>
      </c>
      <c r="B1726" s="725" t="s">
        <v>5893</v>
      </c>
    </row>
    <row r="1727" spans="1:2" x14ac:dyDescent="0.2">
      <c r="A1727" s="649" t="s">
        <v>1038</v>
      </c>
      <c r="B1727" s="725" t="s">
        <v>1037</v>
      </c>
    </row>
    <row r="1728" spans="1:2" x14ac:dyDescent="0.2">
      <c r="A1728" s="649" t="s">
        <v>2127</v>
      </c>
      <c r="B1728" s="725" t="s">
        <v>2126</v>
      </c>
    </row>
    <row r="1729" spans="1:2" x14ac:dyDescent="0.2">
      <c r="A1729" s="649" t="s">
        <v>5896</v>
      </c>
      <c r="B1729" s="725" t="s">
        <v>5895</v>
      </c>
    </row>
    <row r="1730" spans="1:2" x14ac:dyDescent="0.2">
      <c r="A1730" s="649" t="s">
        <v>7912</v>
      </c>
      <c r="B1730" s="725" t="s">
        <v>7911</v>
      </c>
    </row>
    <row r="1731" spans="1:2" x14ac:dyDescent="0.2">
      <c r="A1731" s="649" t="s">
        <v>5898</v>
      </c>
      <c r="B1731" s="725" t="s">
        <v>5897</v>
      </c>
    </row>
    <row r="1732" spans="1:2" x14ac:dyDescent="0.2">
      <c r="A1732" s="649" t="s">
        <v>5900</v>
      </c>
      <c r="B1732" s="725" t="s">
        <v>5899</v>
      </c>
    </row>
    <row r="1733" spans="1:2" x14ac:dyDescent="0.2">
      <c r="A1733" s="649" t="s">
        <v>2865</v>
      </c>
      <c r="B1733" s="725" t="s">
        <v>2864</v>
      </c>
    </row>
    <row r="1734" spans="1:2" x14ac:dyDescent="0.2">
      <c r="A1734" s="649" t="s">
        <v>8158</v>
      </c>
      <c r="B1734" s="725" t="s">
        <v>8157</v>
      </c>
    </row>
    <row r="1735" spans="1:2" x14ac:dyDescent="0.2">
      <c r="A1735" s="649" t="s">
        <v>8160</v>
      </c>
      <c r="B1735" s="725" t="s">
        <v>8159</v>
      </c>
    </row>
    <row r="1736" spans="1:2" x14ac:dyDescent="0.2">
      <c r="A1736" s="649" t="s">
        <v>1330</v>
      </c>
      <c r="B1736" s="725" t="s">
        <v>1329</v>
      </c>
    </row>
    <row r="1737" spans="1:2" x14ac:dyDescent="0.2">
      <c r="A1737" s="649" t="s">
        <v>3609</v>
      </c>
      <c r="B1737" s="725" t="s">
        <v>3608</v>
      </c>
    </row>
    <row r="1738" spans="1:2" x14ac:dyDescent="0.2">
      <c r="A1738" s="649" t="s">
        <v>4093</v>
      </c>
      <c r="B1738" s="725" t="s">
        <v>4092</v>
      </c>
    </row>
    <row r="1739" spans="1:2" x14ac:dyDescent="0.2">
      <c r="A1739" s="649" t="s">
        <v>7914</v>
      </c>
      <c r="B1739" s="725" t="s">
        <v>7913</v>
      </c>
    </row>
    <row r="1740" spans="1:2" x14ac:dyDescent="0.2">
      <c r="A1740" s="649" t="s">
        <v>5019</v>
      </c>
      <c r="B1740" s="725" t="s">
        <v>5018</v>
      </c>
    </row>
    <row r="1741" spans="1:2" x14ac:dyDescent="0.2">
      <c r="A1741" s="649" t="s">
        <v>7800</v>
      </c>
      <c r="B1741" s="725" t="s">
        <v>7799</v>
      </c>
    </row>
    <row r="1742" spans="1:2" x14ac:dyDescent="0.2">
      <c r="A1742" s="649" t="s">
        <v>906</v>
      </c>
      <c r="B1742" s="725" t="s">
        <v>905</v>
      </c>
    </row>
    <row r="1743" spans="1:2" x14ac:dyDescent="0.2">
      <c r="A1743" s="649" t="s">
        <v>1901</v>
      </c>
      <c r="B1743" s="725" t="s">
        <v>1900</v>
      </c>
    </row>
    <row r="1744" spans="1:2" x14ac:dyDescent="0.2">
      <c r="A1744" s="649" t="s">
        <v>4195</v>
      </c>
      <c r="B1744" s="725" t="s">
        <v>4194</v>
      </c>
    </row>
    <row r="1745" spans="1:2" x14ac:dyDescent="0.2">
      <c r="A1745" s="649" t="s">
        <v>5233</v>
      </c>
      <c r="B1745" s="725" t="s">
        <v>5232</v>
      </c>
    </row>
    <row r="1746" spans="1:2" x14ac:dyDescent="0.2">
      <c r="A1746" s="649" t="s">
        <v>2483</v>
      </c>
      <c r="B1746" s="725" t="s">
        <v>2482</v>
      </c>
    </row>
    <row r="1747" spans="1:2" x14ac:dyDescent="0.2">
      <c r="A1747" s="649" t="s">
        <v>7178</v>
      </c>
      <c r="B1747" s="725" t="s">
        <v>7177</v>
      </c>
    </row>
    <row r="1748" spans="1:2" x14ac:dyDescent="0.2">
      <c r="A1748" s="649" t="s">
        <v>7916</v>
      </c>
      <c r="B1748" s="725" t="s">
        <v>7915</v>
      </c>
    </row>
    <row r="1749" spans="1:2" x14ac:dyDescent="0.2">
      <c r="A1749" s="649" t="s">
        <v>2867</v>
      </c>
      <c r="B1749" s="725" t="s">
        <v>2866</v>
      </c>
    </row>
    <row r="1750" spans="1:2" x14ac:dyDescent="0.2">
      <c r="A1750" s="649" t="s">
        <v>8056</v>
      </c>
      <c r="B1750" s="725" t="s">
        <v>8055</v>
      </c>
    </row>
    <row r="1751" spans="1:2" x14ac:dyDescent="0.2">
      <c r="A1751" s="649" t="s">
        <v>5085</v>
      </c>
      <c r="B1751" s="725" t="s">
        <v>5084</v>
      </c>
    </row>
    <row r="1752" spans="1:2" x14ac:dyDescent="0.2">
      <c r="A1752" s="649" t="s">
        <v>6348</v>
      </c>
      <c r="B1752" s="725" t="s">
        <v>6347</v>
      </c>
    </row>
    <row r="1753" spans="1:2" x14ac:dyDescent="0.2">
      <c r="A1753" s="649" t="s">
        <v>7094</v>
      </c>
      <c r="B1753" s="725" t="s">
        <v>7093</v>
      </c>
    </row>
    <row r="1754" spans="1:2" x14ac:dyDescent="0.2">
      <c r="A1754" s="649" t="s">
        <v>2485</v>
      </c>
      <c r="B1754" s="725" t="s">
        <v>2484</v>
      </c>
    </row>
    <row r="1755" spans="1:2" x14ac:dyDescent="0.2">
      <c r="A1755" s="649" t="s">
        <v>3727</v>
      </c>
      <c r="B1755" s="725" t="s">
        <v>3726</v>
      </c>
    </row>
    <row r="1756" spans="1:2" x14ac:dyDescent="0.2">
      <c r="A1756" s="649" t="s">
        <v>1040</v>
      </c>
      <c r="B1756" s="725" t="s">
        <v>1039</v>
      </c>
    </row>
    <row r="1757" spans="1:2" x14ac:dyDescent="0.2">
      <c r="A1757" s="649" t="s">
        <v>4131</v>
      </c>
      <c r="B1757" s="725" t="s">
        <v>4130</v>
      </c>
    </row>
    <row r="1758" spans="1:2" x14ac:dyDescent="0.2">
      <c r="A1758" s="649" t="s">
        <v>6434</v>
      </c>
      <c r="B1758" s="725" t="s">
        <v>6433</v>
      </c>
    </row>
    <row r="1759" spans="1:2" x14ac:dyDescent="0.2">
      <c r="A1759" s="649" t="s">
        <v>5007</v>
      </c>
      <c r="B1759" s="725" t="s">
        <v>5006</v>
      </c>
    </row>
    <row r="1760" spans="1:2" x14ac:dyDescent="0.2">
      <c r="A1760" s="649" t="s">
        <v>5161</v>
      </c>
      <c r="B1760" s="725" t="s">
        <v>5160</v>
      </c>
    </row>
    <row r="1761" spans="1:2" x14ac:dyDescent="0.2">
      <c r="A1761" s="649" t="s">
        <v>5163</v>
      </c>
      <c r="B1761" s="725" t="s">
        <v>5162</v>
      </c>
    </row>
    <row r="1762" spans="1:2" x14ac:dyDescent="0.2">
      <c r="A1762" s="649" t="s">
        <v>7054</v>
      </c>
      <c r="B1762" s="725" t="s">
        <v>7053</v>
      </c>
    </row>
    <row r="1763" spans="1:2" x14ac:dyDescent="0.2">
      <c r="A1763" s="649" t="s">
        <v>7270</v>
      </c>
      <c r="B1763" s="725" t="s">
        <v>7269</v>
      </c>
    </row>
    <row r="1764" spans="1:2" x14ac:dyDescent="0.2">
      <c r="A1764" s="649" t="s">
        <v>5902</v>
      </c>
      <c r="B1764" s="725" t="s">
        <v>5901</v>
      </c>
    </row>
    <row r="1765" spans="1:2" x14ac:dyDescent="0.2">
      <c r="A1765" s="649" t="s">
        <v>2869</v>
      </c>
      <c r="B1765" s="725" t="s">
        <v>2868</v>
      </c>
    </row>
    <row r="1766" spans="1:2" x14ac:dyDescent="0.2">
      <c r="A1766" s="649" t="s">
        <v>2869</v>
      </c>
      <c r="B1766" s="725" t="s">
        <v>2868</v>
      </c>
    </row>
    <row r="1767" spans="1:2" x14ac:dyDescent="0.2">
      <c r="A1767" s="649" t="s">
        <v>7978</v>
      </c>
      <c r="B1767" s="725" t="s">
        <v>7977</v>
      </c>
    </row>
    <row r="1768" spans="1:2" x14ac:dyDescent="0.2">
      <c r="A1768" s="649" t="s">
        <v>8324</v>
      </c>
      <c r="B1768" s="725" t="s">
        <v>8323</v>
      </c>
    </row>
    <row r="1769" spans="1:2" x14ac:dyDescent="0.2">
      <c r="A1769" s="649" t="s">
        <v>944</v>
      </c>
      <c r="B1769" s="725" t="s">
        <v>943</v>
      </c>
    </row>
    <row r="1770" spans="1:2" x14ac:dyDescent="0.2">
      <c r="A1770" s="649" t="s">
        <v>6994</v>
      </c>
      <c r="B1770" s="725" t="s">
        <v>6993</v>
      </c>
    </row>
    <row r="1771" spans="1:2" x14ac:dyDescent="0.2">
      <c r="A1771" s="649" t="s">
        <v>2205</v>
      </c>
      <c r="B1771" s="725" t="s">
        <v>2204</v>
      </c>
    </row>
    <row r="1772" spans="1:2" x14ac:dyDescent="0.2">
      <c r="A1772" s="649" t="s">
        <v>4281</v>
      </c>
      <c r="B1772" s="725" t="s">
        <v>4280</v>
      </c>
    </row>
    <row r="1773" spans="1:2" x14ac:dyDescent="0.2">
      <c r="A1773" s="649" t="s">
        <v>514</v>
      </c>
      <c r="B1773" s="725" t="s">
        <v>513</v>
      </c>
    </row>
    <row r="1774" spans="1:2" x14ac:dyDescent="0.2">
      <c r="A1774" s="649" t="s">
        <v>2871</v>
      </c>
      <c r="B1774" s="725" t="s">
        <v>2870</v>
      </c>
    </row>
    <row r="1775" spans="1:2" x14ac:dyDescent="0.2">
      <c r="A1775" s="649" t="s">
        <v>5165</v>
      </c>
      <c r="B1775" s="725" t="s">
        <v>5164</v>
      </c>
    </row>
    <row r="1776" spans="1:2" x14ac:dyDescent="0.2">
      <c r="A1776" s="649" t="s">
        <v>6690</v>
      </c>
      <c r="B1776" s="725" t="s">
        <v>6689</v>
      </c>
    </row>
    <row r="1777" spans="1:2" x14ac:dyDescent="0.2">
      <c r="A1777" s="649" t="s">
        <v>8326</v>
      </c>
      <c r="B1777" s="725" t="s">
        <v>8325</v>
      </c>
    </row>
    <row r="1778" spans="1:2" x14ac:dyDescent="0.2">
      <c r="A1778" s="649" t="s">
        <v>5904</v>
      </c>
      <c r="B1778" s="725" t="s">
        <v>5903</v>
      </c>
    </row>
    <row r="1779" spans="1:2" x14ac:dyDescent="0.2">
      <c r="A1779" s="649" t="s">
        <v>5087</v>
      </c>
      <c r="B1779" s="725" t="s">
        <v>5086</v>
      </c>
    </row>
    <row r="1780" spans="1:2" x14ac:dyDescent="0.2">
      <c r="A1780" s="649" t="s">
        <v>5373</v>
      </c>
      <c r="B1780" s="725" t="s">
        <v>5372</v>
      </c>
    </row>
    <row r="1781" spans="1:2" x14ac:dyDescent="0.2">
      <c r="A1781" s="649" t="s">
        <v>5423</v>
      </c>
      <c r="B1781" s="725" t="s">
        <v>5422</v>
      </c>
    </row>
    <row r="1782" spans="1:2" x14ac:dyDescent="0.2">
      <c r="A1782" s="649" t="s">
        <v>5489</v>
      </c>
      <c r="B1782" s="725" t="s">
        <v>5488</v>
      </c>
    </row>
    <row r="1783" spans="1:2" x14ac:dyDescent="0.2">
      <c r="A1783" s="649" t="s">
        <v>2873</v>
      </c>
      <c r="B1783" s="725" t="s">
        <v>2872</v>
      </c>
    </row>
    <row r="1784" spans="1:2" x14ac:dyDescent="0.2">
      <c r="A1784" s="649" t="s">
        <v>924</v>
      </c>
      <c r="B1784" s="725" t="s">
        <v>923</v>
      </c>
    </row>
    <row r="1785" spans="1:2" x14ac:dyDescent="0.2">
      <c r="A1785" s="649" t="s">
        <v>4283</v>
      </c>
      <c r="B1785" s="725" t="s">
        <v>4282</v>
      </c>
    </row>
    <row r="1786" spans="1:2" x14ac:dyDescent="0.2">
      <c r="A1786" s="649" t="s">
        <v>4495</v>
      </c>
      <c r="B1786" s="725" t="s">
        <v>4494</v>
      </c>
    </row>
    <row r="1787" spans="1:2" x14ac:dyDescent="0.2">
      <c r="A1787" s="649" t="s">
        <v>2129</v>
      </c>
      <c r="B1787" s="725" t="s">
        <v>2128</v>
      </c>
    </row>
    <row r="1788" spans="1:2" x14ac:dyDescent="0.2">
      <c r="A1788" s="649" t="s">
        <v>1042</v>
      </c>
      <c r="B1788" s="725" t="s">
        <v>1041</v>
      </c>
    </row>
    <row r="1789" spans="1:2" x14ac:dyDescent="0.2">
      <c r="A1789" s="649" t="s">
        <v>700</v>
      </c>
      <c r="B1789" s="725" t="s">
        <v>699</v>
      </c>
    </row>
    <row r="1790" spans="1:2" x14ac:dyDescent="0.2">
      <c r="A1790" s="649" t="s">
        <v>443</v>
      </c>
      <c r="B1790" s="725" t="s">
        <v>442</v>
      </c>
    </row>
    <row r="1791" spans="1:2" x14ac:dyDescent="0.2">
      <c r="A1791" s="649" t="s">
        <v>5375</v>
      </c>
      <c r="B1791" s="725" t="s">
        <v>5374</v>
      </c>
    </row>
    <row r="1792" spans="1:2" x14ac:dyDescent="0.2">
      <c r="A1792" s="649" t="s">
        <v>1410</v>
      </c>
      <c r="B1792" s="725" t="s">
        <v>1409</v>
      </c>
    </row>
    <row r="1793" spans="1:2" x14ac:dyDescent="0.2">
      <c r="A1793" s="649" t="s">
        <v>5906</v>
      </c>
      <c r="B1793" s="725" t="s">
        <v>5905</v>
      </c>
    </row>
    <row r="1794" spans="1:2" x14ac:dyDescent="0.2">
      <c r="A1794" s="649" t="s">
        <v>6836</v>
      </c>
      <c r="B1794" s="725" t="s">
        <v>6835</v>
      </c>
    </row>
    <row r="1795" spans="1:2" x14ac:dyDescent="0.2">
      <c r="A1795" s="649" t="s">
        <v>6838</v>
      </c>
      <c r="B1795" s="725" t="s">
        <v>6837</v>
      </c>
    </row>
    <row r="1796" spans="1:2" x14ac:dyDescent="0.2">
      <c r="A1796" s="649" t="s">
        <v>1420</v>
      </c>
      <c r="B1796" s="725" t="s">
        <v>1419</v>
      </c>
    </row>
    <row r="1797" spans="1:2" x14ac:dyDescent="0.2">
      <c r="A1797" s="649" t="s">
        <v>7496</v>
      </c>
      <c r="B1797" s="725" t="s">
        <v>7495</v>
      </c>
    </row>
    <row r="1798" spans="1:2" x14ac:dyDescent="0.2">
      <c r="A1798" s="649" t="s">
        <v>4965</v>
      </c>
      <c r="B1798" s="725" t="s">
        <v>4964</v>
      </c>
    </row>
    <row r="1799" spans="1:2" x14ac:dyDescent="0.2">
      <c r="A1799" s="649" t="s">
        <v>4285</v>
      </c>
      <c r="B1799" s="725" t="s">
        <v>4284</v>
      </c>
    </row>
    <row r="1800" spans="1:2" x14ac:dyDescent="0.2">
      <c r="A1800" s="649" t="s">
        <v>7390</v>
      </c>
      <c r="B1800" s="725" t="s">
        <v>7389</v>
      </c>
    </row>
    <row r="1801" spans="1:2" x14ac:dyDescent="0.2">
      <c r="A1801" s="649" t="s">
        <v>5908</v>
      </c>
      <c r="B1801" s="725" t="s">
        <v>5907</v>
      </c>
    </row>
    <row r="1802" spans="1:2" x14ac:dyDescent="0.2">
      <c r="A1802" s="649" t="s">
        <v>908</v>
      </c>
      <c r="B1802" s="725" t="s">
        <v>907</v>
      </c>
    </row>
    <row r="1803" spans="1:2" x14ac:dyDescent="0.2">
      <c r="A1803" s="649" t="s">
        <v>7732</v>
      </c>
      <c r="B1803" s="725" t="s">
        <v>7731</v>
      </c>
    </row>
    <row r="1804" spans="1:2" x14ac:dyDescent="0.2">
      <c r="A1804" s="649" t="s">
        <v>3803</v>
      </c>
      <c r="B1804" s="725" t="s">
        <v>3802</v>
      </c>
    </row>
    <row r="1805" spans="1:2" x14ac:dyDescent="0.2">
      <c r="A1805" s="649" t="s">
        <v>5425</v>
      </c>
      <c r="B1805" s="725" t="s">
        <v>5424</v>
      </c>
    </row>
    <row r="1806" spans="1:2" x14ac:dyDescent="0.2">
      <c r="A1806" s="649" t="s">
        <v>516</v>
      </c>
      <c r="B1806" s="725" t="s">
        <v>515</v>
      </c>
    </row>
    <row r="1807" spans="1:2" x14ac:dyDescent="0.2">
      <c r="A1807" s="649" t="s">
        <v>6392</v>
      </c>
      <c r="B1807" s="725" t="s">
        <v>6391</v>
      </c>
    </row>
    <row r="1808" spans="1:2" x14ac:dyDescent="0.2">
      <c r="A1808" s="649" t="s">
        <v>6392</v>
      </c>
      <c r="B1808" s="725" t="s">
        <v>10377</v>
      </c>
    </row>
    <row r="1809" spans="1:2" x14ac:dyDescent="0.2">
      <c r="A1809" s="649" t="s">
        <v>6392</v>
      </c>
      <c r="B1809" s="725" t="s">
        <v>10378</v>
      </c>
    </row>
    <row r="1810" spans="1:2" x14ac:dyDescent="0.2">
      <c r="A1810" s="649" t="s">
        <v>7734</v>
      </c>
      <c r="B1810" s="725" t="s">
        <v>7733</v>
      </c>
    </row>
    <row r="1811" spans="1:2" x14ac:dyDescent="0.2">
      <c r="A1811" s="649" t="s">
        <v>518</v>
      </c>
      <c r="B1811" s="725" t="s">
        <v>517</v>
      </c>
    </row>
    <row r="1812" spans="1:2" x14ac:dyDescent="0.2">
      <c r="A1812" s="649" t="s">
        <v>327</v>
      </c>
      <c r="B1812" s="725" t="s">
        <v>326</v>
      </c>
    </row>
    <row r="1813" spans="1:2" x14ac:dyDescent="0.2">
      <c r="A1813" s="649" t="s">
        <v>4559</v>
      </c>
      <c r="B1813" s="725" t="s">
        <v>4558</v>
      </c>
    </row>
    <row r="1814" spans="1:2" x14ac:dyDescent="0.2">
      <c r="A1814" s="649" t="s">
        <v>520</v>
      </c>
      <c r="B1814" s="725" t="s">
        <v>519</v>
      </c>
    </row>
    <row r="1815" spans="1:2" x14ac:dyDescent="0.2">
      <c r="A1815" s="649" t="s">
        <v>5427</v>
      </c>
      <c r="B1815" s="725" t="s">
        <v>5426</v>
      </c>
    </row>
    <row r="1816" spans="1:2" x14ac:dyDescent="0.2">
      <c r="A1816" s="649" t="s">
        <v>522</v>
      </c>
      <c r="B1816" s="725" t="s">
        <v>521</v>
      </c>
    </row>
    <row r="1817" spans="1:2" x14ac:dyDescent="0.2">
      <c r="A1817" s="649" t="s">
        <v>524</v>
      </c>
      <c r="B1817" s="725" t="s">
        <v>523</v>
      </c>
    </row>
    <row r="1818" spans="1:2" x14ac:dyDescent="0.2">
      <c r="A1818" s="649" t="s">
        <v>526</v>
      </c>
      <c r="B1818" s="725" t="s">
        <v>525</v>
      </c>
    </row>
    <row r="1819" spans="1:2" x14ac:dyDescent="0.2">
      <c r="A1819" s="649" t="s">
        <v>2875</v>
      </c>
      <c r="B1819" s="725" t="s">
        <v>2874</v>
      </c>
    </row>
    <row r="1820" spans="1:2" x14ac:dyDescent="0.2">
      <c r="A1820" s="649" t="s">
        <v>1769</v>
      </c>
      <c r="B1820" s="725" t="s">
        <v>1768</v>
      </c>
    </row>
    <row r="1821" spans="1:2" x14ac:dyDescent="0.2">
      <c r="A1821" s="649" t="s">
        <v>528</v>
      </c>
      <c r="B1821" s="725" t="s">
        <v>527</v>
      </c>
    </row>
    <row r="1822" spans="1:2" x14ac:dyDescent="0.2">
      <c r="A1822" s="649" t="s">
        <v>5910</v>
      </c>
      <c r="B1822" s="725" t="s">
        <v>5909</v>
      </c>
    </row>
    <row r="1823" spans="1:2" x14ac:dyDescent="0.2">
      <c r="A1823" s="649" t="s">
        <v>7498</v>
      </c>
      <c r="B1823" s="725" t="s">
        <v>7497</v>
      </c>
    </row>
    <row r="1824" spans="1:2" x14ac:dyDescent="0.2">
      <c r="A1824" s="649" t="s">
        <v>7096</v>
      </c>
      <c r="B1824" s="725" t="s">
        <v>7095</v>
      </c>
    </row>
    <row r="1825" spans="1:2" x14ac:dyDescent="0.2">
      <c r="A1825" s="649" t="s">
        <v>5523</v>
      </c>
      <c r="B1825" s="725" t="s">
        <v>5522</v>
      </c>
    </row>
    <row r="1826" spans="1:2" x14ac:dyDescent="0.2">
      <c r="A1826" s="649" t="s">
        <v>2877</v>
      </c>
      <c r="B1826" s="725" t="s">
        <v>2876</v>
      </c>
    </row>
    <row r="1827" spans="1:2" x14ac:dyDescent="0.2">
      <c r="A1827" s="649" t="s">
        <v>8058</v>
      </c>
      <c r="B1827" s="725" t="s">
        <v>8057</v>
      </c>
    </row>
    <row r="1828" spans="1:2" x14ac:dyDescent="0.2">
      <c r="A1828" s="649" t="s">
        <v>7736</v>
      </c>
      <c r="B1828" s="725" t="s">
        <v>7735</v>
      </c>
    </row>
    <row r="1829" spans="1:2" x14ac:dyDescent="0.2">
      <c r="A1829" s="649" t="s">
        <v>5111</v>
      </c>
      <c r="B1829" s="725" t="s">
        <v>5110</v>
      </c>
    </row>
    <row r="1830" spans="1:2" x14ac:dyDescent="0.2">
      <c r="A1830" s="649" t="s">
        <v>5049</v>
      </c>
      <c r="B1830" s="725" t="s">
        <v>5048</v>
      </c>
    </row>
    <row r="1831" spans="1:2" x14ac:dyDescent="0.2">
      <c r="A1831" s="649" t="s">
        <v>2131</v>
      </c>
      <c r="B1831" s="725" t="s">
        <v>2130</v>
      </c>
    </row>
    <row r="1832" spans="1:2" x14ac:dyDescent="0.2">
      <c r="A1832" s="649" t="s">
        <v>3585</v>
      </c>
      <c r="B1832" s="725" t="s">
        <v>3584</v>
      </c>
    </row>
    <row r="1833" spans="1:2" x14ac:dyDescent="0.2">
      <c r="A1833" s="649" t="s">
        <v>5265</v>
      </c>
      <c r="B1833" s="725" t="s">
        <v>5264</v>
      </c>
    </row>
    <row r="1834" spans="1:2" x14ac:dyDescent="0.2">
      <c r="A1834" s="649" t="s">
        <v>5267</v>
      </c>
      <c r="B1834" s="725" t="s">
        <v>5266</v>
      </c>
    </row>
    <row r="1835" spans="1:2" x14ac:dyDescent="0.2">
      <c r="A1835" s="649" t="s">
        <v>926</v>
      </c>
      <c r="B1835" s="725" t="s">
        <v>925</v>
      </c>
    </row>
    <row r="1836" spans="1:2" x14ac:dyDescent="0.2">
      <c r="A1836" s="649" t="s">
        <v>2879</v>
      </c>
      <c r="B1836" s="725" t="s">
        <v>2878</v>
      </c>
    </row>
    <row r="1837" spans="1:2" x14ac:dyDescent="0.2">
      <c r="A1837" s="649" t="s">
        <v>5912</v>
      </c>
      <c r="B1837" s="725" t="s">
        <v>5911</v>
      </c>
    </row>
    <row r="1838" spans="1:2" x14ac:dyDescent="0.2">
      <c r="A1838" s="649" t="s">
        <v>6840</v>
      </c>
      <c r="B1838" s="725" t="s">
        <v>6839</v>
      </c>
    </row>
    <row r="1839" spans="1:2" x14ac:dyDescent="0.2">
      <c r="A1839" s="649" t="s">
        <v>5914</v>
      </c>
      <c r="B1839" s="725" t="s">
        <v>5913</v>
      </c>
    </row>
    <row r="1840" spans="1:2" x14ac:dyDescent="0.2">
      <c r="A1840" s="649" t="s">
        <v>7272</v>
      </c>
      <c r="B1840" s="725" t="s">
        <v>7271</v>
      </c>
    </row>
    <row r="1841" spans="1:2" x14ac:dyDescent="0.2">
      <c r="A1841" s="649" t="s">
        <v>2133</v>
      </c>
      <c r="B1841" s="725" t="s">
        <v>2132</v>
      </c>
    </row>
    <row r="1842" spans="1:2" x14ac:dyDescent="0.2">
      <c r="A1842" s="649" t="s">
        <v>6996</v>
      </c>
      <c r="B1842" s="725" t="s">
        <v>6995</v>
      </c>
    </row>
    <row r="1843" spans="1:2" x14ac:dyDescent="0.2">
      <c r="A1843" s="649" t="s">
        <v>6464</v>
      </c>
      <c r="B1843" s="725" t="s">
        <v>6463</v>
      </c>
    </row>
    <row r="1844" spans="1:2" x14ac:dyDescent="0.2">
      <c r="A1844" s="649" t="s">
        <v>4967</v>
      </c>
      <c r="B1844" s="725" t="s">
        <v>4966</v>
      </c>
    </row>
    <row r="1845" spans="1:2" x14ac:dyDescent="0.2">
      <c r="A1845" s="649" t="s">
        <v>2487</v>
      </c>
      <c r="B1845" s="725" t="s">
        <v>2486</v>
      </c>
    </row>
    <row r="1846" spans="1:2" x14ac:dyDescent="0.2">
      <c r="A1846" s="649" t="s">
        <v>7644</v>
      </c>
      <c r="B1846" s="725" t="s">
        <v>7643</v>
      </c>
    </row>
    <row r="1847" spans="1:2" x14ac:dyDescent="0.2">
      <c r="A1847" s="649" t="s">
        <v>8060</v>
      </c>
      <c r="B1847" s="725" t="s">
        <v>8059</v>
      </c>
    </row>
    <row r="1848" spans="1:2" x14ac:dyDescent="0.2">
      <c r="A1848" s="649" t="s">
        <v>5916</v>
      </c>
      <c r="B1848" s="725" t="s">
        <v>5915</v>
      </c>
    </row>
    <row r="1849" spans="1:2" x14ac:dyDescent="0.2">
      <c r="A1849" s="649" t="s">
        <v>5429</v>
      </c>
      <c r="B1849" s="725" t="s">
        <v>5428</v>
      </c>
    </row>
    <row r="1850" spans="1:2" x14ac:dyDescent="0.2">
      <c r="A1850" s="649" t="s">
        <v>5431</v>
      </c>
      <c r="B1850" s="725" t="s">
        <v>5430</v>
      </c>
    </row>
    <row r="1851" spans="1:2" x14ac:dyDescent="0.2">
      <c r="A1851" s="649" t="s">
        <v>6842</v>
      </c>
      <c r="B1851" s="725" t="s">
        <v>6841</v>
      </c>
    </row>
    <row r="1852" spans="1:2" x14ac:dyDescent="0.2">
      <c r="A1852" s="649" t="s">
        <v>5918</v>
      </c>
      <c r="B1852" s="725" t="s">
        <v>5917</v>
      </c>
    </row>
    <row r="1853" spans="1:2" x14ac:dyDescent="0.2">
      <c r="A1853" s="649" t="s">
        <v>4763</v>
      </c>
      <c r="B1853" s="725" t="s">
        <v>4762</v>
      </c>
    </row>
    <row r="1854" spans="1:2" x14ac:dyDescent="0.2">
      <c r="A1854" s="649" t="s">
        <v>4561</v>
      </c>
      <c r="B1854" s="725" t="s">
        <v>4560</v>
      </c>
    </row>
    <row r="1855" spans="1:2" x14ac:dyDescent="0.2">
      <c r="A1855" s="649" t="s">
        <v>3955</v>
      </c>
      <c r="B1855" s="725" t="s">
        <v>3954</v>
      </c>
    </row>
    <row r="1856" spans="1:2" x14ac:dyDescent="0.2">
      <c r="A1856" s="649" t="s">
        <v>4677</v>
      </c>
      <c r="B1856" s="725" t="s">
        <v>4676</v>
      </c>
    </row>
    <row r="1857" spans="1:2" x14ac:dyDescent="0.2">
      <c r="A1857" s="649" t="s">
        <v>6360</v>
      </c>
      <c r="B1857" s="725" t="s">
        <v>6359</v>
      </c>
    </row>
    <row r="1858" spans="1:2" x14ac:dyDescent="0.2">
      <c r="A1858" s="649" t="s">
        <v>5920</v>
      </c>
      <c r="B1858" s="725" t="s">
        <v>5919</v>
      </c>
    </row>
    <row r="1859" spans="1:2" x14ac:dyDescent="0.2">
      <c r="A1859" s="649" t="s">
        <v>4287</v>
      </c>
      <c r="B1859" s="725" t="s">
        <v>4286</v>
      </c>
    </row>
    <row r="1860" spans="1:2" x14ac:dyDescent="0.2">
      <c r="A1860" s="649" t="s">
        <v>5922</v>
      </c>
      <c r="B1860" s="725" t="s">
        <v>5921</v>
      </c>
    </row>
    <row r="1861" spans="1:2" x14ac:dyDescent="0.2">
      <c r="A1861" s="649" t="s">
        <v>6998</v>
      </c>
      <c r="B1861" s="725" t="s">
        <v>6997</v>
      </c>
    </row>
    <row r="1862" spans="1:2" x14ac:dyDescent="0.2">
      <c r="A1862" s="649" t="s">
        <v>5377</v>
      </c>
      <c r="B1862" s="725" t="s">
        <v>5376</v>
      </c>
    </row>
    <row r="1863" spans="1:2" x14ac:dyDescent="0.2">
      <c r="A1863" s="649" t="s">
        <v>5269</v>
      </c>
      <c r="B1863" s="725" t="s">
        <v>5268</v>
      </c>
    </row>
    <row r="1864" spans="1:2" x14ac:dyDescent="0.2">
      <c r="A1864" s="649" t="s">
        <v>2881</v>
      </c>
      <c r="B1864" s="725" t="s">
        <v>2880</v>
      </c>
    </row>
    <row r="1865" spans="1:2" x14ac:dyDescent="0.2">
      <c r="A1865" s="649" t="s">
        <v>2883</v>
      </c>
      <c r="B1865" s="725" t="s">
        <v>2882</v>
      </c>
    </row>
    <row r="1866" spans="1:2" x14ac:dyDescent="0.2">
      <c r="A1866" s="649" t="s">
        <v>2885</v>
      </c>
      <c r="B1866" s="725" t="s">
        <v>2884</v>
      </c>
    </row>
    <row r="1867" spans="1:2" x14ac:dyDescent="0.2">
      <c r="A1867" s="649" t="s">
        <v>5924</v>
      </c>
      <c r="B1867" s="725" t="s">
        <v>5923</v>
      </c>
    </row>
    <row r="1868" spans="1:2" x14ac:dyDescent="0.2">
      <c r="A1868" s="649" t="s">
        <v>590</v>
      </c>
      <c r="B1868" s="725" t="s">
        <v>589</v>
      </c>
    </row>
    <row r="1869" spans="1:2" x14ac:dyDescent="0.2">
      <c r="A1869" s="649" t="s">
        <v>311</v>
      </c>
      <c r="B1869" s="725" t="s">
        <v>310</v>
      </c>
    </row>
    <row r="1870" spans="1:2" x14ac:dyDescent="0.2">
      <c r="A1870" s="649" t="s">
        <v>4421</v>
      </c>
      <c r="B1870" s="725" t="s">
        <v>4420</v>
      </c>
    </row>
    <row r="1871" spans="1:2" x14ac:dyDescent="0.2">
      <c r="A1871" s="649" t="s">
        <v>1690</v>
      </c>
      <c r="B1871" s="725" t="s">
        <v>1689</v>
      </c>
    </row>
    <row r="1872" spans="1:2" x14ac:dyDescent="0.2">
      <c r="A1872" s="649" t="s">
        <v>1849</v>
      </c>
      <c r="B1872" s="725" t="s">
        <v>1848</v>
      </c>
    </row>
    <row r="1873" spans="1:2" x14ac:dyDescent="0.2">
      <c r="A1873" s="649" t="s">
        <v>702</v>
      </c>
      <c r="B1873" s="725" t="s">
        <v>701</v>
      </c>
    </row>
    <row r="1874" spans="1:2" x14ac:dyDescent="0.2">
      <c r="A1874" s="649" t="s">
        <v>3733</v>
      </c>
      <c r="B1874" s="725" t="s">
        <v>3732</v>
      </c>
    </row>
    <row r="1875" spans="1:2" x14ac:dyDescent="0.2">
      <c r="A1875" s="649" t="s">
        <v>6844</v>
      </c>
      <c r="B1875" s="725" t="s">
        <v>6843</v>
      </c>
    </row>
    <row r="1876" spans="1:2" x14ac:dyDescent="0.2">
      <c r="A1876" s="649" t="s">
        <v>8078</v>
      </c>
      <c r="B1876" s="725" t="s">
        <v>8077</v>
      </c>
    </row>
    <row r="1877" spans="1:2" x14ac:dyDescent="0.2">
      <c r="A1877" s="649" t="s">
        <v>4289</v>
      </c>
      <c r="B1877" s="725" t="s">
        <v>4288</v>
      </c>
    </row>
    <row r="1878" spans="1:2" x14ac:dyDescent="0.2">
      <c r="A1878" s="649" t="s">
        <v>7500</v>
      </c>
      <c r="B1878" s="725" t="s">
        <v>7499</v>
      </c>
    </row>
    <row r="1879" spans="1:2" x14ac:dyDescent="0.2">
      <c r="A1879" s="649" t="s">
        <v>3587</v>
      </c>
      <c r="B1879" s="725" t="s">
        <v>3586</v>
      </c>
    </row>
    <row r="1880" spans="1:2" x14ac:dyDescent="0.2">
      <c r="A1880" s="649" t="s">
        <v>8244</v>
      </c>
      <c r="B1880" s="725" t="s">
        <v>8243</v>
      </c>
    </row>
    <row r="1881" spans="1:2" x14ac:dyDescent="0.2">
      <c r="A1881" s="649" t="s">
        <v>6846</v>
      </c>
      <c r="B1881" s="725" t="s">
        <v>6845</v>
      </c>
    </row>
    <row r="1882" spans="1:2" x14ac:dyDescent="0.2">
      <c r="A1882" s="649" t="s">
        <v>5433</v>
      </c>
      <c r="B1882" s="725" t="s">
        <v>5432</v>
      </c>
    </row>
    <row r="1883" spans="1:2" x14ac:dyDescent="0.2">
      <c r="A1883" s="649" t="s">
        <v>5926</v>
      </c>
      <c r="B1883" s="725" t="s">
        <v>5925</v>
      </c>
    </row>
    <row r="1884" spans="1:2" x14ac:dyDescent="0.2">
      <c r="A1884" s="649" t="s">
        <v>2313</v>
      </c>
      <c r="B1884" s="725" t="s">
        <v>2312</v>
      </c>
    </row>
    <row r="1885" spans="1:2" x14ac:dyDescent="0.2">
      <c r="A1885" s="649" t="s">
        <v>7738</v>
      </c>
      <c r="B1885" s="725" t="s">
        <v>7737</v>
      </c>
    </row>
    <row r="1886" spans="1:2" x14ac:dyDescent="0.2">
      <c r="A1886" s="649" t="s">
        <v>1044</v>
      </c>
      <c r="B1886" s="725" t="s">
        <v>1043</v>
      </c>
    </row>
    <row r="1887" spans="1:2" x14ac:dyDescent="0.2">
      <c r="A1887" s="649" t="s">
        <v>3479</v>
      </c>
      <c r="B1887" s="725" t="s">
        <v>3478</v>
      </c>
    </row>
    <row r="1888" spans="1:2" x14ac:dyDescent="0.2">
      <c r="A1888" s="649" t="s">
        <v>4337</v>
      </c>
      <c r="B1888" s="725" t="s">
        <v>4336</v>
      </c>
    </row>
    <row r="1889" spans="1:2" x14ac:dyDescent="0.2">
      <c r="A1889" s="649" t="s">
        <v>1046</v>
      </c>
      <c r="B1889" s="725" t="s">
        <v>1045</v>
      </c>
    </row>
    <row r="1890" spans="1:2" x14ac:dyDescent="0.2">
      <c r="A1890" s="649" t="s">
        <v>6636</v>
      </c>
      <c r="B1890" s="725" t="s">
        <v>6635</v>
      </c>
    </row>
    <row r="1891" spans="1:2" x14ac:dyDescent="0.2">
      <c r="A1891" s="649" t="s">
        <v>4291</v>
      </c>
      <c r="B1891" s="725" t="s">
        <v>4290</v>
      </c>
    </row>
    <row r="1892" spans="1:2" x14ac:dyDescent="0.2">
      <c r="A1892" s="649" t="s">
        <v>5928</v>
      </c>
      <c r="B1892" s="725" t="s">
        <v>5927</v>
      </c>
    </row>
    <row r="1893" spans="1:2" x14ac:dyDescent="0.2">
      <c r="A1893" s="649" t="s">
        <v>1546</v>
      </c>
      <c r="B1893" s="725" t="s">
        <v>1545</v>
      </c>
    </row>
    <row r="1894" spans="1:2" x14ac:dyDescent="0.2">
      <c r="A1894" s="649" t="s">
        <v>7818</v>
      </c>
      <c r="B1894" s="725" t="s">
        <v>7817</v>
      </c>
    </row>
    <row r="1895" spans="1:2" x14ac:dyDescent="0.2">
      <c r="A1895" s="649" t="s">
        <v>5930</v>
      </c>
      <c r="B1895" s="725" t="s">
        <v>5929</v>
      </c>
    </row>
    <row r="1896" spans="1:2" x14ac:dyDescent="0.2">
      <c r="A1896" s="649" t="s">
        <v>2489</v>
      </c>
      <c r="B1896" s="725" t="s">
        <v>2488</v>
      </c>
    </row>
    <row r="1897" spans="1:2" x14ac:dyDescent="0.2">
      <c r="A1897" s="649" t="s">
        <v>6848</v>
      </c>
      <c r="B1897" s="725" t="s">
        <v>6847</v>
      </c>
    </row>
    <row r="1898" spans="1:2" x14ac:dyDescent="0.2">
      <c r="A1898" s="649" t="s">
        <v>3957</v>
      </c>
      <c r="B1898" s="725" t="s">
        <v>3956</v>
      </c>
    </row>
    <row r="1899" spans="1:2" x14ac:dyDescent="0.2">
      <c r="A1899" s="649" t="s">
        <v>6394</v>
      </c>
      <c r="B1899" s="725" t="s">
        <v>6393</v>
      </c>
    </row>
    <row r="1900" spans="1:2" x14ac:dyDescent="0.2">
      <c r="A1900" s="649" t="s">
        <v>6394</v>
      </c>
      <c r="B1900" s="725" t="s">
        <v>10379</v>
      </c>
    </row>
    <row r="1901" spans="1:2" x14ac:dyDescent="0.2">
      <c r="A1901" s="649" t="s">
        <v>6394</v>
      </c>
      <c r="B1901" s="725" t="s">
        <v>10380</v>
      </c>
    </row>
    <row r="1902" spans="1:2" x14ac:dyDescent="0.2">
      <c r="A1902" s="649" t="s">
        <v>2887</v>
      </c>
      <c r="B1902" s="725" t="s">
        <v>2886</v>
      </c>
    </row>
    <row r="1903" spans="1:2" x14ac:dyDescent="0.2">
      <c r="A1903" s="649" t="s">
        <v>2889</v>
      </c>
      <c r="B1903" s="725" t="s">
        <v>2888</v>
      </c>
    </row>
    <row r="1904" spans="1:2" x14ac:dyDescent="0.2">
      <c r="A1904" s="649" t="s">
        <v>5271</v>
      </c>
      <c r="B1904" s="725" t="s">
        <v>5270</v>
      </c>
    </row>
    <row r="1905" spans="1:2" x14ac:dyDescent="0.2">
      <c r="A1905" s="649" t="s">
        <v>3959</v>
      </c>
      <c r="B1905" s="725" t="s">
        <v>3958</v>
      </c>
    </row>
    <row r="1906" spans="1:2" x14ac:dyDescent="0.2">
      <c r="A1906" s="649" t="s">
        <v>6310</v>
      </c>
      <c r="B1906" s="725" t="s">
        <v>6309</v>
      </c>
    </row>
    <row r="1907" spans="1:2" x14ac:dyDescent="0.2">
      <c r="A1907" s="649" t="s">
        <v>2249</v>
      </c>
      <c r="B1907" s="725" t="s">
        <v>2248</v>
      </c>
    </row>
    <row r="1908" spans="1:2" x14ac:dyDescent="0.2">
      <c r="A1908" s="649" t="s">
        <v>704</v>
      </c>
      <c r="B1908" s="725" t="s">
        <v>703</v>
      </c>
    </row>
    <row r="1909" spans="1:2" x14ac:dyDescent="0.2">
      <c r="A1909" s="649" t="s">
        <v>5932</v>
      </c>
      <c r="B1909" s="725" t="s">
        <v>5931</v>
      </c>
    </row>
    <row r="1910" spans="1:2" x14ac:dyDescent="0.2">
      <c r="A1910" s="649" t="s">
        <v>7274</v>
      </c>
      <c r="B1910" s="725" t="s">
        <v>7273</v>
      </c>
    </row>
    <row r="1911" spans="1:2" x14ac:dyDescent="0.2">
      <c r="A1911" s="649" t="s">
        <v>4465</v>
      </c>
      <c r="B1911" s="725" t="s">
        <v>4464</v>
      </c>
    </row>
    <row r="1912" spans="1:2" x14ac:dyDescent="0.2">
      <c r="A1912" s="649" t="s">
        <v>1761</v>
      </c>
      <c r="B1912" s="725" t="s">
        <v>1760</v>
      </c>
    </row>
    <row r="1913" spans="1:2" x14ac:dyDescent="0.2">
      <c r="A1913" s="649" t="s">
        <v>5525</v>
      </c>
      <c r="B1913" s="725" t="s">
        <v>5524</v>
      </c>
    </row>
    <row r="1914" spans="1:2" x14ac:dyDescent="0.2">
      <c r="A1914" s="649" t="s">
        <v>5273</v>
      </c>
      <c r="B1914" s="725" t="s">
        <v>5272</v>
      </c>
    </row>
    <row r="1915" spans="1:2" x14ac:dyDescent="0.2">
      <c r="A1915" s="649" t="s">
        <v>910</v>
      </c>
      <c r="B1915" s="725" t="s">
        <v>909</v>
      </c>
    </row>
    <row r="1916" spans="1:2" x14ac:dyDescent="0.2">
      <c r="A1916" s="649" t="s">
        <v>1332</v>
      </c>
      <c r="B1916" s="725" t="s">
        <v>1331</v>
      </c>
    </row>
    <row r="1917" spans="1:2" x14ac:dyDescent="0.2">
      <c r="A1917" s="649" t="s">
        <v>1334</v>
      </c>
      <c r="B1917" s="725" t="s">
        <v>1333</v>
      </c>
    </row>
    <row r="1918" spans="1:2" x14ac:dyDescent="0.2">
      <c r="A1918" s="649" t="s">
        <v>1336</v>
      </c>
      <c r="B1918" s="725" t="s">
        <v>1335</v>
      </c>
    </row>
    <row r="1919" spans="1:2" x14ac:dyDescent="0.2">
      <c r="A1919" s="649" t="s">
        <v>2891</v>
      </c>
      <c r="B1919" s="725" t="s">
        <v>2890</v>
      </c>
    </row>
    <row r="1920" spans="1:2" x14ac:dyDescent="0.2">
      <c r="A1920" s="649" t="s">
        <v>2003</v>
      </c>
      <c r="B1920" s="725" t="s">
        <v>2002</v>
      </c>
    </row>
    <row r="1921" spans="1:2" x14ac:dyDescent="0.2">
      <c r="A1921" s="649" t="s">
        <v>4725</v>
      </c>
      <c r="B1921" s="725" t="s">
        <v>4724</v>
      </c>
    </row>
    <row r="1922" spans="1:2" x14ac:dyDescent="0.2">
      <c r="A1922" s="649" t="s">
        <v>706</v>
      </c>
      <c r="B1922" s="725" t="s">
        <v>705</v>
      </c>
    </row>
    <row r="1923" spans="1:2" x14ac:dyDescent="0.2">
      <c r="A1923" s="649" t="s">
        <v>2005</v>
      </c>
      <c r="B1923" s="725" t="s">
        <v>2004</v>
      </c>
    </row>
    <row r="1924" spans="1:2" x14ac:dyDescent="0.2">
      <c r="A1924" s="649" t="s">
        <v>4197</v>
      </c>
      <c r="B1924" s="725" t="s">
        <v>4196</v>
      </c>
    </row>
    <row r="1925" spans="1:2" x14ac:dyDescent="0.2">
      <c r="A1925" s="649" t="s">
        <v>530</v>
      </c>
      <c r="B1925" s="725" t="s">
        <v>529</v>
      </c>
    </row>
    <row r="1926" spans="1:2" x14ac:dyDescent="0.2">
      <c r="A1926" s="649" t="s">
        <v>3731</v>
      </c>
      <c r="B1926" s="725" t="s">
        <v>3730</v>
      </c>
    </row>
    <row r="1927" spans="1:2" x14ac:dyDescent="0.2">
      <c r="A1927" s="649" t="s">
        <v>5934</v>
      </c>
      <c r="B1927" s="725" t="s">
        <v>5933</v>
      </c>
    </row>
    <row r="1928" spans="1:2" x14ac:dyDescent="0.2">
      <c r="A1928" s="649" t="s">
        <v>8162</v>
      </c>
      <c r="B1928" s="725" t="s">
        <v>8161</v>
      </c>
    </row>
    <row r="1929" spans="1:2" x14ac:dyDescent="0.2">
      <c r="A1929" s="649" t="s">
        <v>5235</v>
      </c>
      <c r="B1929" s="725" t="s">
        <v>5234</v>
      </c>
    </row>
    <row r="1930" spans="1:2" x14ac:dyDescent="0.2">
      <c r="A1930" s="649" t="s">
        <v>5936</v>
      </c>
      <c r="B1930" s="725" t="s">
        <v>5935</v>
      </c>
    </row>
    <row r="1931" spans="1:2" x14ac:dyDescent="0.2">
      <c r="A1931" s="649" t="s">
        <v>8164</v>
      </c>
      <c r="B1931" s="725" t="s">
        <v>8163</v>
      </c>
    </row>
    <row r="1932" spans="1:2" x14ac:dyDescent="0.2">
      <c r="A1932" s="649" t="s">
        <v>1959</v>
      </c>
      <c r="B1932" s="725" t="s">
        <v>1958</v>
      </c>
    </row>
    <row r="1933" spans="1:2" x14ac:dyDescent="0.2">
      <c r="A1933" s="649" t="s">
        <v>7996</v>
      </c>
      <c r="B1933" s="725" t="s">
        <v>7995</v>
      </c>
    </row>
    <row r="1934" spans="1:2" x14ac:dyDescent="0.2">
      <c r="A1934" s="649" t="s">
        <v>1338</v>
      </c>
      <c r="B1934" s="725" t="s">
        <v>1337</v>
      </c>
    </row>
    <row r="1935" spans="1:2" x14ac:dyDescent="0.2">
      <c r="A1935" s="649" t="s">
        <v>5938</v>
      </c>
      <c r="B1935" s="725" t="s">
        <v>5937</v>
      </c>
    </row>
    <row r="1936" spans="1:2" x14ac:dyDescent="0.2">
      <c r="A1936" s="649" t="s">
        <v>2893</v>
      </c>
      <c r="B1936" s="725" t="s">
        <v>2892</v>
      </c>
    </row>
    <row r="1937" spans="1:2" x14ac:dyDescent="0.2">
      <c r="A1937" s="649" t="s">
        <v>1913</v>
      </c>
      <c r="B1937" s="725" t="s">
        <v>1912</v>
      </c>
    </row>
    <row r="1938" spans="1:2" x14ac:dyDescent="0.2">
      <c r="A1938" s="649" t="s">
        <v>7360</v>
      </c>
      <c r="B1938" s="725" t="s">
        <v>7359</v>
      </c>
    </row>
    <row r="1939" spans="1:2" x14ac:dyDescent="0.2">
      <c r="A1939" s="649" t="s">
        <v>7918</v>
      </c>
      <c r="B1939" s="725" t="s">
        <v>7917</v>
      </c>
    </row>
    <row r="1940" spans="1:2" x14ac:dyDescent="0.2">
      <c r="A1940" s="649" t="s">
        <v>5435</v>
      </c>
      <c r="B1940" s="725" t="s">
        <v>5434</v>
      </c>
    </row>
    <row r="1941" spans="1:2" x14ac:dyDescent="0.2">
      <c r="A1941" s="649" t="s">
        <v>377</v>
      </c>
      <c r="B1941" s="725" t="s">
        <v>376</v>
      </c>
    </row>
    <row r="1942" spans="1:2" x14ac:dyDescent="0.2">
      <c r="A1942" s="649" t="s">
        <v>532</v>
      </c>
      <c r="B1942" s="725" t="s">
        <v>531</v>
      </c>
    </row>
    <row r="1943" spans="1:2" x14ac:dyDescent="0.2">
      <c r="A1943" s="649" t="s">
        <v>319</v>
      </c>
      <c r="B1943" s="725" t="s">
        <v>318</v>
      </c>
    </row>
    <row r="1944" spans="1:2" x14ac:dyDescent="0.2">
      <c r="A1944" s="649" t="s">
        <v>534</v>
      </c>
      <c r="B1944" s="725" t="s">
        <v>533</v>
      </c>
    </row>
    <row r="1945" spans="1:2" x14ac:dyDescent="0.2">
      <c r="A1945" s="649" t="s">
        <v>536</v>
      </c>
      <c r="B1945" s="725" t="s">
        <v>535</v>
      </c>
    </row>
    <row r="1946" spans="1:2" x14ac:dyDescent="0.2">
      <c r="A1946" s="649" t="s">
        <v>5940</v>
      </c>
      <c r="B1946" s="725" t="s">
        <v>5939</v>
      </c>
    </row>
    <row r="1947" spans="1:2" x14ac:dyDescent="0.2">
      <c r="A1947" s="649" t="s">
        <v>1909</v>
      </c>
      <c r="B1947" s="725" t="s">
        <v>1908</v>
      </c>
    </row>
    <row r="1948" spans="1:2" x14ac:dyDescent="0.2">
      <c r="A1948" s="649" t="s">
        <v>538</v>
      </c>
      <c r="B1948" s="725" t="s">
        <v>537</v>
      </c>
    </row>
    <row r="1949" spans="1:2" x14ac:dyDescent="0.2">
      <c r="A1949" s="649" t="s">
        <v>2491</v>
      </c>
      <c r="B1949" s="725" t="s">
        <v>2490</v>
      </c>
    </row>
    <row r="1950" spans="1:2" x14ac:dyDescent="0.2">
      <c r="A1950" s="649" t="s">
        <v>2895</v>
      </c>
      <c r="B1950" s="725" t="s">
        <v>2894</v>
      </c>
    </row>
    <row r="1951" spans="1:2" x14ac:dyDescent="0.2">
      <c r="A1951" s="649" t="s">
        <v>5437</v>
      </c>
      <c r="B1951" s="725" t="s">
        <v>5436</v>
      </c>
    </row>
    <row r="1952" spans="1:2" x14ac:dyDescent="0.2">
      <c r="A1952" s="649" t="s">
        <v>1048</v>
      </c>
      <c r="B1952" s="725" t="s">
        <v>1047</v>
      </c>
    </row>
    <row r="1953" spans="1:2" x14ac:dyDescent="0.2">
      <c r="A1953" s="649" t="s">
        <v>2183</v>
      </c>
      <c r="B1953" s="725" t="s">
        <v>2182</v>
      </c>
    </row>
    <row r="1954" spans="1:2" x14ac:dyDescent="0.2">
      <c r="A1954" s="649" t="s">
        <v>3961</v>
      </c>
      <c r="B1954" s="725" t="s">
        <v>3960</v>
      </c>
    </row>
    <row r="1955" spans="1:2" x14ac:dyDescent="0.2">
      <c r="A1955" s="649" t="s">
        <v>391</v>
      </c>
      <c r="B1955" s="725" t="s">
        <v>390</v>
      </c>
    </row>
    <row r="1956" spans="1:2" x14ac:dyDescent="0.2">
      <c r="A1956" s="649" t="s">
        <v>5942</v>
      </c>
      <c r="B1956" s="725" t="s">
        <v>5941</v>
      </c>
    </row>
    <row r="1957" spans="1:2" x14ac:dyDescent="0.2">
      <c r="A1957" s="649" t="s">
        <v>7998</v>
      </c>
      <c r="B1957" s="725" t="s">
        <v>7997</v>
      </c>
    </row>
    <row r="1958" spans="1:2" x14ac:dyDescent="0.2">
      <c r="A1958" s="649" t="s">
        <v>7740</v>
      </c>
      <c r="B1958" s="725" t="s">
        <v>7739</v>
      </c>
    </row>
    <row r="1959" spans="1:2" x14ac:dyDescent="0.2">
      <c r="A1959" s="649" t="s">
        <v>1050</v>
      </c>
      <c r="B1959" s="725" t="s">
        <v>1049</v>
      </c>
    </row>
    <row r="1960" spans="1:2" x14ac:dyDescent="0.2">
      <c r="A1960" s="649" t="s">
        <v>1052</v>
      </c>
      <c r="B1960" s="725" t="s">
        <v>1051</v>
      </c>
    </row>
    <row r="1961" spans="1:2" x14ac:dyDescent="0.2">
      <c r="A1961" s="649" t="s">
        <v>2897</v>
      </c>
      <c r="B1961" s="725" t="s">
        <v>2896</v>
      </c>
    </row>
    <row r="1962" spans="1:2" x14ac:dyDescent="0.2">
      <c r="A1962" s="649" t="s">
        <v>7742</v>
      </c>
      <c r="B1962" s="725" t="s">
        <v>7741</v>
      </c>
    </row>
    <row r="1963" spans="1:2" x14ac:dyDescent="0.2">
      <c r="A1963" s="649" t="s">
        <v>7180</v>
      </c>
      <c r="B1963" s="725" t="s">
        <v>7179</v>
      </c>
    </row>
    <row r="1964" spans="1:2" x14ac:dyDescent="0.2">
      <c r="A1964" s="649" t="s">
        <v>540</v>
      </c>
      <c r="B1964" s="725" t="s">
        <v>539</v>
      </c>
    </row>
    <row r="1965" spans="1:2" x14ac:dyDescent="0.2">
      <c r="A1965" s="649" t="s">
        <v>345</v>
      </c>
      <c r="B1965" s="725" t="s">
        <v>344</v>
      </c>
    </row>
    <row r="1966" spans="1:2" x14ac:dyDescent="0.2">
      <c r="A1966" s="649" t="s">
        <v>1054</v>
      </c>
      <c r="B1966" s="725" t="s">
        <v>1053</v>
      </c>
    </row>
    <row r="1967" spans="1:2" x14ac:dyDescent="0.2">
      <c r="A1967" s="649" t="s">
        <v>542</v>
      </c>
      <c r="B1967" s="725" t="s">
        <v>541</v>
      </c>
    </row>
    <row r="1968" spans="1:2" ht="28.5" x14ac:dyDescent="0.2">
      <c r="A1968" s="649" t="s">
        <v>3963</v>
      </c>
      <c r="B1968" s="725" t="s">
        <v>3962</v>
      </c>
    </row>
    <row r="1969" spans="1:2" x14ac:dyDescent="0.2">
      <c r="A1969" s="649" t="s">
        <v>1450</v>
      </c>
      <c r="B1969" s="725" t="s">
        <v>1449</v>
      </c>
    </row>
    <row r="1970" spans="1:2" x14ac:dyDescent="0.2">
      <c r="A1970" s="649" t="s">
        <v>6850</v>
      </c>
      <c r="B1970" s="725" t="s">
        <v>6849</v>
      </c>
    </row>
    <row r="1971" spans="1:2" x14ac:dyDescent="0.2">
      <c r="A1971" s="649" t="s">
        <v>5021</v>
      </c>
      <c r="B1971" s="725" t="s">
        <v>5020</v>
      </c>
    </row>
    <row r="1972" spans="1:2" x14ac:dyDescent="0.2">
      <c r="A1972" s="649" t="s">
        <v>3589</v>
      </c>
      <c r="B1972" s="725" t="s">
        <v>3588</v>
      </c>
    </row>
    <row r="1973" spans="1:2" x14ac:dyDescent="0.2">
      <c r="A1973" s="649" t="s">
        <v>5237</v>
      </c>
      <c r="B1973" s="725" t="s">
        <v>5236</v>
      </c>
    </row>
    <row r="1974" spans="1:2" x14ac:dyDescent="0.2">
      <c r="A1974" s="649" t="s">
        <v>2899</v>
      </c>
      <c r="B1974" s="725" t="s">
        <v>2898</v>
      </c>
    </row>
    <row r="1975" spans="1:2" x14ac:dyDescent="0.2">
      <c r="A1975" s="649" t="s">
        <v>4293</v>
      </c>
      <c r="B1975" s="725" t="s">
        <v>4292</v>
      </c>
    </row>
    <row r="1976" spans="1:2" x14ac:dyDescent="0.2">
      <c r="A1976" s="649" t="s">
        <v>2493</v>
      </c>
      <c r="B1976" s="725" t="s">
        <v>2492</v>
      </c>
    </row>
    <row r="1977" spans="1:2" x14ac:dyDescent="0.2">
      <c r="A1977" s="649" t="s">
        <v>2315</v>
      </c>
      <c r="B1977" s="725" t="s">
        <v>2314</v>
      </c>
    </row>
    <row r="1978" spans="1:2" x14ac:dyDescent="0.2">
      <c r="A1978" s="649" t="s">
        <v>369</v>
      </c>
      <c r="B1978" s="725" t="s">
        <v>368</v>
      </c>
    </row>
    <row r="1979" spans="1:2" x14ac:dyDescent="0.2">
      <c r="A1979" s="649" t="s">
        <v>5023</v>
      </c>
      <c r="B1979" s="725" t="s">
        <v>5022</v>
      </c>
    </row>
    <row r="1980" spans="1:2" x14ac:dyDescent="0.2">
      <c r="A1980" s="649" t="s">
        <v>4199</v>
      </c>
      <c r="B1980" s="725" t="s">
        <v>4198</v>
      </c>
    </row>
    <row r="1981" spans="1:2" x14ac:dyDescent="0.2">
      <c r="A1981" s="649" t="s">
        <v>2317</v>
      </c>
      <c r="B1981" s="725" t="s">
        <v>2316</v>
      </c>
    </row>
    <row r="1982" spans="1:2" x14ac:dyDescent="0.2">
      <c r="A1982" s="649" t="s">
        <v>708</v>
      </c>
      <c r="B1982" s="725" t="s">
        <v>707</v>
      </c>
    </row>
    <row r="1983" spans="1:2" x14ac:dyDescent="0.2">
      <c r="A1983" s="649" t="s">
        <v>1422</v>
      </c>
      <c r="B1983" s="725" t="s">
        <v>1421</v>
      </c>
    </row>
    <row r="1984" spans="1:2" x14ac:dyDescent="0.2">
      <c r="A1984" s="649" t="s">
        <v>4881</v>
      </c>
      <c r="B1984" s="725" t="s">
        <v>4880</v>
      </c>
    </row>
    <row r="1985" spans="1:2" x14ac:dyDescent="0.2">
      <c r="A1985" s="649" t="s">
        <v>5944</v>
      </c>
      <c r="B1985" s="725" t="s">
        <v>5943</v>
      </c>
    </row>
    <row r="1986" spans="1:2" x14ac:dyDescent="0.2">
      <c r="A1986" s="649" t="s">
        <v>5946</v>
      </c>
      <c r="B1986" s="725" t="s">
        <v>5945</v>
      </c>
    </row>
    <row r="1987" spans="1:2" x14ac:dyDescent="0.2">
      <c r="A1987" s="649" t="s">
        <v>1056</v>
      </c>
      <c r="B1987" s="725" t="s">
        <v>1055</v>
      </c>
    </row>
    <row r="1988" spans="1:2" x14ac:dyDescent="0.2">
      <c r="A1988" s="649" t="s">
        <v>1058</v>
      </c>
      <c r="B1988" s="725" t="s">
        <v>1057</v>
      </c>
    </row>
    <row r="1989" spans="1:2" x14ac:dyDescent="0.2">
      <c r="A1989" s="649" t="s">
        <v>5948</v>
      </c>
      <c r="B1989" s="725" t="s">
        <v>5947</v>
      </c>
    </row>
    <row r="1990" spans="1:2" x14ac:dyDescent="0.2">
      <c r="A1990" s="649" t="s">
        <v>4371</v>
      </c>
      <c r="B1990" s="725" t="s">
        <v>4370</v>
      </c>
    </row>
    <row r="1991" spans="1:2" x14ac:dyDescent="0.2">
      <c r="A1991" s="649" t="s">
        <v>371</v>
      </c>
      <c r="B1991" s="725" t="s">
        <v>370</v>
      </c>
    </row>
    <row r="1992" spans="1:2" x14ac:dyDescent="0.2">
      <c r="A1992" s="649" t="s">
        <v>2007</v>
      </c>
      <c r="B1992" s="725" t="s">
        <v>2006</v>
      </c>
    </row>
    <row r="1993" spans="1:2" x14ac:dyDescent="0.2">
      <c r="A1993" s="649" t="s">
        <v>2495</v>
      </c>
      <c r="B1993" s="725" t="s">
        <v>2494</v>
      </c>
    </row>
    <row r="1994" spans="1:2" x14ac:dyDescent="0.2">
      <c r="A1994" s="649" t="s">
        <v>7820</v>
      </c>
      <c r="B1994" s="725" t="s">
        <v>7819</v>
      </c>
    </row>
    <row r="1995" spans="1:2" x14ac:dyDescent="0.2">
      <c r="A1995" s="649" t="s">
        <v>6436</v>
      </c>
      <c r="B1995" s="725" t="s">
        <v>6435</v>
      </c>
    </row>
    <row r="1996" spans="1:2" x14ac:dyDescent="0.2">
      <c r="A1996" s="649" t="s">
        <v>6670</v>
      </c>
      <c r="B1996" s="725" t="s">
        <v>6669</v>
      </c>
    </row>
    <row r="1997" spans="1:2" x14ac:dyDescent="0.2">
      <c r="A1997" s="649" t="s">
        <v>2135</v>
      </c>
      <c r="B1997" s="725" t="s">
        <v>2134</v>
      </c>
    </row>
    <row r="1998" spans="1:2" x14ac:dyDescent="0.2">
      <c r="A1998" s="649" t="s">
        <v>5603</v>
      </c>
      <c r="B1998" s="725" t="s">
        <v>5602</v>
      </c>
    </row>
    <row r="1999" spans="1:2" x14ac:dyDescent="0.2">
      <c r="A1999" s="649" t="s">
        <v>544</v>
      </c>
      <c r="B1999" s="725" t="s">
        <v>543</v>
      </c>
    </row>
    <row r="2000" spans="1:2" x14ac:dyDescent="0.2">
      <c r="A2000" s="649" t="s">
        <v>546</v>
      </c>
      <c r="B2000" s="725" t="s">
        <v>545</v>
      </c>
    </row>
    <row r="2001" spans="1:2" x14ac:dyDescent="0.2">
      <c r="A2001" s="649" t="s">
        <v>445</v>
      </c>
      <c r="B2001" s="725" t="s">
        <v>444</v>
      </c>
    </row>
    <row r="2002" spans="1:2" x14ac:dyDescent="0.2">
      <c r="A2002" s="649" t="s">
        <v>4645</v>
      </c>
      <c r="B2002" s="725" t="s">
        <v>4644</v>
      </c>
    </row>
    <row r="2003" spans="1:2" x14ac:dyDescent="0.2">
      <c r="A2003" s="649" t="s">
        <v>7610</v>
      </c>
      <c r="B2003" s="725" t="s">
        <v>7609</v>
      </c>
    </row>
    <row r="2004" spans="1:2" x14ac:dyDescent="0.2">
      <c r="A2004" s="649" t="s">
        <v>5167</v>
      </c>
      <c r="B2004" s="725" t="s">
        <v>5166</v>
      </c>
    </row>
    <row r="2005" spans="1:2" x14ac:dyDescent="0.2">
      <c r="A2005" s="649" t="s">
        <v>2497</v>
      </c>
      <c r="B2005" s="725" t="s">
        <v>2496</v>
      </c>
    </row>
    <row r="2006" spans="1:2" x14ac:dyDescent="0.2">
      <c r="A2006" s="649" t="s">
        <v>6250</v>
      </c>
      <c r="B2006" s="725" t="s">
        <v>6249</v>
      </c>
    </row>
    <row r="2007" spans="1:2" x14ac:dyDescent="0.2">
      <c r="A2007" s="649" t="s">
        <v>7744</v>
      </c>
      <c r="B2007" s="725" t="s">
        <v>7743</v>
      </c>
    </row>
    <row r="2008" spans="1:2" x14ac:dyDescent="0.2">
      <c r="A2008" s="649" t="s">
        <v>7334</v>
      </c>
      <c r="B2008" s="725" t="s">
        <v>7333</v>
      </c>
    </row>
    <row r="2009" spans="1:2" x14ac:dyDescent="0.2">
      <c r="A2009" s="649" t="s">
        <v>5569</v>
      </c>
      <c r="B2009" s="725" t="s">
        <v>5568</v>
      </c>
    </row>
    <row r="2010" spans="1:2" x14ac:dyDescent="0.2">
      <c r="A2010" s="649" t="s">
        <v>7746</v>
      </c>
      <c r="B2010" s="725" t="s">
        <v>7745</v>
      </c>
    </row>
    <row r="2011" spans="1:2" x14ac:dyDescent="0.2">
      <c r="A2011" s="649" t="s">
        <v>299</v>
      </c>
      <c r="B2011" s="725" t="s">
        <v>298</v>
      </c>
    </row>
    <row r="2012" spans="1:2" x14ac:dyDescent="0.2">
      <c r="A2012" s="649" t="s">
        <v>393</v>
      </c>
      <c r="B2012" s="725" t="s">
        <v>392</v>
      </c>
    </row>
    <row r="2013" spans="1:2" x14ac:dyDescent="0.2">
      <c r="A2013" s="649" t="s">
        <v>7748</v>
      </c>
      <c r="B2013" s="725" t="s">
        <v>7747</v>
      </c>
    </row>
    <row r="2014" spans="1:2" x14ac:dyDescent="0.2">
      <c r="A2014" s="649" t="s">
        <v>5950</v>
      </c>
      <c r="B2014" s="725" t="s">
        <v>5949</v>
      </c>
    </row>
    <row r="2015" spans="1:2" x14ac:dyDescent="0.2">
      <c r="A2015" s="649" t="s">
        <v>5491</v>
      </c>
      <c r="B2015" s="725" t="s">
        <v>5490</v>
      </c>
    </row>
    <row r="2016" spans="1:2" x14ac:dyDescent="0.2">
      <c r="A2016" s="649" t="s">
        <v>7982</v>
      </c>
      <c r="B2016" s="725" t="s">
        <v>7981</v>
      </c>
    </row>
    <row r="2017" spans="1:2" x14ac:dyDescent="0.2">
      <c r="A2017" s="649" t="s">
        <v>8166</v>
      </c>
      <c r="B2017" s="725" t="s">
        <v>8165</v>
      </c>
    </row>
    <row r="2018" spans="1:2" x14ac:dyDescent="0.2">
      <c r="A2018" s="649" t="s">
        <v>2901</v>
      </c>
      <c r="B2018" s="725" t="s">
        <v>2900</v>
      </c>
    </row>
    <row r="2019" spans="1:2" x14ac:dyDescent="0.2">
      <c r="A2019" s="649" t="s">
        <v>4201</v>
      </c>
      <c r="B2019" s="725" t="s">
        <v>4200</v>
      </c>
    </row>
    <row r="2020" spans="1:2" x14ac:dyDescent="0.2">
      <c r="A2020" s="649" t="s">
        <v>5605</v>
      </c>
      <c r="B2020" s="725" t="s">
        <v>5604</v>
      </c>
    </row>
    <row r="2021" spans="1:2" x14ac:dyDescent="0.2">
      <c r="A2021" s="649" t="s">
        <v>2903</v>
      </c>
      <c r="B2021" s="725" t="s">
        <v>2902</v>
      </c>
    </row>
    <row r="2022" spans="1:2" x14ac:dyDescent="0.2">
      <c r="A2022" s="649" t="s">
        <v>5952</v>
      </c>
      <c r="B2022" s="725" t="s">
        <v>5951</v>
      </c>
    </row>
    <row r="2023" spans="1:2" x14ac:dyDescent="0.2">
      <c r="A2023" s="649" t="s">
        <v>3805</v>
      </c>
      <c r="B2023" s="725" t="s">
        <v>3804</v>
      </c>
    </row>
    <row r="2024" spans="1:2" x14ac:dyDescent="0.2">
      <c r="A2024" s="649" t="s">
        <v>2905</v>
      </c>
      <c r="B2024" s="725" t="s">
        <v>2904</v>
      </c>
    </row>
    <row r="2025" spans="1:2" x14ac:dyDescent="0.2">
      <c r="A2025" s="649" t="s">
        <v>7612</v>
      </c>
      <c r="B2025" s="725" t="s">
        <v>7611</v>
      </c>
    </row>
    <row r="2026" spans="1:2" x14ac:dyDescent="0.2">
      <c r="A2026" s="649" t="s">
        <v>7582</v>
      </c>
      <c r="B2026" s="725" t="s">
        <v>7581</v>
      </c>
    </row>
    <row r="2027" spans="1:2" x14ac:dyDescent="0.2">
      <c r="A2027" s="649" t="s">
        <v>7750</v>
      </c>
      <c r="B2027" s="725" t="s">
        <v>7749</v>
      </c>
    </row>
    <row r="2028" spans="1:2" x14ac:dyDescent="0.2">
      <c r="A2028" s="649" t="s">
        <v>2251</v>
      </c>
      <c r="B2028" s="725" t="s">
        <v>2250</v>
      </c>
    </row>
    <row r="2029" spans="1:2" x14ac:dyDescent="0.2">
      <c r="A2029" s="649" t="s">
        <v>1060</v>
      </c>
      <c r="B2029" s="725" t="s">
        <v>1059</v>
      </c>
    </row>
    <row r="2030" spans="1:2" x14ac:dyDescent="0.2">
      <c r="A2030" s="649" t="s">
        <v>4679</v>
      </c>
      <c r="B2030" s="725" t="s">
        <v>4678</v>
      </c>
    </row>
    <row r="2031" spans="1:2" x14ac:dyDescent="0.2">
      <c r="A2031" s="649" t="s">
        <v>1692</v>
      </c>
      <c r="B2031" s="725" t="s">
        <v>1691</v>
      </c>
    </row>
    <row r="2032" spans="1:2" x14ac:dyDescent="0.2">
      <c r="A2032" s="649" t="s">
        <v>4339</v>
      </c>
      <c r="B2032" s="725" t="s">
        <v>4338</v>
      </c>
    </row>
    <row r="2033" spans="1:2" x14ac:dyDescent="0.2">
      <c r="A2033" s="649" t="s">
        <v>4911</v>
      </c>
      <c r="B2033" s="725" t="s">
        <v>4910</v>
      </c>
    </row>
    <row r="2034" spans="1:2" x14ac:dyDescent="0.2">
      <c r="A2034" s="649" t="s">
        <v>2009</v>
      </c>
      <c r="B2034" s="725" t="s">
        <v>2008</v>
      </c>
    </row>
    <row r="2035" spans="1:2" x14ac:dyDescent="0.2">
      <c r="A2035" s="649" t="s">
        <v>4655</v>
      </c>
      <c r="B2035" s="725" t="s">
        <v>4654</v>
      </c>
    </row>
    <row r="2036" spans="1:2" x14ac:dyDescent="0.2">
      <c r="A2036" s="649" t="s">
        <v>4681</v>
      </c>
      <c r="B2036" s="725" t="s">
        <v>4680</v>
      </c>
    </row>
    <row r="2037" spans="1:2" x14ac:dyDescent="0.2">
      <c r="A2037" s="649" t="s">
        <v>4683</v>
      </c>
      <c r="B2037" s="725" t="s">
        <v>4682</v>
      </c>
    </row>
    <row r="2038" spans="1:2" x14ac:dyDescent="0.2">
      <c r="A2038" s="649" t="s">
        <v>4373</v>
      </c>
      <c r="B2038" s="725" t="s">
        <v>4372</v>
      </c>
    </row>
    <row r="2039" spans="1:2" x14ac:dyDescent="0.2">
      <c r="A2039" s="649" t="s">
        <v>6312</v>
      </c>
      <c r="B2039" s="725" t="s">
        <v>6311</v>
      </c>
    </row>
    <row r="2040" spans="1:2" x14ac:dyDescent="0.2">
      <c r="A2040" s="649" t="s">
        <v>7022</v>
      </c>
      <c r="B2040" s="725" t="s">
        <v>7021</v>
      </c>
    </row>
    <row r="2041" spans="1:2" x14ac:dyDescent="0.2">
      <c r="A2041" s="649" t="s">
        <v>3807</v>
      </c>
      <c r="B2041" s="725" t="s">
        <v>3806</v>
      </c>
    </row>
    <row r="2042" spans="1:2" x14ac:dyDescent="0.2">
      <c r="A2042" s="649" t="s">
        <v>2319</v>
      </c>
      <c r="B2042" s="725" t="s">
        <v>2318</v>
      </c>
    </row>
    <row r="2043" spans="1:2" x14ac:dyDescent="0.2">
      <c r="A2043" s="649" t="s">
        <v>6638</v>
      </c>
      <c r="B2043" s="725" t="s">
        <v>6637</v>
      </c>
    </row>
    <row r="2044" spans="1:2" x14ac:dyDescent="0.2">
      <c r="A2044" s="649" t="s">
        <v>5954</v>
      </c>
      <c r="B2044" s="725" t="s">
        <v>5953</v>
      </c>
    </row>
    <row r="2045" spans="1:2" x14ac:dyDescent="0.2">
      <c r="A2045" s="649" t="s">
        <v>7752</v>
      </c>
      <c r="B2045" s="725" t="s">
        <v>7751</v>
      </c>
    </row>
    <row r="2046" spans="1:2" x14ac:dyDescent="0.2">
      <c r="A2046" s="649" t="s">
        <v>4437</v>
      </c>
      <c r="B2046" s="725" t="s">
        <v>4436</v>
      </c>
    </row>
    <row r="2047" spans="1:2" x14ac:dyDescent="0.2">
      <c r="A2047" s="649" t="s">
        <v>5956</v>
      </c>
      <c r="B2047" s="725" t="s">
        <v>5955</v>
      </c>
    </row>
    <row r="2048" spans="1:2" x14ac:dyDescent="0.2">
      <c r="A2048" s="649" t="s">
        <v>7182</v>
      </c>
      <c r="B2048" s="725" t="s">
        <v>7181</v>
      </c>
    </row>
    <row r="2049" spans="1:2" x14ac:dyDescent="0.2">
      <c r="A2049" s="649" t="s">
        <v>4341</v>
      </c>
      <c r="B2049" s="725" t="s">
        <v>4340</v>
      </c>
    </row>
    <row r="2050" spans="1:2" x14ac:dyDescent="0.2">
      <c r="A2050" s="649" t="s">
        <v>4727</v>
      </c>
      <c r="B2050" s="725" t="s">
        <v>4726</v>
      </c>
    </row>
    <row r="2051" spans="1:2" x14ac:dyDescent="0.2">
      <c r="A2051" s="649" t="s">
        <v>2907</v>
      </c>
      <c r="B2051" s="725" t="s">
        <v>2906</v>
      </c>
    </row>
    <row r="2052" spans="1:2" x14ac:dyDescent="0.2">
      <c r="A2052" s="649" t="s">
        <v>1801</v>
      </c>
      <c r="B2052" s="725" t="s">
        <v>1800</v>
      </c>
    </row>
    <row r="2053" spans="1:2" x14ac:dyDescent="0.2">
      <c r="A2053" s="649" t="s">
        <v>2193</v>
      </c>
      <c r="B2053" s="725" t="s">
        <v>2192</v>
      </c>
    </row>
    <row r="2054" spans="1:2" x14ac:dyDescent="0.2">
      <c r="A2054" s="649" t="s">
        <v>4765</v>
      </c>
      <c r="B2054" s="725" t="s">
        <v>4764</v>
      </c>
    </row>
    <row r="2055" spans="1:2" x14ac:dyDescent="0.2">
      <c r="A2055" s="649" t="s">
        <v>10381</v>
      </c>
      <c r="B2055" s="725" t="s">
        <v>10382</v>
      </c>
    </row>
    <row r="2056" spans="1:2" x14ac:dyDescent="0.2">
      <c r="A2056" s="649" t="s">
        <v>4203</v>
      </c>
      <c r="B2056" s="725" t="s">
        <v>4202</v>
      </c>
    </row>
    <row r="2057" spans="1:2" x14ac:dyDescent="0.2">
      <c r="A2057" s="649" t="s">
        <v>447</v>
      </c>
      <c r="B2057" s="725" t="s">
        <v>446</v>
      </c>
    </row>
    <row r="2058" spans="1:2" x14ac:dyDescent="0.2">
      <c r="A2058" s="649" t="s">
        <v>6314</v>
      </c>
      <c r="B2058" s="725" t="s">
        <v>6313</v>
      </c>
    </row>
    <row r="2059" spans="1:2" x14ac:dyDescent="0.2">
      <c r="A2059" s="649" t="s">
        <v>4375</v>
      </c>
      <c r="B2059" s="725" t="s">
        <v>4374</v>
      </c>
    </row>
    <row r="2060" spans="1:2" x14ac:dyDescent="0.2">
      <c r="A2060" s="649" t="s">
        <v>4497</v>
      </c>
      <c r="B2060" s="725" t="s">
        <v>4496</v>
      </c>
    </row>
    <row r="2061" spans="1:2" x14ac:dyDescent="0.2">
      <c r="A2061" s="649" t="s">
        <v>5439</v>
      </c>
      <c r="B2061" s="725" t="s">
        <v>5438</v>
      </c>
    </row>
    <row r="2062" spans="1:2" x14ac:dyDescent="0.2">
      <c r="A2062" s="649" t="s">
        <v>4969</v>
      </c>
      <c r="B2062" s="725" t="s">
        <v>4968</v>
      </c>
    </row>
    <row r="2063" spans="1:2" x14ac:dyDescent="0.2">
      <c r="A2063" s="649" t="s">
        <v>8010</v>
      </c>
      <c r="B2063" s="725" t="s">
        <v>8009</v>
      </c>
    </row>
    <row r="2064" spans="1:2" x14ac:dyDescent="0.2">
      <c r="A2064" s="649" t="s">
        <v>7362</v>
      </c>
      <c r="B2064" s="725" t="s">
        <v>7361</v>
      </c>
    </row>
    <row r="2065" spans="1:2" x14ac:dyDescent="0.2">
      <c r="A2065" s="649" t="s">
        <v>1961</v>
      </c>
      <c r="B2065" s="725" t="s">
        <v>1960</v>
      </c>
    </row>
    <row r="2066" spans="1:2" x14ac:dyDescent="0.2">
      <c r="A2066" s="649" t="s">
        <v>2499</v>
      </c>
      <c r="B2066" s="725" t="s">
        <v>2498</v>
      </c>
    </row>
    <row r="2067" spans="1:2" x14ac:dyDescent="0.2">
      <c r="A2067" s="649" t="s">
        <v>7754</v>
      </c>
      <c r="B2067" s="725" t="s">
        <v>7753</v>
      </c>
    </row>
    <row r="2068" spans="1:2" x14ac:dyDescent="0.2">
      <c r="A2068" s="649" t="s">
        <v>7838</v>
      </c>
      <c r="B2068" s="725" t="s">
        <v>7837</v>
      </c>
    </row>
    <row r="2069" spans="1:2" x14ac:dyDescent="0.2">
      <c r="A2069" s="649" t="s">
        <v>3809</v>
      </c>
      <c r="B2069" s="725" t="s">
        <v>3808</v>
      </c>
    </row>
    <row r="2070" spans="1:2" x14ac:dyDescent="0.2">
      <c r="A2070" s="649" t="s">
        <v>1963</v>
      </c>
      <c r="B2070" s="725" t="s">
        <v>1962</v>
      </c>
    </row>
    <row r="2071" spans="1:2" x14ac:dyDescent="0.2">
      <c r="A2071" s="649" t="s">
        <v>4377</v>
      </c>
      <c r="B2071" s="725" t="s">
        <v>4376</v>
      </c>
    </row>
    <row r="2072" spans="1:2" x14ac:dyDescent="0.2">
      <c r="A2072" s="649" t="s">
        <v>2909</v>
      </c>
      <c r="B2072" s="725" t="s">
        <v>2908</v>
      </c>
    </row>
    <row r="2073" spans="1:2" x14ac:dyDescent="0.2">
      <c r="A2073" s="649" t="s">
        <v>2137</v>
      </c>
      <c r="B2073" s="725" t="s">
        <v>2136</v>
      </c>
    </row>
    <row r="2074" spans="1:2" x14ac:dyDescent="0.2">
      <c r="A2074" s="649" t="s">
        <v>8012</v>
      </c>
      <c r="B2074" s="725" t="s">
        <v>8011</v>
      </c>
    </row>
    <row r="2075" spans="1:2" x14ac:dyDescent="0.2">
      <c r="A2075" s="649" t="s">
        <v>7870</v>
      </c>
      <c r="B2075" s="725" t="s">
        <v>7869</v>
      </c>
    </row>
    <row r="2076" spans="1:2" x14ac:dyDescent="0.2">
      <c r="A2076" s="649" t="s">
        <v>1548</v>
      </c>
      <c r="B2076" s="725" t="s">
        <v>1547</v>
      </c>
    </row>
    <row r="2077" spans="1:2" x14ac:dyDescent="0.2">
      <c r="A2077" s="649" t="s">
        <v>548</v>
      </c>
      <c r="B2077" s="725" t="s">
        <v>547</v>
      </c>
    </row>
    <row r="2078" spans="1:2" x14ac:dyDescent="0.2">
      <c r="A2078" s="649" t="s">
        <v>2501</v>
      </c>
      <c r="B2078" s="725" t="s">
        <v>2500</v>
      </c>
    </row>
    <row r="2079" spans="1:2" x14ac:dyDescent="0.2">
      <c r="A2079" s="649" t="s">
        <v>6852</v>
      </c>
      <c r="B2079" s="725" t="s">
        <v>6851</v>
      </c>
    </row>
    <row r="2080" spans="1:2" x14ac:dyDescent="0.2">
      <c r="A2080" s="649" t="s">
        <v>4083</v>
      </c>
      <c r="B2080" s="725" t="s">
        <v>4082</v>
      </c>
    </row>
    <row r="2081" spans="1:2" x14ac:dyDescent="0.2">
      <c r="A2081" s="649" t="s">
        <v>2911</v>
      </c>
      <c r="B2081" s="725" t="s">
        <v>2910</v>
      </c>
    </row>
    <row r="2082" spans="1:2" x14ac:dyDescent="0.2">
      <c r="A2082" s="649" t="s">
        <v>8276</v>
      </c>
      <c r="B2082" s="725" t="s">
        <v>8275</v>
      </c>
    </row>
    <row r="2083" spans="1:2" x14ac:dyDescent="0.2">
      <c r="A2083" s="649" t="s">
        <v>5958</v>
      </c>
      <c r="B2083" s="725" t="s">
        <v>5957</v>
      </c>
    </row>
    <row r="2084" spans="1:2" x14ac:dyDescent="0.2">
      <c r="A2084" s="649" t="s">
        <v>5169</v>
      </c>
      <c r="B2084" s="725" t="s">
        <v>5168</v>
      </c>
    </row>
    <row r="2085" spans="1:2" x14ac:dyDescent="0.2">
      <c r="A2085" s="649" t="s">
        <v>4205</v>
      </c>
      <c r="B2085" s="725" t="s">
        <v>4204</v>
      </c>
    </row>
    <row r="2086" spans="1:2" x14ac:dyDescent="0.2">
      <c r="A2086" s="649" t="s">
        <v>7276</v>
      </c>
      <c r="B2086" s="725" t="s">
        <v>7275</v>
      </c>
    </row>
    <row r="2087" spans="1:2" x14ac:dyDescent="0.2">
      <c r="A2087" s="649" t="s">
        <v>3653</v>
      </c>
      <c r="B2087" s="725" t="s">
        <v>3652</v>
      </c>
    </row>
    <row r="2088" spans="1:2" x14ac:dyDescent="0.2">
      <c r="A2088" s="649" t="s">
        <v>6532</v>
      </c>
      <c r="B2088" s="725" t="s">
        <v>6531</v>
      </c>
    </row>
    <row r="2089" spans="1:2" x14ac:dyDescent="0.2">
      <c r="A2089" s="649" t="s">
        <v>4971</v>
      </c>
      <c r="B2089" s="725" t="s">
        <v>4970</v>
      </c>
    </row>
    <row r="2090" spans="1:2" x14ac:dyDescent="0.2">
      <c r="A2090" s="649" t="s">
        <v>3467</v>
      </c>
      <c r="B2090" s="725" t="s">
        <v>3466</v>
      </c>
    </row>
    <row r="2091" spans="1:2" x14ac:dyDescent="0.2">
      <c r="A2091" s="649" t="s">
        <v>8168</v>
      </c>
      <c r="B2091" s="725" t="s">
        <v>8167</v>
      </c>
    </row>
    <row r="2092" spans="1:2" x14ac:dyDescent="0.2">
      <c r="A2092" s="649" t="s">
        <v>5960</v>
      </c>
      <c r="B2092" s="725" t="s">
        <v>5959</v>
      </c>
    </row>
    <row r="2093" spans="1:2" x14ac:dyDescent="0.2">
      <c r="A2093" s="649" t="s">
        <v>3625</v>
      </c>
      <c r="B2093" s="725" t="s">
        <v>3624</v>
      </c>
    </row>
    <row r="2094" spans="1:2" x14ac:dyDescent="0.2">
      <c r="A2094" s="649" t="s">
        <v>830</v>
      </c>
      <c r="B2094" s="725" t="s">
        <v>829</v>
      </c>
    </row>
    <row r="2095" spans="1:2" x14ac:dyDescent="0.2">
      <c r="A2095" s="649" t="s">
        <v>2379</v>
      </c>
      <c r="B2095" s="725" t="s">
        <v>2378</v>
      </c>
    </row>
    <row r="2096" spans="1:2" x14ac:dyDescent="0.2">
      <c r="A2096" s="649" t="s">
        <v>7152</v>
      </c>
      <c r="B2096" s="725" t="s">
        <v>7151</v>
      </c>
    </row>
    <row r="2097" spans="1:2" x14ac:dyDescent="0.2">
      <c r="A2097" s="649" t="s">
        <v>4563</v>
      </c>
      <c r="B2097" s="725" t="s">
        <v>4562</v>
      </c>
    </row>
    <row r="2098" spans="1:2" x14ac:dyDescent="0.2">
      <c r="A2098" s="649" t="s">
        <v>7584</v>
      </c>
      <c r="B2098" s="725" t="s">
        <v>7583</v>
      </c>
    </row>
    <row r="2099" spans="1:2" x14ac:dyDescent="0.2">
      <c r="A2099" s="649" t="s">
        <v>7586</v>
      </c>
      <c r="B2099" s="725" t="s">
        <v>7585</v>
      </c>
    </row>
    <row r="2100" spans="1:2" x14ac:dyDescent="0.2">
      <c r="A2100" s="649" t="s">
        <v>7098</v>
      </c>
      <c r="B2100" s="725" t="s">
        <v>7097</v>
      </c>
    </row>
    <row r="2101" spans="1:2" x14ac:dyDescent="0.2">
      <c r="A2101" s="649" t="s">
        <v>2207</v>
      </c>
      <c r="B2101" s="725" t="s">
        <v>2206</v>
      </c>
    </row>
    <row r="2102" spans="1:2" x14ac:dyDescent="0.2">
      <c r="A2102" s="649" t="s">
        <v>2503</v>
      </c>
      <c r="B2102" s="725" t="s">
        <v>2502</v>
      </c>
    </row>
    <row r="2103" spans="1:2" x14ac:dyDescent="0.2">
      <c r="A2103" s="649" t="s">
        <v>2913</v>
      </c>
      <c r="B2103" s="725" t="s">
        <v>2912</v>
      </c>
    </row>
    <row r="2104" spans="1:2" x14ac:dyDescent="0.2">
      <c r="A2104" s="649" t="s">
        <v>8278</v>
      </c>
      <c r="B2104" s="725" t="s">
        <v>8277</v>
      </c>
    </row>
    <row r="2105" spans="1:2" x14ac:dyDescent="0.2">
      <c r="A2105" s="649" t="s">
        <v>3655</v>
      </c>
      <c r="B2105" s="725" t="s">
        <v>3654</v>
      </c>
    </row>
    <row r="2106" spans="1:2" x14ac:dyDescent="0.2">
      <c r="A2106" s="649" t="s">
        <v>3591</v>
      </c>
      <c r="B2106" s="725" t="s">
        <v>3590</v>
      </c>
    </row>
    <row r="2107" spans="1:2" x14ac:dyDescent="0.2">
      <c r="A2107" s="649" t="s">
        <v>6534</v>
      </c>
      <c r="B2107" s="725" t="s">
        <v>6533</v>
      </c>
    </row>
    <row r="2108" spans="1:2" x14ac:dyDescent="0.2">
      <c r="A2108" s="649" t="s">
        <v>2915</v>
      </c>
      <c r="B2108" s="725" t="s">
        <v>2914</v>
      </c>
    </row>
    <row r="2109" spans="1:2" x14ac:dyDescent="0.2">
      <c r="A2109" s="649" t="s">
        <v>5025</v>
      </c>
      <c r="B2109" s="725" t="s">
        <v>5024</v>
      </c>
    </row>
    <row r="2110" spans="1:2" x14ac:dyDescent="0.2">
      <c r="A2110" s="649" t="s">
        <v>5239</v>
      </c>
      <c r="B2110" s="725" t="s">
        <v>5238</v>
      </c>
    </row>
    <row r="2111" spans="1:2" x14ac:dyDescent="0.2">
      <c r="A2111" s="649" t="s">
        <v>1340</v>
      </c>
      <c r="B2111" s="725" t="s">
        <v>1339</v>
      </c>
    </row>
    <row r="2112" spans="1:2" x14ac:dyDescent="0.2">
      <c r="A2112" s="649" t="s">
        <v>3657</v>
      </c>
      <c r="B2112" s="725" t="s">
        <v>3656</v>
      </c>
    </row>
    <row r="2113" spans="1:2" x14ac:dyDescent="0.2">
      <c r="A2113" s="649" t="s">
        <v>1915</v>
      </c>
      <c r="B2113" s="725" t="s">
        <v>1914</v>
      </c>
    </row>
    <row r="2114" spans="1:2" x14ac:dyDescent="0.2">
      <c r="A2114" s="649" t="s">
        <v>1342</v>
      </c>
      <c r="B2114" s="725" t="s">
        <v>1341</v>
      </c>
    </row>
    <row r="2115" spans="1:2" x14ac:dyDescent="0.2">
      <c r="A2115" s="649" t="s">
        <v>1550</v>
      </c>
      <c r="B2115" s="725" t="s">
        <v>1549</v>
      </c>
    </row>
    <row r="2116" spans="1:2" x14ac:dyDescent="0.2">
      <c r="A2116" s="649" t="s">
        <v>3811</v>
      </c>
      <c r="B2116" s="725" t="s">
        <v>3810</v>
      </c>
    </row>
    <row r="2117" spans="1:2" x14ac:dyDescent="0.2">
      <c r="A2117" s="649" t="s">
        <v>3751</v>
      </c>
      <c r="B2117" s="725" t="s">
        <v>3750</v>
      </c>
    </row>
    <row r="2118" spans="1:2" x14ac:dyDescent="0.2">
      <c r="A2118" s="649" t="s">
        <v>7588</v>
      </c>
      <c r="B2118" s="725" t="s">
        <v>7587</v>
      </c>
    </row>
    <row r="2119" spans="1:2" x14ac:dyDescent="0.2">
      <c r="A2119" s="649" t="s">
        <v>4207</v>
      </c>
      <c r="B2119" s="725" t="s">
        <v>4206</v>
      </c>
    </row>
    <row r="2120" spans="1:2" x14ac:dyDescent="0.2">
      <c r="A2120" s="649" t="s">
        <v>7278</v>
      </c>
      <c r="B2120" s="725" t="s">
        <v>7277</v>
      </c>
    </row>
    <row r="2121" spans="1:2" x14ac:dyDescent="0.2">
      <c r="A2121" s="649" t="s">
        <v>962</v>
      </c>
      <c r="B2121" s="725" t="s">
        <v>961</v>
      </c>
    </row>
    <row r="2122" spans="1:2" x14ac:dyDescent="0.2">
      <c r="A2122" s="649" t="s">
        <v>8246</v>
      </c>
      <c r="B2122" s="725" t="s">
        <v>8245</v>
      </c>
    </row>
    <row r="2123" spans="1:2" x14ac:dyDescent="0.2">
      <c r="A2123" s="649" t="s">
        <v>7364</v>
      </c>
      <c r="B2123" s="725" t="s">
        <v>7363</v>
      </c>
    </row>
    <row r="2124" spans="1:2" x14ac:dyDescent="0.2">
      <c r="A2124" s="649" t="s">
        <v>7502</v>
      </c>
      <c r="B2124" s="725" t="s">
        <v>7501</v>
      </c>
    </row>
    <row r="2125" spans="1:2" x14ac:dyDescent="0.2">
      <c r="A2125" s="649" t="s">
        <v>7756</v>
      </c>
      <c r="B2125" s="725" t="s">
        <v>7755</v>
      </c>
    </row>
    <row r="2126" spans="1:2" x14ac:dyDescent="0.2">
      <c r="A2126" s="649" t="s">
        <v>3965</v>
      </c>
      <c r="B2126" s="725" t="s">
        <v>3964</v>
      </c>
    </row>
    <row r="2127" spans="1:2" x14ac:dyDescent="0.2">
      <c r="A2127" s="649" t="s">
        <v>5171</v>
      </c>
      <c r="B2127" s="725" t="s">
        <v>5170</v>
      </c>
    </row>
    <row r="2128" spans="1:2" x14ac:dyDescent="0.2">
      <c r="A2128" s="649" t="s">
        <v>6854</v>
      </c>
      <c r="B2128" s="725" t="s">
        <v>6853</v>
      </c>
    </row>
    <row r="2129" spans="1:2" x14ac:dyDescent="0.2">
      <c r="A2129" s="649" t="s">
        <v>2917</v>
      </c>
      <c r="B2129" s="725" t="s">
        <v>2916</v>
      </c>
    </row>
    <row r="2130" spans="1:2" x14ac:dyDescent="0.2">
      <c r="A2130" s="649" t="s">
        <v>2919</v>
      </c>
      <c r="B2130" s="725" t="s">
        <v>2918</v>
      </c>
    </row>
    <row r="2131" spans="1:2" x14ac:dyDescent="0.2">
      <c r="A2131" s="649" t="s">
        <v>2921</v>
      </c>
      <c r="B2131" s="725" t="s">
        <v>2920</v>
      </c>
    </row>
    <row r="2132" spans="1:2" x14ac:dyDescent="0.2">
      <c r="A2132" s="649" t="s">
        <v>4111</v>
      </c>
      <c r="B2132" s="725" t="s">
        <v>4110</v>
      </c>
    </row>
    <row r="2133" spans="1:2" x14ac:dyDescent="0.2">
      <c r="A2133" s="649" t="s">
        <v>7184</v>
      </c>
      <c r="B2133" s="725" t="s">
        <v>7183</v>
      </c>
    </row>
    <row r="2134" spans="1:2" x14ac:dyDescent="0.2">
      <c r="A2134" s="649" t="s">
        <v>5607</v>
      </c>
      <c r="B2134" s="725" t="s">
        <v>5606</v>
      </c>
    </row>
    <row r="2135" spans="1:2" x14ac:dyDescent="0.2">
      <c r="A2135" s="649" t="s">
        <v>7216</v>
      </c>
      <c r="B2135" s="725" t="s">
        <v>7215</v>
      </c>
    </row>
    <row r="2136" spans="1:2" x14ac:dyDescent="0.2">
      <c r="A2136" s="649" t="s">
        <v>1851</v>
      </c>
      <c r="B2136" s="725" t="s">
        <v>1850</v>
      </c>
    </row>
    <row r="2137" spans="1:2" x14ac:dyDescent="0.2">
      <c r="A2137" s="649" t="s">
        <v>1694</v>
      </c>
      <c r="B2137" s="725" t="s">
        <v>1693</v>
      </c>
    </row>
    <row r="2138" spans="1:2" x14ac:dyDescent="0.2">
      <c r="A2138" s="649" t="s">
        <v>2923</v>
      </c>
      <c r="B2138" s="725" t="s">
        <v>2922</v>
      </c>
    </row>
    <row r="2139" spans="1:2" x14ac:dyDescent="0.2">
      <c r="A2139" s="649" t="s">
        <v>1506</v>
      </c>
      <c r="B2139" s="725" t="s">
        <v>1505</v>
      </c>
    </row>
    <row r="2140" spans="1:2" x14ac:dyDescent="0.2">
      <c r="A2140" s="649" t="s">
        <v>7758</v>
      </c>
      <c r="B2140" s="725" t="s">
        <v>7757</v>
      </c>
    </row>
    <row r="2141" spans="1:2" x14ac:dyDescent="0.2">
      <c r="A2141" s="649" t="s">
        <v>5962</v>
      </c>
      <c r="B2141" s="725" t="s">
        <v>5961</v>
      </c>
    </row>
    <row r="2142" spans="1:2" x14ac:dyDescent="0.2">
      <c r="A2142" s="649" t="s">
        <v>1344</v>
      </c>
      <c r="B2142" s="725" t="s">
        <v>1343</v>
      </c>
    </row>
    <row r="2143" spans="1:2" x14ac:dyDescent="0.2">
      <c r="A2143" s="649" t="s">
        <v>1346</v>
      </c>
      <c r="B2143" s="725" t="s">
        <v>1345</v>
      </c>
    </row>
    <row r="2144" spans="1:2" x14ac:dyDescent="0.2">
      <c r="A2144" s="649" t="s">
        <v>1348</v>
      </c>
      <c r="B2144" s="725" t="s">
        <v>1347</v>
      </c>
    </row>
    <row r="2145" spans="1:2" x14ac:dyDescent="0.2">
      <c r="A2145" s="649" t="s">
        <v>1350</v>
      </c>
      <c r="B2145" s="725" t="s">
        <v>1349</v>
      </c>
    </row>
    <row r="2146" spans="1:2" x14ac:dyDescent="0.2">
      <c r="A2146" s="649" t="s">
        <v>1352</v>
      </c>
      <c r="B2146" s="725" t="s">
        <v>1351</v>
      </c>
    </row>
    <row r="2147" spans="1:2" x14ac:dyDescent="0.2">
      <c r="A2147" s="649" t="s">
        <v>1354</v>
      </c>
      <c r="B2147" s="725" t="s">
        <v>1353</v>
      </c>
    </row>
    <row r="2148" spans="1:2" x14ac:dyDescent="0.2">
      <c r="A2148" s="649" t="s">
        <v>1356</v>
      </c>
      <c r="B2148" s="725" t="s">
        <v>1355</v>
      </c>
    </row>
    <row r="2149" spans="1:2" x14ac:dyDescent="0.2">
      <c r="A2149" s="649" t="s">
        <v>1358</v>
      </c>
      <c r="B2149" s="725" t="s">
        <v>1357</v>
      </c>
    </row>
    <row r="2150" spans="1:2" x14ac:dyDescent="0.2">
      <c r="A2150" s="649" t="s">
        <v>1360</v>
      </c>
      <c r="B2150" s="725" t="s">
        <v>1359</v>
      </c>
    </row>
    <row r="2151" spans="1:2" x14ac:dyDescent="0.2">
      <c r="A2151" s="649" t="s">
        <v>1362</v>
      </c>
      <c r="B2151" s="725" t="s">
        <v>1361</v>
      </c>
    </row>
    <row r="2152" spans="1:2" x14ac:dyDescent="0.2">
      <c r="A2152" s="649" t="s">
        <v>1364</v>
      </c>
      <c r="B2152" s="725" t="s">
        <v>1363</v>
      </c>
    </row>
    <row r="2153" spans="1:2" x14ac:dyDescent="0.2">
      <c r="A2153" s="649" t="s">
        <v>1366</v>
      </c>
      <c r="B2153" s="725" t="s">
        <v>1365</v>
      </c>
    </row>
    <row r="2154" spans="1:2" x14ac:dyDescent="0.2">
      <c r="A2154" s="649" t="s">
        <v>1368</v>
      </c>
      <c r="B2154" s="725" t="s">
        <v>1367</v>
      </c>
    </row>
    <row r="2155" spans="1:2" x14ac:dyDescent="0.2">
      <c r="A2155" s="649" t="s">
        <v>1370</v>
      </c>
      <c r="B2155" s="725" t="s">
        <v>1369</v>
      </c>
    </row>
    <row r="2156" spans="1:2" x14ac:dyDescent="0.2">
      <c r="A2156" s="649" t="s">
        <v>1372</v>
      </c>
      <c r="B2156" s="725" t="s">
        <v>1371</v>
      </c>
    </row>
    <row r="2157" spans="1:2" x14ac:dyDescent="0.2">
      <c r="A2157" s="649" t="s">
        <v>1374</v>
      </c>
      <c r="B2157" s="725" t="s">
        <v>1373</v>
      </c>
    </row>
    <row r="2158" spans="1:2" x14ac:dyDescent="0.2">
      <c r="A2158" s="649" t="s">
        <v>1376</v>
      </c>
      <c r="B2158" s="725" t="s">
        <v>1375</v>
      </c>
    </row>
    <row r="2159" spans="1:2" x14ac:dyDescent="0.2">
      <c r="A2159" s="649" t="s">
        <v>1378</v>
      </c>
      <c r="B2159" s="725" t="s">
        <v>1377</v>
      </c>
    </row>
    <row r="2160" spans="1:2" x14ac:dyDescent="0.2">
      <c r="A2160" s="649" t="s">
        <v>1380</v>
      </c>
      <c r="B2160" s="725" t="s">
        <v>1379</v>
      </c>
    </row>
    <row r="2161" spans="1:2" x14ac:dyDescent="0.2">
      <c r="A2161" s="649" t="s">
        <v>1382</v>
      </c>
      <c r="B2161" s="725" t="s">
        <v>1381</v>
      </c>
    </row>
    <row r="2162" spans="1:2" x14ac:dyDescent="0.2">
      <c r="A2162" s="649" t="s">
        <v>1384</v>
      </c>
      <c r="B2162" s="725" t="s">
        <v>1383</v>
      </c>
    </row>
    <row r="2163" spans="1:2" x14ac:dyDescent="0.2">
      <c r="A2163" s="649" t="s">
        <v>1386</v>
      </c>
      <c r="B2163" s="725" t="s">
        <v>1385</v>
      </c>
    </row>
    <row r="2164" spans="1:2" x14ac:dyDescent="0.2">
      <c r="A2164" s="649" t="s">
        <v>1388</v>
      </c>
      <c r="B2164" s="725" t="s">
        <v>1387</v>
      </c>
    </row>
    <row r="2165" spans="1:2" x14ac:dyDescent="0.2">
      <c r="A2165" s="649" t="s">
        <v>4209</v>
      </c>
      <c r="B2165" s="725" t="s">
        <v>4208</v>
      </c>
    </row>
    <row r="2166" spans="1:2" x14ac:dyDescent="0.2">
      <c r="A2166" s="649" t="s">
        <v>6316</v>
      </c>
      <c r="B2166" s="725" t="s">
        <v>6315</v>
      </c>
    </row>
    <row r="2167" spans="1:2" x14ac:dyDescent="0.2">
      <c r="A2167" s="649" t="s">
        <v>8170</v>
      </c>
      <c r="B2167" s="725" t="s">
        <v>8169</v>
      </c>
    </row>
    <row r="2168" spans="1:2" x14ac:dyDescent="0.2">
      <c r="A2168" s="649" t="s">
        <v>7984</v>
      </c>
      <c r="B2168" s="725" t="s">
        <v>7983</v>
      </c>
    </row>
    <row r="2169" spans="1:2" x14ac:dyDescent="0.2">
      <c r="A2169" s="649" t="s">
        <v>4499</v>
      </c>
      <c r="B2169" s="725" t="s">
        <v>4498</v>
      </c>
    </row>
    <row r="2170" spans="1:2" x14ac:dyDescent="0.2">
      <c r="A2170" s="649" t="s">
        <v>7136</v>
      </c>
      <c r="B2170" s="725" t="s">
        <v>7135</v>
      </c>
    </row>
    <row r="2171" spans="1:2" x14ac:dyDescent="0.2">
      <c r="A2171" s="649" t="s">
        <v>4685</v>
      </c>
      <c r="B2171" s="725" t="s">
        <v>4684</v>
      </c>
    </row>
    <row r="2172" spans="1:2" x14ac:dyDescent="0.2">
      <c r="A2172" s="649" t="s">
        <v>2139</v>
      </c>
      <c r="B2172" s="725" t="s">
        <v>2138</v>
      </c>
    </row>
    <row r="2173" spans="1:2" x14ac:dyDescent="0.2">
      <c r="A2173" s="649" t="s">
        <v>6856</v>
      </c>
      <c r="B2173" s="725" t="s">
        <v>6855</v>
      </c>
    </row>
    <row r="2174" spans="1:2" x14ac:dyDescent="0.2">
      <c r="A2174" s="649" t="s">
        <v>4439</v>
      </c>
      <c r="B2174" s="725" t="s">
        <v>4438</v>
      </c>
    </row>
    <row r="2175" spans="1:2" x14ac:dyDescent="0.2">
      <c r="A2175" s="649" t="s">
        <v>8280</v>
      </c>
      <c r="B2175" s="725" t="s">
        <v>8279</v>
      </c>
    </row>
    <row r="2176" spans="1:2" x14ac:dyDescent="0.2">
      <c r="A2176" s="649" t="s">
        <v>5441</v>
      </c>
      <c r="B2176" s="725" t="s">
        <v>5440</v>
      </c>
    </row>
    <row r="2177" spans="1:2" x14ac:dyDescent="0.2">
      <c r="A2177" s="649" t="s">
        <v>8062</v>
      </c>
      <c r="B2177" s="725" t="s">
        <v>8061</v>
      </c>
    </row>
    <row r="2178" spans="1:2" x14ac:dyDescent="0.2">
      <c r="A2178" s="649" t="s">
        <v>8312</v>
      </c>
      <c r="B2178" s="725" t="s">
        <v>8311</v>
      </c>
    </row>
    <row r="2179" spans="1:2" x14ac:dyDescent="0.2">
      <c r="A2179" s="649" t="s">
        <v>6536</v>
      </c>
      <c r="B2179" s="725" t="s">
        <v>6535</v>
      </c>
    </row>
    <row r="2180" spans="1:2" x14ac:dyDescent="0.2">
      <c r="A2180" s="649" t="s">
        <v>1508</v>
      </c>
      <c r="B2180" s="725" t="s">
        <v>1507</v>
      </c>
    </row>
    <row r="2181" spans="1:2" x14ac:dyDescent="0.2">
      <c r="A2181" s="649" t="s">
        <v>4817</v>
      </c>
      <c r="B2181" s="725" t="s">
        <v>4816</v>
      </c>
    </row>
    <row r="2182" spans="1:2" x14ac:dyDescent="0.2">
      <c r="A2182" s="649" t="s">
        <v>5113</v>
      </c>
      <c r="B2182" s="725" t="s">
        <v>5112</v>
      </c>
    </row>
    <row r="2183" spans="1:2" x14ac:dyDescent="0.2">
      <c r="A2183" s="649" t="s">
        <v>2925</v>
      </c>
      <c r="B2183" s="725" t="s">
        <v>2924</v>
      </c>
    </row>
    <row r="2184" spans="1:2" x14ac:dyDescent="0.2">
      <c r="A2184" s="649" t="s">
        <v>4729</v>
      </c>
      <c r="B2184" s="725" t="s">
        <v>4728</v>
      </c>
    </row>
    <row r="2185" spans="1:2" x14ac:dyDescent="0.2">
      <c r="A2185" s="649" t="s">
        <v>2927</v>
      </c>
      <c r="B2185" s="725" t="s">
        <v>2926</v>
      </c>
    </row>
    <row r="2186" spans="1:2" x14ac:dyDescent="0.2">
      <c r="A2186" s="649" t="s">
        <v>2229</v>
      </c>
      <c r="B2186" s="725" t="s">
        <v>2228</v>
      </c>
    </row>
    <row r="2187" spans="1:2" x14ac:dyDescent="0.2">
      <c r="A2187" s="649" t="s">
        <v>1696</v>
      </c>
      <c r="B2187" s="725" t="s">
        <v>1695</v>
      </c>
    </row>
    <row r="2188" spans="1:2" x14ac:dyDescent="0.2">
      <c r="A2188" s="649" t="s">
        <v>5443</v>
      </c>
      <c r="B2188" s="725" t="s">
        <v>5442</v>
      </c>
    </row>
    <row r="2189" spans="1:2" x14ac:dyDescent="0.2">
      <c r="A2189" s="649" t="s">
        <v>2253</v>
      </c>
      <c r="B2189" s="725" t="s">
        <v>2252</v>
      </c>
    </row>
    <row r="2190" spans="1:2" x14ac:dyDescent="0.2">
      <c r="A2190" s="649" t="s">
        <v>4795</v>
      </c>
      <c r="B2190" s="725" t="s">
        <v>4794</v>
      </c>
    </row>
    <row r="2191" spans="1:2" x14ac:dyDescent="0.2">
      <c r="A2191" s="649" t="s">
        <v>3813</v>
      </c>
      <c r="B2191" s="725" t="s">
        <v>3812</v>
      </c>
    </row>
    <row r="2192" spans="1:2" x14ac:dyDescent="0.2">
      <c r="A2192" s="649" t="s">
        <v>7186</v>
      </c>
      <c r="B2192" s="725" t="s">
        <v>7185</v>
      </c>
    </row>
    <row r="2193" spans="1:2" x14ac:dyDescent="0.2">
      <c r="A2193" s="649" t="s">
        <v>5445</v>
      </c>
      <c r="B2193" s="725" t="s">
        <v>5444</v>
      </c>
    </row>
    <row r="2194" spans="1:2" x14ac:dyDescent="0.2">
      <c r="A2194" s="649" t="s">
        <v>2505</v>
      </c>
      <c r="B2194" s="725" t="s">
        <v>2504</v>
      </c>
    </row>
    <row r="2195" spans="1:2" x14ac:dyDescent="0.2">
      <c r="A2195" s="649" t="s">
        <v>1452</v>
      </c>
      <c r="B2195" s="725" t="s">
        <v>1451</v>
      </c>
    </row>
    <row r="2196" spans="1:2" x14ac:dyDescent="0.2">
      <c r="A2196" s="649" t="s">
        <v>4295</v>
      </c>
      <c r="B2196" s="725" t="s">
        <v>4294</v>
      </c>
    </row>
    <row r="2197" spans="1:2" x14ac:dyDescent="0.2">
      <c r="A2197" s="649" t="s">
        <v>1454</v>
      </c>
      <c r="B2197" s="725" t="s">
        <v>1453</v>
      </c>
    </row>
    <row r="2198" spans="1:2" x14ac:dyDescent="0.2">
      <c r="A2198" s="649" t="s">
        <v>5051</v>
      </c>
      <c r="B2198" s="725" t="s">
        <v>5050</v>
      </c>
    </row>
    <row r="2199" spans="1:2" x14ac:dyDescent="0.2">
      <c r="A2199" s="649" t="s">
        <v>1552</v>
      </c>
      <c r="B2199" s="725" t="s">
        <v>1551</v>
      </c>
    </row>
    <row r="2200" spans="1:2" x14ac:dyDescent="0.2">
      <c r="A2200" s="649" t="s">
        <v>614</v>
      </c>
      <c r="B2200" s="725" t="s">
        <v>613</v>
      </c>
    </row>
    <row r="2201" spans="1:2" x14ac:dyDescent="0.2">
      <c r="A2201" s="649" t="s">
        <v>7590</v>
      </c>
      <c r="B2201" s="725" t="s">
        <v>7589</v>
      </c>
    </row>
    <row r="2202" spans="1:2" x14ac:dyDescent="0.2">
      <c r="A2202" s="649" t="s">
        <v>772</v>
      </c>
      <c r="B2202" s="725" t="s">
        <v>771</v>
      </c>
    </row>
    <row r="2203" spans="1:2" x14ac:dyDescent="0.2">
      <c r="A2203" s="649" t="s">
        <v>570</v>
      </c>
      <c r="B2203" s="725" t="s">
        <v>569</v>
      </c>
    </row>
    <row r="2204" spans="1:2" x14ac:dyDescent="0.2">
      <c r="A2204" s="649" t="s">
        <v>2929</v>
      </c>
      <c r="B2204" s="725" t="s">
        <v>2928</v>
      </c>
    </row>
    <row r="2205" spans="1:2" x14ac:dyDescent="0.2">
      <c r="A2205" s="649" t="s">
        <v>2931</v>
      </c>
      <c r="B2205" s="725" t="s">
        <v>2930</v>
      </c>
    </row>
    <row r="2206" spans="1:2" x14ac:dyDescent="0.2">
      <c r="A2206" s="649" t="s">
        <v>2933</v>
      </c>
      <c r="B2206" s="725" t="s">
        <v>2932</v>
      </c>
    </row>
    <row r="2207" spans="1:2" x14ac:dyDescent="0.2">
      <c r="A2207" s="649" t="s">
        <v>7920</v>
      </c>
      <c r="B2207" s="725" t="s">
        <v>7919</v>
      </c>
    </row>
    <row r="2208" spans="1:2" x14ac:dyDescent="0.2">
      <c r="A2208" s="649" t="s">
        <v>7024</v>
      </c>
      <c r="B2208" s="725" t="s">
        <v>7023</v>
      </c>
    </row>
    <row r="2209" spans="1:2" x14ac:dyDescent="0.2">
      <c r="A2209" s="649" t="s">
        <v>2053</v>
      </c>
      <c r="B2209" s="725" t="s">
        <v>2052</v>
      </c>
    </row>
    <row r="2210" spans="1:2" x14ac:dyDescent="0.2">
      <c r="A2210" s="649" t="s">
        <v>4137</v>
      </c>
      <c r="B2210" s="725" t="s">
        <v>4136</v>
      </c>
    </row>
    <row r="2211" spans="1:2" x14ac:dyDescent="0.2">
      <c r="A2211" s="649" t="s">
        <v>5964</v>
      </c>
      <c r="B2211" s="725" t="s">
        <v>5963</v>
      </c>
    </row>
    <row r="2212" spans="1:2" x14ac:dyDescent="0.2">
      <c r="A2212" s="649" t="s">
        <v>1554</v>
      </c>
      <c r="B2212" s="725" t="s">
        <v>1553</v>
      </c>
    </row>
    <row r="2213" spans="1:2" x14ac:dyDescent="0.2">
      <c r="A2213" s="649" t="s">
        <v>4501</v>
      </c>
      <c r="B2213" s="725" t="s">
        <v>4500</v>
      </c>
    </row>
    <row r="2214" spans="1:2" x14ac:dyDescent="0.2">
      <c r="A2214" s="649" t="s">
        <v>1456</v>
      </c>
      <c r="B2214" s="725" t="s">
        <v>1455</v>
      </c>
    </row>
    <row r="2215" spans="1:2" x14ac:dyDescent="0.2">
      <c r="A2215" s="649" t="s">
        <v>6438</v>
      </c>
      <c r="B2215" s="725" t="s">
        <v>6437</v>
      </c>
    </row>
    <row r="2216" spans="1:2" x14ac:dyDescent="0.2">
      <c r="A2216" s="649" t="s">
        <v>4441</v>
      </c>
      <c r="B2216" s="725" t="s">
        <v>4440</v>
      </c>
    </row>
    <row r="2217" spans="1:2" x14ac:dyDescent="0.2">
      <c r="A2217" s="649" t="s">
        <v>7026</v>
      </c>
      <c r="B2217" s="725" t="s">
        <v>7025</v>
      </c>
    </row>
    <row r="2218" spans="1:2" x14ac:dyDescent="0.2">
      <c r="A2218" s="649" t="s">
        <v>5275</v>
      </c>
      <c r="B2218" s="725" t="s">
        <v>5274</v>
      </c>
    </row>
    <row r="2219" spans="1:2" x14ac:dyDescent="0.2">
      <c r="A2219" s="649" t="s">
        <v>8172</v>
      </c>
      <c r="B2219" s="725" t="s">
        <v>8171</v>
      </c>
    </row>
    <row r="2220" spans="1:2" x14ac:dyDescent="0.2">
      <c r="A2220" s="649" t="s">
        <v>8328</v>
      </c>
      <c r="B2220" s="725" t="s">
        <v>8327</v>
      </c>
    </row>
    <row r="2221" spans="1:2" x14ac:dyDescent="0.2">
      <c r="A2221" s="649" t="s">
        <v>1853</v>
      </c>
      <c r="B2221" s="725" t="s">
        <v>1852</v>
      </c>
    </row>
    <row r="2222" spans="1:2" x14ac:dyDescent="0.2">
      <c r="A2222" s="649" t="s">
        <v>4343</v>
      </c>
      <c r="B2222" s="725" t="s">
        <v>4342</v>
      </c>
    </row>
    <row r="2223" spans="1:2" x14ac:dyDescent="0.2">
      <c r="A2223" s="649" t="s">
        <v>6538</v>
      </c>
      <c r="B2223" s="725" t="s">
        <v>6537</v>
      </c>
    </row>
    <row r="2224" spans="1:2" x14ac:dyDescent="0.2">
      <c r="A2224" s="649" t="s">
        <v>7592</v>
      </c>
      <c r="B2224" s="725" t="s">
        <v>7591</v>
      </c>
    </row>
    <row r="2225" spans="1:2" x14ac:dyDescent="0.2">
      <c r="A2225" s="649" t="s">
        <v>1556</v>
      </c>
      <c r="B2225" s="725" t="s">
        <v>1555</v>
      </c>
    </row>
    <row r="2226" spans="1:2" x14ac:dyDescent="0.2">
      <c r="A2226" s="649" t="s">
        <v>3517</v>
      </c>
      <c r="B2226" s="725" t="s">
        <v>3516</v>
      </c>
    </row>
    <row r="2227" spans="1:2" x14ac:dyDescent="0.2">
      <c r="A2227" s="649" t="s">
        <v>2507</v>
      </c>
      <c r="B2227" s="725" t="s">
        <v>2506</v>
      </c>
    </row>
    <row r="2228" spans="1:2" x14ac:dyDescent="0.2">
      <c r="A2228" s="649" t="s">
        <v>2509</v>
      </c>
      <c r="B2228" s="725" t="s">
        <v>2508</v>
      </c>
    </row>
    <row r="2229" spans="1:2" x14ac:dyDescent="0.2">
      <c r="A2229" s="649" t="s">
        <v>2511</v>
      </c>
      <c r="B2229" s="725" t="s">
        <v>2510</v>
      </c>
    </row>
    <row r="2230" spans="1:2" x14ac:dyDescent="0.2">
      <c r="A2230" s="649" t="s">
        <v>6858</v>
      </c>
      <c r="B2230" s="725" t="s">
        <v>6857</v>
      </c>
    </row>
    <row r="2231" spans="1:2" x14ac:dyDescent="0.2">
      <c r="A2231" s="649" t="s">
        <v>5447</v>
      </c>
      <c r="B2231" s="725" t="s">
        <v>5446</v>
      </c>
    </row>
    <row r="2232" spans="1:2" x14ac:dyDescent="0.2">
      <c r="A2232" s="649" t="s">
        <v>2935</v>
      </c>
      <c r="B2232" s="725" t="s">
        <v>2934</v>
      </c>
    </row>
    <row r="2233" spans="1:2" x14ac:dyDescent="0.2">
      <c r="A2233" s="649" t="s">
        <v>4819</v>
      </c>
      <c r="B2233" s="725" t="s">
        <v>4818</v>
      </c>
    </row>
    <row r="2234" spans="1:2" x14ac:dyDescent="0.2">
      <c r="A2234" s="649" t="s">
        <v>5966</v>
      </c>
      <c r="B2234" s="725" t="s">
        <v>5965</v>
      </c>
    </row>
    <row r="2235" spans="1:2" x14ac:dyDescent="0.2">
      <c r="A2235" s="649" t="s">
        <v>1062</v>
      </c>
      <c r="B2235" s="725" t="s">
        <v>1061</v>
      </c>
    </row>
    <row r="2236" spans="1:2" x14ac:dyDescent="0.2">
      <c r="A2236" s="649" t="s">
        <v>7504</v>
      </c>
      <c r="B2236" s="725" t="s">
        <v>7503</v>
      </c>
    </row>
    <row r="2237" spans="1:2" x14ac:dyDescent="0.2">
      <c r="A2237" s="649" t="s">
        <v>4973</v>
      </c>
      <c r="B2237" s="725" t="s">
        <v>4972</v>
      </c>
    </row>
    <row r="2238" spans="1:2" x14ac:dyDescent="0.2">
      <c r="A2238" s="649" t="s">
        <v>6860</v>
      </c>
      <c r="B2238" s="725" t="s">
        <v>6859</v>
      </c>
    </row>
    <row r="2239" spans="1:2" x14ac:dyDescent="0.2">
      <c r="A2239" s="649" t="s">
        <v>2141</v>
      </c>
      <c r="B2239" s="725" t="s">
        <v>2140</v>
      </c>
    </row>
    <row r="2240" spans="1:2" x14ac:dyDescent="0.2">
      <c r="A2240" s="649" t="s">
        <v>3659</v>
      </c>
      <c r="B2240" s="725" t="s">
        <v>3658</v>
      </c>
    </row>
    <row r="2241" spans="1:2" x14ac:dyDescent="0.2">
      <c r="A2241" s="649" t="s">
        <v>7600</v>
      </c>
      <c r="B2241" s="725" t="s">
        <v>7599</v>
      </c>
    </row>
    <row r="2242" spans="1:2" x14ac:dyDescent="0.2">
      <c r="A2242" s="649" t="s">
        <v>1458</v>
      </c>
      <c r="B2242" s="725" t="s">
        <v>1457</v>
      </c>
    </row>
    <row r="2243" spans="1:2" x14ac:dyDescent="0.2">
      <c r="A2243" s="649" t="s">
        <v>4883</v>
      </c>
      <c r="B2243" s="725" t="s">
        <v>4882</v>
      </c>
    </row>
    <row r="2244" spans="1:2" x14ac:dyDescent="0.2">
      <c r="A2244" s="649" t="s">
        <v>1460</v>
      </c>
      <c r="B2244" s="725" t="s">
        <v>1459</v>
      </c>
    </row>
    <row r="2245" spans="1:2" x14ac:dyDescent="0.2">
      <c r="A2245" s="649" t="s">
        <v>6440</v>
      </c>
      <c r="B2245" s="725" t="s">
        <v>6439</v>
      </c>
    </row>
    <row r="2246" spans="1:2" x14ac:dyDescent="0.2">
      <c r="A2246" s="649" t="s">
        <v>5968</v>
      </c>
      <c r="B2246" s="725" t="s">
        <v>5967</v>
      </c>
    </row>
    <row r="2247" spans="1:2" x14ac:dyDescent="0.2">
      <c r="A2247" s="649" t="s">
        <v>4821</v>
      </c>
      <c r="B2247" s="725" t="s">
        <v>4820</v>
      </c>
    </row>
    <row r="2248" spans="1:2" x14ac:dyDescent="0.2">
      <c r="A2248" s="649" t="s">
        <v>7000</v>
      </c>
      <c r="B2248" s="725" t="s">
        <v>6999</v>
      </c>
    </row>
    <row r="2249" spans="1:2" x14ac:dyDescent="0.2">
      <c r="A2249" s="649" t="s">
        <v>8174</v>
      </c>
      <c r="B2249" s="725" t="s">
        <v>8173</v>
      </c>
    </row>
    <row r="2250" spans="1:2" x14ac:dyDescent="0.2">
      <c r="A2250" s="649" t="s">
        <v>8264</v>
      </c>
      <c r="B2250" s="725" t="s">
        <v>8263</v>
      </c>
    </row>
    <row r="2251" spans="1:2" x14ac:dyDescent="0.2">
      <c r="A2251" s="649" t="s">
        <v>6862</v>
      </c>
      <c r="B2251" s="725" t="s">
        <v>6861</v>
      </c>
    </row>
    <row r="2252" spans="1:2" x14ac:dyDescent="0.2">
      <c r="A2252" s="649" t="s">
        <v>5970</v>
      </c>
      <c r="B2252" s="725" t="s">
        <v>5969</v>
      </c>
    </row>
    <row r="2253" spans="1:2" x14ac:dyDescent="0.2">
      <c r="A2253" s="649" t="s">
        <v>6640</v>
      </c>
      <c r="B2253" s="725" t="s">
        <v>6639</v>
      </c>
    </row>
    <row r="2254" spans="1:2" x14ac:dyDescent="0.2">
      <c r="A2254" s="649" t="s">
        <v>2937</v>
      </c>
      <c r="B2254" s="725" t="s">
        <v>2936</v>
      </c>
    </row>
    <row r="2255" spans="1:2" x14ac:dyDescent="0.2">
      <c r="A2255" s="649" t="s">
        <v>8064</v>
      </c>
      <c r="B2255" s="725" t="s">
        <v>8063</v>
      </c>
    </row>
    <row r="2256" spans="1:2" x14ac:dyDescent="0.2">
      <c r="A2256" s="649" t="s">
        <v>5351</v>
      </c>
      <c r="B2256" s="725" t="s">
        <v>5350</v>
      </c>
    </row>
    <row r="2257" spans="1:2" x14ac:dyDescent="0.2">
      <c r="A2257" s="649" t="s">
        <v>8090</v>
      </c>
      <c r="B2257" s="725" t="s">
        <v>8089</v>
      </c>
    </row>
    <row r="2258" spans="1:2" x14ac:dyDescent="0.2">
      <c r="A2258" s="649" t="s">
        <v>4665</v>
      </c>
      <c r="B2258" s="725" t="s">
        <v>4664</v>
      </c>
    </row>
    <row r="2259" spans="1:2" x14ac:dyDescent="0.2">
      <c r="A2259" s="649" t="s">
        <v>4075</v>
      </c>
      <c r="B2259" s="725" t="s">
        <v>4074</v>
      </c>
    </row>
    <row r="2260" spans="1:2" x14ac:dyDescent="0.2">
      <c r="A2260" s="649" t="s">
        <v>7100</v>
      </c>
      <c r="B2260" s="725" t="s">
        <v>7099</v>
      </c>
    </row>
    <row r="2261" spans="1:2" x14ac:dyDescent="0.2">
      <c r="A2261" s="649" t="s">
        <v>710</v>
      </c>
      <c r="B2261" s="725" t="s">
        <v>709</v>
      </c>
    </row>
    <row r="2262" spans="1:2" x14ac:dyDescent="0.2">
      <c r="A2262" s="649" t="s">
        <v>1855</v>
      </c>
      <c r="B2262" s="725" t="s">
        <v>1854</v>
      </c>
    </row>
    <row r="2263" spans="1:2" x14ac:dyDescent="0.2">
      <c r="A2263" s="649" t="s">
        <v>4297</v>
      </c>
      <c r="B2263" s="725" t="s">
        <v>4296</v>
      </c>
    </row>
    <row r="2264" spans="1:2" x14ac:dyDescent="0.2">
      <c r="A2264" s="649" t="s">
        <v>3551</v>
      </c>
      <c r="B2264" s="725" t="s">
        <v>3550</v>
      </c>
    </row>
    <row r="2265" spans="1:2" x14ac:dyDescent="0.2">
      <c r="A2265" s="649" t="s">
        <v>8176</v>
      </c>
      <c r="B2265" s="725" t="s">
        <v>8175</v>
      </c>
    </row>
    <row r="2266" spans="1:2" x14ac:dyDescent="0.2">
      <c r="A2266" s="649" t="s">
        <v>4975</v>
      </c>
      <c r="B2266" s="725" t="s">
        <v>4974</v>
      </c>
    </row>
    <row r="2267" spans="1:2" x14ac:dyDescent="0.2">
      <c r="A2267" s="649" t="s">
        <v>6590</v>
      </c>
      <c r="B2267" s="725" t="s">
        <v>6589</v>
      </c>
    </row>
    <row r="2268" spans="1:2" x14ac:dyDescent="0.2">
      <c r="A2268" s="649" t="s">
        <v>8178</v>
      </c>
      <c r="B2268" s="725" t="s">
        <v>8177</v>
      </c>
    </row>
    <row r="2269" spans="1:2" x14ac:dyDescent="0.2">
      <c r="A2269" s="649" t="s">
        <v>2939</v>
      </c>
      <c r="B2269" s="725" t="s">
        <v>2938</v>
      </c>
    </row>
    <row r="2270" spans="1:2" x14ac:dyDescent="0.2">
      <c r="A2270" s="649" t="s">
        <v>7506</v>
      </c>
      <c r="B2270" s="725" t="s">
        <v>7505</v>
      </c>
    </row>
    <row r="2271" spans="1:2" x14ac:dyDescent="0.2">
      <c r="A2271" s="649" t="s">
        <v>7508</v>
      </c>
      <c r="B2271" s="725" t="s">
        <v>7507</v>
      </c>
    </row>
    <row r="2272" spans="1:2" x14ac:dyDescent="0.2">
      <c r="A2272" s="649" t="s">
        <v>1620</v>
      </c>
      <c r="B2272" s="725" t="s">
        <v>1619</v>
      </c>
    </row>
    <row r="2273" spans="1:2" x14ac:dyDescent="0.2">
      <c r="A2273" s="649" t="s">
        <v>7510</v>
      </c>
      <c r="B2273" s="725" t="s">
        <v>7509</v>
      </c>
    </row>
    <row r="2274" spans="1:2" x14ac:dyDescent="0.2">
      <c r="A2274" s="649" t="s">
        <v>6264</v>
      </c>
      <c r="B2274" s="725" t="s">
        <v>6263</v>
      </c>
    </row>
    <row r="2275" spans="1:2" x14ac:dyDescent="0.2">
      <c r="A2275" s="649" t="s">
        <v>7512</v>
      </c>
      <c r="B2275" s="725" t="s">
        <v>7511</v>
      </c>
    </row>
    <row r="2276" spans="1:2" x14ac:dyDescent="0.2">
      <c r="A2276" s="649" t="s">
        <v>6266</v>
      </c>
      <c r="B2276" s="725" t="s">
        <v>6265</v>
      </c>
    </row>
    <row r="2277" spans="1:2" x14ac:dyDescent="0.2">
      <c r="A2277" s="649" t="s">
        <v>5972</v>
      </c>
      <c r="B2277" s="725" t="s">
        <v>5971</v>
      </c>
    </row>
    <row r="2278" spans="1:2" x14ac:dyDescent="0.2">
      <c r="A2278" s="649" t="s">
        <v>7280</v>
      </c>
      <c r="B2278" s="725" t="s">
        <v>7279</v>
      </c>
    </row>
    <row r="2279" spans="1:2" x14ac:dyDescent="0.2">
      <c r="A2279" s="649" t="s">
        <v>6396</v>
      </c>
      <c r="B2279" s="725" t="s">
        <v>6395</v>
      </c>
    </row>
    <row r="2280" spans="1:2" x14ac:dyDescent="0.2">
      <c r="A2280" s="649" t="s">
        <v>6396</v>
      </c>
      <c r="B2280" s="725" t="s">
        <v>10383</v>
      </c>
    </row>
    <row r="2281" spans="1:2" x14ac:dyDescent="0.2">
      <c r="A2281" s="649" t="s">
        <v>6396</v>
      </c>
      <c r="B2281" s="725" t="s">
        <v>10384</v>
      </c>
    </row>
    <row r="2282" spans="1:2" x14ac:dyDescent="0.2">
      <c r="A2282" s="649" t="s">
        <v>7624</v>
      </c>
      <c r="B2282" s="725" t="s">
        <v>7623</v>
      </c>
    </row>
    <row r="2283" spans="1:2" x14ac:dyDescent="0.2">
      <c r="A2283" s="649" t="s">
        <v>6642</v>
      </c>
      <c r="B2283" s="725" t="s">
        <v>6641</v>
      </c>
    </row>
    <row r="2284" spans="1:2" x14ac:dyDescent="0.2">
      <c r="A2284" s="649" t="s">
        <v>3967</v>
      </c>
      <c r="B2284" s="725" t="s">
        <v>3966</v>
      </c>
    </row>
    <row r="2285" spans="1:2" x14ac:dyDescent="0.2">
      <c r="A2285" s="649" t="s">
        <v>2011</v>
      </c>
      <c r="B2285" s="725" t="s">
        <v>2010</v>
      </c>
    </row>
    <row r="2286" spans="1:2" x14ac:dyDescent="0.2">
      <c r="A2286" s="649" t="s">
        <v>3969</v>
      </c>
      <c r="B2286" s="725" t="s">
        <v>3968</v>
      </c>
    </row>
    <row r="2287" spans="1:2" x14ac:dyDescent="0.2">
      <c r="A2287" s="649" t="s">
        <v>2513</v>
      </c>
      <c r="B2287" s="725" t="s">
        <v>2512</v>
      </c>
    </row>
    <row r="2288" spans="1:2" x14ac:dyDescent="0.2">
      <c r="A2288" s="649" t="s">
        <v>5277</v>
      </c>
      <c r="B2288" s="725" t="s">
        <v>5276</v>
      </c>
    </row>
    <row r="2289" spans="1:2" x14ac:dyDescent="0.2">
      <c r="A2289" s="649" t="s">
        <v>3627</v>
      </c>
      <c r="B2289" s="725" t="s">
        <v>3626</v>
      </c>
    </row>
    <row r="2290" spans="1:2" x14ac:dyDescent="0.2">
      <c r="A2290" s="649" t="s">
        <v>550</v>
      </c>
      <c r="B2290" s="725" t="s">
        <v>549</v>
      </c>
    </row>
    <row r="2291" spans="1:2" x14ac:dyDescent="0.2">
      <c r="A2291" s="649" t="s">
        <v>7330</v>
      </c>
      <c r="B2291" s="725" t="s">
        <v>7329</v>
      </c>
    </row>
    <row r="2292" spans="1:2" x14ac:dyDescent="0.2">
      <c r="A2292" s="649" t="s">
        <v>774</v>
      </c>
      <c r="B2292" s="725" t="s">
        <v>773</v>
      </c>
    </row>
    <row r="2293" spans="1:2" x14ac:dyDescent="0.2">
      <c r="A2293" s="649" t="s">
        <v>3481</v>
      </c>
      <c r="B2293" s="725" t="s">
        <v>3480</v>
      </c>
    </row>
    <row r="2294" spans="1:2" x14ac:dyDescent="0.2">
      <c r="A2294" s="649" t="s">
        <v>6692</v>
      </c>
      <c r="B2294" s="725" t="s">
        <v>6691</v>
      </c>
    </row>
    <row r="2295" spans="1:2" x14ac:dyDescent="0.2">
      <c r="A2295" s="649" t="s">
        <v>5493</v>
      </c>
      <c r="B2295" s="725" t="s">
        <v>5492</v>
      </c>
    </row>
    <row r="2296" spans="1:2" x14ac:dyDescent="0.2">
      <c r="A2296" s="649" t="s">
        <v>395</v>
      </c>
      <c r="B2296" s="725" t="s">
        <v>394</v>
      </c>
    </row>
    <row r="2297" spans="1:2" x14ac:dyDescent="0.2">
      <c r="A2297" s="649" t="s">
        <v>4687</v>
      </c>
      <c r="B2297" s="725" t="s">
        <v>4686</v>
      </c>
    </row>
    <row r="2298" spans="1:2" x14ac:dyDescent="0.2">
      <c r="A2298" s="649" t="s">
        <v>5974</v>
      </c>
      <c r="B2298" s="725" t="s">
        <v>5973</v>
      </c>
    </row>
    <row r="2299" spans="1:2" x14ac:dyDescent="0.2">
      <c r="A2299" s="649" t="s">
        <v>8000</v>
      </c>
      <c r="B2299" s="725" t="s">
        <v>7999</v>
      </c>
    </row>
    <row r="2300" spans="1:2" x14ac:dyDescent="0.2">
      <c r="A2300" s="649" t="s">
        <v>8266</v>
      </c>
      <c r="B2300" s="725" t="s">
        <v>8265</v>
      </c>
    </row>
    <row r="2301" spans="1:2" x14ac:dyDescent="0.2">
      <c r="A2301" s="649" t="s">
        <v>776</v>
      </c>
      <c r="B2301" s="725" t="s">
        <v>775</v>
      </c>
    </row>
    <row r="2302" spans="1:2" x14ac:dyDescent="0.2">
      <c r="A2302" s="649" t="s">
        <v>7028</v>
      </c>
      <c r="B2302" s="725" t="s">
        <v>7027</v>
      </c>
    </row>
    <row r="2303" spans="1:2" x14ac:dyDescent="0.2">
      <c r="A2303" s="649" t="s">
        <v>413</v>
      </c>
      <c r="B2303" s="725" t="s">
        <v>412</v>
      </c>
    </row>
    <row r="2304" spans="1:2" x14ac:dyDescent="0.2">
      <c r="A2304" s="649" t="s">
        <v>832</v>
      </c>
      <c r="B2304" s="725" t="s">
        <v>831</v>
      </c>
    </row>
    <row r="2305" spans="1:2" x14ac:dyDescent="0.2">
      <c r="A2305" s="649" t="s">
        <v>7030</v>
      </c>
      <c r="B2305" s="725" t="s">
        <v>7029</v>
      </c>
    </row>
    <row r="2306" spans="1:2" x14ac:dyDescent="0.2">
      <c r="A2306" s="649" t="s">
        <v>7032</v>
      </c>
      <c r="B2306" s="725" t="s">
        <v>7031</v>
      </c>
    </row>
    <row r="2307" spans="1:2" x14ac:dyDescent="0.2">
      <c r="A2307" s="649" t="s">
        <v>8268</v>
      </c>
      <c r="B2307" s="725" t="s">
        <v>8267</v>
      </c>
    </row>
    <row r="2308" spans="1:2" x14ac:dyDescent="0.2">
      <c r="A2308" s="649" t="s">
        <v>2013</v>
      </c>
      <c r="B2308" s="725" t="s">
        <v>2012</v>
      </c>
    </row>
    <row r="2309" spans="1:2" x14ac:dyDescent="0.2">
      <c r="A2309" s="649" t="s">
        <v>2015</v>
      </c>
      <c r="B2309" s="725" t="s">
        <v>2014</v>
      </c>
    </row>
    <row r="2310" spans="1:2" x14ac:dyDescent="0.2">
      <c r="A2310" s="649" t="s">
        <v>620</v>
      </c>
      <c r="B2310" s="725" t="s">
        <v>619</v>
      </c>
    </row>
    <row r="2311" spans="1:2" x14ac:dyDescent="0.2">
      <c r="A2311" s="649" t="s">
        <v>8270</v>
      </c>
      <c r="B2311" s="725" t="s">
        <v>8269</v>
      </c>
    </row>
    <row r="2312" spans="1:2" x14ac:dyDescent="0.2">
      <c r="A2312" s="649" t="s">
        <v>449</v>
      </c>
      <c r="B2312" s="725" t="s">
        <v>448</v>
      </c>
    </row>
    <row r="2313" spans="1:2" x14ac:dyDescent="0.2">
      <c r="A2313" s="649" t="s">
        <v>778</v>
      </c>
      <c r="B2313" s="725" t="s">
        <v>777</v>
      </c>
    </row>
    <row r="2314" spans="1:2" x14ac:dyDescent="0.2">
      <c r="A2314" s="649" t="s">
        <v>2941</v>
      </c>
      <c r="B2314" s="725" t="s">
        <v>2940</v>
      </c>
    </row>
    <row r="2315" spans="1:2" x14ac:dyDescent="0.2">
      <c r="A2315" s="649" t="s">
        <v>2943</v>
      </c>
      <c r="B2315" s="725" t="s">
        <v>2942</v>
      </c>
    </row>
    <row r="2316" spans="1:2" x14ac:dyDescent="0.2">
      <c r="A2316" s="649" t="s">
        <v>8340</v>
      </c>
      <c r="B2316" s="725" t="s">
        <v>8339</v>
      </c>
    </row>
    <row r="2317" spans="1:2" x14ac:dyDescent="0.2">
      <c r="A2317" s="649" t="s">
        <v>7102</v>
      </c>
      <c r="B2317" s="725" t="s">
        <v>7101</v>
      </c>
    </row>
    <row r="2318" spans="1:2" x14ac:dyDescent="0.2">
      <c r="A2318" s="649" t="s">
        <v>2231</v>
      </c>
      <c r="B2318" s="725" t="s">
        <v>2230</v>
      </c>
    </row>
    <row r="2319" spans="1:2" x14ac:dyDescent="0.2">
      <c r="A2319" s="649" t="s">
        <v>397</v>
      </c>
      <c r="B2319" s="725" t="s">
        <v>396</v>
      </c>
    </row>
    <row r="2320" spans="1:2" x14ac:dyDescent="0.2">
      <c r="A2320" s="649" t="s">
        <v>4211</v>
      </c>
      <c r="B2320" s="725" t="s">
        <v>4210</v>
      </c>
    </row>
    <row r="2321" spans="1:2" x14ac:dyDescent="0.2">
      <c r="A2321" s="649" t="s">
        <v>5241</v>
      </c>
      <c r="B2321" s="725" t="s">
        <v>5240</v>
      </c>
    </row>
    <row r="2322" spans="1:2" x14ac:dyDescent="0.2">
      <c r="A2322" s="649" t="s">
        <v>1857</v>
      </c>
      <c r="B2322" s="725" t="s">
        <v>1856</v>
      </c>
    </row>
    <row r="2323" spans="1:2" x14ac:dyDescent="0.2">
      <c r="A2323" s="649" t="s">
        <v>7922</v>
      </c>
      <c r="B2323" s="725" t="s">
        <v>7921</v>
      </c>
    </row>
    <row r="2324" spans="1:2" x14ac:dyDescent="0.2">
      <c r="A2324" s="649" t="s">
        <v>780</v>
      </c>
      <c r="B2324" s="725" t="s">
        <v>779</v>
      </c>
    </row>
    <row r="2325" spans="1:2" x14ac:dyDescent="0.2">
      <c r="A2325" s="649" t="s">
        <v>1781</v>
      </c>
      <c r="B2325" s="725" t="s">
        <v>1780</v>
      </c>
    </row>
    <row r="2326" spans="1:2" x14ac:dyDescent="0.2">
      <c r="A2326" s="649" t="s">
        <v>7392</v>
      </c>
      <c r="B2326" s="725" t="s">
        <v>7391</v>
      </c>
    </row>
    <row r="2327" spans="1:2" x14ac:dyDescent="0.2">
      <c r="A2327" s="649" t="s">
        <v>6540</v>
      </c>
      <c r="B2327" s="725" t="s">
        <v>6539</v>
      </c>
    </row>
    <row r="2328" spans="1:2" x14ac:dyDescent="0.2">
      <c r="A2328" s="649" t="s">
        <v>2321</v>
      </c>
      <c r="B2328" s="725" t="s">
        <v>2320</v>
      </c>
    </row>
    <row r="2329" spans="1:2" x14ac:dyDescent="0.2">
      <c r="A2329" s="649" t="s">
        <v>1859</v>
      </c>
      <c r="B2329" s="725" t="s">
        <v>1858</v>
      </c>
    </row>
    <row r="2330" spans="1:2" x14ac:dyDescent="0.2">
      <c r="A2330" s="649" t="s">
        <v>6864</v>
      </c>
      <c r="B2330" s="725" t="s">
        <v>6863</v>
      </c>
    </row>
    <row r="2331" spans="1:2" x14ac:dyDescent="0.2">
      <c r="A2331" s="649" t="s">
        <v>8272</v>
      </c>
      <c r="B2331" s="725" t="s">
        <v>8271</v>
      </c>
    </row>
    <row r="2332" spans="1:2" x14ac:dyDescent="0.2">
      <c r="A2332" s="649" t="s">
        <v>7924</v>
      </c>
      <c r="B2332" s="725" t="s">
        <v>7923</v>
      </c>
    </row>
    <row r="2333" spans="1:2" x14ac:dyDescent="0.2">
      <c r="A2333" s="649" t="s">
        <v>2945</v>
      </c>
      <c r="B2333" s="725" t="s">
        <v>2944</v>
      </c>
    </row>
    <row r="2334" spans="1:2" x14ac:dyDescent="0.2">
      <c r="A2334" s="649" t="s">
        <v>712</v>
      </c>
      <c r="B2334" s="725" t="s">
        <v>711</v>
      </c>
    </row>
    <row r="2335" spans="1:2" x14ac:dyDescent="0.2">
      <c r="A2335" s="649" t="s">
        <v>714</v>
      </c>
      <c r="B2335" s="725" t="s">
        <v>713</v>
      </c>
    </row>
    <row r="2336" spans="1:2" x14ac:dyDescent="0.2">
      <c r="A2336" s="649" t="s">
        <v>5173</v>
      </c>
      <c r="B2336" s="725" t="s">
        <v>5172</v>
      </c>
    </row>
    <row r="2337" spans="1:2" x14ac:dyDescent="0.2">
      <c r="A2337" s="649" t="s">
        <v>3629</v>
      </c>
      <c r="B2337" s="725" t="s">
        <v>3628</v>
      </c>
    </row>
    <row r="2338" spans="1:2" x14ac:dyDescent="0.2">
      <c r="A2338" s="649" t="s">
        <v>4299</v>
      </c>
      <c r="B2338" s="725" t="s">
        <v>4298</v>
      </c>
    </row>
    <row r="2339" spans="1:2" x14ac:dyDescent="0.2">
      <c r="A2339" s="649" t="s">
        <v>8180</v>
      </c>
      <c r="B2339" s="725" t="s">
        <v>8179</v>
      </c>
    </row>
    <row r="2340" spans="1:2" x14ac:dyDescent="0.2">
      <c r="A2340" s="649" t="s">
        <v>10385</v>
      </c>
      <c r="B2340" s="725" t="s">
        <v>10386</v>
      </c>
    </row>
    <row r="2341" spans="1:2" x14ac:dyDescent="0.2">
      <c r="A2341" s="649" t="s">
        <v>2947</v>
      </c>
      <c r="B2341" s="725" t="s">
        <v>2946</v>
      </c>
    </row>
    <row r="2342" spans="1:2" x14ac:dyDescent="0.2">
      <c r="A2342" s="649" t="s">
        <v>2949</v>
      </c>
      <c r="B2342" s="725" t="s">
        <v>2948</v>
      </c>
    </row>
    <row r="2343" spans="1:2" x14ac:dyDescent="0.2">
      <c r="A2343" s="649" t="s">
        <v>6398</v>
      </c>
      <c r="B2343" s="725" t="s">
        <v>6397</v>
      </c>
    </row>
    <row r="2344" spans="1:2" x14ac:dyDescent="0.2">
      <c r="A2344" s="649" t="s">
        <v>6398</v>
      </c>
      <c r="B2344" s="725" t="s">
        <v>10387</v>
      </c>
    </row>
    <row r="2345" spans="1:2" x14ac:dyDescent="0.2">
      <c r="A2345" s="649" t="s">
        <v>6398</v>
      </c>
      <c r="B2345" s="725" t="s">
        <v>10388</v>
      </c>
    </row>
    <row r="2346" spans="1:2" x14ac:dyDescent="0.2">
      <c r="A2346" s="649" t="s">
        <v>8288</v>
      </c>
      <c r="B2346" s="725" t="s">
        <v>8287</v>
      </c>
    </row>
    <row r="2347" spans="1:2" x14ac:dyDescent="0.2">
      <c r="A2347" s="649" t="s">
        <v>7104</v>
      </c>
      <c r="B2347" s="725" t="s">
        <v>7103</v>
      </c>
    </row>
    <row r="2348" spans="1:2" x14ac:dyDescent="0.2">
      <c r="A2348" s="649" t="s">
        <v>5175</v>
      </c>
      <c r="B2348" s="725" t="s">
        <v>5174</v>
      </c>
    </row>
    <row r="2349" spans="1:2" x14ac:dyDescent="0.2">
      <c r="A2349" s="649" t="s">
        <v>5177</v>
      </c>
      <c r="B2349" s="725" t="s">
        <v>5176</v>
      </c>
    </row>
    <row r="2350" spans="1:2" x14ac:dyDescent="0.2">
      <c r="A2350" s="649" t="s">
        <v>5329</v>
      </c>
      <c r="B2350" s="725" t="s">
        <v>5328</v>
      </c>
    </row>
    <row r="2351" spans="1:2" x14ac:dyDescent="0.2">
      <c r="A2351" s="649" t="s">
        <v>8084</v>
      </c>
      <c r="B2351" s="725" t="s">
        <v>8083</v>
      </c>
    </row>
    <row r="2352" spans="1:2" x14ac:dyDescent="0.2">
      <c r="A2352" s="649" t="s">
        <v>5609</v>
      </c>
      <c r="B2352" s="725" t="s">
        <v>5608</v>
      </c>
    </row>
    <row r="2353" spans="1:2" x14ac:dyDescent="0.2">
      <c r="A2353" s="649" t="s">
        <v>8002</v>
      </c>
      <c r="B2353" s="725" t="s">
        <v>8001</v>
      </c>
    </row>
    <row r="2354" spans="1:2" x14ac:dyDescent="0.2">
      <c r="A2354" s="649" t="s">
        <v>4133</v>
      </c>
      <c r="B2354" s="725" t="s">
        <v>4132</v>
      </c>
    </row>
    <row r="2355" spans="1:2" x14ac:dyDescent="0.2">
      <c r="A2355" s="649" t="s">
        <v>5179</v>
      </c>
      <c r="B2355" s="725" t="s">
        <v>5178</v>
      </c>
    </row>
    <row r="2356" spans="1:2" x14ac:dyDescent="0.2">
      <c r="A2356" s="649" t="s">
        <v>5181</v>
      </c>
      <c r="B2356" s="725" t="s">
        <v>5180</v>
      </c>
    </row>
    <row r="2357" spans="1:2" x14ac:dyDescent="0.2">
      <c r="A2357" s="649" t="s">
        <v>5183</v>
      </c>
      <c r="B2357" s="725" t="s">
        <v>5182</v>
      </c>
    </row>
    <row r="2358" spans="1:2" x14ac:dyDescent="0.2">
      <c r="A2358" s="649" t="s">
        <v>5185</v>
      </c>
      <c r="B2358" s="725" t="s">
        <v>5184</v>
      </c>
    </row>
    <row r="2359" spans="1:2" x14ac:dyDescent="0.2">
      <c r="A2359" s="649" t="s">
        <v>5279</v>
      </c>
      <c r="B2359" s="725" t="s">
        <v>5278</v>
      </c>
    </row>
    <row r="2360" spans="1:2" x14ac:dyDescent="0.2">
      <c r="A2360" s="649" t="s">
        <v>7034</v>
      </c>
      <c r="B2360" s="725" t="s">
        <v>7033</v>
      </c>
    </row>
    <row r="2361" spans="1:2" x14ac:dyDescent="0.2">
      <c r="A2361" s="649" t="s">
        <v>7614</v>
      </c>
      <c r="B2361" s="725" t="s">
        <v>7613</v>
      </c>
    </row>
    <row r="2362" spans="1:2" x14ac:dyDescent="0.2">
      <c r="A2362" s="649" t="s">
        <v>7188</v>
      </c>
      <c r="B2362" s="725" t="s">
        <v>7187</v>
      </c>
    </row>
    <row r="2363" spans="1:2" x14ac:dyDescent="0.2">
      <c r="A2363" s="649" t="s">
        <v>7926</v>
      </c>
      <c r="B2363" s="725" t="s">
        <v>7925</v>
      </c>
    </row>
    <row r="2364" spans="1:2" x14ac:dyDescent="0.2">
      <c r="A2364" s="649" t="s">
        <v>1698</v>
      </c>
      <c r="B2364" s="725" t="s">
        <v>1697</v>
      </c>
    </row>
    <row r="2365" spans="1:2" x14ac:dyDescent="0.2">
      <c r="A2365" s="649" t="s">
        <v>6318</v>
      </c>
      <c r="B2365" s="725" t="s">
        <v>6317</v>
      </c>
    </row>
    <row r="2366" spans="1:2" x14ac:dyDescent="0.2">
      <c r="A2366" s="649" t="s">
        <v>3469</v>
      </c>
      <c r="B2366" s="725" t="s">
        <v>3468</v>
      </c>
    </row>
    <row r="2367" spans="1:2" x14ac:dyDescent="0.2">
      <c r="A2367" s="649" t="s">
        <v>6442</v>
      </c>
      <c r="B2367" s="725" t="s">
        <v>6441</v>
      </c>
    </row>
    <row r="2368" spans="1:2" x14ac:dyDescent="0.2">
      <c r="A2368" s="649" t="s">
        <v>5976</v>
      </c>
      <c r="B2368" s="725" t="s">
        <v>5975</v>
      </c>
    </row>
    <row r="2369" spans="1:2" x14ac:dyDescent="0.2">
      <c r="A2369" s="649" t="s">
        <v>2951</v>
      </c>
      <c r="B2369" s="725" t="s">
        <v>2950</v>
      </c>
    </row>
    <row r="2370" spans="1:2" x14ac:dyDescent="0.2">
      <c r="A2370" s="649" t="s">
        <v>5978</v>
      </c>
      <c r="B2370" s="725" t="s">
        <v>5977</v>
      </c>
    </row>
    <row r="2371" spans="1:2" x14ac:dyDescent="0.2">
      <c r="A2371" s="649" t="s">
        <v>5187</v>
      </c>
      <c r="B2371" s="725" t="s">
        <v>5186</v>
      </c>
    </row>
    <row r="2372" spans="1:2" x14ac:dyDescent="0.2">
      <c r="A2372" s="649" t="s">
        <v>5281</v>
      </c>
      <c r="B2372" s="725" t="s">
        <v>5280</v>
      </c>
    </row>
    <row r="2373" spans="1:2" x14ac:dyDescent="0.2">
      <c r="A2373" s="649" t="s">
        <v>782</v>
      </c>
      <c r="B2373" s="725" t="s">
        <v>781</v>
      </c>
    </row>
    <row r="2374" spans="1:2" x14ac:dyDescent="0.2">
      <c r="A2374" s="649" t="s">
        <v>1236</v>
      </c>
      <c r="B2374" s="725" t="s">
        <v>1235</v>
      </c>
    </row>
    <row r="2375" spans="1:2" x14ac:dyDescent="0.2">
      <c r="A2375" s="649" t="s">
        <v>2043</v>
      </c>
      <c r="B2375" s="725" t="s">
        <v>2042</v>
      </c>
    </row>
    <row r="2376" spans="1:2" x14ac:dyDescent="0.2">
      <c r="A2376" s="649" t="s">
        <v>1783</v>
      </c>
      <c r="B2376" s="725" t="s">
        <v>1782</v>
      </c>
    </row>
    <row r="2377" spans="1:2" x14ac:dyDescent="0.2">
      <c r="A2377" s="649" t="s">
        <v>7660</v>
      </c>
      <c r="B2377" s="725" t="s">
        <v>7659</v>
      </c>
    </row>
    <row r="2378" spans="1:2" x14ac:dyDescent="0.2">
      <c r="A2378" s="649" t="s">
        <v>2953</v>
      </c>
      <c r="B2378" s="725" t="s">
        <v>2952</v>
      </c>
    </row>
    <row r="2379" spans="1:2" x14ac:dyDescent="0.2">
      <c r="A2379" s="649" t="s">
        <v>1813</v>
      </c>
      <c r="B2379" s="725" t="s">
        <v>1812</v>
      </c>
    </row>
    <row r="2380" spans="1:2" x14ac:dyDescent="0.2">
      <c r="A2380" s="649" t="s">
        <v>2143</v>
      </c>
      <c r="B2380" s="725" t="s">
        <v>2142</v>
      </c>
    </row>
    <row r="2381" spans="1:2" x14ac:dyDescent="0.2">
      <c r="A2381" s="649" t="s">
        <v>8182</v>
      </c>
      <c r="B2381" s="725" t="s">
        <v>8181</v>
      </c>
    </row>
    <row r="2382" spans="1:2" x14ac:dyDescent="0.2">
      <c r="A2382" s="649" t="s">
        <v>784</v>
      </c>
      <c r="B2382" s="725" t="s">
        <v>783</v>
      </c>
    </row>
    <row r="2383" spans="1:2" x14ac:dyDescent="0.2">
      <c r="A2383" s="649" t="s">
        <v>2515</v>
      </c>
      <c r="B2383" s="725" t="s">
        <v>2514</v>
      </c>
    </row>
    <row r="2384" spans="1:2" x14ac:dyDescent="0.2">
      <c r="A2384" s="649" t="s">
        <v>10389</v>
      </c>
      <c r="B2384" s="725" t="s">
        <v>10390</v>
      </c>
    </row>
    <row r="2385" spans="1:2" x14ac:dyDescent="0.2">
      <c r="A2385" s="649" t="s">
        <v>7190</v>
      </c>
      <c r="B2385" s="725" t="s">
        <v>7189</v>
      </c>
    </row>
    <row r="2386" spans="1:2" x14ac:dyDescent="0.2">
      <c r="A2386" s="649" t="s">
        <v>5527</v>
      </c>
      <c r="B2386" s="725" t="s">
        <v>5526</v>
      </c>
    </row>
    <row r="2387" spans="1:2" x14ac:dyDescent="0.2">
      <c r="A2387" s="649" t="s">
        <v>3661</v>
      </c>
      <c r="B2387" s="725" t="s">
        <v>3660</v>
      </c>
    </row>
    <row r="2388" spans="1:2" x14ac:dyDescent="0.2">
      <c r="A2388" s="649" t="s">
        <v>1390</v>
      </c>
      <c r="B2388" s="725" t="s">
        <v>1389</v>
      </c>
    </row>
    <row r="2389" spans="1:2" x14ac:dyDescent="0.2">
      <c r="A2389" s="649" t="s">
        <v>6866</v>
      </c>
      <c r="B2389" s="725" t="s">
        <v>6865</v>
      </c>
    </row>
    <row r="2390" spans="1:2" x14ac:dyDescent="0.2">
      <c r="A2390" s="649" t="s">
        <v>2517</v>
      </c>
      <c r="B2390" s="725" t="s">
        <v>2516</v>
      </c>
    </row>
    <row r="2391" spans="1:2" x14ac:dyDescent="0.2">
      <c r="A2391" s="649" t="s">
        <v>4443</v>
      </c>
      <c r="B2391" s="725" t="s">
        <v>4442</v>
      </c>
    </row>
    <row r="2392" spans="1:2" x14ac:dyDescent="0.2">
      <c r="A2392" s="649" t="s">
        <v>7928</v>
      </c>
      <c r="B2392" s="725" t="s">
        <v>7927</v>
      </c>
    </row>
    <row r="2393" spans="1:2" x14ac:dyDescent="0.2">
      <c r="A2393" s="649" t="s">
        <v>3815</v>
      </c>
      <c r="B2393" s="725" t="s">
        <v>3814</v>
      </c>
    </row>
    <row r="2394" spans="1:2" x14ac:dyDescent="0.2">
      <c r="A2394" s="649" t="s">
        <v>399</v>
      </c>
      <c r="B2394" s="725" t="s">
        <v>398</v>
      </c>
    </row>
    <row r="2395" spans="1:2" x14ac:dyDescent="0.2">
      <c r="A2395" s="649" t="s">
        <v>5529</v>
      </c>
      <c r="B2395" s="725" t="s">
        <v>5528</v>
      </c>
    </row>
    <row r="2396" spans="1:2" x14ac:dyDescent="0.2">
      <c r="A2396" s="649" t="s">
        <v>786</v>
      </c>
      <c r="B2396" s="725" t="s">
        <v>785</v>
      </c>
    </row>
    <row r="2397" spans="1:2" x14ac:dyDescent="0.2">
      <c r="A2397" s="649" t="s">
        <v>788</v>
      </c>
      <c r="B2397" s="725" t="s">
        <v>787</v>
      </c>
    </row>
    <row r="2398" spans="1:2" x14ac:dyDescent="0.2">
      <c r="A2398" s="649" t="s">
        <v>3713</v>
      </c>
      <c r="B2398" s="725" t="s">
        <v>3712</v>
      </c>
    </row>
    <row r="2399" spans="1:2" x14ac:dyDescent="0.2">
      <c r="A2399" s="649" t="s">
        <v>3553</v>
      </c>
      <c r="B2399" s="725" t="s">
        <v>3552</v>
      </c>
    </row>
    <row r="2400" spans="1:2" x14ac:dyDescent="0.2">
      <c r="A2400" s="649" t="s">
        <v>790</v>
      </c>
      <c r="B2400" s="725" t="s">
        <v>789</v>
      </c>
    </row>
    <row r="2401" spans="1:2" x14ac:dyDescent="0.2">
      <c r="A2401" s="649" t="s">
        <v>3715</v>
      </c>
      <c r="B2401" s="725" t="s">
        <v>3714</v>
      </c>
    </row>
    <row r="2402" spans="1:2" x14ac:dyDescent="0.2">
      <c r="A2402" s="649" t="s">
        <v>1558</v>
      </c>
      <c r="B2402" s="725" t="s">
        <v>1557</v>
      </c>
    </row>
    <row r="2403" spans="1:2" x14ac:dyDescent="0.2">
      <c r="A2403" s="649" t="s">
        <v>5053</v>
      </c>
      <c r="B2403" s="725" t="s">
        <v>5052</v>
      </c>
    </row>
    <row r="2404" spans="1:2" x14ac:dyDescent="0.2">
      <c r="A2404" s="649" t="s">
        <v>834</v>
      </c>
      <c r="B2404" s="725" t="s">
        <v>833</v>
      </c>
    </row>
    <row r="2405" spans="1:2" x14ac:dyDescent="0.2">
      <c r="A2405" s="649" t="s">
        <v>6252</v>
      </c>
      <c r="B2405" s="725" t="s">
        <v>6251</v>
      </c>
    </row>
    <row r="2406" spans="1:2" x14ac:dyDescent="0.2">
      <c r="A2406" s="649" t="s">
        <v>7282</v>
      </c>
      <c r="B2406" s="725" t="s">
        <v>7281</v>
      </c>
    </row>
    <row r="2407" spans="1:2" x14ac:dyDescent="0.2">
      <c r="A2407" s="649" t="s">
        <v>401</v>
      </c>
      <c r="B2407" s="725" t="s">
        <v>400</v>
      </c>
    </row>
    <row r="2408" spans="1:2" x14ac:dyDescent="0.2">
      <c r="A2408" s="649" t="s">
        <v>2519</v>
      </c>
      <c r="B2408" s="725" t="s">
        <v>2518</v>
      </c>
    </row>
    <row r="2409" spans="1:2" x14ac:dyDescent="0.2">
      <c r="A2409" s="649" t="s">
        <v>1238</v>
      </c>
      <c r="B2409" s="725" t="s">
        <v>1237</v>
      </c>
    </row>
    <row r="2410" spans="1:2" x14ac:dyDescent="0.2">
      <c r="A2410" s="649" t="s">
        <v>792</v>
      </c>
      <c r="B2410" s="725" t="s">
        <v>791</v>
      </c>
    </row>
    <row r="2411" spans="1:2" x14ac:dyDescent="0.2">
      <c r="A2411" s="649" t="s">
        <v>1965</v>
      </c>
      <c r="B2411" s="725" t="s">
        <v>1964</v>
      </c>
    </row>
    <row r="2412" spans="1:2" x14ac:dyDescent="0.2">
      <c r="A2412" s="649" t="s">
        <v>2521</v>
      </c>
      <c r="B2412" s="725" t="s">
        <v>2520</v>
      </c>
    </row>
    <row r="2413" spans="1:2" x14ac:dyDescent="0.2">
      <c r="A2413" s="649" t="s">
        <v>6486</v>
      </c>
      <c r="B2413" s="725" t="s">
        <v>6485</v>
      </c>
    </row>
    <row r="2414" spans="1:2" x14ac:dyDescent="0.2">
      <c r="A2414" s="649" t="s">
        <v>1392</v>
      </c>
      <c r="B2414" s="725" t="s">
        <v>1391</v>
      </c>
    </row>
    <row r="2415" spans="1:2" x14ac:dyDescent="0.2">
      <c r="A2415" s="649" t="s">
        <v>1240</v>
      </c>
      <c r="B2415" s="725" t="s">
        <v>1239</v>
      </c>
    </row>
    <row r="2416" spans="1:2" x14ac:dyDescent="0.2">
      <c r="A2416" s="649" t="s">
        <v>5980</v>
      </c>
      <c r="B2416" s="725" t="s">
        <v>5979</v>
      </c>
    </row>
    <row r="2417" spans="1:2" x14ac:dyDescent="0.2">
      <c r="A2417" s="649" t="s">
        <v>4345</v>
      </c>
      <c r="B2417" s="725" t="s">
        <v>4344</v>
      </c>
    </row>
    <row r="2418" spans="1:2" x14ac:dyDescent="0.2">
      <c r="A2418" s="649" t="s">
        <v>2523</v>
      </c>
      <c r="B2418" s="725" t="s">
        <v>2522</v>
      </c>
    </row>
    <row r="2419" spans="1:2" x14ac:dyDescent="0.2">
      <c r="A2419" s="649" t="s">
        <v>403</v>
      </c>
      <c r="B2419" s="725" t="s">
        <v>402</v>
      </c>
    </row>
    <row r="2420" spans="1:2" x14ac:dyDescent="0.2">
      <c r="A2420" s="649" t="s">
        <v>7106</v>
      </c>
      <c r="B2420" s="725" t="s">
        <v>7105</v>
      </c>
    </row>
    <row r="2421" spans="1:2" x14ac:dyDescent="0.2">
      <c r="A2421" s="649" t="s">
        <v>4379</v>
      </c>
      <c r="B2421" s="725" t="s">
        <v>4378</v>
      </c>
    </row>
    <row r="2422" spans="1:2" x14ac:dyDescent="0.2">
      <c r="A2422" s="649" t="s">
        <v>4767</v>
      </c>
      <c r="B2422" s="725" t="s">
        <v>4766</v>
      </c>
    </row>
    <row r="2423" spans="1:2" x14ac:dyDescent="0.2">
      <c r="A2423" s="649" t="s">
        <v>1967</v>
      </c>
      <c r="B2423" s="725" t="s">
        <v>1966</v>
      </c>
    </row>
    <row r="2424" spans="1:2" x14ac:dyDescent="0.2">
      <c r="A2424" s="649" t="s">
        <v>4213</v>
      </c>
      <c r="B2424" s="725" t="s">
        <v>4212</v>
      </c>
    </row>
    <row r="2425" spans="1:2" x14ac:dyDescent="0.2">
      <c r="A2425" s="649" t="s">
        <v>794</v>
      </c>
      <c r="B2425" s="725" t="s">
        <v>793</v>
      </c>
    </row>
    <row r="2426" spans="1:2" x14ac:dyDescent="0.2">
      <c r="A2426" s="649" t="s">
        <v>2041</v>
      </c>
      <c r="B2426" s="725" t="s">
        <v>2040</v>
      </c>
    </row>
    <row r="2427" spans="1:2" x14ac:dyDescent="0.2">
      <c r="A2427" s="649" t="s">
        <v>796</v>
      </c>
      <c r="B2427" s="725" t="s">
        <v>795</v>
      </c>
    </row>
    <row r="2428" spans="1:2" x14ac:dyDescent="0.2">
      <c r="A2428" s="649" t="s">
        <v>7930</v>
      </c>
      <c r="B2428" s="725" t="s">
        <v>7929</v>
      </c>
    </row>
    <row r="2429" spans="1:2" x14ac:dyDescent="0.2">
      <c r="A2429" s="649" t="s">
        <v>2017</v>
      </c>
      <c r="B2429" s="725" t="s">
        <v>2016</v>
      </c>
    </row>
    <row r="2430" spans="1:2" x14ac:dyDescent="0.2">
      <c r="A2430" s="649" t="s">
        <v>4769</v>
      </c>
      <c r="B2430" s="725" t="s">
        <v>4768</v>
      </c>
    </row>
    <row r="2431" spans="1:2" x14ac:dyDescent="0.2">
      <c r="A2431" s="649" t="s">
        <v>2019</v>
      </c>
      <c r="B2431" s="725" t="s">
        <v>2018</v>
      </c>
    </row>
    <row r="2432" spans="1:2" x14ac:dyDescent="0.2">
      <c r="A2432" s="649" t="s">
        <v>4771</v>
      </c>
      <c r="B2432" s="725" t="s">
        <v>4770</v>
      </c>
    </row>
    <row r="2433" spans="1:2" x14ac:dyDescent="0.2">
      <c r="A2433" s="649" t="s">
        <v>3679</v>
      </c>
      <c r="B2433" s="725" t="s">
        <v>3678</v>
      </c>
    </row>
    <row r="2434" spans="1:2" x14ac:dyDescent="0.2">
      <c r="A2434" s="649" t="s">
        <v>475</v>
      </c>
      <c r="B2434" s="725" t="s">
        <v>474</v>
      </c>
    </row>
    <row r="2435" spans="1:2" x14ac:dyDescent="0.2">
      <c r="A2435" s="649" t="s">
        <v>1462</v>
      </c>
      <c r="B2435" s="725" t="s">
        <v>1461</v>
      </c>
    </row>
    <row r="2436" spans="1:2" x14ac:dyDescent="0.2">
      <c r="A2436" s="649" t="s">
        <v>5449</v>
      </c>
      <c r="B2436" s="725" t="s">
        <v>5448</v>
      </c>
    </row>
    <row r="2437" spans="1:2" x14ac:dyDescent="0.2">
      <c r="A2437" s="649" t="s">
        <v>6542</v>
      </c>
      <c r="B2437" s="725" t="s">
        <v>6541</v>
      </c>
    </row>
    <row r="2438" spans="1:2" x14ac:dyDescent="0.2">
      <c r="A2438" s="649" t="s">
        <v>5982</v>
      </c>
      <c r="B2438" s="725" t="s">
        <v>5981</v>
      </c>
    </row>
    <row r="2439" spans="1:2" x14ac:dyDescent="0.2">
      <c r="A2439" s="649" t="s">
        <v>381</v>
      </c>
      <c r="B2439" s="725" t="s">
        <v>380</v>
      </c>
    </row>
    <row r="2440" spans="1:2" x14ac:dyDescent="0.2">
      <c r="A2440" s="649" t="s">
        <v>451</v>
      </c>
      <c r="B2440" s="725" t="s">
        <v>450</v>
      </c>
    </row>
    <row r="2441" spans="1:2" x14ac:dyDescent="0.2">
      <c r="A2441" s="649" t="s">
        <v>5089</v>
      </c>
      <c r="B2441" s="725" t="s">
        <v>5088</v>
      </c>
    </row>
    <row r="2442" spans="1:2" x14ac:dyDescent="0.2">
      <c r="A2442" s="649" t="s">
        <v>7970</v>
      </c>
      <c r="B2442" s="725" t="s">
        <v>7969</v>
      </c>
    </row>
    <row r="2443" spans="1:2" x14ac:dyDescent="0.2">
      <c r="A2443" s="649" t="s">
        <v>5189</v>
      </c>
      <c r="B2443" s="725" t="s">
        <v>5188</v>
      </c>
    </row>
    <row r="2444" spans="1:2" x14ac:dyDescent="0.2">
      <c r="A2444" s="649" t="s">
        <v>552</v>
      </c>
      <c r="B2444" s="725" t="s">
        <v>551</v>
      </c>
    </row>
    <row r="2445" spans="1:2" x14ac:dyDescent="0.2">
      <c r="A2445" s="649" t="s">
        <v>1064</v>
      </c>
      <c r="B2445" s="725" t="s">
        <v>1063</v>
      </c>
    </row>
    <row r="2446" spans="1:2" x14ac:dyDescent="0.2">
      <c r="A2446" s="649" t="s">
        <v>4423</v>
      </c>
      <c r="B2446" s="725" t="s">
        <v>4422</v>
      </c>
    </row>
    <row r="2447" spans="1:2" x14ac:dyDescent="0.2">
      <c r="A2447" s="649" t="s">
        <v>6320</v>
      </c>
      <c r="B2447" s="725" t="s">
        <v>6319</v>
      </c>
    </row>
    <row r="2448" spans="1:2" x14ac:dyDescent="0.2">
      <c r="A2448" s="649" t="s">
        <v>1969</v>
      </c>
      <c r="B2448" s="725" t="s">
        <v>1968</v>
      </c>
    </row>
    <row r="2449" spans="1:2" x14ac:dyDescent="0.2">
      <c r="A2449" s="649" t="s">
        <v>7822</v>
      </c>
      <c r="B2449" s="725" t="s">
        <v>7821</v>
      </c>
    </row>
    <row r="2450" spans="1:2" x14ac:dyDescent="0.2">
      <c r="A2450" s="649" t="s">
        <v>5571</v>
      </c>
      <c r="B2450" s="725" t="s">
        <v>5570</v>
      </c>
    </row>
    <row r="2451" spans="1:2" x14ac:dyDescent="0.2">
      <c r="A2451" s="649" t="s">
        <v>798</v>
      </c>
      <c r="B2451" s="725" t="s">
        <v>797</v>
      </c>
    </row>
    <row r="2452" spans="1:2" x14ac:dyDescent="0.2">
      <c r="A2452" s="649" t="s">
        <v>8350</v>
      </c>
      <c r="B2452" s="725" t="s">
        <v>8349</v>
      </c>
    </row>
    <row r="2453" spans="1:2" x14ac:dyDescent="0.2">
      <c r="A2453" s="649" t="s">
        <v>6868</v>
      </c>
      <c r="B2453" s="725" t="s">
        <v>6867</v>
      </c>
    </row>
    <row r="2454" spans="1:2" x14ac:dyDescent="0.2">
      <c r="A2454" s="649" t="s">
        <v>716</v>
      </c>
      <c r="B2454" s="725" t="s">
        <v>715</v>
      </c>
    </row>
    <row r="2455" spans="1:2" x14ac:dyDescent="0.2">
      <c r="A2455" s="649" t="s">
        <v>1971</v>
      </c>
      <c r="B2455" s="725" t="s">
        <v>1970</v>
      </c>
    </row>
    <row r="2456" spans="1:2" x14ac:dyDescent="0.2">
      <c r="A2456" s="649" t="s">
        <v>6586</v>
      </c>
      <c r="B2456" s="725" t="s">
        <v>6585</v>
      </c>
    </row>
    <row r="2457" spans="1:2" x14ac:dyDescent="0.2">
      <c r="A2457" s="649" t="s">
        <v>2145</v>
      </c>
      <c r="B2457" s="725" t="s">
        <v>2144</v>
      </c>
    </row>
    <row r="2458" spans="1:2" x14ac:dyDescent="0.2">
      <c r="A2458" s="649" t="s">
        <v>6254</v>
      </c>
      <c r="B2458" s="725" t="s">
        <v>6253</v>
      </c>
    </row>
    <row r="2459" spans="1:2" x14ac:dyDescent="0.2">
      <c r="A2459" s="649" t="s">
        <v>1622</v>
      </c>
      <c r="B2459" s="725" t="s">
        <v>1621</v>
      </c>
    </row>
    <row r="2460" spans="1:2" x14ac:dyDescent="0.2">
      <c r="A2460" s="649" t="s">
        <v>3611</v>
      </c>
      <c r="B2460" s="725" t="s">
        <v>3610</v>
      </c>
    </row>
    <row r="2461" spans="1:2" x14ac:dyDescent="0.2">
      <c r="A2461" s="649" t="s">
        <v>6644</v>
      </c>
      <c r="B2461" s="725" t="s">
        <v>6643</v>
      </c>
    </row>
    <row r="2462" spans="1:2" x14ac:dyDescent="0.2">
      <c r="A2462" s="649" t="s">
        <v>6694</v>
      </c>
      <c r="B2462" s="725" t="s">
        <v>6693</v>
      </c>
    </row>
    <row r="2463" spans="1:2" x14ac:dyDescent="0.2">
      <c r="A2463" s="649" t="s">
        <v>7956</v>
      </c>
      <c r="B2463" s="725" t="s">
        <v>7955</v>
      </c>
    </row>
    <row r="2464" spans="1:2" x14ac:dyDescent="0.2">
      <c r="A2464" s="649" t="s">
        <v>5451</v>
      </c>
      <c r="B2464" s="725" t="s">
        <v>5450</v>
      </c>
    </row>
    <row r="2465" spans="1:2" x14ac:dyDescent="0.2">
      <c r="A2465" s="649" t="s">
        <v>2355</v>
      </c>
      <c r="B2465" s="725" t="s">
        <v>2354</v>
      </c>
    </row>
    <row r="2466" spans="1:2" x14ac:dyDescent="0.2">
      <c r="A2466" s="649" t="s">
        <v>4301</v>
      </c>
      <c r="B2466" s="725" t="s">
        <v>4300</v>
      </c>
    </row>
    <row r="2467" spans="1:2" x14ac:dyDescent="0.2">
      <c r="A2467" s="649" t="s">
        <v>6870</v>
      </c>
      <c r="B2467" s="725" t="s">
        <v>6869</v>
      </c>
    </row>
    <row r="2468" spans="1:2" x14ac:dyDescent="0.2">
      <c r="A2468" s="649" t="s">
        <v>5984</v>
      </c>
      <c r="B2468" s="725" t="s">
        <v>5983</v>
      </c>
    </row>
    <row r="2469" spans="1:2" x14ac:dyDescent="0.2">
      <c r="A2469" s="649" t="s">
        <v>7138</v>
      </c>
      <c r="B2469" s="725" t="s">
        <v>7137</v>
      </c>
    </row>
    <row r="2470" spans="1:2" x14ac:dyDescent="0.2">
      <c r="A2470" s="649" t="s">
        <v>8282</v>
      </c>
      <c r="B2470" s="725" t="s">
        <v>8281</v>
      </c>
    </row>
    <row r="2471" spans="1:2" x14ac:dyDescent="0.2">
      <c r="A2471" s="649" t="s">
        <v>4215</v>
      </c>
      <c r="B2471" s="725" t="s">
        <v>4214</v>
      </c>
    </row>
    <row r="2472" spans="1:2" x14ac:dyDescent="0.2">
      <c r="A2472" s="649" t="s">
        <v>6544</v>
      </c>
      <c r="B2472" s="725" t="s">
        <v>6543</v>
      </c>
    </row>
    <row r="2473" spans="1:2" x14ac:dyDescent="0.2">
      <c r="A2473" s="649" t="s">
        <v>7852</v>
      </c>
      <c r="B2473" s="725" t="s">
        <v>7851</v>
      </c>
    </row>
    <row r="2474" spans="1:2" x14ac:dyDescent="0.2">
      <c r="A2474" s="649" t="s">
        <v>481</v>
      </c>
      <c r="B2474" s="725" t="s">
        <v>480</v>
      </c>
    </row>
    <row r="2475" spans="1:2" x14ac:dyDescent="0.2">
      <c r="A2475" s="649" t="s">
        <v>3631</v>
      </c>
      <c r="B2475" s="725" t="s">
        <v>3630</v>
      </c>
    </row>
    <row r="2476" spans="1:2" x14ac:dyDescent="0.2">
      <c r="A2476" s="649" t="s">
        <v>2955</v>
      </c>
      <c r="B2476" s="725" t="s">
        <v>2954</v>
      </c>
    </row>
    <row r="2477" spans="1:2" x14ac:dyDescent="0.2">
      <c r="A2477" s="649" t="s">
        <v>8294</v>
      </c>
      <c r="B2477" s="725" t="s">
        <v>8293</v>
      </c>
    </row>
    <row r="2478" spans="1:2" x14ac:dyDescent="0.2">
      <c r="A2478" s="649" t="s">
        <v>4789</v>
      </c>
      <c r="B2478" s="725" t="s">
        <v>4788</v>
      </c>
    </row>
    <row r="2479" spans="1:2" x14ac:dyDescent="0.2">
      <c r="A2479" s="649" t="s">
        <v>3681</v>
      </c>
      <c r="B2479" s="725" t="s">
        <v>3680</v>
      </c>
    </row>
    <row r="2480" spans="1:2" x14ac:dyDescent="0.2">
      <c r="A2480" s="649" t="s">
        <v>1700</v>
      </c>
      <c r="B2480" s="725" t="s">
        <v>1699</v>
      </c>
    </row>
    <row r="2481" spans="1:2" x14ac:dyDescent="0.2">
      <c r="A2481" s="649" t="s">
        <v>5191</v>
      </c>
      <c r="B2481" s="725" t="s">
        <v>5190</v>
      </c>
    </row>
    <row r="2482" spans="1:2" x14ac:dyDescent="0.2">
      <c r="A2482" s="649" t="s">
        <v>7760</v>
      </c>
      <c r="B2482" s="725" t="s">
        <v>7759</v>
      </c>
    </row>
    <row r="2483" spans="1:2" x14ac:dyDescent="0.2">
      <c r="A2483" s="649" t="s">
        <v>4857</v>
      </c>
      <c r="B2483" s="725" t="s">
        <v>4856</v>
      </c>
    </row>
    <row r="2484" spans="1:2" x14ac:dyDescent="0.2">
      <c r="A2484" s="649" t="s">
        <v>8184</v>
      </c>
      <c r="B2484" s="725" t="s">
        <v>8183</v>
      </c>
    </row>
    <row r="2485" spans="1:2" x14ac:dyDescent="0.2">
      <c r="A2485" s="649" t="s">
        <v>2525</v>
      </c>
      <c r="B2485" s="725" t="s">
        <v>2524</v>
      </c>
    </row>
    <row r="2486" spans="1:2" x14ac:dyDescent="0.2">
      <c r="A2486" s="649" t="s">
        <v>6444</v>
      </c>
      <c r="B2486" s="725" t="s">
        <v>6443</v>
      </c>
    </row>
    <row r="2487" spans="1:2" x14ac:dyDescent="0.2">
      <c r="A2487" s="649" t="s">
        <v>6872</v>
      </c>
      <c r="B2487" s="725" t="s">
        <v>6871</v>
      </c>
    </row>
    <row r="2488" spans="1:2" x14ac:dyDescent="0.2">
      <c r="A2488" s="649" t="s">
        <v>7002</v>
      </c>
      <c r="B2488" s="725" t="s">
        <v>7001</v>
      </c>
    </row>
    <row r="2489" spans="1:2" x14ac:dyDescent="0.2">
      <c r="A2489" s="649" t="s">
        <v>3971</v>
      </c>
      <c r="B2489" s="725" t="s">
        <v>3970</v>
      </c>
    </row>
    <row r="2490" spans="1:2" x14ac:dyDescent="0.2">
      <c r="A2490" s="649" t="s">
        <v>6874</v>
      </c>
      <c r="B2490" s="725" t="s">
        <v>6873</v>
      </c>
    </row>
    <row r="2491" spans="1:2" x14ac:dyDescent="0.2">
      <c r="A2491" s="649" t="s">
        <v>6570</v>
      </c>
      <c r="B2491" s="725" t="s">
        <v>6569</v>
      </c>
    </row>
    <row r="2492" spans="1:2" x14ac:dyDescent="0.2">
      <c r="A2492" s="649" t="s">
        <v>2527</v>
      </c>
      <c r="B2492" s="725" t="s">
        <v>2526</v>
      </c>
    </row>
    <row r="2493" spans="1:2" x14ac:dyDescent="0.2">
      <c r="A2493" s="649" t="s">
        <v>800</v>
      </c>
      <c r="B2493" s="725" t="s">
        <v>799</v>
      </c>
    </row>
    <row r="2494" spans="1:2" x14ac:dyDescent="0.2">
      <c r="A2494" s="649" t="s">
        <v>6646</v>
      </c>
      <c r="B2494" s="725" t="s">
        <v>6645</v>
      </c>
    </row>
    <row r="2495" spans="1:2" x14ac:dyDescent="0.2">
      <c r="A2495" s="649" t="s">
        <v>2255</v>
      </c>
      <c r="B2495" s="725" t="s">
        <v>2254</v>
      </c>
    </row>
    <row r="2496" spans="1:2" x14ac:dyDescent="0.2">
      <c r="A2496" s="649" t="s">
        <v>4381</v>
      </c>
      <c r="B2496" s="725" t="s">
        <v>4380</v>
      </c>
    </row>
    <row r="2497" spans="1:2" x14ac:dyDescent="0.2">
      <c r="A2497" s="649" t="s">
        <v>5283</v>
      </c>
      <c r="B2497" s="725" t="s">
        <v>5282</v>
      </c>
    </row>
    <row r="2498" spans="1:2" x14ac:dyDescent="0.2">
      <c r="A2498" s="649" t="s">
        <v>4913</v>
      </c>
      <c r="B2498" s="725" t="s">
        <v>4912</v>
      </c>
    </row>
    <row r="2499" spans="1:2" x14ac:dyDescent="0.2">
      <c r="A2499" s="649" t="s">
        <v>4303</v>
      </c>
      <c r="B2499" s="725" t="s">
        <v>4302</v>
      </c>
    </row>
    <row r="2500" spans="1:2" ht="28.5" x14ac:dyDescent="0.2">
      <c r="A2500" s="649" t="s">
        <v>2957</v>
      </c>
      <c r="B2500" s="725" t="s">
        <v>2956</v>
      </c>
    </row>
    <row r="2501" spans="1:2" x14ac:dyDescent="0.2">
      <c r="A2501" s="649" t="s">
        <v>4915</v>
      </c>
      <c r="B2501" s="725" t="s">
        <v>4914</v>
      </c>
    </row>
    <row r="2502" spans="1:2" x14ac:dyDescent="0.2">
      <c r="A2502" s="649" t="s">
        <v>4917</v>
      </c>
      <c r="B2502" s="725" t="s">
        <v>4916</v>
      </c>
    </row>
    <row r="2503" spans="1:2" x14ac:dyDescent="0.2">
      <c r="A2503" s="649" t="s">
        <v>4885</v>
      </c>
      <c r="B2503" s="725" t="s">
        <v>4884</v>
      </c>
    </row>
    <row r="2504" spans="1:2" x14ac:dyDescent="0.2">
      <c r="A2504" s="649" t="s">
        <v>6322</v>
      </c>
      <c r="B2504" s="725" t="s">
        <v>6321</v>
      </c>
    </row>
    <row r="2505" spans="1:2" x14ac:dyDescent="0.2">
      <c r="A2505" s="649" t="s">
        <v>4977</v>
      </c>
      <c r="B2505" s="725" t="s">
        <v>4976</v>
      </c>
    </row>
    <row r="2506" spans="1:2" x14ac:dyDescent="0.2">
      <c r="A2506" s="649" t="s">
        <v>5986</v>
      </c>
      <c r="B2506" s="725" t="s">
        <v>5985</v>
      </c>
    </row>
    <row r="2507" spans="1:2" x14ac:dyDescent="0.2">
      <c r="A2507" s="649" t="s">
        <v>5988</v>
      </c>
      <c r="B2507" s="725" t="s">
        <v>5987</v>
      </c>
    </row>
    <row r="2508" spans="1:2" x14ac:dyDescent="0.2">
      <c r="A2508" s="649" t="s">
        <v>7762</v>
      </c>
      <c r="B2508" s="725" t="s">
        <v>7761</v>
      </c>
    </row>
    <row r="2509" spans="1:2" x14ac:dyDescent="0.2">
      <c r="A2509" s="649" t="s">
        <v>6572</v>
      </c>
      <c r="B2509" s="725" t="s">
        <v>6571</v>
      </c>
    </row>
    <row r="2510" spans="1:2" x14ac:dyDescent="0.2">
      <c r="A2510" s="649" t="s">
        <v>7514</v>
      </c>
      <c r="B2510" s="725" t="s">
        <v>7513</v>
      </c>
    </row>
    <row r="2511" spans="1:2" x14ac:dyDescent="0.2">
      <c r="A2511" s="649" t="s">
        <v>6648</v>
      </c>
      <c r="B2511" s="725" t="s">
        <v>6647</v>
      </c>
    </row>
    <row r="2512" spans="1:2" x14ac:dyDescent="0.2">
      <c r="A2512" s="649" t="s">
        <v>2147</v>
      </c>
      <c r="B2512" s="725" t="s">
        <v>2146</v>
      </c>
    </row>
    <row r="2513" spans="1:2" x14ac:dyDescent="0.2">
      <c r="A2513" s="649" t="s">
        <v>4425</v>
      </c>
      <c r="B2513" s="725" t="s">
        <v>4424</v>
      </c>
    </row>
    <row r="2514" spans="1:2" x14ac:dyDescent="0.2">
      <c r="A2514" s="649" t="s">
        <v>5495</v>
      </c>
      <c r="B2514" s="725" t="s">
        <v>5494</v>
      </c>
    </row>
    <row r="2515" spans="1:2" x14ac:dyDescent="0.2">
      <c r="A2515" s="649" t="s">
        <v>4305</v>
      </c>
      <c r="B2515" s="725" t="s">
        <v>4304</v>
      </c>
    </row>
    <row r="2516" spans="1:2" x14ac:dyDescent="0.2">
      <c r="A2516" s="649" t="s">
        <v>6256</v>
      </c>
      <c r="B2516" s="725" t="s">
        <v>6255</v>
      </c>
    </row>
    <row r="2517" spans="1:2" x14ac:dyDescent="0.2">
      <c r="A2517" s="649" t="s">
        <v>4077</v>
      </c>
      <c r="B2517" s="725" t="s">
        <v>4076</v>
      </c>
    </row>
    <row r="2518" spans="1:2" x14ac:dyDescent="0.2">
      <c r="A2518" s="649" t="s">
        <v>4503</v>
      </c>
      <c r="B2518" s="725" t="s">
        <v>4502</v>
      </c>
    </row>
    <row r="2519" spans="1:2" x14ac:dyDescent="0.2">
      <c r="A2519" s="649" t="s">
        <v>5990</v>
      </c>
      <c r="B2519" s="725" t="s">
        <v>5989</v>
      </c>
    </row>
    <row r="2520" spans="1:2" x14ac:dyDescent="0.2">
      <c r="A2520" s="649" t="s">
        <v>2959</v>
      </c>
      <c r="B2520" s="725" t="s">
        <v>2958</v>
      </c>
    </row>
    <row r="2521" spans="1:2" x14ac:dyDescent="0.2">
      <c r="A2521" s="649" t="s">
        <v>1464</v>
      </c>
      <c r="B2521" s="725" t="s">
        <v>1463</v>
      </c>
    </row>
    <row r="2522" spans="1:2" x14ac:dyDescent="0.2">
      <c r="A2522" s="649" t="s">
        <v>2529</v>
      </c>
      <c r="B2522" s="725" t="s">
        <v>2528</v>
      </c>
    </row>
    <row r="2523" spans="1:2" x14ac:dyDescent="0.2">
      <c r="A2523" s="649" t="s">
        <v>405</v>
      </c>
      <c r="B2523" s="725" t="s">
        <v>404</v>
      </c>
    </row>
    <row r="2524" spans="1:2" x14ac:dyDescent="0.2">
      <c r="A2524" s="649" t="s">
        <v>6876</v>
      </c>
      <c r="B2524" s="725" t="s">
        <v>6875</v>
      </c>
    </row>
    <row r="2525" spans="1:2" x14ac:dyDescent="0.2">
      <c r="A2525" s="649" t="s">
        <v>5992</v>
      </c>
      <c r="B2525" s="725" t="s">
        <v>5991</v>
      </c>
    </row>
    <row r="2526" spans="1:2" x14ac:dyDescent="0.2">
      <c r="A2526" s="649" t="s">
        <v>4565</v>
      </c>
      <c r="B2526" s="725" t="s">
        <v>4564</v>
      </c>
    </row>
    <row r="2527" spans="1:2" x14ac:dyDescent="0.2">
      <c r="A2527" s="649" t="s">
        <v>5994</v>
      </c>
      <c r="B2527" s="725" t="s">
        <v>5993</v>
      </c>
    </row>
    <row r="2528" spans="1:2" x14ac:dyDescent="0.2">
      <c r="A2528" s="649" t="s">
        <v>2531</v>
      </c>
      <c r="B2528" s="725" t="s">
        <v>2530</v>
      </c>
    </row>
    <row r="2529" spans="1:2" x14ac:dyDescent="0.2">
      <c r="A2529" s="649" t="s">
        <v>2961</v>
      </c>
      <c r="B2529" s="725" t="s">
        <v>2960</v>
      </c>
    </row>
    <row r="2530" spans="1:2" x14ac:dyDescent="0.2">
      <c r="A2530" s="649" t="s">
        <v>2963</v>
      </c>
      <c r="B2530" s="725" t="s">
        <v>2962</v>
      </c>
    </row>
    <row r="2531" spans="1:2" x14ac:dyDescent="0.2">
      <c r="A2531" s="649" t="s">
        <v>5996</v>
      </c>
      <c r="B2531" s="725" t="s">
        <v>5995</v>
      </c>
    </row>
    <row r="2532" spans="1:2" x14ac:dyDescent="0.2">
      <c r="A2532" s="649" t="s">
        <v>4567</v>
      </c>
      <c r="B2532" s="725" t="s">
        <v>4566</v>
      </c>
    </row>
    <row r="2533" spans="1:2" x14ac:dyDescent="0.2">
      <c r="A2533" s="649" t="s">
        <v>5998</v>
      </c>
      <c r="B2533" s="725" t="s">
        <v>5997</v>
      </c>
    </row>
    <row r="2534" spans="1:2" x14ac:dyDescent="0.2">
      <c r="A2534" s="649" t="s">
        <v>2965</v>
      </c>
      <c r="B2534" s="725" t="s">
        <v>2964</v>
      </c>
    </row>
    <row r="2535" spans="1:2" x14ac:dyDescent="0.2">
      <c r="A2535" s="649" t="s">
        <v>2967</v>
      </c>
      <c r="B2535" s="725" t="s">
        <v>2966</v>
      </c>
    </row>
    <row r="2536" spans="1:2" x14ac:dyDescent="0.2">
      <c r="A2536" s="649" t="s">
        <v>6000</v>
      </c>
      <c r="B2536" s="725" t="s">
        <v>5999</v>
      </c>
    </row>
    <row r="2537" spans="1:2" x14ac:dyDescent="0.2">
      <c r="A2537" s="649" t="s">
        <v>6002</v>
      </c>
      <c r="B2537" s="725" t="s">
        <v>6001</v>
      </c>
    </row>
    <row r="2538" spans="1:2" x14ac:dyDescent="0.2">
      <c r="A2538" s="649" t="s">
        <v>6004</v>
      </c>
      <c r="B2538" s="725" t="s">
        <v>6003</v>
      </c>
    </row>
    <row r="2539" spans="1:2" x14ac:dyDescent="0.2">
      <c r="A2539" s="649" t="s">
        <v>2969</v>
      </c>
      <c r="B2539" s="725" t="s">
        <v>2968</v>
      </c>
    </row>
    <row r="2540" spans="1:2" x14ac:dyDescent="0.2">
      <c r="A2540" s="649" t="s">
        <v>2971</v>
      </c>
      <c r="B2540" s="725" t="s">
        <v>2970</v>
      </c>
    </row>
    <row r="2541" spans="1:2" x14ac:dyDescent="0.2">
      <c r="A2541" s="649" t="s">
        <v>3973</v>
      </c>
      <c r="B2541" s="725" t="s">
        <v>3972</v>
      </c>
    </row>
    <row r="2542" spans="1:2" x14ac:dyDescent="0.2">
      <c r="A2542" s="649" t="s">
        <v>5193</v>
      </c>
      <c r="B2542" s="725" t="s">
        <v>5192</v>
      </c>
    </row>
    <row r="2543" spans="1:2" x14ac:dyDescent="0.2">
      <c r="A2543" s="649" t="s">
        <v>3975</v>
      </c>
      <c r="B2543" s="725" t="s">
        <v>3974</v>
      </c>
    </row>
    <row r="2544" spans="1:2" x14ac:dyDescent="0.2">
      <c r="A2544" s="649" t="s">
        <v>2973</v>
      </c>
      <c r="B2544" s="725" t="s">
        <v>2972</v>
      </c>
    </row>
    <row r="2545" spans="1:2" x14ac:dyDescent="0.2">
      <c r="A2545" s="649" t="s">
        <v>4069</v>
      </c>
      <c r="B2545" s="725" t="s">
        <v>4068</v>
      </c>
    </row>
    <row r="2546" spans="1:2" x14ac:dyDescent="0.2">
      <c r="A2546" s="649" t="s">
        <v>3977</v>
      </c>
      <c r="B2546" s="725" t="s">
        <v>3976</v>
      </c>
    </row>
    <row r="2547" spans="1:2" x14ac:dyDescent="0.2">
      <c r="A2547" s="649" t="s">
        <v>6006</v>
      </c>
      <c r="B2547" s="725" t="s">
        <v>6005</v>
      </c>
    </row>
    <row r="2548" spans="1:2" x14ac:dyDescent="0.2">
      <c r="A2548" s="649" t="s">
        <v>2975</v>
      </c>
      <c r="B2548" s="725" t="s">
        <v>2974</v>
      </c>
    </row>
    <row r="2549" spans="1:2" x14ac:dyDescent="0.2">
      <c r="A2549" s="649" t="s">
        <v>6008</v>
      </c>
      <c r="B2549" s="725" t="s">
        <v>6007</v>
      </c>
    </row>
    <row r="2550" spans="1:2" x14ac:dyDescent="0.2">
      <c r="A2550" s="649" t="s">
        <v>6878</v>
      </c>
      <c r="B2550" s="725" t="s">
        <v>6877</v>
      </c>
    </row>
    <row r="2551" spans="1:2" x14ac:dyDescent="0.2">
      <c r="A2551" s="649" t="s">
        <v>4569</v>
      </c>
      <c r="B2551" s="725" t="s">
        <v>4568</v>
      </c>
    </row>
    <row r="2552" spans="1:2" x14ac:dyDescent="0.2">
      <c r="A2552" s="649" t="s">
        <v>2977</v>
      </c>
      <c r="B2552" s="725" t="s">
        <v>2976</v>
      </c>
    </row>
    <row r="2553" spans="1:2" x14ac:dyDescent="0.2">
      <c r="A2553" s="649" t="s">
        <v>2979</v>
      </c>
      <c r="B2553" s="725" t="s">
        <v>2978</v>
      </c>
    </row>
    <row r="2554" spans="1:2" x14ac:dyDescent="0.2">
      <c r="A2554" s="649" t="s">
        <v>6010</v>
      </c>
      <c r="B2554" s="725" t="s">
        <v>6009</v>
      </c>
    </row>
    <row r="2555" spans="1:2" x14ac:dyDescent="0.2">
      <c r="A2555" s="649" t="s">
        <v>6012</v>
      </c>
      <c r="B2555" s="725" t="s">
        <v>6011</v>
      </c>
    </row>
    <row r="2556" spans="1:2" x14ac:dyDescent="0.2">
      <c r="A2556" s="649" t="s">
        <v>2981</v>
      </c>
      <c r="B2556" s="725" t="s">
        <v>2980</v>
      </c>
    </row>
    <row r="2557" spans="1:2" x14ac:dyDescent="0.2">
      <c r="A2557" s="649" t="s">
        <v>2983</v>
      </c>
      <c r="B2557" s="725" t="s">
        <v>2982</v>
      </c>
    </row>
    <row r="2558" spans="1:2" x14ac:dyDescent="0.2">
      <c r="A2558" s="649" t="s">
        <v>4571</v>
      </c>
      <c r="B2558" s="725" t="s">
        <v>4570</v>
      </c>
    </row>
    <row r="2559" spans="1:2" x14ac:dyDescent="0.2">
      <c r="A2559" s="649" t="s">
        <v>2985</v>
      </c>
      <c r="B2559" s="725" t="s">
        <v>2984</v>
      </c>
    </row>
    <row r="2560" spans="1:2" x14ac:dyDescent="0.2">
      <c r="A2560" s="649" t="s">
        <v>2987</v>
      </c>
      <c r="B2560" s="725" t="s">
        <v>2986</v>
      </c>
    </row>
    <row r="2561" spans="1:2" x14ac:dyDescent="0.2">
      <c r="A2561" s="649" t="s">
        <v>2989</v>
      </c>
      <c r="B2561" s="725" t="s">
        <v>2988</v>
      </c>
    </row>
    <row r="2562" spans="1:2" x14ac:dyDescent="0.2">
      <c r="A2562" s="649" t="s">
        <v>2991</v>
      </c>
      <c r="B2562" s="725" t="s">
        <v>2990</v>
      </c>
    </row>
    <row r="2563" spans="1:2" x14ac:dyDescent="0.2">
      <c r="A2563" s="649" t="s">
        <v>2993</v>
      </c>
      <c r="B2563" s="725" t="s">
        <v>2992</v>
      </c>
    </row>
    <row r="2564" spans="1:2" x14ac:dyDescent="0.2">
      <c r="A2564" s="649" t="s">
        <v>6014</v>
      </c>
      <c r="B2564" s="725" t="s">
        <v>6013</v>
      </c>
    </row>
    <row r="2565" spans="1:2" x14ac:dyDescent="0.2">
      <c r="A2565" s="649" t="s">
        <v>6016</v>
      </c>
      <c r="B2565" s="725" t="s">
        <v>6015</v>
      </c>
    </row>
    <row r="2566" spans="1:2" x14ac:dyDescent="0.2">
      <c r="A2566" s="649" t="s">
        <v>2995</v>
      </c>
      <c r="B2566" s="725" t="s">
        <v>2994</v>
      </c>
    </row>
    <row r="2567" spans="1:2" x14ac:dyDescent="0.2">
      <c r="A2567" s="649" t="s">
        <v>5285</v>
      </c>
      <c r="B2567" s="725" t="s">
        <v>5284</v>
      </c>
    </row>
    <row r="2568" spans="1:2" x14ac:dyDescent="0.2">
      <c r="A2568" s="649" t="s">
        <v>4573</v>
      </c>
      <c r="B2568" s="725" t="s">
        <v>4572</v>
      </c>
    </row>
    <row r="2569" spans="1:2" x14ac:dyDescent="0.2">
      <c r="A2569" s="649" t="s">
        <v>3817</v>
      </c>
      <c r="B2569" s="725" t="s">
        <v>3816</v>
      </c>
    </row>
    <row r="2570" spans="1:2" x14ac:dyDescent="0.2">
      <c r="A2570" s="649" t="s">
        <v>3819</v>
      </c>
      <c r="B2570" s="725" t="s">
        <v>3818</v>
      </c>
    </row>
    <row r="2571" spans="1:2" x14ac:dyDescent="0.2">
      <c r="A2571" s="649" t="s">
        <v>6880</v>
      </c>
      <c r="B2571" s="725" t="s">
        <v>6879</v>
      </c>
    </row>
    <row r="2572" spans="1:2" x14ac:dyDescent="0.2">
      <c r="A2572" s="649" t="s">
        <v>6018</v>
      </c>
      <c r="B2572" s="725" t="s">
        <v>6017</v>
      </c>
    </row>
    <row r="2573" spans="1:2" x14ac:dyDescent="0.2">
      <c r="A2573" s="649" t="s">
        <v>6020</v>
      </c>
      <c r="B2573" s="725" t="s">
        <v>6019</v>
      </c>
    </row>
    <row r="2574" spans="1:2" x14ac:dyDescent="0.2">
      <c r="A2574" s="649" t="s">
        <v>2533</v>
      </c>
      <c r="B2574" s="725" t="s">
        <v>2532</v>
      </c>
    </row>
    <row r="2575" spans="1:2" x14ac:dyDescent="0.2">
      <c r="A2575" s="649" t="s">
        <v>4575</v>
      </c>
      <c r="B2575" s="725" t="s">
        <v>4574</v>
      </c>
    </row>
    <row r="2576" spans="1:2" x14ac:dyDescent="0.2">
      <c r="A2576" s="649" t="s">
        <v>4577</v>
      </c>
      <c r="B2576" s="725" t="s">
        <v>4576</v>
      </c>
    </row>
    <row r="2577" spans="1:2" x14ac:dyDescent="0.2">
      <c r="A2577" s="649" t="s">
        <v>4579</v>
      </c>
      <c r="B2577" s="725" t="s">
        <v>4578</v>
      </c>
    </row>
    <row r="2578" spans="1:2" x14ac:dyDescent="0.2">
      <c r="A2578" s="649" t="s">
        <v>3979</v>
      </c>
      <c r="B2578" s="725" t="s">
        <v>3978</v>
      </c>
    </row>
    <row r="2579" spans="1:2" x14ac:dyDescent="0.2">
      <c r="A2579" s="649" t="s">
        <v>6022</v>
      </c>
      <c r="B2579" s="725" t="s">
        <v>6021</v>
      </c>
    </row>
    <row r="2580" spans="1:2" x14ac:dyDescent="0.2">
      <c r="A2580" s="649" t="s">
        <v>6024</v>
      </c>
      <c r="B2580" s="725" t="s">
        <v>6023</v>
      </c>
    </row>
    <row r="2581" spans="1:2" x14ac:dyDescent="0.2">
      <c r="A2581" s="649" t="s">
        <v>4773</v>
      </c>
      <c r="B2581" s="725" t="s">
        <v>4772</v>
      </c>
    </row>
    <row r="2582" spans="1:2" x14ac:dyDescent="0.2">
      <c r="A2582" s="649" t="s">
        <v>4467</v>
      </c>
      <c r="B2582" s="725" t="s">
        <v>4466</v>
      </c>
    </row>
    <row r="2583" spans="1:2" x14ac:dyDescent="0.2">
      <c r="A2583" s="649" t="s">
        <v>2997</v>
      </c>
      <c r="B2583" s="725" t="s">
        <v>2996</v>
      </c>
    </row>
    <row r="2584" spans="1:2" x14ac:dyDescent="0.2">
      <c r="A2584" s="649" t="s">
        <v>6026</v>
      </c>
      <c r="B2584" s="725" t="s">
        <v>6025</v>
      </c>
    </row>
    <row r="2585" spans="1:2" x14ac:dyDescent="0.2">
      <c r="A2585" s="649" t="s">
        <v>1066</v>
      </c>
      <c r="B2585" s="725" t="s">
        <v>1065</v>
      </c>
    </row>
    <row r="2586" spans="1:2" x14ac:dyDescent="0.2">
      <c r="A2586" s="649" t="s">
        <v>1803</v>
      </c>
      <c r="B2586" s="725" t="s">
        <v>1802</v>
      </c>
    </row>
    <row r="2587" spans="1:2" x14ac:dyDescent="0.2">
      <c r="A2587" s="649" t="s">
        <v>7394</v>
      </c>
      <c r="B2587" s="725" t="s">
        <v>7393</v>
      </c>
    </row>
    <row r="2588" spans="1:2" x14ac:dyDescent="0.2">
      <c r="A2588" s="649" t="s">
        <v>3717</v>
      </c>
      <c r="B2588" s="725" t="s">
        <v>3716</v>
      </c>
    </row>
    <row r="2589" spans="1:2" x14ac:dyDescent="0.2">
      <c r="A2589" s="649" t="s">
        <v>1560</v>
      </c>
      <c r="B2589" s="725" t="s">
        <v>1559</v>
      </c>
    </row>
    <row r="2590" spans="1:2" x14ac:dyDescent="0.2">
      <c r="A2590" s="649" t="s">
        <v>7284</v>
      </c>
      <c r="B2590" s="725" t="s">
        <v>7283</v>
      </c>
    </row>
    <row r="2591" spans="1:2" x14ac:dyDescent="0.2">
      <c r="A2591" s="649" t="s">
        <v>3683</v>
      </c>
      <c r="B2591" s="725" t="s">
        <v>3682</v>
      </c>
    </row>
    <row r="2592" spans="1:2" x14ac:dyDescent="0.2">
      <c r="A2592" s="649" t="s">
        <v>4307</v>
      </c>
      <c r="B2592" s="725" t="s">
        <v>4306</v>
      </c>
    </row>
    <row r="2593" spans="1:2" x14ac:dyDescent="0.2">
      <c r="A2593" s="649" t="s">
        <v>802</v>
      </c>
      <c r="B2593" s="725" t="s">
        <v>801</v>
      </c>
    </row>
    <row r="2594" spans="1:2" x14ac:dyDescent="0.2">
      <c r="A2594" s="649" t="s">
        <v>2257</v>
      </c>
      <c r="B2594" s="725" t="s">
        <v>2256</v>
      </c>
    </row>
    <row r="2595" spans="1:2" x14ac:dyDescent="0.2">
      <c r="A2595" s="649" t="s">
        <v>1394</v>
      </c>
      <c r="B2595" s="725" t="s">
        <v>1393</v>
      </c>
    </row>
    <row r="2596" spans="1:2" x14ac:dyDescent="0.2">
      <c r="A2596" s="649" t="s">
        <v>1068</v>
      </c>
      <c r="B2596" s="725" t="s">
        <v>1067</v>
      </c>
    </row>
    <row r="2597" spans="1:2" x14ac:dyDescent="0.2">
      <c r="A2597" s="649" t="s">
        <v>7192</v>
      </c>
      <c r="B2597" s="725" t="s">
        <v>7191</v>
      </c>
    </row>
    <row r="2598" spans="1:2" x14ac:dyDescent="0.2">
      <c r="A2598" s="649" t="s">
        <v>4217</v>
      </c>
      <c r="B2598" s="725" t="s">
        <v>4216</v>
      </c>
    </row>
    <row r="2599" spans="1:2" x14ac:dyDescent="0.2">
      <c r="A2599" s="649" t="s">
        <v>6324</v>
      </c>
      <c r="B2599" s="725" t="s">
        <v>6323</v>
      </c>
    </row>
    <row r="2600" spans="1:2" x14ac:dyDescent="0.2">
      <c r="A2600" s="649" t="s">
        <v>6028</v>
      </c>
      <c r="B2600" s="725" t="s">
        <v>6027</v>
      </c>
    </row>
    <row r="2601" spans="1:2" x14ac:dyDescent="0.2">
      <c r="A2601" s="649" t="s">
        <v>2999</v>
      </c>
      <c r="B2601" s="725" t="s">
        <v>2998</v>
      </c>
    </row>
    <row r="2602" spans="1:2" x14ac:dyDescent="0.2">
      <c r="A2602" s="649" t="s">
        <v>3001</v>
      </c>
      <c r="B2602" s="725" t="s">
        <v>3000</v>
      </c>
    </row>
    <row r="2603" spans="1:2" x14ac:dyDescent="0.2">
      <c r="A2603" s="649" t="s">
        <v>6030</v>
      </c>
      <c r="B2603" s="725" t="s">
        <v>6029</v>
      </c>
    </row>
    <row r="2604" spans="1:2" x14ac:dyDescent="0.2">
      <c r="A2604" s="649" t="s">
        <v>8186</v>
      </c>
      <c r="B2604" s="725" t="s">
        <v>8185</v>
      </c>
    </row>
    <row r="2605" spans="1:2" x14ac:dyDescent="0.2">
      <c r="A2605" s="649" t="s">
        <v>4731</v>
      </c>
      <c r="B2605" s="725" t="s">
        <v>4730</v>
      </c>
    </row>
    <row r="2606" spans="1:2" x14ac:dyDescent="0.2">
      <c r="A2606" s="649" t="s">
        <v>4775</v>
      </c>
      <c r="B2606" s="725" t="s">
        <v>4774</v>
      </c>
    </row>
    <row r="2607" spans="1:2" x14ac:dyDescent="0.2">
      <c r="A2607" s="649" t="s">
        <v>2535</v>
      </c>
      <c r="B2607" s="725" t="s">
        <v>2534</v>
      </c>
    </row>
    <row r="2608" spans="1:2" x14ac:dyDescent="0.2">
      <c r="A2608" s="649" t="s">
        <v>5027</v>
      </c>
      <c r="B2608" s="725" t="s">
        <v>5026</v>
      </c>
    </row>
    <row r="2609" spans="1:2" x14ac:dyDescent="0.2">
      <c r="A2609" s="649" t="s">
        <v>1805</v>
      </c>
      <c r="B2609" s="725" t="s">
        <v>1804</v>
      </c>
    </row>
    <row r="2610" spans="1:2" x14ac:dyDescent="0.2">
      <c r="A2610" s="649" t="s">
        <v>2537</v>
      </c>
      <c r="B2610" s="725" t="s">
        <v>2536</v>
      </c>
    </row>
    <row r="2611" spans="1:2" x14ac:dyDescent="0.2">
      <c r="A2611" s="649" t="s">
        <v>2259</v>
      </c>
      <c r="B2611" s="725" t="s">
        <v>2258</v>
      </c>
    </row>
    <row r="2612" spans="1:2" x14ac:dyDescent="0.2">
      <c r="A2612" s="649" t="s">
        <v>4383</v>
      </c>
      <c r="B2612" s="725" t="s">
        <v>4382</v>
      </c>
    </row>
    <row r="2613" spans="1:2" x14ac:dyDescent="0.2">
      <c r="A2613" s="649" t="s">
        <v>6446</v>
      </c>
      <c r="B2613" s="725" t="s">
        <v>6445</v>
      </c>
    </row>
    <row r="2614" spans="1:2" x14ac:dyDescent="0.2">
      <c r="A2614" s="649" t="s">
        <v>3707</v>
      </c>
      <c r="B2614" s="725" t="s">
        <v>3706</v>
      </c>
    </row>
    <row r="2615" spans="1:2" x14ac:dyDescent="0.2">
      <c r="A2615" s="649" t="s">
        <v>1861</v>
      </c>
      <c r="B2615" s="725" t="s">
        <v>1860</v>
      </c>
    </row>
    <row r="2616" spans="1:2" x14ac:dyDescent="0.2">
      <c r="A2616" s="649" t="s">
        <v>477</v>
      </c>
      <c r="B2616" s="725" t="s">
        <v>476</v>
      </c>
    </row>
    <row r="2617" spans="1:2" x14ac:dyDescent="0.2">
      <c r="A2617" s="649" t="s">
        <v>4219</v>
      </c>
      <c r="B2617" s="725" t="s">
        <v>4218</v>
      </c>
    </row>
    <row r="2618" spans="1:2" x14ac:dyDescent="0.2">
      <c r="A2618" s="649" t="s">
        <v>4581</v>
      </c>
      <c r="B2618" s="725" t="s">
        <v>4580</v>
      </c>
    </row>
    <row r="2619" spans="1:2" x14ac:dyDescent="0.2">
      <c r="A2619" s="649" t="s">
        <v>6032</v>
      </c>
      <c r="B2619" s="725" t="s">
        <v>6031</v>
      </c>
    </row>
    <row r="2620" spans="1:2" x14ac:dyDescent="0.2">
      <c r="A2620" s="649" t="s">
        <v>1242</v>
      </c>
      <c r="B2620" s="725" t="s">
        <v>1241</v>
      </c>
    </row>
    <row r="2621" spans="1:2" x14ac:dyDescent="0.2">
      <c r="A2621" s="649" t="s">
        <v>2149</v>
      </c>
      <c r="B2621" s="725" t="s">
        <v>2148</v>
      </c>
    </row>
    <row r="2622" spans="1:2" x14ac:dyDescent="0.2">
      <c r="A2622" s="649" t="s">
        <v>1562</v>
      </c>
      <c r="B2622" s="725" t="s">
        <v>1561</v>
      </c>
    </row>
    <row r="2623" spans="1:2" x14ac:dyDescent="0.2">
      <c r="A2623" s="649" t="s">
        <v>5055</v>
      </c>
      <c r="B2623" s="725" t="s">
        <v>5054</v>
      </c>
    </row>
    <row r="2624" spans="1:2" x14ac:dyDescent="0.2">
      <c r="A2624" s="649" t="s">
        <v>836</v>
      </c>
      <c r="B2624" s="725" t="s">
        <v>835</v>
      </c>
    </row>
    <row r="2625" spans="1:2" x14ac:dyDescent="0.2">
      <c r="A2625" s="649" t="s">
        <v>8188</v>
      </c>
      <c r="B2625" s="725" t="s">
        <v>8187</v>
      </c>
    </row>
    <row r="2626" spans="1:2" x14ac:dyDescent="0.2">
      <c r="A2626" s="649" t="s">
        <v>5453</v>
      </c>
      <c r="B2626" s="725" t="s">
        <v>5452</v>
      </c>
    </row>
    <row r="2627" spans="1:2" x14ac:dyDescent="0.2">
      <c r="A2627" s="649" t="s">
        <v>7516</v>
      </c>
      <c r="B2627" s="725" t="s">
        <v>7515</v>
      </c>
    </row>
    <row r="2628" spans="1:2" x14ac:dyDescent="0.2">
      <c r="A2628" s="649" t="s">
        <v>6882</v>
      </c>
      <c r="B2628" s="725" t="s">
        <v>6881</v>
      </c>
    </row>
    <row r="2629" spans="1:2" x14ac:dyDescent="0.2">
      <c r="A2629" s="649" t="s">
        <v>2381</v>
      </c>
      <c r="B2629" s="725" t="s">
        <v>2380</v>
      </c>
    </row>
    <row r="2630" spans="1:2" x14ac:dyDescent="0.2">
      <c r="A2630" s="649" t="s">
        <v>6448</v>
      </c>
      <c r="B2630" s="725" t="s">
        <v>6447</v>
      </c>
    </row>
    <row r="2631" spans="1:2" x14ac:dyDescent="0.2">
      <c r="A2631" s="649" t="s">
        <v>7144</v>
      </c>
      <c r="B2631" s="725" t="s">
        <v>7143</v>
      </c>
    </row>
    <row r="2632" spans="1:2" x14ac:dyDescent="0.2">
      <c r="A2632" s="649" t="s">
        <v>1412</v>
      </c>
      <c r="B2632" s="725" t="s">
        <v>1411</v>
      </c>
    </row>
    <row r="2633" spans="1:2" x14ac:dyDescent="0.2">
      <c r="A2633" s="649" t="s">
        <v>1624</v>
      </c>
      <c r="B2633" s="725" t="s">
        <v>1623</v>
      </c>
    </row>
    <row r="2634" spans="1:2" x14ac:dyDescent="0.2">
      <c r="A2634" s="649" t="s">
        <v>1466</v>
      </c>
      <c r="B2634" s="725" t="s">
        <v>1465</v>
      </c>
    </row>
    <row r="2635" spans="1:2" x14ac:dyDescent="0.2">
      <c r="A2635" s="649" t="s">
        <v>2539</v>
      </c>
      <c r="B2635" s="725" t="s">
        <v>2538</v>
      </c>
    </row>
    <row r="2636" spans="1:2" x14ac:dyDescent="0.2">
      <c r="A2636" s="649" t="s">
        <v>5455</v>
      </c>
      <c r="B2636" s="725" t="s">
        <v>5454</v>
      </c>
    </row>
    <row r="2637" spans="1:2" x14ac:dyDescent="0.2">
      <c r="A2637" s="649" t="s">
        <v>6884</v>
      </c>
      <c r="B2637" s="725" t="s">
        <v>6883</v>
      </c>
    </row>
    <row r="2638" spans="1:2" x14ac:dyDescent="0.2">
      <c r="A2638" s="649" t="s">
        <v>1564</v>
      </c>
      <c r="B2638" s="725" t="s">
        <v>1563</v>
      </c>
    </row>
    <row r="2639" spans="1:2" x14ac:dyDescent="0.2">
      <c r="A2639" s="649" t="s">
        <v>7108</v>
      </c>
      <c r="B2639" s="725" t="s">
        <v>7107</v>
      </c>
    </row>
    <row r="2640" spans="1:2" x14ac:dyDescent="0.2">
      <c r="A2640" s="649" t="s">
        <v>6886</v>
      </c>
      <c r="B2640" s="725" t="s">
        <v>6885</v>
      </c>
    </row>
    <row r="2641" spans="1:2" x14ac:dyDescent="0.2">
      <c r="A2641" s="649" t="s">
        <v>1863</v>
      </c>
      <c r="B2641" s="725" t="s">
        <v>1862</v>
      </c>
    </row>
    <row r="2642" spans="1:2" x14ac:dyDescent="0.2">
      <c r="A2642" s="649" t="s">
        <v>5029</v>
      </c>
      <c r="B2642" s="725" t="s">
        <v>5028</v>
      </c>
    </row>
    <row r="2643" spans="1:2" x14ac:dyDescent="0.2">
      <c r="A2643" s="649" t="s">
        <v>2357</v>
      </c>
      <c r="B2643" s="725" t="s">
        <v>2356</v>
      </c>
    </row>
    <row r="2644" spans="1:2" x14ac:dyDescent="0.2">
      <c r="A2644" s="649" t="s">
        <v>453</v>
      </c>
      <c r="B2644" s="725" t="s">
        <v>452</v>
      </c>
    </row>
    <row r="2645" spans="1:2" x14ac:dyDescent="0.2">
      <c r="A2645" s="649" t="s">
        <v>838</v>
      </c>
      <c r="B2645" s="725" t="s">
        <v>837</v>
      </c>
    </row>
    <row r="2646" spans="1:2" x14ac:dyDescent="0.2">
      <c r="A2646" s="649" t="s">
        <v>8190</v>
      </c>
      <c r="B2646" s="725" t="s">
        <v>8189</v>
      </c>
    </row>
    <row r="2647" spans="1:2" x14ac:dyDescent="0.2">
      <c r="A2647" s="649" t="s">
        <v>6268</v>
      </c>
      <c r="B2647" s="725" t="s">
        <v>6267</v>
      </c>
    </row>
    <row r="2648" spans="1:2" x14ac:dyDescent="0.2">
      <c r="A2648" s="649" t="s">
        <v>8274</v>
      </c>
      <c r="B2648" s="725" t="s">
        <v>8273</v>
      </c>
    </row>
    <row r="2649" spans="1:2" x14ac:dyDescent="0.2">
      <c r="A2649" s="649" t="s">
        <v>1973</v>
      </c>
      <c r="B2649" s="725" t="s">
        <v>1972</v>
      </c>
    </row>
    <row r="2650" spans="1:2" x14ac:dyDescent="0.2">
      <c r="A2650" s="649" t="s">
        <v>8192</v>
      </c>
      <c r="B2650" s="725" t="s">
        <v>8191</v>
      </c>
    </row>
    <row r="2651" spans="1:2" x14ac:dyDescent="0.2">
      <c r="A2651" s="649" t="s">
        <v>7764</v>
      </c>
      <c r="B2651" s="725" t="s">
        <v>7763</v>
      </c>
    </row>
    <row r="2652" spans="1:2" x14ac:dyDescent="0.2">
      <c r="A2652" s="649" t="s">
        <v>6034</v>
      </c>
      <c r="B2652" s="725" t="s">
        <v>6033</v>
      </c>
    </row>
    <row r="2653" spans="1:2" x14ac:dyDescent="0.2">
      <c r="A2653" s="649" t="s">
        <v>946</v>
      </c>
      <c r="B2653" s="725" t="s">
        <v>945</v>
      </c>
    </row>
    <row r="2654" spans="1:2" x14ac:dyDescent="0.2">
      <c r="A2654" s="649" t="s">
        <v>2541</v>
      </c>
      <c r="B2654" s="725" t="s">
        <v>2540</v>
      </c>
    </row>
    <row r="2655" spans="1:2" x14ac:dyDescent="0.2">
      <c r="A2655" s="649" t="s">
        <v>4667</v>
      </c>
      <c r="B2655" s="725" t="s">
        <v>4666</v>
      </c>
    </row>
    <row r="2656" spans="1:2" x14ac:dyDescent="0.2">
      <c r="A2656" s="649" t="s">
        <v>1566</v>
      </c>
      <c r="B2656" s="725" t="s">
        <v>1565</v>
      </c>
    </row>
    <row r="2657" spans="1:2" x14ac:dyDescent="0.2">
      <c r="A2657" s="649" t="s">
        <v>6326</v>
      </c>
      <c r="B2657" s="725" t="s">
        <v>6325</v>
      </c>
    </row>
    <row r="2658" spans="1:2" x14ac:dyDescent="0.2">
      <c r="A2658" s="649" t="s">
        <v>5091</v>
      </c>
      <c r="B2658" s="725" t="s">
        <v>5090</v>
      </c>
    </row>
    <row r="2659" spans="1:2" x14ac:dyDescent="0.2">
      <c r="A2659" s="649" t="s">
        <v>1568</v>
      </c>
      <c r="B2659" s="725" t="s">
        <v>1567</v>
      </c>
    </row>
    <row r="2660" spans="1:2" x14ac:dyDescent="0.2">
      <c r="A2660" s="649" t="s">
        <v>1771</v>
      </c>
      <c r="B2660" s="725" t="s">
        <v>1770</v>
      </c>
    </row>
    <row r="2661" spans="1:2" x14ac:dyDescent="0.2">
      <c r="A2661" s="649" t="s">
        <v>8194</v>
      </c>
      <c r="B2661" s="725" t="s">
        <v>8193</v>
      </c>
    </row>
    <row r="2662" spans="1:2" x14ac:dyDescent="0.2">
      <c r="A2662" s="649" t="s">
        <v>6328</v>
      </c>
      <c r="B2662" s="725" t="s">
        <v>6327</v>
      </c>
    </row>
    <row r="2663" spans="1:2" x14ac:dyDescent="0.2">
      <c r="A2663" s="649" t="s">
        <v>4979</v>
      </c>
      <c r="B2663" s="725" t="s">
        <v>4978</v>
      </c>
    </row>
    <row r="2664" spans="1:2" x14ac:dyDescent="0.2">
      <c r="A2664" s="649" t="s">
        <v>4887</v>
      </c>
      <c r="B2664" s="725" t="s">
        <v>4886</v>
      </c>
    </row>
    <row r="2665" spans="1:2" x14ac:dyDescent="0.2">
      <c r="A2665" s="649" t="s">
        <v>1570</v>
      </c>
      <c r="B2665" s="725" t="s">
        <v>1569</v>
      </c>
    </row>
    <row r="2666" spans="1:2" x14ac:dyDescent="0.2">
      <c r="A2666" s="649" t="s">
        <v>3613</v>
      </c>
      <c r="B2666" s="725" t="s">
        <v>3612</v>
      </c>
    </row>
    <row r="2667" spans="1:2" x14ac:dyDescent="0.2">
      <c r="A2667" s="649" t="s">
        <v>4733</v>
      </c>
      <c r="B2667" s="725" t="s">
        <v>4732</v>
      </c>
    </row>
    <row r="2668" spans="1:2" x14ac:dyDescent="0.2">
      <c r="A2668" s="649" t="s">
        <v>5457</v>
      </c>
      <c r="B2668" s="725" t="s">
        <v>5456</v>
      </c>
    </row>
    <row r="2669" spans="1:2" x14ac:dyDescent="0.2">
      <c r="A2669" s="649" t="s">
        <v>4347</v>
      </c>
      <c r="B2669" s="725" t="s">
        <v>4346</v>
      </c>
    </row>
    <row r="2670" spans="1:2" x14ac:dyDescent="0.2">
      <c r="A2670" s="649" t="s">
        <v>1468</v>
      </c>
      <c r="B2670" s="725" t="s">
        <v>1467</v>
      </c>
    </row>
    <row r="2671" spans="1:2" x14ac:dyDescent="0.2">
      <c r="A2671" s="649" t="s">
        <v>5459</v>
      </c>
      <c r="B2671" s="725" t="s">
        <v>5458</v>
      </c>
    </row>
    <row r="2672" spans="1:2" x14ac:dyDescent="0.2">
      <c r="A2672" s="649" t="s">
        <v>1070</v>
      </c>
      <c r="B2672" s="725" t="s">
        <v>1069</v>
      </c>
    </row>
    <row r="2673" spans="1:2" x14ac:dyDescent="0.2">
      <c r="A2673" s="649" t="s">
        <v>1072</v>
      </c>
      <c r="B2673" s="725" t="s">
        <v>1071</v>
      </c>
    </row>
    <row r="2674" spans="1:2" x14ac:dyDescent="0.2">
      <c r="A2674" s="649" t="s">
        <v>718</v>
      </c>
      <c r="B2674" s="725" t="s">
        <v>717</v>
      </c>
    </row>
    <row r="2675" spans="1:2" x14ac:dyDescent="0.2">
      <c r="A2675" s="649" t="s">
        <v>2151</v>
      </c>
      <c r="B2675" s="725" t="s">
        <v>2150</v>
      </c>
    </row>
    <row r="2676" spans="1:2" x14ac:dyDescent="0.2">
      <c r="A2676" s="649" t="s">
        <v>1074</v>
      </c>
      <c r="B2676" s="725" t="s">
        <v>1073</v>
      </c>
    </row>
    <row r="2677" spans="1:2" x14ac:dyDescent="0.2">
      <c r="A2677" s="649" t="s">
        <v>2377</v>
      </c>
      <c r="B2677" s="725" t="s">
        <v>2376</v>
      </c>
    </row>
    <row r="2678" spans="1:2" x14ac:dyDescent="0.2">
      <c r="A2678" s="649" t="s">
        <v>7766</v>
      </c>
      <c r="B2678" s="725" t="s">
        <v>7765</v>
      </c>
    </row>
    <row r="2679" spans="1:2" x14ac:dyDescent="0.2">
      <c r="A2679" s="649" t="s">
        <v>7410</v>
      </c>
      <c r="B2679" s="725" t="s">
        <v>7409</v>
      </c>
    </row>
    <row r="2680" spans="1:2" x14ac:dyDescent="0.2">
      <c r="A2680" s="649" t="s">
        <v>3003</v>
      </c>
      <c r="B2680" s="725" t="s">
        <v>3002</v>
      </c>
    </row>
    <row r="2681" spans="1:2" x14ac:dyDescent="0.2">
      <c r="A2681" s="649" t="s">
        <v>3005</v>
      </c>
      <c r="B2681" s="725" t="s">
        <v>3004</v>
      </c>
    </row>
    <row r="2682" spans="1:2" x14ac:dyDescent="0.2">
      <c r="A2682" s="649" t="s">
        <v>3007</v>
      </c>
      <c r="B2682" s="725" t="s">
        <v>3006</v>
      </c>
    </row>
    <row r="2683" spans="1:2" x14ac:dyDescent="0.2">
      <c r="A2683" s="649" t="s">
        <v>3009</v>
      </c>
      <c r="B2683" s="725" t="s">
        <v>3008</v>
      </c>
    </row>
    <row r="2684" spans="1:2" x14ac:dyDescent="0.2">
      <c r="A2684" s="649" t="s">
        <v>5093</v>
      </c>
      <c r="B2684" s="725" t="s">
        <v>5092</v>
      </c>
    </row>
    <row r="2685" spans="1:2" x14ac:dyDescent="0.2">
      <c r="A2685" s="649" t="s">
        <v>8196</v>
      </c>
      <c r="B2685" s="725" t="s">
        <v>8195</v>
      </c>
    </row>
    <row r="2686" spans="1:2" x14ac:dyDescent="0.2">
      <c r="A2686" s="649" t="s">
        <v>4981</v>
      </c>
      <c r="B2686" s="725" t="s">
        <v>4980</v>
      </c>
    </row>
    <row r="2687" spans="1:2" x14ac:dyDescent="0.2">
      <c r="A2687" s="649" t="s">
        <v>592</v>
      </c>
      <c r="B2687" s="725" t="s">
        <v>591</v>
      </c>
    </row>
    <row r="2688" spans="1:2" x14ac:dyDescent="0.2">
      <c r="A2688" s="649" t="s">
        <v>5115</v>
      </c>
      <c r="B2688" s="725" t="s">
        <v>5114</v>
      </c>
    </row>
    <row r="2689" spans="1:2" x14ac:dyDescent="0.2">
      <c r="A2689" s="649" t="s">
        <v>4845</v>
      </c>
      <c r="B2689" s="725" t="s">
        <v>4844</v>
      </c>
    </row>
    <row r="2690" spans="1:2" x14ac:dyDescent="0.2">
      <c r="A2690" s="649" t="s">
        <v>6888</v>
      </c>
      <c r="B2690" s="725" t="s">
        <v>6887</v>
      </c>
    </row>
    <row r="2691" spans="1:2" x14ac:dyDescent="0.2">
      <c r="A2691" s="649" t="s">
        <v>1865</v>
      </c>
      <c r="B2691" s="725" t="s">
        <v>1864</v>
      </c>
    </row>
    <row r="2692" spans="1:2" x14ac:dyDescent="0.2">
      <c r="A2692" s="649" t="s">
        <v>3011</v>
      </c>
      <c r="B2692" s="725" t="s">
        <v>3010</v>
      </c>
    </row>
    <row r="2693" spans="1:2" x14ac:dyDescent="0.2">
      <c r="A2693" s="649" t="s">
        <v>2209</v>
      </c>
      <c r="B2693" s="725" t="s">
        <v>2208</v>
      </c>
    </row>
    <row r="2694" spans="1:2" x14ac:dyDescent="0.2">
      <c r="A2694" s="649" t="s">
        <v>4637</v>
      </c>
      <c r="B2694" s="725" t="s">
        <v>4636</v>
      </c>
    </row>
    <row r="2695" spans="1:2" x14ac:dyDescent="0.2">
      <c r="A2695" s="649" t="s">
        <v>6890</v>
      </c>
      <c r="B2695" s="725" t="s">
        <v>6889</v>
      </c>
    </row>
    <row r="2696" spans="1:2" x14ac:dyDescent="0.2">
      <c r="A2696" s="649" t="s">
        <v>373</v>
      </c>
      <c r="B2696" s="725" t="s">
        <v>372</v>
      </c>
    </row>
    <row r="2697" spans="1:2" x14ac:dyDescent="0.2">
      <c r="A2697" s="649" t="s">
        <v>6546</v>
      </c>
      <c r="B2697" s="725" t="s">
        <v>6545</v>
      </c>
    </row>
    <row r="2698" spans="1:2" x14ac:dyDescent="0.2">
      <c r="A2698" s="649" t="s">
        <v>4639</v>
      </c>
      <c r="B2698" s="725" t="s">
        <v>4638</v>
      </c>
    </row>
    <row r="2699" spans="1:2" x14ac:dyDescent="0.2">
      <c r="A2699" s="649" t="s">
        <v>6892</v>
      </c>
      <c r="B2699" s="725" t="s">
        <v>6891</v>
      </c>
    </row>
    <row r="2700" spans="1:2" x14ac:dyDescent="0.2">
      <c r="A2700" s="649" t="s">
        <v>4919</v>
      </c>
      <c r="B2700" s="725" t="s">
        <v>4918</v>
      </c>
    </row>
    <row r="2701" spans="1:2" x14ac:dyDescent="0.2">
      <c r="A2701" s="649" t="s">
        <v>1702</v>
      </c>
      <c r="B2701" s="725" t="s">
        <v>1701</v>
      </c>
    </row>
    <row r="2702" spans="1:2" x14ac:dyDescent="0.2">
      <c r="A2702" s="649" t="s">
        <v>4385</v>
      </c>
      <c r="B2702" s="725" t="s">
        <v>4384</v>
      </c>
    </row>
    <row r="2703" spans="1:2" x14ac:dyDescent="0.2">
      <c r="A2703" s="649" t="s">
        <v>3685</v>
      </c>
      <c r="B2703" s="725" t="s">
        <v>3684</v>
      </c>
    </row>
    <row r="2704" spans="1:2" x14ac:dyDescent="0.2">
      <c r="A2704" s="649" t="s">
        <v>4823</v>
      </c>
      <c r="B2704" s="725" t="s">
        <v>4822</v>
      </c>
    </row>
    <row r="2705" spans="1:2" x14ac:dyDescent="0.2">
      <c r="A2705" s="649" t="s">
        <v>4221</v>
      </c>
      <c r="B2705" s="725" t="s">
        <v>4220</v>
      </c>
    </row>
    <row r="2706" spans="1:2" x14ac:dyDescent="0.2">
      <c r="A2706" s="649" t="s">
        <v>3565</v>
      </c>
      <c r="B2706" s="725" t="s">
        <v>3564</v>
      </c>
    </row>
    <row r="2707" spans="1:2" x14ac:dyDescent="0.2">
      <c r="A2707" s="649" t="s">
        <v>5117</v>
      </c>
      <c r="B2707" s="725" t="s">
        <v>5116</v>
      </c>
    </row>
    <row r="2708" spans="1:2" x14ac:dyDescent="0.2">
      <c r="A2708" s="649" t="s">
        <v>6036</v>
      </c>
      <c r="B2708" s="725" t="s">
        <v>6035</v>
      </c>
    </row>
    <row r="2709" spans="1:2" x14ac:dyDescent="0.2">
      <c r="A2709" s="649" t="s">
        <v>1244</v>
      </c>
      <c r="B2709" s="725" t="s">
        <v>1243</v>
      </c>
    </row>
    <row r="2710" spans="1:2" x14ac:dyDescent="0.2">
      <c r="A2710" s="649" t="s">
        <v>7366</v>
      </c>
      <c r="B2710" s="725" t="s">
        <v>7365</v>
      </c>
    </row>
    <row r="2711" spans="1:2" x14ac:dyDescent="0.2">
      <c r="A2711" s="649" t="s">
        <v>1470</v>
      </c>
      <c r="B2711" s="725" t="s">
        <v>1469</v>
      </c>
    </row>
    <row r="2712" spans="1:2" x14ac:dyDescent="0.2">
      <c r="A2712" s="649" t="s">
        <v>8020</v>
      </c>
      <c r="B2712" s="725" t="s">
        <v>8019</v>
      </c>
    </row>
    <row r="2713" spans="1:2" x14ac:dyDescent="0.2">
      <c r="A2713" s="649" t="s">
        <v>720</v>
      </c>
      <c r="B2713" s="725" t="s">
        <v>719</v>
      </c>
    </row>
    <row r="2714" spans="1:2" x14ac:dyDescent="0.2">
      <c r="A2714" s="649" t="s">
        <v>1472</v>
      </c>
      <c r="B2714" s="725" t="s">
        <v>1471</v>
      </c>
    </row>
    <row r="2715" spans="1:2" x14ac:dyDescent="0.2">
      <c r="A2715" s="649" t="s">
        <v>8198</v>
      </c>
      <c r="B2715" s="725" t="s">
        <v>8197</v>
      </c>
    </row>
    <row r="2716" spans="1:2" x14ac:dyDescent="0.2">
      <c r="A2716" s="649" t="s">
        <v>7768</v>
      </c>
      <c r="B2716" s="725" t="s">
        <v>7767</v>
      </c>
    </row>
    <row r="2717" spans="1:2" x14ac:dyDescent="0.2">
      <c r="A2717" s="649" t="s">
        <v>3013</v>
      </c>
      <c r="B2717" s="725" t="s">
        <v>3012</v>
      </c>
    </row>
    <row r="2718" spans="1:2" x14ac:dyDescent="0.2">
      <c r="A2718" s="649" t="s">
        <v>3015</v>
      </c>
      <c r="B2718" s="725" t="s">
        <v>3014</v>
      </c>
    </row>
    <row r="2719" spans="1:2" x14ac:dyDescent="0.2">
      <c r="A2719" s="649" t="s">
        <v>423</v>
      </c>
      <c r="B2719" s="725" t="s">
        <v>422</v>
      </c>
    </row>
    <row r="2720" spans="1:2" x14ac:dyDescent="0.2">
      <c r="A2720" s="649" t="s">
        <v>6330</v>
      </c>
      <c r="B2720" s="725" t="s">
        <v>6329</v>
      </c>
    </row>
    <row r="2721" spans="1:2" x14ac:dyDescent="0.2">
      <c r="A2721" s="649" t="s">
        <v>4983</v>
      </c>
      <c r="B2721" s="725" t="s">
        <v>4982</v>
      </c>
    </row>
    <row r="2722" spans="1:2" x14ac:dyDescent="0.2">
      <c r="A2722" s="649" t="s">
        <v>10391</v>
      </c>
      <c r="B2722" s="725" t="s">
        <v>10392</v>
      </c>
    </row>
    <row r="2723" spans="1:2" x14ac:dyDescent="0.2">
      <c r="A2723" s="649" t="s">
        <v>6894</v>
      </c>
      <c r="B2723" s="725" t="s">
        <v>6893</v>
      </c>
    </row>
    <row r="2724" spans="1:2" x14ac:dyDescent="0.2">
      <c r="A2724" s="649" t="s">
        <v>8004</v>
      </c>
      <c r="B2724" s="725" t="s">
        <v>8003</v>
      </c>
    </row>
    <row r="2725" spans="1:2" x14ac:dyDescent="0.2">
      <c r="A2725" s="649" t="s">
        <v>5031</v>
      </c>
      <c r="B2725" s="725" t="s">
        <v>5030</v>
      </c>
    </row>
    <row r="2726" spans="1:2" x14ac:dyDescent="0.2">
      <c r="A2726" s="649" t="s">
        <v>4689</v>
      </c>
      <c r="B2726" s="725" t="s">
        <v>4688</v>
      </c>
    </row>
    <row r="2727" spans="1:2" x14ac:dyDescent="0.2">
      <c r="A2727" s="649" t="s">
        <v>1076</v>
      </c>
      <c r="B2727" s="725" t="s">
        <v>1075</v>
      </c>
    </row>
    <row r="2728" spans="1:2" x14ac:dyDescent="0.2">
      <c r="A2728" s="649" t="s">
        <v>5611</v>
      </c>
      <c r="B2728" s="725" t="s">
        <v>5610</v>
      </c>
    </row>
    <row r="2729" spans="1:2" x14ac:dyDescent="0.2">
      <c r="A2729" s="649" t="s">
        <v>7646</v>
      </c>
      <c r="B2729" s="725" t="s">
        <v>7645</v>
      </c>
    </row>
    <row r="2730" spans="1:2" x14ac:dyDescent="0.2">
      <c r="A2730" s="649" t="s">
        <v>8248</v>
      </c>
      <c r="B2730" s="725" t="s">
        <v>8247</v>
      </c>
    </row>
    <row r="2731" spans="1:2" x14ac:dyDescent="0.2">
      <c r="A2731" s="649" t="s">
        <v>3017</v>
      </c>
      <c r="B2731" s="725" t="s">
        <v>3016</v>
      </c>
    </row>
    <row r="2732" spans="1:2" x14ac:dyDescent="0.2">
      <c r="A2732" s="649" t="s">
        <v>7648</v>
      </c>
      <c r="B2732" s="725" t="s">
        <v>7647</v>
      </c>
    </row>
    <row r="2733" spans="1:2" x14ac:dyDescent="0.2">
      <c r="A2733" s="649" t="s">
        <v>5353</v>
      </c>
      <c r="B2733" s="725" t="s">
        <v>5352</v>
      </c>
    </row>
    <row r="2734" spans="1:2" x14ac:dyDescent="0.2">
      <c r="A2734" s="649" t="s">
        <v>7650</v>
      </c>
      <c r="B2734" s="725" t="s">
        <v>7649</v>
      </c>
    </row>
    <row r="2735" spans="1:2" x14ac:dyDescent="0.2">
      <c r="A2735" s="649" t="s">
        <v>1078</v>
      </c>
      <c r="B2735" s="725" t="s">
        <v>1077</v>
      </c>
    </row>
    <row r="2736" spans="1:2" x14ac:dyDescent="0.2">
      <c r="A2736" s="649" t="s">
        <v>7286</v>
      </c>
      <c r="B2736" s="725" t="s">
        <v>7285</v>
      </c>
    </row>
    <row r="2737" spans="1:2" x14ac:dyDescent="0.2">
      <c r="A2737" s="649" t="s">
        <v>4349</v>
      </c>
      <c r="B2737" s="725" t="s">
        <v>4348</v>
      </c>
    </row>
    <row r="2738" spans="1:2" x14ac:dyDescent="0.2">
      <c r="A2738" s="649" t="s">
        <v>7518</v>
      </c>
      <c r="B2738" s="725" t="s">
        <v>7517</v>
      </c>
    </row>
    <row r="2739" spans="1:2" x14ac:dyDescent="0.2">
      <c r="A2739" s="649" t="s">
        <v>5612</v>
      </c>
      <c r="B2739" s="725" t="s">
        <v>5610</v>
      </c>
    </row>
    <row r="2740" spans="1:2" x14ac:dyDescent="0.2">
      <c r="A2740" s="649" t="s">
        <v>840</v>
      </c>
      <c r="B2740" s="725" t="s">
        <v>839</v>
      </c>
    </row>
    <row r="2741" spans="1:2" x14ac:dyDescent="0.2">
      <c r="A2741" s="649" t="s">
        <v>3753</v>
      </c>
      <c r="B2741" s="725" t="s">
        <v>3752</v>
      </c>
    </row>
    <row r="2742" spans="1:2" x14ac:dyDescent="0.2">
      <c r="A2742" s="649" t="s">
        <v>7932</v>
      </c>
      <c r="B2742" s="725" t="s">
        <v>7931</v>
      </c>
    </row>
    <row r="2743" spans="1:2" x14ac:dyDescent="0.2">
      <c r="A2743" s="649" t="s">
        <v>1704</v>
      </c>
      <c r="B2743" s="725" t="s">
        <v>1703</v>
      </c>
    </row>
    <row r="2744" spans="1:2" x14ac:dyDescent="0.2">
      <c r="A2744" s="649" t="s">
        <v>3019</v>
      </c>
      <c r="B2744" s="725" t="s">
        <v>3018</v>
      </c>
    </row>
    <row r="2745" spans="1:2" x14ac:dyDescent="0.2">
      <c r="A2745" s="649" t="s">
        <v>1080</v>
      </c>
      <c r="B2745" s="725" t="s">
        <v>1079</v>
      </c>
    </row>
    <row r="2746" spans="1:2" x14ac:dyDescent="0.2">
      <c r="A2746" s="649" t="s">
        <v>3021</v>
      </c>
      <c r="B2746" s="725" t="s">
        <v>3020</v>
      </c>
    </row>
    <row r="2747" spans="1:2" x14ac:dyDescent="0.2">
      <c r="A2747" s="649" t="s">
        <v>2261</v>
      </c>
      <c r="B2747" s="725" t="s">
        <v>2260</v>
      </c>
    </row>
    <row r="2748" spans="1:2" x14ac:dyDescent="0.2">
      <c r="A2748" s="649" t="s">
        <v>1082</v>
      </c>
      <c r="B2748" s="725" t="s">
        <v>1081</v>
      </c>
    </row>
    <row r="2749" spans="1:2" x14ac:dyDescent="0.2">
      <c r="A2749" s="649" t="s">
        <v>2543</v>
      </c>
      <c r="B2749" s="725" t="s">
        <v>2542</v>
      </c>
    </row>
    <row r="2750" spans="1:2" x14ac:dyDescent="0.2">
      <c r="A2750" s="649" t="s">
        <v>1200</v>
      </c>
      <c r="B2750" s="725" t="s">
        <v>1199</v>
      </c>
    </row>
    <row r="2751" spans="1:2" x14ac:dyDescent="0.2">
      <c r="A2751" s="649" t="s">
        <v>4743</v>
      </c>
      <c r="B2751" s="725" t="s">
        <v>4742</v>
      </c>
    </row>
    <row r="2752" spans="1:2" x14ac:dyDescent="0.2">
      <c r="A2752" s="649" t="s">
        <v>1084</v>
      </c>
      <c r="B2752" s="725" t="s">
        <v>1083</v>
      </c>
    </row>
    <row r="2753" spans="1:2" x14ac:dyDescent="0.2">
      <c r="A2753" s="649" t="s">
        <v>1086</v>
      </c>
      <c r="B2753" s="725" t="s">
        <v>1085</v>
      </c>
    </row>
    <row r="2754" spans="1:2" x14ac:dyDescent="0.2">
      <c r="A2754" s="649" t="s">
        <v>1088</v>
      </c>
      <c r="B2754" s="725" t="s">
        <v>1087</v>
      </c>
    </row>
    <row r="2755" spans="1:2" x14ac:dyDescent="0.2">
      <c r="A2755" s="649" t="s">
        <v>1706</v>
      </c>
      <c r="B2755" s="725" t="s">
        <v>1705</v>
      </c>
    </row>
    <row r="2756" spans="1:2" x14ac:dyDescent="0.2">
      <c r="A2756" s="649" t="s">
        <v>3023</v>
      </c>
      <c r="B2756" s="725" t="s">
        <v>3022</v>
      </c>
    </row>
    <row r="2757" spans="1:2" x14ac:dyDescent="0.2">
      <c r="A2757" s="649" t="s">
        <v>2263</v>
      </c>
      <c r="B2757" s="725" t="s">
        <v>2262</v>
      </c>
    </row>
    <row r="2758" spans="1:2" x14ac:dyDescent="0.2">
      <c r="A2758" s="649" t="s">
        <v>1991</v>
      </c>
      <c r="B2758" s="725" t="s">
        <v>1990</v>
      </c>
    </row>
    <row r="2759" spans="1:2" x14ac:dyDescent="0.2">
      <c r="A2759" s="649" t="s">
        <v>1474</v>
      </c>
      <c r="B2759" s="725" t="s">
        <v>1473</v>
      </c>
    </row>
    <row r="2760" spans="1:2" x14ac:dyDescent="0.2">
      <c r="A2760" s="649" t="s">
        <v>1090</v>
      </c>
      <c r="B2760" s="725" t="s">
        <v>1089</v>
      </c>
    </row>
    <row r="2761" spans="1:2" x14ac:dyDescent="0.2">
      <c r="A2761" s="649" t="s">
        <v>3025</v>
      </c>
      <c r="B2761" s="725" t="s">
        <v>3024</v>
      </c>
    </row>
    <row r="2762" spans="1:2" x14ac:dyDescent="0.2">
      <c r="A2762" s="649" t="s">
        <v>2265</v>
      </c>
      <c r="B2762" s="725" t="s">
        <v>2264</v>
      </c>
    </row>
    <row r="2763" spans="1:2" x14ac:dyDescent="0.2">
      <c r="A2763" s="649" t="s">
        <v>3027</v>
      </c>
      <c r="B2763" s="725" t="s">
        <v>3026</v>
      </c>
    </row>
    <row r="2764" spans="1:2" x14ac:dyDescent="0.2">
      <c r="A2764" s="649" t="s">
        <v>2545</v>
      </c>
      <c r="B2764" s="725" t="s">
        <v>2544</v>
      </c>
    </row>
    <row r="2765" spans="1:2" x14ac:dyDescent="0.2">
      <c r="A2765" s="649" t="s">
        <v>1092</v>
      </c>
      <c r="B2765" s="725" t="s">
        <v>1091</v>
      </c>
    </row>
    <row r="2766" spans="1:2" x14ac:dyDescent="0.2">
      <c r="A2766" s="649" t="s">
        <v>1094</v>
      </c>
      <c r="B2766" s="725" t="s">
        <v>1093</v>
      </c>
    </row>
    <row r="2767" spans="1:2" x14ac:dyDescent="0.2">
      <c r="A2767" s="649" t="s">
        <v>1096</v>
      </c>
      <c r="B2767" s="725" t="s">
        <v>1095</v>
      </c>
    </row>
    <row r="2768" spans="1:2" x14ac:dyDescent="0.2">
      <c r="A2768" s="649" t="s">
        <v>3029</v>
      </c>
      <c r="B2768" s="725" t="s">
        <v>3028</v>
      </c>
    </row>
    <row r="2769" spans="1:2" x14ac:dyDescent="0.2">
      <c r="A2769" s="649" t="s">
        <v>3031</v>
      </c>
      <c r="B2769" s="725" t="s">
        <v>3030</v>
      </c>
    </row>
    <row r="2770" spans="1:2" x14ac:dyDescent="0.2">
      <c r="A2770" s="649" t="s">
        <v>1098</v>
      </c>
      <c r="B2770" s="725" t="s">
        <v>1097</v>
      </c>
    </row>
    <row r="2771" spans="1:2" x14ac:dyDescent="0.2">
      <c r="A2771" s="649" t="s">
        <v>2547</v>
      </c>
      <c r="B2771" s="725" t="s">
        <v>2546</v>
      </c>
    </row>
    <row r="2772" spans="1:2" x14ac:dyDescent="0.2">
      <c r="A2772" s="649" t="s">
        <v>1100</v>
      </c>
      <c r="B2772" s="725" t="s">
        <v>1099</v>
      </c>
    </row>
    <row r="2773" spans="1:2" x14ac:dyDescent="0.2">
      <c r="A2773" s="649" t="s">
        <v>1102</v>
      </c>
      <c r="B2773" s="725" t="s">
        <v>1101</v>
      </c>
    </row>
    <row r="2774" spans="1:2" x14ac:dyDescent="0.2">
      <c r="A2774" s="649" t="s">
        <v>1594</v>
      </c>
      <c r="B2774" s="725" t="s">
        <v>1593</v>
      </c>
    </row>
    <row r="2775" spans="1:2" x14ac:dyDescent="0.2">
      <c r="A2775" s="649" t="s">
        <v>3719</v>
      </c>
      <c r="B2775" s="725" t="s">
        <v>3718</v>
      </c>
    </row>
    <row r="2776" spans="1:2" x14ac:dyDescent="0.2">
      <c r="A2776" s="649" t="s">
        <v>2549</v>
      </c>
      <c r="B2776" s="725" t="s">
        <v>2548</v>
      </c>
    </row>
    <row r="2777" spans="1:2" x14ac:dyDescent="0.2">
      <c r="A2777" s="649" t="s">
        <v>2551</v>
      </c>
      <c r="B2777" s="725" t="s">
        <v>2550</v>
      </c>
    </row>
    <row r="2778" spans="1:2" x14ac:dyDescent="0.2">
      <c r="A2778" s="649" t="s">
        <v>3033</v>
      </c>
      <c r="B2778" s="725" t="s">
        <v>3032</v>
      </c>
    </row>
    <row r="2779" spans="1:2" x14ac:dyDescent="0.2">
      <c r="A2779" s="649" t="s">
        <v>952</v>
      </c>
      <c r="B2779" s="725" t="s">
        <v>951</v>
      </c>
    </row>
    <row r="2780" spans="1:2" x14ac:dyDescent="0.2">
      <c r="A2780" s="649" t="s">
        <v>2553</v>
      </c>
      <c r="B2780" s="725" t="s">
        <v>2552</v>
      </c>
    </row>
    <row r="2781" spans="1:2" x14ac:dyDescent="0.2">
      <c r="A2781" s="649" t="s">
        <v>2555</v>
      </c>
      <c r="B2781" s="725" t="s">
        <v>2554</v>
      </c>
    </row>
    <row r="2782" spans="1:2" x14ac:dyDescent="0.2">
      <c r="A2782" s="649" t="s">
        <v>3035</v>
      </c>
      <c r="B2782" s="725" t="s">
        <v>3034</v>
      </c>
    </row>
    <row r="2783" spans="1:2" x14ac:dyDescent="0.2">
      <c r="A2783" s="649" t="s">
        <v>3037</v>
      </c>
      <c r="B2783" s="725" t="s">
        <v>3036</v>
      </c>
    </row>
    <row r="2784" spans="1:2" x14ac:dyDescent="0.2">
      <c r="A2784" s="649" t="s">
        <v>1708</v>
      </c>
      <c r="B2784" s="725" t="s">
        <v>1707</v>
      </c>
    </row>
    <row r="2785" spans="1:2" x14ac:dyDescent="0.2">
      <c r="A2785" s="649" t="s">
        <v>1104</v>
      </c>
      <c r="B2785" s="725" t="s">
        <v>1103</v>
      </c>
    </row>
    <row r="2786" spans="1:2" x14ac:dyDescent="0.2">
      <c r="A2786" s="649" t="s">
        <v>2557</v>
      </c>
      <c r="B2786" s="725" t="s">
        <v>2556</v>
      </c>
    </row>
    <row r="2787" spans="1:2" x14ac:dyDescent="0.2">
      <c r="A2787" s="649" t="s">
        <v>3039</v>
      </c>
      <c r="B2787" s="725" t="s">
        <v>3038</v>
      </c>
    </row>
    <row r="2788" spans="1:2" x14ac:dyDescent="0.2">
      <c r="A2788" s="649" t="s">
        <v>1106</v>
      </c>
      <c r="B2788" s="725" t="s">
        <v>1105</v>
      </c>
    </row>
    <row r="2789" spans="1:2" x14ac:dyDescent="0.2">
      <c r="A2789" s="649" t="s">
        <v>1108</v>
      </c>
      <c r="B2789" s="725" t="s">
        <v>1107</v>
      </c>
    </row>
    <row r="2790" spans="1:2" x14ac:dyDescent="0.2">
      <c r="A2790" s="649" t="s">
        <v>1476</v>
      </c>
      <c r="B2790" s="725" t="s">
        <v>1475</v>
      </c>
    </row>
    <row r="2791" spans="1:2" x14ac:dyDescent="0.2">
      <c r="A2791" s="649" t="s">
        <v>1110</v>
      </c>
      <c r="B2791" s="725" t="s">
        <v>1109</v>
      </c>
    </row>
    <row r="2792" spans="1:2" x14ac:dyDescent="0.2">
      <c r="A2792" s="649" t="s">
        <v>1112</v>
      </c>
      <c r="B2792" s="725" t="s">
        <v>1111</v>
      </c>
    </row>
    <row r="2793" spans="1:2" x14ac:dyDescent="0.2">
      <c r="A2793" s="649" t="s">
        <v>3041</v>
      </c>
      <c r="B2793" s="725" t="s">
        <v>3040</v>
      </c>
    </row>
    <row r="2794" spans="1:2" x14ac:dyDescent="0.2">
      <c r="A2794" s="649" t="s">
        <v>2559</v>
      </c>
      <c r="B2794" s="725" t="s">
        <v>2558</v>
      </c>
    </row>
    <row r="2795" spans="1:2" x14ac:dyDescent="0.2">
      <c r="A2795" s="649" t="s">
        <v>2561</v>
      </c>
      <c r="B2795" s="725" t="s">
        <v>2560</v>
      </c>
    </row>
    <row r="2796" spans="1:2" x14ac:dyDescent="0.2">
      <c r="A2796" s="649" t="s">
        <v>3043</v>
      </c>
      <c r="B2796" s="725" t="s">
        <v>3042</v>
      </c>
    </row>
    <row r="2797" spans="1:2" x14ac:dyDescent="0.2">
      <c r="A2797" s="649" t="s">
        <v>1114</v>
      </c>
      <c r="B2797" s="725" t="s">
        <v>1113</v>
      </c>
    </row>
    <row r="2798" spans="1:2" x14ac:dyDescent="0.2">
      <c r="A2798" s="649" t="s">
        <v>2563</v>
      </c>
      <c r="B2798" s="725" t="s">
        <v>2562</v>
      </c>
    </row>
    <row r="2799" spans="1:2" x14ac:dyDescent="0.2">
      <c r="A2799" s="649" t="s">
        <v>3045</v>
      </c>
      <c r="B2799" s="725" t="s">
        <v>3044</v>
      </c>
    </row>
    <row r="2800" spans="1:2" x14ac:dyDescent="0.2">
      <c r="A2800" s="649" t="s">
        <v>2565</v>
      </c>
      <c r="B2800" s="725" t="s">
        <v>2564</v>
      </c>
    </row>
    <row r="2801" spans="1:2" x14ac:dyDescent="0.2">
      <c r="A2801" s="649" t="s">
        <v>1116</v>
      </c>
      <c r="B2801" s="725" t="s">
        <v>1115</v>
      </c>
    </row>
    <row r="2802" spans="1:2" x14ac:dyDescent="0.2">
      <c r="A2802" s="649" t="s">
        <v>3047</v>
      </c>
      <c r="B2802" s="725" t="s">
        <v>3046</v>
      </c>
    </row>
    <row r="2803" spans="1:2" x14ac:dyDescent="0.2">
      <c r="A2803" s="649" t="s">
        <v>3049</v>
      </c>
      <c r="B2803" s="725" t="s">
        <v>3048</v>
      </c>
    </row>
    <row r="2804" spans="1:2" x14ac:dyDescent="0.2">
      <c r="A2804" s="649" t="s">
        <v>1596</v>
      </c>
      <c r="B2804" s="725" t="s">
        <v>1595</v>
      </c>
    </row>
    <row r="2805" spans="1:2" x14ac:dyDescent="0.2">
      <c r="A2805" s="649" t="s">
        <v>2567</v>
      </c>
      <c r="B2805" s="725" t="s">
        <v>2566</v>
      </c>
    </row>
    <row r="2806" spans="1:2" x14ac:dyDescent="0.2">
      <c r="A2806" s="649" t="s">
        <v>1118</v>
      </c>
      <c r="B2806" s="725" t="s">
        <v>1117</v>
      </c>
    </row>
    <row r="2807" spans="1:2" x14ac:dyDescent="0.2">
      <c r="A2807" s="649" t="s">
        <v>1120</v>
      </c>
      <c r="B2807" s="725" t="s">
        <v>1119</v>
      </c>
    </row>
    <row r="2808" spans="1:2" x14ac:dyDescent="0.2">
      <c r="A2808" s="649" t="s">
        <v>1122</v>
      </c>
      <c r="B2808" s="725" t="s">
        <v>1121</v>
      </c>
    </row>
    <row r="2809" spans="1:2" x14ac:dyDescent="0.2">
      <c r="A2809" s="649" t="s">
        <v>2569</v>
      </c>
      <c r="B2809" s="725" t="s">
        <v>2568</v>
      </c>
    </row>
    <row r="2810" spans="1:2" x14ac:dyDescent="0.2">
      <c r="A2810" s="649" t="s">
        <v>1598</v>
      </c>
      <c r="B2810" s="725" t="s">
        <v>1597</v>
      </c>
    </row>
    <row r="2811" spans="1:2" x14ac:dyDescent="0.2">
      <c r="A2811" s="649" t="s">
        <v>4113</v>
      </c>
      <c r="B2811" s="725" t="s">
        <v>4112</v>
      </c>
    </row>
    <row r="2812" spans="1:2" x14ac:dyDescent="0.2">
      <c r="A2812" s="649" t="s">
        <v>1600</v>
      </c>
      <c r="B2812" s="725" t="s">
        <v>1599</v>
      </c>
    </row>
    <row r="2813" spans="1:2" x14ac:dyDescent="0.2">
      <c r="A2813" s="649" t="s">
        <v>2267</v>
      </c>
      <c r="B2813" s="725" t="s">
        <v>2266</v>
      </c>
    </row>
    <row r="2814" spans="1:2" x14ac:dyDescent="0.2">
      <c r="A2814" s="649" t="s">
        <v>722</v>
      </c>
      <c r="B2814" s="725" t="s">
        <v>721</v>
      </c>
    </row>
    <row r="2815" spans="1:2" x14ac:dyDescent="0.2">
      <c r="A2815" s="649" t="s">
        <v>3051</v>
      </c>
      <c r="B2815" s="725" t="s">
        <v>3050</v>
      </c>
    </row>
    <row r="2816" spans="1:2" x14ac:dyDescent="0.2">
      <c r="A2816" s="649" t="s">
        <v>3053</v>
      </c>
      <c r="B2816" s="725" t="s">
        <v>3052</v>
      </c>
    </row>
    <row r="2817" spans="1:2" x14ac:dyDescent="0.2">
      <c r="A2817" s="649" t="s">
        <v>3055</v>
      </c>
      <c r="B2817" s="725" t="s">
        <v>3054</v>
      </c>
    </row>
    <row r="2818" spans="1:2" x14ac:dyDescent="0.2">
      <c r="A2818" s="649" t="s">
        <v>3057</v>
      </c>
      <c r="B2818" s="725" t="s">
        <v>3056</v>
      </c>
    </row>
    <row r="2819" spans="1:2" x14ac:dyDescent="0.2">
      <c r="A2819" s="649" t="s">
        <v>7960</v>
      </c>
      <c r="B2819" s="725" t="s">
        <v>7959</v>
      </c>
    </row>
    <row r="2820" spans="1:2" x14ac:dyDescent="0.2">
      <c r="A2820" s="649" t="s">
        <v>1124</v>
      </c>
      <c r="B2820" s="725" t="s">
        <v>1123</v>
      </c>
    </row>
    <row r="2821" spans="1:2" x14ac:dyDescent="0.2">
      <c r="A2821" s="649" t="s">
        <v>6038</v>
      </c>
      <c r="B2821" s="725" t="s">
        <v>6037</v>
      </c>
    </row>
    <row r="2822" spans="1:2" x14ac:dyDescent="0.2">
      <c r="A2822" s="649" t="s">
        <v>3059</v>
      </c>
      <c r="B2822" s="725" t="s">
        <v>3058</v>
      </c>
    </row>
    <row r="2823" spans="1:2" x14ac:dyDescent="0.2">
      <c r="A2823" s="649" t="s">
        <v>10393</v>
      </c>
      <c r="B2823" s="725" t="s">
        <v>10394</v>
      </c>
    </row>
    <row r="2824" spans="1:2" x14ac:dyDescent="0.2">
      <c r="A2824" s="649" t="s">
        <v>3755</v>
      </c>
      <c r="B2824" s="725" t="s">
        <v>3754</v>
      </c>
    </row>
    <row r="2825" spans="1:2" x14ac:dyDescent="0.2">
      <c r="A2825" s="649" t="s">
        <v>6548</v>
      </c>
      <c r="B2825" s="725" t="s">
        <v>6547</v>
      </c>
    </row>
    <row r="2826" spans="1:2" x14ac:dyDescent="0.2">
      <c r="A2826" s="649" t="s">
        <v>5287</v>
      </c>
      <c r="B2826" s="725" t="s">
        <v>5286</v>
      </c>
    </row>
    <row r="2827" spans="1:2" ht="28.5" x14ac:dyDescent="0.2">
      <c r="A2827" s="649" t="s">
        <v>5289</v>
      </c>
      <c r="B2827" s="725" t="s">
        <v>5288</v>
      </c>
    </row>
    <row r="2828" spans="1:2" x14ac:dyDescent="0.2">
      <c r="A2828" s="649" t="s">
        <v>4309</v>
      </c>
      <c r="B2828" s="725" t="s">
        <v>4308</v>
      </c>
    </row>
    <row r="2829" spans="1:2" x14ac:dyDescent="0.2">
      <c r="A2829" s="649" t="s">
        <v>3555</v>
      </c>
      <c r="B2829" s="725" t="s">
        <v>3554</v>
      </c>
    </row>
    <row r="2830" spans="1:2" x14ac:dyDescent="0.2">
      <c r="A2830" s="649" t="s">
        <v>6584</v>
      </c>
      <c r="B2830" s="725" t="s">
        <v>6583</v>
      </c>
    </row>
    <row r="2831" spans="1:2" x14ac:dyDescent="0.2">
      <c r="A2831" s="649" t="s">
        <v>1126</v>
      </c>
      <c r="B2831" s="725" t="s">
        <v>1125</v>
      </c>
    </row>
    <row r="2832" spans="1:2" x14ac:dyDescent="0.2">
      <c r="A2832" s="649" t="s">
        <v>1128</v>
      </c>
      <c r="B2832" s="725" t="s">
        <v>1127</v>
      </c>
    </row>
    <row r="2833" spans="1:2" x14ac:dyDescent="0.2">
      <c r="A2833" s="649" t="s">
        <v>8200</v>
      </c>
      <c r="B2833" s="725" t="s">
        <v>8199</v>
      </c>
    </row>
    <row r="2834" spans="1:2" x14ac:dyDescent="0.2">
      <c r="A2834" s="649" t="s">
        <v>2333</v>
      </c>
      <c r="B2834" s="725" t="s">
        <v>2332</v>
      </c>
    </row>
    <row r="2835" spans="1:2" x14ac:dyDescent="0.2">
      <c r="A2835" s="649" t="s">
        <v>2335</v>
      </c>
      <c r="B2835" s="725" t="s">
        <v>2334</v>
      </c>
    </row>
    <row r="2836" spans="1:2" x14ac:dyDescent="0.2">
      <c r="A2836" s="649" t="s">
        <v>2359</v>
      </c>
      <c r="B2836" s="725" t="s">
        <v>2358</v>
      </c>
    </row>
    <row r="2837" spans="1:2" x14ac:dyDescent="0.2">
      <c r="A2837" s="649" t="s">
        <v>3061</v>
      </c>
      <c r="B2837" s="725" t="s">
        <v>3060</v>
      </c>
    </row>
    <row r="2838" spans="1:2" x14ac:dyDescent="0.2">
      <c r="A2838" s="649" t="s">
        <v>3063</v>
      </c>
      <c r="B2838" s="725" t="s">
        <v>3062</v>
      </c>
    </row>
    <row r="2839" spans="1:2" x14ac:dyDescent="0.2">
      <c r="A2839" s="649" t="s">
        <v>3065</v>
      </c>
      <c r="B2839" s="725" t="s">
        <v>3064</v>
      </c>
    </row>
    <row r="2840" spans="1:2" x14ac:dyDescent="0.2">
      <c r="A2840" s="649" t="s">
        <v>3067</v>
      </c>
      <c r="B2840" s="725" t="s">
        <v>3066</v>
      </c>
    </row>
    <row r="2841" spans="1:2" x14ac:dyDescent="0.2">
      <c r="A2841" s="649" t="s">
        <v>3069</v>
      </c>
      <c r="B2841" s="725" t="s">
        <v>3068</v>
      </c>
    </row>
    <row r="2842" spans="1:2" x14ac:dyDescent="0.2">
      <c r="A2842" s="649" t="s">
        <v>6896</v>
      </c>
      <c r="B2842" s="725" t="s">
        <v>6895</v>
      </c>
    </row>
    <row r="2843" spans="1:2" x14ac:dyDescent="0.2">
      <c r="A2843" s="649" t="s">
        <v>554</v>
      </c>
      <c r="B2843" s="725" t="s">
        <v>553</v>
      </c>
    </row>
    <row r="2844" spans="1:2" x14ac:dyDescent="0.2">
      <c r="A2844" s="649" t="s">
        <v>5355</v>
      </c>
      <c r="B2844" s="725" t="s">
        <v>5354</v>
      </c>
    </row>
    <row r="2845" spans="1:2" x14ac:dyDescent="0.2">
      <c r="A2845" s="649" t="s">
        <v>596</v>
      </c>
      <c r="B2845" s="725" t="s">
        <v>595</v>
      </c>
    </row>
    <row r="2846" spans="1:2" x14ac:dyDescent="0.2">
      <c r="A2846" s="649" t="s">
        <v>7368</v>
      </c>
      <c r="B2846" s="725" t="s">
        <v>7367</v>
      </c>
    </row>
    <row r="2847" spans="1:2" x14ac:dyDescent="0.2">
      <c r="A2847" s="649" t="s">
        <v>5379</v>
      </c>
      <c r="B2847" s="725" t="s">
        <v>5378</v>
      </c>
    </row>
    <row r="2848" spans="1:2" x14ac:dyDescent="0.2">
      <c r="A2848" s="649" t="s">
        <v>3821</v>
      </c>
      <c r="B2848" s="725" t="s">
        <v>3820</v>
      </c>
    </row>
    <row r="2849" spans="1:2" x14ac:dyDescent="0.2">
      <c r="A2849" s="649" t="s">
        <v>3823</v>
      </c>
      <c r="B2849" s="725" t="s">
        <v>3822</v>
      </c>
    </row>
    <row r="2850" spans="1:2" x14ac:dyDescent="0.2">
      <c r="A2850" s="649" t="s">
        <v>1867</v>
      </c>
      <c r="B2850" s="725" t="s">
        <v>1866</v>
      </c>
    </row>
    <row r="2851" spans="1:2" x14ac:dyDescent="0.2">
      <c r="A2851" s="649" t="s">
        <v>7520</v>
      </c>
      <c r="B2851" s="725" t="s">
        <v>7519</v>
      </c>
    </row>
    <row r="2852" spans="1:2" x14ac:dyDescent="0.2">
      <c r="A2852" s="649" t="s">
        <v>7934</v>
      </c>
      <c r="B2852" s="725" t="s">
        <v>7933</v>
      </c>
    </row>
    <row r="2853" spans="1:2" x14ac:dyDescent="0.2">
      <c r="A2853" s="649" t="s">
        <v>4223</v>
      </c>
      <c r="B2853" s="725" t="s">
        <v>4222</v>
      </c>
    </row>
    <row r="2854" spans="1:2" x14ac:dyDescent="0.2">
      <c r="A2854" s="649" t="s">
        <v>6040</v>
      </c>
      <c r="B2854" s="725" t="s">
        <v>6039</v>
      </c>
    </row>
    <row r="2855" spans="1:2" x14ac:dyDescent="0.2">
      <c r="A2855" s="649" t="s">
        <v>7522</v>
      </c>
      <c r="B2855" s="725" t="s">
        <v>7521</v>
      </c>
    </row>
    <row r="2856" spans="1:2" x14ac:dyDescent="0.2">
      <c r="A2856" s="649" t="s">
        <v>8066</v>
      </c>
      <c r="B2856" s="725" t="s">
        <v>8065</v>
      </c>
    </row>
    <row r="2857" spans="1:2" x14ac:dyDescent="0.2">
      <c r="A2857" s="649" t="s">
        <v>6898</v>
      </c>
      <c r="B2857" s="725" t="s">
        <v>6897</v>
      </c>
    </row>
    <row r="2858" spans="1:2" x14ac:dyDescent="0.2">
      <c r="A2858" s="649" t="s">
        <v>6042</v>
      </c>
      <c r="B2858" s="725" t="s">
        <v>6041</v>
      </c>
    </row>
    <row r="2859" spans="1:2" x14ac:dyDescent="0.2">
      <c r="A2859" s="649" t="s">
        <v>1710</v>
      </c>
      <c r="B2859" s="725" t="s">
        <v>1709</v>
      </c>
    </row>
    <row r="2860" spans="1:2" x14ac:dyDescent="0.2">
      <c r="A2860" s="649" t="s">
        <v>2021</v>
      </c>
      <c r="B2860" s="725" t="s">
        <v>2020</v>
      </c>
    </row>
    <row r="2861" spans="1:2" x14ac:dyDescent="0.2">
      <c r="A2861" s="649" t="s">
        <v>2153</v>
      </c>
      <c r="B2861" s="725" t="s">
        <v>2152</v>
      </c>
    </row>
    <row r="2862" spans="1:2" x14ac:dyDescent="0.2">
      <c r="A2862" s="649" t="s">
        <v>419</v>
      </c>
      <c r="B2862" s="725" t="s">
        <v>418</v>
      </c>
    </row>
    <row r="2863" spans="1:2" x14ac:dyDescent="0.2">
      <c r="A2863" s="649" t="s">
        <v>6044</v>
      </c>
      <c r="B2863" s="725" t="s">
        <v>6043</v>
      </c>
    </row>
    <row r="2864" spans="1:2" x14ac:dyDescent="0.2">
      <c r="A2864" s="649" t="s">
        <v>816</v>
      </c>
      <c r="B2864" s="725" t="s">
        <v>815</v>
      </c>
    </row>
    <row r="2865" spans="1:2" x14ac:dyDescent="0.2">
      <c r="A2865" s="649" t="s">
        <v>4859</v>
      </c>
      <c r="B2865" s="725" t="s">
        <v>4858</v>
      </c>
    </row>
    <row r="2866" spans="1:2" x14ac:dyDescent="0.2">
      <c r="A2866" s="649" t="s">
        <v>331</v>
      </c>
      <c r="B2866" s="725" t="s">
        <v>330</v>
      </c>
    </row>
    <row r="2867" spans="1:2" x14ac:dyDescent="0.2">
      <c r="A2867" s="649" t="s">
        <v>724</v>
      </c>
      <c r="B2867" s="725" t="s">
        <v>723</v>
      </c>
    </row>
    <row r="2868" spans="1:2" x14ac:dyDescent="0.2">
      <c r="A2868" s="649" t="s">
        <v>6046</v>
      </c>
      <c r="B2868" s="725" t="s">
        <v>6045</v>
      </c>
    </row>
    <row r="2869" spans="1:2" x14ac:dyDescent="0.2">
      <c r="A2869" s="649" t="s">
        <v>2045</v>
      </c>
      <c r="B2869" s="725" t="s">
        <v>2044</v>
      </c>
    </row>
    <row r="2870" spans="1:2" x14ac:dyDescent="0.2">
      <c r="A2870" s="649" t="s">
        <v>3071</v>
      </c>
      <c r="B2870" s="725" t="s">
        <v>3070</v>
      </c>
    </row>
    <row r="2871" spans="1:2" x14ac:dyDescent="0.2">
      <c r="A2871" s="649" t="s">
        <v>3073</v>
      </c>
      <c r="B2871" s="725" t="s">
        <v>3072</v>
      </c>
    </row>
    <row r="2872" spans="1:2" x14ac:dyDescent="0.2">
      <c r="A2872" s="649" t="s">
        <v>3075</v>
      </c>
      <c r="B2872" s="725" t="s">
        <v>3074</v>
      </c>
    </row>
    <row r="2873" spans="1:2" x14ac:dyDescent="0.2">
      <c r="A2873" s="649" t="s">
        <v>3077</v>
      </c>
      <c r="B2873" s="725" t="s">
        <v>3076</v>
      </c>
    </row>
    <row r="2874" spans="1:2" x14ac:dyDescent="0.2">
      <c r="A2874" s="649" t="s">
        <v>3079</v>
      </c>
      <c r="B2874" s="725" t="s">
        <v>3078</v>
      </c>
    </row>
    <row r="2875" spans="1:2" x14ac:dyDescent="0.2">
      <c r="A2875" s="649" t="s">
        <v>2571</v>
      </c>
      <c r="B2875" s="725" t="s">
        <v>2570</v>
      </c>
    </row>
    <row r="2876" spans="1:2" x14ac:dyDescent="0.2">
      <c r="A2876" s="649" t="s">
        <v>556</v>
      </c>
      <c r="B2876" s="725" t="s">
        <v>555</v>
      </c>
    </row>
    <row r="2877" spans="1:2" x14ac:dyDescent="0.2">
      <c r="A2877" s="649" t="s">
        <v>3081</v>
      </c>
      <c r="B2877" s="725" t="s">
        <v>3080</v>
      </c>
    </row>
    <row r="2878" spans="1:2" x14ac:dyDescent="0.2">
      <c r="A2878" s="649" t="s">
        <v>3083</v>
      </c>
      <c r="B2878" s="725" t="s">
        <v>3082</v>
      </c>
    </row>
    <row r="2879" spans="1:2" x14ac:dyDescent="0.2">
      <c r="A2879" s="649" t="s">
        <v>2155</v>
      </c>
      <c r="B2879" s="725" t="s">
        <v>2154</v>
      </c>
    </row>
    <row r="2880" spans="1:2" x14ac:dyDescent="0.2">
      <c r="A2880" s="649" t="s">
        <v>3085</v>
      </c>
      <c r="B2880" s="725" t="s">
        <v>3084</v>
      </c>
    </row>
    <row r="2881" spans="1:2" x14ac:dyDescent="0.2">
      <c r="A2881" s="649" t="s">
        <v>2573</v>
      </c>
      <c r="B2881" s="725" t="s">
        <v>2572</v>
      </c>
    </row>
    <row r="2882" spans="1:2" x14ac:dyDescent="0.2">
      <c r="A2882" s="649" t="s">
        <v>3087</v>
      </c>
      <c r="B2882" s="725" t="s">
        <v>3086</v>
      </c>
    </row>
    <row r="2883" spans="1:2" x14ac:dyDescent="0.2">
      <c r="A2883" s="649" t="s">
        <v>3089</v>
      </c>
      <c r="B2883" s="725" t="s">
        <v>3088</v>
      </c>
    </row>
    <row r="2884" spans="1:2" x14ac:dyDescent="0.2">
      <c r="A2884" s="649" t="s">
        <v>1869</v>
      </c>
      <c r="B2884" s="725" t="s">
        <v>1868</v>
      </c>
    </row>
    <row r="2885" spans="1:2" ht="28.5" x14ac:dyDescent="0.2">
      <c r="A2885" s="649" t="s">
        <v>3697</v>
      </c>
      <c r="B2885" s="725" t="s">
        <v>3696</v>
      </c>
    </row>
    <row r="2886" spans="1:2" x14ac:dyDescent="0.2">
      <c r="A2886" s="649" t="s">
        <v>5033</v>
      </c>
      <c r="B2886" s="725" t="s">
        <v>5032</v>
      </c>
    </row>
    <row r="2887" spans="1:2" ht="28.5" x14ac:dyDescent="0.2">
      <c r="A2887" s="649" t="s">
        <v>3091</v>
      </c>
      <c r="B2887" s="725" t="s">
        <v>3090</v>
      </c>
    </row>
    <row r="2888" spans="1:2" x14ac:dyDescent="0.2">
      <c r="A2888" s="649" t="s">
        <v>3093</v>
      </c>
      <c r="B2888" s="725" t="s">
        <v>3092</v>
      </c>
    </row>
    <row r="2889" spans="1:2" x14ac:dyDescent="0.2">
      <c r="A2889" s="649" t="s">
        <v>3095</v>
      </c>
      <c r="B2889" s="725" t="s">
        <v>3094</v>
      </c>
    </row>
    <row r="2890" spans="1:2" x14ac:dyDescent="0.2">
      <c r="A2890" s="649" t="s">
        <v>1711</v>
      </c>
      <c r="B2890" s="725" t="s">
        <v>1661</v>
      </c>
    </row>
    <row r="2891" spans="1:2" x14ac:dyDescent="0.2">
      <c r="A2891" s="649" t="s">
        <v>3097</v>
      </c>
      <c r="B2891" s="725" t="s">
        <v>3096</v>
      </c>
    </row>
    <row r="2892" spans="1:2" x14ac:dyDescent="0.2">
      <c r="A2892" s="649" t="s">
        <v>3099</v>
      </c>
      <c r="B2892" s="725" t="s">
        <v>3098</v>
      </c>
    </row>
    <row r="2893" spans="1:2" x14ac:dyDescent="0.2">
      <c r="A2893" s="649" t="s">
        <v>7194</v>
      </c>
      <c r="B2893" s="725" t="s">
        <v>7193</v>
      </c>
    </row>
    <row r="2894" spans="1:2" x14ac:dyDescent="0.2">
      <c r="A2894" s="649" t="s">
        <v>3101</v>
      </c>
      <c r="B2894" s="725" t="s">
        <v>3100</v>
      </c>
    </row>
    <row r="2895" spans="1:2" x14ac:dyDescent="0.2">
      <c r="A2895" s="649" t="s">
        <v>3103</v>
      </c>
      <c r="B2895" s="725" t="s">
        <v>3102</v>
      </c>
    </row>
    <row r="2896" spans="1:2" x14ac:dyDescent="0.2">
      <c r="A2896" s="649" t="s">
        <v>1713</v>
      </c>
      <c r="B2896" s="725" t="s">
        <v>1712</v>
      </c>
    </row>
    <row r="2897" spans="1:2" x14ac:dyDescent="0.2">
      <c r="A2897" s="649" t="s">
        <v>2269</v>
      </c>
      <c r="B2897" s="725" t="s">
        <v>2268</v>
      </c>
    </row>
    <row r="2898" spans="1:2" x14ac:dyDescent="0.2">
      <c r="A2898" s="649" t="s">
        <v>6048</v>
      </c>
      <c r="B2898" s="725" t="s">
        <v>6047</v>
      </c>
    </row>
    <row r="2899" spans="1:2" x14ac:dyDescent="0.2">
      <c r="A2899" s="649" t="s">
        <v>1975</v>
      </c>
      <c r="B2899" s="725" t="s">
        <v>1974</v>
      </c>
    </row>
    <row r="2900" spans="1:2" x14ac:dyDescent="0.2">
      <c r="A2900" s="649" t="s">
        <v>3105</v>
      </c>
      <c r="B2900" s="725" t="s">
        <v>3104</v>
      </c>
    </row>
    <row r="2901" spans="1:2" x14ac:dyDescent="0.2">
      <c r="A2901" s="649" t="s">
        <v>3107</v>
      </c>
      <c r="B2901" s="725" t="s">
        <v>3106</v>
      </c>
    </row>
    <row r="2902" spans="1:2" x14ac:dyDescent="0.2">
      <c r="A2902" s="649" t="s">
        <v>3109</v>
      </c>
      <c r="B2902" s="725" t="s">
        <v>3108</v>
      </c>
    </row>
    <row r="2903" spans="1:2" x14ac:dyDescent="0.2">
      <c r="A2903" s="649" t="s">
        <v>3825</v>
      </c>
      <c r="B2903" s="725" t="s">
        <v>3824</v>
      </c>
    </row>
    <row r="2904" spans="1:2" x14ac:dyDescent="0.2">
      <c r="A2904" s="649" t="s">
        <v>3827</v>
      </c>
      <c r="B2904" s="725" t="s">
        <v>3826</v>
      </c>
    </row>
    <row r="2905" spans="1:2" x14ac:dyDescent="0.2">
      <c r="A2905" s="649" t="s">
        <v>3829</v>
      </c>
      <c r="B2905" s="725" t="s">
        <v>3828</v>
      </c>
    </row>
    <row r="2906" spans="1:2" ht="28.5" x14ac:dyDescent="0.2">
      <c r="A2906" s="649" t="s">
        <v>3111</v>
      </c>
      <c r="B2906" s="725" t="s">
        <v>3110</v>
      </c>
    </row>
    <row r="2907" spans="1:2" ht="28.5" x14ac:dyDescent="0.2">
      <c r="A2907" s="649" t="s">
        <v>3113</v>
      </c>
      <c r="B2907" s="725" t="s">
        <v>3112</v>
      </c>
    </row>
    <row r="2908" spans="1:2" x14ac:dyDescent="0.2">
      <c r="A2908" s="649" t="s">
        <v>3981</v>
      </c>
      <c r="B2908" s="725" t="s">
        <v>3980</v>
      </c>
    </row>
    <row r="2909" spans="1:2" x14ac:dyDescent="0.2">
      <c r="A2909" s="649" t="s">
        <v>4583</v>
      </c>
      <c r="B2909" s="725" t="s">
        <v>4582</v>
      </c>
    </row>
    <row r="2910" spans="1:2" x14ac:dyDescent="0.2">
      <c r="A2910" s="649" t="s">
        <v>3115</v>
      </c>
      <c r="B2910" s="725" t="s">
        <v>3114</v>
      </c>
    </row>
    <row r="2911" spans="1:2" x14ac:dyDescent="0.2">
      <c r="A2911" s="649" t="s">
        <v>3117</v>
      </c>
      <c r="B2911" s="725" t="s">
        <v>3116</v>
      </c>
    </row>
    <row r="2912" spans="1:2" x14ac:dyDescent="0.2">
      <c r="A2912" s="649" t="s">
        <v>3119</v>
      </c>
      <c r="B2912" s="725" t="s">
        <v>3118</v>
      </c>
    </row>
    <row r="2913" spans="1:2" x14ac:dyDescent="0.2">
      <c r="A2913" s="649" t="s">
        <v>3121</v>
      </c>
      <c r="B2913" s="725" t="s">
        <v>3120</v>
      </c>
    </row>
    <row r="2914" spans="1:2" x14ac:dyDescent="0.2">
      <c r="A2914" s="649" t="s">
        <v>3123</v>
      </c>
      <c r="B2914" s="725" t="s">
        <v>3122</v>
      </c>
    </row>
    <row r="2915" spans="1:2" x14ac:dyDescent="0.2">
      <c r="A2915" s="649" t="s">
        <v>6050</v>
      </c>
      <c r="B2915" s="725" t="s">
        <v>6049</v>
      </c>
    </row>
    <row r="2916" spans="1:2" x14ac:dyDescent="0.2">
      <c r="A2916" s="649" t="s">
        <v>5381</v>
      </c>
      <c r="B2916" s="725" t="s">
        <v>5380</v>
      </c>
    </row>
    <row r="2917" spans="1:2" x14ac:dyDescent="0.2">
      <c r="A2917" s="649" t="s">
        <v>5095</v>
      </c>
      <c r="B2917" s="725" t="s">
        <v>5094</v>
      </c>
    </row>
    <row r="2918" spans="1:2" ht="28.5" x14ac:dyDescent="0.2">
      <c r="A2918" s="649" t="s">
        <v>3125</v>
      </c>
      <c r="B2918" s="725" t="s">
        <v>3124</v>
      </c>
    </row>
    <row r="2919" spans="1:2" x14ac:dyDescent="0.2">
      <c r="A2919" s="649" t="s">
        <v>3127</v>
      </c>
      <c r="B2919" s="725" t="s">
        <v>3126</v>
      </c>
    </row>
    <row r="2920" spans="1:2" x14ac:dyDescent="0.2">
      <c r="A2920" s="649" t="s">
        <v>3983</v>
      </c>
      <c r="B2920" s="725" t="s">
        <v>3982</v>
      </c>
    </row>
    <row r="2921" spans="1:2" x14ac:dyDescent="0.2">
      <c r="A2921" s="649" t="s">
        <v>3129</v>
      </c>
      <c r="B2921" s="725" t="s">
        <v>3128</v>
      </c>
    </row>
    <row r="2922" spans="1:2" x14ac:dyDescent="0.2">
      <c r="A2922" s="649" t="s">
        <v>3131</v>
      </c>
      <c r="B2922" s="725" t="s">
        <v>3130</v>
      </c>
    </row>
    <row r="2923" spans="1:2" x14ac:dyDescent="0.2">
      <c r="A2923" s="649" t="s">
        <v>3133</v>
      </c>
      <c r="B2923" s="725" t="s">
        <v>3132</v>
      </c>
    </row>
    <row r="2924" spans="1:2" x14ac:dyDescent="0.2">
      <c r="A2924" s="649" t="s">
        <v>7370</v>
      </c>
      <c r="B2924" s="725" t="s">
        <v>7369</v>
      </c>
    </row>
    <row r="2925" spans="1:2" x14ac:dyDescent="0.2">
      <c r="A2925" s="649" t="s">
        <v>6052</v>
      </c>
      <c r="B2925" s="725" t="s">
        <v>6051</v>
      </c>
    </row>
    <row r="2926" spans="1:2" x14ac:dyDescent="0.2">
      <c r="A2926" s="649" t="s">
        <v>7110</v>
      </c>
      <c r="B2926" s="725" t="s">
        <v>7109</v>
      </c>
    </row>
    <row r="2927" spans="1:2" x14ac:dyDescent="0.2">
      <c r="A2927" s="649" t="s">
        <v>4825</v>
      </c>
      <c r="B2927" s="725" t="s">
        <v>4824</v>
      </c>
    </row>
    <row r="2928" spans="1:2" x14ac:dyDescent="0.2">
      <c r="A2928" s="649" t="s">
        <v>2575</v>
      </c>
      <c r="B2928" s="725" t="s">
        <v>2574</v>
      </c>
    </row>
    <row r="2929" spans="1:2" x14ac:dyDescent="0.2">
      <c r="A2929" s="649" t="s">
        <v>3831</v>
      </c>
      <c r="B2929" s="725" t="s">
        <v>3830</v>
      </c>
    </row>
    <row r="2930" spans="1:2" x14ac:dyDescent="0.2">
      <c r="A2930" s="649" t="s">
        <v>3985</v>
      </c>
      <c r="B2930" s="725" t="s">
        <v>3984</v>
      </c>
    </row>
    <row r="2931" spans="1:2" x14ac:dyDescent="0.2">
      <c r="A2931" s="649" t="s">
        <v>7770</v>
      </c>
      <c r="B2931" s="725" t="s">
        <v>7769</v>
      </c>
    </row>
    <row r="2932" spans="1:2" x14ac:dyDescent="0.2">
      <c r="A2932" s="649" t="s">
        <v>6054</v>
      </c>
      <c r="B2932" s="725" t="s">
        <v>6053</v>
      </c>
    </row>
    <row r="2933" spans="1:2" x14ac:dyDescent="0.2">
      <c r="A2933" s="649" t="s">
        <v>1130</v>
      </c>
      <c r="B2933" s="725" t="s">
        <v>1129</v>
      </c>
    </row>
    <row r="2934" spans="1:2" x14ac:dyDescent="0.2">
      <c r="A2934" s="649" t="s">
        <v>1715</v>
      </c>
      <c r="B2934" s="725" t="s">
        <v>1714</v>
      </c>
    </row>
    <row r="2935" spans="1:2" x14ac:dyDescent="0.2">
      <c r="A2935" s="649" t="s">
        <v>3987</v>
      </c>
      <c r="B2935" s="725" t="s">
        <v>3986</v>
      </c>
    </row>
    <row r="2936" spans="1:2" x14ac:dyDescent="0.2">
      <c r="A2936" s="649" t="s">
        <v>3135</v>
      </c>
      <c r="B2936" s="725" t="s">
        <v>3134</v>
      </c>
    </row>
    <row r="2937" spans="1:2" x14ac:dyDescent="0.2">
      <c r="A2937" s="649" t="s">
        <v>3137</v>
      </c>
      <c r="B2937" s="725" t="s">
        <v>3136</v>
      </c>
    </row>
    <row r="2938" spans="1:2" x14ac:dyDescent="0.2">
      <c r="A2938" s="649" t="s">
        <v>3139</v>
      </c>
      <c r="B2938" s="725" t="s">
        <v>3138</v>
      </c>
    </row>
    <row r="2939" spans="1:2" x14ac:dyDescent="0.2">
      <c r="A2939" s="649" t="s">
        <v>4585</v>
      </c>
      <c r="B2939" s="725" t="s">
        <v>4584</v>
      </c>
    </row>
    <row r="2940" spans="1:2" x14ac:dyDescent="0.2">
      <c r="A2940" s="649" t="s">
        <v>3989</v>
      </c>
      <c r="B2940" s="725" t="s">
        <v>3988</v>
      </c>
    </row>
    <row r="2941" spans="1:2" x14ac:dyDescent="0.2">
      <c r="A2941" s="649" t="s">
        <v>3141</v>
      </c>
      <c r="B2941" s="725" t="s">
        <v>3140</v>
      </c>
    </row>
    <row r="2942" spans="1:2" x14ac:dyDescent="0.2">
      <c r="A2942" s="649" t="s">
        <v>6056</v>
      </c>
      <c r="B2942" s="725" t="s">
        <v>6055</v>
      </c>
    </row>
    <row r="2943" spans="1:2" x14ac:dyDescent="0.2">
      <c r="A2943" s="649" t="s">
        <v>6058</v>
      </c>
      <c r="B2943" s="725" t="s">
        <v>6057</v>
      </c>
    </row>
    <row r="2944" spans="1:2" x14ac:dyDescent="0.2">
      <c r="A2944" s="649" t="s">
        <v>6238</v>
      </c>
      <c r="B2944" s="725" t="s">
        <v>6237</v>
      </c>
    </row>
    <row r="2945" spans="1:2" x14ac:dyDescent="0.2">
      <c r="A2945" s="649" t="s">
        <v>6060</v>
      </c>
      <c r="B2945" s="725" t="s">
        <v>6059</v>
      </c>
    </row>
    <row r="2946" spans="1:2" x14ac:dyDescent="0.2">
      <c r="A2946" s="649" t="s">
        <v>3833</v>
      </c>
      <c r="B2946" s="725" t="s">
        <v>3832</v>
      </c>
    </row>
    <row r="2947" spans="1:2" x14ac:dyDescent="0.2">
      <c r="A2947" s="649" t="s">
        <v>3143</v>
      </c>
      <c r="B2947" s="725" t="s">
        <v>3142</v>
      </c>
    </row>
    <row r="2948" spans="1:2" x14ac:dyDescent="0.2">
      <c r="A2948" s="649" t="s">
        <v>3145</v>
      </c>
      <c r="B2948" s="725" t="s">
        <v>3144</v>
      </c>
    </row>
    <row r="2949" spans="1:2" x14ac:dyDescent="0.2">
      <c r="A2949" s="649" t="s">
        <v>4587</v>
      </c>
      <c r="B2949" s="725" t="s">
        <v>4586</v>
      </c>
    </row>
    <row r="2950" spans="1:2" x14ac:dyDescent="0.2">
      <c r="A2950" s="649" t="s">
        <v>4589</v>
      </c>
      <c r="B2950" s="725" t="s">
        <v>4588</v>
      </c>
    </row>
    <row r="2951" spans="1:2" x14ac:dyDescent="0.2">
      <c r="A2951" s="649" t="s">
        <v>3147</v>
      </c>
      <c r="B2951" s="725" t="s">
        <v>3146</v>
      </c>
    </row>
    <row r="2952" spans="1:2" x14ac:dyDescent="0.2">
      <c r="A2952" s="649" t="s">
        <v>3149</v>
      </c>
      <c r="B2952" s="725" t="s">
        <v>3148</v>
      </c>
    </row>
    <row r="2953" spans="1:2" x14ac:dyDescent="0.2">
      <c r="A2953" s="649" t="s">
        <v>3151</v>
      </c>
      <c r="B2953" s="725" t="s">
        <v>3150</v>
      </c>
    </row>
    <row r="2954" spans="1:2" x14ac:dyDescent="0.2">
      <c r="A2954" s="649" t="s">
        <v>3153</v>
      </c>
      <c r="B2954" s="725" t="s">
        <v>3152</v>
      </c>
    </row>
    <row r="2955" spans="1:2" x14ac:dyDescent="0.2">
      <c r="A2955" s="649" t="s">
        <v>3155</v>
      </c>
      <c r="B2955" s="725" t="s">
        <v>3154</v>
      </c>
    </row>
    <row r="2956" spans="1:2" x14ac:dyDescent="0.2">
      <c r="A2956" s="649" t="s">
        <v>3835</v>
      </c>
      <c r="B2956" s="725" t="s">
        <v>3834</v>
      </c>
    </row>
    <row r="2957" spans="1:2" x14ac:dyDescent="0.2">
      <c r="A2957" s="649" t="s">
        <v>3837</v>
      </c>
      <c r="B2957" s="725" t="s">
        <v>3836</v>
      </c>
    </row>
    <row r="2958" spans="1:2" x14ac:dyDescent="0.2">
      <c r="A2958" s="649" t="s">
        <v>6062</v>
      </c>
      <c r="B2958" s="725" t="s">
        <v>6061</v>
      </c>
    </row>
    <row r="2959" spans="1:2" x14ac:dyDescent="0.2">
      <c r="A2959" s="649" t="s">
        <v>6064</v>
      </c>
      <c r="B2959" s="725" t="s">
        <v>6063</v>
      </c>
    </row>
    <row r="2960" spans="1:2" x14ac:dyDescent="0.2">
      <c r="A2960" s="649" t="s">
        <v>3157</v>
      </c>
      <c r="B2960" s="725" t="s">
        <v>3156</v>
      </c>
    </row>
    <row r="2961" spans="1:2" x14ac:dyDescent="0.2">
      <c r="A2961" s="649" t="s">
        <v>3159</v>
      </c>
      <c r="B2961" s="725" t="s">
        <v>3158</v>
      </c>
    </row>
    <row r="2962" spans="1:2" x14ac:dyDescent="0.2">
      <c r="A2962" s="649" t="s">
        <v>3161</v>
      </c>
      <c r="B2962" s="725" t="s">
        <v>3160</v>
      </c>
    </row>
    <row r="2963" spans="1:2" x14ac:dyDescent="0.2">
      <c r="A2963" s="649" t="s">
        <v>6066</v>
      </c>
      <c r="B2963" s="725" t="s">
        <v>6065</v>
      </c>
    </row>
    <row r="2964" spans="1:2" x14ac:dyDescent="0.2">
      <c r="A2964" s="649" t="s">
        <v>5497</v>
      </c>
      <c r="B2964" s="725" t="s">
        <v>5496</v>
      </c>
    </row>
    <row r="2965" spans="1:2" x14ac:dyDescent="0.2">
      <c r="A2965" s="649" t="s">
        <v>3163</v>
      </c>
      <c r="B2965" s="725" t="s">
        <v>3162</v>
      </c>
    </row>
    <row r="2966" spans="1:2" x14ac:dyDescent="0.2">
      <c r="A2966" s="649" t="s">
        <v>5461</v>
      </c>
      <c r="B2966" s="725" t="s">
        <v>5460</v>
      </c>
    </row>
    <row r="2967" spans="1:2" x14ac:dyDescent="0.2">
      <c r="A2967" s="649" t="s">
        <v>7524</v>
      </c>
      <c r="B2967" s="725" t="s">
        <v>7523</v>
      </c>
    </row>
    <row r="2968" spans="1:2" x14ac:dyDescent="0.2">
      <c r="A2968" s="649" t="s">
        <v>3165</v>
      </c>
      <c r="B2968" s="725" t="s">
        <v>3164</v>
      </c>
    </row>
    <row r="2969" spans="1:2" x14ac:dyDescent="0.2">
      <c r="A2969" s="649" t="s">
        <v>3167</v>
      </c>
      <c r="B2969" s="725" t="s">
        <v>3166</v>
      </c>
    </row>
    <row r="2970" spans="1:2" x14ac:dyDescent="0.2">
      <c r="A2970" s="649" t="s">
        <v>6068</v>
      </c>
      <c r="B2970" s="725" t="s">
        <v>6067</v>
      </c>
    </row>
    <row r="2971" spans="1:2" x14ac:dyDescent="0.2">
      <c r="A2971" s="649" t="s">
        <v>3169</v>
      </c>
      <c r="B2971" s="725" t="s">
        <v>3168</v>
      </c>
    </row>
    <row r="2972" spans="1:2" x14ac:dyDescent="0.2">
      <c r="A2972" s="649" t="s">
        <v>6070</v>
      </c>
      <c r="B2972" s="725" t="s">
        <v>6069</v>
      </c>
    </row>
    <row r="2973" spans="1:2" x14ac:dyDescent="0.2">
      <c r="A2973" s="649" t="s">
        <v>6072</v>
      </c>
      <c r="B2973" s="725" t="s">
        <v>6071</v>
      </c>
    </row>
    <row r="2974" spans="1:2" x14ac:dyDescent="0.2">
      <c r="A2974" s="649" t="s">
        <v>3171</v>
      </c>
      <c r="B2974" s="725" t="s">
        <v>3170</v>
      </c>
    </row>
    <row r="2975" spans="1:2" x14ac:dyDescent="0.2">
      <c r="A2975" s="649" t="s">
        <v>3839</v>
      </c>
      <c r="B2975" s="725" t="s">
        <v>3838</v>
      </c>
    </row>
    <row r="2976" spans="1:2" x14ac:dyDescent="0.2">
      <c r="A2976" s="649" t="s">
        <v>6074</v>
      </c>
      <c r="B2976" s="725" t="s">
        <v>6073</v>
      </c>
    </row>
    <row r="2977" spans="1:2" ht="28.5" x14ac:dyDescent="0.2">
      <c r="A2977" s="649" t="s">
        <v>3173</v>
      </c>
      <c r="B2977" s="725" t="s">
        <v>3172</v>
      </c>
    </row>
    <row r="2978" spans="1:2" x14ac:dyDescent="0.2">
      <c r="A2978" s="649" t="s">
        <v>8202</v>
      </c>
      <c r="B2978" s="725" t="s">
        <v>8201</v>
      </c>
    </row>
    <row r="2979" spans="1:2" x14ac:dyDescent="0.2">
      <c r="A2979" s="649" t="s">
        <v>3175</v>
      </c>
      <c r="B2979" s="725" t="s">
        <v>3174</v>
      </c>
    </row>
    <row r="2980" spans="1:2" x14ac:dyDescent="0.2">
      <c r="A2980" s="649" t="s">
        <v>3177</v>
      </c>
      <c r="B2980" s="725" t="s">
        <v>3176</v>
      </c>
    </row>
    <row r="2981" spans="1:2" x14ac:dyDescent="0.2">
      <c r="A2981" s="649" t="s">
        <v>3179</v>
      </c>
      <c r="B2981" s="725" t="s">
        <v>3178</v>
      </c>
    </row>
    <row r="2982" spans="1:2" x14ac:dyDescent="0.2">
      <c r="A2982" s="649" t="s">
        <v>3181</v>
      </c>
      <c r="B2982" s="725" t="s">
        <v>3180</v>
      </c>
    </row>
    <row r="2983" spans="1:2" ht="28.5" x14ac:dyDescent="0.2">
      <c r="A2983" s="649" t="s">
        <v>3183</v>
      </c>
      <c r="B2983" s="725" t="s">
        <v>3182</v>
      </c>
    </row>
    <row r="2984" spans="1:2" x14ac:dyDescent="0.2">
      <c r="A2984" s="649" t="s">
        <v>6076</v>
      </c>
      <c r="B2984" s="725" t="s">
        <v>6075</v>
      </c>
    </row>
    <row r="2985" spans="1:2" x14ac:dyDescent="0.2">
      <c r="A2985" s="649" t="s">
        <v>4591</v>
      </c>
      <c r="B2985" s="725" t="s">
        <v>4590</v>
      </c>
    </row>
    <row r="2986" spans="1:2" x14ac:dyDescent="0.2">
      <c r="A2986" s="649" t="s">
        <v>3185</v>
      </c>
      <c r="B2986" s="725" t="s">
        <v>3184</v>
      </c>
    </row>
    <row r="2987" spans="1:2" x14ac:dyDescent="0.2">
      <c r="A2987" s="649" t="s">
        <v>2577</v>
      </c>
      <c r="B2987" s="725" t="s">
        <v>2576</v>
      </c>
    </row>
    <row r="2988" spans="1:2" x14ac:dyDescent="0.2">
      <c r="A2988" s="649" t="s">
        <v>6078</v>
      </c>
      <c r="B2988" s="725" t="s">
        <v>6077</v>
      </c>
    </row>
    <row r="2989" spans="1:2" x14ac:dyDescent="0.2">
      <c r="A2989" s="649" t="s">
        <v>3187</v>
      </c>
      <c r="B2989" s="725" t="s">
        <v>3186</v>
      </c>
    </row>
    <row r="2990" spans="1:2" x14ac:dyDescent="0.2">
      <c r="A2990" s="649" t="s">
        <v>3189</v>
      </c>
      <c r="B2990" s="725" t="s">
        <v>3188</v>
      </c>
    </row>
    <row r="2991" spans="1:2" x14ac:dyDescent="0.2">
      <c r="A2991" s="649" t="s">
        <v>3191</v>
      </c>
      <c r="B2991" s="725" t="s">
        <v>3190</v>
      </c>
    </row>
    <row r="2992" spans="1:2" x14ac:dyDescent="0.2">
      <c r="A2992" s="649" t="s">
        <v>6080</v>
      </c>
      <c r="B2992" s="725" t="s">
        <v>6079</v>
      </c>
    </row>
    <row r="2993" spans="1:2" x14ac:dyDescent="0.2">
      <c r="A2993" s="649" t="s">
        <v>6082</v>
      </c>
      <c r="B2993" s="725" t="s">
        <v>6081</v>
      </c>
    </row>
    <row r="2994" spans="1:2" x14ac:dyDescent="0.2">
      <c r="A2994" s="649" t="s">
        <v>1626</v>
      </c>
      <c r="B2994" s="725" t="s">
        <v>1625</v>
      </c>
    </row>
    <row r="2995" spans="1:2" x14ac:dyDescent="0.2">
      <c r="A2995" s="649" t="s">
        <v>3193</v>
      </c>
      <c r="B2995" s="725" t="s">
        <v>3192</v>
      </c>
    </row>
    <row r="2996" spans="1:2" x14ac:dyDescent="0.2">
      <c r="A2996" s="649" t="s">
        <v>2579</v>
      </c>
      <c r="B2996" s="725" t="s">
        <v>2578</v>
      </c>
    </row>
    <row r="2997" spans="1:2" x14ac:dyDescent="0.2">
      <c r="A2997" s="649" t="s">
        <v>2157</v>
      </c>
      <c r="B2997" s="725" t="s">
        <v>2156</v>
      </c>
    </row>
    <row r="2998" spans="1:2" x14ac:dyDescent="0.2">
      <c r="A2998" s="649" t="s">
        <v>6450</v>
      </c>
      <c r="B2998" s="725" t="s">
        <v>6449</v>
      </c>
    </row>
    <row r="2999" spans="1:2" x14ac:dyDescent="0.2">
      <c r="A2999" s="649" t="s">
        <v>6900</v>
      </c>
      <c r="B2999" s="725" t="s">
        <v>6899</v>
      </c>
    </row>
    <row r="3000" spans="1:2" x14ac:dyDescent="0.2">
      <c r="A3000" s="649" t="s">
        <v>3195</v>
      </c>
      <c r="B3000" s="725" t="s">
        <v>3194</v>
      </c>
    </row>
    <row r="3001" spans="1:2" x14ac:dyDescent="0.2">
      <c r="A3001" s="649" t="s">
        <v>6084</v>
      </c>
      <c r="B3001" s="725" t="s">
        <v>6083</v>
      </c>
    </row>
    <row r="3002" spans="1:2" x14ac:dyDescent="0.2">
      <c r="A3002" s="649" t="s">
        <v>7288</v>
      </c>
      <c r="B3002" s="725" t="s">
        <v>7287</v>
      </c>
    </row>
    <row r="3003" spans="1:2" x14ac:dyDescent="0.2">
      <c r="A3003" s="649" t="s">
        <v>3197</v>
      </c>
      <c r="B3003" s="725" t="s">
        <v>3196</v>
      </c>
    </row>
    <row r="3004" spans="1:2" x14ac:dyDescent="0.2">
      <c r="A3004" s="649" t="s">
        <v>3199</v>
      </c>
      <c r="B3004" s="725" t="s">
        <v>3198</v>
      </c>
    </row>
    <row r="3005" spans="1:2" x14ac:dyDescent="0.2">
      <c r="A3005" s="649" t="s">
        <v>1132</v>
      </c>
      <c r="B3005" s="725" t="s">
        <v>1131</v>
      </c>
    </row>
    <row r="3006" spans="1:2" x14ac:dyDescent="0.2">
      <c r="A3006" s="649" t="s">
        <v>1134</v>
      </c>
      <c r="B3006" s="725" t="s">
        <v>1133</v>
      </c>
    </row>
    <row r="3007" spans="1:2" ht="28.5" x14ac:dyDescent="0.2">
      <c r="A3007" s="649" t="s">
        <v>3201</v>
      </c>
      <c r="B3007" s="725" t="s">
        <v>3200</v>
      </c>
    </row>
    <row r="3008" spans="1:2" x14ac:dyDescent="0.2">
      <c r="A3008" s="649" t="s">
        <v>3203</v>
      </c>
      <c r="B3008" s="725" t="s">
        <v>3202</v>
      </c>
    </row>
    <row r="3009" spans="1:2" x14ac:dyDescent="0.2">
      <c r="A3009" s="649" t="s">
        <v>427</v>
      </c>
      <c r="B3009" s="725" t="s">
        <v>426</v>
      </c>
    </row>
    <row r="3010" spans="1:2" x14ac:dyDescent="0.2">
      <c r="A3010" s="649" t="s">
        <v>1136</v>
      </c>
      <c r="B3010" s="725" t="s">
        <v>1135</v>
      </c>
    </row>
    <row r="3011" spans="1:2" x14ac:dyDescent="0.2">
      <c r="A3011" s="649" t="s">
        <v>2581</v>
      </c>
      <c r="B3011" s="725" t="s">
        <v>2580</v>
      </c>
    </row>
    <row r="3012" spans="1:2" x14ac:dyDescent="0.2">
      <c r="A3012" s="649" t="s">
        <v>4827</v>
      </c>
      <c r="B3012" s="725" t="s">
        <v>4826</v>
      </c>
    </row>
    <row r="3013" spans="1:2" x14ac:dyDescent="0.2">
      <c r="A3013" s="649" t="s">
        <v>3991</v>
      </c>
      <c r="B3013" s="725" t="s">
        <v>3990</v>
      </c>
    </row>
    <row r="3014" spans="1:2" x14ac:dyDescent="0.2">
      <c r="A3014" s="649" t="s">
        <v>7112</v>
      </c>
      <c r="B3014" s="725" t="s">
        <v>7111</v>
      </c>
    </row>
    <row r="3015" spans="1:2" x14ac:dyDescent="0.2">
      <c r="A3015" s="649" t="s">
        <v>3533</v>
      </c>
      <c r="B3015" s="725" t="s">
        <v>3532</v>
      </c>
    </row>
    <row r="3016" spans="1:2" x14ac:dyDescent="0.2">
      <c r="A3016" s="649" t="s">
        <v>6086</v>
      </c>
      <c r="B3016" s="725" t="s">
        <v>6085</v>
      </c>
    </row>
    <row r="3017" spans="1:2" x14ac:dyDescent="0.2">
      <c r="A3017" s="649" t="s">
        <v>7840</v>
      </c>
      <c r="B3017" s="725" t="s">
        <v>7839</v>
      </c>
    </row>
    <row r="3018" spans="1:2" x14ac:dyDescent="0.2">
      <c r="A3018" s="649" t="s">
        <v>4469</v>
      </c>
      <c r="B3018" s="725" t="s">
        <v>4468</v>
      </c>
    </row>
    <row r="3019" spans="1:2" x14ac:dyDescent="0.2">
      <c r="A3019" s="649" t="s">
        <v>3993</v>
      </c>
      <c r="B3019" s="725" t="s">
        <v>3992</v>
      </c>
    </row>
    <row r="3020" spans="1:2" x14ac:dyDescent="0.2">
      <c r="A3020" s="649" t="s">
        <v>3995</v>
      </c>
      <c r="B3020" s="725" t="s">
        <v>3994</v>
      </c>
    </row>
    <row r="3021" spans="1:2" x14ac:dyDescent="0.2">
      <c r="A3021" s="649" t="s">
        <v>5463</v>
      </c>
      <c r="B3021" s="725" t="s">
        <v>5462</v>
      </c>
    </row>
    <row r="3022" spans="1:2" x14ac:dyDescent="0.2">
      <c r="A3022" s="649" t="s">
        <v>1202</v>
      </c>
      <c r="B3022" s="725" t="s">
        <v>1201</v>
      </c>
    </row>
    <row r="3023" spans="1:2" x14ac:dyDescent="0.2">
      <c r="A3023" s="649" t="s">
        <v>3687</v>
      </c>
      <c r="B3023" s="725" t="s">
        <v>3686</v>
      </c>
    </row>
    <row r="3024" spans="1:2" x14ac:dyDescent="0.2">
      <c r="A3024" s="649" t="s">
        <v>2583</v>
      </c>
      <c r="B3024" s="725" t="s">
        <v>2582</v>
      </c>
    </row>
    <row r="3025" spans="1:2" x14ac:dyDescent="0.2">
      <c r="A3025" s="649" t="s">
        <v>3841</v>
      </c>
      <c r="B3025" s="725" t="s">
        <v>3840</v>
      </c>
    </row>
    <row r="3026" spans="1:2" x14ac:dyDescent="0.2">
      <c r="A3026" s="649" t="s">
        <v>3843</v>
      </c>
      <c r="B3026" s="725" t="s">
        <v>3842</v>
      </c>
    </row>
    <row r="3027" spans="1:2" x14ac:dyDescent="0.2">
      <c r="A3027" s="649" t="s">
        <v>3845</v>
      </c>
      <c r="B3027" s="725" t="s">
        <v>3844</v>
      </c>
    </row>
    <row r="3028" spans="1:2" x14ac:dyDescent="0.2">
      <c r="A3028" s="649" t="s">
        <v>3847</v>
      </c>
      <c r="B3028" s="725" t="s">
        <v>3846</v>
      </c>
    </row>
    <row r="3029" spans="1:2" x14ac:dyDescent="0.2">
      <c r="A3029" s="649" t="s">
        <v>3849</v>
      </c>
      <c r="B3029" s="725" t="s">
        <v>3848</v>
      </c>
    </row>
    <row r="3030" spans="1:2" x14ac:dyDescent="0.2">
      <c r="A3030" s="649" t="s">
        <v>3997</v>
      </c>
      <c r="B3030" s="725" t="s">
        <v>3996</v>
      </c>
    </row>
    <row r="3031" spans="1:2" x14ac:dyDescent="0.2">
      <c r="A3031" s="649" t="s">
        <v>6088</v>
      </c>
      <c r="B3031" s="725" t="s">
        <v>6087</v>
      </c>
    </row>
    <row r="3032" spans="1:2" x14ac:dyDescent="0.2">
      <c r="A3032" s="649" t="s">
        <v>3205</v>
      </c>
      <c r="B3032" s="725" t="s">
        <v>3204</v>
      </c>
    </row>
    <row r="3033" spans="1:2" x14ac:dyDescent="0.2">
      <c r="A3033" s="649" t="s">
        <v>3207</v>
      </c>
      <c r="B3033" s="725" t="s">
        <v>3206</v>
      </c>
    </row>
    <row r="3034" spans="1:2" x14ac:dyDescent="0.2">
      <c r="A3034" s="649" t="s">
        <v>6090</v>
      </c>
      <c r="B3034" s="725" t="s">
        <v>6089</v>
      </c>
    </row>
    <row r="3035" spans="1:2" x14ac:dyDescent="0.2">
      <c r="A3035" s="649" t="s">
        <v>3209</v>
      </c>
      <c r="B3035" s="725" t="s">
        <v>3208</v>
      </c>
    </row>
    <row r="3036" spans="1:2" x14ac:dyDescent="0.2">
      <c r="A3036" s="649" t="s">
        <v>2585</v>
      </c>
      <c r="B3036" s="725" t="s">
        <v>2584</v>
      </c>
    </row>
    <row r="3037" spans="1:2" x14ac:dyDescent="0.2">
      <c r="A3037" s="649" t="s">
        <v>3211</v>
      </c>
      <c r="B3037" s="725" t="s">
        <v>3210</v>
      </c>
    </row>
    <row r="3038" spans="1:2" x14ac:dyDescent="0.2">
      <c r="A3038" s="649" t="s">
        <v>3213</v>
      </c>
      <c r="B3038" s="725" t="s">
        <v>3212</v>
      </c>
    </row>
    <row r="3039" spans="1:2" x14ac:dyDescent="0.2">
      <c r="A3039" s="649" t="s">
        <v>3215</v>
      </c>
      <c r="B3039" s="725" t="s">
        <v>3214</v>
      </c>
    </row>
    <row r="3040" spans="1:2" x14ac:dyDescent="0.2">
      <c r="A3040" s="649" t="s">
        <v>6092</v>
      </c>
      <c r="B3040" s="725" t="s">
        <v>6091</v>
      </c>
    </row>
    <row r="3041" spans="1:2" x14ac:dyDescent="0.2">
      <c r="A3041" s="649" t="s">
        <v>1717</v>
      </c>
      <c r="B3041" s="725" t="s">
        <v>1716</v>
      </c>
    </row>
    <row r="3042" spans="1:2" x14ac:dyDescent="0.2">
      <c r="A3042" s="649" t="s">
        <v>1785</v>
      </c>
      <c r="B3042" s="725" t="s">
        <v>1784</v>
      </c>
    </row>
    <row r="3043" spans="1:2" x14ac:dyDescent="0.2">
      <c r="A3043" s="649" t="s">
        <v>6240</v>
      </c>
      <c r="B3043" s="725" t="s">
        <v>6239</v>
      </c>
    </row>
    <row r="3044" spans="1:2" x14ac:dyDescent="0.2">
      <c r="A3044" s="649" t="s">
        <v>2185</v>
      </c>
      <c r="B3044" s="725" t="s">
        <v>2184</v>
      </c>
    </row>
    <row r="3045" spans="1:2" x14ac:dyDescent="0.2">
      <c r="A3045" s="649" t="s">
        <v>3217</v>
      </c>
      <c r="B3045" s="725" t="s">
        <v>3216</v>
      </c>
    </row>
    <row r="3046" spans="1:2" x14ac:dyDescent="0.2">
      <c r="A3046" s="649" t="s">
        <v>4471</v>
      </c>
      <c r="B3046" s="725" t="s">
        <v>4470</v>
      </c>
    </row>
    <row r="3047" spans="1:2" x14ac:dyDescent="0.2">
      <c r="A3047" s="649" t="s">
        <v>301</v>
      </c>
      <c r="B3047" s="725" t="s">
        <v>300</v>
      </c>
    </row>
    <row r="3048" spans="1:2" ht="28.5" x14ac:dyDescent="0.2">
      <c r="A3048" s="649" t="s">
        <v>3219</v>
      </c>
      <c r="B3048" s="725" t="s">
        <v>3218</v>
      </c>
    </row>
    <row r="3049" spans="1:2" x14ac:dyDescent="0.2">
      <c r="A3049" s="649" t="s">
        <v>2587</v>
      </c>
      <c r="B3049" s="725" t="s">
        <v>2586</v>
      </c>
    </row>
    <row r="3050" spans="1:2" x14ac:dyDescent="0.2">
      <c r="A3050" s="649" t="s">
        <v>2589</v>
      </c>
      <c r="B3050" s="725" t="s">
        <v>2588</v>
      </c>
    </row>
    <row r="3051" spans="1:2" x14ac:dyDescent="0.2">
      <c r="A3051" s="649" t="s">
        <v>2591</v>
      </c>
      <c r="B3051" s="725" t="s">
        <v>2590</v>
      </c>
    </row>
    <row r="3052" spans="1:2" x14ac:dyDescent="0.2">
      <c r="A3052" s="649" t="s">
        <v>2593</v>
      </c>
      <c r="B3052" s="725" t="s">
        <v>2592</v>
      </c>
    </row>
    <row r="3053" spans="1:2" x14ac:dyDescent="0.2">
      <c r="A3053" s="649" t="s">
        <v>1138</v>
      </c>
      <c r="B3053" s="725" t="s">
        <v>1137</v>
      </c>
    </row>
    <row r="3054" spans="1:2" x14ac:dyDescent="0.2">
      <c r="A3054" s="649" t="s">
        <v>7372</v>
      </c>
      <c r="B3054" s="725" t="s">
        <v>7371</v>
      </c>
    </row>
    <row r="3055" spans="1:2" x14ac:dyDescent="0.2">
      <c r="A3055" s="649" t="s">
        <v>2595</v>
      </c>
      <c r="B3055" s="725" t="s">
        <v>2594</v>
      </c>
    </row>
    <row r="3056" spans="1:2" x14ac:dyDescent="0.2">
      <c r="A3056" s="649" t="s">
        <v>2271</v>
      </c>
      <c r="B3056" s="725" t="s">
        <v>2270</v>
      </c>
    </row>
    <row r="3057" spans="1:2" x14ac:dyDescent="0.2">
      <c r="A3057" s="649" t="s">
        <v>2273</v>
      </c>
      <c r="B3057" s="725" t="s">
        <v>2272</v>
      </c>
    </row>
    <row r="3058" spans="1:2" x14ac:dyDescent="0.2">
      <c r="A3058" s="649" t="s">
        <v>4921</v>
      </c>
      <c r="B3058" s="725" t="s">
        <v>4920</v>
      </c>
    </row>
    <row r="3059" spans="1:2" x14ac:dyDescent="0.2">
      <c r="A3059" s="649" t="s">
        <v>1719</v>
      </c>
      <c r="B3059" s="725" t="s">
        <v>1718</v>
      </c>
    </row>
    <row r="3060" spans="1:2" x14ac:dyDescent="0.2">
      <c r="A3060" s="649" t="s">
        <v>1977</v>
      </c>
      <c r="B3060" s="725" t="s">
        <v>1976</v>
      </c>
    </row>
    <row r="3061" spans="1:2" x14ac:dyDescent="0.2">
      <c r="A3061" s="649" t="s">
        <v>1140</v>
      </c>
      <c r="B3061" s="725" t="s">
        <v>1139</v>
      </c>
    </row>
    <row r="3062" spans="1:2" x14ac:dyDescent="0.2">
      <c r="A3062" s="649" t="s">
        <v>429</v>
      </c>
      <c r="B3062" s="725" t="s">
        <v>428</v>
      </c>
    </row>
    <row r="3063" spans="1:2" x14ac:dyDescent="0.2">
      <c r="A3063" s="649" t="s">
        <v>6902</v>
      </c>
      <c r="B3063" s="725" t="s">
        <v>6901</v>
      </c>
    </row>
    <row r="3064" spans="1:2" ht="28.5" x14ac:dyDescent="0.2">
      <c r="A3064" s="649" t="s">
        <v>3999</v>
      </c>
      <c r="B3064" s="725" t="s">
        <v>3998</v>
      </c>
    </row>
    <row r="3065" spans="1:2" x14ac:dyDescent="0.2">
      <c r="A3065" s="649" t="s">
        <v>3221</v>
      </c>
      <c r="B3065" s="725" t="s">
        <v>3220</v>
      </c>
    </row>
    <row r="3066" spans="1:2" x14ac:dyDescent="0.2">
      <c r="A3066" s="649" t="s">
        <v>6332</v>
      </c>
      <c r="B3066" s="725" t="s">
        <v>6331</v>
      </c>
    </row>
    <row r="3067" spans="1:2" x14ac:dyDescent="0.2">
      <c r="A3067" s="649" t="s">
        <v>3223</v>
      </c>
      <c r="B3067" s="725" t="s">
        <v>3222</v>
      </c>
    </row>
    <row r="3068" spans="1:2" x14ac:dyDescent="0.2">
      <c r="A3068" s="649" t="s">
        <v>2211</v>
      </c>
      <c r="B3068" s="725" t="s">
        <v>2210</v>
      </c>
    </row>
    <row r="3069" spans="1:2" x14ac:dyDescent="0.2">
      <c r="A3069" s="649" t="s">
        <v>2275</v>
      </c>
      <c r="B3069" s="725" t="s">
        <v>2274</v>
      </c>
    </row>
    <row r="3070" spans="1:2" x14ac:dyDescent="0.2">
      <c r="A3070" s="649" t="s">
        <v>6094</v>
      </c>
      <c r="B3070" s="725" t="s">
        <v>6093</v>
      </c>
    </row>
    <row r="3071" spans="1:2" x14ac:dyDescent="0.2">
      <c r="A3071" s="649" t="s">
        <v>3225</v>
      </c>
      <c r="B3071" s="725" t="s">
        <v>3224</v>
      </c>
    </row>
    <row r="3072" spans="1:2" x14ac:dyDescent="0.2">
      <c r="A3072" s="649" t="s">
        <v>2597</v>
      </c>
      <c r="B3072" s="725" t="s">
        <v>2596</v>
      </c>
    </row>
    <row r="3073" spans="1:2" x14ac:dyDescent="0.2">
      <c r="A3073" s="649" t="s">
        <v>2277</v>
      </c>
      <c r="B3073" s="725" t="s">
        <v>2276</v>
      </c>
    </row>
    <row r="3074" spans="1:2" x14ac:dyDescent="0.2">
      <c r="A3074" s="649" t="s">
        <v>1721</v>
      </c>
      <c r="B3074" s="725" t="s">
        <v>1720</v>
      </c>
    </row>
    <row r="3075" spans="1:2" x14ac:dyDescent="0.2">
      <c r="A3075" s="649" t="s">
        <v>6904</v>
      </c>
      <c r="B3075" s="725" t="s">
        <v>6903</v>
      </c>
    </row>
    <row r="3076" spans="1:2" x14ac:dyDescent="0.2">
      <c r="A3076" s="649" t="s">
        <v>6906</v>
      </c>
      <c r="B3076" s="725" t="s">
        <v>6905</v>
      </c>
    </row>
    <row r="3077" spans="1:2" x14ac:dyDescent="0.2">
      <c r="A3077" s="649" t="s">
        <v>6908</v>
      </c>
      <c r="B3077" s="725" t="s">
        <v>6907</v>
      </c>
    </row>
    <row r="3078" spans="1:2" x14ac:dyDescent="0.2">
      <c r="A3078" s="649" t="s">
        <v>6910</v>
      </c>
      <c r="B3078" s="725" t="s">
        <v>6909</v>
      </c>
    </row>
    <row r="3079" spans="1:2" x14ac:dyDescent="0.2">
      <c r="A3079" s="649" t="s">
        <v>6912</v>
      </c>
      <c r="B3079" s="725" t="s">
        <v>6911</v>
      </c>
    </row>
    <row r="3080" spans="1:2" x14ac:dyDescent="0.2">
      <c r="A3080" s="649" t="s">
        <v>6914</v>
      </c>
      <c r="B3080" s="725" t="s">
        <v>6913</v>
      </c>
    </row>
    <row r="3081" spans="1:2" x14ac:dyDescent="0.2">
      <c r="A3081" s="649" t="s">
        <v>6916</v>
      </c>
      <c r="B3081" s="725" t="s">
        <v>6915</v>
      </c>
    </row>
    <row r="3082" spans="1:2" x14ac:dyDescent="0.2">
      <c r="A3082" s="649" t="s">
        <v>6918</v>
      </c>
      <c r="B3082" s="725" t="s">
        <v>6917</v>
      </c>
    </row>
    <row r="3083" spans="1:2" x14ac:dyDescent="0.2">
      <c r="A3083" s="649" t="s">
        <v>6920</v>
      </c>
      <c r="B3083" s="725" t="s">
        <v>6919</v>
      </c>
    </row>
    <row r="3084" spans="1:2" x14ac:dyDescent="0.2">
      <c r="A3084" s="649" t="s">
        <v>948</v>
      </c>
      <c r="B3084" s="725" t="s">
        <v>947</v>
      </c>
    </row>
    <row r="3085" spans="1:2" x14ac:dyDescent="0.2">
      <c r="A3085" s="649" t="s">
        <v>2159</v>
      </c>
      <c r="B3085" s="725" t="s">
        <v>2158</v>
      </c>
    </row>
    <row r="3086" spans="1:2" x14ac:dyDescent="0.2">
      <c r="A3086" s="649" t="s">
        <v>6096</v>
      </c>
      <c r="B3086" s="725" t="s">
        <v>6095</v>
      </c>
    </row>
    <row r="3087" spans="1:2" x14ac:dyDescent="0.2">
      <c r="A3087" s="649" t="s">
        <v>3227</v>
      </c>
      <c r="B3087" s="725" t="s">
        <v>3226</v>
      </c>
    </row>
    <row r="3088" spans="1:2" x14ac:dyDescent="0.2">
      <c r="A3088" s="649" t="s">
        <v>2023</v>
      </c>
      <c r="B3088" s="725" t="s">
        <v>2022</v>
      </c>
    </row>
    <row r="3089" spans="1:2" x14ac:dyDescent="0.2">
      <c r="A3089" s="649" t="s">
        <v>726</v>
      </c>
      <c r="B3089" s="725" t="s">
        <v>725</v>
      </c>
    </row>
    <row r="3090" spans="1:2" x14ac:dyDescent="0.2">
      <c r="A3090" s="649" t="s">
        <v>728</v>
      </c>
      <c r="B3090" s="725" t="s">
        <v>727</v>
      </c>
    </row>
    <row r="3091" spans="1:2" x14ac:dyDescent="0.2">
      <c r="A3091" s="649" t="s">
        <v>730</v>
      </c>
      <c r="B3091" s="725" t="s">
        <v>729</v>
      </c>
    </row>
    <row r="3092" spans="1:2" x14ac:dyDescent="0.2">
      <c r="A3092" s="649" t="s">
        <v>732</v>
      </c>
      <c r="B3092" s="725" t="s">
        <v>731</v>
      </c>
    </row>
    <row r="3093" spans="1:2" x14ac:dyDescent="0.2">
      <c r="A3093" s="649" t="s">
        <v>1572</v>
      </c>
      <c r="B3093" s="725" t="s">
        <v>1571</v>
      </c>
    </row>
    <row r="3094" spans="1:2" x14ac:dyDescent="0.2">
      <c r="A3094" s="649" t="s">
        <v>1574</v>
      </c>
      <c r="B3094" s="725" t="s">
        <v>1573</v>
      </c>
    </row>
    <row r="3095" spans="1:2" x14ac:dyDescent="0.2">
      <c r="A3095" s="649" t="s">
        <v>2161</v>
      </c>
      <c r="B3095" s="725" t="s">
        <v>2160</v>
      </c>
    </row>
    <row r="3096" spans="1:2" x14ac:dyDescent="0.2">
      <c r="A3096" s="649" t="s">
        <v>1204</v>
      </c>
      <c r="B3096" s="725" t="s">
        <v>1203</v>
      </c>
    </row>
    <row r="3097" spans="1:2" x14ac:dyDescent="0.2">
      <c r="A3097" s="649" t="s">
        <v>7056</v>
      </c>
      <c r="B3097" s="725" t="s">
        <v>7055</v>
      </c>
    </row>
    <row r="3098" spans="1:2" x14ac:dyDescent="0.2">
      <c r="A3098" s="649" t="s">
        <v>2213</v>
      </c>
      <c r="B3098" s="725" t="s">
        <v>2212</v>
      </c>
    </row>
    <row r="3099" spans="1:2" x14ac:dyDescent="0.2">
      <c r="A3099" s="649" t="s">
        <v>3851</v>
      </c>
      <c r="B3099" s="725" t="s">
        <v>3850</v>
      </c>
    </row>
    <row r="3100" spans="1:2" x14ac:dyDescent="0.2">
      <c r="A3100" s="649" t="s">
        <v>1142</v>
      </c>
      <c r="B3100" s="725" t="s">
        <v>1141</v>
      </c>
    </row>
    <row r="3101" spans="1:2" x14ac:dyDescent="0.2">
      <c r="A3101" s="649" t="s">
        <v>1144</v>
      </c>
      <c r="B3101" s="725" t="s">
        <v>1143</v>
      </c>
    </row>
    <row r="3102" spans="1:2" x14ac:dyDescent="0.2">
      <c r="A3102" s="649" t="s">
        <v>1146</v>
      </c>
      <c r="B3102" s="725" t="s">
        <v>1145</v>
      </c>
    </row>
    <row r="3103" spans="1:2" x14ac:dyDescent="0.2">
      <c r="A3103" s="649" t="s">
        <v>1148</v>
      </c>
      <c r="B3103" s="725" t="s">
        <v>1147</v>
      </c>
    </row>
    <row r="3104" spans="1:2" x14ac:dyDescent="0.2">
      <c r="A3104" s="649" t="s">
        <v>1150</v>
      </c>
      <c r="B3104" s="725" t="s">
        <v>1149</v>
      </c>
    </row>
    <row r="3105" spans="1:2" x14ac:dyDescent="0.2">
      <c r="A3105" s="649" t="s">
        <v>4593</v>
      </c>
      <c r="B3105" s="725" t="s">
        <v>4592</v>
      </c>
    </row>
    <row r="3106" spans="1:2" x14ac:dyDescent="0.2">
      <c r="A3106" s="649" t="s">
        <v>7526</v>
      </c>
      <c r="B3106" s="725" t="s">
        <v>7525</v>
      </c>
    </row>
    <row r="3107" spans="1:2" x14ac:dyDescent="0.2">
      <c r="A3107" s="649" t="s">
        <v>3229</v>
      </c>
      <c r="B3107" s="725" t="s">
        <v>3228</v>
      </c>
    </row>
    <row r="3108" spans="1:2" x14ac:dyDescent="0.2">
      <c r="A3108" s="649" t="s">
        <v>3231</v>
      </c>
      <c r="B3108" s="725" t="s">
        <v>3230</v>
      </c>
    </row>
    <row r="3109" spans="1:2" x14ac:dyDescent="0.2">
      <c r="A3109" s="649" t="s">
        <v>3233</v>
      </c>
      <c r="B3109" s="725" t="s">
        <v>3232</v>
      </c>
    </row>
    <row r="3110" spans="1:2" x14ac:dyDescent="0.2">
      <c r="A3110" s="649" t="s">
        <v>2279</v>
      </c>
      <c r="B3110" s="725" t="s">
        <v>2278</v>
      </c>
    </row>
    <row r="3111" spans="1:2" x14ac:dyDescent="0.2">
      <c r="A3111" s="649" t="s">
        <v>4001</v>
      </c>
      <c r="B3111" s="725" t="s">
        <v>4000</v>
      </c>
    </row>
    <row r="3112" spans="1:2" x14ac:dyDescent="0.2">
      <c r="A3112" s="649" t="s">
        <v>4003</v>
      </c>
      <c r="B3112" s="725" t="s">
        <v>4002</v>
      </c>
    </row>
    <row r="3113" spans="1:2" x14ac:dyDescent="0.2">
      <c r="A3113" s="649" t="s">
        <v>3519</v>
      </c>
      <c r="B3113" s="725" t="s">
        <v>3518</v>
      </c>
    </row>
    <row r="3114" spans="1:2" x14ac:dyDescent="0.2">
      <c r="A3114" s="649" t="s">
        <v>4005</v>
      </c>
      <c r="B3114" s="725" t="s">
        <v>4004</v>
      </c>
    </row>
    <row r="3115" spans="1:2" x14ac:dyDescent="0.2">
      <c r="A3115" s="649" t="s">
        <v>4007</v>
      </c>
      <c r="B3115" s="725" t="s">
        <v>4006</v>
      </c>
    </row>
    <row r="3116" spans="1:2" x14ac:dyDescent="0.2">
      <c r="A3116" s="649" t="s">
        <v>2599</v>
      </c>
      <c r="B3116" s="725" t="s">
        <v>2598</v>
      </c>
    </row>
    <row r="3117" spans="1:2" x14ac:dyDescent="0.2">
      <c r="A3117" s="649" t="s">
        <v>1152</v>
      </c>
      <c r="B3117" s="725" t="s">
        <v>1151</v>
      </c>
    </row>
    <row r="3118" spans="1:2" x14ac:dyDescent="0.2">
      <c r="A3118" s="649" t="s">
        <v>1871</v>
      </c>
      <c r="B3118" s="725" t="s">
        <v>1870</v>
      </c>
    </row>
    <row r="3119" spans="1:2" x14ac:dyDescent="0.2">
      <c r="A3119" s="649" t="s">
        <v>1873</v>
      </c>
      <c r="B3119" s="725" t="s">
        <v>1872</v>
      </c>
    </row>
    <row r="3120" spans="1:2" x14ac:dyDescent="0.2">
      <c r="A3120" s="649" t="s">
        <v>1875</v>
      </c>
      <c r="B3120" s="725" t="s">
        <v>1874</v>
      </c>
    </row>
    <row r="3121" spans="1:2" x14ac:dyDescent="0.2">
      <c r="A3121" s="649" t="s">
        <v>6098</v>
      </c>
      <c r="B3121" s="725" t="s">
        <v>6097</v>
      </c>
    </row>
    <row r="3122" spans="1:2" x14ac:dyDescent="0.2">
      <c r="A3122" s="649" t="s">
        <v>6100</v>
      </c>
      <c r="B3122" s="725" t="s">
        <v>6099</v>
      </c>
    </row>
    <row r="3123" spans="1:2" x14ac:dyDescent="0.2">
      <c r="A3123" s="649" t="s">
        <v>6102</v>
      </c>
      <c r="B3123" s="725" t="s">
        <v>6101</v>
      </c>
    </row>
    <row r="3124" spans="1:2" x14ac:dyDescent="0.2">
      <c r="A3124" s="649" t="s">
        <v>4595</v>
      </c>
      <c r="B3124" s="725" t="s">
        <v>4594</v>
      </c>
    </row>
    <row r="3125" spans="1:2" x14ac:dyDescent="0.2">
      <c r="A3125" s="649" t="s">
        <v>4597</v>
      </c>
      <c r="B3125" s="725" t="s">
        <v>4596</v>
      </c>
    </row>
    <row r="3126" spans="1:2" x14ac:dyDescent="0.2">
      <c r="A3126" s="649" t="s">
        <v>3235</v>
      </c>
      <c r="B3126" s="725" t="s">
        <v>3234</v>
      </c>
    </row>
    <row r="3127" spans="1:2" x14ac:dyDescent="0.2">
      <c r="A3127" s="649" t="s">
        <v>3237</v>
      </c>
      <c r="B3127" s="725" t="s">
        <v>3236</v>
      </c>
    </row>
    <row r="3128" spans="1:2" ht="28.5" x14ac:dyDescent="0.2">
      <c r="A3128" s="649" t="s">
        <v>3239</v>
      </c>
      <c r="B3128" s="725" t="s">
        <v>3238</v>
      </c>
    </row>
    <row r="3129" spans="1:2" x14ac:dyDescent="0.2">
      <c r="A3129" s="649" t="s">
        <v>6578</v>
      </c>
      <c r="B3129" s="725" t="s">
        <v>6577</v>
      </c>
    </row>
    <row r="3130" spans="1:2" x14ac:dyDescent="0.2">
      <c r="A3130" s="649" t="s">
        <v>7290</v>
      </c>
      <c r="B3130" s="725" t="s">
        <v>7289</v>
      </c>
    </row>
    <row r="3131" spans="1:2" x14ac:dyDescent="0.2">
      <c r="A3131" s="649" t="s">
        <v>3241</v>
      </c>
      <c r="B3131" s="725" t="s">
        <v>3240</v>
      </c>
    </row>
    <row r="3132" spans="1:2" x14ac:dyDescent="0.2">
      <c r="A3132" s="649" t="s">
        <v>3243</v>
      </c>
      <c r="B3132" s="725" t="s">
        <v>3242</v>
      </c>
    </row>
    <row r="3133" spans="1:2" x14ac:dyDescent="0.2">
      <c r="A3133" s="649" t="s">
        <v>4009</v>
      </c>
      <c r="B3133" s="725" t="s">
        <v>4008</v>
      </c>
    </row>
    <row r="3134" spans="1:2" x14ac:dyDescent="0.2">
      <c r="A3134" s="649" t="s">
        <v>4011</v>
      </c>
      <c r="B3134" s="725" t="s">
        <v>4010</v>
      </c>
    </row>
    <row r="3135" spans="1:2" x14ac:dyDescent="0.2">
      <c r="A3135" s="649" t="s">
        <v>4013</v>
      </c>
      <c r="B3135" s="725" t="s">
        <v>4012</v>
      </c>
    </row>
    <row r="3136" spans="1:2" x14ac:dyDescent="0.2">
      <c r="A3136" s="649" t="s">
        <v>1246</v>
      </c>
      <c r="B3136" s="725" t="s">
        <v>1245</v>
      </c>
    </row>
    <row r="3137" spans="1:2" x14ac:dyDescent="0.2">
      <c r="A3137" s="649" t="s">
        <v>3245</v>
      </c>
      <c r="B3137" s="725" t="s">
        <v>3244</v>
      </c>
    </row>
    <row r="3138" spans="1:2" x14ac:dyDescent="0.2">
      <c r="A3138" s="649" t="s">
        <v>4115</v>
      </c>
      <c r="B3138" s="725" t="s">
        <v>4114</v>
      </c>
    </row>
    <row r="3139" spans="1:2" x14ac:dyDescent="0.2">
      <c r="A3139" s="649" t="s">
        <v>3247</v>
      </c>
      <c r="B3139" s="725" t="s">
        <v>3246</v>
      </c>
    </row>
    <row r="3140" spans="1:2" x14ac:dyDescent="0.2">
      <c r="A3140" s="649" t="s">
        <v>7140</v>
      </c>
      <c r="B3140" s="725" t="s">
        <v>7139</v>
      </c>
    </row>
    <row r="3141" spans="1:2" ht="28.5" x14ac:dyDescent="0.2">
      <c r="A3141" s="649" t="s">
        <v>5291</v>
      </c>
      <c r="B3141" s="725" t="s">
        <v>5290</v>
      </c>
    </row>
    <row r="3142" spans="1:2" x14ac:dyDescent="0.2">
      <c r="A3142" s="649" t="s">
        <v>6104</v>
      </c>
      <c r="B3142" s="725" t="s">
        <v>6103</v>
      </c>
    </row>
    <row r="3143" spans="1:2" x14ac:dyDescent="0.2">
      <c r="A3143" s="649" t="s">
        <v>6106</v>
      </c>
      <c r="B3143" s="725" t="s">
        <v>6105</v>
      </c>
    </row>
    <row r="3144" spans="1:2" x14ac:dyDescent="0.2">
      <c r="A3144" s="649" t="s">
        <v>6108</v>
      </c>
      <c r="B3144" s="725" t="s">
        <v>6107</v>
      </c>
    </row>
    <row r="3145" spans="1:2" x14ac:dyDescent="0.2">
      <c r="A3145" s="649" t="s">
        <v>3249</v>
      </c>
      <c r="B3145" s="725" t="s">
        <v>3248</v>
      </c>
    </row>
    <row r="3146" spans="1:2" x14ac:dyDescent="0.2">
      <c r="A3146" s="649" t="s">
        <v>2361</v>
      </c>
      <c r="B3146" s="725" t="s">
        <v>2360</v>
      </c>
    </row>
    <row r="3147" spans="1:2" x14ac:dyDescent="0.2">
      <c r="A3147" s="649" t="s">
        <v>6110</v>
      </c>
      <c r="B3147" s="725" t="s">
        <v>6109</v>
      </c>
    </row>
    <row r="3148" spans="1:2" x14ac:dyDescent="0.2">
      <c r="A3148" s="649" t="s">
        <v>3251</v>
      </c>
      <c r="B3148" s="725" t="s">
        <v>3250</v>
      </c>
    </row>
    <row r="3149" spans="1:2" x14ac:dyDescent="0.2">
      <c r="A3149" s="649" t="s">
        <v>3253</v>
      </c>
      <c r="B3149" s="725" t="s">
        <v>3252</v>
      </c>
    </row>
    <row r="3150" spans="1:2" x14ac:dyDescent="0.2">
      <c r="A3150" s="649" t="s">
        <v>3255</v>
      </c>
      <c r="B3150" s="725" t="s">
        <v>3254</v>
      </c>
    </row>
    <row r="3151" spans="1:2" x14ac:dyDescent="0.2">
      <c r="A3151" s="649" t="s">
        <v>1723</v>
      </c>
      <c r="B3151" s="725" t="s">
        <v>1722</v>
      </c>
    </row>
    <row r="3152" spans="1:2" x14ac:dyDescent="0.2">
      <c r="A3152" s="649" t="s">
        <v>4015</v>
      </c>
      <c r="B3152" s="725" t="s">
        <v>4014</v>
      </c>
    </row>
    <row r="3153" spans="1:2" x14ac:dyDescent="0.2">
      <c r="A3153" s="649" t="s">
        <v>7528</v>
      </c>
      <c r="B3153" s="725" t="s">
        <v>7527</v>
      </c>
    </row>
    <row r="3154" spans="1:2" x14ac:dyDescent="0.2">
      <c r="A3154" s="649" t="s">
        <v>6550</v>
      </c>
      <c r="B3154" s="725" t="s">
        <v>6549</v>
      </c>
    </row>
    <row r="3155" spans="1:2" x14ac:dyDescent="0.2">
      <c r="A3155" s="649" t="s">
        <v>3257</v>
      </c>
      <c r="B3155" s="725" t="s">
        <v>3256</v>
      </c>
    </row>
    <row r="3156" spans="1:2" x14ac:dyDescent="0.2">
      <c r="A3156" s="649" t="s">
        <v>3259</v>
      </c>
      <c r="B3156" s="725" t="s">
        <v>3258</v>
      </c>
    </row>
    <row r="3157" spans="1:2" ht="28.5" x14ac:dyDescent="0.2">
      <c r="A3157" s="649" t="s">
        <v>6922</v>
      </c>
      <c r="B3157" s="725" t="s">
        <v>6921</v>
      </c>
    </row>
    <row r="3158" spans="1:2" x14ac:dyDescent="0.2">
      <c r="A3158" s="649" t="s">
        <v>1248</v>
      </c>
      <c r="B3158" s="725" t="s">
        <v>1247</v>
      </c>
    </row>
    <row r="3159" spans="1:2" x14ac:dyDescent="0.2">
      <c r="A3159" s="649" t="s">
        <v>6112</v>
      </c>
      <c r="B3159" s="725" t="s">
        <v>6111</v>
      </c>
    </row>
    <row r="3160" spans="1:2" x14ac:dyDescent="0.2">
      <c r="A3160" s="649" t="s">
        <v>3261</v>
      </c>
      <c r="B3160" s="725" t="s">
        <v>3260</v>
      </c>
    </row>
    <row r="3161" spans="1:2" x14ac:dyDescent="0.2">
      <c r="A3161" s="649" t="s">
        <v>4071</v>
      </c>
      <c r="B3161" s="725" t="s">
        <v>4070</v>
      </c>
    </row>
    <row r="3162" spans="1:2" x14ac:dyDescent="0.2">
      <c r="A3162" s="649" t="s">
        <v>4599</v>
      </c>
      <c r="B3162" s="725" t="s">
        <v>4598</v>
      </c>
    </row>
    <row r="3163" spans="1:2" x14ac:dyDescent="0.2">
      <c r="A3163" s="649" t="s">
        <v>6114</v>
      </c>
      <c r="B3163" s="725" t="s">
        <v>6113</v>
      </c>
    </row>
    <row r="3164" spans="1:2" x14ac:dyDescent="0.2">
      <c r="A3164" s="649" t="s">
        <v>3263</v>
      </c>
      <c r="B3164" s="725" t="s">
        <v>3262</v>
      </c>
    </row>
    <row r="3165" spans="1:2" x14ac:dyDescent="0.2">
      <c r="A3165" s="649" t="s">
        <v>4225</v>
      </c>
      <c r="B3165" s="725" t="s">
        <v>4224</v>
      </c>
    </row>
    <row r="3166" spans="1:2" x14ac:dyDescent="0.2">
      <c r="A3166" s="649" t="s">
        <v>1725</v>
      </c>
      <c r="B3166" s="725" t="s">
        <v>1724</v>
      </c>
    </row>
    <row r="3167" spans="1:2" x14ac:dyDescent="0.2">
      <c r="A3167" s="649" t="s">
        <v>1877</v>
      </c>
      <c r="B3167" s="725" t="s">
        <v>1876</v>
      </c>
    </row>
    <row r="3168" spans="1:2" x14ac:dyDescent="0.2">
      <c r="A3168" s="649" t="s">
        <v>3265</v>
      </c>
      <c r="B3168" s="725" t="s">
        <v>3264</v>
      </c>
    </row>
    <row r="3169" spans="1:2" x14ac:dyDescent="0.2">
      <c r="A3169" s="649" t="s">
        <v>2363</v>
      </c>
      <c r="B3169" s="725" t="s">
        <v>2362</v>
      </c>
    </row>
    <row r="3170" spans="1:2" x14ac:dyDescent="0.2">
      <c r="A3170" s="649" t="s">
        <v>6116</v>
      </c>
      <c r="B3170" s="725" t="s">
        <v>6115</v>
      </c>
    </row>
    <row r="3171" spans="1:2" x14ac:dyDescent="0.2">
      <c r="A3171" s="649" t="s">
        <v>3853</v>
      </c>
      <c r="B3171" s="725" t="s">
        <v>3852</v>
      </c>
    </row>
    <row r="3172" spans="1:2" x14ac:dyDescent="0.2">
      <c r="A3172" s="649" t="s">
        <v>3267</v>
      </c>
      <c r="B3172" s="725" t="s">
        <v>3266</v>
      </c>
    </row>
    <row r="3173" spans="1:2" x14ac:dyDescent="0.2">
      <c r="A3173" s="649" t="s">
        <v>4017</v>
      </c>
      <c r="B3173" s="725" t="s">
        <v>4016</v>
      </c>
    </row>
    <row r="3174" spans="1:2" x14ac:dyDescent="0.2">
      <c r="A3174" s="649" t="s">
        <v>3269</v>
      </c>
      <c r="B3174" s="725" t="s">
        <v>3268</v>
      </c>
    </row>
    <row r="3175" spans="1:2" x14ac:dyDescent="0.2">
      <c r="A3175" s="649" t="s">
        <v>7626</v>
      </c>
      <c r="B3175" s="725" t="s">
        <v>7625</v>
      </c>
    </row>
    <row r="3176" spans="1:2" x14ac:dyDescent="0.2">
      <c r="A3176" s="649" t="s">
        <v>6118</v>
      </c>
      <c r="B3176" s="725" t="s">
        <v>6117</v>
      </c>
    </row>
    <row r="3177" spans="1:2" x14ac:dyDescent="0.2">
      <c r="A3177" s="649" t="s">
        <v>7292</v>
      </c>
      <c r="B3177" s="725" t="s">
        <v>7291</v>
      </c>
    </row>
    <row r="3178" spans="1:2" x14ac:dyDescent="0.2">
      <c r="A3178" s="649" t="s">
        <v>6120</v>
      </c>
      <c r="B3178" s="725" t="s">
        <v>6119</v>
      </c>
    </row>
    <row r="3179" spans="1:2" x14ac:dyDescent="0.2">
      <c r="A3179" s="649" t="s">
        <v>2215</v>
      </c>
      <c r="B3179" s="725" t="s">
        <v>2214</v>
      </c>
    </row>
    <row r="3180" spans="1:2" x14ac:dyDescent="0.2">
      <c r="A3180" s="649" t="s">
        <v>4019</v>
      </c>
      <c r="B3180" s="725" t="s">
        <v>4018</v>
      </c>
    </row>
    <row r="3181" spans="1:2" x14ac:dyDescent="0.2">
      <c r="A3181" s="649" t="s">
        <v>3271</v>
      </c>
      <c r="B3181" s="725" t="s">
        <v>3270</v>
      </c>
    </row>
    <row r="3182" spans="1:2" x14ac:dyDescent="0.2">
      <c r="A3182" s="649" t="s">
        <v>4601</v>
      </c>
      <c r="B3182" s="725" t="s">
        <v>4600</v>
      </c>
    </row>
    <row r="3183" spans="1:2" x14ac:dyDescent="0.2">
      <c r="A3183" s="649" t="s">
        <v>3273</v>
      </c>
      <c r="B3183" s="725" t="s">
        <v>3272</v>
      </c>
    </row>
    <row r="3184" spans="1:2" ht="28.5" x14ac:dyDescent="0.2">
      <c r="A3184" s="649" t="s">
        <v>3275</v>
      </c>
      <c r="B3184" s="725" t="s">
        <v>3274</v>
      </c>
    </row>
    <row r="3185" spans="1:2" x14ac:dyDescent="0.2">
      <c r="A3185" s="649" t="s">
        <v>3277</v>
      </c>
      <c r="B3185" s="725" t="s">
        <v>3276</v>
      </c>
    </row>
    <row r="3186" spans="1:2" x14ac:dyDescent="0.2">
      <c r="A3186" s="649" t="s">
        <v>6122</v>
      </c>
      <c r="B3186" s="725" t="s">
        <v>6121</v>
      </c>
    </row>
    <row r="3187" spans="1:2" x14ac:dyDescent="0.2">
      <c r="A3187" s="649" t="s">
        <v>6124</v>
      </c>
      <c r="B3187" s="725" t="s">
        <v>6123</v>
      </c>
    </row>
    <row r="3188" spans="1:2" x14ac:dyDescent="0.2">
      <c r="A3188" s="649" t="s">
        <v>7772</v>
      </c>
      <c r="B3188" s="725" t="s">
        <v>7771</v>
      </c>
    </row>
    <row r="3189" spans="1:2" x14ac:dyDescent="0.2">
      <c r="A3189" s="649" t="s">
        <v>10395</v>
      </c>
      <c r="B3189" s="725" t="s">
        <v>10396</v>
      </c>
    </row>
    <row r="3190" spans="1:2" x14ac:dyDescent="0.2">
      <c r="A3190" s="649" t="s">
        <v>10397</v>
      </c>
      <c r="B3190" s="725" t="s">
        <v>10398</v>
      </c>
    </row>
    <row r="3191" spans="1:2" x14ac:dyDescent="0.2">
      <c r="A3191" s="649" t="s">
        <v>10399</v>
      </c>
      <c r="B3191" s="725" t="s">
        <v>10400</v>
      </c>
    </row>
    <row r="3192" spans="1:2" x14ac:dyDescent="0.2">
      <c r="A3192" s="649" t="s">
        <v>7530</v>
      </c>
      <c r="B3192" s="725" t="s">
        <v>7529</v>
      </c>
    </row>
    <row r="3193" spans="1:2" x14ac:dyDescent="0.2">
      <c r="A3193" s="649" t="s">
        <v>1154</v>
      </c>
      <c r="B3193" s="725" t="s">
        <v>1153</v>
      </c>
    </row>
    <row r="3194" spans="1:2" x14ac:dyDescent="0.2">
      <c r="A3194" s="649" t="s">
        <v>3279</v>
      </c>
      <c r="B3194" s="725" t="s">
        <v>3278</v>
      </c>
    </row>
    <row r="3195" spans="1:2" x14ac:dyDescent="0.2">
      <c r="A3195" s="649" t="s">
        <v>3281</v>
      </c>
      <c r="B3195" s="725" t="s">
        <v>3280</v>
      </c>
    </row>
    <row r="3196" spans="1:2" x14ac:dyDescent="0.2">
      <c r="A3196" s="649" t="s">
        <v>3283</v>
      </c>
      <c r="B3196" s="725" t="s">
        <v>3282</v>
      </c>
    </row>
    <row r="3197" spans="1:2" ht="28.5" x14ac:dyDescent="0.2">
      <c r="A3197" s="649" t="s">
        <v>3285</v>
      </c>
      <c r="B3197" s="725" t="s">
        <v>3284</v>
      </c>
    </row>
    <row r="3198" spans="1:2" x14ac:dyDescent="0.2">
      <c r="A3198" s="649" t="s">
        <v>5035</v>
      </c>
      <c r="B3198" s="725" t="s">
        <v>5034</v>
      </c>
    </row>
    <row r="3199" spans="1:2" x14ac:dyDescent="0.2">
      <c r="A3199" s="649" t="s">
        <v>3855</v>
      </c>
      <c r="B3199" s="725" t="s">
        <v>3854</v>
      </c>
    </row>
    <row r="3200" spans="1:2" x14ac:dyDescent="0.2">
      <c r="A3200" s="649" t="s">
        <v>6126</v>
      </c>
      <c r="B3200" s="725" t="s">
        <v>6125</v>
      </c>
    </row>
    <row r="3201" spans="1:2" x14ac:dyDescent="0.2">
      <c r="A3201" s="649" t="s">
        <v>6580</v>
      </c>
      <c r="B3201" s="725" t="s">
        <v>6579</v>
      </c>
    </row>
    <row r="3202" spans="1:2" ht="28.5" x14ac:dyDescent="0.2">
      <c r="A3202" s="649" t="s">
        <v>3287</v>
      </c>
      <c r="B3202" s="725" t="s">
        <v>3286</v>
      </c>
    </row>
    <row r="3203" spans="1:2" x14ac:dyDescent="0.2">
      <c r="A3203" s="649" t="s">
        <v>7196</v>
      </c>
      <c r="B3203" s="725" t="s">
        <v>7195</v>
      </c>
    </row>
    <row r="3204" spans="1:2" x14ac:dyDescent="0.2">
      <c r="A3204" s="649" t="s">
        <v>3289</v>
      </c>
      <c r="B3204" s="725" t="s">
        <v>3288</v>
      </c>
    </row>
    <row r="3205" spans="1:2" x14ac:dyDescent="0.2">
      <c r="A3205" s="649" t="s">
        <v>3857</v>
      </c>
      <c r="B3205" s="725" t="s">
        <v>3856</v>
      </c>
    </row>
    <row r="3206" spans="1:2" x14ac:dyDescent="0.2">
      <c r="A3206" s="649" t="s">
        <v>3291</v>
      </c>
      <c r="B3206" s="725" t="s">
        <v>3290</v>
      </c>
    </row>
    <row r="3207" spans="1:2" x14ac:dyDescent="0.2">
      <c r="A3207" s="649" t="s">
        <v>3293</v>
      </c>
      <c r="B3207" s="725" t="s">
        <v>3292</v>
      </c>
    </row>
    <row r="3208" spans="1:2" x14ac:dyDescent="0.2">
      <c r="A3208" s="649" t="s">
        <v>3295</v>
      </c>
      <c r="B3208" s="725" t="s">
        <v>3294</v>
      </c>
    </row>
    <row r="3209" spans="1:2" x14ac:dyDescent="0.2">
      <c r="A3209" s="649" t="s">
        <v>5465</v>
      </c>
      <c r="B3209" s="725" t="s">
        <v>5464</v>
      </c>
    </row>
    <row r="3210" spans="1:2" x14ac:dyDescent="0.2">
      <c r="A3210" s="649" t="s">
        <v>3297</v>
      </c>
      <c r="B3210" s="725" t="s">
        <v>3296</v>
      </c>
    </row>
    <row r="3211" spans="1:2" ht="28.5" x14ac:dyDescent="0.2">
      <c r="A3211" s="649" t="s">
        <v>3299</v>
      </c>
      <c r="B3211" s="725" t="s">
        <v>3298</v>
      </c>
    </row>
    <row r="3212" spans="1:2" x14ac:dyDescent="0.2">
      <c r="A3212" s="649" t="s">
        <v>3301</v>
      </c>
      <c r="B3212" s="725" t="s">
        <v>3300</v>
      </c>
    </row>
    <row r="3213" spans="1:2" x14ac:dyDescent="0.2">
      <c r="A3213" s="649" t="s">
        <v>4603</v>
      </c>
      <c r="B3213" s="725" t="s">
        <v>4602</v>
      </c>
    </row>
    <row r="3214" spans="1:2" x14ac:dyDescent="0.2">
      <c r="A3214" s="649" t="s">
        <v>3303</v>
      </c>
      <c r="B3214" s="725" t="s">
        <v>3302</v>
      </c>
    </row>
    <row r="3215" spans="1:2" x14ac:dyDescent="0.2">
      <c r="A3215" s="649" t="s">
        <v>3305</v>
      </c>
      <c r="B3215" s="725" t="s">
        <v>3304</v>
      </c>
    </row>
    <row r="3216" spans="1:2" x14ac:dyDescent="0.2">
      <c r="A3216" s="649" t="s">
        <v>3307</v>
      </c>
      <c r="B3216" s="725" t="s">
        <v>3306</v>
      </c>
    </row>
    <row r="3217" spans="1:2" x14ac:dyDescent="0.2">
      <c r="A3217" s="649" t="s">
        <v>3309</v>
      </c>
      <c r="B3217" s="725" t="s">
        <v>3308</v>
      </c>
    </row>
    <row r="3218" spans="1:2" x14ac:dyDescent="0.2">
      <c r="A3218" s="649" t="s">
        <v>3311</v>
      </c>
      <c r="B3218" s="725" t="s">
        <v>3310</v>
      </c>
    </row>
    <row r="3219" spans="1:2" x14ac:dyDescent="0.2">
      <c r="A3219" s="649" t="s">
        <v>4021</v>
      </c>
      <c r="B3219" s="725" t="s">
        <v>4020</v>
      </c>
    </row>
    <row r="3220" spans="1:2" x14ac:dyDescent="0.2">
      <c r="A3220" s="649" t="s">
        <v>1727</v>
      </c>
      <c r="B3220" s="725" t="s">
        <v>1726</v>
      </c>
    </row>
    <row r="3221" spans="1:2" x14ac:dyDescent="0.2">
      <c r="A3221" s="649" t="s">
        <v>2601</v>
      </c>
      <c r="B3221" s="725" t="s">
        <v>2600</v>
      </c>
    </row>
    <row r="3222" spans="1:2" x14ac:dyDescent="0.2">
      <c r="A3222" s="649" t="s">
        <v>2281</v>
      </c>
      <c r="B3222" s="725" t="s">
        <v>2280</v>
      </c>
    </row>
    <row r="3223" spans="1:2" x14ac:dyDescent="0.2">
      <c r="A3223" s="649" t="s">
        <v>6258</v>
      </c>
      <c r="B3223" s="725" t="s">
        <v>6257</v>
      </c>
    </row>
    <row r="3224" spans="1:2" x14ac:dyDescent="0.2">
      <c r="A3224" s="649" t="s">
        <v>6128</v>
      </c>
      <c r="B3224" s="725" t="s">
        <v>6127</v>
      </c>
    </row>
    <row r="3225" spans="1:2" ht="28.5" x14ac:dyDescent="0.2">
      <c r="A3225" s="649" t="s">
        <v>3859</v>
      </c>
      <c r="B3225" s="725" t="s">
        <v>3858</v>
      </c>
    </row>
    <row r="3226" spans="1:2" x14ac:dyDescent="0.2">
      <c r="A3226" s="649" t="s">
        <v>4605</v>
      </c>
      <c r="B3226" s="725" t="s">
        <v>4604</v>
      </c>
    </row>
    <row r="3227" spans="1:2" x14ac:dyDescent="0.2">
      <c r="A3227" s="649" t="s">
        <v>3313</v>
      </c>
      <c r="B3227" s="725" t="s">
        <v>3312</v>
      </c>
    </row>
    <row r="3228" spans="1:2" x14ac:dyDescent="0.2">
      <c r="A3228" s="649" t="s">
        <v>3315</v>
      </c>
      <c r="B3228" s="725" t="s">
        <v>3314</v>
      </c>
    </row>
    <row r="3229" spans="1:2" x14ac:dyDescent="0.2">
      <c r="A3229" s="649" t="s">
        <v>3317</v>
      </c>
      <c r="B3229" s="725" t="s">
        <v>3316</v>
      </c>
    </row>
    <row r="3230" spans="1:2" x14ac:dyDescent="0.2">
      <c r="A3230" s="649" t="s">
        <v>3319</v>
      </c>
      <c r="B3230" s="725" t="s">
        <v>3318</v>
      </c>
    </row>
    <row r="3231" spans="1:2" x14ac:dyDescent="0.2">
      <c r="A3231" s="649" t="s">
        <v>3321</v>
      </c>
      <c r="B3231" s="725" t="s">
        <v>3320</v>
      </c>
    </row>
    <row r="3232" spans="1:2" x14ac:dyDescent="0.2">
      <c r="A3232" s="649" t="s">
        <v>3323</v>
      </c>
      <c r="B3232" s="725" t="s">
        <v>3322</v>
      </c>
    </row>
    <row r="3233" spans="1:2" x14ac:dyDescent="0.2">
      <c r="A3233" s="649" t="s">
        <v>842</v>
      </c>
      <c r="B3233" s="725" t="s">
        <v>841</v>
      </c>
    </row>
    <row r="3234" spans="1:2" x14ac:dyDescent="0.2">
      <c r="A3234" s="649" t="s">
        <v>2365</v>
      </c>
      <c r="B3234" s="725" t="s">
        <v>2364</v>
      </c>
    </row>
    <row r="3235" spans="1:2" x14ac:dyDescent="0.2">
      <c r="A3235" s="649" t="s">
        <v>3325</v>
      </c>
      <c r="B3235" s="725" t="s">
        <v>3324</v>
      </c>
    </row>
    <row r="3236" spans="1:2" x14ac:dyDescent="0.2">
      <c r="A3236" s="649" t="s">
        <v>3327</v>
      </c>
      <c r="B3236" s="725" t="s">
        <v>3326</v>
      </c>
    </row>
    <row r="3237" spans="1:2" x14ac:dyDescent="0.2">
      <c r="A3237" s="649" t="s">
        <v>6924</v>
      </c>
      <c r="B3237" s="725" t="s">
        <v>6923</v>
      </c>
    </row>
    <row r="3238" spans="1:2" x14ac:dyDescent="0.2">
      <c r="A3238" s="649" t="s">
        <v>6130</v>
      </c>
      <c r="B3238" s="725" t="s">
        <v>6129</v>
      </c>
    </row>
    <row r="3239" spans="1:2" x14ac:dyDescent="0.2">
      <c r="A3239" s="649" t="s">
        <v>6926</v>
      </c>
      <c r="B3239" s="725" t="s">
        <v>6925</v>
      </c>
    </row>
    <row r="3240" spans="1:2" x14ac:dyDescent="0.2">
      <c r="A3240" s="649" t="s">
        <v>3861</v>
      </c>
      <c r="B3240" s="725" t="s">
        <v>3860</v>
      </c>
    </row>
    <row r="3241" spans="1:2" ht="28.5" x14ac:dyDescent="0.2">
      <c r="A3241" s="649" t="s">
        <v>3329</v>
      </c>
      <c r="B3241" s="725" t="s">
        <v>3328</v>
      </c>
    </row>
    <row r="3242" spans="1:2" x14ac:dyDescent="0.2">
      <c r="A3242" s="649" t="s">
        <v>3331</v>
      </c>
      <c r="B3242" s="725" t="s">
        <v>3330</v>
      </c>
    </row>
    <row r="3243" spans="1:2" x14ac:dyDescent="0.2">
      <c r="A3243" s="649" t="s">
        <v>734</v>
      </c>
      <c r="B3243" s="725" t="s">
        <v>733</v>
      </c>
    </row>
    <row r="3244" spans="1:2" x14ac:dyDescent="0.2">
      <c r="A3244" s="649" t="s">
        <v>455</v>
      </c>
      <c r="B3244" s="725" t="s">
        <v>454</v>
      </c>
    </row>
    <row r="3245" spans="1:2" x14ac:dyDescent="0.2">
      <c r="A3245" s="649" t="s">
        <v>7652</v>
      </c>
      <c r="B3245" s="725" t="s">
        <v>7651</v>
      </c>
    </row>
    <row r="3246" spans="1:2" x14ac:dyDescent="0.2">
      <c r="A3246" s="649" t="s">
        <v>3863</v>
      </c>
      <c r="B3246" s="725" t="s">
        <v>3862</v>
      </c>
    </row>
    <row r="3247" spans="1:2" x14ac:dyDescent="0.2">
      <c r="A3247" s="649" t="s">
        <v>3865</v>
      </c>
      <c r="B3247" s="725" t="s">
        <v>3864</v>
      </c>
    </row>
    <row r="3248" spans="1:2" x14ac:dyDescent="0.2">
      <c r="A3248" s="649" t="s">
        <v>4985</v>
      </c>
      <c r="B3248" s="725" t="s">
        <v>4984</v>
      </c>
    </row>
    <row r="3249" spans="1:2" x14ac:dyDescent="0.2">
      <c r="A3249" s="649" t="s">
        <v>317</v>
      </c>
      <c r="B3249" s="725" t="s">
        <v>316</v>
      </c>
    </row>
    <row r="3250" spans="1:2" x14ac:dyDescent="0.2">
      <c r="A3250" s="649" t="s">
        <v>6132</v>
      </c>
      <c r="B3250" s="725" t="s">
        <v>6131</v>
      </c>
    </row>
    <row r="3251" spans="1:2" x14ac:dyDescent="0.2">
      <c r="A3251" s="649" t="s">
        <v>6134</v>
      </c>
      <c r="B3251" s="725" t="s">
        <v>6133</v>
      </c>
    </row>
    <row r="3252" spans="1:2" x14ac:dyDescent="0.2">
      <c r="A3252" s="649" t="s">
        <v>2025</v>
      </c>
      <c r="B3252" s="725" t="s">
        <v>2024</v>
      </c>
    </row>
    <row r="3253" spans="1:2" x14ac:dyDescent="0.2">
      <c r="A3253" s="649" t="s">
        <v>2027</v>
      </c>
      <c r="B3253" s="725" t="s">
        <v>2026</v>
      </c>
    </row>
    <row r="3254" spans="1:2" x14ac:dyDescent="0.2">
      <c r="A3254" s="649" t="s">
        <v>7374</v>
      </c>
      <c r="B3254" s="725" t="s">
        <v>7373</v>
      </c>
    </row>
    <row r="3255" spans="1:2" x14ac:dyDescent="0.2">
      <c r="A3255" s="649" t="s">
        <v>6136</v>
      </c>
      <c r="B3255" s="725" t="s">
        <v>6135</v>
      </c>
    </row>
    <row r="3256" spans="1:2" x14ac:dyDescent="0.2">
      <c r="A3256" s="649" t="s">
        <v>3867</v>
      </c>
      <c r="B3256" s="725" t="s">
        <v>3866</v>
      </c>
    </row>
    <row r="3257" spans="1:2" x14ac:dyDescent="0.2">
      <c r="A3257" s="649" t="s">
        <v>3869</v>
      </c>
      <c r="B3257" s="725" t="s">
        <v>3868</v>
      </c>
    </row>
    <row r="3258" spans="1:2" x14ac:dyDescent="0.2">
      <c r="A3258" s="649" t="s">
        <v>3333</v>
      </c>
      <c r="B3258" s="725" t="s">
        <v>3332</v>
      </c>
    </row>
    <row r="3259" spans="1:2" x14ac:dyDescent="0.2">
      <c r="A3259" s="649" t="s">
        <v>4691</v>
      </c>
      <c r="B3259" s="725" t="s">
        <v>4690</v>
      </c>
    </row>
    <row r="3260" spans="1:2" x14ac:dyDescent="0.2">
      <c r="A3260" s="649" t="s">
        <v>3729</v>
      </c>
      <c r="B3260" s="725" t="s">
        <v>3728</v>
      </c>
    </row>
    <row r="3261" spans="1:2" x14ac:dyDescent="0.2">
      <c r="A3261" s="649" t="s">
        <v>2603</v>
      </c>
      <c r="B3261" s="725" t="s">
        <v>2602</v>
      </c>
    </row>
    <row r="3262" spans="1:2" x14ac:dyDescent="0.2">
      <c r="A3262" s="649" t="s">
        <v>2605</v>
      </c>
      <c r="B3262" s="725" t="s">
        <v>2604</v>
      </c>
    </row>
    <row r="3263" spans="1:2" x14ac:dyDescent="0.2">
      <c r="A3263" s="649" t="s">
        <v>604</v>
      </c>
      <c r="B3263" s="725" t="s">
        <v>603</v>
      </c>
    </row>
    <row r="3264" spans="1:2" x14ac:dyDescent="0.2">
      <c r="A3264" s="649" t="s">
        <v>3335</v>
      </c>
      <c r="B3264" s="725" t="s">
        <v>3334</v>
      </c>
    </row>
    <row r="3265" spans="1:2" x14ac:dyDescent="0.2">
      <c r="A3265" s="649" t="s">
        <v>1729</v>
      </c>
      <c r="B3265" s="725" t="s">
        <v>1728</v>
      </c>
    </row>
    <row r="3266" spans="1:2" ht="28.5" x14ac:dyDescent="0.2">
      <c r="A3266" s="649" t="s">
        <v>3337</v>
      </c>
      <c r="B3266" s="725" t="s">
        <v>3336</v>
      </c>
    </row>
    <row r="3267" spans="1:2" x14ac:dyDescent="0.2">
      <c r="A3267" s="649" t="s">
        <v>4399</v>
      </c>
      <c r="B3267" s="725" t="s">
        <v>4398</v>
      </c>
    </row>
    <row r="3268" spans="1:2" x14ac:dyDescent="0.2">
      <c r="A3268" s="649" t="s">
        <v>2323</v>
      </c>
      <c r="B3268" s="725" t="s">
        <v>2322</v>
      </c>
    </row>
    <row r="3269" spans="1:2" x14ac:dyDescent="0.2">
      <c r="A3269" s="649" t="s">
        <v>2163</v>
      </c>
      <c r="B3269" s="725" t="s">
        <v>2162</v>
      </c>
    </row>
    <row r="3270" spans="1:2" x14ac:dyDescent="0.2">
      <c r="A3270" s="649" t="s">
        <v>1156</v>
      </c>
      <c r="B3270" s="725" t="s">
        <v>1155</v>
      </c>
    </row>
    <row r="3271" spans="1:2" x14ac:dyDescent="0.2">
      <c r="A3271" s="649" t="s">
        <v>6452</v>
      </c>
      <c r="B3271" s="725" t="s">
        <v>6451</v>
      </c>
    </row>
    <row r="3272" spans="1:2" x14ac:dyDescent="0.2">
      <c r="A3272" s="649" t="s">
        <v>2283</v>
      </c>
      <c r="B3272" s="725" t="s">
        <v>2282</v>
      </c>
    </row>
    <row r="3273" spans="1:2" x14ac:dyDescent="0.2">
      <c r="A3273" s="649" t="s">
        <v>4023</v>
      </c>
      <c r="B3273" s="725" t="s">
        <v>4022</v>
      </c>
    </row>
    <row r="3274" spans="1:2" x14ac:dyDescent="0.2">
      <c r="A3274" s="649" t="s">
        <v>1158</v>
      </c>
      <c r="B3274" s="725" t="s">
        <v>1157</v>
      </c>
    </row>
    <row r="3275" spans="1:2" x14ac:dyDescent="0.2">
      <c r="A3275" s="649" t="s">
        <v>7936</v>
      </c>
      <c r="B3275" s="725" t="s">
        <v>7935</v>
      </c>
    </row>
    <row r="3276" spans="1:2" x14ac:dyDescent="0.2">
      <c r="A3276" s="649" t="s">
        <v>3339</v>
      </c>
      <c r="B3276" s="725" t="s">
        <v>3338</v>
      </c>
    </row>
    <row r="3277" spans="1:2" x14ac:dyDescent="0.2">
      <c r="A3277" s="649" t="s">
        <v>6138</v>
      </c>
      <c r="B3277" s="725" t="s">
        <v>6137</v>
      </c>
    </row>
    <row r="3278" spans="1:2" x14ac:dyDescent="0.2">
      <c r="A3278" s="649" t="s">
        <v>3341</v>
      </c>
      <c r="B3278" s="725" t="s">
        <v>3340</v>
      </c>
    </row>
    <row r="3279" spans="1:2" x14ac:dyDescent="0.2">
      <c r="A3279" s="649" t="s">
        <v>7294</v>
      </c>
      <c r="B3279" s="725" t="s">
        <v>7293</v>
      </c>
    </row>
    <row r="3280" spans="1:2" x14ac:dyDescent="0.2">
      <c r="A3280" s="649" t="s">
        <v>3343</v>
      </c>
      <c r="B3280" s="725" t="s">
        <v>3342</v>
      </c>
    </row>
    <row r="3281" spans="1:2" x14ac:dyDescent="0.2">
      <c r="A3281" s="649" t="s">
        <v>3597</v>
      </c>
      <c r="B3281" s="725" t="s">
        <v>3596</v>
      </c>
    </row>
    <row r="3282" spans="1:2" x14ac:dyDescent="0.2">
      <c r="A3282" s="649" t="s">
        <v>1638</v>
      </c>
      <c r="B3282" s="725" t="s">
        <v>1637</v>
      </c>
    </row>
    <row r="3283" spans="1:2" x14ac:dyDescent="0.2">
      <c r="A3283" s="649" t="s">
        <v>1160</v>
      </c>
      <c r="B3283" s="725" t="s">
        <v>1159</v>
      </c>
    </row>
    <row r="3284" spans="1:2" x14ac:dyDescent="0.2">
      <c r="A3284" s="649" t="s">
        <v>1162</v>
      </c>
      <c r="B3284" s="725" t="s">
        <v>1161</v>
      </c>
    </row>
    <row r="3285" spans="1:2" x14ac:dyDescent="0.2">
      <c r="A3285" s="649" t="s">
        <v>1164</v>
      </c>
      <c r="B3285" s="725" t="s">
        <v>1163</v>
      </c>
    </row>
    <row r="3286" spans="1:2" x14ac:dyDescent="0.2">
      <c r="A3286" s="649" t="s">
        <v>6140</v>
      </c>
      <c r="B3286" s="725" t="s">
        <v>6139</v>
      </c>
    </row>
    <row r="3287" spans="1:2" x14ac:dyDescent="0.2">
      <c r="A3287" s="649" t="s">
        <v>6142</v>
      </c>
      <c r="B3287" s="725" t="s">
        <v>6141</v>
      </c>
    </row>
    <row r="3288" spans="1:2" x14ac:dyDescent="0.2">
      <c r="A3288" s="649" t="s">
        <v>4861</v>
      </c>
      <c r="B3288" s="725" t="s">
        <v>4860</v>
      </c>
    </row>
    <row r="3289" spans="1:2" x14ac:dyDescent="0.2">
      <c r="A3289" s="649" t="s">
        <v>3485</v>
      </c>
      <c r="B3289" s="725" t="s">
        <v>3484</v>
      </c>
    </row>
    <row r="3290" spans="1:2" x14ac:dyDescent="0.2">
      <c r="A3290" s="649" t="s">
        <v>2285</v>
      </c>
      <c r="B3290" s="725" t="s">
        <v>2284</v>
      </c>
    </row>
    <row r="3291" spans="1:2" x14ac:dyDescent="0.2">
      <c r="A3291" s="649" t="s">
        <v>4025</v>
      </c>
      <c r="B3291" s="725" t="s">
        <v>4024</v>
      </c>
    </row>
    <row r="3292" spans="1:2" x14ac:dyDescent="0.2">
      <c r="A3292" s="649" t="s">
        <v>7774</v>
      </c>
      <c r="B3292" s="725" t="s">
        <v>7773</v>
      </c>
    </row>
    <row r="3293" spans="1:2" x14ac:dyDescent="0.2">
      <c r="A3293" s="649" t="s">
        <v>5531</v>
      </c>
      <c r="B3293" s="725" t="s">
        <v>5530</v>
      </c>
    </row>
    <row r="3294" spans="1:2" x14ac:dyDescent="0.2">
      <c r="A3294" s="649" t="s">
        <v>3871</v>
      </c>
      <c r="B3294" s="725" t="s">
        <v>3870</v>
      </c>
    </row>
    <row r="3295" spans="1:2" x14ac:dyDescent="0.2">
      <c r="A3295" s="649" t="s">
        <v>3345</v>
      </c>
      <c r="B3295" s="725" t="s">
        <v>3344</v>
      </c>
    </row>
    <row r="3296" spans="1:2" x14ac:dyDescent="0.2">
      <c r="A3296" s="649" t="s">
        <v>5293</v>
      </c>
      <c r="B3296" s="725" t="s">
        <v>5292</v>
      </c>
    </row>
    <row r="3297" spans="1:2" x14ac:dyDescent="0.2">
      <c r="A3297" s="649" t="s">
        <v>3347</v>
      </c>
      <c r="B3297" s="725" t="s">
        <v>3346</v>
      </c>
    </row>
    <row r="3298" spans="1:2" x14ac:dyDescent="0.2">
      <c r="A3298" s="649" t="s">
        <v>1250</v>
      </c>
      <c r="B3298" s="725" t="s">
        <v>1249</v>
      </c>
    </row>
    <row r="3299" spans="1:2" x14ac:dyDescent="0.2">
      <c r="A3299" s="649" t="s">
        <v>1252</v>
      </c>
      <c r="B3299" s="725" t="s">
        <v>1251</v>
      </c>
    </row>
    <row r="3300" spans="1:2" x14ac:dyDescent="0.2">
      <c r="A3300" s="649" t="s">
        <v>3349</v>
      </c>
      <c r="B3300" s="725" t="s">
        <v>3348</v>
      </c>
    </row>
    <row r="3301" spans="1:2" x14ac:dyDescent="0.2">
      <c r="A3301" s="649" t="s">
        <v>7616</v>
      </c>
      <c r="B3301" s="725" t="s">
        <v>7615</v>
      </c>
    </row>
    <row r="3302" spans="1:2" x14ac:dyDescent="0.2">
      <c r="A3302" s="649" t="s">
        <v>3351</v>
      </c>
      <c r="B3302" s="725" t="s">
        <v>3350</v>
      </c>
    </row>
    <row r="3303" spans="1:2" x14ac:dyDescent="0.2">
      <c r="A3303" s="649" t="s">
        <v>3873</v>
      </c>
      <c r="B3303" s="725" t="s">
        <v>3872</v>
      </c>
    </row>
    <row r="3304" spans="1:2" x14ac:dyDescent="0.2">
      <c r="A3304" s="649" t="s">
        <v>7532</v>
      </c>
      <c r="B3304" s="725" t="s">
        <v>7531</v>
      </c>
    </row>
    <row r="3305" spans="1:2" x14ac:dyDescent="0.2">
      <c r="A3305" s="649" t="s">
        <v>4505</v>
      </c>
      <c r="B3305" s="725" t="s">
        <v>4504</v>
      </c>
    </row>
    <row r="3306" spans="1:2" x14ac:dyDescent="0.2">
      <c r="A3306" s="649" t="s">
        <v>7296</v>
      </c>
      <c r="B3306" s="725" t="s">
        <v>7295</v>
      </c>
    </row>
    <row r="3307" spans="1:2" x14ac:dyDescent="0.2">
      <c r="A3307" s="649" t="s">
        <v>8204</v>
      </c>
      <c r="B3307" s="725" t="s">
        <v>8203</v>
      </c>
    </row>
    <row r="3308" spans="1:2" x14ac:dyDescent="0.2">
      <c r="A3308" s="649" t="s">
        <v>6144</v>
      </c>
      <c r="B3308" s="725" t="s">
        <v>6143</v>
      </c>
    </row>
    <row r="3309" spans="1:2" x14ac:dyDescent="0.2">
      <c r="A3309" s="649" t="s">
        <v>6928</v>
      </c>
      <c r="B3309" s="725" t="s">
        <v>6927</v>
      </c>
    </row>
    <row r="3310" spans="1:2" x14ac:dyDescent="0.2">
      <c r="A3310" s="649" t="s">
        <v>1644</v>
      </c>
      <c r="B3310" s="725" t="s">
        <v>1643</v>
      </c>
    </row>
    <row r="3311" spans="1:2" x14ac:dyDescent="0.2">
      <c r="A3311" s="649" t="s">
        <v>3757</v>
      </c>
      <c r="B3311" s="725" t="s">
        <v>3756</v>
      </c>
    </row>
    <row r="3312" spans="1:2" ht="28.5" x14ac:dyDescent="0.2">
      <c r="A3312" s="649" t="s">
        <v>4607</v>
      </c>
      <c r="B3312" s="725" t="s">
        <v>4606</v>
      </c>
    </row>
    <row r="3313" spans="1:2" x14ac:dyDescent="0.2">
      <c r="A3313" s="649" t="s">
        <v>3759</v>
      </c>
      <c r="B3313" s="725" t="s">
        <v>3758</v>
      </c>
    </row>
    <row r="3314" spans="1:2" x14ac:dyDescent="0.2">
      <c r="A3314" s="649" t="s">
        <v>6930</v>
      </c>
      <c r="B3314" s="725" t="s">
        <v>6929</v>
      </c>
    </row>
    <row r="3315" spans="1:2" x14ac:dyDescent="0.2">
      <c r="A3315" s="649" t="s">
        <v>3633</v>
      </c>
      <c r="B3315" s="725" t="s">
        <v>3632</v>
      </c>
    </row>
    <row r="3316" spans="1:2" x14ac:dyDescent="0.2">
      <c r="A3316" s="649" t="s">
        <v>7036</v>
      </c>
      <c r="B3316" s="725" t="s">
        <v>7035</v>
      </c>
    </row>
    <row r="3317" spans="1:2" x14ac:dyDescent="0.2">
      <c r="A3317" s="649" t="s">
        <v>736</v>
      </c>
      <c r="B3317" s="725" t="s">
        <v>735</v>
      </c>
    </row>
    <row r="3318" spans="1:2" x14ac:dyDescent="0.2">
      <c r="A3318" s="649" t="s">
        <v>1396</v>
      </c>
      <c r="B3318" s="725" t="s">
        <v>1395</v>
      </c>
    </row>
    <row r="3319" spans="1:2" x14ac:dyDescent="0.2">
      <c r="A3319" s="649" t="s">
        <v>6146</v>
      </c>
      <c r="B3319" s="725" t="s">
        <v>6145</v>
      </c>
    </row>
    <row r="3320" spans="1:2" x14ac:dyDescent="0.2">
      <c r="A3320" s="649" t="s">
        <v>912</v>
      </c>
      <c r="B3320" s="725" t="s">
        <v>911</v>
      </c>
    </row>
    <row r="3321" spans="1:2" x14ac:dyDescent="0.2">
      <c r="A3321" s="649" t="s">
        <v>1398</v>
      </c>
      <c r="B3321" s="725" t="s">
        <v>1397</v>
      </c>
    </row>
    <row r="3322" spans="1:2" x14ac:dyDescent="0.2">
      <c r="A3322" s="649" t="s">
        <v>469</v>
      </c>
      <c r="B3322" s="725" t="s">
        <v>468</v>
      </c>
    </row>
    <row r="3323" spans="1:2" x14ac:dyDescent="0.2">
      <c r="A3323" s="649" t="s">
        <v>4889</v>
      </c>
      <c r="B3323" s="725" t="s">
        <v>4888</v>
      </c>
    </row>
    <row r="3324" spans="1:2" x14ac:dyDescent="0.2">
      <c r="A3324" s="649" t="s">
        <v>3353</v>
      </c>
      <c r="B3324" s="725" t="s">
        <v>3352</v>
      </c>
    </row>
    <row r="3325" spans="1:2" x14ac:dyDescent="0.2">
      <c r="A3325" s="649" t="s">
        <v>6148</v>
      </c>
      <c r="B3325" s="725" t="s">
        <v>6147</v>
      </c>
    </row>
    <row r="3326" spans="1:2" x14ac:dyDescent="0.2">
      <c r="A3326" s="649" t="s">
        <v>6150</v>
      </c>
      <c r="B3326" s="725" t="s">
        <v>6149</v>
      </c>
    </row>
    <row r="3327" spans="1:2" x14ac:dyDescent="0.2">
      <c r="A3327" s="649" t="s">
        <v>1731</v>
      </c>
      <c r="B3327" s="725" t="s">
        <v>1730</v>
      </c>
    </row>
    <row r="3328" spans="1:2" x14ac:dyDescent="0.2">
      <c r="A3328" s="649" t="s">
        <v>6152</v>
      </c>
      <c r="B3328" s="725" t="s">
        <v>6151</v>
      </c>
    </row>
    <row r="3329" spans="1:2" x14ac:dyDescent="0.2">
      <c r="A3329" s="649" t="s">
        <v>2607</v>
      </c>
      <c r="B3329" s="725" t="s">
        <v>2606</v>
      </c>
    </row>
    <row r="3330" spans="1:2" x14ac:dyDescent="0.2">
      <c r="A3330" s="649" t="s">
        <v>3355</v>
      </c>
      <c r="B3330" s="725" t="s">
        <v>3354</v>
      </c>
    </row>
    <row r="3331" spans="1:2" x14ac:dyDescent="0.2">
      <c r="A3331" s="649" t="s">
        <v>6932</v>
      </c>
      <c r="B3331" s="725" t="s">
        <v>6931</v>
      </c>
    </row>
    <row r="3332" spans="1:2" x14ac:dyDescent="0.2">
      <c r="A3332" s="649" t="s">
        <v>6154</v>
      </c>
      <c r="B3332" s="725" t="s">
        <v>6153</v>
      </c>
    </row>
    <row r="3333" spans="1:2" x14ac:dyDescent="0.2">
      <c r="A3333" s="649" t="s">
        <v>738</v>
      </c>
      <c r="B3333" s="725" t="s">
        <v>737</v>
      </c>
    </row>
    <row r="3334" spans="1:2" x14ac:dyDescent="0.2">
      <c r="A3334" s="649" t="s">
        <v>3761</v>
      </c>
      <c r="B3334" s="725" t="s">
        <v>3760</v>
      </c>
    </row>
    <row r="3335" spans="1:2" x14ac:dyDescent="0.2">
      <c r="A3335" s="649" t="s">
        <v>1400</v>
      </c>
      <c r="B3335" s="725" t="s">
        <v>1399</v>
      </c>
    </row>
    <row r="3336" spans="1:2" x14ac:dyDescent="0.2">
      <c r="A3336" s="649" t="s">
        <v>6934</v>
      </c>
      <c r="B3336" s="725" t="s">
        <v>6933</v>
      </c>
    </row>
    <row r="3337" spans="1:2" ht="28.5" x14ac:dyDescent="0.2">
      <c r="A3337" s="649" t="s">
        <v>4311</v>
      </c>
      <c r="B3337" s="725" t="s">
        <v>4310</v>
      </c>
    </row>
    <row r="3338" spans="1:2" x14ac:dyDescent="0.2">
      <c r="A3338" s="649" t="s">
        <v>1879</v>
      </c>
      <c r="B3338" s="725" t="s">
        <v>1878</v>
      </c>
    </row>
    <row r="3339" spans="1:2" x14ac:dyDescent="0.2">
      <c r="A3339" s="649" t="s">
        <v>4027</v>
      </c>
      <c r="B3339" s="725" t="s">
        <v>4026</v>
      </c>
    </row>
    <row r="3340" spans="1:2" x14ac:dyDescent="0.2">
      <c r="A3340" s="649" t="s">
        <v>740</v>
      </c>
      <c r="B3340" s="725" t="s">
        <v>739</v>
      </c>
    </row>
    <row r="3341" spans="1:2" x14ac:dyDescent="0.2">
      <c r="A3341" s="649" t="s">
        <v>3357</v>
      </c>
      <c r="B3341" s="725" t="s">
        <v>3356</v>
      </c>
    </row>
    <row r="3342" spans="1:2" x14ac:dyDescent="0.2">
      <c r="A3342" s="649" t="s">
        <v>7938</v>
      </c>
      <c r="B3342" s="725" t="s">
        <v>7937</v>
      </c>
    </row>
    <row r="3343" spans="1:2" x14ac:dyDescent="0.2">
      <c r="A3343" s="649" t="s">
        <v>2609</v>
      </c>
      <c r="B3343" s="725" t="s">
        <v>2608</v>
      </c>
    </row>
    <row r="3344" spans="1:2" x14ac:dyDescent="0.2">
      <c r="A3344" s="649" t="s">
        <v>2611</v>
      </c>
      <c r="B3344" s="725" t="s">
        <v>2610</v>
      </c>
    </row>
    <row r="3345" spans="1:2" x14ac:dyDescent="0.2">
      <c r="A3345" s="649" t="s">
        <v>4029</v>
      </c>
      <c r="B3345" s="725" t="s">
        <v>4028</v>
      </c>
    </row>
    <row r="3346" spans="1:2" x14ac:dyDescent="0.2">
      <c r="A3346" s="649" t="s">
        <v>4609</v>
      </c>
      <c r="B3346" s="725" t="s">
        <v>4608</v>
      </c>
    </row>
    <row r="3347" spans="1:2" x14ac:dyDescent="0.2">
      <c r="A3347" s="649" t="s">
        <v>3663</v>
      </c>
      <c r="B3347" s="725" t="s">
        <v>3662</v>
      </c>
    </row>
    <row r="3348" spans="1:2" x14ac:dyDescent="0.2">
      <c r="A3348" s="649" t="s">
        <v>6156</v>
      </c>
      <c r="B3348" s="725" t="s">
        <v>6155</v>
      </c>
    </row>
    <row r="3349" spans="1:2" x14ac:dyDescent="0.2">
      <c r="A3349" s="649" t="s">
        <v>3359</v>
      </c>
      <c r="B3349" s="725" t="s">
        <v>3358</v>
      </c>
    </row>
    <row r="3350" spans="1:2" x14ac:dyDescent="0.2">
      <c r="A3350" s="649" t="s">
        <v>6158</v>
      </c>
      <c r="B3350" s="725" t="s">
        <v>6157</v>
      </c>
    </row>
    <row r="3351" spans="1:2" x14ac:dyDescent="0.2">
      <c r="A3351" s="649" t="s">
        <v>3361</v>
      </c>
      <c r="B3351" s="725" t="s">
        <v>3360</v>
      </c>
    </row>
    <row r="3352" spans="1:2" x14ac:dyDescent="0.2">
      <c r="A3352" s="649" t="s">
        <v>7198</v>
      </c>
      <c r="B3352" s="725" t="s">
        <v>7197</v>
      </c>
    </row>
    <row r="3353" spans="1:2" x14ac:dyDescent="0.2">
      <c r="A3353" s="649" t="s">
        <v>7776</v>
      </c>
      <c r="B3353" s="725" t="s">
        <v>7775</v>
      </c>
    </row>
    <row r="3354" spans="1:2" x14ac:dyDescent="0.2">
      <c r="A3354" s="649" t="s">
        <v>4031</v>
      </c>
      <c r="B3354" s="725" t="s">
        <v>4030</v>
      </c>
    </row>
    <row r="3355" spans="1:2" x14ac:dyDescent="0.2">
      <c r="A3355" s="649" t="s">
        <v>4033</v>
      </c>
      <c r="B3355" s="725" t="s">
        <v>4032</v>
      </c>
    </row>
    <row r="3356" spans="1:2" x14ac:dyDescent="0.2">
      <c r="A3356" s="649" t="s">
        <v>6160</v>
      </c>
      <c r="B3356" s="725" t="s">
        <v>6159</v>
      </c>
    </row>
    <row r="3357" spans="1:2" x14ac:dyDescent="0.2">
      <c r="A3357" s="649" t="s">
        <v>5533</v>
      </c>
      <c r="B3357" s="725" t="s">
        <v>5532</v>
      </c>
    </row>
    <row r="3358" spans="1:2" x14ac:dyDescent="0.2">
      <c r="A3358" s="649" t="s">
        <v>742</v>
      </c>
      <c r="B3358" s="725" t="s">
        <v>741</v>
      </c>
    </row>
    <row r="3359" spans="1:2" x14ac:dyDescent="0.2">
      <c r="A3359" s="649" t="s">
        <v>3363</v>
      </c>
      <c r="B3359" s="725" t="s">
        <v>3362</v>
      </c>
    </row>
    <row r="3360" spans="1:2" x14ac:dyDescent="0.2">
      <c r="A3360" s="649" t="s">
        <v>5573</v>
      </c>
      <c r="B3360" s="725" t="s">
        <v>5572</v>
      </c>
    </row>
    <row r="3361" spans="1:2" x14ac:dyDescent="0.2">
      <c r="A3361" s="649" t="s">
        <v>6162</v>
      </c>
      <c r="B3361" s="725" t="s">
        <v>6161</v>
      </c>
    </row>
    <row r="3362" spans="1:2" x14ac:dyDescent="0.2">
      <c r="A3362" s="649" t="s">
        <v>4891</v>
      </c>
      <c r="B3362" s="725" t="s">
        <v>4890</v>
      </c>
    </row>
    <row r="3363" spans="1:2" x14ac:dyDescent="0.2">
      <c r="A3363" s="649" t="s">
        <v>6552</v>
      </c>
      <c r="B3363" s="725" t="s">
        <v>6551</v>
      </c>
    </row>
    <row r="3364" spans="1:2" x14ac:dyDescent="0.2">
      <c r="A3364" s="649" t="s">
        <v>5357</v>
      </c>
      <c r="B3364" s="725" t="s">
        <v>5356</v>
      </c>
    </row>
    <row r="3365" spans="1:2" x14ac:dyDescent="0.2">
      <c r="A3365" s="649" t="s">
        <v>744</v>
      </c>
      <c r="B3365" s="725" t="s">
        <v>743</v>
      </c>
    </row>
    <row r="3366" spans="1:2" x14ac:dyDescent="0.2">
      <c r="A3366" s="649" t="s">
        <v>746</v>
      </c>
      <c r="B3366" s="725" t="s">
        <v>745</v>
      </c>
    </row>
    <row r="3367" spans="1:2" x14ac:dyDescent="0.2">
      <c r="A3367" s="649" t="s">
        <v>7534</v>
      </c>
      <c r="B3367" s="725" t="s">
        <v>7533</v>
      </c>
    </row>
    <row r="3368" spans="1:2" x14ac:dyDescent="0.2">
      <c r="A3368" s="649" t="s">
        <v>3875</v>
      </c>
      <c r="B3368" s="725" t="s">
        <v>3874</v>
      </c>
    </row>
    <row r="3369" spans="1:2" x14ac:dyDescent="0.2">
      <c r="A3369" s="649" t="s">
        <v>748</v>
      </c>
      <c r="B3369" s="725" t="s">
        <v>747</v>
      </c>
    </row>
    <row r="3370" spans="1:2" x14ac:dyDescent="0.2">
      <c r="A3370" s="649" t="s">
        <v>5243</v>
      </c>
      <c r="B3370" s="725" t="s">
        <v>5242</v>
      </c>
    </row>
    <row r="3371" spans="1:2" x14ac:dyDescent="0.2">
      <c r="A3371" s="649" t="s">
        <v>5575</v>
      </c>
      <c r="B3371" s="725" t="s">
        <v>5574</v>
      </c>
    </row>
    <row r="3372" spans="1:2" x14ac:dyDescent="0.2">
      <c r="A3372" s="649" t="s">
        <v>4777</v>
      </c>
      <c r="B3372" s="725" t="s">
        <v>4776</v>
      </c>
    </row>
    <row r="3373" spans="1:2" x14ac:dyDescent="0.2">
      <c r="A3373" s="649" t="s">
        <v>409</v>
      </c>
      <c r="B3373" s="725" t="s">
        <v>408</v>
      </c>
    </row>
    <row r="3374" spans="1:2" x14ac:dyDescent="0.2">
      <c r="A3374" s="649" t="s">
        <v>2383</v>
      </c>
      <c r="B3374" s="725" t="s">
        <v>2382</v>
      </c>
    </row>
    <row r="3375" spans="1:2" x14ac:dyDescent="0.2">
      <c r="A3375" s="649" t="s">
        <v>5577</v>
      </c>
      <c r="B3375" s="725" t="s">
        <v>5576</v>
      </c>
    </row>
    <row r="3376" spans="1:2" x14ac:dyDescent="0.2">
      <c r="A3376" s="649" t="s">
        <v>6582</v>
      </c>
      <c r="B3376" s="725" t="s">
        <v>6581</v>
      </c>
    </row>
    <row r="3377" spans="1:2" x14ac:dyDescent="0.2">
      <c r="A3377" s="649" t="s">
        <v>7536</v>
      </c>
      <c r="B3377" s="725" t="s">
        <v>7535</v>
      </c>
    </row>
    <row r="3378" spans="1:2" x14ac:dyDescent="0.2">
      <c r="A3378" s="649" t="s">
        <v>7778</v>
      </c>
      <c r="B3378" s="725" t="s">
        <v>7777</v>
      </c>
    </row>
    <row r="3379" spans="1:2" x14ac:dyDescent="0.2">
      <c r="A3379" s="649" t="s">
        <v>7602</v>
      </c>
      <c r="B3379" s="725" t="s">
        <v>7601</v>
      </c>
    </row>
    <row r="3380" spans="1:2" x14ac:dyDescent="0.2">
      <c r="A3380" s="649" t="s">
        <v>2223</v>
      </c>
      <c r="B3380" s="725" t="s">
        <v>2222</v>
      </c>
    </row>
    <row r="3381" spans="1:2" x14ac:dyDescent="0.2">
      <c r="A3381" s="649" t="s">
        <v>5097</v>
      </c>
      <c r="B3381" s="725" t="s">
        <v>5096</v>
      </c>
    </row>
    <row r="3382" spans="1:2" x14ac:dyDescent="0.2">
      <c r="A3382" s="649" t="s">
        <v>483</v>
      </c>
      <c r="B3382" s="725" t="s">
        <v>482</v>
      </c>
    </row>
    <row r="3383" spans="1:2" x14ac:dyDescent="0.2">
      <c r="A3383" s="649" t="s">
        <v>287</v>
      </c>
      <c r="B3383" s="725" t="s">
        <v>286</v>
      </c>
    </row>
    <row r="3384" spans="1:2" x14ac:dyDescent="0.2">
      <c r="A3384" s="649" t="s">
        <v>457</v>
      </c>
      <c r="B3384" s="725" t="s">
        <v>456</v>
      </c>
    </row>
    <row r="3385" spans="1:2" x14ac:dyDescent="0.2">
      <c r="A3385" s="649" t="s">
        <v>1576</v>
      </c>
      <c r="B3385" s="725" t="s">
        <v>1575</v>
      </c>
    </row>
    <row r="3386" spans="1:2" x14ac:dyDescent="0.2">
      <c r="A3386" s="649" t="s">
        <v>7662</v>
      </c>
      <c r="B3386" s="725" t="s">
        <v>7661</v>
      </c>
    </row>
    <row r="3387" spans="1:2" x14ac:dyDescent="0.2">
      <c r="A3387" s="649" t="s">
        <v>6400</v>
      </c>
      <c r="B3387" s="725" t="s">
        <v>6399</v>
      </c>
    </row>
    <row r="3388" spans="1:2" x14ac:dyDescent="0.2">
      <c r="A3388" s="649" t="s">
        <v>6400</v>
      </c>
      <c r="B3388" s="725" t="s">
        <v>10401</v>
      </c>
    </row>
    <row r="3389" spans="1:2" x14ac:dyDescent="0.2">
      <c r="A3389" s="649" t="s">
        <v>6400</v>
      </c>
      <c r="B3389" s="725" t="s">
        <v>10402</v>
      </c>
    </row>
    <row r="3390" spans="1:2" x14ac:dyDescent="0.2">
      <c r="A3390" s="649" t="s">
        <v>5195</v>
      </c>
      <c r="B3390" s="725" t="s">
        <v>5194</v>
      </c>
    </row>
    <row r="3391" spans="1:2" x14ac:dyDescent="0.2">
      <c r="A3391" s="649" t="s">
        <v>6334</v>
      </c>
      <c r="B3391" s="725" t="s">
        <v>6333</v>
      </c>
    </row>
    <row r="3392" spans="1:2" x14ac:dyDescent="0.2">
      <c r="A3392" s="649" t="s">
        <v>4779</v>
      </c>
      <c r="B3392" s="725" t="s">
        <v>4778</v>
      </c>
    </row>
    <row r="3393" spans="1:2" x14ac:dyDescent="0.2">
      <c r="A3393" s="649" t="s">
        <v>4445</v>
      </c>
      <c r="B3393" s="725" t="s">
        <v>4444</v>
      </c>
    </row>
    <row r="3394" spans="1:2" x14ac:dyDescent="0.2">
      <c r="A3394" s="649" t="s">
        <v>7654</v>
      </c>
      <c r="B3394" s="725" t="s">
        <v>7653</v>
      </c>
    </row>
    <row r="3395" spans="1:2" x14ac:dyDescent="0.2">
      <c r="A3395" s="649" t="s">
        <v>1166</v>
      </c>
      <c r="B3395" s="725" t="s">
        <v>1165</v>
      </c>
    </row>
    <row r="3396" spans="1:2" x14ac:dyDescent="0.2">
      <c r="A3396" s="649" t="s">
        <v>383</v>
      </c>
      <c r="B3396" s="725" t="s">
        <v>382</v>
      </c>
    </row>
    <row r="3397" spans="1:2" x14ac:dyDescent="0.2">
      <c r="A3397" s="649" t="s">
        <v>5579</v>
      </c>
      <c r="B3397" s="725" t="s">
        <v>5578</v>
      </c>
    </row>
    <row r="3398" spans="1:2" x14ac:dyDescent="0.2">
      <c r="A3398" s="649" t="s">
        <v>5295</v>
      </c>
      <c r="B3398" s="725" t="s">
        <v>5294</v>
      </c>
    </row>
    <row r="3399" spans="1:2" x14ac:dyDescent="0.2">
      <c r="A3399" s="649" t="s">
        <v>4791</v>
      </c>
      <c r="B3399" s="725" t="s">
        <v>4790</v>
      </c>
    </row>
    <row r="3400" spans="1:2" x14ac:dyDescent="0.2">
      <c r="A3400" s="649" t="s">
        <v>3365</v>
      </c>
      <c r="B3400" s="725" t="s">
        <v>3364</v>
      </c>
    </row>
    <row r="3401" spans="1:2" x14ac:dyDescent="0.2">
      <c r="A3401" s="649" t="s">
        <v>4987</v>
      </c>
      <c r="B3401" s="725" t="s">
        <v>4986</v>
      </c>
    </row>
    <row r="3402" spans="1:2" x14ac:dyDescent="0.2">
      <c r="A3402" s="649" t="s">
        <v>10403</v>
      </c>
      <c r="B3402" s="725" t="s">
        <v>10404</v>
      </c>
    </row>
    <row r="3403" spans="1:2" x14ac:dyDescent="0.2">
      <c r="A3403" s="649" t="s">
        <v>7538</v>
      </c>
      <c r="B3403" s="725" t="s">
        <v>7537</v>
      </c>
    </row>
    <row r="3404" spans="1:2" x14ac:dyDescent="0.2">
      <c r="A3404" s="649" t="s">
        <v>6936</v>
      </c>
      <c r="B3404" s="725" t="s">
        <v>6935</v>
      </c>
    </row>
    <row r="3405" spans="1:2" x14ac:dyDescent="0.2">
      <c r="A3405" s="649" t="s">
        <v>2367</v>
      </c>
      <c r="B3405" s="725" t="s">
        <v>2366</v>
      </c>
    </row>
    <row r="3406" spans="1:2" x14ac:dyDescent="0.2">
      <c r="A3406" s="649" t="s">
        <v>3689</v>
      </c>
      <c r="B3406" s="725" t="s">
        <v>3688</v>
      </c>
    </row>
    <row r="3407" spans="1:2" x14ac:dyDescent="0.2">
      <c r="A3407" s="649" t="s">
        <v>303</v>
      </c>
      <c r="B3407" s="725" t="s">
        <v>302</v>
      </c>
    </row>
    <row r="3408" spans="1:2" x14ac:dyDescent="0.2">
      <c r="A3408" s="649" t="s">
        <v>6336</v>
      </c>
      <c r="B3408" s="725" t="s">
        <v>6335</v>
      </c>
    </row>
    <row r="3409" spans="1:2" x14ac:dyDescent="0.2">
      <c r="A3409" s="649" t="s">
        <v>1578</v>
      </c>
      <c r="B3409" s="725" t="s">
        <v>1577</v>
      </c>
    </row>
    <row r="3410" spans="1:2" x14ac:dyDescent="0.2">
      <c r="A3410" s="649" t="s">
        <v>6164</v>
      </c>
      <c r="B3410" s="725" t="s">
        <v>6163</v>
      </c>
    </row>
    <row r="3411" spans="1:2" x14ac:dyDescent="0.2">
      <c r="A3411" s="649" t="s">
        <v>5581</v>
      </c>
      <c r="B3411" s="725" t="s">
        <v>5580</v>
      </c>
    </row>
    <row r="3412" spans="1:2" x14ac:dyDescent="0.2">
      <c r="A3412" s="649" t="s">
        <v>7594</v>
      </c>
      <c r="B3412" s="725" t="s">
        <v>7593</v>
      </c>
    </row>
    <row r="3413" spans="1:2" x14ac:dyDescent="0.2">
      <c r="A3413" s="649" t="s">
        <v>954</v>
      </c>
      <c r="B3413" s="725" t="s">
        <v>953</v>
      </c>
    </row>
    <row r="3414" spans="1:2" x14ac:dyDescent="0.2">
      <c r="A3414" s="649" t="s">
        <v>2613</v>
      </c>
      <c r="B3414" s="725" t="s">
        <v>2612</v>
      </c>
    </row>
    <row r="3415" spans="1:2" x14ac:dyDescent="0.2">
      <c r="A3415" s="649" t="s">
        <v>2615</v>
      </c>
      <c r="B3415" s="725" t="s">
        <v>2614</v>
      </c>
    </row>
    <row r="3416" spans="1:2" x14ac:dyDescent="0.2">
      <c r="A3416" s="649" t="s">
        <v>8022</v>
      </c>
      <c r="B3416" s="725" t="s">
        <v>8021</v>
      </c>
    </row>
    <row r="3417" spans="1:2" x14ac:dyDescent="0.2">
      <c r="A3417" s="649" t="s">
        <v>407</v>
      </c>
      <c r="B3417" s="725" t="s">
        <v>406</v>
      </c>
    </row>
    <row r="3418" spans="1:2" x14ac:dyDescent="0.2">
      <c r="A3418" s="649" t="s">
        <v>7336</v>
      </c>
      <c r="B3418" s="725" t="s">
        <v>7335</v>
      </c>
    </row>
    <row r="3419" spans="1:2" x14ac:dyDescent="0.2">
      <c r="A3419" s="649" t="s">
        <v>7872</v>
      </c>
      <c r="B3419" s="725" t="s">
        <v>7871</v>
      </c>
    </row>
    <row r="3420" spans="1:2" x14ac:dyDescent="0.2">
      <c r="A3420" s="649" t="s">
        <v>4447</v>
      </c>
      <c r="B3420" s="725" t="s">
        <v>4446</v>
      </c>
    </row>
    <row r="3421" spans="1:2" x14ac:dyDescent="0.2">
      <c r="A3421" s="649" t="s">
        <v>558</v>
      </c>
      <c r="B3421" s="725" t="s">
        <v>557</v>
      </c>
    </row>
    <row r="3422" spans="1:2" x14ac:dyDescent="0.2">
      <c r="A3422" s="649" t="s">
        <v>335</v>
      </c>
      <c r="B3422" s="725" t="s">
        <v>334</v>
      </c>
    </row>
    <row r="3423" spans="1:2" x14ac:dyDescent="0.2">
      <c r="A3423" s="649" t="s">
        <v>6166</v>
      </c>
      <c r="B3423" s="725" t="s">
        <v>6165</v>
      </c>
    </row>
    <row r="3424" spans="1:2" x14ac:dyDescent="0.2">
      <c r="A3424" s="649" t="s">
        <v>7972</v>
      </c>
      <c r="B3424" s="725" t="s">
        <v>7971</v>
      </c>
    </row>
    <row r="3425" spans="1:2" x14ac:dyDescent="0.2">
      <c r="A3425" s="649" t="s">
        <v>431</v>
      </c>
      <c r="B3425" s="725" t="s">
        <v>430</v>
      </c>
    </row>
    <row r="3426" spans="1:2" x14ac:dyDescent="0.2">
      <c r="A3426" s="649" t="s">
        <v>385</v>
      </c>
      <c r="B3426" s="725" t="s">
        <v>384</v>
      </c>
    </row>
    <row r="3427" spans="1:2" x14ac:dyDescent="0.2">
      <c r="A3427" s="649" t="s">
        <v>6168</v>
      </c>
      <c r="B3427" s="725" t="s">
        <v>6167</v>
      </c>
    </row>
    <row r="3428" spans="1:2" x14ac:dyDescent="0.2">
      <c r="A3428" s="649" t="s">
        <v>7376</v>
      </c>
      <c r="B3428" s="725" t="s">
        <v>7375</v>
      </c>
    </row>
    <row r="3429" spans="1:2" x14ac:dyDescent="0.2">
      <c r="A3429" s="649" t="s">
        <v>4227</v>
      </c>
      <c r="B3429" s="725" t="s">
        <v>4226</v>
      </c>
    </row>
    <row r="3430" spans="1:2" x14ac:dyDescent="0.2">
      <c r="A3430" s="649" t="s">
        <v>7780</v>
      </c>
      <c r="B3430" s="725" t="s">
        <v>7779</v>
      </c>
    </row>
    <row r="3431" spans="1:2" x14ac:dyDescent="0.2">
      <c r="A3431" s="649" t="s">
        <v>7824</v>
      </c>
      <c r="B3431" s="725" t="s">
        <v>7823</v>
      </c>
    </row>
    <row r="3432" spans="1:2" x14ac:dyDescent="0.2">
      <c r="A3432" s="649" t="s">
        <v>7782</v>
      </c>
      <c r="B3432" s="725" t="s">
        <v>7781</v>
      </c>
    </row>
    <row r="3433" spans="1:2" x14ac:dyDescent="0.2">
      <c r="A3433" s="649" t="s">
        <v>6554</v>
      </c>
      <c r="B3433" s="725" t="s">
        <v>6553</v>
      </c>
    </row>
    <row r="3434" spans="1:2" x14ac:dyDescent="0.2">
      <c r="A3434" s="649" t="s">
        <v>3497</v>
      </c>
      <c r="B3434" s="725" t="s">
        <v>3496</v>
      </c>
    </row>
    <row r="3435" spans="1:2" x14ac:dyDescent="0.2">
      <c r="A3435" s="649" t="s">
        <v>578</v>
      </c>
      <c r="B3435" s="725" t="s">
        <v>577</v>
      </c>
    </row>
    <row r="3436" spans="1:2" x14ac:dyDescent="0.2">
      <c r="A3436" s="649" t="s">
        <v>3499</v>
      </c>
      <c r="B3436" s="725" t="s">
        <v>3498</v>
      </c>
    </row>
    <row r="3437" spans="1:2" x14ac:dyDescent="0.2">
      <c r="A3437" s="649" t="s">
        <v>321</v>
      </c>
      <c r="B3437" s="725" t="s">
        <v>320</v>
      </c>
    </row>
    <row r="3438" spans="1:2" x14ac:dyDescent="0.2">
      <c r="A3438" s="649" t="s">
        <v>6650</v>
      </c>
      <c r="B3438" s="725" t="s">
        <v>6649</v>
      </c>
    </row>
    <row r="3439" spans="1:2" x14ac:dyDescent="0.2">
      <c r="A3439" s="649" t="s">
        <v>3735</v>
      </c>
      <c r="B3439" s="725" t="s">
        <v>3734</v>
      </c>
    </row>
    <row r="3440" spans="1:2" x14ac:dyDescent="0.2">
      <c r="A3440" s="649" t="s">
        <v>7596</v>
      </c>
      <c r="B3440" s="725" t="s">
        <v>7595</v>
      </c>
    </row>
    <row r="3441" spans="1:2" x14ac:dyDescent="0.2">
      <c r="A3441" s="649" t="s">
        <v>3471</v>
      </c>
      <c r="B3441" s="725" t="s">
        <v>3470</v>
      </c>
    </row>
    <row r="3442" spans="1:2" x14ac:dyDescent="0.2">
      <c r="A3442" s="649" t="s">
        <v>337</v>
      </c>
      <c r="B3442" s="725" t="s">
        <v>336</v>
      </c>
    </row>
    <row r="3443" spans="1:2" x14ac:dyDescent="0.2">
      <c r="A3443" s="649" t="s">
        <v>4871</v>
      </c>
      <c r="B3443" s="725" t="s">
        <v>4870</v>
      </c>
    </row>
    <row r="3444" spans="1:2" x14ac:dyDescent="0.2">
      <c r="A3444" s="649" t="s">
        <v>325</v>
      </c>
      <c r="B3444" s="725" t="s">
        <v>324</v>
      </c>
    </row>
    <row r="3445" spans="1:2" x14ac:dyDescent="0.2">
      <c r="A3445" s="649" t="s">
        <v>329</v>
      </c>
      <c r="B3445" s="725" t="s">
        <v>328</v>
      </c>
    </row>
    <row r="3446" spans="1:2" x14ac:dyDescent="0.2">
      <c r="A3446" s="649" t="s">
        <v>7974</v>
      </c>
      <c r="B3446" s="725" t="s">
        <v>7973</v>
      </c>
    </row>
    <row r="3447" spans="1:2" x14ac:dyDescent="0.2">
      <c r="A3447" s="649" t="s">
        <v>333</v>
      </c>
      <c r="B3447" s="725" t="s">
        <v>332</v>
      </c>
    </row>
    <row r="3448" spans="1:2" x14ac:dyDescent="0.2">
      <c r="A3448" s="649" t="s">
        <v>433</v>
      </c>
      <c r="B3448" s="725" t="s">
        <v>432</v>
      </c>
    </row>
    <row r="3449" spans="1:2" x14ac:dyDescent="0.2">
      <c r="A3449" s="649" t="s">
        <v>6170</v>
      </c>
      <c r="B3449" s="725" t="s">
        <v>6169</v>
      </c>
    </row>
    <row r="3450" spans="1:2" x14ac:dyDescent="0.2">
      <c r="A3450" s="649" t="s">
        <v>7378</v>
      </c>
      <c r="B3450" s="725" t="s">
        <v>7377</v>
      </c>
    </row>
    <row r="3451" spans="1:2" x14ac:dyDescent="0.2">
      <c r="A3451" s="649" t="s">
        <v>5099</v>
      </c>
      <c r="B3451" s="725" t="s">
        <v>5098</v>
      </c>
    </row>
    <row r="3452" spans="1:2" x14ac:dyDescent="0.2">
      <c r="A3452" s="649" t="s">
        <v>1881</v>
      </c>
      <c r="B3452" s="725" t="s">
        <v>1880</v>
      </c>
    </row>
    <row r="3453" spans="1:2" x14ac:dyDescent="0.2">
      <c r="A3453" s="649" t="s">
        <v>5614</v>
      </c>
      <c r="B3453" s="725" t="s">
        <v>5613</v>
      </c>
    </row>
    <row r="3454" spans="1:2" x14ac:dyDescent="0.2">
      <c r="A3454" s="649" t="s">
        <v>6652</v>
      </c>
      <c r="B3454" s="725" t="s">
        <v>6651</v>
      </c>
    </row>
    <row r="3455" spans="1:2" x14ac:dyDescent="0.2">
      <c r="A3455" s="649" t="s">
        <v>1883</v>
      </c>
      <c r="B3455" s="725" t="s">
        <v>1882</v>
      </c>
    </row>
    <row r="3456" spans="1:2" x14ac:dyDescent="0.2">
      <c r="A3456" s="649" t="s">
        <v>2059</v>
      </c>
      <c r="B3456" s="725" t="s">
        <v>2058</v>
      </c>
    </row>
    <row r="3457" spans="1:2" x14ac:dyDescent="0.2">
      <c r="A3457" s="649" t="s">
        <v>8352</v>
      </c>
      <c r="B3457" s="725" t="s">
        <v>8351</v>
      </c>
    </row>
    <row r="3458" spans="1:2" x14ac:dyDescent="0.2">
      <c r="A3458" s="649" t="s">
        <v>7114</v>
      </c>
      <c r="B3458" s="725" t="s">
        <v>7113</v>
      </c>
    </row>
    <row r="3459" spans="1:2" x14ac:dyDescent="0.2">
      <c r="A3459" s="649" t="s">
        <v>6938</v>
      </c>
      <c r="B3459" s="725" t="s">
        <v>6937</v>
      </c>
    </row>
    <row r="3460" spans="1:2" x14ac:dyDescent="0.2">
      <c r="A3460" s="649" t="s">
        <v>7664</v>
      </c>
      <c r="B3460" s="725" t="s">
        <v>7663</v>
      </c>
    </row>
    <row r="3461" spans="1:2" x14ac:dyDescent="0.2">
      <c r="A3461" s="649" t="s">
        <v>6172</v>
      </c>
      <c r="B3461" s="725" t="s">
        <v>6171</v>
      </c>
    </row>
    <row r="3462" spans="1:2" x14ac:dyDescent="0.2">
      <c r="A3462" s="649" t="s">
        <v>6556</v>
      </c>
      <c r="B3462" s="725" t="s">
        <v>6555</v>
      </c>
    </row>
    <row r="3463" spans="1:2" x14ac:dyDescent="0.2">
      <c r="A3463" s="649" t="s">
        <v>3367</v>
      </c>
      <c r="B3463" s="725" t="s">
        <v>3366</v>
      </c>
    </row>
    <row r="3464" spans="1:2" x14ac:dyDescent="0.2">
      <c r="A3464" s="649" t="s">
        <v>7116</v>
      </c>
      <c r="B3464" s="725" t="s">
        <v>7115</v>
      </c>
    </row>
    <row r="3465" spans="1:2" x14ac:dyDescent="0.2">
      <c r="A3465" s="649" t="s">
        <v>4313</v>
      </c>
      <c r="B3465" s="725" t="s">
        <v>4312</v>
      </c>
    </row>
    <row r="3466" spans="1:2" x14ac:dyDescent="0.2">
      <c r="A3466" s="649" t="s">
        <v>6654</v>
      </c>
      <c r="B3466" s="725" t="s">
        <v>6653</v>
      </c>
    </row>
    <row r="3467" spans="1:2" x14ac:dyDescent="0.2">
      <c r="A3467" s="649" t="s">
        <v>4611</v>
      </c>
      <c r="B3467" s="725" t="s">
        <v>4610</v>
      </c>
    </row>
    <row r="3468" spans="1:2" x14ac:dyDescent="0.2">
      <c r="A3468" s="649" t="s">
        <v>6466</v>
      </c>
      <c r="B3468" s="725" t="s">
        <v>6465</v>
      </c>
    </row>
    <row r="3469" spans="1:2" x14ac:dyDescent="0.2">
      <c r="A3469" s="649" t="s">
        <v>2029</v>
      </c>
      <c r="B3469" s="725" t="s">
        <v>2028</v>
      </c>
    </row>
    <row r="3470" spans="1:2" x14ac:dyDescent="0.2">
      <c r="A3470" s="649" t="s">
        <v>5467</v>
      </c>
      <c r="B3470" s="725" t="s">
        <v>5466</v>
      </c>
    </row>
    <row r="3471" spans="1:2" x14ac:dyDescent="0.2">
      <c r="A3471" s="649" t="s">
        <v>7146</v>
      </c>
      <c r="B3471" s="725" t="s">
        <v>7145</v>
      </c>
    </row>
    <row r="3472" spans="1:2" x14ac:dyDescent="0.2">
      <c r="A3472" s="649" t="s">
        <v>6558</v>
      </c>
      <c r="B3472" s="725" t="s">
        <v>6557</v>
      </c>
    </row>
    <row r="3473" spans="1:2" x14ac:dyDescent="0.2">
      <c r="A3473" s="649" t="s">
        <v>6402</v>
      </c>
      <c r="B3473" s="725" t="s">
        <v>6401</v>
      </c>
    </row>
    <row r="3474" spans="1:2" x14ac:dyDescent="0.2">
      <c r="A3474" s="649" t="s">
        <v>6402</v>
      </c>
      <c r="B3474" s="725" t="s">
        <v>10405</v>
      </c>
    </row>
    <row r="3475" spans="1:2" x14ac:dyDescent="0.2">
      <c r="A3475" s="649" t="s">
        <v>6402</v>
      </c>
      <c r="B3475" s="725" t="s">
        <v>10406</v>
      </c>
    </row>
    <row r="3476" spans="1:2" x14ac:dyDescent="0.2">
      <c r="A3476" s="649" t="s">
        <v>7842</v>
      </c>
      <c r="B3476" s="725" t="s">
        <v>7841</v>
      </c>
    </row>
    <row r="3477" spans="1:2" x14ac:dyDescent="0.2">
      <c r="A3477" s="649" t="s">
        <v>4989</v>
      </c>
      <c r="B3477" s="725" t="s">
        <v>4988</v>
      </c>
    </row>
    <row r="3478" spans="1:2" x14ac:dyDescent="0.2">
      <c r="A3478" s="649" t="s">
        <v>339</v>
      </c>
      <c r="B3478" s="725" t="s">
        <v>338</v>
      </c>
    </row>
    <row r="3479" spans="1:2" x14ac:dyDescent="0.2">
      <c r="A3479" s="649" t="s">
        <v>341</v>
      </c>
      <c r="B3479" s="725" t="s">
        <v>340</v>
      </c>
    </row>
    <row r="3480" spans="1:2" x14ac:dyDescent="0.2">
      <c r="A3480" s="649" t="s">
        <v>347</v>
      </c>
      <c r="B3480" s="725" t="s">
        <v>346</v>
      </c>
    </row>
    <row r="3481" spans="1:2" x14ac:dyDescent="0.2">
      <c r="A3481" s="649" t="s">
        <v>313</v>
      </c>
      <c r="B3481" s="725" t="s">
        <v>312</v>
      </c>
    </row>
    <row r="3482" spans="1:2" x14ac:dyDescent="0.2">
      <c r="A3482" s="649" t="s">
        <v>315</v>
      </c>
      <c r="B3482" s="725" t="s">
        <v>314</v>
      </c>
    </row>
    <row r="3483" spans="1:2" x14ac:dyDescent="0.2">
      <c r="A3483" s="649" t="s">
        <v>560</v>
      </c>
      <c r="B3483" s="725" t="s">
        <v>559</v>
      </c>
    </row>
    <row r="3484" spans="1:2" x14ac:dyDescent="0.2">
      <c r="A3484" s="649" t="s">
        <v>6404</v>
      </c>
      <c r="B3484" s="725" t="s">
        <v>6403</v>
      </c>
    </row>
    <row r="3485" spans="1:2" x14ac:dyDescent="0.2">
      <c r="A3485" s="649" t="s">
        <v>6404</v>
      </c>
      <c r="B3485" s="725" t="s">
        <v>10407</v>
      </c>
    </row>
    <row r="3486" spans="1:2" x14ac:dyDescent="0.2">
      <c r="A3486" s="649" t="s">
        <v>6404</v>
      </c>
      <c r="B3486" s="725" t="s">
        <v>10408</v>
      </c>
    </row>
    <row r="3487" spans="1:2" x14ac:dyDescent="0.2">
      <c r="A3487" s="649" t="s">
        <v>562</v>
      </c>
      <c r="B3487" s="725" t="s">
        <v>561</v>
      </c>
    </row>
    <row r="3488" spans="1:2" x14ac:dyDescent="0.2">
      <c r="A3488" s="649" t="s">
        <v>7540</v>
      </c>
      <c r="B3488" s="725" t="s">
        <v>7539</v>
      </c>
    </row>
    <row r="3489" spans="1:2" x14ac:dyDescent="0.2">
      <c r="A3489" s="649" t="s">
        <v>5359</v>
      </c>
      <c r="B3489" s="725" t="s">
        <v>5358</v>
      </c>
    </row>
    <row r="3490" spans="1:2" x14ac:dyDescent="0.2">
      <c r="A3490" s="649" t="s">
        <v>1478</v>
      </c>
      <c r="B3490" s="725" t="s">
        <v>1477</v>
      </c>
    </row>
    <row r="3491" spans="1:2" x14ac:dyDescent="0.2">
      <c r="A3491" s="649" t="s">
        <v>2031</v>
      </c>
      <c r="B3491" s="725" t="s">
        <v>2030</v>
      </c>
    </row>
    <row r="3492" spans="1:2" x14ac:dyDescent="0.2">
      <c r="A3492" s="649" t="s">
        <v>4893</v>
      </c>
      <c r="B3492" s="725" t="s">
        <v>4892</v>
      </c>
    </row>
    <row r="3493" spans="1:2" x14ac:dyDescent="0.2">
      <c r="A3493" s="649" t="s">
        <v>6406</v>
      </c>
      <c r="B3493" s="725" t="s">
        <v>6405</v>
      </c>
    </row>
    <row r="3494" spans="1:2" x14ac:dyDescent="0.2">
      <c r="A3494" s="649" t="s">
        <v>6406</v>
      </c>
      <c r="B3494" s="725" t="s">
        <v>10409</v>
      </c>
    </row>
    <row r="3495" spans="1:2" x14ac:dyDescent="0.2">
      <c r="A3495" s="649" t="s">
        <v>6406</v>
      </c>
      <c r="B3495" s="725" t="s">
        <v>10410</v>
      </c>
    </row>
    <row r="3496" spans="1:2" x14ac:dyDescent="0.2">
      <c r="A3496" s="649" t="s">
        <v>5469</v>
      </c>
      <c r="B3496" s="725" t="s">
        <v>5468</v>
      </c>
    </row>
    <row r="3497" spans="1:2" x14ac:dyDescent="0.2">
      <c r="A3497" s="649" t="s">
        <v>2033</v>
      </c>
      <c r="B3497" s="725" t="s">
        <v>2032</v>
      </c>
    </row>
    <row r="3498" spans="1:2" x14ac:dyDescent="0.2">
      <c r="A3498" s="649" t="s">
        <v>7874</v>
      </c>
      <c r="B3498" s="725" t="s">
        <v>7873</v>
      </c>
    </row>
    <row r="3499" spans="1:2" x14ac:dyDescent="0.2">
      <c r="A3499" s="649" t="s">
        <v>750</v>
      </c>
      <c r="B3499" s="725" t="s">
        <v>749</v>
      </c>
    </row>
    <row r="3500" spans="1:2" x14ac:dyDescent="0.2">
      <c r="A3500" s="649" t="s">
        <v>7542</v>
      </c>
      <c r="B3500" s="725" t="s">
        <v>7541</v>
      </c>
    </row>
    <row r="3501" spans="1:2" x14ac:dyDescent="0.2">
      <c r="A3501" s="649" t="s">
        <v>6468</v>
      </c>
      <c r="B3501" s="725" t="s">
        <v>6467</v>
      </c>
    </row>
    <row r="3502" spans="1:2" x14ac:dyDescent="0.2">
      <c r="A3502" s="649" t="s">
        <v>6408</v>
      </c>
      <c r="B3502" s="725" t="s">
        <v>6407</v>
      </c>
    </row>
    <row r="3503" spans="1:2" x14ac:dyDescent="0.2">
      <c r="A3503" s="649" t="s">
        <v>6408</v>
      </c>
      <c r="B3503" s="725" t="s">
        <v>10411</v>
      </c>
    </row>
    <row r="3504" spans="1:2" x14ac:dyDescent="0.2">
      <c r="A3504" s="649" t="s">
        <v>6408</v>
      </c>
      <c r="B3504" s="725" t="s">
        <v>10412</v>
      </c>
    </row>
    <row r="3505" spans="1:2" x14ac:dyDescent="0.2">
      <c r="A3505" s="649" t="s">
        <v>6470</v>
      </c>
      <c r="B3505" s="725" t="s">
        <v>6469</v>
      </c>
    </row>
    <row r="3506" spans="1:2" x14ac:dyDescent="0.2">
      <c r="A3506" s="649" t="s">
        <v>4095</v>
      </c>
      <c r="B3506" s="725" t="s">
        <v>4094</v>
      </c>
    </row>
    <row r="3507" spans="1:2" x14ac:dyDescent="0.2">
      <c r="A3507" s="649" t="s">
        <v>459</v>
      </c>
      <c r="B3507" s="725" t="s">
        <v>458</v>
      </c>
    </row>
    <row r="3508" spans="1:2" x14ac:dyDescent="0.2">
      <c r="A3508" s="649" t="s">
        <v>8024</v>
      </c>
      <c r="B3508" s="725" t="s">
        <v>8023</v>
      </c>
    </row>
    <row r="3509" spans="1:2" x14ac:dyDescent="0.2">
      <c r="A3509" s="649" t="s">
        <v>3665</v>
      </c>
      <c r="B3509" s="725" t="s">
        <v>3664</v>
      </c>
    </row>
    <row r="3510" spans="1:2" x14ac:dyDescent="0.2">
      <c r="A3510" s="649" t="s">
        <v>7298</v>
      </c>
      <c r="B3510" s="725" t="s">
        <v>7297</v>
      </c>
    </row>
    <row r="3511" spans="1:2" x14ac:dyDescent="0.2">
      <c r="A3511" s="649" t="s">
        <v>6174</v>
      </c>
      <c r="B3511" s="725" t="s">
        <v>6173</v>
      </c>
    </row>
    <row r="3512" spans="1:2" x14ac:dyDescent="0.2">
      <c r="A3512" s="649" t="s">
        <v>4139</v>
      </c>
      <c r="B3512" s="725" t="s">
        <v>4138</v>
      </c>
    </row>
    <row r="3513" spans="1:2" x14ac:dyDescent="0.2">
      <c r="A3513" s="649" t="s">
        <v>4923</v>
      </c>
      <c r="B3513" s="725" t="s">
        <v>4922</v>
      </c>
    </row>
    <row r="3514" spans="1:2" x14ac:dyDescent="0.2">
      <c r="A3514" s="649" t="s">
        <v>7784</v>
      </c>
      <c r="B3514" s="725" t="s">
        <v>7783</v>
      </c>
    </row>
    <row r="3515" spans="1:2" x14ac:dyDescent="0.2">
      <c r="A3515" s="649" t="s">
        <v>6352</v>
      </c>
      <c r="B3515" s="725" t="s">
        <v>6351</v>
      </c>
    </row>
    <row r="3516" spans="1:2" x14ac:dyDescent="0.2">
      <c r="A3516" s="649" t="s">
        <v>6352</v>
      </c>
      <c r="B3516" s="725" t="s">
        <v>10413</v>
      </c>
    </row>
    <row r="3517" spans="1:2" x14ac:dyDescent="0.2">
      <c r="A3517" s="649" t="s">
        <v>6352</v>
      </c>
      <c r="B3517" s="725" t="s">
        <v>10414</v>
      </c>
    </row>
    <row r="3518" spans="1:2" x14ac:dyDescent="0.2">
      <c r="A3518" s="649" t="s">
        <v>3501</v>
      </c>
      <c r="B3518" s="725" t="s">
        <v>3500</v>
      </c>
    </row>
    <row r="3519" spans="1:2" x14ac:dyDescent="0.2">
      <c r="A3519" s="649" t="s">
        <v>616</v>
      </c>
      <c r="B3519" s="725" t="s">
        <v>615</v>
      </c>
    </row>
    <row r="3520" spans="1:2" x14ac:dyDescent="0.2">
      <c r="A3520" s="649" t="s">
        <v>289</v>
      </c>
      <c r="B3520" s="725" t="s">
        <v>288</v>
      </c>
    </row>
    <row r="3521" spans="1:2" x14ac:dyDescent="0.2">
      <c r="A3521" s="649" t="s">
        <v>5361</v>
      </c>
      <c r="B3521" s="725" t="s">
        <v>5360</v>
      </c>
    </row>
    <row r="3522" spans="1:2" x14ac:dyDescent="0.2">
      <c r="A3522" s="649" t="s">
        <v>4519</v>
      </c>
      <c r="B3522" s="725" t="s">
        <v>4518</v>
      </c>
    </row>
    <row r="3523" spans="1:2" x14ac:dyDescent="0.2">
      <c r="A3523" s="649" t="s">
        <v>7940</v>
      </c>
      <c r="B3523" s="725" t="s">
        <v>7939</v>
      </c>
    </row>
    <row r="3524" spans="1:2" x14ac:dyDescent="0.2">
      <c r="A3524" s="649" t="s">
        <v>1733</v>
      </c>
      <c r="B3524" s="725" t="s">
        <v>1732</v>
      </c>
    </row>
    <row r="3525" spans="1:2" x14ac:dyDescent="0.2">
      <c r="A3525" s="649" t="s">
        <v>6410</v>
      </c>
      <c r="B3525" s="725" t="s">
        <v>6409</v>
      </c>
    </row>
    <row r="3526" spans="1:2" x14ac:dyDescent="0.2">
      <c r="A3526" s="649" t="s">
        <v>6410</v>
      </c>
      <c r="B3526" s="725" t="s">
        <v>10415</v>
      </c>
    </row>
    <row r="3527" spans="1:2" x14ac:dyDescent="0.2">
      <c r="A3527" s="649" t="s">
        <v>6410</v>
      </c>
      <c r="B3527" s="725" t="s">
        <v>10416</v>
      </c>
    </row>
    <row r="3528" spans="1:2" x14ac:dyDescent="0.2">
      <c r="A3528" s="649" t="s">
        <v>4873</v>
      </c>
      <c r="B3528" s="725" t="s">
        <v>4872</v>
      </c>
    </row>
    <row r="3529" spans="1:2" x14ac:dyDescent="0.2">
      <c r="A3529" s="649" t="s">
        <v>752</v>
      </c>
      <c r="B3529" s="725" t="s">
        <v>751</v>
      </c>
    </row>
    <row r="3530" spans="1:2" x14ac:dyDescent="0.2">
      <c r="A3530" s="649" t="s">
        <v>5616</v>
      </c>
      <c r="B3530" s="725" t="s">
        <v>5615</v>
      </c>
    </row>
    <row r="3531" spans="1:2" x14ac:dyDescent="0.2">
      <c r="A3531" s="649" t="s">
        <v>2035</v>
      </c>
      <c r="B3531" s="725" t="s">
        <v>2034</v>
      </c>
    </row>
    <row r="3532" spans="1:2" x14ac:dyDescent="0.2">
      <c r="A3532" s="649" t="s">
        <v>4387</v>
      </c>
      <c r="B3532" s="725" t="s">
        <v>4386</v>
      </c>
    </row>
    <row r="3533" spans="1:2" x14ac:dyDescent="0.2">
      <c r="A3533" s="649" t="s">
        <v>6940</v>
      </c>
      <c r="B3533" s="725" t="s">
        <v>6939</v>
      </c>
    </row>
    <row r="3534" spans="1:2" x14ac:dyDescent="0.2">
      <c r="A3534" s="649" t="s">
        <v>7544</v>
      </c>
      <c r="B3534" s="725" t="s">
        <v>7543</v>
      </c>
    </row>
    <row r="3535" spans="1:2" x14ac:dyDescent="0.2">
      <c r="A3535" s="649" t="s">
        <v>1917</v>
      </c>
      <c r="B3535" s="725" t="s">
        <v>1916</v>
      </c>
    </row>
    <row r="3536" spans="1:2" x14ac:dyDescent="0.2">
      <c r="A3536" s="649" t="s">
        <v>1168</v>
      </c>
      <c r="B3536" s="725" t="s">
        <v>1167</v>
      </c>
    </row>
    <row r="3537" spans="1:2" x14ac:dyDescent="0.2">
      <c r="A3537" s="649" t="s">
        <v>7786</v>
      </c>
      <c r="B3537" s="725" t="s">
        <v>7785</v>
      </c>
    </row>
    <row r="3538" spans="1:2" x14ac:dyDescent="0.2">
      <c r="A3538" s="649" t="s">
        <v>7668</v>
      </c>
      <c r="B3538" s="725" t="s">
        <v>7667</v>
      </c>
    </row>
    <row r="3539" spans="1:2" x14ac:dyDescent="0.2">
      <c r="A3539" s="649" t="s">
        <v>7628</v>
      </c>
      <c r="B3539" s="725" t="s">
        <v>7627</v>
      </c>
    </row>
    <row r="3540" spans="1:2" x14ac:dyDescent="0.2">
      <c r="A3540" s="649" t="s">
        <v>6942</v>
      </c>
      <c r="B3540" s="725" t="s">
        <v>6941</v>
      </c>
    </row>
    <row r="3541" spans="1:2" x14ac:dyDescent="0.2">
      <c r="A3541" s="649" t="s">
        <v>7844</v>
      </c>
      <c r="B3541" s="725" t="s">
        <v>7843</v>
      </c>
    </row>
    <row r="3542" spans="1:2" x14ac:dyDescent="0.2">
      <c r="A3542" s="649" t="s">
        <v>7546</v>
      </c>
      <c r="B3542" s="725" t="s">
        <v>7545</v>
      </c>
    </row>
    <row r="3543" spans="1:2" x14ac:dyDescent="0.2">
      <c r="A3543" s="649" t="s">
        <v>2617</v>
      </c>
      <c r="B3543" s="725" t="s">
        <v>2616</v>
      </c>
    </row>
    <row r="3544" spans="1:2" x14ac:dyDescent="0.2">
      <c r="A3544" s="649" t="s">
        <v>8206</v>
      </c>
      <c r="B3544" s="725" t="s">
        <v>8205</v>
      </c>
    </row>
    <row r="3545" spans="1:2" x14ac:dyDescent="0.2">
      <c r="A3545" s="649" t="s">
        <v>1254</v>
      </c>
      <c r="B3545" s="725" t="s">
        <v>1253</v>
      </c>
    </row>
    <row r="3546" spans="1:2" x14ac:dyDescent="0.2">
      <c r="A3546" s="649" t="s">
        <v>2619</v>
      </c>
      <c r="B3546" s="725" t="s">
        <v>2618</v>
      </c>
    </row>
    <row r="3547" spans="1:2" x14ac:dyDescent="0.2">
      <c r="A3547" s="649" t="s">
        <v>4735</v>
      </c>
      <c r="B3547" s="725" t="s">
        <v>4734</v>
      </c>
    </row>
    <row r="3548" spans="1:2" x14ac:dyDescent="0.2">
      <c r="A3548" s="649" t="s">
        <v>4895</v>
      </c>
      <c r="B3548" s="725" t="s">
        <v>4894</v>
      </c>
    </row>
    <row r="3549" spans="1:2" x14ac:dyDescent="0.2">
      <c r="A3549" s="649" t="s">
        <v>7598</v>
      </c>
      <c r="B3549" s="725" t="s">
        <v>7597</v>
      </c>
    </row>
    <row r="3550" spans="1:2" x14ac:dyDescent="0.2">
      <c r="A3550" s="649" t="s">
        <v>1885</v>
      </c>
      <c r="B3550" s="725" t="s">
        <v>1884</v>
      </c>
    </row>
    <row r="3551" spans="1:2" x14ac:dyDescent="0.2">
      <c r="A3551" s="649" t="s">
        <v>2621</v>
      </c>
      <c r="B3551" s="725" t="s">
        <v>2620</v>
      </c>
    </row>
    <row r="3552" spans="1:2" x14ac:dyDescent="0.2">
      <c r="A3552" s="649" t="s">
        <v>7942</v>
      </c>
      <c r="B3552" s="725" t="s">
        <v>7941</v>
      </c>
    </row>
    <row r="3553" spans="1:2" x14ac:dyDescent="0.2">
      <c r="A3553" s="649" t="s">
        <v>1510</v>
      </c>
      <c r="B3553" s="725" t="s">
        <v>1509</v>
      </c>
    </row>
    <row r="3554" spans="1:2" x14ac:dyDescent="0.2">
      <c r="A3554" s="649" t="s">
        <v>7548</v>
      </c>
      <c r="B3554" s="725" t="s">
        <v>7547</v>
      </c>
    </row>
    <row r="3555" spans="1:2" x14ac:dyDescent="0.2">
      <c r="A3555" s="649" t="s">
        <v>7550</v>
      </c>
      <c r="B3555" s="725" t="s">
        <v>7549</v>
      </c>
    </row>
    <row r="3556" spans="1:2" x14ac:dyDescent="0.2">
      <c r="A3556" s="649" t="s">
        <v>8068</v>
      </c>
      <c r="B3556" s="725" t="s">
        <v>8067</v>
      </c>
    </row>
    <row r="3557" spans="1:2" x14ac:dyDescent="0.2">
      <c r="A3557" s="649" t="s">
        <v>7338</v>
      </c>
      <c r="B3557" s="725" t="s">
        <v>7337</v>
      </c>
    </row>
    <row r="3558" spans="1:2" x14ac:dyDescent="0.2">
      <c r="A3558" s="649" t="s">
        <v>7876</v>
      </c>
      <c r="B3558" s="725" t="s">
        <v>7875</v>
      </c>
    </row>
    <row r="3559" spans="1:2" x14ac:dyDescent="0.2">
      <c r="A3559" s="649" t="s">
        <v>8080</v>
      </c>
      <c r="B3559" s="725" t="s">
        <v>8079</v>
      </c>
    </row>
    <row r="3560" spans="1:2" x14ac:dyDescent="0.2">
      <c r="A3560" s="649" t="s">
        <v>291</v>
      </c>
      <c r="B3560" s="725" t="s">
        <v>290</v>
      </c>
    </row>
    <row r="3561" spans="1:2" x14ac:dyDescent="0.2">
      <c r="A3561" s="649" t="s">
        <v>8082</v>
      </c>
      <c r="B3561" s="725" t="s">
        <v>8081</v>
      </c>
    </row>
    <row r="3562" spans="1:2" x14ac:dyDescent="0.2">
      <c r="A3562" s="649" t="s">
        <v>8094</v>
      </c>
      <c r="B3562" s="725" t="s">
        <v>8093</v>
      </c>
    </row>
    <row r="3563" spans="1:2" x14ac:dyDescent="0.2">
      <c r="A3563" s="649" t="s">
        <v>4847</v>
      </c>
      <c r="B3563" s="725" t="s">
        <v>4846</v>
      </c>
    </row>
    <row r="3564" spans="1:2" x14ac:dyDescent="0.2">
      <c r="A3564" s="649" t="s">
        <v>7878</v>
      </c>
      <c r="B3564" s="725" t="s">
        <v>7877</v>
      </c>
    </row>
    <row r="3565" spans="1:2" x14ac:dyDescent="0.2">
      <c r="A3565" s="649" t="s">
        <v>6412</v>
      </c>
      <c r="B3565" s="725" t="s">
        <v>6411</v>
      </c>
    </row>
    <row r="3566" spans="1:2" x14ac:dyDescent="0.2">
      <c r="A3566" s="649" t="s">
        <v>6412</v>
      </c>
      <c r="B3566" s="725" t="s">
        <v>10417</v>
      </c>
    </row>
    <row r="3567" spans="1:2" x14ac:dyDescent="0.2">
      <c r="A3567" s="649" t="s">
        <v>6412</v>
      </c>
      <c r="B3567" s="725" t="s">
        <v>10418</v>
      </c>
    </row>
    <row r="3568" spans="1:2" x14ac:dyDescent="0.2">
      <c r="A3568" s="649" t="s">
        <v>6414</v>
      </c>
      <c r="B3568" s="725" t="s">
        <v>6413</v>
      </c>
    </row>
    <row r="3569" spans="1:2" x14ac:dyDescent="0.2">
      <c r="A3569" s="649" t="s">
        <v>6414</v>
      </c>
      <c r="B3569" s="725" t="s">
        <v>10419</v>
      </c>
    </row>
    <row r="3570" spans="1:2" x14ac:dyDescent="0.2">
      <c r="A3570" s="649" t="s">
        <v>6414</v>
      </c>
      <c r="B3570" s="725" t="s">
        <v>10420</v>
      </c>
    </row>
    <row r="3571" spans="1:2" x14ac:dyDescent="0.2">
      <c r="A3571" s="649" t="s">
        <v>8070</v>
      </c>
      <c r="B3571" s="725" t="s">
        <v>8069</v>
      </c>
    </row>
    <row r="3572" spans="1:2" x14ac:dyDescent="0.2">
      <c r="A3572" s="649" t="s">
        <v>2165</v>
      </c>
      <c r="B3572" s="725" t="s">
        <v>2164</v>
      </c>
    </row>
    <row r="3573" spans="1:2" x14ac:dyDescent="0.2">
      <c r="A3573" s="649" t="s">
        <v>8208</v>
      </c>
      <c r="B3573" s="725" t="s">
        <v>8207</v>
      </c>
    </row>
    <row r="3574" spans="1:2" x14ac:dyDescent="0.2">
      <c r="A3574" s="649" t="s">
        <v>4229</v>
      </c>
      <c r="B3574" s="725" t="s">
        <v>4228</v>
      </c>
    </row>
    <row r="3575" spans="1:2" x14ac:dyDescent="0.2">
      <c r="A3575" s="649" t="s">
        <v>6416</v>
      </c>
      <c r="B3575" s="725" t="s">
        <v>6415</v>
      </c>
    </row>
    <row r="3576" spans="1:2" x14ac:dyDescent="0.2">
      <c r="A3576" s="649" t="s">
        <v>6416</v>
      </c>
      <c r="B3576" s="725" t="s">
        <v>10421</v>
      </c>
    </row>
    <row r="3577" spans="1:2" x14ac:dyDescent="0.2">
      <c r="A3577" s="649" t="s">
        <v>6416</v>
      </c>
      <c r="B3577" s="725" t="s">
        <v>10422</v>
      </c>
    </row>
    <row r="3578" spans="1:2" x14ac:dyDescent="0.2">
      <c r="A3578" s="649" t="s">
        <v>6418</v>
      </c>
      <c r="B3578" s="725" t="s">
        <v>6417</v>
      </c>
    </row>
    <row r="3579" spans="1:2" x14ac:dyDescent="0.2">
      <c r="A3579" s="649" t="s">
        <v>6418</v>
      </c>
      <c r="B3579" s="725" t="s">
        <v>10423</v>
      </c>
    </row>
    <row r="3580" spans="1:2" x14ac:dyDescent="0.2">
      <c r="A3580" s="649" t="s">
        <v>6418</v>
      </c>
      <c r="B3580" s="725" t="s">
        <v>10424</v>
      </c>
    </row>
    <row r="3581" spans="1:2" x14ac:dyDescent="0.2">
      <c r="A3581" s="649" t="s">
        <v>7846</v>
      </c>
      <c r="B3581" s="725" t="s">
        <v>7845</v>
      </c>
    </row>
    <row r="3582" spans="1:2" x14ac:dyDescent="0.2">
      <c r="A3582" s="649" t="s">
        <v>1887</v>
      </c>
      <c r="B3582" s="725" t="s">
        <v>1886</v>
      </c>
    </row>
    <row r="3583" spans="1:2" x14ac:dyDescent="0.2">
      <c r="A3583" s="649" t="s">
        <v>7380</v>
      </c>
      <c r="B3583" s="725" t="s">
        <v>7379</v>
      </c>
    </row>
    <row r="3584" spans="1:2" x14ac:dyDescent="0.2">
      <c r="A3584" s="649" t="s">
        <v>6420</v>
      </c>
      <c r="B3584" s="725" t="s">
        <v>6419</v>
      </c>
    </row>
    <row r="3585" spans="1:2" x14ac:dyDescent="0.2">
      <c r="A3585" s="649" t="s">
        <v>6420</v>
      </c>
      <c r="B3585" s="725" t="s">
        <v>10425</v>
      </c>
    </row>
    <row r="3586" spans="1:2" x14ac:dyDescent="0.2">
      <c r="A3586" s="649" t="s">
        <v>6420</v>
      </c>
      <c r="B3586" s="725" t="s">
        <v>10426</v>
      </c>
    </row>
    <row r="3587" spans="1:2" x14ac:dyDescent="0.2">
      <c r="A3587" s="649" t="s">
        <v>574</v>
      </c>
      <c r="B3587" s="725" t="s">
        <v>573</v>
      </c>
    </row>
    <row r="3588" spans="1:2" x14ac:dyDescent="0.2">
      <c r="A3588" s="649" t="s">
        <v>7976</v>
      </c>
      <c r="B3588" s="725" t="s">
        <v>7975</v>
      </c>
    </row>
    <row r="3589" spans="1:2" x14ac:dyDescent="0.2">
      <c r="A3589" s="649" t="s">
        <v>6472</v>
      </c>
      <c r="B3589" s="725" t="s">
        <v>6471</v>
      </c>
    </row>
    <row r="3590" spans="1:2" x14ac:dyDescent="0.2">
      <c r="A3590" s="649" t="s">
        <v>7630</v>
      </c>
      <c r="B3590" s="725" t="s">
        <v>7629</v>
      </c>
    </row>
    <row r="3591" spans="1:2" x14ac:dyDescent="0.2">
      <c r="A3591" s="649" t="s">
        <v>7118</v>
      </c>
      <c r="B3591" s="725" t="s">
        <v>7117</v>
      </c>
    </row>
    <row r="3592" spans="1:2" x14ac:dyDescent="0.2">
      <c r="A3592" s="649" t="s">
        <v>4315</v>
      </c>
      <c r="B3592" s="725" t="s">
        <v>4314</v>
      </c>
    </row>
    <row r="3593" spans="1:2" x14ac:dyDescent="0.2">
      <c r="A3593" s="649" t="s">
        <v>4317</v>
      </c>
      <c r="B3593" s="725" t="s">
        <v>4316</v>
      </c>
    </row>
    <row r="3594" spans="1:2" x14ac:dyDescent="0.2">
      <c r="A3594" s="649" t="s">
        <v>4693</v>
      </c>
      <c r="B3594" s="725" t="s">
        <v>4692</v>
      </c>
    </row>
    <row r="3595" spans="1:2" x14ac:dyDescent="0.2">
      <c r="A3595" s="649" t="s">
        <v>3503</v>
      </c>
      <c r="B3595" s="725" t="s">
        <v>3502</v>
      </c>
    </row>
    <row r="3596" spans="1:2" x14ac:dyDescent="0.2">
      <c r="A3596" s="649" t="s">
        <v>6944</v>
      </c>
      <c r="B3596" s="725" t="s">
        <v>6943</v>
      </c>
    </row>
    <row r="3597" spans="1:2" x14ac:dyDescent="0.2">
      <c r="A3597" s="649" t="s">
        <v>7788</v>
      </c>
      <c r="B3597" s="725" t="s">
        <v>7787</v>
      </c>
    </row>
    <row r="3598" spans="1:2" x14ac:dyDescent="0.2">
      <c r="A3598" s="649" t="s">
        <v>7552</v>
      </c>
      <c r="B3598" s="725" t="s">
        <v>7551</v>
      </c>
    </row>
    <row r="3599" spans="1:2" x14ac:dyDescent="0.2">
      <c r="A3599" s="649" t="s">
        <v>7962</v>
      </c>
      <c r="B3599" s="725" t="s">
        <v>7961</v>
      </c>
    </row>
    <row r="3600" spans="1:2" x14ac:dyDescent="0.2">
      <c r="A3600" s="649" t="s">
        <v>7944</v>
      </c>
      <c r="B3600" s="725" t="s">
        <v>7943</v>
      </c>
    </row>
    <row r="3601" spans="1:2" x14ac:dyDescent="0.2">
      <c r="A3601" s="649" t="s">
        <v>8304</v>
      </c>
      <c r="B3601" s="725" t="s">
        <v>8303</v>
      </c>
    </row>
    <row r="3602" spans="1:2" x14ac:dyDescent="0.2">
      <c r="A3602" s="649" t="s">
        <v>6560</v>
      </c>
      <c r="B3602" s="725" t="s">
        <v>6559</v>
      </c>
    </row>
    <row r="3603" spans="1:2" x14ac:dyDescent="0.2">
      <c r="A3603" s="649" t="s">
        <v>7300</v>
      </c>
      <c r="B3603" s="725" t="s">
        <v>7299</v>
      </c>
    </row>
    <row r="3604" spans="1:2" x14ac:dyDescent="0.2">
      <c r="A3604" s="649" t="s">
        <v>3369</v>
      </c>
      <c r="B3604" s="725" t="s">
        <v>3368</v>
      </c>
    </row>
    <row r="3605" spans="1:2" x14ac:dyDescent="0.2">
      <c r="A3605" s="649" t="s">
        <v>3535</v>
      </c>
      <c r="B3605" s="725" t="s">
        <v>3534</v>
      </c>
    </row>
    <row r="3606" spans="1:2" x14ac:dyDescent="0.2">
      <c r="A3606" s="649" t="s">
        <v>4737</v>
      </c>
      <c r="B3606" s="725" t="s">
        <v>4736</v>
      </c>
    </row>
    <row r="3607" spans="1:2" x14ac:dyDescent="0.2">
      <c r="A3607" s="649" t="s">
        <v>8210</v>
      </c>
      <c r="B3607" s="725" t="s">
        <v>8209</v>
      </c>
    </row>
    <row r="3608" spans="1:2" x14ac:dyDescent="0.2">
      <c r="A3608" s="649" t="s">
        <v>2287</v>
      </c>
      <c r="B3608" s="725" t="s">
        <v>2286</v>
      </c>
    </row>
    <row r="3609" spans="1:2" x14ac:dyDescent="0.2">
      <c r="A3609" s="649" t="s">
        <v>8006</v>
      </c>
      <c r="B3609" s="725" t="s">
        <v>8005</v>
      </c>
    </row>
    <row r="3610" spans="1:2" x14ac:dyDescent="0.2">
      <c r="A3610" s="649" t="s">
        <v>4035</v>
      </c>
      <c r="B3610" s="725" t="s">
        <v>4034</v>
      </c>
    </row>
    <row r="3611" spans="1:2" x14ac:dyDescent="0.2">
      <c r="A3611" s="649" t="s">
        <v>3877</v>
      </c>
      <c r="B3611" s="725" t="s">
        <v>3876</v>
      </c>
    </row>
    <row r="3612" spans="1:2" x14ac:dyDescent="0.2">
      <c r="A3612" s="649" t="s">
        <v>3879</v>
      </c>
      <c r="B3612" s="725" t="s">
        <v>3878</v>
      </c>
    </row>
    <row r="3613" spans="1:2" x14ac:dyDescent="0.2">
      <c r="A3613" s="649" t="s">
        <v>3881</v>
      </c>
      <c r="B3613" s="725" t="s">
        <v>3880</v>
      </c>
    </row>
    <row r="3614" spans="1:2" ht="28.5" x14ac:dyDescent="0.2">
      <c r="A3614" s="649" t="s">
        <v>3883</v>
      </c>
      <c r="B3614" s="725" t="s">
        <v>3882</v>
      </c>
    </row>
    <row r="3615" spans="1:2" x14ac:dyDescent="0.2">
      <c r="A3615" s="649" t="s">
        <v>3885</v>
      </c>
      <c r="B3615" s="725" t="s">
        <v>3884</v>
      </c>
    </row>
    <row r="3616" spans="1:2" x14ac:dyDescent="0.2">
      <c r="A3616" s="649" t="s">
        <v>8212</v>
      </c>
      <c r="B3616" s="725" t="s">
        <v>8211</v>
      </c>
    </row>
    <row r="3617" spans="1:2" x14ac:dyDescent="0.2">
      <c r="A3617" s="649" t="s">
        <v>6488</v>
      </c>
      <c r="B3617" s="725" t="s">
        <v>6487</v>
      </c>
    </row>
    <row r="3618" spans="1:2" x14ac:dyDescent="0.2">
      <c r="A3618" s="649" t="s">
        <v>5535</v>
      </c>
      <c r="B3618" s="725" t="s">
        <v>5534</v>
      </c>
    </row>
    <row r="3619" spans="1:2" x14ac:dyDescent="0.2">
      <c r="A3619" s="649" t="s">
        <v>5057</v>
      </c>
      <c r="B3619" s="725" t="s">
        <v>5056</v>
      </c>
    </row>
    <row r="3620" spans="1:2" x14ac:dyDescent="0.2">
      <c r="A3620" s="649" t="s">
        <v>8214</v>
      </c>
      <c r="B3620" s="725" t="s">
        <v>8213</v>
      </c>
    </row>
    <row r="3621" spans="1:2" x14ac:dyDescent="0.2">
      <c r="A3621" s="649" t="s">
        <v>6176</v>
      </c>
      <c r="B3621" s="725" t="s">
        <v>6175</v>
      </c>
    </row>
    <row r="3622" spans="1:2" x14ac:dyDescent="0.2">
      <c r="A3622" s="649" t="s">
        <v>6946</v>
      </c>
      <c r="B3622" s="725" t="s">
        <v>6945</v>
      </c>
    </row>
    <row r="3623" spans="1:2" x14ac:dyDescent="0.2">
      <c r="A3623" s="649" t="s">
        <v>2623</v>
      </c>
      <c r="B3623" s="725" t="s">
        <v>2622</v>
      </c>
    </row>
    <row r="3624" spans="1:2" x14ac:dyDescent="0.2">
      <c r="A3624" s="649" t="s">
        <v>305</v>
      </c>
      <c r="B3624" s="725" t="s">
        <v>304</v>
      </c>
    </row>
    <row r="3625" spans="1:2" x14ac:dyDescent="0.2">
      <c r="A3625" s="649" t="s">
        <v>2325</v>
      </c>
      <c r="B3625" s="725" t="s">
        <v>2324</v>
      </c>
    </row>
    <row r="3626" spans="1:2" x14ac:dyDescent="0.2">
      <c r="A3626" s="649" t="s">
        <v>5383</v>
      </c>
      <c r="B3626" s="725" t="s">
        <v>5382</v>
      </c>
    </row>
    <row r="3627" spans="1:2" x14ac:dyDescent="0.2">
      <c r="A3627" s="649" t="s">
        <v>5101</v>
      </c>
      <c r="B3627" s="725" t="s">
        <v>5100</v>
      </c>
    </row>
    <row r="3628" spans="1:2" x14ac:dyDescent="0.2">
      <c r="A3628" s="649" t="s">
        <v>2167</v>
      </c>
      <c r="B3628" s="725" t="s">
        <v>2166</v>
      </c>
    </row>
    <row r="3629" spans="1:2" x14ac:dyDescent="0.2">
      <c r="A3629" s="649" t="s">
        <v>1490</v>
      </c>
      <c r="B3629" s="725" t="s">
        <v>1489</v>
      </c>
    </row>
    <row r="3630" spans="1:2" x14ac:dyDescent="0.2">
      <c r="A3630" s="649" t="s">
        <v>7396</v>
      </c>
      <c r="B3630" s="725" t="s">
        <v>7395</v>
      </c>
    </row>
    <row r="3631" spans="1:2" x14ac:dyDescent="0.2">
      <c r="A3631" s="649" t="s">
        <v>1580</v>
      </c>
      <c r="B3631" s="725" t="s">
        <v>1579</v>
      </c>
    </row>
    <row r="3632" spans="1:2" x14ac:dyDescent="0.2">
      <c r="A3632" s="649" t="s">
        <v>4427</v>
      </c>
      <c r="B3632" s="725" t="s">
        <v>4426</v>
      </c>
    </row>
    <row r="3633" spans="1:2" x14ac:dyDescent="0.2">
      <c r="A3633" s="649" t="s">
        <v>7038</v>
      </c>
      <c r="B3633" s="725" t="s">
        <v>7037</v>
      </c>
    </row>
    <row r="3634" spans="1:2" x14ac:dyDescent="0.2">
      <c r="A3634" s="649" t="s">
        <v>7120</v>
      </c>
      <c r="B3634" s="725" t="s">
        <v>7119</v>
      </c>
    </row>
    <row r="3635" spans="1:2" x14ac:dyDescent="0.2">
      <c r="A3635" s="649" t="s">
        <v>5331</v>
      </c>
      <c r="B3635" s="725" t="s">
        <v>5330</v>
      </c>
    </row>
    <row r="3636" spans="1:2" x14ac:dyDescent="0.2">
      <c r="A3636" s="649" t="s">
        <v>1480</v>
      </c>
      <c r="B3636" s="725" t="s">
        <v>1479</v>
      </c>
    </row>
    <row r="3637" spans="1:2" x14ac:dyDescent="0.2">
      <c r="A3637" s="649" t="s">
        <v>411</v>
      </c>
      <c r="B3637" s="725" t="s">
        <v>410</v>
      </c>
    </row>
    <row r="3638" spans="1:2" x14ac:dyDescent="0.2">
      <c r="A3638" s="649" t="s">
        <v>7880</v>
      </c>
      <c r="B3638" s="725" t="s">
        <v>7879</v>
      </c>
    </row>
    <row r="3639" spans="1:2" x14ac:dyDescent="0.2">
      <c r="A3639" s="649" t="s">
        <v>7122</v>
      </c>
      <c r="B3639" s="725" t="s">
        <v>7121</v>
      </c>
    </row>
    <row r="3640" spans="1:2" x14ac:dyDescent="0.2">
      <c r="A3640" s="649" t="s">
        <v>5197</v>
      </c>
      <c r="B3640" s="725" t="s">
        <v>5196</v>
      </c>
    </row>
    <row r="3641" spans="1:2" x14ac:dyDescent="0.2">
      <c r="A3641" s="649" t="s">
        <v>4829</v>
      </c>
      <c r="B3641" s="725" t="s">
        <v>4828</v>
      </c>
    </row>
    <row r="3642" spans="1:2" x14ac:dyDescent="0.2">
      <c r="A3642" s="649" t="s">
        <v>4429</v>
      </c>
      <c r="B3642" s="725" t="s">
        <v>4428</v>
      </c>
    </row>
    <row r="3643" spans="1:2" x14ac:dyDescent="0.2">
      <c r="A3643" s="649" t="s">
        <v>1170</v>
      </c>
      <c r="B3643" s="725" t="s">
        <v>1169</v>
      </c>
    </row>
    <row r="3644" spans="1:2" x14ac:dyDescent="0.2">
      <c r="A3644" s="649" t="s">
        <v>4097</v>
      </c>
      <c r="B3644" s="725" t="s">
        <v>4096</v>
      </c>
    </row>
    <row r="3645" spans="1:2" x14ac:dyDescent="0.2">
      <c r="A3645" s="649" t="s">
        <v>4117</v>
      </c>
      <c r="B3645" s="725" t="s">
        <v>4116</v>
      </c>
    </row>
    <row r="3646" spans="1:2" x14ac:dyDescent="0.2">
      <c r="A3646" s="649" t="s">
        <v>7218</v>
      </c>
      <c r="B3646" s="725" t="s">
        <v>7217</v>
      </c>
    </row>
    <row r="3647" spans="1:2" x14ac:dyDescent="0.2">
      <c r="A3647" s="649" t="s">
        <v>8026</v>
      </c>
      <c r="B3647" s="725" t="s">
        <v>8025</v>
      </c>
    </row>
    <row r="3648" spans="1:2" x14ac:dyDescent="0.2">
      <c r="A3648" s="649" t="s">
        <v>2625</v>
      </c>
      <c r="B3648" s="725" t="s">
        <v>2624</v>
      </c>
    </row>
    <row r="3649" spans="1:2" x14ac:dyDescent="0.2">
      <c r="A3649" s="649" t="s">
        <v>8284</v>
      </c>
      <c r="B3649" s="725" t="s">
        <v>8283</v>
      </c>
    </row>
    <row r="3650" spans="1:2" x14ac:dyDescent="0.2">
      <c r="A3650" s="649" t="s">
        <v>4991</v>
      </c>
      <c r="B3650" s="725" t="s">
        <v>4990</v>
      </c>
    </row>
    <row r="3651" spans="1:2" x14ac:dyDescent="0.2">
      <c r="A3651" s="649" t="s">
        <v>4831</v>
      </c>
      <c r="B3651" s="725" t="s">
        <v>4830</v>
      </c>
    </row>
    <row r="3652" spans="1:2" x14ac:dyDescent="0.2">
      <c r="A3652" s="649" t="s">
        <v>6656</v>
      </c>
      <c r="B3652" s="725" t="s">
        <v>6655</v>
      </c>
    </row>
    <row r="3653" spans="1:2" x14ac:dyDescent="0.2">
      <c r="A3653" s="649" t="s">
        <v>7554</v>
      </c>
      <c r="B3653" s="725" t="s">
        <v>7553</v>
      </c>
    </row>
    <row r="3654" spans="1:2" x14ac:dyDescent="0.2">
      <c r="A3654" s="649" t="s">
        <v>4993</v>
      </c>
      <c r="B3654" s="725" t="s">
        <v>4992</v>
      </c>
    </row>
    <row r="3655" spans="1:2" x14ac:dyDescent="0.2">
      <c r="A3655" s="649" t="s">
        <v>4695</v>
      </c>
      <c r="B3655" s="725" t="s">
        <v>4694</v>
      </c>
    </row>
    <row r="3656" spans="1:2" x14ac:dyDescent="0.2">
      <c r="A3656" s="649" t="s">
        <v>626</v>
      </c>
      <c r="B3656" s="725" t="s">
        <v>625</v>
      </c>
    </row>
    <row r="3657" spans="1:2" x14ac:dyDescent="0.2">
      <c r="A3657" s="649" t="s">
        <v>10427</v>
      </c>
      <c r="B3657" s="725" t="s">
        <v>10428</v>
      </c>
    </row>
    <row r="3658" spans="1:2" x14ac:dyDescent="0.2">
      <c r="A3658" s="649" t="s">
        <v>8072</v>
      </c>
      <c r="B3658" s="725" t="s">
        <v>8071</v>
      </c>
    </row>
    <row r="3659" spans="1:2" x14ac:dyDescent="0.2">
      <c r="A3659" s="649" t="s">
        <v>7302</v>
      </c>
      <c r="B3659" s="725" t="s">
        <v>7301</v>
      </c>
    </row>
    <row r="3660" spans="1:2" x14ac:dyDescent="0.2">
      <c r="A3660" s="649" t="s">
        <v>1414</v>
      </c>
      <c r="B3660" s="725" t="s">
        <v>1413</v>
      </c>
    </row>
    <row r="3661" spans="1:2" x14ac:dyDescent="0.2">
      <c r="A3661" s="649" t="s">
        <v>7632</v>
      </c>
      <c r="B3661" s="725" t="s">
        <v>7631</v>
      </c>
    </row>
    <row r="3662" spans="1:2" x14ac:dyDescent="0.2">
      <c r="A3662" s="649" t="s">
        <v>1889</v>
      </c>
      <c r="B3662" s="725" t="s">
        <v>1888</v>
      </c>
    </row>
    <row r="3663" spans="1:2" x14ac:dyDescent="0.2">
      <c r="A3663" s="649" t="s">
        <v>8028</v>
      </c>
      <c r="B3663" s="725" t="s">
        <v>8027</v>
      </c>
    </row>
    <row r="3664" spans="1:2" x14ac:dyDescent="0.2">
      <c r="A3664" s="649" t="s">
        <v>3521</v>
      </c>
      <c r="B3664" s="725" t="s">
        <v>3520</v>
      </c>
    </row>
    <row r="3665" spans="1:2" x14ac:dyDescent="0.2">
      <c r="A3665" s="649" t="s">
        <v>4785</v>
      </c>
      <c r="B3665" s="725" t="s">
        <v>4784</v>
      </c>
    </row>
    <row r="3666" spans="1:2" x14ac:dyDescent="0.2">
      <c r="A3666" s="649" t="s">
        <v>4787</v>
      </c>
      <c r="B3666" s="725" t="s">
        <v>4786</v>
      </c>
    </row>
    <row r="3667" spans="1:2" x14ac:dyDescent="0.2">
      <c r="A3667" s="649" t="s">
        <v>7666</v>
      </c>
      <c r="B3667" s="725" t="s">
        <v>7665</v>
      </c>
    </row>
    <row r="3668" spans="1:2" x14ac:dyDescent="0.2">
      <c r="A3668" s="649" t="s">
        <v>6562</v>
      </c>
      <c r="B3668" s="725" t="s">
        <v>6561</v>
      </c>
    </row>
    <row r="3669" spans="1:2" x14ac:dyDescent="0.2">
      <c r="A3669" s="649" t="s">
        <v>6178</v>
      </c>
      <c r="B3669" s="725" t="s">
        <v>6177</v>
      </c>
    </row>
    <row r="3670" spans="1:2" x14ac:dyDescent="0.2">
      <c r="A3670" s="649" t="s">
        <v>3593</v>
      </c>
      <c r="B3670" s="725" t="s">
        <v>3592</v>
      </c>
    </row>
    <row r="3671" spans="1:2" x14ac:dyDescent="0.2">
      <c r="A3671" s="649" t="s">
        <v>5037</v>
      </c>
      <c r="B3671" s="725" t="s">
        <v>5036</v>
      </c>
    </row>
    <row r="3672" spans="1:2" x14ac:dyDescent="0.2">
      <c r="A3672" s="649" t="s">
        <v>7790</v>
      </c>
      <c r="B3672" s="725" t="s">
        <v>7789</v>
      </c>
    </row>
    <row r="3673" spans="1:2" x14ac:dyDescent="0.2">
      <c r="A3673" s="649" t="s">
        <v>5297</v>
      </c>
      <c r="B3673" s="725" t="s">
        <v>5296</v>
      </c>
    </row>
    <row r="3674" spans="1:2" x14ac:dyDescent="0.2">
      <c r="A3674" s="649" t="s">
        <v>7340</v>
      </c>
      <c r="B3674" s="725" t="s">
        <v>7339</v>
      </c>
    </row>
    <row r="3675" spans="1:2" x14ac:dyDescent="0.2">
      <c r="A3675" s="649" t="s">
        <v>8296</v>
      </c>
      <c r="B3675" s="725" t="s">
        <v>8295</v>
      </c>
    </row>
    <row r="3676" spans="1:2" x14ac:dyDescent="0.2">
      <c r="A3676" s="649" t="s">
        <v>6948</v>
      </c>
      <c r="B3676" s="725" t="s">
        <v>6947</v>
      </c>
    </row>
    <row r="3677" spans="1:2" x14ac:dyDescent="0.2">
      <c r="A3677" s="649" t="s">
        <v>1735</v>
      </c>
      <c r="B3677" s="725" t="s">
        <v>1734</v>
      </c>
    </row>
    <row r="3678" spans="1:2" x14ac:dyDescent="0.2">
      <c r="A3678" s="649" t="s">
        <v>6950</v>
      </c>
      <c r="B3678" s="725" t="s">
        <v>6949</v>
      </c>
    </row>
    <row r="3679" spans="1:2" x14ac:dyDescent="0.2">
      <c r="A3679" s="649" t="s">
        <v>3371</v>
      </c>
      <c r="B3679" s="725" t="s">
        <v>3370</v>
      </c>
    </row>
    <row r="3680" spans="1:2" x14ac:dyDescent="0.2">
      <c r="A3680" s="649" t="s">
        <v>2627</v>
      </c>
      <c r="B3680" s="725" t="s">
        <v>2626</v>
      </c>
    </row>
    <row r="3681" spans="1:2" x14ac:dyDescent="0.2">
      <c r="A3681" s="649" t="s">
        <v>10429</v>
      </c>
      <c r="B3681" s="725" t="s">
        <v>10430</v>
      </c>
    </row>
    <row r="3682" spans="1:2" x14ac:dyDescent="0.2">
      <c r="A3682" s="649" t="s">
        <v>10431</v>
      </c>
      <c r="B3682" s="725" t="s">
        <v>10432</v>
      </c>
    </row>
    <row r="3683" spans="1:2" x14ac:dyDescent="0.2">
      <c r="A3683" s="649" t="s">
        <v>10433</v>
      </c>
      <c r="B3683" s="725" t="s">
        <v>10434</v>
      </c>
    </row>
    <row r="3684" spans="1:2" x14ac:dyDescent="0.2">
      <c r="A3684" s="649" t="s">
        <v>2629</v>
      </c>
      <c r="B3684" s="725" t="s">
        <v>2628</v>
      </c>
    </row>
    <row r="3685" spans="1:2" x14ac:dyDescent="0.2">
      <c r="A3685" s="649" t="s">
        <v>10435</v>
      </c>
      <c r="B3685" s="725" t="s">
        <v>10436</v>
      </c>
    </row>
    <row r="3686" spans="1:2" x14ac:dyDescent="0.2">
      <c r="A3686" s="649" t="s">
        <v>10437</v>
      </c>
      <c r="B3686" s="725" t="s">
        <v>10438</v>
      </c>
    </row>
    <row r="3687" spans="1:2" x14ac:dyDescent="0.2">
      <c r="A3687" s="649" t="s">
        <v>10439</v>
      </c>
      <c r="B3687" s="725" t="s">
        <v>10440</v>
      </c>
    </row>
    <row r="3688" spans="1:2" x14ac:dyDescent="0.2">
      <c r="A3688" s="649" t="s">
        <v>10441</v>
      </c>
      <c r="B3688" s="725" t="s">
        <v>10442</v>
      </c>
    </row>
    <row r="3689" spans="1:2" x14ac:dyDescent="0.2">
      <c r="A3689" s="649" t="s">
        <v>2631</v>
      </c>
      <c r="B3689" s="725" t="s">
        <v>2630</v>
      </c>
    </row>
    <row r="3690" spans="1:2" x14ac:dyDescent="0.2">
      <c r="A3690" s="649" t="s">
        <v>10443</v>
      </c>
      <c r="B3690" s="725" t="s">
        <v>10444</v>
      </c>
    </row>
    <row r="3691" spans="1:2" x14ac:dyDescent="0.2">
      <c r="A3691" s="649" t="s">
        <v>10445</v>
      </c>
      <c r="B3691" s="725" t="s">
        <v>10446</v>
      </c>
    </row>
    <row r="3692" spans="1:2" x14ac:dyDescent="0.2">
      <c r="A3692" s="649" t="s">
        <v>10447</v>
      </c>
      <c r="B3692" s="725" t="s">
        <v>10448</v>
      </c>
    </row>
    <row r="3693" spans="1:2" x14ac:dyDescent="0.2">
      <c r="A3693" s="649" t="s">
        <v>8216</v>
      </c>
      <c r="B3693" s="725" t="s">
        <v>8215</v>
      </c>
    </row>
    <row r="3694" spans="1:2" x14ac:dyDescent="0.2">
      <c r="A3694" s="649" t="s">
        <v>3373</v>
      </c>
      <c r="B3694" s="725" t="s">
        <v>3372</v>
      </c>
    </row>
    <row r="3695" spans="1:2" x14ac:dyDescent="0.2">
      <c r="A3695" s="649" t="s">
        <v>3375</v>
      </c>
      <c r="B3695" s="725" t="s">
        <v>3374</v>
      </c>
    </row>
    <row r="3696" spans="1:2" x14ac:dyDescent="0.2">
      <c r="A3696" s="649" t="s">
        <v>1172</v>
      </c>
      <c r="B3696" s="725" t="s">
        <v>1171</v>
      </c>
    </row>
    <row r="3697" spans="1:2" x14ac:dyDescent="0.2">
      <c r="A3697" s="649" t="s">
        <v>10449</v>
      </c>
      <c r="B3697" s="725" t="s">
        <v>10450</v>
      </c>
    </row>
    <row r="3698" spans="1:2" x14ac:dyDescent="0.2">
      <c r="A3698" s="649" t="s">
        <v>2633</v>
      </c>
      <c r="B3698" s="725" t="s">
        <v>2632</v>
      </c>
    </row>
    <row r="3699" spans="1:2" x14ac:dyDescent="0.2">
      <c r="A3699" s="649" t="s">
        <v>3377</v>
      </c>
      <c r="B3699" s="725" t="s">
        <v>3376</v>
      </c>
    </row>
    <row r="3700" spans="1:2" x14ac:dyDescent="0.2">
      <c r="A3700" s="649" t="s">
        <v>6952</v>
      </c>
      <c r="B3700" s="725" t="s">
        <v>6951</v>
      </c>
    </row>
    <row r="3701" spans="1:2" x14ac:dyDescent="0.2">
      <c r="A3701" s="649" t="s">
        <v>3599</v>
      </c>
      <c r="B3701" s="725" t="s">
        <v>3598</v>
      </c>
    </row>
    <row r="3702" spans="1:2" x14ac:dyDescent="0.2">
      <c r="A3702" s="649" t="s">
        <v>10451</v>
      </c>
      <c r="B3702" s="725" t="s">
        <v>10452</v>
      </c>
    </row>
    <row r="3703" spans="1:2" x14ac:dyDescent="0.2">
      <c r="A3703" s="649" t="s">
        <v>1206</v>
      </c>
      <c r="B3703" s="725" t="s">
        <v>1205</v>
      </c>
    </row>
    <row r="3704" spans="1:2" x14ac:dyDescent="0.2">
      <c r="A3704" s="649" t="s">
        <v>2337</v>
      </c>
      <c r="B3704" s="725" t="s">
        <v>2336</v>
      </c>
    </row>
    <row r="3705" spans="1:2" x14ac:dyDescent="0.2">
      <c r="A3705" s="649" t="s">
        <v>10453</v>
      </c>
      <c r="B3705" s="725" t="s">
        <v>10454</v>
      </c>
    </row>
    <row r="3706" spans="1:2" x14ac:dyDescent="0.2">
      <c r="A3706" s="649" t="s">
        <v>10455</v>
      </c>
      <c r="B3706" s="725" t="s">
        <v>10456</v>
      </c>
    </row>
    <row r="3707" spans="1:2" x14ac:dyDescent="0.2">
      <c r="A3707" s="649" t="s">
        <v>10457</v>
      </c>
      <c r="B3707" s="725" t="s">
        <v>10458</v>
      </c>
    </row>
    <row r="3708" spans="1:2" x14ac:dyDescent="0.2">
      <c r="A3708" s="649" t="s">
        <v>2635</v>
      </c>
      <c r="B3708" s="725" t="s">
        <v>2634</v>
      </c>
    </row>
    <row r="3709" spans="1:2" x14ac:dyDescent="0.2">
      <c r="A3709" s="649" t="s">
        <v>3379</v>
      </c>
      <c r="B3709" s="725" t="s">
        <v>3378</v>
      </c>
    </row>
    <row r="3710" spans="1:2" x14ac:dyDescent="0.2">
      <c r="A3710" s="649" t="s">
        <v>2637</v>
      </c>
      <c r="B3710" s="725" t="s">
        <v>2636</v>
      </c>
    </row>
    <row r="3711" spans="1:2" x14ac:dyDescent="0.2">
      <c r="A3711" s="649" t="s">
        <v>10459</v>
      </c>
      <c r="B3711" s="725" t="s">
        <v>10460</v>
      </c>
    </row>
    <row r="3712" spans="1:2" x14ac:dyDescent="0.2">
      <c r="A3712" s="649" t="s">
        <v>10461</v>
      </c>
      <c r="B3712" s="725" t="s">
        <v>10462</v>
      </c>
    </row>
    <row r="3713" spans="1:2" x14ac:dyDescent="0.2">
      <c r="A3713" s="649" t="s">
        <v>3381</v>
      </c>
      <c r="B3713" s="725" t="s">
        <v>3380</v>
      </c>
    </row>
    <row r="3714" spans="1:2" x14ac:dyDescent="0.2">
      <c r="A3714" s="649" t="s">
        <v>3383</v>
      </c>
      <c r="B3714" s="725" t="s">
        <v>3382</v>
      </c>
    </row>
    <row r="3715" spans="1:2" x14ac:dyDescent="0.2">
      <c r="A3715" s="649" t="s">
        <v>2639</v>
      </c>
      <c r="B3715" s="725" t="s">
        <v>2638</v>
      </c>
    </row>
    <row r="3716" spans="1:2" x14ac:dyDescent="0.2">
      <c r="A3716" s="649" t="s">
        <v>6658</v>
      </c>
      <c r="B3716" s="725" t="s">
        <v>6657</v>
      </c>
    </row>
    <row r="3717" spans="1:2" x14ac:dyDescent="0.2">
      <c r="A3717" s="649" t="s">
        <v>10463</v>
      </c>
      <c r="B3717" s="725" t="s">
        <v>10464</v>
      </c>
    </row>
    <row r="3718" spans="1:2" x14ac:dyDescent="0.2">
      <c r="A3718" s="649" t="s">
        <v>7792</v>
      </c>
      <c r="B3718" s="725" t="s">
        <v>7791</v>
      </c>
    </row>
    <row r="3719" spans="1:2" x14ac:dyDescent="0.2">
      <c r="A3719" s="649" t="s">
        <v>7946</v>
      </c>
      <c r="B3719" s="725" t="s">
        <v>7945</v>
      </c>
    </row>
    <row r="3720" spans="1:2" x14ac:dyDescent="0.2">
      <c r="A3720" s="649" t="s">
        <v>10465</v>
      </c>
      <c r="B3720" s="725" t="s">
        <v>10466</v>
      </c>
    </row>
    <row r="3721" spans="1:2" x14ac:dyDescent="0.2">
      <c r="A3721" s="649" t="s">
        <v>2641</v>
      </c>
      <c r="B3721" s="725" t="s">
        <v>2640</v>
      </c>
    </row>
    <row r="3722" spans="1:2" x14ac:dyDescent="0.2">
      <c r="A3722" s="649" t="s">
        <v>10467</v>
      </c>
      <c r="B3722" s="725" t="s">
        <v>10468</v>
      </c>
    </row>
    <row r="3723" spans="1:2" x14ac:dyDescent="0.2">
      <c r="A3723" s="649" t="s">
        <v>10469</v>
      </c>
      <c r="B3723" s="725" t="s">
        <v>10470</v>
      </c>
    </row>
    <row r="3724" spans="1:2" x14ac:dyDescent="0.2">
      <c r="A3724" s="649" t="s">
        <v>956</v>
      </c>
      <c r="B3724" s="725" t="s">
        <v>955</v>
      </c>
    </row>
    <row r="3725" spans="1:2" x14ac:dyDescent="0.2">
      <c r="A3725" s="649" t="s">
        <v>1891</v>
      </c>
      <c r="B3725" s="725" t="s">
        <v>1890</v>
      </c>
    </row>
    <row r="3726" spans="1:2" x14ac:dyDescent="0.2">
      <c r="A3726" s="649" t="s">
        <v>1893</v>
      </c>
      <c r="B3726" s="725" t="s">
        <v>1892</v>
      </c>
    </row>
    <row r="3727" spans="1:2" x14ac:dyDescent="0.2">
      <c r="A3727" s="649" t="s">
        <v>1174</v>
      </c>
      <c r="B3727" s="725" t="s">
        <v>1173</v>
      </c>
    </row>
    <row r="3728" spans="1:2" x14ac:dyDescent="0.2">
      <c r="A3728" s="649" t="s">
        <v>5471</v>
      </c>
      <c r="B3728" s="725" t="s">
        <v>5470</v>
      </c>
    </row>
    <row r="3729" spans="1:2" x14ac:dyDescent="0.2">
      <c r="A3729" s="649" t="s">
        <v>5119</v>
      </c>
      <c r="B3729" s="725" t="s">
        <v>5118</v>
      </c>
    </row>
    <row r="3730" spans="1:2" x14ac:dyDescent="0.2">
      <c r="A3730" s="649" t="s">
        <v>3385</v>
      </c>
      <c r="B3730" s="725" t="s">
        <v>3384</v>
      </c>
    </row>
    <row r="3731" spans="1:2" x14ac:dyDescent="0.2">
      <c r="A3731" s="649" t="s">
        <v>3387</v>
      </c>
      <c r="B3731" s="725" t="s">
        <v>3386</v>
      </c>
    </row>
    <row r="3732" spans="1:2" x14ac:dyDescent="0.2">
      <c r="A3732" s="649" t="s">
        <v>6180</v>
      </c>
      <c r="B3732" s="725" t="s">
        <v>6179</v>
      </c>
    </row>
    <row r="3733" spans="1:2" x14ac:dyDescent="0.2">
      <c r="A3733" s="649" t="s">
        <v>3699</v>
      </c>
      <c r="B3733" s="725" t="s">
        <v>3698</v>
      </c>
    </row>
    <row r="3734" spans="1:2" x14ac:dyDescent="0.2">
      <c r="A3734" s="649" t="s">
        <v>5121</v>
      </c>
      <c r="B3734" s="725" t="s">
        <v>5120</v>
      </c>
    </row>
    <row r="3735" spans="1:2" x14ac:dyDescent="0.2">
      <c r="A3735" s="649" t="s">
        <v>3389</v>
      </c>
      <c r="B3735" s="725" t="s">
        <v>3388</v>
      </c>
    </row>
    <row r="3736" spans="1:2" x14ac:dyDescent="0.2">
      <c r="A3736" s="649" t="s">
        <v>4037</v>
      </c>
      <c r="B3736" s="725" t="s">
        <v>4036</v>
      </c>
    </row>
    <row r="3737" spans="1:2" x14ac:dyDescent="0.2">
      <c r="A3737" s="649" t="s">
        <v>6182</v>
      </c>
      <c r="B3737" s="725" t="s">
        <v>6181</v>
      </c>
    </row>
    <row r="3738" spans="1:2" x14ac:dyDescent="0.2">
      <c r="A3738" s="649" t="s">
        <v>3391</v>
      </c>
      <c r="B3738" s="725" t="s">
        <v>3390</v>
      </c>
    </row>
    <row r="3739" spans="1:2" x14ac:dyDescent="0.2">
      <c r="A3739" s="649" t="s">
        <v>7556</v>
      </c>
      <c r="B3739" s="725" t="s">
        <v>7555</v>
      </c>
    </row>
    <row r="3740" spans="1:2" x14ac:dyDescent="0.2">
      <c r="A3740" s="649" t="s">
        <v>1176</v>
      </c>
      <c r="B3740" s="725" t="s">
        <v>1175</v>
      </c>
    </row>
    <row r="3741" spans="1:2" x14ac:dyDescent="0.2">
      <c r="A3741" s="649" t="s">
        <v>4745</v>
      </c>
      <c r="B3741" s="725" t="s">
        <v>4744</v>
      </c>
    </row>
    <row r="3742" spans="1:2" x14ac:dyDescent="0.2">
      <c r="A3742" s="649" t="s">
        <v>1773</v>
      </c>
      <c r="B3742" s="725" t="s">
        <v>1772</v>
      </c>
    </row>
    <row r="3743" spans="1:2" x14ac:dyDescent="0.2">
      <c r="A3743" s="649" t="s">
        <v>4231</v>
      </c>
      <c r="B3743" s="725" t="s">
        <v>4230</v>
      </c>
    </row>
    <row r="3744" spans="1:2" x14ac:dyDescent="0.2">
      <c r="A3744" s="649" t="s">
        <v>2339</v>
      </c>
      <c r="B3744" s="725" t="s">
        <v>2338</v>
      </c>
    </row>
    <row r="3745" spans="1:2" x14ac:dyDescent="0.2">
      <c r="A3745" s="649" t="s">
        <v>4697</v>
      </c>
      <c r="B3745" s="725" t="s">
        <v>4696</v>
      </c>
    </row>
    <row r="3746" spans="1:2" x14ac:dyDescent="0.2">
      <c r="A3746" s="649" t="s">
        <v>1815</v>
      </c>
      <c r="B3746" s="725" t="s">
        <v>1814</v>
      </c>
    </row>
    <row r="3747" spans="1:2" x14ac:dyDescent="0.2">
      <c r="A3747" s="649" t="s">
        <v>8218</v>
      </c>
      <c r="B3747" s="725" t="s">
        <v>8217</v>
      </c>
    </row>
    <row r="3748" spans="1:2" x14ac:dyDescent="0.2">
      <c r="A3748" s="649" t="s">
        <v>6184</v>
      </c>
      <c r="B3748" s="725" t="s">
        <v>6183</v>
      </c>
    </row>
    <row r="3749" spans="1:2" x14ac:dyDescent="0.2">
      <c r="A3749" s="649" t="s">
        <v>343</v>
      </c>
      <c r="B3749" s="725" t="s">
        <v>342</v>
      </c>
    </row>
    <row r="3750" spans="1:2" x14ac:dyDescent="0.2">
      <c r="A3750" s="649" t="s">
        <v>5245</v>
      </c>
      <c r="B3750" s="725" t="s">
        <v>5244</v>
      </c>
    </row>
    <row r="3751" spans="1:2" x14ac:dyDescent="0.2">
      <c r="A3751" s="649" t="s">
        <v>7124</v>
      </c>
      <c r="B3751" s="725" t="s">
        <v>7123</v>
      </c>
    </row>
    <row r="3752" spans="1:2" x14ac:dyDescent="0.2">
      <c r="A3752" s="649" t="s">
        <v>3567</v>
      </c>
      <c r="B3752" s="725" t="s">
        <v>3566</v>
      </c>
    </row>
    <row r="3753" spans="1:2" x14ac:dyDescent="0.2">
      <c r="A3753" s="649" t="s">
        <v>4039</v>
      </c>
      <c r="B3753" s="725" t="s">
        <v>4038</v>
      </c>
    </row>
    <row r="3754" spans="1:2" x14ac:dyDescent="0.2">
      <c r="A3754" s="649" t="s">
        <v>6354</v>
      </c>
      <c r="B3754" s="725" t="s">
        <v>6353</v>
      </c>
    </row>
    <row r="3755" spans="1:2" x14ac:dyDescent="0.2">
      <c r="A3755" s="649" t="s">
        <v>5333</v>
      </c>
      <c r="B3755" s="725" t="s">
        <v>5332</v>
      </c>
    </row>
    <row r="3756" spans="1:2" x14ac:dyDescent="0.2">
      <c r="A3756" s="649" t="s">
        <v>2643</v>
      </c>
      <c r="B3756" s="725" t="s">
        <v>2642</v>
      </c>
    </row>
    <row r="3757" spans="1:2" x14ac:dyDescent="0.2">
      <c r="A3757" s="649" t="s">
        <v>754</v>
      </c>
      <c r="B3757" s="725" t="s">
        <v>753</v>
      </c>
    </row>
    <row r="3758" spans="1:2" x14ac:dyDescent="0.2">
      <c r="A3758" s="649" t="s">
        <v>8220</v>
      </c>
      <c r="B3758" s="725" t="s">
        <v>8219</v>
      </c>
    </row>
    <row r="3759" spans="1:2" x14ac:dyDescent="0.2">
      <c r="A3759" s="649" t="s">
        <v>5473</v>
      </c>
      <c r="B3759" s="725" t="s">
        <v>5472</v>
      </c>
    </row>
    <row r="3760" spans="1:2" x14ac:dyDescent="0.2">
      <c r="A3760" s="649" t="s">
        <v>1178</v>
      </c>
      <c r="B3760" s="725" t="s">
        <v>1177</v>
      </c>
    </row>
    <row r="3761" spans="1:2" x14ac:dyDescent="0.2">
      <c r="A3761" s="649" t="s">
        <v>1895</v>
      </c>
      <c r="B3761" s="725" t="s">
        <v>1894</v>
      </c>
    </row>
    <row r="3762" spans="1:2" x14ac:dyDescent="0.2">
      <c r="A3762" s="649" t="s">
        <v>6564</v>
      </c>
      <c r="B3762" s="725" t="s">
        <v>6563</v>
      </c>
    </row>
    <row r="3763" spans="1:2" x14ac:dyDescent="0.2">
      <c r="A3763" s="649" t="s">
        <v>4995</v>
      </c>
      <c r="B3763" s="725" t="s">
        <v>4994</v>
      </c>
    </row>
    <row r="3764" spans="1:2" x14ac:dyDescent="0.2">
      <c r="A3764" s="649" t="s">
        <v>2289</v>
      </c>
      <c r="B3764" s="725" t="s">
        <v>2288</v>
      </c>
    </row>
    <row r="3765" spans="1:2" x14ac:dyDescent="0.2">
      <c r="A3765" s="649" t="s">
        <v>2047</v>
      </c>
      <c r="B3765" s="725" t="s">
        <v>2046</v>
      </c>
    </row>
    <row r="3766" spans="1:2" x14ac:dyDescent="0.2">
      <c r="A3766" s="649" t="s">
        <v>8222</v>
      </c>
      <c r="B3766" s="725" t="s">
        <v>8221</v>
      </c>
    </row>
    <row r="3767" spans="1:2" x14ac:dyDescent="0.2">
      <c r="A3767" s="649" t="s">
        <v>6186</v>
      </c>
      <c r="B3767" s="725" t="s">
        <v>6185</v>
      </c>
    </row>
    <row r="3768" spans="1:2" x14ac:dyDescent="0.2">
      <c r="A3768" s="649" t="s">
        <v>3505</v>
      </c>
      <c r="B3768" s="725" t="s">
        <v>3504</v>
      </c>
    </row>
    <row r="3769" spans="1:2" x14ac:dyDescent="0.2">
      <c r="A3769" s="649" t="s">
        <v>3601</v>
      </c>
      <c r="B3769" s="725" t="s">
        <v>3600</v>
      </c>
    </row>
    <row r="3770" spans="1:2" x14ac:dyDescent="0.2">
      <c r="A3770" s="649" t="s">
        <v>5299</v>
      </c>
      <c r="B3770" s="725" t="s">
        <v>5298</v>
      </c>
    </row>
    <row r="3771" spans="1:2" x14ac:dyDescent="0.2">
      <c r="A3771" s="649" t="s">
        <v>6954</v>
      </c>
      <c r="B3771" s="725" t="s">
        <v>6953</v>
      </c>
    </row>
    <row r="3772" spans="1:2" x14ac:dyDescent="0.2">
      <c r="A3772" s="649" t="s">
        <v>3887</v>
      </c>
      <c r="B3772" s="725" t="s">
        <v>3886</v>
      </c>
    </row>
    <row r="3773" spans="1:2" x14ac:dyDescent="0.2">
      <c r="A3773" s="649" t="s">
        <v>7794</v>
      </c>
      <c r="B3773" s="725" t="s">
        <v>7793</v>
      </c>
    </row>
    <row r="3774" spans="1:2" x14ac:dyDescent="0.2">
      <c r="A3774" s="649" t="s">
        <v>6188</v>
      </c>
      <c r="B3774" s="725" t="s">
        <v>6187</v>
      </c>
    </row>
    <row r="3775" spans="1:2" x14ac:dyDescent="0.2">
      <c r="A3775" s="649" t="s">
        <v>3701</v>
      </c>
      <c r="B3775" s="725" t="s">
        <v>3700</v>
      </c>
    </row>
    <row r="3776" spans="1:2" x14ac:dyDescent="0.2">
      <c r="A3776" s="649" t="s">
        <v>2187</v>
      </c>
      <c r="B3776" s="725" t="s">
        <v>2186</v>
      </c>
    </row>
    <row r="3777" spans="1:2" x14ac:dyDescent="0.2">
      <c r="A3777" s="649" t="s">
        <v>6956</v>
      </c>
      <c r="B3777" s="725" t="s">
        <v>6955</v>
      </c>
    </row>
    <row r="3778" spans="1:2" x14ac:dyDescent="0.2">
      <c r="A3778" s="649" t="s">
        <v>10471</v>
      </c>
      <c r="B3778" s="725" t="s">
        <v>10472</v>
      </c>
    </row>
    <row r="3779" spans="1:2" x14ac:dyDescent="0.2">
      <c r="A3779" s="649" t="s">
        <v>7126</v>
      </c>
      <c r="B3779" s="725" t="s">
        <v>7125</v>
      </c>
    </row>
    <row r="3780" spans="1:2" x14ac:dyDescent="0.2">
      <c r="A3780" s="649" t="s">
        <v>6958</v>
      </c>
      <c r="B3780" s="725" t="s">
        <v>6957</v>
      </c>
    </row>
    <row r="3781" spans="1:2" x14ac:dyDescent="0.2">
      <c r="A3781" s="649" t="s">
        <v>10473</v>
      </c>
      <c r="B3781" s="725" t="s">
        <v>10474</v>
      </c>
    </row>
    <row r="3782" spans="1:2" x14ac:dyDescent="0.2">
      <c r="A3782" s="649" t="s">
        <v>6960</v>
      </c>
      <c r="B3782" s="725" t="s">
        <v>6959</v>
      </c>
    </row>
    <row r="3783" spans="1:2" x14ac:dyDescent="0.2">
      <c r="A3783" s="649" t="s">
        <v>7882</v>
      </c>
      <c r="B3783" s="725" t="s">
        <v>7881</v>
      </c>
    </row>
    <row r="3784" spans="1:2" x14ac:dyDescent="0.2">
      <c r="A3784" s="649" t="s">
        <v>6962</v>
      </c>
      <c r="B3784" s="725" t="s">
        <v>6961</v>
      </c>
    </row>
    <row r="3785" spans="1:2" x14ac:dyDescent="0.2">
      <c r="A3785" s="649" t="s">
        <v>6964</v>
      </c>
      <c r="B3785" s="725" t="s">
        <v>6963</v>
      </c>
    </row>
    <row r="3786" spans="1:2" x14ac:dyDescent="0.2">
      <c r="A3786" s="649" t="s">
        <v>4613</v>
      </c>
      <c r="B3786" s="725" t="s">
        <v>4612</v>
      </c>
    </row>
    <row r="3787" spans="1:2" x14ac:dyDescent="0.2">
      <c r="A3787" s="649" t="s">
        <v>10475</v>
      </c>
      <c r="B3787" s="725" t="s">
        <v>10476</v>
      </c>
    </row>
    <row r="3788" spans="1:2" x14ac:dyDescent="0.2">
      <c r="A3788" s="649" t="s">
        <v>1737</v>
      </c>
      <c r="B3788" s="725" t="s">
        <v>1736</v>
      </c>
    </row>
    <row r="3789" spans="1:2" x14ac:dyDescent="0.2">
      <c r="A3789" s="649" t="s">
        <v>3393</v>
      </c>
      <c r="B3789" s="725" t="s">
        <v>3392</v>
      </c>
    </row>
    <row r="3790" spans="1:2" x14ac:dyDescent="0.2">
      <c r="A3790" s="649" t="s">
        <v>8224</v>
      </c>
      <c r="B3790" s="725" t="s">
        <v>8223</v>
      </c>
    </row>
    <row r="3791" spans="1:2" x14ac:dyDescent="0.2">
      <c r="A3791" s="649" t="s">
        <v>7826</v>
      </c>
      <c r="B3791" s="725" t="s">
        <v>7825</v>
      </c>
    </row>
    <row r="3792" spans="1:2" x14ac:dyDescent="0.2">
      <c r="A3792" s="649" t="s">
        <v>6966</v>
      </c>
      <c r="B3792" s="725" t="s">
        <v>6965</v>
      </c>
    </row>
    <row r="3793" spans="1:2" x14ac:dyDescent="0.2">
      <c r="A3793" s="649" t="s">
        <v>2291</v>
      </c>
      <c r="B3793" s="725" t="s">
        <v>2290</v>
      </c>
    </row>
    <row r="3794" spans="1:2" x14ac:dyDescent="0.2">
      <c r="A3794" s="649" t="s">
        <v>6190</v>
      </c>
      <c r="B3794" s="725" t="s">
        <v>6189</v>
      </c>
    </row>
    <row r="3795" spans="1:2" x14ac:dyDescent="0.2">
      <c r="A3795" s="649" t="s">
        <v>6192</v>
      </c>
      <c r="B3795" s="725" t="s">
        <v>6191</v>
      </c>
    </row>
    <row r="3796" spans="1:2" x14ac:dyDescent="0.2">
      <c r="A3796" s="649" t="s">
        <v>8330</v>
      </c>
      <c r="B3796" s="725" t="s">
        <v>8329</v>
      </c>
    </row>
    <row r="3797" spans="1:2" x14ac:dyDescent="0.2">
      <c r="A3797" s="649" t="s">
        <v>6660</v>
      </c>
      <c r="B3797" s="725" t="s">
        <v>6659</v>
      </c>
    </row>
    <row r="3798" spans="1:2" x14ac:dyDescent="0.2">
      <c r="A3798" s="649" t="s">
        <v>6662</v>
      </c>
      <c r="B3798" s="725" t="s">
        <v>6661</v>
      </c>
    </row>
    <row r="3799" spans="1:2" x14ac:dyDescent="0.2">
      <c r="A3799" s="649" t="s">
        <v>6968</v>
      </c>
      <c r="B3799" s="725" t="s">
        <v>6967</v>
      </c>
    </row>
    <row r="3800" spans="1:2" x14ac:dyDescent="0.2">
      <c r="A3800" s="649" t="s">
        <v>6194</v>
      </c>
      <c r="B3800" s="725" t="s">
        <v>6193</v>
      </c>
    </row>
    <row r="3801" spans="1:2" x14ac:dyDescent="0.2">
      <c r="A3801" s="649" t="s">
        <v>2169</v>
      </c>
      <c r="B3801" s="725" t="s">
        <v>2168</v>
      </c>
    </row>
    <row r="3802" spans="1:2" x14ac:dyDescent="0.2">
      <c r="A3802" s="649" t="s">
        <v>4041</v>
      </c>
      <c r="B3802" s="725" t="s">
        <v>4040</v>
      </c>
    </row>
    <row r="3803" spans="1:2" x14ac:dyDescent="0.2">
      <c r="A3803" s="649" t="s">
        <v>6970</v>
      </c>
      <c r="B3803" s="725" t="s">
        <v>6969</v>
      </c>
    </row>
    <row r="3804" spans="1:2" x14ac:dyDescent="0.2">
      <c r="A3804" s="649" t="s">
        <v>2171</v>
      </c>
      <c r="B3804" s="725" t="s">
        <v>2170</v>
      </c>
    </row>
    <row r="3805" spans="1:2" x14ac:dyDescent="0.2">
      <c r="A3805" s="649" t="s">
        <v>6196</v>
      </c>
      <c r="B3805" s="725" t="s">
        <v>6195</v>
      </c>
    </row>
    <row r="3806" spans="1:2" x14ac:dyDescent="0.2">
      <c r="A3806" s="649" t="s">
        <v>4615</v>
      </c>
      <c r="B3806" s="725" t="s">
        <v>4614</v>
      </c>
    </row>
    <row r="3807" spans="1:2" ht="28.5" x14ac:dyDescent="0.2">
      <c r="A3807" s="649" t="s">
        <v>3395</v>
      </c>
      <c r="B3807" s="725" t="s">
        <v>3394</v>
      </c>
    </row>
    <row r="3808" spans="1:2" x14ac:dyDescent="0.2">
      <c r="A3808" s="649" t="s">
        <v>1208</v>
      </c>
      <c r="B3808" s="725" t="s">
        <v>1207</v>
      </c>
    </row>
    <row r="3809" spans="1:2" x14ac:dyDescent="0.2">
      <c r="A3809" s="649" t="s">
        <v>8226</v>
      </c>
      <c r="B3809" s="725" t="s">
        <v>8225</v>
      </c>
    </row>
    <row r="3810" spans="1:2" x14ac:dyDescent="0.2">
      <c r="A3810" s="649" t="s">
        <v>8074</v>
      </c>
      <c r="B3810" s="725" t="s">
        <v>8073</v>
      </c>
    </row>
    <row r="3811" spans="1:2" x14ac:dyDescent="0.2">
      <c r="A3811" s="649" t="s">
        <v>5199</v>
      </c>
      <c r="B3811" s="725" t="s">
        <v>5198</v>
      </c>
    </row>
    <row r="3812" spans="1:2" x14ac:dyDescent="0.2">
      <c r="A3812" s="649" t="s">
        <v>5475</v>
      </c>
      <c r="B3812" s="725" t="s">
        <v>5474</v>
      </c>
    </row>
    <row r="3813" spans="1:2" x14ac:dyDescent="0.2">
      <c r="A3813" s="649" t="s">
        <v>1406</v>
      </c>
      <c r="B3813" s="725" t="s">
        <v>1405</v>
      </c>
    </row>
    <row r="3814" spans="1:2" x14ac:dyDescent="0.2">
      <c r="A3814" s="649" t="s">
        <v>4925</v>
      </c>
      <c r="B3814" s="725" t="s">
        <v>4924</v>
      </c>
    </row>
    <row r="3815" spans="1:2" x14ac:dyDescent="0.2">
      <c r="A3815" s="649" t="s">
        <v>3489</v>
      </c>
      <c r="B3815" s="725" t="s">
        <v>3488</v>
      </c>
    </row>
    <row r="3816" spans="1:2" x14ac:dyDescent="0.2">
      <c r="A3816" s="649" t="s">
        <v>461</v>
      </c>
      <c r="B3816" s="725" t="s">
        <v>460</v>
      </c>
    </row>
    <row r="3817" spans="1:2" x14ac:dyDescent="0.2">
      <c r="A3817" s="649" t="s">
        <v>1402</v>
      </c>
      <c r="B3817" s="725" t="s">
        <v>1401</v>
      </c>
    </row>
    <row r="3818" spans="1:2" x14ac:dyDescent="0.2">
      <c r="A3818" s="649" t="s">
        <v>756</v>
      </c>
      <c r="B3818" s="725" t="s">
        <v>755</v>
      </c>
    </row>
    <row r="3819" spans="1:2" x14ac:dyDescent="0.2">
      <c r="A3819" s="649" t="s">
        <v>4617</v>
      </c>
      <c r="B3819" s="725" t="s">
        <v>4616</v>
      </c>
    </row>
    <row r="3820" spans="1:2" x14ac:dyDescent="0.2">
      <c r="A3820" s="649" t="s">
        <v>6356</v>
      </c>
      <c r="B3820" s="725" t="s">
        <v>6355</v>
      </c>
    </row>
    <row r="3821" spans="1:2" x14ac:dyDescent="0.2">
      <c r="A3821" s="649" t="s">
        <v>6592</v>
      </c>
      <c r="B3821" s="725" t="s">
        <v>6591</v>
      </c>
    </row>
    <row r="3822" spans="1:2" x14ac:dyDescent="0.2">
      <c r="A3822" s="649" t="s">
        <v>4507</v>
      </c>
      <c r="B3822" s="725" t="s">
        <v>4506</v>
      </c>
    </row>
    <row r="3823" spans="1:2" x14ac:dyDescent="0.2">
      <c r="A3823" s="649" t="s">
        <v>4079</v>
      </c>
      <c r="B3823" s="725" t="s">
        <v>4078</v>
      </c>
    </row>
    <row r="3824" spans="1:2" x14ac:dyDescent="0.2">
      <c r="A3824" s="649" t="s">
        <v>7558</v>
      </c>
      <c r="B3824" s="725" t="s">
        <v>7557</v>
      </c>
    </row>
    <row r="3825" spans="1:2" x14ac:dyDescent="0.2">
      <c r="A3825" s="649" t="s">
        <v>2645</v>
      </c>
      <c r="B3825" s="725" t="s">
        <v>2644</v>
      </c>
    </row>
    <row r="3826" spans="1:2" x14ac:dyDescent="0.2">
      <c r="A3826" s="649" t="s">
        <v>7948</v>
      </c>
      <c r="B3826" s="725" t="s">
        <v>7947</v>
      </c>
    </row>
    <row r="3827" spans="1:2" x14ac:dyDescent="0.2">
      <c r="A3827" s="649" t="s">
        <v>1739</v>
      </c>
      <c r="B3827" s="725" t="s">
        <v>1738</v>
      </c>
    </row>
    <row r="3828" spans="1:2" x14ac:dyDescent="0.2">
      <c r="A3828" s="649" t="s">
        <v>2369</v>
      </c>
      <c r="B3828" s="725" t="s">
        <v>2368</v>
      </c>
    </row>
    <row r="3829" spans="1:2" x14ac:dyDescent="0.2">
      <c r="A3829" s="649" t="s">
        <v>2293</v>
      </c>
      <c r="B3829" s="725" t="s">
        <v>2292</v>
      </c>
    </row>
    <row r="3830" spans="1:2" x14ac:dyDescent="0.2">
      <c r="A3830" s="649" t="s">
        <v>4521</v>
      </c>
      <c r="B3830" s="725" t="s">
        <v>4520</v>
      </c>
    </row>
    <row r="3831" spans="1:2" x14ac:dyDescent="0.2">
      <c r="A3831" s="649" t="s">
        <v>4641</v>
      </c>
      <c r="B3831" s="725" t="s">
        <v>4640</v>
      </c>
    </row>
    <row r="3832" spans="1:2" x14ac:dyDescent="0.2">
      <c r="A3832" s="649" t="s">
        <v>5618</v>
      </c>
      <c r="B3832" s="725" t="s">
        <v>5617</v>
      </c>
    </row>
    <row r="3833" spans="1:2" x14ac:dyDescent="0.2">
      <c r="A3833" s="649" t="s">
        <v>8076</v>
      </c>
      <c r="B3833" s="725" t="s">
        <v>8075</v>
      </c>
    </row>
    <row r="3834" spans="1:2" x14ac:dyDescent="0.2">
      <c r="A3834" s="649" t="s">
        <v>1741</v>
      </c>
      <c r="B3834" s="725" t="s">
        <v>1740</v>
      </c>
    </row>
    <row r="3835" spans="1:2" x14ac:dyDescent="0.2">
      <c r="A3835" s="649" t="s">
        <v>2647</v>
      </c>
      <c r="B3835" s="725" t="s">
        <v>2646</v>
      </c>
    </row>
    <row r="3836" spans="1:2" x14ac:dyDescent="0.2">
      <c r="A3836" s="649" t="s">
        <v>5537</v>
      </c>
      <c r="B3836" s="725" t="s">
        <v>5536</v>
      </c>
    </row>
    <row r="3837" spans="1:2" x14ac:dyDescent="0.2">
      <c r="A3837" s="649" t="s">
        <v>4473</v>
      </c>
      <c r="B3837" s="725" t="s">
        <v>4472</v>
      </c>
    </row>
    <row r="3838" spans="1:2" x14ac:dyDescent="0.2">
      <c r="A3838" s="649" t="s">
        <v>7966</v>
      </c>
      <c r="B3838" s="725" t="s">
        <v>7965</v>
      </c>
    </row>
    <row r="3839" spans="1:2" x14ac:dyDescent="0.2">
      <c r="A3839" s="649" t="s">
        <v>5201</v>
      </c>
      <c r="B3839" s="725" t="s">
        <v>5200</v>
      </c>
    </row>
    <row r="3840" spans="1:2" x14ac:dyDescent="0.2">
      <c r="A3840" s="649" t="s">
        <v>6350</v>
      </c>
      <c r="B3840" s="725" t="s">
        <v>6349</v>
      </c>
    </row>
    <row r="3841" spans="1:2" x14ac:dyDescent="0.2">
      <c r="A3841" s="649" t="s">
        <v>7398</v>
      </c>
      <c r="B3841" s="725" t="s">
        <v>7397</v>
      </c>
    </row>
    <row r="3842" spans="1:2" x14ac:dyDescent="0.2">
      <c r="A3842" s="649" t="s">
        <v>1512</v>
      </c>
      <c r="B3842" s="725" t="s">
        <v>1511</v>
      </c>
    </row>
    <row r="3843" spans="1:2" x14ac:dyDescent="0.2">
      <c r="A3843" s="649" t="s">
        <v>1180</v>
      </c>
      <c r="B3843" s="725" t="s">
        <v>1179</v>
      </c>
    </row>
    <row r="3844" spans="1:2" x14ac:dyDescent="0.2">
      <c r="A3844" s="649" t="s">
        <v>7400</v>
      </c>
      <c r="B3844" s="725" t="s">
        <v>7399</v>
      </c>
    </row>
    <row r="3845" spans="1:2" x14ac:dyDescent="0.2">
      <c r="A3845" s="649" t="s">
        <v>6454</v>
      </c>
      <c r="B3845" s="725" t="s">
        <v>6453</v>
      </c>
    </row>
    <row r="3846" spans="1:2" x14ac:dyDescent="0.2">
      <c r="A3846" s="649" t="s">
        <v>7200</v>
      </c>
      <c r="B3846" s="725" t="s">
        <v>7199</v>
      </c>
    </row>
    <row r="3847" spans="1:2" x14ac:dyDescent="0.2">
      <c r="A3847" s="649" t="s">
        <v>5620</v>
      </c>
      <c r="B3847" s="725" t="s">
        <v>5619</v>
      </c>
    </row>
    <row r="3848" spans="1:2" x14ac:dyDescent="0.2">
      <c r="A3848" s="649" t="s">
        <v>7854</v>
      </c>
      <c r="B3848" s="725" t="s">
        <v>7853</v>
      </c>
    </row>
    <row r="3849" spans="1:2" x14ac:dyDescent="0.2">
      <c r="A3849" s="649" t="s">
        <v>7304</v>
      </c>
      <c r="B3849" s="725" t="s">
        <v>7303</v>
      </c>
    </row>
    <row r="3850" spans="1:2" x14ac:dyDescent="0.2">
      <c r="A3850" s="649" t="s">
        <v>7128</v>
      </c>
      <c r="B3850" s="725" t="s">
        <v>7127</v>
      </c>
    </row>
    <row r="3851" spans="1:2" x14ac:dyDescent="0.2">
      <c r="A3851" s="649" t="s">
        <v>7828</v>
      </c>
      <c r="B3851" s="725" t="s">
        <v>7827</v>
      </c>
    </row>
    <row r="3852" spans="1:2" x14ac:dyDescent="0.2">
      <c r="A3852" s="649" t="s">
        <v>8228</v>
      </c>
      <c r="B3852" s="725" t="s">
        <v>8227</v>
      </c>
    </row>
    <row r="3853" spans="1:2" x14ac:dyDescent="0.2">
      <c r="A3853" s="649" t="s">
        <v>1416</v>
      </c>
      <c r="B3853" s="725" t="s">
        <v>1415</v>
      </c>
    </row>
    <row r="3854" spans="1:2" x14ac:dyDescent="0.2">
      <c r="A3854" s="649" t="s">
        <v>7320</v>
      </c>
      <c r="B3854" s="725" t="s">
        <v>7319</v>
      </c>
    </row>
    <row r="3855" spans="1:2" x14ac:dyDescent="0.2">
      <c r="A3855" s="649" t="s">
        <v>8014</v>
      </c>
      <c r="B3855" s="725" t="s">
        <v>8013</v>
      </c>
    </row>
    <row r="3856" spans="1:2" x14ac:dyDescent="0.2">
      <c r="A3856" s="649" t="s">
        <v>8016</v>
      </c>
      <c r="B3856" s="725" t="s">
        <v>8015</v>
      </c>
    </row>
    <row r="3857" spans="1:2" x14ac:dyDescent="0.2">
      <c r="A3857" s="649" t="s">
        <v>2649</v>
      </c>
      <c r="B3857" s="725" t="s">
        <v>2648</v>
      </c>
    </row>
    <row r="3858" spans="1:2" x14ac:dyDescent="0.2">
      <c r="A3858" s="649" t="s">
        <v>4797</v>
      </c>
      <c r="B3858" s="725" t="s">
        <v>4796</v>
      </c>
    </row>
    <row r="3859" spans="1:2" x14ac:dyDescent="0.2">
      <c r="A3859" s="649" t="s">
        <v>1775</v>
      </c>
      <c r="B3859" s="725" t="s">
        <v>1774</v>
      </c>
    </row>
    <row r="3860" spans="1:2" x14ac:dyDescent="0.2">
      <c r="A3860" s="649" t="s">
        <v>7202</v>
      </c>
      <c r="B3860" s="725" t="s">
        <v>7201</v>
      </c>
    </row>
    <row r="3861" spans="1:2" x14ac:dyDescent="0.2">
      <c r="A3861" s="649" t="s">
        <v>1640</v>
      </c>
      <c r="B3861" s="725" t="s">
        <v>1639</v>
      </c>
    </row>
    <row r="3862" spans="1:2" x14ac:dyDescent="0.2">
      <c r="A3862" s="649" t="s">
        <v>10477</v>
      </c>
      <c r="B3862" s="725" t="s">
        <v>10478</v>
      </c>
    </row>
    <row r="3863" spans="1:2" x14ac:dyDescent="0.2">
      <c r="A3863" s="649" t="s">
        <v>7204</v>
      </c>
      <c r="B3863" s="725" t="s">
        <v>7203</v>
      </c>
    </row>
    <row r="3864" spans="1:2" x14ac:dyDescent="0.2">
      <c r="A3864" s="649" t="s">
        <v>5039</v>
      </c>
      <c r="B3864" s="725" t="s">
        <v>5038</v>
      </c>
    </row>
    <row r="3865" spans="1:2" x14ac:dyDescent="0.2">
      <c r="A3865" s="649" t="s">
        <v>5041</v>
      </c>
      <c r="B3865" s="725" t="s">
        <v>5040</v>
      </c>
    </row>
    <row r="3866" spans="1:2" x14ac:dyDescent="0.2">
      <c r="A3866" s="649" t="s">
        <v>6338</v>
      </c>
      <c r="B3866" s="725" t="s">
        <v>6337</v>
      </c>
    </row>
    <row r="3867" spans="1:2" x14ac:dyDescent="0.2">
      <c r="A3867" s="649" t="s">
        <v>6242</v>
      </c>
      <c r="B3867" s="725" t="s">
        <v>6241</v>
      </c>
    </row>
    <row r="3868" spans="1:2" x14ac:dyDescent="0.2">
      <c r="A3868" s="649" t="s">
        <v>3397</v>
      </c>
      <c r="B3868" s="725" t="s">
        <v>3396</v>
      </c>
    </row>
    <row r="3869" spans="1:2" x14ac:dyDescent="0.2">
      <c r="A3869" s="649" t="s">
        <v>4043</v>
      </c>
      <c r="B3869" s="725" t="s">
        <v>4042</v>
      </c>
    </row>
    <row r="3870" spans="1:2" x14ac:dyDescent="0.2">
      <c r="A3870" s="649" t="s">
        <v>4897</v>
      </c>
      <c r="B3870" s="725" t="s">
        <v>4896</v>
      </c>
    </row>
    <row r="3871" spans="1:2" x14ac:dyDescent="0.2">
      <c r="A3871" s="649" t="s">
        <v>3399</v>
      </c>
      <c r="B3871" s="725" t="s">
        <v>3398</v>
      </c>
    </row>
    <row r="3872" spans="1:2" x14ac:dyDescent="0.2">
      <c r="A3872" s="649" t="s">
        <v>3401</v>
      </c>
      <c r="B3872" s="725" t="s">
        <v>3400</v>
      </c>
    </row>
    <row r="3873" spans="1:2" x14ac:dyDescent="0.2">
      <c r="A3873" s="649" t="s">
        <v>3403</v>
      </c>
      <c r="B3873" s="725" t="s">
        <v>3402</v>
      </c>
    </row>
    <row r="3874" spans="1:2" x14ac:dyDescent="0.2">
      <c r="A3874" s="649" t="s">
        <v>307</v>
      </c>
      <c r="B3874" s="725" t="s">
        <v>306</v>
      </c>
    </row>
    <row r="3875" spans="1:2" x14ac:dyDescent="0.2">
      <c r="A3875" s="649" t="s">
        <v>810</v>
      </c>
      <c r="B3875" s="725" t="s">
        <v>809</v>
      </c>
    </row>
    <row r="3876" spans="1:2" x14ac:dyDescent="0.2">
      <c r="A3876" s="649" t="s">
        <v>812</v>
      </c>
      <c r="B3876" s="725" t="s">
        <v>811</v>
      </c>
    </row>
    <row r="3877" spans="1:2" x14ac:dyDescent="0.2">
      <c r="A3877" s="649" t="s">
        <v>7950</v>
      </c>
      <c r="B3877" s="725" t="s">
        <v>7949</v>
      </c>
    </row>
    <row r="3878" spans="1:2" x14ac:dyDescent="0.2">
      <c r="A3878" s="649" t="s">
        <v>2651</v>
      </c>
      <c r="B3878" s="725" t="s">
        <v>2650</v>
      </c>
    </row>
    <row r="3879" spans="1:2" x14ac:dyDescent="0.2">
      <c r="A3879" s="649" t="s">
        <v>3889</v>
      </c>
      <c r="B3879" s="725" t="s">
        <v>3888</v>
      </c>
    </row>
    <row r="3880" spans="1:2" x14ac:dyDescent="0.2">
      <c r="A3880" s="649" t="s">
        <v>4045</v>
      </c>
      <c r="B3880" s="725" t="s">
        <v>4044</v>
      </c>
    </row>
    <row r="3881" spans="1:2" x14ac:dyDescent="0.2">
      <c r="A3881" s="649" t="s">
        <v>3405</v>
      </c>
      <c r="B3881" s="725" t="s">
        <v>3404</v>
      </c>
    </row>
    <row r="3882" spans="1:2" x14ac:dyDescent="0.2">
      <c r="A3882" s="649" t="s">
        <v>2653</v>
      </c>
      <c r="B3882" s="725" t="s">
        <v>2652</v>
      </c>
    </row>
    <row r="3883" spans="1:2" x14ac:dyDescent="0.2">
      <c r="A3883" s="649" t="s">
        <v>5203</v>
      </c>
      <c r="B3883" s="725" t="s">
        <v>5202</v>
      </c>
    </row>
    <row r="3884" spans="1:2" x14ac:dyDescent="0.2">
      <c r="A3884" s="649" t="s">
        <v>3407</v>
      </c>
      <c r="B3884" s="725" t="s">
        <v>3406</v>
      </c>
    </row>
    <row r="3885" spans="1:2" x14ac:dyDescent="0.2">
      <c r="A3885" s="649" t="s">
        <v>3891</v>
      </c>
      <c r="B3885" s="725" t="s">
        <v>3890</v>
      </c>
    </row>
    <row r="3886" spans="1:2" x14ac:dyDescent="0.2">
      <c r="A3886" s="649" t="s">
        <v>7206</v>
      </c>
      <c r="B3886" s="725" t="s">
        <v>7205</v>
      </c>
    </row>
    <row r="3887" spans="1:2" x14ac:dyDescent="0.2">
      <c r="A3887" s="649" t="s">
        <v>4047</v>
      </c>
      <c r="B3887" s="725" t="s">
        <v>4046</v>
      </c>
    </row>
    <row r="3888" spans="1:2" x14ac:dyDescent="0.2">
      <c r="A3888" s="649" t="s">
        <v>3409</v>
      </c>
      <c r="B3888" s="725" t="s">
        <v>3408</v>
      </c>
    </row>
    <row r="3889" spans="1:2" x14ac:dyDescent="0.2">
      <c r="A3889" s="649" t="s">
        <v>3411</v>
      </c>
      <c r="B3889" s="725" t="s">
        <v>3410</v>
      </c>
    </row>
    <row r="3890" spans="1:2" x14ac:dyDescent="0.2">
      <c r="A3890" s="649" t="s">
        <v>2655</v>
      </c>
      <c r="B3890" s="725" t="s">
        <v>2654</v>
      </c>
    </row>
    <row r="3891" spans="1:2" x14ac:dyDescent="0.2">
      <c r="A3891" s="649" t="s">
        <v>2657</v>
      </c>
      <c r="B3891" s="725" t="s">
        <v>2656</v>
      </c>
    </row>
    <row r="3892" spans="1:2" x14ac:dyDescent="0.2">
      <c r="A3892" s="649" t="s">
        <v>3413</v>
      </c>
      <c r="B3892" s="725" t="s">
        <v>3412</v>
      </c>
    </row>
    <row r="3893" spans="1:2" x14ac:dyDescent="0.2">
      <c r="A3893" s="649" t="s">
        <v>7560</v>
      </c>
      <c r="B3893" s="725" t="s">
        <v>7559</v>
      </c>
    </row>
    <row r="3894" spans="1:2" x14ac:dyDescent="0.2">
      <c r="A3894" s="649" t="s">
        <v>4669</v>
      </c>
      <c r="B3894" s="725" t="s">
        <v>4668</v>
      </c>
    </row>
    <row r="3895" spans="1:2" x14ac:dyDescent="0.2">
      <c r="A3895" s="649" t="s">
        <v>5205</v>
      </c>
      <c r="B3895" s="725" t="s">
        <v>5204</v>
      </c>
    </row>
    <row r="3896" spans="1:2" x14ac:dyDescent="0.2">
      <c r="A3896" s="649" t="s">
        <v>1807</v>
      </c>
      <c r="B3896" s="725" t="s">
        <v>1806</v>
      </c>
    </row>
    <row r="3897" spans="1:2" x14ac:dyDescent="0.2">
      <c r="A3897" s="649" t="s">
        <v>3415</v>
      </c>
      <c r="B3897" s="725" t="s">
        <v>3414</v>
      </c>
    </row>
    <row r="3898" spans="1:2" x14ac:dyDescent="0.2">
      <c r="A3898" s="649" t="s">
        <v>3417</v>
      </c>
      <c r="B3898" s="725" t="s">
        <v>3416</v>
      </c>
    </row>
    <row r="3899" spans="1:2" x14ac:dyDescent="0.2">
      <c r="A3899" s="649" t="s">
        <v>4619</v>
      </c>
      <c r="B3899" s="725" t="s">
        <v>4618</v>
      </c>
    </row>
    <row r="3900" spans="1:2" x14ac:dyDescent="0.2">
      <c r="A3900" s="649" t="s">
        <v>3419</v>
      </c>
      <c r="B3900" s="725" t="s">
        <v>3418</v>
      </c>
    </row>
    <row r="3901" spans="1:2" x14ac:dyDescent="0.2">
      <c r="A3901" s="649" t="s">
        <v>4049</v>
      </c>
      <c r="B3901" s="725" t="s">
        <v>4048</v>
      </c>
    </row>
    <row r="3902" spans="1:2" x14ac:dyDescent="0.2">
      <c r="A3902" s="649" t="s">
        <v>4051</v>
      </c>
      <c r="B3902" s="725" t="s">
        <v>4050</v>
      </c>
    </row>
    <row r="3903" spans="1:2" x14ac:dyDescent="0.2">
      <c r="A3903" s="649" t="s">
        <v>4053</v>
      </c>
      <c r="B3903" s="725" t="s">
        <v>4052</v>
      </c>
    </row>
    <row r="3904" spans="1:2" x14ac:dyDescent="0.2">
      <c r="A3904" s="649" t="s">
        <v>3421</v>
      </c>
      <c r="B3904" s="725" t="s">
        <v>3420</v>
      </c>
    </row>
    <row r="3905" spans="1:2" x14ac:dyDescent="0.2">
      <c r="A3905" s="649" t="s">
        <v>4055</v>
      </c>
      <c r="B3905" s="725" t="s">
        <v>4054</v>
      </c>
    </row>
    <row r="3906" spans="1:2" x14ac:dyDescent="0.2">
      <c r="A3906" s="649" t="s">
        <v>3423</v>
      </c>
      <c r="B3906" s="725" t="s">
        <v>3422</v>
      </c>
    </row>
    <row r="3907" spans="1:2" x14ac:dyDescent="0.2">
      <c r="A3907" s="649" t="s">
        <v>3425</v>
      </c>
      <c r="B3907" s="725" t="s">
        <v>3424</v>
      </c>
    </row>
    <row r="3908" spans="1:2" x14ac:dyDescent="0.2">
      <c r="A3908" s="649" t="s">
        <v>3893</v>
      </c>
      <c r="B3908" s="725" t="s">
        <v>3892</v>
      </c>
    </row>
    <row r="3909" spans="1:2" x14ac:dyDescent="0.2">
      <c r="A3909" s="649" t="s">
        <v>3427</v>
      </c>
      <c r="B3909" s="725" t="s">
        <v>3426</v>
      </c>
    </row>
    <row r="3910" spans="1:2" x14ac:dyDescent="0.2">
      <c r="A3910" s="649" t="s">
        <v>3429</v>
      </c>
      <c r="B3910" s="725" t="s">
        <v>3428</v>
      </c>
    </row>
    <row r="3911" spans="1:2" x14ac:dyDescent="0.2">
      <c r="A3911" s="649" t="s">
        <v>1514</v>
      </c>
      <c r="B3911" s="725" t="s">
        <v>1513</v>
      </c>
    </row>
    <row r="3912" spans="1:2" x14ac:dyDescent="0.2">
      <c r="A3912" s="649" t="s">
        <v>3431</v>
      </c>
      <c r="B3912" s="725" t="s">
        <v>3430</v>
      </c>
    </row>
    <row r="3913" spans="1:2" x14ac:dyDescent="0.2">
      <c r="A3913" s="649" t="s">
        <v>5301</v>
      </c>
      <c r="B3913" s="725" t="s">
        <v>5300</v>
      </c>
    </row>
    <row r="3914" spans="1:2" x14ac:dyDescent="0.2">
      <c r="A3914" s="649" t="s">
        <v>4657</v>
      </c>
      <c r="B3914" s="725" t="s">
        <v>4656</v>
      </c>
    </row>
    <row r="3915" spans="1:2" x14ac:dyDescent="0.2">
      <c r="A3915" s="649" t="s">
        <v>1182</v>
      </c>
      <c r="B3915" s="725" t="s">
        <v>1181</v>
      </c>
    </row>
    <row r="3916" spans="1:2" x14ac:dyDescent="0.2">
      <c r="A3916" s="649" t="s">
        <v>1184</v>
      </c>
      <c r="B3916" s="725" t="s">
        <v>1183</v>
      </c>
    </row>
    <row r="3917" spans="1:2" x14ac:dyDescent="0.2">
      <c r="A3917" s="649" t="s">
        <v>1186</v>
      </c>
      <c r="B3917" s="725" t="s">
        <v>1185</v>
      </c>
    </row>
    <row r="3918" spans="1:2" x14ac:dyDescent="0.2">
      <c r="A3918" s="649" t="s">
        <v>3433</v>
      </c>
      <c r="B3918" s="725" t="s">
        <v>3432</v>
      </c>
    </row>
    <row r="3919" spans="1:2" x14ac:dyDescent="0.2">
      <c r="A3919" s="649" t="s">
        <v>4509</v>
      </c>
      <c r="B3919" s="725" t="s">
        <v>4508</v>
      </c>
    </row>
    <row r="3920" spans="1:2" x14ac:dyDescent="0.2">
      <c r="A3920" s="649" t="s">
        <v>3435</v>
      </c>
      <c r="B3920" s="725" t="s">
        <v>3434</v>
      </c>
    </row>
    <row r="3921" spans="1:2" x14ac:dyDescent="0.2">
      <c r="A3921" s="649" t="s">
        <v>3895</v>
      </c>
      <c r="B3921" s="725" t="s">
        <v>3894</v>
      </c>
    </row>
    <row r="3922" spans="1:2" x14ac:dyDescent="0.2">
      <c r="A3922" s="649" t="s">
        <v>1979</v>
      </c>
      <c r="B3922" s="725" t="s">
        <v>1978</v>
      </c>
    </row>
    <row r="3923" spans="1:2" x14ac:dyDescent="0.2">
      <c r="A3923" s="649" t="s">
        <v>3437</v>
      </c>
      <c r="B3923" s="725" t="s">
        <v>3436</v>
      </c>
    </row>
    <row r="3924" spans="1:2" x14ac:dyDescent="0.2">
      <c r="A3924" s="649" t="s">
        <v>3439</v>
      </c>
      <c r="B3924" s="725" t="s">
        <v>3438</v>
      </c>
    </row>
    <row r="3925" spans="1:2" x14ac:dyDescent="0.2">
      <c r="A3925" s="649" t="s">
        <v>1981</v>
      </c>
      <c r="B3925" s="725" t="s">
        <v>1980</v>
      </c>
    </row>
    <row r="3926" spans="1:2" x14ac:dyDescent="0.2">
      <c r="A3926" s="649" t="s">
        <v>8230</v>
      </c>
      <c r="B3926" s="725" t="s">
        <v>8229</v>
      </c>
    </row>
    <row r="3927" spans="1:2" x14ac:dyDescent="0.2">
      <c r="A3927" s="649" t="s">
        <v>7402</v>
      </c>
      <c r="B3927" s="725" t="s">
        <v>7401</v>
      </c>
    </row>
    <row r="3928" spans="1:2" x14ac:dyDescent="0.2">
      <c r="A3928" s="649" t="s">
        <v>1188</v>
      </c>
      <c r="B3928" s="725" t="s">
        <v>1187</v>
      </c>
    </row>
    <row r="3929" spans="1:2" x14ac:dyDescent="0.2">
      <c r="A3929" s="649" t="s">
        <v>4233</v>
      </c>
      <c r="B3929" s="725" t="s">
        <v>4232</v>
      </c>
    </row>
    <row r="3930" spans="1:2" x14ac:dyDescent="0.2">
      <c r="A3930" s="649" t="s">
        <v>4927</v>
      </c>
      <c r="B3930" s="725" t="s">
        <v>4926</v>
      </c>
    </row>
    <row r="3931" spans="1:2" x14ac:dyDescent="0.2">
      <c r="A3931" s="649" t="s">
        <v>4523</v>
      </c>
      <c r="B3931" s="725" t="s">
        <v>4522</v>
      </c>
    </row>
    <row r="3932" spans="1:2" x14ac:dyDescent="0.2">
      <c r="A3932" s="649" t="s">
        <v>3441</v>
      </c>
      <c r="B3932" s="725" t="s">
        <v>3440</v>
      </c>
    </row>
    <row r="3933" spans="1:2" x14ac:dyDescent="0.2">
      <c r="A3933" s="649" t="s">
        <v>4863</v>
      </c>
      <c r="B3933" s="725" t="s">
        <v>4862</v>
      </c>
    </row>
    <row r="3934" spans="1:2" x14ac:dyDescent="0.2">
      <c r="A3934" s="649" t="s">
        <v>5207</v>
      </c>
      <c r="B3934" s="725" t="s">
        <v>5206</v>
      </c>
    </row>
    <row r="3935" spans="1:2" x14ac:dyDescent="0.2">
      <c r="A3935" s="649" t="s">
        <v>8332</v>
      </c>
      <c r="B3935" s="725" t="s">
        <v>8331</v>
      </c>
    </row>
    <row r="3936" spans="1:2" x14ac:dyDescent="0.2">
      <c r="A3936" s="649" t="s">
        <v>4929</v>
      </c>
      <c r="B3936" s="725" t="s">
        <v>4928</v>
      </c>
    </row>
    <row r="3937" spans="1:2" x14ac:dyDescent="0.2">
      <c r="A3937" s="649" t="s">
        <v>4931</v>
      </c>
      <c r="B3937" s="725" t="s">
        <v>4930</v>
      </c>
    </row>
    <row r="3938" spans="1:2" x14ac:dyDescent="0.2">
      <c r="A3938" s="649" t="s">
        <v>6198</v>
      </c>
      <c r="B3938" s="725" t="s">
        <v>6197</v>
      </c>
    </row>
    <row r="3939" spans="1:2" x14ac:dyDescent="0.2">
      <c r="A3939" s="649" t="s">
        <v>5335</v>
      </c>
      <c r="B3939" s="725" t="s">
        <v>5334</v>
      </c>
    </row>
    <row r="3940" spans="1:2" x14ac:dyDescent="0.2">
      <c r="A3940" s="649" t="s">
        <v>6200</v>
      </c>
      <c r="B3940" s="725" t="s">
        <v>6199</v>
      </c>
    </row>
    <row r="3941" spans="1:2" x14ac:dyDescent="0.2">
      <c r="A3941" s="649" t="s">
        <v>4621</v>
      </c>
      <c r="B3941" s="725" t="s">
        <v>4620</v>
      </c>
    </row>
    <row r="3942" spans="1:2" x14ac:dyDescent="0.2">
      <c r="A3942" s="649" t="s">
        <v>6202</v>
      </c>
      <c r="B3942" s="725" t="s">
        <v>6201</v>
      </c>
    </row>
    <row r="3943" spans="1:2" x14ac:dyDescent="0.2">
      <c r="A3943" s="649" t="s">
        <v>7130</v>
      </c>
      <c r="B3943" s="725" t="s">
        <v>7129</v>
      </c>
    </row>
    <row r="3944" spans="1:2" x14ac:dyDescent="0.2">
      <c r="A3944" s="649" t="s">
        <v>3443</v>
      </c>
      <c r="B3944" s="725" t="s">
        <v>3442</v>
      </c>
    </row>
    <row r="3945" spans="1:2" x14ac:dyDescent="0.2">
      <c r="A3945" s="649" t="s">
        <v>1582</v>
      </c>
      <c r="B3945" s="725" t="s">
        <v>1581</v>
      </c>
    </row>
    <row r="3946" spans="1:2" x14ac:dyDescent="0.2">
      <c r="A3946" s="649" t="s">
        <v>1809</v>
      </c>
      <c r="B3946" s="725" t="s">
        <v>1808</v>
      </c>
    </row>
    <row r="3947" spans="1:2" x14ac:dyDescent="0.2">
      <c r="A3947" s="649" t="s">
        <v>8232</v>
      </c>
      <c r="B3947" s="725" t="s">
        <v>8231</v>
      </c>
    </row>
    <row r="3948" spans="1:2" x14ac:dyDescent="0.2">
      <c r="A3948" s="649" t="s">
        <v>1190</v>
      </c>
      <c r="B3948" s="725" t="s">
        <v>1189</v>
      </c>
    </row>
    <row r="3949" spans="1:2" x14ac:dyDescent="0.2">
      <c r="A3949" s="649" t="s">
        <v>7562</v>
      </c>
      <c r="B3949" s="725" t="s">
        <v>7561</v>
      </c>
    </row>
    <row r="3950" spans="1:2" x14ac:dyDescent="0.2">
      <c r="A3950" s="649" t="s">
        <v>3445</v>
      </c>
      <c r="B3950" s="725" t="s">
        <v>3444</v>
      </c>
    </row>
    <row r="3951" spans="1:2" x14ac:dyDescent="0.2">
      <c r="A3951" s="649" t="s">
        <v>1192</v>
      </c>
      <c r="B3951" s="725" t="s">
        <v>1191</v>
      </c>
    </row>
    <row r="3952" spans="1:2" x14ac:dyDescent="0.2">
      <c r="A3952" s="649" t="s">
        <v>1194</v>
      </c>
      <c r="B3952" s="725" t="s">
        <v>1193</v>
      </c>
    </row>
    <row r="3953" spans="1:2" x14ac:dyDescent="0.2">
      <c r="A3953" s="649" t="s">
        <v>309</v>
      </c>
      <c r="B3953" s="725" t="s">
        <v>308</v>
      </c>
    </row>
    <row r="3954" spans="1:2" x14ac:dyDescent="0.2">
      <c r="A3954" s="649" t="s">
        <v>3691</v>
      </c>
      <c r="B3954" s="725" t="s">
        <v>3690</v>
      </c>
    </row>
    <row r="3955" spans="1:2" x14ac:dyDescent="0.2">
      <c r="A3955" s="649" t="s">
        <v>1897</v>
      </c>
      <c r="B3955" s="725" t="s">
        <v>1896</v>
      </c>
    </row>
    <row r="3956" spans="1:2" x14ac:dyDescent="0.2">
      <c r="A3956" s="649" t="s">
        <v>914</v>
      </c>
      <c r="B3956" s="725" t="s">
        <v>913</v>
      </c>
    </row>
    <row r="3957" spans="1:2" x14ac:dyDescent="0.2">
      <c r="A3957" s="649" t="s">
        <v>916</v>
      </c>
      <c r="B3957" s="725" t="s">
        <v>915</v>
      </c>
    </row>
    <row r="3958" spans="1:2" x14ac:dyDescent="0.2">
      <c r="A3958" s="649" t="s">
        <v>2217</v>
      </c>
      <c r="B3958" s="725" t="s">
        <v>2216</v>
      </c>
    </row>
    <row r="3959" spans="1:2" x14ac:dyDescent="0.2">
      <c r="A3959" s="649" t="s">
        <v>2037</v>
      </c>
      <c r="B3959" s="725" t="s">
        <v>2036</v>
      </c>
    </row>
    <row r="3960" spans="1:2" x14ac:dyDescent="0.2">
      <c r="A3960" s="649" t="s">
        <v>6664</v>
      </c>
      <c r="B3960" s="725" t="s">
        <v>6663</v>
      </c>
    </row>
    <row r="3961" spans="1:2" x14ac:dyDescent="0.2">
      <c r="A3961" s="649" t="s">
        <v>6340</v>
      </c>
      <c r="B3961" s="725" t="s">
        <v>6339</v>
      </c>
    </row>
    <row r="3962" spans="1:2" x14ac:dyDescent="0.2">
      <c r="A3962" s="649" t="s">
        <v>1196</v>
      </c>
      <c r="B3962" s="725" t="s">
        <v>1195</v>
      </c>
    </row>
    <row r="3963" spans="1:2" x14ac:dyDescent="0.2">
      <c r="A3963" s="649" t="s">
        <v>8234</v>
      </c>
      <c r="B3963" s="725" t="s">
        <v>8233</v>
      </c>
    </row>
    <row r="3964" spans="1:2" x14ac:dyDescent="0.2">
      <c r="A3964" s="649" t="s">
        <v>4455</v>
      </c>
      <c r="B3964" s="725" t="s">
        <v>4454</v>
      </c>
    </row>
    <row r="3965" spans="1:2" x14ac:dyDescent="0.2">
      <c r="A3965" s="649" t="s">
        <v>6204</v>
      </c>
      <c r="B3965" s="725" t="s">
        <v>6203</v>
      </c>
    </row>
    <row r="3966" spans="1:2" x14ac:dyDescent="0.2">
      <c r="A3966" s="649" t="s">
        <v>6206</v>
      </c>
      <c r="B3966" s="725" t="s">
        <v>6205</v>
      </c>
    </row>
    <row r="3967" spans="1:2" x14ac:dyDescent="0.2">
      <c r="A3967" s="649" t="s">
        <v>1256</v>
      </c>
      <c r="B3967" s="725" t="s">
        <v>1255</v>
      </c>
    </row>
    <row r="3968" spans="1:2" x14ac:dyDescent="0.2">
      <c r="A3968" s="649" t="s">
        <v>7656</v>
      </c>
      <c r="B3968" s="725" t="s">
        <v>7655</v>
      </c>
    </row>
    <row r="3969" spans="1:2" x14ac:dyDescent="0.2">
      <c r="A3969" s="649" t="s">
        <v>1983</v>
      </c>
      <c r="B3969" s="725" t="s">
        <v>1982</v>
      </c>
    </row>
    <row r="3970" spans="1:2" x14ac:dyDescent="0.2">
      <c r="A3970" s="649" t="s">
        <v>5209</v>
      </c>
      <c r="B3970" s="725" t="s">
        <v>5208</v>
      </c>
    </row>
    <row r="3971" spans="1:2" x14ac:dyDescent="0.2">
      <c r="A3971" s="649" t="s">
        <v>5363</v>
      </c>
      <c r="B3971" s="725" t="s">
        <v>5362</v>
      </c>
    </row>
    <row r="3972" spans="1:2" x14ac:dyDescent="0.2">
      <c r="A3972" s="649" t="s">
        <v>5211</v>
      </c>
      <c r="B3972" s="725" t="s">
        <v>5210</v>
      </c>
    </row>
    <row r="3973" spans="1:2" x14ac:dyDescent="0.2">
      <c r="A3973" s="649" t="s">
        <v>8236</v>
      </c>
      <c r="B3973" s="725" t="s">
        <v>8235</v>
      </c>
    </row>
    <row r="3974" spans="1:2" x14ac:dyDescent="0.2">
      <c r="A3974" s="649" t="s">
        <v>918</v>
      </c>
      <c r="B3974" s="725" t="s">
        <v>917</v>
      </c>
    </row>
    <row r="3975" spans="1:2" x14ac:dyDescent="0.2">
      <c r="A3975" s="649" t="s">
        <v>4319</v>
      </c>
      <c r="B3975" s="725" t="s">
        <v>4318</v>
      </c>
    </row>
    <row r="3976" spans="1:2" x14ac:dyDescent="0.2">
      <c r="A3976" s="649" t="s">
        <v>2659</v>
      </c>
      <c r="B3976" s="725" t="s">
        <v>2658</v>
      </c>
    </row>
    <row r="3977" spans="1:2" x14ac:dyDescent="0.2">
      <c r="A3977" s="649" t="s">
        <v>3447</v>
      </c>
      <c r="B3977" s="725" t="s">
        <v>3446</v>
      </c>
    </row>
    <row r="3978" spans="1:2" x14ac:dyDescent="0.2">
      <c r="A3978" s="649" t="s">
        <v>4235</v>
      </c>
      <c r="B3978" s="725" t="s">
        <v>4234</v>
      </c>
    </row>
    <row r="3979" spans="1:2" x14ac:dyDescent="0.2">
      <c r="A3979" s="649" t="s">
        <v>8298</v>
      </c>
      <c r="B3979" s="725" t="s">
        <v>8297</v>
      </c>
    </row>
    <row r="3980" spans="1:2" x14ac:dyDescent="0.2">
      <c r="A3980" s="649" t="s">
        <v>594</v>
      </c>
      <c r="B3980" s="725" t="s">
        <v>593</v>
      </c>
    </row>
    <row r="3981" spans="1:2" x14ac:dyDescent="0.2">
      <c r="A3981" s="649" t="s">
        <v>4659</v>
      </c>
      <c r="B3981" s="725" t="s">
        <v>4658</v>
      </c>
    </row>
    <row r="3982" spans="1:2" x14ac:dyDescent="0.2">
      <c r="A3982" s="649" t="s">
        <v>4849</v>
      </c>
      <c r="B3982" s="725" t="s">
        <v>4848</v>
      </c>
    </row>
    <row r="3983" spans="1:2" x14ac:dyDescent="0.2">
      <c r="A3983" s="649" t="s">
        <v>3603</v>
      </c>
      <c r="B3983" s="725" t="s">
        <v>3602</v>
      </c>
    </row>
    <row r="3984" spans="1:2" x14ac:dyDescent="0.2">
      <c r="A3984" s="649" t="s">
        <v>6666</v>
      </c>
      <c r="B3984" s="725" t="s">
        <v>6665</v>
      </c>
    </row>
    <row r="3985" spans="1:2" x14ac:dyDescent="0.2">
      <c r="A3985" s="649" t="s">
        <v>8238</v>
      </c>
      <c r="B3985" s="725" t="s">
        <v>8237</v>
      </c>
    </row>
    <row r="3986" spans="1:2" x14ac:dyDescent="0.2">
      <c r="A3986" s="649" t="s">
        <v>2371</v>
      </c>
      <c r="B3986" s="725" t="s">
        <v>2370</v>
      </c>
    </row>
    <row r="3987" spans="1:2" x14ac:dyDescent="0.2">
      <c r="A3987" s="649" t="s">
        <v>1198</v>
      </c>
      <c r="B3987" s="725" t="s">
        <v>1197</v>
      </c>
    </row>
    <row r="3988" spans="1:2" x14ac:dyDescent="0.2">
      <c r="A3988" s="649" t="s">
        <v>4997</v>
      </c>
      <c r="B3988" s="725" t="s">
        <v>4996</v>
      </c>
    </row>
    <row r="3989" spans="1:2" x14ac:dyDescent="0.2">
      <c r="A3989" s="649" t="s">
        <v>6972</v>
      </c>
      <c r="B3989" s="725" t="s">
        <v>6971</v>
      </c>
    </row>
    <row r="3990" spans="1:2" x14ac:dyDescent="0.2">
      <c r="A3990" s="649" t="s">
        <v>3523</v>
      </c>
      <c r="B3990" s="725" t="s">
        <v>3522</v>
      </c>
    </row>
    <row r="3991" spans="1:2" x14ac:dyDescent="0.2">
      <c r="A3991" s="649" t="s">
        <v>4865</v>
      </c>
      <c r="B3991" s="725" t="s">
        <v>4864</v>
      </c>
    </row>
    <row r="3992" spans="1:2" x14ac:dyDescent="0.2">
      <c r="A3992" s="649" t="s">
        <v>2661</v>
      </c>
      <c r="B3992" s="725" t="s">
        <v>2660</v>
      </c>
    </row>
    <row r="3993" spans="1:2" x14ac:dyDescent="0.2">
      <c r="A3993" s="649" t="s">
        <v>6474</v>
      </c>
      <c r="B3993" s="725" t="s">
        <v>6473</v>
      </c>
    </row>
    <row r="3994" spans="1:2" x14ac:dyDescent="0.2">
      <c r="A3994" s="649" t="s">
        <v>1743</v>
      </c>
      <c r="B3994" s="725" t="s">
        <v>1742</v>
      </c>
    </row>
    <row r="3995" spans="1:2" x14ac:dyDescent="0.2">
      <c r="A3995" s="649" t="s">
        <v>1745</v>
      </c>
      <c r="B3995" s="725" t="s">
        <v>1744</v>
      </c>
    </row>
    <row r="3996" spans="1:2" x14ac:dyDescent="0.2">
      <c r="A3996" s="649" t="s">
        <v>1747</v>
      </c>
      <c r="B3996" s="725" t="s">
        <v>1746</v>
      </c>
    </row>
    <row r="3997" spans="1:2" x14ac:dyDescent="0.2">
      <c r="A3997" s="649" t="s">
        <v>4237</v>
      </c>
      <c r="B3997" s="725" t="s">
        <v>4236</v>
      </c>
    </row>
    <row r="3998" spans="1:2" x14ac:dyDescent="0.2">
      <c r="A3998" s="649" t="s">
        <v>4475</v>
      </c>
      <c r="B3998" s="725" t="s">
        <v>4474</v>
      </c>
    </row>
    <row r="3999" spans="1:2" x14ac:dyDescent="0.2">
      <c r="A3999" s="649" t="s">
        <v>5247</v>
      </c>
      <c r="B3999" s="725" t="s">
        <v>5246</v>
      </c>
    </row>
    <row r="4000" spans="1:2" x14ac:dyDescent="0.2">
      <c r="A4000" s="649" t="s">
        <v>7040</v>
      </c>
      <c r="B4000" s="725" t="s">
        <v>7039</v>
      </c>
    </row>
    <row r="4001" spans="1:2" x14ac:dyDescent="0.2">
      <c r="A4001" s="649" t="s">
        <v>3763</v>
      </c>
      <c r="B4001" s="725" t="s">
        <v>3762</v>
      </c>
    </row>
    <row r="4002" spans="1:2" x14ac:dyDescent="0.2">
      <c r="A4002" s="649" t="s">
        <v>758</v>
      </c>
      <c r="B4002" s="725" t="s">
        <v>757</v>
      </c>
    </row>
    <row r="4003" spans="1:2" x14ac:dyDescent="0.2">
      <c r="A4003" s="649" t="s">
        <v>2173</v>
      </c>
      <c r="B4003" s="725" t="s">
        <v>2172</v>
      </c>
    </row>
    <row r="4004" spans="1:2" x14ac:dyDescent="0.2">
      <c r="A4004" s="649" t="s">
        <v>6208</v>
      </c>
      <c r="B4004" s="725" t="s">
        <v>6207</v>
      </c>
    </row>
    <row r="4005" spans="1:2" x14ac:dyDescent="0.2">
      <c r="A4005" s="649" t="s">
        <v>4999</v>
      </c>
      <c r="B4005" s="725" t="s">
        <v>4998</v>
      </c>
    </row>
    <row r="4006" spans="1:2" x14ac:dyDescent="0.2">
      <c r="A4006" s="649" t="s">
        <v>760</v>
      </c>
      <c r="B4006" s="725" t="s">
        <v>759</v>
      </c>
    </row>
    <row r="4007" spans="1:2" x14ac:dyDescent="0.2">
      <c r="A4007" s="649" t="s">
        <v>2663</v>
      </c>
      <c r="B4007" s="725" t="s">
        <v>2662</v>
      </c>
    </row>
    <row r="4008" spans="1:2" x14ac:dyDescent="0.2">
      <c r="A4008" s="649" t="s">
        <v>3765</v>
      </c>
      <c r="B4008" s="725" t="s">
        <v>3764</v>
      </c>
    </row>
    <row r="4009" spans="1:2" x14ac:dyDescent="0.2">
      <c r="A4009" s="649" t="s">
        <v>5213</v>
      </c>
      <c r="B4009" s="725" t="s">
        <v>5212</v>
      </c>
    </row>
    <row r="4010" spans="1:2" x14ac:dyDescent="0.2">
      <c r="A4010" s="649" t="s">
        <v>1749</v>
      </c>
      <c r="B4010" s="725" t="s">
        <v>1748</v>
      </c>
    </row>
    <row r="4011" spans="1:2" x14ac:dyDescent="0.2">
      <c r="A4011" s="649" t="s">
        <v>10479</v>
      </c>
      <c r="B4011" s="725" t="s">
        <v>10480</v>
      </c>
    </row>
    <row r="4012" spans="1:2" x14ac:dyDescent="0.2">
      <c r="A4012" s="649" t="s">
        <v>10481</v>
      </c>
      <c r="B4012" s="725" t="s">
        <v>10482</v>
      </c>
    </row>
    <row r="4013" spans="1:2" x14ac:dyDescent="0.2">
      <c r="A4013" s="649" t="s">
        <v>375</v>
      </c>
      <c r="B4013" s="725" t="s">
        <v>374</v>
      </c>
    </row>
    <row r="4014" spans="1:2" x14ac:dyDescent="0.2">
      <c r="A4014" s="649" t="s">
        <v>4321</v>
      </c>
      <c r="B4014" s="725" t="s">
        <v>4320</v>
      </c>
    </row>
    <row r="4015" spans="1:2" x14ac:dyDescent="0.2">
      <c r="A4015" s="649" t="s">
        <v>6210</v>
      </c>
      <c r="B4015" s="725" t="s">
        <v>6209</v>
      </c>
    </row>
    <row r="4016" spans="1:2" x14ac:dyDescent="0.2">
      <c r="A4016" s="649" t="s">
        <v>5103</v>
      </c>
      <c r="B4016" s="725" t="s">
        <v>5102</v>
      </c>
    </row>
    <row r="4017" spans="1:2" x14ac:dyDescent="0.2">
      <c r="A4017" s="649" t="s">
        <v>4739</v>
      </c>
      <c r="B4017" s="725" t="s">
        <v>4738</v>
      </c>
    </row>
    <row r="4018" spans="1:2" x14ac:dyDescent="0.2">
      <c r="A4018" s="649" t="s">
        <v>4741</v>
      </c>
      <c r="B4018" s="725" t="s">
        <v>4740</v>
      </c>
    </row>
    <row r="4019" spans="1:2" x14ac:dyDescent="0.2">
      <c r="A4019" s="649" t="s">
        <v>5001</v>
      </c>
      <c r="B4019" s="725" t="s">
        <v>5000</v>
      </c>
    </row>
    <row r="4020" spans="1:2" x14ac:dyDescent="0.2">
      <c r="A4020" s="649" t="s">
        <v>6342</v>
      </c>
      <c r="B4020" s="725" t="s">
        <v>6341</v>
      </c>
    </row>
    <row r="4021" spans="1:2" x14ac:dyDescent="0.2">
      <c r="A4021" s="649" t="s">
        <v>7404</v>
      </c>
      <c r="B4021" s="725" t="s">
        <v>7403</v>
      </c>
    </row>
    <row r="4022" spans="1:2" x14ac:dyDescent="0.2">
      <c r="A4022" s="649" t="s">
        <v>1751</v>
      </c>
      <c r="B4022" s="725" t="s">
        <v>1750</v>
      </c>
    </row>
    <row r="4023" spans="1:2" x14ac:dyDescent="0.2">
      <c r="A4023" s="649" t="s">
        <v>7830</v>
      </c>
      <c r="B4023" s="725" t="s">
        <v>7829</v>
      </c>
    </row>
    <row r="4024" spans="1:2" x14ac:dyDescent="0.2">
      <c r="A4024" s="649" t="s">
        <v>4239</v>
      </c>
      <c r="B4024" s="725" t="s">
        <v>4238</v>
      </c>
    </row>
    <row r="4025" spans="1:2" x14ac:dyDescent="0.2">
      <c r="A4025" s="649" t="s">
        <v>6974</v>
      </c>
      <c r="B4025" s="725" t="s">
        <v>6973</v>
      </c>
    </row>
    <row r="4026" spans="1:2" x14ac:dyDescent="0.2">
      <c r="A4026" s="649" t="s">
        <v>5043</v>
      </c>
      <c r="B4026" s="725" t="s">
        <v>5042</v>
      </c>
    </row>
    <row r="4027" spans="1:2" x14ac:dyDescent="0.2">
      <c r="A4027" s="649" t="s">
        <v>5583</v>
      </c>
      <c r="B4027" s="725" t="s">
        <v>5582</v>
      </c>
    </row>
    <row r="4028" spans="1:2" x14ac:dyDescent="0.2">
      <c r="A4028" s="649" t="s">
        <v>6212</v>
      </c>
      <c r="B4028" s="725" t="s">
        <v>6211</v>
      </c>
    </row>
    <row r="4029" spans="1:2" x14ac:dyDescent="0.2">
      <c r="A4029" s="649" t="s">
        <v>6976</v>
      </c>
      <c r="B4029" s="725" t="s">
        <v>6975</v>
      </c>
    </row>
    <row r="4030" spans="1:2" x14ac:dyDescent="0.2">
      <c r="A4030" s="649" t="s">
        <v>3897</v>
      </c>
      <c r="B4030" s="725" t="s">
        <v>3896</v>
      </c>
    </row>
    <row r="4031" spans="1:2" x14ac:dyDescent="0.2">
      <c r="A4031" s="649" t="s">
        <v>6214</v>
      </c>
      <c r="B4031" s="725" t="s">
        <v>6213</v>
      </c>
    </row>
    <row r="4032" spans="1:2" x14ac:dyDescent="0.2">
      <c r="A4032" s="649" t="s">
        <v>1985</v>
      </c>
      <c r="B4032" s="725" t="s">
        <v>1984</v>
      </c>
    </row>
    <row r="4033" spans="1:2" x14ac:dyDescent="0.2">
      <c r="A4033" s="649" t="s">
        <v>6216</v>
      </c>
      <c r="B4033" s="725" t="s">
        <v>6215</v>
      </c>
    </row>
    <row r="4034" spans="1:2" x14ac:dyDescent="0.2">
      <c r="A4034" s="649" t="s">
        <v>6218</v>
      </c>
      <c r="B4034" s="725" t="s">
        <v>6217</v>
      </c>
    </row>
    <row r="4035" spans="1:2" x14ac:dyDescent="0.2">
      <c r="A4035" s="649" t="s">
        <v>1588</v>
      </c>
      <c r="B4035" s="725" t="s">
        <v>1587</v>
      </c>
    </row>
    <row r="4036" spans="1:2" x14ac:dyDescent="0.2">
      <c r="A4036" s="649" t="s">
        <v>2055</v>
      </c>
      <c r="B4036" s="725" t="s">
        <v>2054</v>
      </c>
    </row>
    <row r="4037" spans="1:2" x14ac:dyDescent="0.2">
      <c r="A4037" s="649" t="s">
        <v>2665</v>
      </c>
      <c r="B4037" s="725" t="s">
        <v>2664</v>
      </c>
    </row>
    <row r="4038" spans="1:2" x14ac:dyDescent="0.2">
      <c r="A4038" s="649" t="s">
        <v>7004</v>
      </c>
      <c r="B4038" s="725" t="s">
        <v>7003</v>
      </c>
    </row>
    <row r="4039" spans="1:2" x14ac:dyDescent="0.2">
      <c r="A4039" s="649" t="s">
        <v>6344</v>
      </c>
      <c r="B4039" s="725" t="s">
        <v>6343</v>
      </c>
    </row>
    <row r="4040" spans="1:2" x14ac:dyDescent="0.2">
      <c r="A4040" s="649" t="s">
        <v>8240</v>
      </c>
      <c r="B4040" s="725" t="s">
        <v>8239</v>
      </c>
    </row>
    <row r="4041" spans="1:2" x14ac:dyDescent="0.2">
      <c r="A4041" s="649" t="s">
        <v>4833</v>
      </c>
      <c r="B4041" s="725" t="s">
        <v>4832</v>
      </c>
    </row>
    <row r="4042" spans="1:2" x14ac:dyDescent="0.2">
      <c r="A4042" s="649" t="s">
        <v>4119</v>
      </c>
      <c r="B4042" s="725" t="s">
        <v>4118</v>
      </c>
    </row>
    <row r="4043" spans="1:2" x14ac:dyDescent="0.2">
      <c r="A4043" s="649" t="s">
        <v>7208</v>
      </c>
      <c r="B4043" s="725" t="s">
        <v>7207</v>
      </c>
    </row>
    <row r="4044" spans="1:2" x14ac:dyDescent="0.2">
      <c r="A4044" s="649" t="s">
        <v>6220</v>
      </c>
      <c r="B4044" s="725" t="s">
        <v>6219</v>
      </c>
    </row>
    <row r="4045" spans="1:2" x14ac:dyDescent="0.2">
      <c r="A4045" s="649" t="s">
        <v>7006</v>
      </c>
      <c r="B4045" s="725" t="s">
        <v>7005</v>
      </c>
    </row>
    <row r="4046" spans="1:2" x14ac:dyDescent="0.2">
      <c r="A4046" s="649" t="s">
        <v>6422</v>
      </c>
      <c r="B4046" s="725" t="s">
        <v>6421</v>
      </c>
    </row>
    <row r="4047" spans="1:2" x14ac:dyDescent="0.2">
      <c r="A4047" s="649" t="s">
        <v>6422</v>
      </c>
      <c r="B4047" s="725" t="s">
        <v>10483</v>
      </c>
    </row>
    <row r="4048" spans="1:2" x14ac:dyDescent="0.2">
      <c r="A4048" s="649" t="s">
        <v>6422</v>
      </c>
      <c r="B4048" s="725" t="s">
        <v>10484</v>
      </c>
    </row>
    <row r="4049" spans="1:2" x14ac:dyDescent="0.2">
      <c r="A4049" s="649" t="s">
        <v>7008</v>
      </c>
      <c r="B4049" s="725" t="s">
        <v>7007</v>
      </c>
    </row>
    <row r="4050" spans="1:2" x14ac:dyDescent="0.2">
      <c r="A4050" s="649" t="s">
        <v>7210</v>
      </c>
      <c r="B4050" s="725" t="s">
        <v>7209</v>
      </c>
    </row>
    <row r="4051" spans="1:2" ht="28.5" x14ac:dyDescent="0.2">
      <c r="A4051" s="649" t="s">
        <v>6978</v>
      </c>
      <c r="B4051" s="725" t="s">
        <v>6977</v>
      </c>
    </row>
    <row r="4052" spans="1:2" x14ac:dyDescent="0.2">
      <c r="A4052" s="649" t="s">
        <v>6222</v>
      </c>
      <c r="B4052" s="725" t="s">
        <v>6221</v>
      </c>
    </row>
    <row r="4053" spans="1:2" x14ac:dyDescent="0.2">
      <c r="A4053" s="649" t="s">
        <v>6980</v>
      </c>
      <c r="B4053" s="725" t="s">
        <v>6979</v>
      </c>
    </row>
    <row r="4054" spans="1:2" x14ac:dyDescent="0.2">
      <c r="A4054" s="649" t="s">
        <v>1753</v>
      </c>
      <c r="B4054" s="725" t="s">
        <v>1752</v>
      </c>
    </row>
    <row r="4055" spans="1:2" x14ac:dyDescent="0.2">
      <c r="A4055" s="649" t="s">
        <v>4643</v>
      </c>
      <c r="B4055" s="725" t="s">
        <v>4642</v>
      </c>
    </row>
    <row r="4056" spans="1:2" x14ac:dyDescent="0.2">
      <c r="A4056" s="649" t="s">
        <v>4477</v>
      </c>
      <c r="B4056" s="725" t="s">
        <v>4476</v>
      </c>
    </row>
    <row r="4057" spans="1:2" x14ac:dyDescent="0.2">
      <c r="A4057" s="649" t="s">
        <v>5622</v>
      </c>
      <c r="B4057" s="725" t="s">
        <v>5621</v>
      </c>
    </row>
    <row r="4058" spans="1:2" x14ac:dyDescent="0.2">
      <c r="A4058" s="649" t="s">
        <v>1817</v>
      </c>
      <c r="B4058" s="725" t="s">
        <v>1816</v>
      </c>
    </row>
    <row r="4059" spans="1:2" x14ac:dyDescent="0.2">
      <c r="A4059" s="649" t="s">
        <v>8314</v>
      </c>
      <c r="B4059" s="725" t="s">
        <v>8313</v>
      </c>
    </row>
    <row r="4060" spans="1:2" x14ac:dyDescent="0.2">
      <c r="A4060" s="649" t="s">
        <v>1899</v>
      </c>
      <c r="B4060" s="725" t="s">
        <v>1898</v>
      </c>
    </row>
    <row r="4061" spans="1:2" x14ac:dyDescent="0.2">
      <c r="A4061" s="649" t="s">
        <v>1987</v>
      </c>
      <c r="B4061" s="725" t="s">
        <v>1986</v>
      </c>
    </row>
    <row r="4062" spans="1:2" x14ac:dyDescent="0.2">
      <c r="A4062" s="649" t="s">
        <v>3899</v>
      </c>
      <c r="B4062" s="725" t="s">
        <v>3898</v>
      </c>
    </row>
    <row r="4063" spans="1:2" x14ac:dyDescent="0.2">
      <c r="A4063" s="649" t="s">
        <v>7042</v>
      </c>
      <c r="B4063" s="725" t="s">
        <v>7041</v>
      </c>
    </row>
    <row r="4064" spans="1:2" x14ac:dyDescent="0.2">
      <c r="A4064" s="649" t="s">
        <v>622</v>
      </c>
      <c r="B4064" s="725" t="s">
        <v>621</v>
      </c>
    </row>
    <row r="4065" spans="1:2" x14ac:dyDescent="0.2">
      <c r="A4065" s="649" t="s">
        <v>5499</v>
      </c>
      <c r="B4065" s="725" t="s">
        <v>5498</v>
      </c>
    </row>
    <row r="4066" spans="1:2" x14ac:dyDescent="0.2">
      <c r="A4066" s="649" t="s">
        <v>6982</v>
      </c>
      <c r="B4066" s="725" t="s">
        <v>6981</v>
      </c>
    </row>
    <row r="4067" spans="1:2" x14ac:dyDescent="0.2">
      <c r="A4067" s="649" t="s">
        <v>5249</v>
      </c>
      <c r="B4067" s="725" t="s">
        <v>5248</v>
      </c>
    </row>
    <row r="4068" spans="1:2" x14ac:dyDescent="0.2">
      <c r="A4068" s="649" t="s">
        <v>4699</v>
      </c>
      <c r="B4068" s="725" t="s">
        <v>4698</v>
      </c>
    </row>
    <row r="4069" spans="1:2" x14ac:dyDescent="0.2">
      <c r="A4069" s="649" t="s">
        <v>6566</v>
      </c>
      <c r="B4069" s="725" t="s">
        <v>6565</v>
      </c>
    </row>
    <row r="4070" spans="1:2" x14ac:dyDescent="0.2">
      <c r="A4070" s="649" t="s">
        <v>7044</v>
      </c>
      <c r="B4070" s="725" t="s">
        <v>7043</v>
      </c>
    </row>
    <row r="4071" spans="1:2" x14ac:dyDescent="0.2">
      <c r="A4071" s="649" t="s">
        <v>5003</v>
      </c>
      <c r="B4071" s="725" t="s">
        <v>5002</v>
      </c>
    </row>
    <row r="4072" spans="1:2" x14ac:dyDescent="0.2">
      <c r="A4072" s="649" t="s">
        <v>1590</v>
      </c>
      <c r="B4072" s="725" t="s">
        <v>1589</v>
      </c>
    </row>
    <row r="4073" spans="1:2" x14ac:dyDescent="0.2">
      <c r="A4073" s="649" t="s">
        <v>618</v>
      </c>
      <c r="B4073" s="725" t="s">
        <v>617</v>
      </c>
    </row>
    <row r="4074" spans="1:2" x14ac:dyDescent="0.2">
      <c r="A4074" s="848" t="s">
        <v>2175</v>
      </c>
      <c r="B4074" s="849" t="s">
        <v>2174</v>
      </c>
    </row>
    <row r="4075" spans="1:2" x14ac:dyDescent="0.2">
      <c r="A4075" s="489" t="s">
        <v>5303</v>
      </c>
      <c r="B4075" s="569" t="s">
        <v>5302</v>
      </c>
    </row>
    <row r="4076" spans="1:2" x14ac:dyDescent="0.2">
      <c r="A4076" s="489" t="s">
        <v>4323</v>
      </c>
      <c r="B4076" s="569" t="s">
        <v>4322</v>
      </c>
    </row>
    <row r="4077" spans="1:2" x14ac:dyDescent="0.2">
      <c r="A4077" s="489" t="s">
        <v>3449</v>
      </c>
      <c r="B4077" s="569" t="s">
        <v>3448</v>
      </c>
    </row>
    <row r="4078" spans="1:2" x14ac:dyDescent="0.2">
      <c r="A4078" s="489" t="s">
        <v>7212</v>
      </c>
      <c r="B4078" s="569" t="s">
        <v>7211</v>
      </c>
    </row>
    <row r="4079" spans="1:2" x14ac:dyDescent="0.2">
      <c r="A4079" s="489" t="s">
        <v>7306</v>
      </c>
      <c r="B4079" s="569" t="s">
        <v>7305</v>
      </c>
    </row>
    <row r="4080" spans="1:2" x14ac:dyDescent="0.2">
      <c r="A4080" s="489" t="s">
        <v>4081</v>
      </c>
      <c r="B4080" s="569" t="s">
        <v>4080</v>
      </c>
    </row>
    <row r="4081" spans="1:2" x14ac:dyDescent="0.2">
      <c r="A4081" s="489" t="s">
        <v>6224</v>
      </c>
      <c r="B4081" s="569" t="s">
        <v>6223</v>
      </c>
    </row>
    <row r="4082" spans="1:2" x14ac:dyDescent="0.2">
      <c r="A4082" s="489" t="s">
        <v>762</v>
      </c>
      <c r="B4082" s="569" t="s">
        <v>761</v>
      </c>
    </row>
    <row r="4083" spans="1:2" x14ac:dyDescent="0.2">
      <c r="A4083" s="489" t="s">
        <v>3557</v>
      </c>
      <c r="B4083" s="569" t="s">
        <v>3556</v>
      </c>
    </row>
    <row r="4084" spans="1:2" x14ac:dyDescent="0.2">
      <c r="A4084" s="489" t="s">
        <v>814</v>
      </c>
      <c r="B4084" s="569" t="s">
        <v>813</v>
      </c>
    </row>
    <row r="4085" spans="1:2" x14ac:dyDescent="0.2">
      <c r="A4085" s="489" t="s">
        <v>1903</v>
      </c>
      <c r="B4085" s="569" t="s">
        <v>1902</v>
      </c>
    </row>
    <row r="4086" spans="1:2" x14ac:dyDescent="0.2">
      <c r="A4086" s="489" t="s">
        <v>3525</v>
      </c>
      <c r="B4086" s="569" t="s">
        <v>3524</v>
      </c>
    </row>
    <row r="4087" spans="1:2" x14ac:dyDescent="0.2">
      <c r="A4087" s="489" t="s">
        <v>7308</v>
      </c>
      <c r="B4087" s="569" t="s">
        <v>7307</v>
      </c>
    </row>
    <row r="4088" spans="1:2" x14ac:dyDescent="0.2">
      <c r="A4088" s="489" t="s">
        <v>5305</v>
      </c>
      <c r="B4088" s="569" t="s">
        <v>5304</v>
      </c>
    </row>
    <row r="4089" spans="1:2" x14ac:dyDescent="0.2">
      <c r="A4089" s="489" t="s">
        <v>1482</v>
      </c>
      <c r="B4089" s="569" t="s">
        <v>1481</v>
      </c>
    </row>
    <row r="4090" spans="1:2" x14ac:dyDescent="0.2">
      <c r="A4090" s="489" t="s">
        <v>1911</v>
      </c>
      <c r="B4090" s="569" t="s">
        <v>1910</v>
      </c>
    </row>
    <row r="4091" spans="1:2" x14ac:dyDescent="0.2">
      <c r="A4091" s="489" t="s">
        <v>1484</v>
      </c>
      <c r="B4091" s="569" t="s">
        <v>1483</v>
      </c>
    </row>
    <row r="4092" spans="1:2" x14ac:dyDescent="0.2">
      <c r="A4092" s="489" t="s">
        <v>624</v>
      </c>
      <c r="B4092" s="569" t="s">
        <v>623</v>
      </c>
    </row>
    <row r="4093" spans="1:2" x14ac:dyDescent="0.2">
      <c r="A4093" s="489" t="s">
        <v>3693</v>
      </c>
      <c r="B4093" s="569" t="s">
        <v>3692</v>
      </c>
    </row>
    <row r="4094" spans="1:2" x14ac:dyDescent="0.2">
      <c r="A4094" s="489" t="s">
        <v>972</v>
      </c>
      <c r="B4094" s="569" t="s">
        <v>971</v>
      </c>
    </row>
    <row r="4095" spans="1:2" x14ac:dyDescent="0.2">
      <c r="A4095" s="489" t="s">
        <v>7310</v>
      </c>
      <c r="B4095" s="569" t="s">
        <v>7309</v>
      </c>
    </row>
    <row r="4096" spans="1:2" x14ac:dyDescent="0.2">
      <c r="A4096" s="489" t="s">
        <v>7564</v>
      </c>
      <c r="B4096" s="569" t="s">
        <v>7563</v>
      </c>
    </row>
    <row r="4097" spans="1:2" x14ac:dyDescent="0.2">
      <c r="A4097" s="489" t="s">
        <v>4623</v>
      </c>
      <c r="B4097" s="569" t="s">
        <v>4622</v>
      </c>
    </row>
    <row r="4098" spans="1:2" x14ac:dyDescent="0.2">
      <c r="A4098" s="489" t="s">
        <v>6456</v>
      </c>
      <c r="B4098" s="569" t="s">
        <v>6455</v>
      </c>
    </row>
    <row r="4099" spans="1:2" x14ac:dyDescent="0.2">
      <c r="A4099" s="489" t="s">
        <v>1755</v>
      </c>
      <c r="B4099" s="569" t="s">
        <v>1754</v>
      </c>
    </row>
    <row r="4100" spans="1:2" x14ac:dyDescent="0.2">
      <c r="A4100" s="489" t="s">
        <v>7832</v>
      </c>
      <c r="B4100" s="569" t="s">
        <v>7831</v>
      </c>
    </row>
    <row r="4101" spans="1:2" x14ac:dyDescent="0.2">
      <c r="A4101" s="489" t="s">
        <v>5539</v>
      </c>
      <c r="B4101" s="569" t="s">
        <v>5538</v>
      </c>
    </row>
    <row r="4102" spans="1:2" x14ac:dyDescent="0.2">
      <c r="A4102" s="489" t="s">
        <v>7566</v>
      </c>
      <c r="B4102" s="569" t="s">
        <v>7565</v>
      </c>
    </row>
    <row r="4103" spans="1:2" x14ac:dyDescent="0.2">
      <c r="A4103" s="489" t="s">
        <v>1404</v>
      </c>
      <c r="B4103" s="569" t="s">
        <v>1403</v>
      </c>
    </row>
    <row r="4104" spans="1:2" x14ac:dyDescent="0.2">
      <c r="A4104" s="489" t="s">
        <v>7214</v>
      </c>
      <c r="B4104" s="569" t="s">
        <v>7213</v>
      </c>
    </row>
    <row r="4105" spans="1:2" x14ac:dyDescent="0.2">
      <c r="A4105" s="489" t="s">
        <v>6668</v>
      </c>
      <c r="B4105" s="569" t="s">
        <v>6667</v>
      </c>
    </row>
    <row r="4106" spans="1:2" x14ac:dyDescent="0.2">
      <c r="A4106" s="489" t="s">
        <v>1584</v>
      </c>
      <c r="B4106" s="569" t="s">
        <v>1583</v>
      </c>
    </row>
    <row r="4107" spans="1:2" x14ac:dyDescent="0.2">
      <c r="A4107" s="489" t="s">
        <v>1777</v>
      </c>
      <c r="B4107" s="569" t="s">
        <v>1776</v>
      </c>
    </row>
    <row r="4108" spans="1:2" x14ac:dyDescent="0.2">
      <c r="A4108" s="489" t="s">
        <v>7142</v>
      </c>
      <c r="B4108" s="569" t="s">
        <v>7141</v>
      </c>
    </row>
    <row r="4109" spans="1:2" x14ac:dyDescent="0.2">
      <c r="A4109" s="489" t="s">
        <v>2667</v>
      </c>
      <c r="B4109" s="569" t="s">
        <v>2666</v>
      </c>
    </row>
    <row r="4110" spans="1:2" x14ac:dyDescent="0.2">
      <c r="A4110" s="489" t="s">
        <v>1919</v>
      </c>
      <c r="B4110" s="569" t="s">
        <v>1918</v>
      </c>
    </row>
    <row r="4111" spans="1:2" x14ac:dyDescent="0.2">
      <c r="A4111" s="489" t="s">
        <v>4099</v>
      </c>
      <c r="B4111" s="569" t="s">
        <v>4098</v>
      </c>
    </row>
    <row r="4112" spans="1:2" x14ac:dyDescent="0.2">
      <c r="A4112" s="489" t="s">
        <v>1628</v>
      </c>
      <c r="B4112" s="569" t="s">
        <v>1627</v>
      </c>
    </row>
    <row r="4113" spans="1:2" x14ac:dyDescent="0.2">
      <c r="A4113" s="489" t="s">
        <v>4389</v>
      </c>
      <c r="B4113" s="569" t="s">
        <v>4388</v>
      </c>
    </row>
    <row r="4114" spans="1:2" x14ac:dyDescent="0.2">
      <c r="A4114" s="489" t="s">
        <v>5215</v>
      </c>
      <c r="B4114" s="569" t="s">
        <v>5214</v>
      </c>
    </row>
    <row r="4115" spans="1:2" x14ac:dyDescent="0.2">
      <c r="A4115" s="489" t="s">
        <v>4351</v>
      </c>
      <c r="B4115" s="569" t="s">
        <v>4350</v>
      </c>
    </row>
    <row r="4116" spans="1:2" x14ac:dyDescent="0.2">
      <c r="A4116" s="489" t="s">
        <v>7568</v>
      </c>
      <c r="B4116" s="569" t="s">
        <v>7567</v>
      </c>
    </row>
    <row r="4117" spans="1:2" x14ac:dyDescent="0.2">
      <c r="A4117" s="489" t="s">
        <v>7322</v>
      </c>
      <c r="B4117" s="569" t="s">
        <v>7321</v>
      </c>
    </row>
    <row r="4118" spans="1:2" x14ac:dyDescent="0.2">
      <c r="A4118" s="489" t="s">
        <v>6226</v>
      </c>
      <c r="B4118" s="569" t="s">
        <v>6225</v>
      </c>
    </row>
    <row r="4119" spans="1:2" x14ac:dyDescent="0.2">
      <c r="A4119" s="489" t="s">
        <v>6984</v>
      </c>
      <c r="B4119" s="569" t="s">
        <v>6983</v>
      </c>
    </row>
    <row r="4120" spans="1:2" x14ac:dyDescent="0.2">
      <c r="A4120" s="489" t="s">
        <v>5005</v>
      </c>
      <c r="B4120" s="569" t="s">
        <v>5004</v>
      </c>
    </row>
    <row r="4121" spans="1:2" x14ac:dyDescent="0.2">
      <c r="A4121" s="489" t="s">
        <v>5624</v>
      </c>
      <c r="B4121" s="569" t="s">
        <v>5623</v>
      </c>
    </row>
    <row r="4122" spans="1:2" x14ac:dyDescent="0.2">
      <c r="A4122" s="489" t="s">
        <v>7312</v>
      </c>
      <c r="B4122" s="569" t="s">
        <v>7311</v>
      </c>
    </row>
    <row r="4123" spans="1:2" x14ac:dyDescent="0.2">
      <c r="A4123" s="489" t="s">
        <v>3451</v>
      </c>
      <c r="B4123" s="569" t="s">
        <v>3450</v>
      </c>
    </row>
    <row r="4124" spans="1:2" x14ac:dyDescent="0.2">
      <c r="A4124" s="489" t="s">
        <v>7796</v>
      </c>
      <c r="B4124" s="569" t="s">
        <v>7795</v>
      </c>
    </row>
    <row r="4125" spans="1:2" x14ac:dyDescent="0.2">
      <c r="A4125" s="489" t="s">
        <v>3595</v>
      </c>
      <c r="B4125" s="569" t="s">
        <v>3594</v>
      </c>
    </row>
    <row r="4126" spans="1:2" x14ac:dyDescent="0.2">
      <c r="A4126" s="489" t="s">
        <v>6228</v>
      </c>
      <c r="B4126" s="569" t="s">
        <v>6227</v>
      </c>
    </row>
    <row r="4127" spans="1:2" x14ac:dyDescent="0.2">
      <c r="A4127" s="489" t="s">
        <v>7798</v>
      </c>
      <c r="B4127" s="569" t="s">
        <v>7797</v>
      </c>
    </row>
    <row r="4128" spans="1:2" x14ac:dyDescent="0.2">
      <c r="A4128" s="489" t="s">
        <v>7314</v>
      </c>
      <c r="B4128" s="569" t="s">
        <v>7313</v>
      </c>
    </row>
    <row r="4129" spans="1:2" x14ac:dyDescent="0.2">
      <c r="A4129" s="489" t="s">
        <v>1757</v>
      </c>
      <c r="B4129" s="569" t="s">
        <v>1756</v>
      </c>
    </row>
    <row r="4130" spans="1:2" x14ac:dyDescent="0.2">
      <c r="A4130" s="489" t="s">
        <v>1811</v>
      </c>
      <c r="B4130" s="569" t="s">
        <v>1810</v>
      </c>
    </row>
    <row r="4131" spans="1:2" x14ac:dyDescent="0.2">
      <c r="A4131" s="489" t="s">
        <v>4511</v>
      </c>
      <c r="B4131" s="569" t="s">
        <v>4510</v>
      </c>
    </row>
    <row r="4132" spans="1:2" x14ac:dyDescent="0.2">
      <c r="A4132" s="489" t="s">
        <v>5501</v>
      </c>
      <c r="B4132" s="569" t="s">
        <v>5500</v>
      </c>
    </row>
    <row r="4133" spans="1:2" x14ac:dyDescent="0.2">
      <c r="A4133" s="489" t="s">
        <v>3453</v>
      </c>
      <c r="B4133" s="569" t="s">
        <v>3452</v>
      </c>
    </row>
    <row r="4134" spans="1:2" x14ac:dyDescent="0.2">
      <c r="A4134" s="489" t="s">
        <v>4325</v>
      </c>
      <c r="B4134" s="569" t="s">
        <v>4324</v>
      </c>
    </row>
    <row r="4135" spans="1:2" x14ac:dyDescent="0.2">
      <c r="A4135" s="489" t="s">
        <v>2373</v>
      </c>
      <c r="B4135" s="569" t="s">
        <v>2372</v>
      </c>
    </row>
    <row r="4136" spans="1:2" x14ac:dyDescent="0.2">
      <c r="A4136" s="489" t="s">
        <v>8018</v>
      </c>
      <c r="B4136" s="569" t="s">
        <v>8017</v>
      </c>
    </row>
    <row r="4137" spans="1:2" x14ac:dyDescent="0.2">
      <c r="A4137" s="489" t="s">
        <v>2375</v>
      </c>
      <c r="B4137" s="569" t="s">
        <v>2374</v>
      </c>
    </row>
    <row r="4138" spans="1:2" x14ac:dyDescent="0.2">
      <c r="A4138" s="489" t="s">
        <v>7964</v>
      </c>
      <c r="B4138" s="569" t="s">
        <v>7963</v>
      </c>
    </row>
    <row r="4139" spans="1:2" x14ac:dyDescent="0.2">
      <c r="A4139" s="489" t="s">
        <v>2341</v>
      </c>
      <c r="B4139" s="569" t="s">
        <v>2340</v>
      </c>
    </row>
    <row r="4140" spans="1:2" x14ac:dyDescent="0.2">
      <c r="A4140" s="489" t="s">
        <v>2343</v>
      </c>
      <c r="B4140" s="569" t="s">
        <v>2342</v>
      </c>
    </row>
    <row r="4141" spans="1:2" x14ac:dyDescent="0.2">
      <c r="A4141" s="489" t="s">
        <v>2345</v>
      </c>
      <c r="B4141" s="569" t="s">
        <v>2344</v>
      </c>
    </row>
    <row r="4142" spans="1:2" x14ac:dyDescent="0.2">
      <c r="A4142" s="489" t="s">
        <v>1516</v>
      </c>
      <c r="B4142" s="569" t="s">
        <v>1515</v>
      </c>
    </row>
    <row r="4143" spans="1:2" x14ac:dyDescent="0.2">
      <c r="A4143" s="489" t="s">
        <v>1642</v>
      </c>
      <c r="B4143" s="569" t="s">
        <v>1641</v>
      </c>
    </row>
    <row r="4144" spans="1:2" x14ac:dyDescent="0.2">
      <c r="A4144" s="489" t="s">
        <v>7316</v>
      </c>
      <c r="B4144" s="569" t="s">
        <v>7315</v>
      </c>
    </row>
    <row r="4145" spans="1:2" x14ac:dyDescent="0.2">
      <c r="A4145" s="489" t="s">
        <v>6346</v>
      </c>
      <c r="B4145" s="569" t="s">
        <v>6345</v>
      </c>
    </row>
    <row r="4146" spans="1:2" x14ac:dyDescent="0.2">
      <c r="A4146" s="489" t="s">
        <v>5626</v>
      </c>
      <c r="B4146" s="569" t="s">
        <v>5625</v>
      </c>
    </row>
    <row r="4147" spans="1:2" x14ac:dyDescent="0.2">
      <c r="A4147" s="489" t="s">
        <v>5217</v>
      </c>
      <c r="B4147" s="569" t="s">
        <v>5216</v>
      </c>
    </row>
    <row r="4148" spans="1:2" x14ac:dyDescent="0.2">
      <c r="A4148" s="489" t="s">
        <v>3455</v>
      </c>
      <c r="B4148" s="569" t="s">
        <v>3454</v>
      </c>
    </row>
    <row r="4149" spans="1:2" x14ac:dyDescent="0.2">
      <c r="A4149" s="489" t="s">
        <v>8367</v>
      </c>
      <c r="B4149" s="569" t="s">
        <v>8341</v>
      </c>
    </row>
    <row r="4150" spans="1:2" ht="15" thickBot="1" x14ac:dyDescent="0.25">
      <c r="A4150" s="571" t="s">
        <v>8367</v>
      </c>
      <c r="B4150" s="850" t="s">
        <v>8342</v>
      </c>
    </row>
    <row r="4151" spans="1:2" x14ac:dyDescent="0.2">
      <c r="A4151" s="1004" t="s">
        <v>8641</v>
      </c>
      <c r="B4151" s="1004"/>
    </row>
  </sheetData>
  <sheetProtection algorithmName="SHA-512" hashValue="F4Z50eqv5MAa5Dz0pmDhS05+kqvNI6ANjLvVtwadgXhBiYJZu1E4BsHwKnEnkigEKOP5jA5V8dFI3Acos8BNrw==" saltValue="p3/2TABkgb6Pr/nlQMbNsg==" spinCount="100000" sheet="1" objects="1" scenarios="1" formatColumns="0" formatRows="0" autoFilter="0"/>
  <autoFilter ref="A5:B4151" xr:uid="{3B6CD8E5-B136-49BF-8CA7-5688D51079D2}">
    <sortState xmlns:xlrd2="http://schemas.microsoft.com/office/spreadsheetml/2017/richdata2" ref="A6:B4074">
      <sortCondition ref="B5:B4073"/>
    </sortState>
  </autoFilter>
  <mergeCells count="5">
    <mergeCell ref="A1:B1"/>
    <mergeCell ref="A2:B2"/>
    <mergeCell ref="A3:B3"/>
    <mergeCell ref="A4:B4"/>
    <mergeCell ref="A4151:B4151"/>
  </mergeCells>
  <printOptions horizontalCentered="1"/>
  <pageMargins left="0.7" right="0.7" top="0.75" bottom="0.75" header="0.3" footer="0.3"/>
  <pageSetup scale="75" fitToHeight="0" orientation="portrait" r:id="rId1"/>
  <headerFooter>
    <oddHeader>&amp;C&amp;"Arial,Regular"Tanks and Loading Increases RAP Application</oddHeader>
    <oddFooter>&amp;LVersion 3.0&amp;CSheet: &amp;A&amp;RPage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EF6DC-C0DD-4161-A4F8-11473A1C4943}">
  <sheetPr codeName="Sheet7">
    <tabColor theme="8" tint="0.39997558519241921"/>
  </sheetPr>
  <dimension ref="A1:XFB252"/>
  <sheetViews>
    <sheetView workbookViewId="0">
      <selection sqref="A1:G1"/>
    </sheetView>
  </sheetViews>
  <sheetFormatPr defaultColWidth="0" defaultRowHeight="12.75" zeroHeight="1" x14ac:dyDescent="0.2"/>
  <cols>
    <col min="1" max="1" width="14.7109375" style="475" customWidth="1"/>
    <col min="2" max="2" width="16.42578125" style="475" customWidth="1"/>
    <col min="3" max="7" width="14.7109375" style="475" customWidth="1"/>
    <col min="8" max="16382" width="0" style="461" hidden="1"/>
    <col min="16383" max="16384" width="17.42578125" style="461" hidden="1"/>
  </cols>
  <sheetData>
    <row r="1" spans="1:9" ht="6" customHeight="1" thickBot="1" x14ac:dyDescent="0.25">
      <c r="A1" s="1208" t="s">
        <v>8392</v>
      </c>
      <c r="B1" s="1208"/>
      <c r="C1" s="1208"/>
      <c r="D1" s="1208"/>
      <c r="E1" s="1208"/>
      <c r="F1" s="1208"/>
      <c r="G1" s="1208"/>
    </row>
    <row r="2" spans="1:9" ht="18.75" thickBot="1" x14ac:dyDescent="0.25">
      <c r="A2" s="1209" t="s">
        <v>10522</v>
      </c>
      <c r="B2" s="1210"/>
      <c r="C2" s="1211"/>
      <c r="D2" s="1211"/>
      <c r="E2" s="1211"/>
      <c r="F2" s="1211"/>
      <c r="G2" s="1212"/>
    </row>
    <row r="3" spans="1:9" s="476" customFormat="1" ht="45" customHeight="1" thickBot="1" x14ac:dyDescent="0.25">
      <c r="A3" s="1213" t="s">
        <v>10541</v>
      </c>
      <c r="B3" s="1214"/>
      <c r="C3" s="1214"/>
      <c r="D3" s="1214"/>
      <c r="E3" s="1214"/>
      <c r="F3" s="1214"/>
      <c r="G3" s="1215"/>
    </row>
    <row r="4" spans="1:9" s="477" customFormat="1" ht="15" thickBot="1" x14ac:dyDescent="0.3">
      <c r="A4" s="1216" t="s">
        <v>8567</v>
      </c>
      <c r="B4" s="1216"/>
      <c r="C4" s="1216"/>
      <c r="D4" s="1216"/>
      <c r="E4" s="1216"/>
      <c r="F4" s="1216"/>
      <c r="G4" s="1216"/>
    </row>
    <row r="5" spans="1:9" s="462" customFormat="1" ht="15.75" thickBot="1" x14ac:dyDescent="0.3">
      <c r="A5" s="1248" t="s">
        <v>10517</v>
      </c>
      <c r="B5" s="1249"/>
      <c r="C5" s="1249"/>
      <c r="D5" s="1249"/>
      <c r="E5" s="1249"/>
      <c r="F5" s="1249"/>
      <c r="G5" s="1250"/>
      <c r="H5" s="1243"/>
      <c r="I5" s="1243"/>
    </row>
    <row r="6" spans="1:9" s="462" customFormat="1" ht="15.75" thickBot="1" x14ac:dyDescent="0.3">
      <c r="A6" s="1245" t="s">
        <v>10193</v>
      </c>
      <c r="B6" s="1246"/>
      <c r="C6" s="1246"/>
      <c r="D6" s="1246"/>
      <c r="E6" s="1246"/>
      <c r="F6" s="1246"/>
      <c r="G6" s="1247"/>
      <c r="H6" s="485"/>
      <c r="I6" s="485"/>
    </row>
    <row r="7" spans="1:9" s="462" customFormat="1" ht="60.75" customHeight="1" x14ac:dyDescent="0.25">
      <c r="A7" s="1251" t="s">
        <v>10217</v>
      </c>
      <c r="B7" s="1252"/>
      <c r="C7" s="1252"/>
      <c r="D7" s="1252"/>
      <c r="E7" s="1252"/>
      <c r="F7" s="1252"/>
      <c r="G7" s="754"/>
      <c r="H7" s="485"/>
      <c r="I7" s="485"/>
    </row>
    <row r="8" spans="1:9" s="462" customFormat="1" ht="30.75" customHeight="1" x14ac:dyDescent="0.2">
      <c r="A8" s="1220" t="s">
        <v>10250</v>
      </c>
      <c r="B8" s="1139"/>
      <c r="C8" s="1139"/>
      <c r="D8" s="1139"/>
      <c r="E8" s="1139"/>
      <c r="F8" s="1139"/>
      <c r="G8" s="854"/>
    </row>
    <row r="9" spans="1:9" s="462" customFormat="1" ht="30.75" customHeight="1" x14ac:dyDescent="0.2">
      <c r="A9" s="1244" t="s">
        <v>10113</v>
      </c>
      <c r="B9" s="1139"/>
      <c r="C9" s="1139"/>
      <c r="D9" s="1139"/>
      <c r="E9" s="1139"/>
      <c r="F9" s="1139"/>
      <c r="G9" s="854"/>
    </row>
    <row r="10" spans="1:9" s="462" customFormat="1" ht="30.75" customHeight="1" x14ac:dyDescent="0.2">
      <c r="A10" s="1138" t="s">
        <v>8646</v>
      </c>
      <c r="B10" s="1139"/>
      <c r="C10" s="1139"/>
      <c r="D10" s="1139"/>
      <c r="E10" s="1139"/>
      <c r="F10" s="1139"/>
      <c r="G10" s="854"/>
    </row>
    <row r="11" spans="1:9" s="462" customFormat="1" ht="15" customHeight="1" x14ac:dyDescent="0.2">
      <c r="A11" s="1138" t="s">
        <v>8389</v>
      </c>
      <c r="B11" s="1139"/>
      <c r="C11" s="1139"/>
      <c r="D11" s="1139"/>
      <c r="E11" s="1139"/>
      <c r="F11" s="1139"/>
      <c r="G11" s="463"/>
    </row>
    <row r="12" spans="1:9" s="462" customFormat="1" ht="15" customHeight="1" x14ac:dyDescent="0.2">
      <c r="A12" s="1138" t="s">
        <v>8387</v>
      </c>
      <c r="B12" s="1139"/>
      <c r="C12" s="1139"/>
      <c r="D12" s="1139"/>
      <c r="E12" s="1139"/>
      <c r="F12" s="1139"/>
      <c r="G12" s="463"/>
    </row>
    <row r="13" spans="1:9" s="462" customFormat="1" ht="31.5" customHeight="1" x14ac:dyDescent="0.2">
      <c r="A13" s="1220" t="s">
        <v>10251</v>
      </c>
      <c r="B13" s="1139"/>
      <c r="C13" s="1139"/>
      <c r="D13" s="1139"/>
      <c r="E13" s="1139"/>
      <c r="F13" s="1139"/>
      <c r="G13" s="463"/>
    </row>
    <row r="14" spans="1:9" s="462" customFormat="1" ht="30.75" customHeight="1" x14ac:dyDescent="0.2">
      <c r="A14" s="1138" t="s">
        <v>8388</v>
      </c>
      <c r="B14" s="1139"/>
      <c r="C14" s="1139"/>
      <c r="D14" s="1139"/>
      <c r="E14" s="1139"/>
      <c r="F14" s="1139"/>
      <c r="G14" s="463"/>
    </row>
    <row r="15" spans="1:9" s="462" customFormat="1" ht="31.5" customHeight="1" x14ac:dyDescent="0.2">
      <c r="A15" s="1217" t="s">
        <v>10513</v>
      </c>
      <c r="B15" s="1218"/>
      <c r="C15" s="1218"/>
      <c r="D15" s="1218"/>
      <c r="E15" s="1218"/>
      <c r="F15" s="1219"/>
      <c r="G15" s="854"/>
    </row>
    <row r="16" spans="1:9" s="462" customFormat="1" ht="60" customHeight="1" x14ac:dyDescent="0.2">
      <c r="A16" s="1220" t="s">
        <v>10332</v>
      </c>
      <c r="B16" s="1139"/>
      <c r="C16" s="1139"/>
      <c r="D16" s="1139"/>
      <c r="E16" s="1139"/>
      <c r="F16" s="1139"/>
      <c r="G16" s="463"/>
    </row>
    <row r="17" spans="1:16382" s="462" customFormat="1" ht="44.25" customHeight="1" x14ac:dyDescent="0.2">
      <c r="A17" s="1220" t="s">
        <v>10249</v>
      </c>
      <c r="B17" s="1139"/>
      <c r="C17" s="1139"/>
      <c r="D17" s="1139"/>
      <c r="E17" s="1139"/>
      <c r="F17" s="1139"/>
      <c r="G17" s="854"/>
    </row>
    <row r="18" spans="1:16382" s="462" customFormat="1" ht="29.25" customHeight="1" x14ac:dyDescent="0.2">
      <c r="A18" s="1138" t="s">
        <v>8390</v>
      </c>
      <c r="B18" s="1139"/>
      <c r="C18" s="1139"/>
      <c r="D18" s="1139"/>
      <c r="E18" s="1139"/>
      <c r="F18" s="1139"/>
      <c r="G18" s="854"/>
    </row>
    <row r="19" spans="1:16382" s="462" customFormat="1" ht="15" customHeight="1" x14ac:dyDescent="0.2">
      <c r="A19" s="1239" t="s">
        <v>10121</v>
      </c>
      <c r="B19" s="1139"/>
      <c r="C19" s="1139"/>
      <c r="D19" s="1139"/>
      <c r="E19" s="1139"/>
      <c r="F19" s="1139"/>
      <c r="G19" s="854"/>
    </row>
    <row r="20" spans="1:16382" s="462" customFormat="1" ht="59.25" customHeight="1" x14ac:dyDescent="0.2">
      <c r="A20" s="1231" t="s">
        <v>10289</v>
      </c>
      <c r="B20" s="1232"/>
      <c r="C20" s="1232"/>
      <c r="D20" s="1232"/>
      <c r="E20" s="1232"/>
      <c r="F20" s="1233"/>
      <c r="G20" s="855"/>
    </row>
    <row r="21" spans="1:16382" s="462" customFormat="1" ht="15.75" customHeight="1" thickBot="1" x14ac:dyDescent="0.25">
      <c r="A21" s="1221" t="s">
        <v>8391</v>
      </c>
      <c r="B21" s="1222"/>
      <c r="C21" s="1222"/>
      <c r="D21" s="1222"/>
      <c r="E21" s="1222"/>
      <c r="F21" s="1222"/>
      <c r="G21" s="856"/>
    </row>
    <row r="22" spans="1:16382" s="477" customFormat="1" ht="15" thickBot="1" x14ac:dyDescent="0.3">
      <c r="A22" s="1238" t="s">
        <v>10499</v>
      </c>
      <c r="B22" s="1238"/>
      <c r="C22" s="1238"/>
      <c r="D22" s="1238"/>
      <c r="E22" s="1238"/>
      <c r="F22" s="1238"/>
      <c r="G22" s="1238"/>
    </row>
    <row r="23" spans="1:16382" s="478" customFormat="1" ht="15" customHeight="1" thickBot="1" x14ac:dyDescent="0.25">
      <c r="A23" s="1120" t="s">
        <v>10218</v>
      </c>
      <c r="B23" s="1121"/>
      <c r="C23" s="1121"/>
      <c r="D23" s="1121"/>
      <c r="E23" s="1121"/>
      <c r="F23" s="1121"/>
      <c r="G23" s="1122"/>
      <c r="H23" s="476"/>
      <c r="I23" s="476"/>
      <c r="J23" s="476"/>
      <c r="K23" s="476"/>
      <c r="L23" s="476"/>
      <c r="M23" s="476"/>
      <c r="N23" s="476"/>
      <c r="O23" s="476"/>
      <c r="P23" s="476"/>
      <c r="Q23" s="476"/>
      <c r="R23" s="476"/>
      <c r="S23" s="476"/>
      <c r="T23" s="476"/>
      <c r="U23" s="476"/>
      <c r="V23" s="476"/>
      <c r="W23" s="476"/>
      <c r="X23" s="476"/>
      <c r="Y23" s="476"/>
      <c r="Z23" s="476"/>
      <c r="AA23" s="476"/>
      <c r="AB23" s="476"/>
      <c r="AC23" s="476"/>
      <c r="AD23" s="476"/>
      <c r="AE23" s="476"/>
      <c r="AF23" s="476"/>
      <c r="AG23" s="476"/>
      <c r="AH23" s="476"/>
      <c r="AI23" s="476"/>
      <c r="AJ23" s="476"/>
      <c r="AK23" s="476"/>
      <c r="AL23" s="476"/>
      <c r="AM23" s="476"/>
      <c r="AN23" s="476"/>
      <c r="AO23" s="476"/>
      <c r="AP23" s="476"/>
      <c r="AQ23" s="476"/>
      <c r="AR23" s="476"/>
      <c r="AS23" s="476"/>
      <c r="AT23" s="476"/>
      <c r="AU23" s="476"/>
      <c r="AV23" s="476"/>
      <c r="AW23" s="476"/>
      <c r="AX23" s="476"/>
      <c r="AY23" s="476"/>
      <c r="AZ23" s="476"/>
      <c r="BA23" s="476"/>
      <c r="BB23" s="476"/>
      <c r="BC23" s="476"/>
      <c r="BD23" s="476"/>
      <c r="BE23" s="476"/>
      <c r="BF23" s="476"/>
      <c r="BG23" s="476"/>
      <c r="BH23" s="476"/>
      <c r="BI23" s="476"/>
      <c r="BJ23" s="476"/>
      <c r="BK23" s="476"/>
      <c r="BL23" s="476"/>
      <c r="BM23" s="476"/>
      <c r="BN23" s="476"/>
      <c r="BO23" s="476"/>
      <c r="BP23" s="476"/>
      <c r="BQ23" s="476"/>
      <c r="BR23" s="476"/>
      <c r="BS23" s="476"/>
      <c r="BT23" s="476"/>
      <c r="BU23" s="476"/>
      <c r="BV23" s="476"/>
      <c r="BW23" s="476"/>
      <c r="BX23" s="476"/>
      <c r="BY23" s="476"/>
      <c r="BZ23" s="476"/>
      <c r="CA23" s="476"/>
      <c r="CB23" s="476"/>
      <c r="CC23" s="476"/>
      <c r="CD23" s="476"/>
      <c r="CE23" s="476"/>
      <c r="CF23" s="476"/>
      <c r="CG23" s="476"/>
      <c r="CH23" s="476"/>
      <c r="CI23" s="476"/>
      <c r="CJ23" s="476"/>
      <c r="CK23" s="476"/>
      <c r="CL23" s="476"/>
      <c r="CM23" s="476"/>
      <c r="CN23" s="476"/>
      <c r="CO23" s="476"/>
      <c r="CP23" s="476"/>
      <c r="CQ23" s="476"/>
      <c r="CR23" s="476"/>
      <c r="CS23" s="476"/>
      <c r="CT23" s="476"/>
      <c r="CU23" s="476"/>
      <c r="CV23" s="476"/>
      <c r="CW23" s="476"/>
      <c r="CX23" s="476"/>
      <c r="CY23" s="476"/>
      <c r="CZ23" s="476"/>
      <c r="DA23" s="476"/>
      <c r="DB23" s="476"/>
      <c r="DC23" s="476"/>
      <c r="DD23" s="476"/>
      <c r="DE23" s="476"/>
      <c r="DF23" s="476"/>
      <c r="DG23" s="476"/>
      <c r="DH23" s="476"/>
      <c r="DI23" s="476"/>
      <c r="DJ23" s="476"/>
      <c r="DK23" s="476"/>
      <c r="DL23" s="476"/>
      <c r="DM23" s="476"/>
      <c r="DN23" s="476"/>
      <c r="DO23" s="476"/>
      <c r="DP23" s="476"/>
      <c r="DQ23" s="476"/>
      <c r="DR23" s="476"/>
      <c r="DS23" s="476"/>
      <c r="DT23" s="476"/>
      <c r="DU23" s="476"/>
      <c r="DV23" s="476"/>
      <c r="DW23" s="476"/>
      <c r="DX23" s="476"/>
      <c r="DY23" s="476"/>
      <c r="DZ23" s="476"/>
      <c r="EA23" s="476"/>
      <c r="EB23" s="476"/>
      <c r="EC23" s="476"/>
      <c r="ED23" s="476"/>
      <c r="EE23" s="476"/>
      <c r="EF23" s="476"/>
      <c r="EG23" s="476"/>
      <c r="EH23" s="476"/>
      <c r="EI23" s="476"/>
      <c r="EJ23" s="476"/>
      <c r="EK23" s="476"/>
      <c r="EL23" s="476"/>
      <c r="EM23" s="476"/>
      <c r="EN23" s="476"/>
      <c r="EO23" s="476"/>
      <c r="EP23" s="476"/>
      <c r="EQ23" s="476"/>
      <c r="ER23" s="476"/>
      <c r="ES23" s="476"/>
      <c r="ET23" s="476"/>
      <c r="EU23" s="476"/>
      <c r="EV23" s="476"/>
      <c r="EW23" s="476"/>
      <c r="EX23" s="476"/>
      <c r="EY23" s="476"/>
      <c r="EZ23" s="476"/>
      <c r="FA23" s="476"/>
      <c r="FB23" s="476"/>
      <c r="FC23" s="476"/>
      <c r="FD23" s="476"/>
      <c r="FE23" s="476"/>
      <c r="FF23" s="476"/>
      <c r="FG23" s="476"/>
      <c r="FH23" s="476"/>
      <c r="FI23" s="476"/>
      <c r="FJ23" s="476"/>
      <c r="FK23" s="476"/>
      <c r="FL23" s="476"/>
      <c r="FM23" s="476"/>
      <c r="FN23" s="476"/>
      <c r="FO23" s="476"/>
      <c r="FP23" s="476"/>
      <c r="FQ23" s="476"/>
      <c r="FR23" s="476"/>
      <c r="FS23" s="476"/>
      <c r="FT23" s="476"/>
      <c r="FU23" s="476"/>
      <c r="FV23" s="476"/>
      <c r="FW23" s="476"/>
      <c r="FX23" s="476"/>
      <c r="FY23" s="476"/>
      <c r="FZ23" s="476"/>
      <c r="GA23" s="476"/>
      <c r="GB23" s="476"/>
      <c r="GC23" s="476"/>
      <c r="GD23" s="476"/>
      <c r="GE23" s="476"/>
      <c r="GF23" s="476"/>
      <c r="GG23" s="476"/>
      <c r="GH23" s="476"/>
      <c r="GI23" s="476"/>
      <c r="GJ23" s="476"/>
      <c r="GK23" s="476"/>
      <c r="GL23" s="476"/>
      <c r="GM23" s="476"/>
      <c r="GN23" s="476"/>
      <c r="GO23" s="476"/>
      <c r="GP23" s="476"/>
      <c r="GQ23" s="476"/>
      <c r="GR23" s="476"/>
      <c r="GS23" s="476"/>
      <c r="GT23" s="476"/>
      <c r="GU23" s="476"/>
      <c r="GV23" s="476"/>
      <c r="GW23" s="476"/>
      <c r="GX23" s="476"/>
      <c r="GY23" s="476"/>
      <c r="GZ23" s="476"/>
      <c r="HA23" s="476"/>
      <c r="HB23" s="476"/>
      <c r="HC23" s="476"/>
      <c r="HD23" s="476"/>
      <c r="HE23" s="476"/>
      <c r="HF23" s="476"/>
      <c r="HG23" s="476"/>
      <c r="HH23" s="476"/>
      <c r="HI23" s="476"/>
      <c r="HJ23" s="476"/>
      <c r="HK23" s="476"/>
      <c r="HL23" s="476"/>
      <c r="HM23" s="476"/>
      <c r="HN23" s="476"/>
      <c r="HO23" s="476"/>
      <c r="HP23" s="476"/>
      <c r="HQ23" s="476"/>
      <c r="HR23" s="476"/>
      <c r="HS23" s="476"/>
      <c r="HT23" s="476"/>
      <c r="HU23" s="476"/>
      <c r="HV23" s="476"/>
      <c r="HW23" s="476"/>
      <c r="HX23" s="476"/>
      <c r="HY23" s="476"/>
      <c r="HZ23" s="476"/>
      <c r="IA23" s="476"/>
      <c r="IB23" s="476"/>
      <c r="IC23" s="476"/>
      <c r="ID23" s="476"/>
      <c r="IE23" s="476"/>
      <c r="IF23" s="476"/>
      <c r="IG23" s="476"/>
      <c r="IH23" s="476"/>
      <c r="II23" s="476"/>
      <c r="IJ23" s="476"/>
      <c r="IK23" s="476"/>
      <c r="IL23" s="476"/>
      <c r="IM23" s="476"/>
      <c r="IN23" s="476"/>
      <c r="IO23" s="476"/>
      <c r="IP23" s="476"/>
      <c r="IQ23" s="476"/>
      <c r="IR23" s="476"/>
      <c r="IS23" s="476"/>
      <c r="IT23" s="476"/>
      <c r="IU23" s="476"/>
      <c r="IV23" s="476"/>
      <c r="IW23" s="476"/>
      <c r="IX23" s="476"/>
      <c r="IY23" s="476"/>
      <c r="IZ23" s="476"/>
      <c r="JA23" s="476"/>
      <c r="JB23" s="476"/>
      <c r="JC23" s="476"/>
      <c r="JD23" s="476"/>
      <c r="JE23" s="476"/>
      <c r="JF23" s="476"/>
      <c r="JG23" s="476"/>
      <c r="JH23" s="476"/>
      <c r="JI23" s="476"/>
      <c r="JJ23" s="476"/>
      <c r="JK23" s="476"/>
      <c r="JL23" s="476"/>
      <c r="JM23" s="476"/>
      <c r="JN23" s="476"/>
      <c r="JO23" s="476"/>
      <c r="JP23" s="476"/>
      <c r="JQ23" s="476"/>
      <c r="JR23" s="476"/>
      <c r="JS23" s="476"/>
      <c r="JT23" s="476"/>
      <c r="JU23" s="476"/>
      <c r="JV23" s="476"/>
      <c r="JW23" s="476"/>
      <c r="JX23" s="476"/>
      <c r="JY23" s="476"/>
      <c r="JZ23" s="476"/>
      <c r="KA23" s="476"/>
      <c r="KB23" s="476"/>
      <c r="KC23" s="476"/>
      <c r="KD23" s="476"/>
      <c r="KE23" s="476"/>
      <c r="KF23" s="476"/>
      <c r="KG23" s="476"/>
      <c r="KH23" s="476"/>
      <c r="KI23" s="476"/>
      <c r="KJ23" s="476"/>
      <c r="KK23" s="476"/>
      <c r="KL23" s="476"/>
      <c r="KM23" s="476"/>
      <c r="KN23" s="476"/>
      <c r="KO23" s="476"/>
      <c r="KP23" s="476"/>
      <c r="KQ23" s="476"/>
      <c r="KR23" s="476"/>
      <c r="KS23" s="476"/>
      <c r="KT23" s="476"/>
      <c r="KU23" s="476"/>
      <c r="KV23" s="476"/>
      <c r="KW23" s="476"/>
      <c r="KX23" s="476"/>
      <c r="KY23" s="476"/>
      <c r="KZ23" s="476"/>
      <c r="LA23" s="476"/>
      <c r="LB23" s="476"/>
      <c r="LC23" s="476"/>
      <c r="LD23" s="476"/>
      <c r="LE23" s="476"/>
      <c r="LF23" s="476"/>
      <c r="LG23" s="476"/>
      <c r="LH23" s="476"/>
      <c r="LI23" s="476"/>
      <c r="LJ23" s="476"/>
      <c r="LK23" s="476"/>
      <c r="LL23" s="476"/>
      <c r="LM23" s="476"/>
      <c r="LN23" s="476"/>
      <c r="LO23" s="476"/>
      <c r="LP23" s="476"/>
      <c r="LQ23" s="476"/>
      <c r="LR23" s="476"/>
      <c r="LS23" s="476"/>
      <c r="LT23" s="476"/>
      <c r="LU23" s="476"/>
      <c r="LV23" s="476"/>
      <c r="LW23" s="476"/>
      <c r="LX23" s="476"/>
      <c r="LY23" s="476"/>
      <c r="LZ23" s="476"/>
      <c r="MA23" s="476"/>
      <c r="MB23" s="476"/>
      <c r="MC23" s="476"/>
      <c r="MD23" s="476"/>
      <c r="ME23" s="476"/>
      <c r="MF23" s="476"/>
      <c r="MG23" s="476"/>
      <c r="MH23" s="476"/>
      <c r="MI23" s="476"/>
      <c r="MJ23" s="476"/>
      <c r="MK23" s="476"/>
      <c r="ML23" s="476"/>
      <c r="MM23" s="476"/>
      <c r="MN23" s="476"/>
      <c r="MO23" s="476"/>
      <c r="MP23" s="476"/>
      <c r="MQ23" s="476"/>
      <c r="MR23" s="476"/>
      <c r="MS23" s="476"/>
      <c r="MT23" s="476"/>
      <c r="MU23" s="476"/>
      <c r="MV23" s="476"/>
      <c r="MW23" s="476"/>
      <c r="MX23" s="476"/>
      <c r="MY23" s="476"/>
      <c r="MZ23" s="476"/>
      <c r="NA23" s="476"/>
      <c r="NB23" s="476"/>
      <c r="NC23" s="476"/>
      <c r="ND23" s="476"/>
      <c r="NE23" s="476"/>
      <c r="NF23" s="476"/>
      <c r="NG23" s="476"/>
      <c r="NH23" s="476"/>
      <c r="NI23" s="476"/>
      <c r="NJ23" s="476"/>
      <c r="NK23" s="476"/>
      <c r="NL23" s="476"/>
      <c r="NM23" s="476"/>
      <c r="NN23" s="476"/>
      <c r="NO23" s="476"/>
      <c r="NP23" s="476"/>
      <c r="NQ23" s="476"/>
      <c r="NR23" s="476"/>
      <c r="NS23" s="476"/>
      <c r="NT23" s="476"/>
      <c r="NU23" s="476"/>
      <c r="NV23" s="476"/>
      <c r="NW23" s="476"/>
      <c r="NX23" s="476"/>
      <c r="NY23" s="476"/>
      <c r="NZ23" s="476"/>
      <c r="OA23" s="476"/>
      <c r="OB23" s="476"/>
      <c r="OC23" s="476"/>
      <c r="OD23" s="476"/>
      <c r="OE23" s="476"/>
      <c r="OF23" s="476"/>
      <c r="OG23" s="476"/>
      <c r="OH23" s="476"/>
      <c r="OI23" s="476"/>
      <c r="OJ23" s="476"/>
      <c r="OK23" s="476"/>
      <c r="OL23" s="476"/>
      <c r="OM23" s="476"/>
      <c r="ON23" s="476"/>
      <c r="OO23" s="476"/>
      <c r="OP23" s="476"/>
      <c r="OQ23" s="476"/>
      <c r="OR23" s="476"/>
      <c r="OS23" s="476"/>
      <c r="OT23" s="476"/>
      <c r="OU23" s="476"/>
      <c r="OV23" s="476"/>
      <c r="OW23" s="476"/>
      <c r="OX23" s="476"/>
      <c r="OY23" s="476"/>
      <c r="OZ23" s="476"/>
      <c r="PA23" s="476"/>
      <c r="PB23" s="476"/>
      <c r="PC23" s="476"/>
      <c r="PD23" s="476"/>
      <c r="PE23" s="476"/>
      <c r="PF23" s="476"/>
      <c r="PG23" s="476"/>
      <c r="PH23" s="476"/>
      <c r="PI23" s="476"/>
      <c r="PJ23" s="476"/>
      <c r="PK23" s="476"/>
      <c r="PL23" s="476"/>
      <c r="PM23" s="476"/>
      <c r="PN23" s="476"/>
      <c r="PO23" s="476"/>
      <c r="PP23" s="476"/>
      <c r="PQ23" s="476"/>
      <c r="PR23" s="476"/>
      <c r="PS23" s="476"/>
      <c r="PT23" s="476"/>
      <c r="PU23" s="476"/>
      <c r="PV23" s="476"/>
      <c r="PW23" s="476"/>
      <c r="PX23" s="476"/>
      <c r="PY23" s="476"/>
      <c r="PZ23" s="476"/>
      <c r="QA23" s="476"/>
      <c r="QB23" s="476"/>
      <c r="QC23" s="476"/>
      <c r="QD23" s="476"/>
      <c r="QE23" s="476"/>
      <c r="QF23" s="476"/>
      <c r="QG23" s="476"/>
      <c r="QH23" s="476"/>
      <c r="QI23" s="476"/>
      <c r="QJ23" s="476"/>
      <c r="QK23" s="476"/>
      <c r="QL23" s="476"/>
      <c r="QM23" s="476"/>
      <c r="QN23" s="476"/>
      <c r="QO23" s="476"/>
      <c r="QP23" s="476"/>
      <c r="QQ23" s="476"/>
      <c r="QR23" s="476"/>
      <c r="QS23" s="476"/>
      <c r="QT23" s="476"/>
      <c r="QU23" s="476"/>
      <c r="QV23" s="476"/>
      <c r="QW23" s="476"/>
      <c r="QX23" s="476"/>
      <c r="QY23" s="476"/>
      <c r="QZ23" s="476"/>
      <c r="RA23" s="476"/>
      <c r="RB23" s="476"/>
      <c r="RC23" s="476"/>
      <c r="RD23" s="476"/>
      <c r="RE23" s="476"/>
      <c r="RF23" s="476"/>
      <c r="RG23" s="476"/>
      <c r="RH23" s="476"/>
      <c r="RI23" s="476"/>
      <c r="RJ23" s="476"/>
      <c r="RK23" s="476"/>
      <c r="RL23" s="476"/>
      <c r="RM23" s="476"/>
      <c r="RN23" s="476"/>
      <c r="RO23" s="476"/>
      <c r="RP23" s="476"/>
      <c r="RQ23" s="476"/>
      <c r="RR23" s="476"/>
      <c r="RS23" s="476"/>
      <c r="RT23" s="476"/>
      <c r="RU23" s="476"/>
      <c r="RV23" s="476"/>
      <c r="RW23" s="476"/>
      <c r="RX23" s="476"/>
      <c r="RY23" s="476"/>
      <c r="RZ23" s="476"/>
      <c r="SA23" s="476"/>
      <c r="SB23" s="476"/>
      <c r="SC23" s="476"/>
      <c r="SD23" s="476"/>
      <c r="SE23" s="476"/>
      <c r="SF23" s="476"/>
      <c r="SG23" s="476"/>
      <c r="SH23" s="476"/>
      <c r="SI23" s="476"/>
      <c r="SJ23" s="476"/>
      <c r="SK23" s="476"/>
      <c r="SL23" s="476"/>
      <c r="SM23" s="476"/>
      <c r="SN23" s="476"/>
      <c r="SO23" s="476"/>
      <c r="SP23" s="476"/>
      <c r="SQ23" s="476"/>
      <c r="SR23" s="476"/>
      <c r="SS23" s="476"/>
      <c r="ST23" s="476"/>
      <c r="SU23" s="476"/>
      <c r="SV23" s="476"/>
      <c r="SW23" s="476"/>
      <c r="SX23" s="476"/>
      <c r="SY23" s="476"/>
      <c r="SZ23" s="476"/>
      <c r="TA23" s="476"/>
      <c r="TB23" s="476"/>
      <c r="TC23" s="476"/>
      <c r="TD23" s="476"/>
      <c r="TE23" s="476"/>
      <c r="TF23" s="476"/>
      <c r="TG23" s="476"/>
      <c r="TH23" s="476"/>
      <c r="TI23" s="476"/>
      <c r="TJ23" s="476"/>
      <c r="TK23" s="476"/>
      <c r="TL23" s="476"/>
      <c r="TM23" s="476"/>
      <c r="TN23" s="476"/>
      <c r="TO23" s="476"/>
      <c r="TP23" s="476"/>
      <c r="TQ23" s="476"/>
      <c r="TR23" s="476"/>
      <c r="TS23" s="476"/>
      <c r="TT23" s="476"/>
      <c r="TU23" s="476"/>
      <c r="TV23" s="476"/>
      <c r="TW23" s="476"/>
      <c r="TX23" s="476"/>
      <c r="TY23" s="476"/>
      <c r="TZ23" s="476"/>
      <c r="UA23" s="476"/>
      <c r="UB23" s="476"/>
      <c r="UC23" s="476"/>
      <c r="UD23" s="476"/>
      <c r="UE23" s="476"/>
      <c r="UF23" s="476"/>
      <c r="UG23" s="476"/>
      <c r="UH23" s="476"/>
      <c r="UI23" s="476"/>
      <c r="UJ23" s="476"/>
      <c r="UK23" s="476"/>
      <c r="UL23" s="476"/>
      <c r="UM23" s="476"/>
      <c r="UN23" s="476"/>
      <c r="UO23" s="476"/>
      <c r="UP23" s="476"/>
      <c r="UQ23" s="476"/>
      <c r="UR23" s="476"/>
      <c r="US23" s="476"/>
      <c r="UT23" s="476"/>
      <c r="UU23" s="476"/>
      <c r="UV23" s="476"/>
      <c r="UW23" s="476"/>
      <c r="UX23" s="476"/>
      <c r="UY23" s="476"/>
      <c r="UZ23" s="476"/>
      <c r="VA23" s="476"/>
      <c r="VB23" s="476"/>
      <c r="VC23" s="476"/>
      <c r="VD23" s="476"/>
      <c r="VE23" s="476"/>
      <c r="VF23" s="476"/>
      <c r="VG23" s="476"/>
      <c r="VH23" s="476"/>
      <c r="VI23" s="476"/>
      <c r="VJ23" s="476"/>
      <c r="VK23" s="476"/>
      <c r="VL23" s="476"/>
      <c r="VM23" s="476"/>
      <c r="VN23" s="476"/>
      <c r="VO23" s="476"/>
      <c r="VP23" s="476"/>
      <c r="VQ23" s="476"/>
      <c r="VR23" s="476"/>
      <c r="VS23" s="476"/>
      <c r="VT23" s="476"/>
      <c r="VU23" s="476"/>
      <c r="VV23" s="476"/>
      <c r="VW23" s="476"/>
      <c r="VX23" s="476"/>
      <c r="VY23" s="476"/>
      <c r="VZ23" s="476"/>
      <c r="WA23" s="476"/>
      <c r="WB23" s="476"/>
      <c r="WC23" s="476"/>
      <c r="WD23" s="476"/>
      <c r="WE23" s="476"/>
      <c r="WF23" s="476"/>
      <c r="WG23" s="476"/>
      <c r="WH23" s="476"/>
      <c r="WI23" s="476"/>
      <c r="WJ23" s="476"/>
      <c r="WK23" s="476"/>
      <c r="WL23" s="476"/>
      <c r="WM23" s="476"/>
      <c r="WN23" s="476"/>
      <c r="WO23" s="476"/>
      <c r="WP23" s="476"/>
      <c r="WQ23" s="476"/>
      <c r="WR23" s="476"/>
      <c r="WS23" s="476"/>
      <c r="WT23" s="476"/>
      <c r="WU23" s="476"/>
      <c r="WV23" s="476"/>
      <c r="WW23" s="476"/>
      <c r="WX23" s="476"/>
      <c r="WY23" s="476"/>
      <c r="WZ23" s="476"/>
      <c r="XA23" s="476"/>
      <c r="XB23" s="476"/>
      <c r="XC23" s="476"/>
      <c r="XD23" s="476"/>
      <c r="XE23" s="476"/>
      <c r="XF23" s="476"/>
      <c r="XG23" s="476"/>
      <c r="XH23" s="476"/>
      <c r="XI23" s="476"/>
      <c r="XJ23" s="476"/>
      <c r="XK23" s="476"/>
      <c r="XL23" s="476"/>
      <c r="XM23" s="476"/>
      <c r="XN23" s="476"/>
      <c r="XO23" s="476"/>
      <c r="XP23" s="476"/>
      <c r="XQ23" s="476"/>
      <c r="XR23" s="476"/>
      <c r="XS23" s="476"/>
      <c r="XT23" s="476"/>
      <c r="XU23" s="476"/>
      <c r="XV23" s="476"/>
      <c r="XW23" s="476"/>
      <c r="XX23" s="476"/>
      <c r="XY23" s="476"/>
      <c r="XZ23" s="476"/>
      <c r="YA23" s="476"/>
      <c r="YB23" s="476"/>
      <c r="YC23" s="476"/>
      <c r="YD23" s="476"/>
      <c r="YE23" s="476"/>
      <c r="YF23" s="476"/>
      <c r="YG23" s="476"/>
      <c r="YH23" s="476"/>
      <c r="YI23" s="476"/>
      <c r="YJ23" s="476"/>
      <c r="YK23" s="476"/>
      <c r="YL23" s="476"/>
      <c r="YM23" s="476"/>
      <c r="YN23" s="476"/>
      <c r="YO23" s="476"/>
      <c r="YP23" s="476"/>
      <c r="YQ23" s="476"/>
      <c r="YR23" s="476"/>
      <c r="YS23" s="476"/>
      <c r="YT23" s="476"/>
      <c r="YU23" s="476"/>
      <c r="YV23" s="476"/>
      <c r="YW23" s="476"/>
      <c r="YX23" s="476"/>
      <c r="YY23" s="476"/>
      <c r="YZ23" s="476"/>
      <c r="ZA23" s="476"/>
      <c r="ZB23" s="476"/>
      <c r="ZC23" s="476"/>
      <c r="ZD23" s="476"/>
      <c r="ZE23" s="476"/>
      <c r="ZF23" s="476"/>
      <c r="ZG23" s="476"/>
      <c r="ZH23" s="476"/>
      <c r="ZI23" s="476"/>
      <c r="ZJ23" s="476"/>
      <c r="ZK23" s="476"/>
      <c r="ZL23" s="476"/>
      <c r="ZM23" s="476"/>
      <c r="ZN23" s="476"/>
      <c r="ZO23" s="476"/>
      <c r="ZP23" s="476"/>
      <c r="ZQ23" s="476"/>
      <c r="ZR23" s="476"/>
      <c r="ZS23" s="476"/>
      <c r="ZT23" s="476"/>
      <c r="ZU23" s="476"/>
      <c r="ZV23" s="476"/>
      <c r="ZW23" s="476"/>
      <c r="ZX23" s="476"/>
      <c r="ZY23" s="476"/>
      <c r="ZZ23" s="476"/>
      <c r="AAA23" s="476"/>
      <c r="AAB23" s="476"/>
      <c r="AAC23" s="476"/>
      <c r="AAD23" s="476"/>
      <c r="AAE23" s="476"/>
      <c r="AAF23" s="476"/>
      <c r="AAG23" s="476"/>
      <c r="AAH23" s="476"/>
      <c r="AAI23" s="476"/>
      <c r="AAJ23" s="476"/>
      <c r="AAK23" s="476"/>
      <c r="AAL23" s="476"/>
      <c r="AAM23" s="476"/>
      <c r="AAN23" s="476"/>
      <c r="AAO23" s="476"/>
      <c r="AAP23" s="476"/>
      <c r="AAQ23" s="476"/>
      <c r="AAR23" s="476"/>
      <c r="AAS23" s="476"/>
      <c r="AAT23" s="476"/>
      <c r="AAU23" s="476"/>
      <c r="AAV23" s="476"/>
      <c r="AAW23" s="476"/>
      <c r="AAX23" s="476"/>
      <c r="AAY23" s="476"/>
      <c r="AAZ23" s="476"/>
      <c r="ABA23" s="476"/>
      <c r="ABB23" s="476"/>
      <c r="ABC23" s="476"/>
      <c r="ABD23" s="476"/>
      <c r="ABE23" s="476"/>
      <c r="ABF23" s="476"/>
      <c r="ABG23" s="476"/>
      <c r="ABH23" s="476"/>
      <c r="ABI23" s="476"/>
      <c r="ABJ23" s="476"/>
      <c r="ABK23" s="476"/>
      <c r="ABL23" s="476"/>
      <c r="ABM23" s="476"/>
      <c r="ABN23" s="476"/>
      <c r="ABO23" s="476"/>
      <c r="ABP23" s="476"/>
      <c r="ABQ23" s="476"/>
      <c r="ABR23" s="476"/>
      <c r="ABS23" s="476"/>
      <c r="ABT23" s="476"/>
      <c r="ABU23" s="476"/>
      <c r="ABV23" s="476"/>
      <c r="ABW23" s="476"/>
      <c r="ABX23" s="476"/>
      <c r="ABY23" s="476"/>
      <c r="ABZ23" s="476"/>
      <c r="ACA23" s="476"/>
      <c r="ACB23" s="476"/>
      <c r="ACC23" s="476"/>
      <c r="ACD23" s="476"/>
      <c r="ACE23" s="476"/>
      <c r="ACF23" s="476"/>
      <c r="ACG23" s="476"/>
      <c r="ACH23" s="476"/>
      <c r="ACI23" s="476"/>
      <c r="ACJ23" s="476"/>
      <c r="ACK23" s="476"/>
      <c r="ACL23" s="476"/>
      <c r="ACM23" s="476"/>
      <c r="ACN23" s="476"/>
      <c r="ACO23" s="476"/>
      <c r="ACP23" s="476"/>
      <c r="ACQ23" s="476"/>
      <c r="ACR23" s="476"/>
      <c r="ACS23" s="476"/>
      <c r="ACT23" s="476"/>
      <c r="ACU23" s="476"/>
      <c r="ACV23" s="476"/>
      <c r="ACW23" s="476"/>
      <c r="ACX23" s="476"/>
      <c r="ACY23" s="476"/>
      <c r="ACZ23" s="476"/>
      <c r="ADA23" s="476"/>
      <c r="ADB23" s="476"/>
      <c r="ADC23" s="476"/>
      <c r="ADD23" s="476"/>
      <c r="ADE23" s="476"/>
      <c r="ADF23" s="476"/>
      <c r="ADG23" s="476"/>
      <c r="ADH23" s="476"/>
      <c r="ADI23" s="476"/>
      <c r="ADJ23" s="476"/>
      <c r="ADK23" s="476"/>
      <c r="ADL23" s="476"/>
      <c r="ADM23" s="476"/>
      <c r="ADN23" s="476"/>
      <c r="ADO23" s="476"/>
      <c r="ADP23" s="476"/>
      <c r="ADQ23" s="476"/>
      <c r="ADR23" s="476"/>
      <c r="ADS23" s="476"/>
      <c r="ADT23" s="476"/>
      <c r="ADU23" s="476"/>
      <c r="ADV23" s="476"/>
      <c r="ADW23" s="476"/>
      <c r="ADX23" s="476"/>
      <c r="ADY23" s="476"/>
      <c r="ADZ23" s="476"/>
      <c r="AEA23" s="476"/>
      <c r="AEB23" s="476"/>
      <c r="AEC23" s="476"/>
      <c r="AED23" s="476"/>
      <c r="AEE23" s="476"/>
      <c r="AEF23" s="476"/>
      <c r="AEG23" s="476"/>
      <c r="AEH23" s="476"/>
      <c r="AEI23" s="476"/>
      <c r="AEJ23" s="476"/>
      <c r="AEK23" s="476"/>
      <c r="AEL23" s="476"/>
      <c r="AEM23" s="476"/>
      <c r="AEN23" s="476"/>
      <c r="AEO23" s="476"/>
      <c r="AEP23" s="476"/>
      <c r="AEQ23" s="476"/>
      <c r="AER23" s="476"/>
      <c r="AES23" s="476"/>
      <c r="AET23" s="476"/>
      <c r="AEU23" s="476"/>
      <c r="AEV23" s="476"/>
      <c r="AEW23" s="476"/>
      <c r="AEX23" s="476"/>
      <c r="AEY23" s="476"/>
      <c r="AEZ23" s="476"/>
      <c r="AFA23" s="476"/>
      <c r="AFB23" s="476"/>
      <c r="AFC23" s="476"/>
      <c r="AFD23" s="476"/>
      <c r="AFE23" s="476"/>
      <c r="AFF23" s="476"/>
      <c r="AFG23" s="476"/>
      <c r="AFH23" s="476"/>
      <c r="AFI23" s="476"/>
      <c r="AFJ23" s="476"/>
      <c r="AFK23" s="476"/>
      <c r="AFL23" s="476"/>
      <c r="AFM23" s="476"/>
      <c r="AFN23" s="476"/>
      <c r="AFO23" s="476"/>
      <c r="AFP23" s="476"/>
      <c r="AFQ23" s="476"/>
      <c r="AFR23" s="476"/>
      <c r="AFS23" s="476"/>
      <c r="AFT23" s="476"/>
      <c r="AFU23" s="476"/>
      <c r="AFV23" s="476"/>
      <c r="AFW23" s="476"/>
      <c r="AFX23" s="476"/>
      <c r="AFY23" s="476"/>
      <c r="AFZ23" s="476"/>
      <c r="AGA23" s="476"/>
      <c r="AGB23" s="476"/>
      <c r="AGC23" s="476"/>
      <c r="AGD23" s="476"/>
      <c r="AGE23" s="476"/>
      <c r="AGF23" s="476"/>
      <c r="AGG23" s="476"/>
      <c r="AGH23" s="476"/>
      <c r="AGI23" s="476"/>
      <c r="AGJ23" s="476"/>
      <c r="AGK23" s="476"/>
      <c r="AGL23" s="476"/>
      <c r="AGM23" s="476"/>
      <c r="AGN23" s="476"/>
      <c r="AGO23" s="476"/>
      <c r="AGP23" s="476"/>
      <c r="AGQ23" s="476"/>
      <c r="AGR23" s="476"/>
      <c r="AGS23" s="476"/>
      <c r="AGT23" s="476"/>
      <c r="AGU23" s="476"/>
      <c r="AGV23" s="476"/>
      <c r="AGW23" s="476"/>
      <c r="AGX23" s="476"/>
      <c r="AGY23" s="476"/>
      <c r="AGZ23" s="476"/>
      <c r="AHA23" s="476"/>
      <c r="AHB23" s="476"/>
      <c r="AHC23" s="476"/>
      <c r="AHD23" s="476"/>
      <c r="AHE23" s="476"/>
      <c r="AHF23" s="476"/>
      <c r="AHG23" s="476"/>
      <c r="AHH23" s="476"/>
      <c r="AHI23" s="476"/>
      <c r="AHJ23" s="476"/>
      <c r="AHK23" s="476"/>
      <c r="AHL23" s="476"/>
      <c r="AHM23" s="476"/>
      <c r="AHN23" s="476"/>
      <c r="AHO23" s="476"/>
      <c r="AHP23" s="476"/>
      <c r="AHQ23" s="476"/>
      <c r="AHR23" s="476"/>
      <c r="AHS23" s="476"/>
      <c r="AHT23" s="476"/>
      <c r="AHU23" s="476"/>
      <c r="AHV23" s="476"/>
      <c r="AHW23" s="476"/>
      <c r="AHX23" s="476"/>
      <c r="AHY23" s="476"/>
      <c r="AHZ23" s="476"/>
      <c r="AIA23" s="476"/>
      <c r="AIB23" s="476"/>
      <c r="AIC23" s="476"/>
      <c r="AID23" s="476"/>
      <c r="AIE23" s="476"/>
      <c r="AIF23" s="476"/>
      <c r="AIG23" s="476"/>
      <c r="AIH23" s="476"/>
      <c r="AII23" s="476"/>
      <c r="AIJ23" s="476"/>
      <c r="AIK23" s="476"/>
      <c r="AIL23" s="476"/>
      <c r="AIM23" s="476"/>
      <c r="AIN23" s="476"/>
      <c r="AIO23" s="476"/>
      <c r="AIP23" s="476"/>
      <c r="AIQ23" s="476"/>
      <c r="AIR23" s="476"/>
      <c r="AIS23" s="476"/>
      <c r="AIT23" s="476"/>
      <c r="AIU23" s="476"/>
      <c r="AIV23" s="476"/>
      <c r="AIW23" s="476"/>
      <c r="AIX23" s="476"/>
      <c r="AIY23" s="476"/>
      <c r="AIZ23" s="476"/>
      <c r="AJA23" s="476"/>
      <c r="AJB23" s="476"/>
      <c r="AJC23" s="476"/>
      <c r="AJD23" s="476"/>
      <c r="AJE23" s="476"/>
      <c r="AJF23" s="476"/>
      <c r="AJG23" s="476"/>
      <c r="AJH23" s="476"/>
      <c r="AJI23" s="476"/>
      <c r="AJJ23" s="476"/>
      <c r="AJK23" s="476"/>
      <c r="AJL23" s="476"/>
      <c r="AJM23" s="476"/>
      <c r="AJN23" s="476"/>
      <c r="AJO23" s="476"/>
      <c r="AJP23" s="476"/>
      <c r="AJQ23" s="476"/>
      <c r="AJR23" s="476"/>
      <c r="AJS23" s="476"/>
      <c r="AJT23" s="476"/>
      <c r="AJU23" s="476"/>
      <c r="AJV23" s="476"/>
      <c r="AJW23" s="476"/>
      <c r="AJX23" s="476"/>
      <c r="AJY23" s="476"/>
      <c r="AJZ23" s="476"/>
      <c r="AKA23" s="476"/>
      <c r="AKB23" s="476"/>
      <c r="AKC23" s="476"/>
      <c r="AKD23" s="476"/>
      <c r="AKE23" s="476"/>
      <c r="AKF23" s="476"/>
      <c r="AKG23" s="476"/>
      <c r="AKH23" s="476"/>
      <c r="AKI23" s="476"/>
      <c r="AKJ23" s="476"/>
      <c r="AKK23" s="476"/>
      <c r="AKL23" s="476"/>
      <c r="AKM23" s="476"/>
      <c r="AKN23" s="476"/>
      <c r="AKO23" s="476"/>
      <c r="AKP23" s="476"/>
      <c r="AKQ23" s="476"/>
      <c r="AKR23" s="476"/>
      <c r="AKS23" s="476"/>
      <c r="AKT23" s="476"/>
      <c r="AKU23" s="476"/>
      <c r="AKV23" s="476"/>
      <c r="AKW23" s="476"/>
      <c r="AKX23" s="476"/>
      <c r="AKY23" s="476"/>
      <c r="AKZ23" s="476"/>
      <c r="ALA23" s="476"/>
      <c r="ALB23" s="476"/>
      <c r="ALC23" s="476"/>
      <c r="ALD23" s="476"/>
      <c r="ALE23" s="476"/>
      <c r="ALF23" s="476"/>
      <c r="ALG23" s="476"/>
      <c r="ALH23" s="476"/>
      <c r="ALI23" s="476"/>
      <c r="ALJ23" s="476"/>
      <c r="ALK23" s="476"/>
      <c r="ALL23" s="476"/>
      <c r="ALM23" s="476"/>
      <c r="ALN23" s="476"/>
      <c r="ALO23" s="476"/>
      <c r="ALP23" s="476"/>
      <c r="ALQ23" s="476"/>
      <c r="ALR23" s="476"/>
      <c r="ALS23" s="476"/>
      <c r="ALT23" s="476"/>
      <c r="ALU23" s="476"/>
      <c r="ALV23" s="476"/>
      <c r="ALW23" s="476"/>
      <c r="ALX23" s="476"/>
      <c r="ALY23" s="476"/>
      <c r="ALZ23" s="476"/>
      <c r="AMA23" s="476"/>
      <c r="AMB23" s="476"/>
      <c r="AMC23" s="476"/>
      <c r="AMD23" s="476"/>
      <c r="AME23" s="476"/>
      <c r="AMF23" s="476"/>
      <c r="AMG23" s="476"/>
      <c r="AMH23" s="476"/>
      <c r="AMI23" s="476"/>
      <c r="AMJ23" s="476"/>
      <c r="AMK23" s="476"/>
      <c r="AML23" s="476"/>
      <c r="AMM23" s="476"/>
      <c r="AMN23" s="476"/>
      <c r="AMO23" s="476"/>
      <c r="AMP23" s="476"/>
      <c r="AMQ23" s="476"/>
      <c r="AMR23" s="476"/>
      <c r="AMS23" s="476"/>
      <c r="AMT23" s="476"/>
      <c r="AMU23" s="476"/>
      <c r="AMV23" s="476"/>
      <c r="AMW23" s="476"/>
      <c r="AMX23" s="476"/>
      <c r="AMY23" s="476"/>
      <c r="AMZ23" s="476"/>
      <c r="ANA23" s="476"/>
      <c r="ANB23" s="476"/>
      <c r="ANC23" s="476"/>
      <c r="AND23" s="476"/>
      <c r="ANE23" s="476"/>
      <c r="ANF23" s="476"/>
      <c r="ANG23" s="476"/>
      <c r="ANH23" s="476"/>
      <c r="ANI23" s="476"/>
      <c r="ANJ23" s="476"/>
      <c r="ANK23" s="476"/>
      <c r="ANL23" s="476"/>
      <c r="ANM23" s="476"/>
      <c r="ANN23" s="476"/>
      <c r="ANO23" s="476"/>
      <c r="ANP23" s="476"/>
      <c r="ANQ23" s="476"/>
      <c r="ANR23" s="476"/>
      <c r="ANS23" s="476"/>
      <c r="ANT23" s="476"/>
      <c r="ANU23" s="476"/>
      <c r="ANV23" s="476"/>
      <c r="ANW23" s="476"/>
      <c r="ANX23" s="476"/>
      <c r="ANY23" s="476"/>
      <c r="ANZ23" s="476"/>
      <c r="AOA23" s="476"/>
      <c r="AOB23" s="476"/>
      <c r="AOC23" s="476"/>
      <c r="AOD23" s="476"/>
      <c r="AOE23" s="476"/>
      <c r="AOF23" s="476"/>
      <c r="AOG23" s="476"/>
      <c r="AOH23" s="476"/>
      <c r="AOI23" s="476"/>
      <c r="AOJ23" s="476"/>
      <c r="AOK23" s="476"/>
      <c r="AOL23" s="476"/>
      <c r="AOM23" s="476"/>
      <c r="AON23" s="476"/>
      <c r="AOO23" s="476"/>
      <c r="AOP23" s="476"/>
      <c r="AOQ23" s="476"/>
      <c r="AOR23" s="476"/>
      <c r="AOS23" s="476"/>
      <c r="AOT23" s="476"/>
      <c r="AOU23" s="476"/>
      <c r="AOV23" s="476"/>
      <c r="AOW23" s="476"/>
      <c r="AOX23" s="476"/>
      <c r="AOY23" s="476"/>
      <c r="AOZ23" s="476"/>
      <c r="APA23" s="476"/>
      <c r="APB23" s="476"/>
      <c r="APC23" s="476"/>
      <c r="APD23" s="476"/>
      <c r="APE23" s="476"/>
      <c r="APF23" s="476"/>
      <c r="APG23" s="476"/>
      <c r="APH23" s="476"/>
      <c r="API23" s="476"/>
      <c r="APJ23" s="476"/>
      <c r="APK23" s="476"/>
      <c r="APL23" s="476"/>
      <c r="APM23" s="476"/>
      <c r="APN23" s="476"/>
      <c r="APO23" s="476"/>
      <c r="APP23" s="476"/>
      <c r="APQ23" s="476"/>
      <c r="APR23" s="476"/>
      <c r="APS23" s="476"/>
      <c r="APT23" s="476"/>
      <c r="APU23" s="476"/>
      <c r="APV23" s="476"/>
      <c r="APW23" s="476"/>
      <c r="APX23" s="476"/>
      <c r="APY23" s="476"/>
      <c r="APZ23" s="476"/>
      <c r="AQA23" s="476"/>
      <c r="AQB23" s="476"/>
      <c r="AQC23" s="476"/>
      <c r="AQD23" s="476"/>
      <c r="AQE23" s="476"/>
      <c r="AQF23" s="476"/>
      <c r="AQG23" s="476"/>
      <c r="AQH23" s="476"/>
      <c r="AQI23" s="476"/>
      <c r="AQJ23" s="476"/>
      <c r="AQK23" s="476"/>
      <c r="AQL23" s="476"/>
      <c r="AQM23" s="476"/>
      <c r="AQN23" s="476"/>
      <c r="AQO23" s="476"/>
      <c r="AQP23" s="476"/>
      <c r="AQQ23" s="476"/>
      <c r="AQR23" s="476"/>
      <c r="AQS23" s="476"/>
      <c r="AQT23" s="476"/>
      <c r="AQU23" s="476"/>
      <c r="AQV23" s="476"/>
      <c r="AQW23" s="476"/>
      <c r="AQX23" s="476"/>
      <c r="AQY23" s="476"/>
      <c r="AQZ23" s="476"/>
      <c r="ARA23" s="476"/>
      <c r="ARB23" s="476"/>
      <c r="ARC23" s="476"/>
      <c r="ARD23" s="476"/>
      <c r="ARE23" s="476"/>
      <c r="ARF23" s="476"/>
      <c r="ARG23" s="476"/>
      <c r="ARH23" s="476"/>
      <c r="ARI23" s="476"/>
      <c r="ARJ23" s="476"/>
      <c r="ARK23" s="476"/>
      <c r="ARL23" s="476"/>
      <c r="ARM23" s="476"/>
      <c r="ARN23" s="476"/>
      <c r="ARO23" s="476"/>
      <c r="ARP23" s="476"/>
      <c r="ARQ23" s="476"/>
      <c r="ARR23" s="476"/>
      <c r="ARS23" s="476"/>
      <c r="ART23" s="476"/>
      <c r="ARU23" s="476"/>
      <c r="ARV23" s="476"/>
      <c r="ARW23" s="476"/>
      <c r="ARX23" s="476"/>
      <c r="ARY23" s="476"/>
      <c r="ARZ23" s="476"/>
      <c r="ASA23" s="476"/>
      <c r="ASB23" s="476"/>
      <c r="ASC23" s="476"/>
      <c r="ASD23" s="476"/>
      <c r="ASE23" s="476"/>
      <c r="ASF23" s="476"/>
      <c r="ASG23" s="476"/>
      <c r="ASH23" s="476"/>
      <c r="ASI23" s="476"/>
      <c r="ASJ23" s="476"/>
      <c r="ASK23" s="476"/>
      <c r="ASL23" s="476"/>
      <c r="ASM23" s="476"/>
      <c r="ASN23" s="476"/>
      <c r="ASO23" s="476"/>
      <c r="ASP23" s="476"/>
      <c r="ASQ23" s="476"/>
      <c r="ASR23" s="476"/>
      <c r="ASS23" s="476"/>
      <c r="AST23" s="476"/>
      <c r="ASU23" s="476"/>
      <c r="ASV23" s="476"/>
      <c r="ASW23" s="476"/>
      <c r="ASX23" s="476"/>
      <c r="ASY23" s="476"/>
      <c r="ASZ23" s="476"/>
      <c r="ATA23" s="476"/>
      <c r="ATB23" s="476"/>
      <c r="ATC23" s="476"/>
      <c r="ATD23" s="476"/>
      <c r="ATE23" s="476"/>
      <c r="ATF23" s="476"/>
      <c r="ATG23" s="476"/>
      <c r="ATH23" s="476"/>
      <c r="ATI23" s="476"/>
      <c r="ATJ23" s="476"/>
      <c r="ATK23" s="476"/>
      <c r="ATL23" s="476"/>
      <c r="ATM23" s="476"/>
      <c r="ATN23" s="476"/>
      <c r="ATO23" s="476"/>
      <c r="ATP23" s="476"/>
      <c r="ATQ23" s="476"/>
      <c r="ATR23" s="476"/>
      <c r="ATS23" s="476"/>
      <c r="ATT23" s="476"/>
      <c r="ATU23" s="476"/>
      <c r="ATV23" s="476"/>
      <c r="ATW23" s="476"/>
      <c r="ATX23" s="476"/>
      <c r="ATY23" s="476"/>
      <c r="ATZ23" s="476"/>
      <c r="AUA23" s="476"/>
      <c r="AUB23" s="476"/>
      <c r="AUC23" s="476"/>
      <c r="AUD23" s="476"/>
      <c r="AUE23" s="476"/>
      <c r="AUF23" s="476"/>
      <c r="AUG23" s="476"/>
      <c r="AUH23" s="476"/>
      <c r="AUI23" s="476"/>
      <c r="AUJ23" s="476"/>
      <c r="AUK23" s="476"/>
      <c r="AUL23" s="476"/>
      <c r="AUM23" s="476"/>
      <c r="AUN23" s="476"/>
      <c r="AUO23" s="476"/>
      <c r="AUP23" s="476"/>
      <c r="AUQ23" s="476"/>
      <c r="AUR23" s="476"/>
      <c r="AUS23" s="476"/>
      <c r="AUT23" s="476"/>
      <c r="AUU23" s="476"/>
      <c r="AUV23" s="476"/>
      <c r="AUW23" s="476"/>
      <c r="AUX23" s="476"/>
      <c r="AUY23" s="476"/>
      <c r="AUZ23" s="476"/>
      <c r="AVA23" s="476"/>
      <c r="AVB23" s="476"/>
      <c r="AVC23" s="476"/>
      <c r="AVD23" s="476"/>
      <c r="AVE23" s="476"/>
      <c r="AVF23" s="476"/>
      <c r="AVG23" s="476"/>
      <c r="AVH23" s="476"/>
      <c r="AVI23" s="476"/>
      <c r="AVJ23" s="476"/>
      <c r="AVK23" s="476"/>
      <c r="AVL23" s="476"/>
      <c r="AVM23" s="476"/>
      <c r="AVN23" s="476"/>
      <c r="AVO23" s="476"/>
      <c r="AVP23" s="476"/>
      <c r="AVQ23" s="476"/>
      <c r="AVR23" s="476"/>
      <c r="AVS23" s="476"/>
      <c r="AVT23" s="476"/>
      <c r="AVU23" s="476"/>
      <c r="AVV23" s="476"/>
      <c r="AVW23" s="476"/>
      <c r="AVX23" s="476"/>
      <c r="AVY23" s="476"/>
      <c r="AVZ23" s="476"/>
      <c r="AWA23" s="476"/>
      <c r="AWB23" s="476"/>
      <c r="AWC23" s="476"/>
      <c r="AWD23" s="476"/>
      <c r="AWE23" s="476"/>
      <c r="AWF23" s="476"/>
      <c r="AWG23" s="476"/>
      <c r="AWH23" s="476"/>
      <c r="AWI23" s="476"/>
      <c r="AWJ23" s="476"/>
      <c r="AWK23" s="476"/>
      <c r="AWL23" s="476"/>
      <c r="AWM23" s="476"/>
      <c r="AWN23" s="476"/>
      <c r="AWO23" s="476"/>
      <c r="AWP23" s="476"/>
      <c r="AWQ23" s="476"/>
      <c r="AWR23" s="476"/>
      <c r="AWS23" s="476"/>
      <c r="AWT23" s="476"/>
      <c r="AWU23" s="476"/>
      <c r="AWV23" s="476"/>
      <c r="AWW23" s="476"/>
      <c r="AWX23" s="476"/>
      <c r="AWY23" s="476"/>
      <c r="AWZ23" s="476"/>
      <c r="AXA23" s="476"/>
      <c r="AXB23" s="476"/>
      <c r="AXC23" s="476"/>
      <c r="AXD23" s="476"/>
      <c r="AXE23" s="476"/>
      <c r="AXF23" s="476"/>
      <c r="AXG23" s="476"/>
      <c r="AXH23" s="476"/>
      <c r="AXI23" s="476"/>
      <c r="AXJ23" s="476"/>
      <c r="AXK23" s="476"/>
      <c r="AXL23" s="476"/>
      <c r="AXM23" s="476"/>
      <c r="AXN23" s="476"/>
      <c r="AXO23" s="476"/>
      <c r="AXP23" s="476"/>
      <c r="AXQ23" s="476"/>
      <c r="AXR23" s="476"/>
      <c r="AXS23" s="476"/>
      <c r="AXT23" s="476"/>
      <c r="AXU23" s="476"/>
      <c r="AXV23" s="476"/>
      <c r="AXW23" s="476"/>
      <c r="AXX23" s="476"/>
      <c r="AXY23" s="476"/>
      <c r="AXZ23" s="476"/>
      <c r="AYA23" s="476"/>
      <c r="AYB23" s="476"/>
      <c r="AYC23" s="476"/>
      <c r="AYD23" s="476"/>
      <c r="AYE23" s="476"/>
      <c r="AYF23" s="476"/>
      <c r="AYG23" s="476"/>
      <c r="AYH23" s="476"/>
      <c r="AYI23" s="476"/>
      <c r="AYJ23" s="476"/>
      <c r="AYK23" s="476"/>
      <c r="AYL23" s="476"/>
      <c r="AYM23" s="476"/>
      <c r="AYN23" s="476"/>
      <c r="AYO23" s="476"/>
      <c r="AYP23" s="476"/>
      <c r="AYQ23" s="476"/>
      <c r="AYR23" s="476"/>
      <c r="AYS23" s="476"/>
      <c r="AYT23" s="476"/>
      <c r="AYU23" s="476"/>
      <c r="AYV23" s="476"/>
      <c r="AYW23" s="476"/>
      <c r="AYX23" s="476"/>
      <c r="AYY23" s="476"/>
      <c r="AYZ23" s="476"/>
      <c r="AZA23" s="476"/>
      <c r="AZB23" s="476"/>
      <c r="AZC23" s="476"/>
      <c r="AZD23" s="476"/>
      <c r="AZE23" s="476"/>
      <c r="AZF23" s="476"/>
      <c r="AZG23" s="476"/>
      <c r="AZH23" s="476"/>
      <c r="AZI23" s="476"/>
      <c r="AZJ23" s="476"/>
      <c r="AZK23" s="476"/>
      <c r="AZL23" s="476"/>
      <c r="AZM23" s="476"/>
      <c r="AZN23" s="476"/>
      <c r="AZO23" s="476"/>
      <c r="AZP23" s="476"/>
      <c r="AZQ23" s="476"/>
      <c r="AZR23" s="476"/>
      <c r="AZS23" s="476"/>
      <c r="AZT23" s="476"/>
      <c r="AZU23" s="476"/>
      <c r="AZV23" s="476"/>
      <c r="AZW23" s="476"/>
      <c r="AZX23" s="476"/>
      <c r="AZY23" s="476"/>
      <c r="AZZ23" s="476"/>
      <c r="BAA23" s="476"/>
      <c r="BAB23" s="476"/>
      <c r="BAC23" s="476"/>
      <c r="BAD23" s="476"/>
      <c r="BAE23" s="476"/>
      <c r="BAF23" s="476"/>
      <c r="BAG23" s="476"/>
      <c r="BAH23" s="476"/>
      <c r="BAI23" s="476"/>
      <c r="BAJ23" s="476"/>
      <c r="BAK23" s="476"/>
      <c r="BAL23" s="476"/>
      <c r="BAM23" s="476"/>
      <c r="BAN23" s="476"/>
      <c r="BAO23" s="476"/>
      <c r="BAP23" s="476"/>
      <c r="BAQ23" s="476"/>
      <c r="BAR23" s="476"/>
      <c r="BAS23" s="476"/>
      <c r="BAT23" s="476"/>
      <c r="BAU23" s="476"/>
      <c r="BAV23" s="476"/>
      <c r="BAW23" s="476"/>
      <c r="BAX23" s="476"/>
      <c r="BAY23" s="476"/>
      <c r="BAZ23" s="476"/>
      <c r="BBA23" s="476"/>
      <c r="BBB23" s="476"/>
      <c r="BBC23" s="476"/>
      <c r="BBD23" s="476"/>
      <c r="BBE23" s="476"/>
      <c r="BBF23" s="476"/>
      <c r="BBG23" s="476"/>
      <c r="BBH23" s="476"/>
      <c r="BBI23" s="476"/>
      <c r="BBJ23" s="476"/>
      <c r="BBK23" s="476"/>
      <c r="BBL23" s="476"/>
      <c r="BBM23" s="476"/>
      <c r="BBN23" s="476"/>
      <c r="BBO23" s="476"/>
      <c r="BBP23" s="476"/>
      <c r="BBQ23" s="476"/>
      <c r="BBR23" s="476"/>
      <c r="BBS23" s="476"/>
      <c r="BBT23" s="476"/>
      <c r="BBU23" s="476"/>
      <c r="BBV23" s="476"/>
      <c r="BBW23" s="476"/>
      <c r="BBX23" s="476"/>
      <c r="BBY23" s="476"/>
      <c r="BBZ23" s="476"/>
      <c r="BCA23" s="476"/>
      <c r="BCB23" s="476"/>
      <c r="BCC23" s="476"/>
      <c r="BCD23" s="476"/>
      <c r="BCE23" s="476"/>
      <c r="BCF23" s="476"/>
      <c r="BCG23" s="476"/>
      <c r="BCH23" s="476"/>
      <c r="BCI23" s="476"/>
      <c r="BCJ23" s="476"/>
      <c r="BCK23" s="476"/>
      <c r="BCL23" s="476"/>
      <c r="BCM23" s="476"/>
      <c r="BCN23" s="476"/>
      <c r="BCO23" s="476"/>
      <c r="BCP23" s="476"/>
      <c r="BCQ23" s="476"/>
      <c r="BCR23" s="476"/>
      <c r="BCS23" s="476"/>
      <c r="BCT23" s="476"/>
      <c r="BCU23" s="476"/>
      <c r="BCV23" s="476"/>
      <c r="BCW23" s="476"/>
      <c r="BCX23" s="476"/>
      <c r="BCY23" s="476"/>
      <c r="BCZ23" s="476"/>
      <c r="BDA23" s="476"/>
      <c r="BDB23" s="476"/>
      <c r="BDC23" s="476"/>
      <c r="BDD23" s="476"/>
      <c r="BDE23" s="476"/>
      <c r="BDF23" s="476"/>
      <c r="BDG23" s="476"/>
      <c r="BDH23" s="476"/>
      <c r="BDI23" s="476"/>
      <c r="BDJ23" s="476"/>
      <c r="BDK23" s="476"/>
      <c r="BDL23" s="476"/>
      <c r="BDM23" s="476"/>
      <c r="BDN23" s="476"/>
      <c r="BDO23" s="476"/>
      <c r="BDP23" s="476"/>
      <c r="BDQ23" s="476"/>
      <c r="BDR23" s="476"/>
      <c r="BDS23" s="476"/>
      <c r="BDT23" s="476"/>
      <c r="BDU23" s="476"/>
      <c r="BDV23" s="476"/>
      <c r="BDW23" s="476"/>
      <c r="BDX23" s="476"/>
      <c r="BDY23" s="476"/>
      <c r="BDZ23" s="476"/>
      <c r="BEA23" s="476"/>
      <c r="BEB23" s="476"/>
      <c r="BEC23" s="476"/>
      <c r="BED23" s="476"/>
      <c r="BEE23" s="476"/>
      <c r="BEF23" s="476"/>
      <c r="BEG23" s="476"/>
      <c r="BEH23" s="476"/>
      <c r="BEI23" s="476"/>
      <c r="BEJ23" s="476"/>
      <c r="BEK23" s="476"/>
      <c r="BEL23" s="476"/>
      <c r="BEM23" s="476"/>
      <c r="BEN23" s="476"/>
      <c r="BEO23" s="476"/>
      <c r="BEP23" s="476"/>
      <c r="BEQ23" s="476"/>
      <c r="BER23" s="476"/>
      <c r="BES23" s="476"/>
      <c r="BET23" s="476"/>
      <c r="BEU23" s="476"/>
      <c r="BEV23" s="476"/>
      <c r="BEW23" s="476"/>
      <c r="BEX23" s="476"/>
      <c r="BEY23" s="476"/>
      <c r="BEZ23" s="476"/>
      <c r="BFA23" s="476"/>
      <c r="BFB23" s="476"/>
      <c r="BFC23" s="476"/>
      <c r="BFD23" s="476"/>
      <c r="BFE23" s="476"/>
      <c r="BFF23" s="476"/>
      <c r="BFG23" s="476"/>
      <c r="BFH23" s="476"/>
      <c r="BFI23" s="476"/>
      <c r="BFJ23" s="476"/>
      <c r="BFK23" s="476"/>
      <c r="BFL23" s="476"/>
      <c r="BFM23" s="476"/>
      <c r="BFN23" s="476"/>
      <c r="BFO23" s="476"/>
      <c r="BFP23" s="476"/>
      <c r="BFQ23" s="476"/>
      <c r="BFR23" s="476"/>
      <c r="BFS23" s="476"/>
      <c r="BFT23" s="476"/>
      <c r="BFU23" s="476"/>
      <c r="BFV23" s="476"/>
      <c r="BFW23" s="476"/>
      <c r="BFX23" s="476"/>
      <c r="BFY23" s="476"/>
      <c r="BFZ23" s="476"/>
      <c r="BGA23" s="476"/>
      <c r="BGB23" s="476"/>
      <c r="BGC23" s="476"/>
      <c r="BGD23" s="476"/>
      <c r="BGE23" s="476"/>
      <c r="BGF23" s="476"/>
      <c r="BGG23" s="476"/>
      <c r="BGH23" s="476"/>
      <c r="BGI23" s="476"/>
      <c r="BGJ23" s="476"/>
      <c r="BGK23" s="476"/>
      <c r="BGL23" s="476"/>
      <c r="BGM23" s="476"/>
      <c r="BGN23" s="476"/>
      <c r="BGO23" s="476"/>
      <c r="BGP23" s="476"/>
      <c r="BGQ23" s="476"/>
      <c r="BGR23" s="476"/>
      <c r="BGS23" s="476"/>
      <c r="BGT23" s="476"/>
      <c r="BGU23" s="476"/>
      <c r="BGV23" s="476"/>
      <c r="BGW23" s="476"/>
      <c r="BGX23" s="476"/>
      <c r="BGY23" s="476"/>
      <c r="BGZ23" s="476"/>
      <c r="BHA23" s="476"/>
      <c r="BHB23" s="476"/>
      <c r="BHC23" s="476"/>
      <c r="BHD23" s="476"/>
      <c r="BHE23" s="476"/>
      <c r="BHF23" s="476"/>
      <c r="BHG23" s="476"/>
      <c r="BHH23" s="476"/>
      <c r="BHI23" s="476"/>
      <c r="BHJ23" s="476"/>
      <c r="BHK23" s="476"/>
      <c r="BHL23" s="476"/>
      <c r="BHM23" s="476"/>
      <c r="BHN23" s="476"/>
      <c r="BHO23" s="476"/>
      <c r="BHP23" s="476"/>
      <c r="BHQ23" s="476"/>
      <c r="BHR23" s="476"/>
      <c r="BHS23" s="476"/>
      <c r="BHT23" s="476"/>
      <c r="BHU23" s="476"/>
      <c r="BHV23" s="476"/>
      <c r="BHW23" s="476"/>
      <c r="BHX23" s="476"/>
      <c r="BHY23" s="476"/>
      <c r="BHZ23" s="476"/>
      <c r="BIA23" s="476"/>
      <c r="BIB23" s="476"/>
      <c r="BIC23" s="476"/>
      <c r="BID23" s="476"/>
      <c r="BIE23" s="476"/>
      <c r="BIF23" s="476"/>
      <c r="BIG23" s="476"/>
      <c r="BIH23" s="476"/>
      <c r="BII23" s="476"/>
      <c r="BIJ23" s="476"/>
      <c r="BIK23" s="476"/>
      <c r="BIL23" s="476"/>
      <c r="BIM23" s="476"/>
      <c r="BIN23" s="476"/>
      <c r="BIO23" s="476"/>
      <c r="BIP23" s="476"/>
      <c r="BIQ23" s="476"/>
      <c r="BIR23" s="476"/>
      <c r="BIS23" s="476"/>
      <c r="BIT23" s="476"/>
      <c r="BIU23" s="476"/>
      <c r="BIV23" s="476"/>
      <c r="BIW23" s="476"/>
      <c r="BIX23" s="476"/>
      <c r="BIY23" s="476"/>
      <c r="BIZ23" s="476"/>
      <c r="BJA23" s="476"/>
      <c r="BJB23" s="476"/>
      <c r="BJC23" s="476"/>
      <c r="BJD23" s="476"/>
      <c r="BJE23" s="476"/>
      <c r="BJF23" s="476"/>
      <c r="BJG23" s="476"/>
      <c r="BJH23" s="476"/>
      <c r="BJI23" s="476"/>
      <c r="BJJ23" s="476"/>
      <c r="BJK23" s="476"/>
      <c r="BJL23" s="476"/>
      <c r="BJM23" s="476"/>
      <c r="BJN23" s="476"/>
      <c r="BJO23" s="476"/>
      <c r="BJP23" s="476"/>
      <c r="BJQ23" s="476"/>
      <c r="BJR23" s="476"/>
      <c r="BJS23" s="476"/>
      <c r="BJT23" s="476"/>
      <c r="BJU23" s="476"/>
      <c r="BJV23" s="476"/>
      <c r="BJW23" s="476"/>
      <c r="BJX23" s="476"/>
      <c r="BJY23" s="476"/>
      <c r="BJZ23" s="476"/>
      <c r="BKA23" s="476"/>
      <c r="BKB23" s="476"/>
      <c r="BKC23" s="476"/>
      <c r="BKD23" s="476"/>
      <c r="BKE23" s="476"/>
      <c r="BKF23" s="476"/>
      <c r="BKG23" s="476"/>
      <c r="BKH23" s="476"/>
      <c r="BKI23" s="476"/>
      <c r="BKJ23" s="476"/>
      <c r="BKK23" s="476"/>
      <c r="BKL23" s="476"/>
      <c r="BKM23" s="476"/>
      <c r="BKN23" s="476"/>
      <c r="BKO23" s="476"/>
      <c r="BKP23" s="476"/>
      <c r="BKQ23" s="476"/>
      <c r="BKR23" s="476"/>
      <c r="BKS23" s="476"/>
      <c r="BKT23" s="476"/>
      <c r="BKU23" s="476"/>
      <c r="BKV23" s="476"/>
      <c r="BKW23" s="476"/>
      <c r="BKX23" s="476"/>
      <c r="BKY23" s="476"/>
      <c r="BKZ23" s="476"/>
      <c r="BLA23" s="476"/>
      <c r="BLB23" s="476"/>
      <c r="BLC23" s="476"/>
      <c r="BLD23" s="476"/>
      <c r="BLE23" s="476"/>
      <c r="BLF23" s="476"/>
      <c r="BLG23" s="476"/>
      <c r="BLH23" s="476"/>
      <c r="BLI23" s="476"/>
      <c r="BLJ23" s="476"/>
      <c r="BLK23" s="476"/>
      <c r="BLL23" s="476"/>
      <c r="BLM23" s="476"/>
      <c r="BLN23" s="476"/>
      <c r="BLO23" s="476"/>
      <c r="BLP23" s="476"/>
      <c r="BLQ23" s="476"/>
      <c r="BLR23" s="476"/>
      <c r="BLS23" s="476"/>
      <c r="BLT23" s="476"/>
      <c r="BLU23" s="476"/>
      <c r="BLV23" s="476"/>
      <c r="BLW23" s="476"/>
      <c r="BLX23" s="476"/>
      <c r="BLY23" s="476"/>
      <c r="BLZ23" s="476"/>
      <c r="BMA23" s="476"/>
      <c r="BMB23" s="476"/>
      <c r="BMC23" s="476"/>
      <c r="BMD23" s="476"/>
      <c r="BME23" s="476"/>
      <c r="BMF23" s="476"/>
      <c r="BMG23" s="476"/>
      <c r="BMH23" s="476"/>
      <c r="BMI23" s="476"/>
      <c r="BMJ23" s="476"/>
      <c r="BMK23" s="476"/>
      <c r="BML23" s="476"/>
      <c r="BMM23" s="476"/>
      <c r="BMN23" s="476"/>
      <c r="BMO23" s="476"/>
      <c r="BMP23" s="476"/>
      <c r="BMQ23" s="476"/>
      <c r="BMR23" s="476"/>
      <c r="BMS23" s="476"/>
      <c r="BMT23" s="476"/>
      <c r="BMU23" s="476"/>
      <c r="BMV23" s="476"/>
      <c r="BMW23" s="476"/>
      <c r="BMX23" s="476"/>
      <c r="BMY23" s="476"/>
      <c r="BMZ23" s="476"/>
      <c r="BNA23" s="476"/>
      <c r="BNB23" s="476"/>
      <c r="BNC23" s="476"/>
      <c r="BND23" s="476"/>
      <c r="BNE23" s="476"/>
      <c r="BNF23" s="476"/>
      <c r="BNG23" s="476"/>
      <c r="BNH23" s="476"/>
      <c r="BNI23" s="476"/>
      <c r="BNJ23" s="476"/>
      <c r="BNK23" s="476"/>
      <c r="BNL23" s="476"/>
      <c r="BNM23" s="476"/>
      <c r="BNN23" s="476"/>
      <c r="BNO23" s="476"/>
      <c r="BNP23" s="476"/>
      <c r="BNQ23" s="476"/>
      <c r="BNR23" s="476"/>
      <c r="BNS23" s="476"/>
      <c r="BNT23" s="476"/>
      <c r="BNU23" s="476"/>
      <c r="BNV23" s="476"/>
      <c r="BNW23" s="476"/>
      <c r="BNX23" s="476"/>
      <c r="BNY23" s="476"/>
      <c r="BNZ23" s="476"/>
      <c r="BOA23" s="476"/>
      <c r="BOB23" s="476"/>
      <c r="BOC23" s="476"/>
      <c r="BOD23" s="476"/>
      <c r="BOE23" s="476"/>
      <c r="BOF23" s="476"/>
      <c r="BOG23" s="476"/>
      <c r="BOH23" s="476"/>
      <c r="BOI23" s="476"/>
      <c r="BOJ23" s="476"/>
      <c r="BOK23" s="476"/>
      <c r="BOL23" s="476"/>
      <c r="BOM23" s="476"/>
      <c r="BON23" s="476"/>
      <c r="BOO23" s="476"/>
      <c r="BOP23" s="476"/>
      <c r="BOQ23" s="476"/>
      <c r="BOR23" s="476"/>
      <c r="BOS23" s="476"/>
      <c r="BOT23" s="476"/>
      <c r="BOU23" s="476"/>
      <c r="BOV23" s="476"/>
      <c r="BOW23" s="476"/>
      <c r="BOX23" s="476"/>
      <c r="BOY23" s="476"/>
      <c r="BOZ23" s="476"/>
      <c r="BPA23" s="476"/>
      <c r="BPB23" s="476"/>
      <c r="BPC23" s="476"/>
      <c r="BPD23" s="476"/>
      <c r="BPE23" s="476"/>
      <c r="BPF23" s="476"/>
      <c r="BPG23" s="476"/>
      <c r="BPH23" s="476"/>
      <c r="BPI23" s="476"/>
      <c r="BPJ23" s="476"/>
      <c r="BPK23" s="476"/>
      <c r="BPL23" s="476"/>
      <c r="BPM23" s="476"/>
      <c r="BPN23" s="476"/>
      <c r="BPO23" s="476"/>
      <c r="BPP23" s="476"/>
      <c r="BPQ23" s="476"/>
      <c r="BPR23" s="476"/>
      <c r="BPS23" s="476"/>
      <c r="BPT23" s="476"/>
      <c r="BPU23" s="476"/>
      <c r="BPV23" s="476"/>
      <c r="BPW23" s="476"/>
      <c r="BPX23" s="476"/>
      <c r="BPY23" s="476"/>
      <c r="BPZ23" s="476"/>
      <c r="BQA23" s="476"/>
      <c r="BQB23" s="476"/>
      <c r="BQC23" s="476"/>
      <c r="BQD23" s="476"/>
      <c r="BQE23" s="476"/>
      <c r="BQF23" s="476"/>
      <c r="BQG23" s="476"/>
      <c r="BQH23" s="476"/>
      <c r="BQI23" s="476"/>
      <c r="BQJ23" s="476"/>
      <c r="BQK23" s="476"/>
      <c r="BQL23" s="476"/>
      <c r="BQM23" s="476"/>
      <c r="BQN23" s="476"/>
      <c r="BQO23" s="476"/>
      <c r="BQP23" s="476"/>
      <c r="BQQ23" s="476"/>
      <c r="BQR23" s="476"/>
      <c r="BQS23" s="476"/>
      <c r="BQT23" s="476"/>
      <c r="BQU23" s="476"/>
      <c r="BQV23" s="476"/>
      <c r="BQW23" s="476"/>
      <c r="BQX23" s="476"/>
      <c r="BQY23" s="476"/>
      <c r="BQZ23" s="476"/>
      <c r="BRA23" s="476"/>
      <c r="BRB23" s="476"/>
      <c r="BRC23" s="476"/>
      <c r="BRD23" s="476"/>
      <c r="BRE23" s="476"/>
      <c r="BRF23" s="476"/>
      <c r="BRG23" s="476"/>
      <c r="BRH23" s="476"/>
      <c r="BRI23" s="476"/>
      <c r="BRJ23" s="476"/>
      <c r="BRK23" s="476"/>
      <c r="BRL23" s="476"/>
      <c r="BRM23" s="476"/>
      <c r="BRN23" s="476"/>
      <c r="BRO23" s="476"/>
      <c r="BRP23" s="476"/>
      <c r="BRQ23" s="476"/>
      <c r="BRR23" s="476"/>
      <c r="BRS23" s="476"/>
      <c r="BRT23" s="476"/>
      <c r="BRU23" s="476"/>
      <c r="BRV23" s="476"/>
      <c r="BRW23" s="476"/>
      <c r="BRX23" s="476"/>
      <c r="BRY23" s="476"/>
      <c r="BRZ23" s="476"/>
      <c r="BSA23" s="476"/>
      <c r="BSB23" s="476"/>
      <c r="BSC23" s="476"/>
      <c r="BSD23" s="476"/>
      <c r="BSE23" s="476"/>
      <c r="BSF23" s="476"/>
      <c r="BSG23" s="476"/>
      <c r="BSH23" s="476"/>
      <c r="BSI23" s="476"/>
      <c r="BSJ23" s="476"/>
      <c r="BSK23" s="476"/>
      <c r="BSL23" s="476"/>
      <c r="BSM23" s="476"/>
      <c r="BSN23" s="476"/>
      <c r="BSO23" s="476"/>
      <c r="BSP23" s="476"/>
      <c r="BSQ23" s="476"/>
      <c r="BSR23" s="476"/>
      <c r="BSS23" s="476"/>
      <c r="BST23" s="476"/>
      <c r="BSU23" s="476"/>
      <c r="BSV23" s="476"/>
      <c r="BSW23" s="476"/>
      <c r="BSX23" s="476"/>
      <c r="BSY23" s="476"/>
      <c r="BSZ23" s="476"/>
      <c r="BTA23" s="476"/>
      <c r="BTB23" s="476"/>
      <c r="BTC23" s="476"/>
      <c r="BTD23" s="476"/>
      <c r="BTE23" s="476"/>
      <c r="BTF23" s="476"/>
      <c r="BTG23" s="476"/>
      <c r="BTH23" s="476"/>
      <c r="BTI23" s="476"/>
      <c r="BTJ23" s="476"/>
      <c r="BTK23" s="476"/>
      <c r="BTL23" s="476"/>
      <c r="BTM23" s="476"/>
      <c r="BTN23" s="476"/>
      <c r="BTO23" s="476"/>
      <c r="BTP23" s="476"/>
      <c r="BTQ23" s="476"/>
      <c r="BTR23" s="476"/>
      <c r="BTS23" s="476"/>
      <c r="BTT23" s="476"/>
      <c r="BTU23" s="476"/>
      <c r="BTV23" s="476"/>
      <c r="BTW23" s="476"/>
      <c r="BTX23" s="476"/>
      <c r="BTY23" s="476"/>
      <c r="BTZ23" s="476"/>
      <c r="BUA23" s="476"/>
      <c r="BUB23" s="476"/>
      <c r="BUC23" s="476"/>
      <c r="BUD23" s="476"/>
      <c r="BUE23" s="476"/>
      <c r="BUF23" s="476"/>
      <c r="BUG23" s="476"/>
      <c r="BUH23" s="476"/>
      <c r="BUI23" s="476"/>
      <c r="BUJ23" s="476"/>
      <c r="BUK23" s="476"/>
      <c r="BUL23" s="476"/>
      <c r="BUM23" s="476"/>
      <c r="BUN23" s="476"/>
      <c r="BUO23" s="476"/>
      <c r="BUP23" s="476"/>
      <c r="BUQ23" s="476"/>
      <c r="BUR23" s="476"/>
      <c r="BUS23" s="476"/>
      <c r="BUT23" s="476"/>
      <c r="BUU23" s="476"/>
      <c r="BUV23" s="476"/>
      <c r="BUW23" s="476"/>
      <c r="BUX23" s="476"/>
      <c r="BUY23" s="476"/>
      <c r="BUZ23" s="476"/>
      <c r="BVA23" s="476"/>
      <c r="BVB23" s="476"/>
      <c r="BVC23" s="476"/>
      <c r="BVD23" s="476"/>
      <c r="BVE23" s="476"/>
      <c r="BVF23" s="476"/>
      <c r="BVG23" s="476"/>
      <c r="BVH23" s="476"/>
      <c r="BVI23" s="476"/>
      <c r="BVJ23" s="476"/>
      <c r="BVK23" s="476"/>
      <c r="BVL23" s="476"/>
      <c r="BVM23" s="476"/>
      <c r="BVN23" s="476"/>
      <c r="BVO23" s="476"/>
      <c r="BVP23" s="476"/>
      <c r="BVQ23" s="476"/>
      <c r="BVR23" s="476"/>
      <c r="BVS23" s="476"/>
      <c r="BVT23" s="476"/>
      <c r="BVU23" s="476"/>
      <c r="BVV23" s="476"/>
      <c r="BVW23" s="476"/>
      <c r="BVX23" s="476"/>
      <c r="BVY23" s="476"/>
      <c r="BVZ23" s="476"/>
      <c r="BWA23" s="476"/>
      <c r="BWB23" s="476"/>
      <c r="BWC23" s="476"/>
      <c r="BWD23" s="476"/>
      <c r="BWE23" s="476"/>
      <c r="BWF23" s="476"/>
      <c r="BWG23" s="476"/>
      <c r="BWH23" s="476"/>
      <c r="BWI23" s="476"/>
      <c r="BWJ23" s="476"/>
      <c r="BWK23" s="476"/>
      <c r="BWL23" s="476"/>
      <c r="BWM23" s="476"/>
      <c r="BWN23" s="476"/>
      <c r="BWO23" s="476"/>
      <c r="BWP23" s="476"/>
      <c r="BWQ23" s="476"/>
      <c r="BWR23" s="476"/>
      <c r="BWS23" s="476"/>
      <c r="BWT23" s="476"/>
      <c r="BWU23" s="476"/>
      <c r="BWV23" s="476"/>
      <c r="BWW23" s="476"/>
      <c r="BWX23" s="476"/>
      <c r="BWY23" s="476"/>
      <c r="BWZ23" s="476"/>
      <c r="BXA23" s="476"/>
      <c r="BXB23" s="476"/>
      <c r="BXC23" s="476"/>
      <c r="BXD23" s="476"/>
      <c r="BXE23" s="476"/>
      <c r="BXF23" s="476"/>
      <c r="BXG23" s="476"/>
      <c r="BXH23" s="476"/>
      <c r="BXI23" s="476"/>
      <c r="BXJ23" s="476"/>
      <c r="BXK23" s="476"/>
      <c r="BXL23" s="476"/>
      <c r="BXM23" s="476"/>
      <c r="BXN23" s="476"/>
      <c r="BXO23" s="476"/>
      <c r="BXP23" s="476"/>
      <c r="BXQ23" s="476"/>
      <c r="BXR23" s="476"/>
      <c r="BXS23" s="476"/>
      <c r="BXT23" s="476"/>
      <c r="BXU23" s="476"/>
      <c r="BXV23" s="476"/>
      <c r="BXW23" s="476"/>
      <c r="BXX23" s="476"/>
      <c r="BXY23" s="476"/>
      <c r="BXZ23" s="476"/>
      <c r="BYA23" s="476"/>
      <c r="BYB23" s="476"/>
      <c r="BYC23" s="476"/>
      <c r="BYD23" s="476"/>
      <c r="BYE23" s="476"/>
      <c r="BYF23" s="476"/>
      <c r="BYG23" s="476"/>
      <c r="BYH23" s="476"/>
      <c r="BYI23" s="476"/>
      <c r="BYJ23" s="476"/>
      <c r="BYK23" s="476"/>
      <c r="BYL23" s="476"/>
      <c r="BYM23" s="476"/>
      <c r="BYN23" s="476"/>
      <c r="BYO23" s="476"/>
      <c r="BYP23" s="476"/>
      <c r="BYQ23" s="476"/>
      <c r="BYR23" s="476"/>
      <c r="BYS23" s="476"/>
      <c r="BYT23" s="476"/>
      <c r="BYU23" s="476"/>
      <c r="BYV23" s="476"/>
      <c r="BYW23" s="476"/>
      <c r="BYX23" s="476"/>
      <c r="BYY23" s="476"/>
      <c r="BYZ23" s="476"/>
      <c r="BZA23" s="476"/>
      <c r="BZB23" s="476"/>
      <c r="BZC23" s="476"/>
      <c r="BZD23" s="476"/>
      <c r="BZE23" s="476"/>
      <c r="BZF23" s="476"/>
      <c r="BZG23" s="476"/>
      <c r="BZH23" s="476"/>
      <c r="BZI23" s="476"/>
      <c r="BZJ23" s="476"/>
      <c r="BZK23" s="476"/>
      <c r="BZL23" s="476"/>
      <c r="BZM23" s="476"/>
      <c r="BZN23" s="476"/>
      <c r="BZO23" s="476"/>
      <c r="BZP23" s="476"/>
      <c r="BZQ23" s="476"/>
      <c r="BZR23" s="476"/>
      <c r="BZS23" s="476"/>
      <c r="BZT23" s="476"/>
      <c r="BZU23" s="476"/>
      <c r="BZV23" s="476"/>
      <c r="BZW23" s="476"/>
      <c r="BZX23" s="476"/>
      <c r="BZY23" s="476"/>
      <c r="BZZ23" s="476"/>
      <c r="CAA23" s="476"/>
      <c r="CAB23" s="476"/>
      <c r="CAC23" s="476"/>
      <c r="CAD23" s="476"/>
      <c r="CAE23" s="476"/>
      <c r="CAF23" s="476"/>
      <c r="CAG23" s="476"/>
      <c r="CAH23" s="476"/>
      <c r="CAI23" s="476"/>
      <c r="CAJ23" s="476"/>
      <c r="CAK23" s="476"/>
      <c r="CAL23" s="476"/>
      <c r="CAM23" s="476"/>
      <c r="CAN23" s="476"/>
      <c r="CAO23" s="476"/>
      <c r="CAP23" s="476"/>
      <c r="CAQ23" s="476"/>
      <c r="CAR23" s="476"/>
      <c r="CAS23" s="476"/>
      <c r="CAT23" s="476"/>
      <c r="CAU23" s="476"/>
      <c r="CAV23" s="476"/>
      <c r="CAW23" s="476"/>
      <c r="CAX23" s="476"/>
      <c r="CAY23" s="476"/>
      <c r="CAZ23" s="476"/>
      <c r="CBA23" s="476"/>
      <c r="CBB23" s="476"/>
      <c r="CBC23" s="476"/>
      <c r="CBD23" s="476"/>
      <c r="CBE23" s="476"/>
      <c r="CBF23" s="476"/>
      <c r="CBG23" s="476"/>
      <c r="CBH23" s="476"/>
      <c r="CBI23" s="476"/>
      <c r="CBJ23" s="476"/>
      <c r="CBK23" s="476"/>
      <c r="CBL23" s="476"/>
      <c r="CBM23" s="476"/>
      <c r="CBN23" s="476"/>
      <c r="CBO23" s="476"/>
      <c r="CBP23" s="476"/>
      <c r="CBQ23" s="476"/>
      <c r="CBR23" s="476"/>
      <c r="CBS23" s="476"/>
      <c r="CBT23" s="476"/>
      <c r="CBU23" s="476"/>
      <c r="CBV23" s="476"/>
      <c r="CBW23" s="476"/>
      <c r="CBX23" s="476"/>
      <c r="CBY23" s="476"/>
      <c r="CBZ23" s="476"/>
      <c r="CCA23" s="476"/>
      <c r="CCB23" s="476"/>
      <c r="CCC23" s="476"/>
      <c r="CCD23" s="476"/>
      <c r="CCE23" s="476"/>
      <c r="CCF23" s="476"/>
      <c r="CCG23" s="476"/>
      <c r="CCH23" s="476"/>
      <c r="CCI23" s="476"/>
      <c r="CCJ23" s="476"/>
      <c r="CCK23" s="476"/>
      <c r="CCL23" s="476"/>
      <c r="CCM23" s="476"/>
      <c r="CCN23" s="476"/>
      <c r="CCO23" s="476"/>
      <c r="CCP23" s="476"/>
      <c r="CCQ23" s="476"/>
      <c r="CCR23" s="476"/>
      <c r="CCS23" s="476"/>
      <c r="CCT23" s="476"/>
      <c r="CCU23" s="476"/>
      <c r="CCV23" s="476"/>
      <c r="CCW23" s="476"/>
      <c r="CCX23" s="476"/>
      <c r="CCY23" s="476"/>
      <c r="CCZ23" s="476"/>
      <c r="CDA23" s="476"/>
      <c r="CDB23" s="476"/>
      <c r="CDC23" s="476"/>
      <c r="CDD23" s="476"/>
      <c r="CDE23" s="476"/>
      <c r="CDF23" s="476"/>
      <c r="CDG23" s="476"/>
      <c r="CDH23" s="476"/>
      <c r="CDI23" s="476"/>
      <c r="CDJ23" s="476"/>
      <c r="CDK23" s="476"/>
      <c r="CDL23" s="476"/>
      <c r="CDM23" s="476"/>
      <c r="CDN23" s="476"/>
      <c r="CDO23" s="476"/>
      <c r="CDP23" s="476"/>
      <c r="CDQ23" s="476"/>
      <c r="CDR23" s="476"/>
      <c r="CDS23" s="476"/>
      <c r="CDT23" s="476"/>
      <c r="CDU23" s="476"/>
      <c r="CDV23" s="476"/>
      <c r="CDW23" s="476"/>
      <c r="CDX23" s="476"/>
      <c r="CDY23" s="476"/>
      <c r="CDZ23" s="476"/>
      <c r="CEA23" s="476"/>
      <c r="CEB23" s="476"/>
      <c r="CEC23" s="476"/>
      <c r="CED23" s="476"/>
      <c r="CEE23" s="476"/>
      <c r="CEF23" s="476"/>
      <c r="CEG23" s="476"/>
      <c r="CEH23" s="476"/>
      <c r="CEI23" s="476"/>
      <c r="CEJ23" s="476"/>
      <c r="CEK23" s="476"/>
      <c r="CEL23" s="476"/>
      <c r="CEM23" s="476"/>
      <c r="CEN23" s="476"/>
      <c r="CEO23" s="476"/>
      <c r="CEP23" s="476"/>
      <c r="CEQ23" s="476"/>
      <c r="CER23" s="476"/>
      <c r="CES23" s="476"/>
      <c r="CET23" s="476"/>
      <c r="CEU23" s="476"/>
      <c r="CEV23" s="476"/>
      <c r="CEW23" s="476"/>
      <c r="CEX23" s="476"/>
      <c r="CEY23" s="476"/>
      <c r="CEZ23" s="476"/>
      <c r="CFA23" s="476"/>
      <c r="CFB23" s="476"/>
      <c r="CFC23" s="476"/>
      <c r="CFD23" s="476"/>
      <c r="CFE23" s="476"/>
      <c r="CFF23" s="476"/>
      <c r="CFG23" s="476"/>
      <c r="CFH23" s="476"/>
      <c r="CFI23" s="476"/>
      <c r="CFJ23" s="476"/>
      <c r="CFK23" s="476"/>
      <c r="CFL23" s="476"/>
      <c r="CFM23" s="476"/>
      <c r="CFN23" s="476"/>
      <c r="CFO23" s="476"/>
      <c r="CFP23" s="476"/>
      <c r="CFQ23" s="476"/>
      <c r="CFR23" s="476"/>
      <c r="CFS23" s="476"/>
      <c r="CFT23" s="476"/>
      <c r="CFU23" s="476"/>
      <c r="CFV23" s="476"/>
      <c r="CFW23" s="476"/>
      <c r="CFX23" s="476"/>
      <c r="CFY23" s="476"/>
      <c r="CFZ23" s="476"/>
      <c r="CGA23" s="476"/>
      <c r="CGB23" s="476"/>
      <c r="CGC23" s="476"/>
      <c r="CGD23" s="476"/>
      <c r="CGE23" s="476"/>
      <c r="CGF23" s="476"/>
      <c r="CGG23" s="476"/>
      <c r="CGH23" s="476"/>
      <c r="CGI23" s="476"/>
      <c r="CGJ23" s="476"/>
      <c r="CGK23" s="476"/>
      <c r="CGL23" s="476"/>
      <c r="CGM23" s="476"/>
      <c r="CGN23" s="476"/>
      <c r="CGO23" s="476"/>
      <c r="CGP23" s="476"/>
      <c r="CGQ23" s="476"/>
      <c r="CGR23" s="476"/>
      <c r="CGS23" s="476"/>
      <c r="CGT23" s="476"/>
      <c r="CGU23" s="476"/>
      <c r="CGV23" s="476"/>
      <c r="CGW23" s="476"/>
      <c r="CGX23" s="476"/>
      <c r="CGY23" s="476"/>
      <c r="CGZ23" s="476"/>
      <c r="CHA23" s="476"/>
      <c r="CHB23" s="476"/>
      <c r="CHC23" s="476"/>
      <c r="CHD23" s="476"/>
      <c r="CHE23" s="476"/>
      <c r="CHF23" s="476"/>
      <c r="CHG23" s="476"/>
      <c r="CHH23" s="476"/>
      <c r="CHI23" s="476"/>
      <c r="CHJ23" s="476"/>
      <c r="CHK23" s="476"/>
      <c r="CHL23" s="476"/>
      <c r="CHM23" s="476"/>
      <c r="CHN23" s="476"/>
      <c r="CHO23" s="476"/>
      <c r="CHP23" s="476"/>
      <c r="CHQ23" s="476"/>
      <c r="CHR23" s="476"/>
      <c r="CHS23" s="476"/>
      <c r="CHT23" s="476"/>
      <c r="CHU23" s="476"/>
      <c r="CHV23" s="476"/>
      <c r="CHW23" s="476"/>
      <c r="CHX23" s="476"/>
      <c r="CHY23" s="476"/>
      <c r="CHZ23" s="476"/>
      <c r="CIA23" s="476"/>
      <c r="CIB23" s="476"/>
      <c r="CIC23" s="476"/>
      <c r="CID23" s="476"/>
      <c r="CIE23" s="476"/>
      <c r="CIF23" s="476"/>
      <c r="CIG23" s="476"/>
      <c r="CIH23" s="476"/>
      <c r="CII23" s="476"/>
      <c r="CIJ23" s="476"/>
      <c r="CIK23" s="476"/>
      <c r="CIL23" s="476"/>
      <c r="CIM23" s="476"/>
      <c r="CIN23" s="476"/>
      <c r="CIO23" s="476"/>
      <c r="CIP23" s="476"/>
      <c r="CIQ23" s="476"/>
      <c r="CIR23" s="476"/>
      <c r="CIS23" s="476"/>
      <c r="CIT23" s="476"/>
      <c r="CIU23" s="476"/>
      <c r="CIV23" s="476"/>
      <c r="CIW23" s="476"/>
      <c r="CIX23" s="476"/>
      <c r="CIY23" s="476"/>
      <c r="CIZ23" s="476"/>
      <c r="CJA23" s="476"/>
      <c r="CJB23" s="476"/>
      <c r="CJC23" s="476"/>
      <c r="CJD23" s="476"/>
      <c r="CJE23" s="476"/>
      <c r="CJF23" s="476"/>
      <c r="CJG23" s="476"/>
      <c r="CJH23" s="476"/>
      <c r="CJI23" s="476"/>
      <c r="CJJ23" s="476"/>
      <c r="CJK23" s="476"/>
      <c r="CJL23" s="476"/>
      <c r="CJM23" s="476"/>
      <c r="CJN23" s="476"/>
      <c r="CJO23" s="476"/>
      <c r="CJP23" s="476"/>
      <c r="CJQ23" s="476"/>
      <c r="CJR23" s="476"/>
      <c r="CJS23" s="476"/>
      <c r="CJT23" s="476"/>
      <c r="CJU23" s="476"/>
      <c r="CJV23" s="476"/>
      <c r="CJW23" s="476"/>
      <c r="CJX23" s="476"/>
      <c r="CJY23" s="476"/>
      <c r="CJZ23" s="476"/>
      <c r="CKA23" s="476"/>
      <c r="CKB23" s="476"/>
      <c r="CKC23" s="476"/>
      <c r="CKD23" s="476"/>
      <c r="CKE23" s="476"/>
      <c r="CKF23" s="476"/>
      <c r="CKG23" s="476"/>
      <c r="CKH23" s="476"/>
      <c r="CKI23" s="476"/>
      <c r="CKJ23" s="476"/>
      <c r="CKK23" s="476"/>
      <c r="CKL23" s="476"/>
      <c r="CKM23" s="476"/>
      <c r="CKN23" s="476"/>
      <c r="CKO23" s="476"/>
      <c r="CKP23" s="476"/>
      <c r="CKQ23" s="476"/>
      <c r="CKR23" s="476"/>
      <c r="CKS23" s="476"/>
      <c r="CKT23" s="476"/>
      <c r="CKU23" s="476"/>
      <c r="CKV23" s="476"/>
      <c r="CKW23" s="476"/>
      <c r="CKX23" s="476"/>
      <c r="CKY23" s="476"/>
      <c r="CKZ23" s="476"/>
      <c r="CLA23" s="476"/>
      <c r="CLB23" s="476"/>
      <c r="CLC23" s="476"/>
      <c r="CLD23" s="476"/>
      <c r="CLE23" s="476"/>
      <c r="CLF23" s="476"/>
      <c r="CLG23" s="476"/>
      <c r="CLH23" s="476"/>
      <c r="CLI23" s="476"/>
      <c r="CLJ23" s="476"/>
      <c r="CLK23" s="476"/>
      <c r="CLL23" s="476"/>
      <c r="CLM23" s="476"/>
      <c r="CLN23" s="476"/>
      <c r="CLO23" s="476"/>
      <c r="CLP23" s="476"/>
      <c r="CLQ23" s="476"/>
      <c r="CLR23" s="476"/>
      <c r="CLS23" s="476"/>
      <c r="CLT23" s="476"/>
      <c r="CLU23" s="476"/>
      <c r="CLV23" s="476"/>
      <c r="CLW23" s="476"/>
      <c r="CLX23" s="476"/>
      <c r="CLY23" s="476"/>
      <c r="CLZ23" s="476"/>
      <c r="CMA23" s="476"/>
      <c r="CMB23" s="476"/>
      <c r="CMC23" s="476"/>
      <c r="CMD23" s="476"/>
      <c r="CME23" s="476"/>
      <c r="CMF23" s="476"/>
      <c r="CMG23" s="476"/>
      <c r="CMH23" s="476"/>
      <c r="CMI23" s="476"/>
      <c r="CMJ23" s="476"/>
      <c r="CMK23" s="476"/>
      <c r="CML23" s="476"/>
      <c r="CMM23" s="476"/>
      <c r="CMN23" s="476"/>
      <c r="CMO23" s="476"/>
      <c r="CMP23" s="476"/>
      <c r="CMQ23" s="476"/>
      <c r="CMR23" s="476"/>
      <c r="CMS23" s="476"/>
      <c r="CMT23" s="476"/>
      <c r="CMU23" s="476"/>
      <c r="CMV23" s="476"/>
      <c r="CMW23" s="476"/>
      <c r="CMX23" s="476"/>
      <c r="CMY23" s="476"/>
      <c r="CMZ23" s="476"/>
      <c r="CNA23" s="476"/>
      <c r="CNB23" s="476"/>
      <c r="CNC23" s="476"/>
      <c r="CND23" s="476"/>
      <c r="CNE23" s="476"/>
      <c r="CNF23" s="476"/>
      <c r="CNG23" s="476"/>
      <c r="CNH23" s="476"/>
      <c r="CNI23" s="476"/>
      <c r="CNJ23" s="476"/>
      <c r="CNK23" s="476"/>
      <c r="CNL23" s="476"/>
      <c r="CNM23" s="476"/>
      <c r="CNN23" s="476"/>
      <c r="CNO23" s="476"/>
      <c r="CNP23" s="476"/>
      <c r="CNQ23" s="476"/>
      <c r="CNR23" s="476"/>
      <c r="CNS23" s="476"/>
      <c r="CNT23" s="476"/>
      <c r="CNU23" s="476"/>
      <c r="CNV23" s="476"/>
      <c r="CNW23" s="476"/>
      <c r="CNX23" s="476"/>
      <c r="CNY23" s="476"/>
      <c r="CNZ23" s="476"/>
      <c r="COA23" s="476"/>
      <c r="COB23" s="476"/>
      <c r="COC23" s="476"/>
      <c r="COD23" s="476"/>
      <c r="COE23" s="476"/>
      <c r="COF23" s="476"/>
      <c r="COG23" s="476"/>
      <c r="COH23" s="476"/>
      <c r="COI23" s="476"/>
      <c r="COJ23" s="476"/>
      <c r="COK23" s="476"/>
      <c r="COL23" s="476"/>
      <c r="COM23" s="476"/>
      <c r="CON23" s="476"/>
      <c r="COO23" s="476"/>
      <c r="COP23" s="476"/>
      <c r="COQ23" s="476"/>
      <c r="COR23" s="476"/>
      <c r="COS23" s="476"/>
      <c r="COT23" s="476"/>
      <c r="COU23" s="476"/>
      <c r="COV23" s="476"/>
      <c r="COW23" s="476"/>
      <c r="COX23" s="476"/>
      <c r="COY23" s="476"/>
      <c r="COZ23" s="476"/>
      <c r="CPA23" s="476"/>
      <c r="CPB23" s="476"/>
      <c r="CPC23" s="476"/>
      <c r="CPD23" s="476"/>
      <c r="CPE23" s="476"/>
      <c r="CPF23" s="476"/>
      <c r="CPG23" s="476"/>
      <c r="CPH23" s="476"/>
      <c r="CPI23" s="476"/>
      <c r="CPJ23" s="476"/>
      <c r="CPK23" s="476"/>
      <c r="CPL23" s="476"/>
      <c r="CPM23" s="476"/>
      <c r="CPN23" s="476"/>
      <c r="CPO23" s="476"/>
      <c r="CPP23" s="476"/>
      <c r="CPQ23" s="476"/>
      <c r="CPR23" s="476"/>
      <c r="CPS23" s="476"/>
      <c r="CPT23" s="476"/>
      <c r="CPU23" s="476"/>
      <c r="CPV23" s="476"/>
      <c r="CPW23" s="476"/>
      <c r="CPX23" s="476"/>
      <c r="CPY23" s="476"/>
      <c r="CPZ23" s="476"/>
      <c r="CQA23" s="476"/>
      <c r="CQB23" s="476"/>
      <c r="CQC23" s="476"/>
      <c r="CQD23" s="476"/>
      <c r="CQE23" s="476"/>
      <c r="CQF23" s="476"/>
      <c r="CQG23" s="476"/>
      <c r="CQH23" s="476"/>
      <c r="CQI23" s="476"/>
      <c r="CQJ23" s="476"/>
      <c r="CQK23" s="476"/>
      <c r="CQL23" s="476"/>
      <c r="CQM23" s="476"/>
      <c r="CQN23" s="476"/>
      <c r="CQO23" s="476"/>
      <c r="CQP23" s="476"/>
      <c r="CQQ23" s="476"/>
      <c r="CQR23" s="476"/>
      <c r="CQS23" s="476"/>
      <c r="CQT23" s="476"/>
      <c r="CQU23" s="476"/>
      <c r="CQV23" s="476"/>
      <c r="CQW23" s="476"/>
      <c r="CQX23" s="476"/>
      <c r="CQY23" s="476"/>
      <c r="CQZ23" s="476"/>
      <c r="CRA23" s="476"/>
      <c r="CRB23" s="476"/>
      <c r="CRC23" s="476"/>
      <c r="CRD23" s="476"/>
      <c r="CRE23" s="476"/>
      <c r="CRF23" s="476"/>
      <c r="CRG23" s="476"/>
      <c r="CRH23" s="476"/>
      <c r="CRI23" s="476"/>
      <c r="CRJ23" s="476"/>
      <c r="CRK23" s="476"/>
      <c r="CRL23" s="476"/>
      <c r="CRM23" s="476"/>
      <c r="CRN23" s="476"/>
      <c r="CRO23" s="476"/>
      <c r="CRP23" s="476"/>
      <c r="CRQ23" s="476"/>
      <c r="CRR23" s="476"/>
      <c r="CRS23" s="476"/>
      <c r="CRT23" s="476"/>
      <c r="CRU23" s="476"/>
      <c r="CRV23" s="476"/>
      <c r="CRW23" s="476"/>
      <c r="CRX23" s="476"/>
      <c r="CRY23" s="476"/>
      <c r="CRZ23" s="476"/>
      <c r="CSA23" s="476"/>
      <c r="CSB23" s="476"/>
      <c r="CSC23" s="476"/>
      <c r="CSD23" s="476"/>
      <c r="CSE23" s="476"/>
      <c r="CSF23" s="476"/>
      <c r="CSG23" s="476"/>
      <c r="CSH23" s="476"/>
      <c r="CSI23" s="476"/>
      <c r="CSJ23" s="476"/>
      <c r="CSK23" s="476"/>
      <c r="CSL23" s="476"/>
      <c r="CSM23" s="476"/>
      <c r="CSN23" s="476"/>
      <c r="CSO23" s="476"/>
      <c r="CSP23" s="476"/>
      <c r="CSQ23" s="476"/>
      <c r="CSR23" s="476"/>
      <c r="CSS23" s="476"/>
      <c r="CST23" s="476"/>
      <c r="CSU23" s="476"/>
      <c r="CSV23" s="476"/>
      <c r="CSW23" s="476"/>
      <c r="CSX23" s="476"/>
      <c r="CSY23" s="476"/>
      <c r="CSZ23" s="476"/>
      <c r="CTA23" s="476"/>
      <c r="CTB23" s="476"/>
      <c r="CTC23" s="476"/>
      <c r="CTD23" s="476"/>
      <c r="CTE23" s="476"/>
      <c r="CTF23" s="476"/>
      <c r="CTG23" s="476"/>
      <c r="CTH23" s="476"/>
      <c r="CTI23" s="476"/>
      <c r="CTJ23" s="476"/>
      <c r="CTK23" s="476"/>
      <c r="CTL23" s="476"/>
      <c r="CTM23" s="476"/>
      <c r="CTN23" s="476"/>
      <c r="CTO23" s="476"/>
      <c r="CTP23" s="476"/>
      <c r="CTQ23" s="476"/>
      <c r="CTR23" s="476"/>
      <c r="CTS23" s="476"/>
      <c r="CTT23" s="476"/>
      <c r="CTU23" s="476"/>
      <c r="CTV23" s="476"/>
      <c r="CTW23" s="476"/>
      <c r="CTX23" s="476"/>
      <c r="CTY23" s="476"/>
      <c r="CTZ23" s="476"/>
      <c r="CUA23" s="476"/>
      <c r="CUB23" s="476"/>
      <c r="CUC23" s="476"/>
      <c r="CUD23" s="476"/>
      <c r="CUE23" s="476"/>
      <c r="CUF23" s="476"/>
      <c r="CUG23" s="476"/>
      <c r="CUH23" s="476"/>
      <c r="CUI23" s="476"/>
      <c r="CUJ23" s="476"/>
      <c r="CUK23" s="476"/>
      <c r="CUL23" s="476"/>
      <c r="CUM23" s="476"/>
      <c r="CUN23" s="476"/>
      <c r="CUO23" s="476"/>
      <c r="CUP23" s="476"/>
      <c r="CUQ23" s="476"/>
      <c r="CUR23" s="476"/>
      <c r="CUS23" s="476"/>
      <c r="CUT23" s="476"/>
      <c r="CUU23" s="476"/>
      <c r="CUV23" s="476"/>
      <c r="CUW23" s="476"/>
      <c r="CUX23" s="476"/>
      <c r="CUY23" s="476"/>
      <c r="CUZ23" s="476"/>
      <c r="CVA23" s="476"/>
      <c r="CVB23" s="476"/>
      <c r="CVC23" s="476"/>
      <c r="CVD23" s="476"/>
      <c r="CVE23" s="476"/>
      <c r="CVF23" s="476"/>
      <c r="CVG23" s="476"/>
      <c r="CVH23" s="476"/>
      <c r="CVI23" s="476"/>
      <c r="CVJ23" s="476"/>
      <c r="CVK23" s="476"/>
      <c r="CVL23" s="476"/>
      <c r="CVM23" s="476"/>
      <c r="CVN23" s="476"/>
      <c r="CVO23" s="476"/>
      <c r="CVP23" s="476"/>
      <c r="CVQ23" s="476"/>
      <c r="CVR23" s="476"/>
      <c r="CVS23" s="476"/>
      <c r="CVT23" s="476"/>
      <c r="CVU23" s="476"/>
      <c r="CVV23" s="476"/>
      <c r="CVW23" s="476"/>
      <c r="CVX23" s="476"/>
      <c r="CVY23" s="476"/>
      <c r="CVZ23" s="476"/>
      <c r="CWA23" s="476"/>
      <c r="CWB23" s="476"/>
      <c r="CWC23" s="476"/>
      <c r="CWD23" s="476"/>
      <c r="CWE23" s="476"/>
      <c r="CWF23" s="476"/>
      <c r="CWG23" s="476"/>
      <c r="CWH23" s="476"/>
      <c r="CWI23" s="476"/>
      <c r="CWJ23" s="476"/>
      <c r="CWK23" s="476"/>
      <c r="CWL23" s="476"/>
      <c r="CWM23" s="476"/>
      <c r="CWN23" s="476"/>
      <c r="CWO23" s="476"/>
      <c r="CWP23" s="476"/>
      <c r="CWQ23" s="476"/>
      <c r="CWR23" s="476"/>
      <c r="CWS23" s="476"/>
      <c r="CWT23" s="476"/>
      <c r="CWU23" s="476"/>
      <c r="CWV23" s="476"/>
      <c r="CWW23" s="476"/>
      <c r="CWX23" s="476"/>
      <c r="CWY23" s="476"/>
      <c r="CWZ23" s="476"/>
      <c r="CXA23" s="476"/>
      <c r="CXB23" s="476"/>
      <c r="CXC23" s="476"/>
      <c r="CXD23" s="476"/>
      <c r="CXE23" s="476"/>
      <c r="CXF23" s="476"/>
      <c r="CXG23" s="476"/>
      <c r="CXH23" s="476"/>
      <c r="CXI23" s="476"/>
      <c r="CXJ23" s="476"/>
      <c r="CXK23" s="476"/>
      <c r="CXL23" s="476"/>
      <c r="CXM23" s="476"/>
      <c r="CXN23" s="476"/>
      <c r="CXO23" s="476"/>
      <c r="CXP23" s="476"/>
      <c r="CXQ23" s="476"/>
      <c r="CXR23" s="476"/>
      <c r="CXS23" s="476"/>
      <c r="CXT23" s="476"/>
      <c r="CXU23" s="476"/>
      <c r="CXV23" s="476"/>
      <c r="CXW23" s="476"/>
      <c r="CXX23" s="476"/>
      <c r="CXY23" s="476"/>
      <c r="CXZ23" s="476"/>
      <c r="CYA23" s="476"/>
      <c r="CYB23" s="476"/>
      <c r="CYC23" s="476"/>
      <c r="CYD23" s="476"/>
      <c r="CYE23" s="476"/>
      <c r="CYF23" s="476"/>
      <c r="CYG23" s="476"/>
      <c r="CYH23" s="476"/>
      <c r="CYI23" s="476"/>
      <c r="CYJ23" s="476"/>
      <c r="CYK23" s="476"/>
      <c r="CYL23" s="476"/>
      <c r="CYM23" s="476"/>
      <c r="CYN23" s="476"/>
      <c r="CYO23" s="476"/>
      <c r="CYP23" s="476"/>
      <c r="CYQ23" s="476"/>
      <c r="CYR23" s="476"/>
      <c r="CYS23" s="476"/>
      <c r="CYT23" s="476"/>
      <c r="CYU23" s="476"/>
      <c r="CYV23" s="476"/>
      <c r="CYW23" s="476"/>
      <c r="CYX23" s="476"/>
      <c r="CYY23" s="476"/>
      <c r="CYZ23" s="476"/>
      <c r="CZA23" s="476"/>
      <c r="CZB23" s="476"/>
      <c r="CZC23" s="476"/>
      <c r="CZD23" s="476"/>
      <c r="CZE23" s="476"/>
      <c r="CZF23" s="476"/>
      <c r="CZG23" s="476"/>
      <c r="CZH23" s="476"/>
      <c r="CZI23" s="476"/>
      <c r="CZJ23" s="476"/>
      <c r="CZK23" s="476"/>
      <c r="CZL23" s="476"/>
      <c r="CZM23" s="476"/>
      <c r="CZN23" s="476"/>
      <c r="CZO23" s="476"/>
      <c r="CZP23" s="476"/>
      <c r="CZQ23" s="476"/>
      <c r="CZR23" s="476"/>
      <c r="CZS23" s="476"/>
      <c r="CZT23" s="476"/>
      <c r="CZU23" s="476"/>
      <c r="CZV23" s="476"/>
      <c r="CZW23" s="476"/>
      <c r="CZX23" s="476"/>
      <c r="CZY23" s="476"/>
      <c r="CZZ23" s="476"/>
      <c r="DAA23" s="476"/>
      <c r="DAB23" s="476"/>
      <c r="DAC23" s="476"/>
      <c r="DAD23" s="476"/>
      <c r="DAE23" s="476"/>
      <c r="DAF23" s="476"/>
      <c r="DAG23" s="476"/>
      <c r="DAH23" s="476"/>
      <c r="DAI23" s="476"/>
      <c r="DAJ23" s="476"/>
      <c r="DAK23" s="476"/>
      <c r="DAL23" s="476"/>
      <c r="DAM23" s="476"/>
      <c r="DAN23" s="476"/>
      <c r="DAO23" s="476"/>
      <c r="DAP23" s="476"/>
      <c r="DAQ23" s="476"/>
      <c r="DAR23" s="476"/>
      <c r="DAS23" s="476"/>
      <c r="DAT23" s="476"/>
      <c r="DAU23" s="476"/>
      <c r="DAV23" s="476"/>
      <c r="DAW23" s="476"/>
      <c r="DAX23" s="476"/>
      <c r="DAY23" s="476"/>
      <c r="DAZ23" s="476"/>
      <c r="DBA23" s="476"/>
      <c r="DBB23" s="476"/>
      <c r="DBC23" s="476"/>
      <c r="DBD23" s="476"/>
      <c r="DBE23" s="476"/>
      <c r="DBF23" s="476"/>
      <c r="DBG23" s="476"/>
      <c r="DBH23" s="476"/>
      <c r="DBI23" s="476"/>
      <c r="DBJ23" s="476"/>
      <c r="DBK23" s="476"/>
      <c r="DBL23" s="476"/>
      <c r="DBM23" s="476"/>
      <c r="DBN23" s="476"/>
      <c r="DBO23" s="476"/>
      <c r="DBP23" s="476"/>
      <c r="DBQ23" s="476"/>
      <c r="DBR23" s="476"/>
      <c r="DBS23" s="476"/>
      <c r="DBT23" s="476"/>
      <c r="DBU23" s="476"/>
      <c r="DBV23" s="476"/>
      <c r="DBW23" s="476"/>
      <c r="DBX23" s="476"/>
      <c r="DBY23" s="476"/>
      <c r="DBZ23" s="476"/>
      <c r="DCA23" s="476"/>
      <c r="DCB23" s="476"/>
      <c r="DCC23" s="476"/>
      <c r="DCD23" s="476"/>
      <c r="DCE23" s="476"/>
      <c r="DCF23" s="476"/>
      <c r="DCG23" s="476"/>
      <c r="DCH23" s="476"/>
      <c r="DCI23" s="476"/>
      <c r="DCJ23" s="476"/>
      <c r="DCK23" s="476"/>
      <c r="DCL23" s="476"/>
      <c r="DCM23" s="476"/>
      <c r="DCN23" s="476"/>
      <c r="DCO23" s="476"/>
      <c r="DCP23" s="476"/>
      <c r="DCQ23" s="476"/>
      <c r="DCR23" s="476"/>
      <c r="DCS23" s="476"/>
      <c r="DCT23" s="476"/>
      <c r="DCU23" s="476"/>
      <c r="DCV23" s="476"/>
      <c r="DCW23" s="476"/>
      <c r="DCX23" s="476"/>
      <c r="DCY23" s="476"/>
      <c r="DCZ23" s="476"/>
      <c r="DDA23" s="476"/>
      <c r="DDB23" s="476"/>
      <c r="DDC23" s="476"/>
      <c r="DDD23" s="476"/>
      <c r="DDE23" s="476"/>
      <c r="DDF23" s="476"/>
      <c r="DDG23" s="476"/>
      <c r="DDH23" s="476"/>
      <c r="DDI23" s="476"/>
      <c r="DDJ23" s="476"/>
      <c r="DDK23" s="476"/>
      <c r="DDL23" s="476"/>
      <c r="DDM23" s="476"/>
      <c r="DDN23" s="476"/>
      <c r="DDO23" s="476"/>
      <c r="DDP23" s="476"/>
      <c r="DDQ23" s="476"/>
      <c r="DDR23" s="476"/>
      <c r="DDS23" s="476"/>
      <c r="DDT23" s="476"/>
      <c r="DDU23" s="476"/>
      <c r="DDV23" s="476"/>
      <c r="DDW23" s="476"/>
      <c r="DDX23" s="476"/>
      <c r="DDY23" s="476"/>
      <c r="DDZ23" s="476"/>
      <c r="DEA23" s="476"/>
      <c r="DEB23" s="476"/>
      <c r="DEC23" s="476"/>
      <c r="DED23" s="476"/>
      <c r="DEE23" s="476"/>
      <c r="DEF23" s="476"/>
      <c r="DEG23" s="476"/>
      <c r="DEH23" s="476"/>
      <c r="DEI23" s="476"/>
      <c r="DEJ23" s="476"/>
      <c r="DEK23" s="476"/>
      <c r="DEL23" s="476"/>
      <c r="DEM23" s="476"/>
      <c r="DEN23" s="476"/>
      <c r="DEO23" s="476"/>
      <c r="DEP23" s="476"/>
      <c r="DEQ23" s="476"/>
      <c r="DER23" s="476"/>
      <c r="DES23" s="476"/>
      <c r="DET23" s="476"/>
      <c r="DEU23" s="476"/>
      <c r="DEV23" s="476"/>
      <c r="DEW23" s="476"/>
      <c r="DEX23" s="476"/>
      <c r="DEY23" s="476"/>
      <c r="DEZ23" s="476"/>
      <c r="DFA23" s="476"/>
      <c r="DFB23" s="476"/>
      <c r="DFC23" s="476"/>
      <c r="DFD23" s="476"/>
      <c r="DFE23" s="476"/>
      <c r="DFF23" s="476"/>
      <c r="DFG23" s="476"/>
      <c r="DFH23" s="476"/>
      <c r="DFI23" s="476"/>
      <c r="DFJ23" s="476"/>
      <c r="DFK23" s="476"/>
      <c r="DFL23" s="476"/>
      <c r="DFM23" s="476"/>
      <c r="DFN23" s="476"/>
      <c r="DFO23" s="476"/>
      <c r="DFP23" s="476"/>
      <c r="DFQ23" s="476"/>
      <c r="DFR23" s="476"/>
      <c r="DFS23" s="476"/>
      <c r="DFT23" s="476"/>
      <c r="DFU23" s="476"/>
      <c r="DFV23" s="476"/>
      <c r="DFW23" s="476"/>
      <c r="DFX23" s="476"/>
      <c r="DFY23" s="476"/>
      <c r="DFZ23" s="476"/>
      <c r="DGA23" s="476"/>
      <c r="DGB23" s="476"/>
      <c r="DGC23" s="476"/>
      <c r="DGD23" s="476"/>
      <c r="DGE23" s="476"/>
      <c r="DGF23" s="476"/>
      <c r="DGG23" s="476"/>
      <c r="DGH23" s="476"/>
      <c r="DGI23" s="476"/>
      <c r="DGJ23" s="476"/>
      <c r="DGK23" s="476"/>
      <c r="DGL23" s="476"/>
      <c r="DGM23" s="476"/>
      <c r="DGN23" s="476"/>
      <c r="DGO23" s="476"/>
      <c r="DGP23" s="476"/>
      <c r="DGQ23" s="476"/>
      <c r="DGR23" s="476"/>
      <c r="DGS23" s="476"/>
      <c r="DGT23" s="476"/>
      <c r="DGU23" s="476"/>
      <c r="DGV23" s="476"/>
      <c r="DGW23" s="476"/>
      <c r="DGX23" s="476"/>
      <c r="DGY23" s="476"/>
      <c r="DGZ23" s="476"/>
      <c r="DHA23" s="476"/>
      <c r="DHB23" s="476"/>
      <c r="DHC23" s="476"/>
      <c r="DHD23" s="476"/>
      <c r="DHE23" s="476"/>
      <c r="DHF23" s="476"/>
      <c r="DHG23" s="476"/>
      <c r="DHH23" s="476"/>
      <c r="DHI23" s="476"/>
      <c r="DHJ23" s="476"/>
      <c r="DHK23" s="476"/>
      <c r="DHL23" s="476"/>
      <c r="DHM23" s="476"/>
      <c r="DHN23" s="476"/>
      <c r="DHO23" s="476"/>
      <c r="DHP23" s="476"/>
      <c r="DHQ23" s="476"/>
      <c r="DHR23" s="476"/>
      <c r="DHS23" s="476"/>
      <c r="DHT23" s="476"/>
      <c r="DHU23" s="476"/>
      <c r="DHV23" s="476"/>
      <c r="DHW23" s="476"/>
      <c r="DHX23" s="476"/>
      <c r="DHY23" s="476"/>
      <c r="DHZ23" s="476"/>
      <c r="DIA23" s="476"/>
      <c r="DIB23" s="476"/>
      <c r="DIC23" s="476"/>
      <c r="DID23" s="476"/>
      <c r="DIE23" s="476"/>
      <c r="DIF23" s="476"/>
      <c r="DIG23" s="476"/>
      <c r="DIH23" s="476"/>
      <c r="DII23" s="476"/>
      <c r="DIJ23" s="476"/>
      <c r="DIK23" s="476"/>
      <c r="DIL23" s="476"/>
      <c r="DIM23" s="476"/>
      <c r="DIN23" s="476"/>
      <c r="DIO23" s="476"/>
      <c r="DIP23" s="476"/>
      <c r="DIQ23" s="476"/>
      <c r="DIR23" s="476"/>
      <c r="DIS23" s="476"/>
      <c r="DIT23" s="476"/>
      <c r="DIU23" s="476"/>
      <c r="DIV23" s="476"/>
      <c r="DIW23" s="476"/>
      <c r="DIX23" s="476"/>
      <c r="DIY23" s="476"/>
      <c r="DIZ23" s="476"/>
      <c r="DJA23" s="476"/>
      <c r="DJB23" s="476"/>
      <c r="DJC23" s="476"/>
      <c r="DJD23" s="476"/>
      <c r="DJE23" s="476"/>
      <c r="DJF23" s="476"/>
      <c r="DJG23" s="476"/>
      <c r="DJH23" s="476"/>
      <c r="DJI23" s="476"/>
      <c r="DJJ23" s="476"/>
      <c r="DJK23" s="476"/>
      <c r="DJL23" s="476"/>
      <c r="DJM23" s="476"/>
      <c r="DJN23" s="476"/>
      <c r="DJO23" s="476"/>
      <c r="DJP23" s="476"/>
      <c r="DJQ23" s="476"/>
      <c r="DJR23" s="476"/>
      <c r="DJS23" s="476"/>
      <c r="DJT23" s="476"/>
      <c r="DJU23" s="476"/>
      <c r="DJV23" s="476"/>
      <c r="DJW23" s="476"/>
      <c r="DJX23" s="476"/>
      <c r="DJY23" s="476"/>
      <c r="DJZ23" s="476"/>
      <c r="DKA23" s="476"/>
      <c r="DKB23" s="476"/>
      <c r="DKC23" s="476"/>
      <c r="DKD23" s="476"/>
      <c r="DKE23" s="476"/>
      <c r="DKF23" s="476"/>
      <c r="DKG23" s="476"/>
      <c r="DKH23" s="476"/>
      <c r="DKI23" s="476"/>
      <c r="DKJ23" s="476"/>
      <c r="DKK23" s="476"/>
      <c r="DKL23" s="476"/>
      <c r="DKM23" s="476"/>
      <c r="DKN23" s="476"/>
      <c r="DKO23" s="476"/>
      <c r="DKP23" s="476"/>
      <c r="DKQ23" s="476"/>
      <c r="DKR23" s="476"/>
      <c r="DKS23" s="476"/>
      <c r="DKT23" s="476"/>
      <c r="DKU23" s="476"/>
      <c r="DKV23" s="476"/>
      <c r="DKW23" s="476"/>
      <c r="DKX23" s="476"/>
      <c r="DKY23" s="476"/>
      <c r="DKZ23" s="476"/>
      <c r="DLA23" s="476"/>
      <c r="DLB23" s="476"/>
      <c r="DLC23" s="476"/>
      <c r="DLD23" s="476"/>
      <c r="DLE23" s="476"/>
      <c r="DLF23" s="476"/>
      <c r="DLG23" s="476"/>
      <c r="DLH23" s="476"/>
      <c r="DLI23" s="476"/>
      <c r="DLJ23" s="476"/>
      <c r="DLK23" s="476"/>
      <c r="DLL23" s="476"/>
      <c r="DLM23" s="476"/>
      <c r="DLN23" s="476"/>
      <c r="DLO23" s="476"/>
      <c r="DLP23" s="476"/>
      <c r="DLQ23" s="476"/>
      <c r="DLR23" s="476"/>
      <c r="DLS23" s="476"/>
      <c r="DLT23" s="476"/>
      <c r="DLU23" s="476"/>
      <c r="DLV23" s="476"/>
      <c r="DLW23" s="476"/>
      <c r="DLX23" s="476"/>
      <c r="DLY23" s="476"/>
      <c r="DLZ23" s="476"/>
      <c r="DMA23" s="476"/>
      <c r="DMB23" s="476"/>
      <c r="DMC23" s="476"/>
      <c r="DMD23" s="476"/>
      <c r="DME23" s="476"/>
      <c r="DMF23" s="476"/>
      <c r="DMG23" s="476"/>
      <c r="DMH23" s="476"/>
      <c r="DMI23" s="476"/>
      <c r="DMJ23" s="476"/>
      <c r="DMK23" s="476"/>
      <c r="DML23" s="476"/>
      <c r="DMM23" s="476"/>
      <c r="DMN23" s="476"/>
      <c r="DMO23" s="476"/>
      <c r="DMP23" s="476"/>
      <c r="DMQ23" s="476"/>
      <c r="DMR23" s="476"/>
      <c r="DMS23" s="476"/>
      <c r="DMT23" s="476"/>
      <c r="DMU23" s="476"/>
      <c r="DMV23" s="476"/>
      <c r="DMW23" s="476"/>
      <c r="DMX23" s="476"/>
      <c r="DMY23" s="476"/>
      <c r="DMZ23" s="476"/>
      <c r="DNA23" s="476"/>
      <c r="DNB23" s="476"/>
      <c r="DNC23" s="476"/>
      <c r="DND23" s="476"/>
      <c r="DNE23" s="476"/>
      <c r="DNF23" s="476"/>
      <c r="DNG23" s="476"/>
      <c r="DNH23" s="476"/>
      <c r="DNI23" s="476"/>
      <c r="DNJ23" s="476"/>
      <c r="DNK23" s="476"/>
      <c r="DNL23" s="476"/>
      <c r="DNM23" s="476"/>
      <c r="DNN23" s="476"/>
      <c r="DNO23" s="476"/>
      <c r="DNP23" s="476"/>
      <c r="DNQ23" s="476"/>
      <c r="DNR23" s="476"/>
      <c r="DNS23" s="476"/>
      <c r="DNT23" s="476"/>
      <c r="DNU23" s="476"/>
      <c r="DNV23" s="476"/>
      <c r="DNW23" s="476"/>
      <c r="DNX23" s="476"/>
      <c r="DNY23" s="476"/>
      <c r="DNZ23" s="476"/>
      <c r="DOA23" s="476"/>
      <c r="DOB23" s="476"/>
      <c r="DOC23" s="476"/>
      <c r="DOD23" s="476"/>
      <c r="DOE23" s="476"/>
      <c r="DOF23" s="476"/>
      <c r="DOG23" s="476"/>
      <c r="DOH23" s="476"/>
      <c r="DOI23" s="476"/>
      <c r="DOJ23" s="476"/>
      <c r="DOK23" s="476"/>
      <c r="DOL23" s="476"/>
      <c r="DOM23" s="476"/>
      <c r="DON23" s="476"/>
      <c r="DOO23" s="476"/>
      <c r="DOP23" s="476"/>
      <c r="DOQ23" s="476"/>
      <c r="DOR23" s="476"/>
      <c r="DOS23" s="476"/>
      <c r="DOT23" s="476"/>
      <c r="DOU23" s="476"/>
      <c r="DOV23" s="476"/>
      <c r="DOW23" s="476"/>
      <c r="DOX23" s="476"/>
      <c r="DOY23" s="476"/>
      <c r="DOZ23" s="476"/>
      <c r="DPA23" s="476"/>
      <c r="DPB23" s="476"/>
      <c r="DPC23" s="476"/>
      <c r="DPD23" s="476"/>
      <c r="DPE23" s="476"/>
      <c r="DPF23" s="476"/>
      <c r="DPG23" s="476"/>
      <c r="DPH23" s="476"/>
      <c r="DPI23" s="476"/>
      <c r="DPJ23" s="476"/>
      <c r="DPK23" s="476"/>
      <c r="DPL23" s="476"/>
      <c r="DPM23" s="476"/>
      <c r="DPN23" s="476"/>
      <c r="DPO23" s="476"/>
      <c r="DPP23" s="476"/>
      <c r="DPQ23" s="476"/>
      <c r="DPR23" s="476"/>
      <c r="DPS23" s="476"/>
      <c r="DPT23" s="476"/>
      <c r="DPU23" s="476"/>
      <c r="DPV23" s="476"/>
      <c r="DPW23" s="476"/>
      <c r="DPX23" s="476"/>
      <c r="DPY23" s="476"/>
      <c r="DPZ23" s="476"/>
      <c r="DQA23" s="476"/>
      <c r="DQB23" s="476"/>
      <c r="DQC23" s="476"/>
      <c r="DQD23" s="476"/>
      <c r="DQE23" s="476"/>
      <c r="DQF23" s="476"/>
      <c r="DQG23" s="476"/>
      <c r="DQH23" s="476"/>
      <c r="DQI23" s="476"/>
      <c r="DQJ23" s="476"/>
      <c r="DQK23" s="476"/>
      <c r="DQL23" s="476"/>
      <c r="DQM23" s="476"/>
      <c r="DQN23" s="476"/>
      <c r="DQO23" s="476"/>
      <c r="DQP23" s="476"/>
      <c r="DQQ23" s="476"/>
      <c r="DQR23" s="476"/>
      <c r="DQS23" s="476"/>
      <c r="DQT23" s="476"/>
      <c r="DQU23" s="476"/>
      <c r="DQV23" s="476"/>
      <c r="DQW23" s="476"/>
      <c r="DQX23" s="476"/>
      <c r="DQY23" s="476"/>
      <c r="DQZ23" s="476"/>
      <c r="DRA23" s="476"/>
      <c r="DRB23" s="476"/>
      <c r="DRC23" s="476"/>
      <c r="DRD23" s="476"/>
      <c r="DRE23" s="476"/>
      <c r="DRF23" s="476"/>
      <c r="DRG23" s="476"/>
      <c r="DRH23" s="476"/>
      <c r="DRI23" s="476"/>
      <c r="DRJ23" s="476"/>
      <c r="DRK23" s="476"/>
      <c r="DRL23" s="476"/>
      <c r="DRM23" s="476"/>
      <c r="DRN23" s="476"/>
      <c r="DRO23" s="476"/>
      <c r="DRP23" s="476"/>
      <c r="DRQ23" s="476"/>
      <c r="DRR23" s="476"/>
      <c r="DRS23" s="476"/>
      <c r="DRT23" s="476"/>
      <c r="DRU23" s="476"/>
      <c r="DRV23" s="476"/>
      <c r="DRW23" s="476"/>
      <c r="DRX23" s="476"/>
      <c r="DRY23" s="476"/>
      <c r="DRZ23" s="476"/>
      <c r="DSA23" s="476"/>
      <c r="DSB23" s="476"/>
      <c r="DSC23" s="476"/>
      <c r="DSD23" s="476"/>
      <c r="DSE23" s="476"/>
      <c r="DSF23" s="476"/>
      <c r="DSG23" s="476"/>
      <c r="DSH23" s="476"/>
      <c r="DSI23" s="476"/>
      <c r="DSJ23" s="476"/>
      <c r="DSK23" s="476"/>
      <c r="DSL23" s="476"/>
      <c r="DSM23" s="476"/>
      <c r="DSN23" s="476"/>
      <c r="DSO23" s="476"/>
      <c r="DSP23" s="476"/>
      <c r="DSQ23" s="476"/>
      <c r="DSR23" s="476"/>
      <c r="DSS23" s="476"/>
      <c r="DST23" s="476"/>
      <c r="DSU23" s="476"/>
      <c r="DSV23" s="476"/>
      <c r="DSW23" s="476"/>
      <c r="DSX23" s="476"/>
      <c r="DSY23" s="476"/>
      <c r="DSZ23" s="476"/>
      <c r="DTA23" s="476"/>
      <c r="DTB23" s="476"/>
      <c r="DTC23" s="476"/>
      <c r="DTD23" s="476"/>
      <c r="DTE23" s="476"/>
      <c r="DTF23" s="476"/>
      <c r="DTG23" s="476"/>
      <c r="DTH23" s="476"/>
      <c r="DTI23" s="476"/>
      <c r="DTJ23" s="476"/>
      <c r="DTK23" s="476"/>
      <c r="DTL23" s="476"/>
      <c r="DTM23" s="476"/>
      <c r="DTN23" s="476"/>
      <c r="DTO23" s="476"/>
      <c r="DTP23" s="476"/>
      <c r="DTQ23" s="476"/>
      <c r="DTR23" s="476"/>
      <c r="DTS23" s="476"/>
      <c r="DTT23" s="476"/>
      <c r="DTU23" s="476"/>
      <c r="DTV23" s="476"/>
      <c r="DTW23" s="476"/>
      <c r="DTX23" s="476"/>
      <c r="DTY23" s="476"/>
      <c r="DTZ23" s="476"/>
      <c r="DUA23" s="476"/>
      <c r="DUB23" s="476"/>
      <c r="DUC23" s="476"/>
      <c r="DUD23" s="476"/>
      <c r="DUE23" s="476"/>
      <c r="DUF23" s="476"/>
      <c r="DUG23" s="476"/>
      <c r="DUH23" s="476"/>
      <c r="DUI23" s="476"/>
      <c r="DUJ23" s="476"/>
      <c r="DUK23" s="476"/>
      <c r="DUL23" s="476"/>
      <c r="DUM23" s="476"/>
      <c r="DUN23" s="476"/>
      <c r="DUO23" s="476"/>
      <c r="DUP23" s="476"/>
      <c r="DUQ23" s="476"/>
      <c r="DUR23" s="476"/>
      <c r="DUS23" s="476"/>
      <c r="DUT23" s="476"/>
      <c r="DUU23" s="476"/>
      <c r="DUV23" s="476"/>
      <c r="DUW23" s="476"/>
      <c r="DUX23" s="476"/>
      <c r="DUY23" s="476"/>
      <c r="DUZ23" s="476"/>
      <c r="DVA23" s="476"/>
      <c r="DVB23" s="476"/>
      <c r="DVC23" s="476"/>
      <c r="DVD23" s="476"/>
      <c r="DVE23" s="476"/>
      <c r="DVF23" s="476"/>
      <c r="DVG23" s="476"/>
      <c r="DVH23" s="476"/>
      <c r="DVI23" s="476"/>
      <c r="DVJ23" s="476"/>
      <c r="DVK23" s="476"/>
      <c r="DVL23" s="476"/>
      <c r="DVM23" s="476"/>
      <c r="DVN23" s="476"/>
      <c r="DVO23" s="476"/>
      <c r="DVP23" s="476"/>
      <c r="DVQ23" s="476"/>
      <c r="DVR23" s="476"/>
      <c r="DVS23" s="476"/>
      <c r="DVT23" s="476"/>
      <c r="DVU23" s="476"/>
      <c r="DVV23" s="476"/>
      <c r="DVW23" s="476"/>
      <c r="DVX23" s="476"/>
      <c r="DVY23" s="476"/>
      <c r="DVZ23" s="476"/>
      <c r="DWA23" s="476"/>
      <c r="DWB23" s="476"/>
      <c r="DWC23" s="476"/>
      <c r="DWD23" s="476"/>
      <c r="DWE23" s="476"/>
      <c r="DWF23" s="476"/>
      <c r="DWG23" s="476"/>
      <c r="DWH23" s="476"/>
      <c r="DWI23" s="476"/>
      <c r="DWJ23" s="476"/>
      <c r="DWK23" s="476"/>
      <c r="DWL23" s="476"/>
      <c r="DWM23" s="476"/>
      <c r="DWN23" s="476"/>
      <c r="DWO23" s="476"/>
      <c r="DWP23" s="476"/>
      <c r="DWQ23" s="476"/>
      <c r="DWR23" s="476"/>
      <c r="DWS23" s="476"/>
      <c r="DWT23" s="476"/>
      <c r="DWU23" s="476"/>
      <c r="DWV23" s="476"/>
      <c r="DWW23" s="476"/>
      <c r="DWX23" s="476"/>
      <c r="DWY23" s="476"/>
      <c r="DWZ23" s="476"/>
      <c r="DXA23" s="476"/>
      <c r="DXB23" s="476"/>
      <c r="DXC23" s="476"/>
      <c r="DXD23" s="476"/>
      <c r="DXE23" s="476"/>
      <c r="DXF23" s="476"/>
      <c r="DXG23" s="476"/>
      <c r="DXH23" s="476"/>
      <c r="DXI23" s="476"/>
      <c r="DXJ23" s="476"/>
      <c r="DXK23" s="476"/>
      <c r="DXL23" s="476"/>
      <c r="DXM23" s="476"/>
      <c r="DXN23" s="476"/>
      <c r="DXO23" s="476"/>
      <c r="DXP23" s="476"/>
      <c r="DXQ23" s="476"/>
      <c r="DXR23" s="476"/>
      <c r="DXS23" s="476"/>
      <c r="DXT23" s="476"/>
      <c r="DXU23" s="476"/>
      <c r="DXV23" s="476"/>
      <c r="DXW23" s="476"/>
      <c r="DXX23" s="476"/>
      <c r="DXY23" s="476"/>
      <c r="DXZ23" s="476"/>
      <c r="DYA23" s="476"/>
      <c r="DYB23" s="476"/>
      <c r="DYC23" s="476"/>
      <c r="DYD23" s="476"/>
      <c r="DYE23" s="476"/>
      <c r="DYF23" s="476"/>
      <c r="DYG23" s="476"/>
      <c r="DYH23" s="476"/>
      <c r="DYI23" s="476"/>
      <c r="DYJ23" s="476"/>
      <c r="DYK23" s="476"/>
      <c r="DYL23" s="476"/>
      <c r="DYM23" s="476"/>
      <c r="DYN23" s="476"/>
      <c r="DYO23" s="476"/>
      <c r="DYP23" s="476"/>
      <c r="DYQ23" s="476"/>
      <c r="DYR23" s="476"/>
      <c r="DYS23" s="476"/>
      <c r="DYT23" s="476"/>
      <c r="DYU23" s="476"/>
      <c r="DYV23" s="476"/>
      <c r="DYW23" s="476"/>
      <c r="DYX23" s="476"/>
      <c r="DYY23" s="476"/>
      <c r="DYZ23" s="476"/>
      <c r="DZA23" s="476"/>
      <c r="DZB23" s="476"/>
      <c r="DZC23" s="476"/>
      <c r="DZD23" s="476"/>
      <c r="DZE23" s="476"/>
      <c r="DZF23" s="476"/>
      <c r="DZG23" s="476"/>
      <c r="DZH23" s="476"/>
      <c r="DZI23" s="476"/>
      <c r="DZJ23" s="476"/>
      <c r="DZK23" s="476"/>
      <c r="DZL23" s="476"/>
      <c r="DZM23" s="476"/>
      <c r="DZN23" s="476"/>
      <c r="DZO23" s="476"/>
      <c r="DZP23" s="476"/>
      <c r="DZQ23" s="476"/>
      <c r="DZR23" s="476"/>
      <c r="DZS23" s="476"/>
      <c r="DZT23" s="476"/>
      <c r="DZU23" s="476"/>
      <c r="DZV23" s="476"/>
      <c r="DZW23" s="476"/>
      <c r="DZX23" s="476"/>
      <c r="DZY23" s="476"/>
      <c r="DZZ23" s="476"/>
      <c r="EAA23" s="476"/>
      <c r="EAB23" s="476"/>
      <c r="EAC23" s="476"/>
      <c r="EAD23" s="476"/>
      <c r="EAE23" s="476"/>
      <c r="EAF23" s="476"/>
      <c r="EAG23" s="476"/>
      <c r="EAH23" s="476"/>
      <c r="EAI23" s="476"/>
      <c r="EAJ23" s="476"/>
      <c r="EAK23" s="476"/>
      <c r="EAL23" s="476"/>
      <c r="EAM23" s="476"/>
      <c r="EAN23" s="476"/>
      <c r="EAO23" s="476"/>
      <c r="EAP23" s="476"/>
      <c r="EAQ23" s="476"/>
      <c r="EAR23" s="476"/>
      <c r="EAS23" s="476"/>
      <c r="EAT23" s="476"/>
      <c r="EAU23" s="476"/>
      <c r="EAV23" s="476"/>
      <c r="EAW23" s="476"/>
      <c r="EAX23" s="476"/>
      <c r="EAY23" s="476"/>
      <c r="EAZ23" s="476"/>
      <c r="EBA23" s="476"/>
      <c r="EBB23" s="476"/>
      <c r="EBC23" s="476"/>
      <c r="EBD23" s="476"/>
      <c r="EBE23" s="476"/>
      <c r="EBF23" s="476"/>
      <c r="EBG23" s="476"/>
      <c r="EBH23" s="476"/>
      <c r="EBI23" s="476"/>
      <c r="EBJ23" s="476"/>
      <c r="EBK23" s="476"/>
      <c r="EBL23" s="476"/>
      <c r="EBM23" s="476"/>
      <c r="EBN23" s="476"/>
      <c r="EBO23" s="476"/>
      <c r="EBP23" s="476"/>
      <c r="EBQ23" s="476"/>
      <c r="EBR23" s="476"/>
      <c r="EBS23" s="476"/>
      <c r="EBT23" s="476"/>
      <c r="EBU23" s="476"/>
      <c r="EBV23" s="476"/>
      <c r="EBW23" s="476"/>
      <c r="EBX23" s="476"/>
      <c r="EBY23" s="476"/>
      <c r="EBZ23" s="476"/>
      <c r="ECA23" s="476"/>
      <c r="ECB23" s="476"/>
      <c r="ECC23" s="476"/>
      <c r="ECD23" s="476"/>
      <c r="ECE23" s="476"/>
      <c r="ECF23" s="476"/>
      <c r="ECG23" s="476"/>
      <c r="ECH23" s="476"/>
      <c r="ECI23" s="476"/>
      <c r="ECJ23" s="476"/>
      <c r="ECK23" s="476"/>
      <c r="ECL23" s="476"/>
      <c r="ECM23" s="476"/>
      <c r="ECN23" s="476"/>
      <c r="ECO23" s="476"/>
      <c r="ECP23" s="476"/>
      <c r="ECQ23" s="476"/>
      <c r="ECR23" s="476"/>
      <c r="ECS23" s="476"/>
      <c r="ECT23" s="476"/>
      <c r="ECU23" s="476"/>
      <c r="ECV23" s="476"/>
      <c r="ECW23" s="476"/>
      <c r="ECX23" s="476"/>
      <c r="ECY23" s="476"/>
      <c r="ECZ23" s="476"/>
      <c r="EDA23" s="476"/>
      <c r="EDB23" s="476"/>
      <c r="EDC23" s="476"/>
      <c r="EDD23" s="476"/>
      <c r="EDE23" s="476"/>
      <c r="EDF23" s="476"/>
      <c r="EDG23" s="476"/>
      <c r="EDH23" s="476"/>
      <c r="EDI23" s="476"/>
      <c r="EDJ23" s="476"/>
      <c r="EDK23" s="476"/>
      <c r="EDL23" s="476"/>
      <c r="EDM23" s="476"/>
      <c r="EDN23" s="476"/>
      <c r="EDO23" s="476"/>
      <c r="EDP23" s="476"/>
      <c r="EDQ23" s="476"/>
      <c r="EDR23" s="476"/>
      <c r="EDS23" s="476"/>
      <c r="EDT23" s="476"/>
      <c r="EDU23" s="476"/>
      <c r="EDV23" s="476"/>
      <c r="EDW23" s="476"/>
      <c r="EDX23" s="476"/>
      <c r="EDY23" s="476"/>
      <c r="EDZ23" s="476"/>
      <c r="EEA23" s="476"/>
      <c r="EEB23" s="476"/>
      <c r="EEC23" s="476"/>
      <c r="EED23" s="476"/>
      <c r="EEE23" s="476"/>
      <c r="EEF23" s="476"/>
      <c r="EEG23" s="476"/>
      <c r="EEH23" s="476"/>
      <c r="EEI23" s="476"/>
      <c r="EEJ23" s="476"/>
      <c r="EEK23" s="476"/>
      <c r="EEL23" s="476"/>
      <c r="EEM23" s="476"/>
      <c r="EEN23" s="476"/>
      <c r="EEO23" s="476"/>
      <c r="EEP23" s="476"/>
      <c r="EEQ23" s="476"/>
      <c r="EER23" s="476"/>
      <c r="EES23" s="476"/>
      <c r="EET23" s="476"/>
      <c r="EEU23" s="476"/>
      <c r="EEV23" s="476"/>
      <c r="EEW23" s="476"/>
      <c r="EEX23" s="476"/>
      <c r="EEY23" s="476"/>
      <c r="EEZ23" s="476"/>
      <c r="EFA23" s="476"/>
      <c r="EFB23" s="476"/>
      <c r="EFC23" s="476"/>
      <c r="EFD23" s="476"/>
      <c r="EFE23" s="476"/>
      <c r="EFF23" s="476"/>
      <c r="EFG23" s="476"/>
      <c r="EFH23" s="476"/>
      <c r="EFI23" s="476"/>
      <c r="EFJ23" s="476"/>
      <c r="EFK23" s="476"/>
      <c r="EFL23" s="476"/>
      <c r="EFM23" s="476"/>
      <c r="EFN23" s="476"/>
      <c r="EFO23" s="476"/>
      <c r="EFP23" s="476"/>
      <c r="EFQ23" s="476"/>
      <c r="EFR23" s="476"/>
      <c r="EFS23" s="476"/>
      <c r="EFT23" s="476"/>
      <c r="EFU23" s="476"/>
      <c r="EFV23" s="476"/>
      <c r="EFW23" s="476"/>
      <c r="EFX23" s="476"/>
      <c r="EFY23" s="476"/>
      <c r="EFZ23" s="476"/>
      <c r="EGA23" s="476"/>
      <c r="EGB23" s="476"/>
      <c r="EGC23" s="476"/>
      <c r="EGD23" s="476"/>
      <c r="EGE23" s="476"/>
      <c r="EGF23" s="476"/>
      <c r="EGG23" s="476"/>
      <c r="EGH23" s="476"/>
      <c r="EGI23" s="476"/>
      <c r="EGJ23" s="476"/>
      <c r="EGK23" s="476"/>
      <c r="EGL23" s="476"/>
      <c r="EGM23" s="476"/>
      <c r="EGN23" s="476"/>
      <c r="EGO23" s="476"/>
      <c r="EGP23" s="476"/>
      <c r="EGQ23" s="476"/>
      <c r="EGR23" s="476"/>
      <c r="EGS23" s="476"/>
      <c r="EGT23" s="476"/>
      <c r="EGU23" s="476"/>
      <c r="EGV23" s="476"/>
      <c r="EGW23" s="476"/>
      <c r="EGX23" s="476"/>
      <c r="EGY23" s="476"/>
      <c r="EGZ23" s="476"/>
      <c r="EHA23" s="476"/>
      <c r="EHB23" s="476"/>
      <c r="EHC23" s="476"/>
      <c r="EHD23" s="476"/>
      <c r="EHE23" s="476"/>
      <c r="EHF23" s="476"/>
      <c r="EHG23" s="476"/>
      <c r="EHH23" s="476"/>
      <c r="EHI23" s="476"/>
      <c r="EHJ23" s="476"/>
      <c r="EHK23" s="476"/>
      <c r="EHL23" s="476"/>
      <c r="EHM23" s="476"/>
      <c r="EHN23" s="476"/>
      <c r="EHO23" s="476"/>
      <c r="EHP23" s="476"/>
      <c r="EHQ23" s="476"/>
      <c r="EHR23" s="476"/>
      <c r="EHS23" s="476"/>
      <c r="EHT23" s="476"/>
      <c r="EHU23" s="476"/>
      <c r="EHV23" s="476"/>
      <c r="EHW23" s="476"/>
      <c r="EHX23" s="476"/>
      <c r="EHY23" s="476"/>
      <c r="EHZ23" s="476"/>
      <c r="EIA23" s="476"/>
      <c r="EIB23" s="476"/>
      <c r="EIC23" s="476"/>
      <c r="EID23" s="476"/>
      <c r="EIE23" s="476"/>
      <c r="EIF23" s="476"/>
      <c r="EIG23" s="476"/>
      <c r="EIH23" s="476"/>
      <c r="EII23" s="476"/>
      <c r="EIJ23" s="476"/>
      <c r="EIK23" s="476"/>
      <c r="EIL23" s="476"/>
      <c r="EIM23" s="476"/>
      <c r="EIN23" s="476"/>
      <c r="EIO23" s="476"/>
      <c r="EIP23" s="476"/>
      <c r="EIQ23" s="476"/>
      <c r="EIR23" s="476"/>
      <c r="EIS23" s="476"/>
      <c r="EIT23" s="476"/>
      <c r="EIU23" s="476"/>
      <c r="EIV23" s="476"/>
      <c r="EIW23" s="476"/>
      <c r="EIX23" s="476"/>
      <c r="EIY23" s="476"/>
      <c r="EIZ23" s="476"/>
      <c r="EJA23" s="476"/>
      <c r="EJB23" s="476"/>
      <c r="EJC23" s="476"/>
      <c r="EJD23" s="476"/>
      <c r="EJE23" s="476"/>
      <c r="EJF23" s="476"/>
      <c r="EJG23" s="476"/>
      <c r="EJH23" s="476"/>
      <c r="EJI23" s="476"/>
      <c r="EJJ23" s="476"/>
      <c r="EJK23" s="476"/>
      <c r="EJL23" s="476"/>
      <c r="EJM23" s="476"/>
      <c r="EJN23" s="476"/>
      <c r="EJO23" s="476"/>
      <c r="EJP23" s="476"/>
      <c r="EJQ23" s="476"/>
      <c r="EJR23" s="476"/>
      <c r="EJS23" s="476"/>
      <c r="EJT23" s="476"/>
      <c r="EJU23" s="476"/>
      <c r="EJV23" s="476"/>
      <c r="EJW23" s="476"/>
      <c r="EJX23" s="476"/>
      <c r="EJY23" s="476"/>
      <c r="EJZ23" s="476"/>
      <c r="EKA23" s="476"/>
      <c r="EKB23" s="476"/>
      <c r="EKC23" s="476"/>
      <c r="EKD23" s="476"/>
      <c r="EKE23" s="476"/>
      <c r="EKF23" s="476"/>
      <c r="EKG23" s="476"/>
      <c r="EKH23" s="476"/>
      <c r="EKI23" s="476"/>
      <c r="EKJ23" s="476"/>
      <c r="EKK23" s="476"/>
      <c r="EKL23" s="476"/>
      <c r="EKM23" s="476"/>
      <c r="EKN23" s="476"/>
      <c r="EKO23" s="476"/>
      <c r="EKP23" s="476"/>
      <c r="EKQ23" s="476"/>
      <c r="EKR23" s="476"/>
      <c r="EKS23" s="476"/>
      <c r="EKT23" s="476"/>
      <c r="EKU23" s="476"/>
      <c r="EKV23" s="476"/>
      <c r="EKW23" s="476"/>
      <c r="EKX23" s="476"/>
      <c r="EKY23" s="476"/>
      <c r="EKZ23" s="476"/>
      <c r="ELA23" s="476"/>
      <c r="ELB23" s="476"/>
      <c r="ELC23" s="476"/>
      <c r="ELD23" s="476"/>
      <c r="ELE23" s="476"/>
      <c r="ELF23" s="476"/>
      <c r="ELG23" s="476"/>
      <c r="ELH23" s="476"/>
      <c r="ELI23" s="476"/>
      <c r="ELJ23" s="476"/>
      <c r="ELK23" s="476"/>
      <c r="ELL23" s="476"/>
      <c r="ELM23" s="476"/>
      <c r="ELN23" s="476"/>
      <c r="ELO23" s="476"/>
      <c r="ELP23" s="476"/>
      <c r="ELQ23" s="476"/>
      <c r="ELR23" s="476"/>
      <c r="ELS23" s="476"/>
      <c r="ELT23" s="476"/>
      <c r="ELU23" s="476"/>
      <c r="ELV23" s="476"/>
      <c r="ELW23" s="476"/>
      <c r="ELX23" s="476"/>
      <c r="ELY23" s="476"/>
      <c r="ELZ23" s="476"/>
      <c r="EMA23" s="476"/>
      <c r="EMB23" s="476"/>
      <c r="EMC23" s="476"/>
      <c r="EMD23" s="476"/>
      <c r="EME23" s="476"/>
      <c r="EMF23" s="476"/>
      <c r="EMG23" s="476"/>
      <c r="EMH23" s="476"/>
      <c r="EMI23" s="476"/>
      <c r="EMJ23" s="476"/>
      <c r="EMK23" s="476"/>
      <c r="EML23" s="476"/>
      <c r="EMM23" s="476"/>
      <c r="EMN23" s="476"/>
      <c r="EMO23" s="476"/>
      <c r="EMP23" s="476"/>
      <c r="EMQ23" s="476"/>
      <c r="EMR23" s="476"/>
      <c r="EMS23" s="476"/>
      <c r="EMT23" s="476"/>
      <c r="EMU23" s="476"/>
      <c r="EMV23" s="476"/>
      <c r="EMW23" s="476"/>
      <c r="EMX23" s="476"/>
      <c r="EMY23" s="476"/>
      <c r="EMZ23" s="476"/>
      <c r="ENA23" s="476"/>
      <c r="ENB23" s="476"/>
      <c r="ENC23" s="476"/>
      <c r="END23" s="476"/>
      <c r="ENE23" s="476"/>
      <c r="ENF23" s="476"/>
      <c r="ENG23" s="476"/>
      <c r="ENH23" s="476"/>
      <c r="ENI23" s="476"/>
      <c r="ENJ23" s="476"/>
      <c r="ENK23" s="476"/>
      <c r="ENL23" s="476"/>
      <c r="ENM23" s="476"/>
      <c r="ENN23" s="476"/>
      <c r="ENO23" s="476"/>
      <c r="ENP23" s="476"/>
      <c r="ENQ23" s="476"/>
      <c r="ENR23" s="476"/>
      <c r="ENS23" s="476"/>
      <c r="ENT23" s="476"/>
      <c r="ENU23" s="476"/>
      <c r="ENV23" s="476"/>
      <c r="ENW23" s="476"/>
      <c r="ENX23" s="476"/>
      <c r="ENY23" s="476"/>
      <c r="ENZ23" s="476"/>
      <c r="EOA23" s="476"/>
      <c r="EOB23" s="476"/>
      <c r="EOC23" s="476"/>
      <c r="EOD23" s="476"/>
      <c r="EOE23" s="476"/>
      <c r="EOF23" s="476"/>
      <c r="EOG23" s="476"/>
      <c r="EOH23" s="476"/>
      <c r="EOI23" s="476"/>
      <c r="EOJ23" s="476"/>
      <c r="EOK23" s="476"/>
      <c r="EOL23" s="476"/>
      <c r="EOM23" s="476"/>
      <c r="EON23" s="476"/>
      <c r="EOO23" s="476"/>
      <c r="EOP23" s="476"/>
      <c r="EOQ23" s="476"/>
      <c r="EOR23" s="476"/>
      <c r="EOS23" s="476"/>
      <c r="EOT23" s="476"/>
      <c r="EOU23" s="476"/>
      <c r="EOV23" s="476"/>
      <c r="EOW23" s="476"/>
      <c r="EOX23" s="476"/>
      <c r="EOY23" s="476"/>
      <c r="EOZ23" s="476"/>
      <c r="EPA23" s="476"/>
      <c r="EPB23" s="476"/>
      <c r="EPC23" s="476"/>
      <c r="EPD23" s="476"/>
      <c r="EPE23" s="476"/>
      <c r="EPF23" s="476"/>
      <c r="EPG23" s="476"/>
      <c r="EPH23" s="476"/>
      <c r="EPI23" s="476"/>
      <c r="EPJ23" s="476"/>
      <c r="EPK23" s="476"/>
      <c r="EPL23" s="476"/>
      <c r="EPM23" s="476"/>
      <c r="EPN23" s="476"/>
      <c r="EPO23" s="476"/>
      <c r="EPP23" s="476"/>
      <c r="EPQ23" s="476"/>
      <c r="EPR23" s="476"/>
      <c r="EPS23" s="476"/>
      <c r="EPT23" s="476"/>
      <c r="EPU23" s="476"/>
      <c r="EPV23" s="476"/>
      <c r="EPW23" s="476"/>
      <c r="EPX23" s="476"/>
      <c r="EPY23" s="476"/>
      <c r="EPZ23" s="476"/>
      <c r="EQA23" s="476"/>
      <c r="EQB23" s="476"/>
      <c r="EQC23" s="476"/>
      <c r="EQD23" s="476"/>
      <c r="EQE23" s="476"/>
      <c r="EQF23" s="476"/>
      <c r="EQG23" s="476"/>
      <c r="EQH23" s="476"/>
      <c r="EQI23" s="476"/>
      <c r="EQJ23" s="476"/>
      <c r="EQK23" s="476"/>
      <c r="EQL23" s="476"/>
      <c r="EQM23" s="476"/>
      <c r="EQN23" s="476"/>
      <c r="EQO23" s="476"/>
      <c r="EQP23" s="476"/>
      <c r="EQQ23" s="476"/>
      <c r="EQR23" s="476"/>
      <c r="EQS23" s="476"/>
      <c r="EQT23" s="476"/>
      <c r="EQU23" s="476"/>
      <c r="EQV23" s="476"/>
      <c r="EQW23" s="476"/>
      <c r="EQX23" s="476"/>
      <c r="EQY23" s="476"/>
      <c r="EQZ23" s="476"/>
      <c r="ERA23" s="476"/>
      <c r="ERB23" s="476"/>
      <c r="ERC23" s="476"/>
      <c r="ERD23" s="476"/>
      <c r="ERE23" s="476"/>
      <c r="ERF23" s="476"/>
      <c r="ERG23" s="476"/>
      <c r="ERH23" s="476"/>
      <c r="ERI23" s="476"/>
      <c r="ERJ23" s="476"/>
      <c r="ERK23" s="476"/>
      <c r="ERL23" s="476"/>
      <c r="ERM23" s="476"/>
      <c r="ERN23" s="476"/>
      <c r="ERO23" s="476"/>
      <c r="ERP23" s="476"/>
      <c r="ERQ23" s="476"/>
      <c r="ERR23" s="476"/>
      <c r="ERS23" s="476"/>
      <c r="ERT23" s="476"/>
      <c r="ERU23" s="476"/>
      <c r="ERV23" s="476"/>
      <c r="ERW23" s="476"/>
      <c r="ERX23" s="476"/>
      <c r="ERY23" s="476"/>
      <c r="ERZ23" s="476"/>
      <c r="ESA23" s="476"/>
      <c r="ESB23" s="476"/>
      <c r="ESC23" s="476"/>
      <c r="ESD23" s="476"/>
      <c r="ESE23" s="476"/>
      <c r="ESF23" s="476"/>
      <c r="ESG23" s="476"/>
      <c r="ESH23" s="476"/>
      <c r="ESI23" s="476"/>
      <c r="ESJ23" s="476"/>
      <c r="ESK23" s="476"/>
      <c r="ESL23" s="476"/>
      <c r="ESM23" s="476"/>
      <c r="ESN23" s="476"/>
      <c r="ESO23" s="476"/>
      <c r="ESP23" s="476"/>
      <c r="ESQ23" s="476"/>
      <c r="ESR23" s="476"/>
      <c r="ESS23" s="476"/>
      <c r="EST23" s="476"/>
      <c r="ESU23" s="476"/>
      <c r="ESV23" s="476"/>
      <c r="ESW23" s="476"/>
      <c r="ESX23" s="476"/>
      <c r="ESY23" s="476"/>
      <c r="ESZ23" s="476"/>
      <c r="ETA23" s="476"/>
      <c r="ETB23" s="476"/>
      <c r="ETC23" s="476"/>
      <c r="ETD23" s="476"/>
      <c r="ETE23" s="476"/>
      <c r="ETF23" s="476"/>
      <c r="ETG23" s="476"/>
      <c r="ETH23" s="476"/>
      <c r="ETI23" s="476"/>
      <c r="ETJ23" s="476"/>
      <c r="ETK23" s="476"/>
      <c r="ETL23" s="476"/>
      <c r="ETM23" s="476"/>
      <c r="ETN23" s="476"/>
      <c r="ETO23" s="476"/>
      <c r="ETP23" s="476"/>
      <c r="ETQ23" s="476"/>
      <c r="ETR23" s="476"/>
      <c r="ETS23" s="476"/>
      <c r="ETT23" s="476"/>
      <c r="ETU23" s="476"/>
      <c r="ETV23" s="476"/>
      <c r="ETW23" s="476"/>
      <c r="ETX23" s="476"/>
      <c r="ETY23" s="476"/>
      <c r="ETZ23" s="476"/>
      <c r="EUA23" s="476"/>
      <c r="EUB23" s="476"/>
      <c r="EUC23" s="476"/>
      <c r="EUD23" s="476"/>
      <c r="EUE23" s="476"/>
      <c r="EUF23" s="476"/>
      <c r="EUG23" s="476"/>
      <c r="EUH23" s="476"/>
      <c r="EUI23" s="476"/>
      <c r="EUJ23" s="476"/>
      <c r="EUK23" s="476"/>
      <c r="EUL23" s="476"/>
      <c r="EUM23" s="476"/>
      <c r="EUN23" s="476"/>
      <c r="EUO23" s="476"/>
      <c r="EUP23" s="476"/>
      <c r="EUQ23" s="476"/>
      <c r="EUR23" s="476"/>
      <c r="EUS23" s="476"/>
      <c r="EUT23" s="476"/>
      <c r="EUU23" s="476"/>
      <c r="EUV23" s="476"/>
      <c r="EUW23" s="476"/>
      <c r="EUX23" s="476"/>
      <c r="EUY23" s="476"/>
      <c r="EUZ23" s="476"/>
      <c r="EVA23" s="476"/>
      <c r="EVB23" s="476"/>
      <c r="EVC23" s="476"/>
      <c r="EVD23" s="476"/>
      <c r="EVE23" s="476"/>
      <c r="EVF23" s="476"/>
      <c r="EVG23" s="476"/>
      <c r="EVH23" s="476"/>
      <c r="EVI23" s="476"/>
      <c r="EVJ23" s="476"/>
      <c r="EVK23" s="476"/>
      <c r="EVL23" s="476"/>
      <c r="EVM23" s="476"/>
      <c r="EVN23" s="476"/>
      <c r="EVO23" s="476"/>
      <c r="EVP23" s="476"/>
      <c r="EVQ23" s="476"/>
      <c r="EVR23" s="476"/>
      <c r="EVS23" s="476"/>
      <c r="EVT23" s="476"/>
      <c r="EVU23" s="476"/>
      <c r="EVV23" s="476"/>
      <c r="EVW23" s="476"/>
      <c r="EVX23" s="476"/>
      <c r="EVY23" s="476"/>
      <c r="EVZ23" s="476"/>
      <c r="EWA23" s="476"/>
      <c r="EWB23" s="476"/>
      <c r="EWC23" s="476"/>
      <c r="EWD23" s="476"/>
      <c r="EWE23" s="476"/>
      <c r="EWF23" s="476"/>
      <c r="EWG23" s="476"/>
      <c r="EWH23" s="476"/>
      <c r="EWI23" s="476"/>
      <c r="EWJ23" s="476"/>
      <c r="EWK23" s="476"/>
      <c r="EWL23" s="476"/>
      <c r="EWM23" s="476"/>
      <c r="EWN23" s="476"/>
      <c r="EWO23" s="476"/>
      <c r="EWP23" s="476"/>
      <c r="EWQ23" s="476"/>
      <c r="EWR23" s="476"/>
      <c r="EWS23" s="476"/>
      <c r="EWT23" s="476"/>
      <c r="EWU23" s="476"/>
      <c r="EWV23" s="476"/>
      <c r="EWW23" s="476"/>
      <c r="EWX23" s="476"/>
      <c r="EWY23" s="476"/>
      <c r="EWZ23" s="476"/>
      <c r="EXA23" s="476"/>
      <c r="EXB23" s="476"/>
      <c r="EXC23" s="476"/>
      <c r="EXD23" s="476"/>
      <c r="EXE23" s="476"/>
      <c r="EXF23" s="476"/>
      <c r="EXG23" s="476"/>
      <c r="EXH23" s="476"/>
      <c r="EXI23" s="476"/>
      <c r="EXJ23" s="476"/>
      <c r="EXK23" s="476"/>
      <c r="EXL23" s="476"/>
      <c r="EXM23" s="476"/>
      <c r="EXN23" s="476"/>
      <c r="EXO23" s="476"/>
      <c r="EXP23" s="476"/>
      <c r="EXQ23" s="476"/>
      <c r="EXR23" s="476"/>
      <c r="EXS23" s="476"/>
      <c r="EXT23" s="476"/>
      <c r="EXU23" s="476"/>
      <c r="EXV23" s="476"/>
      <c r="EXW23" s="476"/>
      <c r="EXX23" s="476"/>
      <c r="EXY23" s="476"/>
      <c r="EXZ23" s="476"/>
      <c r="EYA23" s="476"/>
      <c r="EYB23" s="476"/>
      <c r="EYC23" s="476"/>
      <c r="EYD23" s="476"/>
      <c r="EYE23" s="476"/>
      <c r="EYF23" s="476"/>
      <c r="EYG23" s="476"/>
      <c r="EYH23" s="476"/>
      <c r="EYI23" s="476"/>
      <c r="EYJ23" s="476"/>
      <c r="EYK23" s="476"/>
      <c r="EYL23" s="476"/>
      <c r="EYM23" s="476"/>
      <c r="EYN23" s="476"/>
      <c r="EYO23" s="476"/>
      <c r="EYP23" s="476"/>
      <c r="EYQ23" s="476"/>
      <c r="EYR23" s="476"/>
      <c r="EYS23" s="476"/>
      <c r="EYT23" s="476"/>
      <c r="EYU23" s="476"/>
      <c r="EYV23" s="476"/>
      <c r="EYW23" s="476"/>
      <c r="EYX23" s="476"/>
      <c r="EYY23" s="476"/>
      <c r="EYZ23" s="476"/>
      <c r="EZA23" s="476"/>
      <c r="EZB23" s="476"/>
      <c r="EZC23" s="476"/>
      <c r="EZD23" s="476"/>
      <c r="EZE23" s="476"/>
      <c r="EZF23" s="476"/>
      <c r="EZG23" s="476"/>
      <c r="EZH23" s="476"/>
      <c r="EZI23" s="476"/>
      <c r="EZJ23" s="476"/>
      <c r="EZK23" s="476"/>
      <c r="EZL23" s="476"/>
      <c r="EZM23" s="476"/>
      <c r="EZN23" s="476"/>
      <c r="EZO23" s="476"/>
      <c r="EZP23" s="476"/>
      <c r="EZQ23" s="476"/>
      <c r="EZR23" s="476"/>
      <c r="EZS23" s="476"/>
      <c r="EZT23" s="476"/>
      <c r="EZU23" s="476"/>
      <c r="EZV23" s="476"/>
      <c r="EZW23" s="476"/>
      <c r="EZX23" s="476"/>
      <c r="EZY23" s="476"/>
      <c r="EZZ23" s="476"/>
      <c r="FAA23" s="476"/>
      <c r="FAB23" s="476"/>
      <c r="FAC23" s="476"/>
      <c r="FAD23" s="476"/>
      <c r="FAE23" s="476"/>
      <c r="FAF23" s="476"/>
      <c r="FAG23" s="476"/>
      <c r="FAH23" s="476"/>
      <c r="FAI23" s="476"/>
      <c r="FAJ23" s="476"/>
      <c r="FAK23" s="476"/>
      <c r="FAL23" s="476"/>
      <c r="FAM23" s="476"/>
      <c r="FAN23" s="476"/>
      <c r="FAO23" s="476"/>
      <c r="FAP23" s="476"/>
      <c r="FAQ23" s="476"/>
      <c r="FAR23" s="476"/>
      <c r="FAS23" s="476"/>
      <c r="FAT23" s="476"/>
      <c r="FAU23" s="476"/>
      <c r="FAV23" s="476"/>
      <c r="FAW23" s="476"/>
      <c r="FAX23" s="476"/>
      <c r="FAY23" s="476"/>
      <c r="FAZ23" s="476"/>
      <c r="FBA23" s="476"/>
      <c r="FBB23" s="476"/>
      <c r="FBC23" s="476"/>
      <c r="FBD23" s="476"/>
      <c r="FBE23" s="476"/>
      <c r="FBF23" s="476"/>
      <c r="FBG23" s="476"/>
      <c r="FBH23" s="476"/>
      <c r="FBI23" s="476"/>
      <c r="FBJ23" s="476"/>
      <c r="FBK23" s="476"/>
      <c r="FBL23" s="476"/>
      <c r="FBM23" s="476"/>
      <c r="FBN23" s="476"/>
      <c r="FBO23" s="476"/>
      <c r="FBP23" s="476"/>
      <c r="FBQ23" s="476"/>
      <c r="FBR23" s="476"/>
      <c r="FBS23" s="476"/>
      <c r="FBT23" s="476"/>
      <c r="FBU23" s="476"/>
      <c r="FBV23" s="476"/>
      <c r="FBW23" s="476"/>
      <c r="FBX23" s="476"/>
      <c r="FBY23" s="476"/>
      <c r="FBZ23" s="476"/>
      <c r="FCA23" s="476"/>
      <c r="FCB23" s="476"/>
      <c r="FCC23" s="476"/>
      <c r="FCD23" s="476"/>
      <c r="FCE23" s="476"/>
      <c r="FCF23" s="476"/>
      <c r="FCG23" s="476"/>
      <c r="FCH23" s="476"/>
      <c r="FCI23" s="476"/>
      <c r="FCJ23" s="476"/>
      <c r="FCK23" s="476"/>
      <c r="FCL23" s="476"/>
      <c r="FCM23" s="476"/>
      <c r="FCN23" s="476"/>
      <c r="FCO23" s="476"/>
      <c r="FCP23" s="476"/>
      <c r="FCQ23" s="476"/>
      <c r="FCR23" s="476"/>
      <c r="FCS23" s="476"/>
      <c r="FCT23" s="476"/>
      <c r="FCU23" s="476"/>
      <c r="FCV23" s="476"/>
      <c r="FCW23" s="476"/>
      <c r="FCX23" s="476"/>
      <c r="FCY23" s="476"/>
      <c r="FCZ23" s="476"/>
      <c r="FDA23" s="476"/>
      <c r="FDB23" s="476"/>
      <c r="FDC23" s="476"/>
      <c r="FDD23" s="476"/>
      <c r="FDE23" s="476"/>
      <c r="FDF23" s="476"/>
      <c r="FDG23" s="476"/>
      <c r="FDH23" s="476"/>
      <c r="FDI23" s="476"/>
      <c r="FDJ23" s="476"/>
      <c r="FDK23" s="476"/>
      <c r="FDL23" s="476"/>
      <c r="FDM23" s="476"/>
      <c r="FDN23" s="476"/>
      <c r="FDO23" s="476"/>
      <c r="FDP23" s="476"/>
      <c r="FDQ23" s="476"/>
      <c r="FDR23" s="476"/>
      <c r="FDS23" s="476"/>
      <c r="FDT23" s="476"/>
      <c r="FDU23" s="476"/>
      <c r="FDV23" s="476"/>
      <c r="FDW23" s="476"/>
      <c r="FDX23" s="476"/>
      <c r="FDY23" s="476"/>
      <c r="FDZ23" s="476"/>
      <c r="FEA23" s="476"/>
      <c r="FEB23" s="476"/>
      <c r="FEC23" s="476"/>
      <c r="FED23" s="476"/>
      <c r="FEE23" s="476"/>
      <c r="FEF23" s="476"/>
      <c r="FEG23" s="476"/>
      <c r="FEH23" s="476"/>
      <c r="FEI23" s="476"/>
      <c r="FEJ23" s="476"/>
      <c r="FEK23" s="476"/>
      <c r="FEL23" s="476"/>
      <c r="FEM23" s="476"/>
      <c r="FEN23" s="476"/>
      <c r="FEO23" s="476"/>
      <c r="FEP23" s="476"/>
      <c r="FEQ23" s="476"/>
      <c r="FER23" s="476"/>
      <c r="FES23" s="476"/>
      <c r="FET23" s="476"/>
      <c r="FEU23" s="476"/>
      <c r="FEV23" s="476"/>
      <c r="FEW23" s="476"/>
      <c r="FEX23" s="476"/>
      <c r="FEY23" s="476"/>
      <c r="FEZ23" s="476"/>
      <c r="FFA23" s="476"/>
      <c r="FFB23" s="476"/>
      <c r="FFC23" s="476"/>
      <c r="FFD23" s="476"/>
      <c r="FFE23" s="476"/>
      <c r="FFF23" s="476"/>
      <c r="FFG23" s="476"/>
      <c r="FFH23" s="476"/>
      <c r="FFI23" s="476"/>
      <c r="FFJ23" s="476"/>
      <c r="FFK23" s="476"/>
      <c r="FFL23" s="476"/>
      <c r="FFM23" s="476"/>
      <c r="FFN23" s="476"/>
      <c r="FFO23" s="476"/>
      <c r="FFP23" s="476"/>
      <c r="FFQ23" s="476"/>
      <c r="FFR23" s="476"/>
      <c r="FFS23" s="476"/>
      <c r="FFT23" s="476"/>
      <c r="FFU23" s="476"/>
      <c r="FFV23" s="476"/>
      <c r="FFW23" s="476"/>
      <c r="FFX23" s="476"/>
      <c r="FFY23" s="476"/>
      <c r="FFZ23" s="476"/>
      <c r="FGA23" s="476"/>
      <c r="FGB23" s="476"/>
      <c r="FGC23" s="476"/>
      <c r="FGD23" s="476"/>
      <c r="FGE23" s="476"/>
      <c r="FGF23" s="476"/>
      <c r="FGG23" s="476"/>
      <c r="FGH23" s="476"/>
      <c r="FGI23" s="476"/>
      <c r="FGJ23" s="476"/>
      <c r="FGK23" s="476"/>
      <c r="FGL23" s="476"/>
      <c r="FGM23" s="476"/>
      <c r="FGN23" s="476"/>
      <c r="FGO23" s="476"/>
      <c r="FGP23" s="476"/>
      <c r="FGQ23" s="476"/>
      <c r="FGR23" s="476"/>
      <c r="FGS23" s="476"/>
      <c r="FGT23" s="476"/>
      <c r="FGU23" s="476"/>
      <c r="FGV23" s="476"/>
      <c r="FGW23" s="476"/>
      <c r="FGX23" s="476"/>
      <c r="FGY23" s="476"/>
      <c r="FGZ23" s="476"/>
      <c r="FHA23" s="476"/>
      <c r="FHB23" s="476"/>
      <c r="FHC23" s="476"/>
      <c r="FHD23" s="476"/>
      <c r="FHE23" s="476"/>
      <c r="FHF23" s="476"/>
      <c r="FHG23" s="476"/>
      <c r="FHH23" s="476"/>
      <c r="FHI23" s="476"/>
      <c r="FHJ23" s="476"/>
      <c r="FHK23" s="476"/>
      <c r="FHL23" s="476"/>
      <c r="FHM23" s="476"/>
      <c r="FHN23" s="476"/>
      <c r="FHO23" s="476"/>
      <c r="FHP23" s="476"/>
      <c r="FHQ23" s="476"/>
      <c r="FHR23" s="476"/>
      <c r="FHS23" s="476"/>
      <c r="FHT23" s="476"/>
      <c r="FHU23" s="476"/>
      <c r="FHV23" s="476"/>
      <c r="FHW23" s="476"/>
      <c r="FHX23" s="476"/>
      <c r="FHY23" s="476"/>
      <c r="FHZ23" s="476"/>
      <c r="FIA23" s="476"/>
      <c r="FIB23" s="476"/>
      <c r="FIC23" s="476"/>
      <c r="FID23" s="476"/>
      <c r="FIE23" s="476"/>
      <c r="FIF23" s="476"/>
      <c r="FIG23" s="476"/>
      <c r="FIH23" s="476"/>
      <c r="FII23" s="476"/>
      <c r="FIJ23" s="476"/>
      <c r="FIK23" s="476"/>
      <c r="FIL23" s="476"/>
      <c r="FIM23" s="476"/>
      <c r="FIN23" s="476"/>
      <c r="FIO23" s="476"/>
      <c r="FIP23" s="476"/>
      <c r="FIQ23" s="476"/>
      <c r="FIR23" s="476"/>
      <c r="FIS23" s="476"/>
      <c r="FIT23" s="476"/>
      <c r="FIU23" s="476"/>
      <c r="FIV23" s="476"/>
      <c r="FIW23" s="476"/>
      <c r="FIX23" s="476"/>
      <c r="FIY23" s="476"/>
      <c r="FIZ23" s="476"/>
      <c r="FJA23" s="476"/>
      <c r="FJB23" s="476"/>
      <c r="FJC23" s="476"/>
      <c r="FJD23" s="476"/>
      <c r="FJE23" s="476"/>
      <c r="FJF23" s="476"/>
      <c r="FJG23" s="476"/>
      <c r="FJH23" s="476"/>
      <c r="FJI23" s="476"/>
      <c r="FJJ23" s="476"/>
      <c r="FJK23" s="476"/>
      <c r="FJL23" s="476"/>
      <c r="FJM23" s="476"/>
      <c r="FJN23" s="476"/>
      <c r="FJO23" s="476"/>
      <c r="FJP23" s="476"/>
      <c r="FJQ23" s="476"/>
      <c r="FJR23" s="476"/>
      <c r="FJS23" s="476"/>
      <c r="FJT23" s="476"/>
      <c r="FJU23" s="476"/>
      <c r="FJV23" s="476"/>
      <c r="FJW23" s="476"/>
      <c r="FJX23" s="476"/>
      <c r="FJY23" s="476"/>
      <c r="FJZ23" s="476"/>
      <c r="FKA23" s="476"/>
      <c r="FKB23" s="476"/>
      <c r="FKC23" s="476"/>
      <c r="FKD23" s="476"/>
      <c r="FKE23" s="476"/>
      <c r="FKF23" s="476"/>
      <c r="FKG23" s="476"/>
      <c r="FKH23" s="476"/>
      <c r="FKI23" s="476"/>
      <c r="FKJ23" s="476"/>
      <c r="FKK23" s="476"/>
      <c r="FKL23" s="476"/>
      <c r="FKM23" s="476"/>
      <c r="FKN23" s="476"/>
      <c r="FKO23" s="476"/>
      <c r="FKP23" s="476"/>
      <c r="FKQ23" s="476"/>
      <c r="FKR23" s="476"/>
      <c r="FKS23" s="476"/>
      <c r="FKT23" s="476"/>
      <c r="FKU23" s="476"/>
      <c r="FKV23" s="476"/>
      <c r="FKW23" s="476"/>
      <c r="FKX23" s="476"/>
      <c r="FKY23" s="476"/>
      <c r="FKZ23" s="476"/>
      <c r="FLA23" s="476"/>
      <c r="FLB23" s="476"/>
      <c r="FLC23" s="476"/>
      <c r="FLD23" s="476"/>
      <c r="FLE23" s="476"/>
      <c r="FLF23" s="476"/>
      <c r="FLG23" s="476"/>
      <c r="FLH23" s="476"/>
      <c r="FLI23" s="476"/>
      <c r="FLJ23" s="476"/>
      <c r="FLK23" s="476"/>
      <c r="FLL23" s="476"/>
      <c r="FLM23" s="476"/>
      <c r="FLN23" s="476"/>
      <c r="FLO23" s="476"/>
      <c r="FLP23" s="476"/>
      <c r="FLQ23" s="476"/>
      <c r="FLR23" s="476"/>
      <c r="FLS23" s="476"/>
      <c r="FLT23" s="476"/>
      <c r="FLU23" s="476"/>
      <c r="FLV23" s="476"/>
      <c r="FLW23" s="476"/>
      <c r="FLX23" s="476"/>
      <c r="FLY23" s="476"/>
      <c r="FLZ23" s="476"/>
      <c r="FMA23" s="476"/>
      <c r="FMB23" s="476"/>
      <c r="FMC23" s="476"/>
      <c r="FMD23" s="476"/>
      <c r="FME23" s="476"/>
      <c r="FMF23" s="476"/>
      <c r="FMG23" s="476"/>
      <c r="FMH23" s="476"/>
      <c r="FMI23" s="476"/>
      <c r="FMJ23" s="476"/>
      <c r="FMK23" s="476"/>
      <c r="FML23" s="476"/>
      <c r="FMM23" s="476"/>
      <c r="FMN23" s="476"/>
      <c r="FMO23" s="476"/>
      <c r="FMP23" s="476"/>
      <c r="FMQ23" s="476"/>
      <c r="FMR23" s="476"/>
      <c r="FMS23" s="476"/>
      <c r="FMT23" s="476"/>
      <c r="FMU23" s="476"/>
      <c r="FMV23" s="476"/>
      <c r="FMW23" s="476"/>
      <c r="FMX23" s="476"/>
      <c r="FMY23" s="476"/>
      <c r="FMZ23" s="476"/>
      <c r="FNA23" s="476"/>
      <c r="FNB23" s="476"/>
      <c r="FNC23" s="476"/>
      <c r="FND23" s="476"/>
      <c r="FNE23" s="476"/>
      <c r="FNF23" s="476"/>
      <c r="FNG23" s="476"/>
      <c r="FNH23" s="476"/>
      <c r="FNI23" s="476"/>
      <c r="FNJ23" s="476"/>
      <c r="FNK23" s="476"/>
      <c r="FNL23" s="476"/>
      <c r="FNM23" s="476"/>
      <c r="FNN23" s="476"/>
      <c r="FNO23" s="476"/>
      <c r="FNP23" s="476"/>
      <c r="FNQ23" s="476"/>
      <c r="FNR23" s="476"/>
      <c r="FNS23" s="476"/>
      <c r="FNT23" s="476"/>
      <c r="FNU23" s="476"/>
      <c r="FNV23" s="476"/>
      <c r="FNW23" s="476"/>
      <c r="FNX23" s="476"/>
      <c r="FNY23" s="476"/>
      <c r="FNZ23" s="476"/>
      <c r="FOA23" s="476"/>
      <c r="FOB23" s="476"/>
      <c r="FOC23" s="476"/>
      <c r="FOD23" s="476"/>
      <c r="FOE23" s="476"/>
      <c r="FOF23" s="476"/>
      <c r="FOG23" s="476"/>
      <c r="FOH23" s="476"/>
      <c r="FOI23" s="476"/>
      <c r="FOJ23" s="476"/>
      <c r="FOK23" s="476"/>
      <c r="FOL23" s="476"/>
      <c r="FOM23" s="476"/>
      <c r="FON23" s="476"/>
      <c r="FOO23" s="476"/>
      <c r="FOP23" s="476"/>
      <c r="FOQ23" s="476"/>
      <c r="FOR23" s="476"/>
      <c r="FOS23" s="476"/>
      <c r="FOT23" s="476"/>
      <c r="FOU23" s="476"/>
      <c r="FOV23" s="476"/>
      <c r="FOW23" s="476"/>
      <c r="FOX23" s="476"/>
      <c r="FOY23" s="476"/>
      <c r="FOZ23" s="476"/>
      <c r="FPA23" s="476"/>
      <c r="FPB23" s="476"/>
      <c r="FPC23" s="476"/>
      <c r="FPD23" s="476"/>
      <c r="FPE23" s="476"/>
      <c r="FPF23" s="476"/>
      <c r="FPG23" s="476"/>
      <c r="FPH23" s="476"/>
      <c r="FPI23" s="476"/>
      <c r="FPJ23" s="476"/>
      <c r="FPK23" s="476"/>
      <c r="FPL23" s="476"/>
      <c r="FPM23" s="476"/>
      <c r="FPN23" s="476"/>
      <c r="FPO23" s="476"/>
      <c r="FPP23" s="476"/>
      <c r="FPQ23" s="476"/>
      <c r="FPR23" s="476"/>
      <c r="FPS23" s="476"/>
      <c r="FPT23" s="476"/>
      <c r="FPU23" s="476"/>
      <c r="FPV23" s="476"/>
      <c r="FPW23" s="476"/>
      <c r="FPX23" s="476"/>
      <c r="FPY23" s="476"/>
      <c r="FPZ23" s="476"/>
      <c r="FQA23" s="476"/>
      <c r="FQB23" s="476"/>
      <c r="FQC23" s="476"/>
      <c r="FQD23" s="476"/>
      <c r="FQE23" s="476"/>
      <c r="FQF23" s="476"/>
      <c r="FQG23" s="476"/>
      <c r="FQH23" s="476"/>
      <c r="FQI23" s="476"/>
      <c r="FQJ23" s="476"/>
      <c r="FQK23" s="476"/>
      <c r="FQL23" s="476"/>
      <c r="FQM23" s="476"/>
      <c r="FQN23" s="476"/>
      <c r="FQO23" s="476"/>
      <c r="FQP23" s="476"/>
      <c r="FQQ23" s="476"/>
      <c r="FQR23" s="476"/>
      <c r="FQS23" s="476"/>
      <c r="FQT23" s="476"/>
      <c r="FQU23" s="476"/>
      <c r="FQV23" s="476"/>
      <c r="FQW23" s="476"/>
      <c r="FQX23" s="476"/>
      <c r="FQY23" s="476"/>
      <c r="FQZ23" s="476"/>
      <c r="FRA23" s="476"/>
      <c r="FRB23" s="476"/>
      <c r="FRC23" s="476"/>
      <c r="FRD23" s="476"/>
      <c r="FRE23" s="476"/>
      <c r="FRF23" s="476"/>
      <c r="FRG23" s="476"/>
      <c r="FRH23" s="476"/>
      <c r="FRI23" s="476"/>
      <c r="FRJ23" s="476"/>
      <c r="FRK23" s="476"/>
      <c r="FRL23" s="476"/>
      <c r="FRM23" s="476"/>
      <c r="FRN23" s="476"/>
      <c r="FRO23" s="476"/>
      <c r="FRP23" s="476"/>
      <c r="FRQ23" s="476"/>
      <c r="FRR23" s="476"/>
      <c r="FRS23" s="476"/>
      <c r="FRT23" s="476"/>
      <c r="FRU23" s="476"/>
      <c r="FRV23" s="476"/>
      <c r="FRW23" s="476"/>
      <c r="FRX23" s="476"/>
      <c r="FRY23" s="476"/>
      <c r="FRZ23" s="476"/>
      <c r="FSA23" s="476"/>
      <c r="FSB23" s="476"/>
      <c r="FSC23" s="476"/>
      <c r="FSD23" s="476"/>
      <c r="FSE23" s="476"/>
      <c r="FSF23" s="476"/>
      <c r="FSG23" s="476"/>
      <c r="FSH23" s="476"/>
      <c r="FSI23" s="476"/>
      <c r="FSJ23" s="476"/>
      <c r="FSK23" s="476"/>
      <c r="FSL23" s="476"/>
      <c r="FSM23" s="476"/>
      <c r="FSN23" s="476"/>
      <c r="FSO23" s="476"/>
      <c r="FSP23" s="476"/>
      <c r="FSQ23" s="476"/>
      <c r="FSR23" s="476"/>
      <c r="FSS23" s="476"/>
      <c r="FST23" s="476"/>
      <c r="FSU23" s="476"/>
      <c r="FSV23" s="476"/>
      <c r="FSW23" s="476"/>
      <c r="FSX23" s="476"/>
      <c r="FSY23" s="476"/>
      <c r="FSZ23" s="476"/>
      <c r="FTA23" s="476"/>
      <c r="FTB23" s="476"/>
      <c r="FTC23" s="476"/>
      <c r="FTD23" s="476"/>
      <c r="FTE23" s="476"/>
      <c r="FTF23" s="476"/>
      <c r="FTG23" s="476"/>
      <c r="FTH23" s="476"/>
      <c r="FTI23" s="476"/>
      <c r="FTJ23" s="476"/>
      <c r="FTK23" s="476"/>
      <c r="FTL23" s="476"/>
      <c r="FTM23" s="476"/>
      <c r="FTN23" s="476"/>
      <c r="FTO23" s="476"/>
      <c r="FTP23" s="476"/>
      <c r="FTQ23" s="476"/>
      <c r="FTR23" s="476"/>
      <c r="FTS23" s="476"/>
      <c r="FTT23" s="476"/>
      <c r="FTU23" s="476"/>
      <c r="FTV23" s="476"/>
      <c r="FTW23" s="476"/>
      <c r="FTX23" s="476"/>
      <c r="FTY23" s="476"/>
      <c r="FTZ23" s="476"/>
      <c r="FUA23" s="476"/>
      <c r="FUB23" s="476"/>
      <c r="FUC23" s="476"/>
      <c r="FUD23" s="476"/>
      <c r="FUE23" s="476"/>
      <c r="FUF23" s="476"/>
      <c r="FUG23" s="476"/>
      <c r="FUH23" s="476"/>
      <c r="FUI23" s="476"/>
      <c r="FUJ23" s="476"/>
      <c r="FUK23" s="476"/>
      <c r="FUL23" s="476"/>
      <c r="FUM23" s="476"/>
      <c r="FUN23" s="476"/>
      <c r="FUO23" s="476"/>
      <c r="FUP23" s="476"/>
      <c r="FUQ23" s="476"/>
      <c r="FUR23" s="476"/>
      <c r="FUS23" s="476"/>
      <c r="FUT23" s="476"/>
      <c r="FUU23" s="476"/>
      <c r="FUV23" s="476"/>
      <c r="FUW23" s="476"/>
      <c r="FUX23" s="476"/>
      <c r="FUY23" s="476"/>
      <c r="FUZ23" s="476"/>
      <c r="FVA23" s="476"/>
      <c r="FVB23" s="476"/>
      <c r="FVC23" s="476"/>
      <c r="FVD23" s="476"/>
      <c r="FVE23" s="476"/>
      <c r="FVF23" s="476"/>
      <c r="FVG23" s="476"/>
      <c r="FVH23" s="476"/>
      <c r="FVI23" s="476"/>
      <c r="FVJ23" s="476"/>
      <c r="FVK23" s="476"/>
      <c r="FVL23" s="476"/>
      <c r="FVM23" s="476"/>
      <c r="FVN23" s="476"/>
      <c r="FVO23" s="476"/>
      <c r="FVP23" s="476"/>
      <c r="FVQ23" s="476"/>
      <c r="FVR23" s="476"/>
      <c r="FVS23" s="476"/>
      <c r="FVT23" s="476"/>
      <c r="FVU23" s="476"/>
      <c r="FVV23" s="476"/>
      <c r="FVW23" s="476"/>
      <c r="FVX23" s="476"/>
      <c r="FVY23" s="476"/>
      <c r="FVZ23" s="476"/>
      <c r="FWA23" s="476"/>
      <c r="FWB23" s="476"/>
      <c r="FWC23" s="476"/>
      <c r="FWD23" s="476"/>
      <c r="FWE23" s="476"/>
      <c r="FWF23" s="476"/>
      <c r="FWG23" s="476"/>
      <c r="FWH23" s="476"/>
      <c r="FWI23" s="476"/>
      <c r="FWJ23" s="476"/>
      <c r="FWK23" s="476"/>
      <c r="FWL23" s="476"/>
      <c r="FWM23" s="476"/>
      <c r="FWN23" s="476"/>
      <c r="FWO23" s="476"/>
      <c r="FWP23" s="476"/>
      <c r="FWQ23" s="476"/>
      <c r="FWR23" s="476"/>
      <c r="FWS23" s="476"/>
      <c r="FWT23" s="476"/>
      <c r="FWU23" s="476"/>
      <c r="FWV23" s="476"/>
      <c r="FWW23" s="476"/>
      <c r="FWX23" s="476"/>
      <c r="FWY23" s="476"/>
      <c r="FWZ23" s="476"/>
      <c r="FXA23" s="476"/>
      <c r="FXB23" s="476"/>
      <c r="FXC23" s="476"/>
      <c r="FXD23" s="476"/>
      <c r="FXE23" s="476"/>
      <c r="FXF23" s="476"/>
      <c r="FXG23" s="476"/>
      <c r="FXH23" s="476"/>
      <c r="FXI23" s="476"/>
      <c r="FXJ23" s="476"/>
      <c r="FXK23" s="476"/>
      <c r="FXL23" s="476"/>
      <c r="FXM23" s="476"/>
      <c r="FXN23" s="476"/>
      <c r="FXO23" s="476"/>
      <c r="FXP23" s="476"/>
      <c r="FXQ23" s="476"/>
      <c r="FXR23" s="476"/>
      <c r="FXS23" s="476"/>
      <c r="FXT23" s="476"/>
      <c r="FXU23" s="476"/>
      <c r="FXV23" s="476"/>
      <c r="FXW23" s="476"/>
      <c r="FXX23" s="476"/>
      <c r="FXY23" s="476"/>
      <c r="FXZ23" s="476"/>
      <c r="FYA23" s="476"/>
      <c r="FYB23" s="476"/>
      <c r="FYC23" s="476"/>
      <c r="FYD23" s="476"/>
      <c r="FYE23" s="476"/>
      <c r="FYF23" s="476"/>
      <c r="FYG23" s="476"/>
      <c r="FYH23" s="476"/>
      <c r="FYI23" s="476"/>
      <c r="FYJ23" s="476"/>
      <c r="FYK23" s="476"/>
      <c r="FYL23" s="476"/>
      <c r="FYM23" s="476"/>
      <c r="FYN23" s="476"/>
      <c r="FYO23" s="476"/>
      <c r="FYP23" s="476"/>
      <c r="FYQ23" s="476"/>
      <c r="FYR23" s="476"/>
      <c r="FYS23" s="476"/>
      <c r="FYT23" s="476"/>
      <c r="FYU23" s="476"/>
      <c r="FYV23" s="476"/>
      <c r="FYW23" s="476"/>
      <c r="FYX23" s="476"/>
      <c r="FYY23" s="476"/>
      <c r="FYZ23" s="476"/>
      <c r="FZA23" s="476"/>
      <c r="FZB23" s="476"/>
      <c r="FZC23" s="476"/>
      <c r="FZD23" s="476"/>
      <c r="FZE23" s="476"/>
      <c r="FZF23" s="476"/>
      <c r="FZG23" s="476"/>
      <c r="FZH23" s="476"/>
      <c r="FZI23" s="476"/>
      <c r="FZJ23" s="476"/>
      <c r="FZK23" s="476"/>
      <c r="FZL23" s="476"/>
      <c r="FZM23" s="476"/>
      <c r="FZN23" s="476"/>
      <c r="FZO23" s="476"/>
      <c r="FZP23" s="476"/>
      <c r="FZQ23" s="476"/>
      <c r="FZR23" s="476"/>
      <c r="FZS23" s="476"/>
      <c r="FZT23" s="476"/>
      <c r="FZU23" s="476"/>
      <c r="FZV23" s="476"/>
      <c r="FZW23" s="476"/>
      <c r="FZX23" s="476"/>
      <c r="FZY23" s="476"/>
      <c r="FZZ23" s="476"/>
      <c r="GAA23" s="476"/>
      <c r="GAB23" s="476"/>
      <c r="GAC23" s="476"/>
      <c r="GAD23" s="476"/>
      <c r="GAE23" s="476"/>
      <c r="GAF23" s="476"/>
      <c r="GAG23" s="476"/>
      <c r="GAH23" s="476"/>
      <c r="GAI23" s="476"/>
      <c r="GAJ23" s="476"/>
      <c r="GAK23" s="476"/>
      <c r="GAL23" s="476"/>
      <c r="GAM23" s="476"/>
      <c r="GAN23" s="476"/>
      <c r="GAO23" s="476"/>
      <c r="GAP23" s="476"/>
      <c r="GAQ23" s="476"/>
      <c r="GAR23" s="476"/>
      <c r="GAS23" s="476"/>
      <c r="GAT23" s="476"/>
      <c r="GAU23" s="476"/>
      <c r="GAV23" s="476"/>
      <c r="GAW23" s="476"/>
      <c r="GAX23" s="476"/>
      <c r="GAY23" s="476"/>
      <c r="GAZ23" s="476"/>
      <c r="GBA23" s="476"/>
      <c r="GBB23" s="476"/>
      <c r="GBC23" s="476"/>
      <c r="GBD23" s="476"/>
      <c r="GBE23" s="476"/>
      <c r="GBF23" s="476"/>
      <c r="GBG23" s="476"/>
      <c r="GBH23" s="476"/>
      <c r="GBI23" s="476"/>
      <c r="GBJ23" s="476"/>
      <c r="GBK23" s="476"/>
      <c r="GBL23" s="476"/>
      <c r="GBM23" s="476"/>
      <c r="GBN23" s="476"/>
      <c r="GBO23" s="476"/>
      <c r="GBP23" s="476"/>
      <c r="GBQ23" s="476"/>
      <c r="GBR23" s="476"/>
      <c r="GBS23" s="476"/>
      <c r="GBT23" s="476"/>
      <c r="GBU23" s="476"/>
      <c r="GBV23" s="476"/>
      <c r="GBW23" s="476"/>
      <c r="GBX23" s="476"/>
      <c r="GBY23" s="476"/>
      <c r="GBZ23" s="476"/>
      <c r="GCA23" s="476"/>
      <c r="GCB23" s="476"/>
      <c r="GCC23" s="476"/>
      <c r="GCD23" s="476"/>
      <c r="GCE23" s="476"/>
      <c r="GCF23" s="476"/>
      <c r="GCG23" s="476"/>
      <c r="GCH23" s="476"/>
      <c r="GCI23" s="476"/>
      <c r="GCJ23" s="476"/>
      <c r="GCK23" s="476"/>
      <c r="GCL23" s="476"/>
      <c r="GCM23" s="476"/>
      <c r="GCN23" s="476"/>
      <c r="GCO23" s="476"/>
      <c r="GCP23" s="476"/>
      <c r="GCQ23" s="476"/>
      <c r="GCR23" s="476"/>
      <c r="GCS23" s="476"/>
      <c r="GCT23" s="476"/>
      <c r="GCU23" s="476"/>
      <c r="GCV23" s="476"/>
      <c r="GCW23" s="476"/>
      <c r="GCX23" s="476"/>
      <c r="GCY23" s="476"/>
      <c r="GCZ23" s="476"/>
      <c r="GDA23" s="476"/>
      <c r="GDB23" s="476"/>
      <c r="GDC23" s="476"/>
      <c r="GDD23" s="476"/>
      <c r="GDE23" s="476"/>
      <c r="GDF23" s="476"/>
      <c r="GDG23" s="476"/>
      <c r="GDH23" s="476"/>
      <c r="GDI23" s="476"/>
      <c r="GDJ23" s="476"/>
      <c r="GDK23" s="476"/>
      <c r="GDL23" s="476"/>
      <c r="GDM23" s="476"/>
      <c r="GDN23" s="476"/>
      <c r="GDO23" s="476"/>
      <c r="GDP23" s="476"/>
      <c r="GDQ23" s="476"/>
      <c r="GDR23" s="476"/>
      <c r="GDS23" s="476"/>
      <c r="GDT23" s="476"/>
      <c r="GDU23" s="476"/>
      <c r="GDV23" s="476"/>
      <c r="GDW23" s="476"/>
      <c r="GDX23" s="476"/>
      <c r="GDY23" s="476"/>
      <c r="GDZ23" s="476"/>
      <c r="GEA23" s="476"/>
      <c r="GEB23" s="476"/>
      <c r="GEC23" s="476"/>
      <c r="GED23" s="476"/>
      <c r="GEE23" s="476"/>
      <c r="GEF23" s="476"/>
      <c r="GEG23" s="476"/>
      <c r="GEH23" s="476"/>
      <c r="GEI23" s="476"/>
      <c r="GEJ23" s="476"/>
      <c r="GEK23" s="476"/>
      <c r="GEL23" s="476"/>
      <c r="GEM23" s="476"/>
      <c r="GEN23" s="476"/>
      <c r="GEO23" s="476"/>
      <c r="GEP23" s="476"/>
      <c r="GEQ23" s="476"/>
      <c r="GER23" s="476"/>
      <c r="GES23" s="476"/>
      <c r="GET23" s="476"/>
      <c r="GEU23" s="476"/>
      <c r="GEV23" s="476"/>
      <c r="GEW23" s="476"/>
      <c r="GEX23" s="476"/>
      <c r="GEY23" s="476"/>
      <c r="GEZ23" s="476"/>
      <c r="GFA23" s="476"/>
      <c r="GFB23" s="476"/>
      <c r="GFC23" s="476"/>
      <c r="GFD23" s="476"/>
      <c r="GFE23" s="476"/>
      <c r="GFF23" s="476"/>
      <c r="GFG23" s="476"/>
      <c r="GFH23" s="476"/>
      <c r="GFI23" s="476"/>
      <c r="GFJ23" s="476"/>
      <c r="GFK23" s="476"/>
      <c r="GFL23" s="476"/>
      <c r="GFM23" s="476"/>
      <c r="GFN23" s="476"/>
      <c r="GFO23" s="476"/>
      <c r="GFP23" s="476"/>
      <c r="GFQ23" s="476"/>
      <c r="GFR23" s="476"/>
      <c r="GFS23" s="476"/>
      <c r="GFT23" s="476"/>
      <c r="GFU23" s="476"/>
      <c r="GFV23" s="476"/>
      <c r="GFW23" s="476"/>
      <c r="GFX23" s="476"/>
      <c r="GFY23" s="476"/>
      <c r="GFZ23" s="476"/>
      <c r="GGA23" s="476"/>
      <c r="GGB23" s="476"/>
      <c r="GGC23" s="476"/>
      <c r="GGD23" s="476"/>
      <c r="GGE23" s="476"/>
      <c r="GGF23" s="476"/>
      <c r="GGG23" s="476"/>
      <c r="GGH23" s="476"/>
      <c r="GGI23" s="476"/>
      <c r="GGJ23" s="476"/>
      <c r="GGK23" s="476"/>
      <c r="GGL23" s="476"/>
      <c r="GGM23" s="476"/>
      <c r="GGN23" s="476"/>
      <c r="GGO23" s="476"/>
      <c r="GGP23" s="476"/>
      <c r="GGQ23" s="476"/>
      <c r="GGR23" s="476"/>
      <c r="GGS23" s="476"/>
      <c r="GGT23" s="476"/>
      <c r="GGU23" s="476"/>
      <c r="GGV23" s="476"/>
      <c r="GGW23" s="476"/>
      <c r="GGX23" s="476"/>
      <c r="GGY23" s="476"/>
      <c r="GGZ23" s="476"/>
      <c r="GHA23" s="476"/>
      <c r="GHB23" s="476"/>
      <c r="GHC23" s="476"/>
      <c r="GHD23" s="476"/>
      <c r="GHE23" s="476"/>
      <c r="GHF23" s="476"/>
      <c r="GHG23" s="476"/>
      <c r="GHH23" s="476"/>
      <c r="GHI23" s="476"/>
      <c r="GHJ23" s="476"/>
      <c r="GHK23" s="476"/>
      <c r="GHL23" s="476"/>
      <c r="GHM23" s="476"/>
      <c r="GHN23" s="476"/>
      <c r="GHO23" s="476"/>
      <c r="GHP23" s="476"/>
      <c r="GHQ23" s="476"/>
      <c r="GHR23" s="476"/>
      <c r="GHS23" s="476"/>
      <c r="GHT23" s="476"/>
      <c r="GHU23" s="476"/>
      <c r="GHV23" s="476"/>
      <c r="GHW23" s="476"/>
      <c r="GHX23" s="476"/>
      <c r="GHY23" s="476"/>
      <c r="GHZ23" s="476"/>
      <c r="GIA23" s="476"/>
      <c r="GIB23" s="476"/>
      <c r="GIC23" s="476"/>
      <c r="GID23" s="476"/>
      <c r="GIE23" s="476"/>
      <c r="GIF23" s="476"/>
      <c r="GIG23" s="476"/>
      <c r="GIH23" s="476"/>
      <c r="GII23" s="476"/>
      <c r="GIJ23" s="476"/>
      <c r="GIK23" s="476"/>
      <c r="GIL23" s="476"/>
      <c r="GIM23" s="476"/>
      <c r="GIN23" s="476"/>
      <c r="GIO23" s="476"/>
      <c r="GIP23" s="476"/>
      <c r="GIQ23" s="476"/>
      <c r="GIR23" s="476"/>
      <c r="GIS23" s="476"/>
      <c r="GIT23" s="476"/>
      <c r="GIU23" s="476"/>
      <c r="GIV23" s="476"/>
      <c r="GIW23" s="476"/>
      <c r="GIX23" s="476"/>
      <c r="GIY23" s="476"/>
      <c r="GIZ23" s="476"/>
      <c r="GJA23" s="476"/>
      <c r="GJB23" s="476"/>
      <c r="GJC23" s="476"/>
      <c r="GJD23" s="476"/>
      <c r="GJE23" s="476"/>
      <c r="GJF23" s="476"/>
      <c r="GJG23" s="476"/>
      <c r="GJH23" s="476"/>
      <c r="GJI23" s="476"/>
      <c r="GJJ23" s="476"/>
      <c r="GJK23" s="476"/>
      <c r="GJL23" s="476"/>
      <c r="GJM23" s="476"/>
      <c r="GJN23" s="476"/>
      <c r="GJO23" s="476"/>
      <c r="GJP23" s="476"/>
      <c r="GJQ23" s="476"/>
      <c r="GJR23" s="476"/>
      <c r="GJS23" s="476"/>
      <c r="GJT23" s="476"/>
      <c r="GJU23" s="476"/>
      <c r="GJV23" s="476"/>
      <c r="GJW23" s="476"/>
      <c r="GJX23" s="476"/>
      <c r="GJY23" s="476"/>
      <c r="GJZ23" s="476"/>
      <c r="GKA23" s="476"/>
      <c r="GKB23" s="476"/>
      <c r="GKC23" s="476"/>
      <c r="GKD23" s="476"/>
      <c r="GKE23" s="476"/>
      <c r="GKF23" s="476"/>
      <c r="GKG23" s="476"/>
      <c r="GKH23" s="476"/>
      <c r="GKI23" s="476"/>
      <c r="GKJ23" s="476"/>
      <c r="GKK23" s="476"/>
      <c r="GKL23" s="476"/>
      <c r="GKM23" s="476"/>
      <c r="GKN23" s="476"/>
      <c r="GKO23" s="476"/>
      <c r="GKP23" s="476"/>
      <c r="GKQ23" s="476"/>
      <c r="GKR23" s="476"/>
      <c r="GKS23" s="476"/>
      <c r="GKT23" s="476"/>
      <c r="GKU23" s="476"/>
      <c r="GKV23" s="476"/>
      <c r="GKW23" s="476"/>
      <c r="GKX23" s="476"/>
      <c r="GKY23" s="476"/>
      <c r="GKZ23" s="476"/>
      <c r="GLA23" s="476"/>
      <c r="GLB23" s="476"/>
      <c r="GLC23" s="476"/>
      <c r="GLD23" s="476"/>
      <c r="GLE23" s="476"/>
      <c r="GLF23" s="476"/>
      <c r="GLG23" s="476"/>
      <c r="GLH23" s="476"/>
      <c r="GLI23" s="476"/>
      <c r="GLJ23" s="476"/>
      <c r="GLK23" s="476"/>
      <c r="GLL23" s="476"/>
      <c r="GLM23" s="476"/>
      <c r="GLN23" s="476"/>
      <c r="GLO23" s="476"/>
      <c r="GLP23" s="476"/>
      <c r="GLQ23" s="476"/>
      <c r="GLR23" s="476"/>
      <c r="GLS23" s="476"/>
      <c r="GLT23" s="476"/>
      <c r="GLU23" s="476"/>
      <c r="GLV23" s="476"/>
      <c r="GLW23" s="476"/>
      <c r="GLX23" s="476"/>
      <c r="GLY23" s="476"/>
      <c r="GLZ23" s="476"/>
      <c r="GMA23" s="476"/>
      <c r="GMB23" s="476"/>
      <c r="GMC23" s="476"/>
      <c r="GMD23" s="476"/>
      <c r="GME23" s="476"/>
      <c r="GMF23" s="476"/>
      <c r="GMG23" s="476"/>
      <c r="GMH23" s="476"/>
      <c r="GMI23" s="476"/>
      <c r="GMJ23" s="476"/>
      <c r="GMK23" s="476"/>
      <c r="GML23" s="476"/>
      <c r="GMM23" s="476"/>
      <c r="GMN23" s="476"/>
      <c r="GMO23" s="476"/>
      <c r="GMP23" s="476"/>
      <c r="GMQ23" s="476"/>
      <c r="GMR23" s="476"/>
      <c r="GMS23" s="476"/>
      <c r="GMT23" s="476"/>
      <c r="GMU23" s="476"/>
      <c r="GMV23" s="476"/>
      <c r="GMW23" s="476"/>
      <c r="GMX23" s="476"/>
      <c r="GMY23" s="476"/>
      <c r="GMZ23" s="476"/>
      <c r="GNA23" s="476"/>
      <c r="GNB23" s="476"/>
      <c r="GNC23" s="476"/>
      <c r="GND23" s="476"/>
      <c r="GNE23" s="476"/>
      <c r="GNF23" s="476"/>
      <c r="GNG23" s="476"/>
      <c r="GNH23" s="476"/>
      <c r="GNI23" s="476"/>
      <c r="GNJ23" s="476"/>
      <c r="GNK23" s="476"/>
      <c r="GNL23" s="476"/>
      <c r="GNM23" s="476"/>
      <c r="GNN23" s="476"/>
      <c r="GNO23" s="476"/>
      <c r="GNP23" s="476"/>
      <c r="GNQ23" s="476"/>
      <c r="GNR23" s="476"/>
      <c r="GNS23" s="476"/>
      <c r="GNT23" s="476"/>
      <c r="GNU23" s="476"/>
      <c r="GNV23" s="476"/>
      <c r="GNW23" s="476"/>
      <c r="GNX23" s="476"/>
      <c r="GNY23" s="476"/>
      <c r="GNZ23" s="476"/>
      <c r="GOA23" s="476"/>
      <c r="GOB23" s="476"/>
      <c r="GOC23" s="476"/>
      <c r="GOD23" s="476"/>
      <c r="GOE23" s="476"/>
      <c r="GOF23" s="476"/>
      <c r="GOG23" s="476"/>
      <c r="GOH23" s="476"/>
      <c r="GOI23" s="476"/>
      <c r="GOJ23" s="476"/>
      <c r="GOK23" s="476"/>
      <c r="GOL23" s="476"/>
      <c r="GOM23" s="476"/>
      <c r="GON23" s="476"/>
      <c r="GOO23" s="476"/>
      <c r="GOP23" s="476"/>
      <c r="GOQ23" s="476"/>
      <c r="GOR23" s="476"/>
      <c r="GOS23" s="476"/>
      <c r="GOT23" s="476"/>
      <c r="GOU23" s="476"/>
      <c r="GOV23" s="476"/>
      <c r="GOW23" s="476"/>
      <c r="GOX23" s="476"/>
      <c r="GOY23" s="476"/>
      <c r="GOZ23" s="476"/>
      <c r="GPA23" s="476"/>
      <c r="GPB23" s="476"/>
      <c r="GPC23" s="476"/>
      <c r="GPD23" s="476"/>
      <c r="GPE23" s="476"/>
      <c r="GPF23" s="476"/>
      <c r="GPG23" s="476"/>
      <c r="GPH23" s="476"/>
      <c r="GPI23" s="476"/>
      <c r="GPJ23" s="476"/>
      <c r="GPK23" s="476"/>
      <c r="GPL23" s="476"/>
      <c r="GPM23" s="476"/>
      <c r="GPN23" s="476"/>
      <c r="GPO23" s="476"/>
      <c r="GPP23" s="476"/>
      <c r="GPQ23" s="476"/>
      <c r="GPR23" s="476"/>
      <c r="GPS23" s="476"/>
      <c r="GPT23" s="476"/>
      <c r="GPU23" s="476"/>
      <c r="GPV23" s="476"/>
      <c r="GPW23" s="476"/>
      <c r="GPX23" s="476"/>
      <c r="GPY23" s="476"/>
      <c r="GPZ23" s="476"/>
      <c r="GQA23" s="476"/>
      <c r="GQB23" s="476"/>
      <c r="GQC23" s="476"/>
      <c r="GQD23" s="476"/>
      <c r="GQE23" s="476"/>
      <c r="GQF23" s="476"/>
      <c r="GQG23" s="476"/>
      <c r="GQH23" s="476"/>
      <c r="GQI23" s="476"/>
      <c r="GQJ23" s="476"/>
      <c r="GQK23" s="476"/>
      <c r="GQL23" s="476"/>
      <c r="GQM23" s="476"/>
      <c r="GQN23" s="476"/>
      <c r="GQO23" s="476"/>
      <c r="GQP23" s="476"/>
      <c r="GQQ23" s="476"/>
      <c r="GQR23" s="476"/>
      <c r="GQS23" s="476"/>
      <c r="GQT23" s="476"/>
      <c r="GQU23" s="476"/>
      <c r="GQV23" s="476"/>
      <c r="GQW23" s="476"/>
      <c r="GQX23" s="476"/>
      <c r="GQY23" s="476"/>
      <c r="GQZ23" s="476"/>
      <c r="GRA23" s="476"/>
      <c r="GRB23" s="476"/>
      <c r="GRC23" s="476"/>
      <c r="GRD23" s="476"/>
      <c r="GRE23" s="476"/>
      <c r="GRF23" s="476"/>
      <c r="GRG23" s="476"/>
      <c r="GRH23" s="476"/>
      <c r="GRI23" s="476"/>
      <c r="GRJ23" s="476"/>
      <c r="GRK23" s="476"/>
      <c r="GRL23" s="476"/>
      <c r="GRM23" s="476"/>
      <c r="GRN23" s="476"/>
      <c r="GRO23" s="476"/>
      <c r="GRP23" s="476"/>
      <c r="GRQ23" s="476"/>
      <c r="GRR23" s="476"/>
      <c r="GRS23" s="476"/>
      <c r="GRT23" s="476"/>
      <c r="GRU23" s="476"/>
      <c r="GRV23" s="476"/>
      <c r="GRW23" s="476"/>
      <c r="GRX23" s="476"/>
      <c r="GRY23" s="476"/>
      <c r="GRZ23" s="476"/>
      <c r="GSA23" s="476"/>
      <c r="GSB23" s="476"/>
      <c r="GSC23" s="476"/>
      <c r="GSD23" s="476"/>
      <c r="GSE23" s="476"/>
      <c r="GSF23" s="476"/>
      <c r="GSG23" s="476"/>
      <c r="GSH23" s="476"/>
      <c r="GSI23" s="476"/>
      <c r="GSJ23" s="476"/>
      <c r="GSK23" s="476"/>
      <c r="GSL23" s="476"/>
      <c r="GSM23" s="476"/>
      <c r="GSN23" s="476"/>
      <c r="GSO23" s="476"/>
      <c r="GSP23" s="476"/>
      <c r="GSQ23" s="476"/>
      <c r="GSR23" s="476"/>
      <c r="GSS23" s="476"/>
      <c r="GST23" s="476"/>
      <c r="GSU23" s="476"/>
      <c r="GSV23" s="476"/>
      <c r="GSW23" s="476"/>
      <c r="GSX23" s="476"/>
      <c r="GSY23" s="476"/>
      <c r="GSZ23" s="476"/>
      <c r="GTA23" s="476"/>
      <c r="GTB23" s="476"/>
      <c r="GTC23" s="476"/>
      <c r="GTD23" s="476"/>
      <c r="GTE23" s="476"/>
      <c r="GTF23" s="476"/>
      <c r="GTG23" s="476"/>
      <c r="GTH23" s="476"/>
      <c r="GTI23" s="476"/>
      <c r="GTJ23" s="476"/>
      <c r="GTK23" s="476"/>
      <c r="GTL23" s="476"/>
      <c r="GTM23" s="476"/>
      <c r="GTN23" s="476"/>
      <c r="GTO23" s="476"/>
      <c r="GTP23" s="476"/>
      <c r="GTQ23" s="476"/>
      <c r="GTR23" s="476"/>
      <c r="GTS23" s="476"/>
      <c r="GTT23" s="476"/>
      <c r="GTU23" s="476"/>
      <c r="GTV23" s="476"/>
      <c r="GTW23" s="476"/>
      <c r="GTX23" s="476"/>
      <c r="GTY23" s="476"/>
      <c r="GTZ23" s="476"/>
      <c r="GUA23" s="476"/>
      <c r="GUB23" s="476"/>
      <c r="GUC23" s="476"/>
      <c r="GUD23" s="476"/>
      <c r="GUE23" s="476"/>
      <c r="GUF23" s="476"/>
      <c r="GUG23" s="476"/>
      <c r="GUH23" s="476"/>
      <c r="GUI23" s="476"/>
      <c r="GUJ23" s="476"/>
      <c r="GUK23" s="476"/>
      <c r="GUL23" s="476"/>
      <c r="GUM23" s="476"/>
      <c r="GUN23" s="476"/>
      <c r="GUO23" s="476"/>
      <c r="GUP23" s="476"/>
      <c r="GUQ23" s="476"/>
      <c r="GUR23" s="476"/>
      <c r="GUS23" s="476"/>
      <c r="GUT23" s="476"/>
      <c r="GUU23" s="476"/>
      <c r="GUV23" s="476"/>
      <c r="GUW23" s="476"/>
      <c r="GUX23" s="476"/>
      <c r="GUY23" s="476"/>
      <c r="GUZ23" s="476"/>
      <c r="GVA23" s="476"/>
      <c r="GVB23" s="476"/>
      <c r="GVC23" s="476"/>
      <c r="GVD23" s="476"/>
      <c r="GVE23" s="476"/>
      <c r="GVF23" s="476"/>
      <c r="GVG23" s="476"/>
      <c r="GVH23" s="476"/>
      <c r="GVI23" s="476"/>
      <c r="GVJ23" s="476"/>
      <c r="GVK23" s="476"/>
      <c r="GVL23" s="476"/>
      <c r="GVM23" s="476"/>
      <c r="GVN23" s="476"/>
      <c r="GVO23" s="476"/>
      <c r="GVP23" s="476"/>
      <c r="GVQ23" s="476"/>
      <c r="GVR23" s="476"/>
      <c r="GVS23" s="476"/>
      <c r="GVT23" s="476"/>
      <c r="GVU23" s="476"/>
      <c r="GVV23" s="476"/>
      <c r="GVW23" s="476"/>
      <c r="GVX23" s="476"/>
      <c r="GVY23" s="476"/>
      <c r="GVZ23" s="476"/>
      <c r="GWA23" s="476"/>
      <c r="GWB23" s="476"/>
      <c r="GWC23" s="476"/>
      <c r="GWD23" s="476"/>
      <c r="GWE23" s="476"/>
      <c r="GWF23" s="476"/>
      <c r="GWG23" s="476"/>
      <c r="GWH23" s="476"/>
      <c r="GWI23" s="476"/>
      <c r="GWJ23" s="476"/>
      <c r="GWK23" s="476"/>
      <c r="GWL23" s="476"/>
      <c r="GWM23" s="476"/>
      <c r="GWN23" s="476"/>
      <c r="GWO23" s="476"/>
      <c r="GWP23" s="476"/>
      <c r="GWQ23" s="476"/>
      <c r="GWR23" s="476"/>
      <c r="GWS23" s="476"/>
      <c r="GWT23" s="476"/>
      <c r="GWU23" s="476"/>
      <c r="GWV23" s="476"/>
      <c r="GWW23" s="476"/>
      <c r="GWX23" s="476"/>
      <c r="GWY23" s="476"/>
      <c r="GWZ23" s="476"/>
      <c r="GXA23" s="476"/>
      <c r="GXB23" s="476"/>
      <c r="GXC23" s="476"/>
      <c r="GXD23" s="476"/>
      <c r="GXE23" s="476"/>
      <c r="GXF23" s="476"/>
      <c r="GXG23" s="476"/>
      <c r="GXH23" s="476"/>
      <c r="GXI23" s="476"/>
      <c r="GXJ23" s="476"/>
      <c r="GXK23" s="476"/>
      <c r="GXL23" s="476"/>
      <c r="GXM23" s="476"/>
      <c r="GXN23" s="476"/>
      <c r="GXO23" s="476"/>
      <c r="GXP23" s="476"/>
      <c r="GXQ23" s="476"/>
      <c r="GXR23" s="476"/>
      <c r="GXS23" s="476"/>
      <c r="GXT23" s="476"/>
      <c r="GXU23" s="476"/>
      <c r="GXV23" s="476"/>
      <c r="GXW23" s="476"/>
      <c r="GXX23" s="476"/>
      <c r="GXY23" s="476"/>
      <c r="GXZ23" s="476"/>
      <c r="GYA23" s="476"/>
      <c r="GYB23" s="476"/>
      <c r="GYC23" s="476"/>
      <c r="GYD23" s="476"/>
      <c r="GYE23" s="476"/>
      <c r="GYF23" s="476"/>
      <c r="GYG23" s="476"/>
      <c r="GYH23" s="476"/>
      <c r="GYI23" s="476"/>
      <c r="GYJ23" s="476"/>
      <c r="GYK23" s="476"/>
      <c r="GYL23" s="476"/>
      <c r="GYM23" s="476"/>
      <c r="GYN23" s="476"/>
      <c r="GYO23" s="476"/>
      <c r="GYP23" s="476"/>
      <c r="GYQ23" s="476"/>
      <c r="GYR23" s="476"/>
      <c r="GYS23" s="476"/>
      <c r="GYT23" s="476"/>
      <c r="GYU23" s="476"/>
      <c r="GYV23" s="476"/>
      <c r="GYW23" s="476"/>
      <c r="GYX23" s="476"/>
      <c r="GYY23" s="476"/>
      <c r="GYZ23" s="476"/>
      <c r="GZA23" s="476"/>
      <c r="GZB23" s="476"/>
      <c r="GZC23" s="476"/>
      <c r="GZD23" s="476"/>
      <c r="GZE23" s="476"/>
      <c r="GZF23" s="476"/>
      <c r="GZG23" s="476"/>
      <c r="GZH23" s="476"/>
      <c r="GZI23" s="476"/>
      <c r="GZJ23" s="476"/>
      <c r="GZK23" s="476"/>
      <c r="GZL23" s="476"/>
      <c r="GZM23" s="476"/>
      <c r="GZN23" s="476"/>
      <c r="GZO23" s="476"/>
      <c r="GZP23" s="476"/>
      <c r="GZQ23" s="476"/>
      <c r="GZR23" s="476"/>
      <c r="GZS23" s="476"/>
      <c r="GZT23" s="476"/>
      <c r="GZU23" s="476"/>
      <c r="GZV23" s="476"/>
      <c r="GZW23" s="476"/>
      <c r="GZX23" s="476"/>
      <c r="GZY23" s="476"/>
      <c r="GZZ23" s="476"/>
      <c r="HAA23" s="476"/>
      <c r="HAB23" s="476"/>
      <c r="HAC23" s="476"/>
      <c r="HAD23" s="476"/>
      <c r="HAE23" s="476"/>
      <c r="HAF23" s="476"/>
      <c r="HAG23" s="476"/>
      <c r="HAH23" s="476"/>
      <c r="HAI23" s="476"/>
      <c r="HAJ23" s="476"/>
      <c r="HAK23" s="476"/>
      <c r="HAL23" s="476"/>
      <c r="HAM23" s="476"/>
      <c r="HAN23" s="476"/>
      <c r="HAO23" s="476"/>
      <c r="HAP23" s="476"/>
      <c r="HAQ23" s="476"/>
      <c r="HAR23" s="476"/>
      <c r="HAS23" s="476"/>
      <c r="HAT23" s="476"/>
      <c r="HAU23" s="476"/>
      <c r="HAV23" s="476"/>
      <c r="HAW23" s="476"/>
      <c r="HAX23" s="476"/>
      <c r="HAY23" s="476"/>
      <c r="HAZ23" s="476"/>
      <c r="HBA23" s="476"/>
      <c r="HBB23" s="476"/>
      <c r="HBC23" s="476"/>
      <c r="HBD23" s="476"/>
      <c r="HBE23" s="476"/>
      <c r="HBF23" s="476"/>
      <c r="HBG23" s="476"/>
      <c r="HBH23" s="476"/>
      <c r="HBI23" s="476"/>
      <c r="HBJ23" s="476"/>
      <c r="HBK23" s="476"/>
      <c r="HBL23" s="476"/>
      <c r="HBM23" s="476"/>
      <c r="HBN23" s="476"/>
      <c r="HBO23" s="476"/>
      <c r="HBP23" s="476"/>
      <c r="HBQ23" s="476"/>
      <c r="HBR23" s="476"/>
      <c r="HBS23" s="476"/>
      <c r="HBT23" s="476"/>
      <c r="HBU23" s="476"/>
      <c r="HBV23" s="476"/>
      <c r="HBW23" s="476"/>
      <c r="HBX23" s="476"/>
      <c r="HBY23" s="476"/>
      <c r="HBZ23" s="476"/>
      <c r="HCA23" s="476"/>
      <c r="HCB23" s="476"/>
      <c r="HCC23" s="476"/>
      <c r="HCD23" s="476"/>
      <c r="HCE23" s="476"/>
      <c r="HCF23" s="476"/>
      <c r="HCG23" s="476"/>
      <c r="HCH23" s="476"/>
      <c r="HCI23" s="476"/>
      <c r="HCJ23" s="476"/>
      <c r="HCK23" s="476"/>
      <c r="HCL23" s="476"/>
      <c r="HCM23" s="476"/>
      <c r="HCN23" s="476"/>
      <c r="HCO23" s="476"/>
      <c r="HCP23" s="476"/>
      <c r="HCQ23" s="476"/>
      <c r="HCR23" s="476"/>
      <c r="HCS23" s="476"/>
      <c r="HCT23" s="476"/>
      <c r="HCU23" s="476"/>
      <c r="HCV23" s="476"/>
      <c r="HCW23" s="476"/>
      <c r="HCX23" s="476"/>
      <c r="HCY23" s="476"/>
      <c r="HCZ23" s="476"/>
      <c r="HDA23" s="476"/>
      <c r="HDB23" s="476"/>
      <c r="HDC23" s="476"/>
      <c r="HDD23" s="476"/>
      <c r="HDE23" s="476"/>
      <c r="HDF23" s="476"/>
      <c r="HDG23" s="476"/>
      <c r="HDH23" s="476"/>
      <c r="HDI23" s="476"/>
      <c r="HDJ23" s="476"/>
      <c r="HDK23" s="476"/>
      <c r="HDL23" s="476"/>
      <c r="HDM23" s="476"/>
      <c r="HDN23" s="476"/>
      <c r="HDO23" s="476"/>
      <c r="HDP23" s="476"/>
      <c r="HDQ23" s="476"/>
      <c r="HDR23" s="476"/>
      <c r="HDS23" s="476"/>
      <c r="HDT23" s="476"/>
      <c r="HDU23" s="476"/>
      <c r="HDV23" s="476"/>
      <c r="HDW23" s="476"/>
      <c r="HDX23" s="476"/>
      <c r="HDY23" s="476"/>
      <c r="HDZ23" s="476"/>
      <c r="HEA23" s="476"/>
      <c r="HEB23" s="476"/>
      <c r="HEC23" s="476"/>
      <c r="HED23" s="476"/>
      <c r="HEE23" s="476"/>
      <c r="HEF23" s="476"/>
      <c r="HEG23" s="476"/>
      <c r="HEH23" s="476"/>
      <c r="HEI23" s="476"/>
      <c r="HEJ23" s="476"/>
      <c r="HEK23" s="476"/>
      <c r="HEL23" s="476"/>
      <c r="HEM23" s="476"/>
      <c r="HEN23" s="476"/>
      <c r="HEO23" s="476"/>
      <c r="HEP23" s="476"/>
      <c r="HEQ23" s="476"/>
      <c r="HER23" s="476"/>
      <c r="HES23" s="476"/>
      <c r="HET23" s="476"/>
      <c r="HEU23" s="476"/>
      <c r="HEV23" s="476"/>
      <c r="HEW23" s="476"/>
      <c r="HEX23" s="476"/>
      <c r="HEY23" s="476"/>
      <c r="HEZ23" s="476"/>
      <c r="HFA23" s="476"/>
      <c r="HFB23" s="476"/>
      <c r="HFC23" s="476"/>
      <c r="HFD23" s="476"/>
      <c r="HFE23" s="476"/>
      <c r="HFF23" s="476"/>
      <c r="HFG23" s="476"/>
      <c r="HFH23" s="476"/>
      <c r="HFI23" s="476"/>
      <c r="HFJ23" s="476"/>
      <c r="HFK23" s="476"/>
      <c r="HFL23" s="476"/>
      <c r="HFM23" s="476"/>
      <c r="HFN23" s="476"/>
      <c r="HFO23" s="476"/>
      <c r="HFP23" s="476"/>
      <c r="HFQ23" s="476"/>
      <c r="HFR23" s="476"/>
      <c r="HFS23" s="476"/>
      <c r="HFT23" s="476"/>
      <c r="HFU23" s="476"/>
      <c r="HFV23" s="476"/>
      <c r="HFW23" s="476"/>
      <c r="HFX23" s="476"/>
      <c r="HFY23" s="476"/>
      <c r="HFZ23" s="476"/>
      <c r="HGA23" s="476"/>
      <c r="HGB23" s="476"/>
      <c r="HGC23" s="476"/>
      <c r="HGD23" s="476"/>
      <c r="HGE23" s="476"/>
      <c r="HGF23" s="476"/>
      <c r="HGG23" s="476"/>
      <c r="HGH23" s="476"/>
      <c r="HGI23" s="476"/>
      <c r="HGJ23" s="476"/>
      <c r="HGK23" s="476"/>
      <c r="HGL23" s="476"/>
      <c r="HGM23" s="476"/>
      <c r="HGN23" s="476"/>
      <c r="HGO23" s="476"/>
      <c r="HGP23" s="476"/>
      <c r="HGQ23" s="476"/>
      <c r="HGR23" s="476"/>
      <c r="HGS23" s="476"/>
      <c r="HGT23" s="476"/>
      <c r="HGU23" s="476"/>
      <c r="HGV23" s="476"/>
      <c r="HGW23" s="476"/>
      <c r="HGX23" s="476"/>
      <c r="HGY23" s="476"/>
      <c r="HGZ23" s="476"/>
      <c r="HHA23" s="476"/>
      <c r="HHB23" s="476"/>
      <c r="HHC23" s="476"/>
      <c r="HHD23" s="476"/>
      <c r="HHE23" s="476"/>
      <c r="HHF23" s="476"/>
      <c r="HHG23" s="476"/>
      <c r="HHH23" s="476"/>
      <c r="HHI23" s="476"/>
      <c r="HHJ23" s="476"/>
      <c r="HHK23" s="476"/>
      <c r="HHL23" s="476"/>
      <c r="HHM23" s="476"/>
      <c r="HHN23" s="476"/>
      <c r="HHO23" s="476"/>
      <c r="HHP23" s="476"/>
      <c r="HHQ23" s="476"/>
      <c r="HHR23" s="476"/>
      <c r="HHS23" s="476"/>
      <c r="HHT23" s="476"/>
      <c r="HHU23" s="476"/>
      <c r="HHV23" s="476"/>
      <c r="HHW23" s="476"/>
      <c r="HHX23" s="476"/>
      <c r="HHY23" s="476"/>
      <c r="HHZ23" s="476"/>
      <c r="HIA23" s="476"/>
      <c r="HIB23" s="476"/>
      <c r="HIC23" s="476"/>
      <c r="HID23" s="476"/>
      <c r="HIE23" s="476"/>
      <c r="HIF23" s="476"/>
      <c r="HIG23" s="476"/>
      <c r="HIH23" s="476"/>
      <c r="HII23" s="476"/>
      <c r="HIJ23" s="476"/>
      <c r="HIK23" s="476"/>
      <c r="HIL23" s="476"/>
      <c r="HIM23" s="476"/>
      <c r="HIN23" s="476"/>
      <c r="HIO23" s="476"/>
      <c r="HIP23" s="476"/>
      <c r="HIQ23" s="476"/>
      <c r="HIR23" s="476"/>
      <c r="HIS23" s="476"/>
      <c r="HIT23" s="476"/>
      <c r="HIU23" s="476"/>
      <c r="HIV23" s="476"/>
      <c r="HIW23" s="476"/>
      <c r="HIX23" s="476"/>
      <c r="HIY23" s="476"/>
      <c r="HIZ23" s="476"/>
      <c r="HJA23" s="476"/>
      <c r="HJB23" s="476"/>
      <c r="HJC23" s="476"/>
      <c r="HJD23" s="476"/>
      <c r="HJE23" s="476"/>
      <c r="HJF23" s="476"/>
      <c r="HJG23" s="476"/>
      <c r="HJH23" s="476"/>
      <c r="HJI23" s="476"/>
      <c r="HJJ23" s="476"/>
      <c r="HJK23" s="476"/>
      <c r="HJL23" s="476"/>
      <c r="HJM23" s="476"/>
      <c r="HJN23" s="476"/>
      <c r="HJO23" s="476"/>
      <c r="HJP23" s="476"/>
      <c r="HJQ23" s="476"/>
      <c r="HJR23" s="476"/>
      <c r="HJS23" s="476"/>
      <c r="HJT23" s="476"/>
      <c r="HJU23" s="476"/>
      <c r="HJV23" s="476"/>
      <c r="HJW23" s="476"/>
      <c r="HJX23" s="476"/>
      <c r="HJY23" s="476"/>
      <c r="HJZ23" s="476"/>
      <c r="HKA23" s="476"/>
      <c r="HKB23" s="476"/>
      <c r="HKC23" s="476"/>
      <c r="HKD23" s="476"/>
      <c r="HKE23" s="476"/>
      <c r="HKF23" s="476"/>
      <c r="HKG23" s="476"/>
      <c r="HKH23" s="476"/>
      <c r="HKI23" s="476"/>
      <c r="HKJ23" s="476"/>
      <c r="HKK23" s="476"/>
      <c r="HKL23" s="476"/>
      <c r="HKM23" s="476"/>
      <c r="HKN23" s="476"/>
      <c r="HKO23" s="476"/>
      <c r="HKP23" s="476"/>
      <c r="HKQ23" s="476"/>
      <c r="HKR23" s="476"/>
      <c r="HKS23" s="476"/>
      <c r="HKT23" s="476"/>
      <c r="HKU23" s="476"/>
      <c r="HKV23" s="476"/>
      <c r="HKW23" s="476"/>
      <c r="HKX23" s="476"/>
      <c r="HKY23" s="476"/>
      <c r="HKZ23" s="476"/>
      <c r="HLA23" s="476"/>
      <c r="HLB23" s="476"/>
      <c r="HLC23" s="476"/>
      <c r="HLD23" s="476"/>
      <c r="HLE23" s="476"/>
      <c r="HLF23" s="476"/>
      <c r="HLG23" s="476"/>
      <c r="HLH23" s="476"/>
      <c r="HLI23" s="476"/>
      <c r="HLJ23" s="476"/>
      <c r="HLK23" s="476"/>
      <c r="HLL23" s="476"/>
      <c r="HLM23" s="476"/>
      <c r="HLN23" s="476"/>
      <c r="HLO23" s="476"/>
      <c r="HLP23" s="476"/>
      <c r="HLQ23" s="476"/>
      <c r="HLR23" s="476"/>
      <c r="HLS23" s="476"/>
      <c r="HLT23" s="476"/>
      <c r="HLU23" s="476"/>
      <c r="HLV23" s="476"/>
      <c r="HLW23" s="476"/>
      <c r="HLX23" s="476"/>
      <c r="HLY23" s="476"/>
      <c r="HLZ23" s="476"/>
      <c r="HMA23" s="476"/>
      <c r="HMB23" s="476"/>
      <c r="HMC23" s="476"/>
      <c r="HMD23" s="476"/>
      <c r="HME23" s="476"/>
      <c r="HMF23" s="476"/>
      <c r="HMG23" s="476"/>
      <c r="HMH23" s="476"/>
      <c r="HMI23" s="476"/>
      <c r="HMJ23" s="476"/>
      <c r="HMK23" s="476"/>
      <c r="HML23" s="476"/>
      <c r="HMM23" s="476"/>
      <c r="HMN23" s="476"/>
      <c r="HMO23" s="476"/>
      <c r="HMP23" s="476"/>
      <c r="HMQ23" s="476"/>
      <c r="HMR23" s="476"/>
      <c r="HMS23" s="476"/>
      <c r="HMT23" s="476"/>
      <c r="HMU23" s="476"/>
      <c r="HMV23" s="476"/>
      <c r="HMW23" s="476"/>
      <c r="HMX23" s="476"/>
      <c r="HMY23" s="476"/>
      <c r="HMZ23" s="476"/>
      <c r="HNA23" s="476"/>
      <c r="HNB23" s="476"/>
      <c r="HNC23" s="476"/>
      <c r="HND23" s="476"/>
      <c r="HNE23" s="476"/>
      <c r="HNF23" s="476"/>
      <c r="HNG23" s="476"/>
      <c r="HNH23" s="476"/>
      <c r="HNI23" s="476"/>
      <c r="HNJ23" s="476"/>
      <c r="HNK23" s="476"/>
      <c r="HNL23" s="476"/>
      <c r="HNM23" s="476"/>
      <c r="HNN23" s="476"/>
      <c r="HNO23" s="476"/>
      <c r="HNP23" s="476"/>
      <c r="HNQ23" s="476"/>
      <c r="HNR23" s="476"/>
      <c r="HNS23" s="476"/>
      <c r="HNT23" s="476"/>
      <c r="HNU23" s="476"/>
      <c r="HNV23" s="476"/>
      <c r="HNW23" s="476"/>
      <c r="HNX23" s="476"/>
      <c r="HNY23" s="476"/>
      <c r="HNZ23" s="476"/>
      <c r="HOA23" s="476"/>
      <c r="HOB23" s="476"/>
      <c r="HOC23" s="476"/>
      <c r="HOD23" s="476"/>
      <c r="HOE23" s="476"/>
      <c r="HOF23" s="476"/>
      <c r="HOG23" s="476"/>
      <c r="HOH23" s="476"/>
      <c r="HOI23" s="476"/>
      <c r="HOJ23" s="476"/>
      <c r="HOK23" s="476"/>
      <c r="HOL23" s="476"/>
      <c r="HOM23" s="476"/>
      <c r="HON23" s="476"/>
      <c r="HOO23" s="476"/>
      <c r="HOP23" s="476"/>
      <c r="HOQ23" s="476"/>
      <c r="HOR23" s="476"/>
      <c r="HOS23" s="476"/>
      <c r="HOT23" s="476"/>
      <c r="HOU23" s="476"/>
      <c r="HOV23" s="476"/>
      <c r="HOW23" s="476"/>
      <c r="HOX23" s="476"/>
      <c r="HOY23" s="476"/>
      <c r="HOZ23" s="476"/>
      <c r="HPA23" s="476"/>
      <c r="HPB23" s="476"/>
      <c r="HPC23" s="476"/>
      <c r="HPD23" s="476"/>
      <c r="HPE23" s="476"/>
      <c r="HPF23" s="476"/>
      <c r="HPG23" s="476"/>
      <c r="HPH23" s="476"/>
      <c r="HPI23" s="476"/>
      <c r="HPJ23" s="476"/>
      <c r="HPK23" s="476"/>
      <c r="HPL23" s="476"/>
      <c r="HPM23" s="476"/>
      <c r="HPN23" s="476"/>
      <c r="HPO23" s="476"/>
      <c r="HPP23" s="476"/>
      <c r="HPQ23" s="476"/>
      <c r="HPR23" s="476"/>
      <c r="HPS23" s="476"/>
      <c r="HPT23" s="476"/>
      <c r="HPU23" s="476"/>
      <c r="HPV23" s="476"/>
      <c r="HPW23" s="476"/>
      <c r="HPX23" s="476"/>
      <c r="HPY23" s="476"/>
      <c r="HPZ23" s="476"/>
      <c r="HQA23" s="476"/>
      <c r="HQB23" s="476"/>
      <c r="HQC23" s="476"/>
      <c r="HQD23" s="476"/>
      <c r="HQE23" s="476"/>
      <c r="HQF23" s="476"/>
      <c r="HQG23" s="476"/>
      <c r="HQH23" s="476"/>
      <c r="HQI23" s="476"/>
      <c r="HQJ23" s="476"/>
      <c r="HQK23" s="476"/>
      <c r="HQL23" s="476"/>
      <c r="HQM23" s="476"/>
      <c r="HQN23" s="476"/>
      <c r="HQO23" s="476"/>
      <c r="HQP23" s="476"/>
      <c r="HQQ23" s="476"/>
      <c r="HQR23" s="476"/>
      <c r="HQS23" s="476"/>
      <c r="HQT23" s="476"/>
      <c r="HQU23" s="476"/>
      <c r="HQV23" s="476"/>
      <c r="HQW23" s="476"/>
      <c r="HQX23" s="476"/>
      <c r="HQY23" s="476"/>
      <c r="HQZ23" s="476"/>
      <c r="HRA23" s="476"/>
      <c r="HRB23" s="476"/>
      <c r="HRC23" s="476"/>
      <c r="HRD23" s="476"/>
      <c r="HRE23" s="476"/>
      <c r="HRF23" s="476"/>
      <c r="HRG23" s="476"/>
      <c r="HRH23" s="476"/>
      <c r="HRI23" s="476"/>
      <c r="HRJ23" s="476"/>
      <c r="HRK23" s="476"/>
      <c r="HRL23" s="476"/>
      <c r="HRM23" s="476"/>
      <c r="HRN23" s="476"/>
      <c r="HRO23" s="476"/>
      <c r="HRP23" s="476"/>
      <c r="HRQ23" s="476"/>
      <c r="HRR23" s="476"/>
      <c r="HRS23" s="476"/>
      <c r="HRT23" s="476"/>
      <c r="HRU23" s="476"/>
      <c r="HRV23" s="476"/>
      <c r="HRW23" s="476"/>
      <c r="HRX23" s="476"/>
      <c r="HRY23" s="476"/>
      <c r="HRZ23" s="476"/>
      <c r="HSA23" s="476"/>
      <c r="HSB23" s="476"/>
      <c r="HSC23" s="476"/>
      <c r="HSD23" s="476"/>
      <c r="HSE23" s="476"/>
      <c r="HSF23" s="476"/>
      <c r="HSG23" s="476"/>
      <c r="HSH23" s="476"/>
      <c r="HSI23" s="476"/>
      <c r="HSJ23" s="476"/>
      <c r="HSK23" s="476"/>
      <c r="HSL23" s="476"/>
      <c r="HSM23" s="476"/>
      <c r="HSN23" s="476"/>
      <c r="HSO23" s="476"/>
      <c r="HSP23" s="476"/>
      <c r="HSQ23" s="476"/>
      <c r="HSR23" s="476"/>
      <c r="HSS23" s="476"/>
      <c r="HST23" s="476"/>
      <c r="HSU23" s="476"/>
      <c r="HSV23" s="476"/>
      <c r="HSW23" s="476"/>
      <c r="HSX23" s="476"/>
      <c r="HSY23" s="476"/>
      <c r="HSZ23" s="476"/>
      <c r="HTA23" s="476"/>
      <c r="HTB23" s="476"/>
      <c r="HTC23" s="476"/>
      <c r="HTD23" s="476"/>
      <c r="HTE23" s="476"/>
      <c r="HTF23" s="476"/>
      <c r="HTG23" s="476"/>
      <c r="HTH23" s="476"/>
      <c r="HTI23" s="476"/>
      <c r="HTJ23" s="476"/>
      <c r="HTK23" s="476"/>
      <c r="HTL23" s="476"/>
      <c r="HTM23" s="476"/>
      <c r="HTN23" s="476"/>
      <c r="HTO23" s="476"/>
      <c r="HTP23" s="476"/>
      <c r="HTQ23" s="476"/>
      <c r="HTR23" s="476"/>
      <c r="HTS23" s="476"/>
      <c r="HTT23" s="476"/>
      <c r="HTU23" s="476"/>
      <c r="HTV23" s="476"/>
      <c r="HTW23" s="476"/>
      <c r="HTX23" s="476"/>
      <c r="HTY23" s="476"/>
      <c r="HTZ23" s="476"/>
      <c r="HUA23" s="476"/>
      <c r="HUB23" s="476"/>
      <c r="HUC23" s="476"/>
      <c r="HUD23" s="476"/>
      <c r="HUE23" s="476"/>
      <c r="HUF23" s="476"/>
      <c r="HUG23" s="476"/>
      <c r="HUH23" s="476"/>
      <c r="HUI23" s="476"/>
      <c r="HUJ23" s="476"/>
      <c r="HUK23" s="476"/>
      <c r="HUL23" s="476"/>
      <c r="HUM23" s="476"/>
      <c r="HUN23" s="476"/>
      <c r="HUO23" s="476"/>
      <c r="HUP23" s="476"/>
      <c r="HUQ23" s="476"/>
      <c r="HUR23" s="476"/>
      <c r="HUS23" s="476"/>
      <c r="HUT23" s="476"/>
      <c r="HUU23" s="476"/>
      <c r="HUV23" s="476"/>
      <c r="HUW23" s="476"/>
      <c r="HUX23" s="476"/>
      <c r="HUY23" s="476"/>
      <c r="HUZ23" s="476"/>
      <c r="HVA23" s="476"/>
      <c r="HVB23" s="476"/>
      <c r="HVC23" s="476"/>
      <c r="HVD23" s="476"/>
      <c r="HVE23" s="476"/>
      <c r="HVF23" s="476"/>
      <c r="HVG23" s="476"/>
      <c r="HVH23" s="476"/>
      <c r="HVI23" s="476"/>
      <c r="HVJ23" s="476"/>
      <c r="HVK23" s="476"/>
      <c r="HVL23" s="476"/>
      <c r="HVM23" s="476"/>
      <c r="HVN23" s="476"/>
      <c r="HVO23" s="476"/>
      <c r="HVP23" s="476"/>
      <c r="HVQ23" s="476"/>
      <c r="HVR23" s="476"/>
      <c r="HVS23" s="476"/>
      <c r="HVT23" s="476"/>
      <c r="HVU23" s="476"/>
      <c r="HVV23" s="476"/>
      <c r="HVW23" s="476"/>
      <c r="HVX23" s="476"/>
      <c r="HVY23" s="476"/>
      <c r="HVZ23" s="476"/>
      <c r="HWA23" s="476"/>
      <c r="HWB23" s="476"/>
      <c r="HWC23" s="476"/>
      <c r="HWD23" s="476"/>
      <c r="HWE23" s="476"/>
      <c r="HWF23" s="476"/>
      <c r="HWG23" s="476"/>
      <c r="HWH23" s="476"/>
      <c r="HWI23" s="476"/>
      <c r="HWJ23" s="476"/>
      <c r="HWK23" s="476"/>
      <c r="HWL23" s="476"/>
      <c r="HWM23" s="476"/>
      <c r="HWN23" s="476"/>
      <c r="HWO23" s="476"/>
      <c r="HWP23" s="476"/>
      <c r="HWQ23" s="476"/>
      <c r="HWR23" s="476"/>
      <c r="HWS23" s="476"/>
      <c r="HWT23" s="476"/>
      <c r="HWU23" s="476"/>
      <c r="HWV23" s="476"/>
      <c r="HWW23" s="476"/>
      <c r="HWX23" s="476"/>
      <c r="HWY23" s="476"/>
      <c r="HWZ23" s="476"/>
      <c r="HXA23" s="476"/>
      <c r="HXB23" s="476"/>
      <c r="HXC23" s="476"/>
      <c r="HXD23" s="476"/>
      <c r="HXE23" s="476"/>
      <c r="HXF23" s="476"/>
      <c r="HXG23" s="476"/>
      <c r="HXH23" s="476"/>
      <c r="HXI23" s="476"/>
      <c r="HXJ23" s="476"/>
      <c r="HXK23" s="476"/>
      <c r="HXL23" s="476"/>
      <c r="HXM23" s="476"/>
      <c r="HXN23" s="476"/>
      <c r="HXO23" s="476"/>
      <c r="HXP23" s="476"/>
      <c r="HXQ23" s="476"/>
      <c r="HXR23" s="476"/>
      <c r="HXS23" s="476"/>
      <c r="HXT23" s="476"/>
      <c r="HXU23" s="476"/>
      <c r="HXV23" s="476"/>
      <c r="HXW23" s="476"/>
      <c r="HXX23" s="476"/>
      <c r="HXY23" s="476"/>
      <c r="HXZ23" s="476"/>
      <c r="HYA23" s="476"/>
      <c r="HYB23" s="476"/>
      <c r="HYC23" s="476"/>
      <c r="HYD23" s="476"/>
      <c r="HYE23" s="476"/>
      <c r="HYF23" s="476"/>
      <c r="HYG23" s="476"/>
      <c r="HYH23" s="476"/>
      <c r="HYI23" s="476"/>
      <c r="HYJ23" s="476"/>
      <c r="HYK23" s="476"/>
      <c r="HYL23" s="476"/>
      <c r="HYM23" s="476"/>
      <c r="HYN23" s="476"/>
      <c r="HYO23" s="476"/>
      <c r="HYP23" s="476"/>
      <c r="HYQ23" s="476"/>
      <c r="HYR23" s="476"/>
      <c r="HYS23" s="476"/>
      <c r="HYT23" s="476"/>
      <c r="HYU23" s="476"/>
      <c r="HYV23" s="476"/>
      <c r="HYW23" s="476"/>
      <c r="HYX23" s="476"/>
      <c r="HYY23" s="476"/>
      <c r="HYZ23" s="476"/>
      <c r="HZA23" s="476"/>
      <c r="HZB23" s="476"/>
      <c r="HZC23" s="476"/>
      <c r="HZD23" s="476"/>
      <c r="HZE23" s="476"/>
      <c r="HZF23" s="476"/>
      <c r="HZG23" s="476"/>
      <c r="HZH23" s="476"/>
      <c r="HZI23" s="476"/>
      <c r="HZJ23" s="476"/>
      <c r="HZK23" s="476"/>
      <c r="HZL23" s="476"/>
      <c r="HZM23" s="476"/>
      <c r="HZN23" s="476"/>
      <c r="HZO23" s="476"/>
      <c r="HZP23" s="476"/>
      <c r="HZQ23" s="476"/>
      <c r="HZR23" s="476"/>
      <c r="HZS23" s="476"/>
      <c r="HZT23" s="476"/>
      <c r="HZU23" s="476"/>
      <c r="HZV23" s="476"/>
      <c r="HZW23" s="476"/>
      <c r="HZX23" s="476"/>
      <c r="HZY23" s="476"/>
      <c r="HZZ23" s="476"/>
      <c r="IAA23" s="476"/>
      <c r="IAB23" s="476"/>
      <c r="IAC23" s="476"/>
      <c r="IAD23" s="476"/>
      <c r="IAE23" s="476"/>
      <c r="IAF23" s="476"/>
      <c r="IAG23" s="476"/>
      <c r="IAH23" s="476"/>
      <c r="IAI23" s="476"/>
      <c r="IAJ23" s="476"/>
      <c r="IAK23" s="476"/>
      <c r="IAL23" s="476"/>
      <c r="IAM23" s="476"/>
      <c r="IAN23" s="476"/>
      <c r="IAO23" s="476"/>
      <c r="IAP23" s="476"/>
      <c r="IAQ23" s="476"/>
      <c r="IAR23" s="476"/>
      <c r="IAS23" s="476"/>
      <c r="IAT23" s="476"/>
      <c r="IAU23" s="476"/>
      <c r="IAV23" s="476"/>
      <c r="IAW23" s="476"/>
      <c r="IAX23" s="476"/>
      <c r="IAY23" s="476"/>
      <c r="IAZ23" s="476"/>
      <c r="IBA23" s="476"/>
      <c r="IBB23" s="476"/>
      <c r="IBC23" s="476"/>
      <c r="IBD23" s="476"/>
      <c r="IBE23" s="476"/>
      <c r="IBF23" s="476"/>
      <c r="IBG23" s="476"/>
      <c r="IBH23" s="476"/>
      <c r="IBI23" s="476"/>
      <c r="IBJ23" s="476"/>
      <c r="IBK23" s="476"/>
      <c r="IBL23" s="476"/>
      <c r="IBM23" s="476"/>
      <c r="IBN23" s="476"/>
      <c r="IBO23" s="476"/>
      <c r="IBP23" s="476"/>
      <c r="IBQ23" s="476"/>
      <c r="IBR23" s="476"/>
      <c r="IBS23" s="476"/>
      <c r="IBT23" s="476"/>
      <c r="IBU23" s="476"/>
      <c r="IBV23" s="476"/>
      <c r="IBW23" s="476"/>
      <c r="IBX23" s="476"/>
      <c r="IBY23" s="476"/>
      <c r="IBZ23" s="476"/>
      <c r="ICA23" s="476"/>
      <c r="ICB23" s="476"/>
      <c r="ICC23" s="476"/>
      <c r="ICD23" s="476"/>
      <c r="ICE23" s="476"/>
      <c r="ICF23" s="476"/>
      <c r="ICG23" s="476"/>
      <c r="ICH23" s="476"/>
      <c r="ICI23" s="476"/>
      <c r="ICJ23" s="476"/>
      <c r="ICK23" s="476"/>
      <c r="ICL23" s="476"/>
      <c r="ICM23" s="476"/>
      <c r="ICN23" s="476"/>
      <c r="ICO23" s="476"/>
      <c r="ICP23" s="476"/>
      <c r="ICQ23" s="476"/>
      <c r="ICR23" s="476"/>
      <c r="ICS23" s="476"/>
      <c r="ICT23" s="476"/>
      <c r="ICU23" s="476"/>
      <c r="ICV23" s="476"/>
      <c r="ICW23" s="476"/>
      <c r="ICX23" s="476"/>
      <c r="ICY23" s="476"/>
      <c r="ICZ23" s="476"/>
      <c r="IDA23" s="476"/>
      <c r="IDB23" s="476"/>
      <c r="IDC23" s="476"/>
      <c r="IDD23" s="476"/>
      <c r="IDE23" s="476"/>
      <c r="IDF23" s="476"/>
      <c r="IDG23" s="476"/>
      <c r="IDH23" s="476"/>
      <c r="IDI23" s="476"/>
      <c r="IDJ23" s="476"/>
      <c r="IDK23" s="476"/>
      <c r="IDL23" s="476"/>
      <c r="IDM23" s="476"/>
      <c r="IDN23" s="476"/>
      <c r="IDO23" s="476"/>
      <c r="IDP23" s="476"/>
      <c r="IDQ23" s="476"/>
      <c r="IDR23" s="476"/>
      <c r="IDS23" s="476"/>
      <c r="IDT23" s="476"/>
      <c r="IDU23" s="476"/>
      <c r="IDV23" s="476"/>
      <c r="IDW23" s="476"/>
      <c r="IDX23" s="476"/>
      <c r="IDY23" s="476"/>
      <c r="IDZ23" s="476"/>
      <c r="IEA23" s="476"/>
      <c r="IEB23" s="476"/>
      <c r="IEC23" s="476"/>
      <c r="IED23" s="476"/>
      <c r="IEE23" s="476"/>
      <c r="IEF23" s="476"/>
      <c r="IEG23" s="476"/>
      <c r="IEH23" s="476"/>
      <c r="IEI23" s="476"/>
      <c r="IEJ23" s="476"/>
      <c r="IEK23" s="476"/>
      <c r="IEL23" s="476"/>
      <c r="IEM23" s="476"/>
      <c r="IEN23" s="476"/>
      <c r="IEO23" s="476"/>
      <c r="IEP23" s="476"/>
      <c r="IEQ23" s="476"/>
      <c r="IER23" s="476"/>
      <c r="IES23" s="476"/>
      <c r="IET23" s="476"/>
      <c r="IEU23" s="476"/>
      <c r="IEV23" s="476"/>
      <c r="IEW23" s="476"/>
      <c r="IEX23" s="476"/>
      <c r="IEY23" s="476"/>
      <c r="IEZ23" s="476"/>
      <c r="IFA23" s="476"/>
      <c r="IFB23" s="476"/>
      <c r="IFC23" s="476"/>
      <c r="IFD23" s="476"/>
      <c r="IFE23" s="476"/>
      <c r="IFF23" s="476"/>
      <c r="IFG23" s="476"/>
      <c r="IFH23" s="476"/>
      <c r="IFI23" s="476"/>
      <c r="IFJ23" s="476"/>
      <c r="IFK23" s="476"/>
      <c r="IFL23" s="476"/>
      <c r="IFM23" s="476"/>
      <c r="IFN23" s="476"/>
      <c r="IFO23" s="476"/>
      <c r="IFP23" s="476"/>
      <c r="IFQ23" s="476"/>
      <c r="IFR23" s="476"/>
      <c r="IFS23" s="476"/>
      <c r="IFT23" s="476"/>
      <c r="IFU23" s="476"/>
      <c r="IFV23" s="476"/>
      <c r="IFW23" s="476"/>
      <c r="IFX23" s="476"/>
      <c r="IFY23" s="476"/>
      <c r="IFZ23" s="476"/>
      <c r="IGA23" s="476"/>
      <c r="IGB23" s="476"/>
      <c r="IGC23" s="476"/>
      <c r="IGD23" s="476"/>
      <c r="IGE23" s="476"/>
      <c r="IGF23" s="476"/>
      <c r="IGG23" s="476"/>
      <c r="IGH23" s="476"/>
      <c r="IGI23" s="476"/>
      <c r="IGJ23" s="476"/>
      <c r="IGK23" s="476"/>
      <c r="IGL23" s="476"/>
      <c r="IGM23" s="476"/>
      <c r="IGN23" s="476"/>
      <c r="IGO23" s="476"/>
      <c r="IGP23" s="476"/>
      <c r="IGQ23" s="476"/>
      <c r="IGR23" s="476"/>
      <c r="IGS23" s="476"/>
      <c r="IGT23" s="476"/>
      <c r="IGU23" s="476"/>
      <c r="IGV23" s="476"/>
      <c r="IGW23" s="476"/>
      <c r="IGX23" s="476"/>
      <c r="IGY23" s="476"/>
      <c r="IGZ23" s="476"/>
      <c r="IHA23" s="476"/>
      <c r="IHB23" s="476"/>
      <c r="IHC23" s="476"/>
      <c r="IHD23" s="476"/>
      <c r="IHE23" s="476"/>
      <c r="IHF23" s="476"/>
      <c r="IHG23" s="476"/>
      <c r="IHH23" s="476"/>
      <c r="IHI23" s="476"/>
      <c r="IHJ23" s="476"/>
      <c r="IHK23" s="476"/>
      <c r="IHL23" s="476"/>
      <c r="IHM23" s="476"/>
      <c r="IHN23" s="476"/>
      <c r="IHO23" s="476"/>
      <c r="IHP23" s="476"/>
      <c r="IHQ23" s="476"/>
      <c r="IHR23" s="476"/>
      <c r="IHS23" s="476"/>
      <c r="IHT23" s="476"/>
      <c r="IHU23" s="476"/>
      <c r="IHV23" s="476"/>
      <c r="IHW23" s="476"/>
      <c r="IHX23" s="476"/>
      <c r="IHY23" s="476"/>
      <c r="IHZ23" s="476"/>
      <c r="IIA23" s="476"/>
      <c r="IIB23" s="476"/>
      <c r="IIC23" s="476"/>
      <c r="IID23" s="476"/>
      <c r="IIE23" s="476"/>
      <c r="IIF23" s="476"/>
      <c r="IIG23" s="476"/>
      <c r="IIH23" s="476"/>
      <c r="III23" s="476"/>
      <c r="IIJ23" s="476"/>
      <c r="IIK23" s="476"/>
      <c r="IIL23" s="476"/>
      <c r="IIM23" s="476"/>
      <c r="IIN23" s="476"/>
      <c r="IIO23" s="476"/>
      <c r="IIP23" s="476"/>
      <c r="IIQ23" s="476"/>
      <c r="IIR23" s="476"/>
      <c r="IIS23" s="476"/>
      <c r="IIT23" s="476"/>
      <c r="IIU23" s="476"/>
      <c r="IIV23" s="476"/>
      <c r="IIW23" s="476"/>
      <c r="IIX23" s="476"/>
      <c r="IIY23" s="476"/>
      <c r="IIZ23" s="476"/>
      <c r="IJA23" s="476"/>
      <c r="IJB23" s="476"/>
      <c r="IJC23" s="476"/>
      <c r="IJD23" s="476"/>
      <c r="IJE23" s="476"/>
      <c r="IJF23" s="476"/>
      <c r="IJG23" s="476"/>
      <c r="IJH23" s="476"/>
      <c r="IJI23" s="476"/>
      <c r="IJJ23" s="476"/>
      <c r="IJK23" s="476"/>
      <c r="IJL23" s="476"/>
      <c r="IJM23" s="476"/>
      <c r="IJN23" s="476"/>
      <c r="IJO23" s="476"/>
      <c r="IJP23" s="476"/>
      <c r="IJQ23" s="476"/>
      <c r="IJR23" s="476"/>
      <c r="IJS23" s="476"/>
      <c r="IJT23" s="476"/>
      <c r="IJU23" s="476"/>
      <c r="IJV23" s="476"/>
      <c r="IJW23" s="476"/>
      <c r="IJX23" s="476"/>
      <c r="IJY23" s="476"/>
      <c r="IJZ23" s="476"/>
      <c r="IKA23" s="476"/>
      <c r="IKB23" s="476"/>
      <c r="IKC23" s="476"/>
      <c r="IKD23" s="476"/>
      <c r="IKE23" s="476"/>
      <c r="IKF23" s="476"/>
      <c r="IKG23" s="476"/>
      <c r="IKH23" s="476"/>
      <c r="IKI23" s="476"/>
      <c r="IKJ23" s="476"/>
      <c r="IKK23" s="476"/>
      <c r="IKL23" s="476"/>
      <c r="IKM23" s="476"/>
      <c r="IKN23" s="476"/>
      <c r="IKO23" s="476"/>
      <c r="IKP23" s="476"/>
      <c r="IKQ23" s="476"/>
      <c r="IKR23" s="476"/>
      <c r="IKS23" s="476"/>
      <c r="IKT23" s="476"/>
      <c r="IKU23" s="476"/>
      <c r="IKV23" s="476"/>
      <c r="IKW23" s="476"/>
      <c r="IKX23" s="476"/>
      <c r="IKY23" s="476"/>
      <c r="IKZ23" s="476"/>
      <c r="ILA23" s="476"/>
      <c r="ILB23" s="476"/>
      <c r="ILC23" s="476"/>
      <c r="ILD23" s="476"/>
      <c r="ILE23" s="476"/>
      <c r="ILF23" s="476"/>
      <c r="ILG23" s="476"/>
      <c r="ILH23" s="476"/>
      <c r="ILI23" s="476"/>
      <c r="ILJ23" s="476"/>
      <c r="ILK23" s="476"/>
      <c r="ILL23" s="476"/>
      <c r="ILM23" s="476"/>
      <c r="ILN23" s="476"/>
      <c r="ILO23" s="476"/>
      <c r="ILP23" s="476"/>
      <c r="ILQ23" s="476"/>
      <c r="ILR23" s="476"/>
      <c r="ILS23" s="476"/>
      <c r="ILT23" s="476"/>
      <c r="ILU23" s="476"/>
      <c r="ILV23" s="476"/>
      <c r="ILW23" s="476"/>
      <c r="ILX23" s="476"/>
      <c r="ILY23" s="476"/>
      <c r="ILZ23" s="476"/>
      <c r="IMA23" s="476"/>
      <c r="IMB23" s="476"/>
      <c r="IMC23" s="476"/>
      <c r="IMD23" s="476"/>
      <c r="IME23" s="476"/>
      <c r="IMF23" s="476"/>
      <c r="IMG23" s="476"/>
      <c r="IMH23" s="476"/>
      <c r="IMI23" s="476"/>
      <c r="IMJ23" s="476"/>
      <c r="IMK23" s="476"/>
      <c r="IML23" s="476"/>
      <c r="IMM23" s="476"/>
      <c r="IMN23" s="476"/>
      <c r="IMO23" s="476"/>
      <c r="IMP23" s="476"/>
      <c r="IMQ23" s="476"/>
      <c r="IMR23" s="476"/>
      <c r="IMS23" s="476"/>
      <c r="IMT23" s="476"/>
      <c r="IMU23" s="476"/>
      <c r="IMV23" s="476"/>
      <c r="IMW23" s="476"/>
      <c r="IMX23" s="476"/>
      <c r="IMY23" s="476"/>
      <c r="IMZ23" s="476"/>
      <c r="INA23" s="476"/>
      <c r="INB23" s="476"/>
      <c r="INC23" s="476"/>
      <c r="IND23" s="476"/>
      <c r="INE23" s="476"/>
      <c r="INF23" s="476"/>
      <c r="ING23" s="476"/>
      <c r="INH23" s="476"/>
      <c r="INI23" s="476"/>
      <c r="INJ23" s="476"/>
      <c r="INK23" s="476"/>
      <c r="INL23" s="476"/>
      <c r="INM23" s="476"/>
      <c r="INN23" s="476"/>
      <c r="INO23" s="476"/>
      <c r="INP23" s="476"/>
      <c r="INQ23" s="476"/>
      <c r="INR23" s="476"/>
      <c r="INS23" s="476"/>
      <c r="INT23" s="476"/>
      <c r="INU23" s="476"/>
      <c r="INV23" s="476"/>
      <c r="INW23" s="476"/>
      <c r="INX23" s="476"/>
      <c r="INY23" s="476"/>
      <c r="INZ23" s="476"/>
      <c r="IOA23" s="476"/>
      <c r="IOB23" s="476"/>
      <c r="IOC23" s="476"/>
      <c r="IOD23" s="476"/>
      <c r="IOE23" s="476"/>
      <c r="IOF23" s="476"/>
      <c r="IOG23" s="476"/>
      <c r="IOH23" s="476"/>
      <c r="IOI23" s="476"/>
      <c r="IOJ23" s="476"/>
      <c r="IOK23" s="476"/>
      <c r="IOL23" s="476"/>
      <c r="IOM23" s="476"/>
      <c r="ION23" s="476"/>
      <c r="IOO23" s="476"/>
      <c r="IOP23" s="476"/>
      <c r="IOQ23" s="476"/>
      <c r="IOR23" s="476"/>
      <c r="IOS23" s="476"/>
      <c r="IOT23" s="476"/>
      <c r="IOU23" s="476"/>
      <c r="IOV23" s="476"/>
      <c r="IOW23" s="476"/>
      <c r="IOX23" s="476"/>
      <c r="IOY23" s="476"/>
      <c r="IOZ23" s="476"/>
      <c r="IPA23" s="476"/>
      <c r="IPB23" s="476"/>
      <c r="IPC23" s="476"/>
      <c r="IPD23" s="476"/>
      <c r="IPE23" s="476"/>
      <c r="IPF23" s="476"/>
      <c r="IPG23" s="476"/>
      <c r="IPH23" s="476"/>
      <c r="IPI23" s="476"/>
      <c r="IPJ23" s="476"/>
      <c r="IPK23" s="476"/>
      <c r="IPL23" s="476"/>
      <c r="IPM23" s="476"/>
      <c r="IPN23" s="476"/>
      <c r="IPO23" s="476"/>
      <c r="IPP23" s="476"/>
      <c r="IPQ23" s="476"/>
      <c r="IPR23" s="476"/>
      <c r="IPS23" s="476"/>
      <c r="IPT23" s="476"/>
      <c r="IPU23" s="476"/>
      <c r="IPV23" s="476"/>
      <c r="IPW23" s="476"/>
      <c r="IPX23" s="476"/>
      <c r="IPY23" s="476"/>
      <c r="IPZ23" s="476"/>
      <c r="IQA23" s="476"/>
      <c r="IQB23" s="476"/>
      <c r="IQC23" s="476"/>
      <c r="IQD23" s="476"/>
      <c r="IQE23" s="476"/>
      <c r="IQF23" s="476"/>
      <c r="IQG23" s="476"/>
      <c r="IQH23" s="476"/>
      <c r="IQI23" s="476"/>
      <c r="IQJ23" s="476"/>
      <c r="IQK23" s="476"/>
      <c r="IQL23" s="476"/>
      <c r="IQM23" s="476"/>
      <c r="IQN23" s="476"/>
      <c r="IQO23" s="476"/>
      <c r="IQP23" s="476"/>
      <c r="IQQ23" s="476"/>
      <c r="IQR23" s="476"/>
      <c r="IQS23" s="476"/>
      <c r="IQT23" s="476"/>
      <c r="IQU23" s="476"/>
      <c r="IQV23" s="476"/>
      <c r="IQW23" s="476"/>
      <c r="IQX23" s="476"/>
      <c r="IQY23" s="476"/>
      <c r="IQZ23" s="476"/>
      <c r="IRA23" s="476"/>
      <c r="IRB23" s="476"/>
      <c r="IRC23" s="476"/>
      <c r="IRD23" s="476"/>
      <c r="IRE23" s="476"/>
      <c r="IRF23" s="476"/>
      <c r="IRG23" s="476"/>
      <c r="IRH23" s="476"/>
      <c r="IRI23" s="476"/>
      <c r="IRJ23" s="476"/>
      <c r="IRK23" s="476"/>
      <c r="IRL23" s="476"/>
      <c r="IRM23" s="476"/>
      <c r="IRN23" s="476"/>
      <c r="IRO23" s="476"/>
      <c r="IRP23" s="476"/>
      <c r="IRQ23" s="476"/>
      <c r="IRR23" s="476"/>
      <c r="IRS23" s="476"/>
      <c r="IRT23" s="476"/>
      <c r="IRU23" s="476"/>
      <c r="IRV23" s="476"/>
      <c r="IRW23" s="476"/>
      <c r="IRX23" s="476"/>
      <c r="IRY23" s="476"/>
      <c r="IRZ23" s="476"/>
      <c r="ISA23" s="476"/>
      <c r="ISB23" s="476"/>
      <c r="ISC23" s="476"/>
      <c r="ISD23" s="476"/>
      <c r="ISE23" s="476"/>
      <c r="ISF23" s="476"/>
      <c r="ISG23" s="476"/>
      <c r="ISH23" s="476"/>
      <c r="ISI23" s="476"/>
      <c r="ISJ23" s="476"/>
      <c r="ISK23" s="476"/>
      <c r="ISL23" s="476"/>
      <c r="ISM23" s="476"/>
      <c r="ISN23" s="476"/>
      <c r="ISO23" s="476"/>
      <c r="ISP23" s="476"/>
      <c r="ISQ23" s="476"/>
      <c r="ISR23" s="476"/>
      <c r="ISS23" s="476"/>
      <c r="IST23" s="476"/>
      <c r="ISU23" s="476"/>
      <c r="ISV23" s="476"/>
      <c r="ISW23" s="476"/>
      <c r="ISX23" s="476"/>
      <c r="ISY23" s="476"/>
      <c r="ISZ23" s="476"/>
      <c r="ITA23" s="476"/>
      <c r="ITB23" s="476"/>
      <c r="ITC23" s="476"/>
      <c r="ITD23" s="476"/>
      <c r="ITE23" s="476"/>
      <c r="ITF23" s="476"/>
      <c r="ITG23" s="476"/>
      <c r="ITH23" s="476"/>
      <c r="ITI23" s="476"/>
      <c r="ITJ23" s="476"/>
      <c r="ITK23" s="476"/>
      <c r="ITL23" s="476"/>
      <c r="ITM23" s="476"/>
      <c r="ITN23" s="476"/>
      <c r="ITO23" s="476"/>
      <c r="ITP23" s="476"/>
      <c r="ITQ23" s="476"/>
      <c r="ITR23" s="476"/>
      <c r="ITS23" s="476"/>
      <c r="ITT23" s="476"/>
      <c r="ITU23" s="476"/>
      <c r="ITV23" s="476"/>
      <c r="ITW23" s="476"/>
      <c r="ITX23" s="476"/>
      <c r="ITY23" s="476"/>
      <c r="ITZ23" s="476"/>
      <c r="IUA23" s="476"/>
      <c r="IUB23" s="476"/>
      <c r="IUC23" s="476"/>
      <c r="IUD23" s="476"/>
      <c r="IUE23" s="476"/>
      <c r="IUF23" s="476"/>
      <c r="IUG23" s="476"/>
      <c r="IUH23" s="476"/>
      <c r="IUI23" s="476"/>
      <c r="IUJ23" s="476"/>
      <c r="IUK23" s="476"/>
      <c r="IUL23" s="476"/>
      <c r="IUM23" s="476"/>
      <c r="IUN23" s="476"/>
      <c r="IUO23" s="476"/>
      <c r="IUP23" s="476"/>
      <c r="IUQ23" s="476"/>
      <c r="IUR23" s="476"/>
      <c r="IUS23" s="476"/>
      <c r="IUT23" s="476"/>
      <c r="IUU23" s="476"/>
      <c r="IUV23" s="476"/>
      <c r="IUW23" s="476"/>
      <c r="IUX23" s="476"/>
      <c r="IUY23" s="476"/>
      <c r="IUZ23" s="476"/>
      <c r="IVA23" s="476"/>
      <c r="IVB23" s="476"/>
      <c r="IVC23" s="476"/>
      <c r="IVD23" s="476"/>
      <c r="IVE23" s="476"/>
      <c r="IVF23" s="476"/>
      <c r="IVG23" s="476"/>
      <c r="IVH23" s="476"/>
      <c r="IVI23" s="476"/>
      <c r="IVJ23" s="476"/>
      <c r="IVK23" s="476"/>
      <c r="IVL23" s="476"/>
      <c r="IVM23" s="476"/>
      <c r="IVN23" s="476"/>
      <c r="IVO23" s="476"/>
      <c r="IVP23" s="476"/>
      <c r="IVQ23" s="476"/>
      <c r="IVR23" s="476"/>
      <c r="IVS23" s="476"/>
      <c r="IVT23" s="476"/>
      <c r="IVU23" s="476"/>
      <c r="IVV23" s="476"/>
      <c r="IVW23" s="476"/>
      <c r="IVX23" s="476"/>
      <c r="IVY23" s="476"/>
      <c r="IVZ23" s="476"/>
      <c r="IWA23" s="476"/>
      <c r="IWB23" s="476"/>
      <c r="IWC23" s="476"/>
      <c r="IWD23" s="476"/>
      <c r="IWE23" s="476"/>
      <c r="IWF23" s="476"/>
      <c r="IWG23" s="476"/>
      <c r="IWH23" s="476"/>
      <c r="IWI23" s="476"/>
      <c r="IWJ23" s="476"/>
      <c r="IWK23" s="476"/>
      <c r="IWL23" s="476"/>
      <c r="IWM23" s="476"/>
      <c r="IWN23" s="476"/>
      <c r="IWO23" s="476"/>
      <c r="IWP23" s="476"/>
      <c r="IWQ23" s="476"/>
      <c r="IWR23" s="476"/>
      <c r="IWS23" s="476"/>
      <c r="IWT23" s="476"/>
      <c r="IWU23" s="476"/>
      <c r="IWV23" s="476"/>
      <c r="IWW23" s="476"/>
      <c r="IWX23" s="476"/>
      <c r="IWY23" s="476"/>
      <c r="IWZ23" s="476"/>
      <c r="IXA23" s="476"/>
      <c r="IXB23" s="476"/>
      <c r="IXC23" s="476"/>
      <c r="IXD23" s="476"/>
      <c r="IXE23" s="476"/>
      <c r="IXF23" s="476"/>
      <c r="IXG23" s="476"/>
      <c r="IXH23" s="476"/>
      <c r="IXI23" s="476"/>
      <c r="IXJ23" s="476"/>
      <c r="IXK23" s="476"/>
      <c r="IXL23" s="476"/>
      <c r="IXM23" s="476"/>
      <c r="IXN23" s="476"/>
      <c r="IXO23" s="476"/>
      <c r="IXP23" s="476"/>
      <c r="IXQ23" s="476"/>
      <c r="IXR23" s="476"/>
      <c r="IXS23" s="476"/>
      <c r="IXT23" s="476"/>
      <c r="IXU23" s="476"/>
      <c r="IXV23" s="476"/>
      <c r="IXW23" s="476"/>
      <c r="IXX23" s="476"/>
      <c r="IXY23" s="476"/>
      <c r="IXZ23" s="476"/>
      <c r="IYA23" s="476"/>
      <c r="IYB23" s="476"/>
      <c r="IYC23" s="476"/>
      <c r="IYD23" s="476"/>
      <c r="IYE23" s="476"/>
      <c r="IYF23" s="476"/>
      <c r="IYG23" s="476"/>
      <c r="IYH23" s="476"/>
      <c r="IYI23" s="476"/>
      <c r="IYJ23" s="476"/>
      <c r="IYK23" s="476"/>
      <c r="IYL23" s="476"/>
      <c r="IYM23" s="476"/>
      <c r="IYN23" s="476"/>
      <c r="IYO23" s="476"/>
      <c r="IYP23" s="476"/>
      <c r="IYQ23" s="476"/>
      <c r="IYR23" s="476"/>
      <c r="IYS23" s="476"/>
      <c r="IYT23" s="476"/>
      <c r="IYU23" s="476"/>
      <c r="IYV23" s="476"/>
      <c r="IYW23" s="476"/>
      <c r="IYX23" s="476"/>
      <c r="IYY23" s="476"/>
      <c r="IYZ23" s="476"/>
      <c r="IZA23" s="476"/>
      <c r="IZB23" s="476"/>
      <c r="IZC23" s="476"/>
      <c r="IZD23" s="476"/>
      <c r="IZE23" s="476"/>
      <c r="IZF23" s="476"/>
      <c r="IZG23" s="476"/>
      <c r="IZH23" s="476"/>
      <c r="IZI23" s="476"/>
      <c r="IZJ23" s="476"/>
      <c r="IZK23" s="476"/>
      <c r="IZL23" s="476"/>
      <c r="IZM23" s="476"/>
      <c r="IZN23" s="476"/>
      <c r="IZO23" s="476"/>
      <c r="IZP23" s="476"/>
      <c r="IZQ23" s="476"/>
      <c r="IZR23" s="476"/>
      <c r="IZS23" s="476"/>
      <c r="IZT23" s="476"/>
      <c r="IZU23" s="476"/>
      <c r="IZV23" s="476"/>
      <c r="IZW23" s="476"/>
      <c r="IZX23" s="476"/>
      <c r="IZY23" s="476"/>
      <c r="IZZ23" s="476"/>
      <c r="JAA23" s="476"/>
      <c r="JAB23" s="476"/>
      <c r="JAC23" s="476"/>
      <c r="JAD23" s="476"/>
      <c r="JAE23" s="476"/>
      <c r="JAF23" s="476"/>
      <c r="JAG23" s="476"/>
      <c r="JAH23" s="476"/>
      <c r="JAI23" s="476"/>
      <c r="JAJ23" s="476"/>
      <c r="JAK23" s="476"/>
      <c r="JAL23" s="476"/>
      <c r="JAM23" s="476"/>
      <c r="JAN23" s="476"/>
      <c r="JAO23" s="476"/>
      <c r="JAP23" s="476"/>
      <c r="JAQ23" s="476"/>
      <c r="JAR23" s="476"/>
      <c r="JAS23" s="476"/>
      <c r="JAT23" s="476"/>
      <c r="JAU23" s="476"/>
      <c r="JAV23" s="476"/>
      <c r="JAW23" s="476"/>
      <c r="JAX23" s="476"/>
      <c r="JAY23" s="476"/>
      <c r="JAZ23" s="476"/>
      <c r="JBA23" s="476"/>
      <c r="JBB23" s="476"/>
      <c r="JBC23" s="476"/>
      <c r="JBD23" s="476"/>
      <c r="JBE23" s="476"/>
      <c r="JBF23" s="476"/>
      <c r="JBG23" s="476"/>
      <c r="JBH23" s="476"/>
      <c r="JBI23" s="476"/>
      <c r="JBJ23" s="476"/>
      <c r="JBK23" s="476"/>
      <c r="JBL23" s="476"/>
      <c r="JBM23" s="476"/>
      <c r="JBN23" s="476"/>
      <c r="JBO23" s="476"/>
      <c r="JBP23" s="476"/>
      <c r="JBQ23" s="476"/>
      <c r="JBR23" s="476"/>
      <c r="JBS23" s="476"/>
      <c r="JBT23" s="476"/>
      <c r="JBU23" s="476"/>
      <c r="JBV23" s="476"/>
      <c r="JBW23" s="476"/>
      <c r="JBX23" s="476"/>
      <c r="JBY23" s="476"/>
      <c r="JBZ23" s="476"/>
      <c r="JCA23" s="476"/>
      <c r="JCB23" s="476"/>
      <c r="JCC23" s="476"/>
      <c r="JCD23" s="476"/>
      <c r="JCE23" s="476"/>
      <c r="JCF23" s="476"/>
      <c r="JCG23" s="476"/>
      <c r="JCH23" s="476"/>
      <c r="JCI23" s="476"/>
      <c r="JCJ23" s="476"/>
      <c r="JCK23" s="476"/>
      <c r="JCL23" s="476"/>
      <c r="JCM23" s="476"/>
      <c r="JCN23" s="476"/>
      <c r="JCO23" s="476"/>
      <c r="JCP23" s="476"/>
      <c r="JCQ23" s="476"/>
      <c r="JCR23" s="476"/>
      <c r="JCS23" s="476"/>
      <c r="JCT23" s="476"/>
      <c r="JCU23" s="476"/>
      <c r="JCV23" s="476"/>
      <c r="JCW23" s="476"/>
      <c r="JCX23" s="476"/>
      <c r="JCY23" s="476"/>
      <c r="JCZ23" s="476"/>
      <c r="JDA23" s="476"/>
      <c r="JDB23" s="476"/>
      <c r="JDC23" s="476"/>
      <c r="JDD23" s="476"/>
      <c r="JDE23" s="476"/>
      <c r="JDF23" s="476"/>
      <c r="JDG23" s="476"/>
      <c r="JDH23" s="476"/>
      <c r="JDI23" s="476"/>
      <c r="JDJ23" s="476"/>
      <c r="JDK23" s="476"/>
      <c r="JDL23" s="476"/>
      <c r="JDM23" s="476"/>
      <c r="JDN23" s="476"/>
      <c r="JDO23" s="476"/>
      <c r="JDP23" s="476"/>
      <c r="JDQ23" s="476"/>
      <c r="JDR23" s="476"/>
      <c r="JDS23" s="476"/>
      <c r="JDT23" s="476"/>
      <c r="JDU23" s="476"/>
      <c r="JDV23" s="476"/>
      <c r="JDW23" s="476"/>
      <c r="JDX23" s="476"/>
      <c r="JDY23" s="476"/>
      <c r="JDZ23" s="476"/>
      <c r="JEA23" s="476"/>
      <c r="JEB23" s="476"/>
      <c r="JEC23" s="476"/>
      <c r="JED23" s="476"/>
      <c r="JEE23" s="476"/>
      <c r="JEF23" s="476"/>
      <c r="JEG23" s="476"/>
      <c r="JEH23" s="476"/>
      <c r="JEI23" s="476"/>
      <c r="JEJ23" s="476"/>
      <c r="JEK23" s="476"/>
      <c r="JEL23" s="476"/>
      <c r="JEM23" s="476"/>
      <c r="JEN23" s="476"/>
      <c r="JEO23" s="476"/>
      <c r="JEP23" s="476"/>
      <c r="JEQ23" s="476"/>
      <c r="JER23" s="476"/>
      <c r="JES23" s="476"/>
      <c r="JET23" s="476"/>
      <c r="JEU23" s="476"/>
      <c r="JEV23" s="476"/>
      <c r="JEW23" s="476"/>
      <c r="JEX23" s="476"/>
      <c r="JEY23" s="476"/>
      <c r="JEZ23" s="476"/>
      <c r="JFA23" s="476"/>
      <c r="JFB23" s="476"/>
      <c r="JFC23" s="476"/>
      <c r="JFD23" s="476"/>
      <c r="JFE23" s="476"/>
      <c r="JFF23" s="476"/>
      <c r="JFG23" s="476"/>
      <c r="JFH23" s="476"/>
      <c r="JFI23" s="476"/>
      <c r="JFJ23" s="476"/>
      <c r="JFK23" s="476"/>
      <c r="JFL23" s="476"/>
      <c r="JFM23" s="476"/>
      <c r="JFN23" s="476"/>
      <c r="JFO23" s="476"/>
      <c r="JFP23" s="476"/>
      <c r="JFQ23" s="476"/>
      <c r="JFR23" s="476"/>
      <c r="JFS23" s="476"/>
      <c r="JFT23" s="476"/>
      <c r="JFU23" s="476"/>
      <c r="JFV23" s="476"/>
      <c r="JFW23" s="476"/>
      <c r="JFX23" s="476"/>
      <c r="JFY23" s="476"/>
      <c r="JFZ23" s="476"/>
      <c r="JGA23" s="476"/>
      <c r="JGB23" s="476"/>
      <c r="JGC23" s="476"/>
      <c r="JGD23" s="476"/>
      <c r="JGE23" s="476"/>
      <c r="JGF23" s="476"/>
      <c r="JGG23" s="476"/>
      <c r="JGH23" s="476"/>
      <c r="JGI23" s="476"/>
      <c r="JGJ23" s="476"/>
      <c r="JGK23" s="476"/>
      <c r="JGL23" s="476"/>
      <c r="JGM23" s="476"/>
      <c r="JGN23" s="476"/>
      <c r="JGO23" s="476"/>
      <c r="JGP23" s="476"/>
      <c r="JGQ23" s="476"/>
      <c r="JGR23" s="476"/>
      <c r="JGS23" s="476"/>
      <c r="JGT23" s="476"/>
      <c r="JGU23" s="476"/>
      <c r="JGV23" s="476"/>
      <c r="JGW23" s="476"/>
      <c r="JGX23" s="476"/>
      <c r="JGY23" s="476"/>
      <c r="JGZ23" s="476"/>
      <c r="JHA23" s="476"/>
      <c r="JHB23" s="476"/>
      <c r="JHC23" s="476"/>
      <c r="JHD23" s="476"/>
      <c r="JHE23" s="476"/>
      <c r="JHF23" s="476"/>
      <c r="JHG23" s="476"/>
      <c r="JHH23" s="476"/>
      <c r="JHI23" s="476"/>
      <c r="JHJ23" s="476"/>
      <c r="JHK23" s="476"/>
      <c r="JHL23" s="476"/>
      <c r="JHM23" s="476"/>
      <c r="JHN23" s="476"/>
      <c r="JHO23" s="476"/>
      <c r="JHP23" s="476"/>
      <c r="JHQ23" s="476"/>
      <c r="JHR23" s="476"/>
      <c r="JHS23" s="476"/>
      <c r="JHT23" s="476"/>
      <c r="JHU23" s="476"/>
      <c r="JHV23" s="476"/>
      <c r="JHW23" s="476"/>
      <c r="JHX23" s="476"/>
      <c r="JHY23" s="476"/>
      <c r="JHZ23" s="476"/>
      <c r="JIA23" s="476"/>
      <c r="JIB23" s="476"/>
      <c r="JIC23" s="476"/>
      <c r="JID23" s="476"/>
      <c r="JIE23" s="476"/>
      <c r="JIF23" s="476"/>
      <c r="JIG23" s="476"/>
      <c r="JIH23" s="476"/>
      <c r="JII23" s="476"/>
      <c r="JIJ23" s="476"/>
      <c r="JIK23" s="476"/>
      <c r="JIL23" s="476"/>
      <c r="JIM23" s="476"/>
      <c r="JIN23" s="476"/>
      <c r="JIO23" s="476"/>
      <c r="JIP23" s="476"/>
      <c r="JIQ23" s="476"/>
      <c r="JIR23" s="476"/>
      <c r="JIS23" s="476"/>
      <c r="JIT23" s="476"/>
      <c r="JIU23" s="476"/>
      <c r="JIV23" s="476"/>
      <c r="JIW23" s="476"/>
      <c r="JIX23" s="476"/>
      <c r="JIY23" s="476"/>
      <c r="JIZ23" s="476"/>
      <c r="JJA23" s="476"/>
      <c r="JJB23" s="476"/>
      <c r="JJC23" s="476"/>
      <c r="JJD23" s="476"/>
      <c r="JJE23" s="476"/>
      <c r="JJF23" s="476"/>
      <c r="JJG23" s="476"/>
      <c r="JJH23" s="476"/>
      <c r="JJI23" s="476"/>
      <c r="JJJ23" s="476"/>
      <c r="JJK23" s="476"/>
      <c r="JJL23" s="476"/>
      <c r="JJM23" s="476"/>
      <c r="JJN23" s="476"/>
      <c r="JJO23" s="476"/>
      <c r="JJP23" s="476"/>
      <c r="JJQ23" s="476"/>
      <c r="JJR23" s="476"/>
      <c r="JJS23" s="476"/>
      <c r="JJT23" s="476"/>
      <c r="JJU23" s="476"/>
      <c r="JJV23" s="476"/>
      <c r="JJW23" s="476"/>
      <c r="JJX23" s="476"/>
      <c r="JJY23" s="476"/>
      <c r="JJZ23" s="476"/>
      <c r="JKA23" s="476"/>
      <c r="JKB23" s="476"/>
      <c r="JKC23" s="476"/>
      <c r="JKD23" s="476"/>
      <c r="JKE23" s="476"/>
      <c r="JKF23" s="476"/>
      <c r="JKG23" s="476"/>
      <c r="JKH23" s="476"/>
      <c r="JKI23" s="476"/>
      <c r="JKJ23" s="476"/>
      <c r="JKK23" s="476"/>
      <c r="JKL23" s="476"/>
      <c r="JKM23" s="476"/>
      <c r="JKN23" s="476"/>
      <c r="JKO23" s="476"/>
      <c r="JKP23" s="476"/>
      <c r="JKQ23" s="476"/>
      <c r="JKR23" s="476"/>
      <c r="JKS23" s="476"/>
      <c r="JKT23" s="476"/>
      <c r="JKU23" s="476"/>
      <c r="JKV23" s="476"/>
      <c r="JKW23" s="476"/>
      <c r="JKX23" s="476"/>
      <c r="JKY23" s="476"/>
      <c r="JKZ23" s="476"/>
      <c r="JLA23" s="476"/>
      <c r="JLB23" s="476"/>
      <c r="JLC23" s="476"/>
      <c r="JLD23" s="476"/>
      <c r="JLE23" s="476"/>
      <c r="JLF23" s="476"/>
      <c r="JLG23" s="476"/>
      <c r="JLH23" s="476"/>
      <c r="JLI23" s="476"/>
      <c r="JLJ23" s="476"/>
      <c r="JLK23" s="476"/>
      <c r="JLL23" s="476"/>
      <c r="JLM23" s="476"/>
      <c r="JLN23" s="476"/>
      <c r="JLO23" s="476"/>
      <c r="JLP23" s="476"/>
      <c r="JLQ23" s="476"/>
      <c r="JLR23" s="476"/>
      <c r="JLS23" s="476"/>
      <c r="JLT23" s="476"/>
      <c r="JLU23" s="476"/>
      <c r="JLV23" s="476"/>
      <c r="JLW23" s="476"/>
      <c r="JLX23" s="476"/>
      <c r="JLY23" s="476"/>
      <c r="JLZ23" s="476"/>
      <c r="JMA23" s="476"/>
      <c r="JMB23" s="476"/>
      <c r="JMC23" s="476"/>
      <c r="JMD23" s="476"/>
      <c r="JME23" s="476"/>
      <c r="JMF23" s="476"/>
      <c r="JMG23" s="476"/>
      <c r="JMH23" s="476"/>
      <c r="JMI23" s="476"/>
      <c r="JMJ23" s="476"/>
      <c r="JMK23" s="476"/>
      <c r="JML23" s="476"/>
      <c r="JMM23" s="476"/>
      <c r="JMN23" s="476"/>
      <c r="JMO23" s="476"/>
      <c r="JMP23" s="476"/>
      <c r="JMQ23" s="476"/>
      <c r="JMR23" s="476"/>
      <c r="JMS23" s="476"/>
      <c r="JMT23" s="476"/>
      <c r="JMU23" s="476"/>
      <c r="JMV23" s="476"/>
      <c r="JMW23" s="476"/>
      <c r="JMX23" s="476"/>
      <c r="JMY23" s="476"/>
      <c r="JMZ23" s="476"/>
      <c r="JNA23" s="476"/>
      <c r="JNB23" s="476"/>
      <c r="JNC23" s="476"/>
      <c r="JND23" s="476"/>
      <c r="JNE23" s="476"/>
      <c r="JNF23" s="476"/>
      <c r="JNG23" s="476"/>
      <c r="JNH23" s="476"/>
      <c r="JNI23" s="476"/>
      <c r="JNJ23" s="476"/>
      <c r="JNK23" s="476"/>
      <c r="JNL23" s="476"/>
      <c r="JNM23" s="476"/>
      <c r="JNN23" s="476"/>
      <c r="JNO23" s="476"/>
      <c r="JNP23" s="476"/>
      <c r="JNQ23" s="476"/>
      <c r="JNR23" s="476"/>
      <c r="JNS23" s="476"/>
      <c r="JNT23" s="476"/>
      <c r="JNU23" s="476"/>
      <c r="JNV23" s="476"/>
      <c r="JNW23" s="476"/>
      <c r="JNX23" s="476"/>
      <c r="JNY23" s="476"/>
      <c r="JNZ23" s="476"/>
      <c r="JOA23" s="476"/>
      <c r="JOB23" s="476"/>
      <c r="JOC23" s="476"/>
      <c r="JOD23" s="476"/>
      <c r="JOE23" s="476"/>
      <c r="JOF23" s="476"/>
      <c r="JOG23" s="476"/>
      <c r="JOH23" s="476"/>
      <c r="JOI23" s="476"/>
      <c r="JOJ23" s="476"/>
      <c r="JOK23" s="476"/>
      <c r="JOL23" s="476"/>
      <c r="JOM23" s="476"/>
      <c r="JON23" s="476"/>
      <c r="JOO23" s="476"/>
      <c r="JOP23" s="476"/>
      <c r="JOQ23" s="476"/>
      <c r="JOR23" s="476"/>
      <c r="JOS23" s="476"/>
      <c r="JOT23" s="476"/>
      <c r="JOU23" s="476"/>
      <c r="JOV23" s="476"/>
      <c r="JOW23" s="476"/>
      <c r="JOX23" s="476"/>
      <c r="JOY23" s="476"/>
      <c r="JOZ23" s="476"/>
      <c r="JPA23" s="476"/>
      <c r="JPB23" s="476"/>
      <c r="JPC23" s="476"/>
      <c r="JPD23" s="476"/>
      <c r="JPE23" s="476"/>
      <c r="JPF23" s="476"/>
      <c r="JPG23" s="476"/>
      <c r="JPH23" s="476"/>
      <c r="JPI23" s="476"/>
      <c r="JPJ23" s="476"/>
      <c r="JPK23" s="476"/>
      <c r="JPL23" s="476"/>
      <c r="JPM23" s="476"/>
      <c r="JPN23" s="476"/>
      <c r="JPO23" s="476"/>
      <c r="JPP23" s="476"/>
      <c r="JPQ23" s="476"/>
      <c r="JPR23" s="476"/>
      <c r="JPS23" s="476"/>
      <c r="JPT23" s="476"/>
      <c r="JPU23" s="476"/>
      <c r="JPV23" s="476"/>
      <c r="JPW23" s="476"/>
      <c r="JPX23" s="476"/>
      <c r="JPY23" s="476"/>
      <c r="JPZ23" s="476"/>
      <c r="JQA23" s="476"/>
      <c r="JQB23" s="476"/>
      <c r="JQC23" s="476"/>
      <c r="JQD23" s="476"/>
      <c r="JQE23" s="476"/>
      <c r="JQF23" s="476"/>
      <c r="JQG23" s="476"/>
      <c r="JQH23" s="476"/>
      <c r="JQI23" s="476"/>
      <c r="JQJ23" s="476"/>
      <c r="JQK23" s="476"/>
      <c r="JQL23" s="476"/>
      <c r="JQM23" s="476"/>
      <c r="JQN23" s="476"/>
      <c r="JQO23" s="476"/>
      <c r="JQP23" s="476"/>
      <c r="JQQ23" s="476"/>
      <c r="JQR23" s="476"/>
      <c r="JQS23" s="476"/>
      <c r="JQT23" s="476"/>
      <c r="JQU23" s="476"/>
      <c r="JQV23" s="476"/>
      <c r="JQW23" s="476"/>
      <c r="JQX23" s="476"/>
      <c r="JQY23" s="476"/>
      <c r="JQZ23" s="476"/>
      <c r="JRA23" s="476"/>
      <c r="JRB23" s="476"/>
      <c r="JRC23" s="476"/>
      <c r="JRD23" s="476"/>
      <c r="JRE23" s="476"/>
      <c r="JRF23" s="476"/>
      <c r="JRG23" s="476"/>
      <c r="JRH23" s="476"/>
      <c r="JRI23" s="476"/>
      <c r="JRJ23" s="476"/>
      <c r="JRK23" s="476"/>
      <c r="JRL23" s="476"/>
      <c r="JRM23" s="476"/>
      <c r="JRN23" s="476"/>
      <c r="JRO23" s="476"/>
      <c r="JRP23" s="476"/>
      <c r="JRQ23" s="476"/>
      <c r="JRR23" s="476"/>
      <c r="JRS23" s="476"/>
      <c r="JRT23" s="476"/>
      <c r="JRU23" s="476"/>
      <c r="JRV23" s="476"/>
      <c r="JRW23" s="476"/>
      <c r="JRX23" s="476"/>
      <c r="JRY23" s="476"/>
      <c r="JRZ23" s="476"/>
      <c r="JSA23" s="476"/>
      <c r="JSB23" s="476"/>
      <c r="JSC23" s="476"/>
      <c r="JSD23" s="476"/>
      <c r="JSE23" s="476"/>
      <c r="JSF23" s="476"/>
      <c r="JSG23" s="476"/>
      <c r="JSH23" s="476"/>
      <c r="JSI23" s="476"/>
      <c r="JSJ23" s="476"/>
      <c r="JSK23" s="476"/>
      <c r="JSL23" s="476"/>
      <c r="JSM23" s="476"/>
      <c r="JSN23" s="476"/>
      <c r="JSO23" s="476"/>
      <c r="JSP23" s="476"/>
      <c r="JSQ23" s="476"/>
      <c r="JSR23" s="476"/>
      <c r="JSS23" s="476"/>
      <c r="JST23" s="476"/>
      <c r="JSU23" s="476"/>
      <c r="JSV23" s="476"/>
      <c r="JSW23" s="476"/>
      <c r="JSX23" s="476"/>
      <c r="JSY23" s="476"/>
      <c r="JSZ23" s="476"/>
      <c r="JTA23" s="476"/>
      <c r="JTB23" s="476"/>
      <c r="JTC23" s="476"/>
      <c r="JTD23" s="476"/>
      <c r="JTE23" s="476"/>
      <c r="JTF23" s="476"/>
      <c r="JTG23" s="476"/>
      <c r="JTH23" s="476"/>
      <c r="JTI23" s="476"/>
      <c r="JTJ23" s="476"/>
      <c r="JTK23" s="476"/>
      <c r="JTL23" s="476"/>
      <c r="JTM23" s="476"/>
      <c r="JTN23" s="476"/>
      <c r="JTO23" s="476"/>
      <c r="JTP23" s="476"/>
      <c r="JTQ23" s="476"/>
      <c r="JTR23" s="476"/>
      <c r="JTS23" s="476"/>
      <c r="JTT23" s="476"/>
      <c r="JTU23" s="476"/>
      <c r="JTV23" s="476"/>
      <c r="JTW23" s="476"/>
      <c r="JTX23" s="476"/>
      <c r="JTY23" s="476"/>
      <c r="JTZ23" s="476"/>
      <c r="JUA23" s="476"/>
      <c r="JUB23" s="476"/>
      <c r="JUC23" s="476"/>
      <c r="JUD23" s="476"/>
      <c r="JUE23" s="476"/>
      <c r="JUF23" s="476"/>
      <c r="JUG23" s="476"/>
      <c r="JUH23" s="476"/>
      <c r="JUI23" s="476"/>
      <c r="JUJ23" s="476"/>
      <c r="JUK23" s="476"/>
      <c r="JUL23" s="476"/>
      <c r="JUM23" s="476"/>
      <c r="JUN23" s="476"/>
      <c r="JUO23" s="476"/>
      <c r="JUP23" s="476"/>
      <c r="JUQ23" s="476"/>
      <c r="JUR23" s="476"/>
      <c r="JUS23" s="476"/>
      <c r="JUT23" s="476"/>
      <c r="JUU23" s="476"/>
      <c r="JUV23" s="476"/>
      <c r="JUW23" s="476"/>
      <c r="JUX23" s="476"/>
      <c r="JUY23" s="476"/>
      <c r="JUZ23" s="476"/>
      <c r="JVA23" s="476"/>
      <c r="JVB23" s="476"/>
      <c r="JVC23" s="476"/>
      <c r="JVD23" s="476"/>
      <c r="JVE23" s="476"/>
      <c r="JVF23" s="476"/>
      <c r="JVG23" s="476"/>
      <c r="JVH23" s="476"/>
      <c r="JVI23" s="476"/>
      <c r="JVJ23" s="476"/>
      <c r="JVK23" s="476"/>
      <c r="JVL23" s="476"/>
      <c r="JVM23" s="476"/>
      <c r="JVN23" s="476"/>
      <c r="JVO23" s="476"/>
      <c r="JVP23" s="476"/>
      <c r="JVQ23" s="476"/>
      <c r="JVR23" s="476"/>
      <c r="JVS23" s="476"/>
      <c r="JVT23" s="476"/>
      <c r="JVU23" s="476"/>
      <c r="JVV23" s="476"/>
      <c r="JVW23" s="476"/>
      <c r="JVX23" s="476"/>
      <c r="JVY23" s="476"/>
      <c r="JVZ23" s="476"/>
      <c r="JWA23" s="476"/>
      <c r="JWB23" s="476"/>
      <c r="JWC23" s="476"/>
      <c r="JWD23" s="476"/>
      <c r="JWE23" s="476"/>
      <c r="JWF23" s="476"/>
      <c r="JWG23" s="476"/>
      <c r="JWH23" s="476"/>
      <c r="JWI23" s="476"/>
      <c r="JWJ23" s="476"/>
      <c r="JWK23" s="476"/>
      <c r="JWL23" s="476"/>
      <c r="JWM23" s="476"/>
      <c r="JWN23" s="476"/>
      <c r="JWO23" s="476"/>
      <c r="JWP23" s="476"/>
      <c r="JWQ23" s="476"/>
      <c r="JWR23" s="476"/>
      <c r="JWS23" s="476"/>
      <c r="JWT23" s="476"/>
      <c r="JWU23" s="476"/>
      <c r="JWV23" s="476"/>
      <c r="JWW23" s="476"/>
      <c r="JWX23" s="476"/>
      <c r="JWY23" s="476"/>
      <c r="JWZ23" s="476"/>
      <c r="JXA23" s="476"/>
      <c r="JXB23" s="476"/>
      <c r="JXC23" s="476"/>
      <c r="JXD23" s="476"/>
      <c r="JXE23" s="476"/>
      <c r="JXF23" s="476"/>
      <c r="JXG23" s="476"/>
      <c r="JXH23" s="476"/>
      <c r="JXI23" s="476"/>
      <c r="JXJ23" s="476"/>
      <c r="JXK23" s="476"/>
      <c r="JXL23" s="476"/>
      <c r="JXM23" s="476"/>
      <c r="JXN23" s="476"/>
      <c r="JXO23" s="476"/>
      <c r="JXP23" s="476"/>
      <c r="JXQ23" s="476"/>
      <c r="JXR23" s="476"/>
      <c r="JXS23" s="476"/>
      <c r="JXT23" s="476"/>
      <c r="JXU23" s="476"/>
      <c r="JXV23" s="476"/>
      <c r="JXW23" s="476"/>
      <c r="JXX23" s="476"/>
      <c r="JXY23" s="476"/>
      <c r="JXZ23" s="476"/>
      <c r="JYA23" s="476"/>
      <c r="JYB23" s="476"/>
      <c r="JYC23" s="476"/>
      <c r="JYD23" s="476"/>
      <c r="JYE23" s="476"/>
      <c r="JYF23" s="476"/>
      <c r="JYG23" s="476"/>
      <c r="JYH23" s="476"/>
      <c r="JYI23" s="476"/>
      <c r="JYJ23" s="476"/>
      <c r="JYK23" s="476"/>
      <c r="JYL23" s="476"/>
      <c r="JYM23" s="476"/>
      <c r="JYN23" s="476"/>
      <c r="JYO23" s="476"/>
      <c r="JYP23" s="476"/>
      <c r="JYQ23" s="476"/>
      <c r="JYR23" s="476"/>
      <c r="JYS23" s="476"/>
      <c r="JYT23" s="476"/>
      <c r="JYU23" s="476"/>
      <c r="JYV23" s="476"/>
      <c r="JYW23" s="476"/>
      <c r="JYX23" s="476"/>
      <c r="JYY23" s="476"/>
      <c r="JYZ23" s="476"/>
      <c r="JZA23" s="476"/>
      <c r="JZB23" s="476"/>
      <c r="JZC23" s="476"/>
      <c r="JZD23" s="476"/>
      <c r="JZE23" s="476"/>
      <c r="JZF23" s="476"/>
      <c r="JZG23" s="476"/>
      <c r="JZH23" s="476"/>
      <c r="JZI23" s="476"/>
      <c r="JZJ23" s="476"/>
      <c r="JZK23" s="476"/>
      <c r="JZL23" s="476"/>
      <c r="JZM23" s="476"/>
      <c r="JZN23" s="476"/>
      <c r="JZO23" s="476"/>
      <c r="JZP23" s="476"/>
      <c r="JZQ23" s="476"/>
      <c r="JZR23" s="476"/>
      <c r="JZS23" s="476"/>
      <c r="JZT23" s="476"/>
      <c r="JZU23" s="476"/>
      <c r="JZV23" s="476"/>
      <c r="JZW23" s="476"/>
      <c r="JZX23" s="476"/>
      <c r="JZY23" s="476"/>
      <c r="JZZ23" s="476"/>
      <c r="KAA23" s="476"/>
      <c r="KAB23" s="476"/>
      <c r="KAC23" s="476"/>
      <c r="KAD23" s="476"/>
      <c r="KAE23" s="476"/>
      <c r="KAF23" s="476"/>
      <c r="KAG23" s="476"/>
      <c r="KAH23" s="476"/>
      <c r="KAI23" s="476"/>
      <c r="KAJ23" s="476"/>
      <c r="KAK23" s="476"/>
      <c r="KAL23" s="476"/>
      <c r="KAM23" s="476"/>
      <c r="KAN23" s="476"/>
      <c r="KAO23" s="476"/>
      <c r="KAP23" s="476"/>
      <c r="KAQ23" s="476"/>
      <c r="KAR23" s="476"/>
      <c r="KAS23" s="476"/>
      <c r="KAT23" s="476"/>
      <c r="KAU23" s="476"/>
      <c r="KAV23" s="476"/>
      <c r="KAW23" s="476"/>
      <c r="KAX23" s="476"/>
      <c r="KAY23" s="476"/>
      <c r="KAZ23" s="476"/>
      <c r="KBA23" s="476"/>
      <c r="KBB23" s="476"/>
      <c r="KBC23" s="476"/>
      <c r="KBD23" s="476"/>
      <c r="KBE23" s="476"/>
      <c r="KBF23" s="476"/>
      <c r="KBG23" s="476"/>
      <c r="KBH23" s="476"/>
      <c r="KBI23" s="476"/>
      <c r="KBJ23" s="476"/>
      <c r="KBK23" s="476"/>
      <c r="KBL23" s="476"/>
      <c r="KBM23" s="476"/>
      <c r="KBN23" s="476"/>
      <c r="KBO23" s="476"/>
      <c r="KBP23" s="476"/>
      <c r="KBQ23" s="476"/>
      <c r="KBR23" s="476"/>
      <c r="KBS23" s="476"/>
      <c r="KBT23" s="476"/>
      <c r="KBU23" s="476"/>
      <c r="KBV23" s="476"/>
      <c r="KBW23" s="476"/>
      <c r="KBX23" s="476"/>
      <c r="KBY23" s="476"/>
      <c r="KBZ23" s="476"/>
      <c r="KCA23" s="476"/>
      <c r="KCB23" s="476"/>
      <c r="KCC23" s="476"/>
      <c r="KCD23" s="476"/>
      <c r="KCE23" s="476"/>
      <c r="KCF23" s="476"/>
      <c r="KCG23" s="476"/>
      <c r="KCH23" s="476"/>
      <c r="KCI23" s="476"/>
      <c r="KCJ23" s="476"/>
      <c r="KCK23" s="476"/>
      <c r="KCL23" s="476"/>
      <c r="KCM23" s="476"/>
      <c r="KCN23" s="476"/>
      <c r="KCO23" s="476"/>
      <c r="KCP23" s="476"/>
      <c r="KCQ23" s="476"/>
      <c r="KCR23" s="476"/>
      <c r="KCS23" s="476"/>
      <c r="KCT23" s="476"/>
      <c r="KCU23" s="476"/>
      <c r="KCV23" s="476"/>
      <c r="KCW23" s="476"/>
      <c r="KCX23" s="476"/>
      <c r="KCY23" s="476"/>
      <c r="KCZ23" s="476"/>
      <c r="KDA23" s="476"/>
      <c r="KDB23" s="476"/>
      <c r="KDC23" s="476"/>
      <c r="KDD23" s="476"/>
      <c r="KDE23" s="476"/>
      <c r="KDF23" s="476"/>
      <c r="KDG23" s="476"/>
      <c r="KDH23" s="476"/>
      <c r="KDI23" s="476"/>
      <c r="KDJ23" s="476"/>
      <c r="KDK23" s="476"/>
      <c r="KDL23" s="476"/>
      <c r="KDM23" s="476"/>
      <c r="KDN23" s="476"/>
      <c r="KDO23" s="476"/>
      <c r="KDP23" s="476"/>
      <c r="KDQ23" s="476"/>
      <c r="KDR23" s="476"/>
      <c r="KDS23" s="476"/>
      <c r="KDT23" s="476"/>
      <c r="KDU23" s="476"/>
      <c r="KDV23" s="476"/>
      <c r="KDW23" s="476"/>
      <c r="KDX23" s="476"/>
      <c r="KDY23" s="476"/>
      <c r="KDZ23" s="476"/>
      <c r="KEA23" s="476"/>
      <c r="KEB23" s="476"/>
      <c r="KEC23" s="476"/>
      <c r="KED23" s="476"/>
      <c r="KEE23" s="476"/>
      <c r="KEF23" s="476"/>
      <c r="KEG23" s="476"/>
      <c r="KEH23" s="476"/>
      <c r="KEI23" s="476"/>
      <c r="KEJ23" s="476"/>
      <c r="KEK23" s="476"/>
      <c r="KEL23" s="476"/>
      <c r="KEM23" s="476"/>
      <c r="KEN23" s="476"/>
      <c r="KEO23" s="476"/>
      <c r="KEP23" s="476"/>
      <c r="KEQ23" s="476"/>
      <c r="KER23" s="476"/>
      <c r="KES23" s="476"/>
      <c r="KET23" s="476"/>
      <c r="KEU23" s="476"/>
      <c r="KEV23" s="476"/>
      <c r="KEW23" s="476"/>
      <c r="KEX23" s="476"/>
      <c r="KEY23" s="476"/>
      <c r="KEZ23" s="476"/>
      <c r="KFA23" s="476"/>
      <c r="KFB23" s="476"/>
      <c r="KFC23" s="476"/>
      <c r="KFD23" s="476"/>
      <c r="KFE23" s="476"/>
      <c r="KFF23" s="476"/>
      <c r="KFG23" s="476"/>
      <c r="KFH23" s="476"/>
      <c r="KFI23" s="476"/>
      <c r="KFJ23" s="476"/>
      <c r="KFK23" s="476"/>
      <c r="KFL23" s="476"/>
      <c r="KFM23" s="476"/>
      <c r="KFN23" s="476"/>
      <c r="KFO23" s="476"/>
      <c r="KFP23" s="476"/>
      <c r="KFQ23" s="476"/>
      <c r="KFR23" s="476"/>
      <c r="KFS23" s="476"/>
      <c r="KFT23" s="476"/>
      <c r="KFU23" s="476"/>
      <c r="KFV23" s="476"/>
      <c r="KFW23" s="476"/>
      <c r="KFX23" s="476"/>
      <c r="KFY23" s="476"/>
      <c r="KFZ23" s="476"/>
      <c r="KGA23" s="476"/>
      <c r="KGB23" s="476"/>
      <c r="KGC23" s="476"/>
      <c r="KGD23" s="476"/>
      <c r="KGE23" s="476"/>
      <c r="KGF23" s="476"/>
      <c r="KGG23" s="476"/>
      <c r="KGH23" s="476"/>
      <c r="KGI23" s="476"/>
      <c r="KGJ23" s="476"/>
      <c r="KGK23" s="476"/>
      <c r="KGL23" s="476"/>
      <c r="KGM23" s="476"/>
      <c r="KGN23" s="476"/>
      <c r="KGO23" s="476"/>
      <c r="KGP23" s="476"/>
      <c r="KGQ23" s="476"/>
      <c r="KGR23" s="476"/>
      <c r="KGS23" s="476"/>
      <c r="KGT23" s="476"/>
      <c r="KGU23" s="476"/>
      <c r="KGV23" s="476"/>
      <c r="KGW23" s="476"/>
      <c r="KGX23" s="476"/>
      <c r="KGY23" s="476"/>
      <c r="KGZ23" s="476"/>
      <c r="KHA23" s="476"/>
      <c r="KHB23" s="476"/>
      <c r="KHC23" s="476"/>
      <c r="KHD23" s="476"/>
      <c r="KHE23" s="476"/>
      <c r="KHF23" s="476"/>
      <c r="KHG23" s="476"/>
      <c r="KHH23" s="476"/>
      <c r="KHI23" s="476"/>
      <c r="KHJ23" s="476"/>
      <c r="KHK23" s="476"/>
      <c r="KHL23" s="476"/>
      <c r="KHM23" s="476"/>
      <c r="KHN23" s="476"/>
      <c r="KHO23" s="476"/>
      <c r="KHP23" s="476"/>
      <c r="KHQ23" s="476"/>
      <c r="KHR23" s="476"/>
      <c r="KHS23" s="476"/>
      <c r="KHT23" s="476"/>
      <c r="KHU23" s="476"/>
      <c r="KHV23" s="476"/>
      <c r="KHW23" s="476"/>
      <c r="KHX23" s="476"/>
      <c r="KHY23" s="476"/>
      <c r="KHZ23" s="476"/>
      <c r="KIA23" s="476"/>
      <c r="KIB23" s="476"/>
      <c r="KIC23" s="476"/>
      <c r="KID23" s="476"/>
      <c r="KIE23" s="476"/>
      <c r="KIF23" s="476"/>
      <c r="KIG23" s="476"/>
      <c r="KIH23" s="476"/>
      <c r="KII23" s="476"/>
      <c r="KIJ23" s="476"/>
      <c r="KIK23" s="476"/>
      <c r="KIL23" s="476"/>
      <c r="KIM23" s="476"/>
      <c r="KIN23" s="476"/>
      <c r="KIO23" s="476"/>
      <c r="KIP23" s="476"/>
      <c r="KIQ23" s="476"/>
      <c r="KIR23" s="476"/>
      <c r="KIS23" s="476"/>
      <c r="KIT23" s="476"/>
      <c r="KIU23" s="476"/>
      <c r="KIV23" s="476"/>
      <c r="KIW23" s="476"/>
      <c r="KIX23" s="476"/>
      <c r="KIY23" s="476"/>
      <c r="KIZ23" s="476"/>
      <c r="KJA23" s="476"/>
      <c r="KJB23" s="476"/>
      <c r="KJC23" s="476"/>
      <c r="KJD23" s="476"/>
      <c r="KJE23" s="476"/>
      <c r="KJF23" s="476"/>
      <c r="KJG23" s="476"/>
      <c r="KJH23" s="476"/>
      <c r="KJI23" s="476"/>
      <c r="KJJ23" s="476"/>
      <c r="KJK23" s="476"/>
      <c r="KJL23" s="476"/>
      <c r="KJM23" s="476"/>
      <c r="KJN23" s="476"/>
      <c r="KJO23" s="476"/>
      <c r="KJP23" s="476"/>
      <c r="KJQ23" s="476"/>
      <c r="KJR23" s="476"/>
      <c r="KJS23" s="476"/>
      <c r="KJT23" s="476"/>
      <c r="KJU23" s="476"/>
      <c r="KJV23" s="476"/>
      <c r="KJW23" s="476"/>
      <c r="KJX23" s="476"/>
      <c r="KJY23" s="476"/>
      <c r="KJZ23" s="476"/>
      <c r="KKA23" s="476"/>
      <c r="KKB23" s="476"/>
      <c r="KKC23" s="476"/>
      <c r="KKD23" s="476"/>
      <c r="KKE23" s="476"/>
      <c r="KKF23" s="476"/>
      <c r="KKG23" s="476"/>
      <c r="KKH23" s="476"/>
      <c r="KKI23" s="476"/>
      <c r="KKJ23" s="476"/>
      <c r="KKK23" s="476"/>
      <c r="KKL23" s="476"/>
      <c r="KKM23" s="476"/>
      <c r="KKN23" s="476"/>
      <c r="KKO23" s="476"/>
      <c r="KKP23" s="476"/>
      <c r="KKQ23" s="476"/>
      <c r="KKR23" s="476"/>
      <c r="KKS23" s="476"/>
      <c r="KKT23" s="476"/>
      <c r="KKU23" s="476"/>
      <c r="KKV23" s="476"/>
      <c r="KKW23" s="476"/>
      <c r="KKX23" s="476"/>
      <c r="KKY23" s="476"/>
      <c r="KKZ23" s="476"/>
      <c r="KLA23" s="476"/>
      <c r="KLB23" s="476"/>
      <c r="KLC23" s="476"/>
      <c r="KLD23" s="476"/>
      <c r="KLE23" s="476"/>
      <c r="KLF23" s="476"/>
      <c r="KLG23" s="476"/>
      <c r="KLH23" s="476"/>
      <c r="KLI23" s="476"/>
      <c r="KLJ23" s="476"/>
      <c r="KLK23" s="476"/>
      <c r="KLL23" s="476"/>
      <c r="KLM23" s="476"/>
      <c r="KLN23" s="476"/>
      <c r="KLO23" s="476"/>
      <c r="KLP23" s="476"/>
      <c r="KLQ23" s="476"/>
      <c r="KLR23" s="476"/>
      <c r="KLS23" s="476"/>
      <c r="KLT23" s="476"/>
      <c r="KLU23" s="476"/>
      <c r="KLV23" s="476"/>
      <c r="KLW23" s="476"/>
      <c r="KLX23" s="476"/>
      <c r="KLY23" s="476"/>
      <c r="KLZ23" s="476"/>
      <c r="KMA23" s="476"/>
      <c r="KMB23" s="476"/>
      <c r="KMC23" s="476"/>
      <c r="KMD23" s="476"/>
      <c r="KME23" s="476"/>
      <c r="KMF23" s="476"/>
      <c r="KMG23" s="476"/>
      <c r="KMH23" s="476"/>
      <c r="KMI23" s="476"/>
      <c r="KMJ23" s="476"/>
      <c r="KMK23" s="476"/>
      <c r="KML23" s="476"/>
      <c r="KMM23" s="476"/>
      <c r="KMN23" s="476"/>
      <c r="KMO23" s="476"/>
      <c r="KMP23" s="476"/>
      <c r="KMQ23" s="476"/>
      <c r="KMR23" s="476"/>
      <c r="KMS23" s="476"/>
      <c r="KMT23" s="476"/>
      <c r="KMU23" s="476"/>
      <c r="KMV23" s="476"/>
      <c r="KMW23" s="476"/>
      <c r="KMX23" s="476"/>
      <c r="KMY23" s="476"/>
      <c r="KMZ23" s="476"/>
      <c r="KNA23" s="476"/>
      <c r="KNB23" s="476"/>
      <c r="KNC23" s="476"/>
      <c r="KND23" s="476"/>
      <c r="KNE23" s="476"/>
      <c r="KNF23" s="476"/>
      <c r="KNG23" s="476"/>
      <c r="KNH23" s="476"/>
      <c r="KNI23" s="476"/>
      <c r="KNJ23" s="476"/>
      <c r="KNK23" s="476"/>
      <c r="KNL23" s="476"/>
      <c r="KNM23" s="476"/>
      <c r="KNN23" s="476"/>
      <c r="KNO23" s="476"/>
      <c r="KNP23" s="476"/>
      <c r="KNQ23" s="476"/>
      <c r="KNR23" s="476"/>
      <c r="KNS23" s="476"/>
      <c r="KNT23" s="476"/>
      <c r="KNU23" s="476"/>
      <c r="KNV23" s="476"/>
      <c r="KNW23" s="476"/>
      <c r="KNX23" s="476"/>
      <c r="KNY23" s="476"/>
      <c r="KNZ23" s="476"/>
      <c r="KOA23" s="476"/>
      <c r="KOB23" s="476"/>
      <c r="KOC23" s="476"/>
      <c r="KOD23" s="476"/>
      <c r="KOE23" s="476"/>
      <c r="KOF23" s="476"/>
      <c r="KOG23" s="476"/>
      <c r="KOH23" s="476"/>
      <c r="KOI23" s="476"/>
      <c r="KOJ23" s="476"/>
      <c r="KOK23" s="476"/>
      <c r="KOL23" s="476"/>
      <c r="KOM23" s="476"/>
      <c r="KON23" s="476"/>
      <c r="KOO23" s="476"/>
      <c r="KOP23" s="476"/>
      <c r="KOQ23" s="476"/>
      <c r="KOR23" s="476"/>
      <c r="KOS23" s="476"/>
      <c r="KOT23" s="476"/>
      <c r="KOU23" s="476"/>
      <c r="KOV23" s="476"/>
      <c r="KOW23" s="476"/>
      <c r="KOX23" s="476"/>
      <c r="KOY23" s="476"/>
      <c r="KOZ23" s="476"/>
      <c r="KPA23" s="476"/>
      <c r="KPB23" s="476"/>
      <c r="KPC23" s="476"/>
      <c r="KPD23" s="476"/>
      <c r="KPE23" s="476"/>
      <c r="KPF23" s="476"/>
      <c r="KPG23" s="476"/>
      <c r="KPH23" s="476"/>
      <c r="KPI23" s="476"/>
      <c r="KPJ23" s="476"/>
      <c r="KPK23" s="476"/>
      <c r="KPL23" s="476"/>
      <c r="KPM23" s="476"/>
      <c r="KPN23" s="476"/>
      <c r="KPO23" s="476"/>
      <c r="KPP23" s="476"/>
      <c r="KPQ23" s="476"/>
      <c r="KPR23" s="476"/>
      <c r="KPS23" s="476"/>
      <c r="KPT23" s="476"/>
      <c r="KPU23" s="476"/>
      <c r="KPV23" s="476"/>
      <c r="KPW23" s="476"/>
      <c r="KPX23" s="476"/>
      <c r="KPY23" s="476"/>
      <c r="KPZ23" s="476"/>
      <c r="KQA23" s="476"/>
      <c r="KQB23" s="476"/>
      <c r="KQC23" s="476"/>
      <c r="KQD23" s="476"/>
      <c r="KQE23" s="476"/>
      <c r="KQF23" s="476"/>
      <c r="KQG23" s="476"/>
      <c r="KQH23" s="476"/>
      <c r="KQI23" s="476"/>
      <c r="KQJ23" s="476"/>
      <c r="KQK23" s="476"/>
      <c r="KQL23" s="476"/>
      <c r="KQM23" s="476"/>
      <c r="KQN23" s="476"/>
      <c r="KQO23" s="476"/>
      <c r="KQP23" s="476"/>
      <c r="KQQ23" s="476"/>
      <c r="KQR23" s="476"/>
      <c r="KQS23" s="476"/>
      <c r="KQT23" s="476"/>
      <c r="KQU23" s="476"/>
      <c r="KQV23" s="476"/>
      <c r="KQW23" s="476"/>
      <c r="KQX23" s="476"/>
      <c r="KQY23" s="476"/>
      <c r="KQZ23" s="476"/>
      <c r="KRA23" s="476"/>
      <c r="KRB23" s="476"/>
      <c r="KRC23" s="476"/>
      <c r="KRD23" s="476"/>
      <c r="KRE23" s="476"/>
      <c r="KRF23" s="476"/>
      <c r="KRG23" s="476"/>
      <c r="KRH23" s="476"/>
      <c r="KRI23" s="476"/>
      <c r="KRJ23" s="476"/>
      <c r="KRK23" s="476"/>
      <c r="KRL23" s="476"/>
      <c r="KRM23" s="476"/>
      <c r="KRN23" s="476"/>
      <c r="KRO23" s="476"/>
      <c r="KRP23" s="476"/>
      <c r="KRQ23" s="476"/>
      <c r="KRR23" s="476"/>
      <c r="KRS23" s="476"/>
      <c r="KRT23" s="476"/>
      <c r="KRU23" s="476"/>
      <c r="KRV23" s="476"/>
      <c r="KRW23" s="476"/>
      <c r="KRX23" s="476"/>
      <c r="KRY23" s="476"/>
      <c r="KRZ23" s="476"/>
      <c r="KSA23" s="476"/>
      <c r="KSB23" s="476"/>
      <c r="KSC23" s="476"/>
      <c r="KSD23" s="476"/>
      <c r="KSE23" s="476"/>
      <c r="KSF23" s="476"/>
      <c r="KSG23" s="476"/>
      <c r="KSH23" s="476"/>
      <c r="KSI23" s="476"/>
      <c r="KSJ23" s="476"/>
      <c r="KSK23" s="476"/>
      <c r="KSL23" s="476"/>
      <c r="KSM23" s="476"/>
      <c r="KSN23" s="476"/>
      <c r="KSO23" s="476"/>
      <c r="KSP23" s="476"/>
      <c r="KSQ23" s="476"/>
      <c r="KSR23" s="476"/>
      <c r="KSS23" s="476"/>
      <c r="KST23" s="476"/>
      <c r="KSU23" s="476"/>
      <c r="KSV23" s="476"/>
      <c r="KSW23" s="476"/>
      <c r="KSX23" s="476"/>
      <c r="KSY23" s="476"/>
      <c r="KSZ23" s="476"/>
      <c r="KTA23" s="476"/>
      <c r="KTB23" s="476"/>
      <c r="KTC23" s="476"/>
      <c r="KTD23" s="476"/>
      <c r="KTE23" s="476"/>
      <c r="KTF23" s="476"/>
      <c r="KTG23" s="476"/>
      <c r="KTH23" s="476"/>
      <c r="KTI23" s="476"/>
      <c r="KTJ23" s="476"/>
      <c r="KTK23" s="476"/>
      <c r="KTL23" s="476"/>
      <c r="KTM23" s="476"/>
      <c r="KTN23" s="476"/>
      <c r="KTO23" s="476"/>
      <c r="KTP23" s="476"/>
      <c r="KTQ23" s="476"/>
      <c r="KTR23" s="476"/>
      <c r="KTS23" s="476"/>
      <c r="KTT23" s="476"/>
      <c r="KTU23" s="476"/>
      <c r="KTV23" s="476"/>
      <c r="KTW23" s="476"/>
      <c r="KTX23" s="476"/>
      <c r="KTY23" s="476"/>
      <c r="KTZ23" s="476"/>
      <c r="KUA23" s="476"/>
      <c r="KUB23" s="476"/>
      <c r="KUC23" s="476"/>
      <c r="KUD23" s="476"/>
      <c r="KUE23" s="476"/>
      <c r="KUF23" s="476"/>
      <c r="KUG23" s="476"/>
      <c r="KUH23" s="476"/>
      <c r="KUI23" s="476"/>
      <c r="KUJ23" s="476"/>
      <c r="KUK23" s="476"/>
      <c r="KUL23" s="476"/>
      <c r="KUM23" s="476"/>
      <c r="KUN23" s="476"/>
      <c r="KUO23" s="476"/>
      <c r="KUP23" s="476"/>
      <c r="KUQ23" s="476"/>
      <c r="KUR23" s="476"/>
      <c r="KUS23" s="476"/>
      <c r="KUT23" s="476"/>
      <c r="KUU23" s="476"/>
      <c r="KUV23" s="476"/>
      <c r="KUW23" s="476"/>
      <c r="KUX23" s="476"/>
      <c r="KUY23" s="476"/>
      <c r="KUZ23" s="476"/>
      <c r="KVA23" s="476"/>
      <c r="KVB23" s="476"/>
      <c r="KVC23" s="476"/>
      <c r="KVD23" s="476"/>
      <c r="KVE23" s="476"/>
      <c r="KVF23" s="476"/>
      <c r="KVG23" s="476"/>
      <c r="KVH23" s="476"/>
      <c r="KVI23" s="476"/>
      <c r="KVJ23" s="476"/>
      <c r="KVK23" s="476"/>
      <c r="KVL23" s="476"/>
      <c r="KVM23" s="476"/>
      <c r="KVN23" s="476"/>
      <c r="KVO23" s="476"/>
      <c r="KVP23" s="476"/>
      <c r="KVQ23" s="476"/>
      <c r="KVR23" s="476"/>
      <c r="KVS23" s="476"/>
      <c r="KVT23" s="476"/>
      <c r="KVU23" s="476"/>
      <c r="KVV23" s="476"/>
      <c r="KVW23" s="476"/>
      <c r="KVX23" s="476"/>
      <c r="KVY23" s="476"/>
      <c r="KVZ23" s="476"/>
      <c r="KWA23" s="476"/>
      <c r="KWB23" s="476"/>
      <c r="KWC23" s="476"/>
      <c r="KWD23" s="476"/>
      <c r="KWE23" s="476"/>
      <c r="KWF23" s="476"/>
      <c r="KWG23" s="476"/>
      <c r="KWH23" s="476"/>
      <c r="KWI23" s="476"/>
      <c r="KWJ23" s="476"/>
      <c r="KWK23" s="476"/>
      <c r="KWL23" s="476"/>
      <c r="KWM23" s="476"/>
      <c r="KWN23" s="476"/>
      <c r="KWO23" s="476"/>
      <c r="KWP23" s="476"/>
      <c r="KWQ23" s="476"/>
      <c r="KWR23" s="476"/>
      <c r="KWS23" s="476"/>
      <c r="KWT23" s="476"/>
      <c r="KWU23" s="476"/>
      <c r="KWV23" s="476"/>
      <c r="KWW23" s="476"/>
      <c r="KWX23" s="476"/>
      <c r="KWY23" s="476"/>
      <c r="KWZ23" s="476"/>
      <c r="KXA23" s="476"/>
      <c r="KXB23" s="476"/>
      <c r="KXC23" s="476"/>
      <c r="KXD23" s="476"/>
      <c r="KXE23" s="476"/>
      <c r="KXF23" s="476"/>
      <c r="KXG23" s="476"/>
      <c r="KXH23" s="476"/>
      <c r="KXI23" s="476"/>
      <c r="KXJ23" s="476"/>
      <c r="KXK23" s="476"/>
      <c r="KXL23" s="476"/>
      <c r="KXM23" s="476"/>
      <c r="KXN23" s="476"/>
      <c r="KXO23" s="476"/>
      <c r="KXP23" s="476"/>
      <c r="KXQ23" s="476"/>
      <c r="KXR23" s="476"/>
      <c r="KXS23" s="476"/>
      <c r="KXT23" s="476"/>
      <c r="KXU23" s="476"/>
      <c r="KXV23" s="476"/>
      <c r="KXW23" s="476"/>
      <c r="KXX23" s="476"/>
      <c r="KXY23" s="476"/>
      <c r="KXZ23" s="476"/>
      <c r="KYA23" s="476"/>
      <c r="KYB23" s="476"/>
      <c r="KYC23" s="476"/>
      <c r="KYD23" s="476"/>
      <c r="KYE23" s="476"/>
      <c r="KYF23" s="476"/>
      <c r="KYG23" s="476"/>
      <c r="KYH23" s="476"/>
      <c r="KYI23" s="476"/>
      <c r="KYJ23" s="476"/>
      <c r="KYK23" s="476"/>
      <c r="KYL23" s="476"/>
      <c r="KYM23" s="476"/>
      <c r="KYN23" s="476"/>
      <c r="KYO23" s="476"/>
      <c r="KYP23" s="476"/>
      <c r="KYQ23" s="476"/>
      <c r="KYR23" s="476"/>
      <c r="KYS23" s="476"/>
      <c r="KYT23" s="476"/>
      <c r="KYU23" s="476"/>
      <c r="KYV23" s="476"/>
      <c r="KYW23" s="476"/>
      <c r="KYX23" s="476"/>
      <c r="KYY23" s="476"/>
      <c r="KYZ23" s="476"/>
      <c r="KZA23" s="476"/>
      <c r="KZB23" s="476"/>
      <c r="KZC23" s="476"/>
      <c r="KZD23" s="476"/>
      <c r="KZE23" s="476"/>
      <c r="KZF23" s="476"/>
      <c r="KZG23" s="476"/>
      <c r="KZH23" s="476"/>
      <c r="KZI23" s="476"/>
      <c r="KZJ23" s="476"/>
      <c r="KZK23" s="476"/>
      <c r="KZL23" s="476"/>
      <c r="KZM23" s="476"/>
      <c r="KZN23" s="476"/>
      <c r="KZO23" s="476"/>
      <c r="KZP23" s="476"/>
      <c r="KZQ23" s="476"/>
      <c r="KZR23" s="476"/>
      <c r="KZS23" s="476"/>
      <c r="KZT23" s="476"/>
      <c r="KZU23" s="476"/>
      <c r="KZV23" s="476"/>
      <c r="KZW23" s="476"/>
      <c r="KZX23" s="476"/>
      <c r="KZY23" s="476"/>
      <c r="KZZ23" s="476"/>
      <c r="LAA23" s="476"/>
      <c r="LAB23" s="476"/>
      <c r="LAC23" s="476"/>
      <c r="LAD23" s="476"/>
      <c r="LAE23" s="476"/>
      <c r="LAF23" s="476"/>
      <c r="LAG23" s="476"/>
      <c r="LAH23" s="476"/>
      <c r="LAI23" s="476"/>
      <c r="LAJ23" s="476"/>
      <c r="LAK23" s="476"/>
      <c r="LAL23" s="476"/>
      <c r="LAM23" s="476"/>
      <c r="LAN23" s="476"/>
      <c r="LAO23" s="476"/>
      <c r="LAP23" s="476"/>
      <c r="LAQ23" s="476"/>
      <c r="LAR23" s="476"/>
      <c r="LAS23" s="476"/>
      <c r="LAT23" s="476"/>
      <c r="LAU23" s="476"/>
      <c r="LAV23" s="476"/>
      <c r="LAW23" s="476"/>
      <c r="LAX23" s="476"/>
      <c r="LAY23" s="476"/>
      <c r="LAZ23" s="476"/>
      <c r="LBA23" s="476"/>
      <c r="LBB23" s="476"/>
      <c r="LBC23" s="476"/>
      <c r="LBD23" s="476"/>
      <c r="LBE23" s="476"/>
      <c r="LBF23" s="476"/>
      <c r="LBG23" s="476"/>
      <c r="LBH23" s="476"/>
      <c r="LBI23" s="476"/>
      <c r="LBJ23" s="476"/>
      <c r="LBK23" s="476"/>
      <c r="LBL23" s="476"/>
      <c r="LBM23" s="476"/>
      <c r="LBN23" s="476"/>
      <c r="LBO23" s="476"/>
      <c r="LBP23" s="476"/>
      <c r="LBQ23" s="476"/>
      <c r="LBR23" s="476"/>
      <c r="LBS23" s="476"/>
      <c r="LBT23" s="476"/>
      <c r="LBU23" s="476"/>
      <c r="LBV23" s="476"/>
      <c r="LBW23" s="476"/>
      <c r="LBX23" s="476"/>
      <c r="LBY23" s="476"/>
      <c r="LBZ23" s="476"/>
      <c r="LCA23" s="476"/>
      <c r="LCB23" s="476"/>
      <c r="LCC23" s="476"/>
      <c r="LCD23" s="476"/>
      <c r="LCE23" s="476"/>
      <c r="LCF23" s="476"/>
      <c r="LCG23" s="476"/>
      <c r="LCH23" s="476"/>
      <c r="LCI23" s="476"/>
      <c r="LCJ23" s="476"/>
      <c r="LCK23" s="476"/>
      <c r="LCL23" s="476"/>
      <c r="LCM23" s="476"/>
      <c r="LCN23" s="476"/>
      <c r="LCO23" s="476"/>
      <c r="LCP23" s="476"/>
      <c r="LCQ23" s="476"/>
      <c r="LCR23" s="476"/>
      <c r="LCS23" s="476"/>
      <c r="LCT23" s="476"/>
      <c r="LCU23" s="476"/>
      <c r="LCV23" s="476"/>
      <c r="LCW23" s="476"/>
      <c r="LCX23" s="476"/>
      <c r="LCY23" s="476"/>
      <c r="LCZ23" s="476"/>
      <c r="LDA23" s="476"/>
      <c r="LDB23" s="476"/>
      <c r="LDC23" s="476"/>
      <c r="LDD23" s="476"/>
      <c r="LDE23" s="476"/>
      <c r="LDF23" s="476"/>
      <c r="LDG23" s="476"/>
      <c r="LDH23" s="476"/>
      <c r="LDI23" s="476"/>
      <c r="LDJ23" s="476"/>
      <c r="LDK23" s="476"/>
      <c r="LDL23" s="476"/>
      <c r="LDM23" s="476"/>
      <c r="LDN23" s="476"/>
      <c r="LDO23" s="476"/>
      <c r="LDP23" s="476"/>
      <c r="LDQ23" s="476"/>
      <c r="LDR23" s="476"/>
      <c r="LDS23" s="476"/>
      <c r="LDT23" s="476"/>
      <c r="LDU23" s="476"/>
      <c r="LDV23" s="476"/>
      <c r="LDW23" s="476"/>
      <c r="LDX23" s="476"/>
      <c r="LDY23" s="476"/>
      <c r="LDZ23" s="476"/>
      <c r="LEA23" s="476"/>
      <c r="LEB23" s="476"/>
      <c r="LEC23" s="476"/>
      <c r="LED23" s="476"/>
      <c r="LEE23" s="476"/>
      <c r="LEF23" s="476"/>
      <c r="LEG23" s="476"/>
      <c r="LEH23" s="476"/>
      <c r="LEI23" s="476"/>
      <c r="LEJ23" s="476"/>
      <c r="LEK23" s="476"/>
      <c r="LEL23" s="476"/>
      <c r="LEM23" s="476"/>
      <c r="LEN23" s="476"/>
      <c r="LEO23" s="476"/>
      <c r="LEP23" s="476"/>
      <c r="LEQ23" s="476"/>
      <c r="LER23" s="476"/>
      <c r="LES23" s="476"/>
      <c r="LET23" s="476"/>
      <c r="LEU23" s="476"/>
      <c r="LEV23" s="476"/>
      <c r="LEW23" s="476"/>
      <c r="LEX23" s="476"/>
      <c r="LEY23" s="476"/>
      <c r="LEZ23" s="476"/>
      <c r="LFA23" s="476"/>
      <c r="LFB23" s="476"/>
      <c r="LFC23" s="476"/>
      <c r="LFD23" s="476"/>
      <c r="LFE23" s="476"/>
      <c r="LFF23" s="476"/>
      <c r="LFG23" s="476"/>
      <c r="LFH23" s="476"/>
      <c r="LFI23" s="476"/>
      <c r="LFJ23" s="476"/>
      <c r="LFK23" s="476"/>
      <c r="LFL23" s="476"/>
      <c r="LFM23" s="476"/>
      <c r="LFN23" s="476"/>
      <c r="LFO23" s="476"/>
      <c r="LFP23" s="476"/>
      <c r="LFQ23" s="476"/>
      <c r="LFR23" s="476"/>
      <c r="LFS23" s="476"/>
      <c r="LFT23" s="476"/>
      <c r="LFU23" s="476"/>
      <c r="LFV23" s="476"/>
      <c r="LFW23" s="476"/>
      <c r="LFX23" s="476"/>
      <c r="LFY23" s="476"/>
      <c r="LFZ23" s="476"/>
      <c r="LGA23" s="476"/>
      <c r="LGB23" s="476"/>
      <c r="LGC23" s="476"/>
      <c r="LGD23" s="476"/>
      <c r="LGE23" s="476"/>
      <c r="LGF23" s="476"/>
      <c r="LGG23" s="476"/>
      <c r="LGH23" s="476"/>
      <c r="LGI23" s="476"/>
      <c r="LGJ23" s="476"/>
      <c r="LGK23" s="476"/>
      <c r="LGL23" s="476"/>
      <c r="LGM23" s="476"/>
      <c r="LGN23" s="476"/>
      <c r="LGO23" s="476"/>
      <c r="LGP23" s="476"/>
      <c r="LGQ23" s="476"/>
      <c r="LGR23" s="476"/>
      <c r="LGS23" s="476"/>
      <c r="LGT23" s="476"/>
      <c r="LGU23" s="476"/>
      <c r="LGV23" s="476"/>
      <c r="LGW23" s="476"/>
      <c r="LGX23" s="476"/>
      <c r="LGY23" s="476"/>
      <c r="LGZ23" s="476"/>
      <c r="LHA23" s="476"/>
      <c r="LHB23" s="476"/>
      <c r="LHC23" s="476"/>
      <c r="LHD23" s="476"/>
      <c r="LHE23" s="476"/>
      <c r="LHF23" s="476"/>
      <c r="LHG23" s="476"/>
      <c r="LHH23" s="476"/>
      <c r="LHI23" s="476"/>
      <c r="LHJ23" s="476"/>
      <c r="LHK23" s="476"/>
      <c r="LHL23" s="476"/>
      <c r="LHM23" s="476"/>
      <c r="LHN23" s="476"/>
      <c r="LHO23" s="476"/>
      <c r="LHP23" s="476"/>
      <c r="LHQ23" s="476"/>
      <c r="LHR23" s="476"/>
      <c r="LHS23" s="476"/>
      <c r="LHT23" s="476"/>
      <c r="LHU23" s="476"/>
      <c r="LHV23" s="476"/>
      <c r="LHW23" s="476"/>
      <c r="LHX23" s="476"/>
      <c r="LHY23" s="476"/>
      <c r="LHZ23" s="476"/>
      <c r="LIA23" s="476"/>
      <c r="LIB23" s="476"/>
      <c r="LIC23" s="476"/>
      <c r="LID23" s="476"/>
      <c r="LIE23" s="476"/>
      <c r="LIF23" s="476"/>
      <c r="LIG23" s="476"/>
      <c r="LIH23" s="476"/>
      <c r="LII23" s="476"/>
      <c r="LIJ23" s="476"/>
      <c r="LIK23" s="476"/>
      <c r="LIL23" s="476"/>
      <c r="LIM23" s="476"/>
      <c r="LIN23" s="476"/>
      <c r="LIO23" s="476"/>
      <c r="LIP23" s="476"/>
      <c r="LIQ23" s="476"/>
      <c r="LIR23" s="476"/>
      <c r="LIS23" s="476"/>
      <c r="LIT23" s="476"/>
      <c r="LIU23" s="476"/>
      <c r="LIV23" s="476"/>
      <c r="LIW23" s="476"/>
      <c r="LIX23" s="476"/>
      <c r="LIY23" s="476"/>
      <c r="LIZ23" s="476"/>
      <c r="LJA23" s="476"/>
      <c r="LJB23" s="476"/>
      <c r="LJC23" s="476"/>
      <c r="LJD23" s="476"/>
      <c r="LJE23" s="476"/>
      <c r="LJF23" s="476"/>
      <c r="LJG23" s="476"/>
      <c r="LJH23" s="476"/>
      <c r="LJI23" s="476"/>
      <c r="LJJ23" s="476"/>
      <c r="LJK23" s="476"/>
      <c r="LJL23" s="476"/>
      <c r="LJM23" s="476"/>
      <c r="LJN23" s="476"/>
      <c r="LJO23" s="476"/>
      <c r="LJP23" s="476"/>
      <c r="LJQ23" s="476"/>
      <c r="LJR23" s="476"/>
      <c r="LJS23" s="476"/>
      <c r="LJT23" s="476"/>
      <c r="LJU23" s="476"/>
      <c r="LJV23" s="476"/>
      <c r="LJW23" s="476"/>
      <c r="LJX23" s="476"/>
      <c r="LJY23" s="476"/>
      <c r="LJZ23" s="476"/>
      <c r="LKA23" s="476"/>
      <c r="LKB23" s="476"/>
      <c r="LKC23" s="476"/>
      <c r="LKD23" s="476"/>
      <c r="LKE23" s="476"/>
      <c r="LKF23" s="476"/>
      <c r="LKG23" s="476"/>
      <c r="LKH23" s="476"/>
      <c r="LKI23" s="476"/>
      <c r="LKJ23" s="476"/>
      <c r="LKK23" s="476"/>
      <c r="LKL23" s="476"/>
      <c r="LKM23" s="476"/>
      <c r="LKN23" s="476"/>
      <c r="LKO23" s="476"/>
      <c r="LKP23" s="476"/>
      <c r="LKQ23" s="476"/>
      <c r="LKR23" s="476"/>
      <c r="LKS23" s="476"/>
      <c r="LKT23" s="476"/>
      <c r="LKU23" s="476"/>
      <c r="LKV23" s="476"/>
      <c r="LKW23" s="476"/>
      <c r="LKX23" s="476"/>
      <c r="LKY23" s="476"/>
      <c r="LKZ23" s="476"/>
      <c r="LLA23" s="476"/>
      <c r="LLB23" s="476"/>
      <c r="LLC23" s="476"/>
      <c r="LLD23" s="476"/>
      <c r="LLE23" s="476"/>
      <c r="LLF23" s="476"/>
      <c r="LLG23" s="476"/>
      <c r="LLH23" s="476"/>
      <c r="LLI23" s="476"/>
      <c r="LLJ23" s="476"/>
      <c r="LLK23" s="476"/>
      <c r="LLL23" s="476"/>
      <c r="LLM23" s="476"/>
      <c r="LLN23" s="476"/>
      <c r="LLO23" s="476"/>
      <c r="LLP23" s="476"/>
      <c r="LLQ23" s="476"/>
      <c r="LLR23" s="476"/>
      <c r="LLS23" s="476"/>
      <c r="LLT23" s="476"/>
      <c r="LLU23" s="476"/>
      <c r="LLV23" s="476"/>
      <c r="LLW23" s="476"/>
      <c r="LLX23" s="476"/>
      <c r="LLY23" s="476"/>
      <c r="LLZ23" s="476"/>
      <c r="LMA23" s="476"/>
      <c r="LMB23" s="476"/>
      <c r="LMC23" s="476"/>
      <c r="LMD23" s="476"/>
      <c r="LME23" s="476"/>
      <c r="LMF23" s="476"/>
      <c r="LMG23" s="476"/>
      <c r="LMH23" s="476"/>
      <c r="LMI23" s="476"/>
      <c r="LMJ23" s="476"/>
      <c r="LMK23" s="476"/>
      <c r="LML23" s="476"/>
      <c r="LMM23" s="476"/>
      <c r="LMN23" s="476"/>
      <c r="LMO23" s="476"/>
      <c r="LMP23" s="476"/>
      <c r="LMQ23" s="476"/>
      <c r="LMR23" s="476"/>
      <c r="LMS23" s="476"/>
      <c r="LMT23" s="476"/>
      <c r="LMU23" s="476"/>
      <c r="LMV23" s="476"/>
      <c r="LMW23" s="476"/>
      <c r="LMX23" s="476"/>
      <c r="LMY23" s="476"/>
      <c r="LMZ23" s="476"/>
      <c r="LNA23" s="476"/>
      <c r="LNB23" s="476"/>
      <c r="LNC23" s="476"/>
      <c r="LND23" s="476"/>
      <c r="LNE23" s="476"/>
      <c r="LNF23" s="476"/>
      <c r="LNG23" s="476"/>
      <c r="LNH23" s="476"/>
      <c r="LNI23" s="476"/>
      <c r="LNJ23" s="476"/>
      <c r="LNK23" s="476"/>
      <c r="LNL23" s="476"/>
      <c r="LNM23" s="476"/>
      <c r="LNN23" s="476"/>
      <c r="LNO23" s="476"/>
      <c r="LNP23" s="476"/>
      <c r="LNQ23" s="476"/>
      <c r="LNR23" s="476"/>
      <c r="LNS23" s="476"/>
      <c r="LNT23" s="476"/>
      <c r="LNU23" s="476"/>
      <c r="LNV23" s="476"/>
      <c r="LNW23" s="476"/>
      <c r="LNX23" s="476"/>
      <c r="LNY23" s="476"/>
      <c r="LNZ23" s="476"/>
      <c r="LOA23" s="476"/>
      <c r="LOB23" s="476"/>
      <c r="LOC23" s="476"/>
      <c r="LOD23" s="476"/>
      <c r="LOE23" s="476"/>
      <c r="LOF23" s="476"/>
      <c r="LOG23" s="476"/>
      <c r="LOH23" s="476"/>
      <c r="LOI23" s="476"/>
      <c r="LOJ23" s="476"/>
      <c r="LOK23" s="476"/>
      <c r="LOL23" s="476"/>
      <c r="LOM23" s="476"/>
      <c r="LON23" s="476"/>
      <c r="LOO23" s="476"/>
      <c r="LOP23" s="476"/>
      <c r="LOQ23" s="476"/>
      <c r="LOR23" s="476"/>
      <c r="LOS23" s="476"/>
      <c r="LOT23" s="476"/>
      <c r="LOU23" s="476"/>
      <c r="LOV23" s="476"/>
      <c r="LOW23" s="476"/>
      <c r="LOX23" s="476"/>
      <c r="LOY23" s="476"/>
      <c r="LOZ23" s="476"/>
      <c r="LPA23" s="476"/>
      <c r="LPB23" s="476"/>
      <c r="LPC23" s="476"/>
      <c r="LPD23" s="476"/>
      <c r="LPE23" s="476"/>
      <c r="LPF23" s="476"/>
      <c r="LPG23" s="476"/>
      <c r="LPH23" s="476"/>
      <c r="LPI23" s="476"/>
      <c r="LPJ23" s="476"/>
      <c r="LPK23" s="476"/>
      <c r="LPL23" s="476"/>
      <c r="LPM23" s="476"/>
      <c r="LPN23" s="476"/>
      <c r="LPO23" s="476"/>
      <c r="LPP23" s="476"/>
      <c r="LPQ23" s="476"/>
      <c r="LPR23" s="476"/>
      <c r="LPS23" s="476"/>
      <c r="LPT23" s="476"/>
      <c r="LPU23" s="476"/>
      <c r="LPV23" s="476"/>
      <c r="LPW23" s="476"/>
      <c r="LPX23" s="476"/>
      <c r="LPY23" s="476"/>
      <c r="LPZ23" s="476"/>
      <c r="LQA23" s="476"/>
      <c r="LQB23" s="476"/>
      <c r="LQC23" s="476"/>
      <c r="LQD23" s="476"/>
      <c r="LQE23" s="476"/>
      <c r="LQF23" s="476"/>
      <c r="LQG23" s="476"/>
      <c r="LQH23" s="476"/>
      <c r="LQI23" s="476"/>
      <c r="LQJ23" s="476"/>
      <c r="LQK23" s="476"/>
      <c r="LQL23" s="476"/>
      <c r="LQM23" s="476"/>
      <c r="LQN23" s="476"/>
      <c r="LQO23" s="476"/>
      <c r="LQP23" s="476"/>
      <c r="LQQ23" s="476"/>
      <c r="LQR23" s="476"/>
      <c r="LQS23" s="476"/>
      <c r="LQT23" s="476"/>
      <c r="LQU23" s="476"/>
      <c r="LQV23" s="476"/>
      <c r="LQW23" s="476"/>
      <c r="LQX23" s="476"/>
      <c r="LQY23" s="476"/>
      <c r="LQZ23" s="476"/>
      <c r="LRA23" s="476"/>
      <c r="LRB23" s="476"/>
      <c r="LRC23" s="476"/>
      <c r="LRD23" s="476"/>
      <c r="LRE23" s="476"/>
      <c r="LRF23" s="476"/>
      <c r="LRG23" s="476"/>
      <c r="LRH23" s="476"/>
      <c r="LRI23" s="476"/>
      <c r="LRJ23" s="476"/>
      <c r="LRK23" s="476"/>
      <c r="LRL23" s="476"/>
      <c r="LRM23" s="476"/>
      <c r="LRN23" s="476"/>
      <c r="LRO23" s="476"/>
      <c r="LRP23" s="476"/>
      <c r="LRQ23" s="476"/>
      <c r="LRR23" s="476"/>
      <c r="LRS23" s="476"/>
      <c r="LRT23" s="476"/>
      <c r="LRU23" s="476"/>
      <c r="LRV23" s="476"/>
      <c r="LRW23" s="476"/>
      <c r="LRX23" s="476"/>
      <c r="LRY23" s="476"/>
      <c r="LRZ23" s="476"/>
      <c r="LSA23" s="476"/>
      <c r="LSB23" s="476"/>
      <c r="LSC23" s="476"/>
      <c r="LSD23" s="476"/>
      <c r="LSE23" s="476"/>
      <c r="LSF23" s="476"/>
      <c r="LSG23" s="476"/>
      <c r="LSH23" s="476"/>
      <c r="LSI23" s="476"/>
      <c r="LSJ23" s="476"/>
      <c r="LSK23" s="476"/>
      <c r="LSL23" s="476"/>
      <c r="LSM23" s="476"/>
      <c r="LSN23" s="476"/>
      <c r="LSO23" s="476"/>
      <c r="LSP23" s="476"/>
      <c r="LSQ23" s="476"/>
      <c r="LSR23" s="476"/>
      <c r="LSS23" s="476"/>
      <c r="LST23" s="476"/>
      <c r="LSU23" s="476"/>
      <c r="LSV23" s="476"/>
      <c r="LSW23" s="476"/>
      <c r="LSX23" s="476"/>
      <c r="LSY23" s="476"/>
      <c r="LSZ23" s="476"/>
      <c r="LTA23" s="476"/>
      <c r="LTB23" s="476"/>
      <c r="LTC23" s="476"/>
      <c r="LTD23" s="476"/>
      <c r="LTE23" s="476"/>
      <c r="LTF23" s="476"/>
      <c r="LTG23" s="476"/>
      <c r="LTH23" s="476"/>
      <c r="LTI23" s="476"/>
      <c r="LTJ23" s="476"/>
      <c r="LTK23" s="476"/>
      <c r="LTL23" s="476"/>
      <c r="LTM23" s="476"/>
      <c r="LTN23" s="476"/>
      <c r="LTO23" s="476"/>
      <c r="LTP23" s="476"/>
      <c r="LTQ23" s="476"/>
      <c r="LTR23" s="476"/>
      <c r="LTS23" s="476"/>
      <c r="LTT23" s="476"/>
      <c r="LTU23" s="476"/>
      <c r="LTV23" s="476"/>
      <c r="LTW23" s="476"/>
      <c r="LTX23" s="476"/>
      <c r="LTY23" s="476"/>
      <c r="LTZ23" s="476"/>
      <c r="LUA23" s="476"/>
      <c r="LUB23" s="476"/>
      <c r="LUC23" s="476"/>
      <c r="LUD23" s="476"/>
      <c r="LUE23" s="476"/>
      <c r="LUF23" s="476"/>
      <c r="LUG23" s="476"/>
      <c r="LUH23" s="476"/>
      <c r="LUI23" s="476"/>
      <c r="LUJ23" s="476"/>
      <c r="LUK23" s="476"/>
      <c r="LUL23" s="476"/>
      <c r="LUM23" s="476"/>
      <c r="LUN23" s="476"/>
      <c r="LUO23" s="476"/>
      <c r="LUP23" s="476"/>
      <c r="LUQ23" s="476"/>
      <c r="LUR23" s="476"/>
      <c r="LUS23" s="476"/>
      <c r="LUT23" s="476"/>
      <c r="LUU23" s="476"/>
      <c r="LUV23" s="476"/>
      <c r="LUW23" s="476"/>
      <c r="LUX23" s="476"/>
      <c r="LUY23" s="476"/>
      <c r="LUZ23" s="476"/>
      <c r="LVA23" s="476"/>
      <c r="LVB23" s="476"/>
      <c r="LVC23" s="476"/>
      <c r="LVD23" s="476"/>
      <c r="LVE23" s="476"/>
      <c r="LVF23" s="476"/>
      <c r="LVG23" s="476"/>
      <c r="LVH23" s="476"/>
      <c r="LVI23" s="476"/>
      <c r="LVJ23" s="476"/>
      <c r="LVK23" s="476"/>
      <c r="LVL23" s="476"/>
      <c r="LVM23" s="476"/>
      <c r="LVN23" s="476"/>
      <c r="LVO23" s="476"/>
      <c r="LVP23" s="476"/>
      <c r="LVQ23" s="476"/>
      <c r="LVR23" s="476"/>
      <c r="LVS23" s="476"/>
      <c r="LVT23" s="476"/>
      <c r="LVU23" s="476"/>
      <c r="LVV23" s="476"/>
      <c r="LVW23" s="476"/>
      <c r="LVX23" s="476"/>
      <c r="LVY23" s="476"/>
      <c r="LVZ23" s="476"/>
      <c r="LWA23" s="476"/>
      <c r="LWB23" s="476"/>
      <c r="LWC23" s="476"/>
      <c r="LWD23" s="476"/>
      <c r="LWE23" s="476"/>
      <c r="LWF23" s="476"/>
      <c r="LWG23" s="476"/>
      <c r="LWH23" s="476"/>
      <c r="LWI23" s="476"/>
      <c r="LWJ23" s="476"/>
      <c r="LWK23" s="476"/>
      <c r="LWL23" s="476"/>
      <c r="LWM23" s="476"/>
      <c r="LWN23" s="476"/>
      <c r="LWO23" s="476"/>
      <c r="LWP23" s="476"/>
      <c r="LWQ23" s="476"/>
      <c r="LWR23" s="476"/>
      <c r="LWS23" s="476"/>
      <c r="LWT23" s="476"/>
      <c r="LWU23" s="476"/>
      <c r="LWV23" s="476"/>
      <c r="LWW23" s="476"/>
      <c r="LWX23" s="476"/>
      <c r="LWY23" s="476"/>
      <c r="LWZ23" s="476"/>
      <c r="LXA23" s="476"/>
      <c r="LXB23" s="476"/>
      <c r="LXC23" s="476"/>
      <c r="LXD23" s="476"/>
      <c r="LXE23" s="476"/>
      <c r="LXF23" s="476"/>
      <c r="LXG23" s="476"/>
      <c r="LXH23" s="476"/>
      <c r="LXI23" s="476"/>
      <c r="LXJ23" s="476"/>
      <c r="LXK23" s="476"/>
      <c r="LXL23" s="476"/>
      <c r="LXM23" s="476"/>
      <c r="LXN23" s="476"/>
      <c r="LXO23" s="476"/>
      <c r="LXP23" s="476"/>
      <c r="LXQ23" s="476"/>
      <c r="LXR23" s="476"/>
      <c r="LXS23" s="476"/>
      <c r="LXT23" s="476"/>
      <c r="LXU23" s="476"/>
      <c r="LXV23" s="476"/>
      <c r="LXW23" s="476"/>
      <c r="LXX23" s="476"/>
      <c r="LXY23" s="476"/>
      <c r="LXZ23" s="476"/>
      <c r="LYA23" s="476"/>
      <c r="LYB23" s="476"/>
      <c r="LYC23" s="476"/>
      <c r="LYD23" s="476"/>
      <c r="LYE23" s="476"/>
      <c r="LYF23" s="476"/>
      <c r="LYG23" s="476"/>
      <c r="LYH23" s="476"/>
      <c r="LYI23" s="476"/>
      <c r="LYJ23" s="476"/>
      <c r="LYK23" s="476"/>
      <c r="LYL23" s="476"/>
      <c r="LYM23" s="476"/>
      <c r="LYN23" s="476"/>
      <c r="LYO23" s="476"/>
      <c r="LYP23" s="476"/>
      <c r="LYQ23" s="476"/>
      <c r="LYR23" s="476"/>
      <c r="LYS23" s="476"/>
      <c r="LYT23" s="476"/>
      <c r="LYU23" s="476"/>
      <c r="LYV23" s="476"/>
      <c r="LYW23" s="476"/>
      <c r="LYX23" s="476"/>
      <c r="LYY23" s="476"/>
      <c r="LYZ23" s="476"/>
      <c r="LZA23" s="476"/>
      <c r="LZB23" s="476"/>
      <c r="LZC23" s="476"/>
      <c r="LZD23" s="476"/>
      <c r="LZE23" s="476"/>
      <c r="LZF23" s="476"/>
      <c r="LZG23" s="476"/>
      <c r="LZH23" s="476"/>
      <c r="LZI23" s="476"/>
      <c r="LZJ23" s="476"/>
      <c r="LZK23" s="476"/>
      <c r="LZL23" s="476"/>
      <c r="LZM23" s="476"/>
      <c r="LZN23" s="476"/>
      <c r="LZO23" s="476"/>
      <c r="LZP23" s="476"/>
      <c r="LZQ23" s="476"/>
      <c r="LZR23" s="476"/>
      <c r="LZS23" s="476"/>
      <c r="LZT23" s="476"/>
      <c r="LZU23" s="476"/>
      <c r="LZV23" s="476"/>
      <c r="LZW23" s="476"/>
      <c r="LZX23" s="476"/>
      <c r="LZY23" s="476"/>
      <c r="LZZ23" s="476"/>
      <c r="MAA23" s="476"/>
      <c r="MAB23" s="476"/>
      <c r="MAC23" s="476"/>
      <c r="MAD23" s="476"/>
      <c r="MAE23" s="476"/>
      <c r="MAF23" s="476"/>
      <c r="MAG23" s="476"/>
      <c r="MAH23" s="476"/>
      <c r="MAI23" s="476"/>
      <c r="MAJ23" s="476"/>
      <c r="MAK23" s="476"/>
      <c r="MAL23" s="476"/>
      <c r="MAM23" s="476"/>
      <c r="MAN23" s="476"/>
      <c r="MAO23" s="476"/>
      <c r="MAP23" s="476"/>
      <c r="MAQ23" s="476"/>
      <c r="MAR23" s="476"/>
      <c r="MAS23" s="476"/>
      <c r="MAT23" s="476"/>
      <c r="MAU23" s="476"/>
      <c r="MAV23" s="476"/>
      <c r="MAW23" s="476"/>
      <c r="MAX23" s="476"/>
      <c r="MAY23" s="476"/>
      <c r="MAZ23" s="476"/>
      <c r="MBA23" s="476"/>
      <c r="MBB23" s="476"/>
      <c r="MBC23" s="476"/>
      <c r="MBD23" s="476"/>
      <c r="MBE23" s="476"/>
      <c r="MBF23" s="476"/>
      <c r="MBG23" s="476"/>
      <c r="MBH23" s="476"/>
      <c r="MBI23" s="476"/>
      <c r="MBJ23" s="476"/>
      <c r="MBK23" s="476"/>
      <c r="MBL23" s="476"/>
      <c r="MBM23" s="476"/>
      <c r="MBN23" s="476"/>
      <c r="MBO23" s="476"/>
      <c r="MBP23" s="476"/>
      <c r="MBQ23" s="476"/>
      <c r="MBR23" s="476"/>
      <c r="MBS23" s="476"/>
      <c r="MBT23" s="476"/>
      <c r="MBU23" s="476"/>
      <c r="MBV23" s="476"/>
      <c r="MBW23" s="476"/>
      <c r="MBX23" s="476"/>
      <c r="MBY23" s="476"/>
      <c r="MBZ23" s="476"/>
      <c r="MCA23" s="476"/>
      <c r="MCB23" s="476"/>
      <c r="MCC23" s="476"/>
      <c r="MCD23" s="476"/>
      <c r="MCE23" s="476"/>
      <c r="MCF23" s="476"/>
      <c r="MCG23" s="476"/>
      <c r="MCH23" s="476"/>
      <c r="MCI23" s="476"/>
      <c r="MCJ23" s="476"/>
      <c r="MCK23" s="476"/>
      <c r="MCL23" s="476"/>
      <c r="MCM23" s="476"/>
      <c r="MCN23" s="476"/>
      <c r="MCO23" s="476"/>
      <c r="MCP23" s="476"/>
      <c r="MCQ23" s="476"/>
      <c r="MCR23" s="476"/>
      <c r="MCS23" s="476"/>
      <c r="MCT23" s="476"/>
      <c r="MCU23" s="476"/>
      <c r="MCV23" s="476"/>
      <c r="MCW23" s="476"/>
      <c r="MCX23" s="476"/>
      <c r="MCY23" s="476"/>
      <c r="MCZ23" s="476"/>
      <c r="MDA23" s="476"/>
      <c r="MDB23" s="476"/>
      <c r="MDC23" s="476"/>
      <c r="MDD23" s="476"/>
      <c r="MDE23" s="476"/>
      <c r="MDF23" s="476"/>
      <c r="MDG23" s="476"/>
      <c r="MDH23" s="476"/>
      <c r="MDI23" s="476"/>
      <c r="MDJ23" s="476"/>
      <c r="MDK23" s="476"/>
      <c r="MDL23" s="476"/>
      <c r="MDM23" s="476"/>
      <c r="MDN23" s="476"/>
      <c r="MDO23" s="476"/>
      <c r="MDP23" s="476"/>
      <c r="MDQ23" s="476"/>
      <c r="MDR23" s="476"/>
      <c r="MDS23" s="476"/>
      <c r="MDT23" s="476"/>
      <c r="MDU23" s="476"/>
      <c r="MDV23" s="476"/>
      <c r="MDW23" s="476"/>
      <c r="MDX23" s="476"/>
      <c r="MDY23" s="476"/>
      <c r="MDZ23" s="476"/>
      <c r="MEA23" s="476"/>
      <c r="MEB23" s="476"/>
      <c r="MEC23" s="476"/>
      <c r="MED23" s="476"/>
      <c r="MEE23" s="476"/>
      <c r="MEF23" s="476"/>
      <c r="MEG23" s="476"/>
      <c r="MEH23" s="476"/>
      <c r="MEI23" s="476"/>
      <c r="MEJ23" s="476"/>
      <c r="MEK23" s="476"/>
      <c r="MEL23" s="476"/>
      <c r="MEM23" s="476"/>
      <c r="MEN23" s="476"/>
      <c r="MEO23" s="476"/>
      <c r="MEP23" s="476"/>
      <c r="MEQ23" s="476"/>
      <c r="MER23" s="476"/>
      <c r="MES23" s="476"/>
      <c r="MET23" s="476"/>
      <c r="MEU23" s="476"/>
      <c r="MEV23" s="476"/>
      <c r="MEW23" s="476"/>
      <c r="MEX23" s="476"/>
      <c r="MEY23" s="476"/>
      <c r="MEZ23" s="476"/>
      <c r="MFA23" s="476"/>
      <c r="MFB23" s="476"/>
      <c r="MFC23" s="476"/>
      <c r="MFD23" s="476"/>
      <c r="MFE23" s="476"/>
      <c r="MFF23" s="476"/>
      <c r="MFG23" s="476"/>
      <c r="MFH23" s="476"/>
      <c r="MFI23" s="476"/>
      <c r="MFJ23" s="476"/>
      <c r="MFK23" s="476"/>
      <c r="MFL23" s="476"/>
      <c r="MFM23" s="476"/>
      <c r="MFN23" s="476"/>
      <c r="MFO23" s="476"/>
      <c r="MFP23" s="476"/>
      <c r="MFQ23" s="476"/>
      <c r="MFR23" s="476"/>
      <c r="MFS23" s="476"/>
      <c r="MFT23" s="476"/>
      <c r="MFU23" s="476"/>
      <c r="MFV23" s="476"/>
      <c r="MFW23" s="476"/>
      <c r="MFX23" s="476"/>
      <c r="MFY23" s="476"/>
      <c r="MFZ23" s="476"/>
      <c r="MGA23" s="476"/>
      <c r="MGB23" s="476"/>
      <c r="MGC23" s="476"/>
      <c r="MGD23" s="476"/>
      <c r="MGE23" s="476"/>
      <c r="MGF23" s="476"/>
      <c r="MGG23" s="476"/>
      <c r="MGH23" s="476"/>
      <c r="MGI23" s="476"/>
      <c r="MGJ23" s="476"/>
      <c r="MGK23" s="476"/>
      <c r="MGL23" s="476"/>
      <c r="MGM23" s="476"/>
      <c r="MGN23" s="476"/>
      <c r="MGO23" s="476"/>
      <c r="MGP23" s="476"/>
      <c r="MGQ23" s="476"/>
      <c r="MGR23" s="476"/>
      <c r="MGS23" s="476"/>
      <c r="MGT23" s="476"/>
      <c r="MGU23" s="476"/>
      <c r="MGV23" s="476"/>
      <c r="MGW23" s="476"/>
      <c r="MGX23" s="476"/>
      <c r="MGY23" s="476"/>
      <c r="MGZ23" s="476"/>
      <c r="MHA23" s="476"/>
      <c r="MHB23" s="476"/>
      <c r="MHC23" s="476"/>
      <c r="MHD23" s="476"/>
      <c r="MHE23" s="476"/>
      <c r="MHF23" s="476"/>
      <c r="MHG23" s="476"/>
      <c r="MHH23" s="476"/>
      <c r="MHI23" s="476"/>
      <c r="MHJ23" s="476"/>
      <c r="MHK23" s="476"/>
      <c r="MHL23" s="476"/>
      <c r="MHM23" s="476"/>
      <c r="MHN23" s="476"/>
      <c r="MHO23" s="476"/>
      <c r="MHP23" s="476"/>
      <c r="MHQ23" s="476"/>
      <c r="MHR23" s="476"/>
      <c r="MHS23" s="476"/>
      <c r="MHT23" s="476"/>
      <c r="MHU23" s="476"/>
      <c r="MHV23" s="476"/>
      <c r="MHW23" s="476"/>
      <c r="MHX23" s="476"/>
      <c r="MHY23" s="476"/>
      <c r="MHZ23" s="476"/>
      <c r="MIA23" s="476"/>
      <c r="MIB23" s="476"/>
      <c r="MIC23" s="476"/>
      <c r="MID23" s="476"/>
      <c r="MIE23" s="476"/>
      <c r="MIF23" s="476"/>
      <c r="MIG23" s="476"/>
      <c r="MIH23" s="476"/>
      <c r="MII23" s="476"/>
      <c r="MIJ23" s="476"/>
      <c r="MIK23" s="476"/>
      <c r="MIL23" s="476"/>
      <c r="MIM23" s="476"/>
      <c r="MIN23" s="476"/>
      <c r="MIO23" s="476"/>
      <c r="MIP23" s="476"/>
      <c r="MIQ23" s="476"/>
      <c r="MIR23" s="476"/>
      <c r="MIS23" s="476"/>
      <c r="MIT23" s="476"/>
      <c r="MIU23" s="476"/>
      <c r="MIV23" s="476"/>
      <c r="MIW23" s="476"/>
      <c r="MIX23" s="476"/>
      <c r="MIY23" s="476"/>
      <c r="MIZ23" s="476"/>
      <c r="MJA23" s="476"/>
      <c r="MJB23" s="476"/>
      <c r="MJC23" s="476"/>
      <c r="MJD23" s="476"/>
      <c r="MJE23" s="476"/>
      <c r="MJF23" s="476"/>
      <c r="MJG23" s="476"/>
      <c r="MJH23" s="476"/>
      <c r="MJI23" s="476"/>
      <c r="MJJ23" s="476"/>
      <c r="MJK23" s="476"/>
      <c r="MJL23" s="476"/>
      <c r="MJM23" s="476"/>
      <c r="MJN23" s="476"/>
      <c r="MJO23" s="476"/>
      <c r="MJP23" s="476"/>
      <c r="MJQ23" s="476"/>
      <c r="MJR23" s="476"/>
      <c r="MJS23" s="476"/>
      <c r="MJT23" s="476"/>
      <c r="MJU23" s="476"/>
      <c r="MJV23" s="476"/>
      <c r="MJW23" s="476"/>
      <c r="MJX23" s="476"/>
      <c r="MJY23" s="476"/>
      <c r="MJZ23" s="476"/>
      <c r="MKA23" s="476"/>
      <c r="MKB23" s="476"/>
      <c r="MKC23" s="476"/>
      <c r="MKD23" s="476"/>
      <c r="MKE23" s="476"/>
      <c r="MKF23" s="476"/>
      <c r="MKG23" s="476"/>
      <c r="MKH23" s="476"/>
      <c r="MKI23" s="476"/>
      <c r="MKJ23" s="476"/>
      <c r="MKK23" s="476"/>
      <c r="MKL23" s="476"/>
      <c r="MKM23" s="476"/>
      <c r="MKN23" s="476"/>
      <c r="MKO23" s="476"/>
      <c r="MKP23" s="476"/>
      <c r="MKQ23" s="476"/>
      <c r="MKR23" s="476"/>
      <c r="MKS23" s="476"/>
      <c r="MKT23" s="476"/>
      <c r="MKU23" s="476"/>
      <c r="MKV23" s="476"/>
      <c r="MKW23" s="476"/>
      <c r="MKX23" s="476"/>
      <c r="MKY23" s="476"/>
      <c r="MKZ23" s="476"/>
      <c r="MLA23" s="476"/>
      <c r="MLB23" s="476"/>
      <c r="MLC23" s="476"/>
      <c r="MLD23" s="476"/>
      <c r="MLE23" s="476"/>
      <c r="MLF23" s="476"/>
      <c r="MLG23" s="476"/>
      <c r="MLH23" s="476"/>
      <c r="MLI23" s="476"/>
      <c r="MLJ23" s="476"/>
      <c r="MLK23" s="476"/>
      <c r="MLL23" s="476"/>
      <c r="MLM23" s="476"/>
      <c r="MLN23" s="476"/>
      <c r="MLO23" s="476"/>
      <c r="MLP23" s="476"/>
      <c r="MLQ23" s="476"/>
      <c r="MLR23" s="476"/>
      <c r="MLS23" s="476"/>
      <c r="MLT23" s="476"/>
      <c r="MLU23" s="476"/>
      <c r="MLV23" s="476"/>
      <c r="MLW23" s="476"/>
      <c r="MLX23" s="476"/>
      <c r="MLY23" s="476"/>
      <c r="MLZ23" s="476"/>
      <c r="MMA23" s="476"/>
      <c r="MMB23" s="476"/>
      <c r="MMC23" s="476"/>
      <c r="MMD23" s="476"/>
      <c r="MME23" s="476"/>
      <c r="MMF23" s="476"/>
      <c r="MMG23" s="476"/>
      <c r="MMH23" s="476"/>
      <c r="MMI23" s="476"/>
      <c r="MMJ23" s="476"/>
      <c r="MMK23" s="476"/>
      <c r="MML23" s="476"/>
      <c r="MMM23" s="476"/>
      <c r="MMN23" s="476"/>
      <c r="MMO23" s="476"/>
      <c r="MMP23" s="476"/>
      <c r="MMQ23" s="476"/>
      <c r="MMR23" s="476"/>
      <c r="MMS23" s="476"/>
      <c r="MMT23" s="476"/>
      <c r="MMU23" s="476"/>
      <c r="MMV23" s="476"/>
      <c r="MMW23" s="476"/>
      <c r="MMX23" s="476"/>
      <c r="MMY23" s="476"/>
      <c r="MMZ23" s="476"/>
      <c r="MNA23" s="476"/>
      <c r="MNB23" s="476"/>
      <c r="MNC23" s="476"/>
      <c r="MND23" s="476"/>
      <c r="MNE23" s="476"/>
      <c r="MNF23" s="476"/>
      <c r="MNG23" s="476"/>
      <c r="MNH23" s="476"/>
      <c r="MNI23" s="476"/>
      <c r="MNJ23" s="476"/>
      <c r="MNK23" s="476"/>
      <c r="MNL23" s="476"/>
      <c r="MNM23" s="476"/>
      <c r="MNN23" s="476"/>
      <c r="MNO23" s="476"/>
      <c r="MNP23" s="476"/>
      <c r="MNQ23" s="476"/>
      <c r="MNR23" s="476"/>
      <c r="MNS23" s="476"/>
      <c r="MNT23" s="476"/>
      <c r="MNU23" s="476"/>
      <c r="MNV23" s="476"/>
      <c r="MNW23" s="476"/>
      <c r="MNX23" s="476"/>
      <c r="MNY23" s="476"/>
      <c r="MNZ23" s="476"/>
      <c r="MOA23" s="476"/>
      <c r="MOB23" s="476"/>
      <c r="MOC23" s="476"/>
      <c r="MOD23" s="476"/>
      <c r="MOE23" s="476"/>
      <c r="MOF23" s="476"/>
      <c r="MOG23" s="476"/>
      <c r="MOH23" s="476"/>
      <c r="MOI23" s="476"/>
      <c r="MOJ23" s="476"/>
      <c r="MOK23" s="476"/>
      <c r="MOL23" s="476"/>
      <c r="MOM23" s="476"/>
      <c r="MON23" s="476"/>
      <c r="MOO23" s="476"/>
      <c r="MOP23" s="476"/>
      <c r="MOQ23" s="476"/>
      <c r="MOR23" s="476"/>
      <c r="MOS23" s="476"/>
      <c r="MOT23" s="476"/>
      <c r="MOU23" s="476"/>
      <c r="MOV23" s="476"/>
      <c r="MOW23" s="476"/>
      <c r="MOX23" s="476"/>
      <c r="MOY23" s="476"/>
      <c r="MOZ23" s="476"/>
      <c r="MPA23" s="476"/>
      <c r="MPB23" s="476"/>
      <c r="MPC23" s="476"/>
      <c r="MPD23" s="476"/>
      <c r="MPE23" s="476"/>
      <c r="MPF23" s="476"/>
      <c r="MPG23" s="476"/>
      <c r="MPH23" s="476"/>
      <c r="MPI23" s="476"/>
      <c r="MPJ23" s="476"/>
      <c r="MPK23" s="476"/>
      <c r="MPL23" s="476"/>
      <c r="MPM23" s="476"/>
      <c r="MPN23" s="476"/>
      <c r="MPO23" s="476"/>
      <c r="MPP23" s="476"/>
      <c r="MPQ23" s="476"/>
      <c r="MPR23" s="476"/>
      <c r="MPS23" s="476"/>
      <c r="MPT23" s="476"/>
      <c r="MPU23" s="476"/>
      <c r="MPV23" s="476"/>
      <c r="MPW23" s="476"/>
      <c r="MPX23" s="476"/>
      <c r="MPY23" s="476"/>
      <c r="MPZ23" s="476"/>
      <c r="MQA23" s="476"/>
      <c r="MQB23" s="476"/>
      <c r="MQC23" s="476"/>
      <c r="MQD23" s="476"/>
      <c r="MQE23" s="476"/>
      <c r="MQF23" s="476"/>
      <c r="MQG23" s="476"/>
      <c r="MQH23" s="476"/>
      <c r="MQI23" s="476"/>
      <c r="MQJ23" s="476"/>
      <c r="MQK23" s="476"/>
      <c r="MQL23" s="476"/>
      <c r="MQM23" s="476"/>
      <c r="MQN23" s="476"/>
      <c r="MQO23" s="476"/>
      <c r="MQP23" s="476"/>
      <c r="MQQ23" s="476"/>
      <c r="MQR23" s="476"/>
      <c r="MQS23" s="476"/>
      <c r="MQT23" s="476"/>
      <c r="MQU23" s="476"/>
      <c r="MQV23" s="476"/>
      <c r="MQW23" s="476"/>
      <c r="MQX23" s="476"/>
      <c r="MQY23" s="476"/>
      <c r="MQZ23" s="476"/>
      <c r="MRA23" s="476"/>
      <c r="MRB23" s="476"/>
      <c r="MRC23" s="476"/>
      <c r="MRD23" s="476"/>
      <c r="MRE23" s="476"/>
      <c r="MRF23" s="476"/>
      <c r="MRG23" s="476"/>
      <c r="MRH23" s="476"/>
      <c r="MRI23" s="476"/>
      <c r="MRJ23" s="476"/>
      <c r="MRK23" s="476"/>
      <c r="MRL23" s="476"/>
      <c r="MRM23" s="476"/>
      <c r="MRN23" s="476"/>
      <c r="MRO23" s="476"/>
      <c r="MRP23" s="476"/>
      <c r="MRQ23" s="476"/>
      <c r="MRR23" s="476"/>
      <c r="MRS23" s="476"/>
      <c r="MRT23" s="476"/>
      <c r="MRU23" s="476"/>
      <c r="MRV23" s="476"/>
      <c r="MRW23" s="476"/>
      <c r="MRX23" s="476"/>
      <c r="MRY23" s="476"/>
      <c r="MRZ23" s="476"/>
      <c r="MSA23" s="476"/>
      <c r="MSB23" s="476"/>
      <c r="MSC23" s="476"/>
      <c r="MSD23" s="476"/>
      <c r="MSE23" s="476"/>
      <c r="MSF23" s="476"/>
      <c r="MSG23" s="476"/>
      <c r="MSH23" s="476"/>
      <c r="MSI23" s="476"/>
      <c r="MSJ23" s="476"/>
      <c r="MSK23" s="476"/>
      <c r="MSL23" s="476"/>
      <c r="MSM23" s="476"/>
      <c r="MSN23" s="476"/>
      <c r="MSO23" s="476"/>
      <c r="MSP23" s="476"/>
      <c r="MSQ23" s="476"/>
      <c r="MSR23" s="476"/>
      <c r="MSS23" s="476"/>
      <c r="MST23" s="476"/>
      <c r="MSU23" s="476"/>
      <c r="MSV23" s="476"/>
      <c r="MSW23" s="476"/>
      <c r="MSX23" s="476"/>
      <c r="MSY23" s="476"/>
      <c r="MSZ23" s="476"/>
      <c r="MTA23" s="476"/>
      <c r="MTB23" s="476"/>
      <c r="MTC23" s="476"/>
      <c r="MTD23" s="476"/>
      <c r="MTE23" s="476"/>
      <c r="MTF23" s="476"/>
      <c r="MTG23" s="476"/>
      <c r="MTH23" s="476"/>
      <c r="MTI23" s="476"/>
      <c r="MTJ23" s="476"/>
      <c r="MTK23" s="476"/>
      <c r="MTL23" s="476"/>
      <c r="MTM23" s="476"/>
      <c r="MTN23" s="476"/>
      <c r="MTO23" s="476"/>
      <c r="MTP23" s="476"/>
      <c r="MTQ23" s="476"/>
      <c r="MTR23" s="476"/>
      <c r="MTS23" s="476"/>
      <c r="MTT23" s="476"/>
      <c r="MTU23" s="476"/>
      <c r="MTV23" s="476"/>
      <c r="MTW23" s="476"/>
      <c r="MTX23" s="476"/>
      <c r="MTY23" s="476"/>
      <c r="MTZ23" s="476"/>
      <c r="MUA23" s="476"/>
      <c r="MUB23" s="476"/>
      <c r="MUC23" s="476"/>
      <c r="MUD23" s="476"/>
      <c r="MUE23" s="476"/>
      <c r="MUF23" s="476"/>
      <c r="MUG23" s="476"/>
      <c r="MUH23" s="476"/>
      <c r="MUI23" s="476"/>
      <c r="MUJ23" s="476"/>
      <c r="MUK23" s="476"/>
      <c r="MUL23" s="476"/>
      <c r="MUM23" s="476"/>
      <c r="MUN23" s="476"/>
      <c r="MUO23" s="476"/>
      <c r="MUP23" s="476"/>
      <c r="MUQ23" s="476"/>
      <c r="MUR23" s="476"/>
      <c r="MUS23" s="476"/>
      <c r="MUT23" s="476"/>
      <c r="MUU23" s="476"/>
      <c r="MUV23" s="476"/>
      <c r="MUW23" s="476"/>
      <c r="MUX23" s="476"/>
      <c r="MUY23" s="476"/>
      <c r="MUZ23" s="476"/>
      <c r="MVA23" s="476"/>
      <c r="MVB23" s="476"/>
      <c r="MVC23" s="476"/>
      <c r="MVD23" s="476"/>
      <c r="MVE23" s="476"/>
      <c r="MVF23" s="476"/>
      <c r="MVG23" s="476"/>
      <c r="MVH23" s="476"/>
      <c r="MVI23" s="476"/>
      <c r="MVJ23" s="476"/>
      <c r="MVK23" s="476"/>
      <c r="MVL23" s="476"/>
      <c r="MVM23" s="476"/>
      <c r="MVN23" s="476"/>
      <c r="MVO23" s="476"/>
      <c r="MVP23" s="476"/>
      <c r="MVQ23" s="476"/>
      <c r="MVR23" s="476"/>
      <c r="MVS23" s="476"/>
      <c r="MVT23" s="476"/>
      <c r="MVU23" s="476"/>
      <c r="MVV23" s="476"/>
      <c r="MVW23" s="476"/>
      <c r="MVX23" s="476"/>
      <c r="MVY23" s="476"/>
      <c r="MVZ23" s="476"/>
      <c r="MWA23" s="476"/>
      <c r="MWB23" s="476"/>
      <c r="MWC23" s="476"/>
      <c r="MWD23" s="476"/>
      <c r="MWE23" s="476"/>
      <c r="MWF23" s="476"/>
      <c r="MWG23" s="476"/>
      <c r="MWH23" s="476"/>
      <c r="MWI23" s="476"/>
      <c r="MWJ23" s="476"/>
      <c r="MWK23" s="476"/>
      <c r="MWL23" s="476"/>
      <c r="MWM23" s="476"/>
      <c r="MWN23" s="476"/>
      <c r="MWO23" s="476"/>
      <c r="MWP23" s="476"/>
      <c r="MWQ23" s="476"/>
      <c r="MWR23" s="476"/>
      <c r="MWS23" s="476"/>
      <c r="MWT23" s="476"/>
      <c r="MWU23" s="476"/>
      <c r="MWV23" s="476"/>
      <c r="MWW23" s="476"/>
      <c r="MWX23" s="476"/>
      <c r="MWY23" s="476"/>
      <c r="MWZ23" s="476"/>
      <c r="MXA23" s="476"/>
      <c r="MXB23" s="476"/>
      <c r="MXC23" s="476"/>
      <c r="MXD23" s="476"/>
      <c r="MXE23" s="476"/>
      <c r="MXF23" s="476"/>
      <c r="MXG23" s="476"/>
      <c r="MXH23" s="476"/>
      <c r="MXI23" s="476"/>
      <c r="MXJ23" s="476"/>
      <c r="MXK23" s="476"/>
      <c r="MXL23" s="476"/>
      <c r="MXM23" s="476"/>
      <c r="MXN23" s="476"/>
      <c r="MXO23" s="476"/>
      <c r="MXP23" s="476"/>
      <c r="MXQ23" s="476"/>
      <c r="MXR23" s="476"/>
      <c r="MXS23" s="476"/>
      <c r="MXT23" s="476"/>
      <c r="MXU23" s="476"/>
      <c r="MXV23" s="476"/>
      <c r="MXW23" s="476"/>
      <c r="MXX23" s="476"/>
      <c r="MXY23" s="476"/>
      <c r="MXZ23" s="476"/>
      <c r="MYA23" s="476"/>
      <c r="MYB23" s="476"/>
      <c r="MYC23" s="476"/>
      <c r="MYD23" s="476"/>
      <c r="MYE23" s="476"/>
      <c r="MYF23" s="476"/>
      <c r="MYG23" s="476"/>
      <c r="MYH23" s="476"/>
      <c r="MYI23" s="476"/>
      <c r="MYJ23" s="476"/>
      <c r="MYK23" s="476"/>
      <c r="MYL23" s="476"/>
      <c r="MYM23" s="476"/>
      <c r="MYN23" s="476"/>
      <c r="MYO23" s="476"/>
      <c r="MYP23" s="476"/>
      <c r="MYQ23" s="476"/>
      <c r="MYR23" s="476"/>
      <c r="MYS23" s="476"/>
      <c r="MYT23" s="476"/>
      <c r="MYU23" s="476"/>
      <c r="MYV23" s="476"/>
      <c r="MYW23" s="476"/>
      <c r="MYX23" s="476"/>
      <c r="MYY23" s="476"/>
      <c r="MYZ23" s="476"/>
      <c r="MZA23" s="476"/>
      <c r="MZB23" s="476"/>
      <c r="MZC23" s="476"/>
      <c r="MZD23" s="476"/>
      <c r="MZE23" s="476"/>
      <c r="MZF23" s="476"/>
      <c r="MZG23" s="476"/>
      <c r="MZH23" s="476"/>
      <c r="MZI23" s="476"/>
      <c r="MZJ23" s="476"/>
      <c r="MZK23" s="476"/>
      <c r="MZL23" s="476"/>
      <c r="MZM23" s="476"/>
      <c r="MZN23" s="476"/>
      <c r="MZO23" s="476"/>
      <c r="MZP23" s="476"/>
      <c r="MZQ23" s="476"/>
      <c r="MZR23" s="476"/>
      <c r="MZS23" s="476"/>
      <c r="MZT23" s="476"/>
      <c r="MZU23" s="476"/>
      <c r="MZV23" s="476"/>
      <c r="MZW23" s="476"/>
      <c r="MZX23" s="476"/>
      <c r="MZY23" s="476"/>
      <c r="MZZ23" s="476"/>
      <c r="NAA23" s="476"/>
      <c r="NAB23" s="476"/>
      <c r="NAC23" s="476"/>
      <c r="NAD23" s="476"/>
      <c r="NAE23" s="476"/>
      <c r="NAF23" s="476"/>
      <c r="NAG23" s="476"/>
      <c r="NAH23" s="476"/>
      <c r="NAI23" s="476"/>
      <c r="NAJ23" s="476"/>
      <c r="NAK23" s="476"/>
      <c r="NAL23" s="476"/>
      <c r="NAM23" s="476"/>
      <c r="NAN23" s="476"/>
      <c r="NAO23" s="476"/>
      <c r="NAP23" s="476"/>
      <c r="NAQ23" s="476"/>
      <c r="NAR23" s="476"/>
      <c r="NAS23" s="476"/>
      <c r="NAT23" s="476"/>
      <c r="NAU23" s="476"/>
      <c r="NAV23" s="476"/>
      <c r="NAW23" s="476"/>
      <c r="NAX23" s="476"/>
      <c r="NAY23" s="476"/>
      <c r="NAZ23" s="476"/>
      <c r="NBA23" s="476"/>
      <c r="NBB23" s="476"/>
      <c r="NBC23" s="476"/>
      <c r="NBD23" s="476"/>
      <c r="NBE23" s="476"/>
      <c r="NBF23" s="476"/>
      <c r="NBG23" s="476"/>
      <c r="NBH23" s="476"/>
      <c r="NBI23" s="476"/>
      <c r="NBJ23" s="476"/>
      <c r="NBK23" s="476"/>
      <c r="NBL23" s="476"/>
      <c r="NBM23" s="476"/>
      <c r="NBN23" s="476"/>
      <c r="NBO23" s="476"/>
      <c r="NBP23" s="476"/>
      <c r="NBQ23" s="476"/>
      <c r="NBR23" s="476"/>
      <c r="NBS23" s="476"/>
      <c r="NBT23" s="476"/>
      <c r="NBU23" s="476"/>
      <c r="NBV23" s="476"/>
      <c r="NBW23" s="476"/>
      <c r="NBX23" s="476"/>
      <c r="NBY23" s="476"/>
      <c r="NBZ23" s="476"/>
      <c r="NCA23" s="476"/>
      <c r="NCB23" s="476"/>
      <c r="NCC23" s="476"/>
      <c r="NCD23" s="476"/>
      <c r="NCE23" s="476"/>
      <c r="NCF23" s="476"/>
      <c r="NCG23" s="476"/>
      <c r="NCH23" s="476"/>
      <c r="NCI23" s="476"/>
      <c r="NCJ23" s="476"/>
      <c r="NCK23" s="476"/>
      <c r="NCL23" s="476"/>
      <c r="NCM23" s="476"/>
      <c r="NCN23" s="476"/>
      <c r="NCO23" s="476"/>
      <c r="NCP23" s="476"/>
      <c r="NCQ23" s="476"/>
      <c r="NCR23" s="476"/>
      <c r="NCS23" s="476"/>
      <c r="NCT23" s="476"/>
      <c r="NCU23" s="476"/>
      <c r="NCV23" s="476"/>
      <c r="NCW23" s="476"/>
      <c r="NCX23" s="476"/>
      <c r="NCY23" s="476"/>
      <c r="NCZ23" s="476"/>
      <c r="NDA23" s="476"/>
      <c r="NDB23" s="476"/>
      <c r="NDC23" s="476"/>
      <c r="NDD23" s="476"/>
      <c r="NDE23" s="476"/>
      <c r="NDF23" s="476"/>
      <c r="NDG23" s="476"/>
      <c r="NDH23" s="476"/>
      <c r="NDI23" s="476"/>
      <c r="NDJ23" s="476"/>
      <c r="NDK23" s="476"/>
      <c r="NDL23" s="476"/>
      <c r="NDM23" s="476"/>
      <c r="NDN23" s="476"/>
      <c r="NDO23" s="476"/>
      <c r="NDP23" s="476"/>
      <c r="NDQ23" s="476"/>
      <c r="NDR23" s="476"/>
      <c r="NDS23" s="476"/>
      <c r="NDT23" s="476"/>
      <c r="NDU23" s="476"/>
      <c r="NDV23" s="476"/>
      <c r="NDW23" s="476"/>
      <c r="NDX23" s="476"/>
      <c r="NDY23" s="476"/>
      <c r="NDZ23" s="476"/>
      <c r="NEA23" s="476"/>
      <c r="NEB23" s="476"/>
      <c r="NEC23" s="476"/>
      <c r="NED23" s="476"/>
      <c r="NEE23" s="476"/>
      <c r="NEF23" s="476"/>
      <c r="NEG23" s="476"/>
      <c r="NEH23" s="476"/>
      <c r="NEI23" s="476"/>
      <c r="NEJ23" s="476"/>
      <c r="NEK23" s="476"/>
      <c r="NEL23" s="476"/>
      <c r="NEM23" s="476"/>
      <c r="NEN23" s="476"/>
      <c r="NEO23" s="476"/>
      <c r="NEP23" s="476"/>
      <c r="NEQ23" s="476"/>
      <c r="NER23" s="476"/>
      <c r="NES23" s="476"/>
      <c r="NET23" s="476"/>
      <c r="NEU23" s="476"/>
      <c r="NEV23" s="476"/>
      <c r="NEW23" s="476"/>
      <c r="NEX23" s="476"/>
      <c r="NEY23" s="476"/>
      <c r="NEZ23" s="476"/>
      <c r="NFA23" s="476"/>
      <c r="NFB23" s="476"/>
      <c r="NFC23" s="476"/>
      <c r="NFD23" s="476"/>
      <c r="NFE23" s="476"/>
      <c r="NFF23" s="476"/>
      <c r="NFG23" s="476"/>
      <c r="NFH23" s="476"/>
      <c r="NFI23" s="476"/>
      <c r="NFJ23" s="476"/>
      <c r="NFK23" s="476"/>
      <c r="NFL23" s="476"/>
      <c r="NFM23" s="476"/>
      <c r="NFN23" s="476"/>
      <c r="NFO23" s="476"/>
      <c r="NFP23" s="476"/>
      <c r="NFQ23" s="476"/>
      <c r="NFR23" s="476"/>
      <c r="NFS23" s="476"/>
      <c r="NFT23" s="476"/>
      <c r="NFU23" s="476"/>
      <c r="NFV23" s="476"/>
      <c r="NFW23" s="476"/>
      <c r="NFX23" s="476"/>
      <c r="NFY23" s="476"/>
      <c r="NFZ23" s="476"/>
      <c r="NGA23" s="476"/>
      <c r="NGB23" s="476"/>
      <c r="NGC23" s="476"/>
      <c r="NGD23" s="476"/>
      <c r="NGE23" s="476"/>
      <c r="NGF23" s="476"/>
      <c r="NGG23" s="476"/>
      <c r="NGH23" s="476"/>
      <c r="NGI23" s="476"/>
      <c r="NGJ23" s="476"/>
      <c r="NGK23" s="476"/>
      <c r="NGL23" s="476"/>
      <c r="NGM23" s="476"/>
      <c r="NGN23" s="476"/>
      <c r="NGO23" s="476"/>
      <c r="NGP23" s="476"/>
      <c r="NGQ23" s="476"/>
      <c r="NGR23" s="476"/>
      <c r="NGS23" s="476"/>
      <c r="NGT23" s="476"/>
      <c r="NGU23" s="476"/>
      <c r="NGV23" s="476"/>
      <c r="NGW23" s="476"/>
      <c r="NGX23" s="476"/>
      <c r="NGY23" s="476"/>
      <c r="NGZ23" s="476"/>
      <c r="NHA23" s="476"/>
      <c r="NHB23" s="476"/>
      <c r="NHC23" s="476"/>
      <c r="NHD23" s="476"/>
      <c r="NHE23" s="476"/>
      <c r="NHF23" s="476"/>
      <c r="NHG23" s="476"/>
      <c r="NHH23" s="476"/>
      <c r="NHI23" s="476"/>
      <c r="NHJ23" s="476"/>
      <c r="NHK23" s="476"/>
      <c r="NHL23" s="476"/>
      <c r="NHM23" s="476"/>
      <c r="NHN23" s="476"/>
      <c r="NHO23" s="476"/>
      <c r="NHP23" s="476"/>
      <c r="NHQ23" s="476"/>
      <c r="NHR23" s="476"/>
      <c r="NHS23" s="476"/>
      <c r="NHT23" s="476"/>
      <c r="NHU23" s="476"/>
      <c r="NHV23" s="476"/>
      <c r="NHW23" s="476"/>
      <c r="NHX23" s="476"/>
      <c r="NHY23" s="476"/>
      <c r="NHZ23" s="476"/>
      <c r="NIA23" s="476"/>
      <c r="NIB23" s="476"/>
      <c r="NIC23" s="476"/>
      <c r="NID23" s="476"/>
      <c r="NIE23" s="476"/>
      <c r="NIF23" s="476"/>
      <c r="NIG23" s="476"/>
      <c r="NIH23" s="476"/>
      <c r="NII23" s="476"/>
      <c r="NIJ23" s="476"/>
      <c r="NIK23" s="476"/>
      <c r="NIL23" s="476"/>
      <c r="NIM23" s="476"/>
      <c r="NIN23" s="476"/>
      <c r="NIO23" s="476"/>
      <c r="NIP23" s="476"/>
      <c r="NIQ23" s="476"/>
      <c r="NIR23" s="476"/>
      <c r="NIS23" s="476"/>
      <c r="NIT23" s="476"/>
      <c r="NIU23" s="476"/>
      <c r="NIV23" s="476"/>
      <c r="NIW23" s="476"/>
      <c r="NIX23" s="476"/>
      <c r="NIY23" s="476"/>
      <c r="NIZ23" s="476"/>
      <c r="NJA23" s="476"/>
      <c r="NJB23" s="476"/>
      <c r="NJC23" s="476"/>
      <c r="NJD23" s="476"/>
      <c r="NJE23" s="476"/>
      <c r="NJF23" s="476"/>
      <c r="NJG23" s="476"/>
      <c r="NJH23" s="476"/>
      <c r="NJI23" s="476"/>
      <c r="NJJ23" s="476"/>
      <c r="NJK23" s="476"/>
      <c r="NJL23" s="476"/>
      <c r="NJM23" s="476"/>
      <c r="NJN23" s="476"/>
      <c r="NJO23" s="476"/>
      <c r="NJP23" s="476"/>
      <c r="NJQ23" s="476"/>
      <c r="NJR23" s="476"/>
      <c r="NJS23" s="476"/>
      <c r="NJT23" s="476"/>
      <c r="NJU23" s="476"/>
      <c r="NJV23" s="476"/>
      <c r="NJW23" s="476"/>
      <c r="NJX23" s="476"/>
      <c r="NJY23" s="476"/>
      <c r="NJZ23" s="476"/>
      <c r="NKA23" s="476"/>
      <c r="NKB23" s="476"/>
      <c r="NKC23" s="476"/>
      <c r="NKD23" s="476"/>
      <c r="NKE23" s="476"/>
      <c r="NKF23" s="476"/>
      <c r="NKG23" s="476"/>
      <c r="NKH23" s="476"/>
      <c r="NKI23" s="476"/>
      <c r="NKJ23" s="476"/>
      <c r="NKK23" s="476"/>
      <c r="NKL23" s="476"/>
      <c r="NKM23" s="476"/>
      <c r="NKN23" s="476"/>
      <c r="NKO23" s="476"/>
      <c r="NKP23" s="476"/>
      <c r="NKQ23" s="476"/>
      <c r="NKR23" s="476"/>
      <c r="NKS23" s="476"/>
      <c r="NKT23" s="476"/>
      <c r="NKU23" s="476"/>
      <c r="NKV23" s="476"/>
      <c r="NKW23" s="476"/>
      <c r="NKX23" s="476"/>
      <c r="NKY23" s="476"/>
      <c r="NKZ23" s="476"/>
      <c r="NLA23" s="476"/>
      <c r="NLB23" s="476"/>
      <c r="NLC23" s="476"/>
      <c r="NLD23" s="476"/>
      <c r="NLE23" s="476"/>
      <c r="NLF23" s="476"/>
      <c r="NLG23" s="476"/>
      <c r="NLH23" s="476"/>
      <c r="NLI23" s="476"/>
      <c r="NLJ23" s="476"/>
      <c r="NLK23" s="476"/>
      <c r="NLL23" s="476"/>
      <c r="NLM23" s="476"/>
      <c r="NLN23" s="476"/>
      <c r="NLO23" s="476"/>
      <c r="NLP23" s="476"/>
      <c r="NLQ23" s="476"/>
      <c r="NLR23" s="476"/>
      <c r="NLS23" s="476"/>
      <c r="NLT23" s="476"/>
      <c r="NLU23" s="476"/>
      <c r="NLV23" s="476"/>
      <c r="NLW23" s="476"/>
      <c r="NLX23" s="476"/>
      <c r="NLY23" s="476"/>
      <c r="NLZ23" s="476"/>
      <c r="NMA23" s="476"/>
      <c r="NMB23" s="476"/>
      <c r="NMC23" s="476"/>
      <c r="NMD23" s="476"/>
      <c r="NME23" s="476"/>
      <c r="NMF23" s="476"/>
      <c r="NMG23" s="476"/>
      <c r="NMH23" s="476"/>
      <c r="NMI23" s="476"/>
      <c r="NMJ23" s="476"/>
      <c r="NMK23" s="476"/>
      <c r="NML23" s="476"/>
      <c r="NMM23" s="476"/>
      <c r="NMN23" s="476"/>
      <c r="NMO23" s="476"/>
      <c r="NMP23" s="476"/>
      <c r="NMQ23" s="476"/>
      <c r="NMR23" s="476"/>
      <c r="NMS23" s="476"/>
      <c r="NMT23" s="476"/>
      <c r="NMU23" s="476"/>
      <c r="NMV23" s="476"/>
      <c r="NMW23" s="476"/>
      <c r="NMX23" s="476"/>
      <c r="NMY23" s="476"/>
      <c r="NMZ23" s="476"/>
      <c r="NNA23" s="476"/>
      <c r="NNB23" s="476"/>
      <c r="NNC23" s="476"/>
      <c r="NND23" s="476"/>
      <c r="NNE23" s="476"/>
      <c r="NNF23" s="476"/>
      <c r="NNG23" s="476"/>
      <c r="NNH23" s="476"/>
      <c r="NNI23" s="476"/>
      <c r="NNJ23" s="476"/>
      <c r="NNK23" s="476"/>
      <c r="NNL23" s="476"/>
      <c r="NNM23" s="476"/>
      <c r="NNN23" s="476"/>
      <c r="NNO23" s="476"/>
      <c r="NNP23" s="476"/>
      <c r="NNQ23" s="476"/>
      <c r="NNR23" s="476"/>
      <c r="NNS23" s="476"/>
      <c r="NNT23" s="476"/>
      <c r="NNU23" s="476"/>
      <c r="NNV23" s="476"/>
      <c r="NNW23" s="476"/>
      <c r="NNX23" s="476"/>
      <c r="NNY23" s="476"/>
      <c r="NNZ23" s="476"/>
      <c r="NOA23" s="476"/>
      <c r="NOB23" s="476"/>
      <c r="NOC23" s="476"/>
      <c r="NOD23" s="476"/>
      <c r="NOE23" s="476"/>
      <c r="NOF23" s="476"/>
      <c r="NOG23" s="476"/>
      <c r="NOH23" s="476"/>
      <c r="NOI23" s="476"/>
      <c r="NOJ23" s="476"/>
      <c r="NOK23" s="476"/>
      <c r="NOL23" s="476"/>
      <c r="NOM23" s="476"/>
      <c r="NON23" s="476"/>
      <c r="NOO23" s="476"/>
      <c r="NOP23" s="476"/>
      <c r="NOQ23" s="476"/>
      <c r="NOR23" s="476"/>
      <c r="NOS23" s="476"/>
      <c r="NOT23" s="476"/>
      <c r="NOU23" s="476"/>
      <c r="NOV23" s="476"/>
      <c r="NOW23" s="476"/>
      <c r="NOX23" s="476"/>
      <c r="NOY23" s="476"/>
      <c r="NOZ23" s="476"/>
      <c r="NPA23" s="476"/>
      <c r="NPB23" s="476"/>
      <c r="NPC23" s="476"/>
      <c r="NPD23" s="476"/>
      <c r="NPE23" s="476"/>
      <c r="NPF23" s="476"/>
      <c r="NPG23" s="476"/>
      <c r="NPH23" s="476"/>
      <c r="NPI23" s="476"/>
      <c r="NPJ23" s="476"/>
      <c r="NPK23" s="476"/>
      <c r="NPL23" s="476"/>
      <c r="NPM23" s="476"/>
      <c r="NPN23" s="476"/>
      <c r="NPO23" s="476"/>
      <c r="NPP23" s="476"/>
      <c r="NPQ23" s="476"/>
      <c r="NPR23" s="476"/>
      <c r="NPS23" s="476"/>
      <c r="NPT23" s="476"/>
      <c r="NPU23" s="476"/>
      <c r="NPV23" s="476"/>
      <c r="NPW23" s="476"/>
      <c r="NPX23" s="476"/>
      <c r="NPY23" s="476"/>
      <c r="NPZ23" s="476"/>
      <c r="NQA23" s="476"/>
      <c r="NQB23" s="476"/>
      <c r="NQC23" s="476"/>
      <c r="NQD23" s="476"/>
      <c r="NQE23" s="476"/>
      <c r="NQF23" s="476"/>
      <c r="NQG23" s="476"/>
      <c r="NQH23" s="476"/>
      <c r="NQI23" s="476"/>
      <c r="NQJ23" s="476"/>
      <c r="NQK23" s="476"/>
      <c r="NQL23" s="476"/>
      <c r="NQM23" s="476"/>
      <c r="NQN23" s="476"/>
      <c r="NQO23" s="476"/>
      <c r="NQP23" s="476"/>
      <c r="NQQ23" s="476"/>
      <c r="NQR23" s="476"/>
      <c r="NQS23" s="476"/>
      <c r="NQT23" s="476"/>
      <c r="NQU23" s="476"/>
      <c r="NQV23" s="476"/>
      <c r="NQW23" s="476"/>
      <c r="NQX23" s="476"/>
      <c r="NQY23" s="476"/>
      <c r="NQZ23" s="476"/>
      <c r="NRA23" s="476"/>
      <c r="NRB23" s="476"/>
      <c r="NRC23" s="476"/>
      <c r="NRD23" s="476"/>
      <c r="NRE23" s="476"/>
      <c r="NRF23" s="476"/>
      <c r="NRG23" s="476"/>
      <c r="NRH23" s="476"/>
      <c r="NRI23" s="476"/>
      <c r="NRJ23" s="476"/>
      <c r="NRK23" s="476"/>
      <c r="NRL23" s="476"/>
      <c r="NRM23" s="476"/>
      <c r="NRN23" s="476"/>
      <c r="NRO23" s="476"/>
      <c r="NRP23" s="476"/>
      <c r="NRQ23" s="476"/>
      <c r="NRR23" s="476"/>
      <c r="NRS23" s="476"/>
      <c r="NRT23" s="476"/>
      <c r="NRU23" s="476"/>
      <c r="NRV23" s="476"/>
      <c r="NRW23" s="476"/>
      <c r="NRX23" s="476"/>
      <c r="NRY23" s="476"/>
      <c r="NRZ23" s="476"/>
      <c r="NSA23" s="476"/>
      <c r="NSB23" s="476"/>
      <c r="NSC23" s="476"/>
      <c r="NSD23" s="476"/>
      <c r="NSE23" s="476"/>
      <c r="NSF23" s="476"/>
      <c r="NSG23" s="476"/>
      <c r="NSH23" s="476"/>
      <c r="NSI23" s="476"/>
      <c r="NSJ23" s="476"/>
      <c r="NSK23" s="476"/>
      <c r="NSL23" s="476"/>
      <c r="NSM23" s="476"/>
      <c r="NSN23" s="476"/>
      <c r="NSO23" s="476"/>
      <c r="NSP23" s="476"/>
      <c r="NSQ23" s="476"/>
      <c r="NSR23" s="476"/>
      <c r="NSS23" s="476"/>
      <c r="NST23" s="476"/>
      <c r="NSU23" s="476"/>
      <c r="NSV23" s="476"/>
      <c r="NSW23" s="476"/>
      <c r="NSX23" s="476"/>
      <c r="NSY23" s="476"/>
      <c r="NSZ23" s="476"/>
      <c r="NTA23" s="476"/>
      <c r="NTB23" s="476"/>
      <c r="NTC23" s="476"/>
      <c r="NTD23" s="476"/>
      <c r="NTE23" s="476"/>
      <c r="NTF23" s="476"/>
      <c r="NTG23" s="476"/>
      <c r="NTH23" s="476"/>
      <c r="NTI23" s="476"/>
      <c r="NTJ23" s="476"/>
      <c r="NTK23" s="476"/>
      <c r="NTL23" s="476"/>
      <c r="NTM23" s="476"/>
      <c r="NTN23" s="476"/>
      <c r="NTO23" s="476"/>
      <c r="NTP23" s="476"/>
      <c r="NTQ23" s="476"/>
      <c r="NTR23" s="476"/>
      <c r="NTS23" s="476"/>
      <c r="NTT23" s="476"/>
      <c r="NTU23" s="476"/>
      <c r="NTV23" s="476"/>
      <c r="NTW23" s="476"/>
      <c r="NTX23" s="476"/>
      <c r="NTY23" s="476"/>
      <c r="NTZ23" s="476"/>
      <c r="NUA23" s="476"/>
      <c r="NUB23" s="476"/>
      <c r="NUC23" s="476"/>
      <c r="NUD23" s="476"/>
      <c r="NUE23" s="476"/>
      <c r="NUF23" s="476"/>
      <c r="NUG23" s="476"/>
      <c r="NUH23" s="476"/>
      <c r="NUI23" s="476"/>
      <c r="NUJ23" s="476"/>
      <c r="NUK23" s="476"/>
      <c r="NUL23" s="476"/>
      <c r="NUM23" s="476"/>
      <c r="NUN23" s="476"/>
      <c r="NUO23" s="476"/>
      <c r="NUP23" s="476"/>
      <c r="NUQ23" s="476"/>
      <c r="NUR23" s="476"/>
      <c r="NUS23" s="476"/>
      <c r="NUT23" s="476"/>
      <c r="NUU23" s="476"/>
      <c r="NUV23" s="476"/>
      <c r="NUW23" s="476"/>
      <c r="NUX23" s="476"/>
      <c r="NUY23" s="476"/>
      <c r="NUZ23" s="476"/>
      <c r="NVA23" s="476"/>
      <c r="NVB23" s="476"/>
      <c r="NVC23" s="476"/>
      <c r="NVD23" s="476"/>
      <c r="NVE23" s="476"/>
      <c r="NVF23" s="476"/>
      <c r="NVG23" s="476"/>
      <c r="NVH23" s="476"/>
      <c r="NVI23" s="476"/>
      <c r="NVJ23" s="476"/>
      <c r="NVK23" s="476"/>
      <c r="NVL23" s="476"/>
      <c r="NVM23" s="476"/>
      <c r="NVN23" s="476"/>
      <c r="NVO23" s="476"/>
      <c r="NVP23" s="476"/>
      <c r="NVQ23" s="476"/>
      <c r="NVR23" s="476"/>
      <c r="NVS23" s="476"/>
      <c r="NVT23" s="476"/>
      <c r="NVU23" s="476"/>
      <c r="NVV23" s="476"/>
      <c r="NVW23" s="476"/>
      <c r="NVX23" s="476"/>
      <c r="NVY23" s="476"/>
      <c r="NVZ23" s="476"/>
      <c r="NWA23" s="476"/>
      <c r="NWB23" s="476"/>
      <c r="NWC23" s="476"/>
      <c r="NWD23" s="476"/>
      <c r="NWE23" s="476"/>
      <c r="NWF23" s="476"/>
      <c r="NWG23" s="476"/>
      <c r="NWH23" s="476"/>
      <c r="NWI23" s="476"/>
      <c r="NWJ23" s="476"/>
      <c r="NWK23" s="476"/>
      <c r="NWL23" s="476"/>
      <c r="NWM23" s="476"/>
      <c r="NWN23" s="476"/>
      <c r="NWO23" s="476"/>
      <c r="NWP23" s="476"/>
      <c r="NWQ23" s="476"/>
      <c r="NWR23" s="476"/>
      <c r="NWS23" s="476"/>
      <c r="NWT23" s="476"/>
      <c r="NWU23" s="476"/>
      <c r="NWV23" s="476"/>
      <c r="NWW23" s="476"/>
      <c r="NWX23" s="476"/>
      <c r="NWY23" s="476"/>
      <c r="NWZ23" s="476"/>
      <c r="NXA23" s="476"/>
      <c r="NXB23" s="476"/>
      <c r="NXC23" s="476"/>
      <c r="NXD23" s="476"/>
      <c r="NXE23" s="476"/>
      <c r="NXF23" s="476"/>
      <c r="NXG23" s="476"/>
      <c r="NXH23" s="476"/>
      <c r="NXI23" s="476"/>
      <c r="NXJ23" s="476"/>
      <c r="NXK23" s="476"/>
      <c r="NXL23" s="476"/>
      <c r="NXM23" s="476"/>
      <c r="NXN23" s="476"/>
      <c r="NXO23" s="476"/>
      <c r="NXP23" s="476"/>
      <c r="NXQ23" s="476"/>
      <c r="NXR23" s="476"/>
      <c r="NXS23" s="476"/>
      <c r="NXT23" s="476"/>
      <c r="NXU23" s="476"/>
      <c r="NXV23" s="476"/>
      <c r="NXW23" s="476"/>
      <c r="NXX23" s="476"/>
      <c r="NXY23" s="476"/>
      <c r="NXZ23" s="476"/>
      <c r="NYA23" s="476"/>
      <c r="NYB23" s="476"/>
      <c r="NYC23" s="476"/>
      <c r="NYD23" s="476"/>
      <c r="NYE23" s="476"/>
      <c r="NYF23" s="476"/>
      <c r="NYG23" s="476"/>
      <c r="NYH23" s="476"/>
      <c r="NYI23" s="476"/>
      <c r="NYJ23" s="476"/>
      <c r="NYK23" s="476"/>
      <c r="NYL23" s="476"/>
      <c r="NYM23" s="476"/>
      <c r="NYN23" s="476"/>
      <c r="NYO23" s="476"/>
      <c r="NYP23" s="476"/>
      <c r="NYQ23" s="476"/>
      <c r="NYR23" s="476"/>
      <c r="NYS23" s="476"/>
      <c r="NYT23" s="476"/>
      <c r="NYU23" s="476"/>
      <c r="NYV23" s="476"/>
      <c r="NYW23" s="476"/>
      <c r="NYX23" s="476"/>
      <c r="NYY23" s="476"/>
      <c r="NYZ23" s="476"/>
      <c r="NZA23" s="476"/>
      <c r="NZB23" s="476"/>
      <c r="NZC23" s="476"/>
      <c r="NZD23" s="476"/>
      <c r="NZE23" s="476"/>
      <c r="NZF23" s="476"/>
      <c r="NZG23" s="476"/>
      <c r="NZH23" s="476"/>
      <c r="NZI23" s="476"/>
      <c r="NZJ23" s="476"/>
      <c r="NZK23" s="476"/>
      <c r="NZL23" s="476"/>
      <c r="NZM23" s="476"/>
      <c r="NZN23" s="476"/>
      <c r="NZO23" s="476"/>
      <c r="NZP23" s="476"/>
      <c r="NZQ23" s="476"/>
      <c r="NZR23" s="476"/>
      <c r="NZS23" s="476"/>
      <c r="NZT23" s="476"/>
      <c r="NZU23" s="476"/>
      <c r="NZV23" s="476"/>
      <c r="NZW23" s="476"/>
      <c r="NZX23" s="476"/>
      <c r="NZY23" s="476"/>
      <c r="NZZ23" s="476"/>
      <c r="OAA23" s="476"/>
      <c r="OAB23" s="476"/>
      <c r="OAC23" s="476"/>
      <c r="OAD23" s="476"/>
      <c r="OAE23" s="476"/>
      <c r="OAF23" s="476"/>
      <c r="OAG23" s="476"/>
      <c r="OAH23" s="476"/>
      <c r="OAI23" s="476"/>
      <c r="OAJ23" s="476"/>
      <c r="OAK23" s="476"/>
      <c r="OAL23" s="476"/>
      <c r="OAM23" s="476"/>
      <c r="OAN23" s="476"/>
      <c r="OAO23" s="476"/>
      <c r="OAP23" s="476"/>
      <c r="OAQ23" s="476"/>
      <c r="OAR23" s="476"/>
      <c r="OAS23" s="476"/>
      <c r="OAT23" s="476"/>
      <c r="OAU23" s="476"/>
      <c r="OAV23" s="476"/>
      <c r="OAW23" s="476"/>
      <c r="OAX23" s="476"/>
      <c r="OAY23" s="476"/>
      <c r="OAZ23" s="476"/>
      <c r="OBA23" s="476"/>
      <c r="OBB23" s="476"/>
      <c r="OBC23" s="476"/>
      <c r="OBD23" s="476"/>
      <c r="OBE23" s="476"/>
      <c r="OBF23" s="476"/>
      <c r="OBG23" s="476"/>
      <c r="OBH23" s="476"/>
      <c r="OBI23" s="476"/>
      <c r="OBJ23" s="476"/>
      <c r="OBK23" s="476"/>
      <c r="OBL23" s="476"/>
      <c r="OBM23" s="476"/>
      <c r="OBN23" s="476"/>
      <c r="OBO23" s="476"/>
      <c r="OBP23" s="476"/>
      <c r="OBQ23" s="476"/>
      <c r="OBR23" s="476"/>
      <c r="OBS23" s="476"/>
      <c r="OBT23" s="476"/>
      <c r="OBU23" s="476"/>
      <c r="OBV23" s="476"/>
      <c r="OBW23" s="476"/>
      <c r="OBX23" s="476"/>
      <c r="OBY23" s="476"/>
      <c r="OBZ23" s="476"/>
      <c r="OCA23" s="476"/>
      <c r="OCB23" s="476"/>
      <c r="OCC23" s="476"/>
      <c r="OCD23" s="476"/>
      <c r="OCE23" s="476"/>
      <c r="OCF23" s="476"/>
      <c r="OCG23" s="476"/>
      <c r="OCH23" s="476"/>
      <c r="OCI23" s="476"/>
      <c r="OCJ23" s="476"/>
      <c r="OCK23" s="476"/>
      <c r="OCL23" s="476"/>
      <c r="OCM23" s="476"/>
      <c r="OCN23" s="476"/>
      <c r="OCO23" s="476"/>
      <c r="OCP23" s="476"/>
      <c r="OCQ23" s="476"/>
      <c r="OCR23" s="476"/>
      <c r="OCS23" s="476"/>
      <c r="OCT23" s="476"/>
      <c r="OCU23" s="476"/>
      <c r="OCV23" s="476"/>
      <c r="OCW23" s="476"/>
      <c r="OCX23" s="476"/>
      <c r="OCY23" s="476"/>
      <c r="OCZ23" s="476"/>
      <c r="ODA23" s="476"/>
      <c r="ODB23" s="476"/>
      <c r="ODC23" s="476"/>
      <c r="ODD23" s="476"/>
      <c r="ODE23" s="476"/>
      <c r="ODF23" s="476"/>
      <c r="ODG23" s="476"/>
      <c r="ODH23" s="476"/>
      <c r="ODI23" s="476"/>
      <c r="ODJ23" s="476"/>
      <c r="ODK23" s="476"/>
      <c r="ODL23" s="476"/>
      <c r="ODM23" s="476"/>
      <c r="ODN23" s="476"/>
      <c r="ODO23" s="476"/>
      <c r="ODP23" s="476"/>
      <c r="ODQ23" s="476"/>
      <c r="ODR23" s="476"/>
      <c r="ODS23" s="476"/>
      <c r="ODT23" s="476"/>
      <c r="ODU23" s="476"/>
      <c r="ODV23" s="476"/>
      <c r="ODW23" s="476"/>
      <c r="ODX23" s="476"/>
      <c r="ODY23" s="476"/>
      <c r="ODZ23" s="476"/>
      <c r="OEA23" s="476"/>
      <c r="OEB23" s="476"/>
      <c r="OEC23" s="476"/>
      <c r="OED23" s="476"/>
      <c r="OEE23" s="476"/>
      <c r="OEF23" s="476"/>
      <c r="OEG23" s="476"/>
      <c r="OEH23" s="476"/>
      <c r="OEI23" s="476"/>
      <c r="OEJ23" s="476"/>
      <c r="OEK23" s="476"/>
      <c r="OEL23" s="476"/>
      <c r="OEM23" s="476"/>
      <c r="OEN23" s="476"/>
      <c r="OEO23" s="476"/>
      <c r="OEP23" s="476"/>
      <c r="OEQ23" s="476"/>
      <c r="OER23" s="476"/>
      <c r="OES23" s="476"/>
      <c r="OET23" s="476"/>
      <c r="OEU23" s="476"/>
      <c r="OEV23" s="476"/>
      <c r="OEW23" s="476"/>
      <c r="OEX23" s="476"/>
      <c r="OEY23" s="476"/>
      <c r="OEZ23" s="476"/>
      <c r="OFA23" s="476"/>
      <c r="OFB23" s="476"/>
      <c r="OFC23" s="476"/>
      <c r="OFD23" s="476"/>
      <c r="OFE23" s="476"/>
      <c r="OFF23" s="476"/>
      <c r="OFG23" s="476"/>
      <c r="OFH23" s="476"/>
      <c r="OFI23" s="476"/>
      <c r="OFJ23" s="476"/>
      <c r="OFK23" s="476"/>
      <c r="OFL23" s="476"/>
      <c r="OFM23" s="476"/>
      <c r="OFN23" s="476"/>
      <c r="OFO23" s="476"/>
      <c r="OFP23" s="476"/>
      <c r="OFQ23" s="476"/>
      <c r="OFR23" s="476"/>
      <c r="OFS23" s="476"/>
      <c r="OFT23" s="476"/>
      <c r="OFU23" s="476"/>
      <c r="OFV23" s="476"/>
      <c r="OFW23" s="476"/>
      <c r="OFX23" s="476"/>
      <c r="OFY23" s="476"/>
      <c r="OFZ23" s="476"/>
      <c r="OGA23" s="476"/>
      <c r="OGB23" s="476"/>
      <c r="OGC23" s="476"/>
      <c r="OGD23" s="476"/>
      <c r="OGE23" s="476"/>
      <c r="OGF23" s="476"/>
      <c r="OGG23" s="476"/>
      <c r="OGH23" s="476"/>
      <c r="OGI23" s="476"/>
      <c r="OGJ23" s="476"/>
      <c r="OGK23" s="476"/>
      <c r="OGL23" s="476"/>
      <c r="OGM23" s="476"/>
      <c r="OGN23" s="476"/>
      <c r="OGO23" s="476"/>
      <c r="OGP23" s="476"/>
      <c r="OGQ23" s="476"/>
      <c r="OGR23" s="476"/>
      <c r="OGS23" s="476"/>
      <c r="OGT23" s="476"/>
      <c r="OGU23" s="476"/>
      <c r="OGV23" s="476"/>
      <c r="OGW23" s="476"/>
      <c r="OGX23" s="476"/>
      <c r="OGY23" s="476"/>
      <c r="OGZ23" s="476"/>
      <c r="OHA23" s="476"/>
      <c r="OHB23" s="476"/>
      <c r="OHC23" s="476"/>
      <c r="OHD23" s="476"/>
      <c r="OHE23" s="476"/>
      <c r="OHF23" s="476"/>
      <c r="OHG23" s="476"/>
      <c r="OHH23" s="476"/>
      <c r="OHI23" s="476"/>
      <c r="OHJ23" s="476"/>
      <c r="OHK23" s="476"/>
      <c r="OHL23" s="476"/>
      <c r="OHM23" s="476"/>
      <c r="OHN23" s="476"/>
      <c r="OHO23" s="476"/>
      <c r="OHP23" s="476"/>
      <c r="OHQ23" s="476"/>
      <c r="OHR23" s="476"/>
      <c r="OHS23" s="476"/>
      <c r="OHT23" s="476"/>
      <c r="OHU23" s="476"/>
      <c r="OHV23" s="476"/>
      <c r="OHW23" s="476"/>
      <c r="OHX23" s="476"/>
      <c r="OHY23" s="476"/>
      <c r="OHZ23" s="476"/>
      <c r="OIA23" s="476"/>
      <c r="OIB23" s="476"/>
      <c r="OIC23" s="476"/>
      <c r="OID23" s="476"/>
      <c r="OIE23" s="476"/>
      <c r="OIF23" s="476"/>
      <c r="OIG23" s="476"/>
      <c r="OIH23" s="476"/>
      <c r="OII23" s="476"/>
      <c r="OIJ23" s="476"/>
      <c r="OIK23" s="476"/>
      <c r="OIL23" s="476"/>
      <c r="OIM23" s="476"/>
      <c r="OIN23" s="476"/>
      <c r="OIO23" s="476"/>
      <c r="OIP23" s="476"/>
      <c r="OIQ23" s="476"/>
      <c r="OIR23" s="476"/>
      <c r="OIS23" s="476"/>
      <c r="OIT23" s="476"/>
      <c r="OIU23" s="476"/>
      <c r="OIV23" s="476"/>
      <c r="OIW23" s="476"/>
      <c r="OIX23" s="476"/>
      <c r="OIY23" s="476"/>
      <c r="OIZ23" s="476"/>
      <c r="OJA23" s="476"/>
      <c r="OJB23" s="476"/>
      <c r="OJC23" s="476"/>
      <c r="OJD23" s="476"/>
      <c r="OJE23" s="476"/>
      <c r="OJF23" s="476"/>
      <c r="OJG23" s="476"/>
      <c r="OJH23" s="476"/>
      <c r="OJI23" s="476"/>
      <c r="OJJ23" s="476"/>
      <c r="OJK23" s="476"/>
      <c r="OJL23" s="476"/>
      <c r="OJM23" s="476"/>
      <c r="OJN23" s="476"/>
      <c r="OJO23" s="476"/>
      <c r="OJP23" s="476"/>
      <c r="OJQ23" s="476"/>
      <c r="OJR23" s="476"/>
      <c r="OJS23" s="476"/>
      <c r="OJT23" s="476"/>
      <c r="OJU23" s="476"/>
      <c r="OJV23" s="476"/>
      <c r="OJW23" s="476"/>
      <c r="OJX23" s="476"/>
      <c r="OJY23" s="476"/>
      <c r="OJZ23" s="476"/>
      <c r="OKA23" s="476"/>
      <c r="OKB23" s="476"/>
      <c r="OKC23" s="476"/>
      <c r="OKD23" s="476"/>
      <c r="OKE23" s="476"/>
      <c r="OKF23" s="476"/>
      <c r="OKG23" s="476"/>
      <c r="OKH23" s="476"/>
      <c r="OKI23" s="476"/>
      <c r="OKJ23" s="476"/>
      <c r="OKK23" s="476"/>
      <c r="OKL23" s="476"/>
      <c r="OKM23" s="476"/>
      <c r="OKN23" s="476"/>
      <c r="OKO23" s="476"/>
      <c r="OKP23" s="476"/>
      <c r="OKQ23" s="476"/>
      <c r="OKR23" s="476"/>
      <c r="OKS23" s="476"/>
      <c r="OKT23" s="476"/>
      <c r="OKU23" s="476"/>
      <c r="OKV23" s="476"/>
      <c r="OKW23" s="476"/>
      <c r="OKX23" s="476"/>
      <c r="OKY23" s="476"/>
      <c r="OKZ23" s="476"/>
      <c r="OLA23" s="476"/>
      <c r="OLB23" s="476"/>
      <c r="OLC23" s="476"/>
      <c r="OLD23" s="476"/>
      <c r="OLE23" s="476"/>
      <c r="OLF23" s="476"/>
      <c r="OLG23" s="476"/>
      <c r="OLH23" s="476"/>
      <c r="OLI23" s="476"/>
      <c r="OLJ23" s="476"/>
      <c r="OLK23" s="476"/>
      <c r="OLL23" s="476"/>
      <c r="OLM23" s="476"/>
      <c r="OLN23" s="476"/>
      <c r="OLO23" s="476"/>
      <c r="OLP23" s="476"/>
      <c r="OLQ23" s="476"/>
      <c r="OLR23" s="476"/>
      <c r="OLS23" s="476"/>
      <c r="OLT23" s="476"/>
      <c r="OLU23" s="476"/>
      <c r="OLV23" s="476"/>
      <c r="OLW23" s="476"/>
      <c r="OLX23" s="476"/>
      <c r="OLY23" s="476"/>
      <c r="OLZ23" s="476"/>
      <c r="OMA23" s="476"/>
      <c r="OMB23" s="476"/>
      <c r="OMC23" s="476"/>
      <c r="OMD23" s="476"/>
      <c r="OME23" s="476"/>
      <c r="OMF23" s="476"/>
      <c r="OMG23" s="476"/>
      <c r="OMH23" s="476"/>
      <c r="OMI23" s="476"/>
      <c r="OMJ23" s="476"/>
      <c r="OMK23" s="476"/>
      <c r="OML23" s="476"/>
      <c r="OMM23" s="476"/>
      <c r="OMN23" s="476"/>
      <c r="OMO23" s="476"/>
      <c r="OMP23" s="476"/>
      <c r="OMQ23" s="476"/>
      <c r="OMR23" s="476"/>
      <c r="OMS23" s="476"/>
      <c r="OMT23" s="476"/>
      <c r="OMU23" s="476"/>
      <c r="OMV23" s="476"/>
      <c r="OMW23" s="476"/>
      <c r="OMX23" s="476"/>
      <c r="OMY23" s="476"/>
      <c r="OMZ23" s="476"/>
      <c r="ONA23" s="476"/>
      <c r="ONB23" s="476"/>
      <c r="ONC23" s="476"/>
      <c r="OND23" s="476"/>
      <c r="ONE23" s="476"/>
      <c r="ONF23" s="476"/>
      <c r="ONG23" s="476"/>
      <c r="ONH23" s="476"/>
      <c r="ONI23" s="476"/>
      <c r="ONJ23" s="476"/>
      <c r="ONK23" s="476"/>
      <c r="ONL23" s="476"/>
      <c r="ONM23" s="476"/>
      <c r="ONN23" s="476"/>
      <c r="ONO23" s="476"/>
      <c r="ONP23" s="476"/>
      <c r="ONQ23" s="476"/>
      <c r="ONR23" s="476"/>
      <c r="ONS23" s="476"/>
      <c r="ONT23" s="476"/>
      <c r="ONU23" s="476"/>
      <c r="ONV23" s="476"/>
      <c r="ONW23" s="476"/>
      <c r="ONX23" s="476"/>
      <c r="ONY23" s="476"/>
      <c r="ONZ23" s="476"/>
      <c r="OOA23" s="476"/>
      <c r="OOB23" s="476"/>
      <c r="OOC23" s="476"/>
      <c r="OOD23" s="476"/>
      <c r="OOE23" s="476"/>
      <c r="OOF23" s="476"/>
      <c r="OOG23" s="476"/>
      <c r="OOH23" s="476"/>
      <c r="OOI23" s="476"/>
      <c r="OOJ23" s="476"/>
      <c r="OOK23" s="476"/>
      <c r="OOL23" s="476"/>
      <c r="OOM23" s="476"/>
      <c r="OON23" s="476"/>
      <c r="OOO23" s="476"/>
      <c r="OOP23" s="476"/>
      <c r="OOQ23" s="476"/>
      <c r="OOR23" s="476"/>
      <c r="OOS23" s="476"/>
      <c r="OOT23" s="476"/>
      <c r="OOU23" s="476"/>
      <c r="OOV23" s="476"/>
      <c r="OOW23" s="476"/>
      <c r="OOX23" s="476"/>
      <c r="OOY23" s="476"/>
      <c r="OOZ23" s="476"/>
      <c r="OPA23" s="476"/>
      <c r="OPB23" s="476"/>
      <c r="OPC23" s="476"/>
      <c r="OPD23" s="476"/>
      <c r="OPE23" s="476"/>
      <c r="OPF23" s="476"/>
      <c r="OPG23" s="476"/>
      <c r="OPH23" s="476"/>
      <c r="OPI23" s="476"/>
      <c r="OPJ23" s="476"/>
      <c r="OPK23" s="476"/>
      <c r="OPL23" s="476"/>
      <c r="OPM23" s="476"/>
      <c r="OPN23" s="476"/>
      <c r="OPO23" s="476"/>
      <c r="OPP23" s="476"/>
      <c r="OPQ23" s="476"/>
      <c r="OPR23" s="476"/>
      <c r="OPS23" s="476"/>
      <c r="OPT23" s="476"/>
      <c r="OPU23" s="476"/>
      <c r="OPV23" s="476"/>
      <c r="OPW23" s="476"/>
      <c r="OPX23" s="476"/>
      <c r="OPY23" s="476"/>
      <c r="OPZ23" s="476"/>
      <c r="OQA23" s="476"/>
      <c r="OQB23" s="476"/>
      <c r="OQC23" s="476"/>
      <c r="OQD23" s="476"/>
      <c r="OQE23" s="476"/>
      <c r="OQF23" s="476"/>
      <c r="OQG23" s="476"/>
      <c r="OQH23" s="476"/>
      <c r="OQI23" s="476"/>
      <c r="OQJ23" s="476"/>
      <c r="OQK23" s="476"/>
      <c r="OQL23" s="476"/>
      <c r="OQM23" s="476"/>
      <c r="OQN23" s="476"/>
      <c r="OQO23" s="476"/>
      <c r="OQP23" s="476"/>
      <c r="OQQ23" s="476"/>
      <c r="OQR23" s="476"/>
      <c r="OQS23" s="476"/>
      <c r="OQT23" s="476"/>
      <c r="OQU23" s="476"/>
      <c r="OQV23" s="476"/>
      <c r="OQW23" s="476"/>
      <c r="OQX23" s="476"/>
      <c r="OQY23" s="476"/>
      <c r="OQZ23" s="476"/>
      <c r="ORA23" s="476"/>
      <c r="ORB23" s="476"/>
      <c r="ORC23" s="476"/>
      <c r="ORD23" s="476"/>
      <c r="ORE23" s="476"/>
      <c r="ORF23" s="476"/>
      <c r="ORG23" s="476"/>
      <c r="ORH23" s="476"/>
      <c r="ORI23" s="476"/>
      <c r="ORJ23" s="476"/>
      <c r="ORK23" s="476"/>
      <c r="ORL23" s="476"/>
      <c r="ORM23" s="476"/>
      <c r="ORN23" s="476"/>
      <c r="ORO23" s="476"/>
      <c r="ORP23" s="476"/>
      <c r="ORQ23" s="476"/>
      <c r="ORR23" s="476"/>
      <c r="ORS23" s="476"/>
      <c r="ORT23" s="476"/>
      <c r="ORU23" s="476"/>
      <c r="ORV23" s="476"/>
      <c r="ORW23" s="476"/>
      <c r="ORX23" s="476"/>
      <c r="ORY23" s="476"/>
      <c r="ORZ23" s="476"/>
      <c r="OSA23" s="476"/>
      <c r="OSB23" s="476"/>
      <c r="OSC23" s="476"/>
      <c r="OSD23" s="476"/>
      <c r="OSE23" s="476"/>
      <c r="OSF23" s="476"/>
      <c r="OSG23" s="476"/>
      <c r="OSH23" s="476"/>
      <c r="OSI23" s="476"/>
      <c r="OSJ23" s="476"/>
      <c r="OSK23" s="476"/>
      <c r="OSL23" s="476"/>
      <c r="OSM23" s="476"/>
      <c r="OSN23" s="476"/>
      <c r="OSO23" s="476"/>
      <c r="OSP23" s="476"/>
      <c r="OSQ23" s="476"/>
      <c r="OSR23" s="476"/>
      <c r="OSS23" s="476"/>
      <c r="OST23" s="476"/>
      <c r="OSU23" s="476"/>
      <c r="OSV23" s="476"/>
      <c r="OSW23" s="476"/>
      <c r="OSX23" s="476"/>
      <c r="OSY23" s="476"/>
      <c r="OSZ23" s="476"/>
      <c r="OTA23" s="476"/>
      <c r="OTB23" s="476"/>
      <c r="OTC23" s="476"/>
      <c r="OTD23" s="476"/>
      <c r="OTE23" s="476"/>
      <c r="OTF23" s="476"/>
      <c r="OTG23" s="476"/>
      <c r="OTH23" s="476"/>
      <c r="OTI23" s="476"/>
      <c r="OTJ23" s="476"/>
      <c r="OTK23" s="476"/>
      <c r="OTL23" s="476"/>
      <c r="OTM23" s="476"/>
      <c r="OTN23" s="476"/>
      <c r="OTO23" s="476"/>
      <c r="OTP23" s="476"/>
      <c r="OTQ23" s="476"/>
      <c r="OTR23" s="476"/>
      <c r="OTS23" s="476"/>
      <c r="OTT23" s="476"/>
      <c r="OTU23" s="476"/>
      <c r="OTV23" s="476"/>
      <c r="OTW23" s="476"/>
      <c r="OTX23" s="476"/>
      <c r="OTY23" s="476"/>
      <c r="OTZ23" s="476"/>
      <c r="OUA23" s="476"/>
      <c r="OUB23" s="476"/>
      <c r="OUC23" s="476"/>
      <c r="OUD23" s="476"/>
      <c r="OUE23" s="476"/>
      <c r="OUF23" s="476"/>
      <c r="OUG23" s="476"/>
      <c r="OUH23" s="476"/>
      <c r="OUI23" s="476"/>
      <c r="OUJ23" s="476"/>
      <c r="OUK23" s="476"/>
      <c r="OUL23" s="476"/>
      <c r="OUM23" s="476"/>
      <c r="OUN23" s="476"/>
      <c r="OUO23" s="476"/>
      <c r="OUP23" s="476"/>
      <c r="OUQ23" s="476"/>
      <c r="OUR23" s="476"/>
      <c r="OUS23" s="476"/>
      <c r="OUT23" s="476"/>
      <c r="OUU23" s="476"/>
      <c r="OUV23" s="476"/>
      <c r="OUW23" s="476"/>
      <c r="OUX23" s="476"/>
      <c r="OUY23" s="476"/>
      <c r="OUZ23" s="476"/>
      <c r="OVA23" s="476"/>
      <c r="OVB23" s="476"/>
      <c r="OVC23" s="476"/>
      <c r="OVD23" s="476"/>
      <c r="OVE23" s="476"/>
      <c r="OVF23" s="476"/>
      <c r="OVG23" s="476"/>
      <c r="OVH23" s="476"/>
      <c r="OVI23" s="476"/>
      <c r="OVJ23" s="476"/>
      <c r="OVK23" s="476"/>
      <c r="OVL23" s="476"/>
      <c r="OVM23" s="476"/>
      <c r="OVN23" s="476"/>
      <c r="OVO23" s="476"/>
      <c r="OVP23" s="476"/>
      <c r="OVQ23" s="476"/>
      <c r="OVR23" s="476"/>
      <c r="OVS23" s="476"/>
      <c r="OVT23" s="476"/>
      <c r="OVU23" s="476"/>
      <c r="OVV23" s="476"/>
      <c r="OVW23" s="476"/>
      <c r="OVX23" s="476"/>
      <c r="OVY23" s="476"/>
      <c r="OVZ23" s="476"/>
      <c r="OWA23" s="476"/>
      <c r="OWB23" s="476"/>
      <c r="OWC23" s="476"/>
      <c r="OWD23" s="476"/>
      <c r="OWE23" s="476"/>
      <c r="OWF23" s="476"/>
      <c r="OWG23" s="476"/>
      <c r="OWH23" s="476"/>
      <c r="OWI23" s="476"/>
      <c r="OWJ23" s="476"/>
      <c r="OWK23" s="476"/>
      <c r="OWL23" s="476"/>
      <c r="OWM23" s="476"/>
      <c r="OWN23" s="476"/>
      <c r="OWO23" s="476"/>
      <c r="OWP23" s="476"/>
      <c r="OWQ23" s="476"/>
      <c r="OWR23" s="476"/>
      <c r="OWS23" s="476"/>
      <c r="OWT23" s="476"/>
      <c r="OWU23" s="476"/>
      <c r="OWV23" s="476"/>
      <c r="OWW23" s="476"/>
      <c r="OWX23" s="476"/>
      <c r="OWY23" s="476"/>
      <c r="OWZ23" s="476"/>
      <c r="OXA23" s="476"/>
      <c r="OXB23" s="476"/>
      <c r="OXC23" s="476"/>
      <c r="OXD23" s="476"/>
      <c r="OXE23" s="476"/>
      <c r="OXF23" s="476"/>
      <c r="OXG23" s="476"/>
      <c r="OXH23" s="476"/>
      <c r="OXI23" s="476"/>
      <c r="OXJ23" s="476"/>
      <c r="OXK23" s="476"/>
      <c r="OXL23" s="476"/>
      <c r="OXM23" s="476"/>
      <c r="OXN23" s="476"/>
      <c r="OXO23" s="476"/>
      <c r="OXP23" s="476"/>
      <c r="OXQ23" s="476"/>
      <c r="OXR23" s="476"/>
      <c r="OXS23" s="476"/>
      <c r="OXT23" s="476"/>
      <c r="OXU23" s="476"/>
      <c r="OXV23" s="476"/>
      <c r="OXW23" s="476"/>
      <c r="OXX23" s="476"/>
      <c r="OXY23" s="476"/>
      <c r="OXZ23" s="476"/>
      <c r="OYA23" s="476"/>
      <c r="OYB23" s="476"/>
      <c r="OYC23" s="476"/>
      <c r="OYD23" s="476"/>
      <c r="OYE23" s="476"/>
      <c r="OYF23" s="476"/>
      <c r="OYG23" s="476"/>
      <c r="OYH23" s="476"/>
      <c r="OYI23" s="476"/>
      <c r="OYJ23" s="476"/>
      <c r="OYK23" s="476"/>
      <c r="OYL23" s="476"/>
      <c r="OYM23" s="476"/>
      <c r="OYN23" s="476"/>
      <c r="OYO23" s="476"/>
      <c r="OYP23" s="476"/>
      <c r="OYQ23" s="476"/>
      <c r="OYR23" s="476"/>
      <c r="OYS23" s="476"/>
      <c r="OYT23" s="476"/>
      <c r="OYU23" s="476"/>
      <c r="OYV23" s="476"/>
      <c r="OYW23" s="476"/>
      <c r="OYX23" s="476"/>
      <c r="OYY23" s="476"/>
      <c r="OYZ23" s="476"/>
      <c r="OZA23" s="476"/>
      <c r="OZB23" s="476"/>
      <c r="OZC23" s="476"/>
      <c r="OZD23" s="476"/>
      <c r="OZE23" s="476"/>
      <c r="OZF23" s="476"/>
      <c r="OZG23" s="476"/>
      <c r="OZH23" s="476"/>
      <c r="OZI23" s="476"/>
      <c r="OZJ23" s="476"/>
      <c r="OZK23" s="476"/>
      <c r="OZL23" s="476"/>
      <c r="OZM23" s="476"/>
      <c r="OZN23" s="476"/>
      <c r="OZO23" s="476"/>
      <c r="OZP23" s="476"/>
      <c r="OZQ23" s="476"/>
      <c r="OZR23" s="476"/>
      <c r="OZS23" s="476"/>
      <c r="OZT23" s="476"/>
      <c r="OZU23" s="476"/>
      <c r="OZV23" s="476"/>
      <c r="OZW23" s="476"/>
      <c r="OZX23" s="476"/>
      <c r="OZY23" s="476"/>
      <c r="OZZ23" s="476"/>
      <c r="PAA23" s="476"/>
      <c r="PAB23" s="476"/>
      <c r="PAC23" s="476"/>
      <c r="PAD23" s="476"/>
      <c r="PAE23" s="476"/>
      <c r="PAF23" s="476"/>
      <c r="PAG23" s="476"/>
      <c r="PAH23" s="476"/>
      <c r="PAI23" s="476"/>
      <c r="PAJ23" s="476"/>
      <c r="PAK23" s="476"/>
      <c r="PAL23" s="476"/>
      <c r="PAM23" s="476"/>
      <c r="PAN23" s="476"/>
      <c r="PAO23" s="476"/>
      <c r="PAP23" s="476"/>
      <c r="PAQ23" s="476"/>
      <c r="PAR23" s="476"/>
      <c r="PAS23" s="476"/>
      <c r="PAT23" s="476"/>
      <c r="PAU23" s="476"/>
      <c r="PAV23" s="476"/>
      <c r="PAW23" s="476"/>
      <c r="PAX23" s="476"/>
      <c r="PAY23" s="476"/>
      <c r="PAZ23" s="476"/>
      <c r="PBA23" s="476"/>
      <c r="PBB23" s="476"/>
      <c r="PBC23" s="476"/>
      <c r="PBD23" s="476"/>
      <c r="PBE23" s="476"/>
      <c r="PBF23" s="476"/>
      <c r="PBG23" s="476"/>
      <c r="PBH23" s="476"/>
      <c r="PBI23" s="476"/>
      <c r="PBJ23" s="476"/>
      <c r="PBK23" s="476"/>
      <c r="PBL23" s="476"/>
      <c r="PBM23" s="476"/>
      <c r="PBN23" s="476"/>
      <c r="PBO23" s="476"/>
      <c r="PBP23" s="476"/>
      <c r="PBQ23" s="476"/>
      <c r="PBR23" s="476"/>
      <c r="PBS23" s="476"/>
      <c r="PBT23" s="476"/>
      <c r="PBU23" s="476"/>
      <c r="PBV23" s="476"/>
      <c r="PBW23" s="476"/>
      <c r="PBX23" s="476"/>
      <c r="PBY23" s="476"/>
      <c r="PBZ23" s="476"/>
      <c r="PCA23" s="476"/>
      <c r="PCB23" s="476"/>
      <c r="PCC23" s="476"/>
      <c r="PCD23" s="476"/>
      <c r="PCE23" s="476"/>
      <c r="PCF23" s="476"/>
      <c r="PCG23" s="476"/>
      <c r="PCH23" s="476"/>
      <c r="PCI23" s="476"/>
      <c r="PCJ23" s="476"/>
      <c r="PCK23" s="476"/>
      <c r="PCL23" s="476"/>
      <c r="PCM23" s="476"/>
      <c r="PCN23" s="476"/>
      <c r="PCO23" s="476"/>
      <c r="PCP23" s="476"/>
      <c r="PCQ23" s="476"/>
      <c r="PCR23" s="476"/>
      <c r="PCS23" s="476"/>
      <c r="PCT23" s="476"/>
      <c r="PCU23" s="476"/>
      <c r="PCV23" s="476"/>
      <c r="PCW23" s="476"/>
      <c r="PCX23" s="476"/>
      <c r="PCY23" s="476"/>
      <c r="PCZ23" s="476"/>
      <c r="PDA23" s="476"/>
      <c r="PDB23" s="476"/>
      <c r="PDC23" s="476"/>
      <c r="PDD23" s="476"/>
      <c r="PDE23" s="476"/>
      <c r="PDF23" s="476"/>
      <c r="PDG23" s="476"/>
      <c r="PDH23" s="476"/>
      <c r="PDI23" s="476"/>
      <c r="PDJ23" s="476"/>
      <c r="PDK23" s="476"/>
      <c r="PDL23" s="476"/>
      <c r="PDM23" s="476"/>
      <c r="PDN23" s="476"/>
      <c r="PDO23" s="476"/>
      <c r="PDP23" s="476"/>
      <c r="PDQ23" s="476"/>
      <c r="PDR23" s="476"/>
      <c r="PDS23" s="476"/>
      <c r="PDT23" s="476"/>
      <c r="PDU23" s="476"/>
      <c r="PDV23" s="476"/>
      <c r="PDW23" s="476"/>
      <c r="PDX23" s="476"/>
      <c r="PDY23" s="476"/>
      <c r="PDZ23" s="476"/>
      <c r="PEA23" s="476"/>
      <c r="PEB23" s="476"/>
      <c r="PEC23" s="476"/>
      <c r="PED23" s="476"/>
      <c r="PEE23" s="476"/>
      <c r="PEF23" s="476"/>
      <c r="PEG23" s="476"/>
      <c r="PEH23" s="476"/>
      <c r="PEI23" s="476"/>
      <c r="PEJ23" s="476"/>
      <c r="PEK23" s="476"/>
      <c r="PEL23" s="476"/>
      <c r="PEM23" s="476"/>
      <c r="PEN23" s="476"/>
      <c r="PEO23" s="476"/>
      <c r="PEP23" s="476"/>
      <c r="PEQ23" s="476"/>
      <c r="PER23" s="476"/>
      <c r="PES23" s="476"/>
      <c r="PET23" s="476"/>
      <c r="PEU23" s="476"/>
      <c r="PEV23" s="476"/>
      <c r="PEW23" s="476"/>
      <c r="PEX23" s="476"/>
      <c r="PEY23" s="476"/>
      <c r="PEZ23" s="476"/>
      <c r="PFA23" s="476"/>
      <c r="PFB23" s="476"/>
      <c r="PFC23" s="476"/>
      <c r="PFD23" s="476"/>
      <c r="PFE23" s="476"/>
      <c r="PFF23" s="476"/>
      <c r="PFG23" s="476"/>
      <c r="PFH23" s="476"/>
      <c r="PFI23" s="476"/>
      <c r="PFJ23" s="476"/>
      <c r="PFK23" s="476"/>
      <c r="PFL23" s="476"/>
      <c r="PFM23" s="476"/>
      <c r="PFN23" s="476"/>
      <c r="PFO23" s="476"/>
      <c r="PFP23" s="476"/>
      <c r="PFQ23" s="476"/>
      <c r="PFR23" s="476"/>
      <c r="PFS23" s="476"/>
      <c r="PFT23" s="476"/>
      <c r="PFU23" s="476"/>
      <c r="PFV23" s="476"/>
      <c r="PFW23" s="476"/>
      <c r="PFX23" s="476"/>
      <c r="PFY23" s="476"/>
      <c r="PFZ23" s="476"/>
      <c r="PGA23" s="476"/>
      <c r="PGB23" s="476"/>
      <c r="PGC23" s="476"/>
      <c r="PGD23" s="476"/>
      <c r="PGE23" s="476"/>
      <c r="PGF23" s="476"/>
      <c r="PGG23" s="476"/>
      <c r="PGH23" s="476"/>
      <c r="PGI23" s="476"/>
      <c r="PGJ23" s="476"/>
      <c r="PGK23" s="476"/>
      <c r="PGL23" s="476"/>
      <c r="PGM23" s="476"/>
      <c r="PGN23" s="476"/>
      <c r="PGO23" s="476"/>
      <c r="PGP23" s="476"/>
      <c r="PGQ23" s="476"/>
      <c r="PGR23" s="476"/>
      <c r="PGS23" s="476"/>
      <c r="PGT23" s="476"/>
      <c r="PGU23" s="476"/>
      <c r="PGV23" s="476"/>
      <c r="PGW23" s="476"/>
      <c r="PGX23" s="476"/>
      <c r="PGY23" s="476"/>
      <c r="PGZ23" s="476"/>
      <c r="PHA23" s="476"/>
      <c r="PHB23" s="476"/>
      <c r="PHC23" s="476"/>
      <c r="PHD23" s="476"/>
      <c r="PHE23" s="476"/>
      <c r="PHF23" s="476"/>
      <c r="PHG23" s="476"/>
      <c r="PHH23" s="476"/>
      <c r="PHI23" s="476"/>
      <c r="PHJ23" s="476"/>
      <c r="PHK23" s="476"/>
      <c r="PHL23" s="476"/>
      <c r="PHM23" s="476"/>
      <c r="PHN23" s="476"/>
      <c r="PHO23" s="476"/>
      <c r="PHP23" s="476"/>
      <c r="PHQ23" s="476"/>
      <c r="PHR23" s="476"/>
      <c r="PHS23" s="476"/>
      <c r="PHT23" s="476"/>
      <c r="PHU23" s="476"/>
      <c r="PHV23" s="476"/>
      <c r="PHW23" s="476"/>
      <c r="PHX23" s="476"/>
      <c r="PHY23" s="476"/>
      <c r="PHZ23" s="476"/>
      <c r="PIA23" s="476"/>
      <c r="PIB23" s="476"/>
      <c r="PIC23" s="476"/>
      <c r="PID23" s="476"/>
      <c r="PIE23" s="476"/>
      <c r="PIF23" s="476"/>
      <c r="PIG23" s="476"/>
      <c r="PIH23" s="476"/>
      <c r="PII23" s="476"/>
      <c r="PIJ23" s="476"/>
      <c r="PIK23" s="476"/>
      <c r="PIL23" s="476"/>
      <c r="PIM23" s="476"/>
      <c r="PIN23" s="476"/>
      <c r="PIO23" s="476"/>
      <c r="PIP23" s="476"/>
      <c r="PIQ23" s="476"/>
      <c r="PIR23" s="476"/>
      <c r="PIS23" s="476"/>
      <c r="PIT23" s="476"/>
      <c r="PIU23" s="476"/>
      <c r="PIV23" s="476"/>
      <c r="PIW23" s="476"/>
      <c r="PIX23" s="476"/>
      <c r="PIY23" s="476"/>
      <c r="PIZ23" s="476"/>
      <c r="PJA23" s="476"/>
      <c r="PJB23" s="476"/>
      <c r="PJC23" s="476"/>
      <c r="PJD23" s="476"/>
      <c r="PJE23" s="476"/>
      <c r="PJF23" s="476"/>
      <c r="PJG23" s="476"/>
      <c r="PJH23" s="476"/>
      <c r="PJI23" s="476"/>
      <c r="PJJ23" s="476"/>
      <c r="PJK23" s="476"/>
      <c r="PJL23" s="476"/>
      <c r="PJM23" s="476"/>
      <c r="PJN23" s="476"/>
      <c r="PJO23" s="476"/>
      <c r="PJP23" s="476"/>
      <c r="PJQ23" s="476"/>
      <c r="PJR23" s="476"/>
      <c r="PJS23" s="476"/>
      <c r="PJT23" s="476"/>
      <c r="PJU23" s="476"/>
      <c r="PJV23" s="476"/>
      <c r="PJW23" s="476"/>
      <c r="PJX23" s="476"/>
      <c r="PJY23" s="476"/>
      <c r="PJZ23" s="476"/>
      <c r="PKA23" s="476"/>
      <c r="PKB23" s="476"/>
      <c r="PKC23" s="476"/>
      <c r="PKD23" s="476"/>
      <c r="PKE23" s="476"/>
      <c r="PKF23" s="476"/>
      <c r="PKG23" s="476"/>
      <c r="PKH23" s="476"/>
      <c r="PKI23" s="476"/>
      <c r="PKJ23" s="476"/>
      <c r="PKK23" s="476"/>
      <c r="PKL23" s="476"/>
      <c r="PKM23" s="476"/>
      <c r="PKN23" s="476"/>
      <c r="PKO23" s="476"/>
      <c r="PKP23" s="476"/>
      <c r="PKQ23" s="476"/>
      <c r="PKR23" s="476"/>
      <c r="PKS23" s="476"/>
      <c r="PKT23" s="476"/>
      <c r="PKU23" s="476"/>
      <c r="PKV23" s="476"/>
      <c r="PKW23" s="476"/>
      <c r="PKX23" s="476"/>
      <c r="PKY23" s="476"/>
      <c r="PKZ23" s="476"/>
      <c r="PLA23" s="476"/>
      <c r="PLB23" s="476"/>
      <c r="PLC23" s="476"/>
      <c r="PLD23" s="476"/>
      <c r="PLE23" s="476"/>
      <c r="PLF23" s="476"/>
      <c r="PLG23" s="476"/>
      <c r="PLH23" s="476"/>
      <c r="PLI23" s="476"/>
      <c r="PLJ23" s="476"/>
      <c r="PLK23" s="476"/>
      <c r="PLL23" s="476"/>
      <c r="PLM23" s="476"/>
      <c r="PLN23" s="476"/>
      <c r="PLO23" s="476"/>
      <c r="PLP23" s="476"/>
      <c r="PLQ23" s="476"/>
      <c r="PLR23" s="476"/>
      <c r="PLS23" s="476"/>
      <c r="PLT23" s="476"/>
      <c r="PLU23" s="476"/>
      <c r="PLV23" s="476"/>
      <c r="PLW23" s="476"/>
      <c r="PLX23" s="476"/>
      <c r="PLY23" s="476"/>
      <c r="PLZ23" s="476"/>
      <c r="PMA23" s="476"/>
      <c r="PMB23" s="476"/>
      <c r="PMC23" s="476"/>
      <c r="PMD23" s="476"/>
      <c r="PME23" s="476"/>
      <c r="PMF23" s="476"/>
      <c r="PMG23" s="476"/>
      <c r="PMH23" s="476"/>
      <c r="PMI23" s="476"/>
      <c r="PMJ23" s="476"/>
      <c r="PMK23" s="476"/>
      <c r="PML23" s="476"/>
      <c r="PMM23" s="476"/>
      <c r="PMN23" s="476"/>
      <c r="PMO23" s="476"/>
      <c r="PMP23" s="476"/>
      <c r="PMQ23" s="476"/>
      <c r="PMR23" s="476"/>
      <c r="PMS23" s="476"/>
      <c r="PMT23" s="476"/>
      <c r="PMU23" s="476"/>
      <c r="PMV23" s="476"/>
      <c r="PMW23" s="476"/>
      <c r="PMX23" s="476"/>
      <c r="PMY23" s="476"/>
      <c r="PMZ23" s="476"/>
      <c r="PNA23" s="476"/>
      <c r="PNB23" s="476"/>
      <c r="PNC23" s="476"/>
      <c r="PND23" s="476"/>
      <c r="PNE23" s="476"/>
      <c r="PNF23" s="476"/>
      <c r="PNG23" s="476"/>
      <c r="PNH23" s="476"/>
      <c r="PNI23" s="476"/>
      <c r="PNJ23" s="476"/>
      <c r="PNK23" s="476"/>
      <c r="PNL23" s="476"/>
      <c r="PNM23" s="476"/>
      <c r="PNN23" s="476"/>
      <c r="PNO23" s="476"/>
      <c r="PNP23" s="476"/>
      <c r="PNQ23" s="476"/>
      <c r="PNR23" s="476"/>
      <c r="PNS23" s="476"/>
      <c r="PNT23" s="476"/>
      <c r="PNU23" s="476"/>
      <c r="PNV23" s="476"/>
      <c r="PNW23" s="476"/>
      <c r="PNX23" s="476"/>
      <c r="PNY23" s="476"/>
      <c r="PNZ23" s="476"/>
      <c r="POA23" s="476"/>
      <c r="POB23" s="476"/>
      <c r="POC23" s="476"/>
      <c r="POD23" s="476"/>
      <c r="POE23" s="476"/>
      <c r="POF23" s="476"/>
      <c r="POG23" s="476"/>
      <c r="POH23" s="476"/>
      <c r="POI23" s="476"/>
      <c r="POJ23" s="476"/>
      <c r="POK23" s="476"/>
      <c r="POL23" s="476"/>
      <c r="POM23" s="476"/>
      <c r="PON23" s="476"/>
      <c r="POO23" s="476"/>
      <c r="POP23" s="476"/>
      <c r="POQ23" s="476"/>
      <c r="POR23" s="476"/>
      <c r="POS23" s="476"/>
      <c r="POT23" s="476"/>
      <c r="POU23" s="476"/>
      <c r="POV23" s="476"/>
      <c r="POW23" s="476"/>
      <c r="POX23" s="476"/>
      <c r="POY23" s="476"/>
      <c r="POZ23" s="476"/>
      <c r="PPA23" s="476"/>
      <c r="PPB23" s="476"/>
      <c r="PPC23" s="476"/>
      <c r="PPD23" s="476"/>
      <c r="PPE23" s="476"/>
      <c r="PPF23" s="476"/>
      <c r="PPG23" s="476"/>
      <c r="PPH23" s="476"/>
      <c r="PPI23" s="476"/>
      <c r="PPJ23" s="476"/>
      <c r="PPK23" s="476"/>
      <c r="PPL23" s="476"/>
      <c r="PPM23" s="476"/>
      <c r="PPN23" s="476"/>
      <c r="PPO23" s="476"/>
      <c r="PPP23" s="476"/>
      <c r="PPQ23" s="476"/>
      <c r="PPR23" s="476"/>
      <c r="PPS23" s="476"/>
      <c r="PPT23" s="476"/>
      <c r="PPU23" s="476"/>
      <c r="PPV23" s="476"/>
      <c r="PPW23" s="476"/>
      <c r="PPX23" s="476"/>
      <c r="PPY23" s="476"/>
      <c r="PPZ23" s="476"/>
      <c r="PQA23" s="476"/>
      <c r="PQB23" s="476"/>
      <c r="PQC23" s="476"/>
      <c r="PQD23" s="476"/>
      <c r="PQE23" s="476"/>
      <c r="PQF23" s="476"/>
      <c r="PQG23" s="476"/>
      <c r="PQH23" s="476"/>
      <c r="PQI23" s="476"/>
      <c r="PQJ23" s="476"/>
      <c r="PQK23" s="476"/>
      <c r="PQL23" s="476"/>
      <c r="PQM23" s="476"/>
      <c r="PQN23" s="476"/>
      <c r="PQO23" s="476"/>
      <c r="PQP23" s="476"/>
      <c r="PQQ23" s="476"/>
      <c r="PQR23" s="476"/>
      <c r="PQS23" s="476"/>
      <c r="PQT23" s="476"/>
      <c r="PQU23" s="476"/>
      <c r="PQV23" s="476"/>
      <c r="PQW23" s="476"/>
      <c r="PQX23" s="476"/>
      <c r="PQY23" s="476"/>
      <c r="PQZ23" s="476"/>
      <c r="PRA23" s="476"/>
      <c r="PRB23" s="476"/>
      <c r="PRC23" s="476"/>
      <c r="PRD23" s="476"/>
      <c r="PRE23" s="476"/>
      <c r="PRF23" s="476"/>
      <c r="PRG23" s="476"/>
      <c r="PRH23" s="476"/>
      <c r="PRI23" s="476"/>
      <c r="PRJ23" s="476"/>
      <c r="PRK23" s="476"/>
      <c r="PRL23" s="476"/>
      <c r="PRM23" s="476"/>
      <c r="PRN23" s="476"/>
      <c r="PRO23" s="476"/>
      <c r="PRP23" s="476"/>
      <c r="PRQ23" s="476"/>
      <c r="PRR23" s="476"/>
      <c r="PRS23" s="476"/>
      <c r="PRT23" s="476"/>
      <c r="PRU23" s="476"/>
      <c r="PRV23" s="476"/>
      <c r="PRW23" s="476"/>
      <c r="PRX23" s="476"/>
      <c r="PRY23" s="476"/>
      <c r="PRZ23" s="476"/>
      <c r="PSA23" s="476"/>
      <c r="PSB23" s="476"/>
      <c r="PSC23" s="476"/>
      <c r="PSD23" s="476"/>
      <c r="PSE23" s="476"/>
      <c r="PSF23" s="476"/>
      <c r="PSG23" s="476"/>
      <c r="PSH23" s="476"/>
      <c r="PSI23" s="476"/>
      <c r="PSJ23" s="476"/>
      <c r="PSK23" s="476"/>
      <c r="PSL23" s="476"/>
      <c r="PSM23" s="476"/>
      <c r="PSN23" s="476"/>
      <c r="PSO23" s="476"/>
      <c r="PSP23" s="476"/>
      <c r="PSQ23" s="476"/>
      <c r="PSR23" s="476"/>
      <c r="PSS23" s="476"/>
      <c r="PST23" s="476"/>
      <c r="PSU23" s="476"/>
      <c r="PSV23" s="476"/>
      <c r="PSW23" s="476"/>
      <c r="PSX23" s="476"/>
      <c r="PSY23" s="476"/>
      <c r="PSZ23" s="476"/>
      <c r="PTA23" s="476"/>
      <c r="PTB23" s="476"/>
      <c r="PTC23" s="476"/>
      <c r="PTD23" s="476"/>
      <c r="PTE23" s="476"/>
      <c r="PTF23" s="476"/>
      <c r="PTG23" s="476"/>
      <c r="PTH23" s="476"/>
      <c r="PTI23" s="476"/>
      <c r="PTJ23" s="476"/>
      <c r="PTK23" s="476"/>
      <c r="PTL23" s="476"/>
      <c r="PTM23" s="476"/>
      <c r="PTN23" s="476"/>
      <c r="PTO23" s="476"/>
      <c r="PTP23" s="476"/>
      <c r="PTQ23" s="476"/>
      <c r="PTR23" s="476"/>
      <c r="PTS23" s="476"/>
      <c r="PTT23" s="476"/>
      <c r="PTU23" s="476"/>
      <c r="PTV23" s="476"/>
      <c r="PTW23" s="476"/>
      <c r="PTX23" s="476"/>
      <c r="PTY23" s="476"/>
      <c r="PTZ23" s="476"/>
      <c r="PUA23" s="476"/>
      <c r="PUB23" s="476"/>
      <c r="PUC23" s="476"/>
      <c r="PUD23" s="476"/>
      <c r="PUE23" s="476"/>
      <c r="PUF23" s="476"/>
      <c r="PUG23" s="476"/>
      <c r="PUH23" s="476"/>
      <c r="PUI23" s="476"/>
      <c r="PUJ23" s="476"/>
      <c r="PUK23" s="476"/>
      <c r="PUL23" s="476"/>
      <c r="PUM23" s="476"/>
      <c r="PUN23" s="476"/>
      <c r="PUO23" s="476"/>
      <c r="PUP23" s="476"/>
      <c r="PUQ23" s="476"/>
      <c r="PUR23" s="476"/>
      <c r="PUS23" s="476"/>
      <c r="PUT23" s="476"/>
      <c r="PUU23" s="476"/>
      <c r="PUV23" s="476"/>
      <c r="PUW23" s="476"/>
      <c r="PUX23" s="476"/>
      <c r="PUY23" s="476"/>
      <c r="PUZ23" s="476"/>
      <c r="PVA23" s="476"/>
      <c r="PVB23" s="476"/>
      <c r="PVC23" s="476"/>
      <c r="PVD23" s="476"/>
      <c r="PVE23" s="476"/>
      <c r="PVF23" s="476"/>
      <c r="PVG23" s="476"/>
      <c r="PVH23" s="476"/>
      <c r="PVI23" s="476"/>
      <c r="PVJ23" s="476"/>
      <c r="PVK23" s="476"/>
      <c r="PVL23" s="476"/>
      <c r="PVM23" s="476"/>
      <c r="PVN23" s="476"/>
      <c r="PVO23" s="476"/>
      <c r="PVP23" s="476"/>
      <c r="PVQ23" s="476"/>
      <c r="PVR23" s="476"/>
      <c r="PVS23" s="476"/>
      <c r="PVT23" s="476"/>
      <c r="PVU23" s="476"/>
      <c r="PVV23" s="476"/>
      <c r="PVW23" s="476"/>
      <c r="PVX23" s="476"/>
      <c r="PVY23" s="476"/>
      <c r="PVZ23" s="476"/>
      <c r="PWA23" s="476"/>
      <c r="PWB23" s="476"/>
      <c r="PWC23" s="476"/>
      <c r="PWD23" s="476"/>
      <c r="PWE23" s="476"/>
      <c r="PWF23" s="476"/>
      <c r="PWG23" s="476"/>
      <c r="PWH23" s="476"/>
      <c r="PWI23" s="476"/>
      <c r="PWJ23" s="476"/>
      <c r="PWK23" s="476"/>
      <c r="PWL23" s="476"/>
      <c r="PWM23" s="476"/>
      <c r="PWN23" s="476"/>
      <c r="PWO23" s="476"/>
      <c r="PWP23" s="476"/>
      <c r="PWQ23" s="476"/>
      <c r="PWR23" s="476"/>
      <c r="PWS23" s="476"/>
      <c r="PWT23" s="476"/>
      <c r="PWU23" s="476"/>
      <c r="PWV23" s="476"/>
      <c r="PWW23" s="476"/>
      <c r="PWX23" s="476"/>
      <c r="PWY23" s="476"/>
      <c r="PWZ23" s="476"/>
      <c r="PXA23" s="476"/>
      <c r="PXB23" s="476"/>
      <c r="PXC23" s="476"/>
      <c r="PXD23" s="476"/>
      <c r="PXE23" s="476"/>
      <c r="PXF23" s="476"/>
      <c r="PXG23" s="476"/>
      <c r="PXH23" s="476"/>
      <c r="PXI23" s="476"/>
      <c r="PXJ23" s="476"/>
      <c r="PXK23" s="476"/>
      <c r="PXL23" s="476"/>
      <c r="PXM23" s="476"/>
      <c r="PXN23" s="476"/>
      <c r="PXO23" s="476"/>
      <c r="PXP23" s="476"/>
      <c r="PXQ23" s="476"/>
      <c r="PXR23" s="476"/>
      <c r="PXS23" s="476"/>
      <c r="PXT23" s="476"/>
      <c r="PXU23" s="476"/>
      <c r="PXV23" s="476"/>
      <c r="PXW23" s="476"/>
      <c r="PXX23" s="476"/>
      <c r="PXY23" s="476"/>
      <c r="PXZ23" s="476"/>
      <c r="PYA23" s="476"/>
      <c r="PYB23" s="476"/>
      <c r="PYC23" s="476"/>
      <c r="PYD23" s="476"/>
      <c r="PYE23" s="476"/>
      <c r="PYF23" s="476"/>
      <c r="PYG23" s="476"/>
      <c r="PYH23" s="476"/>
      <c r="PYI23" s="476"/>
      <c r="PYJ23" s="476"/>
      <c r="PYK23" s="476"/>
      <c r="PYL23" s="476"/>
      <c r="PYM23" s="476"/>
      <c r="PYN23" s="476"/>
      <c r="PYO23" s="476"/>
      <c r="PYP23" s="476"/>
      <c r="PYQ23" s="476"/>
      <c r="PYR23" s="476"/>
      <c r="PYS23" s="476"/>
      <c r="PYT23" s="476"/>
      <c r="PYU23" s="476"/>
      <c r="PYV23" s="476"/>
      <c r="PYW23" s="476"/>
      <c r="PYX23" s="476"/>
      <c r="PYY23" s="476"/>
      <c r="PYZ23" s="476"/>
      <c r="PZA23" s="476"/>
      <c r="PZB23" s="476"/>
      <c r="PZC23" s="476"/>
      <c r="PZD23" s="476"/>
      <c r="PZE23" s="476"/>
      <c r="PZF23" s="476"/>
      <c r="PZG23" s="476"/>
      <c r="PZH23" s="476"/>
      <c r="PZI23" s="476"/>
      <c r="PZJ23" s="476"/>
      <c r="PZK23" s="476"/>
      <c r="PZL23" s="476"/>
      <c r="PZM23" s="476"/>
      <c r="PZN23" s="476"/>
      <c r="PZO23" s="476"/>
      <c r="PZP23" s="476"/>
      <c r="PZQ23" s="476"/>
      <c r="PZR23" s="476"/>
      <c r="PZS23" s="476"/>
      <c r="PZT23" s="476"/>
      <c r="PZU23" s="476"/>
      <c r="PZV23" s="476"/>
      <c r="PZW23" s="476"/>
      <c r="PZX23" s="476"/>
      <c r="PZY23" s="476"/>
      <c r="PZZ23" s="476"/>
      <c r="QAA23" s="476"/>
      <c r="QAB23" s="476"/>
      <c r="QAC23" s="476"/>
      <c r="QAD23" s="476"/>
      <c r="QAE23" s="476"/>
      <c r="QAF23" s="476"/>
      <c r="QAG23" s="476"/>
      <c r="QAH23" s="476"/>
      <c r="QAI23" s="476"/>
      <c r="QAJ23" s="476"/>
      <c r="QAK23" s="476"/>
      <c r="QAL23" s="476"/>
      <c r="QAM23" s="476"/>
      <c r="QAN23" s="476"/>
      <c r="QAO23" s="476"/>
      <c r="QAP23" s="476"/>
      <c r="QAQ23" s="476"/>
      <c r="QAR23" s="476"/>
      <c r="QAS23" s="476"/>
      <c r="QAT23" s="476"/>
      <c r="QAU23" s="476"/>
      <c r="QAV23" s="476"/>
      <c r="QAW23" s="476"/>
      <c r="QAX23" s="476"/>
      <c r="QAY23" s="476"/>
      <c r="QAZ23" s="476"/>
      <c r="QBA23" s="476"/>
      <c r="QBB23" s="476"/>
      <c r="QBC23" s="476"/>
      <c r="QBD23" s="476"/>
      <c r="QBE23" s="476"/>
      <c r="QBF23" s="476"/>
      <c r="QBG23" s="476"/>
      <c r="QBH23" s="476"/>
      <c r="QBI23" s="476"/>
      <c r="QBJ23" s="476"/>
      <c r="QBK23" s="476"/>
      <c r="QBL23" s="476"/>
      <c r="QBM23" s="476"/>
      <c r="QBN23" s="476"/>
      <c r="QBO23" s="476"/>
      <c r="QBP23" s="476"/>
      <c r="QBQ23" s="476"/>
      <c r="QBR23" s="476"/>
      <c r="QBS23" s="476"/>
      <c r="QBT23" s="476"/>
      <c r="QBU23" s="476"/>
      <c r="QBV23" s="476"/>
      <c r="QBW23" s="476"/>
      <c r="QBX23" s="476"/>
      <c r="QBY23" s="476"/>
      <c r="QBZ23" s="476"/>
      <c r="QCA23" s="476"/>
      <c r="QCB23" s="476"/>
      <c r="QCC23" s="476"/>
      <c r="QCD23" s="476"/>
      <c r="QCE23" s="476"/>
      <c r="QCF23" s="476"/>
      <c r="QCG23" s="476"/>
      <c r="QCH23" s="476"/>
      <c r="QCI23" s="476"/>
      <c r="QCJ23" s="476"/>
      <c r="QCK23" s="476"/>
      <c r="QCL23" s="476"/>
      <c r="QCM23" s="476"/>
      <c r="QCN23" s="476"/>
      <c r="QCO23" s="476"/>
      <c r="QCP23" s="476"/>
      <c r="QCQ23" s="476"/>
      <c r="QCR23" s="476"/>
      <c r="QCS23" s="476"/>
      <c r="QCT23" s="476"/>
      <c r="QCU23" s="476"/>
      <c r="QCV23" s="476"/>
      <c r="QCW23" s="476"/>
      <c r="QCX23" s="476"/>
      <c r="QCY23" s="476"/>
      <c r="QCZ23" s="476"/>
      <c r="QDA23" s="476"/>
      <c r="QDB23" s="476"/>
      <c r="QDC23" s="476"/>
      <c r="QDD23" s="476"/>
      <c r="QDE23" s="476"/>
      <c r="QDF23" s="476"/>
      <c r="QDG23" s="476"/>
      <c r="QDH23" s="476"/>
      <c r="QDI23" s="476"/>
      <c r="QDJ23" s="476"/>
      <c r="QDK23" s="476"/>
      <c r="QDL23" s="476"/>
      <c r="QDM23" s="476"/>
      <c r="QDN23" s="476"/>
      <c r="QDO23" s="476"/>
      <c r="QDP23" s="476"/>
      <c r="QDQ23" s="476"/>
      <c r="QDR23" s="476"/>
      <c r="QDS23" s="476"/>
      <c r="QDT23" s="476"/>
      <c r="QDU23" s="476"/>
      <c r="QDV23" s="476"/>
      <c r="QDW23" s="476"/>
      <c r="QDX23" s="476"/>
      <c r="QDY23" s="476"/>
      <c r="QDZ23" s="476"/>
      <c r="QEA23" s="476"/>
      <c r="QEB23" s="476"/>
      <c r="QEC23" s="476"/>
      <c r="QED23" s="476"/>
      <c r="QEE23" s="476"/>
      <c r="QEF23" s="476"/>
      <c r="QEG23" s="476"/>
      <c r="QEH23" s="476"/>
      <c r="QEI23" s="476"/>
      <c r="QEJ23" s="476"/>
      <c r="QEK23" s="476"/>
      <c r="QEL23" s="476"/>
      <c r="QEM23" s="476"/>
      <c r="QEN23" s="476"/>
      <c r="QEO23" s="476"/>
      <c r="QEP23" s="476"/>
      <c r="QEQ23" s="476"/>
      <c r="QER23" s="476"/>
      <c r="QES23" s="476"/>
      <c r="QET23" s="476"/>
      <c r="QEU23" s="476"/>
      <c r="QEV23" s="476"/>
      <c r="QEW23" s="476"/>
      <c r="QEX23" s="476"/>
      <c r="QEY23" s="476"/>
      <c r="QEZ23" s="476"/>
      <c r="QFA23" s="476"/>
      <c r="QFB23" s="476"/>
      <c r="QFC23" s="476"/>
      <c r="QFD23" s="476"/>
      <c r="QFE23" s="476"/>
      <c r="QFF23" s="476"/>
      <c r="QFG23" s="476"/>
      <c r="QFH23" s="476"/>
      <c r="QFI23" s="476"/>
      <c r="QFJ23" s="476"/>
      <c r="QFK23" s="476"/>
      <c r="QFL23" s="476"/>
      <c r="QFM23" s="476"/>
      <c r="QFN23" s="476"/>
      <c r="QFO23" s="476"/>
      <c r="QFP23" s="476"/>
      <c r="QFQ23" s="476"/>
      <c r="QFR23" s="476"/>
      <c r="QFS23" s="476"/>
      <c r="QFT23" s="476"/>
      <c r="QFU23" s="476"/>
      <c r="QFV23" s="476"/>
      <c r="QFW23" s="476"/>
      <c r="QFX23" s="476"/>
      <c r="QFY23" s="476"/>
      <c r="QFZ23" s="476"/>
      <c r="QGA23" s="476"/>
      <c r="QGB23" s="476"/>
      <c r="QGC23" s="476"/>
      <c r="QGD23" s="476"/>
      <c r="QGE23" s="476"/>
      <c r="QGF23" s="476"/>
      <c r="QGG23" s="476"/>
      <c r="QGH23" s="476"/>
      <c r="QGI23" s="476"/>
      <c r="QGJ23" s="476"/>
      <c r="QGK23" s="476"/>
      <c r="QGL23" s="476"/>
      <c r="QGM23" s="476"/>
      <c r="QGN23" s="476"/>
      <c r="QGO23" s="476"/>
      <c r="QGP23" s="476"/>
      <c r="QGQ23" s="476"/>
      <c r="QGR23" s="476"/>
      <c r="QGS23" s="476"/>
      <c r="QGT23" s="476"/>
      <c r="QGU23" s="476"/>
      <c r="QGV23" s="476"/>
      <c r="QGW23" s="476"/>
      <c r="QGX23" s="476"/>
      <c r="QGY23" s="476"/>
      <c r="QGZ23" s="476"/>
      <c r="QHA23" s="476"/>
      <c r="QHB23" s="476"/>
      <c r="QHC23" s="476"/>
      <c r="QHD23" s="476"/>
      <c r="QHE23" s="476"/>
      <c r="QHF23" s="476"/>
      <c r="QHG23" s="476"/>
      <c r="QHH23" s="476"/>
      <c r="QHI23" s="476"/>
      <c r="QHJ23" s="476"/>
      <c r="QHK23" s="476"/>
      <c r="QHL23" s="476"/>
      <c r="QHM23" s="476"/>
      <c r="QHN23" s="476"/>
      <c r="QHO23" s="476"/>
      <c r="QHP23" s="476"/>
      <c r="QHQ23" s="476"/>
      <c r="QHR23" s="476"/>
      <c r="QHS23" s="476"/>
      <c r="QHT23" s="476"/>
      <c r="QHU23" s="476"/>
      <c r="QHV23" s="476"/>
      <c r="QHW23" s="476"/>
      <c r="QHX23" s="476"/>
      <c r="QHY23" s="476"/>
      <c r="QHZ23" s="476"/>
      <c r="QIA23" s="476"/>
      <c r="QIB23" s="476"/>
      <c r="QIC23" s="476"/>
      <c r="QID23" s="476"/>
      <c r="QIE23" s="476"/>
      <c r="QIF23" s="476"/>
      <c r="QIG23" s="476"/>
      <c r="QIH23" s="476"/>
      <c r="QII23" s="476"/>
      <c r="QIJ23" s="476"/>
      <c r="QIK23" s="476"/>
      <c r="QIL23" s="476"/>
      <c r="QIM23" s="476"/>
      <c r="QIN23" s="476"/>
      <c r="QIO23" s="476"/>
      <c r="QIP23" s="476"/>
      <c r="QIQ23" s="476"/>
      <c r="QIR23" s="476"/>
      <c r="QIS23" s="476"/>
      <c r="QIT23" s="476"/>
      <c r="QIU23" s="476"/>
      <c r="QIV23" s="476"/>
      <c r="QIW23" s="476"/>
      <c r="QIX23" s="476"/>
      <c r="QIY23" s="476"/>
      <c r="QIZ23" s="476"/>
      <c r="QJA23" s="476"/>
      <c r="QJB23" s="476"/>
      <c r="QJC23" s="476"/>
      <c r="QJD23" s="476"/>
      <c r="QJE23" s="476"/>
      <c r="QJF23" s="476"/>
      <c r="QJG23" s="476"/>
      <c r="QJH23" s="476"/>
      <c r="QJI23" s="476"/>
      <c r="QJJ23" s="476"/>
      <c r="QJK23" s="476"/>
      <c r="QJL23" s="476"/>
      <c r="QJM23" s="476"/>
      <c r="QJN23" s="476"/>
      <c r="QJO23" s="476"/>
      <c r="QJP23" s="476"/>
      <c r="QJQ23" s="476"/>
      <c r="QJR23" s="476"/>
      <c r="QJS23" s="476"/>
      <c r="QJT23" s="476"/>
      <c r="QJU23" s="476"/>
      <c r="QJV23" s="476"/>
      <c r="QJW23" s="476"/>
      <c r="QJX23" s="476"/>
      <c r="QJY23" s="476"/>
      <c r="QJZ23" s="476"/>
      <c r="QKA23" s="476"/>
      <c r="QKB23" s="476"/>
      <c r="QKC23" s="476"/>
      <c r="QKD23" s="476"/>
      <c r="QKE23" s="476"/>
      <c r="QKF23" s="476"/>
      <c r="QKG23" s="476"/>
      <c r="QKH23" s="476"/>
      <c r="QKI23" s="476"/>
      <c r="QKJ23" s="476"/>
      <c r="QKK23" s="476"/>
      <c r="QKL23" s="476"/>
      <c r="QKM23" s="476"/>
      <c r="QKN23" s="476"/>
      <c r="QKO23" s="476"/>
      <c r="QKP23" s="476"/>
      <c r="QKQ23" s="476"/>
      <c r="QKR23" s="476"/>
      <c r="QKS23" s="476"/>
      <c r="QKT23" s="476"/>
      <c r="QKU23" s="476"/>
      <c r="QKV23" s="476"/>
      <c r="QKW23" s="476"/>
      <c r="QKX23" s="476"/>
      <c r="QKY23" s="476"/>
      <c r="QKZ23" s="476"/>
      <c r="QLA23" s="476"/>
      <c r="QLB23" s="476"/>
      <c r="QLC23" s="476"/>
      <c r="QLD23" s="476"/>
      <c r="QLE23" s="476"/>
      <c r="QLF23" s="476"/>
      <c r="QLG23" s="476"/>
      <c r="QLH23" s="476"/>
      <c r="QLI23" s="476"/>
      <c r="QLJ23" s="476"/>
      <c r="QLK23" s="476"/>
      <c r="QLL23" s="476"/>
      <c r="QLM23" s="476"/>
      <c r="QLN23" s="476"/>
      <c r="QLO23" s="476"/>
      <c r="QLP23" s="476"/>
      <c r="QLQ23" s="476"/>
      <c r="QLR23" s="476"/>
      <c r="QLS23" s="476"/>
      <c r="QLT23" s="476"/>
      <c r="QLU23" s="476"/>
      <c r="QLV23" s="476"/>
      <c r="QLW23" s="476"/>
      <c r="QLX23" s="476"/>
      <c r="QLY23" s="476"/>
      <c r="QLZ23" s="476"/>
      <c r="QMA23" s="476"/>
      <c r="QMB23" s="476"/>
      <c r="QMC23" s="476"/>
      <c r="QMD23" s="476"/>
      <c r="QME23" s="476"/>
      <c r="QMF23" s="476"/>
      <c r="QMG23" s="476"/>
      <c r="QMH23" s="476"/>
      <c r="QMI23" s="476"/>
      <c r="QMJ23" s="476"/>
      <c r="QMK23" s="476"/>
      <c r="QML23" s="476"/>
      <c r="QMM23" s="476"/>
      <c r="QMN23" s="476"/>
      <c r="QMO23" s="476"/>
      <c r="QMP23" s="476"/>
      <c r="QMQ23" s="476"/>
      <c r="QMR23" s="476"/>
      <c r="QMS23" s="476"/>
      <c r="QMT23" s="476"/>
      <c r="QMU23" s="476"/>
      <c r="QMV23" s="476"/>
      <c r="QMW23" s="476"/>
      <c r="QMX23" s="476"/>
      <c r="QMY23" s="476"/>
      <c r="QMZ23" s="476"/>
      <c r="QNA23" s="476"/>
      <c r="QNB23" s="476"/>
      <c r="QNC23" s="476"/>
      <c r="QND23" s="476"/>
      <c r="QNE23" s="476"/>
      <c r="QNF23" s="476"/>
      <c r="QNG23" s="476"/>
      <c r="QNH23" s="476"/>
      <c r="QNI23" s="476"/>
      <c r="QNJ23" s="476"/>
      <c r="QNK23" s="476"/>
      <c r="QNL23" s="476"/>
      <c r="QNM23" s="476"/>
      <c r="QNN23" s="476"/>
      <c r="QNO23" s="476"/>
      <c r="QNP23" s="476"/>
      <c r="QNQ23" s="476"/>
      <c r="QNR23" s="476"/>
      <c r="QNS23" s="476"/>
      <c r="QNT23" s="476"/>
      <c r="QNU23" s="476"/>
      <c r="QNV23" s="476"/>
      <c r="QNW23" s="476"/>
      <c r="QNX23" s="476"/>
      <c r="QNY23" s="476"/>
      <c r="QNZ23" s="476"/>
      <c r="QOA23" s="476"/>
      <c r="QOB23" s="476"/>
      <c r="QOC23" s="476"/>
      <c r="QOD23" s="476"/>
      <c r="QOE23" s="476"/>
      <c r="QOF23" s="476"/>
      <c r="QOG23" s="476"/>
      <c r="QOH23" s="476"/>
      <c r="QOI23" s="476"/>
      <c r="QOJ23" s="476"/>
      <c r="QOK23" s="476"/>
      <c r="QOL23" s="476"/>
      <c r="QOM23" s="476"/>
      <c r="QON23" s="476"/>
      <c r="QOO23" s="476"/>
      <c r="QOP23" s="476"/>
      <c r="QOQ23" s="476"/>
      <c r="QOR23" s="476"/>
      <c r="QOS23" s="476"/>
      <c r="QOT23" s="476"/>
      <c r="QOU23" s="476"/>
      <c r="QOV23" s="476"/>
      <c r="QOW23" s="476"/>
      <c r="QOX23" s="476"/>
      <c r="QOY23" s="476"/>
      <c r="QOZ23" s="476"/>
      <c r="QPA23" s="476"/>
      <c r="QPB23" s="476"/>
      <c r="QPC23" s="476"/>
      <c r="QPD23" s="476"/>
      <c r="QPE23" s="476"/>
      <c r="QPF23" s="476"/>
      <c r="QPG23" s="476"/>
      <c r="QPH23" s="476"/>
      <c r="QPI23" s="476"/>
      <c r="QPJ23" s="476"/>
      <c r="QPK23" s="476"/>
      <c r="QPL23" s="476"/>
      <c r="QPM23" s="476"/>
      <c r="QPN23" s="476"/>
      <c r="QPO23" s="476"/>
      <c r="QPP23" s="476"/>
      <c r="QPQ23" s="476"/>
      <c r="QPR23" s="476"/>
      <c r="QPS23" s="476"/>
      <c r="QPT23" s="476"/>
      <c r="QPU23" s="476"/>
      <c r="QPV23" s="476"/>
      <c r="QPW23" s="476"/>
      <c r="QPX23" s="476"/>
      <c r="QPY23" s="476"/>
      <c r="QPZ23" s="476"/>
      <c r="QQA23" s="476"/>
      <c r="QQB23" s="476"/>
      <c r="QQC23" s="476"/>
      <c r="QQD23" s="476"/>
      <c r="QQE23" s="476"/>
      <c r="QQF23" s="476"/>
      <c r="QQG23" s="476"/>
      <c r="QQH23" s="476"/>
      <c r="QQI23" s="476"/>
      <c r="QQJ23" s="476"/>
      <c r="QQK23" s="476"/>
      <c r="QQL23" s="476"/>
      <c r="QQM23" s="476"/>
      <c r="QQN23" s="476"/>
      <c r="QQO23" s="476"/>
      <c r="QQP23" s="476"/>
      <c r="QQQ23" s="476"/>
      <c r="QQR23" s="476"/>
      <c r="QQS23" s="476"/>
      <c r="QQT23" s="476"/>
      <c r="QQU23" s="476"/>
      <c r="QQV23" s="476"/>
      <c r="QQW23" s="476"/>
      <c r="QQX23" s="476"/>
      <c r="QQY23" s="476"/>
      <c r="QQZ23" s="476"/>
      <c r="QRA23" s="476"/>
      <c r="QRB23" s="476"/>
      <c r="QRC23" s="476"/>
      <c r="QRD23" s="476"/>
      <c r="QRE23" s="476"/>
      <c r="QRF23" s="476"/>
      <c r="QRG23" s="476"/>
      <c r="QRH23" s="476"/>
      <c r="QRI23" s="476"/>
      <c r="QRJ23" s="476"/>
      <c r="QRK23" s="476"/>
      <c r="QRL23" s="476"/>
      <c r="QRM23" s="476"/>
      <c r="QRN23" s="476"/>
      <c r="QRO23" s="476"/>
      <c r="QRP23" s="476"/>
      <c r="QRQ23" s="476"/>
      <c r="QRR23" s="476"/>
      <c r="QRS23" s="476"/>
      <c r="QRT23" s="476"/>
      <c r="QRU23" s="476"/>
      <c r="QRV23" s="476"/>
      <c r="QRW23" s="476"/>
      <c r="QRX23" s="476"/>
      <c r="QRY23" s="476"/>
      <c r="QRZ23" s="476"/>
      <c r="QSA23" s="476"/>
      <c r="QSB23" s="476"/>
      <c r="QSC23" s="476"/>
      <c r="QSD23" s="476"/>
      <c r="QSE23" s="476"/>
      <c r="QSF23" s="476"/>
      <c r="QSG23" s="476"/>
      <c r="QSH23" s="476"/>
      <c r="QSI23" s="476"/>
      <c r="QSJ23" s="476"/>
      <c r="QSK23" s="476"/>
      <c r="QSL23" s="476"/>
      <c r="QSM23" s="476"/>
      <c r="QSN23" s="476"/>
      <c r="QSO23" s="476"/>
      <c r="QSP23" s="476"/>
      <c r="QSQ23" s="476"/>
      <c r="QSR23" s="476"/>
      <c r="QSS23" s="476"/>
      <c r="QST23" s="476"/>
      <c r="QSU23" s="476"/>
      <c r="QSV23" s="476"/>
      <c r="QSW23" s="476"/>
      <c r="QSX23" s="476"/>
      <c r="QSY23" s="476"/>
      <c r="QSZ23" s="476"/>
      <c r="QTA23" s="476"/>
      <c r="QTB23" s="476"/>
      <c r="QTC23" s="476"/>
      <c r="QTD23" s="476"/>
      <c r="QTE23" s="476"/>
      <c r="QTF23" s="476"/>
      <c r="QTG23" s="476"/>
      <c r="QTH23" s="476"/>
      <c r="QTI23" s="476"/>
      <c r="QTJ23" s="476"/>
      <c r="QTK23" s="476"/>
      <c r="QTL23" s="476"/>
      <c r="QTM23" s="476"/>
      <c r="QTN23" s="476"/>
      <c r="QTO23" s="476"/>
      <c r="QTP23" s="476"/>
      <c r="QTQ23" s="476"/>
      <c r="QTR23" s="476"/>
      <c r="QTS23" s="476"/>
      <c r="QTT23" s="476"/>
      <c r="QTU23" s="476"/>
      <c r="QTV23" s="476"/>
      <c r="QTW23" s="476"/>
      <c r="QTX23" s="476"/>
      <c r="QTY23" s="476"/>
      <c r="QTZ23" s="476"/>
      <c r="QUA23" s="476"/>
      <c r="QUB23" s="476"/>
      <c r="QUC23" s="476"/>
      <c r="QUD23" s="476"/>
      <c r="QUE23" s="476"/>
      <c r="QUF23" s="476"/>
      <c r="QUG23" s="476"/>
      <c r="QUH23" s="476"/>
      <c r="QUI23" s="476"/>
      <c r="QUJ23" s="476"/>
      <c r="QUK23" s="476"/>
      <c r="QUL23" s="476"/>
      <c r="QUM23" s="476"/>
      <c r="QUN23" s="476"/>
      <c r="QUO23" s="476"/>
      <c r="QUP23" s="476"/>
      <c r="QUQ23" s="476"/>
      <c r="QUR23" s="476"/>
      <c r="QUS23" s="476"/>
      <c r="QUT23" s="476"/>
      <c r="QUU23" s="476"/>
      <c r="QUV23" s="476"/>
      <c r="QUW23" s="476"/>
      <c r="QUX23" s="476"/>
      <c r="QUY23" s="476"/>
      <c r="QUZ23" s="476"/>
      <c r="QVA23" s="476"/>
      <c r="QVB23" s="476"/>
      <c r="QVC23" s="476"/>
      <c r="QVD23" s="476"/>
      <c r="QVE23" s="476"/>
      <c r="QVF23" s="476"/>
      <c r="QVG23" s="476"/>
      <c r="QVH23" s="476"/>
      <c r="QVI23" s="476"/>
      <c r="QVJ23" s="476"/>
      <c r="QVK23" s="476"/>
      <c r="QVL23" s="476"/>
      <c r="QVM23" s="476"/>
      <c r="QVN23" s="476"/>
      <c r="QVO23" s="476"/>
      <c r="QVP23" s="476"/>
      <c r="QVQ23" s="476"/>
      <c r="QVR23" s="476"/>
      <c r="QVS23" s="476"/>
      <c r="QVT23" s="476"/>
      <c r="QVU23" s="476"/>
      <c r="QVV23" s="476"/>
      <c r="QVW23" s="476"/>
      <c r="QVX23" s="476"/>
      <c r="QVY23" s="476"/>
      <c r="QVZ23" s="476"/>
      <c r="QWA23" s="476"/>
      <c r="QWB23" s="476"/>
      <c r="QWC23" s="476"/>
      <c r="QWD23" s="476"/>
      <c r="QWE23" s="476"/>
      <c r="QWF23" s="476"/>
      <c r="QWG23" s="476"/>
      <c r="QWH23" s="476"/>
      <c r="QWI23" s="476"/>
      <c r="QWJ23" s="476"/>
      <c r="QWK23" s="476"/>
      <c r="QWL23" s="476"/>
      <c r="QWM23" s="476"/>
      <c r="QWN23" s="476"/>
      <c r="QWO23" s="476"/>
      <c r="QWP23" s="476"/>
      <c r="QWQ23" s="476"/>
      <c r="QWR23" s="476"/>
      <c r="QWS23" s="476"/>
      <c r="QWT23" s="476"/>
      <c r="QWU23" s="476"/>
      <c r="QWV23" s="476"/>
      <c r="QWW23" s="476"/>
      <c r="QWX23" s="476"/>
      <c r="QWY23" s="476"/>
      <c r="QWZ23" s="476"/>
      <c r="QXA23" s="476"/>
      <c r="QXB23" s="476"/>
      <c r="QXC23" s="476"/>
      <c r="QXD23" s="476"/>
      <c r="QXE23" s="476"/>
      <c r="QXF23" s="476"/>
      <c r="QXG23" s="476"/>
      <c r="QXH23" s="476"/>
      <c r="QXI23" s="476"/>
      <c r="QXJ23" s="476"/>
      <c r="QXK23" s="476"/>
      <c r="QXL23" s="476"/>
      <c r="QXM23" s="476"/>
      <c r="QXN23" s="476"/>
      <c r="QXO23" s="476"/>
      <c r="QXP23" s="476"/>
      <c r="QXQ23" s="476"/>
      <c r="QXR23" s="476"/>
      <c r="QXS23" s="476"/>
      <c r="QXT23" s="476"/>
      <c r="QXU23" s="476"/>
      <c r="QXV23" s="476"/>
      <c r="QXW23" s="476"/>
      <c r="QXX23" s="476"/>
      <c r="QXY23" s="476"/>
      <c r="QXZ23" s="476"/>
      <c r="QYA23" s="476"/>
      <c r="QYB23" s="476"/>
      <c r="QYC23" s="476"/>
      <c r="QYD23" s="476"/>
      <c r="QYE23" s="476"/>
      <c r="QYF23" s="476"/>
      <c r="QYG23" s="476"/>
      <c r="QYH23" s="476"/>
      <c r="QYI23" s="476"/>
      <c r="QYJ23" s="476"/>
      <c r="QYK23" s="476"/>
      <c r="QYL23" s="476"/>
      <c r="QYM23" s="476"/>
      <c r="QYN23" s="476"/>
      <c r="QYO23" s="476"/>
      <c r="QYP23" s="476"/>
      <c r="QYQ23" s="476"/>
      <c r="QYR23" s="476"/>
      <c r="QYS23" s="476"/>
      <c r="QYT23" s="476"/>
      <c r="QYU23" s="476"/>
      <c r="QYV23" s="476"/>
      <c r="QYW23" s="476"/>
      <c r="QYX23" s="476"/>
      <c r="QYY23" s="476"/>
      <c r="QYZ23" s="476"/>
      <c r="QZA23" s="476"/>
      <c r="QZB23" s="476"/>
      <c r="QZC23" s="476"/>
      <c r="QZD23" s="476"/>
      <c r="QZE23" s="476"/>
      <c r="QZF23" s="476"/>
      <c r="QZG23" s="476"/>
      <c r="QZH23" s="476"/>
      <c r="QZI23" s="476"/>
      <c r="QZJ23" s="476"/>
      <c r="QZK23" s="476"/>
      <c r="QZL23" s="476"/>
      <c r="QZM23" s="476"/>
      <c r="QZN23" s="476"/>
      <c r="QZO23" s="476"/>
      <c r="QZP23" s="476"/>
      <c r="QZQ23" s="476"/>
      <c r="QZR23" s="476"/>
      <c r="QZS23" s="476"/>
      <c r="QZT23" s="476"/>
      <c r="QZU23" s="476"/>
      <c r="QZV23" s="476"/>
      <c r="QZW23" s="476"/>
      <c r="QZX23" s="476"/>
      <c r="QZY23" s="476"/>
      <c r="QZZ23" s="476"/>
      <c r="RAA23" s="476"/>
      <c r="RAB23" s="476"/>
      <c r="RAC23" s="476"/>
      <c r="RAD23" s="476"/>
      <c r="RAE23" s="476"/>
      <c r="RAF23" s="476"/>
      <c r="RAG23" s="476"/>
      <c r="RAH23" s="476"/>
      <c r="RAI23" s="476"/>
      <c r="RAJ23" s="476"/>
      <c r="RAK23" s="476"/>
      <c r="RAL23" s="476"/>
      <c r="RAM23" s="476"/>
      <c r="RAN23" s="476"/>
      <c r="RAO23" s="476"/>
      <c r="RAP23" s="476"/>
      <c r="RAQ23" s="476"/>
      <c r="RAR23" s="476"/>
      <c r="RAS23" s="476"/>
      <c r="RAT23" s="476"/>
      <c r="RAU23" s="476"/>
      <c r="RAV23" s="476"/>
      <c r="RAW23" s="476"/>
      <c r="RAX23" s="476"/>
      <c r="RAY23" s="476"/>
      <c r="RAZ23" s="476"/>
      <c r="RBA23" s="476"/>
      <c r="RBB23" s="476"/>
      <c r="RBC23" s="476"/>
      <c r="RBD23" s="476"/>
      <c r="RBE23" s="476"/>
      <c r="RBF23" s="476"/>
      <c r="RBG23" s="476"/>
      <c r="RBH23" s="476"/>
      <c r="RBI23" s="476"/>
      <c r="RBJ23" s="476"/>
      <c r="RBK23" s="476"/>
      <c r="RBL23" s="476"/>
      <c r="RBM23" s="476"/>
      <c r="RBN23" s="476"/>
      <c r="RBO23" s="476"/>
      <c r="RBP23" s="476"/>
      <c r="RBQ23" s="476"/>
      <c r="RBR23" s="476"/>
      <c r="RBS23" s="476"/>
      <c r="RBT23" s="476"/>
      <c r="RBU23" s="476"/>
      <c r="RBV23" s="476"/>
      <c r="RBW23" s="476"/>
      <c r="RBX23" s="476"/>
      <c r="RBY23" s="476"/>
      <c r="RBZ23" s="476"/>
      <c r="RCA23" s="476"/>
      <c r="RCB23" s="476"/>
      <c r="RCC23" s="476"/>
      <c r="RCD23" s="476"/>
      <c r="RCE23" s="476"/>
      <c r="RCF23" s="476"/>
      <c r="RCG23" s="476"/>
      <c r="RCH23" s="476"/>
      <c r="RCI23" s="476"/>
      <c r="RCJ23" s="476"/>
      <c r="RCK23" s="476"/>
      <c r="RCL23" s="476"/>
      <c r="RCM23" s="476"/>
      <c r="RCN23" s="476"/>
      <c r="RCO23" s="476"/>
      <c r="RCP23" s="476"/>
      <c r="RCQ23" s="476"/>
      <c r="RCR23" s="476"/>
      <c r="RCS23" s="476"/>
      <c r="RCT23" s="476"/>
      <c r="RCU23" s="476"/>
      <c r="RCV23" s="476"/>
      <c r="RCW23" s="476"/>
      <c r="RCX23" s="476"/>
      <c r="RCY23" s="476"/>
      <c r="RCZ23" s="476"/>
      <c r="RDA23" s="476"/>
      <c r="RDB23" s="476"/>
      <c r="RDC23" s="476"/>
      <c r="RDD23" s="476"/>
      <c r="RDE23" s="476"/>
      <c r="RDF23" s="476"/>
      <c r="RDG23" s="476"/>
      <c r="RDH23" s="476"/>
      <c r="RDI23" s="476"/>
      <c r="RDJ23" s="476"/>
      <c r="RDK23" s="476"/>
      <c r="RDL23" s="476"/>
      <c r="RDM23" s="476"/>
      <c r="RDN23" s="476"/>
      <c r="RDO23" s="476"/>
      <c r="RDP23" s="476"/>
      <c r="RDQ23" s="476"/>
      <c r="RDR23" s="476"/>
      <c r="RDS23" s="476"/>
      <c r="RDT23" s="476"/>
      <c r="RDU23" s="476"/>
      <c r="RDV23" s="476"/>
      <c r="RDW23" s="476"/>
      <c r="RDX23" s="476"/>
      <c r="RDY23" s="476"/>
      <c r="RDZ23" s="476"/>
      <c r="REA23" s="476"/>
      <c r="REB23" s="476"/>
      <c r="REC23" s="476"/>
      <c r="RED23" s="476"/>
      <c r="REE23" s="476"/>
      <c r="REF23" s="476"/>
      <c r="REG23" s="476"/>
      <c r="REH23" s="476"/>
      <c r="REI23" s="476"/>
      <c r="REJ23" s="476"/>
      <c r="REK23" s="476"/>
      <c r="REL23" s="476"/>
      <c r="REM23" s="476"/>
      <c r="REN23" s="476"/>
      <c r="REO23" s="476"/>
      <c r="REP23" s="476"/>
      <c r="REQ23" s="476"/>
      <c r="RER23" s="476"/>
      <c r="RES23" s="476"/>
      <c r="RET23" s="476"/>
      <c r="REU23" s="476"/>
      <c r="REV23" s="476"/>
      <c r="REW23" s="476"/>
      <c r="REX23" s="476"/>
      <c r="REY23" s="476"/>
      <c r="REZ23" s="476"/>
      <c r="RFA23" s="476"/>
      <c r="RFB23" s="476"/>
      <c r="RFC23" s="476"/>
      <c r="RFD23" s="476"/>
      <c r="RFE23" s="476"/>
      <c r="RFF23" s="476"/>
      <c r="RFG23" s="476"/>
      <c r="RFH23" s="476"/>
      <c r="RFI23" s="476"/>
      <c r="RFJ23" s="476"/>
      <c r="RFK23" s="476"/>
      <c r="RFL23" s="476"/>
      <c r="RFM23" s="476"/>
      <c r="RFN23" s="476"/>
      <c r="RFO23" s="476"/>
      <c r="RFP23" s="476"/>
      <c r="RFQ23" s="476"/>
      <c r="RFR23" s="476"/>
      <c r="RFS23" s="476"/>
      <c r="RFT23" s="476"/>
      <c r="RFU23" s="476"/>
      <c r="RFV23" s="476"/>
      <c r="RFW23" s="476"/>
      <c r="RFX23" s="476"/>
      <c r="RFY23" s="476"/>
      <c r="RFZ23" s="476"/>
      <c r="RGA23" s="476"/>
      <c r="RGB23" s="476"/>
      <c r="RGC23" s="476"/>
      <c r="RGD23" s="476"/>
      <c r="RGE23" s="476"/>
      <c r="RGF23" s="476"/>
      <c r="RGG23" s="476"/>
      <c r="RGH23" s="476"/>
      <c r="RGI23" s="476"/>
      <c r="RGJ23" s="476"/>
      <c r="RGK23" s="476"/>
      <c r="RGL23" s="476"/>
      <c r="RGM23" s="476"/>
      <c r="RGN23" s="476"/>
      <c r="RGO23" s="476"/>
      <c r="RGP23" s="476"/>
      <c r="RGQ23" s="476"/>
      <c r="RGR23" s="476"/>
      <c r="RGS23" s="476"/>
      <c r="RGT23" s="476"/>
      <c r="RGU23" s="476"/>
      <c r="RGV23" s="476"/>
      <c r="RGW23" s="476"/>
      <c r="RGX23" s="476"/>
      <c r="RGY23" s="476"/>
      <c r="RGZ23" s="476"/>
      <c r="RHA23" s="476"/>
      <c r="RHB23" s="476"/>
      <c r="RHC23" s="476"/>
      <c r="RHD23" s="476"/>
      <c r="RHE23" s="476"/>
      <c r="RHF23" s="476"/>
      <c r="RHG23" s="476"/>
      <c r="RHH23" s="476"/>
      <c r="RHI23" s="476"/>
      <c r="RHJ23" s="476"/>
      <c r="RHK23" s="476"/>
      <c r="RHL23" s="476"/>
      <c r="RHM23" s="476"/>
      <c r="RHN23" s="476"/>
      <c r="RHO23" s="476"/>
      <c r="RHP23" s="476"/>
      <c r="RHQ23" s="476"/>
      <c r="RHR23" s="476"/>
      <c r="RHS23" s="476"/>
      <c r="RHT23" s="476"/>
      <c r="RHU23" s="476"/>
      <c r="RHV23" s="476"/>
      <c r="RHW23" s="476"/>
      <c r="RHX23" s="476"/>
      <c r="RHY23" s="476"/>
      <c r="RHZ23" s="476"/>
      <c r="RIA23" s="476"/>
      <c r="RIB23" s="476"/>
      <c r="RIC23" s="476"/>
      <c r="RID23" s="476"/>
      <c r="RIE23" s="476"/>
      <c r="RIF23" s="476"/>
      <c r="RIG23" s="476"/>
      <c r="RIH23" s="476"/>
      <c r="RII23" s="476"/>
      <c r="RIJ23" s="476"/>
      <c r="RIK23" s="476"/>
      <c r="RIL23" s="476"/>
      <c r="RIM23" s="476"/>
      <c r="RIN23" s="476"/>
      <c r="RIO23" s="476"/>
      <c r="RIP23" s="476"/>
      <c r="RIQ23" s="476"/>
      <c r="RIR23" s="476"/>
      <c r="RIS23" s="476"/>
      <c r="RIT23" s="476"/>
      <c r="RIU23" s="476"/>
      <c r="RIV23" s="476"/>
      <c r="RIW23" s="476"/>
      <c r="RIX23" s="476"/>
      <c r="RIY23" s="476"/>
      <c r="RIZ23" s="476"/>
      <c r="RJA23" s="476"/>
      <c r="RJB23" s="476"/>
      <c r="RJC23" s="476"/>
      <c r="RJD23" s="476"/>
      <c r="RJE23" s="476"/>
      <c r="RJF23" s="476"/>
      <c r="RJG23" s="476"/>
      <c r="RJH23" s="476"/>
      <c r="RJI23" s="476"/>
      <c r="RJJ23" s="476"/>
      <c r="RJK23" s="476"/>
      <c r="RJL23" s="476"/>
      <c r="RJM23" s="476"/>
      <c r="RJN23" s="476"/>
      <c r="RJO23" s="476"/>
      <c r="RJP23" s="476"/>
      <c r="RJQ23" s="476"/>
      <c r="RJR23" s="476"/>
      <c r="RJS23" s="476"/>
      <c r="RJT23" s="476"/>
      <c r="RJU23" s="476"/>
      <c r="RJV23" s="476"/>
      <c r="RJW23" s="476"/>
      <c r="RJX23" s="476"/>
      <c r="RJY23" s="476"/>
      <c r="RJZ23" s="476"/>
      <c r="RKA23" s="476"/>
      <c r="RKB23" s="476"/>
      <c r="RKC23" s="476"/>
      <c r="RKD23" s="476"/>
      <c r="RKE23" s="476"/>
      <c r="RKF23" s="476"/>
      <c r="RKG23" s="476"/>
      <c r="RKH23" s="476"/>
      <c r="RKI23" s="476"/>
      <c r="RKJ23" s="476"/>
      <c r="RKK23" s="476"/>
      <c r="RKL23" s="476"/>
      <c r="RKM23" s="476"/>
      <c r="RKN23" s="476"/>
      <c r="RKO23" s="476"/>
      <c r="RKP23" s="476"/>
      <c r="RKQ23" s="476"/>
      <c r="RKR23" s="476"/>
      <c r="RKS23" s="476"/>
      <c r="RKT23" s="476"/>
      <c r="RKU23" s="476"/>
      <c r="RKV23" s="476"/>
      <c r="RKW23" s="476"/>
      <c r="RKX23" s="476"/>
      <c r="RKY23" s="476"/>
      <c r="RKZ23" s="476"/>
      <c r="RLA23" s="476"/>
      <c r="RLB23" s="476"/>
      <c r="RLC23" s="476"/>
      <c r="RLD23" s="476"/>
      <c r="RLE23" s="476"/>
      <c r="RLF23" s="476"/>
      <c r="RLG23" s="476"/>
      <c r="RLH23" s="476"/>
      <c r="RLI23" s="476"/>
      <c r="RLJ23" s="476"/>
      <c r="RLK23" s="476"/>
      <c r="RLL23" s="476"/>
      <c r="RLM23" s="476"/>
      <c r="RLN23" s="476"/>
      <c r="RLO23" s="476"/>
      <c r="RLP23" s="476"/>
      <c r="RLQ23" s="476"/>
      <c r="RLR23" s="476"/>
      <c r="RLS23" s="476"/>
      <c r="RLT23" s="476"/>
      <c r="RLU23" s="476"/>
      <c r="RLV23" s="476"/>
      <c r="RLW23" s="476"/>
      <c r="RLX23" s="476"/>
      <c r="RLY23" s="476"/>
      <c r="RLZ23" s="476"/>
      <c r="RMA23" s="476"/>
      <c r="RMB23" s="476"/>
      <c r="RMC23" s="476"/>
      <c r="RMD23" s="476"/>
      <c r="RME23" s="476"/>
      <c r="RMF23" s="476"/>
      <c r="RMG23" s="476"/>
      <c r="RMH23" s="476"/>
      <c r="RMI23" s="476"/>
      <c r="RMJ23" s="476"/>
      <c r="RMK23" s="476"/>
      <c r="RML23" s="476"/>
      <c r="RMM23" s="476"/>
      <c r="RMN23" s="476"/>
      <c r="RMO23" s="476"/>
      <c r="RMP23" s="476"/>
      <c r="RMQ23" s="476"/>
      <c r="RMR23" s="476"/>
      <c r="RMS23" s="476"/>
      <c r="RMT23" s="476"/>
      <c r="RMU23" s="476"/>
      <c r="RMV23" s="476"/>
      <c r="RMW23" s="476"/>
      <c r="RMX23" s="476"/>
      <c r="RMY23" s="476"/>
      <c r="RMZ23" s="476"/>
      <c r="RNA23" s="476"/>
      <c r="RNB23" s="476"/>
      <c r="RNC23" s="476"/>
      <c r="RND23" s="476"/>
      <c r="RNE23" s="476"/>
      <c r="RNF23" s="476"/>
      <c r="RNG23" s="476"/>
      <c r="RNH23" s="476"/>
      <c r="RNI23" s="476"/>
      <c r="RNJ23" s="476"/>
      <c r="RNK23" s="476"/>
      <c r="RNL23" s="476"/>
      <c r="RNM23" s="476"/>
      <c r="RNN23" s="476"/>
      <c r="RNO23" s="476"/>
      <c r="RNP23" s="476"/>
      <c r="RNQ23" s="476"/>
      <c r="RNR23" s="476"/>
      <c r="RNS23" s="476"/>
      <c r="RNT23" s="476"/>
      <c r="RNU23" s="476"/>
      <c r="RNV23" s="476"/>
      <c r="RNW23" s="476"/>
      <c r="RNX23" s="476"/>
      <c r="RNY23" s="476"/>
      <c r="RNZ23" s="476"/>
      <c r="ROA23" s="476"/>
      <c r="ROB23" s="476"/>
      <c r="ROC23" s="476"/>
      <c r="ROD23" s="476"/>
      <c r="ROE23" s="476"/>
      <c r="ROF23" s="476"/>
      <c r="ROG23" s="476"/>
      <c r="ROH23" s="476"/>
      <c r="ROI23" s="476"/>
      <c r="ROJ23" s="476"/>
      <c r="ROK23" s="476"/>
      <c r="ROL23" s="476"/>
      <c r="ROM23" s="476"/>
      <c r="RON23" s="476"/>
      <c r="ROO23" s="476"/>
      <c r="ROP23" s="476"/>
      <c r="ROQ23" s="476"/>
      <c r="ROR23" s="476"/>
      <c r="ROS23" s="476"/>
      <c r="ROT23" s="476"/>
      <c r="ROU23" s="476"/>
      <c r="ROV23" s="476"/>
      <c r="ROW23" s="476"/>
      <c r="ROX23" s="476"/>
      <c r="ROY23" s="476"/>
      <c r="ROZ23" s="476"/>
      <c r="RPA23" s="476"/>
      <c r="RPB23" s="476"/>
      <c r="RPC23" s="476"/>
      <c r="RPD23" s="476"/>
      <c r="RPE23" s="476"/>
      <c r="RPF23" s="476"/>
      <c r="RPG23" s="476"/>
      <c r="RPH23" s="476"/>
      <c r="RPI23" s="476"/>
      <c r="RPJ23" s="476"/>
      <c r="RPK23" s="476"/>
      <c r="RPL23" s="476"/>
      <c r="RPM23" s="476"/>
      <c r="RPN23" s="476"/>
      <c r="RPO23" s="476"/>
      <c r="RPP23" s="476"/>
      <c r="RPQ23" s="476"/>
      <c r="RPR23" s="476"/>
      <c r="RPS23" s="476"/>
      <c r="RPT23" s="476"/>
      <c r="RPU23" s="476"/>
      <c r="RPV23" s="476"/>
      <c r="RPW23" s="476"/>
      <c r="RPX23" s="476"/>
      <c r="RPY23" s="476"/>
      <c r="RPZ23" s="476"/>
      <c r="RQA23" s="476"/>
      <c r="RQB23" s="476"/>
      <c r="RQC23" s="476"/>
      <c r="RQD23" s="476"/>
      <c r="RQE23" s="476"/>
      <c r="RQF23" s="476"/>
      <c r="RQG23" s="476"/>
      <c r="RQH23" s="476"/>
      <c r="RQI23" s="476"/>
      <c r="RQJ23" s="476"/>
      <c r="RQK23" s="476"/>
      <c r="RQL23" s="476"/>
      <c r="RQM23" s="476"/>
      <c r="RQN23" s="476"/>
      <c r="RQO23" s="476"/>
      <c r="RQP23" s="476"/>
      <c r="RQQ23" s="476"/>
      <c r="RQR23" s="476"/>
      <c r="RQS23" s="476"/>
      <c r="RQT23" s="476"/>
      <c r="RQU23" s="476"/>
      <c r="RQV23" s="476"/>
      <c r="RQW23" s="476"/>
      <c r="RQX23" s="476"/>
      <c r="RQY23" s="476"/>
      <c r="RQZ23" s="476"/>
      <c r="RRA23" s="476"/>
      <c r="RRB23" s="476"/>
      <c r="RRC23" s="476"/>
      <c r="RRD23" s="476"/>
      <c r="RRE23" s="476"/>
      <c r="RRF23" s="476"/>
      <c r="RRG23" s="476"/>
      <c r="RRH23" s="476"/>
      <c r="RRI23" s="476"/>
      <c r="RRJ23" s="476"/>
      <c r="RRK23" s="476"/>
      <c r="RRL23" s="476"/>
      <c r="RRM23" s="476"/>
      <c r="RRN23" s="476"/>
      <c r="RRO23" s="476"/>
      <c r="RRP23" s="476"/>
      <c r="RRQ23" s="476"/>
      <c r="RRR23" s="476"/>
      <c r="RRS23" s="476"/>
      <c r="RRT23" s="476"/>
      <c r="RRU23" s="476"/>
      <c r="RRV23" s="476"/>
      <c r="RRW23" s="476"/>
      <c r="RRX23" s="476"/>
      <c r="RRY23" s="476"/>
      <c r="RRZ23" s="476"/>
      <c r="RSA23" s="476"/>
      <c r="RSB23" s="476"/>
      <c r="RSC23" s="476"/>
      <c r="RSD23" s="476"/>
      <c r="RSE23" s="476"/>
      <c r="RSF23" s="476"/>
      <c r="RSG23" s="476"/>
      <c r="RSH23" s="476"/>
      <c r="RSI23" s="476"/>
      <c r="RSJ23" s="476"/>
      <c r="RSK23" s="476"/>
      <c r="RSL23" s="476"/>
      <c r="RSM23" s="476"/>
      <c r="RSN23" s="476"/>
      <c r="RSO23" s="476"/>
      <c r="RSP23" s="476"/>
      <c r="RSQ23" s="476"/>
      <c r="RSR23" s="476"/>
      <c r="RSS23" s="476"/>
      <c r="RST23" s="476"/>
      <c r="RSU23" s="476"/>
      <c r="RSV23" s="476"/>
      <c r="RSW23" s="476"/>
      <c r="RSX23" s="476"/>
      <c r="RSY23" s="476"/>
      <c r="RSZ23" s="476"/>
      <c r="RTA23" s="476"/>
      <c r="RTB23" s="476"/>
      <c r="RTC23" s="476"/>
      <c r="RTD23" s="476"/>
      <c r="RTE23" s="476"/>
      <c r="RTF23" s="476"/>
      <c r="RTG23" s="476"/>
      <c r="RTH23" s="476"/>
      <c r="RTI23" s="476"/>
      <c r="RTJ23" s="476"/>
      <c r="RTK23" s="476"/>
      <c r="RTL23" s="476"/>
      <c r="RTM23" s="476"/>
      <c r="RTN23" s="476"/>
      <c r="RTO23" s="476"/>
      <c r="RTP23" s="476"/>
      <c r="RTQ23" s="476"/>
      <c r="RTR23" s="476"/>
      <c r="RTS23" s="476"/>
      <c r="RTT23" s="476"/>
      <c r="RTU23" s="476"/>
      <c r="RTV23" s="476"/>
      <c r="RTW23" s="476"/>
      <c r="RTX23" s="476"/>
      <c r="RTY23" s="476"/>
      <c r="RTZ23" s="476"/>
      <c r="RUA23" s="476"/>
      <c r="RUB23" s="476"/>
      <c r="RUC23" s="476"/>
      <c r="RUD23" s="476"/>
      <c r="RUE23" s="476"/>
      <c r="RUF23" s="476"/>
      <c r="RUG23" s="476"/>
      <c r="RUH23" s="476"/>
      <c r="RUI23" s="476"/>
      <c r="RUJ23" s="476"/>
      <c r="RUK23" s="476"/>
      <c r="RUL23" s="476"/>
      <c r="RUM23" s="476"/>
      <c r="RUN23" s="476"/>
      <c r="RUO23" s="476"/>
      <c r="RUP23" s="476"/>
      <c r="RUQ23" s="476"/>
      <c r="RUR23" s="476"/>
      <c r="RUS23" s="476"/>
      <c r="RUT23" s="476"/>
      <c r="RUU23" s="476"/>
      <c r="RUV23" s="476"/>
      <c r="RUW23" s="476"/>
      <c r="RUX23" s="476"/>
      <c r="RUY23" s="476"/>
      <c r="RUZ23" s="476"/>
      <c r="RVA23" s="476"/>
      <c r="RVB23" s="476"/>
      <c r="RVC23" s="476"/>
      <c r="RVD23" s="476"/>
      <c r="RVE23" s="476"/>
      <c r="RVF23" s="476"/>
      <c r="RVG23" s="476"/>
      <c r="RVH23" s="476"/>
      <c r="RVI23" s="476"/>
      <c r="RVJ23" s="476"/>
      <c r="RVK23" s="476"/>
      <c r="RVL23" s="476"/>
      <c r="RVM23" s="476"/>
      <c r="RVN23" s="476"/>
      <c r="RVO23" s="476"/>
      <c r="RVP23" s="476"/>
      <c r="RVQ23" s="476"/>
      <c r="RVR23" s="476"/>
      <c r="RVS23" s="476"/>
      <c r="RVT23" s="476"/>
      <c r="RVU23" s="476"/>
      <c r="RVV23" s="476"/>
      <c r="RVW23" s="476"/>
      <c r="RVX23" s="476"/>
      <c r="RVY23" s="476"/>
      <c r="RVZ23" s="476"/>
      <c r="RWA23" s="476"/>
      <c r="RWB23" s="476"/>
      <c r="RWC23" s="476"/>
      <c r="RWD23" s="476"/>
      <c r="RWE23" s="476"/>
      <c r="RWF23" s="476"/>
      <c r="RWG23" s="476"/>
      <c r="RWH23" s="476"/>
      <c r="RWI23" s="476"/>
      <c r="RWJ23" s="476"/>
      <c r="RWK23" s="476"/>
      <c r="RWL23" s="476"/>
      <c r="RWM23" s="476"/>
      <c r="RWN23" s="476"/>
      <c r="RWO23" s="476"/>
      <c r="RWP23" s="476"/>
      <c r="RWQ23" s="476"/>
      <c r="RWR23" s="476"/>
      <c r="RWS23" s="476"/>
      <c r="RWT23" s="476"/>
      <c r="RWU23" s="476"/>
      <c r="RWV23" s="476"/>
      <c r="RWW23" s="476"/>
      <c r="RWX23" s="476"/>
      <c r="RWY23" s="476"/>
      <c r="RWZ23" s="476"/>
      <c r="RXA23" s="476"/>
      <c r="RXB23" s="476"/>
      <c r="RXC23" s="476"/>
      <c r="RXD23" s="476"/>
      <c r="RXE23" s="476"/>
      <c r="RXF23" s="476"/>
      <c r="RXG23" s="476"/>
      <c r="RXH23" s="476"/>
      <c r="RXI23" s="476"/>
      <c r="RXJ23" s="476"/>
      <c r="RXK23" s="476"/>
      <c r="RXL23" s="476"/>
      <c r="RXM23" s="476"/>
      <c r="RXN23" s="476"/>
      <c r="RXO23" s="476"/>
      <c r="RXP23" s="476"/>
      <c r="RXQ23" s="476"/>
      <c r="RXR23" s="476"/>
      <c r="RXS23" s="476"/>
      <c r="RXT23" s="476"/>
      <c r="RXU23" s="476"/>
      <c r="RXV23" s="476"/>
      <c r="RXW23" s="476"/>
      <c r="RXX23" s="476"/>
      <c r="RXY23" s="476"/>
      <c r="RXZ23" s="476"/>
      <c r="RYA23" s="476"/>
      <c r="RYB23" s="476"/>
      <c r="RYC23" s="476"/>
      <c r="RYD23" s="476"/>
      <c r="RYE23" s="476"/>
      <c r="RYF23" s="476"/>
      <c r="RYG23" s="476"/>
      <c r="RYH23" s="476"/>
      <c r="RYI23" s="476"/>
      <c r="RYJ23" s="476"/>
      <c r="RYK23" s="476"/>
      <c r="RYL23" s="476"/>
      <c r="RYM23" s="476"/>
      <c r="RYN23" s="476"/>
      <c r="RYO23" s="476"/>
      <c r="RYP23" s="476"/>
      <c r="RYQ23" s="476"/>
      <c r="RYR23" s="476"/>
      <c r="RYS23" s="476"/>
      <c r="RYT23" s="476"/>
      <c r="RYU23" s="476"/>
      <c r="RYV23" s="476"/>
      <c r="RYW23" s="476"/>
      <c r="RYX23" s="476"/>
      <c r="RYY23" s="476"/>
      <c r="RYZ23" s="476"/>
      <c r="RZA23" s="476"/>
      <c r="RZB23" s="476"/>
      <c r="RZC23" s="476"/>
      <c r="RZD23" s="476"/>
      <c r="RZE23" s="476"/>
      <c r="RZF23" s="476"/>
      <c r="RZG23" s="476"/>
      <c r="RZH23" s="476"/>
      <c r="RZI23" s="476"/>
      <c r="RZJ23" s="476"/>
      <c r="RZK23" s="476"/>
      <c r="RZL23" s="476"/>
      <c r="RZM23" s="476"/>
      <c r="RZN23" s="476"/>
      <c r="RZO23" s="476"/>
      <c r="RZP23" s="476"/>
      <c r="RZQ23" s="476"/>
      <c r="RZR23" s="476"/>
      <c r="RZS23" s="476"/>
      <c r="RZT23" s="476"/>
      <c r="RZU23" s="476"/>
      <c r="RZV23" s="476"/>
      <c r="RZW23" s="476"/>
      <c r="RZX23" s="476"/>
      <c r="RZY23" s="476"/>
      <c r="RZZ23" s="476"/>
      <c r="SAA23" s="476"/>
      <c r="SAB23" s="476"/>
      <c r="SAC23" s="476"/>
      <c r="SAD23" s="476"/>
      <c r="SAE23" s="476"/>
      <c r="SAF23" s="476"/>
      <c r="SAG23" s="476"/>
      <c r="SAH23" s="476"/>
      <c r="SAI23" s="476"/>
      <c r="SAJ23" s="476"/>
      <c r="SAK23" s="476"/>
      <c r="SAL23" s="476"/>
      <c r="SAM23" s="476"/>
      <c r="SAN23" s="476"/>
      <c r="SAO23" s="476"/>
      <c r="SAP23" s="476"/>
      <c r="SAQ23" s="476"/>
      <c r="SAR23" s="476"/>
      <c r="SAS23" s="476"/>
      <c r="SAT23" s="476"/>
      <c r="SAU23" s="476"/>
      <c r="SAV23" s="476"/>
      <c r="SAW23" s="476"/>
      <c r="SAX23" s="476"/>
      <c r="SAY23" s="476"/>
      <c r="SAZ23" s="476"/>
      <c r="SBA23" s="476"/>
      <c r="SBB23" s="476"/>
      <c r="SBC23" s="476"/>
      <c r="SBD23" s="476"/>
      <c r="SBE23" s="476"/>
      <c r="SBF23" s="476"/>
      <c r="SBG23" s="476"/>
      <c r="SBH23" s="476"/>
      <c r="SBI23" s="476"/>
      <c r="SBJ23" s="476"/>
      <c r="SBK23" s="476"/>
      <c r="SBL23" s="476"/>
      <c r="SBM23" s="476"/>
      <c r="SBN23" s="476"/>
      <c r="SBO23" s="476"/>
      <c r="SBP23" s="476"/>
      <c r="SBQ23" s="476"/>
      <c r="SBR23" s="476"/>
      <c r="SBS23" s="476"/>
      <c r="SBT23" s="476"/>
      <c r="SBU23" s="476"/>
      <c r="SBV23" s="476"/>
      <c r="SBW23" s="476"/>
      <c r="SBX23" s="476"/>
      <c r="SBY23" s="476"/>
      <c r="SBZ23" s="476"/>
      <c r="SCA23" s="476"/>
      <c r="SCB23" s="476"/>
      <c r="SCC23" s="476"/>
      <c r="SCD23" s="476"/>
      <c r="SCE23" s="476"/>
      <c r="SCF23" s="476"/>
      <c r="SCG23" s="476"/>
      <c r="SCH23" s="476"/>
      <c r="SCI23" s="476"/>
      <c r="SCJ23" s="476"/>
      <c r="SCK23" s="476"/>
      <c r="SCL23" s="476"/>
      <c r="SCM23" s="476"/>
      <c r="SCN23" s="476"/>
      <c r="SCO23" s="476"/>
      <c r="SCP23" s="476"/>
      <c r="SCQ23" s="476"/>
      <c r="SCR23" s="476"/>
      <c r="SCS23" s="476"/>
      <c r="SCT23" s="476"/>
      <c r="SCU23" s="476"/>
      <c r="SCV23" s="476"/>
      <c r="SCW23" s="476"/>
      <c r="SCX23" s="476"/>
      <c r="SCY23" s="476"/>
      <c r="SCZ23" s="476"/>
      <c r="SDA23" s="476"/>
      <c r="SDB23" s="476"/>
      <c r="SDC23" s="476"/>
      <c r="SDD23" s="476"/>
      <c r="SDE23" s="476"/>
      <c r="SDF23" s="476"/>
      <c r="SDG23" s="476"/>
      <c r="SDH23" s="476"/>
      <c r="SDI23" s="476"/>
      <c r="SDJ23" s="476"/>
      <c r="SDK23" s="476"/>
      <c r="SDL23" s="476"/>
      <c r="SDM23" s="476"/>
      <c r="SDN23" s="476"/>
      <c r="SDO23" s="476"/>
      <c r="SDP23" s="476"/>
      <c r="SDQ23" s="476"/>
      <c r="SDR23" s="476"/>
      <c r="SDS23" s="476"/>
      <c r="SDT23" s="476"/>
      <c r="SDU23" s="476"/>
      <c r="SDV23" s="476"/>
      <c r="SDW23" s="476"/>
      <c r="SDX23" s="476"/>
      <c r="SDY23" s="476"/>
      <c r="SDZ23" s="476"/>
      <c r="SEA23" s="476"/>
      <c r="SEB23" s="476"/>
      <c r="SEC23" s="476"/>
      <c r="SED23" s="476"/>
      <c r="SEE23" s="476"/>
      <c r="SEF23" s="476"/>
      <c r="SEG23" s="476"/>
      <c r="SEH23" s="476"/>
      <c r="SEI23" s="476"/>
      <c r="SEJ23" s="476"/>
      <c r="SEK23" s="476"/>
      <c r="SEL23" s="476"/>
      <c r="SEM23" s="476"/>
      <c r="SEN23" s="476"/>
      <c r="SEO23" s="476"/>
      <c r="SEP23" s="476"/>
      <c r="SEQ23" s="476"/>
      <c r="SER23" s="476"/>
      <c r="SES23" s="476"/>
      <c r="SET23" s="476"/>
      <c r="SEU23" s="476"/>
      <c r="SEV23" s="476"/>
      <c r="SEW23" s="476"/>
      <c r="SEX23" s="476"/>
      <c r="SEY23" s="476"/>
      <c r="SEZ23" s="476"/>
      <c r="SFA23" s="476"/>
      <c r="SFB23" s="476"/>
      <c r="SFC23" s="476"/>
      <c r="SFD23" s="476"/>
      <c r="SFE23" s="476"/>
      <c r="SFF23" s="476"/>
      <c r="SFG23" s="476"/>
      <c r="SFH23" s="476"/>
      <c r="SFI23" s="476"/>
      <c r="SFJ23" s="476"/>
      <c r="SFK23" s="476"/>
      <c r="SFL23" s="476"/>
      <c r="SFM23" s="476"/>
      <c r="SFN23" s="476"/>
      <c r="SFO23" s="476"/>
      <c r="SFP23" s="476"/>
      <c r="SFQ23" s="476"/>
      <c r="SFR23" s="476"/>
      <c r="SFS23" s="476"/>
      <c r="SFT23" s="476"/>
      <c r="SFU23" s="476"/>
      <c r="SFV23" s="476"/>
      <c r="SFW23" s="476"/>
      <c r="SFX23" s="476"/>
      <c r="SFY23" s="476"/>
      <c r="SFZ23" s="476"/>
      <c r="SGA23" s="476"/>
      <c r="SGB23" s="476"/>
      <c r="SGC23" s="476"/>
      <c r="SGD23" s="476"/>
      <c r="SGE23" s="476"/>
      <c r="SGF23" s="476"/>
      <c r="SGG23" s="476"/>
      <c r="SGH23" s="476"/>
      <c r="SGI23" s="476"/>
      <c r="SGJ23" s="476"/>
      <c r="SGK23" s="476"/>
      <c r="SGL23" s="476"/>
      <c r="SGM23" s="476"/>
      <c r="SGN23" s="476"/>
      <c r="SGO23" s="476"/>
      <c r="SGP23" s="476"/>
      <c r="SGQ23" s="476"/>
      <c r="SGR23" s="476"/>
      <c r="SGS23" s="476"/>
      <c r="SGT23" s="476"/>
      <c r="SGU23" s="476"/>
      <c r="SGV23" s="476"/>
      <c r="SGW23" s="476"/>
      <c r="SGX23" s="476"/>
      <c r="SGY23" s="476"/>
      <c r="SGZ23" s="476"/>
      <c r="SHA23" s="476"/>
      <c r="SHB23" s="476"/>
      <c r="SHC23" s="476"/>
      <c r="SHD23" s="476"/>
      <c r="SHE23" s="476"/>
      <c r="SHF23" s="476"/>
      <c r="SHG23" s="476"/>
      <c r="SHH23" s="476"/>
      <c r="SHI23" s="476"/>
      <c r="SHJ23" s="476"/>
      <c r="SHK23" s="476"/>
      <c r="SHL23" s="476"/>
      <c r="SHM23" s="476"/>
      <c r="SHN23" s="476"/>
      <c r="SHO23" s="476"/>
      <c r="SHP23" s="476"/>
      <c r="SHQ23" s="476"/>
      <c r="SHR23" s="476"/>
      <c r="SHS23" s="476"/>
      <c r="SHT23" s="476"/>
      <c r="SHU23" s="476"/>
      <c r="SHV23" s="476"/>
      <c r="SHW23" s="476"/>
      <c r="SHX23" s="476"/>
      <c r="SHY23" s="476"/>
      <c r="SHZ23" s="476"/>
      <c r="SIA23" s="476"/>
      <c r="SIB23" s="476"/>
      <c r="SIC23" s="476"/>
      <c r="SID23" s="476"/>
      <c r="SIE23" s="476"/>
      <c r="SIF23" s="476"/>
      <c r="SIG23" s="476"/>
      <c r="SIH23" s="476"/>
      <c r="SII23" s="476"/>
      <c r="SIJ23" s="476"/>
      <c r="SIK23" s="476"/>
      <c r="SIL23" s="476"/>
      <c r="SIM23" s="476"/>
      <c r="SIN23" s="476"/>
      <c r="SIO23" s="476"/>
      <c r="SIP23" s="476"/>
      <c r="SIQ23" s="476"/>
      <c r="SIR23" s="476"/>
      <c r="SIS23" s="476"/>
      <c r="SIT23" s="476"/>
      <c r="SIU23" s="476"/>
      <c r="SIV23" s="476"/>
      <c r="SIW23" s="476"/>
      <c r="SIX23" s="476"/>
      <c r="SIY23" s="476"/>
      <c r="SIZ23" s="476"/>
      <c r="SJA23" s="476"/>
      <c r="SJB23" s="476"/>
      <c r="SJC23" s="476"/>
      <c r="SJD23" s="476"/>
      <c r="SJE23" s="476"/>
      <c r="SJF23" s="476"/>
      <c r="SJG23" s="476"/>
      <c r="SJH23" s="476"/>
      <c r="SJI23" s="476"/>
      <c r="SJJ23" s="476"/>
      <c r="SJK23" s="476"/>
      <c r="SJL23" s="476"/>
      <c r="SJM23" s="476"/>
      <c r="SJN23" s="476"/>
      <c r="SJO23" s="476"/>
      <c r="SJP23" s="476"/>
      <c r="SJQ23" s="476"/>
      <c r="SJR23" s="476"/>
      <c r="SJS23" s="476"/>
      <c r="SJT23" s="476"/>
      <c r="SJU23" s="476"/>
      <c r="SJV23" s="476"/>
      <c r="SJW23" s="476"/>
      <c r="SJX23" s="476"/>
      <c r="SJY23" s="476"/>
      <c r="SJZ23" s="476"/>
      <c r="SKA23" s="476"/>
      <c r="SKB23" s="476"/>
      <c r="SKC23" s="476"/>
      <c r="SKD23" s="476"/>
      <c r="SKE23" s="476"/>
      <c r="SKF23" s="476"/>
      <c r="SKG23" s="476"/>
      <c r="SKH23" s="476"/>
      <c r="SKI23" s="476"/>
      <c r="SKJ23" s="476"/>
      <c r="SKK23" s="476"/>
      <c r="SKL23" s="476"/>
      <c r="SKM23" s="476"/>
      <c r="SKN23" s="476"/>
      <c r="SKO23" s="476"/>
      <c r="SKP23" s="476"/>
      <c r="SKQ23" s="476"/>
      <c r="SKR23" s="476"/>
      <c r="SKS23" s="476"/>
      <c r="SKT23" s="476"/>
      <c r="SKU23" s="476"/>
      <c r="SKV23" s="476"/>
      <c r="SKW23" s="476"/>
      <c r="SKX23" s="476"/>
      <c r="SKY23" s="476"/>
      <c r="SKZ23" s="476"/>
      <c r="SLA23" s="476"/>
      <c r="SLB23" s="476"/>
      <c r="SLC23" s="476"/>
      <c r="SLD23" s="476"/>
      <c r="SLE23" s="476"/>
      <c r="SLF23" s="476"/>
      <c r="SLG23" s="476"/>
      <c r="SLH23" s="476"/>
      <c r="SLI23" s="476"/>
      <c r="SLJ23" s="476"/>
      <c r="SLK23" s="476"/>
      <c r="SLL23" s="476"/>
      <c r="SLM23" s="476"/>
      <c r="SLN23" s="476"/>
      <c r="SLO23" s="476"/>
      <c r="SLP23" s="476"/>
      <c r="SLQ23" s="476"/>
      <c r="SLR23" s="476"/>
      <c r="SLS23" s="476"/>
      <c r="SLT23" s="476"/>
      <c r="SLU23" s="476"/>
      <c r="SLV23" s="476"/>
      <c r="SLW23" s="476"/>
      <c r="SLX23" s="476"/>
      <c r="SLY23" s="476"/>
      <c r="SLZ23" s="476"/>
      <c r="SMA23" s="476"/>
      <c r="SMB23" s="476"/>
      <c r="SMC23" s="476"/>
      <c r="SMD23" s="476"/>
      <c r="SME23" s="476"/>
      <c r="SMF23" s="476"/>
      <c r="SMG23" s="476"/>
      <c r="SMH23" s="476"/>
      <c r="SMI23" s="476"/>
      <c r="SMJ23" s="476"/>
      <c r="SMK23" s="476"/>
      <c r="SML23" s="476"/>
      <c r="SMM23" s="476"/>
      <c r="SMN23" s="476"/>
      <c r="SMO23" s="476"/>
      <c r="SMP23" s="476"/>
      <c r="SMQ23" s="476"/>
      <c r="SMR23" s="476"/>
      <c r="SMS23" s="476"/>
      <c r="SMT23" s="476"/>
      <c r="SMU23" s="476"/>
      <c r="SMV23" s="476"/>
      <c r="SMW23" s="476"/>
      <c r="SMX23" s="476"/>
      <c r="SMY23" s="476"/>
      <c r="SMZ23" s="476"/>
      <c r="SNA23" s="476"/>
      <c r="SNB23" s="476"/>
      <c r="SNC23" s="476"/>
      <c r="SND23" s="476"/>
      <c r="SNE23" s="476"/>
      <c r="SNF23" s="476"/>
      <c r="SNG23" s="476"/>
      <c r="SNH23" s="476"/>
      <c r="SNI23" s="476"/>
      <c r="SNJ23" s="476"/>
      <c r="SNK23" s="476"/>
      <c r="SNL23" s="476"/>
      <c r="SNM23" s="476"/>
      <c r="SNN23" s="476"/>
      <c r="SNO23" s="476"/>
      <c r="SNP23" s="476"/>
      <c r="SNQ23" s="476"/>
      <c r="SNR23" s="476"/>
      <c r="SNS23" s="476"/>
      <c r="SNT23" s="476"/>
      <c r="SNU23" s="476"/>
      <c r="SNV23" s="476"/>
      <c r="SNW23" s="476"/>
      <c r="SNX23" s="476"/>
      <c r="SNY23" s="476"/>
      <c r="SNZ23" s="476"/>
      <c r="SOA23" s="476"/>
      <c r="SOB23" s="476"/>
      <c r="SOC23" s="476"/>
      <c r="SOD23" s="476"/>
      <c r="SOE23" s="476"/>
      <c r="SOF23" s="476"/>
      <c r="SOG23" s="476"/>
      <c r="SOH23" s="476"/>
      <c r="SOI23" s="476"/>
      <c r="SOJ23" s="476"/>
      <c r="SOK23" s="476"/>
      <c r="SOL23" s="476"/>
      <c r="SOM23" s="476"/>
      <c r="SON23" s="476"/>
      <c r="SOO23" s="476"/>
      <c r="SOP23" s="476"/>
      <c r="SOQ23" s="476"/>
      <c r="SOR23" s="476"/>
      <c r="SOS23" s="476"/>
      <c r="SOT23" s="476"/>
      <c r="SOU23" s="476"/>
      <c r="SOV23" s="476"/>
      <c r="SOW23" s="476"/>
      <c r="SOX23" s="476"/>
      <c r="SOY23" s="476"/>
      <c r="SOZ23" s="476"/>
      <c r="SPA23" s="476"/>
      <c r="SPB23" s="476"/>
      <c r="SPC23" s="476"/>
      <c r="SPD23" s="476"/>
      <c r="SPE23" s="476"/>
      <c r="SPF23" s="476"/>
      <c r="SPG23" s="476"/>
      <c r="SPH23" s="476"/>
      <c r="SPI23" s="476"/>
      <c r="SPJ23" s="476"/>
      <c r="SPK23" s="476"/>
      <c r="SPL23" s="476"/>
      <c r="SPM23" s="476"/>
      <c r="SPN23" s="476"/>
      <c r="SPO23" s="476"/>
      <c r="SPP23" s="476"/>
      <c r="SPQ23" s="476"/>
      <c r="SPR23" s="476"/>
      <c r="SPS23" s="476"/>
      <c r="SPT23" s="476"/>
      <c r="SPU23" s="476"/>
      <c r="SPV23" s="476"/>
      <c r="SPW23" s="476"/>
      <c r="SPX23" s="476"/>
      <c r="SPY23" s="476"/>
      <c r="SPZ23" s="476"/>
      <c r="SQA23" s="476"/>
      <c r="SQB23" s="476"/>
      <c r="SQC23" s="476"/>
      <c r="SQD23" s="476"/>
      <c r="SQE23" s="476"/>
      <c r="SQF23" s="476"/>
      <c r="SQG23" s="476"/>
      <c r="SQH23" s="476"/>
      <c r="SQI23" s="476"/>
      <c r="SQJ23" s="476"/>
      <c r="SQK23" s="476"/>
      <c r="SQL23" s="476"/>
      <c r="SQM23" s="476"/>
      <c r="SQN23" s="476"/>
      <c r="SQO23" s="476"/>
      <c r="SQP23" s="476"/>
      <c r="SQQ23" s="476"/>
      <c r="SQR23" s="476"/>
      <c r="SQS23" s="476"/>
      <c r="SQT23" s="476"/>
      <c r="SQU23" s="476"/>
      <c r="SQV23" s="476"/>
      <c r="SQW23" s="476"/>
      <c r="SQX23" s="476"/>
      <c r="SQY23" s="476"/>
      <c r="SQZ23" s="476"/>
      <c r="SRA23" s="476"/>
      <c r="SRB23" s="476"/>
      <c r="SRC23" s="476"/>
      <c r="SRD23" s="476"/>
      <c r="SRE23" s="476"/>
      <c r="SRF23" s="476"/>
      <c r="SRG23" s="476"/>
      <c r="SRH23" s="476"/>
      <c r="SRI23" s="476"/>
      <c r="SRJ23" s="476"/>
      <c r="SRK23" s="476"/>
      <c r="SRL23" s="476"/>
      <c r="SRM23" s="476"/>
      <c r="SRN23" s="476"/>
      <c r="SRO23" s="476"/>
      <c r="SRP23" s="476"/>
      <c r="SRQ23" s="476"/>
      <c r="SRR23" s="476"/>
      <c r="SRS23" s="476"/>
      <c r="SRT23" s="476"/>
      <c r="SRU23" s="476"/>
      <c r="SRV23" s="476"/>
      <c r="SRW23" s="476"/>
      <c r="SRX23" s="476"/>
      <c r="SRY23" s="476"/>
      <c r="SRZ23" s="476"/>
      <c r="SSA23" s="476"/>
      <c r="SSB23" s="476"/>
      <c r="SSC23" s="476"/>
      <c r="SSD23" s="476"/>
      <c r="SSE23" s="476"/>
      <c r="SSF23" s="476"/>
      <c r="SSG23" s="476"/>
      <c r="SSH23" s="476"/>
      <c r="SSI23" s="476"/>
      <c r="SSJ23" s="476"/>
      <c r="SSK23" s="476"/>
      <c r="SSL23" s="476"/>
      <c r="SSM23" s="476"/>
      <c r="SSN23" s="476"/>
      <c r="SSO23" s="476"/>
      <c r="SSP23" s="476"/>
      <c r="SSQ23" s="476"/>
      <c r="SSR23" s="476"/>
      <c r="SSS23" s="476"/>
      <c r="SST23" s="476"/>
      <c r="SSU23" s="476"/>
      <c r="SSV23" s="476"/>
      <c r="SSW23" s="476"/>
      <c r="SSX23" s="476"/>
      <c r="SSY23" s="476"/>
      <c r="SSZ23" s="476"/>
      <c r="STA23" s="476"/>
      <c r="STB23" s="476"/>
      <c r="STC23" s="476"/>
      <c r="STD23" s="476"/>
      <c r="STE23" s="476"/>
      <c r="STF23" s="476"/>
      <c r="STG23" s="476"/>
      <c r="STH23" s="476"/>
      <c r="STI23" s="476"/>
      <c r="STJ23" s="476"/>
      <c r="STK23" s="476"/>
      <c r="STL23" s="476"/>
      <c r="STM23" s="476"/>
      <c r="STN23" s="476"/>
      <c r="STO23" s="476"/>
      <c r="STP23" s="476"/>
      <c r="STQ23" s="476"/>
      <c r="STR23" s="476"/>
      <c r="STS23" s="476"/>
      <c r="STT23" s="476"/>
      <c r="STU23" s="476"/>
      <c r="STV23" s="476"/>
      <c r="STW23" s="476"/>
      <c r="STX23" s="476"/>
      <c r="STY23" s="476"/>
      <c r="STZ23" s="476"/>
      <c r="SUA23" s="476"/>
      <c r="SUB23" s="476"/>
      <c r="SUC23" s="476"/>
      <c r="SUD23" s="476"/>
      <c r="SUE23" s="476"/>
      <c r="SUF23" s="476"/>
      <c r="SUG23" s="476"/>
      <c r="SUH23" s="476"/>
      <c r="SUI23" s="476"/>
      <c r="SUJ23" s="476"/>
      <c r="SUK23" s="476"/>
      <c r="SUL23" s="476"/>
      <c r="SUM23" s="476"/>
      <c r="SUN23" s="476"/>
      <c r="SUO23" s="476"/>
      <c r="SUP23" s="476"/>
      <c r="SUQ23" s="476"/>
      <c r="SUR23" s="476"/>
      <c r="SUS23" s="476"/>
      <c r="SUT23" s="476"/>
      <c r="SUU23" s="476"/>
      <c r="SUV23" s="476"/>
      <c r="SUW23" s="476"/>
      <c r="SUX23" s="476"/>
      <c r="SUY23" s="476"/>
      <c r="SUZ23" s="476"/>
      <c r="SVA23" s="476"/>
      <c r="SVB23" s="476"/>
      <c r="SVC23" s="476"/>
      <c r="SVD23" s="476"/>
      <c r="SVE23" s="476"/>
      <c r="SVF23" s="476"/>
      <c r="SVG23" s="476"/>
      <c r="SVH23" s="476"/>
      <c r="SVI23" s="476"/>
      <c r="SVJ23" s="476"/>
      <c r="SVK23" s="476"/>
      <c r="SVL23" s="476"/>
      <c r="SVM23" s="476"/>
      <c r="SVN23" s="476"/>
      <c r="SVO23" s="476"/>
      <c r="SVP23" s="476"/>
      <c r="SVQ23" s="476"/>
      <c r="SVR23" s="476"/>
      <c r="SVS23" s="476"/>
      <c r="SVT23" s="476"/>
      <c r="SVU23" s="476"/>
      <c r="SVV23" s="476"/>
      <c r="SVW23" s="476"/>
      <c r="SVX23" s="476"/>
      <c r="SVY23" s="476"/>
      <c r="SVZ23" s="476"/>
      <c r="SWA23" s="476"/>
      <c r="SWB23" s="476"/>
      <c r="SWC23" s="476"/>
      <c r="SWD23" s="476"/>
      <c r="SWE23" s="476"/>
      <c r="SWF23" s="476"/>
      <c r="SWG23" s="476"/>
      <c r="SWH23" s="476"/>
      <c r="SWI23" s="476"/>
      <c r="SWJ23" s="476"/>
      <c r="SWK23" s="476"/>
      <c r="SWL23" s="476"/>
      <c r="SWM23" s="476"/>
      <c r="SWN23" s="476"/>
      <c r="SWO23" s="476"/>
      <c r="SWP23" s="476"/>
      <c r="SWQ23" s="476"/>
      <c r="SWR23" s="476"/>
      <c r="SWS23" s="476"/>
      <c r="SWT23" s="476"/>
      <c r="SWU23" s="476"/>
      <c r="SWV23" s="476"/>
      <c r="SWW23" s="476"/>
      <c r="SWX23" s="476"/>
      <c r="SWY23" s="476"/>
      <c r="SWZ23" s="476"/>
      <c r="SXA23" s="476"/>
      <c r="SXB23" s="476"/>
      <c r="SXC23" s="476"/>
      <c r="SXD23" s="476"/>
      <c r="SXE23" s="476"/>
      <c r="SXF23" s="476"/>
      <c r="SXG23" s="476"/>
      <c r="SXH23" s="476"/>
      <c r="SXI23" s="476"/>
      <c r="SXJ23" s="476"/>
      <c r="SXK23" s="476"/>
      <c r="SXL23" s="476"/>
      <c r="SXM23" s="476"/>
      <c r="SXN23" s="476"/>
      <c r="SXO23" s="476"/>
      <c r="SXP23" s="476"/>
      <c r="SXQ23" s="476"/>
      <c r="SXR23" s="476"/>
      <c r="SXS23" s="476"/>
      <c r="SXT23" s="476"/>
      <c r="SXU23" s="476"/>
      <c r="SXV23" s="476"/>
      <c r="SXW23" s="476"/>
      <c r="SXX23" s="476"/>
      <c r="SXY23" s="476"/>
      <c r="SXZ23" s="476"/>
      <c r="SYA23" s="476"/>
      <c r="SYB23" s="476"/>
      <c r="SYC23" s="476"/>
      <c r="SYD23" s="476"/>
      <c r="SYE23" s="476"/>
      <c r="SYF23" s="476"/>
      <c r="SYG23" s="476"/>
      <c r="SYH23" s="476"/>
      <c r="SYI23" s="476"/>
      <c r="SYJ23" s="476"/>
      <c r="SYK23" s="476"/>
      <c r="SYL23" s="476"/>
      <c r="SYM23" s="476"/>
      <c r="SYN23" s="476"/>
      <c r="SYO23" s="476"/>
      <c r="SYP23" s="476"/>
      <c r="SYQ23" s="476"/>
      <c r="SYR23" s="476"/>
      <c r="SYS23" s="476"/>
      <c r="SYT23" s="476"/>
      <c r="SYU23" s="476"/>
      <c r="SYV23" s="476"/>
      <c r="SYW23" s="476"/>
      <c r="SYX23" s="476"/>
      <c r="SYY23" s="476"/>
      <c r="SYZ23" s="476"/>
      <c r="SZA23" s="476"/>
      <c r="SZB23" s="476"/>
      <c r="SZC23" s="476"/>
      <c r="SZD23" s="476"/>
      <c r="SZE23" s="476"/>
      <c r="SZF23" s="476"/>
      <c r="SZG23" s="476"/>
      <c r="SZH23" s="476"/>
      <c r="SZI23" s="476"/>
      <c r="SZJ23" s="476"/>
      <c r="SZK23" s="476"/>
      <c r="SZL23" s="476"/>
      <c r="SZM23" s="476"/>
      <c r="SZN23" s="476"/>
      <c r="SZO23" s="476"/>
      <c r="SZP23" s="476"/>
      <c r="SZQ23" s="476"/>
      <c r="SZR23" s="476"/>
      <c r="SZS23" s="476"/>
      <c r="SZT23" s="476"/>
      <c r="SZU23" s="476"/>
      <c r="SZV23" s="476"/>
      <c r="SZW23" s="476"/>
      <c r="SZX23" s="476"/>
      <c r="SZY23" s="476"/>
      <c r="SZZ23" s="476"/>
      <c r="TAA23" s="476"/>
      <c r="TAB23" s="476"/>
      <c r="TAC23" s="476"/>
      <c r="TAD23" s="476"/>
      <c r="TAE23" s="476"/>
      <c r="TAF23" s="476"/>
      <c r="TAG23" s="476"/>
      <c r="TAH23" s="476"/>
      <c r="TAI23" s="476"/>
      <c r="TAJ23" s="476"/>
      <c r="TAK23" s="476"/>
      <c r="TAL23" s="476"/>
      <c r="TAM23" s="476"/>
      <c r="TAN23" s="476"/>
      <c r="TAO23" s="476"/>
      <c r="TAP23" s="476"/>
      <c r="TAQ23" s="476"/>
      <c r="TAR23" s="476"/>
      <c r="TAS23" s="476"/>
      <c r="TAT23" s="476"/>
      <c r="TAU23" s="476"/>
      <c r="TAV23" s="476"/>
      <c r="TAW23" s="476"/>
      <c r="TAX23" s="476"/>
      <c r="TAY23" s="476"/>
      <c r="TAZ23" s="476"/>
      <c r="TBA23" s="476"/>
      <c r="TBB23" s="476"/>
      <c r="TBC23" s="476"/>
      <c r="TBD23" s="476"/>
      <c r="TBE23" s="476"/>
      <c r="TBF23" s="476"/>
      <c r="TBG23" s="476"/>
      <c r="TBH23" s="476"/>
      <c r="TBI23" s="476"/>
      <c r="TBJ23" s="476"/>
      <c r="TBK23" s="476"/>
      <c r="TBL23" s="476"/>
      <c r="TBM23" s="476"/>
      <c r="TBN23" s="476"/>
      <c r="TBO23" s="476"/>
      <c r="TBP23" s="476"/>
      <c r="TBQ23" s="476"/>
      <c r="TBR23" s="476"/>
      <c r="TBS23" s="476"/>
      <c r="TBT23" s="476"/>
      <c r="TBU23" s="476"/>
      <c r="TBV23" s="476"/>
      <c r="TBW23" s="476"/>
      <c r="TBX23" s="476"/>
      <c r="TBY23" s="476"/>
      <c r="TBZ23" s="476"/>
      <c r="TCA23" s="476"/>
      <c r="TCB23" s="476"/>
      <c r="TCC23" s="476"/>
      <c r="TCD23" s="476"/>
      <c r="TCE23" s="476"/>
      <c r="TCF23" s="476"/>
      <c r="TCG23" s="476"/>
      <c r="TCH23" s="476"/>
      <c r="TCI23" s="476"/>
      <c r="TCJ23" s="476"/>
      <c r="TCK23" s="476"/>
      <c r="TCL23" s="476"/>
      <c r="TCM23" s="476"/>
      <c r="TCN23" s="476"/>
      <c r="TCO23" s="476"/>
      <c r="TCP23" s="476"/>
      <c r="TCQ23" s="476"/>
      <c r="TCR23" s="476"/>
      <c r="TCS23" s="476"/>
      <c r="TCT23" s="476"/>
      <c r="TCU23" s="476"/>
      <c r="TCV23" s="476"/>
      <c r="TCW23" s="476"/>
      <c r="TCX23" s="476"/>
      <c r="TCY23" s="476"/>
      <c r="TCZ23" s="476"/>
      <c r="TDA23" s="476"/>
      <c r="TDB23" s="476"/>
      <c r="TDC23" s="476"/>
      <c r="TDD23" s="476"/>
      <c r="TDE23" s="476"/>
      <c r="TDF23" s="476"/>
      <c r="TDG23" s="476"/>
      <c r="TDH23" s="476"/>
      <c r="TDI23" s="476"/>
      <c r="TDJ23" s="476"/>
      <c r="TDK23" s="476"/>
      <c r="TDL23" s="476"/>
      <c r="TDM23" s="476"/>
      <c r="TDN23" s="476"/>
      <c r="TDO23" s="476"/>
      <c r="TDP23" s="476"/>
      <c r="TDQ23" s="476"/>
      <c r="TDR23" s="476"/>
      <c r="TDS23" s="476"/>
      <c r="TDT23" s="476"/>
      <c r="TDU23" s="476"/>
      <c r="TDV23" s="476"/>
      <c r="TDW23" s="476"/>
      <c r="TDX23" s="476"/>
      <c r="TDY23" s="476"/>
      <c r="TDZ23" s="476"/>
      <c r="TEA23" s="476"/>
      <c r="TEB23" s="476"/>
      <c r="TEC23" s="476"/>
      <c r="TED23" s="476"/>
      <c r="TEE23" s="476"/>
      <c r="TEF23" s="476"/>
      <c r="TEG23" s="476"/>
      <c r="TEH23" s="476"/>
      <c r="TEI23" s="476"/>
      <c r="TEJ23" s="476"/>
      <c r="TEK23" s="476"/>
      <c r="TEL23" s="476"/>
      <c r="TEM23" s="476"/>
      <c r="TEN23" s="476"/>
      <c r="TEO23" s="476"/>
      <c r="TEP23" s="476"/>
      <c r="TEQ23" s="476"/>
      <c r="TER23" s="476"/>
      <c r="TES23" s="476"/>
      <c r="TET23" s="476"/>
      <c r="TEU23" s="476"/>
      <c r="TEV23" s="476"/>
      <c r="TEW23" s="476"/>
      <c r="TEX23" s="476"/>
      <c r="TEY23" s="476"/>
      <c r="TEZ23" s="476"/>
      <c r="TFA23" s="476"/>
      <c r="TFB23" s="476"/>
      <c r="TFC23" s="476"/>
      <c r="TFD23" s="476"/>
      <c r="TFE23" s="476"/>
      <c r="TFF23" s="476"/>
      <c r="TFG23" s="476"/>
      <c r="TFH23" s="476"/>
      <c r="TFI23" s="476"/>
      <c r="TFJ23" s="476"/>
      <c r="TFK23" s="476"/>
      <c r="TFL23" s="476"/>
      <c r="TFM23" s="476"/>
      <c r="TFN23" s="476"/>
      <c r="TFO23" s="476"/>
      <c r="TFP23" s="476"/>
      <c r="TFQ23" s="476"/>
      <c r="TFR23" s="476"/>
      <c r="TFS23" s="476"/>
      <c r="TFT23" s="476"/>
      <c r="TFU23" s="476"/>
      <c r="TFV23" s="476"/>
      <c r="TFW23" s="476"/>
      <c r="TFX23" s="476"/>
      <c r="TFY23" s="476"/>
      <c r="TFZ23" s="476"/>
      <c r="TGA23" s="476"/>
      <c r="TGB23" s="476"/>
      <c r="TGC23" s="476"/>
      <c r="TGD23" s="476"/>
      <c r="TGE23" s="476"/>
      <c r="TGF23" s="476"/>
      <c r="TGG23" s="476"/>
      <c r="TGH23" s="476"/>
      <c r="TGI23" s="476"/>
      <c r="TGJ23" s="476"/>
      <c r="TGK23" s="476"/>
      <c r="TGL23" s="476"/>
      <c r="TGM23" s="476"/>
      <c r="TGN23" s="476"/>
      <c r="TGO23" s="476"/>
      <c r="TGP23" s="476"/>
      <c r="TGQ23" s="476"/>
      <c r="TGR23" s="476"/>
      <c r="TGS23" s="476"/>
      <c r="TGT23" s="476"/>
      <c r="TGU23" s="476"/>
      <c r="TGV23" s="476"/>
      <c r="TGW23" s="476"/>
      <c r="TGX23" s="476"/>
      <c r="TGY23" s="476"/>
      <c r="TGZ23" s="476"/>
      <c r="THA23" s="476"/>
      <c r="THB23" s="476"/>
      <c r="THC23" s="476"/>
      <c r="THD23" s="476"/>
      <c r="THE23" s="476"/>
      <c r="THF23" s="476"/>
      <c r="THG23" s="476"/>
      <c r="THH23" s="476"/>
      <c r="THI23" s="476"/>
      <c r="THJ23" s="476"/>
      <c r="THK23" s="476"/>
      <c r="THL23" s="476"/>
      <c r="THM23" s="476"/>
      <c r="THN23" s="476"/>
      <c r="THO23" s="476"/>
      <c r="THP23" s="476"/>
      <c r="THQ23" s="476"/>
      <c r="THR23" s="476"/>
      <c r="THS23" s="476"/>
      <c r="THT23" s="476"/>
      <c r="THU23" s="476"/>
      <c r="THV23" s="476"/>
      <c r="THW23" s="476"/>
      <c r="THX23" s="476"/>
      <c r="THY23" s="476"/>
      <c r="THZ23" s="476"/>
      <c r="TIA23" s="476"/>
      <c r="TIB23" s="476"/>
      <c r="TIC23" s="476"/>
      <c r="TID23" s="476"/>
      <c r="TIE23" s="476"/>
      <c r="TIF23" s="476"/>
      <c r="TIG23" s="476"/>
      <c r="TIH23" s="476"/>
      <c r="TII23" s="476"/>
      <c r="TIJ23" s="476"/>
      <c r="TIK23" s="476"/>
      <c r="TIL23" s="476"/>
      <c r="TIM23" s="476"/>
      <c r="TIN23" s="476"/>
      <c r="TIO23" s="476"/>
      <c r="TIP23" s="476"/>
      <c r="TIQ23" s="476"/>
      <c r="TIR23" s="476"/>
      <c r="TIS23" s="476"/>
      <c r="TIT23" s="476"/>
      <c r="TIU23" s="476"/>
      <c r="TIV23" s="476"/>
      <c r="TIW23" s="476"/>
      <c r="TIX23" s="476"/>
      <c r="TIY23" s="476"/>
      <c r="TIZ23" s="476"/>
      <c r="TJA23" s="476"/>
      <c r="TJB23" s="476"/>
      <c r="TJC23" s="476"/>
      <c r="TJD23" s="476"/>
      <c r="TJE23" s="476"/>
      <c r="TJF23" s="476"/>
      <c r="TJG23" s="476"/>
      <c r="TJH23" s="476"/>
      <c r="TJI23" s="476"/>
      <c r="TJJ23" s="476"/>
      <c r="TJK23" s="476"/>
      <c r="TJL23" s="476"/>
      <c r="TJM23" s="476"/>
      <c r="TJN23" s="476"/>
      <c r="TJO23" s="476"/>
      <c r="TJP23" s="476"/>
      <c r="TJQ23" s="476"/>
      <c r="TJR23" s="476"/>
      <c r="TJS23" s="476"/>
      <c r="TJT23" s="476"/>
      <c r="TJU23" s="476"/>
      <c r="TJV23" s="476"/>
      <c r="TJW23" s="476"/>
      <c r="TJX23" s="476"/>
      <c r="TJY23" s="476"/>
      <c r="TJZ23" s="476"/>
      <c r="TKA23" s="476"/>
      <c r="TKB23" s="476"/>
      <c r="TKC23" s="476"/>
      <c r="TKD23" s="476"/>
      <c r="TKE23" s="476"/>
      <c r="TKF23" s="476"/>
      <c r="TKG23" s="476"/>
      <c r="TKH23" s="476"/>
      <c r="TKI23" s="476"/>
      <c r="TKJ23" s="476"/>
      <c r="TKK23" s="476"/>
      <c r="TKL23" s="476"/>
      <c r="TKM23" s="476"/>
      <c r="TKN23" s="476"/>
      <c r="TKO23" s="476"/>
      <c r="TKP23" s="476"/>
      <c r="TKQ23" s="476"/>
      <c r="TKR23" s="476"/>
      <c r="TKS23" s="476"/>
      <c r="TKT23" s="476"/>
      <c r="TKU23" s="476"/>
      <c r="TKV23" s="476"/>
      <c r="TKW23" s="476"/>
      <c r="TKX23" s="476"/>
      <c r="TKY23" s="476"/>
      <c r="TKZ23" s="476"/>
      <c r="TLA23" s="476"/>
      <c r="TLB23" s="476"/>
      <c r="TLC23" s="476"/>
      <c r="TLD23" s="476"/>
      <c r="TLE23" s="476"/>
      <c r="TLF23" s="476"/>
      <c r="TLG23" s="476"/>
      <c r="TLH23" s="476"/>
      <c r="TLI23" s="476"/>
      <c r="TLJ23" s="476"/>
      <c r="TLK23" s="476"/>
      <c r="TLL23" s="476"/>
      <c r="TLM23" s="476"/>
      <c r="TLN23" s="476"/>
      <c r="TLO23" s="476"/>
      <c r="TLP23" s="476"/>
      <c r="TLQ23" s="476"/>
      <c r="TLR23" s="476"/>
      <c r="TLS23" s="476"/>
      <c r="TLT23" s="476"/>
      <c r="TLU23" s="476"/>
      <c r="TLV23" s="476"/>
      <c r="TLW23" s="476"/>
      <c r="TLX23" s="476"/>
      <c r="TLY23" s="476"/>
      <c r="TLZ23" s="476"/>
      <c r="TMA23" s="476"/>
      <c r="TMB23" s="476"/>
      <c r="TMC23" s="476"/>
      <c r="TMD23" s="476"/>
      <c r="TME23" s="476"/>
      <c r="TMF23" s="476"/>
      <c r="TMG23" s="476"/>
      <c r="TMH23" s="476"/>
      <c r="TMI23" s="476"/>
      <c r="TMJ23" s="476"/>
      <c r="TMK23" s="476"/>
      <c r="TML23" s="476"/>
      <c r="TMM23" s="476"/>
      <c r="TMN23" s="476"/>
      <c r="TMO23" s="476"/>
      <c r="TMP23" s="476"/>
      <c r="TMQ23" s="476"/>
      <c r="TMR23" s="476"/>
      <c r="TMS23" s="476"/>
      <c r="TMT23" s="476"/>
      <c r="TMU23" s="476"/>
      <c r="TMV23" s="476"/>
      <c r="TMW23" s="476"/>
      <c r="TMX23" s="476"/>
      <c r="TMY23" s="476"/>
      <c r="TMZ23" s="476"/>
      <c r="TNA23" s="476"/>
      <c r="TNB23" s="476"/>
      <c r="TNC23" s="476"/>
      <c r="TND23" s="476"/>
      <c r="TNE23" s="476"/>
      <c r="TNF23" s="476"/>
      <c r="TNG23" s="476"/>
      <c r="TNH23" s="476"/>
      <c r="TNI23" s="476"/>
      <c r="TNJ23" s="476"/>
      <c r="TNK23" s="476"/>
      <c r="TNL23" s="476"/>
      <c r="TNM23" s="476"/>
      <c r="TNN23" s="476"/>
      <c r="TNO23" s="476"/>
      <c r="TNP23" s="476"/>
      <c r="TNQ23" s="476"/>
      <c r="TNR23" s="476"/>
      <c r="TNS23" s="476"/>
      <c r="TNT23" s="476"/>
      <c r="TNU23" s="476"/>
      <c r="TNV23" s="476"/>
      <c r="TNW23" s="476"/>
      <c r="TNX23" s="476"/>
      <c r="TNY23" s="476"/>
      <c r="TNZ23" s="476"/>
      <c r="TOA23" s="476"/>
      <c r="TOB23" s="476"/>
      <c r="TOC23" s="476"/>
      <c r="TOD23" s="476"/>
      <c r="TOE23" s="476"/>
      <c r="TOF23" s="476"/>
      <c r="TOG23" s="476"/>
      <c r="TOH23" s="476"/>
      <c r="TOI23" s="476"/>
      <c r="TOJ23" s="476"/>
      <c r="TOK23" s="476"/>
      <c r="TOL23" s="476"/>
      <c r="TOM23" s="476"/>
      <c r="TON23" s="476"/>
      <c r="TOO23" s="476"/>
      <c r="TOP23" s="476"/>
      <c r="TOQ23" s="476"/>
      <c r="TOR23" s="476"/>
      <c r="TOS23" s="476"/>
      <c r="TOT23" s="476"/>
      <c r="TOU23" s="476"/>
      <c r="TOV23" s="476"/>
      <c r="TOW23" s="476"/>
      <c r="TOX23" s="476"/>
      <c r="TOY23" s="476"/>
      <c r="TOZ23" s="476"/>
      <c r="TPA23" s="476"/>
      <c r="TPB23" s="476"/>
      <c r="TPC23" s="476"/>
      <c r="TPD23" s="476"/>
      <c r="TPE23" s="476"/>
      <c r="TPF23" s="476"/>
      <c r="TPG23" s="476"/>
      <c r="TPH23" s="476"/>
      <c r="TPI23" s="476"/>
      <c r="TPJ23" s="476"/>
      <c r="TPK23" s="476"/>
      <c r="TPL23" s="476"/>
      <c r="TPM23" s="476"/>
      <c r="TPN23" s="476"/>
      <c r="TPO23" s="476"/>
      <c r="TPP23" s="476"/>
      <c r="TPQ23" s="476"/>
      <c r="TPR23" s="476"/>
      <c r="TPS23" s="476"/>
      <c r="TPT23" s="476"/>
      <c r="TPU23" s="476"/>
      <c r="TPV23" s="476"/>
      <c r="TPW23" s="476"/>
      <c r="TPX23" s="476"/>
      <c r="TPY23" s="476"/>
      <c r="TPZ23" s="476"/>
      <c r="TQA23" s="476"/>
      <c r="TQB23" s="476"/>
      <c r="TQC23" s="476"/>
      <c r="TQD23" s="476"/>
      <c r="TQE23" s="476"/>
      <c r="TQF23" s="476"/>
      <c r="TQG23" s="476"/>
      <c r="TQH23" s="476"/>
      <c r="TQI23" s="476"/>
      <c r="TQJ23" s="476"/>
      <c r="TQK23" s="476"/>
      <c r="TQL23" s="476"/>
      <c r="TQM23" s="476"/>
      <c r="TQN23" s="476"/>
      <c r="TQO23" s="476"/>
      <c r="TQP23" s="476"/>
      <c r="TQQ23" s="476"/>
      <c r="TQR23" s="476"/>
      <c r="TQS23" s="476"/>
      <c r="TQT23" s="476"/>
      <c r="TQU23" s="476"/>
      <c r="TQV23" s="476"/>
      <c r="TQW23" s="476"/>
      <c r="TQX23" s="476"/>
      <c r="TQY23" s="476"/>
      <c r="TQZ23" s="476"/>
      <c r="TRA23" s="476"/>
      <c r="TRB23" s="476"/>
      <c r="TRC23" s="476"/>
      <c r="TRD23" s="476"/>
      <c r="TRE23" s="476"/>
      <c r="TRF23" s="476"/>
      <c r="TRG23" s="476"/>
      <c r="TRH23" s="476"/>
      <c r="TRI23" s="476"/>
      <c r="TRJ23" s="476"/>
      <c r="TRK23" s="476"/>
      <c r="TRL23" s="476"/>
      <c r="TRM23" s="476"/>
      <c r="TRN23" s="476"/>
      <c r="TRO23" s="476"/>
      <c r="TRP23" s="476"/>
      <c r="TRQ23" s="476"/>
      <c r="TRR23" s="476"/>
      <c r="TRS23" s="476"/>
      <c r="TRT23" s="476"/>
      <c r="TRU23" s="476"/>
      <c r="TRV23" s="476"/>
      <c r="TRW23" s="476"/>
      <c r="TRX23" s="476"/>
      <c r="TRY23" s="476"/>
      <c r="TRZ23" s="476"/>
      <c r="TSA23" s="476"/>
      <c r="TSB23" s="476"/>
      <c r="TSC23" s="476"/>
      <c r="TSD23" s="476"/>
      <c r="TSE23" s="476"/>
      <c r="TSF23" s="476"/>
      <c r="TSG23" s="476"/>
      <c r="TSH23" s="476"/>
      <c r="TSI23" s="476"/>
      <c r="TSJ23" s="476"/>
      <c r="TSK23" s="476"/>
      <c r="TSL23" s="476"/>
      <c r="TSM23" s="476"/>
      <c r="TSN23" s="476"/>
      <c r="TSO23" s="476"/>
      <c r="TSP23" s="476"/>
      <c r="TSQ23" s="476"/>
      <c r="TSR23" s="476"/>
      <c r="TSS23" s="476"/>
      <c r="TST23" s="476"/>
      <c r="TSU23" s="476"/>
      <c r="TSV23" s="476"/>
      <c r="TSW23" s="476"/>
      <c r="TSX23" s="476"/>
      <c r="TSY23" s="476"/>
      <c r="TSZ23" s="476"/>
      <c r="TTA23" s="476"/>
      <c r="TTB23" s="476"/>
      <c r="TTC23" s="476"/>
      <c r="TTD23" s="476"/>
      <c r="TTE23" s="476"/>
      <c r="TTF23" s="476"/>
      <c r="TTG23" s="476"/>
      <c r="TTH23" s="476"/>
      <c r="TTI23" s="476"/>
      <c r="TTJ23" s="476"/>
      <c r="TTK23" s="476"/>
      <c r="TTL23" s="476"/>
      <c r="TTM23" s="476"/>
      <c r="TTN23" s="476"/>
      <c r="TTO23" s="476"/>
      <c r="TTP23" s="476"/>
      <c r="TTQ23" s="476"/>
      <c r="TTR23" s="476"/>
      <c r="TTS23" s="476"/>
      <c r="TTT23" s="476"/>
      <c r="TTU23" s="476"/>
      <c r="TTV23" s="476"/>
      <c r="TTW23" s="476"/>
      <c r="TTX23" s="476"/>
      <c r="TTY23" s="476"/>
      <c r="TTZ23" s="476"/>
      <c r="TUA23" s="476"/>
      <c r="TUB23" s="476"/>
      <c r="TUC23" s="476"/>
      <c r="TUD23" s="476"/>
      <c r="TUE23" s="476"/>
      <c r="TUF23" s="476"/>
      <c r="TUG23" s="476"/>
      <c r="TUH23" s="476"/>
      <c r="TUI23" s="476"/>
      <c r="TUJ23" s="476"/>
      <c r="TUK23" s="476"/>
      <c r="TUL23" s="476"/>
      <c r="TUM23" s="476"/>
      <c r="TUN23" s="476"/>
      <c r="TUO23" s="476"/>
      <c r="TUP23" s="476"/>
      <c r="TUQ23" s="476"/>
      <c r="TUR23" s="476"/>
      <c r="TUS23" s="476"/>
      <c r="TUT23" s="476"/>
      <c r="TUU23" s="476"/>
      <c r="TUV23" s="476"/>
      <c r="TUW23" s="476"/>
      <c r="TUX23" s="476"/>
      <c r="TUY23" s="476"/>
      <c r="TUZ23" s="476"/>
      <c r="TVA23" s="476"/>
      <c r="TVB23" s="476"/>
      <c r="TVC23" s="476"/>
      <c r="TVD23" s="476"/>
      <c r="TVE23" s="476"/>
      <c r="TVF23" s="476"/>
      <c r="TVG23" s="476"/>
      <c r="TVH23" s="476"/>
      <c r="TVI23" s="476"/>
      <c r="TVJ23" s="476"/>
      <c r="TVK23" s="476"/>
      <c r="TVL23" s="476"/>
      <c r="TVM23" s="476"/>
      <c r="TVN23" s="476"/>
      <c r="TVO23" s="476"/>
      <c r="TVP23" s="476"/>
      <c r="TVQ23" s="476"/>
      <c r="TVR23" s="476"/>
      <c r="TVS23" s="476"/>
      <c r="TVT23" s="476"/>
      <c r="TVU23" s="476"/>
      <c r="TVV23" s="476"/>
      <c r="TVW23" s="476"/>
      <c r="TVX23" s="476"/>
      <c r="TVY23" s="476"/>
      <c r="TVZ23" s="476"/>
      <c r="TWA23" s="476"/>
      <c r="TWB23" s="476"/>
      <c r="TWC23" s="476"/>
      <c r="TWD23" s="476"/>
      <c r="TWE23" s="476"/>
      <c r="TWF23" s="476"/>
      <c r="TWG23" s="476"/>
      <c r="TWH23" s="476"/>
      <c r="TWI23" s="476"/>
      <c r="TWJ23" s="476"/>
      <c r="TWK23" s="476"/>
      <c r="TWL23" s="476"/>
      <c r="TWM23" s="476"/>
      <c r="TWN23" s="476"/>
      <c r="TWO23" s="476"/>
      <c r="TWP23" s="476"/>
      <c r="TWQ23" s="476"/>
      <c r="TWR23" s="476"/>
      <c r="TWS23" s="476"/>
      <c r="TWT23" s="476"/>
      <c r="TWU23" s="476"/>
      <c r="TWV23" s="476"/>
      <c r="TWW23" s="476"/>
      <c r="TWX23" s="476"/>
      <c r="TWY23" s="476"/>
      <c r="TWZ23" s="476"/>
      <c r="TXA23" s="476"/>
      <c r="TXB23" s="476"/>
      <c r="TXC23" s="476"/>
      <c r="TXD23" s="476"/>
      <c r="TXE23" s="476"/>
      <c r="TXF23" s="476"/>
      <c r="TXG23" s="476"/>
      <c r="TXH23" s="476"/>
      <c r="TXI23" s="476"/>
      <c r="TXJ23" s="476"/>
      <c r="TXK23" s="476"/>
      <c r="TXL23" s="476"/>
      <c r="TXM23" s="476"/>
      <c r="TXN23" s="476"/>
      <c r="TXO23" s="476"/>
      <c r="TXP23" s="476"/>
      <c r="TXQ23" s="476"/>
      <c r="TXR23" s="476"/>
      <c r="TXS23" s="476"/>
      <c r="TXT23" s="476"/>
      <c r="TXU23" s="476"/>
      <c r="TXV23" s="476"/>
      <c r="TXW23" s="476"/>
      <c r="TXX23" s="476"/>
      <c r="TXY23" s="476"/>
      <c r="TXZ23" s="476"/>
      <c r="TYA23" s="476"/>
      <c r="TYB23" s="476"/>
      <c r="TYC23" s="476"/>
      <c r="TYD23" s="476"/>
      <c r="TYE23" s="476"/>
      <c r="TYF23" s="476"/>
      <c r="TYG23" s="476"/>
      <c r="TYH23" s="476"/>
      <c r="TYI23" s="476"/>
      <c r="TYJ23" s="476"/>
      <c r="TYK23" s="476"/>
      <c r="TYL23" s="476"/>
      <c r="TYM23" s="476"/>
      <c r="TYN23" s="476"/>
      <c r="TYO23" s="476"/>
      <c r="TYP23" s="476"/>
      <c r="TYQ23" s="476"/>
      <c r="TYR23" s="476"/>
      <c r="TYS23" s="476"/>
      <c r="TYT23" s="476"/>
      <c r="TYU23" s="476"/>
      <c r="TYV23" s="476"/>
      <c r="TYW23" s="476"/>
      <c r="TYX23" s="476"/>
      <c r="TYY23" s="476"/>
      <c r="TYZ23" s="476"/>
      <c r="TZA23" s="476"/>
      <c r="TZB23" s="476"/>
      <c r="TZC23" s="476"/>
      <c r="TZD23" s="476"/>
      <c r="TZE23" s="476"/>
      <c r="TZF23" s="476"/>
      <c r="TZG23" s="476"/>
      <c r="TZH23" s="476"/>
      <c r="TZI23" s="476"/>
      <c r="TZJ23" s="476"/>
      <c r="TZK23" s="476"/>
      <c r="TZL23" s="476"/>
      <c r="TZM23" s="476"/>
      <c r="TZN23" s="476"/>
      <c r="TZO23" s="476"/>
      <c r="TZP23" s="476"/>
      <c r="TZQ23" s="476"/>
      <c r="TZR23" s="476"/>
      <c r="TZS23" s="476"/>
      <c r="TZT23" s="476"/>
      <c r="TZU23" s="476"/>
      <c r="TZV23" s="476"/>
      <c r="TZW23" s="476"/>
      <c r="TZX23" s="476"/>
      <c r="TZY23" s="476"/>
      <c r="TZZ23" s="476"/>
      <c r="UAA23" s="476"/>
      <c r="UAB23" s="476"/>
      <c r="UAC23" s="476"/>
      <c r="UAD23" s="476"/>
      <c r="UAE23" s="476"/>
      <c r="UAF23" s="476"/>
      <c r="UAG23" s="476"/>
      <c r="UAH23" s="476"/>
      <c r="UAI23" s="476"/>
      <c r="UAJ23" s="476"/>
      <c r="UAK23" s="476"/>
      <c r="UAL23" s="476"/>
      <c r="UAM23" s="476"/>
      <c r="UAN23" s="476"/>
      <c r="UAO23" s="476"/>
      <c r="UAP23" s="476"/>
      <c r="UAQ23" s="476"/>
      <c r="UAR23" s="476"/>
      <c r="UAS23" s="476"/>
      <c r="UAT23" s="476"/>
      <c r="UAU23" s="476"/>
      <c r="UAV23" s="476"/>
      <c r="UAW23" s="476"/>
      <c r="UAX23" s="476"/>
      <c r="UAY23" s="476"/>
      <c r="UAZ23" s="476"/>
      <c r="UBA23" s="476"/>
      <c r="UBB23" s="476"/>
      <c r="UBC23" s="476"/>
      <c r="UBD23" s="476"/>
      <c r="UBE23" s="476"/>
      <c r="UBF23" s="476"/>
      <c r="UBG23" s="476"/>
      <c r="UBH23" s="476"/>
      <c r="UBI23" s="476"/>
      <c r="UBJ23" s="476"/>
      <c r="UBK23" s="476"/>
      <c r="UBL23" s="476"/>
      <c r="UBM23" s="476"/>
      <c r="UBN23" s="476"/>
      <c r="UBO23" s="476"/>
      <c r="UBP23" s="476"/>
      <c r="UBQ23" s="476"/>
      <c r="UBR23" s="476"/>
      <c r="UBS23" s="476"/>
      <c r="UBT23" s="476"/>
      <c r="UBU23" s="476"/>
      <c r="UBV23" s="476"/>
      <c r="UBW23" s="476"/>
      <c r="UBX23" s="476"/>
      <c r="UBY23" s="476"/>
      <c r="UBZ23" s="476"/>
      <c r="UCA23" s="476"/>
      <c r="UCB23" s="476"/>
      <c r="UCC23" s="476"/>
      <c r="UCD23" s="476"/>
      <c r="UCE23" s="476"/>
      <c r="UCF23" s="476"/>
      <c r="UCG23" s="476"/>
      <c r="UCH23" s="476"/>
      <c r="UCI23" s="476"/>
      <c r="UCJ23" s="476"/>
      <c r="UCK23" s="476"/>
      <c r="UCL23" s="476"/>
      <c r="UCM23" s="476"/>
      <c r="UCN23" s="476"/>
      <c r="UCO23" s="476"/>
      <c r="UCP23" s="476"/>
      <c r="UCQ23" s="476"/>
      <c r="UCR23" s="476"/>
      <c r="UCS23" s="476"/>
      <c r="UCT23" s="476"/>
      <c r="UCU23" s="476"/>
      <c r="UCV23" s="476"/>
      <c r="UCW23" s="476"/>
      <c r="UCX23" s="476"/>
      <c r="UCY23" s="476"/>
      <c r="UCZ23" s="476"/>
      <c r="UDA23" s="476"/>
      <c r="UDB23" s="476"/>
      <c r="UDC23" s="476"/>
      <c r="UDD23" s="476"/>
      <c r="UDE23" s="476"/>
      <c r="UDF23" s="476"/>
      <c r="UDG23" s="476"/>
      <c r="UDH23" s="476"/>
      <c r="UDI23" s="476"/>
      <c r="UDJ23" s="476"/>
      <c r="UDK23" s="476"/>
      <c r="UDL23" s="476"/>
      <c r="UDM23" s="476"/>
      <c r="UDN23" s="476"/>
      <c r="UDO23" s="476"/>
      <c r="UDP23" s="476"/>
      <c r="UDQ23" s="476"/>
      <c r="UDR23" s="476"/>
      <c r="UDS23" s="476"/>
      <c r="UDT23" s="476"/>
      <c r="UDU23" s="476"/>
      <c r="UDV23" s="476"/>
      <c r="UDW23" s="476"/>
      <c r="UDX23" s="476"/>
      <c r="UDY23" s="476"/>
      <c r="UDZ23" s="476"/>
      <c r="UEA23" s="476"/>
      <c r="UEB23" s="476"/>
      <c r="UEC23" s="476"/>
      <c r="UED23" s="476"/>
      <c r="UEE23" s="476"/>
      <c r="UEF23" s="476"/>
      <c r="UEG23" s="476"/>
      <c r="UEH23" s="476"/>
      <c r="UEI23" s="476"/>
      <c r="UEJ23" s="476"/>
      <c r="UEK23" s="476"/>
      <c r="UEL23" s="476"/>
      <c r="UEM23" s="476"/>
      <c r="UEN23" s="476"/>
      <c r="UEO23" s="476"/>
      <c r="UEP23" s="476"/>
      <c r="UEQ23" s="476"/>
      <c r="UER23" s="476"/>
      <c r="UES23" s="476"/>
      <c r="UET23" s="476"/>
      <c r="UEU23" s="476"/>
      <c r="UEV23" s="476"/>
      <c r="UEW23" s="476"/>
      <c r="UEX23" s="476"/>
      <c r="UEY23" s="476"/>
      <c r="UEZ23" s="476"/>
      <c r="UFA23" s="476"/>
      <c r="UFB23" s="476"/>
      <c r="UFC23" s="476"/>
      <c r="UFD23" s="476"/>
      <c r="UFE23" s="476"/>
      <c r="UFF23" s="476"/>
      <c r="UFG23" s="476"/>
      <c r="UFH23" s="476"/>
      <c r="UFI23" s="476"/>
      <c r="UFJ23" s="476"/>
      <c r="UFK23" s="476"/>
      <c r="UFL23" s="476"/>
      <c r="UFM23" s="476"/>
      <c r="UFN23" s="476"/>
      <c r="UFO23" s="476"/>
      <c r="UFP23" s="476"/>
      <c r="UFQ23" s="476"/>
      <c r="UFR23" s="476"/>
      <c r="UFS23" s="476"/>
      <c r="UFT23" s="476"/>
      <c r="UFU23" s="476"/>
      <c r="UFV23" s="476"/>
      <c r="UFW23" s="476"/>
      <c r="UFX23" s="476"/>
      <c r="UFY23" s="476"/>
      <c r="UFZ23" s="476"/>
      <c r="UGA23" s="476"/>
      <c r="UGB23" s="476"/>
      <c r="UGC23" s="476"/>
      <c r="UGD23" s="476"/>
      <c r="UGE23" s="476"/>
      <c r="UGF23" s="476"/>
      <c r="UGG23" s="476"/>
      <c r="UGH23" s="476"/>
      <c r="UGI23" s="476"/>
      <c r="UGJ23" s="476"/>
      <c r="UGK23" s="476"/>
      <c r="UGL23" s="476"/>
      <c r="UGM23" s="476"/>
      <c r="UGN23" s="476"/>
      <c r="UGO23" s="476"/>
      <c r="UGP23" s="476"/>
      <c r="UGQ23" s="476"/>
      <c r="UGR23" s="476"/>
      <c r="UGS23" s="476"/>
      <c r="UGT23" s="476"/>
      <c r="UGU23" s="476"/>
      <c r="UGV23" s="476"/>
      <c r="UGW23" s="476"/>
      <c r="UGX23" s="476"/>
      <c r="UGY23" s="476"/>
      <c r="UGZ23" s="476"/>
      <c r="UHA23" s="476"/>
      <c r="UHB23" s="476"/>
      <c r="UHC23" s="476"/>
      <c r="UHD23" s="476"/>
      <c r="UHE23" s="476"/>
      <c r="UHF23" s="476"/>
      <c r="UHG23" s="476"/>
      <c r="UHH23" s="476"/>
      <c r="UHI23" s="476"/>
      <c r="UHJ23" s="476"/>
      <c r="UHK23" s="476"/>
      <c r="UHL23" s="476"/>
      <c r="UHM23" s="476"/>
      <c r="UHN23" s="476"/>
      <c r="UHO23" s="476"/>
      <c r="UHP23" s="476"/>
      <c r="UHQ23" s="476"/>
      <c r="UHR23" s="476"/>
      <c r="UHS23" s="476"/>
      <c r="UHT23" s="476"/>
      <c r="UHU23" s="476"/>
      <c r="UHV23" s="476"/>
      <c r="UHW23" s="476"/>
      <c r="UHX23" s="476"/>
      <c r="UHY23" s="476"/>
      <c r="UHZ23" s="476"/>
      <c r="UIA23" s="476"/>
      <c r="UIB23" s="476"/>
      <c r="UIC23" s="476"/>
      <c r="UID23" s="476"/>
      <c r="UIE23" s="476"/>
      <c r="UIF23" s="476"/>
      <c r="UIG23" s="476"/>
      <c r="UIH23" s="476"/>
      <c r="UII23" s="476"/>
      <c r="UIJ23" s="476"/>
      <c r="UIK23" s="476"/>
      <c r="UIL23" s="476"/>
      <c r="UIM23" s="476"/>
      <c r="UIN23" s="476"/>
      <c r="UIO23" s="476"/>
      <c r="UIP23" s="476"/>
      <c r="UIQ23" s="476"/>
      <c r="UIR23" s="476"/>
      <c r="UIS23" s="476"/>
      <c r="UIT23" s="476"/>
      <c r="UIU23" s="476"/>
      <c r="UIV23" s="476"/>
      <c r="UIW23" s="476"/>
      <c r="UIX23" s="476"/>
      <c r="UIY23" s="476"/>
      <c r="UIZ23" s="476"/>
      <c r="UJA23" s="476"/>
      <c r="UJB23" s="476"/>
      <c r="UJC23" s="476"/>
      <c r="UJD23" s="476"/>
      <c r="UJE23" s="476"/>
      <c r="UJF23" s="476"/>
      <c r="UJG23" s="476"/>
      <c r="UJH23" s="476"/>
      <c r="UJI23" s="476"/>
      <c r="UJJ23" s="476"/>
      <c r="UJK23" s="476"/>
      <c r="UJL23" s="476"/>
      <c r="UJM23" s="476"/>
      <c r="UJN23" s="476"/>
      <c r="UJO23" s="476"/>
      <c r="UJP23" s="476"/>
      <c r="UJQ23" s="476"/>
      <c r="UJR23" s="476"/>
      <c r="UJS23" s="476"/>
      <c r="UJT23" s="476"/>
      <c r="UJU23" s="476"/>
      <c r="UJV23" s="476"/>
      <c r="UJW23" s="476"/>
      <c r="UJX23" s="476"/>
      <c r="UJY23" s="476"/>
      <c r="UJZ23" s="476"/>
      <c r="UKA23" s="476"/>
      <c r="UKB23" s="476"/>
      <c r="UKC23" s="476"/>
      <c r="UKD23" s="476"/>
      <c r="UKE23" s="476"/>
      <c r="UKF23" s="476"/>
      <c r="UKG23" s="476"/>
      <c r="UKH23" s="476"/>
      <c r="UKI23" s="476"/>
      <c r="UKJ23" s="476"/>
      <c r="UKK23" s="476"/>
      <c r="UKL23" s="476"/>
      <c r="UKM23" s="476"/>
      <c r="UKN23" s="476"/>
      <c r="UKO23" s="476"/>
      <c r="UKP23" s="476"/>
      <c r="UKQ23" s="476"/>
      <c r="UKR23" s="476"/>
      <c r="UKS23" s="476"/>
      <c r="UKT23" s="476"/>
      <c r="UKU23" s="476"/>
      <c r="UKV23" s="476"/>
      <c r="UKW23" s="476"/>
      <c r="UKX23" s="476"/>
      <c r="UKY23" s="476"/>
      <c r="UKZ23" s="476"/>
      <c r="ULA23" s="476"/>
      <c r="ULB23" s="476"/>
      <c r="ULC23" s="476"/>
      <c r="ULD23" s="476"/>
      <c r="ULE23" s="476"/>
      <c r="ULF23" s="476"/>
      <c r="ULG23" s="476"/>
      <c r="ULH23" s="476"/>
      <c r="ULI23" s="476"/>
      <c r="ULJ23" s="476"/>
      <c r="ULK23" s="476"/>
      <c r="ULL23" s="476"/>
      <c r="ULM23" s="476"/>
      <c r="ULN23" s="476"/>
      <c r="ULO23" s="476"/>
      <c r="ULP23" s="476"/>
      <c r="ULQ23" s="476"/>
      <c r="ULR23" s="476"/>
      <c r="ULS23" s="476"/>
      <c r="ULT23" s="476"/>
      <c r="ULU23" s="476"/>
      <c r="ULV23" s="476"/>
      <c r="ULW23" s="476"/>
      <c r="ULX23" s="476"/>
      <c r="ULY23" s="476"/>
      <c r="ULZ23" s="476"/>
      <c r="UMA23" s="476"/>
      <c r="UMB23" s="476"/>
      <c r="UMC23" s="476"/>
      <c r="UMD23" s="476"/>
      <c r="UME23" s="476"/>
      <c r="UMF23" s="476"/>
      <c r="UMG23" s="476"/>
      <c r="UMH23" s="476"/>
      <c r="UMI23" s="476"/>
      <c r="UMJ23" s="476"/>
      <c r="UMK23" s="476"/>
      <c r="UML23" s="476"/>
      <c r="UMM23" s="476"/>
      <c r="UMN23" s="476"/>
      <c r="UMO23" s="476"/>
      <c r="UMP23" s="476"/>
      <c r="UMQ23" s="476"/>
      <c r="UMR23" s="476"/>
      <c r="UMS23" s="476"/>
      <c r="UMT23" s="476"/>
      <c r="UMU23" s="476"/>
      <c r="UMV23" s="476"/>
      <c r="UMW23" s="476"/>
      <c r="UMX23" s="476"/>
      <c r="UMY23" s="476"/>
      <c r="UMZ23" s="476"/>
      <c r="UNA23" s="476"/>
      <c r="UNB23" s="476"/>
      <c r="UNC23" s="476"/>
      <c r="UND23" s="476"/>
      <c r="UNE23" s="476"/>
      <c r="UNF23" s="476"/>
      <c r="UNG23" s="476"/>
      <c r="UNH23" s="476"/>
      <c r="UNI23" s="476"/>
      <c r="UNJ23" s="476"/>
      <c r="UNK23" s="476"/>
      <c r="UNL23" s="476"/>
      <c r="UNM23" s="476"/>
      <c r="UNN23" s="476"/>
      <c r="UNO23" s="476"/>
      <c r="UNP23" s="476"/>
      <c r="UNQ23" s="476"/>
      <c r="UNR23" s="476"/>
      <c r="UNS23" s="476"/>
      <c r="UNT23" s="476"/>
      <c r="UNU23" s="476"/>
      <c r="UNV23" s="476"/>
      <c r="UNW23" s="476"/>
      <c r="UNX23" s="476"/>
      <c r="UNY23" s="476"/>
      <c r="UNZ23" s="476"/>
      <c r="UOA23" s="476"/>
      <c r="UOB23" s="476"/>
      <c r="UOC23" s="476"/>
      <c r="UOD23" s="476"/>
      <c r="UOE23" s="476"/>
      <c r="UOF23" s="476"/>
      <c r="UOG23" s="476"/>
      <c r="UOH23" s="476"/>
      <c r="UOI23" s="476"/>
      <c r="UOJ23" s="476"/>
      <c r="UOK23" s="476"/>
      <c r="UOL23" s="476"/>
      <c r="UOM23" s="476"/>
      <c r="UON23" s="476"/>
      <c r="UOO23" s="476"/>
      <c r="UOP23" s="476"/>
      <c r="UOQ23" s="476"/>
      <c r="UOR23" s="476"/>
      <c r="UOS23" s="476"/>
      <c r="UOT23" s="476"/>
      <c r="UOU23" s="476"/>
      <c r="UOV23" s="476"/>
      <c r="UOW23" s="476"/>
      <c r="UOX23" s="476"/>
      <c r="UOY23" s="476"/>
      <c r="UOZ23" s="476"/>
      <c r="UPA23" s="476"/>
      <c r="UPB23" s="476"/>
      <c r="UPC23" s="476"/>
      <c r="UPD23" s="476"/>
      <c r="UPE23" s="476"/>
      <c r="UPF23" s="476"/>
      <c r="UPG23" s="476"/>
      <c r="UPH23" s="476"/>
      <c r="UPI23" s="476"/>
      <c r="UPJ23" s="476"/>
      <c r="UPK23" s="476"/>
      <c r="UPL23" s="476"/>
      <c r="UPM23" s="476"/>
      <c r="UPN23" s="476"/>
      <c r="UPO23" s="476"/>
      <c r="UPP23" s="476"/>
      <c r="UPQ23" s="476"/>
      <c r="UPR23" s="476"/>
      <c r="UPS23" s="476"/>
      <c r="UPT23" s="476"/>
      <c r="UPU23" s="476"/>
      <c r="UPV23" s="476"/>
      <c r="UPW23" s="476"/>
      <c r="UPX23" s="476"/>
      <c r="UPY23" s="476"/>
      <c r="UPZ23" s="476"/>
      <c r="UQA23" s="476"/>
      <c r="UQB23" s="476"/>
      <c r="UQC23" s="476"/>
      <c r="UQD23" s="476"/>
      <c r="UQE23" s="476"/>
      <c r="UQF23" s="476"/>
      <c r="UQG23" s="476"/>
      <c r="UQH23" s="476"/>
      <c r="UQI23" s="476"/>
      <c r="UQJ23" s="476"/>
      <c r="UQK23" s="476"/>
      <c r="UQL23" s="476"/>
      <c r="UQM23" s="476"/>
      <c r="UQN23" s="476"/>
      <c r="UQO23" s="476"/>
      <c r="UQP23" s="476"/>
      <c r="UQQ23" s="476"/>
      <c r="UQR23" s="476"/>
      <c r="UQS23" s="476"/>
      <c r="UQT23" s="476"/>
      <c r="UQU23" s="476"/>
      <c r="UQV23" s="476"/>
      <c r="UQW23" s="476"/>
      <c r="UQX23" s="476"/>
      <c r="UQY23" s="476"/>
      <c r="UQZ23" s="476"/>
      <c r="URA23" s="476"/>
      <c r="URB23" s="476"/>
      <c r="URC23" s="476"/>
      <c r="URD23" s="476"/>
      <c r="URE23" s="476"/>
      <c r="URF23" s="476"/>
      <c r="URG23" s="476"/>
      <c r="URH23" s="476"/>
      <c r="URI23" s="476"/>
      <c r="URJ23" s="476"/>
      <c r="URK23" s="476"/>
      <c r="URL23" s="476"/>
      <c r="URM23" s="476"/>
      <c r="URN23" s="476"/>
      <c r="URO23" s="476"/>
      <c r="URP23" s="476"/>
      <c r="URQ23" s="476"/>
      <c r="URR23" s="476"/>
      <c r="URS23" s="476"/>
      <c r="URT23" s="476"/>
      <c r="URU23" s="476"/>
      <c r="URV23" s="476"/>
      <c r="URW23" s="476"/>
      <c r="URX23" s="476"/>
      <c r="URY23" s="476"/>
      <c r="URZ23" s="476"/>
      <c r="USA23" s="476"/>
      <c r="USB23" s="476"/>
      <c r="USC23" s="476"/>
      <c r="USD23" s="476"/>
      <c r="USE23" s="476"/>
      <c r="USF23" s="476"/>
      <c r="USG23" s="476"/>
      <c r="USH23" s="476"/>
      <c r="USI23" s="476"/>
      <c r="USJ23" s="476"/>
      <c r="USK23" s="476"/>
      <c r="USL23" s="476"/>
      <c r="USM23" s="476"/>
      <c r="USN23" s="476"/>
      <c r="USO23" s="476"/>
      <c r="USP23" s="476"/>
      <c r="USQ23" s="476"/>
      <c r="USR23" s="476"/>
      <c r="USS23" s="476"/>
      <c r="UST23" s="476"/>
      <c r="USU23" s="476"/>
      <c r="USV23" s="476"/>
      <c r="USW23" s="476"/>
      <c r="USX23" s="476"/>
      <c r="USY23" s="476"/>
      <c r="USZ23" s="476"/>
      <c r="UTA23" s="476"/>
      <c r="UTB23" s="476"/>
      <c r="UTC23" s="476"/>
      <c r="UTD23" s="476"/>
      <c r="UTE23" s="476"/>
      <c r="UTF23" s="476"/>
      <c r="UTG23" s="476"/>
      <c r="UTH23" s="476"/>
      <c r="UTI23" s="476"/>
      <c r="UTJ23" s="476"/>
      <c r="UTK23" s="476"/>
      <c r="UTL23" s="476"/>
      <c r="UTM23" s="476"/>
      <c r="UTN23" s="476"/>
      <c r="UTO23" s="476"/>
      <c r="UTP23" s="476"/>
      <c r="UTQ23" s="476"/>
      <c r="UTR23" s="476"/>
      <c r="UTS23" s="476"/>
      <c r="UTT23" s="476"/>
      <c r="UTU23" s="476"/>
      <c r="UTV23" s="476"/>
      <c r="UTW23" s="476"/>
      <c r="UTX23" s="476"/>
      <c r="UTY23" s="476"/>
      <c r="UTZ23" s="476"/>
      <c r="UUA23" s="476"/>
      <c r="UUB23" s="476"/>
      <c r="UUC23" s="476"/>
      <c r="UUD23" s="476"/>
      <c r="UUE23" s="476"/>
      <c r="UUF23" s="476"/>
      <c r="UUG23" s="476"/>
      <c r="UUH23" s="476"/>
      <c r="UUI23" s="476"/>
      <c r="UUJ23" s="476"/>
      <c r="UUK23" s="476"/>
      <c r="UUL23" s="476"/>
      <c r="UUM23" s="476"/>
      <c r="UUN23" s="476"/>
      <c r="UUO23" s="476"/>
      <c r="UUP23" s="476"/>
      <c r="UUQ23" s="476"/>
      <c r="UUR23" s="476"/>
      <c r="UUS23" s="476"/>
      <c r="UUT23" s="476"/>
      <c r="UUU23" s="476"/>
      <c r="UUV23" s="476"/>
      <c r="UUW23" s="476"/>
      <c r="UUX23" s="476"/>
      <c r="UUY23" s="476"/>
      <c r="UUZ23" s="476"/>
      <c r="UVA23" s="476"/>
      <c r="UVB23" s="476"/>
      <c r="UVC23" s="476"/>
      <c r="UVD23" s="476"/>
      <c r="UVE23" s="476"/>
      <c r="UVF23" s="476"/>
      <c r="UVG23" s="476"/>
      <c r="UVH23" s="476"/>
      <c r="UVI23" s="476"/>
      <c r="UVJ23" s="476"/>
      <c r="UVK23" s="476"/>
      <c r="UVL23" s="476"/>
      <c r="UVM23" s="476"/>
      <c r="UVN23" s="476"/>
      <c r="UVO23" s="476"/>
      <c r="UVP23" s="476"/>
      <c r="UVQ23" s="476"/>
      <c r="UVR23" s="476"/>
      <c r="UVS23" s="476"/>
      <c r="UVT23" s="476"/>
      <c r="UVU23" s="476"/>
      <c r="UVV23" s="476"/>
      <c r="UVW23" s="476"/>
      <c r="UVX23" s="476"/>
      <c r="UVY23" s="476"/>
      <c r="UVZ23" s="476"/>
      <c r="UWA23" s="476"/>
      <c r="UWB23" s="476"/>
      <c r="UWC23" s="476"/>
      <c r="UWD23" s="476"/>
      <c r="UWE23" s="476"/>
      <c r="UWF23" s="476"/>
      <c r="UWG23" s="476"/>
      <c r="UWH23" s="476"/>
      <c r="UWI23" s="476"/>
      <c r="UWJ23" s="476"/>
      <c r="UWK23" s="476"/>
      <c r="UWL23" s="476"/>
      <c r="UWM23" s="476"/>
      <c r="UWN23" s="476"/>
      <c r="UWO23" s="476"/>
      <c r="UWP23" s="476"/>
      <c r="UWQ23" s="476"/>
      <c r="UWR23" s="476"/>
      <c r="UWS23" s="476"/>
      <c r="UWT23" s="476"/>
      <c r="UWU23" s="476"/>
      <c r="UWV23" s="476"/>
      <c r="UWW23" s="476"/>
      <c r="UWX23" s="476"/>
      <c r="UWY23" s="476"/>
      <c r="UWZ23" s="476"/>
      <c r="UXA23" s="476"/>
      <c r="UXB23" s="476"/>
      <c r="UXC23" s="476"/>
      <c r="UXD23" s="476"/>
      <c r="UXE23" s="476"/>
      <c r="UXF23" s="476"/>
      <c r="UXG23" s="476"/>
      <c r="UXH23" s="476"/>
      <c r="UXI23" s="476"/>
      <c r="UXJ23" s="476"/>
      <c r="UXK23" s="476"/>
      <c r="UXL23" s="476"/>
      <c r="UXM23" s="476"/>
      <c r="UXN23" s="476"/>
      <c r="UXO23" s="476"/>
      <c r="UXP23" s="476"/>
      <c r="UXQ23" s="476"/>
      <c r="UXR23" s="476"/>
      <c r="UXS23" s="476"/>
      <c r="UXT23" s="476"/>
      <c r="UXU23" s="476"/>
      <c r="UXV23" s="476"/>
      <c r="UXW23" s="476"/>
      <c r="UXX23" s="476"/>
      <c r="UXY23" s="476"/>
      <c r="UXZ23" s="476"/>
      <c r="UYA23" s="476"/>
      <c r="UYB23" s="476"/>
      <c r="UYC23" s="476"/>
      <c r="UYD23" s="476"/>
      <c r="UYE23" s="476"/>
      <c r="UYF23" s="476"/>
      <c r="UYG23" s="476"/>
      <c r="UYH23" s="476"/>
      <c r="UYI23" s="476"/>
      <c r="UYJ23" s="476"/>
      <c r="UYK23" s="476"/>
      <c r="UYL23" s="476"/>
      <c r="UYM23" s="476"/>
      <c r="UYN23" s="476"/>
      <c r="UYO23" s="476"/>
      <c r="UYP23" s="476"/>
      <c r="UYQ23" s="476"/>
      <c r="UYR23" s="476"/>
      <c r="UYS23" s="476"/>
      <c r="UYT23" s="476"/>
      <c r="UYU23" s="476"/>
      <c r="UYV23" s="476"/>
      <c r="UYW23" s="476"/>
      <c r="UYX23" s="476"/>
      <c r="UYY23" s="476"/>
      <c r="UYZ23" s="476"/>
      <c r="UZA23" s="476"/>
      <c r="UZB23" s="476"/>
      <c r="UZC23" s="476"/>
      <c r="UZD23" s="476"/>
      <c r="UZE23" s="476"/>
      <c r="UZF23" s="476"/>
      <c r="UZG23" s="476"/>
      <c r="UZH23" s="476"/>
      <c r="UZI23" s="476"/>
      <c r="UZJ23" s="476"/>
      <c r="UZK23" s="476"/>
      <c r="UZL23" s="476"/>
      <c r="UZM23" s="476"/>
      <c r="UZN23" s="476"/>
      <c r="UZO23" s="476"/>
      <c r="UZP23" s="476"/>
      <c r="UZQ23" s="476"/>
      <c r="UZR23" s="476"/>
      <c r="UZS23" s="476"/>
      <c r="UZT23" s="476"/>
      <c r="UZU23" s="476"/>
      <c r="UZV23" s="476"/>
      <c r="UZW23" s="476"/>
      <c r="UZX23" s="476"/>
      <c r="UZY23" s="476"/>
      <c r="UZZ23" s="476"/>
      <c r="VAA23" s="476"/>
      <c r="VAB23" s="476"/>
      <c r="VAC23" s="476"/>
      <c r="VAD23" s="476"/>
      <c r="VAE23" s="476"/>
      <c r="VAF23" s="476"/>
      <c r="VAG23" s="476"/>
      <c r="VAH23" s="476"/>
      <c r="VAI23" s="476"/>
      <c r="VAJ23" s="476"/>
      <c r="VAK23" s="476"/>
      <c r="VAL23" s="476"/>
      <c r="VAM23" s="476"/>
      <c r="VAN23" s="476"/>
      <c r="VAO23" s="476"/>
      <c r="VAP23" s="476"/>
      <c r="VAQ23" s="476"/>
      <c r="VAR23" s="476"/>
      <c r="VAS23" s="476"/>
      <c r="VAT23" s="476"/>
      <c r="VAU23" s="476"/>
      <c r="VAV23" s="476"/>
      <c r="VAW23" s="476"/>
      <c r="VAX23" s="476"/>
      <c r="VAY23" s="476"/>
      <c r="VAZ23" s="476"/>
      <c r="VBA23" s="476"/>
      <c r="VBB23" s="476"/>
      <c r="VBC23" s="476"/>
      <c r="VBD23" s="476"/>
      <c r="VBE23" s="476"/>
      <c r="VBF23" s="476"/>
      <c r="VBG23" s="476"/>
      <c r="VBH23" s="476"/>
      <c r="VBI23" s="476"/>
      <c r="VBJ23" s="476"/>
      <c r="VBK23" s="476"/>
      <c r="VBL23" s="476"/>
      <c r="VBM23" s="476"/>
      <c r="VBN23" s="476"/>
      <c r="VBO23" s="476"/>
      <c r="VBP23" s="476"/>
      <c r="VBQ23" s="476"/>
      <c r="VBR23" s="476"/>
      <c r="VBS23" s="476"/>
      <c r="VBT23" s="476"/>
      <c r="VBU23" s="476"/>
      <c r="VBV23" s="476"/>
      <c r="VBW23" s="476"/>
      <c r="VBX23" s="476"/>
      <c r="VBY23" s="476"/>
      <c r="VBZ23" s="476"/>
      <c r="VCA23" s="476"/>
      <c r="VCB23" s="476"/>
      <c r="VCC23" s="476"/>
      <c r="VCD23" s="476"/>
      <c r="VCE23" s="476"/>
      <c r="VCF23" s="476"/>
      <c r="VCG23" s="476"/>
      <c r="VCH23" s="476"/>
      <c r="VCI23" s="476"/>
      <c r="VCJ23" s="476"/>
      <c r="VCK23" s="476"/>
      <c r="VCL23" s="476"/>
      <c r="VCM23" s="476"/>
      <c r="VCN23" s="476"/>
      <c r="VCO23" s="476"/>
      <c r="VCP23" s="476"/>
      <c r="VCQ23" s="476"/>
      <c r="VCR23" s="476"/>
      <c r="VCS23" s="476"/>
      <c r="VCT23" s="476"/>
      <c r="VCU23" s="476"/>
      <c r="VCV23" s="476"/>
      <c r="VCW23" s="476"/>
      <c r="VCX23" s="476"/>
      <c r="VCY23" s="476"/>
      <c r="VCZ23" s="476"/>
      <c r="VDA23" s="476"/>
      <c r="VDB23" s="476"/>
      <c r="VDC23" s="476"/>
      <c r="VDD23" s="476"/>
      <c r="VDE23" s="476"/>
      <c r="VDF23" s="476"/>
      <c r="VDG23" s="476"/>
      <c r="VDH23" s="476"/>
      <c r="VDI23" s="476"/>
      <c r="VDJ23" s="476"/>
      <c r="VDK23" s="476"/>
      <c r="VDL23" s="476"/>
      <c r="VDM23" s="476"/>
      <c r="VDN23" s="476"/>
      <c r="VDO23" s="476"/>
      <c r="VDP23" s="476"/>
      <c r="VDQ23" s="476"/>
      <c r="VDR23" s="476"/>
      <c r="VDS23" s="476"/>
      <c r="VDT23" s="476"/>
      <c r="VDU23" s="476"/>
      <c r="VDV23" s="476"/>
      <c r="VDW23" s="476"/>
      <c r="VDX23" s="476"/>
      <c r="VDY23" s="476"/>
      <c r="VDZ23" s="476"/>
      <c r="VEA23" s="476"/>
      <c r="VEB23" s="476"/>
      <c r="VEC23" s="476"/>
      <c r="VED23" s="476"/>
      <c r="VEE23" s="476"/>
      <c r="VEF23" s="476"/>
      <c r="VEG23" s="476"/>
      <c r="VEH23" s="476"/>
      <c r="VEI23" s="476"/>
      <c r="VEJ23" s="476"/>
      <c r="VEK23" s="476"/>
      <c r="VEL23" s="476"/>
      <c r="VEM23" s="476"/>
      <c r="VEN23" s="476"/>
      <c r="VEO23" s="476"/>
      <c r="VEP23" s="476"/>
      <c r="VEQ23" s="476"/>
      <c r="VER23" s="476"/>
      <c r="VES23" s="476"/>
      <c r="VET23" s="476"/>
      <c r="VEU23" s="476"/>
      <c r="VEV23" s="476"/>
      <c r="VEW23" s="476"/>
      <c r="VEX23" s="476"/>
      <c r="VEY23" s="476"/>
      <c r="VEZ23" s="476"/>
      <c r="VFA23" s="476"/>
      <c r="VFB23" s="476"/>
      <c r="VFC23" s="476"/>
      <c r="VFD23" s="476"/>
      <c r="VFE23" s="476"/>
      <c r="VFF23" s="476"/>
      <c r="VFG23" s="476"/>
      <c r="VFH23" s="476"/>
      <c r="VFI23" s="476"/>
      <c r="VFJ23" s="476"/>
      <c r="VFK23" s="476"/>
      <c r="VFL23" s="476"/>
      <c r="VFM23" s="476"/>
      <c r="VFN23" s="476"/>
      <c r="VFO23" s="476"/>
      <c r="VFP23" s="476"/>
      <c r="VFQ23" s="476"/>
      <c r="VFR23" s="476"/>
      <c r="VFS23" s="476"/>
      <c r="VFT23" s="476"/>
      <c r="VFU23" s="476"/>
      <c r="VFV23" s="476"/>
      <c r="VFW23" s="476"/>
      <c r="VFX23" s="476"/>
      <c r="VFY23" s="476"/>
      <c r="VFZ23" s="476"/>
      <c r="VGA23" s="476"/>
      <c r="VGB23" s="476"/>
      <c r="VGC23" s="476"/>
      <c r="VGD23" s="476"/>
      <c r="VGE23" s="476"/>
      <c r="VGF23" s="476"/>
      <c r="VGG23" s="476"/>
      <c r="VGH23" s="476"/>
      <c r="VGI23" s="476"/>
      <c r="VGJ23" s="476"/>
      <c r="VGK23" s="476"/>
      <c r="VGL23" s="476"/>
      <c r="VGM23" s="476"/>
      <c r="VGN23" s="476"/>
      <c r="VGO23" s="476"/>
      <c r="VGP23" s="476"/>
      <c r="VGQ23" s="476"/>
      <c r="VGR23" s="476"/>
      <c r="VGS23" s="476"/>
      <c r="VGT23" s="476"/>
      <c r="VGU23" s="476"/>
      <c r="VGV23" s="476"/>
      <c r="VGW23" s="476"/>
      <c r="VGX23" s="476"/>
      <c r="VGY23" s="476"/>
      <c r="VGZ23" s="476"/>
      <c r="VHA23" s="476"/>
      <c r="VHB23" s="476"/>
      <c r="VHC23" s="476"/>
      <c r="VHD23" s="476"/>
      <c r="VHE23" s="476"/>
      <c r="VHF23" s="476"/>
      <c r="VHG23" s="476"/>
      <c r="VHH23" s="476"/>
      <c r="VHI23" s="476"/>
      <c r="VHJ23" s="476"/>
      <c r="VHK23" s="476"/>
      <c r="VHL23" s="476"/>
      <c r="VHM23" s="476"/>
      <c r="VHN23" s="476"/>
      <c r="VHO23" s="476"/>
      <c r="VHP23" s="476"/>
      <c r="VHQ23" s="476"/>
      <c r="VHR23" s="476"/>
      <c r="VHS23" s="476"/>
      <c r="VHT23" s="476"/>
      <c r="VHU23" s="476"/>
      <c r="VHV23" s="476"/>
      <c r="VHW23" s="476"/>
      <c r="VHX23" s="476"/>
      <c r="VHY23" s="476"/>
      <c r="VHZ23" s="476"/>
      <c r="VIA23" s="476"/>
      <c r="VIB23" s="476"/>
      <c r="VIC23" s="476"/>
      <c r="VID23" s="476"/>
      <c r="VIE23" s="476"/>
      <c r="VIF23" s="476"/>
      <c r="VIG23" s="476"/>
      <c r="VIH23" s="476"/>
      <c r="VII23" s="476"/>
      <c r="VIJ23" s="476"/>
      <c r="VIK23" s="476"/>
      <c r="VIL23" s="476"/>
      <c r="VIM23" s="476"/>
      <c r="VIN23" s="476"/>
      <c r="VIO23" s="476"/>
      <c r="VIP23" s="476"/>
      <c r="VIQ23" s="476"/>
      <c r="VIR23" s="476"/>
      <c r="VIS23" s="476"/>
      <c r="VIT23" s="476"/>
      <c r="VIU23" s="476"/>
      <c r="VIV23" s="476"/>
      <c r="VIW23" s="476"/>
      <c r="VIX23" s="476"/>
      <c r="VIY23" s="476"/>
      <c r="VIZ23" s="476"/>
      <c r="VJA23" s="476"/>
      <c r="VJB23" s="476"/>
      <c r="VJC23" s="476"/>
      <c r="VJD23" s="476"/>
      <c r="VJE23" s="476"/>
      <c r="VJF23" s="476"/>
      <c r="VJG23" s="476"/>
      <c r="VJH23" s="476"/>
      <c r="VJI23" s="476"/>
      <c r="VJJ23" s="476"/>
      <c r="VJK23" s="476"/>
      <c r="VJL23" s="476"/>
      <c r="VJM23" s="476"/>
      <c r="VJN23" s="476"/>
      <c r="VJO23" s="476"/>
      <c r="VJP23" s="476"/>
      <c r="VJQ23" s="476"/>
      <c r="VJR23" s="476"/>
      <c r="VJS23" s="476"/>
      <c r="VJT23" s="476"/>
      <c r="VJU23" s="476"/>
      <c r="VJV23" s="476"/>
      <c r="VJW23" s="476"/>
      <c r="VJX23" s="476"/>
      <c r="VJY23" s="476"/>
      <c r="VJZ23" s="476"/>
      <c r="VKA23" s="476"/>
      <c r="VKB23" s="476"/>
      <c r="VKC23" s="476"/>
      <c r="VKD23" s="476"/>
      <c r="VKE23" s="476"/>
      <c r="VKF23" s="476"/>
      <c r="VKG23" s="476"/>
      <c r="VKH23" s="476"/>
      <c r="VKI23" s="476"/>
      <c r="VKJ23" s="476"/>
      <c r="VKK23" s="476"/>
      <c r="VKL23" s="476"/>
      <c r="VKM23" s="476"/>
      <c r="VKN23" s="476"/>
      <c r="VKO23" s="476"/>
      <c r="VKP23" s="476"/>
      <c r="VKQ23" s="476"/>
      <c r="VKR23" s="476"/>
      <c r="VKS23" s="476"/>
      <c r="VKT23" s="476"/>
      <c r="VKU23" s="476"/>
      <c r="VKV23" s="476"/>
      <c r="VKW23" s="476"/>
      <c r="VKX23" s="476"/>
      <c r="VKY23" s="476"/>
      <c r="VKZ23" s="476"/>
      <c r="VLA23" s="476"/>
      <c r="VLB23" s="476"/>
      <c r="VLC23" s="476"/>
      <c r="VLD23" s="476"/>
      <c r="VLE23" s="476"/>
      <c r="VLF23" s="476"/>
      <c r="VLG23" s="476"/>
      <c r="VLH23" s="476"/>
      <c r="VLI23" s="476"/>
      <c r="VLJ23" s="476"/>
      <c r="VLK23" s="476"/>
      <c r="VLL23" s="476"/>
      <c r="VLM23" s="476"/>
      <c r="VLN23" s="476"/>
      <c r="VLO23" s="476"/>
      <c r="VLP23" s="476"/>
      <c r="VLQ23" s="476"/>
      <c r="VLR23" s="476"/>
      <c r="VLS23" s="476"/>
      <c r="VLT23" s="476"/>
      <c r="VLU23" s="476"/>
      <c r="VLV23" s="476"/>
      <c r="VLW23" s="476"/>
      <c r="VLX23" s="476"/>
      <c r="VLY23" s="476"/>
      <c r="VLZ23" s="476"/>
      <c r="VMA23" s="476"/>
      <c r="VMB23" s="476"/>
      <c r="VMC23" s="476"/>
      <c r="VMD23" s="476"/>
      <c r="VME23" s="476"/>
      <c r="VMF23" s="476"/>
      <c r="VMG23" s="476"/>
      <c r="VMH23" s="476"/>
      <c r="VMI23" s="476"/>
      <c r="VMJ23" s="476"/>
      <c r="VMK23" s="476"/>
      <c r="VML23" s="476"/>
      <c r="VMM23" s="476"/>
      <c r="VMN23" s="476"/>
      <c r="VMO23" s="476"/>
      <c r="VMP23" s="476"/>
      <c r="VMQ23" s="476"/>
      <c r="VMR23" s="476"/>
      <c r="VMS23" s="476"/>
      <c r="VMT23" s="476"/>
      <c r="VMU23" s="476"/>
      <c r="VMV23" s="476"/>
      <c r="VMW23" s="476"/>
      <c r="VMX23" s="476"/>
      <c r="VMY23" s="476"/>
      <c r="VMZ23" s="476"/>
      <c r="VNA23" s="476"/>
      <c r="VNB23" s="476"/>
      <c r="VNC23" s="476"/>
      <c r="VND23" s="476"/>
      <c r="VNE23" s="476"/>
      <c r="VNF23" s="476"/>
      <c r="VNG23" s="476"/>
      <c r="VNH23" s="476"/>
      <c r="VNI23" s="476"/>
      <c r="VNJ23" s="476"/>
      <c r="VNK23" s="476"/>
      <c r="VNL23" s="476"/>
      <c r="VNM23" s="476"/>
      <c r="VNN23" s="476"/>
      <c r="VNO23" s="476"/>
      <c r="VNP23" s="476"/>
      <c r="VNQ23" s="476"/>
      <c r="VNR23" s="476"/>
      <c r="VNS23" s="476"/>
      <c r="VNT23" s="476"/>
      <c r="VNU23" s="476"/>
      <c r="VNV23" s="476"/>
      <c r="VNW23" s="476"/>
      <c r="VNX23" s="476"/>
      <c r="VNY23" s="476"/>
      <c r="VNZ23" s="476"/>
      <c r="VOA23" s="476"/>
      <c r="VOB23" s="476"/>
      <c r="VOC23" s="476"/>
      <c r="VOD23" s="476"/>
      <c r="VOE23" s="476"/>
      <c r="VOF23" s="476"/>
      <c r="VOG23" s="476"/>
      <c r="VOH23" s="476"/>
      <c r="VOI23" s="476"/>
      <c r="VOJ23" s="476"/>
      <c r="VOK23" s="476"/>
      <c r="VOL23" s="476"/>
      <c r="VOM23" s="476"/>
      <c r="VON23" s="476"/>
      <c r="VOO23" s="476"/>
      <c r="VOP23" s="476"/>
      <c r="VOQ23" s="476"/>
      <c r="VOR23" s="476"/>
      <c r="VOS23" s="476"/>
      <c r="VOT23" s="476"/>
      <c r="VOU23" s="476"/>
      <c r="VOV23" s="476"/>
      <c r="VOW23" s="476"/>
      <c r="VOX23" s="476"/>
      <c r="VOY23" s="476"/>
      <c r="VOZ23" s="476"/>
      <c r="VPA23" s="476"/>
      <c r="VPB23" s="476"/>
      <c r="VPC23" s="476"/>
      <c r="VPD23" s="476"/>
      <c r="VPE23" s="476"/>
      <c r="VPF23" s="476"/>
      <c r="VPG23" s="476"/>
      <c r="VPH23" s="476"/>
      <c r="VPI23" s="476"/>
      <c r="VPJ23" s="476"/>
      <c r="VPK23" s="476"/>
      <c r="VPL23" s="476"/>
      <c r="VPM23" s="476"/>
      <c r="VPN23" s="476"/>
      <c r="VPO23" s="476"/>
      <c r="VPP23" s="476"/>
      <c r="VPQ23" s="476"/>
      <c r="VPR23" s="476"/>
      <c r="VPS23" s="476"/>
      <c r="VPT23" s="476"/>
      <c r="VPU23" s="476"/>
      <c r="VPV23" s="476"/>
      <c r="VPW23" s="476"/>
      <c r="VPX23" s="476"/>
      <c r="VPY23" s="476"/>
      <c r="VPZ23" s="476"/>
      <c r="VQA23" s="476"/>
      <c r="VQB23" s="476"/>
      <c r="VQC23" s="476"/>
      <c r="VQD23" s="476"/>
      <c r="VQE23" s="476"/>
      <c r="VQF23" s="476"/>
      <c r="VQG23" s="476"/>
      <c r="VQH23" s="476"/>
      <c r="VQI23" s="476"/>
      <c r="VQJ23" s="476"/>
      <c r="VQK23" s="476"/>
      <c r="VQL23" s="476"/>
      <c r="VQM23" s="476"/>
      <c r="VQN23" s="476"/>
      <c r="VQO23" s="476"/>
      <c r="VQP23" s="476"/>
      <c r="VQQ23" s="476"/>
      <c r="VQR23" s="476"/>
      <c r="VQS23" s="476"/>
      <c r="VQT23" s="476"/>
      <c r="VQU23" s="476"/>
      <c r="VQV23" s="476"/>
      <c r="VQW23" s="476"/>
      <c r="VQX23" s="476"/>
      <c r="VQY23" s="476"/>
      <c r="VQZ23" s="476"/>
      <c r="VRA23" s="476"/>
      <c r="VRB23" s="476"/>
      <c r="VRC23" s="476"/>
      <c r="VRD23" s="476"/>
      <c r="VRE23" s="476"/>
      <c r="VRF23" s="476"/>
      <c r="VRG23" s="476"/>
      <c r="VRH23" s="476"/>
      <c r="VRI23" s="476"/>
      <c r="VRJ23" s="476"/>
      <c r="VRK23" s="476"/>
      <c r="VRL23" s="476"/>
      <c r="VRM23" s="476"/>
      <c r="VRN23" s="476"/>
      <c r="VRO23" s="476"/>
      <c r="VRP23" s="476"/>
      <c r="VRQ23" s="476"/>
      <c r="VRR23" s="476"/>
      <c r="VRS23" s="476"/>
      <c r="VRT23" s="476"/>
      <c r="VRU23" s="476"/>
      <c r="VRV23" s="476"/>
      <c r="VRW23" s="476"/>
      <c r="VRX23" s="476"/>
      <c r="VRY23" s="476"/>
      <c r="VRZ23" s="476"/>
      <c r="VSA23" s="476"/>
      <c r="VSB23" s="476"/>
      <c r="VSC23" s="476"/>
      <c r="VSD23" s="476"/>
      <c r="VSE23" s="476"/>
      <c r="VSF23" s="476"/>
      <c r="VSG23" s="476"/>
      <c r="VSH23" s="476"/>
      <c r="VSI23" s="476"/>
      <c r="VSJ23" s="476"/>
      <c r="VSK23" s="476"/>
      <c r="VSL23" s="476"/>
      <c r="VSM23" s="476"/>
      <c r="VSN23" s="476"/>
      <c r="VSO23" s="476"/>
      <c r="VSP23" s="476"/>
      <c r="VSQ23" s="476"/>
      <c r="VSR23" s="476"/>
      <c r="VSS23" s="476"/>
      <c r="VST23" s="476"/>
      <c r="VSU23" s="476"/>
      <c r="VSV23" s="476"/>
      <c r="VSW23" s="476"/>
      <c r="VSX23" s="476"/>
      <c r="VSY23" s="476"/>
      <c r="VSZ23" s="476"/>
      <c r="VTA23" s="476"/>
      <c r="VTB23" s="476"/>
      <c r="VTC23" s="476"/>
      <c r="VTD23" s="476"/>
      <c r="VTE23" s="476"/>
      <c r="VTF23" s="476"/>
      <c r="VTG23" s="476"/>
      <c r="VTH23" s="476"/>
      <c r="VTI23" s="476"/>
      <c r="VTJ23" s="476"/>
      <c r="VTK23" s="476"/>
      <c r="VTL23" s="476"/>
      <c r="VTM23" s="476"/>
      <c r="VTN23" s="476"/>
      <c r="VTO23" s="476"/>
      <c r="VTP23" s="476"/>
      <c r="VTQ23" s="476"/>
      <c r="VTR23" s="476"/>
      <c r="VTS23" s="476"/>
      <c r="VTT23" s="476"/>
      <c r="VTU23" s="476"/>
      <c r="VTV23" s="476"/>
      <c r="VTW23" s="476"/>
      <c r="VTX23" s="476"/>
      <c r="VTY23" s="476"/>
      <c r="VTZ23" s="476"/>
      <c r="VUA23" s="476"/>
      <c r="VUB23" s="476"/>
      <c r="VUC23" s="476"/>
      <c r="VUD23" s="476"/>
      <c r="VUE23" s="476"/>
      <c r="VUF23" s="476"/>
      <c r="VUG23" s="476"/>
      <c r="VUH23" s="476"/>
      <c r="VUI23" s="476"/>
      <c r="VUJ23" s="476"/>
      <c r="VUK23" s="476"/>
      <c r="VUL23" s="476"/>
      <c r="VUM23" s="476"/>
      <c r="VUN23" s="476"/>
      <c r="VUO23" s="476"/>
      <c r="VUP23" s="476"/>
      <c r="VUQ23" s="476"/>
      <c r="VUR23" s="476"/>
      <c r="VUS23" s="476"/>
      <c r="VUT23" s="476"/>
      <c r="VUU23" s="476"/>
      <c r="VUV23" s="476"/>
      <c r="VUW23" s="476"/>
      <c r="VUX23" s="476"/>
      <c r="VUY23" s="476"/>
      <c r="VUZ23" s="476"/>
      <c r="VVA23" s="476"/>
      <c r="VVB23" s="476"/>
      <c r="VVC23" s="476"/>
      <c r="VVD23" s="476"/>
      <c r="VVE23" s="476"/>
      <c r="VVF23" s="476"/>
      <c r="VVG23" s="476"/>
      <c r="VVH23" s="476"/>
      <c r="VVI23" s="476"/>
      <c r="VVJ23" s="476"/>
      <c r="VVK23" s="476"/>
      <c r="VVL23" s="476"/>
      <c r="VVM23" s="476"/>
      <c r="VVN23" s="476"/>
      <c r="VVO23" s="476"/>
      <c r="VVP23" s="476"/>
      <c r="VVQ23" s="476"/>
      <c r="VVR23" s="476"/>
      <c r="VVS23" s="476"/>
      <c r="VVT23" s="476"/>
      <c r="VVU23" s="476"/>
      <c r="VVV23" s="476"/>
      <c r="VVW23" s="476"/>
      <c r="VVX23" s="476"/>
      <c r="VVY23" s="476"/>
      <c r="VVZ23" s="476"/>
      <c r="VWA23" s="476"/>
      <c r="VWB23" s="476"/>
      <c r="VWC23" s="476"/>
      <c r="VWD23" s="476"/>
      <c r="VWE23" s="476"/>
      <c r="VWF23" s="476"/>
      <c r="VWG23" s="476"/>
      <c r="VWH23" s="476"/>
      <c r="VWI23" s="476"/>
      <c r="VWJ23" s="476"/>
      <c r="VWK23" s="476"/>
      <c r="VWL23" s="476"/>
      <c r="VWM23" s="476"/>
      <c r="VWN23" s="476"/>
      <c r="VWO23" s="476"/>
      <c r="VWP23" s="476"/>
      <c r="VWQ23" s="476"/>
      <c r="VWR23" s="476"/>
      <c r="VWS23" s="476"/>
      <c r="VWT23" s="476"/>
      <c r="VWU23" s="476"/>
      <c r="VWV23" s="476"/>
      <c r="VWW23" s="476"/>
      <c r="VWX23" s="476"/>
      <c r="VWY23" s="476"/>
      <c r="VWZ23" s="476"/>
      <c r="VXA23" s="476"/>
      <c r="VXB23" s="476"/>
      <c r="VXC23" s="476"/>
      <c r="VXD23" s="476"/>
      <c r="VXE23" s="476"/>
      <c r="VXF23" s="476"/>
      <c r="VXG23" s="476"/>
      <c r="VXH23" s="476"/>
      <c r="VXI23" s="476"/>
      <c r="VXJ23" s="476"/>
      <c r="VXK23" s="476"/>
      <c r="VXL23" s="476"/>
      <c r="VXM23" s="476"/>
      <c r="VXN23" s="476"/>
      <c r="VXO23" s="476"/>
      <c r="VXP23" s="476"/>
      <c r="VXQ23" s="476"/>
      <c r="VXR23" s="476"/>
      <c r="VXS23" s="476"/>
      <c r="VXT23" s="476"/>
      <c r="VXU23" s="476"/>
      <c r="VXV23" s="476"/>
      <c r="VXW23" s="476"/>
      <c r="VXX23" s="476"/>
      <c r="VXY23" s="476"/>
      <c r="VXZ23" s="476"/>
      <c r="VYA23" s="476"/>
      <c r="VYB23" s="476"/>
      <c r="VYC23" s="476"/>
      <c r="VYD23" s="476"/>
      <c r="VYE23" s="476"/>
      <c r="VYF23" s="476"/>
      <c r="VYG23" s="476"/>
      <c r="VYH23" s="476"/>
      <c r="VYI23" s="476"/>
      <c r="VYJ23" s="476"/>
      <c r="VYK23" s="476"/>
      <c r="VYL23" s="476"/>
      <c r="VYM23" s="476"/>
      <c r="VYN23" s="476"/>
      <c r="VYO23" s="476"/>
      <c r="VYP23" s="476"/>
      <c r="VYQ23" s="476"/>
      <c r="VYR23" s="476"/>
      <c r="VYS23" s="476"/>
      <c r="VYT23" s="476"/>
      <c r="VYU23" s="476"/>
      <c r="VYV23" s="476"/>
      <c r="VYW23" s="476"/>
      <c r="VYX23" s="476"/>
      <c r="VYY23" s="476"/>
      <c r="VYZ23" s="476"/>
      <c r="VZA23" s="476"/>
      <c r="VZB23" s="476"/>
      <c r="VZC23" s="476"/>
      <c r="VZD23" s="476"/>
      <c r="VZE23" s="476"/>
      <c r="VZF23" s="476"/>
      <c r="VZG23" s="476"/>
      <c r="VZH23" s="476"/>
      <c r="VZI23" s="476"/>
      <c r="VZJ23" s="476"/>
      <c r="VZK23" s="476"/>
      <c r="VZL23" s="476"/>
      <c r="VZM23" s="476"/>
      <c r="VZN23" s="476"/>
      <c r="VZO23" s="476"/>
      <c r="VZP23" s="476"/>
      <c r="VZQ23" s="476"/>
      <c r="VZR23" s="476"/>
      <c r="VZS23" s="476"/>
      <c r="VZT23" s="476"/>
      <c r="VZU23" s="476"/>
      <c r="VZV23" s="476"/>
      <c r="VZW23" s="476"/>
      <c r="VZX23" s="476"/>
      <c r="VZY23" s="476"/>
      <c r="VZZ23" s="476"/>
      <c r="WAA23" s="476"/>
      <c r="WAB23" s="476"/>
      <c r="WAC23" s="476"/>
      <c r="WAD23" s="476"/>
      <c r="WAE23" s="476"/>
      <c r="WAF23" s="476"/>
      <c r="WAG23" s="476"/>
      <c r="WAH23" s="476"/>
      <c r="WAI23" s="476"/>
      <c r="WAJ23" s="476"/>
      <c r="WAK23" s="476"/>
      <c r="WAL23" s="476"/>
      <c r="WAM23" s="476"/>
      <c r="WAN23" s="476"/>
      <c r="WAO23" s="476"/>
      <c r="WAP23" s="476"/>
      <c r="WAQ23" s="476"/>
      <c r="WAR23" s="476"/>
      <c r="WAS23" s="476"/>
      <c r="WAT23" s="476"/>
      <c r="WAU23" s="476"/>
      <c r="WAV23" s="476"/>
      <c r="WAW23" s="476"/>
      <c r="WAX23" s="476"/>
      <c r="WAY23" s="476"/>
      <c r="WAZ23" s="476"/>
      <c r="WBA23" s="476"/>
      <c r="WBB23" s="476"/>
      <c r="WBC23" s="476"/>
      <c r="WBD23" s="476"/>
      <c r="WBE23" s="476"/>
      <c r="WBF23" s="476"/>
      <c r="WBG23" s="476"/>
      <c r="WBH23" s="476"/>
      <c r="WBI23" s="476"/>
      <c r="WBJ23" s="476"/>
      <c r="WBK23" s="476"/>
      <c r="WBL23" s="476"/>
      <c r="WBM23" s="476"/>
      <c r="WBN23" s="476"/>
      <c r="WBO23" s="476"/>
      <c r="WBP23" s="476"/>
      <c r="WBQ23" s="476"/>
      <c r="WBR23" s="476"/>
      <c r="WBS23" s="476"/>
      <c r="WBT23" s="476"/>
      <c r="WBU23" s="476"/>
      <c r="WBV23" s="476"/>
      <c r="WBW23" s="476"/>
      <c r="WBX23" s="476"/>
      <c r="WBY23" s="476"/>
      <c r="WBZ23" s="476"/>
      <c r="WCA23" s="476"/>
      <c r="WCB23" s="476"/>
      <c r="WCC23" s="476"/>
      <c r="WCD23" s="476"/>
      <c r="WCE23" s="476"/>
      <c r="WCF23" s="476"/>
      <c r="WCG23" s="476"/>
      <c r="WCH23" s="476"/>
      <c r="WCI23" s="476"/>
      <c r="WCJ23" s="476"/>
      <c r="WCK23" s="476"/>
      <c r="WCL23" s="476"/>
      <c r="WCM23" s="476"/>
      <c r="WCN23" s="476"/>
      <c r="WCO23" s="476"/>
      <c r="WCP23" s="476"/>
      <c r="WCQ23" s="476"/>
      <c r="WCR23" s="476"/>
      <c r="WCS23" s="476"/>
      <c r="WCT23" s="476"/>
      <c r="WCU23" s="476"/>
      <c r="WCV23" s="476"/>
      <c r="WCW23" s="476"/>
      <c r="WCX23" s="476"/>
      <c r="WCY23" s="476"/>
      <c r="WCZ23" s="476"/>
      <c r="WDA23" s="476"/>
      <c r="WDB23" s="476"/>
      <c r="WDC23" s="476"/>
      <c r="WDD23" s="476"/>
      <c r="WDE23" s="476"/>
      <c r="WDF23" s="476"/>
      <c r="WDG23" s="476"/>
      <c r="WDH23" s="476"/>
      <c r="WDI23" s="476"/>
      <c r="WDJ23" s="476"/>
      <c r="WDK23" s="476"/>
      <c r="WDL23" s="476"/>
      <c r="WDM23" s="476"/>
      <c r="WDN23" s="476"/>
      <c r="WDO23" s="476"/>
      <c r="WDP23" s="476"/>
      <c r="WDQ23" s="476"/>
      <c r="WDR23" s="476"/>
      <c r="WDS23" s="476"/>
      <c r="WDT23" s="476"/>
      <c r="WDU23" s="476"/>
      <c r="WDV23" s="476"/>
      <c r="WDW23" s="476"/>
      <c r="WDX23" s="476"/>
      <c r="WDY23" s="476"/>
      <c r="WDZ23" s="476"/>
      <c r="WEA23" s="476"/>
      <c r="WEB23" s="476"/>
      <c r="WEC23" s="476"/>
      <c r="WED23" s="476"/>
      <c r="WEE23" s="476"/>
      <c r="WEF23" s="476"/>
      <c r="WEG23" s="476"/>
      <c r="WEH23" s="476"/>
      <c r="WEI23" s="476"/>
      <c r="WEJ23" s="476"/>
      <c r="WEK23" s="476"/>
      <c r="WEL23" s="476"/>
      <c r="WEM23" s="476"/>
      <c r="WEN23" s="476"/>
      <c r="WEO23" s="476"/>
      <c r="WEP23" s="476"/>
      <c r="WEQ23" s="476"/>
      <c r="WER23" s="476"/>
      <c r="WES23" s="476"/>
      <c r="WET23" s="476"/>
      <c r="WEU23" s="476"/>
      <c r="WEV23" s="476"/>
      <c r="WEW23" s="476"/>
      <c r="WEX23" s="476"/>
      <c r="WEY23" s="476"/>
      <c r="WEZ23" s="476"/>
      <c r="WFA23" s="476"/>
      <c r="WFB23" s="476"/>
      <c r="WFC23" s="476"/>
      <c r="WFD23" s="476"/>
      <c r="WFE23" s="476"/>
      <c r="WFF23" s="476"/>
      <c r="WFG23" s="476"/>
      <c r="WFH23" s="476"/>
      <c r="WFI23" s="476"/>
      <c r="WFJ23" s="476"/>
      <c r="WFK23" s="476"/>
      <c r="WFL23" s="476"/>
      <c r="WFM23" s="476"/>
      <c r="WFN23" s="476"/>
      <c r="WFO23" s="476"/>
      <c r="WFP23" s="476"/>
      <c r="WFQ23" s="476"/>
      <c r="WFR23" s="476"/>
      <c r="WFS23" s="476"/>
      <c r="WFT23" s="476"/>
      <c r="WFU23" s="476"/>
      <c r="WFV23" s="476"/>
      <c r="WFW23" s="476"/>
      <c r="WFX23" s="476"/>
      <c r="WFY23" s="476"/>
      <c r="WFZ23" s="476"/>
      <c r="WGA23" s="476"/>
      <c r="WGB23" s="476"/>
      <c r="WGC23" s="476"/>
      <c r="WGD23" s="476"/>
      <c r="WGE23" s="476"/>
      <c r="WGF23" s="476"/>
      <c r="WGG23" s="476"/>
      <c r="WGH23" s="476"/>
      <c r="WGI23" s="476"/>
      <c r="WGJ23" s="476"/>
      <c r="WGK23" s="476"/>
      <c r="WGL23" s="476"/>
      <c r="WGM23" s="476"/>
      <c r="WGN23" s="476"/>
      <c r="WGO23" s="476"/>
      <c r="WGP23" s="476"/>
      <c r="WGQ23" s="476"/>
      <c r="WGR23" s="476"/>
      <c r="WGS23" s="476"/>
      <c r="WGT23" s="476"/>
      <c r="WGU23" s="476"/>
      <c r="WGV23" s="476"/>
      <c r="WGW23" s="476"/>
      <c r="WGX23" s="476"/>
      <c r="WGY23" s="476"/>
      <c r="WGZ23" s="476"/>
      <c r="WHA23" s="476"/>
      <c r="WHB23" s="476"/>
      <c r="WHC23" s="476"/>
      <c r="WHD23" s="476"/>
      <c r="WHE23" s="476"/>
      <c r="WHF23" s="476"/>
      <c r="WHG23" s="476"/>
      <c r="WHH23" s="476"/>
      <c r="WHI23" s="476"/>
      <c r="WHJ23" s="476"/>
      <c r="WHK23" s="476"/>
      <c r="WHL23" s="476"/>
      <c r="WHM23" s="476"/>
      <c r="WHN23" s="476"/>
      <c r="WHO23" s="476"/>
      <c r="WHP23" s="476"/>
      <c r="WHQ23" s="476"/>
      <c r="WHR23" s="476"/>
      <c r="WHS23" s="476"/>
      <c r="WHT23" s="476"/>
      <c r="WHU23" s="476"/>
      <c r="WHV23" s="476"/>
      <c r="WHW23" s="476"/>
      <c r="WHX23" s="476"/>
      <c r="WHY23" s="476"/>
      <c r="WHZ23" s="476"/>
      <c r="WIA23" s="476"/>
      <c r="WIB23" s="476"/>
      <c r="WIC23" s="476"/>
      <c r="WID23" s="476"/>
      <c r="WIE23" s="476"/>
      <c r="WIF23" s="476"/>
      <c r="WIG23" s="476"/>
      <c r="WIH23" s="476"/>
      <c r="WII23" s="476"/>
      <c r="WIJ23" s="476"/>
      <c r="WIK23" s="476"/>
      <c r="WIL23" s="476"/>
      <c r="WIM23" s="476"/>
      <c r="WIN23" s="476"/>
      <c r="WIO23" s="476"/>
      <c r="WIP23" s="476"/>
      <c r="WIQ23" s="476"/>
      <c r="WIR23" s="476"/>
      <c r="WIS23" s="476"/>
      <c r="WIT23" s="476"/>
      <c r="WIU23" s="476"/>
      <c r="WIV23" s="476"/>
      <c r="WIW23" s="476"/>
      <c r="WIX23" s="476"/>
      <c r="WIY23" s="476"/>
      <c r="WIZ23" s="476"/>
      <c r="WJA23" s="476"/>
      <c r="WJB23" s="476"/>
      <c r="WJC23" s="476"/>
      <c r="WJD23" s="476"/>
      <c r="WJE23" s="476"/>
      <c r="WJF23" s="476"/>
      <c r="WJG23" s="476"/>
      <c r="WJH23" s="476"/>
      <c r="WJI23" s="476"/>
      <c r="WJJ23" s="476"/>
      <c r="WJK23" s="476"/>
      <c r="WJL23" s="476"/>
      <c r="WJM23" s="476"/>
      <c r="WJN23" s="476"/>
      <c r="WJO23" s="476"/>
      <c r="WJP23" s="476"/>
      <c r="WJQ23" s="476"/>
      <c r="WJR23" s="476"/>
      <c r="WJS23" s="476"/>
      <c r="WJT23" s="476"/>
      <c r="WJU23" s="476"/>
      <c r="WJV23" s="476"/>
      <c r="WJW23" s="476"/>
      <c r="WJX23" s="476"/>
      <c r="WJY23" s="476"/>
      <c r="WJZ23" s="476"/>
      <c r="WKA23" s="476"/>
      <c r="WKB23" s="476"/>
      <c r="WKC23" s="476"/>
      <c r="WKD23" s="476"/>
      <c r="WKE23" s="476"/>
      <c r="WKF23" s="476"/>
      <c r="WKG23" s="476"/>
      <c r="WKH23" s="476"/>
      <c r="WKI23" s="476"/>
      <c r="WKJ23" s="476"/>
      <c r="WKK23" s="476"/>
      <c r="WKL23" s="476"/>
      <c r="WKM23" s="476"/>
      <c r="WKN23" s="476"/>
      <c r="WKO23" s="476"/>
      <c r="WKP23" s="476"/>
      <c r="WKQ23" s="476"/>
      <c r="WKR23" s="476"/>
      <c r="WKS23" s="476"/>
      <c r="WKT23" s="476"/>
      <c r="WKU23" s="476"/>
      <c r="WKV23" s="476"/>
      <c r="WKW23" s="476"/>
      <c r="WKX23" s="476"/>
      <c r="WKY23" s="476"/>
      <c r="WKZ23" s="476"/>
      <c r="WLA23" s="476"/>
      <c r="WLB23" s="476"/>
      <c r="WLC23" s="476"/>
      <c r="WLD23" s="476"/>
      <c r="WLE23" s="476"/>
      <c r="WLF23" s="476"/>
      <c r="WLG23" s="476"/>
      <c r="WLH23" s="476"/>
      <c r="WLI23" s="476"/>
      <c r="WLJ23" s="476"/>
      <c r="WLK23" s="476"/>
      <c r="WLL23" s="476"/>
      <c r="WLM23" s="476"/>
      <c r="WLN23" s="476"/>
      <c r="WLO23" s="476"/>
      <c r="WLP23" s="476"/>
      <c r="WLQ23" s="476"/>
      <c r="WLR23" s="476"/>
      <c r="WLS23" s="476"/>
      <c r="WLT23" s="476"/>
      <c r="WLU23" s="476"/>
      <c r="WLV23" s="476"/>
      <c r="WLW23" s="476"/>
      <c r="WLX23" s="476"/>
      <c r="WLY23" s="476"/>
      <c r="WLZ23" s="476"/>
      <c r="WMA23" s="476"/>
      <c r="WMB23" s="476"/>
      <c r="WMC23" s="476"/>
      <c r="WMD23" s="476"/>
      <c r="WME23" s="476"/>
      <c r="WMF23" s="476"/>
      <c r="WMG23" s="476"/>
      <c r="WMH23" s="476"/>
      <c r="WMI23" s="476"/>
      <c r="WMJ23" s="476"/>
      <c r="WMK23" s="476"/>
      <c r="WML23" s="476"/>
      <c r="WMM23" s="476"/>
      <c r="WMN23" s="476"/>
      <c r="WMO23" s="476"/>
      <c r="WMP23" s="476"/>
      <c r="WMQ23" s="476"/>
      <c r="WMR23" s="476"/>
      <c r="WMS23" s="476"/>
      <c r="WMT23" s="476"/>
      <c r="WMU23" s="476"/>
      <c r="WMV23" s="476"/>
      <c r="WMW23" s="476"/>
      <c r="WMX23" s="476"/>
      <c r="WMY23" s="476"/>
      <c r="WMZ23" s="476"/>
      <c r="WNA23" s="476"/>
      <c r="WNB23" s="476"/>
      <c r="WNC23" s="476"/>
      <c r="WND23" s="476"/>
      <c r="WNE23" s="476"/>
      <c r="WNF23" s="476"/>
      <c r="WNG23" s="476"/>
      <c r="WNH23" s="476"/>
      <c r="WNI23" s="476"/>
      <c r="WNJ23" s="476"/>
      <c r="WNK23" s="476"/>
      <c r="WNL23" s="476"/>
      <c r="WNM23" s="476"/>
      <c r="WNN23" s="476"/>
      <c r="WNO23" s="476"/>
      <c r="WNP23" s="476"/>
      <c r="WNQ23" s="476"/>
      <c r="WNR23" s="476"/>
      <c r="WNS23" s="476"/>
      <c r="WNT23" s="476"/>
      <c r="WNU23" s="476"/>
      <c r="WNV23" s="476"/>
      <c r="WNW23" s="476"/>
      <c r="WNX23" s="476"/>
      <c r="WNY23" s="476"/>
      <c r="WNZ23" s="476"/>
      <c r="WOA23" s="476"/>
      <c r="WOB23" s="476"/>
      <c r="WOC23" s="476"/>
      <c r="WOD23" s="476"/>
      <c r="WOE23" s="476"/>
      <c r="WOF23" s="476"/>
      <c r="WOG23" s="476"/>
      <c r="WOH23" s="476"/>
      <c r="WOI23" s="476"/>
      <c r="WOJ23" s="476"/>
      <c r="WOK23" s="476"/>
      <c r="WOL23" s="476"/>
      <c r="WOM23" s="476"/>
      <c r="WON23" s="476"/>
      <c r="WOO23" s="476"/>
      <c r="WOP23" s="476"/>
      <c r="WOQ23" s="476"/>
      <c r="WOR23" s="476"/>
      <c r="WOS23" s="476"/>
      <c r="WOT23" s="476"/>
      <c r="WOU23" s="476"/>
      <c r="WOV23" s="476"/>
      <c r="WOW23" s="476"/>
      <c r="WOX23" s="476"/>
      <c r="WOY23" s="476"/>
      <c r="WOZ23" s="476"/>
      <c r="WPA23" s="476"/>
      <c r="WPB23" s="476"/>
      <c r="WPC23" s="476"/>
      <c r="WPD23" s="476"/>
      <c r="WPE23" s="476"/>
      <c r="WPF23" s="476"/>
      <c r="WPG23" s="476"/>
      <c r="WPH23" s="476"/>
      <c r="WPI23" s="476"/>
      <c r="WPJ23" s="476"/>
      <c r="WPK23" s="476"/>
      <c r="WPL23" s="476"/>
      <c r="WPM23" s="476"/>
      <c r="WPN23" s="476"/>
      <c r="WPO23" s="476"/>
      <c r="WPP23" s="476"/>
      <c r="WPQ23" s="476"/>
      <c r="WPR23" s="476"/>
      <c r="WPS23" s="476"/>
      <c r="WPT23" s="476"/>
      <c r="WPU23" s="476"/>
      <c r="WPV23" s="476"/>
      <c r="WPW23" s="476"/>
      <c r="WPX23" s="476"/>
      <c r="WPY23" s="476"/>
      <c r="WPZ23" s="476"/>
      <c r="WQA23" s="476"/>
      <c r="WQB23" s="476"/>
      <c r="WQC23" s="476"/>
      <c r="WQD23" s="476"/>
      <c r="WQE23" s="476"/>
      <c r="WQF23" s="476"/>
      <c r="WQG23" s="476"/>
      <c r="WQH23" s="476"/>
      <c r="WQI23" s="476"/>
      <c r="WQJ23" s="476"/>
      <c r="WQK23" s="476"/>
      <c r="WQL23" s="476"/>
      <c r="WQM23" s="476"/>
      <c r="WQN23" s="476"/>
      <c r="WQO23" s="476"/>
      <c r="WQP23" s="476"/>
      <c r="WQQ23" s="476"/>
      <c r="WQR23" s="476"/>
      <c r="WQS23" s="476"/>
      <c r="WQT23" s="476"/>
      <c r="WQU23" s="476"/>
      <c r="WQV23" s="476"/>
      <c r="WQW23" s="476"/>
      <c r="WQX23" s="476"/>
      <c r="WQY23" s="476"/>
      <c r="WQZ23" s="476"/>
      <c r="WRA23" s="476"/>
      <c r="WRB23" s="476"/>
      <c r="WRC23" s="476"/>
      <c r="WRD23" s="476"/>
      <c r="WRE23" s="476"/>
      <c r="WRF23" s="476"/>
      <c r="WRG23" s="476"/>
      <c r="WRH23" s="476"/>
      <c r="WRI23" s="476"/>
      <c r="WRJ23" s="476"/>
      <c r="WRK23" s="476"/>
      <c r="WRL23" s="476"/>
      <c r="WRM23" s="476"/>
      <c r="WRN23" s="476"/>
      <c r="WRO23" s="476"/>
      <c r="WRP23" s="476"/>
      <c r="WRQ23" s="476"/>
      <c r="WRR23" s="476"/>
      <c r="WRS23" s="476"/>
      <c r="WRT23" s="476"/>
      <c r="WRU23" s="476"/>
      <c r="WRV23" s="476"/>
      <c r="WRW23" s="476"/>
      <c r="WRX23" s="476"/>
      <c r="WRY23" s="476"/>
      <c r="WRZ23" s="476"/>
      <c r="WSA23" s="476"/>
      <c r="WSB23" s="476"/>
      <c r="WSC23" s="476"/>
      <c r="WSD23" s="476"/>
      <c r="WSE23" s="476"/>
      <c r="WSF23" s="476"/>
      <c r="WSG23" s="476"/>
      <c r="WSH23" s="476"/>
      <c r="WSI23" s="476"/>
      <c r="WSJ23" s="476"/>
      <c r="WSK23" s="476"/>
      <c r="WSL23" s="476"/>
      <c r="WSM23" s="476"/>
      <c r="WSN23" s="476"/>
      <c r="WSO23" s="476"/>
      <c r="WSP23" s="476"/>
      <c r="WSQ23" s="476"/>
      <c r="WSR23" s="476"/>
      <c r="WSS23" s="476"/>
      <c r="WST23" s="476"/>
      <c r="WSU23" s="476"/>
      <c r="WSV23" s="476"/>
      <c r="WSW23" s="476"/>
      <c r="WSX23" s="476"/>
      <c r="WSY23" s="476"/>
      <c r="WSZ23" s="476"/>
      <c r="WTA23" s="476"/>
      <c r="WTB23" s="476"/>
      <c r="WTC23" s="476"/>
      <c r="WTD23" s="476"/>
      <c r="WTE23" s="476"/>
      <c r="WTF23" s="476"/>
      <c r="WTG23" s="476"/>
      <c r="WTH23" s="476"/>
      <c r="WTI23" s="476"/>
      <c r="WTJ23" s="476"/>
      <c r="WTK23" s="476"/>
      <c r="WTL23" s="476"/>
      <c r="WTM23" s="476"/>
      <c r="WTN23" s="476"/>
      <c r="WTO23" s="476"/>
      <c r="WTP23" s="476"/>
      <c r="WTQ23" s="476"/>
      <c r="WTR23" s="476"/>
      <c r="WTS23" s="476"/>
      <c r="WTT23" s="476"/>
      <c r="WTU23" s="476"/>
      <c r="WTV23" s="476"/>
      <c r="WTW23" s="476"/>
      <c r="WTX23" s="476"/>
      <c r="WTY23" s="476"/>
      <c r="WTZ23" s="476"/>
      <c r="WUA23" s="476"/>
      <c r="WUB23" s="476"/>
      <c r="WUC23" s="476"/>
      <c r="WUD23" s="476"/>
      <c r="WUE23" s="476"/>
      <c r="WUF23" s="476"/>
      <c r="WUG23" s="476"/>
      <c r="WUH23" s="476"/>
      <c r="WUI23" s="476"/>
      <c r="WUJ23" s="476"/>
      <c r="WUK23" s="476"/>
      <c r="WUL23" s="476"/>
      <c r="WUM23" s="476"/>
      <c r="WUN23" s="476"/>
      <c r="WUO23" s="476"/>
      <c r="WUP23" s="476"/>
      <c r="WUQ23" s="476"/>
      <c r="WUR23" s="476"/>
      <c r="WUS23" s="476"/>
      <c r="WUT23" s="476"/>
      <c r="WUU23" s="476"/>
      <c r="WUV23" s="476"/>
      <c r="WUW23" s="476"/>
      <c r="WUX23" s="476"/>
      <c r="WUY23" s="476"/>
      <c r="WUZ23" s="476"/>
      <c r="WVA23" s="476"/>
      <c r="WVB23" s="476"/>
      <c r="WVC23" s="476"/>
      <c r="WVD23" s="476"/>
      <c r="WVE23" s="476"/>
      <c r="WVF23" s="476"/>
      <c r="WVG23" s="476"/>
      <c r="WVH23" s="476"/>
      <c r="WVI23" s="476"/>
      <c r="WVJ23" s="476"/>
      <c r="WVK23" s="476"/>
      <c r="WVL23" s="476"/>
      <c r="WVM23" s="476"/>
      <c r="WVN23" s="476"/>
      <c r="WVO23" s="476"/>
      <c r="WVP23" s="476"/>
      <c r="WVQ23" s="476"/>
      <c r="WVR23" s="476"/>
      <c r="WVS23" s="476"/>
      <c r="WVT23" s="476"/>
      <c r="WVU23" s="476"/>
      <c r="WVV23" s="476"/>
      <c r="WVW23" s="476"/>
      <c r="WVX23" s="476"/>
      <c r="WVY23" s="476"/>
      <c r="WVZ23" s="476"/>
      <c r="WWA23" s="476"/>
      <c r="WWB23" s="476"/>
      <c r="WWC23" s="476"/>
      <c r="WWD23" s="476"/>
      <c r="WWE23" s="476"/>
      <c r="WWF23" s="476"/>
      <c r="WWG23" s="476"/>
      <c r="WWH23" s="476"/>
      <c r="WWI23" s="476"/>
      <c r="WWJ23" s="476"/>
      <c r="WWK23" s="476"/>
      <c r="WWL23" s="476"/>
      <c r="WWM23" s="476"/>
      <c r="WWN23" s="476"/>
      <c r="WWO23" s="476"/>
      <c r="WWP23" s="476"/>
      <c r="WWQ23" s="476"/>
      <c r="WWR23" s="476"/>
      <c r="WWS23" s="476"/>
      <c r="WWT23" s="476"/>
      <c r="WWU23" s="476"/>
      <c r="WWV23" s="476"/>
      <c r="WWW23" s="476"/>
      <c r="WWX23" s="476"/>
      <c r="WWY23" s="476"/>
      <c r="WWZ23" s="476"/>
      <c r="WXA23" s="476"/>
      <c r="WXB23" s="476"/>
      <c r="WXC23" s="476"/>
      <c r="WXD23" s="476"/>
      <c r="WXE23" s="476"/>
      <c r="WXF23" s="476"/>
      <c r="WXG23" s="476"/>
      <c r="WXH23" s="476"/>
      <c r="WXI23" s="476"/>
      <c r="WXJ23" s="476"/>
      <c r="WXK23" s="476"/>
      <c r="WXL23" s="476"/>
      <c r="WXM23" s="476"/>
      <c r="WXN23" s="476"/>
      <c r="WXO23" s="476"/>
      <c r="WXP23" s="476"/>
      <c r="WXQ23" s="476"/>
      <c r="WXR23" s="476"/>
      <c r="WXS23" s="476"/>
      <c r="WXT23" s="476"/>
      <c r="WXU23" s="476"/>
      <c r="WXV23" s="476"/>
      <c r="WXW23" s="476"/>
      <c r="WXX23" s="476"/>
      <c r="WXY23" s="476"/>
      <c r="WXZ23" s="476"/>
      <c r="WYA23" s="476"/>
      <c r="WYB23" s="476"/>
      <c r="WYC23" s="476"/>
      <c r="WYD23" s="476"/>
      <c r="WYE23" s="476"/>
      <c r="WYF23" s="476"/>
      <c r="WYG23" s="476"/>
      <c r="WYH23" s="476"/>
      <c r="WYI23" s="476"/>
      <c r="WYJ23" s="476"/>
      <c r="WYK23" s="476"/>
      <c r="WYL23" s="476"/>
      <c r="WYM23" s="476"/>
      <c r="WYN23" s="476"/>
      <c r="WYO23" s="476"/>
      <c r="WYP23" s="476"/>
      <c r="WYQ23" s="476"/>
      <c r="WYR23" s="476"/>
      <c r="WYS23" s="476"/>
      <c r="WYT23" s="476"/>
      <c r="WYU23" s="476"/>
      <c r="WYV23" s="476"/>
      <c r="WYW23" s="476"/>
      <c r="WYX23" s="476"/>
      <c r="WYY23" s="476"/>
      <c r="WYZ23" s="476"/>
      <c r="WZA23" s="476"/>
      <c r="WZB23" s="476"/>
      <c r="WZC23" s="476"/>
      <c r="WZD23" s="476"/>
      <c r="WZE23" s="476"/>
      <c r="WZF23" s="476"/>
      <c r="WZG23" s="476"/>
      <c r="WZH23" s="476"/>
      <c r="WZI23" s="476"/>
      <c r="WZJ23" s="476"/>
      <c r="WZK23" s="476"/>
      <c r="WZL23" s="476"/>
      <c r="WZM23" s="476"/>
      <c r="WZN23" s="476"/>
      <c r="WZO23" s="476"/>
      <c r="WZP23" s="476"/>
      <c r="WZQ23" s="476"/>
      <c r="WZR23" s="476"/>
      <c r="WZS23" s="476"/>
      <c r="WZT23" s="476"/>
      <c r="WZU23" s="476"/>
      <c r="WZV23" s="476"/>
      <c r="WZW23" s="476"/>
      <c r="WZX23" s="476"/>
      <c r="WZY23" s="476"/>
      <c r="WZZ23" s="476"/>
      <c r="XAA23" s="476"/>
      <c r="XAB23" s="476"/>
      <c r="XAC23" s="476"/>
      <c r="XAD23" s="476"/>
      <c r="XAE23" s="476"/>
      <c r="XAF23" s="476"/>
      <c r="XAG23" s="476"/>
      <c r="XAH23" s="476"/>
      <c r="XAI23" s="476"/>
      <c r="XAJ23" s="476"/>
      <c r="XAK23" s="476"/>
      <c r="XAL23" s="476"/>
      <c r="XAM23" s="476"/>
      <c r="XAN23" s="476"/>
      <c r="XAO23" s="476"/>
      <c r="XAP23" s="476"/>
      <c r="XAQ23" s="476"/>
      <c r="XAR23" s="476"/>
      <c r="XAS23" s="476"/>
      <c r="XAT23" s="476"/>
      <c r="XAU23" s="476"/>
      <c r="XAV23" s="476"/>
      <c r="XAW23" s="476"/>
      <c r="XAX23" s="476"/>
      <c r="XAY23" s="476"/>
      <c r="XAZ23" s="476"/>
      <c r="XBA23" s="476"/>
      <c r="XBB23" s="476"/>
      <c r="XBC23" s="476"/>
      <c r="XBD23" s="476"/>
      <c r="XBE23" s="476"/>
      <c r="XBF23" s="476"/>
      <c r="XBG23" s="476"/>
      <c r="XBH23" s="476"/>
      <c r="XBI23" s="476"/>
      <c r="XBJ23" s="476"/>
      <c r="XBK23" s="476"/>
      <c r="XBL23" s="476"/>
      <c r="XBM23" s="476"/>
      <c r="XBN23" s="476"/>
      <c r="XBO23" s="476"/>
      <c r="XBP23" s="476"/>
      <c r="XBQ23" s="476"/>
      <c r="XBR23" s="476"/>
      <c r="XBS23" s="476"/>
      <c r="XBT23" s="476"/>
      <c r="XBU23" s="476"/>
      <c r="XBV23" s="476"/>
      <c r="XBW23" s="476"/>
      <c r="XBX23" s="476"/>
      <c r="XBY23" s="476"/>
      <c r="XBZ23" s="476"/>
      <c r="XCA23" s="476"/>
      <c r="XCB23" s="476"/>
      <c r="XCC23" s="476"/>
      <c r="XCD23" s="476"/>
      <c r="XCE23" s="476"/>
      <c r="XCF23" s="476"/>
      <c r="XCG23" s="476"/>
      <c r="XCH23" s="476"/>
      <c r="XCI23" s="476"/>
      <c r="XCJ23" s="476"/>
      <c r="XCK23" s="476"/>
      <c r="XCL23" s="476"/>
      <c r="XCM23" s="476"/>
      <c r="XCN23" s="476"/>
      <c r="XCO23" s="476"/>
      <c r="XCP23" s="476"/>
      <c r="XCQ23" s="476"/>
      <c r="XCR23" s="476"/>
      <c r="XCS23" s="476"/>
      <c r="XCT23" s="476"/>
      <c r="XCU23" s="476"/>
      <c r="XCV23" s="476"/>
      <c r="XCW23" s="476"/>
      <c r="XCX23" s="476"/>
      <c r="XCY23" s="476"/>
      <c r="XCZ23" s="476"/>
      <c r="XDA23" s="476"/>
      <c r="XDB23" s="476"/>
      <c r="XDC23" s="476"/>
      <c r="XDD23" s="476"/>
      <c r="XDE23" s="476"/>
      <c r="XDF23" s="476"/>
      <c r="XDG23" s="476"/>
      <c r="XDH23" s="476"/>
      <c r="XDI23" s="476"/>
      <c r="XDJ23" s="476"/>
      <c r="XDK23" s="476"/>
      <c r="XDL23" s="476"/>
      <c r="XDM23" s="476"/>
      <c r="XDN23" s="476"/>
      <c r="XDO23" s="476"/>
      <c r="XDP23" s="476"/>
      <c r="XDQ23" s="476"/>
      <c r="XDR23" s="476"/>
      <c r="XDS23" s="476"/>
      <c r="XDT23" s="476"/>
      <c r="XDU23" s="476"/>
      <c r="XDV23" s="476"/>
      <c r="XDW23" s="476"/>
      <c r="XDX23" s="476"/>
      <c r="XDY23" s="476"/>
      <c r="XDZ23" s="476"/>
      <c r="XEA23" s="476"/>
      <c r="XEB23" s="476"/>
      <c r="XEC23" s="476"/>
      <c r="XED23" s="476"/>
      <c r="XEE23" s="476"/>
      <c r="XEF23" s="476"/>
      <c r="XEG23" s="476"/>
      <c r="XEH23" s="476"/>
      <c r="XEI23" s="476"/>
      <c r="XEJ23" s="476"/>
      <c r="XEK23" s="476"/>
      <c r="XEL23" s="476"/>
      <c r="XEM23" s="476"/>
      <c r="XEN23" s="476"/>
      <c r="XEO23" s="476"/>
      <c r="XEP23" s="476"/>
      <c r="XEQ23" s="476"/>
      <c r="XER23" s="476"/>
      <c r="XES23" s="476"/>
      <c r="XET23" s="476"/>
      <c r="XEU23" s="476"/>
      <c r="XEV23" s="476"/>
      <c r="XEW23" s="476"/>
      <c r="XEX23" s="476"/>
      <c r="XEY23" s="476"/>
      <c r="XEZ23" s="476"/>
      <c r="XFA23" s="476"/>
      <c r="XFB23" s="476"/>
    </row>
    <row r="24" spans="1:16382" s="476" customFormat="1" ht="15" customHeight="1" x14ac:dyDescent="0.2">
      <c r="A24" s="1030" t="s">
        <v>8393</v>
      </c>
      <c r="B24" s="1031"/>
      <c r="C24" s="1031"/>
      <c r="D24" s="1031"/>
      <c r="E24" s="1031"/>
      <c r="F24" s="1031"/>
      <c r="G24" s="1032"/>
    </row>
    <row r="25" spans="1:16382" s="476" customFormat="1" ht="30" customHeight="1" x14ac:dyDescent="0.2">
      <c r="A25" s="1223" t="s">
        <v>8394</v>
      </c>
      <c r="B25" s="1224"/>
      <c r="C25" s="1224"/>
      <c r="D25" s="1169"/>
      <c r="E25" s="1169"/>
      <c r="F25" s="1169"/>
      <c r="G25" s="1170"/>
    </row>
    <row r="26" spans="1:16382" s="476" customFormat="1" ht="45" customHeight="1" x14ac:dyDescent="0.2">
      <c r="A26" s="1225" t="s">
        <v>10489</v>
      </c>
      <c r="B26" s="1226"/>
      <c r="C26" s="1226"/>
      <c r="D26" s="1226"/>
      <c r="E26" s="1226"/>
      <c r="F26" s="1226"/>
      <c r="G26" s="1227"/>
    </row>
    <row r="27" spans="1:16382" s="476" customFormat="1" ht="15" customHeight="1" x14ac:dyDescent="0.2">
      <c r="A27" s="1228" t="s">
        <v>8395</v>
      </c>
      <c r="B27" s="1229"/>
      <c r="C27" s="1229"/>
      <c r="D27" s="1229"/>
      <c r="E27" s="1229"/>
      <c r="F27" s="1229"/>
      <c r="G27" s="1230"/>
    </row>
    <row r="28" spans="1:16382" s="476" customFormat="1" ht="30" customHeight="1" thickBot="1" x14ac:dyDescent="0.25">
      <c r="A28" s="1234" t="s">
        <v>8396</v>
      </c>
      <c r="B28" s="1235"/>
      <c r="C28" s="1235"/>
      <c r="D28" s="1236"/>
      <c r="E28" s="1236"/>
      <c r="F28" s="1236"/>
      <c r="G28" s="1237"/>
    </row>
    <row r="29" spans="1:16382" s="476" customFormat="1" ht="15" customHeight="1" x14ac:dyDescent="0.2">
      <c r="A29" s="1240" t="s">
        <v>8397</v>
      </c>
      <c r="B29" s="1241"/>
      <c r="C29" s="1241"/>
      <c r="D29" s="1241"/>
      <c r="E29" s="1241"/>
      <c r="F29" s="1241"/>
      <c r="G29" s="1242"/>
    </row>
    <row r="30" spans="1:16382" s="439" customFormat="1" ht="15" customHeight="1" x14ac:dyDescent="0.25">
      <c r="A30" s="1206" t="s">
        <v>8663</v>
      </c>
      <c r="B30" s="1207"/>
      <c r="C30" s="1149"/>
      <c r="D30" s="1150"/>
      <c r="E30" s="1150"/>
      <c r="F30" s="1150"/>
      <c r="G30" s="1151"/>
    </row>
    <row r="31" spans="1:16382" s="439" customFormat="1" ht="15" customHeight="1" x14ac:dyDescent="0.25">
      <c r="A31" s="1188" t="s">
        <v>8398</v>
      </c>
      <c r="B31" s="1189"/>
      <c r="C31" s="1149"/>
      <c r="D31" s="1150"/>
      <c r="E31" s="1150"/>
      <c r="F31" s="1150"/>
      <c r="G31" s="1151"/>
    </row>
    <row r="32" spans="1:16382" s="439" customFormat="1" ht="15" customHeight="1" x14ac:dyDescent="0.25">
      <c r="A32" s="1206" t="s">
        <v>8399</v>
      </c>
      <c r="B32" s="1207"/>
      <c r="C32" s="1149"/>
      <c r="D32" s="1150"/>
      <c r="E32" s="1150"/>
      <c r="F32" s="1150"/>
      <c r="G32" s="1151"/>
    </row>
    <row r="33" spans="1:7" s="439" customFormat="1" ht="15" customHeight="1" x14ac:dyDescent="0.25">
      <c r="A33" s="1188" t="s">
        <v>8400</v>
      </c>
      <c r="B33" s="1189"/>
      <c r="C33" s="1203"/>
      <c r="D33" s="1204"/>
      <c r="E33" s="1204"/>
      <c r="F33" s="1204"/>
      <c r="G33" s="1205"/>
    </row>
    <row r="34" spans="1:7" s="439" customFormat="1" ht="15" customHeight="1" x14ac:dyDescent="0.25">
      <c r="A34" s="1188" t="s">
        <v>8401</v>
      </c>
      <c r="B34" s="1189"/>
      <c r="C34" s="1149"/>
      <c r="D34" s="1150"/>
      <c r="E34" s="1150"/>
      <c r="F34" s="1150"/>
      <c r="G34" s="1151"/>
    </row>
    <row r="35" spans="1:7" s="439" customFormat="1" ht="15" customHeight="1" x14ac:dyDescent="0.25">
      <c r="A35" s="1188" t="s">
        <v>8402</v>
      </c>
      <c r="B35" s="1189"/>
      <c r="C35" s="1149"/>
      <c r="D35" s="1150"/>
      <c r="E35" s="1150"/>
      <c r="F35" s="1150"/>
      <c r="G35" s="1151"/>
    </row>
    <row r="36" spans="1:7" s="439" customFormat="1" ht="15" customHeight="1" x14ac:dyDescent="0.25">
      <c r="A36" s="1188" t="s">
        <v>8403</v>
      </c>
      <c r="B36" s="1189"/>
      <c r="C36" s="1149"/>
      <c r="D36" s="1150"/>
      <c r="E36" s="1150"/>
      <c r="F36" s="1150"/>
      <c r="G36" s="1151"/>
    </row>
    <row r="37" spans="1:7" s="439" customFormat="1" ht="15" customHeight="1" x14ac:dyDescent="0.25">
      <c r="A37" s="1206" t="s">
        <v>8404</v>
      </c>
      <c r="B37" s="1207"/>
      <c r="C37" s="1149"/>
      <c r="D37" s="1150"/>
      <c r="E37" s="1150"/>
      <c r="F37" s="1150"/>
      <c r="G37" s="1151"/>
    </row>
    <row r="38" spans="1:7" s="439" customFormat="1" ht="15" customHeight="1" x14ac:dyDescent="0.25">
      <c r="A38" s="1206" t="s">
        <v>8405</v>
      </c>
      <c r="B38" s="1207"/>
      <c r="C38" s="1149"/>
      <c r="D38" s="1150"/>
      <c r="E38" s="1150"/>
      <c r="F38" s="1150"/>
      <c r="G38" s="1151"/>
    </row>
    <row r="39" spans="1:7" s="439" customFormat="1" ht="15" customHeight="1" x14ac:dyDescent="0.25">
      <c r="A39" s="1188" t="s">
        <v>8406</v>
      </c>
      <c r="B39" s="1189"/>
      <c r="C39" s="1190"/>
      <c r="D39" s="1191"/>
      <c r="E39" s="1191"/>
      <c r="F39" s="1191"/>
      <c r="G39" s="1192"/>
    </row>
    <row r="40" spans="1:7" s="439" customFormat="1" ht="15" customHeight="1" x14ac:dyDescent="0.25">
      <c r="A40" s="1188" t="s">
        <v>8407</v>
      </c>
      <c r="B40" s="1189"/>
      <c r="C40" s="1190"/>
      <c r="D40" s="1191"/>
      <c r="E40" s="1191"/>
      <c r="F40" s="1191"/>
      <c r="G40" s="1192"/>
    </row>
    <row r="41" spans="1:7" s="439" customFormat="1" ht="15" customHeight="1" thickBot="1" x14ac:dyDescent="0.3">
      <c r="A41" s="1193" t="s">
        <v>8408</v>
      </c>
      <c r="B41" s="1194"/>
      <c r="C41" s="1202"/>
      <c r="D41" s="1196"/>
      <c r="E41" s="1196"/>
      <c r="F41" s="1196"/>
      <c r="G41" s="1197"/>
    </row>
    <row r="42" spans="1:7" s="476" customFormat="1" ht="30" customHeight="1" x14ac:dyDescent="0.2">
      <c r="A42" s="1198" t="s">
        <v>8409</v>
      </c>
      <c r="B42" s="1199"/>
      <c r="C42" s="1199"/>
      <c r="D42" s="1199"/>
      <c r="E42" s="1199"/>
      <c r="F42" s="1199"/>
      <c r="G42" s="1200"/>
    </row>
    <row r="43" spans="1:7" s="439" customFormat="1" ht="15" customHeight="1" x14ac:dyDescent="0.25">
      <c r="A43" s="1206" t="s">
        <v>8663</v>
      </c>
      <c r="B43" s="1207"/>
      <c r="C43" s="1149"/>
      <c r="D43" s="1150"/>
      <c r="E43" s="1150"/>
      <c r="F43" s="1150"/>
      <c r="G43" s="1151"/>
    </row>
    <row r="44" spans="1:7" s="439" customFormat="1" ht="15" customHeight="1" x14ac:dyDescent="0.25">
      <c r="A44" s="1188" t="s">
        <v>8398</v>
      </c>
      <c r="B44" s="1189"/>
      <c r="C44" s="1149"/>
      <c r="D44" s="1150"/>
      <c r="E44" s="1150"/>
      <c r="F44" s="1150"/>
      <c r="G44" s="1151"/>
    </row>
    <row r="45" spans="1:7" s="439" customFormat="1" ht="15" customHeight="1" x14ac:dyDescent="0.25">
      <c r="A45" s="1206" t="s">
        <v>8399</v>
      </c>
      <c r="B45" s="1207"/>
      <c r="C45" s="1149"/>
      <c r="D45" s="1150"/>
      <c r="E45" s="1150"/>
      <c r="F45" s="1150"/>
      <c r="G45" s="1151"/>
    </row>
    <row r="46" spans="1:7" s="439" customFormat="1" ht="15" customHeight="1" x14ac:dyDescent="0.25">
      <c r="A46" s="1188" t="s">
        <v>8400</v>
      </c>
      <c r="B46" s="1189"/>
      <c r="C46" s="1203"/>
      <c r="D46" s="1204"/>
      <c r="E46" s="1204"/>
      <c r="F46" s="1204"/>
      <c r="G46" s="1205"/>
    </row>
    <row r="47" spans="1:7" s="439" customFormat="1" ht="15" customHeight="1" x14ac:dyDescent="0.25">
      <c r="A47" s="1188" t="s">
        <v>8394</v>
      </c>
      <c r="B47" s="1189"/>
      <c r="C47" s="1149"/>
      <c r="D47" s="1150"/>
      <c r="E47" s="1150"/>
      <c r="F47" s="1150"/>
      <c r="G47" s="1151"/>
    </row>
    <row r="48" spans="1:7" s="439" customFormat="1" ht="15" customHeight="1" x14ac:dyDescent="0.25">
      <c r="A48" s="1188" t="s">
        <v>8401</v>
      </c>
      <c r="B48" s="1189"/>
      <c r="C48" s="1149"/>
      <c r="D48" s="1150"/>
      <c r="E48" s="1150"/>
      <c r="F48" s="1150"/>
      <c r="G48" s="1151"/>
    </row>
    <row r="49" spans="1:7" s="439" customFormat="1" ht="15" customHeight="1" x14ac:dyDescent="0.25">
      <c r="A49" s="1188" t="s">
        <v>8402</v>
      </c>
      <c r="B49" s="1189"/>
      <c r="C49" s="1149"/>
      <c r="D49" s="1150"/>
      <c r="E49" s="1150"/>
      <c r="F49" s="1150"/>
      <c r="G49" s="1151"/>
    </row>
    <row r="50" spans="1:7" s="439" customFormat="1" ht="15" customHeight="1" x14ac:dyDescent="0.25">
      <c r="A50" s="1188" t="s">
        <v>8403</v>
      </c>
      <c r="B50" s="1189"/>
      <c r="C50" s="1149"/>
      <c r="D50" s="1150"/>
      <c r="E50" s="1150"/>
      <c r="F50" s="1150"/>
      <c r="G50" s="1151"/>
    </row>
    <row r="51" spans="1:7" s="439" customFormat="1" ht="15" customHeight="1" x14ac:dyDescent="0.25">
      <c r="A51" s="1206" t="s">
        <v>8404</v>
      </c>
      <c r="B51" s="1207"/>
      <c r="C51" s="1149"/>
      <c r="D51" s="1150"/>
      <c r="E51" s="1150"/>
      <c r="F51" s="1150"/>
      <c r="G51" s="1151"/>
    </row>
    <row r="52" spans="1:7" s="439" customFormat="1" ht="15" customHeight="1" x14ac:dyDescent="0.25">
      <c r="A52" s="1206" t="s">
        <v>8405</v>
      </c>
      <c r="B52" s="1207"/>
      <c r="C52" s="1149"/>
      <c r="D52" s="1150"/>
      <c r="E52" s="1150"/>
      <c r="F52" s="1150"/>
      <c r="G52" s="1151"/>
    </row>
    <row r="53" spans="1:7" s="439" customFormat="1" ht="15" customHeight="1" x14ac:dyDescent="0.25">
      <c r="A53" s="1188" t="s">
        <v>8406</v>
      </c>
      <c r="B53" s="1189"/>
      <c r="C53" s="1190"/>
      <c r="D53" s="1191"/>
      <c r="E53" s="1191"/>
      <c r="F53" s="1191"/>
      <c r="G53" s="1192"/>
    </row>
    <row r="54" spans="1:7" s="439" customFormat="1" ht="15" customHeight="1" x14ac:dyDescent="0.25">
      <c r="A54" s="1188" t="s">
        <v>8407</v>
      </c>
      <c r="B54" s="1189"/>
      <c r="C54" s="1190"/>
      <c r="D54" s="1191"/>
      <c r="E54" s="1191"/>
      <c r="F54" s="1191"/>
      <c r="G54" s="1192"/>
    </row>
    <row r="55" spans="1:7" s="439" customFormat="1" ht="15" customHeight="1" thickBot="1" x14ac:dyDescent="0.3">
      <c r="A55" s="1193" t="s">
        <v>8408</v>
      </c>
      <c r="B55" s="1194"/>
      <c r="C55" s="1195"/>
      <c r="D55" s="1196"/>
      <c r="E55" s="1196"/>
      <c r="F55" s="1196"/>
      <c r="G55" s="1197"/>
    </row>
    <row r="56" spans="1:7" s="476" customFormat="1" ht="15" customHeight="1" x14ac:dyDescent="0.2">
      <c r="A56" s="1198" t="s">
        <v>8410</v>
      </c>
      <c r="B56" s="1199"/>
      <c r="C56" s="1199"/>
      <c r="D56" s="1199"/>
      <c r="E56" s="1199"/>
      <c r="F56" s="1199"/>
      <c r="G56" s="1200"/>
    </row>
    <row r="57" spans="1:7" s="476" customFormat="1" ht="60" customHeight="1" x14ac:dyDescent="0.2">
      <c r="A57" s="1201" t="s">
        <v>10538</v>
      </c>
      <c r="B57" s="1006"/>
      <c r="C57" s="1006"/>
      <c r="D57" s="1006"/>
      <c r="E57" s="1006"/>
      <c r="F57" s="1079"/>
      <c r="G57" s="1080"/>
    </row>
    <row r="58" spans="1:7" s="476" customFormat="1" ht="89.25" customHeight="1" x14ac:dyDescent="0.2">
      <c r="A58" s="1201" t="s">
        <v>10539</v>
      </c>
      <c r="B58" s="1006"/>
      <c r="C58" s="1006"/>
      <c r="D58" s="1006"/>
      <c r="E58" s="1006"/>
      <c r="F58" s="1079"/>
      <c r="G58" s="1080"/>
    </row>
    <row r="59" spans="1:7" s="476" customFormat="1" ht="14.25" x14ac:dyDescent="0.2">
      <c r="A59" s="1146" t="s">
        <v>8540</v>
      </c>
      <c r="B59" s="1147"/>
      <c r="C59" s="1147"/>
      <c r="D59" s="1147"/>
      <c r="E59" s="1148"/>
      <c r="F59" s="1079"/>
      <c r="G59" s="1080"/>
    </row>
    <row r="60" spans="1:7" s="476" customFormat="1" ht="15.75" customHeight="1" thickBot="1" x14ac:dyDescent="0.25">
      <c r="A60" s="1183" t="s">
        <v>8541</v>
      </c>
      <c r="B60" s="1184"/>
      <c r="C60" s="1184"/>
      <c r="D60" s="1184"/>
      <c r="E60" s="1185"/>
      <c r="F60" s="1186"/>
      <c r="G60" s="1187"/>
    </row>
    <row r="61" spans="1:7" s="476" customFormat="1" ht="15" customHeight="1" thickBot="1" x14ac:dyDescent="0.25">
      <c r="A61" s="1015" t="s">
        <v>8411</v>
      </c>
      <c r="B61" s="1015"/>
      <c r="C61" s="1015"/>
      <c r="D61" s="1015"/>
      <c r="E61" s="1015"/>
      <c r="F61" s="1015"/>
      <c r="G61" s="1015"/>
    </row>
    <row r="62" spans="1:7" s="476" customFormat="1" ht="15" customHeight="1" thickBot="1" x14ac:dyDescent="0.25">
      <c r="A62" s="1120" t="s">
        <v>10265</v>
      </c>
      <c r="B62" s="1121"/>
      <c r="C62" s="1121"/>
      <c r="D62" s="1121"/>
      <c r="E62" s="1121"/>
      <c r="F62" s="1121"/>
      <c r="G62" s="1122"/>
    </row>
    <row r="63" spans="1:7" s="476" customFormat="1" ht="28.5" customHeight="1" x14ac:dyDescent="0.2">
      <c r="A63" s="1116" t="s">
        <v>10089</v>
      </c>
      <c r="B63" s="1117"/>
      <c r="C63" s="1117"/>
      <c r="D63" s="1117"/>
      <c r="E63" s="1117"/>
      <c r="F63" s="1117"/>
      <c r="G63" s="472"/>
    </row>
    <row r="64" spans="1:7" s="476" customFormat="1" ht="45" customHeight="1" x14ac:dyDescent="0.2">
      <c r="A64" s="941" t="s">
        <v>10490</v>
      </c>
      <c r="B64" s="1181"/>
      <c r="C64" s="1181"/>
      <c r="D64" s="1181"/>
      <c r="E64" s="1181"/>
      <c r="F64" s="1181"/>
      <c r="G64" s="1182"/>
    </row>
    <row r="65" spans="1:7" s="476" customFormat="1" ht="15" customHeight="1" thickBot="1" x14ac:dyDescent="0.25">
      <c r="A65" s="1101" t="s">
        <v>10028</v>
      </c>
      <c r="B65" s="1118"/>
      <c r="C65" s="1118"/>
      <c r="D65" s="1118"/>
      <c r="E65" s="1118"/>
      <c r="F65" s="1118"/>
      <c r="G65" s="1119"/>
    </row>
    <row r="66" spans="1:7" s="476" customFormat="1" ht="15" customHeight="1" thickBot="1" x14ac:dyDescent="0.25">
      <c r="A66" s="1015" t="s">
        <v>8411</v>
      </c>
      <c r="B66" s="1015"/>
      <c r="C66" s="1015"/>
      <c r="D66" s="1015"/>
      <c r="E66" s="1015"/>
      <c r="F66" s="1015"/>
      <c r="G66" s="1015"/>
    </row>
    <row r="67" spans="1:7" s="476" customFormat="1" ht="15" customHeight="1" thickBot="1" x14ac:dyDescent="0.25">
      <c r="A67" s="1033" t="s">
        <v>8640</v>
      </c>
      <c r="B67" s="1034"/>
      <c r="C67" s="1034"/>
      <c r="D67" s="1034"/>
      <c r="E67" s="1034"/>
      <c r="F67" s="1034"/>
      <c r="G67" s="1035"/>
    </row>
    <row r="68" spans="1:7" s="476" customFormat="1" ht="15" customHeight="1" x14ac:dyDescent="0.2">
      <c r="A68" s="1030" t="s">
        <v>8412</v>
      </c>
      <c r="B68" s="1031"/>
      <c r="C68" s="1031"/>
      <c r="D68" s="1031"/>
      <c r="E68" s="1031"/>
      <c r="F68" s="1031"/>
      <c r="G68" s="1032"/>
    </row>
    <row r="69" spans="1:7" s="476" customFormat="1" ht="30" customHeight="1" x14ac:dyDescent="0.2">
      <c r="A69" s="1176" t="s">
        <v>8413</v>
      </c>
      <c r="B69" s="1177"/>
      <c r="C69" s="1177"/>
      <c r="D69" s="1178"/>
      <c r="E69" s="1179"/>
      <c r="F69" s="1179"/>
      <c r="G69" s="1180"/>
    </row>
    <row r="70" spans="1:7" s="476" customFormat="1" ht="15" customHeight="1" x14ac:dyDescent="0.2">
      <c r="A70" s="1005" t="s">
        <v>8414</v>
      </c>
      <c r="B70" s="1006"/>
      <c r="C70" s="1006"/>
      <c r="D70" s="1271"/>
      <c r="E70" s="1079"/>
      <c r="F70" s="1079"/>
      <c r="G70" s="1080"/>
    </row>
    <row r="71" spans="1:7" s="476" customFormat="1" ht="45" customHeight="1" x14ac:dyDescent="0.2">
      <c r="A71" s="1005" t="s">
        <v>8415</v>
      </c>
      <c r="B71" s="1006"/>
      <c r="C71" s="1006"/>
      <c r="D71" s="1079"/>
      <c r="E71" s="1079"/>
      <c r="F71" s="1079"/>
      <c r="G71" s="1080"/>
    </row>
    <row r="72" spans="1:7" s="476" customFormat="1" ht="45" customHeight="1" x14ac:dyDescent="0.2">
      <c r="A72" s="1005" t="s">
        <v>8569</v>
      </c>
      <c r="B72" s="1006"/>
      <c r="C72" s="1006"/>
      <c r="D72" s="1079"/>
      <c r="E72" s="1079"/>
      <c r="F72" s="1079"/>
      <c r="G72" s="1080"/>
    </row>
    <row r="73" spans="1:7" s="476" customFormat="1" ht="75" customHeight="1" thickBot="1" x14ac:dyDescent="0.25">
      <c r="A73" s="1036" t="s">
        <v>8416</v>
      </c>
      <c r="B73" s="1006"/>
      <c r="C73" s="1006"/>
      <c r="D73" s="1079"/>
      <c r="E73" s="1079"/>
      <c r="F73" s="1079"/>
      <c r="G73" s="1080"/>
    </row>
    <row r="74" spans="1:7" s="476" customFormat="1" ht="15" customHeight="1" x14ac:dyDescent="0.2">
      <c r="A74" s="1030" t="s">
        <v>8417</v>
      </c>
      <c r="B74" s="1031"/>
      <c r="C74" s="1031"/>
      <c r="D74" s="1031"/>
      <c r="E74" s="1031"/>
      <c r="F74" s="1031"/>
      <c r="G74" s="1032"/>
    </row>
    <row r="75" spans="1:7" s="476" customFormat="1" ht="15" customHeight="1" x14ac:dyDescent="0.2">
      <c r="A75" s="1146" t="s">
        <v>8418</v>
      </c>
      <c r="B75" s="1147"/>
      <c r="C75" s="1148"/>
      <c r="D75" s="1143"/>
      <c r="E75" s="1144"/>
      <c r="F75" s="1144"/>
      <c r="G75" s="1145"/>
    </row>
    <row r="76" spans="1:7" s="476" customFormat="1" ht="90" customHeight="1" x14ac:dyDescent="0.2">
      <c r="A76" s="1159" t="s">
        <v>8419</v>
      </c>
      <c r="B76" s="1160"/>
      <c r="C76" s="1161"/>
      <c r="D76" s="1149"/>
      <c r="E76" s="1150"/>
      <c r="F76" s="1150"/>
      <c r="G76" s="1151"/>
    </row>
    <row r="77" spans="1:7" s="476" customFormat="1" ht="30" customHeight="1" thickBot="1" x14ac:dyDescent="0.25">
      <c r="A77" s="1256" t="s">
        <v>8420</v>
      </c>
      <c r="B77" s="1257"/>
      <c r="C77" s="1258"/>
      <c r="D77" s="1264"/>
      <c r="E77" s="1265"/>
      <c r="F77" s="1265"/>
      <c r="G77" s="1266"/>
    </row>
    <row r="78" spans="1:7" s="476" customFormat="1" ht="15" customHeight="1" x14ac:dyDescent="0.2">
      <c r="A78" s="1164" t="s">
        <v>8532</v>
      </c>
      <c r="B78" s="1165"/>
      <c r="C78" s="1165"/>
      <c r="D78" s="1165"/>
      <c r="E78" s="1165"/>
      <c r="F78" s="1165"/>
      <c r="G78" s="1166"/>
    </row>
    <row r="79" spans="1:7" s="476" customFormat="1" ht="15" customHeight="1" x14ac:dyDescent="0.2">
      <c r="A79" s="1167" t="s">
        <v>8421</v>
      </c>
      <c r="B79" s="1168"/>
      <c r="C79" s="1168"/>
      <c r="D79" s="1169"/>
      <c r="E79" s="1169"/>
      <c r="F79" s="1169"/>
      <c r="G79" s="1170"/>
    </row>
    <row r="80" spans="1:7" s="476" customFormat="1" ht="15" customHeight="1" x14ac:dyDescent="0.2">
      <c r="A80" s="1171" t="s">
        <v>10491</v>
      </c>
      <c r="B80" s="1027"/>
      <c r="C80" s="1027"/>
      <c r="D80" s="1027"/>
      <c r="E80" s="1027"/>
      <c r="F80" s="1027"/>
      <c r="G80" s="1172"/>
    </row>
    <row r="81" spans="1:7" s="476" customFormat="1" ht="15" customHeight="1" x14ac:dyDescent="0.2">
      <c r="A81" s="1173" t="s">
        <v>10219</v>
      </c>
      <c r="B81" s="1174"/>
      <c r="C81" s="1174"/>
      <c r="D81" s="1174"/>
      <c r="E81" s="1174"/>
      <c r="F81" s="1174"/>
      <c r="G81" s="1175"/>
    </row>
    <row r="82" spans="1:7" s="476" customFormat="1" ht="15" customHeight="1" x14ac:dyDescent="0.2">
      <c r="A82" s="1005" t="s">
        <v>8422</v>
      </c>
      <c r="B82" s="1006"/>
      <c r="C82" s="1006"/>
      <c r="D82" s="1079"/>
      <c r="E82" s="1079"/>
      <c r="F82" s="1079"/>
      <c r="G82" s="1080"/>
    </row>
    <row r="83" spans="1:7" s="476" customFormat="1" ht="15" customHeight="1" x14ac:dyDescent="0.2">
      <c r="A83" s="1201" t="s">
        <v>10492</v>
      </c>
      <c r="B83" s="1006"/>
      <c r="C83" s="1006"/>
      <c r="D83" s="1006"/>
      <c r="E83" s="1006"/>
      <c r="F83" s="1006"/>
      <c r="G83" s="1267"/>
    </row>
    <row r="84" spans="1:7" s="476" customFormat="1" ht="15" customHeight="1" x14ac:dyDescent="0.2">
      <c r="A84" s="1268" t="s">
        <v>10642</v>
      </c>
      <c r="B84" s="1269"/>
      <c r="C84" s="1269"/>
      <c r="D84" s="1269"/>
      <c r="E84" s="1269"/>
      <c r="F84" s="1269"/>
      <c r="G84" s="1270"/>
    </row>
    <row r="85" spans="1:7" s="476" customFormat="1" ht="15" customHeight="1" x14ac:dyDescent="0.2">
      <c r="A85" s="1005" t="s">
        <v>8423</v>
      </c>
      <c r="B85" s="1006"/>
      <c r="C85" s="1006"/>
      <c r="D85" s="1079"/>
      <c r="E85" s="1079"/>
      <c r="F85" s="1079"/>
      <c r="G85" s="1080"/>
    </row>
    <row r="86" spans="1:7" s="476" customFormat="1" ht="15" customHeight="1" x14ac:dyDescent="0.2">
      <c r="A86" s="1153" t="s">
        <v>8535</v>
      </c>
      <c r="B86" s="1154"/>
      <c r="C86" s="1154"/>
      <c r="D86" s="1152"/>
      <c r="E86" s="1079"/>
      <c r="F86" s="1079"/>
      <c r="G86" s="1080"/>
    </row>
    <row r="87" spans="1:7" s="476" customFormat="1" ht="60" customHeight="1" thickBot="1" x14ac:dyDescent="0.25">
      <c r="A87" s="1155" t="s">
        <v>10246</v>
      </c>
      <c r="B87" s="1156"/>
      <c r="C87" s="1156"/>
      <c r="D87" s="1157"/>
      <c r="E87" s="1157"/>
      <c r="F87" s="1157"/>
      <c r="G87" s="1158"/>
    </row>
    <row r="88" spans="1:7" s="476" customFormat="1" ht="15" customHeight="1" x14ac:dyDescent="0.2">
      <c r="A88" s="1088" t="s">
        <v>8533</v>
      </c>
      <c r="B88" s="1089"/>
      <c r="C88" s="1089"/>
      <c r="D88" s="1089"/>
      <c r="E88" s="1089"/>
      <c r="F88" s="1089"/>
      <c r="G88" s="1260"/>
    </row>
    <row r="89" spans="1:7" s="476" customFormat="1" ht="15" customHeight="1" x14ac:dyDescent="0.2">
      <c r="A89" s="1162" t="s">
        <v>10493</v>
      </c>
      <c r="B89" s="1109"/>
      <c r="C89" s="1109"/>
      <c r="D89" s="1109"/>
      <c r="E89" s="1109"/>
      <c r="F89" s="1109"/>
      <c r="G89" s="1163"/>
    </row>
    <row r="90" spans="1:7" s="476" customFormat="1" ht="15" customHeight="1" x14ac:dyDescent="0.2">
      <c r="A90" s="1261" t="s">
        <v>8424</v>
      </c>
      <c r="B90" s="1262"/>
      <c r="C90" s="1262"/>
      <c r="D90" s="1262"/>
      <c r="E90" s="1262"/>
      <c r="F90" s="1262"/>
      <c r="G90" s="1263"/>
    </row>
    <row r="91" spans="1:7" s="476" customFormat="1" ht="15" customHeight="1" x14ac:dyDescent="0.2">
      <c r="A91" s="1146" t="s">
        <v>8425</v>
      </c>
      <c r="B91" s="1147"/>
      <c r="C91" s="1148"/>
      <c r="D91" s="1143"/>
      <c r="E91" s="1144"/>
      <c r="F91" s="1144"/>
      <c r="G91" s="1145"/>
    </row>
    <row r="92" spans="1:7" s="476" customFormat="1" ht="15" customHeight="1" x14ac:dyDescent="0.2">
      <c r="A92" s="1146" t="s">
        <v>8426</v>
      </c>
      <c r="B92" s="1147"/>
      <c r="C92" s="1148"/>
      <c r="D92" s="1149"/>
      <c r="E92" s="1150"/>
      <c r="F92" s="1150"/>
      <c r="G92" s="1151"/>
    </row>
    <row r="93" spans="1:7" s="476" customFormat="1" ht="15" customHeight="1" x14ac:dyDescent="0.2">
      <c r="A93" s="1159" t="s">
        <v>8427</v>
      </c>
      <c r="B93" s="1160"/>
      <c r="C93" s="1161"/>
      <c r="D93" s="1143"/>
      <c r="E93" s="1144"/>
      <c r="F93" s="1144"/>
      <c r="G93" s="1145"/>
    </row>
    <row r="94" spans="1:7" s="476" customFormat="1" ht="15" customHeight="1" thickBot="1" x14ac:dyDescent="0.25">
      <c r="A94" s="1024" t="s">
        <v>8426</v>
      </c>
      <c r="B94" s="1025"/>
      <c r="C94" s="1090"/>
      <c r="D94" s="1186"/>
      <c r="E94" s="1259"/>
      <c r="F94" s="1259"/>
      <c r="G94" s="1187"/>
    </row>
    <row r="95" spans="1:7" s="476" customFormat="1" ht="15" customHeight="1" thickBot="1" x14ac:dyDescent="0.25">
      <c r="A95" s="1015" t="s">
        <v>8411</v>
      </c>
      <c r="B95" s="1015"/>
      <c r="C95" s="1015"/>
      <c r="D95" s="1015"/>
      <c r="E95" s="1015"/>
      <c r="F95" s="1015"/>
      <c r="G95" s="1015"/>
    </row>
    <row r="96" spans="1:7" s="476" customFormat="1" ht="15" customHeight="1" thickBot="1" x14ac:dyDescent="0.25">
      <c r="A96" s="1253" t="s">
        <v>10266</v>
      </c>
      <c r="B96" s="1254"/>
      <c r="C96" s="1254"/>
      <c r="D96" s="1254"/>
      <c r="E96" s="1254"/>
      <c r="F96" s="1254"/>
      <c r="G96" s="1255"/>
    </row>
    <row r="97" spans="1:7" s="476" customFormat="1" ht="15" customHeight="1" x14ac:dyDescent="0.2">
      <c r="A97" s="1043" t="s">
        <v>8429</v>
      </c>
      <c r="B97" s="1044"/>
      <c r="C97" s="1044"/>
      <c r="D97" s="1044"/>
      <c r="E97" s="1044"/>
      <c r="F97" s="1044"/>
      <c r="G97" s="1045"/>
    </row>
    <row r="98" spans="1:7" s="476" customFormat="1" ht="119.25" customHeight="1" x14ac:dyDescent="0.2">
      <c r="A98" s="1036" t="s">
        <v>10220</v>
      </c>
      <c r="B98" s="1006"/>
      <c r="C98" s="1046" t="s">
        <v>10318</v>
      </c>
      <c r="D98" s="1047"/>
      <c r="E98" s="1047"/>
      <c r="F98" s="1047"/>
      <c r="G98" s="1048"/>
    </row>
    <row r="99" spans="1:7" s="476" customFormat="1" ht="29.25" customHeight="1" x14ac:dyDescent="0.2">
      <c r="A99" s="1005" t="s">
        <v>8596</v>
      </c>
      <c r="B99" s="1006"/>
      <c r="C99" s="1006"/>
      <c r="D99" s="1006"/>
      <c r="E99" s="1006"/>
      <c r="F99" s="1006"/>
      <c r="G99" s="483"/>
    </row>
    <row r="100" spans="1:7" s="476" customFormat="1" ht="15" thickBot="1" x14ac:dyDescent="0.25">
      <c r="A100" s="1007" t="s">
        <v>8597</v>
      </c>
      <c r="B100" s="1008"/>
      <c r="C100" s="1008"/>
      <c r="D100" s="1008"/>
      <c r="E100" s="1008"/>
      <c r="F100" s="1008"/>
      <c r="G100" s="1009"/>
    </row>
    <row r="101" spans="1:7" s="476" customFormat="1" ht="15" x14ac:dyDescent="0.2">
      <c r="A101" s="1040" t="s">
        <v>10127</v>
      </c>
      <c r="B101" s="1041"/>
      <c r="C101" s="1041"/>
      <c r="D101" s="1041"/>
      <c r="E101" s="1041"/>
      <c r="F101" s="1041"/>
      <c r="G101" s="1042"/>
    </row>
    <row r="102" spans="1:7" s="476" customFormat="1" ht="14.25" x14ac:dyDescent="0.2">
      <c r="A102" s="1010" t="s">
        <v>10128</v>
      </c>
      <c r="B102" s="1011"/>
      <c r="C102" s="1011"/>
      <c r="D102" s="1011"/>
      <c r="E102" s="1011"/>
      <c r="F102" s="1012"/>
      <c r="G102" s="465"/>
    </row>
    <row r="103" spans="1:7" s="476" customFormat="1" ht="14.25" x14ac:dyDescent="0.2">
      <c r="A103" s="1010" t="s">
        <v>10129</v>
      </c>
      <c r="B103" s="1011"/>
      <c r="C103" s="1011"/>
      <c r="D103" s="1011"/>
      <c r="E103" s="1011"/>
      <c r="F103" s="1012"/>
      <c r="G103" s="577"/>
    </row>
    <row r="104" spans="1:7" s="476" customFormat="1" ht="14.25" customHeight="1" x14ac:dyDescent="0.2">
      <c r="A104" s="1010" t="s">
        <v>10130</v>
      </c>
      <c r="B104" s="1011"/>
      <c r="C104" s="1011"/>
      <c r="D104" s="1011"/>
      <c r="E104" s="1011"/>
      <c r="F104" s="1012"/>
      <c r="G104" s="577"/>
    </row>
    <row r="105" spans="1:7" s="476" customFormat="1" ht="14.25" x14ac:dyDescent="0.2">
      <c r="A105" s="1010" t="s">
        <v>10131</v>
      </c>
      <c r="B105" s="1011"/>
      <c r="C105" s="1011"/>
      <c r="D105" s="1011"/>
      <c r="E105" s="1011"/>
      <c r="F105" s="1012"/>
      <c r="G105" s="577"/>
    </row>
    <row r="106" spans="1:7" s="476" customFormat="1" ht="14.25" customHeight="1" x14ac:dyDescent="0.2">
      <c r="A106" s="1038" t="s">
        <v>10132</v>
      </c>
      <c r="B106" s="1039"/>
      <c r="C106" s="1039"/>
      <c r="D106" s="1039"/>
      <c r="E106" s="1039"/>
      <c r="F106" s="1039"/>
      <c r="G106" s="611"/>
    </row>
    <row r="107" spans="1:7" s="476" customFormat="1" ht="14.25" x14ac:dyDescent="0.2">
      <c r="A107" s="1038" t="s">
        <v>10133</v>
      </c>
      <c r="B107" s="1039"/>
      <c r="C107" s="1039"/>
      <c r="D107" s="1039"/>
      <c r="E107" s="1039"/>
      <c r="F107" s="1039"/>
      <c r="G107" s="794"/>
    </row>
    <row r="108" spans="1:7" s="476" customFormat="1" ht="15" thickBot="1" x14ac:dyDescent="0.25">
      <c r="A108" s="1051" t="s">
        <v>10134</v>
      </c>
      <c r="B108" s="1052"/>
      <c r="C108" s="1052"/>
      <c r="D108" s="1052"/>
      <c r="E108" s="1052"/>
      <c r="F108" s="1052"/>
      <c r="G108" s="795"/>
    </row>
    <row r="109" spans="1:7" s="476" customFormat="1" ht="48.75" customHeight="1" x14ac:dyDescent="0.2">
      <c r="A109" s="1053" t="s">
        <v>10221</v>
      </c>
      <c r="B109" s="1054"/>
      <c r="C109" s="1054"/>
      <c r="D109" s="1054"/>
      <c r="E109" s="1054"/>
      <c r="F109" s="1054"/>
      <c r="G109" s="1055"/>
    </row>
    <row r="110" spans="1:7" s="476" customFormat="1" ht="15" customHeight="1" x14ac:dyDescent="0.2">
      <c r="A110" s="1026" t="s">
        <v>8430</v>
      </c>
      <c r="B110" s="1027"/>
      <c r="C110" s="1135"/>
      <c r="D110" s="1028"/>
      <c r="E110" s="1028"/>
      <c r="F110" s="1028"/>
      <c r="G110" s="1029"/>
    </row>
    <row r="111" spans="1:7" s="476" customFormat="1" ht="15" customHeight="1" thickBot="1" x14ac:dyDescent="0.25">
      <c r="A111" s="1026" t="s">
        <v>8431</v>
      </c>
      <c r="B111" s="1027"/>
      <c r="C111" s="1028"/>
      <c r="D111" s="1028"/>
      <c r="E111" s="1028"/>
      <c r="F111" s="1028"/>
      <c r="G111" s="1029"/>
    </row>
    <row r="112" spans="1:7" s="476" customFormat="1" ht="15" customHeight="1" x14ac:dyDescent="0.2">
      <c r="A112" s="1030" t="s">
        <v>8542</v>
      </c>
      <c r="B112" s="1031"/>
      <c r="C112" s="1031"/>
      <c r="D112" s="1031"/>
      <c r="E112" s="1031"/>
      <c r="F112" s="1031"/>
      <c r="G112" s="1032"/>
    </row>
    <row r="113" spans="1:7" s="476" customFormat="1" ht="30" customHeight="1" x14ac:dyDescent="0.2">
      <c r="A113" s="1005" t="s">
        <v>8432</v>
      </c>
      <c r="B113" s="1006"/>
      <c r="C113" s="1006"/>
      <c r="D113" s="1006"/>
      <c r="E113" s="1006"/>
      <c r="F113" s="1006"/>
      <c r="G113" s="483"/>
    </row>
    <row r="114" spans="1:7" s="476" customFormat="1" ht="30" customHeight="1" thickBot="1" x14ac:dyDescent="0.25">
      <c r="A114" s="1024" t="s">
        <v>8433</v>
      </c>
      <c r="B114" s="1025"/>
      <c r="C114" s="1025"/>
      <c r="D114" s="1025"/>
      <c r="E114" s="1025"/>
      <c r="F114" s="1025"/>
      <c r="G114" s="482"/>
    </row>
    <row r="115" spans="1:7" s="476" customFormat="1" ht="15" customHeight="1" x14ac:dyDescent="0.2">
      <c r="A115" s="1030" t="s">
        <v>10222</v>
      </c>
      <c r="B115" s="1031"/>
      <c r="C115" s="1031"/>
      <c r="D115" s="1031"/>
      <c r="E115" s="1031"/>
      <c r="F115" s="1031"/>
      <c r="G115" s="1032"/>
    </row>
    <row r="116" spans="1:7" s="476" customFormat="1" ht="30" customHeight="1" x14ac:dyDescent="0.2">
      <c r="A116" s="1036" t="s">
        <v>10223</v>
      </c>
      <c r="B116" s="1006"/>
      <c r="C116" s="1006"/>
      <c r="D116" s="1006"/>
      <c r="E116" s="1006"/>
      <c r="F116" s="1006"/>
      <c r="G116" s="548" t="str">
        <f>IF(D69="","",IF(OR(D69="Brazoria", D69="Chambers", D69="Fort Bend", D69="Galveston", D69="Harris", D69="Liberty", D69="Montgomery", D69="Waller"),"Yes","No"))</f>
        <v/>
      </c>
    </row>
    <row r="117" spans="1:7" s="476" customFormat="1" ht="30" customHeight="1" thickBot="1" x14ac:dyDescent="0.25">
      <c r="A117" s="1037" t="s">
        <v>10224</v>
      </c>
      <c r="B117" s="1025"/>
      <c r="C117" s="1025"/>
      <c r="D117" s="1025"/>
      <c r="E117" s="1025"/>
      <c r="F117" s="1025"/>
      <c r="G117" s="482"/>
    </row>
    <row r="118" spans="1:7" s="476" customFormat="1" ht="15" customHeight="1" thickBot="1" x14ac:dyDescent="0.25">
      <c r="A118" s="1015" t="s">
        <v>8411</v>
      </c>
      <c r="B118" s="1015"/>
      <c r="C118" s="1015"/>
      <c r="D118" s="1015"/>
      <c r="E118" s="1015"/>
      <c r="F118" s="1015"/>
      <c r="G118" s="1015"/>
    </row>
    <row r="119" spans="1:7" s="479" customFormat="1" ht="15" customHeight="1" thickBot="1" x14ac:dyDescent="0.3">
      <c r="A119" s="1033" t="s">
        <v>10267</v>
      </c>
      <c r="B119" s="1034"/>
      <c r="C119" s="1034"/>
      <c r="D119" s="1034"/>
      <c r="E119" s="1034"/>
      <c r="F119" s="1034"/>
      <c r="G119" s="1035"/>
    </row>
    <row r="120" spans="1:7" s="476" customFormat="1" ht="29.25" customHeight="1" thickBot="1" x14ac:dyDescent="0.25">
      <c r="A120" s="1018" t="s">
        <v>8549</v>
      </c>
      <c r="B120" s="1019"/>
      <c r="C120" s="1019"/>
      <c r="D120" s="1019"/>
      <c r="E120" s="1019"/>
      <c r="F120" s="1019"/>
      <c r="G120" s="1020"/>
    </row>
    <row r="121" spans="1:7" s="476" customFormat="1" ht="15" customHeight="1" x14ac:dyDescent="0.2">
      <c r="A121" s="1021" t="s">
        <v>8434</v>
      </c>
      <c r="B121" s="1022"/>
      <c r="C121" s="1022"/>
      <c r="D121" s="1022"/>
      <c r="E121" s="1022"/>
      <c r="F121" s="1022"/>
      <c r="G121" s="1023"/>
    </row>
    <row r="122" spans="1:7" s="476" customFormat="1" ht="75" customHeight="1" thickBot="1" x14ac:dyDescent="0.25">
      <c r="A122" s="1007" t="s">
        <v>8554</v>
      </c>
      <c r="B122" s="1008"/>
      <c r="C122" s="1016"/>
      <c r="D122" s="1016"/>
      <c r="E122" s="1016"/>
      <c r="F122" s="1016"/>
      <c r="G122" s="1017"/>
    </row>
    <row r="123" spans="1:7" s="476" customFormat="1" ht="15" customHeight="1" x14ac:dyDescent="0.2">
      <c r="A123" s="1021" t="s">
        <v>8435</v>
      </c>
      <c r="B123" s="1022"/>
      <c r="C123" s="1022"/>
      <c r="D123" s="1022"/>
      <c r="E123" s="1022"/>
      <c r="F123" s="1022"/>
      <c r="G123" s="1023"/>
    </row>
    <row r="124" spans="1:7" s="476" customFormat="1" ht="75" customHeight="1" thickBot="1" x14ac:dyDescent="0.25">
      <c r="A124" s="1007" t="s">
        <v>8554</v>
      </c>
      <c r="B124" s="1008"/>
      <c r="C124" s="1016"/>
      <c r="D124" s="1016"/>
      <c r="E124" s="1016"/>
      <c r="F124" s="1016"/>
      <c r="G124" s="1017"/>
    </row>
    <row r="125" spans="1:7" s="476" customFormat="1" ht="15" customHeight="1" x14ac:dyDescent="0.2">
      <c r="A125" s="1021" t="s">
        <v>8436</v>
      </c>
      <c r="B125" s="1022"/>
      <c r="C125" s="1022"/>
      <c r="D125" s="1022"/>
      <c r="E125" s="1022"/>
      <c r="F125" s="1022"/>
      <c r="G125" s="1023"/>
    </row>
    <row r="126" spans="1:7" s="476" customFormat="1" ht="75" customHeight="1" thickBot="1" x14ac:dyDescent="0.25">
      <c r="A126" s="1007" t="s">
        <v>8554</v>
      </c>
      <c r="B126" s="1008"/>
      <c r="C126" s="1016"/>
      <c r="D126" s="1016"/>
      <c r="E126" s="1016"/>
      <c r="F126" s="1016"/>
      <c r="G126" s="1017"/>
    </row>
    <row r="127" spans="1:7" s="476" customFormat="1" ht="15" customHeight="1" x14ac:dyDescent="0.2">
      <c r="A127" s="1021" t="s">
        <v>10268</v>
      </c>
      <c r="B127" s="1022"/>
      <c r="C127" s="1022"/>
      <c r="D127" s="1022"/>
      <c r="E127" s="1022"/>
      <c r="F127" s="1022"/>
      <c r="G127" s="1023"/>
    </row>
    <row r="128" spans="1:7" s="476" customFormat="1" ht="75" customHeight="1" thickBot="1" x14ac:dyDescent="0.25">
      <c r="A128" s="1007" t="s">
        <v>8554</v>
      </c>
      <c r="B128" s="1008"/>
      <c r="C128" s="1016"/>
      <c r="D128" s="1016"/>
      <c r="E128" s="1016"/>
      <c r="F128" s="1016"/>
      <c r="G128" s="1017"/>
    </row>
    <row r="129" spans="1:7" s="476" customFormat="1" ht="15" customHeight="1" x14ac:dyDescent="0.2">
      <c r="A129" s="1021" t="s">
        <v>10269</v>
      </c>
      <c r="B129" s="1022"/>
      <c r="C129" s="1022"/>
      <c r="D129" s="1022"/>
      <c r="E129" s="1022"/>
      <c r="F129" s="1022"/>
      <c r="G129" s="1023"/>
    </row>
    <row r="130" spans="1:7" s="476" customFormat="1" ht="75" customHeight="1" thickBot="1" x14ac:dyDescent="0.25">
      <c r="A130" s="1007" t="s">
        <v>8554</v>
      </c>
      <c r="B130" s="1008"/>
      <c r="C130" s="1016"/>
      <c r="D130" s="1016"/>
      <c r="E130" s="1016"/>
      <c r="F130" s="1016"/>
      <c r="G130" s="1017"/>
    </row>
    <row r="131" spans="1:7" s="476" customFormat="1" ht="15" customHeight="1" thickBot="1" x14ac:dyDescent="0.25">
      <c r="A131" s="1015" t="s">
        <v>8411</v>
      </c>
      <c r="B131" s="1015"/>
      <c r="C131" s="1015"/>
      <c r="D131" s="1015"/>
      <c r="E131" s="1015"/>
      <c r="F131" s="1015"/>
      <c r="G131" s="1015"/>
    </row>
    <row r="132" spans="1:7" s="476" customFormat="1" ht="15" customHeight="1" thickBot="1" x14ac:dyDescent="0.25">
      <c r="A132" s="1120" t="s">
        <v>10270</v>
      </c>
      <c r="B132" s="1121"/>
      <c r="C132" s="1121"/>
      <c r="D132" s="1121"/>
      <c r="E132" s="1121"/>
      <c r="F132" s="1121"/>
      <c r="G132" s="1122"/>
    </row>
    <row r="133" spans="1:7" s="466" customFormat="1" ht="30" customHeight="1" thickBot="1" x14ac:dyDescent="0.3">
      <c r="A133" s="1140" t="s">
        <v>10225</v>
      </c>
      <c r="B133" s="1141"/>
      <c r="C133" s="1141"/>
      <c r="D133" s="1141"/>
      <c r="E133" s="1141"/>
      <c r="F133" s="1141"/>
      <c r="G133" s="1142"/>
    </row>
    <row r="134" spans="1:7" s="466" customFormat="1" ht="15" customHeight="1" x14ac:dyDescent="0.25">
      <c r="A134" s="1130" t="s">
        <v>8572</v>
      </c>
      <c r="B134" s="1131"/>
      <c r="C134" s="1131"/>
      <c r="D134" s="1131"/>
      <c r="E134" s="1131"/>
      <c r="F134" s="1131"/>
      <c r="G134" s="1132"/>
    </row>
    <row r="135" spans="1:7" s="466" customFormat="1" ht="14.25" customHeight="1" x14ac:dyDescent="0.25">
      <c r="A135" s="1013" t="s">
        <v>8603</v>
      </c>
      <c r="B135" s="1014"/>
      <c r="C135" s="1014"/>
      <c r="D135" s="1014"/>
      <c r="E135" s="1014"/>
      <c r="F135" s="1014"/>
      <c r="G135" s="757"/>
    </row>
    <row r="136" spans="1:7" s="466" customFormat="1" ht="43.5" customHeight="1" x14ac:dyDescent="0.25">
      <c r="A136" s="1013" t="s">
        <v>8604</v>
      </c>
      <c r="B136" s="1014"/>
      <c r="C136" s="1014"/>
      <c r="D136" s="1014"/>
      <c r="E136" s="1014"/>
      <c r="F136" s="1014"/>
      <c r="G136" s="757"/>
    </row>
    <row r="137" spans="1:7" s="466" customFormat="1" ht="43.5" customHeight="1" x14ac:dyDescent="0.25">
      <c r="A137" s="1013" t="s">
        <v>8605</v>
      </c>
      <c r="B137" s="1014"/>
      <c r="C137" s="1014"/>
      <c r="D137" s="1014"/>
      <c r="E137" s="1014"/>
      <c r="F137" s="1014"/>
      <c r="G137" s="757"/>
    </row>
    <row r="138" spans="1:7" s="466" customFormat="1" ht="43.5" customHeight="1" x14ac:dyDescent="0.25">
      <c r="A138" s="1013" t="s">
        <v>8606</v>
      </c>
      <c r="B138" s="1014"/>
      <c r="C138" s="1014"/>
      <c r="D138" s="1014"/>
      <c r="E138" s="1014"/>
      <c r="F138" s="1014"/>
      <c r="G138" s="757"/>
    </row>
    <row r="139" spans="1:7" s="466" customFormat="1" ht="14.25" customHeight="1" x14ac:dyDescent="0.25">
      <c r="A139" s="1013" t="s">
        <v>8607</v>
      </c>
      <c r="B139" s="1014"/>
      <c r="C139" s="1014"/>
      <c r="D139" s="1014"/>
      <c r="E139" s="1014"/>
      <c r="F139" s="1014"/>
      <c r="G139" s="757"/>
    </row>
    <row r="140" spans="1:7" s="466" customFormat="1" ht="30" customHeight="1" x14ac:dyDescent="0.25">
      <c r="A140" s="1138" t="s">
        <v>8716</v>
      </c>
      <c r="B140" s="1139"/>
      <c r="C140" s="1139"/>
      <c r="D140" s="1139"/>
      <c r="E140" s="1139"/>
      <c r="F140" s="1139"/>
      <c r="G140" s="757"/>
    </row>
    <row r="141" spans="1:7" s="466" customFormat="1" ht="45.75" customHeight="1" x14ac:dyDescent="0.25">
      <c r="A141" s="1013" t="s">
        <v>8608</v>
      </c>
      <c r="B141" s="1014"/>
      <c r="C141" s="1014"/>
      <c r="D141" s="1014"/>
      <c r="E141" s="1014"/>
      <c r="F141" s="1014"/>
      <c r="G141" s="757"/>
    </row>
    <row r="142" spans="1:7" s="466" customFormat="1" ht="32.25" customHeight="1" thickBot="1" x14ac:dyDescent="0.3">
      <c r="A142" s="1091" t="s">
        <v>8609</v>
      </c>
      <c r="B142" s="1092"/>
      <c r="C142" s="1092"/>
      <c r="D142" s="1092"/>
      <c r="E142" s="1092"/>
      <c r="F142" s="1092"/>
      <c r="G142" s="785"/>
    </row>
    <row r="143" spans="1:7" s="466" customFormat="1" ht="15" customHeight="1" x14ac:dyDescent="0.25">
      <c r="A143" s="1130" t="s">
        <v>8573</v>
      </c>
      <c r="B143" s="1131"/>
      <c r="C143" s="1131"/>
      <c r="D143" s="1131"/>
      <c r="E143" s="1131"/>
      <c r="F143" s="1131"/>
      <c r="G143" s="1132"/>
    </row>
    <row r="144" spans="1:7" s="466" customFormat="1" ht="14.25" customHeight="1" x14ac:dyDescent="0.25">
      <c r="A144" s="1136" t="s">
        <v>8603</v>
      </c>
      <c r="B144" s="1137"/>
      <c r="C144" s="1137"/>
      <c r="D144" s="1137"/>
      <c r="E144" s="1137"/>
      <c r="F144" s="1137"/>
      <c r="G144" s="757"/>
    </row>
    <row r="145" spans="1:7" s="466" customFormat="1" ht="30" customHeight="1" x14ac:dyDescent="0.25">
      <c r="A145" s="1136" t="s">
        <v>8718</v>
      </c>
      <c r="B145" s="1137"/>
      <c r="C145" s="1137"/>
      <c r="D145" s="1137"/>
      <c r="E145" s="1137"/>
      <c r="F145" s="1137"/>
      <c r="G145" s="467"/>
    </row>
    <row r="146" spans="1:7" s="466" customFormat="1" ht="14.25" customHeight="1" x14ac:dyDescent="0.25">
      <c r="A146" s="1136" t="s">
        <v>8610</v>
      </c>
      <c r="B146" s="1137"/>
      <c r="C146" s="1137"/>
      <c r="D146" s="1137"/>
      <c r="E146" s="1137"/>
      <c r="F146" s="1137"/>
      <c r="G146" s="467"/>
    </row>
    <row r="147" spans="1:7" s="466" customFormat="1" ht="30" customHeight="1" x14ac:dyDescent="0.25">
      <c r="A147" s="1136" t="s">
        <v>8717</v>
      </c>
      <c r="B147" s="1137"/>
      <c r="C147" s="1137"/>
      <c r="D147" s="1137"/>
      <c r="E147" s="1137"/>
      <c r="F147" s="1137"/>
      <c r="G147" s="467"/>
    </row>
    <row r="148" spans="1:7" s="466" customFormat="1" ht="15" customHeight="1" thickBot="1" x14ac:dyDescent="0.3">
      <c r="A148" s="1056" t="s">
        <v>8611</v>
      </c>
      <c r="B148" s="1057"/>
      <c r="C148" s="1057"/>
      <c r="D148" s="1057"/>
      <c r="E148" s="1057"/>
      <c r="F148" s="1057"/>
      <c r="G148" s="468"/>
    </row>
    <row r="149" spans="1:7" s="466" customFormat="1" ht="15" customHeight="1" x14ac:dyDescent="0.25">
      <c r="A149" s="1130" t="s">
        <v>10271</v>
      </c>
      <c r="B149" s="1131"/>
      <c r="C149" s="1131"/>
      <c r="D149" s="1131"/>
      <c r="E149" s="1131"/>
      <c r="F149" s="1131"/>
      <c r="G149" s="1132"/>
    </row>
    <row r="150" spans="1:7" s="466" customFormat="1" ht="14.25" x14ac:dyDescent="0.25">
      <c r="A150" s="1013" t="s">
        <v>8603</v>
      </c>
      <c r="B150" s="1014"/>
      <c r="C150" s="1014"/>
      <c r="D150" s="1014"/>
      <c r="E150" s="1014"/>
      <c r="F150" s="1014"/>
      <c r="G150" s="757"/>
    </row>
    <row r="151" spans="1:7" s="466" customFormat="1" ht="43.5" customHeight="1" x14ac:dyDescent="0.25">
      <c r="A151" s="1049" t="s">
        <v>8612</v>
      </c>
      <c r="B151" s="1050"/>
      <c r="C151" s="1050"/>
      <c r="D151" s="1050"/>
      <c r="E151" s="1050"/>
      <c r="F151" s="1050"/>
      <c r="G151" s="463"/>
    </row>
    <row r="152" spans="1:7" s="466" customFormat="1" ht="29.25" customHeight="1" x14ac:dyDescent="0.25">
      <c r="A152" s="1013" t="s">
        <v>8613</v>
      </c>
      <c r="B152" s="1014"/>
      <c r="C152" s="1014"/>
      <c r="D152" s="1014"/>
      <c r="E152" s="1014"/>
      <c r="F152" s="1014"/>
      <c r="G152" s="463"/>
    </row>
    <row r="153" spans="1:7" s="466" customFormat="1" ht="27" customHeight="1" x14ac:dyDescent="0.25">
      <c r="A153" s="1013" t="s">
        <v>8726</v>
      </c>
      <c r="B153" s="1014"/>
      <c r="C153" s="1014"/>
      <c r="D153" s="1014"/>
      <c r="E153" s="1014"/>
      <c r="F153" s="1014"/>
      <c r="G153" s="463"/>
    </row>
    <row r="154" spans="1:7" s="466" customFormat="1" ht="14.25" customHeight="1" x14ac:dyDescent="0.25">
      <c r="A154" s="1013" t="s">
        <v>8614</v>
      </c>
      <c r="B154" s="1014"/>
      <c r="C154" s="1014"/>
      <c r="D154" s="1014"/>
      <c r="E154" s="1014"/>
      <c r="F154" s="1014"/>
      <c r="G154" s="463"/>
    </row>
    <row r="155" spans="1:7" s="466" customFormat="1" ht="30" customHeight="1" x14ac:dyDescent="0.25">
      <c r="A155" s="1013" t="s">
        <v>8615</v>
      </c>
      <c r="B155" s="1014"/>
      <c r="C155" s="1014"/>
      <c r="D155" s="1014"/>
      <c r="E155" s="1014"/>
      <c r="F155" s="1014"/>
      <c r="G155" s="463"/>
    </row>
    <row r="156" spans="1:7" s="466" customFormat="1" ht="33" customHeight="1" x14ac:dyDescent="0.25">
      <c r="A156" s="1013" t="s">
        <v>8727</v>
      </c>
      <c r="B156" s="1014"/>
      <c r="C156" s="1014"/>
      <c r="D156" s="1014"/>
      <c r="E156" s="1014"/>
      <c r="F156" s="1014"/>
      <c r="G156" s="463"/>
    </row>
    <row r="157" spans="1:7" s="466" customFormat="1" ht="33.75" customHeight="1" x14ac:dyDescent="0.25">
      <c r="A157" s="1013" t="s">
        <v>8722</v>
      </c>
      <c r="B157" s="1014"/>
      <c r="C157" s="1014"/>
      <c r="D157" s="1014"/>
      <c r="E157" s="1014"/>
      <c r="F157" s="1014"/>
      <c r="G157" s="463"/>
    </row>
    <row r="158" spans="1:7" s="466" customFormat="1" ht="14.25" x14ac:dyDescent="0.25">
      <c r="A158" s="1013" t="s">
        <v>8724</v>
      </c>
      <c r="B158" s="1014"/>
      <c r="C158" s="1014"/>
      <c r="D158" s="1014"/>
      <c r="E158" s="1014"/>
      <c r="F158" s="1014"/>
      <c r="G158" s="463"/>
    </row>
    <row r="159" spans="1:7" s="466" customFormat="1" ht="32.25" customHeight="1" x14ac:dyDescent="0.25">
      <c r="A159" s="1013" t="s">
        <v>8720</v>
      </c>
      <c r="B159" s="1014"/>
      <c r="C159" s="1014"/>
      <c r="D159" s="1014"/>
      <c r="E159" s="1014"/>
      <c r="F159" s="1014"/>
      <c r="G159" s="463"/>
    </row>
    <row r="160" spans="1:7" s="466" customFormat="1" ht="30.75" customHeight="1" x14ac:dyDescent="0.25">
      <c r="A160" s="1013" t="s">
        <v>8728</v>
      </c>
      <c r="B160" s="1014"/>
      <c r="C160" s="1014"/>
      <c r="D160" s="1014"/>
      <c r="E160" s="1014"/>
      <c r="F160" s="1014"/>
      <c r="G160" s="463"/>
    </row>
    <row r="161" spans="1:7" s="466" customFormat="1" ht="30.75" customHeight="1" x14ac:dyDescent="0.25">
      <c r="A161" s="1013" t="s">
        <v>8723</v>
      </c>
      <c r="B161" s="1014"/>
      <c r="C161" s="1014"/>
      <c r="D161" s="1014"/>
      <c r="E161" s="1014"/>
      <c r="F161" s="1014"/>
      <c r="G161" s="463"/>
    </row>
    <row r="162" spans="1:7" s="466" customFormat="1" ht="30.75" customHeight="1" x14ac:dyDescent="0.25">
      <c r="A162" s="1013" t="s">
        <v>8725</v>
      </c>
      <c r="B162" s="1014"/>
      <c r="C162" s="1014"/>
      <c r="D162" s="1014"/>
      <c r="E162" s="1014"/>
      <c r="F162" s="1014"/>
      <c r="G162" s="463"/>
    </row>
    <row r="163" spans="1:7" s="466" customFormat="1" ht="30.75" customHeight="1" x14ac:dyDescent="0.25">
      <c r="A163" s="1013" t="s">
        <v>8616</v>
      </c>
      <c r="B163" s="1014"/>
      <c r="C163" s="1014"/>
      <c r="D163" s="1014"/>
      <c r="E163" s="1014"/>
      <c r="F163" s="1014"/>
      <c r="G163" s="463"/>
    </row>
    <row r="164" spans="1:7" s="466" customFormat="1" ht="30.75" customHeight="1" x14ac:dyDescent="0.25">
      <c r="A164" s="1013" t="s">
        <v>8617</v>
      </c>
      <c r="B164" s="1014"/>
      <c r="C164" s="1014"/>
      <c r="D164" s="1014"/>
      <c r="E164" s="1014"/>
      <c r="F164" s="1014"/>
      <c r="G164" s="463"/>
    </row>
    <row r="165" spans="1:7" s="466" customFormat="1" ht="14.25" x14ac:dyDescent="0.25">
      <c r="A165" s="1013" t="s">
        <v>8721</v>
      </c>
      <c r="B165" s="1014"/>
      <c r="C165" s="1014"/>
      <c r="D165" s="1014"/>
      <c r="E165" s="1014"/>
      <c r="F165" s="1014"/>
      <c r="G165" s="463"/>
    </row>
    <row r="166" spans="1:7" s="466" customFormat="1" ht="30" customHeight="1" x14ac:dyDescent="0.25">
      <c r="A166" s="1013" t="s">
        <v>8618</v>
      </c>
      <c r="B166" s="1014"/>
      <c r="C166" s="1014"/>
      <c r="D166" s="1014"/>
      <c r="E166" s="1014"/>
      <c r="F166" s="1014"/>
      <c r="G166" s="463"/>
    </row>
    <row r="167" spans="1:7" s="466" customFormat="1" ht="30.75" customHeight="1" x14ac:dyDescent="0.25">
      <c r="A167" s="1013" t="s">
        <v>8619</v>
      </c>
      <c r="B167" s="1014"/>
      <c r="C167" s="1014"/>
      <c r="D167" s="1014"/>
      <c r="E167" s="1014"/>
      <c r="F167" s="1014"/>
      <c r="G167" s="463"/>
    </row>
    <row r="168" spans="1:7" s="466" customFormat="1" ht="29.25" customHeight="1" thickBot="1" x14ac:dyDescent="0.3">
      <c r="A168" s="1091" t="s">
        <v>8719</v>
      </c>
      <c r="B168" s="1092"/>
      <c r="C168" s="1092"/>
      <c r="D168" s="1092"/>
      <c r="E168" s="1092"/>
      <c r="F168" s="1092"/>
      <c r="G168" s="464"/>
    </row>
    <row r="169" spans="1:7" s="466" customFormat="1" ht="15" thickBot="1" x14ac:dyDescent="0.3">
      <c r="A169" s="1133"/>
      <c r="B169" s="1134"/>
      <c r="C169" s="1134"/>
      <c r="D169" s="1134"/>
      <c r="E169" s="1134"/>
      <c r="F169" s="1134"/>
      <c r="G169" s="1134"/>
    </row>
    <row r="170" spans="1:7" s="476" customFormat="1" ht="15" customHeight="1" thickBot="1" x14ac:dyDescent="0.25">
      <c r="A170" s="1110" t="s">
        <v>10272</v>
      </c>
      <c r="B170" s="1111"/>
      <c r="C170" s="1111"/>
      <c r="D170" s="1111"/>
      <c r="E170" s="1111"/>
      <c r="F170" s="1111"/>
      <c r="G170" s="1112"/>
    </row>
    <row r="171" spans="1:7" s="476" customFormat="1" ht="15" customHeight="1" x14ac:dyDescent="0.2">
      <c r="A171" s="1030" t="s">
        <v>8437</v>
      </c>
      <c r="B171" s="1031"/>
      <c r="C171" s="1031"/>
      <c r="D171" s="1031"/>
      <c r="E171" s="1031"/>
      <c r="F171" s="1031"/>
      <c r="G171" s="1032"/>
    </row>
    <row r="172" spans="1:7" s="476" customFormat="1" ht="15" customHeight="1" x14ac:dyDescent="0.2">
      <c r="A172" s="1026" t="s">
        <v>8438</v>
      </c>
      <c r="B172" s="1027"/>
      <c r="C172" s="1027"/>
      <c r="D172" s="1027"/>
      <c r="E172" s="1027"/>
      <c r="F172" s="1027"/>
      <c r="G172" s="483"/>
    </row>
    <row r="173" spans="1:7" s="476" customFormat="1" ht="15" customHeight="1" x14ac:dyDescent="0.2">
      <c r="A173" s="1096" t="s">
        <v>10648</v>
      </c>
      <c r="B173" s="1097"/>
      <c r="C173" s="1097"/>
      <c r="D173" s="1097"/>
      <c r="E173" s="1097"/>
      <c r="F173" s="1097"/>
      <c r="G173" s="483"/>
    </row>
    <row r="174" spans="1:7" s="476" customFormat="1" ht="59.25" customHeight="1" x14ac:dyDescent="0.2">
      <c r="A174" s="1098" t="s">
        <v>10649</v>
      </c>
      <c r="B174" s="1099"/>
      <c r="C174" s="1099"/>
      <c r="D174" s="1099"/>
      <c r="E174" s="1099"/>
      <c r="F174" s="1099"/>
      <c r="G174" s="1100"/>
    </row>
    <row r="175" spans="1:7" s="476" customFormat="1" ht="15" customHeight="1" thickBot="1" x14ac:dyDescent="0.25">
      <c r="A175" s="1101" t="s">
        <v>10026</v>
      </c>
      <c r="B175" s="1102"/>
      <c r="C175" s="1102"/>
      <c r="D175" s="1102"/>
      <c r="E175" s="1102"/>
      <c r="F175" s="1102"/>
      <c r="G175" s="1103"/>
    </row>
    <row r="176" spans="1:7" s="476" customFormat="1" ht="30" customHeight="1" thickBot="1" x14ac:dyDescent="0.25">
      <c r="A176" s="1104" t="s">
        <v>10523</v>
      </c>
      <c r="B176" s="1105"/>
      <c r="C176" s="1105"/>
      <c r="D176" s="1105"/>
      <c r="E176" s="1105"/>
      <c r="F176" s="1105"/>
      <c r="G176" s="469"/>
    </row>
    <row r="177" spans="1:8" s="476" customFormat="1" ht="15" customHeight="1" x14ac:dyDescent="0.2">
      <c r="A177" s="1106" t="s">
        <v>10194</v>
      </c>
      <c r="B177" s="1107"/>
      <c r="C177" s="1107"/>
      <c r="D177" s="1107"/>
      <c r="E177" s="1107"/>
      <c r="F177" s="1107"/>
      <c r="G177" s="470"/>
    </row>
    <row r="178" spans="1:8" s="476" customFormat="1" ht="60" customHeight="1" x14ac:dyDescent="0.2">
      <c r="A178" s="1093" t="s">
        <v>8439</v>
      </c>
      <c r="B178" s="1094"/>
      <c r="C178" s="1094"/>
      <c r="D178" s="1094"/>
      <c r="E178" s="1094"/>
      <c r="F178" s="1094"/>
      <c r="G178" s="471"/>
    </row>
    <row r="179" spans="1:8" s="476" customFormat="1" ht="15" customHeight="1" thickBot="1" x14ac:dyDescent="0.25">
      <c r="A179" s="1108" t="s">
        <v>8440</v>
      </c>
      <c r="B179" s="1109"/>
      <c r="C179" s="1109"/>
      <c r="D179" s="1109"/>
      <c r="E179" s="1109"/>
      <c r="F179" s="1109"/>
      <c r="G179" s="471"/>
    </row>
    <row r="180" spans="1:8" s="476" customFormat="1" ht="15" customHeight="1" x14ac:dyDescent="0.2">
      <c r="A180" s="1088" t="s">
        <v>8441</v>
      </c>
      <c r="B180" s="1089"/>
      <c r="C180" s="1089"/>
      <c r="D180" s="1089"/>
      <c r="E180" s="1089"/>
      <c r="F180" s="1089"/>
      <c r="G180" s="472"/>
    </row>
    <row r="181" spans="1:8" s="476" customFormat="1" ht="45" customHeight="1" x14ac:dyDescent="0.2">
      <c r="A181" s="1093" t="s">
        <v>8442</v>
      </c>
      <c r="B181" s="1094"/>
      <c r="C181" s="1094"/>
      <c r="D181" s="1094"/>
      <c r="E181" s="1094"/>
      <c r="F181" s="1094"/>
      <c r="G181" s="484"/>
    </row>
    <row r="182" spans="1:8" s="476" customFormat="1" ht="15" customHeight="1" thickBot="1" x14ac:dyDescent="0.25">
      <c r="A182" s="1095" t="s">
        <v>10226</v>
      </c>
      <c r="B182" s="1094"/>
      <c r="C182" s="1094"/>
      <c r="D182" s="1094"/>
      <c r="E182" s="1094"/>
      <c r="F182" s="1094"/>
      <c r="G182" s="470"/>
    </row>
    <row r="183" spans="1:8" s="476" customFormat="1" ht="15" customHeight="1" x14ac:dyDescent="0.2">
      <c r="A183" s="1088" t="s">
        <v>8443</v>
      </c>
      <c r="B183" s="1089"/>
      <c r="C183" s="1089"/>
      <c r="D183" s="1089"/>
      <c r="E183" s="1089"/>
      <c r="F183" s="1089"/>
      <c r="G183" s="472"/>
    </row>
    <row r="184" spans="1:8" s="476" customFormat="1" ht="75" customHeight="1" thickBot="1" x14ac:dyDescent="0.25">
      <c r="A184" s="1024" t="s">
        <v>8444</v>
      </c>
      <c r="B184" s="1025"/>
      <c r="C184" s="1025"/>
      <c r="D184" s="1025"/>
      <c r="E184" s="1025"/>
      <c r="F184" s="1090"/>
      <c r="G184" s="762"/>
    </row>
    <row r="185" spans="1:8" s="476" customFormat="1" ht="15" customHeight="1" x14ac:dyDescent="0.2">
      <c r="A185" s="1022" t="s">
        <v>10644</v>
      </c>
      <c r="B185" s="1113"/>
      <c r="C185" s="1113"/>
      <c r="D185" s="1113"/>
      <c r="E185" s="1113"/>
      <c r="F185" s="1114"/>
      <c r="G185" s="900"/>
    </row>
    <row r="186" spans="1:8" s="476" customFormat="1" ht="15" customHeight="1" x14ac:dyDescent="0.2">
      <c r="A186" s="1272" t="s">
        <v>10640</v>
      </c>
      <c r="B186" s="1272"/>
      <c r="C186" s="1272"/>
      <c r="D186" s="1272"/>
      <c r="E186" s="1272"/>
      <c r="F186" s="1272"/>
      <c r="G186" s="484"/>
      <c r="H186" s="901"/>
    </row>
    <row r="187" spans="1:8" s="476" customFormat="1" ht="15" customHeight="1" thickBot="1" x14ac:dyDescent="0.25">
      <c r="A187" s="1273" t="s">
        <v>10645</v>
      </c>
      <c r="B187" s="1273"/>
      <c r="C187" s="1273"/>
      <c r="D187" s="1274" t="s">
        <v>10641</v>
      </c>
      <c r="E187" s="1274"/>
      <c r="F187" s="1274"/>
      <c r="G187" s="1275"/>
      <c r="H187" s="901"/>
    </row>
    <row r="188" spans="1:8" s="476" customFormat="1" ht="15" customHeight="1" thickBot="1" x14ac:dyDescent="0.25">
      <c r="A188" s="1015" t="s">
        <v>8411</v>
      </c>
      <c r="B188" s="1015"/>
      <c r="C188" s="1015"/>
      <c r="D188" s="1015"/>
      <c r="E188" s="1015"/>
      <c r="F188" s="1015"/>
      <c r="G188" s="1015"/>
    </row>
    <row r="189" spans="1:8" s="476" customFormat="1" ht="15" customHeight="1" thickBot="1" x14ac:dyDescent="0.25">
      <c r="A189" s="1085" t="s">
        <v>10273</v>
      </c>
      <c r="B189" s="1086"/>
      <c r="C189" s="1086"/>
      <c r="D189" s="1086"/>
      <c r="E189" s="1086"/>
      <c r="F189" s="1086"/>
      <c r="G189" s="1087"/>
    </row>
    <row r="190" spans="1:8" s="476" customFormat="1" ht="15" customHeight="1" x14ac:dyDescent="0.2">
      <c r="A190" s="1072" t="s">
        <v>8534</v>
      </c>
      <c r="B190" s="1073"/>
      <c r="C190" s="1073"/>
      <c r="D190" s="1073"/>
      <c r="E190" s="1073"/>
      <c r="F190" s="1073"/>
      <c r="G190" s="1074"/>
    </row>
    <row r="191" spans="1:8" s="476" customFormat="1" ht="60" customHeight="1" x14ac:dyDescent="0.2">
      <c r="A191" s="1063" t="s">
        <v>10494</v>
      </c>
      <c r="B191" s="1064"/>
      <c r="C191" s="1064"/>
      <c r="D191" s="1064"/>
      <c r="E191" s="1064"/>
      <c r="F191" s="1064"/>
      <c r="G191" s="1065"/>
    </row>
    <row r="192" spans="1:8" s="476" customFormat="1" ht="15" customHeight="1" x14ac:dyDescent="0.2">
      <c r="A192" s="1066" t="s">
        <v>8445</v>
      </c>
      <c r="B192" s="1067"/>
      <c r="C192" s="1067"/>
      <c r="D192" s="1067"/>
      <c r="E192" s="1067"/>
      <c r="F192" s="1067"/>
      <c r="G192" s="1068"/>
    </row>
    <row r="193" spans="1:7" s="476" customFormat="1" ht="15" customHeight="1" x14ac:dyDescent="0.2">
      <c r="A193" s="1005" t="s">
        <v>8446</v>
      </c>
      <c r="B193" s="1006"/>
      <c r="C193" s="1006"/>
      <c r="D193" s="1006"/>
      <c r="E193" s="1006"/>
      <c r="F193" s="1006"/>
      <c r="G193" s="483"/>
    </row>
    <row r="194" spans="1:7" s="476" customFormat="1" ht="54.75" customHeight="1" thickBot="1" x14ac:dyDescent="0.25">
      <c r="A194" s="1069" t="s">
        <v>8447</v>
      </c>
      <c r="B194" s="1070"/>
      <c r="C194" s="1070"/>
      <c r="D194" s="1070"/>
      <c r="E194" s="1070"/>
      <c r="F194" s="1071"/>
      <c r="G194" s="482"/>
    </row>
    <row r="195" spans="1:7" s="476" customFormat="1" ht="15" customHeight="1" x14ac:dyDescent="0.2">
      <c r="A195" s="1072" t="s">
        <v>8547</v>
      </c>
      <c r="B195" s="1073"/>
      <c r="C195" s="1073"/>
      <c r="D195" s="1073"/>
      <c r="E195" s="1073"/>
      <c r="F195" s="1073"/>
      <c r="G195" s="1074"/>
    </row>
    <row r="196" spans="1:7" s="476" customFormat="1" ht="60" customHeight="1" x14ac:dyDescent="0.2">
      <c r="A196" s="1075" t="s">
        <v>10495</v>
      </c>
      <c r="B196" s="1076"/>
      <c r="C196" s="1076"/>
      <c r="D196" s="1076"/>
      <c r="E196" s="1076"/>
      <c r="F196" s="1076"/>
      <c r="G196" s="1077"/>
    </row>
    <row r="197" spans="1:7" s="476" customFormat="1" ht="15" customHeight="1" x14ac:dyDescent="0.2">
      <c r="A197" s="1066" t="s">
        <v>10027</v>
      </c>
      <c r="B197" s="1067"/>
      <c r="C197" s="1067"/>
      <c r="D197" s="1067"/>
      <c r="E197" s="1067"/>
      <c r="F197" s="1067"/>
      <c r="G197" s="1068"/>
    </row>
    <row r="198" spans="1:7" s="476" customFormat="1" ht="15" customHeight="1" x14ac:dyDescent="0.2">
      <c r="A198" s="1129" t="s">
        <v>8448</v>
      </c>
      <c r="B198" s="1084"/>
      <c r="C198" s="1084"/>
      <c r="D198" s="1084"/>
      <c r="E198" s="1084"/>
      <c r="F198" s="1084"/>
      <c r="G198" s="484"/>
    </row>
    <row r="199" spans="1:7" s="476" customFormat="1" ht="15" customHeight="1" x14ac:dyDescent="0.2">
      <c r="A199" s="1005" t="s">
        <v>8449</v>
      </c>
      <c r="B199" s="1006"/>
      <c r="C199" s="1006"/>
      <c r="D199" s="1006"/>
      <c r="E199" s="1006"/>
      <c r="F199" s="1006"/>
      <c r="G199" s="484"/>
    </row>
    <row r="200" spans="1:7" s="476" customFormat="1" ht="15" thickBot="1" x14ac:dyDescent="0.25">
      <c r="A200" s="1069" t="s">
        <v>8537</v>
      </c>
      <c r="B200" s="1070"/>
      <c r="C200" s="1070"/>
      <c r="D200" s="1070"/>
      <c r="E200" s="1070"/>
      <c r="F200" s="1070"/>
      <c r="G200" s="1078"/>
    </row>
    <row r="201" spans="1:7" s="476" customFormat="1" ht="15" customHeight="1" thickBot="1" x14ac:dyDescent="0.25">
      <c r="A201" s="1015" t="s">
        <v>8411</v>
      </c>
      <c r="B201" s="1015"/>
      <c r="C201" s="1015"/>
      <c r="D201" s="1015"/>
      <c r="E201" s="1015"/>
      <c r="F201" s="1015"/>
      <c r="G201" s="1015"/>
    </row>
    <row r="202" spans="1:7" s="476" customFormat="1" ht="15" customHeight="1" thickBot="1" x14ac:dyDescent="0.25">
      <c r="A202" s="1120" t="s">
        <v>8574</v>
      </c>
      <c r="B202" s="1121"/>
      <c r="C202" s="1121"/>
      <c r="D202" s="1121"/>
      <c r="E202" s="1121"/>
      <c r="F202" s="1121"/>
      <c r="G202" s="1122"/>
    </row>
    <row r="203" spans="1:7" s="476" customFormat="1" ht="45" customHeight="1" thickBot="1" x14ac:dyDescent="0.25">
      <c r="A203" s="1083" t="s">
        <v>10540</v>
      </c>
      <c r="B203" s="1084"/>
      <c r="C203" s="1084"/>
      <c r="D203" s="1084"/>
      <c r="E203" s="1084"/>
      <c r="F203" s="1084"/>
      <c r="G203" s="484"/>
    </row>
    <row r="204" spans="1:7" s="476" customFormat="1" ht="81" customHeight="1" x14ac:dyDescent="0.2">
      <c r="A204" s="1123" t="s">
        <v>10501</v>
      </c>
      <c r="B204" s="1124"/>
      <c r="C204" s="1124"/>
      <c r="D204" s="1124"/>
      <c r="E204" s="1124"/>
      <c r="F204" s="1124"/>
      <c r="G204" s="1125"/>
    </row>
    <row r="205" spans="1:7" s="476" customFormat="1" ht="168" customHeight="1" x14ac:dyDescent="0.2">
      <c r="A205" s="1126" t="s">
        <v>8450</v>
      </c>
      <c r="B205" s="1127"/>
      <c r="C205" s="1127"/>
      <c r="D205" s="1127"/>
      <c r="E205" s="1127"/>
      <c r="F205" s="1127"/>
      <c r="G205" s="1128"/>
    </row>
    <row r="206" spans="1:7" s="476" customFormat="1" ht="15" customHeight="1" x14ac:dyDescent="0.2">
      <c r="A206" s="473" t="s">
        <v>8451</v>
      </c>
      <c r="B206" s="1079"/>
      <c r="C206" s="1079"/>
      <c r="D206" s="1079"/>
      <c r="E206" s="1079"/>
      <c r="F206" s="1079"/>
      <c r="G206" s="1080"/>
    </row>
    <row r="207" spans="1:7" s="476" customFormat="1" ht="37.5" customHeight="1" x14ac:dyDescent="0.2">
      <c r="A207" s="473" t="s">
        <v>8452</v>
      </c>
      <c r="B207" s="1081"/>
      <c r="C207" s="1081"/>
      <c r="D207" s="1081"/>
      <c r="E207" s="1081"/>
      <c r="F207" s="1081"/>
      <c r="G207" s="1082"/>
    </row>
    <row r="208" spans="1:7" s="476" customFormat="1" ht="15" customHeight="1" x14ac:dyDescent="0.2">
      <c r="A208" s="1058" t="s">
        <v>8453</v>
      </c>
      <c r="B208" s="1059"/>
      <c r="C208" s="1059"/>
      <c r="D208" s="1059"/>
      <c r="E208" s="1059"/>
      <c r="F208" s="1059"/>
      <c r="G208" s="1060"/>
    </row>
    <row r="209" spans="1:7" s="476" customFormat="1" ht="15" customHeight="1" thickBot="1" x14ac:dyDescent="0.25">
      <c r="A209" s="474" t="s">
        <v>8454</v>
      </c>
      <c r="B209" s="1061"/>
      <c r="C209" s="1061"/>
      <c r="D209" s="1061"/>
      <c r="E209" s="1061"/>
      <c r="F209" s="1061"/>
      <c r="G209" s="1062"/>
    </row>
    <row r="210" spans="1:7" s="476" customFormat="1" ht="15" customHeight="1" x14ac:dyDescent="0.2">
      <c r="A210" s="1115" t="s">
        <v>8455</v>
      </c>
      <c r="B210" s="1115"/>
      <c r="C210" s="1115"/>
      <c r="D210" s="1115"/>
      <c r="E210" s="1115"/>
      <c r="F210" s="1115"/>
      <c r="G210" s="1115"/>
    </row>
    <row r="211" spans="1:7" s="476" customFormat="1" ht="41.25" hidden="1" customHeight="1" x14ac:dyDescent="0.2">
      <c r="A211" s="480"/>
      <c r="B211" s="480"/>
      <c r="C211" s="480"/>
      <c r="D211" s="480"/>
      <c r="E211" s="480"/>
      <c r="F211" s="480"/>
      <c r="G211" s="480"/>
    </row>
    <row r="212" spans="1:7" s="476" customFormat="1" ht="14.25" hidden="1" x14ac:dyDescent="0.2">
      <c r="A212" s="480"/>
      <c r="B212" s="480"/>
      <c r="C212" s="480"/>
      <c r="D212" s="480"/>
      <c r="E212" s="480"/>
      <c r="F212" s="480"/>
      <c r="G212" s="480"/>
    </row>
    <row r="213" spans="1:7" s="476" customFormat="1" ht="14.25" hidden="1" x14ac:dyDescent="0.2">
      <c r="A213" s="480"/>
      <c r="B213" s="480"/>
      <c r="C213" s="480"/>
      <c r="D213" s="480"/>
      <c r="E213" s="480"/>
      <c r="F213" s="480"/>
      <c r="G213" s="480"/>
    </row>
    <row r="214" spans="1:7" s="476" customFormat="1" ht="14.25" hidden="1" x14ac:dyDescent="0.2">
      <c r="A214" s="480"/>
      <c r="B214" s="480"/>
      <c r="C214" s="480"/>
      <c r="D214" s="480"/>
      <c r="E214" s="480"/>
      <c r="F214" s="480"/>
      <c r="G214" s="480"/>
    </row>
    <row r="215" spans="1:7" s="476" customFormat="1" ht="14.25" hidden="1" x14ac:dyDescent="0.2">
      <c r="A215" s="480"/>
      <c r="B215" s="480"/>
      <c r="C215" s="480"/>
      <c r="D215" s="480"/>
      <c r="E215" s="480"/>
      <c r="F215" s="480"/>
      <c r="G215" s="480"/>
    </row>
    <row r="216" spans="1:7" s="476" customFormat="1" ht="14.25" hidden="1" x14ac:dyDescent="0.2">
      <c r="A216" s="480"/>
      <c r="B216" s="480"/>
      <c r="C216" s="480"/>
      <c r="D216" s="480"/>
      <c r="E216" s="480"/>
      <c r="F216" s="480"/>
      <c r="G216" s="480"/>
    </row>
    <row r="217" spans="1:7" s="476" customFormat="1" ht="14.25" hidden="1" x14ac:dyDescent="0.2">
      <c r="A217" s="480"/>
      <c r="B217" s="480"/>
      <c r="C217" s="480"/>
      <c r="D217" s="480"/>
      <c r="E217" s="480"/>
      <c r="F217" s="480"/>
      <c r="G217" s="480"/>
    </row>
    <row r="218" spans="1:7" s="476" customFormat="1" ht="14.25" hidden="1" x14ac:dyDescent="0.2">
      <c r="A218" s="480"/>
      <c r="B218" s="480"/>
      <c r="C218" s="480"/>
      <c r="D218" s="480"/>
      <c r="E218" s="480"/>
      <c r="F218" s="480"/>
      <c r="G218" s="480"/>
    </row>
    <row r="219" spans="1:7" s="476" customFormat="1" ht="14.25" hidden="1" x14ac:dyDescent="0.2">
      <c r="A219" s="480"/>
      <c r="B219" s="480"/>
      <c r="C219" s="480"/>
      <c r="D219" s="480"/>
      <c r="E219" s="480"/>
      <c r="F219" s="480"/>
      <c r="G219" s="480"/>
    </row>
    <row r="220" spans="1:7" s="476" customFormat="1" ht="14.25" hidden="1" x14ac:dyDescent="0.2">
      <c r="A220" s="480"/>
      <c r="B220" s="480"/>
      <c r="C220" s="480"/>
      <c r="D220" s="480"/>
      <c r="E220" s="480"/>
      <c r="F220" s="480"/>
      <c r="G220" s="480"/>
    </row>
    <row r="221" spans="1:7" s="476" customFormat="1" ht="14.25" hidden="1" x14ac:dyDescent="0.2">
      <c r="A221" s="480"/>
      <c r="B221" s="480"/>
      <c r="C221" s="480"/>
      <c r="D221" s="480"/>
      <c r="E221" s="480"/>
      <c r="F221" s="480"/>
      <c r="G221" s="480"/>
    </row>
    <row r="222" spans="1:7" s="476" customFormat="1" ht="14.25" hidden="1" x14ac:dyDescent="0.2">
      <c r="A222" s="480"/>
      <c r="B222" s="480"/>
      <c r="C222" s="480"/>
      <c r="D222" s="480"/>
      <c r="E222" s="480"/>
      <c r="F222" s="480"/>
      <c r="G222" s="480"/>
    </row>
    <row r="223" spans="1:7" s="476" customFormat="1" ht="14.25" hidden="1" x14ac:dyDescent="0.2">
      <c r="A223" s="480"/>
      <c r="B223" s="480"/>
      <c r="C223" s="480"/>
      <c r="D223" s="480"/>
      <c r="E223" s="480"/>
      <c r="F223" s="480"/>
      <c r="G223" s="480"/>
    </row>
    <row r="224" spans="1:7" s="476" customFormat="1" ht="14.25" hidden="1" x14ac:dyDescent="0.2">
      <c r="A224" s="480"/>
      <c r="B224" s="480"/>
      <c r="C224" s="480"/>
      <c r="D224" s="480"/>
      <c r="E224" s="480"/>
      <c r="F224" s="480"/>
      <c r="G224" s="480"/>
    </row>
    <row r="225" spans="1:7" s="476" customFormat="1" ht="14.25" hidden="1" x14ac:dyDescent="0.2">
      <c r="A225" s="480"/>
      <c r="B225" s="480"/>
      <c r="C225" s="480"/>
      <c r="D225" s="480"/>
      <c r="E225" s="480"/>
      <c r="F225" s="480"/>
      <c r="G225" s="480"/>
    </row>
    <row r="226" spans="1:7" s="476" customFormat="1" ht="14.25" hidden="1" x14ac:dyDescent="0.2">
      <c r="A226" s="480"/>
      <c r="B226" s="480"/>
      <c r="C226" s="480"/>
      <c r="D226" s="480"/>
      <c r="E226" s="480"/>
      <c r="F226" s="480"/>
      <c r="G226" s="480"/>
    </row>
    <row r="227" spans="1:7" s="476" customFormat="1" ht="14.25" hidden="1" x14ac:dyDescent="0.2">
      <c r="A227" s="480"/>
      <c r="B227" s="480"/>
      <c r="C227" s="480"/>
      <c r="D227" s="480"/>
      <c r="E227" s="480"/>
      <c r="F227" s="480"/>
      <c r="G227" s="480"/>
    </row>
    <row r="228" spans="1:7" s="476" customFormat="1" ht="14.25" hidden="1" x14ac:dyDescent="0.2">
      <c r="A228" s="480"/>
      <c r="B228" s="480"/>
      <c r="C228" s="480"/>
      <c r="D228" s="480"/>
      <c r="E228" s="480"/>
      <c r="F228" s="480"/>
      <c r="G228" s="480"/>
    </row>
    <row r="229" spans="1:7" s="476" customFormat="1" ht="14.25" hidden="1" x14ac:dyDescent="0.2">
      <c r="A229" s="480"/>
      <c r="B229" s="480"/>
      <c r="C229" s="480"/>
      <c r="D229" s="480"/>
      <c r="E229" s="480"/>
      <c r="F229" s="480"/>
      <c r="G229" s="480"/>
    </row>
    <row r="230" spans="1:7" s="476" customFormat="1" ht="14.25" hidden="1" x14ac:dyDescent="0.2">
      <c r="A230" s="480"/>
      <c r="B230" s="480"/>
      <c r="C230" s="480"/>
      <c r="D230" s="480"/>
      <c r="E230" s="480"/>
      <c r="F230" s="480"/>
      <c r="G230" s="480"/>
    </row>
    <row r="231" spans="1:7" s="476" customFormat="1" ht="14.25" hidden="1" x14ac:dyDescent="0.2">
      <c r="A231" s="480"/>
      <c r="B231" s="480"/>
      <c r="C231" s="480"/>
      <c r="D231" s="480"/>
      <c r="E231" s="480"/>
      <c r="F231" s="480"/>
      <c r="G231" s="480"/>
    </row>
    <row r="232" spans="1:7" s="476" customFormat="1" ht="14.25" hidden="1" x14ac:dyDescent="0.2">
      <c r="A232" s="480"/>
      <c r="B232" s="480"/>
      <c r="C232" s="480"/>
      <c r="D232" s="480"/>
      <c r="E232" s="480"/>
      <c r="F232" s="480"/>
      <c r="G232" s="480"/>
    </row>
    <row r="233" spans="1:7" s="476" customFormat="1" ht="14.25" hidden="1" x14ac:dyDescent="0.2">
      <c r="A233" s="480"/>
      <c r="B233" s="480"/>
      <c r="C233" s="480"/>
      <c r="D233" s="480"/>
      <c r="E233" s="480"/>
      <c r="F233" s="480"/>
      <c r="G233" s="480"/>
    </row>
    <row r="234" spans="1:7" s="476" customFormat="1" ht="14.25" hidden="1" x14ac:dyDescent="0.2">
      <c r="A234" s="480"/>
      <c r="B234" s="480"/>
      <c r="C234" s="480"/>
      <c r="D234" s="480"/>
      <c r="E234" s="480"/>
      <c r="F234" s="480"/>
      <c r="G234" s="480"/>
    </row>
    <row r="235" spans="1:7" s="476" customFormat="1" ht="14.25" hidden="1" x14ac:dyDescent="0.2">
      <c r="A235" s="480"/>
      <c r="B235" s="480"/>
      <c r="C235" s="480"/>
      <c r="D235" s="480"/>
      <c r="E235" s="480"/>
      <c r="F235" s="480"/>
      <c r="G235" s="480"/>
    </row>
    <row r="236" spans="1:7" s="476" customFormat="1" ht="14.25" hidden="1" x14ac:dyDescent="0.2">
      <c r="A236" s="480"/>
      <c r="B236" s="480"/>
      <c r="C236" s="480"/>
      <c r="D236" s="480"/>
      <c r="E236" s="480"/>
      <c r="F236" s="480"/>
      <c r="G236" s="480"/>
    </row>
    <row r="237" spans="1:7" s="476" customFormat="1" ht="14.25" hidden="1" x14ac:dyDescent="0.2">
      <c r="A237" s="480"/>
      <c r="B237" s="480"/>
      <c r="C237" s="480"/>
      <c r="D237" s="480"/>
      <c r="E237" s="480"/>
      <c r="F237" s="480"/>
      <c r="G237" s="480"/>
    </row>
    <row r="238" spans="1:7" s="476" customFormat="1" ht="14.25" hidden="1" x14ac:dyDescent="0.2">
      <c r="A238" s="480"/>
      <c r="B238" s="480"/>
      <c r="C238" s="480"/>
      <c r="D238" s="480"/>
      <c r="E238" s="480"/>
      <c r="F238" s="480"/>
      <c r="G238" s="480"/>
    </row>
    <row r="239" spans="1:7" s="476" customFormat="1" ht="14.25" hidden="1" x14ac:dyDescent="0.2">
      <c r="A239" s="480"/>
      <c r="B239" s="480"/>
      <c r="C239" s="480"/>
      <c r="D239" s="480"/>
      <c r="E239" s="480"/>
      <c r="F239" s="480"/>
      <c r="G239" s="480"/>
    </row>
    <row r="240" spans="1:7" s="476" customFormat="1" ht="14.25" hidden="1" x14ac:dyDescent="0.2">
      <c r="A240" s="480"/>
      <c r="B240" s="480"/>
      <c r="C240" s="480"/>
      <c r="D240" s="480"/>
      <c r="E240" s="480"/>
      <c r="F240" s="480"/>
      <c r="G240" s="480"/>
    </row>
    <row r="241" spans="1:7" s="476" customFormat="1" ht="14.25" hidden="1" x14ac:dyDescent="0.2">
      <c r="A241" s="480"/>
      <c r="B241" s="480"/>
      <c r="C241" s="480"/>
      <c r="D241" s="480"/>
      <c r="E241" s="480"/>
      <c r="F241" s="480"/>
      <c r="G241" s="480"/>
    </row>
    <row r="242" spans="1:7" s="476" customFormat="1" ht="14.25" hidden="1" x14ac:dyDescent="0.2">
      <c r="A242" s="480"/>
      <c r="B242" s="480"/>
      <c r="C242" s="480"/>
      <c r="D242" s="480"/>
      <c r="E242" s="480"/>
      <c r="F242" s="480"/>
      <c r="G242" s="480"/>
    </row>
    <row r="243" spans="1:7" s="476" customFormat="1" ht="14.25" hidden="1" x14ac:dyDescent="0.2">
      <c r="A243" s="480"/>
      <c r="B243" s="480"/>
      <c r="C243" s="480"/>
      <c r="D243" s="480"/>
      <c r="E243" s="480"/>
      <c r="F243" s="480"/>
      <c r="G243" s="480"/>
    </row>
    <row r="244" spans="1:7" s="476" customFormat="1" ht="14.25" hidden="1" x14ac:dyDescent="0.2">
      <c r="A244" s="480"/>
      <c r="B244" s="480"/>
      <c r="C244" s="480"/>
      <c r="D244" s="480"/>
      <c r="E244" s="480"/>
      <c r="F244" s="480"/>
      <c r="G244" s="480"/>
    </row>
    <row r="245" spans="1:7" s="476" customFormat="1" ht="14.25" hidden="1" x14ac:dyDescent="0.2">
      <c r="A245" s="480"/>
      <c r="B245" s="480"/>
      <c r="C245" s="480"/>
      <c r="D245" s="480"/>
      <c r="E245" s="480"/>
      <c r="F245" s="480"/>
      <c r="G245" s="480"/>
    </row>
    <row r="246" spans="1:7" s="476" customFormat="1" ht="14.25" hidden="1" x14ac:dyDescent="0.2">
      <c r="A246" s="480"/>
      <c r="B246" s="480"/>
      <c r="C246" s="480"/>
      <c r="D246" s="480"/>
      <c r="E246" s="480"/>
      <c r="F246" s="480"/>
      <c r="G246" s="480"/>
    </row>
    <row r="247" spans="1:7" s="476" customFormat="1" ht="14.25" hidden="1" x14ac:dyDescent="0.2">
      <c r="A247" s="480"/>
      <c r="B247" s="480"/>
      <c r="C247" s="480"/>
      <c r="D247" s="480"/>
      <c r="E247" s="480"/>
      <c r="F247" s="480"/>
      <c r="G247" s="480"/>
    </row>
    <row r="248" spans="1:7" s="476" customFormat="1" ht="14.25" hidden="1" x14ac:dyDescent="0.2">
      <c r="A248" s="480"/>
      <c r="B248" s="480"/>
      <c r="C248" s="480"/>
      <c r="D248" s="480"/>
      <c r="E248" s="480"/>
      <c r="F248" s="480"/>
      <c r="G248" s="480"/>
    </row>
    <row r="249" spans="1:7" s="476" customFormat="1" ht="14.25" hidden="1" x14ac:dyDescent="0.2">
      <c r="A249" s="480"/>
      <c r="B249" s="480"/>
      <c r="C249" s="480"/>
      <c r="D249" s="480"/>
      <c r="E249" s="480"/>
      <c r="F249" s="480"/>
      <c r="G249" s="480"/>
    </row>
    <row r="250" spans="1:7" s="476" customFormat="1" ht="14.25" hidden="1" x14ac:dyDescent="0.2">
      <c r="A250" s="480"/>
      <c r="B250" s="480"/>
      <c r="C250" s="480"/>
      <c r="D250" s="480"/>
      <c r="E250" s="480"/>
      <c r="F250" s="480"/>
      <c r="G250" s="480"/>
    </row>
    <row r="251" spans="1:7" s="476" customFormat="1" ht="14.25" hidden="1" x14ac:dyDescent="0.2">
      <c r="A251" s="480"/>
      <c r="B251" s="480"/>
      <c r="C251" s="480"/>
      <c r="D251" s="480"/>
      <c r="E251" s="480"/>
      <c r="F251" s="480"/>
      <c r="G251" s="480"/>
    </row>
    <row r="252" spans="1:7" s="476" customFormat="1" ht="14.25" hidden="1" x14ac:dyDescent="0.2">
      <c r="A252" s="480"/>
      <c r="B252" s="480"/>
      <c r="C252" s="480"/>
      <c r="D252" s="480"/>
      <c r="E252" s="480"/>
      <c r="F252" s="480"/>
      <c r="G252" s="480"/>
    </row>
  </sheetData>
  <sheetProtection algorithmName="SHA-512" hashValue="2a9gWHWNzdkjd6xpeYW9BqF1jIgZrp5QkXJ39EGOOpM3tdkvrBu0v4rU9cu0omfaPt407CrDkGE8O+N98LYCGQ==" saltValue="fe/NhgWSOQxJzikeJlkMfg==" spinCount="100000" sheet="1" objects="1" scenarios="1" formatColumns="0" formatRows="0" autoFilter="0"/>
  <mergeCells count="268">
    <mergeCell ref="A186:F186"/>
    <mergeCell ref="A187:C187"/>
    <mergeCell ref="D187:G187"/>
    <mergeCell ref="A34:B34"/>
    <mergeCell ref="C34:G34"/>
    <mergeCell ref="A36:B36"/>
    <mergeCell ref="C36:G36"/>
    <mergeCell ref="A45:B45"/>
    <mergeCell ref="C45:G45"/>
    <mergeCell ref="A37:B37"/>
    <mergeCell ref="A39:B39"/>
    <mergeCell ref="C39:G39"/>
    <mergeCell ref="C35:G35"/>
    <mergeCell ref="A35:B35"/>
    <mergeCell ref="A42:G42"/>
    <mergeCell ref="A43:B43"/>
    <mergeCell ref="C43:G43"/>
    <mergeCell ref="A44:B44"/>
    <mergeCell ref="C44:G44"/>
    <mergeCell ref="C37:G37"/>
    <mergeCell ref="A38:B38"/>
    <mergeCell ref="C38:G38"/>
    <mergeCell ref="A51:B51"/>
    <mergeCell ref="C51:G51"/>
    <mergeCell ref="A96:G96"/>
    <mergeCell ref="A61:G61"/>
    <mergeCell ref="D76:G76"/>
    <mergeCell ref="A77:C77"/>
    <mergeCell ref="A94:C94"/>
    <mergeCell ref="D94:G94"/>
    <mergeCell ref="A88:G88"/>
    <mergeCell ref="A90:G90"/>
    <mergeCell ref="D77:G77"/>
    <mergeCell ref="D82:G82"/>
    <mergeCell ref="A83:G83"/>
    <mergeCell ref="A84:G84"/>
    <mergeCell ref="A85:C85"/>
    <mergeCell ref="D85:G85"/>
    <mergeCell ref="A91:C91"/>
    <mergeCell ref="D91:G91"/>
    <mergeCell ref="A70:C70"/>
    <mergeCell ref="D70:G70"/>
    <mergeCell ref="D73:G73"/>
    <mergeCell ref="A76:C76"/>
    <mergeCell ref="A74:G74"/>
    <mergeCell ref="D75:G75"/>
    <mergeCell ref="A71:C71"/>
    <mergeCell ref="D71:G71"/>
    <mergeCell ref="H5:I5"/>
    <mergeCell ref="A8:F8"/>
    <mergeCell ref="A9:F9"/>
    <mergeCell ref="A11:F11"/>
    <mergeCell ref="A12:F12"/>
    <mergeCell ref="A13:F13"/>
    <mergeCell ref="A14:F14"/>
    <mergeCell ref="A6:G6"/>
    <mergeCell ref="A5:G5"/>
    <mergeCell ref="A10:F10"/>
    <mergeCell ref="A7:F7"/>
    <mergeCell ref="A33:B33"/>
    <mergeCell ref="C33:G33"/>
    <mergeCell ref="A18:F18"/>
    <mergeCell ref="A21:F21"/>
    <mergeCell ref="A25:C25"/>
    <mergeCell ref="D25:G25"/>
    <mergeCell ref="A26:G26"/>
    <mergeCell ref="A27:G27"/>
    <mergeCell ref="A20:F20"/>
    <mergeCell ref="A28:C28"/>
    <mergeCell ref="D28:G28"/>
    <mergeCell ref="A22:G22"/>
    <mergeCell ref="A19:F19"/>
    <mergeCell ref="A29:G29"/>
    <mergeCell ref="A30:B30"/>
    <mergeCell ref="C30:G30"/>
    <mergeCell ref="A31:B31"/>
    <mergeCell ref="C31:G31"/>
    <mergeCell ref="A32:B32"/>
    <mergeCell ref="C32:G32"/>
    <mergeCell ref="A1:G1"/>
    <mergeCell ref="A2:G2"/>
    <mergeCell ref="A3:G3"/>
    <mergeCell ref="A4:G4"/>
    <mergeCell ref="A23:G23"/>
    <mergeCell ref="A24:G24"/>
    <mergeCell ref="A15:F15"/>
    <mergeCell ref="A16:F16"/>
    <mergeCell ref="A17:F17"/>
    <mergeCell ref="C52:G52"/>
    <mergeCell ref="A53:B53"/>
    <mergeCell ref="C53:G53"/>
    <mergeCell ref="A40:B40"/>
    <mergeCell ref="C40:G40"/>
    <mergeCell ref="A41:B41"/>
    <mergeCell ref="C41:G41"/>
    <mergeCell ref="A48:B48"/>
    <mergeCell ref="C48:G48"/>
    <mergeCell ref="A49:B49"/>
    <mergeCell ref="C49:G49"/>
    <mergeCell ref="A50:B50"/>
    <mergeCell ref="C50:G50"/>
    <mergeCell ref="A46:B46"/>
    <mergeCell ref="C46:G46"/>
    <mergeCell ref="A47:B47"/>
    <mergeCell ref="C47:G47"/>
    <mergeCell ref="A52:B52"/>
    <mergeCell ref="A54:B54"/>
    <mergeCell ref="C54:G54"/>
    <mergeCell ref="A55:B55"/>
    <mergeCell ref="C55:G55"/>
    <mergeCell ref="A56:G56"/>
    <mergeCell ref="A57:E57"/>
    <mergeCell ref="F57:G57"/>
    <mergeCell ref="A58:E58"/>
    <mergeCell ref="F58:G58"/>
    <mergeCell ref="A59:E59"/>
    <mergeCell ref="F59:G59"/>
    <mergeCell ref="A67:G67"/>
    <mergeCell ref="A68:G68"/>
    <mergeCell ref="A69:C69"/>
    <mergeCell ref="D69:G69"/>
    <mergeCell ref="A64:G64"/>
    <mergeCell ref="A60:E60"/>
    <mergeCell ref="F60:G60"/>
    <mergeCell ref="A62:G62"/>
    <mergeCell ref="A72:C72"/>
    <mergeCell ref="D72:G72"/>
    <mergeCell ref="A73:C73"/>
    <mergeCell ref="A75:C75"/>
    <mergeCell ref="A78:G78"/>
    <mergeCell ref="A79:C79"/>
    <mergeCell ref="D79:G79"/>
    <mergeCell ref="A80:G80"/>
    <mergeCell ref="A81:G81"/>
    <mergeCell ref="A82:C82"/>
    <mergeCell ref="D93:G93"/>
    <mergeCell ref="A92:C92"/>
    <mergeCell ref="D92:G92"/>
    <mergeCell ref="D86:G86"/>
    <mergeCell ref="A86:C86"/>
    <mergeCell ref="A87:C87"/>
    <mergeCell ref="D87:G87"/>
    <mergeCell ref="A93:C93"/>
    <mergeCell ref="A89:G89"/>
    <mergeCell ref="A126:B126"/>
    <mergeCell ref="C126:G126"/>
    <mergeCell ref="A140:F140"/>
    <mergeCell ref="A145:F145"/>
    <mergeCell ref="A132:G132"/>
    <mergeCell ref="A133:G133"/>
    <mergeCell ref="A134:G134"/>
    <mergeCell ref="A123:G123"/>
    <mergeCell ref="A124:B124"/>
    <mergeCell ref="C124:G124"/>
    <mergeCell ref="A142:F142"/>
    <mergeCell ref="A128:B128"/>
    <mergeCell ref="C128:G128"/>
    <mergeCell ref="A129:G129"/>
    <mergeCell ref="A131:G131"/>
    <mergeCell ref="A136:F136"/>
    <mergeCell ref="A210:G210"/>
    <mergeCell ref="A63:F63"/>
    <mergeCell ref="A65:G65"/>
    <mergeCell ref="A66:G66"/>
    <mergeCell ref="A202:G202"/>
    <mergeCell ref="A204:G204"/>
    <mergeCell ref="A205:G205"/>
    <mergeCell ref="A197:G197"/>
    <mergeCell ref="A198:F198"/>
    <mergeCell ref="A199:F199"/>
    <mergeCell ref="A201:G201"/>
    <mergeCell ref="A130:B130"/>
    <mergeCell ref="C130:G130"/>
    <mergeCell ref="A149:G149"/>
    <mergeCell ref="A143:G143"/>
    <mergeCell ref="A169:G169"/>
    <mergeCell ref="A135:F135"/>
    <mergeCell ref="A139:F139"/>
    <mergeCell ref="A141:F141"/>
    <mergeCell ref="A110:B110"/>
    <mergeCell ref="C110:G110"/>
    <mergeCell ref="A144:F144"/>
    <mergeCell ref="A146:F146"/>
    <mergeCell ref="A147:F147"/>
    <mergeCell ref="A189:G189"/>
    <mergeCell ref="A190:G190"/>
    <mergeCell ref="A183:F183"/>
    <mergeCell ref="A184:F184"/>
    <mergeCell ref="A157:F157"/>
    <mergeCell ref="A158:F158"/>
    <mergeCell ref="A153:F153"/>
    <mergeCell ref="A159:F159"/>
    <mergeCell ref="A168:F168"/>
    <mergeCell ref="A188:G188"/>
    <mergeCell ref="A181:F181"/>
    <mergeCell ref="A182:F182"/>
    <mergeCell ref="A171:G171"/>
    <mergeCell ref="A172:F172"/>
    <mergeCell ref="A173:F173"/>
    <mergeCell ref="A174:G174"/>
    <mergeCell ref="A175:G175"/>
    <mergeCell ref="A176:F176"/>
    <mergeCell ref="A177:F177"/>
    <mergeCell ref="A178:F178"/>
    <mergeCell ref="A179:F179"/>
    <mergeCell ref="A180:F180"/>
    <mergeCell ref="A170:G170"/>
    <mergeCell ref="A185:F185"/>
    <mergeCell ref="A208:G208"/>
    <mergeCell ref="B209:G209"/>
    <mergeCell ref="A191:G191"/>
    <mergeCell ref="A192:G192"/>
    <mergeCell ref="A193:F193"/>
    <mergeCell ref="A194:F194"/>
    <mergeCell ref="A195:G195"/>
    <mergeCell ref="A196:G196"/>
    <mergeCell ref="A200:G200"/>
    <mergeCell ref="B206:G206"/>
    <mergeCell ref="B207:G207"/>
    <mergeCell ref="A203:F203"/>
    <mergeCell ref="A97:G97"/>
    <mergeCell ref="A98:B98"/>
    <mergeCell ref="C98:G98"/>
    <mergeCell ref="A151:F151"/>
    <mergeCell ref="A152:F152"/>
    <mergeCell ref="A154:F154"/>
    <mergeCell ref="A155:F155"/>
    <mergeCell ref="A167:F167"/>
    <mergeCell ref="A165:F165"/>
    <mergeCell ref="A161:F161"/>
    <mergeCell ref="A162:F162"/>
    <mergeCell ref="A163:F163"/>
    <mergeCell ref="A164:F164"/>
    <mergeCell ref="A166:F166"/>
    <mergeCell ref="A160:F160"/>
    <mergeCell ref="A156:F156"/>
    <mergeCell ref="A107:F107"/>
    <mergeCell ref="A108:F108"/>
    <mergeCell ref="A105:F105"/>
    <mergeCell ref="A104:F104"/>
    <mergeCell ref="A109:G109"/>
    <mergeCell ref="A148:F148"/>
    <mergeCell ref="A127:G127"/>
    <mergeCell ref="A125:G125"/>
    <mergeCell ref="A99:F99"/>
    <mergeCell ref="A100:G100"/>
    <mergeCell ref="A103:F103"/>
    <mergeCell ref="A137:F137"/>
    <mergeCell ref="A138:F138"/>
    <mergeCell ref="A150:F150"/>
    <mergeCell ref="A95:G95"/>
    <mergeCell ref="A122:B122"/>
    <mergeCell ref="C122:G122"/>
    <mergeCell ref="A120:G120"/>
    <mergeCell ref="A121:G121"/>
    <mergeCell ref="A114:F114"/>
    <mergeCell ref="A111:B111"/>
    <mergeCell ref="C111:G111"/>
    <mergeCell ref="A112:G112"/>
    <mergeCell ref="A113:F113"/>
    <mergeCell ref="A118:G118"/>
    <mergeCell ref="A119:G119"/>
    <mergeCell ref="A115:G115"/>
    <mergeCell ref="A116:F116"/>
    <mergeCell ref="A117:F117"/>
    <mergeCell ref="A102:F102"/>
    <mergeCell ref="A106:F106"/>
    <mergeCell ref="A101:G101"/>
  </mergeCells>
  <conditionalFormatting sqref="A187 A208:G209">
    <cfRule type="expression" dxfId="347" priority="751" stopIfTrue="1">
      <formula>COUNTIF($G$8:$G180,"I disagree")&gt;0</formula>
    </cfRule>
  </conditionalFormatting>
  <conditionalFormatting sqref="A8:G14 A15 G15 A16:G19 A20 G20 A21:G21 A22 A23:G88 A89">
    <cfRule type="expression" dxfId="346" priority="9">
      <formula>$G$7="I disagree"</formula>
    </cfRule>
  </conditionalFormatting>
  <conditionalFormatting sqref="A9:G184 A185:A186 G185:G186 A189:G203 A205:G210">
    <cfRule type="expression" dxfId="345" priority="15" stopIfTrue="1">
      <formula>COUNTIF($G$8:$G8,"I disagree")&gt;0</formula>
    </cfRule>
  </conditionalFormatting>
  <conditionalFormatting sqref="A16:G16 A21:G21 A204:G204">
    <cfRule type="expression" dxfId="344" priority="598" stopIfTrue="1">
      <formula>COUNTIF($G$8:$G14,"I disagree")&gt;0</formula>
    </cfRule>
  </conditionalFormatting>
  <conditionalFormatting sqref="A23:G23">
    <cfRule type="expression" dxfId="343" priority="467" stopIfTrue="1">
      <formula>COUNTIF($G$8:$G118,"I disagree")&gt;0</formula>
    </cfRule>
  </conditionalFormatting>
  <conditionalFormatting sqref="A23:G88 A118:G184 A89 A90:G95 A101:G114 G185:G186 A185:A187 A188:G199">
    <cfRule type="expression" dxfId="342" priority="472">
      <formula>$G$99="Yes"</formula>
    </cfRule>
  </conditionalFormatting>
  <conditionalFormatting sqref="A62:G62">
    <cfRule type="expression" dxfId="341" priority="592" stopIfTrue="1">
      <formula>COUNTIF($G$8:$G201,"I disagree")&gt;0</formula>
    </cfRule>
  </conditionalFormatting>
  <conditionalFormatting sqref="A67:G67 A124:G126 A132:G182 A188:G190 A207:G207 A210:G210">
    <cfRule type="expression" dxfId="339" priority="577" stopIfTrue="1">
      <formula>COUNTIF($G$8:$G61,"I disagree")&gt;0</formula>
    </cfRule>
  </conditionalFormatting>
  <conditionalFormatting sqref="A87:G87">
    <cfRule type="expression" dxfId="338" priority="36">
      <formula>OR($D$86="Refinery",$D$86="Chemical Plant")</formula>
    </cfRule>
  </conditionalFormatting>
  <conditionalFormatting sqref="A96:G96">
    <cfRule type="expression" dxfId="337" priority="466" stopIfTrue="1">
      <formula>COUNTIF($G$8:$G22,"I disagree")&gt;0</formula>
    </cfRule>
  </conditionalFormatting>
  <conditionalFormatting sqref="A96:G100">
    <cfRule type="expression" dxfId="336" priority="14">
      <formula>COUNTIF($G$8:$G$21,"I disagree")&gt;0</formula>
    </cfRule>
  </conditionalFormatting>
  <conditionalFormatting sqref="A114:G114">
    <cfRule type="expression" dxfId="335" priority="54">
      <formula>$G$113="no"</formula>
    </cfRule>
  </conditionalFormatting>
  <conditionalFormatting sqref="A119:G119">
    <cfRule type="expression" dxfId="334" priority="464" stopIfTrue="1">
      <formula>COUNTIF($G$8:$G95,"I disagree")&gt;0</formula>
    </cfRule>
  </conditionalFormatting>
  <conditionalFormatting sqref="A120:G123">
    <cfRule type="expression" dxfId="333" priority="605" stopIfTrue="1">
      <formula>COUNTIF($G$8:$G111,"I disagree")&gt;0</formula>
    </cfRule>
  </conditionalFormatting>
  <conditionalFormatting sqref="A131:G131 A183:G184 A185:A186 G185:G186 A206:G206">
    <cfRule type="expression" dxfId="332" priority="601" stopIfTrue="1">
      <formula>COUNTIF($G$8:$G126,"I disagree")&gt;0</formula>
    </cfRule>
  </conditionalFormatting>
  <conditionalFormatting sqref="A173:G175">
    <cfRule type="expression" dxfId="331" priority="58">
      <formula>$G$172="no"</formula>
    </cfRule>
  </conditionalFormatting>
  <conditionalFormatting sqref="A186:G186">
    <cfRule type="expression" dxfId="330" priority="1">
      <formula>$G$185="No"</formula>
    </cfRule>
  </conditionalFormatting>
  <conditionalFormatting sqref="A188:G188 A118:G118 A127:G130 A205:G205">
    <cfRule type="expression" dxfId="329" priority="600" stopIfTrue="1">
      <formula>COUNTIF($G$8:$G114,"I disagree")&gt;0</formula>
    </cfRule>
  </conditionalFormatting>
  <conditionalFormatting sqref="A194:G194">
    <cfRule type="expression" dxfId="328" priority="57">
      <formula>$G$193="no"</formula>
    </cfRule>
  </conditionalFormatting>
  <conditionalFormatting sqref="A199:G200">
    <cfRule type="expression" dxfId="327" priority="62">
      <formula>$G$198="no"</formula>
    </cfRule>
  </conditionalFormatting>
  <conditionalFormatting sqref="A200:G200">
    <cfRule type="expression" dxfId="326" priority="31">
      <formula>$G$199="No"</formula>
    </cfRule>
  </conditionalFormatting>
  <conditionalFormatting sqref="A203:G203">
    <cfRule type="expression" dxfId="325" priority="3">
      <formula>$G$99="Yes"</formula>
    </cfRule>
  </conditionalFormatting>
  <conditionalFormatting sqref="A204:G204 A187 A191:G191">
    <cfRule type="expression" dxfId="324" priority="599" stopIfTrue="1">
      <formula>COUNTIF($G$8:$G184,"I disagree")&gt;0</formula>
    </cfRule>
  </conditionalFormatting>
  <conditionalFormatting sqref="A204:G209">
    <cfRule type="expression" dxfId="323" priority="2">
      <formula>$G$203&lt;&gt;"Yes"</formula>
    </cfRule>
  </conditionalFormatting>
  <conditionalFormatting sqref="G7:G21">
    <cfRule type="expression" dxfId="322" priority="23">
      <formula>G7="I disagree"</formula>
    </cfRule>
  </conditionalFormatting>
  <conditionalFormatting sqref="G63">
    <cfRule type="expression" dxfId="321" priority="12">
      <formula>$G$63="yes"</formula>
    </cfRule>
  </conditionalFormatting>
  <conditionalFormatting sqref="G114">
    <cfRule type="expression" dxfId="320" priority="11">
      <formula>$G$114="no"</formula>
    </cfRule>
  </conditionalFormatting>
  <conditionalFormatting sqref="G117">
    <cfRule type="expression" dxfId="319" priority="5">
      <formula>$G$116="no"</formula>
    </cfRule>
  </conditionalFormatting>
  <conditionalFormatting sqref="G185:G186 A185:A187 A90:G184 A188:G210">
    <cfRule type="expression" dxfId="318" priority="4">
      <formula>$G$7="I disagree"</formula>
    </cfRule>
  </conditionalFormatting>
  <dataValidations xWindow="704" yWindow="925" count="65">
    <dataValidation allowBlank="1" showErrorMessage="1" prompt="enter customer reference number" sqref="F57:G57" xr:uid="{AD90E2DA-B391-4F9E-B998-EC06A501CDE6}"/>
    <dataValidation allowBlank="1" showErrorMessage="1" prompt="enter the regulated entity number" sqref="F58:G58" xr:uid="{CC5BAE5C-B0DB-4AC2-8182-5E33A82EEAD9}"/>
    <dataValidation allowBlank="1" showErrorMessage="1" prompt="enter email address" sqref="C55:G55 C41:G41" xr:uid="{9CC70563-51F7-4040-9933-5E9E52B4AB22}"/>
    <dataValidation allowBlank="1" showErrorMessage="1" prompt="enter fax number" sqref="C54:G54 C40:G40" xr:uid="{420E30C6-9C21-4099-AB15-DAA58C25BB36}"/>
    <dataValidation allowBlank="1" showErrorMessage="1" prompt="enter telephone number" sqref="C53:G53 C39:G39" xr:uid="{55A596D7-8F7B-41F0-9972-3C0866BF280E}"/>
    <dataValidation allowBlank="1" showErrorMessage="1" prompt="enter ZIP code" sqref="D72:G72 C38:G38 C52:G52" xr:uid="{C44A5CAA-12A8-4463-8EE7-3C9C3BEAAAE4}"/>
    <dataValidation allowBlank="1" showErrorMessage="1" prompt="enter state" sqref="C51:G51 C37:G37" xr:uid="{B84ADFBE-6740-4040-92ED-7B4B20F424E0}"/>
    <dataValidation allowBlank="1" showErrorMessage="1" prompt="enter city" sqref="D71:G71 C36:G36 C50:G50" xr:uid="{0CE04E98-48A2-49D5-94CD-BFAFD0D59FBE}"/>
    <dataValidation allowBlank="1" showErrorMessage="1" prompt="enter second line of address" sqref="C49:G49 C35:G35" xr:uid="{FD3823A0-D245-4939-A611-45F381A96DF8}"/>
    <dataValidation allowBlank="1" showErrorMessage="1" prompt="enter title" sqref="C46:G46 C33:G33" xr:uid="{72D79B7F-9A2B-4F65-B2EA-F8D24974E962}"/>
    <dataValidation allowBlank="1" showErrorMessage="1" prompt="enter last name" sqref="C45:G45 C32:G32" xr:uid="{F481F914-5E37-4319-8C63-C3C2008DDFFB}"/>
    <dataValidation allowBlank="1" showErrorMessage="1" prompt="enter first name" sqref="C44:G44 C31:G31" xr:uid="{4EA20207-792C-4ADA-9D3C-D31E67272B6B}"/>
    <dataValidation allowBlank="1" showErrorMessage="1" prompt="enter the prefix (Mr., Ms., Dr., etc.)" sqref="C43:G43 C30:G30" xr:uid="{1D67C303-89D3-46B0-95AA-798402DAF55D}"/>
    <dataValidation allowBlank="1" showErrorMessage="1" prompt="enter Texas Secretary of State Charter or Registration Number" sqref="D28:G28" xr:uid="{34799EDA-CF19-4D05-8AB9-7862D01B2C80}"/>
    <dataValidation allowBlank="1" showErrorMessage="1" prompt="enter company or legal name" sqref="C47:G47 D25:G25" xr:uid="{98A3A8AA-73A9-450B-91C3-7BBD5A933CBE}"/>
    <dataValidation type="list" allowBlank="1" showErrorMessage="1" prompt="select county" sqref="D69:G69" xr:uid="{93674CFC-A1E5-41C0-8F81-2301AD3E48F8}">
      <formula1>Counties</formula1>
    </dataValidation>
    <dataValidation allowBlank="1" showErrorMessage="1" prompt="enter site location description" sqref="D73:G73" xr:uid="{F083ABD9-D38D-41E3-9C4E-E63B6FFD3B33}"/>
    <dataValidation allowBlank="1" showErrorMessage="1" promptTitle="Site Location Description" prompt="If there is no street address, provide written driving directions to the site. Identify the location by distance and direction from well-known landmarks such as major highway intersections." sqref="D73:G73" xr:uid="{03824D73-55FF-4A01-B9D7-8AB9501124B8}"/>
    <dataValidation allowBlank="1" showErrorMessage="1" prompt="enter street address" sqref="D70:G70" xr:uid="{EB58DA9E-BF10-491B-9070-0E1C444D10BB}"/>
    <dataValidation type="list" allowBlank="1" showErrorMessage="1" prompt="select one" sqref="G63 D77:G77 G103:G108 G113:G114 G117 G135:G142 G144:G148 G150:G168 G172 G176 G193 G198:G199" xr:uid="{F217D8AD-ACBA-47ED-886A-6DA617A3612D}">
      <formula1>YN</formula1>
    </dataValidation>
    <dataValidation allowBlank="1" showErrorMessage="1" prompt="enter site name" sqref="D75:G75" xr:uid="{823B66A4-314C-4C1E-BB4A-3D5A6B6032E5}"/>
    <dataValidation allowBlank="1" showErrorMessage="1" prompt="enter area name" sqref="D76:G76" xr:uid="{41922566-3E6F-406A-924C-B86661667847}"/>
    <dataValidation allowBlank="1" showErrorMessage="1" prompt="enter principal NAICS code" sqref="D85:G85" xr:uid="{7DB7FCA3-B7F4-4888-BEEA-6C6791B5A8DF}"/>
    <dataValidation allowBlank="1" showErrorMessage="1" prompt="enter state representative's district number" sqref="D94:G94" xr:uid="{6D2E2502-A7E8-4B25-A761-72A73853FD05}"/>
    <dataValidation allowBlank="1" showErrorMessage="1" prompt="enter state representative's name" sqref="D93:G93" xr:uid="{4E1AD81C-2FD4-403F-98F9-CB29FFC0FB26}"/>
    <dataValidation allowBlank="1" showErrorMessage="1" prompt="enter state senator's district number" sqref="D92:G92" xr:uid="{FBC75AB6-D3B6-4584-A118-39EB299BC926}"/>
    <dataValidation allowBlank="1" showErrorMessage="1" prompt="enter state senator's name" sqref="D91:G91" xr:uid="{E5F3D6B6-6E02-4B7A-BC37-318DC98961C4}"/>
    <dataValidation allowBlank="1" showErrorMessage="1" prompt="enter air contaminants requiring disaster review" sqref="G194" xr:uid="{1FB93C45-C21D-4893-AC73-10437A37D9BE}"/>
    <dataValidation allowBlank="1" showErrorMessage="1" prompt="Enter the title of the Responsible Person." sqref="A33 A46" xr:uid="{C811A148-8921-4578-81B9-73043998E6FC}"/>
    <dataValidation allowBlank="1" showErrorMessage="1" prompt="Enter the email address of the Responsible Person." sqref="A41 A55" xr:uid="{1704F68C-F7C9-4FF3-887D-BDAC16322AF8}"/>
    <dataValidation allowBlank="1" showErrorMessage="1" prompt="Enter the mailing address of the Responsible Person." sqref="A34:A35 A48:A49" xr:uid="{F01C36F8-7845-41CF-8384-EB1C787080AB}"/>
    <dataValidation allowBlank="1" showErrorMessage="1" prompt="Enter the fax number of the Responsible Person." sqref="A40 A54" xr:uid="{933F73C0-A60A-4074-80CB-61D5B6E8FDE6}"/>
    <dataValidation allowBlank="1" showErrorMessage="1" promptTitle="Disaster Review Only:" prompt="If a disaster review is required, please list the air contaminants that require the review." sqref="A195:A198 B196:G197" xr:uid="{468B5167-F1CE-4882-85E8-F7247AFA1E3E}"/>
    <dataValidation operator="lessThanOrEqual" allowBlank="1" showErrorMessage="1" prompt="revise the process description to represent your project and site specifics" sqref="C98:G98" xr:uid="{C9CBC27C-4119-4D24-8B86-1047CD67AC06}"/>
    <dataValidation type="list" allowBlank="1" showErrorMessage="1" prompt="select one" sqref="G173" xr:uid="{F916C68A-C6DC-4253-ABE7-766B7A0B4919}">
      <formula1>"Yes,N/A"</formula1>
    </dataValidation>
    <dataValidation type="list" errorStyle="information" allowBlank="1" showErrorMessage="1" errorTitle="Invalid area map" error="The area map must meet these requirements to be considered acceptable for this permit. Please enter or select &quot;Yes&quot;, or delete your response." prompt="select one" sqref="G178:G179" xr:uid="{FF11967D-F359-43AA-8524-45A51F8F066F}">
      <formula1>"Yes,N/A"</formula1>
    </dataValidation>
    <dataValidation type="list" errorStyle="information" allowBlank="1" showErrorMessage="1" errorTitle="Invalid plot plan" error="The plot plan must meet these requirements to be considered acceptable for this permit. Please enter or select &quot;Yes&quot;, or delete your response." prompt="select one" sqref="G181:G182" xr:uid="{D673C9BC-6BFD-4409-8F34-96B64F3AEC33}">
      <formula1>"Yes,N/A"</formula1>
    </dataValidation>
    <dataValidation type="list" errorStyle="information" allowBlank="1" showErrorMessage="1" errorTitle="Invalid process flow diagram" error="The process flow diagram must meet these requirements to be considered acceptable for this permit. Please enter or select &quot;Yes&quot;, or delete your response." prompt="select one" sqref="G184" xr:uid="{7D3EBA20-1BB4-4D6F-913C-738841B48F3F}">
      <formula1>"Yes,N/A"</formula1>
    </dataValidation>
    <dataValidation allowBlank="1" showErrorMessage="1" prompt="enter name of signing party" sqref="B206:G206" xr:uid="{CA3ABB94-AF00-425B-A142-3F563B2B58F6}"/>
    <dataValidation allowBlank="1" showErrorMessage="1" prompt="enter date form is signed" sqref="B209:G209" xr:uid="{83495BA6-9678-41EE-9209-A53B92A28B50}"/>
    <dataValidation allowBlank="1" showErrorMessage="1" prompt="Enter the principal North American Industry Code (NAICS)" sqref="C88:D88 C90:D90" xr:uid="{97649A43-7925-42C5-BF53-2C8E1E9FEDCF}"/>
    <dataValidation operator="greaterThan" allowBlank="1" showErrorMessage="1" prompt="enter projected start date of operation" sqref="C111:G111" xr:uid="{97C3A7DB-4245-4463-B3C5-BC4D1D4C0C59}"/>
    <dataValidation operator="greaterThan" allowBlank="1" showErrorMessage="1" prompt="enter projected start date of construction" sqref="C110:G110" xr:uid="{78AEFEC0-0968-4607-B147-DCC03DFCCB82}"/>
    <dataValidation type="list" errorStyle="information" allowBlank="1" showErrorMessage="1" errorTitle="Required attachment" error="Current area map is a required portion of the application. Please enter or select &quot;Yes&quot;, or delete your response." prompt="select yes" sqref="G177" xr:uid="{36609CF8-33FC-48A1-86DD-9AF046A90D85}">
      <formula1>"Yes"</formula1>
    </dataValidation>
    <dataValidation type="list" errorStyle="information" allowBlank="1" showErrorMessage="1" errorTitle="Required attachment" error="The plot plan is a required portion of this application. Please enter or select &quot;Yes&quot;, or delete your response." prompt="select yes" sqref="G180" xr:uid="{1FA6C65E-96AE-49EA-B7D5-B3D4F92E0FBB}">
      <formula1>"Yes"</formula1>
    </dataValidation>
    <dataValidation type="list" errorStyle="information" allowBlank="1" showErrorMessage="1" errorTitle="Required attachment" error="The process flow diagram is a required attachment for this permit. Please enter or select &quot;Yes&quot;, or delete your response." prompt="select one" sqref="G183" xr:uid="{4BEC5133-B3AC-4A4E-A405-308C94668C80}">
      <formula1>"Yes,N/A"</formula1>
    </dataValidation>
    <dataValidation type="textLength" operator="greaterThan" allowBlank="1" showInputMessage="1" showErrorMessage="1" errorTitle="This text cannot be deleted" error="Please do not alter the text in this block of instructions. It has been left unlocked for accessibility purposes only. Altering the text in an instructions block may result in denial of the permit application." sqref="A120 A63:A65 A204:A205 A78:A80 A195:A198 A174:A176 A56 A82:A94 E90 A42 A75:A76 A189:A192 E88 G88 G90 A109:A117" xr:uid="{ED4FC68E-37A5-4A97-8448-A263AD275AE4}">
      <formula1>1</formula1>
    </dataValidation>
    <dataValidation type="textLength" operator="notEqual" showErrorMessage="1" errorTitle="This text cannot be deleted" error="Please do not alter the text in this block of instructions. It has been left unlocked for accessibility purposes only. Altering the text in an instructions block may result in denial of the permit application." promptTitle="Accessibility note:" prompt="Please do not alter the text in this block of instructions. It has been left unlocked to be read by a screen reader. Altering the text in an instructions block may result in denial of the permit application." sqref="A3" xr:uid="{21D6C761-D157-458D-BBA4-66CA57BA359B}">
      <formula1>0</formula1>
    </dataValidation>
    <dataValidation type="textLength" operator="lessThan" allowBlank="1" showErrorMessage="1" errorTitle="Invalid response" error="Please limit yourself to 500 characters. If you need more room, please attach additional sheets." prompt="How will this facility comply with the &quot;General Rules&quot;?" sqref="A122 A126 A128 A124 A130" xr:uid="{9C1C021E-FA35-4512-9332-69DD69BBEE64}">
      <formula1>501</formula1>
    </dataValidation>
    <dataValidation type="list" allowBlank="1" showErrorMessage="1" prompt="select site type" sqref="D86:G86" xr:uid="{D766827D-4CFF-4F4D-B1A3-A5E2D78B247B}">
      <formula1>"Terminal,Gasoline Terminal,Refinery,Chemical Plant"</formula1>
    </dataValidation>
    <dataValidation type="list" allowBlank="1" showErrorMessage="1" prompt="select number of tanks to be modified or affected" sqref="G102" xr:uid="{BC529B9D-4911-4DBD-980E-D5A1619EE883}">
      <formula1>"0,1,2,3,4,5"</formula1>
    </dataValidation>
    <dataValidation type="list" operator="lessThanOrEqual" allowBlank="1" showErrorMessage="1" prompt="select one" sqref="G99" xr:uid="{4A3B54B1-9BAA-4E1B-A42C-95ED4316C259}">
      <formula1>YN</formula1>
    </dataValidation>
    <dataValidation allowBlank="1" showErrorMessage="1" prompt="Is this application in response to an investigation, notice of violation, or enforcement action? Enter or select &quot;Yes&quot; or &quot;No&quot;." sqref="G116" xr:uid="{AEFF95A0-6A03-4C4E-B8C8-859EF95A4BC9}"/>
    <dataValidation allowBlank="1" showErrorMessage="1" prompt="enter federal operating permit number" sqref="F60:G60" xr:uid="{01214E08-6ACC-42F0-8481-DA2B46C277AD}"/>
    <dataValidation allowBlank="1" showErrorMessage="1" prompt="enter benzene content of gasoline in weight percent" sqref="D87:G87" xr:uid="{974B245C-A4B5-4D43-BA78-6A7077061C0B}"/>
    <dataValidation type="list" allowBlank="1" showErrorMessage="1" prompt="select one" sqref="G21 G7:G18" xr:uid="{0F08142E-F44C-443A-A273-3C4B7DF53BA9}">
      <formula1>"I agree,I disagree"</formula1>
    </dataValidation>
    <dataValidation type="list" allowBlank="1" showErrorMessage="1" prompt="select one" sqref="G19:G20" xr:uid="{E80E3C98-43F4-4598-8678-7D2EDCFC7370}">
      <formula1>"I agree,I disagree,Not applicable"</formula1>
    </dataValidation>
    <dataValidation allowBlank="1" showErrorMessage="1" prompt="enter mailing address" sqref="C48:G48 C34:G34" xr:uid="{D411BAB7-883C-46A0-9FC3-E3FC346BAE20}"/>
    <dataValidation allowBlank="1" showErrorMessage="1" prompt="enter permit number" sqref="F59:G59" xr:uid="{DB4AE959-EB6D-4487-AC65-EF2842A78493}"/>
    <dataValidation allowBlank="1" showErrorMessage="1" prompt="enter principal product/business" sqref="D79:G79" xr:uid="{0397D396-F163-4E0A-A019-515CDECA25AE}"/>
    <dataValidation allowBlank="1" showErrorMessage="1" prompt="enter principal SIC code" sqref="D82:G82" xr:uid="{E2BF0FC7-9082-4332-A3FA-21BCF32AFE10}"/>
    <dataValidation allowBlank="1" showErrorMessage="1" prompt="enter applicable subparts and how you will comply with them" sqref="C130:G130 C122:G122 C124:G124 C126:G126 C128:G128" xr:uid="{918394A6-1266-4102-B95D-DD4957DEDF12}"/>
    <dataValidation type="list" allowBlank="1" showErrorMessage="1" prompt="Will the proposed facilities be located within 100 km of Indian Tribal Lands and/or the Rio Grande River? Select Yes or No." sqref="G203" xr:uid="{B42CCB48-AE97-4223-AE0D-244894F0BE04}">
      <formula1>"Yes,No"</formula1>
    </dataValidation>
    <dataValidation type="list" errorStyle="information" allowBlank="1" showErrorMessage="1" errorTitle="Invalid process flow diagram" error="The process flow diagram must meet these requirements to be considered acceptable for this permit. Please enter or select &quot;Yes&quot;, or delete your response." prompt="select one" sqref="G185" xr:uid="{33F5D6CF-E76B-4E6C-892B-1942F52D81B2}">
      <formula1>"Yes,No"</formula1>
    </dataValidation>
    <dataValidation type="list" errorStyle="information" allowBlank="1" showErrorMessage="1" errorTitle="Invalid process flow diagram" error="The process flow diagram must meet these requirements to be considered acceptable for this permit. Please enter or select &quot;Yes&quot;, or delete your response." prompt="select one" sqref="G186" xr:uid="{6D452714-635E-4350-9F0D-1E1AEDD43151}">
      <formula1>"Yes"</formula1>
    </dataValidation>
  </dataValidations>
  <hyperlinks>
    <hyperlink ref="A175" r:id="rId1" xr:uid="{2BBC1C51-52FA-4173-8EEC-F152491512E6}"/>
    <hyperlink ref="A90" r:id="rId2" display="https://capitol.texas.gov/" xr:uid="{36F43E19-465C-439C-9ED4-B16DCCC3321A}"/>
    <hyperlink ref="A175:G175" r:id="rId3" tooltip="Click to link to TCEQ's Confidentiality Policy" display="www.tceq.texas.gov/permitting/air/confidential.html" xr:uid="{A365E714-8241-4B8F-8424-28C17F72D3F3}"/>
    <hyperlink ref="A90:G90" r:id="rId4" tooltip="Click to look up who represents this facility in State legislature." display="https://fyi.capitol.texas.gov/Home.aspx" xr:uid="{23EA0D45-CD6B-45D4-9135-AC9C2ED8164F}"/>
    <hyperlink ref="A192" r:id="rId5" display="https://www.tceq.texas.gov/permitting/air/guidance/permit-factsheets.html" xr:uid="{63A7992F-66D2-4CF6-ADCE-A2A07CC15172}"/>
    <hyperlink ref="A65" r:id="rId6" xr:uid="{55764223-ED02-4D8C-99AE-574DF98761FE}"/>
    <hyperlink ref="A197" r:id="rId7" xr:uid="{C9DA62CE-C748-4B73-B570-1C8FE5EF3F56}"/>
    <hyperlink ref="A197:G197" r:id="rId8" tooltip="Click to link to the Air Pollutant Watch List" display="www.tceq.texas.gov/toxicology/apwl/apwl.html" xr:uid="{1B7C8545-CDCD-4025-A246-1DD1528C9BA2}"/>
    <hyperlink ref="A65:F65" r:id="rId9" tooltip="Click to view the Delinquent Fee and Penalty Protocol." display="www.tceq.texas.gov/agency/financial/fees/delin" xr:uid="{F4105F18-1249-429F-9563-89C47A804102}"/>
    <hyperlink ref="A192:G192" r:id="rId10" tooltip="Click to link to additional guidance on disaster reviews." display="https://www.tceq.texas.gov/permitting/air/nav/air_docs_newsource.html" xr:uid="{59278C98-CF2C-4DE8-9EAD-50C859962D32}"/>
    <hyperlink ref="A27" r:id="rId11" display="www.sos.state.tx.us" xr:uid="{32494ECC-8E79-43E7-AD5C-D33694405000}"/>
    <hyperlink ref="A27:G27" r:id="rId12" tooltip="Click to link to the Texas Secretary of State website." display="http://www.sos.state.tx.us" xr:uid="{9A7FB57A-555B-4D98-97F5-3DE52BC539D2}"/>
    <hyperlink ref="A81" r:id="rId13" xr:uid="{0D9CD8A1-4274-4A63-BB04-689E23714C13}"/>
    <hyperlink ref="D187" r:id="rId14" location="pip" xr:uid="{7CF9A6B5-D883-4B41-842F-BAB67B6F52A1}"/>
    <hyperlink ref="A84" r:id="rId15" xr:uid="{54F9983B-1D69-4E28-B314-651ACE6FCC12}"/>
  </hyperlinks>
  <printOptions horizontalCentered="1"/>
  <pageMargins left="0.7" right="0.7" top="0.75" bottom="0.75" header="0.3" footer="0.3"/>
  <pageSetup scale="85" fitToHeight="0" orientation="portrait" cellComments="asDisplayed" r:id="rId16"/>
  <headerFooter>
    <oddHeader>&amp;C&amp;"Arial,Regular"Tanks and Loading Increases RAP Application</oddHeader>
    <oddFooter>&amp;LVersion 3.0&amp;CSheet: &amp;A&amp;RPage &amp;P</oddFooter>
  </headerFooter>
  <rowBreaks count="4" manualBreakCount="4">
    <brk id="55" max="6" man="1"/>
    <brk id="77" max="6" man="1"/>
    <brk id="128" max="6" man="1"/>
    <brk id="201" max="6" man="1"/>
  </rowBreaks>
  <extLst>
    <ext xmlns:x14="http://schemas.microsoft.com/office/spreadsheetml/2009/9/main" uri="{78C0D931-6437-407d-A8EE-F0AAD7539E65}">
      <x14:conditionalFormattings>
        <x14:conditionalFormatting xmlns:xm="http://schemas.microsoft.com/office/excel/2006/main">
          <x14:cfRule type="expression" priority="22" stopIfTrue="1" id="{4694C81D-119B-406F-A613-6E7756F1CEED}">
            <xm:f>'Hidden Inputs'!$BR$5</xm:f>
            <x14:dxf>
              <font>
                <color theme="0" tint="-0.499984740745262"/>
              </font>
              <numFmt numFmtId="171" formatCode=";;;"/>
              <fill>
                <patternFill>
                  <bgColor theme="0" tint="-0.499984740745262"/>
                </patternFill>
              </fill>
              <border>
                <left/>
                <right/>
                <top/>
                <bottom/>
              </border>
            </x14:dxf>
          </x14:cfRule>
          <xm:sqref>A62:G65 A202:G209</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D54C79-8E19-4C6B-A9C9-3183D52E6585}">
  <sheetPr codeName="Sheet19">
    <tabColor theme="8" tint="0.39997558519241921"/>
  </sheetPr>
  <dimension ref="A1:G49"/>
  <sheetViews>
    <sheetView workbookViewId="0">
      <selection sqref="A1:G1"/>
    </sheetView>
  </sheetViews>
  <sheetFormatPr defaultColWidth="0" defaultRowHeight="14.25" zeroHeight="1" x14ac:dyDescent="0.2"/>
  <cols>
    <col min="1" max="1" width="21.140625" style="476" customWidth="1"/>
    <col min="2" max="2" width="11.42578125" style="476" customWidth="1"/>
    <col min="3" max="3" width="16.140625" style="476" customWidth="1"/>
    <col min="4" max="4" width="10" style="476" customWidth="1"/>
    <col min="5" max="7" width="11.42578125" style="476" customWidth="1"/>
    <col min="8" max="16384" width="11" style="476" hidden="1"/>
  </cols>
  <sheetData>
    <row r="1" spans="1:7" s="461" customFormat="1" ht="6.75" customHeight="1" thickBot="1" x14ac:dyDescent="0.25">
      <c r="A1" s="1328" t="s">
        <v>8392</v>
      </c>
      <c r="B1" s="1328"/>
      <c r="C1" s="1328"/>
      <c r="D1" s="1328"/>
      <c r="E1" s="1328"/>
      <c r="F1" s="1328"/>
      <c r="G1" s="1328"/>
    </row>
    <row r="2" spans="1:7" s="461" customFormat="1" ht="18.75" customHeight="1" thickBot="1" x14ac:dyDescent="0.25">
      <c r="A2" s="1209" t="s">
        <v>8456</v>
      </c>
      <c r="B2" s="1210"/>
      <c r="C2" s="1211"/>
      <c r="D2" s="1211"/>
      <c r="E2" s="1211"/>
      <c r="F2" s="1211"/>
      <c r="G2" s="1212"/>
    </row>
    <row r="3" spans="1:7" s="461" customFormat="1" ht="135" customHeight="1" x14ac:dyDescent="0.2">
      <c r="A3" s="1332" t="s">
        <v>10526</v>
      </c>
      <c r="B3" s="939"/>
      <c r="C3" s="939"/>
      <c r="D3" s="939"/>
      <c r="E3" s="939"/>
      <c r="F3" s="939"/>
      <c r="G3" s="940"/>
    </row>
    <row r="4" spans="1:7" s="461" customFormat="1" ht="15" thickBot="1" x14ac:dyDescent="0.25">
      <c r="A4" s="1101" t="s">
        <v>10236</v>
      </c>
      <c r="B4" s="1118"/>
      <c r="C4" s="1118"/>
      <c r="D4" s="1118"/>
      <c r="E4" s="1118"/>
      <c r="F4" s="1118"/>
      <c r="G4" s="1119"/>
    </row>
    <row r="5" spans="1:7" ht="105" customHeight="1" thickBot="1" x14ac:dyDescent="0.25">
      <c r="A5" s="1329" t="s">
        <v>10227</v>
      </c>
      <c r="B5" s="1019"/>
      <c r="C5" s="1019"/>
      <c r="D5" s="1019"/>
      <c r="E5" s="1019"/>
      <c r="F5" s="1019"/>
      <c r="G5" s="1020"/>
    </row>
    <row r="6" spans="1:7" s="477" customFormat="1" ht="15" thickBot="1" x14ac:dyDescent="0.25">
      <c r="A6" s="1321" t="s">
        <v>8411</v>
      </c>
      <c r="B6" s="1321"/>
      <c r="C6" s="1321"/>
      <c r="D6" s="1321"/>
      <c r="E6" s="1321"/>
      <c r="F6" s="1321"/>
      <c r="G6" s="1321"/>
    </row>
    <row r="7" spans="1:7" ht="15" customHeight="1" thickBot="1" x14ac:dyDescent="0.25">
      <c r="A7" s="1253" t="s">
        <v>8575</v>
      </c>
      <c r="B7" s="1330"/>
      <c r="C7" s="1330"/>
      <c r="D7" s="1330"/>
      <c r="E7" s="1330"/>
      <c r="F7" s="1330"/>
      <c r="G7" s="1331"/>
    </row>
    <row r="8" spans="1:7" ht="32.25" customHeight="1" x14ac:dyDescent="0.2">
      <c r="A8" s="1053" t="s">
        <v>10228</v>
      </c>
      <c r="B8" s="1333"/>
      <c r="C8" s="1333"/>
      <c r="D8" s="1333"/>
      <c r="E8" s="1333"/>
      <c r="F8" s="1333"/>
      <c r="G8" s="755"/>
    </row>
    <row r="9" spans="1:7" ht="45.75" customHeight="1" x14ac:dyDescent="0.2">
      <c r="A9" s="1036" t="s">
        <v>10229</v>
      </c>
      <c r="B9" s="1334"/>
      <c r="C9" s="1334"/>
      <c r="D9" s="1334"/>
      <c r="E9" s="1334"/>
      <c r="F9" s="1334"/>
      <c r="G9" s="756"/>
    </row>
    <row r="10" spans="1:7" ht="60" customHeight="1" thickBot="1" x14ac:dyDescent="0.25">
      <c r="A10" s="1337" t="s">
        <v>10230</v>
      </c>
      <c r="B10" s="1338"/>
      <c r="C10" s="1338"/>
      <c r="D10" s="1338"/>
      <c r="E10" s="1335"/>
      <c r="F10" s="1335"/>
      <c r="G10" s="1336"/>
    </row>
    <row r="11" spans="1:7" ht="15" customHeight="1" thickBot="1" x14ac:dyDescent="0.25">
      <c r="A11" s="1290" t="s">
        <v>8411</v>
      </c>
      <c r="B11" s="1290"/>
      <c r="C11" s="1290"/>
      <c r="D11" s="1290"/>
      <c r="E11" s="1290"/>
      <c r="F11" s="1290"/>
      <c r="G11" s="1290"/>
    </row>
    <row r="12" spans="1:7" ht="15" customHeight="1" thickBot="1" x14ac:dyDescent="0.3">
      <c r="A12" s="1306" t="s">
        <v>8457</v>
      </c>
      <c r="B12" s="1307"/>
      <c r="C12" s="1307"/>
      <c r="D12" s="1307"/>
      <c r="E12" s="1307"/>
      <c r="F12" s="1307"/>
      <c r="G12" s="1308"/>
    </row>
    <row r="13" spans="1:7" ht="15" customHeight="1" x14ac:dyDescent="0.25">
      <c r="A13" s="1325" t="s">
        <v>8458</v>
      </c>
      <c r="B13" s="1326"/>
      <c r="C13" s="1326"/>
      <c r="D13" s="1326"/>
      <c r="E13" s="1327"/>
      <c r="F13" s="1312" t="s">
        <v>8459</v>
      </c>
      <c r="G13" s="1313"/>
    </row>
    <row r="14" spans="1:7" ht="30" customHeight="1" x14ac:dyDescent="0.2">
      <c r="A14" s="1159" t="s">
        <v>8460</v>
      </c>
      <c r="B14" s="1160"/>
      <c r="C14" s="1160"/>
      <c r="D14" s="1160"/>
      <c r="E14" s="1161"/>
      <c r="F14" s="1314"/>
      <c r="G14" s="1315"/>
    </row>
    <row r="15" spans="1:7" ht="60" customHeight="1" x14ac:dyDescent="0.2">
      <c r="A15" s="1159" t="s">
        <v>8461</v>
      </c>
      <c r="B15" s="1160"/>
      <c r="C15" s="1160"/>
      <c r="D15" s="1160"/>
      <c r="E15" s="1161"/>
      <c r="F15" s="1314"/>
      <c r="G15" s="1315"/>
    </row>
    <row r="16" spans="1:7" ht="15" customHeight="1" x14ac:dyDescent="0.2">
      <c r="A16" s="1159" t="s">
        <v>8462</v>
      </c>
      <c r="B16" s="1160"/>
      <c r="C16" s="1160"/>
      <c r="D16" s="1160"/>
      <c r="E16" s="1161"/>
      <c r="F16" s="1314"/>
      <c r="G16" s="1315"/>
    </row>
    <row r="17" spans="1:7" ht="30" customHeight="1" x14ac:dyDescent="0.2">
      <c r="A17" s="1159" t="s">
        <v>8463</v>
      </c>
      <c r="B17" s="1160"/>
      <c r="C17" s="1160"/>
      <c r="D17" s="1160"/>
      <c r="E17" s="1161"/>
      <c r="F17" s="1314"/>
      <c r="G17" s="1315"/>
    </row>
    <row r="18" spans="1:7" ht="45" customHeight="1" x14ac:dyDescent="0.2">
      <c r="A18" s="1159" t="s">
        <v>8464</v>
      </c>
      <c r="B18" s="1160"/>
      <c r="C18" s="1160"/>
      <c r="D18" s="1160"/>
      <c r="E18" s="1161"/>
      <c r="F18" s="1314"/>
      <c r="G18" s="1315"/>
    </row>
    <row r="19" spans="1:7" ht="30" customHeight="1" x14ac:dyDescent="0.2">
      <c r="A19" s="1159" t="s">
        <v>8465</v>
      </c>
      <c r="B19" s="1160"/>
      <c r="C19" s="1160"/>
      <c r="D19" s="1160"/>
      <c r="E19" s="1161"/>
      <c r="F19" s="1314"/>
      <c r="G19" s="1315"/>
    </row>
    <row r="20" spans="1:7" ht="15" customHeight="1" x14ac:dyDescent="0.2">
      <c r="A20" s="1159" t="s">
        <v>8466</v>
      </c>
      <c r="B20" s="1160"/>
      <c r="C20" s="1160"/>
      <c r="D20" s="1160"/>
      <c r="E20" s="1161"/>
      <c r="F20" s="1314"/>
      <c r="G20" s="1315"/>
    </row>
    <row r="21" spans="1:7" ht="15" customHeight="1" thickBot="1" x14ac:dyDescent="0.25">
      <c r="A21" s="1322" t="s">
        <v>8467</v>
      </c>
      <c r="B21" s="1323"/>
      <c r="C21" s="1323"/>
      <c r="D21" s="1323"/>
      <c r="E21" s="1324"/>
      <c r="F21" s="1319">
        <f>SUM(F14:F20)</f>
        <v>0</v>
      </c>
      <c r="G21" s="1320"/>
    </row>
    <row r="22" spans="1:7" ht="15" customHeight="1" thickBot="1" x14ac:dyDescent="0.25">
      <c r="A22" s="1321" t="s">
        <v>8411</v>
      </c>
      <c r="B22" s="1321"/>
      <c r="C22" s="1321"/>
      <c r="D22" s="1321"/>
      <c r="E22" s="1321"/>
      <c r="F22" s="1321"/>
      <c r="G22" s="1321"/>
    </row>
    <row r="23" spans="1:7" ht="15" customHeight="1" thickBot="1" x14ac:dyDescent="0.3">
      <c r="A23" s="1306" t="s">
        <v>8468</v>
      </c>
      <c r="B23" s="1307"/>
      <c r="C23" s="1307"/>
      <c r="D23" s="1307"/>
      <c r="E23" s="1307"/>
      <c r="F23" s="1307"/>
      <c r="G23" s="1308"/>
    </row>
    <row r="24" spans="1:7" ht="15" customHeight="1" x14ac:dyDescent="0.25">
      <c r="A24" s="1309" t="s">
        <v>8458</v>
      </c>
      <c r="B24" s="1310"/>
      <c r="C24" s="1310"/>
      <c r="D24" s="1310"/>
      <c r="E24" s="1311"/>
      <c r="F24" s="1312" t="s">
        <v>8459</v>
      </c>
      <c r="G24" s="1313"/>
    </row>
    <row r="25" spans="1:7" ht="15" customHeight="1" x14ac:dyDescent="0.2">
      <c r="A25" s="1159" t="s">
        <v>8469</v>
      </c>
      <c r="B25" s="1160"/>
      <c r="C25" s="1160"/>
      <c r="D25" s="1160"/>
      <c r="E25" s="1161"/>
      <c r="F25" s="1314"/>
      <c r="G25" s="1315"/>
    </row>
    <row r="26" spans="1:7" ht="45" customHeight="1" x14ac:dyDescent="0.2">
      <c r="A26" s="1159" t="s">
        <v>8470</v>
      </c>
      <c r="B26" s="1160"/>
      <c r="C26" s="1160"/>
      <c r="D26" s="1160"/>
      <c r="E26" s="1161"/>
      <c r="F26" s="1314"/>
      <c r="G26" s="1315"/>
    </row>
    <row r="27" spans="1:7" ht="15" customHeight="1" x14ac:dyDescent="0.2">
      <c r="A27" s="1146" t="s">
        <v>8471</v>
      </c>
      <c r="B27" s="1147"/>
      <c r="C27" s="1147"/>
      <c r="D27" s="1147"/>
      <c r="E27" s="1148"/>
      <c r="F27" s="1314"/>
      <c r="G27" s="1315"/>
    </row>
    <row r="28" spans="1:7" ht="15" customHeight="1" thickBot="1" x14ac:dyDescent="0.3">
      <c r="A28" s="1316" t="s">
        <v>8467</v>
      </c>
      <c r="B28" s="1317"/>
      <c r="C28" s="1317"/>
      <c r="D28" s="1317"/>
      <c r="E28" s="1318"/>
      <c r="F28" s="1319">
        <f>SUM(F25:F27)</f>
        <v>0</v>
      </c>
      <c r="G28" s="1320"/>
    </row>
    <row r="29" spans="1:7" ht="15" customHeight="1" thickBot="1" x14ac:dyDescent="0.25">
      <c r="A29" s="1321" t="s">
        <v>8411</v>
      </c>
      <c r="B29" s="1321"/>
      <c r="C29" s="1321"/>
      <c r="D29" s="1321"/>
      <c r="E29" s="1321"/>
      <c r="F29" s="1321"/>
      <c r="G29" s="1321"/>
    </row>
    <row r="30" spans="1:7" ht="15" customHeight="1" thickBot="1" x14ac:dyDescent="0.3">
      <c r="A30" s="1306" t="s">
        <v>8472</v>
      </c>
      <c r="B30" s="1307"/>
      <c r="C30" s="1307"/>
      <c r="D30" s="1307"/>
      <c r="E30" s="1307"/>
      <c r="F30" s="1307"/>
      <c r="G30" s="1308"/>
    </row>
    <row r="31" spans="1:7" ht="86.25" customHeight="1" thickBot="1" x14ac:dyDescent="0.25">
      <c r="A31" s="1300" t="s">
        <v>10524</v>
      </c>
      <c r="B31" s="1301"/>
      <c r="C31" s="1301"/>
      <c r="D31" s="1301"/>
      <c r="E31" s="1301"/>
      <c r="F31" s="1301"/>
      <c r="G31" s="1302"/>
    </row>
    <row r="32" spans="1:7" ht="15" customHeight="1" x14ac:dyDescent="0.25">
      <c r="A32" s="1278" t="s">
        <v>8473</v>
      </c>
      <c r="B32" s="1279"/>
      <c r="C32" s="1279"/>
      <c r="D32" s="1279" t="s">
        <v>10231</v>
      </c>
      <c r="E32" s="1279"/>
      <c r="F32" s="1279"/>
      <c r="G32" s="1303"/>
    </row>
    <row r="33" spans="1:7" ht="15" customHeight="1" x14ac:dyDescent="0.2">
      <c r="A33" s="1223" t="s">
        <v>8475</v>
      </c>
      <c r="B33" s="1224"/>
      <c r="C33" s="1224"/>
      <c r="D33" s="1224" t="s">
        <v>8476</v>
      </c>
      <c r="E33" s="1224"/>
      <c r="F33" s="1224"/>
      <c r="G33" s="1304"/>
    </row>
    <row r="34" spans="1:7" ht="15" customHeight="1" x14ac:dyDescent="0.2">
      <c r="A34" s="1223" t="s">
        <v>8477</v>
      </c>
      <c r="B34" s="1224"/>
      <c r="C34" s="1224"/>
      <c r="D34" s="1224" t="s">
        <v>8478</v>
      </c>
      <c r="E34" s="1224"/>
      <c r="F34" s="1224"/>
      <c r="G34" s="1304"/>
    </row>
    <row r="35" spans="1:7" ht="15" customHeight="1" thickBot="1" x14ac:dyDescent="0.25">
      <c r="A35" s="1293" t="s">
        <v>8480</v>
      </c>
      <c r="B35" s="1294"/>
      <c r="C35" s="1294"/>
      <c r="D35" s="1294" t="s">
        <v>8479</v>
      </c>
      <c r="E35" s="1294"/>
      <c r="F35" s="1294"/>
      <c r="G35" s="1305"/>
    </row>
    <row r="36" spans="1:7" ht="15" customHeight="1" thickBot="1" x14ac:dyDescent="0.25">
      <c r="A36" s="1290" t="s">
        <v>8411</v>
      </c>
      <c r="B36" s="1290"/>
      <c r="C36" s="1290"/>
      <c r="D36" s="1290"/>
      <c r="E36" s="1290"/>
      <c r="F36" s="1290"/>
      <c r="G36" s="1290"/>
    </row>
    <row r="37" spans="1:7" ht="15" customHeight="1" x14ac:dyDescent="0.25">
      <c r="A37" s="1295" t="s">
        <v>8481</v>
      </c>
      <c r="B37" s="1296"/>
      <c r="C37" s="1296"/>
      <c r="D37" s="1291">
        <f>IF(G9="Yes","",F21+F28)</f>
        <v>0</v>
      </c>
      <c r="E37" s="1291"/>
      <c r="F37" s="1291"/>
      <c r="G37" s="1292"/>
    </row>
    <row r="38" spans="1:7" ht="15" customHeight="1" x14ac:dyDescent="0.25">
      <c r="A38" s="1280" t="s">
        <v>8474</v>
      </c>
      <c r="B38" s="1281"/>
      <c r="C38" s="1281"/>
      <c r="D38" s="1282" t="str">
        <f>IF(G8="","",IF(G8="yes",900,
IF(G9="yes",75000,
IF(G8="no",IF(AND(E10="minor application",D37&lt;300000),900,
IF(AND(E10="minor application",D37&gt;=300000,D37&lt;25000000),D37*0.003,
IF(AND(E10="minor application",D37&gt;=25000000),75000,
IF(AND(E10="MAJOR APPLICATION",D37&lt;300000),3000,
IF(AND(E10="MAJOR APPLICATION",D37&gt;=300000,D37&lt;7500000),D37*0.01,
IF(AND(E10="MAJOR APPLICATION",D37&gt;=7500000),75000,""))))))))))</f>
        <v/>
      </c>
      <c r="E38" s="1283"/>
      <c r="F38" s="1283"/>
      <c r="G38" s="1284"/>
    </row>
    <row r="39" spans="1:7" ht="60" customHeight="1" thickBot="1" x14ac:dyDescent="0.25">
      <c r="A39" s="1285" t="s">
        <v>8482</v>
      </c>
      <c r="B39" s="1286"/>
      <c r="C39" s="1286"/>
      <c r="D39" s="1287"/>
      <c r="E39" s="1288"/>
      <c r="F39" s="1288"/>
      <c r="G39" s="1289"/>
    </row>
    <row r="40" spans="1:7" customFormat="1" ht="15" customHeight="1" thickBot="1" x14ac:dyDescent="0.3">
      <c r="A40" s="1297" t="s">
        <v>8411</v>
      </c>
      <c r="B40" s="1297"/>
      <c r="C40" s="1297"/>
      <c r="D40" s="1297"/>
      <c r="E40" s="1297"/>
      <c r="F40" s="1297"/>
      <c r="G40" s="1297"/>
    </row>
    <row r="41" spans="1:7" customFormat="1" ht="15" customHeight="1" thickBot="1" x14ac:dyDescent="0.3">
      <c r="A41" s="932" t="s">
        <v>10263</v>
      </c>
      <c r="B41" s="933"/>
      <c r="C41" s="933"/>
      <c r="D41" s="933"/>
      <c r="E41" s="933"/>
      <c r="F41" s="933"/>
      <c r="G41" s="934"/>
    </row>
    <row r="42" spans="1:7" customFormat="1" ht="15" customHeight="1" thickBot="1" x14ac:dyDescent="0.3">
      <c r="A42" s="1298" t="s">
        <v>10525</v>
      </c>
      <c r="B42" s="1299"/>
      <c r="C42" s="1299"/>
      <c r="D42" s="1299"/>
      <c r="E42" s="1339"/>
      <c r="F42" s="1339"/>
      <c r="G42" s="1340"/>
    </row>
    <row r="43" spans="1:7" customFormat="1" ht="15.75" thickBot="1" x14ac:dyDescent="0.3">
      <c r="A43" s="1297" t="s">
        <v>8411</v>
      </c>
      <c r="B43" s="1297"/>
      <c r="C43" s="1297"/>
      <c r="D43" s="1297"/>
      <c r="E43" s="1297"/>
      <c r="F43" s="1297"/>
      <c r="G43" s="1297"/>
    </row>
    <row r="44" spans="1:7" customFormat="1" ht="15" customHeight="1" thickBot="1" x14ac:dyDescent="0.3">
      <c r="A44" s="1344" t="s">
        <v>10264</v>
      </c>
      <c r="B44" s="1345"/>
      <c r="C44" s="1345"/>
      <c r="D44" s="1345"/>
      <c r="E44" s="1345"/>
      <c r="F44" s="1345"/>
      <c r="G44" s="1346"/>
    </row>
    <row r="45" spans="1:7" customFormat="1" ht="15" customHeight="1" x14ac:dyDescent="0.25">
      <c r="A45" s="1347" t="s">
        <v>10232</v>
      </c>
      <c r="B45" s="1348"/>
      <c r="C45" s="1348"/>
      <c r="D45" s="1348"/>
      <c r="E45" s="1348"/>
      <c r="F45" s="1348"/>
      <c r="G45" s="754"/>
    </row>
    <row r="46" spans="1:7" customFormat="1" ht="30.75" customHeight="1" x14ac:dyDescent="0.25">
      <c r="A46" s="1341" t="s">
        <v>10255</v>
      </c>
      <c r="B46" s="1341"/>
      <c r="C46" s="1341"/>
      <c r="D46" s="1341"/>
      <c r="E46" s="1341"/>
      <c r="F46" s="1341"/>
      <c r="G46" s="757"/>
    </row>
    <row r="47" spans="1:7" customFormat="1" ht="28.5" customHeight="1" thickBot="1" x14ac:dyDescent="0.3">
      <c r="A47" s="1342" t="s">
        <v>10233</v>
      </c>
      <c r="B47" s="1343"/>
      <c r="C47" s="1343"/>
      <c r="D47" s="1343"/>
      <c r="E47" s="1343"/>
      <c r="F47" s="1343"/>
      <c r="G47" s="758" t="str">
        <f>IF(OR(G45="no",AND(G45="yes",G46="yes")),"No",IF(AND(G45="yes",G46="no"),"Yes",""))</f>
        <v/>
      </c>
    </row>
    <row r="48" spans="1:7" ht="15" customHeight="1" x14ac:dyDescent="0.2">
      <c r="A48" s="1276" t="s">
        <v>8641</v>
      </c>
      <c r="B48" s="1276"/>
      <c r="C48" s="1276"/>
      <c r="D48" s="1276"/>
      <c r="E48" s="1276"/>
      <c r="F48" s="1276"/>
      <c r="G48" s="1276"/>
    </row>
    <row r="49" spans="1:7" hidden="1" x14ac:dyDescent="0.2">
      <c r="A49" s="1277" t="s">
        <v>8455</v>
      </c>
      <c r="B49" s="1277"/>
      <c r="C49" s="1277"/>
      <c r="D49" s="1277"/>
      <c r="E49" s="1277"/>
      <c r="F49" s="1277"/>
      <c r="G49" s="1277"/>
    </row>
  </sheetData>
  <sheetProtection algorithmName="SHA-512" hashValue="ts3SJyj9SCZUDNauYivMDgWapmnOF3r4W2rIKxSHHgEL97s+1owq2KmMj/NUD1vgJJGzo6G5HpF292RsewMuPQ==" saltValue="YjYmvg8gXODSJ8YmcX9dWw==" spinCount="100000" sheet="1" objects="1" scenarios="1" formatColumns="0" formatRows="0" autoFilter="0"/>
  <mergeCells count="72">
    <mergeCell ref="E42:G42"/>
    <mergeCell ref="A46:F46"/>
    <mergeCell ref="A47:F47"/>
    <mergeCell ref="A43:G43"/>
    <mergeCell ref="A44:G44"/>
    <mergeCell ref="A45:F45"/>
    <mergeCell ref="A11:G11"/>
    <mergeCell ref="A12:G12"/>
    <mergeCell ref="A13:E13"/>
    <mergeCell ref="F13:G13"/>
    <mergeCell ref="A1:G1"/>
    <mergeCell ref="A2:G2"/>
    <mergeCell ref="A5:G5"/>
    <mergeCell ref="A6:G6"/>
    <mergeCell ref="A7:G7"/>
    <mergeCell ref="A3:G3"/>
    <mergeCell ref="A4:G4"/>
    <mergeCell ref="A8:F8"/>
    <mergeCell ref="A9:F9"/>
    <mergeCell ref="E10:G10"/>
    <mergeCell ref="A10:D10"/>
    <mergeCell ref="A14:E14"/>
    <mergeCell ref="F14:G14"/>
    <mergeCell ref="A15:E15"/>
    <mergeCell ref="F15:G15"/>
    <mergeCell ref="A16:E16"/>
    <mergeCell ref="F16:G16"/>
    <mergeCell ref="A23:G23"/>
    <mergeCell ref="A17:E17"/>
    <mergeCell ref="F17:G17"/>
    <mergeCell ref="A18:E18"/>
    <mergeCell ref="F18:G18"/>
    <mergeCell ref="A19:E19"/>
    <mergeCell ref="F19:G19"/>
    <mergeCell ref="A20:E20"/>
    <mergeCell ref="F20:G20"/>
    <mergeCell ref="A21:E21"/>
    <mergeCell ref="F21:G21"/>
    <mergeCell ref="A22:G22"/>
    <mergeCell ref="A30:G30"/>
    <mergeCell ref="A24:E24"/>
    <mergeCell ref="F24:G24"/>
    <mergeCell ref="A25:E25"/>
    <mergeCell ref="F25:G25"/>
    <mergeCell ref="A26:E26"/>
    <mergeCell ref="F26:G26"/>
    <mergeCell ref="A27:E27"/>
    <mergeCell ref="F27:G27"/>
    <mergeCell ref="A28:E28"/>
    <mergeCell ref="F28:G28"/>
    <mergeCell ref="A29:G29"/>
    <mergeCell ref="A31:G31"/>
    <mergeCell ref="D32:G32"/>
    <mergeCell ref="D33:G33"/>
    <mergeCell ref="D34:G34"/>
    <mergeCell ref="D35:G35"/>
    <mergeCell ref="A48:G48"/>
    <mergeCell ref="A49:G49"/>
    <mergeCell ref="A32:C32"/>
    <mergeCell ref="A33:C33"/>
    <mergeCell ref="A34:C34"/>
    <mergeCell ref="A38:C38"/>
    <mergeCell ref="D38:G38"/>
    <mergeCell ref="A39:C39"/>
    <mergeCell ref="D39:G39"/>
    <mergeCell ref="A36:G36"/>
    <mergeCell ref="D37:G37"/>
    <mergeCell ref="A35:C35"/>
    <mergeCell ref="A37:C37"/>
    <mergeCell ref="A40:G40"/>
    <mergeCell ref="A41:G41"/>
    <mergeCell ref="A42:D42"/>
  </mergeCells>
  <conditionalFormatting sqref="A39 D39">
    <cfRule type="expression" dxfId="317" priority="118">
      <formula>$E$10="Minor application"</formula>
    </cfRule>
  </conditionalFormatting>
  <conditionalFormatting sqref="A12:G28">
    <cfRule type="expression" dxfId="315" priority="6">
      <formula>#REF!="Yes"</formula>
    </cfRule>
  </conditionalFormatting>
  <conditionalFormatting sqref="A32:G35">
    <cfRule type="expression" dxfId="314" priority="113">
      <formula>OR(#REF!="GHG/PSD/Nonattainment Application",#REF!="Fee Exemption/Reduction")</formula>
    </cfRule>
  </conditionalFormatting>
  <conditionalFormatting sqref="A38:G38">
    <cfRule type="expression" dxfId="313" priority="120">
      <formula>#REF!="Fee Exemption/Reduction"</formula>
    </cfRule>
  </conditionalFormatting>
  <conditionalFormatting sqref="A46:G46">
    <cfRule type="expression" dxfId="312" priority="1">
      <formula>$G$45="no"</formula>
    </cfRule>
    <cfRule type="expression" dxfId="311" priority="3">
      <formula>$G$44="no"</formula>
    </cfRule>
  </conditionalFormatting>
  <conditionalFormatting sqref="E42">
    <cfRule type="expression" dxfId="310" priority="2">
      <formula>AND($E$42&lt;&gt;"",$E$42&lt;&gt;$D$38)</formula>
    </cfRule>
  </conditionalFormatting>
  <conditionalFormatting sqref="G47">
    <cfRule type="expression" dxfId="309" priority="4">
      <formula>$G$47="Yes"</formula>
    </cfRule>
  </conditionalFormatting>
  <dataValidations count="9">
    <dataValidation allowBlank="1" showErrorMessage="1" prompt="enter amount" sqref="F14:G20 F25:G27" xr:uid="{F08FC1B4-F233-49D8-8396-CECFEC5A8A64}"/>
    <dataValidation allowBlank="1" showErrorMessage="1" promptTitle="Permit Application Fee" prompt="This amount is automatically calculated. If you have a fee exemption, waiver, or alternate fee amount you may enter the corrected application fee in this box." sqref="D38" xr:uid="{CFD5A7DC-9BBD-4F00-9B4F-24F2A0787A71}"/>
    <dataValidation allowBlank="1" showErrorMessage="1" promptTitle="Note:" prompt="If a P.E. Seal is required, please apply the seal to the hardcopy of this application." sqref="A46:A47" xr:uid="{64455671-68BE-4DBF-9D34-ED66EAA7FB0A}"/>
    <dataValidation type="list" allowBlank="1" showErrorMessage="1" prompt="select one" sqref="E10:G10" xr:uid="{94CE861F-2375-4DCC-856E-811C3CE1FC88}">
      <formula1>"Minor Application,Fee Exemption/Reduction for research projects by state agencies or institutions of higher education"</formula1>
    </dataValidation>
    <dataValidation type="list" allowBlank="1" showErrorMessage="1" prompt="select one" sqref="G8:G9" xr:uid="{9F03C224-B18F-4FA4-B9EB-96AB1A52AF0E}">
      <formula1>YN</formula1>
    </dataValidation>
    <dataValidation type="list" allowBlank="1" showErrorMessage="1" prompt="select one" sqref="G45:G46" xr:uid="{CDD71510-2959-4772-A18F-B9D59BD02061}">
      <formula1>"Yes,No"</formula1>
    </dataValidation>
    <dataValidation allowBlank="1" showErrorMessage="1" promptTitle="Payment Information" prompt="Enter the Company Name as it appears on the check." sqref="E43" xr:uid="{5F10CED8-54B7-45ED-AFCD-B989389FB497}"/>
    <dataValidation allowBlank="1" showErrorMessage="1" prompt="describe how this facility qualifies for an exemption or reduction" sqref="D39:G39" xr:uid="{67A13CBA-796C-4EF7-865C-E071E46266FF}"/>
    <dataValidation allowBlank="1" showErrorMessage="1" prompt="enter fee amount" sqref="E42:G42" xr:uid="{8B5CA1A1-D0DE-4E13-A67B-25BE00EAEC80}"/>
  </dataValidations>
  <hyperlinks>
    <hyperlink ref="A4" r:id="rId1" xr:uid="{D60D41D5-C103-4595-9FAC-27AC26FADFE0}"/>
  </hyperlinks>
  <printOptions horizontalCentered="1"/>
  <pageMargins left="0.7" right="0.7" top="0.75" bottom="0.75" header="0.3" footer="0.3"/>
  <pageSetup scale="80" fitToHeight="0" orientation="portrait" cellComments="asDisplayed" r:id="rId2"/>
  <headerFooter>
    <oddHeader>&amp;C&amp;"Arial,Regular"Tanks and Loading Increases RAP Application</oddHeader>
    <oddFooter>&amp;LVersion 3.0&amp;CSheet: &amp;A&amp;RPage &amp;P</oddFooter>
  </headerFooter>
  <rowBreaks count="1" manualBreakCount="1">
    <brk id="22" max="6" man="1"/>
  </rowBreaks>
  <extLst>
    <ext xmlns:x14="http://schemas.microsoft.com/office/spreadsheetml/2009/9/main" uri="{78C0D931-6437-407d-A8EE-F0AAD7539E65}">
      <x14:conditionalFormattings>
        <x14:conditionalFormatting xmlns:xm="http://schemas.microsoft.com/office/excel/2006/main">
          <x14:cfRule type="expression" priority="5" stopIfTrue="1" id="{21C7BE56-66B4-458D-BC56-ADB5A0CE82EA}">
            <xm:f>'Hidden Inputs'!$BR$5</xm:f>
            <x14:dxf>
              <font>
                <color theme="0" tint="-0.24994659260841701"/>
              </font>
              <numFmt numFmtId="171" formatCode=";;;"/>
              <fill>
                <patternFill>
                  <bgColor theme="0" tint="-0.499984740745262"/>
                </patternFill>
              </fill>
              <border>
                <left/>
                <right/>
                <top/>
                <bottom/>
              </border>
            </x14:dxf>
          </x14:cfRule>
          <xm:sqref>A1:G48</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960A3-E88F-40E9-91E3-F0FE9A95778F}">
  <sheetPr codeName="Sheet25">
    <tabColor theme="1"/>
  </sheetPr>
  <dimension ref="A1:R309"/>
  <sheetViews>
    <sheetView workbookViewId="0">
      <selection sqref="A1:G1"/>
    </sheetView>
  </sheetViews>
  <sheetFormatPr defaultColWidth="0" defaultRowHeight="12.75" zeroHeight="1" x14ac:dyDescent="0.2"/>
  <cols>
    <col min="1" max="1" width="62" style="106" customWidth="1"/>
    <col min="2" max="2" width="19.5703125" style="106" bestFit="1" customWidth="1"/>
    <col min="3" max="3" width="23.140625" style="106" customWidth="1"/>
    <col min="4" max="4" width="21.42578125" style="106" customWidth="1"/>
    <col min="5" max="17" width="18.7109375" style="106" customWidth="1"/>
    <col min="18" max="18" width="14.7109375" style="106" hidden="1" customWidth="1"/>
    <col min="19" max="16384" width="9.140625" style="106" hidden="1"/>
  </cols>
  <sheetData>
    <row r="1" spans="1:17" ht="5.0999999999999996" customHeight="1" x14ac:dyDescent="0.2">
      <c r="A1" s="1379" t="s">
        <v>8392</v>
      </c>
      <c r="B1" s="1379"/>
      <c r="C1" s="1379"/>
      <c r="D1" s="1379"/>
      <c r="E1" s="1379"/>
      <c r="F1" s="1379"/>
      <c r="G1" s="1379"/>
    </row>
    <row r="2" spans="1:17" ht="25.5" x14ac:dyDescent="0.35">
      <c r="A2" s="1368" t="s">
        <v>9993</v>
      </c>
      <c r="B2" s="1368"/>
      <c r="C2" s="1368"/>
      <c r="D2" s="1368"/>
      <c r="E2" s="1368"/>
      <c r="F2" s="1368"/>
      <c r="G2" s="1368"/>
      <c r="H2" s="1368"/>
      <c r="I2" s="1368"/>
      <c r="J2" s="1368"/>
      <c r="K2" s="1368"/>
      <c r="L2" s="1368"/>
      <c r="M2" s="1368"/>
      <c r="N2" s="1368"/>
      <c r="O2" s="1368"/>
      <c r="P2" s="1368"/>
      <c r="Q2" s="1368"/>
    </row>
    <row r="3" spans="1:17" ht="50.25" customHeight="1" thickBot="1" x14ac:dyDescent="0.25">
      <c r="A3" s="1369" t="s">
        <v>10015</v>
      </c>
      <c r="B3" s="1369"/>
      <c r="C3" s="1369"/>
      <c r="D3" s="1369"/>
      <c r="E3" s="1369"/>
      <c r="F3" s="1369"/>
      <c r="G3" s="1369"/>
      <c r="H3" s="1369"/>
      <c r="I3" s="1369"/>
      <c r="J3" s="1369"/>
      <c r="K3" s="1369"/>
      <c r="L3" s="1369"/>
      <c r="M3" s="1369"/>
      <c r="N3" s="1369"/>
      <c r="O3" s="1369"/>
      <c r="P3" s="1369"/>
      <c r="Q3" s="1369"/>
    </row>
    <row r="4" spans="1:17" ht="60" customHeight="1" thickBot="1" x14ac:dyDescent="0.3">
      <c r="A4" s="1363" t="s">
        <v>9684</v>
      </c>
      <c r="B4" s="1364"/>
      <c r="C4" s="1365"/>
      <c r="D4" s="224"/>
      <c r="E4" s="224"/>
      <c r="F4" s="224"/>
      <c r="G4" s="224"/>
    </row>
    <row r="5" spans="1:17" ht="20.100000000000001" customHeight="1" x14ac:dyDescent="0.25">
      <c r="A5" s="146" t="s">
        <v>9685</v>
      </c>
      <c r="B5" s="148" t="s">
        <v>9687</v>
      </c>
      <c r="C5" s="149" t="s">
        <v>9688</v>
      </c>
      <c r="D5" s="224"/>
      <c r="E5" s="224"/>
      <c r="F5" s="224"/>
      <c r="G5" s="224"/>
    </row>
    <row r="6" spans="1:17" ht="30" customHeight="1" x14ac:dyDescent="0.2">
      <c r="A6" s="329" t="s">
        <v>9986</v>
      </c>
      <c r="B6" s="426"/>
      <c r="C6" s="227" t="s">
        <v>9689</v>
      </c>
      <c r="D6" s="224"/>
      <c r="E6" s="224"/>
      <c r="F6" s="224"/>
      <c r="G6" s="224"/>
      <c r="H6" s="224"/>
      <c r="I6" s="224"/>
      <c r="J6" s="224"/>
      <c r="K6" s="224"/>
      <c r="L6" s="224"/>
    </row>
    <row r="7" spans="1:17" ht="30" customHeight="1" x14ac:dyDescent="0.2">
      <c r="A7" s="329" t="s">
        <v>9987</v>
      </c>
      <c r="B7" s="361"/>
      <c r="C7" s="227" t="s">
        <v>9689</v>
      </c>
      <c r="D7" s="224"/>
      <c r="E7" s="224"/>
      <c r="F7" s="224"/>
      <c r="G7" s="224"/>
      <c r="H7" s="224"/>
      <c r="I7" s="224"/>
      <c r="J7" s="224"/>
      <c r="K7" s="224"/>
      <c r="L7" s="224"/>
    </row>
    <row r="8" spans="1:17" ht="30" customHeight="1" x14ac:dyDescent="0.2">
      <c r="A8" s="359" t="s">
        <v>9988</v>
      </c>
      <c r="B8" s="431"/>
      <c r="C8" s="227" t="s">
        <v>9689</v>
      </c>
      <c r="D8" s="224"/>
      <c r="E8" s="224"/>
      <c r="F8" s="224"/>
      <c r="G8" s="224"/>
      <c r="H8" s="224"/>
      <c r="I8" s="224"/>
      <c r="J8" s="224"/>
      <c r="K8" s="224"/>
      <c r="L8" s="224"/>
    </row>
    <row r="9" spans="1:17" ht="20.100000000000001" customHeight="1" x14ac:dyDescent="0.2">
      <c r="A9" s="329" t="s">
        <v>9990</v>
      </c>
      <c r="B9" s="361"/>
      <c r="C9" s="227" t="s">
        <v>9689</v>
      </c>
      <c r="D9" s="224"/>
      <c r="E9" s="224"/>
      <c r="F9" s="224"/>
      <c r="G9" s="224"/>
      <c r="H9" s="224"/>
      <c r="I9" s="224"/>
      <c r="J9" s="224"/>
      <c r="K9" s="224"/>
      <c r="L9" s="224"/>
    </row>
    <row r="10" spans="1:17" ht="20.100000000000001" customHeight="1" x14ac:dyDescent="0.2">
      <c r="A10" s="359" t="s">
        <v>9991</v>
      </c>
      <c r="B10" s="361"/>
      <c r="C10" s="335" t="s">
        <v>9989</v>
      </c>
      <c r="D10" s="224"/>
      <c r="E10" s="224"/>
      <c r="F10" s="224"/>
      <c r="G10" s="224"/>
      <c r="H10" s="224"/>
      <c r="I10" s="224"/>
      <c r="J10" s="224"/>
      <c r="K10" s="224"/>
      <c r="L10" s="224"/>
    </row>
    <row r="11" spans="1:17" ht="20.100000000000001" customHeight="1" x14ac:dyDescent="0.2">
      <c r="A11" s="329" t="s">
        <v>9992</v>
      </c>
      <c r="B11" s="361"/>
      <c r="C11" s="335" t="s">
        <v>9989</v>
      </c>
      <c r="D11" s="224"/>
      <c r="E11" s="224"/>
      <c r="F11" s="224"/>
      <c r="G11" s="224"/>
      <c r="H11" s="224"/>
      <c r="I11" s="224"/>
      <c r="J11" s="224"/>
      <c r="K11" s="224"/>
      <c r="L11" s="224"/>
    </row>
    <row r="12" spans="1:17" ht="30" customHeight="1" x14ac:dyDescent="0.2">
      <c r="A12" s="330" t="s">
        <v>9690</v>
      </c>
      <c r="B12" s="361"/>
      <c r="C12" s="227" t="s">
        <v>9689</v>
      </c>
      <c r="D12" s="224"/>
      <c r="E12" s="224"/>
    </row>
    <row r="13" spans="1:17" ht="30" customHeight="1" x14ac:dyDescent="0.2">
      <c r="A13" s="330" t="s">
        <v>9691</v>
      </c>
      <c r="B13" s="426"/>
      <c r="C13" s="227" t="s">
        <v>9689</v>
      </c>
      <c r="D13" s="224"/>
      <c r="E13" s="224"/>
    </row>
    <row r="14" spans="1:17" ht="60" customHeight="1" thickBot="1" x14ac:dyDescent="0.25">
      <c r="A14" s="331" t="s">
        <v>9692</v>
      </c>
      <c r="B14" s="427"/>
      <c r="C14" s="231" t="s">
        <v>9689</v>
      </c>
      <c r="D14" s="224"/>
      <c r="E14" s="224"/>
    </row>
    <row r="15" spans="1:17" ht="30" customHeight="1" thickBot="1" x14ac:dyDescent="0.25">
      <c r="A15" s="1377" t="s">
        <v>8411</v>
      </c>
      <c r="B15" s="1377"/>
      <c r="C15" s="1377"/>
      <c r="D15" s="1377"/>
      <c r="E15" s="224"/>
    </row>
    <row r="16" spans="1:17" ht="45" customHeight="1" thickBot="1" x14ac:dyDescent="0.3">
      <c r="A16" s="1370" t="s">
        <v>9969</v>
      </c>
      <c r="B16" s="1371"/>
      <c r="C16" s="1371"/>
      <c r="D16" s="1371"/>
      <c r="E16" s="1371"/>
      <c r="F16" s="1371"/>
      <c r="G16" s="1371"/>
      <c r="H16" s="1371"/>
      <c r="I16" s="1371"/>
      <c r="J16" s="1371"/>
      <c r="K16" s="1371"/>
      <c r="L16" s="1371"/>
      <c r="M16" s="1371"/>
      <c r="N16" s="1371"/>
      <c r="O16" s="1371"/>
      <c r="P16" s="1371"/>
      <c r="Q16" s="1372"/>
    </row>
    <row r="17" spans="1:17" ht="20.100000000000001" customHeight="1" x14ac:dyDescent="0.25">
      <c r="A17" s="146" t="s">
        <v>9502</v>
      </c>
      <c r="B17" s="147" t="s">
        <v>9503</v>
      </c>
      <c r="C17" s="148" t="s">
        <v>9504</v>
      </c>
      <c r="D17" s="148" t="s">
        <v>9505</v>
      </c>
      <c r="E17" s="148" t="s">
        <v>9506</v>
      </c>
      <c r="F17" s="148" t="s">
        <v>9507</v>
      </c>
      <c r="G17" s="148" t="s">
        <v>9508</v>
      </c>
      <c r="H17" s="148" t="s">
        <v>9509</v>
      </c>
      <c r="I17" s="148" t="s">
        <v>9510</v>
      </c>
      <c r="J17" s="148" t="s">
        <v>9511</v>
      </c>
      <c r="K17" s="150" t="s">
        <v>9512</v>
      </c>
      <c r="L17" s="148" t="s">
        <v>9513</v>
      </c>
      <c r="M17" s="148" t="s">
        <v>9514</v>
      </c>
      <c r="N17" s="150" t="s">
        <v>9515</v>
      </c>
      <c r="O17" s="148" t="s">
        <v>9516</v>
      </c>
      <c r="P17" s="148" t="s">
        <v>9517</v>
      </c>
      <c r="Q17" s="146" t="s">
        <v>1</v>
      </c>
    </row>
    <row r="18" spans="1:17" ht="30" customHeight="1" x14ac:dyDescent="0.2">
      <c r="A18" s="228" t="s">
        <v>9693</v>
      </c>
      <c r="B18" s="428"/>
      <c r="C18" s="364"/>
      <c r="D18" s="364"/>
      <c r="E18" s="364"/>
      <c r="F18" s="364"/>
      <c r="G18" s="364"/>
      <c r="H18" s="364"/>
      <c r="I18" s="364"/>
      <c r="J18" s="364"/>
      <c r="K18" s="365"/>
      <c r="L18" s="364"/>
      <c r="M18" s="364"/>
      <c r="N18" s="365"/>
      <c r="O18" s="364"/>
      <c r="P18" s="364"/>
      <c r="Q18" s="232"/>
    </row>
    <row r="19" spans="1:17" ht="20.100000000000001" customHeight="1" x14ac:dyDescent="0.2">
      <c r="A19" s="332" t="s">
        <v>9694</v>
      </c>
      <c r="B19" s="428"/>
      <c r="C19" s="364"/>
      <c r="D19" s="364"/>
      <c r="E19" s="364"/>
      <c r="F19" s="364"/>
      <c r="G19" s="364"/>
      <c r="H19" s="364"/>
      <c r="I19" s="364"/>
      <c r="J19" s="364"/>
      <c r="K19" s="365"/>
      <c r="L19" s="364"/>
      <c r="M19" s="364"/>
      <c r="N19" s="365"/>
      <c r="O19" s="364"/>
      <c r="P19" s="364"/>
      <c r="Q19" s="234" t="str">
        <f>IF(IFERROR(MATCH("Yes",$B$19:$P$19,0),0)&lt;&gt;0,"Yes","No")</f>
        <v>No</v>
      </c>
    </row>
    <row r="20" spans="1:17" ht="20.100000000000001" customHeight="1" thickBot="1" x14ac:dyDescent="0.25">
      <c r="A20" s="235" t="s">
        <v>9695</v>
      </c>
      <c r="B20" s="366"/>
      <c r="C20" s="367"/>
      <c r="D20" s="367"/>
      <c r="E20" s="367"/>
      <c r="F20" s="367"/>
      <c r="G20" s="367"/>
      <c r="H20" s="367"/>
      <c r="I20" s="367"/>
      <c r="J20" s="367"/>
      <c r="K20" s="368"/>
      <c r="L20" s="367"/>
      <c r="M20" s="367"/>
      <c r="N20" s="368"/>
      <c r="O20" s="367"/>
      <c r="P20" s="367"/>
      <c r="Q20" s="236">
        <f>SUM(B20:P20)</f>
        <v>0</v>
      </c>
    </row>
    <row r="21" spans="1:17" ht="20.100000000000001" customHeight="1" x14ac:dyDescent="0.2">
      <c r="A21" s="237" t="s">
        <v>9696</v>
      </c>
      <c r="B21" s="238">
        <f>_xlfn.IFNA(VLOOKUP(B18,'TANKS Vapor Fx'!$A$3:$C$294,3,FALSE),0)</f>
        <v>0</v>
      </c>
      <c r="C21" s="238">
        <f>_xlfn.IFNA(VLOOKUP(C18,'TANKS Vapor Fx'!$A$3:$C$294,3,FALSE),0)</f>
        <v>0</v>
      </c>
      <c r="D21" s="238">
        <f>_xlfn.IFNA(VLOOKUP(D18,'TANKS Vapor Fx'!$A$3:$C$294,3,FALSE),0)</f>
        <v>0</v>
      </c>
      <c r="E21" s="238">
        <f>_xlfn.IFNA(VLOOKUP(E18,'TANKS Vapor Fx'!$A$3:$C$294,3,FALSE),0)</f>
        <v>0</v>
      </c>
      <c r="F21" s="238">
        <f>_xlfn.IFNA(VLOOKUP(F18,'TANKS Vapor Fx'!$A$3:$C$294,3,FALSE),0)</f>
        <v>0</v>
      </c>
      <c r="G21" s="238">
        <f>_xlfn.IFNA(VLOOKUP(G18,'TANKS Vapor Fx'!$A$3:$C$294,3,FALSE),0)</f>
        <v>0</v>
      </c>
      <c r="H21" s="238">
        <f>_xlfn.IFNA(VLOOKUP(H18,'TANKS Vapor Fx'!$A$3:$C$294,3,FALSE),0)</f>
        <v>0</v>
      </c>
      <c r="I21" s="238">
        <f>_xlfn.IFNA(VLOOKUP(I18,'TANKS Vapor Fx'!$A$3:$C$294,3,FALSE),0)</f>
        <v>0</v>
      </c>
      <c r="J21" s="238">
        <f>_xlfn.IFNA(VLOOKUP(J18,'TANKS Vapor Fx'!$A$3:$C$294,3,FALSE),0)</f>
        <v>0</v>
      </c>
      <c r="K21" s="238">
        <f>_xlfn.IFNA(VLOOKUP(K18,'TANKS Vapor Fx'!$A$3:$C$294,3,FALSE),0)</f>
        <v>0</v>
      </c>
      <c r="L21" s="238">
        <f>_xlfn.IFNA(VLOOKUP(L18,'TANKS Vapor Fx'!$A$3:$C$294,3,FALSE),0)</f>
        <v>0</v>
      </c>
      <c r="M21" s="238">
        <f>_xlfn.IFNA(VLOOKUP(M18,'TANKS Vapor Fx'!$A$3:$C$294,3,FALSE),0)</f>
        <v>0</v>
      </c>
      <c r="N21" s="238">
        <f>_xlfn.IFNA(VLOOKUP(N18,'TANKS Vapor Fx'!$A$3:$C$294,3,FALSE),0)</f>
        <v>0</v>
      </c>
      <c r="O21" s="238">
        <f>_xlfn.IFNA(VLOOKUP(O18,'TANKS Vapor Fx'!$A$3:$C$294,3,FALSE),0)</f>
        <v>0</v>
      </c>
      <c r="P21" s="238">
        <f>_xlfn.IFNA(VLOOKUP(P18,'TANKS Vapor Fx'!$A$3:$C$294,3,FALSE),0)</f>
        <v>0</v>
      </c>
      <c r="Q21" s="239">
        <f>'TANKS Calculations'!W7</f>
        <v>0</v>
      </c>
    </row>
    <row r="22" spans="1:17" ht="20.100000000000001" customHeight="1" thickBot="1" x14ac:dyDescent="0.25">
      <c r="A22" s="240" t="s">
        <v>9697</v>
      </c>
      <c r="B22" s="373"/>
      <c r="C22" s="369"/>
      <c r="D22" s="369"/>
      <c r="E22" s="369"/>
      <c r="F22" s="369"/>
      <c r="G22" s="369"/>
      <c r="H22" s="369"/>
      <c r="I22" s="369"/>
      <c r="J22" s="369"/>
      <c r="K22" s="370"/>
      <c r="L22" s="369"/>
      <c r="M22" s="369"/>
      <c r="N22" s="370"/>
      <c r="O22" s="369"/>
      <c r="P22" s="369"/>
      <c r="Q22" s="241"/>
    </row>
    <row r="23" spans="1:17" ht="20.100000000000001" customHeight="1" x14ac:dyDescent="0.2">
      <c r="A23" s="237" t="s">
        <v>9698</v>
      </c>
      <c r="B23" s="242">
        <f t="shared" ref="B23:P23" si="0">IF(ISBLANK(B18),0,IF(B19="Yes",IF($B$12="Fixed",0.75,0.4),1))</f>
        <v>0</v>
      </c>
      <c r="C23" s="242">
        <f t="shared" si="0"/>
        <v>0</v>
      </c>
      <c r="D23" s="242">
        <f t="shared" si="0"/>
        <v>0</v>
      </c>
      <c r="E23" s="242">
        <f t="shared" si="0"/>
        <v>0</v>
      </c>
      <c r="F23" s="242">
        <f t="shared" si="0"/>
        <v>0</v>
      </c>
      <c r="G23" s="242">
        <f t="shared" si="0"/>
        <v>0</v>
      </c>
      <c r="H23" s="242">
        <f t="shared" si="0"/>
        <v>0</v>
      </c>
      <c r="I23" s="242">
        <f t="shared" si="0"/>
        <v>0</v>
      </c>
      <c r="J23" s="242">
        <f t="shared" si="0"/>
        <v>0</v>
      </c>
      <c r="K23" s="242">
        <f t="shared" si="0"/>
        <v>0</v>
      </c>
      <c r="L23" s="242">
        <f t="shared" si="0"/>
        <v>0</v>
      </c>
      <c r="M23" s="242">
        <f t="shared" si="0"/>
        <v>0</v>
      </c>
      <c r="N23" s="242">
        <f t="shared" si="0"/>
        <v>0</v>
      </c>
      <c r="O23" s="242">
        <f t="shared" si="0"/>
        <v>0</v>
      </c>
      <c r="P23" s="242">
        <f t="shared" si="0"/>
        <v>0</v>
      </c>
      <c r="Q23" s="243">
        <f>'TANKS Calculations'!W9</f>
        <v>1</v>
      </c>
    </row>
    <row r="24" spans="1:17" ht="20.100000000000001" customHeight="1" thickBot="1" x14ac:dyDescent="0.25">
      <c r="A24" s="240" t="s">
        <v>9699</v>
      </c>
      <c r="B24" s="373"/>
      <c r="C24" s="369"/>
      <c r="D24" s="369"/>
      <c r="E24" s="369"/>
      <c r="F24" s="369"/>
      <c r="G24" s="369"/>
      <c r="H24" s="369"/>
      <c r="I24" s="369"/>
      <c r="J24" s="369"/>
      <c r="K24" s="370"/>
      <c r="L24" s="369"/>
      <c r="M24" s="369"/>
      <c r="N24" s="370"/>
      <c r="O24" s="369"/>
      <c r="P24" s="369"/>
      <c r="Q24" s="241"/>
    </row>
    <row r="25" spans="1:17" ht="20.100000000000001" customHeight="1" x14ac:dyDescent="0.2">
      <c r="A25" s="237" t="s">
        <v>9700</v>
      </c>
      <c r="B25" s="238">
        <f>_xlfn.IFNA(VLOOKUP(B18,'TANKS Vapor Fx'!$A$3:$B$294,2,FALSE),0)</f>
        <v>0</v>
      </c>
      <c r="C25" s="238">
        <f>_xlfn.IFNA(VLOOKUP(C18,'TANKS Vapor Fx'!$A$3:$B$294,2,FALSE),0)</f>
        <v>0</v>
      </c>
      <c r="D25" s="238">
        <f>_xlfn.IFNA(VLOOKUP(D18,'TANKS Vapor Fx'!$A$3:$B$294,2,FALSE),0)</f>
        <v>0</v>
      </c>
      <c r="E25" s="238">
        <f>_xlfn.IFNA(VLOOKUP(E18,'TANKS Vapor Fx'!$A$3:$B$294,2,FALSE),0)</f>
        <v>0</v>
      </c>
      <c r="F25" s="238">
        <f>_xlfn.IFNA(VLOOKUP(F18,'TANKS Vapor Fx'!$A$3:$B$294,2,FALSE),0)</f>
        <v>0</v>
      </c>
      <c r="G25" s="238">
        <f>_xlfn.IFNA(VLOOKUP(G18,'TANKS Vapor Fx'!$A$3:$B$294,2,FALSE),0)</f>
        <v>0</v>
      </c>
      <c r="H25" s="238">
        <f>_xlfn.IFNA(VLOOKUP(H18,'TANKS Vapor Fx'!$A$3:$B$294,2,FALSE),0)</f>
        <v>0</v>
      </c>
      <c r="I25" s="238">
        <f>_xlfn.IFNA(VLOOKUP(I18,'TANKS Vapor Fx'!$A$3:$B$294,2,FALSE),0)</f>
        <v>0</v>
      </c>
      <c r="J25" s="238">
        <f>_xlfn.IFNA(VLOOKUP(J18,'TANKS Vapor Fx'!$A$3:$B$294,2,FALSE),0)</f>
        <v>0</v>
      </c>
      <c r="K25" s="238">
        <f>_xlfn.IFNA(VLOOKUP(K18,'TANKS Vapor Fx'!$A$3:$B$294,2,FALSE),0)</f>
        <v>0</v>
      </c>
      <c r="L25" s="238">
        <f>_xlfn.IFNA(VLOOKUP(L18,'TANKS Vapor Fx'!$A$3:$B$294,2,FALSE),0)</f>
        <v>0</v>
      </c>
      <c r="M25" s="238">
        <f>_xlfn.IFNA(VLOOKUP(M18,'TANKS Vapor Fx'!$A$3:$B$294,2,FALSE),0)</f>
        <v>0</v>
      </c>
      <c r="N25" s="238">
        <f>_xlfn.IFNA(VLOOKUP(N18,'TANKS Vapor Fx'!$A$3:$B$294,2,FALSE),0)</f>
        <v>0</v>
      </c>
      <c r="O25" s="238">
        <f>_xlfn.IFNA(VLOOKUP(O18,'TANKS Vapor Fx'!$A$3:$B$294,2,FALSE),0)</f>
        <v>0</v>
      </c>
      <c r="P25" s="238">
        <f>_xlfn.IFNA(VLOOKUP(P18,'TANKS Vapor Fx'!$A$3:$B$294,2,FALSE),0)</f>
        <v>0</v>
      </c>
      <c r="Q25" s="239">
        <f>SUM('TANKS Calculations'!H10:Q10)</f>
        <v>0</v>
      </c>
    </row>
    <row r="26" spans="1:17" ht="20.100000000000001" customHeight="1" thickBot="1" x14ac:dyDescent="0.25">
      <c r="A26" s="235" t="s">
        <v>9701</v>
      </c>
      <c r="B26" s="374"/>
      <c r="C26" s="371"/>
      <c r="D26" s="371"/>
      <c r="E26" s="371"/>
      <c r="F26" s="371"/>
      <c r="G26" s="371"/>
      <c r="H26" s="371"/>
      <c r="I26" s="371"/>
      <c r="J26" s="371"/>
      <c r="K26" s="372"/>
      <c r="L26" s="371"/>
      <c r="M26" s="371"/>
      <c r="N26" s="372"/>
      <c r="O26" s="371"/>
      <c r="P26" s="371"/>
      <c r="Q26" s="244"/>
    </row>
    <row r="27" spans="1:17" ht="30" customHeight="1" thickBot="1" x14ac:dyDescent="0.25">
      <c r="A27" s="1376" t="s">
        <v>8411</v>
      </c>
      <c r="B27" s="1376"/>
      <c r="C27" s="1376"/>
      <c r="D27" s="1376"/>
      <c r="E27" s="151"/>
      <c r="F27" s="224"/>
      <c r="G27" s="224"/>
      <c r="H27" s="224"/>
      <c r="I27" s="224"/>
      <c r="J27" s="224"/>
      <c r="K27" s="224"/>
      <c r="L27" s="224"/>
      <c r="M27" s="224"/>
      <c r="N27" s="224"/>
      <c r="O27" s="224"/>
      <c r="P27" s="224"/>
      <c r="Q27" s="224"/>
    </row>
    <row r="28" spans="1:17" ht="60" customHeight="1" thickBot="1" x14ac:dyDescent="0.3">
      <c r="A28" s="1352" t="s">
        <v>9684</v>
      </c>
      <c r="B28" s="1353"/>
      <c r="C28" s="1353"/>
      <c r="D28" s="1354"/>
      <c r="E28" s="224"/>
      <c r="F28" s="224"/>
      <c r="G28" s="224"/>
      <c r="H28" s="224"/>
      <c r="I28" s="224"/>
      <c r="J28" s="224"/>
      <c r="K28" s="224"/>
      <c r="L28" s="224"/>
      <c r="M28" s="224"/>
      <c r="N28" s="224"/>
      <c r="O28" s="224"/>
      <c r="P28" s="224"/>
      <c r="Q28" s="224"/>
    </row>
    <row r="29" spans="1:17" ht="20.100000000000001" customHeight="1" thickBot="1" x14ac:dyDescent="0.3">
      <c r="A29" s="152" t="s">
        <v>9685</v>
      </c>
      <c r="B29" s="153" t="s">
        <v>9686</v>
      </c>
      <c r="C29" s="154" t="s">
        <v>9687</v>
      </c>
      <c r="D29" s="155" t="s">
        <v>9688</v>
      </c>
      <c r="E29" s="224"/>
      <c r="F29" s="224"/>
      <c r="G29" s="224"/>
      <c r="H29" s="224"/>
      <c r="I29" s="224"/>
      <c r="J29" s="224"/>
      <c r="K29" s="224"/>
      <c r="L29" s="224"/>
      <c r="M29" s="224"/>
      <c r="N29" s="224"/>
      <c r="O29" s="224"/>
      <c r="P29" s="224"/>
      <c r="Q29" s="224"/>
    </row>
    <row r="30" spans="1:17" ht="20.100000000000001" customHeight="1" x14ac:dyDescent="0.2">
      <c r="A30" s="225" t="s">
        <v>9702</v>
      </c>
      <c r="B30" s="245">
        <f>_xlfn.IFNA(VLOOKUP(B14,'TANKS Data'!$A$189:$H$213,8,FALSE),14.7)</f>
        <v>14.7</v>
      </c>
      <c r="C30" s="375"/>
      <c r="D30" s="246" t="s">
        <v>8867</v>
      </c>
      <c r="E30" s="224"/>
      <c r="F30" s="224"/>
      <c r="G30" s="224"/>
      <c r="H30" s="224"/>
      <c r="I30" s="224"/>
      <c r="J30" s="224"/>
      <c r="K30" s="224"/>
      <c r="L30" s="224"/>
      <c r="M30" s="224"/>
      <c r="N30" s="224"/>
      <c r="O30" s="224"/>
      <c r="P30" s="224"/>
      <c r="Q30" s="224"/>
    </row>
    <row r="31" spans="1:17" ht="30" customHeight="1" x14ac:dyDescent="0.2">
      <c r="A31" s="247" t="s">
        <v>9703</v>
      </c>
      <c r="B31" s="300" t="s">
        <v>8708</v>
      </c>
      <c r="C31" s="376"/>
      <c r="D31" s="249" t="s">
        <v>9689</v>
      </c>
      <c r="E31" s="224"/>
      <c r="F31" s="224"/>
      <c r="G31" s="224"/>
      <c r="H31" s="224"/>
      <c r="I31" s="224"/>
      <c r="J31" s="224"/>
      <c r="K31" s="224"/>
      <c r="L31" s="224"/>
      <c r="M31" s="224"/>
      <c r="N31" s="224"/>
      <c r="O31" s="224"/>
      <c r="P31" s="224"/>
      <c r="Q31" s="224"/>
    </row>
    <row r="32" spans="1:17" ht="20.100000000000001" customHeight="1" x14ac:dyDescent="0.35">
      <c r="A32" s="228" t="s">
        <v>9704</v>
      </c>
      <c r="B32" s="250">
        <f>Q23</f>
        <v>1</v>
      </c>
      <c r="C32" s="377"/>
      <c r="D32" s="227" t="s">
        <v>9689</v>
      </c>
      <c r="E32" s="224"/>
      <c r="F32" s="224"/>
      <c r="G32" s="224"/>
      <c r="H32" s="224"/>
      <c r="I32" s="224"/>
    </row>
    <row r="33" spans="1:9" ht="20.100000000000001" customHeight="1" x14ac:dyDescent="0.2">
      <c r="A33" s="329" t="s">
        <v>9705</v>
      </c>
      <c r="B33" s="251" t="s">
        <v>8708</v>
      </c>
      <c r="C33" s="378"/>
      <c r="D33" s="246" t="s">
        <v>9689</v>
      </c>
      <c r="E33" s="224"/>
      <c r="F33" s="224"/>
      <c r="G33" s="224"/>
      <c r="H33" s="224"/>
      <c r="I33" s="224"/>
    </row>
    <row r="34" spans="1:9" ht="20.100000000000001" customHeight="1" x14ac:dyDescent="0.2">
      <c r="A34" s="330" t="s">
        <v>9706</v>
      </c>
      <c r="B34" s="229" t="s">
        <v>8708</v>
      </c>
      <c r="C34" s="379"/>
      <c r="D34" s="227" t="s">
        <v>9707</v>
      </c>
      <c r="E34" s="224"/>
      <c r="F34" s="224"/>
      <c r="G34" s="224"/>
      <c r="H34" s="224"/>
      <c r="I34" s="224"/>
    </row>
    <row r="35" spans="1:9" ht="20.100000000000001" customHeight="1" x14ac:dyDescent="0.2">
      <c r="A35" s="228" t="s">
        <v>9708</v>
      </c>
      <c r="B35" s="229" t="s">
        <v>8708</v>
      </c>
      <c r="C35" s="380"/>
      <c r="D35" s="227" t="s">
        <v>9689</v>
      </c>
      <c r="E35" s="224"/>
      <c r="F35" s="224"/>
      <c r="G35" s="224"/>
      <c r="H35" s="224"/>
      <c r="I35" s="224"/>
    </row>
    <row r="36" spans="1:9" ht="30" customHeight="1" x14ac:dyDescent="0.2">
      <c r="A36" s="228" t="s">
        <v>9709</v>
      </c>
      <c r="B36" s="229" t="s">
        <v>8708</v>
      </c>
      <c r="C36" s="379"/>
      <c r="D36" s="227" t="s">
        <v>9707</v>
      </c>
      <c r="E36" s="224"/>
      <c r="F36" s="224"/>
      <c r="G36" s="224"/>
      <c r="H36" s="224"/>
      <c r="I36" s="224"/>
    </row>
    <row r="37" spans="1:9" ht="20.100000000000001" customHeight="1" x14ac:dyDescent="0.2">
      <c r="A37" s="228" t="s">
        <v>9710</v>
      </c>
      <c r="B37" s="229" t="s">
        <v>8708</v>
      </c>
      <c r="C37" s="379"/>
      <c r="D37" s="227" t="s">
        <v>9707</v>
      </c>
      <c r="E37" s="224"/>
      <c r="F37" s="224"/>
      <c r="G37" s="224"/>
      <c r="H37" s="224"/>
      <c r="I37" s="224"/>
    </row>
    <row r="38" spans="1:9" ht="20.100000000000001" customHeight="1" x14ac:dyDescent="0.35">
      <c r="A38" s="228" t="s">
        <v>9711</v>
      </c>
      <c r="B38" s="252">
        <f>IFERROR(IF('TANKS Calculations'!B5&gt;0,'TANKS Calculations'!B5,SQRT(4*'TANKS Calculations'!B7*'TANKS Calculations'!B6/PI())),0)</f>
        <v>0</v>
      </c>
      <c r="C38" s="379"/>
      <c r="D38" s="227" t="s">
        <v>9707</v>
      </c>
      <c r="E38" s="224"/>
      <c r="F38" s="224"/>
      <c r="G38" s="224"/>
      <c r="H38" s="224"/>
      <c r="I38" s="224"/>
    </row>
    <row r="39" spans="1:9" ht="30" customHeight="1" x14ac:dyDescent="0.2">
      <c r="A39" s="228" t="s">
        <v>9712</v>
      </c>
      <c r="B39" s="253">
        <f>'TANKS Calculations'!B6*PI()/4</f>
        <v>0</v>
      </c>
      <c r="C39" s="379"/>
      <c r="D39" s="227" t="s">
        <v>9707</v>
      </c>
      <c r="E39" s="224"/>
      <c r="F39" s="224"/>
      <c r="G39" s="224"/>
      <c r="H39" s="224"/>
      <c r="I39" s="224"/>
    </row>
    <row r="40" spans="1:9" ht="20.100000000000001" customHeight="1" x14ac:dyDescent="0.2">
      <c r="A40" s="228" t="s">
        <v>9713</v>
      </c>
      <c r="B40" s="254" t="s">
        <v>8708</v>
      </c>
      <c r="C40" s="379"/>
      <c r="D40" s="227" t="s">
        <v>9707</v>
      </c>
      <c r="E40" s="224"/>
      <c r="F40" s="224"/>
      <c r="G40" s="224"/>
      <c r="H40" s="224"/>
      <c r="I40" s="224"/>
    </row>
    <row r="41" spans="1:9" ht="20.100000000000001" customHeight="1" x14ac:dyDescent="0.2">
      <c r="A41" s="228" t="s">
        <v>9714</v>
      </c>
      <c r="B41" s="255">
        <f>IF(C33="Horizontal",'TANKS Calculations'!B6,'TANKS Calculations'!B10)-1</f>
        <v>-1</v>
      </c>
      <c r="C41" s="379"/>
      <c r="D41" s="227" t="s">
        <v>9707</v>
      </c>
      <c r="E41" s="224"/>
      <c r="F41" s="224"/>
      <c r="G41" s="224"/>
      <c r="H41" s="224"/>
      <c r="I41" s="224"/>
    </row>
    <row r="42" spans="1:9" ht="20.100000000000001" customHeight="1" x14ac:dyDescent="0.2">
      <c r="A42" s="228" t="s">
        <v>9715</v>
      </c>
      <c r="B42" s="255">
        <v>1</v>
      </c>
      <c r="C42" s="379"/>
      <c r="D42" s="227" t="s">
        <v>9707</v>
      </c>
      <c r="E42" s="224"/>
      <c r="F42" s="224"/>
      <c r="G42" s="224"/>
      <c r="H42" s="224"/>
      <c r="I42" s="224"/>
    </row>
    <row r="43" spans="1:9" ht="20.100000000000001" customHeight="1" x14ac:dyDescent="0.2">
      <c r="A43" s="228" t="s">
        <v>9716</v>
      </c>
      <c r="B43" s="255">
        <f>('TANKS Calculations'!B11+'TANKS Calculations'!B12)/2</f>
        <v>0</v>
      </c>
      <c r="C43" s="379"/>
      <c r="D43" s="227" t="s">
        <v>9707</v>
      </c>
      <c r="E43" s="224"/>
      <c r="F43" s="224"/>
      <c r="G43" s="224"/>
      <c r="H43" s="224"/>
      <c r="I43" s="224"/>
    </row>
    <row r="44" spans="1:9" ht="20.100000000000001" customHeight="1" x14ac:dyDescent="0.2">
      <c r="A44" s="256" t="s">
        <v>9717</v>
      </c>
      <c r="B44" s="229" t="s">
        <v>8708</v>
      </c>
      <c r="C44" s="381"/>
      <c r="D44" s="227" t="s">
        <v>9718</v>
      </c>
      <c r="E44" s="224"/>
      <c r="F44" s="224"/>
      <c r="G44" s="224"/>
      <c r="H44" s="224"/>
      <c r="I44" s="224"/>
    </row>
    <row r="45" spans="1:9" ht="39.950000000000003" customHeight="1" x14ac:dyDescent="0.35">
      <c r="A45" s="228" t="s">
        <v>9719</v>
      </c>
      <c r="B45" s="229" t="s">
        <v>8708</v>
      </c>
      <c r="C45" s="382"/>
      <c r="D45" s="227" t="s">
        <v>9689</v>
      </c>
      <c r="E45" s="224"/>
      <c r="F45" s="224"/>
      <c r="G45" s="224"/>
      <c r="H45" s="224"/>
      <c r="I45" s="224"/>
    </row>
    <row r="46" spans="1:9" ht="30" customHeight="1" x14ac:dyDescent="0.2">
      <c r="A46" s="228" t="s">
        <v>9720</v>
      </c>
      <c r="B46" s="229" t="s">
        <v>8708</v>
      </c>
      <c r="C46" s="382"/>
      <c r="D46" s="227" t="s">
        <v>9689</v>
      </c>
      <c r="E46" s="224"/>
      <c r="F46" s="224"/>
      <c r="G46" s="224"/>
      <c r="H46" s="224"/>
      <c r="I46" s="224"/>
    </row>
    <row r="47" spans="1:9" ht="30" customHeight="1" x14ac:dyDescent="0.2">
      <c r="A47" s="228" t="s">
        <v>9721</v>
      </c>
      <c r="B47" s="257" t="s">
        <v>8708</v>
      </c>
      <c r="C47" s="381"/>
      <c r="D47" s="227" t="s">
        <v>9722</v>
      </c>
      <c r="E47" s="224"/>
      <c r="F47" s="224"/>
      <c r="G47" s="224"/>
      <c r="H47" s="224"/>
      <c r="I47" s="224"/>
    </row>
    <row r="48" spans="1:9" ht="30" customHeight="1" x14ac:dyDescent="0.2">
      <c r="A48" s="228" t="s">
        <v>9723</v>
      </c>
      <c r="B48" s="257" t="s">
        <v>8708</v>
      </c>
      <c r="C48" s="381"/>
      <c r="D48" s="227" t="s">
        <v>9722</v>
      </c>
      <c r="E48" s="224"/>
      <c r="F48" s="224"/>
      <c r="G48" s="224"/>
      <c r="H48" s="224"/>
      <c r="I48" s="224"/>
    </row>
    <row r="49" spans="1:9" ht="20.100000000000001" customHeight="1" x14ac:dyDescent="0.2">
      <c r="A49" s="256" t="s">
        <v>9724</v>
      </c>
      <c r="B49" s="258">
        <f>IFERROR(IF(C45="Yes",'TANKS Calculations'!B18/('TANKS Calculations'!B11-'TANKS Calculations'!B12),'TANKS Calculations'!B16/'TANKS Calculations'!B14),0)</f>
        <v>0</v>
      </c>
      <c r="C49" s="383"/>
      <c r="D49" s="259" t="s">
        <v>9725</v>
      </c>
      <c r="E49" s="224"/>
      <c r="F49" s="224"/>
      <c r="G49" s="224"/>
      <c r="H49" s="224"/>
      <c r="I49" s="224"/>
    </row>
    <row r="50" spans="1:9" ht="20.100000000000001" customHeight="1" x14ac:dyDescent="0.2">
      <c r="A50" s="256" t="s">
        <v>9726</v>
      </c>
      <c r="B50" s="260">
        <f>IF(AND(C45="No",C46="No"),C44*'TANKS Calculations'!B15,('TANKS Calculations'!B19*(PI()/4)*('TANKS Calculations'!B8^2))/(5.614*0.02381))</f>
        <v>0</v>
      </c>
      <c r="C50" s="381"/>
      <c r="D50" s="227" t="s">
        <v>9727</v>
      </c>
      <c r="E50" s="224"/>
      <c r="F50" s="224"/>
      <c r="G50" s="224"/>
      <c r="H50" s="224"/>
      <c r="I50" s="224"/>
    </row>
    <row r="51" spans="1:9" ht="20.100000000000001" customHeight="1" x14ac:dyDescent="0.2">
      <c r="A51" s="225"/>
      <c r="B51" s="260">
        <f>IFERROR('TANKS Calculations'!B16*0.02381,0)</f>
        <v>0</v>
      </c>
      <c r="C51" s="381"/>
      <c r="D51" s="227" t="s">
        <v>9728</v>
      </c>
      <c r="E51" s="224"/>
      <c r="F51" s="224"/>
      <c r="G51" s="224"/>
      <c r="H51" s="224"/>
      <c r="I51" s="224"/>
    </row>
    <row r="52" spans="1:9" ht="20.100000000000001" customHeight="1" x14ac:dyDescent="0.35">
      <c r="A52" s="247" t="s">
        <v>9729</v>
      </c>
      <c r="B52" s="261">
        <f>IFERROR(IF(C45="Yes",'TANKS Calculations'!B18*('TANKS Calculations'!B8^2)*PI()/4,5.614*'TANKS Calculations'!B17),0)</f>
        <v>0</v>
      </c>
      <c r="C52" s="384"/>
      <c r="D52" s="249" t="s">
        <v>9730</v>
      </c>
      <c r="E52" s="224"/>
      <c r="F52" s="224"/>
      <c r="G52" s="224"/>
      <c r="H52" s="224"/>
      <c r="I52" s="224"/>
    </row>
    <row r="53" spans="1:9" ht="20.100000000000001" customHeight="1" thickBot="1" x14ac:dyDescent="0.25">
      <c r="A53" s="262" t="s">
        <v>9731</v>
      </c>
      <c r="B53" s="263">
        <f>IFERROR(IF(ISBLANK(C49),IF(('TANKS Calculations'!B17/0.02381)/'TANKS Calculations'!B14&lt;=36,1,(180+(('TANKS Calculations'!B17/0.02381))/'TANKS Calculations'!B14)/(6*(('TANKS Calculations'!B17/0.02381)/'TANKS Calculations'!B14))),IF('TANKS Calculations'!B15&lt;=36,1,(180+'TANKS Calculations'!B15)/(6*'TANKS Calculations'!B15))),1)</f>
        <v>1</v>
      </c>
      <c r="C53" s="385"/>
      <c r="D53" s="264" t="s">
        <v>9689</v>
      </c>
      <c r="E53" s="224"/>
      <c r="F53" s="224"/>
      <c r="G53" s="224"/>
      <c r="H53" s="224"/>
      <c r="I53" s="224"/>
    </row>
    <row r="54" spans="1:9" ht="30" customHeight="1" x14ac:dyDescent="0.2">
      <c r="A54" s="225" t="s">
        <v>9732</v>
      </c>
      <c r="B54" s="251" t="s">
        <v>8708</v>
      </c>
      <c r="C54" s="378"/>
      <c r="D54" s="246" t="s">
        <v>9689</v>
      </c>
      <c r="E54" s="224"/>
      <c r="F54" s="224"/>
      <c r="G54" s="224"/>
      <c r="H54" s="224"/>
      <c r="I54" s="224"/>
    </row>
    <row r="55" spans="1:9" ht="30" customHeight="1" x14ac:dyDescent="0.2">
      <c r="A55" s="228" t="s">
        <v>9733</v>
      </c>
      <c r="B55" s="229" t="s">
        <v>8708</v>
      </c>
      <c r="C55" s="380"/>
      <c r="D55" s="227" t="s">
        <v>9689</v>
      </c>
      <c r="E55" s="224"/>
      <c r="F55" s="224"/>
      <c r="G55" s="224"/>
      <c r="H55" s="224"/>
      <c r="I55" s="224"/>
    </row>
    <row r="56" spans="1:9" ht="30" customHeight="1" x14ac:dyDescent="0.2">
      <c r="A56" s="225" t="s">
        <v>9734</v>
      </c>
      <c r="B56" s="251" t="s">
        <v>8708</v>
      </c>
      <c r="C56" s="378"/>
      <c r="D56" s="246" t="s">
        <v>9689</v>
      </c>
      <c r="E56" s="224"/>
      <c r="F56" s="224"/>
      <c r="G56" s="224"/>
      <c r="H56" s="224"/>
      <c r="I56" s="224"/>
    </row>
    <row r="57" spans="1:9" ht="30" customHeight="1" thickBot="1" x14ac:dyDescent="0.25">
      <c r="A57" s="262" t="s">
        <v>9735</v>
      </c>
      <c r="B57" s="265" t="s">
        <v>8708</v>
      </c>
      <c r="C57" s="380"/>
      <c r="D57" s="264" t="s">
        <v>9689</v>
      </c>
      <c r="E57" s="224"/>
      <c r="F57" s="224"/>
      <c r="G57" s="224"/>
      <c r="H57" s="224"/>
      <c r="I57" s="224"/>
    </row>
    <row r="58" spans="1:9" ht="20.100000000000001" customHeight="1" x14ac:dyDescent="0.2">
      <c r="A58" s="429" t="s">
        <v>10014</v>
      </c>
      <c r="B58" s="267" t="s">
        <v>8708</v>
      </c>
      <c r="C58" s="386"/>
      <c r="D58" s="268" t="s">
        <v>9689</v>
      </c>
      <c r="E58" s="224"/>
      <c r="F58" s="224"/>
      <c r="G58" s="224"/>
      <c r="H58" s="224"/>
      <c r="I58" s="224"/>
    </row>
    <row r="59" spans="1:9" ht="30" customHeight="1" x14ac:dyDescent="0.2">
      <c r="A59" s="228" t="s">
        <v>9736</v>
      </c>
      <c r="B59" s="252">
        <f>IF(C58="Cone",0.0625,0)</f>
        <v>0</v>
      </c>
      <c r="C59" s="379"/>
      <c r="D59" s="227" t="s">
        <v>9737</v>
      </c>
      <c r="E59" s="224"/>
      <c r="F59" s="224"/>
      <c r="G59" s="224"/>
      <c r="H59" s="224"/>
      <c r="I59" s="224"/>
    </row>
    <row r="60" spans="1:9" ht="30" customHeight="1" x14ac:dyDescent="0.2">
      <c r="A60" s="228" t="s">
        <v>9738</v>
      </c>
      <c r="B60" s="252">
        <f>IF(C58="Dome",IF(C33="Horizontal",SQRT((C37*C36*4)/PI())/2,C34/2),0)</f>
        <v>0</v>
      </c>
      <c r="C60" s="379"/>
      <c r="D60" s="227" t="s">
        <v>9707</v>
      </c>
      <c r="E60" s="224"/>
      <c r="F60" s="224"/>
      <c r="G60" s="224"/>
      <c r="H60" s="224"/>
      <c r="I60" s="224"/>
    </row>
    <row r="61" spans="1:9" ht="20.100000000000001" customHeight="1" x14ac:dyDescent="0.2">
      <c r="A61" s="228" t="s">
        <v>9739</v>
      </c>
      <c r="B61" s="252">
        <f>IF(C33="Horizontal",SQRT((C37*C36*4)/PI())/2,C34/2)</f>
        <v>0</v>
      </c>
      <c r="C61" s="379"/>
      <c r="D61" s="227" t="s">
        <v>9707</v>
      </c>
      <c r="E61" s="224"/>
      <c r="F61" s="224"/>
      <c r="G61" s="224"/>
      <c r="H61" s="224"/>
      <c r="I61" s="224"/>
    </row>
    <row r="62" spans="1:9" ht="20.100000000000001" customHeight="1" x14ac:dyDescent="0.2">
      <c r="A62" s="228" t="s">
        <v>9740</v>
      </c>
      <c r="B62" s="252">
        <f>IF(C58="Dome",IF('TANKS Calculations'!B55=0,0.268*'TANKS Calculations'!B56,'TANKS Calculations'!B55-SQRT(('TANKS Calculations'!B55^2)-('TANKS Calculations'!B56^2))),'TANKS Calculations'!B56*'TANKS Calculations'!B54)</f>
        <v>0</v>
      </c>
      <c r="C62" s="379"/>
      <c r="D62" s="227" t="s">
        <v>9707</v>
      </c>
      <c r="E62" s="224"/>
      <c r="F62" s="224"/>
      <c r="G62" s="224"/>
      <c r="H62" s="224"/>
      <c r="I62" s="224"/>
    </row>
    <row r="63" spans="1:9" ht="20.100000000000001" customHeight="1" x14ac:dyDescent="0.2">
      <c r="A63" s="228" t="s">
        <v>9741</v>
      </c>
      <c r="B63" s="252">
        <f>IF(C58="Dome",IF('TANKS Calculations'!B55=0,0.137*'TANKS Calculations'!B56,('TANKS Calculations'!B57*(0.5+(1/6)*(('TANKS Calculations'!B57/'TANKS Calculations'!B56)^2)))),IF(C58="Cone",'TANKS Calculations'!B57/3,0))</f>
        <v>0</v>
      </c>
      <c r="C63" s="379"/>
      <c r="D63" s="227" t="s">
        <v>9707</v>
      </c>
      <c r="E63" s="224"/>
      <c r="F63" s="224"/>
      <c r="G63" s="224"/>
      <c r="H63" s="224"/>
      <c r="I63" s="224"/>
    </row>
    <row r="64" spans="1:9" ht="20.100000000000001" customHeight="1" x14ac:dyDescent="0.2">
      <c r="A64" s="228" t="s">
        <v>9742</v>
      </c>
      <c r="B64" s="252">
        <f>IFERROR(IF(C33="Horizontal",'TANKS Calculations'!B9/2,'TANKS Calculations'!B10-'TANKS Calculations'!B58+'TANKS Calculations'!B59),0)</f>
        <v>0</v>
      </c>
      <c r="C64" s="379"/>
      <c r="D64" s="227" t="s">
        <v>9707</v>
      </c>
      <c r="E64" s="224"/>
      <c r="F64" s="224"/>
      <c r="G64" s="224"/>
      <c r="H64" s="224"/>
      <c r="I64" s="224"/>
    </row>
    <row r="65" spans="1:16" ht="20.100000000000001" customHeight="1" x14ac:dyDescent="0.2">
      <c r="A65" s="256" t="s">
        <v>9743</v>
      </c>
      <c r="B65" s="258">
        <f>(PI()/4)*('TANKS Calculations'!B8^2)*'TANKS Calculations'!B60</f>
        <v>0</v>
      </c>
      <c r="C65" s="383"/>
      <c r="D65" s="259" t="s">
        <v>9730</v>
      </c>
      <c r="E65" s="224"/>
      <c r="F65" s="224"/>
      <c r="G65" s="224"/>
      <c r="H65" s="224"/>
      <c r="I65" s="224"/>
    </row>
    <row r="66" spans="1:16" ht="20.100000000000001" customHeight="1" thickBot="1" x14ac:dyDescent="0.25">
      <c r="A66" s="262" t="s">
        <v>9744</v>
      </c>
      <c r="B66" s="269" t="s">
        <v>6</v>
      </c>
      <c r="C66" s="387"/>
      <c r="D66" s="264" t="s">
        <v>9689</v>
      </c>
      <c r="E66" s="224"/>
      <c r="F66" s="224"/>
      <c r="G66" s="224"/>
      <c r="H66" s="224"/>
      <c r="I66" s="224"/>
    </row>
    <row r="67" spans="1:16" ht="45" customHeight="1" x14ac:dyDescent="0.2">
      <c r="A67" s="266" t="s">
        <v>9745</v>
      </c>
      <c r="B67" s="270" t="s">
        <v>8708</v>
      </c>
      <c r="C67" s="386"/>
      <c r="D67" s="268" t="s">
        <v>9689</v>
      </c>
      <c r="E67" s="224"/>
      <c r="F67" s="224"/>
      <c r="G67" s="224"/>
      <c r="H67" s="224"/>
      <c r="I67" s="224"/>
    </row>
    <row r="68" spans="1:16" ht="45" customHeight="1" thickBot="1" x14ac:dyDescent="0.25">
      <c r="A68" s="262" t="s">
        <v>9746</v>
      </c>
      <c r="B68" s="271" t="s">
        <v>8708</v>
      </c>
      <c r="C68" s="388"/>
      <c r="D68" s="264" t="s">
        <v>9689</v>
      </c>
      <c r="E68" s="224"/>
      <c r="F68" s="224"/>
      <c r="G68" s="224"/>
      <c r="H68" s="224"/>
      <c r="I68" s="224"/>
      <c r="J68" s="224"/>
      <c r="K68" s="224"/>
      <c r="L68" s="224"/>
      <c r="M68" s="224"/>
      <c r="N68" s="224"/>
      <c r="O68" s="224"/>
      <c r="P68" s="224"/>
    </row>
    <row r="69" spans="1:16" ht="30" customHeight="1" x14ac:dyDescent="0.2">
      <c r="A69" s="225" t="s">
        <v>9747</v>
      </c>
      <c r="B69" s="272" t="s">
        <v>8708</v>
      </c>
      <c r="C69" s="378"/>
      <c r="D69" s="246" t="s">
        <v>9689</v>
      </c>
      <c r="E69" s="224"/>
      <c r="F69" s="224"/>
      <c r="G69" s="224"/>
      <c r="H69" s="224"/>
      <c r="I69" s="224"/>
    </row>
    <row r="70" spans="1:16" ht="20.100000000000001" customHeight="1" x14ac:dyDescent="0.2">
      <c r="A70" s="225" t="s">
        <v>9748</v>
      </c>
      <c r="B70" s="273">
        <f>_xlfn.IFNA(HLOOKUP(C55,'TANKS Data'!$C$173:$E$186,MATCH(C54,'TANKS Data'!$B$173:$B$186,0),FALSE),0)</f>
        <v>0</v>
      </c>
      <c r="C70" s="389"/>
      <c r="D70" s="246" t="s">
        <v>9689</v>
      </c>
      <c r="E70" s="224"/>
      <c r="F70" s="224"/>
      <c r="G70" s="224"/>
      <c r="H70" s="224"/>
      <c r="I70" s="224"/>
    </row>
    <row r="71" spans="1:16" ht="20.100000000000001" customHeight="1" x14ac:dyDescent="0.2">
      <c r="A71" s="228" t="s">
        <v>9749</v>
      </c>
      <c r="B71" s="274">
        <f>_xlfn.IFNA(HLOOKUP(C57,'TANKS Data'!$C$173:$E$186,MATCH(C56,'TANKS Data'!$B$173:$B$186,0),FALSE),0)</f>
        <v>0</v>
      </c>
      <c r="C71" s="390"/>
      <c r="D71" s="227" t="s">
        <v>9689</v>
      </c>
      <c r="E71" s="224"/>
      <c r="F71" s="224"/>
      <c r="G71" s="224"/>
      <c r="H71" s="224"/>
      <c r="I71" s="224"/>
    </row>
    <row r="72" spans="1:16" ht="20.100000000000001" customHeight="1" x14ac:dyDescent="0.2">
      <c r="A72" s="228" t="s">
        <v>9750</v>
      </c>
      <c r="B72" s="274">
        <f>AVERAGE('TANKS Calculations'!B22:B23)</f>
        <v>0</v>
      </c>
      <c r="C72" s="390"/>
      <c r="D72" s="227" t="s">
        <v>9689</v>
      </c>
      <c r="E72" s="224"/>
      <c r="F72" s="224"/>
      <c r="G72" s="224"/>
      <c r="H72" s="224"/>
      <c r="I72" s="224"/>
    </row>
    <row r="73" spans="1:16" ht="20.100000000000001" customHeight="1" x14ac:dyDescent="0.2">
      <c r="A73" s="228" t="s">
        <v>9751</v>
      </c>
      <c r="B73" s="274">
        <f>_xlfn.IFNA(VLOOKUP(B14,'TANKS Data'!$A$189:$F$213,6,FALSE),0)</f>
        <v>0</v>
      </c>
      <c r="C73" s="390"/>
      <c r="D73" s="227" t="s">
        <v>9752</v>
      </c>
      <c r="E73" s="224"/>
      <c r="F73" s="275"/>
      <c r="G73" s="224"/>
      <c r="H73" s="224"/>
      <c r="I73" s="224"/>
    </row>
    <row r="74" spans="1:16" ht="30" customHeight="1" x14ac:dyDescent="0.2">
      <c r="A74" s="256" t="s">
        <v>9753</v>
      </c>
      <c r="B74" s="253">
        <f>_xlfn.IFNA(VLOOKUP($B$14,'TANKS Data'!$A$189:$C$213,2,FALSE),0)</f>
        <v>0</v>
      </c>
      <c r="C74" s="379"/>
      <c r="D74" s="227" t="s">
        <v>9754</v>
      </c>
      <c r="E74" s="224"/>
      <c r="F74" s="275"/>
      <c r="G74" s="224"/>
      <c r="H74" s="224"/>
      <c r="I74" s="224"/>
    </row>
    <row r="75" spans="1:16" ht="20.100000000000001" customHeight="1" x14ac:dyDescent="0.2">
      <c r="A75" s="225"/>
      <c r="B75" s="253">
        <f>'TANKS Calculations'!B26+459.67</f>
        <v>459.67</v>
      </c>
      <c r="C75" s="379"/>
      <c r="D75" s="227" t="s">
        <v>9755</v>
      </c>
      <c r="E75" s="224"/>
      <c r="F75" s="275"/>
      <c r="G75" s="224"/>
      <c r="H75" s="224"/>
      <c r="I75" s="224"/>
    </row>
    <row r="76" spans="1:16" ht="30" customHeight="1" x14ac:dyDescent="0.2">
      <c r="A76" s="256" t="s">
        <v>9756</v>
      </c>
      <c r="B76" s="253">
        <f>_xlfn.IFNA(VLOOKUP($B$14,'TANKS Data'!$A$189:$C$213,3,FALSE),0)</f>
        <v>0</v>
      </c>
      <c r="C76" s="379"/>
      <c r="D76" s="227" t="s">
        <v>9754</v>
      </c>
      <c r="E76" s="224"/>
      <c r="F76" s="275"/>
      <c r="G76" s="224"/>
      <c r="H76" s="224"/>
      <c r="I76" s="224"/>
    </row>
    <row r="77" spans="1:16" ht="20.100000000000001" customHeight="1" x14ac:dyDescent="0.2">
      <c r="A77" s="225"/>
      <c r="B77" s="253">
        <f>'TANKS Calculations'!B28+459.67</f>
        <v>459.67</v>
      </c>
      <c r="C77" s="379"/>
      <c r="D77" s="227" t="s">
        <v>9755</v>
      </c>
      <c r="E77" s="224"/>
      <c r="F77" s="275"/>
      <c r="G77" s="224"/>
      <c r="H77" s="224"/>
      <c r="I77" s="224"/>
    </row>
    <row r="78" spans="1:16" ht="20.100000000000001" customHeight="1" x14ac:dyDescent="0.2">
      <c r="A78" s="256" t="s">
        <v>9757</v>
      </c>
      <c r="B78" s="253">
        <f>('TANKS Calculations'!B27+'TANKS Calculations'!B29)/2-459.67</f>
        <v>0</v>
      </c>
      <c r="C78" s="379"/>
      <c r="D78" s="227" t="s">
        <v>9754</v>
      </c>
      <c r="E78" s="224"/>
      <c r="F78" s="275"/>
      <c r="G78" s="224"/>
      <c r="H78" s="224"/>
      <c r="I78" s="224"/>
    </row>
    <row r="79" spans="1:16" ht="20.100000000000001" customHeight="1" x14ac:dyDescent="0.2">
      <c r="A79" s="156"/>
      <c r="B79" s="253">
        <f>'TANKS Calculations'!B31+459.67</f>
        <v>459.67</v>
      </c>
      <c r="C79" s="379"/>
      <c r="D79" s="227" t="s">
        <v>9755</v>
      </c>
      <c r="E79" s="224"/>
      <c r="F79" s="275"/>
      <c r="G79" s="224"/>
      <c r="H79" s="224"/>
      <c r="I79" s="224"/>
    </row>
    <row r="80" spans="1:16" ht="20.100000000000001" customHeight="1" x14ac:dyDescent="0.2">
      <c r="A80" s="228" t="s">
        <v>9758</v>
      </c>
      <c r="B80" s="253">
        <f>'TANKS Calculations'!B26-'TANKS Calculations'!B28</f>
        <v>0</v>
      </c>
      <c r="C80" s="379"/>
      <c r="D80" s="227" t="s">
        <v>9759</v>
      </c>
      <c r="E80" s="224"/>
      <c r="F80" s="275"/>
      <c r="G80" s="224"/>
      <c r="H80" s="224"/>
      <c r="I80" s="224"/>
    </row>
    <row r="81" spans="1:17" ht="20.100000000000001" customHeight="1" x14ac:dyDescent="0.2">
      <c r="A81" s="247" t="s">
        <v>9760</v>
      </c>
      <c r="B81" s="276">
        <f>IF(C68="External Floating Roof",IF(C67="Steel Double Deck",'TANKS Calculations'!B32+(0.005*'TANKS Calculations'!B22*'TANKS Calculations'!B25),'TANKS Calculations'!B32+(0.007*'TANKS Calculations'!B22*'TANKS Calculations'!B25)),'TANKS Calculations'!B32+(0.003*'TANKS Calculations'!B22*'TANKS Calculations'!B25))-459.67</f>
        <v>0</v>
      </c>
      <c r="C81" s="391"/>
      <c r="D81" s="246" t="s">
        <v>9754</v>
      </c>
      <c r="E81" s="224"/>
      <c r="F81" s="275"/>
      <c r="G81" s="224"/>
      <c r="H81" s="224"/>
      <c r="I81" s="224"/>
    </row>
    <row r="82" spans="1:17" ht="20.100000000000001" customHeight="1" x14ac:dyDescent="0.2">
      <c r="A82" s="225"/>
      <c r="B82" s="277">
        <f>'TANKS Calculations'!B33+459.67</f>
        <v>459.67</v>
      </c>
      <c r="C82" s="379"/>
      <c r="D82" s="227" t="s">
        <v>9755</v>
      </c>
      <c r="E82" s="224"/>
      <c r="F82" s="275"/>
      <c r="G82" s="224"/>
      <c r="H82" s="224"/>
      <c r="I82" s="224"/>
    </row>
    <row r="83" spans="1:17" ht="20.100000000000001" customHeight="1" x14ac:dyDescent="0.2">
      <c r="A83" s="256" t="s">
        <v>9761</v>
      </c>
      <c r="B83" s="252">
        <f>IFERROR(IF(OR(ISBLANK(C69),C69="Not Insulated"),((0.7*'TANKS Calculations'!B32)+(0.3*'TANKS Calculations'!B34)+(0.009*'TANKS Calculations'!B25*'TANKS Calculations'!B24)),IF(C69="Partially Insulated",((0.6*'TANKS Calculations'!B32)+(0.4*'TANKS Calculations'!B34)+(0.01*'TANKS Calculations'!B25*'TANKS Calculations'!B24)),'TANKS Calculations'!B34)),459.67)-459.67</f>
        <v>0</v>
      </c>
      <c r="C83" s="379"/>
      <c r="D83" s="227" t="s">
        <v>9754</v>
      </c>
      <c r="E83" s="224"/>
      <c r="F83" s="275"/>
      <c r="G83" s="224"/>
      <c r="H83" s="224"/>
      <c r="I83" s="224"/>
    </row>
    <row r="84" spans="1:17" ht="20.100000000000001" customHeight="1" x14ac:dyDescent="0.2">
      <c r="A84" s="225"/>
      <c r="B84" s="252">
        <f>'TANKS Calculations'!B48+459.67</f>
        <v>459.67</v>
      </c>
      <c r="C84" s="379"/>
      <c r="D84" s="227" t="s">
        <v>9755</v>
      </c>
      <c r="E84" s="224"/>
      <c r="F84" s="275"/>
      <c r="G84" s="224"/>
      <c r="H84" s="224"/>
      <c r="I84" s="224"/>
    </row>
    <row r="85" spans="1:17" ht="20.100000000000001" customHeight="1" x14ac:dyDescent="0.2">
      <c r="A85" s="228" t="s">
        <v>9762</v>
      </c>
      <c r="B85" s="253">
        <f>IFERROR(IF(OR(ISBLANK(C69),C69="Not Insulated"),((0.7*'TANKS Calculations'!B30)+(0.02*'TANKS Calculations'!B25*'TANKS Calculations'!B24)),IF(C69="Partially Insulated",((0.6*'TANKS Calculations'!B30)+(0.02*'TANKS Calculations'!B25*'TANKS Calculations'!B24)),0)),0)</f>
        <v>0</v>
      </c>
      <c r="C85" s="379"/>
      <c r="D85" s="227" t="s">
        <v>9759</v>
      </c>
      <c r="E85" s="224"/>
      <c r="F85" s="275"/>
      <c r="G85" s="224"/>
      <c r="H85" s="224"/>
      <c r="I85" s="224"/>
    </row>
    <row r="86" spans="1:17" ht="20.100000000000001" customHeight="1" x14ac:dyDescent="0.2">
      <c r="A86" s="247" t="s">
        <v>9763</v>
      </c>
      <c r="B86" s="278">
        <f>IF(B12="Fixed",IF(C69="Fully Insulated",'TANKS Calculations'!B34,IF(C69="Partially Insulated",(0.3*'TANKS Calculations'!B32)+(0.7*'TANKS Calculations'!B34)+(0.005*'TANKS Calculations'!B25*'TANKS Calculations'!B24),(0.4*'TANKS Calculations'!B32)+(0.6*'TANKS Calculations'!B34)+(0.005*'TANKS Calculations'!B25*'TANKS Calculations'!B24))),IF(C68="External Floating Roof",IF(C67="Steel Double Deck",(0.3*'TANKS Calculations'!B32)+(0.7*'TANKS Calculations'!B34)+(0.009*'TANKS Calculations'!B25*'TANKS Calculations'!B24),(0.7*'TANKS Calculations'!B32)+(0.3*'TANKS Calculations'!B34)+(0.009*'TANKS Calculations'!B25*'TANKS Calculations'!B24)),(0.3*'TANKS Calculations'!B32)+(0.7*'TANKS Calculations'!B34)+(0.004*'TANKS Calculations'!B25*'TANKS Calculations'!B24)))-459.67</f>
        <v>0</v>
      </c>
      <c r="C86" s="392"/>
      <c r="D86" s="246" t="s">
        <v>9754</v>
      </c>
      <c r="E86" s="224"/>
      <c r="F86" s="275"/>
      <c r="G86" s="224"/>
      <c r="H86" s="224"/>
    </row>
    <row r="87" spans="1:17" ht="20.100000000000001" customHeight="1" x14ac:dyDescent="0.2">
      <c r="A87" s="225"/>
      <c r="B87" s="253">
        <f>'TANKS Calculations'!B41+459.67</f>
        <v>459.67</v>
      </c>
      <c r="C87" s="379"/>
      <c r="D87" s="227" t="s">
        <v>9755</v>
      </c>
      <c r="E87" s="224"/>
      <c r="F87" s="275"/>
      <c r="G87" s="224"/>
      <c r="H87" s="224"/>
      <c r="I87" s="224"/>
    </row>
    <row r="88" spans="1:17" ht="20.100000000000001" customHeight="1" x14ac:dyDescent="0.2">
      <c r="A88" s="247" t="s">
        <v>9764</v>
      </c>
      <c r="B88" s="253">
        <f>'TANKS Calculations'!B41-0.25*'TANKS Calculations'!B50</f>
        <v>0</v>
      </c>
      <c r="C88" s="379"/>
      <c r="D88" s="227" t="s">
        <v>9754</v>
      </c>
      <c r="E88" s="224"/>
      <c r="F88" s="275"/>
      <c r="G88" s="224"/>
      <c r="H88" s="224"/>
      <c r="I88" s="224"/>
    </row>
    <row r="89" spans="1:17" ht="20.100000000000001" customHeight="1" x14ac:dyDescent="0.2">
      <c r="A89" s="225"/>
      <c r="B89" s="253">
        <f>'TANKS Calculations'!B38+459.67</f>
        <v>459.67</v>
      </c>
      <c r="C89" s="379"/>
      <c r="D89" s="227" t="s">
        <v>9755</v>
      </c>
      <c r="E89" s="224"/>
      <c r="F89" s="275"/>
      <c r="G89" s="224"/>
      <c r="H89" s="224"/>
      <c r="I89" s="224"/>
    </row>
    <row r="90" spans="1:17" ht="20.100000000000001" customHeight="1" x14ac:dyDescent="0.2">
      <c r="A90" s="247" t="s">
        <v>9765</v>
      </c>
      <c r="B90" s="278">
        <f>'TANKS Calculations'!B41+0.25*'TANKS Calculations'!B50</f>
        <v>0</v>
      </c>
      <c r="C90" s="379"/>
      <c r="D90" s="246" t="s">
        <v>9754</v>
      </c>
      <c r="E90" s="224"/>
      <c r="F90" s="275"/>
      <c r="G90" s="224"/>
      <c r="H90" s="224"/>
      <c r="I90" s="224"/>
    </row>
    <row r="91" spans="1:17" ht="20.100000000000001" customHeight="1" thickBot="1" x14ac:dyDescent="0.25">
      <c r="A91" s="230"/>
      <c r="B91" s="279">
        <f>'TANKS Calculations'!B35+459.67</f>
        <v>459.67</v>
      </c>
      <c r="C91" s="393"/>
      <c r="D91" s="264" t="s">
        <v>9755</v>
      </c>
      <c r="E91" s="224"/>
      <c r="F91" s="224"/>
      <c r="G91" s="224"/>
      <c r="H91" s="224"/>
      <c r="I91" s="224"/>
    </row>
    <row r="92" spans="1:17" ht="48" customHeight="1" x14ac:dyDescent="0.2">
      <c r="A92" s="1380" t="s">
        <v>10007</v>
      </c>
      <c r="B92" s="1381"/>
      <c r="C92" s="1381"/>
      <c r="D92" s="1381"/>
      <c r="E92" s="347"/>
      <c r="F92" s="347"/>
      <c r="G92" s="347"/>
      <c r="H92" s="347"/>
      <c r="I92" s="347"/>
      <c r="J92" s="347"/>
      <c r="K92" s="347"/>
      <c r="L92" s="347"/>
      <c r="M92" s="347"/>
      <c r="N92" s="347"/>
      <c r="O92" s="347"/>
      <c r="P92" s="347"/>
      <c r="Q92" s="347"/>
    </row>
    <row r="93" spans="1:17" ht="15" customHeight="1" x14ac:dyDescent="0.2">
      <c r="A93" s="1382" t="s">
        <v>9998</v>
      </c>
      <c r="B93" s="1383"/>
      <c r="C93" s="1383"/>
      <c r="D93" s="1383"/>
      <c r="E93" s="348"/>
      <c r="F93" s="348"/>
      <c r="G93" s="348"/>
      <c r="H93" s="348"/>
      <c r="I93" s="348"/>
      <c r="J93" s="348"/>
      <c r="K93" s="348"/>
      <c r="L93" s="348"/>
      <c r="M93" s="348"/>
      <c r="N93" s="348"/>
      <c r="O93" s="348"/>
      <c r="P93" s="348"/>
      <c r="Q93" s="348"/>
    </row>
    <row r="94" spans="1:17" ht="106.5" customHeight="1" thickBot="1" x14ac:dyDescent="0.25">
      <c r="A94" s="1366" t="s">
        <v>10006</v>
      </c>
      <c r="B94" s="1367"/>
      <c r="C94" s="1367"/>
      <c r="D94" s="1367"/>
      <c r="E94" s="347"/>
      <c r="F94" s="347"/>
      <c r="G94" s="347"/>
      <c r="H94" s="347"/>
      <c r="I94" s="347"/>
      <c r="J94" s="347"/>
      <c r="K94" s="347"/>
      <c r="L94" s="347"/>
      <c r="M94" s="347"/>
      <c r="N94" s="347"/>
      <c r="O94" s="347"/>
      <c r="P94" s="347"/>
      <c r="Q94" s="347"/>
    </row>
    <row r="95" spans="1:17" ht="45" customHeight="1" thickBot="1" x14ac:dyDescent="0.3">
      <c r="A95" s="1370" t="s">
        <v>9970</v>
      </c>
      <c r="B95" s="1371"/>
      <c r="C95" s="1371"/>
      <c r="D95" s="1371"/>
      <c r="E95" s="1371"/>
      <c r="F95" s="1371"/>
      <c r="G95" s="1371"/>
      <c r="H95" s="1371"/>
      <c r="I95" s="1371"/>
      <c r="J95" s="1371"/>
      <c r="K95" s="1371"/>
      <c r="L95" s="1371"/>
      <c r="M95" s="1371"/>
      <c r="N95" s="1371"/>
      <c r="O95" s="1371"/>
      <c r="P95" s="1371"/>
      <c r="Q95" s="1372"/>
    </row>
    <row r="96" spans="1:17" ht="20.100000000000001" customHeight="1" x14ac:dyDescent="0.25">
      <c r="A96" s="146" t="s">
        <v>9502</v>
      </c>
      <c r="B96" s="147" t="s">
        <v>9503</v>
      </c>
      <c r="C96" s="148" t="s">
        <v>9504</v>
      </c>
      <c r="D96" s="148" t="s">
        <v>9505</v>
      </c>
      <c r="E96" s="148" t="s">
        <v>9506</v>
      </c>
      <c r="F96" s="148" t="s">
        <v>9507</v>
      </c>
      <c r="G96" s="148" t="s">
        <v>9508</v>
      </c>
      <c r="H96" s="148" t="s">
        <v>9509</v>
      </c>
      <c r="I96" s="148" t="s">
        <v>9510</v>
      </c>
      <c r="J96" s="148" t="s">
        <v>9511</v>
      </c>
      <c r="K96" s="150" t="s">
        <v>9512</v>
      </c>
      <c r="L96" s="148" t="s">
        <v>9513</v>
      </c>
      <c r="M96" s="148" t="s">
        <v>9514</v>
      </c>
      <c r="N96" s="150" t="s">
        <v>9515</v>
      </c>
      <c r="O96" s="148" t="s">
        <v>9516</v>
      </c>
      <c r="P96" s="148" t="s">
        <v>9517</v>
      </c>
      <c r="Q96" s="146" t="s">
        <v>1</v>
      </c>
    </row>
    <row r="97" spans="1:17" ht="30" customHeight="1" thickBot="1" x14ac:dyDescent="0.25">
      <c r="A97" s="228" t="s">
        <v>9693</v>
      </c>
      <c r="B97" s="280" t="str">
        <f t="shared" ref="B97:P97" si="1">IF(ISBLANK(B18),"",B18)</f>
        <v/>
      </c>
      <c r="C97" s="281" t="str">
        <f t="shared" si="1"/>
        <v/>
      </c>
      <c r="D97" s="281" t="str">
        <f t="shared" si="1"/>
        <v/>
      </c>
      <c r="E97" s="281" t="str">
        <f t="shared" si="1"/>
        <v/>
      </c>
      <c r="F97" s="281" t="str">
        <f t="shared" si="1"/>
        <v/>
      </c>
      <c r="G97" s="281" t="str">
        <f t="shared" si="1"/>
        <v/>
      </c>
      <c r="H97" s="281" t="str">
        <f t="shared" si="1"/>
        <v/>
      </c>
      <c r="I97" s="281" t="str">
        <f t="shared" si="1"/>
        <v/>
      </c>
      <c r="J97" s="281" t="str">
        <f t="shared" si="1"/>
        <v/>
      </c>
      <c r="K97" s="282" t="str">
        <f t="shared" si="1"/>
        <v/>
      </c>
      <c r="L97" s="281" t="str">
        <f t="shared" si="1"/>
        <v/>
      </c>
      <c r="M97" s="281" t="str">
        <f t="shared" si="1"/>
        <v/>
      </c>
      <c r="N97" s="282" t="str">
        <f t="shared" si="1"/>
        <v/>
      </c>
      <c r="O97" s="281" t="str">
        <f t="shared" si="1"/>
        <v/>
      </c>
      <c r="P97" s="281" t="str">
        <f t="shared" si="1"/>
        <v/>
      </c>
      <c r="Q97" s="232"/>
    </row>
    <row r="98" spans="1:17" ht="20.100000000000001" customHeight="1" x14ac:dyDescent="0.2">
      <c r="A98" s="237" t="s">
        <v>9766</v>
      </c>
      <c r="B98" s="238" t="str">
        <f>IF(ISBLANK(B18),"",_xlfn.IFNA(VLOOKUP(B18,'TANKS Vapor Fx'!$A$3:$G$294,5,FALSE),0))</f>
        <v/>
      </c>
      <c r="C98" s="238" t="str">
        <f>IF(ISBLANK(C18),"",_xlfn.IFNA(VLOOKUP(C18,'TANKS Vapor Fx'!$A$3:$G$294,5,FALSE),0))</f>
        <v/>
      </c>
      <c r="D98" s="238" t="str">
        <f>IF(ISBLANK(D18),"",_xlfn.IFNA(VLOOKUP(D18,'TANKS Vapor Fx'!$A$3:$G$294,5,FALSE),0))</f>
        <v/>
      </c>
      <c r="E98" s="238" t="str">
        <f>IF(ISBLANK(E18),"",_xlfn.IFNA(VLOOKUP(E18,'TANKS Vapor Fx'!$A$3:$G$294,5,FALSE),0))</f>
        <v/>
      </c>
      <c r="F98" s="238" t="str">
        <f>IF(ISBLANK(F18),"",_xlfn.IFNA(VLOOKUP(F18,'TANKS Vapor Fx'!$A$3:$G$294,5,FALSE),0))</f>
        <v/>
      </c>
      <c r="G98" s="238" t="str">
        <f>IF(ISBLANK(G18),"",_xlfn.IFNA(VLOOKUP(G18,'TANKS Vapor Fx'!$A$3:$G$294,5,FALSE),0))</f>
        <v/>
      </c>
      <c r="H98" s="238" t="str">
        <f>IF(ISBLANK(H18),"",_xlfn.IFNA(VLOOKUP(H18,'TANKS Vapor Fx'!$A$3:$G$294,5,FALSE),0))</f>
        <v/>
      </c>
      <c r="I98" s="238" t="str">
        <f>IF(ISBLANK(I18),"",_xlfn.IFNA(VLOOKUP(I18,'TANKS Vapor Fx'!$A$3:$G$294,5,FALSE),0))</f>
        <v/>
      </c>
      <c r="J98" s="238" t="str">
        <f>IF(ISBLANK(J18),"",_xlfn.IFNA(VLOOKUP(J18,'TANKS Vapor Fx'!$A$3:$G$294,5,FALSE),0))</f>
        <v/>
      </c>
      <c r="K98" s="238" t="str">
        <f>IF(ISBLANK(K18),"",_xlfn.IFNA(VLOOKUP(K18,'TANKS Vapor Fx'!$A$3:$G$294,5,FALSE),0))</f>
        <v/>
      </c>
      <c r="L98" s="238" t="str">
        <f>IF(ISBLANK(L18),"",_xlfn.IFNA(VLOOKUP(L18,'TANKS Vapor Fx'!$A$3:$G$294,5,FALSE),0))</f>
        <v/>
      </c>
      <c r="M98" s="238" t="str">
        <f>IF(ISBLANK(M18),"",_xlfn.IFNA(VLOOKUP(M18,'TANKS Vapor Fx'!$A$3:$G$294,5,FALSE),0))</f>
        <v/>
      </c>
      <c r="N98" s="238" t="str">
        <f>IF(ISBLANK(N18),"",_xlfn.IFNA(VLOOKUP(N18,'TANKS Vapor Fx'!$A$3:$G$294,5,FALSE),0))</f>
        <v/>
      </c>
      <c r="O98" s="238" t="str">
        <f>IF(ISBLANK(O18),"",_xlfn.IFNA(VLOOKUP(O18,'TANKS Vapor Fx'!$A$3:$G$294,5,FALSE),0))</f>
        <v/>
      </c>
      <c r="P98" s="238" t="str">
        <f>IF(ISBLANK(P18),"",_xlfn.IFNA(VLOOKUP(P18,'TANKS Vapor Fx'!$A$3:$G$294,5,FALSE),0))</f>
        <v/>
      </c>
      <c r="Q98" s="283"/>
    </row>
    <row r="99" spans="1:17" ht="20.100000000000001" customHeight="1" thickBot="1" x14ac:dyDescent="0.25">
      <c r="A99" s="235" t="s">
        <v>9767</v>
      </c>
      <c r="B99" s="394"/>
      <c r="C99" s="385"/>
      <c r="D99" s="385"/>
      <c r="E99" s="385"/>
      <c r="F99" s="385"/>
      <c r="G99" s="385"/>
      <c r="H99" s="385"/>
      <c r="I99" s="385"/>
      <c r="J99" s="385"/>
      <c r="K99" s="395"/>
      <c r="L99" s="385"/>
      <c r="M99" s="385"/>
      <c r="N99" s="395"/>
      <c r="O99" s="385"/>
      <c r="P99" s="385"/>
      <c r="Q99" s="244"/>
    </row>
    <row r="100" spans="1:17" ht="20.100000000000001" customHeight="1" x14ac:dyDescent="0.2">
      <c r="A100" s="284" t="s">
        <v>9768</v>
      </c>
      <c r="B100" s="285" t="str">
        <f>IF(ISBLANK(B18),"",_xlfn.IFNA(VLOOKUP(B18,'TANKS Vapor Fx'!$A$3:$G$294,6,FALSE),0))</f>
        <v/>
      </c>
      <c r="C100" s="285" t="str">
        <f>IF(ISBLANK(C18),"",_xlfn.IFNA(VLOOKUP(C18,'TANKS Vapor Fx'!$A$3:$G$294,6,FALSE),0))</f>
        <v/>
      </c>
      <c r="D100" s="285" t="str">
        <f>IF(ISBLANK(D18),"",_xlfn.IFNA(VLOOKUP(D18,'TANKS Vapor Fx'!$A$3:$G$294,6,FALSE),0))</f>
        <v/>
      </c>
      <c r="E100" s="285" t="str">
        <f>IF(ISBLANK(E18),"",_xlfn.IFNA(VLOOKUP(E18,'TANKS Vapor Fx'!$A$3:$G$294,6,FALSE),0))</f>
        <v/>
      </c>
      <c r="F100" s="285" t="str">
        <f>IF(ISBLANK(F18),"",_xlfn.IFNA(VLOOKUP(F18,'TANKS Vapor Fx'!$A$3:$G$294,6,FALSE),0))</f>
        <v/>
      </c>
      <c r="G100" s="285" t="str">
        <f>IF(ISBLANK(G18),"",_xlfn.IFNA(VLOOKUP(G18,'TANKS Vapor Fx'!$A$3:$G$294,6,FALSE),0))</f>
        <v/>
      </c>
      <c r="H100" s="285" t="str">
        <f>IF(ISBLANK(H18),"",_xlfn.IFNA(VLOOKUP(H18,'TANKS Vapor Fx'!$A$3:$G$294,6,FALSE),0))</f>
        <v/>
      </c>
      <c r="I100" s="285" t="str">
        <f>IF(ISBLANK(I18),"",_xlfn.IFNA(VLOOKUP(I18,'TANKS Vapor Fx'!$A$3:$G$294,6,FALSE),0))</f>
        <v/>
      </c>
      <c r="J100" s="285" t="str">
        <f>IF(ISBLANK(J18),"",_xlfn.IFNA(VLOOKUP(J18,'TANKS Vapor Fx'!$A$3:$G$294,6,FALSE),0))</f>
        <v/>
      </c>
      <c r="K100" s="285" t="str">
        <f>IF(ISBLANK(K18),"",_xlfn.IFNA(VLOOKUP(K18,'TANKS Vapor Fx'!$A$3:$G$294,6,FALSE),0))</f>
        <v/>
      </c>
      <c r="L100" s="285" t="str">
        <f>IF(ISBLANK(L18),"",_xlfn.IFNA(VLOOKUP(L18,'TANKS Vapor Fx'!$A$3:$G$294,6,FALSE),0))</f>
        <v/>
      </c>
      <c r="M100" s="285" t="str">
        <f>IF(ISBLANK(M18),"",_xlfn.IFNA(VLOOKUP(M18,'TANKS Vapor Fx'!$A$3:$G$294,6,FALSE),0))</f>
        <v/>
      </c>
      <c r="N100" s="285" t="str">
        <f>IF(ISBLANK(N18),"",_xlfn.IFNA(VLOOKUP(N18,'TANKS Vapor Fx'!$A$3:$G$294,6,FALSE),0))</f>
        <v/>
      </c>
      <c r="O100" s="285" t="str">
        <f>IF(ISBLANK(O18),"",_xlfn.IFNA(VLOOKUP(O18,'TANKS Vapor Fx'!$A$3:$G$294,6,FALSE),0))</f>
        <v/>
      </c>
      <c r="P100" s="285" t="str">
        <f>IF(ISBLANK(P18),"",_xlfn.IFNA(VLOOKUP(P18,'TANKS Vapor Fx'!$A$3:$G$294,6,FALSE),0))</f>
        <v/>
      </c>
      <c r="Q100" s="286"/>
    </row>
    <row r="101" spans="1:17" ht="20.100000000000001" customHeight="1" thickBot="1" x14ac:dyDescent="0.25">
      <c r="A101" s="240" t="s">
        <v>9769</v>
      </c>
      <c r="B101" s="396"/>
      <c r="C101" s="397"/>
      <c r="D101" s="397"/>
      <c r="E101" s="397"/>
      <c r="F101" s="397"/>
      <c r="G101" s="397"/>
      <c r="H101" s="397"/>
      <c r="I101" s="397"/>
      <c r="J101" s="397"/>
      <c r="K101" s="398"/>
      <c r="L101" s="397"/>
      <c r="M101" s="397"/>
      <c r="N101" s="398"/>
      <c r="O101" s="397"/>
      <c r="P101" s="397"/>
      <c r="Q101" s="241"/>
    </row>
    <row r="102" spans="1:17" ht="20.100000000000001" customHeight="1" x14ac:dyDescent="0.2">
      <c r="A102" s="237" t="s">
        <v>9770</v>
      </c>
      <c r="B102" s="238" t="str">
        <f>IF(ISBLANK(B18),"",_xlfn.IFNA(VLOOKUP(B18,'TANKS Vapor Fx'!$A$3:$G$294,7,FALSE),0))</f>
        <v/>
      </c>
      <c r="C102" s="238" t="str">
        <f>IF(ISBLANK(C18),"",_xlfn.IFNA(VLOOKUP(C18,'TANKS Vapor Fx'!$A$3:$G$294,7,FALSE),0))</f>
        <v/>
      </c>
      <c r="D102" s="238" t="str">
        <f>IF(ISBLANK(D18),"",_xlfn.IFNA(VLOOKUP(D18,'TANKS Vapor Fx'!$A$3:$G$294,7,FALSE),0))</f>
        <v/>
      </c>
      <c r="E102" s="238" t="str">
        <f>IF(ISBLANK(E18),"",_xlfn.IFNA(VLOOKUP(E18,'TANKS Vapor Fx'!$A$3:$G$294,7,FALSE),0))</f>
        <v/>
      </c>
      <c r="F102" s="238" t="str">
        <f>IF(ISBLANK(F18),"",_xlfn.IFNA(VLOOKUP(F18,'TANKS Vapor Fx'!$A$3:$G$294,7,FALSE),0))</f>
        <v/>
      </c>
      <c r="G102" s="238" t="str">
        <f>IF(ISBLANK(G18),"",_xlfn.IFNA(VLOOKUP(G18,'TANKS Vapor Fx'!$A$3:$G$294,7,FALSE),0))</f>
        <v/>
      </c>
      <c r="H102" s="238" t="str">
        <f>IF(ISBLANK(H18),"",_xlfn.IFNA(VLOOKUP(H18,'TANKS Vapor Fx'!$A$3:$G$294,7,FALSE),0))</f>
        <v/>
      </c>
      <c r="I102" s="238" t="str">
        <f>IF(ISBLANK(I18),"",_xlfn.IFNA(VLOOKUP(I18,'TANKS Vapor Fx'!$A$3:$G$294,7,FALSE),0))</f>
        <v/>
      </c>
      <c r="J102" s="238" t="str">
        <f>IF(ISBLANK(J18),"",_xlfn.IFNA(VLOOKUP(J18,'TANKS Vapor Fx'!$A$3:$G$294,7,FALSE),0))</f>
        <v/>
      </c>
      <c r="K102" s="238" t="str">
        <f>IF(ISBLANK(K18),"",_xlfn.IFNA(VLOOKUP(K18,'TANKS Vapor Fx'!$A$3:$G$294,7,FALSE),0))</f>
        <v/>
      </c>
      <c r="L102" s="238" t="str">
        <f>IF(ISBLANK(L18),"",_xlfn.IFNA(VLOOKUP(L18,'TANKS Vapor Fx'!$A$3:$G$294,7,FALSE),0))</f>
        <v/>
      </c>
      <c r="M102" s="238" t="str">
        <f>IF(ISBLANK(M18),"",_xlfn.IFNA(VLOOKUP(M18,'TANKS Vapor Fx'!$A$3:$G$294,7,FALSE),0))</f>
        <v/>
      </c>
      <c r="N102" s="238" t="str">
        <f>IF(ISBLANK(N18),"",_xlfn.IFNA(VLOOKUP(N18,'TANKS Vapor Fx'!$A$3:$G$294,7,FALSE),0))</f>
        <v/>
      </c>
      <c r="O102" s="238" t="str">
        <f>IF(ISBLANK(O18),"",_xlfn.IFNA(VLOOKUP(O18,'TANKS Vapor Fx'!$A$3:$G$294,7,FALSE),0))</f>
        <v/>
      </c>
      <c r="P102" s="238" t="str">
        <f>IF(ISBLANK(P18),"",_xlfn.IFNA(VLOOKUP(P18,'TANKS Vapor Fx'!$A$3:$G$294,7,FALSE),0))</f>
        <v/>
      </c>
      <c r="Q102" s="283"/>
    </row>
    <row r="103" spans="1:17" ht="20.100000000000001" customHeight="1" thickBot="1" x14ac:dyDescent="0.25">
      <c r="A103" s="235" t="s">
        <v>9771</v>
      </c>
      <c r="B103" s="394"/>
      <c r="C103" s="385"/>
      <c r="D103" s="385"/>
      <c r="E103" s="385"/>
      <c r="F103" s="385"/>
      <c r="G103" s="385"/>
      <c r="H103" s="385"/>
      <c r="I103" s="385"/>
      <c r="J103" s="385"/>
      <c r="K103" s="395"/>
      <c r="L103" s="385"/>
      <c r="M103" s="385"/>
      <c r="N103" s="395"/>
      <c r="O103" s="385"/>
      <c r="P103" s="385"/>
      <c r="Q103" s="244"/>
    </row>
    <row r="104" spans="1:17" ht="30" customHeight="1" x14ac:dyDescent="0.2">
      <c r="A104" s="266" t="s">
        <v>9772</v>
      </c>
      <c r="B104" s="238" t="str">
        <f>IF(ISBLANK(B20),"",IF('TANKS Calculations'!H17=0,IF(VLOOKUP(B97,'TANKS Vapor Fx'!$A$3:$K$294,11,FALSE)=0,IF(ISNUMBER(SEARCH("RVP",B97)),RIGHT(B97,LEN(B97)-(SEARCH("RVP",B97)+3)),0),_xlfn.IFNA(VLOOKUP(B97,'TANKS Vapor Fx'!$A$3:$K$294,11,FALSE),0)),0))</f>
        <v/>
      </c>
      <c r="C104" s="238" t="str">
        <f>IF(ISBLANK(C20),"",IF('TANKS Calculations'!I17=0,IF(VLOOKUP(C97,'TANKS Vapor Fx'!$A$3:$K$294,11,FALSE)=0,IF(ISNUMBER(SEARCH("RVP",C97)),RIGHT(C97,LEN(C97)-(SEARCH("RVP",C97)+3)),0),_xlfn.IFNA(VLOOKUP(C97,'TANKS Vapor Fx'!$A$3:$K$294,11,FALSE),0)),0))</f>
        <v/>
      </c>
      <c r="D104" s="238" t="str">
        <f>IF(ISBLANK(D20),"",IF('TANKS Calculations'!J17=0,IF(VLOOKUP(D97,'TANKS Vapor Fx'!$A$3:$K$294,11,FALSE)=0,IF(ISNUMBER(SEARCH("RVP",D97)),RIGHT(D97,LEN(D97)-(SEARCH("RVP",D97)+3)),0),_xlfn.IFNA(VLOOKUP(D97,'TANKS Vapor Fx'!$A$3:$K$294,11,FALSE),0)),0))</f>
        <v/>
      </c>
      <c r="E104" s="238" t="str">
        <f>IF(ISBLANK(E20),"",IF('TANKS Calculations'!K17=0,IF(VLOOKUP(E97,'TANKS Vapor Fx'!$A$3:$K$294,11,FALSE)=0,IF(ISNUMBER(SEARCH("RVP",E97)),RIGHT(E97,LEN(E97)-(SEARCH("RVP",E97)+3)),0),_xlfn.IFNA(VLOOKUP(E97,'TANKS Vapor Fx'!$A$3:$K$294,11,FALSE),0)),0))</f>
        <v/>
      </c>
      <c r="F104" s="238" t="str">
        <f>IF(ISBLANK(F20),"",IF('TANKS Calculations'!L17=0,IF(VLOOKUP(F97,'TANKS Vapor Fx'!$A$3:$K$294,11,FALSE)=0,IF(ISNUMBER(SEARCH("RVP",F97)),RIGHT(F97,LEN(F97)-(SEARCH("RVP",F97)+3)),0),_xlfn.IFNA(VLOOKUP(F97,'TANKS Vapor Fx'!$A$3:$K$294,11,FALSE),0)),0))</f>
        <v/>
      </c>
      <c r="G104" s="238" t="str">
        <f>IF(ISBLANK(G20),"",IF('TANKS Calculations'!M17=0,IF(VLOOKUP(G97,'TANKS Vapor Fx'!$A$3:$K$294,11,FALSE)=0,IF(ISNUMBER(SEARCH("RVP",G97)),RIGHT(G97,LEN(G97)-(SEARCH("RVP",G97)+3)),0),_xlfn.IFNA(VLOOKUP(G97,'TANKS Vapor Fx'!$A$3:$K$294,11,FALSE),0)),0))</f>
        <v/>
      </c>
      <c r="H104" s="238" t="str">
        <f>IF(ISBLANK(H20),"",IF('TANKS Calculations'!N17=0,IF(VLOOKUP(H97,'TANKS Vapor Fx'!$A$3:$K$294,11,FALSE)=0,IF(ISNUMBER(SEARCH("RVP",H97)),RIGHT(H97,LEN(H97)-(SEARCH("RVP",H97)+3)),0),_xlfn.IFNA(VLOOKUP(H97,'TANKS Vapor Fx'!$A$3:$K$294,11,FALSE),0)),0))</f>
        <v/>
      </c>
      <c r="I104" s="238" t="str">
        <f>IF(ISBLANK(I20),"",IF('TANKS Calculations'!O17=0,IF(VLOOKUP(I97,'TANKS Vapor Fx'!$A$3:$K$294,11,FALSE)=0,IF(ISNUMBER(SEARCH("RVP",I97)),RIGHT(I97,LEN(I97)-(SEARCH("RVP",I97)+3)),0),_xlfn.IFNA(VLOOKUP(I97,'TANKS Vapor Fx'!$A$3:$K$294,11,FALSE),0)),0))</f>
        <v/>
      </c>
      <c r="J104" s="238" t="str">
        <f>IF(ISBLANK(J20),"",IF('TANKS Calculations'!P17=0,IF(VLOOKUP(J97,'TANKS Vapor Fx'!$A$3:$K$294,11,FALSE)=0,IF(ISNUMBER(SEARCH("RVP",J97)),RIGHT(J97,LEN(J97)-(SEARCH("RVP",J97)+3)),0),_xlfn.IFNA(VLOOKUP(J97,'TANKS Vapor Fx'!$A$3:$K$294,11,FALSE),0)),0))</f>
        <v/>
      </c>
      <c r="K104" s="238" t="str">
        <f>IF(ISBLANK(K20),"",IF('TANKS Calculations'!Q17=0,IF(VLOOKUP(K97,'TANKS Vapor Fx'!$A$3:$K$294,11,FALSE)=0,IF(ISNUMBER(SEARCH("RVP",K97)),RIGHT(K97,LEN(K97)-(SEARCH("RVP",K97)+3)),0),_xlfn.IFNA(VLOOKUP(K97,'TANKS Vapor Fx'!$A$3:$K$294,11,FALSE),0)),0))</f>
        <v/>
      </c>
      <c r="L104" s="238" t="str">
        <f>IF(ISBLANK(L20),"",IF('TANKS Calculations'!R17=0,IF(VLOOKUP(L97,'TANKS Vapor Fx'!$A$3:$K$294,11,FALSE)=0,IF(ISNUMBER(SEARCH("RVP",L97)),RIGHT(L97,LEN(L97)-(SEARCH("RVP",L97)+3)),0),_xlfn.IFNA(VLOOKUP(L97,'TANKS Vapor Fx'!$A$3:$K$294,11,FALSE),0)),0))</f>
        <v/>
      </c>
      <c r="M104" s="238" t="str">
        <f>IF(ISBLANK(M20),"",IF('TANKS Calculations'!S17=0,IF(VLOOKUP(M97,'TANKS Vapor Fx'!$A$3:$K$294,11,FALSE)=0,IF(ISNUMBER(SEARCH("RVP",M97)),RIGHT(M97,LEN(M97)-(SEARCH("RVP",M97)+3)),0),_xlfn.IFNA(VLOOKUP(M97,'TANKS Vapor Fx'!$A$3:$K$294,11,FALSE),0)),0))</f>
        <v/>
      </c>
      <c r="N104" s="238" t="str">
        <f>IF(ISBLANK(N20),"",IF('TANKS Calculations'!T17=0,IF(VLOOKUP(N97,'TANKS Vapor Fx'!$A$3:$K$294,11,FALSE)=0,IF(ISNUMBER(SEARCH("RVP",N97)),RIGHT(N97,LEN(N97)-(SEARCH("RVP",N97)+3)),0),_xlfn.IFNA(VLOOKUP(N97,'TANKS Vapor Fx'!$A$3:$K$294,11,FALSE),0)),0))</f>
        <v/>
      </c>
      <c r="O104" s="238" t="str">
        <f>IF(ISBLANK(O20),"",IF('TANKS Calculations'!U17=0,IF(VLOOKUP(O97,'TANKS Vapor Fx'!$A$3:$K$294,11,FALSE)=0,IF(ISNUMBER(SEARCH("RVP",O97)),RIGHT(O97,LEN(O97)-(SEARCH("RVP",O97)+3)),0),_xlfn.IFNA(VLOOKUP(O97,'TANKS Vapor Fx'!$A$3:$K$294,11,FALSE),0)),0))</f>
        <v/>
      </c>
      <c r="P104" s="238" t="str">
        <f>IF(ISBLANK(P20),"",IF('TANKS Calculations'!V17=0,IF(VLOOKUP(P97,'TANKS Vapor Fx'!$A$3:$K$294,11,FALSE)=0,IF(ISNUMBER(SEARCH("RVP",P97)),RIGHT(P97,LEN(P97)-(SEARCH("RVP",P97)+3)),0),_xlfn.IFNA(VLOOKUP(P97,'TANKS Vapor Fx'!$A$3:$K$294,11,FALSE),0)),0))</f>
        <v/>
      </c>
      <c r="Q104" s="283"/>
    </row>
    <row r="105" spans="1:17" ht="30" customHeight="1" thickBot="1" x14ac:dyDescent="0.25">
      <c r="A105" s="262" t="s">
        <v>9773</v>
      </c>
      <c r="B105" s="394"/>
      <c r="C105" s="385"/>
      <c r="D105" s="385"/>
      <c r="E105" s="385"/>
      <c r="F105" s="385"/>
      <c r="G105" s="385"/>
      <c r="H105" s="385"/>
      <c r="I105" s="385"/>
      <c r="J105" s="385"/>
      <c r="K105" s="395"/>
      <c r="L105" s="385"/>
      <c r="M105" s="385"/>
      <c r="N105" s="395"/>
      <c r="O105" s="385"/>
      <c r="P105" s="385"/>
      <c r="Q105" s="244"/>
    </row>
    <row r="106" spans="1:17" ht="30" customHeight="1" x14ac:dyDescent="0.2">
      <c r="A106" s="266" t="s">
        <v>9774</v>
      </c>
      <c r="B106" s="238" t="str">
        <f>IF(ISBLANK(B18),"",IF(B97="",0,IF('TANKS Calculations'!H17=0,'TANKS Calculations'!H19,10^('TANKS Calculations'!H15-('TANKS Calculations'!H16/('TANKS Calculations'!H17+'TANKS Calculations'!$B$43)))/51.715)))</f>
        <v/>
      </c>
      <c r="C106" s="238" t="str">
        <f>IF(ISBLANK(C18),"",IF(C97="",0,IF('TANKS Calculations'!I17=0,'TANKS Calculations'!I19,10^('TANKS Calculations'!I15-('TANKS Calculations'!I16/('TANKS Calculations'!I17+'TANKS Calculations'!$B$43)))/51.715)))</f>
        <v/>
      </c>
      <c r="D106" s="238" t="str">
        <f>IF(ISBLANK(D18),"",IF(D97="",0,IF('TANKS Calculations'!J17=0,'TANKS Calculations'!J19,10^('TANKS Calculations'!J15-('TANKS Calculations'!J16/('TANKS Calculations'!J17+'TANKS Calculations'!$B$43)))/51.715)))</f>
        <v/>
      </c>
      <c r="E106" s="238" t="str">
        <f>IF(ISBLANK(E18),"",IF(E97="",0,IF('TANKS Calculations'!K17=0,'TANKS Calculations'!K19,10^('TANKS Calculations'!K15-('TANKS Calculations'!K16/('TANKS Calculations'!K17+'TANKS Calculations'!$B$43)))/51.715)))</f>
        <v/>
      </c>
      <c r="F106" s="238" t="str">
        <f>IF(ISBLANK(F18),"",IF(F97="",0,IF('TANKS Calculations'!L17=0,'TANKS Calculations'!L19,10^('TANKS Calculations'!L15-('TANKS Calculations'!L16/('TANKS Calculations'!L17+'TANKS Calculations'!$B$43)))/51.715)))</f>
        <v/>
      </c>
      <c r="G106" s="238" t="str">
        <f>IF(ISBLANK(G18),"",IF(G97="",0,IF('TANKS Calculations'!M17=0,'TANKS Calculations'!M19,10^('TANKS Calculations'!M15-('TANKS Calculations'!M16/('TANKS Calculations'!M17+'TANKS Calculations'!$B$43)))/51.715)))</f>
        <v/>
      </c>
      <c r="H106" s="238" t="str">
        <f>IF(ISBLANK(H18),"",IF(H97="",0,IF('TANKS Calculations'!N17=0,'TANKS Calculations'!N19,10^('TANKS Calculations'!N15-('TANKS Calculations'!N16/('TANKS Calculations'!N17+'TANKS Calculations'!$B$43)))/51.715)))</f>
        <v/>
      </c>
      <c r="I106" s="238" t="str">
        <f>IF(ISBLANK(I18),"",IF(I97="",0,IF('TANKS Calculations'!O17=0,'TANKS Calculations'!O19,10^('TANKS Calculations'!O15-('TANKS Calculations'!O16/('TANKS Calculations'!O17+'TANKS Calculations'!$B$43)))/51.715)))</f>
        <v/>
      </c>
      <c r="J106" s="238" t="str">
        <f>IF(ISBLANK(J18),"",IF(J97="",0,IF('TANKS Calculations'!P17=0,'TANKS Calculations'!P19,10^('TANKS Calculations'!P15-('TANKS Calculations'!P16/('TANKS Calculations'!P17+'TANKS Calculations'!$B$43)))/51.715)))</f>
        <v/>
      </c>
      <c r="K106" s="238" t="str">
        <f>IF(ISBLANK(K18),"",IF(K97="",0,IF('TANKS Calculations'!Q17=0,'TANKS Calculations'!Q19,10^('TANKS Calculations'!Q15-('TANKS Calculations'!Q16/('TANKS Calculations'!Q17+'TANKS Calculations'!$B$43)))/51.715)))</f>
        <v/>
      </c>
      <c r="L106" s="238" t="str">
        <f>IF(ISBLANK(L18),"",IF(L97="",0,IF('TANKS Calculations'!R17=0,'TANKS Calculations'!R19,10^('TANKS Calculations'!R15-('TANKS Calculations'!R16/('TANKS Calculations'!R17+'TANKS Calculations'!$B$43)))/51.715)))</f>
        <v/>
      </c>
      <c r="M106" s="238" t="str">
        <f>IF(ISBLANK(M18),"",IF(M97="",0,IF('TANKS Calculations'!S17=0,'TANKS Calculations'!S19,10^('TANKS Calculations'!S15-('TANKS Calculations'!S16/('TANKS Calculations'!S17+'TANKS Calculations'!$B$43)))/51.715)))</f>
        <v/>
      </c>
      <c r="N106" s="238" t="str">
        <f>IF(ISBLANK(N18),"",IF(N97="",0,IF('TANKS Calculations'!T17=0,'TANKS Calculations'!T19,10^('TANKS Calculations'!T15-('TANKS Calculations'!T16/('TANKS Calculations'!T17+'TANKS Calculations'!$B$43)))/51.715)))</f>
        <v/>
      </c>
      <c r="O106" s="238" t="str">
        <f>IF(ISBLANK(O18),"",IF(O97="",0,IF('TANKS Calculations'!U17=0,'TANKS Calculations'!U19,10^('TANKS Calculations'!U15-('TANKS Calculations'!U16/('TANKS Calculations'!U17+'TANKS Calculations'!$B$43)))/51.715)))</f>
        <v/>
      </c>
      <c r="P106" s="238" t="str">
        <f>IF(ISBLANK(P18),"",IF(P97="",0,IF('TANKS Calculations'!V17=0,'TANKS Calculations'!V19,10^('TANKS Calculations'!V15-('TANKS Calculations'!V16/('TANKS Calculations'!V17+'TANKS Calculations'!$B$43)))/51.715)))</f>
        <v/>
      </c>
      <c r="Q106" s="283"/>
    </row>
    <row r="107" spans="1:17" ht="30" customHeight="1" thickBot="1" x14ac:dyDescent="0.25">
      <c r="A107" s="256" t="s">
        <v>9775</v>
      </c>
      <c r="B107" s="396"/>
      <c r="C107" s="397"/>
      <c r="D107" s="397"/>
      <c r="E107" s="397"/>
      <c r="F107" s="397"/>
      <c r="G107" s="397"/>
      <c r="H107" s="397"/>
      <c r="I107" s="397"/>
      <c r="J107" s="397"/>
      <c r="K107" s="398"/>
      <c r="L107" s="397"/>
      <c r="M107" s="397"/>
      <c r="N107" s="398"/>
      <c r="O107" s="397"/>
      <c r="P107" s="397"/>
      <c r="Q107" s="241"/>
    </row>
    <row r="108" spans="1:17" ht="30" customHeight="1" x14ac:dyDescent="0.2">
      <c r="A108" s="266" t="s">
        <v>9776</v>
      </c>
      <c r="B108" s="238" t="str">
        <f>IF(ISBLANK(B18),"",IF(B97="",0,10^('TANKS Calculations'!H15-('TANKS Calculations'!H16/('TANKS Calculations'!H17+'TANKS Calculations'!$B$37)))/51.715))</f>
        <v/>
      </c>
      <c r="C108" s="238" t="str">
        <f>IF(ISBLANK(C18),"",IF(C97="",0,10^('TANKS Calculations'!I15-('TANKS Calculations'!I16/('TANKS Calculations'!I17+'TANKS Calculations'!$B$37)))/51.715))</f>
        <v/>
      </c>
      <c r="D108" s="238" t="str">
        <f>IF(ISBLANK(D18),"",IF(D97="",0,10^('TANKS Calculations'!J15-('TANKS Calculations'!J16/('TANKS Calculations'!J17+'TANKS Calculations'!$B$37)))/51.715))</f>
        <v/>
      </c>
      <c r="E108" s="238" t="str">
        <f>IF(ISBLANK(E18),"",IF(E97="",0,10^('TANKS Calculations'!K15-('TANKS Calculations'!K16/('TANKS Calculations'!K17+'TANKS Calculations'!$B$37)))/51.715))</f>
        <v/>
      </c>
      <c r="F108" s="238" t="str">
        <f>IF(ISBLANK(F18),"",IF(F97="",0,10^('TANKS Calculations'!L15-('TANKS Calculations'!L16/('TANKS Calculations'!L17+'TANKS Calculations'!$B$37)))/51.715))</f>
        <v/>
      </c>
      <c r="G108" s="238" t="str">
        <f>IF(ISBLANK(G18),"",IF(G97="",0,10^('TANKS Calculations'!M15-('TANKS Calculations'!M16/('TANKS Calculations'!M17+'TANKS Calculations'!$B$37)))/51.715))</f>
        <v/>
      </c>
      <c r="H108" s="238" t="str">
        <f>IF(ISBLANK(H18),"",IF(H97="",0,10^('TANKS Calculations'!N15-('TANKS Calculations'!N16/('TANKS Calculations'!N17+'TANKS Calculations'!$B$37)))/51.715))</f>
        <v/>
      </c>
      <c r="I108" s="238" t="str">
        <f>IF(ISBLANK(I18),"",IF(I97="",0,10^('TANKS Calculations'!O15-('TANKS Calculations'!O16/('TANKS Calculations'!O17+'TANKS Calculations'!$B$37)))/51.715))</f>
        <v/>
      </c>
      <c r="J108" s="238" t="str">
        <f>IF(ISBLANK(J18),"",IF(J97="",0,10^('TANKS Calculations'!P15-('TANKS Calculations'!P16/('TANKS Calculations'!P17+'TANKS Calculations'!$B$37)))/51.715))</f>
        <v/>
      </c>
      <c r="K108" s="238" t="str">
        <f>IF(ISBLANK(K18),"",IF(K97="",0,10^('TANKS Calculations'!Q15-('TANKS Calculations'!Q16/('TANKS Calculations'!Q17+'TANKS Calculations'!$B$37)))/51.715))</f>
        <v/>
      </c>
      <c r="L108" s="238" t="str">
        <f>IF(ISBLANK(L18),"",IF(L97="",0,10^('TANKS Calculations'!R15-('TANKS Calculations'!R16/('TANKS Calculations'!R17+'TANKS Calculations'!$B$37)))/51.715))</f>
        <v/>
      </c>
      <c r="M108" s="238" t="str">
        <f>IF(ISBLANK(M18),"",IF(M97="",0,10^('TANKS Calculations'!S15-('TANKS Calculations'!S16/('TANKS Calculations'!S17+'TANKS Calculations'!$B$37)))/51.715))</f>
        <v/>
      </c>
      <c r="N108" s="238" t="str">
        <f>IF(ISBLANK(N18),"",IF(N97="",0,10^('TANKS Calculations'!T15-('TANKS Calculations'!T16/('TANKS Calculations'!T17+'TANKS Calculations'!$B$37)))/51.715))</f>
        <v/>
      </c>
      <c r="O108" s="238" t="str">
        <f>IF(ISBLANK(O18),"",IF(O97="",0,10^('TANKS Calculations'!U15-('TANKS Calculations'!U16/('TANKS Calculations'!U17+'TANKS Calculations'!$B$37)))/51.715))</f>
        <v/>
      </c>
      <c r="P108" s="238" t="str">
        <f>IF(ISBLANK(P18),"",IF(P97="",0,10^('TANKS Calculations'!V15-('TANKS Calculations'!V16/('TANKS Calculations'!V17+'TANKS Calculations'!$B$37)))/51.715))</f>
        <v/>
      </c>
      <c r="Q108" s="283"/>
    </row>
    <row r="109" spans="1:17" ht="30" customHeight="1" thickBot="1" x14ac:dyDescent="0.25">
      <c r="A109" s="262" t="s">
        <v>9777</v>
      </c>
      <c r="B109" s="394"/>
      <c r="C109" s="385"/>
      <c r="D109" s="385"/>
      <c r="E109" s="385"/>
      <c r="F109" s="385"/>
      <c r="G109" s="385"/>
      <c r="H109" s="385"/>
      <c r="I109" s="385"/>
      <c r="J109" s="385"/>
      <c r="K109" s="395"/>
      <c r="L109" s="385"/>
      <c r="M109" s="385"/>
      <c r="N109" s="395"/>
      <c r="O109" s="385"/>
      <c r="P109" s="385"/>
      <c r="Q109" s="244"/>
    </row>
    <row r="110" spans="1:17" ht="30" customHeight="1" x14ac:dyDescent="0.2">
      <c r="A110" s="266" t="s">
        <v>9778</v>
      </c>
      <c r="B110" s="238" t="str">
        <f>IF(ISBLANK(B18),"",IF(B97="",0,10^('TANKS Calculations'!H15-('TANKS Calculations'!H16/('TANKS Calculations'!H17+'TANKS Calculations'!$B$40)))/51.715))</f>
        <v/>
      </c>
      <c r="C110" s="238" t="str">
        <f>IF(ISBLANK(C18),"",IF(C97="",0,10^('TANKS Calculations'!I15-('TANKS Calculations'!I16/('TANKS Calculations'!I17+'TANKS Calculations'!$B$40)))/51.715))</f>
        <v/>
      </c>
      <c r="D110" s="238" t="str">
        <f>IF(ISBLANK(D18),"",IF(D97="",0,10^('TANKS Calculations'!J15-('TANKS Calculations'!J16/('TANKS Calculations'!J17+'TANKS Calculations'!$B$40)))/51.715))</f>
        <v/>
      </c>
      <c r="E110" s="238" t="str">
        <f>IF(ISBLANK(E18),"",IF(E97="",0,10^('TANKS Calculations'!K15-('TANKS Calculations'!K16/('TANKS Calculations'!K17+'TANKS Calculations'!$B$40)))/51.715))</f>
        <v/>
      </c>
      <c r="F110" s="238" t="str">
        <f>IF(ISBLANK(F18),"",IF(F97="",0,10^('TANKS Calculations'!L15-('TANKS Calculations'!L16/('TANKS Calculations'!L17+'TANKS Calculations'!$B$40)))/51.715))</f>
        <v/>
      </c>
      <c r="G110" s="238" t="str">
        <f>IF(ISBLANK(G18),"",IF(G97="",0,10^('TANKS Calculations'!M15-('TANKS Calculations'!M16/('TANKS Calculations'!M17+'TANKS Calculations'!$B$40)))/51.715))</f>
        <v/>
      </c>
      <c r="H110" s="238" t="str">
        <f>IF(ISBLANK(H18),"",IF(H97="",0,10^('TANKS Calculations'!N15-('TANKS Calculations'!N16/('TANKS Calculations'!N17+'TANKS Calculations'!$B$40)))/51.715))</f>
        <v/>
      </c>
      <c r="I110" s="238" t="str">
        <f>IF(ISBLANK(I18),"",IF(I97="",0,10^('TANKS Calculations'!O15-('TANKS Calculations'!O16/('TANKS Calculations'!O17+'TANKS Calculations'!$B$40)))/51.715))</f>
        <v/>
      </c>
      <c r="J110" s="238" t="str">
        <f>IF(ISBLANK(J18),"",IF(J97="",0,10^('TANKS Calculations'!P15-('TANKS Calculations'!P16/('TANKS Calculations'!P17+'TANKS Calculations'!$B$40)))/51.715))</f>
        <v/>
      </c>
      <c r="K110" s="238" t="str">
        <f>IF(ISBLANK(K18),"",IF(K97="",0,10^('TANKS Calculations'!Q15-('TANKS Calculations'!Q16/('TANKS Calculations'!Q17+'TANKS Calculations'!$B$40)))/51.715))</f>
        <v/>
      </c>
      <c r="L110" s="238" t="str">
        <f>IF(ISBLANK(L18),"",IF(L97="",0,10^('TANKS Calculations'!R15-('TANKS Calculations'!R16/('TANKS Calculations'!R17+'TANKS Calculations'!$B$40)))/51.715))</f>
        <v/>
      </c>
      <c r="M110" s="238" t="str">
        <f>IF(ISBLANK(M18),"",IF(M97="",0,10^('TANKS Calculations'!S15-('TANKS Calculations'!S16/('TANKS Calculations'!S17+'TANKS Calculations'!$B$40)))/51.715))</f>
        <v/>
      </c>
      <c r="N110" s="238" t="str">
        <f>IF(ISBLANK(N18),"",IF(N97="",0,10^('TANKS Calculations'!T15-('TANKS Calculations'!T16/('TANKS Calculations'!T17+'TANKS Calculations'!$B$40)))/51.715))</f>
        <v/>
      </c>
      <c r="O110" s="238" t="str">
        <f>IF(ISBLANK(O18),"",IF(O97="",0,10^('TANKS Calculations'!U15-('TANKS Calculations'!U16/('TANKS Calculations'!U17+'TANKS Calculations'!$B$40)))/51.715))</f>
        <v/>
      </c>
      <c r="P110" s="238" t="str">
        <f>IF(ISBLANK(P18),"",IF(P97="",0,10^('TANKS Calculations'!V15-('TANKS Calculations'!V16/('TANKS Calculations'!V17+'TANKS Calculations'!$B$40)))/51.715))</f>
        <v/>
      </c>
      <c r="Q110" s="283"/>
    </row>
    <row r="111" spans="1:17" ht="30" customHeight="1" thickBot="1" x14ac:dyDescent="0.25">
      <c r="A111" s="262" t="s">
        <v>9779</v>
      </c>
      <c r="B111" s="394"/>
      <c r="C111" s="385"/>
      <c r="D111" s="385"/>
      <c r="E111" s="385"/>
      <c r="F111" s="385"/>
      <c r="G111" s="385"/>
      <c r="H111" s="385"/>
      <c r="I111" s="385"/>
      <c r="J111" s="385"/>
      <c r="K111" s="395"/>
      <c r="L111" s="385"/>
      <c r="M111" s="385"/>
      <c r="N111" s="395"/>
      <c r="O111" s="385"/>
      <c r="P111" s="385"/>
      <c r="Q111" s="244"/>
    </row>
    <row r="112" spans="1:17" ht="20.100000000000001" customHeight="1" x14ac:dyDescent="0.2">
      <c r="A112" s="284" t="s">
        <v>9546</v>
      </c>
      <c r="B112" s="285" t="str">
        <f>IF(ISBLANK(B18),"",IFERROR('TANKS Calculations'!H11/'TANKS Calculations'!$W$11,0))</f>
        <v/>
      </c>
      <c r="C112" s="285" t="str">
        <f>IF(ISBLANK(C18),"",IFERROR('TANKS Calculations'!I11/'TANKS Calculations'!$W$11,0))</f>
        <v/>
      </c>
      <c r="D112" s="285" t="str">
        <f>IF(ISBLANK(D18),"",IFERROR('TANKS Calculations'!J11/'TANKS Calculations'!$W$11,0))</f>
        <v/>
      </c>
      <c r="E112" s="285" t="str">
        <f>IF(ISBLANK(E18),"",IFERROR('TANKS Calculations'!K11/'TANKS Calculations'!$W$11,0))</f>
        <v/>
      </c>
      <c r="F112" s="285" t="str">
        <f>IF(ISBLANK(F18),"",IFERROR('TANKS Calculations'!L11/'TANKS Calculations'!$W$11,0))</f>
        <v/>
      </c>
      <c r="G112" s="285" t="str">
        <f>IF(ISBLANK(G18),"",IFERROR('TANKS Calculations'!M11/'TANKS Calculations'!$W$11,0))</f>
        <v/>
      </c>
      <c r="H112" s="285" t="str">
        <f>IF(ISBLANK(H18),"",IFERROR('TANKS Calculations'!N11/'TANKS Calculations'!$W$11,0))</f>
        <v/>
      </c>
      <c r="I112" s="285" t="str">
        <f>IF(ISBLANK(I18),"",IFERROR('TANKS Calculations'!O11/'TANKS Calculations'!$W$11,0))</f>
        <v/>
      </c>
      <c r="J112" s="285" t="str">
        <f>IF(ISBLANK(J18),"",IFERROR('TANKS Calculations'!P11/'TANKS Calculations'!$W$11,0))</f>
        <v/>
      </c>
      <c r="K112" s="285" t="str">
        <f>IF(ISBLANK(K18),"",IFERROR('TANKS Calculations'!Q11/'TANKS Calculations'!$W$11,0))</f>
        <v/>
      </c>
      <c r="L112" s="285" t="str">
        <f>IF(ISBLANK(L18),"",IFERROR('TANKS Calculations'!R11/'TANKS Calculations'!$W$11,0))</f>
        <v/>
      </c>
      <c r="M112" s="285" t="str">
        <f>IF(ISBLANK(M18),"",IFERROR('TANKS Calculations'!S11/'TANKS Calculations'!$W$11,0))</f>
        <v/>
      </c>
      <c r="N112" s="285" t="str">
        <f>IF(ISBLANK(N18),"",IFERROR('TANKS Calculations'!T11/'TANKS Calculations'!$W$11,0))</f>
        <v/>
      </c>
      <c r="O112" s="285" t="str">
        <f>IF(ISBLANK(O18),"",IFERROR('TANKS Calculations'!U11/'TANKS Calculations'!$W$11,0))</f>
        <v/>
      </c>
      <c r="P112" s="285" t="str">
        <f>IF(ISBLANK(P18),"",IFERROR('TANKS Calculations'!V11/'TANKS Calculations'!$W$11,0))</f>
        <v/>
      </c>
      <c r="Q112" s="287">
        <f t="shared" ref="Q112:Q117" si="2">SUM(B112:P112)</f>
        <v>0</v>
      </c>
    </row>
    <row r="113" spans="1:17" ht="20.100000000000001" customHeight="1" x14ac:dyDescent="0.2">
      <c r="A113" s="233" t="s">
        <v>9548</v>
      </c>
      <c r="B113" s="252" t="str">
        <f>IF(ISBLANK(B18),"",'TANKS Calculations'!H12*B112)</f>
        <v/>
      </c>
      <c r="C113" s="252" t="str">
        <f>IF(ISBLANK(C18),"",'TANKS Calculations'!I12*C112)</f>
        <v/>
      </c>
      <c r="D113" s="252" t="str">
        <f>IF(ISBLANK(D18),"",'TANKS Calculations'!J12*D112)</f>
        <v/>
      </c>
      <c r="E113" s="252" t="str">
        <f>IF(ISBLANK(E18),"",'TANKS Calculations'!K12*E112)</f>
        <v/>
      </c>
      <c r="F113" s="252" t="str">
        <f>IF(ISBLANK(F18),"",'TANKS Calculations'!L12*F112)</f>
        <v/>
      </c>
      <c r="G113" s="252" t="str">
        <f>IF(ISBLANK(G18),"",'TANKS Calculations'!M12*G112)</f>
        <v/>
      </c>
      <c r="H113" s="252" t="str">
        <f>IF(ISBLANK(H18),"",'TANKS Calculations'!N12*H112)</f>
        <v/>
      </c>
      <c r="I113" s="252" t="str">
        <f>IF(ISBLANK(I18),"",'TANKS Calculations'!O12*I112)</f>
        <v/>
      </c>
      <c r="J113" s="252" t="str">
        <f>IF(ISBLANK(J18),"",'TANKS Calculations'!P12*J112)</f>
        <v/>
      </c>
      <c r="K113" s="252" t="str">
        <f>IF(ISBLANK(K18),"",'TANKS Calculations'!Q12*K112)</f>
        <v/>
      </c>
      <c r="L113" s="252" t="str">
        <f>IF(ISBLANK(L18),"",'TANKS Calculations'!R12*L112)</f>
        <v/>
      </c>
      <c r="M113" s="252" t="str">
        <f>IF(ISBLANK(M18),"",'TANKS Calculations'!S12*M112)</f>
        <v/>
      </c>
      <c r="N113" s="252" t="str">
        <f>IF(ISBLANK(N18),"",'TANKS Calculations'!T12*N112)</f>
        <v/>
      </c>
      <c r="O113" s="252" t="str">
        <f>IF(ISBLANK(O18),"",'TANKS Calculations'!U12*O112)</f>
        <v/>
      </c>
      <c r="P113" s="252" t="str">
        <f>IF(ISBLANK(P18),"",'TANKS Calculations'!V12*P112)</f>
        <v/>
      </c>
      <c r="Q113" s="288">
        <f t="shared" si="2"/>
        <v>0</v>
      </c>
    </row>
    <row r="114" spans="1:17" ht="20.100000000000001" customHeight="1" x14ac:dyDescent="0.2">
      <c r="A114" s="233" t="s">
        <v>9550</v>
      </c>
      <c r="B114" s="252" t="str">
        <f t="shared" ref="B114:P114" si="3">IF(ISBLANK(B18),"",IFERROR(B113/$Q$113,0))</f>
        <v/>
      </c>
      <c r="C114" s="252" t="str">
        <f t="shared" si="3"/>
        <v/>
      </c>
      <c r="D114" s="252" t="str">
        <f t="shared" si="3"/>
        <v/>
      </c>
      <c r="E114" s="252" t="str">
        <f t="shared" si="3"/>
        <v/>
      </c>
      <c r="F114" s="252" t="str">
        <f t="shared" si="3"/>
        <v/>
      </c>
      <c r="G114" s="252" t="str">
        <f t="shared" si="3"/>
        <v/>
      </c>
      <c r="H114" s="252" t="str">
        <f t="shared" si="3"/>
        <v/>
      </c>
      <c r="I114" s="252" t="str">
        <f t="shared" si="3"/>
        <v/>
      </c>
      <c r="J114" s="252" t="str">
        <f t="shared" si="3"/>
        <v/>
      </c>
      <c r="K114" s="252" t="str">
        <f t="shared" si="3"/>
        <v/>
      </c>
      <c r="L114" s="252" t="str">
        <f t="shared" si="3"/>
        <v/>
      </c>
      <c r="M114" s="252" t="str">
        <f t="shared" si="3"/>
        <v/>
      </c>
      <c r="N114" s="252" t="str">
        <f t="shared" si="3"/>
        <v/>
      </c>
      <c r="O114" s="252" t="str">
        <f t="shared" si="3"/>
        <v/>
      </c>
      <c r="P114" s="252" t="str">
        <f t="shared" si="3"/>
        <v/>
      </c>
      <c r="Q114" s="288">
        <f t="shared" si="2"/>
        <v>0</v>
      </c>
    </row>
    <row r="115" spans="1:17" ht="20.100000000000001" customHeight="1" x14ac:dyDescent="0.2">
      <c r="A115" s="233" t="s">
        <v>9780</v>
      </c>
      <c r="B115" s="252" t="str">
        <f t="shared" ref="B115:P115" si="4">IF(ISBLANK(B18),"",B114*IF(ISBLANK(B26),B25,B26))</f>
        <v/>
      </c>
      <c r="C115" s="252" t="str">
        <f t="shared" si="4"/>
        <v/>
      </c>
      <c r="D115" s="252" t="str">
        <f t="shared" si="4"/>
        <v/>
      </c>
      <c r="E115" s="252" t="str">
        <f t="shared" si="4"/>
        <v/>
      </c>
      <c r="F115" s="252" t="str">
        <f t="shared" si="4"/>
        <v/>
      </c>
      <c r="G115" s="252" t="str">
        <f t="shared" si="4"/>
        <v/>
      </c>
      <c r="H115" s="252" t="str">
        <f t="shared" si="4"/>
        <v/>
      </c>
      <c r="I115" s="252" t="str">
        <f t="shared" si="4"/>
        <v/>
      </c>
      <c r="J115" s="252" t="str">
        <f t="shared" si="4"/>
        <v/>
      </c>
      <c r="K115" s="252" t="str">
        <f t="shared" si="4"/>
        <v/>
      </c>
      <c r="L115" s="252" t="str">
        <f t="shared" si="4"/>
        <v/>
      </c>
      <c r="M115" s="252" t="str">
        <f t="shared" si="4"/>
        <v/>
      </c>
      <c r="N115" s="252" t="str">
        <f t="shared" si="4"/>
        <v/>
      </c>
      <c r="O115" s="252" t="str">
        <f t="shared" si="4"/>
        <v/>
      </c>
      <c r="P115" s="252" t="str">
        <f t="shared" si="4"/>
        <v/>
      </c>
      <c r="Q115" s="288">
        <f t="shared" si="2"/>
        <v>0</v>
      </c>
    </row>
    <row r="116" spans="1:17" ht="20.100000000000001" customHeight="1" x14ac:dyDescent="0.2">
      <c r="A116" s="233" t="s">
        <v>9558</v>
      </c>
      <c r="B116" s="252" t="str">
        <f t="shared" ref="B116:P116" si="5">IF(ISBLANK(B18),"",IF(ISBLANK(B109),B108,B109)*B112)</f>
        <v/>
      </c>
      <c r="C116" s="252" t="str">
        <f t="shared" si="5"/>
        <v/>
      </c>
      <c r="D116" s="252" t="str">
        <f t="shared" si="5"/>
        <v/>
      </c>
      <c r="E116" s="252" t="str">
        <f t="shared" si="5"/>
        <v/>
      </c>
      <c r="F116" s="252" t="str">
        <f t="shared" si="5"/>
        <v/>
      </c>
      <c r="G116" s="252" t="str">
        <f t="shared" si="5"/>
        <v/>
      </c>
      <c r="H116" s="252" t="str">
        <f t="shared" si="5"/>
        <v/>
      </c>
      <c r="I116" s="252" t="str">
        <f t="shared" si="5"/>
        <v/>
      </c>
      <c r="J116" s="252" t="str">
        <f t="shared" si="5"/>
        <v/>
      </c>
      <c r="K116" s="252" t="str">
        <f t="shared" si="5"/>
        <v/>
      </c>
      <c r="L116" s="252" t="str">
        <f t="shared" si="5"/>
        <v/>
      </c>
      <c r="M116" s="252" t="str">
        <f t="shared" si="5"/>
        <v/>
      </c>
      <c r="N116" s="252" t="str">
        <f t="shared" si="5"/>
        <v/>
      </c>
      <c r="O116" s="252" t="str">
        <f t="shared" si="5"/>
        <v/>
      </c>
      <c r="P116" s="252" t="str">
        <f t="shared" si="5"/>
        <v/>
      </c>
      <c r="Q116" s="288">
        <f t="shared" si="2"/>
        <v>0</v>
      </c>
    </row>
    <row r="117" spans="1:17" ht="20.100000000000001" customHeight="1" thickBot="1" x14ac:dyDescent="0.25">
      <c r="A117" s="235" t="s">
        <v>9560</v>
      </c>
      <c r="B117" s="289" t="str">
        <f t="shared" ref="B117:P117" si="6">IF(ISBLANK(B18),"",IF(ISBLANK(B111),B110,B111)*B112)</f>
        <v/>
      </c>
      <c r="C117" s="289" t="str">
        <f t="shared" si="6"/>
        <v/>
      </c>
      <c r="D117" s="289" t="str">
        <f t="shared" si="6"/>
        <v/>
      </c>
      <c r="E117" s="289" t="str">
        <f t="shared" si="6"/>
        <v/>
      </c>
      <c r="F117" s="289" t="str">
        <f t="shared" si="6"/>
        <v/>
      </c>
      <c r="G117" s="289" t="str">
        <f t="shared" si="6"/>
        <v/>
      </c>
      <c r="H117" s="289" t="str">
        <f t="shared" si="6"/>
        <v/>
      </c>
      <c r="I117" s="289" t="str">
        <f t="shared" si="6"/>
        <v/>
      </c>
      <c r="J117" s="289" t="str">
        <f t="shared" si="6"/>
        <v/>
      </c>
      <c r="K117" s="289" t="str">
        <f t="shared" si="6"/>
        <v/>
      </c>
      <c r="L117" s="289" t="str">
        <f t="shared" si="6"/>
        <v/>
      </c>
      <c r="M117" s="289" t="str">
        <f t="shared" si="6"/>
        <v/>
      </c>
      <c r="N117" s="289" t="str">
        <f t="shared" si="6"/>
        <v/>
      </c>
      <c r="O117" s="289" t="str">
        <f t="shared" si="6"/>
        <v/>
      </c>
      <c r="P117" s="289" t="str">
        <f t="shared" si="6"/>
        <v/>
      </c>
      <c r="Q117" s="236">
        <f t="shared" si="2"/>
        <v>0</v>
      </c>
    </row>
    <row r="118" spans="1:17" ht="30" customHeight="1" thickBot="1" x14ac:dyDescent="0.25">
      <c r="A118" s="1376" t="s">
        <v>8411</v>
      </c>
      <c r="B118" s="1376"/>
      <c r="C118" s="1376"/>
      <c r="D118" s="1376"/>
      <c r="E118" s="224"/>
    </row>
    <row r="119" spans="1:17" ht="60" customHeight="1" thickBot="1" x14ac:dyDescent="0.3">
      <c r="A119" s="1352" t="s">
        <v>9684</v>
      </c>
      <c r="B119" s="1353"/>
      <c r="C119" s="1353"/>
      <c r="D119" s="1354"/>
      <c r="E119" s="224"/>
      <c r="F119" s="224"/>
      <c r="G119" s="224"/>
      <c r="H119" s="224"/>
      <c r="I119" s="224"/>
      <c r="J119" s="224"/>
      <c r="K119" s="224"/>
      <c r="L119" s="224"/>
      <c r="M119" s="224"/>
      <c r="N119" s="224"/>
      <c r="O119" s="224"/>
      <c r="P119" s="224"/>
      <c r="Q119" s="224"/>
    </row>
    <row r="120" spans="1:17" ht="20.100000000000001" customHeight="1" thickBot="1" x14ac:dyDescent="0.3">
      <c r="A120" s="146" t="s">
        <v>9685</v>
      </c>
      <c r="B120" s="147" t="s">
        <v>9686</v>
      </c>
      <c r="C120" s="148" t="s">
        <v>9687</v>
      </c>
      <c r="D120" s="149" t="s">
        <v>9688</v>
      </c>
      <c r="E120" s="224"/>
      <c r="F120" s="224"/>
      <c r="G120" s="224"/>
      <c r="H120" s="224"/>
      <c r="I120" s="224"/>
      <c r="J120" s="224"/>
      <c r="K120" s="224"/>
      <c r="L120" s="224"/>
      <c r="M120" s="224"/>
      <c r="N120" s="224"/>
      <c r="O120" s="224"/>
      <c r="P120" s="224"/>
      <c r="Q120" s="224"/>
    </row>
    <row r="121" spans="1:17" ht="20.100000000000001" customHeight="1" x14ac:dyDescent="0.2">
      <c r="A121" s="266" t="s">
        <v>9781</v>
      </c>
      <c r="B121" s="238">
        <v>0.03</v>
      </c>
      <c r="C121" s="399"/>
      <c r="D121" s="268" t="s">
        <v>9782</v>
      </c>
      <c r="E121" s="224"/>
      <c r="F121" s="224"/>
      <c r="G121" s="224"/>
      <c r="H121" s="224"/>
      <c r="I121" s="224"/>
    </row>
    <row r="122" spans="1:17" ht="20.100000000000001" customHeight="1" x14ac:dyDescent="0.2">
      <c r="A122" s="228" t="s">
        <v>9783</v>
      </c>
      <c r="B122" s="252">
        <v>-0.03</v>
      </c>
      <c r="C122" s="379"/>
      <c r="D122" s="227" t="s">
        <v>9782</v>
      </c>
      <c r="E122" s="224"/>
      <c r="F122" s="224"/>
      <c r="G122" s="224"/>
      <c r="H122" s="224"/>
      <c r="I122" s="224"/>
    </row>
    <row r="123" spans="1:17" ht="20.100000000000001" customHeight="1" x14ac:dyDescent="0.2">
      <c r="A123" s="225" t="s">
        <v>9784</v>
      </c>
      <c r="B123" s="285">
        <f>IF(OR(C66="No",C31="Riveted"),0,'TANKS Calculations'!B44-'TANKS Calculations'!B45)</f>
        <v>0.06</v>
      </c>
      <c r="C123" s="392"/>
      <c r="D123" s="246" t="s">
        <v>9782</v>
      </c>
      <c r="E123" s="224"/>
      <c r="F123" s="224"/>
      <c r="G123" s="224"/>
      <c r="H123" s="224"/>
      <c r="I123" s="224"/>
    </row>
    <row r="124" spans="1:17" ht="20.100000000000001" customHeight="1" x14ac:dyDescent="0.2">
      <c r="A124" s="256" t="s">
        <v>9785</v>
      </c>
      <c r="B124" s="258">
        <f>IF(C69="Fully Insulated",0,Q116-Q117)</f>
        <v>0</v>
      </c>
      <c r="C124" s="383"/>
      <c r="D124" s="259" t="s">
        <v>8867</v>
      </c>
      <c r="E124" s="224"/>
      <c r="F124" s="224"/>
      <c r="G124" s="224"/>
      <c r="H124" s="224"/>
      <c r="I124" s="224"/>
    </row>
    <row r="125" spans="1:17" ht="20.100000000000001" customHeight="1" x14ac:dyDescent="0.2">
      <c r="A125" s="228" t="s">
        <v>9786</v>
      </c>
      <c r="B125" s="252">
        <f>Q113</f>
        <v>0</v>
      </c>
      <c r="C125" s="379"/>
      <c r="D125" s="227" t="s">
        <v>8867</v>
      </c>
      <c r="E125" s="224"/>
      <c r="F125" s="224"/>
      <c r="G125" s="224"/>
      <c r="H125" s="224"/>
      <c r="I125" s="224"/>
    </row>
    <row r="126" spans="1:17" ht="30" customHeight="1" x14ac:dyDescent="0.2">
      <c r="A126" s="228" t="s">
        <v>9787</v>
      </c>
      <c r="B126" s="254" t="s">
        <v>269</v>
      </c>
      <c r="C126" s="400"/>
      <c r="D126" s="227" t="s">
        <v>9689</v>
      </c>
      <c r="E126" s="224"/>
      <c r="F126" s="224"/>
      <c r="G126" s="224"/>
      <c r="H126" s="224"/>
      <c r="I126" s="224"/>
    </row>
    <row r="127" spans="1:17" ht="30" customHeight="1" thickBot="1" x14ac:dyDescent="0.25">
      <c r="A127" s="230" t="s">
        <v>9788</v>
      </c>
      <c r="B127" s="290">
        <v>0</v>
      </c>
      <c r="C127" s="401"/>
      <c r="D127" s="231" t="s">
        <v>9689</v>
      </c>
      <c r="E127" s="224"/>
      <c r="F127" s="224"/>
      <c r="G127" s="224"/>
      <c r="H127" s="224"/>
      <c r="I127" s="224"/>
    </row>
    <row r="128" spans="1:17" ht="30" customHeight="1" thickBot="1" x14ac:dyDescent="0.25">
      <c r="A128" s="1376" t="s">
        <v>8411</v>
      </c>
      <c r="B128" s="1376"/>
      <c r="C128" s="1376"/>
      <c r="D128" s="1376"/>
    </row>
    <row r="129" spans="1:17" ht="60" customHeight="1" thickBot="1" x14ac:dyDescent="0.3">
      <c r="A129" s="1352" t="s">
        <v>9789</v>
      </c>
      <c r="B129" s="1358"/>
      <c r="C129" s="1358"/>
      <c r="D129" s="1359"/>
      <c r="E129" s="224"/>
      <c r="F129" s="224"/>
      <c r="G129" s="224"/>
      <c r="H129" s="224"/>
      <c r="I129" s="224"/>
      <c r="J129" s="224"/>
      <c r="K129" s="224"/>
      <c r="L129" s="224"/>
      <c r="M129" s="224"/>
      <c r="N129" s="224"/>
      <c r="O129" s="224"/>
      <c r="P129" s="224"/>
      <c r="Q129" s="224"/>
    </row>
    <row r="130" spans="1:17" ht="20.100000000000001" customHeight="1" thickBot="1" x14ac:dyDescent="0.3">
      <c r="A130" s="152" t="s">
        <v>9685</v>
      </c>
      <c r="B130" s="153" t="s">
        <v>9686</v>
      </c>
      <c r="C130" s="154" t="s">
        <v>9687</v>
      </c>
      <c r="D130" s="155" t="s">
        <v>9688</v>
      </c>
      <c r="E130" s="224"/>
      <c r="F130" s="224"/>
      <c r="G130" s="224"/>
      <c r="H130" s="224"/>
      <c r="I130" s="224"/>
      <c r="J130" s="224"/>
      <c r="K130" s="224"/>
      <c r="L130" s="224"/>
      <c r="M130" s="224"/>
      <c r="N130" s="224"/>
      <c r="O130" s="224"/>
      <c r="P130" s="224"/>
      <c r="Q130" s="224"/>
    </row>
    <row r="131" spans="1:17" ht="20.100000000000001" customHeight="1" x14ac:dyDescent="0.35">
      <c r="A131" s="225" t="s">
        <v>9790</v>
      </c>
      <c r="B131" s="285">
        <f>'TANKS Calculations'!W7</f>
        <v>0</v>
      </c>
      <c r="C131" s="392"/>
      <c r="D131" s="246" t="s">
        <v>9791</v>
      </c>
      <c r="E131" s="224"/>
      <c r="F131" s="224"/>
      <c r="G131" s="224"/>
      <c r="H131" s="224"/>
      <c r="I131" s="224"/>
    </row>
    <row r="132" spans="1:17" ht="20.100000000000001" customHeight="1" x14ac:dyDescent="0.35">
      <c r="A132" s="228" t="s">
        <v>9792</v>
      </c>
      <c r="B132" s="252">
        <f>IFERROR(Q115*Q113/(10.731*'TANKS Calculations'!B49),0)</f>
        <v>0</v>
      </c>
      <c r="C132" s="379"/>
      <c r="D132" s="227" t="s">
        <v>9793</v>
      </c>
      <c r="E132" s="224"/>
      <c r="F132" s="224"/>
      <c r="G132" s="224"/>
      <c r="H132" s="224"/>
      <c r="I132" s="224"/>
    </row>
    <row r="133" spans="1:17" ht="20.100000000000001" customHeight="1" x14ac:dyDescent="0.35">
      <c r="A133" s="256" t="s">
        <v>9794</v>
      </c>
      <c r="B133" s="258">
        <f>Q115</f>
        <v>0</v>
      </c>
      <c r="C133" s="383"/>
      <c r="D133" s="259" t="s">
        <v>9795</v>
      </c>
      <c r="E133" s="224"/>
      <c r="F133" s="224"/>
      <c r="G133" s="224"/>
      <c r="H133" s="224"/>
      <c r="I133" s="224"/>
    </row>
    <row r="134" spans="1:17" ht="20.100000000000001" customHeight="1" x14ac:dyDescent="0.35">
      <c r="A134" s="228" t="s">
        <v>9796</v>
      </c>
      <c r="B134" s="252">
        <f>1/(1+(0.053*Q113*'TANKS Calculations'!B60))</f>
        <v>1</v>
      </c>
      <c r="C134" s="379"/>
      <c r="D134" s="227" t="s">
        <v>9689</v>
      </c>
      <c r="E134" s="224"/>
      <c r="F134" s="224"/>
      <c r="G134" s="224"/>
      <c r="H134" s="224"/>
      <c r="I134" s="224"/>
    </row>
    <row r="135" spans="1:17" ht="20.100000000000001" customHeight="1" x14ac:dyDescent="0.35">
      <c r="A135" s="247" t="s">
        <v>9797</v>
      </c>
      <c r="B135" s="276">
        <f>IF(AND('TANKS Calculations'!B44&lt;=0.03,'TANKS Calculations'!B45&gt;=-0.03,'TANKS Calculations'!B51&lt;0.1),IF(ISBLANK(B14),0.04,0.0018*'TANKS Calculations'!B50),IF(ISBLANK(B14),0.04,('TANKS Calculations'!B50/'TANKS Calculations'!B42)+(('TANKS Calculations'!B47-'TANKS Calculations'!B46)/('TANKS Calculations'!B3-'TANKS Calculations'!W21))))</f>
        <v>0.04</v>
      </c>
      <c r="C135" s="391"/>
      <c r="D135" s="249" t="s">
        <v>9798</v>
      </c>
      <c r="E135" s="224"/>
      <c r="F135" s="224"/>
      <c r="G135" s="224"/>
      <c r="H135" s="224"/>
      <c r="I135" s="224"/>
    </row>
    <row r="136" spans="1:17" ht="30" customHeight="1" x14ac:dyDescent="0.2">
      <c r="A136" s="256" t="s">
        <v>9799</v>
      </c>
      <c r="B136" s="258">
        <v>0</v>
      </c>
      <c r="C136" s="383"/>
      <c r="D136" s="259" t="s">
        <v>9782</v>
      </c>
      <c r="E136" s="224"/>
      <c r="F136" s="224"/>
      <c r="G136" s="224"/>
      <c r="H136" s="224"/>
      <c r="I136" s="224"/>
    </row>
    <row r="137" spans="1:17" ht="20.100000000000001" customHeight="1" thickBot="1" x14ac:dyDescent="0.25">
      <c r="A137" s="262" t="s">
        <v>9800</v>
      </c>
      <c r="B137" s="289">
        <f>IF(OR(IFERROR('TANKS Calculations'!B21*(('TANKS Calculations'!B44+'TANKS Calculations'!B3)/('TANKS Calculations'!B67+'TANKS Calculations'!B3)),0)&gt;1,'TANKS Calculations'!B44&gt;0.03,'TANKS Calculations'!B45&lt;-0.03),1,((('TANKS Calculations'!B67+'TANKS Calculations'!B3)/'TANKS Calculations'!B21)-'TANKS Calculations'!W22)/('TANKS Calculations'!B44+'TANKS Calculations'!B3-'TANKS Calculations'!W22))</f>
        <v>1</v>
      </c>
      <c r="C137" s="393"/>
      <c r="D137" s="264" t="s">
        <v>9689</v>
      </c>
      <c r="E137" s="224"/>
      <c r="F137" s="224"/>
      <c r="G137" s="224"/>
      <c r="H137" s="224"/>
      <c r="I137" s="224"/>
    </row>
    <row r="138" spans="1:17" ht="30" customHeight="1" thickBot="1" x14ac:dyDescent="0.25">
      <c r="A138" s="1376" t="s">
        <v>8411</v>
      </c>
      <c r="B138" s="1376"/>
      <c r="C138" s="1376"/>
      <c r="D138" s="1376"/>
      <c r="E138" s="224"/>
      <c r="F138" s="224"/>
      <c r="G138" s="224"/>
      <c r="H138" s="224"/>
      <c r="I138" s="224"/>
      <c r="J138" s="224"/>
      <c r="K138" s="224"/>
      <c r="L138" s="224"/>
      <c r="M138" s="224"/>
      <c r="N138" s="224"/>
      <c r="O138" s="224"/>
      <c r="P138" s="224"/>
      <c r="Q138" s="224"/>
    </row>
    <row r="139" spans="1:17" ht="60" customHeight="1" thickBot="1" x14ac:dyDescent="0.3">
      <c r="A139" s="1352" t="s">
        <v>9801</v>
      </c>
      <c r="B139" s="1358"/>
      <c r="C139" s="1358"/>
      <c r="D139" s="1359"/>
      <c r="E139" s="224"/>
      <c r="F139" s="224"/>
      <c r="G139" s="224"/>
      <c r="H139" s="224"/>
      <c r="I139" s="224"/>
      <c r="J139" s="224"/>
      <c r="K139" s="224"/>
      <c r="L139" s="224"/>
      <c r="M139" s="224"/>
      <c r="N139" s="224"/>
      <c r="O139" s="224"/>
      <c r="P139" s="224"/>
      <c r="Q139" s="224"/>
    </row>
    <row r="140" spans="1:17" ht="20.100000000000001" customHeight="1" thickBot="1" x14ac:dyDescent="0.3">
      <c r="A140" s="152" t="s">
        <v>9685</v>
      </c>
      <c r="B140" s="153" t="s">
        <v>9686</v>
      </c>
      <c r="C140" s="154" t="s">
        <v>9687</v>
      </c>
      <c r="D140" s="155" t="s">
        <v>9688</v>
      </c>
      <c r="E140" s="224"/>
      <c r="F140" s="224"/>
      <c r="G140" s="224"/>
      <c r="H140" s="224"/>
      <c r="I140" s="224"/>
      <c r="J140" s="224"/>
      <c r="K140" s="224"/>
      <c r="L140" s="224"/>
      <c r="M140" s="224"/>
      <c r="N140" s="224"/>
      <c r="O140" s="224"/>
      <c r="P140" s="224"/>
      <c r="Q140" s="224"/>
    </row>
    <row r="141" spans="1:17" ht="30" customHeight="1" x14ac:dyDescent="0.2">
      <c r="A141" s="256" t="s">
        <v>9802</v>
      </c>
      <c r="B141" s="291" t="s">
        <v>8708</v>
      </c>
      <c r="C141" s="402"/>
      <c r="D141" s="259" t="s">
        <v>9689</v>
      </c>
      <c r="E141" s="224"/>
      <c r="F141" s="224"/>
      <c r="G141" s="224"/>
      <c r="H141" s="224"/>
      <c r="I141" s="224"/>
      <c r="J141" s="224"/>
      <c r="K141" s="224"/>
      <c r="L141" s="224"/>
      <c r="M141" s="224"/>
      <c r="N141" s="224"/>
      <c r="O141" s="224"/>
      <c r="P141" s="224"/>
    </row>
    <row r="142" spans="1:17" ht="45" customHeight="1" x14ac:dyDescent="0.2">
      <c r="A142" s="256" t="s">
        <v>9803</v>
      </c>
      <c r="B142" s="291" t="s">
        <v>8708</v>
      </c>
      <c r="C142" s="402"/>
      <c r="D142" s="259" t="s">
        <v>9689</v>
      </c>
      <c r="E142" s="224"/>
      <c r="F142" s="224"/>
      <c r="G142" s="224"/>
      <c r="H142" s="224"/>
      <c r="I142" s="224"/>
      <c r="J142" s="224"/>
      <c r="K142" s="224"/>
      <c r="L142" s="224"/>
      <c r="M142" s="224"/>
      <c r="N142" s="224"/>
      <c r="O142" s="224"/>
      <c r="P142" s="224"/>
    </row>
    <row r="143" spans="1:17" ht="60" customHeight="1" x14ac:dyDescent="0.2">
      <c r="A143" s="419" t="s">
        <v>10004</v>
      </c>
      <c r="B143" s="291" t="s">
        <v>7</v>
      </c>
      <c r="C143" s="402"/>
      <c r="D143" s="259" t="s">
        <v>9689</v>
      </c>
      <c r="E143" s="224"/>
      <c r="F143" s="224"/>
      <c r="G143" s="224"/>
      <c r="H143" s="224"/>
      <c r="I143" s="224"/>
      <c r="J143" s="224"/>
      <c r="K143" s="224"/>
      <c r="L143" s="224"/>
      <c r="M143" s="224"/>
      <c r="N143" s="224"/>
      <c r="O143" s="224"/>
      <c r="P143" s="224"/>
    </row>
    <row r="144" spans="1:17" ht="20.100000000000001" customHeight="1" x14ac:dyDescent="0.2">
      <c r="A144" s="350" t="s">
        <v>9999</v>
      </c>
      <c r="B144" s="291">
        <f>_xlfn.IFNA(VLOOKUP($C$31&amp;$C$141&amp;$C$142,'TANKS Data'!$A$4:$J$15,IF('TANKS Calculations'!B72="Tight",8,5),FALSE),0)</f>
        <v>0</v>
      </c>
      <c r="C144" s="397"/>
      <c r="D144" s="259" t="s">
        <v>9804</v>
      </c>
      <c r="E144" s="224"/>
      <c r="F144" s="224"/>
      <c r="G144" s="224"/>
      <c r="H144" s="224"/>
      <c r="I144" s="224"/>
      <c r="J144" s="224"/>
      <c r="K144" s="224"/>
      <c r="L144" s="224"/>
      <c r="M144" s="224"/>
      <c r="N144" s="224"/>
      <c r="O144" s="224"/>
      <c r="P144" s="224"/>
      <c r="Q144" s="224"/>
    </row>
    <row r="145" spans="1:17" ht="35.1" customHeight="1" x14ac:dyDescent="0.2">
      <c r="A145" s="350" t="s">
        <v>10000</v>
      </c>
      <c r="B145" s="291">
        <f>_xlfn.IFNA(VLOOKUP($C$31&amp;$C$141&amp;$C$142,'TANKS Data'!$A$4:$J$15,IF('TANKS Calculations'!B72="Tight",9,6),FALSE),0)</f>
        <v>0</v>
      </c>
      <c r="C145" s="397"/>
      <c r="D145" s="259" t="s">
        <v>9805</v>
      </c>
      <c r="E145" s="224"/>
      <c r="F145" s="224"/>
      <c r="G145" s="224"/>
      <c r="H145" s="224"/>
      <c r="I145" s="224"/>
      <c r="J145" s="224"/>
      <c r="K145" s="224"/>
      <c r="L145" s="224"/>
      <c r="M145" s="224"/>
      <c r="N145" s="224"/>
      <c r="O145" s="224"/>
      <c r="P145" s="224"/>
      <c r="Q145" s="224"/>
    </row>
    <row r="146" spans="1:17" ht="20.100000000000001" customHeight="1" x14ac:dyDescent="0.2">
      <c r="A146" s="351" t="s">
        <v>9806</v>
      </c>
      <c r="B146" s="291">
        <f>_xlfn.IFNA(VLOOKUP($C$31&amp;$C$141&amp;$C$142,'TANKS Data'!$A$4:$J$15,IF('TANKS Calculations'!B72="Tight",10,7),FALSE),0)</f>
        <v>0</v>
      </c>
      <c r="C146" s="397"/>
      <c r="D146" s="259" t="s">
        <v>9689</v>
      </c>
      <c r="E146" s="224"/>
      <c r="F146" s="224"/>
      <c r="G146" s="224"/>
      <c r="H146" s="224"/>
      <c r="I146" s="224"/>
      <c r="J146" s="224"/>
      <c r="K146" s="224"/>
      <c r="L146" s="224"/>
      <c r="M146" s="224"/>
      <c r="N146" s="224"/>
      <c r="O146" s="224"/>
      <c r="P146" s="224"/>
      <c r="Q146" s="224"/>
    </row>
    <row r="147" spans="1:17" ht="20.100000000000001" customHeight="1" x14ac:dyDescent="0.2">
      <c r="A147" s="351" t="s">
        <v>9794</v>
      </c>
      <c r="B147" s="258">
        <f>Q115</f>
        <v>0</v>
      </c>
      <c r="C147" s="397"/>
      <c r="D147" s="259" t="s">
        <v>9795</v>
      </c>
      <c r="E147" s="224"/>
      <c r="F147" s="224"/>
      <c r="G147" s="224"/>
      <c r="H147" s="224"/>
      <c r="I147" s="224"/>
      <c r="J147" s="224"/>
      <c r="K147" s="224"/>
      <c r="L147" s="224"/>
      <c r="M147" s="224"/>
      <c r="N147" s="224"/>
      <c r="O147" s="224"/>
      <c r="P147" s="224"/>
      <c r="Q147" s="224"/>
    </row>
    <row r="148" spans="1:17" ht="30" customHeight="1" x14ac:dyDescent="0.2">
      <c r="A148" s="256" t="s">
        <v>9807</v>
      </c>
      <c r="B148" s="291">
        <f>IF(C68="Internal Floating Roof",0,_xlfn.IFNA(VLOOKUP(B14,'TANKS Data'!$A$189:$G$213,7,FALSE),0))</f>
        <v>0</v>
      </c>
      <c r="C148" s="397"/>
      <c r="D148" s="259" t="s">
        <v>9808</v>
      </c>
      <c r="E148" s="224"/>
      <c r="F148" s="224"/>
      <c r="G148" s="224"/>
      <c r="H148" s="224"/>
      <c r="I148" s="224"/>
      <c r="J148" s="224"/>
      <c r="K148" s="224"/>
      <c r="L148" s="224"/>
      <c r="M148" s="224"/>
      <c r="N148" s="224"/>
      <c r="O148" s="224"/>
      <c r="P148" s="224"/>
      <c r="Q148" s="224"/>
    </row>
    <row r="149" spans="1:17" ht="20.100000000000001" customHeight="1" thickBot="1" x14ac:dyDescent="0.25">
      <c r="A149" s="352" t="s">
        <v>9809</v>
      </c>
      <c r="B149" s="263">
        <f>('TANKS Calculations'!W21/'TANKS Calculations'!B3)/((1+(1-('TANKS Calculations'!W21/'TANKS Calculations'!B3))^0.5)^2)</f>
        <v>0</v>
      </c>
      <c r="C149" s="385"/>
      <c r="D149" s="264" t="s">
        <v>9689</v>
      </c>
      <c r="E149" s="224"/>
      <c r="F149" s="224"/>
      <c r="G149" s="224"/>
      <c r="H149" s="224"/>
      <c r="I149" s="224"/>
      <c r="J149" s="224"/>
      <c r="K149" s="224"/>
      <c r="L149" s="224"/>
      <c r="M149" s="224"/>
      <c r="N149" s="224"/>
      <c r="O149" s="224"/>
      <c r="P149" s="224"/>
      <c r="Q149" s="224"/>
    </row>
    <row r="150" spans="1:17" ht="30" customHeight="1" x14ac:dyDescent="0.2">
      <c r="A150" s="292" t="s">
        <v>9810</v>
      </c>
      <c r="B150" s="293" t="s">
        <v>8708</v>
      </c>
      <c r="C150" s="403"/>
      <c r="D150" s="294" t="s">
        <v>9689</v>
      </c>
      <c r="E150" s="224"/>
      <c r="F150" s="224"/>
      <c r="G150" s="224"/>
      <c r="H150" s="224"/>
      <c r="I150" s="224"/>
      <c r="J150" s="224"/>
      <c r="K150" s="224"/>
      <c r="L150" s="224"/>
      <c r="M150" s="224"/>
      <c r="N150" s="224"/>
      <c r="O150" s="224"/>
      <c r="P150" s="224"/>
      <c r="Q150" s="224"/>
    </row>
    <row r="151" spans="1:17" ht="20.100000000000001" customHeight="1" x14ac:dyDescent="0.35">
      <c r="A151" s="256" t="s">
        <v>9811</v>
      </c>
      <c r="B151" s="291">
        <f>IFERROR(HLOOKUP(C150,'TANKS Data'!$B$219:$D$222,IF('TANKS Calculations'!W9=1,2,4),FALSE),0)</f>
        <v>0</v>
      </c>
      <c r="C151" s="397"/>
      <c r="D151" s="259" t="s">
        <v>9812</v>
      </c>
      <c r="E151" s="224"/>
      <c r="F151" s="224"/>
      <c r="G151" s="224"/>
      <c r="H151" s="224"/>
      <c r="I151" s="224"/>
      <c r="J151" s="224"/>
      <c r="K151" s="224"/>
      <c r="L151" s="224"/>
      <c r="M151" s="224"/>
      <c r="N151" s="224"/>
      <c r="O151" s="224"/>
      <c r="P151" s="224"/>
      <c r="Q151" s="224"/>
    </row>
    <row r="152" spans="1:17" ht="45" customHeight="1" x14ac:dyDescent="0.2">
      <c r="A152" s="256" t="s">
        <v>9813</v>
      </c>
      <c r="B152" s="291">
        <f>IFERROR(VLOOKUP('TANKS Calculations'!B8,'TANKS Data'!A20:B35,2,TRUE),0)</f>
        <v>1</v>
      </c>
      <c r="C152" s="397"/>
      <c r="D152" s="259" t="s">
        <v>9689</v>
      </c>
      <c r="E152" s="224"/>
      <c r="F152" s="224"/>
      <c r="G152" s="224"/>
      <c r="H152" s="224"/>
      <c r="I152" s="224"/>
      <c r="J152" s="224"/>
      <c r="K152" s="224"/>
      <c r="L152" s="224"/>
      <c r="M152" s="224"/>
      <c r="N152" s="224"/>
      <c r="O152" s="224"/>
      <c r="P152" s="224"/>
      <c r="Q152" s="224"/>
    </row>
    <row r="153" spans="1:17" ht="20.100000000000001" customHeight="1" x14ac:dyDescent="0.35">
      <c r="A153" s="228" t="s">
        <v>9814</v>
      </c>
      <c r="B153" s="250">
        <v>1</v>
      </c>
      <c r="C153" s="377"/>
      <c r="D153" s="227" t="s">
        <v>9707</v>
      </c>
      <c r="E153" s="224"/>
      <c r="F153" s="224"/>
      <c r="G153" s="224"/>
      <c r="H153" s="224"/>
      <c r="I153" s="224"/>
      <c r="J153" s="224"/>
      <c r="K153" s="224"/>
      <c r="L153" s="224"/>
      <c r="M153" s="224"/>
      <c r="N153" s="224"/>
      <c r="O153" s="224"/>
      <c r="P153" s="224"/>
      <c r="Q153" s="224"/>
    </row>
    <row r="154" spans="1:17" ht="20.100000000000001" customHeight="1" thickBot="1" x14ac:dyDescent="0.4">
      <c r="A154" s="262" t="s">
        <v>9790</v>
      </c>
      <c r="B154" s="289">
        <f>'TANKS Calculations'!W7</f>
        <v>0</v>
      </c>
      <c r="C154" s="393"/>
      <c r="D154" s="264" t="s">
        <v>9791</v>
      </c>
      <c r="E154" s="224"/>
      <c r="F154" s="224"/>
      <c r="G154" s="224"/>
      <c r="H154" s="224"/>
      <c r="I154" s="224"/>
      <c r="J154" s="224"/>
      <c r="K154" s="224"/>
      <c r="L154" s="224"/>
      <c r="M154" s="224"/>
      <c r="N154" s="224"/>
      <c r="O154" s="224"/>
      <c r="P154" s="224"/>
      <c r="Q154" s="224"/>
    </row>
    <row r="155" spans="1:17" ht="30" customHeight="1" thickBot="1" x14ac:dyDescent="0.25">
      <c r="A155" s="1376" t="s">
        <v>8411</v>
      </c>
      <c r="B155" s="1376"/>
      <c r="C155" s="1376"/>
      <c r="D155" s="1376"/>
      <c r="E155" s="224"/>
      <c r="F155" s="224"/>
      <c r="G155" s="224"/>
      <c r="H155" s="224"/>
    </row>
    <row r="156" spans="1:17" ht="80.25" customHeight="1" thickBot="1" x14ac:dyDescent="0.3">
      <c r="A156" s="1352" t="s">
        <v>9815</v>
      </c>
      <c r="B156" s="1358"/>
      <c r="C156" s="1358"/>
      <c r="D156" s="1358"/>
      <c r="E156" s="1358"/>
      <c r="F156" s="1358"/>
      <c r="G156" s="1358"/>
      <c r="H156" s="1358"/>
      <c r="I156" s="1358"/>
      <c r="J156" s="1358"/>
      <c r="K156" s="1358"/>
      <c r="L156" s="1359"/>
    </row>
    <row r="157" spans="1:17" ht="76.5" x14ac:dyDescent="0.25">
      <c r="A157" s="1373" t="s">
        <v>9057</v>
      </c>
      <c r="B157" s="1374"/>
      <c r="C157" s="1375" t="s">
        <v>9816</v>
      </c>
      <c r="D157" s="1374"/>
      <c r="E157" s="328" t="s">
        <v>9817</v>
      </c>
      <c r="F157" s="157" t="s">
        <v>9818</v>
      </c>
      <c r="G157" s="158" t="s">
        <v>9819</v>
      </c>
      <c r="H157" s="327" t="s">
        <v>9820</v>
      </c>
      <c r="I157" s="158" t="s">
        <v>9821</v>
      </c>
      <c r="J157" s="327" t="s">
        <v>9822</v>
      </c>
      <c r="K157" s="328" t="s">
        <v>9823</v>
      </c>
      <c r="L157" s="159" t="s">
        <v>9824</v>
      </c>
      <c r="M157" s="224"/>
      <c r="N157" s="224"/>
    </row>
    <row r="158" spans="1:17" ht="20.100000000000001" customHeight="1" x14ac:dyDescent="0.2">
      <c r="A158" s="1360"/>
      <c r="B158" s="1361"/>
      <c r="C158" s="1362"/>
      <c r="D158" s="1361"/>
      <c r="E158" s="404"/>
      <c r="F158" s="295">
        <f>_xlfn.IFNA(VLOOKUP(A158&amp;C158,'TANKS Data'!$A$98:$E$169,3,FALSE),0)</f>
        <v>0</v>
      </c>
      <c r="G158" s="405"/>
      <c r="H158" s="295">
        <f>_xlfn.IFNA(VLOOKUP(A158&amp;C158,'TANKS Data'!$A$98:$E$169,4,FALSE),0)</f>
        <v>0</v>
      </c>
      <c r="I158" s="405"/>
      <c r="J158" s="295">
        <f>_xlfn.IFNA(VLOOKUP(A158&amp;C158,'TANKS Data'!$A$98:$E$169,5,FALSE),0)</f>
        <v>0</v>
      </c>
      <c r="K158" s="404"/>
      <c r="L158" s="296">
        <f>IF(OR($C$68="Domed/Covered external floating roof",$C$68="Internal Floating Roof",'TANKS Data'!M96=0),'TANKS Data'!K96,'TANKS Data'!K96+('TANKS Data'!L96*((0.7*'TANKS Calculations'!$B$77)^'TANKS Data'!M96)))*E158</f>
        <v>0</v>
      </c>
    </row>
    <row r="159" spans="1:17" ht="20.100000000000001" customHeight="1" x14ac:dyDescent="0.2">
      <c r="A159" s="1360"/>
      <c r="B159" s="1361"/>
      <c r="C159" s="1362"/>
      <c r="D159" s="1361"/>
      <c r="E159" s="404"/>
      <c r="F159" s="295">
        <f>_xlfn.IFNA(VLOOKUP(A159&amp;C159,'TANKS Data'!$A$98:$E$169,3,FALSE),0)</f>
        <v>0</v>
      </c>
      <c r="G159" s="405"/>
      <c r="H159" s="295">
        <f>_xlfn.IFNA(VLOOKUP(A159&amp;C159,'TANKS Data'!$A$98:$E$169,4,FALSE),0)</f>
        <v>0</v>
      </c>
      <c r="I159" s="405"/>
      <c r="J159" s="295">
        <f>_xlfn.IFNA(VLOOKUP(A159&amp;C159,'TANKS Data'!$A$98:$E$169,5,FALSE),0)</f>
        <v>0</v>
      </c>
      <c r="K159" s="404"/>
      <c r="L159" s="296">
        <f>IF(OR($C$68="Domed/Covered external floating roof",$C$68="Internal Floating Roof",'TANKS Data'!M97=0),'TANKS Data'!K97,'TANKS Data'!K97+('TANKS Data'!L97*((0.7*'TANKS Calculations'!$B$77)^'TANKS Data'!M97)))*E159</f>
        <v>0</v>
      </c>
    </row>
    <row r="160" spans="1:17" ht="20.100000000000001" customHeight="1" x14ac:dyDescent="0.2">
      <c r="A160" s="1360"/>
      <c r="B160" s="1361"/>
      <c r="C160" s="1362"/>
      <c r="D160" s="1361"/>
      <c r="E160" s="404"/>
      <c r="F160" s="295">
        <f>_xlfn.IFNA(VLOOKUP(A160&amp;C160,'TANKS Data'!$A$98:$E$169,3,FALSE),0)</f>
        <v>0</v>
      </c>
      <c r="G160" s="405"/>
      <c r="H160" s="295">
        <f>_xlfn.IFNA(VLOOKUP(A160&amp;C160,'TANKS Data'!$A$98:$E$169,4,FALSE),0)</f>
        <v>0</v>
      </c>
      <c r="I160" s="405"/>
      <c r="J160" s="295">
        <f>_xlfn.IFNA(VLOOKUP(A160&amp;C160,'TANKS Data'!$A$98:$E$169,5,FALSE),0)</f>
        <v>0</v>
      </c>
      <c r="K160" s="404"/>
      <c r="L160" s="296">
        <f>IF(OR($C$68="Domed/Covered external floating roof",$C$68="Internal Floating Roof",'TANKS Data'!M98=0),'TANKS Data'!K98,'TANKS Data'!K98+('TANKS Data'!L98*((0.7*'TANKS Calculations'!$B$77)^'TANKS Data'!M98)))*E160</f>
        <v>0</v>
      </c>
    </row>
    <row r="161" spans="1:12" ht="20.100000000000001" customHeight="1" x14ac:dyDescent="0.2">
      <c r="A161" s="1360"/>
      <c r="B161" s="1361"/>
      <c r="C161" s="1362"/>
      <c r="D161" s="1361"/>
      <c r="E161" s="404"/>
      <c r="F161" s="295">
        <f>_xlfn.IFNA(VLOOKUP(A161&amp;C161,'TANKS Data'!$A$98:$E$169,3,FALSE),0)</f>
        <v>0</v>
      </c>
      <c r="G161" s="405"/>
      <c r="H161" s="295">
        <f>_xlfn.IFNA(VLOOKUP(A161&amp;C161,'TANKS Data'!$A$98:$E$169,4,FALSE),0)</f>
        <v>0</v>
      </c>
      <c r="I161" s="405"/>
      <c r="J161" s="295">
        <f>_xlfn.IFNA(VLOOKUP(A161&amp;C161,'TANKS Data'!$A$98:$E$169,5,FALSE),0)</f>
        <v>0</v>
      </c>
      <c r="K161" s="404"/>
      <c r="L161" s="296">
        <f>IF(OR($C$68="Domed/Covered external floating roof",$C$68="Internal Floating Roof",'TANKS Data'!M99=0),'TANKS Data'!K99,'TANKS Data'!K99+('TANKS Data'!L99*((0.7*'TANKS Calculations'!$B$77)^'TANKS Data'!M99)))*E161</f>
        <v>0</v>
      </c>
    </row>
    <row r="162" spans="1:12" ht="20.100000000000001" customHeight="1" x14ac:dyDescent="0.2">
      <c r="A162" s="1360"/>
      <c r="B162" s="1361"/>
      <c r="C162" s="1362"/>
      <c r="D162" s="1361"/>
      <c r="E162" s="404"/>
      <c r="F162" s="295">
        <f>_xlfn.IFNA(VLOOKUP(A162&amp;C162,'TANKS Data'!$A$98:$E$169,3,FALSE),0)</f>
        <v>0</v>
      </c>
      <c r="G162" s="405"/>
      <c r="H162" s="295">
        <f>_xlfn.IFNA(VLOOKUP(A162&amp;C162,'TANKS Data'!$A$98:$E$169,4,FALSE),0)</f>
        <v>0</v>
      </c>
      <c r="I162" s="405"/>
      <c r="J162" s="295">
        <f>_xlfn.IFNA(VLOOKUP(A162&amp;C162,'TANKS Data'!$A$98:$E$169,5,FALSE),0)</f>
        <v>0</v>
      </c>
      <c r="K162" s="404"/>
      <c r="L162" s="296">
        <f>IF(OR($C$68="Domed/Covered external floating roof",$C$68="Internal Floating Roof",'TANKS Data'!M100=0),'TANKS Data'!K100,'TANKS Data'!K100+('TANKS Data'!L100*((0.7*'TANKS Calculations'!$B$77)^'TANKS Data'!M100)))*E162</f>
        <v>0</v>
      </c>
    </row>
    <row r="163" spans="1:12" ht="20.100000000000001" customHeight="1" x14ac:dyDescent="0.2">
      <c r="A163" s="1360"/>
      <c r="B163" s="1361"/>
      <c r="C163" s="1362"/>
      <c r="D163" s="1361"/>
      <c r="E163" s="404"/>
      <c r="F163" s="295">
        <f>_xlfn.IFNA(VLOOKUP(A163&amp;C163,'TANKS Data'!$A$98:$E$169,3,FALSE),0)</f>
        <v>0</v>
      </c>
      <c r="G163" s="405"/>
      <c r="H163" s="295">
        <f>_xlfn.IFNA(VLOOKUP(A163&amp;C163,'TANKS Data'!$A$98:$E$169,4,FALSE),0)</f>
        <v>0</v>
      </c>
      <c r="I163" s="405"/>
      <c r="J163" s="295">
        <f>_xlfn.IFNA(VLOOKUP(A163&amp;C163,'TANKS Data'!$A$98:$E$169,5,FALSE),0)</f>
        <v>0</v>
      </c>
      <c r="K163" s="404"/>
      <c r="L163" s="296">
        <f>IF(OR($C$68="Domed/Covered external floating roof",$C$68="Internal Floating Roof",'TANKS Data'!M101=0),'TANKS Data'!K101,'TANKS Data'!K101+('TANKS Data'!L101*((0.7*'TANKS Calculations'!$B$77)^'TANKS Data'!M101)))*E163</f>
        <v>0</v>
      </c>
    </row>
    <row r="164" spans="1:12" ht="20.100000000000001" customHeight="1" x14ac:dyDescent="0.2">
      <c r="A164" s="1360"/>
      <c r="B164" s="1361"/>
      <c r="C164" s="1362"/>
      <c r="D164" s="1361"/>
      <c r="E164" s="404"/>
      <c r="F164" s="295">
        <f>_xlfn.IFNA(VLOOKUP(A164&amp;C164,'TANKS Data'!$A$98:$E$169,3,FALSE),0)</f>
        <v>0</v>
      </c>
      <c r="G164" s="405"/>
      <c r="H164" s="295">
        <f>_xlfn.IFNA(VLOOKUP(A164&amp;C164,'TANKS Data'!$A$98:$E$169,4,FALSE),0)</f>
        <v>0</v>
      </c>
      <c r="I164" s="405"/>
      <c r="J164" s="295">
        <f>_xlfn.IFNA(VLOOKUP(A164&amp;C164,'TANKS Data'!$A$98:$E$169,5,FALSE),0)</f>
        <v>0</v>
      </c>
      <c r="K164" s="404"/>
      <c r="L164" s="296">
        <f>IF(OR($C$68="Domed/Covered external floating roof",$C$68="Internal Floating Roof",'TANKS Data'!M102=0),'TANKS Data'!K102,'TANKS Data'!K102+('TANKS Data'!L102*((0.7*'TANKS Calculations'!$B$77)^'TANKS Data'!M102)))*E164</f>
        <v>0</v>
      </c>
    </row>
    <row r="165" spans="1:12" ht="20.100000000000001" customHeight="1" x14ac:dyDescent="0.2">
      <c r="A165" s="1360"/>
      <c r="B165" s="1361"/>
      <c r="C165" s="1362"/>
      <c r="D165" s="1361"/>
      <c r="E165" s="404"/>
      <c r="F165" s="295">
        <f>_xlfn.IFNA(VLOOKUP(A165&amp;C165,'TANKS Data'!$A$98:$E$169,3,FALSE),0)</f>
        <v>0</v>
      </c>
      <c r="G165" s="405"/>
      <c r="H165" s="295">
        <f>_xlfn.IFNA(VLOOKUP(A165&amp;C165,'TANKS Data'!$A$98:$E$169,4,FALSE),0)</f>
        <v>0</v>
      </c>
      <c r="I165" s="405"/>
      <c r="J165" s="295">
        <f>_xlfn.IFNA(VLOOKUP(A165&amp;C165,'TANKS Data'!$A$98:$E$169,5,FALSE),0)</f>
        <v>0</v>
      </c>
      <c r="K165" s="404"/>
      <c r="L165" s="296">
        <f>IF(OR($C$68="Domed/Covered external floating roof",$C$68="Internal Floating Roof",'TANKS Data'!M103=0),'TANKS Data'!K103,'TANKS Data'!K103+('TANKS Data'!L103*((0.7*'TANKS Calculations'!$B$77)^'TANKS Data'!M103)))*E165</f>
        <v>0</v>
      </c>
    </row>
    <row r="166" spans="1:12" ht="20.100000000000001" customHeight="1" x14ac:dyDescent="0.2">
      <c r="A166" s="1360"/>
      <c r="B166" s="1361"/>
      <c r="C166" s="1362"/>
      <c r="D166" s="1361"/>
      <c r="E166" s="404"/>
      <c r="F166" s="295">
        <f>_xlfn.IFNA(VLOOKUP(A166&amp;C166,'TANKS Data'!$A$98:$E$169,3,FALSE),0)</f>
        <v>0</v>
      </c>
      <c r="G166" s="405"/>
      <c r="H166" s="295">
        <f>_xlfn.IFNA(VLOOKUP(A166&amp;C166,'TANKS Data'!$A$98:$E$169,4,FALSE),0)</f>
        <v>0</v>
      </c>
      <c r="I166" s="405"/>
      <c r="J166" s="295">
        <f>_xlfn.IFNA(VLOOKUP(A166&amp;C166,'TANKS Data'!$A$98:$E$169,5,FALSE),0)</f>
        <v>0</v>
      </c>
      <c r="K166" s="404"/>
      <c r="L166" s="296">
        <f>IF(OR($C$68="Domed/Covered external floating roof",$C$68="Internal Floating Roof",'TANKS Data'!M104=0),'TANKS Data'!K104,'TANKS Data'!K104+('TANKS Data'!L104*((0.7*'TANKS Calculations'!$B$77)^'TANKS Data'!M104)))*E166</f>
        <v>0</v>
      </c>
    </row>
    <row r="167" spans="1:12" ht="20.100000000000001" customHeight="1" x14ac:dyDescent="0.2">
      <c r="A167" s="1360"/>
      <c r="B167" s="1361"/>
      <c r="C167" s="1362"/>
      <c r="D167" s="1361"/>
      <c r="E167" s="404"/>
      <c r="F167" s="295">
        <f>_xlfn.IFNA(VLOOKUP(A167&amp;C167,'TANKS Data'!$A$98:$E$169,3,FALSE),0)</f>
        <v>0</v>
      </c>
      <c r="G167" s="405"/>
      <c r="H167" s="295">
        <f>_xlfn.IFNA(VLOOKUP(A167&amp;C167,'TANKS Data'!$A$98:$E$169,4,FALSE),0)</f>
        <v>0</v>
      </c>
      <c r="I167" s="405"/>
      <c r="J167" s="295">
        <f>_xlfn.IFNA(VLOOKUP(A167&amp;C167,'TANKS Data'!$A$98:$E$169,5,FALSE),0)</f>
        <v>0</v>
      </c>
      <c r="K167" s="404"/>
      <c r="L167" s="296">
        <f>IF(OR($C$68="Domed/Covered external floating roof",$C$68="Internal Floating Roof",'TANKS Data'!M105=0),'TANKS Data'!K105,'TANKS Data'!K105+('TANKS Data'!L105*((0.7*'TANKS Calculations'!$B$77)^'TANKS Data'!M105)))*E167</f>
        <v>0</v>
      </c>
    </row>
    <row r="168" spans="1:12" ht="20.100000000000001" customHeight="1" x14ac:dyDescent="0.2">
      <c r="A168" s="1360"/>
      <c r="B168" s="1361"/>
      <c r="C168" s="1362"/>
      <c r="D168" s="1361"/>
      <c r="E168" s="404"/>
      <c r="F168" s="295">
        <f>_xlfn.IFNA(VLOOKUP(A168&amp;C168,'TANKS Data'!$A$98:$E$169,3,FALSE),0)</f>
        <v>0</v>
      </c>
      <c r="G168" s="405"/>
      <c r="H168" s="295">
        <f>_xlfn.IFNA(VLOOKUP(A168&amp;C168,'TANKS Data'!$A$98:$E$169,4,FALSE),0)</f>
        <v>0</v>
      </c>
      <c r="I168" s="405"/>
      <c r="J168" s="295">
        <f>_xlfn.IFNA(VLOOKUP(A168&amp;C168,'TANKS Data'!$A$98:$E$169,5,FALSE),0)</f>
        <v>0</v>
      </c>
      <c r="K168" s="404"/>
      <c r="L168" s="296">
        <f>IF(OR($C$68="Domed/Covered external floating roof",$C$68="Internal Floating Roof",'TANKS Data'!M106=0),'TANKS Data'!K106,'TANKS Data'!K106+('TANKS Data'!L106*((0.7*'TANKS Calculations'!$B$77)^'TANKS Data'!M106)))*E168</f>
        <v>0</v>
      </c>
    </row>
    <row r="169" spans="1:12" ht="20.100000000000001" customHeight="1" x14ac:dyDescent="0.2">
      <c r="A169" s="1360"/>
      <c r="B169" s="1361"/>
      <c r="C169" s="1362"/>
      <c r="D169" s="1361"/>
      <c r="E169" s="404"/>
      <c r="F169" s="295">
        <f>_xlfn.IFNA(VLOOKUP(A169&amp;C169,'TANKS Data'!$A$98:$E$169,3,FALSE),0)</f>
        <v>0</v>
      </c>
      <c r="G169" s="405"/>
      <c r="H169" s="295">
        <f>_xlfn.IFNA(VLOOKUP(A169&amp;C169,'TANKS Data'!$A$98:$E$169,4,FALSE),0)</f>
        <v>0</v>
      </c>
      <c r="I169" s="405"/>
      <c r="J169" s="295">
        <f>_xlfn.IFNA(VLOOKUP(A169&amp;C169,'TANKS Data'!$A$98:$E$169,5,FALSE),0)</f>
        <v>0</v>
      </c>
      <c r="K169" s="404"/>
      <c r="L169" s="296">
        <f>IF(OR($C$68="Domed/Covered external floating roof",$C$68="Internal Floating Roof",'TANKS Data'!M107=0),'TANKS Data'!K107,'TANKS Data'!K107+('TANKS Data'!L107*((0.7*'TANKS Calculations'!$B$77)^'TANKS Data'!M107)))*E169</f>
        <v>0</v>
      </c>
    </row>
    <row r="170" spans="1:12" ht="20.100000000000001" customHeight="1" x14ac:dyDescent="0.2">
      <c r="A170" s="1360"/>
      <c r="B170" s="1361"/>
      <c r="C170" s="1362"/>
      <c r="D170" s="1361"/>
      <c r="E170" s="404"/>
      <c r="F170" s="295">
        <f>_xlfn.IFNA(VLOOKUP(A170&amp;C170,'TANKS Data'!$A$98:$E$169,3,FALSE),0)</f>
        <v>0</v>
      </c>
      <c r="G170" s="405"/>
      <c r="H170" s="295">
        <f>_xlfn.IFNA(VLOOKUP(A170&amp;C170,'TANKS Data'!$A$98:$E$169,4,FALSE),0)</f>
        <v>0</v>
      </c>
      <c r="I170" s="405"/>
      <c r="J170" s="295">
        <f>_xlfn.IFNA(VLOOKUP(A170&amp;C170,'TANKS Data'!$A$98:$E$169,5,FALSE),0)</f>
        <v>0</v>
      </c>
      <c r="K170" s="404"/>
      <c r="L170" s="296">
        <f>IF(OR($C$68="Domed/Covered external floating roof",$C$68="Internal Floating Roof",'TANKS Data'!M108=0),'TANKS Data'!K108,'TANKS Data'!K108+('TANKS Data'!L108*((0.7*'TANKS Calculations'!$B$77)^'TANKS Data'!M108)))*E170</f>
        <v>0</v>
      </c>
    </row>
    <row r="171" spans="1:12" ht="20.100000000000001" customHeight="1" x14ac:dyDescent="0.2">
      <c r="A171" s="1360"/>
      <c r="B171" s="1361"/>
      <c r="C171" s="1362"/>
      <c r="D171" s="1361"/>
      <c r="E171" s="404"/>
      <c r="F171" s="295">
        <f>_xlfn.IFNA(VLOOKUP(A171&amp;C171,'TANKS Data'!$A$98:$E$169,3,FALSE),0)</f>
        <v>0</v>
      </c>
      <c r="G171" s="405"/>
      <c r="H171" s="295">
        <f>_xlfn.IFNA(VLOOKUP(A171&amp;C171,'TANKS Data'!$A$98:$E$169,4,FALSE),0)</f>
        <v>0</v>
      </c>
      <c r="I171" s="405"/>
      <c r="J171" s="295">
        <f>_xlfn.IFNA(VLOOKUP(A171&amp;C171,'TANKS Data'!$A$98:$E$169,5,FALSE),0)</f>
        <v>0</v>
      </c>
      <c r="K171" s="404"/>
      <c r="L171" s="296">
        <f>IF(OR($C$68="Domed/Covered external floating roof",$C$68="Internal Floating Roof",'TANKS Data'!M109=0),'TANKS Data'!K109,'TANKS Data'!K109+('TANKS Data'!L109*((0.7*'TANKS Calculations'!$B$77)^'TANKS Data'!M109)))*E171</f>
        <v>0</v>
      </c>
    </row>
    <row r="172" spans="1:12" ht="20.100000000000001" customHeight="1" x14ac:dyDescent="0.2">
      <c r="A172" s="1360"/>
      <c r="B172" s="1361"/>
      <c r="C172" s="1362"/>
      <c r="D172" s="1361"/>
      <c r="E172" s="404"/>
      <c r="F172" s="295">
        <f>_xlfn.IFNA(VLOOKUP(A172&amp;C172,'TANKS Data'!$A$98:$E$169,3,FALSE),0)</f>
        <v>0</v>
      </c>
      <c r="G172" s="405"/>
      <c r="H172" s="295">
        <f>_xlfn.IFNA(VLOOKUP(A172&amp;C172,'TANKS Data'!$A$98:$E$169,4,FALSE),0)</f>
        <v>0</v>
      </c>
      <c r="I172" s="405"/>
      <c r="J172" s="295">
        <f>_xlfn.IFNA(VLOOKUP(A172&amp;C172,'TANKS Data'!$A$98:$E$169,5,FALSE),0)</f>
        <v>0</v>
      </c>
      <c r="K172" s="404"/>
      <c r="L172" s="296">
        <f>IF(OR($C$68="Domed/Covered external floating roof",$C$68="Internal Floating Roof",'TANKS Data'!M110=0),'TANKS Data'!K110,'TANKS Data'!K110+('TANKS Data'!L110*((0.7*'TANKS Calculations'!$B$77)^'TANKS Data'!M110)))*E172</f>
        <v>0</v>
      </c>
    </row>
    <row r="173" spans="1:12" ht="20.100000000000001" customHeight="1" x14ac:dyDescent="0.2">
      <c r="A173" s="1360"/>
      <c r="B173" s="1361"/>
      <c r="C173" s="1362"/>
      <c r="D173" s="1361"/>
      <c r="E173" s="404"/>
      <c r="F173" s="295">
        <f>_xlfn.IFNA(VLOOKUP(A173&amp;C173,'TANKS Data'!$A$98:$E$169,3,FALSE),0)</f>
        <v>0</v>
      </c>
      <c r="G173" s="405"/>
      <c r="H173" s="295">
        <f>_xlfn.IFNA(VLOOKUP(A173&amp;C173,'TANKS Data'!$A$98:$E$169,4,FALSE),0)</f>
        <v>0</v>
      </c>
      <c r="I173" s="405"/>
      <c r="J173" s="295">
        <f>_xlfn.IFNA(VLOOKUP(A173&amp;C173,'TANKS Data'!$A$98:$E$169,5,FALSE),0)</f>
        <v>0</v>
      </c>
      <c r="K173" s="404"/>
      <c r="L173" s="296">
        <f>IF(OR($C$68="Domed/Covered external floating roof",$C$68="Internal Floating Roof",'TANKS Data'!M111=0),'TANKS Data'!K111,'TANKS Data'!K111+('TANKS Data'!L111*((0.7*'TANKS Calculations'!$B$77)^'TANKS Data'!M111)))*E173</f>
        <v>0</v>
      </c>
    </row>
    <row r="174" spans="1:12" ht="20.100000000000001" customHeight="1" x14ac:dyDescent="0.2">
      <c r="A174" s="1360"/>
      <c r="B174" s="1361"/>
      <c r="C174" s="1362"/>
      <c r="D174" s="1361"/>
      <c r="E174" s="404"/>
      <c r="F174" s="295">
        <f>_xlfn.IFNA(VLOOKUP(A174&amp;C174,'TANKS Data'!$A$98:$E$169,3,FALSE),0)</f>
        <v>0</v>
      </c>
      <c r="G174" s="405"/>
      <c r="H174" s="295">
        <f>_xlfn.IFNA(VLOOKUP(A174&amp;C174,'TANKS Data'!$A$98:$E$169,4,FALSE),0)</f>
        <v>0</v>
      </c>
      <c r="I174" s="405"/>
      <c r="J174" s="295">
        <f>_xlfn.IFNA(VLOOKUP(A174&amp;C174,'TANKS Data'!$A$98:$E$169,5,FALSE),0)</f>
        <v>0</v>
      </c>
      <c r="K174" s="404"/>
      <c r="L174" s="296">
        <f>IF(OR($C$68="Domed/Covered external floating roof",$C$68="Internal Floating Roof",'TANKS Data'!M112=0),'TANKS Data'!K112,'TANKS Data'!K112+('TANKS Data'!L112*((0.7*'TANKS Calculations'!$B$77)^'TANKS Data'!M112)))*E174</f>
        <v>0</v>
      </c>
    </row>
    <row r="175" spans="1:12" ht="20.100000000000001" customHeight="1" x14ac:dyDescent="0.2">
      <c r="A175" s="1360"/>
      <c r="B175" s="1361"/>
      <c r="C175" s="1362"/>
      <c r="D175" s="1361"/>
      <c r="E175" s="404"/>
      <c r="F175" s="295">
        <f>_xlfn.IFNA(VLOOKUP(A175&amp;C175,'TANKS Data'!$A$98:$E$169,3,FALSE),0)</f>
        <v>0</v>
      </c>
      <c r="G175" s="405"/>
      <c r="H175" s="295">
        <f>_xlfn.IFNA(VLOOKUP(A175&amp;C175,'TANKS Data'!$A$98:$E$169,4,FALSE),0)</f>
        <v>0</v>
      </c>
      <c r="I175" s="405"/>
      <c r="J175" s="295">
        <f>_xlfn.IFNA(VLOOKUP(A175&amp;C175,'TANKS Data'!$A$98:$E$169,5,FALSE),0)</f>
        <v>0</v>
      </c>
      <c r="K175" s="404"/>
      <c r="L175" s="296">
        <f>IF(OR($C$68="Domed/Covered external floating roof",$C$68="Internal Floating Roof",'TANKS Data'!M113=0),'TANKS Data'!K113,'TANKS Data'!K113+('TANKS Data'!L113*((0.7*'TANKS Calculations'!$B$77)^'TANKS Data'!M113)))*E175</f>
        <v>0</v>
      </c>
    </row>
    <row r="176" spans="1:12" ht="20.100000000000001" customHeight="1" x14ac:dyDescent="0.2">
      <c r="A176" s="1360"/>
      <c r="B176" s="1361"/>
      <c r="C176" s="1362"/>
      <c r="D176" s="1361"/>
      <c r="E176" s="404"/>
      <c r="F176" s="295">
        <f>_xlfn.IFNA(VLOOKUP(A176&amp;C176,'TANKS Data'!$A$98:$E$169,3,FALSE),0)</f>
        <v>0</v>
      </c>
      <c r="G176" s="405"/>
      <c r="H176" s="295">
        <f>_xlfn.IFNA(VLOOKUP(A176&amp;C176,'TANKS Data'!$A$98:$E$169,4,FALSE),0)</f>
        <v>0</v>
      </c>
      <c r="I176" s="405"/>
      <c r="J176" s="295">
        <f>_xlfn.IFNA(VLOOKUP(A176&amp;C176,'TANKS Data'!$A$98:$E$169,5,FALSE),0)</f>
        <v>0</v>
      </c>
      <c r="K176" s="404"/>
      <c r="L176" s="296">
        <f>IF(OR($C$68="Domed/Covered external floating roof",$C$68="Internal Floating Roof",'TANKS Data'!M114=0),'TANKS Data'!K114,'TANKS Data'!K114+('TANKS Data'!L114*((0.7*'TANKS Calculations'!$B$77)^'TANKS Data'!M114)))*E176</f>
        <v>0</v>
      </c>
    </row>
    <row r="177" spans="1:17" ht="20.100000000000001" customHeight="1" thickBot="1" x14ac:dyDescent="0.25">
      <c r="A177" s="1349"/>
      <c r="B177" s="1350"/>
      <c r="C177" s="1351"/>
      <c r="D177" s="1350"/>
      <c r="E177" s="398"/>
      <c r="F177" s="297">
        <f>_xlfn.IFNA(VLOOKUP(A177&amp;C177,'TANKS Data'!$A$98:$E$169,3,FALSE),0)</f>
        <v>0</v>
      </c>
      <c r="G177" s="406"/>
      <c r="H177" s="297">
        <f>_xlfn.IFNA(VLOOKUP(A177&amp;C177,'TANKS Data'!$A$98:$E$169,4,FALSE),0)</f>
        <v>0</v>
      </c>
      <c r="I177" s="406"/>
      <c r="J177" s="297">
        <f>_xlfn.IFNA(VLOOKUP(A177&amp;C177,'TANKS Data'!$A$98:$E$169,5,FALSE),0)</f>
        <v>0</v>
      </c>
      <c r="K177" s="398"/>
      <c r="L177" s="298">
        <f>IF(OR($C$68="Domed/Covered external floating roof",$C$68="Internal Floating Roof",'TANKS Data'!M115=0),'TANKS Data'!K115,'TANKS Data'!K115+('TANKS Data'!L115*((0.7*'TANKS Calculations'!$B$77)^'TANKS Data'!M115)))*E177</f>
        <v>0</v>
      </c>
    </row>
    <row r="178" spans="1:17" ht="20.100000000000001" customHeight="1" thickBot="1" x14ac:dyDescent="0.35">
      <c r="A178" s="1355" t="s">
        <v>9825</v>
      </c>
      <c r="B178" s="1356"/>
      <c r="C178" s="1357" t="s">
        <v>9826</v>
      </c>
      <c r="D178" s="1357"/>
      <c r="E178" s="326" t="s">
        <v>9826</v>
      </c>
      <c r="F178" s="326" t="s">
        <v>9826</v>
      </c>
      <c r="G178" s="326" t="s">
        <v>9826</v>
      </c>
      <c r="H178" s="326" t="s">
        <v>9826</v>
      </c>
      <c r="I178" s="326" t="s">
        <v>9826</v>
      </c>
      <c r="J178" s="326" t="s">
        <v>9826</v>
      </c>
      <c r="K178" s="160" t="s">
        <v>9826</v>
      </c>
      <c r="L178" s="299">
        <f>SUM(L158:L177)</f>
        <v>0</v>
      </c>
    </row>
    <row r="179" spans="1:17" ht="30" customHeight="1" thickBot="1" x14ac:dyDescent="0.25">
      <c r="A179" s="1376" t="s">
        <v>8411</v>
      </c>
      <c r="B179" s="1376"/>
      <c r="C179" s="1376"/>
      <c r="D179" s="1376"/>
      <c r="E179" s="224"/>
      <c r="F179" s="224"/>
      <c r="G179" s="224"/>
      <c r="H179" s="224"/>
    </row>
    <row r="180" spans="1:17" ht="60" customHeight="1" thickBot="1" x14ac:dyDescent="0.3">
      <c r="A180" s="1352" t="s">
        <v>9801</v>
      </c>
      <c r="B180" s="1358"/>
      <c r="C180" s="1358"/>
      <c r="D180" s="1359"/>
      <c r="E180" s="224"/>
      <c r="F180" s="224"/>
      <c r="G180" s="224"/>
      <c r="H180" s="224"/>
      <c r="I180" s="224"/>
      <c r="J180" s="224"/>
      <c r="K180" s="224"/>
      <c r="L180" s="224"/>
      <c r="M180" s="224"/>
      <c r="N180" s="224"/>
      <c r="O180" s="224"/>
      <c r="P180" s="224"/>
      <c r="Q180" s="224"/>
    </row>
    <row r="181" spans="1:17" ht="20.100000000000001" customHeight="1" thickBot="1" x14ac:dyDescent="0.3">
      <c r="A181" s="152" t="s">
        <v>9685</v>
      </c>
      <c r="B181" s="153" t="s">
        <v>9686</v>
      </c>
      <c r="C181" s="154" t="s">
        <v>9687</v>
      </c>
      <c r="D181" s="155" t="s">
        <v>9688</v>
      </c>
      <c r="E181" s="224"/>
      <c r="F181" s="224"/>
      <c r="G181" s="224"/>
      <c r="H181" s="224"/>
      <c r="I181" s="224"/>
      <c r="J181" s="224"/>
      <c r="K181" s="224"/>
      <c r="L181" s="224"/>
      <c r="M181" s="224"/>
      <c r="N181" s="224"/>
      <c r="O181" s="224"/>
      <c r="P181" s="224"/>
      <c r="Q181" s="224"/>
    </row>
    <row r="182" spans="1:17" ht="20.100000000000001" customHeight="1" x14ac:dyDescent="0.2">
      <c r="A182" s="357" t="s">
        <v>9827</v>
      </c>
      <c r="B182" s="245">
        <f>L178</f>
        <v>0</v>
      </c>
      <c r="C182" s="375"/>
      <c r="D182" s="246" t="s">
        <v>9828</v>
      </c>
      <c r="E182" s="224"/>
      <c r="F182" s="224"/>
      <c r="G182" s="224"/>
      <c r="H182" s="224"/>
      <c r="I182" s="224"/>
      <c r="J182" s="224"/>
      <c r="K182" s="224"/>
      <c r="L182" s="224"/>
      <c r="M182" s="224"/>
      <c r="N182" s="224"/>
      <c r="O182" s="224"/>
      <c r="P182" s="224"/>
      <c r="Q182" s="224"/>
    </row>
    <row r="183" spans="1:17" ht="20.100000000000001" customHeight="1" x14ac:dyDescent="0.2">
      <c r="A183" s="353" t="s">
        <v>9829</v>
      </c>
      <c r="B183" s="300" t="s">
        <v>8708</v>
      </c>
      <c r="C183" s="407"/>
      <c r="D183" s="249" t="s">
        <v>9689</v>
      </c>
      <c r="E183" s="224"/>
      <c r="F183" s="224"/>
      <c r="G183" s="224"/>
      <c r="H183" s="224"/>
      <c r="I183" s="224"/>
      <c r="J183" s="224"/>
      <c r="K183" s="224"/>
      <c r="L183" s="224"/>
      <c r="M183" s="224"/>
      <c r="N183" s="224"/>
      <c r="O183" s="224"/>
      <c r="P183" s="224"/>
      <c r="Q183" s="224"/>
    </row>
    <row r="184" spans="1:17" ht="20.100000000000001" customHeight="1" x14ac:dyDescent="0.2">
      <c r="A184" s="351" t="s">
        <v>9830</v>
      </c>
      <c r="B184" s="291">
        <f>PI()*('TANKS Calculations'!B8^2)/4</f>
        <v>0</v>
      </c>
      <c r="C184" s="397"/>
      <c r="D184" s="259" t="s">
        <v>9831</v>
      </c>
      <c r="E184" s="224"/>
      <c r="F184" s="224"/>
      <c r="G184" s="224"/>
      <c r="H184" s="224"/>
      <c r="I184" s="224"/>
      <c r="J184" s="224"/>
      <c r="K184" s="224"/>
      <c r="L184" s="224"/>
      <c r="M184" s="224"/>
      <c r="N184" s="224"/>
      <c r="O184" s="224"/>
      <c r="P184" s="224"/>
      <c r="Q184" s="224"/>
    </row>
    <row r="185" spans="1:17" ht="20.100000000000001" customHeight="1" x14ac:dyDescent="0.2">
      <c r="A185" s="351" t="s">
        <v>9832</v>
      </c>
      <c r="B185" s="301" t="s">
        <v>8708</v>
      </c>
      <c r="C185" s="397"/>
      <c r="D185" s="259" t="s">
        <v>9707</v>
      </c>
      <c r="E185" s="224"/>
      <c r="F185" s="224"/>
      <c r="G185" s="224"/>
      <c r="H185" s="224"/>
      <c r="I185" s="224"/>
      <c r="J185" s="224"/>
      <c r="K185" s="224"/>
      <c r="L185" s="224"/>
      <c r="M185" s="224"/>
      <c r="N185" s="224"/>
      <c r="O185" s="224"/>
      <c r="P185" s="224"/>
      <c r="Q185" s="224"/>
    </row>
    <row r="186" spans="1:17" ht="45" customHeight="1" x14ac:dyDescent="0.2">
      <c r="A186" s="358" t="s">
        <v>9833</v>
      </c>
      <c r="B186" s="301" t="s">
        <v>8708</v>
      </c>
      <c r="C186" s="402"/>
      <c r="D186" s="259" t="s">
        <v>9689</v>
      </c>
      <c r="E186" s="224"/>
      <c r="F186" s="224"/>
      <c r="G186" s="224"/>
      <c r="H186" s="224"/>
      <c r="I186" s="224"/>
      <c r="J186" s="224"/>
      <c r="K186" s="224"/>
      <c r="L186" s="224"/>
      <c r="M186" s="224"/>
      <c r="N186" s="224"/>
      <c r="O186" s="224"/>
      <c r="P186" s="224"/>
      <c r="Q186" s="224"/>
    </row>
    <row r="187" spans="1:17" ht="30" customHeight="1" x14ac:dyDescent="0.2">
      <c r="A187" s="256" t="s">
        <v>9834</v>
      </c>
      <c r="B187" s="301" t="s">
        <v>8708</v>
      </c>
      <c r="C187" s="397"/>
      <c r="D187" s="259" t="s">
        <v>9707</v>
      </c>
      <c r="E187" s="224"/>
      <c r="F187" s="224"/>
      <c r="G187" s="224"/>
      <c r="H187" s="224"/>
      <c r="I187" s="224"/>
      <c r="J187" s="224"/>
      <c r="K187" s="224"/>
      <c r="L187" s="224"/>
      <c r="M187" s="224"/>
      <c r="N187" s="224"/>
      <c r="O187" s="224"/>
      <c r="P187" s="224"/>
      <c r="Q187" s="224"/>
    </row>
    <row r="188" spans="1:17" ht="20.100000000000001" customHeight="1" x14ac:dyDescent="0.35">
      <c r="A188" s="256" t="s">
        <v>9835</v>
      </c>
      <c r="B188" s="291">
        <f>IF(ISBLANK(C185),_xlfn.IFNA(VLOOKUP(C187,'TANKS Data'!B226:C230,2,FALSE),0),'TANKS Calculations'!B86/'TANKS Calculations'!B85)</f>
        <v>0</v>
      </c>
      <c r="C188" s="397"/>
      <c r="D188" s="259" t="s">
        <v>9836</v>
      </c>
      <c r="E188" s="224"/>
      <c r="F188" s="224"/>
      <c r="G188" s="224"/>
      <c r="H188" s="224"/>
      <c r="I188" s="224"/>
      <c r="J188" s="224"/>
      <c r="K188" s="224"/>
      <c r="L188" s="224"/>
      <c r="M188" s="224"/>
      <c r="N188" s="224"/>
      <c r="O188" s="224"/>
      <c r="P188" s="224"/>
      <c r="Q188" s="224"/>
    </row>
    <row r="189" spans="1:17" ht="35.1" customHeight="1" thickBot="1" x14ac:dyDescent="0.25">
      <c r="A189" s="262" t="s">
        <v>9837</v>
      </c>
      <c r="B189" s="263">
        <v>0.14000000000000001</v>
      </c>
      <c r="C189" s="385"/>
      <c r="D189" s="264" t="s">
        <v>9804</v>
      </c>
      <c r="E189" s="224"/>
      <c r="F189" s="224"/>
      <c r="G189" s="224"/>
      <c r="H189" s="224"/>
      <c r="I189" s="224"/>
      <c r="J189" s="224"/>
      <c r="K189" s="224"/>
      <c r="L189" s="224"/>
      <c r="M189" s="224"/>
      <c r="N189" s="224"/>
      <c r="O189" s="224"/>
      <c r="P189" s="224"/>
      <c r="Q189" s="224"/>
    </row>
    <row r="190" spans="1:17" ht="30" customHeight="1" x14ac:dyDescent="0.2">
      <c r="A190" s="360" t="s">
        <v>10005</v>
      </c>
      <c r="B190" s="300" t="s">
        <v>8708</v>
      </c>
      <c r="C190" s="408"/>
      <c r="D190" s="249" t="s">
        <v>9689</v>
      </c>
      <c r="E190" s="224"/>
      <c r="F190" s="224"/>
      <c r="G190" s="224"/>
      <c r="H190" s="224"/>
      <c r="I190" s="224"/>
      <c r="J190" s="224"/>
      <c r="K190" s="224"/>
      <c r="L190" s="224"/>
      <c r="M190" s="224"/>
      <c r="N190" s="224"/>
      <c r="O190" s="224"/>
      <c r="P190" s="224"/>
      <c r="Q190" s="224"/>
    </row>
    <row r="191" spans="1:17" ht="50.1" customHeight="1" x14ac:dyDescent="0.2">
      <c r="A191" s="256" t="s">
        <v>9838</v>
      </c>
      <c r="B191" s="258">
        <f>'TANKS Calculations'!B51</f>
        <v>0</v>
      </c>
      <c r="C191" s="383"/>
      <c r="D191" s="259" t="s">
        <v>8867</v>
      </c>
      <c r="E191" s="224"/>
      <c r="F191" s="224"/>
      <c r="G191" s="224"/>
      <c r="H191" s="224"/>
      <c r="I191" s="224"/>
      <c r="J191" s="224"/>
      <c r="K191" s="224"/>
      <c r="L191" s="224"/>
      <c r="M191" s="224"/>
      <c r="N191" s="224"/>
      <c r="O191" s="224"/>
      <c r="P191" s="224"/>
      <c r="Q191" s="224"/>
    </row>
    <row r="192" spans="1:17" ht="50.1" customHeight="1" x14ac:dyDescent="0.2">
      <c r="A192" s="256" t="s">
        <v>9839</v>
      </c>
      <c r="B192" s="258">
        <f>'TANKS Calculations'!B48</f>
        <v>0</v>
      </c>
      <c r="C192" s="383"/>
      <c r="D192" s="259" t="s">
        <v>9754</v>
      </c>
      <c r="E192" s="224"/>
      <c r="F192" s="224"/>
      <c r="G192" s="224"/>
      <c r="H192" s="224"/>
      <c r="I192" s="224"/>
      <c r="J192" s="224"/>
      <c r="K192" s="224"/>
      <c r="L192" s="224"/>
      <c r="M192" s="224"/>
      <c r="N192" s="224"/>
      <c r="O192" s="224"/>
      <c r="P192" s="224"/>
      <c r="Q192" s="224"/>
    </row>
    <row r="193" spans="1:17" ht="20.100000000000001" customHeight="1" x14ac:dyDescent="0.2">
      <c r="A193" s="225"/>
      <c r="B193" s="258">
        <f>'TANKS Calculations'!B94+459.67</f>
        <v>459.67</v>
      </c>
      <c r="C193" s="383"/>
      <c r="D193" s="259" t="s">
        <v>9755</v>
      </c>
      <c r="E193" s="224"/>
      <c r="F193" s="224"/>
      <c r="G193" s="224"/>
      <c r="H193" s="224"/>
      <c r="I193" s="224"/>
      <c r="J193" s="224"/>
      <c r="K193" s="224"/>
      <c r="L193" s="224"/>
      <c r="M193" s="224"/>
      <c r="N193" s="224"/>
      <c r="O193" s="224"/>
      <c r="P193" s="224"/>
      <c r="Q193" s="224"/>
    </row>
    <row r="194" spans="1:17" ht="50.1" customHeight="1" x14ac:dyDescent="0.2">
      <c r="A194" s="256" t="s">
        <v>9840</v>
      </c>
      <c r="B194" s="258">
        <f>'TANKS Calculations'!B76</f>
        <v>0</v>
      </c>
      <c r="C194" s="383"/>
      <c r="D194" s="259" t="s">
        <v>9795</v>
      </c>
      <c r="E194" s="224"/>
      <c r="F194" s="224"/>
      <c r="G194" s="224"/>
      <c r="H194" s="224"/>
      <c r="I194" s="224"/>
      <c r="J194" s="224"/>
      <c r="K194" s="224"/>
      <c r="L194" s="224"/>
      <c r="M194" s="224"/>
      <c r="N194" s="224"/>
      <c r="O194" s="224"/>
      <c r="P194" s="224"/>
      <c r="Q194" s="224"/>
    </row>
    <row r="195" spans="1:17" ht="30" customHeight="1" thickBot="1" x14ac:dyDescent="0.25">
      <c r="A195" s="262" t="s">
        <v>9841</v>
      </c>
      <c r="B195" s="263">
        <f>IFERROR(('TANKS Calculations'!B93/'TANKS Calculations'!B3)/((1+(1-('TANKS Calculations'!B93/'TANKS Calculations'!B3))^0.5)^2),0)</f>
        <v>0</v>
      </c>
      <c r="C195" s="385"/>
      <c r="D195" s="264" t="s">
        <v>9689</v>
      </c>
      <c r="E195" s="224"/>
      <c r="F195" s="224"/>
      <c r="G195" s="224"/>
      <c r="H195" s="224"/>
      <c r="I195" s="224"/>
      <c r="J195" s="224"/>
      <c r="K195" s="224"/>
      <c r="L195" s="224"/>
      <c r="M195" s="224"/>
      <c r="N195" s="224"/>
      <c r="O195" s="224"/>
      <c r="P195" s="224"/>
      <c r="Q195" s="224"/>
    </row>
    <row r="196" spans="1:17" ht="20.100000000000001" customHeight="1" thickBot="1" x14ac:dyDescent="0.3">
      <c r="A196" s="1352" t="s">
        <v>9842</v>
      </c>
      <c r="B196" s="1358"/>
      <c r="C196" s="1358"/>
      <c r="D196" s="1359"/>
      <c r="E196" s="224"/>
      <c r="F196" s="224"/>
      <c r="G196" s="224"/>
      <c r="H196" s="224"/>
      <c r="I196" s="224"/>
      <c r="J196" s="224"/>
      <c r="K196" s="224"/>
      <c r="L196" s="224"/>
      <c r="M196" s="224"/>
      <c r="N196" s="224"/>
      <c r="O196" s="224"/>
      <c r="P196" s="224"/>
      <c r="Q196" s="224"/>
    </row>
    <row r="197" spans="1:17" ht="20.100000000000001" customHeight="1" thickBot="1" x14ac:dyDescent="0.3">
      <c r="A197" s="152" t="s">
        <v>9685</v>
      </c>
      <c r="B197" s="153" t="s">
        <v>9686</v>
      </c>
      <c r="C197" s="154" t="s">
        <v>9687</v>
      </c>
      <c r="D197" s="155" t="s">
        <v>9688</v>
      </c>
      <c r="E197" s="224"/>
      <c r="F197" s="224"/>
      <c r="G197" s="224"/>
      <c r="H197" s="224"/>
      <c r="I197" s="224"/>
      <c r="J197" s="224"/>
      <c r="K197" s="224"/>
      <c r="L197" s="224"/>
      <c r="M197" s="224"/>
      <c r="N197" s="224"/>
      <c r="O197" s="224"/>
      <c r="P197" s="224"/>
      <c r="Q197" s="224"/>
    </row>
    <row r="198" spans="1:17" ht="20.100000000000001" customHeight="1" x14ac:dyDescent="0.2">
      <c r="A198" s="353" t="s">
        <v>9843</v>
      </c>
      <c r="B198" s="300" t="s">
        <v>8708</v>
      </c>
      <c r="C198" s="391"/>
      <c r="D198" s="249" t="s">
        <v>9707</v>
      </c>
      <c r="E198" s="224"/>
      <c r="F198" s="224"/>
      <c r="G198" s="224"/>
      <c r="H198" s="224"/>
      <c r="I198" s="224"/>
      <c r="J198" s="224"/>
      <c r="K198" s="224"/>
      <c r="L198" s="224"/>
      <c r="M198" s="224"/>
      <c r="N198" s="224"/>
      <c r="O198" s="224"/>
      <c r="P198" s="224"/>
      <c r="Q198" s="224"/>
    </row>
    <row r="199" spans="1:17" ht="20.100000000000001" customHeight="1" x14ac:dyDescent="0.2">
      <c r="A199" s="351" t="s">
        <v>9844</v>
      </c>
      <c r="B199" s="291">
        <f>ROUND('TANKS Calculations'!B15,0)</f>
        <v>0</v>
      </c>
      <c r="C199" s="383"/>
      <c r="D199" s="259" t="s">
        <v>9845</v>
      </c>
      <c r="E199" s="224"/>
      <c r="F199" s="224"/>
      <c r="G199" s="224"/>
      <c r="H199" s="224"/>
      <c r="I199" s="224"/>
      <c r="J199" s="224"/>
      <c r="K199" s="224"/>
      <c r="L199" s="224"/>
      <c r="M199" s="224"/>
      <c r="N199" s="224"/>
      <c r="O199" s="224"/>
      <c r="P199" s="224"/>
      <c r="Q199" s="224"/>
    </row>
    <row r="200" spans="1:17" ht="20.100000000000001" customHeight="1" x14ac:dyDescent="0.2">
      <c r="A200" s="354" t="s">
        <v>9792</v>
      </c>
      <c r="B200" s="252">
        <f>IFERROR('TANKS Calculations'!B96*'TANKS Calculations'!B93/(10.731*'TANKS Calculations'!B95),0)</f>
        <v>0</v>
      </c>
      <c r="C200" s="379"/>
      <c r="D200" s="227" t="s">
        <v>9793</v>
      </c>
      <c r="E200" s="224"/>
      <c r="F200" s="224"/>
      <c r="G200" s="224"/>
      <c r="H200" s="224"/>
    </row>
    <row r="201" spans="1:17" ht="50.1" customHeight="1" x14ac:dyDescent="0.2">
      <c r="A201" s="353" t="s">
        <v>9846</v>
      </c>
      <c r="B201" s="276">
        <f>IF(ISBLANK(B14),0.04,('TANKS Calculations'!B50/'TANKS Calculations'!B42)+(('TANKS Calculations'!B47-'TANKS Calculations'!B46)/('TANKS Calculations'!B3-'TANKS Calculations'!W21)))</f>
        <v>0.04</v>
      </c>
      <c r="C201" s="391"/>
      <c r="D201" s="249" t="s">
        <v>9798</v>
      </c>
      <c r="E201" s="224"/>
      <c r="F201" s="224"/>
      <c r="G201" s="224"/>
      <c r="H201" s="224"/>
    </row>
    <row r="202" spans="1:17" ht="35.1" customHeight="1" x14ac:dyDescent="0.35">
      <c r="A202" s="256" t="s">
        <v>9847</v>
      </c>
      <c r="B202" s="258">
        <f>1/(1+(0.053*Q113*'TANKS Calculations'!B60))</f>
        <v>1</v>
      </c>
      <c r="C202" s="383"/>
      <c r="D202" s="259" t="s">
        <v>9689</v>
      </c>
      <c r="E202" s="224"/>
      <c r="F202" s="224"/>
      <c r="G202" s="224"/>
      <c r="H202" s="224"/>
      <c r="I202" s="224"/>
      <c r="J202" s="224"/>
      <c r="K202" s="224"/>
      <c r="L202" s="224"/>
      <c r="M202" s="224"/>
      <c r="N202" s="224"/>
      <c r="O202" s="224"/>
      <c r="P202" s="224"/>
    </row>
    <row r="203" spans="1:17" ht="20.100000000000001" customHeight="1" thickBot="1" x14ac:dyDescent="0.4">
      <c r="A203" s="256" t="s">
        <v>9848</v>
      </c>
      <c r="B203" s="301" t="s">
        <v>8708</v>
      </c>
      <c r="C203" s="383"/>
      <c r="D203" s="259" t="s">
        <v>9849</v>
      </c>
      <c r="E203" s="224"/>
      <c r="F203" s="224"/>
      <c r="G203" s="224"/>
      <c r="H203" s="224"/>
      <c r="I203" s="224"/>
    </row>
    <row r="204" spans="1:17" ht="20.100000000000001" customHeight="1" thickBot="1" x14ac:dyDescent="0.3">
      <c r="A204" s="1352" t="s">
        <v>9850</v>
      </c>
      <c r="B204" s="1358"/>
      <c r="C204" s="1358"/>
      <c r="D204" s="1359"/>
      <c r="E204" s="224"/>
      <c r="F204" s="224"/>
      <c r="G204" s="224"/>
      <c r="H204" s="224"/>
      <c r="I204" s="224"/>
      <c r="J204" s="224"/>
      <c r="K204" s="224"/>
      <c r="L204" s="224"/>
      <c r="M204" s="224"/>
      <c r="N204" s="224"/>
      <c r="O204" s="224"/>
      <c r="P204" s="224"/>
      <c r="Q204" s="224"/>
    </row>
    <row r="205" spans="1:17" ht="20.100000000000001" customHeight="1" thickBot="1" x14ac:dyDescent="0.3">
      <c r="A205" s="152" t="s">
        <v>9685</v>
      </c>
      <c r="B205" s="153" t="s">
        <v>9686</v>
      </c>
      <c r="C205" s="154" t="s">
        <v>9687</v>
      </c>
      <c r="D205" s="155" t="s">
        <v>9688</v>
      </c>
      <c r="E205" s="224"/>
      <c r="F205" s="224"/>
      <c r="G205" s="224"/>
      <c r="H205" s="224"/>
      <c r="I205" s="224"/>
      <c r="J205" s="224"/>
      <c r="K205" s="224"/>
      <c r="L205" s="224"/>
      <c r="M205" s="224"/>
      <c r="N205" s="224"/>
      <c r="O205" s="224"/>
      <c r="P205" s="224"/>
      <c r="Q205" s="224"/>
    </row>
    <row r="206" spans="1:17" ht="30" customHeight="1" x14ac:dyDescent="0.2">
      <c r="A206" s="247" t="s">
        <v>9851</v>
      </c>
      <c r="B206" s="248">
        <f>'TANKS Calculations'!B85</f>
        <v>0</v>
      </c>
      <c r="C206" s="408"/>
      <c r="D206" s="249" t="s">
        <v>9831</v>
      </c>
      <c r="E206" s="224"/>
      <c r="F206" s="224"/>
      <c r="G206" s="224"/>
      <c r="H206" s="224"/>
      <c r="I206" s="224"/>
    </row>
    <row r="207" spans="1:17" ht="20.100000000000001" customHeight="1" x14ac:dyDescent="0.2">
      <c r="A207" s="351" t="s">
        <v>9852</v>
      </c>
      <c r="B207" s="291">
        <f>IF(C190="Full liquid heel",0.6,IF(C190="Partial liquid heel",0.5,0.15))</f>
        <v>0.15</v>
      </c>
      <c r="C207" s="397"/>
      <c r="D207" s="259" t="s">
        <v>9689</v>
      </c>
      <c r="E207" s="224"/>
      <c r="F207" s="224"/>
      <c r="G207" s="224"/>
      <c r="H207" s="224"/>
      <c r="I207" s="224"/>
    </row>
    <row r="208" spans="1:17" ht="35.1" customHeight="1" x14ac:dyDescent="0.35">
      <c r="A208" s="256" t="s">
        <v>9853</v>
      </c>
      <c r="B208" s="291">
        <f>IF(C68="External Floating Roof",IFERROR(1-(((0.57*'TANKS Calculations'!B8*'TANKS Calculations'!B78*'TANKS Calculations'!B76)-('TANKS Calculations'!B99*'TANKS Calculations'!B79*'TANKS Calculations'!B76*'TANKS Calculations'!B100))/(('TANKS Calculations'!B99*'TANKS Calculations'!B79*'TANKS Calculations'!B76*'TANKS Calculations'!B100)+('TANKS Calculations'!B76*'TANKS Calculations'!B105*'TANKS Calculations'!B104))),0),IF(C190="Full liquid heel",0.6,IF(C190="Partial liquid heel",0.5,1)))</f>
        <v>1</v>
      </c>
      <c r="C208" s="397"/>
      <c r="D208" s="259" t="s">
        <v>9689</v>
      </c>
      <c r="E208" s="224"/>
      <c r="F208" s="224"/>
      <c r="G208" s="224"/>
      <c r="H208" s="224"/>
      <c r="I208" s="224"/>
      <c r="J208" s="224"/>
      <c r="K208" s="224"/>
      <c r="L208" s="224"/>
      <c r="M208" s="224"/>
      <c r="N208" s="224"/>
      <c r="O208" s="224"/>
      <c r="P208" s="224"/>
    </row>
    <row r="209" spans="1:17" ht="35.1" customHeight="1" x14ac:dyDescent="0.35">
      <c r="A209" s="256" t="s">
        <v>9854</v>
      </c>
      <c r="B209" s="301" t="s">
        <v>8708</v>
      </c>
      <c r="C209" s="397"/>
      <c r="D209" s="259" t="s">
        <v>9707</v>
      </c>
      <c r="E209" s="224"/>
      <c r="F209" s="224"/>
      <c r="G209" s="224"/>
      <c r="H209" s="224"/>
      <c r="I209" s="224"/>
      <c r="J209" s="224"/>
      <c r="K209" s="224"/>
      <c r="L209" s="224"/>
      <c r="M209" s="224"/>
      <c r="N209" s="224"/>
      <c r="O209" s="224"/>
      <c r="P209" s="224"/>
    </row>
    <row r="210" spans="1:17" ht="20.100000000000001" customHeight="1" thickBot="1" x14ac:dyDescent="0.4">
      <c r="A210" s="262" t="s">
        <v>9855</v>
      </c>
      <c r="B210" s="289">
        <f>IF(ISBLANK(C209),'TANKS Calculations'!B61,(PI()/4)*('TANKS Calculations'!B8^2)*'TANKS Calculations'!B107)</f>
        <v>0</v>
      </c>
      <c r="C210" s="393"/>
      <c r="D210" s="424" t="s">
        <v>9730</v>
      </c>
      <c r="E210" s="224"/>
      <c r="F210" s="224"/>
      <c r="G210" s="224"/>
      <c r="H210" s="224"/>
      <c r="I210" s="224"/>
    </row>
    <row r="211" spans="1:17" ht="30" customHeight="1" thickBot="1" x14ac:dyDescent="0.25">
      <c r="A211" s="1376" t="s">
        <v>8411</v>
      </c>
      <c r="B211" s="1376"/>
      <c r="C211" s="1376"/>
      <c r="D211" s="1376"/>
      <c r="E211" s="224"/>
      <c r="F211" s="224"/>
      <c r="G211" s="224"/>
      <c r="H211" s="224"/>
      <c r="I211" s="224"/>
      <c r="J211" s="224"/>
      <c r="K211" s="224"/>
      <c r="L211" s="224"/>
      <c r="M211" s="224"/>
      <c r="N211" s="224"/>
      <c r="O211" s="224"/>
      <c r="P211" s="224"/>
      <c r="Q211" s="224"/>
    </row>
    <row r="212" spans="1:17" ht="64.5" customHeight="1" thickBot="1" x14ac:dyDescent="0.3">
      <c r="A212" s="1352" t="s">
        <v>9856</v>
      </c>
      <c r="B212" s="1358"/>
      <c r="C212" s="1358"/>
      <c r="D212" s="1359"/>
      <c r="E212" s="224"/>
      <c r="F212" s="224"/>
      <c r="G212" s="224"/>
      <c r="H212" s="224"/>
      <c r="I212" s="224"/>
      <c r="J212" s="224"/>
      <c r="K212" s="224"/>
      <c r="L212" s="224"/>
      <c r="M212" s="224"/>
      <c r="N212" s="224"/>
      <c r="O212" s="224"/>
      <c r="P212" s="224"/>
      <c r="Q212" s="224"/>
    </row>
    <row r="213" spans="1:17" ht="20.100000000000001" customHeight="1" thickBot="1" x14ac:dyDescent="0.3">
      <c r="A213" s="152" t="s">
        <v>9685</v>
      </c>
      <c r="B213" s="153" t="s">
        <v>9686</v>
      </c>
      <c r="C213" s="154" t="s">
        <v>9687</v>
      </c>
      <c r="D213" s="155" t="s">
        <v>9688</v>
      </c>
      <c r="E213" s="224"/>
      <c r="F213" s="224"/>
      <c r="G213" s="224"/>
      <c r="H213" s="224"/>
      <c r="I213" s="224"/>
      <c r="J213" s="224"/>
      <c r="K213" s="224"/>
      <c r="L213" s="224"/>
      <c r="M213" s="224"/>
      <c r="N213" s="224"/>
      <c r="O213" s="224"/>
      <c r="P213" s="224"/>
      <c r="Q213" s="224"/>
    </row>
    <row r="214" spans="1:17" ht="20.100000000000001" customHeight="1" x14ac:dyDescent="0.2">
      <c r="A214" s="292" t="s">
        <v>9857</v>
      </c>
      <c r="B214" s="302" t="s">
        <v>8708</v>
      </c>
      <c r="C214" s="409"/>
      <c r="D214" s="294" t="s">
        <v>9725</v>
      </c>
      <c r="E214" s="224"/>
      <c r="F214" s="224"/>
      <c r="G214" s="224"/>
      <c r="H214" s="224"/>
      <c r="I214" s="224"/>
      <c r="J214" s="224"/>
      <c r="K214" s="224"/>
      <c r="L214" s="224"/>
      <c r="M214" s="224"/>
      <c r="N214" s="224"/>
      <c r="O214" s="224"/>
      <c r="P214" s="224"/>
      <c r="Q214" s="224"/>
    </row>
    <row r="215" spans="1:17" ht="20.100000000000001" customHeight="1" x14ac:dyDescent="0.35">
      <c r="A215" s="256" t="s">
        <v>9858</v>
      </c>
      <c r="B215" s="258">
        <f>'TANKS Calculations'!W25</f>
        <v>0</v>
      </c>
      <c r="C215" s="397"/>
      <c r="D215" s="259" t="s">
        <v>9795</v>
      </c>
      <c r="E215" s="224"/>
      <c r="F215" s="224"/>
      <c r="G215" s="224"/>
      <c r="H215" s="224"/>
      <c r="I215" s="224"/>
      <c r="J215" s="224"/>
      <c r="K215" s="224"/>
      <c r="L215" s="224"/>
      <c r="M215" s="224"/>
      <c r="N215" s="224"/>
      <c r="O215" s="224"/>
      <c r="P215" s="224"/>
      <c r="Q215" s="224"/>
    </row>
    <row r="216" spans="1:17" ht="35.1" customHeight="1" x14ac:dyDescent="0.35">
      <c r="A216" s="256" t="s">
        <v>9859</v>
      </c>
      <c r="B216" s="258">
        <f>'TANKS Calculations'!B51</f>
        <v>0</v>
      </c>
      <c r="C216" s="397"/>
      <c r="D216" s="259" t="s">
        <v>8867</v>
      </c>
      <c r="E216" s="224"/>
      <c r="F216" s="224"/>
      <c r="G216" s="224"/>
      <c r="H216" s="224"/>
      <c r="I216" s="224"/>
      <c r="J216" s="224"/>
      <c r="K216" s="224"/>
      <c r="L216" s="224"/>
      <c r="M216" s="224"/>
      <c r="N216" s="224"/>
      <c r="O216" s="224"/>
      <c r="P216" s="224"/>
      <c r="Q216" s="224"/>
    </row>
    <row r="217" spans="1:17" ht="30" customHeight="1" x14ac:dyDescent="0.2">
      <c r="A217" s="256" t="s">
        <v>9860</v>
      </c>
      <c r="B217" s="258">
        <f>'TANKS Calculations'!B32</f>
        <v>459.67</v>
      </c>
      <c r="C217" s="397"/>
      <c r="D217" s="259" t="s">
        <v>9755</v>
      </c>
      <c r="E217" s="224"/>
      <c r="F217" s="224"/>
      <c r="G217" s="224"/>
      <c r="H217" s="224"/>
      <c r="I217" s="224"/>
      <c r="J217" s="224"/>
      <c r="K217" s="224"/>
      <c r="L217" s="224"/>
      <c r="M217" s="224"/>
      <c r="N217" s="224"/>
      <c r="O217" s="224"/>
      <c r="P217" s="224"/>
      <c r="Q217" s="224"/>
    </row>
    <row r="218" spans="1:17" ht="20.100000000000001" customHeight="1" x14ac:dyDescent="0.35">
      <c r="A218" s="256" t="s">
        <v>9855</v>
      </c>
      <c r="B218" s="258">
        <f>IF(B12="Fixed",'TANKS Calculations'!B10-'TANKS Calculations'!B125+'TANKS Calculations'!B59,'TANKS Calculations'!B61)</f>
        <v>0</v>
      </c>
      <c r="C218" s="397"/>
      <c r="D218" s="259" t="s">
        <v>9730</v>
      </c>
      <c r="E218" s="224"/>
      <c r="F218" s="224"/>
      <c r="G218" s="224"/>
      <c r="H218" s="224"/>
      <c r="I218" s="224"/>
      <c r="J218" s="224"/>
      <c r="K218" s="224"/>
      <c r="L218" s="224"/>
      <c r="M218" s="224"/>
      <c r="N218" s="224"/>
      <c r="O218" s="224"/>
      <c r="P218" s="224"/>
      <c r="Q218" s="224"/>
    </row>
    <row r="219" spans="1:17" ht="35.1" customHeight="1" x14ac:dyDescent="0.35">
      <c r="A219" s="256" t="s">
        <v>9861</v>
      </c>
      <c r="B219" s="303" t="s">
        <v>8708</v>
      </c>
      <c r="C219" s="397"/>
      <c r="D219" s="259" t="s">
        <v>9707</v>
      </c>
      <c r="E219" s="224"/>
      <c r="F219" s="224"/>
      <c r="G219" s="224"/>
      <c r="H219" s="224"/>
      <c r="I219" s="224"/>
      <c r="J219" s="224"/>
      <c r="K219" s="224"/>
      <c r="L219" s="224"/>
      <c r="M219" s="224"/>
      <c r="N219" s="224"/>
      <c r="O219" s="224"/>
      <c r="P219" s="224"/>
      <c r="Q219" s="224"/>
    </row>
    <row r="220" spans="1:17" ht="20.100000000000001" customHeight="1" x14ac:dyDescent="0.35">
      <c r="A220" s="256" t="s">
        <v>9862</v>
      </c>
      <c r="B220" s="258">
        <f>IFERROR(365/IF('TANKS Calculations'!B15&gt;=365,365,'TANKS Calculations'!B15),0)</f>
        <v>0</v>
      </c>
      <c r="C220" s="397"/>
      <c r="D220" s="259" t="s">
        <v>9849</v>
      </c>
      <c r="E220" s="224"/>
      <c r="F220" s="224"/>
      <c r="G220" s="224"/>
      <c r="H220" s="224"/>
      <c r="I220" s="224"/>
      <c r="J220" s="224"/>
      <c r="K220" s="224"/>
      <c r="L220" s="224"/>
      <c r="M220" s="224"/>
      <c r="N220" s="224"/>
      <c r="O220" s="224"/>
      <c r="P220" s="224"/>
      <c r="Q220" s="224"/>
    </row>
    <row r="221" spans="1:17" ht="20.100000000000001" customHeight="1" x14ac:dyDescent="0.2">
      <c r="A221" s="351" t="s">
        <v>9863</v>
      </c>
      <c r="B221" s="258">
        <f>IF(C190="Drain dry",0,MIN(MAX(IF(B12="Fixed",(('TANKS Calculations'!B126/2)+1)/6,_xlfn.IFNA(VLOOKUP(C68&amp;C190,'TANKS Calculations'!$G$138:$H$143,2,FALSE),0)),0.5),0.25))</f>
        <v>0.25</v>
      </c>
      <c r="C221" s="397"/>
      <c r="D221" s="259" t="s">
        <v>9689</v>
      </c>
      <c r="E221" s="224"/>
      <c r="F221" s="224"/>
      <c r="G221" s="224"/>
      <c r="H221" s="224"/>
      <c r="I221" s="224"/>
      <c r="J221" s="224"/>
      <c r="K221" s="224"/>
      <c r="L221" s="224"/>
      <c r="M221" s="224"/>
      <c r="N221" s="224"/>
      <c r="O221" s="224"/>
      <c r="P221" s="224"/>
      <c r="Q221" s="224"/>
    </row>
    <row r="222" spans="1:17" ht="45" customHeight="1" thickBot="1" x14ac:dyDescent="0.25">
      <c r="A222" s="262" t="s">
        <v>9864</v>
      </c>
      <c r="B222" s="304">
        <f>IF('TANKS Calculations'!B126=0,0,ROUNDUP('TANKS Calculations'!B126/365,0)-1)</f>
        <v>0</v>
      </c>
      <c r="C222" s="385"/>
      <c r="D222" s="264" t="s">
        <v>9725</v>
      </c>
      <c r="E222" s="224"/>
      <c r="F222" s="224"/>
      <c r="G222" s="224"/>
      <c r="H222" s="224"/>
      <c r="I222" s="224"/>
      <c r="J222" s="224"/>
      <c r="K222" s="224"/>
      <c r="L222" s="224"/>
      <c r="M222" s="224"/>
      <c r="N222" s="224"/>
      <c r="O222" s="224"/>
      <c r="P222" s="224"/>
      <c r="Q222" s="224"/>
    </row>
    <row r="223" spans="1:17" ht="30" customHeight="1" x14ac:dyDescent="0.2">
      <c r="A223" s="247" t="s">
        <v>9865</v>
      </c>
      <c r="B223" s="305" t="s">
        <v>8708</v>
      </c>
      <c r="C223" s="407"/>
      <c r="D223" s="249" t="s">
        <v>9689</v>
      </c>
      <c r="E223" s="224"/>
      <c r="F223" s="224"/>
      <c r="G223" s="224"/>
      <c r="H223" s="224"/>
      <c r="I223" s="224"/>
      <c r="J223" s="224"/>
      <c r="K223" s="224"/>
      <c r="L223" s="224"/>
      <c r="M223" s="224"/>
      <c r="N223" s="224"/>
      <c r="O223" s="224"/>
      <c r="P223" s="224"/>
      <c r="Q223" s="224"/>
    </row>
    <row r="224" spans="1:17" ht="30" customHeight="1" x14ac:dyDescent="0.2">
      <c r="A224" s="256" t="s">
        <v>9866</v>
      </c>
      <c r="B224" s="303" t="s">
        <v>8708</v>
      </c>
      <c r="C224" s="397"/>
      <c r="D224" s="259" t="s">
        <v>9689</v>
      </c>
      <c r="E224" s="224"/>
      <c r="F224" s="224"/>
      <c r="G224" s="224"/>
      <c r="H224" s="224"/>
      <c r="I224" s="224"/>
      <c r="J224" s="224"/>
      <c r="K224" s="224"/>
      <c r="L224" s="224"/>
      <c r="M224" s="224"/>
      <c r="N224" s="224"/>
      <c r="O224" s="224"/>
      <c r="P224" s="224"/>
      <c r="Q224" s="224"/>
    </row>
    <row r="225" spans="1:17" ht="30" customHeight="1" x14ac:dyDescent="0.2">
      <c r="A225" s="256" t="s">
        <v>9867</v>
      </c>
      <c r="B225" s="303" t="s">
        <v>8708</v>
      </c>
      <c r="C225" s="397"/>
      <c r="D225" s="259" t="s">
        <v>9689</v>
      </c>
      <c r="E225" s="224"/>
      <c r="F225" s="224"/>
      <c r="G225" s="224"/>
      <c r="H225" s="224"/>
      <c r="I225" s="224"/>
      <c r="J225" s="224"/>
      <c r="K225" s="224"/>
      <c r="L225" s="224"/>
      <c r="M225" s="224"/>
      <c r="N225" s="224"/>
      <c r="O225" s="224"/>
      <c r="P225" s="224"/>
      <c r="Q225" s="224"/>
    </row>
    <row r="226" spans="1:17" ht="30" customHeight="1" x14ac:dyDescent="0.2">
      <c r="A226" s="256" t="s">
        <v>9868</v>
      </c>
      <c r="B226" s="258">
        <v>1</v>
      </c>
      <c r="C226" s="397"/>
      <c r="D226" s="259" t="s">
        <v>9689</v>
      </c>
      <c r="E226" s="224"/>
      <c r="F226" s="224"/>
      <c r="G226" s="224"/>
      <c r="H226" s="224"/>
      <c r="I226" s="224"/>
      <c r="J226" s="224"/>
      <c r="K226" s="224"/>
      <c r="L226" s="224"/>
      <c r="M226" s="224"/>
      <c r="N226" s="224"/>
      <c r="O226" s="224"/>
      <c r="P226" s="224"/>
      <c r="Q226" s="224"/>
    </row>
    <row r="227" spans="1:17" ht="35.1" customHeight="1" x14ac:dyDescent="0.35">
      <c r="A227" s="256" t="s">
        <v>9869</v>
      </c>
      <c r="B227" s="258">
        <f>MIN('TANKS Calculations'!B129*'TANKS Calculations'!B130*'TANKS Calculations'!B131,'TANKS Calculations'!B121/'TANKS Calculations'!B3)</f>
        <v>0</v>
      </c>
      <c r="C227" s="397"/>
      <c r="D227" s="259" t="s">
        <v>9689</v>
      </c>
      <c r="E227" s="224"/>
      <c r="F227" s="224"/>
      <c r="G227" s="224"/>
      <c r="H227" s="224"/>
      <c r="I227" s="224"/>
      <c r="J227" s="224"/>
      <c r="K227" s="224"/>
      <c r="L227" s="224"/>
      <c r="M227" s="224"/>
      <c r="N227" s="224"/>
      <c r="O227" s="224"/>
      <c r="P227" s="224"/>
      <c r="Q227" s="224"/>
    </row>
    <row r="228" spans="1:17" ht="20.100000000000001" customHeight="1" x14ac:dyDescent="0.35">
      <c r="A228" s="256" t="s">
        <v>9870</v>
      </c>
      <c r="B228" s="303" t="s">
        <v>8708</v>
      </c>
      <c r="C228" s="397"/>
      <c r="D228" s="259" t="s">
        <v>9871</v>
      </c>
      <c r="E228" s="224"/>
      <c r="F228" s="224"/>
      <c r="G228" s="306"/>
      <c r="H228" s="224"/>
      <c r="I228" s="224"/>
      <c r="J228" s="224"/>
      <c r="K228" s="224"/>
      <c r="L228" s="224"/>
      <c r="M228" s="224"/>
      <c r="N228" s="224"/>
      <c r="O228" s="224"/>
      <c r="P228" s="224"/>
      <c r="Q228" s="224"/>
    </row>
    <row r="229" spans="1:17" ht="20.100000000000001" customHeight="1" x14ac:dyDescent="0.35">
      <c r="A229" s="256" t="s">
        <v>9872</v>
      </c>
      <c r="B229" s="303" t="s">
        <v>8708</v>
      </c>
      <c r="C229" s="397"/>
      <c r="D229" s="259" t="s">
        <v>9849</v>
      </c>
      <c r="E229" s="224"/>
      <c r="F229" s="224"/>
      <c r="G229" s="224"/>
      <c r="H229" s="224"/>
      <c r="I229" s="224"/>
      <c r="J229" s="224"/>
      <c r="K229" s="224"/>
      <c r="L229" s="224"/>
      <c r="M229" s="224"/>
      <c r="N229" s="224"/>
      <c r="O229" s="224"/>
      <c r="P229" s="224"/>
      <c r="Q229" s="224"/>
    </row>
    <row r="230" spans="1:17" ht="65.099999999999994" customHeight="1" x14ac:dyDescent="0.2">
      <c r="A230" s="256" t="s">
        <v>9873</v>
      </c>
      <c r="B230" s="303" t="s">
        <v>8708</v>
      </c>
      <c r="C230" s="397"/>
      <c r="D230" s="259" t="s">
        <v>9874</v>
      </c>
      <c r="E230" s="224"/>
      <c r="F230" s="224"/>
      <c r="G230" s="224"/>
      <c r="H230" s="224"/>
      <c r="I230" s="224"/>
      <c r="J230" s="224"/>
      <c r="K230" s="224"/>
      <c r="L230" s="224"/>
      <c r="M230" s="224"/>
      <c r="N230" s="224"/>
      <c r="O230" s="224"/>
      <c r="P230" s="224"/>
      <c r="Q230" s="224"/>
    </row>
    <row r="231" spans="1:17" ht="20.100000000000001" customHeight="1" x14ac:dyDescent="0.35">
      <c r="A231" s="256" t="s">
        <v>9875</v>
      </c>
      <c r="B231" s="258">
        <f>'TANKS Calculations'!B120</f>
        <v>0</v>
      </c>
      <c r="C231" s="397"/>
      <c r="D231" s="259" t="s">
        <v>9795</v>
      </c>
      <c r="E231" s="224"/>
      <c r="F231" s="224"/>
      <c r="G231" s="224"/>
      <c r="H231" s="224"/>
      <c r="I231" s="224"/>
      <c r="J231" s="224"/>
      <c r="K231" s="224"/>
      <c r="L231" s="224"/>
      <c r="M231" s="224"/>
      <c r="N231" s="224"/>
      <c r="O231" s="224"/>
      <c r="P231" s="224"/>
      <c r="Q231" s="224"/>
    </row>
    <row r="232" spans="1:17" ht="35.1" customHeight="1" thickBot="1" x14ac:dyDescent="0.4">
      <c r="A232" s="256" t="s">
        <v>9876</v>
      </c>
      <c r="B232" s="258">
        <f>'TANKS Calculations'!B12</f>
        <v>1</v>
      </c>
      <c r="C232" s="397"/>
      <c r="D232" s="259" t="s">
        <v>9707</v>
      </c>
      <c r="E232" s="224"/>
      <c r="F232" s="224"/>
      <c r="G232" s="224"/>
      <c r="H232" s="224"/>
      <c r="I232" s="224"/>
      <c r="J232" s="224"/>
      <c r="K232" s="224"/>
      <c r="L232" s="224"/>
      <c r="M232" s="224"/>
      <c r="N232" s="224"/>
      <c r="O232" s="224"/>
      <c r="P232" s="224"/>
      <c r="Q232" s="224"/>
    </row>
    <row r="233" spans="1:17" ht="50.1" customHeight="1" x14ac:dyDescent="0.35">
      <c r="A233" s="292" t="s">
        <v>9877</v>
      </c>
      <c r="B233" s="307" t="s">
        <v>8708</v>
      </c>
      <c r="C233" s="403"/>
      <c r="D233" s="294" t="s">
        <v>9689</v>
      </c>
      <c r="E233" s="224"/>
      <c r="F233" s="224"/>
      <c r="G233" s="224"/>
      <c r="H233" s="224"/>
      <c r="I233" s="224"/>
      <c r="J233" s="224"/>
      <c r="K233" s="224"/>
      <c r="L233" s="224"/>
      <c r="M233" s="224"/>
      <c r="N233" s="224"/>
      <c r="O233" s="224"/>
      <c r="P233" s="224"/>
      <c r="Q233" s="224"/>
    </row>
    <row r="234" spans="1:17" ht="35.1" customHeight="1" x14ac:dyDescent="0.2">
      <c r="A234" s="349" t="s">
        <v>10002</v>
      </c>
      <c r="B234" s="303" t="s">
        <v>8708</v>
      </c>
      <c r="C234" s="397"/>
      <c r="D234" s="259" t="s">
        <v>9849</v>
      </c>
      <c r="E234" s="224"/>
      <c r="F234" s="224"/>
      <c r="G234" s="224"/>
      <c r="H234" s="224"/>
      <c r="I234" s="224"/>
      <c r="J234" s="224"/>
      <c r="K234" s="224"/>
      <c r="L234" s="224"/>
      <c r="M234" s="224"/>
      <c r="N234" s="224"/>
      <c r="O234" s="224"/>
      <c r="P234" s="224"/>
      <c r="Q234" s="224"/>
    </row>
    <row r="235" spans="1:17" ht="35.1" customHeight="1" x14ac:dyDescent="0.2">
      <c r="A235" s="349" t="s">
        <v>10003</v>
      </c>
      <c r="B235" s="303" t="s">
        <v>8708</v>
      </c>
      <c r="C235" s="397"/>
      <c r="D235" s="259" t="s">
        <v>9874</v>
      </c>
      <c r="E235" s="224"/>
      <c r="F235" s="224"/>
      <c r="G235" s="224"/>
      <c r="H235" s="224"/>
      <c r="I235" s="224"/>
      <c r="J235" s="224"/>
      <c r="K235" s="224"/>
      <c r="L235" s="224"/>
      <c r="M235" s="224"/>
      <c r="N235" s="224"/>
      <c r="O235" s="224"/>
      <c r="P235" s="224"/>
      <c r="Q235" s="224"/>
    </row>
    <row r="236" spans="1:17" ht="35.1" customHeight="1" thickBot="1" x14ac:dyDescent="0.4">
      <c r="A236" s="262" t="s">
        <v>9878</v>
      </c>
      <c r="B236" s="308" t="s">
        <v>8708</v>
      </c>
      <c r="C236" s="385"/>
      <c r="D236" s="264" t="s">
        <v>9707</v>
      </c>
      <c r="E236" s="224"/>
      <c r="F236" s="224"/>
      <c r="G236" s="224"/>
      <c r="H236" s="224"/>
      <c r="I236" s="224"/>
      <c r="J236" s="224"/>
      <c r="K236" s="224"/>
      <c r="L236" s="224"/>
      <c r="M236" s="224"/>
      <c r="N236" s="224"/>
      <c r="O236" s="224"/>
      <c r="P236" s="224"/>
      <c r="Q236" s="224"/>
    </row>
    <row r="237" spans="1:17" ht="30" customHeight="1" thickBot="1" x14ac:dyDescent="0.25">
      <c r="A237" s="1376" t="s">
        <v>8411</v>
      </c>
      <c r="B237" s="1376"/>
      <c r="C237" s="1376"/>
      <c r="D237" s="1376"/>
      <c r="E237" s="224"/>
      <c r="F237" s="224"/>
      <c r="G237" s="224"/>
      <c r="H237" s="224"/>
      <c r="I237" s="224"/>
      <c r="J237" s="224"/>
      <c r="K237" s="224"/>
      <c r="L237" s="224"/>
      <c r="M237" s="224"/>
      <c r="N237" s="224"/>
      <c r="O237" s="224"/>
      <c r="P237" s="224"/>
      <c r="Q237" s="224"/>
    </row>
    <row r="238" spans="1:17" ht="44.25" customHeight="1" thickBot="1" x14ac:dyDescent="0.3">
      <c r="A238" s="1352" t="s">
        <v>9879</v>
      </c>
      <c r="B238" s="1358"/>
      <c r="C238" s="1358"/>
      <c r="D238" s="1359"/>
      <c r="E238" s="224"/>
      <c r="F238" s="224"/>
      <c r="G238" s="224"/>
      <c r="H238" s="224"/>
      <c r="I238" s="224"/>
      <c r="J238" s="224"/>
      <c r="K238" s="224"/>
      <c r="L238" s="224"/>
      <c r="M238" s="224"/>
      <c r="N238" s="224"/>
      <c r="O238" s="224"/>
      <c r="P238" s="224"/>
      <c r="Q238" s="224"/>
    </row>
    <row r="239" spans="1:17" ht="20.100000000000001" customHeight="1" thickBot="1" x14ac:dyDescent="0.3">
      <c r="A239" s="152" t="s">
        <v>9685</v>
      </c>
      <c r="B239" s="153" t="s">
        <v>9686</v>
      </c>
      <c r="C239" s="154" t="s">
        <v>9687</v>
      </c>
      <c r="D239" s="155" t="s">
        <v>9688</v>
      </c>
      <c r="E239" s="224"/>
      <c r="F239" s="224"/>
      <c r="G239" s="224"/>
      <c r="H239" s="224"/>
      <c r="I239" s="224"/>
      <c r="J239" s="224"/>
      <c r="K239" s="224"/>
      <c r="L239" s="224"/>
      <c r="M239" s="224"/>
      <c r="N239" s="224"/>
      <c r="O239" s="224"/>
      <c r="P239" s="224"/>
      <c r="Q239" s="224"/>
    </row>
    <row r="240" spans="1:17" ht="30" customHeight="1" x14ac:dyDescent="0.2">
      <c r="A240" s="266" t="s">
        <v>9880</v>
      </c>
      <c r="B240" s="267" t="s">
        <v>8708</v>
      </c>
      <c r="C240" s="410"/>
      <c r="D240" s="268" t="s">
        <v>9881</v>
      </c>
      <c r="E240" s="224"/>
      <c r="F240" s="224"/>
      <c r="G240" s="224"/>
      <c r="H240" s="224"/>
      <c r="I240" s="224"/>
      <c r="J240" s="224"/>
      <c r="K240" s="224"/>
      <c r="L240" s="224"/>
      <c r="M240" s="224"/>
      <c r="N240" s="224"/>
      <c r="O240" s="224"/>
      <c r="P240" s="224"/>
      <c r="Q240" s="224"/>
    </row>
    <row r="241" spans="1:17" ht="30" customHeight="1" x14ac:dyDescent="0.2">
      <c r="A241" s="228" t="s">
        <v>9882</v>
      </c>
      <c r="B241" s="226" t="s">
        <v>8708</v>
      </c>
      <c r="C241" s="411"/>
      <c r="D241" s="227" t="s">
        <v>9881</v>
      </c>
      <c r="E241" s="224"/>
      <c r="F241" s="224"/>
      <c r="G241" s="224"/>
      <c r="H241" s="224"/>
      <c r="I241" s="224"/>
      <c r="J241" s="224"/>
      <c r="K241" s="224"/>
      <c r="L241" s="224"/>
      <c r="M241" s="224"/>
      <c r="N241" s="224"/>
      <c r="O241" s="224"/>
      <c r="P241" s="224"/>
      <c r="Q241" s="224"/>
    </row>
    <row r="242" spans="1:17" ht="30" customHeight="1" x14ac:dyDescent="0.2">
      <c r="A242" s="225" t="s">
        <v>9883</v>
      </c>
      <c r="B242" s="309" t="s">
        <v>8708</v>
      </c>
      <c r="C242" s="412"/>
      <c r="D242" s="246" t="s">
        <v>9884</v>
      </c>
      <c r="E242" s="224"/>
      <c r="F242" s="224"/>
      <c r="G242" s="224"/>
      <c r="H242" s="224"/>
      <c r="I242" s="224"/>
      <c r="J242" s="224"/>
      <c r="K242" s="224"/>
      <c r="L242" s="224"/>
      <c r="M242" s="224"/>
      <c r="N242" s="224"/>
      <c r="O242" s="224"/>
      <c r="P242" s="224"/>
      <c r="Q242" s="224"/>
    </row>
    <row r="243" spans="1:17" ht="45" customHeight="1" x14ac:dyDescent="0.2">
      <c r="A243" s="225" t="s">
        <v>9885</v>
      </c>
      <c r="B243" s="310">
        <v>2.635184989986297E-3</v>
      </c>
      <c r="C243" s="412"/>
      <c r="D243" s="246" t="s">
        <v>9886</v>
      </c>
      <c r="E243" s="224"/>
      <c r="F243" s="224"/>
      <c r="G243" s="224"/>
      <c r="H243" s="224"/>
      <c r="I243" s="224"/>
      <c r="J243" s="224"/>
      <c r="K243" s="224"/>
      <c r="L243" s="224"/>
      <c r="M243" s="224"/>
      <c r="N243" s="224"/>
      <c r="O243" s="224"/>
      <c r="P243" s="224"/>
      <c r="Q243" s="224"/>
    </row>
    <row r="244" spans="1:17" ht="30" customHeight="1" x14ac:dyDescent="0.2">
      <c r="A244" s="225" t="s">
        <v>9887</v>
      </c>
      <c r="B244" s="309" t="s">
        <v>8708</v>
      </c>
      <c r="C244" s="412"/>
      <c r="D244" s="246" t="s">
        <v>9795</v>
      </c>
      <c r="E244" s="224"/>
      <c r="F244" s="224"/>
      <c r="G244" s="224"/>
      <c r="H244" s="224"/>
      <c r="I244" s="224"/>
      <c r="J244" s="224"/>
      <c r="K244" s="224"/>
      <c r="L244" s="224"/>
      <c r="M244" s="224"/>
      <c r="N244" s="224"/>
      <c r="O244" s="224"/>
      <c r="P244" s="224"/>
      <c r="Q244" s="224"/>
    </row>
    <row r="245" spans="1:17" ht="30" customHeight="1" x14ac:dyDescent="0.2">
      <c r="A245" s="225" t="s">
        <v>9888</v>
      </c>
      <c r="B245" s="311" t="s">
        <v>8708</v>
      </c>
      <c r="C245" s="412"/>
      <c r="D245" s="246" t="s">
        <v>9889</v>
      </c>
      <c r="E245" s="224"/>
      <c r="F245" s="224"/>
      <c r="H245" s="224"/>
      <c r="I245" s="224"/>
      <c r="J245" s="224"/>
      <c r="K245" s="224"/>
      <c r="L245" s="224"/>
      <c r="M245" s="224"/>
      <c r="N245" s="224"/>
      <c r="O245" s="224"/>
      <c r="P245" s="224"/>
      <c r="Q245" s="224"/>
    </row>
    <row r="246" spans="1:17" ht="35.1" customHeight="1" x14ac:dyDescent="0.35">
      <c r="A246" s="420" t="s">
        <v>10008</v>
      </c>
      <c r="B246" s="309" t="s">
        <v>8708</v>
      </c>
      <c r="C246" s="412"/>
      <c r="D246" s="246" t="s">
        <v>9782</v>
      </c>
      <c r="E246" s="224"/>
      <c r="F246" s="224"/>
      <c r="H246" s="224"/>
      <c r="I246" s="224"/>
      <c r="J246" s="224"/>
      <c r="K246" s="224"/>
      <c r="L246" s="224"/>
      <c r="M246" s="224"/>
      <c r="N246" s="224"/>
      <c r="O246" s="224"/>
      <c r="P246" s="224"/>
      <c r="Q246" s="224"/>
    </row>
    <row r="247" spans="1:17" ht="35.1" customHeight="1" x14ac:dyDescent="0.35">
      <c r="A247" s="421" t="s">
        <v>10009</v>
      </c>
      <c r="B247" s="285">
        <v>70</v>
      </c>
      <c r="C247" s="412"/>
      <c r="D247" s="246" t="s">
        <v>9754</v>
      </c>
      <c r="E247" s="224"/>
      <c r="F247" s="224"/>
      <c r="H247" s="224"/>
      <c r="I247" s="224"/>
      <c r="J247" s="224"/>
      <c r="K247" s="224"/>
      <c r="L247" s="224"/>
      <c r="M247" s="224"/>
      <c r="N247" s="224"/>
      <c r="O247" s="224"/>
      <c r="P247" s="224"/>
      <c r="Q247" s="224"/>
    </row>
    <row r="248" spans="1:17" ht="20.100000000000001" customHeight="1" x14ac:dyDescent="0.2">
      <c r="A248" s="225"/>
      <c r="B248" s="285">
        <f>'TANKS Calculations'!B154+459.67</f>
        <v>529.67000000000007</v>
      </c>
      <c r="C248" s="412"/>
      <c r="D248" s="246" t="s">
        <v>9755</v>
      </c>
      <c r="E248" s="224"/>
      <c r="F248" s="224"/>
      <c r="H248" s="224"/>
      <c r="I248" s="224"/>
      <c r="J248" s="224"/>
      <c r="K248" s="224"/>
      <c r="L248" s="224"/>
      <c r="M248" s="224"/>
      <c r="N248" s="224"/>
      <c r="O248" s="224"/>
      <c r="P248" s="224"/>
      <c r="Q248" s="224"/>
    </row>
    <row r="249" spans="1:17" ht="35.1" customHeight="1" x14ac:dyDescent="0.35">
      <c r="A249" s="422" t="s">
        <v>10010</v>
      </c>
      <c r="B249" s="285">
        <v>0.9</v>
      </c>
      <c r="C249" s="412"/>
      <c r="D249" s="246" t="s">
        <v>9881</v>
      </c>
      <c r="E249" s="224"/>
      <c r="F249" s="224"/>
      <c r="H249" s="224"/>
      <c r="I249" s="224"/>
    </row>
    <row r="250" spans="1:17" ht="30" customHeight="1" x14ac:dyDescent="0.2">
      <c r="A250" s="225" t="s">
        <v>9890</v>
      </c>
      <c r="B250" s="285">
        <v>0.8</v>
      </c>
      <c r="C250" s="412"/>
      <c r="D250" s="246" t="s">
        <v>9881</v>
      </c>
      <c r="E250" s="224"/>
      <c r="F250" s="224"/>
      <c r="H250" s="224"/>
      <c r="I250" s="224"/>
      <c r="J250" s="224"/>
      <c r="K250" s="224"/>
      <c r="L250" s="224"/>
      <c r="M250" s="224"/>
      <c r="N250" s="224"/>
      <c r="O250" s="224"/>
      <c r="P250" s="224"/>
      <c r="Q250" s="224"/>
    </row>
    <row r="251" spans="1:17" ht="30" customHeight="1" x14ac:dyDescent="0.2">
      <c r="A251" s="225" t="s">
        <v>9891</v>
      </c>
      <c r="B251" s="285">
        <f>'TANKS Calculations'!B156*(1+(0.00005912*'TANKS Calculations'!B151*'TANKS Calculations'!B154*LOG10('TANKS Calculations'!B153/114.7)))</f>
        <v>0.9</v>
      </c>
      <c r="C251" s="412"/>
      <c r="D251" s="246" t="s">
        <v>9881</v>
      </c>
      <c r="E251" s="224"/>
      <c r="G251" s="224"/>
      <c r="H251" s="224"/>
      <c r="I251" s="224"/>
      <c r="J251" s="224"/>
      <c r="K251" s="224"/>
      <c r="L251" s="224"/>
      <c r="M251" s="224"/>
      <c r="N251" s="224"/>
      <c r="O251" s="224"/>
      <c r="P251" s="224"/>
      <c r="Q251" s="224"/>
    </row>
    <row r="252" spans="1:17" ht="30" customHeight="1" x14ac:dyDescent="0.2">
      <c r="A252" s="422" t="s">
        <v>10011</v>
      </c>
      <c r="B252" s="245">
        <f>IF('TANKS Calculations'!B151&gt;=30,0.0178,0.0362)</f>
        <v>3.6200000000000003E-2</v>
      </c>
      <c r="C252" s="412"/>
      <c r="D252" s="246" t="s">
        <v>9881</v>
      </c>
      <c r="E252" s="224"/>
      <c r="G252" s="224"/>
      <c r="H252" s="224"/>
      <c r="I252" s="224"/>
      <c r="J252" s="224"/>
      <c r="K252" s="224"/>
      <c r="L252" s="224"/>
      <c r="M252" s="224"/>
      <c r="N252" s="224"/>
      <c r="O252" s="224"/>
      <c r="P252" s="224"/>
      <c r="Q252" s="224"/>
    </row>
    <row r="253" spans="1:17" ht="30" customHeight="1" x14ac:dyDescent="0.2">
      <c r="A253" s="422" t="s">
        <v>10012</v>
      </c>
      <c r="B253" s="285">
        <f>IF('TANKS Calculations'!B151&gt;=30,1.187,1.0937)</f>
        <v>1.0936999999999999</v>
      </c>
      <c r="C253" s="412"/>
      <c r="D253" s="246" t="s">
        <v>9881</v>
      </c>
      <c r="E253" s="224"/>
      <c r="G253" s="224"/>
      <c r="H253" s="224"/>
      <c r="I253" s="224"/>
      <c r="J253" s="224"/>
      <c r="K253" s="224"/>
      <c r="L253" s="224"/>
      <c r="M253" s="224"/>
      <c r="N253" s="224"/>
      <c r="O253" s="224"/>
      <c r="P253" s="224"/>
      <c r="Q253" s="224"/>
    </row>
    <row r="254" spans="1:17" ht="30" customHeight="1" x14ac:dyDescent="0.2">
      <c r="A254" s="422" t="s">
        <v>10013</v>
      </c>
      <c r="B254" s="285">
        <f>IF('TANKS Calculations'!B151&gt;=30,23.931,25.724)</f>
        <v>25.724</v>
      </c>
      <c r="C254" s="412"/>
      <c r="D254" s="246" t="s">
        <v>9881</v>
      </c>
      <c r="E254" s="224"/>
      <c r="G254" s="224"/>
      <c r="H254" s="224"/>
      <c r="I254" s="224"/>
      <c r="J254" s="224"/>
      <c r="K254" s="224"/>
      <c r="L254" s="224"/>
      <c r="M254" s="224"/>
      <c r="N254" s="224"/>
      <c r="O254" s="224"/>
      <c r="P254" s="224"/>
      <c r="Q254" s="224"/>
    </row>
    <row r="255" spans="1:17" ht="35.1" customHeight="1" x14ac:dyDescent="0.35">
      <c r="A255" s="225" t="s">
        <v>9892</v>
      </c>
      <c r="B255" s="285">
        <f>('TANKS Calculations'!B159*'TANKS Calculations'!B158*(('TANKS Calculations'!B153)^'TANKS Calculations'!B160))*EXP(('TANKS Calculations'!B161*'TANKS Calculations'!B151)/('TANKS Calculations'!B155))</f>
        <v>0.61609268022449837</v>
      </c>
      <c r="C255" s="412"/>
      <c r="D255" s="246" t="s">
        <v>9881</v>
      </c>
      <c r="E255" s="224"/>
      <c r="G255" s="224"/>
      <c r="H255" s="224"/>
      <c r="I255" s="224"/>
      <c r="J255" s="224"/>
      <c r="K255" s="224"/>
      <c r="L255" s="224"/>
      <c r="M255" s="224"/>
      <c r="N255" s="224"/>
      <c r="O255" s="224"/>
      <c r="P255" s="224"/>
      <c r="Q255" s="224"/>
    </row>
    <row r="256" spans="1:17" ht="42.75" x14ac:dyDescent="0.2">
      <c r="A256" s="225" t="s">
        <v>9893</v>
      </c>
      <c r="B256" s="310">
        <v>2.635184989986297E-3</v>
      </c>
      <c r="C256" s="412"/>
      <c r="D256" s="246" t="s">
        <v>9886</v>
      </c>
      <c r="E256" s="224"/>
      <c r="G256" s="224"/>
      <c r="H256" s="224"/>
      <c r="I256" s="224"/>
      <c r="J256" s="224"/>
      <c r="K256" s="224"/>
      <c r="L256" s="224"/>
      <c r="M256" s="224"/>
      <c r="N256" s="224"/>
      <c r="O256" s="224"/>
      <c r="P256" s="224"/>
      <c r="Q256" s="224"/>
    </row>
    <row r="257" spans="1:17" ht="30" customHeight="1" thickBot="1" x14ac:dyDescent="0.25">
      <c r="A257" s="247" t="s">
        <v>9894</v>
      </c>
      <c r="B257" s="261">
        <f>'TANKS Calculations'!B162*'TANKS Calculations'!B17*IF(B12="Floating",'TANKS Calculations'!B76,'TANKS Calculations'!B64)*'TANKS Calculations'!B163</f>
        <v>0</v>
      </c>
      <c r="C257" s="413"/>
      <c r="D257" s="249" t="s">
        <v>9895</v>
      </c>
      <c r="E257" s="224"/>
      <c r="G257" s="224"/>
      <c r="H257" s="224"/>
      <c r="I257" s="224"/>
      <c r="J257" s="224"/>
      <c r="K257" s="224"/>
      <c r="L257" s="224"/>
      <c r="M257" s="224"/>
      <c r="N257" s="224"/>
      <c r="O257" s="224"/>
      <c r="P257" s="224"/>
      <c r="Q257" s="224"/>
    </row>
    <row r="258" spans="1:17" ht="30" customHeight="1" thickBot="1" x14ac:dyDescent="0.3">
      <c r="A258" s="161" t="s">
        <v>9896</v>
      </c>
      <c r="B258" s="312">
        <f>IF(OR(,ISBLANK(C240),C240="No",C241="Computer Simulation Modeling",C241="Direct Measurement"),0,IF(C241="Laboratory GOR",'TANKS Calculations'!B148*'TANKS Calculations'!B17*'TANKS Calculations'!B150*'TANKS Calculations'!B149,'TANKS Calculations'!B164*'TANKS Calculations'!B157))</f>
        <v>0</v>
      </c>
      <c r="C258" s="414"/>
      <c r="D258" s="313" t="s">
        <v>9895</v>
      </c>
      <c r="E258" s="224"/>
      <c r="F258" s="224"/>
      <c r="G258" s="224"/>
      <c r="H258" s="224"/>
      <c r="I258" s="224"/>
      <c r="J258" s="224"/>
      <c r="K258" s="224"/>
      <c r="L258" s="224"/>
      <c r="M258" s="224"/>
      <c r="N258" s="224"/>
      <c r="O258" s="224"/>
      <c r="P258" s="224"/>
      <c r="Q258" s="224"/>
    </row>
    <row r="259" spans="1:17" ht="30" customHeight="1" thickBot="1" x14ac:dyDescent="0.25">
      <c r="A259" s="1376" t="s">
        <v>8411</v>
      </c>
      <c r="B259" s="1376"/>
      <c r="C259" s="1376"/>
      <c r="D259" s="1376"/>
      <c r="E259" s="356"/>
      <c r="F259" s="224"/>
      <c r="G259" s="224"/>
    </row>
    <row r="260" spans="1:17" ht="44.25" customHeight="1" thickBot="1" x14ac:dyDescent="0.3">
      <c r="A260" s="1352" t="s">
        <v>9897</v>
      </c>
      <c r="B260" s="1358"/>
      <c r="C260" s="1358"/>
      <c r="D260" s="1359"/>
      <c r="E260" s="355"/>
      <c r="F260" s="224"/>
      <c r="G260" s="224"/>
      <c r="H260" s="224"/>
      <c r="I260" s="224"/>
      <c r="J260" s="224"/>
      <c r="K260" s="224"/>
      <c r="L260" s="224"/>
      <c r="M260" s="224"/>
      <c r="N260" s="224"/>
      <c r="O260" s="224"/>
      <c r="P260" s="224"/>
      <c r="Q260" s="224"/>
    </row>
    <row r="261" spans="1:17" ht="20.100000000000001" customHeight="1" thickBot="1" x14ac:dyDescent="0.3">
      <c r="A261" s="152" t="s">
        <v>9685</v>
      </c>
      <c r="B261" s="153" t="s">
        <v>9686</v>
      </c>
      <c r="C261" s="154" t="s">
        <v>9687</v>
      </c>
      <c r="D261" s="155" t="s">
        <v>9688</v>
      </c>
      <c r="E261" s="224"/>
      <c r="F261" s="224"/>
      <c r="G261" s="224"/>
      <c r="H261" s="224"/>
      <c r="I261" s="224"/>
      <c r="J261" s="224"/>
      <c r="K261" s="224"/>
      <c r="L261" s="224"/>
      <c r="M261" s="224"/>
      <c r="N261" s="224"/>
      <c r="O261" s="224"/>
      <c r="P261" s="224"/>
      <c r="Q261" s="224"/>
    </row>
    <row r="262" spans="1:17" ht="20.100000000000001" customHeight="1" x14ac:dyDescent="0.2">
      <c r="A262" s="266" t="s">
        <v>9898</v>
      </c>
      <c r="B262" s="267" t="s">
        <v>8708</v>
      </c>
      <c r="C262" s="386"/>
      <c r="D262" s="268" t="s">
        <v>9689</v>
      </c>
      <c r="E262" s="224"/>
      <c r="F262" s="224"/>
      <c r="G262" s="224"/>
      <c r="H262" s="224"/>
      <c r="I262" s="224"/>
      <c r="J262" s="224"/>
      <c r="K262" s="224"/>
      <c r="L262" s="224"/>
      <c r="M262" s="224"/>
      <c r="N262" s="224"/>
      <c r="O262" s="224"/>
      <c r="P262" s="224"/>
      <c r="Q262" s="224"/>
    </row>
    <row r="263" spans="1:17" ht="35.1" customHeight="1" x14ac:dyDescent="0.35">
      <c r="A263" s="256" t="s">
        <v>9899</v>
      </c>
      <c r="B263" s="291">
        <f>'TANKS Calculations'!B17</f>
        <v>0</v>
      </c>
      <c r="C263" s="397"/>
      <c r="D263" s="259" t="s">
        <v>9728</v>
      </c>
      <c r="E263" s="224"/>
      <c r="F263" s="224"/>
      <c r="G263" s="224"/>
      <c r="H263" s="224"/>
      <c r="I263" s="224"/>
      <c r="J263" s="224"/>
      <c r="K263" s="224"/>
      <c r="L263" s="224"/>
      <c r="M263" s="224"/>
      <c r="N263" s="224"/>
      <c r="O263" s="224"/>
      <c r="P263" s="224"/>
      <c r="Q263" s="224"/>
    </row>
    <row r="264" spans="1:17" ht="35.1" customHeight="1" x14ac:dyDescent="0.35">
      <c r="A264" s="256" t="s">
        <v>9900</v>
      </c>
      <c r="B264" s="301" t="s">
        <v>8708</v>
      </c>
      <c r="C264" s="397"/>
      <c r="D264" s="259" t="s">
        <v>9901</v>
      </c>
      <c r="E264" s="224"/>
      <c r="F264" s="224"/>
      <c r="G264" s="224"/>
      <c r="H264" s="224"/>
      <c r="I264" s="224"/>
      <c r="J264" s="224"/>
      <c r="K264" s="224"/>
      <c r="L264" s="224"/>
      <c r="M264" s="224"/>
      <c r="N264" s="224"/>
      <c r="O264" s="224"/>
      <c r="P264" s="224"/>
      <c r="Q264" s="224"/>
    </row>
    <row r="265" spans="1:17" ht="35.1" customHeight="1" thickBot="1" x14ac:dyDescent="0.4">
      <c r="A265" s="349" t="s">
        <v>10001</v>
      </c>
      <c r="B265" s="301" t="s">
        <v>8708</v>
      </c>
      <c r="C265" s="397"/>
      <c r="D265" s="259" t="s">
        <v>9689</v>
      </c>
      <c r="E265" s="224"/>
      <c r="F265" s="224"/>
      <c r="G265" s="224"/>
      <c r="H265" s="224"/>
      <c r="I265" s="224"/>
      <c r="J265" s="224"/>
      <c r="K265" s="224"/>
      <c r="L265" s="224"/>
      <c r="M265" s="224"/>
      <c r="N265" s="224"/>
      <c r="O265" s="224"/>
      <c r="P265" s="224"/>
      <c r="Q265" s="224"/>
    </row>
    <row r="266" spans="1:17" ht="30" customHeight="1" x14ac:dyDescent="0.25">
      <c r="A266" s="162" t="s">
        <v>9902</v>
      </c>
      <c r="B266" s="238">
        <f>IFERROR(IF(C262="yes",1,0)*0.024*IF(B12="Fixed",'TANKS Calculations'!B64,'TANKS Calculations'!B76)*'TANKS Calculations'!B51*('TANKS Calculations'!B166-('TANKS Calculations'!B167*'TANKS Calculations'!B168/4))/'TANKS Calculations'!B166,0)</f>
        <v>0</v>
      </c>
      <c r="C266" s="415"/>
      <c r="D266" s="314" t="s">
        <v>9903</v>
      </c>
      <c r="E266" s="224"/>
      <c r="F266" s="224"/>
      <c r="G266" s="224"/>
      <c r="H266" s="224"/>
      <c r="I266" s="224"/>
      <c r="J266" s="224"/>
      <c r="K266" s="224"/>
      <c r="L266" s="224"/>
      <c r="M266" s="224"/>
      <c r="N266" s="224"/>
      <c r="O266" s="224"/>
      <c r="P266" s="224"/>
      <c r="Q266" s="224"/>
    </row>
    <row r="267" spans="1:17" ht="20.100000000000001" customHeight="1" thickBot="1" x14ac:dyDescent="0.25">
      <c r="A267" s="230"/>
      <c r="B267" s="290">
        <f>'TANKS Calculations'!B169*'TANKS Calculations'!B166*0.042</f>
        <v>0</v>
      </c>
      <c r="C267" s="416"/>
      <c r="D267" s="231" t="s">
        <v>9895</v>
      </c>
      <c r="E267" s="355"/>
      <c r="F267" s="224"/>
      <c r="G267" s="224"/>
      <c r="H267" s="224"/>
      <c r="I267" s="224"/>
      <c r="J267" s="224"/>
      <c r="K267" s="224"/>
      <c r="L267" s="224"/>
      <c r="M267" s="224"/>
      <c r="N267" s="224"/>
      <c r="O267" s="224"/>
      <c r="P267" s="224"/>
      <c r="Q267" s="224"/>
    </row>
    <row r="268" spans="1:17" ht="30" customHeight="1" thickBot="1" x14ac:dyDescent="0.25">
      <c r="A268" s="1376" t="s">
        <v>8411</v>
      </c>
      <c r="B268" s="1376"/>
      <c r="C268" s="1376"/>
      <c r="D268" s="1376"/>
      <c r="E268" s="1377"/>
      <c r="F268" s="224"/>
      <c r="G268" s="224"/>
      <c r="H268" s="224"/>
    </row>
    <row r="269" spans="1:17" ht="45" customHeight="1" thickBot="1" x14ac:dyDescent="0.3">
      <c r="A269" s="1352" t="s">
        <v>9904</v>
      </c>
      <c r="B269" s="1358"/>
      <c r="C269" s="1358"/>
      <c r="D269" s="1358"/>
      <c r="E269" s="1359"/>
      <c r="F269" s="224"/>
      <c r="G269" s="224"/>
      <c r="H269" s="224"/>
      <c r="I269" s="224"/>
      <c r="J269" s="224"/>
      <c r="K269" s="224"/>
      <c r="L269" s="224"/>
      <c r="M269" s="224"/>
      <c r="N269" s="224"/>
      <c r="O269" s="224"/>
      <c r="P269" s="224"/>
      <c r="Q269" s="224"/>
    </row>
    <row r="270" spans="1:17" ht="20.100000000000001" customHeight="1" x14ac:dyDescent="0.25">
      <c r="A270" s="163" t="s">
        <v>9905</v>
      </c>
      <c r="B270" s="164" t="s">
        <v>9686</v>
      </c>
      <c r="C270" s="165" t="s">
        <v>9688</v>
      </c>
      <c r="D270" s="164" t="s">
        <v>9686</v>
      </c>
      <c r="E270" s="165" t="s">
        <v>9688</v>
      </c>
      <c r="F270" s="224"/>
      <c r="G270" s="224"/>
      <c r="H270" s="224"/>
      <c r="I270" s="224"/>
      <c r="J270" s="224"/>
      <c r="K270" s="224"/>
      <c r="L270" s="224"/>
      <c r="M270" s="224"/>
      <c r="N270" s="224"/>
      <c r="O270" s="224"/>
      <c r="P270" s="224"/>
      <c r="Q270" s="224"/>
    </row>
    <row r="271" spans="1:17" ht="35.1" customHeight="1" x14ac:dyDescent="0.35">
      <c r="A271" s="284" t="s">
        <v>9906</v>
      </c>
      <c r="B271" s="285">
        <f>IF(B12="Fixed",365*'TANKS Calculations'!B61*'TANKS Calculations'!B63*'TANKS Calculations'!B66*'TANKS Calculations'!B65*'TANKS Calculations'!B53,0)</f>
        <v>0</v>
      </c>
      <c r="C271" s="246" t="s">
        <v>9895</v>
      </c>
      <c r="D271" s="285">
        <f>B271/2000</f>
        <v>0</v>
      </c>
      <c r="E271" s="246" t="s">
        <v>9907</v>
      </c>
      <c r="F271" s="224"/>
      <c r="G271" s="224"/>
      <c r="H271" s="224"/>
      <c r="I271" s="224"/>
      <c r="J271" s="224"/>
      <c r="K271" s="224"/>
      <c r="L271" s="224"/>
      <c r="M271" s="224"/>
      <c r="N271" s="224"/>
      <c r="O271" s="224"/>
      <c r="P271" s="224"/>
      <c r="Q271" s="224"/>
    </row>
    <row r="272" spans="1:17" ht="35.1" customHeight="1" x14ac:dyDescent="0.35">
      <c r="A272" s="284" t="s">
        <v>9908</v>
      </c>
      <c r="B272" s="285">
        <f>'TANKS Calculations'!B165</f>
        <v>0</v>
      </c>
      <c r="C272" s="246" t="s">
        <v>9895</v>
      </c>
      <c r="D272" s="285">
        <f>B272/2000</f>
        <v>0</v>
      </c>
      <c r="E272" s="246" t="s">
        <v>9907</v>
      </c>
      <c r="F272" s="224"/>
      <c r="G272" s="224"/>
      <c r="H272" s="224"/>
      <c r="I272" s="224"/>
      <c r="J272" s="224"/>
      <c r="K272" s="224"/>
      <c r="L272" s="224"/>
      <c r="M272" s="224"/>
      <c r="N272" s="224"/>
      <c r="O272" s="224"/>
      <c r="P272" s="224"/>
      <c r="Q272" s="224"/>
    </row>
    <row r="273" spans="1:17" ht="35.1" customHeight="1" x14ac:dyDescent="0.35">
      <c r="A273" s="284" t="s">
        <v>9909</v>
      </c>
      <c r="B273" s="285">
        <f>IF(C262="Yes",IF(B12="Fixed",'TANKS Calculations'!B170*'TANKS Calculations'!B53,0),0)</f>
        <v>0</v>
      </c>
      <c r="C273" s="246" t="s">
        <v>9895</v>
      </c>
      <c r="D273" s="252">
        <f>B273/2000</f>
        <v>0</v>
      </c>
      <c r="E273" s="227" t="s">
        <v>9907</v>
      </c>
      <c r="F273" s="224"/>
      <c r="G273" s="224"/>
      <c r="H273" s="224"/>
      <c r="I273" s="224"/>
      <c r="J273" s="224"/>
      <c r="K273" s="224"/>
      <c r="L273" s="224"/>
      <c r="M273" s="224"/>
      <c r="N273" s="224"/>
      <c r="O273" s="224"/>
      <c r="P273" s="224"/>
      <c r="Q273" s="224"/>
    </row>
    <row r="274" spans="1:17" ht="35.1" customHeight="1" x14ac:dyDescent="0.35">
      <c r="A274" s="233" t="s">
        <v>9910</v>
      </c>
      <c r="B274" s="252">
        <f>IF(B12="Fixed",'TANKS Calculations'!B20*'TANKS Calculations'!B21*'TANKS Calculations'!B4*'TANKS Calculations'!B63*'TANKS Calculations'!B68*'TANKS Calculations'!B53,0)</f>
        <v>0</v>
      </c>
      <c r="C274" s="227" t="s">
        <v>9895</v>
      </c>
      <c r="D274" s="252">
        <f>B274/2000</f>
        <v>0</v>
      </c>
      <c r="E274" s="227" t="s">
        <v>9907</v>
      </c>
      <c r="F274" s="224"/>
      <c r="G274" s="224"/>
      <c r="H274" s="224"/>
      <c r="I274" s="224"/>
      <c r="J274" s="224"/>
      <c r="K274" s="224"/>
      <c r="L274" s="224"/>
      <c r="M274" s="224"/>
      <c r="N274" s="224"/>
      <c r="O274" s="224"/>
      <c r="P274" s="224"/>
      <c r="Q274" s="224"/>
    </row>
    <row r="275" spans="1:17" ht="35.1" customHeight="1" thickBot="1" x14ac:dyDescent="0.35">
      <c r="A275" s="166" t="s">
        <v>9911</v>
      </c>
      <c r="B275" s="290">
        <f>B271+B273+B274</f>
        <v>0</v>
      </c>
      <c r="C275" s="231" t="s">
        <v>9895</v>
      </c>
      <c r="D275" s="290">
        <f>B275/2000</f>
        <v>0</v>
      </c>
      <c r="E275" s="231" t="s">
        <v>9907</v>
      </c>
      <c r="F275" s="224"/>
      <c r="G275" s="224"/>
      <c r="H275" s="224"/>
      <c r="I275" s="224"/>
      <c r="J275" s="224"/>
      <c r="K275" s="224"/>
      <c r="L275" s="224"/>
      <c r="M275" s="224"/>
      <c r="N275" s="224"/>
      <c r="O275" s="224"/>
      <c r="P275" s="224"/>
      <c r="Q275" s="224"/>
    </row>
    <row r="276" spans="1:17" ht="45" customHeight="1" thickBot="1" x14ac:dyDescent="0.3">
      <c r="A276" s="1352" t="s">
        <v>9912</v>
      </c>
      <c r="B276" s="1358"/>
      <c r="C276" s="1358"/>
      <c r="D276" s="1358"/>
      <c r="E276" s="1359"/>
      <c r="F276" s="224"/>
      <c r="G276" s="224"/>
      <c r="H276" s="224"/>
      <c r="I276" s="224"/>
      <c r="J276" s="224"/>
      <c r="K276" s="224"/>
      <c r="L276" s="224"/>
      <c r="M276" s="224"/>
      <c r="N276" s="224"/>
      <c r="O276" s="224"/>
      <c r="P276" s="224"/>
      <c r="Q276" s="224"/>
    </row>
    <row r="277" spans="1:17" ht="20.100000000000001" customHeight="1" thickBot="1" x14ac:dyDescent="0.3">
      <c r="A277" s="167" t="s">
        <v>9905</v>
      </c>
      <c r="B277" s="168" t="s">
        <v>9686</v>
      </c>
      <c r="C277" s="169" t="s">
        <v>9688</v>
      </c>
      <c r="D277" s="168" t="s">
        <v>9686</v>
      </c>
      <c r="E277" s="169" t="s">
        <v>9688</v>
      </c>
      <c r="F277" s="224"/>
      <c r="G277" s="224"/>
      <c r="H277" s="224"/>
      <c r="I277" s="224"/>
      <c r="J277" s="224"/>
      <c r="K277" s="224"/>
      <c r="L277" s="224"/>
      <c r="M277" s="224"/>
      <c r="N277" s="224"/>
      <c r="O277" s="224"/>
      <c r="P277" s="224"/>
      <c r="Q277" s="224"/>
    </row>
    <row r="278" spans="1:17" ht="35.1" customHeight="1" x14ac:dyDescent="0.35">
      <c r="A278" s="237" t="s">
        <v>9913</v>
      </c>
      <c r="B278" s="315">
        <f>IF(B12="Floating",IFERROR(('TANKS Calculations'!B73+'TANKS Calculations'!B74*('TANKS Calculations'!B77^'TANKS Calculations'!B75))*'TANKS Calculations'!B8*'TANKS Calculations'!B78*'TANKS Calculations'!B76*'TANKS Calculations'!B4,0)*'TANKS Calculations'!B53,0)</f>
        <v>0</v>
      </c>
      <c r="C278" s="268" t="s">
        <v>9895</v>
      </c>
      <c r="D278" s="315">
        <f t="shared" ref="D278:D290" si="7">B278/2000</f>
        <v>0</v>
      </c>
      <c r="E278" s="268" t="s">
        <v>9907</v>
      </c>
      <c r="F278" s="224"/>
      <c r="G278" s="224"/>
      <c r="H278" s="224"/>
      <c r="I278" s="224"/>
      <c r="J278" s="224"/>
      <c r="K278" s="224"/>
      <c r="L278" s="224"/>
      <c r="M278" s="224"/>
      <c r="N278" s="224"/>
      <c r="O278" s="224"/>
      <c r="P278" s="224"/>
      <c r="Q278" s="224"/>
    </row>
    <row r="279" spans="1:17" ht="35.1" customHeight="1" x14ac:dyDescent="0.35">
      <c r="A279" s="284" t="s">
        <v>9914</v>
      </c>
      <c r="B279" s="316">
        <f>IF(B12="Floating",'TANKS Calculations'!B84*'TANKS Calculations'!B78*'TANKS Calculations'!B76*'TANKS Calculations'!B4*'TANKS Calculations'!B53,0)</f>
        <v>0</v>
      </c>
      <c r="C279" s="246" t="s">
        <v>9895</v>
      </c>
      <c r="D279" s="316">
        <f t="shared" si="7"/>
        <v>0</v>
      </c>
      <c r="E279" s="246" t="s">
        <v>9907</v>
      </c>
      <c r="F279" s="224"/>
      <c r="G279" s="224"/>
      <c r="H279" s="224"/>
      <c r="I279" s="224"/>
      <c r="J279" s="224"/>
      <c r="K279" s="224"/>
      <c r="L279" s="224"/>
      <c r="M279" s="224"/>
      <c r="N279" s="224"/>
      <c r="O279" s="224"/>
      <c r="P279" s="224"/>
      <c r="Q279" s="224"/>
    </row>
    <row r="280" spans="1:17" ht="35.1" customHeight="1" x14ac:dyDescent="0.35">
      <c r="A280" s="233" t="s">
        <v>9915</v>
      </c>
      <c r="B280" s="260">
        <f>IF(B12="Floating",IF(OR(C183="Yes",C68="External Floating Roof",C68="Domed/Covered External Floating Roof"),0,'TANKS Calculations'!B88*'TANKS Calculations'!B87*'TANKS Calculations'!B78*'TANKS Calculations'!B76*'TANKS Calculations'!B4*('TANKS Calculations'!B8^2))*'TANKS Calculations'!B53,0)</f>
        <v>0</v>
      </c>
      <c r="C280" s="227" t="s">
        <v>9895</v>
      </c>
      <c r="D280" s="260">
        <f t="shared" si="7"/>
        <v>0</v>
      </c>
      <c r="E280" s="227" t="s">
        <v>9907</v>
      </c>
      <c r="F280" s="224"/>
      <c r="G280" s="224"/>
      <c r="H280" s="224"/>
      <c r="I280" s="224"/>
      <c r="J280" s="224"/>
      <c r="K280" s="224"/>
      <c r="L280" s="224"/>
      <c r="M280" s="224"/>
      <c r="N280" s="224"/>
      <c r="O280" s="224"/>
      <c r="P280" s="224"/>
      <c r="Q280" s="224"/>
    </row>
    <row r="281" spans="1:17" ht="35.1" customHeight="1" thickBot="1" x14ac:dyDescent="0.4">
      <c r="A281" s="317" t="s">
        <v>9916</v>
      </c>
      <c r="B281" s="318">
        <f>B278+B279+B280</f>
        <v>0</v>
      </c>
      <c r="C281" s="231" t="s">
        <v>9895</v>
      </c>
      <c r="D281" s="318">
        <f t="shared" si="7"/>
        <v>0</v>
      </c>
      <c r="E281" s="231" t="s">
        <v>9907</v>
      </c>
      <c r="F281" s="224"/>
      <c r="G281" s="224"/>
      <c r="H281" s="224"/>
      <c r="I281" s="224"/>
      <c r="J281" s="224"/>
      <c r="K281" s="224"/>
      <c r="L281" s="224"/>
      <c r="M281" s="224"/>
      <c r="N281" s="224"/>
      <c r="O281" s="224"/>
      <c r="P281" s="224"/>
      <c r="Q281" s="224"/>
    </row>
    <row r="282" spans="1:17" ht="35.1" customHeight="1" x14ac:dyDescent="0.35">
      <c r="A282" s="237" t="s">
        <v>9908</v>
      </c>
      <c r="B282" s="315">
        <f>'TANKS Calculations'!B165</f>
        <v>0</v>
      </c>
      <c r="C282" s="268" t="s">
        <v>9895</v>
      </c>
      <c r="D282" s="315">
        <f t="shared" si="7"/>
        <v>0</v>
      </c>
      <c r="E282" s="268" t="s">
        <v>9907</v>
      </c>
      <c r="F282" s="224"/>
      <c r="G282" s="224"/>
      <c r="H282" s="224"/>
      <c r="I282" s="224"/>
      <c r="J282" s="224"/>
      <c r="K282" s="224"/>
      <c r="L282" s="224"/>
      <c r="M282" s="224"/>
      <c r="N282" s="224"/>
      <c r="O282" s="224"/>
      <c r="P282" s="224"/>
      <c r="Q282" s="224"/>
    </row>
    <row r="283" spans="1:17" ht="35.1" customHeight="1" x14ac:dyDescent="0.35">
      <c r="A283" s="284" t="s">
        <v>9917</v>
      </c>
      <c r="B283" s="316">
        <f>IFERROR(IF(B12="Floating",(0.943*'TANKS Calculations'!B17*'TANKS Calculations'!B80*'TANKS Calculations'!B83*(1+('TANKS Calculations'!B81*'TANKS Calculations'!B82/'TANKS Calculations'!B8))/'TANKS Calculations'!B8)*'TANKS Calculations'!B53,0),0)</f>
        <v>0</v>
      </c>
      <c r="C283" s="246" t="s">
        <v>9895</v>
      </c>
      <c r="D283" s="316">
        <f>B283/2000</f>
        <v>0</v>
      </c>
      <c r="E283" s="246" t="s">
        <v>9907</v>
      </c>
      <c r="F283" s="224"/>
      <c r="G283" s="224"/>
      <c r="H283" s="224"/>
      <c r="I283" s="224"/>
      <c r="J283" s="224"/>
      <c r="K283" s="224"/>
      <c r="L283" s="224"/>
      <c r="M283" s="224"/>
      <c r="N283" s="224"/>
      <c r="O283" s="224"/>
      <c r="P283" s="224"/>
      <c r="Q283" s="224"/>
    </row>
    <row r="284" spans="1:17" ht="35.1" customHeight="1" x14ac:dyDescent="0.35">
      <c r="A284" s="284" t="s">
        <v>9909</v>
      </c>
      <c r="B284" s="285">
        <f>IFERROR(IF(B12="Floating",'TANKS Calculations'!B170*'TANKS Calculations'!B53,0),0)</f>
        <v>0</v>
      </c>
      <c r="C284" s="246" t="s">
        <v>9895</v>
      </c>
      <c r="D284" s="252">
        <f>B284/2000</f>
        <v>0</v>
      </c>
      <c r="E284" s="227" t="s">
        <v>9907</v>
      </c>
      <c r="F284" s="224"/>
      <c r="G284" s="224"/>
      <c r="H284" s="224"/>
      <c r="I284" s="224"/>
      <c r="J284" s="224"/>
      <c r="K284" s="224"/>
      <c r="L284" s="224"/>
      <c r="M284" s="224"/>
      <c r="N284" s="224"/>
      <c r="O284" s="224"/>
      <c r="P284" s="224"/>
      <c r="Q284" s="224"/>
    </row>
    <row r="285" spans="1:17" ht="35.1" customHeight="1" thickBot="1" x14ac:dyDescent="0.35">
      <c r="A285" s="166" t="s">
        <v>9918</v>
      </c>
      <c r="B285" s="318">
        <f>B281+B283+B284</f>
        <v>0</v>
      </c>
      <c r="C285" s="231" t="s">
        <v>9895</v>
      </c>
      <c r="D285" s="318">
        <f>B285/2000</f>
        <v>0</v>
      </c>
      <c r="E285" s="231" t="s">
        <v>9907</v>
      </c>
      <c r="F285" s="224"/>
      <c r="G285" s="224"/>
      <c r="H285" s="224"/>
      <c r="I285" s="224"/>
      <c r="J285" s="224"/>
      <c r="K285" s="224"/>
      <c r="L285" s="224"/>
      <c r="M285" s="224"/>
      <c r="N285" s="224"/>
      <c r="O285" s="224"/>
      <c r="P285" s="224"/>
      <c r="Q285" s="224"/>
    </row>
    <row r="286" spans="1:17" ht="35.1" customHeight="1" x14ac:dyDescent="0.35">
      <c r="A286" s="237" t="s">
        <v>9919</v>
      </c>
      <c r="B286" s="315">
        <f>IF(B12="Floating",0.57*'TANKS Calculations'!B101*'TANKS Calculations'!B97*'TANKS Calculations'!B96*'TANKS Calculations'!B53,0)</f>
        <v>0</v>
      </c>
      <c r="C286" s="268" t="s">
        <v>9895</v>
      </c>
      <c r="D286" s="315">
        <f>B286/2000</f>
        <v>0</v>
      </c>
      <c r="E286" s="268" t="s">
        <v>9907</v>
      </c>
      <c r="F286" s="224"/>
      <c r="G286" s="224"/>
      <c r="H286" s="224"/>
      <c r="I286" s="224"/>
      <c r="J286" s="224"/>
      <c r="K286" s="224"/>
      <c r="L286" s="224"/>
      <c r="M286" s="224"/>
      <c r="N286" s="224"/>
      <c r="O286" s="224"/>
      <c r="P286" s="224"/>
      <c r="Q286" s="224"/>
    </row>
    <row r="287" spans="1:17" ht="35.1" customHeight="1" x14ac:dyDescent="0.35">
      <c r="A287" s="284" t="s">
        <v>9920</v>
      </c>
      <c r="B287" s="316">
        <f>IF(B12="Floating",MIN(IF(C68="Internal Floating Roof",IF(ISBLANK(C203),365,'TANKS Calculations'!B101)*'TANKS Calculations'!B61*'TANKS Calculations'!B98*'TANKS Calculations'!B99*'TANKS Calculations'!B100,0.57*'TANKS Calculations'!B101*'TANKS Calculations'!B78*'TANKS Calculations'!B96*'TANKS Calculations'!B8),'TANKS Calculations'!B91)*'TANKS Calculations'!B53,0)</f>
        <v>0</v>
      </c>
      <c r="C287" s="246" t="s">
        <v>9895</v>
      </c>
      <c r="D287" s="316">
        <f t="shared" si="7"/>
        <v>0</v>
      </c>
      <c r="E287" s="246" t="s">
        <v>9907</v>
      </c>
      <c r="F287" s="224"/>
      <c r="G287" s="224"/>
      <c r="H287" s="224"/>
      <c r="I287" s="224"/>
      <c r="J287" s="224"/>
      <c r="K287" s="224"/>
      <c r="L287" s="224"/>
      <c r="M287" s="224"/>
      <c r="N287" s="224"/>
      <c r="O287" s="224"/>
      <c r="P287" s="224"/>
      <c r="Q287" s="224"/>
    </row>
    <row r="288" spans="1:17" ht="35.1" customHeight="1" x14ac:dyDescent="0.35">
      <c r="A288" s="284" t="s">
        <v>9921</v>
      </c>
      <c r="B288" s="316">
        <f>IF(B12="Floating",IFERROR(IF(C262="Yes",0.024*'TANKS Calculations'!B96*'TANKS Calculations'!B93*('TANKS Calculations'!B166-(0.25*'TANKS Calculations'!B167*'TANKS Calculations'!B168))/'TANKS Calculations'!B166,'TANKS Calculations'!B106*'TANKS Calculations'!B104*'TANKS Calculations'!B96*'TANKS Calculations'!B105),0),0)*'TANKS Calculations'!B53</f>
        <v>0</v>
      </c>
      <c r="C288" s="246" t="s">
        <v>9895</v>
      </c>
      <c r="D288" s="316">
        <f>B288/2000</f>
        <v>0</v>
      </c>
      <c r="E288" s="246" t="s">
        <v>9907</v>
      </c>
      <c r="F288" s="224"/>
      <c r="G288" s="224"/>
      <c r="H288" s="224"/>
      <c r="I288" s="224"/>
      <c r="J288" s="224"/>
      <c r="K288" s="224"/>
      <c r="L288" s="224"/>
      <c r="M288" s="224"/>
      <c r="N288" s="224"/>
      <c r="O288" s="224"/>
      <c r="P288" s="224"/>
      <c r="Q288" s="224"/>
    </row>
    <row r="289" spans="1:17" ht="35.1" customHeight="1" x14ac:dyDescent="0.35">
      <c r="A289" s="233" t="s">
        <v>9922</v>
      </c>
      <c r="B289" s="260">
        <f>IF(B12="Floating",IF(OR(C190="Drain dry",C180="Drain-dry"),MIN(0.042*'TANKS Calculations'!B80*'TANKS Calculations'!B102*'TANKS Calculations'!B83,'TANKS Calculations'!B91,'TANKS Calculations'!B103),0)*'TANKS Calculations'!B53,0)</f>
        <v>0</v>
      </c>
      <c r="C289" s="246" t="s">
        <v>9895</v>
      </c>
      <c r="D289" s="316">
        <f>B289/2000</f>
        <v>0</v>
      </c>
      <c r="E289" s="246" t="s">
        <v>9907</v>
      </c>
      <c r="F289" s="224"/>
      <c r="G289" s="224"/>
      <c r="H289" s="224"/>
      <c r="I289" s="224"/>
      <c r="J289" s="224"/>
      <c r="K289" s="224"/>
      <c r="L289" s="224"/>
      <c r="M289" s="224"/>
      <c r="N289" s="224"/>
      <c r="O289" s="224"/>
      <c r="P289" s="224"/>
      <c r="Q289" s="224"/>
    </row>
    <row r="290" spans="1:17" ht="35.1" customHeight="1" thickBot="1" x14ac:dyDescent="0.35">
      <c r="A290" s="170" t="s">
        <v>9923</v>
      </c>
      <c r="B290" s="319">
        <f>B286+B287+B288+B289</f>
        <v>0</v>
      </c>
      <c r="C290" s="264" t="s">
        <v>9895</v>
      </c>
      <c r="D290" s="319">
        <f t="shared" si="7"/>
        <v>0</v>
      </c>
      <c r="E290" s="264" t="s">
        <v>9907</v>
      </c>
      <c r="F290" s="224"/>
      <c r="G290" s="224"/>
      <c r="H290" s="224"/>
      <c r="I290" s="224"/>
      <c r="J290" s="224"/>
      <c r="K290" s="224"/>
      <c r="L290" s="224"/>
      <c r="M290" s="224"/>
      <c r="N290" s="224"/>
      <c r="O290" s="224"/>
      <c r="P290" s="224"/>
      <c r="Q290" s="224"/>
    </row>
    <row r="291" spans="1:17" ht="35.1" customHeight="1" thickBot="1" x14ac:dyDescent="0.3">
      <c r="A291" s="166" t="s">
        <v>9924</v>
      </c>
      <c r="B291" s="318">
        <f>B285+B290</f>
        <v>0</v>
      </c>
      <c r="C291" s="231" t="s">
        <v>9895</v>
      </c>
      <c r="D291" s="318">
        <f>B291/2000</f>
        <v>0</v>
      </c>
      <c r="E291" s="231" t="s">
        <v>9907</v>
      </c>
      <c r="F291" s="224"/>
      <c r="G291" s="224"/>
      <c r="H291" s="224"/>
      <c r="I291" s="224"/>
      <c r="J291" s="224"/>
      <c r="K291" s="224"/>
      <c r="L291" s="224"/>
      <c r="M291" s="224"/>
      <c r="N291" s="224"/>
      <c r="O291" s="224"/>
      <c r="P291" s="224"/>
      <c r="Q291" s="224"/>
    </row>
    <row r="292" spans="1:17" ht="41.25" customHeight="1" thickBot="1" x14ac:dyDescent="0.3">
      <c r="A292" s="1352" t="s">
        <v>9925</v>
      </c>
      <c r="B292" s="1358"/>
      <c r="C292" s="1358"/>
      <c r="D292" s="1358"/>
      <c r="E292" s="1359"/>
      <c r="F292" s="224"/>
      <c r="G292" s="224"/>
      <c r="H292" s="224"/>
      <c r="I292" s="224"/>
      <c r="J292" s="224"/>
      <c r="K292" s="224"/>
      <c r="L292" s="224"/>
      <c r="M292" s="224"/>
      <c r="N292" s="224"/>
      <c r="O292" s="224"/>
      <c r="P292" s="224"/>
      <c r="Q292" s="224"/>
    </row>
    <row r="293" spans="1:17" ht="20.100000000000001" customHeight="1" thickBot="1" x14ac:dyDescent="0.3">
      <c r="A293" s="167" t="s">
        <v>9905</v>
      </c>
      <c r="B293" s="168" t="s">
        <v>9686</v>
      </c>
      <c r="C293" s="169" t="s">
        <v>9688</v>
      </c>
      <c r="D293" s="168" t="s">
        <v>9686</v>
      </c>
      <c r="E293" s="169" t="s">
        <v>9688</v>
      </c>
      <c r="F293" s="224"/>
      <c r="G293" s="224"/>
      <c r="H293" s="224"/>
      <c r="I293" s="224"/>
      <c r="J293" s="224"/>
      <c r="K293" s="224"/>
      <c r="L293" s="224"/>
      <c r="M293" s="224"/>
      <c r="N293" s="224"/>
      <c r="O293" s="224"/>
      <c r="P293" s="224"/>
      <c r="Q293" s="224"/>
    </row>
    <row r="294" spans="1:17" ht="33" x14ac:dyDescent="0.35">
      <c r="A294" s="266" t="s">
        <v>9926</v>
      </c>
      <c r="B294" s="315">
        <f>IF('TANKS Calculations'!B119=0,0,'TANKS Calculations'!B124*'TANKS Calculations'!B128*'TANKS Calculations'!B120)*'TANKS Calculations'!B53</f>
        <v>0</v>
      </c>
      <c r="C294" s="268" t="s">
        <v>9927</v>
      </c>
      <c r="D294" s="315">
        <f>B294*'TANKS Calculations'!$B$119</f>
        <v>0</v>
      </c>
      <c r="E294" s="268" t="s">
        <v>9895</v>
      </c>
      <c r="F294" s="224"/>
      <c r="G294" s="224"/>
      <c r="H294" s="224"/>
      <c r="I294" s="224"/>
      <c r="J294" s="224"/>
      <c r="K294" s="224"/>
      <c r="L294" s="224"/>
      <c r="M294" s="224"/>
      <c r="N294" s="224"/>
      <c r="O294" s="224"/>
      <c r="P294" s="224"/>
      <c r="Q294" s="224"/>
    </row>
    <row r="295" spans="1:17" ht="33" x14ac:dyDescent="0.35">
      <c r="A295" s="228" t="s">
        <v>9928</v>
      </c>
      <c r="B295" s="260">
        <f>IF('TANKS Calculations'!B119=0,0,'TANKS Calculations'!B146+'TANKS Calculations'!B147)*'TANKS Calculations'!B53</f>
        <v>0</v>
      </c>
      <c r="C295" s="227" t="s">
        <v>9927</v>
      </c>
      <c r="D295" s="260">
        <f>B295*'TANKS Calculations'!$B$119</f>
        <v>0</v>
      </c>
      <c r="E295" s="227" t="s">
        <v>9895</v>
      </c>
      <c r="F295" s="224"/>
      <c r="G295" s="224"/>
      <c r="H295" s="224"/>
      <c r="I295" s="224"/>
      <c r="J295" s="224"/>
      <c r="K295" s="224"/>
      <c r="L295" s="224"/>
      <c r="M295" s="224"/>
      <c r="N295" s="224"/>
      <c r="O295" s="224"/>
      <c r="P295" s="224"/>
      <c r="Q295" s="224"/>
    </row>
    <row r="296" spans="1:17" ht="32.25" thickBot="1" x14ac:dyDescent="0.35">
      <c r="A296" s="171" t="s">
        <v>9929</v>
      </c>
      <c r="B296" s="318">
        <f>B294+B295</f>
        <v>0</v>
      </c>
      <c r="C296" s="231" t="s">
        <v>9927</v>
      </c>
      <c r="D296" s="318">
        <f>D294+D295</f>
        <v>0</v>
      </c>
      <c r="E296" s="231" t="s">
        <v>9895</v>
      </c>
      <c r="F296" s="224"/>
      <c r="G296" s="224"/>
      <c r="H296" s="224"/>
      <c r="I296" s="224"/>
      <c r="J296" s="224"/>
      <c r="K296" s="224"/>
      <c r="L296" s="224"/>
      <c r="M296" s="224"/>
      <c r="N296" s="224"/>
      <c r="O296" s="224"/>
      <c r="P296" s="224"/>
      <c r="Q296" s="224"/>
    </row>
    <row r="297" spans="1:17" ht="56.25" customHeight="1" thickBot="1" x14ac:dyDescent="0.3">
      <c r="A297" s="152" t="s">
        <v>9930</v>
      </c>
      <c r="B297" s="320">
        <f>D296+B291+B275</f>
        <v>0</v>
      </c>
      <c r="C297" s="313" t="s">
        <v>9895</v>
      </c>
      <c r="D297" s="320">
        <f>B297/2000</f>
        <v>0</v>
      </c>
      <c r="E297" s="313" t="s">
        <v>9907</v>
      </c>
      <c r="F297" s="224"/>
      <c r="G297" s="224"/>
      <c r="H297" s="224"/>
      <c r="I297" s="224"/>
      <c r="J297" s="224"/>
      <c r="K297" s="224"/>
      <c r="L297" s="224"/>
      <c r="M297" s="224"/>
      <c r="N297" s="224"/>
      <c r="O297" s="224"/>
      <c r="P297" s="224"/>
      <c r="Q297" s="224"/>
    </row>
    <row r="298" spans="1:17" ht="30" customHeight="1" thickBot="1" x14ac:dyDescent="0.25">
      <c r="A298" s="1376" t="s">
        <v>8411</v>
      </c>
      <c r="B298" s="1376"/>
      <c r="C298" s="1376"/>
      <c r="D298" s="1376"/>
      <c r="E298" s="1376"/>
      <c r="F298" s="224"/>
      <c r="G298" s="224"/>
      <c r="H298" s="224"/>
      <c r="I298" s="224"/>
      <c r="J298" s="224"/>
      <c r="K298" s="224"/>
      <c r="L298" s="224"/>
      <c r="M298" s="224"/>
      <c r="N298" s="224"/>
      <c r="O298" s="224"/>
      <c r="P298" s="224"/>
      <c r="Q298" s="224"/>
    </row>
    <row r="299" spans="1:17" ht="45" customHeight="1" thickBot="1" x14ac:dyDescent="0.3">
      <c r="A299" s="1352" t="s">
        <v>9931</v>
      </c>
      <c r="B299" s="1353"/>
      <c r="C299" s="1353"/>
      <c r="D299" s="1353"/>
      <c r="E299" s="1353"/>
      <c r="F299" s="1353"/>
      <c r="G299" s="1353"/>
      <c r="H299" s="1353"/>
      <c r="I299" s="1353"/>
      <c r="J299" s="1353"/>
      <c r="K299" s="1353"/>
      <c r="L299" s="1353"/>
      <c r="M299" s="1353"/>
      <c r="N299" s="1353"/>
      <c r="O299" s="1353"/>
      <c r="P299" s="1353"/>
      <c r="Q299" s="1354"/>
    </row>
    <row r="300" spans="1:17" ht="20.100000000000001" customHeight="1" x14ac:dyDescent="0.25">
      <c r="A300" s="146" t="s">
        <v>9502</v>
      </c>
      <c r="B300" s="147" t="s">
        <v>9503</v>
      </c>
      <c r="C300" s="148" t="s">
        <v>9504</v>
      </c>
      <c r="D300" s="148" t="s">
        <v>9505</v>
      </c>
      <c r="E300" s="148" t="s">
        <v>9506</v>
      </c>
      <c r="F300" s="148" t="s">
        <v>9507</v>
      </c>
      <c r="G300" s="148" t="s">
        <v>9508</v>
      </c>
      <c r="H300" s="148" t="s">
        <v>9509</v>
      </c>
      <c r="I300" s="148" t="s">
        <v>9510</v>
      </c>
      <c r="J300" s="148" t="s">
        <v>9511</v>
      </c>
      <c r="K300" s="150" t="s">
        <v>9512</v>
      </c>
      <c r="L300" s="148" t="s">
        <v>9513</v>
      </c>
      <c r="M300" s="148" t="s">
        <v>9514</v>
      </c>
      <c r="N300" s="150" t="s">
        <v>9515</v>
      </c>
      <c r="O300" s="148" t="s">
        <v>9516</v>
      </c>
      <c r="P300" s="148" t="s">
        <v>9517</v>
      </c>
      <c r="Q300" s="146" t="s">
        <v>1</v>
      </c>
    </row>
    <row r="301" spans="1:17" ht="20.100000000000001" customHeight="1" x14ac:dyDescent="0.2">
      <c r="A301" s="228" t="s">
        <v>9932</v>
      </c>
      <c r="B301" s="280" t="str">
        <f t="shared" ref="B301:P301" si="8">IF(ISBLANK(B18),"",B18)</f>
        <v/>
      </c>
      <c r="C301" s="280" t="str">
        <f t="shared" si="8"/>
        <v/>
      </c>
      <c r="D301" s="280" t="str">
        <f t="shared" si="8"/>
        <v/>
      </c>
      <c r="E301" s="280" t="str">
        <f t="shared" si="8"/>
        <v/>
      </c>
      <c r="F301" s="280" t="str">
        <f t="shared" si="8"/>
        <v/>
      </c>
      <c r="G301" s="280" t="str">
        <f t="shared" si="8"/>
        <v/>
      </c>
      <c r="H301" s="280" t="str">
        <f t="shared" si="8"/>
        <v/>
      </c>
      <c r="I301" s="280" t="str">
        <f t="shared" si="8"/>
        <v/>
      </c>
      <c r="J301" s="280" t="str">
        <f t="shared" si="8"/>
        <v/>
      </c>
      <c r="K301" s="280" t="str">
        <f t="shared" si="8"/>
        <v/>
      </c>
      <c r="L301" s="280" t="str">
        <f t="shared" si="8"/>
        <v/>
      </c>
      <c r="M301" s="280" t="str">
        <f t="shared" si="8"/>
        <v/>
      </c>
      <c r="N301" s="280" t="str">
        <f t="shared" si="8"/>
        <v/>
      </c>
      <c r="O301" s="280" t="str">
        <f t="shared" si="8"/>
        <v/>
      </c>
      <c r="P301" s="280" t="str">
        <f t="shared" si="8"/>
        <v/>
      </c>
      <c r="Q301" s="232"/>
    </row>
    <row r="302" spans="1:17" ht="20.100000000000001" customHeight="1" x14ac:dyDescent="0.2">
      <c r="A302" s="233" t="s">
        <v>9933</v>
      </c>
      <c r="B302" s="252" t="str">
        <f>IF(ISBLANK(B18),"",'TANKS Calculations'!H10)</f>
        <v/>
      </c>
      <c r="C302" s="252" t="str">
        <f>IF(ISBLANK(C18),"",'TANKS Calculations'!I10)</f>
        <v/>
      </c>
      <c r="D302" s="252" t="str">
        <f>IF(ISBLANK(D18),"",'TANKS Calculations'!J10)</f>
        <v/>
      </c>
      <c r="E302" s="252" t="str">
        <f>IF(ISBLANK(E18),"",'TANKS Calculations'!K10)</f>
        <v/>
      </c>
      <c r="F302" s="252" t="str">
        <f>IF(ISBLANK(F18),"",'TANKS Calculations'!L10)</f>
        <v/>
      </c>
      <c r="G302" s="252" t="str">
        <f>IF(ISBLANK(G18),"",'TANKS Calculations'!M10)</f>
        <v/>
      </c>
      <c r="H302" s="252" t="str">
        <f>IF(ISBLANK(H18),"",'TANKS Calculations'!N10)</f>
        <v/>
      </c>
      <c r="I302" s="252" t="str">
        <f>IF(ISBLANK(I18),"",'TANKS Calculations'!O10)</f>
        <v/>
      </c>
      <c r="J302" s="252" t="str">
        <f>IF(ISBLANK(J18),"",'TANKS Calculations'!P10)</f>
        <v/>
      </c>
      <c r="K302" s="252" t="str">
        <f>IF(ISBLANK(K18),"",'TANKS Calculations'!Q10)</f>
        <v/>
      </c>
      <c r="L302" s="252" t="str">
        <f>IF(ISBLANK(L18),"",'TANKS Calculations'!R10)</f>
        <v/>
      </c>
      <c r="M302" s="252" t="str">
        <f>IF(ISBLANK(M18),"",'TANKS Calculations'!S10)</f>
        <v/>
      </c>
      <c r="N302" s="252" t="str">
        <f>IF(ISBLANK(N18),"",'TANKS Calculations'!T10)</f>
        <v/>
      </c>
      <c r="O302" s="252" t="str">
        <f>IF(ISBLANK(O18),"",'TANKS Calculations'!U10)</f>
        <v/>
      </c>
      <c r="P302" s="252" t="str">
        <f>IF(ISBLANK(P18),"",'TANKS Calculations'!V10)</f>
        <v/>
      </c>
      <c r="Q302" s="288">
        <f>SUM(B302:P302)</f>
        <v>0</v>
      </c>
    </row>
    <row r="303" spans="1:17" ht="20.100000000000001" customHeight="1" x14ac:dyDescent="0.2">
      <c r="A303" s="233" t="s">
        <v>9934</v>
      </c>
      <c r="B303" s="277" t="str">
        <f>IF(ISBLANK(B18),"",'TANKS Calculations'!H22)</f>
        <v/>
      </c>
      <c r="C303" s="252" t="str">
        <f>IF(ISBLANK(C18),"",'TANKS Calculations'!I22)</f>
        <v/>
      </c>
      <c r="D303" s="252" t="str">
        <f>IF(ISBLANK(D18),"",'TANKS Calculations'!J22)</f>
        <v/>
      </c>
      <c r="E303" s="252" t="str">
        <f>IF(ISBLANK(E18),"",'TANKS Calculations'!K22)</f>
        <v/>
      </c>
      <c r="F303" s="252" t="str">
        <f>IF(ISBLANK(F18),"",'TANKS Calculations'!L22)</f>
        <v/>
      </c>
      <c r="G303" s="252" t="str">
        <f>IF(ISBLANK(G18),"",'TANKS Calculations'!M22)</f>
        <v/>
      </c>
      <c r="H303" s="252" t="str">
        <f>IF(ISBLANK(H18),"",'TANKS Calculations'!N22)</f>
        <v/>
      </c>
      <c r="I303" s="252" t="str">
        <f>IF(ISBLANK(I18),"",'TANKS Calculations'!O22)</f>
        <v/>
      </c>
      <c r="J303" s="252" t="str">
        <f>IF(ISBLANK(J18),"",'TANKS Calculations'!P22)</f>
        <v/>
      </c>
      <c r="K303" s="252" t="str">
        <f>IF(ISBLANK(K18),"",'TANKS Calculations'!Q22)</f>
        <v/>
      </c>
      <c r="L303" s="252" t="str">
        <f>IF(ISBLANK(L18),"",'TANKS Calculations'!R22)</f>
        <v/>
      </c>
      <c r="M303" s="252" t="str">
        <f>IF(ISBLANK(M18),"",'TANKS Calculations'!S22)</f>
        <v/>
      </c>
      <c r="N303" s="252" t="str">
        <f>IF(ISBLANK(N18),"",'TANKS Calculations'!T22)</f>
        <v/>
      </c>
      <c r="O303" s="252" t="str">
        <f>IF(ISBLANK(O18),"",'TANKS Calculations'!U22)</f>
        <v/>
      </c>
      <c r="P303" s="252" t="str">
        <f>IF(ISBLANK(P18),"",'TANKS Calculations'!V22)</f>
        <v/>
      </c>
      <c r="Q303" s="288">
        <f>SUM(B303:P303)</f>
        <v>0</v>
      </c>
    </row>
    <row r="304" spans="1:17" ht="20.100000000000001" customHeight="1" x14ac:dyDescent="0.2">
      <c r="A304" s="233" t="s">
        <v>9935</v>
      </c>
      <c r="B304" s="252" t="str">
        <f>IF(ISBLANK(B18),"",'TANKS Calculations'!H25)</f>
        <v/>
      </c>
      <c r="C304" s="252" t="str">
        <f>IF(ISBLANK(C18),"",'TANKS Calculations'!I25)</f>
        <v/>
      </c>
      <c r="D304" s="252" t="str">
        <f>IF(ISBLANK(D18),"",'TANKS Calculations'!J25)</f>
        <v/>
      </c>
      <c r="E304" s="252" t="str">
        <f>IF(ISBLANK(E18),"",'TANKS Calculations'!K25)</f>
        <v/>
      </c>
      <c r="F304" s="252" t="str">
        <f>IF(ISBLANK(F18),"",'TANKS Calculations'!L25)</f>
        <v/>
      </c>
      <c r="G304" s="252" t="str">
        <f>IF(ISBLANK(G18),"",'TANKS Calculations'!M25)</f>
        <v/>
      </c>
      <c r="H304" s="252" t="str">
        <f>IF(ISBLANK(H18),"",'TANKS Calculations'!N25)</f>
        <v/>
      </c>
      <c r="I304" s="252" t="str">
        <f>IF(ISBLANK(I18),"",'TANKS Calculations'!O25)</f>
        <v/>
      </c>
      <c r="J304" s="252" t="str">
        <f>IF(ISBLANK(J18),"",'TANKS Calculations'!P25)</f>
        <v/>
      </c>
      <c r="K304" s="252" t="str">
        <f>IF(ISBLANK(K18),"",'TANKS Calculations'!Q25)</f>
        <v/>
      </c>
      <c r="L304" s="252" t="str">
        <f>IF(ISBLANK(L18),"",'TANKS Calculations'!R25)</f>
        <v/>
      </c>
      <c r="M304" s="252" t="str">
        <f>IF(ISBLANK(M18),"",'TANKS Calculations'!S25)</f>
        <v/>
      </c>
      <c r="N304" s="252" t="str">
        <f>IF(ISBLANK(N18),"",'TANKS Calculations'!T25)</f>
        <v/>
      </c>
      <c r="O304" s="252" t="str">
        <f>IF(ISBLANK(O18),"",'TANKS Calculations'!U25)</f>
        <v/>
      </c>
      <c r="P304" s="252" t="str">
        <f>IF(ISBLANK(P18),"",'TANKS Calculations'!V25)</f>
        <v/>
      </c>
      <c r="Q304" s="288">
        <f>SUM(B304:P304)</f>
        <v>0</v>
      </c>
    </row>
    <row r="305" spans="1:17" ht="20.100000000000001" customHeight="1" thickBot="1" x14ac:dyDescent="0.25">
      <c r="A305" s="240" t="s">
        <v>9936</v>
      </c>
      <c r="B305" s="258" t="str">
        <f t="shared" ref="B305:P305" si="9">IF(ISBLANK(B18),"",IFERROR(B303*B302/$Q$304,0))</f>
        <v/>
      </c>
      <c r="C305" s="258" t="str">
        <f t="shared" si="9"/>
        <v/>
      </c>
      <c r="D305" s="258" t="str">
        <f t="shared" si="9"/>
        <v/>
      </c>
      <c r="E305" s="258" t="str">
        <f t="shared" si="9"/>
        <v/>
      </c>
      <c r="F305" s="258" t="str">
        <f t="shared" si="9"/>
        <v/>
      </c>
      <c r="G305" s="258" t="str">
        <f t="shared" si="9"/>
        <v/>
      </c>
      <c r="H305" s="258" t="str">
        <f t="shared" si="9"/>
        <v/>
      </c>
      <c r="I305" s="258" t="str">
        <f t="shared" si="9"/>
        <v/>
      </c>
      <c r="J305" s="258" t="str">
        <f t="shared" si="9"/>
        <v/>
      </c>
      <c r="K305" s="258" t="str">
        <f t="shared" si="9"/>
        <v/>
      </c>
      <c r="L305" s="258" t="str">
        <f t="shared" si="9"/>
        <v/>
      </c>
      <c r="M305" s="258" t="str">
        <f t="shared" si="9"/>
        <v/>
      </c>
      <c r="N305" s="258" t="str">
        <f t="shared" si="9"/>
        <v/>
      </c>
      <c r="O305" s="258" t="str">
        <f t="shared" si="9"/>
        <v/>
      </c>
      <c r="P305" s="258" t="str">
        <f t="shared" si="9"/>
        <v/>
      </c>
      <c r="Q305" s="321">
        <f>SUM(B305:P305)</f>
        <v>0</v>
      </c>
    </row>
    <row r="306" spans="1:17" ht="20.100000000000001" customHeight="1" thickBot="1" x14ac:dyDescent="0.25">
      <c r="A306" s="322" t="s">
        <v>9937</v>
      </c>
      <c r="B306" s="312" t="str">
        <f t="shared" ref="B306:P306" si="10">IF(ISBLANK(B18),"",$B$297)</f>
        <v/>
      </c>
      <c r="C306" s="312" t="str">
        <f t="shared" si="10"/>
        <v/>
      </c>
      <c r="D306" s="312" t="str">
        <f t="shared" si="10"/>
        <v/>
      </c>
      <c r="E306" s="312" t="str">
        <f t="shared" si="10"/>
        <v/>
      </c>
      <c r="F306" s="312" t="str">
        <f t="shared" si="10"/>
        <v/>
      </c>
      <c r="G306" s="312" t="str">
        <f t="shared" si="10"/>
        <v/>
      </c>
      <c r="H306" s="312" t="str">
        <f t="shared" si="10"/>
        <v/>
      </c>
      <c r="I306" s="312" t="str">
        <f t="shared" si="10"/>
        <v/>
      </c>
      <c r="J306" s="312" t="str">
        <f t="shared" si="10"/>
        <v/>
      </c>
      <c r="K306" s="312" t="str">
        <f t="shared" si="10"/>
        <v/>
      </c>
      <c r="L306" s="312" t="str">
        <f t="shared" si="10"/>
        <v/>
      </c>
      <c r="M306" s="312" t="str">
        <f t="shared" si="10"/>
        <v/>
      </c>
      <c r="N306" s="312" t="str">
        <f t="shared" si="10"/>
        <v/>
      </c>
      <c r="O306" s="312" t="str">
        <f t="shared" si="10"/>
        <v/>
      </c>
      <c r="P306" s="312" t="str">
        <f t="shared" si="10"/>
        <v/>
      </c>
      <c r="Q306" s="323"/>
    </row>
    <row r="307" spans="1:17" ht="20.100000000000001" customHeight="1" x14ac:dyDescent="0.2">
      <c r="A307" s="237" t="s">
        <v>9938</v>
      </c>
      <c r="B307" s="315" t="str">
        <f t="shared" ref="B307:P307" si="11">IF(ISBLANK(B18),"",B305*B306)</f>
        <v/>
      </c>
      <c r="C307" s="315" t="str">
        <f t="shared" si="11"/>
        <v/>
      </c>
      <c r="D307" s="315" t="str">
        <f t="shared" si="11"/>
        <v/>
      </c>
      <c r="E307" s="315" t="str">
        <f t="shared" si="11"/>
        <v/>
      </c>
      <c r="F307" s="315" t="str">
        <f t="shared" si="11"/>
        <v/>
      </c>
      <c r="G307" s="315" t="str">
        <f t="shared" si="11"/>
        <v/>
      </c>
      <c r="H307" s="315" t="str">
        <f t="shared" si="11"/>
        <v/>
      </c>
      <c r="I307" s="315" t="str">
        <f t="shared" si="11"/>
        <v/>
      </c>
      <c r="J307" s="315" t="str">
        <f t="shared" si="11"/>
        <v/>
      </c>
      <c r="K307" s="315" t="str">
        <f t="shared" si="11"/>
        <v/>
      </c>
      <c r="L307" s="315" t="str">
        <f t="shared" si="11"/>
        <v/>
      </c>
      <c r="M307" s="315" t="str">
        <f t="shared" si="11"/>
        <v/>
      </c>
      <c r="N307" s="315" t="str">
        <f t="shared" si="11"/>
        <v/>
      </c>
      <c r="O307" s="315" t="str">
        <f t="shared" si="11"/>
        <v/>
      </c>
      <c r="P307" s="315" t="str">
        <f t="shared" si="11"/>
        <v/>
      </c>
      <c r="Q307" s="324">
        <f>SUM(B307:P307)</f>
        <v>0</v>
      </c>
    </row>
    <row r="308" spans="1:17" ht="20.100000000000001" customHeight="1" thickBot="1" x14ac:dyDescent="0.25">
      <c r="A308" s="317" t="s">
        <v>9939</v>
      </c>
      <c r="B308" s="290" t="str">
        <f t="shared" ref="B308:P308" si="12">IF(ISBLANK(B18),"",B307/2000)</f>
        <v/>
      </c>
      <c r="C308" s="290" t="str">
        <f t="shared" si="12"/>
        <v/>
      </c>
      <c r="D308" s="290" t="str">
        <f t="shared" si="12"/>
        <v/>
      </c>
      <c r="E308" s="290" t="str">
        <f t="shared" si="12"/>
        <v/>
      </c>
      <c r="F308" s="290" t="str">
        <f t="shared" si="12"/>
        <v/>
      </c>
      <c r="G308" s="290" t="str">
        <f t="shared" si="12"/>
        <v/>
      </c>
      <c r="H308" s="290" t="str">
        <f t="shared" si="12"/>
        <v/>
      </c>
      <c r="I308" s="290" t="str">
        <f t="shared" si="12"/>
        <v/>
      </c>
      <c r="J308" s="290" t="str">
        <f t="shared" si="12"/>
        <v/>
      </c>
      <c r="K308" s="290" t="str">
        <f t="shared" si="12"/>
        <v/>
      </c>
      <c r="L308" s="290" t="str">
        <f t="shared" si="12"/>
        <v/>
      </c>
      <c r="M308" s="290" t="str">
        <f t="shared" si="12"/>
        <v/>
      </c>
      <c r="N308" s="290" t="str">
        <f t="shared" si="12"/>
        <v/>
      </c>
      <c r="O308" s="290" t="str">
        <f t="shared" si="12"/>
        <v/>
      </c>
      <c r="P308" s="290" t="str">
        <f t="shared" si="12"/>
        <v/>
      </c>
      <c r="Q308" s="325">
        <f>SUM(B308:P308)</f>
        <v>0</v>
      </c>
    </row>
    <row r="309" spans="1:17" x14ac:dyDescent="0.2">
      <c r="A309" s="1378" t="s">
        <v>8455</v>
      </c>
      <c r="B309" s="1378"/>
      <c r="C309" s="1378"/>
      <c r="D309" s="1378"/>
      <c r="E309" s="1378"/>
    </row>
  </sheetData>
  <sheetProtection algorithmName="SHA-512" hashValue="heEdDDXNOifB3RmvHCUoQTtScyTHHoESLPD/SNL+MYVi70hiV1Sqc8u1utWH8YvRRL5FGAFnVHWMfzGzQIZUUA==" saltValue="EI9rvVyrY9qplHAm+rYpEw==" spinCount="100000" sheet="1" objects="1" scenarios="1" formatColumns="0" formatRows="0" autoFilter="0"/>
  <mergeCells count="81">
    <mergeCell ref="A118:D118"/>
    <mergeCell ref="A27:D27"/>
    <mergeCell ref="A15:D15"/>
    <mergeCell ref="A309:E309"/>
    <mergeCell ref="A1:G1"/>
    <mergeCell ref="A211:D211"/>
    <mergeCell ref="A179:D179"/>
    <mergeCell ref="A155:D155"/>
    <mergeCell ref="A138:D138"/>
    <mergeCell ref="A128:D128"/>
    <mergeCell ref="A298:E298"/>
    <mergeCell ref="A268:E268"/>
    <mergeCell ref="A259:D259"/>
    <mergeCell ref="A237:D237"/>
    <mergeCell ref="A92:D92"/>
    <mergeCell ref="A93:D93"/>
    <mergeCell ref="A94:D94"/>
    <mergeCell ref="A2:Q2"/>
    <mergeCell ref="A3:Q3"/>
    <mergeCell ref="A16:Q16"/>
    <mergeCell ref="A159:B159"/>
    <mergeCell ref="C159:D159"/>
    <mergeCell ref="A28:D28"/>
    <mergeCell ref="A95:Q95"/>
    <mergeCell ref="A119:D119"/>
    <mergeCell ref="A129:D129"/>
    <mergeCell ref="A139:D139"/>
    <mergeCell ref="A156:L156"/>
    <mergeCell ref="A157:B157"/>
    <mergeCell ref="C157:D157"/>
    <mergeCell ref="A158:B158"/>
    <mergeCell ref="C158:D158"/>
    <mergeCell ref="A160:B160"/>
    <mergeCell ref="C160:D160"/>
    <mergeCell ref="A161:B161"/>
    <mergeCell ref="C161:D161"/>
    <mergeCell ref="A162:B162"/>
    <mergeCell ref="C162:D162"/>
    <mergeCell ref="A163:B163"/>
    <mergeCell ref="C163:D163"/>
    <mergeCell ref="A164:B164"/>
    <mergeCell ref="C164:D164"/>
    <mergeCell ref="A165:B165"/>
    <mergeCell ref="C165:D165"/>
    <mergeCell ref="C171:D171"/>
    <mergeCell ref="A166:B166"/>
    <mergeCell ref="C166:D166"/>
    <mergeCell ref="A167:B167"/>
    <mergeCell ref="C167:D167"/>
    <mergeCell ref="A168:B168"/>
    <mergeCell ref="C168:D168"/>
    <mergeCell ref="A175:B175"/>
    <mergeCell ref="C175:D175"/>
    <mergeCell ref="A176:B176"/>
    <mergeCell ref="C176:D176"/>
    <mergeCell ref="A4:C4"/>
    <mergeCell ref="A174:B174"/>
    <mergeCell ref="A172:B172"/>
    <mergeCell ref="C172:D172"/>
    <mergeCell ref="A173:B173"/>
    <mergeCell ref="C173:D173"/>
    <mergeCell ref="C174:D174"/>
    <mergeCell ref="A169:B169"/>
    <mergeCell ref="C169:D169"/>
    <mergeCell ref="A170:B170"/>
    <mergeCell ref="C170:D170"/>
    <mergeCell ref="A171:B171"/>
    <mergeCell ref="A177:B177"/>
    <mergeCell ref="C177:D177"/>
    <mergeCell ref="A299:Q299"/>
    <mergeCell ref="A178:B178"/>
    <mergeCell ref="C178:D178"/>
    <mergeCell ref="A180:D180"/>
    <mergeCell ref="A196:D196"/>
    <mergeCell ref="A204:D204"/>
    <mergeCell ref="A212:D212"/>
    <mergeCell ref="A238:D238"/>
    <mergeCell ref="A260:D260"/>
    <mergeCell ref="A269:E269"/>
    <mergeCell ref="A276:E276"/>
    <mergeCell ref="A292:E292"/>
  </mergeCells>
  <conditionalFormatting sqref="A34:D34">
    <cfRule type="expression" dxfId="307" priority="21">
      <formula>$C$33="Horizontal"</formula>
    </cfRule>
  </conditionalFormatting>
  <conditionalFormatting sqref="A35:D37 A39:D39">
    <cfRule type="expression" dxfId="306" priority="20">
      <formula>$C$33="Vertical"</formula>
    </cfRule>
  </conditionalFormatting>
  <conditionalFormatting sqref="A47:D48">
    <cfRule type="expression" dxfId="305" priority="19">
      <formula>$C$45="No"</formula>
    </cfRule>
  </conditionalFormatting>
  <conditionalFormatting sqref="A59:D59">
    <cfRule type="expression" dxfId="304" priority="17">
      <formula>$C$58="Dome"</formula>
    </cfRule>
  </conditionalFormatting>
  <conditionalFormatting sqref="A60:D60">
    <cfRule type="expression" dxfId="303" priority="16">
      <formula>$C$58="Cone"</formula>
    </cfRule>
  </conditionalFormatting>
  <conditionalFormatting sqref="A67:D68 A140:D154 A157:L178 A181:D210 A277:E291">
    <cfRule type="expression" dxfId="302" priority="15">
      <formula>$B$12="Fixed"</formula>
    </cfRule>
  </conditionalFormatting>
  <conditionalFormatting sqref="A130:D137 A270:E275">
    <cfRule type="expression" dxfId="301" priority="18">
      <formula>$B$12="Floating"</formula>
    </cfRule>
  </conditionalFormatting>
  <conditionalFormatting sqref="A197:D203">
    <cfRule type="expression" dxfId="300" priority="13">
      <formula>$C$190="Drain dry"</formula>
    </cfRule>
  </conditionalFormatting>
  <conditionalFormatting sqref="A201:D202">
    <cfRule type="expression" dxfId="299" priority="4">
      <formula>NOT(OR($C$68="internal Floating Roof",ISBLANK($C$68)))</formula>
    </cfRule>
  </conditionalFormatting>
  <conditionalFormatting sqref="A206:D206">
    <cfRule type="expression" dxfId="298" priority="12">
      <formula>RIGHT($C$190,11)="liquid heel"</formula>
    </cfRule>
  </conditionalFormatting>
  <conditionalFormatting sqref="A208:D209">
    <cfRule type="expression" dxfId="297" priority="11">
      <formula>$C$68="Internal Floating Roof"</formula>
    </cfRule>
  </conditionalFormatting>
  <conditionalFormatting sqref="A215:D236 A293:E296">
    <cfRule type="expression" dxfId="296" priority="10">
      <formula>AND($C$214=0,NOT(ISBLANK($C$214)))</formula>
    </cfRule>
  </conditionalFormatting>
  <conditionalFormatting sqref="A224:D226">
    <cfRule type="expression" dxfId="295" priority="9">
      <formula>$C$223="Vapor Analyzer"</formula>
    </cfRule>
  </conditionalFormatting>
  <conditionalFormatting sqref="A241:D258 A272:E272 A282:E282">
    <cfRule type="expression" dxfId="294" priority="8">
      <formula>$C$240="No"</formula>
    </cfRule>
  </conditionalFormatting>
  <conditionalFormatting sqref="A242:D244">
    <cfRule type="expression" dxfId="293" priority="7">
      <formula>NOT(OR(ISBLANK($C$241),$C$241="Laboratory GOR"))</formula>
    </cfRule>
  </conditionalFormatting>
  <conditionalFormatting sqref="A245:D257">
    <cfRule type="expression" dxfId="292" priority="6">
      <formula>NOT(OR(ISBLANK($C$241),$C$241="Vasquez-Beggs Equation"))</formula>
    </cfRule>
  </conditionalFormatting>
  <conditionalFormatting sqref="A263:D267 A273:E273">
    <cfRule type="expression" dxfId="291" priority="5">
      <formula>$C$262="No"</formula>
    </cfRule>
  </conditionalFormatting>
  <conditionalFormatting sqref="A3:Q3">
    <cfRule type="expression" dxfId="290" priority="1" stopIfTrue="1">
      <formula>NOT(ISBLANK($F$4))</formula>
    </cfRule>
  </conditionalFormatting>
  <conditionalFormatting sqref="H157:K177">
    <cfRule type="expression" dxfId="288" priority="3">
      <formula>OR($C$68="Domed/Covered external floating roof",$C$68="Internal Floating Roof")</formula>
    </cfRule>
  </conditionalFormatting>
  <dataValidations disablePrompts="1" count="187">
    <dataValidation type="list" allowBlank="1" showErrorMessage="1" prompt="Is this chemical a crude petroleum product? Select yes or no." sqref="B19:P19" xr:uid="{6D223FB3-98A3-443B-9527-322AB2044DEC}">
      <formula1>"Yes, No"</formula1>
    </dataValidation>
    <dataValidation type="list" allowBlank="1" showInputMessage="1" showErrorMessage="1" sqref="C69" xr:uid="{76EE45A1-BDEA-4C1A-8EDF-7B5140A02921}">
      <formula1>"Not Insulated,Partially Insulated,Fully Insulated"</formula1>
    </dataValidation>
    <dataValidation type="list" allowBlank="1" showErrorMessage="1" prompt="Is this a Variable Vapor Space tank? Select or enter &quot;Yes&quot; or &quot;No&quot;." sqref="C262" xr:uid="{8C308F94-CDF3-4416-AE0F-8558D864F462}">
      <formula1>"Yes,No"</formula1>
    </dataValidation>
    <dataValidation type="list" allowBlank="1" showInputMessage="1" showErrorMessage="1" sqref="C297 C269:C291 C266:C267" xr:uid="{198F9E66-3ED5-4010-9DBA-19C786565602}">
      <formula1>"Fixed, Floating"</formula1>
    </dataValidation>
    <dataValidation allowBlank="1" showInputMessage="1" showErrorMessage="1" prompt="Yellow cell" sqref="E157 C269:C291 C297" xr:uid="{2087D2D5-7673-40E9-8D50-04206A647B11}"/>
    <dataValidation type="list" allowBlank="1" showErrorMessage="1" prompt="What type of roof does this tank have? Select or enter &quot;Fixed&quot; or &quot;Floating&quot; from the drop-down menu." sqref="B12" xr:uid="{A881C5DD-4563-47BD-A7CF-A4A4E33880DD}">
      <formula1>"Fixed, Floating"</formula1>
    </dataValidation>
    <dataValidation allowBlank="1" showErrorMessage="1" prompt="Enter the city (or nearest city to) where the site is located:" sqref="B13" xr:uid="{0B95FF05-5D05-434E-8BC6-E14B7778BC88}"/>
    <dataValidation allowBlank="1" showErrorMessage="1" prompt="Enter the Weight Fraction in Mixture:" sqref="B20:P20" xr:uid="{A46A943F-0E66-4874-A404-B24C9165F280}"/>
    <dataValidation allowBlank="1" showErrorMessage="1" prompt="Enter the actual liquid density if the calculated liquid density (above) is inaccurate." sqref="B22:P22" xr:uid="{69524280-F541-471B-812F-B11544D01F42}"/>
    <dataValidation allowBlank="1" showErrorMessage="1" prompt="Enter the actual working loss product factor if the calculated working loss product factor (above) is inaccurate." sqref="B24:P24" xr:uid="{CEFD62F4-1CC9-49D2-9D27-7C829216C938}"/>
    <dataValidation allowBlank="1" showErrorMessage="1" prompt="Enter the actual molecular weight of this contituent if the calculated molecular weight of this contituent (above) is inaccurate." sqref="B26:P26" xr:uid="{1C141DE9-3871-4A68-B387-5FDC87F36885}"/>
    <dataValidation allowBlank="1" showErrorMessage="1" prompt="Enter the working loss turnover factor, if necessary:" sqref="C53" xr:uid="{1542573B-CF5D-43BB-B84F-CE99FDD60809}"/>
    <dataValidation allowBlank="1" showErrorMessage="1" prompt="Enter the net working loss throughput (VQ), if necessary:" sqref="C52" xr:uid="{A750C1D1-2FC4-44D9-A7C1-828AD7D806A7}"/>
    <dataValidation allowBlank="1" showErrorMessage="1" prompt="Enter the annual net throughput (Q), in gallons per year." sqref="C50:C51" xr:uid="{715FA7B1-1773-4EBB-A576-5E8C74EA5A79}"/>
    <dataValidation allowBlank="1" showErrorMessage="1" prompt="Enter the number of turnovers per year:" sqref="C49" xr:uid="{F8C77FB2-809E-4B61-B55B-EEE6FA3E8C26}"/>
    <dataValidation allowBlank="1" showErrorMessage="1" prompt="Enter the annual sum of the decreases in liquid (ΣHQI), if necessary:" sqref="C48" xr:uid="{EA8120E6-07CC-4710-81F1-FBD06524AFE6}"/>
    <dataValidation allowBlank="1" showErrorMessage="1" prompt="Enter the annual sum of the increases in liquid (ΣHQI), if necessary:" sqref="C47" xr:uid="{075A69EC-B83F-4870-B693-2300B563735C}"/>
    <dataValidation type="list" allowBlank="1" showErrorMessage="1" prompt="Is liquid pumped in at the same time as it is pumped out? Select or enter &quot;Yes&quot; or &quot;No&quot;." sqref="C46" xr:uid="{D14D1BF3-DB27-45C6-B2F8-2503088E0518}">
      <formula1>"Yes,No"</formula1>
    </dataValidation>
    <dataValidation type="list" allowBlank="1" showErrorMessage="1" prompt="Is the annual sum of the increases and decreases in liquid (ΣHQI and ΣHQD) known? Select or enter &quot;Yes&quot; or &quot;No&quot;." sqref="C45" xr:uid="{F274737E-B844-4DFB-B0A2-0944C13C8F81}">
      <formula1>"Yes,No"</formula1>
    </dataValidation>
    <dataValidation allowBlank="1" showErrorMessage="1" prompt="Enter the volume of the tank." sqref="C44" xr:uid="{6E7B0F4F-B597-4C6F-94E2-5043B1E5F9F9}"/>
    <dataValidation allowBlank="1" showErrorMessage="1" prompt="Enter the average liquid height:" sqref="C43" xr:uid="{60C7F3E0-3FEB-446C-B490-A346FC2AC9B3}"/>
    <dataValidation allowBlank="1" showErrorMessage="1" prompt="Enter the minimum liquid height:" sqref="C42" xr:uid="{2DECB3D1-09DE-4816-9C8C-F8BA0A9C3AB9}"/>
    <dataValidation allowBlank="1" showErrorMessage="1" prompt="Enter the maximum liquid height:" sqref="C41" xr:uid="{D86569B3-CFCC-4629-ABA5-AEB5948C2CFB}"/>
    <dataValidation allowBlank="1" showErrorMessage="1" prompt="Enter the tank shell height:" sqref="C40" xr:uid="{996231E6-9409-418C-A5DB-713F0217EA09}"/>
    <dataValidation allowBlank="1" showErrorMessage="1" prompt="If the tank is horizontal, enter the effective height (hE), if necessary:" sqref="C39" xr:uid="{1F1A131D-D433-4C89-89B4-8F5E086BA9B9}"/>
    <dataValidation allowBlank="1" showErrorMessage="1" prompt="Enter the effective diameter (DE), if necessary:" sqref="C38" xr:uid="{CF4E0541-E38F-409C-A060-0F40FCD646B0}"/>
    <dataValidation allowBlank="1" showErrorMessage="1" prompt="If the tank is horizontal, what is the length of the tank?" sqref="C37" xr:uid="{19EC25FA-D55D-47A7-942D-05E5AC1F5ECC}"/>
    <dataValidation allowBlank="1" showErrorMessage="1" prompt="If the tank is horizontal, what is the diameter of the vertical cross-section?" sqref="C36" xr:uid="{1ABD5182-3286-4D9C-8E39-F5EDC4E02F7A}"/>
    <dataValidation type="list" allowBlank="1" showErrorMessage="1" prompt="If the tank is horizontal, is the storage tank underground?" sqref="C35" xr:uid="{9E2AE7F6-E21A-4A72-AED9-7BFA1447BFC9}">
      <formula1>"Yes,No"</formula1>
    </dataValidation>
    <dataValidation type="list" allowBlank="1" showErrorMessage="1" prompt="Is the tank vertical or horizontal? Select from the drop-down menu." sqref="C33" xr:uid="{689BB1F2-49FE-4E64-8240-6B12DB30A166}">
      <formula1>"Vertical, Horizontal"</formula1>
    </dataValidation>
    <dataValidation allowBlank="1" showErrorMessage="1" prompt="If the tank is vertical, enter the diameter (D) of the tank:" sqref="C34" xr:uid="{4270014A-C791-4A2B-BAD7-C3A1930F71C3}"/>
    <dataValidation type="list" allowBlank="1" showErrorMessage="1" prompt="Is the tank vertical or horizontal?" sqref="C33" xr:uid="{90EFE480-45A2-4504-8760-3E8FC49FF92A}">
      <formula1>"Vertical,Horizontal"</formula1>
    </dataValidation>
    <dataValidation allowBlank="1" showErrorMessage="1" prompt="Enter the working loss product factor (KC), if necessary:" sqref="C32" xr:uid="{BB2263CD-ACDE-4F59-AA3F-8E38AB867863}"/>
    <dataValidation allowBlank="1" showErrorMessage="1" prompt="Enter the atmospheric pressure for the nearest city, if necessary:" sqref="C30" xr:uid="{F485A4A5-70E9-44BD-83C0-D58C361AEB85}"/>
    <dataValidation type="list" allowBlank="1" showErrorMessage="1" prompt="Is the tank welded or riveted? Select or answer from the drop-down menu:" sqref="C31" xr:uid="{701A819A-8CDF-4FAB-A762-148D1D378A1D}">
      <formula1>"Welded,Riveted"</formula1>
    </dataValidation>
    <dataValidation type="list" allowBlank="1" showErrorMessage="1" prompt="What condition is the paint on the shell? Select New, Average, or Aged." sqref="C55 C57" xr:uid="{14FF0192-0E48-450F-A82F-7B049DB3BE2C}">
      <formula1>"New,Average,Aged"</formula1>
    </dataValidation>
    <dataValidation type="list" allowBlank="1" showErrorMessage="1" prompt="Are the shell plates and roof airtight? Select or enter yes or no." sqref="C66" xr:uid="{5A1A446B-463D-4791-A609-E3F1A4484BE2}">
      <formula1>"Yes,No"</formula1>
    </dataValidation>
    <dataValidation allowBlank="1" showErrorMessage="1" prompt="Enter the vapor space volume, if necessary:" sqref="C65" xr:uid="{16A48966-680C-4EC2-B3C8-7AF2F4EE7478}"/>
    <dataValidation allowBlank="1" showErrorMessage="1" prompt="Enter the vapor space outage, if necessary:" sqref="C64" xr:uid="{C4A29DE2-6CEF-4E79-ABCF-C1FC476D75EF}"/>
    <dataValidation allowBlank="1" showErrorMessage="1" prompt="Enter the roof outage, if necessary:" sqref="C63" xr:uid="{3D2212F3-BFA1-4D38-8CF2-CAA153BC5603}"/>
    <dataValidation allowBlank="1" showErrorMessage="1" prompt="Enter the tank roof height, if necessary:" sqref="C62" xr:uid="{EDA588A5-8C6D-4756-B70A-6E14A1C96840}"/>
    <dataValidation allowBlank="1" showErrorMessage="1" prompt="Enter the tank shell radius, if necessary:" sqref="C61" xr:uid="{F6E51774-712C-49AC-8C21-30EB149FE270}"/>
    <dataValidation allowBlank="1" showErrorMessage="1" prompt="If the roof is dome-shaped, enter the tank's roof radius, if necessary:" sqref="C60" xr:uid="{35DC9904-7C0D-49BF-8DE4-1CC5C8E576A2}"/>
    <dataValidation allowBlank="1" showErrorMessage="1" prompt="If the roof is cone-shaped, enter the tank's roof slope, if necessary:" sqref="C59" xr:uid="{A011898B-DEC0-4418-AA4B-3631862B9F08}"/>
    <dataValidation allowBlank="1" showErrorMessage="1" prompt="Enter the daily total solar insolation, if necessary:" sqref="C73" xr:uid="{025F416C-6C88-44EF-AEC7-37B4878C09FE}"/>
    <dataValidation allowBlank="1" showErrorMessage="1" prompt="Enter tank solar absorptance, if needed." sqref="C72" xr:uid="{B416C830-7FA6-4B86-89DB-65FDDC593CCB}"/>
    <dataValidation allowBlank="1" showErrorMessage="1" prompt="Enter tank roof paint solar absorptance, if needed." sqref="C71" xr:uid="{A3B7A4A7-576C-4217-B8AA-D3BA57DEEE76}"/>
    <dataValidation allowBlank="1" showErrorMessage="1" prompt="Enter tank shell paint solar absorptance, if needed." sqref="C70" xr:uid="{F45D2A8F-062E-4A71-B708-FDB170C5767B}"/>
    <dataValidation type="list" allowBlank="1" showErrorMessage="1" prompt="If the tank is a floating roof tank, what type of deck is used? Select or enter from the drop down menu &quot;Steel Pontoon&quot;, &quot;Steel Double Deck&quot;, or &quot;Other&quot;." sqref="C67" xr:uid="{B9A96DD6-7191-4356-BD1E-13518C943FF5}">
      <formula1>"Steel Pontoon,Steel Double Deck,Other"</formula1>
    </dataValidation>
    <dataValidation type="list" allowBlank="1" showErrorMessage="1" prompt="Is the tank fully insulated? Select from the dropdown &quot;Not Insulated&quot;, &quot;Partially Insulated&quot;, or &quot;Fully Insulated&quot;." sqref="C69" xr:uid="{F10D32F0-E2F4-46E2-B2CE-6089B51733B5}">
      <formula1>"Not Insulated, Partially Insulated, Fully Insulated"</formula1>
    </dataValidation>
    <dataValidation type="list" allowBlank="1" showErrorMessage="1" prompt="If the tank is a floating roof tank, does this tank have an Internal Floating Roof, External Floating Roof, or a Domed/Covered External Floating Roof? Select or enter from the drop-down menu." sqref="C68" xr:uid="{3BCCB883-B811-4DC6-902B-072B163FF500}">
      <formula1>"Internal Floating Roof,External Floating Roof, Domed/Covered External Floating Roof"</formula1>
    </dataValidation>
    <dataValidation allowBlank="1" showErrorMessage="1" prompt="Enter the average daily maximum liquid temperature, if necessary, in Rankine." sqref="C91" xr:uid="{72615D03-4C22-45A4-AF12-74CA65A901CB}"/>
    <dataValidation allowBlank="1" showErrorMessage="1" prompt="Enter the average daily maximum liquid temperature, if necessary, in Fahrenheit." sqref="C90" xr:uid="{5043AAC0-102C-4D2A-BE8C-80600BCDE415}"/>
    <dataValidation allowBlank="1" showErrorMessage="1" prompt="Enter the average daily minimum liquid temperature, if necessary, in Rankine." sqref="C89" xr:uid="{22A6BB5C-F883-48F5-95E7-FA3B3261EF33}"/>
    <dataValidation allowBlank="1" showErrorMessage="1" prompt="Enter the average daily minimum liquid temperature, if necessary, in Fahrenheit." sqref="C88" xr:uid="{C0323214-F923-44F5-97E6-015CE324271C}"/>
    <dataValidation allowBlank="1" showErrorMessage="1" prompt="Enter the average daily liquid surface temperature, if necessary, in Rankine." sqref="C87" xr:uid="{B98442AE-E332-4A1A-B571-0906D2368E2F}"/>
    <dataValidation allowBlank="1" showErrorMessage="1" prompt="Enter the average daily liquid surface temperature, if necessary, in Fahrenheit." sqref="C86" xr:uid="{48F5A10B-6A85-40AF-839A-DB72C7E586A9}"/>
    <dataValidation allowBlank="1" showErrorMessage="1" prompt="Enter the average daily vapor temperature range, if necessary:" sqref="C85" xr:uid="{002D8FF1-CF58-4253-98BB-717804E2A250}"/>
    <dataValidation allowBlank="1" showErrorMessage="1" prompt="Enter the average daily vapor temperature (Tv), if necessary, in Rankine." sqref="C84" xr:uid="{BA56E90F-BA42-4E94-9D53-43C7E238A69C}"/>
    <dataValidation allowBlank="1" showErrorMessage="1" prompt="Enter the average daily vapor temperature (Tv), if necessary, in Fahrenheit." sqref="C83" xr:uid="{A207DC21-1A31-4913-BFA1-8FB2A4D23B84}"/>
    <dataValidation allowBlank="1" showErrorMessage="1" prompt="Enter the liquid bulk temperature, if necessary, in Rankine." sqref="C82" xr:uid="{503FE960-1254-49E1-A58A-8261148C1D11}"/>
    <dataValidation allowBlank="1" showErrorMessage="1" prompt="Enter the liquid bulk temperature, if necessary, in Fahrenheit." sqref="C81" xr:uid="{1FDA4CA4-F88C-41DC-AE03-E81FD070810C}"/>
    <dataValidation allowBlank="1" showErrorMessage="1" prompt="Enter the average daily ambient temperature range, if necessary:" sqref="C80" xr:uid="{D14E4560-498B-49EB-B286-8F01ACEE3DB0}"/>
    <dataValidation allowBlank="1" showErrorMessage="1" prompt="Enter the average daily ambient temperature, if necessary, in Rankine." sqref="C79" xr:uid="{4E221BAF-3DC6-4C48-8E92-E28632D64146}"/>
    <dataValidation allowBlank="1" showErrorMessage="1" prompt="Enter the average daily ambient temperature, if necessary, in Fahrenheit." sqref="C78" xr:uid="{78814EC1-05C5-410D-8411-8035F57FDAE2}"/>
    <dataValidation allowBlank="1" showErrorMessage="1" prompt="Enter the average daily minimum ambient temperature, if necessary, in Rankine." sqref="C77" xr:uid="{397D243F-E7FE-47EC-93CC-5C5BDCA52D2B}"/>
    <dataValidation allowBlank="1" showErrorMessage="1" prompt="Enter the average daily minimum ambient temperature, if necessary, in Fahrenheit." sqref="C76" xr:uid="{215AF58C-6889-42AA-9A6C-4EA6F34E64F0}"/>
    <dataValidation allowBlank="1" showErrorMessage="1" prompt="Enter the average daily maximum ambient temperature, if necessary. This cell is for Rankine." sqref="C75" xr:uid="{1FD9C962-14A1-4E7C-AAF6-8FC0623DDA72}"/>
    <dataValidation allowBlank="1" showErrorMessage="1" prompt="Enter the average daily maximum ambient temperature, if necessary. This cell is for Fahrenheit." sqref="C74" xr:uid="{2D289B76-245F-4328-90FB-832A94C9144A}"/>
    <dataValidation allowBlank="1" showErrorMessage="1" prompt="Enter the vapor pressure constant A if the calculated vapor pressure constant A (above) is inaccurate." sqref="B99:P99" xr:uid="{FAA30CB7-910B-4135-9CD9-18207B4F1216}"/>
    <dataValidation allowBlank="1" showErrorMessage="1" prompt="Enter the vapor pressure constant B if the calculated vapor pressure constant B (above) is inaccurate." sqref="B101:P101" xr:uid="{7C558BCA-DD59-4B61-B16F-F80DE5263CA8}"/>
    <dataValidation allowBlank="1" showErrorMessage="1" prompt="Enter the vapor pressure constant C if the calculated vapor pressure constant C (above) is inaccurate." sqref="B103:P103" xr:uid="{D689CBA6-59CE-4EE2-9CD7-4B0D7BA3FAB2}"/>
    <dataValidation allowBlank="1" showErrorMessage="1" prompt="Enter the Reid vapor pressure if vapor pressure constant C is unknown and the calculated Reid vapor pressure (above) is inaccurate." sqref="B105:P105" xr:uid="{487B1A16-42EB-42EB-99D1-D2E78EE1F4CB}"/>
    <dataValidation allowBlank="1" showErrorMessage="1" prompt="Enter the vapor pressure at average daily liquid surface temperature if the calculated vapor pressure at average daily liquid surface temperature (above) is inaccurate." sqref="B107:P107" xr:uid="{F392DA4A-2DC3-4700-8818-CE984A62FEF9}"/>
    <dataValidation allowBlank="1" showErrorMessage="1" prompt="Enter the vapor pressure at average daily maximum liquid surface temperature if the calculated vapor pressure at average daily maximum liquid surface temperature (above) is inaccurate." sqref="B109:P109" xr:uid="{E7561EAE-D285-4B16-A4D4-EE235E25DF54}"/>
    <dataValidation allowBlank="1" showErrorMessage="1" prompt="Enter the vapor pressure at average daily minimum liquid surface temperature if the calculated vapor pressure at average daily minimum liquid surface temperature (above) is inaccurate." sqref="B111:P111" xr:uid="{0E255DC6-E3EF-4B0E-8912-B88D5494274E}"/>
    <dataValidation allowBlank="1" showErrorMessage="1" prompt="Enter true vapor pressure, if necessary:" sqref="C125" xr:uid="{147A669A-503B-425C-862D-C769CF948AD0}"/>
    <dataValidation allowBlank="1" showErrorMessage="1" prompt="Enter the average daily vapor pressure range, if necessary:" sqref="C124" xr:uid="{4DD773E7-7D56-4FD8-9F5F-AD1B9F1E7707}"/>
    <dataValidation allowBlank="1" showErrorMessage="1" prompt="Enter the breather vent pressure setting range, if necessary." sqref="C123" xr:uid="{A9BE2598-5EF9-4BEA-9B51-4530869D4592}"/>
    <dataValidation allowBlank="1" showErrorMessage="1" prompt="Enter the breather vent vacuum setting:" sqref="C122" xr:uid="{386948FC-0689-4B02-9B62-552B919A9028}"/>
    <dataValidation allowBlank="1" showErrorMessage="1" prompt="Enter the breather vent pressure setting:" sqref="C121" xr:uid="{057E0F65-8DCE-4DAA-8852-501EBF6977CF}"/>
    <dataValidation type="list" allowBlank="1" prompt="If this tank has a special vapor control efficiency, select or enter the method or technology (e.g. Flare, TO, VCU, etc.)." sqref="C126" xr:uid="{9899128E-9C6A-4EA8-BBAB-CF14E39771AA}">
      <formula1>"Flare,TO,VCU"</formula1>
    </dataValidation>
    <dataValidation type="decimal" allowBlank="1" showErrorMessage="1" prompt="If this tank has a special vapor control efficiency, enter the control efficiency as a decimal (e.g. 0.905 for 90.5%)." sqref="C127" xr:uid="{E162523F-E9AF-406E-9413-10E1D8E44EFA}">
      <formula1>0</formula1>
      <formula2>1</formula2>
    </dataValidation>
    <dataValidation allowBlank="1" showErrorMessage="1" prompt="Enter the vent setting correction factor, if necessary:" sqref="C137" xr:uid="{7657FBF1-957F-42D5-B757-89C803578D1D}"/>
    <dataValidation allowBlank="1" showErrorMessage="1" prompt="Enter the pressure of the vapor space at normal operating conditions, if not held at atmospheric pressure:" sqref="C136" xr:uid="{B32325D1-AA93-4AC0-9F0D-C9D9A9D7C87A}"/>
    <dataValidation allowBlank="1" showErrorMessage="1" prompt="Enter the vapor space expansion factor, if necessary:" sqref="C135" xr:uid="{20DAF66E-2E18-4557-B502-437766D69B2A}"/>
    <dataValidation allowBlank="1" showErrorMessage="1" prompt="Enter the vented vapor saturation factor, if necessary:" sqref="C134" xr:uid="{F42D8690-92DE-4543-829F-C0ECDDAEFBFC}"/>
    <dataValidation allowBlank="1" showErrorMessage="1" prompt="Enter the average molecular weight, if necessary:" sqref="C133" xr:uid="{04A8CFC1-21F2-477A-88CD-7D08BB4D017F}"/>
    <dataValidation allowBlank="1" showErrorMessage="1" prompt="Enter the vapor density, if necessary:" sqref="C132 C200" xr:uid="{7979F5DD-7E8F-4EFB-90A7-6E71B03FCEFA}"/>
    <dataValidation allowBlank="1" showErrorMessage="1" prompt="Enter average organic liquid density, if necessary." sqref="C131" xr:uid="{D8353628-AD5E-4EE2-9100-7FBAC6148784}"/>
    <dataValidation allowBlank="1" showErrorMessage="1" prompt="Enter the result of the vapor pressure function, if necessary:" sqref="C149" xr:uid="{B1418FEF-C5CE-4181-827D-CEA6C5A5FFCA}"/>
    <dataValidation allowBlank="1" showErrorMessage="1" prompt="Enter the average ambient wind speed at the tank site (v), if necessary:" sqref="C148" xr:uid="{CCCC1B73-9047-4789-B339-12D7C903420B}"/>
    <dataValidation allowBlank="1" showErrorMessage="1" prompt="Enter the average molecular weight (MV), if necessary:" sqref="C147" xr:uid="{6FEC213F-F4A9-4237-8731-64F2085AE8B1}"/>
    <dataValidation allowBlank="1" showErrorMessage="1" prompt="Enter the seal-related wind speed exponent (n), if necessary:" sqref="C146" xr:uid="{D24F2AEA-A69A-496A-AAA1-22BCF28E3917}"/>
    <dataValidation allowBlank="1" showErrorMessage="1" prompt="Enter the wind-speed dependent rim seal loss factor (KRb), if necessary:" sqref="C145" xr:uid="{D40BD2FF-6385-4DD3-B6C1-043B91AAC94B}"/>
    <dataValidation allowBlank="1" showErrorMessage="1" prompt="Enter the zero-wind-speed rim seal loss factor (KRa), if necessary:" sqref="C144" xr:uid="{BF0E03D7-0A93-4B2F-A597-B693DC2797BF}"/>
    <dataValidation type="list" allowBlank="1" prompt="Is the rim seal maintained with no gaps greater than 1/8 in. wide between the rim seal and the tank shell? (Note: If the seal is maintained with gaps no greater than 1/8 in., &quot;Tight-fitting&quot; rim-seal loss facotrs may apply.)" sqref="C143" xr:uid="{C8C2AA4E-6555-4740-8778-2782236B2803}">
      <formula1>"Yes,No"</formula1>
    </dataValidation>
    <dataValidation type="list" allowBlank="1" prompt="What rim-seal system is in use? Select or enter from drop-down menu:" sqref="C141" xr:uid="{B7ED62C4-749F-4A19-9639-CE3A05C76755}">
      <formula1>INDIRECT($C$31)</formula1>
    </dataValidation>
    <dataValidation type="list" allowBlank="1" prompt="What subsystem is in use (e.g. &quot;Primary only&quot;, &quot;Shoe-Mounted Secondary&quot;, &quot;Weather Shield&quot;, or &quot;Rim-Mounted Secondary&quot;) Select or enter from drop-down menu:" sqref="C142" xr:uid="{25DA35C1-B5A4-4FF3-8F8B-422D18943882}">
      <formula1>IF($C$141="Mechanical-shoe seal",Subsystem1,Subsystem2)</formula1>
    </dataValidation>
    <dataValidation allowBlank="1" showErrorMessage="1" prompt="Enter average organic liquid density." sqref="C154" xr:uid="{920AF733-CFBC-46CF-B97D-014C5E9079B5}"/>
    <dataValidation allowBlank="1" showErrorMessage="1" prompt="Enter the tank-specific column diameter (FC), if known." sqref="C153" xr:uid="{E10622A5-1EC5-4E84-9DCF-AF6FB60DC679}"/>
    <dataValidation allowBlank="1" showErrorMessage="1" prompt="Enter the number of fixed roof support columns (NC), if necessary. For a self-supporting external floating roof tank, enter 0. For a column-supported fixed roof, use tank-specific information." sqref="C152" xr:uid="{4DAC10C7-646C-4E36-A9E5-4468C668C71F}"/>
    <dataValidation allowBlank="1" showErrorMessage="1" prompt="Enter shell clingage factor CS, if necessary:" sqref="C151" xr:uid="{BAFF8004-8B4A-4F92-B34B-A124D0D51937}"/>
    <dataValidation type="list" allowBlank="1" showErrorMessage="1" prompt="Select or enter the shell condition (e.g. &quot;Light Rust&quot;, &quot;Dense Rust&quot;, or &quot;Gunite Lining&quot;):" sqref="C150" xr:uid="{7ECB8DD6-B0C9-4A50-BFF8-0484ACBC1F24}">
      <formula1>"Light Rust,Dense Rust,Gunite Lining"</formula1>
    </dataValidation>
    <dataValidation allowBlank="1" showErrorMessage="1" prompt="Enter the number of fittings per fitting type." sqref="E158:E177" xr:uid="{55B34A76-6CCE-4D2E-9D57-187A890673DB}"/>
    <dataValidation allowBlank="1" showErrorMessage="1" prompt="Enter the zero wind speed loss factor if the previous column's calculated value is inaccurate." sqref="G158:G177" xr:uid="{E1A22EBA-342B-4C68-BB1B-1D1A9ABA978D}"/>
    <dataValidation allowBlank="1" showErrorMessage="1" prompt="Enter the wind speed-dependent loss factor if the previous column's calculated value is inaccurate." sqref="I158:I177" xr:uid="{DFF57A91-4F2D-45B5-86BD-A2D2ABCBC92D}"/>
    <dataValidation allowBlank="1" showErrorMessage="1" prompt="Enter the loss factor if the previous column's calculated value is inaccurate." sqref="K158:K177" xr:uid="{8B6E7002-B6A7-41B9-A2D7-37140CA488B8}"/>
    <dataValidation allowBlank="1" showErrorMessage="1" prompt="Enter the deck seam loss per unit seam length factor, if necessary:" sqref="C189" xr:uid="{D70AA741-1A21-4EC5-AF5F-832271131EC0}"/>
    <dataValidation allowBlank="1" showErrorMessage="1" prompt="Enter the deck seam length factor, if necessary:" sqref="C188" xr:uid="{C48940B9-10EA-4D0E-BFEE-09851838DAE3}"/>
    <dataValidation type="list" allowBlank="1" showErrorMessage="1" prompt="If total length of deck seams is unknown, select or enter the type of deck seam construction (e.g. Continuous sheet construction, Panel construction):" sqref="C186" xr:uid="{9C4E0418-040A-4BD8-882A-EAB1671F1BC1}">
      <formula1>"Continuous sheet construction,Panel construction"</formula1>
    </dataValidation>
    <dataValidation allowBlank="1" showErrorMessage="1" prompt="Enter the total length of the deck seams, if known:" sqref="C185" xr:uid="{D18C6315-AD9A-4EAC-A0FB-ACE71031090E}"/>
    <dataValidation allowBlank="1" showErrorMessage="1" prompt="Enter the area of the deck, if necessary:" sqref="C184" xr:uid="{F4C1BF20-68A9-4FE2-9489-FBFF5618C6B3}"/>
    <dataValidation type="list" allowBlank="1" showErrorMessage="1" prompt="Is the deck seam welded? Select or enter &quot;Yes&quot; or &quot;No&quot;." sqref="C183" xr:uid="{C460EEC9-0B9E-433B-BC0B-F9E0F3488895}">
      <formula1>"Yes,No"</formula1>
    </dataValidation>
    <dataValidation allowBlank="1" showErrorMessage="1" prompt="Enter deck fitting loss factor (FF), if necessary:" sqref="C182" xr:uid="{FF5B68F7-686B-4EBF-9B62-7D45F1C8C0F0}"/>
    <dataValidation type="list" allowBlank="1" prompt="If total length of deck seams is unknown, select or enter average deck seam size:" sqref="C187" xr:uid="{AA0BC279-D073-439F-AF3E-51C03D3CB719}">
      <formula1>INDIRECT(LEFT($C$186,5))</formula1>
    </dataValidation>
    <dataValidation type="list" allowBlank="1" prompt="If total length of deck seams is unknown, select or enter the type of deck seam construction (e.g. Continuous sheet construction, Panel construction):" sqref="C186" xr:uid="{17BF80E9-E50E-4D9B-8748-02FD359EB1EF}">
      <formula1>"Continuous sheet construction,Panel construction"</formula1>
    </dataValidation>
    <dataValidation allowBlank="1" showErrorMessage="1" prompt="Enter the result of the vapor pressure function at the temperature beneath the landed floating roof, if necessary:" sqref="C195" xr:uid="{53408D5D-62D2-4192-8E23-995095081694}"/>
    <dataValidation allowBlank="1" showErrorMessage="1" prompt="If a distillate material is added to decrease volatility during roof landing, enter the average molecular weight of the new mixture:" sqref="C194" xr:uid="{3EDD3A89-E1E7-482F-B73A-08FAD168BCF5}"/>
    <dataValidation allowBlank="1" showErrorMessage="1" prompt="Enter the average vapor temperature at the temperature beneath the landed floating roof, if different than average ambient temperature, in Rankine." sqref="C193" xr:uid="{AD5C03C9-1AFC-4649-86EA-6D2604011061}"/>
    <dataValidation allowBlank="1" showErrorMessage="1" prompt="Enter the average vapor temperature at the temperature beneath the landed floating roof, if different than average ambient temperature, in Fahrenheit." sqref="C192" xr:uid="{A95F67B9-1E15-4218-AD2C-21DE4031F8AD}"/>
    <dataValidation allowBlank="1" showErrorMessage="1" prompt="Enter the true vapor pressure of the stock liquid at the temperature beneath the landed floating roof, if different than average ambient temperature:" sqref="C191" xr:uid="{C7D230F5-A5AF-4B3A-A4D2-9D57727DA20A}"/>
    <dataValidation type="list" allowBlank="1" showErrorMessage="1" prompt="Is this tank have a liquid &quot;heel&quot; or is it drain-dry? Select or enter &quot;Full liquid heel&quot;, &quot;Partial liquid heel&quot;, or &quot;Drain dry&quot;." sqref="C190" xr:uid="{045377FE-1C33-4AD1-8D80-502C958FEF24}">
      <formula1>"Full liquid heel,Partial liquid heel,Drain dry"</formula1>
    </dataValidation>
    <dataValidation allowBlank="1" showErrorMessage="1" prompt="Enter the number of days that the tank stands idle." sqref="C203" xr:uid="{4E7563E4-FEE2-4E97-8456-F9E3404F49CF}"/>
    <dataValidation allowBlank="1" showErrorMessage="1" prompt="If this is an internal floating roof tank, enter the saturation factor, if necessary:" sqref="C202" xr:uid="{8CA66F8E-F13D-4D1B-A3C6-425F59B36788}"/>
    <dataValidation allowBlank="1" showErrorMessage="1" prompt="If this is an internal floating roof tank, enter the vapor space expansion factor, if necessary: Note that if a distillate material is used, a different vapor space expansion factor may apply." sqref="C201" xr:uid="{BE573404-BDA8-4412-B887-0FBFCC5A812C}"/>
    <dataValidation allowBlank="1" showErrorMessage="1" prompt="Enter the frequency of landing episodes, if necessary:" sqref="C199" xr:uid="{5328D097-31FF-43DF-B22A-80BE97B6FBB5}"/>
    <dataValidation allowBlank="1" showErrorMessage="1" prompt="Enter the effective height of the stock liquid inside the tank:" sqref="C198" xr:uid="{D677EAD4-C07F-4DEA-8D29-A3C0256E9B4C}"/>
    <dataValidation allowBlank="1" showErrorMessage="1" prompt="Enter the volume of the vapor space, if necessary:" sqref="C210 C218" xr:uid="{91AFC391-5C0A-439B-B368-CBE7A787EA16}"/>
    <dataValidation allowBlank="1" showErrorMessage="1" prompt="If this is an external floating roof tank, enter the height of the vapor space under the floating roof." sqref="C209" xr:uid="{F41A75A1-95FD-4698-BF15-9E763792CF00}"/>
    <dataValidation allowBlank="1" showErrorMessage="1" prompt="If this is an external floating roof tank, enter the filling saturation correction factor for wind, if necessary:" sqref="C208" xr:uid="{E36132F3-48FA-4941-A9BE-7FB4746AB7F9}"/>
    <dataValidation allowBlank="1" showErrorMessage="1" prompt="Enter the filling saturation factor, if necessary:" sqref="C207" xr:uid="{68F7D2A9-824F-4162-8ACF-79E678F78435}"/>
    <dataValidation allowBlank="1" showErrorMessage="1" prompt="If this is a drain-dry tank, enter the area of the tank bottom, if necessary:" sqref="C206" xr:uid="{94C1F793-2A6B-4C27-AFDD-D3FEF06D1162}"/>
    <dataValidation allowBlank="1" showErrorMessage="1" prompt="Enter the number of vapor space purges per year that follow a cessation of forces ventilation overnight, other than the initial vapor space purge:" sqref="C222" xr:uid="{CFD9B7F8-80DB-4EE7-B758-3AABA587C616}"/>
    <dataValidation allowBlank="1" showErrorMessage="1" prompt="Enter the saturation factor, if necessary:" sqref="C221" xr:uid="{82AB2CD3-97D2-4D4B-ABED-CD245685B2AA}"/>
    <dataValidation allowBlank="1" showErrorMessage="1" prompt="Enter the number of days between turnover, if necessary:" sqref="C220" xr:uid="{36C3320B-11A0-4A45-970E-85170E775A9D}"/>
    <dataValidation allowBlank="1" showErrorMessage="1" prompt="Enter the height of the stock liquid and sludge above the tank bottom at the tank shell, if necessary:" sqref="C219" xr:uid="{3F9DADD7-3B36-453C-8EAF-D4D300AFFC83}"/>
    <dataValidation allowBlank="1" showErrorMessage="1" prompt="Enter the average temperature of the vapor space, if necessary:" sqref="C217" xr:uid="{F0DA3820-1C87-4D0D-B472-2F71DBBACD71}"/>
    <dataValidation allowBlank="1" showErrorMessage="1" prompt="Enter the true vapor pressure of the exposed volatile material in the tank, if necessary:" sqref="C216" xr:uid="{55E99BE4-E62A-4500-9FFD-D05298997461}"/>
    <dataValidation allowBlank="1" showErrorMessage="1" prompt="Enter the stock vapor molecular weight, if necessary:" sqref="C215" xr:uid="{422BAC6D-0245-4765-B2F5-3340DC1254EC}"/>
    <dataValidation allowBlank="1" showErrorMessage="1" prompt="Enter how many times per year is this tank cleaned." sqref="C214" xr:uid="{C28E5B54-5366-4356-A221-880F9C5B457D}"/>
    <dataValidation allowBlank="1" showErrorMessage="1" prompt="Enter the effective height of the stock liquid and sludge for the given stage of continued forced ventilation." sqref="C232" xr:uid="{5FDFF2A8-2328-4501-9D8B-ACA836C93585}"/>
    <dataValidation allowBlank="1" showErrorMessage="1" prompt="Enter the calibration gas molecular weight." sqref="C231" xr:uid="{7008FEC4-2756-4DA6-913E-EE6DC6DEE9CD}"/>
    <dataValidation allowBlank="1" showErrorMessage="1" prompt="Enter the daily period of forced ventilation. Note: Do not include the initial time for the vapor space purge. It would be reasonable to neglect the first half hour from each stage of continued forced ventilation." sqref="C230" xr:uid="{A3C8164A-09AD-41E0-8BFF-2439B32533E7}"/>
    <dataValidation allowBlank="1" showErrorMessage="1" prompt="Enter the duration of continued forced ventilation, in days." sqref="C229" xr:uid="{2C88E681-E028-46F4-8081-1F8FE1204079}"/>
    <dataValidation allowBlank="1" showErrorMessage="1" prompt="Enter the average ventilation rate during forced ventilation." sqref="C228" xr:uid="{BEAC01FC-EA8D-457C-8811-9A5E47FF27DE}"/>
    <dataValidation allowBlank="1" showErrorMessage="1" prompt="Enter the average vapor concentration by volume during continued forced ventilation, if known:" sqref="C227" xr:uid="{1B670C0E-3B55-4535-9885-E2AE7DAE3A38}"/>
    <dataValidation allowBlank="1" showErrorMessage="1" prompt="If using a LEL reading, enter the Response Factor (RF), if known:" sqref="C226" xr:uid="{C1FD5714-CB91-44D3-8B92-EAD7B88A7A34}"/>
    <dataValidation allowBlank="1" showErrorMessage="1" prompt="If using a LEL reading, enter the LEL of the calibration gas, as a decimal fraction:" sqref="C225" xr:uid="{8C104A4F-273F-4557-8ABF-9B7E9C45212E}"/>
    <dataValidation allowBlank="1" showErrorMessage="1" prompt="If using a Lower Explosive Limit (LEL) reading, enter the average LEL, as displayed, as a decimal fraction:" sqref="C224" xr:uid="{469AA2F7-9817-4C79-85C9-D3EAA4598D0C}"/>
    <dataValidation type="list" allowBlank="1" showErrorMessage="1" prompt="How is the average vapor concentration measured? Select or enter a response from the drop-down menu." sqref="C223" xr:uid="{0E512553-5300-430F-A059-F3B5D8AD4213}">
      <formula1>"LEL Reading,Vapor Analyzer"</formula1>
    </dataValidation>
    <dataValidation allowBlank="1" showErrorMessage="1" prompt="Enter the average depth of sludge once all the free-standing liquid had been vacuumed (or drained) out." sqref="C236" xr:uid="{42D249DA-3B8D-4B7C-B915-5159BF42E2E1}"/>
    <dataValidation allowBlank="1" showErrorMessage="1" prompt="Enter the daily period of forced ventilation once all the free-standing liquid had been vacuumed (or drained) out." sqref="C235" xr:uid="{ADCC7122-72BE-4D03-889A-14F50BEB2F12}"/>
    <dataValidation allowBlank="1" showErrorMessage="1" prompt="Enter the duration of continued forced ventilation once all the free-standing liquid had been vacuumed (or drained) out:" sqref="C234" xr:uid="{13B9C043-728A-4521-923F-C6E03A944D6F}"/>
    <dataValidation allowBlank="1" showErrorMessage="1" prompt="Enter the decimal fraction of the sludge with potential to evaporate once all the free-standing liquid had been vacuumed (or drained) out." sqref="C233" xr:uid="{84FCAE47-C62E-4C9C-8B5E-10224D96F500}"/>
    <dataValidation allowBlank="1" showErrorMessage="1" prompt="If using the Laboratory GOR method, enter the molecular weight of the flash gas:" sqref="C244" xr:uid="{9108F74F-510F-4DE1-88B7-DA711A8F5310}"/>
    <dataValidation allowBlank="1" showErrorMessage="1" prompt="If using the Laboratory GOR method, enter the volume of gas at given pressure and temperature, if necessary. The default value 1/379.48 scf/lb-mole is at Standard Conditions." sqref="C243" xr:uid="{F061D088-663E-4BE3-A9BB-5458771680E0}"/>
    <dataValidation allowBlank="1" showErrorMessage="1" prompt="If using the Laboratory Gas-Oil Ratio (GOR) method, enter the GOR:" sqref="C242" xr:uid="{ADE2E9D3-DE59-479C-B6ED-33EE6A91536F}"/>
    <dataValidation type="list" allowBlank="1" showErrorMessage="1" prompt="Does this tank store a liquid with a possibility of undergoing flashing? Select or enter yes or no." sqref="C240" xr:uid="{8829BFB0-91FC-40D5-AF93-360183631898}">
      <formula1>"Yes,No"</formula1>
    </dataValidation>
    <dataValidation type="decimal" allowBlank="1" showErrorMessage="1" error="Seperator Gas Gravity must be between 0.56 - 1.18. If the gas gravity is below this range, you can increase to minimum 0.56. If gas gravity is above this range, you cannot use this equation." prompt="If using the Vasquez-Beggs Equation, enter the seperator gas gravity." sqref="C249" xr:uid="{28A3D61A-1BC2-4479-BB0C-F625DA3059A4}">
      <formula1>0.56</formula1>
      <formula2>1.18</formula2>
    </dataValidation>
    <dataValidation type="decimal" allowBlank="1" showErrorMessage="1" error="Seperator Temperature must be between 529 - 755°R. If the temperature is outside this range, you cannot use the Vasquez-Beggs Equation." prompt="If using the Vasquez-Beggs Equation, enter the seperator temperature, in Rankine." sqref="C248" xr:uid="{2025F373-F065-4813-ADEE-EF38FC8D867C}">
      <formula1>529</formula1>
      <formula2>755</formula2>
    </dataValidation>
    <dataValidation type="decimal" allowBlank="1" showErrorMessage="1" error="Seperator Temperature must be between 70 - 295°F. If the temperature is outside this range, you cannot use the Vasquez-Beggs Equation." prompt="If using the Vasquez-Beggs Equation, enter the seperator temperature, in Fahrenheit." sqref="C247" xr:uid="{DCF7E626-6C93-4613-AECF-026E856A57AA}">
      <formula1>70</formula1>
      <formula2>295</formula2>
    </dataValidation>
    <dataValidation type="decimal" allowBlank="1" showErrorMessage="1" error="Seperator pressure must be between 35.3 - 5235.3 psig (or 50 - 5250 psia) to use this equation. If below range, increase to minimum 35.3 psig/50 psia." prompt="If using the Vasquez-Beggs Equation, enter the seperator pressure." sqref="C246" xr:uid="{9D925E8F-E85F-4371-AAA1-9D94F951486B}">
      <formula1>35.3</formula1>
      <formula2>5235.3</formula2>
    </dataValidation>
    <dataValidation type="decimal" allowBlank="1" showErrorMessage="1" error="API Gravity must be between 16 - 40° to use Vasquex-Beggs Equation. If API is below range, increase to minimum 16°. Do not use this equation if API is over 40°." prompt="If using the Vasquez-Beggs Equation, enter the stock's API Gravity:" sqref="C245" xr:uid="{DEB3441E-DFA2-4D65-BD08-951BD331B8DD}">
      <formula1>16</formula1>
      <formula2>40</formula2>
    </dataValidation>
    <dataValidation type="list" allowBlank="1" showErrorMessage="1" prompt="What method of analyzing flashing was used? Select or enter a method from the drop-down menu:" sqref="C241" xr:uid="{12A54482-69DC-417B-A60A-9C1AFBE0B722}">
      <formula1>"Laboratory GOR,Computer simulation modeling,Vasquez-Beggs Equation,Direct Measurement"</formula1>
    </dataValidation>
    <dataValidation allowBlank="1" showErrorMessage="1" prompt="Enter the total calculated or measured emissions from flashing, if necessary:" sqref="C258" xr:uid="{3121B996-9C5D-43B6-8788-5BDA19538D52}"/>
    <dataValidation allowBlank="1" showErrorMessage="1" prompt="If using the Vasquez-Beggs Equation, enter the total amount of hydrocarbons in tons per year, if necessary:" sqref="C257" xr:uid="{FAC216ED-A0C4-4466-8C04-109F83C18790}"/>
    <dataValidation allowBlank="1" showErrorMessage="1" prompt="If using the Vasquez-Beggs Equation, enter the volume of gas at given pressure and temperature, if necessary. The default value 1/379.48 scf/lb-mole is at Standard Conditions." sqref="C256" xr:uid="{05DE794F-2E47-4D28-BBC9-54AC57425BA7}"/>
    <dataValidation allowBlank="1" showErrorMessage="1" prompt="If using the Vasquez-Beggs Equation, enter the Gas/Oil Ratio of liquid at pressure of interest, if necessary:" sqref="C255" xr:uid="{DDA7E4BB-706E-4F3F-86DD-8A3ACB562C0D}"/>
    <dataValidation allowBlank="1" showErrorMessage="1" prompt="If using the Vasquez-Beggs Equation, enter the the value for the constant C3." sqref="C254" xr:uid="{CDBDCA35-2013-4BFB-A8A7-2E725825C216}"/>
    <dataValidation allowBlank="1" showErrorMessage="1" prompt="If using the Vasquez-Beggs Equation, enter the the value for the constant C2." sqref="C253" xr:uid="{CD15CFEA-BF53-41AA-8876-D772E72173D6}"/>
    <dataValidation allowBlank="1" showErrorMessage="1" prompt="If using the Vasquez-Beggs Equation, enter the the value for the constant C1." sqref="C252" xr:uid="{0177E8E5-E16F-4E98-A6FD-4F53B726BDA7}"/>
    <dataValidation allowBlank="1" showErrorMessage="1" prompt="If using the Vasquez-Beggs Equation, enter the dissolved gas gravity at 100 psig, if necessary:" sqref="C251" xr:uid="{4BD9C62E-26A2-461A-937A-34EC38B703E9}"/>
    <dataValidation type="decimal" allowBlank="1" showErrorMessage="1" error="VOC fraction must be between 0.5 (50%) - 1.0 (100%)." prompt="If using the Vasquez-Beggs Equation, enter the fraction of VOC in the stock tank gas:" sqref="C250" xr:uid="{E875F6C0-568D-4157-BE2F-B267F883C0DA}">
      <formula1>0.5</formula1>
      <formula2>1</formula2>
    </dataValidation>
    <dataValidation allowBlank="1" showErrorMessage="1" prompt="If this is a Variable Vapor Space tank, enter the total variable vapor space filling loss, if necessary, in pounds per year." sqref="C267" xr:uid="{447F61D3-41E0-45E1-9FD2-DD9BF87C991A}"/>
    <dataValidation allowBlank="1" showErrorMessage="1" prompt="If this is a Variable Vapor Space tank, enter the total variable vapor space filling loss, if necessary, in pounds per thousand gallons throughput." sqref="C266" xr:uid="{77621AF8-F1BC-4B2A-B919-784E535FFD13}"/>
    <dataValidation allowBlank="1" showErrorMessage="1" prompt="If this is a Variable Vapor Space tank, enter the number of transfers into system (N2):" sqref="C265" xr:uid="{FC5E9791-D7F4-4B76-BD3E-53D863928EEC}"/>
    <dataValidation type="list" allowBlank="1" showErrorMessage="1" prompt="If this is a Variable Vapor Space tank, enter the volume of liquid pumped into the system (throughput, V1), if necessary:" sqref="C263" xr:uid="{EF6B7725-F999-4BDD-BB6A-A028B9EC6414}">
      <formula1>"Fixed, Floating"</formula1>
    </dataValidation>
    <dataValidation allowBlank="1" showErrorMessage="1" prompt="If this is a Variable Vapor Space tank, enter the volume expansion capacity of the system (V2):" sqref="C264" xr:uid="{342EEC5C-E7BF-4DB1-BC06-78A863872250}"/>
    <dataValidation allowBlank="1" showErrorMessage="1" prompt="If this is a Variable Vapor Space tank, enter the volume of liquid pumped into the system (throughput, V1), if necessary:" sqref="C263" xr:uid="{93917E36-F635-4FBC-BB9A-C1B92FCF8B14}"/>
    <dataValidation allowBlank="1" showErrorMessage="1" prompt="Enter the FIN for this tank. Note that it must match the existing authorization's FIN." sqref="B6" xr:uid="{9A6FF81E-0E14-49FE-9387-30738B8F037E}"/>
    <dataValidation allowBlank="1" showErrorMessage="1" prompt="Enter the EPN for this tank. Note that it must match the existing authorization's EPN." sqref="B7" xr:uid="{9461B7C9-FC4D-4DE8-8390-1DBB0E5AEF05}"/>
    <dataValidation allowBlank="1" showErrorMessage="1" prompt="Enter the source name for this tank. Note that it must match the existing authorization's source name." sqref="B8" xr:uid="{5B346457-5E69-4101-ABCF-BA90064FB68E}"/>
    <dataValidation type="list" allowBlank="1" showErrorMessage="1" prompt="Enter the UTM Zone for this tank." sqref="B9" xr:uid="{87F938F6-135F-44EB-8B1D-67BC878D5A3F}">
      <formula1>"13,14,15"</formula1>
    </dataValidation>
    <dataValidation allowBlank="1" showErrorMessage="1" prompt="Enter the Easting distance from the UTM coordinate." sqref="B10" xr:uid="{C000C7BA-4CEB-4363-B127-811CAEA8FA4D}"/>
    <dataValidation allowBlank="1" showErrorMessage="1" prompt="Enter the Northing distance from the UTM coordinate." sqref="B11" xr:uid="{9B6E3C03-3576-4048-A46E-BF96B6FF3218}"/>
    <dataValidation type="list" allowBlank="1" showErrorMessage="1" prompt="What is the roof shape? Select or enter Cone or Dome." sqref="C58" xr:uid="{8CCC00AF-0704-4645-A3F5-A02FD3A57247}">
      <formula1>"Cone,Dome"</formula1>
    </dataValidation>
  </dataValidations>
  <hyperlinks>
    <hyperlink ref="A93" r:id="rId1" xr:uid="{409F108C-37E1-40B6-8AEF-696B3A4D17F1}"/>
    <hyperlink ref="A93:D93" r:id="rId2" tooltip="Click to link to ambient temperature and wind speed data." display="https://www.ncdc.noaa.gov/ghcn/comparative-climatic-data" xr:uid="{013EC7D4-C23F-46A9-8D5D-204F3F7245A0}"/>
  </hyperlinks>
  <pageMargins left="0.7" right="0.7" top="0.75" bottom="0.75" header="0.3" footer="0.3"/>
  <pageSetup orientation="portrait" r:id="rId3"/>
  <headerFooter>
    <oddHeader>&amp;C&amp;"Arial,Regular"Annual Throughput Increase RAP Application</oddHeader>
    <oddFooter>&amp;LVersion: 5/1/2019&amp;CSheet: &amp;A&amp;RPage &amp;P/&amp;N</oddFooter>
  </headerFooter>
  <extLst>
    <ext xmlns:x14="http://schemas.microsoft.com/office/spreadsheetml/2009/9/main" uri="{78C0D931-6437-407d-A8EE-F0AAD7539E65}">
      <x14:conditionalFormattings>
        <x14:conditionalFormatting xmlns:xm="http://schemas.microsoft.com/office/excel/2006/main">
          <x14:cfRule type="expression" priority="2" stopIfTrue="1" id="{FAE84E4C-5039-42E4-8479-01F4CB4819B8}">
            <xm:f>'Hidden Inputs'!$BR$5</xm:f>
            <x14:dxf>
              <font>
                <color theme="0" tint="-0.499984740745262"/>
              </font>
              <numFmt numFmtId="171" formatCode=";;;"/>
              <fill>
                <patternFill>
                  <bgColor theme="0" tint="-0.499984740745262"/>
                </patternFill>
              </fill>
            </x14:dxf>
          </x14:cfRule>
          <xm:sqref>A4:C14 A16:Q26 A28:D91 A95:Q117 A119:D127 A129:D137 A139:D154 A156:L178 A180:D210 A212:D236 A238:D258 A260:D267 A269:E297 A299:Q308</xm:sqref>
        </x14:conditionalFormatting>
        <x14:conditionalFormatting xmlns:xm="http://schemas.microsoft.com/office/excel/2006/main">
          <x14:cfRule type="expression" priority="14" id="{732E4F72-CB07-4CA8-BFC7-9033F836521B}">
            <xm:f>'TANKS Calculations'!H$17&gt;0</xm:f>
            <x14:dxf>
              <font>
                <color theme="0" tint="-0.499984740745262"/>
              </font>
              <numFmt numFmtId="171" formatCode=";;;"/>
              <fill>
                <patternFill>
                  <bgColor theme="0" tint="-0.499984740745262"/>
                </patternFill>
              </fill>
            </x14:dxf>
          </x14:cfRule>
          <xm:sqref>B104:P105</xm:sqref>
        </x14:conditionalFormatting>
      </x14:conditionalFormattings>
    </ext>
    <ext xmlns:x14="http://schemas.microsoft.com/office/spreadsheetml/2009/9/main" uri="{CCE6A557-97BC-4b89-ADB6-D9C93CAAB3DF}">
      <x14:dataValidations xmlns:xm="http://schemas.microsoft.com/office/excel/2006/main" disablePrompts="1" count="5">
        <x14:dataValidation type="list" allowBlank="1" prompt="Select the chemical name from the drop-down. If the chemical name is not in the list, enter the chemical name in the cell." xr:uid="{A0196D8C-897A-4B6C-84BD-3F1410479EF6}">
          <x14:formula1>
            <xm:f>'TANKS Vapor Fx'!$A$3:$A$294</xm:f>
          </x14:formula1>
          <xm:sqref>B18:P18</xm:sqref>
        </x14:dataValidation>
        <x14:dataValidation type="list" allowBlank="1" prompt="Select the fitting type from the drop-down menu." xr:uid="{8B3FDAF3-73F6-4AC1-BD2A-EB51FC173DCD}">
          <x14:formula1>
            <xm:f>'TANKS Data'!$G$96:$G$111</xm:f>
          </x14:formula1>
          <xm:sqref>A158:B177</xm:sqref>
        </x14:dataValidation>
        <x14:dataValidation type="list" allowBlank="1" showErrorMessage="1" prompt="Select the nearest city and state from the drop-down menu. This will fill in appropriate meteorological data for the region. If this field is left blank, meteorological data must be entered manually in the &quot;Input Parameters&quot; section." xr:uid="{EFA2FA2A-9D46-4460-B89D-3E5C0B4E522F}">
          <x14:formula1>
            <xm:f>'TANKS Data'!$A$189:$A$213</xm:f>
          </x14:formula1>
          <xm:sqref>B14</xm:sqref>
        </x14:dataValidation>
        <x14:dataValidation type="list" allowBlank="1" showErrorMessage="1" prompt="What color is the paint on the shell? Select color from drop-down menu." xr:uid="{8A46F907-732F-49ED-B77B-62D88E8555DB}">
          <x14:formula1>
            <xm:f>'TANKS Data'!$B$174:$B$186</xm:f>
          </x14:formula1>
          <xm:sqref>C54 C56</xm:sqref>
        </x14:dataValidation>
        <x14:dataValidation type="list" allowBlank="1" prompt="Specify the construction details for the fitting type specified in the previous column. If no matching result is present in the drop-down menu, you may enter your own details and factors." xr:uid="{1E331EE0-FD22-4E1F-833F-C025694B23E1}">
          <x14:formula1>
            <xm:f>INDIRECT('TANKS Data'!$J96)</xm:f>
          </x14:formula1>
          <xm:sqref>C158:D177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AC4B4-4325-48E7-B69A-1EAF0FF2FE16}">
  <sheetPr codeName="Sheet26">
    <tabColor theme="1"/>
  </sheetPr>
  <dimension ref="A1:R309"/>
  <sheetViews>
    <sheetView workbookViewId="0">
      <selection sqref="A1:G1"/>
    </sheetView>
  </sheetViews>
  <sheetFormatPr defaultColWidth="0" defaultRowHeight="12.75" zeroHeight="1" x14ac:dyDescent="0.2"/>
  <cols>
    <col min="1" max="1" width="62" style="106" customWidth="1"/>
    <col min="2" max="2" width="19.5703125" style="106" bestFit="1" customWidth="1"/>
    <col min="3" max="3" width="23.140625" style="106" customWidth="1"/>
    <col min="4" max="4" width="21.42578125" style="106" customWidth="1"/>
    <col min="5" max="17" width="18.7109375" style="106" customWidth="1"/>
    <col min="18" max="18" width="14.7109375" style="106" hidden="1" customWidth="1"/>
    <col min="19" max="16384" width="9.140625" style="106" hidden="1"/>
  </cols>
  <sheetData>
    <row r="1" spans="1:17" ht="5.0999999999999996" customHeight="1" x14ac:dyDescent="0.2">
      <c r="A1" s="1379" t="s">
        <v>8392</v>
      </c>
      <c r="B1" s="1379"/>
      <c r="C1" s="1379"/>
      <c r="D1" s="1379"/>
      <c r="E1" s="1379"/>
      <c r="F1" s="1379"/>
      <c r="G1" s="1379"/>
    </row>
    <row r="2" spans="1:17" ht="25.5" x14ac:dyDescent="0.35">
      <c r="A2" s="1368" t="s">
        <v>9994</v>
      </c>
      <c r="B2" s="1368"/>
      <c r="C2" s="1368"/>
      <c r="D2" s="1368"/>
      <c r="E2" s="1368"/>
      <c r="F2" s="1368"/>
      <c r="G2" s="1368"/>
      <c r="H2" s="1368"/>
      <c r="I2" s="1368"/>
      <c r="J2" s="1368"/>
      <c r="K2" s="1368"/>
      <c r="L2" s="1368"/>
      <c r="M2" s="1368"/>
      <c r="N2" s="1368"/>
      <c r="O2" s="1368"/>
      <c r="P2" s="1368"/>
      <c r="Q2" s="1368"/>
    </row>
    <row r="3" spans="1:17" ht="50.25" customHeight="1" thickBot="1" x14ac:dyDescent="0.25">
      <c r="A3" s="1369" t="s">
        <v>10015</v>
      </c>
      <c r="B3" s="1369"/>
      <c r="C3" s="1369"/>
      <c r="D3" s="1369"/>
      <c r="E3" s="1369"/>
      <c r="F3" s="1369"/>
      <c r="G3" s="1369"/>
      <c r="H3" s="1369"/>
      <c r="I3" s="1369"/>
      <c r="J3" s="1369"/>
      <c r="K3" s="1369"/>
      <c r="L3" s="1369"/>
      <c r="M3" s="1369"/>
      <c r="N3" s="1369"/>
      <c r="O3" s="1369"/>
      <c r="P3" s="1369"/>
      <c r="Q3" s="1369"/>
    </row>
    <row r="4" spans="1:17" ht="60" customHeight="1" thickBot="1" x14ac:dyDescent="0.3">
      <c r="A4" s="1363" t="s">
        <v>9684</v>
      </c>
      <c r="B4" s="1364"/>
      <c r="C4" s="1365"/>
      <c r="D4" s="224"/>
      <c r="E4" s="224"/>
      <c r="F4" s="224"/>
      <c r="G4" s="224"/>
    </row>
    <row r="5" spans="1:17" ht="20.100000000000001" customHeight="1" x14ac:dyDescent="0.25">
      <c r="A5" s="146" t="s">
        <v>9685</v>
      </c>
      <c r="B5" s="148" t="s">
        <v>9687</v>
      </c>
      <c r="C5" s="149" t="s">
        <v>9688</v>
      </c>
      <c r="D5" s="224"/>
      <c r="E5" s="224"/>
      <c r="F5" s="224"/>
      <c r="G5" s="224"/>
    </row>
    <row r="6" spans="1:17" ht="30" customHeight="1" x14ac:dyDescent="0.2">
      <c r="A6" s="329" t="s">
        <v>9986</v>
      </c>
      <c r="B6" s="426"/>
      <c r="C6" s="227" t="s">
        <v>9689</v>
      </c>
      <c r="D6" s="224"/>
      <c r="E6" s="224"/>
      <c r="F6" s="224"/>
      <c r="G6" s="224"/>
      <c r="H6" s="224"/>
      <c r="I6" s="224"/>
      <c r="J6" s="224"/>
      <c r="K6" s="224"/>
      <c r="L6" s="224"/>
    </row>
    <row r="7" spans="1:17" ht="30" customHeight="1" x14ac:dyDescent="0.2">
      <c r="A7" s="329" t="s">
        <v>9987</v>
      </c>
      <c r="B7" s="426"/>
      <c r="C7" s="227" t="s">
        <v>9689</v>
      </c>
      <c r="D7" s="224"/>
      <c r="E7" s="224"/>
      <c r="F7" s="224"/>
      <c r="G7" s="224"/>
      <c r="H7" s="224"/>
      <c r="I7" s="224"/>
      <c r="J7" s="224"/>
      <c r="K7" s="224"/>
      <c r="L7" s="224"/>
    </row>
    <row r="8" spans="1:17" ht="30" customHeight="1" x14ac:dyDescent="0.2">
      <c r="A8" s="329" t="s">
        <v>9988</v>
      </c>
      <c r="B8" s="430"/>
      <c r="C8" s="227" t="s">
        <v>9689</v>
      </c>
      <c r="D8" s="224"/>
      <c r="E8" s="224"/>
      <c r="F8" s="224"/>
      <c r="G8" s="224"/>
      <c r="H8" s="224"/>
      <c r="I8" s="224"/>
      <c r="J8" s="224"/>
      <c r="K8" s="224"/>
      <c r="L8" s="224"/>
    </row>
    <row r="9" spans="1:17" ht="20.100000000000001" customHeight="1" x14ac:dyDescent="0.2">
      <c r="A9" s="329" t="s">
        <v>9990</v>
      </c>
      <c r="B9" s="361"/>
      <c r="C9" s="227" t="s">
        <v>9689</v>
      </c>
      <c r="D9" s="224"/>
      <c r="E9" s="224"/>
      <c r="F9" s="224"/>
      <c r="G9" s="224"/>
      <c r="H9" s="224"/>
      <c r="I9" s="224"/>
      <c r="J9" s="224"/>
      <c r="K9" s="224"/>
      <c r="L9" s="224"/>
    </row>
    <row r="10" spans="1:17" ht="20.100000000000001" customHeight="1" x14ac:dyDescent="0.2">
      <c r="A10" s="329" t="s">
        <v>9991</v>
      </c>
      <c r="B10" s="361"/>
      <c r="C10" s="335" t="s">
        <v>9989</v>
      </c>
      <c r="D10" s="224"/>
      <c r="E10" s="224"/>
      <c r="F10" s="224"/>
      <c r="G10" s="224"/>
      <c r="H10" s="224"/>
      <c r="I10" s="224"/>
      <c r="J10" s="224"/>
      <c r="K10" s="224"/>
      <c r="L10" s="224"/>
    </row>
    <row r="11" spans="1:17" ht="20.100000000000001" customHeight="1" x14ac:dyDescent="0.2">
      <c r="A11" s="329" t="s">
        <v>9992</v>
      </c>
      <c r="B11" s="361"/>
      <c r="C11" s="335" t="s">
        <v>9989</v>
      </c>
      <c r="D11" s="224"/>
      <c r="E11" s="224"/>
      <c r="F11" s="224"/>
      <c r="G11" s="224"/>
      <c r="H11" s="224"/>
      <c r="I11" s="224"/>
      <c r="J11" s="224"/>
      <c r="K11" s="224"/>
      <c r="L11" s="224"/>
    </row>
    <row r="12" spans="1:17" ht="30" customHeight="1" x14ac:dyDescent="0.2">
      <c r="A12" s="330" t="s">
        <v>9690</v>
      </c>
      <c r="B12" s="361"/>
      <c r="C12" s="227" t="s">
        <v>9689</v>
      </c>
      <c r="D12" s="224"/>
      <c r="E12" s="224"/>
    </row>
    <row r="13" spans="1:17" ht="30" customHeight="1" x14ac:dyDescent="0.2">
      <c r="A13" s="330" t="s">
        <v>9691</v>
      </c>
      <c r="B13" s="426"/>
      <c r="C13" s="227" t="s">
        <v>9689</v>
      </c>
      <c r="D13" s="224"/>
      <c r="E13" s="224"/>
    </row>
    <row r="14" spans="1:17" ht="60" customHeight="1" thickBot="1" x14ac:dyDescent="0.25">
      <c r="A14" s="331" t="s">
        <v>9692</v>
      </c>
      <c r="B14" s="427"/>
      <c r="C14" s="231" t="s">
        <v>9689</v>
      </c>
      <c r="D14" s="224"/>
      <c r="E14" s="224"/>
    </row>
    <row r="15" spans="1:17" ht="30" customHeight="1" thickBot="1" x14ac:dyDescent="0.25">
      <c r="A15" s="1377" t="s">
        <v>8411</v>
      </c>
      <c r="B15" s="1377"/>
      <c r="C15" s="1377"/>
      <c r="D15" s="1377"/>
      <c r="E15" s="224"/>
    </row>
    <row r="16" spans="1:17" ht="45" customHeight="1" thickBot="1" x14ac:dyDescent="0.3">
      <c r="A16" s="1370" t="s">
        <v>9969</v>
      </c>
      <c r="B16" s="1371"/>
      <c r="C16" s="1371"/>
      <c r="D16" s="1371"/>
      <c r="E16" s="1371"/>
      <c r="F16" s="1371"/>
      <c r="G16" s="1371"/>
      <c r="H16" s="1371"/>
      <c r="I16" s="1371"/>
      <c r="J16" s="1371"/>
      <c r="K16" s="1371"/>
      <c r="L16" s="1371"/>
      <c r="M16" s="1371"/>
      <c r="N16" s="1371"/>
      <c r="O16" s="1371"/>
      <c r="P16" s="1371"/>
      <c r="Q16" s="1372"/>
    </row>
    <row r="17" spans="1:17" ht="20.100000000000001" customHeight="1" x14ac:dyDescent="0.25">
      <c r="A17" s="146" t="s">
        <v>9502</v>
      </c>
      <c r="B17" s="147" t="s">
        <v>9503</v>
      </c>
      <c r="C17" s="148" t="s">
        <v>9504</v>
      </c>
      <c r="D17" s="148" t="s">
        <v>9505</v>
      </c>
      <c r="E17" s="148" t="s">
        <v>9506</v>
      </c>
      <c r="F17" s="148" t="s">
        <v>9507</v>
      </c>
      <c r="G17" s="148" t="s">
        <v>9508</v>
      </c>
      <c r="H17" s="148" t="s">
        <v>9509</v>
      </c>
      <c r="I17" s="148" t="s">
        <v>9510</v>
      </c>
      <c r="J17" s="148" t="s">
        <v>9511</v>
      </c>
      <c r="K17" s="150" t="s">
        <v>9512</v>
      </c>
      <c r="L17" s="148" t="s">
        <v>9513</v>
      </c>
      <c r="M17" s="148" t="s">
        <v>9514</v>
      </c>
      <c r="N17" s="150" t="s">
        <v>9515</v>
      </c>
      <c r="O17" s="148" t="s">
        <v>9516</v>
      </c>
      <c r="P17" s="148" t="s">
        <v>9517</v>
      </c>
      <c r="Q17" s="146" t="s">
        <v>1</v>
      </c>
    </row>
    <row r="18" spans="1:17" ht="30" customHeight="1" x14ac:dyDescent="0.2">
      <c r="A18" s="228" t="s">
        <v>9693</v>
      </c>
      <c r="B18" s="363"/>
      <c r="C18" s="364"/>
      <c r="D18" s="364"/>
      <c r="E18" s="364"/>
      <c r="F18" s="364"/>
      <c r="G18" s="364"/>
      <c r="H18" s="364"/>
      <c r="I18" s="364"/>
      <c r="J18" s="364"/>
      <c r="K18" s="365"/>
      <c r="L18" s="364"/>
      <c r="M18" s="364"/>
      <c r="N18" s="365"/>
      <c r="O18" s="364"/>
      <c r="P18" s="364"/>
      <c r="Q18" s="232"/>
    </row>
    <row r="19" spans="1:17" ht="20.100000000000001" customHeight="1" x14ac:dyDescent="0.2">
      <c r="A19" s="332" t="s">
        <v>9694</v>
      </c>
      <c r="B19" s="363"/>
      <c r="C19" s="364"/>
      <c r="D19" s="364"/>
      <c r="E19" s="364"/>
      <c r="F19" s="364"/>
      <c r="G19" s="364"/>
      <c r="H19" s="364"/>
      <c r="I19" s="364"/>
      <c r="J19" s="364"/>
      <c r="K19" s="365"/>
      <c r="L19" s="364"/>
      <c r="M19" s="364"/>
      <c r="N19" s="365"/>
      <c r="O19" s="364"/>
      <c r="P19" s="364"/>
      <c r="Q19" s="234" t="str">
        <f>IF(IFERROR(MATCH("Yes",$B$19:$P$19,0),0)&lt;&gt;0,"Yes","No")</f>
        <v>No</v>
      </c>
    </row>
    <row r="20" spans="1:17" ht="20.100000000000001" customHeight="1" thickBot="1" x14ac:dyDescent="0.25">
      <c r="A20" s="235" t="s">
        <v>9695</v>
      </c>
      <c r="B20" s="366"/>
      <c r="C20" s="367"/>
      <c r="D20" s="367"/>
      <c r="E20" s="367"/>
      <c r="F20" s="367"/>
      <c r="G20" s="367"/>
      <c r="H20" s="367"/>
      <c r="I20" s="367"/>
      <c r="J20" s="367"/>
      <c r="K20" s="368"/>
      <c r="L20" s="367"/>
      <c r="M20" s="367"/>
      <c r="N20" s="368"/>
      <c r="O20" s="367"/>
      <c r="P20" s="367"/>
      <c r="Q20" s="236">
        <f>SUM(B20:P20)</f>
        <v>0</v>
      </c>
    </row>
    <row r="21" spans="1:17" ht="20.100000000000001" customHeight="1" x14ac:dyDescent="0.2">
      <c r="A21" s="237" t="s">
        <v>9696</v>
      </c>
      <c r="B21" s="238">
        <f>_xlfn.IFNA(VLOOKUP(B18,'TANKS Vapor Fx'!$A$3:$C$294,3,FALSE),0)</f>
        <v>0</v>
      </c>
      <c r="C21" s="238">
        <f>_xlfn.IFNA(VLOOKUP(C18,'TANKS Vapor Fx'!$A$3:$C$294,3,FALSE),0)</f>
        <v>0</v>
      </c>
      <c r="D21" s="238">
        <f>_xlfn.IFNA(VLOOKUP(D18,'TANKS Vapor Fx'!$A$3:$C$294,3,FALSE),0)</f>
        <v>0</v>
      </c>
      <c r="E21" s="238">
        <f>_xlfn.IFNA(VLOOKUP(E18,'TANKS Vapor Fx'!$A$3:$C$294,3,FALSE),0)</f>
        <v>0</v>
      </c>
      <c r="F21" s="238">
        <f>_xlfn.IFNA(VLOOKUP(F18,'TANKS Vapor Fx'!$A$3:$C$294,3,FALSE),0)</f>
        <v>0</v>
      </c>
      <c r="G21" s="238">
        <f>_xlfn.IFNA(VLOOKUP(G18,'TANKS Vapor Fx'!$A$3:$C$294,3,FALSE),0)</f>
        <v>0</v>
      </c>
      <c r="H21" s="238">
        <f>_xlfn.IFNA(VLOOKUP(H18,'TANKS Vapor Fx'!$A$3:$C$294,3,FALSE),0)</f>
        <v>0</v>
      </c>
      <c r="I21" s="238">
        <f>_xlfn.IFNA(VLOOKUP(I18,'TANKS Vapor Fx'!$A$3:$C$294,3,FALSE),0)</f>
        <v>0</v>
      </c>
      <c r="J21" s="238">
        <f>_xlfn.IFNA(VLOOKUP(J18,'TANKS Vapor Fx'!$A$3:$C$294,3,FALSE),0)</f>
        <v>0</v>
      </c>
      <c r="K21" s="238">
        <f>_xlfn.IFNA(VLOOKUP(K18,'TANKS Vapor Fx'!$A$3:$C$294,3,FALSE),0)</f>
        <v>0</v>
      </c>
      <c r="L21" s="238">
        <f>_xlfn.IFNA(VLOOKUP(L18,'TANKS Vapor Fx'!$A$3:$C$294,3,FALSE),0)</f>
        <v>0</v>
      </c>
      <c r="M21" s="238">
        <f>_xlfn.IFNA(VLOOKUP(M18,'TANKS Vapor Fx'!$A$3:$C$294,3,FALSE),0)</f>
        <v>0</v>
      </c>
      <c r="N21" s="238">
        <f>_xlfn.IFNA(VLOOKUP(N18,'TANKS Vapor Fx'!$A$3:$C$294,3,FALSE),0)</f>
        <v>0</v>
      </c>
      <c r="O21" s="238">
        <f>_xlfn.IFNA(VLOOKUP(O18,'TANKS Vapor Fx'!$A$3:$C$294,3,FALSE),0)</f>
        <v>0</v>
      </c>
      <c r="P21" s="238">
        <f>_xlfn.IFNA(VLOOKUP(P18,'TANKS Vapor Fx'!$A$3:$C$294,3,FALSE),0)</f>
        <v>0</v>
      </c>
      <c r="Q21" s="239">
        <f>'TANKS Calculations'!W34</f>
        <v>0</v>
      </c>
    </row>
    <row r="22" spans="1:17" ht="20.100000000000001" customHeight="1" thickBot="1" x14ac:dyDescent="0.25">
      <c r="A22" s="240" t="s">
        <v>9697</v>
      </c>
      <c r="B22" s="373"/>
      <c r="C22" s="369"/>
      <c r="D22" s="369"/>
      <c r="E22" s="369"/>
      <c r="F22" s="369"/>
      <c r="G22" s="369"/>
      <c r="H22" s="369"/>
      <c r="I22" s="369"/>
      <c r="J22" s="369"/>
      <c r="K22" s="370"/>
      <c r="L22" s="369"/>
      <c r="M22" s="369"/>
      <c r="N22" s="370"/>
      <c r="O22" s="369"/>
      <c r="P22" s="369"/>
      <c r="Q22" s="241"/>
    </row>
    <row r="23" spans="1:17" ht="20.100000000000001" customHeight="1" x14ac:dyDescent="0.2">
      <c r="A23" s="237" t="s">
        <v>9698</v>
      </c>
      <c r="B23" s="242">
        <f t="shared" ref="B23:P23" si="0">IF(ISBLANK(B18),0,IF(B19="Yes",IF($B$12="Fixed",0.75,0.4),1))</f>
        <v>0</v>
      </c>
      <c r="C23" s="242">
        <f t="shared" si="0"/>
        <v>0</v>
      </c>
      <c r="D23" s="242">
        <f t="shared" si="0"/>
        <v>0</v>
      </c>
      <c r="E23" s="242">
        <f t="shared" si="0"/>
        <v>0</v>
      </c>
      <c r="F23" s="242">
        <f t="shared" si="0"/>
        <v>0</v>
      </c>
      <c r="G23" s="242">
        <f t="shared" si="0"/>
        <v>0</v>
      </c>
      <c r="H23" s="242">
        <f t="shared" si="0"/>
        <v>0</v>
      </c>
      <c r="I23" s="242">
        <f t="shared" si="0"/>
        <v>0</v>
      </c>
      <c r="J23" s="242">
        <f t="shared" si="0"/>
        <v>0</v>
      </c>
      <c r="K23" s="242">
        <f t="shared" si="0"/>
        <v>0</v>
      </c>
      <c r="L23" s="242">
        <f t="shared" si="0"/>
        <v>0</v>
      </c>
      <c r="M23" s="242">
        <f t="shared" si="0"/>
        <v>0</v>
      </c>
      <c r="N23" s="242">
        <f t="shared" si="0"/>
        <v>0</v>
      </c>
      <c r="O23" s="242">
        <f t="shared" si="0"/>
        <v>0</v>
      </c>
      <c r="P23" s="242">
        <f t="shared" si="0"/>
        <v>0</v>
      </c>
      <c r="Q23" s="243">
        <f>'TANKS Calculations'!W36</f>
        <v>1</v>
      </c>
    </row>
    <row r="24" spans="1:17" ht="20.100000000000001" customHeight="1" thickBot="1" x14ac:dyDescent="0.25">
      <c r="A24" s="240" t="s">
        <v>9699</v>
      </c>
      <c r="B24" s="373"/>
      <c r="C24" s="369"/>
      <c r="D24" s="369"/>
      <c r="E24" s="369"/>
      <c r="F24" s="369"/>
      <c r="G24" s="369"/>
      <c r="H24" s="369"/>
      <c r="I24" s="369"/>
      <c r="J24" s="369"/>
      <c r="K24" s="370"/>
      <c r="L24" s="369"/>
      <c r="M24" s="369"/>
      <c r="N24" s="370"/>
      <c r="O24" s="369"/>
      <c r="P24" s="369"/>
      <c r="Q24" s="241"/>
    </row>
    <row r="25" spans="1:17" ht="20.100000000000001" customHeight="1" x14ac:dyDescent="0.2">
      <c r="A25" s="237" t="s">
        <v>9700</v>
      </c>
      <c r="B25" s="238">
        <f>_xlfn.IFNA(VLOOKUP(B18,'TANKS Vapor Fx'!$A$3:$B$294,2,FALSE),0)</f>
        <v>0</v>
      </c>
      <c r="C25" s="238">
        <f>_xlfn.IFNA(VLOOKUP(C18,'TANKS Vapor Fx'!$A$3:$B$294,2,FALSE),0)</f>
        <v>0</v>
      </c>
      <c r="D25" s="238">
        <f>_xlfn.IFNA(VLOOKUP(D18,'TANKS Vapor Fx'!$A$3:$B$294,2,FALSE),0)</f>
        <v>0</v>
      </c>
      <c r="E25" s="238">
        <f>_xlfn.IFNA(VLOOKUP(E18,'TANKS Vapor Fx'!$A$3:$B$294,2,FALSE),0)</f>
        <v>0</v>
      </c>
      <c r="F25" s="238">
        <f>_xlfn.IFNA(VLOOKUP(F18,'TANKS Vapor Fx'!$A$3:$B$294,2,FALSE),0)</f>
        <v>0</v>
      </c>
      <c r="G25" s="238">
        <f>_xlfn.IFNA(VLOOKUP(G18,'TANKS Vapor Fx'!$A$3:$B$294,2,FALSE),0)</f>
        <v>0</v>
      </c>
      <c r="H25" s="238">
        <f>_xlfn.IFNA(VLOOKUP(H18,'TANKS Vapor Fx'!$A$3:$B$294,2,FALSE),0)</f>
        <v>0</v>
      </c>
      <c r="I25" s="238">
        <f>_xlfn.IFNA(VLOOKUP(I18,'TANKS Vapor Fx'!$A$3:$B$294,2,FALSE),0)</f>
        <v>0</v>
      </c>
      <c r="J25" s="238">
        <f>_xlfn.IFNA(VLOOKUP(J18,'TANKS Vapor Fx'!$A$3:$B$294,2,FALSE),0)</f>
        <v>0</v>
      </c>
      <c r="K25" s="238">
        <f>_xlfn.IFNA(VLOOKUP(K18,'TANKS Vapor Fx'!$A$3:$B$294,2,FALSE),0)</f>
        <v>0</v>
      </c>
      <c r="L25" s="238">
        <f>_xlfn.IFNA(VLOOKUP(L18,'TANKS Vapor Fx'!$A$3:$B$294,2,FALSE),0)</f>
        <v>0</v>
      </c>
      <c r="M25" s="238">
        <f>_xlfn.IFNA(VLOOKUP(M18,'TANKS Vapor Fx'!$A$3:$B$294,2,FALSE),0)</f>
        <v>0</v>
      </c>
      <c r="N25" s="238">
        <f>_xlfn.IFNA(VLOOKUP(N18,'TANKS Vapor Fx'!$A$3:$B$294,2,FALSE),0)</f>
        <v>0</v>
      </c>
      <c r="O25" s="238">
        <f>_xlfn.IFNA(VLOOKUP(O18,'TANKS Vapor Fx'!$A$3:$B$294,2,FALSE),0)</f>
        <v>0</v>
      </c>
      <c r="P25" s="238">
        <f>_xlfn.IFNA(VLOOKUP(P18,'TANKS Vapor Fx'!$A$3:$B$294,2,FALSE),0)</f>
        <v>0</v>
      </c>
      <c r="Q25" s="239">
        <f>SUM('TANKS Calculations'!H37:Q37)</f>
        <v>0</v>
      </c>
    </row>
    <row r="26" spans="1:17" ht="20.100000000000001" customHeight="1" thickBot="1" x14ac:dyDescent="0.25">
      <c r="A26" s="235" t="s">
        <v>9701</v>
      </c>
      <c r="B26" s="374"/>
      <c r="C26" s="371"/>
      <c r="D26" s="371"/>
      <c r="E26" s="371"/>
      <c r="F26" s="371"/>
      <c r="G26" s="371"/>
      <c r="H26" s="371"/>
      <c r="I26" s="371"/>
      <c r="J26" s="371"/>
      <c r="K26" s="372"/>
      <c r="L26" s="371"/>
      <c r="M26" s="371"/>
      <c r="N26" s="372"/>
      <c r="O26" s="371"/>
      <c r="P26" s="371"/>
      <c r="Q26" s="244"/>
    </row>
    <row r="27" spans="1:17" ht="30" customHeight="1" thickBot="1" x14ac:dyDescent="0.25">
      <c r="A27" s="1376" t="s">
        <v>8411</v>
      </c>
      <c r="B27" s="1376"/>
      <c r="C27" s="1376"/>
      <c r="D27" s="1376"/>
      <c r="E27" s="151"/>
      <c r="F27" s="224"/>
      <c r="G27" s="224"/>
      <c r="H27" s="224"/>
      <c r="I27" s="224"/>
      <c r="J27" s="224"/>
      <c r="K27" s="224"/>
      <c r="L27" s="224"/>
      <c r="M27" s="224"/>
      <c r="N27" s="224"/>
      <c r="O27" s="224"/>
      <c r="P27" s="224"/>
      <c r="Q27" s="224"/>
    </row>
    <row r="28" spans="1:17" ht="60" customHeight="1" thickBot="1" x14ac:dyDescent="0.3">
      <c r="A28" s="1352" t="s">
        <v>9684</v>
      </c>
      <c r="B28" s="1353"/>
      <c r="C28" s="1353"/>
      <c r="D28" s="1354"/>
      <c r="E28" s="224"/>
      <c r="F28" s="224"/>
      <c r="G28" s="224"/>
      <c r="H28" s="224"/>
      <c r="I28" s="224"/>
      <c r="J28" s="224"/>
      <c r="K28" s="224"/>
      <c r="L28" s="224"/>
      <c r="M28" s="224"/>
      <c r="N28" s="224"/>
      <c r="O28" s="224"/>
      <c r="P28" s="224"/>
      <c r="Q28" s="224"/>
    </row>
    <row r="29" spans="1:17" ht="20.100000000000001" customHeight="1" thickBot="1" x14ac:dyDescent="0.3">
      <c r="A29" s="152" t="s">
        <v>9685</v>
      </c>
      <c r="B29" s="153" t="s">
        <v>9686</v>
      </c>
      <c r="C29" s="154" t="s">
        <v>9687</v>
      </c>
      <c r="D29" s="155" t="s">
        <v>9688</v>
      </c>
      <c r="E29" s="224"/>
      <c r="F29" s="224"/>
      <c r="G29" s="224"/>
      <c r="H29" s="224"/>
      <c r="I29" s="224"/>
      <c r="J29" s="224"/>
      <c r="K29" s="224"/>
      <c r="L29" s="224"/>
      <c r="M29" s="224"/>
      <c r="N29" s="224"/>
      <c r="O29" s="224"/>
      <c r="P29" s="224"/>
      <c r="Q29" s="224"/>
    </row>
    <row r="30" spans="1:17" ht="20.100000000000001" customHeight="1" x14ac:dyDescent="0.2">
      <c r="A30" s="225" t="s">
        <v>9702</v>
      </c>
      <c r="B30" s="245">
        <f>_xlfn.IFNA(VLOOKUP(B14,'TANKS Data'!$A$189:$H$213,8,FALSE),14.7)</f>
        <v>14.7</v>
      </c>
      <c r="C30" s="375"/>
      <c r="D30" s="246" t="s">
        <v>8867</v>
      </c>
      <c r="E30" s="224"/>
      <c r="F30" s="224"/>
      <c r="G30" s="224"/>
      <c r="H30" s="224"/>
      <c r="I30" s="224"/>
      <c r="J30" s="224"/>
      <c r="K30" s="224"/>
      <c r="L30" s="224"/>
      <c r="M30" s="224"/>
      <c r="N30" s="224"/>
      <c r="O30" s="224"/>
      <c r="P30" s="224"/>
      <c r="Q30" s="224"/>
    </row>
    <row r="31" spans="1:17" ht="30" customHeight="1" x14ac:dyDescent="0.2">
      <c r="A31" s="247" t="s">
        <v>9703</v>
      </c>
      <c r="B31" s="300" t="s">
        <v>8708</v>
      </c>
      <c r="C31" s="376"/>
      <c r="D31" s="249" t="s">
        <v>9689</v>
      </c>
      <c r="E31" s="224"/>
      <c r="F31" s="224"/>
      <c r="G31" s="224"/>
      <c r="H31" s="224"/>
      <c r="I31" s="224"/>
      <c r="J31" s="224"/>
      <c r="K31" s="224"/>
      <c r="L31" s="224"/>
      <c r="M31" s="224"/>
      <c r="N31" s="224"/>
      <c r="O31" s="224"/>
      <c r="P31" s="224"/>
      <c r="Q31" s="224"/>
    </row>
    <row r="32" spans="1:17" ht="20.100000000000001" customHeight="1" x14ac:dyDescent="0.35">
      <c r="A32" s="228" t="s">
        <v>9704</v>
      </c>
      <c r="B32" s="250">
        <f>Q23</f>
        <v>1</v>
      </c>
      <c r="C32" s="377"/>
      <c r="D32" s="227" t="s">
        <v>9689</v>
      </c>
      <c r="E32" s="224"/>
      <c r="F32" s="224"/>
      <c r="G32" s="224"/>
      <c r="H32" s="224"/>
      <c r="I32" s="224"/>
    </row>
    <row r="33" spans="1:9" ht="20.100000000000001" customHeight="1" x14ac:dyDescent="0.2">
      <c r="A33" s="329" t="s">
        <v>9705</v>
      </c>
      <c r="B33" s="251" t="s">
        <v>8708</v>
      </c>
      <c r="C33" s="378"/>
      <c r="D33" s="246" t="s">
        <v>9689</v>
      </c>
      <c r="E33" s="224"/>
      <c r="F33" s="224"/>
      <c r="G33" s="224"/>
      <c r="H33" s="224"/>
      <c r="I33" s="224"/>
    </row>
    <row r="34" spans="1:9" ht="20.100000000000001" customHeight="1" x14ac:dyDescent="0.2">
      <c r="A34" s="330" t="s">
        <v>9706</v>
      </c>
      <c r="B34" s="229" t="s">
        <v>8708</v>
      </c>
      <c r="C34" s="379"/>
      <c r="D34" s="227" t="s">
        <v>9707</v>
      </c>
      <c r="E34" s="224"/>
      <c r="F34" s="224"/>
      <c r="G34" s="224"/>
      <c r="H34" s="224"/>
      <c r="I34" s="224"/>
    </row>
    <row r="35" spans="1:9" ht="20.100000000000001" customHeight="1" x14ac:dyDescent="0.2">
      <c r="A35" s="228" t="s">
        <v>9708</v>
      </c>
      <c r="B35" s="229" t="s">
        <v>8708</v>
      </c>
      <c r="C35" s="380"/>
      <c r="D35" s="227" t="s">
        <v>9689</v>
      </c>
      <c r="E35" s="224"/>
      <c r="F35" s="224"/>
      <c r="G35" s="224"/>
      <c r="H35" s="224"/>
      <c r="I35" s="224"/>
    </row>
    <row r="36" spans="1:9" ht="30" customHeight="1" x14ac:dyDescent="0.2">
      <c r="A36" s="228" t="s">
        <v>9709</v>
      </c>
      <c r="B36" s="229" t="s">
        <v>8708</v>
      </c>
      <c r="C36" s="379"/>
      <c r="D36" s="227" t="s">
        <v>9707</v>
      </c>
      <c r="E36" s="224"/>
      <c r="F36" s="224"/>
      <c r="G36" s="224"/>
      <c r="H36" s="224"/>
      <c r="I36" s="224"/>
    </row>
    <row r="37" spans="1:9" ht="20.100000000000001" customHeight="1" x14ac:dyDescent="0.2">
      <c r="A37" s="228" t="s">
        <v>9710</v>
      </c>
      <c r="B37" s="229" t="s">
        <v>8708</v>
      </c>
      <c r="C37" s="379"/>
      <c r="D37" s="227" t="s">
        <v>9707</v>
      </c>
      <c r="E37" s="224"/>
      <c r="F37" s="224"/>
      <c r="G37" s="224"/>
      <c r="H37" s="224"/>
      <c r="I37" s="224"/>
    </row>
    <row r="38" spans="1:9" ht="20.100000000000001" customHeight="1" x14ac:dyDescent="0.35">
      <c r="A38" s="228" t="s">
        <v>9711</v>
      </c>
      <c r="B38" s="252">
        <f>IFERROR(IF('TANKS Calculations'!C5&gt;0,'TANKS Calculations'!C5,SQRT(4*'TANKS Calculations'!C7*'TANKS Calculations'!C6/PI())),0)</f>
        <v>0</v>
      </c>
      <c r="C38" s="379"/>
      <c r="D38" s="227" t="s">
        <v>9707</v>
      </c>
      <c r="E38" s="224"/>
      <c r="F38" s="224"/>
      <c r="G38" s="224"/>
      <c r="H38" s="224"/>
      <c r="I38" s="224"/>
    </row>
    <row r="39" spans="1:9" ht="30" customHeight="1" x14ac:dyDescent="0.2">
      <c r="A39" s="228" t="s">
        <v>9712</v>
      </c>
      <c r="B39" s="253">
        <f>'TANKS Calculations'!C6*PI()/4</f>
        <v>0</v>
      </c>
      <c r="C39" s="379"/>
      <c r="D39" s="227" t="s">
        <v>9707</v>
      </c>
      <c r="E39" s="224"/>
      <c r="F39" s="224"/>
      <c r="G39" s="224"/>
      <c r="H39" s="224"/>
      <c r="I39" s="224"/>
    </row>
    <row r="40" spans="1:9" ht="20.100000000000001" customHeight="1" x14ac:dyDescent="0.2">
      <c r="A40" s="228" t="s">
        <v>9713</v>
      </c>
      <c r="B40" s="254" t="s">
        <v>8708</v>
      </c>
      <c r="C40" s="379"/>
      <c r="D40" s="227" t="s">
        <v>9707</v>
      </c>
      <c r="E40" s="224"/>
      <c r="F40" s="224"/>
      <c r="G40" s="224"/>
      <c r="H40" s="224"/>
      <c r="I40" s="224"/>
    </row>
    <row r="41" spans="1:9" ht="20.100000000000001" customHeight="1" x14ac:dyDescent="0.2">
      <c r="A41" s="228" t="s">
        <v>9714</v>
      </c>
      <c r="B41" s="255">
        <f>IF(C33="Horizontal",'TANKS Calculations'!C6,'TANKS Calculations'!C10)-1</f>
        <v>-1</v>
      </c>
      <c r="C41" s="379"/>
      <c r="D41" s="227" t="s">
        <v>9707</v>
      </c>
      <c r="E41" s="224"/>
      <c r="F41" s="224"/>
      <c r="G41" s="224"/>
      <c r="H41" s="224"/>
      <c r="I41" s="224"/>
    </row>
    <row r="42" spans="1:9" ht="20.100000000000001" customHeight="1" x14ac:dyDescent="0.2">
      <c r="A42" s="228" t="s">
        <v>9715</v>
      </c>
      <c r="B42" s="255">
        <v>1</v>
      </c>
      <c r="C42" s="379"/>
      <c r="D42" s="227" t="s">
        <v>9707</v>
      </c>
      <c r="E42" s="224"/>
      <c r="F42" s="224"/>
      <c r="G42" s="224"/>
      <c r="H42" s="224"/>
      <c r="I42" s="224"/>
    </row>
    <row r="43" spans="1:9" ht="20.100000000000001" customHeight="1" x14ac:dyDescent="0.2">
      <c r="A43" s="228" t="s">
        <v>9716</v>
      </c>
      <c r="B43" s="255">
        <f>('TANKS Calculations'!C11+'TANKS Calculations'!C12)/2</f>
        <v>0</v>
      </c>
      <c r="C43" s="379"/>
      <c r="D43" s="227" t="s">
        <v>9707</v>
      </c>
      <c r="E43" s="224"/>
      <c r="F43" s="224"/>
      <c r="G43" s="224"/>
      <c r="H43" s="224"/>
      <c r="I43" s="224"/>
    </row>
    <row r="44" spans="1:9" ht="20.100000000000001" customHeight="1" x14ac:dyDescent="0.2">
      <c r="A44" s="256" t="s">
        <v>9717</v>
      </c>
      <c r="B44" s="229" t="s">
        <v>8708</v>
      </c>
      <c r="C44" s="381"/>
      <c r="D44" s="227" t="s">
        <v>9718</v>
      </c>
      <c r="E44" s="224"/>
      <c r="F44" s="224"/>
      <c r="G44" s="224"/>
      <c r="H44" s="224"/>
      <c r="I44" s="224"/>
    </row>
    <row r="45" spans="1:9" ht="39.950000000000003" customHeight="1" x14ac:dyDescent="0.35">
      <c r="A45" s="228" t="s">
        <v>9719</v>
      </c>
      <c r="B45" s="229" t="s">
        <v>8708</v>
      </c>
      <c r="C45" s="382"/>
      <c r="D45" s="227" t="s">
        <v>9689</v>
      </c>
      <c r="E45" s="224"/>
      <c r="F45" s="224"/>
      <c r="G45" s="224"/>
      <c r="H45" s="224"/>
      <c r="I45" s="224"/>
    </row>
    <row r="46" spans="1:9" ht="30" customHeight="1" x14ac:dyDescent="0.2">
      <c r="A46" s="228" t="s">
        <v>9720</v>
      </c>
      <c r="B46" s="229" t="s">
        <v>8708</v>
      </c>
      <c r="C46" s="382"/>
      <c r="D46" s="227" t="s">
        <v>9689</v>
      </c>
      <c r="E46" s="224"/>
      <c r="F46" s="224"/>
      <c r="G46" s="224"/>
      <c r="H46" s="224"/>
      <c r="I46" s="224"/>
    </row>
    <row r="47" spans="1:9" ht="30" customHeight="1" x14ac:dyDescent="0.2">
      <c r="A47" s="228" t="s">
        <v>9721</v>
      </c>
      <c r="B47" s="257" t="s">
        <v>8708</v>
      </c>
      <c r="C47" s="381"/>
      <c r="D47" s="227" t="s">
        <v>9722</v>
      </c>
      <c r="E47" s="224"/>
      <c r="F47" s="224"/>
      <c r="G47" s="224"/>
      <c r="H47" s="224"/>
      <c r="I47" s="224"/>
    </row>
    <row r="48" spans="1:9" ht="30" customHeight="1" x14ac:dyDescent="0.2">
      <c r="A48" s="228" t="s">
        <v>9723</v>
      </c>
      <c r="B48" s="257" t="s">
        <v>8708</v>
      </c>
      <c r="C48" s="381"/>
      <c r="D48" s="227" t="s">
        <v>9722</v>
      </c>
      <c r="E48" s="224"/>
      <c r="F48" s="224"/>
      <c r="G48" s="224"/>
      <c r="H48" s="224"/>
      <c r="I48" s="224"/>
    </row>
    <row r="49" spans="1:9" ht="20.100000000000001" customHeight="1" x14ac:dyDescent="0.2">
      <c r="A49" s="256" t="s">
        <v>9724</v>
      </c>
      <c r="B49" s="258">
        <f>IFERROR(IF(C45="Yes",'TANKS Calculations'!C18/('TANKS Calculations'!C11-'TANKS Calculations'!C12),'TANKS Calculations'!C16/'TANKS Calculations'!C14),0)</f>
        <v>0</v>
      </c>
      <c r="C49" s="383"/>
      <c r="D49" s="259" t="s">
        <v>9725</v>
      </c>
      <c r="E49" s="224"/>
      <c r="F49" s="224"/>
      <c r="G49" s="224"/>
      <c r="H49" s="224"/>
      <c r="I49" s="224"/>
    </row>
    <row r="50" spans="1:9" ht="20.100000000000001" customHeight="1" x14ac:dyDescent="0.2">
      <c r="A50" s="256" t="s">
        <v>9726</v>
      </c>
      <c r="B50" s="260">
        <f>IF(AND(C45="No",C46="No"),C44*'TANKS Calculations'!C15,('TANKS Calculations'!C19*(PI()/4)*('TANKS Calculations'!C8^2))/(5.614*0.02381))</f>
        <v>0</v>
      </c>
      <c r="C50" s="381"/>
      <c r="D50" s="227" t="s">
        <v>9727</v>
      </c>
      <c r="E50" s="224"/>
      <c r="F50" s="224"/>
      <c r="G50" s="224"/>
      <c r="H50" s="224"/>
      <c r="I50" s="224"/>
    </row>
    <row r="51" spans="1:9" ht="20.100000000000001" customHeight="1" x14ac:dyDescent="0.2">
      <c r="A51" s="225"/>
      <c r="B51" s="260">
        <f>IFERROR('TANKS Calculations'!C16*0.02381,0)</f>
        <v>0</v>
      </c>
      <c r="C51" s="381"/>
      <c r="D51" s="227" t="s">
        <v>9728</v>
      </c>
      <c r="E51" s="224"/>
      <c r="F51" s="224"/>
      <c r="G51" s="224"/>
      <c r="H51" s="224"/>
      <c r="I51" s="224"/>
    </row>
    <row r="52" spans="1:9" ht="20.100000000000001" customHeight="1" x14ac:dyDescent="0.35">
      <c r="A52" s="247" t="s">
        <v>9729</v>
      </c>
      <c r="B52" s="261">
        <f>IFERROR(IF(C45="Yes",'TANKS Calculations'!C18*('TANKS Calculations'!C8^2)*PI()/4,5.614*'TANKS Calculations'!C17),0)</f>
        <v>0</v>
      </c>
      <c r="C52" s="384"/>
      <c r="D52" s="249" t="s">
        <v>9730</v>
      </c>
      <c r="E52" s="224"/>
      <c r="F52" s="224"/>
      <c r="G52" s="224"/>
      <c r="H52" s="224"/>
      <c r="I52" s="224"/>
    </row>
    <row r="53" spans="1:9" ht="20.100000000000001" customHeight="1" thickBot="1" x14ac:dyDescent="0.25">
      <c r="A53" s="262" t="s">
        <v>9731</v>
      </c>
      <c r="B53" s="263">
        <f>IFERROR(IF(ISBLANK(C49),IF(('TANKS Calculations'!C17/0.02381)/'TANKS Calculations'!C14&lt;=36,1,(180+(('TANKS Calculations'!C17/0.02381))/'TANKS Calculations'!C14)/(6*(('TANKS Calculations'!C17/0.02381)/'TANKS Calculations'!C14))),IF('TANKS Calculations'!C15&lt;=36,1,(180+'TANKS Calculations'!C15)/(6*'TANKS Calculations'!C15))),1)</f>
        <v>1</v>
      </c>
      <c r="C53" s="385"/>
      <c r="D53" s="264" t="s">
        <v>9689</v>
      </c>
      <c r="E53" s="224"/>
      <c r="F53" s="224"/>
      <c r="G53" s="224"/>
      <c r="H53" s="224"/>
      <c r="I53" s="224"/>
    </row>
    <row r="54" spans="1:9" ht="30" customHeight="1" x14ac:dyDescent="0.2">
      <c r="A54" s="225" t="s">
        <v>9732</v>
      </c>
      <c r="B54" s="251" t="s">
        <v>8708</v>
      </c>
      <c r="C54" s="378"/>
      <c r="D54" s="246" t="s">
        <v>9689</v>
      </c>
      <c r="E54" s="224"/>
      <c r="F54" s="224"/>
      <c r="G54" s="224"/>
      <c r="H54" s="224"/>
      <c r="I54" s="224"/>
    </row>
    <row r="55" spans="1:9" ht="30" customHeight="1" x14ac:dyDescent="0.2">
      <c r="A55" s="228" t="s">
        <v>9733</v>
      </c>
      <c r="B55" s="229" t="s">
        <v>8708</v>
      </c>
      <c r="C55" s="380"/>
      <c r="D55" s="227" t="s">
        <v>9689</v>
      </c>
      <c r="E55" s="224"/>
      <c r="F55" s="224"/>
      <c r="G55" s="224"/>
      <c r="H55" s="224"/>
      <c r="I55" s="224"/>
    </row>
    <row r="56" spans="1:9" ht="30" customHeight="1" x14ac:dyDescent="0.2">
      <c r="A56" s="225" t="s">
        <v>9734</v>
      </c>
      <c r="B56" s="251" t="s">
        <v>8708</v>
      </c>
      <c r="C56" s="378"/>
      <c r="D56" s="246" t="s">
        <v>9689</v>
      </c>
      <c r="E56" s="224"/>
      <c r="F56" s="224"/>
      <c r="G56" s="224"/>
      <c r="H56" s="224"/>
      <c r="I56" s="224"/>
    </row>
    <row r="57" spans="1:9" ht="30" customHeight="1" thickBot="1" x14ac:dyDescent="0.25">
      <c r="A57" s="262" t="s">
        <v>9735</v>
      </c>
      <c r="B57" s="265" t="s">
        <v>8708</v>
      </c>
      <c r="C57" s="380"/>
      <c r="D57" s="264" t="s">
        <v>9689</v>
      </c>
      <c r="E57" s="224"/>
      <c r="F57" s="224"/>
      <c r="G57" s="224"/>
      <c r="H57" s="224"/>
      <c r="I57" s="224"/>
    </row>
    <row r="58" spans="1:9" ht="20.100000000000001" customHeight="1" x14ac:dyDescent="0.2">
      <c r="A58" s="429" t="s">
        <v>10014</v>
      </c>
      <c r="B58" s="267" t="s">
        <v>8708</v>
      </c>
      <c r="C58" s="386"/>
      <c r="D58" s="268" t="s">
        <v>9689</v>
      </c>
      <c r="E58" s="224"/>
      <c r="F58" s="224"/>
      <c r="G58" s="224"/>
      <c r="H58" s="224"/>
      <c r="I58" s="224"/>
    </row>
    <row r="59" spans="1:9" ht="30" customHeight="1" x14ac:dyDescent="0.2">
      <c r="A59" s="228" t="s">
        <v>9736</v>
      </c>
      <c r="B59" s="252">
        <f>IF(C58="Cone",0.0625,0)</f>
        <v>0</v>
      </c>
      <c r="C59" s="379"/>
      <c r="D59" s="227" t="s">
        <v>9737</v>
      </c>
      <c r="E59" s="224"/>
      <c r="F59" s="224"/>
      <c r="G59" s="224"/>
      <c r="H59" s="224"/>
      <c r="I59" s="224"/>
    </row>
    <row r="60" spans="1:9" ht="30" customHeight="1" x14ac:dyDescent="0.2">
      <c r="A60" s="228" t="s">
        <v>9738</v>
      </c>
      <c r="B60" s="252">
        <f>IF(C58="Dome",IF(C33="Horizontal",SQRT((C37*C36*4)/PI())/2,C34/2),0)</f>
        <v>0</v>
      </c>
      <c r="C60" s="379"/>
      <c r="D60" s="227" t="s">
        <v>9707</v>
      </c>
      <c r="E60" s="224"/>
      <c r="F60" s="224"/>
      <c r="G60" s="224"/>
      <c r="H60" s="224"/>
      <c r="I60" s="224"/>
    </row>
    <row r="61" spans="1:9" ht="20.100000000000001" customHeight="1" x14ac:dyDescent="0.2">
      <c r="A61" s="228" t="s">
        <v>9739</v>
      </c>
      <c r="B61" s="252">
        <f>IF(C33="Horizontal",SQRT((C37*C36*4)/PI())/2,C34/2)</f>
        <v>0</v>
      </c>
      <c r="C61" s="379"/>
      <c r="D61" s="227" t="s">
        <v>9707</v>
      </c>
      <c r="E61" s="224"/>
      <c r="F61" s="224"/>
      <c r="G61" s="224"/>
      <c r="H61" s="224"/>
      <c r="I61" s="224"/>
    </row>
    <row r="62" spans="1:9" ht="20.100000000000001" customHeight="1" x14ac:dyDescent="0.2">
      <c r="A62" s="228" t="s">
        <v>9740</v>
      </c>
      <c r="B62" s="252">
        <f>IF(C58="Dome",IF('TANKS Calculations'!C55=0,0.268*'TANKS Calculations'!C56,'TANKS Calculations'!C55-SQRT(('TANKS Calculations'!C55^2)-('TANKS Calculations'!C56^2))),'TANKS Calculations'!C56*'TANKS Calculations'!C54)</f>
        <v>0</v>
      </c>
      <c r="C62" s="379"/>
      <c r="D62" s="227" t="s">
        <v>9707</v>
      </c>
      <c r="E62" s="224"/>
      <c r="F62" s="224"/>
      <c r="G62" s="224"/>
      <c r="H62" s="224"/>
      <c r="I62" s="224"/>
    </row>
    <row r="63" spans="1:9" ht="20.100000000000001" customHeight="1" x14ac:dyDescent="0.2">
      <c r="A63" s="228" t="s">
        <v>9741</v>
      </c>
      <c r="B63" s="252">
        <f>IF(C58="Dome",IF('TANKS Calculations'!C55=0,0.137*'TANKS Calculations'!C56,('TANKS Calculations'!C57*(0.5+(1/6)*(('TANKS Calculations'!C57/'TANKS Calculations'!C56)^2)))),IF(C58="Cone",'TANKS Calculations'!C57/3,0))</f>
        <v>0</v>
      </c>
      <c r="C63" s="379"/>
      <c r="D63" s="227" t="s">
        <v>9707</v>
      </c>
      <c r="E63" s="224"/>
      <c r="F63" s="224"/>
      <c r="G63" s="224"/>
      <c r="H63" s="224"/>
      <c r="I63" s="224"/>
    </row>
    <row r="64" spans="1:9" ht="20.100000000000001" customHeight="1" x14ac:dyDescent="0.2">
      <c r="A64" s="228" t="s">
        <v>9742</v>
      </c>
      <c r="B64" s="252">
        <f>IFERROR(IF(C33="Horizontal",'TANKS Calculations'!C9/2,'TANKS Calculations'!C10-'TANKS Calculations'!C58+'TANKS Calculations'!C59),0)</f>
        <v>0</v>
      </c>
      <c r="C64" s="379"/>
      <c r="D64" s="227" t="s">
        <v>9707</v>
      </c>
      <c r="E64" s="224"/>
      <c r="F64" s="224"/>
      <c r="G64" s="224"/>
      <c r="H64" s="224"/>
      <c r="I64" s="224"/>
    </row>
    <row r="65" spans="1:16" ht="20.100000000000001" customHeight="1" x14ac:dyDescent="0.2">
      <c r="A65" s="256" t="s">
        <v>9743</v>
      </c>
      <c r="B65" s="258">
        <f>(PI()/4)*('TANKS Calculations'!C8^2)*'TANKS Calculations'!C60</f>
        <v>0</v>
      </c>
      <c r="C65" s="383"/>
      <c r="D65" s="259" t="s">
        <v>9730</v>
      </c>
      <c r="E65" s="224"/>
      <c r="F65" s="224"/>
      <c r="G65" s="224"/>
      <c r="H65" s="224"/>
      <c r="I65" s="224"/>
    </row>
    <row r="66" spans="1:16" ht="20.100000000000001" customHeight="1" thickBot="1" x14ac:dyDescent="0.25">
      <c r="A66" s="262" t="s">
        <v>9744</v>
      </c>
      <c r="B66" s="269" t="s">
        <v>6</v>
      </c>
      <c r="C66" s="387"/>
      <c r="D66" s="264" t="s">
        <v>9689</v>
      </c>
      <c r="E66" s="224"/>
      <c r="F66" s="224"/>
      <c r="G66" s="224"/>
      <c r="H66" s="224"/>
      <c r="I66" s="224"/>
    </row>
    <row r="67" spans="1:16" ht="45" customHeight="1" x14ac:dyDescent="0.2">
      <c r="A67" s="266" t="s">
        <v>9745</v>
      </c>
      <c r="B67" s="270" t="s">
        <v>8708</v>
      </c>
      <c r="C67" s="386"/>
      <c r="D67" s="268" t="s">
        <v>9689</v>
      </c>
      <c r="E67" s="224"/>
      <c r="F67" s="224"/>
      <c r="G67" s="224"/>
      <c r="H67" s="224"/>
      <c r="I67" s="224"/>
    </row>
    <row r="68" spans="1:16" ht="45" customHeight="1" thickBot="1" x14ac:dyDescent="0.25">
      <c r="A68" s="262" t="s">
        <v>9746</v>
      </c>
      <c r="B68" s="271" t="s">
        <v>8708</v>
      </c>
      <c r="C68" s="388"/>
      <c r="D68" s="264" t="s">
        <v>9689</v>
      </c>
      <c r="E68" s="224"/>
      <c r="F68" s="224"/>
      <c r="G68" s="224"/>
      <c r="H68" s="224"/>
      <c r="I68" s="224"/>
      <c r="J68" s="224"/>
      <c r="K68" s="224"/>
      <c r="L68" s="224"/>
      <c r="M68" s="224"/>
      <c r="N68" s="224"/>
      <c r="O68" s="224"/>
      <c r="P68" s="224"/>
    </row>
    <row r="69" spans="1:16" ht="30" customHeight="1" x14ac:dyDescent="0.2">
      <c r="A69" s="225" t="s">
        <v>9747</v>
      </c>
      <c r="B69" s="272" t="s">
        <v>8708</v>
      </c>
      <c r="C69" s="378"/>
      <c r="D69" s="246" t="s">
        <v>9689</v>
      </c>
      <c r="E69" s="224"/>
      <c r="F69" s="224"/>
      <c r="G69" s="224"/>
      <c r="H69" s="224"/>
      <c r="I69" s="224"/>
    </row>
    <row r="70" spans="1:16" ht="20.100000000000001" customHeight="1" x14ac:dyDescent="0.2">
      <c r="A70" s="225" t="s">
        <v>9748</v>
      </c>
      <c r="B70" s="273">
        <f>_xlfn.IFNA(HLOOKUP(C55,'TANKS Data'!$C$173:$E$186,MATCH(C54,'TANKS Data'!$B$173:$B$186,0),FALSE),0)</f>
        <v>0</v>
      </c>
      <c r="C70" s="389"/>
      <c r="D70" s="246" t="s">
        <v>9689</v>
      </c>
      <c r="E70" s="224"/>
      <c r="F70" s="224"/>
      <c r="G70" s="224"/>
      <c r="H70" s="224"/>
      <c r="I70" s="224"/>
    </row>
    <row r="71" spans="1:16" ht="20.100000000000001" customHeight="1" x14ac:dyDescent="0.2">
      <c r="A71" s="228" t="s">
        <v>9749</v>
      </c>
      <c r="B71" s="274">
        <f>_xlfn.IFNA(HLOOKUP(C57,'TANKS Data'!$C$173:$E$186,MATCH(C56,'TANKS Data'!$B$173:$B$186,0),FALSE),0)</f>
        <v>0</v>
      </c>
      <c r="C71" s="390"/>
      <c r="D71" s="227" t="s">
        <v>9689</v>
      </c>
      <c r="E71" s="224"/>
      <c r="F71" s="224"/>
      <c r="G71" s="224"/>
      <c r="H71" s="224"/>
      <c r="I71" s="224"/>
    </row>
    <row r="72" spans="1:16" ht="20.100000000000001" customHeight="1" x14ac:dyDescent="0.2">
      <c r="A72" s="228" t="s">
        <v>9750</v>
      </c>
      <c r="B72" s="274">
        <f>AVERAGE('TANKS Calculations'!C22:C23)</f>
        <v>0</v>
      </c>
      <c r="C72" s="390"/>
      <c r="D72" s="227" t="s">
        <v>9689</v>
      </c>
      <c r="E72" s="224"/>
      <c r="F72" s="224"/>
      <c r="G72" s="224"/>
      <c r="H72" s="224"/>
      <c r="I72" s="224"/>
    </row>
    <row r="73" spans="1:16" ht="20.100000000000001" customHeight="1" x14ac:dyDescent="0.2">
      <c r="A73" s="228" t="s">
        <v>9751</v>
      </c>
      <c r="B73" s="274">
        <f>_xlfn.IFNA(VLOOKUP(B14,'TANKS Data'!$A$189:$F$213,6,FALSE),0)</f>
        <v>0</v>
      </c>
      <c r="C73" s="390"/>
      <c r="D73" s="227" t="s">
        <v>9752</v>
      </c>
      <c r="E73" s="224"/>
      <c r="F73" s="275"/>
      <c r="G73" s="224"/>
      <c r="H73" s="224"/>
      <c r="I73" s="224"/>
    </row>
    <row r="74" spans="1:16" ht="30" customHeight="1" x14ac:dyDescent="0.2">
      <c r="A74" s="256" t="s">
        <v>9753</v>
      </c>
      <c r="B74" s="253">
        <f>_xlfn.IFNA(VLOOKUP($B$14,'TANKS Data'!$A$189:$C$213,2,FALSE),0)</f>
        <v>0</v>
      </c>
      <c r="C74" s="379"/>
      <c r="D74" s="227" t="s">
        <v>9754</v>
      </c>
      <c r="E74" s="224"/>
      <c r="F74" s="275"/>
      <c r="G74" s="224"/>
      <c r="H74" s="224"/>
      <c r="I74" s="224"/>
    </row>
    <row r="75" spans="1:16" ht="20.100000000000001" customHeight="1" x14ac:dyDescent="0.2">
      <c r="A75" s="225"/>
      <c r="B75" s="253">
        <f>'TANKS Calculations'!C26+459.67</f>
        <v>459.67</v>
      </c>
      <c r="C75" s="379"/>
      <c r="D75" s="227" t="s">
        <v>9755</v>
      </c>
      <c r="E75" s="224"/>
      <c r="F75" s="275"/>
      <c r="G75" s="224"/>
      <c r="H75" s="224"/>
      <c r="I75" s="224"/>
    </row>
    <row r="76" spans="1:16" ht="30" customHeight="1" x14ac:dyDescent="0.2">
      <c r="A76" s="256" t="s">
        <v>9756</v>
      </c>
      <c r="B76" s="253">
        <f>_xlfn.IFNA(VLOOKUP($B$14,'TANKS Data'!$A$189:$C$213,3,FALSE),0)</f>
        <v>0</v>
      </c>
      <c r="C76" s="379"/>
      <c r="D76" s="227" t="s">
        <v>9754</v>
      </c>
      <c r="E76" s="224"/>
      <c r="F76" s="275"/>
      <c r="G76" s="224"/>
      <c r="H76" s="224"/>
      <c r="I76" s="224"/>
    </row>
    <row r="77" spans="1:16" ht="20.100000000000001" customHeight="1" x14ac:dyDescent="0.2">
      <c r="A77" s="225"/>
      <c r="B77" s="253">
        <f>'TANKS Calculations'!C28+459.67</f>
        <v>459.67</v>
      </c>
      <c r="C77" s="379"/>
      <c r="D77" s="227" t="s">
        <v>9755</v>
      </c>
      <c r="E77" s="224"/>
      <c r="F77" s="275"/>
      <c r="G77" s="224"/>
      <c r="H77" s="224"/>
      <c r="I77" s="224"/>
    </row>
    <row r="78" spans="1:16" ht="20.100000000000001" customHeight="1" x14ac:dyDescent="0.2">
      <c r="A78" s="256" t="s">
        <v>9757</v>
      </c>
      <c r="B78" s="253">
        <f>('TANKS Calculations'!C27+'TANKS Calculations'!C29)/2-459.67</f>
        <v>0</v>
      </c>
      <c r="C78" s="379"/>
      <c r="D78" s="227" t="s">
        <v>9754</v>
      </c>
      <c r="E78" s="224"/>
      <c r="F78" s="275"/>
      <c r="G78" s="224"/>
      <c r="H78" s="224"/>
      <c r="I78" s="224"/>
    </row>
    <row r="79" spans="1:16" ht="20.100000000000001" customHeight="1" x14ac:dyDescent="0.2">
      <c r="A79" s="156"/>
      <c r="B79" s="253">
        <f>'TANKS Calculations'!C31+459.67</f>
        <v>459.67</v>
      </c>
      <c r="C79" s="379"/>
      <c r="D79" s="227" t="s">
        <v>9755</v>
      </c>
      <c r="E79" s="224"/>
      <c r="F79" s="275"/>
      <c r="G79" s="224"/>
      <c r="H79" s="224"/>
      <c r="I79" s="224"/>
    </row>
    <row r="80" spans="1:16" ht="20.100000000000001" customHeight="1" x14ac:dyDescent="0.2">
      <c r="A80" s="228" t="s">
        <v>9758</v>
      </c>
      <c r="B80" s="253">
        <f>'TANKS Calculations'!C26-'TANKS Calculations'!C28</f>
        <v>0</v>
      </c>
      <c r="C80" s="379"/>
      <c r="D80" s="227" t="s">
        <v>9759</v>
      </c>
      <c r="E80" s="224"/>
      <c r="F80" s="275"/>
      <c r="G80" s="224"/>
      <c r="H80" s="224"/>
      <c r="I80" s="224"/>
    </row>
    <row r="81" spans="1:17" ht="20.100000000000001" customHeight="1" x14ac:dyDescent="0.2">
      <c r="A81" s="247" t="s">
        <v>9760</v>
      </c>
      <c r="B81" s="276">
        <f>IF(C68="External Floating Roof",IF(C67="Steel Double Deck",'TANKS Calculations'!C32+(0.005*'TANKS Calculations'!C22*'TANKS Calculations'!C25),'TANKS Calculations'!C32+(0.007*'TANKS Calculations'!C22*'TANKS Calculations'!C25)),'TANKS Calculations'!C32+(0.003*'TANKS Calculations'!C22*'TANKS Calculations'!C25))-459.67</f>
        <v>0</v>
      </c>
      <c r="C81" s="391"/>
      <c r="D81" s="246" t="s">
        <v>9754</v>
      </c>
      <c r="E81" s="224"/>
      <c r="F81" s="275"/>
      <c r="G81" s="224"/>
      <c r="H81" s="224"/>
      <c r="I81" s="224"/>
    </row>
    <row r="82" spans="1:17" ht="20.100000000000001" customHeight="1" x14ac:dyDescent="0.2">
      <c r="A82" s="225"/>
      <c r="B82" s="277">
        <f>'TANKS Calculations'!C33+459.67</f>
        <v>459.67</v>
      </c>
      <c r="C82" s="379"/>
      <c r="D82" s="227" t="s">
        <v>9755</v>
      </c>
      <c r="E82" s="224"/>
      <c r="F82" s="275"/>
      <c r="G82" s="224"/>
      <c r="H82" s="224"/>
      <c r="I82" s="224"/>
    </row>
    <row r="83" spans="1:17" ht="20.100000000000001" customHeight="1" x14ac:dyDescent="0.2">
      <c r="A83" s="256" t="s">
        <v>9761</v>
      </c>
      <c r="B83" s="252">
        <f>IFERROR(IF(OR(ISBLANK(C69),C69="Not Insulated"),((0.7*'TANKS Calculations'!C32)+(0.3*'TANKS Calculations'!C34)+(0.009*'TANKS Calculations'!C25*'TANKS Calculations'!C24)),IF(C69="Partially Insulated",((0.6*'TANKS Calculations'!C32)+(0.4*'TANKS Calculations'!C34)+(0.01*'TANKS Calculations'!C25*'TANKS Calculations'!C24)),'TANKS Calculations'!C34)),459.67)-459.67</f>
        <v>0</v>
      </c>
      <c r="C83" s="379"/>
      <c r="D83" s="227" t="s">
        <v>9754</v>
      </c>
      <c r="E83" s="224"/>
      <c r="F83" s="275"/>
      <c r="G83" s="224"/>
      <c r="H83" s="224"/>
      <c r="I83" s="224"/>
    </row>
    <row r="84" spans="1:17" ht="20.100000000000001" customHeight="1" x14ac:dyDescent="0.2">
      <c r="A84" s="225"/>
      <c r="B84" s="252">
        <f>'TANKS Calculations'!C48+459.67</f>
        <v>459.67</v>
      </c>
      <c r="C84" s="379"/>
      <c r="D84" s="227" t="s">
        <v>9755</v>
      </c>
      <c r="E84" s="224"/>
      <c r="F84" s="275"/>
      <c r="G84" s="224"/>
      <c r="H84" s="224"/>
      <c r="I84" s="224"/>
    </row>
    <row r="85" spans="1:17" ht="20.100000000000001" customHeight="1" x14ac:dyDescent="0.2">
      <c r="A85" s="228" t="s">
        <v>9762</v>
      </c>
      <c r="B85" s="253">
        <f>IFERROR(IF(OR(ISBLANK(C69),C69="Not Insulated"),((0.7*'TANKS Calculations'!C30)+(0.02*'TANKS Calculations'!C25*'TANKS Calculations'!C24)),IF(C69="Partially Insulated",((0.6*'TANKS Calculations'!C30)+(0.02*'TANKS Calculations'!C25*'TANKS Calculations'!C24)),0)),0)</f>
        <v>0</v>
      </c>
      <c r="C85" s="379"/>
      <c r="D85" s="227" t="s">
        <v>9759</v>
      </c>
      <c r="E85" s="224"/>
      <c r="F85" s="275"/>
      <c r="G85" s="224"/>
      <c r="H85" s="224"/>
      <c r="I85" s="224"/>
    </row>
    <row r="86" spans="1:17" ht="20.100000000000001" customHeight="1" x14ac:dyDescent="0.2">
      <c r="A86" s="247" t="s">
        <v>9763</v>
      </c>
      <c r="B86" s="278">
        <f>IF(B12="Fixed",IF(C69="Fully Insulated",'TANKS Calculations'!C34,IF(C69="Partially Insulated",(0.3*'TANKS Calculations'!C32)+(0.7*'TANKS Calculations'!C34)+(0.005*'TANKS Calculations'!C25*'TANKS Calculations'!C24),(0.4*'TANKS Calculations'!C32)+(0.6*'TANKS Calculations'!C34)+(0.005*'TANKS Calculations'!C25*'TANKS Calculations'!C24))),IF(C68="External Floating Roof",IF(C67="Steel Double Deck",(0.3*'TANKS Calculations'!C32)+(0.7*'TANKS Calculations'!C34)+(0.009*'TANKS Calculations'!C25*'TANKS Calculations'!C24),(0.7*'TANKS Calculations'!C32)+(0.3*'TANKS Calculations'!C34)+(0.009*'TANKS Calculations'!C25*'TANKS Calculations'!C24)),(0.3*'TANKS Calculations'!C32)+(0.7*'TANKS Calculations'!C34)+(0.004*'TANKS Calculations'!C25*'TANKS Calculations'!C24)))-459.67</f>
        <v>0</v>
      </c>
      <c r="C86" s="392"/>
      <c r="D86" s="246" t="s">
        <v>9754</v>
      </c>
      <c r="E86" s="224"/>
      <c r="F86" s="275"/>
      <c r="G86" s="224"/>
      <c r="H86" s="224"/>
    </row>
    <row r="87" spans="1:17" ht="20.100000000000001" customHeight="1" x14ac:dyDescent="0.2">
      <c r="A87" s="225"/>
      <c r="B87" s="253">
        <f>'TANKS Calculations'!C41+459.67</f>
        <v>459.67</v>
      </c>
      <c r="C87" s="379"/>
      <c r="D87" s="227" t="s">
        <v>9755</v>
      </c>
      <c r="E87" s="224"/>
      <c r="F87" s="275"/>
      <c r="G87" s="224"/>
      <c r="H87" s="224"/>
      <c r="I87" s="224"/>
    </row>
    <row r="88" spans="1:17" ht="20.100000000000001" customHeight="1" x14ac:dyDescent="0.2">
      <c r="A88" s="247" t="s">
        <v>9764</v>
      </c>
      <c r="B88" s="253">
        <f>'TANKS Calculations'!C41-0.25*'TANKS Calculations'!C50</f>
        <v>0</v>
      </c>
      <c r="C88" s="379"/>
      <c r="D88" s="227" t="s">
        <v>9754</v>
      </c>
      <c r="E88" s="224"/>
      <c r="F88" s="275"/>
      <c r="G88" s="224"/>
      <c r="H88" s="224"/>
      <c r="I88" s="224"/>
    </row>
    <row r="89" spans="1:17" ht="20.100000000000001" customHeight="1" x14ac:dyDescent="0.2">
      <c r="A89" s="225"/>
      <c r="B89" s="253">
        <f>'TANKS Calculations'!C38+459.67</f>
        <v>459.67</v>
      </c>
      <c r="C89" s="379"/>
      <c r="D89" s="227" t="s">
        <v>9755</v>
      </c>
      <c r="E89" s="224"/>
      <c r="F89" s="275"/>
      <c r="G89" s="224"/>
      <c r="H89" s="224"/>
      <c r="I89" s="224"/>
    </row>
    <row r="90" spans="1:17" ht="20.100000000000001" customHeight="1" x14ac:dyDescent="0.2">
      <c r="A90" s="247" t="s">
        <v>9765</v>
      </c>
      <c r="B90" s="278">
        <f>'TANKS Calculations'!C41+0.25*'TANKS Calculations'!C50</f>
        <v>0</v>
      </c>
      <c r="C90" s="379"/>
      <c r="D90" s="246" t="s">
        <v>9754</v>
      </c>
      <c r="E90" s="224"/>
      <c r="F90" s="275"/>
      <c r="G90" s="224"/>
      <c r="H90" s="224"/>
      <c r="I90" s="224"/>
    </row>
    <row r="91" spans="1:17" ht="20.100000000000001" customHeight="1" thickBot="1" x14ac:dyDescent="0.25">
      <c r="A91" s="230"/>
      <c r="B91" s="279">
        <f>'TANKS Calculations'!C35+459.67</f>
        <v>459.67</v>
      </c>
      <c r="C91" s="393"/>
      <c r="D91" s="264" t="s">
        <v>9755</v>
      </c>
      <c r="E91" s="224"/>
      <c r="F91" s="224"/>
      <c r="G91" s="224"/>
      <c r="H91" s="224"/>
      <c r="I91" s="224"/>
    </row>
    <row r="92" spans="1:17" ht="48" customHeight="1" x14ac:dyDescent="0.2">
      <c r="A92" s="1380" t="s">
        <v>10007</v>
      </c>
      <c r="B92" s="1381"/>
      <c r="C92" s="1381"/>
      <c r="D92" s="1381"/>
      <c r="E92" s="347"/>
      <c r="F92" s="347"/>
      <c r="G92" s="347"/>
      <c r="H92" s="347"/>
      <c r="I92" s="347"/>
      <c r="J92" s="347"/>
      <c r="K92" s="347"/>
      <c r="L92" s="347"/>
      <c r="M92" s="347"/>
      <c r="N92" s="347"/>
      <c r="O92" s="347"/>
      <c r="P92" s="347"/>
      <c r="Q92" s="347"/>
    </row>
    <row r="93" spans="1:17" ht="15" customHeight="1" x14ac:dyDescent="0.2">
      <c r="A93" s="1382" t="s">
        <v>9998</v>
      </c>
      <c r="B93" s="1383"/>
      <c r="C93" s="1383"/>
      <c r="D93" s="1383"/>
      <c r="E93" s="348"/>
      <c r="F93" s="348"/>
      <c r="G93" s="348"/>
      <c r="H93" s="348"/>
      <c r="I93" s="348"/>
      <c r="J93" s="348"/>
      <c r="K93" s="348"/>
      <c r="L93" s="348"/>
      <c r="M93" s="348"/>
      <c r="N93" s="348"/>
      <c r="O93" s="348"/>
      <c r="P93" s="348"/>
      <c r="Q93" s="348"/>
    </row>
    <row r="94" spans="1:17" ht="106.5" customHeight="1" thickBot="1" x14ac:dyDescent="0.25">
      <c r="A94" s="1366" t="s">
        <v>10006</v>
      </c>
      <c r="B94" s="1367"/>
      <c r="C94" s="1367"/>
      <c r="D94" s="1367"/>
      <c r="E94" s="347"/>
      <c r="F94" s="347"/>
      <c r="G94" s="347"/>
      <c r="H94" s="347"/>
      <c r="I94" s="347"/>
      <c r="J94" s="347"/>
      <c r="K94" s="347"/>
      <c r="L94" s="347"/>
      <c r="M94" s="347"/>
      <c r="N94" s="347"/>
      <c r="O94" s="347"/>
      <c r="P94" s="347"/>
      <c r="Q94" s="347"/>
    </row>
    <row r="95" spans="1:17" ht="45" customHeight="1" thickBot="1" x14ac:dyDescent="0.3">
      <c r="A95" s="1370" t="s">
        <v>9970</v>
      </c>
      <c r="B95" s="1371"/>
      <c r="C95" s="1371"/>
      <c r="D95" s="1371"/>
      <c r="E95" s="1371"/>
      <c r="F95" s="1371"/>
      <c r="G95" s="1371"/>
      <c r="H95" s="1371"/>
      <c r="I95" s="1371"/>
      <c r="J95" s="1371"/>
      <c r="K95" s="1371"/>
      <c r="L95" s="1371"/>
      <c r="M95" s="1371"/>
      <c r="N95" s="1371"/>
      <c r="O95" s="1371"/>
      <c r="P95" s="1371"/>
      <c r="Q95" s="1372"/>
    </row>
    <row r="96" spans="1:17" ht="20.100000000000001" customHeight="1" x14ac:dyDescent="0.25">
      <c r="A96" s="146" t="s">
        <v>9502</v>
      </c>
      <c r="B96" s="147" t="s">
        <v>9503</v>
      </c>
      <c r="C96" s="148" t="s">
        <v>9504</v>
      </c>
      <c r="D96" s="148" t="s">
        <v>9505</v>
      </c>
      <c r="E96" s="148" t="s">
        <v>9506</v>
      </c>
      <c r="F96" s="148" t="s">
        <v>9507</v>
      </c>
      <c r="G96" s="148" t="s">
        <v>9508</v>
      </c>
      <c r="H96" s="148" t="s">
        <v>9509</v>
      </c>
      <c r="I96" s="148" t="s">
        <v>9510</v>
      </c>
      <c r="J96" s="148" t="s">
        <v>9511</v>
      </c>
      <c r="K96" s="150" t="s">
        <v>9512</v>
      </c>
      <c r="L96" s="148" t="s">
        <v>9513</v>
      </c>
      <c r="M96" s="148" t="s">
        <v>9514</v>
      </c>
      <c r="N96" s="150" t="s">
        <v>9515</v>
      </c>
      <c r="O96" s="148" t="s">
        <v>9516</v>
      </c>
      <c r="P96" s="148" t="s">
        <v>9517</v>
      </c>
      <c r="Q96" s="146" t="s">
        <v>1</v>
      </c>
    </row>
    <row r="97" spans="1:17" ht="30" customHeight="1" thickBot="1" x14ac:dyDescent="0.25">
      <c r="A97" s="228" t="s">
        <v>9693</v>
      </c>
      <c r="B97" s="280" t="str">
        <f t="shared" ref="B97:P97" si="1">IF(ISBLANK(B18),"",B18)</f>
        <v/>
      </c>
      <c r="C97" s="281" t="str">
        <f t="shared" si="1"/>
        <v/>
      </c>
      <c r="D97" s="281" t="str">
        <f t="shared" si="1"/>
        <v/>
      </c>
      <c r="E97" s="281" t="str">
        <f t="shared" si="1"/>
        <v/>
      </c>
      <c r="F97" s="281" t="str">
        <f t="shared" si="1"/>
        <v/>
      </c>
      <c r="G97" s="281" t="str">
        <f t="shared" si="1"/>
        <v/>
      </c>
      <c r="H97" s="281" t="str">
        <f t="shared" si="1"/>
        <v/>
      </c>
      <c r="I97" s="281" t="str">
        <f t="shared" si="1"/>
        <v/>
      </c>
      <c r="J97" s="281" t="str">
        <f t="shared" si="1"/>
        <v/>
      </c>
      <c r="K97" s="282" t="str">
        <f t="shared" si="1"/>
        <v/>
      </c>
      <c r="L97" s="281" t="str">
        <f t="shared" si="1"/>
        <v/>
      </c>
      <c r="M97" s="281" t="str">
        <f t="shared" si="1"/>
        <v/>
      </c>
      <c r="N97" s="282" t="str">
        <f t="shared" si="1"/>
        <v/>
      </c>
      <c r="O97" s="281" t="str">
        <f t="shared" si="1"/>
        <v/>
      </c>
      <c r="P97" s="281" t="str">
        <f t="shared" si="1"/>
        <v/>
      </c>
      <c r="Q97" s="232"/>
    </row>
    <row r="98" spans="1:17" ht="20.100000000000001" customHeight="1" x14ac:dyDescent="0.2">
      <c r="A98" s="237" t="s">
        <v>9766</v>
      </c>
      <c r="B98" s="238" t="str">
        <f>IF(ISBLANK(B18),"",_xlfn.IFNA(VLOOKUP(B18,'TANKS Vapor Fx'!$A$3:$G$294,5,FALSE),0))</f>
        <v/>
      </c>
      <c r="C98" s="238" t="str">
        <f>IF(ISBLANK(C18),"",_xlfn.IFNA(VLOOKUP(C18,'TANKS Vapor Fx'!$A$3:$G$294,5,FALSE),0))</f>
        <v/>
      </c>
      <c r="D98" s="238" t="str">
        <f>IF(ISBLANK(D18),"",_xlfn.IFNA(VLOOKUP(D18,'TANKS Vapor Fx'!$A$3:$G$294,5,FALSE),0))</f>
        <v/>
      </c>
      <c r="E98" s="238" t="str">
        <f>IF(ISBLANK(E18),"",_xlfn.IFNA(VLOOKUP(E18,'TANKS Vapor Fx'!$A$3:$G$294,5,FALSE),0))</f>
        <v/>
      </c>
      <c r="F98" s="238" t="str">
        <f>IF(ISBLANK(F18),"",_xlfn.IFNA(VLOOKUP(F18,'TANKS Vapor Fx'!$A$3:$G$294,5,FALSE),0))</f>
        <v/>
      </c>
      <c r="G98" s="238" t="str">
        <f>IF(ISBLANK(G18),"",_xlfn.IFNA(VLOOKUP(G18,'TANKS Vapor Fx'!$A$3:$G$294,5,FALSE),0))</f>
        <v/>
      </c>
      <c r="H98" s="238" t="str">
        <f>IF(ISBLANK(H18),"",_xlfn.IFNA(VLOOKUP(H18,'TANKS Vapor Fx'!$A$3:$G$294,5,FALSE),0))</f>
        <v/>
      </c>
      <c r="I98" s="238" t="str">
        <f>IF(ISBLANK(I18),"",_xlfn.IFNA(VLOOKUP(I18,'TANKS Vapor Fx'!$A$3:$G$294,5,FALSE),0))</f>
        <v/>
      </c>
      <c r="J98" s="238" t="str">
        <f>IF(ISBLANK(J18),"",_xlfn.IFNA(VLOOKUP(J18,'TANKS Vapor Fx'!$A$3:$G$294,5,FALSE),0))</f>
        <v/>
      </c>
      <c r="K98" s="238" t="str">
        <f>IF(ISBLANK(K18),"",_xlfn.IFNA(VLOOKUP(K18,'TANKS Vapor Fx'!$A$3:$G$294,5,FALSE),0))</f>
        <v/>
      </c>
      <c r="L98" s="238" t="str">
        <f>IF(ISBLANK(L18),"",_xlfn.IFNA(VLOOKUP(L18,'TANKS Vapor Fx'!$A$3:$G$294,5,FALSE),0))</f>
        <v/>
      </c>
      <c r="M98" s="238" t="str">
        <f>IF(ISBLANK(M18),"",_xlfn.IFNA(VLOOKUP(M18,'TANKS Vapor Fx'!$A$3:$G$294,5,FALSE),0))</f>
        <v/>
      </c>
      <c r="N98" s="238" t="str">
        <f>IF(ISBLANK(N18),"",_xlfn.IFNA(VLOOKUP(N18,'TANKS Vapor Fx'!$A$3:$G$294,5,FALSE),0))</f>
        <v/>
      </c>
      <c r="O98" s="238" t="str">
        <f>IF(ISBLANK(O18),"",_xlfn.IFNA(VLOOKUP(O18,'TANKS Vapor Fx'!$A$3:$G$294,5,FALSE),0))</f>
        <v/>
      </c>
      <c r="P98" s="238" t="str">
        <f>IF(ISBLANK(P18),"",_xlfn.IFNA(VLOOKUP(P18,'TANKS Vapor Fx'!$A$3:$G$294,5,FALSE),0))</f>
        <v/>
      </c>
      <c r="Q98" s="283"/>
    </row>
    <row r="99" spans="1:17" ht="20.100000000000001" customHeight="1" thickBot="1" x14ac:dyDescent="0.25">
      <c r="A99" s="235" t="s">
        <v>9767</v>
      </c>
      <c r="B99" s="394"/>
      <c r="C99" s="385"/>
      <c r="D99" s="385"/>
      <c r="E99" s="385"/>
      <c r="F99" s="385"/>
      <c r="G99" s="385"/>
      <c r="H99" s="385"/>
      <c r="I99" s="385"/>
      <c r="J99" s="385"/>
      <c r="K99" s="395"/>
      <c r="L99" s="385"/>
      <c r="M99" s="385"/>
      <c r="N99" s="395"/>
      <c r="O99" s="385"/>
      <c r="P99" s="385"/>
      <c r="Q99" s="244"/>
    </row>
    <row r="100" spans="1:17" ht="20.100000000000001" customHeight="1" x14ac:dyDescent="0.2">
      <c r="A100" s="284" t="s">
        <v>9768</v>
      </c>
      <c r="B100" s="285" t="str">
        <f>IF(ISBLANK(B18),"",_xlfn.IFNA(VLOOKUP(B18,'TANKS Vapor Fx'!$A$3:$G$294,6,FALSE),0))</f>
        <v/>
      </c>
      <c r="C100" s="285" t="str">
        <f>IF(ISBLANK(C18),"",_xlfn.IFNA(VLOOKUP(C18,'TANKS Vapor Fx'!$A$3:$G$294,6,FALSE),0))</f>
        <v/>
      </c>
      <c r="D100" s="285" t="str">
        <f>IF(ISBLANK(D18),"",_xlfn.IFNA(VLOOKUP(D18,'TANKS Vapor Fx'!$A$3:$G$294,6,FALSE),0))</f>
        <v/>
      </c>
      <c r="E100" s="285" t="str">
        <f>IF(ISBLANK(E18),"",_xlfn.IFNA(VLOOKUP(E18,'TANKS Vapor Fx'!$A$3:$G$294,6,FALSE),0))</f>
        <v/>
      </c>
      <c r="F100" s="285" t="str">
        <f>IF(ISBLANK(F18),"",_xlfn.IFNA(VLOOKUP(F18,'TANKS Vapor Fx'!$A$3:$G$294,6,FALSE),0))</f>
        <v/>
      </c>
      <c r="G100" s="285" t="str">
        <f>IF(ISBLANK(G18),"",_xlfn.IFNA(VLOOKUP(G18,'TANKS Vapor Fx'!$A$3:$G$294,6,FALSE),0))</f>
        <v/>
      </c>
      <c r="H100" s="285" t="str">
        <f>IF(ISBLANK(H18),"",_xlfn.IFNA(VLOOKUP(H18,'TANKS Vapor Fx'!$A$3:$G$294,6,FALSE),0))</f>
        <v/>
      </c>
      <c r="I100" s="285" t="str">
        <f>IF(ISBLANK(I18),"",_xlfn.IFNA(VLOOKUP(I18,'TANKS Vapor Fx'!$A$3:$G$294,6,FALSE),0))</f>
        <v/>
      </c>
      <c r="J100" s="285" t="str">
        <f>IF(ISBLANK(J18),"",_xlfn.IFNA(VLOOKUP(J18,'TANKS Vapor Fx'!$A$3:$G$294,6,FALSE),0))</f>
        <v/>
      </c>
      <c r="K100" s="285" t="str">
        <f>IF(ISBLANK(K18),"",_xlfn.IFNA(VLOOKUP(K18,'TANKS Vapor Fx'!$A$3:$G$294,6,FALSE),0))</f>
        <v/>
      </c>
      <c r="L100" s="285" t="str">
        <f>IF(ISBLANK(L18),"",_xlfn.IFNA(VLOOKUP(L18,'TANKS Vapor Fx'!$A$3:$G$294,6,FALSE),0))</f>
        <v/>
      </c>
      <c r="M100" s="285" t="str">
        <f>IF(ISBLANK(M18),"",_xlfn.IFNA(VLOOKUP(M18,'TANKS Vapor Fx'!$A$3:$G$294,6,FALSE),0))</f>
        <v/>
      </c>
      <c r="N100" s="285" t="str">
        <f>IF(ISBLANK(N18),"",_xlfn.IFNA(VLOOKUP(N18,'TANKS Vapor Fx'!$A$3:$G$294,6,FALSE),0))</f>
        <v/>
      </c>
      <c r="O100" s="285" t="str">
        <f>IF(ISBLANK(O18),"",_xlfn.IFNA(VLOOKUP(O18,'TANKS Vapor Fx'!$A$3:$G$294,6,FALSE),0))</f>
        <v/>
      </c>
      <c r="P100" s="285" t="str">
        <f>IF(ISBLANK(P18),"",_xlfn.IFNA(VLOOKUP(P18,'TANKS Vapor Fx'!$A$3:$G$294,6,FALSE),0))</f>
        <v/>
      </c>
      <c r="Q100" s="286"/>
    </row>
    <row r="101" spans="1:17" ht="20.100000000000001" customHeight="1" thickBot="1" x14ac:dyDescent="0.25">
      <c r="A101" s="240" t="s">
        <v>9769</v>
      </c>
      <c r="B101" s="396"/>
      <c r="C101" s="397"/>
      <c r="D101" s="397"/>
      <c r="E101" s="397"/>
      <c r="F101" s="397"/>
      <c r="G101" s="397"/>
      <c r="H101" s="397"/>
      <c r="I101" s="397"/>
      <c r="J101" s="397"/>
      <c r="K101" s="398"/>
      <c r="L101" s="397"/>
      <c r="M101" s="397"/>
      <c r="N101" s="398"/>
      <c r="O101" s="397"/>
      <c r="P101" s="397"/>
      <c r="Q101" s="241"/>
    </row>
    <row r="102" spans="1:17" ht="20.100000000000001" customHeight="1" x14ac:dyDescent="0.2">
      <c r="A102" s="237" t="s">
        <v>9770</v>
      </c>
      <c r="B102" s="238" t="str">
        <f>IF(ISBLANK(B18),"",_xlfn.IFNA(VLOOKUP(B18,'TANKS Vapor Fx'!$A$3:$G$294,7,FALSE),0))</f>
        <v/>
      </c>
      <c r="C102" s="238" t="str">
        <f>IF(ISBLANK(C18),"",_xlfn.IFNA(VLOOKUP(C18,'TANKS Vapor Fx'!$A$3:$G$294,7,FALSE),0))</f>
        <v/>
      </c>
      <c r="D102" s="238" t="str">
        <f>IF(ISBLANK(D18),"",_xlfn.IFNA(VLOOKUP(D18,'TANKS Vapor Fx'!$A$3:$G$294,7,FALSE),0))</f>
        <v/>
      </c>
      <c r="E102" s="238" t="str">
        <f>IF(ISBLANK(E18),"",_xlfn.IFNA(VLOOKUP(E18,'TANKS Vapor Fx'!$A$3:$G$294,7,FALSE),0))</f>
        <v/>
      </c>
      <c r="F102" s="238" t="str">
        <f>IF(ISBLANK(F18),"",_xlfn.IFNA(VLOOKUP(F18,'TANKS Vapor Fx'!$A$3:$G$294,7,FALSE),0))</f>
        <v/>
      </c>
      <c r="G102" s="238" t="str">
        <f>IF(ISBLANK(G18),"",_xlfn.IFNA(VLOOKUP(G18,'TANKS Vapor Fx'!$A$3:$G$294,7,FALSE),0))</f>
        <v/>
      </c>
      <c r="H102" s="238" t="str">
        <f>IF(ISBLANK(H18),"",_xlfn.IFNA(VLOOKUP(H18,'TANKS Vapor Fx'!$A$3:$G$294,7,FALSE),0))</f>
        <v/>
      </c>
      <c r="I102" s="238" t="str">
        <f>IF(ISBLANK(I18),"",_xlfn.IFNA(VLOOKUP(I18,'TANKS Vapor Fx'!$A$3:$G$294,7,FALSE),0))</f>
        <v/>
      </c>
      <c r="J102" s="238" t="str">
        <f>IF(ISBLANK(J18),"",_xlfn.IFNA(VLOOKUP(J18,'TANKS Vapor Fx'!$A$3:$G$294,7,FALSE),0))</f>
        <v/>
      </c>
      <c r="K102" s="238" t="str">
        <f>IF(ISBLANK(K18),"",_xlfn.IFNA(VLOOKUP(K18,'TANKS Vapor Fx'!$A$3:$G$294,7,FALSE),0))</f>
        <v/>
      </c>
      <c r="L102" s="238" t="str">
        <f>IF(ISBLANK(L18),"",_xlfn.IFNA(VLOOKUP(L18,'TANKS Vapor Fx'!$A$3:$G$294,7,FALSE),0))</f>
        <v/>
      </c>
      <c r="M102" s="238" t="str">
        <f>IF(ISBLANK(M18),"",_xlfn.IFNA(VLOOKUP(M18,'TANKS Vapor Fx'!$A$3:$G$294,7,FALSE),0))</f>
        <v/>
      </c>
      <c r="N102" s="238" t="str">
        <f>IF(ISBLANK(N18),"",_xlfn.IFNA(VLOOKUP(N18,'TANKS Vapor Fx'!$A$3:$G$294,7,FALSE),0))</f>
        <v/>
      </c>
      <c r="O102" s="238" t="str">
        <f>IF(ISBLANK(O18),"",_xlfn.IFNA(VLOOKUP(O18,'TANKS Vapor Fx'!$A$3:$G$294,7,FALSE),0))</f>
        <v/>
      </c>
      <c r="P102" s="238" t="str">
        <f>IF(ISBLANK(P18),"",_xlfn.IFNA(VLOOKUP(P18,'TANKS Vapor Fx'!$A$3:$G$294,7,FALSE),0))</f>
        <v/>
      </c>
      <c r="Q102" s="283"/>
    </row>
    <row r="103" spans="1:17" ht="20.100000000000001" customHeight="1" thickBot="1" x14ac:dyDescent="0.25">
      <c r="A103" s="235" t="s">
        <v>9771</v>
      </c>
      <c r="B103" s="394"/>
      <c r="C103" s="385"/>
      <c r="D103" s="385"/>
      <c r="E103" s="385"/>
      <c r="F103" s="385"/>
      <c r="G103" s="385"/>
      <c r="H103" s="385"/>
      <c r="I103" s="385"/>
      <c r="J103" s="385"/>
      <c r="K103" s="395"/>
      <c r="L103" s="385"/>
      <c r="M103" s="385"/>
      <c r="N103" s="395"/>
      <c r="O103" s="385"/>
      <c r="P103" s="385"/>
      <c r="Q103" s="244"/>
    </row>
    <row r="104" spans="1:17" ht="30" customHeight="1" x14ac:dyDescent="0.2">
      <c r="A104" s="266" t="s">
        <v>9772</v>
      </c>
      <c r="B104" s="238" t="str">
        <f>IF(ISBLANK(B20),"",IF('TANKS Calculations'!H44=0,IF(VLOOKUP(B97,'TANKS Vapor Fx'!$A$3:$K$294,11,FALSE)=0,IF(ISNUMBER(SEARCH("RVP",B97)),RIGHT(B97,LEN(B97)-(SEARCH("RVP",B97)+3)),0),_xlfn.IFNA(VLOOKUP(B97,'TANKS Vapor Fx'!$A$3:$K$294,11,FALSE),0)),0))</f>
        <v/>
      </c>
      <c r="C104" s="238" t="str">
        <f>IF(ISBLANK(C20),"",IF('TANKS Calculations'!I44=0,IF(VLOOKUP(C97,'TANKS Vapor Fx'!$A$3:$K$294,11,FALSE)=0,IF(ISNUMBER(SEARCH("RVP",C97)),RIGHT(C97,LEN(C97)-(SEARCH("RVP",C97)+3)),0),_xlfn.IFNA(VLOOKUP(C97,'TANKS Vapor Fx'!$A$3:$K$294,11,FALSE),0)),0))</f>
        <v/>
      </c>
      <c r="D104" s="238" t="str">
        <f>IF(ISBLANK(D20),"",IF('TANKS Calculations'!J44=0,IF(VLOOKUP(D97,'TANKS Vapor Fx'!$A$3:$K$294,11,FALSE)=0,IF(ISNUMBER(SEARCH("RVP",D97)),RIGHT(D97,LEN(D97)-(SEARCH("RVP",D97)+3)),0),_xlfn.IFNA(VLOOKUP(D97,'TANKS Vapor Fx'!$A$3:$K$294,11,FALSE),0)),0))</f>
        <v/>
      </c>
      <c r="E104" s="238" t="str">
        <f>IF(ISBLANK(E20),"",IF('TANKS Calculations'!K44=0,IF(VLOOKUP(E97,'TANKS Vapor Fx'!$A$3:$K$294,11,FALSE)=0,IF(ISNUMBER(SEARCH("RVP",E97)),RIGHT(E97,LEN(E97)-(SEARCH("RVP",E97)+3)),0),_xlfn.IFNA(VLOOKUP(E97,'TANKS Vapor Fx'!$A$3:$K$294,11,FALSE),0)),0))</f>
        <v/>
      </c>
      <c r="F104" s="238" t="str">
        <f>IF(ISBLANK(F20),"",IF('TANKS Calculations'!L44=0,IF(VLOOKUP(F97,'TANKS Vapor Fx'!$A$3:$K$294,11,FALSE)=0,IF(ISNUMBER(SEARCH("RVP",F97)),RIGHT(F97,LEN(F97)-(SEARCH("RVP",F97)+3)),0),_xlfn.IFNA(VLOOKUP(F97,'TANKS Vapor Fx'!$A$3:$K$294,11,FALSE),0)),0))</f>
        <v/>
      </c>
      <c r="G104" s="238" t="str">
        <f>IF(ISBLANK(G20),"",IF('TANKS Calculations'!M44=0,IF(VLOOKUP(G97,'TANKS Vapor Fx'!$A$3:$K$294,11,FALSE)=0,IF(ISNUMBER(SEARCH("RVP",G97)),RIGHT(G97,LEN(G97)-(SEARCH("RVP",G97)+3)),0),_xlfn.IFNA(VLOOKUP(G97,'TANKS Vapor Fx'!$A$3:$K$294,11,FALSE),0)),0))</f>
        <v/>
      </c>
      <c r="H104" s="238" t="str">
        <f>IF(ISBLANK(H20),"",IF('TANKS Calculations'!N44=0,IF(VLOOKUP(H97,'TANKS Vapor Fx'!$A$3:$K$294,11,FALSE)=0,IF(ISNUMBER(SEARCH("RVP",H97)),RIGHT(H97,LEN(H97)-(SEARCH("RVP",H97)+3)),0),_xlfn.IFNA(VLOOKUP(H97,'TANKS Vapor Fx'!$A$3:$K$294,11,FALSE),0)),0))</f>
        <v/>
      </c>
      <c r="I104" s="238" t="str">
        <f>IF(ISBLANK(I20),"",IF('TANKS Calculations'!O44=0,IF(VLOOKUP(I97,'TANKS Vapor Fx'!$A$3:$K$294,11,FALSE)=0,IF(ISNUMBER(SEARCH("RVP",I97)),RIGHT(I97,LEN(I97)-(SEARCH("RVP",I97)+3)),0),_xlfn.IFNA(VLOOKUP(I97,'TANKS Vapor Fx'!$A$3:$K$294,11,FALSE),0)),0))</f>
        <v/>
      </c>
      <c r="J104" s="238" t="str">
        <f>IF(ISBLANK(J20),"",IF('TANKS Calculations'!P44=0,IF(VLOOKUP(J97,'TANKS Vapor Fx'!$A$3:$K$294,11,FALSE)=0,IF(ISNUMBER(SEARCH("RVP",J97)),RIGHT(J97,LEN(J97)-(SEARCH("RVP",J97)+3)),0),_xlfn.IFNA(VLOOKUP(J97,'TANKS Vapor Fx'!$A$3:$K$294,11,FALSE),0)),0))</f>
        <v/>
      </c>
      <c r="K104" s="238" t="str">
        <f>IF(ISBLANK(K20),"",IF('TANKS Calculations'!Q44=0,IF(VLOOKUP(K97,'TANKS Vapor Fx'!$A$3:$K$294,11,FALSE)=0,IF(ISNUMBER(SEARCH("RVP",K97)),RIGHT(K97,LEN(K97)-(SEARCH("RVP",K97)+3)),0),_xlfn.IFNA(VLOOKUP(K97,'TANKS Vapor Fx'!$A$3:$K$294,11,FALSE),0)),0))</f>
        <v/>
      </c>
      <c r="L104" s="238" t="str">
        <f>IF(ISBLANK(L20),"",IF('TANKS Calculations'!R44=0,IF(VLOOKUP(L97,'TANKS Vapor Fx'!$A$3:$K$294,11,FALSE)=0,IF(ISNUMBER(SEARCH("RVP",L97)),RIGHT(L97,LEN(L97)-(SEARCH("RVP",L97)+3)),0),_xlfn.IFNA(VLOOKUP(L97,'TANKS Vapor Fx'!$A$3:$K$294,11,FALSE),0)),0))</f>
        <v/>
      </c>
      <c r="M104" s="238" t="str">
        <f>IF(ISBLANK(M20),"",IF('TANKS Calculations'!S44=0,IF(VLOOKUP(M97,'TANKS Vapor Fx'!$A$3:$K$294,11,FALSE)=0,IF(ISNUMBER(SEARCH("RVP",M97)),RIGHT(M97,LEN(M97)-(SEARCH("RVP",M97)+3)),0),_xlfn.IFNA(VLOOKUP(M97,'TANKS Vapor Fx'!$A$3:$K$294,11,FALSE),0)),0))</f>
        <v/>
      </c>
      <c r="N104" s="238" t="str">
        <f>IF(ISBLANK(N20),"",IF('TANKS Calculations'!T44=0,IF(VLOOKUP(N97,'TANKS Vapor Fx'!$A$3:$K$294,11,FALSE)=0,IF(ISNUMBER(SEARCH("RVP",N97)),RIGHT(N97,LEN(N97)-(SEARCH("RVP",N97)+3)),0),_xlfn.IFNA(VLOOKUP(N97,'TANKS Vapor Fx'!$A$3:$K$294,11,FALSE),0)),0))</f>
        <v/>
      </c>
      <c r="O104" s="238" t="str">
        <f>IF(ISBLANK(O20),"",IF('TANKS Calculations'!U44=0,IF(VLOOKUP(O97,'TANKS Vapor Fx'!$A$3:$K$294,11,FALSE)=0,IF(ISNUMBER(SEARCH("RVP",O97)),RIGHT(O97,LEN(O97)-(SEARCH("RVP",O97)+3)),0),_xlfn.IFNA(VLOOKUP(O97,'TANKS Vapor Fx'!$A$3:$K$294,11,FALSE),0)),0))</f>
        <v/>
      </c>
      <c r="P104" s="238" t="str">
        <f>IF(ISBLANK(P20),"",IF('TANKS Calculations'!V44=0,IF(VLOOKUP(P97,'TANKS Vapor Fx'!$A$3:$K$294,11,FALSE)=0,IF(ISNUMBER(SEARCH("RVP",P97)),RIGHT(P97,LEN(P97)-(SEARCH("RVP",P97)+3)),0),_xlfn.IFNA(VLOOKUP(P97,'TANKS Vapor Fx'!$A$3:$K$294,11,FALSE),0)),0))</f>
        <v/>
      </c>
      <c r="Q104" s="283"/>
    </row>
    <row r="105" spans="1:17" ht="30" customHeight="1" thickBot="1" x14ac:dyDescent="0.25">
      <c r="A105" s="262" t="s">
        <v>9773</v>
      </c>
      <c r="B105" s="394"/>
      <c r="C105" s="385"/>
      <c r="D105" s="385"/>
      <c r="E105" s="385"/>
      <c r="F105" s="385"/>
      <c r="G105" s="385"/>
      <c r="H105" s="385"/>
      <c r="I105" s="385"/>
      <c r="J105" s="385"/>
      <c r="K105" s="395"/>
      <c r="L105" s="385"/>
      <c r="M105" s="385"/>
      <c r="N105" s="395"/>
      <c r="O105" s="385"/>
      <c r="P105" s="385"/>
      <c r="Q105" s="244"/>
    </row>
    <row r="106" spans="1:17" ht="30" customHeight="1" x14ac:dyDescent="0.2">
      <c r="A106" s="266" t="s">
        <v>9774</v>
      </c>
      <c r="B106" s="238" t="str">
        <f>IF(ISBLANK(B18),"",IF(B97="",0,IF('TANKS Calculations'!H44=0,'TANKS Calculations'!H46,10^('TANKS Calculations'!H42-('TANKS Calculations'!H43/('TANKS Calculations'!H44+'TANKS Calculations'!$C$43)))/51.715)))</f>
        <v/>
      </c>
      <c r="C106" s="238" t="str">
        <f>IF(ISBLANK(C18),"",IF(C97="",0,IF('TANKS Calculations'!I44=0,'TANKS Calculations'!I46,10^('TANKS Calculations'!I42-('TANKS Calculations'!I43/('TANKS Calculations'!I44+'TANKS Calculations'!$C$43)))/51.715)))</f>
        <v/>
      </c>
      <c r="D106" s="238" t="str">
        <f>IF(ISBLANK(D18),"",IF(D97="",0,IF('TANKS Calculations'!J44=0,'TANKS Calculations'!J46,10^('TANKS Calculations'!J42-('TANKS Calculations'!J43/('TANKS Calculations'!J44+'TANKS Calculations'!$C$43)))/51.715)))</f>
        <v/>
      </c>
      <c r="E106" s="238" t="str">
        <f>IF(ISBLANK(E18),"",IF(E97="",0,IF('TANKS Calculations'!K44=0,'TANKS Calculations'!K46,10^('TANKS Calculations'!K42-('TANKS Calculations'!K43/('TANKS Calculations'!K44+'TANKS Calculations'!$C$43)))/51.715)))</f>
        <v/>
      </c>
      <c r="F106" s="238" t="str">
        <f>IF(ISBLANK(F18),"",IF(F97="",0,IF('TANKS Calculations'!L44=0,'TANKS Calculations'!L46,10^('TANKS Calculations'!L42-('TANKS Calculations'!L43/('TANKS Calculations'!L44+'TANKS Calculations'!$C$43)))/51.715)))</f>
        <v/>
      </c>
      <c r="G106" s="238" t="str">
        <f>IF(ISBLANK(G18),"",IF(G97="",0,IF('TANKS Calculations'!M44=0,'TANKS Calculations'!M46,10^('TANKS Calculations'!M42-('TANKS Calculations'!M43/('TANKS Calculations'!M44+'TANKS Calculations'!$C$43)))/51.715)))</f>
        <v/>
      </c>
      <c r="H106" s="238" t="str">
        <f>IF(ISBLANK(H18),"",IF(H97="",0,IF('TANKS Calculations'!N44=0,'TANKS Calculations'!N46,10^('TANKS Calculations'!N42-('TANKS Calculations'!N43/('TANKS Calculations'!N44+'TANKS Calculations'!$C$43)))/51.715)))</f>
        <v/>
      </c>
      <c r="I106" s="238" t="str">
        <f>IF(ISBLANK(I18),"",IF(I97="",0,IF('TANKS Calculations'!O44=0,'TANKS Calculations'!O46,10^('TANKS Calculations'!O42-('TANKS Calculations'!O43/('TANKS Calculations'!O44+'TANKS Calculations'!$C$43)))/51.715)))</f>
        <v/>
      </c>
      <c r="J106" s="238" t="str">
        <f>IF(ISBLANK(J18),"",IF(J97="",0,IF('TANKS Calculations'!P44=0,'TANKS Calculations'!P46,10^('TANKS Calculations'!P42-('TANKS Calculations'!P43/('TANKS Calculations'!P44+'TANKS Calculations'!$C$43)))/51.715)))</f>
        <v/>
      </c>
      <c r="K106" s="238" t="str">
        <f>IF(ISBLANK(K18),"",IF(K97="",0,IF('TANKS Calculations'!Q44=0,'TANKS Calculations'!Q46,10^('TANKS Calculations'!Q42-('TANKS Calculations'!Q43/('TANKS Calculations'!Q44+'TANKS Calculations'!$C$43)))/51.715)))</f>
        <v/>
      </c>
      <c r="L106" s="238" t="str">
        <f>IF(ISBLANK(L18),"",IF(L97="",0,IF('TANKS Calculations'!R44=0,'TANKS Calculations'!R46,10^('TANKS Calculations'!R42-('TANKS Calculations'!R43/('TANKS Calculations'!R44+'TANKS Calculations'!$C$43)))/51.715)))</f>
        <v/>
      </c>
      <c r="M106" s="238" t="str">
        <f>IF(ISBLANK(M18),"",IF(M97="",0,IF('TANKS Calculations'!S44=0,'TANKS Calculations'!S46,10^('TANKS Calculations'!S42-('TANKS Calculations'!S43/('TANKS Calculations'!S44+'TANKS Calculations'!$C$43)))/51.715)))</f>
        <v/>
      </c>
      <c r="N106" s="238" t="str">
        <f>IF(ISBLANK(N18),"",IF(N97="",0,IF('TANKS Calculations'!T44=0,'TANKS Calculations'!T46,10^('TANKS Calculations'!T42-('TANKS Calculations'!T43/('TANKS Calculations'!T44+'TANKS Calculations'!$C$43)))/51.715)))</f>
        <v/>
      </c>
      <c r="O106" s="238" t="str">
        <f>IF(ISBLANK(O18),"",IF(O97="",0,IF('TANKS Calculations'!U44=0,'TANKS Calculations'!U46,10^('TANKS Calculations'!U42-('TANKS Calculations'!U43/('TANKS Calculations'!U44+'TANKS Calculations'!$C$43)))/51.715)))</f>
        <v/>
      </c>
      <c r="P106" s="238" t="str">
        <f>IF(ISBLANK(P18),"",IF(P97="",0,IF('TANKS Calculations'!V44=0,'TANKS Calculations'!V46,10^('TANKS Calculations'!V42-('TANKS Calculations'!V43/('TANKS Calculations'!V44+'TANKS Calculations'!$C$43)))/51.715)))</f>
        <v/>
      </c>
      <c r="Q106" s="283"/>
    </row>
    <row r="107" spans="1:17" ht="30" customHeight="1" thickBot="1" x14ac:dyDescent="0.25">
      <c r="A107" s="256" t="s">
        <v>9775</v>
      </c>
      <c r="B107" s="396"/>
      <c r="C107" s="397"/>
      <c r="D107" s="397"/>
      <c r="E107" s="397"/>
      <c r="F107" s="397"/>
      <c r="G107" s="397"/>
      <c r="H107" s="397"/>
      <c r="I107" s="397"/>
      <c r="J107" s="397"/>
      <c r="K107" s="398"/>
      <c r="L107" s="397"/>
      <c r="M107" s="397"/>
      <c r="N107" s="398"/>
      <c r="O107" s="397"/>
      <c r="P107" s="397"/>
      <c r="Q107" s="241"/>
    </row>
    <row r="108" spans="1:17" ht="30" customHeight="1" x14ac:dyDescent="0.2">
      <c r="A108" s="266" t="s">
        <v>9776</v>
      </c>
      <c r="B108" s="238" t="str">
        <f>IF(ISBLANK(B18),"",IF(B97="",0,10^('TANKS Calculations'!H42-('TANKS Calculations'!H43/('TANKS Calculations'!H44+'TANKS Calculations'!$C$37)))/51.715))</f>
        <v/>
      </c>
      <c r="C108" s="238" t="str">
        <f>IF(ISBLANK(C18),"",IF(C97="",0,10^('TANKS Calculations'!I42-('TANKS Calculations'!I43/('TANKS Calculations'!I44+'TANKS Calculations'!$C$37)))/51.715))</f>
        <v/>
      </c>
      <c r="D108" s="238" t="str">
        <f>IF(ISBLANK(D18),"",IF(D97="",0,10^('TANKS Calculations'!J42-('TANKS Calculations'!J43/('TANKS Calculations'!J44+'TANKS Calculations'!$C$37)))/51.715))</f>
        <v/>
      </c>
      <c r="E108" s="238" t="str">
        <f>IF(ISBLANK(E18),"",IF(E97="",0,10^('TANKS Calculations'!K42-('TANKS Calculations'!K43/('TANKS Calculations'!K44+'TANKS Calculations'!$C$37)))/51.715))</f>
        <v/>
      </c>
      <c r="F108" s="238" t="str">
        <f>IF(ISBLANK(F18),"",IF(F97="",0,10^('TANKS Calculations'!L42-('TANKS Calculations'!L43/('TANKS Calculations'!L44+'TANKS Calculations'!$C$37)))/51.715))</f>
        <v/>
      </c>
      <c r="G108" s="238" t="str">
        <f>IF(ISBLANK(G18),"",IF(G97="",0,10^('TANKS Calculations'!M42-('TANKS Calculations'!M43/('TANKS Calculations'!M44+'TANKS Calculations'!$C$37)))/51.715))</f>
        <v/>
      </c>
      <c r="H108" s="238" t="str">
        <f>IF(ISBLANK(H18),"",IF(H97="",0,10^('TANKS Calculations'!N42-('TANKS Calculations'!N43/('TANKS Calculations'!N44+'TANKS Calculations'!$C$37)))/51.715))</f>
        <v/>
      </c>
      <c r="I108" s="238" t="str">
        <f>IF(ISBLANK(I18),"",IF(I97="",0,10^('TANKS Calculations'!O42-('TANKS Calculations'!O43/('TANKS Calculations'!O44+'TANKS Calculations'!$C$37)))/51.715))</f>
        <v/>
      </c>
      <c r="J108" s="238" t="str">
        <f>IF(ISBLANK(J18),"",IF(J97="",0,10^('TANKS Calculations'!P42-('TANKS Calculations'!P43/('TANKS Calculations'!P44+'TANKS Calculations'!$C$37)))/51.715))</f>
        <v/>
      </c>
      <c r="K108" s="238" t="str">
        <f>IF(ISBLANK(K18),"",IF(K97="",0,10^('TANKS Calculations'!Q42-('TANKS Calculations'!Q43/('TANKS Calculations'!Q44+'TANKS Calculations'!$C$37)))/51.715))</f>
        <v/>
      </c>
      <c r="L108" s="238" t="str">
        <f>IF(ISBLANK(L18),"",IF(L97="",0,10^('TANKS Calculations'!R42-('TANKS Calculations'!R43/('TANKS Calculations'!R44+'TANKS Calculations'!$C$37)))/51.715))</f>
        <v/>
      </c>
      <c r="M108" s="238" t="str">
        <f>IF(ISBLANK(M18),"",IF(M97="",0,10^('TANKS Calculations'!S42-('TANKS Calculations'!S43/('TANKS Calculations'!S44+'TANKS Calculations'!$C$37)))/51.715))</f>
        <v/>
      </c>
      <c r="N108" s="238" t="str">
        <f>IF(ISBLANK(N18),"",IF(N97="",0,10^('TANKS Calculations'!T42-('TANKS Calculations'!T43/('TANKS Calculations'!T44+'TANKS Calculations'!$C$37)))/51.715))</f>
        <v/>
      </c>
      <c r="O108" s="238" t="str">
        <f>IF(ISBLANK(O18),"",IF(O97="",0,10^('TANKS Calculations'!U42-('TANKS Calculations'!U43/('TANKS Calculations'!U44+'TANKS Calculations'!$C$37)))/51.715))</f>
        <v/>
      </c>
      <c r="P108" s="238" t="str">
        <f>IF(ISBLANK(P18),"",IF(P97="",0,10^('TANKS Calculations'!V42-('TANKS Calculations'!V43/('TANKS Calculations'!V44+'TANKS Calculations'!$C$37)))/51.715))</f>
        <v/>
      </c>
      <c r="Q108" s="283"/>
    </row>
    <row r="109" spans="1:17" ht="30" customHeight="1" thickBot="1" x14ac:dyDescent="0.25">
      <c r="A109" s="262" t="s">
        <v>9777</v>
      </c>
      <c r="B109" s="394"/>
      <c r="C109" s="385"/>
      <c r="D109" s="385"/>
      <c r="E109" s="385"/>
      <c r="F109" s="385"/>
      <c r="G109" s="385"/>
      <c r="H109" s="385"/>
      <c r="I109" s="385"/>
      <c r="J109" s="385"/>
      <c r="K109" s="395"/>
      <c r="L109" s="385"/>
      <c r="M109" s="385"/>
      <c r="N109" s="395"/>
      <c r="O109" s="385"/>
      <c r="P109" s="385"/>
      <c r="Q109" s="244"/>
    </row>
    <row r="110" spans="1:17" ht="30" customHeight="1" x14ac:dyDescent="0.2">
      <c r="A110" s="266" t="s">
        <v>9778</v>
      </c>
      <c r="B110" s="238" t="str">
        <f>IF(ISBLANK(B18),"",IF(B97="",0,10^('TANKS Calculations'!H42-('TANKS Calculations'!H43/('TANKS Calculations'!H44+'TANKS Calculations'!$C$40)))/51.715))</f>
        <v/>
      </c>
      <c r="C110" s="238" t="str">
        <f>IF(ISBLANK(C18),"",IF(C97="",0,10^('TANKS Calculations'!I42-('TANKS Calculations'!I43/('TANKS Calculations'!I44+'TANKS Calculations'!$C$40)))/51.715))</f>
        <v/>
      </c>
      <c r="D110" s="238" t="str">
        <f>IF(ISBLANK(D18),"",IF(D97="",0,10^('TANKS Calculations'!J42-('TANKS Calculations'!J43/('TANKS Calculations'!J44+'TANKS Calculations'!$C$40)))/51.715))</f>
        <v/>
      </c>
      <c r="E110" s="238" t="str">
        <f>IF(ISBLANK(E18),"",IF(E97="",0,10^('TANKS Calculations'!K42-('TANKS Calculations'!K43/('TANKS Calculations'!K44+'TANKS Calculations'!$C$40)))/51.715))</f>
        <v/>
      </c>
      <c r="F110" s="238" t="str">
        <f>IF(ISBLANK(F18),"",IF(F97="",0,10^('TANKS Calculations'!L42-('TANKS Calculations'!L43/('TANKS Calculations'!L44+'TANKS Calculations'!$C$40)))/51.715))</f>
        <v/>
      </c>
      <c r="G110" s="238" t="str">
        <f>IF(ISBLANK(G18),"",IF(G97="",0,10^('TANKS Calculations'!M42-('TANKS Calculations'!M43/('TANKS Calculations'!M44+'TANKS Calculations'!$C$40)))/51.715))</f>
        <v/>
      </c>
      <c r="H110" s="238" t="str">
        <f>IF(ISBLANK(H18),"",IF(H97="",0,10^('TANKS Calculations'!N42-('TANKS Calculations'!N43/('TANKS Calculations'!N44+'TANKS Calculations'!$C$40)))/51.715))</f>
        <v/>
      </c>
      <c r="I110" s="238" t="str">
        <f>IF(ISBLANK(I18),"",IF(I97="",0,10^('TANKS Calculations'!O42-('TANKS Calculations'!O43/('TANKS Calculations'!O44+'TANKS Calculations'!$C$40)))/51.715))</f>
        <v/>
      </c>
      <c r="J110" s="238" t="str">
        <f>IF(ISBLANK(J18),"",IF(J97="",0,10^('TANKS Calculations'!P42-('TANKS Calculations'!P43/('TANKS Calculations'!P44+'TANKS Calculations'!$C$40)))/51.715))</f>
        <v/>
      </c>
      <c r="K110" s="238" t="str">
        <f>IF(ISBLANK(K18),"",IF(K97="",0,10^('TANKS Calculations'!Q42-('TANKS Calculations'!Q43/('TANKS Calculations'!Q44+'TANKS Calculations'!$C$40)))/51.715))</f>
        <v/>
      </c>
      <c r="L110" s="238" t="str">
        <f>IF(ISBLANK(L18),"",IF(L97="",0,10^('TANKS Calculations'!R42-('TANKS Calculations'!R43/('TANKS Calculations'!R44+'TANKS Calculations'!$C$40)))/51.715))</f>
        <v/>
      </c>
      <c r="M110" s="238" t="str">
        <f>IF(ISBLANK(M18),"",IF(M97="",0,10^('TANKS Calculations'!S42-('TANKS Calculations'!S43/('TANKS Calculations'!S44+'TANKS Calculations'!$C$40)))/51.715))</f>
        <v/>
      </c>
      <c r="N110" s="238" t="str">
        <f>IF(ISBLANK(N18),"",IF(N97="",0,10^('TANKS Calculations'!T42-('TANKS Calculations'!T43/('TANKS Calculations'!T44+'TANKS Calculations'!$C$40)))/51.715))</f>
        <v/>
      </c>
      <c r="O110" s="238" t="str">
        <f>IF(ISBLANK(O18),"",IF(O97="",0,10^('TANKS Calculations'!U42-('TANKS Calculations'!U43/('TANKS Calculations'!U44+'TANKS Calculations'!$C$40)))/51.715))</f>
        <v/>
      </c>
      <c r="P110" s="238" t="str">
        <f>IF(ISBLANK(P18),"",IF(P97="",0,10^('TANKS Calculations'!V42-('TANKS Calculations'!V43/('TANKS Calculations'!V44+'TANKS Calculations'!$C$40)))/51.715))</f>
        <v/>
      </c>
      <c r="Q110" s="283"/>
    </row>
    <row r="111" spans="1:17" ht="30" customHeight="1" thickBot="1" x14ac:dyDescent="0.25">
      <c r="A111" s="262" t="s">
        <v>9779</v>
      </c>
      <c r="B111" s="394"/>
      <c r="C111" s="385"/>
      <c r="D111" s="385"/>
      <c r="E111" s="385"/>
      <c r="F111" s="385"/>
      <c r="G111" s="385"/>
      <c r="H111" s="385"/>
      <c r="I111" s="385"/>
      <c r="J111" s="385"/>
      <c r="K111" s="395"/>
      <c r="L111" s="385"/>
      <c r="M111" s="385"/>
      <c r="N111" s="395"/>
      <c r="O111" s="385"/>
      <c r="P111" s="385"/>
      <c r="Q111" s="244"/>
    </row>
    <row r="112" spans="1:17" ht="20.100000000000001" customHeight="1" x14ac:dyDescent="0.2">
      <c r="A112" s="284" t="s">
        <v>9546</v>
      </c>
      <c r="B112" s="285" t="str">
        <f>IF(ISBLANK(B18),"",IFERROR('TANKS Calculations'!H38/'TANKS Calculations'!$W$38,0))</f>
        <v/>
      </c>
      <c r="C112" s="285" t="str">
        <f>IF(ISBLANK(C18),"",IFERROR('TANKS Calculations'!I38/'TANKS Calculations'!$W$38,0))</f>
        <v/>
      </c>
      <c r="D112" s="285" t="str">
        <f>IF(ISBLANK(D18),"",IFERROR('TANKS Calculations'!J38/'TANKS Calculations'!$W$38,0))</f>
        <v/>
      </c>
      <c r="E112" s="285" t="str">
        <f>IF(ISBLANK(E18),"",IFERROR('TANKS Calculations'!K38/'TANKS Calculations'!$W$38,0))</f>
        <v/>
      </c>
      <c r="F112" s="285" t="str">
        <f>IF(ISBLANK(F18),"",IFERROR('TANKS Calculations'!L38/'TANKS Calculations'!$W$38,0))</f>
        <v/>
      </c>
      <c r="G112" s="285" t="str">
        <f>IF(ISBLANK(G18),"",IFERROR('TANKS Calculations'!M38/'TANKS Calculations'!$W$38,0))</f>
        <v/>
      </c>
      <c r="H112" s="285" t="str">
        <f>IF(ISBLANK(H18),"",IFERROR('TANKS Calculations'!N38/'TANKS Calculations'!$W$38,0))</f>
        <v/>
      </c>
      <c r="I112" s="285" t="str">
        <f>IF(ISBLANK(I18),"",IFERROR('TANKS Calculations'!O38/'TANKS Calculations'!$W$38,0))</f>
        <v/>
      </c>
      <c r="J112" s="285" t="str">
        <f>IF(ISBLANK(J18),"",IFERROR('TANKS Calculations'!P38/'TANKS Calculations'!$W$38,0))</f>
        <v/>
      </c>
      <c r="K112" s="285" t="str">
        <f>IF(ISBLANK(K18),"",IFERROR('TANKS Calculations'!Q38/'TANKS Calculations'!$W$38,0))</f>
        <v/>
      </c>
      <c r="L112" s="285" t="str">
        <f>IF(ISBLANK(L18),"",IFERROR('TANKS Calculations'!R38/'TANKS Calculations'!$W$38,0))</f>
        <v/>
      </c>
      <c r="M112" s="285" t="str">
        <f>IF(ISBLANK(M18),"",IFERROR('TANKS Calculations'!S38/'TANKS Calculations'!$W$38,0))</f>
        <v/>
      </c>
      <c r="N112" s="285" t="str">
        <f>IF(ISBLANK(N18),"",IFERROR('TANKS Calculations'!T38/'TANKS Calculations'!$W$38,0))</f>
        <v/>
      </c>
      <c r="O112" s="285" t="str">
        <f>IF(ISBLANK(O18),"",IFERROR('TANKS Calculations'!U38/'TANKS Calculations'!$W$38,0))</f>
        <v/>
      </c>
      <c r="P112" s="285" t="str">
        <f>IF(ISBLANK(P18),"",IFERROR('TANKS Calculations'!V38/'TANKS Calculations'!$W$38,0))</f>
        <v/>
      </c>
      <c r="Q112" s="287">
        <f t="shared" ref="Q112:Q117" si="2">SUM(B112:P112)</f>
        <v>0</v>
      </c>
    </row>
    <row r="113" spans="1:17" ht="20.100000000000001" customHeight="1" x14ac:dyDescent="0.2">
      <c r="A113" s="233" t="s">
        <v>9548</v>
      </c>
      <c r="B113" s="252" t="str">
        <f>IF(ISBLANK(B18),"",'TANKS Calculations'!H39*B112)</f>
        <v/>
      </c>
      <c r="C113" s="252" t="str">
        <f>IF(ISBLANK(C18),"",'TANKS Calculations'!I39*C112)</f>
        <v/>
      </c>
      <c r="D113" s="252" t="str">
        <f>IF(ISBLANK(D18),"",'TANKS Calculations'!J39*D112)</f>
        <v/>
      </c>
      <c r="E113" s="252" t="str">
        <f>IF(ISBLANK(E18),"",'TANKS Calculations'!K39*E112)</f>
        <v/>
      </c>
      <c r="F113" s="252" t="str">
        <f>IF(ISBLANK(F18),"",'TANKS Calculations'!L39*F112)</f>
        <v/>
      </c>
      <c r="G113" s="252" t="str">
        <f>IF(ISBLANK(G18),"",'TANKS Calculations'!M39*G112)</f>
        <v/>
      </c>
      <c r="H113" s="252" t="str">
        <f>IF(ISBLANK(H18),"",'TANKS Calculations'!N39*H112)</f>
        <v/>
      </c>
      <c r="I113" s="252" t="str">
        <f>IF(ISBLANK(I18),"",'TANKS Calculations'!O39*I112)</f>
        <v/>
      </c>
      <c r="J113" s="252" t="str">
        <f>IF(ISBLANK(J18),"",'TANKS Calculations'!P39*J112)</f>
        <v/>
      </c>
      <c r="K113" s="252" t="str">
        <f>IF(ISBLANK(K18),"",'TANKS Calculations'!Q39*K112)</f>
        <v/>
      </c>
      <c r="L113" s="252" t="str">
        <f>IF(ISBLANK(L18),"",'TANKS Calculations'!R39*L112)</f>
        <v/>
      </c>
      <c r="M113" s="252" t="str">
        <f>IF(ISBLANK(M18),"",'TANKS Calculations'!S39*M112)</f>
        <v/>
      </c>
      <c r="N113" s="252" t="str">
        <f>IF(ISBLANK(N18),"",'TANKS Calculations'!T39*N112)</f>
        <v/>
      </c>
      <c r="O113" s="252" t="str">
        <f>IF(ISBLANK(O18),"",'TANKS Calculations'!U39*O112)</f>
        <v/>
      </c>
      <c r="P113" s="252" t="str">
        <f>IF(ISBLANK(P18),"",'TANKS Calculations'!V39*P112)</f>
        <v/>
      </c>
      <c r="Q113" s="288">
        <f t="shared" si="2"/>
        <v>0</v>
      </c>
    </row>
    <row r="114" spans="1:17" ht="20.100000000000001" customHeight="1" x14ac:dyDescent="0.2">
      <c r="A114" s="233" t="s">
        <v>9550</v>
      </c>
      <c r="B114" s="252" t="str">
        <f t="shared" ref="B114:P114" si="3">IF(ISBLANK(B18),"",IFERROR(B113/$Q$113,0))</f>
        <v/>
      </c>
      <c r="C114" s="252" t="str">
        <f t="shared" si="3"/>
        <v/>
      </c>
      <c r="D114" s="252" t="str">
        <f t="shared" si="3"/>
        <v/>
      </c>
      <c r="E114" s="252" t="str">
        <f t="shared" si="3"/>
        <v/>
      </c>
      <c r="F114" s="252" t="str">
        <f t="shared" si="3"/>
        <v/>
      </c>
      <c r="G114" s="252" t="str">
        <f t="shared" si="3"/>
        <v/>
      </c>
      <c r="H114" s="252" t="str">
        <f t="shared" si="3"/>
        <v/>
      </c>
      <c r="I114" s="252" t="str">
        <f t="shared" si="3"/>
        <v/>
      </c>
      <c r="J114" s="252" t="str">
        <f t="shared" si="3"/>
        <v/>
      </c>
      <c r="K114" s="252" t="str">
        <f t="shared" si="3"/>
        <v/>
      </c>
      <c r="L114" s="252" t="str">
        <f t="shared" si="3"/>
        <v/>
      </c>
      <c r="M114" s="252" t="str">
        <f t="shared" si="3"/>
        <v/>
      </c>
      <c r="N114" s="252" t="str">
        <f t="shared" si="3"/>
        <v/>
      </c>
      <c r="O114" s="252" t="str">
        <f t="shared" si="3"/>
        <v/>
      </c>
      <c r="P114" s="252" t="str">
        <f t="shared" si="3"/>
        <v/>
      </c>
      <c r="Q114" s="288">
        <f t="shared" si="2"/>
        <v>0</v>
      </c>
    </row>
    <row r="115" spans="1:17" ht="20.100000000000001" customHeight="1" x14ac:dyDescent="0.2">
      <c r="A115" s="233" t="s">
        <v>9780</v>
      </c>
      <c r="B115" s="252" t="str">
        <f t="shared" ref="B115:P115" si="4">IF(ISBLANK(B18),"",B114*IF(ISBLANK(B26),B25,B26))</f>
        <v/>
      </c>
      <c r="C115" s="252" t="str">
        <f t="shared" si="4"/>
        <v/>
      </c>
      <c r="D115" s="252" t="str">
        <f t="shared" si="4"/>
        <v/>
      </c>
      <c r="E115" s="252" t="str">
        <f t="shared" si="4"/>
        <v/>
      </c>
      <c r="F115" s="252" t="str">
        <f t="shared" si="4"/>
        <v/>
      </c>
      <c r="G115" s="252" t="str">
        <f t="shared" si="4"/>
        <v/>
      </c>
      <c r="H115" s="252" t="str">
        <f t="shared" si="4"/>
        <v/>
      </c>
      <c r="I115" s="252" t="str">
        <f t="shared" si="4"/>
        <v/>
      </c>
      <c r="J115" s="252" t="str">
        <f t="shared" si="4"/>
        <v/>
      </c>
      <c r="K115" s="252" t="str">
        <f t="shared" si="4"/>
        <v/>
      </c>
      <c r="L115" s="252" t="str">
        <f t="shared" si="4"/>
        <v/>
      </c>
      <c r="M115" s="252" t="str">
        <f t="shared" si="4"/>
        <v/>
      </c>
      <c r="N115" s="252" t="str">
        <f t="shared" si="4"/>
        <v/>
      </c>
      <c r="O115" s="252" t="str">
        <f t="shared" si="4"/>
        <v/>
      </c>
      <c r="P115" s="252" t="str">
        <f t="shared" si="4"/>
        <v/>
      </c>
      <c r="Q115" s="288">
        <f t="shared" si="2"/>
        <v>0</v>
      </c>
    </row>
    <row r="116" spans="1:17" ht="20.100000000000001" customHeight="1" x14ac:dyDescent="0.2">
      <c r="A116" s="233" t="s">
        <v>9558</v>
      </c>
      <c r="B116" s="252" t="str">
        <f t="shared" ref="B116:P116" si="5">IF(ISBLANK(B18),"",IF(ISBLANK(B109),B108,B109)*B112)</f>
        <v/>
      </c>
      <c r="C116" s="252" t="str">
        <f t="shared" si="5"/>
        <v/>
      </c>
      <c r="D116" s="252" t="str">
        <f t="shared" si="5"/>
        <v/>
      </c>
      <c r="E116" s="252" t="str">
        <f t="shared" si="5"/>
        <v/>
      </c>
      <c r="F116" s="252" t="str">
        <f t="shared" si="5"/>
        <v/>
      </c>
      <c r="G116" s="252" t="str">
        <f t="shared" si="5"/>
        <v/>
      </c>
      <c r="H116" s="252" t="str">
        <f t="shared" si="5"/>
        <v/>
      </c>
      <c r="I116" s="252" t="str">
        <f t="shared" si="5"/>
        <v/>
      </c>
      <c r="J116" s="252" t="str">
        <f t="shared" si="5"/>
        <v/>
      </c>
      <c r="K116" s="252" t="str">
        <f t="shared" si="5"/>
        <v/>
      </c>
      <c r="L116" s="252" t="str">
        <f t="shared" si="5"/>
        <v/>
      </c>
      <c r="M116" s="252" t="str">
        <f t="shared" si="5"/>
        <v/>
      </c>
      <c r="N116" s="252" t="str">
        <f t="shared" si="5"/>
        <v/>
      </c>
      <c r="O116" s="252" t="str">
        <f t="shared" si="5"/>
        <v/>
      </c>
      <c r="P116" s="252" t="str">
        <f t="shared" si="5"/>
        <v/>
      </c>
      <c r="Q116" s="288">
        <f t="shared" si="2"/>
        <v>0</v>
      </c>
    </row>
    <row r="117" spans="1:17" ht="20.100000000000001" customHeight="1" thickBot="1" x14ac:dyDescent="0.25">
      <c r="A117" s="235" t="s">
        <v>9560</v>
      </c>
      <c r="B117" s="289" t="str">
        <f t="shared" ref="B117:P117" si="6">IF(ISBLANK(B18),"",IF(ISBLANK(B111),B110,B111)*B112)</f>
        <v/>
      </c>
      <c r="C117" s="289" t="str">
        <f t="shared" si="6"/>
        <v/>
      </c>
      <c r="D117" s="289" t="str">
        <f t="shared" si="6"/>
        <v/>
      </c>
      <c r="E117" s="289" t="str">
        <f t="shared" si="6"/>
        <v/>
      </c>
      <c r="F117" s="289" t="str">
        <f t="shared" si="6"/>
        <v/>
      </c>
      <c r="G117" s="289" t="str">
        <f t="shared" si="6"/>
        <v/>
      </c>
      <c r="H117" s="289" t="str">
        <f t="shared" si="6"/>
        <v/>
      </c>
      <c r="I117" s="289" t="str">
        <f t="shared" si="6"/>
        <v/>
      </c>
      <c r="J117" s="289" t="str">
        <f t="shared" si="6"/>
        <v/>
      </c>
      <c r="K117" s="289" t="str">
        <f t="shared" si="6"/>
        <v/>
      </c>
      <c r="L117" s="289" t="str">
        <f t="shared" si="6"/>
        <v/>
      </c>
      <c r="M117" s="289" t="str">
        <f t="shared" si="6"/>
        <v/>
      </c>
      <c r="N117" s="289" t="str">
        <f t="shared" si="6"/>
        <v/>
      </c>
      <c r="O117" s="289" t="str">
        <f t="shared" si="6"/>
        <v/>
      </c>
      <c r="P117" s="289" t="str">
        <f t="shared" si="6"/>
        <v/>
      </c>
      <c r="Q117" s="236">
        <f t="shared" si="2"/>
        <v>0</v>
      </c>
    </row>
    <row r="118" spans="1:17" ht="30" customHeight="1" thickBot="1" x14ac:dyDescent="0.25">
      <c r="A118" s="1376" t="s">
        <v>8411</v>
      </c>
      <c r="B118" s="1376"/>
      <c r="C118" s="1376"/>
      <c r="D118" s="1376"/>
      <c r="E118" s="224"/>
    </row>
    <row r="119" spans="1:17" ht="60" customHeight="1" thickBot="1" x14ac:dyDescent="0.3">
      <c r="A119" s="1352" t="s">
        <v>9684</v>
      </c>
      <c r="B119" s="1353"/>
      <c r="C119" s="1353"/>
      <c r="D119" s="1354"/>
      <c r="E119" s="224"/>
      <c r="F119" s="224"/>
      <c r="G119" s="224"/>
      <c r="H119" s="224"/>
      <c r="I119" s="224"/>
      <c r="J119" s="224"/>
      <c r="K119" s="224"/>
      <c r="L119" s="224"/>
      <c r="M119" s="224"/>
      <c r="N119" s="224"/>
      <c r="O119" s="224"/>
      <c r="P119" s="224"/>
      <c r="Q119" s="224"/>
    </row>
    <row r="120" spans="1:17" ht="20.100000000000001" customHeight="1" thickBot="1" x14ac:dyDescent="0.3">
      <c r="A120" s="146" t="s">
        <v>9685</v>
      </c>
      <c r="B120" s="147" t="s">
        <v>9686</v>
      </c>
      <c r="C120" s="148" t="s">
        <v>9687</v>
      </c>
      <c r="D120" s="149" t="s">
        <v>9688</v>
      </c>
      <c r="E120" s="224"/>
      <c r="F120" s="224"/>
      <c r="G120" s="224"/>
      <c r="H120" s="224"/>
      <c r="I120" s="224"/>
      <c r="J120" s="224"/>
      <c r="K120" s="224"/>
      <c r="L120" s="224"/>
      <c r="M120" s="224"/>
      <c r="N120" s="224"/>
      <c r="O120" s="224"/>
      <c r="P120" s="224"/>
      <c r="Q120" s="224"/>
    </row>
    <row r="121" spans="1:17" ht="20.100000000000001" customHeight="1" x14ac:dyDescent="0.2">
      <c r="A121" s="266" t="s">
        <v>9781</v>
      </c>
      <c r="B121" s="238">
        <v>0.03</v>
      </c>
      <c r="C121" s="399"/>
      <c r="D121" s="268" t="s">
        <v>9782</v>
      </c>
      <c r="E121" s="224"/>
      <c r="F121" s="224"/>
      <c r="G121" s="224"/>
      <c r="H121" s="224"/>
      <c r="I121" s="224"/>
    </row>
    <row r="122" spans="1:17" ht="20.100000000000001" customHeight="1" x14ac:dyDescent="0.2">
      <c r="A122" s="228" t="s">
        <v>9783</v>
      </c>
      <c r="B122" s="252">
        <v>-0.03</v>
      </c>
      <c r="C122" s="379"/>
      <c r="D122" s="227" t="s">
        <v>9782</v>
      </c>
      <c r="E122" s="224"/>
      <c r="F122" s="224"/>
      <c r="G122" s="224"/>
      <c r="H122" s="224"/>
      <c r="I122" s="224"/>
    </row>
    <row r="123" spans="1:17" ht="20.100000000000001" customHeight="1" x14ac:dyDescent="0.2">
      <c r="A123" s="225" t="s">
        <v>9784</v>
      </c>
      <c r="B123" s="285">
        <f>IF(OR(C66="No",C31="Riveted"),0,'TANKS Calculations'!C44-'TANKS Calculations'!C45)</f>
        <v>0.06</v>
      </c>
      <c r="C123" s="392"/>
      <c r="D123" s="246" t="s">
        <v>9782</v>
      </c>
      <c r="E123" s="224"/>
      <c r="F123" s="224"/>
      <c r="G123" s="224"/>
      <c r="H123" s="224"/>
      <c r="I123" s="224"/>
    </row>
    <row r="124" spans="1:17" ht="20.100000000000001" customHeight="1" x14ac:dyDescent="0.2">
      <c r="A124" s="256" t="s">
        <v>9785</v>
      </c>
      <c r="B124" s="258">
        <f>IF(C69="Fully Insulated",0,Q116-Q117)</f>
        <v>0</v>
      </c>
      <c r="C124" s="383"/>
      <c r="D124" s="259" t="s">
        <v>8867</v>
      </c>
      <c r="E124" s="224"/>
      <c r="F124" s="224"/>
      <c r="G124" s="224"/>
      <c r="H124" s="224"/>
      <c r="I124" s="224"/>
    </row>
    <row r="125" spans="1:17" ht="20.100000000000001" customHeight="1" x14ac:dyDescent="0.2">
      <c r="A125" s="228" t="s">
        <v>9786</v>
      </c>
      <c r="B125" s="252">
        <f>Q113</f>
        <v>0</v>
      </c>
      <c r="C125" s="379"/>
      <c r="D125" s="227" t="s">
        <v>8867</v>
      </c>
      <c r="E125" s="224"/>
      <c r="F125" s="224"/>
      <c r="G125" s="224"/>
      <c r="H125" s="224"/>
      <c r="I125" s="224"/>
    </row>
    <row r="126" spans="1:17" ht="30" customHeight="1" x14ac:dyDescent="0.2">
      <c r="A126" s="228" t="s">
        <v>9787</v>
      </c>
      <c r="B126" s="254" t="s">
        <v>269</v>
      </c>
      <c r="C126" s="379"/>
      <c r="D126" s="227" t="s">
        <v>9689</v>
      </c>
      <c r="E126" s="224"/>
      <c r="F126" s="224"/>
      <c r="G126" s="224"/>
      <c r="H126" s="224"/>
      <c r="I126" s="224"/>
    </row>
    <row r="127" spans="1:17" ht="30" customHeight="1" thickBot="1" x14ac:dyDescent="0.25">
      <c r="A127" s="230" t="s">
        <v>9788</v>
      </c>
      <c r="B127" s="290">
        <v>0</v>
      </c>
      <c r="C127" s="401"/>
      <c r="D127" s="231" t="s">
        <v>9689</v>
      </c>
      <c r="E127" s="224"/>
      <c r="F127" s="224"/>
      <c r="G127" s="224"/>
      <c r="H127" s="224"/>
      <c r="I127" s="224"/>
    </row>
    <row r="128" spans="1:17" ht="30" customHeight="1" thickBot="1" x14ac:dyDescent="0.25">
      <c r="A128" s="1376" t="s">
        <v>8411</v>
      </c>
      <c r="B128" s="1376"/>
      <c r="C128" s="1376"/>
      <c r="D128" s="1376"/>
    </row>
    <row r="129" spans="1:17" ht="60" customHeight="1" thickBot="1" x14ac:dyDescent="0.3">
      <c r="A129" s="1352" t="s">
        <v>9789</v>
      </c>
      <c r="B129" s="1358"/>
      <c r="C129" s="1358"/>
      <c r="D129" s="1359"/>
      <c r="E129" s="224"/>
      <c r="F129" s="224"/>
      <c r="G129" s="224"/>
      <c r="H129" s="224"/>
      <c r="I129" s="224"/>
      <c r="J129" s="224"/>
      <c r="K129" s="224"/>
      <c r="L129" s="224"/>
      <c r="M129" s="224"/>
      <c r="N129" s="224"/>
      <c r="O129" s="224"/>
      <c r="P129" s="224"/>
      <c r="Q129" s="224"/>
    </row>
    <row r="130" spans="1:17" ht="20.100000000000001" customHeight="1" thickBot="1" x14ac:dyDescent="0.3">
      <c r="A130" s="152" t="s">
        <v>9685</v>
      </c>
      <c r="B130" s="153" t="s">
        <v>9686</v>
      </c>
      <c r="C130" s="154" t="s">
        <v>9687</v>
      </c>
      <c r="D130" s="155" t="s">
        <v>9688</v>
      </c>
      <c r="E130" s="224"/>
      <c r="F130" s="224"/>
      <c r="G130" s="224"/>
      <c r="H130" s="224"/>
      <c r="I130" s="224"/>
      <c r="J130" s="224"/>
      <c r="K130" s="224"/>
      <c r="L130" s="224"/>
      <c r="M130" s="224"/>
      <c r="N130" s="224"/>
      <c r="O130" s="224"/>
      <c r="P130" s="224"/>
      <c r="Q130" s="224"/>
    </row>
    <row r="131" spans="1:17" ht="20.100000000000001" customHeight="1" x14ac:dyDescent="0.35">
      <c r="A131" s="225" t="s">
        <v>9790</v>
      </c>
      <c r="B131" s="285">
        <f>'TANKS Calculations'!W34</f>
        <v>0</v>
      </c>
      <c r="C131" s="392"/>
      <c r="D131" s="246" t="s">
        <v>9791</v>
      </c>
      <c r="E131" s="224"/>
      <c r="F131" s="224"/>
      <c r="G131" s="224"/>
      <c r="H131" s="224"/>
      <c r="I131" s="224"/>
    </row>
    <row r="132" spans="1:17" ht="20.100000000000001" customHeight="1" x14ac:dyDescent="0.35">
      <c r="A132" s="228" t="s">
        <v>9792</v>
      </c>
      <c r="B132" s="252">
        <f>IFERROR(Q115*Q113/(10.731*'TANKS Calculations'!C49),0)</f>
        <v>0</v>
      </c>
      <c r="C132" s="379"/>
      <c r="D132" s="227" t="s">
        <v>9793</v>
      </c>
      <c r="E132" s="224"/>
      <c r="F132" s="224"/>
      <c r="G132" s="224"/>
      <c r="H132" s="224"/>
      <c r="I132" s="224"/>
    </row>
    <row r="133" spans="1:17" ht="20.100000000000001" customHeight="1" x14ac:dyDescent="0.35">
      <c r="A133" s="256" t="s">
        <v>9794</v>
      </c>
      <c r="B133" s="258">
        <f>Q115</f>
        <v>0</v>
      </c>
      <c r="C133" s="383"/>
      <c r="D133" s="259" t="s">
        <v>9795</v>
      </c>
      <c r="E133" s="224"/>
      <c r="F133" s="224"/>
      <c r="G133" s="224"/>
      <c r="H133" s="224"/>
      <c r="I133" s="224"/>
    </row>
    <row r="134" spans="1:17" ht="20.100000000000001" customHeight="1" x14ac:dyDescent="0.35">
      <c r="A134" s="228" t="s">
        <v>9796</v>
      </c>
      <c r="B134" s="252">
        <f>1/(1+(0.053*Q113*'TANKS Calculations'!C60))</f>
        <v>1</v>
      </c>
      <c r="C134" s="379"/>
      <c r="D134" s="227" t="s">
        <v>9689</v>
      </c>
      <c r="E134" s="224"/>
      <c r="F134" s="224"/>
      <c r="G134" s="224"/>
      <c r="H134" s="224"/>
      <c r="I134" s="224"/>
    </row>
    <row r="135" spans="1:17" ht="20.100000000000001" customHeight="1" x14ac:dyDescent="0.35">
      <c r="A135" s="247" t="s">
        <v>9797</v>
      </c>
      <c r="B135" s="276">
        <f>IF(AND('TANKS Calculations'!C44&lt;=0.03,'TANKS Calculations'!C45&gt;=-0.03,'TANKS Calculations'!C51&lt;0.1),IF(ISBLANK(B14),0.04,0.0018*'TANKS Calculations'!C50),IF(ISBLANK(B14),0.04,('TANKS Calculations'!C50/'TANKS Calculations'!C42)+(('TANKS Calculations'!C47-'TANKS Calculations'!C46)/('TANKS Calculations'!C3-'TANKS Calculations'!W48))))</f>
        <v>0.04</v>
      </c>
      <c r="C135" s="391"/>
      <c r="D135" s="249" t="s">
        <v>9798</v>
      </c>
      <c r="E135" s="224"/>
      <c r="F135" s="224"/>
      <c r="G135" s="224"/>
      <c r="H135" s="224"/>
      <c r="I135" s="224"/>
    </row>
    <row r="136" spans="1:17" ht="30" customHeight="1" x14ac:dyDescent="0.2">
      <c r="A136" s="256" t="s">
        <v>9799</v>
      </c>
      <c r="B136" s="258">
        <v>0</v>
      </c>
      <c r="C136" s="383"/>
      <c r="D136" s="259" t="s">
        <v>9782</v>
      </c>
      <c r="E136" s="224"/>
      <c r="F136" s="224"/>
      <c r="G136" s="224"/>
      <c r="H136" s="224"/>
      <c r="I136" s="224"/>
    </row>
    <row r="137" spans="1:17" ht="20.100000000000001" customHeight="1" thickBot="1" x14ac:dyDescent="0.25">
      <c r="A137" s="262" t="s">
        <v>9800</v>
      </c>
      <c r="B137" s="289">
        <f>IF(OR(IFERROR('TANKS Calculations'!C21*(('TANKS Calculations'!C44+'TANKS Calculations'!C3)/('TANKS Calculations'!C67+'TANKS Calculations'!C3)),0)&gt;1,'TANKS Calculations'!C44&gt;0.03,'TANKS Calculations'!C45&lt;-0.03),1,((('TANKS Calculations'!C67+'TANKS Calculations'!C3)/'TANKS Calculations'!C21)-'TANKS Calculations'!W49)/('TANKS Calculations'!C44+'TANKS Calculations'!C3-'TANKS Calculations'!W49))</f>
        <v>1</v>
      </c>
      <c r="C137" s="393"/>
      <c r="D137" s="264" t="s">
        <v>9689</v>
      </c>
      <c r="E137" s="224"/>
      <c r="F137" s="224"/>
      <c r="G137" s="224"/>
      <c r="H137" s="224"/>
      <c r="I137" s="224"/>
    </row>
    <row r="138" spans="1:17" ht="30" customHeight="1" thickBot="1" x14ac:dyDescent="0.25">
      <c r="A138" s="1376" t="s">
        <v>8411</v>
      </c>
      <c r="B138" s="1376"/>
      <c r="C138" s="1376"/>
      <c r="D138" s="1376"/>
      <c r="E138" s="224"/>
      <c r="F138" s="224"/>
      <c r="G138" s="224"/>
      <c r="H138" s="224"/>
      <c r="I138" s="224"/>
      <c r="J138" s="224"/>
      <c r="K138" s="224"/>
      <c r="L138" s="224"/>
      <c r="M138" s="224"/>
      <c r="N138" s="224"/>
      <c r="O138" s="224"/>
      <c r="P138" s="224"/>
      <c r="Q138" s="224"/>
    </row>
    <row r="139" spans="1:17" ht="60" customHeight="1" thickBot="1" x14ac:dyDescent="0.3">
      <c r="A139" s="1352" t="s">
        <v>9801</v>
      </c>
      <c r="B139" s="1358"/>
      <c r="C139" s="1358"/>
      <c r="D139" s="1359"/>
      <c r="E139" s="224"/>
      <c r="F139" s="224"/>
      <c r="G139" s="224"/>
      <c r="H139" s="224"/>
      <c r="I139" s="224"/>
      <c r="J139" s="224"/>
      <c r="K139" s="224"/>
      <c r="L139" s="224"/>
      <c r="M139" s="224"/>
      <c r="N139" s="224"/>
      <c r="O139" s="224"/>
      <c r="P139" s="224"/>
      <c r="Q139" s="224"/>
    </row>
    <row r="140" spans="1:17" ht="20.100000000000001" customHeight="1" thickBot="1" x14ac:dyDescent="0.3">
      <c r="A140" s="152" t="s">
        <v>9685</v>
      </c>
      <c r="B140" s="153" t="s">
        <v>9686</v>
      </c>
      <c r="C140" s="154" t="s">
        <v>9687</v>
      </c>
      <c r="D140" s="155" t="s">
        <v>9688</v>
      </c>
      <c r="E140" s="224"/>
      <c r="F140" s="224"/>
      <c r="G140" s="224"/>
      <c r="H140" s="224"/>
      <c r="I140" s="224"/>
      <c r="J140" s="224"/>
      <c r="K140" s="224"/>
      <c r="L140" s="224"/>
      <c r="M140" s="224"/>
      <c r="N140" s="224"/>
      <c r="O140" s="224"/>
      <c r="P140" s="224"/>
      <c r="Q140" s="224"/>
    </row>
    <row r="141" spans="1:17" ht="30" customHeight="1" x14ac:dyDescent="0.2">
      <c r="A141" s="256" t="s">
        <v>9802</v>
      </c>
      <c r="B141" s="291" t="s">
        <v>8708</v>
      </c>
      <c r="C141" s="402"/>
      <c r="D141" s="259" t="s">
        <v>9689</v>
      </c>
      <c r="E141" s="224"/>
      <c r="F141" s="224"/>
      <c r="G141" s="224"/>
      <c r="H141" s="224"/>
      <c r="I141" s="224"/>
      <c r="J141" s="224"/>
      <c r="K141" s="224"/>
      <c r="L141" s="224"/>
      <c r="M141" s="224"/>
      <c r="N141" s="224"/>
      <c r="O141" s="224"/>
      <c r="P141" s="224"/>
    </row>
    <row r="142" spans="1:17" ht="45" customHeight="1" x14ac:dyDescent="0.2">
      <c r="A142" s="256" t="s">
        <v>9803</v>
      </c>
      <c r="B142" s="291" t="s">
        <v>8708</v>
      </c>
      <c r="C142" s="402"/>
      <c r="D142" s="259" t="s">
        <v>9689</v>
      </c>
      <c r="E142" s="224"/>
      <c r="F142" s="224"/>
      <c r="G142" s="224"/>
      <c r="H142" s="224"/>
      <c r="I142" s="224"/>
      <c r="J142" s="224"/>
      <c r="K142" s="224"/>
      <c r="L142" s="224"/>
      <c r="M142" s="224"/>
      <c r="N142" s="224"/>
      <c r="O142" s="224"/>
      <c r="P142" s="224"/>
    </row>
    <row r="143" spans="1:17" ht="60" customHeight="1" x14ac:dyDescent="0.2">
      <c r="A143" s="350" t="s">
        <v>10004</v>
      </c>
      <c r="B143" s="291" t="s">
        <v>7</v>
      </c>
      <c r="C143" s="402"/>
      <c r="D143" s="259" t="s">
        <v>9689</v>
      </c>
      <c r="E143" s="224"/>
      <c r="F143" s="224"/>
      <c r="G143" s="224"/>
      <c r="H143" s="224"/>
      <c r="I143" s="224"/>
      <c r="J143" s="224"/>
      <c r="K143" s="224"/>
      <c r="L143" s="224"/>
      <c r="M143" s="224"/>
      <c r="N143" s="224"/>
      <c r="O143" s="224"/>
      <c r="P143" s="224"/>
    </row>
    <row r="144" spans="1:17" ht="20.100000000000001" customHeight="1" x14ac:dyDescent="0.2">
      <c r="A144" s="350" t="s">
        <v>9999</v>
      </c>
      <c r="B144" s="291">
        <f>_xlfn.IFNA(VLOOKUP($C$31&amp;$C$141&amp;$C$142,'TANKS Data'!$A$4:$J$15,IF('TANKS Calculations'!C72="Tight",8,5),FALSE),0)</f>
        <v>0</v>
      </c>
      <c r="C144" s="397"/>
      <c r="D144" s="259" t="s">
        <v>9804</v>
      </c>
      <c r="E144" s="224"/>
      <c r="F144" s="224"/>
      <c r="G144" s="224"/>
      <c r="H144" s="224"/>
      <c r="I144" s="224"/>
      <c r="J144" s="224"/>
      <c r="K144" s="224"/>
      <c r="L144" s="224"/>
      <c r="M144" s="224"/>
      <c r="N144" s="224"/>
      <c r="O144" s="224"/>
      <c r="P144" s="224"/>
      <c r="Q144" s="224"/>
    </row>
    <row r="145" spans="1:17" ht="35.1" customHeight="1" x14ac:dyDescent="0.2">
      <c r="A145" s="350" t="s">
        <v>10000</v>
      </c>
      <c r="B145" s="291">
        <f>_xlfn.IFNA(VLOOKUP($C$31&amp;$C$141&amp;$C$142,'TANKS Data'!$A$4:$J$15,IF('TANKS Calculations'!C72="Tight",9,6),FALSE),0)</f>
        <v>0</v>
      </c>
      <c r="C145" s="397"/>
      <c r="D145" s="259" t="s">
        <v>9805</v>
      </c>
      <c r="E145" s="224"/>
      <c r="F145" s="224"/>
      <c r="G145" s="224"/>
      <c r="H145" s="224"/>
      <c r="I145" s="224"/>
      <c r="J145" s="224"/>
      <c r="K145" s="224"/>
      <c r="L145" s="224"/>
      <c r="M145" s="224"/>
      <c r="N145" s="224"/>
      <c r="O145" s="224"/>
      <c r="P145" s="224"/>
      <c r="Q145" s="224"/>
    </row>
    <row r="146" spans="1:17" ht="20.100000000000001" customHeight="1" x14ac:dyDescent="0.2">
      <c r="A146" s="351" t="s">
        <v>9806</v>
      </c>
      <c r="B146" s="291">
        <f>_xlfn.IFNA(VLOOKUP($C$31&amp;$C$141&amp;$C$142,'TANKS Data'!$A$4:$J$15,IF('TANKS Calculations'!C72="Tight",10,7),FALSE),0)</f>
        <v>0</v>
      </c>
      <c r="C146" s="397"/>
      <c r="D146" s="259" t="s">
        <v>9689</v>
      </c>
      <c r="E146" s="224"/>
      <c r="F146" s="224"/>
      <c r="G146" s="224"/>
      <c r="H146" s="224"/>
      <c r="I146" s="224"/>
      <c r="J146" s="224"/>
      <c r="K146" s="224"/>
      <c r="L146" s="224"/>
      <c r="M146" s="224"/>
      <c r="N146" s="224"/>
      <c r="O146" s="224"/>
      <c r="P146" s="224"/>
      <c r="Q146" s="224"/>
    </row>
    <row r="147" spans="1:17" ht="20.100000000000001" customHeight="1" x14ac:dyDescent="0.2">
      <c r="A147" s="351" t="s">
        <v>9794</v>
      </c>
      <c r="B147" s="258">
        <f>Q115</f>
        <v>0</v>
      </c>
      <c r="C147" s="397"/>
      <c r="D147" s="259" t="s">
        <v>9795</v>
      </c>
      <c r="E147" s="224"/>
      <c r="F147" s="224"/>
      <c r="G147" s="224"/>
      <c r="H147" s="224"/>
      <c r="I147" s="224"/>
      <c r="J147" s="224"/>
      <c r="K147" s="224"/>
      <c r="L147" s="224"/>
      <c r="M147" s="224"/>
      <c r="N147" s="224"/>
      <c r="O147" s="224"/>
      <c r="P147" s="224"/>
      <c r="Q147" s="224"/>
    </row>
    <row r="148" spans="1:17" ht="30" customHeight="1" x14ac:dyDescent="0.2">
      <c r="A148" s="256" t="s">
        <v>9807</v>
      </c>
      <c r="B148" s="291">
        <f>IF(C68="Internal Floating Roof",0,_xlfn.IFNA(VLOOKUP(B14,'TANKS Data'!$A$189:$G$213,7,FALSE),0))</f>
        <v>0</v>
      </c>
      <c r="C148" s="397"/>
      <c r="D148" s="259" t="s">
        <v>9808</v>
      </c>
      <c r="E148" s="224"/>
      <c r="F148" s="224"/>
      <c r="G148" s="224"/>
      <c r="H148" s="224"/>
      <c r="I148" s="224"/>
      <c r="J148" s="224"/>
      <c r="K148" s="224"/>
      <c r="L148" s="224"/>
      <c r="M148" s="224"/>
      <c r="N148" s="224"/>
      <c r="O148" s="224"/>
      <c r="P148" s="224"/>
      <c r="Q148" s="224"/>
    </row>
    <row r="149" spans="1:17" ht="20.100000000000001" customHeight="1" thickBot="1" x14ac:dyDescent="0.25">
      <c r="A149" s="352" t="s">
        <v>9809</v>
      </c>
      <c r="B149" s="263">
        <f>('TANKS Calculations'!W48/'TANKS Calculations'!C3)/((1+(1-('TANKS Calculations'!W48/'TANKS Calculations'!C3))^0.5)^2)</f>
        <v>0</v>
      </c>
      <c r="C149" s="385"/>
      <c r="D149" s="264" t="s">
        <v>9689</v>
      </c>
      <c r="E149" s="224"/>
      <c r="F149" s="224"/>
      <c r="G149" s="224"/>
      <c r="H149" s="224"/>
      <c r="I149" s="224"/>
      <c r="J149" s="224"/>
      <c r="K149" s="224"/>
      <c r="L149" s="224"/>
      <c r="M149" s="224"/>
      <c r="N149" s="224"/>
      <c r="O149" s="224"/>
      <c r="P149" s="224"/>
      <c r="Q149" s="224"/>
    </row>
    <row r="150" spans="1:17" ht="30" customHeight="1" x14ac:dyDescent="0.2">
      <c r="A150" s="292" t="s">
        <v>9810</v>
      </c>
      <c r="B150" s="293" t="s">
        <v>8708</v>
      </c>
      <c r="C150" s="403"/>
      <c r="D150" s="294" t="s">
        <v>9689</v>
      </c>
      <c r="E150" s="224"/>
      <c r="F150" s="224"/>
      <c r="G150" s="224"/>
      <c r="H150" s="224"/>
      <c r="I150" s="224"/>
      <c r="J150" s="224"/>
      <c r="K150" s="224"/>
      <c r="L150" s="224"/>
      <c r="M150" s="224"/>
      <c r="N150" s="224"/>
      <c r="O150" s="224"/>
      <c r="P150" s="224"/>
      <c r="Q150" s="224"/>
    </row>
    <row r="151" spans="1:17" ht="20.100000000000001" customHeight="1" x14ac:dyDescent="0.2">
      <c r="A151" s="351" t="s">
        <v>9811</v>
      </c>
      <c r="B151" s="291">
        <f>IFERROR(HLOOKUP(C150,'TANKS Data'!$B$219:$D$222,IF('TANKS Calculations'!W36=1,2,4),FALSE),0)</f>
        <v>0</v>
      </c>
      <c r="C151" s="397"/>
      <c r="D151" s="259" t="s">
        <v>9812</v>
      </c>
      <c r="E151" s="224"/>
      <c r="F151" s="224"/>
      <c r="G151" s="224"/>
      <c r="H151" s="224"/>
      <c r="I151" s="224"/>
      <c r="J151" s="224"/>
      <c r="K151" s="224"/>
      <c r="L151" s="224"/>
      <c r="M151" s="224"/>
      <c r="N151" s="224"/>
      <c r="O151" s="224"/>
      <c r="P151" s="224"/>
      <c r="Q151" s="224"/>
    </row>
    <row r="152" spans="1:17" ht="45" customHeight="1" x14ac:dyDescent="0.2">
      <c r="A152" s="256" t="s">
        <v>9813</v>
      </c>
      <c r="B152" s="291">
        <f>IFERROR(VLOOKUP('TANKS Calculations'!C8,'TANKS Data'!A20:B35,2,TRUE),0)</f>
        <v>1</v>
      </c>
      <c r="C152" s="397"/>
      <c r="D152" s="259" t="s">
        <v>9689</v>
      </c>
      <c r="E152" s="224"/>
      <c r="F152" s="224"/>
      <c r="G152" s="224"/>
      <c r="H152" s="224"/>
      <c r="I152" s="224"/>
      <c r="J152" s="224"/>
      <c r="K152" s="224"/>
      <c r="L152" s="224"/>
      <c r="M152" s="224"/>
      <c r="N152" s="224"/>
      <c r="O152" s="224"/>
      <c r="P152" s="224"/>
      <c r="Q152" s="224"/>
    </row>
    <row r="153" spans="1:17" ht="20.100000000000001" customHeight="1" x14ac:dyDescent="0.2">
      <c r="A153" s="354" t="s">
        <v>9814</v>
      </c>
      <c r="B153" s="250">
        <v>1</v>
      </c>
      <c r="C153" s="377"/>
      <c r="D153" s="227" t="s">
        <v>9707</v>
      </c>
      <c r="E153" s="224"/>
      <c r="F153" s="224"/>
      <c r="G153" s="224"/>
      <c r="H153" s="224"/>
      <c r="I153" s="224"/>
      <c r="J153" s="224"/>
      <c r="K153" s="224"/>
      <c r="L153" s="224"/>
      <c r="M153" s="224"/>
      <c r="N153" s="224"/>
      <c r="O153" s="224"/>
      <c r="P153" s="224"/>
      <c r="Q153" s="224"/>
    </row>
    <row r="154" spans="1:17" ht="20.100000000000001" customHeight="1" thickBot="1" x14ac:dyDescent="0.25">
      <c r="A154" s="352" t="s">
        <v>9790</v>
      </c>
      <c r="B154" s="289">
        <f>'TANKS Calculations'!W34</f>
        <v>0</v>
      </c>
      <c r="C154" s="393"/>
      <c r="D154" s="264" t="s">
        <v>9791</v>
      </c>
      <c r="E154" s="224"/>
      <c r="F154" s="224"/>
      <c r="G154" s="224"/>
      <c r="H154" s="224"/>
      <c r="I154" s="224"/>
      <c r="J154" s="224"/>
      <c r="K154" s="224"/>
      <c r="L154" s="224"/>
      <c r="M154" s="224"/>
      <c r="N154" s="224"/>
      <c r="O154" s="224"/>
      <c r="P154" s="224"/>
      <c r="Q154" s="224"/>
    </row>
    <row r="155" spans="1:17" ht="30" customHeight="1" thickBot="1" x14ac:dyDescent="0.25">
      <c r="A155" s="1376" t="s">
        <v>8411</v>
      </c>
      <c r="B155" s="1376"/>
      <c r="C155" s="1376"/>
      <c r="D155" s="1376"/>
      <c r="E155" s="224"/>
      <c r="F155" s="224"/>
      <c r="G155" s="224"/>
      <c r="H155" s="224"/>
    </row>
    <row r="156" spans="1:17" ht="80.25" customHeight="1" thickBot="1" x14ac:dyDescent="0.3">
      <c r="A156" s="1352" t="s">
        <v>9815</v>
      </c>
      <c r="B156" s="1358"/>
      <c r="C156" s="1358"/>
      <c r="D156" s="1358"/>
      <c r="E156" s="1358"/>
      <c r="F156" s="1358"/>
      <c r="G156" s="1358"/>
      <c r="H156" s="1358"/>
      <c r="I156" s="1358"/>
      <c r="J156" s="1358"/>
      <c r="K156" s="1358"/>
      <c r="L156" s="1359"/>
    </row>
    <row r="157" spans="1:17" ht="76.5" x14ac:dyDescent="0.25">
      <c r="A157" s="1373" t="s">
        <v>9057</v>
      </c>
      <c r="B157" s="1374"/>
      <c r="C157" s="1375" t="s">
        <v>9816</v>
      </c>
      <c r="D157" s="1374"/>
      <c r="E157" s="328" t="s">
        <v>9817</v>
      </c>
      <c r="F157" s="157" t="s">
        <v>9818</v>
      </c>
      <c r="G157" s="158" t="s">
        <v>9819</v>
      </c>
      <c r="H157" s="327" t="s">
        <v>9820</v>
      </c>
      <c r="I157" s="158" t="s">
        <v>9821</v>
      </c>
      <c r="J157" s="327" t="s">
        <v>9822</v>
      </c>
      <c r="K157" s="328" t="s">
        <v>9823</v>
      </c>
      <c r="L157" s="159" t="s">
        <v>9824</v>
      </c>
      <c r="M157" s="224"/>
      <c r="N157" s="224"/>
    </row>
    <row r="158" spans="1:17" ht="20.100000000000001" customHeight="1" x14ac:dyDescent="0.2">
      <c r="A158" s="1360"/>
      <c r="B158" s="1361"/>
      <c r="C158" s="1362"/>
      <c r="D158" s="1361"/>
      <c r="E158" s="404"/>
      <c r="F158" s="295">
        <f>_xlfn.IFNA(VLOOKUP(A158&amp;C158,'TANKS Data'!$A$98:$E$169,3,FALSE),0)</f>
        <v>0</v>
      </c>
      <c r="G158" s="405"/>
      <c r="H158" s="295">
        <f>_xlfn.IFNA(VLOOKUP(A158&amp;C158,'TANKS Data'!$A$98:$E$169,4,FALSE),0)</f>
        <v>0</v>
      </c>
      <c r="I158" s="405"/>
      <c r="J158" s="295">
        <f>_xlfn.IFNA(VLOOKUP(A158&amp;C158,'TANKS Data'!$A$98:$E$169,5,FALSE),0)</f>
        <v>0</v>
      </c>
      <c r="K158" s="404"/>
      <c r="L158" s="296">
        <f>IF(OR($C$68="Domed/Covered external floating roof",$C$68="Internal Floating Roof",'TANKS Data'!R96=0),'TANKS Data'!P96,'TANKS Data'!P96+('TANKS Data'!Q96*((0.7*'TANKS Calculations'!$C$77)^'TANKS Data'!R96)))*E158</f>
        <v>0</v>
      </c>
    </row>
    <row r="159" spans="1:17" ht="20.100000000000001" customHeight="1" x14ac:dyDescent="0.2">
      <c r="A159" s="1360"/>
      <c r="B159" s="1361"/>
      <c r="C159" s="1362"/>
      <c r="D159" s="1361"/>
      <c r="E159" s="404"/>
      <c r="F159" s="295">
        <f>_xlfn.IFNA(VLOOKUP(A159&amp;C159,'TANKS Data'!$A$98:$E$169,3,FALSE),0)</f>
        <v>0</v>
      </c>
      <c r="G159" s="405"/>
      <c r="H159" s="295">
        <f>_xlfn.IFNA(VLOOKUP(A159&amp;C159,'TANKS Data'!$A$98:$E$169,4,FALSE),0)</f>
        <v>0</v>
      </c>
      <c r="I159" s="405"/>
      <c r="J159" s="295">
        <f>_xlfn.IFNA(VLOOKUP(A159&amp;C159,'TANKS Data'!$A$98:$E$169,5,FALSE),0)</f>
        <v>0</v>
      </c>
      <c r="K159" s="404"/>
      <c r="L159" s="296">
        <f>IF(OR($C$68="Domed/Covered external floating roof",$C$68="Internal Floating Roof",'TANKS Data'!R97=0),'TANKS Data'!P97,'TANKS Data'!P97+('TANKS Data'!Q97*((0.7*'TANKS Calculations'!$C$77)^'TANKS Data'!R97)))*E159</f>
        <v>0</v>
      </c>
    </row>
    <row r="160" spans="1:17" ht="20.100000000000001" customHeight="1" x14ac:dyDescent="0.2">
      <c r="A160" s="1360"/>
      <c r="B160" s="1361"/>
      <c r="C160" s="1362"/>
      <c r="D160" s="1361"/>
      <c r="E160" s="404"/>
      <c r="F160" s="295">
        <f>_xlfn.IFNA(VLOOKUP(A160&amp;C160,'TANKS Data'!$A$98:$E$169,3,FALSE),0)</f>
        <v>0</v>
      </c>
      <c r="G160" s="405"/>
      <c r="H160" s="295">
        <f>_xlfn.IFNA(VLOOKUP(A160&amp;C160,'TANKS Data'!$A$98:$E$169,4,FALSE),0)</f>
        <v>0</v>
      </c>
      <c r="I160" s="405"/>
      <c r="J160" s="295">
        <f>_xlfn.IFNA(VLOOKUP(A160&amp;C160,'TANKS Data'!$A$98:$E$169,5,FALSE),0)</f>
        <v>0</v>
      </c>
      <c r="K160" s="404"/>
      <c r="L160" s="296">
        <f>IF(OR($C$68="Domed/Covered external floating roof",$C$68="Internal Floating Roof",'TANKS Data'!R98=0),'TANKS Data'!P98,'TANKS Data'!P98+('TANKS Data'!Q98*((0.7*'TANKS Calculations'!$C$77)^'TANKS Data'!R98)))*E160</f>
        <v>0</v>
      </c>
    </row>
    <row r="161" spans="1:12" ht="20.100000000000001" customHeight="1" x14ac:dyDescent="0.2">
      <c r="A161" s="1360"/>
      <c r="B161" s="1361"/>
      <c r="C161" s="1362"/>
      <c r="D161" s="1361"/>
      <c r="E161" s="404"/>
      <c r="F161" s="295">
        <f>_xlfn.IFNA(VLOOKUP(A161&amp;C161,'TANKS Data'!$A$98:$E$169,3,FALSE),0)</f>
        <v>0</v>
      </c>
      <c r="G161" s="405"/>
      <c r="H161" s="295">
        <f>_xlfn.IFNA(VLOOKUP(A161&amp;C161,'TANKS Data'!$A$98:$E$169,4,FALSE),0)</f>
        <v>0</v>
      </c>
      <c r="I161" s="405"/>
      <c r="J161" s="295">
        <f>_xlfn.IFNA(VLOOKUP(A161&amp;C161,'TANKS Data'!$A$98:$E$169,5,FALSE),0)</f>
        <v>0</v>
      </c>
      <c r="K161" s="404"/>
      <c r="L161" s="296">
        <f>IF(OR($C$68="Domed/Covered external floating roof",$C$68="Internal Floating Roof",'TANKS Data'!R99=0),'TANKS Data'!P99,'TANKS Data'!P99+('TANKS Data'!Q99*((0.7*'TANKS Calculations'!$C$77)^'TANKS Data'!R99)))*E161</f>
        <v>0</v>
      </c>
    </row>
    <row r="162" spans="1:12" ht="20.100000000000001" customHeight="1" x14ac:dyDescent="0.2">
      <c r="A162" s="1360"/>
      <c r="B162" s="1361"/>
      <c r="C162" s="1362"/>
      <c r="D162" s="1361"/>
      <c r="E162" s="404"/>
      <c r="F162" s="295">
        <f>_xlfn.IFNA(VLOOKUP(A162&amp;C162,'TANKS Data'!$A$98:$E$169,3,FALSE),0)</f>
        <v>0</v>
      </c>
      <c r="G162" s="405"/>
      <c r="H162" s="295">
        <f>_xlfn.IFNA(VLOOKUP(A162&amp;C162,'TANKS Data'!$A$98:$E$169,4,FALSE),0)</f>
        <v>0</v>
      </c>
      <c r="I162" s="405"/>
      <c r="J162" s="295">
        <f>_xlfn.IFNA(VLOOKUP(A162&amp;C162,'TANKS Data'!$A$98:$E$169,5,FALSE),0)</f>
        <v>0</v>
      </c>
      <c r="K162" s="404"/>
      <c r="L162" s="296">
        <f>IF(OR($C$68="Domed/Covered external floating roof",$C$68="Internal Floating Roof",'TANKS Data'!R100=0),'TANKS Data'!P100,'TANKS Data'!P100+('TANKS Data'!Q100*((0.7*'TANKS Calculations'!$C$77)^'TANKS Data'!R100)))*E162</f>
        <v>0</v>
      </c>
    </row>
    <row r="163" spans="1:12" ht="20.100000000000001" customHeight="1" x14ac:dyDescent="0.2">
      <c r="A163" s="1360"/>
      <c r="B163" s="1361"/>
      <c r="C163" s="1362"/>
      <c r="D163" s="1361"/>
      <c r="E163" s="404"/>
      <c r="F163" s="295">
        <f>_xlfn.IFNA(VLOOKUP(A163&amp;C163,'TANKS Data'!$A$98:$E$169,3,FALSE),0)</f>
        <v>0</v>
      </c>
      <c r="G163" s="405"/>
      <c r="H163" s="295">
        <f>_xlfn.IFNA(VLOOKUP(A163&amp;C163,'TANKS Data'!$A$98:$E$169,4,FALSE),0)</f>
        <v>0</v>
      </c>
      <c r="I163" s="405"/>
      <c r="J163" s="295">
        <f>_xlfn.IFNA(VLOOKUP(A163&amp;C163,'TANKS Data'!$A$98:$E$169,5,FALSE),0)</f>
        <v>0</v>
      </c>
      <c r="K163" s="404"/>
      <c r="L163" s="296">
        <f>IF(OR($C$68="Domed/Covered external floating roof",$C$68="Internal Floating Roof",'TANKS Data'!R101=0),'TANKS Data'!P101,'TANKS Data'!P101+('TANKS Data'!Q101*((0.7*'TANKS Calculations'!$C$77)^'TANKS Data'!R101)))*E163</f>
        <v>0</v>
      </c>
    </row>
    <row r="164" spans="1:12" ht="20.100000000000001" customHeight="1" x14ac:dyDescent="0.2">
      <c r="A164" s="1360"/>
      <c r="B164" s="1361"/>
      <c r="C164" s="1362"/>
      <c r="D164" s="1361"/>
      <c r="E164" s="404"/>
      <c r="F164" s="295">
        <f>_xlfn.IFNA(VLOOKUP(A164&amp;C164,'TANKS Data'!$A$98:$E$169,3,FALSE),0)</f>
        <v>0</v>
      </c>
      <c r="G164" s="405"/>
      <c r="H164" s="295">
        <f>_xlfn.IFNA(VLOOKUP(A164&amp;C164,'TANKS Data'!$A$98:$E$169,4,FALSE),0)</f>
        <v>0</v>
      </c>
      <c r="I164" s="405"/>
      <c r="J164" s="295">
        <f>_xlfn.IFNA(VLOOKUP(A164&amp;C164,'TANKS Data'!$A$98:$E$169,5,FALSE),0)</f>
        <v>0</v>
      </c>
      <c r="K164" s="404"/>
      <c r="L164" s="296">
        <f>IF(OR($C$68="Domed/Covered external floating roof",$C$68="Internal Floating Roof",'TANKS Data'!R102=0),'TANKS Data'!P102,'TANKS Data'!P102+('TANKS Data'!Q102*((0.7*'TANKS Calculations'!$C$77)^'TANKS Data'!R102)))*E164</f>
        <v>0</v>
      </c>
    </row>
    <row r="165" spans="1:12" ht="20.100000000000001" customHeight="1" x14ac:dyDescent="0.2">
      <c r="A165" s="1360"/>
      <c r="B165" s="1361"/>
      <c r="C165" s="1362"/>
      <c r="D165" s="1361"/>
      <c r="E165" s="404"/>
      <c r="F165" s="295">
        <f>_xlfn.IFNA(VLOOKUP(A165&amp;C165,'TANKS Data'!$A$98:$E$169,3,FALSE),0)</f>
        <v>0</v>
      </c>
      <c r="G165" s="405"/>
      <c r="H165" s="295">
        <f>_xlfn.IFNA(VLOOKUP(A165&amp;C165,'TANKS Data'!$A$98:$E$169,4,FALSE),0)</f>
        <v>0</v>
      </c>
      <c r="I165" s="405"/>
      <c r="J165" s="295">
        <f>_xlfn.IFNA(VLOOKUP(A165&amp;C165,'TANKS Data'!$A$98:$E$169,5,FALSE),0)</f>
        <v>0</v>
      </c>
      <c r="K165" s="404"/>
      <c r="L165" s="296">
        <f>IF(OR($C$68="Domed/Covered external floating roof",$C$68="Internal Floating Roof",'TANKS Data'!R103=0),'TANKS Data'!P103,'TANKS Data'!P103+('TANKS Data'!Q103*((0.7*'TANKS Calculations'!$C$77)^'TANKS Data'!R103)))*E165</f>
        <v>0</v>
      </c>
    </row>
    <row r="166" spans="1:12" ht="20.100000000000001" customHeight="1" x14ac:dyDescent="0.2">
      <c r="A166" s="1360"/>
      <c r="B166" s="1361"/>
      <c r="C166" s="1362"/>
      <c r="D166" s="1361"/>
      <c r="E166" s="404"/>
      <c r="F166" s="295">
        <f>_xlfn.IFNA(VLOOKUP(A166&amp;C166,'TANKS Data'!$A$98:$E$169,3,FALSE),0)</f>
        <v>0</v>
      </c>
      <c r="G166" s="405"/>
      <c r="H166" s="295">
        <f>_xlfn.IFNA(VLOOKUP(A166&amp;C166,'TANKS Data'!$A$98:$E$169,4,FALSE),0)</f>
        <v>0</v>
      </c>
      <c r="I166" s="405"/>
      <c r="J166" s="295">
        <f>_xlfn.IFNA(VLOOKUP(A166&amp;C166,'TANKS Data'!$A$98:$E$169,5,FALSE),0)</f>
        <v>0</v>
      </c>
      <c r="K166" s="404"/>
      <c r="L166" s="296">
        <f>IF(OR($C$68="Domed/Covered external floating roof",$C$68="Internal Floating Roof",'TANKS Data'!R104=0),'TANKS Data'!P104,'TANKS Data'!P104+('TANKS Data'!Q104*((0.7*'TANKS Calculations'!$C$77)^'TANKS Data'!R104)))*E166</f>
        <v>0</v>
      </c>
    </row>
    <row r="167" spans="1:12" ht="20.100000000000001" customHeight="1" x14ac:dyDescent="0.2">
      <c r="A167" s="1360"/>
      <c r="B167" s="1361"/>
      <c r="C167" s="1362"/>
      <c r="D167" s="1361"/>
      <c r="E167" s="404"/>
      <c r="F167" s="295">
        <f>_xlfn.IFNA(VLOOKUP(A167&amp;C167,'TANKS Data'!$A$98:$E$169,3,FALSE),0)</f>
        <v>0</v>
      </c>
      <c r="G167" s="405"/>
      <c r="H167" s="295">
        <f>_xlfn.IFNA(VLOOKUP(A167&amp;C167,'TANKS Data'!$A$98:$E$169,4,FALSE),0)</f>
        <v>0</v>
      </c>
      <c r="I167" s="405"/>
      <c r="J167" s="295">
        <f>_xlfn.IFNA(VLOOKUP(A167&amp;C167,'TANKS Data'!$A$98:$E$169,5,FALSE),0)</f>
        <v>0</v>
      </c>
      <c r="K167" s="404"/>
      <c r="L167" s="296">
        <f>IF(OR($C$68="Domed/Covered external floating roof",$C$68="Internal Floating Roof",'TANKS Data'!R105=0),'TANKS Data'!P105,'TANKS Data'!P105+('TANKS Data'!Q105*((0.7*'TANKS Calculations'!$C$77)^'TANKS Data'!R105)))*E167</f>
        <v>0</v>
      </c>
    </row>
    <row r="168" spans="1:12" ht="20.100000000000001" customHeight="1" x14ac:dyDescent="0.2">
      <c r="A168" s="1360"/>
      <c r="B168" s="1361"/>
      <c r="C168" s="1362"/>
      <c r="D168" s="1361"/>
      <c r="E168" s="404"/>
      <c r="F168" s="295">
        <f>_xlfn.IFNA(VLOOKUP(A168&amp;C168,'TANKS Data'!$A$98:$E$169,3,FALSE),0)</f>
        <v>0</v>
      </c>
      <c r="G168" s="405"/>
      <c r="H168" s="295">
        <f>_xlfn.IFNA(VLOOKUP(A168&amp;C168,'TANKS Data'!$A$98:$E$169,4,FALSE),0)</f>
        <v>0</v>
      </c>
      <c r="I168" s="405"/>
      <c r="J168" s="295">
        <f>_xlfn.IFNA(VLOOKUP(A168&amp;C168,'TANKS Data'!$A$98:$E$169,5,FALSE),0)</f>
        <v>0</v>
      </c>
      <c r="K168" s="404"/>
      <c r="L168" s="296">
        <f>IF(OR($C$68="Domed/Covered external floating roof",$C$68="Internal Floating Roof",'TANKS Data'!R106=0),'TANKS Data'!P106,'TANKS Data'!P106+('TANKS Data'!Q106*((0.7*'TANKS Calculations'!$C$77)^'TANKS Data'!R106)))*E168</f>
        <v>0</v>
      </c>
    </row>
    <row r="169" spans="1:12" ht="20.100000000000001" customHeight="1" x14ac:dyDescent="0.2">
      <c r="A169" s="1360"/>
      <c r="B169" s="1361"/>
      <c r="C169" s="1362"/>
      <c r="D169" s="1361"/>
      <c r="E169" s="404"/>
      <c r="F169" s="295">
        <f>_xlfn.IFNA(VLOOKUP(A169&amp;C169,'TANKS Data'!$A$98:$E$169,3,FALSE),0)</f>
        <v>0</v>
      </c>
      <c r="G169" s="405"/>
      <c r="H169" s="295">
        <f>_xlfn.IFNA(VLOOKUP(A169&amp;C169,'TANKS Data'!$A$98:$E$169,4,FALSE),0)</f>
        <v>0</v>
      </c>
      <c r="I169" s="405"/>
      <c r="J169" s="295">
        <f>_xlfn.IFNA(VLOOKUP(A169&amp;C169,'TANKS Data'!$A$98:$E$169,5,FALSE),0)</f>
        <v>0</v>
      </c>
      <c r="K169" s="404"/>
      <c r="L169" s="296">
        <f>IF(OR($C$68="Domed/Covered external floating roof",$C$68="Internal Floating Roof",'TANKS Data'!R107=0),'TANKS Data'!P107,'TANKS Data'!P107+('TANKS Data'!Q107*((0.7*'TANKS Calculations'!$C$77)^'TANKS Data'!R107)))*E169</f>
        <v>0</v>
      </c>
    </row>
    <row r="170" spans="1:12" ht="20.100000000000001" customHeight="1" x14ac:dyDescent="0.2">
      <c r="A170" s="1360"/>
      <c r="B170" s="1361"/>
      <c r="C170" s="1362"/>
      <c r="D170" s="1361"/>
      <c r="E170" s="404"/>
      <c r="F170" s="295">
        <f>_xlfn.IFNA(VLOOKUP(A170&amp;C170,'TANKS Data'!$A$98:$E$169,3,FALSE),0)</f>
        <v>0</v>
      </c>
      <c r="G170" s="405"/>
      <c r="H170" s="295">
        <f>_xlfn.IFNA(VLOOKUP(A170&amp;C170,'TANKS Data'!$A$98:$E$169,4,FALSE),0)</f>
        <v>0</v>
      </c>
      <c r="I170" s="405"/>
      <c r="J170" s="295">
        <f>_xlfn.IFNA(VLOOKUP(A170&amp;C170,'TANKS Data'!$A$98:$E$169,5,FALSE),0)</f>
        <v>0</v>
      </c>
      <c r="K170" s="404"/>
      <c r="L170" s="296">
        <f>IF(OR($C$68="Domed/Covered external floating roof",$C$68="Internal Floating Roof",'TANKS Data'!R108=0),'TANKS Data'!P108,'TANKS Data'!P108+('TANKS Data'!Q108*((0.7*'TANKS Calculations'!$C$77)^'TANKS Data'!R108)))*E170</f>
        <v>0</v>
      </c>
    </row>
    <row r="171" spans="1:12" ht="20.100000000000001" customHeight="1" x14ac:dyDescent="0.2">
      <c r="A171" s="1360"/>
      <c r="B171" s="1361"/>
      <c r="C171" s="1362"/>
      <c r="D171" s="1361"/>
      <c r="E171" s="404"/>
      <c r="F171" s="295">
        <f>_xlfn.IFNA(VLOOKUP(A171&amp;C171,'TANKS Data'!$A$98:$E$169,3,FALSE),0)</f>
        <v>0</v>
      </c>
      <c r="G171" s="405"/>
      <c r="H171" s="295">
        <f>_xlfn.IFNA(VLOOKUP(A171&amp;C171,'TANKS Data'!$A$98:$E$169,4,FALSE),0)</f>
        <v>0</v>
      </c>
      <c r="I171" s="405"/>
      <c r="J171" s="295">
        <f>_xlfn.IFNA(VLOOKUP(A171&amp;C171,'TANKS Data'!$A$98:$E$169,5,FALSE),0)</f>
        <v>0</v>
      </c>
      <c r="K171" s="404"/>
      <c r="L171" s="296">
        <f>IF(OR($C$68="Domed/Covered external floating roof",$C$68="Internal Floating Roof",'TANKS Data'!R109=0),'TANKS Data'!P109,'TANKS Data'!P109+('TANKS Data'!Q109*((0.7*'TANKS Calculations'!$C$77)^'TANKS Data'!R109)))*E171</f>
        <v>0</v>
      </c>
    </row>
    <row r="172" spans="1:12" ht="20.100000000000001" customHeight="1" x14ac:dyDescent="0.2">
      <c r="A172" s="1360"/>
      <c r="B172" s="1361"/>
      <c r="C172" s="1362"/>
      <c r="D172" s="1361"/>
      <c r="E172" s="404"/>
      <c r="F172" s="295">
        <f>_xlfn.IFNA(VLOOKUP(A172&amp;C172,'TANKS Data'!$A$98:$E$169,3,FALSE),0)</f>
        <v>0</v>
      </c>
      <c r="G172" s="405"/>
      <c r="H172" s="295">
        <f>_xlfn.IFNA(VLOOKUP(A172&amp;C172,'TANKS Data'!$A$98:$E$169,4,FALSE),0)</f>
        <v>0</v>
      </c>
      <c r="I172" s="405"/>
      <c r="J172" s="295">
        <f>_xlfn.IFNA(VLOOKUP(A172&amp;C172,'TANKS Data'!$A$98:$E$169,5,FALSE),0)</f>
        <v>0</v>
      </c>
      <c r="K172" s="404"/>
      <c r="L172" s="296">
        <f>IF(OR($C$68="Domed/Covered external floating roof",$C$68="Internal Floating Roof",'TANKS Data'!R110=0),'TANKS Data'!P110,'TANKS Data'!P110+('TANKS Data'!Q110*((0.7*'TANKS Calculations'!$C$77)^'TANKS Data'!R110)))*E172</f>
        <v>0</v>
      </c>
    </row>
    <row r="173" spans="1:12" ht="20.100000000000001" customHeight="1" x14ac:dyDescent="0.2">
      <c r="A173" s="1360"/>
      <c r="B173" s="1361"/>
      <c r="C173" s="1362"/>
      <c r="D173" s="1361"/>
      <c r="E173" s="404"/>
      <c r="F173" s="295">
        <f>_xlfn.IFNA(VLOOKUP(A173&amp;C173,'TANKS Data'!$A$98:$E$169,3,FALSE),0)</f>
        <v>0</v>
      </c>
      <c r="G173" s="405"/>
      <c r="H173" s="295">
        <f>_xlfn.IFNA(VLOOKUP(A173&amp;C173,'TANKS Data'!$A$98:$E$169,4,FALSE),0)</f>
        <v>0</v>
      </c>
      <c r="I173" s="405"/>
      <c r="J173" s="295">
        <f>_xlfn.IFNA(VLOOKUP(A173&amp;C173,'TANKS Data'!$A$98:$E$169,5,FALSE),0)</f>
        <v>0</v>
      </c>
      <c r="K173" s="404"/>
      <c r="L173" s="296">
        <f>IF(OR($C$68="Domed/Covered external floating roof",$C$68="Internal Floating Roof",'TANKS Data'!R111=0),'TANKS Data'!P111,'TANKS Data'!P111+('TANKS Data'!Q111*((0.7*'TANKS Calculations'!$C$77)^'TANKS Data'!R111)))*E173</f>
        <v>0</v>
      </c>
    </row>
    <row r="174" spans="1:12" ht="20.100000000000001" customHeight="1" x14ac:dyDescent="0.2">
      <c r="A174" s="1360"/>
      <c r="B174" s="1361"/>
      <c r="C174" s="1362"/>
      <c r="D174" s="1361"/>
      <c r="E174" s="404"/>
      <c r="F174" s="295">
        <f>_xlfn.IFNA(VLOOKUP(A174&amp;C174,'TANKS Data'!$A$98:$E$169,3,FALSE),0)</f>
        <v>0</v>
      </c>
      <c r="G174" s="405"/>
      <c r="H174" s="295">
        <f>_xlfn.IFNA(VLOOKUP(A174&amp;C174,'TANKS Data'!$A$98:$E$169,4,FALSE),0)</f>
        <v>0</v>
      </c>
      <c r="I174" s="405"/>
      <c r="J174" s="295">
        <f>_xlfn.IFNA(VLOOKUP(A174&amp;C174,'TANKS Data'!$A$98:$E$169,5,FALSE),0)</f>
        <v>0</v>
      </c>
      <c r="K174" s="404"/>
      <c r="L174" s="296">
        <f>IF(OR($C$68="Domed/Covered external floating roof",$C$68="Internal Floating Roof",'TANKS Data'!R112=0),'TANKS Data'!P112,'TANKS Data'!P112+('TANKS Data'!Q112*((0.7*'TANKS Calculations'!$C$77)^'TANKS Data'!R112)))*E174</f>
        <v>0</v>
      </c>
    </row>
    <row r="175" spans="1:12" ht="20.100000000000001" customHeight="1" x14ac:dyDescent="0.2">
      <c r="A175" s="1360"/>
      <c r="B175" s="1361"/>
      <c r="C175" s="1362"/>
      <c r="D175" s="1361"/>
      <c r="E175" s="404"/>
      <c r="F175" s="295">
        <f>_xlfn.IFNA(VLOOKUP(A175&amp;C175,'TANKS Data'!$A$98:$E$169,3,FALSE),0)</f>
        <v>0</v>
      </c>
      <c r="G175" s="405"/>
      <c r="H175" s="295">
        <f>_xlfn.IFNA(VLOOKUP(A175&amp;C175,'TANKS Data'!$A$98:$E$169,4,FALSE),0)</f>
        <v>0</v>
      </c>
      <c r="I175" s="405"/>
      <c r="J175" s="295">
        <f>_xlfn.IFNA(VLOOKUP(A175&amp;C175,'TANKS Data'!$A$98:$E$169,5,FALSE),0)</f>
        <v>0</v>
      </c>
      <c r="K175" s="404"/>
      <c r="L175" s="296">
        <f>IF(OR($C$68="Domed/Covered external floating roof",$C$68="Internal Floating Roof",'TANKS Data'!R113=0),'TANKS Data'!P113,'TANKS Data'!P113+('TANKS Data'!Q113*((0.7*'TANKS Calculations'!$C$77)^'TANKS Data'!R113)))*E175</f>
        <v>0</v>
      </c>
    </row>
    <row r="176" spans="1:12" ht="20.100000000000001" customHeight="1" x14ac:dyDescent="0.2">
      <c r="A176" s="1360"/>
      <c r="B176" s="1361"/>
      <c r="C176" s="1362"/>
      <c r="D176" s="1361"/>
      <c r="E176" s="404"/>
      <c r="F176" s="295">
        <f>_xlfn.IFNA(VLOOKUP(A176&amp;C176,'TANKS Data'!$A$98:$E$169,3,FALSE),0)</f>
        <v>0</v>
      </c>
      <c r="G176" s="405"/>
      <c r="H176" s="295">
        <f>_xlfn.IFNA(VLOOKUP(A176&amp;C176,'TANKS Data'!$A$98:$E$169,4,FALSE),0)</f>
        <v>0</v>
      </c>
      <c r="I176" s="405"/>
      <c r="J176" s="295">
        <f>_xlfn.IFNA(VLOOKUP(A176&amp;C176,'TANKS Data'!$A$98:$E$169,5,FALSE),0)</f>
        <v>0</v>
      </c>
      <c r="K176" s="404"/>
      <c r="L176" s="296">
        <f>IF(OR($C$68="Domed/Covered external floating roof",$C$68="Internal Floating Roof",'TANKS Data'!R114=0),'TANKS Data'!P114,'TANKS Data'!P114+('TANKS Data'!Q114*((0.7*'TANKS Calculations'!$C$77)^'TANKS Data'!R114)))*E176</f>
        <v>0</v>
      </c>
    </row>
    <row r="177" spans="1:17" ht="20.100000000000001" customHeight="1" thickBot="1" x14ac:dyDescent="0.25">
      <c r="A177" s="1349"/>
      <c r="B177" s="1350"/>
      <c r="C177" s="1351"/>
      <c r="D177" s="1350"/>
      <c r="E177" s="398"/>
      <c r="F177" s="297">
        <f>_xlfn.IFNA(VLOOKUP(A177&amp;C177,'TANKS Data'!$A$98:$E$169,3,FALSE),0)</f>
        <v>0</v>
      </c>
      <c r="G177" s="406"/>
      <c r="H177" s="297">
        <f>_xlfn.IFNA(VLOOKUP(A177&amp;C177,'TANKS Data'!$A$98:$E$169,4,FALSE),0)</f>
        <v>0</v>
      </c>
      <c r="I177" s="406"/>
      <c r="J177" s="297">
        <f>_xlfn.IFNA(VLOOKUP(A177&amp;C177,'TANKS Data'!$A$98:$E$169,5,FALSE),0)</f>
        <v>0</v>
      </c>
      <c r="K177" s="398"/>
      <c r="L177" s="298">
        <f>IF(OR($C$68="Domed/Covered external floating roof",$C$68="Internal Floating Roof",'TANKS Data'!R115=0),'TANKS Data'!P115,'TANKS Data'!P115+('TANKS Data'!Q115*((0.7*'TANKS Calculations'!$C$77)^'TANKS Data'!R115)))*E177</f>
        <v>0</v>
      </c>
    </row>
    <row r="178" spans="1:17" ht="20.100000000000001" customHeight="1" thickBot="1" x14ac:dyDescent="0.35">
      <c r="A178" s="1355" t="s">
        <v>9825</v>
      </c>
      <c r="B178" s="1356"/>
      <c r="C178" s="1357" t="s">
        <v>9826</v>
      </c>
      <c r="D178" s="1357"/>
      <c r="E178" s="326" t="s">
        <v>9826</v>
      </c>
      <c r="F178" s="326" t="s">
        <v>9826</v>
      </c>
      <c r="G178" s="326" t="s">
        <v>9826</v>
      </c>
      <c r="H178" s="326" t="s">
        <v>9826</v>
      </c>
      <c r="I178" s="326" t="s">
        <v>9826</v>
      </c>
      <c r="J178" s="326" t="s">
        <v>9826</v>
      </c>
      <c r="K178" s="160" t="s">
        <v>9826</v>
      </c>
      <c r="L178" s="299">
        <f>SUM(L158:L177)</f>
        <v>0</v>
      </c>
    </row>
    <row r="179" spans="1:17" ht="30" customHeight="1" thickBot="1" x14ac:dyDescent="0.25">
      <c r="A179" s="1376" t="s">
        <v>8411</v>
      </c>
      <c r="B179" s="1376"/>
      <c r="C179" s="1376"/>
      <c r="D179" s="1376"/>
      <c r="E179" s="224"/>
      <c r="F179" s="224"/>
      <c r="G179" s="224"/>
      <c r="H179" s="224"/>
    </row>
    <row r="180" spans="1:17" ht="60" customHeight="1" thickBot="1" x14ac:dyDescent="0.3">
      <c r="A180" s="1352" t="s">
        <v>9801</v>
      </c>
      <c r="B180" s="1358"/>
      <c r="C180" s="1358"/>
      <c r="D180" s="1359"/>
      <c r="E180" s="224"/>
      <c r="F180" s="224"/>
      <c r="G180" s="224"/>
      <c r="H180" s="224"/>
      <c r="I180" s="224"/>
      <c r="J180" s="224"/>
      <c r="K180" s="224"/>
      <c r="L180" s="224"/>
      <c r="M180" s="224"/>
      <c r="N180" s="224"/>
      <c r="O180" s="224"/>
      <c r="P180" s="224"/>
      <c r="Q180" s="224"/>
    </row>
    <row r="181" spans="1:17" ht="20.100000000000001" customHeight="1" thickBot="1" x14ac:dyDescent="0.3">
      <c r="A181" s="152" t="s">
        <v>9685</v>
      </c>
      <c r="B181" s="153" t="s">
        <v>9686</v>
      </c>
      <c r="C181" s="154" t="s">
        <v>9687</v>
      </c>
      <c r="D181" s="155" t="s">
        <v>9688</v>
      </c>
      <c r="E181" s="224"/>
      <c r="F181" s="224"/>
      <c r="G181" s="224"/>
      <c r="H181" s="224"/>
      <c r="I181" s="224"/>
      <c r="J181" s="224"/>
      <c r="K181" s="224"/>
      <c r="L181" s="224"/>
      <c r="M181" s="224"/>
      <c r="N181" s="224"/>
      <c r="O181" s="224"/>
      <c r="P181" s="224"/>
      <c r="Q181" s="224"/>
    </row>
    <row r="182" spans="1:17" ht="20.100000000000001" customHeight="1" x14ac:dyDescent="0.2">
      <c r="A182" s="357" t="s">
        <v>9827</v>
      </c>
      <c r="B182" s="245">
        <f>L178</f>
        <v>0</v>
      </c>
      <c r="C182" s="375"/>
      <c r="D182" s="246" t="s">
        <v>9828</v>
      </c>
      <c r="E182" s="224"/>
      <c r="F182" s="224"/>
      <c r="G182" s="224"/>
      <c r="H182" s="224"/>
      <c r="I182" s="224"/>
      <c r="J182" s="224"/>
      <c r="K182" s="224"/>
      <c r="L182" s="224"/>
      <c r="M182" s="224"/>
      <c r="N182" s="224"/>
      <c r="O182" s="224"/>
      <c r="P182" s="224"/>
      <c r="Q182" s="224"/>
    </row>
    <row r="183" spans="1:17" ht="20.100000000000001" customHeight="1" x14ac:dyDescent="0.2">
      <c r="A183" s="353" t="s">
        <v>9829</v>
      </c>
      <c r="B183" s="300" t="s">
        <v>8708</v>
      </c>
      <c r="C183" s="407"/>
      <c r="D183" s="249" t="s">
        <v>9689</v>
      </c>
      <c r="E183" s="224"/>
      <c r="F183" s="224"/>
      <c r="G183" s="224"/>
      <c r="H183" s="224"/>
      <c r="I183" s="224"/>
      <c r="J183" s="224"/>
      <c r="K183" s="224"/>
      <c r="L183" s="224"/>
      <c r="M183" s="224"/>
      <c r="N183" s="224"/>
      <c r="O183" s="224"/>
      <c r="P183" s="224"/>
      <c r="Q183" s="224"/>
    </row>
    <row r="184" spans="1:17" ht="20.100000000000001" customHeight="1" x14ac:dyDescent="0.2">
      <c r="A184" s="351" t="s">
        <v>9830</v>
      </c>
      <c r="B184" s="291">
        <f>PI()*('TANKS Calculations'!C8^2)/4</f>
        <v>0</v>
      </c>
      <c r="C184" s="397"/>
      <c r="D184" s="259" t="s">
        <v>9831</v>
      </c>
      <c r="E184" s="224"/>
      <c r="F184" s="224"/>
      <c r="G184" s="224"/>
      <c r="H184" s="224"/>
      <c r="I184" s="224"/>
      <c r="J184" s="224"/>
      <c r="K184" s="224"/>
      <c r="L184" s="224"/>
      <c r="M184" s="224"/>
      <c r="N184" s="224"/>
      <c r="O184" s="224"/>
      <c r="P184" s="224"/>
      <c r="Q184" s="224"/>
    </row>
    <row r="185" spans="1:17" ht="20.100000000000001" customHeight="1" x14ac:dyDescent="0.2">
      <c r="A185" s="351" t="s">
        <v>9832</v>
      </c>
      <c r="B185" s="301" t="s">
        <v>8708</v>
      </c>
      <c r="C185" s="397"/>
      <c r="D185" s="259" t="s">
        <v>9707</v>
      </c>
      <c r="E185" s="224"/>
      <c r="F185" s="224"/>
      <c r="G185" s="224"/>
      <c r="H185" s="224"/>
      <c r="I185" s="224"/>
      <c r="J185" s="224"/>
      <c r="K185" s="224"/>
      <c r="L185" s="224"/>
      <c r="M185" s="224"/>
      <c r="N185" s="224"/>
      <c r="O185" s="224"/>
      <c r="P185" s="224"/>
      <c r="Q185" s="224"/>
    </row>
    <row r="186" spans="1:17" ht="45" customHeight="1" x14ac:dyDescent="0.2">
      <c r="A186" s="358" t="s">
        <v>9833</v>
      </c>
      <c r="B186" s="301" t="s">
        <v>8708</v>
      </c>
      <c r="C186" s="402"/>
      <c r="D186" s="259" t="s">
        <v>9689</v>
      </c>
      <c r="E186" s="224"/>
      <c r="F186" s="224"/>
      <c r="G186" s="224"/>
      <c r="H186" s="224"/>
      <c r="I186" s="224"/>
      <c r="J186" s="224"/>
      <c r="K186" s="224"/>
      <c r="L186" s="224"/>
      <c r="M186" s="224"/>
      <c r="N186" s="224"/>
      <c r="O186" s="224"/>
      <c r="P186" s="224"/>
      <c r="Q186" s="224"/>
    </row>
    <row r="187" spans="1:17" ht="30" customHeight="1" x14ac:dyDescent="0.2">
      <c r="A187" s="256" t="s">
        <v>9834</v>
      </c>
      <c r="B187" s="301" t="s">
        <v>8708</v>
      </c>
      <c r="C187" s="397"/>
      <c r="D187" s="259" t="s">
        <v>9707</v>
      </c>
      <c r="E187" s="224"/>
      <c r="F187" s="224"/>
      <c r="G187" s="224"/>
      <c r="H187" s="224"/>
      <c r="I187" s="224"/>
      <c r="J187" s="224"/>
      <c r="K187" s="224"/>
      <c r="L187" s="224"/>
      <c r="M187" s="224"/>
      <c r="N187" s="224"/>
      <c r="O187" s="224"/>
      <c r="P187" s="224"/>
      <c r="Q187" s="224"/>
    </row>
    <row r="188" spans="1:17" ht="20.100000000000001" customHeight="1" x14ac:dyDescent="0.35">
      <c r="A188" s="256" t="s">
        <v>9835</v>
      </c>
      <c r="B188" s="291">
        <f>IF(ISBLANK(C185),_xlfn.IFNA(VLOOKUP(C187,'TANKS Data'!B226:C230,2,FALSE),0),'TANKS Calculations'!C86/'TANKS Calculations'!C85)</f>
        <v>0</v>
      </c>
      <c r="C188" s="397"/>
      <c r="D188" s="259" t="s">
        <v>9836</v>
      </c>
      <c r="E188" s="224"/>
      <c r="F188" s="224"/>
      <c r="G188" s="224"/>
      <c r="H188" s="224"/>
      <c r="I188" s="224"/>
      <c r="J188" s="224"/>
      <c r="K188" s="224"/>
      <c r="L188" s="224"/>
      <c r="M188" s="224"/>
      <c r="N188" s="224"/>
      <c r="O188" s="224"/>
      <c r="P188" s="224"/>
      <c r="Q188" s="224"/>
    </row>
    <row r="189" spans="1:17" ht="35.1" customHeight="1" thickBot="1" x14ac:dyDescent="0.25">
      <c r="A189" s="262" t="s">
        <v>9837</v>
      </c>
      <c r="B189" s="263">
        <v>0.14000000000000001</v>
      </c>
      <c r="C189" s="385"/>
      <c r="D189" s="264" t="s">
        <v>9804</v>
      </c>
      <c r="E189" s="224"/>
      <c r="F189" s="224"/>
      <c r="G189" s="224"/>
      <c r="H189" s="224"/>
      <c r="I189" s="224"/>
      <c r="J189" s="224"/>
      <c r="K189" s="224"/>
      <c r="L189" s="224"/>
      <c r="M189" s="224"/>
      <c r="N189" s="224"/>
      <c r="O189" s="224"/>
      <c r="P189" s="224"/>
      <c r="Q189" s="224"/>
    </row>
    <row r="190" spans="1:17" ht="30" customHeight="1" x14ac:dyDescent="0.2">
      <c r="A190" s="360" t="s">
        <v>10005</v>
      </c>
      <c r="B190" s="300" t="s">
        <v>8708</v>
      </c>
      <c r="C190" s="408"/>
      <c r="D190" s="249" t="s">
        <v>9689</v>
      </c>
      <c r="E190" s="224"/>
      <c r="F190" s="224"/>
      <c r="G190" s="224"/>
      <c r="H190" s="224"/>
      <c r="I190" s="224"/>
      <c r="J190" s="224"/>
      <c r="K190" s="224"/>
      <c r="L190" s="224"/>
      <c r="M190" s="224"/>
      <c r="N190" s="224"/>
      <c r="O190" s="224"/>
      <c r="P190" s="224"/>
      <c r="Q190" s="224"/>
    </row>
    <row r="191" spans="1:17" ht="50.1" customHeight="1" x14ac:dyDescent="0.2">
      <c r="A191" s="256" t="s">
        <v>9838</v>
      </c>
      <c r="B191" s="258">
        <f>'TANKS Calculations'!C51</f>
        <v>0</v>
      </c>
      <c r="C191" s="383"/>
      <c r="D191" s="259" t="s">
        <v>8867</v>
      </c>
      <c r="E191" s="224"/>
      <c r="F191" s="224"/>
      <c r="G191" s="224"/>
      <c r="H191" s="224"/>
      <c r="I191" s="224"/>
      <c r="J191" s="224"/>
      <c r="K191" s="224"/>
      <c r="L191" s="224"/>
      <c r="M191" s="224"/>
      <c r="N191" s="224"/>
    </row>
    <row r="192" spans="1:17" ht="50.1" customHeight="1" x14ac:dyDescent="0.2">
      <c r="A192" s="256" t="s">
        <v>9839</v>
      </c>
      <c r="B192" s="258">
        <f>'TANKS Calculations'!C48</f>
        <v>0</v>
      </c>
      <c r="C192" s="383"/>
      <c r="D192" s="259" t="s">
        <v>9754</v>
      </c>
      <c r="E192" s="224"/>
      <c r="F192" s="224"/>
      <c r="G192" s="224"/>
      <c r="H192" s="224"/>
      <c r="I192" s="224"/>
      <c r="J192" s="224"/>
      <c r="K192" s="224"/>
      <c r="L192" s="224"/>
      <c r="M192" s="224"/>
      <c r="N192" s="224"/>
    </row>
    <row r="193" spans="1:17" ht="20.100000000000001" customHeight="1" x14ac:dyDescent="0.2">
      <c r="A193" s="225"/>
      <c r="B193" s="258">
        <f>'TANKS Calculations'!C94+459.67</f>
        <v>459.67</v>
      </c>
      <c r="C193" s="383"/>
      <c r="D193" s="259" t="s">
        <v>9755</v>
      </c>
      <c r="E193" s="224"/>
      <c r="F193" s="224"/>
      <c r="G193" s="224"/>
      <c r="H193" s="224"/>
      <c r="I193" s="224"/>
      <c r="J193" s="224"/>
      <c r="K193" s="224"/>
      <c r="L193" s="224"/>
      <c r="M193" s="224"/>
      <c r="N193" s="224"/>
    </row>
    <row r="194" spans="1:17" ht="50.1" customHeight="1" x14ac:dyDescent="0.2">
      <c r="A194" s="256" t="s">
        <v>9840</v>
      </c>
      <c r="B194" s="258">
        <f>'TANKS Calculations'!C76</f>
        <v>0</v>
      </c>
      <c r="C194" s="383"/>
      <c r="D194" s="259" t="s">
        <v>9795</v>
      </c>
      <c r="E194" s="224"/>
      <c r="F194" s="224"/>
      <c r="G194" s="224"/>
      <c r="H194" s="224"/>
      <c r="I194" s="224"/>
      <c r="J194" s="224"/>
      <c r="K194" s="224"/>
      <c r="L194" s="224"/>
      <c r="M194" s="224"/>
      <c r="N194" s="224"/>
    </row>
    <row r="195" spans="1:17" ht="30" customHeight="1" thickBot="1" x14ac:dyDescent="0.25">
      <c r="A195" s="262" t="s">
        <v>9841</v>
      </c>
      <c r="B195" s="263">
        <f>IFERROR(('TANKS Calculations'!C93/'TANKS Calculations'!C3)/((1+(1-('TANKS Calculations'!C93/'TANKS Calculations'!C3))^0.5)^2),0)</f>
        <v>0</v>
      </c>
      <c r="C195" s="385"/>
      <c r="D195" s="264" t="s">
        <v>9689</v>
      </c>
      <c r="E195" s="224"/>
      <c r="F195" s="224"/>
      <c r="G195" s="224"/>
      <c r="H195" s="224"/>
      <c r="I195" s="224"/>
      <c r="J195" s="224"/>
      <c r="K195" s="224"/>
      <c r="L195" s="224"/>
      <c r="M195" s="224"/>
      <c r="N195" s="224"/>
      <c r="O195" s="224"/>
      <c r="P195" s="224"/>
      <c r="Q195" s="224"/>
    </row>
    <row r="196" spans="1:17" ht="20.100000000000001" customHeight="1" thickBot="1" x14ac:dyDescent="0.3">
      <c r="A196" s="1352" t="s">
        <v>9842</v>
      </c>
      <c r="B196" s="1358"/>
      <c r="C196" s="1358"/>
      <c r="D196" s="1359"/>
      <c r="E196" s="224"/>
      <c r="F196" s="224"/>
      <c r="G196" s="224"/>
      <c r="H196" s="224"/>
      <c r="I196" s="224"/>
      <c r="J196" s="224"/>
      <c r="K196" s="224"/>
      <c r="L196" s="224"/>
      <c r="M196" s="224"/>
      <c r="N196" s="224"/>
      <c r="O196" s="224"/>
      <c r="P196" s="224"/>
      <c r="Q196" s="224"/>
    </row>
    <row r="197" spans="1:17" ht="20.100000000000001" customHeight="1" thickBot="1" x14ac:dyDescent="0.3">
      <c r="A197" s="152" t="s">
        <v>9685</v>
      </c>
      <c r="B197" s="153" t="s">
        <v>9686</v>
      </c>
      <c r="C197" s="154" t="s">
        <v>9687</v>
      </c>
      <c r="D197" s="155" t="s">
        <v>9688</v>
      </c>
      <c r="E197" s="224"/>
      <c r="F197" s="224"/>
      <c r="G197" s="224"/>
      <c r="H197" s="224"/>
      <c r="I197" s="224"/>
      <c r="J197" s="224"/>
      <c r="K197" s="224"/>
      <c r="L197" s="224"/>
      <c r="M197" s="224"/>
      <c r="N197" s="224"/>
      <c r="O197" s="224"/>
      <c r="P197" s="224"/>
      <c r="Q197" s="224"/>
    </row>
    <row r="198" spans="1:17" ht="20.100000000000001" customHeight="1" x14ac:dyDescent="0.2">
      <c r="A198" s="353" t="s">
        <v>9843</v>
      </c>
      <c r="B198" s="300" t="s">
        <v>8708</v>
      </c>
      <c r="C198" s="391"/>
      <c r="D198" s="249" t="s">
        <v>9707</v>
      </c>
      <c r="E198" s="224"/>
      <c r="F198" s="224"/>
      <c r="G198" s="224"/>
      <c r="H198" s="224"/>
      <c r="I198" s="224"/>
      <c r="J198" s="224"/>
      <c r="K198" s="224"/>
      <c r="L198" s="224"/>
      <c r="M198" s="224"/>
      <c r="N198" s="224"/>
      <c r="O198" s="224"/>
      <c r="P198" s="224"/>
      <c r="Q198" s="224"/>
    </row>
    <row r="199" spans="1:17" ht="20.100000000000001" customHeight="1" x14ac:dyDescent="0.2">
      <c r="A199" s="351" t="s">
        <v>9844</v>
      </c>
      <c r="B199" s="291">
        <f>ROUND('TANKS Calculations'!C15,0)</f>
        <v>0</v>
      </c>
      <c r="C199" s="383"/>
      <c r="D199" s="259" t="s">
        <v>9845</v>
      </c>
      <c r="E199" s="224"/>
      <c r="F199" s="224"/>
      <c r="G199" s="224"/>
      <c r="H199" s="224"/>
      <c r="I199" s="224"/>
      <c r="J199" s="224"/>
      <c r="K199" s="224"/>
      <c r="L199" s="224"/>
      <c r="M199" s="224"/>
      <c r="N199" s="224"/>
      <c r="O199" s="224"/>
      <c r="P199" s="224"/>
      <c r="Q199" s="224"/>
    </row>
    <row r="200" spans="1:17" ht="20.100000000000001" customHeight="1" x14ac:dyDescent="0.2">
      <c r="A200" s="354" t="s">
        <v>9792</v>
      </c>
      <c r="B200" s="252">
        <f>IFERROR('TANKS Calculations'!C96*'TANKS Calculations'!C93/(10.731*'TANKS Calculations'!C95),0)</f>
        <v>0</v>
      </c>
      <c r="C200" s="379"/>
      <c r="D200" s="227" t="s">
        <v>9793</v>
      </c>
      <c r="E200" s="224"/>
      <c r="F200" s="224"/>
      <c r="G200" s="224"/>
      <c r="H200" s="224"/>
    </row>
    <row r="201" spans="1:17" ht="50.1" customHeight="1" x14ac:dyDescent="0.2">
      <c r="A201" s="353" t="s">
        <v>9846</v>
      </c>
      <c r="B201" s="276">
        <f>IF(ISBLANK(B14),0.04,('TANKS Calculations'!C50/'TANKS Calculations'!C42)+(('TANKS Calculations'!C47-'TANKS Calculations'!C46)/('TANKS Calculations'!C3-'TANKS Calculations'!W48)))</f>
        <v>0.04</v>
      </c>
      <c r="C201" s="391"/>
      <c r="D201" s="249" t="s">
        <v>9798</v>
      </c>
      <c r="E201" s="224"/>
      <c r="F201" s="224"/>
      <c r="G201" s="224"/>
      <c r="H201" s="224"/>
    </row>
    <row r="202" spans="1:17" ht="35.1" customHeight="1" x14ac:dyDescent="0.35">
      <c r="A202" s="256" t="s">
        <v>9847</v>
      </c>
      <c r="B202" s="258">
        <f>1/(1+(0.053*Q113*'TANKS Calculations'!C60))</f>
        <v>1</v>
      </c>
      <c r="C202" s="383"/>
      <c r="D202" s="259" t="s">
        <v>9689</v>
      </c>
      <c r="E202" s="224"/>
      <c r="F202" s="224"/>
      <c r="G202" s="224"/>
      <c r="H202" s="224"/>
      <c r="I202" s="224"/>
      <c r="J202" s="224"/>
      <c r="K202" s="224"/>
      <c r="L202" s="224"/>
      <c r="M202" s="224"/>
      <c r="N202" s="224"/>
      <c r="O202" s="224"/>
      <c r="P202" s="224"/>
    </row>
    <row r="203" spans="1:17" ht="20.100000000000001" customHeight="1" thickBot="1" x14ac:dyDescent="0.4">
      <c r="A203" s="256" t="s">
        <v>9848</v>
      </c>
      <c r="B203" s="301" t="s">
        <v>8708</v>
      </c>
      <c r="C203" s="383"/>
      <c r="D203" s="259" t="s">
        <v>9849</v>
      </c>
      <c r="E203" s="224"/>
      <c r="F203" s="224"/>
      <c r="G203" s="224"/>
      <c r="H203" s="224"/>
      <c r="I203" s="224"/>
    </row>
    <row r="204" spans="1:17" ht="20.100000000000001" customHeight="1" thickBot="1" x14ac:dyDescent="0.3">
      <c r="A204" s="1352" t="s">
        <v>9850</v>
      </c>
      <c r="B204" s="1358"/>
      <c r="C204" s="1358"/>
      <c r="D204" s="1359"/>
      <c r="E204" s="224"/>
      <c r="F204" s="224"/>
      <c r="G204" s="224"/>
      <c r="H204" s="224"/>
      <c r="I204" s="224"/>
      <c r="J204" s="224"/>
      <c r="K204" s="224"/>
      <c r="L204" s="224"/>
      <c r="M204" s="224"/>
      <c r="N204" s="224"/>
      <c r="O204" s="224"/>
      <c r="P204" s="224"/>
      <c r="Q204" s="224"/>
    </row>
    <row r="205" spans="1:17" ht="20.100000000000001" customHeight="1" thickBot="1" x14ac:dyDescent="0.3">
      <c r="A205" s="152" t="s">
        <v>9685</v>
      </c>
      <c r="B205" s="153" t="s">
        <v>9686</v>
      </c>
      <c r="C205" s="154" t="s">
        <v>9687</v>
      </c>
      <c r="D205" s="155" t="s">
        <v>9688</v>
      </c>
      <c r="E205" s="224"/>
      <c r="F205" s="224"/>
      <c r="G205" s="224"/>
      <c r="H205" s="224"/>
      <c r="I205" s="224"/>
      <c r="J205" s="224"/>
      <c r="K205" s="224"/>
      <c r="L205" s="224"/>
      <c r="M205" s="224"/>
      <c r="N205" s="224"/>
      <c r="O205" s="224"/>
      <c r="P205" s="224"/>
      <c r="Q205" s="224"/>
    </row>
    <row r="206" spans="1:17" ht="30" customHeight="1" x14ac:dyDescent="0.2">
      <c r="A206" s="247" t="s">
        <v>9851</v>
      </c>
      <c r="B206" s="248">
        <f>'TANKS Calculations'!C85</f>
        <v>0</v>
      </c>
      <c r="C206" s="408"/>
      <c r="D206" s="249" t="s">
        <v>9831</v>
      </c>
      <c r="E206" s="224"/>
      <c r="F206" s="224"/>
      <c r="G206" s="224"/>
      <c r="H206" s="224"/>
      <c r="I206" s="224"/>
    </row>
    <row r="207" spans="1:17" ht="20.100000000000001" customHeight="1" x14ac:dyDescent="0.2">
      <c r="A207" s="351" t="s">
        <v>9852</v>
      </c>
      <c r="B207" s="291">
        <f>IF(C190="Full liquid heel",0.6,IF(C190="Partial liquid heel",0.5,0.15))</f>
        <v>0.15</v>
      </c>
      <c r="C207" s="397"/>
      <c r="D207" s="259" t="s">
        <v>9689</v>
      </c>
      <c r="E207" s="224"/>
      <c r="F207" s="224"/>
      <c r="G207" s="224"/>
      <c r="H207" s="224"/>
      <c r="I207" s="224"/>
    </row>
    <row r="208" spans="1:17" ht="35.1" customHeight="1" x14ac:dyDescent="0.35">
      <c r="A208" s="256" t="s">
        <v>9853</v>
      </c>
      <c r="B208" s="291">
        <f>IF(C68="External Floating Roof",IFERROR(1-(((0.57*'TANKS Calculations'!C8*'TANKS Calculations'!C78*'TANKS Calculations'!C76)-('TANKS Calculations'!C99*'TANKS Calculations'!C79*'TANKS Calculations'!C76*'TANKS Calculations'!C100))/(('TANKS Calculations'!C99*'TANKS Calculations'!C79*'TANKS Calculations'!C76*'TANKS Calculations'!C100)+('TANKS Calculations'!C76*'TANKS Calculations'!C105*'TANKS Calculations'!C104))),0),IF(C190="Full liquid heel",0.6,IF(C190="Partial liquid heel",0.5,1)))</f>
        <v>1</v>
      </c>
      <c r="C208" s="397"/>
      <c r="D208" s="259" t="s">
        <v>9689</v>
      </c>
      <c r="E208" s="224"/>
      <c r="F208" s="224"/>
      <c r="G208" s="224"/>
      <c r="H208" s="224"/>
      <c r="I208" s="224"/>
      <c r="J208" s="224"/>
      <c r="K208" s="224"/>
      <c r="L208" s="224"/>
      <c r="M208" s="224"/>
      <c r="N208" s="224"/>
      <c r="O208" s="224"/>
      <c r="P208" s="224"/>
    </row>
    <row r="209" spans="1:17" ht="35.1" customHeight="1" x14ac:dyDescent="0.35">
      <c r="A209" s="256" t="s">
        <v>9854</v>
      </c>
      <c r="B209" s="301" t="s">
        <v>8708</v>
      </c>
      <c r="C209" s="397"/>
      <c r="D209" s="259" t="s">
        <v>9707</v>
      </c>
      <c r="E209" s="224"/>
      <c r="F209" s="224"/>
      <c r="G209" s="224"/>
      <c r="H209" s="224"/>
      <c r="I209" s="224"/>
      <c r="J209" s="224"/>
      <c r="K209" s="224"/>
      <c r="L209" s="224"/>
      <c r="M209" s="224"/>
      <c r="N209" s="224"/>
      <c r="O209" s="224"/>
      <c r="P209" s="224"/>
    </row>
    <row r="210" spans="1:17" ht="20.100000000000001" customHeight="1" thickBot="1" x14ac:dyDescent="0.4">
      <c r="A210" s="262" t="s">
        <v>9855</v>
      </c>
      <c r="B210" s="289">
        <f>IF(ISBLANK(C209),'TANKS Calculations'!C61,(PI()/4)*('TANKS Calculations'!C8^2)*'TANKS Calculations'!C107)</f>
        <v>0</v>
      </c>
      <c r="C210" s="393"/>
      <c r="D210" s="424" t="s">
        <v>9730</v>
      </c>
      <c r="E210" s="224"/>
      <c r="F210" s="224"/>
      <c r="G210" s="224"/>
      <c r="H210" s="224"/>
      <c r="I210" s="224"/>
    </row>
    <row r="211" spans="1:17" ht="30" customHeight="1" thickBot="1" x14ac:dyDescent="0.25">
      <c r="A211" s="1376" t="s">
        <v>8411</v>
      </c>
      <c r="B211" s="1376"/>
      <c r="C211" s="1376"/>
      <c r="D211" s="1376"/>
      <c r="E211" s="224"/>
      <c r="F211" s="224"/>
      <c r="G211" s="224"/>
      <c r="H211" s="224"/>
      <c r="I211" s="224"/>
      <c r="J211" s="224"/>
      <c r="K211" s="224"/>
      <c r="L211" s="224"/>
      <c r="M211" s="224"/>
      <c r="N211" s="224"/>
      <c r="O211" s="224"/>
      <c r="P211" s="224"/>
      <c r="Q211" s="224"/>
    </row>
    <row r="212" spans="1:17" ht="64.5" customHeight="1" thickBot="1" x14ac:dyDescent="0.3">
      <c r="A212" s="1352" t="s">
        <v>9856</v>
      </c>
      <c r="B212" s="1358"/>
      <c r="C212" s="1358"/>
      <c r="D212" s="1359"/>
      <c r="E212" s="224"/>
      <c r="F212" s="224"/>
      <c r="G212" s="224"/>
      <c r="H212" s="224"/>
      <c r="I212" s="224"/>
      <c r="J212" s="224"/>
      <c r="K212" s="224"/>
      <c r="L212" s="224"/>
      <c r="M212" s="224"/>
      <c r="N212" s="224"/>
      <c r="O212" s="224"/>
      <c r="P212" s="224"/>
      <c r="Q212" s="224"/>
    </row>
    <row r="213" spans="1:17" ht="20.100000000000001" customHeight="1" thickBot="1" x14ac:dyDescent="0.3">
      <c r="A213" s="152" t="s">
        <v>9685</v>
      </c>
      <c r="B213" s="153" t="s">
        <v>9686</v>
      </c>
      <c r="C213" s="154" t="s">
        <v>9687</v>
      </c>
      <c r="D213" s="155" t="s">
        <v>9688</v>
      </c>
      <c r="E213" s="224"/>
      <c r="F213" s="224"/>
      <c r="G213" s="224"/>
      <c r="H213" s="224"/>
      <c r="I213" s="224"/>
      <c r="J213" s="224"/>
      <c r="K213" s="224"/>
      <c r="L213" s="224"/>
      <c r="M213" s="224"/>
      <c r="N213" s="224"/>
      <c r="O213" s="224"/>
      <c r="P213" s="224"/>
      <c r="Q213" s="224"/>
    </row>
    <row r="214" spans="1:17" ht="20.100000000000001" customHeight="1" x14ac:dyDescent="0.2">
      <c r="A214" s="292" t="s">
        <v>9857</v>
      </c>
      <c r="B214" s="302" t="s">
        <v>8708</v>
      </c>
      <c r="C214" s="409"/>
      <c r="D214" s="294" t="s">
        <v>9725</v>
      </c>
      <c r="E214" s="224"/>
      <c r="F214" s="224"/>
      <c r="G214" s="224"/>
      <c r="H214" s="224"/>
      <c r="I214" s="224"/>
      <c r="J214" s="224"/>
      <c r="K214" s="224"/>
      <c r="L214" s="224"/>
      <c r="M214" s="224"/>
      <c r="N214" s="224"/>
      <c r="O214" s="224"/>
      <c r="P214" s="224"/>
      <c r="Q214" s="224"/>
    </row>
    <row r="215" spans="1:17" ht="20.100000000000001" customHeight="1" x14ac:dyDescent="0.35">
      <c r="A215" s="256" t="s">
        <v>9858</v>
      </c>
      <c r="B215" s="258">
        <f>'TANKS Calculations'!W52</f>
        <v>0</v>
      </c>
      <c r="C215" s="397"/>
      <c r="D215" s="259" t="s">
        <v>9795</v>
      </c>
      <c r="E215" s="224"/>
      <c r="F215" s="224"/>
      <c r="G215" s="224"/>
      <c r="H215" s="224"/>
      <c r="I215" s="224"/>
      <c r="J215" s="224"/>
      <c r="K215" s="224"/>
      <c r="L215" s="224"/>
      <c r="M215" s="224"/>
      <c r="N215" s="224"/>
      <c r="O215" s="224"/>
      <c r="P215" s="224"/>
      <c r="Q215" s="224"/>
    </row>
    <row r="216" spans="1:17" ht="35.1" customHeight="1" x14ac:dyDescent="0.35">
      <c r="A216" s="256" t="s">
        <v>9859</v>
      </c>
      <c r="B216" s="258">
        <f>'TANKS Calculations'!C51</f>
        <v>0</v>
      </c>
      <c r="C216" s="397"/>
      <c r="D216" s="259" t="s">
        <v>8867</v>
      </c>
      <c r="E216" s="224"/>
      <c r="F216" s="224"/>
      <c r="G216" s="224"/>
      <c r="H216" s="224"/>
      <c r="I216" s="224"/>
      <c r="J216" s="224"/>
      <c r="K216" s="224"/>
      <c r="L216" s="224"/>
      <c r="M216" s="224"/>
      <c r="N216" s="224"/>
      <c r="O216" s="224"/>
      <c r="P216" s="224"/>
      <c r="Q216" s="224"/>
    </row>
    <row r="217" spans="1:17" ht="30" customHeight="1" x14ac:dyDescent="0.2">
      <c r="A217" s="256" t="s">
        <v>9860</v>
      </c>
      <c r="B217" s="258">
        <f>'TANKS Calculations'!C32</f>
        <v>459.67</v>
      </c>
      <c r="C217" s="397"/>
      <c r="D217" s="259" t="s">
        <v>9755</v>
      </c>
      <c r="E217" s="224"/>
      <c r="F217" s="224"/>
      <c r="G217" s="224"/>
      <c r="H217" s="224"/>
      <c r="I217" s="224"/>
      <c r="J217" s="224"/>
      <c r="K217" s="224"/>
      <c r="L217" s="224"/>
      <c r="M217" s="224"/>
      <c r="N217" s="224"/>
      <c r="O217" s="224"/>
      <c r="P217" s="224"/>
      <c r="Q217" s="224"/>
    </row>
    <row r="218" spans="1:17" ht="20.100000000000001" customHeight="1" x14ac:dyDescent="0.35">
      <c r="A218" s="256" t="s">
        <v>9855</v>
      </c>
      <c r="B218" s="258">
        <f>IF(B12="Fixed",'TANKS Calculations'!C10-'TANKS Calculations'!C125+'TANKS Calculations'!C59,'TANKS Calculations'!C61)</f>
        <v>0</v>
      </c>
      <c r="C218" s="397"/>
      <c r="D218" s="259" t="s">
        <v>9730</v>
      </c>
      <c r="E218" s="224"/>
      <c r="F218" s="224"/>
      <c r="G218" s="224"/>
      <c r="H218" s="224"/>
      <c r="I218" s="224"/>
      <c r="J218" s="224"/>
      <c r="K218" s="224"/>
      <c r="L218" s="224"/>
      <c r="M218" s="224"/>
      <c r="N218" s="224"/>
      <c r="O218" s="224"/>
      <c r="P218" s="224"/>
      <c r="Q218" s="224"/>
    </row>
    <row r="219" spans="1:17" ht="35.1" customHeight="1" x14ac:dyDescent="0.35">
      <c r="A219" s="256" t="s">
        <v>9861</v>
      </c>
      <c r="B219" s="303" t="s">
        <v>8708</v>
      </c>
      <c r="C219" s="397"/>
      <c r="D219" s="259" t="s">
        <v>9707</v>
      </c>
      <c r="E219" s="224"/>
      <c r="F219" s="224"/>
      <c r="G219" s="224"/>
      <c r="H219" s="224"/>
      <c r="I219" s="224"/>
      <c r="J219" s="224"/>
      <c r="K219" s="224"/>
      <c r="L219" s="224"/>
      <c r="M219" s="224"/>
      <c r="N219" s="224"/>
      <c r="O219" s="224"/>
      <c r="P219" s="224"/>
      <c r="Q219" s="224"/>
    </row>
    <row r="220" spans="1:17" ht="20.100000000000001" customHeight="1" x14ac:dyDescent="0.35">
      <c r="A220" s="256" t="s">
        <v>9862</v>
      </c>
      <c r="B220" s="258">
        <f>IFERROR(365/IF('TANKS Calculations'!C15&gt;=365,365,'TANKS Calculations'!C15),0)</f>
        <v>0</v>
      </c>
      <c r="C220" s="397"/>
      <c r="D220" s="259" t="s">
        <v>9849</v>
      </c>
      <c r="E220" s="224"/>
      <c r="F220" s="224"/>
      <c r="G220" s="224"/>
      <c r="H220" s="224"/>
      <c r="I220" s="224"/>
      <c r="J220" s="224"/>
      <c r="K220" s="224"/>
      <c r="L220" s="224"/>
      <c r="M220" s="224"/>
      <c r="N220" s="224"/>
      <c r="O220" s="224"/>
      <c r="P220" s="224"/>
      <c r="Q220" s="224"/>
    </row>
    <row r="221" spans="1:17" ht="20.100000000000001" customHeight="1" x14ac:dyDescent="0.2">
      <c r="A221" s="351" t="s">
        <v>9863</v>
      </c>
      <c r="B221" s="258">
        <f>IF(C190="Drain dry",0,MIN(MAX(IF(B12="Fixed",(('TANKS Calculations'!C126/2)+1)/6,_xlfn.IFNA(VLOOKUP(C68&amp;C190,'TANKS Calculations'!$G$138:$I$143,3,FALSE),0)),0.5),0.25))</f>
        <v>0.25</v>
      </c>
      <c r="C221" s="397"/>
      <c r="D221" s="259" t="s">
        <v>9689</v>
      </c>
      <c r="E221" s="224"/>
      <c r="F221" s="224"/>
      <c r="G221" s="224"/>
      <c r="H221" s="224"/>
      <c r="I221" s="224"/>
      <c r="J221" s="224"/>
      <c r="K221" s="224"/>
      <c r="L221" s="224"/>
      <c r="M221" s="224"/>
      <c r="N221" s="224"/>
      <c r="O221" s="224"/>
      <c r="P221" s="224"/>
      <c r="Q221" s="224"/>
    </row>
    <row r="222" spans="1:17" ht="45" customHeight="1" thickBot="1" x14ac:dyDescent="0.25">
      <c r="A222" s="262" t="s">
        <v>9864</v>
      </c>
      <c r="B222" s="304">
        <f>IF('TANKS Calculations'!C126=0,0,ROUNDUP('TANKS Calculations'!C126/365,0)-1)</f>
        <v>0</v>
      </c>
      <c r="C222" s="385"/>
      <c r="D222" s="264" t="s">
        <v>9725</v>
      </c>
      <c r="E222" s="224"/>
      <c r="F222" s="224"/>
      <c r="G222" s="224"/>
      <c r="H222" s="224"/>
      <c r="I222" s="224"/>
      <c r="J222" s="224"/>
      <c r="K222" s="224"/>
      <c r="L222" s="224"/>
      <c r="M222" s="224"/>
      <c r="N222" s="224"/>
      <c r="O222" s="224"/>
      <c r="P222" s="224"/>
      <c r="Q222" s="224"/>
    </row>
    <row r="223" spans="1:17" ht="30" customHeight="1" x14ac:dyDescent="0.2">
      <c r="A223" s="247" t="s">
        <v>9865</v>
      </c>
      <c r="B223" s="305" t="s">
        <v>8708</v>
      </c>
      <c r="C223" s="418"/>
      <c r="D223" s="249" t="s">
        <v>9689</v>
      </c>
      <c r="E223" s="224"/>
      <c r="F223" s="224"/>
      <c r="G223" s="224"/>
      <c r="H223" s="224"/>
      <c r="I223" s="224"/>
      <c r="J223" s="224"/>
      <c r="K223" s="224"/>
      <c r="L223" s="224"/>
      <c r="M223" s="224"/>
      <c r="N223" s="224"/>
      <c r="O223" s="224"/>
      <c r="P223" s="224"/>
      <c r="Q223" s="224"/>
    </row>
    <row r="224" spans="1:17" ht="30" customHeight="1" x14ac:dyDescent="0.2">
      <c r="A224" s="256" t="s">
        <v>9866</v>
      </c>
      <c r="B224" s="303" t="s">
        <v>8708</v>
      </c>
      <c r="C224" s="397"/>
      <c r="D224" s="259" t="s">
        <v>9689</v>
      </c>
      <c r="E224" s="224"/>
      <c r="F224" s="224"/>
      <c r="G224" s="224"/>
      <c r="H224" s="224"/>
      <c r="I224" s="224"/>
      <c r="J224" s="224"/>
      <c r="K224" s="224"/>
      <c r="L224" s="224"/>
      <c r="M224" s="224"/>
      <c r="N224" s="224"/>
      <c r="O224" s="224"/>
      <c r="P224" s="224"/>
      <c r="Q224" s="224"/>
    </row>
    <row r="225" spans="1:17" ht="30" customHeight="1" x14ac:dyDescent="0.2">
      <c r="A225" s="256" t="s">
        <v>9867</v>
      </c>
      <c r="B225" s="303" t="s">
        <v>8708</v>
      </c>
      <c r="C225" s="397"/>
      <c r="D225" s="259" t="s">
        <v>9689</v>
      </c>
      <c r="E225" s="224"/>
      <c r="F225" s="224"/>
      <c r="G225" s="224"/>
      <c r="H225" s="224"/>
      <c r="I225" s="224"/>
      <c r="J225" s="224"/>
      <c r="K225" s="224"/>
      <c r="L225" s="224"/>
      <c r="M225" s="224"/>
      <c r="N225" s="224"/>
      <c r="O225" s="224"/>
      <c r="P225" s="224"/>
      <c r="Q225" s="224"/>
    </row>
    <row r="226" spans="1:17" ht="30" customHeight="1" x14ac:dyDescent="0.2">
      <c r="A226" s="256" t="s">
        <v>9868</v>
      </c>
      <c r="B226" s="258">
        <v>1</v>
      </c>
      <c r="C226" s="397"/>
      <c r="D226" s="259" t="s">
        <v>9689</v>
      </c>
      <c r="E226" s="224"/>
      <c r="F226" s="224"/>
      <c r="G226" s="224"/>
      <c r="H226" s="224"/>
      <c r="I226" s="224"/>
      <c r="J226" s="224"/>
      <c r="K226" s="224"/>
      <c r="L226" s="224"/>
      <c r="M226" s="224"/>
      <c r="N226" s="224"/>
      <c r="O226" s="224"/>
      <c r="P226" s="224"/>
      <c r="Q226" s="224"/>
    </row>
    <row r="227" spans="1:17" ht="35.1" customHeight="1" x14ac:dyDescent="0.35">
      <c r="A227" s="256" t="s">
        <v>9869</v>
      </c>
      <c r="B227" s="258">
        <f>MIN('TANKS Calculations'!C129*'TANKS Calculations'!C130*'TANKS Calculations'!C131,'TANKS Calculations'!C121/'TANKS Calculations'!C3)</f>
        <v>0</v>
      </c>
      <c r="C227" s="397"/>
      <c r="D227" s="259" t="s">
        <v>9689</v>
      </c>
      <c r="E227" s="224"/>
      <c r="F227" s="224"/>
      <c r="G227" s="224"/>
      <c r="H227" s="224"/>
      <c r="I227" s="224"/>
      <c r="J227" s="224"/>
      <c r="K227" s="224"/>
      <c r="L227" s="224"/>
      <c r="M227" s="224"/>
      <c r="N227" s="224"/>
      <c r="O227" s="224"/>
      <c r="P227" s="224"/>
      <c r="Q227" s="224"/>
    </row>
    <row r="228" spans="1:17" ht="20.100000000000001" customHeight="1" x14ac:dyDescent="0.35">
      <c r="A228" s="256" t="s">
        <v>9870</v>
      </c>
      <c r="B228" s="303" t="s">
        <v>8708</v>
      </c>
      <c r="C228" s="397"/>
      <c r="D228" s="259" t="s">
        <v>9871</v>
      </c>
      <c r="E228" s="224"/>
      <c r="F228" s="224"/>
      <c r="G228" s="306"/>
      <c r="H228" s="224"/>
      <c r="I228" s="224"/>
      <c r="J228" s="224"/>
      <c r="K228" s="224"/>
      <c r="L228" s="224"/>
      <c r="M228" s="224"/>
      <c r="N228" s="224"/>
      <c r="O228" s="224"/>
      <c r="P228" s="224"/>
      <c r="Q228" s="224"/>
    </row>
    <row r="229" spans="1:17" ht="20.100000000000001" customHeight="1" x14ac:dyDescent="0.35">
      <c r="A229" s="256" t="s">
        <v>9872</v>
      </c>
      <c r="B229" s="303" t="s">
        <v>8708</v>
      </c>
      <c r="C229" s="397"/>
      <c r="D229" s="259" t="s">
        <v>9849</v>
      </c>
      <c r="E229" s="224"/>
      <c r="F229" s="224"/>
      <c r="G229" s="224"/>
      <c r="H229" s="224"/>
      <c r="I229" s="224"/>
      <c r="J229" s="224"/>
      <c r="K229" s="224"/>
      <c r="L229" s="224"/>
      <c r="M229" s="224"/>
      <c r="N229" s="224"/>
      <c r="O229" s="224"/>
      <c r="P229" s="224"/>
      <c r="Q229" s="224"/>
    </row>
    <row r="230" spans="1:17" ht="65.099999999999994" customHeight="1" x14ac:dyDescent="0.2">
      <c r="A230" s="256" t="s">
        <v>9873</v>
      </c>
      <c r="B230" s="303" t="s">
        <v>8708</v>
      </c>
      <c r="C230" s="397"/>
      <c r="D230" s="259" t="s">
        <v>9874</v>
      </c>
      <c r="E230" s="224"/>
      <c r="F230" s="224"/>
      <c r="G230" s="224"/>
      <c r="H230" s="224"/>
      <c r="I230" s="224"/>
      <c r="J230" s="224"/>
      <c r="K230" s="224"/>
      <c r="L230" s="224"/>
      <c r="M230" s="224"/>
      <c r="N230" s="224"/>
      <c r="O230" s="224"/>
      <c r="P230" s="224"/>
      <c r="Q230" s="224"/>
    </row>
    <row r="231" spans="1:17" ht="20.100000000000001" customHeight="1" x14ac:dyDescent="0.35">
      <c r="A231" s="256" t="s">
        <v>9875</v>
      </c>
      <c r="B231" s="258">
        <f>'TANKS Calculations'!C120</f>
        <v>0</v>
      </c>
      <c r="C231" s="397"/>
      <c r="D231" s="259" t="s">
        <v>9795</v>
      </c>
      <c r="E231" s="224"/>
      <c r="F231" s="224"/>
      <c r="G231" s="224"/>
      <c r="H231" s="224"/>
      <c r="I231" s="224"/>
      <c r="J231" s="224"/>
      <c r="K231" s="224"/>
      <c r="L231" s="224"/>
      <c r="M231" s="224"/>
      <c r="N231" s="224"/>
      <c r="O231" s="224"/>
      <c r="P231" s="224"/>
      <c r="Q231" s="224"/>
    </row>
    <row r="232" spans="1:17" ht="35.1" customHeight="1" thickBot="1" x14ac:dyDescent="0.4">
      <c r="A232" s="256" t="s">
        <v>9876</v>
      </c>
      <c r="B232" s="258">
        <f>'TANKS Calculations'!C12</f>
        <v>1</v>
      </c>
      <c r="C232" s="397"/>
      <c r="D232" s="259" t="s">
        <v>9707</v>
      </c>
      <c r="E232" s="224"/>
      <c r="F232" s="224"/>
      <c r="G232" s="224"/>
      <c r="H232" s="224"/>
      <c r="I232" s="224"/>
      <c r="J232" s="224"/>
      <c r="K232" s="224"/>
      <c r="L232" s="224"/>
      <c r="M232" s="224"/>
      <c r="N232" s="224"/>
      <c r="O232" s="224"/>
      <c r="P232" s="224"/>
      <c r="Q232" s="224"/>
    </row>
    <row r="233" spans="1:17" ht="50.1" customHeight="1" x14ac:dyDescent="0.35">
      <c r="A233" s="292" t="s">
        <v>9877</v>
      </c>
      <c r="B233" s="307" t="s">
        <v>8708</v>
      </c>
      <c r="C233" s="403"/>
      <c r="D233" s="294" t="s">
        <v>9689</v>
      </c>
      <c r="E233" s="224"/>
      <c r="F233" s="224"/>
      <c r="G233" s="224"/>
      <c r="H233" s="224"/>
      <c r="I233" s="224"/>
      <c r="J233" s="224"/>
      <c r="K233" s="224"/>
      <c r="L233" s="224"/>
      <c r="M233" s="224"/>
      <c r="N233" s="224"/>
      <c r="O233" s="224"/>
      <c r="P233" s="224"/>
      <c r="Q233" s="224"/>
    </row>
    <row r="234" spans="1:17" ht="35.1" customHeight="1" x14ac:dyDescent="0.2">
      <c r="A234" s="349" t="s">
        <v>10002</v>
      </c>
      <c r="B234" s="303" t="s">
        <v>8708</v>
      </c>
      <c r="C234" s="397"/>
      <c r="D234" s="259" t="s">
        <v>9849</v>
      </c>
      <c r="E234" s="224"/>
      <c r="F234" s="224"/>
      <c r="G234" s="224"/>
      <c r="H234" s="224"/>
      <c r="I234" s="224"/>
      <c r="J234" s="224"/>
      <c r="K234" s="224"/>
      <c r="L234" s="224"/>
      <c r="M234" s="224"/>
      <c r="N234" s="224"/>
      <c r="O234" s="224"/>
      <c r="P234" s="224"/>
      <c r="Q234" s="224"/>
    </row>
    <row r="235" spans="1:17" ht="35.1" customHeight="1" x14ac:dyDescent="0.2">
      <c r="A235" s="349" t="s">
        <v>10003</v>
      </c>
      <c r="B235" s="303" t="s">
        <v>8708</v>
      </c>
      <c r="C235" s="397"/>
      <c r="D235" s="259" t="s">
        <v>9874</v>
      </c>
      <c r="E235" s="224"/>
      <c r="F235" s="224"/>
      <c r="G235" s="224"/>
      <c r="H235" s="224"/>
      <c r="I235" s="224"/>
      <c r="J235" s="224"/>
      <c r="K235" s="224"/>
      <c r="L235" s="224"/>
      <c r="M235" s="224"/>
      <c r="N235" s="224"/>
      <c r="O235" s="224"/>
      <c r="P235" s="224"/>
      <c r="Q235" s="224"/>
    </row>
    <row r="236" spans="1:17" ht="35.1" customHeight="1" thickBot="1" x14ac:dyDescent="0.4">
      <c r="A236" s="262" t="s">
        <v>9878</v>
      </c>
      <c r="B236" s="308" t="s">
        <v>8708</v>
      </c>
      <c r="C236" s="385"/>
      <c r="D236" s="264" t="s">
        <v>9707</v>
      </c>
      <c r="E236" s="224"/>
      <c r="F236" s="224"/>
      <c r="G236" s="224"/>
      <c r="H236" s="224"/>
      <c r="I236" s="224"/>
      <c r="J236" s="224"/>
      <c r="K236" s="224"/>
      <c r="L236" s="224"/>
      <c r="M236" s="224"/>
      <c r="N236" s="224"/>
      <c r="O236" s="224"/>
      <c r="P236" s="224"/>
      <c r="Q236" s="224"/>
    </row>
    <row r="237" spans="1:17" ht="30" customHeight="1" thickBot="1" x14ac:dyDescent="0.25">
      <c r="A237" s="1376" t="s">
        <v>8411</v>
      </c>
      <c r="B237" s="1376"/>
      <c r="C237" s="1376"/>
      <c r="D237" s="1376"/>
      <c r="E237" s="224"/>
      <c r="F237" s="224"/>
      <c r="G237" s="224"/>
      <c r="H237" s="224"/>
      <c r="I237" s="224"/>
      <c r="J237" s="224"/>
      <c r="K237" s="224"/>
      <c r="L237" s="224"/>
      <c r="M237" s="224"/>
      <c r="N237" s="224"/>
      <c r="O237" s="224"/>
      <c r="P237" s="224"/>
      <c r="Q237" s="224"/>
    </row>
    <row r="238" spans="1:17" ht="44.25" customHeight="1" thickBot="1" x14ac:dyDescent="0.3">
      <c r="A238" s="1352" t="s">
        <v>9879</v>
      </c>
      <c r="B238" s="1358"/>
      <c r="C238" s="1358"/>
      <c r="D238" s="1359"/>
      <c r="E238" s="224"/>
      <c r="F238" s="224"/>
      <c r="G238" s="224"/>
      <c r="H238" s="224"/>
      <c r="I238" s="224"/>
      <c r="J238" s="224"/>
      <c r="K238" s="224"/>
      <c r="L238" s="224"/>
      <c r="M238" s="224"/>
      <c r="N238" s="224"/>
      <c r="O238" s="224"/>
      <c r="P238" s="224"/>
      <c r="Q238" s="224"/>
    </row>
    <row r="239" spans="1:17" ht="20.100000000000001" customHeight="1" thickBot="1" x14ac:dyDescent="0.3">
      <c r="A239" s="152" t="s">
        <v>9685</v>
      </c>
      <c r="B239" s="153" t="s">
        <v>9686</v>
      </c>
      <c r="C239" s="154" t="s">
        <v>9687</v>
      </c>
      <c r="D239" s="155" t="s">
        <v>9688</v>
      </c>
      <c r="E239" s="224"/>
      <c r="F239" s="224"/>
      <c r="G239" s="224"/>
      <c r="H239" s="224"/>
      <c r="I239" s="224"/>
      <c r="J239" s="224"/>
      <c r="K239" s="224"/>
      <c r="L239" s="224"/>
      <c r="M239" s="224"/>
      <c r="N239" s="224"/>
      <c r="O239" s="224"/>
      <c r="P239" s="224"/>
      <c r="Q239" s="224"/>
    </row>
    <row r="240" spans="1:17" ht="30" customHeight="1" x14ac:dyDescent="0.2">
      <c r="A240" s="266" t="s">
        <v>9880</v>
      </c>
      <c r="B240" s="267" t="s">
        <v>8708</v>
      </c>
      <c r="C240" s="410"/>
      <c r="D240" s="268" t="s">
        <v>9881</v>
      </c>
      <c r="E240" s="224"/>
      <c r="F240" s="224"/>
      <c r="G240" s="224"/>
      <c r="H240" s="224"/>
      <c r="I240" s="224"/>
      <c r="J240" s="224"/>
      <c r="K240" s="224"/>
      <c r="L240" s="224"/>
      <c r="M240" s="224"/>
      <c r="N240" s="224"/>
      <c r="O240" s="224"/>
      <c r="P240" s="224"/>
      <c r="Q240" s="224"/>
    </row>
    <row r="241" spans="1:17" ht="30" customHeight="1" x14ac:dyDescent="0.2">
      <c r="A241" s="228" t="s">
        <v>9882</v>
      </c>
      <c r="B241" s="226" t="s">
        <v>8708</v>
      </c>
      <c r="C241" s="411"/>
      <c r="D241" s="227" t="s">
        <v>9881</v>
      </c>
      <c r="E241" s="224"/>
      <c r="F241" s="224"/>
      <c r="G241" s="224"/>
      <c r="H241" s="224"/>
      <c r="I241" s="224"/>
      <c r="J241" s="224"/>
      <c r="K241" s="224"/>
      <c r="L241" s="224"/>
      <c r="M241" s="224"/>
      <c r="N241" s="224"/>
      <c r="O241" s="224"/>
      <c r="P241" s="224"/>
      <c r="Q241" s="224"/>
    </row>
    <row r="242" spans="1:17" ht="30" customHeight="1" x14ac:dyDescent="0.2">
      <c r="A242" s="225" t="s">
        <v>9883</v>
      </c>
      <c r="B242" s="309" t="s">
        <v>8708</v>
      </c>
      <c r="C242" s="412"/>
      <c r="D242" s="246" t="s">
        <v>9884</v>
      </c>
      <c r="E242" s="224"/>
      <c r="F242" s="224"/>
      <c r="G242" s="224"/>
      <c r="H242" s="224"/>
      <c r="I242" s="224"/>
      <c r="J242" s="224"/>
      <c r="K242" s="224"/>
      <c r="L242" s="224"/>
      <c r="M242" s="224"/>
      <c r="N242" s="224"/>
      <c r="O242" s="224"/>
      <c r="P242" s="224"/>
      <c r="Q242" s="224"/>
    </row>
    <row r="243" spans="1:17" ht="45" customHeight="1" x14ac:dyDescent="0.2">
      <c r="A243" s="225" t="s">
        <v>9885</v>
      </c>
      <c r="B243" s="310">
        <v>2.635184989986297E-3</v>
      </c>
      <c r="C243" s="412"/>
      <c r="D243" s="246" t="s">
        <v>9886</v>
      </c>
      <c r="E243" s="224"/>
      <c r="F243" s="224"/>
      <c r="G243" s="224"/>
      <c r="H243" s="224"/>
      <c r="I243" s="224"/>
      <c r="J243" s="224"/>
      <c r="K243" s="224"/>
      <c r="L243" s="224"/>
      <c r="M243" s="224"/>
      <c r="N243" s="224"/>
      <c r="O243" s="224"/>
      <c r="P243" s="224"/>
      <c r="Q243" s="224"/>
    </row>
    <row r="244" spans="1:17" ht="30" customHeight="1" x14ac:dyDescent="0.2">
      <c r="A244" s="225" t="s">
        <v>9887</v>
      </c>
      <c r="B244" s="309" t="s">
        <v>8708</v>
      </c>
      <c r="C244" s="412"/>
      <c r="D244" s="246" t="s">
        <v>9795</v>
      </c>
      <c r="E244" s="224"/>
      <c r="F244" s="224"/>
      <c r="G244" s="224"/>
      <c r="H244" s="224"/>
      <c r="I244" s="224"/>
      <c r="J244" s="224"/>
      <c r="K244" s="224"/>
      <c r="L244" s="224"/>
      <c r="M244" s="224"/>
      <c r="N244" s="224"/>
      <c r="O244" s="224"/>
      <c r="P244" s="224"/>
      <c r="Q244" s="224"/>
    </row>
    <row r="245" spans="1:17" ht="30" customHeight="1" x14ac:dyDescent="0.2">
      <c r="A245" s="225" t="s">
        <v>9888</v>
      </c>
      <c r="B245" s="311" t="s">
        <v>8708</v>
      </c>
      <c r="C245" s="412"/>
      <c r="D245" s="246" t="s">
        <v>9889</v>
      </c>
      <c r="E245" s="224"/>
      <c r="F245" s="224"/>
      <c r="H245" s="224"/>
      <c r="I245" s="224"/>
      <c r="J245" s="224"/>
      <c r="K245" s="224"/>
      <c r="L245" s="224"/>
      <c r="M245" s="224"/>
      <c r="N245" s="224"/>
      <c r="O245" s="224"/>
      <c r="P245" s="224"/>
      <c r="Q245" s="224"/>
    </row>
    <row r="246" spans="1:17" ht="35.1" customHeight="1" x14ac:dyDescent="0.35">
      <c r="A246" s="420" t="s">
        <v>10008</v>
      </c>
      <c r="B246" s="309" t="s">
        <v>8708</v>
      </c>
      <c r="C246" s="412"/>
      <c r="D246" s="246" t="s">
        <v>9782</v>
      </c>
      <c r="E246" s="224"/>
      <c r="F246" s="224"/>
      <c r="H246" s="224"/>
      <c r="I246" s="224"/>
      <c r="J246" s="224"/>
      <c r="K246" s="224"/>
      <c r="L246" s="224"/>
      <c r="M246" s="224"/>
      <c r="N246" s="224"/>
      <c r="O246" s="224"/>
      <c r="P246" s="224"/>
      <c r="Q246" s="224"/>
    </row>
    <row r="247" spans="1:17" ht="35.1" customHeight="1" x14ac:dyDescent="0.35">
      <c r="A247" s="421" t="s">
        <v>10009</v>
      </c>
      <c r="B247" s="285">
        <v>70</v>
      </c>
      <c r="C247" s="412"/>
      <c r="D247" s="246" t="s">
        <v>9754</v>
      </c>
      <c r="E247" s="224"/>
      <c r="F247" s="224"/>
      <c r="H247" s="224"/>
      <c r="I247" s="224"/>
      <c r="J247" s="224"/>
      <c r="K247" s="224"/>
      <c r="L247" s="224"/>
      <c r="M247" s="224"/>
      <c r="N247" s="224"/>
      <c r="O247" s="224"/>
      <c r="P247" s="224"/>
      <c r="Q247" s="224"/>
    </row>
    <row r="248" spans="1:17" ht="20.100000000000001" customHeight="1" x14ac:dyDescent="0.2">
      <c r="A248" s="225"/>
      <c r="B248" s="285">
        <f>'TANKS Calculations'!C154+459.67</f>
        <v>529.67000000000007</v>
      </c>
      <c r="C248" s="412"/>
      <c r="D248" s="246" t="s">
        <v>9755</v>
      </c>
      <c r="E248" s="224"/>
      <c r="F248" s="224"/>
      <c r="H248" s="224"/>
      <c r="I248" s="224"/>
      <c r="J248" s="224"/>
      <c r="K248" s="224"/>
      <c r="L248" s="224"/>
      <c r="M248" s="224"/>
      <c r="N248" s="224"/>
      <c r="O248" s="224"/>
      <c r="P248" s="224"/>
      <c r="Q248" s="224"/>
    </row>
    <row r="249" spans="1:17" ht="35.1" customHeight="1" x14ac:dyDescent="0.35">
      <c r="A249" s="422" t="s">
        <v>10010</v>
      </c>
      <c r="B249" s="285">
        <v>0.9</v>
      </c>
      <c r="C249" s="412"/>
      <c r="D249" s="246" t="s">
        <v>9881</v>
      </c>
      <c r="E249" s="224"/>
      <c r="F249" s="224"/>
      <c r="H249" s="224"/>
      <c r="I249" s="224"/>
    </row>
    <row r="250" spans="1:17" ht="30" customHeight="1" x14ac:dyDescent="0.2">
      <c r="A250" s="225" t="s">
        <v>9890</v>
      </c>
      <c r="B250" s="285">
        <v>0.8</v>
      </c>
      <c r="C250" s="412"/>
      <c r="D250" s="246" t="s">
        <v>9881</v>
      </c>
      <c r="E250" s="224"/>
      <c r="F250" s="224"/>
      <c r="H250" s="224"/>
      <c r="I250" s="224"/>
      <c r="J250" s="224"/>
      <c r="K250" s="224"/>
      <c r="L250" s="224"/>
      <c r="M250" s="224"/>
      <c r="N250" s="224"/>
      <c r="O250" s="224"/>
      <c r="P250" s="224"/>
      <c r="Q250" s="224"/>
    </row>
    <row r="251" spans="1:17" ht="30" customHeight="1" x14ac:dyDescent="0.2">
      <c r="A251" s="225" t="s">
        <v>9891</v>
      </c>
      <c r="B251" s="285">
        <f>'TANKS Calculations'!C156*(1+(0.00005912*'TANKS Calculations'!C151*'TANKS Calculations'!C154*LOG10('TANKS Calculations'!C153/114.7)))</f>
        <v>0.9</v>
      </c>
      <c r="C251" s="412"/>
      <c r="D251" s="246" t="s">
        <v>9881</v>
      </c>
      <c r="E251" s="224"/>
      <c r="G251" s="224"/>
      <c r="H251" s="224"/>
      <c r="I251" s="224"/>
      <c r="J251" s="224"/>
      <c r="K251" s="224"/>
      <c r="L251" s="224"/>
      <c r="M251" s="224"/>
      <c r="N251" s="224"/>
      <c r="O251" s="224"/>
      <c r="P251" s="224"/>
      <c r="Q251" s="224"/>
    </row>
    <row r="252" spans="1:17" ht="30" customHeight="1" x14ac:dyDescent="0.2">
      <c r="A252" s="422" t="s">
        <v>10011</v>
      </c>
      <c r="B252" s="245">
        <f>IF('TANKS Calculations'!C151&gt;=30,0.0178,0.0362)</f>
        <v>3.6200000000000003E-2</v>
      </c>
      <c r="C252" s="412"/>
      <c r="D252" s="246" t="s">
        <v>9881</v>
      </c>
      <c r="E252" s="224"/>
      <c r="G252" s="224"/>
      <c r="H252" s="224"/>
      <c r="I252" s="224"/>
      <c r="J252" s="224"/>
      <c r="K252" s="224"/>
      <c r="L252" s="224"/>
      <c r="M252" s="224"/>
      <c r="N252" s="224"/>
      <c r="O252" s="224"/>
      <c r="P252" s="224"/>
      <c r="Q252" s="224"/>
    </row>
    <row r="253" spans="1:17" ht="30" customHeight="1" x14ac:dyDescent="0.2">
      <c r="A253" s="422" t="s">
        <v>10012</v>
      </c>
      <c r="B253" s="285">
        <f>IF('TANKS Calculations'!C151&gt;=30,1.187,1.0937)</f>
        <v>1.0936999999999999</v>
      </c>
      <c r="C253" s="412"/>
      <c r="D253" s="246" t="s">
        <v>9881</v>
      </c>
      <c r="E253" s="224"/>
      <c r="G253" s="224"/>
      <c r="H253" s="224"/>
      <c r="I253" s="224"/>
      <c r="J253" s="224"/>
      <c r="K253" s="224"/>
      <c r="L253" s="224"/>
      <c r="M253" s="224"/>
      <c r="N253" s="224"/>
      <c r="O253" s="224"/>
      <c r="P253" s="224"/>
      <c r="Q253" s="224"/>
    </row>
    <row r="254" spans="1:17" ht="30" customHeight="1" x14ac:dyDescent="0.2">
      <c r="A254" s="422" t="s">
        <v>10013</v>
      </c>
      <c r="B254" s="285">
        <f>IF('TANKS Calculations'!C151&gt;=30,23.931,25.724)</f>
        <v>25.724</v>
      </c>
      <c r="C254" s="412"/>
      <c r="D254" s="246" t="s">
        <v>9881</v>
      </c>
      <c r="E254" s="224"/>
      <c r="G254" s="224"/>
      <c r="H254" s="224"/>
      <c r="I254" s="224"/>
      <c r="J254" s="224"/>
      <c r="K254" s="224"/>
      <c r="L254" s="224"/>
      <c r="M254" s="224"/>
      <c r="N254" s="224"/>
      <c r="O254" s="224"/>
      <c r="P254" s="224"/>
      <c r="Q254" s="224"/>
    </row>
    <row r="255" spans="1:17" ht="35.1" customHeight="1" x14ac:dyDescent="0.35">
      <c r="A255" s="225" t="s">
        <v>9892</v>
      </c>
      <c r="B255" s="285">
        <f>('TANKS Calculations'!C159*'TANKS Calculations'!C158*(('TANKS Calculations'!C153)^'TANKS Calculations'!C160))*EXP(('TANKS Calculations'!C161*'TANKS Calculations'!C151)/('TANKS Calculations'!C155))</f>
        <v>0.61609268022449837</v>
      </c>
      <c r="C255" s="412"/>
      <c r="D255" s="246" t="s">
        <v>9881</v>
      </c>
      <c r="E255" s="224"/>
      <c r="G255" s="224"/>
      <c r="H255" s="224"/>
      <c r="I255" s="224"/>
      <c r="J255" s="224"/>
      <c r="K255" s="224"/>
      <c r="L255" s="224"/>
      <c r="M255" s="224"/>
      <c r="N255" s="224"/>
      <c r="O255" s="224"/>
      <c r="P255" s="224"/>
      <c r="Q255" s="224"/>
    </row>
    <row r="256" spans="1:17" ht="45" customHeight="1" x14ac:dyDescent="0.2">
      <c r="A256" s="225" t="s">
        <v>9893</v>
      </c>
      <c r="B256" s="310">
        <v>2.635184989986297E-3</v>
      </c>
      <c r="C256" s="412"/>
      <c r="D256" s="246" t="s">
        <v>9886</v>
      </c>
      <c r="E256" s="224"/>
      <c r="G256" s="224"/>
      <c r="H256" s="224"/>
      <c r="I256" s="224"/>
      <c r="J256" s="224"/>
      <c r="K256" s="224"/>
      <c r="L256" s="224"/>
      <c r="M256" s="224"/>
      <c r="N256" s="224"/>
      <c r="O256" s="224"/>
      <c r="P256" s="224"/>
      <c r="Q256" s="224"/>
    </row>
    <row r="257" spans="1:17" ht="30" customHeight="1" thickBot="1" x14ac:dyDescent="0.25">
      <c r="A257" s="247" t="s">
        <v>9894</v>
      </c>
      <c r="B257" s="261">
        <f>'TANKS Calculations'!C162*'TANKS Calculations'!C17*IF(B12="Floating",'TANKS Calculations'!C76,'TANKS Calculations'!C64)*'TANKS Calculations'!C163</f>
        <v>0</v>
      </c>
      <c r="C257" s="413"/>
      <c r="D257" s="249" t="s">
        <v>9895</v>
      </c>
      <c r="E257" s="224"/>
      <c r="G257" s="224"/>
      <c r="H257" s="224"/>
      <c r="I257" s="224"/>
      <c r="J257" s="224"/>
      <c r="K257" s="224"/>
      <c r="L257" s="224"/>
      <c r="M257" s="224"/>
      <c r="N257" s="224"/>
      <c r="O257" s="224"/>
      <c r="P257" s="224"/>
      <c r="Q257" s="224"/>
    </row>
    <row r="258" spans="1:17" ht="30" customHeight="1" thickBot="1" x14ac:dyDescent="0.3">
      <c r="A258" s="161" t="s">
        <v>9896</v>
      </c>
      <c r="B258" s="312">
        <f>IF(OR(,ISBLANK(C240),C240="No",C241="Computer Simulation Modeling",C241="Direct Measurement"),0,IF(C241="Laboratory GOR",'TANKS Calculations'!C148*'TANKS Calculations'!C17*'TANKS Calculations'!C150*'TANKS Calculations'!C149,'TANKS Calculations'!C164*'TANKS Calculations'!C157))</f>
        <v>0</v>
      </c>
      <c r="C258" s="414"/>
      <c r="D258" s="313" t="s">
        <v>9895</v>
      </c>
      <c r="E258" s="224"/>
      <c r="F258" s="224"/>
      <c r="G258" s="224"/>
      <c r="H258" s="224"/>
      <c r="I258" s="224"/>
      <c r="J258" s="224"/>
      <c r="K258" s="224"/>
      <c r="L258" s="224"/>
      <c r="M258" s="224"/>
      <c r="N258" s="224"/>
      <c r="O258" s="224"/>
      <c r="P258" s="224"/>
      <c r="Q258" s="224"/>
    </row>
    <row r="259" spans="1:17" ht="30" customHeight="1" thickBot="1" x14ac:dyDescent="0.25">
      <c r="A259" s="1376" t="s">
        <v>8411</v>
      </c>
      <c r="B259" s="1376"/>
      <c r="C259" s="1376"/>
      <c r="D259" s="1376"/>
      <c r="E259" s="224"/>
      <c r="F259" s="224"/>
      <c r="G259" s="224"/>
    </row>
    <row r="260" spans="1:17" ht="44.25" customHeight="1" thickBot="1" x14ac:dyDescent="0.3">
      <c r="A260" s="1352" t="s">
        <v>9897</v>
      </c>
      <c r="B260" s="1358"/>
      <c r="C260" s="1358"/>
      <c r="D260" s="1359"/>
      <c r="E260" s="224"/>
      <c r="F260" s="224"/>
      <c r="G260" s="224"/>
      <c r="H260" s="224"/>
      <c r="I260" s="224"/>
      <c r="J260" s="224"/>
      <c r="K260" s="224"/>
      <c r="L260" s="224"/>
      <c r="M260" s="224"/>
      <c r="N260" s="224"/>
      <c r="O260" s="224"/>
      <c r="P260" s="224"/>
      <c r="Q260" s="224"/>
    </row>
    <row r="261" spans="1:17" ht="20.100000000000001" customHeight="1" thickBot="1" x14ac:dyDescent="0.3">
      <c r="A261" s="152" t="s">
        <v>9685</v>
      </c>
      <c r="B261" s="153" t="s">
        <v>9686</v>
      </c>
      <c r="C261" s="154" t="s">
        <v>9687</v>
      </c>
      <c r="D261" s="155" t="s">
        <v>9688</v>
      </c>
      <c r="E261" s="224"/>
      <c r="F261" s="224"/>
      <c r="G261" s="224"/>
      <c r="H261" s="224"/>
      <c r="I261" s="224"/>
      <c r="J261" s="224"/>
      <c r="K261" s="224"/>
      <c r="L261" s="224"/>
      <c r="M261" s="224"/>
      <c r="N261" s="224"/>
      <c r="O261" s="224"/>
      <c r="P261" s="224"/>
      <c r="Q261" s="224"/>
    </row>
    <row r="262" spans="1:17" ht="20.100000000000001" customHeight="1" x14ac:dyDescent="0.2">
      <c r="A262" s="266" t="s">
        <v>9898</v>
      </c>
      <c r="B262" s="267" t="s">
        <v>8708</v>
      </c>
      <c r="C262" s="417"/>
      <c r="D262" s="268" t="s">
        <v>9689</v>
      </c>
      <c r="E262" s="224"/>
      <c r="F262" s="224"/>
      <c r="G262" s="224"/>
      <c r="H262" s="224"/>
      <c r="I262" s="224"/>
      <c r="J262" s="224"/>
      <c r="K262" s="224"/>
      <c r="L262" s="224"/>
      <c r="M262" s="224"/>
      <c r="N262" s="224"/>
      <c r="O262" s="224"/>
      <c r="P262" s="224"/>
      <c r="Q262" s="224"/>
    </row>
    <row r="263" spans="1:17" ht="35.1" customHeight="1" x14ac:dyDescent="0.35">
      <c r="A263" s="349" t="s">
        <v>9899</v>
      </c>
      <c r="B263" s="291">
        <f>'TANKS Calculations'!C17</f>
        <v>0</v>
      </c>
      <c r="C263" s="397"/>
      <c r="D263" s="259" t="s">
        <v>9728</v>
      </c>
      <c r="E263" s="224"/>
      <c r="F263" s="224"/>
      <c r="G263" s="224"/>
      <c r="H263" s="224"/>
      <c r="I263" s="224"/>
      <c r="J263" s="224"/>
      <c r="K263" s="224"/>
      <c r="L263" s="224"/>
      <c r="M263" s="224"/>
      <c r="N263" s="224"/>
      <c r="O263" s="224"/>
      <c r="P263" s="224"/>
      <c r="Q263" s="224"/>
    </row>
    <row r="264" spans="1:17" ht="35.1" customHeight="1" x14ac:dyDescent="0.35">
      <c r="A264" s="256" t="s">
        <v>9900</v>
      </c>
      <c r="B264" s="301" t="s">
        <v>8708</v>
      </c>
      <c r="C264" s="397"/>
      <c r="D264" s="259" t="s">
        <v>9901</v>
      </c>
      <c r="E264" s="224"/>
      <c r="F264" s="224"/>
      <c r="G264" s="224"/>
      <c r="H264" s="224"/>
      <c r="I264" s="224"/>
      <c r="J264" s="224"/>
      <c r="K264" s="224"/>
      <c r="L264" s="224"/>
      <c r="M264" s="224"/>
      <c r="N264" s="224"/>
      <c r="O264" s="224"/>
      <c r="P264" s="224"/>
      <c r="Q264" s="224"/>
    </row>
    <row r="265" spans="1:17" ht="35.1" customHeight="1" thickBot="1" x14ac:dyDescent="0.4">
      <c r="A265" s="349" t="s">
        <v>10001</v>
      </c>
      <c r="B265" s="301" t="s">
        <v>8708</v>
      </c>
      <c r="C265" s="397"/>
      <c r="D265" s="259" t="s">
        <v>9689</v>
      </c>
      <c r="E265" s="224"/>
      <c r="F265" s="224"/>
      <c r="G265" s="224"/>
      <c r="H265" s="224"/>
      <c r="I265" s="224"/>
      <c r="J265" s="224"/>
      <c r="K265" s="224"/>
      <c r="L265" s="224"/>
      <c r="M265" s="224"/>
      <c r="N265" s="224"/>
      <c r="O265" s="224"/>
      <c r="P265" s="224"/>
      <c r="Q265" s="224"/>
    </row>
    <row r="266" spans="1:17" ht="30" customHeight="1" x14ac:dyDescent="0.25">
      <c r="A266" s="162" t="s">
        <v>9902</v>
      </c>
      <c r="B266" s="238">
        <f>IFERROR(IF(C262="yes",1,0)*0.024*IF(B12="Fixed",'TANKS Calculations'!C64,'TANKS Calculations'!C76)*'TANKS Calculations'!C51*('TANKS Calculations'!C166-('TANKS Calculations'!C167*'TANKS Calculations'!C168/4))/'TANKS Calculations'!C166,0)</f>
        <v>0</v>
      </c>
      <c r="C266" s="415"/>
      <c r="D266" s="314" t="s">
        <v>9903</v>
      </c>
      <c r="E266" s="224"/>
      <c r="F266" s="224"/>
      <c r="G266" s="224"/>
      <c r="H266" s="224"/>
      <c r="I266" s="224"/>
      <c r="J266" s="224"/>
      <c r="K266" s="224"/>
      <c r="L266" s="224"/>
      <c r="M266" s="224"/>
      <c r="N266" s="224"/>
      <c r="O266" s="224"/>
      <c r="P266" s="224"/>
      <c r="Q266" s="224"/>
    </row>
    <row r="267" spans="1:17" ht="20.100000000000001" customHeight="1" thickBot="1" x14ac:dyDescent="0.25">
      <c r="A267" s="230"/>
      <c r="B267" s="290">
        <f>'TANKS Calculations'!C169*'TANKS Calculations'!C166*0.042</f>
        <v>0</v>
      </c>
      <c r="C267" s="416"/>
      <c r="D267" s="231" t="s">
        <v>9895</v>
      </c>
      <c r="E267" s="224"/>
      <c r="F267" s="224"/>
      <c r="G267" s="224"/>
      <c r="H267" s="224"/>
      <c r="I267" s="224"/>
      <c r="J267" s="224"/>
      <c r="K267" s="224"/>
      <c r="L267" s="224"/>
      <c r="M267" s="224"/>
      <c r="N267" s="224"/>
      <c r="O267" s="224"/>
      <c r="P267" s="224"/>
      <c r="Q267" s="224"/>
    </row>
    <row r="268" spans="1:17" ht="30" customHeight="1" thickBot="1" x14ac:dyDescent="0.25">
      <c r="A268" s="1376" t="s">
        <v>8411</v>
      </c>
      <c r="B268" s="1376"/>
      <c r="C268" s="1376"/>
      <c r="D268" s="1376"/>
      <c r="E268" s="224"/>
      <c r="F268" s="224"/>
      <c r="G268" s="224"/>
      <c r="H268" s="224"/>
    </row>
    <row r="269" spans="1:17" ht="45" customHeight="1" thickBot="1" x14ac:dyDescent="0.3">
      <c r="A269" s="1352" t="s">
        <v>9904</v>
      </c>
      <c r="B269" s="1358"/>
      <c r="C269" s="1358"/>
      <c r="D269" s="1358"/>
      <c r="E269" s="1359"/>
      <c r="F269" s="224"/>
      <c r="G269" s="224"/>
      <c r="H269" s="224"/>
      <c r="I269" s="224"/>
      <c r="J269" s="224"/>
      <c r="K269" s="224"/>
      <c r="L269" s="224"/>
      <c r="M269" s="224"/>
      <c r="N269" s="224"/>
      <c r="O269" s="224"/>
      <c r="P269" s="224"/>
      <c r="Q269" s="224"/>
    </row>
    <row r="270" spans="1:17" ht="20.100000000000001" customHeight="1" x14ac:dyDescent="0.25">
      <c r="A270" s="163" t="s">
        <v>9905</v>
      </c>
      <c r="B270" s="164" t="s">
        <v>9686</v>
      </c>
      <c r="C270" s="165" t="s">
        <v>9688</v>
      </c>
      <c r="D270" s="164" t="s">
        <v>9686</v>
      </c>
      <c r="E270" s="165" t="s">
        <v>9688</v>
      </c>
      <c r="F270" s="224"/>
      <c r="G270" s="224"/>
      <c r="H270" s="224"/>
      <c r="I270" s="224"/>
      <c r="J270" s="224"/>
      <c r="K270" s="224"/>
      <c r="L270" s="224"/>
      <c r="M270" s="224"/>
      <c r="N270" s="224"/>
      <c r="O270" s="224"/>
      <c r="P270" s="224"/>
      <c r="Q270" s="224"/>
    </row>
    <row r="271" spans="1:17" ht="35.1" customHeight="1" x14ac:dyDescent="0.35">
      <c r="A271" s="284" t="s">
        <v>9906</v>
      </c>
      <c r="B271" s="285">
        <f>IF(B12="Fixed",365*'TANKS Calculations'!C61*'TANKS Calculations'!C63*'TANKS Calculations'!C66*'TANKS Calculations'!C65*'TANKS Calculations'!C53,0)</f>
        <v>0</v>
      </c>
      <c r="C271" s="246" t="s">
        <v>9895</v>
      </c>
      <c r="D271" s="285">
        <f>B271/2000</f>
        <v>0</v>
      </c>
      <c r="E271" s="246" t="s">
        <v>9907</v>
      </c>
      <c r="F271" s="224"/>
      <c r="G271" s="224"/>
      <c r="H271" s="224"/>
      <c r="I271" s="224"/>
      <c r="J271" s="224"/>
      <c r="K271" s="224"/>
      <c r="L271" s="224"/>
      <c r="M271" s="224"/>
      <c r="N271" s="224"/>
      <c r="O271" s="224"/>
      <c r="P271" s="224"/>
      <c r="Q271" s="224"/>
    </row>
    <row r="272" spans="1:17" ht="35.1" customHeight="1" x14ac:dyDescent="0.35">
      <c r="A272" s="284" t="s">
        <v>9908</v>
      </c>
      <c r="B272" s="285">
        <f>'TANKS Calculations'!C165</f>
        <v>0</v>
      </c>
      <c r="C272" s="246" t="s">
        <v>9895</v>
      </c>
      <c r="D272" s="285">
        <f>B272/2000</f>
        <v>0</v>
      </c>
      <c r="E272" s="246" t="s">
        <v>9907</v>
      </c>
      <c r="F272" s="224"/>
      <c r="G272" s="224"/>
      <c r="H272" s="224"/>
      <c r="I272" s="224"/>
      <c r="J272" s="224"/>
      <c r="K272" s="224"/>
      <c r="L272" s="224"/>
      <c r="M272" s="224"/>
      <c r="N272" s="224"/>
      <c r="O272" s="224"/>
      <c r="P272" s="224"/>
      <c r="Q272" s="224"/>
    </row>
    <row r="273" spans="1:17" ht="35.1" customHeight="1" x14ac:dyDescent="0.35">
      <c r="A273" s="284" t="s">
        <v>9909</v>
      </c>
      <c r="B273" s="285">
        <f>IF(C262="Yes",IF(B12="Fixed",'TANKS Calculations'!C170*'TANKS Calculations'!C53,0),0)</f>
        <v>0</v>
      </c>
      <c r="C273" s="246" t="s">
        <v>9895</v>
      </c>
      <c r="D273" s="252">
        <f>B273/2000</f>
        <v>0</v>
      </c>
      <c r="E273" s="227" t="s">
        <v>9907</v>
      </c>
      <c r="F273" s="224"/>
      <c r="G273" s="224"/>
      <c r="H273" s="224"/>
      <c r="I273" s="224"/>
      <c r="J273" s="224"/>
      <c r="K273" s="224"/>
      <c r="L273" s="224"/>
      <c r="M273" s="224"/>
      <c r="N273" s="224"/>
      <c r="O273" s="224"/>
      <c r="P273" s="224"/>
      <c r="Q273" s="224"/>
    </row>
    <row r="274" spans="1:17" ht="35.1" customHeight="1" x14ac:dyDescent="0.35">
      <c r="A274" s="233" t="s">
        <v>9910</v>
      </c>
      <c r="B274" s="252">
        <f>IF(B12="Fixed",'TANKS Calculations'!C20*'TANKS Calculations'!C21*'TANKS Calculations'!C4*'TANKS Calculations'!C63*'TANKS Calculations'!C68*'TANKS Calculations'!C53,0)</f>
        <v>0</v>
      </c>
      <c r="C274" s="227" t="s">
        <v>9895</v>
      </c>
      <c r="D274" s="252">
        <f>B274/2000</f>
        <v>0</v>
      </c>
      <c r="E274" s="227" t="s">
        <v>9907</v>
      </c>
      <c r="F274" s="224"/>
      <c r="G274" s="224"/>
      <c r="H274" s="224"/>
      <c r="I274" s="224"/>
      <c r="J274" s="224"/>
      <c r="K274" s="224"/>
      <c r="L274" s="224"/>
      <c r="M274" s="224"/>
      <c r="N274" s="224"/>
      <c r="O274" s="224"/>
      <c r="P274" s="224"/>
      <c r="Q274" s="224"/>
    </row>
    <row r="275" spans="1:17" ht="35.1" customHeight="1" thickBot="1" x14ac:dyDescent="0.35">
      <c r="A275" s="166" t="s">
        <v>9911</v>
      </c>
      <c r="B275" s="290">
        <f>B271+B273+B274</f>
        <v>0</v>
      </c>
      <c r="C275" s="231" t="s">
        <v>9895</v>
      </c>
      <c r="D275" s="290">
        <f>B275/2000</f>
        <v>0</v>
      </c>
      <c r="E275" s="231" t="s">
        <v>9907</v>
      </c>
      <c r="F275" s="224"/>
      <c r="G275" s="224"/>
      <c r="H275" s="224"/>
      <c r="I275" s="224"/>
      <c r="J275" s="224"/>
      <c r="K275" s="224"/>
      <c r="L275" s="224"/>
      <c r="M275" s="224"/>
      <c r="N275" s="224"/>
      <c r="O275" s="224"/>
      <c r="P275" s="224"/>
      <c r="Q275" s="224"/>
    </row>
    <row r="276" spans="1:17" ht="45" customHeight="1" thickBot="1" x14ac:dyDescent="0.3">
      <c r="A276" s="1352" t="s">
        <v>9912</v>
      </c>
      <c r="B276" s="1358"/>
      <c r="C276" s="1358"/>
      <c r="D276" s="1358"/>
      <c r="E276" s="1359"/>
      <c r="F276" s="224"/>
      <c r="G276" s="224"/>
      <c r="H276" s="224"/>
      <c r="I276" s="224"/>
      <c r="J276" s="224"/>
      <c r="K276" s="224"/>
      <c r="L276" s="224"/>
      <c r="M276" s="224"/>
      <c r="N276" s="224"/>
      <c r="O276" s="224"/>
      <c r="P276" s="224"/>
      <c r="Q276" s="224"/>
    </row>
    <row r="277" spans="1:17" ht="20.100000000000001" customHeight="1" thickBot="1" x14ac:dyDescent="0.3">
      <c r="A277" s="167" t="s">
        <v>9905</v>
      </c>
      <c r="B277" s="168" t="s">
        <v>9686</v>
      </c>
      <c r="C277" s="169" t="s">
        <v>9688</v>
      </c>
      <c r="D277" s="168" t="s">
        <v>9686</v>
      </c>
      <c r="E277" s="169" t="s">
        <v>9688</v>
      </c>
      <c r="F277" s="224"/>
      <c r="G277" s="224"/>
      <c r="H277" s="224"/>
      <c r="I277" s="224"/>
      <c r="J277" s="224"/>
      <c r="K277" s="224"/>
      <c r="L277" s="224"/>
      <c r="M277" s="224"/>
      <c r="N277" s="224"/>
      <c r="O277" s="224"/>
      <c r="P277" s="224"/>
      <c r="Q277" s="224"/>
    </row>
    <row r="278" spans="1:17" ht="35.1" customHeight="1" x14ac:dyDescent="0.35">
      <c r="A278" s="237" t="s">
        <v>9913</v>
      </c>
      <c r="B278" s="315">
        <f>IF(B12="Floating",IFERROR(('TANKS Calculations'!C73+'TANKS Calculations'!C74*('TANKS Calculations'!C77^'TANKS Calculations'!C75))*'TANKS Calculations'!C8*'TANKS Calculations'!C78*'TANKS Calculations'!C76*'TANKS Calculations'!C4,0)*'TANKS Calculations'!C53,0)</f>
        <v>0</v>
      </c>
      <c r="C278" s="268" t="s">
        <v>9895</v>
      </c>
      <c r="D278" s="315">
        <f t="shared" ref="D278:D290" si="7">B278/2000</f>
        <v>0</v>
      </c>
      <c r="E278" s="268" t="s">
        <v>9907</v>
      </c>
      <c r="F278" s="224"/>
      <c r="G278" s="224"/>
      <c r="H278" s="224"/>
      <c r="I278" s="224"/>
      <c r="J278" s="224"/>
      <c r="K278" s="224"/>
      <c r="L278" s="224"/>
      <c r="M278" s="224"/>
      <c r="N278" s="224"/>
      <c r="O278" s="224"/>
      <c r="P278" s="224"/>
      <c r="Q278" s="224"/>
    </row>
    <row r="279" spans="1:17" ht="35.1" customHeight="1" x14ac:dyDescent="0.35">
      <c r="A279" s="284" t="s">
        <v>9914</v>
      </c>
      <c r="B279" s="316">
        <f>IF(B12="Floating",'TANKS Calculations'!C84*'TANKS Calculations'!C78*'TANKS Calculations'!C76*'TANKS Calculations'!C4*'TANKS Calculations'!C53,0)</f>
        <v>0</v>
      </c>
      <c r="C279" s="246" t="s">
        <v>9895</v>
      </c>
      <c r="D279" s="316">
        <f t="shared" si="7"/>
        <v>0</v>
      </c>
      <c r="E279" s="246" t="s">
        <v>9907</v>
      </c>
      <c r="F279" s="224"/>
      <c r="G279" s="224"/>
      <c r="H279" s="224"/>
      <c r="I279" s="224"/>
      <c r="J279" s="224"/>
      <c r="K279" s="224"/>
      <c r="L279" s="224"/>
      <c r="M279" s="224"/>
      <c r="N279" s="224"/>
      <c r="O279" s="224"/>
      <c r="P279" s="224"/>
      <c r="Q279" s="224"/>
    </row>
    <row r="280" spans="1:17" ht="35.1" customHeight="1" x14ac:dyDescent="0.35">
      <c r="A280" s="233" t="s">
        <v>9915</v>
      </c>
      <c r="B280" s="260">
        <f>IF(B12="Floating",IF(OR(C183="Yes",C68="External Floating Roof",C68="Domed/Covered External Floating Roof"),0,'TANKS Calculations'!C88*'TANKS Calculations'!C87*'TANKS Calculations'!C78*'TANKS Calculations'!C76*'TANKS Calculations'!C4*('TANKS Calculations'!C8^2))*'TANKS Calculations'!C53,0)</f>
        <v>0</v>
      </c>
      <c r="C280" s="227" t="s">
        <v>9895</v>
      </c>
      <c r="D280" s="260">
        <f t="shared" si="7"/>
        <v>0</v>
      </c>
      <c r="E280" s="227" t="s">
        <v>9907</v>
      </c>
      <c r="F280" s="224"/>
      <c r="G280" s="224"/>
      <c r="H280" s="224"/>
      <c r="I280" s="224"/>
      <c r="J280" s="224"/>
      <c r="K280" s="224"/>
      <c r="L280" s="224"/>
      <c r="M280" s="224"/>
      <c r="N280" s="224"/>
      <c r="O280" s="224"/>
      <c r="P280" s="224"/>
      <c r="Q280" s="224"/>
    </row>
    <row r="281" spans="1:17" ht="35.1" customHeight="1" thickBot="1" x14ac:dyDescent="0.4">
      <c r="A281" s="317" t="s">
        <v>9916</v>
      </c>
      <c r="B281" s="318">
        <f>B278+B279+B280</f>
        <v>0</v>
      </c>
      <c r="C281" s="231" t="s">
        <v>9895</v>
      </c>
      <c r="D281" s="318">
        <f t="shared" si="7"/>
        <v>0</v>
      </c>
      <c r="E281" s="231" t="s">
        <v>9907</v>
      </c>
      <c r="F281" s="224"/>
      <c r="G281" s="224"/>
      <c r="H281" s="224"/>
      <c r="I281" s="224"/>
      <c r="J281" s="224"/>
      <c r="K281" s="224"/>
      <c r="L281" s="224"/>
      <c r="M281" s="224"/>
      <c r="N281" s="224"/>
      <c r="O281" s="224"/>
      <c r="P281" s="224"/>
      <c r="Q281" s="224"/>
    </row>
    <row r="282" spans="1:17" ht="35.1" customHeight="1" x14ac:dyDescent="0.35">
      <c r="A282" s="237" t="s">
        <v>9908</v>
      </c>
      <c r="B282" s="315">
        <f>'TANKS Calculations'!C165</f>
        <v>0</v>
      </c>
      <c r="C282" s="268" t="s">
        <v>9895</v>
      </c>
      <c r="D282" s="315">
        <f t="shared" si="7"/>
        <v>0</v>
      </c>
      <c r="E282" s="268" t="s">
        <v>9907</v>
      </c>
      <c r="F282" s="224"/>
      <c r="G282" s="224"/>
      <c r="H282" s="224"/>
      <c r="I282" s="224"/>
      <c r="J282" s="224"/>
      <c r="K282" s="224"/>
      <c r="L282" s="224"/>
      <c r="M282" s="224"/>
      <c r="N282" s="224"/>
      <c r="O282" s="224"/>
      <c r="P282" s="224"/>
      <c r="Q282" s="224"/>
    </row>
    <row r="283" spans="1:17" ht="35.1" customHeight="1" x14ac:dyDescent="0.35">
      <c r="A283" s="284" t="s">
        <v>9917</v>
      </c>
      <c r="B283" s="316">
        <f>IFERROR(IF(B12="Floating",(0.943*'TANKS Calculations'!C17*'TANKS Calculations'!C80*'TANKS Calculations'!C83*(1+('TANKS Calculations'!C81*'TANKS Calculations'!C82/'TANKS Calculations'!C8))/'TANKS Calculations'!C8)*'TANKS Calculations'!C53,0),0)</f>
        <v>0</v>
      </c>
      <c r="C283" s="246" t="s">
        <v>9895</v>
      </c>
      <c r="D283" s="316">
        <f>B283/2000</f>
        <v>0</v>
      </c>
      <c r="E283" s="246" t="s">
        <v>9907</v>
      </c>
      <c r="F283" s="224"/>
      <c r="G283" s="224"/>
      <c r="H283" s="224"/>
      <c r="I283" s="224"/>
      <c r="J283" s="224"/>
      <c r="K283" s="224"/>
      <c r="L283" s="224"/>
      <c r="M283" s="224"/>
      <c r="N283" s="224"/>
      <c r="O283" s="224"/>
      <c r="P283" s="224"/>
      <c r="Q283" s="224"/>
    </row>
    <row r="284" spans="1:17" ht="35.1" customHeight="1" x14ac:dyDescent="0.35">
      <c r="A284" s="284" t="s">
        <v>9909</v>
      </c>
      <c r="B284" s="285">
        <f>IFERROR(IF(B12="Floating",'TANKS Calculations'!C170*'TANKS Calculations'!C53,0),0)</f>
        <v>0</v>
      </c>
      <c r="C284" s="246" t="s">
        <v>9895</v>
      </c>
      <c r="D284" s="252">
        <f>B284/2000</f>
        <v>0</v>
      </c>
      <c r="E284" s="227" t="s">
        <v>9907</v>
      </c>
      <c r="F284" s="224"/>
      <c r="G284" s="224"/>
      <c r="H284" s="224"/>
      <c r="I284" s="224"/>
      <c r="J284" s="224"/>
      <c r="K284" s="224"/>
      <c r="L284" s="224"/>
      <c r="M284" s="224"/>
      <c r="N284" s="224"/>
      <c r="O284" s="224"/>
      <c r="P284" s="224"/>
      <c r="Q284" s="224"/>
    </row>
    <row r="285" spans="1:17" ht="35.1" customHeight="1" thickBot="1" x14ac:dyDescent="0.35">
      <c r="A285" s="166" t="s">
        <v>9918</v>
      </c>
      <c r="B285" s="318">
        <f>B281+B283+B284</f>
        <v>0</v>
      </c>
      <c r="C285" s="231" t="s">
        <v>9895</v>
      </c>
      <c r="D285" s="318">
        <f>B285/2000</f>
        <v>0</v>
      </c>
      <c r="E285" s="231" t="s">
        <v>9907</v>
      </c>
      <c r="F285" s="224"/>
      <c r="G285" s="224"/>
      <c r="H285" s="224"/>
      <c r="I285" s="224"/>
      <c r="J285" s="224"/>
      <c r="K285" s="224"/>
      <c r="L285" s="224"/>
      <c r="M285" s="224"/>
      <c r="N285" s="224"/>
      <c r="O285" s="224"/>
      <c r="P285" s="224"/>
      <c r="Q285" s="224"/>
    </row>
    <row r="286" spans="1:17" ht="35.1" customHeight="1" x14ac:dyDescent="0.35">
      <c r="A286" s="237" t="s">
        <v>9919</v>
      </c>
      <c r="B286" s="315">
        <f>IF(B12="Floating",0.57*'TANKS Calculations'!C101*'TANKS Calculations'!C97*'TANKS Calculations'!C96*'TANKS Calculations'!C53,0)</f>
        <v>0</v>
      </c>
      <c r="C286" s="268" t="s">
        <v>9895</v>
      </c>
      <c r="D286" s="315">
        <f>B286/2000</f>
        <v>0</v>
      </c>
      <c r="E286" s="268" t="s">
        <v>9907</v>
      </c>
      <c r="F286" s="224"/>
      <c r="G286" s="224"/>
      <c r="H286" s="224"/>
      <c r="I286" s="224"/>
      <c r="J286" s="224"/>
      <c r="K286" s="224"/>
      <c r="L286" s="224"/>
      <c r="M286" s="224"/>
      <c r="N286" s="224"/>
      <c r="O286" s="224"/>
      <c r="P286" s="224"/>
      <c r="Q286" s="224"/>
    </row>
    <row r="287" spans="1:17" ht="35.1" customHeight="1" x14ac:dyDescent="0.35">
      <c r="A287" s="284" t="s">
        <v>9920</v>
      </c>
      <c r="B287" s="316">
        <f>IF(B12="Floating",MIN(IF(C68="Internal Floating Roof",IF(ISBLANK(C203),365,'TANKS Calculations'!C101)*'TANKS Calculations'!C61*'TANKS Calculations'!C98*'TANKS Calculations'!C99*'TANKS Calculations'!C100,0.57*'TANKS Calculations'!C101*'TANKS Calculations'!C78*'TANKS Calculations'!C96*'TANKS Calculations'!C8),'TANKS Calculations'!C91)*'TANKS Calculations'!C53,0)</f>
        <v>0</v>
      </c>
      <c r="C287" s="246" t="s">
        <v>9895</v>
      </c>
      <c r="D287" s="316">
        <f t="shared" si="7"/>
        <v>0</v>
      </c>
      <c r="E287" s="246" t="s">
        <v>9907</v>
      </c>
      <c r="F287" s="224"/>
      <c r="G287" s="224"/>
      <c r="H287" s="224"/>
      <c r="I287" s="224"/>
      <c r="J287" s="224"/>
      <c r="K287" s="224"/>
      <c r="L287" s="224"/>
      <c r="M287" s="224"/>
      <c r="N287" s="224"/>
      <c r="O287" s="224"/>
      <c r="P287" s="224"/>
      <c r="Q287" s="224"/>
    </row>
    <row r="288" spans="1:17" ht="35.1" customHeight="1" x14ac:dyDescent="0.35">
      <c r="A288" s="284" t="s">
        <v>9921</v>
      </c>
      <c r="B288" s="316">
        <f>IF(B12="Floating",IFERROR(IF(C262="Yes",0.024*'TANKS Calculations'!C96*'TANKS Calculations'!C93*('TANKS Calculations'!C166-(0.25*'TANKS Calculations'!C167*'TANKS Calculations'!C168))/'TANKS Calculations'!C166,'TANKS Calculations'!C106*'TANKS Calculations'!C104*'TANKS Calculations'!C96*'TANKS Calculations'!C105),0),0)*'TANKS Calculations'!C53</f>
        <v>0</v>
      </c>
      <c r="C288" s="246" t="s">
        <v>9895</v>
      </c>
      <c r="D288" s="316">
        <f>B288/2000</f>
        <v>0</v>
      </c>
      <c r="E288" s="246" t="s">
        <v>9907</v>
      </c>
      <c r="F288" s="224"/>
      <c r="G288" s="224"/>
      <c r="H288" s="224"/>
      <c r="I288" s="224"/>
      <c r="J288" s="224"/>
      <c r="K288" s="224"/>
      <c r="L288" s="224"/>
      <c r="M288" s="224"/>
      <c r="N288" s="224"/>
      <c r="O288" s="224"/>
      <c r="P288" s="224"/>
      <c r="Q288" s="224"/>
    </row>
    <row r="289" spans="1:17" ht="35.1" customHeight="1" x14ac:dyDescent="0.35">
      <c r="A289" s="233" t="s">
        <v>9922</v>
      </c>
      <c r="B289" s="260">
        <f>IF(B12="Floating",IF(OR(C190="Drain dry",C180="Drain-dry"),MIN(0.042*'TANKS Calculations'!C80*'TANKS Calculations'!C102*'TANKS Calculations'!C83,'TANKS Calculations'!C91,'TANKS Calculations'!C103),0)*'TANKS Calculations'!C53,0)</f>
        <v>0</v>
      </c>
      <c r="C289" s="246" t="s">
        <v>9895</v>
      </c>
      <c r="D289" s="316">
        <f>B289/2000</f>
        <v>0</v>
      </c>
      <c r="E289" s="246" t="s">
        <v>9907</v>
      </c>
      <c r="F289" s="224"/>
      <c r="G289" s="224"/>
      <c r="H289" s="224"/>
      <c r="I289" s="224"/>
      <c r="J289" s="224"/>
      <c r="K289" s="224"/>
      <c r="L289" s="224"/>
      <c r="M289" s="224"/>
      <c r="N289" s="224"/>
      <c r="O289" s="224"/>
      <c r="P289" s="224"/>
      <c r="Q289" s="224"/>
    </row>
    <row r="290" spans="1:17" ht="35.1" customHeight="1" thickBot="1" x14ac:dyDescent="0.35">
      <c r="A290" s="170" t="s">
        <v>9923</v>
      </c>
      <c r="B290" s="319">
        <f>B286+B287+B288+B289</f>
        <v>0</v>
      </c>
      <c r="C290" s="264" t="s">
        <v>9895</v>
      </c>
      <c r="D290" s="319">
        <f t="shared" si="7"/>
        <v>0</v>
      </c>
      <c r="E290" s="264" t="s">
        <v>9907</v>
      </c>
      <c r="F290" s="224"/>
      <c r="G290" s="224"/>
      <c r="H290" s="224"/>
      <c r="I290" s="224"/>
      <c r="J290" s="224"/>
      <c r="K290" s="224"/>
      <c r="L290" s="224"/>
      <c r="M290" s="224"/>
      <c r="N290" s="224"/>
      <c r="O290" s="224"/>
      <c r="P290" s="224"/>
      <c r="Q290" s="224"/>
    </row>
    <row r="291" spans="1:17" ht="35.1" customHeight="1" thickBot="1" x14ac:dyDescent="0.3">
      <c r="A291" s="166" t="s">
        <v>9924</v>
      </c>
      <c r="B291" s="318">
        <f>B285+B290</f>
        <v>0</v>
      </c>
      <c r="C291" s="231" t="s">
        <v>9895</v>
      </c>
      <c r="D291" s="318">
        <f>B291/2000</f>
        <v>0</v>
      </c>
      <c r="E291" s="231" t="s">
        <v>9907</v>
      </c>
      <c r="F291" s="224"/>
      <c r="G291" s="224"/>
      <c r="H291" s="224"/>
      <c r="I291" s="224"/>
      <c r="J291" s="224"/>
      <c r="K291" s="224"/>
      <c r="L291" s="224"/>
      <c r="M291" s="224"/>
      <c r="N291" s="224"/>
      <c r="O291" s="224"/>
      <c r="P291" s="224"/>
      <c r="Q291" s="224"/>
    </row>
    <row r="292" spans="1:17" ht="41.25" customHeight="1" thickBot="1" x14ac:dyDescent="0.3">
      <c r="A292" s="1352" t="s">
        <v>9925</v>
      </c>
      <c r="B292" s="1358"/>
      <c r="C292" s="1358"/>
      <c r="D292" s="1358"/>
      <c r="E292" s="1359"/>
      <c r="F292" s="224"/>
      <c r="G292" s="224"/>
      <c r="H292" s="224"/>
      <c r="I292" s="224"/>
      <c r="J292" s="224"/>
      <c r="K292" s="224"/>
      <c r="L292" s="224"/>
      <c r="M292" s="224"/>
      <c r="N292" s="224"/>
      <c r="O292" s="224"/>
      <c r="P292" s="224"/>
      <c r="Q292" s="224"/>
    </row>
    <row r="293" spans="1:17" ht="20.100000000000001" customHeight="1" thickBot="1" x14ac:dyDescent="0.3">
      <c r="A293" s="167" t="s">
        <v>9905</v>
      </c>
      <c r="B293" s="168" t="s">
        <v>9686</v>
      </c>
      <c r="C293" s="169" t="s">
        <v>9688</v>
      </c>
      <c r="D293" s="168" t="s">
        <v>9686</v>
      </c>
      <c r="E293" s="169" t="s">
        <v>9688</v>
      </c>
      <c r="F293" s="224"/>
      <c r="G293" s="224"/>
      <c r="H293" s="224"/>
      <c r="I293" s="224"/>
      <c r="J293" s="224"/>
      <c r="K293" s="224"/>
      <c r="L293" s="224"/>
      <c r="M293" s="224"/>
      <c r="N293" s="224"/>
      <c r="O293" s="224"/>
      <c r="P293" s="224"/>
      <c r="Q293" s="224"/>
    </row>
    <row r="294" spans="1:17" ht="33" x14ac:dyDescent="0.35">
      <c r="A294" s="266" t="s">
        <v>9926</v>
      </c>
      <c r="B294" s="315">
        <f>IF('TANKS Calculations'!C119=0,0,'TANKS Calculations'!C124*'TANKS Calculations'!C128*'TANKS Calculations'!C120)*'TANKS Calculations'!C53</f>
        <v>0</v>
      </c>
      <c r="C294" s="268" t="s">
        <v>9927</v>
      </c>
      <c r="D294" s="315">
        <f>B294*'TANKS Calculations'!$C$119</f>
        <v>0</v>
      </c>
      <c r="E294" s="268" t="s">
        <v>9895</v>
      </c>
      <c r="F294" s="224"/>
      <c r="G294" s="224"/>
      <c r="H294" s="224"/>
      <c r="I294" s="224"/>
      <c r="J294" s="224"/>
      <c r="K294" s="224"/>
      <c r="L294" s="224"/>
      <c r="M294" s="224"/>
      <c r="N294" s="224"/>
      <c r="O294" s="224"/>
      <c r="P294" s="224"/>
      <c r="Q294" s="224"/>
    </row>
    <row r="295" spans="1:17" ht="33" x14ac:dyDescent="0.35">
      <c r="A295" s="228" t="s">
        <v>9928</v>
      </c>
      <c r="B295" s="260">
        <f>IF('TANKS Calculations'!C119=0,0,'TANKS Calculations'!C146+'TANKS Calculations'!C147)*'TANKS Calculations'!C53</f>
        <v>0</v>
      </c>
      <c r="C295" s="227" t="s">
        <v>9927</v>
      </c>
      <c r="D295" s="260">
        <f>B295*'TANKS Calculations'!$C$119</f>
        <v>0</v>
      </c>
      <c r="E295" s="227" t="s">
        <v>9895</v>
      </c>
      <c r="F295" s="224"/>
      <c r="G295" s="224"/>
      <c r="H295" s="224"/>
      <c r="I295" s="224"/>
      <c r="J295" s="224"/>
      <c r="K295" s="224"/>
      <c r="L295" s="224"/>
      <c r="M295" s="224"/>
      <c r="N295" s="224"/>
      <c r="O295" s="224"/>
      <c r="P295" s="224"/>
      <c r="Q295" s="224"/>
    </row>
    <row r="296" spans="1:17" ht="32.25" thickBot="1" x14ac:dyDescent="0.35">
      <c r="A296" s="171" t="s">
        <v>9929</v>
      </c>
      <c r="B296" s="318">
        <f>B294+B295</f>
        <v>0</v>
      </c>
      <c r="C296" s="231" t="s">
        <v>9927</v>
      </c>
      <c r="D296" s="318">
        <f>D294+D295</f>
        <v>0</v>
      </c>
      <c r="E296" s="231" t="s">
        <v>9895</v>
      </c>
      <c r="F296" s="224"/>
      <c r="G296" s="224"/>
      <c r="H296" s="224"/>
      <c r="I296" s="224"/>
      <c r="J296" s="224"/>
      <c r="K296" s="224"/>
      <c r="L296" s="224"/>
      <c r="M296" s="224"/>
      <c r="N296" s="224"/>
      <c r="O296" s="224"/>
      <c r="P296" s="224"/>
      <c r="Q296" s="224"/>
    </row>
    <row r="297" spans="1:17" ht="56.25" customHeight="1" thickBot="1" x14ac:dyDescent="0.3">
      <c r="A297" s="152" t="s">
        <v>9930</v>
      </c>
      <c r="B297" s="320">
        <f>D296+B291+B275</f>
        <v>0</v>
      </c>
      <c r="C297" s="313" t="s">
        <v>9895</v>
      </c>
      <c r="D297" s="320">
        <f>B297/2000</f>
        <v>0</v>
      </c>
      <c r="E297" s="313" t="s">
        <v>9907</v>
      </c>
      <c r="F297" s="224"/>
      <c r="G297" s="224"/>
      <c r="H297" s="224"/>
      <c r="I297" s="224"/>
      <c r="J297" s="224"/>
      <c r="K297" s="224"/>
      <c r="L297" s="224"/>
      <c r="M297" s="224"/>
      <c r="N297" s="224"/>
      <c r="O297" s="224"/>
      <c r="P297" s="224"/>
      <c r="Q297" s="224"/>
    </row>
    <row r="298" spans="1:17" ht="30" customHeight="1" thickBot="1" x14ac:dyDescent="0.25">
      <c r="A298" s="1376" t="s">
        <v>8411</v>
      </c>
      <c r="B298" s="1376"/>
      <c r="C298" s="1376"/>
      <c r="D298" s="1376"/>
      <c r="E298" s="1376"/>
      <c r="F298" s="224"/>
      <c r="G298" s="224"/>
      <c r="H298" s="224"/>
      <c r="I298" s="224"/>
      <c r="J298" s="224"/>
      <c r="K298" s="224"/>
      <c r="L298" s="224"/>
      <c r="M298" s="224"/>
      <c r="N298" s="224"/>
      <c r="O298" s="224"/>
      <c r="P298" s="224"/>
      <c r="Q298" s="224"/>
    </row>
    <row r="299" spans="1:17" ht="45" customHeight="1" thickBot="1" x14ac:dyDescent="0.3">
      <c r="A299" s="1352" t="s">
        <v>9931</v>
      </c>
      <c r="B299" s="1353"/>
      <c r="C299" s="1353"/>
      <c r="D299" s="1353"/>
      <c r="E299" s="1353"/>
      <c r="F299" s="1353"/>
      <c r="G299" s="1353"/>
      <c r="H299" s="1353"/>
      <c r="I299" s="1353"/>
      <c r="J299" s="1353"/>
      <c r="K299" s="1353"/>
      <c r="L299" s="1353"/>
      <c r="M299" s="1353"/>
      <c r="N299" s="1353"/>
      <c r="O299" s="1353"/>
      <c r="P299" s="1353"/>
      <c r="Q299" s="1354"/>
    </row>
    <row r="300" spans="1:17" ht="20.100000000000001" customHeight="1" x14ac:dyDescent="0.25">
      <c r="A300" s="146" t="s">
        <v>9502</v>
      </c>
      <c r="B300" s="147" t="s">
        <v>9503</v>
      </c>
      <c r="C300" s="148" t="s">
        <v>9504</v>
      </c>
      <c r="D300" s="148" t="s">
        <v>9505</v>
      </c>
      <c r="E300" s="148" t="s">
        <v>9506</v>
      </c>
      <c r="F300" s="148" t="s">
        <v>9507</v>
      </c>
      <c r="G300" s="148" t="s">
        <v>9508</v>
      </c>
      <c r="H300" s="148" t="s">
        <v>9509</v>
      </c>
      <c r="I300" s="148" t="s">
        <v>9510</v>
      </c>
      <c r="J300" s="148" t="s">
        <v>9511</v>
      </c>
      <c r="K300" s="150" t="s">
        <v>9512</v>
      </c>
      <c r="L300" s="148" t="s">
        <v>9513</v>
      </c>
      <c r="M300" s="148" t="s">
        <v>9514</v>
      </c>
      <c r="N300" s="150" t="s">
        <v>9515</v>
      </c>
      <c r="O300" s="148" t="s">
        <v>9516</v>
      </c>
      <c r="P300" s="148" t="s">
        <v>9517</v>
      </c>
      <c r="Q300" s="146" t="s">
        <v>1</v>
      </c>
    </row>
    <row r="301" spans="1:17" ht="20.100000000000001" customHeight="1" x14ac:dyDescent="0.2">
      <c r="A301" s="228" t="s">
        <v>9932</v>
      </c>
      <c r="B301" s="280" t="str">
        <f t="shared" ref="B301:P301" si="8">IF(ISBLANK(B18),"",B18)</f>
        <v/>
      </c>
      <c r="C301" s="280" t="str">
        <f t="shared" si="8"/>
        <v/>
      </c>
      <c r="D301" s="280" t="str">
        <f t="shared" si="8"/>
        <v/>
      </c>
      <c r="E301" s="280" t="str">
        <f t="shared" si="8"/>
        <v/>
      </c>
      <c r="F301" s="280" t="str">
        <f t="shared" si="8"/>
        <v/>
      </c>
      <c r="G301" s="280" t="str">
        <f t="shared" si="8"/>
        <v/>
      </c>
      <c r="H301" s="280" t="str">
        <f t="shared" si="8"/>
        <v/>
      </c>
      <c r="I301" s="280" t="str">
        <f t="shared" si="8"/>
        <v/>
      </c>
      <c r="J301" s="280" t="str">
        <f t="shared" si="8"/>
        <v/>
      </c>
      <c r="K301" s="280" t="str">
        <f t="shared" si="8"/>
        <v/>
      </c>
      <c r="L301" s="280" t="str">
        <f t="shared" si="8"/>
        <v/>
      </c>
      <c r="M301" s="280" t="str">
        <f t="shared" si="8"/>
        <v/>
      </c>
      <c r="N301" s="280" t="str">
        <f t="shared" si="8"/>
        <v/>
      </c>
      <c r="O301" s="280" t="str">
        <f t="shared" si="8"/>
        <v/>
      </c>
      <c r="P301" s="280" t="str">
        <f t="shared" si="8"/>
        <v/>
      </c>
      <c r="Q301" s="232"/>
    </row>
    <row r="302" spans="1:17" ht="20.100000000000001" customHeight="1" x14ac:dyDescent="0.2">
      <c r="A302" s="233" t="s">
        <v>9933</v>
      </c>
      <c r="B302" s="252" t="str">
        <f>IF(ISBLANK(B18),"",'TANKS Calculations'!H37)</f>
        <v/>
      </c>
      <c r="C302" s="252" t="str">
        <f>IF(ISBLANK(C18),"",'TANKS Calculations'!I37)</f>
        <v/>
      </c>
      <c r="D302" s="252" t="str">
        <f>IF(ISBLANK(D18),"",'TANKS Calculations'!J37)</f>
        <v/>
      </c>
      <c r="E302" s="252" t="str">
        <f>IF(ISBLANK(E18),"",'TANKS Calculations'!K37)</f>
        <v/>
      </c>
      <c r="F302" s="252" t="str">
        <f>IF(ISBLANK(F18),"",'TANKS Calculations'!L37)</f>
        <v/>
      </c>
      <c r="G302" s="252" t="str">
        <f>IF(ISBLANK(G18),"",'TANKS Calculations'!M37)</f>
        <v/>
      </c>
      <c r="H302" s="252" t="str">
        <f>IF(ISBLANK(H18),"",'TANKS Calculations'!N37)</f>
        <v/>
      </c>
      <c r="I302" s="252" t="str">
        <f>IF(ISBLANK(I18),"",'TANKS Calculations'!O37)</f>
        <v/>
      </c>
      <c r="J302" s="252" t="str">
        <f>IF(ISBLANK(J18),"",'TANKS Calculations'!P37)</f>
        <v/>
      </c>
      <c r="K302" s="252" t="str">
        <f>IF(ISBLANK(K18),"",'TANKS Calculations'!Q37)</f>
        <v/>
      </c>
      <c r="L302" s="252" t="str">
        <f>IF(ISBLANK(L18),"",'TANKS Calculations'!R37)</f>
        <v/>
      </c>
      <c r="M302" s="252" t="str">
        <f>IF(ISBLANK(M18),"",'TANKS Calculations'!S37)</f>
        <v/>
      </c>
      <c r="N302" s="252" t="str">
        <f>IF(ISBLANK(N18),"",'TANKS Calculations'!T37)</f>
        <v/>
      </c>
      <c r="O302" s="252" t="str">
        <f>IF(ISBLANK(O18),"",'TANKS Calculations'!U37)</f>
        <v/>
      </c>
      <c r="P302" s="252" t="str">
        <f>IF(ISBLANK(P18),"",'TANKS Calculations'!V37)</f>
        <v/>
      </c>
      <c r="Q302" s="288">
        <f>SUM(B302:P302)</f>
        <v>0</v>
      </c>
    </row>
    <row r="303" spans="1:17" ht="20.100000000000001" customHeight="1" x14ac:dyDescent="0.2">
      <c r="A303" s="233" t="s">
        <v>9934</v>
      </c>
      <c r="B303" s="277" t="str">
        <f>IF(ISBLANK(B18),"",'TANKS Calculations'!H49)</f>
        <v/>
      </c>
      <c r="C303" s="252" t="str">
        <f>IF(ISBLANK(C18),"",'TANKS Calculations'!I49)</f>
        <v/>
      </c>
      <c r="D303" s="252" t="str">
        <f>IF(ISBLANK(D18),"",'TANKS Calculations'!J49)</f>
        <v/>
      </c>
      <c r="E303" s="252" t="str">
        <f>IF(ISBLANK(E18),"",'TANKS Calculations'!K49)</f>
        <v/>
      </c>
      <c r="F303" s="252" t="str">
        <f>IF(ISBLANK(F18),"",'TANKS Calculations'!L49)</f>
        <v/>
      </c>
      <c r="G303" s="252" t="str">
        <f>IF(ISBLANK(G18),"",'TANKS Calculations'!M49)</f>
        <v/>
      </c>
      <c r="H303" s="252" t="str">
        <f>IF(ISBLANK(H18),"",'TANKS Calculations'!N49)</f>
        <v/>
      </c>
      <c r="I303" s="252" t="str">
        <f>IF(ISBLANK(I18),"",'TANKS Calculations'!O49)</f>
        <v/>
      </c>
      <c r="J303" s="252" t="str">
        <f>IF(ISBLANK(J18),"",'TANKS Calculations'!P49)</f>
        <v/>
      </c>
      <c r="K303" s="252" t="str">
        <f>IF(ISBLANK(K18),"",'TANKS Calculations'!Q49)</f>
        <v/>
      </c>
      <c r="L303" s="252" t="str">
        <f>IF(ISBLANK(L18),"",'TANKS Calculations'!R49)</f>
        <v/>
      </c>
      <c r="M303" s="252" t="str">
        <f>IF(ISBLANK(M18),"",'TANKS Calculations'!S49)</f>
        <v/>
      </c>
      <c r="N303" s="252" t="str">
        <f>IF(ISBLANK(N18),"",'TANKS Calculations'!T49)</f>
        <v/>
      </c>
      <c r="O303" s="252" t="str">
        <f>IF(ISBLANK(O18),"",'TANKS Calculations'!U49)</f>
        <v/>
      </c>
      <c r="P303" s="252" t="str">
        <f>IF(ISBLANK(P18),"",'TANKS Calculations'!V49)</f>
        <v/>
      </c>
      <c r="Q303" s="288">
        <f>SUM(B303:P303)</f>
        <v>0</v>
      </c>
    </row>
    <row r="304" spans="1:17" ht="20.100000000000001" customHeight="1" x14ac:dyDescent="0.2">
      <c r="A304" s="233" t="s">
        <v>9935</v>
      </c>
      <c r="B304" s="252" t="str">
        <f>IF(ISBLANK(B18),"",'TANKS Calculations'!H52)</f>
        <v/>
      </c>
      <c r="C304" s="252" t="str">
        <f>IF(ISBLANK(C18),"",'TANKS Calculations'!I52)</f>
        <v/>
      </c>
      <c r="D304" s="252" t="str">
        <f>IF(ISBLANK(D18),"",'TANKS Calculations'!J52)</f>
        <v/>
      </c>
      <c r="E304" s="252" t="str">
        <f>IF(ISBLANK(E18),"",'TANKS Calculations'!K52)</f>
        <v/>
      </c>
      <c r="F304" s="252" t="str">
        <f>IF(ISBLANK(F18),"",'TANKS Calculations'!L52)</f>
        <v/>
      </c>
      <c r="G304" s="252" t="str">
        <f>IF(ISBLANK(G18),"",'TANKS Calculations'!M52)</f>
        <v/>
      </c>
      <c r="H304" s="252" t="str">
        <f>IF(ISBLANK(H18),"",'TANKS Calculations'!N52)</f>
        <v/>
      </c>
      <c r="I304" s="252" t="str">
        <f>IF(ISBLANK(I18),"",'TANKS Calculations'!O52)</f>
        <v/>
      </c>
      <c r="J304" s="252" t="str">
        <f>IF(ISBLANK(J18),"",'TANKS Calculations'!P52)</f>
        <v/>
      </c>
      <c r="K304" s="252" t="str">
        <f>IF(ISBLANK(K18),"",'TANKS Calculations'!Q52)</f>
        <v/>
      </c>
      <c r="L304" s="252" t="str">
        <f>IF(ISBLANK(L18),"",'TANKS Calculations'!R52)</f>
        <v/>
      </c>
      <c r="M304" s="252" t="str">
        <f>IF(ISBLANK(M18),"",'TANKS Calculations'!S52)</f>
        <v/>
      </c>
      <c r="N304" s="252" t="str">
        <f>IF(ISBLANK(N18),"",'TANKS Calculations'!T52)</f>
        <v/>
      </c>
      <c r="O304" s="252" t="str">
        <f>IF(ISBLANK(O18),"",'TANKS Calculations'!U52)</f>
        <v/>
      </c>
      <c r="P304" s="252" t="str">
        <f>IF(ISBLANK(P18),"",'TANKS Calculations'!V52)</f>
        <v/>
      </c>
      <c r="Q304" s="288">
        <f>SUM(B304:P304)</f>
        <v>0</v>
      </c>
    </row>
    <row r="305" spans="1:17" ht="20.100000000000001" customHeight="1" thickBot="1" x14ac:dyDescent="0.25">
      <c r="A305" s="240" t="s">
        <v>9936</v>
      </c>
      <c r="B305" s="258" t="str">
        <f t="shared" ref="B305:P305" si="9">IF(ISBLANK(B18),"",IFERROR(B303*B302/$Q$304,0))</f>
        <v/>
      </c>
      <c r="C305" s="258" t="str">
        <f t="shared" si="9"/>
        <v/>
      </c>
      <c r="D305" s="258" t="str">
        <f t="shared" si="9"/>
        <v/>
      </c>
      <c r="E305" s="258" t="str">
        <f t="shared" si="9"/>
        <v/>
      </c>
      <c r="F305" s="258" t="str">
        <f t="shared" si="9"/>
        <v/>
      </c>
      <c r="G305" s="258" t="str">
        <f t="shared" si="9"/>
        <v/>
      </c>
      <c r="H305" s="258" t="str">
        <f t="shared" si="9"/>
        <v/>
      </c>
      <c r="I305" s="258" t="str">
        <f t="shared" si="9"/>
        <v/>
      </c>
      <c r="J305" s="258" t="str">
        <f t="shared" si="9"/>
        <v/>
      </c>
      <c r="K305" s="258" t="str">
        <f t="shared" si="9"/>
        <v/>
      </c>
      <c r="L305" s="258" t="str">
        <f t="shared" si="9"/>
        <v/>
      </c>
      <c r="M305" s="258" t="str">
        <f t="shared" si="9"/>
        <v/>
      </c>
      <c r="N305" s="258" t="str">
        <f t="shared" si="9"/>
        <v/>
      </c>
      <c r="O305" s="258" t="str">
        <f t="shared" si="9"/>
        <v/>
      </c>
      <c r="P305" s="258" t="str">
        <f t="shared" si="9"/>
        <v/>
      </c>
      <c r="Q305" s="321">
        <f>SUM(B305:P305)</f>
        <v>0</v>
      </c>
    </row>
    <row r="306" spans="1:17" ht="20.100000000000001" customHeight="1" thickBot="1" x14ac:dyDescent="0.25">
      <c r="A306" s="322" t="s">
        <v>9937</v>
      </c>
      <c r="B306" s="312" t="str">
        <f t="shared" ref="B306:P306" si="10">IF(ISBLANK(B18),"",$B$297)</f>
        <v/>
      </c>
      <c r="C306" s="312" t="str">
        <f t="shared" si="10"/>
        <v/>
      </c>
      <c r="D306" s="312" t="str">
        <f t="shared" si="10"/>
        <v/>
      </c>
      <c r="E306" s="312" t="str">
        <f t="shared" si="10"/>
        <v/>
      </c>
      <c r="F306" s="312" t="str">
        <f t="shared" si="10"/>
        <v/>
      </c>
      <c r="G306" s="312" t="str">
        <f t="shared" si="10"/>
        <v/>
      </c>
      <c r="H306" s="312" t="str">
        <f t="shared" si="10"/>
        <v/>
      </c>
      <c r="I306" s="312" t="str">
        <f t="shared" si="10"/>
        <v/>
      </c>
      <c r="J306" s="312" t="str">
        <f t="shared" si="10"/>
        <v/>
      </c>
      <c r="K306" s="312" t="str">
        <f t="shared" si="10"/>
        <v/>
      </c>
      <c r="L306" s="312" t="str">
        <f t="shared" si="10"/>
        <v/>
      </c>
      <c r="M306" s="312" t="str">
        <f t="shared" si="10"/>
        <v/>
      </c>
      <c r="N306" s="312" t="str">
        <f t="shared" si="10"/>
        <v/>
      </c>
      <c r="O306" s="312" t="str">
        <f t="shared" si="10"/>
        <v/>
      </c>
      <c r="P306" s="312" t="str">
        <f t="shared" si="10"/>
        <v/>
      </c>
      <c r="Q306" s="323"/>
    </row>
    <row r="307" spans="1:17" ht="20.100000000000001" customHeight="1" x14ac:dyDescent="0.2">
      <c r="A307" s="237" t="s">
        <v>9938</v>
      </c>
      <c r="B307" s="315" t="str">
        <f t="shared" ref="B307:P307" si="11">IF(ISBLANK(B18),"",B305*B306)</f>
        <v/>
      </c>
      <c r="C307" s="315" t="str">
        <f t="shared" si="11"/>
        <v/>
      </c>
      <c r="D307" s="315" t="str">
        <f t="shared" si="11"/>
        <v/>
      </c>
      <c r="E307" s="315" t="str">
        <f t="shared" si="11"/>
        <v/>
      </c>
      <c r="F307" s="315" t="str">
        <f t="shared" si="11"/>
        <v/>
      </c>
      <c r="G307" s="315" t="str">
        <f t="shared" si="11"/>
        <v/>
      </c>
      <c r="H307" s="315" t="str">
        <f t="shared" si="11"/>
        <v/>
      </c>
      <c r="I307" s="315" t="str">
        <f t="shared" si="11"/>
        <v/>
      </c>
      <c r="J307" s="315" t="str">
        <f t="shared" si="11"/>
        <v/>
      </c>
      <c r="K307" s="315" t="str">
        <f t="shared" si="11"/>
        <v/>
      </c>
      <c r="L307" s="315" t="str">
        <f t="shared" si="11"/>
        <v/>
      </c>
      <c r="M307" s="315" t="str">
        <f t="shared" si="11"/>
        <v/>
      </c>
      <c r="N307" s="315" t="str">
        <f t="shared" si="11"/>
        <v/>
      </c>
      <c r="O307" s="315" t="str">
        <f t="shared" si="11"/>
        <v/>
      </c>
      <c r="P307" s="315" t="str">
        <f t="shared" si="11"/>
        <v/>
      </c>
      <c r="Q307" s="324">
        <f>SUM(B307:P307)</f>
        <v>0</v>
      </c>
    </row>
    <row r="308" spans="1:17" ht="20.100000000000001" customHeight="1" thickBot="1" x14ac:dyDescent="0.25">
      <c r="A308" s="317" t="s">
        <v>9939</v>
      </c>
      <c r="B308" s="290" t="str">
        <f t="shared" ref="B308:P308" si="12">IF(ISBLANK(B18),"",B307/2000)</f>
        <v/>
      </c>
      <c r="C308" s="290" t="str">
        <f t="shared" si="12"/>
        <v/>
      </c>
      <c r="D308" s="290" t="str">
        <f t="shared" si="12"/>
        <v/>
      </c>
      <c r="E308" s="290" t="str">
        <f t="shared" si="12"/>
        <v/>
      </c>
      <c r="F308" s="290" t="str">
        <f t="shared" si="12"/>
        <v/>
      </c>
      <c r="G308" s="290" t="str">
        <f t="shared" si="12"/>
        <v/>
      </c>
      <c r="H308" s="290" t="str">
        <f t="shared" si="12"/>
        <v/>
      </c>
      <c r="I308" s="290" t="str">
        <f t="shared" si="12"/>
        <v/>
      </c>
      <c r="J308" s="290" t="str">
        <f t="shared" si="12"/>
        <v/>
      </c>
      <c r="K308" s="290" t="str">
        <f t="shared" si="12"/>
        <v/>
      </c>
      <c r="L308" s="290" t="str">
        <f t="shared" si="12"/>
        <v/>
      </c>
      <c r="M308" s="290" t="str">
        <f t="shared" si="12"/>
        <v/>
      </c>
      <c r="N308" s="290" t="str">
        <f t="shared" si="12"/>
        <v/>
      </c>
      <c r="O308" s="290" t="str">
        <f t="shared" si="12"/>
        <v/>
      </c>
      <c r="P308" s="290" t="str">
        <f t="shared" si="12"/>
        <v/>
      </c>
      <c r="Q308" s="325">
        <f>SUM(B308:P308)</f>
        <v>0</v>
      </c>
    </row>
    <row r="309" spans="1:17" x14ac:dyDescent="0.2">
      <c r="A309" s="1378" t="s">
        <v>8455</v>
      </c>
      <c r="B309" s="1378"/>
      <c r="C309" s="1378"/>
      <c r="D309" s="1378"/>
      <c r="E309" s="1378"/>
    </row>
  </sheetData>
  <sheetProtection algorithmName="SHA-512" hashValue="pDSJFwigmNLclTjzrM+fKOPNmIwqHdzUS7tGrzHANxqVMD3rBMd+h4gFy5nQeJOtcxdwIkI3gtWwhW58/nlHbw==" saltValue="6vqrNz2HbG4NGSq3pYgRJg==" spinCount="100000" sheet="1" objects="1" scenarios="1" formatColumns="0" formatRows="0" autoFilter="0"/>
  <mergeCells count="81">
    <mergeCell ref="A309:E309"/>
    <mergeCell ref="A1:G1"/>
    <mergeCell ref="A92:D92"/>
    <mergeCell ref="A93:D93"/>
    <mergeCell ref="A94:D94"/>
    <mergeCell ref="A179:D179"/>
    <mergeCell ref="A211:D211"/>
    <mergeCell ref="A237:D237"/>
    <mergeCell ref="A259:D259"/>
    <mergeCell ref="A268:D268"/>
    <mergeCell ref="A157:B157"/>
    <mergeCell ref="C157:D157"/>
    <mergeCell ref="A2:Q2"/>
    <mergeCell ref="A3:Q3"/>
    <mergeCell ref="A4:C4"/>
    <mergeCell ref="A16:Q16"/>
    <mergeCell ref="A28:D28"/>
    <mergeCell ref="A15:D15"/>
    <mergeCell ref="A27:D27"/>
    <mergeCell ref="A118:D118"/>
    <mergeCell ref="A95:Q95"/>
    <mergeCell ref="A119:D119"/>
    <mergeCell ref="A129:D129"/>
    <mergeCell ref="A139:D139"/>
    <mergeCell ref="A156:L156"/>
    <mergeCell ref="A128:D128"/>
    <mergeCell ref="A138:D138"/>
    <mergeCell ref="A155:D155"/>
    <mergeCell ref="A158:B158"/>
    <mergeCell ref="C158:D158"/>
    <mergeCell ref="A159:B159"/>
    <mergeCell ref="C159:D159"/>
    <mergeCell ref="A160:B160"/>
    <mergeCell ref="C160:D160"/>
    <mergeCell ref="A161:B161"/>
    <mergeCell ref="C161:D161"/>
    <mergeCell ref="A162:B162"/>
    <mergeCell ref="C162:D162"/>
    <mergeCell ref="A163:B163"/>
    <mergeCell ref="C163:D163"/>
    <mergeCell ref="A164:B164"/>
    <mergeCell ref="C164:D164"/>
    <mergeCell ref="A165:B165"/>
    <mergeCell ref="C165:D165"/>
    <mergeCell ref="A166:B166"/>
    <mergeCell ref="C166:D166"/>
    <mergeCell ref="A167:B167"/>
    <mergeCell ref="C167:D167"/>
    <mergeCell ref="A168:B168"/>
    <mergeCell ref="C168:D168"/>
    <mergeCell ref="A169:B169"/>
    <mergeCell ref="C169:D169"/>
    <mergeCell ref="A170:B170"/>
    <mergeCell ref="C170:D170"/>
    <mergeCell ref="A171:B171"/>
    <mergeCell ref="C171:D171"/>
    <mergeCell ref="A172:B172"/>
    <mergeCell ref="C172:D172"/>
    <mergeCell ref="A173:B173"/>
    <mergeCell ref="C173:D173"/>
    <mergeCell ref="A174:B174"/>
    <mergeCell ref="C174:D174"/>
    <mergeCell ref="A175:B175"/>
    <mergeCell ref="C175:D175"/>
    <mergeCell ref="A176:B176"/>
    <mergeCell ref="C176:D176"/>
    <mergeCell ref="A177:B177"/>
    <mergeCell ref="C177:D177"/>
    <mergeCell ref="A178:B178"/>
    <mergeCell ref="C178:D178"/>
    <mergeCell ref="A269:E269"/>
    <mergeCell ref="A276:E276"/>
    <mergeCell ref="A292:E292"/>
    <mergeCell ref="A299:Q299"/>
    <mergeCell ref="A180:D180"/>
    <mergeCell ref="A196:D196"/>
    <mergeCell ref="A204:D204"/>
    <mergeCell ref="A212:D212"/>
    <mergeCell ref="A238:D238"/>
    <mergeCell ref="A260:D260"/>
    <mergeCell ref="A298:E298"/>
  </mergeCells>
  <conditionalFormatting sqref="A34:D34">
    <cfRule type="expression" dxfId="286" priority="19">
      <formula>$C$33="Horizontal"</formula>
    </cfRule>
  </conditionalFormatting>
  <conditionalFormatting sqref="A35:D37 A39:D39">
    <cfRule type="expression" dxfId="285" priority="18">
      <formula>$C$33="Vertical"</formula>
    </cfRule>
  </conditionalFormatting>
  <conditionalFormatting sqref="A47:D48">
    <cfRule type="expression" dxfId="284" priority="17">
      <formula>$C$45="No"</formula>
    </cfRule>
  </conditionalFormatting>
  <conditionalFormatting sqref="A59:D59">
    <cfRule type="expression" dxfId="283" priority="16">
      <formula>$C$58="Dome"</formula>
    </cfRule>
  </conditionalFormatting>
  <conditionalFormatting sqref="A60:D60">
    <cfRule type="expression" dxfId="282" priority="15">
      <formula>$C$58="Cone"</formula>
    </cfRule>
  </conditionalFormatting>
  <conditionalFormatting sqref="A67:D68 A140:D154 A157:L178 A181:D210 A277:E291">
    <cfRule type="expression" dxfId="281" priority="20">
      <formula>$B$12="Fixed"</formula>
    </cfRule>
  </conditionalFormatting>
  <conditionalFormatting sqref="A130:D137 A270:E275">
    <cfRule type="expression" dxfId="280" priority="21">
      <formula>$B$12="Floating"</formula>
    </cfRule>
  </conditionalFormatting>
  <conditionalFormatting sqref="A197:D203">
    <cfRule type="expression" dxfId="279" priority="13">
      <formula>$C$190="Drain dry"</formula>
    </cfRule>
  </conditionalFormatting>
  <conditionalFormatting sqref="A201:D202">
    <cfRule type="expression" dxfId="278" priority="12">
      <formula>NOT(OR($C$68="internal Floating Roof",ISBLANK($C$68)))</formula>
    </cfRule>
  </conditionalFormatting>
  <conditionalFormatting sqref="A206:D206">
    <cfRule type="expression" dxfId="277" priority="11">
      <formula>RIGHT($C$190,11)="liquid heel"</formula>
    </cfRule>
  </conditionalFormatting>
  <conditionalFormatting sqref="A208:D209">
    <cfRule type="expression" dxfId="276" priority="10">
      <formula>$C$68="internal Floating Roof"</formula>
    </cfRule>
  </conditionalFormatting>
  <conditionalFormatting sqref="A215:D236 A293:E296">
    <cfRule type="expression" dxfId="275" priority="9">
      <formula>AND(ISNUMBER($C$214),$C$214=0)</formula>
    </cfRule>
  </conditionalFormatting>
  <conditionalFormatting sqref="A224:D226">
    <cfRule type="expression" dxfId="274" priority="8">
      <formula>$C$223="Vapor Analyzer"</formula>
    </cfRule>
  </conditionalFormatting>
  <conditionalFormatting sqref="A241:D258 A272:E272 A282:E282">
    <cfRule type="expression" dxfId="273" priority="7">
      <formula>$C$240="No"</formula>
    </cfRule>
  </conditionalFormatting>
  <conditionalFormatting sqref="A242:D244">
    <cfRule type="expression" dxfId="272" priority="6">
      <formula>NOT(OR(ISBLANK($C$241),$C$241="Laboratory GOR"))</formula>
    </cfRule>
  </conditionalFormatting>
  <conditionalFormatting sqref="A245:D257">
    <cfRule type="expression" dxfId="271" priority="5">
      <formula>NOT(OR(ISBLANK($C$241),$C$241="Vasquez-Beggs Equation"))</formula>
    </cfRule>
  </conditionalFormatting>
  <conditionalFormatting sqref="A263:D267 A273:E273 A284:E284">
    <cfRule type="expression" dxfId="270" priority="4">
      <formula>$C$262="No"</formula>
    </cfRule>
  </conditionalFormatting>
  <conditionalFormatting sqref="A3:Q3">
    <cfRule type="expression" dxfId="269" priority="1" stopIfTrue="1">
      <formula>NOT(ISBLANK($F$4))</formula>
    </cfRule>
  </conditionalFormatting>
  <conditionalFormatting sqref="H157:K177">
    <cfRule type="expression" dxfId="267" priority="3">
      <formula>OR($C$68="Domed/Covered external floating roof",$C$68="Internal Floating Roof")</formula>
    </cfRule>
  </conditionalFormatting>
  <dataValidations count="193">
    <dataValidation type="list" allowBlank="1" showErrorMessage="1" prompt="Is this a Variable Vapor Space tank? Select or enter &quot;Yes&quot; or &quot;No&quot;." sqref="C262" xr:uid="{B6280D4A-6774-4EBD-AB48-5E062D2B3D6A}">
      <formula1>"Yes,No"</formula1>
    </dataValidation>
    <dataValidation allowBlank="1" showErrorMessage="1" prompt="If this is a Variable Vapor Space tank, enter the volume of liquid pumped into the system (throughput, V1), if necessary:" sqref="C263" xr:uid="{6F81C356-9024-4933-A23B-D1BBA25FCD0C}"/>
    <dataValidation allowBlank="1" showErrorMessage="1" prompt="If this is a Variable Vapor Space tank, enter the volume expansion capacity of the system (V2):" sqref="C264" xr:uid="{7B144665-4850-4DC2-ACFA-9EAB65E92BA8}"/>
    <dataValidation type="list" allowBlank="1" showErrorMessage="1" prompt="If this is a Variable Vapor Space tank, enter the volume of liquid pumped into the system (throughput, V1), if necessary:" sqref="C263" xr:uid="{E7E4FAC1-6BFC-4CE3-BC29-BC977907E8F1}">
      <formula1>"Fixed, Floating"</formula1>
    </dataValidation>
    <dataValidation allowBlank="1" showErrorMessage="1" prompt="If this is a Variable Vapor Space tank, enter the number of transfers into system (N2):" sqref="C265" xr:uid="{39BCDBA5-5F22-4519-9516-225E23D9D08F}"/>
    <dataValidation allowBlank="1" showErrorMessage="1" prompt="If this is a Variable Vapor Space tank, enter the total variable vapor space filling loss, if necessary, in pounds per thousand gallons throughput." sqref="C266" xr:uid="{E087B5C3-2FEE-4A2E-B114-60D39008FFC4}"/>
    <dataValidation allowBlank="1" showErrorMessage="1" prompt="If this is a Variable Vapor Space tank, enter the total variable vapor space filling loss, if necessary, in pounds per year." sqref="C267" xr:uid="{77C2B2F3-E8AC-477E-83D6-64BC74143286}"/>
    <dataValidation type="decimal" allowBlank="1" showErrorMessage="1" error="VOC fraction must be between 0.5 (50%) - 1.0 (100%)." prompt="If using the Vasquez-Beggs Equation, enter the fraction of VOC in the stock tank gas:" sqref="C250" xr:uid="{6723219E-31BC-46DA-A581-71898E195C14}">
      <formula1>0.5</formula1>
      <formula2>1</formula2>
    </dataValidation>
    <dataValidation allowBlank="1" showErrorMessage="1" prompt="If using the Vasquez-Beggs Equation, enter the dissolved gas gravity at 100 psig, if necessary:" sqref="C251" xr:uid="{384195E6-FA09-463E-B34C-836FAAA53D7A}"/>
    <dataValidation allowBlank="1" showErrorMessage="1" prompt="If using the Vasquez-Beggs Equation, enter the the value for the constant C1." sqref="C252" xr:uid="{4E662F01-9407-4D3B-889E-E0CADFB0E462}"/>
    <dataValidation allowBlank="1" showErrorMessage="1" prompt="If using the Vasquez-Beggs Equation, enter the the value for the constant C2." sqref="C253" xr:uid="{DCFF8E1F-14CA-45CF-B7BE-35F865CD00CA}"/>
    <dataValidation allowBlank="1" showErrorMessage="1" prompt="If using the Vasquez-Beggs Equation, enter the the value for the constant C3." sqref="C254" xr:uid="{69BF67ED-04DA-4D9B-A27D-E5AD73A1A141}"/>
    <dataValidation allowBlank="1" showErrorMessage="1" prompt="If using the Vasquez-Beggs Equation, enter the Gas/Oil Ratio of liquid at pressure of interest, if necessary:" sqref="C255" xr:uid="{19543A04-7791-4B4C-9580-BA79D8C86E3D}"/>
    <dataValidation allowBlank="1" showErrorMessage="1" prompt="If using the Vasquez-Beggs Equation, enter the volume of gas at given pressure and temperature, if necessary. The default value 1/379.48 scf/lb-mole is at Standard Conditions." sqref="C256" xr:uid="{4AF5E981-2296-4D64-851C-167A51DDB0F0}"/>
    <dataValidation allowBlank="1" showErrorMessage="1" prompt="If using the Vasquez-Beggs Equation, enter the total amount of hydrocarbons in tons per year, if necessary:" sqref="C257" xr:uid="{CC6CFE82-B4A7-4B14-ABEB-475EE607A2ED}"/>
    <dataValidation allowBlank="1" showErrorMessage="1" prompt="Enter the total calculated or measured emissions from flashing, if necessary:" sqref="C258" xr:uid="{EF27CE92-3A50-4C95-BA9E-A2F12166ED71}"/>
    <dataValidation type="list" allowBlank="1" showErrorMessage="1" prompt="What method of analyzing flashing was used? Select or enter a method from the drop-down menu:" sqref="C241" xr:uid="{02B5477C-8A93-4147-8A26-620AF734833F}">
      <formula1>"Laboratory GOR,Computer simulation modeling,Vasquez-Beggs Equation,Direct Measurement"</formula1>
    </dataValidation>
    <dataValidation type="decimal" allowBlank="1" showErrorMessage="1" error="API Gravity must be between 16 - 40° to use Vasquex-Beggs Equation. If API is below range, increase to minimum 16°. Do not use this equation if API is over 40°." prompt="If using the Vasquez-Beggs Equation, enter the stock's API Gravity:" sqref="C245" xr:uid="{771574A5-8BAF-41D1-97DB-2309E9829AC4}">
      <formula1>16</formula1>
      <formula2>40</formula2>
    </dataValidation>
    <dataValidation type="decimal" allowBlank="1" showErrorMessage="1" error="Seperator pressure must be between 35.3 - 5235.3 psig (or 50 - 5250 psia) to use this equation. If below range, increase to minimum 35.3 psig/50 psia." prompt="If using the Vasquez-Beggs Equation, enter the seperator pressure." sqref="C246" xr:uid="{610C74B5-92D5-4E5D-A8BA-150776D7BBB0}">
      <formula1>35.3</formula1>
      <formula2>5235.3</formula2>
    </dataValidation>
    <dataValidation type="decimal" allowBlank="1" showErrorMessage="1" error="Seperator Temperature must be between 70 - 295°F. If the temperature is outside this range, you cannot use the Vasquez-Beggs Equation." prompt="If using the Vasquez-Beggs Equation, enter the seperator temperature, in Fahrenheit." sqref="C247" xr:uid="{2FE1570C-7A15-43A9-9BC1-FD0B0C441D23}">
      <formula1>70</formula1>
      <formula2>295</formula2>
    </dataValidation>
    <dataValidation type="decimal" allowBlank="1" showErrorMessage="1" error="Seperator Temperature must be between 529 - 755°R. If the temperature is outside this range, you cannot use the Vasquez-Beggs Equation." prompt="If using the Vasquez-Beggs Equation, enter the seperator temperature, in Rankine." sqref="C248" xr:uid="{B1B1F538-4272-4683-A44E-A0826173154D}">
      <formula1>529</formula1>
      <formula2>755</formula2>
    </dataValidation>
    <dataValidation type="decimal" allowBlank="1" showErrorMessage="1" error="Seperator Gas Gravity must be between 0.56 - 1.18. If the gas gravity is below this range, you can increase to minimum 0.56. If gas gravity is above this range, you cannot use this equation." prompt="If using the Vasquez-Beggs Equation, enter the seperator gas gravity." sqref="C249" xr:uid="{3A3876D9-94FC-4A37-964C-D70219CCC225}">
      <formula1>0.56</formula1>
      <formula2>1.18</formula2>
    </dataValidation>
    <dataValidation type="list" allowBlank="1" showErrorMessage="1" prompt="Does this tank store a liquid with a possibility of undergoing flashing? Select or enter yes or no." sqref="C240" xr:uid="{C3223E32-73B0-4DB1-BC08-A9A33BF0025E}">
      <formula1>"Yes,No"</formula1>
    </dataValidation>
    <dataValidation allowBlank="1" showErrorMessage="1" prompt="If using the Laboratory Gas-Oil Ratio (GOR) method, enter the GOR:" sqref="C242" xr:uid="{AE13C69C-0DF6-417F-8E5A-6EC6763C0F48}"/>
    <dataValidation allowBlank="1" showErrorMessage="1" prompt="If using the Laboratory GOR method, enter the volume of gas at given pressure and temperature, if necessary. The default value 1/379.48 scf/lb-mole is at Standard Conditions." sqref="C243" xr:uid="{0721C6A0-87CC-4BB0-AC21-FD0B2520C204}"/>
    <dataValidation allowBlank="1" showErrorMessage="1" prompt="If using the Laboratory GOR method, enter the molecular weight of the flash gas:" sqref="C244" xr:uid="{D115B059-A62A-4764-B42D-38F2980176BC}"/>
    <dataValidation allowBlank="1" showErrorMessage="1" prompt="Enter the decimal fraction of the sludge with potential to evaporate once all the free-standing liquid had been vacuumed (or drained) out." sqref="C233" xr:uid="{C5DD944B-B675-4073-A029-C3FC761736C2}"/>
    <dataValidation allowBlank="1" showErrorMessage="1" prompt="Enter the duration of continued forced ventilation once all the free-standing liquid had been vacuumed (or drained) out:" sqref="C234" xr:uid="{B239E012-16C2-47D5-B3E0-08D0D740DEDB}"/>
    <dataValidation allowBlank="1" showErrorMessage="1" prompt="Enter the daily period of forced ventilation once all the free-standing liquid had been vacuumed (or drained) out." sqref="C235" xr:uid="{07DAF4CB-72E0-4D92-AA3B-61D5D0683C00}"/>
    <dataValidation allowBlank="1" showErrorMessage="1" prompt="Enter the average depth of sludge once all the free-standing liquid had been vacuumed (or drained) out." sqref="C236" xr:uid="{A0CA5B82-0CEB-416B-A3C2-E5E580647E27}"/>
    <dataValidation type="list" allowBlank="1" showErrorMessage="1" prompt="How is the average vapor concentration measured? Select or enter a response from the drop-down menu." sqref="C223" xr:uid="{1D54C2DB-B3AB-4848-B2AC-F7BF8EBF5F80}">
      <formula1>"LEL Reading,Vapor Analyzer"</formula1>
    </dataValidation>
    <dataValidation allowBlank="1" showErrorMessage="1" prompt="If using a Lower Explosive Limit (LEL) reading, enter the average LEL, as displayed, as a decimal fraction:" sqref="C224" xr:uid="{E311E31F-A6A7-4840-AE7C-D9C0FC7E6CD6}"/>
    <dataValidation allowBlank="1" showErrorMessage="1" prompt="If using a LEL reading, enter the LEL of the calibration gas, as a decimal fraction:" sqref="C225" xr:uid="{442D26DF-8ACB-4595-9CCC-70DB729FEDE9}"/>
    <dataValidation allowBlank="1" showErrorMessage="1" prompt="If using a LEL reading, enter the Response Factor (RF), if known:" sqref="C226" xr:uid="{87F22CE7-1659-4300-9799-7DAEEFDFBA7C}"/>
    <dataValidation allowBlank="1" showErrorMessage="1" prompt="Enter the average vapor concentration by volume during continued forced ventilation, if known:" sqref="C227" xr:uid="{D372F781-8BB8-48DC-9F21-D0F2A1F17C5A}"/>
    <dataValidation allowBlank="1" showErrorMessage="1" prompt="Enter the average ventilation rate during forced ventilation." sqref="C228" xr:uid="{01FE95FB-1AEE-4DAF-90C8-FD2D2ACCB753}"/>
    <dataValidation allowBlank="1" showErrorMessage="1" prompt="Enter the duration of continued forced ventilation, in days." sqref="C229" xr:uid="{25CBE187-8BDA-4368-886B-035DBE8E6019}"/>
    <dataValidation allowBlank="1" showErrorMessage="1" prompt="Enter the daily period of forced ventilation. Note: Do not include the initial time for the vapor space purge. It would be reasonable to neglect the first half hour from each stage of continued forced ventilation." sqref="C230" xr:uid="{20563AAA-C7CC-41FF-9E62-A7C2B71B49A3}"/>
    <dataValidation allowBlank="1" showErrorMessage="1" prompt="Enter the calibration gas molecular weight." sqref="C231" xr:uid="{B8DBD1FF-9F38-42D9-AFA4-13E8FB6A57C8}"/>
    <dataValidation allowBlank="1" showErrorMessage="1" prompt="Enter the effective height of the stock liquid and sludge for the given stage of continued forced ventilation." sqref="C232" xr:uid="{A94437D9-631A-4220-8EE1-889B94A437AC}"/>
    <dataValidation allowBlank="1" showErrorMessage="1" prompt="Enter how many times per year is this tank cleaned." sqref="C214" xr:uid="{F21FA5E4-2380-42D0-B103-191800514E80}"/>
    <dataValidation allowBlank="1" showErrorMessage="1" prompt="Enter the stock vapor molecular weight, if necessary:" sqref="C215" xr:uid="{1DBB7459-1B4D-4EAE-9CFF-370500418772}"/>
    <dataValidation allowBlank="1" showErrorMessage="1" prompt="Enter the true vapor pressure of the exposed volatile material in the tank, if necessary:" sqref="C216" xr:uid="{73C2D0BC-8C7A-477A-8E20-A58A6D75B8DA}"/>
    <dataValidation allowBlank="1" showErrorMessage="1" prompt="Enter the average temperature of the vapor space, if necessary:" sqref="C217" xr:uid="{24650EA1-AFE4-4DA9-8EAB-55F1BDF50386}"/>
    <dataValidation allowBlank="1" showErrorMessage="1" prompt="Enter the height of the stock liquid and sludge above the tank bottom at the tank shell, if necessary:" sqref="C219" xr:uid="{B2711D07-5C96-4357-A2A3-9F9C476F917F}"/>
    <dataValidation allowBlank="1" showErrorMessage="1" prompt="Enter the number of days between turnover, if necessary:" sqref="C220" xr:uid="{B575F712-6414-4033-A018-1E6AFB11AAAD}"/>
    <dataValidation allowBlank="1" showErrorMessage="1" prompt="Enter the saturation factor, if necessary:" sqref="C221" xr:uid="{88FCDEAE-34D1-434B-9BDB-FA2A24F7F31A}"/>
    <dataValidation allowBlank="1" showErrorMessage="1" prompt="Enter the number of vapor space purges per year that follow a cessation of forces ventilation overnight, other than the initial vapor space purge:" sqref="C222" xr:uid="{C27EACCA-F03E-4BE1-AA95-D762B955ED9E}"/>
    <dataValidation allowBlank="1" showErrorMessage="1" prompt="If this is a drain-dry tank, enter the area of the tank bottom, if necessary:" sqref="C206" xr:uid="{F8F08F2A-AB9D-44D2-A885-9A5C69ACF155}"/>
    <dataValidation allowBlank="1" showErrorMessage="1" prompt="Enter the filling saturation factor, if necessary:" sqref="C207" xr:uid="{29EE8D03-6C22-4080-9706-E9FF038CFF46}"/>
    <dataValidation allowBlank="1" showErrorMessage="1" prompt="If this is an external floating roof tank, enter the filling saturation correction factor for wind, if necessary:" sqref="C208" xr:uid="{9DBDFA66-A4D2-4391-A8E8-09AD5CACB419}"/>
    <dataValidation allowBlank="1" showErrorMessage="1" prompt="If this is an external floating roof tank, enter the height of the vapor space under the floating roof." sqref="C209" xr:uid="{0A77B762-18C2-4421-906A-C6F5C268B615}"/>
    <dataValidation allowBlank="1" showErrorMessage="1" prompt="Enter the volume of the vapor space, if necessary:" sqref="C210 C218" xr:uid="{B376BD56-8589-4BED-A569-7C6F4626F337}"/>
    <dataValidation allowBlank="1" showErrorMessage="1" prompt="Enter the effective height of the stock liquid inside the tank:" sqref="C198" xr:uid="{B5C79DA9-7E9B-4872-AAFD-401AB287E22C}"/>
    <dataValidation allowBlank="1" showErrorMessage="1" prompt="Enter the frequency of landing episodes, if necessary:" sqref="C199" xr:uid="{5B35D8C0-2D40-4C5A-9531-861F7E90A971}"/>
    <dataValidation allowBlank="1" showErrorMessage="1" prompt="If this is an internal floating roof tank, enter the vapor space expansion factor, if necessary: Note that if a distillate material is used, a different vapor space expansion factor may apply." sqref="C201" xr:uid="{B543687C-CD42-4A7C-B412-A810D36C1F79}"/>
    <dataValidation allowBlank="1" showErrorMessage="1" prompt="If this is an internal floating roof tank, enter the saturation factor, if necessary:" sqref="C202" xr:uid="{223EFBC6-F590-4534-92DF-E66369C17894}"/>
    <dataValidation allowBlank="1" showErrorMessage="1" prompt="Enter the number of days that the tank stands idle." sqref="C203" xr:uid="{7AC2F49E-5893-403F-A75F-0CBF0BC247E6}"/>
    <dataValidation type="list" allowBlank="1" showErrorMessage="1" prompt="Is this tank have a liquid &quot;heel&quot; or is it drain-dry? Select or enter &quot;Full liquid heel&quot;, &quot;Partial liquid heel&quot;, or &quot;Drain dry&quot;." sqref="C190" xr:uid="{BC945278-A8CE-46C3-960C-5EA2258DBDCA}">
      <formula1>"Full liquid heel,Partial liquid heel,Drain dry"</formula1>
    </dataValidation>
    <dataValidation allowBlank="1" showErrorMessage="1" prompt="Enter the true vapor pressure of the stock liquid at the temperature beneath the landed floating roof, if different than average ambient temperature:" sqref="C191" xr:uid="{669A6CEA-9671-44C5-BDD4-CC65B0451D1B}"/>
    <dataValidation allowBlank="1" showErrorMessage="1" prompt="Enter the average vapor temperature at the temperature beneath the landed floating roof, if different than average ambient temperature, in Fahrenheit." sqref="C192" xr:uid="{88E285A1-E309-43EB-89ED-F995055F2811}"/>
    <dataValidation allowBlank="1" showErrorMessage="1" prompt="Enter the average vapor temperature at the temperature beneath the landed floating roof, if different than average ambient temperature, in Rankine." sqref="C193" xr:uid="{5C650810-BC4E-47DE-8D84-E3524303BEC3}"/>
    <dataValidation allowBlank="1" showErrorMessage="1" prompt="If a distillate material is added to decrease volatility during roof landing, enter the average molecular weight of the new mixture:" sqref="C194" xr:uid="{A58984A6-A6C1-425B-8866-BFAC2058F825}"/>
    <dataValidation allowBlank="1" showErrorMessage="1" prompt="Enter the result of the vapor pressure function at the temperature beneath the landed floating roof, if necessary:" sqref="C195" xr:uid="{C8E1AA0E-BCDA-4FCE-877A-DC82BB2D4AD6}"/>
    <dataValidation type="list" allowBlank="1" prompt="If total length of deck seams is unknown, select or enter the type of deck seam construction (e.g. Continuous sheet construction, Panel construction):" sqref="C186" xr:uid="{D6B60582-CADB-43D0-97E4-D88F6E8C9767}">
      <formula1>"Continuous sheet construction,Panel construction"</formula1>
    </dataValidation>
    <dataValidation type="list" allowBlank="1" prompt="If total length of deck seams is unknown, select or enter average deck seam size:" sqref="C187" xr:uid="{FEF61524-839B-46A7-BFB1-4737E478D44B}">
      <formula1>INDIRECT(LEFT($C$186,5))</formula1>
    </dataValidation>
    <dataValidation allowBlank="1" showErrorMessage="1" prompt="Enter deck fitting loss factor (FF), if necessary:" sqref="C182" xr:uid="{10AF304C-07CE-447D-B04C-10F9CD814142}"/>
    <dataValidation type="list" allowBlank="1" showErrorMessage="1" prompt="Is the deck seam welded? Select or enter &quot;Yes&quot; or &quot;No&quot;." sqref="C183" xr:uid="{85182C62-9C76-479B-A13C-F1EBAE405F67}">
      <formula1>"Yes,No"</formula1>
    </dataValidation>
    <dataValidation allowBlank="1" showErrorMessage="1" prompt="Enter the area of the deck, if necessary:" sqref="C184" xr:uid="{7AEB8351-D6E2-4ACA-A958-2C50F36373BF}"/>
    <dataValidation allowBlank="1" showErrorMessage="1" prompt="Enter the total length of the deck seams, if known:" sqref="C185" xr:uid="{4870EF0D-3751-4502-A5B3-841B293814B2}"/>
    <dataValidation type="list" allowBlank="1" showErrorMessage="1" prompt="If total length of deck seams is unknown, select or enter the type of deck seam construction (e.g. Continuous sheet construction, Panel construction):" sqref="C186" xr:uid="{AAF3B483-1DCA-42BA-9FC1-02811A33FC86}">
      <formula1>"Continuous sheet construction,Panel construction"</formula1>
    </dataValidation>
    <dataValidation allowBlank="1" showErrorMessage="1" prompt="Enter the deck seam length factor, if necessary:" sqref="C188" xr:uid="{272379A0-7E8E-4CA2-9A53-7EF436736FE2}"/>
    <dataValidation allowBlank="1" showErrorMessage="1" prompt="Enter the deck seam loss per unit seam length factor, if necessary:" sqref="C189" xr:uid="{92AA58B8-EF4A-48EF-904D-204D1BDC9C21}"/>
    <dataValidation allowBlank="1" showErrorMessage="1" prompt="Enter the loss factor if the previous column's calculated value is inaccurate." sqref="K158:K177" xr:uid="{ED8E2E16-71DA-46F3-B01D-4D822ADF3CD2}"/>
    <dataValidation allowBlank="1" showErrorMessage="1" prompt="Enter the wind speed-dependent loss factor if the previous column's calculated value is inaccurate." sqref="I158:I177" xr:uid="{5A8EC7E9-486B-48A1-92FF-37CB05CA9179}"/>
    <dataValidation allowBlank="1" showErrorMessage="1" prompt="Enter the zero wind speed loss factor if the previous column's calculated value is inaccurate." sqref="G158:G177" xr:uid="{40E13B1B-8D7B-4DFF-B2D2-8ECFA47AF935}"/>
    <dataValidation allowBlank="1" showErrorMessage="1" prompt="Enter the number of fittings per fitting type." sqref="E158:E177" xr:uid="{9C5B7700-02A2-4B38-908F-1C201CB14FFE}"/>
    <dataValidation type="list" allowBlank="1" showErrorMessage="1" prompt="Select or enter the shell condition (e.g. &quot;Light Rust&quot;, &quot;Dense Rust&quot;, or &quot;Gunite Lining&quot;):" sqref="C150" xr:uid="{F3D8C451-6125-4B2B-966C-C6A2E794E60E}">
      <formula1>"Light Rust,Dense Rust,Gunite Lining"</formula1>
    </dataValidation>
    <dataValidation allowBlank="1" showErrorMessage="1" prompt="Enter shell clingage factor CS, if necessary:" sqref="C151" xr:uid="{808FF486-F360-42C3-AEA2-98FE4FE3083D}"/>
    <dataValidation allowBlank="1" showErrorMessage="1" prompt="Enter the number of fixed roof support columns (NC), if necessary. For a self-supporting external floating roof tank, enter 0. For a column-supported fixed roof, use tank-specific information." sqref="C152" xr:uid="{BBD033B5-6D6F-4F91-9A62-773C3225AD8D}"/>
    <dataValidation allowBlank="1" showErrorMessage="1" prompt="Enter the tank-specific column diameter (FC), if known." sqref="C153" xr:uid="{47B2F92D-586B-4A88-B457-10D2210F010B}"/>
    <dataValidation allowBlank="1" showErrorMessage="1" prompt="Enter average organic liquid density." sqref="C154" xr:uid="{E4A9476C-5053-42AA-9EB3-EB4783A02D1F}"/>
    <dataValidation type="list" allowBlank="1" prompt="What subsystem is in use (e.g. &quot;Primary only&quot;, &quot;Shoe-Mounted Secondary&quot;, &quot;Weather Shield&quot;, or &quot;Rim-Mounted Secondary&quot;) Select or enter from drop-down menu:" sqref="C142" xr:uid="{9A6CE54C-3054-4F22-AEC2-D95540AA3297}">
      <formula1>IF($C$141="Mechanical-shoe seal",Subsystem1,Subsystem2)</formula1>
    </dataValidation>
    <dataValidation type="list" allowBlank="1" prompt="What rim-seal system is in use? Select or enter from drop-down menu:" sqref="C141" xr:uid="{C807A430-2B57-40D0-881E-57875D0A886E}">
      <formula1>INDIRECT($C$31)</formula1>
    </dataValidation>
    <dataValidation type="list" allowBlank="1" prompt="Is the rim seal maintained with no gaps greater than 1/8 in. wide between the rim seal and the tank shell? (Note: If the seal is maintained with gaps no greater than 1/8 in., &quot;Tight-fitting&quot; rim-seal loss facotrs may apply.)" sqref="C143" xr:uid="{D47BA976-6BF4-446A-BEFC-C65706FA5039}">
      <formula1>"Yes,No"</formula1>
    </dataValidation>
    <dataValidation allowBlank="1" showErrorMessage="1" prompt="Enter the zero-wind-speed rim seal loss factor (KRa), if necessary:" sqref="C144" xr:uid="{CA8F6EF8-6BC9-430E-A2E4-914330BC62F9}"/>
    <dataValidation allowBlank="1" showErrorMessage="1" prompt="Enter the wind-speed dependent rim seal loss factor (KRb), if necessary:" sqref="C145" xr:uid="{7ACC8DB3-7F0D-46B0-9E4B-55A113E45C30}"/>
    <dataValidation allowBlank="1" showErrorMessage="1" prompt="Enter the seal-related wind speed exponent (n), if necessary:" sqref="C146" xr:uid="{5CE28DB4-4454-4687-AF1D-372CC5F4B5CA}"/>
    <dataValidation allowBlank="1" showErrorMessage="1" prompt="Enter the average molecular weight (MV), if necessary:" sqref="C147" xr:uid="{C25C1B83-4D95-4713-A029-C55384DA2AD5}"/>
    <dataValidation allowBlank="1" showErrorMessage="1" prompt="Enter the average ambient wind speed at the tank site (v), if necessary:" sqref="C148" xr:uid="{573DFDEA-960E-4FB0-A373-18B89545E412}"/>
    <dataValidation allowBlank="1" showErrorMessage="1" prompt="Enter the result of the vapor pressure function, if necessary:" sqref="C149" xr:uid="{07AA34AE-9FAF-4911-96B0-239064DC0791}"/>
    <dataValidation allowBlank="1" showErrorMessage="1" prompt="Enter average organic liquid density, if necessary." sqref="C131" xr:uid="{CCA1448B-F715-4485-9F0D-3C1A38506675}"/>
    <dataValidation allowBlank="1" showErrorMessage="1" prompt="Enter the vapor density, if necessary:" sqref="C132 C200" xr:uid="{E10EE64D-8036-4559-B7B7-F534156FCB17}"/>
    <dataValidation allowBlank="1" showErrorMessage="1" prompt="Enter the average molecular weight, if necessary:" sqref="C133" xr:uid="{8B73B645-166A-43C8-890F-F9F268CE0806}"/>
    <dataValidation allowBlank="1" showErrorMessage="1" prompt="Enter the vented vapor saturation factor, if necessary:" sqref="C134" xr:uid="{87D4F362-0FFA-4D28-885B-76269932A7E2}"/>
    <dataValidation allowBlank="1" showErrorMessage="1" prompt="Enter the vapor space expansion factor, if necessary:" sqref="C135" xr:uid="{F1D4178B-97EB-49AB-AE89-F060D4CDCE74}"/>
    <dataValidation allowBlank="1" showErrorMessage="1" prompt="Enter the pressure of the vapor space at normal operating conditions, if not held at atmospheric pressure:" sqref="C136" xr:uid="{EF4F1983-F3DE-4974-B59E-BB2F76CAA9C2}"/>
    <dataValidation allowBlank="1" showErrorMessage="1" prompt="Enter the vent setting correction factor, if necessary:" sqref="C137" xr:uid="{293AFD64-00C8-44CE-B543-5281EC1395D1}"/>
    <dataValidation type="decimal" allowBlank="1" showErrorMessage="1" prompt="If this tank has a special vapor control efficiency, enter the control efficiency as a decimal (e.g. 0.905 for 90.5%)." sqref="C127" xr:uid="{18F3CA81-691F-4BD6-A38E-16E8E8C094C7}">
      <formula1>0</formula1>
      <formula2>1</formula2>
    </dataValidation>
    <dataValidation type="list" allowBlank="1" prompt="If this tank has a special vapor control efficiency, select or enter the method or technology (e.g. Flare, TO, VCU, etc.)." sqref="C126" xr:uid="{D63E6348-BD37-4C4D-AB3F-05D91C03C544}">
      <formula1>"Flare,TO,VCU"</formula1>
    </dataValidation>
    <dataValidation allowBlank="1" showErrorMessage="1" prompt="Enter the breather vent pressure setting:" sqref="C121" xr:uid="{7D14AA03-01F6-49F7-B827-16352BFC73A2}"/>
    <dataValidation allowBlank="1" showErrorMessage="1" prompt="Enter the breather vent vacuum setting:" sqref="C122" xr:uid="{607CA592-D53D-48AA-89A9-B8972FE1D6A2}"/>
    <dataValidation allowBlank="1" showErrorMessage="1" prompt="Enter the breather vent pressure setting range, if necessary." sqref="C123" xr:uid="{6501DC1B-A679-44A0-BA2B-6062D77247BD}"/>
    <dataValidation allowBlank="1" showErrorMessage="1" prompt="Enter the average daily vapor pressure range, if necessary:" sqref="C124" xr:uid="{7E0F0F76-C77C-4F0E-9C36-07D1E94E8486}"/>
    <dataValidation allowBlank="1" showErrorMessage="1" prompt="Enter true vapor pressure, if necessary:" sqref="C125" xr:uid="{5C934C7E-C2BB-4B03-8B98-DD6C1E4B40CC}"/>
    <dataValidation allowBlank="1" showErrorMessage="1" prompt="Enter the vapor pressure at average daily minimum liquid surface temperature if the calculated vapor pressure at average daily minimum liquid surface temperature (above) is inaccurate." sqref="B111:P111" xr:uid="{C34FEED9-21F1-4D3D-BE15-BED68AD73F3B}"/>
    <dataValidation allowBlank="1" showErrorMessage="1" prompt="Enter the vapor pressure at average daily maximum liquid surface temperature if the calculated vapor pressure at average daily maximum liquid surface temperature (above) is inaccurate." sqref="B109:P109" xr:uid="{4D73D084-532C-4F87-8CE6-97011B399016}"/>
    <dataValidation allowBlank="1" showErrorMessage="1" prompt="Enter the vapor pressure at average daily liquid surface temperature if the calculated vapor pressure at average daily liquid surface temperature (above) is inaccurate." sqref="B107:P107" xr:uid="{B56FA8D9-703B-46B9-8DB9-BA0C5765338B}"/>
    <dataValidation allowBlank="1" showErrorMessage="1" prompt="Enter the Reid vapor pressure if vapor pressure constant C is unknown and the calculated Reid vapor pressure (above) is inaccurate." sqref="B105:P105" xr:uid="{EE277E45-57B3-4E8E-8C9A-01ED1223CC4E}"/>
    <dataValidation allowBlank="1" showErrorMessage="1" prompt="Enter the vapor pressure constant C if the calculated vapor pressure constant C (above) is inaccurate." sqref="B103:P103" xr:uid="{95A8AEF1-CFEE-4C15-AC42-0029620D6CCA}"/>
    <dataValidation allowBlank="1" showErrorMessage="1" prompt="Enter the vapor pressure constant B if the calculated vapor pressure constant B (above) is inaccurate." sqref="B101:P101" xr:uid="{BF030FDF-33FF-4585-9610-1D6550D324C7}"/>
    <dataValidation allowBlank="1" showErrorMessage="1" prompt="Enter the vapor pressure constant A if the calculated vapor pressure constant A (above) is inaccurate." sqref="B99:P99" xr:uid="{F706A8F9-BA98-40ED-8F47-ADC806AC180F}"/>
    <dataValidation allowBlank="1" showErrorMessage="1" prompt="Enter the average daily maximum ambient temperature, if necessary. This cell is for Fahrenheit." sqref="C74" xr:uid="{8AB61A0F-9CC8-4945-A2AD-58862C6B4D8B}"/>
    <dataValidation allowBlank="1" showErrorMessage="1" prompt="Enter the average daily maximum ambient temperature, if necessary. This cell is for Rankine." sqref="C75" xr:uid="{6CED1E5B-210D-4CB2-BEA6-7D876FDFA584}"/>
    <dataValidation allowBlank="1" showErrorMessage="1" prompt="Enter the average daily minimum ambient temperature, if necessary, in Fahrenheit." sqref="C76" xr:uid="{F27C4B84-88C6-4B0D-85BC-C60FD3DED5E2}"/>
    <dataValidation allowBlank="1" showErrorMessage="1" prompt="Enter the average daily minimum ambient temperature, if necessary, in Rankine." sqref="C77" xr:uid="{14E5C464-79E6-4EE3-B52C-F9B24557EFB8}"/>
    <dataValidation allowBlank="1" showErrorMessage="1" prompt="Enter the average daily ambient temperature, if necessary, in Fahrenheit." sqref="C78" xr:uid="{50F761AE-8DAE-4D97-B019-E4539FA8BC1E}"/>
    <dataValidation allowBlank="1" showErrorMessage="1" prompt="Enter the average daily ambient temperature, if necessary, in Rankine." sqref="C79" xr:uid="{F1548647-2B7C-4B8D-8BC2-98D1FDFC57C8}"/>
    <dataValidation allowBlank="1" showErrorMessage="1" prompt="Enter the average daily ambient temperature range, if necessary:" sqref="C80" xr:uid="{43E863C7-6631-44AC-BD13-5358067AC247}"/>
    <dataValidation allowBlank="1" showErrorMessage="1" prompt="Enter the liquid bulk temperature, if necessary, in Fahrenheit." sqref="C81" xr:uid="{9C0DB783-D42F-4F66-9151-1E8ECCF43DFE}"/>
    <dataValidation allowBlank="1" showErrorMessage="1" prompt="Enter the liquid bulk temperature, if necessary, in Rankine." sqref="C82" xr:uid="{A0EE058B-E518-49DC-86CA-CDD2AF7E6F02}"/>
    <dataValidation allowBlank="1" showErrorMessage="1" prompt="Enter the average daily vapor temperature (Tv), if necessary, in Fahrenheit." sqref="C83" xr:uid="{C9106577-E3D3-4CB0-8199-B2FB05131758}"/>
    <dataValidation allowBlank="1" showErrorMessage="1" prompt="Enter the average daily vapor temperature (Tv), if necessary, in Rankine." sqref="C84" xr:uid="{B0FE8F37-D434-4B81-9788-6BA26442AEAF}"/>
    <dataValidation allowBlank="1" showErrorMessage="1" prompt="Enter the average daily vapor temperature range, if necessary:" sqref="C85" xr:uid="{8FFB85E4-1E4A-4877-9C0D-1B43D12557A6}"/>
    <dataValidation allowBlank="1" showErrorMessage="1" prompt="Enter the average daily liquid surface temperature, if necessary, in Fahrenheit." sqref="C86" xr:uid="{03C7DED5-DF0D-4459-A661-5EA3423C7E2D}"/>
    <dataValidation allowBlank="1" showErrorMessage="1" prompt="Enter the average daily liquid surface temperature, if necessary, in Rankine." sqref="C87" xr:uid="{FE7EAD78-B5B3-49B1-83F3-F6316F6292D1}"/>
    <dataValidation allowBlank="1" showErrorMessage="1" prompt="Enter the average daily minimum liquid temperature, if necessary, in Fahrenheit." sqref="C88" xr:uid="{E867F525-BA25-4414-99AF-10DBF6EBD4EC}"/>
    <dataValidation allowBlank="1" showErrorMessage="1" prompt="Enter the average daily minimum liquid temperature, if necessary, in Rankine." sqref="C89" xr:uid="{8C3D6BD7-8426-4898-B37D-8AC31E26E8D2}"/>
    <dataValidation allowBlank="1" showErrorMessage="1" prompt="Enter the average daily maximum liquid temperature, if necessary, in Fahrenheit." sqref="C90" xr:uid="{5733A983-1B9A-468B-9365-48EDF8F260B2}"/>
    <dataValidation allowBlank="1" showErrorMessage="1" prompt="Enter the average daily maximum liquid temperature, if necessary, in Rankine." sqref="C91" xr:uid="{D2F434E9-512A-413E-90F2-00660E5442FA}"/>
    <dataValidation type="list" allowBlank="1" showErrorMessage="1" prompt="If the tank is a floating roof tank, does this tank have an Internal Floating Roof, External Floating Roof, or a Domed/Covered External Floating Roof? Select or enter from the drop-down menu." sqref="C68" xr:uid="{017FAF7B-4F1C-4AA8-B94E-82B1BBC058FF}">
      <formula1>"Internal Floating Roof,External Floating Roof, Domed/Covered External Floating Roof"</formula1>
    </dataValidation>
    <dataValidation type="list" allowBlank="1" showErrorMessage="1" prompt="Is the tank fully insulated? Select from the dropdown &quot;Not Insulated&quot;, &quot;Partially Insulated&quot;, or &quot;Fully Insulated&quot;." sqref="C69" xr:uid="{47F1D416-DD56-402F-9292-4A92BCEDF40B}">
      <formula1>"Not Insulated, Partially Insulated, Fully Insulated"</formula1>
    </dataValidation>
    <dataValidation type="list" allowBlank="1" showErrorMessage="1" prompt="If the tank is a floating roof tank, what type of deck is used? Select or enter from the drop down menu &quot;Steel Pontoon&quot;, &quot;Steel Double Deck&quot;, or &quot;Other&quot;." sqref="C67" xr:uid="{E35E2A6A-A184-423E-846E-3633DE6F147B}">
      <formula1>"Steel Pontoon,Steel Double Deck,Other"</formula1>
    </dataValidation>
    <dataValidation allowBlank="1" showErrorMessage="1" prompt="Enter tank shell paint solar absorptance, if needed." sqref="C70" xr:uid="{1751EFAE-FB4B-4521-B646-EC7F1F38384C}"/>
    <dataValidation allowBlank="1" showErrorMessage="1" prompt="Enter tank roof paint solar absorptance, if needed." sqref="C71" xr:uid="{70ED4240-859C-4A7C-B8CC-14390649C1C8}"/>
    <dataValidation allowBlank="1" showErrorMessage="1" prompt="Enter tank solar absorptance, if needed." sqref="C72" xr:uid="{D5D54CF6-F4CD-4F38-BC89-5981A2879478}"/>
    <dataValidation allowBlank="1" showErrorMessage="1" prompt="Enter the daily total solar insolation, if necessary:" sqref="C73" xr:uid="{495B3A51-BB8C-4B89-B5F7-ABAB2FC45786}"/>
    <dataValidation type="list" allowBlank="1" showErrorMessage="1" prompt="What is the roof shape? Select or enter Cone or Dome." sqref="C58" xr:uid="{41B72308-2E9C-4788-B15E-F971C09CD3AF}">
      <formula1>"Cone,Dome"</formula1>
    </dataValidation>
    <dataValidation allowBlank="1" showErrorMessage="1" prompt="If the roof is cone-shaped, enter the tank's roof slope, if necessary:" sqref="C59" xr:uid="{532560E8-B08F-4066-8275-CE040EE8A9C3}"/>
    <dataValidation allowBlank="1" showErrorMessage="1" prompt="If the roof is dome-shaped, enter the tank's roof radius, if necessary:" sqref="C60" xr:uid="{13E0A04C-E9EE-44BE-B6FF-EB15ED53BC9E}"/>
    <dataValidation allowBlank="1" showErrorMessage="1" prompt="Enter the tank shell radius, if necessary:" sqref="C61" xr:uid="{0869E42E-475E-45DA-AC70-B956504EDF15}"/>
    <dataValidation allowBlank="1" showErrorMessage="1" prompt="Enter the tank roof height, if necessary:" sqref="C62" xr:uid="{974C7684-6EA9-4767-A80F-733A08F4B847}"/>
    <dataValidation allowBlank="1" showErrorMessage="1" prompt="Enter the roof outage, if necessary:" sqref="C63" xr:uid="{E9F91B17-619D-40D6-BFC7-49C51D7D89A0}"/>
    <dataValidation allowBlank="1" showErrorMessage="1" prompt="Enter the vapor space outage, if necessary:" sqref="C64" xr:uid="{7F16E1D3-8D64-4C44-A997-70866198D9A3}"/>
    <dataValidation allowBlank="1" showErrorMessage="1" prompt="Enter the vapor space volume, if necessary:" sqref="C65" xr:uid="{D3B1C4CA-D295-4C9D-A864-D5C7D6876DCB}"/>
    <dataValidation type="list" allowBlank="1" showErrorMessage="1" prompt="Are the shell plates and roof airtight? Select or enter yes or no." sqref="C66" xr:uid="{91CA2398-7D0A-4407-AEF3-744AAA38E744}">
      <formula1>"Yes,No"</formula1>
    </dataValidation>
    <dataValidation type="list" allowBlank="1" showErrorMessage="1" prompt="What condition is the paint on the shell? Select New, Average, or Aged." sqref="C55 C57" xr:uid="{0FF16AC3-5DE9-4DFB-B7E2-12C3A33F51C2}">
      <formula1>"New,Average,Aged"</formula1>
    </dataValidation>
    <dataValidation type="list" allowBlank="1" showErrorMessage="1" prompt="Is the tank welded or riveted? Select or answer from the drop-down menu:" sqref="C31" xr:uid="{672E39C0-7F59-4422-95C7-29ADE872DBA3}">
      <formula1>"Welded,Riveted"</formula1>
    </dataValidation>
    <dataValidation allowBlank="1" showErrorMessage="1" prompt="Enter the atmospheric pressure for the nearest city, if necessary:" sqref="C30" xr:uid="{01BA2FB4-3673-418F-8245-5392D1575E76}"/>
    <dataValidation allowBlank="1" showErrorMessage="1" prompt="Enter the working loss product factor (KC), if necessary:" sqref="C32" xr:uid="{D5C8214C-DF1B-4F62-A1AA-AB3B9EA84F3F}"/>
    <dataValidation type="list" allowBlank="1" showErrorMessage="1" prompt="Is the tank vertical or horizontal?" sqref="C33" xr:uid="{1DC4914E-E4A0-4128-B314-AD8E73D5EB3C}">
      <formula1>"Vertical,Horizontal"</formula1>
    </dataValidation>
    <dataValidation allowBlank="1" showErrorMessage="1" prompt="If the tank is vertical, enter the diameter (D) of the tank:" sqref="C34" xr:uid="{8359D6AB-79B9-4E69-9611-B443A4D2AEAE}"/>
    <dataValidation type="list" allowBlank="1" showErrorMessage="1" prompt="Is the tank vertical or horizontal? Select from the drop-down menu." sqref="C33" xr:uid="{5572AAAA-9A51-4A86-9869-3B27F05AD044}">
      <formula1>"Vertical, Horizontal"</formula1>
    </dataValidation>
    <dataValidation type="list" allowBlank="1" showErrorMessage="1" prompt="If the tank is horizontal, is the storage tank underground?" sqref="C35" xr:uid="{304AD34B-4567-4122-8F8A-496D1DF2140A}">
      <formula1>"Yes,No"</formula1>
    </dataValidation>
    <dataValidation allowBlank="1" showErrorMessage="1" prompt="If the tank is horizontal, what is the diameter of the vertical cross-section?" sqref="C36" xr:uid="{0ADACED8-DEF5-4D1C-8519-0E76C7DDADF7}"/>
    <dataValidation type="list" allowBlank="1" showErrorMessage="1" prompt="If the tank is horizontal, what is the diameter of the vertical cross-section?" sqref="C36" xr:uid="{DFD93A1C-EA57-4C49-A82F-123FFF5D2423}">
      <formula1>"Vertical,Horizontal"</formula1>
    </dataValidation>
    <dataValidation allowBlank="1" showErrorMessage="1" prompt="If the tank is horizontal, what is the length of the tank?" sqref="C37" xr:uid="{69A119D8-D09C-4E06-BD3E-8317EC7DF749}"/>
    <dataValidation allowBlank="1" showErrorMessage="1" prompt="Enter the effective diameter (DE), if necessary:" sqref="C38" xr:uid="{83E4E167-8B8F-4676-A9C9-0D5947A062E6}"/>
    <dataValidation allowBlank="1" showErrorMessage="1" prompt="If the tank is horizontal, enter the effective height (hE), if necessary:" sqref="C39" xr:uid="{2BD4718E-1BB9-49BE-919E-7FD4A1ECC097}"/>
    <dataValidation allowBlank="1" showErrorMessage="1" prompt="Enter the tank shell height:" sqref="C40" xr:uid="{20CF3E99-F767-4AF3-81A0-12F97D784BCD}"/>
    <dataValidation allowBlank="1" showErrorMessage="1" prompt="Enter the maximum liquid height:" sqref="C41" xr:uid="{856076EB-616D-4007-993B-7AFC9F0D77E4}"/>
    <dataValidation allowBlank="1" showErrorMessage="1" prompt="Enter the minimum liquid height:" sqref="C42" xr:uid="{6B46A132-F5CA-4697-9CA1-D13D4D5E3C6D}"/>
    <dataValidation allowBlank="1" showErrorMessage="1" prompt="Enter the average liquid height:" sqref="C43" xr:uid="{4574DBB2-09BF-4CB2-A71D-3A692617D831}"/>
    <dataValidation allowBlank="1" showErrorMessage="1" prompt="Enter the volume of the tank." sqref="C44" xr:uid="{F277D0D3-6B1B-4B73-A8D3-59901C016346}"/>
    <dataValidation type="list" allowBlank="1" showErrorMessage="1" prompt="Is the annual sum of the increases and decreases in liquid (ΣHQI and ΣHQD) known? Select or enter &quot;Yes&quot; or &quot;No&quot;." sqref="C45" xr:uid="{7D8B4F98-B75F-4772-A1CE-9D106490EDFC}">
      <formula1>"Yes,No"</formula1>
    </dataValidation>
    <dataValidation type="list" allowBlank="1" showErrorMessage="1" prompt="Is liquid pumped in at the same time as it is pumped out? Select or enter &quot;Yes&quot; or &quot;No&quot;." sqref="C46" xr:uid="{A3960AC1-345A-4538-B0A8-BB6E3858B5F0}">
      <formula1>"Yes,No"</formula1>
    </dataValidation>
    <dataValidation allowBlank="1" showErrorMessage="1" prompt="Enter the annual sum of the increases in liquid (ΣHQI), if necessary:" sqref="C47" xr:uid="{1FA52E4D-0333-43DF-8FE6-A20EB1FF3B4D}"/>
    <dataValidation allowBlank="1" showErrorMessage="1" prompt="Enter the annual sum of the decreases in liquid (ΣHQI), if necessary:" sqref="C48" xr:uid="{7C0BBAB8-FA85-4B6D-A02F-05215312A11C}"/>
    <dataValidation allowBlank="1" showErrorMessage="1" prompt="Enter the number of turnovers per year:" sqref="C49" xr:uid="{520E5488-9803-4EBF-8610-C22CF2471FBB}"/>
    <dataValidation allowBlank="1" showErrorMessage="1" prompt="Enter the annual net throughput (Q), in gallons per year." sqref="C50:C51" xr:uid="{50DB86D9-0DC3-49C6-BC44-BDCBE616EF92}"/>
    <dataValidation allowBlank="1" showErrorMessage="1" prompt="Enter the net working loss throughput (VQ), if necessary:" sqref="C52" xr:uid="{82DA456A-0A63-47F2-ADD5-9FD2DB2BBA4B}"/>
    <dataValidation allowBlank="1" showErrorMessage="1" prompt="Enter the working loss turnover factor, if necessary:" sqref="C53" xr:uid="{4B3215E8-06DB-4316-A5F3-9EB082349C5B}"/>
    <dataValidation allowBlank="1" showErrorMessage="1" prompt="Enter the actual molecular weight of this contituent if the calculated molecular weight of this contituent (above) is inaccurate." sqref="B26:P26" xr:uid="{1C1B0023-6E0C-420C-9E95-BBD5BB8EC69D}"/>
    <dataValidation allowBlank="1" showErrorMessage="1" prompt="Enter the actual working loss product factor if the calculated working loss product factor (above) is inaccurate." sqref="B24:P24" xr:uid="{3832F390-4846-44E6-9DAD-5FA1ADC19E6D}"/>
    <dataValidation allowBlank="1" showErrorMessage="1" prompt="Enter the actual liquid density if the calculated liquid density (above) is inaccurate." sqref="B22:P22" xr:uid="{27F9ADF6-A589-47DA-B973-58716B1F522B}"/>
    <dataValidation allowBlank="1" showErrorMessage="1" prompt="Enter the Weight Fraction in Mixture:" sqref="B20:P20" xr:uid="{3C94EDB8-F077-43E8-98A0-3B341EC7319F}"/>
    <dataValidation allowBlank="1" showErrorMessage="1" prompt="Enter the city (or nearest city to) where the site is located:" sqref="B13" xr:uid="{3B1D34C6-2A6F-4A20-91FB-A70CD352A20B}"/>
    <dataValidation type="list" allowBlank="1" showErrorMessage="1" prompt="What type of roof does this tank have? Select or enter &quot;Fixed&quot; or &quot;Floating&quot; from the drop-down menu." sqref="B12" xr:uid="{B4D51902-1FDE-4919-8DB9-D6063152095E}">
      <formula1>"Fixed, Floating"</formula1>
    </dataValidation>
    <dataValidation allowBlank="1" showInputMessage="1" showErrorMessage="1" prompt="Yellow cell" sqref="C297 E157 C269:C291" xr:uid="{48AF4CFE-E81B-4B37-9F83-0F13F5F3363D}"/>
    <dataValidation type="list" allowBlank="1" showInputMessage="1" showErrorMessage="1" sqref="C58 C65" xr:uid="{51ACCA88-871E-4DF5-B694-465660512DD6}">
      <formula1>"Good,Poor"</formula1>
    </dataValidation>
    <dataValidation type="list" allowBlank="1" showInputMessage="1" showErrorMessage="1" sqref="C297 C73 C266:C267 C269:C291" xr:uid="{B59F3B6C-65F5-42E5-90F0-CBDD3B364BE7}">
      <formula1>"Fixed, Floating"</formula1>
    </dataValidation>
    <dataValidation type="list" allowBlank="1" showInputMessage="1" showErrorMessage="1" prompt="Yellow cell" sqref="C262" xr:uid="{BF26BAE7-990D-436A-9EF5-F6A315FC31F8}">
      <formula1>"Yes,No"</formula1>
    </dataValidation>
    <dataValidation type="list" allowBlank="1" showInputMessage="1" showErrorMessage="1" prompt="Yellow cell" sqref="C58" xr:uid="{BA79E4B3-61B5-4122-90E7-401C4E476951}">
      <formula1>"Cone, Dome"</formula1>
    </dataValidation>
    <dataValidation type="list" allowBlank="1" showInputMessage="1" showErrorMessage="1" sqref="C69" xr:uid="{012E2997-6922-441E-A84F-2DDB758FF8B6}">
      <formula1>"Not Insulated,Partially Insulated,Fully Insulated"</formula1>
    </dataValidation>
    <dataValidation type="list" allowBlank="1" showInputMessage="1" showErrorMessage="1" prompt="Yellow cell" sqref="C69" xr:uid="{1C98B76A-20F0-426E-87F7-FB0A3CCA0CA7}">
      <formula1>"Not Insulated,Partially Insulated,Fully Insulated"</formula1>
    </dataValidation>
    <dataValidation type="list" allowBlank="1" showErrorMessage="1" prompt="Is this chemical a crude petroleum product? Select yes or no." sqref="B19:P19" xr:uid="{CC7E0436-4691-4DB3-BEF5-1837ACC18ABB}">
      <formula1>"Yes, No"</formula1>
    </dataValidation>
    <dataValidation type="list" allowBlank="1" showInputMessage="1" showErrorMessage="1" sqref="C68" xr:uid="{B293563C-9655-43E4-A816-3F9AC1549ECE}">
      <formula1>"Steel Pontoon,Steel Double Deck,Other"</formula1>
    </dataValidation>
    <dataValidation allowBlank="1" showErrorMessage="1" prompt="Enter the FIN for this tank. Note that it must match the existing authorization's FIN." sqref="B6" xr:uid="{732AF789-1C9A-46BE-B6E1-F2F30938D460}"/>
    <dataValidation allowBlank="1" showErrorMessage="1" prompt="Enter the EPN for this tank. Note that it must match the existing authorization's EPN." sqref="B7" xr:uid="{6EF9B6CF-EB83-43B2-9E7F-91949A283A9E}"/>
    <dataValidation allowBlank="1" showErrorMessage="1" prompt="Enter the source name for this tank. Note that it must match the existing authorization's source name." sqref="B8" xr:uid="{F9ABDDE6-9FEF-4CFD-BD1B-973325189D72}"/>
    <dataValidation type="list" allowBlank="1" showErrorMessage="1" prompt="Enter the UTM Zone for this tank." sqref="B9" xr:uid="{F703406C-CAAF-4103-A6B6-25D87E97311A}">
      <formula1>"13,14,15"</formula1>
    </dataValidation>
    <dataValidation allowBlank="1" showErrorMessage="1" prompt="Enter the Easting distance from the UTM coordinate." sqref="B10" xr:uid="{0403E9ED-39DC-4EDC-AB40-86666021A724}"/>
    <dataValidation allowBlank="1" showErrorMessage="1" prompt="Enter the Northing distance from the UTM coordinate." sqref="B11" xr:uid="{0BB0F6A9-B6B4-4583-840B-0D2C8F78CF60}"/>
  </dataValidations>
  <hyperlinks>
    <hyperlink ref="A93" r:id="rId1" xr:uid="{13735CC1-31DE-43CF-8364-F413C3D09176}"/>
    <hyperlink ref="A93:D93" r:id="rId2" tooltip="Click to link to ambient temperature and wind speed data." display="https://www.ncdc.noaa.gov/ghcn/comparative-climatic-data" xr:uid="{36C0F4E0-745B-4F3B-898B-2B06B401FB34}"/>
  </hyperlinks>
  <pageMargins left="0.7" right="0.7" top="0.75" bottom="0.75" header="0.3" footer="0.3"/>
  <pageSetup orientation="portrait" r:id="rId3"/>
  <headerFooter>
    <oddHeader>&amp;C&amp;"Arial,Regular"Annual Throughput Increase RAP Application</oddHeader>
    <oddFooter>&amp;LVersion: 5/1/2019&amp;CSheet: &amp;A&amp;RPage &amp;P/&amp;N</oddFooter>
  </headerFooter>
  <extLst>
    <ext xmlns:x14="http://schemas.microsoft.com/office/spreadsheetml/2009/9/main" uri="{78C0D931-6437-407d-A8EE-F0AAD7539E65}">
      <x14:conditionalFormattings>
        <x14:conditionalFormatting xmlns:xm="http://schemas.microsoft.com/office/excel/2006/main">
          <x14:cfRule type="expression" priority="2" stopIfTrue="1" id="{19FF029A-FED9-4D9E-B067-CFF4542DC560}">
            <xm:f>'Hidden Inputs'!$BR$5</xm:f>
            <x14:dxf>
              <font>
                <color theme="0" tint="-0.499984740745262"/>
              </font>
              <numFmt numFmtId="171" formatCode=";;;"/>
              <fill>
                <patternFill>
                  <bgColor theme="0" tint="-0.499984740745262"/>
                </patternFill>
              </fill>
            </x14:dxf>
          </x14:cfRule>
          <xm:sqref>A4:C14 A16:Q26 A28:D91 A95:Q117 A119:D127 A129:D137 A139:D154 A156:L178 A180:D210 A212:D236 A238:D258 A260:D267 A269:E297 A299:Q308</xm:sqref>
        </x14:conditionalFormatting>
        <x14:conditionalFormatting xmlns:xm="http://schemas.microsoft.com/office/excel/2006/main">
          <x14:cfRule type="expression" priority="14" id="{2C830C9D-543A-4788-9B76-49F3220F91D8}">
            <xm:f>'TANKS Calculations'!H$44&gt;0</xm:f>
            <x14:dxf>
              <font>
                <color theme="0" tint="-0.499984740745262"/>
              </font>
              <numFmt numFmtId="171" formatCode=";;;"/>
              <fill>
                <patternFill>
                  <bgColor theme="0" tint="-0.499984740745262"/>
                </patternFill>
              </fill>
            </x14:dxf>
          </x14:cfRule>
          <xm:sqref>B104:P105</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ErrorMessage="1" prompt="Select the nearest city and state from the drop-down menu. This will fill in appropriate meteorological data for the region. If this field is left blank, meteorological data must be entered manually in the &quot;Input Parameters&quot; section." xr:uid="{9A5DCFB2-D662-41C8-9C90-0051723B8E59}">
          <x14:formula1>
            <xm:f>'TANKS Data'!$A$189:$A$213</xm:f>
          </x14:formula1>
          <xm:sqref>B14</xm:sqref>
        </x14:dataValidation>
        <x14:dataValidation type="list" allowBlank="1" prompt="Select the fitting type from the drop-down menu." xr:uid="{781019C6-4F7E-4D02-B2A0-29DBB654DBD5}">
          <x14:formula1>
            <xm:f>'TANKS Data'!$G$96:$G$111</xm:f>
          </x14:formula1>
          <xm:sqref>A158:B177</xm:sqref>
        </x14:dataValidation>
        <x14:dataValidation type="list" allowBlank="1" prompt="Select the chemical name from the drop-down. If the chemical name is not in the list, enter the chemical name in the cell." xr:uid="{A9913CF5-DFCE-468D-A571-4DDD646E97BB}">
          <x14:formula1>
            <xm:f>'TANKS Vapor Fx'!$A$3:$A$294</xm:f>
          </x14:formula1>
          <xm:sqref>B18:P18</xm:sqref>
        </x14:dataValidation>
        <x14:dataValidation type="list" allowBlank="1" showErrorMessage="1" prompt="What color is the paint on the shell? Select color from drop-down menu." xr:uid="{E4EEB299-DED4-4A1B-A4E9-08D7ADC12D19}">
          <x14:formula1>
            <xm:f>'TANKS Data'!$B$174:$B$186</xm:f>
          </x14:formula1>
          <xm:sqref>C54 C56</xm:sqref>
        </x14:dataValidation>
        <x14:dataValidation type="list" allowBlank="1" prompt="Specify the construction details for the fitting type specified in the previous column. If no matching result is present in the drop-down menu, you may enter your own details and factors." xr:uid="{78766B29-1F32-46D9-A5C4-F6A43A220846}">
          <x14:formula1>
            <xm:f>INDIRECT('TANKS Data'!$O96)</xm:f>
          </x14:formula1>
          <xm:sqref>C158:D177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74</vt:i4>
      </vt:variant>
    </vt:vector>
  </HeadingPairs>
  <TitlesOfParts>
    <vt:vector size="96" baseType="lpstr">
      <vt:lpstr>Instructions</vt:lpstr>
      <vt:lpstr>Species</vt:lpstr>
      <vt:lpstr>PI-1-TankLoading</vt:lpstr>
      <vt:lpstr>Fees</vt:lpstr>
      <vt:lpstr>Tank1</vt:lpstr>
      <vt:lpstr>Tank2</vt:lpstr>
      <vt:lpstr>Tank3</vt:lpstr>
      <vt:lpstr>Tank4</vt:lpstr>
      <vt:lpstr>Tank5</vt:lpstr>
      <vt:lpstr>Loading-drum,tote</vt:lpstr>
      <vt:lpstr>Loading-truck</vt:lpstr>
      <vt:lpstr>Loading-rail</vt:lpstr>
      <vt:lpstr>Flare</vt:lpstr>
      <vt:lpstr>VCU</vt:lpstr>
      <vt:lpstr>CAS</vt:lpstr>
      <vt:lpstr>Impacts</vt:lpstr>
      <vt:lpstr>EmissionSummary</vt:lpstr>
      <vt:lpstr>Baseline</vt:lpstr>
      <vt:lpstr>FederalApplicability</vt:lpstr>
      <vt:lpstr>BACT</vt:lpstr>
      <vt:lpstr>CND</vt:lpstr>
      <vt:lpstr>PublicNotice</vt:lpstr>
      <vt:lpstr>Access</vt:lpstr>
      <vt:lpstr>CASNo</vt:lpstr>
      <vt:lpstr>Conti</vt:lpstr>
      <vt:lpstr>ControlDevices</vt:lpstr>
      <vt:lpstr>ControlEfficiency</vt:lpstr>
      <vt:lpstr>ControlInfo</vt:lpstr>
      <vt:lpstr>ControlRequired</vt:lpstr>
      <vt:lpstr>Counties</vt:lpstr>
      <vt:lpstr>DeckIFR</vt:lpstr>
      <vt:lpstr>DeckPontoon</vt:lpstr>
      <vt:lpstr>DoubleDeck</vt:lpstr>
      <vt:lpstr>Downwash</vt:lpstr>
      <vt:lpstr>EFRSeals</vt:lpstr>
      <vt:lpstr>ExternalTankVP</vt:lpstr>
      <vt:lpstr>FixedTankVP</vt:lpstr>
      <vt:lpstr>FRSCol</vt:lpstr>
      <vt:lpstr>GasTermTankControls</vt:lpstr>
      <vt:lpstr>GFWell</vt:lpstr>
      <vt:lpstr>GHatch</vt:lpstr>
      <vt:lpstr>IFRSeals</vt:lpstr>
      <vt:lpstr>InternalTankVP</vt:lpstr>
      <vt:lpstr>LadderGuide</vt:lpstr>
      <vt:lpstr>LadderWell</vt:lpstr>
      <vt:lpstr>NoControl</vt:lpstr>
      <vt:lpstr>NoDownwash</vt:lpstr>
      <vt:lpstr>NoOpen</vt:lpstr>
      <vt:lpstr>Panel</vt:lpstr>
      <vt:lpstr>BACT!Print_Area</vt:lpstr>
      <vt:lpstr>Baseline!Print_Area</vt:lpstr>
      <vt:lpstr>CAS!Print_Area</vt:lpstr>
      <vt:lpstr>CND!Print_Area</vt:lpstr>
      <vt:lpstr>EmissionSummary!Print_Area</vt:lpstr>
      <vt:lpstr>FederalApplicability!Print_Area</vt:lpstr>
      <vt:lpstr>Fees!Print_Area</vt:lpstr>
      <vt:lpstr>Flare!Print_Area</vt:lpstr>
      <vt:lpstr>Impacts!Print_Area</vt:lpstr>
      <vt:lpstr>Instructions!Print_Area</vt:lpstr>
      <vt:lpstr>'Loading-drum,tote'!Print_Area</vt:lpstr>
      <vt:lpstr>'Loading-rail'!Print_Area</vt:lpstr>
      <vt:lpstr>'Loading-truck'!Print_Area</vt:lpstr>
      <vt:lpstr>'PI-1-TankLoading'!Print_Area</vt:lpstr>
      <vt:lpstr>PublicNotice!Print_Area</vt:lpstr>
      <vt:lpstr>Tank1!Print_Area</vt:lpstr>
      <vt:lpstr>Tank2!Print_Area</vt:lpstr>
      <vt:lpstr>Tank3!Print_Area</vt:lpstr>
      <vt:lpstr>Tank4!Print_Area</vt:lpstr>
      <vt:lpstr>Tank5!Print_Area</vt:lpstr>
      <vt:lpstr>VCU!Print_Area</vt:lpstr>
      <vt:lpstr>Baseline!Print_Titles</vt:lpstr>
      <vt:lpstr>Impacts!Print_Titles</vt:lpstr>
      <vt:lpstr>ReleaseHeight</vt:lpstr>
      <vt:lpstr>RimVent</vt:lpstr>
      <vt:lpstr>Riveted</vt:lpstr>
      <vt:lpstr>SelectedSpecies</vt:lpstr>
      <vt:lpstr>SiteType</vt:lpstr>
      <vt:lpstr>Slotted</vt:lpstr>
      <vt:lpstr>Species</vt:lpstr>
      <vt:lpstr>SpeciesDataTable</vt:lpstr>
      <vt:lpstr>SpeciesESL</vt:lpstr>
      <vt:lpstr>Stub</vt:lpstr>
      <vt:lpstr>Subsystem1</vt:lpstr>
      <vt:lpstr>Subsystem2</vt:lpstr>
      <vt:lpstr>TankSizeMost</vt:lpstr>
      <vt:lpstr>TankSizeSmall</vt:lpstr>
      <vt:lpstr>TitleRegion1.a14.g21.3</vt:lpstr>
      <vt:lpstr>TitleRegion1.a19.g38.7</vt:lpstr>
      <vt:lpstr>TitleRegion2.a25.g28.3</vt:lpstr>
      <vt:lpstr>TitleRegion3.a35.g40.3</vt:lpstr>
      <vt:lpstr>TruckLoadCollectEff</vt:lpstr>
      <vt:lpstr>Unslotted</vt:lpstr>
      <vt:lpstr>Vacuum</vt:lpstr>
      <vt:lpstr>Welded</vt:lpstr>
      <vt:lpstr>YN</vt:lpstr>
      <vt:lpstr>Zones</vt:lpstr>
    </vt:vector>
  </TitlesOfParts>
  <Manager>TCEQ</Manager>
  <Company>TCEQ</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TCEQ Form 20862 - Readily Available Permit: Tank and Loading Increases</dc:title>
  <dc:subject>TCEQ - RAP: Tanks Loading</dc:subject>
  <dc:creator>TCEQ</dc:creator>
  <cp:keywords>drum, loading, rail, flare, emission, PI-1, summary, species, instructions, public, notice, fees, BACT, applicability, federal, baseline, impact, tank, education, contaminants, publication, air, pollution, regional,facilities, permit, vapor, unit, carbon, adsorption, system, tote, capital, and cost</cp:keywords>
  <cp:lastModifiedBy>Traci Spencer</cp:lastModifiedBy>
  <cp:lastPrinted>2020-01-13T21:50:18Z</cp:lastPrinted>
  <dcterms:created xsi:type="dcterms:W3CDTF">2017-11-08T21:07:57Z</dcterms:created>
  <dcterms:modified xsi:type="dcterms:W3CDTF">2023-12-11T14:51:47Z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 Name">
    <vt:lpwstr>RAP-Tank-Loading</vt:lpwstr>
  </property>
  <property fmtid="{D5CDD505-2E9C-101B-9397-08002B2CF9AE}" pid="3" name="Version Number">
    <vt:lpwstr>4.1</vt:lpwstr>
  </property>
  <property fmtid="{D5CDD505-2E9C-101B-9397-08002B2CF9AE}" pid="4" name="Version Date">
    <vt:lpwstr>12/12/2023</vt:lpwstr>
  </property>
</Properties>
</file>